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duffy3\OneDrive - McGill University\Storage Lists\REMAIN\"/>
    </mc:Choice>
  </mc:AlternateContent>
  <bookViews>
    <workbookView xWindow="0" yWindow="0" windowWidth="19200" windowHeight="7050"/>
  </bookViews>
  <sheets>
    <sheet name="Print Books" sheetId="1" r:id="rId1"/>
  </sheets>
  <definedNames>
    <definedName name="_xlnm._FilterDatabase" localSheetId="0" hidden="1">'Print Books'!$A$1:$BG$6125</definedName>
  </definedNames>
  <calcPr calcId="162913"/>
</workbook>
</file>

<file path=xl/calcChain.xml><?xml version="1.0" encoding="utf-8"?>
<calcChain xmlns="http://schemas.openxmlformats.org/spreadsheetml/2006/main">
  <c r="AW6125" i="1" l="1"/>
  <c r="AV6125" i="1"/>
  <c r="AW6124" i="1"/>
  <c r="AV6124" i="1"/>
  <c r="AU6124" i="1"/>
  <c r="AW6123" i="1"/>
  <c r="AV6123" i="1"/>
  <c r="AU6123" i="1"/>
  <c r="AW6122" i="1"/>
  <c r="AV6122" i="1"/>
  <c r="AU6122" i="1"/>
  <c r="AW6121" i="1"/>
  <c r="AV6121" i="1"/>
  <c r="AW6120" i="1"/>
  <c r="AV6120" i="1"/>
  <c r="AW6119" i="1"/>
  <c r="AV6119" i="1"/>
  <c r="AU6119" i="1"/>
  <c r="AW6118" i="1"/>
  <c r="AV6118" i="1"/>
  <c r="AU6118" i="1"/>
  <c r="AW6117" i="1"/>
  <c r="AV6117" i="1"/>
  <c r="AW6116" i="1"/>
  <c r="AV6116" i="1"/>
  <c r="AW6115" i="1"/>
  <c r="AV6115" i="1"/>
  <c r="AW6114" i="1"/>
  <c r="AV6114" i="1"/>
  <c r="AW6113" i="1"/>
  <c r="AV6113" i="1"/>
  <c r="AW6112" i="1"/>
  <c r="AV6112" i="1"/>
  <c r="AW6111" i="1"/>
  <c r="AV6111" i="1"/>
  <c r="AW6110" i="1"/>
  <c r="AV6110" i="1"/>
  <c r="AW6109" i="1"/>
  <c r="AV6109" i="1"/>
  <c r="AW6108" i="1"/>
  <c r="AV6108" i="1"/>
  <c r="AW6107" i="1"/>
  <c r="AV6107" i="1"/>
  <c r="AW6106" i="1"/>
  <c r="AV6106" i="1"/>
  <c r="AW6105" i="1"/>
  <c r="AV6105" i="1"/>
  <c r="AW6104" i="1"/>
  <c r="AV6104" i="1"/>
  <c r="AW6103" i="1"/>
  <c r="AV6103" i="1"/>
  <c r="AW6102" i="1"/>
  <c r="AV6102" i="1"/>
  <c r="AW6101" i="1"/>
  <c r="AV6101" i="1"/>
  <c r="AW6100" i="1"/>
  <c r="AV6100" i="1"/>
  <c r="AW6099" i="1"/>
  <c r="AV6099" i="1"/>
  <c r="AW6098" i="1"/>
  <c r="AV6098" i="1"/>
  <c r="AW6097" i="1"/>
  <c r="AV6097" i="1"/>
  <c r="AW6096" i="1"/>
  <c r="AV6096" i="1"/>
  <c r="AW6095" i="1"/>
  <c r="AV6095" i="1"/>
  <c r="AW6094" i="1"/>
  <c r="AV6094" i="1"/>
  <c r="AW6093" i="1"/>
  <c r="AV6093" i="1"/>
  <c r="AW6092" i="1"/>
  <c r="AV6092" i="1"/>
  <c r="AW6091" i="1"/>
  <c r="AV6091" i="1"/>
  <c r="AW6090" i="1"/>
  <c r="AV6090" i="1"/>
  <c r="AW6089" i="1"/>
  <c r="AV6089" i="1"/>
  <c r="AW6088" i="1"/>
  <c r="AV6088" i="1"/>
  <c r="AW6087" i="1"/>
  <c r="AV6087" i="1"/>
  <c r="AW6086" i="1"/>
  <c r="AV6086" i="1"/>
  <c r="AW6085" i="1"/>
  <c r="AV6085" i="1"/>
  <c r="AW6084" i="1"/>
  <c r="AV6084" i="1"/>
  <c r="AW6083" i="1"/>
  <c r="AV6083" i="1"/>
  <c r="AW6082" i="1"/>
  <c r="AV6082" i="1"/>
  <c r="AW6081" i="1"/>
  <c r="AV6081" i="1"/>
  <c r="AW6080" i="1"/>
  <c r="AV6080" i="1"/>
  <c r="AW6079" i="1"/>
  <c r="AV6079" i="1"/>
  <c r="AW6078" i="1"/>
  <c r="AV6078" i="1"/>
  <c r="AW6077" i="1"/>
  <c r="AV6077" i="1"/>
  <c r="AW6076" i="1"/>
  <c r="AV6076" i="1"/>
  <c r="AW6075" i="1"/>
  <c r="AV6075" i="1"/>
  <c r="AW6074" i="1"/>
  <c r="AV6074" i="1"/>
  <c r="AW6073" i="1"/>
  <c r="AV6073" i="1"/>
  <c r="AW6072" i="1"/>
  <c r="AV6072" i="1"/>
  <c r="AW6071" i="1"/>
  <c r="AV6071" i="1"/>
  <c r="AW6070" i="1"/>
  <c r="AV6070" i="1"/>
  <c r="AW6069" i="1"/>
  <c r="AV6069" i="1"/>
  <c r="AW6068" i="1"/>
  <c r="AV6068" i="1"/>
  <c r="AW6067" i="1"/>
  <c r="AV6067" i="1"/>
  <c r="AW6066" i="1"/>
  <c r="AV6066" i="1"/>
  <c r="AW6065" i="1"/>
  <c r="AV6065" i="1"/>
  <c r="AW6064" i="1"/>
  <c r="AV6064" i="1"/>
  <c r="AW6063" i="1"/>
  <c r="AV6063" i="1"/>
  <c r="AW6062" i="1"/>
  <c r="AV6062" i="1"/>
  <c r="AW6061" i="1"/>
  <c r="AV6061" i="1"/>
  <c r="AW6060" i="1"/>
  <c r="AV6060" i="1"/>
  <c r="AW6059" i="1"/>
  <c r="AV6059" i="1"/>
  <c r="AW6058" i="1"/>
  <c r="AV6058" i="1"/>
  <c r="AW6057" i="1"/>
  <c r="AV6057" i="1"/>
  <c r="AW6056" i="1"/>
  <c r="AV6056" i="1"/>
  <c r="AW6055" i="1"/>
  <c r="AV6055" i="1"/>
  <c r="AW6054" i="1"/>
  <c r="AV6054" i="1"/>
  <c r="AW6053" i="1"/>
  <c r="AV6053" i="1"/>
  <c r="AW6052" i="1"/>
  <c r="AV6052" i="1"/>
  <c r="AW6051" i="1"/>
  <c r="AV6051" i="1"/>
  <c r="AW6050" i="1"/>
  <c r="AV6050" i="1"/>
  <c r="AW6049" i="1"/>
  <c r="AV6049" i="1"/>
  <c r="AW6048" i="1"/>
  <c r="AV6048" i="1"/>
  <c r="AW6047" i="1"/>
  <c r="AV6047" i="1"/>
  <c r="AW6046" i="1"/>
  <c r="AV6046" i="1"/>
  <c r="AW6045" i="1"/>
  <c r="AV6045" i="1"/>
  <c r="AW6044" i="1"/>
  <c r="AV6044" i="1"/>
  <c r="AW6043" i="1"/>
  <c r="AV6043" i="1"/>
  <c r="AW6042" i="1"/>
  <c r="AV6042" i="1"/>
  <c r="AW6041" i="1"/>
  <c r="AV6041" i="1"/>
  <c r="AW6040" i="1"/>
  <c r="AV6040" i="1"/>
  <c r="AW6039" i="1"/>
  <c r="AV6039" i="1"/>
  <c r="AW6038" i="1"/>
  <c r="AV6038" i="1"/>
  <c r="AW6037" i="1"/>
  <c r="AV6037" i="1"/>
  <c r="AW6036" i="1"/>
  <c r="AV6036" i="1"/>
  <c r="AW6035" i="1"/>
  <c r="AV6035" i="1"/>
  <c r="AW6034" i="1"/>
  <c r="AV6034" i="1"/>
  <c r="AW6033" i="1"/>
  <c r="AV6033" i="1"/>
  <c r="AW6032" i="1"/>
  <c r="AV6032" i="1"/>
  <c r="AW6031" i="1"/>
  <c r="AV6031" i="1"/>
  <c r="AW6030" i="1"/>
  <c r="AV6030" i="1"/>
  <c r="AW6029" i="1"/>
  <c r="AV6029" i="1"/>
  <c r="AW6028" i="1"/>
  <c r="AV6028" i="1"/>
  <c r="AW6027" i="1"/>
  <c r="AV6027" i="1"/>
  <c r="AW6026" i="1"/>
  <c r="AV6026" i="1"/>
  <c r="AW6025" i="1"/>
  <c r="AV6025" i="1"/>
  <c r="AW6024" i="1"/>
  <c r="AV6024" i="1"/>
  <c r="AW6023" i="1"/>
  <c r="AV6023" i="1"/>
  <c r="AW6022" i="1"/>
  <c r="AV6022" i="1"/>
  <c r="AW6021" i="1"/>
  <c r="AV6021" i="1"/>
  <c r="AW6020" i="1"/>
  <c r="AV6020" i="1"/>
  <c r="AW6019" i="1"/>
  <c r="AV6019" i="1"/>
  <c r="AW6018" i="1"/>
  <c r="AV6018" i="1"/>
  <c r="AW6017" i="1"/>
  <c r="AV6017" i="1"/>
  <c r="AW6016" i="1"/>
  <c r="AV6016" i="1"/>
  <c r="AW6015" i="1"/>
  <c r="AV6015" i="1"/>
  <c r="AW6014" i="1"/>
  <c r="AV6014" i="1"/>
  <c r="AW6013" i="1"/>
  <c r="AV6013" i="1"/>
  <c r="AW6012" i="1"/>
  <c r="AV6012" i="1"/>
  <c r="AW6011" i="1"/>
  <c r="AV6011" i="1"/>
  <c r="AW6010" i="1"/>
  <c r="AV6010" i="1"/>
  <c r="AW6009" i="1"/>
  <c r="AV6009" i="1"/>
  <c r="AW6008" i="1"/>
  <c r="AV6008" i="1"/>
  <c r="AW6007" i="1"/>
  <c r="AV6007" i="1"/>
  <c r="AW6006" i="1"/>
  <c r="AV6006" i="1"/>
  <c r="AW6005" i="1"/>
  <c r="AV6005" i="1"/>
  <c r="AW6004" i="1"/>
  <c r="AV6004" i="1"/>
  <c r="AW6003" i="1"/>
  <c r="AV6003" i="1"/>
  <c r="AW6002" i="1"/>
  <c r="AV6002" i="1"/>
  <c r="AW6001" i="1"/>
  <c r="AV6001" i="1"/>
  <c r="AW6000" i="1"/>
  <c r="AV6000" i="1"/>
  <c r="AW5999" i="1"/>
  <c r="AV5999" i="1"/>
  <c r="AW5998" i="1"/>
  <c r="AV5998" i="1"/>
  <c r="AW5997" i="1"/>
  <c r="AV5997" i="1"/>
  <c r="AW5996" i="1"/>
  <c r="AV5996" i="1"/>
  <c r="AW5995" i="1"/>
  <c r="AV5995" i="1"/>
  <c r="AW5994" i="1"/>
  <c r="AV5994" i="1"/>
  <c r="AW5993" i="1"/>
  <c r="AV5993" i="1"/>
  <c r="AW5992" i="1"/>
  <c r="AV5992" i="1"/>
  <c r="AW5991" i="1"/>
  <c r="AV5991" i="1"/>
  <c r="AW5990" i="1"/>
  <c r="AV5990" i="1"/>
  <c r="AW5989" i="1"/>
  <c r="AV5989" i="1"/>
  <c r="AW5988" i="1"/>
  <c r="AV5988" i="1"/>
  <c r="AW5987" i="1"/>
  <c r="AV5987" i="1"/>
  <c r="AW5986" i="1"/>
  <c r="AV5986" i="1"/>
  <c r="AW5985" i="1"/>
  <c r="AV5985" i="1"/>
  <c r="AW5984" i="1"/>
  <c r="AV5984" i="1"/>
  <c r="AW5983" i="1"/>
  <c r="AV5983" i="1"/>
  <c r="AW5982" i="1"/>
  <c r="AV5982" i="1"/>
  <c r="AW5981" i="1"/>
  <c r="AV5981" i="1"/>
  <c r="AW5980" i="1"/>
  <c r="AV5980" i="1"/>
  <c r="AW5979" i="1"/>
  <c r="AV5979" i="1"/>
  <c r="AW5978" i="1"/>
  <c r="AV5978" i="1"/>
  <c r="AW5977" i="1"/>
  <c r="AV5977" i="1"/>
  <c r="AW5976" i="1"/>
  <c r="AV5976" i="1"/>
  <c r="AW5975" i="1"/>
  <c r="AV5975" i="1"/>
  <c r="AW5974" i="1"/>
  <c r="AV5974" i="1"/>
  <c r="AW5973" i="1"/>
  <c r="AV5973" i="1"/>
  <c r="AW5972" i="1"/>
  <c r="AV5972" i="1"/>
  <c r="AW5971" i="1"/>
  <c r="AV5971" i="1"/>
  <c r="AW5970" i="1"/>
  <c r="AV5970" i="1"/>
  <c r="AW5969" i="1"/>
  <c r="AV5969" i="1"/>
  <c r="AW5968" i="1"/>
  <c r="AV5968" i="1"/>
  <c r="AW5967" i="1"/>
  <c r="AV5967" i="1"/>
  <c r="AW5966" i="1"/>
  <c r="AV5966" i="1"/>
  <c r="AW5965" i="1"/>
  <c r="AV5965" i="1"/>
  <c r="AW5964" i="1"/>
  <c r="AV5964" i="1"/>
  <c r="AW5963" i="1"/>
  <c r="AV5963" i="1"/>
  <c r="AW5962" i="1"/>
  <c r="AV5962" i="1"/>
  <c r="AW5961" i="1"/>
  <c r="AV5961" i="1"/>
  <c r="AW5960" i="1"/>
  <c r="AV5960" i="1"/>
  <c r="AW5959" i="1"/>
  <c r="AV5959" i="1"/>
  <c r="AW5958" i="1"/>
  <c r="AV5958" i="1"/>
  <c r="AW5957" i="1"/>
  <c r="AV5957" i="1"/>
  <c r="AW5956" i="1"/>
  <c r="AV5956" i="1"/>
  <c r="AW5955" i="1"/>
  <c r="AV5955" i="1"/>
  <c r="AW5954" i="1"/>
  <c r="AV5954" i="1"/>
  <c r="AW5953" i="1"/>
  <c r="AV5953" i="1"/>
  <c r="AW5952" i="1"/>
  <c r="AV5952" i="1"/>
  <c r="AW5951" i="1"/>
  <c r="AV5951" i="1"/>
  <c r="AW5950" i="1"/>
  <c r="AV5950" i="1"/>
  <c r="AW5949" i="1"/>
  <c r="AV5949" i="1"/>
  <c r="AW5948" i="1"/>
  <c r="AV5948" i="1"/>
  <c r="AW5947" i="1"/>
  <c r="AV5947" i="1"/>
  <c r="AW5946" i="1"/>
  <c r="AV5946" i="1"/>
  <c r="AW5945" i="1"/>
  <c r="AV5945" i="1"/>
  <c r="AW5944" i="1"/>
  <c r="AV5944" i="1"/>
  <c r="AW5943" i="1"/>
  <c r="AV5943" i="1"/>
  <c r="AW5942" i="1"/>
  <c r="AV5942" i="1"/>
  <c r="AW5941" i="1"/>
  <c r="AV5941" i="1"/>
  <c r="AW5940" i="1"/>
  <c r="AV5940" i="1"/>
  <c r="AW5939" i="1"/>
  <c r="AV5939" i="1"/>
  <c r="AW5938" i="1"/>
  <c r="AV5938" i="1"/>
  <c r="AW5937" i="1"/>
  <c r="AV5937" i="1"/>
  <c r="AW5936" i="1"/>
  <c r="AV5936" i="1"/>
  <c r="AW5935" i="1"/>
  <c r="AV5935" i="1"/>
  <c r="AW5934" i="1"/>
  <c r="AV5934" i="1"/>
  <c r="AW5933" i="1"/>
  <c r="AV5933" i="1"/>
  <c r="AW5932" i="1"/>
  <c r="AV5932" i="1"/>
  <c r="AW5931" i="1"/>
  <c r="AV5931" i="1"/>
  <c r="AW5930" i="1"/>
  <c r="AV5930" i="1"/>
  <c r="AW5929" i="1"/>
  <c r="AV5929" i="1"/>
  <c r="AW5928" i="1"/>
  <c r="AV5928" i="1"/>
  <c r="AW5927" i="1"/>
  <c r="AV5927" i="1"/>
  <c r="AW5926" i="1"/>
  <c r="AV5926" i="1"/>
  <c r="AW5925" i="1"/>
  <c r="AV5925" i="1"/>
  <c r="AW5924" i="1"/>
  <c r="AV5924" i="1"/>
  <c r="AW5923" i="1"/>
  <c r="AV5923" i="1"/>
  <c r="AW5922" i="1"/>
  <c r="AV5922" i="1"/>
  <c r="AW5921" i="1"/>
  <c r="AV5921" i="1"/>
  <c r="AW5920" i="1"/>
  <c r="AV5920" i="1"/>
  <c r="AW5919" i="1"/>
  <c r="AV5919" i="1"/>
  <c r="AW5918" i="1"/>
  <c r="AV5918" i="1"/>
  <c r="AW5917" i="1"/>
  <c r="AV5917" i="1"/>
  <c r="AW5916" i="1"/>
  <c r="AV5916" i="1"/>
  <c r="AW5915" i="1"/>
  <c r="AV5915" i="1"/>
  <c r="AW5914" i="1"/>
  <c r="AV5914" i="1"/>
  <c r="AW5913" i="1"/>
  <c r="AV5913" i="1"/>
  <c r="AW5912" i="1"/>
  <c r="AV5912" i="1"/>
  <c r="AW5911" i="1"/>
  <c r="AV5911" i="1"/>
  <c r="AW5910" i="1"/>
  <c r="AV5910" i="1"/>
  <c r="AW5909" i="1"/>
  <c r="AV5909" i="1"/>
  <c r="AW5908" i="1"/>
  <c r="AV5908" i="1"/>
  <c r="AW5907" i="1"/>
  <c r="AV5907" i="1"/>
  <c r="AW5906" i="1"/>
  <c r="AV5906" i="1"/>
  <c r="AW5905" i="1"/>
  <c r="AV5905" i="1"/>
  <c r="AW5904" i="1"/>
  <c r="AV5904" i="1"/>
  <c r="AW5903" i="1"/>
  <c r="AV5903" i="1"/>
  <c r="AW5902" i="1"/>
  <c r="AV5902" i="1"/>
  <c r="AW5901" i="1"/>
  <c r="AV5901" i="1"/>
  <c r="AW5900" i="1"/>
  <c r="AV5900" i="1"/>
  <c r="AW5899" i="1"/>
  <c r="AV5899" i="1"/>
  <c r="AW5898" i="1"/>
  <c r="AV5898" i="1"/>
  <c r="AW5897" i="1"/>
  <c r="AV5897" i="1"/>
  <c r="AW5896" i="1"/>
  <c r="AV5896" i="1"/>
  <c r="AW5895" i="1"/>
  <c r="AV5895" i="1"/>
  <c r="AW5894" i="1"/>
  <c r="AV5894" i="1"/>
  <c r="AW5893" i="1"/>
  <c r="AV5893" i="1"/>
  <c r="AW5892" i="1"/>
  <c r="AV5892" i="1"/>
  <c r="AW5891" i="1"/>
  <c r="AV5891" i="1"/>
  <c r="AW5890" i="1"/>
  <c r="AV5890" i="1"/>
  <c r="AW5889" i="1"/>
  <c r="AV5889" i="1"/>
  <c r="AW5888" i="1"/>
  <c r="AV5888" i="1"/>
  <c r="AW5887" i="1"/>
  <c r="AV5887" i="1"/>
  <c r="AW5886" i="1"/>
  <c r="AV5886" i="1"/>
  <c r="AW5885" i="1"/>
  <c r="AV5885" i="1"/>
  <c r="AW5884" i="1"/>
  <c r="AV5884" i="1"/>
  <c r="AW5883" i="1"/>
  <c r="AV5883" i="1"/>
  <c r="AW5882" i="1"/>
  <c r="AV5882" i="1"/>
  <c r="AW5881" i="1"/>
  <c r="AV5881" i="1"/>
  <c r="AW5880" i="1"/>
  <c r="AV5880" i="1"/>
  <c r="AW5879" i="1"/>
  <c r="AV5879" i="1"/>
  <c r="AW5878" i="1"/>
  <c r="AV5878" i="1"/>
  <c r="AW5877" i="1"/>
  <c r="AV5877" i="1"/>
  <c r="AW5876" i="1"/>
  <c r="AV5876" i="1"/>
  <c r="AW5875" i="1"/>
  <c r="AV5875" i="1"/>
  <c r="AW5874" i="1"/>
  <c r="AV5874" i="1"/>
  <c r="AW5873" i="1"/>
  <c r="AV5873" i="1"/>
  <c r="AW5872" i="1"/>
  <c r="AV5872" i="1"/>
  <c r="AW5871" i="1"/>
  <c r="AV5871" i="1"/>
  <c r="AW5870" i="1"/>
  <c r="AV5870" i="1"/>
  <c r="AW5869" i="1"/>
  <c r="AV5869" i="1"/>
  <c r="AW5868" i="1"/>
  <c r="AV5868" i="1"/>
  <c r="AW5867" i="1"/>
  <c r="AV5867" i="1"/>
  <c r="AW5866" i="1"/>
  <c r="AV5866" i="1"/>
  <c r="AW5865" i="1"/>
  <c r="AV5865" i="1"/>
  <c r="AW5864" i="1"/>
  <c r="AV5864" i="1"/>
  <c r="AW5863" i="1"/>
  <c r="AV5863" i="1"/>
  <c r="AW5862" i="1"/>
  <c r="AV5862" i="1"/>
  <c r="AW5861" i="1"/>
  <c r="AV5861" i="1"/>
  <c r="AW5860" i="1"/>
  <c r="AV5860" i="1"/>
  <c r="AW5859" i="1"/>
  <c r="AV5859" i="1"/>
  <c r="AW5858" i="1"/>
  <c r="AV5858" i="1"/>
  <c r="AW5857" i="1"/>
  <c r="AV5857" i="1"/>
  <c r="AW5856" i="1"/>
  <c r="AV5856" i="1"/>
  <c r="AW5855" i="1"/>
  <c r="AV5855" i="1"/>
  <c r="AW5854" i="1"/>
  <c r="AV5854" i="1"/>
  <c r="AW5853" i="1"/>
  <c r="AV5853" i="1"/>
  <c r="AW5852" i="1"/>
  <c r="AV5852" i="1"/>
  <c r="AW5851" i="1"/>
  <c r="AV5851" i="1"/>
  <c r="AW5850" i="1"/>
  <c r="AV5850" i="1"/>
  <c r="AW5849" i="1"/>
  <c r="AV5849" i="1"/>
  <c r="AW5848" i="1"/>
  <c r="AV5848" i="1"/>
  <c r="AW5847" i="1"/>
  <c r="AV5847" i="1"/>
  <c r="AW5846" i="1"/>
  <c r="AV5846" i="1"/>
  <c r="AW5845" i="1"/>
  <c r="AV5845" i="1"/>
  <c r="AW5844" i="1"/>
  <c r="AV5844" i="1"/>
  <c r="AW5843" i="1"/>
  <c r="AV5843" i="1"/>
  <c r="AW5842" i="1"/>
  <c r="AV5842" i="1"/>
  <c r="AW5841" i="1"/>
  <c r="AV5841" i="1"/>
  <c r="AW5840" i="1"/>
  <c r="AV5840" i="1"/>
  <c r="AW5839" i="1"/>
  <c r="AV5839" i="1"/>
  <c r="AW5838" i="1"/>
  <c r="AV5838" i="1"/>
  <c r="AW5837" i="1"/>
  <c r="AV5837" i="1"/>
  <c r="AW5836" i="1"/>
  <c r="AV5836" i="1"/>
  <c r="AW5835" i="1"/>
  <c r="AV5835" i="1"/>
  <c r="AW5834" i="1"/>
  <c r="AV5834" i="1"/>
  <c r="AW5833" i="1"/>
  <c r="AV5833" i="1"/>
  <c r="AW5832" i="1"/>
  <c r="AV5832" i="1"/>
  <c r="AW5831" i="1"/>
  <c r="AV5831" i="1"/>
  <c r="AW5830" i="1"/>
  <c r="AV5830" i="1"/>
  <c r="AW5829" i="1"/>
  <c r="AV5829" i="1"/>
  <c r="AW5828" i="1"/>
  <c r="AV5828" i="1"/>
  <c r="AW5827" i="1"/>
  <c r="AV5827" i="1"/>
  <c r="AW5826" i="1"/>
  <c r="AV5826" i="1"/>
  <c r="AW5825" i="1"/>
  <c r="AV5825" i="1"/>
  <c r="AW5824" i="1"/>
  <c r="AV5824" i="1"/>
  <c r="AW5823" i="1"/>
  <c r="AV5823" i="1"/>
  <c r="AW5822" i="1"/>
  <c r="AV5822" i="1"/>
  <c r="AW5821" i="1"/>
  <c r="AV5821" i="1"/>
  <c r="AW5820" i="1"/>
  <c r="AV5820" i="1"/>
  <c r="AW5819" i="1"/>
  <c r="AV5819" i="1"/>
  <c r="AW5818" i="1"/>
  <c r="AV5818" i="1"/>
  <c r="AW5817" i="1"/>
  <c r="AV5817" i="1"/>
  <c r="AW5816" i="1"/>
  <c r="AV5816" i="1"/>
  <c r="AW5815" i="1"/>
  <c r="AV5815" i="1"/>
  <c r="AW5814" i="1"/>
  <c r="AV5814" i="1"/>
  <c r="AW5813" i="1"/>
  <c r="AV5813" i="1"/>
  <c r="AW5812" i="1"/>
  <c r="AV5812" i="1"/>
  <c r="AW5811" i="1"/>
  <c r="AV5811" i="1"/>
  <c r="AW5810" i="1"/>
  <c r="AV5810" i="1"/>
  <c r="AW5809" i="1"/>
  <c r="AV5809" i="1"/>
  <c r="AW5808" i="1"/>
  <c r="AV5808" i="1"/>
  <c r="AW5807" i="1"/>
  <c r="AV5807" i="1"/>
  <c r="AW5806" i="1"/>
  <c r="AV5806" i="1"/>
  <c r="AW5805" i="1"/>
  <c r="AV5805" i="1"/>
  <c r="AW5804" i="1"/>
  <c r="AV5804" i="1"/>
  <c r="AW5803" i="1"/>
  <c r="AV5803" i="1"/>
  <c r="AW5802" i="1"/>
  <c r="AV5802" i="1"/>
  <c r="AW5801" i="1"/>
  <c r="AV5801" i="1"/>
  <c r="AW5800" i="1"/>
  <c r="AV5800" i="1"/>
  <c r="AU5800" i="1"/>
  <c r="AW5799" i="1"/>
  <c r="AV5799" i="1"/>
  <c r="AU5799" i="1"/>
  <c r="AW5798" i="1"/>
  <c r="AV5798" i="1"/>
  <c r="AW5797" i="1"/>
  <c r="AV5797" i="1"/>
  <c r="AW5796" i="1"/>
  <c r="AV5796" i="1"/>
  <c r="AW5795" i="1"/>
  <c r="AV5795" i="1"/>
  <c r="AW5794" i="1"/>
  <c r="AV5794" i="1"/>
  <c r="AW5793" i="1"/>
  <c r="AV5793" i="1"/>
  <c r="AU5793" i="1"/>
  <c r="AW5792" i="1"/>
  <c r="AV5792" i="1"/>
  <c r="AW5791" i="1"/>
  <c r="AV5791" i="1"/>
  <c r="AU5791" i="1"/>
  <c r="AW5790" i="1"/>
  <c r="AV5790" i="1"/>
  <c r="AW5789" i="1"/>
  <c r="AV5789" i="1"/>
  <c r="AW5788" i="1"/>
  <c r="AV5788" i="1"/>
  <c r="AW5787" i="1"/>
  <c r="AV5787" i="1"/>
  <c r="AW5786" i="1"/>
  <c r="AV5786" i="1"/>
  <c r="AW5785" i="1"/>
  <c r="AV5785" i="1"/>
  <c r="AW5784" i="1"/>
  <c r="AV5784" i="1"/>
  <c r="AW5783" i="1"/>
  <c r="AV5783" i="1"/>
  <c r="AW5782" i="1"/>
  <c r="AV5782" i="1"/>
  <c r="AU5782" i="1"/>
  <c r="AW5781" i="1"/>
  <c r="AV5781" i="1"/>
  <c r="AW5780" i="1"/>
  <c r="AV5780" i="1"/>
  <c r="AU5780" i="1"/>
  <c r="AW5779" i="1"/>
  <c r="AV5779" i="1"/>
  <c r="AW5778" i="1"/>
  <c r="AV5778" i="1"/>
  <c r="AW5777" i="1"/>
  <c r="AV5777" i="1"/>
  <c r="AW5776" i="1"/>
  <c r="AV5776" i="1"/>
  <c r="AW5775" i="1"/>
  <c r="AV5775" i="1"/>
  <c r="AU5775" i="1"/>
  <c r="AW5774" i="1"/>
  <c r="AV5774" i="1"/>
  <c r="AU5774" i="1"/>
  <c r="AW5773" i="1"/>
  <c r="AV5773" i="1"/>
  <c r="AU5773" i="1"/>
  <c r="AW5772" i="1"/>
  <c r="AV5772" i="1"/>
  <c r="AU5772" i="1"/>
  <c r="AW5771" i="1"/>
  <c r="AV5771" i="1"/>
  <c r="AU5771" i="1"/>
  <c r="AW5770" i="1"/>
  <c r="AV5770" i="1"/>
  <c r="AU5770" i="1"/>
  <c r="AW5769" i="1"/>
  <c r="AV5769" i="1"/>
  <c r="AU5769" i="1"/>
  <c r="AW5768" i="1"/>
  <c r="AV5768" i="1"/>
  <c r="AU5768" i="1"/>
  <c r="AW5767" i="1"/>
  <c r="AV5767" i="1"/>
  <c r="AU5767" i="1"/>
  <c r="AW5766" i="1"/>
  <c r="AV5766" i="1"/>
  <c r="AU5766" i="1"/>
  <c r="AW5765" i="1"/>
  <c r="AV5765" i="1"/>
  <c r="AU5765" i="1"/>
  <c r="AW5764" i="1"/>
  <c r="AV5764" i="1"/>
  <c r="AU5764" i="1"/>
  <c r="AW5763" i="1"/>
  <c r="AV5763" i="1"/>
  <c r="AU5763" i="1"/>
  <c r="AW5762" i="1"/>
  <c r="AV5762" i="1"/>
  <c r="AU5762" i="1"/>
  <c r="AW5761" i="1"/>
  <c r="AV5761" i="1"/>
  <c r="AU5761" i="1"/>
  <c r="AW5760" i="1"/>
  <c r="AV5760" i="1"/>
  <c r="AU5760" i="1"/>
  <c r="AW5759" i="1"/>
  <c r="AV5759" i="1"/>
  <c r="AU5759" i="1"/>
  <c r="AW5758" i="1"/>
  <c r="AV5758" i="1"/>
  <c r="AW5757" i="1"/>
  <c r="AV5757" i="1"/>
  <c r="AW5756" i="1"/>
  <c r="AV5756" i="1"/>
  <c r="AW5755" i="1"/>
  <c r="AV5755" i="1"/>
  <c r="AW5754" i="1"/>
  <c r="AV5754" i="1"/>
  <c r="AU5754" i="1"/>
  <c r="AW5753" i="1"/>
  <c r="AV5753" i="1"/>
  <c r="AU5753" i="1"/>
  <c r="AW5752" i="1"/>
  <c r="AV5752" i="1"/>
  <c r="AW5751" i="1"/>
  <c r="AV5751" i="1"/>
  <c r="AW5750" i="1"/>
  <c r="AV5750" i="1"/>
  <c r="AU5750" i="1"/>
  <c r="AW5749" i="1"/>
  <c r="AV5749" i="1"/>
  <c r="AU5749" i="1"/>
  <c r="AW5748" i="1"/>
  <c r="AV5748" i="1"/>
  <c r="AU5748" i="1"/>
  <c r="AW5747" i="1"/>
  <c r="AV5747" i="1"/>
  <c r="AW5746" i="1"/>
  <c r="AV5746" i="1"/>
  <c r="AW5745" i="1"/>
  <c r="AV5745" i="1"/>
  <c r="AW5744" i="1"/>
  <c r="AV5744" i="1"/>
  <c r="AW5743" i="1"/>
  <c r="AV5743" i="1"/>
  <c r="AW5742" i="1"/>
  <c r="AV5742" i="1"/>
  <c r="AW5741" i="1"/>
  <c r="AV5741" i="1"/>
  <c r="AW5740" i="1"/>
  <c r="AV5740" i="1"/>
  <c r="AW5739" i="1"/>
  <c r="AV5739" i="1"/>
  <c r="AW5738" i="1"/>
  <c r="AV5738" i="1"/>
  <c r="AW5737" i="1"/>
  <c r="AV5737" i="1"/>
  <c r="AW5736" i="1"/>
  <c r="AV5736" i="1"/>
  <c r="AU5736" i="1"/>
  <c r="AW5735" i="1"/>
  <c r="AV5735" i="1"/>
  <c r="AU5735" i="1"/>
  <c r="AW5734" i="1"/>
  <c r="AV5734" i="1"/>
  <c r="AW5733" i="1"/>
  <c r="AV5733" i="1"/>
  <c r="AW5732" i="1"/>
  <c r="AV5732" i="1"/>
  <c r="AW5731" i="1"/>
  <c r="AV5731" i="1"/>
  <c r="AW5730" i="1"/>
  <c r="AV5730" i="1"/>
  <c r="AU5730" i="1"/>
  <c r="AW5729" i="1"/>
  <c r="AV5729" i="1"/>
  <c r="AU5729" i="1"/>
  <c r="AW5728" i="1"/>
  <c r="AV5728" i="1"/>
  <c r="AU5728" i="1"/>
  <c r="AW5727" i="1"/>
  <c r="AV5727" i="1"/>
  <c r="AW5726" i="1"/>
  <c r="AV5726" i="1"/>
  <c r="AU5726" i="1"/>
  <c r="AW5725" i="1"/>
  <c r="AV5725" i="1"/>
  <c r="AW5724" i="1"/>
  <c r="AV5724" i="1"/>
  <c r="AU5724" i="1"/>
  <c r="AW5723" i="1"/>
  <c r="AV5723" i="1"/>
  <c r="AU5723" i="1"/>
  <c r="AW5722" i="1"/>
  <c r="AV5722" i="1"/>
  <c r="AU5722" i="1"/>
  <c r="AW5721" i="1"/>
  <c r="AV5721" i="1"/>
  <c r="AW5720" i="1"/>
  <c r="AV5720" i="1"/>
  <c r="AU5720" i="1"/>
  <c r="AW5719" i="1"/>
  <c r="AV5719" i="1"/>
  <c r="AU5719" i="1"/>
  <c r="AW5718" i="1"/>
  <c r="AV5718" i="1"/>
  <c r="AU5718" i="1"/>
  <c r="AW5717" i="1"/>
  <c r="AV5717" i="1"/>
  <c r="AU5717" i="1"/>
  <c r="AW5716" i="1"/>
  <c r="AV5716" i="1"/>
  <c r="AW5715" i="1"/>
  <c r="AV5715" i="1"/>
  <c r="AW5714" i="1"/>
  <c r="AV5714" i="1"/>
  <c r="AW5713" i="1"/>
  <c r="AV5713" i="1"/>
  <c r="AW5712" i="1"/>
  <c r="AV5712" i="1"/>
  <c r="AW5711" i="1"/>
  <c r="AV5711" i="1"/>
  <c r="AU5711" i="1"/>
  <c r="AW5710" i="1"/>
  <c r="AV5710" i="1"/>
  <c r="AW5709" i="1"/>
  <c r="AV5709" i="1"/>
  <c r="AW5708" i="1"/>
  <c r="AV5708" i="1"/>
  <c r="AW5707" i="1"/>
  <c r="AV5707" i="1"/>
  <c r="AW5706" i="1"/>
  <c r="AV5706" i="1"/>
  <c r="AW5705" i="1"/>
  <c r="AV5705" i="1"/>
  <c r="AW5704" i="1"/>
  <c r="AV5704" i="1"/>
  <c r="AW5703" i="1"/>
  <c r="AV5703" i="1"/>
  <c r="AW5702" i="1"/>
  <c r="AV5702" i="1"/>
  <c r="AW5701" i="1"/>
  <c r="AV5701" i="1"/>
  <c r="AW5700" i="1"/>
  <c r="AV5700" i="1"/>
  <c r="AW5699" i="1"/>
  <c r="AV5699" i="1"/>
  <c r="AW5698" i="1"/>
  <c r="AV5698" i="1"/>
  <c r="AW5697" i="1"/>
  <c r="AV5697" i="1"/>
  <c r="AW5696" i="1"/>
  <c r="AV5696" i="1"/>
  <c r="AW5695" i="1"/>
  <c r="AV5695" i="1"/>
  <c r="AW5694" i="1"/>
  <c r="AV5694" i="1"/>
  <c r="AW5693" i="1"/>
  <c r="AV5693" i="1"/>
  <c r="AW5692" i="1"/>
  <c r="AV5692" i="1"/>
  <c r="AU5692" i="1"/>
  <c r="AW5691" i="1"/>
  <c r="AV5691" i="1"/>
  <c r="AU5691" i="1"/>
  <c r="AW5690" i="1"/>
  <c r="AV5690" i="1"/>
  <c r="AU5690" i="1"/>
  <c r="AW5689" i="1"/>
  <c r="AV5689" i="1"/>
  <c r="AU5689" i="1"/>
  <c r="AW5688" i="1"/>
  <c r="AV5688" i="1"/>
  <c r="AW5687" i="1"/>
  <c r="AV5687" i="1"/>
  <c r="AU5687" i="1"/>
  <c r="AW5686" i="1"/>
  <c r="AV5686" i="1"/>
  <c r="AW5685" i="1"/>
  <c r="AV5685" i="1"/>
  <c r="AW5684" i="1"/>
  <c r="AV5684" i="1"/>
  <c r="AW5683" i="1"/>
  <c r="AV5683" i="1"/>
  <c r="AW5682" i="1"/>
  <c r="AV5682" i="1"/>
  <c r="AW5681" i="1"/>
  <c r="AV5681" i="1"/>
  <c r="AW5680" i="1"/>
  <c r="AV5680" i="1"/>
  <c r="AW5679" i="1"/>
  <c r="AV5679" i="1"/>
  <c r="AW5678" i="1"/>
  <c r="AV5678" i="1"/>
  <c r="AW5677" i="1"/>
  <c r="AV5677" i="1"/>
  <c r="AW5676" i="1"/>
  <c r="AV5676" i="1"/>
  <c r="AW5675" i="1"/>
  <c r="AV5675" i="1"/>
  <c r="AU5675" i="1"/>
  <c r="AW5674" i="1"/>
  <c r="AV5674" i="1"/>
  <c r="AW5673" i="1"/>
  <c r="AV5673" i="1"/>
  <c r="AU5673" i="1"/>
  <c r="AW5672" i="1"/>
  <c r="AV5672" i="1"/>
  <c r="AW5671" i="1"/>
  <c r="AV5671" i="1"/>
  <c r="AW5670" i="1"/>
  <c r="AV5670" i="1"/>
  <c r="AW5669" i="1"/>
  <c r="AV5669" i="1"/>
  <c r="AW5668" i="1"/>
  <c r="AV5668" i="1"/>
  <c r="AW5667" i="1"/>
  <c r="AV5667" i="1"/>
  <c r="AW5666" i="1"/>
  <c r="AV5666" i="1"/>
  <c r="AW5665" i="1"/>
  <c r="AV5665" i="1"/>
  <c r="AW5664" i="1"/>
  <c r="AV5664" i="1"/>
  <c r="AW5663" i="1"/>
  <c r="AV5663" i="1"/>
  <c r="AW5662" i="1"/>
  <c r="AV5662" i="1"/>
  <c r="AW5661" i="1"/>
  <c r="AV5661" i="1"/>
  <c r="AW5660" i="1"/>
  <c r="AV5660" i="1"/>
  <c r="AU5660" i="1"/>
  <c r="AW5659" i="1"/>
  <c r="AV5659" i="1"/>
  <c r="AW5658" i="1"/>
  <c r="AV5658" i="1"/>
  <c r="AW5657" i="1"/>
  <c r="AV5657" i="1"/>
  <c r="AW5656" i="1"/>
  <c r="AV5656" i="1"/>
  <c r="AU5656" i="1"/>
  <c r="AW5655" i="1"/>
  <c r="AV5655" i="1"/>
  <c r="AW5654" i="1"/>
  <c r="AV5654" i="1"/>
  <c r="AU5654" i="1"/>
  <c r="AW5653" i="1"/>
  <c r="AV5653" i="1"/>
  <c r="AU5653" i="1"/>
  <c r="AW5652" i="1"/>
  <c r="AV5652" i="1"/>
  <c r="AU5652" i="1"/>
  <c r="AW5651" i="1"/>
  <c r="AV5651" i="1"/>
  <c r="AW5650" i="1"/>
  <c r="AV5650" i="1"/>
  <c r="AW5649" i="1"/>
  <c r="AV5649" i="1"/>
  <c r="AW5648" i="1"/>
  <c r="AV5648" i="1"/>
  <c r="AW5647" i="1"/>
  <c r="AV5647" i="1"/>
  <c r="AW5646" i="1"/>
  <c r="AV5646" i="1"/>
  <c r="AW5645" i="1"/>
  <c r="AV5645" i="1"/>
  <c r="AW5644" i="1"/>
  <c r="AV5644" i="1"/>
  <c r="AW5643" i="1"/>
  <c r="AV5643" i="1"/>
  <c r="AW5642" i="1"/>
  <c r="AV5642" i="1"/>
  <c r="AW5641" i="1"/>
  <c r="AV5641" i="1"/>
  <c r="AW5640" i="1"/>
  <c r="AV5640" i="1"/>
  <c r="AW5639" i="1"/>
  <c r="AV5639" i="1"/>
  <c r="AW5638" i="1"/>
  <c r="AV5638" i="1"/>
  <c r="AW5637" i="1"/>
  <c r="AV5637" i="1"/>
  <c r="AU5637" i="1"/>
  <c r="AW5636" i="1"/>
  <c r="AV5636" i="1"/>
  <c r="AU5636" i="1"/>
  <c r="AW5635" i="1"/>
  <c r="AV5635" i="1"/>
  <c r="AU5635" i="1"/>
  <c r="AW5634" i="1"/>
  <c r="AV5634" i="1"/>
  <c r="AU5634" i="1"/>
  <c r="AW5633" i="1"/>
  <c r="AV5633" i="1"/>
  <c r="AU5633" i="1"/>
  <c r="AW5632" i="1"/>
  <c r="AV5632" i="1"/>
  <c r="AU5632" i="1"/>
  <c r="AW5631" i="1"/>
  <c r="AV5631" i="1"/>
  <c r="AU5631" i="1"/>
  <c r="AW5630" i="1"/>
  <c r="AV5630" i="1"/>
  <c r="AU5630" i="1"/>
  <c r="AW5629" i="1"/>
  <c r="AV5629" i="1"/>
  <c r="AU5629" i="1"/>
  <c r="AW5628" i="1"/>
  <c r="AV5628" i="1"/>
  <c r="AU5628" i="1"/>
  <c r="AW5627" i="1"/>
  <c r="AV5627" i="1"/>
  <c r="AU5627" i="1"/>
  <c r="AW5626" i="1"/>
  <c r="AV5626" i="1"/>
  <c r="AU5626" i="1"/>
  <c r="AW5625" i="1"/>
  <c r="AV5625" i="1"/>
  <c r="AU5625" i="1"/>
  <c r="AW5624" i="1"/>
  <c r="AV5624" i="1"/>
  <c r="AU5624" i="1"/>
  <c r="AW5623" i="1"/>
  <c r="AV5623" i="1"/>
  <c r="AU5623" i="1"/>
  <c r="AW5622" i="1"/>
  <c r="AV5622" i="1"/>
  <c r="AU5622" i="1"/>
  <c r="AW5621" i="1"/>
  <c r="AV5621" i="1"/>
  <c r="AU5621" i="1"/>
  <c r="AW5620" i="1"/>
  <c r="AV5620" i="1"/>
  <c r="AU5620" i="1"/>
  <c r="AW5619" i="1"/>
  <c r="AV5619" i="1"/>
  <c r="AU5619" i="1"/>
  <c r="AW5618" i="1"/>
  <c r="AV5618" i="1"/>
  <c r="AU5618" i="1"/>
  <c r="AW5617" i="1"/>
  <c r="AV5617" i="1"/>
  <c r="AU5617" i="1"/>
  <c r="AW5616" i="1"/>
  <c r="AV5616" i="1"/>
  <c r="AU5616" i="1"/>
  <c r="AW5615" i="1"/>
  <c r="AV5615" i="1"/>
  <c r="AU5615" i="1"/>
  <c r="AW5614" i="1"/>
  <c r="AV5614" i="1"/>
  <c r="AU5614" i="1"/>
  <c r="AW5613" i="1"/>
  <c r="AV5613" i="1"/>
  <c r="AU5613" i="1"/>
  <c r="AW5612" i="1"/>
  <c r="AV5612" i="1"/>
  <c r="AU5612" i="1"/>
  <c r="AW5611" i="1"/>
  <c r="AV5611" i="1"/>
  <c r="AU5611" i="1"/>
  <c r="AW5610" i="1"/>
  <c r="AV5610" i="1"/>
  <c r="AU5610" i="1"/>
  <c r="AW5609" i="1"/>
  <c r="AV5609" i="1"/>
  <c r="AU5609" i="1"/>
  <c r="AW5608" i="1"/>
  <c r="AV5608" i="1"/>
  <c r="AU5608" i="1"/>
  <c r="AW5607" i="1"/>
  <c r="AV5607" i="1"/>
  <c r="AU5607" i="1"/>
  <c r="AW5606" i="1"/>
  <c r="AV5606" i="1"/>
  <c r="AU5606" i="1"/>
  <c r="AW5605" i="1"/>
  <c r="AV5605" i="1"/>
  <c r="AU5605" i="1"/>
  <c r="AW5604" i="1"/>
  <c r="AV5604" i="1"/>
  <c r="AU5604" i="1"/>
  <c r="AW5603" i="1"/>
  <c r="AV5603" i="1"/>
  <c r="AU5603" i="1"/>
  <c r="AW5602" i="1"/>
  <c r="AV5602" i="1"/>
  <c r="AU5602" i="1"/>
  <c r="AW5601" i="1"/>
  <c r="AV5601" i="1"/>
  <c r="AU5601" i="1"/>
  <c r="AW5600" i="1"/>
  <c r="AV5600" i="1"/>
  <c r="AU5600" i="1"/>
  <c r="AW5599" i="1"/>
  <c r="AV5599" i="1"/>
  <c r="AU5599" i="1"/>
  <c r="AW5598" i="1"/>
  <c r="AV5598" i="1"/>
  <c r="AU5598" i="1"/>
  <c r="AW5597" i="1"/>
  <c r="AV5597" i="1"/>
  <c r="AU5597" i="1"/>
  <c r="AW5596" i="1"/>
  <c r="AV5596" i="1"/>
  <c r="AU5596" i="1"/>
  <c r="AW5595" i="1"/>
  <c r="AV5595" i="1"/>
  <c r="AU5595" i="1"/>
  <c r="AW5594" i="1"/>
  <c r="AV5594" i="1"/>
  <c r="AU5594" i="1"/>
  <c r="AW5593" i="1"/>
  <c r="AV5593" i="1"/>
  <c r="AU5593" i="1"/>
  <c r="AW5592" i="1"/>
  <c r="AV5592" i="1"/>
  <c r="AU5592" i="1"/>
  <c r="AW5591" i="1"/>
  <c r="AV5591" i="1"/>
  <c r="AU5591" i="1"/>
  <c r="AW5590" i="1"/>
  <c r="AV5590" i="1"/>
  <c r="AU5590" i="1"/>
  <c r="AW5589" i="1"/>
  <c r="AV5589" i="1"/>
  <c r="AU5589" i="1"/>
  <c r="AW5588" i="1"/>
  <c r="AV5588" i="1"/>
  <c r="AU5588" i="1"/>
  <c r="AW5587" i="1"/>
  <c r="AV5587" i="1"/>
  <c r="AW5586" i="1"/>
  <c r="AV5586" i="1"/>
  <c r="AU5586" i="1"/>
  <c r="AW5585" i="1"/>
  <c r="AV5585" i="1"/>
  <c r="AU5585" i="1"/>
  <c r="AW5584" i="1"/>
  <c r="AV5584" i="1"/>
  <c r="AW5583" i="1"/>
  <c r="AV5583" i="1"/>
  <c r="AU5583" i="1"/>
  <c r="AW5582" i="1"/>
  <c r="AV5582" i="1"/>
  <c r="AU5582" i="1"/>
  <c r="AW5581" i="1"/>
  <c r="AV5581" i="1"/>
  <c r="AU5581" i="1"/>
  <c r="AW5580" i="1"/>
  <c r="AV5580" i="1"/>
  <c r="AW5579" i="1"/>
  <c r="AV5579" i="1"/>
  <c r="AW5578" i="1"/>
  <c r="AV5578" i="1"/>
  <c r="AW5577" i="1"/>
  <c r="AV5577" i="1"/>
  <c r="AW5576" i="1"/>
  <c r="AV5576" i="1"/>
  <c r="AW5575" i="1"/>
  <c r="AV5575" i="1"/>
  <c r="AW5574" i="1"/>
  <c r="AV5574" i="1"/>
  <c r="AU5574" i="1"/>
  <c r="AW5573" i="1"/>
  <c r="AV5573" i="1"/>
  <c r="AU5573" i="1"/>
  <c r="AW5572" i="1"/>
  <c r="AV5572" i="1"/>
  <c r="AW5571" i="1"/>
  <c r="AV5571" i="1"/>
  <c r="AU5571" i="1"/>
  <c r="AW5570" i="1"/>
  <c r="AV5570" i="1"/>
  <c r="AU5570" i="1"/>
  <c r="AW5569" i="1"/>
  <c r="AV5569" i="1"/>
  <c r="AU5569" i="1"/>
  <c r="AW5568" i="1"/>
  <c r="AV5568" i="1"/>
  <c r="AU5568" i="1"/>
  <c r="AW5567" i="1"/>
  <c r="AV5567" i="1"/>
  <c r="AW5566" i="1"/>
  <c r="AV5566" i="1"/>
  <c r="AW5565" i="1"/>
  <c r="AV5565" i="1"/>
  <c r="AW5564" i="1"/>
  <c r="AV5564" i="1"/>
  <c r="AW5563" i="1"/>
  <c r="AV5563" i="1"/>
  <c r="AW5562" i="1"/>
  <c r="AV5562" i="1"/>
  <c r="AW5561" i="1"/>
  <c r="AV5561" i="1"/>
  <c r="AW5560" i="1"/>
  <c r="AV5560" i="1"/>
  <c r="AW5559" i="1"/>
  <c r="AV5559" i="1"/>
  <c r="AW5558" i="1"/>
  <c r="AV5558" i="1"/>
  <c r="AW5557" i="1"/>
  <c r="AV5557" i="1"/>
  <c r="AW5556" i="1"/>
  <c r="AV5556" i="1"/>
  <c r="AU5556" i="1"/>
  <c r="AW5555" i="1"/>
  <c r="AV5555" i="1"/>
  <c r="AU5555" i="1"/>
  <c r="AW5554" i="1"/>
  <c r="AV5554" i="1"/>
  <c r="AW5553" i="1"/>
  <c r="AV5553" i="1"/>
  <c r="AW5552" i="1"/>
  <c r="AV5552" i="1"/>
  <c r="AU5552" i="1"/>
  <c r="AW5551" i="1"/>
  <c r="AV5551" i="1"/>
  <c r="AW5550" i="1"/>
  <c r="AV5550" i="1"/>
  <c r="AU5550" i="1"/>
  <c r="AW5549" i="1"/>
  <c r="AV5549" i="1"/>
  <c r="AW5548" i="1"/>
  <c r="AV5548" i="1"/>
  <c r="AU5548" i="1"/>
  <c r="AW5547" i="1"/>
  <c r="AV5547" i="1"/>
  <c r="AU5547" i="1"/>
  <c r="AW5546" i="1"/>
  <c r="AV5546" i="1"/>
  <c r="AW5545" i="1"/>
  <c r="AV5545" i="1"/>
  <c r="AW5544" i="1"/>
  <c r="AV5544" i="1"/>
  <c r="AW5543" i="1"/>
  <c r="AV5543" i="1"/>
  <c r="AU5543" i="1"/>
  <c r="AW5542" i="1"/>
  <c r="AV5542" i="1"/>
  <c r="AU5542" i="1"/>
  <c r="AW5541" i="1"/>
  <c r="AV5541" i="1"/>
  <c r="AU5541" i="1"/>
  <c r="AW5540" i="1"/>
  <c r="AV5540" i="1"/>
  <c r="AU5540" i="1"/>
  <c r="AW5539" i="1"/>
  <c r="AV5539" i="1"/>
  <c r="AU5539" i="1"/>
  <c r="AW5538" i="1"/>
  <c r="AV5538" i="1"/>
  <c r="AU5538" i="1"/>
  <c r="AW5537" i="1"/>
  <c r="AV5537" i="1"/>
  <c r="AU5537" i="1"/>
  <c r="AW5536" i="1"/>
  <c r="AV5536" i="1"/>
  <c r="AW5535" i="1"/>
  <c r="AV5535" i="1"/>
  <c r="AU5535" i="1"/>
  <c r="AW5534" i="1"/>
  <c r="AV5534" i="1"/>
  <c r="AU5534" i="1"/>
  <c r="AW5533" i="1"/>
  <c r="AV5533" i="1"/>
  <c r="AU5533" i="1"/>
  <c r="AW5532" i="1"/>
  <c r="AV5532" i="1"/>
  <c r="AU5532" i="1"/>
  <c r="AW5531" i="1"/>
  <c r="AV5531" i="1"/>
  <c r="AW5530" i="1"/>
  <c r="AV5530" i="1"/>
  <c r="AW5529" i="1"/>
  <c r="AV5529" i="1"/>
  <c r="AU5529" i="1"/>
  <c r="AW5528" i="1"/>
  <c r="AV5528" i="1"/>
  <c r="AU5528" i="1"/>
  <c r="AW5527" i="1"/>
  <c r="AV5527" i="1"/>
  <c r="AU5527" i="1"/>
  <c r="AW5526" i="1"/>
  <c r="AV5526" i="1"/>
  <c r="AW5525" i="1"/>
  <c r="AV5525" i="1"/>
  <c r="AW5524" i="1"/>
  <c r="AV5524" i="1"/>
  <c r="AW5523" i="1"/>
  <c r="AV5523" i="1"/>
  <c r="AW5522" i="1"/>
  <c r="AV5522" i="1"/>
  <c r="AW5521" i="1"/>
  <c r="AV5521" i="1"/>
  <c r="AW5520" i="1"/>
  <c r="AV5520" i="1"/>
  <c r="AW5519" i="1"/>
  <c r="AV5519" i="1"/>
  <c r="AW5518" i="1"/>
  <c r="AV5518" i="1"/>
  <c r="AW5517" i="1"/>
  <c r="AV5517" i="1"/>
  <c r="AW5516" i="1"/>
  <c r="AV5516" i="1"/>
  <c r="AW5515" i="1"/>
  <c r="AV5515" i="1"/>
  <c r="AW5514" i="1"/>
  <c r="AV5514" i="1"/>
  <c r="AW5513" i="1"/>
  <c r="AV5513" i="1"/>
  <c r="AW5512" i="1"/>
  <c r="AV5512" i="1"/>
  <c r="AW5511" i="1"/>
  <c r="AV5511" i="1"/>
  <c r="AW5510" i="1"/>
  <c r="AV5510" i="1"/>
  <c r="AW5509" i="1"/>
  <c r="AV5509" i="1"/>
  <c r="AW5508" i="1"/>
  <c r="AV5508" i="1"/>
  <c r="AW5507" i="1"/>
  <c r="AV5507" i="1"/>
  <c r="AW5506" i="1"/>
  <c r="AV5506" i="1"/>
  <c r="AW5505" i="1"/>
  <c r="AV5505" i="1"/>
  <c r="AW5504" i="1"/>
  <c r="AV5504" i="1"/>
  <c r="AW5503" i="1"/>
  <c r="AV5503" i="1"/>
  <c r="AW5502" i="1"/>
  <c r="AV5502" i="1"/>
  <c r="AW5501" i="1"/>
  <c r="AV5501" i="1"/>
  <c r="AW5500" i="1"/>
  <c r="AV5500" i="1"/>
  <c r="AU5500" i="1"/>
  <c r="AW5499" i="1"/>
  <c r="AV5499" i="1"/>
  <c r="AU5499" i="1"/>
  <c r="AW5498" i="1"/>
  <c r="AV5498" i="1"/>
  <c r="AW5497" i="1"/>
  <c r="AV5497" i="1"/>
  <c r="AU5497" i="1"/>
  <c r="AW5496" i="1"/>
  <c r="AV5496" i="1"/>
  <c r="AW5495" i="1"/>
  <c r="AV5495" i="1"/>
  <c r="AW5494" i="1"/>
  <c r="AV5494" i="1"/>
  <c r="AW5493" i="1"/>
  <c r="AV5493" i="1"/>
  <c r="AW5492" i="1"/>
  <c r="AV5492" i="1"/>
  <c r="AW5491" i="1"/>
  <c r="AV5491" i="1"/>
  <c r="AW5490" i="1"/>
  <c r="AV5490" i="1"/>
  <c r="AW5489" i="1"/>
  <c r="AV5489" i="1"/>
  <c r="AW5488" i="1"/>
  <c r="AV5488" i="1"/>
  <c r="AW5487" i="1"/>
  <c r="AV5487" i="1"/>
  <c r="AW5486" i="1"/>
  <c r="AV5486" i="1"/>
  <c r="AW5485" i="1"/>
  <c r="AV5485" i="1"/>
  <c r="AW5484" i="1"/>
  <c r="AV5484" i="1"/>
  <c r="AW5483" i="1"/>
  <c r="AV5483" i="1"/>
  <c r="AW5482" i="1"/>
  <c r="AV5482" i="1"/>
  <c r="AW5481" i="1"/>
  <c r="AV5481" i="1"/>
  <c r="AW5480" i="1"/>
  <c r="AV5480" i="1"/>
  <c r="AW5479" i="1"/>
  <c r="AV5479" i="1"/>
  <c r="AW5478" i="1"/>
  <c r="AV5478" i="1"/>
  <c r="AW5477" i="1"/>
  <c r="AV5477" i="1"/>
  <c r="AW5476" i="1"/>
  <c r="AV5476" i="1"/>
  <c r="AW5475" i="1"/>
  <c r="AV5475" i="1"/>
  <c r="AW5474" i="1"/>
  <c r="AV5474" i="1"/>
  <c r="AW5473" i="1"/>
  <c r="AV5473" i="1"/>
  <c r="AW5472" i="1"/>
  <c r="AV5472" i="1"/>
  <c r="AW5471" i="1"/>
  <c r="AV5471" i="1"/>
  <c r="AW5470" i="1"/>
  <c r="AV5470" i="1"/>
  <c r="AW5469" i="1"/>
  <c r="AV5469" i="1"/>
  <c r="AW5468" i="1"/>
  <c r="AV5468" i="1"/>
  <c r="AW5467" i="1"/>
  <c r="AV5467" i="1"/>
  <c r="AU5467" i="1"/>
  <c r="AW5466" i="1"/>
  <c r="AV5466" i="1"/>
  <c r="AU5466" i="1"/>
  <c r="AW5465" i="1"/>
  <c r="AV5465" i="1"/>
  <c r="AU5465" i="1"/>
  <c r="AW5464" i="1"/>
  <c r="AV5464" i="1"/>
  <c r="AU5464" i="1"/>
  <c r="AW5463" i="1"/>
  <c r="AV5463" i="1"/>
  <c r="AU5463" i="1"/>
  <c r="AW5462" i="1"/>
  <c r="AV5462" i="1"/>
  <c r="AW5461" i="1"/>
  <c r="AV5461" i="1"/>
  <c r="AW5460" i="1"/>
  <c r="AV5460" i="1"/>
  <c r="AW5459" i="1"/>
  <c r="AV5459" i="1"/>
  <c r="AU5459" i="1"/>
  <c r="AW5458" i="1"/>
  <c r="AV5458" i="1"/>
  <c r="AU5458" i="1"/>
  <c r="AW5457" i="1"/>
  <c r="AV5457" i="1"/>
  <c r="AU5457" i="1"/>
  <c r="AW5456" i="1"/>
  <c r="AV5456" i="1"/>
  <c r="AW5455" i="1"/>
  <c r="AV5455" i="1"/>
  <c r="AU5455" i="1"/>
  <c r="AW5454" i="1"/>
  <c r="AV5454" i="1"/>
  <c r="AW5453" i="1"/>
  <c r="AV5453" i="1"/>
  <c r="AW5452" i="1"/>
  <c r="AV5452" i="1"/>
  <c r="AW5451" i="1"/>
  <c r="AV5451" i="1"/>
  <c r="AW5450" i="1"/>
  <c r="AV5450" i="1"/>
  <c r="AW5449" i="1"/>
  <c r="AV5449" i="1"/>
  <c r="AW5448" i="1"/>
  <c r="AV5448" i="1"/>
  <c r="AW5447" i="1"/>
  <c r="AV5447" i="1"/>
  <c r="AU5447" i="1"/>
  <c r="AW5446" i="1"/>
  <c r="AV5446" i="1"/>
  <c r="AW5445" i="1"/>
  <c r="AV5445" i="1"/>
  <c r="AU5445" i="1"/>
  <c r="AW5444" i="1"/>
  <c r="AV5444" i="1"/>
  <c r="AW5443" i="1"/>
  <c r="AV5443" i="1"/>
  <c r="AW5442" i="1"/>
  <c r="AV5442" i="1"/>
  <c r="AU5442" i="1"/>
  <c r="AW5441" i="1"/>
  <c r="AV5441" i="1"/>
  <c r="AW5440" i="1"/>
  <c r="AV5440" i="1"/>
  <c r="AU5440" i="1"/>
  <c r="AW5439" i="1"/>
  <c r="AV5439" i="1"/>
  <c r="AW5438" i="1"/>
  <c r="AV5438" i="1"/>
  <c r="AW5437" i="1"/>
  <c r="AV5437" i="1"/>
  <c r="AU5437" i="1"/>
  <c r="AW5436" i="1"/>
  <c r="AV5436" i="1"/>
  <c r="AW5435" i="1"/>
  <c r="AV5435" i="1"/>
  <c r="AU5435" i="1"/>
  <c r="AW5434" i="1"/>
  <c r="AV5434" i="1"/>
  <c r="AU5434" i="1"/>
  <c r="AW5433" i="1"/>
  <c r="AV5433" i="1"/>
  <c r="AU5433" i="1"/>
  <c r="AW5432" i="1"/>
  <c r="AV5432" i="1"/>
  <c r="AW5431" i="1"/>
  <c r="AV5431" i="1"/>
  <c r="AU5431" i="1"/>
  <c r="AW5430" i="1"/>
  <c r="AV5430" i="1"/>
  <c r="AU5430" i="1"/>
  <c r="AW5429" i="1"/>
  <c r="AV5429" i="1"/>
  <c r="AU5429" i="1"/>
  <c r="AW5428" i="1"/>
  <c r="AV5428" i="1"/>
  <c r="AW5427" i="1"/>
  <c r="AV5427" i="1"/>
  <c r="AW5426" i="1"/>
  <c r="AV5426" i="1"/>
  <c r="AU5426" i="1"/>
  <c r="AW5425" i="1"/>
  <c r="AV5425" i="1"/>
  <c r="AU5425" i="1"/>
  <c r="AW5424" i="1"/>
  <c r="AV5424" i="1"/>
  <c r="AU5424" i="1"/>
  <c r="AW5423" i="1"/>
  <c r="AV5423" i="1"/>
  <c r="AW5422" i="1"/>
  <c r="AV5422" i="1"/>
  <c r="AW5421" i="1"/>
  <c r="AV5421" i="1"/>
  <c r="AW5420" i="1"/>
  <c r="AV5420" i="1"/>
  <c r="AU5420" i="1"/>
  <c r="AW5419" i="1"/>
  <c r="AV5419" i="1"/>
  <c r="AW5418" i="1"/>
  <c r="AV5418" i="1"/>
  <c r="AU5418" i="1"/>
  <c r="AW5417" i="1"/>
  <c r="AV5417" i="1"/>
  <c r="AU5417" i="1"/>
  <c r="AW5416" i="1"/>
  <c r="AV5416" i="1"/>
  <c r="AU5416" i="1"/>
  <c r="AW5415" i="1"/>
  <c r="AV5415" i="1"/>
  <c r="AU5415" i="1"/>
  <c r="AW5414" i="1"/>
  <c r="AV5414" i="1"/>
  <c r="AU5414" i="1"/>
  <c r="AW5413" i="1"/>
  <c r="AV5413" i="1"/>
  <c r="AU5413" i="1"/>
  <c r="AW5412" i="1"/>
  <c r="AV5412" i="1"/>
  <c r="AW5411" i="1"/>
  <c r="AV5411" i="1"/>
  <c r="AU5411" i="1"/>
  <c r="AW5410" i="1"/>
  <c r="AV5410" i="1"/>
  <c r="AW5409" i="1"/>
  <c r="AV5409" i="1"/>
  <c r="AW5408" i="1"/>
  <c r="AV5408" i="1"/>
  <c r="AW5407" i="1"/>
  <c r="AV5407" i="1"/>
  <c r="AW5406" i="1"/>
  <c r="AV5406" i="1"/>
  <c r="AW5405" i="1"/>
  <c r="AV5405" i="1"/>
  <c r="AU5405" i="1"/>
  <c r="AW5404" i="1"/>
  <c r="AV5404" i="1"/>
  <c r="AU5404" i="1"/>
  <c r="AW5403" i="1"/>
  <c r="AV5403" i="1"/>
  <c r="AU5403" i="1"/>
  <c r="AW5402" i="1"/>
  <c r="AV5402" i="1"/>
  <c r="AW5401" i="1"/>
  <c r="AV5401" i="1"/>
  <c r="AU5401" i="1"/>
  <c r="AW5400" i="1"/>
  <c r="AV5400" i="1"/>
  <c r="AU5400" i="1"/>
  <c r="AW5399" i="1"/>
  <c r="AV5399" i="1"/>
  <c r="AU5399" i="1"/>
  <c r="AW5398" i="1"/>
  <c r="AV5398" i="1"/>
  <c r="AU5398" i="1"/>
  <c r="AW5397" i="1"/>
  <c r="AV5397" i="1"/>
  <c r="AU5397" i="1"/>
  <c r="AW5396" i="1"/>
  <c r="AV5396" i="1"/>
  <c r="AU5396" i="1"/>
  <c r="AW5395" i="1"/>
  <c r="AV5395" i="1"/>
  <c r="AU5395" i="1"/>
  <c r="AW5394" i="1"/>
  <c r="AV5394" i="1"/>
  <c r="AW5393" i="1"/>
  <c r="AV5393" i="1"/>
  <c r="AW5392" i="1"/>
  <c r="AV5392" i="1"/>
  <c r="AU5392" i="1"/>
  <c r="AW5391" i="1"/>
  <c r="AV5391" i="1"/>
  <c r="AU5391" i="1"/>
  <c r="AW5390" i="1"/>
  <c r="AV5390" i="1"/>
  <c r="AW5389" i="1"/>
  <c r="AV5389" i="1"/>
  <c r="AW5388" i="1"/>
  <c r="AV5388" i="1"/>
  <c r="AW5387" i="1"/>
  <c r="AV5387" i="1"/>
  <c r="AW5386" i="1"/>
  <c r="AV5386" i="1"/>
  <c r="AW5385" i="1"/>
  <c r="AV5385" i="1"/>
  <c r="AW5384" i="1"/>
  <c r="AV5384" i="1"/>
  <c r="AW5383" i="1"/>
  <c r="AV5383" i="1"/>
  <c r="AU5383" i="1"/>
  <c r="AW5382" i="1"/>
  <c r="AV5382" i="1"/>
  <c r="AU5382" i="1"/>
  <c r="AW5381" i="1"/>
  <c r="AV5381" i="1"/>
  <c r="AW5380" i="1"/>
  <c r="AV5380" i="1"/>
  <c r="AW5379" i="1"/>
  <c r="AV5379" i="1"/>
  <c r="AU5379" i="1"/>
  <c r="AW5378" i="1"/>
  <c r="AV5378" i="1"/>
  <c r="AU5378" i="1"/>
  <c r="AW5377" i="1"/>
  <c r="AV5377" i="1"/>
  <c r="AU5377" i="1"/>
  <c r="AW5376" i="1"/>
  <c r="AV5376" i="1"/>
  <c r="AU5376" i="1"/>
  <c r="AW5375" i="1"/>
  <c r="AV5375" i="1"/>
  <c r="AU5375" i="1"/>
  <c r="AW5374" i="1"/>
  <c r="AV5374" i="1"/>
  <c r="AU5374" i="1"/>
  <c r="AW5373" i="1"/>
  <c r="AV5373" i="1"/>
  <c r="AW5372" i="1"/>
  <c r="AV5372" i="1"/>
  <c r="AU5372" i="1"/>
  <c r="AW5371" i="1"/>
  <c r="AV5371" i="1"/>
  <c r="AU5371" i="1"/>
  <c r="AW5370" i="1"/>
  <c r="AV5370" i="1"/>
  <c r="AW5369" i="1"/>
  <c r="AV5369" i="1"/>
  <c r="AU5369" i="1"/>
  <c r="AW5368" i="1"/>
  <c r="AV5368" i="1"/>
  <c r="AW5367" i="1"/>
  <c r="AV5367" i="1"/>
  <c r="AW5366" i="1"/>
  <c r="AV5366" i="1"/>
  <c r="AU5366" i="1"/>
  <c r="AW5365" i="1"/>
  <c r="AV5365" i="1"/>
  <c r="AW5364" i="1"/>
  <c r="AV5364" i="1"/>
  <c r="AW5363" i="1"/>
  <c r="AV5363" i="1"/>
  <c r="AW5362" i="1"/>
  <c r="AV5362" i="1"/>
  <c r="AU5362" i="1"/>
  <c r="AW5361" i="1"/>
  <c r="AV5361" i="1"/>
  <c r="AW5360" i="1"/>
  <c r="AV5360" i="1"/>
  <c r="AU5360" i="1"/>
  <c r="AW5359" i="1"/>
  <c r="AV5359" i="1"/>
  <c r="AW5358" i="1"/>
  <c r="AV5358" i="1"/>
  <c r="AU5358" i="1"/>
  <c r="AW5357" i="1"/>
  <c r="AV5357" i="1"/>
  <c r="AW5356" i="1"/>
  <c r="AV5356" i="1"/>
  <c r="AW5355" i="1"/>
  <c r="AV5355" i="1"/>
  <c r="AW5354" i="1"/>
  <c r="AV5354" i="1"/>
  <c r="AW5353" i="1"/>
  <c r="AV5353" i="1"/>
  <c r="AW5352" i="1"/>
  <c r="AV5352" i="1"/>
  <c r="AW5351" i="1"/>
  <c r="AV5351" i="1"/>
  <c r="AW5350" i="1"/>
  <c r="AV5350" i="1"/>
  <c r="AW5349" i="1"/>
  <c r="AV5349" i="1"/>
  <c r="AU5349" i="1"/>
  <c r="AW5348" i="1"/>
  <c r="AV5348" i="1"/>
  <c r="AU5348" i="1"/>
  <c r="AW5347" i="1"/>
  <c r="AV5347" i="1"/>
  <c r="AU5347" i="1"/>
  <c r="AW5346" i="1"/>
  <c r="AV5346" i="1"/>
  <c r="AU5346" i="1"/>
  <c r="AW5345" i="1"/>
  <c r="AV5345" i="1"/>
  <c r="AW5344" i="1"/>
  <c r="AV5344" i="1"/>
  <c r="AW5343" i="1"/>
  <c r="AV5343" i="1"/>
  <c r="AU5343" i="1"/>
  <c r="AW5342" i="1"/>
  <c r="AV5342" i="1"/>
  <c r="AW5341" i="1"/>
  <c r="AV5341" i="1"/>
  <c r="AW5340" i="1"/>
  <c r="AV5340" i="1"/>
  <c r="AW5339" i="1"/>
  <c r="AV5339" i="1"/>
  <c r="AU5339" i="1"/>
  <c r="AW5338" i="1"/>
  <c r="AV5338" i="1"/>
  <c r="AW5337" i="1"/>
  <c r="AV5337" i="1"/>
  <c r="AW5336" i="1"/>
  <c r="AV5336" i="1"/>
  <c r="AU5336" i="1"/>
  <c r="AW5335" i="1"/>
  <c r="AV5335" i="1"/>
  <c r="AW5334" i="1"/>
  <c r="AV5334" i="1"/>
  <c r="AU5334" i="1"/>
  <c r="AW5333" i="1"/>
  <c r="AV5333" i="1"/>
  <c r="AU5333" i="1"/>
  <c r="AW5332" i="1"/>
  <c r="AV5332" i="1"/>
  <c r="AU5332" i="1"/>
  <c r="AW5331" i="1"/>
  <c r="AV5331" i="1"/>
  <c r="AW5330" i="1"/>
  <c r="AV5330" i="1"/>
  <c r="AW5329" i="1"/>
  <c r="AV5329" i="1"/>
  <c r="AW5328" i="1"/>
  <c r="AV5328" i="1"/>
  <c r="AW5327" i="1"/>
  <c r="AV5327" i="1"/>
  <c r="AW5326" i="1"/>
  <c r="AV5326" i="1"/>
  <c r="AW5325" i="1"/>
  <c r="AV5325" i="1"/>
  <c r="AW5324" i="1"/>
  <c r="AV5324" i="1"/>
  <c r="AW5323" i="1"/>
  <c r="AV5323" i="1"/>
  <c r="AW5322" i="1"/>
  <c r="AV5322" i="1"/>
  <c r="AW5321" i="1"/>
  <c r="AV5321" i="1"/>
  <c r="AW5320" i="1"/>
  <c r="AV5320" i="1"/>
  <c r="AW5319" i="1"/>
  <c r="AV5319" i="1"/>
  <c r="AW5318" i="1"/>
  <c r="AV5318" i="1"/>
  <c r="AW5317" i="1"/>
  <c r="AV5317" i="1"/>
  <c r="AW5316" i="1"/>
  <c r="AV5316" i="1"/>
  <c r="AW5315" i="1"/>
  <c r="AV5315" i="1"/>
  <c r="AW5314" i="1"/>
  <c r="AV5314" i="1"/>
  <c r="AW5313" i="1"/>
  <c r="AV5313" i="1"/>
  <c r="AW5312" i="1"/>
  <c r="AV5312" i="1"/>
  <c r="AW5311" i="1"/>
  <c r="AV5311" i="1"/>
  <c r="AU5311" i="1"/>
  <c r="AW5310" i="1"/>
  <c r="AV5310" i="1"/>
  <c r="AU5310" i="1"/>
  <c r="AW5309" i="1"/>
  <c r="AV5309" i="1"/>
  <c r="AW5308" i="1"/>
  <c r="AV5308" i="1"/>
  <c r="AW5307" i="1"/>
  <c r="AV5307" i="1"/>
  <c r="AW5306" i="1"/>
  <c r="AV5306" i="1"/>
  <c r="AW5305" i="1"/>
  <c r="AV5305" i="1"/>
  <c r="AW5304" i="1"/>
  <c r="AV5304" i="1"/>
  <c r="AW5303" i="1"/>
  <c r="AV5303" i="1"/>
  <c r="AW5302" i="1"/>
  <c r="AV5302" i="1"/>
  <c r="AW5301" i="1"/>
  <c r="AV5301" i="1"/>
  <c r="AW5300" i="1"/>
  <c r="AV5300" i="1"/>
  <c r="AW5299" i="1"/>
  <c r="AV5299" i="1"/>
  <c r="AW5298" i="1"/>
  <c r="AV5298" i="1"/>
  <c r="AW5297" i="1"/>
  <c r="AV5297" i="1"/>
  <c r="AW5296" i="1"/>
  <c r="AV5296" i="1"/>
  <c r="AU5296" i="1"/>
  <c r="AW5295" i="1"/>
  <c r="AV5295" i="1"/>
  <c r="AW5294" i="1"/>
  <c r="AV5294" i="1"/>
  <c r="AW5293" i="1"/>
  <c r="AV5293" i="1"/>
  <c r="AU5293" i="1"/>
  <c r="AW5292" i="1"/>
  <c r="AV5292" i="1"/>
  <c r="AU5292" i="1"/>
  <c r="AW5291" i="1"/>
  <c r="AV5291" i="1"/>
  <c r="AW5290" i="1"/>
  <c r="AV5290" i="1"/>
  <c r="AW5289" i="1"/>
  <c r="AV5289" i="1"/>
  <c r="AW5288" i="1"/>
  <c r="AV5288" i="1"/>
  <c r="AW5287" i="1"/>
  <c r="AV5287" i="1"/>
  <c r="AW5286" i="1"/>
  <c r="AV5286" i="1"/>
  <c r="AW5285" i="1"/>
  <c r="AV5285" i="1"/>
  <c r="AW5284" i="1"/>
  <c r="AV5284" i="1"/>
  <c r="AW5283" i="1"/>
  <c r="AV5283" i="1"/>
  <c r="AW5282" i="1"/>
  <c r="AV5282" i="1"/>
  <c r="AW5281" i="1"/>
  <c r="AV5281" i="1"/>
  <c r="AW5280" i="1"/>
  <c r="AV5280" i="1"/>
  <c r="AW5279" i="1"/>
  <c r="AV5279" i="1"/>
  <c r="AU5279" i="1"/>
  <c r="AW5278" i="1"/>
  <c r="AV5278" i="1"/>
  <c r="AW5277" i="1"/>
  <c r="AV5277" i="1"/>
  <c r="AW5276" i="1"/>
  <c r="AV5276" i="1"/>
  <c r="AW5275" i="1"/>
  <c r="AV5275" i="1"/>
  <c r="AW5274" i="1"/>
  <c r="AV5274" i="1"/>
  <c r="AW5273" i="1"/>
  <c r="AV5273" i="1"/>
  <c r="AW5272" i="1"/>
  <c r="AV5272" i="1"/>
  <c r="AW5271" i="1"/>
  <c r="AV5271" i="1"/>
  <c r="AU5271" i="1"/>
  <c r="AW5270" i="1"/>
  <c r="AV5270" i="1"/>
  <c r="AW5269" i="1"/>
  <c r="AV5269" i="1"/>
  <c r="AW5268" i="1"/>
  <c r="AV5268" i="1"/>
  <c r="AW5267" i="1"/>
  <c r="AV5267" i="1"/>
  <c r="AW5266" i="1"/>
  <c r="AV5266" i="1"/>
  <c r="AW5265" i="1"/>
  <c r="AV5265" i="1"/>
  <c r="AU5265" i="1"/>
  <c r="AW5264" i="1"/>
  <c r="AV5264" i="1"/>
  <c r="AU5264" i="1"/>
  <c r="AW5263" i="1"/>
  <c r="AV5263" i="1"/>
  <c r="AW5262" i="1"/>
  <c r="AV5262" i="1"/>
  <c r="AW5261" i="1"/>
  <c r="AV5261" i="1"/>
  <c r="AW5260" i="1"/>
  <c r="AV5260" i="1"/>
  <c r="AW5259" i="1"/>
  <c r="AV5259" i="1"/>
  <c r="AU5259" i="1"/>
  <c r="AW5258" i="1"/>
  <c r="AV5258" i="1"/>
  <c r="AW5257" i="1"/>
  <c r="AV5257" i="1"/>
  <c r="AU5257" i="1"/>
  <c r="AW5256" i="1"/>
  <c r="AV5256" i="1"/>
  <c r="AU5256" i="1"/>
  <c r="AW5255" i="1"/>
  <c r="AV5255" i="1"/>
  <c r="AU5255" i="1"/>
  <c r="AW5254" i="1"/>
  <c r="AV5254" i="1"/>
  <c r="AU5254" i="1"/>
  <c r="AW5253" i="1"/>
  <c r="AV5253" i="1"/>
  <c r="AU5253" i="1"/>
  <c r="AW5252" i="1"/>
  <c r="AV5252" i="1"/>
  <c r="AW5251" i="1"/>
  <c r="AV5251" i="1"/>
  <c r="AU5251" i="1"/>
  <c r="AW5250" i="1"/>
  <c r="AV5250" i="1"/>
  <c r="AW5249" i="1"/>
  <c r="AV5249" i="1"/>
  <c r="AW5248" i="1"/>
  <c r="AV5248" i="1"/>
  <c r="AW5247" i="1"/>
  <c r="AV5247" i="1"/>
  <c r="AW5246" i="1"/>
  <c r="AV5246" i="1"/>
  <c r="AW5245" i="1"/>
  <c r="AV5245" i="1"/>
  <c r="AW5244" i="1"/>
  <c r="AV5244" i="1"/>
  <c r="AW5243" i="1"/>
  <c r="AV5243" i="1"/>
  <c r="AW5242" i="1"/>
  <c r="AV5242" i="1"/>
  <c r="AW5241" i="1"/>
  <c r="AV5241" i="1"/>
  <c r="AW5240" i="1"/>
  <c r="AV5240" i="1"/>
  <c r="AW5239" i="1"/>
  <c r="AV5239" i="1"/>
  <c r="AW5238" i="1"/>
  <c r="AV5238" i="1"/>
  <c r="AW5237" i="1"/>
  <c r="AV5237" i="1"/>
  <c r="AW5236" i="1"/>
  <c r="AV5236" i="1"/>
  <c r="AU5236" i="1"/>
  <c r="AW5235" i="1"/>
  <c r="AV5235" i="1"/>
  <c r="AU5235" i="1"/>
  <c r="AW5234" i="1"/>
  <c r="AV5234" i="1"/>
  <c r="AW5233" i="1"/>
  <c r="AV5233" i="1"/>
  <c r="AU5233" i="1"/>
  <c r="AW5232" i="1"/>
  <c r="AV5232" i="1"/>
  <c r="AW5231" i="1"/>
  <c r="AV5231" i="1"/>
  <c r="AW5230" i="1"/>
  <c r="AV5230" i="1"/>
  <c r="AW5229" i="1"/>
  <c r="AV5229" i="1"/>
  <c r="AW5228" i="1"/>
  <c r="AV5228" i="1"/>
  <c r="AW5227" i="1"/>
  <c r="AV5227" i="1"/>
  <c r="AW5226" i="1"/>
  <c r="AV5226" i="1"/>
  <c r="AW5225" i="1"/>
  <c r="AV5225" i="1"/>
  <c r="AU5225" i="1"/>
  <c r="AW5224" i="1"/>
  <c r="AV5224" i="1"/>
  <c r="AU5224" i="1"/>
  <c r="AW5223" i="1"/>
  <c r="AV5223" i="1"/>
  <c r="AW5222" i="1"/>
  <c r="AV5222" i="1"/>
  <c r="AW5221" i="1"/>
  <c r="AV5221" i="1"/>
  <c r="AW5220" i="1"/>
  <c r="AV5220" i="1"/>
  <c r="AU5220" i="1"/>
  <c r="AW5219" i="1"/>
  <c r="AV5219" i="1"/>
  <c r="AW5218" i="1"/>
  <c r="AV5218" i="1"/>
  <c r="AU5218" i="1"/>
  <c r="AW5217" i="1"/>
  <c r="AV5217" i="1"/>
  <c r="AW5216" i="1"/>
  <c r="AV5216" i="1"/>
  <c r="AU5216" i="1"/>
  <c r="AW5215" i="1"/>
  <c r="AV5215" i="1"/>
  <c r="AU5215" i="1"/>
  <c r="AW5214" i="1"/>
  <c r="AV5214" i="1"/>
  <c r="AU5214" i="1"/>
  <c r="AW5213" i="1"/>
  <c r="AV5213" i="1"/>
  <c r="AU5213" i="1"/>
  <c r="AW5212" i="1"/>
  <c r="AV5212" i="1"/>
  <c r="AU5212" i="1"/>
  <c r="AW5211" i="1"/>
  <c r="AV5211" i="1"/>
  <c r="AU5211" i="1"/>
  <c r="AW5210" i="1"/>
  <c r="AV5210" i="1"/>
  <c r="AW5209" i="1"/>
  <c r="AV5209" i="1"/>
  <c r="AW5208" i="1"/>
  <c r="AV5208" i="1"/>
  <c r="AW5207" i="1"/>
  <c r="AV5207" i="1"/>
  <c r="AU5207" i="1"/>
  <c r="AW5206" i="1"/>
  <c r="AV5206" i="1"/>
  <c r="AU5206" i="1"/>
  <c r="AW5205" i="1"/>
  <c r="AV5205" i="1"/>
  <c r="AU5205" i="1"/>
  <c r="AW5204" i="1"/>
  <c r="AV5204" i="1"/>
  <c r="AU5204" i="1"/>
  <c r="AW5203" i="1"/>
  <c r="AV5203" i="1"/>
  <c r="AW5202" i="1"/>
  <c r="AV5202" i="1"/>
  <c r="AW5201" i="1"/>
  <c r="AV5201" i="1"/>
  <c r="AU5201" i="1"/>
  <c r="AW5200" i="1"/>
  <c r="AV5200" i="1"/>
  <c r="AW5199" i="1"/>
  <c r="AV5199" i="1"/>
  <c r="AW5198" i="1"/>
  <c r="AV5198" i="1"/>
  <c r="AW5197" i="1"/>
  <c r="AV5197" i="1"/>
  <c r="AW5196" i="1"/>
  <c r="AV5196" i="1"/>
  <c r="AW5195" i="1"/>
  <c r="AV5195" i="1"/>
  <c r="AW5194" i="1"/>
  <c r="AV5194" i="1"/>
  <c r="AU5194" i="1"/>
  <c r="AW5193" i="1"/>
  <c r="AV5193" i="1"/>
  <c r="AW5192" i="1"/>
  <c r="AV5192" i="1"/>
  <c r="AW5191" i="1"/>
  <c r="AV5191" i="1"/>
  <c r="AW5190" i="1"/>
  <c r="AV5190" i="1"/>
  <c r="AU5190" i="1"/>
  <c r="AW5189" i="1"/>
  <c r="AV5189" i="1"/>
  <c r="AU5189" i="1"/>
  <c r="AW5188" i="1"/>
  <c r="AV5188" i="1"/>
  <c r="AW5187" i="1"/>
  <c r="AV5187" i="1"/>
  <c r="AW5186" i="1"/>
  <c r="AV5186" i="1"/>
  <c r="AU5186" i="1"/>
  <c r="AW5185" i="1"/>
  <c r="AV5185" i="1"/>
  <c r="AW5184" i="1"/>
  <c r="AV5184" i="1"/>
  <c r="AU5184" i="1"/>
  <c r="AW5183" i="1"/>
  <c r="AV5183" i="1"/>
  <c r="AW5182" i="1"/>
  <c r="AV5182" i="1"/>
  <c r="AU5182" i="1"/>
  <c r="AW5181" i="1"/>
  <c r="AV5181" i="1"/>
  <c r="AU5181" i="1"/>
  <c r="AW5180" i="1"/>
  <c r="AV5180" i="1"/>
  <c r="AW5179" i="1"/>
  <c r="AV5179" i="1"/>
  <c r="AW5178" i="1"/>
  <c r="AV5178" i="1"/>
  <c r="AW5177" i="1"/>
  <c r="AV5177" i="1"/>
  <c r="AW5176" i="1"/>
  <c r="AV5176" i="1"/>
  <c r="AW5175" i="1"/>
  <c r="AV5175" i="1"/>
  <c r="AW5174" i="1"/>
  <c r="AV5174" i="1"/>
  <c r="AU5174" i="1"/>
  <c r="AW5173" i="1"/>
  <c r="AV5173" i="1"/>
  <c r="AW5172" i="1"/>
  <c r="AV5172" i="1"/>
  <c r="AU5172" i="1"/>
  <c r="AW5171" i="1"/>
  <c r="AV5171" i="1"/>
  <c r="AW5170" i="1"/>
  <c r="AV5170" i="1"/>
  <c r="AW5169" i="1"/>
  <c r="AV5169" i="1"/>
  <c r="AU5169" i="1"/>
  <c r="AW5168" i="1"/>
  <c r="AV5168" i="1"/>
  <c r="AW5167" i="1"/>
  <c r="AV5167" i="1"/>
  <c r="AU5167" i="1"/>
  <c r="AW5166" i="1"/>
  <c r="AV5166" i="1"/>
  <c r="AU5166" i="1"/>
  <c r="AW5165" i="1"/>
  <c r="AV5165" i="1"/>
  <c r="AW5164" i="1"/>
  <c r="AV5164" i="1"/>
  <c r="AU5164" i="1"/>
  <c r="AW5163" i="1"/>
  <c r="AV5163" i="1"/>
  <c r="AW5162" i="1"/>
  <c r="AV5162" i="1"/>
  <c r="AW5161" i="1"/>
  <c r="AV5161" i="1"/>
  <c r="AW5160" i="1"/>
  <c r="AV5160" i="1"/>
  <c r="AU5160" i="1"/>
  <c r="AW5159" i="1"/>
  <c r="AV5159" i="1"/>
  <c r="AW5158" i="1"/>
  <c r="AV5158" i="1"/>
  <c r="AW5157" i="1"/>
  <c r="AV5157" i="1"/>
  <c r="AW5156" i="1"/>
  <c r="AV5156" i="1"/>
  <c r="AW5155" i="1"/>
  <c r="AV5155" i="1"/>
  <c r="AU5155" i="1"/>
  <c r="AW5154" i="1"/>
  <c r="AV5154" i="1"/>
  <c r="AW5153" i="1"/>
  <c r="AV5153" i="1"/>
  <c r="AW5152" i="1"/>
  <c r="AV5152" i="1"/>
  <c r="AW5151" i="1"/>
  <c r="AV5151" i="1"/>
  <c r="AW5150" i="1"/>
  <c r="AV5150" i="1"/>
  <c r="AW5149" i="1"/>
  <c r="AV5149" i="1"/>
  <c r="AW5148" i="1"/>
  <c r="AV5148" i="1"/>
  <c r="AW5147" i="1"/>
  <c r="AV5147" i="1"/>
  <c r="AW5146" i="1"/>
  <c r="AV5146" i="1"/>
  <c r="AW5145" i="1"/>
  <c r="AV5145" i="1"/>
  <c r="AW5144" i="1"/>
  <c r="AV5144" i="1"/>
  <c r="AW5143" i="1"/>
  <c r="AV5143" i="1"/>
  <c r="AU5143" i="1"/>
  <c r="AW5142" i="1"/>
  <c r="AV5142" i="1"/>
  <c r="AW5141" i="1"/>
  <c r="AV5141" i="1"/>
  <c r="AW5140" i="1"/>
  <c r="AV5140" i="1"/>
  <c r="AW5139" i="1"/>
  <c r="AV5139" i="1"/>
  <c r="AW5138" i="1"/>
  <c r="AV5138" i="1"/>
  <c r="AW5137" i="1"/>
  <c r="AV5137" i="1"/>
  <c r="AW5136" i="1"/>
  <c r="AV5136" i="1"/>
  <c r="AW5135" i="1"/>
  <c r="AV5135" i="1"/>
  <c r="AW5134" i="1"/>
  <c r="AV5134" i="1"/>
  <c r="AU5134" i="1"/>
  <c r="AW5133" i="1"/>
  <c r="AV5133" i="1"/>
  <c r="AW5132" i="1"/>
  <c r="AV5132" i="1"/>
  <c r="AW5131" i="1"/>
  <c r="AV5131" i="1"/>
  <c r="AW5130" i="1"/>
  <c r="AV5130" i="1"/>
  <c r="AW5129" i="1"/>
  <c r="AV5129" i="1"/>
  <c r="AW5128" i="1"/>
  <c r="AV5128" i="1"/>
  <c r="AW5127" i="1"/>
  <c r="AV5127" i="1"/>
  <c r="AW5126" i="1"/>
  <c r="AV5126" i="1"/>
  <c r="AU5126" i="1"/>
  <c r="AW5125" i="1"/>
  <c r="AV5125" i="1"/>
  <c r="AW5124" i="1"/>
  <c r="AV5124" i="1"/>
  <c r="AU5124" i="1"/>
  <c r="AW5123" i="1"/>
  <c r="AV5123" i="1"/>
  <c r="AU5123" i="1"/>
  <c r="AW5122" i="1"/>
  <c r="AV5122" i="1"/>
  <c r="AW5121" i="1"/>
  <c r="AV5121" i="1"/>
  <c r="AU5121" i="1"/>
  <c r="AW5120" i="1"/>
  <c r="AV5120" i="1"/>
  <c r="AW5119" i="1"/>
  <c r="AV5119" i="1"/>
  <c r="AU5119" i="1"/>
  <c r="AW5118" i="1"/>
  <c r="AV5118" i="1"/>
  <c r="AW5117" i="1"/>
  <c r="AV5117" i="1"/>
  <c r="AW5116" i="1"/>
  <c r="AV5116" i="1"/>
  <c r="AW5115" i="1"/>
  <c r="AV5115" i="1"/>
  <c r="AW5114" i="1"/>
  <c r="AV5114" i="1"/>
  <c r="AW5113" i="1"/>
  <c r="AV5113" i="1"/>
  <c r="AW5112" i="1"/>
  <c r="AV5112" i="1"/>
  <c r="AW5111" i="1"/>
  <c r="AV5111" i="1"/>
  <c r="AW5110" i="1"/>
  <c r="AV5110" i="1"/>
  <c r="AW5109" i="1"/>
  <c r="AV5109" i="1"/>
  <c r="AW5108" i="1"/>
  <c r="AV5108" i="1"/>
  <c r="AW5107" i="1"/>
  <c r="AV5107" i="1"/>
  <c r="AU5107" i="1"/>
  <c r="AW5106" i="1"/>
  <c r="AV5106" i="1"/>
  <c r="AW5105" i="1"/>
  <c r="AV5105" i="1"/>
  <c r="AW5104" i="1"/>
  <c r="AV5104" i="1"/>
  <c r="AW5103" i="1"/>
  <c r="AV5103" i="1"/>
  <c r="AW5102" i="1"/>
  <c r="AV5102" i="1"/>
  <c r="AW5101" i="1"/>
  <c r="AV5101" i="1"/>
  <c r="AW5100" i="1"/>
  <c r="AV5100" i="1"/>
  <c r="AW5099" i="1"/>
  <c r="AV5099" i="1"/>
  <c r="AW5098" i="1"/>
  <c r="AV5098" i="1"/>
  <c r="AW5097" i="1"/>
  <c r="AV5097" i="1"/>
  <c r="AW5096" i="1"/>
  <c r="AV5096" i="1"/>
  <c r="AU5096" i="1"/>
  <c r="AW5095" i="1"/>
  <c r="AV5095" i="1"/>
  <c r="AW5094" i="1"/>
  <c r="AV5094" i="1"/>
  <c r="AW5093" i="1"/>
  <c r="AV5093" i="1"/>
  <c r="AW5092" i="1"/>
  <c r="AV5092" i="1"/>
  <c r="AW5091" i="1"/>
  <c r="AV5091" i="1"/>
  <c r="AW5090" i="1"/>
  <c r="AV5090" i="1"/>
  <c r="AW5089" i="1"/>
  <c r="AV5089" i="1"/>
  <c r="AW5088" i="1"/>
  <c r="AV5088" i="1"/>
  <c r="AW5087" i="1"/>
  <c r="AV5087" i="1"/>
  <c r="AW5086" i="1"/>
  <c r="AV5086" i="1"/>
  <c r="AU5086" i="1"/>
  <c r="AW5085" i="1"/>
  <c r="AV5085" i="1"/>
  <c r="AU5085" i="1"/>
  <c r="AW5084" i="1"/>
  <c r="AV5084" i="1"/>
  <c r="AU5084" i="1"/>
  <c r="AW5083" i="1"/>
  <c r="AV5083" i="1"/>
  <c r="AW5082" i="1"/>
  <c r="AV5082" i="1"/>
  <c r="AW5081" i="1"/>
  <c r="AV5081" i="1"/>
  <c r="AW5080" i="1"/>
  <c r="AV5080" i="1"/>
  <c r="AW5079" i="1"/>
  <c r="AV5079" i="1"/>
  <c r="AW5078" i="1"/>
  <c r="AV5078" i="1"/>
  <c r="AW5077" i="1"/>
  <c r="AV5077" i="1"/>
  <c r="AW5076" i="1"/>
  <c r="AV5076" i="1"/>
  <c r="AU5076" i="1"/>
  <c r="AW5075" i="1"/>
  <c r="AV5075" i="1"/>
  <c r="AW5074" i="1"/>
  <c r="AV5074" i="1"/>
  <c r="AW5073" i="1"/>
  <c r="AV5073" i="1"/>
  <c r="AW5072" i="1"/>
  <c r="AV5072" i="1"/>
  <c r="AW5071" i="1"/>
  <c r="AV5071" i="1"/>
  <c r="AW5070" i="1"/>
  <c r="AV5070" i="1"/>
  <c r="AW5069" i="1"/>
  <c r="AV5069" i="1"/>
  <c r="AW5068" i="1"/>
  <c r="AV5068" i="1"/>
  <c r="AW5067" i="1"/>
  <c r="AV5067" i="1"/>
  <c r="AW5066" i="1"/>
  <c r="AV5066" i="1"/>
  <c r="AW5065" i="1"/>
  <c r="AV5065" i="1"/>
  <c r="AW5064" i="1"/>
  <c r="AV5064" i="1"/>
  <c r="AW5063" i="1"/>
  <c r="AV5063" i="1"/>
  <c r="AU5063" i="1"/>
  <c r="AW5062" i="1"/>
  <c r="AV5062" i="1"/>
  <c r="AU5062" i="1"/>
  <c r="AW5061" i="1"/>
  <c r="AV5061" i="1"/>
  <c r="AU5061" i="1"/>
  <c r="AW5060" i="1"/>
  <c r="AV5060" i="1"/>
  <c r="AU5060" i="1"/>
  <c r="AW5059" i="1"/>
  <c r="AV5059" i="1"/>
  <c r="AU5059" i="1"/>
  <c r="AW5058" i="1"/>
  <c r="AV5058" i="1"/>
  <c r="AU5058" i="1"/>
  <c r="AW5057" i="1"/>
  <c r="AV5057" i="1"/>
  <c r="AU5057" i="1"/>
  <c r="AW5056" i="1"/>
  <c r="AV5056" i="1"/>
  <c r="AW5055" i="1"/>
  <c r="AV5055" i="1"/>
  <c r="AU5055" i="1"/>
  <c r="AW5054" i="1"/>
  <c r="AV5054" i="1"/>
  <c r="AW5053" i="1"/>
  <c r="AV5053" i="1"/>
  <c r="AW5052" i="1"/>
  <c r="AV5052" i="1"/>
  <c r="AW5051" i="1"/>
  <c r="AV5051" i="1"/>
  <c r="AW5050" i="1"/>
  <c r="AV5050" i="1"/>
  <c r="AW5049" i="1"/>
  <c r="AV5049" i="1"/>
  <c r="AU5049" i="1"/>
  <c r="AW5048" i="1"/>
  <c r="AV5048" i="1"/>
  <c r="AW5047" i="1"/>
  <c r="AV5047" i="1"/>
  <c r="AW5046" i="1"/>
  <c r="AV5046" i="1"/>
  <c r="AW5045" i="1"/>
  <c r="AV5045" i="1"/>
  <c r="AW5044" i="1"/>
  <c r="AV5044" i="1"/>
  <c r="AW5043" i="1"/>
  <c r="AV5043" i="1"/>
  <c r="AW5042" i="1"/>
  <c r="AV5042" i="1"/>
  <c r="AW5041" i="1"/>
  <c r="AV5041" i="1"/>
  <c r="AW5040" i="1"/>
  <c r="AV5040" i="1"/>
  <c r="AW5039" i="1"/>
  <c r="AV5039" i="1"/>
  <c r="AW5038" i="1"/>
  <c r="AV5038" i="1"/>
  <c r="AW5037" i="1"/>
  <c r="AV5037" i="1"/>
  <c r="AW5036" i="1"/>
  <c r="AV5036" i="1"/>
  <c r="AW5035" i="1"/>
  <c r="AV5035" i="1"/>
  <c r="AW5034" i="1"/>
  <c r="AV5034" i="1"/>
  <c r="AW5033" i="1"/>
  <c r="AV5033" i="1"/>
  <c r="AW5032" i="1"/>
  <c r="AV5032" i="1"/>
  <c r="AW5031" i="1"/>
  <c r="AV5031" i="1"/>
  <c r="AW5030" i="1"/>
  <c r="AV5030" i="1"/>
  <c r="AU5030" i="1"/>
  <c r="AW5029" i="1"/>
  <c r="AV5029" i="1"/>
  <c r="AW5028" i="1"/>
  <c r="AV5028" i="1"/>
  <c r="AU5028" i="1"/>
  <c r="AW5027" i="1"/>
  <c r="AV5027" i="1"/>
  <c r="AU5027" i="1"/>
  <c r="AW5026" i="1"/>
  <c r="AV5026" i="1"/>
  <c r="AU5026" i="1"/>
  <c r="AW5025" i="1"/>
  <c r="AV5025" i="1"/>
  <c r="AU5025" i="1"/>
  <c r="AW5024" i="1"/>
  <c r="AV5024" i="1"/>
  <c r="AU5024" i="1"/>
  <c r="AW5023" i="1"/>
  <c r="AV5023" i="1"/>
  <c r="AU5023" i="1"/>
  <c r="AW5022" i="1"/>
  <c r="AV5022" i="1"/>
  <c r="AW5021" i="1"/>
  <c r="AV5021" i="1"/>
  <c r="AW5020" i="1"/>
  <c r="AV5020" i="1"/>
  <c r="AU5020" i="1"/>
  <c r="AW5019" i="1"/>
  <c r="AV5019" i="1"/>
  <c r="AW5018" i="1"/>
  <c r="AV5018" i="1"/>
  <c r="AU5018" i="1"/>
  <c r="AW5017" i="1"/>
  <c r="AV5017" i="1"/>
  <c r="AW5016" i="1"/>
  <c r="AV5016" i="1"/>
  <c r="AW5015" i="1"/>
  <c r="AV5015" i="1"/>
  <c r="AU5015" i="1"/>
  <c r="AW5014" i="1"/>
  <c r="AV5014" i="1"/>
  <c r="AU5014" i="1"/>
  <c r="AW5013" i="1"/>
  <c r="AV5013" i="1"/>
  <c r="AU5013" i="1"/>
  <c r="AW5012" i="1"/>
  <c r="AV5012" i="1"/>
  <c r="AW5011" i="1"/>
  <c r="AV5011" i="1"/>
  <c r="AU5011" i="1"/>
  <c r="AW5010" i="1"/>
  <c r="AV5010" i="1"/>
  <c r="AU5010" i="1"/>
  <c r="AW5009" i="1"/>
  <c r="AV5009" i="1"/>
  <c r="AU5009" i="1"/>
  <c r="AW5008" i="1"/>
  <c r="AV5008" i="1"/>
  <c r="AW5007" i="1"/>
  <c r="AV5007" i="1"/>
  <c r="AW5006" i="1"/>
  <c r="AV5006" i="1"/>
  <c r="AU5006" i="1"/>
  <c r="AW5005" i="1"/>
  <c r="AV5005" i="1"/>
  <c r="AU5005" i="1"/>
  <c r="AW5004" i="1"/>
  <c r="AV5004" i="1"/>
  <c r="AW5003" i="1"/>
  <c r="AV5003" i="1"/>
  <c r="AU5003" i="1"/>
  <c r="AW5002" i="1"/>
  <c r="AV5002" i="1"/>
  <c r="AW5001" i="1"/>
  <c r="AV5001" i="1"/>
  <c r="AW5000" i="1"/>
  <c r="AV5000" i="1"/>
  <c r="AU5000" i="1"/>
  <c r="AW4999" i="1"/>
  <c r="AV4999" i="1"/>
  <c r="AW4998" i="1"/>
  <c r="AV4998" i="1"/>
  <c r="AW4997" i="1"/>
  <c r="AV4997" i="1"/>
  <c r="AU4997" i="1"/>
  <c r="AW4996" i="1"/>
  <c r="AV4996" i="1"/>
  <c r="AU4996" i="1"/>
  <c r="AW4995" i="1"/>
  <c r="AV4995" i="1"/>
  <c r="AU4995" i="1"/>
  <c r="AW4994" i="1"/>
  <c r="AV4994" i="1"/>
  <c r="AU4994" i="1"/>
  <c r="AW4993" i="1"/>
  <c r="AV4993" i="1"/>
  <c r="AW4992" i="1"/>
  <c r="AV4992" i="1"/>
  <c r="AW4991" i="1"/>
  <c r="AV4991" i="1"/>
  <c r="AW4990" i="1"/>
  <c r="AV4990" i="1"/>
  <c r="AU4990" i="1"/>
  <c r="AW4989" i="1"/>
  <c r="AV4989" i="1"/>
  <c r="AW4988" i="1"/>
  <c r="AV4988" i="1"/>
  <c r="AW4987" i="1"/>
  <c r="AV4987" i="1"/>
  <c r="AU4987" i="1"/>
  <c r="AW4986" i="1"/>
  <c r="AV4986" i="1"/>
  <c r="AU4986" i="1"/>
  <c r="AW4985" i="1"/>
  <c r="AV4985" i="1"/>
  <c r="AW4984" i="1"/>
  <c r="AV4984" i="1"/>
  <c r="AU4984" i="1"/>
  <c r="AW4983" i="1"/>
  <c r="AV4983" i="1"/>
  <c r="AU4983" i="1"/>
  <c r="AW4982" i="1"/>
  <c r="AV4982" i="1"/>
  <c r="AW4981" i="1"/>
  <c r="AV4981" i="1"/>
  <c r="AW4980" i="1"/>
  <c r="AV4980" i="1"/>
  <c r="AW4979" i="1"/>
  <c r="AV4979" i="1"/>
  <c r="AW4978" i="1"/>
  <c r="AV4978" i="1"/>
  <c r="AW4977" i="1"/>
  <c r="AV4977" i="1"/>
  <c r="AW4976" i="1"/>
  <c r="AV4976" i="1"/>
  <c r="AW4975" i="1"/>
  <c r="AV4975" i="1"/>
  <c r="AW4974" i="1"/>
  <c r="AV4974" i="1"/>
  <c r="AU4974" i="1"/>
  <c r="AW4973" i="1"/>
  <c r="AV4973" i="1"/>
  <c r="AW4972" i="1"/>
  <c r="AV4972" i="1"/>
  <c r="AU4972" i="1"/>
  <c r="AW4971" i="1"/>
  <c r="AV4971" i="1"/>
  <c r="AW4970" i="1"/>
  <c r="AV4970" i="1"/>
  <c r="AW4969" i="1"/>
  <c r="AV4969" i="1"/>
  <c r="AU4969" i="1"/>
  <c r="AW4968" i="1"/>
  <c r="AV4968" i="1"/>
  <c r="AU4968" i="1"/>
  <c r="AW4967" i="1"/>
  <c r="AV4967" i="1"/>
  <c r="AW4966" i="1"/>
  <c r="AV4966" i="1"/>
  <c r="AW4965" i="1"/>
  <c r="AV4965" i="1"/>
  <c r="AW4964" i="1"/>
  <c r="AV4964" i="1"/>
  <c r="AW4963" i="1"/>
  <c r="AV4963" i="1"/>
  <c r="AW4962" i="1"/>
  <c r="AV4962" i="1"/>
  <c r="AW4961" i="1"/>
  <c r="AV4961" i="1"/>
  <c r="AW4960" i="1"/>
  <c r="AV4960" i="1"/>
  <c r="AW4959" i="1"/>
  <c r="AV4959" i="1"/>
  <c r="AW4958" i="1"/>
  <c r="AV4958" i="1"/>
  <c r="AW4957" i="1"/>
  <c r="AV4957" i="1"/>
  <c r="AU4957" i="1"/>
  <c r="AW4956" i="1"/>
  <c r="AV4956" i="1"/>
  <c r="AW4955" i="1"/>
  <c r="AV4955" i="1"/>
  <c r="AW4954" i="1"/>
  <c r="AV4954" i="1"/>
  <c r="AW4953" i="1"/>
  <c r="AV4953" i="1"/>
  <c r="AW4952" i="1"/>
  <c r="AV4952" i="1"/>
  <c r="AU4952" i="1"/>
  <c r="AW4951" i="1"/>
  <c r="AV4951" i="1"/>
  <c r="AW4950" i="1"/>
  <c r="AV4950" i="1"/>
  <c r="AW4949" i="1"/>
  <c r="AV4949" i="1"/>
  <c r="AW4948" i="1"/>
  <c r="AV4948" i="1"/>
  <c r="AU4948" i="1"/>
  <c r="AW4947" i="1"/>
  <c r="AV4947" i="1"/>
  <c r="AW4946" i="1"/>
  <c r="AV4946" i="1"/>
  <c r="AW4945" i="1"/>
  <c r="AV4945" i="1"/>
  <c r="AW4944" i="1"/>
  <c r="AV4944" i="1"/>
  <c r="AU4944" i="1"/>
  <c r="AW4943" i="1"/>
  <c r="AV4943" i="1"/>
  <c r="AU4943" i="1"/>
  <c r="AW4942" i="1"/>
  <c r="AV4942" i="1"/>
  <c r="AU4942" i="1"/>
  <c r="AW4941" i="1"/>
  <c r="AV4941" i="1"/>
  <c r="AW4940" i="1"/>
  <c r="AV4940" i="1"/>
  <c r="AW4939" i="1"/>
  <c r="AV4939" i="1"/>
  <c r="AW4938" i="1"/>
  <c r="AV4938" i="1"/>
  <c r="AU4938" i="1"/>
  <c r="AW4937" i="1"/>
  <c r="AV4937" i="1"/>
  <c r="AW4936" i="1"/>
  <c r="AV4936" i="1"/>
  <c r="AW4935" i="1"/>
  <c r="AV4935" i="1"/>
  <c r="AU4935" i="1"/>
  <c r="AW4934" i="1"/>
  <c r="AV4934" i="1"/>
  <c r="AW4933" i="1"/>
  <c r="AV4933" i="1"/>
  <c r="AW4932" i="1"/>
  <c r="AV4932" i="1"/>
  <c r="AU4932" i="1"/>
  <c r="AW4931" i="1"/>
  <c r="AV4931" i="1"/>
  <c r="AU4931" i="1"/>
  <c r="AW4930" i="1"/>
  <c r="AV4930" i="1"/>
  <c r="AU4930" i="1"/>
  <c r="AW4929" i="1"/>
  <c r="AV4929" i="1"/>
  <c r="AU4929" i="1"/>
  <c r="AW4928" i="1"/>
  <c r="AV4928" i="1"/>
  <c r="AW4927" i="1"/>
  <c r="AV4927" i="1"/>
  <c r="AW4926" i="1"/>
  <c r="AV4926" i="1"/>
  <c r="AW4925" i="1"/>
  <c r="AV4925" i="1"/>
  <c r="AW4924" i="1"/>
  <c r="AV4924" i="1"/>
  <c r="AW4923" i="1"/>
  <c r="AV4923" i="1"/>
  <c r="AU4923" i="1"/>
  <c r="AW4922" i="1"/>
  <c r="AV4922" i="1"/>
  <c r="AU4922" i="1"/>
  <c r="AW4921" i="1"/>
  <c r="AV4921" i="1"/>
  <c r="AW4920" i="1"/>
  <c r="AV4920" i="1"/>
  <c r="AU4920" i="1"/>
  <c r="AW4919" i="1"/>
  <c r="AV4919" i="1"/>
  <c r="AW4918" i="1"/>
  <c r="AV4918" i="1"/>
  <c r="AU4918" i="1"/>
  <c r="AW4917" i="1"/>
  <c r="AV4917" i="1"/>
  <c r="AU4917" i="1"/>
  <c r="AW4916" i="1"/>
  <c r="AV4916" i="1"/>
  <c r="AU4916" i="1"/>
  <c r="AW4915" i="1"/>
  <c r="AV4915" i="1"/>
  <c r="AW4914" i="1"/>
  <c r="AV4914" i="1"/>
  <c r="AU4914" i="1"/>
  <c r="AW4913" i="1"/>
  <c r="AV4913" i="1"/>
  <c r="AW4912" i="1"/>
  <c r="AV4912" i="1"/>
  <c r="AW4911" i="1"/>
  <c r="AV4911" i="1"/>
  <c r="AW4910" i="1"/>
  <c r="AV4910" i="1"/>
  <c r="AU4910" i="1"/>
  <c r="AW4909" i="1"/>
  <c r="AV4909" i="1"/>
  <c r="AW4908" i="1"/>
  <c r="AV4908" i="1"/>
  <c r="AU4908" i="1"/>
  <c r="AW4907" i="1"/>
  <c r="AV4907" i="1"/>
  <c r="AW4906" i="1"/>
  <c r="AV4906" i="1"/>
  <c r="AW4905" i="1"/>
  <c r="AV4905" i="1"/>
  <c r="AU4905" i="1"/>
  <c r="AW4904" i="1"/>
  <c r="AV4904" i="1"/>
  <c r="AW4903" i="1"/>
  <c r="AV4903" i="1"/>
  <c r="AU4903" i="1"/>
  <c r="AW4902" i="1"/>
  <c r="AV4902" i="1"/>
  <c r="AW4901" i="1"/>
  <c r="AV4901" i="1"/>
  <c r="AU4901" i="1"/>
  <c r="AW4900" i="1"/>
  <c r="AV4900" i="1"/>
  <c r="AW4899" i="1"/>
  <c r="AV4899" i="1"/>
  <c r="AW4898" i="1"/>
  <c r="AV4898" i="1"/>
  <c r="AW4897" i="1"/>
  <c r="AV4897" i="1"/>
  <c r="AU4897" i="1"/>
  <c r="AW4896" i="1"/>
  <c r="AV4896" i="1"/>
  <c r="AW4895" i="1"/>
  <c r="AV4895" i="1"/>
  <c r="AU4895" i="1"/>
  <c r="AW4894" i="1"/>
  <c r="AV4894" i="1"/>
  <c r="AU4894" i="1"/>
  <c r="AW4893" i="1"/>
  <c r="AV4893" i="1"/>
  <c r="AU4893" i="1"/>
  <c r="AW4892" i="1"/>
  <c r="AV4892" i="1"/>
  <c r="AW4891" i="1"/>
  <c r="AV4891" i="1"/>
  <c r="AU4891" i="1"/>
  <c r="AW4890" i="1"/>
  <c r="AV4890" i="1"/>
  <c r="AU4890" i="1"/>
  <c r="AW4889" i="1"/>
  <c r="AV4889" i="1"/>
  <c r="AU4889" i="1"/>
  <c r="AW4888" i="1"/>
  <c r="AV4888" i="1"/>
  <c r="AW4887" i="1"/>
  <c r="AV4887" i="1"/>
  <c r="AU4887" i="1"/>
  <c r="AW4886" i="1"/>
  <c r="AV4886" i="1"/>
  <c r="AW4885" i="1"/>
  <c r="AV4885" i="1"/>
  <c r="AW4884" i="1"/>
  <c r="AV4884" i="1"/>
  <c r="AW4883" i="1"/>
  <c r="AV4883" i="1"/>
  <c r="AW4882" i="1"/>
  <c r="AV4882" i="1"/>
  <c r="AW4881" i="1"/>
  <c r="AV4881" i="1"/>
  <c r="AU4881" i="1"/>
  <c r="AW4880" i="1"/>
  <c r="AV4880" i="1"/>
  <c r="AU4880" i="1"/>
  <c r="AW4879" i="1"/>
  <c r="AV4879" i="1"/>
  <c r="AU4879" i="1"/>
  <c r="AW4878" i="1"/>
  <c r="AV4878" i="1"/>
  <c r="AU4878" i="1"/>
  <c r="AW4877" i="1"/>
  <c r="AV4877" i="1"/>
  <c r="AU4877" i="1"/>
  <c r="AW4876" i="1"/>
  <c r="AV4876" i="1"/>
  <c r="AU4876" i="1"/>
  <c r="AW4875" i="1"/>
  <c r="AV4875" i="1"/>
  <c r="AU4875" i="1"/>
  <c r="AW4874" i="1"/>
  <c r="AV4874" i="1"/>
  <c r="AU4874" i="1"/>
  <c r="AW4873" i="1"/>
  <c r="AV4873" i="1"/>
  <c r="AW4872" i="1"/>
  <c r="AV4872" i="1"/>
  <c r="AU4872" i="1"/>
  <c r="AW4871" i="1"/>
  <c r="AV4871" i="1"/>
  <c r="AW4870" i="1"/>
  <c r="AV4870" i="1"/>
  <c r="AW4869" i="1"/>
  <c r="AV4869" i="1"/>
  <c r="AW4868" i="1"/>
  <c r="AV4868" i="1"/>
  <c r="AU4868" i="1"/>
  <c r="AW4867" i="1"/>
  <c r="AV4867" i="1"/>
  <c r="AU4867" i="1"/>
  <c r="AW4866" i="1"/>
  <c r="AV4866" i="1"/>
  <c r="AW4865" i="1"/>
  <c r="AV4865" i="1"/>
  <c r="AW4864" i="1"/>
  <c r="AV4864" i="1"/>
  <c r="AW4863" i="1"/>
  <c r="AV4863" i="1"/>
  <c r="AW4862" i="1"/>
  <c r="AV4862" i="1"/>
  <c r="AW4861" i="1"/>
  <c r="AV4861" i="1"/>
  <c r="AW4860" i="1"/>
  <c r="AV4860" i="1"/>
  <c r="AW4859" i="1"/>
  <c r="AV4859" i="1"/>
  <c r="AW4858" i="1"/>
  <c r="AV4858" i="1"/>
  <c r="AW4857" i="1"/>
  <c r="AV4857" i="1"/>
  <c r="AW4856" i="1"/>
  <c r="AV4856" i="1"/>
  <c r="AW4855" i="1"/>
  <c r="AV4855" i="1"/>
  <c r="AW4854" i="1"/>
  <c r="AV4854" i="1"/>
  <c r="AW4853" i="1"/>
  <c r="AV4853" i="1"/>
  <c r="AW4852" i="1"/>
  <c r="AV4852" i="1"/>
  <c r="AW4851" i="1"/>
  <c r="AV4851" i="1"/>
  <c r="AW4850" i="1"/>
  <c r="AV4850" i="1"/>
  <c r="AW4849" i="1"/>
  <c r="AV4849" i="1"/>
  <c r="AW4848" i="1"/>
  <c r="AV4848" i="1"/>
  <c r="AW4847" i="1"/>
  <c r="AV4847" i="1"/>
  <c r="AW4846" i="1"/>
  <c r="AV4846" i="1"/>
  <c r="AW4845" i="1"/>
  <c r="AV4845" i="1"/>
  <c r="AW4844" i="1"/>
  <c r="AV4844" i="1"/>
  <c r="AW4843" i="1"/>
  <c r="AV4843" i="1"/>
  <c r="AW4842" i="1"/>
  <c r="AV4842" i="1"/>
  <c r="AW4841" i="1"/>
  <c r="AV4841" i="1"/>
  <c r="AW4840" i="1"/>
  <c r="AV4840" i="1"/>
  <c r="AW4839" i="1"/>
  <c r="AV4839" i="1"/>
  <c r="AW4838" i="1"/>
  <c r="AV4838" i="1"/>
  <c r="AW4837" i="1"/>
  <c r="AV4837" i="1"/>
  <c r="AU4837" i="1"/>
  <c r="AW4836" i="1"/>
  <c r="AV4836" i="1"/>
  <c r="AU4836" i="1"/>
  <c r="AW4835" i="1"/>
  <c r="AV4835" i="1"/>
  <c r="AU4835" i="1"/>
  <c r="AW4834" i="1"/>
  <c r="AV4834" i="1"/>
  <c r="AU4834" i="1"/>
  <c r="AW4833" i="1"/>
  <c r="AV4833" i="1"/>
  <c r="AU4833" i="1"/>
  <c r="AW4832" i="1"/>
  <c r="AV4832" i="1"/>
  <c r="AW4831" i="1"/>
  <c r="AV4831" i="1"/>
  <c r="AU4831" i="1"/>
  <c r="AW4830" i="1"/>
  <c r="AV4830" i="1"/>
  <c r="AW4829" i="1"/>
  <c r="AV4829" i="1"/>
  <c r="AU4829" i="1"/>
  <c r="AW4828" i="1"/>
  <c r="AV4828" i="1"/>
  <c r="AU4828" i="1"/>
  <c r="AW4827" i="1"/>
  <c r="AV4827" i="1"/>
  <c r="AU4827" i="1"/>
  <c r="AW4826" i="1"/>
  <c r="AV4826" i="1"/>
  <c r="AU4826" i="1"/>
  <c r="AW4825" i="1"/>
  <c r="AV4825" i="1"/>
  <c r="AU4825" i="1"/>
  <c r="AW4824" i="1"/>
  <c r="AV4824" i="1"/>
  <c r="AU4824" i="1"/>
  <c r="AW4823" i="1"/>
  <c r="AV4823" i="1"/>
  <c r="AU4823" i="1"/>
  <c r="AW4822" i="1"/>
  <c r="AV4822" i="1"/>
  <c r="AU4822" i="1"/>
  <c r="AW4821" i="1"/>
  <c r="AV4821" i="1"/>
  <c r="AU4821" i="1"/>
  <c r="AW4820" i="1"/>
  <c r="AV4820" i="1"/>
  <c r="AU4820" i="1"/>
  <c r="AW4819" i="1"/>
  <c r="AV4819" i="1"/>
  <c r="AU4819" i="1"/>
  <c r="AW4818" i="1"/>
  <c r="AV4818" i="1"/>
  <c r="AU4818" i="1"/>
  <c r="AW4817" i="1"/>
  <c r="AV4817" i="1"/>
  <c r="AU4817" i="1"/>
  <c r="AW4816" i="1"/>
  <c r="AV4816" i="1"/>
  <c r="AU4816" i="1"/>
  <c r="AW4815" i="1"/>
  <c r="AV4815" i="1"/>
  <c r="AU4815" i="1"/>
  <c r="AW4814" i="1"/>
  <c r="AV4814" i="1"/>
  <c r="AU4814" i="1"/>
  <c r="AW4813" i="1"/>
  <c r="AV4813" i="1"/>
  <c r="AW4812" i="1"/>
  <c r="AV4812" i="1"/>
  <c r="AW4811" i="1"/>
  <c r="AV4811" i="1"/>
  <c r="AU4811" i="1"/>
  <c r="AW4810" i="1"/>
  <c r="AV4810" i="1"/>
  <c r="AU4810" i="1"/>
  <c r="AW4809" i="1"/>
  <c r="AV4809" i="1"/>
  <c r="AU4809" i="1"/>
  <c r="AW4808" i="1"/>
  <c r="AV4808" i="1"/>
  <c r="AW4807" i="1"/>
  <c r="AV4807" i="1"/>
  <c r="AW4806" i="1"/>
  <c r="AV4806" i="1"/>
  <c r="AW4805" i="1"/>
  <c r="AV4805" i="1"/>
  <c r="AU4805" i="1"/>
  <c r="AW4804" i="1"/>
  <c r="AV4804" i="1"/>
  <c r="AU4804" i="1"/>
  <c r="AW4803" i="1"/>
  <c r="AV4803" i="1"/>
  <c r="AU4803" i="1"/>
  <c r="AW4802" i="1"/>
  <c r="AV4802" i="1"/>
  <c r="AU4802" i="1"/>
  <c r="AW4801" i="1"/>
  <c r="AV4801" i="1"/>
  <c r="AU4801" i="1"/>
  <c r="AW4800" i="1"/>
  <c r="AV4800" i="1"/>
  <c r="AU4800" i="1"/>
  <c r="AW4799" i="1"/>
  <c r="AV4799" i="1"/>
  <c r="AU4799" i="1"/>
  <c r="AW4798" i="1"/>
  <c r="AV4798" i="1"/>
  <c r="AU4798" i="1"/>
  <c r="AW4797" i="1"/>
  <c r="AV4797" i="1"/>
  <c r="AW4796" i="1"/>
  <c r="AV4796" i="1"/>
  <c r="AW4795" i="1"/>
  <c r="AV4795" i="1"/>
  <c r="AW4794" i="1"/>
  <c r="AV4794" i="1"/>
  <c r="AU4794" i="1"/>
  <c r="AW4793" i="1"/>
  <c r="AV4793" i="1"/>
  <c r="AU4793" i="1"/>
  <c r="AW4792" i="1"/>
  <c r="AV4792" i="1"/>
  <c r="AU4792" i="1"/>
  <c r="AW4791" i="1"/>
  <c r="AV4791" i="1"/>
  <c r="AW4790" i="1"/>
  <c r="AV4790" i="1"/>
  <c r="AU4790" i="1"/>
  <c r="AW4789" i="1"/>
  <c r="AV4789" i="1"/>
  <c r="AW4788" i="1"/>
  <c r="AV4788" i="1"/>
  <c r="AW4787" i="1"/>
  <c r="AV4787" i="1"/>
  <c r="AU4787" i="1"/>
  <c r="AW4786" i="1"/>
  <c r="AV4786" i="1"/>
  <c r="AU4786" i="1"/>
  <c r="AW4785" i="1"/>
  <c r="AV4785" i="1"/>
  <c r="AW4784" i="1"/>
  <c r="AV4784" i="1"/>
  <c r="AW4783" i="1"/>
  <c r="AV4783" i="1"/>
  <c r="AW4782" i="1"/>
  <c r="AV4782" i="1"/>
  <c r="AW4781" i="1"/>
  <c r="AV4781" i="1"/>
  <c r="AU4781" i="1"/>
  <c r="AW4780" i="1"/>
  <c r="AV4780" i="1"/>
  <c r="AW4779" i="1"/>
  <c r="AV4779" i="1"/>
  <c r="AU4779" i="1"/>
  <c r="AW4778" i="1"/>
  <c r="AV4778" i="1"/>
  <c r="AW4777" i="1"/>
  <c r="AV4777" i="1"/>
  <c r="AU4777" i="1"/>
  <c r="AW4776" i="1"/>
  <c r="AV4776" i="1"/>
  <c r="AU4776" i="1"/>
  <c r="AW4775" i="1"/>
  <c r="AV4775" i="1"/>
  <c r="AU4775" i="1"/>
  <c r="AW4774" i="1"/>
  <c r="AV4774" i="1"/>
  <c r="AW4773" i="1"/>
  <c r="AV4773" i="1"/>
  <c r="AW4772" i="1"/>
  <c r="AV4772" i="1"/>
  <c r="AU4772" i="1"/>
  <c r="AW4771" i="1"/>
  <c r="AV4771" i="1"/>
  <c r="AU4771" i="1"/>
  <c r="AW4770" i="1"/>
  <c r="AV4770" i="1"/>
  <c r="AU4770" i="1"/>
  <c r="AW4769" i="1"/>
  <c r="AV4769" i="1"/>
  <c r="AU4769" i="1"/>
  <c r="AW4768" i="1"/>
  <c r="AV4768" i="1"/>
  <c r="AU4768" i="1"/>
  <c r="AW4767" i="1"/>
  <c r="AV4767" i="1"/>
  <c r="AW4766" i="1"/>
  <c r="AV4766" i="1"/>
  <c r="AU4766" i="1"/>
  <c r="AW4765" i="1"/>
  <c r="AV4765" i="1"/>
  <c r="AU4765" i="1"/>
  <c r="AW4764" i="1"/>
  <c r="AV4764" i="1"/>
  <c r="AU4764" i="1"/>
  <c r="AW4763" i="1"/>
  <c r="AV4763" i="1"/>
  <c r="AU4763" i="1"/>
  <c r="AW4762" i="1"/>
  <c r="AV4762" i="1"/>
  <c r="AW4761" i="1"/>
  <c r="AV4761" i="1"/>
  <c r="AW4760" i="1"/>
  <c r="AV4760" i="1"/>
  <c r="AU4760" i="1"/>
  <c r="AW4759" i="1"/>
  <c r="AV4759" i="1"/>
  <c r="AU4759" i="1"/>
  <c r="AW4758" i="1"/>
  <c r="AV4758" i="1"/>
  <c r="AU4758" i="1"/>
  <c r="AW4757" i="1"/>
  <c r="AV4757" i="1"/>
  <c r="AU4757" i="1"/>
  <c r="AW4756" i="1"/>
  <c r="AV4756" i="1"/>
  <c r="AU4756" i="1"/>
  <c r="AW4755" i="1"/>
  <c r="AV4755" i="1"/>
  <c r="AW4754" i="1"/>
  <c r="AV4754" i="1"/>
  <c r="AW4753" i="1"/>
  <c r="AV4753" i="1"/>
  <c r="AW4752" i="1"/>
  <c r="AV4752" i="1"/>
  <c r="AU4752" i="1"/>
  <c r="AW4751" i="1"/>
  <c r="AV4751" i="1"/>
  <c r="AU4751" i="1"/>
  <c r="AW4750" i="1"/>
  <c r="AV4750" i="1"/>
  <c r="AW4749" i="1"/>
  <c r="AV4749" i="1"/>
  <c r="AW4748" i="1"/>
  <c r="AV4748" i="1"/>
  <c r="AW4747" i="1"/>
  <c r="AV4747" i="1"/>
  <c r="AW4746" i="1"/>
  <c r="AV4746" i="1"/>
  <c r="AU4746" i="1"/>
  <c r="AW4745" i="1"/>
  <c r="AV4745" i="1"/>
  <c r="AW4744" i="1"/>
  <c r="AV4744" i="1"/>
  <c r="AU4744" i="1"/>
  <c r="AW4743" i="1"/>
  <c r="AV4743" i="1"/>
  <c r="AW4742" i="1"/>
  <c r="AV4742" i="1"/>
  <c r="AU4742" i="1"/>
  <c r="AW4741" i="1"/>
  <c r="AV4741" i="1"/>
  <c r="AU4741" i="1"/>
  <c r="AW4740" i="1"/>
  <c r="AV4740" i="1"/>
  <c r="AU4740" i="1"/>
  <c r="AW4739" i="1"/>
  <c r="AV4739" i="1"/>
  <c r="AW4738" i="1"/>
  <c r="AV4738" i="1"/>
  <c r="AW4737" i="1"/>
  <c r="AV4737" i="1"/>
  <c r="AW4736" i="1"/>
  <c r="AV4736" i="1"/>
  <c r="AU4736" i="1"/>
  <c r="AW4735" i="1"/>
  <c r="AV4735" i="1"/>
  <c r="AW4734" i="1"/>
  <c r="AV4734" i="1"/>
  <c r="AW4733" i="1"/>
  <c r="AV4733" i="1"/>
  <c r="AW4732" i="1"/>
  <c r="AV4732" i="1"/>
  <c r="AU4732" i="1"/>
  <c r="AW4731" i="1"/>
  <c r="AV4731" i="1"/>
  <c r="AU4731" i="1"/>
  <c r="AW4730" i="1"/>
  <c r="AV4730" i="1"/>
  <c r="AU4730" i="1"/>
  <c r="AW4729" i="1"/>
  <c r="AV4729" i="1"/>
  <c r="AU4729" i="1"/>
  <c r="AW4728" i="1"/>
  <c r="AV4728" i="1"/>
  <c r="AW4727" i="1"/>
  <c r="AV4727" i="1"/>
  <c r="AU4727" i="1"/>
  <c r="AW4726" i="1"/>
  <c r="AV4726" i="1"/>
  <c r="AW4725" i="1"/>
  <c r="AV4725" i="1"/>
  <c r="AW4724" i="1"/>
  <c r="AV4724" i="1"/>
  <c r="AW4723" i="1"/>
  <c r="AV4723" i="1"/>
  <c r="AU4723" i="1"/>
  <c r="AW4722" i="1"/>
  <c r="AV4722" i="1"/>
  <c r="AW4721" i="1"/>
  <c r="AV4721" i="1"/>
  <c r="AW4720" i="1"/>
  <c r="AV4720" i="1"/>
  <c r="AW4719" i="1"/>
  <c r="AV4719" i="1"/>
  <c r="AW4718" i="1"/>
  <c r="AV4718" i="1"/>
  <c r="AW4717" i="1"/>
  <c r="AV4717" i="1"/>
  <c r="AW4716" i="1"/>
  <c r="AV4716" i="1"/>
  <c r="AW4715" i="1"/>
  <c r="AV4715" i="1"/>
  <c r="AW4714" i="1"/>
  <c r="AV4714" i="1"/>
  <c r="AU4714" i="1"/>
  <c r="AW4713" i="1"/>
  <c r="AV4713" i="1"/>
  <c r="AW4712" i="1"/>
  <c r="AV4712" i="1"/>
  <c r="AW4711" i="1"/>
  <c r="AV4711" i="1"/>
  <c r="AW4710" i="1"/>
  <c r="AV4710" i="1"/>
  <c r="AW4709" i="1"/>
  <c r="AV4709" i="1"/>
  <c r="AW4708" i="1"/>
  <c r="AV4708" i="1"/>
  <c r="AW4707" i="1"/>
  <c r="AV4707" i="1"/>
  <c r="AU4707" i="1"/>
  <c r="AW4706" i="1"/>
  <c r="AV4706" i="1"/>
  <c r="AU4706" i="1"/>
  <c r="AW4705" i="1"/>
  <c r="AV4705" i="1"/>
  <c r="AW4704" i="1"/>
  <c r="AV4704" i="1"/>
  <c r="AU4704" i="1"/>
  <c r="AW4703" i="1"/>
  <c r="AV4703" i="1"/>
  <c r="AU4703" i="1"/>
  <c r="AW4702" i="1"/>
  <c r="AV4702" i="1"/>
  <c r="AU4702" i="1"/>
  <c r="AW4701" i="1"/>
  <c r="AV4701" i="1"/>
  <c r="AW4700" i="1"/>
  <c r="AV4700" i="1"/>
  <c r="AW4699" i="1"/>
  <c r="AV4699" i="1"/>
  <c r="AW4698" i="1"/>
  <c r="AV4698" i="1"/>
  <c r="AW4697" i="1"/>
  <c r="AV4697" i="1"/>
  <c r="AW4696" i="1"/>
  <c r="AV4696" i="1"/>
  <c r="AW4695" i="1"/>
  <c r="AV4695" i="1"/>
  <c r="AW4694" i="1"/>
  <c r="AV4694" i="1"/>
  <c r="AU4694" i="1"/>
  <c r="AW4693" i="1"/>
  <c r="AV4693" i="1"/>
  <c r="AW4692" i="1"/>
  <c r="AV4692" i="1"/>
  <c r="AW4691" i="1"/>
  <c r="AV4691" i="1"/>
  <c r="AU4691" i="1"/>
  <c r="AW4690" i="1"/>
  <c r="AV4690" i="1"/>
  <c r="AW4689" i="1"/>
  <c r="AV4689" i="1"/>
  <c r="AW4688" i="1"/>
  <c r="AV4688" i="1"/>
  <c r="AU4688" i="1"/>
  <c r="AW4687" i="1"/>
  <c r="AV4687" i="1"/>
  <c r="AW4686" i="1"/>
  <c r="AV4686" i="1"/>
  <c r="AW4685" i="1"/>
  <c r="AV4685" i="1"/>
  <c r="AU4685" i="1"/>
  <c r="AW4684" i="1"/>
  <c r="AV4684" i="1"/>
  <c r="AW4683" i="1"/>
  <c r="AV4683" i="1"/>
  <c r="AU4683" i="1"/>
  <c r="AW4682" i="1"/>
  <c r="AV4682" i="1"/>
  <c r="AW4681" i="1"/>
  <c r="AV4681" i="1"/>
  <c r="AU4681" i="1"/>
  <c r="AW4680" i="1"/>
  <c r="AV4680" i="1"/>
  <c r="AU4680" i="1"/>
  <c r="AW4679" i="1"/>
  <c r="AV4679" i="1"/>
  <c r="AW4678" i="1"/>
  <c r="AV4678" i="1"/>
  <c r="AW4677" i="1"/>
  <c r="AV4677" i="1"/>
  <c r="AW4676" i="1"/>
  <c r="AV4676" i="1"/>
  <c r="AW4675" i="1"/>
  <c r="AV4675" i="1"/>
  <c r="AW4674" i="1"/>
  <c r="AV4674" i="1"/>
  <c r="AW4673" i="1"/>
  <c r="AV4673" i="1"/>
  <c r="AW4672" i="1"/>
  <c r="AV4672" i="1"/>
  <c r="AU4672" i="1"/>
  <c r="AW4671" i="1"/>
  <c r="AV4671" i="1"/>
  <c r="AW4670" i="1"/>
  <c r="AV4670" i="1"/>
  <c r="AU4670" i="1"/>
  <c r="AW4669" i="1"/>
  <c r="AV4669" i="1"/>
  <c r="AW4668" i="1"/>
  <c r="AV4668" i="1"/>
  <c r="AW4667" i="1"/>
  <c r="AV4667" i="1"/>
  <c r="AU4667" i="1"/>
  <c r="AW4666" i="1"/>
  <c r="AV4666" i="1"/>
  <c r="AU4666" i="1"/>
  <c r="AW4665" i="1"/>
  <c r="AV4665" i="1"/>
  <c r="AW4664" i="1"/>
  <c r="AV4664" i="1"/>
  <c r="AW4663" i="1"/>
  <c r="AV4663" i="1"/>
  <c r="AW4662" i="1"/>
  <c r="AV4662" i="1"/>
  <c r="AU4662" i="1"/>
  <c r="AW4661" i="1"/>
  <c r="AV4661" i="1"/>
  <c r="AW4660" i="1"/>
  <c r="AV4660" i="1"/>
  <c r="AU4660" i="1"/>
  <c r="AW4659" i="1"/>
  <c r="AV4659" i="1"/>
  <c r="AW4658" i="1"/>
  <c r="AV4658" i="1"/>
  <c r="AW4657" i="1"/>
  <c r="AV4657" i="1"/>
  <c r="AU4657" i="1"/>
  <c r="AW4656" i="1"/>
  <c r="AV4656" i="1"/>
  <c r="AU4656" i="1"/>
  <c r="AW4655" i="1"/>
  <c r="AV4655" i="1"/>
  <c r="AU4655" i="1"/>
  <c r="AW4654" i="1"/>
  <c r="AV4654" i="1"/>
  <c r="AU4654" i="1"/>
  <c r="AW4653" i="1"/>
  <c r="AV4653" i="1"/>
  <c r="AU4653" i="1"/>
  <c r="AW4652" i="1"/>
  <c r="AV4652" i="1"/>
  <c r="AU4652" i="1"/>
  <c r="AW4651" i="1"/>
  <c r="AV4651" i="1"/>
  <c r="AU4651" i="1"/>
  <c r="AW4650" i="1"/>
  <c r="AV4650" i="1"/>
  <c r="AU4650" i="1"/>
  <c r="AW4649" i="1"/>
  <c r="AV4649" i="1"/>
  <c r="AU4649" i="1"/>
  <c r="AW4648" i="1"/>
  <c r="AV4648" i="1"/>
  <c r="AU4648" i="1"/>
  <c r="AW4647" i="1"/>
  <c r="AV4647" i="1"/>
  <c r="AU4647" i="1"/>
  <c r="AW4646" i="1"/>
  <c r="AV4646" i="1"/>
  <c r="AU4646" i="1"/>
  <c r="AW4645" i="1"/>
  <c r="AV4645" i="1"/>
  <c r="AU4645" i="1"/>
  <c r="AW4644" i="1"/>
  <c r="AV4644" i="1"/>
  <c r="AW4643" i="1"/>
  <c r="AV4643" i="1"/>
  <c r="AU4643" i="1"/>
  <c r="AW4642" i="1"/>
  <c r="AV4642" i="1"/>
  <c r="AU4642" i="1"/>
  <c r="AW4641" i="1"/>
  <c r="AV4641" i="1"/>
  <c r="AU4641" i="1"/>
  <c r="AW4640" i="1"/>
  <c r="AV4640" i="1"/>
  <c r="AW4639" i="1"/>
  <c r="AV4639" i="1"/>
  <c r="AW4638" i="1"/>
  <c r="AV4638" i="1"/>
  <c r="AU4638" i="1"/>
  <c r="AW4637" i="1"/>
  <c r="AV4637" i="1"/>
  <c r="AU4637" i="1"/>
  <c r="AW4636" i="1"/>
  <c r="AV4636" i="1"/>
  <c r="AW4635" i="1"/>
  <c r="AV4635" i="1"/>
  <c r="AW4634" i="1"/>
  <c r="AV4634" i="1"/>
  <c r="AW4633" i="1"/>
  <c r="AV4633" i="1"/>
  <c r="AU4633" i="1"/>
  <c r="AW4632" i="1"/>
  <c r="AV4632" i="1"/>
  <c r="AW4631" i="1"/>
  <c r="AV4631" i="1"/>
  <c r="AW4630" i="1"/>
  <c r="AV4630" i="1"/>
  <c r="AW4629" i="1"/>
  <c r="AV4629" i="1"/>
  <c r="AW4628" i="1"/>
  <c r="AV4628" i="1"/>
  <c r="AW4627" i="1"/>
  <c r="AV4627" i="1"/>
  <c r="AW4626" i="1"/>
  <c r="AV4626" i="1"/>
  <c r="AW4625" i="1"/>
  <c r="AV4625" i="1"/>
  <c r="AW4624" i="1"/>
  <c r="AV4624" i="1"/>
  <c r="AU4624" i="1"/>
  <c r="AW4623" i="1"/>
  <c r="AV4623" i="1"/>
  <c r="AW4622" i="1"/>
  <c r="AV4622" i="1"/>
  <c r="AU4622" i="1"/>
  <c r="AW4621" i="1"/>
  <c r="AV4621" i="1"/>
  <c r="AU4621" i="1"/>
  <c r="AW4620" i="1"/>
  <c r="AV4620" i="1"/>
  <c r="AW4619" i="1"/>
  <c r="AV4619" i="1"/>
  <c r="AU4619" i="1"/>
  <c r="AW4618" i="1"/>
  <c r="AV4618" i="1"/>
  <c r="AW4617" i="1"/>
  <c r="AV4617" i="1"/>
  <c r="AU4617" i="1"/>
  <c r="AW4616" i="1"/>
  <c r="AV4616" i="1"/>
  <c r="AU4616" i="1"/>
  <c r="AW4615" i="1"/>
  <c r="AV4615" i="1"/>
  <c r="AU4615" i="1"/>
  <c r="AW4614" i="1"/>
  <c r="AV4614" i="1"/>
  <c r="AW4613" i="1"/>
  <c r="AV4613" i="1"/>
  <c r="AU4613" i="1"/>
  <c r="AW4612" i="1"/>
  <c r="AV4612" i="1"/>
  <c r="AW4611" i="1"/>
  <c r="AV4611" i="1"/>
  <c r="AW4610" i="1"/>
  <c r="AV4610" i="1"/>
  <c r="AW4609" i="1"/>
  <c r="AV4609" i="1"/>
  <c r="AU4609" i="1"/>
  <c r="AW4608" i="1"/>
  <c r="AV4608" i="1"/>
  <c r="AU4608" i="1"/>
  <c r="AW4607" i="1"/>
  <c r="AV4607" i="1"/>
  <c r="AU4607" i="1"/>
  <c r="AW4606" i="1"/>
  <c r="AV4606" i="1"/>
  <c r="AW4605" i="1"/>
  <c r="AV4605" i="1"/>
  <c r="AW4604" i="1"/>
  <c r="AV4604" i="1"/>
  <c r="AW4603" i="1"/>
  <c r="AV4603" i="1"/>
  <c r="AU4603" i="1"/>
  <c r="AW4602" i="1"/>
  <c r="AV4602" i="1"/>
  <c r="AU4602" i="1"/>
  <c r="AW4601" i="1"/>
  <c r="AV4601" i="1"/>
  <c r="AW4600" i="1"/>
  <c r="AV4600" i="1"/>
  <c r="AW4599" i="1"/>
  <c r="AV4599" i="1"/>
  <c r="AW4598" i="1"/>
  <c r="AV4598" i="1"/>
  <c r="AU4598" i="1"/>
  <c r="AW4597" i="1"/>
  <c r="AV4597" i="1"/>
  <c r="AW4596" i="1"/>
  <c r="AV4596" i="1"/>
  <c r="AW4595" i="1"/>
  <c r="AV4595" i="1"/>
  <c r="AU4595" i="1"/>
  <c r="AW4594" i="1"/>
  <c r="AV4594" i="1"/>
  <c r="AW4593" i="1"/>
  <c r="AV4593" i="1"/>
  <c r="AU4593" i="1"/>
  <c r="AW4592" i="1"/>
  <c r="AV4592" i="1"/>
  <c r="AW4591" i="1"/>
  <c r="AV4591" i="1"/>
  <c r="AU4591" i="1"/>
  <c r="AW4590" i="1"/>
  <c r="AV4590" i="1"/>
  <c r="AW4589" i="1"/>
  <c r="AV4589" i="1"/>
  <c r="AU4589" i="1"/>
  <c r="AW4588" i="1"/>
  <c r="AV4588" i="1"/>
  <c r="AW4587" i="1"/>
  <c r="AV4587" i="1"/>
  <c r="AW4586" i="1"/>
  <c r="AV4586" i="1"/>
  <c r="AW4585" i="1"/>
  <c r="AV4585" i="1"/>
  <c r="AW4584" i="1"/>
  <c r="AV4584" i="1"/>
  <c r="AU4584" i="1"/>
  <c r="AW4583" i="1"/>
  <c r="AV4583" i="1"/>
  <c r="AU4583" i="1"/>
  <c r="AW4582" i="1"/>
  <c r="AV4582" i="1"/>
  <c r="AU4582" i="1"/>
  <c r="AW4581" i="1"/>
  <c r="AV4581" i="1"/>
  <c r="AU4581" i="1"/>
  <c r="AW4580" i="1"/>
  <c r="AV4580" i="1"/>
  <c r="AW4579" i="1"/>
  <c r="AV4579" i="1"/>
  <c r="AU4579" i="1"/>
  <c r="AW4578" i="1"/>
  <c r="AV4578" i="1"/>
  <c r="AU4578" i="1"/>
  <c r="AW4577" i="1"/>
  <c r="AV4577" i="1"/>
  <c r="AW4576" i="1"/>
  <c r="AV4576" i="1"/>
  <c r="AU4576" i="1"/>
  <c r="AW4575" i="1"/>
  <c r="AV4575" i="1"/>
  <c r="AW4574" i="1"/>
  <c r="AV4574" i="1"/>
  <c r="AW4573" i="1"/>
  <c r="AV4573" i="1"/>
  <c r="AW4572" i="1"/>
  <c r="AV4572" i="1"/>
  <c r="AU4572" i="1"/>
  <c r="AW4571" i="1"/>
  <c r="AV4571" i="1"/>
  <c r="AU4571" i="1"/>
  <c r="AW4570" i="1"/>
  <c r="AV4570" i="1"/>
  <c r="AW4569" i="1"/>
  <c r="AV4569" i="1"/>
  <c r="AU4569" i="1"/>
  <c r="AW4568" i="1"/>
  <c r="AV4568" i="1"/>
  <c r="AU4568" i="1"/>
  <c r="AW4567" i="1"/>
  <c r="AV4567" i="1"/>
  <c r="AU4567" i="1"/>
  <c r="AW4566" i="1"/>
  <c r="AV4566" i="1"/>
  <c r="AW4565" i="1"/>
  <c r="AV4565" i="1"/>
  <c r="AW4564" i="1"/>
  <c r="AV4564" i="1"/>
  <c r="AW4563" i="1"/>
  <c r="AV4563" i="1"/>
  <c r="AU4563" i="1"/>
  <c r="AW4562" i="1"/>
  <c r="AV4562" i="1"/>
  <c r="AU4562" i="1"/>
  <c r="AW4561" i="1"/>
  <c r="AV4561" i="1"/>
  <c r="AU4561" i="1"/>
  <c r="AW4560" i="1"/>
  <c r="AV4560" i="1"/>
  <c r="AU4560" i="1"/>
  <c r="AW4559" i="1"/>
  <c r="AV4559" i="1"/>
  <c r="AW4558" i="1"/>
  <c r="AV4558" i="1"/>
  <c r="AW4557" i="1"/>
  <c r="AV4557" i="1"/>
  <c r="AW4556" i="1"/>
  <c r="AV4556" i="1"/>
  <c r="AW4555" i="1"/>
  <c r="AV4555" i="1"/>
  <c r="AU4555" i="1"/>
  <c r="AW4554" i="1"/>
  <c r="AV4554" i="1"/>
  <c r="AU4554" i="1"/>
  <c r="AW4553" i="1"/>
  <c r="AV4553" i="1"/>
  <c r="AW4552" i="1"/>
  <c r="AV4552" i="1"/>
  <c r="AU4552" i="1"/>
  <c r="AW4551" i="1"/>
  <c r="AV4551" i="1"/>
  <c r="AW4550" i="1"/>
  <c r="AV4550" i="1"/>
  <c r="AU4550" i="1"/>
  <c r="AW4549" i="1"/>
  <c r="AV4549" i="1"/>
  <c r="AU4549" i="1"/>
  <c r="AW4548" i="1"/>
  <c r="AV4548" i="1"/>
  <c r="AU4548" i="1"/>
  <c r="AW4547" i="1"/>
  <c r="AV4547" i="1"/>
  <c r="AW4546" i="1"/>
  <c r="AV4546" i="1"/>
  <c r="AU4546" i="1"/>
  <c r="AW4545" i="1"/>
  <c r="AV4545" i="1"/>
  <c r="AU4545" i="1"/>
  <c r="AW4544" i="1"/>
  <c r="AV4544" i="1"/>
  <c r="AU4544" i="1"/>
  <c r="AW4543" i="1"/>
  <c r="AV4543" i="1"/>
  <c r="AW4542" i="1"/>
  <c r="AV4542" i="1"/>
  <c r="AW4541" i="1"/>
  <c r="AV4541" i="1"/>
  <c r="AW4540" i="1"/>
  <c r="AV4540" i="1"/>
  <c r="AW4539" i="1"/>
  <c r="AV4539" i="1"/>
  <c r="AW4538" i="1"/>
  <c r="AV4538" i="1"/>
  <c r="AW4537" i="1"/>
  <c r="AV4537" i="1"/>
  <c r="AW4536" i="1"/>
  <c r="AV4536" i="1"/>
  <c r="AW4535" i="1"/>
  <c r="AV4535" i="1"/>
  <c r="AW4534" i="1"/>
  <c r="AV4534" i="1"/>
  <c r="AW4533" i="1"/>
  <c r="AV4533" i="1"/>
  <c r="AW4532" i="1"/>
  <c r="AV4532" i="1"/>
  <c r="AW4531" i="1"/>
  <c r="AV4531" i="1"/>
  <c r="AU4531" i="1"/>
  <c r="AW4530" i="1"/>
  <c r="AV4530" i="1"/>
  <c r="AU4530" i="1"/>
  <c r="AW4529" i="1"/>
  <c r="AV4529" i="1"/>
  <c r="AW4528" i="1"/>
  <c r="AV4528" i="1"/>
  <c r="AU4528" i="1"/>
  <c r="AW4527" i="1"/>
  <c r="AV4527" i="1"/>
  <c r="AU4527" i="1"/>
  <c r="AW4526" i="1"/>
  <c r="AV4526" i="1"/>
  <c r="AW4525" i="1"/>
  <c r="AV4525" i="1"/>
  <c r="AU4525" i="1"/>
  <c r="AW4524" i="1"/>
  <c r="AV4524" i="1"/>
  <c r="AU4524" i="1"/>
  <c r="AW4523" i="1"/>
  <c r="AV4523" i="1"/>
  <c r="AW4522" i="1"/>
  <c r="AV4522" i="1"/>
  <c r="AW4521" i="1"/>
  <c r="AV4521" i="1"/>
  <c r="AU4521" i="1"/>
  <c r="AW4520" i="1"/>
  <c r="AV4520" i="1"/>
  <c r="AW4519" i="1"/>
  <c r="AV4519" i="1"/>
  <c r="AW4518" i="1"/>
  <c r="AV4518" i="1"/>
  <c r="AW4517" i="1"/>
  <c r="AV4517" i="1"/>
  <c r="AU4517" i="1"/>
  <c r="AW4516" i="1"/>
  <c r="AV4516" i="1"/>
  <c r="AW4515" i="1"/>
  <c r="AV4515" i="1"/>
  <c r="AU4515" i="1"/>
  <c r="AW4514" i="1"/>
  <c r="AV4514" i="1"/>
  <c r="AU4514" i="1"/>
  <c r="AW4513" i="1"/>
  <c r="AV4513" i="1"/>
  <c r="AW4512" i="1"/>
  <c r="AV4512" i="1"/>
  <c r="AW4511" i="1"/>
  <c r="AV4511" i="1"/>
  <c r="AW4510" i="1"/>
  <c r="AV4510" i="1"/>
  <c r="AU4510" i="1"/>
  <c r="AW4509" i="1"/>
  <c r="AV4509" i="1"/>
  <c r="AW4508" i="1"/>
  <c r="AV4508" i="1"/>
  <c r="AU4508" i="1"/>
  <c r="AW4507" i="1"/>
  <c r="AV4507" i="1"/>
  <c r="AU4507" i="1"/>
  <c r="AW4506" i="1"/>
  <c r="AV4506" i="1"/>
  <c r="AU4506" i="1"/>
  <c r="AW4505" i="1"/>
  <c r="AV4505" i="1"/>
  <c r="AU4505" i="1"/>
  <c r="AW4504" i="1"/>
  <c r="AV4504" i="1"/>
  <c r="AW4503" i="1"/>
  <c r="AV4503" i="1"/>
  <c r="AU4503" i="1"/>
  <c r="AW4502" i="1"/>
  <c r="AV4502" i="1"/>
  <c r="AW4501" i="1"/>
  <c r="AV4501" i="1"/>
  <c r="AU4501" i="1"/>
  <c r="AW4500" i="1"/>
  <c r="AV4500" i="1"/>
  <c r="AW4499" i="1"/>
  <c r="AV4499" i="1"/>
  <c r="AU4499" i="1"/>
  <c r="AW4498" i="1"/>
  <c r="AV4498" i="1"/>
  <c r="AU4498" i="1"/>
  <c r="AW4497" i="1"/>
  <c r="AV4497" i="1"/>
  <c r="AU4497" i="1"/>
  <c r="AW4496" i="1"/>
  <c r="AV4496" i="1"/>
  <c r="AU4496" i="1"/>
  <c r="AW4495" i="1"/>
  <c r="AV4495" i="1"/>
  <c r="AW4494" i="1"/>
  <c r="AV4494" i="1"/>
  <c r="AU4494" i="1"/>
  <c r="AW4493" i="1"/>
  <c r="AV4493" i="1"/>
  <c r="AU4493" i="1"/>
  <c r="AW4492" i="1"/>
  <c r="AV4492" i="1"/>
  <c r="AU4492" i="1"/>
  <c r="AW4491" i="1"/>
  <c r="AV4491" i="1"/>
  <c r="AU4491" i="1"/>
  <c r="AW4490" i="1"/>
  <c r="AV4490" i="1"/>
  <c r="AW4489" i="1"/>
  <c r="AV4489" i="1"/>
  <c r="AW4488" i="1"/>
  <c r="AV4488" i="1"/>
  <c r="AW4487" i="1"/>
  <c r="AV4487" i="1"/>
  <c r="AU4487" i="1"/>
  <c r="AW4486" i="1"/>
  <c r="AV4486" i="1"/>
  <c r="AW4485" i="1"/>
  <c r="AV4485" i="1"/>
  <c r="AW4484" i="1"/>
  <c r="AV4484" i="1"/>
  <c r="AU4484" i="1"/>
  <c r="AW4483" i="1"/>
  <c r="AV4483" i="1"/>
  <c r="AW4482" i="1"/>
  <c r="AV4482" i="1"/>
  <c r="AW4481" i="1"/>
  <c r="AV4481" i="1"/>
  <c r="AW4480" i="1"/>
  <c r="AV4480" i="1"/>
  <c r="AU4480" i="1"/>
  <c r="AW4479" i="1"/>
  <c r="AV4479" i="1"/>
  <c r="AU4479" i="1"/>
  <c r="AW4478" i="1"/>
  <c r="AV4478" i="1"/>
  <c r="AW4477" i="1"/>
  <c r="AV4477" i="1"/>
  <c r="AU4477" i="1"/>
  <c r="AW4476" i="1"/>
  <c r="AV4476" i="1"/>
  <c r="AU4476" i="1"/>
  <c r="AW4475" i="1"/>
  <c r="AV4475" i="1"/>
  <c r="AW4474" i="1"/>
  <c r="AV4474" i="1"/>
  <c r="AU4474" i="1"/>
  <c r="AW4473" i="1"/>
  <c r="AV4473" i="1"/>
  <c r="AU4473" i="1"/>
  <c r="AW4472" i="1"/>
  <c r="AV4472" i="1"/>
  <c r="AW4471" i="1"/>
  <c r="AV4471" i="1"/>
  <c r="AU4471" i="1"/>
  <c r="AW4470" i="1"/>
  <c r="AV4470" i="1"/>
  <c r="AW4469" i="1"/>
  <c r="AV4469" i="1"/>
  <c r="AW4468" i="1"/>
  <c r="AV4468" i="1"/>
  <c r="AU4468" i="1"/>
  <c r="AW4467" i="1"/>
  <c r="AV4467" i="1"/>
  <c r="AU4467" i="1"/>
  <c r="AW4466" i="1"/>
  <c r="AV4466" i="1"/>
  <c r="AU4466" i="1"/>
  <c r="AW4465" i="1"/>
  <c r="AV4465" i="1"/>
  <c r="AW4464" i="1"/>
  <c r="AV4464" i="1"/>
  <c r="AU4464" i="1"/>
  <c r="AW4463" i="1"/>
  <c r="AV4463" i="1"/>
  <c r="AU4463" i="1"/>
  <c r="AW4462" i="1"/>
  <c r="AV4462" i="1"/>
  <c r="AW4461" i="1"/>
  <c r="AV4461" i="1"/>
  <c r="AW4460" i="1"/>
  <c r="AV4460" i="1"/>
  <c r="AW4459" i="1"/>
  <c r="AV4459" i="1"/>
  <c r="AW4458" i="1"/>
  <c r="AV4458" i="1"/>
  <c r="AW4457" i="1"/>
  <c r="AV4457" i="1"/>
  <c r="AW4456" i="1"/>
  <c r="AV4456" i="1"/>
  <c r="AW4455" i="1"/>
  <c r="AV4455" i="1"/>
  <c r="AW4454" i="1"/>
  <c r="AV4454" i="1"/>
  <c r="AW4453" i="1"/>
  <c r="AV4453" i="1"/>
  <c r="AW4452" i="1"/>
  <c r="AV4452" i="1"/>
  <c r="AW4451" i="1"/>
  <c r="AV4451" i="1"/>
  <c r="AW4450" i="1"/>
  <c r="AV4450" i="1"/>
  <c r="AW4449" i="1"/>
  <c r="AV4449" i="1"/>
  <c r="AW4448" i="1"/>
  <c r="AV4448" i="1"/>
  <c r="AW4447" i="1"/>
  <c r="AV4447" i="1"/>
  <c r="AW4446" i="1"/>
  <c r="AV4446" i="1"/>
  <c r="AW4445" i="1"/>
  <c r="AV4445" i="1"/>
  <c r="AW4444" i="1"/>
  <c r="AV4444" i="1"/>
  <c r="AW4443" i="1"/>
  <c r="AV4443" i="1"/>
  <c r="AU4443" i="1"/>
  <c r="AW4442" i="1"/>
  <c r="AV4442" i="1"/>
  <c r="AU4442" i="1"/>
  <c r="AW4441" i="1"/>
  <c r="AV4441" i="1"/>
  <c r="AW4440" i="1"/>
  <c r="AV4440" i="1"/>
  <c r="AW4439" i="1"/>
  <c r="AV4439" i="1"/>
  <c r="AW4438" i="1"/>
  <c r="AV4438" i="1"/>
  <c r="AW4437" i="1"/>
  <c r="AV4437" i="1"/>
  <c r="AU4437" i="1"/>
  <c r="AW4436" i="1"/>
  <c r="AV4436" i="1"/>
  <c r="AU4436" i="1"/>
  <c r="AW4435" i="1"/>
  <c r="AV4435" i="1"/>
  <c r="AW4434" i="1"/>
  <c r="AV4434" i="1"/>
  <c r="AW4433" i="1"/>
  <c r="AV4433" i="1"/>
  <c r="AU4433" i="1"/>
  <c r="AW4432" i="1"/>
  <c r="AV4432" i="1"/>
  <c r="AU4432" i="1"/>
  <c r="AW4431" i="1"/>
  <c r="AV4431" i="1"/>
  <c r="AW4430" i="1"/>
  <c r="AV4430" i="1"/>
  <c r="AW4429" i="1"/>
  <c r="AV4429" i="1"/>
  <c r="AW4428" i="1"/>
  <c r="AV4428" i="1"/>
  <c r="AW4427" i="1"/>
  <c r="AV4427" i="1"/>
  <c r="AW4426" i="1"/>
  <c r="AV4426" i="1"/>
  <c r="AW4425" i="1"/>
  <c r="AV4425" i="1"/>
  <c r="AW4424" i="1"/>
  <c r="AV4424" i="1"/>
  <c r="AU4424" i="1"/>
  <c r="AW4423" i="1"/>
  <c r="AV4423" i="1"/>
  <c r="AW4422" i="1"/>
  <c r="AV4422" i="1"/>
  <c r="AW4421" i="1"/>
  <c r="AV4421" i="1"/>
  <c r="AW4420" i="1"/>
  <c r="AV4420" i="1"/>
  <c r="AW4419" i="1"/>
  <c r="AV4419" i="1"/>
  <c r="AW4418" i="1"/>
  <c r="AV4418" i="1"/>
  <c r="AW4417" i="1"/>
  <c r="AV4417" i="1"/>
  <c r="AU4417" i="1"/>
  <c r="AW4416" i="1"/>
  <c r="AV4416" i="1"/>
  <c r="AW4415" i="1"/>
  <c r="AV4415" i="1"/>
  <c r="AU4415" i="1"/>
  <c r="AW4414" i="1"/>
  <c r="AV4414" i="1"/>
  <c r="AW4413" i="1"/>
  <c r="AV4413" i="1"/>
  <c r="AW4412" i="1"/>
  <c r="AV4412" i="1"/>
  <c r="AW4411" i="1"/>
  <c r="AV4411" i="1"/>
  <c r="AU4411" i="1"/>
  <c r="AW4410" i="1"/>
  <c r="AV4410" i="1"/>
  <c r="AU4410" i="1"/>
  <c r="AW4409" i="1"/>
  <c r="AV4409" i="1"/>
  <c r="AU4409" i="1"/>
  <c r="AW4408" i="1"/>
  <c r="AV4408" i="1"/>
  <c r="AW4407" i="1"/>
  <c r="AV4407" i="1"/>
  <c r="AW4406" i="1"/>
  <c r="AV4406" i="1"/>
  <c r="AU4406" i="1"/>
  <c r="AW4405" i="1"/>
  <c r="AV4405" i="1"/>
  <c r="AW4404" i="1"/>
  <c r="AV4404" i="1"/>
  <c r="AW4403" i="1"/>
  <c r="AV4403" i="1"/>
  <c r="AU4403" i="1"/>
  <c r="AW4402" i="1"/>
  <c r="AV4402" i="1"/>
  <c r="AU4402" i="1"/>
  <c r="AW4401" i="1"/>
  <c r="AV4401" i="1"/>
  <c r="AU4401" i="1"/>
  <c r="AW4400" i="1"/>
  <c r="AV4400" i="1"/>
  <c r="AU4400" i="1"/>
  <c r="AW4399" i="1"/>
  <c r="AV4399" i="1"/>
  <c r="AU4399" i="1"/>
  <c r="AW4398" i="1"/>
  <c r="AV4398" i="1"/>
  <c r="AW4397" i="1"/>
  <c r="AV4397" i="1"/>
  <c r="AU4397" i="1"/>
  <c r="AW4396" i="1"/>
  <c r="AV4396" i="1"/>
  <c r="AU4396" i="1"/>
  <c r="AW4395" i="1"/>
  <c r="AV4395" i="1"/>
  <c r="AU4395" i="1"/>
  <c r="AW4394" i="1"/>
  <c r="AV4394" i="1"/>
  <c r="AU4394" i="1"/>
  <c r="AW4393" i="1"/>
  <c r="AV4393" i="1"/>
  <c r="AW4392" i="1"/>
  <c r="AV4392" i="1"/>
  <c r="AU4392" i="1"/>
  <c r="AW4391" i="1"/>
  <c r="AV4391" i="1"/>
  <c r="AW4390" i="1"/>
  <c r="AV4390" i="1"/>
  <c r="AW4389" i="1"/>
  <c r="AV4389" i="1"/>
  <c r="AW4388" i="1"/>
  <c r="AV4388" i="1"/>
  <c r="AW4387" i="1"/>
  <c r="AV4387" i="1"/>
  <c r="AU4387" i="1"/>
  <c r="AW4386" i="1"/>
  <c r="AV4386" i="1"/>
  <c r="AU4386" i="1"/>
  <c r="AW4385" i="1"/>
  <c r="AV4385" i="1"/>
  <c r="AU4385" i="1"/>
  <c r="AW4384" i="1"/>
  <c r="AV4384" i="1"/>
  <c r="AW4383" i="1"/>
  <c r="AV4383" i="1"/>
  <c r="AU4383" i="1"/>
  <c r="AW4382" i="1"/>
  <c r="AV4382" i="1"/>
  <c r="AU4382" i="1"/>
  <c r="AW4381" i="1"/>
  <c r="AV4381" i="1"/>
  <c r="AU4381" i="1"/>
  <c r="AW4380" i="1"/>
  <c r="AV4380" i="1"/>
  <c r="AU4380" i="1"/>
  <c r="AW4379" i="1"/>
  <c r="AV4379" i="1"/>
  <c r="AW4378" i="1"/>
  <c r="AV4378" i="1"/>
  <c r="AU4378" i="1"/>
  <c r="AW4377" i="1"/>
  <c r="AV4377" i="1"/>
  <c r="AU4377" i="1"/>
  <c r="AW4376" i="1"/>
  <c r="AV4376" i="1"/>
  <c r="AW4375" i="1"/>
  <c r="AV4375" i="1"/>
  <c r="AU4375" i="1"/>
  <c r="AW4374" i="1"/>
  <c r="AV4374" i="1"/>
  <c r="AU4374" i="1"/>
  <c r="AW4373" i="1"/>
  <c r="AV4373" i="1"/>
  <c r="AU4373" i="1"/>
  <c r="AW4372" i="1"/>
  <c r="AV4372" i="1"/>
  <c r="AU4372" i="1"/>
  <c r="AW4371" i="1"/>
  <c r="AV4371" i="1"/>
  <c r="AU4371" i="1"/>
  <c r="AW4370" i="1"/>
  <c r="AV4370" i="1"/>
  <c r="AU4370" i="1"/>
  <c r="AW4369" i="1"/>
  <c r="AV4369" i="1"/>
  <c r="AU4369" i="1"/>
  <c r="AW4368" i="1"/>
  <c r="AV4368" i="1"/>
  <c r="AU4368" i="1"/>
  <c r="AW4367" i="1"/>
  <c r="AV4367" i="1"/>
  <c r="AU4367" i="1"/>
  <c r="AW4366" i="1"/>
  <c r="AV4366" i="1"/>
  <c r="AU4366" i="1"/>
  <c r="AW4365" i="1"/>
  <c r="AV4365" i="1"/>
  <c r="AU4365" i="1"/>
  <c r="AW4364" i="1"/>
  <c r="AV4364" i="1"/>
  <c r="AW4363" i="1"/>
  <c r="AV4363" i="1"/>
  <c r="AW4362" i="1"/>
  <c r="AV4362" i="1"/>
  <c r="AU4362" i="1"/>
  <c r="AW4361" i="1"/>
  <c r="AV4361" i="1"/>
  <c r="AU4361" i="1"/>
  <c r="AW4360" i="1"/>
  <c r="AV4360" i="1"/>
  <c r="AW4359" i="1"/>
  <c r="AV4359" i="1"/>
  <c r="AU4359" i="1"/>
  <c r="AW4358" i="1"/>
  <c r="AV4358" i="1"/>
  <c r="AU4358" i="1"/>
  <c r="AW4357" i="1"/>
  <c r="AV4357" i="1"/>
  <c r="AU4357" i="1"/>
  <c r="AW4356" i="1"/>
  <c r="AV4356" i="1"/>
  <c r="AU4356" i="1"/>
  <c r="AW4355" i="1"/>
  <c r="AV4355" i="1"/>
  <c r="AU4355" i="1"/>
  <c r="AW4354" i="1"/>
  <c r="AV4354" i="1"/>
  <c r="AW4353" i="1"/>
  <c r="AV4353" i="1"/>
  <c r="AW4352" i="1"/>
  <c r="AV4352" i="1"/>
  <c r="AU4352" i="1"/>
  <c r="AW4351" i="1"/>
  <c r="AV4351" i="1"/>
  <c r="AU4351" i="1"/>
  <c r="AW4350" i="1"/>
  <c r="AV4350" i="1"/>
  <c r="AU4350" i="1"/>
  <c r="AW4349" i="1"/>
  <c r="AV4349" i="1"/>
  <c r="AW4348" i="1"/>
  <c r="AV4348" i="1"/>
  <c r="AW4347" i="1"/>
  <c r="AV4347" i="1"/>
  <c r="AU4347" i="1"/>
  <c r="AW4346" i="1"/>
  <c r="AV4346" i="1"/>
  <c r="AW4345" i="1"/>
  <c r="AV4345" i="1"/>
  <c r="AU4345" i="1"/>
  <c r="AW4344" i="1"/>
  <c r="AV4344" i="1"/>
  <c r="AU4344" i="1"/>
  <c r="AW4343" i="1"/>
  <c r="AV4343" i="1"/>
  <c r="AU4343" i="1"/>
  <c r="AW4342" i="1"/>
  <c r="AV4342" i="1"/>
  <c r="AU4342" i="1"/>
  <c r="AW4341" i="1"/>
  <c r="AV4341" i="1"/>
  <c r="AU4341" i="1"/>
  <c r="AW4340" i="1"/>
  <c r="AV4340" i="1"/>
  <c r="AU4340" i="1"/>
  <c r="AW4339" i="1"/>
  <c r="AV4339" i="1"/>
  <c r="AU4339" i="1"/>
  <c r="AW4338" i="1"/>
  <c r="AV4338" i="1"/>
  <c r="AW4337" i="1"/>
  <c r="AV4337" i="1"/>
  <c r="AU4337" i="1"/>
  <c r="AW4336" i="1"/>
  <c r="AV4336" i="1"/>
  <c r="AU4336" i="1"/>
  <c r="AW4335" i="1"/>
  <c r="AV4335" i="1"/>
  <c r="AU4335" i="1"/>
  <c r="AW4334" i="1"/>
  <c r="AV4334" i="1"/>
  <c r="AW4333" i="1"/>
  <c r="AV4333" i="1"/>
  <c r="AU4333" i="1"/>
  <c r="AW4332" i="1"/>
  <c r="AV4332" i="1"/>
  <c r="AW4331" i="1"/>
  <c r="AV4331" i="1"/>
  <c r="AW4330" i="1"/>
  <c r="AV4330" i="1"/>
  <c r="AU4330" i="1"/>
  <c r="AW4329" i="1"/>
  <c r="AV4329" i="1"/>
  <c r="AW4328" i="1"/>
  <c r="AV4328" i="1"/>
  <c r="AW4327" i="1"/>
  <c r="AV4327" i="1"/>
  <c r="AW4326" i="1"/>
  <c r="AV4326" i="1"/>
  <c r="AU4326" i="1"/>
  <c r="AW4325" i="1"/>
  <c r="AV4325" i="1"/>
  <c r="AU4325" i="1"/>
  <c r="AW4324" i="1"/>
  <c r="AV4324" i="1"/>
  <c r="AU4324" i="1"/>
  <c r="AW4323" i="1"/>
  <c r="AV4323" i="1"/>
  <c r="AU4323" i="1"/>
  <c r="AW4322" i="1"/>
  <c r="AV4322" i="1"/>
  <c r="AU4322" i="1"/>
  <c r="AW4321" i="1"/>
  <c r="AV4321" i="1"/>
  <c r="AU4321" i="1"/>
  <c r="AW4320" i="1"/>
  <c r="AV4320" i="1"/>
  <c r="AU4320" i="1"/>
  <c r="AW4319" i="1"/>
  <c r="AV4319" i="1"/>
  <c r="AU4319" i="1"/>
  <c r="AW4318" i="1"/>
  <c r="AV4318" i="1"/>
  <c r="AU4318" i="1"/>
  <c r="AW4317" i="1"/>
  <c r="AV4317" i="1"/>
  <c r="AU4317" i="1"/>
  <c r="AW4316" i="1"/>
  <c r="AV4316" i="1"/>
  <c r="AW4315" i="1"/>
  <c r="AV4315" i="1"/>
  <c r="AW4314" i="1"/>
  <c r="AV4314" i="1"/>
  <c r="AW4313" i="1"/>
  <c r="AV4313" i="1"/>
  <c r="AU4313" i="1"/>
  <c r="AW4312" i="1"/>
  <c r="AV4312" i="1"/>
  <c r="AU4312" i="1"/>
  <c r="AW4311" i="1"/>
  <c r="AV4311" i="1"/>
  <c r="AU4311" i="1"/>
  <c r="AW4310" i="1"/>
  <c r="AV4310" i="1"/>
  <c r="AW4309" i="1"/>
  <c r="AV4309" i="1"/>
  <c r="AW4308" i="1"/>
  <c r="AV4308" i="1"/>
  <c r="AU4308" i="1"/>
  <c r="AW4307" i="1"/>
  <c r="AV4307" i="1"/>
  <c r="AW4306" i="1"/>
  <c r="AV4306" i="1"/>
  <c r="AW4305" i="1"/>
  <c r="AV4305" i="1"/>
  <c r="AW4304" i="1"/>
  <c r="AV4304" i="1"/>
  <c r="AW4303" i="1"/>
  <c r="AV4303" i="1"/>
  <c r="AW4302" i="1"/>
  <c r="AV4302" i="1"/>
  <c r="AW4301" i="1"/>
  <c r="AV4301" i="1"/>
  <c r="AU4301" i="1"/>
  <c r="AW4300" i="1"/>
  <c r="AV4300" i="1"/>
  <c r="AU4300" i="1"/>
  <c r="AW4299" i="1"/>
  <c r="AV4299" i="1"/>
  <c r="AU4299" i="1"/>
  <c r="AW4298" i="1"/>
  <c r="AV4298" i="1"/>
  <c r="AU4298" i="1"/>
  <c r="AW4297" i="1"/>
  <c r="AV4297" i="1"/>
  <c r="AW4296" i="1"/>
  <c r="AV4296" i="1"/>
  <c r="AW4295" i="1"/>
  <c r="AV4295" i="1"/>
  <c r="AW4294" i="1"/>
  <c r="AV4294" i="1"/>
  <c r="AW4293" i="1"/>
  <c r="AV4293" i="1"/>
  <c r="AW4292" i="1"/>
  <c r="AV4292" i="1"/>
  <c r="AW4291" i="1"/>
  <c r="AV4291" i="1"/>
  <c r="AU4291" i="1"/>
  <c r="AW4290" i="1"/>
  <c r="AV4290" i="1"/>
  <c r="AW4289" i="1"/>
  <c r="AV4289" i="1"/>
  <c r="AU4289" i="1"/>
  <c r="AW4288" i="1"/>
  <c r="AV4288" i="1"/>
  <c r="AU4288" i="1"/>
  <c r="AW4287" i="1"/>
  <c r="AV4287" i="1"/>
  <c r="AU4287" i="1"/>
  <c r="AW4286" i="1"/>
  <c r="AV4286" i="1"/>
  <c r="AW4285" i="1"/>
  <c r="AV4285" i="1"/>
  <c r="AW4284" i="1"/>
  <c r="AV4284" i="1"/>
  <c r="AW4283" i="1"/>
  <c r="AV4283" i="1"/>
  <c r="AU4283" i="1"/>
  <c r="AW4282" i="1"/>
  <c r="AV4282" i="1"/>
  <c r="AU4282" i="1"/>
  <c r="AW4281" i="1"/>
  <c r="AV4281" i="1"/>
  <c r="AU4281" i="1"/>
  <c r="AW4280" i="1"/>
  <c r="AV4280" i="1"/>
  <c r="AU4280" i="1"/>
  <c r="AW4279" i="1"/>
  <c r="AV4279" i="1"/>
  <c r="AW4278" i="1"/>
  <c r="AV4278" i="1"/>
  <c r="AW4277" i="1"/>
  <c r="AV4277" i="1"/>
  <c r="AW4276" i="1"/>
  <c r="AV4276" i="1"/>
  <c r="AW4275" i="1"/>
  <c r="AV4275" i="1"/>
  <c r="AU4275" i="1"/>
  <c r="AW4274" i="1"/>
  <c r="AV4274" i="1"/>
  <c r="AW4273" i="1"/>
  <c r="AV4273" i="1"/>
  <c r="AW4272" i="1"/>
  <c r="AV4272" i="1"/>
  <c r="AW4271" i="1"/>
  <c r="AV4271" i="1"/>
  <c r="AU4271" i="1"/>
  <c r="AW4270" i="1"/>
  <c r="AV4270" i="1"/>
  <c r="AW4269" i="1"/>
  <c r="AV4269" i="1"/>
  <c r="AU4269" i="1"/>
  <c r="AW4268" i="1"/>
  <c r="AV4268" i="1"/>
  <c r="AW4267" i="1"/>
  <c r="AV4267" i="1"/>
  <c r="AU4267" i="1"/>
  <c r="AW4266" i="1"/>
  <c r="AV4266" i="1"/>
  <c r="AU4266" i="1"/>
  <c r="AW4265" i="1"/>
  <c r="AV4265" i="1"/>
  <c r="AW4264" i="1"/>
  <c r="AV4264" i="1"/>
  <c r="AU4264" i="1"/>
  <c r="AW4263" i="1"/>
  <c r="AV4263" i="1"/>
  <c r="AW4262" i="1"/>
  <c r="AV4262" i="1"/>
  <c r="AW4261" i="1"/>
  <c r="AV4261" i="1"/>
  <c r="AW4260" i="1"/>
  <c r="AV4260" i="1"/>
  <c r="AW4259" i="1"/>
  <c r="AV4259" i="1"/>
  <c r="AU4259" i="1"/>
  <c r="AW4258" i="1"/>
  <c r="AV4258" i="1"/>
  <c r="AU4258" i="1"/>
  <c r="AW4257" i="1"/>
  <c r="AV4257" i="1"/>
  <c r="AW4256" i="1"/>
  <c r="AV4256" i="1"/>
  <c r="AU4256" i="1"/>
  <c r="AW4255" i="1"/>
  <c r="AV4255" i="1"/>
  <c r="AU4255" i="1"/>
  <c r="AW4254" i="1"/>
  <c r="AV4254" i="1"/>
  <c r="AW4253" i="1"/>
  <c r="AV4253" i="1"/>
  <c r="AW4252" i="1"/>
  <c r="AV4252" i="1"/>
  <c r="AW4251" i="1"/>
  <c r="AV4251" i="1"/>
  <c r="AW4250" i="1"/>
  <c r="AV4250" i="1"/>
  <c r="AW4249" i="1"/>
  <c r="AV4249" i="1"/>
  <c r="AW4248" i="1"/>
  <c r="AV4248" i="1"/>
  <c r="AU4248" i="1"/>
  <c r="AW4247" i="1"/>
  <c r="AV4247" i="1"/>
  <c r="AW4246" i="1"/>
  <c r="AV4246" i="1"/>
  <c r="AU4246" i="1"/>
  <c r="AW4245" i="1"/>
  <c r="AV4245" i="1"/>
  <c r="AU4245" i="1"/>
  <c r="AW4244" i="1"/>
  <c r="AV4244" i="1"/>
  <c r="AU4244" i="1"/>
  <c r="AW4243" i="1"/>
  <c r="AV4243" i="1"/>
  <c r="AU4243" i="1"/>
  <c r="AW4242" i="1"/>
  <c r="AV4242" i="1"/>
  <c r="AU4242" i="1"/>
  <c r="AW4241" i="1"/>
  <c r="AV4241" i="1"/>
  <c r="AU4241" i="1"/>
  <c r="AW4240" i="1"/>
  <c r="AV4240" i="1"/>
  <c r="AW4239" i="1"/>
  <c r="AV4239" i="1"/>
  <c r="AU4239" i="1"/>
  <c r="AW4238" i="1"/>
  <c r="AV4238" i="1"/>
  <c r="AW4237" i="1"/>
  <c r="AV4237" i="1"/>
  <c r="AU4237" i="1"/>
  <c r="AW4236" i="1"/>
  <c r="AV4236" i="1"/>
  <c r="AU4236" i="1"/>
  <c r="AW4235" i="1"/>
  <c r="AV4235" i="1"/>
  <c r="AW4234" i="1"/>
  <c r="AV4234" i="1"/>
  <c r="AU4234" i="1"/>
  <c r="AW4233" i="1"/>
  <c r="AV4233" i="1"/>
  <c r="AW4232" i="1"/>
  <c r="AV4232" i="1"/>
  <c r="AW4231" i="1"/>
  <c r="AV4231" i="1"/>
  <c r="AU4231" i="1"/>
  <c r="AW4230" i="1"/>
  <c r="AV4230" i="1"/>
  <c r="AW4229" i="1"/>
  <c r="AV4229" i="1"/>
  <c r="AU4229" i="1"/>
  <c r="AW4228" i="1"/>
  <c r="AV4228" i="1"/>
  <c r="AW4227" i="1"/>
  <c r="AV4227" i="1"/>
  <c r="AW4226" i="1"/>
  <c r="AV4226" i="1"/>
  <c r="AW4225" i="1"/>
  <c r="AV4225" i="1"/>
  <c r="AW4224" i="1"/>
  <c r="AV4224" i="1"/>
  <c r="AW4223" i="1"/>
  <c r="AV4223" i="1"/>
  <c r="AW4222" i="1"/>
  <c r="AV4222" i="1"/>
  <c r="AW4221" i="1"/>
  <c r="AV4221" i="1"/>
  <c r="AW4220" i="1"/>
  <c r="AV4220" i="1"/>
  <c r="AU4220" i="1"/>
  <c r="AW4219" i="1"/>
  <c r="AV4219" i="1"/>
  <c r="AU4219" i="1"/>
  <c r="AW4218" i="1"/>
  <c r="AV4218" i="1"/>
  <c r="AU4218" i="1"/>
  <c r="AW4217" i="1"/>
  <c r="AV4217" i="1"/>
  <c r="AW4216" i="1"/>
  <c r="AV4216" i="1"/>
  <c r="AU4216" i="1"/>
  <c r="AW4215" i="1"/>
  <c r="AV4215" i="1"/>
  <c r="AU4215" i="1"/>
  <c r="AW4214" i="1"/>
  <c r="AV4214" i="1"/>
  <c r="AU4214" i="1"/>
  <c r="AW4213" i="1"/>
  <c r="AV4213" i="1"/>
  <c r="AU4213" i="1"/>
  <c r="AW4212" i="1"/>
  <c r="AV4212" i="1"/>
  <c r="AU4212" i="1"/>
  <c r="AW4211" i="1"/>
  <c r="AV4211" i="1"/>
  <c r="AU4211" i="1"/>
  <c r="AW4210" i="1"/>
  <c r="AV4210" i="1"/>
  <c r="AU4210" i="1"/>
  <c r="AW4209" i="1"/>
  <c r="AV4209" i="1"/>
  <c r="AU4209" i="1"/>
  <c r="AW4208" i="1"/>
  <c r="AV4208" i="1"/>
  <c r="AU4208" i="1"/>
  <c r="AW4207" i="1"/>
  <c r="AV4207" i="1"/>
  <c r="AU4207" i="1"/>
  <c r="AW4206" i="1"/>
  <c r="AV4206" i="1"/>
  <c r="AU4206" i="1"/>
  <c r="AW4205" i="1"/>
  <c r="AV4205" i="1"/>
  <c r="AU4205" i="1"/>
  <c r="AW4204" i="1"/>
  <c r="AV4204" i="1"/>
  <c r="AU4204" i="1"/>
  <c r="AW4203" i="1"/>
  <c r="AV4203" i="1"/>
  <c r="AU4203" i="1"/>
  <c r="AW4202" i="1"/>
  <c r="AV4202" i="1"/>
  <c r="AU4202" i="1"/>
  <c r="AW4201" i="1"/>
  <c r="AV4201" i="1"/>
  <c r="AU4201" i="1"/>
  <c r="AW4200" i="1"/>
  <c r="AV4200" i="1"/>
  <c r="AU4200" i="1"/>
  <c r="AW4199" i="1"/>
  <c r="AV4199" i="1"/>
  <c r="AU4199" i="1"/>
  <c r="AW4198" i="1"/>
  <c r="AV4198" i="1"/>
  <c r="AW4197" i="1"/>
  <c r="AV4197" i="1"/>
  <c r="AW4196" i="1"/>
  <c r="AV4196" i="1"/>
  <c r="AW4195" i="1"/>
  <c r="AV4195" i="1"/>
  <c r="AU4195" i="1"/>
  <c r="AW4194" i="1"/>
  <c r="AV4194" i="1"/>
  <c r="AW4193" i="1"/>
  <c r="AV4193" i="1"/>
  <c r="AW4192" i="1"/>
  <c r="AV4192" i="1"/>
  <c r="AW4191" i="1"/>
  <c r="AV4191" i="1"/>
  <c r="AW4190" i="1"/>
  <c r="AV4190" i="1"/>
  <c r="AW4189" i="1"/>
  <c r="AV4189" i="1"/>
  <c r="AW4188" i="1"/>
  <c r="AV4188" i="1"/>
  <c r="AW4187" i="1"/>
  <c r="AV4187" i="1"/>
  <c r="AW4186" i="1"/>
  <c r="AV4186" i="1"/>
  <c r="AW4185" i="1"/>
  <c r="AV4185" i="1"/>
  <c r="AW4184" i="1"/>
  <c r="AV4184" i="1"/>
  <c r="AU4184" i="1"/>
  <c r="AW4183" i="1"/>
  <c r="AV4183" i="1"/>
  <c r="AU4183" i="1"/>
  <c r="AW4182" i="1"/>
  <c r="AV4182" i="1"/>
  <c r="AU4182" i="1"/>
  <c r="AW4181" i="1"/>
  <c r="AV4181" i="1"/>
  <c r="AW4180" i="1"/>
  <c r="AV4180" i="1"/>
  <c r="AW4179" i="1"/>
  <c r="AV4179" i="1"/>
  <c r="AW4178" i="1"/>
  <c r="AV4178" i="1"/>
  <c r="AW4177" i="1"/>
  <c r="AV4177" i="1"/>
  <c r="AW4176" i="1"/>
  <c r="AV4176" i="1"/>
  <c r="AW4175" i="1"/>
  <c r="AV4175" i="1"/>
  <c r="AW4174" i="1"/>
  <c r="AV4174" i="1"/>
  <c r="AW4173" i="1"/>
  <c r="AV4173" i="1"/>
  <c r="AW4172" i="1"/>
  <c r="AV4172" i="1"/>
  <c r="AW4171" i="1"/>
  <c r="AV4171" i="1"/>
  <c r="AU4171" i="1"/>
  <c r="AW4170" i="1"/>
  <c r="AV4170" i="1"/>
  <c r="AU4170" i="1"/>
  <c r="AW4169" i="1"/>
  <c r="AV4169" i="1"/>
  <c r="AU4169" i="1"/>
  <c r="AW4168" i="1"/>
  <c r="AV4168" i="1"/>
  <c r="AW4167" i="1"/>
  <c r="AV4167" i="1"/>
  <c r="AW4166" i="1"/>
  <c r="AV4166" i="1"/>
  <c r="AW4165" i="1"/>
  <c r="AV4165" i="1"/>
  <c r="AW4164" i="1"/>
  <c r="AV4164" i="1"/>
  <c r="AW4163" i="1"/>
  <c r="AV4163" i="1"/>
  <c r="AW4162" i="1"/>
  <c r="AV4162" i="1"/>
  <c r="AW4161" i="1"/>
  <c r="AV4161" i="1"/>
  <c r="AU4161" i="1"/>
  <c r="AW4160" i="1"/>
  <c r="AV4160" i="1"/>
  <c r="AU4160" i="1"/>
  <c r="AW4159" i="1"/>
  <c r="AV4159" i="1"/>
  <c r="AU4159" i="1"/>
  <c r="AW4158" i="1"/>
  <c r="AV4158" i="1"/>
  <c r="AW4157" i="1"/>
  <c r="AV4157" i="1"/>
  <c r="AU4157" i="1"/>
  <c r="AW4156" i="1"/>
  <c r="AV4156" i="1"/>
  <c r="AU4156" i="1"/>
  <c r="AW4155" i="1"/>
  <c r="AV4155" i="1"/>
  <c r="AU4155" i="1"/>
  <c r="AW4154" i="1"/>
  <c r="AV4154" i="1"/>
  <c r="AU4154" i="1"/>
  <c r="AW4153" i="1"/>
  <c r="AV4153" i="1"/>
  <c r="AU4153" i="1"/>
  <c r="AW4152" i="1"/>
  <c r="AV4152" i="1"/>
  <c r="AW4151" i="1"/>
  <c r="AV4151" i="1"/>
  <c r="AU4151" i="1"/>
  <c r="AW4150" i="1"/>
  <c r="AV4150" i="1"/>
  <c r="AU4150" i="1"/>
  <c r="AW4149" i="1"/>
  <c r="AV4149" i="1"/>
  <c r="AW4148" i="1"/>
  <c r="AV4148" i="1"/>
  <c r="AW4147" i="1"/>
  <c r="AV4147" i="1"/>
  <c r="AW4146" i="1"/>
  <c r="AV4146" i="1"/>
  <c r="AU4146" i="1"/>
  <c r="AW4145" i="1"/>
  <c r="AV4145" i="1"/>
  <c r="AU4145" i="1"/>
  <c r="AW4144" i="1"/>
  <c r="AV4144" i="1"/>
  <c r="AU4144" i="1"/>
  <c r="AW4143" i="1"/>
  <c r="AV4143" i="1"/>
  <c r="AW4142" i="1"/>
  <c r="AV4142" i="1"/>
  <c r="AU4142" i="1"/>
  <c r="AW4141" i="1"/>
  <c r="AV4141" i="1"/>
  <c r="AW4140" i="1"/>
  <c r="AV4140" i="1"/>
  <c r="AW4139" i="1"/>
  <c r="AV4139" i="1"/>
  <c r="AW4138" i="1"/>
  <c r="AV4138" i="1"/>
  <c r="AU4138" i="1"/>
  <c r="AW4137" i="1"/>
  <c r="AV4137" i="1"/>
  <c r="AW4136" i="1"/>
  <c r="AV4136" i="1"/>
  <c r="AW4135" i="1"/>
  <c r="AV4135" i="1"/>
  <c r="AU4135" i="1"/>
  <c r="AW4134" i="1"/>
  <c r="AV4134" i="1"/>
  <c r="AU4134" i="1"/>
  <c r="AW4133" i="1"/>
  <c r="AV4133" i="1"/>
  <c r="AU4133" i="1"/>
  <c r="AW4132" i="1"/>
  <c r="AV4132" i="1"/>
  <c r="AU4132" i="1"/>
  <c r="AW4131" i="1"/>
  <c r="AV4131" i="1"/>
  <c r="AU4131" i="1"/>
  <c r="AW4130" i="1"/>
  <c r="AV4130" i="1"/>
  <c r="AU4130" i="1"/>
  <c r="AW4129" i="1"/>
  <c r="AV4129" i="1"/>
  <c r="AU4129" i="1"/>
  <c r="AW4128" i="1"/>
  <c r="AV4128" i="1"/>
  <c r="AU4128" i="1"/>
  <c r="AW4127" i="1"/>
  <c r="AV4127" i="1"/>
  <c r="AU4127" i="1"/>
  <c r="AW4126" i="1"/>
  <c r="AV4126" i="1"/>
  <c r="AW4125" i="1"/>
  <c r="AV4125" i="1"/>
  <c r="AW4124" i="1"/>
  <c r="AV4124" i="1"/>
  <c r="AW4123" i="1"/>
  <c r="AV4123" i="1"/>
  <c r="AW4122" i="1"/>
  <c r="AV4122" i="1"/>
  <c r="AW4121" i="1"/>
  <c r="AV4121" i="1"/>
  <c r="AU4121" i="1"/>
  <c r="AW4120" i="1"/>
  <c r="AV4120" i="1"/>
  <c r="AU4120" i="1"/>
  <c r="AW4119" i="1"/>
  <c r="AV4119" i="1"/>
  <c r="AU4119" i="1"/>
  <c r="AW4118" i="1"/>
  <c r="AV4118" i="1"/>
  <c r="AW4117" i="1"/>
  <c r="AV4117" i="1"/>
  <c r="AW4116" i="1"/>
  <c r="AV4116" i="1"/>
  <c r="AW4115" i="1"/>
  <c r="AV4115" i="1"/>
  <c r="AW4114" i="1"/>
  <c r="AV4114" i="1"/>
  <c r="AW4113" i="1"/>
  <c r="AV4113" i="1"/>
  <c r="AU4113" i="1"/>
  <c r="AW4112" i="1"/>
  <c r="AV4112" i="1"/>
  <c r="AW4111" i="1"/>
  <c r="AV4111" i="1"/>
  <c r="AW4110" i="1"/>
  <c r="AV4110" i="1"/>
  <c r="AU4110" i="1"/>
  <c r="AW4109" i="1"/>
  <c r="AV4109" i="1"/>
  <c r="AU4109" i="1"/>
  <c r="AW4108" i="1"/>
  <c r="AV4108" i="1"/>
  <c r="AU4108" i="1"/>
  <c r="AW4107" i="1"/>
  <c r="AV4107" i="1"/>
  <c r="AW4106" i="1"/>
  <c r="AV4106" i="1"/>
  <c r="AU4106" i="1"/>
  <c r="AW4105" i="1"/>
  <c r="AV4105" i="1"/>
  <c r="AW4104" i="1"/>
  <c r="AV4104" i="1"/>
  <c r="AW4103" i="1"/>
  <c r="AV4103" i="1"/>
  <c r="AW4102" i="1"/>
  <c r="AV4102" i="1"/>
  <c r="AU4102" i="1"/>
  <c r="AW4101" i="1"/>
  <c r="AV4101" i="1"/>
  <c r="AU4101" i="1"/>
  <c r="AW4100" i="1"/>
  <c r="AV4100" i="1"/>
  <c r="AW4099" i="1"/>
  <c r="AV4099" i="1"/>
  <c r="AU4099" i="1"/>
  <c r="AW4098" i="1"/>
  <c r="AV4098" i="1"/>
  <c r="AU4098" i="1"/>
  <c r="AW4097" i="1"/>
  <c r="AV4097" i="1"/>
  <c r="AU4097" i="1"/>
  <c r="AW4096" i="1"/>
  <c r="AV4096" i="1"/>
  <c r="AU4096" i="1"/>
  <c r="AW4095" i="1"/>
  <c r="AV4095" i="1"/>
  <c r="AU4095" i="1"/>
  <c r="AW4094" i="1"/>
  <c r="AV4094" i="1"/>
  <c r="AW4093" i="1"/>
  <c r="AV4093" i="1"/>
  <c r="AU4093" i="1"/>
  <c r="AW4092" i="1"/>
  <c r="AV4092" i="1"/>
  <c r="AU4092" i="1"/>
  <c r="AW4091" i="1"/>
  <c r="AV4091" i="1"/>
  <c r="AU4091" i="1"/>
  <c r="AW4090" i="1"/>
  <c r="AV4090" i="1"/>
  <c r="AW4089" i="1"/>
  <c r="AV4089" i="1"/>
  <c r="AW4088" i="1"/>
  <c r="AV4088" i="1"/>
  <c r="AW4087" i="1"/>
  <c r="AV4087" i="1"/>
  <c r="AW4086" i="1"/>
  <c r="AV4086" i="1"/>
  <c r="AU4086" i="1"/>
  <c r="AW4085" i="1"/>
  <c r="AV4085" i="1"/>
  <c r="AW4084" i="1"/>
  <c r="AV4084" i="1"/>
  <c r="AW4083" i="1"/>
  <c r="AV4083" i="1"/>
  <c r="AW4082" i="1"/>
  <c r="AV4082" i="1"/>
  <c r="AW4081" i="1"/>
  <c r="AV4081" i="1"/>
  <c r="AW4080" i="1"/>
  <c r="AV4080" i="1"/>
  <c r="AW4079" i="1"/>
  <c r="AV4079" i="1"/>
  <c r="AW4078" i="1"/>
  <c r="AV4078" i="1"/>
  <c r="AU4078" i="1"/>
  <c r="AW4077" i="1"/>
  <c r="AV4077" i="1"/>
  <c r="AU4077" i="1"/>
  <c r="AW4076" i="1"/>
  <c r="AV4076" i="1"/>
  <c r="AU4076" i="1"/>
  <c r="AW4075" i="1"/>
  <c r="AV4075" i="1"/>
  <c r="AU4075" i="1"/>
  <c r="AW4074" i="1"/>
  <c r="AV4074" i="1"/>
  <c r="AU4074" i="1"/>
  <c r="AW4073" i="1"/>
  <c r="AV4073" i="1"/>
  <c r="AW4072" i="1"/>
  <c r="AV4072" i="1"/>
  <c r="AU4072" i="1"/>
  <c r="AW4071" i="1"/>
  <c r="AV4071" i="1"/>
  <c r="AW4070" i="1"/>
  <c r="AV4070" i="1"/>
  <c r="AU4070" i="1"/>
  <c r="AW4069" i="1"/>
  <c r="AV4069" i="1"/>
  <c r="AW4068" i="1"/>
  <c r="AV4068" i="1"/>
  <c r="AW4067" i="1"/>
  <c r="AV4067" i="1"/>
  <c r="AU4067" i="1"/>
  <c r="AW4066" i="1"/>
  <c r="AV4066" i="1"/>
  <c r="AU4066" i="1"/>
  <c r="AW4065" i="1"/>
  <c r="AV4065" i="1"/>
  <c r="AW4064" i="1"/>
  <c r="AV4064" i="1"/>
  <c r="AW4063" i="1"/>
  <c r="AV4063" i="1"/>
  <c r="AW4062" i="1"/>
  <c r="AV4062" i="1"/>
  <c r="AU4062" i="1"/>
  <c r="AW4061" i="1"/>
  <c r="AV4061" i="1"/>
  <c r="AW4060" i="1"/>
  <c r="AV4060" i="1"/>
  <c r="AW4059" i="1"/>
  <c r="AV4059" i="1"/>
  <c r="AW4058" i="1"/>
  <c r="AV4058" i="1"/>
  <c r="AU4058" i="1"/>
  <c r="AW4057" i="1"/>
  <c r="AV4057" i="1"/>
  <c r="AW4056" i="1"/>
  <c r="AV4056" i="1"/>
  <c r="AU4056" i="1"/>
  <c r="AW4055" i="1"/>
  <c r="AV4055" i="1"/>
  <c r="AU4055" i="1"/>
  <c r="AW4054" i="1"/>
  <c r="AV4054" i="1"/>
  <c r="AW4053" i="1"/>
  <c r="AV4053" i="1"/>
  <c r="AU4053" i="1"/>
  <c r="AW4052" i="1"/>
  <c r="AV4052" i="1"/>
  <c r="AW4051" i="1"/>
  <c r="AV4051" i="1"/>
  <c r="AW4050" i="1"/>
  <c r="AV4050" i="1"/>
  <c r="AW4049" i="1"/>
  <c r="AV4049" i="1"/>
  <c r="AW4048" i="1"/>
  <c r="AV4048" i="1"/>
  <c r="AU4048" i="1"/>
  <c r="AW4047" i="1"/>
  <c r="AV4047" i="1"/>
  <c r="AW4046" i="1"/>
  <c r="AV4046" i="1"/>
  <c r="AW4045" i="1"/>
  <c r="AV4045" i="1"/>
  <c r="AW4044" i="1"/>
  <c r="AV4044" i="1"/>
  <c r="AW4043" i="1"/>
  <c r="AV4043" i="1"/>
  <c r="AW4042" i="1"/>
  <c r="AV4042" i="1"/>
  <c r="AU4042" i="1"/>
  <c r="AW4041" i="1"/>
  <c r="AV4041" i="1"/>
  <c r="AW4040" i="1"/>
  <c r="AV4040" i="1"/>
  <c r="AU4040" i="1"/>
  <c r="AW4039" i="1"/>
  <c r="AV4039" i="1"/>
  <c r="AW4038" i="1"/>
  <c r="AV4038" i="1"/>
  <c r="AW4037" i="1"/>
  <c r="AV4037" i="1"/>
  <c r="AW4036" i="1"/>
  <c r="AV4036" i="1"/>
  <c r="AU4036" i="1"/>
  <c r="AW4035" i="1"/>
  <c r="AV4035" i="1"/>
  <c r="AW4034" i="1"/>
  <c r="AV4034" i="1"/>
  <c r="AW4033" i="1"/>
  <c r="AV4033" i="1"/>
  <c r="AW4032" i="1"/>
  <c r="AV4032" i="1"/>
  <c r="AU4032" i="1"/>
  <c r="AW4031" i="1"/>
  <c r="AV4031" i="1"/>
  <c r="AW4030" i="1"/>
  <c r="AV4030" i="1"/>
  <c r="AW4029" i="1"/>
  <c r="AV4029" i="1"/>
  <c r="AW4028" i="1"/>
  <c r="AV4028" i="1"/>
  <c r="AW4027" i="1"/>
  <c r="AV4027" i="1"/>
  <c r="AU4027" i="1"/>
  <c r="AW4026" i="1"/>
  <c r="AV4026" i="1"/>
  <c r="AU4026" i="1"/>
  <c r="AW4025" i="1"/>
  <c r="AV4025" i="1"/>
  <c r="AW4024" i="1"/>
  <c r="AV4024" i="1"/>
  <c r="AW4023" i="1"/>
  <c r="AV4023" i="1"/>
  <c r="AW4022" i="1"/>
  <c r="AV4022" i="1"/>
  <c r="AU4022" i="1"/>
  <c r="AW4021" i="1"/>
  <c r="AV4021" i="1"/>
  <c r="AU4021" i="1"/>
  <c r="AW4020" i="1"/>
  <c r="AV4020" i="1"/>
  <c r="AW4019" i="1"/>
  <c r="AV4019" i="1"/>
  <c r="AU4019" i="1"/>
  <c r="AW4018" i="1"/>
  <c r="AV4018" i="1"/>
  <c r="AU4018" i="1"/>
  <c r="AW4017" i="1"/>
  <c r="AV4017" i="1"/>
  <c r="AW4016" i="1"/>
  <c r="AV4016" i="1"/>
  <c r="AW4015" i="1"/>
  <c r="AV4015" i="1"/>
  <c r="AW4014" i="1"/>
  <c r="AV4014" i="1"/>
  <c r="AU4014" i="1"/>
  <c r="AW4013" i="1"/>
  <c r="AV4013" i="1"/>
  <c r="AW4012" i="1"/>
  <c r="AV4012" i="1"/>
  <c r="AW4011" i="1"/>
  <c r="AV4011" i="1"/>
  <c r="AW4010" i="1"/>
  <c r="AV4010" i="1"/>
  <c r="AW4009" i="1"/>
  <c r="AV4009" i="1"/>
  <c r="AW4008" i="1"/>
  <c r="AV4008" i="1"/>
  <c r="AU4008" i="1"/>
  <c r="AW4007" i="1"/>
  <c r="AV4007" i="1"/>
  <c r="AW4006" i="1"/>
  <c r="AV4006" i="1"/>
  <c r="AW4005" i="1"/>
  <c r="AV4005" i="1"/>
  <c r="AW4004" i="1"/>
  <c r="AV4004" i="1"/>
  <c r="AU4004" i="1"/>
  <c r="AW4003" i="1"/>
  <c r="AV4003" i="1"/>
  <c r="AU4003" i="1"/>
  <c r="AW4002" i="1"/>
  <c r="AV4002" i="1"/>
  <c r="AU4002" i="1"/>
  <c r="AW4001" i="1"/>
  <c r="AV4001" i="1"/>
  <c r="AU4001" i="1"/>
  <c r="AW4000" i="1"/>
  <c r="AV4000" i="1"/>
  <c r="AU4000" i="1"/>
  <c r="AW3999" i="1"/>
  <c r="AV3999" i="1"/>
  <c r="AU3999" i="1"/>
  <c r="AW3998" i="1"/>
  <c r="AV3998" i="1"/>
  <c r="AU3998" i="1"/>
  <c r="AW3997" i="1"/>
  <c r="AV3997" i="1"/>
  <c r="AU3997" i="1"/>
  <c r="AW3996" i="1"/>
  <c r="AV3996" i="1"/>
  <c r="AU3996" i="1"/>
  <c r="AW3995" i="1"/>
  <c r="AV3995" i="1"/>
  <c r="AU3995" i="1"/>
  <c r="AW3994" i="1"/>
  <c r="AV3994" i="1"/>
  <c r="AU3994" i="1"/>
  <c r="AW3993" i="1"/>
  <c r="AV3993" i="1"/>
  <c r="AU3993" i="1"/>
  <c r="AW3992" i="1"/>
  <c r="AV3992" i="1"/>
  <c r="AU3992" i="1"/>
  <c r="AW3991" i="1"/>
  <c r="AV3991" i="1"/>
  <c r="AW3990" i="1"/>
  <c r="AV3990" i="1"/>
  <c r="AW3989" i="1"/>
  <c r="AV3989" i="1"/>
  <c r="AW3988" i="1"/>
  <c r="AV3988" i="1"/>
  <c r="AW3987" i="1"/>
  <c r="AV3987" i="1"/>
  <c r="AW3986" i="1"/>
  <c r="AV3986" i="1"/>
  <c r="AW3985" i="1"/>
  <c r="AV3985" i="1"/>
  <c r="AW3984" i="1"/>
  <c r="AV3984" i="1"/>
  <c r="AW3983" i="1"/>
  <c r="AV3983" i="1"/>
  <c r="AW3982" i="1"/>
  <c r="AV3982" i="1"/>
  <c r="AU3982" i="1"/>
  <c r="AW3981" i="1"/>
  <c r="AV3981" i="1"/>
  <c r="AW3980" i="1"/>
  <c r="AV3980" i="1"/>
  <c r="AW3979" i="1"/>
  <c r="AV3979" i="1"/>
  <c r="AW3978" i="1"/>
  <c r="AV3978" i="1"/>
  <c r="AW3977" i="1"/>
  <c r="AV3977" i="1"/>
  <c r="AW3976" i="1"/>
  <c r="AV3976" i="1"/>
  <c r="AU3976" i="1"/>
  <c r="AW3975" i="1"/>
  <c r="AV3975" i="1"/>
  <c r="AW3974" i="1"/>
  <c r="AV3974" i="1"/>
  <c r="AW3973" i="1"/>
  <c r="AV3973" i="1"/>
  <c r="AW3972" i="1"/>
  <c r="AV3972" i="1"/>
  <c r="AU3972" i="1"/>
  <c r="AW3971" i="1"/>
  <c r="AV3971" i="1"/>
  <c r="AW3970" i="1"/>
  <c r="AV3970" i="1"/>
  <c r="AW3969" i="1"/>
  <c r="AV3969" i="1"/>
  <c r="AW3968" i="1"/>
  <c r="AV3968" i="1"/>
  <c r="AW3967" i="1"/>
  <c r="AV3967" i="1"/>
  <c r="AU3967" i="1"/>
  <c r="AW3966" i="1"/>
  <c r="AV3966" i="1"/>
  <c r="AW3965" i="1"/>
  <c r="AV3965" i="1"/>
  <c r="AW3964" i="1"/>
  <c r="AV3964" i="1"/>
  <c r="AW3963" i="1"/>
  <c r="AV3963" i="1"/>
  <c r="AW3962" i="1"/>
  <c r="AV3962" i="1"/>
  <c r="AW3961" i="1"/>
  <c r="AV3961" i="1"/>
  <c r="AW3960" i="1"/>
  <c r="AV3960" i="1"/>
  <c r="AW3959" i="1"/>
  <c r="AV3959" i="1"/>
  <c r="AW3958" i="1"/>
  <c r="AV3958" i="1"/>
  <c r="AW3957" i="1"/>
  <c r="AV3957" i="1"/>
  <c r="AW3956" i="1"/>
  <c r="AV3956" i="1"/>
  <c r="AW3955" i="1"/>
  <c r="AV3955" i="1"/>
  <c r="AW3954" i="1"/>
  <c r="AV3954" i="1"/>
  <c r="AU3954" i="1"/>
  <c r="AW3953" i="1"/>
  <c r="AV3953" i="1"/>
  <c r="AW3952" i="1"/>
  <c r="AV3952" i="1"/>
  <c r="AU3952" i="1"/>
  <c r="AW3951" i="1"/>
  <c r="AV3951" i="1"/>
  <c r="AW3950" i="1"/>
  <c r="AV3950" i="1"/>
  <c r="AU3950" i="1"/>
  <c r="AW3949" i="1"/>
  <c r="AV3949" i="1"/>
  <c r="AU3949" i="1"/>
  <c r="AW3948" i="1"/>
  <c r="AV3948" i="1"/>
  <c r="AU3948" i="1"/>
  <c r="AW3947" i="1"/>
  <c r="AV3947" i="1"/>
  <c r="AW3946" i="1"/>
  <c r="AV3946" i="1"/>
  <c r="AU3946" i="1"/>
  <c r="AW3945" i="1"/>
  <c r="AV3945" i="1"/>
  <c r="AU3945" i="1"/>
  <c r="AW3944" i="1"/>
  <c r="AV3944" i="1"/>
  <c r="AU3944" i="1"/>
  <c r="AW3943" i="1"/>
  <c r="AV3943" i="1"/>
  <c r="AU3943" i="1"/>
  <c r="AW3942" i="1"/>
  <c r="AV3942" i="1"/>
  <c r="AU3942" i="1"/>
  <c r="AW3941" i="1"/>
  <c r="AV3941" i="1"/>
  <c r="AU3941" i="1"/>
  <c r="AW3940" i="1"/>
  <c r="AV3940" i="1"/>
  <c r="AU3940" i="1"/>
  <c r="AW3939" i="1"/>
  <c r="AV3939" i="1"/>
  <c r="AW3938" i="1"/>
  <c r="AV3938" i="1"/>
  <c r="AU3938" i="1"/>
  <c r="AW3937" i="1"/>
  <c r="AV3937" i="1"/>
  <c r="AW3936" i="1"/>
  <c r="AV3936" i="1"/>
  <c r="AW3935" i="1"/>
  <c r="AV3935" i="1"/>
  <c r="AW3934" i="1"/>
  <c r="AV3934" i="1"/>
  <c r="AU3934" i="1"/>
  <c r="AW3933" i="1"/>
  <c r="AV3933" i="1"/>
  <c r="AU3933" i="1"/>
  <c r="AW3932" i="1"/>
  <c r="AV3932" i="1"/>
  <c r="AU3932" i="1"/>
  <c r="AW3931" i="1"/>
  <c r="AV3931" i="1"/>
  <c r="AU3931" i="1"/>
  <c r="AW3930" i="1"/>
  <c r="AV3930" i="1"/>
  <c r="AW3929" i="1"/>
  <c r="AV3929" i="1"/>
  <c r="AU3929" i="1"/>
  <c r="AW3928" i="1"/>
  <c r="AV3928" i="1"/>
  <c r="AW3927" i="1"/>
  <c r="AV3927" i="1"/>
  <c r="AU3927" i="1"/>
  <c r="AW3926" i="1"/>
  <c r="AV3926" i="1"/>
  <c r="AU3926" i="1"/>
  <c r="AW3925" i="1"/>
  <c r="AV3925" i="1"/>
  <c r="AU3925" i="1"/>
  <c r="AW3924" i="1"/>
  <c r="AV3924" i="1"/>
  <c r="AU3924" i="1"/>
  <c r="AW3923" i="1"/>
  <c r="AV3923" i="1"/>
  <c r="AW3922" i="1"/>
  <c r="AV3922" i="1"/>
  <c r="AW3921" i="1"/>
  <c r="AV3921" i="1"/>
  <c r="AW3920" i="1"/>
  <c r="AV3920" i="1"/>
  <c r="AW3919" i="1"/>
  <c r="AV3919" i="1"/>
  <c r="AW3918" i="1"/>
  <c r="AV3918" i="1"/>
  <c r="AW3917" i="1"/>
  <c r="AV3917" i="1"/>
  <c r="AW3916" i="1"/>
  <c r="AV3916" i="1"/>
  <c r="AW3915" i="1"/>
  <c r="AV3915" i="1"/>
  <c r="AW3914" i="1"/>
  <c r="AV3914" i="1"/>
  <c r="AW3913" i="1"/>
  <c r="AV3913" i="1"/>
  <c r="AU3913" i="1"/>
  <c r="AW3912" i="1"/>
  <c r="AV3912" i="1"/>
  <c r="AU3912" i="1"/>
  <c r="AW3911" i="1"/>
  <c r="AV3911" i="1"/>
  <c r="AU3911" i="1"/>
  <c r="AW3910" i="1"/>
  <c r="AV3910" i="1"/>
  <c r="AU3910" i="1"/>
  <c r="AW3909" i="1"/>
  <c r="AV3909" i="1"/>
  <c r="AW3908" i="1"/>
  <c r="AV3908" i="1"/>
  <c r="AU3908" i="1"/>
  <c r="AW3907" i="1"/>
  <c r="AV3907" i="1"/>
  <c r="AU3907" i="1"/>
  <c r="AW3906" i="1"/>
  <c r="AV3906" i="1"/>
  <c r="AU3906" i="1"/>
  <c r="AW3905" i="1"/>
  <c r="AV3905" i="1"/>
  <c r="AU3905" i="1"/>
  <c r="AW3904" i="1"/>
  <c r="AV3904" i="1"/>
  <c r="AU3904" i="1"/>
  <c r="AW3903" i="1"/>
  <c r="AV3903" i="1"/>
  <c r="AW3902" i="1"/>
  <c r="AV3902" i="1"/>
  <c r="AW3901" i="1"/>
  <c r="AV3901" i="1"/>
  <c r="AW3900" i="1"/>
  <c r="AV3900" i="1"/>
  <c r="AU3900" i="1"/>
  <c r="AW3899" i="1"/>
  <c r="AV3899" i="1"/>
  <c r="AU3899" i="1"/>
  <c r="AW3898" i="1"/>
  <c r="AV3898" i="1"/>
  <c r="AW3897" i="1"/>
  <c r="AV3897" i="1"/>
  <c r="AW3896" i="1"/>
  <c r="AV3896" i="1"/>
  <c r="AW3895" i="1"/>
  <c r="AV3895" i="1"/>
  <c r="AW3894" i="1"/>
  <c r="AV3894" i="1"/>
  <c r="AU3894" i="1"/>
  <c r="AW3893" i="1"/>
  <c r="AV3893" i="1"/>
  <c r="AU3893" i="1"/>
  <c r="AW3892" i="1"/>
  <c r="AV3892" i="1"/>
  <c r="AU3892" i="1"/>
  <c r="AW3891" i="1"/>
  <c r="AV3891" i="1"/>
  <c r="AU3891" i="1"/>
  <c r="AW3890" i="1"/>
  <c r="AV3890" i="1"/>
  <c r="AU3890" i="1"/>
  <c r="AW3889" i="1"/>
  <c r="AV3889" i="1"/>
  <c r="AW3888" i="1"/>
  <c r="AV3888" i="1"/>
  <c r="AW3887" i="1"/>
  <c r="AV3887" i="1"/>
  <c r="AU3887" i="1"/>
  <c r="AW3886" i="1"/>
  <c r="AV3886" i="1"/>
  <c r="AU3886" i="1"/>
  <c r="AW3885" i="1"/>
  <c r="AV3885" i="1"/>
  <c r="AW3884" i="1"/>
  <c r="AV3884" i="1"/>
  <c r="AW3883" i="1"/>
  <c r="AV3883" i="1"/>
  <c r="AU3883" i="1"/>
  <c r="AW3882" i="1"/>
  <c r="AV3882" i="1"/>
  <c r="AU3882" i="1"/>
  <c r="AW3881" i="1"/>
  <c r="AV3881" i="1"/>
  <c r="AW3880" i="1"/>
  <c r="AV3880" i="1"/>
  <c r="AU3880" i="1"/>
  <c r="AW3879" i="1"/>
  <c r="AV3879" i="1"/>
  <c r="AW3878" i="1"/>
  <c r="AV3878" i="1"/>
  <c r="AW3877" i="1"/>
  <c r="AV3877" i="1"/>
  <c r="AW3876" i="1"/>
  <c r="AV3876" i="1"/>
  <c r="AU3876" i="1"/>
  <c r="AW3875" i="1"/>
  <c r="AV3875" i="1"/>
  <c r="AW3874" i="1"/>
  <c r="AV3874" i="1"/>
  <c r="AU3874" i="1"/>
  <c r="AW3873" i="1"/>
  <c r="AV3873" i="1"/>
  <c r="AU3873" i="1"/>
  <c r="AW3872" i="1"/>
  <c r="AV3872" i="1"/>
  <c r="AW3871" i="1"/>
  <c r="AV3871" i="1"/>
  <c r="AU3871" i="1"/>
  <c r="AW3870" i="1"/>
  <c r="AV3870" i="1"/>
  <c r="AW3869" i="1"/>
  <c r="AV3869" i="1"/>
  <c r="AW3868" i="1"/>
  <c r="AV3868" i="1"/>
  <c r="AW3867" i="1"/>
  <c r="AV3867" i="1"/>
  <c r="AU3867" i="1"/>
  <c r="AW3866" i="1"/>
  <c r="AV3866" i="1"/>
  <c r="AU3866" i="1"/>
  <c r="AW3865" i="1"/>
  <c r="AV3865" i="1"/>
  <c r="AW3864" i="1"/>
  <c r="AV3864" i="1"/>
  <c r="AU3864" i="1"/>
  <c r="AW3863" i="1"/>
  <c r="AV3863" i="1"/>
  <c r="AW3862" i="1"/>
  <c r="AV3862" i="1"/>
  <c r="AW3861" i="1"/>
  <c r="AV3861" i="1"/>
  <c r="AW3860" i="1"/>
  <c r="AV3860" i="1"/>
  <c r="AW3859" i="1"/>
  <c r="AV3859" i="1"/>
  <c r="AW3858" i="1"/>
  <c r="AV3858" i="1"/>
  <c r="AW3857" i="1"/>
  <c r="AV3857" i="1"/>
  <c r="AW3856" i="1"/>
  <c r="AV3856" i="1"/>
  <c r="AW3855" i="1"/>
  <c r="AV3855" i="1"/>
  <c r="AW3854" i="1"/>
  <c r="AV3854" i="1"/>
  <c r="AU3854" i="1"/>
  <c r="AW3853" i="1"/>
  <c r="AV3853" i="1"/>
  <c r="AU3853" i="1"/>
  <c r="AW3852" i="1"/>
  <c r="AV3852" i="1"/>
  <c r="AW3851" i="1"/>
  <c r="AV3851" i="1"/>
  <c r="AW3850" i="1"/>
  <c r="AV3850" i="1"/>
  <c r="AU3850" i="1"/>
  <c r="AW3849" i="1"/>
  <c r="AV3849" i="1"/>
  <c r="AW3848" i="1"/>
  <c r="AV3848" i="1"/>
  <c r="AU3848" i="1"/>
  <c r="AW3847" i="1"/>
  <c r="AV3847" i="1"/>
  <c r="AU3847" i="1"/>
  <c r="AW3846" i="1"/>
  <c r="AV3846" i="1"/>
  <c r="AW3845" i="1"/>
  <c r="AV3845" i="1"/>
  <c r="AW3844" i="1"/>
  <c r="AV3844" i="1"/>
  <c r="AW3843" i="1"/>
  <c r="AV3843" i="1"/>
  <c r="AW3842" i="1"/>
  <c r="AV3842" i="1"/>
  <c r="AU3842" i="1"/>
  <c r="AW3841" i="1"/>
  <c r="AV3841" i="1"/>
  <c r="AW3840" i="1"/>
  <c r="AV3840" i="1"/>
  <c r="AW3839" i="1"/>
  <c r="AV3839" i="1"/>
  <c r="AW3838" i="1"/>
  <c r="AV3838" i="1"/>
  <c r="AW3837" i="1"/>
  <c r="AV3837" i="1"/>
  <c r="AW3836" i="1"/>
  <c r="AV3836" i="1"/>
  <c r="AW3835" i="1"/>
  <c r="AV3835" i="1"/>
  <c r="AU3835" i="1"/>
  <c r="AW3834" i="1"/>
  <c r="AV3834" i="1"/>
  <c r="AW3833" i="1"/>
  <c r="AV3833" i="1"/>
  <c r="AU3833" i="1"/>
  <c r="AW3832" i="1"/>
  <c r="AV3832" i="1"/>
  <c r="AW3831" i="1"/>
  <c r="AV3831" i="1"/>
  <c r="AU3831" i="1"/>
  <c r="AW3830" i="1"/>
  <c r="AV3830" i="1"/>
  <c r="AW3829" i="1"/>
  <c r="AV3829" i="1"/>
  <c r="AW3828" i="1"/>
  <c r="AV3828" i="1"/>
  <c r="AU3828" i="1"/>
  <c r="AW3827" i="1"/>
  <c r="AV3827" i="1"/>
  <c r="AU3827" i="1"/>
  <c r="AW3826" i="1"/>
  <c r="AV3826" i="1"/>
  <c r="AW3825" i="1"/>
  <c r="AV3825" i="1"/>
  <c r="AU3825" i="1"/>
  <c r="AW3824" i="1"/>
  <c r="AV3824" i="1"/>
  <c r="AU3824" i="1"/>
  <c r="AW3823" i="1"/>
  <c r="AV3823" i="1"/>
  <c r="AU3823" i="1"/>
  <c r="AW3822" i="1"/>
  <c r="AV3822" i="1"/>
  <c r="AU3822" i="1"/>
  <c r="AW3821" i="1"/>
  <c r="AV3821" i="1"/>
  <c r="AW3820" i="1"/>
  <c r="AV3820" i="1"/>
  <c r="AW3819" i="1"/>
  <c r="AV3819" i="1"/>
  <c r="AU3819" i="1"/>
  <c r="AW3818" i="1"/>
  <c r="AV3818" i="1"/>
  <c r="AU3818" i="1"/>
  <c r="AW3817" i="1"/>
  <c r="AV3817" i="1"/>
  <c r="AU3817" i="1"/>
  <c r="AW3816" i="1"/>
  <c r="AV3816" i="1"/>
  <c r="AU3816" i="1"/>
  <c r="AW3815" i="1"/>
  <c r="AV3815" i="1"/>
  <c r="AU3815" i="1"/>
  <c r="AW3814" i="1"/>
  <c r="AV3814" i="1"/>
  <c r="AU3814" i="1"/>
  <c r="AW3813" i="1"/>
  <c r="AV3813" i="1"/>
  <c r="AU3813" i="1"/>
  <c r="AW3812" i="1"/>
  <c r="AV3812" i="1"/>
  <c r="AU3812" i="1"/>
  <c r="AW3811" i="1"/>
  <c r="AV3811" i="1"/>
  <c r="AU3811" i="1"/>
  <c r="AW3810" i="1"/>
  <c r="AV3810" i="1"/>
  <c r="AW3809" i="1"/>
  <c r="AV3809" i="1"/>
  <c r="AW3808" i="1"/>
  <c r="AV3808" i="1"/>
  <c r="AU3808" i="1"/>
  <c r="AW3807" i="1"/>
  <c r="AV3807" i="1"/>
  <c r="AU3807" i="1"/>
  <c r="AW3806" i="1"/>
  <c r="AV3806" i="1"/>
  <c r="AW3805" i="1"/>
  <c r="AV3805" i="1"/>
  <c r="AU3805" i="1"/>
  <c r="AW3804" i="1"/>
  <c r="AV3804" i="1"/>
  <c r="AU3804" i="1"/>
  <c r="AW3803" i="1"/>
  <c r="AV3803" i="1"/>
  <c r="AU3803" i="1"/>
  <c r="AW3802" i="1"/>
  <c r="AV3802" i="1"/>
  <c r="AU3802" i="1"/>
  <c r="AW3801" i="1"/>
  <c r="AV3801" i="1"/>
  <c r="AU3801" i="1"/>
  <c r="AW3800" i="1"/>
  <c r="AV3800" i="1"/>
  <c r="AU3800" i="1"/>
  <c r="AW3799" i="1"/>
  <c r="AV3799" i="1"/>
  <c r="AU3799" i="1"/>
  <c r="AW3798" i="1"/>
  <c r="AV3798" i="1"/>
  <c r="AU3798" i="1"/>
  <c r="AW3797" i="1"/>
  <c r="AV3797" i="1"/>
  <c r="AU3797" i="1"/>
  <c r="AW3796" i="1"/>
  <c r="AV3796" i="1"/>
  <c r="AW3795" i="1"/>
  <c r="AV3795" i="1"/>
  <c r="AW3794" i="1"/>
  <c r="AV3794" i="1"/>
  <c r="AW3793" i="1"/>
  <c r="AV3793" i="1"/>
  <c r="AW3792" i="1"/>
  <c r="AV3792" i="1"/>
  <c r="AW3791" i="1"/>
  <c r="AV3791" i="1"/>
  <c r="AW3790" i="1"/>
  <c r="AV3790" i="1"/>
  <c r="AW3789" i="1"/>
  <c r="AV3789" i="1"/>
  <c r="AW3788" i="1"/>
  <c r="AV3788" i="1"/>
  <c r="AU3788" i="1"/>
  <c r="AW3787" i="1"/>
  <c r="AV3787" i="1"/>
  <c r="AU3787" i="1"/>
  <c r="AW3786" i="1"/>
  <c r="AV3786" i="1"/>
  <c r="AW3785" i="1"/>
  <c r="AV3785" i="1"/>
  <c r="AU3785" i="1"/>
  <c r="AW3784" i="1"/>
  <c r="AV3784" i="1"/>
  <c r="AU3784" i="1"/>
  <c r="AW3783" i="1"/>
  <c r="AV3783" i="1"/>
  <c r="AW3782" i="1"/>
  <c r="AV3782" i="1"/>
  <c r="AW3781" i="1"/>
  <c r="AV3781" i="1"/>
  <c r="AW3780" i="1"/>
  <c r="AV3780" i="1"/>
  <c r="AU3780" i="1"/>
  <c r="AW3779" i="1"/>
  <c r="AV3779" i="1"/>
  <c r="AW3778" i="1"/>
  <c r="AV3778" i="1"/>
  <c r="AW3777" i="1"/>
  <c r="AV3777" i="1"/>
  <c r="AW3776" i="1"/>
  <c r="AV3776" i="1"/>
  <c r="AW3775" i="1"/>
  <c r="AV3775" i="1"/>
  <c r="AW3774" i="1"/>
  <c r="AV3774" i="1"/>
  <c r="AU3774" i="1"/>
  <c r="AW3773" i="1"/>
  <c r="AV3773" i="1"/>
  <c r="AW3772" i="1"/>
  <c r="AV3772" i="1"/>
  <c r="AW3771" i="1"/>
  <c r="AV3771" i="1"/>
  <c r="AU3771" i="1"/>
  <c r="AW3770" i="1"/>
  <c r="AV3770" i="1"/>
  <c r="AW3769" i="1"/>
  <c r="AV3769" i="1"/>
  <c r="AW3768" i="1"/>
  <c r="AV3768" i="1"/>
  <c r="AU3768" i="1"/>
  <c r="AW3767" i="1"/>
  <c r="AV3767" i="1"/>
  <c r="AU3767" i="1"/>
  <c r="AW3766" i="1"/>
  <c r="AV3766" i="1"/>
  <c r="AW3765" i="1"/>
  <c r="AV3765" i="1"/>
  <c r="AW3764" i="1"/>
  <c r="AV3764" i="1"/>
  <c r="AW3763" i="1"/>
  <c r="AV3763" i="1"/>
  <c r="AW3762" i="1"/>
  <c r="AV3762" i="1"/>
  <c r="AU3762" i="1"/>
  <c r="AW3761" i="1"/>
  <c r="AV3761" i="1"/>
  <c r="AU3761" i="1"/>
  <c r="AW3760" i="1"/>
  <c r="AV3760" i="1"/>
  <c r="AW3759" i="1"/>
  <c r="AV3759" i="1"/>
  <c r="AU3759" i="1"/>
  <c r="AW3758" i="1"/>
  <c r="AV3758" i="1"/>
  <c r="AU3758" i="1"/>
  <c r="AW3757" i="1"/>
  <c r="AV3757" i="1"/>
  <c r="AW3756" i="1"/>
  <c r="AV3756" i="1"/>
  <c r="AW3755" i="1"/>
  <c r="AV3755" i="1"/>
  <c r="AW3754" i="1"/>
  <c r="AV3754" i="1"/>
  <c r="AW3753" i="1"/>
  <c r="AV3753" i="1"/>
  <c r="AU3753" i="1"/>
  <c r="AW3752" i="1"/>
  <c r="AV3752" i="1"/>
  <c r="AW3751" i="1"/>
  <c r="AV3751" i="1"/>
  <c r="AW3750" i="1"/>
  <c r="AV3750" i="1"/>
  <c r="AW3749" i="1"/>
  <c r="AV3749" i="1"/>
  <c r="AU3749" i="1"/>
  <c r="AW3748" i="1"/>
  <c r="AV3748" i="1"/>
  <c r="AW3747" i="1"/>
  <c r="AV3747" i="1"/>
  <c r="AU3747" i="1"/>
  <c r="AW3746" i="1"/>
  <c r="AV3746" i="1"/>
  <c r="AW3745" i="1"/>
  <c r="AV3745" i="1"/>
  <c r="AW3744" i="1"/>
  <c r="AV3744" i="1"/>
  <c r="AW3743" i="1"/>
  <c r="AV3743" i="1"/>
  <c r="AW3742" i="1"/>
  <c r="AV3742" i="1"/>
  <c r="AW3741" i="1"/>
  <c r="AV3741" i="1"/>
  <c r="AW3740" i="1"/>
  <c r="AV3740" i="1"/>
  <c r="AU3740" i="1"/>
  <c r="AW3739" i="1"/>
  <c r="AV3739" i="1"/>
  <c r="AW3738" i="1"/>
  <c r="AV3738" i="1"/>
  <c r="AU3738" i="1"/>
  <c r="AW3737" i="1"/>
  <c r="AV3737" i="1"/>
  <c r="AW3736" i="1"/>
  <c r="AV3736" i="1"/>
  <c r="AU3736" i="1"/>
  <c r="AW3735" i="1"/>
  <c r="AV3735" i="1"/>
  <c r="AW3734" i="1"/>
  <c r="AV3734" i="1"/>
  <c r="AU3734" i="1"/>
  <c r="AW3733" i="1"/>
  <c r="AV3733" i="1"/>
  <c r="AU3733" i="1"/>
  <c r="AW3732" i="1"/>
  <c r="AV3732" i="1"/>
  <c r="AU3732" i="1"/>
  <c r="AW3731" i="1"/>
  <c r="AV3731" i="1"/>
  <c r="AU3731" i="1"/>
  <c r="AW3730" i="1"/>
  <c r="AV3730" i="1"/>
  <c r="AW3729" i="1"/>
  <c r="AV3729" i="1"/>
  <c r="AU3729" i="1"/>
  <c r="AW3728" i="1"/>
  <c r="AV3728" i="1"/>
  <c r="AW3727" i="1"/>
  <c r="AV3727" i="1"/>
  <c r="AU3727" i="1"/>
  <c r="AW3726" i="1"/>
  <c r="AV3726" i="1"/>
  <c r="AW3725" i="1"/>
  <c r="AV3725" i="1"/>
  <c r="AW3724" i="1"/>
  <c r="AV3724" i="1"/>
  <c r="AW3723" i="1"/>
  <c r="AV3723" i="1"/>
  <c r="AW3722" i="1"/>
  <c r="AV3722" i="1"/>
  <c r="AW3721" i="1"/>
  <c r="AV3721" i="1"/>
  <c r="AW3720" i="1"/>
  <c r="AV3720" i="1"/>
  <c r="AW3719" i="1"/>
  <c r="AV3719" i="1"/>
  <c r="AW3718" i="1"/>
  <c r="AV3718" i="1"/>
  <c r="AU3718" i="1"/>
  <c r="AW3717" i="1"/>
  <c r="AV3717" i="1"/>
  <c r="AU3717" i="1"/>
  <c r="AW3716" i="1"/>
  <c r="AV3716" i="1"/>
  <c r="AW3715" i="1"/>
  <c r="AV3715" i="1"/>
  <c r="AW3714" i="1"/>
  <c r="AV3714" i="1"/>
  <c r="AU3714" i="1"/>
  <c r="AW3713" i="1"/>
  <c r="AV3713" i="1"/>
  <c r="AU3713" i="1"/>
  <c r="AW3712" i="1"/>
  <c r="AV3712" i="1"/>
  <c r="AU3712" i="1"/>
  <c r="AW3711" i="1"/>
  <c r="AV3711" i="1"/>
  <c r="AW3710" i="1"/>
  <c r="AV3710" i="1"/>
  <c r="AU3710" i="1"/>
  <c r="AW3709" i="1"/>
  <c r="AV3709" i="1"/>
  <c r="AU3709" i="1"/>
  <c r="AW3708" i="1"/>
  <c r="AV3708" i="1"/>
  <c r="AU3708" i="1"/>
  <c r="AW3707" i="1"/>
  <c r="AV3707" i="1"/>
  <c r="AU3707" i="1"/>
  <c r="AW3706" i="1"/>
  <c r="AV3706" i="1"/>
  <c r="AW3705" i="1"/>
  <c r="AV3705" i="1"/>
  <c r="AW3704" i="1"/>
  <c r="AV3704" i="1"/>
  <c r="AU3704" i="1"/>
  <c r="AW3703" i="1"/>
  <c r="AV3703" i="1"/>
  <c r="AU3703" i="1"/>
  <c r="AW3702" i="1"/>
  <c r="AV3702" i="1"/>
  <c r="AU3702" i="1"/>
  <c r="AW3701" i="1"/>
  <c r="AV3701" i="1"/>
  <c r="AU3701" i="1"/>
  <c r="AW3700" i="1"/>
  <c r="AV3700" i="1"/>
  <c r="AU3700" i="1"/>
  <c r="AW3699" i="1"/>
  <c r="AV3699" i="1"/>
  <c r="AU3699" i="1"/>
  <c r="AW3698" i="1"/>
  <c r="AV3698" i="1"/>
  <c r="AU3698" i="1"/>
  <c r="AW3697" i="1"/>
  <c r="AV3697" i="1"/>
  <c r="AU3697" i="1"/>
  <c r="AW3696" i="1"/>
  <c r="AV3696" i="1"/>
  <c r="AU3696" i="1"/>
  <c r="AW3695" i="1"/>
  <c r="AV3695" i="1"/>
  <c r="AU3695" i="1"/>
  <c r="AW3694" i="1"/>
  <c r="AV3694" i="1"/>
  <c r="AU3694" i="1"/>
  <c r="AW3693" i="1"/>
  <c r="AV3693" i="1"/>
  <c r="AU3693" i="1"/>
  <c r="AW3692" i="1"/>
  <c r="AV3692" i="1"/>
  <c r="AW3691" i="1"/>
  <c r="AV3691" i="1"/>
  <c r="AU3691" i="1"/>
  <c r="AW3690" i="1"/>
  <c r="AV3690" i="1"/>
  <c r="AU3690" i="1"/>
  <c r="AW3689" i="1"/>
  <c r="AV3689" i="1"/>
  <c r="AU3689" i="1"/>
  <c r="AW3688" i="1"/>
  <c r="AV3688" i="1"/>
  <c r="AU3688" i="1"/>
  <c r="AW3687" i="1"/>
  <c r="AV3687" i="1"/>
  <c r="AU3687" i="1"/>
  <c r="AW3686" i="1"/>
  <c r="AV3686" i="1"/>
  <c r="AW3685" i="1"/>
  <c r="AV3685" i="1"/>
  <c r="AW3684" i="1"/>
  <c r="AV3684" i="1"/>
  <c r="AU3684" i="1"/>
  <c r="AW3683" i="1"/>
  <c r="AV3683" i="1"/>
  <c r="AU3683" i="1"/>
  <c r="AW3682" i="1"/>
  <c r="AV3682" i="1"/>
  <c r="AW3681" i="1"/>
  <c r="AV3681" i="1"/>
  <c r="AU3681" i="1"/>
  <c r="AW3680" i="1"/>
  <c r="AV3680" i="1"/>
  <c r="AU3680" i="1"/>
  <c r="AW3679" i="1"/>
  <c r="AV3679" i="1"/>
  <c r="AU3679" i="1"/>
  <c r="AW3678" i="1"/>
  <c r="AV3678" i="1"/>
  <c r="AW3677" i="1"/>
  <c r="AV3677" i="1"/>
  <c r="AU3677" i="1"/>
  <c r="AW3676" i="1"/>
  <c r="AV3676" i="1"/>
  <c r="AW3675" i="1"/>
  <c r="AV3675" i="1"/>
  <c r="AU3675" i="1"/>
  <c r="AW3674" i="1"/>
  <c r="AV3674" i="1"/>
  <c r="AW3673" i="1"/>
  <c r="AV3673" i="1"/>
  <c r="AW3672" i="1"/>
  <c r="AV3672" i="1"/>
  <c r="AW3671" i="1"/>
  <c r="AV3671" i="1"/>
  <c r="AU3671" i="1"/>
  <c r="AW3670" i="1"/>
  <c r="AV3670" i="1"/>
  <c r="AW3669" i="1"/>
  <c r="AV3669" i="1"/>
  <c r="AW3668" i="1"/>
  <c r="AV3668" i="1"/>
  <c r="AW3667" i="1"/>
  <c r="AV3667" i="1"/>
  <c r="AW3666" i="1"/>
  <c r="AV3666" i="1"/>
  <c r="AU3666" i="1"/>
  <c r="AW3665" i="1"/>
  <c r="AV3665" i="1"/>
  <c r="AU3665" i="1"/>
  <c r="AW3664" i="1"/>
  <c r="AV3664" i="1"/>
  <c r="AW3663" i="1"/>
  <c r="AV3663" i="1"/>
  <c r="AU3663" i="1"/>
  <c r="AW3662" i="1"/>
  <c r="AV3662" i="1"/>
  <c r="AU3662" i="1"/>
  <c r="AW3661" i="1"/>
  <c r="AV3661" i="1"/>
  <c r="AW3660" i="1"/>
  <c r="AV3660" i="1"/>
  <c r="AW3659" i="1"/>
  <c r="AV3659" i="1"/>
  <c r="AU3659" i="1"/>
  <c r="AW3658" i="1"/>
  <c r="AV3658" i="1"/>
  <c r="AU3658" i="1"/>
  <c r="AW3657" i="1"/>
  <c r="AV3657" i="1"/>
  <c r="AW3656" i="1"/>
  <c r="AV3656" i="1"/>
  <c r="AW3655" i="1"/>
  <c r="AV3655" i="1"/>
  <c r="AU3655" i="1"/>
  <c r="AW3654" i="1"/>
  <c r="AV3654" i="1"/>
  <c r="AU3654" i="1"/>
  <c r="AW3653" i="1"/>
  <c r="AV3653" i="1"/>
  <c r="AU3653" i="1"/>
  <c r="AW3652" i="1"/>
  <c r="AV3652" i="1"/>
  <c r="AW3651" i="1"/>
  <c r="AV3651" i="1"/>
  <c r="AW3650" i="1"/>
  <c r="AV3650" i="1"/>
  <c r="AW3649" i="1"/>
  <c r="AV3649" i="1"/>
  <c r="AU3649" i="1"/>
  <c r="AW3648" i="1"/>
  <c r="AV3648" i="1"/>
  <c r="AW3647" i="1"/>
  <c r="AV3647" i="1"/>
  <c r="AW3646" i="1"/>
  <c r="AV3646" i="1"/>
  <c r="AW3645" i="1"/>
  <c r="AV3645" i="1"/>
  <c r="AU3645" i="1"/>
  <c r="AW3644" i="1"/>
  <c r="AV3644" i="1"/>
  <c r="AW3643" i="1"/>
  <c r="AV3643" i="1"/>
  <c r="AW3642" i="1"/>
  <c r="AV3642" i="1"/>
  <c r="AU3642" i="1"/>
  <c r="AW3641" i="1"/>
  <c r="AV3641" i="1"/>
  <c r="AW3640" i="1"/>
  <c r="AV3640" i="1"/>
  <c r="AU3640" i="1"/>
  <c r="AW3639" i="1"/>
  <c r="AV3639" i="1"/>
  <c r="AU3639" i="1"/>
  <c r="AW3638" i="1"/>
  <c r="AV3638" i="1"/>
  <c r="AU3638" i="1"/>
  <c r="AW3637" i="1"/>
  <c r="AV3637" i="1"/>
  <c r="AW3636" i="1"/>
  <c r="AV3636" i="1"/>
  <c r="AU3636" i="1"/>
  <c r="AW3635" i="1"/>
  <c r="AV3635" i="1"/>
  <c r="AW3634" i="1"/>
  <c r="AV3634" i="1"/>
  <c r="AU3634" i="1"/>
  <c r="AW3633" i="1"/>
  <c r="AV3633" i="1"/>
  <c r="AW3632" i="1"/>
  <c r="AV3632" i="1"/>
  <c r="AU3632" i="1"/>
  <c r="AW3631" i="1"/>
  <c r="AV3631" i="1"/>
  <c r="AU3631" i="1"/>
  <c r="AW3630" i="1"/>
  <c r="AV3630" i="1"/>
  <c r="AU3630" i="1"/>
  <c r="AW3629" i="1"/>
  <c r="AV3629" i="1"/>
  <c r="AW3628" i="1"/>
  <c r="AV3628" i="1"/>
  <c r="AU3628" i="1"/>
  <c r="AW3627" i="1"/>
  <c r="AV3627" i="1"/>
  <c r="AU3627" i="1"/>
  <c r="AW3626" i="1"/>
  <c r="AV3626" i="1"/>
  <c r="AU3626" i="1"/>
  <c r="AW3625" i="1"/>
  <c r="AV3625" i="1"/>
  <c r="AW3624" i="1"/>
  <c r="AV3624" i="1"/>
  <c r="AW3623" i="1"/>
  <c r="AV3623" i="1"/>
  <c r="AU3623" i="1"/>
  <c r="AW3622" i="1"/>
  <c r="AV3622" i="1"/>
  <c r="AW3621" i="1"/>
  <c r="AV3621" i="1"/>
  <c r="AU3621" i="1"/>
  <c r="AW3620" i="1"/>
  <c r="AV3620" i="1"/>
  <c r="AW3619" i="1"/>
  <c r="AV3619" i="1"/>
  <c r="AW3618" i="1"/>
  <c r="AV3618" i="1"/>
  <c r="AW3617" i="1"/>
  <c r="AV3617" i="1"/>
  <c r="AW3616" i="1"/>
  <c r="AV3616" i="1"/>
  <c r="AW3615" i="1"/>
  <c r="AV3615" i="1"/>
  <c r="AW3614" i="1"/>
  <c r="AV3614" i="1"/>
  <c r="AW3613" i="1"/>
  <c r="AV3613" i="1"/>
  <c r="AW3612" i="1"/>
  <c r="AV3612" i="1"/>
  <c r="AW3611" i="1"/>
  <c r="AV3611" i="1"/>
  <c r="AW3610" i="1"/>
  <c r="AV3610" i="1"/>
  <c r="AW3609" i="1"/>
  <c r="AV3609" i="1"/>
  <c r="AU3609" i="1"/>
  <c r="AW3608" i="1"/>
  <c r="AV3608" i="1"/>
  <c r="AW3607" i="1"/>
  <c r="AV3607" i="1"/>
  <c r="AU3607" i="1"/>
  <c r="AW3606" i="1"/>
  <c r="AV3606" i="1"/>
  <c r="AU3606" i="1"/>
  <c r="AW3605" i="1"/>
  <c r="AV3605" i="1"/>
  <c r="AW3604" i="1"/>
  <c r="AV3604" i="1"/>
  <c r="AU3604" i="1"/>
  <c r="AW3603" i="1"/>
  <c r="AV3603" i="1"/>
  <c r="AW3602" i="1"/>
  <c r="AV3602" i="1"/>
  <c r="AW3601" i="1"/>
  <c r="AV3601" i="1"/>
  <c r="AW3600" i="1"/>
  <c r="AV3600" i="1"/>
  <c r="AW3599" i="1"/>
  <c r="AV3599" i="1"/>
  <c r="AW3598" i="1"/>
  <c r="AV3598" i="1"/>
  <c r="AU3598" i="1"/>
  <c r="AW3597" i="1"/>
  <c r="AV3597" i="1"/>
  <c r="AW3596" i="1"/>
  <c r="AV3596" i="1"/>
  <c r="AU3596" i="1"/>
  <c r="AW3595" i="1"/>
  <c r="AV3595" i="1"/>
  <c r="AU3595" i="1"/>
  <c r="AW3594" i="1"/>
  <c r="AV3594" i="1"/>
  <c r="AW3593" i="1"/>
  <c r="AV3593" i="1"/>
  <c r="AW3592" i="1"/>
  <c r="AV3592" i="1"/>
  <c r="AW3591" i="1"/>
  <c r="AV3591" i="1"/>
  <c r="AU3591" i="1"/>
  <c r="AW3590" i="1"/>
  <c r="AV3590" i="1"/>
  <c r="AU3590" i="1"/>
  <c r="AW3589" i="1"/>
  <c r="AV3589" i="1"/>
  <c r="AW3588" i="1"/>
  <c r="AV3588" i="1"/>
  <c r="AU3588" i="1"/>
  <c r="AW3587" i="1"/>
  <c r="AV3587" i="1"/>
  <c r="AU3587" i="1"/>
  <c r="AW3586" i="1"/>
  <c r="AV3586" i="1"/>
  <c r="AU3586" i="1"/>
  <c r="AW3585" i="1"/>
  <c r="AV3585" i="1"/>
  <c r="AU3585" i="1"/>
  <c r="AW3584" i="1"/>
  <c r="AV3584" i="1"/>
  <c r="AU3584" i="1"/>
  <c r="AW3583" i="1"/>
  <c r="AV3583" i="1"/>
  <c r="AU3583" i="1"/>
  <c r="AW3582" i="1"/>
  <c r="AV3582" i="1"/>
  <c r="AU3582" i="1"/>
  <c r="AW3581" i="1"/>
  <c r="AV3581" i="1"/>
  <c r="AU3581" i="1"/>
  <c r="AW3580" i="1"/>
  <c r="AV3580" i="1"/>
  <c r="AU3580" i="1"/>
  <c r="AW3579" i="1"/>
  <c r="AV3579" i="1"/>
  <c r="AU3579" i="1"/>
  <c r="AW3578" i="1"/>
  <c r="AV3578" i="1"/>
  <c r="AW3577" i="1"/>
  <c r="AV3577" i="1"/>
  <c r="AW3576" i="1"/>
  <c r="AV3576" i="1"/>
  <c r="AW3575" i="1"/>
  <c r="AV3575" i="1"/>
  <c r="AW3574" i="1"/>
  <c r="AV3574" i="1"/>
  <c r="AU3574" i="1"/>
  <c r="AW3573" i="1"/>
  <c r="AV3573" i="1"/>
  <c r="AU3573" i="1"/>
  <c r="AW3572" i="1"/>
  <c r="AV3572" i="1"/>
  <c r="AW3571" i="1"/>
  <c r="AV3571" i="1"/>
  <c r="AW3570" i="1"/>
  <c r="AV3570" i="1"/>
  <c r="AW3569" i="1"/>
  <c r="AV3569" i="1"/>
  <c r="AW3568" i="1"/>
  <c r="AV3568" i="1"/>
  <c r="AW3567" i="1"/>
  <c r="AV3567" i="1"/>
  <c r="AW3566" i="1"/>
  <c r="AV3566" i="1"/>
  <c r="AU3566" i="1"/>
  <c r="AW3565" i="1"/>
  <c r="AV3565" i="1"/>
  <c r="AW3564" i="1"/>
  <c r="AV3564" i="1"/>
  <c r="AW3563" i="1"/>
  <c r="AV3563" i="1"/>
  <c r="AW3562" i="1"/>
  <c r="AV3562" i="1"/>
  <c r="AW3561" i="1"/>
  <c r="AV3561" i="1"/>
  <c r="AW3560" i="1"/>
  <c r="AV3560" i="1"/>
  <c r="AW3559" i="1"/>
  <c r="AV3559" i="1"/>
  <c r="AW3558" i="1"/>
  <c r="AV3558" i="1"/>
  <c r="AW3557" i="1"/>
  <c r="AV3557" i="1"/>
  <c r="AW3556" i="1"/>
  <c r="AV3556" i="1"/>
  <c r="AW3555" i="1"/>
  <c r="AV3555" i="1"/>
  <c r="AU3555" i="1"/>
  <c r="AW3554" i="1"/>
  <c r="AV3554" i="1"/>
  <c r="AU3554" i="1"/>
  <c r="AW3553" i="1"/>
  <c r="AV3553" i="1"/>
  <c r="AU3553" i="1"/>
  <c r="AW3552" i="1"/>
  <c r="AV3552" i="1"/>
  <c r="AU3552" i="1"/>
  <c r="AW3551" i="1"/>
  <c r="AV3551" i="1"/>
  <c r="AW3550" i="1"/>
  <c r="AV3550" i="1"/>
  <c r="AU3550" i="1"/>
  <c r="AW3549" i="1"/>
  <c r="AV3549" i="1"/>
  <c r="AU3549" i="1"/>
  <c r="AW3548" i="1"/>
  <c r="AV3548" i="1"/>
  <c r="AU3548" i="1"/>
  <c r="AW3547" i="1"/>
  <c r="AV3547" i="1"/>
  <c r="AU3547" i="1"/>
  <c r="AW3546" i="1"/>
  <c r="AV3546" i="1"/>
  <c r="AU3546" i="1"/>
  <c r="AW3545" i="1"/>
  <c r="AV3545" i="1"/>
  <c r="AW3544" i="1"/>
  <c r="AV3544" i="1"/>
  <c r="AW3543" i="1"/>
  <c r="AV3543" i="1"/>
  <c r="AU3543" i="1"/>
  <c r="AW3542" i="1"/>
  <c r="AV3542" i="1"/>
  <c r="AW3541" i="1"/>
  <c r="AV3541" i="1"/>
  <c r="AW3540" i="1"/>
  <c r="AV3540" i="1"/>
  <c r="AW3539" i="1"/>
  <c r="AV3539" i="1"/>
  <c r="AW3538" i="1"/>
  <c r="AV3538" i="1"/>
  <c r="AW3537" i="1"/>
  <c r="AV3537" i="1"/>
  <c r="AU3537" i="1"/>
  <c r="AW3536" i="1"/>
  <c r="AV3536" i="1"/>
  <c r="AU3536" i="1"/>
  <c r="AW3535" i="1"/>
  <c r="AV3535" i="1"/>
  <c r="AU3535" i="1"/>
  <c r="AW3534" i="1"/>
  <c r="AV3534" i="1"/>
  <c r="AW3533" i="1"/>
  <c r="AV3533" i="1"/>
  <c r="AW3532" i="1"/>
  <c r="AV3532" i="1"/>
  <c r="AW3531" i="1"/>
  <c r="AV3531" i="1"/>
  <c r="AW3530" i="1"/>
  <c r="AV3530" i="1"/>
  <c r="AU3530" i="1"/>
  <c r="AW3529" i="1"/>
  <c r="AV3529" i="1"/>
  <c r="AU3529" i="1"/>
  <c r="AW3528" i="1"/>
  <c r="AV3528" i="1"/>
  <c r="AU3528" i="1"/>
  <c r="AW3527" i="1"/>
  <c r="AV3527" i="1"/>
  <c r="AU3527" i="1"/>
  <c r="AW3526" i="1"/>
  <c r="AV3526" i="1"/>
  <c r="AW3525" i="1"/>
  <c r="AV3525" i="1"/>
  <c r="AW3524" i="1"/>
  <c r="AV3524" i="1"/>
  <c r="AW3523" i="1"/>
  <c r="AV3523" i="1"/>
  <c r="AW3522" i="1"/>
  <c r="AV3522" i="1"/>
  <c r="AW3521" i="1"/>
  <c r="AV3521" i="1"/>
  <c r="AW3520" i="1"/>
  <c r="AV3520" i="1"/>
  <c r="AW3519" i="1"/>
  <c r="AV3519" i="1"/>
  <c r="AW3518" i="1"/>
  <c r="AV3518" i="1"/>
  <c r="AW3517" i="1"/>
  <c r="AV3517" i="1"/>
  <c r="AU3517" i="1"/>
  <c r="AW3516" i="1"/>
  <c r="AV3516" i="1"/>
  <c r="AU3516" i="1"/>
  <c r="AW3515" i="1"/>
  <c r="AV3515" i="1"/>
  <c r="AU3515" i="1"/>
  <c r="AW3514" i="1"/>
  <c r="AV3514" i="1"/>
  <c r="AU3514" i="1"/>
  <c r="AW3513" i="1"/>
  <c r="AV3513" i="1"/>
  <c r="AU3513" i="1"/>
  <c r="AW3512" i="1"/>
  <c r="AV3512" i="1"/>
  <c r="AW3511" i="1"/>
  <c r="AV3511" i="1"/>
  <c r="AW3510" i="1"/>
  <c r="AV3510" i="1"/>
  <c r="AU3510" i="1"/>
  <c r="AW3509" i="1"/>
  <c r="AV3509" i="1"/>
  <c r="AW3508" i="1"/>
  <c r="AV3508" i="1"/>
  <c r="AW3507" i="1"/>
  <c r="AV3507" i="1"/>
  <c r="AU3507" i="1"/>
  <c r="AW3506" i="1"/>
  <c r="AV3506" i="1"/>
  <c r="AW3505" i="1"/>
  <c r="AV3505" i="1"/>
  <c r="AW3504" i="1"/>
  <c r="AV3504" i="1"/>
  <c r="AU3504" i="1"/>
  <c r="AW3503" i="1"/>
  <c r="AV3503" i="1"/>
  <c r="AW3502" i="1"/>
  <c r="AV3502" i="1"/>
  <c r="AW3501" i="1"/>
  <c r="AV3501" i="1"/>
  <c r="AW3500" i="1"/>
  <c r="AV3500" i="1"/>
  <c r="AU3500" i="1"/>
  <c r="AW3499" i="1"/>
  <c r="AV3499" i="1"/>
  <c r="AW3498" i="1"/>
  <c r="AV3498" i="1"/>
  <c r="AU3498" i="1"/>
  <c r="AW3497" i="1"/>
  <c r="AV3497" i="1"/>
  <c r="AW3496" i="1"/>
  <c r="AV3496" i="1"/>
  <c r="AW3495" i="1"/>
  <c r="AV3495" i="1"/>
  <c r="AU3495" i="1"/>
  <c r="AW3494" i="1"/>
  <c r="AV3494" i="1"/>
  <c r="AW3493" i="1"/>
  <c r="AV3493" i="1"/>
  <c r="AW3492" i="1"/>
  <c r="AV3492" i="1"/>
  <c r="AW3491" i="1"/>
  <c r="AV3491" i="1"/>
  <c r="AW3490" i="1"/>
  <c r="AV3490" i="1"/>
  <c r="AW3489" i="1"/>
  <c r="AV3489" i="1"/>
  <c r="AW3488" i="1"/>
  <c r="AV3488" i="1"/>
  <c r="AU3488" i="1"/>
  <c r="AW3487" i="1"/>
  <c r="AV3487" i="1"/>
  <c r="AU3487" i="1"/>
  <c r="AW3486" i="1"/>
  <c r="AV3486" i="1"/>
  <c r="AW3485" i="1"/>
  <c r="AV3485" i="1"/>
  <c r="AU3485" i="1"/>
  <c r="AW3484" i="1"/>
  <c r="AV3484" i="1"/>
  <c r="AW3483" i="1"/>
  <c r="AV3483" i="1"/>
  <c r="AW3482" i="1"/>
  <c r="AV3482" i="1"/>
  <c r="AW3481" i="1"/>
  <c r="AV3481" i="1"/>
  <c r="AW3480" i="1"/>
  <c r="AV3480" i="1"/>
  <c r="AU3480" i="1"/>
  <c r="AW3479" i="1"/>
  <c r="AV3479" i="1"/>
  <c r="AW3478" i="1"/>
  <c r="AV3478" i="1"/>
  <c r="AW3477" i="1"/>
  <c r="AV3477" i="1"/>
  <c r="AU3477" i="1"/>
  <c r="AW3476" i="1"/>
  <c r="AV3476" i="1"/>
  <c r="AW3475" i="1"/>
  <c r="AV3475" i="1"/>
  <c r="AW3474" i="1"/>
  <c r="AV3474" i="1"/>
  <c r="AW3473" i="1"/>
  <c r="AV3473" i="1"/>
  <c r="AW3472" i="1"/>
  <c r="AV3472" i="1"/>
  <c r="AW3471" i="1"/>
  <c r="AV3471" i="1"/>
  <c r="AU3471" i="1"/>
  <c r="AW3470" i="1"/>
  <c r="AV3470" i="1"/>
  <c r="AW3469" i="1"/>
  <c r="AV3469" i="1"/>
  <c r="AU3469" i="1"/>
  <c r="AW3468" i="1"/>
  <c r="AV3468" i="1"/>
  <c r="AW3467" i="1"/>
  <c r="AV3467" i="1"/>
  <c r="AW3466" i="1"/>
  <c r="AV3466" i="1"/>
  <c r="AW3465" i="1"/>
  <c r="AV3465" i="1"/>
  <c r="AW3464" i="1"/>
  <c r="AV3464" i="1"/>
  <c r="AW3463" i="1"/>
  <c r="AV3463" i="1"/>
  <c r="AU3463" i="1"/>
  <c r="AW3462" i="1"/>
  <c r="AV3462" i="1"/>
  <c r="AW3461" i="1"/>
  <c r="AV3461" i="1"/>
  <c r="AU3461" i="1"/>
  <c r="AW3460" i="1"/>
  <c r="AV3460" i="1"/>
  <c r="AW3459" i="1"/>
  <c r="AV3459" i="1"/>
  <c r="AW3458" i="1"/>
  <c r="AV3458" i="1"/>
  <c r="AW3457" i="1"/>
  <c r="AV3457" i="1"/>
  <c r="AW3456" i="1"/>
  <c r="AV3456" i="1"/>
  <c r="AU3456" i="1"/>
  <c r="AW3455" i="1"/>
  <c r="AV3455" i="1"/>
  <c r="AW3454" i="1"/>
  <c r="AV3454" i="1"/>
  <c r="AW3453" i="1"/>
  <c r="AV3453" i="1"/>
  <c r="AU3453" i="1"/>
  <c r="AW3452" i="1"/>
  <c r="AV3452" i="1"/>
  <c r="AU3452" i="1"/>
  <c r="AW3451" i="1"/>
  <c r="AV3451" i="1"/>
  <c r="AU3451" i="1"/>
  <c r="AW3450" i="1"/>
  <c r="AV3450" i="1"/>
  <c r="AU3450" i="1"/>
  <c r="AW3449" i="1"/>
  <c r="AV3449" i="1"/>
  <c r="AU3449" i="1"/>
  <c r="AW3448" i="1"/>
  <c r="AV3448" i="1"/>
  <c r="AW3447" i="1"/>
  <c r="AV3447" i="1"/>
  <c r="AU3447" i="1"/>
  <c r="AW3446" i="1"/>
  <c r="AV3446" i="1"/>
  <c r="AW3445" i="1"/>
  <c r="AV3445" i="1"/>
  <c r="AW3444" i="1"/>
  <c r="AV3444" i="1"/>
  <c r="AW3443" i="1"/>
  <c r="AV3443" i="1"/>
  <c r="AW3442" i="1"/>
  <c r="AV3442" i="1"/>
  <c r="AW3441" i="1"/>
  <c r="AV3441" i="1"/>
  <c r="AU3441" i="1"/>
  <c r="AW3440" i="1"/>
  <c r="AV3440" i="1"/>
  <c r="AW3439" i="1"/>
  <c r="AV3439" i="1"/>
  <c r="AW3438" i="1"/>
  <c r="AV3438" i="1"/>
  <c r="AW3437" i="1"/>
  <c r="AV3437" i="1"/>
  <c r="AW3436" i="1"/>
  <c r="AV3436" i="1"/>
  <c r="AW3435" i="1"/>
  <c r="AV3435" i="1"/>
  <c r="AW3434" i="1"/>
  <c r="AV3434" i="1"/>
  <c r="AW3433" i="1"/>
  <c r="AV3433" i="1"/>
  <c r="AW3432" i="1"/>
  <c r="AV3432" i="1"/>
  <c r="AW3431" i="1"/>
  <c r="AV3431" i="1"/>
  <c r="AW3430" i="1"/>
  <c r="AV3430" i="1"/>
  <c r="AW3429" i="1"/>
  <c r="AV3429" i="1"/>
  <c r="AU3429" i="1"/>
  <c r="AW3428" i="1"/>
  <c r="AV3428" i="1"/>
  <c r="AU3428" i="1"/>
  <c r="AW3427" i="1"/>
  <c r="AV3427" i="1"/>
  <c r="AU3427" i="1"/>
  <c r="AW3426" i="1"/>
  <c r="AV3426" i="1"/>
  <c r="AW3425" i="1"/>
  <c r="AV3425" i="1"/>
  <c r="AU3425" i="1"/>
  <c r="AW3424" i="1"/>
  <c r="AV3424" i="1"/>
  <c r="AW3423" i="1"/>
  <c r="AV3423" i="1"/>
  <c r="AU3423" i="1"/>
  <c r="AW3422" i="1"/>
  <c r="AV3422" i="1"/>
  <c r="AU3422" i="1"/>
  <c r="AW3421" i="1"/>
  <c r="AV3421" i="1"/>
  <c r="AU3421" i="1"/>
  <c r="AW3420" i="1"/>
  <c r="AV3420" i="1"/>
  <c r="AU3420" i="1"/>
  <c r="AW3419" i="1"/>
  <c r="AV3419" i="1"/>
  <c r="AW3418" i="1"/>
  <c r="AV3418" i="1"/>
  <c r="AW3417" i="1"/>
  <c r="AV3417" i="1"/>
  <c r="AU3417" i="1"/>
  <c r="AW3416" i="1"/>
  <c r="AV3416" i="1"/>
  <c r="AW3415" i="1"/>
  <c r="AV3415" i="1"/>
  <c r="AU3415" i="1"/>
  <c r="AW3414" i="1"/>
  <c r="AV3414" i="1"/>
  <c r="AU3414" i="1"/>
  <c r="AW3413" i="1"/>
  <c r="AV3413" i="1"/>
  <c r="AW3412" i="1"/>
  <c r="AV3412" i="1"/>
  <c r="AW3411" i="1"/>
  <c r="AV3411" i="1"/>
  <c r="AW3410" i="1"/>
  <c r="AV3410" i="1"/>
  <c r="AW3409" i="1"/>
  <c r="AV3409" i="1"/>
  <c r="AW3408" i="1"/>
  <c r="AV3408" i="1"/>
  <c r="AW3407" i="1"/>
  <c r="AV3407" i="1"/>
  <c r="AW3406" i="1"/>
  <c r="AV3406" i="1"/>
  <c r="AW3405" i="1"/>
  <c r="AV3405" i="1"/>
  <c r="AU3405" i="1"/>
  <c r="AW3404" i="1"/>
  <c r="AV3404" i="1"/>
  <c r="AU3404" i="1"/>
  <c r="AW3403" i="1"/>
  <c r="AV3403" i="1"/>
  <c r="AW3402" i="1"/>
  <c r="AV3402" i="1"/>
  <c r="AW3401" i="1"/>
  <c r="AV3401" i="1"/>
  <c r="AU3401" i="1"/>
  <c r="AW3400" i="1"/>
  <c r="AV3400" i="1"/>
  <c r="AU3400" i="1"/>
  <c r="AW3399" i="1"/>
  <c r="AV3399" i="1"/>
  <c r="AU3399" i="1"/>
  <c r="AW3398" i="1"/>
  <c r="AV3398" i="1"/>
  <c r="AW3397" i="1"/>
  <c r="AV3397" i="1"/>
  <c r="AW3396" i="1"/>
  <c r="AV3396" i="1"/>
  <c r="AW3395" i="1"/>
  <c r="AV3395" i="1"/>
  <c r="AW3394" i="1"/>
  <c r="AV3394" i="1"/>
  <c r="AW3393" i="1"/>
  <c r="AV3393" i="1"/>
  <c r="AW3392" i="1"/>
  <c r="AV3392" i="1"/>
  <c r="AW3391" i="1"/>
  <c r="AV3391" i="1"/>
  <c r="AW3390" i="1"/>
  <c r="AV3390" i="1"/>
  <c r="AW3389" i="1"/>
  <c r="AV3389" i="1"/>
  <c r="AW3388" i="1"/>
  <c r="AV3388" i="1"/>
  <c r="AU3388" i="1"/>
  <c r="AW3387" i="1"/>
  <c r="AV3387" i="1"/>
  <c r="AU3387" i="1"/>
  <c r="AW3386" i="1"/>
  <c r="AV3386" i="1"/>
  <c r="AU3386" i="1"/>
  <c r="AW3385" i="1"/>
  <c r="AV3385" i="1"/>
  <c r="AW3384" i="1"/>
  <c r="AV3384" i="1"/>
  <c r="AU3384" i="1"/>
  <c r="AW3383" i="1"/>
  <c r="AV3383" i="1"/>
  <c r="AU3383" i="1"/>
  <c r="AW3382" i="1"/>
  <c r="AV3382" i="1"/>
  <c r="AU3382" i="1"/>
  <c r="AW3381" i="1"/>
  <c r="AV3381" i="1"/>
  <c r="AU3381" i="1"/>
  <c r="AW3380" i="1"/>
  <c r="AV3380" i="1"/>
  <c r="AW3379" i="1"/>
  <c r="AV3379" i="1"/>
  <c r="AW3378" i="1"/>
  <c r="AV3378" i="1"/>
  <c r="AW3377" i="1"/>
  <c r="AV3377" i="1"/>
  <c r="AW3376" i="1"/>
  <c r="AV3376" i="1"/>
  <c r="AW3375" i="1"/>
  <c r="AV3375" i="1"/>
  <c r="AW3374" i="1"/>
  <c r="AV3374" i="1"/>
  <c r="AW3373" i="1"/>
  <c r="AV3373" i="1"/>
  <c r="AW3372" i="1"/>
  <c r="AV3372" i="1"/>
  <c r="AW3371" i="1"/>
  <c r="AV3371" i="1"/>
  <c r="AW3370" i="1"/>
  <c r="AV3370" i="1"/>
  <c r="AW3369" i="1"/>
  <c r="AV3369" i="1"/>
  <c r="AW3368" i="1"/>
  <c r="AV3368" i="1"/>
  <c r="AW3367" i="1"/>
  <c r="AV3367" i="1"/>
  <c r="AW3366" i="1"/>
  <c r="AV3366" i="1"/>
  <c r="AW3365" i="1"/>
  <c r="AV3365" i="1"/>
  <c r="AW3364" i="1"/>
  <c r="AV3364" i="1"/>
  <c r="AW3363" i="1"/>
  <c r="AV3363" i="1"/>
  <c r="AW3362" i="1"/>
  <c r="AV3362" i="1"/>
  <c r="AW3361" i="1"/>
  <c r="AV3361" i="1"/>
  <c r="AW3360" i="1"/>
  <c r="AV3360" i="1"/>
  <c r="AW3359" i="1"/>
  <c r="AV3359" i="1"/>
  <c r="AW3358" i="1"/>
  <c r="AV3358" i="1"/>
  <c r="AW3357" i="1"/>
  <c r="AV3357" i="1"/>
  <c r="AW3356" i="1"/>
  <c r="AV3356" i="1"/>
  <c r="AU3356" i="1"/>
  <c r="AW3355" i="1"/>
  <c r="AV3355" i="1"/>
  <c r="AW3354" i="1"/>
  <c r="AV3354" i="1"/>
  <c r="AW3353" i="1"/>
  <c r="AV3353" i="1"/>
  <c r="AW3352" i="1"/>
  <c r="AV3352" i="1"/>
  <c r="AW3351" i="1"/>
  <c r="AV3351" i="1"/>
  <c r="AW3350" i="1"/>
  <c r="AV3350" i="1"/>
  <c r="AW3349" i="1"/>
  <c r="AV3349" i="1"/>
  <c r="AW3348" i="1"/>
  <c r="AV3348" i="1"/>
  <c r="AW3347" i="1"/>
  <c r="AV3347" i="1"/>
  <c r="AW3346" i="1"/>
  <c r="AV3346" i="1"/>
  <c r="AW3345" i="1"/>
  <c r="AV3345" i="1"/>
  <c r="AW3344" i="1"/>
  <c r="AV3344" i="1"/>
  <c r="AW3343" i="1"/>
  <c r="AV3343" i="1"/>
  <c r="AW3342" i="1"/>
  <c r="AV3342" i="1"/>
  <c r="AW3341" i="1"/>
  <c r="AV3341" i="1"/>
  <c r="AW3340" i="1"/>
  <c r="AV3340" i="1"/>
  <c r="AW3339" i="1"/>
  <c r="AV3339" i="1"/>
  <c r="AW3338" i="1"/>
  <c r="AV3338" i="1"/>
  <c r="AW3337" i="1"/>
  <c r="AV3337" i="1"/>
  <c r="AU3337" i="1"/>
  <c r="AW3336" i="1"/>
  <c r="AV3336" i="1"/>
  <c r="AU3336" i="1"/>
  <c r="AW3335" i="1"/>
  <c r="AV3335" i="1"/>
  <c r="AW3334" i="1"/>
  <c r="AV3334" i="1"/>
  <c r="AW3333" i="1"/>
  <c r="AV3333" i="1"/>
  <c r="AW3332" i="1"/>
  <c r="AV3332" i="1"/>
  <c r="AU3332" i="1"/>
  <c r="AW3331" i="1"/>
  <c r="AV3331" i="1"/>
  <c r="AU3331" i="1"/>
  <c r="AW3330" i="1"/>
  <c r="AV3330" i="1"/>
  <c r="AW3329" i="1"/>
  <c r="AV3329" i="1"/>
  <c r="AW3328" i="1"/>
  <c r="AV3328" i="1"/>
  <c r="AW3327" i="1"/>
  <c r="AV3327" i="1"/>
  <c r="AW3326" i="1"/>
  <c r="AV3326" i="1"/>
  <c r="AW3325" i="1"/>
  <c r="AV3325" i="1"/>
  <c r="AW3324" i="1"/>
  <c r="AV3324" i="1"/>
  <c r="AW3323" i="1"/>
  <c r="AV3323" i="1"/>
  <c r="AW3322" i="1"/>
  <c r="AV3322" i="1"/>
  <c r="AW3321" i="1"/>
  <c r="AV3321" i="1"/>
  <c r="AU3321" i="1"/>
  <c r="AW3320" i="1"/>
  <c r="AV3320" i="1"/>
  <c r="AW3319" i="1"/>
  <c r="AV3319" i="1"/>
  <c r="AU3319" i="1"/>
  <c r="AW3318" i="1"/>
  <c r="AV3318" i="1"/>
  <c r="AW3317" i="1"/>
  <c r="AV3317" i="1"/>
  <c r="AW3316" i="1"/>
  <c r="AV3316" i="1"/>
  <c r="AW3315" i="1"/>
  <c r="AV3315" i="1"/>
  <c r="AW3314" i="1"/>
  <c r="AV3314" i="1"/>
  <c r="AW3313" i="1"/>
  <c r="AV3313" i="1"/>
  <c r="AW3312" i="1"/>
  <c r="AV3312" i="1"/>
  <c r="AU3312" i="1"/>
  <c r="AW3311" i="1"/>
  <c r="AV3311" i="1"/>
  <c r="AW3310" i="1"/>
  <c r="AV3310" i="1"/>
  <c r="AW3309" i="1"/>
  <c r="AV3309" i="1"/>
  <c r="AW3308" i="1"/>
  <c r="AV3308" i="1"/>
  <c r="AW3307" i="1"/>
  <c r="AV3307" i="1"/>
  <c r="AW3306" i="1"/>
  <c r="AV3306" i="1"/>
  <c r="AW3305" i="1"/>
  <c r="AV3305" i="1"/>
  <c r="AU3305" i="1"/>
  <c r="AW3304" i="1"/>
  <c r="AV3304" i="1"/>
  <c r="AW3303" i="1"/>
  <c r="AV3303" i="1"/>
  <c r="AU3303" i="1"/>
  <c r="AW3302" i="1"/>
  <c r="AV3302" i="1"/>
  <c r="AU3302" i="1"/>
  <c r="AW3301" i="1"/>
  <c r="AV3301" i="1"/>
  <c r="AU3301" i="1"/>
  <c r="AW3300" i="1"/>
  <c r="AV3300" i="1"/>
  <c r="AW3299" i="1"/>
  <c r="AV3299" i="1"/>
  <c r="AW3298" i="1"/>
  <c r="AV3298" i="1"/>
  <c r="AU3298" i="1"/>
  <c r="AW3297" i="1"/>
  <c r="AV3297" i="1"/>
  <c r="AU3297" i="1"/>
  <c r="AW3296" i="1"/>
  <c r="AV3296" i="1"/>
  <c r="AU3296" i="1"/>
  <c r="AW3295" i="1"/>
  <c r="AV3295" i="1"/>
  <c r="AW3294" i="1"/>
  <c r="AV3294" i="1"/>
  <c r="AU3294" i="1"/>
  <c r="AW3293" i="1"/>
  <c r="AV3293" i="1"/>
  <c r="AU3293" i="1"/>
  <c r="AW3292" i="1"/>
  <c r="AV3292" i="1"/>
  <c r="AW3291" i="1"/>
  <c r="AV3291" i="1"/>
  <c r="AW3290" i="1"/>
  <c r="AV3290" i="1"/>
  <c r="AW3289" i="1"/>
  <c r="AV3289" i="1"/>
  <c r="AW3288" i="1"/>
  <c r="AV3288" i="1"/>
  <c r="AW3287" i="1"/>
  <c r="AV3287" i="1"/>
  <c r="AW3286" i="1"/>
  <c r="AV3286" i="1"/>
  <c r="AW3285" i="1"/>
  <c r="AV3285" i="1"/>
  <c r="AW3284" i="1"/>
  <c r="AV3284" i="1"/>
  <c r="AW3283" i="1"/>
  <c r="AV3283" i="1"/>
  <c r="AU3283" i="1"/>
  <c r="AW3282" i="1"/>
  <c r="AV3282" i="1"/>
  <c r="AU3282" i="1"/>
  <c r="AW3281" i="1"/>
  <c r="AV3281" i="1"/>
  <c r="AU3281" i="1"/>
  <c r="AW3280" i="1"/>
  <c r="AV3280" i="1"/>
  <c r="AU3280" i="1"/>
  <c r="AW3279" i="1"/>
  <c r="AV3279" i="1"/>
  <c r="AU3279" i="1"/>
  <c r="AW3278" i="1"/>
  <c r="AV3278" i="1"/>
  <c r="AW3277" i="1"/>
  <c r="AV3277" i="1"/>
  <c r="AU3277" i="1"/>
  <c r="AW3276" i="1"/>
  <c r="AV3276" i="1"/>
  <c r="AW3275" i="1"/>
  <c r="AV3275" i="1"/>
  <c r="AU3275" i="1"/>
  <c r="AW3274" i="1"/>
  <c r="AV3274" i="1"/>
  <c r="AU3274" i="1"/>
  <c r="AW3273" i="1"/>
  <c r="AV3273" i="1"/>
  <c r="AU3273" i="1"/>
  <c r="AW3272" i="1"/>
  <c r="AV3272" i="1"/>
  <c r="AW3271" i="1"/>
  <c r="AV3271" i="1"/>
  <c r="AW3270" i="1"/>
  <c r="AV3270" i="1"/>
  <c r="AW3269" i="1"/>
  <c r="AV3269" i="1"/>
  <c r="AW3268" i="1"/>
  <c r="AV3268" i="1"/>
  <c r="AU3268" i="1"/>
  <c r="AW3267" i="1"/>
  <c r="AV3267" i="1"/>
  <c r="AW3266" i="1"/>
  <c r="AV3266" i="1"/>
  <c r="AU3266" i="1"/>
  <c r="AW3265" i="1"/>
  <c r="AV3265" i="1"/>
  <c r="AU3265" i="1"/>
  <c r="AW3264" i="1"/>
  <c r="AV3264" i="1"/>
  <c r="AW3263" i="1"/>
  <c r="AV3263" i="1"/>
  <c r="AW3262" i="1"/>
  <c r="AV3262" i="1"/>
  <c r="AW3261" i="1"/>
  <c r="AV3261" i="1"/>
  <c r="AW3260" i="1"/>
  <c r="AV3260" i="1"/>
  <c r="AU3260" i="1"/>
  <c r="AW3259" i="1"/>
  <c r="AV3259" i="1"/>
  <c r="AW3258" i="1"/>
  <c r="AV3258" i="1"/>
  <c r="AW3257" i="1"/>
  <c r="AV3257" i="1"/>
  <c r="AW3256" i="1"/>
  <c r="AV3256" i="1"/>
  <c r="AW3255" i="1"/>
  <c r="AV3255" i="1"/>
  <c r="AW3254" i="1"/>
  <c r="AV3254" i="1"/>
  <c r="AW3253" i="1"/>
  <c r="AV3253" i="1"/>
  <c r="AU3253" i="1"/>
  <c r="AW3252" i="1"/>
  <c r="AV3252" i="1"/>
  <c r="AU3252" i="1"/>
  <c r="AW3251" i="1"/>
  <c r="AV3251" i="1"/>
  <c r="AW3250" i="1"/>
  <c r="AV3250" i="1"/>
  <c r="AW3249" i="1"/>
  <c r="AV3249" i="1"/>
  <c r="AW3248" i="1"/>
  <c r="AV3248" i="1"/>
  <c r="AW3247" i="1"/>
  <c r="AV3247" i="1"/>
  <c r="AW3246" i="1"/>
  <c r="AV3246" i="1"/>
  <c r="AW3245" i="1"/>
  <c r="AV3245" i="1"/>
  <c r="AU3245" i="1"/>
  <c r="AW3244" i="1"/>
  <c r="AV3244" i="1"/>
  <c r="AW3243" i="1"/>
  <c r="AV3243" i="1"/>
  <c r="AW3242" i="1"/>
  <c r="AV3242" i="1"/>
  <c r="AW3241" i="1"/>
  <c r="AV3241" i="1"/>
  <c r="AW3240" i="1"/>
  <c r="AV3240" i="1"/>
  <c r="AW3239" i="1"/>
  <c r="AV3239" i="1"/>
  <c r="AW3238" i="1"/>
  <c r="AV3238" i="1"/>
  <c r="AW3237" i="1"/>
  <c r="AV3237" i="1"/>
  <c r="AU3237" i="1"/>
  <c r="AW3236" i="1"/>
  <c r="AV3236" i="1"/>
  <c r="AU3236" i="1"/>
  <c r="AW3235" i="1"/>
  <c r="AV3235" i="1"/>
  <c r="AU3235" i="1"/>
  <c r="AW3234" i="1"/>
  <c r="AV3234" i="1"/>
  <c r="AW3233" i="1"/>
  <c r="AV3233" i="1"/>
  <c r="AW3232" i="1"/>
  <c r="AV3232" i="1"/>
  <c r="AW3231" i="1"/>
  <c r="AV3231" i="1"/>
  <c r="AU3231" i="1"/>
  <c r="AW3230" i="1"/>
  <c r="AV3230" i="1"/>
  <c r="AW3229" i="1"/>
  <c r="AV3229" i="1"/>
  <c r="AW3228" i="1"/>
  <c r="AV3228" i="1"/>
  <c r="AW3227" i="1"/>
  <c r="AV3227" i="1"/>
  <c r="AW3226" i="1"/>
  <c r="AV3226" i="1"/>
  <c r="AW3225" i="1"/>
  <c r="AV3225" i="1"/>
  <c r="AU3225" i="1"/>
  <c r="AW3224" i="1"/>
  <c r="AV3224" i="1"/>
  <c r="AW3223" i="1"/>
  <c r="AV3223" i="1"/>
  <c r="AW3222" i="1"/>
  <c r="AV3222" i="1"/>
  <c r="AW3221" i="1"/>
  <c r="AV3221" i="1"/>
  <c r="AW3220" i="1"/>
  <c r="AV3220" i="1"/>
  <c r="AW3219" i="1"/>
  <c r="AV3219" i="1"/>
  <c r="AU3219" i="1"/>
  <c r="AW3218" i="1"/>
  <c r="AV3218" i="1"/>
  <c r="AU3218" i="1"/>
  <c r="AW3217" i="1"/>
  <c r="AV3217" i="1"/>
  <c r="AW3216" i="1"/>
  <c r="AV3216" i="1"/>
  <c r="AU3216" i="1"/>
  <c r="AW3215" i="1"/>
  <c r="AV3215" i="1"/>
  <c r="AU3215" i="1"/>
  <c r="AW3214" i="1"/>
  <c r="AV3214" i="1"/>
  <c r="AU3214" i="1"/>
  <c r="AW3213" i="1"/>
  <c r="AV3213" i="1"/>
  <c r="AW3212" i="1"/>
  <c r="AV3212" i="1"/>
  <c r="AW3211" i="1"/>
  <c r="AV3211" i="1"/>
  <c r="AW3210" i="1"/>
  <c r="AV3210" i="1"/>
  <c r="AW3209" i="1"/>
  <c r="AV3209" i="1"/>
  <c r="AW3208" i="1"/>
  <c r="AV3208" i="1"/>
  <c r="AW3207" i="1"/>
  <c r="AV3207" i="1"/>
  <c r="AW3206" i="1"/>
  <c r="AV3206" i="1"/>
  <c r="AW3205" i="1"/>
  <c r="AV3205" i="1"/>
  <c r="AW3204" i="1"/>
  <c r="AV3204" i="1"/>
  <c r="AW3203" i="1"/>
  <c r="AV3203" i="1"/>
  <c r="AW3202" i="1"/>
  <c r="AV3202" i="1"/>
  <c r="AU3202" i="1"/>
  <c r="AW3201" i="1"/>
  <c r="AV3201" i="1"/>
  <c r="AW3200" i="1"/>
  <c r="AV3200" i="1"/>
  <c r="AU3200" i="1"/>
  <c r="AW3199" i="1"/>
  <c r="AV3199" i="1"/>
  <c r="AW3198" i="1"/>
  <c r="AV3198" i="1"/>
  <c r="AW3197" i="1"/>
  <c r="AV3197" i="1"/>
  <c r="AW3196" i="1"/>
  <c r="AV3196" i="1"/>
  <c r="AW3195" i="1"/>
  <c r="AV3195" i="1"/>
  <c r="AW3194" i="1"/>
  <c r="AV3194" i="1"/>
  <c r="AW3193" i="1"/>
  <c r="AV3193" i="1"/>
  <c r="AW3192" i="1"/>
  <c r="AV3192" i="1"/>
  <c r="AW3191" i="1"/>
  <c r="AV3191" i="1"/>
  <c r="AW3190" i="1"/>
  <c r="AV3190" i="1"/>
  <c r="AW3189" i="1"/>
  <c r="AV3189" i="1"/>
  <c r="AW3188" i="1"/>
  <c r="AV3188" i="1"/>
  <c r="AW3187" i="1"/>
  <c r="AV3187" i="1"/>
  <c r="AW3186" i="1"/>
  <c r="AV3186" i="1"/>
  <c r="AW3185" i="1"/>
  <c r="AV3185" i="1"/>
  <c r="AW3184" i="1"/>
  <c r="AV3184" i="1"/>
  <c r="AW3183" i="1"/>
  <c r="AV3183" i="1"/>
  <c r="AW3182" i="1"/>
  <c r="AV3182" i="1"/>
  <c r="AW3181" i="1"/>
  <c r="AV3181" i="1"/>
  <c r="AW3180" i="1"/>
  <c r="AV3180" i="1"/>
  <c r="AW3179" i="1"/>
  <c r="AV3179" i="1"/>
  <c r="AW3178" i="1"/>
  <c r="AV3178" i="1"/>
  <c r="AW3177" i="1"/>
  <c r="AV3177" i="1"/>
  <c r="AW3176" i="1"/>
  <c r="AV3176" i="1"/>
  <c r="AW3175" i="1"/>
  <c r="AV3175" i="1"/>
  <c r="AW3174" i="1"/>
  <c r="AV3174" i="1"/>
  <c r="AW3173" i="1"/>
  <c r="AV3173" i="1"/>
  <c r="AW3172" i="1"/>
  <c r="AV3172" i="1"/>
  <c r="AW3171" i="1"/>
  <c r="AV3171" i="1"/>
  <c r="AW3170" i="1"/>
  <c r="AV3170" i="1"/>
  <c r="AW3169" i="1"/>
  <c r="AV3169" i="1"/>
  <c r="AW3168" i="1"/>
  <c r="AV3168" i="1"/>
  <c r="AW3167" i="1"/>
  <c r="AV3167" i="1"/>
  <c r="AW3166" i="1"/>
  <c r="AV3166" i="1"/>
  <c r="AW3165" i="1"/>
  <c r="AV3165" i="1"/>
  <c r="AW3164" i="1"/>
  <c r="AV3164" i="1"/>
  <c r="AW3163" i="1"/>
  <c r="AV3163" i="1"/>
  <c r="AW3162" i="1"/>
  <c r="AV3162" i="1"/>
  <c r="AW3161" i="1"/>
  <c r="AV3161" i="1"/>
  <c r="AW3160" i="1"/>
  <c r="AV3160" i="1"/>
  <c r="AW3159" i="1"/>
  <c r="AV3159" i="1"/>
  <c r="AW3158" i="1"/>
  <c r="AV3158" i="1"/>
  <c r="AW3157" i="1"/>
  <c r="AV3157" i="1"/>
  <c r="AW3156" i="1"/>
  <c r="AV3156" i="1"/>
  <c r="AU3156" i="1"/>
  <c r="AW3155" i="1"/>
  <c r="AV3155" i="1"/>
  <c r="AW3154" i="1"/>
  <c r="AV3154" i="1"/>
  <c r="AW3153" i="1"/>
  <c r="AV3153" i="1"/>
  <c r="AW3152" i="1"/>
  <c r="AV3152" i="1"/>
  <c r="AW3151" i="1"/>
  <c r="AV3151" i="1"/>
  <c r="AW3150" i="1"/>
  <c r="AV3150" i="1"/>
  <c r="AW3149" i="1"/>
  <c r="AV3149" i="1"/>
  <c r="AW3148" i="1"/>
  <c r="AV3148" i="1"/>
  <c r="AW3147" i="1"/>
  <c r="AV3147" i="1"/>
  <c r="AW3146" i="1"/>
  <c r="AV3146" i="1"/>
  <c r="AW3145" i="1"/>
  <c r="AV3145" i="1"/>
  <c r="AW3144" i="1"/>
  <c r="AV3144" i="1"/>
  <c r="AU3144" i="1"/>
  <c r="AW3143" i="1"/>
  <c r="AV3143" i="1"/>
  <c r="AU3143" i="1"/>
  <c r="AW3142" i="1"/>
  <c r="AV3142" i="1"/>
  <c r="AW3141" i="1"/>
  <c r="AV3141" i="1"/>
  <c r="AU3141" i="1"/>
  <c r="AW3140" i="1"/>
  <c r="AV3140" i="1"/>
  <c r="AU3140" i="1"/>
  <c r="AW3139" i="1"/>
  <c r="AV3139" i="1"/>
  <c r="AU3139" i="1"/>
  <c r="AW3138" i="1"/>
  <c r="AV3138" i="1"/>
  <c r="AW3137" i="1"/>
  <c r="AV3137" i="1"/>
  <c r="AW3136" i="1"/>
  <c r="AV3136" i="1"/>
  <c r="AW3135" i="1"/>
  <c r="AV3135" i="1"/>
  <c r="AW3134" i="1"/>
  <c r="AV3134" i="1"/>
  <c r="AU3134" i="1"/>
  <c r="AW3133" i="1"/>
  <c r="AV3133" i="1"/>
  <c r="AW3132" i="1"/>
  <c r="AV3132" i="1"/>
  <c r="AW3131" i="1"/>
  <c r="AV3131" i="1"/>
  <c r="AW3130" i="1"/>
  <c r="AV3130" i="1"/>
  <c r="AW3129" i="1"/>
  <c r="AV3129" i="1"/>
  <c r="AW3128" i="1"/>
  <c r="AV3128" i="1"/>
  <c r="AW3127" i="1"/>
  <c r="AV3127" i="1"/>
  <c r="AW3126" i="1"/>
  <c r="AV3126" i="1"/>
  <c r="AW3125" i="1"/>
  <c r="AV3125" i="1"/>
  <c r="AW3124" i="1"/>
  <c r="AV3124" i="1"/>
  <c r="AW3123" i="1"/>
  <c r="AV3123" i="1"/>
  <c r="AW3122" i="1"/>
  <c r="AV3122" i="1"/>
  <c r="AW3121" i="1"/>
  <c r="AV3121" i="1"/>
  <c r="AU3121" i="1"/>
  <c r="AW3120" i="1"/>
  <c r="AV3120" i="1"/>
  <c r="AU3120" i="1"/>
  <c r="AW3119" i="1"/>
  <c r="AV3119" i="1"/>
  <c r="AU3119" i="1"/>
  <c r="AW3118" i="1"/>
  <c r="AV3118" i="1"/>
  <c r="AU3118" i="1"/>
  <c r="AW3117" i="1"/>
  <c r="AV3117" i="1"/>
  <c r="AU3117" i="1"/>
  <c r="AW3116" i="1"/>
  <c r="AV3116" i="1"/>
  <c r="AU3116" i="1"/>
  <c r="AW3115" i="1"/>
  <c r="AV3115" i="1"/>
  <c r="AW3114" i="1"/>
  <c r="AV3114" i="1"/>
  <c r="AW3113" i="1"/>
  <c r="AV3113" i="1"/>
  <c r="AU3113" i="1"/>
  <c r="AW3112" i="1"/>
  <c r="AV3112" i="1"/>
  <c r="AW3111" i="1"/>
  <c r="AV3111" i="1"/>
  <c r="AW3110" i="1"/>
  <c r="AV3110" i="1"/>
  <c r="AW3109" i="1"/>
  <c r="AV3109" i="1"/>
  <c r="AW3108" i="1"/>
  <c r="AV3108" i="1"/>
  <c r="AU3108" i="1"/>
  <c r="AW3107" i="1"/>
  <c r="AV3107" i="1"/>
  <c r="AW3106" i="1"/>
  <c r="AV3106" i="1"/>
  <c r="AU3106" i="1"/>
  <c r="AW3105" i="1"/>
  <c r="AV3105" i="1"/>
  <c r="AU3105" i="1"/>
  <c r="AW3104" i="1"/>
  <c r="AV3104" i="1"/>
  <c r="AU3104" i="1"/>
  <c r="AW3103" i="1"/>
  <c r="AV3103" i="1"/>
  <c r="AW3102" i="1"/>
  <c r="AV3102" i="1"/>
  <c r="AW3101" i="1"/>
  <c r="AV3101" i="1"/>
  <c r="AW3100" i="1"/>
  <c r="AV3100" i="1"/>
  <c r="AW3099" i="1"/>
  <c r="AV3099" i="1"/>
  <c r="AU3099" i="1"/>
  <c r="AW3098" i="1"/>
  <c r="AV3098" i="1"/>
  <c r="AU3098" i="1"/>
  <c r="AW3097" i="1"/>
  <c r="AV3097" i="1"/>
  <c r="AW3096" i="1"/>
  <c r="AV3096" i="1"/>
  <c r="AU3096" i="1"/>
  <c r="AW3095" i="1"/>
  <c r="AV3095" i="1"/>
  <c r="AU3095" i="1"/>
  <c r="AW3094" i="1"/>
  <c r="AV3094" i="1"/>
  <c r="AW3093" i="1"/>
  <c r="AV3093" i="1"/>
  <c r="AW3092" i="1"/>
  <c r="AV3092" i="1"/>
  <c r="AW3091" i="1"/>
  <c r="AV3091" i="1"/>
  <c r="AW3090" i="1"/>
  <c r="AV3090" i="1"/>
  <c r="AW3089" i="1"/>
  <c r="AV3089" i="1"/>
  <c r="AW3088" i="1"/>
  <c r="AV3088" i="1"/>
  <c r="AW3087" i="1"/>
  <c r="AV3087" i="1"/>
  <c r="AW3086" i="1"/>
  <c r="AV3086" i="1"/>
  <c r="AW3085" i="1"/>
  <c r="AV3085" i="1"/>
  <c r="AW3084" i="1"/>
  <c r="AV3084" i="1"/>
  <c r="AU3084" i="1"/>
  <c r="AW3083" i="1"/>
  <c r="AV3083" i="1"/>
  <c r="AU3083" i="1"/>
  <c r="AW3082" i="1"/>
  <c r="AV3082" i="1"/>
  <c r="AU3082" i="1"/>
  <c r="AW3081" i="1"/>
  <c r="AV3081" i="1"/>
  <c r="AW3080" i="1"/>
  <c r="AV3080" i="1"/>
  <c r="AW3079" i="1"/>
  <c r="AV3079" i="1"/>
  <c r="AW3078" i="1"/>
  <c r="AV3078" i="1"/>
  <c r="AW3077" i="1"/>
  <c r="AV3077" i="1"/>
  <c r="AW3076" i="1"/>
  <c r="AV3076" i="1"/>
  <c r="AU3076" i="1"/>
  <c r="AW3075" i="1"/>
  <c r="AV3075" i="1"/>
  <c r="AU3075" i="1"/>
  <c r="AW3074" i="1"/>
  <c r="AV3074" i="1"/>
  <c r="AW3073" i="1"/>
  <c r="AV3073" i="1"/>
  <c r="AU3073" i="1"/>
  <c r="AW3072" i="1"/>
  <c r="AV3072" i="1"/>
  <c r="AU3072" i="1"/>
  <c r="AW3071" i="1"/>
  <c r="AV3071" i="1"/>
  <c r="AW3070" i="1"/>
  <c r="AV3070" i="1"/>
  <c r="AU3070" i="1"/>
  <c r="AW3069" i="1"/>
  <c r="AV3069" i="1"/>
  <c r="AW3068" i="1"/>
  <c r="AV3068" i="1"/>
  <c r="AU3068" i="1"/>
  <c r="AW3067" i="1"/>
  <c r="AV3067" i="1"/>
  <c r="AU3067" i="1"/>
  <c r="AW3066" i="1"/>
  <c r="AV3066" i="1"/>
  <c r="AW3065" i="1"/>
  <c r="AV3065" i="1"/>
  <c r="AU3065" i="1"/>
  <c r="AW3064" i="1"/>
  <c r="AV3064" i="1"/>
  <c r="AW3063" i="1"/>
  <c r="AV3063" i="1"/>
  <c r="AW3062" i="1"/>
  <c r="AV3062" i="1"/>
  <c r="AW3061" i="1"/>
  <c r="AV3061" i="1"/>
  <c r="AW3060" i="1"/>
  <c r="AV3060" i="1"/>
  <c r="AW3059" i="1"/>
  <c r="AV3059" i="1"/>
  <c r="AW3058" i="1"/>
  <c r="AV3058" i="1"/>
  <c r="AW3057" i="1"/>
  <c r="AV3057" i="1"/>
  <c r="AW3056" i="1"/>
  <c r="AV3056" i="1"/>
  <c r="AU3056" i="1"/>
  <c r="AW3055" i="1"/>
  <c r="AV3055" i="1"/>
  <c r="AW3054" i="1"/>
  <c r="AV3054" i="1"/>
  <c r="AU3054" i="1"/>
  <c r="AW3053" i="1"/>
  <c r="AV3053" i="1"/>
  <c r="AU3053" i="1"/>
  <c r="AW3052" i="1"/>
  <c r="AV3052" i="1"/>
  <c r="AU3052" i="1"/>
  <c r="AW3051" i="1"/>
  <c r="AV3051" i="1"/>
  <c r="AU3051" i="1"/>
  <c r="AW3050" i="1"/>
  <c r="AV3050" i="1"/>
  <c r="AU3050" i="1"/>
  <c r="AW3049" i="1"/>
  <c r="AV3049" i="1"/>
  <c r="AW3048" i="1"/>
  <c r="AV3048" i="1"/>
  <c r="AW3047" i="1"/>
  <c r="AV3047" i="1"/>
  <c r="AW3046" i="1"/>
  <c r="AV3046" i="1"/>
  <c r="AW3045" i="1"/>
  <c r="AV3045" i="1"/>
  <c r="AU3045" i="1"/>
  <c r="AW3044" i="1"/>
  <c r="AV3044" i="1"/>
  <c r="AW3043" i="1"/>
  <c r="AV3043" i="1"/>
  <c r="AW3042" i="1"/>
  <c r="AV3042" i="1"/>
  <c r="AU3042" i="1"/>
  <c r="AW3041" i="1"/>
  <c r="AV3041" i="1"/>
  <c r="AW3040" i="1"/>
  <c r="AV3040" i="1"/>
  <c r="AW3039" i="1"/>
  <c r="AV3039" i="1"/>
  <c r="AW3038" i="1"/>
  <c r="AV3038" i="1"/>
  <c r="AU3038" i="1"/>
  <c r="AW3037" i="1"/>
  <c r="AV3037" i="1"/>
  <c r="AU3037" i="1"/>
  <c r="AW3036" i="1"/>
  <c r="AV3036" i="1"/>
  <c r="AW3035" i="1"/>
  <c r="AV3035" i="1"/>
  <c r="AW3034" i="1"/>
  <c r="AV3034" i="1"/>
  <c r="AW3033" i="1"/>
  <c r="AV3033" i="1"/>
  <c r="AW3032" i="1"/>
  <c r="AV3032" i="1"/>
  <c r="AU3032" i="1"/>
  <c r="AW3031" i="1"/>
  <c r="AV3031" i="1"/>
  <c r="AU3031" i="1"/>
  <c r="AW3030" i="1"/>
  <c r="AV3030" i="1"/>
  <c r="AW3029" i="1"/>
  <c r="AV3029" i="1"/>
  <c r="AW3028" i="1"/>
  <c r="AV3028" i="1"/>
  <c r="AW3027" i="1"/>
  <c r="AV3027" i="1"/>
  <c r="AW3026" i="1"/>
  <c r="AV3026" i="1"/>
  <c r="AU3026" i="1"/>
  <c r="AW3025" i="1"/>
  <c r="AV3025" i="1"/>
  <c r="AW3024" i="1"/>
  <c r="AV3024" i="1"/>
  <c r="AU3024" i="1"/>
  <c r="AW3023" i="1"/>
  <c r="AV3023" i="1"/>
  <c r="AU3023" i="1"/>
  <c r="AW3022" i="1"/>
  <c r="AV3022" i="1"/>
  <c r="AU3022" i="1"/>
  <c r="AW3021" i="1"/>
  <c r="AV3021" i="1"/>
  <c r="AU3021" i="1"/>
  <c r="AW3020" i="1"/>
  <c r="AV3020" i="1"/>
  <c r="AW3019" i="1"/>
  <c r="AV3019" i="1"/>
  <c r="AU3019" i="1"/>
  <c r="AW3018" i="1"/>
  <c r="AV3018" i="1"/>
  <c r="AW3017" i="1"/>
  <c r="AV3017" i="1"/>
  <c r="AW3016" i="1"/>
  <c r="AV3016" i="1"/>
  <c r="AU3016" i="1"/>
  <c r="AW3015" i="1"/>
  <c r="AV3015" i="1"/>
  <c r="AU3015" i="1"/>
  <c r="AW3014" i="1"/>
  <c r="AV3014" i="1"/>
  <c r="AW3013" i="1"/>
  <c r="AV3013" i="1"/>
  <c r="AU3013" i="1"/>
  <c r="AW3012" i="1"/>
  <c r="AV3012" i="1"/>
  <c r="AU3012" i="1"/>
  <c r="AW3011" i="1"/>
  <c r="AV3011" i="1"/>
  <c r="AU3011" i="1"/>
  <c r="AW3010" i="1"/>
  <c r="AV3010" i="1"/>
  <c r="AU3010" i="1"/>
  <c r="AW3009" i="1"/>
  <c r="AV3009" i="1"/>
  <c r="AW3008" i="1"/>
  <c r="AV3008" i="1"/>
  <c r="AU3008" i="1"/>
  <c r="AW3007" i="1"/>
  <c r="AV3007" i="1"/>
  <c r="AW3006" i="1"/>
  <c r="AV3006" i="1"/>
  <c r="AU3006" i="1"/>
  <c r="AW3005" i="1"/>
  <c r="AV3005" i="1"/>
  <c r="AU3005" i="1"/>
  <c r="AW3004" i="1"/>
  <c r="AV3004" i="1"/>
  <c r="AW3003" i="1"/>
  <c r="AV3003" i="1"/>
  <c r="AW3002" i="1"/>
  <c r="AV3002" i="1"/>
  <c r="AW3001" i="1"/>
  <c r="AV3001" i="1"/>
  <c r="AU3001" i="1"/>
  <c r="AW3000" i="1"/>
  <c r="AV3000" i="1"/>
  <c r="AW2999" i="1"/>
  <c r="AV2999" i="1"/>
  <c r="AW2998" i="1"/>
  <c r="AV2998" i="1"/>
  <c r="AW2997" i="1"/>
  <c r="AV2997" i="1"/>
  <c r="AW2996" i="1"/>
  <c r="AV2996" i="1"/>
  <c r="AU2996" i="1"/>
  <c r="AW2995" i="1"/>
  <c r="AV2995" i="1"/>
  <c r="AU2995" i="1"/>
  <c r="AW2994" i="1"/>
  <c r="AV2994" i="1"/>
  <c r="AU2994" i="1"/>
  <c r="AW2993" i="1"/>
  <c r="AV2993" i="1"/>
  <c r="AU2993" i="1"/>
  <c r="AW2992" i="1"/>
  <c r="AV2992" i="1"/>
  <c r="AU2992" i="1"/>
  <c r="AW2991" i="1"/>
  <c r="AV2991" i="1"/>
  <c r="AU2991" i="1"/>
  <c r="AW2990" i="1"/>
  <c r="AV2990" i="1"/>
  <c r="AW2989" i="1"/>
  <c r="AV2989" i="1"/>
  <c r="AW2988" i="1"/>
  <c r="AV2988" i="1"/>
  <c r="AW2987" i="1"/>
  <c r="AV2987" i="1"/>
  <c r="AU2987" i="1"/>
  <c r="AW2986" i="1"/>
  <c r="AV2986" i="1"/>
  <c r="AW2985" i="1"/>
  <c r="AV2985" i="1"/>
  <c r="AU2985" i="1"/>
  <c r="AW2984" i="1"/>
  <c r="AV2984" i="1"/>
  <c r="AW2983" i="1"/>
  <c r="AV2983" i="1"/>
  <c r="AW2982" i="1"/>
  <c r="AV2982" i="1"/>
  <c r="AW2981" i="1"/>
  <c r="AV2981" i="1"/>
  <c r="AW2980" i="1"/>
  <c r="AV2980" i="1"/>
  <c r="AW2979" i="1"/>
  <c r="AV2979" i="1"/>
  <c r="AU2979" i="1"/>
  <c r="AW2978" i="1"/>
  <c r="AV2978" i="1"/>
  <c r="AU2978" i="1"/>
  <c r="AW2977" i="1"/>
  <c r="AV2977" i="1"/>
  <c r="AU2977" i="1"/>
  <c r="AW2976" i="1"/>
  <c r="AV2976" i="1"/>
  <c r="AW2975" i="1"/>
  <c r="AV2975" i="1"/>
  <c r="AU2975" i="1"/>
  <c r="AW2974" i="1"/>
  <c r="AV2974" i="1"/>
  <c r="AW2973" i="1"/>
  <c r="AV2973" i="1"/>
  <c r="AW2972" i="1"/>
  <c r="AV2972" i="1"/>
  <c r="AW2971" i="1"/>
  <c r="AV2971" i="1"/>
  <c r="AU2971" i="1"/>
  <c r="AW2970" i="1"/>
  <c r="AV2970" i="1"/>
  <c r="AU2970" i="1"/>
  <c r="AW2969" i="1"/>
  <c r="AV2969" i="1"/>
  <c r="AW2968" i="1"/>
  <c r="AV2968" i="1"/>
  <c r="AW2967" i="1"/>
  <c r="AV2967" i="1"/>
  <c r="AU2967" i="1"/>
  <c r="AW2966" i="1"/>
  <c r="AV2966" i="1"/>
  <c r="AW2965" i="1"/>
  <c r="AV2965" i="1"/>
  <c r="AU2965" i="1"/>
  <c r="AW2964" i="1"/>
  <c r="AV2964" i="1"/>
  <c r="AW2963" i="1"/>
  <c r="AV2963" i="1"/>
  <c r="AW2962" i="1"/>
  <c r="AV2962" i="1"/>
  <c r="AU2962" i="1"/>
  <c r="AW2961" i="1"/>
  <c r="AV2961" i="1"/>
  <c r="AW2960" i="1"/>
  <c r="AV2960" i="1"/>
  <c r="AU2960" i="1"/>
  <c r="AW2959" i="1"/>
  <c r="AV2959" i="1"/>
  <c r="AU2959" i="1"/>
  <c r="AW2958" i="1"/>
  <c r="AV2958" i="1"/>
  <c r="AU2958" i="1"/>
  <c r="AW2957" i="1"/>
  <c r="AV2957" i="1"/>
  <c r="AW2956" i="1"/>
  <c r="AV2956" i="1"/>
  <c r="AU2956" i="1"/>
  <c r="AW2955" i="1"/>
  <c r="AV2955" i="1"/>
  <c r="AW2954" i="1"/>
  <c r="AV2954" i="1"/>
  <c r="AW2953" i="1"/>
  <c r="AV2953" i="1"/>
  <c r="AW2952" i="1"/>
  <c r="AV2952" i="1"/>
  <c r="AW2951" i="1"/>
  <c r="AV2951" i="1"/>
  <c r="AW2950" i="1"/>
  <c r="AV2950" i="1"/>
  <c r="AW2949" i="1"/>
  <c r="AV2949" i="1"/>
  <c r="AW2948" i="1"/>
  <c r="AV2948" i="1"/>
  <c r="AW2947" i="1"/>
  <c r="AV2947" i="1"/>
  <c r="AW2946" i="1"/>
  <c r="AV2946" i="1"/>
  <c r="AW2945" i="1"/>
  <c r="AV2945" i="1"/>
  <c r="AW2944" i="1"/>
  <c r="AV2944" i="1"/>
  <c r="AW2943" i="1"/>
  <c r="AV2943" i="1"/>
  <c r="AW2942" i="1"/>
  <c r="AV2942" i="1"/>
  <c r="AW2941" i="1"/>
  <c r="AV2941" i="1"/>
  <c r="AU2941" i="1"/>
  <c r="AW2940" i="1"/>
  <c r="AV2940" i="1"/>
  <c r="AW2939" i="1"/>
  <c r="AV2939" i="1"/>
  <c r="AW2938" i="1"/>
  <c r="AV2938" i="1"/>
  <c r="AW2937" i="1"/>
  <c r="AV2937" i="1"/>
  <c r="AW2936" i="1"/>
  <c r="AV2936" i="1"/>
  <c r="AU2936" i="1"/>
  <c r="AW2935" i="1"/>
  <c r="AV2935" i="1"/>
  <c r="AU2935" i="1"/>
  <c r="AW2934" i="1"/>
  <c r="AV2934" i="1"/>
  <c r="AU2934" i="1"/>
  <c r="AW2933" i="1"/>
  <c r="AV2933" i="1"/>
  <c r="AW2932" i="1"/>
  <c r="AV2932" i="1"/>
  <c r="AU2932" i="1"/>
  <c r="AW2931" i="1"/>
  <c r="AV2931" i="1"/>
  <c r="AU2931" i="1"/>
  <c r="AW2930" i="1"/>
  <c r="AV2930" i="1"/>
  <c r="AW2929" i="1"/>
  <c r="AV2929" i="1"/>
  <c r="AW2928" i="1"/>
  <c r="AV2928" i="1"/>
  <c r="AW2927" i="1"/>
  <c r="AV2927" i="1"/>
  <c r="AU2927" i="1"/>
  <c r="AW2926" i="1"/>
  <c r="AV2926" i="1"/>
  <c r="AU2926" i="1"/>
  <c r="AW2925" i="1"/>
  <c r="AV2925" i="1"/>
  <c r="AW2924" i="1"/>
  <c r="AV2924" i="1"/>
  <c r="AW2923" i="1"/>
  <c r="AV2923" i="1"/>
  <c r="AW2922" i="1"/>
  <c r="AV2922" i="1"/>
  <c r="AU2922" i="1"/>
  <c r="AW2921" i="1"/>
  <c r="AV2921" i="1"/>
  <c r="AW2920" i="1"/>
  <c r="AV2920" i="1"/>
  <c r="AU2920" i="1"/>
  <c r="AW2919" i="1"/>
  <c r="AV2919" i="1"/>
  <c r="AU2919" i="1"/>
  <c r="AW2918" i="1"/>
  <c r="AV2918" i="1"/>
  <c r="AU2918" i="1"/>
  <c r="AW2917" i="1"/>
  <c r="AV2917" i="1"/>
  <c r="AW2916" i="1"/>
  <c r="AV2916" i="1"/>
  <c r="AW2915" i="1"/>
  <c r="AV2915" i="1"/>
  <c r="AW2914" i="1"/>
  <c r="AV2914" i="1"/>
  <c r="AU2914" i="1"/>
  <c r="AW2913" i="1"/>
  <c r="AV2913" i="1"/>
  <c r="AU2913" i="1"/>
  <c r="AW2912" i="1"/>
  <c r="AV2912" i="1"/>
  <c r="AU2912" i="1"/>
  <c r="AW2911" i="1"/>
  <c r="AV2911" i="1"/>
  <c r="AU2911" i="1"/>
  <c r="AW2910" i="1"/>
  <c r="AV2910" i="1"/>
  <c r="AU2910" i="1"/>
  <c r="AW2909" i="1"/>
  <c r="AV2909" i="1"/>
  <c r="AU2909" i="1"/>
  <c r="AW2908" i="1"/>
  <c r="AV2908" i="1"/>
  <c r="AU2908" i="1"/>
  <c r="AW2907" i="1"/>
  <c r="AV2907" i="1"/>
  <c r="AU2907" i="1"/>
  <c r="AW2906" i="1"/>
  <c r="AV2906" i="1"/>
  <c r="AW2905" i="1"/>
  <c r="AV2905" i="1"/>
  <c r="AW2904" i="1"/>
  <c r="AV2904" i="1"/>
  <c r="AW2903" i="1"/>
  <c r="AV2903" i="1"/>
  <c r="AU2903" i="1"/>
  <c r="AW2902" i="1"/>
  <c r="AV2902" i="1"/>
  <c r="AW2901" i="1"/>
  <c r="AV2901" i="1"/>
  <c r="AW2900" i="1"/>
  <c r="AV2900" i="1"/>
  <c r="AW2899" i="1"/>
  <c r="AV2899" i="1"/>
  <c r="AW2898" i="1"/>
  <c r="AV2898" i="1"/>
  <c r="AU2898" i="1"/>
  <c r="AW2897" i="1"/>
  <c r="AV2897" i="1"/>
  <c r="AW2896" i="1"/>
  <c r="AV2896" i="1"/>
  <c r="AW2895" i="1"/>
  <c r="AV2895" i="1"/>
  <c r="AW2894" i="1"/>
  <c r="AV2894" i="1"/>
  <c r="AU2894" i="1"/>
  <c r="AW2893" i="1"/>
  <c r="AV2893" i="1"/>
  <c r="AW2892" i="1"/>
  <c r="AV2892" i="1"/>
  <c r="AU2892" i="1"/>
  <c r="AW2891" i="1"/>
  <c r="AV2891" i="1"/>
  <c r="AW2890" i="1"/>
  <c r="AV2890" i="1"/>
  <c r="AU2890" i="1"/>
  <c r="AW2889" i="1"/>
  <c r="AV2889" i="1"/>
  <c r="AU2889" i="1"/>
  <c r="AW2888" i="1"/>
  <c r="AV2888" i="1"/>
  <c r="AW2887" i="1"/>
  <c r="AV2887" i="1"/>
  <c r="AW2886" i="1"/>
  <c r="AV2886" i="1"/>
  <c r="AW2885" i="1"/>
  <c r="AV2885" i="1"/>
  <c r="AW2884" i="1"/>
  <c r="AV2884" i="1"/>
  <c r="AW2883" i="1"/>
  <c r="AV2883" i="1"/>
  <c r="AW2882" i="1"/>
  <c r="AV2882" i="1"/>
  <c r="AU2882" i="1"/>
  <c r="AW2881" i="1"/>
  <c r="AV2881" i="1"/>
  <c r="AW2880" i="1"/>
  <c r="AV2880" i="1"/>
  <c r="AW2879" i="1"/>
  <c r="AV2879" i="1"/>
  <c r="AW2878" i="1"/>
  <c r="AV2878" i="1"/>
  <c r="AU2878" i="1"/>
  <c r="AW2877" i="1"/>
  <c r="AV2877" i="1"/>
  <c r="AU2877" i="1"/>
  <c r="AW2876" i="1"/>
  <c r="AV2876" i="1"/>
  <c r="AU2876" i="1"/>
  <c r="AW2875" i="1"/>
  <c r="AV2875" i="1"/>
  <c r="AW2874" i="1"/>
  <c r="AV2874" i="1"/>
  <c r="AU2874" i="1"/>
  <c r="AW2873" i="1"/>
  <c r="AV2873" i="1"/>
  <c r="AW2872" i="1"/>
  <c r="AV2872" i="1"/>
  <c r="AW2871" i="1"/>
  <c r="AV2871" i="1"/>
  <c r="AU2871" i="1"/>
  <c r="AW2870" i="1"/>
  <c r="AV2870" i="1"/>
  <c r="AU2870" i="1"/>
  <c r="AW2869" i="1"/>
  <c r="AV2869" i="1"/>
  <c r="AU2869" i="1"/>
  <c r="AW2868" i="1"/>
  <c r="AV2868" i="1"/>
  <c r="AU2868" i="1"/>
  <c r="AW2867" i="1"/>
  <c r="AV2867" i="1"/>
  <c r="AW2866" i="1"/>
  <c r="AV2866" i="1"/>
  <c r="AW2865" i="1"/>
  <c r="AV2865" i="1"/>
  <c r="AU2865" i="1"/>
  <c r="AW2864" i="1"/>
  <c r="AV2864" i="1"/>
  <c r="AU2864" i="1"/>
  <c r="AW2863" i="1"/>
  <c r="AV2863" i="1"/>
  <c r="AU2863" i="1"/>
  <c r="AW2862" i="1"/>
  <c r="AV2862" i="1"/>
  <c r="AU2862" i="1"/>
  <c r="AW2861" i="1"/>
  <c r="AV2861" i="1"/>
  <c r="AW2860" i="1"/>
  <c r="AV2860" i="1"/>
  <c r="AW2859" i="1"/>
  <c r="AV2859" i="1"/>
  <c r="AW2858" i="1"/>
  <c r="AV2858" i="1"/>
  <c r="AW2857" i="1"/>
  <c r="AV2857" i="1"/>
  <c r="AU2857" i="1"/>
  <c r="AW2856" i="1"/>
  <c r="AV2856" i="1"/>
  <c r="AW2855" i="1"/>
  <c r="AV2855" i="1"/>
  <c r="AU2855" i="1"/>
  <c r="AW2854" i="1"/>
  <c r="AV2854" i="1"/>
  <c r="AU2854" i="1"/>
  <c r="AW2853" i="1"/>
  <c r="AV2853" i="1"/>
  <c r="AU2853" i="1"/>
  <c r="AW2852" i="1"/>
  <c r="AV2852" i="1"/>
  <c r="AW2851" i="1"/>
  <c r="AV2851" i="1"/>
  <c r="AW2850" i="1"/>
  <c r="AV2850" i="1"/>
  <c r="AW2849" i="1"/>
  <c r="AV2849" i="1"/>
  <c r="AU2849" i="1"/>
  <c r="AW2848" i="1"/>
  <c r="AV2848" i="1"/>
  <c r="AU2848" i="1"/>
  <c r="AW2847" i="1"/>
  <c r="AV2847" i="1"/>
  <c r="AW2846" i="1"/>
  <c r="AV2846" i="1"/>
  <c r="AW2845" i="1"/>
  <c r="AV2845" i="1"/>
  <c r="AW2844" i="1"/>
  <c r="AV2844" i="1"/>
  <c r="AW2843" i="1"/>
  <c r="AV2843" i="1"/>
  <c r="AU2843" i="1"/>
  <c r="AW2842" i="1"/>
  <c r="AV2842" i="1"/>
  <c r="AU2842" i="1"/>
  <c r="AW2841" i="1"/>
  <c r="AV2841" i="1"/>
  <c r="AW2840" i="1"/>
  <c r="AV2840" i="1"/>
  <c r="AW2839" i="1"/>
  <c r="AV2839" i="1"/>
  <c r="AW2838" i="1"/>
  <c r="AV2838" i="1"/>
  <c r="AW2837" i="1"/>
  <c r="AV2837" i="1"/>
  <c r="AW2836" i="1"/>
  <c r="AV2836" i="1"/>
  <c r="AU2836" i="1"/>
  <c r="AW2835" i="1"/>
  <c r="AV2835" i="1"/>
  <c r="AU2835" i="1"/>
  <c r="AW2834" i="1"/>
  <c r="AV2834" i="1"/>
  <c r="AW2833" i="1"/>
  <c r="AV2833" i="1"/>
  <c r="AU2833" i="1"/>
  <c r="AW2832" i="1"/>
  <c r="AV2832" i="1"/>
  <c r="AU2832" i="1"/>
  <c r="AW2831" i="1"/>
  <c r="AV2831" i="1"/>
  <c r="AU2831" i="1"/>
  <c r="AW2830" i="1"/>
  <c r="AV2830" i="1"/>
  <c r="AW2829" i="1"/>
  <c r="AV2829" i="1"/>
  <c r="AU2829" i="1"/>
  <c r="AW2828" i="1"/>
  <c r="AV2828" i="1"/>
  <c r="AW2827" i="1"/>
  <c r="AV2827" i="1"/>
  <c r="AW2826" i="1"/>
  <c r="AV2826" i="1"/>
  <c r="AW2825" i="1"/>
  <c r="AV2825" i="1"/>
  <c r="AW2824" i="1"/>
  <c r="AV2824" i="1"/>
  <c r="AW2823" i="1"/>
  <c r="AV2823" i="1"/>
  <c r="AW2822" i="1"/>
  <c r="AV2822" i="1"/>
  <c r="AU2822" i="1"/>
  <c r="AW2821" i="1"/>
  <c r="AV2821" i="1"/>
  <c r="AW2820" i="1"/>
  <c r="AV2820" i="1"/>
  <c r="AW2819" i="1"/>
  <c r="AV2819" i="1"/>
  <c r="AU2819" i="1"/>
  <c r="AW2818" i="1"/>
  <c r="AV2818" i="1"/>
  <c r="AW2817" i="1"/>
  <c r="AV2817" i="1"/>
  <c r="AW2816" i="1"/>
  <c r="AV2816" i="1"/>
  <c r="AW2815" i="1"/>
  <c r="AV2815" i="1"/>
  <c r="AU2815" i="1"/>
  <c r="AW2814" i="1"/>
  <c r="AV2814" i="1"/>
  <c r="AW2813" i="1"/>
  <c r="AV2813" i="1"/>
  <c r="AW2812" i="1"/>
  <c r="AV2812" i="1"/>
  <c r="AU2812" i="1"/>
  <c r="AW2811" i="1"/>
  <c r="AV2811" i="1"/>
  <c r="AW2810" i="1"/>
  <c r="AV2810" i="1"/>
  <c r="AW2809" i="1"/>
  <c r="AV2809" i="1"/>
  <c r="AW2808" i="1"/>
  <c r="AV2808" i="1"/>
  <c r="AU2808" i="1"/>
  <c r="AW2807" i="1"/>
  <c r="AV2807" i="1"/>
  <c r="AW2806" i="1"/>
  <c r="AV2806" i="1"/>
  <c r="AU2806" i="1"/>
  <c r="AW2805" i="1"/>
  <c r="AV2805" i="1"/>
  <c r="AW2804" i="1"/>
  <c r="AV2804" i="1"/>
  <c r="AU2804" i="1"/>
  <c r="AW2803" i="1"/>
  <c r="AV2803" i="1"/>
  <c r="AU2803" i="1"/>
  <c r="AW2802" i="1"/>
  <c r="AV2802" i="1"/>
  <c r="AW2801" i="1"/>
  <c r="AV2801" i="1"/>
  <c r="AW2800" i="1"/>
  <c r="AV2800" i="1"/>
  <c r="AW2799" i="1"/>
  <c r="AV2799" i="1"/>
  <c r="AU2799" i="1"/>
  <c r="AW2798" i="1"/>
  <c r="AV2798" i="1"/>
  <c r="AW2797" i="1"/>
  <c r="AV2797" i="1"/>
  <c r="AU2797" i="1"/>
  <c r="AW2796" i="1"/>
  <c r="AV2796" i="1"/>
  <c r="AU2796" i="1"/>
  <c r="AW2795" i="1"/>
  <c r="AV2795" i="1"/>
  <c r="AW2794" i="1"/>
  <c r="AV2794" i="1"/>
  <c r="AU2794" i="1"/>
  <c r="AW2793" i="1"/>
  <c r="AV2793" i="1"/>
  <c r="AW2792" i="1"/>
  <c r="AV2792" i="1"/>
  <c r="AW2791" i="1"/>
  <c r="AV2791" i="1"/>
  <c r="AW2790" i="1"/>
  <c r="AV2790" i="1"/>
  <c r="AW2789" i="1"/>
  <c r="AV2789" i="1"/>
  <c r="AW2788" i="1"/>
  <c r="AV2788" i="1"/>
  <c r="AW2787" i="1"/>
  <c r="AV2787" i="1"/>
  <c r="AW2786" i="1"/>
  <c r="AV2786" i="1"/>
  <c r="AW2785" i="1"/>
  <c r="AV2785" i="1"/>
  <c r="AU2785" i="1"/>
  <c r="AW2784" i="1"/>
  <c r="AV2784" i="1"/>
  <c r="AW2783" i="1"/>
  <c r="AV2783" i="1"/>
  <c r="AW2782" i="1"/>
  <c r="AV2782" i="1"/>
  <c r="AW2781" i="1"/>
  <c r="AV2781" i="1"/>
  <c r="AU2781" i="1"/>
  <c r="AW2780" i="1"/>
  <c r="AV2780" i="1"/>
  <c r="AW2779" i="1"/>
  <c r="AV2779" i="1"/>
  <c r="AW2778" i="1"/>
  <c r="AV2778" i="1"/>
  <c r="AW2777" i="1"/>
  <c r="AV2777" i="1"/>
  <c r="AU2777" i="1"/>
  <c r="AW2776" i="1"/>
  <c r="AV2776" i="1"/>
  <c r="AU2776" i="1"/>
  <c r="AW2775" i="1"/>
  <c r="AV2775" i="1"/>
  <c r="AW2774" i="1"/>
  <c r="AV2774" i="1"/>
  <c r="AW2773" i="1"/>
  <c r="AV2773" i="1"/>
  <c r="AU2773" i="1"/>
  <c r="AW2772" i="1"/>
  <c r="AV2772" i="1"/>
  <c r="AU2772" i="1"/>
  <c r="AW2771" i="1"/>
  <c r="AV2771" i="1"/>
  <c r="AU2771" i="1"/>
  <c r="AW2770" i="1"/>
  <c r="AV2770" i="1"/>
  <c r="AU2770" i="1"/>
  <c r="AW2769" i="1"/>
  <c r="AV2769" i="1"/>
  <c r="AW2768" i="1"/>
  <c r="AV2768" i="1"/>
  <c r="AW2767" i="1"/>
  <c r="AV2767" i="1"/>
  <c r="AW2766" i="1"/>
  <c r="AV2766" i="1"/>
  <c r="AU2766" i="1"/>
  <c r="AW2765" i="1"/>
  <c r="AV2765" i="1"/>
  <c r="AU2765" i="1"/>
  <c r="AW2764" i="1"/>
  <c r="AV2764" i="1"/>
  <c r="AU2764" i="1"/>
  <c r="AW2763" i="1"/>
  <c r="AV2763" i="1"/>
  <c r="AW2762" i="1"/>
  <c r="AV2762" i="1"/>
  <c r="AU2762" i="1"/>
  <c r="AW2761" i="1"/>
  <c r="AV2761" i="1"/>
  <c r="AU2761" i="1"/>
  <c r="AW2760" i="1"/>
  <c r="AV2760" i="1"/>
  <c r="AU2760" i="1"/>
  <c r="AW2759" i="1"/>
  <c r="AV2759" i="1"/>
  <c r="AU2759" i="1"/>
  <c r="AW2758" i="1"/>
  <c r="AV2758" i="1"/>
  <c r="AW2757" i="1"/>
  <c r="AV2757" i="1"/>
  <c r="AU2757" i="1"/>
  <c r="AW2756" i="1"/>
  <c r="AV2756" i="1"/>
  <c r="AW2755" i="1"/>
  <c r="AV2755" i="1"/>
  <c r="AU2755" i="1"/>
  <c r="AW2754" i="1"/>
  <c r="AV2754" i="1"/>
  <c r="AU2754" i="1"/>
  <c r="AW2753" i="1"/>
  <c r="AV2753" i="1"/>
  <c r="AU2753" i="1"/>
  <c r="AW2752" i="1"/>
  <c r="AV2752" i="1"/>
  <c r="AU2752" i="1"/>
  <c r="AW2751" i="1"/>
  <c r="AV2751" i="1"/>
  <c r="AU2751" i="1"/>
  <c r="AW2750" i="1"/>
  <c r="AV2750" i="1"/>
  <c r="AU2750" i="1"/>
  <c r="AW2749" i="1"/>
  <c r="AV2749" i="1"/>
  <c r="AU2749" i="1"/>
  <c r="AW2748" i="1"/>
  <c r="AV2748" i="1"/>
  <c r="AU2748" i="1"/>
  <c r="AW2747" i="1"/>
  <c r="AV2747" i="1"/>
  <c r="AU2747" i="1"/>
  <c r="AW2746" i="1"/>
  <c r="AV2746" i="1"/>
  <c r="AU2746" i="1"/>
  <c r="AW2745" i="1"/>
  <c r="AV2745" i="1"/>
  <c r="AW2744" i="1"/>
  <c r="AV2744" i="1"/>
  <c r="AW2743" i="1"/>
  <c r="AV2743" i="1"/>
  <c r="AW2742" i="1"/>
  <c r="AV2742" i="1"/>
  <c r="AW2741" i="1"/>
  <c r="AV2741" i="1"/>
  <c r="AU2741" i="1"/>
  <c r="AW2740" i="1"/>
  <c r="AV2740" i="1"/>
  <c r="AW2739" i="1"/>
  <c r="AV2739" i="1"/>
  <c r="AW2738" i="1"/>
  <c r="AV2738" i="1"/>
  <c r="AW2737" i="1"/>
  <c r="AV2737" i="1"/>
  <c r="AW2736" i="1"/>
  <c r="AV2736" i="1"/>
  <c r="AW2735" i="1"/>
  <c r="AV2735" i="1"/>
  <c r="AW2734" i="1"/>
  <c r="AV2734" i="1"/>
  <c r="AU2734" i="1"/>
  <c r="AW2733" i="1"/>
  <c r="AV2733" i="1"/>
  <c r="AU2733" i="1"/>
  <c r="AW2732" i="1"/>
  <c r="AV2732" i="1"/>
  <c r="AU2732" i="1"/>
  <c r="AW2731" i="1"/>
  <c r="AV2731" i="1"/>
  <c r="AW2730" i="1"/>
  <c r="AV2730" i="1"/>
  <c r="AU2730" i="1"/>
  <c r="AW2729" i="1"/>
  <c r="AV2729" i="1"/>
  <c r="AW2728" i="1"/>
  <c r="AV2728" i="1"/>
  <c r="AU2728" i="1"/>
  <c r="AW2727" i="1"/>
  <c r="AV2727" i="1"/>
  <c r="AW2726" i="1"/>
  <c r="AV2726" i="1"/>
  <c r="AU2726" i="1"/>
  <c r="AW2725" i="1"/>
  <c r="AV2725" i="1"/>
  <c r="AW2724" i="1"/>
  <c r="AV2724" i="1"/>
  <c r="AU2724" i="1"/>
  <c r="AW2723" i="1"/>
  <c r="AV2723" i="1"/>
  <c r="AU2723" i="1"/>
  <c r="AW2722" i="1"/>
  <c r="AV2722" i="1"/>
  <c r="AW2721" i="1"/>
  <c r="AV2721" i="1"/>
  <c r="AU2721" i="1"/>
  <c r="AW2720" i="1"/>
  <c r="AV2720" i="1"/>
  <c r="AW2719" i="1"/>
  <c r="AV2719" i="1"/>
  <c r="AU2719" i="1"/>
  <c r="AW2718" i="1"/>
  <c r="AV2718" i="1"/>
  <c r="AU2718" i="1"/>
  <c r="AW2717" i="1"/>
  <c r="AV2717" i="1"/>
  <c r="AU2717" i="1"/>
  <c r="AW2716" i="1"/>
  <c r="AV2716" i="1"/>
  <c r="AU2716" i="1"/>
  <c r="AW2715" i="1"/>
  <c r="AV2715" i="1"/>
  <c r="AW2714" i="1"/>
  <c r="AV2714" i="1"/>
  <c r="AW2713" i="1"/>
  <c r="AV2713" i="1"/>
  <c r="AU2713" i="1"/>
  <c r="AW2712" i="1"/>
  <c r="AV2712" i="1"/>
  <c r="AW2711" i="1"/>
  <c r="AV2711" i="1"/>
  <c r="AW2710" i="1"/>
  <c r="AV2710" i="1"/>
  <c r="AU2710" i="1"/>
  <c r="AW2709" i="1"/>
  <c r="AV2709" i="1"/>
  <c r="AW2708" i="1"/>
  <c r="AV2708" i="1"/>
  <c r="AU2708" i="1"/>
  <c r="AW2707" i="1"/>
  <c r="AV2707" i="1"/>
  <c r="AU2707" i="1"/>
  <c r="AW2706" i="1"/>
  <c r="AV2706" i="1"/>
  <c r="AU2706" i="1"/>
  <c r="AW2705" i="1"/>
  <c r="AV2705" i="1"/>
  <c r="AU2705" i="1"/>
  <c r="AW2704" i="1"/>
  <c r="AV2704" i="1"/>
  <c r="AU2704" i="1"/>
  <c r="AW2703" i="1"/>
  <c r="AV2703" i="1"/>
  <c r="AU2703" i="1"/>
  <c r="AW2702" i="1"/>
  <c r="AV2702" i="1"/>
  <c r="AW2701" i="1"/>
  <c r="AV2701" i="1"/>
  <c r="AW2700" i="1"/>
  <c r="AV2700" i="1"/>
  <c r="AU2700" i="1"/>
  <c r="AW2699" i="1"/>
  <c r="AV2699" i="1"/>
  <c r="AU2699" i="1"/>
  <c r="AW2698" i="1"/>
  <c r="AV2698" i="1"/>
  <c r="AU2698" i="1"/>
  <c r="AW2697" i="1"/>
  <c r="AV2697" i="1"/>
  <c r="AU2697" i="1"/>
  <c r="AW2696" i="1"/>
  <c r="AV2696" i="1"/>
  <c r="AW2695" i="1"/>
  <c r="AV2695" i="1"/>
  <c r="AW2694" i="1"/>
  <c r="AV2694" i="1"/>
  <c r="AU2694" i="1"/>
  <c r="AW2693" i="1"/>
  <c r="AV2693" i="1"/>
  <c r="AU2693" i="1"/>
  <c r="AW2692" i="1"/>
  <c r="AV2692" i="1"/>
  <c r="AU2692" i="1"/>
  <c r="AW2691" i="1"/>
  <c r="AV2691" i="1"/>
  <c r="AW2690" i="1"/>
  <c r="AV2690" i="1"/>
  <c r="AW2689" i="1"/>
  <c r="AV2689" i="1"/>
  <c r="AU2689" i="1"/>
  <c r="AW2688" i="1"/>
  <c r="AV2688" i="1"/>
  <c r="AU2688" i="1"/>
  <c r="AW2687" i="1"/>
  <c r="AV2687" i="1"/>
  <c r="AW2686" i="1"/>
  <c r="AV2686" i="1"/>
  <c r="AW2685" i="1"/>
  <c r="AV2685" i="1"/>
  <c r="AW2684" i="1"/>
  <c r="AV2684" i="1"/>
  <c r="AU2684" i="1"/>
  <c r="AW2683" i="1"/>
  <c r="AV2683" i="1"/>
  <c r="AU2683" i="1"/>
  <c r="AW2682" i="1"/>
  <c r="AV2682" i="1"/>
  <c r="AU2682" i="1"/>
  <c r="AW2681" i="1"/>
  <c r="AV2681" i="1"/>
  <c r="AU2681" i="1"/>
  <c r="AW2680" i="1"/>
  <c r="AV2680" i="1"/>
  <c r="AW2679" i="1"/>
  <c r="AV2679" i="1"/>
  <c r="AU2679" i="1"/>
  <c r="AW2678" i="1"/>
  <c r="AV2678" i="1"/>
  <c r="AU2678" i="1"/>
  <c r="AW2677" i="1"/>
  <c r="AV2677" i="1"/>
  <c r="AW2676" i="1"/>
  <c r="AV2676" i="1"/>
  <c r="AU2676" i="1"/>
  <c r="AW2675" i="1"/>
  <c r="AV2675" i="1"/>
  <c r="AU2675" i="1"/>
  <c r="AW2674" i="1"/>
  <c r="AV2674" i="1"/>
  <c r="AW2673" i="1"/>
  <c r="AV2673" i="1"/>
  <c r="AW2672" i="1"/>
  <c r="AV2672" i="1"/>
  <c r="AW2671" i="1"/>
  <c r="AV2671" i="1"/>
  <c r="AU2671" i="1"/>
  <c r="AW2670" i="1"/>
  <c r="AV2670" i="1"/>
  <c r="AU2670" i="1"/>
  <c r="AW2669" i="1"/>
  <c r="AV2669" i="1"/>
  <c r="AU2669" i="1"/>
  <c r="AW2668" i="1"/>
  <c r="AV2668" i="1"/>
  <c r="AW2667" i="1"/>
  <c r="AV2667" i="1"/>
  <c r="AU2667" i="1"/>
  <c r="AW2666" i="1"/>
  <c r="AV2666" i="1"/>
  <c r="AW2665" i="1"/>
  <c r="AV2665" i="1"/>
  <c r="AW2664" i="1"/>
  <c r="AV2664" i="1"/>
  <c r="AU2664" i="1"/>
  <c r="AW2663" i="1"/>
  <c r="AV2663" i="1"/>
  <c r="AU2663" i="1"/>
  <c r="AW2662" i="1"/>
  <c r="AV2662" i="1"/>
  <c r="AU2662" i="1"/>
  <c r="AW2661" i="1"/>
  <c r="AV2661" i="1"/>
  <c r="AW2660" i="1"/>
  <c r="AV2660" i="1"/>
  <c r="AU2660" i="1"/>
  <c r="AW2659" i="1"/>
  <c r="AV2659" i="1"/>
  <c r="AW2658" i="1"/>
  <c r="AV2658" i="1"/>
  <c r="AU2658" i="1"/>
  <c r="AW2657" i="1"/>
  <c r="AV2657" i="1"/>
  <c r="AU2657" i="1"/>
  <c r="AW2656" i="1"/>
  <c r="AV2656" i="1"/>
  <c r="AU2656" i="1"/>
  <c r="AW2655" i="1"/>
  <c r="AV2655" i="1"/>
  <c r="AW2654" i="1"/>
  <c r="AV2654" i="1"/>
  <c r="AW2653" i="1"/>
  <c r="AV2653" i="1"/>
  <c r="AW2652" i="1"/>
  <c r="AV2652" i="1"/>
  <c r="AW2651" i="1"/>
  <c r="AV2651" i="1"/>
  <c r="AW2650" i="1"/>
  <c r="AV2650" i="1"/>
  <c r="AW2649" i="1"/>
  <c r="AV2649" i="1"/>
  <c r="AW2648" i="1"/>
  <c r="AV2648" i="1"/>
  <c r="AW2647" i="1"/>
  <c r="AV2647" i="1"/>
  <c r="AW2646" i="1"/>
  <c r="AV2646" i="1"/>
  <c r="AW2645" i="1"/>
  <c r="AV2645" i="1"/>
  <c r="AU2645" i="1"/>
  <c r="AW2644" i="1"/>
  <c r="AV2644" i="1"/>
  <c r="AW2643" i="1"/>
  <c r="AV2643" i="1"/>
  <c r="AW2642" i="1"/>
  <c r="AV2642" i="1"/>
  <c r="AW2641" i="1"/>
  <c r="AV2641" i="1"/>
  <c r="AU2641" i="1"/>
  <c r="AW2640" i="1"/>
  <c r="AV2640" i="1"/>
  <c r="AW2639" i="1"/>
  <c r="AV2639" i="1"/>
  <c r="AW2638" i="1"/>
  <c r="AV2638" i="1"/>
  <c r="AW2637" i="1"/>
  <c r="AV2637" i="1"/>
  <c r="AU2637" i="1"/>
  <c r="AW2636" i="1"/>
  <c r="AV2636" i="1"/>
  <c r="AW2635" i="1"/>
  <c r="AV2635" i="1"/>
  <c r="AW2634" i="1"/>
  <c r="AV2634" i="1"/>
  <c r="AU2634" i="1"/>
  <c r="AW2633" i="1"/>
  <c r="AV2633" i="1"/>
  <c r="AW2632" i="1"/>
  <c r="AV2632" i="1"/>
  <c r="AU2632" i="1"/>
  <c r="AW2631" i="1"/>
  <c r="AV2631" i="1"/>
  <c r="AU2631" i="1"/>
  <c r="AW2630" i="1"/>
  <c r="AV2630" i="1"/>
  <c r="AU2630" i="1"/>
  <c r="AW2629" i="1"/>
  <c r="AV2629" i="1"/>
  <c r="AU2629" i="1"/>
  <c r="AW2628" i="1"/>
  <c r="AV2628" i="1"/>
  <c r="AU2628" i="1"/>
  <c r="AW2627" i="1"/>
  <c r="AV2627" i="1"/>
  <c r="AU2627" i="1"/>
  <c r="AW2626" i="1"/>
  <c r="AV2626" i="1"/>
  <c r="AU2626" i="1"/>
  <c r="AW2625" i="1"/>
  <c r="AV2625" i="1"/>
  <c r="AU2625" i="1"/>
  <c r="AW2624" i="1"/>
  <c r="AV2624" i="1"/>
  <c r="AU2624" i="1"/>
  <c r="AW2623" i="1"/>
  <c r="AV2623" i="1"/>
  <c r="AW2622" i="1"/>
  <c r="AV2622" i="1"/>
  <c r="AU2622" i="1"/>
  <c r="AW2621" i="1"/>
  <c r="AV2621" i="1"/>
  <c r="AU2621" i="1"/>
  <c r="AW2620" i="1"/>
  <c r="AV2620" i="1"/>
  <c r="AU2620" i="1"/>
  <c r="AW2619" i="1"/>
  <c r="AV2619" i="1"/>
  <c r="AW2618" i="1"/>
  <c r="AV2618" i="1"/>
  <c r="AU2618" i="1"/>
  <c r="AW2617" i="1"/>
  <c r="AV2617" i="1"/>
  <c r="AU2617" i="1"/>
  <c r="AW2616" i="1"/>
  <c r="AV2616" i="1"/>
  <c r="AW2615" i="1"/>
  <c r="AV2615" i="1"/>
  <c r="AW2614" i="1"/>
  <c r="AV2614" i="1"/>
  <c r="AW2613" i="1"/>
  <c r="AV2613" i="1"/>
  <c r="AU2613" i="1"/>
  <c r="AW2612" i="1"/>
  <c r="AV2612" i="1"/>
  <c r="AU2612" i="1"/>
  <c r="AW2611" i="1"/>
  <c r="AV2611" i="1"/>
  <c r="AW2610" i="1"/>
  <c r="AV2610" i="1"/>
  <c r="AW2609" i="1"/>
  <c r="AV2609" i="1"/>
  <c r="AW2608" i="1"/>
  <c r="AV2608" i="1"/>
  <c r="AW2607" i="1"/>
  <c r="AV2607" i="1"/>
  <c r="AW2606" i="1"/>
  <c r="AV2606" i="1"/>
  <c r="AU2606" i="1"/>
  <c r="AW2605" i="1"/>
  <c r="AV2605" i="1"/>
  <c r="AU2605" i="1"/>
  <c r="AW2604" i="1"/>
  <c r="AV2604" i="1"/>
  <c r="AU2604" i="1"/>
  <c r="AW2603" i="1"/>
  <c r="AV2603" i="1"/>
  <c r="AW2602" i="1"/>
  <c r="AV2602" i="1"/>
  <c r="AW2601" i="1"/>
  <c r="AV2601" i="1"/>
  <c r="AU2601" i="1"/>
  <c r="AW2600" i="1"/>
  <c r="AV2600" i="1"/>
  <c r="AW2599" i="1"/>
  <c r="AV2599" i="1"/>
  <c r="AU2599" i="1"/>
  <c r="AW2598" i="1"/>
  <c r="AV2598" i="1"/>
  <c r="AU2598" i="1"/>
  <c r="AW2597" i="1"/>
  <c r="AV2597" i="1"/>
  <c r="AW2596" i="1"/>
  <c r="AV2596" i="1"/>
  <c r="AW2595" i="1"/>
  <c r="AV2595" i="1"/>
  <c r="AU2595" i="1"/>
  <c r="AW2594" i="1"/>
  <c r="AV2594" i="1"/>
  <c r="AU2594" i="1"/>
  <c r="AW2593" i="1"/>
  <c r="AV2593" i="1"/>
  <c r="AW2592" i="1"/>
  <c r="AV2592" i="1"/>
  <c r="AW2591" i="1"/>
  <c r="AV2591" i="1"/>
  <c r="AW2590" i="1"/>
  <c r="AV2590" i="1"/>
  <c r="AU2590" i="1"/>
  <c r="AW2589" i="1"/>
  <c r="AV2589" i="1"/>
  <c r="AU2589" i="1"/>
  <c r="AW2588" i="1"/>
  <c r="AV2588" i="1"/>
  <c r="AU2588" i="1"/>
  <c r="AW2587" i="1"/>
  <c r="AV2587" i="1"/>
  <c r="AU2587" i="1"/>
  <c r="AW2586" i="1"/>
  <c r="AV2586" i="1"/>
  <c r="AW2585" i="1"/>
  <c r="AV2585" i="1"/>
  <c r="AU2585" i="1"/>
  <c r="AW2584" i="1"/>
  <c r="AV2584" i="1"/>
  <c r="AU2584" i="1"/>
  <c r="AW2583" i="1"/>
  <c r="AV2583" i="1"/>
  <c r="AW2582" i="1"/>
  <c r="AV2582" i="1"/>
  <c r="AW2581" i="1"/>
  <c r="AV2581" i="1"/>
  <c r="AW2580" i="1"/>
  <c r="AV2580" i="1"/>
  <c r="AW2579" i="1"/>
  <c r="AV2579" i="1"/>
  <c r="AW2578" i="1"/>
  <c r="AV2578" i="1"/>
  <c r="AU2578" i="1"/>
  <c r="AW2577" i="1"/>
  <c r="AV2577" i="1"/>
  <c r="AW2576" i="1"/>
  <c r="AV2576" i="1"/>
  <c r="AW2575" i="1"/>
  <c r="AV2575" i="1"/>
  <c r="AU2575" i="1"/>
  <c r="AW2574" i="1"/>
  <c r="AV2574" i="1"/>
  <c r="AW2573" i="1"/>
  <c r="AV2573" i="1"/>
  <c r="AW2572" i="1"/>
  <c r="AV2572" i="1"/>
  <c r="AU2572" i="1"/>
  <c r="AW2571" i="1"/>
  <c r="AV2571" i="1"/>
  <c r="AU2571" i="1"/>
  <c r="AW2570" i="1"/>
  <c r="AV2570" i="1"/>
  <c r="AU2570" i="1"/>
  <c r="AW2569" i="1"/>
  <c r="AV2569" i="1"/>
  <c r="AU2569" i="1"/>
  <c r="AW2568" i="1"/>
  <c r="AV2568" i="1"/>
  <c r="AW2567" i="1"/>
  <c r="AV2567" i="1"/>
  <c r="AU2567" i="1"/>
  <c r="AW2566" i="1"/>
  <c r="AV2566" i="1"/>
  <c r="AW2565" i="1"/>
  <c r="AV2565" i="1"/>
  <c r="AW2564" i="1"/>
  <c r="AV2564" i="1"/>
  <c r="AU2564" i="1"/>
  <c r="AW2563" i="1"/>
  <c r="AV2563" i="1"/>
  <c r="AW2562" i="1"/>
  <c r="AV2562" i="1"/>
  <c r="AW2561" i="1"/>
  <c r="AV2561" i="1"/>
  <c r="AW2560" i="1"/>
  <c r="AV2560" i="1"/>
  <c r="AU2560" i="1"/>
  <c r="AW2559" i="1"/>
  <c r="AV2559" i="1"/>
  <c r="AU2559" i="1"/>
  <c r="AW2558" i="1"/>
  <c r="AV2558" i="1"/>
  <c r="AW2557" i="1"/>
  <c r="AV2557" i="1"/>
  <c r="AU2557" i="1"/>
  <c r="AW2556" i="1"/>
  <c r="AV2556" i="1"/>
  <c r="AU2556" i="1"/>
  <c r="AW2555" i="1"/>
  <c r="AV2555" i="1"/>
  <c r="AW2554" i="1"/>
  <c r="AV2554" i="1"/>
  <c r="AW2553" i="1"/>
  <c r="AV2553" i="1"/>
  <c r="AW2552" i="1"/>
  <c r="AV2552" i="1"/>
  <c r="AW2551" i="1"/>
  <c r="AV2551" i="1"/>
  <c r="AW2550" i="1"/>
  <c r="AV2550" i="1"/>
  <c r="AW2549" i="1"/>
  <c r="AV2549" i="1"/>
  <c r="AW2548" i="1"/>
  <c r="AV2548" i="1"/>
  <c r="AW2547" i="1"/>
  <c r="AV2547" i="1"/>
  <c r="AW2546" i="1"/>
  <c r="AV2546" i="1"/>
  <c r="AU2546" i="1"/>
  <c r="AW2545" i="1"/>
  <c r="AV2545" i="1"/>
  <c r="AU2545" i="1"/>
  <c r="AW2544" i="1"/>
  <c r="AV2544" i="1"/>
  <c r="AU2544" i="1"/>
  <c r="AW2543" i="1"/>
  <c r="AV2543" i="1"/>
  <c r="AW2542" i="1"/>
  <c r="AV2542" i="1"/>
  <c r="AW2541" i="1"/>
  <c r="AV2541" i="1"/>
  <c r="AW2540" i="1"/>
  <c r="AV2540" i="1"/>
  <c r="AW2539" i="1"/>
  <c r="AV2539" i="1"/>
  <c r="AW2538" i="1"/>
  <c r="AV2538" i="1"/>
  <c r="AW2537" i="1"/>
  <c r="AV2537" i="1"/>
  <c r="AW2536" i="1"/>
  <c r="AV2536" i="1"/>
  <c r="AW2535" i="1"/>
  <c r="AV2535" i="1"/>
  <c r="AU2535" i="1"/>
  <c r="AW2534" i="1"/>
  <c r="AV2534" i="1"/>
  <c r="AU2534" i="1"/>
  <c r="AW2533" i="1"/>
  <c r="AV2533" i="1"/>
  <c r="AU2533" i="1"/>
  <c r="AW2532" i="1"/>
  <c r="AV2532" i="1"/>
  <c r="AU2532" i="1"/>
  <c r="AW2531" i="1"/>
  <c r="AV2531" i="1"/>
  <c r="AU2531" i="1"/>
  <c r="AW2530" i="1"/>
  <c r="AV2530" i="1"/>
  <c r="AU2530" i="1"/>
  <c r="AW2529" i="1"/>
  <c r="AV2529" i="1"/>
  <c r="AW2528" i="1"/>
  <c r="AV2528" i="1"/>
  <c r="AU2528" i="1"/>
  <c r="AW2527" i="1"/>
  <c r="AV2527" i="1"/>
  <c r="AW2526" i="1"/>
  <c r="AV2526" i="1"/>
  <c r="AU2526" i="1"/>
  <c r="AW2525" i="1"/>
  <c r="AV2525" i="1"/>
  <c r="AU2525" i="1"/>
  <c r="AW2524" i="1"/>
  <c r="AV2524" i="1"/>
  <c r="AU2524" i="1"/>
  <c r="AW2523" i="1"/>
  <c r="AV2523" i="1"/>
  <c r="AW2522" i="1"/>
  <c r="AV2522" i="1"/>
  <c r="AU2522" i="1"/>
  <c r="AW2521" i="1"/>
  <c r="AV2521" i="1"/>
  <c r="AU2521" i="1"/>
  <c r="AW2520" i="1"/>
  <c r="AV2520" i="1"/>
  <c r="AU2520" i="1"/>
  <c r="AW2519" i="1"/>
  <c r="AV2519" i="1"/>
  <c r="AU2519" i="1"/>
  <c r="AW2518" i="1"/>
  <c r="AV2518" i="1"/>
  <c r="AW2517" i="1"/>
  <c r="AV2517" i="1"/>
  <c r="AW2516" i="1"/>
  <c r="AV2516" i="1"/>
  <c r="AW2515" i="1"/>
  <c r="AV2515" i="1"/>
  <c r="AW2514" i="1"/>
  <c r="AV2514" i="1"/>
  <c r="AW2513" i="1"/>
  <c r="AV2513" i="1"/>
  <c r="AW2512" i="1"/>
  <c r="AV2512" i="1"/>
  <c r="AW2511" i="1"/>
  <c r="AV2511" i="1"/>
  <c r="AW2510" i="1"/>
  <c r="AV2510" i="1"/>
  <c r="AU2510" i="1"/>
  <c r="AW2509" i="1"/>
  <c r="AV2509" i="1"/>
  <c r="AW2508" i="1"/>
  <c r="AV2508" i="1"/>
  <c r="AW2507" i="1"/>
  <c r="AV2507" i="1"/>
  <c r="AW2506" i="1"/>
  <c r="AV2506" i="1"/>
  <c r="AW2505" i="1"/>
  <c r="AV2505" i="1"/>
  <c r="AW2504" i="1"/>
  <c r="AV2504" i="1"/>
  <c r="AW2503" i="1"/>
  <c r="AV2503" i="1"/>
  <c r="AW2502" i="1"/>
  <c r="AV2502" i="1"/>
  <c r="AW2501" i="1"/>
  <c r="AV2501" i="1"/>
  <c r="AW2500" i="1"/>
  <c r="AV2500" i="1"/>
  <c r="AW2499" i="1"/>
  <c r="AV2499" i="1"/>
  <c r="AW2498" i="1"/>
  <c r="AV2498" i="1"/>
  <c r="AU2498" i="1"/>
  <c r="AW2497" i="1"/>
  <c r="AV2497" i="1"/>
  <c r="AW2496" i="1"/>
  <c r="AV2496" i="1"/>
  <c r="AW2495" i="1"/>
  <c r="AV2495" i="1"/>
  <c r="AW2494" i="1"/>
  <c r="AV2494" i="1"/>
  <c r="AW2493" i="1"/>
  <c r="AV2493" i="1"/>
  <c r="AW2492" i="1"/>
  <c r="AV2492" i="1"/>
  <c r="AW2491" i="1"/>
  <c r="AV2491" i="1"/>
  <c r="AW2490" i="1"/>
  <c r="AV2490" i="1"/>
  <c r="AW2489" i="1"/>
  <c r="AV2489" i="1"/>
  <c r="AU2489" i="1"/>
  <c r="AW2488" i="1"/>
  <c r="AV2488" i="1"/>
  <c r="AW2487" i="1"/>
  <c r="AV2487" i="1"/>
  <c r="AU2487" i="1"/>
  <c r="AW2486" i="1"/>
  <c r="AV2486" i="1"/>
  <c r="AU2486" i="1"/>
  <c r="AW2485" i="1"/>
  <c r="AV2485" i="1"/>
  <c r="AW2484" i="1"/>
  <c r="AV2484" i="1"/>
  <c r="AU2484" i="1"/>
  <c r="AW2483" i="1"/>
  <c r="AV2483" i="1"/>
  <c r="AW2482" i="1"/>
  <c r="AV2482" i="1"/>
  <c r="AW2481" i="1"/>
  <c r="AV2481" i="1"/>
  <c r="AW2480" i="1"/>
  <c r="AV2480" i="1"/>
  <c r="AW2479" i="1"/>
  <c r="AV2479" i="1"/>
  <c r="AU2479" i="1"/>
  <c r="AW2478" i="1"/>
  <c r="AV2478" i="1"/>
  <c r="AU2478" i="1"/>
  <c r="AW2477" i="1"/>
  <c r="AV2477" i="1"/>
  <c r="AU2477" i="1"/>
  <c r="AW2476" i="1"/>
  <c r="AV2476" i="1"/>
  <c r="AU2476" i="1"/>
  <c r="AW2475" i="1"/>
  <c r="AV2475" i="1"/>
  <c r="AU2475" i="1"/>
  <c r="AW2474" i="1"/>
  <c r="AV2474" i="1"/>
  <c r="AW2473" i="1"/>
  <c r="AV2473" i="1"/>
  <c r="AU2473" i="1"/>
  <c r="AW2472" i="1"/>
  <c r="AV2472" i="1"/>
  <c r="AW2471" i="1"/>
  <c r="AV2471" i="1"/>
  <c r="AW2470" i="1"/>
  <c r="AV2470" i="1"/>
  <c r="AW2469" i="1"/>
  <c r="AV2469" i="1"/>
  <c r="AU2469" i="1"/>
  <c r="AW2468" i="1"/>
  <c r="AV2468" i="1"/>
  <c r="AU2468" i="1"/>
  <c r="AW2467" i="1"/>
  <c r="AV2467" i="1"/>
  <c r="AU2467" i="1"/>
  <c r="AW2466" i="1"/>
  <c r="AV2466" i="1"/>
  <c r="AU2466" i="1"/>
  <c r="AW2465" i="1"/>
  <c r="AV2465" i="1"/>
  <c r="AW2464" i="1"/>
  <c r="AV2464" i="1"/>
  <c r="AW2463" i="1"/>
  <c r="AV2463" i="1"/>
  <c r="AW2462" i="1"/>
  <c r="AV2462" i="1"/>
  <c r="AW2461" i="1"/>
  <c r="AV2461" i="1"/>
  <c r="AW2460" i="1"/>
  <c r="AV2460" i="1"/>
  <c r="AW2459" i="1"/>
  <c r="AV2459" i="1"/>
  <c r="AU2459" i="1"/>
  <c r="AW2458" i="1"/>
  <c r="AV2458" i="1"/>
  <c r="AW2457" i="1"/>
  <c r="AV2457" i="1"/>
  <c r="AW2456" i="1"/>
  <c r="AV2456" i="1"/>
  <c r="AU2456" i="1"/>
  <c r="AW2455" i="1"/>
  <c r="AV2455" i="1"/>
  <c r="AW2454" i="1"/>
  <c r="AV2454" i="1"/>
  <c r="AU2454" i="1"/>
  <c r="AW2453" i="1"/>
  <c r="AV2453" i="1"/>
  <c r="AW2452" i="1"/>
  <c r="AV2452" i="1"/>
  <c r="AU2452" i="1"/>
  <c r="AW2451" i="1"/>
  <c r="AV2451" i="1"/>
  <c r="AW2450" i="1"/>
  <c r="AV2450" i="1"/>
  <c r="AW2449" i="1"/>
  <c r="AV2449" i="1"/>
  <c r="AW2448" i="1"/>
  <c r="AV2448" i="1"/>
  <c r="AW2447" i="1"/>
  <c r="AV2447" i="1"/>
  <c r="AW2446" i="1"/>
  <c r="AV2446" i="1"/>
  <c r="AU2446" i="1"/>
  <c r="AW2445" i="1"/>
  <c r="AV2445" i="1"/>
  <c r="AW2444" i="1"/>
  <c r="AV2444" i="1"/>
  <c r="AU2444" i="1"/>
  <c r="AW2443" i="1"/>
  <c r="AV2443" i="1"/>
  <c r="AU2443" i="1"/>
  <c r="AW2442" i="1"/>
  <c r="AV2442" i="1"/>
  <c r="AW2441" i="1"/>
  <c r="AV2441" i="1"/>
  <c r="AW2440" i="1"/>
  <c r="AV2440" i="1"/>
  <c r="AW2439" i="1"/>
  <c r="AV2439" i="1"/>
  <c r="AU2439" i="1"/>
  <c r="AW2438" i="1"/>
  <c r="AV2438" i="1"/>
  <c r="AU2438" i="1"/>
  <c r="AW2437" i="1"/>
  <c r="AV2437" i="1"/>
  <c r="AU2437" i="1"/>
  <c r="AW2436" i="1"/>
  <c r="AV2436" i="1"/>
  <c r="AW2435" i="1"/>
  <c r="AV2435" i="1"/>
  <c r="AW2434" i="1"/>
  <c r="AV2434" i="1"/>
  <c r="AU2434" i="1"/>
  <c r="AW2433" i="1"/>
  <c r="AV2433" i="1"/>
  <c r="AU2433" i="1"/>
  <c r="AW2432" i="1"/>
  <c r="AV2432" i="1"/>
  <c r="AW2431" i="1"/>
  <c r="AV2431" i="1"/>
  <c r="AU2431" i="1"/>
  <c r="AW2430" i="1"/>
  <c r="AV2430" i="1"/>
  <c r="AW2429" i="1"/>
  <c r="AV2429" i="1"/>
  <c r="AW2428" i="1"/>
  <c r="AV2428" i="1"/>
  <c r="AW2427" i="1"/>
  <c r="AV2427" i="1"/>
  <c r="AW2426" i="1"/>
  <c r="AV2426" i="1"/>
  <c r="AU2426" i="1"/>
  <c r="AW2425" i="1"/>
  <c r="AV2425" i="1"/>
  <c r="AW2424" i="1"/>
  <c r="AV2424" i="1"/>
  <c r="AW2423" i="1"/>
  <c r="AV2423" i="1"/>
  <c r="AW2422" i="1"/>
  <c r="AV2422" i="1"/>
  <c r="AW2421" i="1"/>
  <c r="AV2421" i="1"/>
  <c r="AW2420" i="1"/>
  <c r="AV2420" i="1"/>
  <c r="AW2419" i="1"/>
  <c r="AV2419" i="1"/>
  <c r="AW2418" i="1"/>
  <c r="AV2418" i="1"/>
  <c r="AU2418" i="1"/>
  <c r="AW2417" i="1"/>
  <c r="AV2417" i="1"/>
  <c r="AU2417" i="1"/>
  <c r="AW2416" i="1"/>
  <c r="AV2416" i="1"/>
  <c r="AU2416" i="1"/>
  <c r="AW2415" i="1"/>
  <c r="AV2415" i="1"/>
  <c r="AU2415" i="1"/>
  <c r="AW2414" i="1"/>
  <c r="AV2414" i="1"/>
  <c r="AW2413" i="1"/>
  <c r="AV2413" i="1"/>
  <c r="AU2413" i="1"/>
  <c r="AW2412" i="1"/>
  <c r="AV2412" i="1"/>
  <c r="AW2411" i="1"/>
  <c r="AV2411" i="1"/>
  <c r="AW2410" i="1"/>
  <c r="AV2410" i="1"/>
  <c r="AW2409" i="1"/>
  <c r="AV2409" i="1"/>
  <c r="AW2408" i="1"/>
  <c r="AV2408" i="1"/>
  <c r="AU2408" i="1"/>
  <c r="AW2407" i="1"/>
  <c r="AV2407" i="1"/>
  <c r="AU2407" i="1"/>
  <c r="AW2406" i="1"/>
  <c r="AV2406" i="1"/>
  <c r="AU2406" i="1"/>
  <c r="AW2405" i="1"/>
  <c r="AV2405" i="1"/>
  <c r="AW2404" i="1"/>
  <c r="AV2404" i="1"/>
  <c r="AU2404" i="1"/>
  <c r="AW2403" i="1"/>
  <c r="AV2403" i="1"/>
  <c r="AW2402" i="1"/>
  <c r="AV2402" i="1"/>
  <c r="AW2401" i="1"/>
  <c r="AV2401" i="1"/>
  <c r="AW2400" i="1"/>
  <c r="AV2400" i="1"/>
  <c r="AU2400" i="1"/>
  <c r="AW2399" i="1"/>
  <c r="AV2399" i="1"/>
  <c r="AU2399" i="1"/>
  <c r="AW2398" i="1"/>
  <c r="AV2398" i="1"/>
  <c r="AW2397" i="1"/>
  <c r="AV2397" i="1"/>
  <c r="AW2396" i="1"/>
  <c r="AV2396" i="1"/>
  <c r="AW2395" i="1"/>
  <c r="AV2395" i="1"/>
  <c r="AW2394" i="1"/>
  <c r="AV2394" i="1"/>
  <c r="AW2393" i="1"/>
  <c r="AV2393" i="1"/>
  <c r="AW2392" i="1"/>
  <c r="AV2392" i="1"/>
  <c r="AW2391" i="1"/>
  <c r="AV2391" i="1"/>
  <c r="AU2391" i="1"/>
  <c r="AW2390" i="1"/>
  <c r="AV2390" i="1"/>
  <c r="AU2390" i="1"/>
  <c r="AW2389" i="1"/>
  <c r="AV2389" i="1"/>
  <c r="AW2388" i="1"/>
  <c r="AV2388" i="1"/>
  <c r="AW2387" i="1"/>
  <c r="AV2387" i="1"/>
  <c r="AW2386" i="1"/>
  <c r="AV2386" i="1"/>
  <c r="AU2386" i="1"/>
  <c r="AW2385" i="1"/>
  <c r="AV2385" i="1"/>
  <c r="AU2385" i="1"/>
  <c r="AW2384" i="1"/>
  <c r="AV2384" i="1"/>
  <c r="AU2384" i="1"/>
  <c r="AW2383" i="1"/>
  <c r="AV2383" i="1"/>
  <c r="AW2382" i="1"/>
  <c r="AV2382" i="1"/>
  <c r="AW2381" i="1"/>
  <c r="AV2381" i="1"/>
  <c r="AW2380" i="1"/>
  <c r="AV2380" i="1"/>
  <c r="AW2379" i="1"/>
  <c r="AV2379" i="1"/>
  <c r="AU2379" i="1"/>
  <c r="AW2378" i="1"/>
  <c r="AV2378" i="1"/>
  <c r="AU2378" i="1"/>
  <c r="AW2377" i="1"/>
  <c r="AV2377" i="1"/>
  <c r="AW2376" i="1"/>
  <c r="AV2376" i="1"/>
  <c r="AW2375" i="1"/>
  <c r="AV2375" i="1"/>
  <c r="AW2374" i="1"/>
  <c r="AV2374" i="1"/>
  <c r="AW2373" i="1"/>
  <c r="AV2373" i="1"/>
  <c r="AW2372" i="1"/>
  <c r="AV2372" i="1"/>
  <c r="AW2371" i="1"/>
  <c r="AV2371" i="1"/>
  <c r="AW2370" i="1"/>
  <c r="AV2370" i="1"/>
  <c r="AW2369" i="1"/>
  <c r="AV2369" i="1"/>
  <c r="AW2368" i="1"/>
  <c r="AV2368" i="1"/>
  <c r="AW2367" i="1"/>
  <c r="AV2367" i="1"/>
  <c r="AW2366" i="1"/>
  <c r="AV2366" i="1"/>
  <c r="AW2365" i="1"/>
  <c r="AV2365" i="1"/>
  <c r="AW2364" i="1"/>
  <c r="AV2364" i="1"/>
  <c r="AW2363" i="1"/>
  <c r="AV2363" i="1"/>
  <c r="AW2362" i="1"/>
  <c r="AV2362" i="1"/>
  <c r="AW2361" i="1"/>
  <c r="AV2361" i="1"/>
  <c r="AU2361" i="1"/>
  <c r="AW2360" i="1"/>
  <c r="AV2360" i="1"/>
  <c r="AW2359" i="1"/>
  <c r="AV2359" i="1"/>
  <c r="AW2358" i="1"/>
  <c r="AV2358" i="1"/>
  <c r="AU2358" i="1"/>
  <c r="AW2357" i="1"/>
  <c r="AV2357" i="1"/>
  <c r="AW2356" i="1"/>
  <c r="AV2356" i="1"/>
  <c r="AW2355" i="1"/>
  <c r="AV2355" i="1"/>
  <c r="AW2354" i="1"/>
  <c r="AV2354" i="1"/>
  <c r="AW2353" i="1"/>
  <c r="AV2353" i="1"/>
  <c r="AW2352" i="1"/>
  <c r="AV2352" i="1"/>
  <c r="AW2351" i="1"/>
  <c r="AV2351" i="1"/>
  <c r="AW2350" i="1"/>
  <c r="AV2350" i="1"/>
  <c r="AU2350" i="1"/>
  <c r="AW2349" i="1"/>
  <c r="AV2349" i="1"/>
  <c r="AW2348" i="1"/>
  <c r="AV2348" i="1"/>
  <c r="AW2347" i="1"/>
  <c r="AV2347" i="1"/>
  <c r="AW2346" i="1"/>
  <c r="AV2346" i="1"/>
  <c r="AW2345" i="1"/>
  <c r="AV2345" i="1"/>
  <c r="AW2344" i="1"/>
  <c r="AV2344" i="1"/>
  <c r="AW2343" i="1"/>
  <c r="AV2343" i="1"/>
  <c r="AW2342" i="1"/>
  <c r="AV2342" i="1"/>
  <c r="AW2341" i="1"/>
  <c r="AV2341" i="1"/>
  <c r="AU2341" i="1"/>
  <c r="AW2340" i="1"/>
  <c r="AV2340" i="1"/>
  <c r="AU2340" i="1"/>
  <c r="AW2339" i="1"/>
  <c r="AV2339" i="1"/>
  <c r="AW2338" i="1"/>
  <c r="AV2338" i="1"/>
  <c r="AW2337" i="1"/>
  <c r="AV2337" i="1"/>
  <c r="AW2336" i="1"/>
  <c r="AV2336" i="1"/>
  <c r="AW2335" i="1"/>
  <c r="AV2335" i="1"/>
  <c r="AU2335" i="1"/>
  <c r="AW2334" i="1"/>
  <c r="AV2334" i="1"/>
  <c r="AW2333" i="1"/>
  <c r="AV2333" i="1"/>
  <c r="AU2333" i="1"/>
  <c r="AW2332" i="1"/>
  <c r="AV2332" i="1"/>
  <c r="AW2331" i="1"/>
  <c r="AV2331" i="1"/>
  <c r="AU2331" i="1"/>
  <c r="AW2330" i="1"/>
  <c r="AV2330" i="1"/>
  <c r="AW2329" i="1"/>
  <c r="AV2329" i="1"/>
  <c r="AW2328" i="1"/>
  <c r="AV2328" i="1"/>
  <c r="AW2327" i="1"/>
  <c r="AV2327" i="1"/>
  <c r="AW2326" i="1"/>
  <c r="AV2326" i="1"/>
  <c r="AW2325" i="1"/>
  <c r="AV2325" i="1"/>
  <c r="AW2324" i="1"/>
  <c r="AV2324" i="1"/>
  <c r="AU2324" i="1"/>
  <c r="AW2323" i="1"/>
  <c r="AV2323" i="1"/>
  <c r="AW2322" i="1"/>
  <c r="AV2322" i="1"/>
  <c r="AW2321" i="1"/>
  <c r="AV2321" i="1"/>
  <c r="AU2321" i="1"/>
  <c r="AW2320" i="1"/>
  <c r="AV2320" i="1"/>
  <c r="AU2320" i="1"/>
  <c r="AW2319" i="1"/>
  <c r="AV2319" i="1"/>
  <c r="AW2318" i="1"/>
  <c r="AV2318" i="1"/>
  <c r="AU2318" i="1"/>
  <c r="AW2317" i="1"/>
  <c r="AV2317" i="1"/>
  <c r="AU2317" i="1"/>
  <c r="AW2316" i="1"/>
  <c r="AV2316" i="1"/>
  <c r="AU2316" i="1"/>
  <c r="AW2315" i="1"/>
  <c r="AV2315" i="1"/>
  <c r="AW2314" i="1"/>
  <c r="AV2314" i="1"/>
  <c r="AU2314" i="1"/>
  <c r="AW2313" i="1"/>
  <c r="AV2313" i="1"/>
  <c r="AW2312" i="1"/>
  <c r="AV2312" i="1"/>
  <c r="AW2311" i="1"/>
  <c r="AV2311" i="1"/>
  <c r="AW2310" i="1"/>
  <c r="AV2310" i="1"/>
  <c r="AW2309" i="1"/>
  <c r="AV2309" i="1"/>
  <c r="AU2309" i="1"/>
  <c r="AW2308" i="1"/>
  <c r="AV2308" i="1"/>
  <c r="AU2308" i="1"/>
  <c r="AW2307" i="1"/>
  <c r="AV2307" i="1"/>
  <c r="AU2307" i="1"/>
  <c r="AW2306" i="1"/>
  <c r="AV2306" i="1"/>
  <c r="AU2306" i="1"/>
  <c r="AW2305" i="1"/>
  <c r="AV2305" i="1"/>
  <c r="AU2305" i="1"/>
  <c r="AW2304" i="1"/>
  <c r="AV2304" i="1"/>
  <c r="AU2304" i="1"/>
  <c r="AW2303" i="1"/>
  <c r="AV2303" i="1"/>
  <c r="AW2302" i="1"/>
  <c r="AV2302" i="1"/>
  <c r="AW2301" i="1"/>
  <c r="AV2301" i="1"/>
  <c r="AW2300" i="1"/>
  <c r="AV2300" i="1"/>
  <c r="AW2299" i="1"/>
  <c r="AV2299" i="1"/>
  <c r="AW2298" i="1"/>
  <c r="AV2298" i="1"/>
  <c r="AW2297" i="1"/>
  <c r="AV2297" i="1"/>
  <c r="AU2297" i="1"/>
  <c r="AW2296" i="1"/>
  <c r="AV2296" i="1"/>
  <c r="AU2296" i="1"/>
  <c r="AW2295" i="1"/>
  <c r="AV2295" i="1"/>
  <c r="AW2294" i="1"/>
  <c r="AV2294" i="1"/>
  <c r="AW2293" i="1"/>
  <c r="AV2293" i="1"/>
  <c r="AW2292" i="1"/>
  <c r="AV2292" i="1"/>
  <c r="AW2291" i="1"/>
  <c r="AV2291" i="1"/>
  <c r="AW2290" i="1"/>
  <c r="AV2290" i="1"/>
  <c r="AW2289" i="1"/>
  <c r="AV2289" i="1"/>
  <c r="AW2288" i="1"/>
  <c r="AV2288" i="1"/>
  <c r="AW2287" i="1"/>
  <c r="AV2287" i="1"/>
  <c r="AW2286" i="1"/>
  <c r="AV2286" i="1"/>
  <c r="AW2285" i="1"/>
  <c r="AV2285" i="1"/>
  <c r="AW2284" i="1"/>
  <c r="AV2284" i="1"/>
  <c r="AW2283" i="1"/>
  <c r="AV2283" i="1"/>
  <c r="AW2282" i="1"/>
  <c r="AV2282" i="1"/>
  <c r="AW2281" i="1"/>
  <c r="AV2281" i="1"/>
  <c r="AW2280" i="1"/>
  <c r="AV2280" i="1"/>
  <c r="AW2279" i="1"/>
  <c r="AV2279" i="1"/>
  <c r="AW2278" i="1"/>
  <c r="AV2278" i="1"/>
  <c r="AW2277" i="1"/>
  <c r="AV2277" i="1"/>
  <c r="AW2276" i="1"/>
  <c r="AV2276" i="1"/>
  <c r="AW2275" i="1"/>
  <c r="AV2275" i="1"/>
  <c r="AW2274" i="1"/>
  <c r="AV2274" i="1"/>
  <c r="AW2273" i="1"/>
  <c r="AV2273" i="1"/>
  <c r="AU2273" i="1"/>
  <c r="AW2272" i="1"/>
  <c r="AV2272" i="1"/>
  <c r="AW2271" i="1"/>
  <c r="AV2271" i="1"/>
  <c r="AW2270" i="1"/>
  <c r="AV2270" i="1"/>
  <c r="AW2269" i="1"/>
  <c r="AV2269" i="1"/>
  <c r="AW2268" i="1"/>
  <c r="AV2268" i="1"/>
  <c r="AW2267" i="1"/>
  <c r="AV2267" i="1"/>
  <c r="AW2266" i="1"/>
  <c r="AV2266" i="1"/>
  <c r="AW2265" i="1"/>
  <c r="AV2265" i="1"/>
  <c r="AW2264" i="1"/>
  <c r="AV2264" i="1"/>
  <c r="AW2263" i="1"/>
  <c r="AV2263" i="1"/>
  <c r="AW2262" i="1"/>
  <c r="AV2262" i="1"/>
  <c r="AU2262" i="1"/>
  <c r="AW2261" i="1"/>
  <c r="AV2261" i="1"/>
  <c r="AU2261" i="1"/>
  <c r="AW2260" i="1"/>
  <c r="AV2260" i="1"/>
  <c r="AU2260" i="1"/>
  <c r="AW2259" i="1"/>
  <c r="AV2259" i="1"/>
  <c r="AW2258" i="1"/>
  <c r="AV2258" i="1"/>
  <c r="AW2257" i="1"/>
  <c r="AV2257" i="1"/>
  <c r="AU2257" i="1"/>
  <c r="AW2256" i="1"/>
  <c r="AV2256" i="1"/>
  <c r="AU2256" i="1"/>
  <c r="AW2255" i="1"/>
  <c r="AV2255" i="1"/>
  <c r="AU2255" i="1"/>
  <c r="AW2254" i="1"/>
  <c r="AV2254" i="1"/>
  <c r="AU2254" i="1"/>
  <c r="AW2253" i="1"/>
  <c r="AV2253" i="1"/>
  <c r="AU2253" i="1"/>
  <c r="AW2252" i="1"/>
  <c r="AV2252" i="1"/>
  <c r="AW2251" i="1"/>
  <c r="AV2251" i="1"/>
  <c r="AU2251" i="1"/>
  <c r="AW2250" i="1"/>
  <c r="AV2250" i="1"/>
  <c r="AU2250" i="1"/>
  <c r="AW2249" i="1"/>
  <c r="AV2249" i="1"/>
  <c r="AU2249" i="1"/>
  <c r="AW2248" i="1"/>
  <c r="AV2248" i="1"/>
  <c r="AW2247" i="1"/>
  <c r="AV2247" i="1"/>
  <c r="AU2247" i="1"/>
  <c r="AW2246" i="1"/>
  <c r="AV2246" i="1"/>
  <c r="AU2246" i="1"/>
  <c r="AW2245" i="1"/>
  <c r="AV2245" i="1"/>
  <c r="AW2244" i="1"/>
  <c r="AV2244" i="1"/>
  <c r="AW2243" i="1"/>
  <c r="AV2243" i="1"/>
  <c r="AU2243" i="1"/>
  <c r="AW2242" i="1"/>
  <c r="AV2242" i="1"/>
  <c r="AW2241" i="1"/>
  <c r="AV2241" i="1"/>
  <c r="AW2240" i="1"/>
  <c r="AV2240" i="1"/>
  <c r="AW2239" i="1"/>
  <c r="AV2239" i="1"/>
  <c r="AW2238" i="1"/>
  <c r="AV2238" i="1"/>
  <c r="AW2237" i="1"/>
  <c r="AV2237" i="1"/>
  <c r="AW2236" i="1"/>
  <c r="AV2236" i="1"/>
  <c r="AW2235" i="1"/>
  <c r="AV2235" i="1"/>
  <c r="AW2234" i="1"/>
  <c r="AV2234" i="1"/>
  <c r="AW2233" i="1"/>
  <c r="AV2233" i="1"/>
  <c r="AW2232" i="1"/>
  <c r="AV2232" i="1"/>
  <c r="AW2231" i="1"/>
  <c r="AV2231" i="1"/>
  <c r="AW2230" i="1"/>
  <c r="AV2230" i="1"/>
  <c r="AW2229" i="1"/>
  <c r="AV2229" i="1"/>
  <c r="AW2228" i="1"/>
  <c r="AV2228" i="1"/>
  <c r="AW2227" i="1"/>
  <c r="AV2227" i="1"/>
  <c r="AW2226" i="1"/>
  <c r="AV2226" i="1"/>
  <c r="AW2225" i="1"/>
  <c r="AV2225" i="1"/>
  <c r="AW2224" i="1"/>
  <c r="AV2224" i="1"/>
  <c r="AW2223" i="1"/>
  <c r="AV2223" i="1"/>
  <c r="AU2223" i="1"/>
  <c r="AW2222" i="1"/>
  <c r="AV2222" i="1"/>
  <c r="AW2221" i="1"/>
  <c r="AV2221" i="1"/>
  <c r="AU2221" i="1"/>
  <c r="AW2220" i="1"/>
  <c r="AV2220" i="1"/>
  <c r="AU2220" i="1"/>
  <c r="AW2219" i="1"/>
  <c r="AV2219" i="1"/>
  <c r="AW2218" i="1"/>
  <c r="AV2218" i="1"/>
  <c r="AU2218" i="1"/>
  <c r="AW2217" i="1"/>
  <c r="AV2217" i="1"/>
  <c r="AW2216" i="1"/>
  <c r="AV2216" i="1"/>
  <c r="AW2215" i="1"/>
  <c r="AV2215" i="1"/>
  <c r="AU2215" i="1"/>
  <c r="AW2214" i="1"/>
  <c r="AV2214" i="1"/>
  <c r="AU2214" i="1"/>
  <c r="AW2213" i="1"/>
  <c r="AV2213" i="1"/>
  <c r="AW2212" i="1"/>
  <c r="AV2212" i="1"/>
  <c r="AU2212" i="1"/>
  <c r="AW2211" i="1"/>
  <c r="AV2211" i="1"/>
  <c r="AW2210" i="1"/>
  <c r="AV2210" i="1"/>
  <c r="AU2210" i="1"/>
  <c r="AW2209" i="1"/>
  <c r="AV2209" i="1"/>
  <c r="AW2208" i="1"/>
  <c r="AV2208" i="1"/>
  <c r="AW2207" i="1"/>
  <c r="AV2207" i="1"/>
  <c r="AW2206" i="1"/>
  <c r="AV2206" i="1"/>
  <c r="AU2206" i="1"/>
  <c r="AW2205" i="1"/>
  <c r="AV2205" i="1"/>
  <c r="AW2204" i="1"/>
  <c r="AV2204" i="1"/>
  <c r="AW2203" i="1"/>
  <c r="AV2203" i="1"/>
  <c r="AW2202" i="1"/>
  <c r="AV2202" i="1"/>
  <c r="AW2201" i="1"/>
  <c r="AV2201" i="1"/>
  <c r="AW2200" i="1"/>
  <c r="AV2200" i="1"/>
  <c r="AW2199" i="1"/>
  <c r="AV2199" i="1"/>
  <c r="AU2199" i="1"/>
  <c r="AW2198" i="1"/>
  <c r="AV2198" i="1"/>
  <c r="AW2197" i="1"/>
  <c r="AV2197" i="1"/>
  <c r="AW2196" i="1"/>
  <c r="AV2196" i="1"/>
  <c r="AU2196" i="1"/>
  <c r="AW2195" i="1"/>
  <c r="AV2195" i="1"/>
  <c r="AW2194" i="1"/>
  <c r="AV2194" i="1"/>
  <c r="AW2193" i="1"/>
  <c r="AV2193" i="1"/>
  <c r="AW2192" i="1"/>
  <c r="AV2192" i="1"/>
  <c r="AU2192" i="1"/>
  <c r="AW2191" i="1"/>
  <c r="AV2191" i="1"/>
  <c r="AU2191" i="1"/>
  <c r="AW2190" i="1"/>
  <c r="AV2190" i="1"/>
  <c r="AW2189" i="1"/>
  <c r="AV2189" i="1"/>
  <c r="AU2189" i="1"/>
  <c r="AW2188" i="1"/>
  <c r="AV2188" i="1"/>
  <c r="AU2188" i="1"/>
  <c r="AW2187" i="1"/>
  <c r="AV2187" i="1"/>
  <c r="AU2187" i="1"/>
  <c r="AW2186" i="1"/>
  <c r="AV2186" i="1"/>
  <c r="AU2186" i="1"/>
  <c r="AW2185" i="1"/>
  <c r="AV2185" i="1"/>
  <c r="AW2184" i="1"/>
  <c r="AV2184" i="1"/>
  <c r="AU2184" i="1"/>
  <c r="AW2183" i="1"/>
  <c r="AV2183" i="1"/>
  <c r="AW2182" i="1"/>
  <c r="AV2182" i="1"/>
  <c r="AW2181" i="1"/>
  <c r="AV2181" i="1"/>
  <c r="AW2180" i="1"/>
  <c r="AV2180" i="1"/>
  <c r="AW2179" i="1"/>
  <c r="AV2179" i="1"/>
  <c r="AW2178" i="1"/>
  <c r="AV2178" i="1"/>
  <c r="AW2177" i="1"/>
  <c r="AV2177" i="1"/>
  <c r="AW2176" i="1"/>
  <c r="AV2176" i="1"/>
  <c r="AW2175" i="1"/>
  <c r="AV2175" i="1"/>
  <c r="AW2174" i="1"/>
  <c r="AV2174" i="1"/>
  <c r="AU2174" i="1"/>
  <c r="AW2173" i="1"/>
  <c r="AV2173" i="1"/>
  <c r="AU2173" i="1"/>
  <c r="AW2172" i="1"/>
  <c r="AV2172" i="1"/>
  <c r="AW2171" i="1"/>
  <c r="AV2171" i="1"/>
  <c r="AW2170" i="1"/>
  <c r="AV2170" i="1"/>
  <c r="AW2169" i="1"/>
  <c r="AV2169" i="1"/>
  <c r="AU2169" i="1"/>
  <c r="AW2168" i="1"/>
  <c r="AV2168" i="1"/>
  <c r="AW2167" i="1"/>
  <c r="AV2167" i="1"/>
  <c r="AW2166" i="1"/>
  <c r="AV2166" i="1"/>
  <c r="AW2165" i="1"/>
  <c r="AV2165" i="1"/>
  <c r="AW2164" i="1"/>
  <c r="AV2164" i="1"/>
  <c r="AU2164" i="1"/>
  <c r="AW2163" i="1"/>
  <c r="AV2163" i="1"/>
  <c r="AW2162" i="1"/>
  <c r="AV2162" i="1"/>
  <c r="AW2161" i="1"/>
  <c r="AV2161" i="1"/>
  <c r="AW2160" i="1"/>
  <c r="AV2160" i="1"/>
  <c r="AW2159" i="1"/>
  <c r="AV2159" i="1"/>
  <c r="AW2158" i="1"/>
  <c r="AV2158" i="1"/>
  <c r="AW2157" i="1"/>
  <c r="AV2157" i="1"/>
  <c r="AW2156" i="1"/>
  <c r="AV2156" i="1"/>
  <c r="AW2155" i="1"/>
  <c r="AV2155" i="1"/>
  <c r="AW2154" i="1"/>
  <c r="AV2154" i="1"/>
  <c r="AW2153" i="1"/>
  <c r="AV2153" i="1"/>
  <c r="AW2152" i="1"/>
  <c r="AV2152" i="1"/>
  <c r="AW2151" i="1"/>
  <c r="AV2151" i="1"/>
  <c r="AU2151" i="1"/>
  <c r="AW2150" i="1"/>
  <c r="AV2150" i="1"/>
  <c r="AU2150" i="1"/>
  <c r="AW2149" i="1"/>
  <c r="AV2149" i="1"/>
  <c r="AU2149" i="1"/>
  <c r="AW2148" i="1"/>
  <c r="AV2148" i="1"/>
  <c r="AW2147" i="1"/>
  <c r="AV2147" i="1"/>
  <c r="AW2146" i="1"/>
  <c r="AV2146" i="1"/>
  <c r="AW2145" i="1"/>
  <c r="AV2145" i="1"/>
  <c r="AW2144" i="1"/>
  <c r="AV2144" i="1"/>
  <c r="AW2143" i="1"/>
  <c r="AV2143" i="1"/>
  <c r="AW2142" i="1"/>
  <c r="AV2142" i="1"/>
  <c r="AW2141" i="1"/>
  <c r="AV2141" i="1"/>
  <c r="AW2140" i="1"/>
  <c r="AV2140" i="1"/>
  <c r="AW2139" i="1"/>
  <c r="AV2139" i="1"/>
  <c r="AU2139" i="1"/>
  <c r="AW2138" i="1"/>
  <c r="AV2138" i="1"/>
  <c r="AW2137" i="1"/>
  <c r="AV2137" i="1"/>
  <c r="AU2137" i="1"/>
  <c r="AW2136" i="1"/>
  <c r="AV2136" i="1"/>
  <c r="AW2135" i="1"/>
  <c r="AV2135" i="1"/>
  <c r="AU2135" i="1"/>
  <c r="AW2134" i="1"/>
  <c r="AV2134" i="1"/>
  <c r="AU2134" i="1"/>
  <c r="AW2133" i="1"/>
  <c r="AV2133" i="1"/>
  <c r="AU2133" i="1"/>
  <c r="AW2132" i="1"/>
  <c r="AV2132" i="1"/>
  <c r="AU2132" i="1"/>
  <c r="AW2131" i="1"/>
  <c r="AV2131" i="1"/>
  <c r="AU2131" i="1"/>
  <c r="AW2130" i="1"/>
  <c r="AV2130" i="1"/>
  <c r="AU2130" i="1"/>
  <c r="AW2129" i="1"/>
  <c r="AV2129" i="1"/>
  <c r="AU2129" i="1"/>
  <c r="AW2128" i="1"/>
  <c r="AV2128" i="1"/>
  <c r="AU2128" i="1"/>
  <c r="AW2127" i="1"/>
  <c r="AV2127" i="1"/>
  <c r="AU2127" i="1"/>
  <c r="AW2126" i="1"/>
  <c r="AV2126" i="1"/>
  <c r="AU2126" i="1"/>
  <c r="AW2125" i="1"/>
  <c r="AV2125" i="1"/>
  <c r="AU2125" i="1"/>
  <c r="AW2124" i="1"/>
  <c r="AV2124" i="1"/>
  <c r="AW2123" i="1"/>
  <c r="AV2123" i="1"/>
  <c r="AW2122" i="1"/>
  <c r="AV2122" i="1"/>
  <c r="AW2121" i="1"/>
  <c r="AV2121" i="1"/>
  <c r="AW2120" i="1"/>
  <c r="AV2120" i="1"/>
  <c r="AU2120" i="1"/>
  <c r="AW2119" i="1"/>
  <c r="AV2119" i="1"/>
  <c r="AU2119" i="1"/>
  <c r="AW2118" i="1"/>
  <c r="AV2118" i="1"/>
  <c r="AU2118" i="1"/>
  <c r="AW2117" i="1"/>
  <c r="AV2117" i="1"/>
  <c r="AU2117" i="1"/>
  <c r="AW2116" i="1"/>
  <c r="AV2116" i="1"/>
  <c r="AU2116" i="1"/>
  <c r="AW2115" i="1"/>
  <c r="AV2115" i="1"/>
  <c r="AU2115" i="1"/>
  <c r="AW2114" i="1"/>
  <c r="AV2114" i="1"/>
  <c r="AW2113" i="1"/>
  <c r="AV2113" i="1"/>
  <c r="AU2113" i="1"/>
  <c r="AW2112" i="1"/>
  <c r="AV2112" i="1"/>
  <c r="AU2112" i="1"/>
  <c r="AW2111" i="1"/>
  <c r="AV2111" i="1"/>
  <c r="AW2110" i="1"/>
  <c r="AV2110" i="1"/>
  <c r="AU2110" i="1"/>
  <c r="AW2109" i="1"/>
  <c r="AV2109" i="1"/>
  <c r="AW2108" i="1"/>
  <c r="AV2108" i="1"/>
  <c r="AW2107" i="1"/>
  <c r="AV2107" i="1"/>
  <c r="AU2107" i="1"/>
  <c r="AW2106" i="1"/>
  <c r="AV2106" i="1"/>
  <c r="AU2106" i="1"/>
  <c r="AW2105" i="1"/>
  <c r="AV2105" i="1"/>
  <c r="AU2105" i="1"/>
  <c r="AW2104" i="1"/>
  <c r="AV2104" i="1"/>
  <c r="AU2104" i="1"/>
  <c r="AW2103" i="1"/>
  <c r="AV2103" i="1"/>
  <c r="AU2103" i="1"/>
  <c r="AW2102" i="1"/>
  <c r="AV2102" i="1"/>
  <c r="AU2102" i="1"/>
  <c r="AW2101" i="1"/>
  <c r="AV2101" i="1"/>
  <c r="AW2100" i="1"/>
  <c r="AV2100" i="1"/>
  <c r="AU2100" i="1"/>
  <c r="AW2099" i="1"/>
  <c r="AV2099" i="1"/>
  <c r="AW2098" i="1"/>
  <c r="AV2098" i="1"/>
  <c r="AW2097" i="1"/>
  <c r="AV2097" i="1"/>
  <c r="AW2096" i="1"/>
  <c r="AV2096" i="1"/>
  <c r="AW2095" i="1"/>
  <c r="AV2095" i="1"/>
  <c r="AW2094" i="1"/>
  <c r="AV2094" i="1"/>
  <c r="AW2093" i="1"/>
  <c r="AV2093" i="1"/>
  <c r="AW2092" i="1"/>
  <c r="AV2092" i="1"/>
  <c r="AW2091" i="1"/>
  <c r="AV2091" i="1"/>
  <c r="AW2090" i="1"/>
  <c r="AV2090" i="1"/>
  <c r="AW2089" i="1"/>
  <c r="AV2089" i="1"/>
  <c r="AW2088" i="1"/>
  <c r="AV2088" i="1"/>
  <c r="AU2088" i="1"/>
  <c r="AW2087" i="1"/>
  <c r="AV2087" i="1"/>
  <c r="AW2086" i="1"/>
  <c r="AV2086" i="1"/>
  <c r="AW2085" i="1"/>
  <c r="AV2085" i="1"/>
  <c r="AU2085" i="1"/>
  <c r="AW2084" i="1"/>
  <c r="AV2084" i="1"/>
  <c r="AW2083" i="1"/>
  <c r="AV2083" i="1"/>
  <c r="AW2082" i="1"/>
  <c r="AV2082" i="1"/>
  <c r="AW2081" i="1"/>
  <c r="AV2081" i="1"/>
  <c r="AW2080" i="1"/>
  <c r="AV2080" i="1"/>
  <c r="AW2079" i="1"/>
  <c r="AV2079" i="1"/>
  <c r="AW2078" i="1"/>
  <c r="AV2078" i="1"/>
  <c r="AW2077" i="1"/>
  <c r="AV2077" i="1"/>
  <c r="AW2076" i="1"/>
  <c r="AV2076" i="1"/>
  <c r="AW2075" i="1"/>
  <c r="AV2075" i="1"/>
  <c r="AW2074" i="1"/>
  <c r="AV2074" i="1"/>
  <c r="AW2073" i="1"/>
  <c r="AV2073" i="1"/>
  <c r="AW2072" i="1"/>
  <c r="AV2072" i="1"/>
  <c r="AW2071" i="1"/>
  <c r="AV2071" i="1"/>
  <c r="AW2070" i="1"/>
  <c r="AV2070" i="1"/>
  <c r="AW2069" i="1"/>
  <c r="AV2069" i="1"/>
  <c r="AW2068" i="1"/>
  <c r="AV2068" i="1"/>
  <c r="AW2067" i="1"/>
  <c r="AV2067" i="1"/>
  <c r="AW2066" i="1"/>
  <c r="AV2066" i="1"/>
  <c r="AW2065" i="1"/>
  <c r="AV2065" i="1"/>
  <c r="AW2064" i="1"/>
  <c r="AV2064" i="1"/>
  <c r="AW2063" i="1"/>
  <c r="AV2063" i="1"/>
  <c r="AW2062" i="1"/>
  <c r="AV2062" i="1"/>
  <c r="AW2061" i="1"/>
  <c r="AV2061" i="1"/>
  <c r="AW2060" i="1"/>
  <c r="AV2060" i="1"/>
  <c r="AW2059" i="1"/>
  <c r="AV2059" i="1"/>
  <c r="AU2059" i="1"/>
  <c r="AW2058" i="1"/>
  <c r="AV2058" i="1"/>
  <c r="AU2058" i="1"/>
  <c r="AW2057" i="1"/>
  <c r="AV2057" i="1"/>
  <c r="AW2056" i="1"/>
  <c r="AV2056" i="1"/>
  <c r="AW2055" i="1"/>
  <c r="AV2055" i="1"/>
  <c r="AU2055" i="1"/>
  <c r="AW2054" i="1"/>
  <c r="AV2054" i="1"/>
  <c r="AU2054" i="1"/>
  <c r="AW2053" i="1"/>
  <c r="AV2053" i="1"/>
  <c r="AU2053" i="1"/>
  <c r="AW2052" i="1"/>
  <c r="AV2052" i="1"/>
  <c r="AW2051" i="1"/>
  <c r="AV2051" i="1"/>
  <c r="AW2050" i="1"/>
  <c r="AV2050" i="1"/>
  <c r="AU2050" i="1"/>
  <c r="AW2049" i="1"/>
  <c r="AV2049" i="1"/>
  <c r="AW2048" i="1"/>
  <c r="AV2048" i="1"/>
  <c r="AW2047" i="1"/>
  <c r="AV2047" i="1"/>
  <c r="AW2046" i="1"/>
  <c r="AV2046" i="1"/>
  <c r="AW2045" i="1"/>
  <c r="AV2045" i="1"/>
  <c r="AW2044" i="1"/>
  <c r="AV2044" i="1"/>
  <c r="AW2043" i="1"/>
  <c r="AV2043" i="1"/>
  <c r="AU2043" i="1"/>
  <c r="AW2042" i="1"/>
  <c r="AV2042" i="1"/>
  <c r="AW2041" i="1"/>
  <c r="AV2041" i="1"/>
  <c r="AW2040" i="1"/>
  <c r="AV2040" i="1"/>
  <c r="AW2039" i="1"/>
  <c r="AV2039" i="1"/>
  <c r="AW2038" i="1"/>
  <c r="AV2038" i="1"/>
  <c r="AW2037" i="1"/>
  <c r="AV2037" i="1"/>
  <c r="AW2036" i="1"/>
  <c r="AV2036" i="1"/>
  <c r="AU2036" i="1"/>
  <c r="AW2035" i="1"/>
  <c r="AV2035" i="1"/>
  <c r="AW2034" i="1"/>
  <c r="AV2034" i="1"/>
  <c r="AW2033" i="1"/>
  <c r="AV2033" i="1"/>
  <c r="AW2032" i="1"/>
  <c r="AV2032" i="1"/>
  <c r="AW2031" i="1"/>
  <c r="AV2031" i="1"/>
  <c r="AU2031" i="1"/>
  <c r="AW2030" i="1"/>
  <c r="AV2030" i="1"/>
  <c r="AW2029" i="1"/>
  <c r="AV2029" i="1"/>
  <c r="AW2028" i="1"/>
  <c r="AV2028" i="1"/>
  <c r="AU2028" i="1"/>
  <c r="AW2027" i="1"/>
  <c r="AV2027" i="1"/>
  <c r="AU2027" i="1"/>
  <c r="AW2026" i="1"/>
  <c r="AV2026" i="1"/>
  <c r="AW2025" i="1"/>
  <c r="AV2025" i="1"/>
  <c r="AW2024" i="1"/>
  <c r="AV2024" i="1"/>
  <c r="AW2023" i="1"/>
  <c r="AV2023" i="1"/>
  <c r="AW2022" i="1"/>
  <c r="AV2022" i="1"/>
  <c r="AW2021" i="1"/>
  <c r="AV2021" i="1"/>
  <c r="AW2020" i="1"/>
  <c r="AV2020" i="1"/>
  <c r="AW2019" i="1"/>
  <c r="AV2019" i="1"/>
  <c r="AW2018" i="1"/>
  <c r="AV2018" i="1"/>
  <c r="AW2017" i="1"/>
  <c r="AV2017" i="1"/>
  <c r="AW2016" i="1"/>
  <c r="AV2016" i="1"/>
  <c r="AW2015" i="1"/>
  <c r="AV2015" i="1"/>
  <c r="AW2014" i="1"/>
  <c r="AV2014" i="1"/>
  <c r="AW2013" i="1"/>
  <c r="AV2013" i="1"/>
  <c r="AW2012" i="1"/>
  <c r="AV2012" i="1"/>
  <c r="AU2012" i="1"/>
  <c r="AW2011" i="1"/>
  <c r="AV2011" i="1"/>
  <c r="AW2010" i="1"/>
  <c r="AV2010" i="1"/>
  <c r="AU2010" i="1"/>
  <c r="AW2009" i="1"/>
  <c r="AV2009" i="1"/>
  <c r="AW2008" i="1"/>
  <c r="AV2008" i="1"/>
  <c r="AW2007" i="1"/>
  <c r="AV2007" i="1"/>
  <c r="AU2007" i="1"/>
  <c r="AW2006" i="1"/>
  <c r="AV2006" i="1"/>
  <c r="AW2005" i="1"/>
  <c r="AV2005" i="1"/>
  <c r="AW2004" i="1"/>
  <c r="AV2004" i="1"/>
  <c r="AW2003" i="1"/>
  <c r="AV2003" i="1"/>
  <c r="AW2002" i="1"/>
  <c r="AV2002" i="1"/>
  <c r="AU2002" i="1"/>
  <c r="AW2001" i="1"/>
  <c r="AV2001" i="1"/>
  <c r="AW2000" i="1"/>
  <c r="AV2000" i="1"/>
  <c r="AW1999" i="1"/>
  <c r="AV1999" i="1"/>
  <c r="AU1999" i="1"/>
  <c r="AW1998" i="1"/>
  <c r="AV1998" i="1"/>
  <c r="AW1997" i="1"/>
  <c r="AV1997" i="1"/>
  <c r="AW1996" i="1"/>
  <c r="AV1996" i="1"/>
  <c r="AW1995" i="1"/>
  <c r="AV1995" i="1"/>
  <c r="AW1994" i="1"/>
  <c r="AV1994" i="1"/>
  <c r="AW1993" i="1"/>
  <c r="AV1993" i="1"/>
  <c r="AW1992" i="1"/>
  <c r="AV1992" i="1"/>
  <c r="AW1991" i="1"/>
  <c r="AV1991" i="1"/>
  <c r="AW1990" i="1"/>
  <c r="AV1990" i="1"/>
  <c r="AW1989" i="1"/>
  <c r="AV1989" i="1"/>
  <c r="AW1988" i="1"/>
  <c r="AV1988" i="1"/>
  <c r="AU1988" i="1"/>
  <c r="AW1987" i="1"/>
  <c r="AV1987" i="1"/>
  <c r="AW1986" i="1"/>
  <c r="AV1986" i="1"/>
  <c r="AU1986" i="1"/>
  <c r="AW1985" i="1"/>
  <c r="AV1985" i="1"/>
  <c r="AU1985" i="1"/>
  <c r="AW1984" i="1"/>
  <c r="AV1984" i="1"/>
  <c r="AW1983" i="1"/>
  <c r="AV1983" i="1"/>
  <c r="AU1983" i="1"/>
  <c r="AW1982" i="1"/>
  <c r="AV1982" i="1"/>
  <c r="AW1981" i="1"/>
  <c r="AV1981" i="1"/>
  <c r="AW1980" i="1"/>
  <c r="AV1980" i="1"/>
  <c r="AW1979" i="1"/>
  <c r="AV1979" i="1"/>
  <c r="AW1978" i="1"/>
  <c r="AV1978" i="1"/>
  <c r="AW1977" i="1"/>
  <c r="AV1977" i="1"/>
  <c r="AW1976" i="1"/>
  <c r="AV1976" i="1"/>
  <c r="AW1975" i="1"/>
  <c r="AV1975" i="1"/>
  <c r="AW1974" i="1"/>
  <c r="AV1974" i="1"/>
  <c r="AW1973" i="1"/>
  <c r="AV1973" i="1"/>
  <c r="AW1972" i="1"/>
  <c r="AV1972" i="1"/>
  <c r="AW1971" i="1"/>
  <c r="AV1971" i="1"/>
  <c r="AU1971" i="1"/>
  <c r="AW1970" i="1"/>
  <c r="AV1970" i="1"/>
  <c r="AU1970" i="1"/>
  <c r="AW1969" i="1"/>
  <c r="AV1969" i="1"/>
  <c r="AW1968" i="1"/>
  <c r="AV1968" i="1"/>
  <c r="AW1967" i="1"/>
  <c r="AV1967" i="1"/>
  <c r="AU1967" i="1"/>
  <c r="AW1966" i="1"/>
  <c r="AV1966" i="1"/>
  <c r="AW1965" i="1"/>
  <c r="AV1965" i="1"/>
  <c r="AW1964" i="1"/>
  <c r="AV1964" i="1"/>
  <c r="AW1963" i="1"/>
  <c r="AV1963" i="1"/>
  <c r="AW1962" i="1"/>
  <c r="AV1962" i="1"/>
  <c r="AW1961" i="1"/>
  <c r="AV1961" i="1"/>
  <c r="AU1961" i="1"/>
  <c r="AW1960" i="1"/>
  <c r="AV1960" i="1"/>
  <c r="AU1960" i="1"/>
  <c r="AW1959" i="1"/>
  <c r="AV1959" i="1"/>
  <c r="AW1958" i="1"/>
  <c r="AV1958" i="1"/>
  <c r="AW1957" i="1"/>
  <c r="AV1957" i="1"/>
  <c r="AW1956" i="1"/>
  <c r="AV1956" i="1"/>
  <c r="AW1955" i="1"/>
  <c r="AV1955" i="1"/>
  <c r="AW1954" i="1"/>
  <c r="AV1954" i="1"/>
  <c r="AW1953" i="1"/>
  <c r="AV1953" i="1"/>
  <c r="AW1952" i="1"/>
  <c r="AV1952" i="1"/>
  <c r="AW1951" i="1"/>
  <c r="AV1951" i="1"/>
  <c r="AW1950" i="1"/>
  <c r="AV1950" i="1"/>
  <c r="AW1949" i="1"/>
  <c r="AV1949" i="1"/>
  <c r="AW1948" i="1"/>
  <c r="AV1948" i="1"/>
  <c r="AW1947" i="1"/>
  <c r="AV1947" i="1"/>
  <c r="AW1946" i="1"/>
  <c r="AV1946" i="1"/>
  <c r="AU1946" i="1"/>
  <c r="AW1945" i="1"/>
  <c r="AV1945" i="1"/>
  <c r="AU1945" i="1"/>
  <c r="AW1944" i="1"/>
  <c r="AV1944" i="1"/>
  <c r="AW1943" i="1"/>
  <c r="AV1943" i="1"/>
  <c r="AW1942" i="1"/>
  <c r="AV1942" i="1"/>
  <c r="AW1941" i="1"/>
  <c r="AV1941" i="1"/>
  <c r="AU1941" i="1"/>
  <c r="AW1940" i="1"/>
  <c r="AV1940" i="1"/>
  <c r="AW1939" i="1"/>
  <c r="AV1939" i="1"/>
  <c r="AW1938" i="1"/>
  <c r="AV1938" i="1"/>
  <c r="AU1938" i="1"/>
  <c r="AW1937" i="1"/>
  <c r="AV1937" i="1"/>
  <c r="AU1937" i="1"/>
  <c r="AW1936" i="1"/>
  <c r="AV1936" i="1"/>
  <c r="AU1936" i="1"/>
  <c r="AW1935" i="1"/>
  <c r="AV1935" i="1"/>
  <c r="AU1935" i="1"/>
  <c r="AW1934" i="1"/>
  <c r="AV1934" i="1"/>
  <c r="AW1933" i="1"/>
  <c r="AV1933" i="1"/>
  <c r="AU1933" i="1"/>
  <c r="AW1932" i="1"/>
  <c r="AV1932" i="1"/>
  <c r="AU1932" i="1"/>
  <c r="AW1931" i="1"/>
  <c r="AV1931" i="1"/>
  <c r="AU1931" i="1"/>
  <c r="AW1930" i="1"/>
  <c r="AV1930" i="1"/>
  <c r="AU1930" i="1"/>
  <c r="AW1929" i="1"/>
  <c r="AV1929" i="1"/>
  <c r="AW1928" i="1"/>
  <c r="AV1928" i="1"/>
  <c r="AW1927" i="1"/>
  <c r="AV1927" i="1"/>
  <c r="AW1926" i="1"/>
  <c r="AV1926" i="1"/>
  <c r="AW1925" i="1"/>
  <c r="AV1925" i="1"/>
  <c r="AW1924" i="1"/>
  <c r="AV1924" i="1"/>
  <c r="AW1923" i="1"/>
  <c r="AV1923" i="1"/>
  <c r="AW1922" i="1"/>
  <c r="AV1922" i="1"/>
  <c r="AU1922" i="1"/>
  <c r="AW1921" i="1"/>
  <c r="AV1921" i="1"/>
  <c r="AW1920" i="1"/>
  <c r="AV1920" i="1"/>
  <c r="AW1919" i="1"/>
  <c r="AV1919" i="1"/>
  <c r="AU1919" i="1"/>
  <c r="AW1918" i="1"/>
  <c r="AV1918" i="1"/>
  <c r="AW1917" i="1"/>
  <c r="AV1917" i="1"/>
  <c r="AW1916" i="1"/>
  <c r="AV1916" i="1"/>
  <c r="AW1915" i="1"/>
  <c r="AV1915" i="1"/>
  <c r="AW1914" i="1"/>
  <c r="AV1914" i="1"/>
  <c r="AW1913" i="1"/>
  <c r="AV1913" i="1"/>
  <c r="AW1912" i="1"/>
  <c r="AV1912" i="1"/>
  <c r="AW1911" i="1"/>
  <c r="AV1911" i="1"/>
  <c r="AU1911" i="1"/>
  <c r="AW1910" i="1"/>
  <c r="AV1910" i="1"/>
  <c r="AW1909" i="1"/>
  <c r="AV1909" i="1"/>
  <c r="AW1908" i="1"/>
  <c r="AV1908" i="1"/>
  <c r="AW1907" i="1"/>
  <c r="AV1907" i="1"/>
  <c r="AW1906" i="1"/>
  <c r="AV1906" i="1"/>
  <c r="AW1905" i="1"/>
  <c r="AV1905" i="1"/>
  <c r="AW1904" i="1"/>
  <c r="AV1904" i="1"/>
  <c r="AU1904" i="1"/>
  <c r="AW1903" i="1"/>
  <c r="AV1903" i="1"/>
  <c r="AW1902" i="1"/>
  <c r="AV1902" i="1"/>
  <c r="AU1902" i="1"/>
  <c r="AW1901" i="1"/>
  <c r="AV1901" i="1"/>
  <c r="AU1901" i="1"/>
  <c r="AW1900" i="1"/>
  <c r="AV1900" i="1"/>
  <c r="AW1899" i="1"/>
  <c r="AV1899" i="1"/>
  <c r="AW1898" i="1"/>
  <c r="AV1898" i="1"/>
  <c r="AU1898" i="1"/>
  <c r="AW1897" i="1"/>
  <c r="AV1897" i="1"/>
  <c r="AU1897" i="1"/>
  <c r="AW1896" i="1"/>
  <c r="AV1896" i="1"/>
  <c r="AU1896" i="1"/>
  <c r="AW1895" i="1"/>
  <c r="AV1895" i="1"/>
  <c r="AW1894" i="1"/>
  <c r="AV1894" i="1"/>
  <c r="AW1893" i="1"/>
  <c r="AV1893" i="1"/>
  <c r="AU1893" i="1"/>
  <c r="AW1892" i="1"/>
  <c r="AV1892" i="1"/>
  <c r="AW1891" i="1"/>
  <c r="AV1891" i="1"/>
  <c r="AW1890" i="1"/>
  <c r="AV1890" i="1"/>
  <c r="AW1889" i="1"/>
  <c r="AV1889" i="1"/>
  <c r="AU1889" i="1"/>
  <c r="AW1888" i="1"/>
  <c r="AV1888" i="1"/>
  <c r="AW1887" i="1"/>
  <c r="AV1887" i="1"/>
  <c r="AW1886" i="1"/>
  <c r="AV1886" i="1"/>
  <c r="AW1885" i="1"/>
  <c r="AV1885" i="1"/>
  <c r="AW1884" i="1"/>
  <c r="AV1884" i="1"/>
  <c r="AW1883" i="1"/>
  <c r="AV1883" i="1"/>
  <c r="AW1882" i="1"/>
  <c r="AV1882" i="1"/>
  <c r="AU1882" i="1"/>
  <c r="AW1881" i="1"/>
  <c r="AV1881" i="1"/>
  <c r="AW1880" i="1"/>
  <c r="AV1880" i="1"/>
  <c r="AW1879" i="1"/>
  <c r="AV1879" i="1"/>
  <c r="AW1878" i="1"/>
  <c r="AV1878" i="1"/>
  <c r="AW1877" i="1"/>
  <c r="AV1877" i="1"/>
  <c r="AW1876" i="1"/>
  <c r="AV1876" i="1"/>
  <c r="AW1875" i="1"/>
  <c r="AV1875" i="1"/>
  <c r="AW1874" i="1"/>
  <c r="AV1874" i="1"/>
  <c r="AW1873" i="1"/>
  <c r="AV1873" i="1"/>
  <c r="AW1872" i="1"/>
  <c r="AV1872" i="1"/>
  <c r="AW1871" i="1"/>
  <c r="AV1871" i="1"/>
  <c r="AW1870" i="1"/>
  <c r="AV1870" i="1"/>
  <c r="AW1869" i="1"/>
  <c r="AV1869" i="1"/>
  <c r="AW1868" i="1"/>
  <c r="AV1868" i="1"/>
  <c r="AU1868" i="1"/>
  <c r="AW1867" i="1"/>
  <c r="AV1867" i="1"/>
  <c r="AU1867" i="1"/>
  <c r="AW1866" i="1"/>
  <c r="AV1866" i="1"/>
  <c r="AU1866" i="1"/>
  <c r="AW1865" i="1"/>
  <c r="AV1865" i="1"/>
  <c r="AU1865" i="1"/>
  <c r="AW1864" i="1"/>
  <c r="AV1864" i="1"/>
  <c r="AU1864" i="1"/>
  <c r="AW1863" i="1"/>
  <c r="AV1863" i="1"/>
  <c r="AW1862" i="1"/>
  <c r="AV1862" i="1"/>
  <c r="AW1861" i="1"/>
  <c r="AV1861" i="1"/>
  <c r="AW1860" i="1"/>
  <c r="AV1860" i="1"/>
  <c r="AU1860" i="1"/>
  <c r="AW1859" i="1"/>
  <c r="AV1859" i="1"/>
  <c r="AW1858" i="1"/>
  <c r="AV1858" i="1"/>
  <c r="AU1858" i="1"/>
  <c r="AW1857" i="1"/>
  <c r="AV1857" i="1"/>
  <c r="AW1856" i="1"/>
  <c r="AV1856" i="1"/>
  <c r="AW1855" i="1"/>
  <c r="AV1855" i="1"/>
  <c r="AW1854" i="1"/>
  <c r="AV1854" i="1"/>
  <c r="AW1853" i="1"/>
  <c r="AV1853" i="1"/>
  <c r="AW1852" i="1"/>
  <c r="AV1852" i="1"/>
  <c r="AW1851" i="1"/>
  <c r="AV1851" i="1"/>
  <c r="AU1851" i="1"/>
  <c r="AW1850" i="1"/>
  <c r="AV1850" i="1"/>
  <c r="AW1849" i="1"/>
  <c r="AV1849" i="1"/>
  <c r="AW1848" i="1"/>
  <c r="AV1848" i="1"/>
  <c r="AW1847" i="1"/>
  <c r="AV1847" i="1"/>
  <c r="AW1846" i="1"/>
  <c r="AV1846" i="1"/>
  <c r="AU1846" i="1"/>
  <c r="AW1845" i="1"/>
  <c r="AV1845" i="1"/>
  <c r="AU1845" i="1"/>
  <c r="AW1844" i="1"/>
  <c r="AV1844" i="1"/>
  <c r="AW1843" i="1"/>
  <c r="AV1843" i="1"/>
  <c r="AU1843" i="1"/>
  <c r="AW1842" i="1"/>
  <c r="AV1842" i="1"/>
  <c r="AU1842" i="1"/>
  <c r="AW1841" i="1"/>
  <c r="AV1841" i="1"/>
  <c r="AW1840" i="1"/>
  <c r="AV1840" i="1"/>
  <c r="AW1839" i="1"/>
  <c r="AV1839" i="1"/>
  <c r="AW1838" i="1"/>
  <c r="AV1838" i="1"/>
  <c r="AU1838" i="1"/>
  <c r="AW1837" i="1"/>
  <c r="AV1837" i="1"/>
  <c r="AW1836" i="1"/>
  <c r="AV1836" i="1"/>
  <c r="AW1835" i="1"/>
  <c r="AV1835" i="1"/>
  <c r="AW1834" i="1"/>
  <c r="AV1834" i="1"/>
  <c r="AW1833" i="1"/>
  <c r="AV1833" i="1"/>
  <c r="AW1832" i="1"/>
  <c r="AV1832" i="1"/>
  <c r="AW1831" i="1"/>
  <c r="AV1831" i="1"/>
  <c r="AW1830" i="1"/>
  <c r="AV1830" i="1"/>
  <c r="AW1829" i="1"/>
  <c r="AV1829" i="1"/>
  <c r="AW1828" i="1"/>
  <c r="AV1828" i="1"/>
  <c r="AU1828" i="1"/>
  <c r="AW1827" i="1"/>
  <c r="AV1827" i="1"/>
  <c r="AW1826" i="1"/>
  <c r="AV1826" i="1"/>
  <c r="AW1825" i="1"/>
  <c r="AV1825" i="1"/>
  <c r="AU1825" i="1"/>
  <c r="AW1824" i="1"/>
  <c r="AV1824" i="1"/>
  <c r="AW1823" i="1"/>
  <c r="AV1823" i="1"/>
  <c r="AW1822" i="1"/>
  <c r="AV1822" i="1"/>
  <c r="AW1821" i="1"/>
  <c r="AV1821" i="1"/>
  <c r="AW1820" i="1"/>
  <c r="AV1820" i="1"/>
  <c r="AW1819" i="1"/>
  <c r="AV1819" i="1"/>
  <c r="AW1818" i="1"/>
  <c r="AV1818" i="1"/>
  <c r="AW1817" i="1"/>
  <c r="AV1817" i="1"/>
  <c r="AW1816" i="1"/>
  <c r="AV1816" i="1"/>
  <c r="AW1815" i="1"/>
  <c r="AV1815" i="1"/>
  <c r="AW1814" i="1"/>
  <c r="AV1814" i="1"/>
  <c r="AW1813" i="1"/>
  <c r="AV1813" i="1"/>
  <c r="AW1812" i="1"/>
  <c r="AV1812" i="1"/>
  <c r="AW1811" i="1"/>
  <c r="AV1811" i="1"/>
  <c r="AW1810" i="1"/>
  <c r="AV1810" i="1"/>
  <c r="AW1809" i="1"/>
  <c r="AV1809" i="1"/>
  <c r="AW1808" i="1"/>
  <c r="AV1808" i="1"/>
  <c r="AW1807" i="1"/>
  <c r="AV1807" i="1"/>
  <c r="AW1806" i="1"/>
  <c r="AV1806" i="1"/>
  <c r="AW1805" i="1"/>
  <c r="AV1805" i="1"/>
  <c r="AW1804" i="1"/>
  <c r="AV1804" i="1"/>
  <c r="AW1803" i="1"/>
  <c r="AV1803" i="1"/>
  <c r="AW1802" i="1"/>
  <c r="AV1802" i="1"/>
  <c r="AW1801" i="1"/>
  <c r="AV1801" i="1"/>
  <c r="AW1800" i="1"/>
  <c r="AV1800" i="1"/>
  <c r="AU1800" i="1"/>
  <c r="AW1799" i="1"/>
  <c r="AV1799" i="1"/>
  <c r="AW1798" i="1"/>
  <c r="AV1798" i="1"/>
  <c r="AW1797" i="1"/>
  <c r="AV1797" i="1"/>
  <c r="AW1796" i="1"/>
  <c r="AV1796" i="1"/>
  <c r="AW1795" i="1"/>
  <c r="AV1795" i="1"/>
  <c r="AW1794" i="1"/>
  <c r="AV1794" i="1"/>
  <c r="AW1793" i="1"/>
  <c r="AV1793" i="1"/>
  <c r="AW1792" i="1"/>
  <c r="AV1792" i="1"/>
  <c r="AW1791" i="1"/>
  <c r="AV1791" i="1"/>
  <c r="AW1790" i="1"/>
  <c r="AV1790" i="1"/>
  <c r="AU1790" i="1"/>
  <c r="AW1789" i="1"/>
  <c r="AV1789" i="1"/>
  <c r="AW1788" i="1"/>
  <c r="AV1788" i="1"/>
  <c r="AW1787" i="1"/>
  <c r="AV1787" i="1"/>
  <c r="AW1786" i="1"/>
  <c r="AV1786" i="1"/>
  <c r="AW1785" i="1"/>
  <c r="AV1785" i="1"/>
  <c r="AW1784" i="1"/>
  <c r="AV1784" i="1"/>
  <c r="AW1783" i="1"/>
  <c r="AV1783" i="1"/>
  <c r="AW1782" i="1"/>
  <c r="AV1782" i="1"/>
  <c r="AU1782" i="1"/>
  <c r="AW1781" i="1"/>
  <c r="AV1781" i="1"/>
  <c r="AU1781" i="1"/>
  <c r="AW1780" i="1"/>
  <c r="AV1780" i="1"/>
  <c r="AW1779" i="1"/>
  <c r="AV1779" i="1"/>
  <c r="AW1778" i="1"/>
  <c r="AV1778" i="1"/>
  <c r="AW1777" i="1"/>
  <c r="AV1777" i="1"/>
  <c r="AW1776" i="1"/>
  <c r="AV1776" i="1"/>
  <c r="AU1776" i="1"/>
  <c r="AW1775" i="1"/>
  <c r="AV1775" i="1"/>
  <c r="AW1774" i="1"/>
  <c r="AV1774" i="1"/>
  <c r="AW1773" i="1"/>
  <c r="AV1773" i="1"/>
  <c r="AW1772" i="1"/>
  <c r="AV1772" i="1"/>
  <c r="AW1771" i="1"/>
  <c r="AV1771" i="1"/>
  <c r="AU1771" i="1"/>
  <c r="AW1770" i="1"/>
  <c r="AV1770" i="1"/>
  <c r="AW1769" i="1"/>
  <c r="AV1769" i="1"/>
  <c r="AU1769" i="1"/>
  <c r="AW1768" i="1"/>
  <c r="AV1768" i="1"/>
  <c r="AW1767" i="1"/>
  <c r="AV1767" i="1"/>
  <c r="AW1766" i="1"/>
  <c r="AV1766" i="1"/>
  <c r="AU1766" i="1"/>
  <c r="AW1765" i="1"/>
  <c r="AV1765" i="1"/>
  <c r="AW1764" i="1"/>
  <c r="AV1764" i="1"/>
  <c r="AW1763" i="1"/>
  <c r="AV1763" i="1"/>
  <c r="AW1762" i="1"/>
  <c r="AV1762" i="1"/>
  <c r="AW1761" i="1"/>
  <c r="AV1761" i="1"/>
  <c r="AW1760" i="1"/>
  <c r="AV1760" i="1"/>
  <c r="AW1759" i="1"/>
  <c r="AV1759" i="1"/>
  <c r="AW1758" i="1"/>
  <c r="AV1758" i="1"/>
  <c r="AW1757" i="1"/>
  <c r="AV1757" i="1"/>
  <c r="AW1756" i="1"/>
  <c r="AV1756" i="1"/>
  <c r="AW1755" i="1"/>
  <c r="AV1755" i="1"/>
  <c r="AW1754" i="1"/>
  <c r="AV1754" i="1"/>
  <c r="AW1753" i="1"/>
  <c r="AV1753" i="1"/>
  <c r="AU1753" i="1"/>
  <c r="AW1752" i="1"/>
  <c r="AV1752" i="1"/>
  <c r="AW1751" i="1"/>
  <c r="AV1751" i="1"/>
  <c r="AW1750" i="1"/>
  <c r="AV1750" i="1"/>
  <c r="AW1749" i="1"/>
  <c r="AV1749" i="1"/>
  <c r="AU1749" i="1"/>
  <c r="AW1748" i="1"/>
  <c r="AV1748" i="1"/>
  <c r="AW1747" i="1"/>
  <c r="AV1747" i="1"/>
  <c r="AW1746" i="1"/>
  <c r="AV1746" i="1"/>
  <c r="AU1746" i="1"/>
  <c r="AW1745" i="1"/>
  <c r="AV1745" i="1"/>
  <c r="AW1744" i="1"/>
  <c r="AV1744" i="1"/>
  <c r="AW1743" i="1"/>
  <c r="AV1743" i="1"/>
  <c r="AW1742" i="1"/>
  <c r="AV1742" i="1"/>
  <c r="AW1741" i="1"/>
  <c r="AV1741" i="1"/>
  <c r="AW1740" i="1"/>
  <c r="AV1740" i="1"/>
  <c r="AW1739" i="1"/>
  <c r="AV1739" i="1"/>
  <c r="AW1738" i="1"/>
  <c r="AV1738" i="1"/>
  <c r="AW1737" i="1"/>
  <c r="AV1737" i="1"/>
  <c r="AW1736" i="1"/>
  <c r="AV1736" i="1"/>
  <c r="AW1735" i="1"/>
  <c r="AV1735" i="1"/>
  <c r="AW1734" i="1"/>
  <c r="AV1734" i="1"/>
  <c r="AW1733" i="1"/>
  <c r="AV1733" i="1"/>
  <c r="AW1732" i="1"/>
  <c r="AV1732" i="1"/>
  <c r="AW1731" i="1"/>
  <c r="AV1731" i="1"/>
  <c r="AW1730" i="1"/>
  <c r="AV1730" i="1"/>
  <c r="AW1729" i="1"/>
  <c r="AV1729" i="1"/>
  <c r="AU1729" i="1"/>
  <c r="AW1728" i="1"/>
  <c r="AV1728" i="1"/>
  <c r="AW1727" i="1"/>
  <c r="AV1727" i="1"/>
  <c r="AW1726" i="1"/>
  <c r="AV1726" i="1"/>
  <c r="AW1725" i="1"/>
  <c r="AV1725" i="1"/>
  <c r="AW1724" i="1"/>
  <c r="AV1724" i="1"/>
  <c r="AW1723" i="1"/>
  <c r="AV1723" i="1"/>
  <c r="AW1722" i="1"/>
  <c r="AV1722" i="1"/>
  <c r="AW1721" i="1"/>
  <c r="AV1721" i="1"/>
  <c r="AW1720" i="1"/>
  <c r="AV1720" i="1"/>
  <c r="AW1719" i="1"/>
  <c r="AV1719" i="1"/>
  <c r="AW1718" i="1"/>
  <c r="AV1718" i="1"/>
  <c r="AW1717" i="1"/>
  <c r="AV1717" i="1"/>
  <c r="AW1716" i="1"/>
  <c r="AV1716" i="1"/>
  <c r="AW1715" i="1"/>
  <c r="AV1715" i="1"/>
  <c r="AW1714" i="1"/>
  <c r="AV1714" i="1"/>
  <c r="AW1713" i="1"/>
  <c r="AV1713" i="1"/>
  <c r="AW1712" i="1"/>
  <c r="AV1712" i="1"/>
  <c r="AU1712" i="1"/>
  <c r="AW1711" i="1"/>
  <c r="AV1711" i="1"/>
  <c r="AW1710" i="1"/>
  <c r="AV1710" i="1"/>
  <c r="AW1709" i="1"/>
  <c r="AV1709" i="1"/>
  <c r="AW1708" i="1"/>
  <c r="AV1708" i="1"/>
  <c r="AW1707" i="1"/>
  <c r="AV1707" i="1"/>
  <c r="AW1706" i="1"/>
  <c r="AV1706" i="1"/>
  <c r="AW1705" i="1"/>
  <c r="AV1705" i="1"/>
  <c r="AW1704" i="1"/>
  <c r="AV1704" i="1"/>
  <c r="AW1703" i="1"/>
  <c r="AV1703" i="1"/>
  <c r="AW1702" i="1"/>
  <c r="AV1702" i="1"/>
  <c r="AW1701" i="1"/>
  <c r="AV1701" i="1"/>
  <c r="AW1700" i="1"/>
  <c r="AV1700" i="1"/>
  <c r="AW1699" i="1"/>
  <c r="AV1699" i="1"/>
  <c r="AU1699" i="1"/>
  <c r="AW1698" i="1"/>
  <c r="AV1698" i="1"/>
  <c r="AW1697" i="1"/>
  <c r="AV1697" i="1"/>
  <c r="AU1697" i="1"/>
  <c r="AW1696" i="1"/>
  <c r="AV1696" i="1"/>
  <c r="AW1695" i="1"/>
  <c r="AV1695" i="1"/>
  <c r="AW1694" i="1"/>
  <c r="AV1694" i="1"/>
  <c r="AW1693" i="1"/>
  <c r="AV1693" i="1"/>
  <c r="AW1692" i="1"/>
  <c r="AV1692" i="1"/>
  <c r="AW1691" i="1"/>
  <c r="AV1691" i="1"/>
  <c r="AW1690" i="1"/>
  <c r="AV1690" i="1"/>
  <c r="AW1689" i="1"/>
  <c r="AV1689" i="1"/>
  <c r="AW1688" i="1"/>
  <c r="AV1688" i="1"/>
  <c r="AW1687" i="1"/>
  <c r="AV1687" i="1"/>
  <c r="AW1686" i="1"/>
  <c r="AV1686" i="1"/>
  <c r="AW1685" i="1"/>
  <c r="AV1685" i="1"/>
  <c r="AW1684" i="1"/>
  <c r="AV1684" i="1"/>
  <c r="AW1683" i="1"/>
  <c r="AV1683" i="1"/>
  <c r="AW1682" i="1"/>
  <c r="AV1682" i="1"/>
  <c r="AW1681" i="1"/>
  <c r="AV1681" i="1"/>
  <c r="AW1680" i="1"/>
  <c r="AV1680" i="1"/>
  <c r="AW1679" i="1"/>
  <c r="AV1679" i="1"/>
  <c r="AU1679" i="1"/>
  <c r="AW1678" i="1"/>
  <c r="AV1678" i="1"/>
  <c r="AU1678" i="1"/>
  <c r="AW1677" i="1"/>
  <c r="AV1677" i="1"/>
  <c r="AW1676" i="1"/>
  <c r="AV1676" i="1"/>
  <c r="AU1676" i="1"/>
  <c r="AW1675" i="1"/>
  <c r="AV1675" i="1"/>
  <c r="AU1675" i="1"/>
  <c r="AW1674" i="1"/>
  <c r="AV1674" i="1"/>
  <c r="AU1674" i="1"/>
  <c r="AW1673" i="1"/>
  <c r="AV1673" i="1"/>
  <c r="AU1673" i="1"/>
  <c r="AW1672" i="1"/>
  <c r="AV1672" i="1"/>
  <c r="AU1672" i="1"/>
  <c r="AW1671" i="1"/>
  <c r="AV1671" i="1"/>
  <c r="AW1670" i="1"/>
  <c r="AV1670" i="1"/>
  <c r="AW1669" i="1"/>
  <c r="AV1669" i="1"/>
  <c r="AU1669" i="1"/>
  <c r="AW1668" i="1"/>
  <c r="AV1668" i="1"/>
  <c r="AW1667" i="1"/>
  <c r="AV1667" i="1"/>
  <c r="AW1666" i="1"/>
  <c r="AV1666" i="1"/>
  <c r="AU1666" i="1"/>
  <c r="AW1665" i="1"/>
  <c r="AV1665" i="1"/>
  <c r="AW1664" i="1"/>
  <c r="AV1664" i="1"/>
  <c r="AW1663" i="1"/>
  <c r="AV1663" i="1"/>
  <c r="AW1662" i="1"/>
  <c r="AV1662" i="1"/>
  <c r="AW1661" i="1"/>
  <c r="AV1661" i="1"/>
  <c r="AW1660" i="1"/>
  <c r="AV1660" i="1"/>
  <c r="AU1660" i="1"/>
  <c r="AW1659" i="1"/>
  <c r="AV1659" i="1"/>
  <c r="AU1659" i="1"/>
  <c r="AW1658" i="1"/>
  <c r="AV1658" i="1"/>
  <c r="AU1658" i="1"/>
  <c r="AW1657" i="1"/>
  <c r="AV1657" i="1"/>
  <c r="AW1656" i="1"/>
  <c r="AV1656" i="1"/>
  <c r="AU1656" i="1"/>
  <c r="AW1655" i="1"/>
  <c r="AV1655" i="1"/>
  <c r="AW1654" i="1"/>
  <c r="AV1654" i="1"/>
  <c r="AW1653" i="1"/>
  <c r="AV1653" i="1"/>
  <c r="AU1653" i="1"/>
  <c r="AW1652" i="1"/>
  <c r="AV1652" i="1"/>
  <c r="AU1652" i="1"/>
  <c r="AW1651" i="1"/>
  <c r="AV1651" i="1"/>
  <c r="AW1650" i="1"/>
  <c r="AV1650" i="1"/>
  <c r="AW1649" i="1"/>
  <c r="AV1649" i="1"/>
  <c r="AW1648" i="1"/>
  <c r="AV1648" i="1"/>
  <c r="AW1647" i="1"/>
  <c r="AV1647" i="1"/>
  <c r="AW1646" i="1"/>
  <c r="AV1646" i="1"/>
  <c r="AU1646" i="1"/>
  <c r="AW1645" i="1"/>
  <c r="AV1645" i="1"/>
  <c r="AW1644" i="1"/>
  <c r="AV1644" i="1"/>
  <c r="AW1643" i="1"/>
  <c r="AV1643" i="1"/>
  <c r="AW1642" i="1"/>
  <c r="AV1642" i="1"/>
  <c r="AW1641" i="1"/>
  <c r="AV1641" i="1"/>
  <c r="AU1641" i="1"/>
  <c r="AW1640" i="1"/>
  <c r="AV1640" i="1"/>
  <c r="AU1640" i="1"/>
  <c r="AW1639" i="1"/>
  <c r="AV1639" i="1"/>
  <c r="AW1638" i="1"/>
  <c r="AV1638" i="1"/>
  <c r="AW1637" i="1"/>
  <c r="AV1637" i="1"/>
  <c r="AW1636" i="1"/>
  <c r="AV1636" i="1"/>
  <c r="AW1635" i="1"/>
  <c r="AV1635" i="1"/>
  <c r="AW1634" i="1"/>
  <c r="AV1634" i="1"/>
  <c r="AU1634" i="1"/>
  <c r="AW1633" i="1"/>
  <c r="AV1633" i="1"/>
  <c r="AW1632" i="1"/>
  <c r="AV1632" i="1"/>
  <c r="AW1631" i="1"/>
  <c r="AV1631" i="1"/>
  <c r="AW1630" i="1"/>
  <c r="AV1630" i="1"/>
  <c r="AW1629" i="1"/>
  <c r="AV1629" i="1"/>
  <c r="AW1628" i="1"/>
  <c r="AV1628" i="1"/>
  <c r="AU1628" i="1"/>
  <c r="AW1627" i="1"/>
  <c r="AV1627" i="1"/>
  <c r="AW1626" i="1"/>
  <c r="AV1626" i="1"/>
  <c r="AU1626" i="1"/>
  <c r="AW1625" i="1"/>
  <c r="AV1625" i="1"/>
  <c r="AU1625" i="1"/>
  <c r="AW1624" i="1"/>
  <c r="AV1624" i="1"/>
  <c r="AW1623" i="1"/>
  <c r="AV1623" i="1"/>
  <c r="AW1622" i="1"/>
  <c r="AV1622" i="1"/>
  <c r="AW1621" i="1"/>
  <c r="AV1621" i="1"/>
  <c r="AW1620" i="1"/>
  <c r="AV1620" i="1"/>
  <c r="AW1619" i="1"/>
  <c r="AV1619" i="1"/>
  <c r="AW1618" i="1"/>
  <c r="AV1618" i="1"/>
  <c r="AW1617" i="1"/>
  <c r="AV1617" i="1"/>
  <c r="AW1616" i="1"/>
  <c r="AV1616" i="1"/>
  <c r="AW1615" i="1"/>
  <c r="AV1615" i="1"/>
  <c r="AW1614" i="1"/>
  <c r="AV1614" i="1"/>
  <c r="AW1613" i="1"/>
  <c r="AV1613" i="1"/>
  <c r="AW1612" i="1"/>
  <c r="AV1612" i="1"/>
  <c r="AW1611" i="1"/>
  <c r="AV1611" i="1"/>
  <c r="AW1610" i="1"/>
  <c r="AV1610" i="1"/>
  <c r="AW1609" i="1"/>
  <c r="AV1609" i="1"/>
  <c r="AW1608" i="1"/>
  <c r="AV1608" i="1"/>
  <c r="AW1607" i="1"/>
  <c r="AV1607" i="1"/>
  <c r="AW1606" i="1"/>
  <c r="AV1606" i="1"/>
  <c r="AW1605" i="1"/>
  <c r="AV1605" i="1"/>
  <c r="AW1604" i="1"/>
  <c r="AV1604" i="1"/>
  <c r="AW1603" i="1"/>
  <c r="AV1603" i="1"/>
  <c r="AW1602" i="1"/>
  <c r="AV1602" i="1"/>
  <c r="AW1601" i="1"/>
  <c r="AV1601" i="1"/>
  <c r="AW1600" i="1"/>
  <c r="AV1600" i="1"/>
  <c r="AW1599" i="1"/>
  <c r="AV1599" i="1"/>
  <c r="AW1598" i="1"/>
  <c r="AV1598" i="1"/>
  <c r="AW1597" i="1"/>
  <c r="AV1597" i="1"/>
  <c r="AW1596" i="1"/>
  <c r="AV1596" i="1"/>
  <c r="AW1595" i="1"/>
  <c r="AV1595" i="1"/>
  <c r="AW1594" i="1"/>
  <c r="AV1594" i="1"/>
  <c r="AW1593" i="1"/>
  <c r="AV1593" i="1"/>
  <c r="AW1592" i="1"/>
  <c r="AV1592" i="1"/>
  <c r="AW1591" i="1"/>
  <c r="AV1591" i="1"/>
  <c r="AW1590" i="1"/>
  <c r="AV1590" i="1"/>
  <c r="AW1589" i="1"/>
  <c r="AV1589" i="1"/>
  <c r="AW1588" i="1"/>
  <c r="AV1588" i="1"/>
  <c r="AW1587" i="1"/>
  <c r="AV1587" i="1"/>
  <c r="AW1586" i="1"/>
  <c r="AV1586" i="1"/>
  <c r="AW1585" i="1"/>
  <c r="AV1585" i="1"/>
  <c r="AW1584" i="1"/>
  <c r="AV1584" i="1"/>
  <c r="AW1583" i="1"/>
  <c r="AV1583" i="1"/>
  <c r="AW1582" i="1"/>
  <c r="AV1582" i="1"/>
  <c r="AW1581" i="1"/>
  <c r="AV1581" i="1"/>
  <c r="AW1580" i="1"/>
  <c r="AV1580" i="1"/>
  <c r="AW1579" i="1"/>
  <c r="AV1579" i="1"/>
  <c r="AW1578" i="1"/>
  <c r="AV1578" i="1"/>
  <c r="AW1577" i="1"/>
  <c r="AV1577" i="1"/>
  <c r="AW1576" i="1"/>
  <c r="AV1576" i="1"/>
  <c r="AW1575" i="1"/>
  <c r="AV1575" i="1"/>
  <c r="AU1575" i="1"/>
  <c r="AW1574" i="1"/>
  <c r="AV1574" i="1"/>
  <c r="AU1574" i="1"/>
  <c r="AW1573" i="1"/>
  <c r="AV1573" i="1"/>
  <c r="AU1573" i="1"/>
  <c r="AW1572" i="1"/>
  <c r="AV1572" i="1"/>
  <c r="AW1571" i="1"/>
  <c r="AV1571" i="1"/>
  <c r="AW1570" i="1"/>
  <c r="AV1570" i="1"/>
  <c r="AU1570" i="1"/>
  <c r="AW1569" i="1"/>
  <c r="AV1569" i="1"/>
  <c r="AU1569" i="1"/>
  <c r="AW1568" i="1"/>
  <c r="AV1568" i="1"/>
  <c r="AU1568" i="1"/>
  <c r="AW1567" i="1"/>
  <c r="AV1567" i="1"/>
  <c r="AU1567" i="1"/>
  <c r="AW1566" i="1"/>
  <c r="AV1566" i="1"/>
  <c r="AU1566" i="1"/>
  <c r="AW1565" i="1"/>
  <c r="AV1565" i="1"/>
  <c r="AU1565" i="1"/>
  <c r="AW1564" i="1"/>
  <c r="AV1564" i="1"/>
  <c r="AW1563" i="1"/>
  <c r="AV1563" i="1"/>
  <c r="AU1563" i="1"/>
  <c r="AW1562" i="1"/>
  <c r="AV1562" i="1"/>
  <c r="AU1562" i="1"/>
  <c r="AW1561" i="1"/>
  <c r="AV1561" i="1"/>
  <c r="AW1560" i="1"/>
  <c r="AV1560" i="1"/>
  <c r="AW1559" i="1"/>
  <c r="AV1559" i="1"/>
  <c r="AU1559" i="1"/>
  <c r="AW1558" i="1"/>
  <c r="AV1558" i="1"/>
  <c r="AU1558" i="1"/>
  <c r="AW1557" i="1"/>
  <c r="AV1557" i="1"/>
  <c r="AW1556" i="1"/>
  <c r="AV1556" i="1"/>
  <c r="AW1555" i="1"/>
  <c r="AV1555" i="1"/>
  <c r="AW1554" i="1"/>
  <c r="AV1554" i="1"/>
  <c r="AU1554" i="1"/>
  <c r="AW1553" i="1"/>
  <c r="AV1553" i="1"/>
  <c r="AW1552" i="1"/>
  <c r="AV1552" i="1"/>
  <c r="AU1552" i="1"/>
  <c r="AW1551" i="1"/>
  <c r="AV1551" i="1"/>
  <c r="AU1551" i="1"/>
  <c r="AW1550" i="1"/>
  <c r="AV1550" i="1"/>
  <c r="AU1550" i="1"/>
  <c r="AW1549" i="1"/>
  <c r="AV1549" i="1"/>
  <c r="AU1549" i="1"/>
  <c r="AW1548" i="1"/>
  <c r="AV1548" i="1"/>
  <c r="AU1548" i="1"/>
  <c r="AW1547" i="1"/>
  <c r="AV1547" i="1"/>
  <c r="AU1547" i="1"/>
  <c r="AW1546" i="1"/>
  <c r="AV1546" i="1"/>
  <c r="AU1546" i="1"/>
  <c r="AW1545" i="1"/>
  <c r="AV1545" i="1"/>
  <c r="AU1545" i="1"/>
  <c r="AW1544" i="1"/>
  <c r="AV1544" i="1"/>
  <c r="AU1544" i="1"/>
  <c r="AW1543" i="1"/>
  <c r="AV1543" i="1"/>
  <c r="AU1543" i="1"/>
  <c r="AW1542" i="1"/>
  <c r="AV1542" i="1"/>
  <c r="AU1542" i="1"/>
  <c r="AW1541" i="1"/>
  <c r="AV1541" i="1"/>
  <c r="AW1540" i="1"/>
  <c r="AV1540" i="1"/>
  <c r="AU1540" i="1"/>
  <c r="AW1539" i="1"/>
  <c r="AV1539" i="1"/>
  <c r="AU1539" i="1"/>
  <c r="AW1538" i="1"/>
  <c r="AV1538" i="1"/>
  <c r="AW1537" i="1"/>
  <c r="AV1537" i="1"/>
  <c r="AW1536" i="1"/>
  <c r="AV1536" i="1"/>
  <c r="AW1535" i="1"/>
  <c r="AV1535" i="1"/>
  <c r="AU1535" i="1"/>
  <c r="AW1534" i="1"/>
  <c r="AV1534" i="1"/>
  <c r="AU1534" i="1"/>
  <c r="AW1533" i="1"/>
  <c r="AV1533" i="1"/>
  <c r="AU1533" i="1"/>
  <c r="AW1532" i="1"/>
  <c r="AV1532" i="1"/>
  <c r="AU1532" i="1"/>
  <c r="AW1531" i="1"/>
  <c r="AV1531" i="1"/>
  <c r="AU1531" i="1"/>
  <c r="AW1530" i="1"/>
  <c r="AV1530" i="1"/>
  <c r="AW1529" i="1"/>
  <c r="AV1529" i="1"/>
  <c r="AU1529" i="1"/>
  <c r="AW1528" i="1"/>
  <c r="AV1528" i="1"/>
  <c r="AU1528" i="1"/>
  <c r="AW1527" i="1"/>
  <c r="AV1527" i="1"/>
  <c r="AU1527" i="1"/>
  <c r="AW1526" i="1"/>
  <c r="AV1526" i="1"/>
  <c r="AW1525" i="1"/>
  <c r="AV1525" i="1"/>
  <c r="AW1524" i="1"/>
  <c r="AV1524" i="1"/>
  <c r="AU1524" i="1"/>
  <c r="AW1523" i="1"/>
  <c r="AV1523" i="1"/>
  <c r="AU1523" i="1"/>
  <c r="AW1522" i="1"/>
  <c r="AV1522" i="1"/>
  <c r="AU1522" i="1"/>
  <c r="AW1521" i="1"/>
  <c r="AV1521" i="1"/>
  <c r="AU1521" i="1"/>
  <c r="AW1520" i="1"/>
  <c r="AV1520" i="1"/>
  <c r="AU1520" i="1"/>
  <c r="AW1519" i="1"/>
  <c r="AV1519" i="1"/>
  <c r="AW1518" i="1"/>
  <c r="AV1518" i="1"/>
  <c r="AW1517" i="1"/>
  <c r="AV1517" i="1"/>
  <c r="AW1516" i="1"/>
  <c r="AV1516" i="1"/>
  <c r="AW1515" i="1"/>
  <c r="AV1515" i="1"/>
  <c r="AW1514" i="1"/>
  <c r="AV1514" i="1"/>
  <c r="AW1513" i="1"/>
  <c r="AV1513" i="1"/>
  <c r="AW1512" i="1"/>
  <c r="AV1512" i="1"/>
  <c r="AW1511" i="1"/>
  <c r="AV1511" i="1"/>
  <c r="AU1511" i="1"/>
  <c r="AW1510" i="1"/>
  <c r="AV1510" i="1"/>
  <c r="AU1510" i="1"/>
  <c r="AW1509" i="1"/>
  <c r="AV1509" i="1"/>
  <c r="AU1509" i="1"/>
  <c r="AW1508" i="1"/>
  <c r="AV1508" i="1"/>
  <c r="AU1508" i="1"/>
  <c r="AW1507" i="1"/>
  <c r="AV1507" i="1"/>
  <c r="AU1507" i="1"/>
  <c r="AW1506" i="1"/>
  <c r="AV1506" i="1"/>
  <c r="AU1506" i="1"/>
  <c r="AW1505" i="1"/>
  <c r="AV1505" i="1"/>
  <c r="AW1504" i="1"/>
  <c r="AV1504" i="1"/>
  <c r="AW1503" i="1"/>
  <c r="AV1503" i="1"/>
  <c r="AW1502" i="1"/>
  <c r="AV1502" i="1"/>
  <c r="AU1502" i="1"/>
  <c r="AW1501" i="1"/>
  <c r="AV1501" i="1"/>
  <c r="AW1500" i="1"/>
  <c r="AV1500" i="1"/>
  <c r="AW1499" i="1"/>
  <c r="AV1499" i="1"/>
  <c r="AW1498" i="1"/>
  <c r="AV1498" i="1"/>
  <c r="AW1497" i="1"/>
  <c r="AV1497" i="1"/>
  <c r="AW1496" i="1"/>
  <c r="AV1496" i="1"/>
  <c r="AW1495" i="1"/>
  <c r="AV1495" i="1"/>
  <c r="AW1494" i="1"/>
  <c r="AV1494" i="1"/>
  <c r="AU1494" i="1"/>
  <c r="AW1493" i="1"/>
  <c r="AV1493" i="1"/>
  <c r="AU1493" i="1"/>
  <c r="AW1492" i="1"/>
  <c r="AV1492" i="1"/>
  <c r="AU1492" i="1"/>
  <c r="AW1491" i="1"/>
  <c r="AV1491" i="1"/>
  <c r="AW1490" i="1"/>
  <c r="AV1490" i="1"/>
  <c r="AW1489" i="1"/>
  <c r="AV1489" i="1"/>
  <c r="AU1489" i="1"/>
  <c r="AW1488" i="1"/>
  <c r="AV1488" i="1"/>
  <c r="AW1487" i="1"/>
  <c r="AV1487" i="1"/>
  <c r="AU1487" i="1"/>
  <c r="AW1486" i="1"/>
  <c r="AV1486" i="1"/>
  <c r="AW1485" i="1"/>
  <c r="AV1485" i="1"/>
  <c r="AU1485" i="1"/>
  <c r="AW1484" i="1"/>
  <c r="AV1484" i="1"/>
  <c r="AW1483" i="1"/>
  <c r="AV1483" i="1"/>
  <c r="AW1482" i="1"/>
  <c r="AV1482" i="1"/>
  <c r="AU1482" i="1"/>
  <c r="AW1481" i="1"/>
  <c r="AV1481" i="1"/>
  <c r="AW1480" i="1"/>
  <c r="AV1480" i="1"/>
  <c r="AW1479" i="1"/>
  <c r="AV1479" i="1"/>
  <c r="AW1478" i="1"/>
  <c r="AV1478" i="1"/>
  <c r="AW1477" i="1"/>
  <c r="AV1477" i="1"/>
  <c r="AW1476" i="1"/>
  <c r="AV1476" i="1"/>
  <c r="AW1475" i="1"/>
  <c r="AV1475" i="1"/>
  <c r="AW1474" i="1"/>
  <c r="AV1474" i="1"/>
  <c r="AW1473" i="1"/>
  <c r="AV1473" i="1"/>
  <c r="AU1473" i="1"/>
  <c r="AW1472" i="1"/>
  <c r="AV1472" i="1"/>
  <c r="AU1472" i="1"/>
  <c r="AW1471" i="1"/>
  <c r="AV1471" i="1"/>
  <c r="AW1470" i="1"/>
  <c r="AV1470" i="1"/>
  <c r="AU1470" i="1"/>
  <c r="AW1469" i="1"/>
  <c r="AV1469" i="1"/>
  <c r="AW1468" i="1"/>
  <c r="AV1468" i="1"/>
  <c r="AU1468" i="1"/>
  <c r="AW1467" i="1"/>
  <c r="AV1467" i="1"/>
  <c r="AW1466" i="1"/>
  <c r="AV1466" i="1"/>
  <c r="AW1465" i="1"/>
  <c r="AV1465" i="1"/>
  <c r="AW1464" i="1"/>
  <c r="AV1464" i="1"/>
  <c r="AW1463" i="1"/>
  <c r="AV1463" i="1"/>
  <c r="AW1462" i="1"/>
  <c r="AV1462" i="1"/>
  <c r="AW1461" i="1"/>
  <c r="AV1461" i="1"/>
  <c r="AW1460" i="1"/>
  <c r="AV1460" i="1"/>
  <c r="AW1459" i="1"/>
  <c r="AV1459" i="1"/>
  <c r="AW1458" i="1"/>
  <c r="AV1458" i="1"/>
  <c r="AW1457" i="1"/>
  <c r="AV1457" i="1"/>
  <c r="AW1456" i="1"/>
  <c r="AV1456" i="1"/>
  <c r="AW1455" i="1"/>
  <c r="AV1455" i="1"/>
  <c r="AW1454" i="1"/>
  <c r="AV1454" i="1"/>
  <c r="AU1454" i="1"/>
  <c r="AW1453" i="1"/>
  <c r="AV1453" i="1"/>
  <c r="AW1452" i="1"/>
  <c r="AV1452" i="1"/>
  <c r="AW1451" i="1"/>
  <c r="AV1451" i="1"/>
  <c r="AW1450" i="1"/>
  <c r="AV1450" i="1"/>
  <c r="AW1449" i="1"/>
  <c r="AV1449" i="1"/>
  <c r="AW1448" i="1"/>
  <c r="AV1448" i="1"/>
  <c r="AU1448" i="1"/>
  <c r="AW1447" i="1"/>
  <c r="AV1447" i="1"/>
  <c r="AW1446" i="1"/>
  <c r="AV1446" i="1"/>
  <c r="AW1445" i="1"/>
  <c r="AV1445" i="1"/>
  <c r="AU1445" i="1"/>
  <c r="AW1444" i="1"/>
  <c r="AV1444" i="1"/>
  <c r="AU1444" i="1"/>
  <c r="AW1443" i="1"/>
  <c r="AV1443" i="1"/>
  <c r="AU1443" i="1"/>
  <c r="AW1442" i="1"/>
  <c r="AV1442" i="1"/>
  <c r="AW1441" i="1"/>
  <c r="AV1441" i="1"/>
  <c r="AW1440" i="1"/>
  <c r="AV1440" i="1"/>
  <c r="AW1439" i="1"/>
  <c r="AV1439" i="1"/>
  <c r="AW1438" i="1"/>
  <c r="AV1438" i="1"/>
  <c r="AW1437" i="1"/>
  <c r="AV1437" i="1"/>
  <c r="AW1436" i="1"/>
  <c r="AV1436" i="1"/>
  <c r="AW1435" i="1"/>
  <c r="AV1435" i="1"/>
  <c r="AW1434" i="1"/>
  <c r="AV1434" i="1"/>
  <c r="AW1433" i="1"/>
  <c r="AV1433" i="1"/>
  <c r="AW1432" i="1"/>
  <c r="AV1432" i="1"/>
  <c r="AW1431" i="1"/>
  <c r="AV1431" i="1"/>
  <c r="AW1430" i="1"/>
  <c r="AV1430" i="1"/>
  <c r="AU1430" i="1"/>
  <c r="AW1429" i="1"/>
  <c r="AV1429" i="1"/>
  <c r="AW1428" i="1"/>
  <c r="AV1428" i="1"/>
  <c r="AW1427" i="1"/>
  <c r="AV1427" i="1"/>
  <c r="AW1426" i="1"/>
  <c r="AV1426" i="1"/>
  <c r="AW1425" i="1"/>
  <c r="AV1425" i="1"/>
  <c r="AU1425" i="1"/>
  <c r="AW1424" i="1"/>
  <c r="AV1424" i="1"/>
  <c r="AW1423" i="1"/>
  <c r="AV1423" i="1"/>
  <c r="AW1422" i="1"/>
  <c r="AV1422" i="1"/>
  <c r="AU1422" i="1"/>
  <c r="AW1421" i="1"/>
  <c r="AV1421" i="1"/>
  <c r="AU1421" i="1"/>
  <c r="AW1420" i="1"/>
  <c r="AV1420" i="1"/>
  <c r="AW1419" i="1"/>
  <c r="AV1419" i="1"/>
  <c r="AW1418" i="1"/>
  <c r="AV1418" i="1"/>
  <c r="AW1417" i="1"/>
  <c r="AV1417" i="1"/>
  <c r="AW1416" i="1"/>
  <c r="AV1416" i="1"/>
  <c r="AW1415" i="1"/>
  <c r="AV1415" i="1"/>
  <c r="AW1414" i="1"/>
  <c r="AV1414" i="1"/>
  <c r="AW1413" i="1"/>
  <c r="AV1413" i="1"/>
  <c r="AU1413" i="1"/>
  <c r="AW1412" i="1"/>
  <c r="AV1412" i="1"/>
  <c r="AW1411" i="1"/>
  <c r="AV1411" i="1"/>
  <c r="AW1410" i="1"/>
  <c r="AV1410" i="1"/>
  <c r="AW1409" i="1"/>
  <c r="AV1409" i="1"/>
  <c r="AW1408" i="1"/>
  <c r="AV1408" i="1"/>
  <c r="AW1407" i="1"/>
  <c r="AV1407" i="1"/>
  <c r="AW1406" i="1"/>
  <c r="AV1406" i="1"/>
  <c r="AW1405" i="1"/>
  <c r="AV1405" i="1"/>
  <c r="AW1404" i="1"/>
  <c r="AV1404" i="1"/>
  <c r="AW1403" i="1"/>
  <c r="AV1403" i="1"/>
  <c r="AU1403" i="1"/>
  <c r="AW1402" i="1"/>
  <c r="AV1402" i="1"/>
  <c r="AU1402" i="1"/>
  <c r="AW1401" i="1"/>
  <c r="AV1401" i="1"/>
  <c r="AU1401" i="1"/>
  <c r="AW1400" i="1"/>
  <c r="AV1400" i="1"/>
  <c r="AU1400" i="1"/>
  <c r="AW1399" i="1"/>
  <c r="AV1399" i="1"/>
  <c r="AW1398" i="1"/>
  <c r="AV1398" i="1"/>
  <c r="AU1398" i="1"/>
  <c r="AW1397" i="1"/>
  <c r="AV1397" i="1"/>
  <c r="AW1396" i="1"/>
  <c r="AV1396" i="1"/>
  <c r="AW1395" i="1"/>
  <c r="AV1395" i="1"/>
  <c r="AU1395" i="1"/>
  <c r="AW1394" i="1"/>
  <c r="AV1394" i="1"/>
  <c r="AW1393" i="1"/>
  <c r="AV1393" i="1"/>
  <c r="AU1393" i="1"/>
  <c r="AW1392" i="1"/>
  <c r="AV1392" i="1"/>
  <c r="AU1392" i="1"/>
  <c r="AW1391" i="1"/>
  <c r="AV1391" i="1"/>
  <c r="AW1390" i="1"/>
  <c r="AV1390" i="1"/>
  <c r="AU1390" i="1"/>
  <c r="AW1389" i="1"/>
  <c r="AV1389" i="1"/>
  <c r="AU1389" i="1"/>
  <c r="AW1388" i="1"/>
  <c r="AV1388" i="1"/>
  <c r="AU1388" i="1"/>
  <c r="AW1387" i="1"/>
  <c r="AV1387" i="1"/>
  <c r="AU1387" i="1"/>
  <c r="AW1386" i="1"/>
  <c r="AV1386" i="1"/>
  <c r="AU1386" i="1"/>
  <c r="AW1385" i="1"/>
  <c r="AV1385" i="1"/>
  <c r="AU1385" i="1"/>
  <c r="AW1384" i="1"/>
  <c r="AV1384" i="1"/>
  <c r="AU1384" i="1"/>
  <c r="AW1383" i="1"/>
  <c r="AV1383" i="1"/>
  <c r="AU1383" i="1"/>
  <c r="AW1382" i="1"/>
  <c r="AV1382" i="1"/>
  <c r="AW1381" i="1"/>
  <c r="AV1381" i="1"/>
  <c r="AW1380" i="1"/>
  <c r="AV1380" i="1"/>
  <c r="AU1380" i="1"/>
  <c r="AW1379" i="1"/>
  <c r="AV1379" i="1"/>
  <c r="AU1379" i="1"/>
  <c r="AW1378" i="1"/>
  <c r="AV1378" i="1"/>
  <c r="AW1377" i="1"/>
  <c r="AV1377" i="1"/>
  <c r="AU1377" i="1"/>
  <c r="AW1376" i="1"/>
  <c r="AV1376" i="1"/>
  <c r="AU1376" i="1"/>
  <c r="AW1375" i="1"/>
  <c r="AV1375" i="1"/>
  <c r="AU1375" i="1"/>
  <c r="AW1374" i="1"/>
  <c r="AV1374" i="1"/>
  <c r="AU1374" i="1"/>
  <c r="AW1373" i="1"/>
  <c r="AV1373" i="1"/>
  <c r="AU1373" i="1"/>
  <c r="AW1372" i="1"/>
  <c r="AV1372" i="1"/>
  <c r="AU1372" i="1"/>
  <c r="AW1371" i="1"/>
  <c r="AV1371" i="1"/>
  <c r="AU1371" i="1"/>
  <c r="AW1370" i="1"/>
  <c r="AV1370" i="1"/>
  <c r="AU1370" i="1"/>
  <c r="AW1369" i="1"/>
  <c r="AV1369" i="1"/>
  <c r="AW1368" i="1"/>
  <c r="AV1368" i="1"/>
  <c r="AU1368" i="1"/>
  <c r="AW1367" i="1"/>
  <c r="AV1367" i="1"/>
  <c r="AU1367" i="1"/>
  <c r="AW1366" i="1"/>
  <c r="AV1366" i="1"/>
  <c r="AW1365" i="1"/>
  <c r="AV1365" i="1"/>
  <c r="AU1365" i="1"/>
  <c r="AW1364" i="1"/>
  <c r="AV1364" i="1"/>
  <c r="AW1363" i="1"/>
  <c r="AV1363" i="1"/>
  <c r="AU1363" i="1"/>
  <c r="AW1362" i="1"/>
  <c r="AV1362" i="1"/>
  <c r="AW1361" i="1"/>
  <c r="AV1361" i="1"/>
  <c r="AU1361" i="1"/>
  <c r="AW1360" i="1"/>
  <c r="AV1360" i="1"/>
  <c r="AW1359" i="1"/>
  <c r="AV1359" i="1"/>
  <c r="AW1358" i="1"/>
  <c r="AV1358" i="1"/>
  <c r="AW1357" i="1"/>
  <c r="AV1357" i="1"/>
  <c r="AU1357" i="1"/>
  <c r="AW1356" i="1"/>
  <c r="AV1356" i="1"/>
  <c r="AW1355" i="1"/>
  <c r="AV1355" i="1"/>
  <c r="AW1354" i="1"/>
  <c r="AV1354" i="1"/>
  <c r="AW1353" i="1"/>
  <c r="AV1353" i="1"/>
  <c r="AW1352" i="1"/>
  <c r="AV1352" i="1"/>
  <c r="AW1351" i="1"/>
  <c r="AV1351" i="1"/>
  <c r="AW1350" i="1"/>
  <c r="AV1350" i="1"/>
  <c r="AW1349" i="1"/>
  <c r="AV1349" i="1"/>
  <c r="AW1348" i="1"/>
  <c r="AV1348" i="1"/>
  <c r="AW1347" i="1"/>
  <c r="AV1347" i="1"/>
  <c r="AW1346" i="1"/>
  <c r="AV1346" i="1"/>
  <c r="AW1345" i="1"/>
  <c r="AV1345" i="1"/>
  <c r="AW1344" i="1"/>
  <c r="AV1344" i="1"/>
  <c r="AW1343" i="1"/>
  <c r="AV1343" i="1"/>
  <c r="AW1342" i="1"/>
  <c r="AV1342" i="1"/>
  <c r="AW1341" i="1"/>
  <c r="AV1341" i="1"/>
  <c r="AU1341" i="1"/>
  <c r="AW1340" i="1"/>
  <c r="AV1340" i="1"/>
  <c r="AW1339" i="1"/>
  <c r="AV1339" i="1"/>
  <c r="AW1338" i="1"/>
  <c r="AV1338" i="1"/>
  <c r="AW1337" i="1"/>
  <c r="AV1337" i="1"/>
  <c r="AW1336" i="1"/>
  <c r="AV1336" i="1"/>
  <c r="AW1335" i="1"/>
  <c r="AV1335" i="1"/>
  <c r="AW1334" i="1"/>
  <c r="AV1334" i="1"/>
  <c r="AW1333" i="1"/>
  <c r="AV1333" i="1"/>
  <c r="AW1332" i="1"/>
  <c r="AV1332" i="1"/>
  <c r="AW1331" i="1"/>
  <c r="AV1331" i="1"/>
  <c r="AU1331" i="1"/>
  <c r="AW1330" i="1"/>
  <c r="AV1330" i="1"/>
  <c r="AW1329" i="1"/>
  <c r="AV1329" i="1"/>
  <c r="AW1328" i="1"/>
  <c r="AV1328" i="1"/>
  <c r="AW1327" i="1"/>
  <c r="AV1327" i="1"/>
  <c r="AW1326" i="1"/>
  <c r="AV1326" i="1"/>
  <c r="AU1326" i="1"/>
  <c r="AW1325" i="1"/>
  <c r="AV1325" i="1"/>
  <c r="AW1324" i="1"/>
  <c r="AV1324" i="1"/>
  <c r="AW1323" i="1"/>
  <c r="AV1323" i="1"/>
  <c r="AW1322" i="1"/>
  <c r="AV1322" i="1"/>
  <c r="AU1322" i="1"/>
  <c r="AW1321" i="1"/>
  <c r="AV1321" i="1"/>
  <c r="AU1321" i="1"/>
  <c r="AW1320" i="1"/>
  <c r="AV1320" i="1"/>
  <c r="AU1320" i="1"/>
  <c r="AW1319" i="1"/>
  <c r="AV1319" i="1"/>
  <c r="AU1319" i="1"/>
  <c r="AW1318" i="1"/>
  <c r="AV1318" i="1"/>
  <c r="AU1318" i="1"/>
  <c r="AW1317" i="1"/>
  <c r="AV1317" i="1"/>
  <c r="AU1317" i="1"/>
  <c r="AW1316" i="1"/>
  <c r="AV1316" i="1"/>
  <c r="AU1316" i="1"/>
  <c r="AW1315" i="1"/>
  <c r="AV1315" i="1"/>
  <c r="AU1315" i="1"/>
  <c r="AW1314" i="1"/>
  <c r="AV1314" i="1"/>
  <c r="AU1314" i="1"/>
  <c r="AW1313" i="1"/>
  <c r="AV1313" i="1"/>
  <c r="AU1313" i="1"/>
  <c r="AW1312" i="1"/>
  <c r="AV1312" i="1"/>
  <c r="AU1312" i="1"/>
  <c r="AW1311" i="1"/>
  <c r="AV1311" i="1"/>
  <c r="AU1311" i="1"/>
  <c r="AW1310" i="1"/>
  <c r="AV1310" i="1"/>
  <c r="AU1310" i="1"/>
  <c r="AW1309" i="1"/>
  <c r="AV1309" i="1"/>
  <c r="AU1309" i="1"/>
  <c r="AW1308" i="1"/>
  <c r="AV1308" i="1"/>
  <c r="AU1308" i="1"/>
  <c r="AW1307" i="1"/>
  <c r="AV1307" i="1"/>
  <c r="AU1307" i="1"/>
  <c r="AW1306" i="1"/>
  <c r="AV1306" i="1"/>
  <c r="AW1305" i="1"/>
  <c r="AV1305" i="1"/>
  <c r="AW1304" i="1"/>
  <c r="AV1304" i="1"/>
  <c r="AW1303" i="1"/>
  <c r="AV1303" i="1"/>
  <c r="AW1302" i="1"/>
  <c r="AV1302" i="1"/>
  <c r="AW1301" i="1"/>
  <c r="AV1301" i="1"/>
  <c r="AW1300" i="1"/>
  <c r="AV1300" i="1"/>
  <c r="AW1299" i="1"/>
  <c r="AV1299" i="1"/>
  <c r="AU1299" i="1"/>
  <c r="AW1298" i="1"/>
  <c r="AV1298" i="1"/>
  <c r="AU1298" i="1"/>
  <c r="AW1297" i="1"/>
  <c r="AV1297" i="1"/>
  <c r="AU1297" i="1"/>
  <c r="AW1296" i="1"/>
  <c r="AV1296" i="1"/>
  <c r="AU1296" i="1"/>
  <c r="AW1295" i="1"/>
  <c r="AV1295" i="1"/>
  <c r="AU1295" i="1"/>
  <c r="AW1294" i="1"/>
  <c r="AV1294" i="1"/>
  <c r="AW1293" i="1"/>
  <c r="AV1293" i="1"/>
  <c r="AU1293" i="1"/>
  <c r="AW1292" i="1"/>
  <c r="AV1292" i="1"/>
  <c r="AW1291" i="1"/>
  <c r="AV1291" i="1"/>
  <c r="AU1291" i="1"/>
  <c r="AW1290" i="1"/>
  <c r="AV1290" i="1"/>
  <c r="AU1290" i="1"/>
  <c r="AW1289" i="1"/>
  <c r="AV1289" i="1"/>
  <c r="AU1289" i="1"/>
  <c r="AW1288" i="1"/>
  <c r="AV1288" i="1"/>
  <c r="AU1288" i="1"/>
  <c r="AW1287" i="1"/>
  <c r="AV1287" i="1"/>
  <c r="AW1286" i="1"/>
  <c r="AV1286" i="1"/>
  <c r="AW1285" i="1"/>
  <c r="AV1285" i="1"/>
  <c r="AW1284" i="1"/>
  <c r="AV1284" i="1"/>
  <c r="AW1283" i="1"/>
  <c r="AV1283" i="1"/>
  <c r="AU1283" i="1"/>
  <c r="AW1282" i="1"/>
  <c r="AV1282" i="1"/>
  <c r="AW1281" i="1"/>
  <c r="AV1281" i="1"/>
  <c r="AU1281" i="1"/>
  <c r="AW1280" i="1"/>
  <c r="AV1280" i="1"/>
  <c r="AW1279" i="1"/>
  <c r="AV1279" i="1"/>
  <c r="AU1279" i="1"/>
  <c r="AW1278" i="1"/>
  <c r="AV1278" i="1"/>
  <c r="AW1277" i="1"/>
  <c r="AV1277" i="1"/>
  <c r="AW1276" i="1"/>
  <c r="AV1276" i="1"/>
  <c r="AW1275" i="1"/>
  <c r="AV1275" i="1"/>
  <c r="AW1274" i="1"/>
  <c r="AV1274" i="1"/>
  <c r="AW1273" i="1"/>
  <c r="AV1273" i="1"/>
  <c r="AW1272" i="1"/>
  <c r="AV1272" i="1"/>
  <c r="AW1271" i="1"/>
  <c r="AV1271" i="1"/>
  <c r="AW1270" i="1"/>
  <c r="AV1270" i="1"/>
  <c r="AW1269" i="1"/>
  <c r="AV1269" i="1"/>
  <c r="AW1268" i="1"/>
  <c r="AV1268" i="1"/>
  <c r="AU1268" i="1"/>
  <c r="AW1267" i="1"/>
  <c r="AV1267" i="1"/>
  <c r="AU1267" i="1"/>
  <c r="AW1266" i="1"/>
  <c r="AV1266" i="1"/>
  <c r="AW1265" i="1"/>
  <c r="AV1265" i="1"/>
  <c r="AW1264" i="1"/>
  <c r="AV1264" i="1"/>
  <c r="AW1263" i="1"/>
  <c r="AV1263" i="1"/>
  <c r="AW1262" i="1"/>
  <c r="AV1262" i="1"/>
  <c r="AW1261" i="1"/>
  <c r="AV1261" i="1"/>
  <c r="AU1261" i="1"/>
  <c r="AW1260" i="1"/>
  <c r="AV1260" i="1"/>
  <c r="AW1259" i="1"/>
  <c r="AV1259" i="1"/>
  <c r="AW1258" i="1"/>
  <c r="AV1258" i="1"/>
  <c r="AW1257" i="1"/>
  <c r="AV1257" i="1"/>
  <c r="AU1257" i="1"/>
  <c r="AW1256" i="1"/>
  <c r="AV1256" i="1"/>
  <c r="AW1255" i="1"/>
  <c r="AV1255" i="1"/>
  <c r="AU1255" i="1"/>
  <c r="AW1254" i="1"/>
  <c r="AV1254" i="1"/>
  <c r="AW1253" i="1"/>
  <c r="AV1253" i="1"/>
  <c r="AU1253" i="1"/>
  <c r="AW1252" i="1"/>
  <c r="AV1252" i="1"/>
  <c r="AU1252" i="1"/>
  <c r="AW1251" i="1"/>
  <c r="AV1251" i="1"/>
  <c r="AU1251" i="1"/>
  <c r="AW1250" i="1"/>
  <c r="AV1250" i="1"/>
  <c r="AU1250" i="1"/>
  <c r="AW1249" i="1"/>
  <c r="AV1249" i="1"/>
  <c r="AW1248" i="1"/>
  <c r="AV1248" i="1"/>
  <c r="AW1247" i="1"/>
  <c r="AV1247" i="1"/>
  <c r="AW1246" i="1"/>
  <c r="AV1246" i="1"/>
  <c r="AW1245" i="1"/>
  <c r="AV1245" i="1"/>
  <c r="AU1245" i="1"/>
  <c r="AW1244" i="1"/>
  <c r="AV1244" i="1"/>
  <c r="AU1244" i="1"/>
  <c r="AW1243" i="1"/>
  <c r="AV1243" i="1"/>
  <c r="AU1243" i="1"/>
  <c r="AW1242" i="1"/>
  <c r="AV1242" i="1"/>
  <c r="AU1242" i="1"/>
  <c r="AW1241" i="1"/>
  <c r="AV1241" i="1"/>
  <c r="AW1240" i="1"/>
  <c r="AV1240" i="1"/>
  <c r="AW1239" i="1"/>
  <c r="AV1239" i="1"/>
  <c r="AU1239" i="1"/>
  <c r="AW1238" i="1"/>
  <c r="AV1238" i="1"/>
  <c r="AW1237" i="1"/>
  <c r="AV1237" i="1"/>
  <c r="AW1236" i="1"/>
  <c r="AV1236" i="1"/>
  <c r="AW1235" i="1"/>
  <c r="AV1235" i="1"/>
  <c r="AU1235" i="1"/>
  <c r="AW1234" i="1"/>
  <c r="AV1234" i="1"/>
  <c r="AU1234" i="1"/>
  <c r="AW1233" i="1"/>
  <c r="AV1233" i="1"/>
  <c r="AU1233" i="1"/>
  <c r="AW1232" i="1"/>
  <c r="AV1232" i="1"/>
  <c r="AW1231" i="1"/>
  <c r="AV1231" i="1"/>
  <c r="AW1230" i="1"/>
  <c r="AV1230" i="1"/>
  <c r="AW1229" i="1"/>
  <c r="AV1229" i="1"/>
  <c r="AW1228" i="1"/>
  <c r="AV1228" i="1"/>
  <c r="AU1228" i="1"/>
  <c r="AW1227" i="1"/>
  <c r="AV1227" i="1"/>
  <c r="AU1227" i="1"/>
  <c r="AW1226" i="1"/>
  <c r="AV1226" i="1"/>
  <c r="AU1226" i="1"/>
  <c r="AW1225" i="1"/>
  <c r="AV1225" i="1"/>
  <c r="AW1224" i="1"/>
  <c r="AV1224" i="1"/>
  <c r="AW1223" i="1"/>
  <c r="AV1223" i="1"/>
  <c r="AW1222" i="1"/>
  <c r="AV1222" i="1"/>
  <c r="AW1221" i="1"/>
  <c r="AV1221" i="1"/>
  <c r="AW1220" i="1"/>
  <c r="AV1220" i="1"/>
  <c r="AW1219" i="1"/>
  <c r="AV1219" i="1"/>
  <c r="AW1218" i="1"/>
  <c r="AV1218" i="1"/>
  <c r="AW1217" i="1"/>
  <c r="AV1217" i="1"/>
  <c r="AW1216" i="1"/>
  <c r="AV1216" i="1"/>
  <c r="AW1215" i="1"/>
  <c r="AV1215" i="1"/>
  <c r="AW1214" i="1"/>
  <c r="AV1214" i="1"/>
  <c r="AW1213" i="1"/>
  <c r="AV1213" i="1"/>
  <c r="AU1213" i="1"/>
  <c r="AW1212" i="1"/>
  <c r="AV1212" i="1"/>
  <c r="AU1212" i="1"/>
  <c r="AW1211" i="1"/>
  <c r="AV1211" i="1"/>
  <c r="AU1211" i="1"/>
  <c r="AW1210" i="1"/>
  <c r="AV1210" i="1"/>
  <c r="AU1210" i="1"/>
  <c r="AW1209" i="1"/>
  <c r="AV1209" i="1"/>
  <c r="AW1208" i="1"/>
  <c r="AV1208" i="1"/>
  <c r="AU1208" i="1"/>
  <c r="AW1207" i="1"/>
  <c r="AV1207" i="1"/>
  <c r="AU1207" i="1"/>
  <c r="AW1206" i="1"/>
  <c r="AV1206" i="1"/>
  <c r="AW1205" i="1"/>
  <c r="AV1205" i="1"/>
  <c r="AW1204" i="1"/>
  <c r="AV1204" i="1"/>
  <c r="AU1204" i="1"/>
  <c r="AW1203" i="1"/>
  <c r="AV1203" i="1"/>
  <c r="AW1202" i="1"/>
  <c r="AV1202" i="1"/>
  <c r="AU1202" i="1"/>
  <c r="AW1201" i="1"/>
  <c r="AV1201" i="1"/>
  <c r="AU1201" i="1"/>
  <c r="AW1200" i="1"/>
  <c r="AV1200" i="1"/>
  <c r="AW1199" i="1"/>
  <c r="AV1199" i="1"/>
  <c r="AW1198" i="1"/>
  <c r="AV1198" i="1"/>
  <c r="AU1198" i="1"/>
  <c r="AW1197" i="1"/>
  <c r="AV1197" i="1"/>
  <c r="AU1197" i="1"/>
  <c r="AW1196" i="1"/>
  <c r="AV1196" i="1"/>
  <c r="AU1196" i="1"/>
  <c r="AW1195" i="1"/>
  <c r="AV1195" i="1"/>
  <c r="AW1194" i="1"/>
  <c r="AV1194" i="1"/>
  <c r="AU1194" i="1"/>
  <c r="AW1193" i="1"/>
  <c r="AV1193" i="1"/>
  <c r="AW1192" i="1"/>
  <c r="AV1192" i="1"/>
  <c r="AU1192" i="1"/>
  <c r="AW1191" i="1"/>
  <c r="AV1191" i="1"/>
  <c r="AU1191" i="1"/>
  <c r="AW1190" i="1"/>
  <c r="AV1190" i="1"/>
  <c r="AW1189" i="1"/>
  <c r="AV1189" i="1"/>
  <c r="AU1189" i="1"/>
  <c r="AW1188" i="1"/>
  <c r="AV1188" i="1"/>
  <c r="AW1187" i="1"/>
  <c r="AV1187" i="1"/>
  <c r="AW1186" i="1"/>
  <c r="AV1186" i="1"/>
  <c r="AU1186" i="1"/>
  <c r="AW1185" i="1"/>
  <c r="AV1185" i="1"/>
  <c r="AU1185" i="1"/>
  <c r="AW1184" i="1"/>
  <c r="AV1184" i="1"/>
  <c r="AU1184" i="1"/>
  <c r="AW1183" i="1"/>
  <c r="AV1183" i="1"/>
  <c r="AW1182" i="1"/>
  <c r="AV1182" i="1"/>
  <c r="AU1182" i="1"/>
  <c r="AW1181" i="1"/>
  <c r="AV1181" i="1"/>
  <c r="AW1180" i="1"/>
  <c r="AV1180" i="1"/>
  <c r="AW1179" i="1"/>
  <c r="AV1179" i="1"/>
  <c r="AU1179" i="1"/>
  <c r="AW1178" i="1"/>
  <c r="AV1178" i="1"/>
  <c r="AU1178" i="1"/>
  <c r="AW1177" i="1"/>
  <c r="AV1177" i="1"/>
  <c r="AU1177" i="1"/>
  <c r="AW1176" i="1"/>
  <c r="AV1176" i="1"/>
  <c r="AW1175" i="1"/>
  <c r="AV1175" i="1"/>
  <c r="AW1174" i="1"/>
  <c r="AV1174" i="1"/>
  <c r="AW1173" i="1"/>
  <c r="AV1173" i="1"/>
  <c r="AW1172" i="1"/>
  <c r="AV1172" i="1"/>
  <c r="AW1171" i="1"/>
  <c r="AV1171" i="1"/>
  <c r="AW1170" i="1"/>
  <c r="AV1170" i="1"/>
  <c r="AU1170" i="1"/>
  <c r="AW1169" i="1"/>
  <c r="AV1169" i="1"/>
  <c r="AW1168" i="1"/>
  <c r="AV1168" i="1"/>
  <c r="AU1168" i="1"/>
  <c r="AW1167" i="1"/>
  <c r="AV1167" i="1"/>
  <c r="AW1166" i="1"/>
  <c r="AV1166" i="1"/>
  <c r="AU1166" i="1"/>
  <c r="AW1165" i="1"/>
  <c r="AV1165" i="1"/>
  <c r="AW1164" i="1"/>
  <c r="AV1164" i="1"/>
  <c r="AW1163" i="1"/>
  <c r="AV1163" i="1"/>
  <c r="AU1163" i="1"/>
  <c r="AW1162" i="1"/>
  <c r="AV1162" i="1"/>
  <c r="AU1162" i="1"/>
  <c r="AW1161" i="1"/>
  <c r="AV1161" i="1"/>
  <c r="AU1161" i="1"/>
  <c r="AW1160" i="1"/>
  <c r="AV1160" i="1"/>
  <c r="AW1159" i="1"/>
  <c r="AV1159" i="1"/>
  <c r="AW1158" i="1"/>
  <c r="AV1158" i="1"/>
  <c r="AW1157" i="1"/>
  <c r="AV1157" i="1"/>
  <c r="AW1156" i="1"/>
  <c r="AV1156" i="1"/>
  <c r="AU1156" i="1"/>
  <c r="AW1155" i="1"/>
  <c r="AV1155" i="1"/>
  <c r="AW1154" i="1"/>
  <c r="AV1154" i="1"/>
  <c r="AW1153" i="1"/>
  <c r="AV1153" i="1"/>
  <c r="AW1152" i="1"/>
  <c r="AV1152" i="1"/>
  <c r="AU1152" i="1"/>
  <c r="AW1151" i="1"/>
  <c r="AV1151" i="1"/>
  <c r="AU1151" i="1"/>
  <c r="AW1150" i="1"/>
  <c r="AV1150" i="1"/>
  <c r="AW1149" i="1"/>
  <c r="AV1149" i="1"/>
  <c r="AW1148" i="1"/>
  <c r="AV1148" i="1"/>
  <c r="AW1147" i="1"/>
  <c r="AV1147" i="1"/>
  <c r="AU1147" i="1"/>
  <c r="AW1146" i="1"/>
  <c r="AV1146" i="1"/>
  <c r="AW1145" i="1"/>
  <c r="AV1145" i="1"/>
  <c r="AU1145" i="1"/>
  <c r="AW1144" i="1"/>
  <c r="AV1144" i="1"/>
  <c r="AU1144" i="1"/>
  <c r="AW1143" i="1"/>
  <c r="AV1143" i="1"/>
  <c r="AW1142" i="1"/>
  <c r="AV1142" i="1"/>
  <c r="AU1142" i="1"/>
  <c r="AW1141" i="1"/>
  <c r="AV1141" i="1"/>
  <c r="AU1141" i="1"/>
  <c r="AW1140" i="1"/>
  <c r="AV1140" i="1"/>
  <c r="AW1139" i="1"/>
  <c r="AV1139" i="1"/>
  <c r="AW1138" i="1"/>
  <c r="AV1138" i="1"/>
  <c r="AW1137" i="1"/>
  <c r="AV1137" i="1"/>
  <c r="AW1136" i="1"/>
  <c r="AV1136" i="1"/>
  <c r="AW1135" i="1"/>
  <c r="AV1135" i="1"/>
  <c r="AW1134" i="1"/>
  <c r="AV1134" i="1"/>
  <c r="AU1134" i="1"/>
  <c r="AW1133" i="1"/>
  <c r="AV1133" i="1"/>
  <c r="AW1132" i="1"/>
  <c r="AV1132" i="1"/>
  <c r="AU1132" i="1"/>
  <c r="AW1131" i="1"/>
  <c r="AV1131" i="1"/>
  <c r="AW1130" i="1"/>
  <c r="AV1130" i="1"/>
  <c r="AW1129" i="1"/>
  <c r="AV1129" i="1"/>
  <c r="AW1128" i="1"/>
  <c r="AV1128" i="1"/>
  <c r="AW1127" i="1"/>
  <c r="AV1127" i="1"/>
  <c r="AW1126" i="1"/>
  <c r="AV1126" i="1"/>
  <c r="AW1125" i="1"/>
  <c r="AV1125" i="1"/>
  <c r="AU1125" i="1"/>
  <c r="AW1124" i="1"/>
  <c r="AV1124" i="1"/>
  <c r="AW1123" i="1"/>
  <c r="AV1123" i="1"/>
  <c r="AW1122" i="1"/>
  <c r="AV1122" i="1"/>
  <c r="AW1121" i="1"/>
  <c r="AV1121" i="1"/>
  <c r="AW1120" i="1"/>
  <c r="AV1120" i="1"/>
  <c r="AW1119" i="1"/>
  <c r="AV1119" i="1"/>
  <c r="AW1118" i="1"/>
  <c r="AV1118" i="1"/>
  <c r="AW1117" i="1"/>
  <c r="AV1117" i="1"/>
  <c r="AW1116" i="1"/>
  <c r="AV1116" i="1"/>
  <c r="AW1115" i="1"/>
  <c r="AV1115" i="1"/>
  <c r="AU1115" i="1"/>
  <c r="AW1114" i="1"/>
  <c r="AV1114" i="1"/>
  <c r="AU1114" i="1"/>
  <c r="AW1113" i="1"/>
  <c r="AV1113" i="1"/>
  <c r="AW1112" i="1"/>
  <c r="AV1112" i="1"/>
  <c r="AW1111" i="1"/>
  <c r="AV1111" i="1"/>
  <c r="AW1110" i="1"/>
  <c r="AV1110" i="1"/>
  <c r="AW1109" i="1"/>
  <c r="AV1109" i="1"/>
  <c r="AW1108" i="1"/>
  <c r="AV1108" i="1"/>
  <c r="AW1107" i="1"/>
  <c r="AV1107" i="1"/>
  <c r="AW1106" i="1"/>
  <c r="AV1106" i="1"/>
  <c r="AW1105" i="1"/>
  <c r="AV1105" i="1"/>
  <c r="AW1104" i="1"/>
  <c r="AV1104" i="1"/>
  <c r="AW1103" i="1"/>
  <c r="AV1103" i="1"/>
  <c r="AU1103" i="1"/>
  <c r="AW1102" i="1"/>
  <c r="AV1102" i="1"/>
  <c r="AW1101" i="1"/>
  <c r="AV1101" i="1"/>
  <c r="AW1100" i="1"/>
  <c r="AV1100" i="1"/>
  <c r="AW1099" i="1"/>
  <c r="AV1099" i="1"/>
  <c r="AW1098" i="1"/>
  <c r="AV1098" i="1"/>
  <c r="AU1098" i="1"/>
  <c r="AW1097" i="1"/>
  <c r="AV1097" i="1"/>
  <c r="AU1097" i="1"/>
  <c r="AW1096" i="1"/>
  <c r="AV1096" i="1"/>
  <c r="AU1096" i="1"/>
  <c r="AW1095" i="1"/>
  <c r="AV1095" i="1"/>
  <c r="AW1094" i="1"/>
  <c r="AV1094" i="1"/>
  <c r="AW1093" i="1"/>
  <c r="AV1093" i="1"/>
  <c r="AW1092" i="1"/>
  <c r="AV1092" i="1"/>
  <c r="AW1091" i="1"/>
  <c r="AV1091" i="1"/>
  <c r="AW1090" i="1"/>
  <c r="AV1090" i="1"/>
  <c r="AW1089" i="1"/>
  <c r="AV1089" i="1"/>
  <c r="AW1088" i="1"/>
  <c r="AV1088" i="1"/>
  <c r="AU1088" i="1"/>
  <c r="AW1087" i="1"/>
  <c r="AV1087" i="1"/>
  <c r="AW1086" i="1"/>
  <c r="AV1086" i="1"/>
  <c r="AW1085" i="1"/>
  <c r="AV1085" i="1"/>
  <c r="AW1084" i="1"/>
  <c r="AV1084" i="1"/>
  <c r="AW1083" i="1"/>
  <c r="AV1083" i="1"/>
  <c r="AW1082" i="1"/>
  <c r="AV1082" i="1"/>
  <c r="AW1081" i="1"/>
  <c r="AV1081" i="1"/>
  <c r="AW1080" i="1"/>
  <c r="AV1080" i="1"/>
  <c r="AW1079" i="1"/>
  <c r="AV1079" i="1"/>
  <c r="AW1078" i="1"/>
  <c r="AV1078" i="1"/>
  <c r="AW1077" i="1"/>
  <c r="AV1077" i="1"/>
  <c r="AW1076" i="1"/>
  <c r="AV1076" i="1"/>
  <c r="AU1076" i="1"/>
  <c r="AW1075" i="1"/>
  <c r="AV1075" i="1"/>
  <c r="AU1075" i="1"/>
  <c r="AW1074" i="1"/>
  <c r="AV1074" i="1"/>
  <c r="AU1074" i="1"/>
  <c r="AW1073" i="1"/>
  <c r="AV1073" i="1"/>
  <c r="AU1073" i="1"/>
  <c r="AW1072" i="1"/>
  <c r="AV1072" i="1"/>
  <c r="AW1071" i="1"/>
  <c r="AV1071" i="1"/>
  <c r="AW1070" i="1"/>
  <c r="AV1070" i="1"/>
  <c r="AW1069" i="1"/>
  <c r="AV1069" i="1"/>
  <c r="AW1068" i="1"/>
  <c r="AV1068" i="1"/>
  <c r="AW1067" i="1"/>
  <c r="AV1067" i="1"/>
  <c r="AU1067" i="1"/>
  <c r="AW1066" i="1"/>
  <c r="AV1066" i="1"/>
  <c r="AU1066" i="1"/>
  <c r="AW1065" i="1"/>
  <c r="AV1065" i="1"/>
  <c r="AU1065" i="1"/>
  <c r="AW1064" i="1"/>
  <c r="AV1064" i="1"/>
  <c r="AW1063" i="1"/>
  <c r="AV1063" i="1"/>
  <c r="AU1063" i="1"/>
  <c r="AW1062" i="1"/>
  <c r="AV1062" i="1"/>
  <c r="AU1062" i="1"/>
  <c r="AW1061" i="1"/>
  <c r="AV1061" i="1"/>
  <c r="AU1061" i="1"/>
  <c r="AW1060" i="1"/>
  <c r="AV1060" i="1"/>
  <c r="AW1059" i="1"/>
  <c r="AV1059" i="1"/>
  <c r="AW1058" i="1"/>
  <c r="AV1058" i="1"/>
  <c r="AW1057" i="1"/>
  <c r="AV1057" i="1"/>
  <c r="AW1056" i="1"/>
  <c r="AV1056" i="1"/>
  <c r="AW1055" i="1"/>
  <c r="AV1055" i="1"/>
  <c r="AW1054" i="1"/>
  <c r="AV1054" i="1"/>
  <c r="AW1053" i="1"/>
  <c r="AV1053" i="1"/>
  <c r="AW1052" i="1"/>
  <c r="AV1052" i="1"/>
  <c r="AW1051" i="1"/>
  <c r="AV1051" i="1"/>
  <c r="AU1051" i="1"/>
  <c r="AW1050" i="1"/>
  <c r="AV1050" i="1"/>
  <c r="AW1049" i="1"/>
  <c r="AV1049" i="1"/>
  <c r="AW1048" i="1"/>
  <c r="AV1048" i="1"/>
  <c r="AW1047" i="1"/>
  <c r="AV1047" i="1"/>
  <c r="AW1046" i="1"/>
  <c r="AV1046" i="1"/>
  <c r="AW1045" i="1"/>
  <c r="AV1045" i="1"/>
  <c r="AU1045" i="1"/>
  <c r="AW1044" i="1"/>
  <c r="AV1044" i="1"/>
  <c r="AW1043" i="1"/>
  <c r="AV1043" i="1"/>
  <c r="AW1042" i="1"/>
  <c r="AV1042" i="1"/>
  <c r="AW1041" i="1"/>
  <c r="AV1041" i="1"/>
  <c r="AW1040" i="1"/>
  <c r="AV1040" i="1"/>
  <c r="AU1040" i="1"/>
  <c r="AW1039" i="1"/>
  <c r="AV1039" i="1"/>
  <c r="AU1039" i="1"/>
  <c r="AW1038" i="1"/>
  <c r="AV1038" i="1"/>
  <c r="AW1037" i="1"/>
  <c r="AV1037" i="1"/>
  <c r="AW1036" i="1"/>
  <c r="AV1036" i="1"/>
  <c r="AW1035" i="1"/>
  <c r="AV1035" i="1"/>
  <c r="AW1034" i="1"/>
  <c r="AV1034" i="1"/>
  <c r="AW1033" i="1"/>
  <c r="AV1033" i="1"/>
  <c r="AW1032" i="1"/>
  <c r="AV1032" i="1"/>
  <c r="AW1031" i="1"/>
  <c r="AV1031" i="1"/>
  <c r="AW1030" i="1"/>
  <c r="AV1030" i="1"/>
  <c r="AU1030" i="1"/>
  <c r="AW1029" i="1"/>
  <c r="AV1029" i="1"/>
  <c r="AU1029" i="1"/>
  <c r="AW1028" i="1"/>
  <c r="AV1028" i="1"/>
  <c r="AW1027" i="1"/>
  <c r="AV1027" i="1"/>
  <c r="AW1026" i="1"/>
  <c r="AV1026" i="1"/>
  <c r="AW1025" i="1"/>
  <c r="AV1025" i="1"/>
  <c r="AW1024" i="1"/>
  <c r="AV1024" i="1"/>
  <c r="AU1024" i="1"/>
  <c r="AW1023" i="1"/>
  <c r="AV1023" i="1"/>
  <c r="AW1022" i="1"/>
  <c r="AV1022" i="1"/>
  <c r="AU1022" i="1"/>
  <c r="AW1021" i="1"/>
  <c r="AV1021" i="1"/>
  <c r="AW1020" i="1"/>
  <c r="AV1020" i="1"/>
  <c r="AU1020" i="1"/>
  <c r="AW1019" i="1"/>
  <c r="AV1019" i="1"/>
  <c r="AU1019" i="1"/>
  <c r="AW1018" i="1"/>
  <c r="AV1018" i="1"/>
  <c r="AW1017" i="1"/>
  <c r="AV1017" i="1"/>
  <c r="AU1017" i="1"/>
  <c r="AW1016" i="1"/>
  <c r="AV1016" i="1"/>
  <c r="AW1015" i="1"/>
  <c r="AV1015" i="1"/>
  <c r="AW1014" i="1"/>
  <c r="AV1014" i="1"/>
  <c r="AW1013" i="1"/>
  <c r="AV1013" i="1"/>
  <c r="AW1012" i="1"/>
  <c r="AV1012" i="1"/>
  <c r="AU1012" i="1"/>
  <c r="AW1011" i="1"/>
  <c r="AV1011" i="1"/>
  <c r="AU1011" i="1"/>
  <c r="AW1010" i="1"/>
  <c r="AV1010" i="1"/>
  <c r="AU1010" i="1"/>
  <c r="AW1009" i="1"/>
  <c r="AV1009" i="1"/>
  <c r="AU1009" i="1"/>
  <c r="AW1008" i="1"/>
  <c r="AV1008" i="1"/>
  <c r="AU1008" i="1"/>
  <c r="AW1007" i="1"/>
  <c r="AV1007" i="1"/>
  <c r="AU1007" i="1"/>
  <c r="AW1006" i="1"/>
  <c r="AV1006" i="1"/>
  <c r="AW1005" i="1"/>
  <c r="AV1005" i="1"/>
  <c r="AW1004" i="1"/>
  <c r="AV1004" i="1"/>
  <c r="AW1003" i="1"/>
  <c r="AV1003" i="1"/>
  <c r="AW1002" i="1"/>
  <c r="AV1002" i="1"/>
  <c r="AW1001" i="1"/>
  <c r="AV1001" i="1"/>
  <c r="AW1000" i="1"/>
  <c r="AV1000" i="1"/>
  <c r="AW999" i="1"/>
  <c r="AV999" i="1"/>
  <c r="AU999" i="1"/>
  <c r="AW998" i="1"/>
  <c r="AV998" i="1"/>
  <c r="AU998" i="1"/>
  <c r="AW997" i="1"/>
  <c r="AV997" i="1"/>
  <c r="AU997" i="1"/>
  <c r="AW996" i="1"/>
  <c r="AV996" i="1"/>
  <c r="AU996" i="1"/>
  <c r="AW995" i="1"/>
  <c r="AV995" i="1"/>
  <c r="AU995" i="1"/>
  <c r="AW994" i="1"/>
  <c r="AV994" i="1"/>
  <c r="AU994" i="1"/>
  <c r="AW993" i="1"/>
  <c r="AV993" i="1"/>
  <c r="AW992" i="1"/>
  <c r="AV992" i="1"/>
  <c r="AW991" i="1"/>
  <c r="AV991" i="1"/>
  <c r="AW990" i="1"/>
  <c r="AV990" i="1"/>
  <c r="AW989" i="1"/>
  <c r="AV989" i="1"/>
  <c r="AU989" i="1"/>
  <c r="AW988" i="1"/>
  <c r="AV988" i="1"/>
  <c r="AU988" i="1"/>
  <c r="AW987" i="1"/>
  <c r="AV987" i="1"/>
  <c r="AW986" i="1"/>
  <c r="AV986" i="1"/>
  <c r="AW985" i="1"/>
  <c r="AV985" i="1"/>
  <c r="AW984" i="1"/>
  <c r="AV984" i="1"/>
  <c r="AW983" i="1"/>
  <c r="AV983" i="1"/>
  <c r="AW982" i="1"/>
  <c r="AV982" i="1"/>
  <c r="AU982" i="1"/>
  <c r="AW981" i="1"/>
  <c r="AV981" i="1"/>
  <c r="AU981" i="1"/>
  <c r="AW980" i="1"/>
  <c r="AV980" i="1"/>
  <c r="AW979" i="1"/>
  <c r="AV979" i="1"/>
  <c r="AW978" i="1"/>
  <c r="AV978" i="1"/>
  <c r="AU978" i="1"/>
  <c r="AW977" i="1"/>
  <c r="AV977" i="1"/>
  <c r="AU977" i="1"/>
  <c r="AW976" i="1"/>
  <c r="AV976" i="1"/>
  <c r="AU976" i="1"/>
  <c r="AW975" i="1"/>
  <c r="AV975" i="1"/>
  <c r="AU975" i="1"/>
  <c r="AW974" i="1"/>
  <c r="AV974" i="1"/>
  <c r="AW973" i="1"/>
  <c r="AV973" i="1"/>
  <c r="AW972" i="1"/>
  <c r="AV972" i="1"/>
  <c r="AW971" i="1"/>
  <c r="AV971" i="1"/>
  <c r="AW970" i="1"/>
  <c r="AV970" i="1"/>
  <c r="AW969" i="1"/>
  <c r="AV969" i="1"/>
  <c r="AW968" i="1"/>
  <c r="AV968" i="1"/>
  <c r="AW967" i="1"/>
  <c r="AV967" i="1"/>
  <c r="AU967" i="1"/>
  <c r="AW966" i="1"/>
  <c r="AV966" i="1"/>
  <c r="AW965" i="1"/>
  <c r="AV965" i="1"/>
  <c r="AW964" i="1"/>
  <c r="AV964" i="1"/>
  <c r="AW963" i="1"/>
  <c r="AV963" i="1"/>
  <c r="AW962" i="1"/>
  <c r="AV962" i="1"/>
  <c r="AU962" i="1"/>
  <c r="AW961" i="1"/>
  <c r="AV961" i="1"/>
  <c r="AW960" i="1"/>
  <c r="AV960" i="1"/>
  <c r="AW959" i="1"/>
  <c r="AV959" i="1"/>
  <c r="AW958" i="1"/>
  <c r="AV958" i="1"/>
  <c r="AW957" i="1"/>
  <c r="AV957" i="1"/>
  <c r="AW956" i="1"/>
  <c r="AV956" i="1"/>
  <c r="AW955" i="1"/>
  <c r="AV955" i="1"/>
  <c r="AW954" i="1"/>
  <c r="AV954" i="1"/>
  <c r="AW953" i="1"/>
  <c r="AV953" i="1"/>
  <c r="AW952" i="1"/>
  <c r="AV952" i="1"/>
  <c r="AU952" i="1"/>
  <c r="AW951" i="1"/>
  <c r="AV951" i="1"/>
  <c r="AU951" i="1"/>
  <c r="AW950" i="1"/>
  <c r="AV950" i="1"/>
  <c r="AW949" i="1"/>
  <c r="AV949" i="1"/>
  <c r="AW948" i="1"/>
  <c r="AV948" i="1"/>
  <c r="AU948" i="1"/>
  <c r="AW947" i="1"/>
  <c r="AV947" i="1"/>
  <c r="AU947" i="1"/>
  <c r="AW946" i="1"/>
  <c r="AV946" i="1"/>
  <c r="AU946" i="1"/>
  <c r="AW945" i="1"/>
  <c r="AV945" i="1"/>
  <c r="AW944" i="1"/>
  <c r="AV944" i="1"/>
  <c r="AW943" i="1"/>
  <c r="AV943" i="1"/>
  <c r="AU943" i="1"/>
  <c r="AW942" i="1"/>
  <c r="AV942" i="1"/>
  <c r="AU942" i="1"/>
  <c r="AW941" i="1"/>
  <c r="AV941" i="1"/>
  <c r="AU941" i="1"/>
  <c r="AW940" i="1"/>
  <c r="AV940" i="1"/>
  <c r="AU940" i="1"/>
  <c r="AW939" i="1"/>
  <c r="AV939" i="1"/>
  <c r="AU939" i="1"/>
  <c r="AW938" i="1"/>
  <c r="AV938" i="1"/>
  <c r="AU938" i="1"/>
  <c r="AW937" i="1"/>
  <c r="AV937" i="1"/>
  <c r="AU937" i="1"/>
  <c r="AW936" i="1"/>
  <c r="AV936" i="1"/>
  <c r="AU936" i="1"/>
  <c r="AW935" i="1"/>
  <c r="AV935" i="1"/>
  <c r="AW934" i="1"/>
  <c r="AV934" i="1"/>
  <c r="AW933" i="1"/>
  <c r="AV933" i="1"/>
  <c r="AW932" i="1"/>
  <c r="AV932" i="1"/>
  <c r="AW931" i="1"/>
  <c r="AV931" i="1"/>
  <c r="AW930" i="1"/>
  <c r="AV930" i="1"/>
  <c r="AW929" i="1"/>
  <c r="AV929" i="1"/>
  <c r="AW928" i="1"/>
  <c r="AV928" i="1"/>
  <c r="AU928" i="1"/>
  <c r="AW927" i="1"/>
  <c r="AV927" i="1"/>
  <c r="AW926" i="1"/>
  <c r="AV926" i="1"/>
  <c r="AW925" i="1"/>
  <c r="AV925" i="1"/>
  <c r="AU925" i="1"/>
  <c r="AW924" i="1"/>
  <c r="AV924" i="1"/>
  <c r="AW923" i="1"/>
  <c r="AV923" i="1"/>
  <c r="AW922" i="1"/>
  <c r="AV922" i="1"/>
  <c r="AW921" i="1"/>
  <c r="AV921" i="1"/>
  <c r="AW920" i="1"/>
  <c r="AV920" i="1"/>
  <c r="AU920" i="1"/>
  <c r="AW919" i="1"/>
  <c r="AV919" i="1"/>
  <c r="AW918" i="1"/>
  <c r="AV918" i="1"/>
  <c r="AU918" i="1"/>
  <c r="AW917" i="1"/>
  <c r="AV917" i="1"/>
  <c r="AU917" i="1"/>
  <c r="AW916" i="1"/>
  <c r="AV916" i="1"/>
  <c r="AW915" i="1"/>
  <c r="AV915" i="1"/>
  <c r="AW914" i="1"/>
  <c r="AV914" i="1"/>
  <c r="AU914" i="1"/>
  <c r="AW913" i="1"/>
  <c r="AV913" i="1"/>
  <c r="AW912" i="1"/>
  <c r="AV912" i="1"/>
  <c r="AW911" i="1"/>
  <c r="AV911" i="1"/>
  <c r="AW910" i="1"/>
  <c r="AV910" i="1"/>
  <c r="AU910" i="1"/>
  <c r="AW909" i="1"/>
  <c r="AV909" i="1"/>
  <c r="AU909" i="1"/>
  <c r="AW908" i="1"/>
  <c r="AV908" i="1"/>
  <c r="AU908" i="1"/>
  <c r="AW907" i="1"/>
  <c r="AV907" i="1"/>
  <c r="AU907" i="1"/>
  <c r="AW906" i="1"/>
  <c r="AV906" i="1"/>
  <c r="AW905" i="1"/>
  <c r="AV905" i="1"/>
  <c r="AU905" i="1"/>
  <c r="AW904" i="1"/>
  <c r="AV904" i="1"/>
  <c r="AW903" i="1"/>
  <c r="AV903" i="1"/>
  <c r="AW902" i="1"/>
  <c r="AV902" i="1"/>
  <c r="AW901" i="1"/>
  <c r="AV901" i="1"/>
  <c r="AU901" i="1"/>
  <c r="AW900" i="1"/>
  <c r="AV900" i="1"/>
  <c r="AU900" i="1"/>
  <c r="AW899" i="1"/>
  <c r="AV899" i="1"/>
  <c r="AU899" i="1"/>
  <c r="AW898" i="1"/>
  <c r="AV898" i="1"/>
  <c r="AW897" i="1"/>
  <c r="AV897" i="1"/>
  <c r="AW896" i="1"/>
  <c r="AV896" i="1"/>
  <c r="AU896" i="1"/>
  <c r="AW895" i="1"/>
  <c r="AV895" i="1"/>
  <c r="AU895" i="1"/>
  <c r="AW894" i="1"/>
  <c r="AV894" i="1"/>
  <c r="AU894" i="1"/>
  <c r="AW893" i="1"/>
  <c r="AV893" i="1"/>
  <c r="AW892" i="1"/>
  <c r="AV892" i="1"/>
  <c r="AW891" i="1"/>
  <c r="AV891" i="1"/>
  <c r="AU891" i="1"/>
  <c r="AW890" i="1"/>
  <c r="AV890" i="1"/>
  <c r="AW889" i="1"/>
  <c r="AV889" i="1"/>
  <c r="AW888" i="1"/>
  <c r="AV888" i="1"/>
  <c r="AW887" i="1"/>
  <c r="AV887" i="1"/>
  <c r="AW886" i="1"/>
  <c r="AV886" i="1"/>
  <c r="AW885" i="1"/>
  <c r="AV885" i="1"/>
  <c r="AU885" i="1"/>
  <c r="AW884" i="1"/>
  <c r="AV884" i="1"/>
  <c r="AU884" i="1"/>
  <c r="AW883" i="1"/>
  <c r="AV883" i="1"/>
  <c r="AW882" i="1"/>
  <c r="AV882" i="1"/>
  <c r="AW881" i="1"/>
  <c r="AV881" i="1"/>
  <c r="AW880" i="1"/>
  <c r="AV880" i="1"/>
  <c r="AW879" i="1"/>
  <c r="AV879" i="1"/>
  <c r="AW878" i="1"/>
  <c r="AV878" i="1"/>
  <c r="AW877" i="1"/>
  <c r="AV877" i="1"/>
  <c r="AW876" i="1"/>
  <c r="AV876" i="1"/>
  <c r="AU876" i="1"/>
  <c r="AW875" i="1"/>
  <c r="AV875" i="1"/>
  <c r="AU875" i="1"/>
  <c r="AW874" i="1"/>
  <c r="AV874" i="1"/>
  <c r="AU874" i="1"/>
  <c r="AW873" i="1"/>
  <c r="AV873" i="1"/>
  <c r="AU873" i="1"/>
  <c r="AW872" i="1"/>
  <c r="AV872" i="1"/>
  <c r="AU872" i="1"/>
  <c r="AW871" i="1"/>
  <c r="AV871" i="1"/>
  <c r="AU871" i="1"/>
  <c r="AW870" i="1"/>
  <c r="AV870" i="1"/>
  <c r="AW869" i="1"/>
  <c r="AV869" i="1"/>
  <c r="AU869" i="1"/>
  <c r="AW868" i="1"/>
  <c r="AV868" i="1"/>
  <c r="AW867" i="1"/>
  <c r="AV867" i="1"/>
  <c r="AU867" i="1"/>
  <c r="AW866" i="1"/>
  <c r="AV866" i="1"/>
  <c r="AW865" i="1"/>
  <c r="AV865" i="1"/>
  <c r="AU865" i="1"/>
  <c r="AW864" i="1"/>
  <c r="AV864" i="1"/>
  <c r="AU864" i="1"/>
  <c r="AW863" i="1"/>
  <c r="AV863" i="1"/>
  <c r="AU863" i="1"/>
  <c r="AW862" i="1"/>
  <c r="AV862" i="1"/>
  <c r="AU862" i="1"/>
  <c r="AW861" i="1"/>
  <c r="AV861" i="1"/>
  <c r="AU861" i="1"/>
  <c r="AW860" i="1"/>
  <c r="AV860" i="1"/>
  <c r="AU860" i="1"/>
  <c r="AW859" i="1"/>
  <c r="AV859" i="1"/>
  <c r="AU859" i="1"/>
  <c r="AW858" i="1"/>
  <c r="AV858" i="1"/>
  <c r="AU858" i="1"/>
  <c r="AW857" i="1"/>
  <c r="AV857" i="1"/>
  <c r="AU857" i="1"/>
  <c r="AW856" i="1"/>
  <c r="AV856" i="1"/>
  <c r="AU856" i="1"/>
  <c r="AW855" i="1"/>
  <c r="AV855" i="1"/>
  <c r="AW854" i="1"/>
  <c r="AV854" i="1"/>
  <c r="AW853" i="1"/>
  <c r="AV853" i="1"/>
  <c r="AU853" i="1"/>
  <c r="AW852" i="1"/>
  <c r="AV852" i="1"/>
  <c r="AU852" i="1"/>
  <c r="AW851" i="1"/>
  <c r="AV851" i="1"/>
  <c r="AW850" i="1"/>
  <c r="AV850" i="1"/>
  <c r="AW849" i="1"/>
  <c r="AV849" i="1"/>
  <c r="AW848" i="1"/>
  <c r="AV848" i="1"/>
  <c r="AU848" i="1"/>
  <c r="AW847" i="1"/>
  <c r="AV847" i="1"/>
  <c r="AU847" i="1"/>
  <c r="AW846" i="1"/>
  <c r="AV846" i="1"/>
  <c r="AW845" i="1"/>
  <c r="AV845" i="1"/>
  <c r="AW844" i="1"/>
  <c r="AV844" i="1"/>
  <c r="AU844" i="1"/>
  <c r="AW843" i="1"/>
  <c r="AV843" i="1"/>
  <c r="AW842" i="1"/>
  <c r="AV842" i="1"/>
  <c r="AW841" i="1"/>
  <c r="AV841" i="1"/>
  <c r="AW840" i="1"/>
  <c r="AV840" i="1"/>
  <c r="AW839" i="1"/>
  <c r="AV839" i="1"/>
  <c r="AW838" i="1"/>
  <c r="AV838" i="1"/>
  <c r="AW837" i="1"/>
  <c r="AV837" i="1"/>
  <c r="AU837" i="1"/>
  <c r="AW836" i="1"/>
  <c r="AV836" i="1"/>
  <c r="AW835" i="1"/>
  <c r="AV835" i="1"/>
  <c r="AW834" i="1"/>
  <c r="AV834" i="1"/>
  <c r="AW833" i="1"/>
  <c r="AV833" i="1"/>
  <c r="AW832" i="1"/>
  <c r="AV832" i="1"/>
  <c r="AW831" i="1"/>
  <c r="AV831" i="1"/>
  <c r="AW830" i="1"/>
  <c r="AV830" i="1"/>
  <c r="AW829" i="1"/>
  <c r="AV829" i="1"/>
  <c r="AU829" i="1"/>
  <c r="AW828" i="1"/>
  <c r="AV828" i="1"/>
  <c r="AW827" i="1"/>
  <c r="AV827" i="1"/>
  <c r="AW826" i="1"/>
  <c r="AV826" i="1"/>
  <c r="AW825" i="1"/>
  <c r="AV825" i="1"/>
  <c r="AW824" i="1"/>
  <c r="AV824" i="1"/>
  <c r="AU824" i="1"/>
  <c r="AW823" i="1"/>
  <c r="AV823" i="1"/>
  <c r="AU823" i="1"/>
  <c r="AW822" i="1"/>
  <c r="AV822" i="1"/>
  <c r="AW821" i="1"/>
  <c r="AV821" i="1"/>
  <c r="AU821" i="1"/>
  <c r="AW820" i="1"/>
  <c r="AV820" i="1"/>
  <c r="AW819" i="1"/>
  <c r="AV819" i="1"/>
  <c r="AW818" i="1"/>
  <c r="AV818" i="1"/>
  <c r="AU818" i="1"/>
  <c r="AW817" i="1"/>
  <c r="AV817" i="1"/>
  <c r="AW816" i="1"/>
  <c r="AV816" i="1"/>
  <c r="AW815" i="1"/>
  <c r="AV815" i="1"/>
  <c r="AU815" i="1"/>
  <c r="AW814" i="1"/>
  <c r="AV814" i="1"/>
  <c r="AU814" i="1"/>
  <c r="AW813" i="1"/>
  <c r="AV813" i="1"/>
  <c r="AW812" i="1"/>
  <c r="AV812" i="1"/>
  <c r="AW811" i="1"/>
  <c r="AV811" i="1"/>
  <c r="AW810" i="1"/>
  <c r="AV810" i="1"/>
  <c r="AW809" i="1"/>
  <c r="AV809" i="1"/>
  <c r="AW808" i="1"/>
  <c r="AV808" i="1"/>
  <c r="AU808" i="1"/>
  <c r="AW807" i="1"/>
  <c r="AV807" i="1"/>
  <c r="AW806" i="1"/>
  <c r="AV806" i="1"/>
  <c r="AW805" i="1"/>
  <c r="AV805" i="1"/>
  <c r="AW804" i="1"/>
  <c r="AV804" i="1"/>
  <c r="AU804" i="1"/>
  <c r="AW803" i="1"/>
  <c r="AV803" i="1"/>
  <c r="AU803" i="1"/>
  <c r="AW802" i="1"/>
  <c r="AV802" i="1"/>
  <c r="AU802" i="1"/>
  <c r="AW801" i="1"/>
  <c r="AV801" i="1"/>
  <c r="AW800" i="1"/>
  <c r="AV800" i="1"/>
  <c r="AW799" i="1"/>
  <c r="AV799" i="1"/>
  <c r="AW798" i="1"/>
  <c r="AV798" i="1"/>
  <c r="AU798" i="1"/>
  <c r="AW797" i="1"/>
  <c r="AV797" i="1"/>
  <c r="AU797" i="1"/>
  <c r="AW796" i="1"/>
  <c r="AV796" i="1"/>
  <c r="AU796" i="1"/>
  <c r="AW795" i="1"/>
  <c r="AV795" i="1"/>
  <c r="AU795" i="1"/>
  <c r="AW794" i="1"/>
  <c r="AV794" i="1"/>
  <c r="AU794" i="1"/>
  <c r="AW793" i="1"/>
  <c r="AV793" i="1"/>
  <c r="AW792" i="1"/>
  <c r="AV792" i="1"/>
  <c r="AW791" i="1"/>
  <c r="AV791" i="1"/>
  <c r="AU791" i="1"/>
  <c r="AW790" i="1"/>
  <c r="AV790" i="1"/>
  <c r="AU790" i="1"/>
  <c r="AW789" i="1"/>
  <c r="AV789" i="1"/>
  <c r="AU789" i="1"/>
  <c r="AW788" i="1"/>
  <c r="AV788" i="1"/>
  <c r="AW787" i="1"/>
  <c r="AV787" i="1"/>
  <c r="AW786" i="1"/>
  <c r="AV786" i="1"/>
  <c r="AW785" i="1"/>
  <c r="AV785" i="1"/>
  <c r="AW784" i="1"/>
  <c r="AV784" i="1"/>
  <c r="AU784" i="1"/>
  <c r="AW783" i="1"/>
  <c r="AV783" i="1"/>
  <c r="AU783" i="1"/>
  <c r="AW782" i="1"/>
  <c r="AV782" i="1"/>
  <c r="AU782" i="1"/>
  <c r="AW781" i="1"/>
  <c r="AV781" i="1"/>
  <c r="AU781" i="1"/>
  <c r="AW780" i="1"/>
  <c r="AV780" i="1"/>
  <c r="AW779" i="1"/>
  <c r="AV779" i="1"/>
  <c r="AW778" i="1"/>
  <c r="AV778" i="1"/>
  <c r="AU778" i="1"/>
  <c r="AW777" i="1"/>
  <c r="AV777" i="1"/>
  <c r="AU777" i="1"/>
  <c r="AW776" i="1"/>
  <c r="AV776" i="1"/>
  <c r="AU776" i="1"/>
  <c r="AW775" i="1"/>
  <c r="AV775" i="1"/>
  <c r="AW774" i="1"/>
  <c r="AV774" i="1"/>
  <c r="AU774" i="1"/>
  <c r="AW773" i="1"/>
  <c r="AV773" i="1"/>
  <c r="AU773" i="1"/>
  <c r="AW772" i="1"/>
  <c r="AV772" i="1"/>
  <c r="AW771" i="1"/>
  <c r="AV771" i="1"/>
  <c r="AW770" i="1"/>
  <c r="AV770" i="1"/>
  <c r="AW769" i="1"/>
  <c r="AV769" i="1"/>
  <c r="AW768" i="1"/>
  <c r="AV768" i="1"/>
  <c r="AW767" i="1"/>
  <c r="AV767" i="1"/>
  <c r="AW766" i="1"/>
  <c r="AV766" i="1"/>
  <c r="AW765" i="1"/>
  <c r="AV765" i="1"/>
  <c r="AW764" i="1"/>
  <c r="AV764" i="1"/>
  <c r="AW763" i="1"/>
  <c r="AV763" i="1"/>
  <c r="AW762" i="1"/>
  <c r="AV762" i="1"/>
  <c r="AU762" i="1"/>
  <c r="AW761" i="1"/>
  <c r="AV761" i="1"/>
  <c r="AU761" i="1"/>
  <c r="AW760" i="1"/>
  <c r="AV760" i="1"/>
  <c r="AW759" i="1"/>
  <c r="AV759" i="1"/>
  <c r="AW758" i="1"/>
  <c r="AV758" i="1"/>
  <c r="AW757" i="1"/>
  <c r="AV757" i="1"/>
  <c r="AU757" i="1"/>
  <c r="AW756" i="1"/>
  <c r="AV756" i="1"/>
  <c r="AW755" i="1"/>
  <c r="AV755" i="1"/>
  <c r="AU755" i="1"/>
  <c r="AW754" i="1"/>
  <c r="AV754" i="1"/>
  <c r="AU754" i="1"/>
  <c r="AW753" i="1"/>
  <c r="AV753" i="1"/>
  <c r="AU753" i="1"/>
  <c r="AW752" i="1"/>
  <c r="AV752" i="1"/>
  <c r="AW751" i="1"/>
  <c r="AV751" i="1"/>
  <c r="AW750" i="1"/>
  <c r="AV750" i="1"/>
  <c r="AU750" i="1"/>
  <c r="AW749" i="1"/>
  <c r="AV749" i="1"/>
  <c r="AW748" i="1"/>
  <c r="AV748" i="1"/>
  <c r="AU748" i="1"/>
  <c r="AW747" i="1"/>
  <c r="AV747" i="1"/>
  <c r="AU747" i="1"/>
  <c r="AW746" i="1"/>
  <c r="AV746" i="1"/>
  <c r="AU746" i="1"/>
  <c r="AW745" i="1"/>
  <c r="AV745" i="1"/>
  <c r="AU745" i="1"/>
  <c r="AW744" i="1"/>
  <c r="AV744" i="1"/>
  <c r="AU744" i="1"/>
  <c r="AW743" i="1"/>
  <c r="AV743" i="1"/>
  <c r="AU743" i="1"/>
  <c r="AW742" i="1"/>
  <c r="AV742" i="1"/>
  <c r="AU742" i="1"/>
  <c r="AW741" i="1"/>
  <c r="AV741" i="1"/>
  <c r="AU741" i="1"/>
  <c r="AW740" i="1"/>
  <c r="AV740" i="1"/>
  <c r="AU740" i="1"/>
  <c r="AW739" i="1"/>
  <c r="AV739" i="1"/>
  <c r="AW738" i="1"/>
  <c r="AV738" i="1"/>
  <c r="AW737" i="1"/>
  <c r="AV737" i="1"/>
  <c r="AW736" i="1"/>
  <c r="AV736" i="1"/>
  <c r="AU736" i="1"/>
  <c r="AW735" i="1"/>
  <c r="AV735" i="1"/>
  <c r="AU735" i="1"/>
  <c r="AW734" i="1"/>
  <c r="AV734" i="1"/>
  <c r="AU734" i="1"/>
  <c r="AW733" i="1"/>
  <c r="AV733" i="1"/>
  <c r="AU733" i="1"/>
  <c r="AW732" i="1"/>
  <c r="AV732" i="1"/>
  <c r="AU732" i="1"/>
  <c r="AW731" i="1"/>
  <c r="AV731" i="1"/>
  <c r="AU731" i="1"/>
  <c r="AW730" i="1"/>
  <c r="AV730" i="1"/>
  <c r="AU730" i="1"/>
  <c r="AW729" i="1"/>
  <c r="AV729" i="1"/>
  <c r="AU729" i="1"/>
  <c r="AW728" i="1"/>
  <c r="AV728" i="1"/>
  <c r="AU728" i="1"/>
  <c r="AW727" i="1"/>
  <c r="AV727" i="1"/>
  <c r="AU727" i="1"/>
  <c r="AW726" i="1"/>
  <c r="AV726" i="1"/>
  <c r="AW725" i="1"/>
  <c r="AV725" i="1"/>
  <c r="AW724" i="1"/>
  <c r="AV724" i="1"/>
  <c r="AU724" i="1"/>
  <c r="AW723" i="1"/>
  <c r="AV723" i="1"/>
  <c r="AU723" i="1"/>
  <c r="AW722" i="1"/>
  <c r="AV722" i="1"/>
  <c r="AW721" i="1"/>
  <c r="AV721" i="1"/>
  <c r="AW720" i="1"/>
  <c r="AV720" i="1"/>
  <c r="AW719" i="1"/>
  <c r="AV719" i="1"/>
  <c r="AW718" i="1"/>
  <c r="AV718" i="1"/>
  <c r="AU718" i="1"/>
  <c r="AW717" i="1"/>
  <c r="AV717" i="1"/>
  <c r="AW716" i="1"/>
  <c r="AV716" i="1"/>
  <c r="AU716" i="1"/>
  <c r="AW715" i="1"/>
  <c r="AV715" i="1"/>
  <c r="AW714" i="1"/>
  <c r="AV714" i="1"/>
  <c r="AW713" i="1"/>
  <c r="AV713" i="1"/>
  <c r="AW712" i="1"/>
  <c r="AV712" i="1"/>
  <c r="AU712" i="1"/>
  <c r="AW711" i="1"/>
  <c r="AV711" i="1"/>
  <c r="AW710" i="1"/>
  <c r="AV710" i="1"/>
  <c r="AW709" i="1"/>
  <c r="AV709" i="1"/>
  <c r="AW708" i="1"/>
  <c r="AV708" i="1"/>
  <c r="AU708" i="1"/>
  <c r="AW707" i="1"/>
  <c r="AV707" i="1"/>
  <c r="AU707" i="1"/>
  <c r="AW706" i="1"/>
  <c r="AV706" i="1"/>
  <c r="AW705" i="1"/>
  <c r="AV705" i="1"/>
  <c r="AU705" i="1"/>
  <c r="AW704" i="1"/>
  <c r="AV704" i="1"/>
  <c r="AU704" i="1"/>
  <c r="AW703" i="1"/>
  <c r="AV703" i="1"/>
  <c r="AU703" i="1"/>
  <c r="AW702" i="1"/>
  <c r="AV702" i="1"/>
  <c r="AW701" i="1"/>
  <c r="AV701" i="1"/>
  <c r="AW700" i="1"/>
  <c r="AV700" i="1"/>
  <c r="AW699" i="1"/>
  <c r="AV699" i="1"/>
  <c r="AU699" i="1"/>
  <c r="AW698" i="1"/>
  <c r="AV698" i="1"/>
  <c r="AW697" i="1"/>
  <c r="AV697" i="1"/>
  <c r="AW696" i="1"/>
  <c r="AV696" i="1"/>
  <c r="AW695" i="1"/>
  <c r="AV695" i="1"/>
  <c r="AW694" i="1"/>
  <c r="AV694" i="1"/>
  <c r="AU694" i="1"/>
  <c r="AW693" i="1"/>
  <c r="AV693" i="1"/>
  <c r="AW692" i="1"/>
  <c r="AV692" i="1"/>
  <c r="AW691" i="1"/>
  <c r="AV691" i="1"/>
  <c r="AU691" i="1"/>
  <c r="AW690" i="1"/>
  <c r="AV690" i="1"/>
  <c r="AU690" i="1"/>
  <c r="AW689" i="1"/>
  <c r="AV689" i="1"/>
  <c r="AU689" i="1"/>
  <c r="AW688" i="1"/>
  <c r="AV688" i="1"/>
  <c r="AW687" i="1"/>
  <c r="AV687" i="1"/>
  <c r="AU687" i="1"/>
  <c r="AW686" i="1"/>
  <c r="AV686" i="1"/>
  <c r="AW685" i="1"/>
  <c r="AV685" i="1"/>
  <c r="AW684" i="1"/>
  <c r="AV684" i="1"/>
  <c r="AU684" i="1"/>
  <c r="AW683" i="1"/>
  <c r="AV683" i="1"/>
  <c r="AU683" i="1"/>
  <c r="AW682" i="1"/>
  <c r="AV682" i="1"/>
  <c r="AW681" i="1"/>
  <c r="AV681" i="1"/>
  <c r="AW680" i="1"/>
  <c r="AV680" i="1"/>
  <c r="AU680" i="1"/>
  <c r="AW679" i="1"/>
  <c r="AV679" i="1"/>
  <c r="AU679" i="1"/>
  <c r="AW678" i="1"/>
  <c r="AV678" i="1"/>
  <c r="AU678" i="1"/>
  <c r="AW677" i="1"/>
  <c r="AV677" i="1"/>
  <c r="AU677" i="1"/>
  <c r="AW676" i="1"/>
  <c r="AV676" i="1"/>
  <c r="AW675" i="1"/>
  <c r="AV675" i="1"/>
  <c r="AU675" i="1"/>
  <c r="AW674" i="1"/>
  <c r="AV674" i="1"/>
  <c r="AU674" i="1"/>
  <c r="AW673" i="1"/>
  <c r="AV673" i="1"/>
  <c r="AU673" i="1"/>
  <c r="AW672" i="1"/>
  <c r="AV672" i="1"/>
  <c r="AW671" i="1"/>
  <c r="AV671" i="1"/>
  <c r="AW670" i="1"/>
  <c r="AV670" i="1"/>
  <c r="AW669" i="1"/>
  <c r="AV669" i="1"/>
  <c r="AW668" i="1"/>
  <c r="AV668" i="1"/>
  <c r="AU668" i="1"/>
  <c r="AW667" i="1"/>
  <c r="AV667" i="1"/>
  <c r="AW666" i="1"/>
  <c r="AV666" i="1"/>
  <c r="AW665" i="1"/>
  <c r="AV665" i="1"/>
  <c r="AU665" i="1"/>
  <c r="AW664" i="1"/>
  <c r="AV664" i="1"/>
  <c r="AU664" i="1"/>
  <c r="AW663" i="1"/>
  <c r="AV663" i="1"/>
  <c r="AU663" i="1"/>
  <c r="AW662" i="1"/>
  <c r="AV662" i="1"/>
  <c r="AU662" i="1"/>
  <c r="AW661" i="1"/>
  <c r="AV661" i="1"/>
  <c r="AU661" i="1"/>
  <c r="AW660" i="1"/>
  <c r="AV660" i="1"/>
  <c r="AW659" i="1"/>
  <c r="AV659" i="1"/>
  <c r="AW658" i="1"/>
  <c r="AV658" i="1"/>
  <c r="AU658" i="1"/>
  <c r="AW657" i="1"/>
  <c r="AV657" i="1"/>
  <c r="AW656" i="1"/>
  <c r="AV656" i="1"/>
  <c r="AW655" i="1"/>
  <c r="AV655" i="1"/>
  <c r="AW654" i="1"/>
  <c r="AV654" i="1"/>
  <c r="AW653" i="1"/>
  <c r="AV653" i="1"/>
  <c r="AU653" i="1"/>
  <c r="AW652" i="1"/>
  <c r="AV652" i="1"/>
  <c r="AU652" i="1"/>
  <c r="AW651" i="1"/>
  <c r="AV651" i="1"/>
  <c r="AU651" i="1"/>
  <c r="AW650" i="1"/>
  <c r="AV650" i="1"/>
  <c r="AU650" i="1"/>
  <c r="AW649" i="1"/>
  <c r="AV649" i="1"/>
  <c r="AW648" i="1"/>
  <c r="AV648" i="1"/>
  <c r="AW647" i="1"/>
  <c r="AV647" i="1"/>
  <c r="AW646" i="1"/>
  <c r="AV646" i="1"/>
  <c r="AW645" i="1"/>
  <c r="AV645" i="1"/>
  <c r="AW644" i="1"/>
  <c r="AV644" i="1"/>
  <c r="AU644" i="1"/>
  <c r="AW643" i="1"/>
  <c r="AV643" i="1"/>
  <c r="AU643" i="1"/>
  <c r="AW642" i="1"/>
  <c r="AV642" i="1"/>
  <c r="AW641" i="1"/>
  <c r="AV641" i="1"/>
  <c r="AW640" i="1"/>
  <c r="AV640" i="1"/>
  <c r="AU640" i="1"/>
  <c r="AW639" i="1"/>
  <c r="AV639" i="1"/>
  <c r="AU639" i="1"/>
  <c r="AW638" i="1"/>
  <c r="AV638" i="1"/>
  <c r="AU638" i="1"/>
  <c r="AW637" i="1"/>
  <c r="AV637" i="1"/>
  <c r="AU637" i="1"/>
  <c r="AW636" i="1"/>
  <c r="AV636" i="1"/>
  <c r="AU636" i="1"/>
  <c r="AW635" i="1"/>
  <c r="AV635" i="1"/>
  <c r="AU635" i="1"/>
  <c r="AW634" i="1"/>
  <c r="AV634" i="1"/>
  <c r="AU634" i="1"/>
  <c r="AW633" i="1"/>
  <c r="AV633" i="1"/>
  <c r="AU633" i="1"/>
  <c r="AW632" i="1"/>
  <c r="AV632" i="1"/>
  <c r="AU632" i="1"/>
  <c r="AW631" i="1"/>
  <c r="AV631" i="1"/>
  <c r="AW630" i="1"/>
  <c r="AV630" i="1"/>
  <c r="AW629" i="1"/>
  <c r="AV629" i="1"/>
  <c r="AW628" i="1"/>
  <c r="AV628" i="1"/>
  <c r="AW627" i="1"/>
  <c r="AV627" i="1"/>
  <c r="AW626" i="1"/>
  <c r="AV626" i="1"/>
  <c r="AW625" i="1"/>
  <c r="AV625" i="1"/>
  <c r="AW624" i="1"/>
  <c r="AV624" i="1"/>
  <c r="AW623" i="1"/>
  <c r="AV623" i="1"/>
  <c r="AW622" i="1"/>
  <c r="AV622" i="1"/>
  <c r="AW621" i="1"/>
  <c r="AV621" i="1"/>
  <c r="AW620" i="1"/>
  <c r="AV620" i="1"/>
  <c r="AW619" i="1"/>
  <c r="AV619" i="1"/>
  <c r="AU619" i="1"/>
  <c r="AW618" i="1"/>
  <c r="AV618" i="1"/>
  <c r="AU618" i="1"/>
  <c r="AW617" i="1"/>
  <c r="AV617" i="1"/>
  <c r="AW616" i="1"/>
  <c r="AV616" i="1"/>
  <c r="AU616" i="1"/>
  <c r="AW615" i="1"/>
  <c r="AV615" i="1"/>
  <c r="AU615" i="1"/>
  <c r="AW614" i="1"/>
  <c r="AV614" i="1"/>
  <c r="AW613" i="1"/>
  <c r="AV613" i="1"/>
  <c r="AW612" i="1"/>
  <c r="AV612" i="1"/>
  <c r="AW611" i="1"/>
  <c r="AV611" i="1"/>
  <c r="AW610" i="1"/>
  <c r="AV610" i="1"/>
  <c r="AW609" i="1"/>
  <c r="AV609" i="1"/>
  <c r="AW608" i="1"/>
  <c r="AV608" i="1"/>
  <c r="AW607" i="1"/>
  <c r="AV607" i="1"/>
  <c r="AW606" i="1"/>
  <c r="AV606" i="1"/>
  <c r="AW605" i="1"/>
  <c r="AV605" i="1"/>
  <c r="AW604" i="1"/>
  <c r="AV604" i="1"/>
  <c r="AW603" i="1"/>
  <c r="AV603" i="1"/>
  <c r="AW602" i="1"/>
  <c r="AV602" i="1"/>
  <c r="AW601" i="1"/>
  <c r="AV601" i="1"/>
  <c r="AU601" i="1"/>
  <c r="AW600" i="1"/>
  <c r="AV600" i="1"/>
  <c r="AU600" i="1"/>
  <c r="AW599" i="1"/>
  <c r="AV599" i="1"/>
  <c r="AU599" i="1"/>
  <c r="AW598" i="1"/>
  <c r="AV598" i="1"/>
  <c r="AU598" i="1"/>
  <c r="AW597" i="1"/>
  <c r="AV597" i="1"/>
  <c r="AU597" i="1"/>
  <c r="AW596" i="1"/>
  <c r="AV596" i="1"/>
  <c r="AW595" i="1"/>
  <c r="AV595" i="1"/>
  <c r="AU595" i="1"/>
  <c r="AW594" i="1"/>
  <c r="AV594" i="1"/>
  <c r="AU594" i="1"/>
  <c r="AW593" i="1"/>
  <c r="AV593" i="1"/>
  <c r="AU593" i="1"/>
  <c r="AW592" i="1"/>
  <c r="AV592" i="1"/>
  <c r="AU592" i="1"/>
  <c r="AW591" i="1"/>
  <c r="AV591" i="1"/>
  <c r="AU591" i="1"/>
  <c r="AW590" i="1"/>
  <c r="AV590" i="1"/>
  <c r="AU590" i="1"/>
  <c r="AW589" i="1"/>
  <c r="AV589" i="1"/>
  <c r="AU589" i="1"/>
  <c r="AW588" i="1"/>
  <c r="AV588" i="1"/>
  <c r="AW587" i="1"/>
  <c r="AV587" i="1"/>
  <c r="AW586" i="1"/>
  <c r="AV586" i="1"/>
  <c r="AW585" i="1"/>
  <c r="AV585" i="1"/>
  <c r="AU585" i="1"/>
  <c r="AW584" i="1"/>
  <c r="AV584" i="1"/>
  <c r="AU584" i="1"/>
  <c r="AW583" i="1"/>
  <c r="AV583" i="1"/>
  <c r="AU583" i="1"/>
  <c r="AW582" i="1"/>
  <c r="AV582" i="1"/>
  <c r="AU582" i="1"/>
  <c r="AW581" i="1"/>
  <c r="AV581" i="1"/>
  <c r="AU581" i="1"/>
  <c r="AW580" i="1"/>
  <c r="AV580" i="1"/>
  <c r="AU580" i="1"/>
  <c r="AW579" i="1"/>
  <c r="AV579" i="1"/>
  <c r="AU579" i="1"/>
  <c r="AW578" i="1"/>
  <c r="AV578" i="1"/>
  <c r="AU578" i="1"/>
  <c r="AW577" i="1"/>
  <c r="AV577" i="1"/>
  <c r="AU577" i="1"/>
  <c r="AW576" i="1"/>
  <c r="AV576" i="1"/>
  <c r="AW575" i="1"/>
  <c r="AV575" i="1"/>
  <c r="AW574" i="1"/>
  <c r="AV574" i="1"/>
  <c r="AU574" i="1"/>
  <c r="AW573" i="1"/>
  <c r="AV573" i="1"/>
  <c r="AU573" i="1"/>
  <c r="AW572" i="1"/>
  <c r="AV572" i="1"/>
  <c r="AU572" i="1"/>
  <c r="AW571" i="1"/>
  <c r="AV571" i="1"/>
  <c r="AW570" i="1"/>
  <c r="AV570" i="1"/>
  <c r="AW569" i="1"/>
  <c r="AV569" i="1"/>
  <c r="AW568" i="1"/>
  <c r="AV568" i="1"/>
  <c r="AU568" i="1"/>
  <c r="AW567" i="1"/>
  <c r="AV567" i="1"/>
  <c r="AU567" i="1"/>
  <c r="AW566" i="1"/>
  <c r="AV566" i="1"/>
  <c r="AU566" i="1"/>
  <c r="AW565" i="1"/>
  <c r="AV565" i="1"/>
  <c r="AU565" i="1"/>
  <c r="AW564" i="1"/>
  <c r="AV564" i="1"/>
  <c r="AU564" i="1"/>
  <c r="AW563" i="1"/>
  <c r="AV563" i="1"/>
  <c r="AW562" i="1"/>
  <c r="AV562" i="1"/>
  <c r="AU562" i="1"/>
  <c r="AW561" i="1"/>
  <c r="AV561" i="1"/>
  <c r="AU561" i="1"/>
  <c r="AW560" i="1"/>
  <c r="AV560" i="1"/>
  <c r="AW559" i="1"/>
  <c r="AV559" i="1"/>
  <c r="AU559" i="1"/>
  <c r="AW558" i="1"/>
  <c r="AV558" i="1"/>
  <c r="AU558" i="1"/>
  <c r="AW557" i="1"/>
  <c r="AV557" i="1"/>
  <c r="AW556" i="1"/>
  <c r="AV556" i="1"/>
  <c r="AU556" i="1"/>
  <c r="AW555" i="1"/>
  <c r="AV555" i="1"/>
  <c r="AW554" i="1"/>
  <c r="AV554" i="1"/>
  <c r="AW553" i="1"/>
  <c r="AV553" i="1"/>
  <c r="AW552" i="1"/>
  <c r="AV552" i="1"/>
  <c r="AW551" i="1"/>
  <c r="AV551" i="1"/>
  <c r="AW550" i="1"/>
  <c r="AV550" i="1"/>
  <c r="AW549" i="1"/>
  <c r="AV549" i="1"/>
  <c r="AU549" i="1"/>
  <c r="AW548" i="1"/>
  <c r="AV548" i="1"/>
  <c r="AU548" i="1"/>
  <c r="AW547" i="1"/>
  <c r="AV547" i="1"/>
  <c r="AW546" i="1"/>
  <c r="AV546" i="1"/>
  <c r="AW545" i="1"/>
  <c r="AV545" i="1"/>
  <c r="AU545" i="1"/>
  <c r="AW544" i="1"/>
  <c r="AV544" i="1"/>
  <c r="AW543" i="1"/>
  <c r="AV543" i="1"/>
  <c r="AU543" i="1"/>
  <c r="AW542" i="1"/>
  <c r="AV542" i="1"/>
  <c r="AW541" i="1"/>
  <c r="AV541" i="1"/>
  <c r="AW540" i="1"/>
  <c r="AV540" i="1"/>
  <c r="AW539" i="1"/>
  <c r="AV539" i="1"/>
  <c r="AW538" i="1"/>
  <c r="AV538" i="1"/>
  <c r="AW537" i="1"/>
  <c r="AV537" i="1"/>
  <c r="AU537" i="1"/>
  <c r="AW536" i="1"/>
  <c r="AV536" i="1"/>
  <c r="AW535" i="1"/>
  <c r="AV535" i="1"/>
  <c r="AW534" i="1"/>
  <c r="AV534" i="1"/>
  <c r="AU534" i="1"/>
  <c r="AW533" i="1"/>
  <c r="AV533" i="1"/>
  <c r="AW532" i="1"/>
  <c r="AV532" i="1"/>
  <c r="AW531" i="1"/>
  <c r="AV531" i="1"/>
  <c r="AU531" i="1"/>
  <c r="AW530" i="1"/>
  <c r="AV530" i="1"/>
  <c r="AU530" i="1"/>
  <c r="AW529" i="1"/>
  <c r="AV529" i="1"/>
  <c r="AU529" i="1"/>
  <c r="AW528" i="1"/>
  <c r="AV528" i="1"/>
  <c r="AU528" i="1"/>
  <c r="AW527" i="1"/>
  <c r="AV527" i="1"/>
  <c r="AW526" i="1"/>
  <c r="AV526" i="1"/>
  <c r="AW525" i="1"/>
  <c r="AV525" i="1"/>
  <c r="AW524" i="1"/>
  <c r="AV524" i="1"/>
  <c r="AU524" i="1"/>
  <c r="AW523" i="1"/>
  <c r="AV523" i="1"/>
  <c r="AU523" i="1"/>
  <c r="AW522" i="1"/>
  <c r="AV522" i="1"/>
  <c r="AU522" i="1"/>
  <c r="AW521" i="1"/>
  <c r="AV521" i="1"/>
  <c r="AW520" i="1"/>
  <c r="AV520" i="1"/>
  <c r="AW519" i="1"/>
  <c r="AV519" i="1"/>
  <c r="AU519" i="1"/>
  <c r="AW518" i="1"/>
  <c r="AV518" i="1"/>
  <c r="AU518" i="1"/>
  <c r="AW517" i="1"/>
  <c r="AV517" i="1"/>
  <c r="AW516" i="1"/>
  <c r="AV516" i="1"/>
  <c r="AU516" i="1"/>
  <c r="AW515" i="1"/>
  <c r="AV515" i="1"/>
  <c r="AW514" i="1"/>
  <c r="AV514" i="1"/>
  <c r="AW513" i="1"/>
  <c r="AV513" i="1"/>
  <c r="AW512" i="1"/>
  <c r="AV512" i="1"/>
  <c r="AU512" i="1"/>
  <c r="AW511" i="1"/>
  <c r="AV511" i="1"/>
  <c r="AW510" i="1"/>
  <c r="AV510" i="1"/>
  <c r="AW509" i="1"/>
  <c r="AV509" i="1"/>
  <c r="AW508" i="1"/>
  <c r="AV508" i="1"/>
  <c r="AU508" i="1"/>
  <c r="AW507" i="1"/>
  <c r="AV507" i="1"/>
  <c r="AU507" i="1"/>
  <c r="AW506" i="1"/>
  <c r="AV506" i="1"/>
  <c r="AU506" i="1"/>
  <c r="AW505" i="1"/>
  <c r="AV505" i="1"/>
  <c r="AU505" i="1"/>
  <c r="AW504" i="1"/>
  <c r="AV504" i="1"/>
  <c r="AU504" i="1"/>
  <c r="AW503" i="1"/>
  <c r="AV503" i="1"/>
  <c r="AU503" i="1"/>
  <c r="AW502" i="1"/>
  <c r="AV502" i="1"/>
  <c r="AU502" i="1"/>
  <c r="AW501" i="1"/>
  <c r="AV501" i="1"/>
  <c r="AU501" i="1"/>
  <c r="AW500" i="1"/>
  <c r="AV500" i="1"/>
  <c r="AU500" i="1"/>
  <c r="AW499" i="1"/>
  <c r="AV499" i="1"/>
  <c r="AU499" i="1"/>
  <c r="AW498" i="1"/>
  <c r="AV498" i="1"/>
  <c r="AU498" i="1"/>
  <c r="AW497" i="1"/>
  <c r="AV497" i="1"/>
  <c r="AU497" i="1"/>
  <c r="AW496" i="1"/>
  <c r="AV496" i="1"/>
  <c r="AU496" i="1"/>
  <c r="AW495" i="1"/>
  <c r="AV495" i="1"/>
  <c r="AU495" i="1"/>
  <c r="AW494" i="1"/>
  <c r="AV494" i="1"/>
  <c r="AU494" i="1"/>
  <c r="AW493" i="1"/>
  <c r="AV493" i="1"/>
  <c r="AU493" i="1"/>
  <c r="AW492" i="1"/>
  <c r="AV492" i="1"/>
  <c r="AW491" i="1"/>
  <c r="AV491" i="1"/>
  <c r="AW490" i="1"/>
  <c r="AV490" i="1"/>
  <c r="AW489" i="1"/>
  <c r="AV489" i="1"/>
  <c r="AU489" i="1"/>
  <c r="AW488" i="1"/>
  <c r="AV488" i="1"/>
  <c r="AW487" i="1"/>
  <c r="AV487" i="1"/>
  <c r="AW486" i="1"/>
  <c r="AV486" i="1"/>
  <c r="AW485" i="1"/>
  <c r="AV485" i="1"/>
  <c r="AW484" i="1"/>
  <c r="AV484" i="1"/>
  <c r="AU484" i="1"/>
  <c r="AW483" i="1"/>
  <c r="AV483" i="1"/>
  <c r="AW482" i="1"/>
  <c r="AV482" i="1"/>
  <c r="AW481" i="1"/>
  <c r="AV481" i="1"/>
  <c r="AW480" i="1"/>
  <c r="AV480" i="1"/>
  <c r="AW479" i="1"/>
  <c r="AV479" i="1"/>
  <c r="AU479" i="1"/>
  <c r="AW478" i="1"/>
  <c r="AV478" i="1"/>
  <c r="AW477" i="1"/>
  <c r="AV477" i="1"/>
  <c r="AU477" i="1"/>
  <c r="AW476" i="1"/>
  <c r="AV476" i="1"/>
  <c r="AW475" i="1"/>
  <c r="AV475" i="1"/>
  <c r="AW474" i="1"/>
  <c r="AV474" i="1"/>
  <c r="AW473" i="1"/>
  <c r="AV473" i="1"/>
  <c r="AU473" i="1"/>
  <c r="AW472" i="1"/>
  <c r="AV472" i="1"/>
  <c r="AU472" i="1"/>
  <c r="AW471" i="1"/>
  <c r="AV471" i="1"/>
  <c r="AW470" i="1"/>
  <c r="AV470" i="1"/>
  <c r="AU470" i="1"/>
  <c r="AW469" i="1"/>
  <c r="AV469" i="1"/>
  <c r="AW468" i="1"/>
  <c r="AV468" i="1"/>
  <c r="AW467" i="1"/>
  <c r="AV467" i="1"/>
  <c r="AW466" i="1"/>
  <c r="AV466" i="1"/>
  <c r="AW465" i="1"/>
  <c r="AV465" i="1"/>
  <c r="AW464" i="1"/>
  <c r="AV464" i="1"/>
  <c r="AW463" i="1"/>
  <c r="AV463" i="1"/>
  <c r="AU463" i="1"/>
  <c r="AW462" i="1"/>
  <c r="AV462" i="1"/>
  <c r="AU462" i="1"/>
  <c r="AW461" i="1"/>
  <c r="AV461" i="1"/>
  <c r="AU461" i="1"/>
  <c r="AW460" i="1"/>
  <c r="AV460" i="1"/>
  <c r="AW459" i="1"/>
  <c r="AV459" i="1"/>
  <c r="AW458" i="1"/>
  <c r="AV458" i="1"/>
  <c r="AW457" i="1"/>
  <c r="AV457" i="1"/>
  <c r="AU457" i="1"/>
  <c r="AW456" i="1"/>
  <c r="AV456" i="1"/>
  <c r="AU456" i="1"/>
  <c r="AW455" i="1"/>
  <c r="AV455" i="1"/>
  <c r="AU455" i="1"/>
  <c r="AW454" i="1"/>
  <c r="AV454" i="1"/>
  <c r="AU454" i="1"/>
  <c r="AW453" i="1"/>
  <c r="AV453" i="1"/>
  <c r="AW452" i="1"/>
  <c r="AV452" i="1"/>
  <c r="AW451" i="1"/>
  <c r="AV451" i="1"/>
  <c r="AW450" i="1"/>
  <c r="AV450" i="1"/>
  <c r="AW449" i="1"/>
  <c r="AV449" i="1"/>
  <c r="AU449" i="1"/>
  <c r="AW448" i="1"/>
  <c r="AV448" i="1"/>
  <c r="AW447" i="1"/>
  <c r="AV447" i="1"/>
  <c r="AW446" i="1"/>
  <c r="AV446" i="1"/>
  <c r="AW445" i="1"/>
  <c r="AV445" i="1"/>
  <c r="AW444" i="1"/>
  <c r="AV444" i="1"/>
  <c r="AW443" i="1"/>
  <c r="AV443" i="1"/>
  <c r="AW442" i="1"/>
  <c r="AV442" i="1"/>
  <c r="AW441" i="1"/>
  <c r="AV441" i="1"/>
  <c r="AW440" i="1"/>
  <c r="AV440" i="1"/>
  <c r="AU440" i="1"/>
  <c r="AW439" i="1"/>
  <c r="AV439" i="1"/>
  <c r="AW438" i="1"/>
  <c r="AV438" i="1"/>
  <c r="AW437" i="1"/>
  <c r="AV437" i="1"/>
  <c r="AU437" i="1"/>
  <c r="AW436" i="1"/>
  <c r="AV436" i="1"/>
  <c r="AW435" i="1"/>
  <c r="AV435" i="1"/>
  <c r="AU435" i="1"/>
  <c r="AW434" i="1"/>
  <c r="AV434" i="1"/>
  <c r="AW433" i="1"/>
  <c r="AV433" i="1"/>
  <c r="AU433" i="1"/>
  <c r="AW432" i="1"/>
  <c r="AV432" i="1"/>
  <c r="AU432" i="1"/>
  <c r="AW431" i="1"/>
  <c r="AV431" i="1"/>
  <c r="AU431" i="1"/>
  <c r="AW430" i="1"/>
  <c r="AV430" i="1"/>
  <c r="AU430" i="1"/>
  <c r="AW429" i="1"/>
  <c r="AV429" i="1"/>
  <c r="AW428" i="1"/>
  <c r="AV428" i="1"/>
  <c r="AU428" i="1"/>
  <c r="AW427" i="1"/>
  <c r="AV427" i="1"/>
  <c r="AW426" i="1"/>
  <c r="AV426" i="1"/>
  <c r="AW425" i="1"/>
  <c r="AV425" i="1"/>
  <c r="AW424" i="1"/>
  <c r="AV424" i="1"/>
  <c r="AW423" i="1"/>
  <c r="AV423" i="1"/>
  <c r="AU423" i="1"/>
  <c r="AW422" i="1"/>
  <c r="AV422" i="1"/>
  <c r="AW421" i="1"/>
  <c r="AV421" i="1"/>
  <c r="AW420" i="1"/>
  <c r="AV420" i="1"/>
  <c r="AU420" i="1"/>
  <c r="AW419" i="1"/>
  <c r="AV419" i="1"/>
  <c r="AW418" i="1"/>
  <c r="AV418" i="1"/>
  <c r="AU418" i="1"/>
  <c r="AW417" i="1"/>
  <c r="AV417" i="1"/>
  <c r="AW416" i="1"/>
  <c r="AV416" i="1"/>
  <c r="AU416" i="1"/>
  <c r="AW415" i="1"/>
  <c r="AV415" i="1"/>
  <c r="AU415" i="1"/>
  <c r="AW414" i="1"/>
  <c r="AV414" i="1"/>
  <c r="AU414" i="1"/>
  <c r="AW413" i="1"/>
  <c r="AV413" i="1"/>
  <c r="AU413" i="1"/>
  <c r="AW412" i="1"/>
  <c r="AV412" i="1"/>
  <c r="AW411" i="1"/>
  <c r="AV411" i="1"/>
  <c r="AU411" i="1"/>
  <c r="AW410" i="1"/>
  <c r="AV410" i="1"/>
  <c r="AU410" i="1"/>
  <c r="AW409" i="1"/>
  <c r="AV409" i="1"/>
  <c r="AW408" i="1"/>
  <c r="AV408" i="1"/>
  <c r="AW407" i="1"/>
  <c r="AV407" i="1"/>
  <c r="AW406" i="1"/>
  <c r="AV406" i="1"/>
  <c r="AW405" i="1"/>
  <c r="AV405" i="1"/>
  <c r="AW404" i="1"/>
  <c r="AV404" i="1"/>
  <c r="AU404" i="1"/>
  <c r="AW403" i="1"/>
  <c r="AV403" i="1"/>
  <c r="AW402" i="1"/>
  <c r="AV402" i="1"/>
  <c r="AU402" i="1"/>
  <c r="AW401" i="1"/>
  <c r="AV401" i="1"/>
  <c r="AU401" i="1"/>
  <c r="AW400" i="1"/>
  <c r="AV400" i="1"/>
  <c r="AU400" i="1"/>
  <c r="AW399" i="1"/>
  <c r="AV399" i="1"/>
  <c r="AW398" i="1"/>
  <c r="AV398" i="1"/>
  <c r="AW397" i="1"/>
  <c r="AV397" i="1"/>
  <c r="AU397" i="1"/>
  <c r="AW396" i="1"/>
  <c r="AV396" i="1"/>
  <c r="AU396" i="1"/>
  <c r="AW395" i="1"/>
  <c r="AV395" i="1"/>
  <c r="AW394" i="1"/>
  <c r="AV394" i="1"/>
  <c r="AW393" i="1"/>
  <c r="AV393" i="1"/>
  <c r="AW392" i="1"/>
  <c r="AV392" i="1"/>
  <c r="AU392" i="1"/>
  <c r="AW391" i="1"/>
  <c r="AV391" i="1"/>
  <c r="AU391" i="1"/>
  <c r="AW390" i="1"/>
  <c r="AV390" i="1"/>
  <c r="AU390" i="1"/>
  <c r="AW389" i="1"/>
  <c r="AV389" i="1"/>
  <c r="AU389" i="1"/>
  <c r="AW388" i="1"/>
  <c r="AV388" i="1"/>
  <c r="AW387" i="1"/>
  <c r="AV387" i="1"/>
  <c r="AW386" i="1"/>
  <c r="AV386" i="1"/>
  <c r="AW385" i="1"/>
  <c r="AV385" i="1"/>
  <c r="AW384" i="1"/>
  <c r="AV384" i="1"/>
  <c r="AW383" i="1"/>
  <c r="AV383" i="1"/>
  <c r="AW382" i="1"/>
  <c r="AV382" i="1"/>
  <c r="AU382" i="1"/>
  <c r="AW381" i="1"/>
  <c r="AV381" i="1"/>
  <c r="AW380" i="1"/>
  <c r="AV380" i="1"/>
  <c r="AU380" i="1"/>
  <c r="AW379" i="1"/>
  <c r="AV379" i="1"/>
  <c r="AW378" i="1"/>
  <c r="AV378" i="1"/>
  <c r="AW377" i="1"/>
  <c r="AV377" i="1"/>
  <c r="AW376" i="1"/>
  <c r="AV376" i="1"/>
  <c r="AW375" i="1"/>
  <c r="AV375" i="1"/>
  <c r="AU375" i="1"/>
  <c r="AW374" i="1"/>
  <c r="AV374" i="1"/>
  <c r="AW373" i="1"/>
  <c r="AV373" i="1"/>
  <c r="AW372" i="1"/>
  <c r="AV372" i="1"/>
  <c r="AU372" i="1"/>
  <c r="AW371" i="1"/>
  <c r="AV371" i="1"/>
  <c r="AU371" i="1"/>
  <c r="AW370" i="1"/>
  <c r="AV370" i="1"/>
  <c r="AW369" i="1"/>
  <c r="AV369" i="1"/>
  <c r="AW368" i="1"/>
  <c r="AV368" i="1"/>
  <c r="AW367" i="1"/>
  <c r="AV367" i="1"/>
  <c r="AU367" i="1"/>
  <c r="AW366" i="1"/>
  <c r="AV366" i="1"/>
  <c r="AW365" i="1"/>
  <c r="AV365" i="1"/>
  <c r="AW364" i="1"/>
  <c r="AV364" i="1"/>
  <c r="AW363" i="1"/>
  <c r="AV363" i="1"/>
  <c r="AW362" i="1"/>
  <c r="AV362" i="1"/>
  <c r="AW361" i="1"/>
  <c r="AV361" i="1"/>
  <c r="AW360" i="1"/>
  <c r="AV360" i="1"/>
  <c r="AW359" i="1"/>
  <c r="AV359" i="1"/>
  <c r="AW358" i="1"/>
  <c r="AV358" i="1"/>
  <c r="AW357" i="1"/>
  <c r="AV357" i="1"/>
  <c r="AW356" i="1"/>
  <c r="AV356" i="1"/>
  <c r="AW355" i="1"/>
  <c r="AV355" i="1"/>
  <c r="AW354" i="1"/>
  <c r="AV354" i="1"/>
  <c r="AW353" i="1"/>
  <c r="AV353" i="1"/>
  <c r="AW352" i="1"/>
  <c r="AV352" i="1"/>
  <c r="AU352" i="1"/>
  <c r="AW351" i="1"/>
  <c r="AV351" i="1"/>
  <c r="AW350" i="1"/>
  <c r="AV350" i="1"/>
  <c r="AU350" i="1"/>
  <c r="AW349" i="1"/>
  <c r="AV349" i="1"/>
  <c r="AW348" i="1"/>
  <c r="AV348" i="1"/>
  <c r="AW347" i="1"/>
  <c r="AV347" i="1"/>
  <c r="AU347" i="1"/>
  <c r="AW346" i="1"/>
  <c r="AV346" i="1"/>
  <c r="AW345" i="1"/>
  <c r="AV345" i="1"/>
  <c r="AU345" i="1"/>
  <c r="AW344" i="1"/>
  <c r="AV344" i="1"/>
  <c r="AW343" i="1"/>
  <c r="AV343" i="1"/>
  <c r="AW342" i="1"/>
  <c r="AV342" i="1"/>
  <c r="AW341" i="1"/>
  <c r="AV341" i="1"/>
  <c r="AW340" i="1"/>
  <c r="AV340" i="1"/>
  <c r="AW339" i="1"/>
  <c r="AV339" i="1"/>
  <c r="AW338" i="1"/>
  <c r="AV338" i="1"/>
  <c r="AW337" i="1"/>
  <c r="AV337" i="1"/>
  <c r="AW336" i="1"/>
  <c r="AV336" i="1"/>
  <c r="AW335" i="1"/>
  <c r="AV335" i="1"/>
  <c r="AW334" i="1"/>
  <c r="AV334" i="1"/>
  <c r="AW333" i="1"/>
  <c r="AV333" i="1"/>
  <c r="AU333" i="1"/>
  <c r="AW332" i="1"/>
  <c r="AV332" i="1"/>
  <c r="AU332" i="1"/>
  <c r="AW331" i="1"/>
  <c r="AV331" i="1"/>
  <c r="AW330" i="1"/>
  <c r="AV330" i="1"/>
  <c r="AU330" i="1"/>
  <c r="AW329" i="1"/>
  <c r="AV329" i="1"/>
  <c r="AW328" i="1"/>
  <c r="AV328" i="1"/>
  <c r="AW327" i="1"/>
  <c r="AV327" i="1"/>
  <c r="AU327" i="1"/>
  <c r="AW326" i="1"/>
  <c r="AV326" i="1"/>
  <c r="AW325" i="1"/>
  <c r="AV325" i="1"/>
  <c r="AW324" i="1"/>
  <c r="AV324" i="1"/>
  <c r="AW323" i="1"/>
  <c r="AV323" i="1"/>
  <c r="AW322" i="1"/>
  <c r="AV322" i="1"/>
  <c r="AW321" i="1"/>
  <c r="AV321" i="1"/>
  <c r="AW320" i="1"/>
  <c r="AV320" i="1"/>
  <c r="AW319" i="1"/>
  <c r="AV319" i="1"/>
  <c r="AW318" i="1"/>
  <c r="AV318" i="1"/>
  <c r="AU318" i="1"/>
  <c r="AW317" i="1"/>
  <c r="AV317" i="1"/>
  <c r="AW316" i="1"/>
  <c r="AV316" i="1"/>
  <c r="AU316" i="1"/>
  <c r="AW315" i="1"/>
  <c r="AV315" i="1"/>
  <c r="AU315" i="1"/>
  <c r="AW314" i="1"/>
  <c r="AV314" i="1"/>
  <c r="AW313" i="1"/>
  <c r="AV313" i="1"/>
  <c r="AW312" i="1"/>
  <c r="AV312" i="1"/>
  <c r="AW311" i="1"/>
  <c r="AV311" i="1"/>
  <c r="AW310" i="1"/>
  <c r="AV310" i="1"/>
  <c r="AU310" i="1"/>
  <c r="AW309" i="1"/>
  <c r="AV309" i="1"/>
  <c r="AW308" i="1"/>
  <c r="AV308" i="1"/>
  <c r="AU308" i="1"/>
  <c r="AW307" i="1"/>
  <c r="AV307" i="1"/>
  <c r="AU307" i="1"/>
  <c r="AW306" i="1"/>
  <c r="AV306" i="1"/>
  <c r="AW305" i="1"/>
  <c r="AV305" i="1"/>
  <c r="AW304" i="1"/>
  <c r="AV304" i="1"/>
  <c r="AU304" i="1"/>
  <c r="AW303" i="1"/>
  <c r="AV303" i="1"/>
  <c r="AW302" i="1"/>
  <c r="AV302" i="1"/>
  <c r="AU302" i="1"/>
  <c r="AW301" i="1"/>
  <c r="AV301" i="1"/>
  <c r="AU301" i="1"/>
  <c r="AW300" i="1"/>
  <c r="AV300" i="1"/>
  <c r="AU300" i="1"/>
  <c r="AW299" i="1"/>
  <c r="AV299" i="1"/>
  <c r="AU299" i="1"/>
  <c r="AW298" i="1"/>
  <c r="AV298" i="1"/>
  <c r="AW297" i="1"/>
  <c r="AV297" i="1"/>
  <c r="AW296" i="1"/>
  <c r="AV296" i="1"/>
  <c r="AW295" i="1"/>
  <c r="AV295" i="1"/>
  <c r="AW294" i="1"/>
  <c r="AV294" i="1"/>
  <c r="AW293" i="1"/>
  <c r="AV293" i="1"/>
  <c r="AW292" i="1"/>
  <c r="AV292" i="1"/>
  <c r="AU292" i="1"/>
  <c r="AW291" i="1"/>
  <c r="AV291" i="1"/>
  <c r="AU291" i="1"/>
  <c r="AW290" i="1"/>
  <c r="AV290" i="1"/>
  <c r="AU290" i="1"/>
  <c r="AW289" i="1"/>
  <c r="AV289" i="1"/>
  <c r="AW288" i="1"/>
  <c r="AV288" i="1"/>
  <c r="AW287" i="1"/>
  <c r="AV287" i="1"/>
  <c r="AW286" i="1"/>
  <c r="AV286" i="1"/>
  <c r="AW285" i="1"/>
  <c r="AV285" i="1"/>
  <c r="AU285" i="1"/>
  <c r="AW284" i="1"/>
  <c r="AV284" i="1"/>
  <c r="AW283" i="1"/>
  <c r="AV283" i="1"/>
  <c r="AW282" i="1"/>
  <c r="AV282" i="1"/>
  <c r="AW281" i="1"/>
  <c r="AV281" i="1"/>
  <c r="AU281" i="1"/>
  <c r="AW280" i="1"/>
  <c r="AV280" i="1"/>
  <c r="AU280" i="1"/>
  <c r="AW279" i="1"/>
  <c r="AV279" i="1"/>
  <c r="AW278" i="1"/>
  <c r="AV278" i="1"/>
  <c r="AU278" i="1"/>
  <c r="AW277" i="1"/>
  <c r="AV277" i="1"/>
  <c r="AW276" i="1"/>
  <c r="AV276" i="1"/>
  <c r="AU276" i="1"/>
  <c r="AW275" i="1"/>
  <c r="AV275" i="1"/>
  <c r="AW274" i="1"/>
  <c r="AV274" i="1"/>
  <c r="AU274" i="1"/>
  <c r="AW273" i="1"/>
  <c r="AV273" i="1"/>
  <c r="AW272" i="1"/>
  <c r="AV272" i="1"/>
  <c r="AU272" i="1"/>
  <c r="AW271" i="1"/>
  <c r="AV271" i="1"/>
  <c r="AW270" i="1"/>
  <c r="AV270" i="1"/>
  <c r="AW269" i="1"/>
  <c r="AV269" i="1"/>
  <c r="AW268" i="1"/>
  <c r="AV268" i="1"/>
  <c r="AW267" i="1"/>
  <c r="AV267" i="1"/>
  <c r="AU267" i="1"/>
  <c r="AW266" i="1"/>
  <c r="AV266" i="1"/>
  <c r="AU266" i="1"/>
  <c r="AW265" i="1"/>
  <c r="AV265" i="1"/>
  <c r="AU265" i="1"/>
  <c r="AW264" i="1"/>
  <c r="AV264" i="1"/>
  <c r="AU264" i="1"/>
  <c r="AW263" i="1"/>
  <c r="AV263" i="1"/>
  <c r="AU263" i="1"/>
  <c r="AW262" i="1"/>
  <c r="AV262" i="1"/>
  <c r="AU262" i="1"/>
  <c r="AW261" i="1"/>
  <c r="AV261" i="1"/>
  <c r="AU261" i="1"/>
  <c r="AW260" i="1"/>
  <c r="AV260" i="1"/>
  <c r="AW259" i="1"/>
  <c r="AV259" i="1"/>
  <c r="AW258" i="1"/>
  <c r="AV258" i="1"/>
  <c r="AU258" i="1"/>
  <c r="AW257" i="1"/>
  <c r="AV257" i="1"/>
  <c r="AU257" i="1"/>
  <c r="AW256" i="1"/>
  <c r="AV256" i="1"/>
  <c r="AU256" i="1"/>
  <c r="AW255" i="1"/>
  <c r="AV255" i="1"/>
  <c r="AU255" i="1"/>
  <c r="AW254" i="1"/>
  <c r="AV254" i="1"/>
  <c r="AU254" i="1"/>
  <c r="AW253" i="1"/>
  <c r="AV253" i="1"/>
  <c r="AU253" i="1"/>
  <c r="AW252" i="1"/>
  <c r="AV252" i="1"/>
  <c r="AU252" i="1"/>
  <c r="AW251" i="1"/>
  <c r="AV251" i="1"/>
  <c r="AU251" i="1"/>
  <c r="AW250" i="1"/>
  <c r="AV250" i="1"/>
  <c r="AU250" i="1"/>
  <c r="AW249" i="1"/>
  <c r="AV249" i="1"/>
  <c r="AU249" i="1"/>
  <c r="AW248" i="1"/>
  <c r="AV248" i="1"/>
  <c r="AU248" i="1"/>
  <c r="AW247" i="1"/>
  <c r="AV247" i="1"/>
  <c r="AU247" i="1"/>
  <c r="AW246" i="1"/>
  <c r="AV246" i="1"/>
  <c r="AU246" i="1"/>
  <c r="AW245" i="1"/>
  <c r="AV245" i="1"/>
  <c r="AU245" i="1"/>
  <c r="AW244" i="1"/>
  <c r="AV244" i="1"/>
  <c r="AU244" i="1"/>
  <c r="AW243" i="1"/>
  <c r="AV243" i="1"/>
  <c r="AW242" i="1"/>
  <c r="AV242" i="1"/>
  <c r="AU242" i="1"/>
  <c r="AW241" i="1"/>
  <c r="AV241" i="1"/>
  <c r="AU241" i="1"/>
  <c r="AW240" i="1"/>
  <c r="AV240" i="1"/>
  <c r="AU240" i="1"/>
  <c r="AW239" i="1"/>
  <c r="AV239" i="1"/>
  <c r="AW238" i="1"/>
  <c r="AV238" i="1"/>
  <c r="AU238" i="1"/>
  <c r="AW237" i="1"/>
  <c r="AV237" i="1"/>
  <c r="AW236" i="1"/>
  <c r="AV236" i="1"/>
  <c r="AW235" i="1"/>
  <c r="AV235" i="1"/>
  <c r="AW234" i="1"/>
  <c r="AV234" i="1"/>
  <c r="AU234" i="1"/>
  <c r="AW233" i="1"/>
  <c r="AV233" i="1"/>
  <c r="AU233" i="1"/>
  <c r="AW232" i="1"/>
  <c r="AV232" i="1"/>
  <c r="AU232" i="1"/>
  <c r="AW231" i="1"/>
  <c r="AV231" i="1"/>
  <c r="AU231" i="1"/>
  <c r="AW230" i="1"/>
  <c r="AV230" i="1"/>
  <c r="AW229" i="1"/>
  <c r="AV229" i="1"/>
  <c r="AU229" i="1"/>
  <c r="AW228" i="1"/>
  <c r="AV228" i="1"/>
  <c r="AU228" i="1"/>
  <c r="AW227" i="1"/>
  <c r="AV227" i="1"/>
  <c r="AW226" i="1"/>
  <c r="AV226" i="1"/>
  <c r="AU226" i="1"/>
  <c r="AW225" i="1"/>
  <c r="AV225" i="1"/>
  <c r="AU225" i="1"/>
  <c r="AW224" i="1"/>
  <c r="AV224" i="1"/>
  <c r="AU224" i="1"/>
  <c r="AW223" i="1"/>
  <c r="AV223" i="1"/>
  <c r="AU223" i="1"/>
  <c r="AW222" i="1"/>
  <c r="AV222" i="1"/>
  <c r="AW221" i="1"/>
  <c r="AV221" i="1"/>
  <c r="AU221" i="1"/>
  <c r="AW220" i="1"/>
  <c r="AV220" i="1"/>
  <c r="AW219" i="1"/>
  <c r="AV219" i="1"/>
  <c r="AU219" i="1"/>
  <c r="AW218" i="1"/>
  <c r="AV218" i="1"/>
  <c r="AU218" i="1"/>
  <c r="AW217" i="1"/>
  <c r="AV217" i="1"/>
  <c r="AW216" i="1"/>
  <c r="AV216" i="1"/>
  <c r="AW215" i="1"/>
  <c r="AV215" i="1"/>
  <c r="AW214" i="1"/>
  <c r="AV214" i="1"/>
  <c r="AW213" i="1"/>
  <c r="AV213" i="1"/>
  <c r="AU213" i="1"/>
  <c r="AW212" i="1"/>
  <c r="AV212" i="1"/>
  <c r="AU212" i="1"/>
  <c r="AW211" i="1"/>
  <c r="AV211" i="1"/>
  <c r="AU211" i="1"/>
  <c r="AW210" i="1"/>
  <c r="AV210" i="1"/>
  <c r="AU210" i="1"/>
  <c r="AW209" i="1"/>
  <c r="AV209" i="1"/>
  <c r="AU209" i="1"/>
  <c r="AW208" i="1"/>
  <c r="AV208" i="1"/>
  <c r="AW207" i="1"/>
  <c r="AV207" i="1"/>
  <c r="AU207" i="1"/>
  <c r="AW206" i="1"/>
  <c r="AV206" i="1"/>
  <c r="AU206" i="1"/>
  <c r="AW205" i="1"/>
  <c r="AV205" i="1"/>
  <c r="AU205" i="1"/>
  <c r="AW204" i="1"/>
  <c r="AV204" i="1"/>
  <c r="AU204" i="1"/>
  <c r="AW203" i="1"/>
  <c r="AV203" i="1"/>
  <c r="AU203" i="1"/>
  <c r="AW202" i="1"/>
  <c r="AV202" i="1"/>
  <c r="AU202" i="1"/>
  <c r="AW201" i="1"/>
  <c r="AV201" i="1"/>
  <c r="AU201" i="1"/>
  <c r="AW200" i="1"/>
  <c r="AV200" i="1"/>
  <c r="AW199" i="1"/>
  <c r="AV199" i="1"/>
  <c r="AW198" i="1"/>
  <c r="AV198" i="1"/>
  <c r="AW197" i="1"/>
  <c r="AV197" i="1"/>
  <c r="AW196" i="1"/>
  <c r="AV196" i="1"/>
  <c r="AW195" i="1"/>
  <c r="AV195" i="1"/>
  <c r="AW194" i="1"/>
  <c r="AV194" i="1"/>
  <c r="AW193" i="1"/>
  <c r="AV193" i="1"/>
  <c r="AW192" i="1"/>
  <c r="AV192" i="1"/>
  <c r="AW191" i="1"/>
  <c r="AV191" i="1"/>
  <c r="AW190" i="1"/>
  <c r="AV190" i="1"/>
  <c r="AW189" i="1"/>
  <c r="AV189" i="1"/>
  <c r="AU189" i="1"/>
  <c r="AW188" i="1"/>
  <c r="AV188" i="1"/>
  <c r="AW187" i="1"/>
  <c r="AV187" i="1"/>
  <c r="AW186" i="1"/>
  <c r="AV186" i="1"/>
  <c r="AW185" i="1"/>
  <c r="AV185" i="1"/>
  <c r="AU185" i="1"/>
  <c r="AW184" i="1"/>
  <c r="AV184" i="1"/>
  <c r="AW183" i="1"/>
  <c r="AV183" i="1"/>
  <c r="AW182" i="1"/>
  <c r="AV182" i="1"/>
  <c r="AW181" i="1"/>
  <c r="AV181" i="1"/>
  <c r="AU181" i="1"/>
  <c r="AW180" i="1"/>
  <c r="AV180" i="1"/>
  <c r="AW179" i="1"/>
  <c r="AV179" i="1"/>
  <c r="AW178" i="1"/>
  <c r="AV178" i="1"/>
  <c r="AW177" i="1"/>
  <c r="AV177" i="1"/>
  <c r="AW176" i="1"/>
  <c r="AV176" i="1"/>
  <c r="AW175" i="1"/>
  <c r="AV175" i="1"/>
  <c r="AW174" i="1"/>
  <c r="AV174" i="1"/>
  <c r="AW173" i="1"/>
  <c r="AV173" i="1"/>
  <c r="AW172" i="1"/>
  <c r="AV172" i="1"/>
  <c r="AW171" i="1"/>
  <c r="AV171" i="1"/>
  <c r="AU171" i="1"/>
  <c r="AW170" i="1"/>
  <c r="AV170" i="1"/>
  <c r="AW169" i="1"/>
  <c r="AV169" i="1"/>
  <c r="AW168" i="1"/>
  <c r="AV168" i="1"/>
  <c r="AW167" i="1"/>
  <c r="AV167" i="1"/>
  <c r="AW166" i="1"/>
  <c r="AV166" i="1"/>
  <c r="AW165" i="1"/>
  <c r="AV165" i="1"/>
  <c r="AW164" i="1"/>
  <c r="AV164" i="1"/>
  <c r="AW163" i="1"/>
  <c r="AV163" i="1"/>
  <c r="AU163" i="1"/>
  <c r="AW162" i="1"/>
  <c r="AV162" i="1"/>
  <c r="AU162" i="1"/>
  <c r="AW161" i="1"/>
  <c r="AV161" i="1"/>
  <c r="AU161" i="1"/>
  <c r="AW160" i="1"/>
  <c r="AV160" i="1"/>
  <c r="AU160" i="1"/>
  <c r="AW159" i="1"/>
  <c r="AV159" i="1"/>
  <c r="AU159" i="1"/>
  <c r="AW158" i="1"/>
  <c r="AV158" i="1"/>
  <c r="AU158" i="1"/>
  <c r="AW157" i="1"/>
  <c r="AV157" i="1"/>
  <c r="AU157" i="1"/>
  <c r="AW156" i="1"/>
  <c r="AV156" i="1"/>
  <c r="AU156" i="1"/>
  <c r="AW155" i="1"/>
  <c r="AV155" i="1"/>
  <c r="AU155" i="1"/>
  <c r="AW154" i="1"/>
  <c r="AV154" i="1"/>
  <c r="AU154" i="1"/>
  <c r="AW153" i="1"/>
  <c r="AV153" i="1"/>
  <c r="AU153" i="1"/>
  <c r="AW152" i="1"/>
  <c r="AV152" i="1"/>
  <c r="AU152" i="1"/>
  <c r="AW151" i="1"/>
  <c r="AV151" i="1"/>
  <c r="AU151" i="1"/>
  <c r="AW150" i="1"/>
  <c r="AV150" i="1"/>
  <c r="AU150" i="1"/>
  <c r="AW149" i="1"/>
  <c r="AV149" i="1"/>
  <c r="AW148" i="1"/>
  <c r="AV148" i="1"/>
  <c r="AW147" i="1"/>
  <c r="AV147" i="1"/>
  <c r="AW146" i="1"/>
  <c r="AV146" i="1"/>
  <c r="AW145" i="1"/>
  <c r="AV145" i="1"/>
  <c r="AU145" i="1"/>
  <c r="AW144" i="1"/>
  <c r="AV144" i="1"/>
  <c r="AU144" i="1"/>
  <c r="AW143" i="1"/>
  <c r="AV143" i="1"/>
  <c r="AW142" i="1"/>
  <c r="AV142" i="1"/>
  <c r="AU142" i="1"/>
  <c r="AW141" i="1"/>
  <c r="AV141" i="1"/>
  <c r="AU141" i="1"/>
  <c r="AW140" i="1"/>
  <c r="AV140" i="1"/>
  <c r="AU140" i="1"/>
  <c r="AW139" i="1"/>
  <c r="AV139" i="1"/>
  <c r="AU139" i="1"/>
  <c r="AW138" i="1"/>
  <c r="AV138" i="1"/>
  <c r="AU138" i="1"/>
  <c r="AW137" i="1"/>
  <c r="AV137" i="1"/>
  <c r="AU137" i="1"/>
  <c r="AW136" i="1"/>
  <c r="AV136" i="1"/>
  <c r="AU136" i="1"/>
  <c r="AW135" i="1"/>
  <c r="AV135" i="1"/>
  <c r="AU135" i="1"/>
  <c r="AW134" i="1"/>
  <c r="AV134" i="1"/>
  <c r="AW133" i="1"/>
  <c r="AV133" i="1"/>
  <c r="AW132" i="1"/>
  <c r="AV132" i="1"/>
  <c r="AW131" i="1"/>
  <c r="AV131" i="1"/>
  <c r="AW130" i="1"/>
  <c r="AV130" i="1"/>
  <c r="AW129" i="1"/>
  <c r="AV129" i="1"/>
  <c r="AW128" i="1"/>
  <c r="AV128" i="1"/>
  <c r="AW127" i="1"/>
  <c r="AV127" i="1"/>
  <c r="AW126" i="1"/>
  <c r="AV126" i="1"/>
  <c r="AW125" i="1"/>
  <c r="AV125" i="1"/>
  <c r="AW124" i="1"/>
  <c r="AV124" i="1"/>
  <c r="AW123" i="1"/>
  <c r="AV123" i="1"/>
  <c r="AW122" i="1"/>
  <c r="AV122" i="1"/>
  <c r="AW121" i="1"/>
  <c r="AV121" i="1"/>
  <c r="AW120" i="1"/>
  <c r="AV120" i="1"/>
  <c r="AU120" i="1"/>
  <c r="AW119" i="1"/>
  <c r="AV119" i="1"/>
  <c r="AU119" i="1"/>
  <c r="AW118" i="1"/>
  <c r="AV118" i="1"/>
  <c r="AU118" i="1"/>
  <c r="AW117" i="1"/>
  <c r="AV117" i="1"/>
  <c r="AU117" i="1"/>
  <c r="AW116" i="1"/>
  <c r="AV116" i="1"/>
  <c r="AU116" i="1"/>
  <c r="AW115" i="1"/>
  <c r="AV115" i="1"/>
  <c r="AU115" i="1"/>
  <c r="AW114" i="1"/>
  <c r="AV114" i="1"/>
  <c r="AU114" i="1"/>
  <c r="AW113" i="1"/>
  <c r="AV113" i="1"/>
  <c r="AU113" i="1"/>
  <c r="AW112" i="1"/>
  <c r="AV112" i="1"/>
  <c r="AU112" i="1"/>
  <c r="AW111" i="1"/>
  <c r="AV111" i="1"/>
  <c r="AU111" i="1"/>
  <c r="AW110" i="1"/>
  <c r="AV110" i="1"/>
  <c r="AU110" i="1"/>
  <c r="AW109" i="1"/>
  <c r="AV109" i="1"/>
  <c r="AU109" i="1"/>
  <c r="AW108" i="1"/>
  <c r="AV108" i="1"/>
  <c r="AU108" i="1"/>
  <c r="AW107" i="1"/>
  <c r="AV107" i="1"/>
  <c r="AU107" i="1"/>
  <c r="AW106" i="1"/>
  <c r="AV106" i="1"/>
  <c r="AU106" i="1"/>
  <c r="AW105" i="1"/>
  <c r="AV105" i="1"/>
  <c r="AU105" i="1"/>
  <c r="AW104" i="1"/>
  <c r="AV104" i="1"/>
  <c r="AU104" i="1"/>
  <c r="AW103" i="1"/>
  <c r="AV103" i="1"/>
  <c r="AU103" i="1"/>
  <c r="AW102" i="1"/>
  <c r="AV102" i="1"/>
  <c r="AU102" i="1"/>
  <c r="AW101" i="1"/>
  <c r="AV101" i="1"/>
  <c r="AU101" i="1"/>
  <c r="AW100" i="1"/>
  <c r="AV100" i="1"/>
  <c r="AW99" i="1"/>
  <c r="AV99" i="1"/>
  <c r="AU99" i="1"/>
  <c r="AW98" i="1"/>
  <c r="AV98" i="1"/>
  <c r="AU98" i="1"/>
  <c r="AW97" i="1"/>
  <c r="AV97" i="1"/>
  <c r="AU97" i="1"/>
  <c r="AW96" i="1"/>
  <c r="AV96" i="1"/>
  <c r="AU96" i="1"/>
  <c r="AW95" i="1"/>
  <c r="AV95" i="1"/>
  <c r="AU95" i="1"/>
  <c r="AW94" i="1"/>
  <c r="AV94" i="1"/>
  <c r="AU94" i="1"/>
  <c r="AW93" i="1"/>
  <c r="AV93" i="1"/>
  <c r="AW92" i="1"/>
  <c r="AV92" i="1"/>
  <c r="AU92" i="1"/>
  <c r="AW91" i="1"/>
  <c r="AV91" i="1"/>
  <c r="AU91" i="1"/>
  <c r="AW90" i="1"/>
  <c r="AV90" i="1"/>
  <c r="AU90" i="1"/>
  <c r="AW89" i="1"/>
  <c r="AV89" i="1"/>
  <c r="AW88" i="1"/>
  <c r="AV88" i="1"/>
  <c r="AW87" i="1"/>
  <c r="AV87" i="1"/>
  <c r="AW86" i="1"/>
  <c r="AV86" i="1"/>
  <c r="AW85" i="1"/>
  <c r="AV85" i="1"/>
  <c r="AW84" i="1"/>
  <c r="AV84" i="1"/>
  <c r="AW83" i="1"/>
  <c r="AV83" i="1"/>
  <c r="AW82" i="1"/>
  <c r="AV82" i="1"/>
  <c r="AW81" i="1"/>
  <c r="AV81" i="1"/>
  <c r="AW80" i="1"/>
  <c r="AV80" i="1"/>
  <c r="AW79" i="1"/>
  <c r="AV79" i="1"/>
  <c r="AW78" i="1"/>
  <c r="AV78" i="1"/>
  <c r="AW77" i="1"/>
  <c r="AV77" i="1"/>
  <c r="AW76" i="1"/>
  <c r="AV76" i="1"/>
  <c r="AW75" i="1"/>
  <c r="AV75" i="1"/>
  <c r="AU75" i="1"/>
  <c r="AW74" i="1"/>
  <c r="AV74" i="1"/>
  <c r="AW73" i="1"/>
  <c r="AV73" i="1"/>
  <c r="AW72" i="1"/>
  <c r="AV72" i="1"/>
  <c r="AU72" i="1"/>
  <c r="AW71" i="1"/>
  <c r="AV71" i="1"/>
  <c r="AW70" i="1"/>
  <c r="AV70" i="1"/>
  <c r="AW69" i="1"/>
  <c r="AV69" i="1"/>
  <c r="AW68" i="1"/>
  <c r="AV68" i="1"/>
  <c r="AW67" i="1"/>
  <c r="AV67" i="1"/>
  <c r="AU67" i="1"/>
  <c r="AW66" i="1"/>
  <c r="AV66" i="1"/>
  <c r="AU66" i="1"/>
  <c r="AW65" i="1"/>
  <c r="AV65" i="1"/>
  <c r="AU65" i="1"/>
  <c r="AW64" i="1"/>
  <c r="AV64" i="1"/>
  <c r="AW63" i="1"/>
  <c r="AV63" i="1"/>
  <c r="AU63" i="1"/>
  <c r="AW62" i="1"/>
  <c r="AV62" i="1"/>
  <c r="AW61" i="1"/>
  <c r="AV61" i="1"/>
  <c r="AU61" i="1"/>
  <c r="AW60" i="1"/>
  <c r="AV60" i="1"/>
  <c r="AW59" i="1"/>
  <c r="AV59" i="1"/>
  <c r="AW58" i="1"/>
  <c r="AV58" i="1"/>
  <c r="AW57" i="1"/>
  <c r="AV57" i="1"/>
  <c r="AU57" i="1"/>
  <c r="AW56" i="1"/>
  <c r="AV56" i="1"/>
  <c r="AU56" i="1"/>
  <c r="AW55" i="1"/>
  <c r="AV55" i="1"/>
  <c r="AU55" i="1"/>
  <c r="AW54" i="1"/>
  <c r="AV54" i="1"/>
  <c r="AW53" i="1"/>
  <c r="AV53" i="1"/>
  <c r="AW52" i="1"/>
  <c r="AV52" i="1"/>
  <c r="AW51" i="1"/>
  <c r="AV51" i="1"/>
  <c r="AU51" i="1"/>
  <c r="AW50" i="1"/>
  <c r="AV50" i="1"/>
  <c r="AU50" i="1"/>
  <c r="AW49" i="1"/>
  <c r="AV49" i="1"/>
  <c r="AW48" i="1"/>
  <c r="AV48" i="1"/>
  <c r="AW47" i="1"/>
  <c r="AV47" i="1"/>
  <c r="AW46" i="1"/>
  <c r="AV46" i="1"/>
  <c r="AW45" i="1"/>
  <c r="AV45" i="1"/>
  <c r="AW44" i="1"/>
  <c r="AV44" i="1"/>
  <c r="AW43" i="1"/>
  <c r="AV43" i="1"/>
  <c r="AW42" i="1"/>
  <c r="AV42" i="1"/>
  <c r="AW41" i="1"/>
  <c r="AV41" i="1"/>
  <c r="AW40" i="1"/>
  <c r="AV40" i="1"/>
  <c r="AU40" i="1"/>
  <c r="AW39" i="1"/>
  <c r="AV39" i="1"/>
  <c r="AW38" i="1"/>
  <c r="AV38" i="1"/>
  <c r="AW37" i="1"/>
  <c r="AV37" i="1"/>
  <c r="AW36" i="1"/>
  <c r="AV36" i="1"/>
  <c r="AW35" i="1"/>
  <c r="AV35" i="1"/>
  <c r="AW34" i="1"/>
  <c r="AV34" i="1"/>
  <c r="AW33" i="1"/>
  <c r="AV33" i="1"/>
  <c r="AW32" i="1"/>
  <c r="AV32" i="1"/>
  <c r="AU32" i="1"/>
  <c r="AW31" i="1"/>
  <c r="AV31" i="1"/>
  <c r="AW30" i="1"/>
  <c r="AV30" i="1"/>
  <c r="AW29" i="1"/>
  <c r="AV29" i="1"/>
  <c r="AW28" i="1"/>
  <c r="AV28" i="1"/>
  <c r="AU28" i="1"/>
  <c r="AW27" i="1"/>
  <c r="AV27" i="1"/>
  <c r="AU27" i="1"/>
  <c r="AW26" i="1"/>
  <c r="AV26" i="1"/>
  <c r="AW25" i="1"/>
  <c r="AV25" i="1"/>
  <c r="AW24" i="1"/>
  <c r="AV24" i="1"/>
  <c r="AW23" i="1"/>
  <c r="AV23" i="1"/>
  <c r="AW22" i="1"/>
  <c r="AV22" i="1"/>
  <c r="AU22" i="1"/>
  <c r="AW21" i="1"/>
  <c r="AV21" i="1"/>
  <c r="AW20" i="1"/>
  <c r="AV20" i="1"/>
  <c r="AW19" i="1"/>
  <c r="AV19" i="1"/>
  <c r="AW18" i="1"/>
  <c r="AV18" i="1"/>
  <c r="AW17" i="1"/>
  <c r="AV17" i="1"/>
  <c r="AW16" i="1"/>
  <c r="AV16" i="1"/>
  <c r="AW15" i="1"/>
  <c r="AV15" i="1"/>
  <c r="AU15" i="1"/>
  <c r="AW14" i="1"/>
  <c r="AV14" i="1"/>
  <c r="AU14" i="1"/>
  <c r="AW13" i="1"/>
  <c r="AV13" i="1"/>
  <c r="AU13" i="1"/>
  <c r="AW12" i="1"/>
  <c r="AV12" i="1"/>
  <c r="AU12" i="1"/>
  <c r="AW11" i="1"/>
  <c r="AV11" i="1"/>
  <c r="AU11" i="1"/>
  <c r="AW10" i="1"/>
  <c r="AV10" i="1"/>
  <c r="AU10" i="1"/>
  <c r="AW9" i="1"/>
  <c r="AV9" i="1"/>
  <c r="AU9" i="1"/>
  <c r="AW8" i="1"/>
  <c r="AV8" i="1"/>
  <c r="AU8" i="1"/>
  <c r="AW7" i="1"/>
  <c r="AV7" i="1"/>
  <c r="AW6" i="1"/>
  <c r="AV6" i="1"/>
  <c r="AU6" i="1"/>
  <c r="AW5" i="1"/>
  <c r="AV5" i="1"/>
  <c r="AW4" i="1"/>
  <c r="AV4" i="1"/>
  <c r="AW3" i="1"/>
  <c r="AV3" i="1"/>
  <c r="AU3" i="1"/>
  <c r="AW2" i="1"/>
  <c r="AV2" i="1"/>
  <c r="AU2" i="1"/>
</calcChain>
</file>

<file path=xl/sharedStrings.xml><?xml version="1.0" encoding="utf-8"?>
<sst xmlns="http://schemas.openxmlformats.org/spreadsheetml/2006/main" count="190702" uniqueCount="56978">
  <si>
    <t>Collection Code</t>
  </si>
  <si>
    <t>Location Code</t>
  </si>
  <si>
    <t>Display Call Number</t>
  </si>
  <si>
    <t>Display Call Number Normalized</t>
  </si>
  <si>
    <t>Title</t>
  </si>
  <si>
    <t>Enumeration</t>
  </si>
  <si>
    <t>Possible Multi-Volume Set</t>
  </si>
  <si>
    <t>Copy Number</t>
  </si>
  <si>
    <t>Possible Duplicate</t>
  </si>
  <si>
    <t>Multi-Edition Title</t>
  </si>
  <si>
    <t>Number of Related Ebooks</t>
  </si>
  <si>
    <t>Author</t>
  </si>
  <si>
    <t>Publisher</t>
  </si>
  <si>
    <t>Publication Year</t>
  </si>
  <si>
    <t>Edition</t>
  </si>
  <si>
    <t>Primary Language</t>
  </si>
  <si>
    <t>Series</t>
  </si>
  <si>
    <t>LC Subclass</t>
  </si>
  <si>
    <t>Recorded Uses - Item</t>
  </si>
  <si>
    <t>Recorded Uses - Title</t>
  </si>
  <si>
    <t>Last Charge Date - Item</t>
  </si>
  <si>
    <t>Last Charge Date - Title</t>
  </si>
  <si>
    <t>Last Add Date - Item</t>
  </si>
  <si>
    <t>Last Add Date - Title</t>
  </si>
  <si>
    <t>Global Holdings - Same Edition</t>
  </si>
  <si>
    <t>Canada Holdings - Same Edition</t>
  </si>
  <si>
    <t>Canada Holdings - Any Edition</t>
  </si>
  <si>
    <t>Quebec Holdings - Same Edition</t>
  </si>
  <si>
    <t>Quebec Holdings - Any Edition</t>
  </si>
  <si>
    <t>All Comparator Library Holdings - Same Edition</t>
  </si>
  <si>
    <t>All Comparator Library Holdings - Any Edition</t>
  </si>
  <si>
    <t>BCI - Same Edition</t>
  </si>
  <si>
    <t>BCI - Any Edition</t>
  </si>
  <si>
    <t>ARL Libraries - Same Edition</t>
  </si>
  <si>
    <t>ARL Libraries - Any Edition</t>
  </si>
  <si>
    <t>CARL - Same Edition</t>
  </si>
  <si>
    <t>CARL - Any Edition</t>
  </si>
  <si>
    <t>AAU - Same Edition</t>
  </si>
  <si>
    <t>AAU - Any Edition</t>
  </si>
  <si>
    <t>HathiTrust Retention Commitments - Same Edition</t>
  </si>
  <si>
    <t>HathiTrust Retention Commitments - Any Edition</t>
  </si>
  <si>
    <t>CRKN - Same Edition</t>
  </si>
  <si>
    <t>CRKN - Any Edition</t>
  </si>
  <si>
    <t>Published in Canada</t>
  </si>
  <si>
    <t>HathiTrust Public Domain</t>
  </si>
  <si>
    <t>HathiTrust In Copyright</t>
  </si>
  <si>
    <t>HathiTrust URL</t>
  </si>
  <si>
    <t>OPAC URL</t>
  </si>
  <si>
    <t>WorldCat URL</t>
  </si>
  <si>
    <t>OCLC Work ID</t>
  </si>
  <si>
    <t>WorldCat OCLC Number</t>
  </si>
  <si>
    <t>Bib Record Number</t>
  </si>
  <si>
    <t>Bib Control Number</t>
  </si>
  <si>
    <t>Item Control Number</t>
  </si>
  <si>
    <t>Item Type Code</t>
  </si>
  <si>
    <t>Item Status Code</t>
  </si>
  <si>
    <t>ISBN</t>
  </si>
  <si>
    <t>Barcode</t>
  </si>
  <si>
    <t>SCS Item ID</t>
  </si>
  <si>
    <t>SHSS</t>
  </si>
  <si>
    <t>- Boxed - Unavailable - REQUEST VIA ILL</t>
  </si>
  <si>
    <t>Yes</t>
  </si>
  <si>
    <t>No</t>
  </si>
  <si>
    <t>0</t>
  </si>
  <si>
    <t>eng</t>
  </si>
  <si>
    <t xml:space="preserve">Q  </t>
  </si>
  <si>
    <t>2018-07-03</t>
  </si>
  <si>
    <t>2019-02-02</t>
  </si>
  <si>
    <t>AVAILABLE</t>
  </si>
  <si>
    <t>2004-05-03</t>
  </si>
  <si>
    <t>2017-04-21</t>
  </si>
  <si>
    <t>2013-07-09</t>
  </si>
  <si>
    <t>2004-11-19</t>
  </si>
  <si>
    <t>2014-02-20</t>
  </si>
  <si>
    <t>2018-01-12</t>
  </si>
  <si>
    <t>2013-11-08</t>
  </si>
  <si>
    <t>2011-02-11</t>
  </si>
  <si>
    <t>- McLennan Basement - Serials Collection - By Request</t>
  </si>
  <si>
    <t>1947</t>
  </si>
  <si>
    <t>2019-05-30</t>
  </si>
  <si>
    <t>2019-04-04</t>
  </si>
  <si>
    <t>1968</t>
  </si>
  <si>
    <t>2016-05-26</t>
  </si>
  <si>
    <t>1915</t>
  </si>
  <si>
    <t>2019-04-23</t>
  </si>
  <si>
    <t>fre</t>
  </si>
  <si>
    <t>2017-02-16</t>
  </si>
  <si>
    <t>1979</t>
  </si>
  <si>
    <t>2015-01-23</t>
  </si>
  <si>
    <t>LGGG</t>
  </si>
  <si>
    <t>- Main Collection - Regular Loan</t>
  </si>
  <si>
    <t>Q10 K6</t>
  </si>
  <si>
    <t>0                      Q  0010000K  6</t>
  </si>
  <si>
    <t>Knowledge and power in a global society / edited by William M. Evan.</t>
  </si>
  <si>
    <t>Beverly Hills : Sage Publications, ©1981.</t>
  </si>
  <si>
    <t>1981</t>
  </si>
  <si>
    <t>Sage focus editions ; v. 30</t>
  </si>
  <si>
    <t>2016-05-25</t>
  </si>
  <si>
    <t>28593842:eng</t>
  </si>
  <si>
    <t>7555968</t>
  </si>
  <si>
    <t>ocm07555968</t>
  </si>
  <si>
    <t>30003186513</t>
  </si>
  <si>
    <t>Book</t>
  </si>
  <si>
    <t>9780803916593</t>
  </si>
  <si>
    <t>792565894</t>
  </si>
  <si>
    <t>2017-10-27</t>
  </si>
  <si>
    <t>1955</t>
  </si>
  <si>
    <t>2015-04-19</t>
  </si>
  <si>
    <t>2001-10-29</t>
  </si>
  <si>
    <t>2012-01-13</t>
  </si>
  <si>
    <t>Q11 N5 v.577</t>
  </si>
  <si>
    <t>0                      Q  0011000N  5                                                       v.577</t>
  </si>
  <si>
    <t>Ethical issues associated with scientific and technological research for the military / edited by Carl Mitcham and Philip Siekevitz.</t>
  </si>
  <si>
    <t>v.577*</t>
  </si>
  <si>
    <t>New York, N.Y. : New York Academy of Sciences, 1989.</t>
  </si>
  <si>
    <t>1989</t>
  </si>
  <si>
    <t>Annals of the New York Academy of Sciences, 0077-8923 ; v. 577</t>
  </si>
  <si>
    <t>2016-04-12</t>
  </si>
  <si>
    <t>356300474:eng</t>
  </si>
  <si>
    <t>20823899</t>
  </si>
  <si>
    <t>ocm20823899</t>
  </si>
  <si>
    <t>31018072394</t>
  </si>
  <si>
    <t>9780897665599</t>
  </si>
  <si>
    <t>793100089</t>
  </si>
  <si>
    <t>Q11 P612 v. 267</t>
  </si>
  <si>
    <t>0                      Q  0011000P  612                                                     v. 267</t>
  </si>
  <si>
    <t>Of elephants &amp; roses : French natural history, 1790-1830 / Sue Ann Prince, editor.</t>
  </si>
  <si>
    <t>v. 267*</t>
  </si>
  <si>
    <t>Philadelphia : American Philosophical Society, APS Museum, 2013.</t>
  </si>
  <si>
    <t>2013</t>
  </si>
  <si>
    <t>Memoirs of the American Philosophical Society held at Philadelphia for promoting useful knowledge ; volume 267</t>
  </si>
  <si>
    <t>2018-07-31</t>
  </si>
  <si>
    <t>1433625931:eng</t>
  </si>
  <si>
    <t>842323000</t>
  </si>
  <si>
    <t>ocn842323000</t>
  </si>
  <si>
    <t>31035270583</t>
  </si>
  <si>
    <t>9780871692672</t>
  </si>
  <si>
    <t>794947422</t>
  </si>
  <si>
    <t>Q11 P612 v. 268</t>
  </si>
  <si>
    <t>0                      Q  0011000P  612                                                     v. 268</t>
  </si>
  <si>
    <t>The letters (1595-1608) of Rowland Whyte / edited by Michael G. Brennan, Noel J. Kinnamon, and Margaret P. Hannay.</t>
  </si>
  <si>
    <t>v. 268*</t>
  </si>
  <si>
    <t>Whyte, Rowland, -approximately 1626.</t>
  </si>
  <si>
    <t>Philadelphia : American Philosophical Society, 2013.</t>
  </si>
  <si>
    <t>Memoirs of the American Philosophical Society ; volume 268</t>
  </si>
  <si>
    <t>1415964806:eng</t>
  </si>
  <si>
    <t>842316356</t>
  </si>
  <si>
    <t>ocn842316356</t>
  </si>
  <si>
    <t>31035270573</t>
  </si>
  <si>
    <t>9780871692689</t>
  </si>
  <si>
    <t>794947405</t>
  </si>
  <si>
    <t>Q11 P612 v.101</t>
  </si>
  <si>
    <t>0                      Q  0011000P  612                                                     v.101</t>
  </si>
  <si>
    <t>Historia de Hierosolymitano itinere [by] Peter Tudebode. Translated with introd. and notes by John Hugh Hill and Laurita L. Hill.</t>
  </si>
  <si>
    <t>v.101*</t>
  </si>
  <si>
    <t>Tudebodus, Petrus, active 1096-1100.</t>
  </si>
  <si>
    <t>Philadelphia, American Philosophical Society, 1974.</t>
  </si>
  <si>
    <t>1974</t>
  </si>
  <si>
    <t>Memoirs of the American Philosophical Society, v. 101</t>
  </si>
  <si>
    <t>2018-03-26</t>
  </si>
  <si>
    <t>9622004633:eng</t>
  </si>
  <si>
    <t>1001048</t>
  </si>
  <si>
    <t>ocm01001048</t>
  </si>
  <si>
    <t>3000435024Q</t>
  </si>
  <si>
    <t>9780871691019</t>
  </si>
  <si>
    <t>791522083</t>
  </si>
  <si>
    <t>Q11 P612 v.103</t>
  </si>
  <si>
    <t>0                      Q  0011000P  612                                                     v.103</t>
  </si>
  <si>
    <t>The Anschluss movement, 1918-1919, and the Paris Peace Conference / Alfred D. Low ; joint translation of German and French quotations by Rose S. Low and the author.</t>
  </si>
  <si>
    <t>v.103*</t>
  </si>
  <si>
    <t>Low, Alfred D.</t>
  </si>
  <si>
    <t>Philadelphia : American Philosophical Society, 1974.</t>
  </si>
  <si>
    <t>Memoirs of the American Philosophical Society ; v. 103, 0065-9738</t>
  </si>
  <si>
    <t>2019-11-15</t>
  </si>
  <si>
    <t>2125492:eng</t>
  </si>
  <si>
    <t>1227155</t>
  </si>
  <si>
    <t>ocm01227155</t>
  </si>
  <si>
    <t>30004227825</t>
  </si>
  <si>
    <t>9780871691033</t>
  </si>
  <si>
    <t>791577945</t>
  </si>
  <si>
    <t>Q11 P612 v.109</t>
  </si>
  <si>
    <t>0                      Q  0011000P  612                                                     v.109</t>
  </si>
  <si>
    <t>Science and the ante-bellum American college / Stanley M. Guralnick.</t>
  </si>
  <si>
    <t>v.109*</t>
  </si>
  <si>
    <t>Guralnick, Stanley M.</t>
  </si>
  <si>
    <t>Philadelphia : American Philosophical Society, 1975.</t>
  </si>
  <si>
    <t>1975</t>
  </si>
  <si>
    <t>Memoirs of the American Philosophical Society ; v. 109, 0065-9738</t>
  </si>
  <si>
    <t>2018-06-26</t>
  </si>
  <si>
    <t>518026:eng</t>
  </si>
  <si>
    <t>1903088</t>
  </si>
  <si>
    <t>ocm01903088</t>
  </si>
  <si>
    <t>31037737065</t>
  </si>
  <si>
    <t>9780871691095</t>
  </si>
  <si>
    <t>792008475</t>
  </si>
  <si>
    <t>Q11 P612 v.114 etc.</t>
  </si>
  <si>
    <t>0                      Q  0011000P  612                                                     v.114 etc.</t>
  </si>
  <si>
    <t>The Papacy and the Levant, 1204-1571 / Kenneth M. Setton.</t>
  </si>
  <si>
    <t>v.127</t>
  </si>
  <si>
    <t>Setton, Kenneth M. (Kenneth Meyer), 1914-1995.</t>
  </si>
  <si>
    <t>Philadelphia : American Philosophical Society, 1976-1984.</t>
  </si>
  <si>
    <t>1976</t>
  </si>
  <si>
    <t>Memoirs of the American Philosophical Society ; v. 114, 127, 161-162, 0065-9738</t>
  </si>
  <si>
    <t>2018-03-13</t>
  </si>
  <si>
    <t>4061443903:eng</t>
  </si>
  <si>
    <t>2698253</t>
  </si>
  <si>
    <t>ocm02698253</t>
  </si>
  <si>
    <t>3100241112A</t>
  </si>
  <si>
    <t>9780871691149</t>
  </si>
  <si>
    <t>792164595</t>
  </si>
  <si>
    <t>v.161</t>
  </si>
  <si>
    <t>2017-03-20</t>
  </si>
  <si>
    <t>3103644087R</t>
  </si>
  <si>
    <t>792164594</t>
  </si>
  <si>
    <t>v.114</t>
  </si>
  <si>
    <t>2005-08-22</t>
  </si>
  <si>
    <t>3101397439E</t>
  </si>
  <si>
    <t>792164596</t>
  </si>
  <si>
    <t>Q11 P612 v.115</t>
  </si>
  <si>
    <t>0                      Q  0011000P  612                                                     v.115</t>
  </si>
  <si>
    <t>The letters of Lafayette to Washington, 1777-1799 / edited by Louis Gottschalk.</t>
  </si>
  <si>
    <t>v.115*</t>
  </si>
  <si>
    <t>Lafayette, Marie Joseph Paul Yves Roch Gilbert Du Motier, marquis de, 1757-1834.</t>
  </si>
  <si>
    <t>Philadelphia : American Philosophical Society, 1976.</t>
  </si>
  <si>
    <t>2d print. / edited and rev. by Louis Gottschalk and Shirley A. Bill.</t>
  </si>
  <si>
    <t>Memoirs of the American Philosophical Society ; v. 115</t>
  </si>
  <si>
    <t>2017-09-12</t>
  </si>
  <si>
    <t>1444155:eng</t>
  </si>
  <si>
    <t>2625164</t>
  </si>
  <si>
    <t>ocm02625164</t>
  </si>
  <si>
    <t>3102987480C</t>
  </si>
  <si>
    <t>ON_LOAN</t>
  </si>
  <si>
    <t>9780871691156</t>
  </si>
  <si>
    <t>792154843</t>
  </si>
  <si>
    <t>Q11 P612 v.12</t>
  </si>
  <si>
    <t>0                      Q  0011000P  612                                                     v.12</t>
  </si>
  <si>
    <t>The letters of John Chamberlain, edited with an introduction by Norman Egbert McClure.</t>
  </si>
  <si>
    <t>pt.1</t>
  </si>
  <si>
    <t>Philadelphia, American Philosophical Society, 1939.</t>
  </si>
  <si>
    <t>1939</t>
  </si>
  <si>
    <t>Memoirs of the American Philosophical Society ... vol. XII, pt. I-II. 1939</t>
  </si>
  <si>
    <t>2015-02-09</t>
  </si>
  <si>
    <t>2015-03-20</t>
  </si>
  <si>
    <t>1441025:eng</t>
  </si>
  <si>
    <t>1426981</t>
  </si>
  <si>
    <t>ocm01426981</t>
  </si>
  <si>
    <t>3103599332T</t>
  </si>
  <si>
    <t>791623536</t>
  </si>
  <si>
    <t>pt.2</t>
  </si>
  <si>
    <t>3103599374D</t>
  </si>
  <si>
    <t>791623535</t>
  </si>
  <si>
    <t>Q11 P612 v.135</t>
  </si>
  <si>
    <t>0                      Q  0011000P  612                                                     v.135</t>
  </si>
  <si>
    <t>Moses Maimonides' Glossary of drug names / translated from Max Meyerhof's French ed. ; edited by Fred Rosner.</t>
  </si>
  <si>
    <t>v.135*</t>
  </si>
  <si>
    <t>Maimonides, Moses, 1135-1204.</t>
  </si>
  <si>
    <t>Philadelphia : American Philosophical Society ; Ann Arbor, Mich. : Distributed by University Microfilms International, 1979.</t>
  </si>
  <si>
    <t>Memoirs of the American Philosophical Society ; v. 135, 0065-9738</t>
  </si>
  <si>
    <t>2019-03-04</t>
  </si>
  <si>
    <t>4714381449:eng</t>
  </si>
  <si>
    <t>5007356</t>
  </si>
  <si>
    <t>ocm05007356</t>
  </si>
  <si>
    <t>3000462845K</t>
  </si>
  <si>
    <t>9780871691354</t>
  </si>
  <si>
    <t>792400781</t>
  </si>
  <si>
    <t>Q11 P612 v.136</t>
  </si>
  <si>
    <t>0                      Q  0011000P  612                                                     v.136</t>
  </si>
  <si>
    <t>A chronological bibliography of propaganda and polemic published in English between 1553 and 1558 : from the death of Edward VI to the death of Mary I / Edward J. Baskerville.</t>
  </si>
  <si>
    <t>v.136*</t>
  </si>
  <si>
    <t>Baskerville, Edward J.</t>
  </si>
  <si>
    <t>Philadelphia : American Philosophical Society, 1979.</t>
  </si>
  <si>
    <t>Memoirs of the American Philosophical Society ; v. 136, 0065-9738</t>
  </si>
  <si>
    <t>2016-03-17</t>
  </si>
  <si>
    <t>364894424:eng</t>
  </si>
  <si>
    <t>5948603</t>
  </si>
  <si>
    <t>ocm05948603</t>
  </si>
  <si>
    <t>3000313934G</t>
  </si>
  <si>
    <t>9780871691361</t>
  </si>
  <si>
    <t>792465954</t>
  </si>
  <si>
    <t>Q11 P612 v.138</t>
  </si>
  <si>
    <t>0                      Q  0011000P  612                                                     v.138</t>
  </si>
  <si>
    <t>August Bebel, shadow emperor of the German workers / William Harvey Maehl.</t>
  </si>
  <si>
    <t>v.138*</t>
  </si>
  <si>
    <t>Maehl, William Harvey, 1915-</t>
  </si>
  <si>
    <t>Philadelphia : American Philosophical Society, 1980.</t>
  </si>
  <si>
    <t>1980</t>
  </si>
  <si>
    <t>Memoirs of the American Philosophical Society ; v. 138, 0065-9738</t>
  </si>
  <si>
    <t>2018-03-23</t>
  </si>
  <si>
    <t>518054:eng</t>
  </si>
  <si>
    <t>7272323</t>
  </si>
  <si>
    <t>ocm07272323</t>
  </si>
  <si>
    <t>3103773666S</t>
  </si>
  <si>
    <t>9780871691385</t>
  </si>
  <si>
    <t>792550126</t>
  </si>
  <si>
    <t>Q11 P612 v.143</t>
  </si>
  <si>
    <t>0                      Q  0011000P  612                                                     v.143</t>
  </si>
  <si>
    <t>Florence Nightingale in Rome : letters written by Florence Nightingale in Rome in the winter of 1847-1848 / Mary Keele, editor.</t>
  </si>
  <si>
    <t>v.143*</t>
  </si>
  <si>
    <t>Nightingale, Florence, 1820-1910.</t>
  </si>
  <si>
    <t>Philadelphia : American Philosophical Society, 1981.</t>
  </si>
  <si>
    <t>Memoirs of the American Philosophical Society, 0065-9738 ; v. 143</t>
  </si>
  <si>
    <t>2018-11-14</t>
  </si>
  <si>
    <t>118047457:eng</t>
  </si>
  <si>
    <t>10244122</t>
  </si>
  <si>
    <t>ocm10244122</t>
  </si>
  <si>
    <t>3000338418Y</t>
  </si>
  <si>
    <t>9780871691439</t>
  </si>
  <si>
    <t>792716162</t>
  </si>
  <si>
    <t>Q11 P612 v.145</t>
  </si>
  <si>
    <t>0                      Q  0011000P  612                                                     v.145</t>
  </si>
  <si>
    <t>Italian weights and measures from the Middle Ages to the nineteenth century / Ronald Edward Zupko.</t>
  </si>
  <si>
    <t>v.145*</t>
  </si>
  <si>
    <t>Zupko, Ronald Edward.</t>
  </si>
  <si>
    <t>Memoirs of the American Philosophical Society, 0065-9738 ; v. 145</t>
  </si>
  <si>
    <t>2015-10-23</t>
  </si>
  <si>
    <t>518067:eng</t>
  </si>
  <si>
    <t>7435190</t>
  </si>
  <si>
    <t>ocm07435190</t>
  </si>
  <si>
    <t>30003148581</t>
  </si>
  <si>
    <t>9780871691453</t>
  </si>
  <si>
    <t>792558563</t>
  </si>
  <si>
    <t>Q11 P612 v.149</t>
  </si>
  <si>
    <t>0                      Q  0011000P  612                                                     v.149</t>
  </si>
  <si>
    <t>On powers, or, The magistracies of the Roman state / Ioannes Lydus ; introduction, critical text, translation, commentary, and indices by Anastasius C. Bandy.</t>
  </si>
  <si>
    <t>v.149*</t>
  </si>
  <si>
    <t>Lydus, Johannes Laurentius, 490-approximately 565, author.</t>
  </si>
  <si>
    <t>Philadelphia : American Philosophical Society, 1983.</t>
  </si>
  <si>
    <t>1983</t>
  </si>
  <si>
    <t>Memoirs / American Philosophical Society, 0065-9738 ; v. 149</t>
  </si>
  <si>
    <t>2016-12-16</t>
  </si>
  <si>
    <t>3372684435:eng</t>
  </si>
  <si>
    <t>10486417</t>
  </si>
  <si>
    <t>ocm10486417</t>
  </si>
  <si>
    <t>3000359412T</t>
  </si>
  <si>
    <t>9780871691491</t>
  </si>
  <si>
    <t>792728714</t>
  </si>
  <si>
    <t>Q11 P612 v.152</t>
  </si>
  <si>
    <t>0                      Q  0011000P  612                                                     v.152</t>
  </si>
  <si>
    <t>Traditional Ojibwa religion and its historical changes / Christopher Vecsey.</t>
  </si>
  <si>
    <t>v.152*</t>
  </si>
  <si>
    <t>Vecsey, Christopher.</t>
  </si>
  <si>
    <t>Memoirs series, 0065-9738 ; v. 152</t>
  </si>
  <si>
    <t>2018-08-28</t>
  </si>
  <si>
    <t>2912702:eng</t>
  </si>
  <si>
    <t>10061919</t>
  </si>
  <si>
    <t>ocm10061919</t>
  </si>
  <si>
    <t>3000352990O</t>
  </si>
  <si>
    <t>9780871691521</t>
  </si>
  <si>
    <t>792707053</t>
  </si>
  <si>
    <t>Q11 P612 v.153</t>
  </si>
  <si>
    <t>0                      Q  0011000P  612                                                     v.153</t>
  </si>
  <si>
    <t>Architecture and urbanization in colonial Chiapas, Mexico / Sidney David Markman.</t>
  </si>
  <si>
    <t>v.153*</t>
  </si>
  <si>
    <t>Markman, Sidney David, 1911-2011.</t>
  </si>
  <si>
    <t>Philadelphia : American Philosophical Society, 1984.</t>
  </si>
  <si>
    <t>1984</t>
  </si>
  <si>
    <t>Memoirs series, 0065-9738 ; v. 153</t>
  </si>
  <si>
    <t>2015-02-12</t>
  </si>
  <si>
    <t>3231276:eng</t>
  </si>
  <si>
    <t>10717855</t>
  </si>
  <si>
    <t>ocm10717855</t>
  </si>
  <si>
    <t>3103224096P</t>
  </si>
  <si>
    <t>9780871691538</t>
  </si>
  <si>
    <t>792739234</t>
  </si>
  <si>
    <t>Q11 P612 v.156</t>
  </si>
  <si>
    <t>0                      Q  0011000P  612                                                     v.156</t>
  </si>
  <si>
    <t>War as advertised : the Four Minute Men and America's crusade, 1917-1918 / Alfred E. Cornebise.</t>
  </si>
  <si>
    <t>v.156*</t>
  </si>
  <si>
    <t>Cornebise, Alfred E.</t>
  </si>
  <si>
    <t>Memoirs series, 0065-9738 ; v. 156</t>
  </si>
  <si>
    <t>2019-03-19</t>
  </si>
  <si>
    <t>324913672:eng</t>
  </si>
  <si>
    <t>11222054</t>
  </si>
  <si>
    <t>ocm11222054</t>
  </si>
  <si>
    <t>3000374571M</t>
  </si>
  <si>
    <t>9780871691569</t>
  </si>
  <si>
    <t>792763752</t>
  </si>
  <si>
    <t>Q11 P612 v.159</t>
  </si>
  <si>
    <t>0                      Q  0011000P  612                                                     v.159</t>
  </si>
  <si>
    <t>Ideology and politics on the eve of restoration : Newcastle's advice to Charles II / transcribed and with an introduction by Thomas P. Slaughter.</t>
  </si>
  <si>
    <t>v.159*</t>
  </si>
  <si>
    <t>Newcastle, William Cavendish, Duke of, 1592-1676.</t>
  </si>
  <si>
    <t>Memoirs / American Philosophical Society, 0065-9738 ; v. 159</t>
  </si>
  <si>
    <t>2017-12-18</t>
  </si>
  <si>
    <t>350950192:eng</t>
  </si>
  <si>
    <t>11409834</t>
  </si>
  <si>
    <t>ocm11409834</t>
  </si>
  <si>
    <t>30003754957</t>
  </si>
  <si>
    <t>9780871691590</t>
  </si>
  <si>
    <t>792772545</t>
  </si>
  <si>
    <t>Q11 P612 v.163</t>
  </si>
  <si>
    <t>0                      Q  0011000P  612                                                     v.163</t>
  </si>
  <si>
    <t>Joseph Hume, the people's M.P. / Ronald K. Huch and Paul R. Ziegler.</t>
  </si>
  <si>
    <t>v.163*</t>
  </si>
  <si>
    <t>Huch, Ronald K.</t>
  </si>
  <si>
    <t>Philadelphia : American Philosophical Society, 1985.</t>
  </si>
  <si>
    <t>1985</t>
  </si>
  <si>
    <t>Memoirs of the American Philosophical Society, 0065-9738 ; v. 163</t>
  </si>
  <si>
    <t>2018-03-22</t>
  </si>
  <si>
    <t>288458403:eng</t>
  </si>
  <si>
    <t>11989316</t>
  </si>
  <si>
    <t>ocm11989316</t>
  </si>
  <si>
    <t>3000377778M</t>
  </si>
  <si>
    <t>9780871691637</t>
  </si>
  <si>
    <t>792796308</t>
  </si>
  <si>
    <t>Q11 P612 v.167</t>
  </si>
  <si>
    <t>0                      Q  0011000P  612                                                     v.167</t>
  </si>
  <si>
    <t>An introduction to old Provençal versification / Frank M. Chambers.</t>
  </si>
  <si>
    <t>v.167*</t>
  </si>
  <si>
    <t>Chambers, Frank M.</t>
  </si>
  <si>
    <t>Memoirs of the American Philosophical Society, 0065-9738 ; v. 167</t>
  </si>
  <si>
    <t>2016-11-10</t>
  </si>
  <si>
    <t>7006828:eng</t>
  </si>
  <si>
    <t>13363287</t>
  </si>
  <si>
    <t>ocm13363287</t>
  </si>
  <si>
    <t>30004766088</t>
  </si>
  <si>
    <t>9780871691675</t>
  </si>
  <si>
    <t>792850313</t>
  </si>
  <si>
    <t>Q11 P612 v.182</t>
  </si>
  <si>
    <t>0                      Q  0011000P  612                                                     v.182</t>
  </si>
  <si>
    <t>Gabriele Zerbi, Gerontocomia: on the care of the aged ; and Maximianus, Elegies on old age and love / translated from the Latin by L.R. Lind.</t>
  </si>
  <si>
    <t>v.182*</t>
  </si>
  <si>
    <t>Zerbis, Gabriele de, 1445-1505.</t>
  </si>
  <si>
    <t>Philadelphia : American Philosophical Society, 1988.</t>
  </si>
  <si>
    <t>1988</t>
  </si>
  <si>
    <t>Memoirs of the American Philosophical Society ; v. 182</t>
  </si>
  <si>
    <t>2015-01-30</t>
  </si>
  <si>
    <t>18409393:eng</t>
  </si>
  <si>
    <t>18763544</t>
  </si>
  <si>
    <t>ocm18763544</t>
  </si>
  <si>
    <t>3100177813D</t>
  </si>
  <si>
    <t>9780871691828</t>
  </si>
  <si>
    <t>793036525</t>
  </si>
  <si>
    <t>Q11 P612 v.183</t>
  </si>
  <si>
    <t>0                      Q  0011000P  612                                                     v.183</t>
  </si>
  <si>
    <t>The Lines of Nazca / Anthony Aveni, editor.</t>
  </si>
  <si>
    <t>v.183*</t>
  </si>
  <si>
    <t>Philadelphia : American Philosophical Society, 1990.</t>
  </si>
  <si>
    <t>1990</t>
  </si>
  <si>
    <t>Memoirs of the American Philosophical Society, 0065-9738 ; v. 183</t>
  </si>
  <si>
    <t>2015-11-19</t>
  </si>
  <si>
    <t>24724363:eng</t>
  </si>
  <si>
    <t>22746801</t>
  </si>
  <si>
    <t>ocm22746801</t>
  </si>
  <si>
    <t>3103292580M</t>
  </si>
  <si>
    <t>9780871691835</t>
  </si>
  <si>
    <t>793152709</t>
  </si>
  <si>
    <t>Q11 P612 v.188</t>
  </si>
  <si>
    <t>0                      Q  0011000P  612                                                     v.188</t>
  </si>
  <si>
    <t>The never-ceasing search / Francis O. Schmitt.</t>
  </si>
  <si>
    <t>v.188*</t>
  </si>
  <si>
    <t>Schmitt, Francis Otto, 1903-1995.</t>
  </si>
  <si>
    <t>Philadelphia, Pa. : American Philosophical Society, 1990.</t>
  </si>
  <si>
    <t>Memoirs of the American Philosophical Society held at Philadelphia for Promoting Useful Knowledge, 0065-9738 ; memoir 188</t>
  </si>
  <si>
    <t>2019-07-22</t>
  </si>
  <si>
    <t>23344161:eng</t>
  </si>
  <si>
    <t>21732121</t>
  </si>
  <si>
    <t>ocm21732121</t>
  </si>
  <si>
    <t>3100658495A</t>
  </si>
  <si>
    <t>9780871691880</t>
  </si>
  <si>
    <t>793126362</t>
  </si>
  <si>
    <t>Q11 P612 v.201</t>
  </si>
  <si>
    <t>0                      Q  0011000P  612                                                     v.201</t>
  </si>
  <si>
    <t>Western hostility to Islam and prophecies of Turkish doom / Kenneth M. Setton.</t>
  </si>
  <si>
    <t>v.201*</t>
  </si>
  <si>
    <t>Philadelphia, Pa. : American Philosophical Society, 1992.</t>
  </si>
  <si>
    <t>1992</t>
  </si>
  <si>
    <t>Memoirs of the American Philosophical Society, 0065-9738 ; v. 201</t>
  </si>
  <si>
    <t>2018-02-27</t>
  </si>
  <si>
    <t>365261452:eng</t>
  </si>
  <si>
    <t>25921109</t>
  </si>
  <si>
    <t>ocm25921109</t>
  </si>
  <si>
    <t>31037412391</t>
  </si>
  <si>
    <t>9780871692016</t>
  </si>
  <si>
    <t>793233492</t>
  </si>
  <si>
    <t>Q11 P612 v.209</t>
  </si>
  <si>
    <t>0                      Q  0011000P  612                                                     v.209</t>
  </si>
  <si>
    <t>The harmony of the world / by Johannes Kepler ; translated into English with an introduction and notes by E.J. Aiton, A.M. Duncan, J.V. Field.</t>
  </si>
  <si>
    <t>v.209*</t>
  </si>
  <si>
    <t>Kepler, Johannes, 1571-1630.</t>
  </si>
  <si>
    <t>[Philadelphia, Pa.] : American Philosophical Society, 1997.</t>
  </si>
  <si>
    <t>1997</t>
  </si>
  <si>
    <t>Memoirs of the American Philosophical Society, 0065-9738 ; v. 209</t>
  </si>
  <si>
    <t>2018-03-27</t>
  </si>
  <si>
    <t>3372489116:eng</t>
  </si>
  <si>
    <t>36826094</t>
  </si>
  <si>
    <t>ocm36826094</t>
  </si>
  <si>
    <t>3101803932A</t>
  </si>
  <si>
    <t>9780871692092</t>
  </si>
  <si>
    <t>793485206</t>
  </si>
  <si>
    <t>Q11 P612 v.21</t>
  </si>
  <si>
    <t>0                      Q  0011000P  612                                                     v.21</t>
  </si>
  <si>
    <t>Sumerian mythology, a study of spiritual and literary achievement in the third millennium, B.C. [c [by] S.N. Kramer ...</t>
  </si>
  <si>
    <t>v.21*</t>
  </si>
  <si>
    <t>Kramer, Samuel Noah, 1897-1990.</t>
  </si>
  <si>
    <t>Philadelphia, American Philosophical Society, 1944.</t>
  </si>
  <si>
    <t>1944</t>
  </si>
  <si>
    <t>Memoirs of the American Philosophical Society ... vol. XXI, 1944</t>
  </si>
  <si>
    <t>2015-09-09</t>
  </si>
  <si>
    <t>10032657882:eng</t>
  </si>
  <si>
    <t>523018</t>
  </si>
  <si>
    <t>ocm00523018</t>
  </si>
  <si>
    <t>3101909184N</t>
  </si>
  <si>
    <t>791402682</t>
  </si>
  <si>
    <t>Q11 P612 v.210</t>
  </si>
  <si>
    <t>0                      Q  0011000P  612                                                     v.210</t>
  </si>
  <si>
    <t>England and the north : the Russian embassy of 1613-1614 / edited by Maija Jansson and Nikolai Rogozhin ; translated by Paul Bushkovitch.</t>
  </si>
  <si>
    <t>v.210*</t>
  </si>
  <si>
    <t>Philadelphia : American Philosophical Society, 1994.</t>
  </si>
  <si>
    <t>1994</t>
  </si>
  <si>
    <t>Memoirs of the American Philosophical Society ; v. 210</t>
  </si>
  <si>
    <t>2019-04-22</t>
  </si>
  <si>
    <t>795804981:eng</t>
  </si>
  <si>
    <t>30846171</t>
  </si>
  <si>
    <t>ocm30846171</t>
  </si>
  <si>
    <t>3101385121O</t>
  </si>
  <si>
    <t>9780871692108</t>
  </si>
  <si>
    <t>793346686</t>
  </si>
  <si>
    <t>Q11 P612 v.215</t>
  </si>
  <si>
    <t>0                      Q  0011000P  612                                                     v.215</t>
  </si>
  <si>
    <t>The House of Lords and ideological politics : Lord Salisbury's referendal theory and the Conservative Party, 1846-1922 / Corinne Comstock Weston.</t>
  </si>
  <si>
    <t>v.215*</t>
  </si>
  <si>
    <t>Weston, Corinne Comstock.</t>
  </si>
  <si>
    <t>Philadelphia, PA : American Philosophical Society, [1995]</t>
  </si>
  <si>
    <t>1995</t>
  </si>
  <si>
    <t>Memoirs of the American Philosophical Society ; v. 215</t>
  </si>
  <si>
    <t>2019-03-14</t>
  </si>
  <si>
    <t>201345623:eng</t>
  </si>
  <si>
    <t>33230972</t>
  </si>
  <si>
    <t>ocm33230972</t>
  </si>
  <si>
    <t>31014840923</t>
  </si>
  <si>
    <t>9780871692153</t>
  </si>
  <si>
    <t>793404793</t>
  </si>
  <si>
    <t>Q11 P612 v.224</t>
  </si>
  <si>
    <t>0                      Q  0011000P  612                                                     v.224</t>
  </si>
  <si>
    <t>Beyond price : pearls and pearl-fishing : origins to the Age of Discoveries / R.A. Donkin.</t>
  </si>
  <si>
    <t>v.224*</t>
  </si>
  <si>
    <t>Donkin, R. A.</t>
  </si>
  <si>
    <t>Philadelphia : American Philosophical Society, ©1998.</t>
  </si>
  <si>
    <t>1998</t>
  </si>
  <si>
    <t>Memoirs of the American Philosophical Society Held at Philadelphia for Promoting Useful Knowledge ; v. 224</t>
  </si>
  <si>
    <t>2018-03-14</t>
  </si>
  <si>
    <t>196101670:eng</t>
  </si>
  <si>
    <t>39135753</t>
  </si>
  <si>
    <t>ocm39135753</t>
  </si>
  <si>
    <t>31018889258</t>
  </si>
  <si>
    <t>9780871692245</t>
  </si>
  <si>
    <t>793538901</t>
  </si>
  <si>
    <t>Q11 P612 v.231</t>
  </si>
  <si>
    <t>0                      Q  0011000P  612                                                     v.231</t>
  </si>
  <si>
    <t>Surveying the record : North American scientific exploration to 1930 / edited by Edward C. Carter II.</t>
  </si>
  <si>
    <t>v.231*</t>
  </si>
  <si>
    <t>Philadelphia : American Philosophical Society, 1999.</t>
  </si>
  <si>
    <t>1999</t>
  </si>
  <si>
    <t>Memoirs of the American Philosophical Society held at Philadelphia for promoting useful knowledge, 0065-9738 ; v. 231</t>
  </si>
  <si>
    <t>2015-09-08</t>
  </si>
  <si>
    <t>25368982:eng</t>
  </si>
  <si>
    <t>40417657</t>
  </si>
  <si>
    <t>ocm40417657</t>
  </si>
  <si>
    <t>31019834623</t>
  </si>
  <si>
    <t>9780871692313</t>
  </si>
  <si>
    <t>793566139</t>
  </si>
  <si>
    <t>Q11 P612 v.235</t>
  </si>
  <si>
    <t>0                      Q  0011000P  612                                                     v.235</t>
  </si>
  <si>
    <t>The natural philosophy of Chu Hsi (1130-1200) / Yung Sik Kim.</t>
  </si>
  <si>
    <t>v.235*</t>
  </si>
  <si>
    <t>Kim, Yŏng-sik, 1947-</t>
  </si>
  <si>
    <t>Philadelphia : American Philosophical Society, ©2000.</t>
  </si>
  <si>
    <t>2000</t>
  </si>
  <si>
    <t>Memoirs of the American Philosophical Society held at Philadelphia for promoting useful knowledge, 0065-9738 ; v. 235</t>
  </si>
  <si>
    <t>2016-05-02</t>
  </si>
  <si>
    <t>12898085:eng</t>
  </si>
  <si>
    <t>41662577</t>
  </si>
  <si>
    <t>ocm41662577</t>
  </si>
  <si>
    <t>3102802979S</t>
  </si>
  <si>
    <t>9780871692351</t>
  </si>
  <si>
    <t>793596402</t>
  </si>
  <si>
    <t>Q11 P612 v.237</t>
  </si>
  <si>
    <t>0                      Q  0011000P  612                                                     v.237</t>
  </si>
  <si>
    <t>Young Humphry Davy : the making of an experimental chemist / June Z. Fullmer.</t>
  </si>
  <si>
    <t>v.237*</t>
  </si>
  <si>
    <t>Fullmer, June Z.</t>
  </si>
  <si>
    <t>Philadelphia : American Philosophical Society, 2000.</t>
  </si>
  <si>
    <t>Memoirs of the American Philosophical Society, 0065-9738 ; v. 237</t>
  </si>
  <si>
    <t>308974514:eng</t>
  </si>
  <si>
    <t>43607492</t>
  </si>
  <si>
    <t>ocm43607492</t>
  </si>
  <si>
    <t>3102051498S</t>
  </si>
  <si>
    <t>9780871692375</t>
  </si>
  <si>
    <t>793630695</t>
  </si>
  <si>
    <t>Q11 P612 v.241</t>
  </si>
  <si>
    <t>0                      Q  0011000P  612                                                     v.241</t>
  </si>
  <si>
    <t>"Forget not mee &amp; my garden ..." : selected letters, 1725-1768 of Peter Collinson, F.R.S. / edited and with an introduction by Alan W. Armstrong.</t>
  </si>
  <si>
    <t>v.241*</t>
  </si>
  <si>
    <t>Collinson, Peter, 1694-1768.</t>
  </si>
  <si>
    <t>Philadelphia : American Philosophical Society, 2002.</t>
  </si>
  <si>
    <t>2002</t>
  </si>
  <si>
    <t>Memoirs of the American Philosophical Society held at Philadelphia for Promoting Useful Knowledge, 0065-9738 ; 241</t>
  </si>
  <si>
    <t>2018-10-30</t>
  </si>
  <si>
    <t>287542664:eng</t>
  </si>
  <si>
    <t>45890446</t>
  </si>
  <si>
    <t>ocm45890446</t>
  </si>
  <si>
    <t>3102204042F</t>
  </si>
  <si>
    <t>9780871692412</t>
  </si>
  <si>
    <t>793680671</t>
  </si>
  <si>
    <t>Q11 P612 v.25</t>
  </si>
  <si>
    <t>0                      Q  0011000P  612                                                     v.25</t>
  </si>
  <si>
    <t>The autobiography of Benjamin Rush : his "Travels through Life" together with his Commonplace Book for 1789-1813 / edited with introduction and notes by George W. Corner.</t>
  </si>
  <si>
    <t>v.25*</t>
  </si>
  <si>
    <t>Rush, Benjamin, 1746-1813.</t>
  </si>
  <si>
    <t>[Philadelphia] : published for the American Philosophical Society by Princeton University Press, 1948.</t>
  </si>
  <si>
    <t>1948</t>
  </si>
  <si>
    <t>American Philosophical Society Memoirs ; v. 25</t>
  </si>
  <si>
    <t>2016-11-21</t>
  </si>
  <si>
    <t>499794:eng</t>
  </si>
  <si>
    <t>14648049</t>
  </si>
  <si>
    <t>ocm14648049</t>
  </si>
  <si>
    <t>3000805205C</t>
  </si>
  <si>
    <t>792897213</t>
  </si>
  <si>
    <t>Q11 P612 v.250</t>
  </si>
  <si>
    <t>0                      Q  0011000P  612                                                     v.250</t>
  </si>
  <si>
    <t>A descriptive catalogue of the Sanskrit astronomical manuscripts preserved at the Maharaja Man Singh II Museum in Jaipur, India / compiled by David Pingree from the notes taken by Setsuro Ikeyama [and others].</t>
  </si>
  <si>
    <t>v.250*</t>
  </si>
  <si>
    <t>Mahārājā Mānasiṃha Pustaka Prakāśa.</t>
  </si>
  <si>
    <t>Philadelphia : American Philosophical Society, 2003.</t>
  </si>
  <si>
    <t>2003</t>
  </si>
  <si>
    <t>Memoirs of the American Philosophical Society Held at Philadelphia for Promoting Useful Knowledge, 0065-9738 ; v. 250</t>
  </si>
  <si>
    <t>2016-11-26</t>
  </si>
  <si>
    <t>10076768015:eng</t>
  </si>
  <si>
    <t>52930105</t>
  </si>
  <si>
    <t>ocm52930105</t>
  </si>
  <si>
    <t>3102326557B</t>
  </si>
  <si>
    <t>9780871692504</t>
  </si>
  <si>
    <t>793817488</t>
  </si>
  <si>
    <t>Q11 P612 v.253</t>
  </si>
  <si>
    <t>0                      Q  0011000P  612                                                     v.253</t>
  </si>
  <si>
    <t>The Maecenas and the madrigalist : patrons, patronage, and the origins of the Italian madrigal / Anthony M. Cummings.</t>
  </si>
  <si>
    <t>v.253*</t>
  </si>
  <si>
    <t>Cummings, Anthony M.</t>
  </si>
  <si>
    <t>Philadelphia, Pa. : American Philosophical Society, 2004.</t>
  </si>
  <si>
    <t>2004</t>
  </si>
  <si>
    <t>Memoirs of the American Philosophical Society Held at Philadelphia for Promoting Useful Knowledge, 0065-9738 ; v. 253</t>
  </si>
  <si>
    <t>2019-11-23</t>
  </si>
  <si>
    <t>367683551:eng</t>
  </si>
  <si>
    <t>55800930</t>
  </si>
  <si>
    <t>ocm55800930</t>
  </si>
  <si>
    <t>3102439567N</t>
  </si>
  <si>
    <t>9780871692535</t>
  </si>
  <si>
    <t>793882765</t>
  </si>
  <si>
    <t>Q11 P612 v.259</t>
  </si>
  <si>
    <t>0                      Q  0011000P  612                                                     v.259</t>
  </si>
  <si>
    <t>Renaissance vision from spectacles to telescopes / Vincent Ilardi.</t>
  </si>
  <si>
    <t>v.259*</t>
  </si>
  <si>
    <t>Ilardi, Vincent, 1925-</t>
  </si>
  <si>
    <t>Philadelphia, PA : American Philosophical Society, 2007.</t>
  </si>
  <si>
    <t>2007</t>
  </si>
  <si>
    <t>Memoirs of the American Philosophical Society ; v. 259</t>
  </si>
  <si>
    <t>2017-12-08</t>
  </si>
  <si>
    <t>10032458234:eng</t>
  </si>
  <si>
    <t>74966726</t>
  </si>
  <si>
    <t>ocm74966726</t>
  </si>
  <si>
    <t>31028038102</t>
  </si>
  <si>
    <t>9780871692597</t>
  </si>
  <si>
    <t>794174104</t>
  </si>
  <si>
    <t>Q11 P612 v.261</t>
  </si>
  <si>
    <t>0                      Q  0011000P  612                                                     v.261</t>
  </si>
  <si>
    <t>Alexander the Great : coinage, finances, and policy / Georges Le Rider ; translated by W.E. Higgins ; with a preface by G.W. Bowersock.</t>
  </si>
  <si>
    <t>v.261*</t>
  </si>
  <si>
    <t>Le Rider, Georges.</t>
  </si>
  <si>
    <t>Philadelphia : American Philosophical Society, 2007.</t>
  </si>
  <si>
    <t>Memoirs of the American Philosophical Society ; v. 261</t>
  </si>
  <si>
    <t>2018-08-20</t>
  </si>
  <si>
    <t>148813812:eng</t>
  </si>
  <si>
    <t>191865850</t>
  </si>
  <si>
    <t>ocn191865850</t>
  </si>
  <si>
    <t>3102872258I</t>
  </si>
  <si>
    <t>9780871692610</t>
  </si>
  <si>
    <t>794301618</t>
  </si>
  <si>
    <t>Q11 P612 v.265</t>
  </si>
  <si>
    <t>0                      Q  0011000P  612                                                     v.265</t>
  </si>
  <si>
    <t>Astronomy in the Maya codices / Harvey M. Bricker and Victoria R. Bricker.</t>
  </si>
  <si>
    <t>v.265*</t>
  </si>
  <si>
    <t>Bricker, Harvey M.</t>
  </si>
  <si>
    <t>Philadelphia : American Philosophical Society, ©2011.</t>
  </si>
  <si>
    <t>2011</t>
  </si>
  <si>
    <t>Memoirs of the American Philosophical Society held at Philadelphia for promoting useful knowledge ; v. 265</t>
  </si>
  <si>
    <t>905271749:eng</t>
  </si>
  <si>
    <t>727658536</t>
  </si>
  <si>
    <t>ocn727658536</t>
  </si>
  <si>
    <t>3103423357G</t>
  </si>
  <si>
    <t>9780871692658</t>
  </si>
  <si>
    <t>794878277</t>
  </si>
  <si>
    <t>Q11 P612 v.266</t>
  </si>
  <si>
    <t>0                      Q  0011000P  612                                                     v.266</t>
  </si>
  <si>
    <t>The house of Barnes : the man, the collection, the controversy / Neil L. Rudenstine.</t>
  </si>
  <si>
    <t>v.266*</t>
  </si>
  <si>
    <t>Rudenstine, Neil L.</t>
  </si>
  <si>
    <t>Philadelphia : American Philosophical Society, 2012.</t>
  </si>
  <si>
    <t>2012</t>
  </si>
  <si>
    <t>Memoirs of the American Philosophical Society held at Philadelphia for promoting useful knowledge ; v. 266</t>
  </si>
  <si>
    <t>1203768756:eng</t>
  </si>
  <si>
    <t>811137271</t>
  </si>
  <si>
    <t>ocn811137271</t>
  </si>
  <si>
    <t>3103483465I</t>
  </si>
  <si>
    <t>9780871692665</t>
  </si>
  <si>
    <t>794929819</t>
  </si>
  <si>
    <t>Q11 P612 v.269</t>
  </si>
  <si>
    <t>0                      Q  0011000P  612                                                     v.269</t>
  </si>
  <si>
    <t>Parmigianino's Madonna of the long neck : a grace beyond the reach of art / Edward J. Olszewski.</t>
  </si>
  <si>
    <t>v.269*</t>
  </si>
  <si>
    <t>Olszewski, Edward J., 1937-</t>
  </si>
  <si>
    <t>Philadelphia : American Philosophical Society, 2014.</t>
  </si>
  <si>
    <t>2014</t>
  </si>
  <si>
    <t>Memoirs of the American Philosophical Society held at Philadelphia for promoting useful knowledge ; volume 269</t>
  </si>
  <si>
    <t>1927172650:eng</t>
  </si>
  <si>
    <t>871200098</t>
  </si>
  <si>
    <t>ocn871200098</t>
  </si>
  <si>
    <t>3103557519I</t>
  </si>
  <si>
    <t>9780871692696</t>
  </si>
  <si>
    <t>794967345</t>
  </si>
  <si>
    <t>Q11 P612 v.270</t>
  </si>
  <si>
    <t>0                      Q  0011000P  612                                                     v.270</t>
  </si>
  <si>
    <t>The Tower of the Winds in Athens : Greeks, Romans, Christians, and Muslims : two millennia of continual use / Pamela A. Webb.</t>
  </si>
  <si>
    <t>v.270*</t>
  </si>
  <si>
    <t>Webb, Pamela A., author.</t>
  </si>
  <si>
    <t>[Philadelphia, PA] : American Philosophical Society Press, 2017.</t>
  </si>
  <si>
    <t>2017</t>
  </si>
  <si>
    <t>Memoirs of the American Philosophical Society held at Philadelphia for promoting useful knowledge ; volume 270</t>
  </si>
  <si>
    <t>2018-01-19</t>
  </si>
  <si>
    <t>4647330020:eng</t>
  </si>
  <si>
    <t>989811442</t>
  </si>
  <si>
    <t>ocn989811442</t>
  </si>
  <si>
    <t>3103758995X</t>
  </si>
  <si>
    <t>9780871692702</t>
  </si>
  <si>
    <t>795037279</t>
  </si>
  <si>
    <t>Q11 P612 v.271</t>
  </si>
  <si>
    <t>0                      Q  0011000P  612                                                     v.271</t>
  </si>
  <si>
    <t>The cabinetmaker's account : John Head's record of craft &amp; commerce in Colonial Philadelphia, 1718-1753 / Jay Robert Stiefel.</t>
  </si>
  <si>
    <t>v.271*</t>
  </si>
  <si>
    <t>Stiefel, Jay Robert, author.</t>
  </si>
  <si>
    <t>Philadelphia : American Philosophical Society Press, [2019]</t>
  </si>
  <si>
    <t>2019</t>
  </si>
  <si>
    <t>Memoirs of the American Philosophical Society held at Philadelphia for promoting useful knowledge ; volume 271</t>
  </si>
  <si>
    <t>8986727456:eng</t>
  </si>
  <si>
    <t>1013495070</t>
  </si>
  <si>
    <t>on1013495070</t>
  </si>
  <si>
    <t>3103859501Z</t>
  </si>
  <si>
    <t>9780871692719</t>
  </si>
  <si>
    <t>795047095</t>
  </si>
  <si>
    <t>Q11 P612 v.33</t>
  </si>
  <si>
    <t>0                      Q  0011000P  612                                                     v.33</t>
  </si>
  <si>
    <t>Age and achievement / by Harvey C. Lehman.</t>
  </si>
  <si>
    <t>v.33*</t>
  </si>
  <si>
    <t>Lehman, Harvey C.</t>
  </si>
  <si>
    <t>[Princeton] : Published for the American Philosophical Society by Princeton University Press, 1953.</t>
  </si>
  <si>
    <t>1953</t>
  </si>
  <si>
    <t>Memoirs of the American Philosophical Society ; v. 33</t>
  </si>
  <si>
    <t>2017-08-25</t>
  </si>
  <si>
    <t>47319751:eng</t>
  </si>
  <si>
    <t>522293</t>
  </si>
  <si>
    <t>ocm00522293</t>
  </si>
  <si>
    <t>3000645610U</t>
  </si>
  <si>
    <t>791402469</t>
  </si>
  <si>
    <t>Q11 P612 v.34</t>
  </si>
  <si>
    <t>0                      Q  0011000P  612                                                     v.34</t>
  </si>
  <si>
    <t>Michael Servetus : a translation of his geographical, medical, and astrological writings with introductions and notes / by Charles Donald O'Malley.</t>
  </si>
  <si>
    <t>v.34*</t>
  </si>
  <si>
    <t>Servetus, Michael, 1511?-1553.</t>
  </si>
  <si>
    <t>Philadelphia : American Philosophical Society, 1953.</t>
  </si>
  <si>
    <t>Memoirs of the American Philosophical Society ; v. 34</t>
  </si>
  <si>
    <t>2016-08-12</t>
  </si>
  <si>
    <t>1840293:eng</t>
  </si>
  <si>
    <t>869786</t>
  </si>
  <si>
    <t>ocm00869786</t>
  </si>
  <si>
    <t>30008052175</t>
  </si>
  <si>
    <t>791491183</t>
  </si>
  <si>
    <t>Q11 P612 v.35</t>
  </si>
  <si>
    <t>0                      Q  0011000P  612                                                     v.35</t>
  </si>
  <si>
    <t>Thomas Jefferson's Farm book : with commentary and relevant extracts from other writings / edited by Edwin Morris Betts.</t>
  </si>
  <si>
    <t>v.35*</t>
  </si>
  <si>
    <t>Jefferson, Thomas, 1743-1826.</t>
  </si>
  <si>
    <t>[Princeton]: Published for the American Philosophical Society by Princeton University Press, 1953.</t>
  </si>
  <si>
    <t>Memoirs of the American Philosophical Society, v. 35</t>
  </si>
  <si>
    <t>2019-01-11</t>
  </si>
  <si>
    <t>738433293:eng</t>
  </si>
  <si>
    <t>1518075</t>
  </si>
  <si>
    <t>ocm01518075</t>
  </si>
  <si>
    <t>30008052191</t>
  </si>
  <si>
    <t>791683587</t>
  </si>
  <si>
    <t>Q11 P612 v.37</t>
  </si>
  <si>
    <t>0                      Q  0011000P  612                                                     v.37</t>
  </si>
  <si>
    <t>Astrology in Roman law and politics / Frederick H. Cramer.</t>
  </si>
  <si>
    <t>v.37*</t>
  </si>
  <si>
    <t>Cramer, Frederick H.</t>
  </si>
  <si>
    <t>Philadelphia, American Philosophical Society, 1954.</t>
  </si>
  <si>
    <t>1954</t>
  </si>
  <si>
    <t>Memoirs of the American Philosophical Society, v. 37</t>
  </si>
  <si>
    <t>2019-06-10</t>
  </si>
  <si>
    <t>39867285:eng</t>
  </si>
  <si>
    <t>1875138</t>
  </si>
  <si>
    <t>ocm01875138</t>
  </si>
  <si>
    <t>3103009078V</t>
  </si>
  <si>
    <t>792003641</t>
  </si>
  <si>
    <t>Q11 P612 v.43</t>
  </si>
  <si>
    <t>0                      Q  0011000P  612                                                     v.43</t>
  </si>
  <si>
    <t>Franklin and Newton; an inquiry into speculative Newtonian experimental science and Franklin's work in electricity as an example thereof.</t>
  </si>
  <si>
    <t>v.43*</t>
  </si>
  <si>
    <t>Cohen, I. Bernard, 1914-2003.</t>
  </si>
  <si>
    <t>Philadelphia, American Philosophical Society, 1956.</t>
  </si>
  <si>
    <t>1956</t>
  </si>
  <si>
    <t>Memoirs of the American Philosophical Society ; v. 43</t>
  </si>
  <si>
    <t>2014-10-04</t>
  </si>
  <si>
    <t>2017-02-10</t>
  </si>
  <si>
    <t>364510380:eng</t>
  </si>
  <si>
    <t>522391</t>
  </si>
  <si>
    <t>ocm00522391</t>
  </si>
  <si>
    <t>30008052434</t>
  </si>
  <si>
    <t>791402521</t>
  </si>
  <si>
    <t>Q11 P612 v.44</t>
  </si>
  <si>
    <t>0                      Q  0011000P  612                                                     v.44</t>
  </si>
  <si>
    <t>A history of luminescence : from the earliest times until 1900.</t>
  </si>
  <si>
    <t>v.44*</t>
  </si>
  <si>
    <t>Harvey, E. Newton (Edmund Newton), 1887-1959.</t>
  </si>
  <si>
    <t>Philadelphia, American Philosophical Society, 1957.</t>
  </si>
  <si>
    <t>1957</t>
  </si>
  <si>
    <t>Memoirs of the American Philosophical Society ; v. 44</t>
  </si>
  <si>
    <t>2018-04-10</t>
  </si>
  <si>
    <t>422818747:eng</t>
  </si>
  <si>
    <t>1042083521</t>
  </si>
  <si>
    <t>on1042083521</t>
  </si>
  <si>
    <t>30008052442</t>
  </si>
  <si>
    <t>795059416</t>
  </si>
  <si>
    <t>Q11 P612 v.60</t>
  </si>
  <si>
    <t>0                      Q  0011000P  612                                                     v.60</t>
  </si>
  <si>
    <t>English justice between the Norman Conquest and the Great Charter, 1066-1215 / Doris M. Stenton.</t>
  </si>
  <si>
    <t>v.60*</t>
  </si>
  <si>
    <t>Stenton, Doris Mary Parsons, Lady.</t>
  </si>
  <si>
    <t>Philadelphia : American Philosophical Society, 1964.</t>
  </si>
  <si>
    <t>1964</t>
  </si>
  <si>
    <t>Jayne lectures ; 1963</t>
  </si>
  <si>
    <t>2018-12-21</t>
  </si>
  <si>
    <t>48935195:eng</t>
  </si>
  <si>
    <t>1136146</t>
  </si>
  <si>
    <t>ocm01136146</t>
  </si>
  <si>
    <t>3000805269N</t>
  </si>
  <si>
    <t>791554561</t>
  </si>
  <si>
    <t>Q11 P612 v.75</t>
  </si>
  <si>
    <t>0                      Q  0011000P  612                                                     v.75</t>
  </si>
  <si>
    <t>Induction and intuition in scientific thought.</t>
  </si>
  <si>
    <t>v.75*</t>
  </si>
  <si>
    <t>Medawar, P. B. (Peter Brian), 1915-1987.</t>
  </si>
  <si>
    <t>Philadelphia : American Philosophical Society, 1969.</t>
  </si>
  <si>
    <t>1969</t>
  </si>
  <si>
    <t>Jayne lectures for 1968</t>
  </si>
  <si>
    <t>2015-09-15</t>
  </si>
  <si>
    <t>477482317:eng</t>
  </si>
  <si>
    <t>12725</t>
  </si>
  <si>
    <t>ocm00012725</t>
  </si>
  <si>
    <t>3000499661E</t>
  </si>
  <si>
    <t>791228224</t>
  </si>
  <si>
    <t>Q11 P612 v.90</t>
  </si>
  <si>
    <t>0                      Q  0011000P  612                                                     v.90</t>
  </si>
  <si>
    <t>The role of providence in the social order : an essay in intellectual history.</t>
  </si>
  <si>
    <t>v.90*</t>
  </si>
  <si>
    <t>Viner, Jacob, 1892-1970.</t>
  </si>
  <si>
    <t>Philadelphia : American Philosophical Society, 1972.</t>
  </si>
  <si>
    <t>1972</t>
  </si>
  <si>
    <t>Memoirs of the American Philosophical Society ; v. 90</t>
  </si>
  <si>
    <t>2015-11-25</t>
  </si>
  <si>
    <t>1409306:eng</t>
  </si>
  <si>
    <t>324075</t>
  </si>
  <si>
    <t>ocm00324075</t>
  </si>
  <si>
    <t>3100786470B</t>
  </si>
  <si>
    <t>9780871690906</t>
  </si>
  <si>
    <t>791337102</t>
  </si>
  <si>
    <t>Q41 B85 W58 2010</t>
  </si>
  <si>
    <t>0                      Q  0041000B  85                 W  58          2010</t>
  </si>
  <si>
    <t>Geography and science in Britain, 1831-1939 : a study of the British Association for the Advancement of Science / Charles W.J. Withers.</t>
  </si>
  <si>
    <t>Withers, Charles W. J.</t>
  </si>
  <si>
    <t>Manchester ; New York : Manchester University Press, 2010.</t>
  </si>
  <si>
    <t>2010</t>
  </si>
  <si>
    <t>2013-09-20</t>
  </si>
  <si>
    <t>609646350:eng</t>
  </si>
  <si>
    <t>660559760</t>
  </si>
  <si>
    <t>ocn660559760</t>
  </si>
  <si>
    <t>3103230108E</t>
  </si>
  <si>
    <t>9780719079764</t>
  </si>
  <si>
    <t>794836981</t>
  </si>
  <si>
    <t>Q41 L85 H95 1982</t>
  </si>
  <si>
    <t>0                      Q  0041000L  85                 H  95          1982</t>
  </si>
  <si>
    <t>The Royal Society and its fellows, 1660-1700 : the morphology of an early scientific institution / Michael Hunter.</t>
  </si>
  <si>
    <t>Hunter, Michael Cyril William.</t>
  </si>
  <si>
    <t>Chalfont St. Giles, Bucks, England : British Society for the History of Science, 1982.</t>
  </si>
  <si>
    <t>1982</t>
  </si>
  <si>
    <t>BSHS monographs ; 4</t>
  </si>
  <si>
    <t>2016-12-03</t>
  </si>
  <si>
    <t>809165799:eng</t>
  </si>
  <si>
    <t>9520863</t>
  </si>
  <si>
    <t>ocm09520863</t>
  </si>
  <si>
    <t>3000369985D</t>
  </si>
  <si>
    <t>9780906450031</t>
  </si>
  <si>
    <t>792679817</t>
  </si>
  <si>
    <t>Q41 L85 L89</t>
  </si>
  <si>
    <t>0                      Q  0041000L  85                 L  89</t>
  </si>
  <si>
    <t>The Royal Society, 1660-1940, a history of its administration under its charters, by Sir Henry Lyons, F.R.S.</t>
  </si>
  <si>
    <t>Cambridge [England] The University Press, 1944.</t>
  </si>
  <si>
    <t>2019-02-20</t>
  </si>
  <si>
    <t>364412698:eng</t>
  </si>
  <si>
    <t>2339958</t>
  </si>
  <si>
    <t>ocm02339958</t>
  </si>
  <si>
    <t>3103602714N</t>
  </si>
  <si>
    <t>9781107492813</t>
  </si>
  <si>
    <t>792106288</t>
  </si>
  <si>
    <t>Q41 L85 S7 1949</t>
  </si>
  <si>
    <t>0                      Q  0041000L  85                 S  7           1949</t>
  </si>
  <si>
    <t>Scientists and amateurs; a history of the Royal Society.</t>
  </si>
  <si>
    <t>1</t>
  </si>
  <si>
    <t>Stimson, Dorothy, 1890-1988.</t>
  </si>
  <si>
    <t>London, Sigma Books [1949]</t>
  </si>
  <si>
    <t>1949</t>
  </si>
  <si>
    <t>375713443:eng</t>
  </si>
  <si>
    <t>2340030</t>
  </si>
  <si>
    <t>ocm02340030</t>
  </si>
  <si>
    <t>3000352599M</t>
  </si>
  <si>
    <t>792106298</t>
  </si>
  <si>
    <t>Q41 L86 H3</t>
  </si>
  <si>
    <t>0                      Q  0041000L  86                 H  3</t>
  </si>
  <si>
    <t>The Royal Society; its origins and founders.</t>
  </si>
  <si>
    <t>Hartley, Harold, Sir, 1878-</t>
  </si>
  <si>
    <t>London, Royal Society [1960]</t>
  </si>
  <si>
    <t>1960</t>
  </si>
  <si>
    <t>2019-02-19</t>
  </si>
  <si>
    <t>1661813:eng</t>
  </si>
  <si>
    <t>813245</t>
  </si>
  <si>
    <t>ocm00813245</t>
  </si>
  <si>
    <t>3000688336M</t>
  </si>
  <si>
    <t>791476395</t>
  </si>
  <si>
    <t>Q41 L86 M35 2013</t>
  </si>
  <si>
    <t>0                      Q  0041000L  86                 M  35          2013</t>
  </si>
  <si>
    <t>Studies of skin color in the early Royal Society : Boyle, Cavendish, Swift / Cristina Malcolmson, Bates College, USA.</t>
  </si>
  <si>
    <t>Malcolmson, Cristina.</t>
  </si>
  <si>
    <t>Burlington, VT : Ashgate, 2013.</t>
  </si>
  <si>
    <t>Literary and Scientific Cultures of Early Modernity</t>
  </si>
  <si>
    <t>1376210198:eng</t>
  </si>
  <si>
    <t>834441563</t>
  </si>
  <si>
    <t>ocn834441563</t>
  </si>
  <si>
    <t>3103670680J</t>
  </si>
  <si>
    <t>9780754637783</t>
  </si>
  <si>
    <t>794944351</t>
  </si>
  <si>
    <t>Q41 L86 P86 1967a</t>
  </si>
  <si>
    <t>0                      Q  0041000L  86                 P  86          1967a</t>
  </si>
  <si>
    <t>The Royal Society: concept and creation. With an introd. by H.R. Trevor-Roper.</t>
  </si>
  <si>
    <t>Purver, Margery.</t>
  </si>
  <si>
    <t>Cambridge, M.I.T. Press [1967]</t>
  </si>
  <si>
    <t>1967</t>
  </si>
  <si>
    <t>198042895:eng</t>
  </si>
  <si>
    <t>238033</t>
  </si>
  <si>
    <t>ocm00238033</t>
  </si>
  <si>
    <t>3000355793B</t>
  </si>
  <si>
    <t>791304903</t>
  </si>
  <si>
    <t>Q41 M16</t>
  </si>
  <si>
    <t>0                      Q  0041000M  16</t>
  </si>
  <si>
    <t>The corresponding societies of the British Association for the Advancement of Science, 1883-1929 : a survey of historical records, archives and publications / R.M. MacLeod, J.R. Friday and C. Gregor.</t>
  </si>
  <si>
    <t>MacLeod, Roy M.</t>
  </si>
  <si>
    <t>London : Mansell, 1975.</t>
  </si>
  <si>
    <t>902108803:eng</t>
  </si>
  <si>
    <t>1527348</t>
  </si>
  <si>
    <t>ocm01527348</t>
  </si>
  <si>
    <t>3100890060A</t>
  </si>
  <si>
    <t>9780720104455</t>
  </si>
  <si>
    <t>791690583</t>
  </si>
  <si>
    <t>Q41 R88 H89</t>
  </si>
  <si>
    <t>0                      Q  0041000R  88                 H  89</t>
  </si>
  <si>
    <t>The Royal Society; or, Science in the state and in the schools.</t>
  </si>
  <si>
    <t>Huggins, William, Sir, 1824-1910.</t>
  </si>
  <si>
    <t>London, Methuen, 1906.</t>
  </si>
  <si>
    <t>1906</t>
  </si>
  <si>
    <t>24479465:eng</t>
  </si>
  <si>
    <t>23131075</t>
  </si>
  <si>
    <t>ocm23131075</t>
  </si>
  <si>
    <t>3000688333S</t>
  </si>
  <si>
    <t>793161974</t>
  </si>
  <si>
    <t>Q41 S44 2010b</t>
  </si>
  <si>
    <t>0                      Q  0041000S  44          2010b</t>
  </si>
  <si>
    <t>Seeing further : the story of science, discovery, and the genius of the Royal Society / edited &amp; introduced by Bill Bryson ; contributing editor, Jon Turney.</t>
  </si>
  <si>
    <t>New York, NY : William Morrow, ©2010.</t>
  </si>
  <si>
    <t>1st U.S. ed.</t>
  </si>
  <si>
    <t>2019-02-01</t>
  </si>
  <si>
    <t>793883726:eng</t>
  </si>
  <si>
    <t>548626444</t>
  </si>
  <si>
    <t>ocn548626444</t>
  </si>
  <si>
    <t>3102669401B</t>
  </si>
  <si>
    <t>9780061999765</t>
  </si>
  <si>
    <t>794811115</t>
  </si>
  <si>
    <t>Q46 A15 M35 2003</t>
  </si>
  <si>
    <t>0                      Q  0046000A  15                 M  35          2003</t>
  </si>
  <si>
    <t>Specialist control : the Publications Committee of the Académie royale des sciences (Paris), 1700-1793 / James E. McClellan, III.</t>
  </si>
  <si>
    <t>McClellan, James E., III (James Edward), 1946-</t>
  </si>
  <si>
    <t>Transactions of the American Philosophical Society ; v. 93, pt. 3</t>
  </si>
  <si>
    <t>2016-08-06</t>
  </si>
  <si>
    <t>197314992:eng</t>
  </si>
  <si>
    <t>52030347</t>
  </si>
  <si>
    <t>ocm52030347</t>
  </si>
  <si>
    <t>3102387452H</t>
  </si>
  <si>
    <t>9780871699336</t>
  </si>
  <si>
    <t>793796683</t>
  </si>
  <si>
    <t>Q46 D4 1921</t>
  </si>
  <si>
    <t>0                      Q  0046000D  4           1921</t>
  </si>
  <si>
    <t>Déodat Dolomieu, membre de l'Institut national (1750-1801) : sa vie aventureuse, sa captivité, ses oeuvres, sa correspondance / A. Lacroix ; ouvrage publié par l'Académie des sciences avec le concours de l'Institut (Foudation Debrousse et Gas).</t>
  </si>
  <si>
    <t>T.1</t>
  </si>
  <si>
    <t>Lacroix, Alfred, 1863-1948.</t>
  </si>
  <si>
    <t>Paris : Librairie académique, Perrin &amp; cie, libraires-éditeurs, 1921.</t>
  </si>
  <si>
    <t>1921</t>
  </si>
  <si>
    <t>2016-02-10</t>
  </si>
  <si>
    <t>198304042:fre</t>
  </si>
  <si>
    <t>70795955</t>
  </si>
  <si>
    <t>ocm70795955</t>
  </si>
  <si>
    <t>31027926366</t>
  </si>
  <si>
    <t>794159257</t>
  </si>
  <si>
    <t>T.2</t>
  </si>
  <si>
    <t>31027926414</t>
  </si>
  <si>
    <t>794159256</t>
  </si>
  <si>
    <t>Q46 L89 1989</t>
  </si>
  <si>
    <t>0                      Q  0046000L  89          1989</t>
  </si>
  <si>
    <t>Patronage and royal science in seventeenth-century France : the Academie de physique in Caen / David S. Lux.</t>
  </si>
  <si>
    <t>Lux, David Stephan.</t>
  </si>
  <si>
    <t>Ithaca : Cornell University Press, 1989.</t>
  </si>
  <si>
    <t>21192223:eng</t>
  </si>
  <si>
    <t>19456287</t>
  </si>
  <si>
    <t>ocm19456287</t>
  </si>
  <si>
    <t>31004196495</t>
  </si>
  <si>
    <t>9780801423345</t>
  </si>
  <si>
    <t>793058499</t>
  </si>
  <si>
    <t>Q46 R84 2016</t>
  </si>
  <si>
    <t>0                      Q  0046000R  84          2016</t>
  </si>
  <si>
    <t>La maison de Salomon : histoire du patronage scientifique et technique en France et en Angleterre au XVIIe siècle / Aurélien Ruellet ; préface de Mark Greengrass.</t>
  </si>
  <si>
    <t>Ruellet, Aurélien, 1983- author.</t>
  </si>
  <si>
    <t>Rennes : Presses universitaires de Rennes, [2016]</t>
  </si>
  <si>
    <t>2016</t>
  </si>
  <si>
    <t>Collection "Histoire". Série "Techniques, savoirs, societés"</t>
  </si>
  <si>
    <t>3221621227:fre</t>
  </si>
  <si>
    <t>952060922</t>
  </si>
  <si>
    <t>ocn952060922</t>
  </si>
  <si>
    <t>3103710290O</t>
  </si>
  <si>
    <t>9782753549128</t>
  </si>
  <si>
    <t>795017981</t>
  </si>
  <si>
    <t>Q54 A29 B683 2007</t>
  </si>
  <si>
    <t>0                      Q  0054000A  29                 B  683         2007</t>
  </si>
  <si>
    <t>Experiment and natural philosophy in seventeenth-century Tuscany : the history of the Accademia del cimento / Luciano Boschiero.</t>
  </si>
  <si>
    <t>Boschiero, Luciano.</t>
  </si>
  <si>
    <t>Dordrecht : Springer Verlag, ©2007.</t>
  </si>
  <si>
    <t>Australasian studies in history and philosophy of science ; v. 21</t>
  </si>
  <si>
    <t>2019-09-24</t>
  </si>
  <si>
    <t>796132029:eng</t>
  </si>
  <si>
    <t>154712093</t>
  </si>
  <si>
    <t>ocn154712093</t>
  </si>
  <si>
    <t>3102647077R</t>
  </si>
  <si>
    <t>9781402062452</t>
  </si>
  <si>
    <t>794252662</t>
  </si>
  <si>
    <t>Q54 A29 M5</t>
  </si>
  <si>
    <t>0                      Q  0054000A  29                 M  5</t>
  </si>
  <si>
    <t>The experimenters; a study of the Accademia del cimento [by] W.E. Knowles Middleton.</t>
  </si>
  <si>
    <t>Middleton, W. E. Knowles (William Edgar Knowles), 1902-1998.</t>
  </si>
  <si>
    <t>Baltimore, Johns Hopkins Press [1971]</t>
  </si>
  <si>
    <t>1971</t>
  </si>
  <si>
    <t>30242926:eng</t>
  </si>
  <si>
    <t>247535</t>
  </si>
  <si>
    <t>ocm00247535</t>
  </si>
  <si>
    <t>3000427266Z</t>
  </si>
  <si>
    <t>9780801812507</t>
  </si>
  <si>
    <t>791308243</t>
  </si>
  <si>
    <t>1909</t>
  </si>
  <si>
    <t>Q60 H53 nide 265</t>
  </si>
  <si>
    <t>0                      Q  0060000H  53                                                      nide 265</t>
  </si>
  <si>
    <t>De varietate fortunae / Poggio Bracciolini ; edizione critica con introduzione e commento a cura di Outi Merisalo.</t>
  </si>
  <si>
    <t>Bracciolini, Poggio, 1380-1459.</t>
  </si>
  <si>
    <t>Helsinki : Suomalainen Tiedeakatemia, 1993.</t>
  </si>
  <si>
    <t>1993</t>
  </si>
  <si>
    <t>ita</t>
  </si>
  <si>
    <t>Suomalaisen Tiedeakatemian toimituksia. Sarja B, 0066-2011 ; nide 265 = Annales Academiæ Scientiarum Fennicæ. Ser. B ; tom. 265</t>
  </si>
  <si>
    <t>2016-03-08</t>
  </si>
  <si>
    <t>429677230:ita</t>
  </si>
  <si>
    <t>28920582</t>
  </si>
  <si>
    <t>ocm28920582</t>
  </si>
  <si>
    <t>3101384766K</t>
  </si>
  <si>
    <t>9789514106934</t>
  </si>
  <si>
    <t>793299308</t>
  </si>
  <si>
    <t>Q60 H53 nide 284</t>
  </si>
  <si>
    <t>0                      Q  0060000H  53                                                      nide 284</t>
  </si>
  <si>
    <t>Looking for leads : shipwrecks of the past revealed by contemporary documents and the archaeological record / Christian Ahlström.</t>
  </si>
  <si>
    <t>Ahlström, Christian, 1931-</t>
  </si>
  <si>
    <t>Helsinki : Finnish Academy of Science and Letters, 1997.</t>
  </si>
  <si>
    <t>Suomalaisen Tiedeakatemian toimituksia. Sarja Humaniora ; 1239-6982, nide 284 = Annales Academiae Scientiarum Fennicae. Ser. Humaniora ; tom. 284</t>
  </si>
  <si>
    <t>2015-02-13</t>
  </si>
  <si>
    <t>1151911009:eng</t>
  </si>
  <si>
    <t>37558081</t>
  </si>
  <si>
    <t>ocm37558081</t>
  </si>
  <si>
    <t>3101812654B</t>
  </si>
  <si>
    <t>9789514108051</t>
  </si>
  <si>
    <t>793501467</t>
  </si>
  <si>
    <t>Q60 H53 nide 300</t>
  </si>
  <si>
    <t>0                      Q  0060000H  53                                                      nide 300</t>
  </si>
  <si>
    <t>James Fenimore Cooper's landscapes in the leather-stocking series and other forest tales / Kaarle-Juhani (Nalle) Valtiala.</t>
  </si>
  <si>
    <t>Valtiala, Nalle.</t>
  </si>
  <si>
    <t>[Helsinki] : Academia Scientiarum Fennica, [1998]</t>
  </si>
  <si>
    <t>Suomalaisen Tiedeakatemian toimituksia, Annales Academiae Scientiarum Fennicae. Sarja-ser. Humaniora, 1239-6982 ; nide-tom. 300</t>
  </si>
  <si>
    <t>19538057:eng</t>
  </si>
  <si>
    <t>40916363</t>
  </si>
  <si>
    <t>ocm40916363</t>
  </si>
  <si>
    <t>3101956014X</t>
  </si>
  <si>
    <t>9789514108600</t>
  </si>
  <si>
    <t>793578954</t>
  </si>
  <si>
    <t>Q60 H53 nide 302</t>
  </si>
  <si>
    <t>0                      Q  0060000H  53                                                      nide 302</t>
  </si>
  <si>
    <t>Approaches to personal identity in Kafka's short fiction : Freud, Darwin, Kierkegaard / Leena Eilittä.</t>
  </si>
  <si>
    <t>Eilittä, Leena.</t>
  </si>
  <si>
    <t>Helsinki : Academia Scientiarum Fennica, ©1999.</t>
  </si>
  <si>
    <t>Suomalaisen Tiedeakatemian toimituksia. Sarja Humaniora, 1239-6982 ; nide 302 = Annales Academiae Scientiarum Fennicae. Ser. Humaniora ; tom. 302</t>
  </si>
  <si>
    <t>2019-03-07</t>
  </si>
  <si>
    <t>19108120:eng</t>
  </si>
  <si>
    <t>41566318</t>
  </si>
  <si>
    <t>ocm41566318</t>
  </si>
  <si>
    <t>3102050423R</t>
  </si>
  <si>
    <t>9789514108624</t>
  </si>
  <si>
    <t>793594261</t>
  </si>
  <si>
    <t>Q60 H53 nide 305</t>
  </si>
  <si>
    <t>0                      Q  0060000H  53                                                      nide 305</t>
  </si>
  <si>
    <t>Hygiene in the early modern medical tradition / Heikki Mikkeli.</t>
  </si>
  <si>
    <t>Mikkeli, Heikki.</t>
  </si>
  <si>
    <t>[Helsinki] : Finnish Academy of Science and Letters, ©1999.</t>
  </si>
  <si>
    <t>Suomalaisen Tiedeakatemian toimituksia. Sarja Humaniora, 1239-6982 ; nide 305 = Annales Academiae Scientiarum Fennicae. Ser. Humaniora ; tom. 305</t>
  </si>
  <si>
    <t>9621792066:eng</t>
  </si>
  <si>
    <t>42714761</t>
  </si>
  <si>
    <t>ocm42714761</t>
  </si>
  <si>
    <t>3103023969K</t>
  </si>
  <si>
    <t>ON_HOLD</t>
  </si>
  <si>
    <t>9789514108693</t>
  </si>
  <si>
    <t>793612418</t>
  </si>
  <si>
    <t>Q60 H53 nide 307</t>
  </si>
  <si>
    <t>0                      Q  0060000H  53                                                      nide 307</t>
  </si>
  <si>
    <t>The sovereign and his counsellors : ritualised consultations in Muscovite political culture, 1350s-1570s / Sergei Bogatyrev.</t>
  </si>
  <si>
    <t>Bogatyrev, S. N. (Sergeĭ Nikolaevich)</t>
  </si>
  <si>
    <t>Helsinki : Academia Scientiarum Fennica, 2000.</t>
  </si>
  <si>
    <t>Suomalaisen Tiedeakatemian toimituksia. Sarja Humaniora, 1239-6982 ; nide 307</t>
  </si>
  <si>
    <t>2017-02-27</t>
  </si>
  <si>
    <t>198909633:eng</t>
  </si>
  <si>
    <t>43806978</t>
  </si>
  <si>
    <t>ocm43806978</t>
  </si>
  <si>
    <t>3102047813M</t>
  </si>
  <si>
    <t>9789514108747</t>
  </si>
  <si>
    <t>793635124</t>
  </si>
  <si>
    <t>Q60 H53 nide 318</t>
  </si>
  <si>
    <t>0                      Q  0060000H  53                                                      nide 318</t>
  </si>
  <si>
    <t>Landscape experience as visual narrative : Northern Song Dynasty landscape handscrolls in the Li Cheng-Yan Wengui tradition / Minna Törmä.</t>
  </si>
  <si>
    <t>Törmä, Minna.</t>
  </si>
  <si>
    <t>Helsinki : Tiedekirja, 2002.</t>
  </si>
  <si>
    <t>Annales Academiae Scientiarum Fennicae. Humaniora, 1239-6982 ; 318</t>
  </si>
  <si>
    <t>2019-11-25</t>
  </si>
  <si>
    <t>9589170:eng</t>
  </si>
  <si>
    <t>49903797</t>
  </si>
  <si>
    <t>ocm49903797</t>
  </si>
  <si>
    <t>31022196891</t>
  </si>
  <si>
    <t>9789514109096</t>
  </si>
  <si>
    <t>793750426</t>
  </si>
  <si>
    <t>Q60 H53 nide 324</t>
  </si>
  <si>
    <t>0                      Q  0060000H  53                                                      nide 324</t>
  </si>
  <si>
    <t>The Finnish Guard in the Balkans : heroism, imperial loyalty and Finnishness in the Russo-Turkish war of 1877-1878 as recollected in the memoirs of Finnish Guardsmen / Teuvo Laitila.</t>
  </si>
  <si>
    <t>Laitila, Teuvo.</t>
  </si>
  <si>
    <t>[Helsinki] : Finnish Academy of Science and Letters, ©2003.</t>
  </si>
  <si>
    <t>Suomalaisen Tiedeakatemian toimituksia. Humaniora, 1239-6982 = Annales Academiae Scientiarum Fennicae ; 324</t>
  </si>
  <si>
    <t>2018-09-04</t>
  </si>
  <si>
    <t>8909463732:eng</t>
  </si>
  <si>
    <t>53057930</t>
  </si>
  <si>
    <t>ocm53057930</t>
  </si>
  <si>
    <t>3102313624V</t>
  </si>
  <si>
    <t>9789514109232</t>
  </si>
  <si>
    <t>793820397</t>
  </si>
  <si>
    <t>Q60 H53 nide 331</t>
  </si>
  <si>
    <t>0                      Q  0060000H  53                                                      nide 331</t>
  </si>
  <si>
    <t>Ṣaqâliba, eunuques et esclaves à la conquête du pouvoir : géographie et histoire des élites politiques "marginales" dans l'Espagne umayyade / Mohamed Meouak.</t>
  </si>
  <si>
    <t>Meouak, Mohamed.</t>
  </si>
  <si>
    <t>Helsinki : Academia scientiarum Fennica : Distribution Libr. Tiedekirja, [2004]</t>
  </si>
  <si>
    <t>Suomalaisen tiedeakatemian toimituksia. Humaniora, 1239-6982 ; 331</t>
  </si>
  <si>
    <t>2015-10-14</t>
  </si>
  <si>
    <t>17163421:fre</t>
  </si>
  <si>
    <t>56956966</t>
  </si>
  <si>
    <t>ocm56956966</t>
  </si>
  <si>
    <t>3102430542Q</t>
  </si>
  <si>
    <t>9789514109461</t>
  </si>
  <si>
    <t>793904790</t>
  </si>
  <si>
    <t>Q60 H53 nide 339</t>
  </si>
  <si>
    <t>0                      Q  0060000H  53                                                      nide 339</t>
  </si>
  <si>
    <t>Between science and drawings : Renaissance architects on Vitruvius's educational ideas / Liisa Kanerva.</t>
  </si>
  <si>
    <t>Kanerva, Liisa.</t>
  </si>
  <si>
    <t>Helsinki : Finnish Academy of Science and Letters, ©2006.</t>
  </si>
  <si>
    <t>2006</t>
  </si>
  <si>
    <t>Annales Academiae Scientiarum Fennicae. Humaniora, 1239-6982 = Annales Academiae Scientiarum Fennicae ; 339</t>
  </si>
  <si>
    <t>303702877:eng</t>
  </si>
  <si>
    <t>62901097</t>
  </si>
  <si>
    <t>ocm62901097</t>
  </si>
  <si>
    <t>3103773318E</t>
  </si>
  <si>
    <t>9789514109843</t>
  </si>
  <si>
    <t>794114093</t>
  </si>
  <si>
    <t>2015-07-06</t>
  </si>
  <si>
    <t>Q105 A1 M38 2002</t>
  </si>
  <si>
    <t>0                      Q  0105000A  1                  M  38          2002</t>
  </si>
  <si>
    <t>Cabinets of curiosities / Patrick Mauries.</t>
  </si>
  <si>
    <t>Mauriès, Patrick, 1952-</t>
  </si>
  <si>
    <t>New York : Thames &amp; Hudson, ©2002.</t>
  </si>
  <si>
    <t>2018-03-11</t>
  </si>
  <si>
    <t>39041796:eng</t>
  </si>
  <si>
    <t>49906311</t>
  </si>
  <si>
    <t>ocm49906311</t>
  </si>
  <si>
    <t>3102799438L</t>
  </si>
  <si>
    <t>9780500510919</t>
  </si>
  <si>
    <t>793750472</t>
  </si>
  <si>
    <t>Q105 C22 M65 1990</t>
  </si>
  <si>
    <t>0                      Q  0105000C  22                 M  65          1990</t>
  </si>
  <si>
    <t>Planets, potions, and parchments : scientifica Hebraica from the Dead Sea Scrolls to the eighteenth century / B. Barry Levy.</t>
  </si>
  <si>
    <t>Levy, B. Barry.</t>
  </si>
  <si>
    <t>Montreal ; Buffalo : Published for the Jewish Public Library by McGill-Queen's University Press, ©1990.</t>
  </si>
  <si>
    <t>2016-11-02</t>
  </si>
  <si>
    <t>203707716:eng</t>
  </si>
  <si>
    <t>23868226</t>
  </si>
  <si>
    <t>ocm23868226</t>
  </si>
  <si>
    <t>3103070253U</t>
  </si>
  <si>
    <t>9780773507913</t>
  </si>
  <si>
    <t>793183697</t>
  </si>
  <si>
    <t>2013-04-30</t>
  </si>
  <si>
    <t>3103147574Z</t>
  </si>
  <si>
    <t>793183696</t>
  </si>
  <si>
    <t>- Blackader-Lauterman Collection - Regular Loan</t>
  </si>
  <si>
    <t>Q105 I8 F56 1994</t>
  </si>
  <si>
    <t>0                      Q  0105000I  8                  F  56          1994</t>
  </si>
  <si>
    <t>Possessing nature : museums, collecting, and scientific culture in early modern Italy / Paula Findlen.</t>
  </si>
  <si>
    <t>Findlen, Paula.</t>
  </si>
  <si>
    <t>Berkeley : University of California Press, ©1994.</t>
  </si>
  <si>
    <t>Studies on the history of society and culture ; 20</t>
  </si>
  <si>
    <t>2019-02-14</t>
  </si>
  <si>
    <t>342277:eng</t>
  </si>
  <si>
    <t>27770300</t>
  </si>
  <si>
    <t>ocm27770300</t>
  </si>
  <si>
    <t>3102739785W</t>
  </si>
  <si>
    <t>9780520073340</t>
  </si>
  <si>
    <t>793271699</t>
  </si>
  <si>
    <t>Q111 A3 no. 1070</t>
  </si>
  <si>
    <t>0                      Q  0111000A  3                                                       no. 1070</t>
  </si>
  <si>
    <t>L'homme contre la nature, essais d'histoire de l'Amérique.</t>
  </si>
  <si>
    <t>no. 1070*</t>
  </si>
  <si>
    <t>Chinard, Gilbert, 1881-1972.</t>
  </si>
  <si>
    <t>Paris, Hermann, 1949.</t>
  </si>
  <si>
    <t>Actualités scientifiques et industrielles, 1070</t>
  </si>
  <si>
    <t>2016-09-21</t>
  </si>
  <si>
    <t>365865078:fre</t>
  </si>
  <si>
    <t>2457107</t>
  </si>
  <si>
    <t>ocm02457107</t>
  </si>
  <si>
    <t>3000723648K</t>
  </si>
  <si>
    <t>792130279</t>
  </si>
  <si>
    <t>Q111 A3 no.1012</t>
  </si>
  <si>
    <t>0                      Q  0111000A  3                                                       no.1012</t>
  </si>
  <si>
    <t>Symétrie et dissymétrie en mathématiques et en physique. Le problème du temps.</t>
  </si>
  <si>
    <t>no.1012*</t>
  </si>
  <si>
    <t>Lautman, Albert, 1908-1944.</t>
  </si>
  <si>
    <t>Paris, Hermann, 1946.</t>
  </si>
  <si>
    <t>1946</t>
  </si>
  <si>
    <t>Actualités scientifiques et industrielles, 1012</t>
  </si>
  <si>
    <t>2016-04-25</t>
  </si>
  <si>
    <t>807901037:fre</t>
  </si>
  <si>
    <t>1540608</t>
  </si>
  <si>
    <t>ocm01540608</t>
  </si>
  <si>
    <t>3103484273I</t>
  </si>
  <si>
    <t>791709563</t>
  </si>
  <si>
    <t>Q111 A3 no.1198</t>
  </si>
  <si>
    <t>0                      Q  0111000A  3                                                       no.1198</t>
  </si>
  <si>
    <t>Introduction to integral geometry.</t>
  </si>
  <si>
    <t>no.1198*</t>
  </si>
  <si>
    <t>Santaló, Luis A. (Luis Antonio), 1911-2001.</t>
  </si>
  <si>
    <t>Paris, Hermann, 1953.</t>
  </si>
  <si>
    <t>Actualités scientifiques et industrielles, 1198. Publications de l'Institut mathématique de l'Université de Nancago, 2</t>
  </si>
  <si>
    <t>2019-01-07</t>
  </si>
  <si>
    <t>10177554774:eng</t>
  </si>
  <si>
    <t>786987</t>
  </si>
  <si>
    <t>ocm00786987</t>
  </si>
  <si>
    <t>31002416591</t>
  </si>
  <si>
    <t>791469856</t>
  </si>
  <si>
    <t>Q111 A3 no.1264</t>
  </si>
  <si>
    <t>0                      Q  0111000A  3                                                       no.1264</t>
  </si>
  <si>
    <t>Groupes algébriques et corps de classes; cours au Collège de France.</t>
  </si>
  <si>
    <t>no.1264*</t>
  </si>
  <si>
    <t>Serre, Jean-Pierre, 1926-</t>
  </si>
  <si>
    <t>Paris, Hermann [1959]</t>
  </si>
  <si>
    <t>1959</t>
  </si>
  <si>
    <t>Publications de l'Institut de mathématique de l'Université de Nancago, 7</t>
  </si>
  <si>
    <t>2019-04-12</t>
  </si>
  <si>
    <t>5513703278:fre</t>
  </si>
  <si>
    <t>1061519</t>
  </si>
  <si>
    <t>ocm01061519</t>
  </si>
  <si>
    <t>3000696615M</t>
  </si>
  <si>
    <t>791536330</t>
  </si>
  <si>
    <t>Q111 A3 no.621-623</t>
  </si>
  <si>
    <t>0                      Q  0111000A  3                                                       no.621-623</t>
  </si>
  <si>
    <t>Attraction universelle et religion naturelle chez quelques commentateurs anglais de Newton ... Par Hélène Metzger ...</t>
  </si>
  <si>
    <t>no.621</t>
  </si>
  <si>
    <t>Metzger, Hélène.</t>
  </si>
  <si>
    <t>Paris, Hermann &amp; cie, 1938.</t>
  </si>
  <si>
    <t>1938</t>
  </si>
  <si>
    <t>Philosophie et histoire de la pensée scientifique. IV-VI</t>
  </si>
  <si>
    <t>2017-03-13</t>
  </si>
  <si>
    <t>4826160:fre</t>
  </si>
  <si>
    <t>12302327</t>
  </si>
  <si>
    <t>ocm12302327</t>
  </si>
  <si>
    <t>3103451945U</t>
  </si>
  <si>
    <t>792809562</t>
  </si>
  <si>
    <t>no.623</t>
  </si>
  <si>
    <t>3103451942U</t>
  </si>
  <si>
    <t>792809560</t>
  </si>
  <si>
    <t>no.622</t>
  </si>
  <si>
    <t>31034519061</t>
  </si>
  <si>
    <t>792809561</t>
  </si>
  <si>
    <t>Q111 A3 no.804</t>
  </si>
  <si>
    <t>0                      Q  0111000A  3                                                       no.804</t>
  </si>
  <si>
    <t>Nouvelles recherches sur la structure dialectique des mathématiques, par Albert Lautman.</t>
  </si>
  <si>
    <t>no.804*</t>
  </si>
  <si>
    <t>Paris, Hermann &amp; cie, 1939.</t>
  </si>
  <si>
    <t>Essais philosophiques, 1</t>
  </si>
  <si>
    <t>2018-12-07</t>
  </si>
  <si>
    <t>21329939:fre</t>
  </si>
  <si>
    <t>6118869</t>
  </si>
  <si>
    <t>ocm06118869</t>
  </si>
  <si>
    <t>3103484272I</t>
  </si>
  <si>
    <t>792476669</t>
  </si>
  <si>
    <t>Q111 A87 1945</t>
  </si>
  <si>
    <t>0                      Q  0111000A  87          1945</t>
  </si>
  <si>
    <t>The autobiography of science / edited by Forest Ray Moulton and Justus J. Schifferes.</t>
  </si>
  <si>
    <t>Garden City, N.Y. : Doubleday, Doran, 1945.</t>
  </si>
  <si>
    <t>1945</t>
  </si>
  <si>
    <t>A science publications council book</t>
  </si>
  <si>
    <t>2016-10-18</t>
  </si>
  <si>
    <t>2019-02-03</t>
  </si>
  <si>
    <t>355962407:eng</t>
  </si>
  <si>
    <t>1190909</t>
  </si>
  <si>
    <t>ocm01190909</t>
  </si>
  <si>
    <t>3000356516W</t>
  </si>
  <si>
    <t>791568768</t>
  </si>
  <si>
    <t>Q111 L3 H194</t>
  </si>
  <si>
    <t>0                      Q  0111000L  3                  H  194</t>
  </si>
  <si>
    <t>The theological and philosophical works of Hermes Trismegistus, Christian neoplatonist / translated from the original Greek, with preface, notes, and indices by John David Chambers.</t>
  </si>
  <si>
    <t>Corpus Hermeticum. English.</t>
  </si>
  <si>
    <t>Edinburgh : T. &amp; T. Clark, MDCCCLXXXII [1882]</t>
  </si>
  <si>
    <t>1882</t>
  </si>
  <si>
    <t>2016-01-19</t>
  </si>
  <si>
    <t>190998266:eng</t>
  </si>
  <si>
    <t>7567798</t>
  </si>
  <si>
    <t>ocm07567798</t>
  </si>
  <si>
    <t>3000664036T</t>
  </si>
  <si>
    <t>792566384</t>
  </si>
  <si>
    <t>Q113 L2x</t>
  </si>
  <si>
    <t>0                      Q  0113000L  2x</t>
  </si>
  <si>
    <t>Pages choisies : introduction, notes et commentaires / par Lucien Brunelle.</t>
  </si>
  <si>
    <t>Lamarck, Jean Baptiste Pierre Antoine de Monet de, 1744-1829.</t>
  </si>
  <si>
    <t>Paris : Editions sociales, 1957.</t>
  </si>
  <si>
    <t>Les classiques du peuple</t>
  </si>
  <si>
    <t>2017-08-07</t>
  </si>
  <si>
    <t>3943658235:fre</t>
  </si>
  <si>
    <t>427504302</t>
  </si>
  <si>
    <t>ocn427504302</t>
  </si>
  <si>
    <t>31002411065</t>
  </si>
  <si>
    <t>794669667</t>
  </si>
  <si>
    <t>Q 113 P291o 1922</t>
  </si>
  <si>
    <t>0                      Q  0113000P  291o        1922</t>
  </si>
  <si>
    <t>Œuvres de Pasteur / réunies par Pasteur Vallery-Radot.</t>
  </si>
  <si>
    <t>v. 2</t>
  </si>
  <si>
    <t>Pasteur, Louis, 1822-1895.</t>
  </si>
  <si>
    <t>Paris : Masson et cie, 1922-1939.</t>
  </si>
  <si>
    <t>1922</t>
  </si>
  <si>
    <t>2016-10-04</t>
  </si>
  <si>
    <t>3136455586:fre</t>
  </si>
  <si>
    <t>34229480</t>
  </si>
  <si>
    <t>ocm34229480</t>
  </si>
  <si>
    <t>3100342683T</t>
  </si>
  <si>
    <t>793421820</t>
  </si>
  <si>
    <t>v. 1</t>
  </si>
  <si>
    <t>3000264697D</t>
  </si>
  <si>
    <t>793421821</t>
  </si>
  <si>
    <t>v. 6</t>
  </si>
  <si>
    <t>31037055521</t>
  </si>
  <si>
    <t>793421816</t>
  </si>
  <si>
    <t>v. 7</t>
  </si>
  <si>
    <t>3100342688J</t>
  </si>
  <si>
    <t>793421815</t>
  </si>
  <si>
    <t>v. 3</t>
  </si>
  <si>
    <t>3100342684R</t>
  </si>
  <si>
    <t>793421819</t>
  </si>
  <si>
    <t>v. 5</t>
  </si>
  <si>
    <t>3100342686N</t>
  </si>
  <si>
    <t>793421817</t>
  </si>
  <si>
    <t>v. 4</t>
  </si>
  <si>
    <t>3100342685P</t>
  </si>
  <si>
    <t>793421818</t>
  </si>
  <si>
    <t>Q115 H25</t>
  </si>
  <si>
    <t>0                      Q  0115000H  25</t>
  </si>
  <si>
    <t>Harriman Alaska series.</t>
  </si>
  <si>
    <t>V. 10</t>
  </si>
  <si>
    <t>Harriman Alaska Expedition (1899)</t>
  </si>
  <si>
    <t>Washington : Smithsonian Institution, 1910-14.</t>
  </si>
  <si>
    <t>1910</t>
  </si>
  <si>
    <t>Smithsonian Institution. Harriman Alaska series</t>
  </si>
  <si>
    <t>2018-12-09</t>
  </si>
  <si>
    <t>3943571341:eng</t>
  </si>
  <si>
    <t>427218498</t>
  </si>
  <si>
    <t>ocn427218498</t>
  </si>
  <si>
    <t>3100670725A</t>
  </si>
  <si>
    <t>794545914</t>
  </si>
  <si>
    <t>V. 1</t>
  </si>
  <si>
    <t>3001032060K</t>
  </si>
  <si>
    <t>794545921</t>
  </si>
  <si>
    <t>V. 2</t>
  </si>
  <si>
    <t>3100670423Q</t>
  </si>
  <si>
    <t>794545920</t>
  </si>
  <si>
    <t>V. 11</t>
  </si>
  <si>
    <t>3100670723E</t>
  </si>
  <si>
    <t>794545913</t>
  </si>
  <si>
    <t>V. 4</t>
  </si>
  <si>
    <t>3100670430T</t>
  </si>
  <si>
    <t>794545918</t>
  </si>
  <si>
    <t>V. 13</t>
  </si>
  <si>
    <t>3100670720K</t>
  </si>
  <si>
    <t>794545911</t>
  </si>
  <si>
    <t>V. 3</t>
  </si>
  <si>
    <t>3100670421U</t>
  </si>
  <si>
    <t>794545919</t>
  </si>
  <si>
    <t>V. 9 pt.2</t>
  </si>
  <si>
    <t>31006707268</t>
  </si>
  <si>
    <t>794545915</t>
  </si>
  <si>
    <t>V. 5</t>
  </si>
  <si>
    <t>3100670721I</t>
  </si>
  <si>
    <t>794545917</t>
  </si>
  <si>
    <t>V. 12</t>
  </si>
  <si>
    <t>2000-09-21</t>
  </si>
  <si>
    <t>3100670722G</t>
  </si>
  <si>
    <t>794545912</t>
  </si>
  <si>
    <t>V. 14 pt.2</t>
  </si>
  <si>
    <t>3100670422S</t>
  </si>
  <si>
    <t>794545909</t>
  </si>
  <si>
    <t>V. 8 pt.1</t>
  </si>
  <si>
    <t>3100670724C</t>
  </si>
  <si>
    <t>794545916</t>
  </si>
  <si>
    <t>V. 14 pt.1</t>
  </si>
  <si>
    <t>3100670420W</t>
  </si>
  <si>
    <t>794545910</t>
  </si>
  <si>
    <t>Q115 H446 2015</t>
  </si>
  <si>
    <t>0                      Q  0115000H  446         2015</t>
  </si>
  <si>
    <t>Naturalists in Paradise : Wallace, Bates and Spruce in the Amazon / John Hemming.</t>
  </si>
  <si>
    <t>Hemming, John, 1935- author.</t>
  </si>
  <si>
    <t>New York : Thames &amp; Hudson, 2015.</t>
  </si>
  <si>
    <t>2015</t>
  </si>
  <si>
    <t>1904821665:eng</t>
  </si>
  <si>
    <t>881207926</t>
  </si>
  <si>
    <t>ocn881207926</t>
  </si>
  <si>
    <t>3103607672P</t>
  </si>
  <si>
    <t>9780500252109</t>
  </si>
  <si>
    <t>794973941</t>
  </si>
  <si>
    <t>Q115 J3 1963</t>
  </si>
  <si>
    <t>0                      Q  0115000J  3           1963</t>
  </si>
  <si>
    <t>Preliminary report of 1961-1962 / [by F. Müller and others].</t>
  </si>
  <si>
    <t>Jacobsen-McGill Arctic Research Expedition (1959-1962)</t>
  </si>
  <si>
    <t>[Montreal] : [publisher not identified], 1963.</t>
  </si>
  <si>
    <t>1963</t>
  </si>
  <si>
    <t>Axel Heiberg Island research reports</t>
  </si>
  <si>
    <t>2018-11-28</t>
  </si>
  <si>
    <t>8909775117:eng</t>
  </si>
  <si>
    <t>61630867</t>
  </si>
  <si>
    <t>ocm61630867</t>
  </si>
  <si>
    <t>3100673643Y</t>
  </si>
  <si>
    <t>794066782</t>
  </si>
  <si>
    <t>30010638173</t>
  </si>
  <si>
    <t>794066783</t>
  </si>
  <si>
    <t>Q115 M43 no. 21</t>
  </si>
  <si>
    <t>0                      Q  0115000M  43                                                      no. 21</t>
  </si>
  <si>
    <t>Spring migration of birds across the Greenland Inlandice / Thomas Alerstam [and others].</t>
  </si>
  <si>
    <t>no. 21*</t>
  </si>
  <si>
    <t>Copenhagen : Commission for Scientific Research in Greenland, 1986.</t>
  </si>
  <si>
    <t>1986</t>
  </si>
  <si>
    <t>Meddelelser om Grønland. Bioscience, 0106-1054 ; 21</t>
  </si>
  <si>
    <t>2018-04-30</t>
  </si>
  <si>
    <t>354027109:eng</t>
  </si>
  <si>
    <t>15139334</t>
  </si>
  <si>
    <t>ocm15139334</t>
  </si>
  <si>
    <t>3001053180U</t>
  </si>
  <si>
    <t>9788717054103</t>
  </si>
  <si>
    <t>792921630</t>
  </si>
  <si>
    <t>Q115 M44 no. 32</t>
  </si>
  <si>
    <t>0                      Q  0115000M  44                                                      no. 32</t>
  </si>
  <si>
    <t>The Stone Age of Qeqertarsuup Tunua (Disko Bugt) : a regional analysis of the Saqqaq and Dorset cultures of Central West Greenland / Jens Fog Jensen.</t>
  </si>
  <si>
    <t>no. 32*</t>
  </si>
  <si>
    <t>Jensen, Jens Fog.</t>
  </si>
  <si>
    <t>Copenhagen : Danish Polar Center : Nationalmuseet, 2006.</t>
  </si>
  <si>
    <t>Meddelelser om Grønland. Man &amp; society, 0106-1062 ; 32</t>
  </si>
  <si>
    <t>2016-03-02</t>
  </si>
  <si>
    <t>64644326:eng</t>
  </si>
  <si>
    <t>79447667</t>
  </si>
  <si>
    <t>ocm79447667</t>
  </si>
  <si>
    <t>3103030667$</t>
  </si>
  <si>
    <t>9788790369828</t>
  </si>
  <si>
    <t>794198046</t>
  </si>
  <si>
    <t>Q115 M44 no. 34</t>
  </si>
  <si>
    <t>0                      Q  0115000M  44                                                      no. 34</t>
  </si>
  <si>
    <t>Denmark-Greenland in the twentieth century / Axel Kjaer Soerensen.</t>
  </si>
  <si>
    <t>no. 34*</t>
  </si>
  <si>
    <t>Sørensen, Axel Kjær.</t>
  </si>
  <si>
    <t>Copenhagen : The Commission for Scientific Research in Greenland, 2006.</t>
  </si>
  <si>
    <t>Meddelelser om Grønland. Man &amp; society ; 34</t>
  </si>
  <si>
    <t>2015-05-14</t>
  </si>
  <si>
    <t>2895367:eng</t>
  </si>
  <si>
    <t>180751663</t>
  </si>
  <si>
    <t>ocn180751663</t>
  </si>
  <si>
    <t>3102864889S</t>
  </si>
  <si>
    <t>9788790369897</t>
  </si>
  <si>
    <t>794280316</t>
  </si>
  <si>
    <t>Q115 M44 no.38</t>
  </si>
  <si>
    <t>0                      Q  0115000M  44                                                      no.38</t>
  </si>
  <si>
    <t>Cultural encounters at Cape Farewell : East Greenland immigrants &amp; the German Moravian mission in the 19th century / Einar Lund-Jensen, Kristine Raahauge, Hans Christian Gulløv.</t>
  </si>
  <si>
    <t>no.38*</t>
  </si>
  <si>
    <t>Lund Jensen, Einar, 1949-</t>
  </si>
  <si>
    <t>Copenhagen : Museum Tusculanum ; Lancaster : Gazelle [distributor], 2011.</t>
  </si>
  <si>
    <t>Monographs on Greenland ; 348</t>
  </si>
  <si>
    <t>2017-01-10</t>
  </si>
  <si>
    <t>349143432:eng</t>
  </si>
  <si>
    <t>649804710</t>
  </si>
  <si>
    <t>ocn649804710</t>
  </si>
  <si>
    <t>3103382774H</t>
  </si>
  <si>
    <t>9788763531658</t>
  </si>
  <si>
    <t>794831985</t>
  </si>
  <si>
    <t>Q115 S385 2012</t>
  </si>
  <si>
    <t>0                      Q  0115000S  385         2012</t>
  </si>
  <si>
    <t>Scientists and scholars in the field : studies in the history of fieldwork and expeditions / edited by Kristian H. Nielsen, Michael Harbsmeier &amp; Christopher J. Ries.</t>
  </si>
  <si>
    <t>Aarhus : Aarhus University Press ; Bristol, CT : ISD [U.S.? distributor], ©2012.</t>
  </si>
  <si>
    <t>1119661404:eng</t>
  </si>
  <si>
    <t>785875433</t>
  </si>
  <si>
    <t>ocn785875433</t>
  </si>
  <si>
    <t>3103530784$</t>
  </si>
  <si>
    <t>9788771240146</t>
  </si>
  <si>
    <t>794915683</t>
  </si>
  <si>
    <t>Q115 S5 S5 no. 15</t>
  </si>
  <si>
    <t>0                      Q  0115000S  5                  S  5                                 no. 15</t>
  </si>
  <si>
    <t>Woollen textiles of the Lou-Lan people, by Vivi Sylwan; introduction by Folke Bergman. Appendix: Spinning tools and spinning methods in Asia, by G. Montell.</t>
  </si>
  <si>
    <t>no. 15*</t>
  </si>
  <si>
    <t>Sylwan, Vivi, 1870-</t>
  </si>
  <si>
    <t>Stockholm [Tryckeri Aktiebolaget Thule] 1941.</t>
  </si>
  <si>
    <t>1941</t>
  </si>
  <si>
    <t>Reports from the Scientific expedition to the north-western provinces of China under the leadership of Dr. Sven Hedin. The Sino-Swedish expedition. Publication 15. VII. Archaeology, 2</t>
  </si>
  <si>
    <t>2017-05-31</t>
  </si>
  <si>
    <t>66031788:eng</t>
  </si>
  <si>
    <t>1420331</t>
  </si>
  <si>
    <t>ocm01420331</t>
  </si>
  <si>
    <t>3001030851$</t>
  </si>
  <si>
    <t>791622267</t>
  </si>
  <si>
    <t>Q115 S5 S5 no. 16</t>
  </si>
  <si>
    <t>0                      Q  0115000S  5                  S  5                                 no. 16</t>
  </si>
  <si>
    <t>Geologic reconnaissances in the Chinese T'ien-shan, by Erik Norin. Appendices by F. Heritsch, F. Kahler, and B. Bohlin. With 33 illustrations in the text, 23 plates, 3 maps and one plate of sections at end of volume.</t>
  </si>
  <si>
    <t>no. 16*</t>
  </si>
  <si>
    <t>Norin, Erik, 1895-</t>
  </si>
  <si>
    <t>Stockholm [Tryckeri aktiebolaget Thule] 1941.</t>
  </si>
  <si>
    <t>Reports from the Scientific Expedition to the North-western Provinces of China under the leadership of Dr. Sven Hedin. III. Geology ; 6</t>
  </si>
  <si>
    <t>2017-05-23</t>
  </si>
  <si>
    <t>5608894328:eng</t>
  </si>
  <si>
    <t>1421803</t>
  </si>
  <si>
    <t>ocm01421803</t>
  </si>
  <si>
    <t>30010306541</t>
  </si>
  <si>
    <t>791622512</t>
  </si>
  <si>
    <t>Q115 S5 S5 no. 47</t>
  </si>
  <si>
    <t>0                      Q  0115000S  5                  S  5                                 no. 47</t>
  </si>
  <si>
    <t>Central Asia atlas [by] Sven Hedin.</t>
  </si>
  <si>
    <t>no. 47*</t>
  </si>
  <si>
    <t>Hedin, Sven Anders, 1865-1952.</t>
  </si>
  <si>
    <t>Stockholm, Statens etnografiska museum, 1966.</t>
  </si>
  <si>
    <t>1966</t>
  </si>
  <si>
    <t>Reports from the scientific expedition to the north-western provinces of China under the leadership of Dr. Sven Hedin. The Sino-Swedish Expedition. Publication 47. I. Geography, 1</t>
  </si>
  <si>
    <t>2001-07-27</t>
  </si>
  <si>
    <t>2018-10-03</t>
  </si>
  <si>
    <t>8907594030:eng</t>
  </si>
  <si>
    <t>213799211</t>
  </si>
  <si>
    <t>ocn213799211</t>
  </si>
  <si>
    <t>3001030588P</t>
  </si>
  <si>
    <t>794311574</t>
  </si>
  <si>
    <t>Q121 I5 v. 1 no. 2</t>
  </si>
  <si>
    <t>0                      Q  0121000I  5                                                       v. 1 no. 2</t>
  </si>
  <si>
    <t>Foundations of the theory of signs / Charles W. Morris.</t>
  </si>
  <si>
    <t>v. 1 no. 2*</t>
  </si>
  <si>
    <t>Morris, Charles W. (Charles William), 1903-1979.</t>
  </si>
  <si>
    <t>Chicago, Ill. : University of Chicago Press, ©1938.</t>
  </si>
  <si>
    <t>International encyclopedia of unified science ; v. 1., no. 2</t>
  </si>
  <si>
    <t>2001-12-01</t>
  </si>
  <si>
    <t>2019-04-25</t>
  </si>
  <si>
    <t>368526800:eng</t>
  </si>
  <si>
    <t>526270</t>
  </si>
  <si>
    <t>ocm00526270</t>
  </si>
  <si>
    <t>3100437271Q</t>
  </si>
  <si>
    <t>791403764</t>
  </si>
  <si>
    <t>3100021847Q</t>
  </si>
  <si>
    <t>791403763</t>
  </si>
  <si>
    <t>Q121 I5 v. 1 no. 6</t>
  </si>
  <si>
    <t>0                      Q  0121000I  5                                                       v. 1 no. 6</t>
  </si>
  <si>
    <t>Principles of the theory of probability / by Ernest Nagel.</t>
  </si>
  <si>
    <t>v. 1 no. 6*</t>
  </si>
  <si>
    <t>Nagel, Ernest, 1901-1985.</t>
  </si>
  <si>
    <t>Chicago : The University of Chicago Press, 1939.</t>
  </si>
  <si>
    <t>International encyclopedia of unified science ; v. 1, no. 6</t>
  </si>
  <si>
    <t>2016-07-07</t>
  </si>
  <si>
    <t>1379213:eng</t>
  </si>
  <si>
    <t>525793</t>
  </si>
  <si>
    <t>ocm00525793</t>
  </si>
  <si>
    <t>3103545528T</t>
  </si>
  <si>
    <t>791403601</t>
  </si>
  <si>
    <t>Q121 I5 v. 2 no. 2</t>
  </si>
  <si>
    <t>0                      Q  0121000I  5                                                       v. 2 no. 2</t>
  </si>
  <si>
    <t>The structure of scientific revolutions.</t>
  </si>
  <si>
    <t>v. 2 no. 2*</t>
  </si>
  <si>
    <t>Kuhn, Thomas S.</t>
  </si>
  <si>
    <t>[Chicago] University of Chicago Press, [1962]</t>
  </si>
  <si>
    <t>International Encyclopedia of Unified Science. Foundations of the unity of science, v.2, no. 2</t>
  </si>
  <si>
    <t>2017-05-17</t>
  </si>
  <si>
    <t>97427:eng</t>
  </si>
  <si>
    <t>213816969</t>
  </si>
  <si>
    <t>ocn213816969</t>
  </si>
  <si>
    <t>3000392638E</t>
  </si>
  <si>
    <t>794312221</t>
  </si>
  <si>
    <t>2015-10-16</t>
  </si>
  <si>
    <t>3100437258I</t>
  </si>
  <si>
    <t>794312220</t>
  </si>
  <si>
    <t>2017-02-09</t>
  </si>
  <si>
    <t>31027952376</t>
  </si>
  <si>
    <t>794312219</t>
  </si>
  <si>
    <t>Q121 I5 v. 2 no. 2 1970</t>
  </si>
  <si>
    <t>0                      Q  0121000I  5                                                       v. 2 no. 2 1970</t>
  </si>
  <si>
    <t>The structure of scientific revolutions / Thomas S. Kuhn.</t>
  </si>
  <si>
    <t>v. 2 no. 2 1970*</t>
  </si>
  <si>
    <t>Kuhn, Thomas S., author.</t>
  </si>
  <si>
    <t>Chicago : University of Chicago Press, © 1970.</t>
  </si>
  <si>
    <t>1970</t>
  </si>
  <si>
    <t>Second edition, enlarged.</t>
  </si>
  <si>
    <t>International encyclopedia of unified science. Foundations of the unity of science, v. 2, no. 2</t>
  </si>
  <si>
    <t>2019-04-15</t>
  </si>
  <si>
    <t>93075</t>
  </si>
  <si>
    <t>ocm00093075</t>
  </si>
  <si>
    <t>31037110219</t>
  </si>
  <si>
    <t>9780226458038</t>
  </si>
  <si>
    <t>791253371</t>
  </si>
  <si>
    <t>2016-08-23</t>
  </si>
  <si>
    <t>31031474741</t>
  </si>
  <si>
    <t>791253377</t>
  </si>
  <si>
    <t>2017-01-29</t>
  </si>
  <si>
    <t>31000297420</t>
  </si>
  <si>
    <t>791253374</t>
  </si>
  <si>
    <t>2018-12-19</t>
  </si>
  <si>
    <t>31030253015</t>
  </si>
  <si>
    <t>791253373</t>
  </si>
  <si>
    <t>Q123 M35</t>
  </si>
  <si>
    <t>0                      Q  0123000M  35</t>
  </si>
  <si>
    <t>Manual of scientific Russian.</t>
  </si>
  <si>
    <t>Magner, Thomas F.</t>
  </si>
  <si>
    <t>Minneapolis : [publisher not identified], 1958.</t>
  </si>
  <si>
    <t>1958</t>
  </si>
  <si>
    <t>2018-12-06</t>
  </si>
  <si>
    <t>2187778:eng</t>
  </si>
  <si>
    <t>427381304</t>
  </si>
  <si>
    <t>ocn427381304</t>
  </si>
  <si>
    <t>3000498086R</t>
  </si>
  <si>
    <t>794643973</t>
  </si>
  <si>
    <t>- Redpath Basement - Chinese Japanese Korean Collection - In Library Use</t>
  </si>
  <si>
    <t>Q123 Y45 1982</t>
  </si>
  <si>
    <t>0                      Q  0123000Y  45          1982</t>
  </si>
  <si>
    <t>Ying Han xian dai ke xue ji shu ci hui : jian zuo "Xian dai ke xue ji shu ci dian" suo yin / [ben ci hui bian ji zu bian].</t>
  </si>
  <si>
    <t>Shanghai : Shanghai ke xue ji shu chu ban she : Xin hua shu dian Shanghai fa xing suo fa xing, 1982.</t>
  </si>
  <si>
    <t>Di 1 ban.</t>
  </si>
  <si>
    <t>chi</t>
  </si>
  <si>
    <t>2017-12-20</t>
  </si>
  <si>
    <t>3768376567:chi</t>
  </si>
  <si>
    <t>10122061</t>
  </si>
  <si>
    <t>ocm10122061</t>
  </si>
  <si>
    <t>3102296258S</t>
  </si>
  <si>
    <t>792710019</t>
  </si>
  <si>
    <t>Q123 Y4788 1998</t>
  </si>
  <si>
    <t>0                      Q  0123000Y  4788        1998</t>
  </si>
  <si>
    <t>Ying Han ke ji da ci dian = An English-Chinese dictionary of science and technnology / zhu bian Wu Guanghua.</t>
  </si>
  <si>
    <t>Shanghai : Shanghai jiao tong da xue chu ban she, 1998.</t>
  </si>
  <si>
    <t>2018-04-26</t>
  </si>
  <si>
    <t>768002835:chi</t>
  </si>
  <si>
    <t>42519188</t>
  </si>
  <si>
    <t>ocm42519188</t>
  </si>
  <si>
    <t>31023562731</t>
  </si>
  <si>
    <t>9787313020222</t>
  </si>
  <si>
    <t>793608623</t>
  </si>
  <si>
    <t>Q124 L36 1999</t>
  </si>
  <si>
    <t>0                      Q  0124000L  36          1999</t>
  </si>
  <si>
    <t>The Jews and the sciences in the Middle Ages / Y. Tzvi Langermann.</t>
  </si>
  <si>
    <t>Langermann, Y. Tzvi.</t>
  </si>
  <si>
    <t>Brookfield, VT : Ashgate, 1999.</t>
  </si>
  <si>
    <t>Variorum collected studies series ; CS624</t>
  </si>
  <si>
    <t>2018-11-26</t>
  </si>
  <si>
    <t>26424820:eng</t>
  </si>
  <si>
    <t>428073751</t>
  </si>
  <si>
    <t>ocn428073751</t>
  </si>
  <si>
    <t>3102030699Z</t>
  </si>
  <si>
    <t>9780860786757</t>
  </si>
  <si>
    <t>794764536</t>
  </si>
  <si>
    <t>Q124 M66 2000</t>
  </si>
  <si>
    <t>0                      Q  0124000M  66          2000</t>
  </si>
  <si>
    <t>Science in translation : movements of knowledge through cultures and time / Scott L. Montgomery.</t>
  </si>
  <si>
    <t>Montgomery, Scott L.</t>
  </si>
  <si>
    <t>Chicago : University of Chicago Press, 2000.</t>
  </si>
  <si>
    <t>2016-12-04</t>
  </si>
  <si>
    <t>795244847:eng</t>
  </si>
  <si>
    <t>42682849</t>
  </si>
  <si>
    <t>ocm42682849</t>
  </si>
  <si>
    <t>3102048127Y</t>
  </si>
  <si>
    <t>9780226534800</t>
  </si>
  <si>
    <t>793611671</t>
  </si>
  <si>
    <t>Q124 T727 2008</t>
  </si>
  <si>
    <t>0                      Q  0124000T  727         2008</t>
  </si>
  <si>
    <t>Traduire la science : hier et aujourd'hui / sous la direction de Pascal Duris.</t>
  </si>
  <si>
    <t>Pessac : Maison des sciences de l'homme d'Aquitaine, 2008.</t>
  </si>
  <si>
    <t>2008</t>
  </si>
  <si>
    <t>2018-05-22</t>
  </si>
  <si>
    <t>348596110:fre</t>
  </si>
  <si>
    <t>243499149</t>
  </si>
  <si>
    <t>ocn243499149</t>
  </si>
  <si>
    <t>3103051654O</t>
  </si>
  <si>
    <t>9782858923526</t>
  </si>
  <si>
    <t>794377464</t>
  </si>
  <si>
    <t>Q124.6 A37 2008</t>
  </si>
  <si>
    <t>0                      Q  0124600A  37          2008</t>
  </si>
  <si>
    <t>L'Homme et la Science : Actes du XVIe Congrès international et quinquennal de l'Association Guillaume Budé organisé à l'Université Paul-Valéry, Montpellier III, du Ier au 4 septembre 2008 / Association Guillaume Budé ; Textes réunis par Jacques Jouanna, Michel Fartzoff et Béatrice Bakhouche.</t>
  </si>
  <si>
    <t>Association Guillaume Budé. Congrès (16th : 2008 : Montpellier, France)</t>
  </si>
  <si>
    <t>Paris : Les Belles Lettres, 2011.</t>
  </si>
  <si>
    <t>1126278173:fre</t>
  </si>
  <si>
    <t>810124821</t>
  </si>
  <si>
    <t>ocn810124821</t>
  </si>
  <si>
    <t>3103721428A</t>
  </si>
  <si>
    <t>9782251444444</t>
  </si>
  <si>
    <t>794929183</t>
  </si>
  <si>
    <t>Q124.6 B47 1982</t>
  </si>
  <si>
    <t>0                      Q  0124600B  47          1982</t>
  </si>
  <si>
    <t>Bernard Bolzano, 1781-1848 : bicentenary : impact of Bolzano's epoch on the development of science (conference papers).</t>
  </si>
  <si>
    <t>Prague : Institute of Czechoslovak and General History CSAS, 1981.</t>
  </si>
  <si>
    <t>Acta historiae rerum naturalium nec non technicarum. Special issue ; 13</t>
  </si>
  <si>
    <t>2016-08-25</t>
  </si>
  <si>
    <t>8907289928:eng</t>
  </si>
  <si>
    <t>15520696</t>
  </si>
  <si>
    <t>ocm15520696</t>
  </si>
  <si>
    <t>3101596768N</t>
  </si>
  <si>
    <t>792934248</t>
  </si>
  <si>
    <t>spa</t>
  </si>
  <si>
    <t>2018-10-13</t>
  </si>
  <si>
    <t>Q124.7 I67 1971</t>
  </si>
  <si>
    <t>0                      Q  0124700I  67          1971</t>
  </si>
  <si>
    <t>Trudy XIII Mezhdunarodnogo kongressa po istorii nauki : Moskva, 18-24 avgusta 1971 g. = Actes du XIIIe Congrès international d'histoire des sciences, Moscou, 18-24 août, 1971 = Proceedings of XIIIth International Congress of the history of science, Moscow, Aug. 18-24, 1971 = Beiträge zum XIII Internationalen Kongress für Geschichte der Wissenschaft, Moskau, 18-24 August, 1971.</t>
  </si>
  <si>
    <t>t.9</t>
  </si>
  <si>
    <t>International Congress on the History of Sciences (13th : 1971 : Moscow, Russia)</t>
  </si>
  <si>
    <t>Moskva : Izdatelʹstvo "Nauka", 1974.</t>
  </si>
  <si>
    <t>rus</t>
  </si>
  <si>
    <t>2018-11-21</t>
  </si>
  <si>
    <t>3968381:rus</t>
  </si>
  <si>
    <t>11519360</t>
  </si>
  <si>
    <t>ocm11519360</t>
  </si>
  <si>
    <t>3100437283J</t>
  </si>
  <si>
    <t>792776515</t>
  </si>
  <si>
    <t>t.2</t>
  </si>
  <si>
    <t>3100437293G</t>
  </si>
  <si>
    <t>792776522</t>
  </si>
  <si>
    <t>t.1</t>
  </si>
  <si>
    <t>3100241287C</t>
  </si>
  <si>
    <t>792776523</t>
  </si>
  <si>
    <t>t.7</t>
  </si>
  <si>
    <t>3100437281N</t>
  </si>
  <si>
    <t>792776517</t>
  </si>
  <si>
    <t>t.10</t>
  </si>
  <si>
    <t>3100437284H</t>
  </si>
  <si>
    <t>792776514</t>
  </si>
  <si>
    <t>t.8</t>
  </si>
  <si>
    <t>3100437282L</t>
  </si>
  <si>
    <t>792776516</t>
  </si>
  <si>
    <t>t.6</t>
  </si>
  <si>
    <t>3100437280P</t>
  </si>
  <si>
    <t>792776518</t>
  </si>
  <si>
    <t>t.5</t>
  </si>
  <si>
    <t>3100437290M</t>
  </si>
  <si>
    <t>792776519</t>
  </si>
  <si>
    <t>t.12</t>
  </si>
  <si>
    <t>3100437286D</t>
  </si>
  <si>
    <t>TRANSIT</t>
  </si>
  <si>
    <t>792776512</t>
  </si>
  <si>
    <t>t.13</t>
  </si>
  <si>
    <t>3100437287B</t>
  </si>
  <si>
    <t>792776511</t>
  </si>
  <si>
    <t>t.11</t>
  </si>
  <si>
    <t>3100437285F</t>
  </si>
  <si>
    <t>792776513</t>
  </si>
  <si>
    <t>t.3</t>
  </si>
  <si>
    <t>3100437292I</t>
  </si>
  <si>
    <t>792776521</t>
  </si>
  <si>
    <t>t.4</t>
  </si>
  <si>
    <t>3100437291K</t>
  </si>
  <si>
    <t>792776520</t>
  </si>
  <si>
    <t>Q124.7 S78 1989</t>
  </si>
  <si>
    <t>0                      Q  0124700S  78          1989</t>
  </si>
  <si>
    <t>Studies in medieval natural philosophy / edited by Stefano Caroti ; introduction of John E. Murdoch.</t>
  </si>
  <si>
    <t>[Firenze] : L.S. Olschki, 1989.</t>
  </si>
  <si>
    <t>Biblioteca di Nuncius. Studi e testi ; 1</t>
  </si>
  <si>
    <t>2017-03-15</t>
  </si>
  <si>
    <t>9093746103:eng</t>
  </si>
  <si>
    <t>21697615</t>
  </si>
  <si>
    <t>ocm21697615</t>
  </si>
  <si>
    <t>3101016726B</t>
  </si>
  <si>
    <t>9788822236654</t>
  </si>
  <si>
    <t>793125887</t>
  </si>
  <si>
    <t>Q124.95 F74 2012</t>
  </si>
  <si>
    <t>0                      Q  0124950F  74          2012</t>
  </si>
  <si>
    <t>The flame of Miletus : the birth of science in ancient Greece (and how it changed the world) / John Freely.</t>
  </si>
  <si>
    <t>Freely, John.</t>
  </si>
  <si>
    <t>London ; New York : I.B. Tauris, 2012.</t>
  </si>
  <si>
    <t>2014-02-14</t>
  </si>
  <si>
    <t>1044600956:eng</t>
  </si>
  <si>
    <t>761381232</t>
  </si>
  <si>
    <t>ocn761381232</t>
  </si>
  <si>
    <t>3103470849R</t>
  </si>
  <si>
    <t>9781780760513</t>
  </si>
  <si>
    <t>794899321</t>
  </si>
  <si>
    <t>Q124.95 J66 2010</t>
  </si>
  <si>
    <t>0                      Q  0124950J  66          2010</t>
  </si>
  <si>
    <t>Ptolemy in perspective : use and criticism of his work from antiquity to the nineteenth century / Alexander Jones [editor].</t>
  </si>
  <si>
    <t>Dordrecht ; New York : Springer, ©2010.</t>
  </si>
  <si>
    <t>Archimedes, 1385-0180 ; v. 23</t>
  </si>
  <si>
    <t>2018-10-29</t>
  </si>
  <si>
    <t>803644762:eng</t>
  </si>
  <si>
    <t>401154038</t>
  </si>
  <si>
    <t>ocn401154038</t>
  </si>
  <si>
    <t>31031558262</t>
  </si>
  <si>
    <t>9789048127870</t>
  </si>
  <si>
    <t>794498532</t>
  </si>
  <si>
    <t>Q124.95 L55 1992</t>
  </si>
  <si>
    <t>0                      Q  0124950L  55          1992</t>
  </si>
  <si>
    <t>The beginnings of Western science : the European scientific tradition in philosophical, religious, and institutional context, 600 B.C. to A.D. 1450 / David C. Lindberg.</t>
  </si>
  <si>
    <t>Lindberg, David C.</t>
  </si>
  <si>
    <t>Chicago : University of Chicago Press, 1992.</t>
  </si>
  <si>
    <t>2017-12-13</t>
  </si>
  <si>
    <t>796259279:eng</t>
  </si>
  <si>
    <t>24590464</t>
  </si>
  <si>
    <t>ocm24590464</t>
  </si>
  <si>
    <t>31020947319</t>
  </si>
  <si>
    <t>9780226482309</t>
  </si>
  <si>
    <t>793201751</t>
  </si>
  <si>
    <t>3102158009R</t>
  </si>
  <si>
    <t>793201752</t>
  </si>
  <si>
    <t>Q124.95 L58 2002</t>
  </si>
  <si>
    <t>0                      Q  0124950L  58          2002</t>
  </si>
  <si>
    <t>The ambitions of curiosity : understanding the world in ancient Greece and China / G.E.R. Lloyd.</t>
  </si>
  <si>
    <t>Lloyd, G. E. R. (Geoffrey Ernest Richard), 1933-</t>
  </si>
  <si>
    <t>Cambridge, UK ; New York : Cambridge University Press, 2002.</t>
  </si>
  <si>
    <t>Ideas in context</t>
  </si>
  <si>
    <t>2016-02-25</t>
  </si>
  <si>
    <t>839255249:eng</t>
  </si>
  <si>
    <t>49513186</t>
  </si>
  <si>
    <t>ocm49513186</t>
  </si>
  <si>
    <t>31022404007</t>
  </si>
  <si>
    <t>9780521815420</t>
  </si>
  <si>
    <t>793741712</t>
  </si>
  <si>
    <t>Q124.95 L582 2004</t>
  </si>
  <si>
    <t>0                      Q  0124950L  582         2004</t>
  </si>
  <si>
    <t>Ancient worlds, modern reflections : philosophical perspectives on Greek and Chinese science and culture / G.E.R. Lloyd.</t>
  </si>
  <si>
    <t>Oxford : Clarendon Press ; New York : Oxford University Press, 2004.</t>
  </si>
  <si>
    <t>4916387233:eng</t>
  </si>
  <si>
    <t>53871556</t>
  </si>
  <si>
    <t>ocm53871556</t>
  </si>
  <si>
    <t>31023673063</t>
  </si>
  <si>
    <t>9780199270163</t>
  </si>
  <si>
    <t>793851985</t>
  </si>
  <si>
    <t>Q124.95 M445 2007</t>
  </si>
  <si>
    <t>0                      Q  0124950M  445         2007</t>
  </si>
  <si>
    <t>Medien vor den Medien / herausgegeben von Friedrich Kittler und Ana Ofak.</t>
  </si>
  <si>
    <t>München : W. Fink, ©2007.</t>
  </si>
  <si>
    <t>ger</t>
  </si>
  <si>
    <t>Reihe Kulturtechnik</t>
  </si>
  <si>
    <t>2016-03-12</t>
  </si>
  <si>
    <t>351944742:ger</t>
  </si>
  <si>
    <t>122934780</t>
  </si>
  <si>
    <t>ocn122934780</t>
  </si>
  <si>
    <t>3103216421O</t>
  </si>
  <si>
    <t>9783770542840</t>
  </si>
  <si>
    <t>794221609</t>
  </si>
  <si>
    <t>Q124.95 M85 1983</t>
  </si>
  <si>
    <t>0                      Q  0124950M  85          1983</t>
  </si>
  <si>
    <t>Mukhammad ibn Musa al-Khorezmi : k 1200-letii︠u︡ so dni︠a︡ rozhdenii︠a︡ / [redakt︠s︡ionnai︠a︡ kollegii︠a︡ B.A. Rozenfelʹd ... A.P. I︠U︡shkevich (otvetstvennyĭ redaktor)].</t>
  </si>
  <si>
    <t>Moskva : Izd-vo "Nauka", 1983.</t>
  </si>
  <si>
    <t>2017-07-19</t>
  </si>
  <si>
    <t>793473833:rus</t>
  </si>
  <si>
    <t>21372931</t>
  </si>
  <si>
    <t>ocm21372931</t>
  </si>
  <si>
    <t>3000538700R</t>
  </si>
  <si>
    <t>793116953</t>
  </si>
  <si>
    <t>Q124.95 S25 1987</t>
  </si>
  <si>
    <t>0                      Q  0124950S  25          1987</t>
  </si>
  <si>
    <t>The physical world of late antiquity / S. Sambursky.</t>
  </si>
  <si>
    <t>Sambursky, Samuel, 1900-</t>
  </si>
  <si>
    <t>Princeton, N.J. : Princeton University Press, [1987]</t>
  </si>
  <si>
    <t>1987</t>
  </si>
  <si>
    <t>2016-04-29</t>
  </si>
  <si>
    <t>2227563:eng</t>
  </si>
  <si>
    <t>15550485</t>
  </si>
  <si>
    <t>ocm15550485</t>
  </si>
  <si>
    <t>31007113538</t>
  </si>
  <si>
    <t>9780691084763</t>
  </si>
  <si>
    <t>792935241</t>
  </si>
  <si>
    <t>Q124.95 T47 2002</t>
  </si>
  <si>
    <t>0                      Q  0124950T  47          2002</t>
  </si>
  <si>
    <t>Lost discoveries : the ancient roots of modern science-- from the Babylonians to the Maya / Dick Teresi.</t>
  </si>
  <si>
    <t>Teresi, Dick.</t>
  </si>
  <si>
    <t>New York : Simon &amp; Schuster, ©2002.</t>
  </si>
  <si>
    <t>3856401784:eng</t>
  </si>
  <si>
    <t>49991600</t>
  </si>
  <si>
    <t>ocm49991600</t>
  </si>
  <si>
    <t>3102243416U</t>
  </si>
  <si>
    <t>9780684837185</t>
  </si>
  <si>
    <t>793752992</t>
  </si>
  <si>
    <t>Q124.95 T49 1997</t>
  </si>
  <si>
    <t>0                      Q  0124950T  49          1997</t>
  </si>
  <si>
    <t>Texts and contexts in ancient and medieval science : studies on the occasion of John E. Murdoch's seventieth birthday / edited by Edith Sylla and Michael McVaugh.</t>
  </si>
  <si>
    <t>Leiden ; New York : Brill, 1997.</t>
  </si>
  <si>
    <t>Brill's studies in intellectual history, 0920-8607 ; v. 78</t>
  </si>
  <si>
    <t>2018-04-20</t>
  </si>
  <si>
    <t>807979625:eng</t>
  </si>
  <si>
    <t>36817225</t>
  </si>
  <si>
    <t>ocm36817225</t>
  </si>
  <si>
    <t>3101803094O</t>
  </si>
  <si>
    <t>9789004108233</t>
  </si>
  <si>
    <t>793484930</t>
  </si>
  <si>
    <t>Q124.95 W45 2015</t>
  </si>
  <si>
    <t>0                      Q  0124950W  45          2015</t>
  </si>
  <si>
    <t>To explain the world : the discovery of modern science / Steven Weinberg.</t>
  </si>
  <si>
    <t>Weinberg, Steven, 1933- author.</t>
  </si>
  <si>
    <t>New York : Harper, [2015]</t>
  </si>
  <si>
    <t>First edition.</t>
  </si>
  <si>
    <t>1894792574:eng</t>
  </si>
  <si>
    <t>885547475</t>
  </si>
  <si>
    <t>ocn885547475</t>
  </si>
  <si>
    <t>3103642786B</t>
  </si>
  <si>
    <t>9780062346650</t>
  </si>
  <si>
    <t>794977321</t>
  </si>
  <si>
    <t>Q124.95 Z46 2006</t>
  </si>
  <si>
    <t>0                      Q  0124950Z  46          2006</t>
  </si>
  <si>
    <t>The origin of the history of science in classical antiquity / Leonid Zhmud ; translated from the Russian by Alexander Chernoglazov.</t>
  </si>
  <si>
    <t>Zhmudʹ, L. I︠A︡. (Leonid I︠A︡kovlevich)</t>
  </si>
  <si>
    <t>Berlin ; New York : Walter de Gruyter, 2006.</t>
  </si>
  <si>
    <t>Peripatoi, 1862-1465 ; Bd. 19</t>
  </si>
  <si>
    <t>2019-01-04</t>
  </si>
  <si>
    <t>19622857:eng</t>
  </si>
  <si>
    <t>70840792</t>
  </si>
  <si>
    <t>ocm70840792</t>
  </si>
  <si>
    <t>3102593338N</t>
  </si>
  <si>
    <t>9783110179668</t>
  </si>
  <si>
    <t>794160044</t>
  </si>
  <si>
    <t>Q124.97 B43 2012</t>
  </si>
  <si>
    <t>0                      Q  0124970B  43          2012</t>
  </si>
  <si>
    <t>Warriors of the cloisters : the Central Asian origins of science in the medieval world / Christopher I. Beckwith.</t>
  </si>
  <si>
    <t>Beckwith, Christopher I., 1945-</t>
  </si>
  <si>
    <t>Princeton : Princeton University Press, ©2012.</t>
  </si>
  <si>
    <t>1077286385:eng</t>
  </si>
  <si>
    <t>774982531</t>
  </si>
  <si>
    <t>ocn774982531</t>
  </si>
  <si>
    <t>3103529452K</t>
  </si>
  <si>
    <t>9780691155319</t>
  </si>
  <si>
    <t>794907079</t>
  </si>
  <si>
    <t>Q124.97 D96 2002</t>
  </si>
  <si>
    <t>0                      Q  0124970D  96          2002</t>
  </si>
  <si>
    <t>The dynamics of Aristotelian natural philosophy from antiquity to the seventeenth century / edited by Cees Leijenhorst, Christoph Lüthy, Johannes M.M.H. Thijssen.</t>
  </si>
  <si>
    <t>Leiden, Netherlands ; Boston : Brill, 2002.</t>
  </si>
  <si>
    <t>Medieval and early modern science, 1567-8393 ; v. 5</t>
  </si>
  <si>
    <t>2017-11-08</t>
  </si>
  <si>
    <t>351491981:eng</t>
  </si>
  <si>
    <t>51566381</t>
  </si>
  <si>
    <t>ocm51566381</t>
  </si>
  <si>
    <t>3102245701F</t>
  </si>
  <si>
    <t>9789004122406</t>
  </si>
  <si>
    <t>793786977</t>
  </si>
  <si>
    <t>Q124.97 F75 2012</t>
  </si>
  <si>
    <t>0                      Q  0124970F  75          2012</t>
  </si>
  <si>
    <t>Before Galileo : the birth of modern science in medieval Europe / John Freely.</t>
  </si>
  <si>
    <t>New York ; London : Overlook Duckworth, 2012.</t>
  </si>
  <si>
    <t>2019-04-06</t>
  </si>
  <si>
    <t>1178144032:eng</t>
  </si>
  <si>
    <t>778419290</t>
  </si>
  <si>
    <t>ocn778419290</t>
  </si>
  <si>
    <t>31034723075</t>
  </si>
  <si>
    <t>9781590206072</t>
  </si>
  <si>
    <t>794909772</t>
  </si>
  <si>
    <t>Q124.97 G68 1996</t>
  </si>
  <si>
    <t>0                      Q  0124970G  68          1996</t>
  </si>
  <si>
    <t>The foundations of modern science in the Middle Ages : their religious, institutional, and intellectual contexts / Edward Grant.</t>
  </si>
  <si>
    <t>Grant, Edward, 1926- author.</t>
  </si>
  <si>
    <t>Cambridge ; New York : Cambridge University Press, 1996.</t>
  </si>
  <si>
    <t>1996</t>
  </si>
  <si>
    <t>Cambridge history of science</t>
  </si>
  <si>
    <t>2018-11-07</t>
  </si>
  <si>
    <t>4918023804:eng</t>
  </si>
  <si>
    <t>33948732</t>
  </si>
  <si>
    <t>ocm33948732</t>
  </si>
  <si>
    <t>31030536918</t>
  </si>
  <si>
    <t>9780521561372</t>
  </si>
  <si>
    <t>793414885</t>
  </si>
  <si>
    <t>Q124.97 K53 1984</t>
  </si>
  <si>
    <t>0                      Q  0124970K  53          1984</t>
  </si>
  <si>
    <t>Studies in medieval science : alchemy, astrology, mathematics, and medicine / Pearl Kibre.</t>
  </si>
  <si>
    <t>Kibre, Pearl, 1903-</t>
  </si>
  <si>
    <t>London : Hambledon Press, 1984.</t>
  </si>
  <si>
    <t>History series ; 19</t>
  </si>
  <si>
    <t>2019-02-25</t>
  </si>
  <si>
    <t>836712199:eng</t>
  </si>
  <si>
    <t>12054032</t>
  </si>
  <si>
    <t>ocm12054032</t>
  </si>
  <si>
    <t>3103291139B</t>
  </si>
  <si>
    <t>9780907628217</t>
  </si>
  <si>
    <t>792799102</t>
  </si>
  <si>
    <t>Q124.97 M38 1987</t>
  </si>
  <si>
    <t>0                      Q  0124970M  38          1987</t>
  </si>
  <si>
    <t>Mathematics and its applications to science and natural philosophy in the Middle Ages : essays in honor of Marshall Clagett / edited by Edward Grant, John E. Murdoch.</t>
  </si>
  <si>
    <t>Cambridge [Cambridgeshire] ; New York : Cambridge University Press, 1987.</t>
  </si>
  <si>
    <t>2019-10-29</t>
  </si>
  <si>
    <t>806464320:eng</t>
  </si>
  <si>
    <t>14215161</t>
  </si>
  <si>
    <t>ocm14215161</t>
  </si>
  <si>
    <t>30005287574</t>
  </si>
  <si>
    <t>9780521322607</t>
  </si>
  <si>
    <t>792882307</t>
  </si>
  <si>
    <t>- Main Collection - In Library Use</t>
  </si>
  <si>
    <t>Q124.97 M53 index</t>
  </si>
  <si>
    <t>0                      Q  0124970M  53                                                      index</t>
  </si>
  <si>
    <t>Micrologus : nature, sciences and Medieval societies : journal of the International Society for the study of Latin Middle Ages : SISMEL : 1 (1993)-20 (2012) : Micrologus' Library : vols 1-45 : indexes / edited by Agostino Paravicini Bagliani.</t>
  </si>
  <si>
    <t>index*</t>
  </si>
  <si>
    <t>Tavarnuzze (Firenze) : SISMEL edizioni del Galluzzo, 2012.</t>
  </si>
  <si>
    <t>1123804454:eng</t>
  </si>
  <si>
    <t>785863218</t>
  </si>
  <si>
    <t>ocn785863218</t>
  </si>
  <si>
    <t>3103463393P</t>
  </si>
  <si>
    <t>9788884504395</t>
  </si>
  <si>
    <t>794915378</t>
  </si>
  <si>
    <t>Q124.97 N37 2003</t>
  </si>
  <si>
    <t>0                      Q  0124970N  37          2003</t>
  </si>
  <si>
    <t>Science and civilization in Islam / by Seyyed Hossein Nasr ; with a preface by Giorgio de Santillana.</t>
  </si>
  <si>
    <t>Nasr, Seyyed Hossein.</t>
  </si>
  <si>
    <t>Cambridge : Islamic Texts Society, 2003.</t>
  </si>
  <si>
    <t>2017-01-31</t>
  </si>
  <si>
    <t>826130:eng</t>
  </si>
  <si>
    <t>54048600</t>
  </si>
  <si>
    <t>ocm54048600</t>
  </si>
  <si>
    <t>31024822266</t>
  </si>
  <si>
    <t>9781903682401</t>
  </si>
  <si>
    <t>793856316</t>
  </si>
  <si>
    <t>Q124.97 N38 2008</t>
  </si>
  <si>
    <t>0                      Q  0124970N  38          2008</t>
  </si>
  <si>
    <t>Natura, scienze e società medievali : studi in onore di Agostino Paravicini Bagliani / a cura di Claudio Leonardi e Francesco Santi.</t>
  </si>
  <si>
    <t>Firenze : SISMEL, Edizioni del Galluzzo, 2008.</t>
  </si>
  <si>
    <t>Micrologus' library ; 28</t>
  </si>
  <si>
    <t>2018-11-29</t>
  </si>
  <si>
    <t>890645068:ita</t>
  </si>
  <si>
    <t>317921490</t>
  </si>
  <si>
    <t>ocn317921490</t>
  </si>
  <si>
    <t>3103094876J</t>
  </si>
  <si>
    <t>9788884503015</t>
  </si>
  <si>
    <t>794476596</t>
  </si>
  <si>
    <t>Q124.97 P38 2014</t>
  </si>
  <si>
    <t>0                      Q  0124970P  38          2014</t>
  </si>
  <si>
    <t>Pathways into the study of ancient sciences : selected essays by David Pingree / edited by Isabelle Pingree and John M. Steele.</t>
  </si>
  <si>
    <t>Philadelphia : The American Philosophical Society Press, 2014.</t>
  </si>
  <si>
    <t>Transactions of the American Philosophical Society ; v. 104, pt. 3</t>
  </si>
  <si>
    <t>2017-04-19</t>
  </si>
  <si>
    <t>2196804799:eng</t>
  </si>
  <si>
    <t>893099332</t>
  </si>
  <si>
    <t>ocn893099332</t>
  </si>
  <si>
    <t>31034954449</t>
  </si>
  <si>
    <t>9781606180433</t>
  </si>
  <si>
    <t>794981334</t>
  </si>
  <si>
    <t>Q124.97 R53 2018</t>
  </si>
  <si>
    <t>0                      Q  0124970R  53          2018</t>
  </si>
  <si>
    <t>Richard de Fournival et les sciences au XIIIe siècle / textes réunis par Joëlle Ducos et Christopher Lucken.</t>
  </si>
  <si>
    <t>Firenze : SISMEL - Edizioni del Galluzzo, 2018.</t>
  </si>
  <si>
    <t>2018</t>
  </si>
  <si>
    <t>Micrologus' library, 2465-3276 ; 88</t>
  </si>
  <si>
    <t>5255817383:fre</t>
  </si>
  <si>
    <t>1039820093</t>
  </si>
  <si>
    <t>on1039820093</t>
  </si>
  <si>
    <t>3103767542W</t>
  </si>
  <si>
    <t>9788884508430</t>
  </si>
  <si>
    <t>795058922</t>
  </si>
  <si>
    <t>Q124.97 S34 1985</t>
  </si>
  <si>
    <t>0                      Q  0124970S  34          1985</t>
  </si>
  <si>
    <t>Science and technology in medieval society / edited by Pamela O. Long.</t>
  </si>
  <si>
    <t>New York : The New York Academy of Sciences, 1985.</t>
  </si>
  <si>
    <t>Annals of the New York Academy of Sciences, 0077-8923 ; v. 441</t>
  </si>
  <si>
    <t>2013-04-15</t>
  </si>
  <si>
    <t>2018-05-09</t>
  </si>
  <si>
    <t>138566206:eng</t>
  </si>
  <si>
    <t>11866456</t>
  </si>
  <si>
    <t>ocm11866456</t>
  </si>
  <si>
    <t>3000372829J</t>
  </si>
  <si>
    <t>9780897662772</t>
  </si>
  <si>
    <t>792791618</t>
  </si>
  <si>
    <t>Q124.97 S35</t>
  </si>
  <si>
    <t>0                      Q  0124970S  35</t>
  </si>
  <si>
    <t>Science in the Middle Ages / edited by David C. Lindberg.</t>
  </si>
  <si>
    <t>Chicago : University of Chicago Press, 1978.</t>
  </si>
  <si>
    <t>1978</t>
  </si>
  <si>
    <t>The Chicago history of science and medicine</t>
  </si>
  <si>
    <t>2017-03-27</t>
  </si>
  <si>
    <t>2017-09-05</t>
  </si>
  <si>
    <t>54217026:eng</t>
  </si>
  <si>
    <t>3770579</t>
  </si>
  <si>
    <t>ocm03770579</t>
  </si>
  <si>
    <t>3102916323T</t>
  </si>
  <si>
    <t>9780226482323</t>
  </si>
  <si>
    <t>792289370</t>
  </si>
  <si>
    <t>Q124.97 S354 2008</t>
  </si>
  <si>
    <t>0                      Q  0124970S  354         2008</t>
  </si>
  <si>
    <t>Science translated : Latin and vernacular translations of scientific treatises in medieval Europe / edited by Michèle Goyens, Pieter de Leemans, An Smets.</t>
  </si>
  <si>
    <t>Leuven, Belgium : Leuven University Press, 2008.</t>
  </si>
  <si>
    <t>Mediaevalia Lovaniensia ; ser. 1, studia 40</t>
  </si>
  <si>
    <t>2019-03-18</t>
  </si>
  <si>
    <t>897644004:eng</t>
  </si>
  <si>
    <t>270655554</t>
  </si>
  <si>
    <t>ocn270655554</t>
  </si>
  <si>
    <t>3103073705D</t>
  </si>
  <si>
    <t>9789058676719</t>
  </si>
  <si>
    <t>794411335</t>
  </si>
  <si>
    <t>Q124.97 S37 2005</t>
  </si>
  <si>
    <t>0                      Q  0124970S  37          2005</t>
  </si>
  <si>
    <t>Scientia in margine : études sur les marginalia dans les manuscrits scientifiques du moyen âge à la renaissance / réunies par Danielle Jacquart et Charles Burnett.</t>
  </si>
  <si>
    <t>Genève : Droz, 2005.</t>
  </si>
  <si>
    <t>2005</t>
  </si>
  <si>
    <t>Hautes études médiévales et modernes, 0073-0955 ; 88</t>
  </si>
  <si>
    <t>2015-04-23</t>
  </si>
  <si>
    <t>890501714:fre</t>
  </si>
  <si>
    <t>62092267</t>
  </si>
  <si>
    <t>ocm62092267</t>
  </si>
  <si>
    <t>31026064674</t>
  </si>
  <si>
    <t>9782600010351</t>
  </si>
  <si>
    <t>794100091</t>
  </si>
  <si>
    <t>Q124.97 W45 2004</t>
  </si>
  <si>
    <t>0                      Q  0124970W  45          2004</t>
  </si>
  <si>
    <t>Medieval science and technology / Elspeth Whitney.</t>
  </si>
  <si>
    <t>Whitney, Elspeth.</t>
  </si>
  <si>
    <t>Westport, Conn. : Greenwood Press, ©2004.</t>
  </si>
  <si>
    <t>Greenwood guides to historic events of the medieval world</t>
  </si>
  <si>
    <t>2019-02-06</t>
  </si>
  <si>
    <t>876207:eng</t>
  </si>
  <si>
    <t>54487705</t>
  </si>
  <si>
    <t>ocm54487705</t>
  </si>
  <si>
    <t>3102479035O</t>
  </si>
  <si>
    <t>9780313325199</t>
  </si>
  <si>
    <t>793862798</t>
  </si>
  <si>
    <t>Q125 B2925 2006</t>
  </si>
  <si>
    <t>0                      Q  0125000B  2925        2006</t>
  </si>
  <si>
    <t>The dialogue of civilizations in the birth of modern science / Arun Bala.</t>
  </si>
  <si>
    <t>Bala, Arun.</t>
  </si>
  <si>
    <t>New York : Palgrave Macmillan, 2006.</t>
  </si>
  <si>
    <t>1st ed.</t>
  </si>
  <si>
    <t>2016-05-13</t>
  </si>
  <si>
    <t>48535070:eng</t>
  </si>
  <si>
    <t>64592236</t>
  </si>
  <si>
    <t>ocm64592236</t>
  </si>
  <si>
    <t>3102852092Q</t>
  </si>
  <si>
    <t>9781403974686</t>
  </si>
  <si>
    <t>794130594</t>
  </si>
  <si>
    <t>Q125 B623 2000</t>
  </si>
  <si>
    <t>0                      Q  0125000B  623         2000</t>
  </si>
  <si>
    <t>Books and the sciences in history / edited by Marina Frasca-Spada and Nick Jardine.</t>
  </si>
  <si>
    <t>Cambridge ; New York : Cambridge University Press, 2000.</t>
  </si>
  <si>
    <t>2017-07-13</t>
  </si>
  <si>
    <t>350443375:eng</t>
  </si>
  <si>
    <t>43207345</t>
  </si>
  <si>
    <t>ocm43207345</t>
  </si>
  <si>
    <t>3102767391Z</t>
  </si>
  <si>
    <t>9780521650632</t>
  </si>
  <si>
    <t>793621640</t>
  </si>
  <si>
    <t>Q125 B947 1985</t>
  </si>
  <si>
    <t>0                      Q  0125000B  947         1985</t>
  </si>
  <si>
    <t>The day the universe changed / James Burke.</t>
  </si>
  <si>
    <t>Burke, James, 1936-</t>
  </si>
  <si>
    <t>Boston : Little, Brown, ©1985.</t>
  </si>
  <si>
    <t>1st American ed.</t>
  </si>
  <si>
    <t>2015-03-01</t>
  </si>
  <si>
    <t>4347924:eng</t>
  </si>
  <si>
    <t>12049817</t>
  </si>
  <si>
    <t>ocm12049817</t>
  </si>
  <si>
    <t>3100020896I</t>
  </si>
  <si>
    <t>9780316116954</t>
  </si>
  <si>
    <t>792798414</t>
  </si>
  <si>
    <t>2013-11-02</t>
  </si>
  <si>
    <t>3100020897G</t>
  </si>
  <si>
    <t>792798416</t>
  </si>
  <si>
    <t>2012-08-27</t>
  </si>
  <si>
    <t>3102184595R</t>
  </si>
  <si>
    <t>792798415</t>
  </si>
  <si>
    <t>Q125 C32 2011</t>
  </si>
  <si>
    <t>0                      Q  0125000C  32          2011</t>
  </si>
  <si>
    <t>Œuvres complètes / Georges Canguilhem ; textes présentés et annotés par Jean-François Braunstein, Michele Cammelli et Xavier Roth ; sous la direction de Jean-François Braunstein et Yves Schwartz ; préface de Jacques Bouveresse.</t>
  </si>
  <si>
    <t>v. 2-3</t>
  </si>
  <si>
    <t>Canguilhem, Georges, 1904-1995.</t>
  </si>
  <si>
    <t>Paris : J. Vrin, 2011-</t>
  </si>
  <si>
    <t>Bibliothèque des textes philosophiques, 0249-7972</t>
  </si>
  <si>
    <t>2867903066:fre</t>
  </si>
  <si>
    <t>770966975</t>
  </si>
  <si>
    <t>ocn770966975</t>
  </si>
  <si>
    <t>B001614471</t>
  </si>
  <si>
    <t>9782711623600</t>
  </si>
  <si>
    <t>794904069</t>
  </si>
  <si>
    <t>v.4</t>
  </si>
  <si>
    <t>3103658876B</t>
  </si>
  <si>
    <t>794904068</t>
  </si>
  <si>
    <t>v.1</t>
  </si>
  <si>
    <t>3103658881I</t>
  </si>
  <si>
    <t>794904070</t>
  </si>
  <si>
    <t>Q125 C323 2003</t>
  </si>
  <si>
    <t>0                      Q  0125000C  323         2003</t>
  </si>
  <si>
    <t>The Cambridge history of science / general editors, David C. Lindberg and Ronald L. Numbers.</t>
  </si>
  <si>
    <t>v.5</t>
  </si>
  <si>
    <t>Cambridge ; New York : Cambridge University Press, &lt;2003-2018&gt;</t>
  </si>
  <si>
    <t>2014-06-25</t>
  </si>
  <si>
    <t>2019-04-11</t>
  </si>
  <si>
    <t>9463014665:eng</t>
  </si>
  <si>
    <t>45958057</t>
  </si>
  <si>
    <t>ocm45958057</t>
  </si>
  <si>
    <t>3103089078S</t>
  </si>
  <si>
    <t>9780521571623</t>
  </si>
  <si>
    <t>793681546</t>
  </si>
  <si>
    <t>v.2</t>
  </si>
  <si>
    <t>2017-10-23</t>
  </si>
  <si>
    <t>3103534369$</t>
  </si>
  <si>
    <t>793681548</t>
  </si>
  <si>
    <t>v.6</t>
  </si>
  <si>
    <t>2016-08-17</t>
  </si>
  <si>
    <t>3103041879J</t>
  </si>
  <si>
    <t>793681545</t>
  </si>
  <si>
    <t>v.7</t>
  </si>
  <si>
    <t>2016-07-29</t>
  </si>
  <si>
    <t>31023716337</t>
  </si>
  <si>
    <t>793681544</t>
  </si>
  <si>
    <t>2017-03-19</t>
  </si>
  <si>
    <t>31027865024</t>
  </si>
  <si>
    <t>793681547</t>
  </si>
  <si>
    <t>v.3</t>
  </si>
  <si>
    <t>3103699184B</t>
  </si>
  <si>
    <t>793681543</t>
  </si>
  <si>
    <t>Q125 C33 1970</t>
  </si>
  <si>
    <t>0                      Q  0125000C  33          1970</t>
  </si>
  <si>
    <t>Études d'histoire et de philosophie des sciences.</t>
  </si>
  <si>
    <t>Paris, J. Vrin, 1970 [©1968]</t>
  </si>
  <si>
    <t>Problèmes et controverses</t>
  </si>
  <si>
    <t>2017-08-30</t>
  </si>
  <si>
    <t>55434427:fre</t>
  </si>
  <si>
    <t>214545611</t>
  </si>
  <si>
    <t>ocn214545611</t>
  </si>
  <si>
    <t>3000638675U</t>
  </si>
  <si>
    <t>794314099</t>
  </si>
  <si>
    <t>Q125 C435 2015</t>
  </si>
  <si>
    <t>0                      Q  0125000C  435         2015</t>
  </si>
  <si>
    <t>The changing frontier : rethinking science and innovation policy / edited by Adam B. Jaffe and Benjamin F. Jones.</t>
  </si>
  <si>
    <t>Chicago ; London : The University of Chicago Press, [2015]</t>
  </si>
  <si>
    <t>National Bureau of Economic Research conference report</t>
  </si>
  <si>
    <t>2019-05-09</t>
  </si>
  <si>
    <t>2593254190:eng</t>
  </si>
  <si>
    <t>893784421</t>
  </si>
  <si>
    <t>ocn893784421</t>
  </si>
  <si>
    <t>3103658817R</t>
  </si>
  <si>
    <t>9780226286723</t>
  </si>
  <si>
    <t>794982005</t>
  </si>
  <si>
    <t>Q125 C52</t>
  </si>
  <si>
    <t>0                      Q  0125000C  52</t>
  </si>
  <si>
    <t>En danger de progrès; essai.</t>
  </si>
  <si>
    <t>Closets, François de.</t>
  </si>
  <si>
    <t>[Paris] Denoël [1970]</t>
  </si>
  <si>
    <t>3943684477:fre</t>
  </si>
  <si>
    <t>8092879</t>
  </si>
  <si>
    <t>ocm08092879</t>
  </si>
  <si>
    <t>3000637987G</t>
  </si>
  <si>
    <t>792597726</t>
  </si>
  <si>
    <t>Q125 C68 1959</t>
  </si>
  <si>
    <t>0                      Q  0125000C  68          1959</t>
  </si>
  <si>
    <t>Medieval and early modern science / A.C. Crombie.</t>
  </si>
  <si>
    <t>Crombie, A. C. (Alistair Cameron), 1915-1996.</t>
  </si>
  <si>
    <t>Garden City, N.Y. : Doubleday, 1959.</t>
  </si>
  <si>
    <t>[Revised second edition].</t>
  </si>
  <si>
    <t>Doubleday anchor books ; A167a-b</t>
  </si>
  <si>
    <t>2012-12-12</t>
  </si>
  <si>
    <t>2019-04-14</t>
  </si>
  <si>
    <t>764611260:eng</t>
  </si>
  <si>
    <t>993202</t>
  </si>
  <si>
    <t>ocm00993202</t>
  </si>
  <si>
    <t>3103294927E</t>
  </si>
  <si>
    <t>791520450</t>
  </si>
  <si>
    <t>2015-11-17</t>
  </si>
  <si>
    <t>3103294932C</t>
  </si>
  <si>
    <t>791520449</t>
  </si>
  <si>
    <t>Q125 C68 1979</t>
  </si>
  <si>
    <t>0                      Q  0125000C  68          1979</t>
  </si>
  <si>
    <t>Augustine to Galileo / A.C. Crombie.</t>
  </si>
  <si>
    <t>Cambridge, Mass. : Harvard University Press, 1961, 1979 printing.</t>
  </si>
  <si>
    <t>1961</t>
  </si>
  <si>
    <t>2d rev. and enl. ed.</t>
  </si>
  <si>
    <t>2019-11-03</t>
  </si>
  <si>
    <t>9021696888:eng</t>
  </si>
  <si>
    <t>1392282</t>
  </si>
  <si>
    <t>ocm01392282</t>
  </si>
  <si>
    <t>31031028292</t>
  </si>
  <si>
    <t>9780674052734</t>
  </si>
  <si>
    <t>791617284</t>
  </si>
  <si>
    <t>Q125 D18 1957</t>
  </si>
  <si>
    <t>0                      Q  0125000D  18          1957</t>
  </si>
  <si>
    <t>A shorter history of science / by William Cecil Dampier.</t>
  </si>
  <si>
    <t>Dampier, William Cecil Dampier, Sir, 1867-1952.</t>
  </si>
  <si>
    <t>New York : Meridian Books, 1957.</t>
  </si>
  <si>
    <t>Meridian books ; M47</t>
  </si>
  <si>
    <t>2015-08-04</t>
  </si>
  <si>
    <t>3855308098:eng</t>
  </si>
  <si>
    <t>964640</t>
  </si>
  <si>
    <t>ocm00964640</t>
  </si>
  <si>
    <t>31036021425</t>
  </si>
  <si>
    <t>791513362</t>
  </si>
  <si>
    <t>Q125 D334 2010</t>
  </si>
  <si>
    <t>0                      Q  0125000D  334         2010</t>
  </si>
  <si>
    <t>Science and technology in world history / David Deming.</t>
  </si>
  <si>
    <t>Deming, David, 1954-</t>
  </si>
  <si>
    <t>Jefferson, N.C. : McFarland &amp; Co., Publishers, [2010]-</t>
  </si>
  <si>
    <t>2869407708:eng</t>
  </si>
  <si>
    <t>627685093</t>
  </si>
  <si>
    <t>ocn627685093</t>
  </si>
  <si>
    <t>31034724170</t>
  </si>
  <si>
    <t>9780786439324</t>
  </si>
  <si>
    <t>794824166</t>
  </si>
  <si>
    <t>Q125 D38 2004</t>
  </si>
  <si>
    <t>0                      Q  0125000D  38          2004</t>
  </si>
  <si>
    <t>Worldviews : an introduction to the history and philosophy of science / Richard DeWitt.</t>
  </si>
  <si>
    <t>DeWitt, Richard.</t>
  </si>
  <si>
    <t>Malden, MA : Blackwell Pub., ©2004.</t>
  </si>
  <si>
    <t>2015-12-09</t>
  </si>
  <si>
    <t>796169683:eng</t>
  </si>
  <si>
    <t>52937852</t>
  </si>
  <si>
    <t>ocm52937852</t>
  </si>
  <si>
    <t>3103299816$</t>
  </si>
  <si>
    <t>9781405116190</t>
  </si>
  <si>
    <t>793817634</t>
  </si>
  <si>
    <t>Q125 E364 2004</t>
  </si>
  <si>
    <t>0                      Q  0125000E  364         2004</t>
  </si>
  <si>
    <t>A history of science in society : from philosophy to utility / by Andrew Ede and Lesley B. Cormack.</t>
  </si>
  <si>
    <t>Ede, Andrew.</t>
  </si>
  <si>
    <t>Peterborough, Ont. : Broadview Press, c2004.</t>
  </si>
  <si>
    <t>915742374:eng</t>
  </si>
  <si>
    <t>54692686</t>
  </si>
  <si>
    <t>ocm54692686</t>
  </si>
  <si>
    <t>3102502086Y</t>
  </si>
  <si>
    <t>9781551113326</t>
  </si>
  <si>
    <t>793865729</t>
  </si>
  <si>
    <t>Q125 E4313 1995</t>
  </si>
  <si>
    <t>0                      Q  0125000E  4313        1995</t>
  </si>
  <si>
    <t>A History of scientific thought : elements of a history of science : translated from the French / edited by Michel Serres ; [contributors] Michel Authier [and others].</t>
  </si>
  <si>
    <t>Eléments d'histoire des science. English.</t>
  </si>
  <si>
    <t>Oxford ; Cambridge, Mass. : Blackwell, 1995.</t>
  </si>
  <si>
    <t>2864798854:eng</t>
  </si>
  <si>
    <t>30031758</t>
  </si>
  <si>
    <t>ocm30031758</t>
  </si>
  <si>
    <t>3103144318S</t>
  </si>
  <si>
    <t>9780631177395</t>
  </si>
  <si>
    <t>793327337</t>
  </si>
  <si>
    <t>Q125 F42</t>
  </si>
  <si>
    <t>0                      Q  0125000F  42</t>
  </si>
  <si>
    <t>The Ferment of knowledge : studies in the historiography of eighteenth-century science / edited by G.S. Rousseau and Roy Porter.</t>
  </si>
  <si>
    <t>Cambridge [England] ; New York : Cambridge University Press, 1980.</t>
  </si>
  <si>
    <t>2017-04-18</t>
  </si>
  <si>
    <t>918740234:eng</t>
  </si>
  <si>
    <t>6197049</t>
  </si>
  <si>
    <t>ocm06197049</t>
  </si>
  <si>
    <t>3102798148W</t>
  </si>
  <si>
    <t>9780521225991</t>
  </si>
  <si>
    <t>792482506</t>
  </si>
  <si>
    <t>Q125 F52</t>
  </si>
  <si>
    <t>0                      Q  0125000F  52</t>
  </si>
  <si>
    <t>Science, man, and society [by] Robert B. Fischer.</t>
  </si>
  <si>
    <t>Fischer, Robert Blanchard, 1920-</t>
  </si>
  <si>
    <t>Philadelphia, Saunders, 1971.</t>
  </si>
  <si>
    <t>2002-04-16</t>
  </si>
  <si>
    <t>2017-01-04</t>
  </si>
  <si>
    <t>1287364:eng</t>
  </si>
  <si>
    <t>136650</t>
  </si>
  <si>
    <t>ocm00136650</t>
  </si>
  <si>
    <t>3000496856E</t>
  </si>
  <si>
    <t>9780721636801</t>
  </si>
  <si>
    <t>791268372</t>
  </si>
  <si>
    <t>Q125 F87 1990</t>
  </si>
  <si>
    <t>0                      Q  0125000F  87          1990</t>
  </si>
  <si>
    <t>Uncertainty and quality in science for policy / by Silvio O. Funtowicz and Jerome R. Ravetz.</t>
  </si>
  <si>
    <t>Funtowicz, Silvio O.</t>
  </si>
  <si>
    <t>Dordrecht, the Netherlands ; Norwell, MA, U.S.A. : Kluwer Academic Publishers, ©1990.</t>
  </si>
  <si>
    <t>Theory and decision library. Series A, Philosophy and methodology of the social sciences ; v. 15</t>
  </si>
  <si>
    <t>2019-07-29</t>
  </si>
  <si>
    <t>23283630:eng</t>
  </si>
  <si>
    <t>21676457</t>
  </si>
  <si>
    <t>ocm21676457</t>
  </si>
  <si>
    <t>31010135136</t>
  </si>
  <si>
    <t>9780792307990</t>
  </si>
  <si>
    <t>793125486</t>
  </si>
  <si>
    <t>Q125 G76</t>
  </si>
  <si>
    <t>0                      Q  0125000G  76</t>
  </si>
  <si>
    <t>Physical science in the Middle Ages.</t>
  </si>
  <si>
    <t>Grant, Edward, 1926-</t>
  </si>
  <si>
    <t>New York, Wiley [1971]</t>
  </si>
  <si>
    <t>Wiley history of science series</t>
  </si>
  <si>
    <t>1259714:eng</t>
  </si>
  <si>
    <t>159083</t>
  </si>
  <si>
    <t>ocm00159083</t>
  </si>
  <si>
    <t>3103006786K</t>
  </si>
  <si>
    <t>9780471322542</t>
  </si>
  <si>
    <t>791275797</t>
  </si>
  <si>
    <t>Q125 H275 1981</t>
  </si>
  <si>
    <t>0                      Q  0125000H  275         1981</t>
  </si>
  <si>
    <t>From Galileo to Newton / by A. Rupert Hall.</t>
  </si>
  <si>
    <t>Hall, A. Rupert (Alfred Rupert), 1920-2009, author.</t>
  </si>
  <si>
    <t>New York : Dover Publications, 1981.</t>
  </si>
  <si>
    <t>4535748081:eng</t>
  </si>
  <si>
    <t>8344911</t>
  </si>
  <si>
    <t>ocm08344911</t>
  </si>
  <si>
    <t>3102228042Q</t>
  </si>
  <si>
    <t>9780486242279</t>
  </si>
  <si>
    <t>792614056</t>
  </si>
  <si>
    <t>Q125 H28 1954</t>
  </si>
  <si>
    <t>0                      Q  0125000H  28          1954</t>
  </si>
  <si>
    <t>The scientific revolution, 1500-1800 : the formation of the modern scientific attitude / A.R. Hall, lecturer in the history of science, University of Cambridge, and fellow of Christ's College.</t>
  </si>
  <si>
    <t>London [England] ; New York [New York] ; Toronto [Ontario] : Longmans, Green and Co, 1954.</t>
  </si>
  <si>
    <t>430791085:eng</t>
  </si>
  <si>
    <t>1079167</t>
  </si>
  <si>
    <t>ocm01079167</t>
  </si>
  <si>
    <t>3000355282$</t>
  </si>
  <si>
    <t>791540321</t>
  </si>
  <si>
    <t>Q125 H28 1962a</t>
  </si>
  <si>
    <t>0                      Q  0125000H  28          1962a</t>
  </si>
  <si>
    <t>The scientific revolution, 1500-1800; the formation of the modern scientific attitude.</t>
  </si>
  <si>
    <t>Hall, A. Rupert (Alfred Rupert), 1920-2009.</t>
  </si>
  <si>
    <t>London] Longmans [1962]</t>
  </si>
  <si>
    <t>1962</t>
  </si>
  <si>
    <t>[2d ed.</t>
  </si>
  <si>
    <t>Paperback</t>
  </si>
  <si>
    <t>2016-10-25</t>
  </si>
  <si>
    <t>2377440</t>
  </si>
  <si>
    <t>ocm02377440</t>
  </si>
  <si>
    <t>3000499724G</t>
  </si>
  <si>
    <t>9780807050934</t>
  </si>
  <si>
    <t>792111890</t>
  </si>
  <si>
    <t>Q125 H28 1983</t>
  </si>
  <si>
    <t>0                      Q  0125000H  28          1983</t>
  </si>
  <si>
    <t>The revolution in science, 1500-1750 / A. Rupert Hall.</t>
  </si>
  <si>
    <t>London ; New York : Longman, 1983.</t>
  </si>
  <si>
    <t>3rd ed.</t>
  </si>
  <si>
    <t>2016-12-06</t>
  </si>
  <si>
    <t>191558757:eng</t>
  </si>
  <si>
    <t>8476747</t>
  </si>
  <si>
    <t>ocm08476747</t>
  </si>
  <si>
    <t>3101465300T</t>
  </si>
  <si>
    <t>9780582491335</t>
  </si>
  <si>
    <t>792621945</t>
  </si>
  <si>
    <t>3000350631P</t>
  </si>
  <si>
    <t>792621944</t>
  </si>
  <si>
    <t>Q125 H355 1985</t>
  </si>
  <si>
    <t>0                      Q  0125000H  355         1985</t>
  </si>
  <si>
    <t>Science and the Enlightenment / Thomas L. Hankins.</t>
  </si>
  <si>
    <t>Hankins, Thomas L., author.</t>
  </si>
  <si>
    <t>Cambridge ; New York : Cambridge University Press, 1985.</t>
  </si>
  <si>
    <t>2016-12-18</t>
  </si>
  <si>
    <t>2017-07-04</t>
  </si>
  <si>
    <t>3900805:eng</t>
  </si>
  <si>
    <t>11030787</t>
  </si>
  <si>
    <t>ocm11030787</t>
  </si>
  <si>
    <t>3102814738T</t>
  </si>
  <si>
    <t>9780521243490</t>
  </si>
  <si>
    <t>792754817</t>
  </si>
  <si>
    <t>Q125 H5587 2008</t>
  </si>
  <si>
    <t>0                      Q  0125000H  5587        2008</t>
  </si>
  <si>
    <t>The scientific revolution and the origins of modern science / John Henry.</t>
  </si>
  <si>
    <t>Henry, John, 1950-</t>
  </si>
  <si>
    <t>Houndsmills, Basingstoke, Hampshire ; New York : Palgrave Macmillan, 2008.</t>
  </si>
  <si>
    <t>Studies in European history</t>
  </si>
  <si>
    <t>2013-08-10</t>
  </si>
  <si>
    <t>2016-06-06</t>
  </si>
  <si>
    <t>17503790:eng</t>
  </si>
  <si>
    <t>223107533</t>
  </si>
  <si>
    <t>ocn223107533</t>
  </si>
  <si>
    <t>3103463591J</t>
  </si>
  <si>
    <t>9780230574380</t>
  </si>
  <si>
    <t>794334172</t>
  </si>
  <si>
    <t>2016-02-08</t>
  </si>
  <si>
    <t>2014-10-01</t>
  </si>
  <si>
    <t>Q125 I393 2004</t>
  </si>
  <si>
    <t>0                      Q  0125000I  393         2004</t>
  </si>
  <si>
    <t>Imagining the sciences : expressions of new knowledge in the "long" eighteenth century / Robert C. Leitz III, Kevin L. Cope, editors.</t>
  </si>
  <si>
    <t>New York : AMS Press, ©2004.</t>
  </si>
  <si>
    <t>AMS studies in the eighteenth century ; no. 43</t>
  </si>
  <si>
    <t>2015-01-06</t>
  </si>
  <si>
    <t>364655878:eng</t>
  </si>
  <si>
    <t>51942423</t>
  </si>
  <si>
    <t>ocm51942423</t>
  </si>
  <si>
    <t>31024139668</t>
  </si>
  <si>
    <t>9780404635435</t>
  </si>
  <si>
    <t>793794897</t>
  </si>
  <si>
    <t>Q125 I44 1990</t>
  </si>
  <si>
    <t>0                      Q  0125000I  44          1990</t>
  </si>
  <si>
    <t>Imperialism and the natural world / edited by John M. MacKenzie.</t>
  </si>
  <si>
    <t>Manchester, UK ; New York : Manchester University Press ; New York, NY, USA : Distributed in the USA and Canada by St. Martin's Press, ©1990.</t>
  </si>
  <si>
    <t>Studies in imperialism</t>
  </si>
  <si>
    <t>22709721:eng</t>
  </si>
  <si>
    <t>20593764</t>
  </si>
  <si>
    <t>ocm20593764</t>
  </si>
  <si>
    <t>3102757353B</t>
  </si>
  <si>
    <t>9780719029004</t>
  </si>
  <si>
    <t>793092162</t>
  </si>
  <si>
    <t>2019-03-27</t>
  </si>
  <si>
    <t>2019-12-09</t>
  </si>
  <si>
    <t>2012-03-20</t>
  </si>
  <si>
    <t>Q125 I78 2008</t>
  </si>
  <si>
    <t>0                      Q  0125000I  78          2008</t>
  </si>
  <si>
    <t>Natural science and the origins of the British Empire / by Sarah Irving.</t>
  </si>
  <si>
    <t>Irving, Sarah (Sarah Louise)</t>
  </si>
  <si>
    <t>London : Pickering &amp; Chatto, 2008.</t>
  </si>
  <si>
    <t>Empires in perspective ; no. 5</t>
  </si>
  <si>
    <t>2017-09-29</t>
  </si>
  <si>
    <t>113701264:eng</t>
  </si>
  <si>
    <t>171109788</t>
  </si>
  <si>
    <t>ocn171109788</t>
  </si>
  <si>
    <t>3102853895Z</t>
  </si>
  <si>
    <t>9781851968893</t>
  </si>
  <si>
    <t>794264031</t>
  </si>
  <si>
    <t>Q125 K42</t>
  </si>
  <si>
    <t>0                      Q  0125000K  42</t>
  </si>
  <si>
    <t>Science and change, 1500-1700 [by] Hugh Kearney.</t>
  </si>
  <si>
    <t>Kearney, Hugh F., 1924-2017.</t>
  </si>
  <si>
    <t>New York, McGraw-Hill [1971]</t>
  </si>
  <si>
    <t>World university library</t>
  </si>
  <si>
    <t>2014-04-15</t>
  </si>
  <si>
    <t>2016-04-19</t>
  </si>
  <si>
    <t>405641:eng</t>
  </si>
  <si>
    <t>139944</t>
  </si>
  <si>
    <t>ocm00139944</t>
  </si>
  <si>
    <t>3000499722K</t>
  </si>
  <si>
    <t>9780303760597</t>
  </si>
  <si>
    <t>791269647</t>
  </si>
  <si>
    <t>Q125 K43</t>
  </si>
  <si>
    <t>0                      Q  0125000K  43</t>
  </si>
  <si>
    <t>Physical science : its structure and development / Edwin C. Kemble.</t>
  </si>
  <si>
    <t>Kemble, Edwin C. (Edwin Crawford), 1889-</t>
  </si>
  <si>
    <t>Cambridge, Mass. : M.I.T. Press, [1966-70]</t>
  </si>
  <si>
    <t>2002-07-10</t>
  </si>
  <si>
    <t>1717288:eng</t>
  </si>
  <si>
    <t>784833</t>
  </si>
  <si>
    <t>ocm00784833</t>
  </si>
  <si>
    <t>30004999450</t>
  </si>
  <si>
    <t>791469383</t>
  </si>
  <si>
    <t>Q125 K68 1973</t>
  </si>
  <si>
    <t>0                      Q  0125000K  68          1973</t>
  </si>
  <si>
    <t>Études d'histoire de la pensée scientifique.</t>
  </si>
  <si>
    <t>Koyré, Alexandre, 1892-1964.</t>
  </si>
  <si>
    <t>[Paris] Gallimard [1973]</t>
  </si>
  <si>
    <t>1973</t>
  </si>
  <si>
    <t>Bibliothèque des idées</t>
  </si>
  <si>
    <t>2452576040:fre</t>
  </si>
  <si>
    <t>699178</t>
  </si>
  <si>
    <t>ocm00699178</t>
  </si>
  <si>
    <t>3102923426X</t>
  </si>
  <si>
    <t>791449180</t>
  </si>
  <si>
    <t>Q125 K686 1987</t>
  </si>
  <si>
    <t>0                      Q  0125000K  686         1987</t>
  </si>
  <si>
    <t>An introduction to the historiography of science / Helge Kragh.</t>
  </si>
  <si>
    <t>Kragh, Helge, 1944-</t>
  </si>
  <si>
    <t>9088362:eng</t>
  </si>
  <si>
    <t>14692886</t>
  </si>
  <si>
    <t>ocm14692886</t>
  </si>
  <si>
    <t>3103293070Z</t>
  </si>
  <si>
    <t>9780521333603</t>
  </si>
  <si>
    <t>792899257</t>
  </si>
  <si>
    <t>Q125 L34</t>
  </si>
  <si>
    <t>0                      Q  0125000L  34</t>
  </si>
  <si>
    <t>Progress and its problems : towards a theory of scientific growth / Larry Laudan.</t>
  </si>
  <si>
    <t>Laudan, Larry.</t>
  </si>
  <si>
    <t>Berkeley : University of California Press, ©1977.</t>
  </si>
  <si>
    <t>1977</t>
  </si>
  <si>
    <t>2018-01-18</t>
  </si>
  <si>
    <t>14586991:eng</t>
  </si>
  <si>
    <t>2945525</t>
  </si>
  <si>
    <t>ocm02945525</t>
  </si>
  <si>
    <t>30004658609</t>
  </si>
  <si>
    <t>9780520033306</t>
  </si>
  <si>
    <t>792197219</t>
  </si>
  <si>
    <t>Q125 L36</t>
  </si>
  <si>
    <t>0                      Q  0125000L  36</t>
  </si>
  <si>
    <t>The Salernitan questions; an introduction to the history of medieval and Renaissance problem literature.</t>
  </si>
  <si>
    <t>Lawn, Brian.</t>
  </si>
  <si>
    <t>Oxford, Clarendon Press, 1963.</t>
  </si>
  <si>
    <t>mul</t>
  </si>
  <si>
    <t>431865867:mul</t>
  </si>
  <si>
    <t>2117737</t>
  </si>
  <si>
    <t>ocm02117737</t>
  </si>
  <si>
    <t>30007680095</t>
  </si>
  <si>
    <t>792050331</t>
  </si>
  <si>
    <t>Q125 L52 1917</t>
  </si>
  <si>
    <t>0                      Q  0125000L  52          1917</t>
  </si>
  <si>
    <t>An introduction to the history of science, by Walter Libby ...</t>
  </si>
  <si>
    <t>Libby, Walter, 1867-</t>
  </si>
  <si>
    <t>Boston, New York Houghton Mifflin Co. [©1917]</t>
  </si>
  <si>
    <t>1917</t>
  </si>
  <si>
    <t>2018-11-24</t>
  </si>
  <si>
    <t>3943393378:eng</t>
  </si>
  <si>
    <t>602320</t>
  </si>
  <si>
    <t>ocm00602320</t>
  </si>
  <si>
    <t>3103592858Q</t>
  </si>
  <si>
    <t>791425835</t>
  </si>
  <si>
    <t>Q125 M325 1985</t>
  </si>
  <si>
    <t>0                      Q  0125000M  325         1985</t>
  </si>
  <si>
    <t>Mapping the cosmos / edited by Jane Chance and R.O. Wells, Jr.</t>
  </si>
  <si>
    <t>Houston, Tex. : Rice University Press, 1985.</t>
  </si>
  <si>
    <t>New series ; no. 4</t>
  </si>
  <si>
    <t>4715200:eng</t>
  </si>
  <si>
    <t>11841899</t>
  </si>
  <si>
    <t>ocm11841899</t>
  </si>
  <si>
    <t>30003742270</t>
  </si>
  <si>
    <t>9780892632589</t>
  </si>
  <si>
    <t>792790456</t>
  </si>
  <si>
    <t>Q125 M36 1953b</t>
  </si>
  <si>
    <t>0                      Q  0125000M  36          1953b</t>
  </si>
  <si>
    <t>A history of the sciences; main currents of scientific thought.</t>
  </si>
  <si>
    <t>Mason, Stephen F. (Stephen Finney), 1923-2007.</t>
  </si>
  <si>
    <t>[London] Routledge &amp; Paul [1953]</t>
  </si>
  <si>
    <t>398276:eng</t>
  </si>
  <si>
    <t>3553108</t>
  </si>
  <si>
    <t>ocm03553108</t>
  </si>
  <si>
    <t>3103873307C</t>
  </si>
  <si>
    <t>792267587</t>
  </si>
  <si>
    <t>Q125 M439 1987</t>
  </si>
  <si>
    <t>0                      Q  0125000M  439         1987</t>
  </si>
  <si>
    <t>La méthode philosophique en histoire des sciences : textes, 1914-1939 / Hélène Metzger ; réunis par Gad Freudenthal.</t>
  </si>
  <si>
    <t>Paris : Fayard, ©1987.</t>
  </si>
  <si>
    <t>Corpus des œuvres de philosophie en langue française</t>
  </si>
  <si>
    <t>2015-01-07</t>
  </si>
  <si>
    <t>365108392:fre</t>
  </si>
  <si>
    <t>213924538</t>
  </si>
  <si>
    <t>ocn213924538</t>
  </si>
  <si>
    <t>3000639133O</t>
  </si>
  <si>
    <t>9782213020488</t>
  </si>
  <si>
    <t>794312955</t>
  </si>
  <si>
    <t>Q125 N44 1938</t>
  </si>
  <si>
    <t>0                      Q  0125000N  44          1938</t>
  </si>
  <si>
    <t>Background to modern science; ten lectures at Cambridge arranged by the History of science committee, 1936, by F.M. Cornford, Sir A.S. Eddington, Sir W. Dampier [and others] edited by Joseph Needham and Walter Pagel.</t>
  </si>
  <si>
    <t>Needham, Joseph, 1900-1995, editor.</t>
  </si>
  <si>
    <t>New York, Macmillan Co.; Cambridge, Eng., The University Press, 1938.</t>
  </si>
  <si>
    <t>The Cambridge library of modern science; general editor: C.P. Snow</t>
  </si>
  <si>
    <t>197896335:eng</t>
  </si>
  <si>
    <t>1076606</t>
  </si>
  <si>
    <t>ocm01076606</t>
  </si>
  <si>
    <t>31033197071</t>
  </si>
  <si>
    <t>791539793</t>
  </si>
  <si>
    <t>Q125 R34 1990</t>
  </si>
  <si>
    <t>0                      Q  0125000R  34          1990</t>
  </si>
  <si>
    <t>Reappraisals of the scientific revolution / edited by David C. Lindberg and Robert S. Westman.</t>
  </si>
  <si>
    <t>Cambridge [England] ; New York : Cambridge University Press, 1990.</t>
  </si>
  <si>
    <t>2019-11-06</t>
  </si>
  <si>
    <t>349948335:eng</t>
  </si>
  <si>
    <t>20758238</t>
  </si>
  <si>
    <t>ocm20758238</t>
  </si>
  <si>
    <t>3102947688Q</t>
  </si>
  <si>
    <t>9780521342629</t>
  </si>
  <si>
    <t>793097848</t>
  </si>
  <si>
    <t>Q125 R4 1926</t>
  </si>
  <si>
    <t>0                      Q  0125000R  4           1926</t>
  </si>
  <si>
    <t>From myth to reason; the story of the march of mind in the interpretation of nature, by Woodbridge Riley ...</t>
  </si>
  <si>
    <t>Riley, Woodbridge, 1869-1933.</t>
  </si>
  <si>
    <t>New York, London, D. Appleton and Co., 1926.</t>
  </si>
  <si>
    <t>1926</t>
  </si>
  <si>
    <t>2017-01-19</t>
  </si>
  <si>
    <t>1424238:eng</t>
  </si>
  <si>
    <t>403555</t>
  </si>
  <si>
    <t>ocm00403555</t>
  </si>
  <si>
    <t>3000356450$</t>
  </si>
  <si>
    <t>791367335</t>
  </si>
  <si>
    <t>Q125 S23</t>
  </si>
  <si>
    <t>0                      Q  0125000S  23</t>
  </si>
  <si>
    <t>Ancient science and modern civilization / George Sarton.</t>
  </si>
  <si>
    <t>Sarton, George, 1884-1956.</t>
  </si>
  <si>
    <t>[Lincoln, Neb.] : [publisher not identified], [1954]</t>
  </si>
  <si>
    <t>Montgomery lectureship on contemporary civilization ; 1954</t>
  </si>
  <si>
    <t>1520072:eng</t>
  </si>
  <si>
    <t>427081490</t>
  </si>
  <si>
    <t>ocn427081490</t>
  </si>
  <si>
    <t>30004984879</t>
  </si>
  <si>
    <t>794519443</t>
  </si>
  <si>
    <t>Q125 S24</t>
  </si>
  <si>
    <t>0                      Q  0125000S  24</t>
  </si>
  <si>
    <t>A guide to the history of science : a first guide for the study of the history of science, with introductory essays on science and tradition / George Sarton.</t>
  </si>
  <si>
    <t>Sarton, George, 1884-1956, author.</t>
  </si>
  <si>
    <t>Waltham, Massachusetts : Chronica Botanica Co., 1952.</t>
  </si>
  <si>
    <t>1952</t>
  </si>
  <si>
    <t>2010-03-14</t>
  </si>
  <si>
    <t>2017-03-23</t>
  </si>
  <si>
    <t>1514509:eng</t>
  </si>
  <si>
    <t>520357</t>
  </si>
  <si>
    <t>ocm00520357</t>
  </si>
  <si>
    <t>31006706288</t>
  </si>
  <si>
    <t>791401942</t>
  </si>
  <si>
    <t>Q125 S246</t>
  </si>
  <si>
    <t>0                      Q  0125000S  246</t>
  </si>
  <si>
    <t>A history of science / George Sarton.</t>
  </si>
  <si>
    <t>Cambridge : Harvard University Press, 1952-59.</t>
  </si>
  <si>
    <t>2018-02-14</t>
  </si>
  <si>
    <t>5534289692:eng</t>
  </si>
  <si>
    <t>684980</t>
  </si>
  <si>
    <t>ocm00684980</t>
  </si>
  <si>
    <t>3000349458B</t>
  </si>
  <si>
    <t>791445681</t>
  </si>
  <si>
    <t>2014-11-25</t>
  </si>
  <si>
    <t>3102722669Z</t>
  </si>
  <si>
    <t>791445680</t>
  </si>
  <si>
    <t>Q125 S25</t>
  </si>
  <si>
    <t>0                      Q  0125000S  25</t>
  </si>
  <si>
    <t>The history of science and the new humanism, by George Sarton ...</t>
  </si>
  <si>
    <t>New York, H. Holt and Company [©1931]</t>
  </si>
  <si>
    <t>1931</t>
  </si>
  <si>
    <t>[Colver lectures, 1930]</t>
  </si>
  <si>
    <t>2017-10-18</t>
  </si>
  <si>
    <t>2908505159:eng</t>
  </si>
  <si>
    <t>645738</t>
  </si>
  <si>
    <t>ocm00645738</t>
  </si>
  <si>
    <t>3000688621N</t>
  </si>
  <si>
    <t>791436576</t>
  </si>
  <si>
    <t>Q125 S32</t>
  </si>
  <si>
    <t>0                      Q  0125000S  32</t>
  </si>
  <si>
    <t>Introduction to the history of science / by George Sarton.</t>
  </si>
  <si>
    <t>V. 2 pt. 2</t>
  </si>
  <si>
    <t>Baltimore : Published for the Carnegie institution of Washington by the Williams &amp; Wilkins Company, [1927-1948]</t>
  </si>
  <si>
    <t>1927</t>
  </si>
  <si>
    <t>Carnegie Institution of Washington publication ; 376</t>
  </si>
  <si>
    <t>2005-04-19</t>
  </si>
  <si>
    <t>3887412133:eng</t>
  </si>
  <si>
    <t>880552</t>
  </si>
  <si>
    <t>ocm00880552</t>
  </si>
  <si>
    <t>3100437155S</t>
  </si>
  <si>
    <t>791493668</t>
  </si>
  <si>
    <t>3000804706W</t>
  </si>
  <si>
    <t>791493654</t>
  </si>
  <si>
    <t>3100437134$</t>
  </si>
  <si>
    <t>791493670</t>
  </si>
  <si>
    <t>V. 3 pt. 2</t>
  </si>
  <si>
    <t>2003-09-24</t>
  </si>
  <si>
    <t>3100437153W</t>
  </si>
  <si>
    <t>791493665</t>
  </si>
  <si>
    <t>V. 2 pt. 1</t>
  </si>
  <si>
    <t>3100437156Q</t>
  </si>
  <si>
    <t>791493669</t>
  </si>
  <si>
    <t>3100437135Y</t>
  </si>
  <si>
    <t>791493667</t>
  </si>
  <si>
    <t>2007-06-11</t>
  </si>
  <si>
    <t>3000348834E</t>
  </si>
  <si>
    <t>791493671</t>
  </si>
  <si>
    <t>V. 3 pt. 1</t>
  </si>
  <si>
    <t>3100437154U</t>
  </si>
  <si>
    <t>791493666</t>
  </si>
  <si>
    <t>2018-09-18</t>
  </si>
  <si>
    <t>Q125 S4318</t>
  </si>
  <si>
    <t>0                      Q  0125000S  4318</t>
  </si>
  <si>
    <t>Science and society 1600-1900, by P.M. Rattansi [and others] Edited by Peter Mathias.</t>
  </si>
  <si>
    <t>Cambridge, University Press, 1972.</t>
  </si>
  <si>
    <t>355711092:eng</t>
  </si>
  <si>
    <t>370312</t>
  </si>
  <si>
    <t>ocm00370312</t>
  </si>
  <si>
    <t>3103292703W</t>
  </si>
  <si>
    <t>9780521083751</t>
  </si>
  <si>
    <t>791354567</t>
  </si>
  <si>
    <t>Q125 S43467 2002</t>
  </si>
  <si>
    <t>0                      Q  0125000S  43467       2002</t>
  </si>
  <si>
    <t>Instruments, travel, and science : itineraries of precision from the seventeenth to the twentieth century / edited by Marie-Noëlle Bourguet, Christian Licoppe, and H. Otto Sibum.</t>
  </si>
  <si>
    <t>London ; New York : Routledge, 2002.</t>
  </si>
  <si>
    <t>Routledge studies in the history of science, technology, and medicine</t>
  </si>
  <si>
    <t>2019-07-18</t>
  </si>
  <si>
    <t>800546387:eng</t>
  </si>
  <si>
    <t>49558835</t>
  </si>
  <si>
    <t>ocm49558835</t>
  </si>
  <si>
    <t>3102351562E</t>
  </si>
  <si>
    <t>9780415272957</t>
  </si>
  <si>
    <t>793742921</t>
  </si>
  <si>
    <t>Q125 S51413 2000</t>
  </si>
  <si>
    <t>0                      Q  0125000S  51413       2000</t>
  </si>
  <si>
    <t>The birth of physics / Michel Serres ; translated by Jack Hawkes ; edited, introduced, and annotated by David Webb.</t>
  </si>
  <si>
    <t>Serres, Michel.</t>
  </si>
  <si>
    <t>Manchester : Clinamen Press, ©2000.</t>
  </si>
  <si>
    <t>353975786:eng</t>
  </si>
  <si>
    <t>42273521</t>
  </si>
  <si>
    <t>ocm42273521</t>
  </si>
  <si>
    <t>3102597048E</t>
  </si>
  <si>
    <t>9781903083048</t>
  </si>
  <si>
    <t>793604002</t>
  </si>
  <si>
    <t>Q125 S68</t>
  </si>
  <si>
    <t>0                      Q  0125000S  68</t>
  </si>
  <si>
    <t>Science and society in the sixteenth and seventeenth centuries / Alan G.R. Smith.</t>
  </si>
  <si>
    <t>Smith, Alan G. R., 1936-</t>
  </si>
  <si>
    <t>New York : Science History Publications, ©1972.</t>
  </si>
  <si>
    <t>1st American clothbound ed.</t>
  </si>
  <si>
    <t>2011-12-08</t>
  </si>
  <si>
    <t>2015-12-23</t>
  </si>
  <si>
    <t>570915:eng</t>
  </si>
  <si>
    <t>521634</t>
  </si>
  <si>
    <t>ocm00521634</t>
  </si>
  <si>
    <t>3000348625N</t>
  </si>
  <si>
    <t>9780882020082</t>
  </si>
  <si>
    <t>791402292</t>
  </si>
  <si>
    <t>Q125 S993 1961a</t>
  </si>
  <si>
    <t>0                      Q  0125000S  993         1961a</t>
  </si>
  <si>
    <t>Scientific change; historical studies in the intellectual, social, and technical conditions for scientific discovery and technical invention, from antiquity to the present. Symposium on the history of science, University of Oxford, 9-15 July 1961.</t>
  </si>
  <si>
    <t>Symposium on the History of Science (1961 : Oxford)</t>
  </si>
  <si>
    <t>London, Heinemann [1963]</t>
  </si>
  <si>
    <t>2019-01-13</t>
  </si>
  <si>
    <t>472749080:eng</t>
  </si>
  <si>
    <t>5788843</t>
  </si>
  <si>
    <t>ocm05788843</t>
  </si>
  <si>
    <t>30003562191</t>
  </si>
  <si>
    <t>792454072</t>
  </si>
  <si>
    <t>Q125 T233</t>
  </si>
  <si>
    <t>0                      Q  0125000T  233</t>
  </si>
  <si>
    <t>History of science. Translated by A.J. Pomerans.</t>
  </si>
  <si>
    <t>Taton, René, editor.</t>
  </si>
  <si>
    <t>New York, Basic Books [1964-66, ©1963-64]</t>
  </si>
  <si>
    <t>2016-05-28</t>
  </si>
  <si>
    <t>5218295175:eng</t>
  </si>
  <si>
    <t>557328</t>
  </si>
  <si>
    <t>ocm00557328</t>
  </si>
  <si>
    <t>31004371420</t>
  </si>
  <si>
    <t>791413730</t>
  </si>
  <si>
    <t>3100744415G</t>
  </si>
  <si>
    <t>791413732</t>
  </si>
  <si>
    <t>3100437152Y</t>
  </si>
  <si>
    <t>791413731</t>
  </si>
  <si>
    <t>2011-11-26</t>
  </si>
  <si>
    <t>30003433936</t>
  </si>
  <si>
    <t>791413733</t>
  </si>
  <si>
    <t>Q125 T67</t>
  </si>
  <si>
    <t>0                      Q  0125000T  67</t>
  </si>
  <si>
    <t>The architecture of matter [by] Stephen Toulmin [and] June Goodfield.</t>
  </si>
  <si>
    <t>Toulmin, Stephen, 1922-2009.</t>
  </si>
  <si>
    <t>New York, Harper &amp; Row [©1962]</t>
  </si>
  <si>
    <t>[1st ed.].</t>
  </si>
  <si>
    <t>2018-09-23</t>
  </si>
  <si>
    <t>419423:eng</t>
  </si>
  <si>
    <t>965142</t>
  </si>
  <si>
    <t>ocm00965142</t>
  </si>
  <si>
    <t>3100670561E</t>
  </si>
  <si>
    <t>791513643</t>
  </si>
  <si>
    <t>Q125 T67 1982</t>
  </si>
  <si>
    <t>0                      Q  0125000T  67          1982</t>
  </si>
  <si>
    <t>The architecture of matter / Stephen Toulmin, June Goodfield.</t>
  </si>
  <si>
    <t>Chicago : University of Chicago Press, 1982, ©1962.</t>
  </si>
  <si>
    <t>Phoenix ed.</t>
  </si>
  <si>
    <t>2017-06-20</t>
  </si>
  <si>
    <t>3520554</t>
  </si>
  <si>
    <t>ocm03520554</t>
  </si>
  <si>
    <t>3103873297Q</t>
  </si>
  <si>
    <t>9780226808406</t>
  </si>
  <si>
    <t>792264332</t>
  </si>
  <si>
    <t>Q125 T695 1996</t>
  </si>
  <si>
    <t>0                      Q  0125000T  695         1996</t>
  </si>
  <si>
    <t>Tradition, transmission, transformation : proceedings of two conferences on pre-modern science held at the University of Oklahoma / edited by F. Jamil Ragep and Sally P. Ragep, with Steven Livesey.</t>
  </si>
  <si>
    <t>Leiden ; New York : E.J. Brill, 1996.</t>
  </si>
  <si>
    <t>Collection de travaux de l'Académie internationale d'histoire des sciences, 0169-7897 ; t. 37</t>
  </si>
  <si>
    <t>2019-01-31</t>
  </si>
  <si>
    <t>793848255:eng</t>
  </si>
  <si>
    <t>34704856</t>
  </si>
  <si>
    <t>ocm34704856</t>
  </si>
  <si>
    <t>3102198733F</t>
  </si>
  <si>
    <t>9789004101197</t>
  </si>
  <si>
    <t>793433694</t>
  </si>
  <si>
    <t>Q125 T724 2012</t>
  </si>
  <si>
    <t>0                      Q  0125000T  724         2012</t>
  </si>
  <si>
    <t>Science in world history / James Trefil.</t>
  </si>
  <si>
    <t>Trefil, James, 1938-</t>
  </si>
  <si>
    <t>London ; New York : Routledge, 2012.</t>
  </si>
  <si>
    <t>Themes in world history</t>
  </si>
  <si>
    <t>2015-01-13</t>
  </si>
  <si>
    <t>796719646:eng</t>
  </si>
  <si>
    <t>706022623</t>
  </si>
  <si>
    <t>ocn706022623</t>
  </si>
  <si>
    <t>31034723123</t>
  </si>
  <si>
    <t>9780415782548</t>
  </si>
  <si>
    <t>794866542</t>
  </si>
  <si>
    <t>Q125 U475 no.41</t>
  </si>
  <si>
    <t>0                      Q  0125000U  475                                                     no.41</t>
  </si>
  <si>
    <t>Science and technology in the development of the Arab States.</t>
  </si>
  <si>
    <t>no.41*</t>
  </si>
  <si>
    <t>Conference of Ministers of Arab States Responsible for the Application of Science and Technology to Development (1976 : Rabat, Morocco)</t>
  </si>
  <si>
    <t>Paris : Unesco, 1977.</t>
  </si>
  <si>
    <t>Science policy studies and documents ; no. 41</t>
  </si>
  <si>
    <t>2017-03-08</t>
  </si>
  <si>
    <t>1361778942:eng</t>
  </si>
  <si>
    <t>3305258</t>
  </si>
  <si>
    <t>ocm03305258</t>
  </si>
  <si>
    <t>31017310271</t>
  </si>
  <si>
    <t>9789231014949</t>
  </si>
  <si>
    <t>792240795</t>
  </si>
  <si>
    <t>Q125 U475 no.57</t>
  </si>
  <si>
    <t>0                      Q  0125000U  475                                                     no.57</t>
  </si>
  <si>
    <t>Science and technology policy and the organization of research in the German Democratic Republic.</t>
  </si>
  <si>
    <t>no.57*</t>
  </si>
  <si>
    <t>Berlin : Academy of Sciences of the GDR ; Paris : Unesco ; New York, N.Y. : UNIPUB [distributor], ©1985.</t>
  </si>
  <si>
    <t>Science policy studies and documents ; no. 57</t>
  </si>
  <si>
    <t>2018-02-03</t>
  </si>
  <si>
    <t>350095556:eng</t>
  </si>
  <si>
    <t>16873832</t>
  </si>
  <si>
    <t>ocm16873832</t>
  </si>
  <si>
    <t>31017310239</t>
  </si>
  <si>
    <t>9789231023019</t>
  </si>
  <si>
    <t>792975957</t>
  </si>
  <si>
    <t>Q125 V45</t>
  </si>
  <si>
    <t>0                      Q  0125000V  45</t>
  </si>
  <si>
    <t>Science : the never-ending quest / by William C. Vergara ; with 155 drawings by the author.</t>
  </si>
  <si>
    <t>Vergara, William Charles.</t>
  </si>
  <si>
    <t>New York : Harper &amp; Row, [1965]</t>
  </si>
  <si>
    <t>1965</t>
  </si>
  <si>
    <t>2017-06-21</t>
  </si>
  <si>
    <t>934518017:eng</t>
  </si>
  <si>
    <t>10100960</t>
  </si>
  <si>
    <t>ocm10100960</t>
  </si>
  <si>
    <t>3000638685R</t>
  </si>
  <si>
    <t>792709218</t>
  </si>
  <si>
    <t>Q125 W56 1984</t>
  </si>
  <si>
    <t>0                      Q  0125000W  56          1984</t>
  </si>
  <si>
    <t>Selected writings on the history of science / William Whewell ; edited and with an introduction by Yehuda Elkana.</t>
  </si>
  <si>
    <t>Whewell, William, 1794-1866.</t>
  </si>
  <si>
    <t>Chicago : University of Chicago Press, 1984.</t>
  </si>
  <si>
    <t>Classics of British historical literature</t>
  </si>
  <si>
    <t>19989371:eng</t>
  </si>
  <si>
    <t>9761532</t>
  </si>
  <si>
    <t>ocm09761532</t>
  </si>
  <si>
    <t>3000475684Y</t>
  </si>
  <si>
    <t>9780226894348</t>
  </si>
  <si>
    <t>792692313</t>
  </si>
  <si>
    <t>Q125.2 B47 1983</t>
  </si>
  <si>
    <t>0                      Q  0125200B  47          1983</t>
  </si>
  <si>
    <t>Isaac Beeckman (1588-1637) en de mechanisering van het wereldbeeld = Isaac Beeckman (1588-1637) and the mechanization of the world picture / door Klaas van Berkel.</t>
  </si>
  <si>
    <t>Berkel, Klaas van.</t>
  </si>
  <si>
    <t>Amsterdam : Rodopi, 1983.</t>
  </si>
  <si>
    <t>dut</t>
  </si>
  <si>
    <t>Nieuwe Nederlandse bijdragen tot de geschiedenis der geneeskunde en der natuurwetenschappen ; no. 9</t>
  </si>
  <si>
    <t>2017-05-29</t>
  </si>
  <si>
    <t>150260637:dut</t>
  </si>
  <si>
    <t>10277935</t>
  </si>
  <si>
    <t>ocm10277935</t>
  </si>
  <si>
    <t>3000372199Q</t>
  </si>
  <si>
    <t>9789062039142</t>
  </si>
  <si>
    <t>792718009</t>
  </si>
  <si>
    <t>Q125.2 B66 1995</t>
  </si>
  <si>
    <t>0                      Q  0125200B  66          1995</t>
  </si>
  <si>
    <t>The word of God and the languages of man : interpreting nature in early modern science and medicine / James J. Bono.</t>
  </si>
  <si>
    <t>Bono, James J. (James Joseph)</t>
  </si>
  <si>
    <t>Madison : University of Wisconsin Press, ©1995-</t>
  </si>
  <si>
    <t>Science and literature</t>
  </si>
  <si>
    <t>2016-10-05</t>
  </si>
  <si>
    <t>233633614:eng</t>
  </si>
  <si>
    <t>32391023</t>
  </si>
  <si>
    <t>ocm32391023</t>
  </si>
  <si>
    <t>3102480951O</t>
  </si>
  <si>
    <t>9780299147907</t>
  </si>
  <si>
    <t>793382681</t>
  </si>
  <si>
    <t>Q125.2 D38 2001</t>
  </si>
  <si>
    <t>0                      Q  0125200D  38          2001</t>
  </si>
  <si>
    <t>Revolutionizing the sciences : European knowledge and its ambitions, 1500-1700 / Peter Dear.</t>
  </si>
  <si>
    <t>Dear, Peter, 1958-</t>
  </si>
  <si>
    <t>Princeton, N.J. : Princeton University Press, 2001.</t>
  </si>
  <si>
    <t>2001</t>
  </si>
  <si>
    <t>196726037:eng</t>
  </si>
  <si>
    <t>46622656</t>
  </si>
  <si>
    <t>ocm46622656</t>
  </si>
  <si>
    <t>3102159221O</t>
  </si>
  <si>
    <t>9780691088594</t>
  </si>
  <si>
    <t>793687662</t>
  </si>
  <si>
    <t>Q125.2 D38 2009</t>
  </si>
  <si>
    <t>0                      Q  0125200D  38          2009</t>
  </si>
  <si>
    <t>Basingstoke : Palgrave Macmillan, ©2009.</t>
  </si>
  <si>
    <t>2009</t>
  </si>
  <si>
    <t>2nd ed.</t>
  </si>
  <si>
    <t>2017-07-17</t>
  </si>
  <si>
    <t>226357133</t>
  </si>
  <si>
    <t>ocn226357133</t>
  </si>
  <si>
    <t>3103070284O</t>
  </si>
  <si>
    <t>9780230545151</t>
  </si>
  <si>
    <t>794345214</t>
  </si>
  <si>
    <t>Q125.2 D4</t>
  </si>
  <si>
    <t>0                      Q  0125200D  4</t>
  </si>
  <si>
    <t>Man and nature in the Renaissance / Allen G. Debus.</t>
  </si>
  <si>
    <t>Debus, Allen G., author.</t>
  </si>
  <si>
    <t>Cambridge ; New York : Cambridge University Press, 1978.</t>
  </si>
  <si>
    <t>503879:eng</t>
  </si>
  <si>
    <t>3650675</t>
  </si>
  <si>
    <t>ocm03650675</t>
  </si>
  <si>
    <t>3102917411O</t>
  </si>
  <si>
    <t>9780521219723</t>
  </si>
  <si>
    <t>792277109</t>
  </si>
  <si>
    <t>Q125.2 G36 1984</t>
  </si>
  <si>
    <t>0                      Q  0125200G  36          1984</t>
  </si>
  <si>
    <t>The Galileo affair, a Meeting of Faith and Science : proceedings of the Cracow conference, 24 to 27 May 1984 / edited by G.V. Coyne, M. Heller, and J. Życiński.</t>
  </si>
  <si>
    <t>Galileo Affair: a Meeting of Faith and Science (1984 : Kraków, Poland)</t>
  </si>
  <si>
    <t>Città del Vaticano : Specola Vaticana, 1985.</t>
  </si>
  <si>
    <t>473321150:eng</t>
  </si>
  <si>
    <t>16831024</t>
  </si>
  <si>
    <t>ocm16831024</t>
  </si>
  <si>
    <t>31015159383</t>
  </si>
  <si>
    <t>792974153</t>
  </si>
  <si>
    <t>Q125.2 G64</t>
  </si>
  <si>
    <t>0                      Q  0125200G  64</t>
  </si>
  <si>
    <t>Dawn of modern science : from the Arabs to Leonardo da Vinci / Thomas Goldstein.</t>
  </si>
  <si>
    <t>Goldstein, Thomas.</t>
  </si>
  <si>
    <t>Boston : Houghton Mifflin, 1980.</t>
  </si>
  <si>
    <t>5616003173:eng</t>
  </si>
  <si>
    <t>5675633</t>
  </si>
  <si>
    <t>ocm05675633</t>
  </si>
  <si>
    <t>3000313538O</t>
  </si>
  <si>
    <t>9780395262986</t>
  </si>
  <si>
    <t>792445740</t>
  </si>
  <si>
    <t>Q125.2 J37 1984</t>
  </si>
  <si>
    <t>0                      Q  0125200J  37          1984</t>
  </si>
  <si>
    <t>The birth of history and philosophy of science : Kepler's A defence of Tycho against Ursus, with essays on its provenance and significance / N. Jardine.</t>
  </si>
  <si>
    <t>Jardine, Nicholas.</t>
  </si>
  <si>
    <t>Cambridge [Cambridgeshire] ; New York : Cambridge University Press, 1984.</t>
  </si>
  <si>
    <t>2019-03-26</t>
  </si>
  <si>
    <t>793333183:eng</t>
  </si>
  <si>
    <t>9784570</t>
  </si>
  <si>
    <t>ocm09784570</t>
  </si>
  <si>
    <t>3103535285V</t>
  </si>
  <si>
    <t>9780521252263</t>
  </si>
  <si>
    <t>792693390</t>
  </si>
  <si>
    <t>Q125.2 R4313 1987</t>
  </si>
  <si>
    <t>0                      Q  0125200R  4313        1987</t>
  </si>
  <si>
    <t>Galileo heretic = Galileo eretico / by Pietro Redondi ; translated by Raymond Rosenthal.</t>
  </si>
  <si>
    <t>Redondi, Pietro, author.</t>
  </si>
  <si>
    <t>Princeton, New Jersey : Princeton University Press, [1987]</t>
  </si>
  <si>
    <t>2260814151:eng</t>
  </si>
  <si>
    <t>15084584</t>
  </si>
  <si>
    <t>ocm15084584</t>
  </si>
  <si>
    <t>3102721434E</t>
  </si>
  <si>
    <t>9780691084510</t>
  </si>
  <si>
    <t>792919566</t>
  </si>
  <si>
    <t>Q125.2 R48 2000</t>
  </si>
  <si>
    <t>0                      Q  0125200R  48          2000</t>
  </si>
  <si>
    <t>Rethinking the scientific revolution / edited by Margaret J. Osler.</t>
  </si>
  <si>
    <t>2019-04-19</t>
  </si>
  <si>
    <t>896872696:eng</t>
  </si>
  <si>
    <t>40990159</t>
  </si>
  <si>
    <t>ocm40990159</t>
  </si>
  <si>
    <t>3102031985T</t>
  </si>
  <si>
    <t>9780521661010</t>
  </si>
  <si>
    <t>793580839</t>
  </si>
  <si>
    <t>Q125.2 S36 1991</t>
  </si>
  <si>
    <t>0                      Q  0125200S  36          1991</t>
  </si>
  <si>
    <t>Science, culture, and popular belief in Renaissance Europe / edited by Stephen Pumfrey, Paolo L. Rossi, Maurice Slawinski.</t>
  </si>
  <si>
    <t>Manchester ; New York : Manchester University Press ; New York, NY, USA : Distributed exclusively in the USA and Canada by St. Martin's Press, ©1991.</t>
  </si>
  <si>
    <t>1991</t>
  </si>
  <si>
    <t>350223660:eng</t>
  </si>
  <si>
    <t>24432656</t>
  </si>
  <si>
    <t>ocm24432656</t>
  </si>
  <si>
    <t>3100951848H</t>
  </si>
  <si>
    <t>9780719029257</t>
  </si>
  <si>
    <t>793198282</t>
  </si>
  <si>
    <t>Q125.2 S37 2003</t>
  </si>
  <si>
    <t>0                      Q  0125200S  37          2003</t>
  </si>
  <si>
    <t>The scientific revolution : the essential readings / edited by Marcus Hellyer.</t>
  </si>
  <si>
    <t>Malden, MA : Blackwell Pub., 2003.</t>
  </si>
  <si>
    <t>Blackwell essential readings in history</t>
  </si>
  <si>
    <t>865017676:eng</t>
  </si>
  <si>
    <t>50520438</t>
  </si>
  <si>
    <t>ocm50520438</t>
  </si>
  <si>
    <t>3102322777H</t>
  </si>
  <si>
    <t>9780631236290</t>
  </si>
  <si>
    <t>793766857</t>
  </si>
  <si>
    <t>3102799726E</t>
  </si>
  <si>
    <t>793766858</t>
  </si>
  <si>
    <t>Q125.2 W36 2011</t>
  </si>
  <si>
    <t>0                      Q  0125200W  36          2011</t>
  </si>
  <si>
    <t>Genesis and the chemical philosophy : true Christian science in the sixteenth and seventeenth centuries / Michael T. Walton.</t>
  </si>
  <si>
    <t>Walton, Michael Thomson, 1945-</t>
  </si>
  <si>
    <t>Brooklyn, N.Y. : AMS Press, ©2011.</t>
  </si>
  <si>
    <t>AMS studies in the Renaissance, 0195-8011 ; no. 45</t>
  </si>
  <si>
    <t>1108313300:eng</t>
  </si>
  <si>
    <t>692664076</t>
  </si>
  <si>
    <t>ocn692664076</t>
  </si>
  <si>
    <t>31034413906</t>
  </si>
  <si>
    <t>9780404623456</t>
  </si>
  <si>
    <t>794856329</t>
  </si>
  <si>
    <t>Q126 A85 2003</t>
  </si>
  <si>
    <t>0                      Q  0126000A  85          2003</t>
  </si>
  <si>
    <t>Galileo's finger : the ten great ideas of science / Peter Atkins.</t>
  </si>
  <si>
    <t>Atkins, P. W. (Peter William), 1940-</t>
  </si>
  <si>
    <t>Oxford ; New York : Oxford University Press, 2003.</t>
  </si>
  <si>
    <t>2018-09-17</t>
  </si>
  <si>
    <t>2550968:eng</t>
  </si>
  <si>
    <t>61515698</t>
  </si>
  <si>
    <t>ocm61515698</t>
  </si>
  <si>
    <t>3102309451C</t>
  </si>
  <si>
    <t>9780198606642</t>
  </si>
  <si>
    <t>793960938</t>
  </si>
  <si>
    <t>Q126.8 C45</t>
  </si>
  <si>
    <t>0                      Q  0126800C  45</t>
  </si>
  <si>
    <t>Changing perspectives in the history of science: essays in honour of Joseph Needham / edited by Mikuláš Teich and Robert Young.</t>
  </si>
  <si>
    <t>London : Heinemann Educational, 1973.</t>
  </si>
  <si>
    <t>2019-12-10</t>
  </si>
  <si>
    <t>352975475:eng</t>
  </si>
  <si>
    <t>705354</t>
  </si>
  <si>
    <t>ocm00705354</t>
  </si>
  <si>
    <t>3102357282W</t>
  </si>
  <si>
    <t>9780435549251</t>
  </si>
  <si>
    <t>791450783</t>
  </si>
  <si>
    <t>Q126.8 G55 2007</t>
  </si>
  <si>
    <t>0                      Q  0126800G  55          2007</t>
  </si>
  <si>
    <t>Essays and reviews in history and history of science / Charles Coulston Gillispie.</t>
  </si>
  <si>
    <t>Gillispie, Charles Coulston.</t>
  </si>
  <si>
    <t>Philadelphia, PA : American Philosophical Society, ©2007.</t>
  </si>
  <si>
    <t>Transactions of the American Philosophical Society ; v. 96, pt. 5</t>
  </si>
  <si>
    <t>61142140:eng</t>
  </si>
  <si>
    <t>74988574</t>
  </si>
  <si>
    <t>ocm74988574</t>
  </si>
  <si>
    <t>3102704217M</t>
  </si>
  <si>
    <t>9780871699657</t>
  </si>
  <si>
    <t>794174303</t>
  </si>
  <si>
    <t>Q126.8 N44 1976b</t>
  </si>
  <si>
    <t>0                      Q  0126800N  44          1976b</t>
  </si>
  <si>
    <t>Moulds of understanding : a pattern of natural philosophy / Joseph Needham ; edited and introduced by Gary Werskey.</t>
  </si>
  <si>
    <t>Needham, Joseph, 1900-1995.</t>
  </si>
  <si>
    <t>London : Allen and Unwin, 1976.</t>
  </si>
  <si>
    <t>2015-09-14</t>
  </si>
  <si>
    <t>836945864:eng</t>
  </si>
  <si>
    <t>2930648</t>
  </si>
  <si>
    <t>ocm02930648</t>
  </si>
  <si>
    <t>3000413156V</t>
  </si>
  <si>
    <t>9780049250116</t>
  </si>
  <si>
    <t>792195210</t>
  </si>
  <si>
    <t>Q126.8 O55</t>
  </si>
  <si>
    <t>0                      Q  0126800O  55</t>
  </si>
  <si>
    <t>On pre-modern technology and science : a volume of studies in honor of Lynn White, Jr. / edited by Bert S. Hall and Delno C. West.</t>
  </si>
  <si>
    <t>Malibu, Ca. : Undena Publications, 1976.</t>
  </si>
  <si>
    <t>Humana civilitas ; v. 1</t>
  </si>
  <si>
    <t>2017-02-06</t>
  </si>
  <si>
    <t>763548467:eng</t>
  </si>
  <si>
    <t>5311556</t>
  </si>
  <si>
    <t>ocm05311556</t>
  </si>
  <si>
    <t>3000454121L</t>
  </si>
  <si>
    <t>9780890030127</t>
  </si>
  <si>
    <t>792424281</t>
  </si>
  <si>
    <t>Q126.9 M55 2011</t>
  </si>
  <si>
    <t>0                      Q  0126900M  55          2011</t>
  </si>
  <si>
    <t>The invention of science : why history of science matters for the classroom / Catherine Milne.</t>
  </si>
  <si>
    <t>Milne, Catherine (Catherine Elizabeth)</t>
  </si>
  <si>
    <t>Rotterdam ; Boston : Sense Publishers, ©2011.</t>
  </si>
  <si>
    <t>Cultural perspectives in science education. Research dialogs ; 4</t>
  </si>
  <si>
    <t>917559339:eng</t>
  </si>
  <si>
    <t>732740698</t>
  </si>
  <si>
    <t>ocn732740698</t>
  </si>
  <si>
    <t>31034069292</t>
  </si>
  <si>
    <t>9789460915246</t>
  </si>
  <si>
    <t>794881388</t>
  </si>
  <si>
    <t>Q127 A2 D54 2010</t>
  </si>
  <si>
    <t>0                      Q  0127000A  2                  D  54          2010</t>
  </si>
  <si>
    <t>Building science, technology and innovation systems in Africa : experiences from the Maghreb / by Abdelkader Djeflat ; preface: Bengt Aake Lundvall.</t>
  </si>
  <si>
    <t>Djeflat, Abdelkader.</t>
  </si>
  <si>
    <t>London : Adonis And Abbey, ©2010.</t>
  </si>
  <si>
    <t>422926436:eng</t>
  </si>
  <si>
    <t>551377319</t>
  </si>
  <si>
    <t>ocn551377319</t>
  </si>
  <si>
    <t>31032348348</t>
  </si>
  <si>
    <t>9781906704650</t>
  </si>
  <si>
    <t>794811670</t>
  </si>
  <si>
    <t>Q127 A5 H84 1995</t>
  </si>
  <si>
    <t>0                      Q  0127000A  5                  H  84          1995</t>
  </si>
  <si>
    <t>The rise of early modern science : Islam, China, and the West / Toby E. Huff.</t>
  </si>
  <si>
    <t>Huff, Toby E., 1942-</t>
  </si>
  <si>
    <t>Cambridge [England] ; New York : Cambridge University Press, 1995.</t>
  </si>
  <si>
    <t>1st pbk. ed.</t>
  </si>
  <si>
    <t>2017-01-14</t>
  </si>
  <si>
    <t>807056223:eng</t>
  </si>
  <si>
    <t>33955364</t>
  </si>
  <si>
    <t>ocm33955364</t>
  </si>
  <si>
    <t>3101945995J</t>
  </si>
  <si>
    <t>9780521498333</t>
  </si>
  <si>
    <t>793415055</t>
  </si>
  <si>
    <t>Q127 A5 H84 2003</t>
  </si>
  <si>
    <t>0                      Q  0127000A  5                  H  84          2003</t>
  </si>
  <si>
    <t>Cambridge, U.K. ; New York : Cambridge University Press, 2003.</t>
  </si>
  <si>
    <t>50730734</t>
  </si>
  <si>
    <t>ocm50730734</t>
  </si>
  <si>
    <t>31030044458</t>
  </si>
  <si>
    <t>9780521823029</t>
  </si>
  <si>
    <t>793771756</t>
  </si>
  <si>
    <t>Q127 A5 Z33 1980</t>
  </si>
  <si>
    <t>0                      Q  0127000A  5                  Z  33          1980</t>
  </si>
  <si>
    <t>Science and science policy in the Arab world / A.B. Zahlan.</t>
  </si>
  <si>
    <t>Zahlan, A. B. (Antoine Benjamin), 1928-</t>
  </si>
  <si>
    <t>New York : St. Martin's Press, 1980.</t>
  </si>
  <si>
    <t>2009-12-18</t>
  </si>
  <si>
    <t>2015-08-14</t>
  </si>
  <si>
    <t>140408784:eng</t>
  </si>
  <si>
    <t>5830046</t>
  </si>
  <si>
    <t>ocm05830046</t>
  </si>
  <si>
    <t>3000340772D</t>
  </si>
  <si>
    <t>9780312702328</t>
  </si>
  <si>
    <t>792457152</t>
  </si>
  <si>
    <t>Q127 C2 C3x</t>
  </si>
  <si>
    <t>0                      Q  0127000C  2                  C  3x</t>
  </si>
  <si>
    <t>A science policy for Canada; report of the Senate Special Committee on Science Policy. Chairman: Maurice Lamontagne.</t>
  </si>
  <si>
    <t>Canada. Parliament. Senate. Special Committee on Science Policy.</t>
  </si>
  <si>
    <t>[Ottawa], [Queen's Printer for Canada], [1970-77]</t>
  </si>
  <si>
    <t>2517310620:eng</t>
  </si>
  <si>
    <t>540241</t>
  </si>
  <si>
    <t>ocm00540241</t>
  </si>
  <si>
    <t>3100381671H</t>
  </si>
  <si>
    <t>791408231</t>
  </si>
  <si>
    <t>2011-11-04</t>
  </si>
  <si>
    <t>3000854596K</t>
  </si>
  <si>
    <t>791408232</t>
  </si>
  <si>
    <t>31003816759</t>
  </si>
  <si>
    <t>791408229</t>
  </si>
  <si>
    <t>3100381670J</t>
  </si>
  <si>
    <t>791408230</t>
  </si>
  <si>
    <t>Q127 C2 L36 2018</t>
  </si>
  <si>
    <t>0                      Q  0127000C  2                  L  36          2018</t>
  </si>
  <si>
    <t>A lantern on the bow : a history of the Science Council of Canada and its contributions to the science and innovation policy debate / edited by Jeff Kinder and Paul Dufour.</t>
  </si>
  <si>
    <t>Ottawa, Canada : Invenire, 2018.</t>
  </si>
  <si>
    <t>2019-03-22</t>
  </si>
  <si>
    <t>8220412240:eng</t>
  </si>
  <si>
    <t>1080210439</t>
  </si>
  <si>
    <t>on1080210439</t>
  </si>
  <si>
    <t>3103867555G</t>
  </si>
  <si>
    <t>9781927465424</t>
  </si>
  <si>
    <t>795068440</t>
  </si>
  <si>
    <t>Q127 C2 L43</t>
  </si>
  <si>
    <t>0                      Q  0127000C  2                  L  43</t>
  </si>
  <si>
    <t>A curious field-book; science &amp; society in Canadian history, edited by Trevor H. Levere and Richard A. Jarrell.</t>
  </si>
  <si>
    <t>Levere, Trevor Harvey, compiler.</t>
  </si>
  <si>
    <t>Toronto, Oxford University Press, 1974.</t>
  </si>
  <si>
    <t>2018-04-27</t>
  </si>
  <si>
    <t>374528993:eng</t>
  </si>
  <si>
    <t>1056336</t>
  </si>
  <si>
    <t>ocm01056336</t>
  </si>
  <si>
    <t>31028028382</t>
  </si>
  <si>
    <t>9780195402216</t>
  </si>
  <si>
    <t>791535377</t>
  </si>
  <si>
    <t>Q127 C2 R57 2000</t>
  </si>
  <si>
    <t>0                      Q  0127000C  2                  R  57          2000</t>
  </si>
  <si>
    <t>Risky business : Canada's changing science-based policy and regulatory regime / G. Bruce Doern and Ted Reed, editors.</t>
  </si>
  <si>
    <t>Toronto ; Buffalo : University of Toronto Press, ©2000.</t>
  </si>
  <si>
    <t>Studies in comparative political economy and public policy ; 10</t>
  </si>
  <si>
    <t>2009-05-10</t>
  </si>
  <si>
    <t>854411156:eng</t>
  </si>
  <si>
    <t>43710636</t>
  </si>
  <si>
    <t>ocm43710636</t>
  </si>
  <si>
    <t>3102050956T</t>
  </si>
  <si>
    <t>9780802044815</t>
  </si>
  <si>
    <t>793633298</t>
  </si>
  <si>
    <t>3102079637P</t>
  </si>
  <si>
    <t>793633297</t>
  </si>
  <si>
    <t>Q127 C2 R6</t>
  </si>
  <si>
    <t>0                      Q  0127000C  2                  R  6</t>
  </si>
  <si>
    <t>Pioneers of Canadian science : symposium presented to the Royal Society of Canada in 1964 : Les pionniers de la science canadienne : colloque présenté à la Société royale du Canada en 1964 / edited by G.F.G. Stanley.</t>
  </si>
  <si>
    <t>Royal Society of Canada.</t>
  </si>
  <si>
    <t>[Toronto] : Published for the Society by University of Toronto Press, 1966.</t>
  </si>
  <si>
    <t>Its Studia varia series ; 9</t>
  </si>
  <si>
    <t>38398815:eng</t>
  </si>
  <si>
    <t>187440349</t>
  </si>
  <si>
    <t>ocn187440349</t>
  </si>
  <si>
    <t>3000496857C</t>
  </si>
  <si>
    <t>794294305</t>
  </si>
  <si>
    <t>Q127 C3 Z44 1987</t>
  </si>
  <si>
    <t>0                      Q  0127000C  3                  Z  44          1987</t>
  </si>
  <si>
    <t>Inventing Canada : early Victorian science and the idea of a transcontinental nation / Suzanne Zeller.</t>
  </si>
  <si>
    <t>Zeller, Suzanne Elizabeth, 1952-</t>
  </si>
  <si>
    <t>Toronto ; Buffalo : University of Toronto Press, ©1987.</t>
  </si>
  <si>
    <t>196507535:eng</t>
  </si>
  <si>
    <t>18134197</t>
  </si>
  <si>
    <t>ocm18134197</t>
  </si>
  <si>
    <t>3102629645H</t>
  </si>
  <si>
    <t>9780802026446</t>
  </si>
  <si>
    <t>793014847</t>
  </si>
  <si>
    <t>Q127 C5 A74 1983</t>
  </si>
  <si>
    <t>0                      Q  0127000C  5                  A  74          1983</t>
  </si>
  <si>
    <t>Ancient China's technology and science / compiled by the Institute of the History of Natural Sciences, Chinese Academy of Sciences.</t>
  </si>
  <si>
    <t>Beijing : Foreign Languages Press : Distributed by China Publications Centre, 1983.</t>
  </si>
  <si>
    <t>China knowledge series</t>
  </si>
  <si>
    <t>2019-11-26</t>
  </si>
  <si>
    <t>3570695:eng</t>
  </si>
  <si>
    <t>10030929</t>
  </si>
  <si>
    <t>ocm10030929</t>
  </si>
  <si>
    <t>3103004606A</t>
  </si>
  <si>
    <t>9780835110013</t>
  </si>
  <si>
    <t>792705939</t>
  </si>
  <si>
    <t>Q127 C5 B63 1991</t>
  </si>
  <si>
    <t>0                      Q  0127000C  5                  B  63          1991</t>
  </si>
  <si>
    <t>Chinese thought, society, and science : the intellectual and social background of science and technology in pre-modern China / Derk Bodde.</t>
  </si>
  <si>
    <t>Bodde, Derk, 1909-2003.</t>
  </si>
  <si>
    <t>Honolulu : University of Hawaii Press, ©1991.</t>
  </si>
  <si>
    <t>2019-11-21</t>
  </si>
  <si>
    <t>437090231:eng</t>
  </si>
  <si>
    <t>23015713</t>
  </si>
  <si>
    <t>ocm23015713</t>
  </si>
  <si>
    <t>31030046422</t>
  </si>
  <si>
    <t>9780824813345</t>
  </si>
  <si>
    <t>793159427</t>
  </si>
  <si>
    <t>2019-11-14</t>
  </si>
  <si>
    <t>2012-04-03</t>
  </si>
  <si>
    <t>- Redpath Basement - Chinese Japanese Korean Collection - Regular Loan</t>
  </si>
  <si>
    <t>Q127 C5 C572 1998 v. 21</t>
  </si>
  <si>
    <t>0                      Q  0127000C  5                  C  572         1998                  v. 21</t>
  </si>
  <si>
    <t>Zhongguo ke xue ji shu shi. Zao zhi yu yin shua juan / Lu Jiaxi zong zhu bian ; Pan Jixing zhu.</t>
  </si>
  <si>
    <t>v. 21*</t>
  </si>
  <si>
    <t>Pan, Jixing.</t>
  </si>
  <si>
    <t>Beijing : Ke xue chu ban she : Xin hua shu dian Beijing fa xing suo fa xing, 1998.</t>
  </si>
  <si>
    <t>2015-05-01</t>
  </si>
  <si>
    <t>2869342204:chi</t>
  </si>
  <si>
    <t>41582822</t>
  </si>
  <si>
    <t>ocm41582822</t>
  </si>
  <si>
    <t>3102004265T</t>
  </si>
  <si>
    <t>9787030061645</t>
  </si>
  <si>
    <t>793594660</t>
  </si>
  <si>
    <t>Q127 C5 C572 1998 v.23</t>
  </si>
  <si>
    <t>0                      Q  0127000C  5                  C  572         1998                  v.23</t>
  </si>
  <si>
    <t>Zhongguo ke xue ji shu shi. Jun shi ji shu juan / Lu Jiaxi zong zhu bian ; Wang Zhaochun zhu.</t>
  </si>
  <si>
    <t>v.23*</t>
  </si>
  <si>
    <t>Wang, Zhaochun.</t>
  </si>
  <si>
    <t>2019-02-15</t>
  </si>
  <si>
    <t>1810677361:chi</t>
  </si>
  <si>
    <t>46855696</t>
  </si>
  <si>
    <t>ocm46855696</t>
  </si>
  <si>
    <t>3102802302N</t>
  </si>
  <si>
    <t>9787030060303</t>
  </si>
  <si>
    <t>793693059</t>
  </si>
  <si>
    <t>Q127 C5 C572 1998 v.8</t>
  </si>
  <si>
    <t>0                      Q  0127000C  5                  C  572         1998                  v.8</t>
  </si>
  <si>
    <t>Zhongguo ke xue ji shu shi. Hua xue juan / Lu Jiaxi zong zhu bian ; Zhao Kuanghua, Zhou Jiahua zhu.</t>
  </si>
  <si>
    <t>v.8*</t>
  </si>
  <si>
    <t>Zhao, Kuanghua.</t>
  </si>
  <si>
    <t>3373106758:chi</t>
  </si>
  <si>
    <t>46855737</t>
  </si>
  <si>
    <t>ocm46855737</t>
  </si>
  <si>
    <t>3102001314K</t>
  </si>
  <si>
    <t>9787030061591</t>
  </si>
  <si>
    <t>793693060</t>
  </si>
  <si>
    <t>Q127 C5 E38 2005</t>
  </si>
  <si>
    <t>0                      Q  0127000C  5                  E  38          2005</t>
  </si>
  <si>
    <t>On their own terms : science in China, 1550-1900 / Benjamin A. Elman.</t>
  </si>
  <si>
    <t>Elman, Benjamin A., 1946-</t>
  </si>
  <si>
    <t>Cambridge, Mass. : Harvard University Press, 2005.</t>
  </si>
  <si>
    <t>2012-09-22</t>
  </si>
  <si>
    <t>2015-08-31</t>
  </si>
  <si>
    <t>803459157:eng</t>
  </si>
  <si>
    <t>56614356</t>
  </si>
  <si>
    <t>ocm56614356</t>
  </si>
  <si>
    <t>31024985333</t>
  </si>
  <si>
    <t>9780674016859</t>
  </si>
  <si>
    <t>793897057</t>
  </si>
  <si>
    <t>Q127 C5 H627 1985</t>
  </si>
  <si>
    <t>0                      Q  0127000C  5                  H  627         1985</t>
  </si>
  <si>
    <t>Li, qi, and shu : an introduction to science and civilization in China / Ho Peng Yoke.</t>
  </si>
  <si>
    <t>Ho, Peng Yoke, 1926-</t>
  </si>
  <si>
    <t>[Hong Kong] : Hong Kong University Press, ©1985.</t>
  </si>
  <si>
    <t>7603238:eng</t>
  </si>
  <si>
    <t>13335180</t>
  </si>
  <si>
    <t>ocm13335180</t>
  </si>
  <si>
    <t>31030046442</t>
  </si>
  <si>
    <t>9789622091191</t>
  </si>
  <si>
    <t>792849242</t>
  </si>
  <si>
    <t>Q127 C5 N46 1981</t>
  </si>
  <si>
    <t>0                      Q  0127000C  5                  N  46          1981</t>
  </si>
  <si>
    <t>Science in traditional China : a comparative perspective / Joseph Needham.</t>
  </si>
  <si>
    <t>Cambridge, Mass. : Harvard University Press, 1981.</t>
  </si>
  <si>
    <t>57770678:eng</t>
  </si>
  <si>
    <t>7737781</t>
  </si>
  <si>
    <t>ocm07737781</t>
  </si>
  <si>
    <t>3103025367U</t>
  </si>
  <si>
    <t>9780674794382</t>
  </si>
  <si>
    <t>792576869</t>
  </si>
  <si>
    <t>Q127 C5 S333 1989</t>
  </si>
  <si>
    <t>0                      Q  0127000C  5                  S  333         1989</t>
  </si>
  <si>
    <t>Science and technology in post-Mao China / edited by Denis Fred Simon and Merle Goldman.</t>
  </si>
  <si>
    <t>Cambridge, Mass. : Council on East Asian Studies, Harvard University : Distributed by Harvard University Press, 1989.</t>
  </si>
  <si>
    <t>Harvard contemporary China series ; 5</t>
  </si>
  <si>
    <t>2015-07-02</t>
  </si>
  <si>
    <t>349935859:eng</t>
  </si>
  <si>
    <t>18589443</t>
  </si>
  <si>
    <t>ocm18589443</t>
  </si>
  <si>
    <t>3102997176I</t>
  </si>
  <si>
    <t>9780674794757</t>
  </si>
  <si>
    <t>793030053</t>
  </si>
  <si>
    <t>Q127 C5 S58 1995</t>
  </si>
  <si>
    <t>0                      Q  0127000C  5                  S  58          1995</t>
  </si>
  <si>
    <t>Science in ancient China : researches and reflections / Nathan Sivin.</t>
  </si>
  <si>
    <t>Sivin, Nathan.</t>
  </si>
  <si>
    <t>Aldershot, Great Britain ; Brookfield, Vt., USA : Variorum, 1995.</t>
  </si>
  <si>
    <t>Collected studies series ; CS506</t>
  </si>
  <si>
    <t>3769557385:eng</t>
  </si>
  <si>
    <t>32738303</t>
  </si>
  <si>
    <t>ocm32738303</t>
  </si>
  <si>
    <t>3103004784S</t>
  </si>
  <si>
    <t>9780860784920</t>
  </si>
  <si>
    <t>793392885</t>
  </si>
  <si>
    <t>Q127.C5 S814 2016</t>
  </si>
  <si>
    <t>0                      Q  0127000C  5                  S  814         2016</t>
  </si>
  <si>
    <t>Tian gong kai wu = Guide des procédés de fabrication / (ming)Song Yingxing zhu ; Pan Jixing jin yi ; Sa bi na De ba er bi a fa yi.</t>
  </si>
  <si>
    <t>Song, Yingxing, 1587- author.</t>
  </si>
  <si>
    <t>Beijing : Wai wen chu ban she, 2016.</t>
  </si>
  <si>
    <t>Da Zhonghua wen ku = Bibliotheque des classiques Chinois</t>
  </si>
  <si>
    <t>2019-03-25</t>
  </si>
  <si>
    <t>8970769404:chi</t>
  </si>
  <si>
    <t>1089759671</t>
  </si>
  <si>
    <t>on1089759671</t>
  </si>
  <si>
    <t>31038617624</t>
  </si>
  <si>
    <t>9787119102849</t>
  </si>
  <si>
    <t>795079584</t>
  </si>
  <si>
    <t>3103861767V</t>
  </si>
  <si>
    <t>795079583</t>
  </si>
  <si>
    <t>Q127.C5 S816 2016</t>
  </si>
  <si>
    <t>0                      Q  0127000C  5                  S  816         2016</t>
  </si>
  <si>
    <t>Tian gong kai wu / Song Yingxing zhu ; Pan Jixing jin yi ; Sounei Qing Ri yi = Tenkō kaibutsu / Sō Ōsei cho ; Han Kissei gendaigo yaku ; Yabuuchi Kiyoshi yakuchū.</t>
  </si>
  <si>
    <t>Song, Yingxing, 1587-</t>
  </si>
  <si>
    <t>Da Zhonghua wen ku = Daichūka bunko</t>
  </si>
  <si>
    <t>2019-04-03</t>
  </si>
  <si>
    <t>1576355:chi</t>
  </si>
  <si>
    <t>1018482793</t>
  </si>
  <si>
    <t>on1018482793</t>
  </si>
  <si>
    <t>31038619252</t>
  </si>
  <si>
    <t>9787119102856</t>
  </si>
  <si>
    <t>795049056</t>
  </si>
  <si>
    <t>31038619309</t>
  </si>
  <si>
    <t>795049057</t>
  </si>
  <si>
    <t>Q127 C5 S825 2011</t>
  </si>
  <si>
    <t>0                      Q  0127000C  5                  S  825         2011</t>
  </si>
  <si>
    <t>The crafting of the 10,000 things : knowledge and technology in Seventeenth-Century China / Dagmar Schäfer.</t>
  </si>
  <si>
    <t>Schäfer, Dagmar.</t>
  </si>
  <si>
    <t>Chicago : The University of Chicago Press, 2011.</t>
  </si>
  <si>
    <t>2019-10-09</t>
  </si>
  <si>
    <t>887032044:eng</t>
  </si>
  <si>
    <t>636567536</t>
  </si>
  <si>
    <t>ocn636567536</t>
  </si>
  <si>
    <t>3103345469$</t>
  </si>
  <si>
    <t>9780226735849</t>
  </si>
  <si>
    <t>794826034</t>
  </si>
  <si>
    <t>Q127 C5 Z4665 2013</t>
  </si>
  <si>
    <t>0                      Q  0127000C  5                  Z  4665        2013</t>
  </si>
  <si>
    <t>Zhongguo chuan tong ke ji wen hua yan jiu / Fang Xiaoyang, Chen Tianjia bian.</t>
  </si>
  <si>
    <t>Beijing : Ke xue chu ban she, 2013.</t>
  </si>
  <si>
    <t>Di yi ban.</t>
  </si>
  <si>
    <t>Guo ke da wen cong</t>
  </si>
  <si>
    <t>3862526555:chi</t>
  </si>
  <si>
    <t>849097494</t>
  </si>
  <si>
    <t>ocn849097494</t>
  </si>
  <si>
    <t>31035579146</t>
  </si>
  <si>
    <t>9787030369987</t>
  </si>
  <si>
    <t>794950038</t>
  </si>
  <si>
    <t>Q127 C5 Z576 2017</t>
  </si>
  <si>
    <t>0                      Q  0127000C  5                  Z  576         2017</t>
  </si>
  <si>
    <t>Zhongguo zhan shi shou du dang an wen xian. Zhan shi ke ji = Zhongguo zhanshi shoudu dang'an wenxian. Zhanshi keji / Zeng Yan, Wang Zhikun, Yuan Jiahong zhu bian.</t>
  </si>
  <si>
    <t>Chongqing : Xi nan shi fan da xue chu ban she, 2017.</t>
  </si>
  <si>
    <t>4880998782:chi</t>
  </si>
  <si>
    <t>1029823010</t>
  </si>
  <si>
    <t>on1029823010</t>
  </si>
  <si>
    <t>3103862309J</t>
  </si>
  <si>
    <t>9787562186847</t>
  </si>
  <si>
    <t>795054377</t>
  </si>
  <si>
    <t>3103862313S</t>
  </si>
  <si>
    <t>795054376</t>
  </si>
  <si>
    <t>Q127 E26 S26</t>
  </si>
  <si>
    <t>0                      Q  0127000E  26                 S  26</t>
  </si>
  <si>
    <t>Science and technology in East Asia / Nathan Sivin, editor.</t>
  </si>
  <si>
    <t>New York : Science History Publications, 1977.</t>
  </si>
  <si>
    <t>History of science : selections from ISIS</t>
  </si>
  <si>
    <t>2009-04-13</t>
  </si>
  <si>
    <t>6724257:eng</t>
  </si>
  <si>
    <t>3003765</t>
  </si>
  <si>
    <t>ocm03003765</t>
  </si>
  <si>
    <t>3103004609A</t>
  </si>
  <si>
    <t>9780882021621</t>
  </si>
  <si>
    <t>792205325</t>
  </si>
  <si>
    <t>Q127 E8 B87 2001</t>
  </si>
  <si>
    <t>0                      Q  0127000E  8                  B  87          2001</t>
  </si>
  <si>
    <t>The scientific revolution : an encyclopedia / William E. Burns.</t>
  </si>
  <si>
    <t>Burns, William E., 1959-</t>
  </si>
  <si>
    <t>Santa Barbara, Calif. : ABC-CLIO, ©2001.</t>
  </si>
  <si>
    <t>2016-10-16</t>
  </si>
  <si>
    <t>800115223:eng</t>
  </si>
  <si>
    <t>47081226</t>
  </si>
  <si>
    <t>ocm47081226</t>
  </si>
  <si>
    <t>3102208820G</t>
  </si>
  <si>
    <t>9780874368758</t>
  </si>
  <si>
    <t>793697897</t>
  </si>
  <si>
    <t>Q127 E8 D43 1995</t>
  </si>
  <si>
    <t>0                      Q  0127000E  8                  D  43          1995</t>
  </si>
  <si>
    <t>Discipline &amp; experience : the mathematical way in the scientific revolution / Peter Dear.</t>
  </si>
  <si>
    <t>Chicago : University of Chicago Press, 1995.</t>
  </si>
  <si>
    <t>Science and its conceptual foundations</t>
  </si>
  <si>
    <t>2017-01-26</t>
  </si>
  <si>
    <t>806942599:eng</t>
  </si>
  <si>
    <t>32236425</t>
  </si>
  <si>
    <t>ocm32236425</t>
  </si>
  <si>
    <t>3101518552A</t>
  </si>
  <si>
    <t>9780226139432</t>
  </si>
  <si>
    <t>793378732</t>
  </si>
  <si>
    <t>Q127 E8 E45 1975</t>
  </si>
  <si>
    <t>0                      Q  0127000E  8                  E  45          1975</t>
  </si>
  <si>
    <t>The emergence of science in Western Europe / edited by Maurice Crosland.</t>
  </si>
  <si>
    <t>London : Macmillan, 1975.</t>
  </si>
  <si>
    <t>54092586:eng</t>
  </si>
  <si>
    <t>1887770</t>
  </si>
  <si>
    <t>ocm01887770</t>
  </si>
  <si>
    <t>3000422808D</t>
  </si>
  <si>
    <t>9780333182178</t>
  </si>
  <si>
    <t>792006253</t>
  </si>
  <si>
    <t>Q127 E8 G38 2016</t>
  </si>
  <si>
    <t>0                      Q  0127000E  8                  G  38          2016</t>
  </si>
  <si>
    <t>The natural and the human : science and the shaping of modernity, 1739-1841 / Stephen Gaukroger.</t>
  </si>
  <si>
    <t>Gaukroger, Stephen, author.</t>
  </si>
  <si>
    <t>Oxford : Oxford University Press, 2016.</t>
  </si>
  <si>
    <t>2018-02-12</t>
  </si>
  <si>
    <t>2831070889:eng</t>
  </si>
  <si>
    <t>917362552</t>
  </si>
  <si>
    <t>ocn917362552</t>
  </si>
  <si>
    <t>31037398973</t>
  </si>
  <si>
    <t>9780198757634</t>
  </si>
  <si>
    <t>795000874</t>
  </si>
  <si>
    <t>Q127 E8 S356 1999</t>
  </si>
  <si>
    <t>0                      Q  0127000E  8                  S  356         1999</t>
  </si>
  <si>
    <t>The sciences in enlightened Europe / edited by William Clark, Jan Golinski, and Simon Schaffer.</t>
  </si>
  <si>
    <t>Chicago : University of Chicago Press, 1999.</t>
  </si>
  <si>
    <t>2018-11-22</t>
  </si>
  <si>
    <t>349955932:eng</t>
  </si>
  <si>
    <t>40510462</t>
  </si>
  <si>
    <t>ocm40510462</t>
  </si>
  <si>
    <t>3102814733T</t>
  </si>
  <si>
    <t>9780226109398</t>
  </si>
  <si>
    <t>793568724</t>
  </si>
  <si>
    <t>2018-10-10</t>
  </si>
  <si>
    <t>3103255385$</t>
  </si>
  <si>
    <t>793568725</t>
  </si>
  <si>
    <t>Q127 E85 E97 2010</t>
  </si>
  <si>
    <t>0                      Q  0127000E  85                 E  97          2010</t>
  </si>
  <si>
    <t>Experimentelle Wissenschaftsgeschichte / Olaf Breidbach ... (Hrsg.).</t>
  </si>
  <si>
    <t>München : Fink, ©2010.</t>
  </si>
  <si>
    <t>Laboratorium Aufklärung ; Bd. 3</t>
  </si>
  <si>
    <t>498428613:ger</t>
  </si>
  <si>
    <t>660034250</t>
  </si>
  <si>
    <t>ocn660034250</t>
  </si>
  <si>
    <t>3103303421Z</t>
  </si>
  <si>
    <t>9783770549955</t>
  </si>
  <si>
    <t>794836601</t>
  </si>
  <si>
    <t>Q127 E85 S26 2013</t>
  </si>
  <si>
    <t>0                      Q  0127000E  85                 S  26          2013</t>
  </si>
  <si>
    <t>Science in the age of Baroque / Ofer Gal, Raz Chen-Morris, editors.</t>
  </si>
  <si>
    <t>Dordrecht ; New York : Springer, ©2013.</t>
  </si>
  <si>
    <t>Archives internationales d'histoire des idées = International archives of the history of ideas, 0066-6610 ; 208</t>
  </si>
  <si>
    <t>2017-04-13</t>
  </si>
  <si>
    <t>1190256499:eng</t>
  </si>
  <si>
    <t>793570649</t>
  </si>
  <si>
    <t>ocn793570649</t>
  </si>
  <si>
    <t>3103506127K</t>
  </si>
  <si>
    <t>9789400748064</t>
  </si>
  <si>
    <t>794918363</t>
  </si>
  <si>
    <t>Q127 F8 A35 2014</t>
  </si>
  <si>
    <t>0                      Q  0127000F  8                  A  35          2014</t>
  </si>
  <si>
    <t>The idea of the sciences in the French Enlightenment : a reinterpretation / G. Matthew Adkins.</t>
  </si>
  <si>
    <t>Adkins, G. Matthew (Gregory Matthew), 1971-</t>
  </si>
  <si>
    <t>Newark : University of Delaware Press ; Lanham : Roman &amp; Littlefield, [2014]</t>
  </si>
  <si>
    <t>2018-06-19</t>
  </si>
  <si>
    <t>1413462788:eng</t>
  </si>
  <si>
    <t>852833494</t>
  </si>
  <si>
    <t>ocn852833494</t>
  </si>
  <si>
    <t>31035306774</t>
  </si>
  <si>
    <t>9781611494747</t>
  </si>
  <si>
    <t>794951692</t>
  </si>
  <si>
    <t>Q127 F8 A78 2005</t>
  </si>
  <si>
    <t>0                      Q  0127000F  8                  A  78          2005</t>
  </si>
  <si>
    <t>L'art d'écrire la science : anthologie de textes savants du XVIIIe siècle français.</t>
  </si>
  <si>
    <t>[Sainte-Foy, Québec] : Presses de l'Université Laval, ©2005.</t>
  </si>
  <si>
    <t>2018-01-25</t>
  </si>
  <si>
    <t>892696629:fre</t>
  </si>
  <si>
    <t>62781227</t>
  </si>
  <si>
    <t>ocm62781227</t>
  </si>
  <si>
    <t>31025426454</t>
  </si>
  <si>
    <t>9782763782089</t>
  </si>
  <si>
    <t>794112588</t>
  </si>
  <si>
    <t>Q127 F8 D8</t>
  </si>
  <si>
    <t>0                      Q  0127000F  8                  D  8</t>
  </si>
  <si>
    <t>Les grandes figures de la science française. Préf. de Louis de Broglie.</t>
  </si>
  <si>
    <t>Durtain, Luc, 1881-1959.</t>
  </si>
  <si>
    <t>[Paris] Hachette [1952]</t>
  </si>
  <si>
    <t>2017-09-14</t>
  </si>
  <si>
    <t>365830386:fre</t>
  </si>
  <si>
    <t>11187319</t>
  </si>
  <si>
    <t>ocm11187319</t>
  </si>
  <si>
    <t>3000314958Y</t>
  </si>
  <si>
    <t>792762196</t>
  </si>
  <si>
    <t>Q127 F8 F33 2015</t>
  </si>
  <si>
    <t>0                      Q  0127000F  8                  F  33          2015</t>
  </si>
  <si>
    <t>La fabrique de la modernité scientifique : discours et récits du progrès sous l'Ancien Régime / edité par Frédéric Charbonneau.</t>
  </si>
  <si>
    <t>Oxford, UK : Voltaire Foundation, [2015]</t>
  </si>
  <si>
    <t>Oxford University studies in the Enlightenment ; 2015:03</t>
  </si>
  <si>
    <t>2495302832:fre</t>
  </si>
  <si>
    <t>899702818</t>
  </si>
  <si>
    <t>ocn899702818</t>
  </si>
  <si>
    <t>31036109490</t>
  </si>
  <si>
    <t>9780729411615</t>
  </si>
  <si>
    <t>794986870</t>
  </si>
  <si>
    <t>Q127 F8 F54 2007</t>
  </si>
  <si>
    <t>0                      Q  0127000F  8                  F  54          2007</t>
  </si>
  <si>
    <t>Fields of expertise : a comparative history of expert procedures in Paris and London, 1600 to present / edited by Christelle Rabier.</t>
  </si>
  <si>
    <t>Newcastle, UK : Cambridge Scholars Pub., 2007.</t>
  </si>
  <si>
    <t>2019-04-09</t>
  </si>
  <si>
    <t>891446642:eng</t>
  </si>
  <si>
    <t>170954876</t>
  </si>
  <si>
    <t>ocn170954876</t>
  </si>
  <si>
    <t>3102881343G</t>
  </si>
  <si>
    <t>9781847183651</t>
  </si>
  <si>
    <t>794263726</t>
  </si>
  <si>
    <t>Q127 F8 F694 2012</t>
  </si>
  <si>
    <t>0                      Q  0127000F  8                  F  694         2012</t>
  </si>
  <si>
    <t>The savant and the state : science and cultural politics in Nineteenth-Century France / Robert Fox.</t>
  </si>
  <si>
    <t>Fox, Robert, 1938-</t>
  </si>
  <si>
    <t>Baltimore : Johns Hopkins University Press, ©2012.</t>
  </si>
  <si>
    <t>The Johns Hopkins University studies in historical and political science ; 130th ser., 3</t>
  </si>
  <si>
    <t>1071047098:eng</t>
  </si>
  <si>
    <t>771425011</t>
  </si>
  <si>
    <t>ocn771425011</t>
  </si>
  <si>
    <t>3103402604V</t>
  </si>
  <si>
    <t>9781421405223</t>
  </si>
  <si>
    <t>794904164</t>
  </si>
  <si>
    <t>Q127 F8 G53</t>
  </si>
  <si>
    <t>0                      Q  0127000F  8                  G  53</t>
  </si>
  <si>
    <t>Science and polity in France at the end of the old regime / Charles Coulston Gillispie.</t>
  </si>
  <si>
    <t>Princeton, N.J. : Princeton University Press, 1980.</t>
  </si>
  <si>
    <t>1069175:eng</t>
  </si>
  <si>
    <t>6602758</t>
  </si>
  <si>
    <t>ocm06602758</t>
  </si>
  <si>
    <t>3000316985L</t>
  </si>
  <si>
    <t>9780691082332</t>
  </si>
  <si>
    <t>792511186</t>
  </si>
  <si>
    <t>Q127 F8 G54</t>
  </si>
  <si>
    <t>0                      Q  0127000F  8                  G  54</t>
  </si>
  <si>
    <t>France in the age of the scientific state.</t>
  </si>
  <si>
    <t>Gilpin, Robert.</t>
  </si>
  <si>
    <t>Princeton, N.J., Princeton University Press, 1968.</t>
  </si>
  <si>
    <t>2018-12-05</t>
  </si>
  <si>
    <t>1343742:eng</t>
  </si>
  <si>
    <t>301279</t>
  </si>
  <si>
    <t>ocm00301279</t>
  </si>
  <si>
    <t>31028014916</t>
  </si>
  <si>
    <t>9780691056197</t>
  </si>
  <si>
    <t>791329288</t>
  </si>
  <si>
    <t>Q127 F8 L96 2006</t>
  </si>
  <si>
    <t>0                      Q  0127000F  8                  L  96          2006</t>
  </si>
  <si>
    <t>Popular science and public opinion in eighteenth-century France / Michael R. Lynn.</t>
  </si>
  <si>
    <t>Lynn, Michael R.</t>
  </si>
  <si>
    <t>Manchester ; New York : Manchester University Press, [2006]</t>
  </si>
  <si>
    <t>Studies in early modern European history</t>
  </si>
  <si>
    <t>49495395:eng</t>
  </si>
  <si>
    <t>65765552</t>
  </si>
  <si>
    <t>ocm65765552</t>
  </si>
  <si>
    <t>3102635567R</t>
  </si>
  <si>
    <t>9780719073731</t>
  </si>
  <si>
    <t>794136655</t>
  </si>
  <si>
    <t>Q127 F8 O78 1994</t>
  </si>
  <si>
    <t>0                      Q  0127000F  8                  O  78          1994</t>
  </si>
  <si>
    <t>Nature, the exotic, and the science of French colonialism / Michael A. Osborne.</t>
  </si>
  <si>
    <t>Osborne, Michael A.</t>
  </si>
  <si>
    <t>Bloomington : Indiana University Press, 1994.</t>
  </si>
  <si>
    <t>Science, technology, and society</t>
  </si>
  <si>
    <t>2018-11-13</t>
  </si>
  <si>
    <t>30753475:eng</t>
  </si>
  <si>
    <t>28379173</t>
  </si>
  <si>
    <t>ocm28379173</t>
  </si>
  <si>
    <t>3103024123B</t>
  </si>
  <si>
    <t>9780253342669</t>
  </si>
  <si>
    <t>793286816</t>
  </si>
  <si>
    <t>Q127 F8 P37</t>
  </si>
  <si>
    <t>0                      Q  0127000F  8                  P  37</t>
  </si>
  <si>
    <t>The sorcerer's apprentice; the French scientist's image of German science, 1840-1919 [by] Harry W. Paul.</t>
  </si>
  <si>
    <t>Paul, Harry W.</t>
  </si>
  <si>
    <t>Gainesville, University of Florida Press, 1972.</t>
  </si>
  <si>
    <t>University of Florida social sciences monograph no. 44</t>
  </si>
  <si>
    <t>2019-01-02</t>
  </si>
  <si>
    <t>293274445:eng</t>
  </si>
  <si>
    <t>315403</t>
  </si>
  <si>
    <t>ocm00315403</t>
  </si>
  <si>
    <t>30003361749</t>
  </si>
  <si>
    <t>9780813003474</t>
  </si>
  <si>
    <t>791334229</t>
  </si>
  <si>
    <t>Q127 F8 P94 1993</t>
  </si>
  <si>
    <t>0                      Q  0127000F  8                  P  94          1993</t>
  </si>
  <si>
    <t>Civilizing mission : exact sciences and French overseas expansion, 1830-1940 / Lewis Pyenson.</t>
  </si>
  <si>
    <t>Pyenson, Lewis.</t>
  </si>
  <si>
    <t>Baltimore : Johns Hopkins University Press, ©1993.</t>
  </si>
  <si>
    <t>365225130:eng</t>
  </si>
  <si>
    <t>26096216</t>
  </si>
  <si>
    <t>ocm26096216</t>
  </si>
  <si>
    <t>3101222439E</t>
  </si>
  <si>
    <t>9780801844218</t>
  </si>
  <si>
    <t>793237267</t>
  </si>
  <si>
    <t>Q127 F8 R57 2002</t>
  </si>
  <si>
    <t>0                      Q  0127000F  8                  R  57          2002</t>
  </si>
  <si>
    <t>Science in the age of sensibility : the sentimental empiricists of the French enlightenment / Jessica Riskin.</t>
  </si>
  <si>
    <t>Riskin, Jessica.</t>
  </si>
  <si>
    <t>Chicago : University of Chicago Press, 2002.</t>
  </si>
  <si>
    <t>793935923:eng</t>
  </si>
  <si>
    <t>49610974</t>
  </si>
  <si>
    <t>ocm49610974</t>
  </si>
  <si>
    <t>31026071699</t>
  </si>
  <si>
    <t>9780226720784</t>
  </si>
  <si>
    <t>793744000</t>
  </si>
  <si>
    <t>2017-02-07</t>
  </si>
  <si>
    <t>31028339749</t>
  </si>
  <si>
    <t>793743999</t>
  </si>
  <si>
    <t>Q127 G3 M475 1998</t>
  </si>
  <si>
    <t>0                      Q  0127000G  3                  M  475         1998</t>
  </si>
  <si>
    <t>Kepler's Tübingen : stimulus to a theological mathematics / Charlotte Methuen.</t>
  </si>
  <si>
    <t>Methuen, Charlotte.</t>
  </si>
  <si>
    <t>Brookfield, VT : Ashgate, 1998.</t>
  </si>
  <si>
    <t>St. Andrews studies in Reformation history</t>
  </si>
  <si>
    <t>807267302:eng</t>
  </si>
  <si>
    <t>38573884</t>
  </si>
  <si>
    <t>ocm38573884</t>
  </si>
  <si>
    <t>3102001080J</t>
  </si>
  <si>
    <t>9781859283974</t>
  </si>
  <si>
    <t>793527303</t>
  </si>
  <si>
    <t>Q127 G3 W485 2018</t>
  </si>
  <si>
    <t>0                      Q  0127000G  3                  W  485         2018</t>
  </si>
  <si>
    <t>Aesthetics, industry, and science : Hermann von Helmholtz and the Berlin Physical Society / M. Norton Wise.</t>
  </si>
  <si>
    <t>Wise, M. Norton, author.</t>
  </si>
  <si>
    <t>Chicago : The University of Chicago Press, 2018.</t>
  </si>
  <si>
    <t>4464350690:eng</t>
  </si>
  <si>
    <t>1001340510</t>
  </si>
  <si>
    <t>on1001340510</t>
  </si>
  <si>
    <t>3103704520J</t>
  </si>
  <si>
    <t>9780226531359</t>
  </si>
  <si>
    <t>795040526</t>
  </si>
  <si>
    <t>Q127 G4 C36</t>
  </si>
  <si>
    <t>0                      Q  0127000G  4                  C  36</t>
  </si>
  <si>
    <t>Science in culture : the early Victorian period / Susan Faye Cannon.</t>
  </si>
  <si>
    <t>Cannon, Susan Faye, 1925-1981.</t>
  </si>
  <si>
    <t>Kent, Eng. : Dawson ; New York : Science History Publications, 1978.</t>
  </si>
  <si>
    <t>2007-02-14</t>
  </si>
  <si>
    <t>2015-11-27</t>
  </si>
  <si>
    <t>155854864:eng</t>
  </si>
  <si>
    <t>3517070</t>
  </si>
  <si>
    <t>ocm03517070</t>
  </si>
  <si>
    <t>3102629644H</t>
  </si>
  <si>
    <t>9780882021720</t>
  </si>
  <si>
    <t>792263976</t>
  </si>
  <si>
    <t>Q127 G4 G8 1923</t>
  </si>
  <si>
    <t>0                      Q  0127000G  4                  G  8           1923</t>
  </si>
  <si>
    <t>Early science in Oxford.</t>
  </si>
  <si>
    <t>Gunther, R. T. (Robert Theodore), 1869-1940.</t>
  </si>
  <si>
    <t>Oxford : University Press, 1923-45.</t>
  </si>
  <si>
    <t>1923</t>
  </si>
  <si>
    <t>2013-02-13</t>
  </si>
  <si>
    <t>2018-09-27</t>
  </si>
  <si>
    <t>9738297722:eng</t>
  </si>
  <si>
    <t>61593399</t>
  </si>
  <si>
    <t>ocm61593399</t>
  </si>
  <si>
    <t>3100434832R</t>
  </si>
  <si>
    <t>794032828</t>
  </si>
  <si>
    <t>3100434836J</t>
  </si>
  <si>
    <t>794032831</t>
  </si>
  <si>
    <t>v. 8</t>
  </si>
  <si>
    <t>3100434830V</t>
  </si>
  <si>
    <t>794032826</t>
  </si>
  <si>
    <t>v. 13</t>
  </si>
  <si>
    <t>3100434824Q</t>
  </si>
  <si>
    <t>794032821</t>
  </si>
  <si>
    <t>v. 11</t>
  </si>
  <si>
    <t>3100434822U</t>
  </si>
  <si>
    <t>794032823</t>
  </si>
  <si>
    <t>3100434833P</t>
  </si>
  <si>
    <t>794032829</t>
  </si>
  <si>
    <t>3103388599W</t>
  </si>
  <si>
    <t>794032827</t>
  </si>
  <si>
    <t>2012-10-07</t>
  </si>
  <si>
    <t>3100434837H</t>
  </si>
  <si>
    <t>794032832</t>
  </si>
  <si>
    <t>v. 9</t>
  </si>
  <si>
    <t>3100434820Y</t>
  </si>
  <si>
    <t>794032825</t>
  </si>
  <si>
    <t>v. 14</t>
  </si>
  <si>
    <t>3100434834N</t>
  </si>
  <si>
    <t>794032820</t>
  </si>
  <si>
    <t>v. 10</t>
  </si>
  <si>
    <t>3100434821W</t>
  </si>
  <si>
    <t>794032824</t>
  </si>
  <si>
    <t>3000644477B</t>
  </si>
  <si>
    <t>794032833</t>
  </si>
  <si>
    <t>3100434835L</t>
  </si>
  <si>
    <t>794032830</t>
  </si>
  <si>
    <t>v. 12</t>
  </si>
  <si>
    <t>3100434823S</t>
  </si>
  <si>
    <t>794032822</t>
  </si>
  <si>
    <t>Q127 G4 H34</t>
  </si>
  <si>
    <t>0                      Q  0127000G  4                  H  34</t>
  </si>
  <si>
    <t>A collection of letters illustrative of the progress of science in England from the reign of Queen Elizabeth to that of Charles the second.</t>
  </si>
  <si>
    <t>Halliwell-Phillipps, J. O. (James Orchard), 1820-1889.</t>
  </si>
  <si>
    <t>London, Printed for the Society, 1841.</t>
  </si>
  <si>
    <t>1841</t>
  </si>
  <si>
    <t>Historical Society of Science</t>
  </si>
  <si>
    <t>349427692:eng</t>
  </si>
  <si>
    <t>3144091</t>
  </si>
  <si>
    <t>ocm03144091</t>
  </si>
  <si>
    <t>30006889253</t>
  </si>
  <si>
    <t>792222633</t>
  </si>
  <si>
    <t>Q127 G4 H85</t>
  </si>
  <si>
    <t>0                      Q  0127000G  4                  H  85</t>
  </si>
  <si>
    <t>Science and society in restoration England / Michael Hunter.</t>
  </si>
  <si>
    <t>Hunter, Michael, 1949-</t>
  </si>
  <si>
    <t>Cambridge [Cambridgeshire] ; New York : Cambridge University Press, 1981.</t>
  </si>
  <si>
    <t>2019-11-12</t>
  </si>
  <si>
    <t>506122:eng</t>
  </si>
  <si>
    <t>7377293</t>
  </si>
  <si>
    <t>ocm07377293</t>
  </si>
  <si>
    <t>3000318514D</t>
  </si>
  <si>
    <t>9780521228664</t>
  </si>
  <si>
    <t>792556033</t>
  </si>
  <si>
    <t>Q127 G4 H853 1995</t>
  </si>
  <si>
    <t>0                      Q  0127000G  4                  H  853         1995</t>
  </si>
  <si>
    <t>Science and the shape of orthodoxy : intellectual change in late seventeenth-century Britain / Michael Hunter.</t>
  </si>
  <si>
    <t>Woodbridge, Suffolk, UK ; Rochester, NY, USA : Boydell Press, 1995.</t>
  </si>
  <si>
    <t>33250913:eng</t>
  </si>
  <si>
    <t>31133373</t>
  </si>
  <si>
    <t>ocm31133373</t>
  </si>
  <si>
    <t>3102795826R</t>
  </si>
  <si>
    <t>9780851155944</t>
  </si>
  <si>
    <t>793354125</t>
  </si>
  <si>
    <t>Q127 G4 J6 1965</t>
  </si>
  <si>
    <t>0                      Q  0127000G  4                  J  6           1965</t>
  </si>
  <si>
    <t>Ancients and moderns : a study of the rise of the scientific movement in seventeenth-century England.</t>
  </si>
  <si>
    <t>Jones, Richard Foster, 1886-1965.</t>
  </si>
  <si>
    <t>Berkeley : University of California Press, 1965[c1961]</t>
  </si>
  <si>
    <t>2019-06-04</t>
  </si>
  <si>
    <t>495130:eng</t>
  </si>
  <si>
    <t>56285212</t>
  </si>
  <si>
    <t>ocm56285212</t>
  </si>
  <si>
    <t>3000499732H</t>
  </si>
  <si>
    <t>793890294</t>
  </si>
  <si>
    <t>Q127 G4 M47 1983</t>
  </si>
  <si>
    <t>0                      Q  0127000G  4                  M  47          1983</t>
  </si>
  <si>
    <t>Metropolis and province, science in British culture, 1780-1850 / Ian Inkster and Jack Morrell, editors.</t>
  </si>
  <si>
    <t>Philadelphia : University of Pennsylvania Press, 1983.</t>
  </si>
  <si>
    <t>363826012:eng</t>
  </si>
  <si>
    <t>9575983</t>
  </si>
  <si>
    <t>ocm09575983</t>
  </si>
  <si>
    <t>3101740145V</t>
  </si>
  <si>
    <t>9780812278552</t>
  </si>
  <si>
    <t>792682820</t>
  </si>
  <si>
    <t>Q127 G4 S418 2004</t>
  </si>
  <si>
    <t>0                      Q  0127000G  4                  S  418         2004</t>
  </si>
  <si>
    <t>Science and dissent in England, 1688-1945 / [edited by] Paul Wood.</t>
  </si>
  <si>
    <t>Aldershot, Hampshire, England ; Burlington, VT : Ashgate, ©2004.</t>
  </si>
  <si>
    <t>Science, technology, and culture, 1700-1945</t>
  </si>
  <si>
    <t>2015-12-08</t>
  </si>
  <si>
    <t>56933465:eng</t>
  </si>
  <si>
    <t>52559257</t>
  </si>
  <si>
    <t>ocm52559257</t>
  </si>
  <si>
    <t>3102409060G</t>
  </si>
  <si>
    <t>9780754637189</t>
  </si>
  <si>
    <t>793809717</t>
  </si>
  <si>
    <t>Q127 G4 S44</t>
  </si>
  <si>
    <t>0                      Q  0127000G  4                  S  44</t>
  </si>
  <si>
    <t>Scientific organization and communication [prepared by Colin A. Russell and David C. Goodman.</t>
  </si>
  <si>
    <t>Milton Keynes] Open University Press, 1973.</t>
  </si>
  <si>
    <t>Science and the rise of technology since 1800, block 4</t>
  </si>
  <si>
    <t>2018-11-27</t>
  </si>
  <si>
    <t>1927169:eng</t>
  </si>
  <si>
    <t>1008537</t>
  </si>
  <si>
    <t>ocm01008537</t>
  </si>
  <si>
    <t>31033786595</t>
  </si>
  <si>
    <t>9780335009732</t>
  </si>
  <si>
    <t>791523882</t>
  </si>
  <si>
    <t>Q127 G4 S44 2014</t>
  </si>
  <si>
    <t>0                      Q  0127000G  4                  S  44          2014</t>
  </si>
  <si>
    <t>Visions of science : books and readers at the dawn of the Victorian age / James A. Secord.</t>
  </si>
  <si>
    <t>Secord, James A., author.</t>
  </si>
  <si>
    <t>Oxford, United Kingdom : Oxford University Press, 2014.</t>
  </si>
  <si>
    <t>1761658403:eng</t>
  </si>
  <si>
    <t>868077588</t>
  </si>
  <si>
    <t>ocn868077588</t>
  </si>
  <si>
    <t>3103565522J</t>
  </si>
  <si>
    <t>9780199675265</t>
  </si>
  <si>
    <t>794964391</t>
  </si>
  <si>
    <t>Q127 G4 S62 1961</t>
  </si>
  <si>
    <t>0                      Q  0127000G  4                  S  62          1961</t>
  </si>
  <si>
    <t>Science and government.</t>
  </si>
  <si>
    <t>Snow, C. P. (Charles Percy), 1905-1980.</t>
  </si>
  <si>
    <t>Cambridge : Harvard University Press, 1961.</t>
  </si>
  <si>
    <t>2019-02-17</t>
  </si>
  <si>
    <t>132568547:eng</t>
  </si>
  <si>
    <t>877006</t>
  </si>
  <si>
    <t>ocm00877006</t>
  </si>
  <si>
    <t>3000499694$</t>
  </si>
  <si>
    <t>791492858</t>
  </si>
  <si>
    <t>Q127 G4 W4 1976</t>
  </si>
  <si>
    <t>0                      Q  0127000G  4                  W  4           1976</t>
  </si>
  <si>
    <t>The great instauration : science, medicine and reform, 1626-1660 / Charles Webster.</t>
  </si>
  <si>
    <t>Webster, Charles, 1936-</t>
  </si>
  <si>
    <t>New York : Holmes &amp; Meier Publishers, 1976.</t>
  </si>
  <si>
    <t>2708041:eng</t>
  </si>
  <si>
    <t>2072786</t>
  </si>
  <si>
    <t>ocm02072786</t>
  </si>
  <si>
    <t>3103145625D</t>
  </si>
  <si>
    <t>9780841902671</t>
  </si>
  <si>
    <t>792040117</t>
  </si>
  <si>
    <t>Q127 G7 G37 1994</t>
  </si>
  <si>
    <t>0                      Q  0127000G  7                  G  37          1994</t>
  </si>
  <si>
    <t>Joseph Banks and the English Enlightenment : useful knowledge and polite culture / John Gascoigne.</t>
  </si>
  <si>
    <t>Gascoigne, John, 1951-</t>
  </si>
  <si>
    <t>Cambridge ; New York : Cambridge University Press, 1994.</t>
  </si>
  <si>
    <t>2017-05-16</t>
  </si>
  <si>
    <t>365296354:eng</t>
  </si>
  <si>
    <t>28723010</t>
  </si>
  <si>
    <t>ocm28723010</t>
  </si>
  <si>
    <t>31015761326</t>
  </si>
  <si>
    <t>9780521450775</t>
  </si>
  <si>
    <t>793294876</t>
  </si>
  <si>
    <t>Q127 G7 G374 1998</t>
  </si>
  <si>
    <t>0                      Q  0127000G  7                  G  374         1998</t>
  </si>
  <si>
    <t>Science in the service of empire : Joseph Banks, the British state and the uses of science in the age of revolution / John Gascoigne.</t>
  </si>
  <si>
    <t>Gascoigne, John, 1951- author.</t>
  </si>
  <si>
    <t>Cambridge, UK ; New York, NY : Cambridge University Press, 1998.</t>
  </si>
  <si>
    <t>796557784:eng</t>
  </si>
  <si>
    <t>39524807</t>
  </si>
  <si>
    <t>ocm39524807</t>
  </si>
  <si>
    <t>3102798147W</t>
  </si>
  <si>
    <t>9780521550697</t>
  </si>
  <si>
    <t>793547883</t>
  </si>
  <si>
    <t>Q127 G7 G73 2006</t>
  </si>
  <si>
    <t>0                      Q  0127000G  7                  G  73          2006</t>
  </si>
  <si>
    <t>Explaining the cosmos : the Ionian tradition of scientific philosophy / Daniel W. Graham.</t>
  </si>
  <si>
    <t>Graham, Daniel W.</t>
  </si>
  <si>
    <t>Princeton, N.J. : Princeton University Press, ©2006.</t>
  </si>
  <si>
    <t>2016-02-01</t>
  </si>
  <si>
    <t>196208654:eng</t>
  </si>
  <si>
    <t>71196490</t>
  </si>
  <si>
    <t>ocm71196490</t>
  </si>
  <si>
    <t>3102588652W</t>
  </si>
  <si>
    <t>9780691125404</t>
  </si>
  <si>
    <t>794163230</t>
  </si>
  <si>
    <t>Q127 G7 L59</t>
  </si>
  <si>
    <t>0                      Q  0127000G  7                  L  59</t>
  </si>
  <si>
    <t>Magic, reason, and experience : studies in the origin and development of Greek science / G.E.R. Lloyd.</t>
  </si>
  <si>
    <t>Cambridge [England] ; New York : Cambridge University Press, 1979.</t>
  </si>
  <si>
    <t>Studies in the origin and development of Greek science</t>
  </si>
  <si>
    <t>2015-11-11</t>
  </si>
  <si>
    <t>477250629:eng</t>
  </si>
  <si>
    <t>4493458</t>
  </si>
  <si>
    <t>ocm04493458</t>
  </si>
  <si>
    <t>3000414440T</t>
  </si>
  <si>
    <t>9780521223737</t>
  </si>
  <si>
    <t>792354833</t>
  </si>
  <si>
    <t>Q127 G7 L594 2006</t>
  </si>
  <si>
    <t>0                      Q  0127000G  7                  L  594         2006</t>
  </si>
  <si>
    <t>Principles and practices in ancient Greek and Chinese science / G.E.R. Lloyd.</t>
  </si>
  <si>
    <t>Aldershot, Hampshire, Great Britain ; Burlington, VT : Ashgate/Variorum, ©2006.</t>
  </si>
  <si>
    <t>Variorum collected studies series ; CS849</t>
  </si>
  <si>
    <t>52369367:eng</t>
  </si>
  <si>
    <t>69028173</t>
  </si>
  <si>
    <t>ocm69028173</t>
  </si>
  <si>
    <t>3102567234P</t>
  </si>
  <si>
    <t>9780860789932</t>
  </si>
  <si>
    <t>794145203</t>
  </si>
  <si>
    <t>Q127 G7 M33 2000</t>
  </si>
  <si>
    <t>0                      Q  0127000G  7                  M  33          2000</t>
  </si>
  <si>
    <t>The "creed of science" in Victorian England / Roy M. MacLeod.</t>
  </si>
  <si>
    <t>Aldershot, Hampshire ; Burlington, Vt. : Ashgate/Variorum, ©2000.</t>
  </si>
  <si>
    <t>Variorum collected studies series ; CS598</t>
  </si>
  <si>
    <t>2019-10-02</t>
  </si>
  <si>
    <t>52899:eng</t>
  </si>
  <si>
    <t>44058440</t>
  </si>
  <si>
    <t>ocm44058440</t>
  </si>
  <si>
    <t>3102092797Q</t>
  </si>
  <si>
    <t>9780860786696</t>
  </si>
  <si>
    <t>793641538</t>
  </si>
  <si>
    <t>Q127 G7 M45 1970</t>
  </si>
  <si>
    <t>0                      Q  0127000G  7                  M  45          1970</t>
  </si>
  <si>
    <t>Science, technology &amp; society in seventeenth century England [by] Robert K. Merton.</t>
  </si>
  <si>
    <t>Merton, Robert King, 1910-2003.</t>
  </si>
  <si>
    <t>New York, H. Fertig, 1970.</t>
  </si>
  <si>
    <t>[1st American ed.].</t>
  </si>
  <si>
    <t>57763143:eng</t>
  </si>
  <si>
    <t>81225</t>
  </si>
  <si>
    <t>ocm00081225</t>
  </si>
  <si>
    <t>31002413041</t>
  </si>
  <si>
    <t>791248945</t>
  </si>
  <si>
    <t>Q127 G7 R5213 2004</t>
  </si>
  <si>
    <t>0                      Q  0127000G  7                  R  5213        2004</t>
  </si>
  <si>
    <t>The forgotten revolution : how science was born in 300 BC and why it had to be reborn / Lucio Russo ; with the collaboration of the translator, Silvio Levy.</t>
  </si>
  <si>
    <t>Russo, Lucio, 1944-</t>
  </si>
  <si>
    <t>Berlin ; New York : Springer, ©2004.</t>
  </si>
  <si>
    <t>2015-12-07</t>
  </si>
  <si>
    <t>899099612:eng</t>
  </si>
  <si>
    <t>52945835</t>
  </si>
  <si>
    <t>ocm52945835</t>
  </si>
  <si>
    <t>3102346131H</t>
  </si>
  <si>
    <t>9783540203964</t>
  </si>
  <si>
    <t>793817844</t>
  </si>
  <si>
    <t>Q127 G7 R54 1999</t>
  </si>
  <si>
    <t>0                      Q  0127000G  7                  R  54          1999</t>
  </si>
  <si>
    <t>Greek science / by T.E. Rihll.</t>
  </si>
  <si>
    <t>Rihll, T. E. (Tracey Elizabeth), 1960-</t>
  </si>
  <si>
    <t>Oxford ; New York : Oxford University Press, 1999.</t>
  </si>
  <si>
    <t>Greece &amp; Rome. New surveys in the classics, 0017-3835 ; no. 29</t>
  </si>
  <si>
    <t>9907152826:eng</t>
  </si>
  <si>
    <t>42309943</t>
  </si>
  <si>
    <t>ocm42309943</t>
  </si>
  <si>
    <t>3101997587V</t>
  </si>
  <si>
    <t>9780199223954</t>
  </si>
  <si>
    <t>793605302</t>
  </si>
  <si>
    <t>Q127 G7 S364 2002</t>
  </si>
  <si>
    <t>0                      Q  0127000G  7                  S  364         2002</t>
  </si>
  <si>
    <t>Science and mathematics in ancient Greek culture / edited by C.J. Tuplin and T.E. Rihll.</t>
  </si>
  <si>
    <t>Oxford ; New York : Oxford University Press, 2002.</t>
  </si>
  <si>
    <t>364455720:eng</t>
  </si>
  <si>
    <t>50175970</t>
  </si>
  <si>
    <t>ocm50175970</t>
  </si>
  <si>
    <t>3102479200O</t>
  </si>
  <si>
    <t>9780198152484</t>
  </si>
  <si>
    <t>793757272</t>
  </si>
  <si>
    <t>Q127 H2 M38 1992</t>
  </si>
  <si>
    <t>0                      Q  0127000H  2                  M  38          1992</t>
  </si>
  <si>
    <t>Colonialism and science : Saint Domingue in the Old Regime / James E. McClellan III.</t>
  </si>
  <si>
    <t>Baltimore : Johns Hopkins University Press, ©1992.</t>
  </si>
  <si>
    <t>803414920:eng</t>
  </si>
  <si>
    <t>24143798</t>
  </si>
  <si>
    <t>ocm24143798</t>
  </si>
  <si>
    <t>3102530049Z</t>
  </si>
  <si>
    <t>9780801842702</t>
  </si>
  <si>
    <t>793190813</t>
  </si>
  <si>
    <t>2018-03-10</t>
  </si>
  <si>
    <t>3102520630O</t>
  </si>
  <si>
    <t>793190814</t>
  </si>
  <si>
    <t>Q127 I4 C48 1986</t>
  </si>
  <si>
    <t>0                      Q  0127000I  4                  C  48          1986</t>
  </si>
  <si>
    <t>History of science and technology in ancient India / Debiprasad Chattopadhyaya ; with a foreword by Joseph Needham.</t>
  </si>
  <si>
    <t>Chattopadhyaya, Debiprasad.</t>
  </si>
  <si>
    <t>Calcutta : Firma KLM, 1986-1996.</t>
  </si>
  <si>
    <t>2018-04-11</t>
  </si>
  <si>
    <t>3376721417:eng</t>
  </si>
  <si>
    <t>16832972</t>
  </si>
  <si>
    <t>ocm16832972</t>
  </si>
  <si>
    <t>30006439912</t>
  </si>
  <si>
    <t>792974366</t>
  </si>
  <si>
    <t>2002-04-17</t>
  </si>
  <si>
    <t>3101206587S</t>
  </si>
  <si>
    <t>792974365</t>
  </si>
  <si>
    <t>3101940776J</t>
  </si>
  <si>
    <t>792974364</t>
  </si>
  <si>
    <t>Q127 I4 K86 1995</t>
  </si>
  <si>
    <t>0                      Q  0127000I  4                  K  86          1995</t>
  </si>
  <si>
    <t>Science and the Raj, 1857-1905 / Deepak Kumar.</t>
  </si>
  <si>
    <t>Kumar, Deepak, 1952-</t>
  </si>
  <si>
    <t>Delhi ; New York : Oxford University Press, 1995.</t>
  </si>
  <si>
    <t>2015-02-03</t>
  </si>
  <si>
    <t>597951:eng</t>
  </si>
  <si>
    <t>33085673</t>
  </si>
  <si>
    <t>ocm33085673</t>
  </si>
  <si>
    <t>3101727808N</t>
  </si>
  <si>
    <t>9780195635621</t>
  </si>
  <si>
    <t>793401537</t>
  </si>
  <si>
    <t>Q127 I4 S25 2010</t>
  </si>
  <si>
    <t>0                      Q  0127000I  4                  S  25          2010</t>
  </si>
  <si>
    <t>Science and society in India, 1750-2000 / edited by Arun Bandopadhyay.</t>
  </si>
  <si>
    <t>New Delhi : Manohar Publishers &amp; Distributors, 2010.</t>
  </si>
  <si>
    <t>Department of History, University of Calcutta, monograph ; 29</t>
  </si>
  <si>
    <t>2015-01-27</t>
  </si>
  <si>
    <t>375434364:eng</t>
  </si>
  <si>
    <t>502268609</t>
  </si>
  <si>
    <t>ocn502268609</t>
  </si>
  <si>
    <t>3103601371W</t>
  </si>
  <si>
    <t>9788173048548</t>
  </si>
  <si>
    <t>794805567</t>
  </si>
  <si>
    <t>31033384182</t>
  </si>
  <si>
    <t>794805568</t>
  </si>
  <si>
    <t>Q127 I4 S264 1991</t>
  </si>
  <si>
    <t>0                      Q  0127000I  4                  S  264         1991</t>
  </si>
  <si>
    <t>Science, technology and colonisation : an Indian experience, 1757-1857 / Satpal Sangwan.</t>
  </si>
  <si>
    <t>Sangwan, Satpal, 1956-</t>
  </si>
  <si>
    <t>Delhi : Anamika Prakashan, 1991.</t>
  </si>
  <si>
    <t>2015-04-26</t>
  </si>
  <si>
    <t>836940591:eng</t>
  </si>
  <si>
    <t>25962735</t>
  </si>
  <si>
    <t>ocm25962735</t>
  </si>
  <si>
    <t>3101159330R</t>
  </si>
  <si>
    <t>793234032</t>
  </si>
  <si>
    <t>Q127 I4 S322 1991</t>
  </si>
  <si>
    <t>0                      Q  0127000I  4                  S  322         1991</t>
  </si>
  <si>
    <t>Science and Empire : essays in Indian context, 1700-1947 / edited by Deepak Kumar.</t>
  </si>
  <si>
    <t>352280732:eng</t>
  </si>
  <si>
    <t>25631873</t>
  </si>
  <si>
    <t>ocm25631873</t>
  </si>
  <si>
    <t>3101490459$</t>
  </si>
  <si>
    <t>9788185150192</t>
  </si>
  <si>
    <t>793226563</t>
  </si>
  <si>
    <t>Q127 I4 S356 1995</t>
  </si>
  <si>
    <t>0                      Q  0127000I  4                  S  356         1995</t>
  </si>
  <si>
    <t>Science, philosophy, and culture in historical perspective / contributors, S.N. Sen [and others].</t>
  </si>
  <si>
    <t>New Delhi : Project of History of Indian Science, Philosophy, and Culture, 1995.</t>
  </si>
  <si>
    <t>PHISPC monograph series on history of philosophy, science, and culture in India ; 1</t>
  </si>
  <si>
    <t>25748379:eng</t>
  </si>
  <si>
    <t>34245844</t>
  </si>
  <si>
    <t>ocm34245844</t>
  </si>
  <si>
    <t>3101991431I</t>
  </si>
  <si>
    <t>9788121506861</t>
  </si>
  <si>
    <t>793422297</t>
  </si>
  <si>
    <t>Q127 I742 B78 2018</t>
  </si>
  <si>
    <t>0                      Q  0127000I  742                B  78          2018</t>
  </si>
  <si>
    <t>Medieval Islamic world : an intellectual history of science and politics / Labeeb Ahmed Bsoul.</t>
  </si>
  <si>
    <t>Bsoul, Labeeb Ahmed, author.</t>
  </si>
  <si>
    <t>New York, NY : Peter Lang Publishing, Inc., [2018]</t>
  </si>
  <si>
    <t>Crosscurrents: new studies on the Middle East ; volume 5</t>
  </si>
  <si>
    <t>5449097517:eng</t>
  </si>
  <si>
    <t>1021068551</t>
  </si>
  <si>
    <t>on1021068551</t>
  </si>
  <si>
    <t>3103812765N</t>
  </si>
  <si>
    <t>9781433151859</t>
  </si>
  <si>
    <t>795050627</t>
  </si>
  <si>
    <t>Q127 J3 E87 2016</t>
  </si>
  <si>
    <t>0                      Q  0127000J  3                  E  87          2016</t>
  </si>
  <si>
    <t>Essays on the history of scientific thought in modern Japan / edited by Osamu Kanamori ; translated by Christopher Carr and M.G. Sheftall.</t>
  </si>
  <si>
    <t>Showa zenki no kagaku shisōshi. Selections. English.</t>
  </si>
  <si>
    <t>Tokyo : Japan Publishing Industry Foundation for Culture, 2016.</t>
  </si>
  <si>
    <t>Japan Library</t>
  </si>
  <si>
    <t>2016-10-26</t>
  </si>
  <si>
    <t>2971366062:eng</t>
  </si>
  <si>
    <t>945953035</t>
  </si>
  <si>
    <t>ocn945953035</t>
  </si>
  <si>
    <t>3103658818P</t>
  </si>
  <si>
    <t>9784916055613</t>
  </si>
  <si>
    <t>795014103</t>
  </si>
  <si>
    <t>Q127 J3 T7413 2001</t>
  </si>
  <si>
    <t>0                      Q  0127000J  3                  T  7413        2001</t>
  </si>
  <si>
    <t>A social history of science and technology in contemporary Japan / edited by Shigeru Nakayama with Kunio Gotō and Hitoshi Yoshioka.</t>
  </si>
  <si>
    <t>Tsūshi Nihon no kagaku gijutsu. English.</t>
  </si>
  <si>
    <t>Melbourne : Trans Pacific Press ; Portland, Or. : Distributors, USA and Canada, International Specialized Book Services, ©2001-&lt;2006&gt;</t>
  </si>
  <si>
    <t>Japanese society series, 1443-9670</t>
  </si>
  <si>
    <t>2016-04-28</t>
  </si>
  <si>
    <t>2999391927:eng</t>
  </si>
  <si>
    <t>55109140</t>
  </si>
  <si>
    <t>ocm55109140</t>
  </si>
  <si>
    <t>3102550619D</t>
  </si>
  <si>
    <t>9781876843106</t>
  </si>
  <si>
    <t>793874603</t>
  </si>
  <si>
    <t>3102617786J</t>
  </si>
  <si>
    <t>793874604</t>
  </si>
  <si>
    <t>3102617819U</t>
  </si>
  <si>
    <t>793874605</t>
  </si>
  <si>
    <t>Q127 N6 S7</t>
  </si>
  <si>
    <t>0                      Q  0127000N  6                  S  7</t>
  </si>
  <si>
    <t>Science in the British colonies of America.</t>
  </si>
  <si>
    <t>Stearns, Raymond Phineas, 1904-1970.</t>
  </si>
  <si>
    <t>Urbana, University of Illinois Press [1970]</t>
  </si>
  <si>
    <t>2016-02-20</t>
  </si>
  <si>
    <t>420945:eng</t>
  </si>
  <si>
    <t>109727</t>
  </si>
  <si>
    <t>ocm00109727</t>
  </si>
  <si>
    <t>3102794547$</t>
  </si>
  <si>
    <t>9780252001208</t>
  </si>
  <si>
    <t>791260041</t>
  </si>
  <si>
    <t>Q127 R9 A8</t>
  </si>
  <si>
    <t>0                      Q  0127000R  9                  A  8</t>
  </si>
  <si>
    <t>Scientist in Russia / by Eric Ashby.</t>
  </si>
  <si>
    <t>Ashby, Eric, 1904-1992, author.</t>
  </si>
  <si>
    <t>Harmondsworth, Middlesex, England : Penguin Books, 1947.</t>
  </si>
  <si>
    <t>Pelican books ; A186</t>
  </si>
  <si>
    <t>2016-05-10</t>
  </si>
  <si>
    <t>505105891:eng</t>
  </si>
  <si>
    <t>1704646</t>
  </si>
  <si>
    <t>ocm01704646</t>
  </si>
  <si>
    <t>3000675393V</t>
  </si>
  <si>
    <t>791840934</t>
  </si>
  <si>
    <t>Q127 R9 J67 1997</t>
  </si>
  <si>
    <t>0                      Q  0127000R  9                  J  67          1997</t>
  </si>
  <si>
    <t>New Atlantis revisited : Akademgorodok, the Siberian city of science / Paul R. Josephson.</t>
  </si>
  <si>
    <t>Josephson, Paul R.</t>
  </si>
  <si>
    <t>Princeton, N.J. : Princeton University Press, ©1997.</t>
  </si>
  <si>
    <t>2017-11-16</t>
  </si>
  <si>
    <t>335644534:eng</t>
  </si>
  <si>
    <t>35911168</t>
  </si>
  <si>
    <t>ocm35911168</t>
  </si>
  <si>
    <t>31017487098</t>
  </si>
  <si>
    <t>9780691044545</t>
  </si>
  <si>
    <t>793460535</t>
  </si>
  <si>
    <t>Q127 R9 R63 1998</t>
  </si>
  <si>
    <t>0                      Q  0127000R  9                  R  63          1998</t>
  </si>
  <si>
    <t>Soviet science under control : the struggle for influence / Jeffrey L. Roberg.</t>
  </si>
  <si>
    <t>Roberg, Jeffrey L., 1965-</t>
  </si>
  <si>
    <t>London : Macmillan Press ; New York : St. Martin's Press, 1998.</t>
  </si>
  <si>
    <t>2017-11-30</t>
  </si>
  <si>
    <t>836981509:eng</t>
  </si>
  <si>
    <t>37260947</t>
  </si>
  <si>
    <t>ocm37260947</t>
  </si>
  <si>
    <t>3101894846I</t>
  </si>
  <si>
    <t>9780312177362</t>
  </si>
  <si>
    <t>793494470</t>
  </si>
  <si>
    <t>Q127 R9 V8x</t>
  </si>
  <si>
    <t>0                      Q  0127000R  9                  V  8x</t>
  </si>
  <si>
    <t>Science in Russian culture; 1861-1917.</t>
  </si>
  <si>
    <t>Vucinich, Alexander, 1914-2002.</t>
  </si>
  <si>
    <t>Stanford, Stanford Univ. Press, 1970.</t>
  </si>
  <si>
    <t>2019-01-08</t>
  </si>
  <si>
    <t>3857917125:eng</t>
  </si>
  <si>
    <t>6121695</t>
  </si>
  <si>
    <t>ocm06121695</t>
  </si>
  <si>
    <t>3103003425G</t>
  </si>
  <si>
    <t>9780804707381</t>
  </si>
  <si>
    <t>792476802</t>
  </si>
  <si>
    <t>Q127 S63 I44 2011</t>
  </si>
  <si>
    <t>0                      Q  0127000S  63                 I  44          2011</t>
  </si>
  <si>
    <t>Ideas viajeras y sus objetos : el intercambio científico entre Alemania y América austral / Gloria Chicote, Barbara Göbel (eds.).</t>
  </si>
  <si>
    <t>Madrid : Iberoamericana ; Frankfurt am Main : Vervuert, 2011.</t>
  </si>
  <si>
    <t>Bibliotheca Ibero-Americana, 0067-8015 ; vol. 146</t>
  </si>
  <si>
    <t>1062025642:spa</t>
  </si>
  <si>
    <t>768397510</t>
  </si>
  <si>
    <t>ocn768397510</t>
  </si>
  <si>
    <t>3103447595D</t>
  </si>
  <si>
    <t>9788484896388</t>
  </si>
  <si>
    <t>794902293</t>
  </si>
  <si>
    <t>Q127 S64 R36 2007</t>
  </si>
  <si>
    <t>0                      Q  0127000S  64                 R  36          2007</t>
  </si>
  <si>
    <t>Relocating modern science : circulation and the construction of knowledge in South Asia and Europe, 1650-1900 / Kapil Raj.</t>
  </si>
  <si>
    <t>Raj, Kapil.</t>
  </si>
  <si>
    <t>Houndmills, Basingstoke, Hampshire [England] ; New York : Palgrave Macmillan, 2007.</t>
  </si>
  <si>
    <t>2017-06-15</t>
  </si>
  <si>
    <t>797235587:eng</t>
  </si>
  <si>
    <t>71800748</t>
  </si>
  <si>
    <t>ocm71800748</t>
  </si>
  <si>
    <t>3102598836P</t>
  </si>
  <si>
    <t>9780230507081</t>
  </si>
  <si>
    <t>794168377</t>
  </si>
  <si>
    <t>Q127 S65 B57 2001</t>
  </si>
  <si>
    <t>0                      Q  0127000S  65                 B  57          2001</t>
  </si>
  <si>
    <t>The perversion of knowledge : the true story of Soviet science / Vadim J. Birstein.</t>
  </si>
  <si>
    <t>Birstein, Vadim J.</t>
  </si>
  <si>
    <t>Boulder, Colo. : Westview Press, 2001.</t>
  </si>
  <si>
    <t>2017-04-02</t>
  </si>
  <si>
    <t>525585:eng</t>
  </si>
  <si>
    <t>47867618</t>
  </si>
  <si>
    <t>ocm47867618</t>
  </si>
  <si>
    <t>3102153001V</t>
  </si>
  <si>
    <t>9780813339078</t>
  </si>
  <si>
    <t>793709734</t>
  </si>
  <si>
    <t>Q127 S696 A737 2003</t>
  </si>
  <si>
    <t>0                      Q  0127000S  696                A  737         2003</t>
  </si>
  <si>
    <t>Science for the masses : the Bolshevik state, public science, and the popular imagination in Soviet Russia, 1917-1934 / James T. Andrews.</t>
  </si>
  <si>
    <t>Andrews, James T., 1961-</t>
  </si>
  <si>
    <t>College Station, Tex. : Texas A &amp; M University Press, ©2003.</t>
  </si>
  <si>
    <t>Eastern European studies ; no. 22</t>
  </si>
  <si>
    <t>2015-10-13</t>
  </si>
  <si>
    <t>793905707:eng</t>
  </si>
  <si>
    <t>51053478</t>
  </si>
  <si>
    <t>ocm51053478</t>
  </si>
  <si>
    <t>3102290058L</t>
  </si>
  <si>
    <t>9781585442478</t>
  </si>
  <si>
    <t>793777752</t>
  </si>
  <si>
    <t>Q127 U6 C48 1990</t>
  </si>
  <si>
    <t>0                      Q  0127000U  6                  C  48          1990</t>
  </si>
  <si>
    <t>Peerless science : peer review and U.S. science policy / Daryl E. Chubin and Edward J. Hackett.</t>
  </si>
  <si>
    <t>Chubin, Daryl E.</t>
  </si>
  <si>
    <t>Albany, N.Y. : State University of New York Press, ©1990.</t>
  </si>
  <si>
    <t>SUNY series in science, technology, and society</t>
  </si>
  <si>
    <t>792261674:eng</t>
  </si>
  <si>
    <t>20354211</t>
  </si>
  <si>
    <t>ocm20354211</t>
  </si>
  <si>
    <t>3100709007U</t>
  </si>
  <si>
    <t>9780791403099</t>
  </si>
  <si>
    <t>793085361</t>
  </si>
  <si>
    <t>Q127 U6 D53 1984</t>
  </si>
  <si>
    <t>0                      Q  0127000U  6                  D  53          1984</t>
  </si>
  <si>
    <t>The new politics of science / David Dickson.</t>
  </si>
  <si>
    <t>Dickson, David, 1947-2013.</t>
  </si>
  <si>
    <t>New York : Pantheon Books, ©1984.</t>
  </si>
  <si>
    <t>19939602:eng</t>
  </si>
  <si>
    <t>10072849</t>
  </si>
  <si>
    <t>ocm10072849</t>
  </si>
  <si>
    <t>30003627056</t>
  </si>
  <si>
    <t>9780394524047</t>
  </si>
  <si>
    <t>792707656</t>
  </si>
  <si>
    <t>Q127 U6 H5 1956</t>
  </si>
  <si>
    <t>0                      Q  0127000U  6                  H  5           1956</t>
  </si>
  <si>
    <t>The pursuit of science in Revolutionary America, 1735-1789 / by Brooke Hindle.</t>
  </si>
  <si>
    <t>Hindle, Brooke.</t>
  </si>
  <si>
    <t>Chapel Hill : Published for the Institute of Early American History and Culture, Williamsburg, Va. by University of North Carolina Press, ©1956.</t>
  </si>
  <si>
    <t>2018-05-18</t>
  </si>
  <si>
    <t>1514304:eng</t>
  </si>
  <si>
    <t>520276</t>
  </si>
  <si>
    <t>ocm00520276</t>
  </si>
  <si>
    <t>3102986933B</t>
  </si>
  <si>
    <t>791401924</t>
  </si>
  <si>
    <t>Q127 U6 N4</t>
  </si>
  <si>
    <t>0                      Q  0127000U  6                  N  4</t>
  </si>
  <si>
    <t>The politics of science; readings in science, technology, and government. Edited by William R. Nelson.</t>
  </si>
  <si>
    <t>Nelson, William Richard, 1924- compiler.</t>
  </si>
  <si>
    <t>New York, Oxford University Press, 1968.</t>
  </si>
  <si>
    <t>1527800:eng</t>
  </si>
  <si>
    <t>391813</t>
  </si>
  <si>
    <t>ocm00391813</t>
  </si>
  <si>
    <t>30006387270</t>
  </si>
  <si>
    <t>791363013</t>
  </si>
  <si>
    <t>Q127 U6 S28 1971</t>
  </si>
  <si>
    <t>0                      Q  0127000U  6                  S  28          1971</t>
  </si>
  <si>
    <t>Science, scientists, and public policy [by] Dean Schooler, Jr.</t>
  </si>
  <si>
    <t>Schooler, Dean, 1941-</t>
  </si>
  <si>
    <t>New York, Free Press [1971]</t>
  </si>
  <si>
    <t>2015-06-22</t>
  </si>
  <si>
    <t>149062197:eng</t>
  </si>
  <si>
    <t>118205</t>
  </si>
  <si>
    <t>ocm00118205</t>
  </si>
  <si>
    <t>3103599739$</t>
  </si>
  <si>
    <t>9780029280102</t>
  </si>
  <si>
    <t>791262410</t>
  </si>
  <si>
    <t>Q127 V5 Z56 2013</t>
  </si>
  <si>
    <t>0                      Q  0127000V  5                  Z  56          2013</t>
  </si>
  <si>
    <t>Hot science, high water : assembling nature, society and environmental policy in contemporary Vietnam / Eren Zink.</t>
  </si>
  <si>
    <t>Zink, Eren, author.</t>
  </si>
  <si>
    <t>Copenhagen, Denmark : NIAS Press, 2013.</t>
  </si>
  <si>
    <t>Nordic Institute of Asian Studies monograph series ; no. 124</t>
  </si>
  <si>
    <t>2290556192:eng</t>
  </si>
  <si>
    <t>837137409</t>
  </si>
  <si>
    <t>ocn837137409</t>
  </si>
  <si>
    <t>3103499502Z</t>
  </si>
  <si>
    <t>9788776941277</t>
  </si>
  <si>
    <t>794945012</t>
  </si>
  <si>
    <t>Q130 C58 2003</t>
  </si>
  <si>
    <t>0                      Q  0130000C  58          2003</t>
  </si>
  <si>
    <t>Beyond epistemology : a pragmatist approach to feminist science studies / Sharyn Clough.</t>
  </si>
  <si>
    <t>Clough, Sharyn, 1965-</t>
  </si>
  <si>
    <t>Lanham, Md. : Rowman &amp; Littlefield Publishers, ©2003.</t>
  </si>
  <si>
    <t>838758050:eng</t>
  </si>
  <si>
    <t>50693070</t>
  </si>
  <si>
    <t>ocm50693070</t>
  </si>
  <si>
    <t>3102980778X</t>
  </si>
  <si>
    <t>9780742514645</t>
  </si>
  <si>
    <t>793770764</t>
  </si>
  <si>
    <t>Q130 E38 1998</t>
  </si>
  <si>
    <t>0                      Q  0130000E  38          1998</t>
  </si>
  <si>
    <t>Women's science : learning and succeeding from the margins / Margaret A. Eisenhart and Elizabeth Finkel ; with Linda Behm, Nancy Lawrence, and Karen Tonso.</t>
  </si>
  <si>
    <t>Eisenhart, Margaret A.</t>
  </si>
  <si>
    <t>Chicago, Ill : University of Chicago Press, ©1998.</t>
  </si>
  <si>
    <t>2017-04-03</t>
  </si>
  <si>
    <t>340498630:eng</t>
  </si>
  <si>
    <t>38856197</t>
  </si>
  <si>
    <t>ocm38856197</t>
  </si>
  <si>
    <t>3101942971B</t>
  </si>
  <si>
    <t>9780226195445</t>
  </si>
  <si>
    <t>793531493</t>
  </si>
  <si>
    <t>Q130 F37 2004</t>
  </si>
  <si>
    <t>0                      Q  0130000F  37          2004</t>
  </si>
  <si>
    <t>Pandora's breeches : women, science and power in the Enlightenment / Patricia Fara.</t>
  </si>
  <si>
    <t>Fara, Patricia.</t>
  </si>
  <si>
    <t>London : Pimlico, 2004.</t>
  </si>
  <si>
    <t>Pimlico ; 637</t>
  </si>
  <si>
    <t>2019-04-05</t>
  </si>
  <si>
    <t>838779835:eng</t>
  </si>
  <si>
    <t>53822763</t>
  </si>
  <si>
    <t>ocm53822763</t>
  </si>
  <si>
    <t>31023812658</t>
  </si>
  <si>
    <t>9781844130825</t>
  </si>
  <si>
    <t>793851077</t>
  </si>
  <si>
    <t>Q130 F45 2001</t>
  </si>
  <si>
    <t>0                      Q  0130000F  45          2001</t>
  </si>
  <si>
    <t>Feminism in twentieth-century science, technology, and medicine / edited by Angela N.H. Creager, Elizabeth A. Lunbeck &amp; Londa Schiebinger.</t>
  </si>
  <si>
    <t>Chicago : University of Chicago Press, 2001.</t>
  </si>
  <si>
    <t>Women in culture and society</t>
  </si>
  <si>
    <t>2017-11-27</t>
  </si>
  <si>
    <t>353218461:eng</t>
  </si>
  <si>
    <t>46577245</t>
  </si>
  <si>
    <t>ocm46577245</t>
  </si>
  <si>
    <t>3102960663B</t>
  </si>
  <si>
    <t>9780226120232</t>
  </si>
  <si>
    <t>793686908</t>
  </si>
  <si>
    <t>Q130 F464 2018</t>
  </si>
  <si>
    <t>0                      Q  0130000F  464         2018</t>
  </si>
  <si>
    <t>Feminist rhetorical science studies : human bodies, posthumanist worlds / edited by Amanda K. Booher and Julie Jung.</t>
  </si>
  <si>
    <t>Carbondale : Southern Illinois University Press, [2018]</t>
  </si>
  <si>
    <t>Studies in rhetorics and feminisms</t>
  </si>
  <si>
    <t>2018-10-17</t>
  </si>
  <si>
    <t>4452642009:eng</t>
  </si>
  <si>
    <t>1000150466</t>
  </si>
  <si>
    <t>on1000150466</t>
  </si>
  <si>
    <t>3103738059B</t>
  </si>
  <si>
    <t>9780809336333</t>
  </si>
  <si>
    <t>795040091</t>
  </si>
  <si>
    <t>Q130 H37 1991</t>
  </si>
  <si>
    <t>0                      Q  0130000H  37          1991</t>
  </si>
  <si>
    <t>Whose science? Whose knowledge? : thinking from women's lives / Sandra Harding.</t>
  </si>
  <si>
    <t>Harding, Sandra G.</t>
  </si>
  <si>
    <t>Ithaca, N.Y. : Cornell University Press, 1991.</t>
  </si>
  <si>
    <t>Science question in feminism</t>
  </si>
  <si>
    <t>197995559:eng</t>
  </si>
  <si>
    <t>22662471</t>
  </si>
  <si>
    <t>ocm22662471</t>
  </si>
  <si>
    <t>3102930637W</t>
  </si>
  <si>
    <t>9780801425134</t>
  </si>
  <si>
    <t>793150464</t>
  </si>
  <si>
    <t>Q130 I566 2010</t>
  </si>
  <si>
    <t>0                      Q  0130000I  566         2010</t>
  </si>
  <si>
    <t>Innovating women : contributions to technological advancement / edited by Susan Marlow and Pooran Wynarczyk.</t>
  </si>
  <si>
    <t>Bingley : Emerald Group Publishing, 2010.</t>
  </si>
  <si>
    <t>Contemporary issues in entrepreneurship research ; v. 1</t>
  </si>
  <si>
    <t>2012-04-19</t>
  </si>
  <si>
    <t>796722339:eng</t>
  </si>
  <si>
    <t>656774113</t>
  </si>
  <si>
    <t>ocn656774113</t>
  </si>
  <si>
    <t>3103233588B</t>
  </si>
  <si>
    <t>9780857243355</t>
  </si>
  <si>
    <t>794835062</t>
  </si>
  <si>
    <t>Q130 I62 1992</t>
  </si>
  <si>
    <t>0                      Q  0130000I  62          1992</t>
  </si>
  <si>
    <t>Inventing women : science, technology, and gender / edited by Gill Kirkup and Laurie Smith Keller.</t>
  </si>
  <si>
    <t>Cambridge, UK : Polity Press ; Cambridge, MA, USA : B. Blackwell, ©1992.</t>
  </si>
  <si>
    <t>2015-10-20</t>
  </si>
  <si>
    <t>836843946:eng</t>
  </si>
  <si>
    <t>24954498</t>
  </si>
  <si>
    <t>ocm24954498</t>
  </si>
  <si>
    <t>3101184380J</t>
  </si>
  <si>
    <t>9780745609775</t>
  </si>
  <si>
    <t>793208983</t>
  </si>
  <si>
    <t>Q130 K63 2000</t>
  </si>
  <si>
    <t>0                      Q  0130000K  63          2000</t>
  </si>
  <si>
    <t>Science, women, and revolution in Russia / Ann Hibner Koblitz.</t>
  </si>
  <si>
    <t>Koblitz, Ann Hibner.</t>
  </si>
  <si>
    <t>Amsterdam, the Netherlands : Harwood Academic, ©2000.</t>
  </si>
  <si>
    <t>Women in science</t>
  </si>
  <si>
    <t>2017-05-30</t>
  </si>
  <si>
    <t>3176241:eng</t>
  </si>
  <si>
    <t>42875157</t>
  </si>
  <si>
    <t>ocm42875157</t>
  </si>
  <si>
    <t>31021161684</t>
  </si>
  <si>
    <t>9789057026201</t>
  </si>
  <si>
    <t>793616401</t>
  </si>
  <si>
    <t>Q130 M46 2005</t>
  </si>
  <si>
    <t>0                      Q  0130000M  46          2005</t>
  </si>
  <si>
    <t>Men, women, and the birthing of modern science / edited by Judith P. Zinsser.</t>
  </si>
  <si>
    <t>DeKalb : Northern Illinois University Press, ©2005.</t>
  </si>
  <si>
    <t>2019-01-16</t>
  </si>
  <si>
    <t>2031578:eng</t>
  </si>
  <si>
    <t>57392191</t>
  </si>
  <si>
    <t>ocm57392191</t>
  </si>
  <si>
    <t>3102493446O</t>
  </si>
  <si>
    <t>9780875803401</t>
  </si>
  <si>
    <t>793912007</t>
  </si>
  <si>
    <t>Q130 M47 1979</t>
  </si>
  <si>
    <t>0                      Q  0130000M  47          1979</t>
  </si>
  <si>
    <t>The death of nature : women, ecology, and the scientific revolution / Carolyn Merchant.</t>
  </si>
  <si>
    <t>Merchant, Carolyn.</t>
  </si>
  <si>
    <t>San Francisco : Harper &amp; Row, ©1980.</t>
  </si>
  <si>
    <t>2016-11-11</t>
  </si>
  <si>
    <t>404181:eng</t>
  </si>
  <si>
    <t>5413251</t>
  </si>
  <si>
    <t>ocm05413251</t>
  </si>
  <si>
    <t>3102640535B</t>
  </si>
  <si>
    <t>9780062505712</t>
  </si>
  <si>
    <t>792431415</t>
  </si>
  <si>
    <t>Q130 M47 1982</t>
  </si>
  <si>
    <t>0                      Q  0130000M  47          1982</t>
  </si>
  <si>
    <t>San Francisco : Harper &amp; Row, 1982, ©1980.</t>
  </si>
  <si>
    <t>2019-11-30</t>
  </si>
  <si>
    <t>13174179</t>
  </si>
  <si>
    <t>ocm13174179</t>
  </si>
  <si>
    <t>3101546082D</t>
  </si>
  <si>
    <t>9780062505729</t>
  </si>
  <si>
    <t>792843701</t>
  </si>
  <si>
    <t>Q130 N63 1992</t>
  </si>
  <si>
    <t>0                      Q  0130000N  63          1992</t>
  </si>
  <si>
    <t>A world without women : the Christian clerical culture of Western science / David F. Noble.</t>
  </si>
  <si>
    <t>Noble, David F.</t>
  </si>
  <si>
    <t>New York : Knopf, 1992.</t>
  </si>
  <si>
    <t>Borzoi book</t>
  </si>
  <si>
    <t>395351:eng</t>
  </si>
  <si>
    <t>23976388</t>
  </si>
  <si>
    <t>ocm23976388</t>
  </si>
  <si>
    <t>3100977222H</t>
  </si>
  <si>
    <t>9780394556505</t>
  </si>
  <si>
    <t>793186613</t>
  </si>
  <si>
    <t>Q130 P47 1986</t>
  </si>
  <si>
    <t>0                      Q  0130000P  47          1986</t>
  </si>
  <si>
    <t>Perspectives on gender and science / edited by Jan Harding.</t>
  </si>
  <si>
    <t>London ; New York : Falmer Press, 1986.</t>
  </si>
  <si>
    <t>335410903:eng</t>
  </si>
  <si>
    <t>14188301</t>
  </si>
  <si>
    <t>ocm14188301</t>
  </si>
  <si>
    <t>3000988516$</t>
  </si>
  <si>
    <t>9781850001287</t>
  </si>
  <si>
    <t>792881212</t>
  </si>
  <si>
    <t>Q130 R68 1982</t>
  </si>
  <si>
    <t>0                      Q  0130000R  68          1982</t>
  </si>
  <si>
    <t>Women scientists in America : struggles and strategies to 1940 / Margaret W. Rossiter.</t>
  </si>
  <si>
    <t>Rossiter, Margaret W.</t>
  </si>
  <si>
    <t>Baltimore : Johns Hopkins University Press, ©1982.</t>
  </si>
  <si>
    <t>2019-01-17</t>
  </si>
  <si>
    <t>903659:eng</t>
  </si>
  <si>
    <t>8052928</t>
  </si>
  <si>
    <t>ocm08052928</t>
  </si>
  <si>
    <t>3000339998M</t>
  </si>
  <si>
    <t>9780801824432</t>
  </si>
  <si>
    <t>792595799</t>
  </si>
  <si>
    <t>Q130 R683 1995</t>
  </si>
  <si>
    <t>0                      Q  0130000R  683         1995</t>
  </si>
  <si>
    <t>Women scientists in America : before affirmative action, 1940-1972 / Margaret W. Rossiter.</t>
  </si>
  <si>
    <t>Baltimore : Johns Hopkins University Press, 1995.</t>
  </si>
  <si>
    <t>837023851:eng</t>
  </si>
  <si>
    <t>32014330</t>
  </si>
  <si>
    <t>ocm32014330</t>
  </si>
  <si>
    <t>3101516393E</t>
  </si>
  <si>
    <t>9780801848933</t>
  </si>
  <si>
    <t>793373329</t>
  </si>
  <si>
    <t>Q130 S266 2010</t>
  </si>
  <si>
    <t>0                      Q  0130000S  266         2010</t>
  </si>
  <si>
    <t>The natural philosophy of Margaret Cavendish : reason and fancy during the scientific revolution / Lisa T. Sarasohn.</t>
  </si>
  <si>
    <t>Sarasohn, Lisa T., 1950-</t>
  </si>
  <si>
    <t>Baltimore : Johns Hopkins University Press, 2010.</t>
  </si>
  <si>
    <t>The Johns Hopkins University studies in historical and political science ; 128th ser., 2</t>
  </si>
  <si>
    <t>796267218:eng</t>
  </si>
  <si>
    <t>426065859</t>
  </si>
  <si>
    <t>ocn426065859</t>
  </si>
  <si>
    <t>3103266527X</t>
  </si>
  <si>
    <t>9780801894435</t>
  </si>
  <si>
    <t>794514358</t>
  </si>
  <si>
    <t>Q130 S32 1989</t>
  </si>
  <si>
    <t>0                      Q  0130000S  32          1989</t>
  </si>
  <si>
    <t>The mind has no sex? : women in the origins of modern science / Londa Schiebinger.</t>
  </si>
  <si>
    <t>Schiebinger, Londa L.</t>
  </si>
  <si>
    <t>Cambridge, Mass. : Harvard University Press, 1989.</t>
  </si>
  <si>
    <t>2019-04-20</t>
  </si>
  <si>
    <t>836801589:eng</t>
  </si>
  <si>
    <t>18983299</t>
  </si>
  <si>
    <t>ocm18983299</t>
  </si>
  <si>
    <t>3102267706Y</t>
  </si>
  <si>
    <t>9780674576230</t>
  </si>
  <si>
    <t>793043346</t>
  </si>
  <si>
    <t>Q130 U55 2011</t>
  </si>
  <si>
    <t>0                      Q  0130000U  55          2011</t>
  </si>
  <si>
    <t>Applying a gender lens to science, technology and innovation / United Nations Conference on Trade and Development.</t>
  </si>
  <si>
    <t>United Nations Conference on Trade and Development.</t>
  </si>
  <si>
    <t>New York ; Geneva : United Nations, 2011.</t>
  </si>
  <si>
    <t>UNCTAD current studies on science, technology and innovation ; no. 5</t>
  </si>
  <si>
    <t>3771254547:eng</t>
  </si>
  <si>
    <t>779342414</t>
  </si>
  <si>
    <t>ocn779342414</t>
  </si>
  <si>
    <t>31032993840</t>
  </si>
  <si>
    <t>794910849</t>
  </si>
  <si>
    <t>Q130 W49 2007</t>
  </si>
  <si>
    <t>0                      Q  0130000W  49          2007</t>
  </si>
  <si>
    <t>Why aren't more women in science? : top researchers debate the evidence / edited by Stephen J. Ceci and Wendy M. Williams.</t>
  </si>
  <si>
    <t>Washington, DC : American Psychological Association, ©2007.</t>
  </si>
  <si>
    <t>2015-10-25</t>
  </si>
  <si>
    <t>891972589:eng</t>
  </si>
  <si>
    <t>71004123</t>
  </si>
  <si>
    <t>ocm71004123</t>
  </si>
  <si>
    <t>3102632033N</t>
  </si>
  <si>
    <t>9781591474852</t>
  </si>
  <si>
    <t>794162097</t>
  </si>
  <si>
    <t>Q130 W67 1981</t>
  </si>
  <si>
    <t>0                      Q  0130000W  67          1981</t>
  </si>
  <si>
    <t>Who turns the wheel? : proceedings of a workshop on the science education of women in Canada.</t>
  </si>
  <si>
    <t>Science Council of Canada. Science and Education Committee.</t>
  </si>
  <si>
    <t>Ottawa : Science Council of Canada, ©1981.</t>
  </si>
  <si>
    <t>[Proceedings] ; P 82/1</t>
  </si>
  <si>
    <t>8909698746:eng</t>
  </si>
  <si>
    <t>607258552</t>
  </si>
  <si>
    <t>ocn607258552</t>
  </si>
  <si>
    <t>3101723435J</t>
  </si>
  <si>
    <t>9780662118640</t>
  </si>
  <si>
    <t>794817777</t>
  </si>
  <si>
    <t>30008437429</t>
  </si>
  <si>
    <t>794817778</t>
  </si>
  <si>
    <t>Q130 Z54 2003</t>
  </si>
  <si>
    <t>0                      Q  0130000Z  54          2003</t>
  </si>
  <si>
    <t>Women in science : career processes and outcomes / Yu Xie, Kimberlee A. Shauman.</t>
  </si>
  <si>
    <t>Xie, Yu, 1959-</t>
  </si>
  <si>
    <t>Cambridge, Mass. : Harvard University Press, 2003.</t>
  </si>
  <si>
    <t>2018-03-20</t>
  </si>
  <si>
    <t>724770:eng</t>
  </si>
  <si>
    <t>51848418</t>
  </si>
  <si>
    <t>ocm51848418</t>
  </si>
  <si>
    <t>3102302746X</t>
  </si>
  <si>
    <t>9780674010345</t>
  </si>
  <si>
    <t>793792512</t>
  </si>
  <si>
    <t>Q141 C78 2004</t>
  </si>
  <si>
    <t>0                      Q  0141000C  78          2004</t>
  </si>
  <si>
    <t>Curious minds : twenty-seven scientists describe what inspired them to choose their paths / edited by John Brockman.</t>
  </si>
  <si>
    <t>New York : Pantheon Books, ©2004.</t>
  </si>
  <si>
    <t>2017-08-29</t>
  </si>
  <si>
    <t>137821509:eng</t>
  </si>
  <si>
    <t>54400221</t>
  </si>
  <si>
    <t>ocm54400221</t>
  </si>
  <si>
    <t>31024177188</t>
  </si>
  <si>
    <t>9780375422911</t>
  </si>
  <si>
    <t>793860968</t>
  </si>
  <si>
    <t>Q141 D44 2010</t>
  </si>
  <si>
    <t>0                      Q  0141000D  44          2010</t>
  </si>
  <si>
    <t>The Madame Curie complex : the hidden history of women in science / Julie des Jardins.</t>
  </si>
  <si>
    <t>Des Jardins, Julie, author.</t>
  </si>
  <si>
    <t>New York : Feminist Press at the City University of New York, 2010.</t>
  </si>
  <si>
    <t>Women writing science</t>
  </si>
  <si>
    <t>2014-09-19</t>
  </si>
  <si>
    <t>793262411:eng</t>
  </si>
  <si>
    <t>318876946</t>
  </si>
  <si>
    <t>ocn318876946</t>
  </si>
  <si>
    <t>3103322351Q</t>
  </si>
  <si>
    <t>9781558616134</t>
  </si>
  <si>
    <t>794482933</t>
  </si>
  <si>
    <t>Q141 G7 1970</t>
  </si>
  <si>
    <t>0                      Q  0141000G  7           1970</t>
  </si>
  <si>
    <t>Heroes of the scientific world : an account of the lives, sacrifices, successes, and failures of some of the greatest scientists in the world's history / by Charles Robert Gibson.</t>
  </si>
  <si>
    <t>Gibson, Charles R. (Charles Robert), 1870-1931.</t>
  </si>
  <si>
    <t>Freeport, N.Y., Books for Libraries Press [1970]</t>
  </si>
  <si>
    <t>Essay index reprint series</t>
  </si>
  <si>
    <t>1514923:eng</t>
  </si>
  <si>
    <t>520498</t>
  </si>
  <si>
    <t>ocm00520498</t>
  </si>
  <si>
    <t>3000716390O</t>
  </si>
  <si>
    <t>9780836916539</t>
  </si>
  <si>
    <t>791402025</t>
  </si>
  <si>
    <t>Q141 O34 1986</t>
  </si>
  <si>
    <t>0                      Q  0141000O  34          1986</t>
  </si>
  <si>
    <t>Women in science : antiquity through the nineteenth century : a biographical dictionary with annotated bibliography / Marilyn Bailey Ogilvie.</t>
  </si>
  <si>
    <t>Ogilvie, Marilyn Bailey.</t>
  </si>
  <si>
    <t>Cambridge, Mass. : MIT Press, ©1986.</t>
  </si>
  <si>
    <t>2017-08-04</t>
  </si>
  <si>
    <t>6881400:eng</t>
  </si>
  <si>
    <t>13457002</t>
  </si>
  <si>
    <t>ocm13457002</t>
  </si>
  <si>
    <t>30009583003</t>
  </si>
  <si>
    <t>9780262150316</t>
  </si>
  <si>
    <t>792854224</t>
  </si>
  <si>
    <t>Q141 P375</t>
  </si>
  <si>
    <t>0                      Q  0141000P  375</t>
  </si>
  <si>
    <t>Science and immortality : the éloges of the Paris Academy of Sciences (1699-1791) / Charles B. Paul.</t>
  </si>
  <si>
    <t>Paul, Charles B.</t>
  </si>
  <si>
    <t>Berkeley : University of California Press, ©1980.</t>
  </si>
  <si>
    <t>292369256:eng</t>
  </si>
  <si>
    <t>6421699</t>
  </si>
  <si>
    <t>ocm06421699</t>
  </si>
  <si>
    <t>3000313193W</t>
  </si>
  <si>
    <t>9780520039865</t>
  </si>
  <si>
    <t>792497943</t>
  </si>
  <si>
    <t>Q141 S35 2012</t>
  </si>
  <si>
    <t>0                      Q  0141000S  35          2012</t>
  </si>
  <si>
    <t>The scientists : an epic of discovery / edited by Andrew Robinson.</t>
  </si>
  <si>
    <t>New York : Thames &amp; Hudson, 2012.</t>
  </si>
  <si>
    <t>2017-09-11</t>
  </si>
  <si>
    <t>1185595157:eng</t>
  </si>
  <si>
    <t>783161000</t>
  </si>
  <si>
    <t>ocn783161000</t>
  </si>
  <si>
    <t>3103472255Z</t>
  </si>
  <si>
    <t>9780500251911</t>
  </si>
  <si>
    <t>794914009</t>
  </si>
  <si>
    <t>Q141 S5635 2011</t>
  </si>
  <si>
    <t>0                      Q  0141000S  5635        2011</t>
  </si>
  <si>
    <t>The philosophical breakfast club : four remarkable friends who transformed science and changed the world / Laura Snyder.</t>
  </si>
  <si>
    <t>Snyder, Laura J.</t>
  </si>
  <si>
    <t>New York : Broadway Books, ©2010.</t>
  </si>
  <si>
    <t>2017-05-07</t>
  </si>
  <si>
    <t>510465983:eng</t>
  </si>
  <si>
    <t>711985128</t>
  </si>
  <si>
    <t>ocn711985128</t>
  </si>
  <si>
    <t>3103528945B</t>
  </si>
  <si>
    <t>794871487</t>
  </si>
  <si>
    <t>Q141 U57 2012</t>
  </si>
  <si>
    <t>0                      Q  0141000U  57          2012</t>
  </si>
  <si>
    <t>Les uns et les autres -- : biographies et prosopographies en histoire des sciences / sous la direction de Laurent Rollet et Philippe Nabonnand.</t>
  </si>
  <si>
    <t>Nancy : Presses universitaires de Nancy : Editions universitaires de Lorraine, ©2012.</t>
  </si>
  <si>
    <t>Collection Histoire des institutions scientifiques</t>
  </si>
  <si>
    <t>2014-08-18</t>
  </si>
  <si>
    <t>1209546190:fre</t>
  </si>
  <si>
    <t>847520832</t>
  </si>
  <si>
    <t>ocn847520832</t>
  </si>
  <si>
    <t>3103485269G</t>
  </si>
  <si>
    <t>9782814300965</t>
  </si>
  <si>
    <t>794949495</t>
  </si>
  <si>
    <t>Q141 Y63</t>
  </si>
  <si>
    <t>0                      Q  0141000Y  63</t>
  </si>
  <si>
    <t>Modern Americans in science and invention / by Edna Yost ; drawings by Margaret Ayer.</t>
  </si>
  <si>
    <t>Yost, Edna, 1889-1971.</t>
  </si>
  <si>
    <t>New York ; Toronto : Frederick A. Stokes Company, [©1941]</t>
  </si>
  <si>
    <t>2015-10-26</t>
  </si>
  <si>
    <t>2431053:eng</t>
  </si>
  <si>
    <t>1539393</t>
  </si>
  <si>
    <t>ocm01539393</t>
  </si>
  <si>
    <t>3103009286N</t>
  </si>
  <si>
    <t>791709400</t>
  </si>
  <si>
    <t>Q142 P74 M87</t>
  </si>
  <si>
    <t>0                      Q  0142000P  74                 M  87</t>
  </si>
  <si>
    <t>Giambattista della Porta mago e scienziato / [di] Luisa Muraro ; in appendice l'Indice della Taumatologia.</t>
  </si>
  <si>
    <t>Muraro Vaiani, Luisa.</t>
  </si>
  <si>
    <t>Milano : Feltrinelli, 1978.</t>
  </si>
  <si>
    <t>1. ed.</t>
  </si>
  <si>
    <t>SC/10 ; 86</t>
  </si>
  <si>
    <t>2015-06-30</t>
  </si>
  <si>
    <t>2453190677:ita</t>
  </si>
  <si>
    <t>5075244</t>
  </si>
  <si>
    <t>ocm05075244</t>
  </si>
  <si>
    <t>30004245645</t>
  </si>
  <si>
    <t>792405604</t>
  </si>
  <si>
    <t>Q143 A197 A3 1999</t>
  </si>
  <si>
    <t>0                      Q  0143000A  197                A  3           1999</t>
  </si>
  <si>
    <t>Wings of fire : an autobiography / A.P.J. Abdul Kalam with Arun Tiwari.</t>
  </si>
  <si>
    <t>Abdul Kalam, A. P. J. (Avul Pakir Jainulabdeen), 1931-2015, author.</t>
  </si>
  <si>
    <t>Hyderabad, A.P., India : Universities Press : Distributed by Orient Longman, 1999.</t>
  </si>
  <si>
    <t>2018-11-30</t>
  </si>
  <si>
    <t>9951124:eng</t>
  </si>
  <si>
    <t>41326410</t>
  </si>
  <si>
    <t>ocm41326410</t>
  </si>
  <si>
    <t>3102503272Q</t>
  </si>
  <si>
    <t>9788173711466</t>
  </si>
  <si>
    <t>793589142</t>
  </si>
  <si>
    <t>Q143 A43 O45</t>
  </si>
  <si>
    <t>0                      Q  0143000A  43                 O  45</t>
  </si>
  <si>
    <t>Ulisse Aldrovandi : scienza e natura nel secondo Cinquecento / Giuseppe Olmi.</t>
  </si>
  <si>
    <t>Olmi, Giuseppe.</t>
  </si>
  <si>
    <t>Trento : Unicoop, 1976.</t>
  </si>
  <si>
    <t>Quaderni di storia e filosofia della scienza ; 4</t>
  </si>
  <si>
    <t>9965356995:ita</t>
  </si>
  <si>
    <t>4033814</t>
  </si>
  <si>
    <t>ocm04033814</t>
  </si>
  <si>
    <t>3000423408O</t>
  </si>
  <si>
    <t>792315438</t>
  </si>
  <si>
    <t>Q143 A62 A73 1992</t>
  </si>
  <si>
    <t>0                      Q  0143000A  62                 A  73          1992</t>
  </si>
  <si>
    <t>Archimede : mito, tradizione, scienza : Siracusa-Catania, 9-12 ottobre 1989 / a cura di Corrado Dollo.</t>
  </si>
  <si>
    <t>Firenze : L.S. Olschki, [1992]</t>
  </si>
  <si>
    <t>Biblioteca di Nuncius. Studi e testi ; 4</t>
  </si>
  <si>
    <t>2019-05-07</t>
  </si>
  <si>
    <t>55712705:ita</t>
  </si>
  <si>
    <t>29390545</t>
  </si>
  <si>
    <t>ocm29390545</t>
  </si>
  <si>
    <t>3101465559P</t>
  </si>
  <si>
    <t>9788822239525</t>
  </si>
  <si>
    <t>793309744</t>
  </si>
  <si>
    <t>Q143 A65 B6713</t>
  </si>
  <si>
    <t>0                      Q  0143000A  65                 B  6713</t>
  </si>
  <si>
    <t>On the elements. Aristotle's early cosmology. [By] A.P. Bos. [Transl. from the Dutch by J.N. Kraay].</t>
  </si>
  <si>
    <t>Bos, A. P.</t>
  </si>
  <si>
    <t>Assen, Van Gorcum, 1973.</t>
  </si>
  <si>
    <t>Bijdragen tot de filosofie, deel 3</t>
  </si>
  <si>
    <t>2016-04-30</t>
  </si>
  <si>
    <t>808928169:eng</t>
  </si>
  <si>
    <t>668997</t>
  </si>
  <si>
    <t>ocm00668997</t>
  </si>
  <si>
    <t>30006380993</t>
  </si>
  <si>
    <t>Book_thsis</t>
  </si>
  <si>
    <t>9789023210276</t>
  </si>
  <si>
    <t>791441980</t>
  </si>
  <si>
    <t>Q143 A65 E9</t>
  </si>
  <si>
    <t>0                      Q  0143000A  65                 E  9</t>
  </si>
  <si>
    <t>The physical philosophy of Aristotle / by Melbourne G. Evans.</t>
  </si>
  <si>
    <t>Evans, Melbourne G.</t>
  </si>
  <si>
    <t>Albuquerque, University of New Mexico Press [1964]</t>
  </si>
  <si>
    <t>Bibliographical footnotes</t>
  </si>
  <si>
    <t>1631369:eng</t>
  </si>
  <si>
    <t>559908</t>
  </si>
  <si>
    <t>ocm00559908</t>
  </si>
  <si>
    <t>3000638494Y</t>
  </si>
  <si>
    <t>791414583</t>
  </si>
  <si>
    <t>Q143 B223 H46 2003</t>
  </si>
  <si>
    <t>0                      Q  0143000B  223                H  46          2003</t>
  </si>
  <si>
    <t>Knowledge is power : how magic, the government and an apocalyptic vision inspired Francis Bacon to create modern science / John Henry.</t>
  </si>
  <si>
    <t>Cambridge [England] : Icon Books, 2003.</t>
  </si>
  <si>
    <t>2019-04-02</t>
  </si>
  <si>
    <t>347678288:eng</t>
  </si>
  <si>
    <t>54697375</t>
  </si>
  <si>
    <t>ocm54697375</t>
  </si>
  <si>
    <t>31025822162</t>
  </si>
  <si>
    <t>9781840464733</t>
  </si>
  <si>
    <t>793865964</t>
  </si>
  <si>
    <t>Q143 B223 U73 1987</t>
  </si>
  <si>
    <t>0                      Q  0143000B  223                U  73          1987</t>
  </si>
  <si>
    <t>Francis Bacon's philosophy of science : an account and a reappraisal / Peter Urbach.</t>
  </si>
  <si>
    <t>Urbach, Peter.</t>
  </si>
  <si>
    <t>La Salle, Ill. : Open Court, ©1987.</t>
  </si>
  <si>
    <t>2018-12-13</t>
  </si>
  <si>
    <t>800964421:eng</t>
  </si>
  <si>
    <t>12811354</t>
  </si>
  <si>
    <t>ocm12811354</t>
  </si>
  <si>
    <t>3000527178P</t>
  </si>
  <si>
    <t>9780912050447</t>
  </si>
  <si>
    <t>792829403</t>
  </si>
  <si>
    <t>Q143 B225 R64 1997</t>
  </si>
  <si>
    <t>0                      Q  0143000B  225                R  64          1997</t>
  </si>
  <si>
    <t>Roger Bacon and the sciences : commemorative essays / edited by Jeremiah Hackett.</t>
  </si>
  <si>
    <t>Studien und Texte zur Geistesgeschichte des Mittelalters, 0169-8125 ; Bd. 57</t>
  </si>
  <si>
    <t>808202661:eng</t>
  </si>
  <si>
    <t>37373677</t>
  </si>
  <si>
    <t>ocm37373677</t>
  </si>
  <si>
    <t>3103073623C</t>
  </si>
  <si>
    <t>9789004100152</t>
  </si>
  <si>
    <t>793497284</t>
  </si>
  <si>
    <t>Q143 B77 A3 1994</t>
  </si>
  <si>
    <t>0                      Q  0143000B  77                 A  3           1994</t>
  </si>
  <si>
    <t>Robert Boyle / by himself and his friends : with a fragment of William Wotton's lost Life of Boyle : edited with an introduction by Michael Hunter.</t>
  </si>
  <si>
    <t>Boyle, Robert, 1627-1691.</t>
  </si>
  <si>
    <t>London ; Brookfield, Vt., USA : W. Pickering, 1994.</t>
  </si>
  <si>
    <t>2019-03-12</t>
  </si>
  <si>
    <t>3857637320:eng</t>
  </si>
  <si>
    <t>31295187</t>
  </si>
  <si>
    <t>ocm31295187</t>
  </si>
  <si>
    <t>3101488371G</t>
  </si>
  <si>
    <t>9781851960859</t>
  </si>
  <si>
    <t>793358080</t>
  </si>
  <si>
    <t>Q143 B77 S27 1995</t>
  </si>
  <si>
    <t>0                      Q  0143000B  77                 S  27          1995</t>
  </si>
  <si>
    <t>The diffident naturalist : Robert Boyle and the philosophy of experiment / Rose-Mary Sargent.</t>
  </si>
  <si>
    <t>Sargent, Rose-Mary.</t>
  </si>
  <si>
    <t>2019-01-29</t>
  </si>
  <si>
    <t>793964383:eng</t>
  </si>
  <si>
    <t>30546045</t>
  </si>
  <si>
    <t>ocm30546045</t>
  </si>
  <si>
    <t>31014842624</t>
  </si>
  <si>
    <t>9780226734958</t>
  </si>
  <si>
    <t>793338507</t>
  </si>
  <si>
    <t>Q143 B795 G37 1999</t>
  </si>
  <si>
    <t>0                      Q  0143000B  795                G  37          1999</t>
  </si>
  <si>
    <t>Giordano Bruno and Renaissance science / Hilary Gatti.</t>
  </si>
  <si>
    <t>Gatti, Hilary.</t>
  </si>
  <si>
    <t>Ithaca : Cornell University Press, 1999.</t>
  </si>
  <si>
    <t>6271060:eng</t>
  </si>
  <si>
    <t>39379892</t>
  </si>
  <si>
    <t>ocm39379892</t>
  </si>
  <si>
    <t>3101940171G</t>
  </si>
  <si>
    <t>9780801435294</t>
  </si>
  <si>
    <t>793545115</t>
  </si>
  <si>
    <t>Q143 D37 A2 1971</t>
  </si>
  <si>
    <t>0                      Q  0143000D  37                 A  2           1971</t>
  </si>
  <si>
    <t>Œuvres de Jean Delsarte.</t>
  </si>
  <si>
    <t>Delsarte, Jean, 1903-1968.</t>
  </si>
  <si>
    <t>Paris, Éditions du Centre national de la recherche scientifique, 1971.</t>
  </si>
  <si>
    <t>2017-04-25</t>
  </si>
  <si>
    <t>4663686956:fre</t>
  </si>
  <si>
    <t>544830</t>
  </si>
  <si>
    <t>ocm00544830</t>
  </si>
  <si>
    <t>30006387076</t>
  </si>
  <si>
    <t>791409708</t>
  </si>
  <si>
    <t>3100438525G</t>
  </si>
  <si>
    <t>791409707</t>
  </si>
  <si>
    <t>Q143 D4 D3 1968</t>
  </si>
  <si>
    <t>0                      Q  0143000D  4                  D  3           1968</t>
  </si>
  <si>
    <t>The essential writings of Erasmus Darwin; chosen and edited with a linking commentary by Desmond King-Hele.</t>
  </si>
  <si>
    <t>Darwin, Erasmus, 1731-1802.</t>
  </si>
  <si>
    <t>London, MacGibbon &amp; Kee, 1968.</t>
  </si>
  <si>
    <t>2016-01-12</t>
  </si>
  <si>
    <t>2017-07-05</t>
  </si>
  <si>
    <t>1502879:eng</t>
  </si>
  <si>
    <t>462163</t>
  </si>
  <si>
    <t>ocm00462163</t>
  </si>
  <si>
    <t>31036443226</t>
  </si>
  <si>
    <t>9780261620292</t>
  </si>
  <si>
    <t>791385008</t>
  </si>
  <si>
    <t>Q143 F54 A22 1937</t>
  </si>
  <si>
    <t>0                      Q  0143000F  54                 A  22          1937</t>
  </si>
  <si>
    <t>Out of my life and work; translated by Bernard Miall.</t>
  </si>
  <si>
    <t>Forel, Auguste, 1848-1931.</t>
  </si>
  <si>
    <t>London, G. Allen &amp; Unwin Ltd. [1937]</t>
  </si>
  <si>
    <t>1937</t>
  </si>
  <si>
    <t>1574893:eng</t>
  </si>
  <si>
    <t>544107</t>
  </si>
  <si>
    <t>ocm00544107</t>
  </si>
  <si>
    <t>30007008547</t>
  </si>
  <si>
    <t>791409460</t>
  </si>
  <si>
    <t>Q143 G53 F56 1991</t>
  </si>
  <si>
    <t>0                      Q  0143000G  53                 F  56          1991</t>
  </si>
  <si>
    <t>Goethe's history of science / Karl J. Fink.</t>
  </si>
  <si>
    <t>Fink, Karl J., 1942-</t>
  </si>
  <si>
    <t>Cambridge [England] ; New York : Cambridge University Press, 1991.</t>
  </si>
  <si>
    <t>2017-04-12</t>
  </si>
  <si>
    <t>25040552:eng</t>
  </si>
  <si>
    <t>23180092</t>
  </si>
  <si>
    <t>ocm23180092</t>
  </si>
  <si>
    <t>31011074576</t>
  </si>
  <si>
    <t>9780521402118</t>
  </si>
  <si>
    <t>793163765</t>
  </si>
  <si>
    <t>Q143 H36 T46 2012</t>
  </si>
  <si>
    <t>0                      Q  0143000H  36                 T  46          2012</t>
  </si>
  <si>
    <t>Thomas Harriot and his world : mathematics, exploration, and natural philosophy in early modern England / edited by Robert Fox.</t>
  </si>
  <si>
    <t>Farnham, Surrey, England ; Burlington, VT : Ashgate Pub., ©2012.</t>
  </si>
  <si>
    <t>1061228149:eng</t>
  </si>
  <si>
    <t>768335643</t>
  </si>
  <si>
    <t>ocn768335643</t>
  </si>
  <si>
    <t>3103472257Z</t>
  </si>
  <si>
    <t>9780754669609</t>
  </si>
  <si>
    <t>794902238</t>
  </si>
  <si>
    <t>Q143 H5 C34 2018</t>
  </si>
  <si>
    <t>0                      Q  0143000H  5                  C  34          2018</t>
  </si>
  <si>
    <t>Helmholtz : a life in science / David Cahan.</t>
  </si>
  <si>
    <t>Cahan, David, author.</t>
  </si>
  <si>
    <t>Chicago, IL : The University of Chicago Press, 2018.</t>
  </si>
  <si>
    <t>2019-08-30</t>
  </si>
  <si>
    <t>4501979527:eng</t>
  </si>
  <si>
    <t>1004267771</t>
  </si>
  <si>
    <t>on1004267771</t>
  </si>
  <si>
    <t>31038116095</t>
  </si>
  <si>
    <t>9780226481142</t>
  </si>
  <si>
    <t>795041840</t>
  </si>
  <si>
    <t>Q143 H7 R63 2006</t>
  </si>
  <si>
    <t>0                      Q  0143000H  7                  R  63          2006</t>
  </si>
  <si>
    <t>Robert Hooke : tercentennial studies / edited by Michael Cooper and Michael Hunter.</t>
  </si>
  <si>
    <t>Aldershot, Hants, England ; Burlington, VT : Ashgate, ©2006.</t>
  </si>
  <si>
    <t>2017-08-11</t>
  </si>
  <si>
    <t>3857965769:eng</t>
  </si>
  <si>
    <t>60669092</t>
  </si>
  <si>
    <t>ocm60669092</t>
  </si>
  <si>
    <t>31025568964</t>
  </si>
  <si>
    <t>9780754653653</t>
  </si>
  <si>
    <t>793941850</t>
  </si>
  <si>
    <t>Q143 H9 A68</t>
  </si>
  <si>
    <t>0                      Q  0143000H  9                  A  68</t>
  </si>
  <si>
    <t>Alexander von Humboldt : Werk und Weltgeltung / herausgegeben von Heinrich Pfeiffer für die Alexander von Humboldt-Stiftung.</t>
  </si>
  <si>
    <t>München : R. Piper &amp; Co. Verlag, ©1969.</t>
  </si>
  <si>
    <t>2017-08-31</t>
  </si>
  <si>
    <t>146383807:ger</t>
  </si>
  <si>
    <t>297136</t>
  </si>
  <si>
    <t>ocm00297136</t>
  </si>
  <si>
    <t>3000629381B</t>
  </si>
  <si>
    <t>791328018</t>
  </si>
  <si>
    <t>Q143 H9 C67 2012</t>
  </si>
  <si>
    <t>0                      Q  0143000H  9                  C  67          2012</t>
  </si>
  <si>
    <t>Cosmos and colonialism : Alexander von Humboldt in cultural criticism / edited By Rex Clark and Oliver Lubrich.</t>
  </si>
  <si>
    <t>New York : Berghahn Books, 2012.</t>
  </si>
  <si>
    <t>1119662152:eng</t>
  </si>
  <si>
    <t>744303308</t>
  </si>
  <si>
    <t>ocn744303308</t>
  </si>
  <si>
    <t>3103422512M</t>
  </si>
  <si>
    <t>9780857452665</t>
  </si>
  <si>
    <t>794886171</t>
  </si>
  <si>
    <t>Q143 H9 D4 1955</t>
  </si>
  <si>
    <t>0                      Q  0143000H  9                  D  4           1955</t>
  </si>
  <si>
    <t>Humboldt; the life and times of Alexander von Humboldt, 1769-1859.</t>
  </si>
  <si>
    <t>De Terra, Helmut, 1900-1981.</t>
  </si>
  <si>
    <t>New York, Knopf, 1955.</t>
  </si>
  <si>
    <t>429213741:eng</t>
  </si>
  <si>
    <t>491628</t>
  </si>
  <si>
    <t>ocm00491628</t>
  </si>
  <si>
    <t>3001077786$</t>
  </si>
  <si>
    <t>791392435</t>
  </si>
  <si>
    <t>2010-05-03</t>
  </si>
  <si>
    <t>3103873233F</t>
  </si>
  <si>
    <t>791392437</t>
  </si>
  <si>
    <t>Q143 H9 E35 2017</t>
  </si>
  <si>
    <t>0                      Q  0143000H  9                  E  35          2017</t>
  </si>
  <si>
    <t>Humboldt's Mexico : in the footsteps of the illustrious german scientific traveller / Myron Echenberg.</t>
  </si>
  <si>
    <t>Echenberg, Myron J., author.</t>
  </si>
  <si>
    <t>Montreal &amp; Kingston : McGill-Queen's University Press, 2017.</t>
  </si>
  <si>
    <t>3963352752:eng</t>
  </si>
  <si>
    <t>964328973</t>
  </si>
  <si>
    <t>ocn964328973</t>
  </si>
  <si>
    <t>3103647365A</t>
  </si>
  <si>
    <t>9780773549401</t>
  </si>
  <si>
    <t>795025122</t>
  </si>
  <si>
    <t>Q143 H9 H49 2007</t>
  </si>
  <si>
    <t>0                      Q  0143000H  9                  H  49          2007</t>
  </si>
  <si>
    <t>Das Ganze der Natur und die Differenzierung des Wissens : Alexander von Humboldt als Schriftsteller / von Bettina Heyʼl.</t>
  </si>
  <si>
    <t>Heyʼl, Bettina.</t>
  </si>
  <si>
    <t>Berlin ; New York : Walter De Gruyter, ©2007.</t>
  </si>
  <si>
    <t>Quellen und Forschungen zur Literatur- und Kulturgeschichte ; 47</t>
  </si>
  <si>
    <t>2018-01-30</t>
  </si>
  <si>
    <t>351873159:ger</t>
  </si>
  <si>
    <t>176628351</t>
  </si>
  <si>
    <t>ocn176628351</t>
  </si>
  <si>
    <t>31028315076</t>
  </si>
  <si>
    <t>9783110196016</t>
  </si>
  <si>
    <t>794277393</t>
  </si>
  <si>
    <t>Q143 H9 M435 2018</t>
  </si>
  <si>
    <t>0                      Q  0143000H  9                  M  435         2018</t>
  </si>
  <si>
    <t>A longing for wide and unknown things : the life of Alexander von Humboldt / Maren Meinhardt.</t>
  </si>
  <si>
    <t>Meinhardt, Maren, author.</t>
  </si>
  <si>
    <t>London : C. Hurst &amp; Co. (Publishers) Ltd., 2018.</t>
  </si>
  <si>
    <t>4174904550:eng</t>
  </si>
  <si>
    <t>982931213</t>
  </si>
  <si>
    <t>ocn982931213</t>
  </si>
  <si>
    <t>31037382577</t>
  </si>
  <si>
    <t>9781849048903</t>
  </si>
  <si>
    <t>795034647</t>
  </si>
  <si>
    <t>Q143 H9 S24 2006</t>
  </si>
  <si>
    <t>0                      Q  0143000H  9                  S  24          2006</t>
  </si>
  <si>
    <t>The Humboldt current : nineteenth-century exploration and the roots of American environmentalism / Aaron Sachs.</t>
  </si>
  <si>
    <t>Sachs, Aaron (Aaron Jacob)</t>
  </si>
  <si>
    <t>New York : Viking, 2006.</t>
  </si>
  <si>
    <t>2016-02-23</t>
  </si>
  <si>
    <t>293237778:eng</t>
  </si>
  <si>
    <t>62325168</t>
  </si>
  <si>
    <t>ocm62325168</t>
  </si>
  <si>
    <t>3102636296Q</t>
  </si>
  <si>
    <t>9780670037759</t>
  </si>
  <si>
    <t>794104985</t>
  </si>
  <si>
    <t>Q143 H9 T68 2012</t>
  </si>
  <si>
    <t>0                      Q  0143000H  9                  T  68          2012</t>
  </si>
  <si>
    <t>Transatlantic echoes : Alexander von Humboldt in world literature / edited by Rex Clark and Oliver Lubrich.</t>
  </si>
  <si>
    <t>2015-09-16</t>
  </si>
  <si>
    <t>1120976336:eng</t>
  </si>
  <si>
    <t>744303306</t>
  </si>
  <si>
    <t>ocn744303306</t>
  </si>
  <si>
    <t>3103422339O</t>
  </si>
  <si>
    <t>9780857452658</t>
  </si>
  <si>
    <t>794886170</t>
  </si>
  <si>
    <t>Q143 H9 W48</t>
  </si>
  <si>
    <t>0                      Q  0143000H  9                  W  48</t>
  </si>
  <si>
    <t>Alexander von Humboldt; eigene und neue Wertungen der Reisen, Arbeit und Gedankenwelt. Mit Beiträgen von H. Wilhelmy, G. Engelmann und G. Hard.</t>
  </si>
  <si>
    <t>Wilhelmy, Herbert, 1910-2003.</t>
  </si>
  <si>
    <t>Wiesbaden, F. Steiner, 1970.</t>
  </si>
  <si>
    <t>Geographische Zeitschrift. Beihefte. Erdkundliches Wissen; Schriftenfolge für Forschung und Praxis, Heft 23</t>
  </si>
  <si>
    <t>1409770:ger</t>
  </si>
  <si>
    <t>275209</t>
  </si>
  <si>
    <t>ocm00275209</t>
  </si>
  <si>
    <t>30006384913</t>
  </si>
  <si>
    <t>791320112</t>
  </si>
  <si>
    <t>Q143 H9 W85 2015</t>
  </si>
  <si>
    <t>0                      Q  0143000H  9                  W  85          2015</t>
  </si>
  <si>
    <t>The invention of nature : Alexander von Humboldt's new world / Andrea Wulf.</t>
  </si>
  <si>
    <t>Wulf, Andrea.</t>
  </si>
  <si>
    <t>New York : Alfred A. Knopf, 2015.</t>
  </si>
  <si>
    <t>First American edition.</t>
  </si>
  <si>
    <t>2019-08-07</t>
  </si>
  <si>
    <t>3923834378:eng</t>
  </si>
  <si>
    <t>911240481</t>
  </si>
  <si>
    <t>ocn911240481</t>
  </si>
  <si>
    <t>3103608003Q</t>
  </si>
  <si>
    <t>9780385350662</t>
  </si>
  <si>
    <t>794998228</t>
  </si>
  <si>
    <t>2019-01-14</t>
  </si>
  <si>
    <t>3103710187H</t>
  </si>
  <si>
    <t>794998229</t>
  </si>
  <si>
    <t>Q143 H94 A3</t>
  </si>
  <si>
    <t>0                      Q  0143000H  94                 A  3</t>
  </si>
  <si>
    <t>Biographical memoir of Thomas Sterry Hunt, 1826-1892, by Frank Dawson Adams. Presented to the academy at the annual meeting, 1932.</t>
  </si>
  <si>
    <t>Adams, Frank Dawson, 1859-1942.</t>
  </si>
  <si>
    <t>[Washington], [The National academy of sciences], [1932]</t>
  </si>
  <si>
    <t>1932</t>
  </si>
  <si>
    <t>Biographical memoirs / National Academy of Sciences of the United States of America ; v. 15, 7th memoir</t>
  </si>
  <si>
    <t>2017-08-17</t>
  </si>
  <si>
    <t>4422521:eng</t>
  </si>
  <si>
    <t>11766584</t>
  </si>
  <si>
    <t>ocm11766584</t>
  </si>
  <si>
    <t>3000730628Z</t>
  </si>
  <si>
    <t>792786945</t>
  </si>
  <si>
    <t>Q143 H94 D7</t>
  </si>
  <si>
    <t>0                      Q  0143000H  94                 D  7</t>
  </si>
  <si>
    <t>A memoir of Thomas Sterry Hunt. Read before the American Philosophical Society, April 1, 1898.</t>
  </si>
  <si>
    <t>Douglas, James, 1837-1918.</t>
  </si>
  <si>
    <t>Philadelphia MacCalla 1898.</t>
  </si>
  <si>
    <t>1898</t>
  </si>
  <si>
    <t>29133681:eng</t>
  </si>
  <si>
    <t>977408626</t>
  </si>
  <si>
    <t>ocn977408626</t>
  </si>
  <si>
    <t>3000710443M</t>
  </si>
  <si>
    <t>795031834</t>
  </si>
  <si>
    <t>Q143 K42 A37</t>
  </si>
  <si>
    <t>0                      Q  0143000K  42                 A  37</t>
  </si>
  <si>
    <t>Sputnik, scientists, and Eisenhower : a memoir of the first special assistant to the President for science and technology / James R. Killian, Jr.</t>
  </si>
  <si>
    <t>Killian, James Rhyne, 1904-1988.</t>
  </si>
  <si>
    <t>Cambridge, Mass. : MIT Press, ©1977.</t>
  </si>
  <si>
    <t>198176182:eng</t>
  </si>
  <si>
    <t>3205572</t>
  </si>
  <si>
    <t>ocm03205572</t>
  </si>
  <si>
    <t>3103599794S</t>
  </si>
  <si>
    <t>9780262110662</t>
  </si>
  <si>
    <t>792229446</t>
  </si>
  <si>
    <t>Q143 L5 F7</t>
  </si>
  <si>
    <t>0                      Q  0143000L  5                  F  7</t>
  </si>
  <si>
    <t>Léonard de Vinci et l'expérience scientifique au 16e siècle : Paris, 4-7 juillet 1952 / Paris, Centre National de la Recherche Scientifique : Colloque international sciences humaines ; 1952 ; éditeur sci. André Chastel.</t>
  </si>
  <si>
    <t>Centre national de la recherche scientifique (France)</t>
  </si>
  <si>
    <t>Paris : C.N.R.S. : P.U.F., 1953.</t>
  </si>
  <si>
    <t>Colloques internationaux du Centre national de la recherche scientifique. Sciences humaines ; 1</t>
  </si>
  <si>
    <t>2017-11-01</t>
  </si>
  <si>
    <t>5091216756:fre</t>
  </si>
  <si>
    <t>81297640</t>
  </si>
  <si>
    <t>ocm81297640</t>
  </si>
  <si>
    <t>31029643712</t>
  </si>
  <si>
    <t>794203074</t>
  </si>
  <si>
    <t>Q143 L5 W57 2000</t>
  </si>
  <si>
    <t>0                      Q  0143000L  5                  W  57          2000</t>
  </si>
  <si>
    <t>Leonardo : the first scientist / Michael White.</t>
  </si>
  <si>
    <t>White, Michael, 1959-2018.</t>
  </si>
  <si>
    <t>New York : St. Martin's Press, 2000.</t>
  </si>
  <si>
    <t>2019-10-17</t>
  </si>
  <si>
    <t>6230465:eng</t>
  </si>
  <si>
    <t>44686511</t>
  </si>
  <si>
    <t>ocm44686511</t>
  </si>
  <si>
    <t>3102213589S</t>
  </si>
  <si>
    <t>9780312203337</t>
  </si>
  <si>
    <t>793655918</t>
  </si>
  <si>
    <t>Q143 M28 A3</t>
  </si>
  <si>
    <t>0                      Q  0143000M  28                 A  3</t>
  </si>
  <si>
    <t>Maupertuis, le savant et la philosophe; presentation et extraits [par] Émile Callot. Préf. de Jean Rostant.</t>
  </si>
  <si>
    <t>Maupertuis, 1698-1759.</t>
  </si>
  <si>
    <t>Paris, M. Rivière, [©1964]</t>
  </si>
  <si>
    <t>Bibliothèque philosophique</t>
  </si>
  <si>
    <t>2017-03-17</t>
  </si>
  <si>
    <t>4917346824:fre</t>
  </si>
  <si>
    <t>3744525</t>
  </si>
  <si>
    <t>ocm03744525</t>
  </si>
  <si>
    <t>30006384905</t>
  </si>
  <si>
    <t>792287157</t>
  </si>
  <si>
    <t>Q143 M28 T47 2002</t>
  </si>
  <si>
    <t>0                      Q  0143000M  28                 T  47          2002</t>
  </si>
  <si>
    <t>The man who flattened the earth : Maupertuis and the sciences in the enlightenment / Mary Terrall.</t>
  </si>
  <si>
    <t>Terrall, Mary.</t>
  </si>
  <si>
    <t>Chicago : University of Chicago Press, ©2002.</t>
  </si>
  <si>
    <t>793958171:eng</t>
  </si>
  <si>
    <t>49719072</t>
  </si>
  <si>
    <t>ocm49719072</t>
  </si>
  <si>
    <t>31022377562</t>
  </si>
  <si>
    <t>9780226793603</t>
  </si>
  <si>
    <t>793746386</t>
  </si>
  <si>
    <t>Q143 M28 V4</t>
  </si>
  <si>
    <t>0                      Q  0143000M  28                 V  4</t>
  </si>
  <si>
    <t>Maupertuis.</t>
  </si>
  <si>
    <t>Velluz, Léon, 1900-</t>
  </si>
  <si>
    <t>[Paris], Hachette, 1969.</t>
  </si>
  <si>
    <t>5621008:fre</t>
  </si>
  <si>
    <t>2541874</t>
  </si>
  <si>
    <t>ocm02541874</t>
  </si>
  <si>
    <t>3000638700K</t>
  </si>
  <si>
    <t>792141216</t>
  </si>
  <si>
    <t>Q143 N44 W56 2008</t>
  </si>
  <si>
    <t>0                      Q  0143000N  44                 W  56          2008</t>
  </si>
  <si>
    <t>The man who loved China : the fantastic story of the eccentric scientist who unlocked the mysteries of the Middle Kingdom / Simon Winchester.</t>
  </si>
  <si>
    <t>Winchester, Simon.</t>
  </si>
  <si>
    <t>New York, NY : Harper, ©2008.</t>
  </si>
  <si>
    <t>Book club kit</t>
  </si>
  <si>
    <t>2016-12-14</t>
  </si>
  <si>
    <t>772745418:eng</t>
  </si>
  <si>
    <t>173748716</t>
  </si>
  <si>
    <t>ocn173748716</t>
  </si>
  <si>
    <t>3103213926L</t>
  </si>
  <si>
    <t>9780060884598</t>
  </si>
  <si>
    <t>794270260</t>
  </si>
  <si>
    <t>2012-09-12</t>
  </si>
  <si>
    <t>3102884577T</t>
  </si>
  <si>
    <t>794270261</t>
  </si>
  <si>
    <t>Q143 N495 I8 2001</t>
  </si>
  <si>
    <t>0                      Q  0143000N  495                I  8           2001</t>
  </si>
  <si>
    <t>Isaac Newton's natural philosophy / edited by Jed Z. Buchwald and I. Bernard Cohen.</t>
  </si>
  <si>
    <t>Cambridge, Mass. : MIT Press, ©2001.</t>
  </si>
  <si>
    <t>Dibner Institute studies in the history of science and technology</t>
  </si>
  <si>
    <t>2017-01-09</t>
  </si>
  <si>
    <t>345709234:eng</t>
  </si>
  <si>
    <t>42296284</t>
  </si>
  <si>
    <t>ocm42296284</t>
  </si>
  <si>
    <t>3102337179A</t>
  </si>
  <si>
    <t>9780262024778</t>
  </si>
  <si>
    <t>793604782</t>
  </si>
  <si>
    <t>Q143 O4 A4</t>
  </si>
  <si>
    <t>0                      Q  0143000O  4                  A  4</t>
  </si>
  <si>
    <t>Correspondence. edited and Translated by A. Rupert Hall &amp; Marie Boas Hall.</t>
  </si>
  <si>
    <t>V. 3 (1666-67)</t>
  </si>
  <si>
    <t>Oldenburg, Henry, approximately 1615-1677.</t>
  </si>
  <si>
    <t>Madison : University of Wisconsin Press, 1965-1975.</t>
  </si>
  <si>
    <t>2014-03-10</t>
  </si>
  <si>
    <t>2016-10-11</t>
  </si>
  <si>
    <t>3901993324:eng</t>
  </si>
  <si>
    <t>42643415</t>
  </si>
  <si>
    <t>ocm42643415</t>
  </si>
  <si>
    <t>3100438536B</t>
  </si>
  <si>
    <t>9780299052805</t>
  </si>
  <si>
    <t>793610519</t>
  </si>
  <si>
    <t>V. 6 (1669-70)</t>
  </si>
  <si>
    <t>3100438541I</t>
  </si>
  <si>
    <t>793610516</t>
  </si>
  <si>
    <t>V. 9 (1672-73)</t>
  </si>
  <si>
    <t>3100438543E</t>
  </si>
  <si>
    <t>793610513</t>
  </si>
  <si>
    <t>V. 4 (1667-68)</t>
  </si>
  <si>
    <t>31004385387</t>
  </si>
  <si>
    <t>793610518</t>
  </si>
  <si>
    <t>V. 13 (1676-77)</t>
  </si>
  <si>
    <t>2014-06-10</t>
  </si>
  <si>
    <t>3103388006S</t>
  </si>
  <si>
    <t>793610509</t>
  </si>
  <si>
    <t>V. 7 (1670-71)</t>
  </si>
  <si>
    <t>3100438540K</t>
  </si>
  <si>
    <t>793610515</t>
  </si>
  <si>
    <t>3100438533H</t>
  </si>
  <si>
    <t>793610537</t>
  </si>
  <si>
    <t>V. 8 (1671-72)</t>
  </si>
  <si>
    <t>3100438542G</t>
  </si>
  <si>
    <t>793610514</t>
  </si>
  <si>
    <t>V. 2 (1663-65)</t>
  </si>
  <si>
    <t>3100438534F</t>
  </si>
  <si>
    <t>793610520</t>
  </si>
  <si>
    <t>31004385379</t>
  </si>
  <si>
    <t>793610535</t>
  </si>
  <si>
    <t>V. 10 (1673-74)</t>
  </si>
  <si>
    <t>3100438544C</t>
  </si>
  <si>
    <t>793610512</t>
  </si>
  <si>
    <t>V. 1 (1641-62)</t>
  </si>
  <si>
    <t>3000430459G</t>
  </si>
  <si>
    <t>793610521</t>
  </si>
  <si>
    <t>V. 12 (1675-76)</t>
  </si>
  <si>
    <t>3103188329R</t>
  </si>
  <si>
    <t>793610510</t>
  </si>
  <si>
    <t>V. 5 (1668-69)</t>
  </si>
  <si>
    <t>31004385395</t>
  </si>
  <si>
    <t>793610517</t>
  </si>
  <si>
    <t>V. 11 (1674-75)</t>
  </si>
  <si>
    <t>3100438545A</t>
  </si>
  <si>
    <t>793610511</t>
  </si>
  <si>
    <t>3100438535D</t>
  </si>
  <si>
    <t>793610536</t>
  </si>
  <si>
    <t>Q143 P64 B43 1992</t>
  </si>
  <si>
    <t>0                      Q  0143000P  64                 B  43          1992</t>
  </si>
  <si>
    <t>Roman nature : the thought of Pliny the Elder / Mary Beagon.</t>
  </si>
  <si>
    <t>Beagon, Mary.</t>
  </si>
  <si>
    <t>Oxford [England] : Clarendon Press ; New York : Oxford University Press, 1992.</t>
  </si>
  <si>
    <t>Oxford classical monographs</t>
  </si>
  <si>
    <t>2016-02-03</t>
  </si>
  <si>
    <t>808752850:eng</t>
  </si>
  <si>
    <t>24543902</t>
  </si>
  <si>
    <t>ocm24543902</t>
  </si>
  <si>
    <t>3102582718O</t>
  </si>
  <si>
    <t>9780198147268</t>
  </si>
  <si>
    <t>793200729</t>
  </si>
  <si>
    <t>Q143 R36 M95 2017</t>
  </si>
  <si>
    <t>0                      Q  0143000R  36                 M  95          2017</t>
  </si>
  <si>
    <t>"My journey" : the autobiography of Harold Ramkissoon / by Harold Ramkissoon.</t>
  </si>
  <si>
    <t>Ramkissoon, Harold, author.</t>
  </si>
  <si>
    <t>[Trinidad and Tobago] : [publisher not identified], [2017]</t>
  </si>
  <si>
    <t>4561720042:eng</t>
  </si>
  <si>
    <t>1007851524</t>
  </si>
  <si>
    <t>on1007851524</t>
  </si>
  <si>
    <t>3103793911T</t>
  </si>
  <si>
    <t>9789768271518</t>
  </si>
  <si>
    <t>795044345</t>
  </si>
  <si>
    <t>Q143 S18 A3 2017</t>
  </si>
  <si>
    <t>0                      Q  0143000S  18                 A  3           2017</t>
  </si>
  <si>
    <t>A memoir of pre-partition Punjab : Ruchi Ram Sahni, 1863-1948 / edited by Neera Burra.</t>
  </si>
  <si>
    <t>Sahni, Ruchi Ram, 1863-1948, author.</t>
  </si>
  <si>
    <t>New Delhi : Oxford University Press, 2017.</t>
  </si>
  <si>
    <t>First edition</t>
  </si>
  <si>
    <t>4411981020:eng</t>
  </si>
  <si>
    <t>966908405</t>
  </si>
  <si>
    <t>ocn966908405</t>
  </si>
  <si>
    <t>3103670301G</t>
  </si>
  <si>
    <t>9780199474004</t>
  </si>
  <si>
    <t>795026360</t>
  </si>
  <si>
    <t>Q143 S25 F7</t>
  </si>
  <si>
    <t>0                      Q  0143000S  25                 F  7</t>
  </si>
  <si>
    <t>The life of Horace Benedict de Saussure / by Douglas W. Freshfield, D.C.L. ; with the collaboration of Henry F. Montagnier.</t>
  </si>
  <si>
    <t>Freshfield, Douglas William, 1845-1934.</t>
  </si>
  <si>
    <t>London : E. Arnold, 1920.</t>
  </si>
  <si>
    <t>1920</t>
  </si>
  <si>
    <t>2016-06-15</t>
  </si>
  <si>
    <t>4494917058:eng</t>
  </si>
  <si>
    <t>1661969</t>
  </si>
  <si>
    <t>ocm01661969</t>
  </si>
  <si>
    <t>31027352291</t>
  </si>
  <si>
    <t>791825552</t>
  </si>
  <si>
    <t>Q143 S5 H84 2012</t>
  </si>
  <si>
    <t>0                      Q  0143000S  5                  H  84          2012</t>
  </si>
  <si>
    <t>Shen Kuo yan jiu : ke ji shi lun / Hu Daojing zhu.</t>
  </si>
  <si>
    <t>Hu, Daojing, author.</t>
  </si>
  <si>
    <t>Shanghai : Shanghai ren min chu ban she, 2011.</t>
  </si>
  <si>
    <t>Hu Daojing wen ji</t>
  </si>
  <si>
    <t>4133022538:chi</t>
  </si>
  <si>
    <t>768570055</t>
  </si>
  <si>
    <t>ocn768570055</t>
  </si>
  <si>
    <t>3103466156R</t>
  </si>
  <si>
    <t>9787208103467</t>
  </si>
  <si>
    <t>794902599</t>
  </si>
  <si>
    <t>Q143 S7 N44 2001</t>
  </si>
  <si>
    <t>0                      Q  0143000S  7                  N  44          2001</t>
  </si>
  <si>
    <t>Mary Somerville : science, illumination, and the female mind / Kathryn A. Neeley.</t>
  </si>
  <si>
    <t>Neeley, Kathryn A. (Kathryn Angelyn), 1954-</t>
  </si>
  <si>
    <t>Cambridge, UK ; New York : Cambridge University Press, 2001.</t>
  </si>
  <si>
    <t>Cambridge science biographies</t>
  </si>
  <si>
    <t>2017-06-22</t>
  </si>
  <si>
    <t>793879479:eng</t>
  </si>
  <si>
    <t>45087243</t>
  </si>
  <si>
    <t>ocm45087243</t>
  </si>
  <si>
    <t>31021568435</t>
  </si>
  <si>
    <t>9780521622998</t>
  </si>
  <si>
    <t>793664269</t>
  </si>
  <si>
    <t>Q143 T46 T44 1992</t>
  </si>
  <si>
    <t>0                      Q  0143000T  46                 T  44          1992</t>
  </si>
  <si>
    <t>Theophrastus : his psychological, doxographical, and scientific writings / edited by William W. Fortenbaugh and Dimitri Gutas.</t>
  </si>
  <si>
    <t>New Brunswick, U.S.A. : Transaction, ©1992.</t>
  </si>
  <si>
    <t>Rutgers University studies in classical humanities, 0732-9814 ; v. 5</t>
  </si>
  <si>
    <t>889980050:eng</t>
  </si>
  <si>
    <t>24142054</t>
  </si>
  <si>
    <t>ocm24142054</t>
  </si>
  <si>
    <t>31012085407</t>
  </si>
  <si>
    <t>9780887384042</t>
  </si>
  <si>
    <t>793190596</t>
  </si>
  <si>
    <t>Q143 W68 B46 1982</t>
  </si>
  <si>
    <t>0                      Q  0143000W  68                 B  46          1982</t>
  </si>
  <si>
    <t>The mathematical science of Christopher Wren / J.A. Bennett.</t>
  </si>
  <si>
    <t>Bennett, J. A. (James A.)</t>
  </si>
  <si>
    <t>Cambridge [Cambridgeshire] ; New York : Cambridge University Press, 1982.</t>
  </si>
  <si>
    <t>2016-05-05</t>
  </si>
  <si>
    <t>20440430:eng</t>
  </si>
  <si>
    <t>7998009</t>
  </si>
  <si>
    <t>ocm07998009</t>
  </si>
  <si>
    <t>31029643614</t>
  </si>
  <si>
    <t>9780521246088</t>
  </si>
  <si>
    <t>792592127</t>
  </si>
  <si>
    <t>Q147 B45 1984</t>
  </si>
  <si>
    <t>0                      Q  0147000B  45          1984</t>
  </si>
  <si>
    <t>The scientist's role in society : a comparative study : with a new introduction / Joseph Ben-David.</t>
  </si>
  <si>
    <t>Ben-David, Joseph.</t>
  </si>
  <si>
    <t>2018-05-25</t>
  </si>
  <si>
    <t>5377561423:eng</t>
  </si>
  <si>
    <t>10754103</t>
  </si>
  <si>
    <t>ocm10754103</t>
  </si>
  <si>
    <t>3102799616J</t>
  </si>
  <si>
    <t>9780226042213</t>
  </si>
  <si>
    <t>792741300</t>
  </si>
  <si>
    <t>Q147 M33</t>
  </si>
  <si>
    <t>0                      Q  0147000M  33</t>
  </si>
  <si>
    <t>Scientist as subject : the psychological imperative / Michael J. Mahoney.</t>
  </si>
  <si>
    <t>Mahoney, Michael J.</t>
  </si>
  <si>
    <t>Cambridge, Mass. : Ballinger Pub. Co., ©1976.</t>
  </si>
  <si>
    <t>2015-04-15</t>
  </si>
  <si>
    <t>102892:eng</t>
  </si>
  <si>
    <t>2074379</t>
  </si>
  <si>
    <t>ocm02074379</t>
  </si>
  <si>
    <t>3000456155V</t>
  </si>
  <si>
    <t>9780884105053</t>
  </si>
  <si>
    <t>792040457</t>
  </si>
  <si>
    <t>Q147 S4</t>
  </si>
  <si>
    <t>0                      Q  0147000S  4</t>
  </si>
  <si>
    <t>From dream to discovery : on being a scientist / by Hans Selye.</t>
  </si>
  <si>
    <t>Selye, Hans, 1907-1982.</t>
  </si>
  <si>
    <t>New York : McGraw-Hill, [1964]</t>
  </si>
  <si>
    <t>2018-05-15</t>
  </si>
  <si>
    <t>476838:eng</t>
  </si>
  <si>
    <t>1110045</t>
  </si>
  <si>
    <t>ocm01110045</t>
  </si>
  <si>
    <t>3000350907A</t>
  </si>
  <si>
    <t>791548529</t>
  </si>
  <si>
    <t>Q147 W413 2004</t>
  </si>
  <si>
    <t>0                      Q  0147000W  413         2004</t>
  </si>
  <si>
    <t>The vocation lectures / Max Weber ; edited and with an introduction by David Owen and Tracy B. Strong ; translation by Rodney Livingstone.</t>
  </si>
  <si>
    <t>Weber, Max, 1864-1920.</t>
  </si>
  <si>
    <t>Indianapolis : Hackett Pub., ©2004.</t>
  </si>
  <si>
    <t>2908732900:eng</t>
  </si>
  <si>
    <t>53019391</t>
  </si>
  <si>
    <t>ocm53019391</t>
  </si>
  <si>
    <t>3102634282$</t>
  </si>
  <si>
    <t>9780872206663</t>
  </si>
  <si>
    <t>793819350</t>
  </si>
  <si>
    <t>Q149 U5 T45 2014</t>
  </si>
  <si>
    <t>0                      Q  0149000U  5                  T  45          2014</t>
  </si>
  <si>
    <t>Falling behind? : boom, bust, and the global race for scientific talent / Michael S. Teitelbaum.</t>
  </si>
  <si>
    <t>Teitelbaum, Michael S., author.</t>
  </si>
  <si>
    <t>Princeton, New Jersey : Princeton University Press, [2014]</t>
  </si>
  <si>
    <t>2019-05-01</t>
  </si>
  <si>
    <t>1823489579:eng</t>
  </si>
  <si>
    <t>861542573</t>
  </si>
  <si>
    <t>ocn861542573</t>
  </si>
  <si>
    <t>31036703511</t>
  </si>
  <si>
    <t>9780691154664</t>
  </si>
  <si>
    <t>794959305</t>
  </si>
  <si>
    <t>Q149 U5 Z8</t>
  </si>
  <si>
    <t>0                      Q  0149000U  5                  Z  8</t>
  </si>
  <si>
    <t>Scientific elite : Nobel laureates in the United States / Harriet Zuckerman.</t>
  </si>
  <si>
    <t>Zuckerman, Harriet.</t>
  </si>
  <si>
    <t>New York : Free Press, ©1977.</t>
  </si>
  <si>
    <t>2015-10-29</t>
  </si>
  <si>
    <t>5899370:eng</t>
  </si>
  <si>
    <t>2644194</t>
  </si>
  <si>
    <t>ocm02644194</t>
  </si>
  <si>
    <t>30004269793</t>
  </si>
  <si>
    <t>9780029357606</t>
  </si>
  <si>
    <t>792156997</t>
  </si>
  <si>
    <t>Q150.2 A365 D47 2002</t>
  </si>
  <si>
    <t>0                      Q  0150200A  365                D  47          2002</t>
  </si>
  <si>
    <t>Destinations unknown : perspectives on the brain drain in Southern Africa / edited by David A. McDonald and Jonathan Crush.</t>
  </si>
  <si>
    <t>Pretoria : African Institute of South Africa : Southern African Migration Project, 2002.</t>
  </si>
  <si>
    <t>African century publications series ; no. 5</t>
  </si>
  <si>
    <t>2015-02-10</t>
  </si>
  <si>
    <t>56860965:eng</t>
  </si>
  <si>
    <t>50771998</t>
  </si>
  <si>
    <t>ocm50771998</t>
  </si>
  <si>
    <t>3102346831X</t>
  </si>
  <si>
    <t>9780798301480</t>
  </si>
  <si>
    <t>793772693</t>
  </si>
  <si>
    <t>Q151 A613</t>
  </si>
  <si>
    <t>0                      Q  0151000A  613</t>
  </si>
  <si>
    <t>Aristotle's De generatione et corruptione / translated with notes by C.J.F. Williams.</t>
  </si>
  <si>
    <t>Aristotle.</t>
  </si>
  <si>
    <t>Oxford ; New York : Oxford University Press : Clarendon Press, 1982.</t>
  </si>
  <si>
    <t>Clarendon Aristotle series</t>
  </si>
  <si>
    <t>3855622481:eng</t>
  </si>
  <si>
    <t>8169296</t>
  </si>
  <si>
    <t>ocm08169296</t>
  </si>
  <si>
    <t>3000336503G</t>
  </si>
  <si>
    <t>9780198720621</t>
  </si>
  <si>
    <t>792603033</t>
  </si>
  <si>
    <t>Q151 A63 G655 2008</t>
  </si>
  <si>
    <t>0                      Q  0151000A  63                 G  655         2008</t>
  </si>
  <si>
    <t>Les commentaires de Simplicius et de Jean Philopon à la Physique d'Aristote : tradition et innovation / par Pantelis Golitsis.</t>
  </si>
  <si>
    <t>Golitsis, Pantelis.</t>
  </si>
  <si>
    <t>Berlin ; New York : Walter De Gruyter, 2008.</t>
  </si>
  <si>
    <t>Commentaria in Aristotelem Graeca et Byzantina. Quellen und Studien, 1864-4805 ; Bd. 3</t>
  </si>
  <si>
    <t>2018-12-17</t>
  </si>
  <si>
    <t>793005388:fre</t>
  </si>
  <si>
    <t>232237095</t>
  </si>
  <si>
    <t>ocn232237095</t>
  </si>
  <si>
    <t>3103127171K</t>
  </si>
  <si>
    <t>9783110195415</t>
  </si>
  <si>
    <t>794363327</t>
  </si>
  <si>
    <t>Q151 A63 S96 1999</t>
  </si>
  <si>
    <t>0                      Q  0151000A  63                 S  96          1999</t>
  </si>
  <si>
    <t>Aristotle On generation and corruption, book 1 : Symposium Aristotelicum / edited by Frans de Haas and Jaap Mansfeld.</t>
  </si>
  <si>
    <t>Symposium Aristotelicum (15th : 1999 : Deurne, Netherlands)</t>
  </si>
  <si>
    <t>Oxford ; New York : Clarendon, 2004.</t>
  </si>
  <si>
    <t>890729741:eng</t>
  </si>
  <si>
    <t>64855356</t>
  </si>
  <si>
    <t>ocm64855356</t>
  </si>
  <si>
    <t>31025299806</t>
  </si>
  <si>
    <t>9780199242924</t>
  </si>
  <si>
    <t>794131834</t>
  </si>
  <si>
    <t>Q151 A7 D3x</t>
  </si>
  <si>
    <t>0                      Q  0151000A  7                  D  3x</t>
  </si>
  <si>
    <t>Physique et métaphysique. Textes choisis et traduits par Sonia et Maurice Dayan.</t>
  </si>
  <si>
    <t>Paris Presses universitaires de France 1966.</t>
  </si>
  <si>
    <t>[1. ed.].</t>
  </si>
  <si>
    <t>Les Grands textes; bibliothèque classique de philosophie</t>
  </si>
  <si>
    <t>2017-02-03</t>
  </si>
  <si>
    <t>3943822586:fre</t>
  </si>
  <si>
    <t>427530255</t>
  </si>
  <si>
    <t>ocn427530255</t>
  </si>
  <si>
    <t>30006384816</t>
  </si>
  <si>
    <t>794676633</t>
  </si>
  <si>
    <t>Q151 A72 1969</t>
  </si>
  <si>
    <t>0                      Q  0151000A  72          1969</t>
  </si>
  <si>
    <t>Aristotle's Physics / translated with commentaries and glossary by Hippocrates G. Apostle.</t>
  </si>
  <si>
    <t>Bloomington, Indiana University Press [1969]</t>
  </si>
  <si>
    <t>4915770181:eng</t>
  </si>
  <si>
    <t>33514</t>
  </si>
  <si>
    <t>ocm00033514</t>
  </si>
  <si>
    <t>3000638690Y</t>
  </si>
  <si>
    <t>9780253310019</t>
  </si>
  <si>
    <t>791234895</t>
  </si>
  <si>
    <t>Q151 A72 1970</t>
  </si>
  <si>
    <t>0                      Q  0151000A  72          1970</t>
  </si>
  <si>
    <t>Aristotle's Physics. Books I and II / translated [from the Greek] with introduction and notes by W. Charlton.</t>
  </si>
  <si>
    <t>Oxford : At the Clarendon Press, 1970.</t>
  </si>
  <si>
    <t>9094184341:eng</t>
  </si>
  <si>
    <t>91670</t>
  </si>
  <si>
    <t>ocm00091670</t>
  </si>
  <si>
    <t>3103705684L</t>
  </si>
  <si>
    <t>9780198720256</t>
  </si>
  <si>
    <t>791252595</t>
  </si>
  <si>
    <t>Q151 A72 1983</t>
  </si>
  <si>
    <t>0                      Q  0151000A  72          1983</t>
  </si>
  <si>
    <t>Aristotle's Physics, books III and IV / translated with notes by Edward Hussey.</t>
  </si>
  <si>
    <t>Oxford [Oxfordshire] : Clarendon Press ; New York : Oxford University Press, 1983.</t>
  </si>
  <si>
    <t>2018-07-16</t>
  </si>
  <si>
    <t>2863398283:eng</t>
  </si>
  <si>
    <t>10023148</t>
  </si>
  <si>
    <t>ocm10023148</t>
  </si>
  <si>
    <t>31027752964</t>
  </si>
  <si>
    <t>9780198720683</t>
  </si>
  <si>
    <t>792705713</t>
  </si>
  <si>
    <t>Q151 A72 1996</t>
  </si>
  <si>
    <t>0                      Q  0151000A  72          1996</t>
  </si>
  <si>
    <t>Physics / Aristotle ; translated by Robin Waterfield ; with an introduction and notes by David Bostock.</t>
  </si>
  <si>
    <t>Oxford ; New York : Oxford University Press, 1996.</t>
  </si>
  <si>
    <t>The world's classics</t>
  </si>
  <si>
    <t>2017-11-03</t>
  </si>
  <si>
    <t>32511873</t>
  </si>
  <si>
    <t>ocm32511873</t>
  </si>
  <si>
    <t>3103107855D</t>
  </si>
  <si>
    <t>9780192823106</t>
  </si>
  <si>
    <t>793386197</t>
  </si>
  <si>
    <t>Q151 A72 2000</t>
  </si>
  <si>
    <t>0                      Q  0151000A  72          2000</t>
  </si>
  <si>
    <t>The physics or physical auscultation of Aristotle : with copious notes in which is given the substance of the invaluable Commentaries of Simplicius / translated by Thomas Taylor.</t>
  </si>
  <si>
    <t>Frome, Somerset, UK : Prometheus Trust, 2000.</t>
  </si>
  <si>
    <t>Works of Aristotle ; v. 1</t>
  </si>
  <si>
    <t>10177446837:eng</t>
  </si>
  <si>
    <t>52398953</t>
  </si>
  <si>
    <t>ocm52398953</t>
  </si>
  <si>
    <t>31027680835</t>
  </si>
  <si>
    <t>9781898910183</t>
  </si>
  <si>
    <t>793805522</t>
  </si>
  <si>
    <t>Q151 A73 P4513 2012</t>
  </si>
  <si>
    <t>0                      Q  0151000A  73                 P  4513        2012</t>
  </si>
  <si>
    <t>On Aristotle Physics 4.6-9 / Philoponus ; translated by Pamela Huby.</t>
  </si>
  <si>
    <t>Philoponus, John, active 6th century.</t>
  </si>
  <si>
    <t>London : Bristol Classical Press, 2012.</t>
  </si>
  <si>
    <t>Ancient commentators on Aristotle</t>
  </si>
  <si>
    <t>2016-10-22</t>
  </si>
  <si>
    <t>1183092956:eng</t>
  </si>
  <si>
    <t>819077608</t>
  </si>
  <si>
    <t>ocn819077608</t>
  </si>
  <si>
    <t>3103503071P</t>
  </si>
  <si>
    <t>9781780930916</t>
  </si>
  <si>
    <t>794934366</t>
  </si>
  <si>
    <t>Q151 A7514 2005</t>
  </si>
  <si>
    <t>0                      Q  0151000A  7514        2005</t>
  </si>
  <si>
    <t>De la génération et la corruption / Aristote ; texte établi et traduit par Marwan Rashed.</t>
  </si>
  <si>
    <t>Paris : Belles lettres, 2005.</t>
  </si>
  <si>
    <t>Nouv. éd.</t>
  </si>
  <si>
    <t>Collection des universités de France. Série grecque, 0184-7155 ; 444</t>
  </si>
  <si>
    <t>9093438705:fre</t>
  </si>
  <si>
    <t>62293173</t>
  </si>
  <si>
    <t>ocm62293173</t>
  </si>
  <si>
    <t>3102831470W</t>
  </si>
  <si>
    <t>9782251005270</t>
  </si>
  <si>
    <t>794103997</t>
  </si>
  <si>
    <t>Q151 A7913 1999</t>
  </si>
  <si>
    <t>0                      Q  0151000A  7913        1999</t>
  </si>
  <si>
    <t>Aristotle, Physics, book VIII / translated with a commentary by Daniel W. Graham.</t>
  </si>
  <si>
    <t>Oxford : Clarendon Press ; Oxford ; New York : Oxford University Press, 1999.</t>
  </si>
  <si>
    <t>2018-03-15</t>
  </si>
  <si>
    <t>10177942210:eng</t>
  </si>
  <si>
    <t>40200178</t>
  </si>
  <si>
    <t>ocm40200178</t>
  </si>
  <si>
    <t>3101951953C</t>
  </si>
  <si>
    <t>9780198240914</t>
  </si>
  <si>
    <t>793561813</t>
  </si>
  <si>
    <t>Q151 A8 A4437 2011</t>
  </si>
  <si>
    <t>0                      Q  0151000A  8                  A  4437        2011</t>
  </si>
  <si>
    <t>Alexandre d'Aphrodise, commentaire perdu à la "Physique" d'Aristote (livres IV-VIII) : les scholies byzantines : édition, traduction et commentaire / Marwan Rashed.</t>
  </si>
  <si>
    <t>Rashed, Marwan.</t>
  </si>
  <si>
    <t>Berlin ; New York : De Gruyter, ©2011.</t>
  </si>
  <si>
    <t>Commentaria in Aristotelem Graeca et Byzantina, 1864-4805 ; v. 1</t>
  </si>
  <si>
    <t>793989780:fre</t>
  </si>
  <si>
    <t>704556935</t>
  </si>
  <si>
    <t>ocn704556935</t>
  </si>
  <si>
    <t>3103404036Z</t>
  </si>
  <si>
    <t>9783110186789</t>
  </si>
  <si>
    <t>794865768</t>
  </si>
  <si>
    <t>Q151 A8 A75 1991</t>
  </si>
  <si>
    <t>0                      Q  0151000A  8                  A  75          1991</t>
  </si>
  <si>
    <t>Aristotle's Physics : a collection of essays / edited by Lindsay Judson.</t>
  </si>
  <si>
    <t>Oxford [England] : Clarendon Press ; New York : Oxford University Press, 1991.</t>
  </si>
  <si>
    <t>4916343811:eng</t>
  </si>
  <si>
    <t>23766490</t>
  </si>
  <si>
    <t>ocm23766490</t>
  </si>
  <si>
    <t>3103255574W</t>
  </si>
  <si>
    <t>9780198248446</t>
  </si>
  <si>
    <t>793181969</t>
  </si>
  <si>
    <t>Q151 A8 C66 2008</t>
  </si>
  <si>
    <t>0                      Q  0151000A  8                  C  66          2008</t>
  </si>
  <si>
    <t>Time for Aristotle : physics IV, 10-14 / Ursula Coope.</t>
  </si>
  <si>
    <t>Coope, Ursula.</t>
  </si>
  <si>
    <t>Oxford : Oxford University Press, 2008.</t>
  </si>
  <si>
    <t>Oxford Aristotle studies</t>
  </si>
  <si>
    <t>793876782:eng</t>
  </si>
  <si>
    <t>243820439</t>
  </si>
  <si>
    <t>ocn243820439</t>
  </si>
  <si>
    <t>31032996273</t>
  </si>
  <si>
    <t>9780199556700</t>
  </si>
  <si>
    <t>794379372</t>
  </si>
  <si>
    <t>Q151 A8 L36 1992</t>
  </si>
  <si>
    <t>0                      Q  0151000A  8                  L  36          1992</t>
  </si>
  <si>
    <t>Aristotle's Physics and its medieval varieties / Helen S. Lang.</t>
  </si>
  <si>
    <t>Lang, Helen S., 1947-</t>
  </si>
  <si>
    <t>Albany : State University of New York Press, ©1992.</t>
  </si>
  <si>
    <t>SUNY series in ancient Greek philosophy</t>
  </si>
  <si>
    <t>2018-04-23</t>
  </si>
  <si>
    <t>43043139:eng</t>
  </si>
  <si>
    <t>24542903</t>
  </si>
  <si>
    <t>ocm24542903</t>
  </si>
  <si>
    <t>31012132126</t>
  </si>
  <si>
    <t>9780791410837</t>
  </si>
  <si>
    <t>793200669</t>
  </si>
  <si>
    <t>Q151 A8 P479 2012</t>
  </si>
  <si>
    <t>0                      Q  0151000A  8                  P  479         2012</t>
  </si>
  <si>
    <t>Philoponus : On Aristotle Physics 4.1-5 / Philoponus ; translated by Keimpe Algra and Johannes van Ophuijsen.</t>
  </si>
  <si>
    <t>3861842704:eng</t>
  </si>
  <si>
    <t>793214033</t>
  </si>
  <si>
    <t>ocn793214033</t>
  </si>
  <si>
    <t>31035340736</t>
  </si>
  <si>
    <t>9781780932118</t>
  </si>
  <si>
    <t>794917717</t>
  </si>
  <si>
    <t>3103589542Q</t>
  </si>
  <si>
    <t>794917718</t>
  </si>
  <si>
    <t>Q151 A8 P48 1993</t>
  </si>
  <si>
    <t>0                      Q  0151000A  8                  P  48          1993</t>
  </si>
  <si>
    <t>On Aristotle's "Physics 2" / Philoponus ; translated by A.R. Lacey.</t>
  </si>
  <si>
    <t>Ithaca, N.Y. : Cornell University Press, 1993.</t>
  </si>
  <si>
    <t>2019-05-27</t>
  </si>
  <si>
    <t>10141408697:eng</t>
  </si>
  <si>
    <t>26854520</t>
  </si>
  <si>
    <t>ocm26854520</t>
  </si>
  <si>
    <t>31014895462</t>
  </si>
  <si>
    <t>9780801428159</t>
  </si>
  <si>
    <t>793253606</t>
  </si>
  <si>
    <t>Q151 A8 P48213 2006</t>
  </si>
  <si>
    <t>0                      Q  0151000A  8                  P  48213       2006</t>
  </si>
  <si>
    <t>On Aristotle Physics 1.1-3 / Philoponus ; translated by Catherine Osborne.</t>
  </si>
  <si>
    <t>London : Duckworth, 2006.</t>
  </si>
  <si>
    <t>2018-12-15</t>
  </si>
  <si>
    <t>10141374380:eng</t>
  </si>
  <si>
    <t>68621800</t>
  </si>
  <si>
    <t>ocm68621800</t>
  </si>
  <si>
    <t>3103503473D</t>
  </si>
  <si>
    <t>9780715634097</t>
  </si>
  <si>
    <t>794143546</t>
  </si>
  <si>
    <t>Q151 A8 R5337 2003</t>
  </si>
  <si>
    <t>0                      Q  0151000A  8                  R  5337        2003</t>
  </si>
  <si>
    <t>In physicam Aristotelis / Richard Rufus of Cornwall ; edited by Rega Wood.</t>
  </si>
  <si>
    <t>Richard Rufus, of Cornwall, -approximately 1260.</t>
  </si>
  <si>
    <t>Oxford ; New York : Published for the British Academy by Oxford University Press, 2003.</t>
  </si>
  <si>
    <t>lat</t>
  </si>
  <si>
    <t>Auctores Britannici Medii Aevi ; 16</t>
  </si>
  <si>
    <t>1081917:lat</t>
  </si>
  <si>
    <t>50494693</t>
  </si>
  <si>
    <t>ocm50494693</t>
  </si>
  <si>
    <t>3102359187R</t>
  </si>
  <si>
    <t>9780197262740</t>
  </si>
  <si>
    <t>793766107</t>
  </si>
  <si>
    <t>Q151 A8 S23 1995</t>
  </si>
  <si>
    <t>0                      Q  0151000A  8                  S  23          1995</t>
  </si>
  <si>
    <t>Aristotle's physics : a guided study / Joe Sachs.</t>
  </si>
  <si>
    <t>Sachs, Joe, 1946-</t>
  </si>
  <si>
    <t>New Brunswick, N.J. : Rutgers University Press, ©1995.</t>
  </si>
  <si>
    <t>Masterworks of discovery</t>
  </si>
  <si>
    <t>2019-05-06</t>
  </si>
  <si>
    <t>1013051:eng</t>
  </si>
  <si>
    <t>31754562</t>
  </si>
  <si>
    <t>ocm31754562</t>
  </si>
  <si>
    <t>31027852439</t>
  </si>
  <si>
    <t>9780813521916</t>
  </si>
  <si>
    <t>793367310</t>
  </si>
  <si>
    <t>Q151 A8 S5 1941</t>
  </si>
  <si>
    <t>0                      Q  0151000A  8                  S  5           1941</t>
  </si>
  <si>
    <t>Questions sur la Physique d'Aristote (texte inédit) par Philippe Delhaye.</t>
  </si>
  <si>
    <t>Siger, of Brabant, approximately 1230-approximately 1283.</t>
  </si>
  <si>
    <t>Louvain, Éditions de l'institut supérieur de philosophie, 1941.</t>
  </si>
  <si>
    <t>Les Philosophes beiges, textes et études, t. 15</t>
  </si>
  <si>
    <t>2017-03-03</t>
  </si>
  <si>
    <t>181091566:fre</t>
  </si>
  <si>
    <t>15624615</t>
  </si>
  <si>
    <t>ocm15624615</t>
  </si>
  <si>
    <t>3101742928Q</t>
  </si>
  <si>
    <t>792937098</t>
  </si>
  <si>
    <t>Q151 A8 S513 2011</t>
  </si>
  <si>
    <t>0                      Q  0151000A  8                  S  513         2011</t>
  </si>
  <si>
    <t>On Aristotle Physics 1.3-4 / Simplicius ; translated by Pamela Huby and C.C.W. Taylor.</t>
  </si>
  <si>
    <t>Simplicius, of Cilicia, author.</t>
  </si>
  <si>
    <t>London : Bristol Classical Press, 2011.</t>
  </si>
  <si>
    <t>2017-09-30</t>
  </si>
  <si>
    <t>3770401567:eng</t>
  </si>
  <si>
    <t>708578900</t>
  </si>
  <si>
    <t>ocn708578900</t>
  </si>
  <si>
    <t>3103503090L</t>
  </si>
  <si>
    <t>9780715639214</t>
  </si>
  <si>
    <t>794869181</t>
  </si>
  <si>
    <t>Q151 A8 S52 1997</t>
  </si>
  <si>
    <t>0                      Q  0151000A  8                  S  52          1997</t>
  </si>
  <si>
    <t>On Aristotle Physics 2 / Simplicius ; translated by Barrie Fleet.</t>
  </si>
  <si>
    <t>Simplicius, of Cilicia.</t>
  </si>
  <si>
    <t>London : Duckworth, 1997.</t>
  </si>
  <si>
    <t>[Ancient commentators on Aristotle]</t>
  </si>
  <si>
    <t>510046255:eng</t>
  </si>
  <si>
    <t>36900310</t>
  </si>
  <si>
    <t>ocm36900310</t>
  </si>
  <si>
    <t>31030135396</t>
  </si>
  <si>
    <t>9780715627327</t>
  </si>
  <si>
    <t>793487047</t>
  </si>
  <si>
    <t>Q151 A8 S55 1997</t>
  </si>
  <si>
    <t>0                      Q  0151000A  8                  S  55          1997</t>
  </si>
  <si>
    <t>On Aristotle's Physics 5 / Simplicius ; translated by J.O. Urmson ; notes by Peter Lautner.</t>
  </si>
  <si>
    <t>Ithaca, N.Y. : Cornell University Press, 1997.</t>
  </si>
  <si>
    <t>2501389108:eng</t>
  </si>
  <si>
    <t>36543322</t>
  </si>
  <si>
    <t>ocm36543322</t>
  </si>
  <si>
    <t>3101801646L</t>
  </si>
  <si>
    <t>9780801434075</t>
  </si>
  <si>
    <t>793478046</t>
  </si>
  <si>
    <t>Q151 A8 S55 2002</t>
  </si>
  <si>
    <t>0                      Q  0151000A  8                  S  55          2002</t>
  </si>
  <si>
    <t>On Aristotle's "Physics 3" / Simplicius ; translated by J.O. Urmson ; notes by Peter Lautner.</t>
  </si>
  <si>
    <t>Ithaca, New York : Cornell University Press, 2002.</t>
  </si>
  <si>
    <t>[The ancient commentators on Aristotle]</t>
  </si>
  <si>
    <t>2019-03-13</t>
  </si>
  <si>
    <t>3769104968:eng</t>
  </si>
  <si>
    <t>49310216</t>
  </si>
  <si>
    <t>ocm49310216</t>
  </si>
  <si>
    <t>31021987547</t>
  </si>
  <si>
    <t>9780801439032</t>
  </si>
  <si>
    <t>793737226</t>
  </si>
  <si>
    <t>Q151 A8 S56 1989</t>
  </si>
  <si>
    <t>0                      Q  0151000A  8                  S  56          1989</t>
  </si>
  <si>
    <t>Simplicius on Aristotle's Physics 6 / translated by David Konstan.</t>
  </si>
  <si>
    <t>Ithaca, N.Y. : Cornell University Press, 1989.</t>
  </si>
  <si>
    <t>3856067820:eng</t>
  </si>
  <si>
    <t>17768788</t>
  </si>
  <si>
    <t>ocm17768788</t>
  </si>
  <si>
    <t>3103004152F</t>
  </si>
  <si>
    <t>9780801422386</t>
  </si>
  <si>
    <t>793002738</t>
  </si>
  <si>
    <t>Q151 A8 S56 2012</t>
  </si>
  <si>
    <t>0                      Q  0151000A  8                  S  56          2012</t>
  </si>
  <si>
    <t>On Aristotle Physics 8.1-5 / Simplicius ; translated by István Bodnár, Michael Chase and Michael Share.</t>
  </si>
  <si>
    <t>3772489353:eng</t>
  </si>
  <si>
    <t>795182292</t>
  </si>
  <si>
    <t>ocn795182292</t>
  </si>
  <si>
    <t>3103503471D</t>
  </si>
  <si>
    <t>9781780932101</t>
  </si>
  <si>
    <t>794921105</t>
  </si>
  <si>
    <t>Q151 A8 S5613 2012</t>
  </si>
  <si>
    <t>0                      Q  0151000A  8                  S  5613        2012</t>
  </si>
  <si>
    <t>On Aristotle Physics 1.5-9 / Simplicius ; translated by Hans Baltussen, Michael Share, Michael Atkinson and Ian Mueller ; with an introduction by Richard Sorabji.</t>
  </si>
  <si>
    <t>1167415545:eng</t>
  </si>
  <si>
    <t>809076842</t>
  </si>
  <si>
    <t>ocn809076842</t>
  </si>
  <si>
    <t>31034724072</t>
  </si>
  <si>
    <t>9780715638576</t>
  </si>
  <si>
    <t>794928133</t>
  </si>
  <si>
    <t>Q151 A8 S563 1994</t>
  </si>
  <si>
    <t>0                      Q  0151000A  8                  S  563         1994</t>
  </si>
  <si>
    <t>On Aristotle's Physics 7 / Simplicius ; translated by Charles Hagen.</t>
  </si>
  <si>
    <t>Ithaca, N.Y. : Cornell University Press, 1994.</t>
  </si>
  <si>
    <t>2962990399:eng</t>
  </si>
  <si>
    <t>28674540</t>
  </si>
  <si>
    <t>ocm28674540</t>
  </si>
  <si>
    <t>3101396861A</t>
  </si>
  <si>
    <t>9780801429927</t>
  </si>
  <si>
    <t>793293413</t>
  </si>
  <si>
    <t>Q151 A8 S5713 2013</t>
  </si>
  <si>
    <t>0                      Q  0151000A  8                  S  5713        2013</t>
  </si>
  <si>
    <t>Simplicius on the planets and their motions : in defense of a heresy / by Alan C. Bowen.</t>
  </si>
  <si>
    <t>Leiden ; Boston : Brill, 2013.</t>
  </si>
  <si>
    <t>Philosophia antiqua ; volume 133</t>
  </si>
  <si>
    <t>1171162260:eng</t>
  </si>
  <si>
    <t>808810919</t>
  </si>
  <si>
    <t>ocn808810919</t>
  </si>
  <si>
    <t>3103484407Q</t>
  </si>
  <si>
    <t>9789004227088</t>
  </si>
  <si>
    <t>794927903</t>
  </si>
  <si>
    <t>Q151 A8 S6</t>
  </si>
  <si>
    <t>0                      Q  0151000A  8                  S  6</t>
  </si>
  <si>
    <t>Aristotle's system of the physical world : a comparison with his predecessors / by Friedrich Solmsen, Cornell University.</t>
  </si>
  <si>
    <t>Solmsen, Friedrich, 1904-1989, author.</t>
  </si>
  <si>
    <t>Ithaca, New York : Cornell University Press, 1960.</t>
  </si>
  <si>
    <t>Cornell studies in classical philology ; volume 33</t>
  </si>
  <si>
    <t>2019-03-15</t>
  </si>
  <si>
    <t>199040175:eng</t>
  </si>
  <si>
    <t>312683</t>
  </si>
  <si>
    <t>ocm00312683</t>
  </si>
  <si>
    <t>3000382205E</t>
  </si>
  <si>
    <t>791333335</t>
  </si>
  <si>
    <t>Q151 A8 T44 2012</t>
  </si>
  <si>
    <t>0                      Q  0151000A  8                  T  44          2012</t>
  </si>
  <si>
    <t>On Aristotle Physics 1-3 / Themistius ; translated by Robert B. Todd.</t>
  </si>
  <si>
    <t>Themistius.</t>
  </si>
  <si>
    <t>London : Duckworth, 2010.</t>
  </si>
  <si>
    <t>3859680961:eng</t>
  </si>
  <si>
    <t>645701658</t>
  </si>
  <si>
    <t>ocn645701658</t>
  </si>
  <si>
    <t>3103470903W</t>
  </si>
  <si>
    <t>9780715639221</t>
  </si>
  <si>
    <t>794829721</t>
  </si>
  <si>
    <t>Q151 C65 1948</t>
  </si>
  <si>
    <t>0                      Q  0151000C  65          1948</t>
  </si>
  <si>
    <t>A source book in Greek science, by Morris R. Cohen and I.E. Drabkin.</t>
  </si>
  <si>
    <t>Cohen, Morris Raphael, 1880-1947.</t>
  </si>
  <si>
    <t>New York, McGraw-Hill, 1948.</t>
  </si>
  <si>
    <t>Source books in the history of the sciences</t>
  </si>
  <si>
    <t>2019-07-05</t>
  </si>
  <si>
    <t>430577:eng</t>
  </si>
  <si>
    <t>666157</t>
  </si>
  <si>
    <t>ocm00666157</t>
  </si>
  <si>
    <t>3100220207G</t>
  </si>
  <si>
    <t>791441258</t>
  </si>
  <si>
    <t>30003503140</t>
  </si>
  <si>
    <t>791441259</t>
  </si>
  <si>
    <t>Q151 M67 2002</t>
  </si>
  <si>
    <t>0                      Q  0151000M  67          2002</t>
  </si>
  <si>
    <t>On location : Aristotle's concept of place / Benjamin Morison.</t>
  </si>
  <si>
    <t>Morison, Benjamin.</t>
  </si>
  <si>
    <t>New York : Oxford University Press, 2002.</t>
  </si>
  <si>
    <t>8216207:eng</t>
  </si>
  <si>
    <t>48221453</t>
  </si>
  <si>
    <t>ocm48221453</t>
  </si>
  <si>
    <t>3102265779S</t>
  </si>
  <si>
    <t>9780199247912</t>
  </si>
  <si>
    <t>793718147</t>
  </si>
  <si>
    <t>Q151 P47413 1999</t>
  </si>
  <si>
    <t>0                      Q  0151000P  47413       1999</t>
  </si>
  <si>
    <t>On Aristotle's On coming-to-be and perishing 1.6-2.4 / Philoponus ; translated by C.J.F. Williams ; introduction by Sylvia Berryman.</t>
  </si>
  <si>
    <t>Ithaca, N.Y. : Cornell University Press, 1999.</t>
  </si>
  <si>
    <t>2016-04-13</t>
  </si>
  <si>
    <t>9937372772:eng</t>
  </si>
  <si>
    <t>41387515</t>
  </si>
  <si>
    <t>ocm41387515</t>
  </si>
  <si>
    <t>3101993041L</t>
  </si>
  <si>
    <t>9780801436147</t>
  </si>
  <si>
    <t>793590388</t>
  </si>
  <si>
    <t>Q151 P48 1994</t>
  </si>
  <si>
    <t>0                      Q  0151000P  48          1994</t>
  </si>
  <si>
    <t>On Aristotle's Physics 5-8 / Philoponus ; with On Aristotle on the void / Simplicius ; translated by Paul Lettinck and J.O. Urmson.</t>
  </si>
  <si>
    <t>2018-07-18</t>
  </si>
  <si>
    <t>29754608:eng</t>
  </si>
  <si>
    <t>28853700</t>
  </si>
  <si>
    <t>ocm28853700</t>
  </si>
  <si>
    <t>3103013514A</t>
  </si>
  <si>
    <t>9780801430053</t>
  </si>
  <si>
    <t>793297928</t>
  </si>
  <si>
    <t>Q151 R43 2012</t>
  </si>
  <si>
    <t>0                      Q  0151000R  43          2012</t>
  </si>
  <si>
    <t>Reading Aristotle's Physics VII.3 : "what is alteration?" : proceedings of the European Society for Ancient Philosophy conference : organized by the HYELE Institute for Comparative Studies, Vitznau, Switzerland, 12/15 April 2007 / edited by Stefano Maso, Carlo Natali and Gerhard Seel.</t>
  </si>
  <si>
    <t>Las Vegas : Parmenides Pub., ©2012.</t>
  </si>
  <si>
    <t>1064669978:eng</t>
  </si>
  <si>
    <t>768800613</t>
  </si>
  <si>
    <t>ocn768800613</t>
  </si>
  <si>
    <t>31034723035</t>
  </si>
  <si>
    <t>9781930972735</t>
  </si>
  <si>
    <t>794902817</t>
  </si>
  <si>
    <t>Q151 S44713 2004</t>
  </si>
  <si>
    <t>0                      Q  0151000S  44713       2004</t>
  </si>
  <si>
    <t>On Aristotle on the heavens 2.1-9 / Simplicius ; translated by Ian Mueller.</t>
  </si>
  <si>
    <t>London : Duckworth, 2004.</t>
  </si>
  <si>
    <t>The ancient commentators on Aristotle</t>
  </si>
  <si>
    <t>2016-04-26</t>
  </si>
  <si>
    <t>1407144491:eng</t>
  </si>
  <si>
    <t>50582433</t>
  </si>
  <si>
    <t>ocm50582433</t>
  </si>
  <si>
    <t>31025056992</t>
  </si>
  <si>
    <t>9780715632000</t>
  </si>
  <si>
    <t>793768099</t>
  </si>
  <si>
    <t>Q151 W37</t>
  </si>
  <si>
    <t>0                      Q  0151000W  37</t>
  </si>
  <si>
    <t>Nature, change, and agency in Aristotle's Physics : a philosophical study / Sarah Waterlow.</t>
  </si>
  <si>
    <t>Broadie, Sarah.</t>
  </si>
  <si>
    <t>Oxford : Clarendon Press ; New York : Oxford University Press, 1982.</t>
  </si>
  <si>
    <t>9381682303:eng</t>
  </si>
  <si>
    <t>7946356</t>
  </si>
  <si>
    <t>ocm07946356</t>
  </si>
  <si>
    <t>3103006035E</t>
  </si>
  <si>
    <t>9780198246534</t>
  </si>
  <si>
    <t>792588737</t>
  </si>
  <si>
    <t>Q153 A43 1980</t>
  </si>
  <si>
    <t>0                      Q  0153000A  43          1980</t>
  </si>
  <si>
    <t>Albertus Magnus and the sciences : commemorative essays 1980 / edited by James A. Weisheipl.</t>
  </si>
  <si>
    <t>Toronto : Pontifical Institute of Mediaeval Studies, 1980.</t>
  </si>
  <si>
    <t>Studies and texts - Pontifical Institute of Mediaeval Studies ; 49, 0082-5328</t>
  </si>
  <si>
    <t>2019-12-23</t>
  </si>
  <si>
    <t>9593944575:eng</t>
  </si>
  <si>
    <t>6167464</t>
  </si>
  <si>
    <t>ocm06167464</t>
  </si>
  <si>
    <t>3103743494C</t>
  </si>
  <si>
    <t>9780888440495</t>
  </si>
  <si>
    <t>792480177</t>
  </si>
  <si>
    <t>Q153 G7</t>
  </si>
  <si>
    <t>0                      Q  0153000G  7</t>
  </si>
  <si>
    <t>A source book in medieval science / edited by Edward Grant.</t>
  </si>
  <si>
    <t>Grant, Edward, 1926- compiler.</t>
  </si>
  <si>
    <t>Cambridge, Mass. : Harvard University Press, 1974.</t>
  </si>
  <si>
    <t>33095745:eng</t>
  </si>
  <si>
    <t>1066603</t>
  </si>
  <si>
    <t>ocm01066603</t>
  </si>
  <si>
    <t>3102788626Q</t>
  </si>
  <si>
    <t>9780674823600</t>
  </si>
  <si>
    <t>791537653</t>
  </si>
  <si>
    <t>Q153 H47 1982</t>
  </si>
  <si>
    <t>0                      Q  0153000H  47          1982</t>
  </si>
  <si>
    <t>De essentiis / Hermann of Carinthia ; a critical edition with translation and commentary by Charles Burnett.</t>
  </si>
  <si>
    <t>Hermann, of Carinthia.</t>
  </si>
  <si>
    <t>Leiden, the Netherlands : E.J. Brill, 1982.</t>
  </si>
  <si>
    <t>Studien und Texte zur Geistesgeschichte des Mittelalters ; Bd. 15</t>
  </si>
  <si>
    <t>2018-03-03</t>
  </si>
  <si>
    <t>369786124:eng</t>
  </si>
  <si>
    <t>9251530</t>
  </si>
  <si>
    <t>ocm09251530</t>
  </si>
  <si>
    <t>3000472417Z</t>
  </si>
  <si>
    <t>9789004065345</t>
  </si>
  <si>
    <t>792666147</t>
  </si>
  <si>
    <t>Q153 S35 2019</t>
  </si>
  <si>
    <t>0                      Q  0153000S  35          2019</t>
  </si>
  <si>
    <t>Liber particularis, liber physionomie / Michel Scot : édition critique, introduction et notes par Oleg Voskoboynikov.</t>
  </si>
  <si>
    <t>Scot, Michael, environ 1175-environ 1234.</t>
  </si>
  <si>
    <t>Firenze : Sismel - Edizioni del Galluzzo, 2019.</t>
  </si>
  <si>
    <t>Micrologus library ; 93</t>
  </si>
  <si>
    <t>2019-07-10</t>
  </si>
  <si>
    <t>9113340374:fre</t>
  </si>
  <si>
    <t>1107517572</t>
  </si>
  <si>
    <t>on1107517572</t>
  </si>
  <si>
    <t>31039103485</t>
  </si>
  <si>
    <t>9788884509062</t>
  </si>
  <si>
    <t>795083223</t>
  </si>
  <si>
    <t>Q155 C2613 2013</t>
  </si>
  <si>
    <t>0                      Q  0155000C  2613        2013</t>
  </si>
  <si>
    <t>The De subtilitate of Girolamo Cardano / edited by John M. Forrester ; with an Introduction by John Henry and John M. Forrester.</t>
  </si>
  <si>
    <t>Cardano, Girolamo, 1501-1576, author.</t>
  </si>
  <si>
    <t>Tempe, Arizona : Arizona Center for Medieval and Renaissance Studies, 2013.</t>
  </si>
  <si>
    <t>Medieval and Renaissance texts and studies ; volume 436</t>
  </si>
  <si>
    <t>2017-03-21</t>
  </si>
  <si>
    <t>3768478160:eng</t>
  </si>
  <si>
    <t>858610769</t>
  </si>
  <si>
    <t>ocn858610769</t>
  </si>
  <si>
    <t>3103532204M</t>
  </si>
  <si>
    <t>9780866984843</t>
  </si>
  <si>
    <t>794956358</t>
  </si>
  <si>
    <t>3103532209M</t>
  </si>
  <si>
    <t>794956359</t>
  </si>
  <si>
    <t>Q155 D433</t>
  </si>
  <si>
    <t>0                      Q  0155000D  433</t>
  </si>
  <si>
    <t>Discourse on method, optics, geometry and meteorology / Rene Descartes ; translated, with an introduction by Paul J. Olscamp.</t>
  </si>
  <si>
    <t>Descartes, René, 1596-1650.</t>
  </si>
  <si>
    <t>Indianapolis : Bobbs-Merrill, ©1965.</t>
  </si>
  <si>
    <t>The Library of liberal arts ; 211</t>
  </si>
  <si>
    <t>2018-01-09</t>
  </si>
  <si>
    <t>2829630088:eng</t>
  </si>
  <si>
    <t>526285</t>
  </si>
  <si>
    <t>ocm00526285</t>
  </si>
  <si>
    <t>31021301520</t>
  </si>
  <si>
    <t>791403775</t>
  </si>
  <si>
    <t>2016-03-21</t>
  </si>
  <si>
    <t>3000647226L</t>
  </si>
  <si>
    <t>791403774</t>
  </si>
  <si>
    <t>Q155 D433513 1979</t>
  </si>
  <si>
    <t>0                      Q  0155000D  433513      1979</t>
  </si>
  <si>
    <t>Le Monde, ou, Traité de la lumière / René Descartes ; translation and introduction by Michael Sean Mahoney.</t>
  </si>
  <si>
    <t>New York : Abaris Books, ©1979.</t>
  </si>
  <si>
    <t>The Janus library ; 2</t>
  </si>
  <si>
    <t>9462939145:fre</t>
  </si>
  <si>
    <t>427038331</t>
  </si>
  <si>
    <t>ocn427038331</t>
  </si>
  <si>
    <t>3000324277F</t>
  </si>
  <si>
    <t>9780913870358</t>
  </si>
  <si>
    <t>794518483</t>
  </si>
  <si>
    <t>Q155 K5818 2014</t>
  </si>
  <si>
    <t>0                      Q  0155000K  5818        2014</t>
  </si>
  <si>
    <t>Reino magnético de la naturaleza / de Antanasio Kircher ; presentación, Diana Isabel Jaramillo Juárez, directora de la Biblioteca Palafoxiana Puebla ; estudios introductorios, Elvia Carreño Velázquez, Bibliotecas y Libros Antiguos Adabi A.C. y Paula Findlen, Stanford University ; prólogo, J. Rafael Martínez E., Facultad de Ciencias, Universidad Nacional Autónoma de México.</t>
  </si>
  <si>
    <t>facsimile</t>
  </si>
  <si>
    <t>Kircher, Athanasius, 1602-1680, author.</t>
  </si>
  <si>
    <t>[Puebla de Zaragoza, Mexico] : Museo Biblioteca Puebla Palafoxiana, [2014]</t>
  </si>
  <si>
    <t>2285075357:spa</t>
  </si>
  <si>
    <t>902812093</t>
  </si>
  <si>
    <t>ocn902812093</t>
  </si>
  <si>
    <t>3103562606W</t>
  </si>
  <si>
    <t>794988552</t>
  </si>
  <si>
    <t>3103562611U</t>
  </si>
  <si>
    <t>794988551</t>
  </si>
  <si>
    <t>Q155 P193</t>
  </si>
  <si>
    <t>0                      Q  0155000P  193</t>
  </si>
  <si>
    <t>Admirable discourses. Translated by Aurèle La Rocque.</t>
  </si>
  <si>
    <t>Palissy, Bernard, 1510?-1590.</t>
  </si>
  <si>
    <t>Urbana, University of Illinois Press, 1957.</t>
  </si>
  <si>
    <t>2018-02-02</t>
  </si>
  <si>
    <t>3857416770:eng</t>
  </si>
  <si>
    <t>597632</t>
  </si>
  <si>
    <t>ocm00597632</t>
  </si>
  <si>
    <t>3000685526W</t>
  </si>
  <si>
    <t>791424572</t>
  </si>
  <si>
    <t>Q158 H9 1849</t>
  </si>
  <si>
    <t>0                      Q  0158000H  9           1849</t>
  </si>
  <si>
    <t>Cosmos: a sketch of a physical description of the universe. By Alexander von Humboldt. Tr. from the German by E.C. Otté ...</t>
  </si>
  <si>
    <t>Humboldt, Alexander von, 1769-1859.</t>
  </si>
  <si>
    <t>London, H.G. Bohn, 1849-58.</t>
  </si>
  <si>
    <t>1849</t>
  </si>
  <si>
    <t>Bohn's scientific library</t>
  </si>
  <si>
    <t>2007-01-20</t>
  </si>
  <si>
    <t>2015-10-01</t>
  </si>
  <si>
    <t>3377115750:eng</t>
  </si>
  <si>
    <t>1122558</t>
  </si>
  <si>
    <t>ocm01122558</t>
  </si>
  <si>
    <t>31004374970</t>
  </si>
  <si>
    <t>791551471</t>
  </si>
  <si>
    <t>3100437499X</t>
  </si>
  <si>
    <t>791551469</t>
  </si>
  <si>
    <t>3100437498Z</t>
  </si>
  <si>
    <t>791551470</t>
  </si>
  <si>
    <t>3000689166G</t>
  </si>
  <si>
    <t>791551472</t>
  </si>
  <si>
    <t>Q158 K6 1941</t>
  </si>
  <si>
    <t>0                      Q  0158000K  6           1941</t>
  </si>
  <si>
    <t>Science and sanity; an introduction to non-Aristotelian systems and general semantics, by Alfred Korzybski.</t>
  </si>
  <si>
    <t>Korzybski, Alfred, 1879-1950.</t>
  </si>
  <si>
    <t>Lancaster, Pa., New York, The International non-Aristotelian library Publishing Company, The Science Press printing Company, distributors [1941]</t>
  </si>
  <si>
    <t>2d ed., with supplementary introduction and bibliography.</t>
  </si>
  <si>
    <t>International non-Aristotelian library</t>
  </si>
  <si>
    <t>2017-12-05</t>
  </si>
  <si>
    <t>1369918:eng</t>
  </si>
  <si>
    <t>419693</t>
  </si>
  <si>
    <t>ocm00419693</t>
  </si>
  <si>
    <t>3103068583P</t>
  </si>
  <si>
    <t>791373355</t>
  </si>
  <si>
    <t>Q158 R8 1931</t>
  </si>
  <si>
    <t>0                      Q  0158000R  8           1931</t>
  </si>
  <si>
    <t>The scientific outlook / ertrand Russell.</t>
  </si>
  <si>
    <t>Russell, Bertrand, 1872-1970.</t>
  </si>
  <si>
    <t>London : G. Allen &amp; Unwin, ©1931.</t>
  </si>
  <si>
    <t>2019-10-19</t>
  </si>
  <si>
    <t>459233:eng</t>
  </si>
  <si>
    <t>917813</t>
  </si>
  <si>
    <t>ocm00917813</t>
  </si>
  <si>
    <t>3102809145U</t>
  </si>
  <si>
    <t>791501827</t>
  </si>
  <si>
    <t>Q158.5 B48 1996</t>
  </si>
  <si>
    <t>0                      Q  0158500B  48          1996</t>
  </si>
  <si>
    <t>Between monsters, goddesses, and cyborgs : feminist confrontations with science, medicine, and cyberspace / edited by Nina Lykke &amp; Rosi Braidotti.</t>
  </si>
  <si>
    <t>London ; Atlantic Highlands, N.J., USA : Zed Books, 1996.</t>
  </si>
  <si>
    <t>837045518:eng</t>
  </si>
  <si>
    <t>34077860</t>
  </si>
  <si>
    <t>ocm34077860</t>
  </si>
  <si>
    <t>3102786740R</t>
  </si>
  <si>
    <t>9781856493819</t>
  </si>
  <si>
    <t>793418068</t>
  </si>
  <si>
    <t>Q158.5 H36 1995</t>
  </si>
  <si>
    <t>0                      Q  0158500H  36          1995</t>
  </si>
  <si>
    <t>Handbook of science and technology studies / Sheila Jasanoff [and others], editors.</t>
  </si>
  <si>
    <t>Thousand Oaks, Calif. : Sage Publications, ©1995.</t>
  </si>
  <si>
    <t>2018-06-04</t>
  </si>
  <si>
    <t>766878714:eng</t>
  </si>
  <si>
    <t>30517819</t>
  </si>
  <si>
    <t>ocm30517819</t>
  </si>
  <si>
    <t>3102930698K</t>
  </si>
  <si>
    <t>9780803940215</t>
  </si>
  <si>
    <t>793337789</t>
  </si>
  <si>
    <t>Q160.2 G65 1984</t>
  </si>
  <si>
    <t>0                      Q  0160200G  65          1984</t>
  </si>
  <si>
    <t>The experience of science : an interdisciplinary approach / Martin Goldstein and Inge Goldstein.</t>
  </si>
  <si>
    <t>Goldstein, Martin, 1919-2014.</t>
  </si>
  <si>
    <t>New York : Plenum Press, ©1984.</t>
  </si>
  <si>
    <t>2006-10-17</t>
  </si>
  <si>
    <t>2894245:eng</t>
  </si>
  <si>
    <t>10506360</t>
  </si>
  <si>
    <t>ocm10506360</t>
  </si>
  <si>
    <t>3000818337B</t>
  </si>
  <si>
    <t>9780306415388</t>
  </si>
  <si>
    <t>792729437</t>
  </si>
  <si>
    <t>Q162 A1614 2010</t>
  </si>
  <si>
    <t>0                      Q  0162000A  1614        2010</t>
  </si>
  <si>
    <t>Théories en 30 secondes : les 50 théories scientifiques les plus intrigantes, expliquées en moins d'une minute / [sous la direction de] Paul Parsons ; avant-propos, Martin Rees ; collaborateurs, Jim Al-Khalili [et 7 autres].</t>
  </si>
  <si>
    <t>30-second theories. French.</t>
  </si>
  <si>
    <t>[Montréal, Québec] : Hurtubise, [2010]</t>
  </si>
  <si>
    <t>Édition française.</t>
  </si>
  <si>
    <t>30 secondes</t>
  </si>
  <si>
    <t>670062414:fre</t>
  </si>
  <si>
    <t>667227188</t>
  </si>
  <si>
    <t>ocn667227188</t>
  </si>
  <si>
    <t>3103728721E</t>
  </si>
  <si>
    <t>9782896472741</t>
  </si>
  <si>
    <t>794845486</t>
  </si>
  <si>
    <t>Q162 C3</t>
  </si>
  <si>
    <t>0                      Q  0162000C  3</t>
  </si>
  <si>
    <t>The birth of the future, by Ritchie Calder; with a foreword by Sir Frederick Gowland Hopkins.</t>
  </si>
  <si>
    <t>Calder, Ritchie, 1906-1982.</t>
  </si>
  <si>
    <t>London, A. Barker Ltd. [1934]</t>
  </si>
  <si>
    <t>1934</t>
  </si>
  <si>
    <t>4101618206:eng</t>
  </si>
  <si>
    <t>3280261</t>
  </si>
  <si>
    <t>ocm03280261</t>
  </si>
  <si>
    <t>3000687678$</t>
  </si>
  <si>
    <t>792238319</t>
  </si>
  <si>
    <t>Q162 G23 1961</t>
  </si>
  <si>
    <t>0                      Q  0162000G  23          1961</t>
  </si>
  <si>
    <t>One two three ... infinity : facts &amp; speculations of science / illustrated by the author. [Explorer books ed., newly rev. by the author].</t>
  </si>
  <si>
    <t>Gamow, George, 1904-1968.</t>
  </si>
  <si>
    <t>New York : Viking Press, 1961.</t>
  </si>
  <si>
    <t>Compass books ; C127</t>
  </si>
  <si>
    <t>510516:eng</t>
  </si>
  <si>
    <t>1483850</t>
  </si>
  <si>
    <t>ocm01483850</t>
  </si>
  <si>
    <t>3000499716F</t>
  </si>
  <si>
    <t>791672260</t>
  </si>
  <si>
    <t>Q162 G67 1983</t>
  </si>
  <si>
    <t>0                      Q  0162000G  67          1983</t>
  </si>
  <si>
    <t>The cosmic dancers : exploring the physics of science fiction / by Amit Goswami, with Maggie Goswami.</t>
  </si>
  <si>
    <t>Goswami, Amit.</t>
  </si>
  <si>
    <t>New York : Harper &amp; Row, ©1983.</t>
  </si>
  <si>
    <t>2017-05-12</t>
  </si>
  <si>
    <t>898226901:eng</t>
  </si>
  <si>
    <t>9045081</t>
  </si>
  <si>
    <t>ocm09045081</t>
  </si>
  <si>
    <t>3103487854T</t>
  </si>
  <si>
    <t>9780060150839</t>
  </si>
  <si>
    <t>792654259</t>
  </si>
  <si>
    <t>Q162 H315 1992</t>
  </si>
  <si>
    <t>0                      Q  0162000H  315         1992</t>
  </si>
  <si>
    <t>Mapping the next millennium : the discovery of new geographies / Stephen S. Hall.</t>
  </si>
  <si>
    <t>Hall, Stephen S.</t>
  </si>
  <si>
    <t>New York : Random House, ©1992.</t>
  </si>
  <si>
    <t>20948681:eng</t>
  </si>
  <si>
    <t>23652327</t>
  </si>
  <si>
    <t>ocm23652327</t>
  </si>
  <si>
    <t>3100981507P</t>
  </si>
  <si>
    <t>9780394576350</t>
  </si>
  <si>
    <t>793178736</t>
  </si>
  <si>
    <t>Q162 H767 1997</t>
  </si>
  <si>
    <t>0                      Q  0162000H  767         1997</t>
  </si>
  <si>
    <t>Shedding life : disease, politics, and other human conditions / Miroslav Holub ; translated by David Young ... [et al. ; poems translated by Rebekah Bloyd].</t>
  </si>
  <si>
    <t>Holub, Miroslav, 1923-1998.</t>
  </si>
  <si>
    <t>Minneapolis, Minn. : Milkweed Editions ; [Emeryville, Calif.] : Distributed by Publishers Group West, 1997.</t>
  </si>
  <si>
    <t>2017-07-23</t>
  </si>
  <si>
    <t>48511650:eng</t>
  </si>
  <si>
    <t>36675987</t>
  </si>
  <si>
    <t>ocm36675987</t>
  </si>
  <si>
    <t>3101853409W</t>
  </si>
  <si>
    <t>9781571312174</t>
  </si>
  <si>
    <t>793481212</t>
  </si>
  <si>
    <t>Q162 M14</t>
  </si>
  <si>
    <t>0                      Q  0162000M  14</t>
  </si>
  <si>
    <t>The game of science [by] Garvin McCain [and] Erwin M. Segal. Cartoons by Tony Hall.</t>
  </si>
  <si>
    <t>McCain, Garvin, 1922-</t>
  </si>
  <si>
    <t>Belmont, Calif., Brooks/Cole Pub. Co. [1969]</t>
  </si>
  <si>
    <t>1127787:eng</t>
  </si>
  <si>
    <t>4294</t>
  </si>
  <si>
    <t>ocm00004294</t>
  </si>
  <si>
    <t>3000965651K</t>
  </si>
  <si>
    <t>791225306</t>
  </si>
  <si>
    <t>Q162 M286</t>
  </si>
  <si>
    <t>0                      Q  0162000M  286</t>
  </si>
  <si>
    <t>The scientist, by Henry Margenau, David Bergamini, and the editors of Life.</t>
  </si>
  <si>
    <t>Margenau, Henry, 1901-1997.</t>
  </si>
  <si>
    <t>New York, Time, Inc. [1964]</t>
  </si>
  <si>
    <t>Life science library</t>
  </si>
  <si>
    <t>149218386:eng</t>
  </si>
  <si>
    <t>522325</t>
  </si>
  <si>
    <t>ocm00522325</t>
  </si>
  <si>
    <t>3102186760S</t>
  </si>
  <si>
    <t>791402492</t>
  </si>
  <si>
    <t>- Redpath Basement - Historical Curriculum Resources Collection - Regular Loan</t>
  </si>
  <si>
    <t>3000991309X</t>
  </si>
  <si>
    <t>791402489</t>
  </si>
  <si>
    <t>- Book Display - Regular Loan</t>
  </si>
  <si>
    <t>Q162 S4154 2008</t>
  </si>
  <si>
    <t>0                      Q  0162000S  4154        2008</t>
  </si>
  <si>
    <t>The sciencebook : everything you need to know about the world and how it works / [authors, Matthias Delbrück and others].</t>
  </si>
  <si>
    <t>Washington, D.C. : National Geographic, ©2008.</t>
  </si>
  <si>
    <t>2016-01-27</t>
  </si>
  <si>
    <t>896822065:eng</t>
  </si>
  <si>
    <t>191922808</t>
  </si>
  <si>
    <t>ocn191922808</t>
  </si>
  <si>
    <t>31029753381</t>
  </si>
  <si>
    <t>9781426203374</t>
  </si>
  <si>
    <t>794302153</t>
  </si>
  <si>
    <t>Q162 T450 1922</t>
  </si>
  <si>
    <t>0                      Q  0162000T  450         1922</t>
  </si>
  <si>
    <t>The outline of science, a plain story simply told; edited by J. Arthur Thomson.</t>
  </si>
  <si>
    <t>Thomson, J. Arthur (John Arthur), 1861-1933, editor.</t>
  </si>
  <si>
    <t>New York, London, G.P. Putnam's Sons, 1922.</t>
  </si>
  <si>
    <t>2018-01-08</t>
  </si>
  <si>
    <t>1939387:eng</t>
  </si>
  <si>
    <t>977616</t>
  </si>
  <si>
    <t>ocm00977616</t>
  </si>
  <si>
    <t>3100437492A</t>
  </si>
  <si>
    <t>791516488</t>
  </si>
  <si>
    <t>3100437491C</t>
  </si>
  <si>
    <t>791516489</t>
  </si>
  <si>
    <t>3000538987I</t>
  </si>
  <si>
    <t>791516491</t>
  </si>
  <si>
    <t>3100437490E</t>
  </si>
  <si>
    <t>791516490</t>
  </si>
  <si>
    <t>Q162 W4 1966</t>
  </si>
  <si>
    <t>0                      Q  0162000W  4           1966</t>
  </si>
  <si>
    <t>Knowledge and wonder; the natural world as man knows it, by Victor F. Weisskopf.</t>
  </si>
  <si>
    <t>Weisskopf, Victor Frederick, 1908-2002.</t>
  </si>
  <si>
    <t>Garden City, N.Y., Anchor Books [1966]</t>
  </si>
  <si>
    <t>Rev. ed.</t>
  </si>
  <si>
    <t>Science study series, S31</t>
  </si>
  <si>
    <t>2009-03-07</t>
  </si>
  <si>
    <t>49525414:eng</t>
  </si>
  <si>
    <t>987182</t>
  </si>
  <si>
    <t>ocm00987182</t>
  </si>
  <si>
    <t>3000499715H</t>
  </si>
  <si>
    <t>791519069</t>
  </si>
  <si>
    <t>Q163 S493 1999</t>
  </si>
  <si>
    <t>0                      Q  0163000S  493         1999</t>
  </si>
  <si>
    <t>Shi wan ge wei shen me / [zong zhu bian Lu Jiaxi].</t>
  </si>
  <si>
    <t>v.10</t>
  </si>
  <si>
    <t>Shanghai : Shao nian er tong chu ban she, 1999.</t>
  </si>
  <si>
    <t>2007-09-19</t>
  </si>
  <si>
    <t>2018-07-15</t>
  </si>
  <si>
    <t>3374467887:chi</t>
  </si>
  <si>
    <t>56791843</t>
  </si>
  <si>
    <t>ocm56791843</t>
  </si>
  <si>
    <t>3102543311F</t>
  </si>
  <si>
    <t>9787532439836</t>
  </si>
  <si>
    <t>793901850</t>
  </si>
  <si>
    <t>31025433625</t>
  </si>
  <si>
    <t>793901857</t>
  </si>
  <si>
    <t>2008-11-03</t>
  </si>
  <si>
    <t>31025433675</t>
  </si>
  <si>
    <t>793901856</t>
  </si>
  <si>
    <t>31025433821</t>
  </si>
  <si>
    <t>793901853</t>
  </si>
  <si>
    <t>2013-01-15</t>
  </si>
  <si>
    <t>31025433773</t>
  </si>
  <si>
    <t>793901854</t>
  </si>
  <si>
    <t>v.12</t>
  </si>
  <si>
    <t>3102543321D</t>
  </si>
  <si>
    <t>793901848</t>
  </si>
  <si>
    <t>v.8</t>
  </si>
  <si>
    <t>31025433871</t>
  </si>
  <si>
    <t>793901852</t>
  </si>
  <si>
    <t>v.9</t>
  </si>
  <si>
    <t>2007-03-25</t>
  </si>
  <si>
    <t>3102543392$</t>
  </si>
  <si>
    <t>793901851</t>
  </si>
  <si>
    <t>31025433723</t>
  </si>
  <si>
    <t>793901855</t>
  </si>
  <si>
    <t>2007-08-04</t>
  </si>
  <si>
    <t>31025433527</t>
  </si>
  <si>
    <t>793901859</t>
  </si>
  <si>
    <t>31025433577</t>
  </si>
  <si>
    <t>793901858</t>
  </si>
  <si>
    <t>v.11</t>
  </si>
  <si>
    <t>3102543316F</t>
  </si>
  <si>
    <t>793901849</t>
  </si>
  <si>
    <t>Q171 A695 1967ax</t>
  </si>
  <si>
    <t>0                      Q  0171000A  695         1967ax</t>
  </si>
  <si>
    <t>Is anyone there?</t>
  </si>
  <si>
    <t>Asimov, Isaac, 1920-1992.</t>
  </si>
  <si>
    <t>New York, Ace Books. [©1967]</t>
  </si>
  <si>
    <t>2017-07-03</t>
  </si>
  <si>
    <t>50861947:eng</t>
  </si>
  <si>
    <t>425591</t>
  </si>
  <si>
    <t>ocm00425591</t>
  </si>
  <si>
    <t>3000638569T</t>
  </si>
  <si>
    <t>791375399</t>
  </si>
  <si>
    <t>Q171 B958</t>
  </si>
  <si>
    <t>0                      Q  0171000B  958</t>
  </si>
  <si>
    <t>Science is not enough / Vannevar Bush .</t>
  </si>
  <si>
    <t>Bush, Vannevar, 1890-1974.</t>
  </si>
  <si>
    <t>New York : Morrow, 1967.</t>
  </si>
  <si>
    <t>2007-09-18</t>
  </si>
  <si>
    <t>2015-06-29</t>
  </si>
  <si>
    <t>1513855:eng</t>
  </si>
  <si>
    <t>520108</t>
  </si>
  <si>
    <t>ocm00520108</t>
  </si>
  <si>
    <t>3000430606T</t>
  </si>
  <si>
    <t>791401874</t>
  </si>
  <si>
    <t>Q171 C3</t>
  </si>
  <si>
    <t>0                      Q  0171000C  3</t>
  </si>
  <si>
    <t>What is science?.</t>
  </si>
  <si>
    <t>Campbell, Norman Robert, 1880-1949.</t>
  </si>
  <si>
    <t>New York : Dover Publications, ©1952.</t>
  </si>
  <si>
    <t>Dover science books, S43</t>
  </si>
  <si>
    <t>2009-10-16</t>
  </si>
  <si>
    <t>110593238:eng</t>
  </si>
  <si>
    <t>339544</t>
  </si>
  <si>
    <t>ocm00339544</t>
  </si>
  <si>
    <t>30003552455</t>
  </si>
  <si>
    <t>791342832</t>
  </si>
  <si>
    <t>Q171 F67 1934</t>
  </si>
  <si>
    <t>0                      Q  0171000F  67          1934</t>
  </si>
  <si>
    <t>Thoughts on science.</t>
  </si>
  <si>
    <t>Foran, Herbert P. (Herbert Paul), 1896-1933.</t>
  </si>
  <si>
    <t>Montreal : Gazette Print., [1934]</t>
  </si>
  <si>
    <t>46160930:eng</t>
  </si>
  <si>
    <t>61596929</t>
  </si>
  <si>
    <t>ocm61596929</t>
  </si>
  <si>
    <t>3000687799O</t>
  </si>
  <si>
    <t>794036342</t>
  </si>
  <si>
    <t>Q171 H1535</t>
  </si>
  <si>
    <t>0                      Q  0171000H  1535</t>
  </si>
  <si>
    <t>Keeping cool, and other essays, by J.B.S. Haldane ...</t>
  </si>
  <si>
    <t>Haldane, J. B. S. (John Burdon Sanderson), 1892-1964.</t>
  </si>
  <si>
    <t>London, Chatto &amp; Windus, 1940.</t>
  </si>
  <si>
    <t>1940</t>
  </si>
  <si>
    <t>12094140:eng</t>
  </si>
  <si>
    <t>1599201</t>
  </si>
  <si>
    <t>ocm01599201</t>
  </si>
  <si>
    <t>3103592968J</t>
  </si>
  <si>
    <t>791775051</t>
  </si>
  <si>
    <t>Q171 H23 1940</t>
  </si>
  <si>
    <t>0                      Q  0171000H  23          1940</t>
  </si>
  <si>
    <t>Adventures of a biologist.</t>
  </si>
  <si>
    <t>New York and London, Harper &amp; Brothers [©1940]</t>
  </si>
  <si>
    <t>2249740:eng</t>
  </si>
  <si>
    <t>1354219</t>
  </si>
  <si>
    <t>ocm01354219</t>
  </si>
  <si>
    <t>30005399119</t>
  </si>
  <si>
    <t>791607655</t>
  </si>
  <si>
    <t>Q171 H8613 2014</t>
  </si>
  <si>
    <t>0                      Q  0171000H  8613        2014</t>
  </si>
  <si>
    <t>Views of nature / Alexander von Humboldt ; translated by Mark W. Person ; edited by Stephen T. Jackson and Laura Dassow Walls.</t>
  </si>
  <si>
    <t>Humboldt, Alexander von, 1769-1859, author.</t>
  </si>
  <si>
    <t>Chicago ; London : The University of Chicago Press, 2014.</t>
  </si>
  <si>
    <t>2018-11-02</t>
  </si>
  <si>
    <t>4494921345:eng</t>
  </si>
  <si>
    <t>859583964</t>
  </si>
  <si>
    <t>ocn859583964</t>
  </si>
  <si>
    <t>3103608732S</t>
  </si>
  <si>
    <t>9780226923185</t>
  </si>
  <si>
    <t>794958005</t>
  </si>
  <si>
    <t>Q171 H9</t>
  </si>
  <si>
    <t>0                      Q  0171000H  9</t>
  </si>
  <si>
    <t>Collected essays.</t>
  </si>
  <si>
    <t>Huxley, Thomas Henry, 1825-1895.</t>
  </si>
  <si>
    <t>[New York], [D. Appleton and Company], [1896-1910]</t>
  </si>
  <si>
    <t>1896</t>
  </si>
  <si>
    <t>2106879222:eng</t>
  </si>
  <si>
    <t>427561595</t>
  </si>
  <si>
    <t>ocn427561595</t>
  </si>
  <si>
    <t>3100784145W</t>
  </si>
  <si>
    <t>794686990</t>
  </si>
  <si>
    <t>V. 6</t>
  </si>
  <si>
    <t>31007841510</t>
  </si>
  <si>
    <t>794686988</t>
  </si>
  <si>
    <t>V. 7</t>
  </si>
  <si>
    <t>2011-03-21</t>
  </si>
  <si>
    <t>3100784152Z</t>
  </si>
  <si>
    <t>794686987</t>
  </si>
  <si>
    <t>3000749439O</t>
  </si>
  <si>
    <t>794686993</t>
  </si>
  <si>
    <t>V. 8</t>
  </si>
  <si>
    <t>31007841405</t>
  </si>
  <si>
    <t>794686986</t>
  </si>
  <si>
    <t>31007841502</t>
  </si>
  <si>
    <t>794686989</t>
  </si>
  <si>
    <t>3100784144Y</t>
  </si>
  <si>
    <t>794686991</t>
  </si>
  <si>
    <t>V. 9</t>
  </si>
  <si>
    <t>31007841413</t>
  </si>
  <si>
    <t>794686985</t>
  </si>
  <si>
    <t>3100784154V</t>
  </si>
  <si>
    <t>794686992</t>
  </si>
  <si>
    <t>Q171 J37 1930</t>
  </si>
  <si>
    <t>0                      Q  0171000J  37          1930</t>
  </si>
  <si>
    <t>The mysterious universe, by Sir James Jeans.</t>
  </si>
  <si>
    <t>Jeans, James, 1877-1946.</t>
  </si>
  <si>
    <t>Cambridge [England] University Press, 1930.</t>
  </si>
  <si>
    <t>1930</t>
  </si>
  <si>
    <t>Rede lecture</t>
  </si>
  <si>
    <t>2018-04-12</t>
  </si>
  <si>
    <t>475339:eng</t>
  </si>
  <si>
    <t>3751767</t>
  </si>
  <si>
    <t>ocm03751767</t>
  </si>
  <si>
    <t>3103736280M</t>
  </si>
  <si>
    <t>792287842</t>
  </si>
  <si>
    <t>Q171 K35</t>
  </si>
  <si>
    <t>0                      Q  0171000K  35</t>
  </si>
  <si>
    <t>Theory and experiment : a lecture delivered before the Board of Arts and Manufactures for Lower Canada, on the connection between experiment and theory in the progress of scientific discovery, December 20, 1858 / by Rev. E.K. Kendall.</t>
  </si>
  <si>
    <t>Kendall, E. K. (Edward Kay)</t>
  </si>
  <si>
    <t>Montréal : J. Lovell ; Toronto : Wm. C.F. Caverhill, 1859.</t>
  </si>
  <si>
    <t>1859</t>
  </si>
  <si>
    <t>2019-10-10</t>
  </si>
  <si>
    <t>197603172:eng</t>
  </si>
  <si>
    <t>427489422</t>
  </si>
  <si>
    <t>ocn427489422</t>
  </si>
  <si>
    <t>3000685818J</t>
  </si>
  <si>
    <t>794663636</t>
  </si>
  <si>
    <t>Q171 M5</t>
  </si>
  <si>
    <t>0                      Q  0171000M  5</t>
  </si>
  <si>
    <t>Mélanges Alexandre Koyré, publiés à l'occasion de son soixante-dixième anniversaire.</t>
  </si>
  <si>
    <t>Paris, Hermann [1964]</t>
  </si>
  <si>
    <t>Histoire de la pensée, 12-13</t>
  </si>
  <si>
    <t>1028107042:fre</t>
  </si>
  <si>
    <t>654108</t>
  </si>
  <si>
    <t>ocm00654108</t>
  </si>
  <si>
    <t>3100786839Q</t>
  </si>
  <si>
    <t>791438543</t>
  </si>
  <si>
    <t>2008-05-30</t>
  </si>
  <si>
    <t>3000669439J</t>
  </si>
  <si>
    <t>791438544</t>
  </si>
  <si>
    <t>Q171 O6 1966</t>
  </si>
  <si>
    <t>0                      Q  0171000O  6           1966</t>
  </si>
  <si>
    <t>Science and the common understanding / J. Robert Oppenheimer.</t>
  </si>
  <si>
    <t>Oppenheimer, J. Robert, 1904-1967.</t>
  </si>
  <si>
    <t>New York : Simon and Schuster, [1966]</t>
  </si>
  <si>
    <t>The Reith lectures ; 1953</t>
  </si>
  <si>
    <t>2008-11-05</t>
  </si>
  <si>
    <t>2015-10-06</t>
  </si>
  <si>
    <t>7840887:eng</t>
  </si>
  <si>
    <t>1990587</t>
  </si>
  <si>
    <t>ocm01990587</t>
  </si>
  <si>
    <t>3000499710R</t>
  </si>
  <si>
    <t>792024445</t>
  </si>
  <si>
    <t>Q171 O614</t>
  </si>
  <si>
    <t>0                      Q  0171000O  614</t>
  </si>
  <si>
    <t>La science et le bon sens. Traduit de l'anglais par Albert Colnat.</t>
  </si>
  <si>
    <t>[Paris] Gallimard [©1955]</t>
  </si>
  <si>
    <t>Idées</t>
  </si>
  <si>
    <t>9463540414:fre</t>
  </si>
  <si>
    <t>18965347</t>
  </si>
  <si>
    <t>ocm18965347</t>
  </si>
  <si>
    <t>3000499711P</t>
  </si>
  <si>
    <t>793042887</t>
  </si>
  <si>
    <t>Q171 P9464</t>
  </si>
  <si>
    <t>0                      Q  0171000P  9464</t>
  </si>
  <si>
    <t>Little science, big science.</t>
  </si>
  <si>
    <t>Price, Derek J. de Solla (Derek John de Solla), 1922-1983.</t>
  </si>
  <si>
    <t>New York, Columbia Univ. Press, 1963.</t>
  </si>
  <si>
    <t>George B. Pegram lecture series ; 1962</t>
  </si>
  <si>
    <t>2013-12-17</t>
  </si>
  <si>
    <t>2015-01-12</t>
  </si>
  <si>
    <t>8913113894:eng</t>
  </si>
  <si>
    <t>522357</t>
  </si>
  <si>
    <t>ocm00522357</t>
  </si>
  <si>
    <t>31007951964</t>
  </si>
  <si>
    <t>9780231085625</t>
  </si>
  <si>
    <t>791402505</t>
  </si>
  <si>
    <t>31029905355</t>
  </si>
  <si>
    <t>791402506</t>
  </si>
  <si>
    <t>Q171 P9645</t>
  </si>
  <si>
    <t>0                      Q  0171000P  9645</t>
  </si>
  <si>
    <t>Science since Babylon.</t>
  </si>
  <si>
    <t>New Haven, Yale University Press, 1961.</t>
  </si>
  <si>
    <t>2015-10-24</t>
  </si>
  <si>
    <t>434921:eng</t>
  </si>
  <si>
    <t>522123</t>
  </si>
  <si>
    <t>ocm00522123</t>
  </si>
  <si>
    <t>30006455675</t>
  </si>
  <si>
    <t>791402409</t>
  </si>
  <si>
    <t>Q171 S298</t>
  </si>
  <si>
    <t>0                      Q  0171000S  298</t>
  </si>
  <si>
    <t>Science and humanism; physics in our time.</t>
  </si>
  <si>
    <t>Schrödinger, Erwin, 1887-1961.</t>
  </si>
  <si>
    <t>Cambridge [England] University Press, 1951.</t>
  </si>
  <si>
    <t>1951</t>
  </si>
  <si>
    <t>2015-05-04</t>
  </si>
  <si>
    <t>1552351:eng</t>
  </si>
  <si>
    <t>1168805</t>
  </si>
  <si>
    <t>ocm01168805</t>
  </si>
  <si>
    <t>30007010424</t>
  </si>
  <si>
    <t>791563674</t>
  </si>
  <si>
    <t>Q171 S3 1935a</t>
  </si>
  <si>
    <t>0                      Q  0171000S  3           1935a</t>
  </si>
  <si>
    <t>Science and the human temperament, translated and with a biographical introduction by James Murphy. Foreword by Lord Rutherford of Nelson.</t>
  </si>
  <si>
    <t>London, G. Allen &amp; Unwin Ltd. [1935]</t>
  </si>
  <si>
    <t>1935</t>
  </si>
  <si>
    <t>3856112190:eng</t>
  </si>
  <si>
    <t>6395294</t>
  </si>
  <si>
    <t>ocm06395294</t>
  </si>
  <si>
    <t>30004997458</t>
  </si>
  <si>
    <t>792496512</t>
  </si>
  <si>
    <t>Q171 S8712</t>
  </si>
  <si>
    <t>0                      Q  0171000S  8712</t>
  </si>
  <si>
    <t>Aspects of science; second series, by J.W.N. Sullivan.</t>
  </si>
  <si>
    <t>Sullivan, J. W. N. (John William Navin), 1886-1937.</t>
  </si>
  <si>
    <t>London, Collins, 1926.</t>
  </si>
  <si>
    <t>3943649285:eng</t>
  </si>
  <si>
    <t>8137544</t>
  </si>
  <si>
    <t>ocm08137544</t>
  </si>
  <si>
    <t>3000688650G</t>
  </si>
  <si>
    <t>792601455</t>
  </si>
  <si>
    <t>Q171 W418 2018</t>
  </si>
  <si>
    <t>0                      Q  0171000W  418         2018</t>
  </si>
  <si>
    <t>Third thoughts / Steven Weinberg.</t>
  </si>
  <si>
    <t>Cambridge, Massachusetts : The Belknap Press of Harvard University Press, 2018.</t>
  </si>
  <si>
    <t>2018-11-05</t>
  </si>
  <si>
    <t>5237624225:eng</t>
  </si>
  <si>
    <t>1019833836</t>
  </si>
  <si>
    <t>on1019833836</t>
  </si>
  <si>
    <t>3103704698F</t>
  </si>
  <si>
    <t>9780674975323</t>
  </si>
  <si>
    <t>795049847</t>
  </si>
  <si>
    <t>Q171 W65</t>
  </si>
  <si>
    <t>0                      Q  0171000W  65</t>
  </si>
  <si>
    <t>Symmetries and reflections : scientific essays of Eugene P. Wigner.</t>
  </si>
  <si>
    <t>Wigner, Eugene Paul, 1902-1995, author.</t>
  </si>
  <si>
    <t>Bloomington : Indiana University Press, [1967]</t>
  </si>
  <si>
    <t>4820466572:eng</t>
  </si>
  <si>
    <t>519825</t>
  </si>
  <si>
    <t>ocm00519825</t>
  </si>
  <si>
    <t>3000638759O</t>
  </si>
  <si>
    <t>791401812</t>
  </si>
  <si>
    <t>Q171 W876</t>
  </si>
  <si>
    <t>0                      Q  0171000W  876</t>
  </si>
  <si>
    <t>Writing about science / edited by Mary Elizabeth Bowen, Joseph A. Mazzeo.</t>
  </si>
  <si>
    <t>New York : Oxford University Press, 1979.</t>
  </si>
  <si>
    <t>2018-12-10</t>
  </si>
  <si>
    <t>424963892:eng</t>
  </si>
  <si>
    <t>4036902</t>
  </si>
  <si>
    <t>ocm04036902</t>
  </si>
  <si>
    <t>3000985933Z</t>
  </si>
  <si>
    <t>9780195024760</t>
  </si>
  <si>
    <t>792315937</t>
  </si>
  <si>
    <t>Q172.5 C45 N66 2010</t>
  </si>
  <si>
    <t>0                      Q  0172500C  45                 N  66          2010</t>
  </si>
  <si>
    <t>Nonlinear dynamics in human behavior / Raoul Huys and Viktor K. Jirsa, (eds.).</t>
  </si>
  <si>
    <t>Berlin : Springer, ©2010.</t>
  </si>
  <si>
    <t>Studies in computational intelligence, 1860-949X ; v. 328</t>
  </si>
  <si>
    <t>906082052:eng</t>
  </si>
  <si>
    <t>668191366</t>
  </si>
  <si>
    <t>ocn668191366</t>
  </si>
  <si>
    <t>3103320783G</t>
  </si>
  <si>
    <t>9783642162619</t>
  </si>
  <si>
    <t>794845975</t>
  </si>
  <si>
    <t>Q172.5 C45 S36 2010</t>
  </si>
  <si>
    <t>0                      Q  0172500C  45                 S  36          2010</t>
  </si>
  <si>
    <t>The nonlinear universe : chaos, emergence, life / Alwyn C. Scott.</t>
  </si>
  <si>
    <t>Scott, Alwyn, 1931-</t>
  </si>
  <si>
    <t>The frontiers collection, 1612-3018</t>
  </si>
  <si>
    <t>2016-08-04</t>
  </si>
  <si>
    <t>792913456:eng</t>
  </si>
  <si>
    <t>745458225</t>
  </si>
  <si>
    <t>ocn745458225</t>
  </si>
  <si>
    <t>3103370203M</t>
  </si>
  <si>
    <t>9783642070570</t>
  </si>
  <si>
    <t>794886533</t>
  </si>
  <si>
    <t>Q172.5 C45 S37 1999</t>
  </si>
  <si>
    <t>0                      Q  0172500C  45                 S  37          1999</t>
  </si>
  <si>
    <t>Introducing chaos / Ziauddin Sardar and Iwona Abrams ; edited by Richard Appignanesi.</t>
  </si>
  <si>
    <t>Sardar, Ziauddin.</t>
  </si>
  <si>
    <t>Duxford, Cambridge, UK : Icon Books ; New York : Totem Books, 1999.</t>
  </si>
  <si>
    <t>14534178:eng</t>
  </si>
  <si>
    <t>40902377</t>
  </si>
  <si>
    <t>ocm40902377</t>
  </si>
  <si>
    <t>3101945748$</t>
  </si>
  <si>
    <t>9781840460063</t>
  </si>
  <si>
    <t>793578626</t>
  </si>
  <si>
    <t>Q172.5 C45 S55 1998</t>
  </si>
  <si>
    <t>0                      Q  0172500C  45                 S  55          1998</t>
  </si>
  <si>
    <t>Explaining chaos / Peter Smith.</t>
  </si>
  <si>
    <t>Smith, Peter, 1944-</t>
  </si>
  <si>
    <t>Cambridge ; New York : Cambridge University Press, 1998.</t>
  </si>
  <si>
    <t>42123891:eng</t>
  </si>
  <si>
    <t>38976304</t>
  </si>
  <si>
    <t>ocm38976304</t>
  </si>
  <si>
    <t>3102327320J</t>
  </si>
  <si>
    <t>9780521471718</t>
  </si>
  <si>
    <t>793534783</t>
  </si>
  <si>
    <t>Q172.5 C45 S767 2015</t>
  </si>
  <si>
    <t>0                      Q  0172500C  45                 S  767         2015</t>
  </si>
  <si>
    <t>Nonlinear dynamics and chaos : with applications to physics, biology, chemistry, and engineering / Steven H. Strogatz.</t>
  </si>
  <si>
    <t>Strogatz, Steven H. (Steven Henry), author.</t>
  </si>
  <si>
    <t>Cambridge, Massachusetts : Westview Press, [2014]</t>
  </si>
  <si>
    <t>2nd edition.</t>
  </si>
  <si>
    <t>233579470:eng</t>
  </si>
  <si>
    <t>903174575</t>
  </si>
  <si>
    <t>ocn903174575</t>
  </si>
  <si>
    <t>3103758915K</t>
  </si>
  <si>
    <t>9780813349107</t>
  </si>
  <si>
    <t>794988838</t>
  </si>
  <si>
    <t>Q172.5 P77 P54 2010</t>
  </si>
  <si>
    <t>0                      Q  0172500P  77                 P  54          2010</t>
  </si>
  <si>
    <t>Nonsense on stilts : how to tell science from bunk / Massimo Pigliucci.</t>
  </si>
  <si>
    <t>Pigliucci, Massimo, 1964-</t>
  </si>
  <si>
    <t>Chicago : University of Chicago Press, 2010.</t>
  </si>
  <si>
    <t>2015-11-05</t>
  </si>
  <si>
    <t>803995871:eng</t>
  </si>
  <si>
    <t>457149439</t>
  </si>
  <si>
    <t>ocn457149439</t>
  </si>
  <si>
    <t>3103243042T</t>
  </si>
  <si>
    <t>9780226667850</t>
  </si>
  <si>
    <t>794789767</t>
  </si>
  <si>
    <t>Q172.5 P77 S54 2002</t>
  </si>
  <si>
    <t>0                      Q  0172500P  77                 S  54          2002</t>
  </si>
  <si>
    <t>The Skeptic encyclopedia of pseudoscience / Michael Shermer, editor.</t>
  </si>
  <si>
    <t>Santa Barbara, Calif. : ABC-CLIO, ©2002.</t>
  </si>
  <si>
    <t>2016-12-02</t>
  </si>
  <si>
    <t>4160646839:eng</t>
  </si>
  <si>
    <t>50155642</t>
  </si>
  <si>
    <t>ocm50155642</t>
  </si>
  <si>
    <t>3102783943X</t>
  </si>
  <si>
    <t>9781576076538</t>
  </si>
  <si>
    <t>793756897</t>
  </si>
  <si>
    <t>3102783938Z</t>
  </si>
  <si>
    <t>793756898</t>
  </si>
  <si>
    <t>Q172.5 S95 D37 2007</t>
  </si>
  <si>
    <t>0                      Q  0172500S  95                 D  37          2007</t>
  </si>
  <si>
    <t>Symmetry : cultural-historical and ontological aspects of science-arts relations : the natural and man-made world in an interdisciplinary approach / György Darvas ; translated from the Hungarian by David Robert Evans.</t>
  </si>
  <si>
    <t>Darvas, György.</t>
  </si>
  <si>
    <t>Basel ; Boston : Birkhäuser, ©2007.</t>
  </si>
  <si>
    <t>2017-10-13</t>
  </si>
  <si>
    <t>792539774:eng</t>
  </si>
  <si>
    <t>85770212</t>
  </si>
  <si>
    <t>ocm85770212</t>
  </si>
  <si>
    <t>3102638663C</t>
  </si>
  <si>
    <t>9783764375546</t>
  </si>
  <si>
    <t>794215699</t>
  </si>
  <si>
    <t>Q172.5 S95 S74 2013</t>
  </si>
  <si>
    <t>0                      Q  0172500S  95                 S  74          2013</t>
  </si>
  <si>
    <t>Symmetry : a very short introduction / Ian Stewart.</t>
  </si>
  <si>
    <t>Stewart, Ian, 1945- author.</t>
  </si>
  <si>
    <t>Oxford : Oxford University Press, 2013.</t>
  </si>
  <si>
    <t>Very short introductions ; 353</t>
  </si>
  <si>
    <t>1373910863:eng</t>
  </si>
  <si>
    <t>849721844</t>
  </si>
  <si>
    <t>ocn849721844</t>
  </si>
  <si>
    <t>31035057520</t>
  </si>
  <si>
    <t>9780199651986</t>
  </si>
  <si>
    <t>794950265</t>
  </si>
  <si>
    <t>Q172.5 S96 S87 2003</t>
  </si>
  <si>
    <t>0                      Q  0172500S  96                 S  87          2003</t>
  </si>
  <si>
    <t>Sync : how order emerges from the chaos in the universe, nature, and daily life / Steven Strogatz.</t>
  </si>
  <si>
    <t>Strogatz, Steven H. (Steven Henry)</t>
  </si>
  <si>
    <t>New York, N.Y. : Hyperion, ©2003.</t>
  </si>
  <si>
    <t>1st paperback ed.</t>
  </si>
  <si>
    <t>2019-06-25</t>
  </si>
  <si>
    <t>5609070298:eng</t>
  </si>
  <si>
    <t>156370254</t>
  </si>
  <si>
    <t>ocn156370254</t>
  </si>
  <si>
    <t>31026505268</t>
  </si>
  <si>
    <t>9780786887217</t>
  </si>
  <si>
    <t>794254211</t>
  </si>
  <si>
    <t>Q173 D255 2011b</t>
  </si>
  <si>
    <t>0                      Q  0173000D  255         2011b</t>
  </si>
  <si>
    <t>The magic of reality : how we know what's really true / Richard Dawkins ; iillustrated by Dave McKean.</t>
  </si>
  <si>
    <t>Dawkins, Richard, 1941-</t>
  </si>
  <si>
    <t>New York : Free Press, 2011.</t>
  </si>
  <si>
    <t>1st Free Press hardcover ed.</t>
  </si>
  <si>
    <t>2018-09-10</t>
  </si>
  <si>
    <t>945687316:eng</t>
  </si>
  <si>
    <t>709673132</t>
  </si>
  <si>
    <t>ocn709673132</t>
  </si>
  <si>
    <t>3103382767J</t>
  </si>
  <si>
    <t>9781439192818</t>
  </si>
  <si>
    <t>794869685</t>
  </si>
  <si>
    <t>Q173 D49 2004</t>
  </si>
  <si>
    <t>0                      Q  0173000D  49          2004</t>
  </si>
  <si>
    <t>Beyond reason : eight great problems that reveal the limits of science / A.K. Dewdney.</t>
  </si>
  <si>
    <t>Dewdney, A. K.</t>
  </si>
  <si>
    <t>Hoboken, N.J. : Wiley, ©2004.</t>
  </si>
  <si>
    <t>2017-09-10</t>
  </si>
  <si>
    <t>116906595:eng</t>
  </si>
  <si>
    <t>54503650</t>
  </si>
  <si>
    <t>ocm54503650</t>
  </si>
  <si>
    <t>3102438110C</t>
  </si>
  <si>
    <t>9780471013983</t>
  </si>
  <si>
    <t>793863351</t>
  </si>
  <si>
    <t>Q173 G35 1957</t>
  </si>
  <si>
    <t>0                      Q  0173000G  35          1957</t>
  </si>
  <si>
    <t>Fads and fallacies in the name of science / Martin Gardner.</t>
  </si>
  <si>
    <t>Gardner, Martin, 1914-2010.</t>
  </si>
  <si>
    <t>New York : Dover Publications, 1957.</t>
  </si>
  <si>
    <t>2018-07-05</t>
  </si>
  <si>
    <t>196646141:eng</t>
  </si>
  <si>
    <t>233892</t>
  </si>
  <si>
    <t>ocm00233892</t>
  </si>
  <si>
    <t>31036196907</t>
  </si>
  <si>
    <t>9780486203942</t>
  </si>
  <si>
    <t>791303293</t>
  </si>
  <si>
    <t>Q173 W525 2006</t>
  </si>
  <si>
    <t>0                      Q  0173000W  525         2006</t>
  </si>
  <si>
    <t>What is your dangerous idea? : today's leading thinkers on the unthinkable / edited by John Brockman.</t>
  </si>
  <si>
    <t>London : Simon &amp; Schuster, 2006.</t>
  </si>
  <si>
    <t>2018-01-22</t>
  </si>
  <si>
    <t>896802821:eng</t>
  </si>
  <si>
    <t>70986398</t>
  </si>
  <si>
    <t>ocm70986398</t>
  </si>
  <si>
    <t>3102567569A</t>
  </si>
  <si>
    <t>9780743295536</t>
  </si>
  <si>
    <t>794161906</t>
  </si>
  <si>
    <t>Q174 B67 2012</t>
  </si>
  <si>
    <t>0                      Q  0174000B  67          2012</t>
  </si>
  <si>
    <t>Evaluating philosophies / Mario Bunge.</t>
  </si>
  <si>
    <t>Bunge, Mario, 1919-</t>
  </si>
  <si>
    <t>Dordrecht ; New York : Springer, ©2012.</t>
  </si>
  <si>
    <t>Boston studies in the philosophy of science, 0068-0346 ; v. 295</t>
  </si>
  <si>
    <t>1125187497:eng</t>
  </si>
  <si>
    <t>806947226</t>
  </si>
  <si>
    <t>ocn806947226</t>
  </si>
  <si>
    <t>3103480871G</t>
  </si>
  <si>
    <t>9789400744073</t>
  </si>
  <si>
    <t>794927087</t>
  </si>
  <si>
    <t>Q174 C625</t>
  </si>
  <si>
    <t>0                      Q  0174000C  625</t>
  </si>
  <si>
    <t>The idea of nature / by R.G. Collingwood.</t>
  </si>
  <si>
    <t>Collingwood, R. G. (Robin George), 1889-1943.</t>
  </si>
  <si>
    <t>Oxford : Clarendon Press, 1945.</t>
  </si>
  <si>
    <t>2017-07-20</t>
  </si>
  <si>
    <t>571087:eng</t>
  </si>
  <si>
    <t>1870696</t>
  </si>
  <si>
    <t>ocm01870696</t>
  </si>
  <si>
    <t>3001136154L</t>
  </si>
  <si>
    <t>792003029</t>
  </si>
  <si>
    <t>Q174 C74 1990</t>
  </si>
  <si>
    <t>0                      Q  0174000C  74          1990</t>
  </si>
  <si>
    <t>Creativity in the arts and science / William R. Shea and Antonio Spadafora, editors.</t>
  </si>
  <si>
    <t>Canton, MA : Science History Publications U.S.A., 1990.</t>
  </si>
  <si>
    <t>2017-04-20</t>
  </si>
  <si>
    <t>350146420:eng</t>
  </si>
  <si>
    <t>21760252</t>
  </si>
  <si>
    <t>ocm21760252</t>
  </si>
  <si>
    <t>3101230899L</t>
  </si>
  <si>
    <t>9780881350647</t>
  </si>
  <si>
    <t>793126883</t>
  </si>
  <si>
    <t>31006561492</t>
  </si>
  <si>
    <t>793126884</t>
  </si>
  <si>
    <t>Q174 I56</t>
  </si>
  <si>
    <t>0                      Q  0174000I  56</t>
  </si>
  <si>
    <t>The Interaction between science and philosophy. Edited by Y. Elkana.</t>
  </si>
  <si>
    <t>Atlantic Highlands, N.J., Humanities Press [1974]</t>
  </si>
  <si>
    <t>The Van Leer Jerusalem Foundation series</t>
  </si>
  <si>
    <t>458888:eng</t>
  </si>
  <si>
    <t>867939</t>
  </si>
  <si>
    <t>ocm00867939</t>
  </si>
  <si>
    <t>3001035192P</t>
  </si>
  <si>
    <t>9780391002555</t>
  </si>
  <si>
    <t>791490798</t>
  </si>
  <si>
    <t>2014-03-26</t>
  </si>
  <si>
    <t>Q174 I58 1975a pt. 2</t>
  </si>
  <si>
    <t>0                      Q  0174000I  58          1975a                                       pt. 2</t>
  </si>
  <si>
    <t>Foundational problems in the special sciences / edited by Robert E. Butts and Jaakko Hintikka.</t>
  </si>
  <si>
    <t>pt. 2*</t>
  </si>
  <si>
    <t>International Congress of Logic, Methodology, and Philosophy of Science (5th : 1975 : University of Western Ontario)</t>
  </si>
  <si>
    <t>Dordrecht ; Boston : D. Reidel, ©1977.</t>
  </si>
  <si>
    <t>Proceedings of the Fifth International Congress of Logic, Methodology, and Philosophy of Science, London, Ontario, Canada, 1975 ; pt. 2</t>
  </si>
  <si>
    <t>2017-08-14</t>
  </si>
  <si>
    <t>5336943591:eng</t>
  </si>
  <si>
    <t>3088696</t>
  </si>
  <si>
    <t>ocm03088696</t>
  </si>
  <si>
    <t>3000424340R</t>
  </si>
  <si>
    <t>9789027707109</t>
  </si>
  <si>
    <t>792215854</t>
  </si>
  <si>
    <t>Q174 I58 1991</t>
  </si>
  <si>
    <t>0                      Q  0174000I  58          1991</t>
  </si>
  <si>
    <t>Logic and philosophy of science in Uppsala : papers from the 9th International Congress of Logic, Methodology, and Philosophy of Science / edited by Dag Prawitz and Dag Westerståhl.</t>
  </si>
  <si>
    <t>International Congress of Logic, Methodology, and Philosophy of Science (9th : 1991 : Uppsala, Sweden)</t>
  </si>
  <si>
    <t>Dordrecht ; Boston : Kluwer Academic Publishers, ©1994.</t>
  </si>
  <si>
    <t>Synthese library ; v. 236</t>
  </si>
  <si>
    <t>2015-02-16</t>
  </si>
  <si>
    <t>898314163:eng</t>
  </si>
  <si>
    <t>29668256</t>
  </si>
  <si>
    <t>ocm29668256</t>
  </si>
  <si>
    <t>3102740117L</t>
  </si>
  <si>
    <t>9780792327028</t>
  </si>
  <si>
    <t>793317597</t>
  </si>
  <si>
    <t>Q174 P76 2012</t>
  </si>
  <si>
    <t>0                      Q  0174000P  76          2012</t>
  </si>
  <si>
    <t>Probabilities, laws, and structures / Dennis Dieks, Wenceslao J. González, Stephan Hartmann, Michael Stöltzner, Marcel Weber, editors.</t>
  </si>
  <si>
    <t>Dordrecht ; London : Springer, [2012]</t>
  </si>
  <si>
    <t>The philosophy of science in a European perspective ; 3</t>
  </si>
  <si>
    <t>1098192966:eng</t>
  </si>
  <si>
    <t>760976547</t>
  </si>
  <si>
    <t>ocn760976547</t>
  </si>
  <si>
    <t>31034316874</t>
  </si>
  <si>
    <t>9789400730298</t>
  </si>
  <si>
    <t>794898854</t>
  </si>
  <si>
    <t>Q174 S87</t>
  </si>
  <si>
    <t>0                      Q  0174000S  87</t>
  </si>
  <si>
    <t>The Structure of scientific theories. Edited with a critical introd. by Frederick Suppe.</t>
  </si>
  <si>
    <t>Urbana, University of Illinois Press [1974]</t>
  </si>
  <si>
    <t>2017-01-16</t>
  </si>
  <si>
    <t>54015160:eng</t>
  </si>
  <si>
    <t>912479</t>
  </si>
  <si>
    <t>ocm00912479</t>
  </si>
  <si>
    <t>31028024628</t>
  </si>
  <si>
    <t>9780252003189</t>
  </si>
  <si>
    <t>791500546</t>
  </si>
  <si>
    <t>Q174.8 E45 2012</t>
  </si>
  <si>
    <t>0                      Q  0174800E  45          2012</t>
  </si>
  <si>
    <t>Emilie du Châtelet between Leibniz and Newton / Ruth Hagengruber, editor.</t>
  </si>
  <si>
    <t>Dordrecht [Netherlands] ; New York : Springer, ©2012.</t>
  </si>
  <si>
    <t>Archives internationales d'histoire des idées = International archives of the history of ideas, 0066-6610 ; 205</t>
  </si>
  <si>
    <t>2018-03-12</t>
  </si>
  <si>
    <t>1042395275:eng</t>
  </si>
  <si>
    <t>740630019</t>
  </si>
  <si>
    <t>ocn740630019</t>
  </si>
  <si>
    <t>3103462944L</t>
  </si>
  <si>
    <t>9789400720749</t>
  </si>
  <si>
    <t>794883429</t>
  </si>
  <si>
    <t>Q174.8 H36 2008</t>
  </si>
  <si>
    <t>0                      Q  0174800H  36          2008</t>
  </si>
  <si>
    <t>Handlung und Wissenschaft : die Epistemologie der praktischen Wissenschaften im 13. und 14. Jahrhundert = Action and science : the epistemology of the practical sciences in the 13th and 14th centuries / herausgegeben von Matthias Lutz-Bachmann und Alexander Fidora.</t>
  </si>
  <si>
    <t>Berlin : Akademie Verlag, ©2008.</t>
  </si>
  <si>
    <t>Wissenskultur und gesellschaftlicher Wandel ; Bd. 29</t>
  </si>
  <si>
    <t>140280315:ger</t>
  </si>
  <si>
    <t>234368892</t>
  </si>
  <si>
    <t>ocn234368892</t>
  </si>
  <si>
    <t>3103050741R</t>
  </si>
  <si>
    <t>9783050045191</t>
  </si>
  <si>
    <t>794369632</t>
  </si>
  <si>
    <t>Q174.8 H44 1993</t>
  </si>
  <si>
    <t>0                      Q  0174800H  44          1993</t>
  </si>
  <si>
    <t>Hegel and Newtonianism / edited by Michael John Petry.</t>
  </si>
  <si>
    <t>Dordrecht ; Boston : Kluver Academic Publishers, ©1993.</t>
  </si>
  <si>
    <t>Archives internationales d'histoire des idées = International archives of the history of ideas ; 136</t>
  </si>
  <si>
    <t>2016-11-17</t>
  </si>
  <si>
    <t>8908348800:eng</t>
  </si>
  <si>
    <t>27768113</t>
  </si>
  <si>
    <t>ocm27768113</t>
  </si>
  <si>
    <t>3101238371N</t>
  </si>
  <si>
    <t>9780792322023</t>
  </si>
  <si>
    <t>793271509</t>
  </si>
  <si>
    <t>Q174.8 R68 2011</t>
  </si>
  <si>
    <t>0                      Q  0174800R  68          2011</t>
  </si>
  <si>
    <t>The first scientist : Anaximander and his legacy / Carlo Rovelli ; translated by Marion Lignana Rosenberg.</t>
  </si>
  <si>
    <t>Rovelli, Carlo, 1956-</t>
  </si>
  <si>
    <t>Yardley : Westholme, c 2011.</t>
  </si>
  <si>
    <t>2018-07-24</t>
  </si>
  <si>
    <t>767724469:eng</t>
  </si>
  <si>
    <t>694832795</t>
  </si>
  <si>
    <t>ocn694832795</t>
  </si>
  <si>
    <t>3103502092P</t>
  </si>
  <si>
    <t>9781594161315</t>
  </si>
  <si>
    <t>794857996</t>
  </si>
  <si>
    <t>Q175 A26</t>
  </si>
  <si>
    <t>0                      Q  0175000A  26</t>
  </si>
  <si>
    <t>Concepts of science; a philosophical analysis.</t>
  </si>
  <si>
    <t>Achinstein, Peter.</t>
  </si>
  <si>
    <t>Baltimore, Johns Hopkins Press [1968]</t>
  </si>
  <si>
    <t>2006-08-07</t>
  </si>
  <si>
    <t>151056334:eng</t>
  </si>
  <si>
    <t>438951</t>
  </si>
  <si>
    <t>ocm00438951</t>
  </si>
  <si>
    <t>3000589356I</t>
  </si>
  <si>
    <t>791378697</t>
  </si>
  <si>
    <t>- Education Migration Project - By Request</t>
  </si>
  <si>
    <t>3103773506D</t>
  </si>
  <si>
    <t>791378698</t>
  </si>
  <si>
    <t>Q175 A268</t>
  </si>
  <si>
    <t>0                      Q  0175000A  268</t>
  </si>
  <si>
    <t>Law and explanation : an essay in the philosophy of science / Peter Achinstein.</t>
  </si>
  <si>
    <t>Achinstein, Peter, author.</t>
  </si>
  <si>
    <t>London : Oxford University Press, 1971.</t>
  </si>
  <si>
    <t>1339160:eng</t>
  </si>
  <si>
    <t>226311</t>
  </si>
  <si>
    <t>ocm00226311</t>
  </si>
  <si>
    <t>3000499630P</t>
  </si>
  <si>
    <t>9780198582083</t>
  </si>
  <si>
    <t>791300173</t>
  </si>
  <si>
    <t>Q175 A535 2012</t>
  </si>
  <si>
    <t>0                      Q  0175000A  535         2012</t>
  </si>
  <si>
    <t>Analysis and interpretation in the exact sciences : essays in honour of William Demopoulos / Mélanie Frappier, Derek H. Brown, Robert DiSalle, editors.</t>
  </si>
  <si>
    <t>Dordrecht ; London : Springer, ©2012.</t>
  </si>
  <si>
    <t>The Western Ontario series in philosophy of science ; 78</t>
  </si>
  <si>
    <t>2015-04-21</t>
  </si>
  <si>
    <t>1157185281:eng</t>
  </si>
  <si>
    <t>766344949</t>
  </si>
  <si>
    <t>ocn766344949</t>
  </si>
  <si>
    <t>3103448634I</t>
  </si>
  <si>
    <t>9789400725812</t>
  </si>
  <si>
    <t>794900868</t>
  </si>
  <si>
    <t>Q175 A6175 2001</t>
  </si>
  <si>
    <t>0                      Q  0175000A  6175        2001</t>
  </si>
  <si>
    <t>On Kuhn / Hanne Andersen.</t>
  </si>
  <si>
    <t>Andersen, Hanne, 1964-</t>
  </si>
  <si>
    <t>Australia ; Belmont, CA : Wadsworth/Thomson Learning, ©2001.</t>
  </si>
  <si>
    <t>Wadsworth philosophers series</t>
  </si>
  <si>
    <t>2015-08-13</t>
  </si>
  <si>
    <t>36164626:eng</t>
  </si>
  <si>
    <t>48014420</t>
  </si>
  <si>
    <t>ocm48014420</t>
  </si>
  <si>
    <t>3102197359I</t>
  </si>
  <si>
    <t>9780534583569</t>
  </si>
  <si>
    <t>793713845</t>
  </si>
  <si>
    <t>Q175 A754 2000</t>
  </si>
  <si>
    <t>0                      Q  0175000A  754         2000</t>
  </si>
  <si>
    <t>Aristotle and contemporary science / edited by Demetra Sfendoni-Mentzou ; introduction by Hilary Putnam.</t>
  </si>
  <si>
    <t>New York : P. Lang, ©2000-©2001.</t>
  </si>
  <si>
    <t>2018-02-01</t>
  </si>
  <si>
    <t>2865258681:eng</t>
  </si>
  <si>
    <t>40489216</t>
  </si>
  <si>
    <t>ocm40489216</t>
  </si>
  <si>
    <t>3102091301C</t>
  </si>
  <si>
    <t>9780820441467</t>
  </si>
  <si>
    <t>793568323</t>
  </si>
  <si>
    <t>31020913054</t>
  </si>
  <si>
    <t>793568322</t>
  </si>
  <si>
    <t>Q175 A84</t>
  </si>
  <si>
    <t>0                      Q  0175000A  84</t>
  </si>
  <si>
    <t>An introduction to cybernetics.</t>
  </si>
  <si>
    <t>Ashby, W. Ross (William Ross), 1903-1972.</t>
  </si>
  <si>
    <t>New York, J. Wiley, 1956.</t>
  </si>
  <si>
    <t>2013-12-24</t>
  </si>
  <si>
    <t>2018-12-11</t>
  </si>
  <si>
    <t>119185656:eng</t>
  </si>
  <si>
    <t>522174</t>
  </si>
  <si>
    <t>ocm00522174</t>
  </si>
  <si>
    <t>3001052337S</t>
  </si>
  <si>
    <t>791402434</t>
  </si>
  <si>
    <t>Q175 B12 1960</t>
  </si>
  <si>
    <t>0                      Q  0175000B  12          1960</t>
  </si>
  <si>
    <t>La formation de l'esprit scientifique : contribution à une psychanalyse de la connaissance objective / Gaston Bachelard.</t>
  </si>
  <si>
    <t>Bachelard, Gaston, 1884-1962.</t>
  </si>
  <si>
    <t>Paris : J. Vrin, 1960.</t>
  </si>
  <si>
    <t>4. éd.</t>
  </si>
  <si>
    <t>2017-12-16</t>
  </si>
  <si>
    <t>1070080:fre</t>
  </si>
  <si>
    <t>2337495</t>
  </si>
  <si>
    <t>ocm02337495</t>
  </si>
  <si>
    <t>3103387192B</t>
  </si>
  <si>
    <t>792106037</t>
  </si>
  <si>
    <t>Q175 B12 1969</t>
  </si>
  <si>
    <t>0                      Q  0175000B  12          1969</t>
  </si>
  <si>
    <t>La Formation de l'esprit scientifique : contribution à une psychanalyse de la connaissance objective.</t>
  </si>
  <si>
    <t>Paris, J. Vrin, 1969.</t>
  </si>
  <si>
    <t>6e édition.</t>
  </si>
  <si>
    <t>Bibliothèque des textes philosophiques</t>
  </si>
  <si>
    <t>427530281</t>
  </si>
  <si>
    <t>ocn427530281</t>
  </si>
  <si>
    <t>3102790125V</t>
  </si>
  <si>
    <t>794676645</t>
  </si>
  <si>
    <t>Q175 B143 1984</t>
  </si>
  <si>
    <t>0                      Q  0175000B  143         1984</t>
  </si>
  <si>
    <t>The new scientific spirit / Gaston Bachelard ; translated by Arthur Goldhammer ; foreword by Patrick A. Heelan.</t>
  </si>
  <si>
    <t>Boston : Beacon Press, ©1984.</t>
  </si>
  <si>
    <t>2016-05-11</t>
  </si>
  <si>
    <t>3714771:eng</t>
  </si>
  <si>
    <t>10948893</t>
  </si>
  <si>
    <t>ocm10948893</t>
  </si>
  <si>
    <t>30003696272</t>
  </si>
  <si>
    <t>9780807015001</t>
  </si>
  <si>
    <t>792750839</t>
  </si>
  <si>
    <t>Q175 B153</t>
  </si>
  <si>
    <t>0                      Q  0175000B  153</t>
  </si>
  <si>
    <t>The philosophy of no; a philosophy of the new scientific mind. Translated from the French by G.C. Waterston.</t>
  </si>
  <si>
    <t>New York, Orion Press [1968]</t>
  </si>
  <si>
    <t>3901808224:eng</t>
  </si>
  <si>
    <t>438958</t>
  </si>
  <si>
    <t>ocm00438958</t>
  </si>
  <si>
    <t>3000638149E</t>
  </si>
  <si>
    <t>791378705</t>
  </si>
  <si>
    <t>Q175 B217 2014</t>
  </si>
  <si>
    <t>0                      Q  0175000B  217         2014</t>
  </si>
  <si>
    <t>Philosophy of science : a new introduction / Gillian Barker, Western University, Philip Kitcher, Columbia University.</t>
  </si>
  <si>
    <t>Barker, Gillian.</t>
  </si>
  <si>
    <t>New York : Oxford University Press, 2014.</t>
  </si>
  <si>
    <t>Fundamentals of philosophy series</t>
  </si>
  <si>
    <t>2018-01-17</t>
  </si>
  <si>
    <t>2019-12-01</t>
  </si>
  <si>
    <t>1391764613:eng</t>
  </si>
  <si>
    <t>827852441</t>
  </si>
  <si>
    <t>ocn827852441</t>
  </si>
  <si>
    <t>3103658833T</t>
  </si>
  <si>
    <t>9780195366198</t>
  </si>
  <si>
    <t>794940347</t>
  </si>
  <si>
    <t>3103653002N</t>
  </si>
  <si>
    <t>794940346</t>
  </si>
  <si>
    <t>Q175 B218 1993</t>
  </si>
  <si>
    <t>0                      Q  0175000B  218         1993</t>
  </si>
  <si>
    <t>Asking questions in biology : design, analysis, and presentation in practical work / Chris Barnard, Francis Gilbert &amp; Peter McGregor.</t>
  </si>
  <si>
    <t>Barnard, C. J. (Christopher J.)</t>
  </si>
  <si>
    <t>Burnt Mill, Harlow, Essex, England : Longman Scientific &amp; Technical ; New York, NY : Copublished in the United States with John Wiley &amp; Sons, 1993.</t>
  </si>
  <si>
    <t>2019-03-20</t>
  </si>
  <si>
    <t>9846659216:eng</t>
  </si>
  <si>
    <t>26973704</t>
  </si>
  <si>
    <t>ocm26973704</t>
  </si>
  <si>
    <t>3101459708K</t>
  </si>
  <si>
    <t>UNAVAILABLE</t>
  </si>
  <si>
    <t>9780582088542</t>
  </si>
  <si>
    <t>793256001</t>
  </si>
  <si>
    <t>Q175 B4674 1992</t>
  </si>
  <si>
    <t>0                      Q  0175000B  4674        1992</t>
  </si>
  <si>
    <t>De motu ; and, the analyst / George Berkeley ; a modern edition with introductions and commentary by Douglas M. Josseph.</t>
  </si>
  <si>
    <t>Berkeley, George, 1685-1753.</t>
  </si>
  <si>
    <t>Dordrecht ; Boston : Kluwer Academic Publishers, ©1992.</t>
  </si>
  <si>
    <t>The New synthese historical library ; v. 41</t>
  </si>
  <si>
    <t>2017-03-24</t>
  </si>
  <si>
    <t>2869680507:eng</t>
  </si>
  <si>
    <t>24626744</t>
  </si>
  <si>
    <t>ocm24626744</t>
  </si>
  <si>
    <t>3101108048I</t>
  </si>
  <si>
    <t>9780792315209</t>
  </si>
  <si>
    <t>793202402</t>
  </si>
  <si>
    <t>Q175 B53 1975</t>
  </si>
  <si>
    <t>0                      Q  0175000B  53          1975</t>
  </si>
  <si>
    <t>A realist theory of science / Roy Bhaskar.</t>
  </si>
  <si>
    <t>Bhaskar, Roy, 1944-2014.</t>
  </si>
  <si>
    <t>[York] : Books, ©1975.</t>
  </si>
  <si>
    <t>2019-12-11</t>
  </si>
  <si>
    <t>458903:eng</t>
  </si>
  <si>
    <t>2634924</t>
  </si>
  <si>
    <t>ocm02634924</t>
  </si>
  <si>
    <t>3103636086P</t>
  </si>
  <si>
    <t>9780859520133</t>
  </si>
  <si>
    <t>792155886</t>
  </si>
  <si>
    <t>Q175 B535 1986</t>
  </si>
  <si>
    <t>0                      Q  0175000B  535         1986</t>
  </si>
  <si>
    <t>Scientific realism and human emancipation / Roy Bhaskar.</t>
  </si>
  <si>
    <t>London : Verso, 1986.</t>
  </si>
  <si>
    <t>2017-05-18</t>
  </si>
  <si>
    <t>10497355:eng</t>
  </si>
  <si>
    <t>15235267</t>
  </si>
  <si>
    <t>ocm15235267</t>
  </si>
  <si>
    <t>3103629048O</t>
  </si>
  <si>
    <t>9780860911432</t>
  </si>
  <si>
    <t>792925039</t>
  </si>
  <si>
    <t>2016-01-07</t>
  </si>
  <si>
    <t>3000481387H</t>
  </si>
  <si>
    <t>792925038</t>
  </si>
  <si>
    <t>Q175 B55 1998</t>
  </si>
  <si>
    <t>0                      Q  0175000B  55          1998</t>
  </si>
  <si>
    <t>Philosophy of science / Alexander Bird.</t>
  </si>
  <si>
    <t>Bird, Alexander, 1964-</t>
  </si>
  <si>
    <t>Montreal : McGill-Queen's University Press, c1998.</t>
  </si>
  <si>
    <t>Fundamentals of philosophy</t>
  </si>
  <si>
    <t>2010-12-16</t>
  </si>
  <si>
    <t>2017-12-19</t>
  </si>
  <si>
    <t>2792255746:eng</t>
  </si>
  <si>
    <t>38591570</t>
  </si>
  <si>
    <t>ocm38591570</t>
  </si>
  <si>
    <t>3102784485$</t>
  </si>
  <si>
    <t>9780773517721</t>
  </si>
  <si>
    <t>793527707</t>
  </si>
  <si>
    <t>3102940609X</t>
  </si>
  <si>
    <t>793527706</t>
  </si>
  <si>
    <t>Q175 B7312 v. 1</t>
  </si>
  <si>
    <t>0                      Q  0175000B  7312                                                    v. 1</t>
  </si>
  <si>
    <t>Proceedings. Edited by Marx W. Wartofsky.</t>
  </si>
  <si>
    <t>v. 1*</t>
  </si>
  <si>
    <t>Boston Colloquium for the Philosophy of Science (1961-1962)</t>
  </si>
  <si>
    <t>Dordrecht, D. Reidel [1963]</t>
  </si>
  <si>
    <t>Boston studies in the philosophy of science, v. 1</t>
  </si>
  <si>
    <t>3855341691:eng</t>
  </si>
  <si>
    <t>1126421</t>
  </si>
  <si>
    <t>ocm01126421</t>
  </si>
  <si>
    <t>3000499671B</t>
  </si>
  <si>
    <t>791552814</t>
  </si>
  <si>
    <t>Q175 B7312 v. 104</t>
  </si>
  <si>
    <t>0                      Q  0175000B  7312                                                    v. 104</t>
  </si>
  <si>
    <t>The Form of information in science : analysis of an immunology sublanguage / Zellig Harris [and others] ; with a preface by Hilary Putnam.</t>
  </si>
  <si>
    <t>v. 104*</t>
  </si>
  <si>
    <t>Dordrecht [Netherlands] ; Boston : Kluwer Academic Publishers, ©1989.</t>
  </si>
  <si>
    <t>Boston studies in the philosophy of science ; v. 104</t>
  </si>
  <si>
    <t>2005-08-04</t>
  </si>
  <si>
    <t>2017-01-21</t>
  </si>
  <si>
    <t>808047576:eng</t>
  </si>
  <si>
    <t>18742587</t>
  </si>
  <si>
    <t>ocm18742587</t>
  </si>
  <si>
    <t>30006400105</t>
  </si>
  <si>
    <t>9789027725165</t>
  </si>
  <si>
    <t>793035983</t>
  </si>
  <si>
    <t>Q175 B7312 v. 112</t>
  </si>
  <si>
    <t>0                      Q  0175000B  7312                                                    v. 112</t>
  </si>
  <si>
    <t>The Qualitative-quantitative distinction in the social sciences / edited by Barry Glassner and Jonathan D. Moreno.</t>
  </si>
  <si>
    <t>v. 112*</t>
  </si>
  <si>
    <t>Dordrecht ; Boston : Kluwer Academic, ©1989.</t>
  </si>
  <si>
    <t>Boston studies in the philosophy of science ; v. 112</t>
  </si>
  <si>
    <t>351647002:eng</t>
  </si>
  <si>
    <t>18382297</t>
  </si>
  <si>
    <t>ocm18382297</t>
  </si>
  <si>
    <t>3103818837V</t>
  </si>
  <si>
    <t>9789027728296</t>
  </si>
  <si>
    <t>793023722</t>
  </si>
  <si>
    <t>Q175 B7312 v. 116</t>
  </si>
  <si>
    <t>0                      Q  0175000B  7312                                                    v. 116</t>
  </si>
  <si>
    <t>An Intimate relation : studies in the history and philosophy of science : presented to Robert E. Butts on his 60th birthday / edited by James Robert Brown and Jürgen Mittelstrass.</t>
  </si>
  <si>
    <t>v. 116*</t>
  </si>
  <si>
    <t>Dordrecht ; Boston : Kluwer Academic Publishers, ©1989.</t>
  </si>
  <si>
    <t>Boston studies in the philosophy of science ; v. 116</t>
  </si>
  <si>
    <t>2017-05-04</t>
  </si>
  <si>
    <t>808694860:eng</t>
  </si>
  <si>
    <t>20170426</t>
  </si>
  <si>
    <t>ocm20170426</t>
  </si>
  <si>
    <t>3100214735E</t>
  </si>
  <si>
    <t>9780792301691</t>
  </si>
  <si>
    <t>793079857</t>
  </si>
  <si>
    <t>Q175 B7312 v. 122</t>
  </si>
  <si>
    <t>0                      Q  0175000B  7312                                                    v. 122</t>
  </si>
  <si>
    <t>Statistics in science : the foundations of statistical methods in biology, physics, and economics / edited by Roger Cooke and Domenico Costantini.</t>
  </si>
  <si>
    <t>v. 122*</t>
  </si>
  <si>
    <t>Dordrecht ; Boston : Kluwer Academic Publishers, ©1990.</t>
  </si>
  <si>
    <t>Boston studies in the philosophy of science ; v. 122</t>
  </si>
  <si>
    <t>2018-05-14</t>
  </si>
  <si>
    <t>808110169:eng</t>
  </si>
  <si>
    <t>21483336</t>
  </si>
  <si>
    <t>ocm21483336</t>
  </si>
  <si>
    <t>31005752634</t>
  </si>
  <si>
    <t>9780792307976</t>
  </si>
  <si>
    <t>793120199</t>
  </si>
  <si>
    <t>Q175 B7312 v. 126</t>
  </si>
  <si>
    <t>0                      Q  0175000B  7312                                                    v. 126</t>
  </si>
  <si>
    <t>Physics, cosmology, and astronomy, 1300-1700 : tension and accommodation / edited by Sabetai Unguru.</t>
  </si>
  <si>
    <t>v. 126*</t>
  </si>
  <si>
    <t>Dordrecht ; Boston : Kluwer Academic Publishers, ©1991.</t>
  </si>
  <si>
    <t>Boston studies in the philosophy of science ; v. 126</t>
  </si>
  <si>
    <t>2011-01-28</t>
  </si>
  <si>
    <t>808110262:eng</t>
  </si>
  <si>
    <t>22450781</t>
  </si>
  <si>
    <t>ocm22450781</t>
  </si>
  <si>
    <t>3101014760L</t>
  </si>
  <si>
    <t>9780792310228</t>
  </si>
  <si>
    <t>793144455</t>
  </si>
  <si>
    <t>Q175 B7312 v. 130</t>
  </si>
  <si>
    <t>0                      Q  0175000B  7312                                                    v. 130</t>
  </si>
  <si>
    <t>Understanding origins : contemporary views on the origin of life, mind, and society / edited by Francisco J. Varela and Jean-Pierre Dupuy.</t>
  </si>
  <si>
    <t>v. 130*</t>
  </si>
  <si>
    <t>Dordrecht [Netherlands] ; Boston : Kluwer Academic Publishers, ©1992.</t>
  </si>
  <si>
    <t>Boston studies in the philosophy of science ; v. 130</t>
  </si>
  <si>
    <t>2004-10-12</t>
  </si>
  <si>
    <t>2015-08-20</t>
  </si>
  <si>
    <t>836863962:eng</t>
  </si>
  <si>
    <t>23693775</t>
  </si>
  <si>
    <t>ocm23693775</t>
  </si>
  <si>
    <t>31027571959</t>
  </si>
  <si>
    <t>9780792312512</t>
  </si>
  <si>
    <t>793180296</t>
  </si>
  <si>
    <t>Q175 B7312 v. 133</t>
  </si>
  <si>
    <t>0                      Q  0175000B  7312                                                    v. 133</t>
  </si>
  <si>
    <t>Rediscovering the forgotten Vienna Circle : Austrian studies on Otto Neurath and the Vienna Circle / edited by Thomas E. Uebel.</t>
  </si>
  <si>
    <t>v. 133*</t>
  </si>
  <si>
    <t>Boston studies in the philosophy of science ; v. 133</t>
  </si>
  <si>
    <t>2015-10-08</t>
  </si>
  <si>
    <t>836861555:eng</t>
  </si>
  <si>
    <t>23654059</t>
  </si>
  <si>
    <t>ocm23654059</t>
  </si>
  <si>
    <t>31010220842</t>
  </si>
  <si>
    <t>9780792312765</t>
  </si>
  <si>
    <t>793178878</t>
  </si>
  <si>
    <t>Q175 B7312 v. 136</t>
  </si>
  <si>
    <t>0                      Q  0175000B  7312                                                    v. 136</t>
  </si>
  <si>
    <t>Science and empires : historical studies about scientific development and European expansion / edited by Patrick Petitjean, Catherine Jami, and Anne Marie Moulin.</t>
  </si>
  <si>
    <t>v. 136*</t>
  </si>
  <si>
    <t>Boston studies in the philosophy of science ; v. 136</t>
  </si>
  <si>
    <t>2018-02-23</t>
  </si>
  <si>
    <t>865167087:eng</t>
  </si>
  <si>
    <t>24627865</t>
  </si>
  <si>
    <t>ocm24627865</t>
  </si>
  <si>
    <t>3102734728R</t>
  </si>
  <si>
    <t>9780792315186</t>
  </si>
  <si>
    <t>793202490</t>
  </si>
  <si>
    <t>Q175 B7312 v. 137</t>
  </si>
  <si>
    <t>0                      Q  0175000B  7312                                                    v. 137</t>
  </si>
  <si>
    <t>Galileo's logic of discovery and proof : the background, content, and use of his appropriated treatises on Aristotle's Posterior analytics / William A. Wallace.</t>
  </si>
  <si>
    <t>v. 137*</t>
  </si>
  <si>
    <t>Wallace, William A.</t>
  </si>
  <si>
    <t>Boston studies in the philosophy of science ; v. 137</t>
  </si>
  <si>
    <t>311856125:eng</t>
  </si>
  <si>
    <t>25165460</t>
  </si>
  <si>
    <t>ocm25165460</t>
  </si>
  <si>
    <t>3100964233X</t>
  </si>
  <si>
    <t>9780792315773</t>
  </si>
  <si>
    <t>793213652</t>
  </si>
  <si>
    <t>Q175 B7312 v. 150</t>
  </si>
  <si>
    <t>0                      Q  0175000B  7312                                                    v. 150</t>
  </si>
  <si>
    <t>The Natural sciences and the social sciences : some critical and historical perspectives / edited by I. Bernard Cohen.</t>
  </si>
  <si>
    <t>v. 150*</t>
  </si>
  <si>
    <t>Dordrecht ; Boston : Kluwer Academic, ©1994.</t>
  </si>
  <si>
    <t>Boston studies in the philosophy of science ; v. 150</t>
  </si>
  <si>
    <t>836728684:eng</t>
  </si>
  <si>
    <t>27769535</t>
  </si>
  <si>
    <t>ocm27769535</t>
  </si>
  <si>
    <t>3101491021Z</t>
  </si>
  <si>
    <t>9780792322238</t>
  </si>
  <si>
    <t>793271644</t>
  </si>
  <si>
    <t>Q175 B7312 v. 16</t>
  </si>
  <si>
    <t>0                      Q  0175000B  7312                                                    v. 16</t>
  </si>
  <si>
    <t>Selected papers on language and the brain / Norman Geschwind.</t>
  </si>
  <si>
    <t>v. 16*</t>
  </si>
  <si>
    <t>Geschwind, Norman.</t>
  </si>
  <si>
    <t>Dordrecht ; Boston : Reidel, ©1974.</t>
  </si>
  <si>
    <t>Boston studies in the philosophy of science ; v. 16</t>
  </si>
  <si>
    <t>2015-08-07</t>
  </si>
  <si>
    <t>2243081:eng</t>
  </si>
  <si>
    <t>1346931</t>
  </si>
  <si>
    <t>ocm01346931</t>
  </si>
  <si>
    <t>3000477130U</t>
  </si>
  <si>
    <t>9789027702623</t>
  </si>
  <si>
    <t>791605952</t>
  </si>
  <si>
    <t>Q175 B7312 v. 189</t>
  </si>
  <si>
    <t>0                      Q  0175000B  7312                                                    v. 189</t>
  </si>
  <si>
    <t>Perspectives on time / edited by Jan Faye, Uwe Scheffler, and Max Urchs.</t>
  </si>
  <si>
    <t>v. 189*</t>
  </si>
  <si>
    <t>Dordrecht ; Boston : Kluwer Academic Publishers, ©1997.</t>
  </si>
  <si>
    <t>Boston studies in the philosophy of science ; v. 189</t>
  </si>
  <si>
    <t>350283963:eng</t>
  </si>
  <si>
    <t>35910939</t>
  </si>
  <si>
    <t>ocm35910939</t>
  </si>
  <si>
    <t>31018877659</t>
  </si>
  <si>
    <t>9780792343301</t>
  </si>
  <si>
    <t>793460513</t>
  </si>
  <si>
    <t>Q175 B7312 v. 203-204</t>
  </si>
  <si>
    <t>0                      Q  0175000B  7312                                                    v. 203-204</t>
  </si>
  <si>
    <t>Nietzsche and the sciences / edited by Babette E. Babich ; in cooperation with Robert S. Cohen.</t>
  </si>
  <si>
    <t>v. 204</t>
  </si>
  <si>
    <t>Dordrecht ; Boston : Kluwer Academic Publishers, ©1999.</t>
  </si>
  <si>
    <t>Boston studies in the philosophy of science ; v. 203-204</t>
  </si>
  <si>
    <t>2014-09-15</t>
  </si>
  <si>
    <t>3373529645:eng</t>
  </si>
  <si>
    <t>41118126</t>
  </si>
  <si>
    <t>ocm41118126</t>
  </si>
  <si>
    <t>31021370461</t>
  </si>
  <si>
    <t>9780792357780</t>
  </si>
  <si>
    <t>793584824</t>
  </si>
  <si>
    <t>v. 203</t>
  </si>
  <si>
    <t>3102169824P</t>
  </si>
  <si>
    <t>793584825</t>
  </si>
  <si>
    <t>Q175 B7312 v. 210</t>
  </si>
  <si>
    <t>0                      Q  0175000B  7312                                                    v. 210</t>
  </si>
  <si>
    <t>Knowledge, language, and logic : questions for Quine / edited by Alex Orenstein and Petr Kotatko.</t>
  </si>
  <si>
    <t>v. 210*</t>
  </si>
  <si>
    <t>Dordrecht ; Boston : Kluwer Academic Publishers, ©2000.</t>
  </si>
  <si>
    <t>Boston studies in the philosophy of science ; v. 210</t>
  </si>
  <si>
    <t>2017-08-09</t>
  </si>
  <si>
    <t>138880975:eng</t>
  </si>
  <si>
    <t>42383486</t>
  </si>
  <si>
    <t>ocm42383486</t>
  </si>
  <si>
    <t>3102197076U</t>
  </si>
  <si>
    <t>9780792359869</t>
  </si>
  <si>
    <t>793606271</t>
  </si>
  <si>
    <t>Q175 B7312 v. 211</t>
  </si>
  <si>
    <t>0                      Q  0175000B  7312                                                    v. 211</t>
  </si>
  <si>
    <t>Maimonides and the sciences / edited by Robert S. Cohen and Hillel Levine.</t>
  </si>
  <si>
    <t>v. 211*</t>
  </si>
  <si>
    <t>Dordrecht : Kluwer, ©2000.</t>
  </si>
  <si>
    <t>Boston studies in the philosophy of science ; v. 211</t>
  </si>
  <si>
    <t>2017-08-28</t>
  </si>
  <si>
    <t>350468975:eng</t>
  </si>
  <si>
    <t>45482344</t>
  </si>
  <si>
    <t>ocm45482344</t>
  </si>
  <si>
    <t>3102183066M</t>
  </si>
  <si>
    <t>9780792360537</t>
  </si>
  <si>
    <t>793672398</t>
  </si>
  <si>
    <t>Q175 B7312 v. 216</t>
  </si>
  <si>
    <t>0                      Q  0175000B  7312                                                    v. 216</t>
  </si>
  <si>
    <t>Incommensurability and related matters / edited by Paul Hoyningen-Huene and Howard Sankey.</t>
  </si>
  <si>
    <t>v. 216*</t>
  </si>
  <si>
    <t>Dordrecht ; Boston : Kluwer Academic Publishers, ©2001.</t>
  </si>
  <si>
    <t>Boston studies in the philosophy of science ; v. 216</t>
  </si>
  <si>
    <t>2019-03-09</t>
  </si>
  <si>
    <t>350114214:eng</t>
  </si>
  <si>
    <t>46884182</t>
  </si>
  <si>
    <t>ocm46884182</t>
  </si>
  <si>
    <t>3102220872S</t>
  </si>
  <si>
    <t>9780792369899</t>
  </si>
  <si>
    <t>793693781</t>
  </si>
  <si>
    <t>Q175 B7312 v. 24</t>
  </si>
  <si>
    <t>0                      Q  0175000B  7312                                                    v. 24</t>
  </si>
  <si>
    <t>Technics and praxis / Don Ihde.</t>
  </si>
  <si>
    <t>v. 24*</t>
  </si>
  <si>
    <t>Ihde, Don, 1934-</t>
  </si>
  <si>
    <t>Dordrecht, Holland ; Boston : D. Reidel Pub. Co., ©1979.</t>
  </si>
  <si>
    <t>Boston studies in the philosophy of science ; v. 24</t>
  </si>
  <si>
    <t>14776387:eng</t>
  </si>
  <si>
    <t>4496813</t>
  </si>
  <si>
    <t>ocm04496813</t>
  </si>
  <si>
    <t>3000444743U</t>
  </si>
  <si>
    <t>9789027709530</t>
  </si>
  <si>
    <t>792355999</t>
  </si>
  <si>
    <t>Q175 B7312 v. 39</t>
  </si>
  <si>
    <t>0                      Q  0175000B  7312                                                    v. 39</t>
  </si>
  <si>
    <t>Essays in memory of Imre Lakatos / edited by R.S. Cohen, P.K. Feyerabend, and M.W. Wartofsky.</t>
  </si>
  <si>
    <t>v. 39*</t>
  </si>
  <si>
    <t>Dordrecht ; Boston : D. Reidel Pub. Co., ©1976.</t>
  </si>
  <si>
    <t>Boston studies in the philosophy of science ; v. 39</t>
  </si>
  <si>
    <t>2015-10-15</t>
  </si>
  <si>
    <t>480513711:eng</t>
  </si>
  <si>
    <t>2600898</t>
  </si>
  <si>
    <t>ocm02600898</t>
  </si>
  <si>
    <t>3000434504H</t>
  </si>
  <si>
    <t>9789027706546</t>
  </si>
  <si>
    <t>792150298</t>
  </si>
  <si>
    <t>Q175 B7312 v. 46</t>
  </si>
  <si>
    <t>0                      Q  0175000B  7312                                                    v. 46</t>
  </si>
  <si>
    <t>Experiment, theory, practice : articles and addresses / P.L. Kapitza.</t>
  </si>
  <si>
    <t>v. 46*</t>
  </si>
  <si>
    <t>Kapit︠s︡a, P. L. (Petr Leonidovich), 1894-1984.</t>
  </si>
  <si>
    <t>Dordrecht ; Boston : D. Reidel Pub. Co. ; Hingham, MA : Sold and distributed in the U.S.A. and Canada by Kluwer Boston, ©1980.</t>
  </si>
  <si>
    <t>Boston studies in the philosophy of science ; v. 46</t>
  </si>
  <si>
    <t>111582173:eng</t>
  </si>
  <si>
    <t>5941722</t>
  </si>
  <si>
    <t>ocm05941722</t>
  </si>
  <si>
    <t>3000300586Y</t>
  </si>
  <si>
    <t>9789027710611</t>
  </si>
  <si>
    <t>792465183</t>
  </si>
  <si>
    <t>Q175 B7312 v. 78</t>
  </si>
  <si>
    <t>0                      Q  0175000B  7312                                                    v. 78</t>
  </si>
  <si>
    <t>Reason and the search for knowledge : investigations in the philosophy of science / Dudley Shapere.</t>
  </si>
  <si>
    <t>v. 78*</t>
  </si>
  <si>
    <t>Shapere, Dudley.</t>
  </si>
  <si>
    <t>Dordrecht ; Boston : D. Reidel Pub. Co. ; Hingham, MA : Sold and distributed in the U.S.A. and Canada by Kluwer Academic Publishers, ©1984.</t>
  </si>
  <si>
    <t>Boston studies in the philosophy of science ; 78</t>
  </si>
  <si>
    <t>836624411:eng</t>
  </si>
  <si>
    <t>9687299</t>
  </si>
  <si>
    <t>ocm09687299</t>
  </si>
  <si>
    <t>3000351146R</t>
  </si>
  <si>
    <t>9789027715517</t>
  </si>
  <si>
    <t>792689052</t>
  </si>
  <si>
    <t>Q175 B7312 v. 85</t>
  </si>
  <si>
    <t>0                      Q  0175000B  7312                                                    v. 85</t>
  </si>
  <si>
    <t>The logic of categories / György Tamás ; edited by Robert S. Cohen ; [translated by Ildikó Berkes].</t>
  </si>
  <si>
    <t>v. 85*</t>
  </si>
  <si>
    <t>Tamás, György (Logician)</t>
  </si>
  <si>
    <t>Dordrecht ; Boston : Reidel ; Norwell, MA, U.S.A. : Sold and distributed in the U.S.A. and Canada by Kluwer Academic, 1986.</t>
  </si>
  <si>
    <t>Boston studies in the philosophy of science ; v. 85</t>
  </si>
  <si>
    <t>5462860:eng</t>
  </si>
  <si>
    <t>13008439</t>
  </si>
  <si>
    <t>ocm13008439</t>
  </si>
  <si>
    <t>3000478546V</t>
  </si>
  <si>
    <t>9789027717429</t>
  </si>
  <si>
    <t>792837107</t>
  </si>
  <si>
    <t>Q175 B7312 v. 87</t>
  </si>
  <si>
    <t>0                      Q  0175000B  7312                                                    v. 87</t>
  </si>
  <si>
    <t>Cognition and fact : materials on Ludwik Fleck / edited by Robert S. Cohen and Thomas Schnelle.</t>
  </si>
  <si>
    <t>v. 87*</t>
  </si>
  <si>
    <t>Dordrecht ; Boston : D. Reidel Pub. Co. ; Norwell, MA, U.S.A. : Sold and distributed in the U.S.A. and Canada by Kluwer Academic Publishers, ©1986.</t>
  </si>
  <si>
    <t>Boston studies in the philosophy of science ; v. 87</t>
  </si>
  <si>
    <t>2015-03-06</t>
  </si>
  <si>
    <t>5035169:eng</t>
  </si>
  <si>
    <t>12371315</t>
  </si>
  <si>
    <t>ocm12371315</t>
  </si>
  <si>
    <t>31027846393</t>
  </si>
  <si>
    <t>9789027719027</t>
  </si>
  <si>
    <t>792812565</t>
  </si>
  <si>
    <t>Q175 B7312 v. 97</t>
  </si>
  <si>
    <t>0                      Q  0175000B  7312                                                    v. 97</t>
  </si>
  <si>
    <t>Goethe and the sciences : a reappraisal / edited by Frederick Amrine, Francis J. Zucker, and Harvey Wheeler ; with an annotated bibliography by Frederick Amrine.</t>
  </si>
  <si>
    <t>v. 97*</t>
  </si>
  <si>
    <t>Dordrecht ; Boston : D. Reidel Pub. Co. ; Norwell, MA, U.S.A. : Sold and distributed in the U.S.A. and Canada by Kluwer Academic Publishers, ©1987.</t>
  </si>
  <si>
    <t>Boston studies in the philosophy of science ; v. 97</t>
  </si>
  <si>
    <t>2019-09-21</t>
  </si>
  <si>
    <t>807739255:eng</t>
  </si>
  <si>
    <t>14587067</t>
  </si>
  <si>
    <t>ocm14587067</t>
  </si>
  <si>
    <t>3000478051L</t>
  </si>
  <si>
    <t>9789027722652</t>
  </si>
  <si>
    <t>792894544</t>
  </si>
  <si>
    <t>Q175 B7312 v.230</t>
  </si>
  <si>
    <t>0                      Q  0175000B  7312                                                    v.230</t>
  </si>
  <si>
    <t>Rescuing reason : a critique of anti-rationalist views of science and knowledge / by Robert Nola.</t>
  </si>
  <si>
    <t>v.230*</t>
  </si>
  <si>
    <t>Nola, Robert.</t>
  </si>
  <si>
    <t>Dordrecht ; Boston : Kluwer Academic Publishers, ©2003.</t>
  </si>
  <si>
    <t>Boston studies in the philosophy of science ; v. 230</t>
  </si>
  <si>
    <t>197694959:eng</t>
  </si>
  <si>
    <t>51172412</t>
  </si>
  <si>
    <t>ocm51172412</t>
  </si>
  <si>
    <t>3102275926R</t>
  </si>
  <si>
    <t>9781402010422</t>
  </si>
  <si>
    <t>793779788</t>
  </si>
  <si>
    <t>Q175 B7312 v.254</t>
  </si>
  <si>
    <t>0                      Q  0175000B  7312                                                    v.254</t>
  </si>
  <si>
    <t>Mechanics and natural philosophy before the scientific revolution / edited by Walter Roy Laird and Sophie Roux.</t>
  </si>
  <si>
    <t>v.254*</t>
  </si>
  <si>
    <t>Dordrecht ; London : Springer, 2007.</t>
  </si>
  <si>
    <t>Boston studies in the philosophy of science ; v. 254</t>
  </si>
  <si>
    <t>2017-08-16</t>
  </si>
  <si>
    <t>1042308644:eng</t>
  </si>
  <si>
    <t>124026013</t>
  </si>
  <si>
    <t>ocn124026013</t>
  </si>
  <si>
    <t>31030582724</t>
  </si>
  <si>
    <t>9781402059667</t>
  </si>
  <si>
    <t>794229328</t>
  </si>
  <si>
    <t>Q175 B7312 v.42</t>
  </si>
  <si>
    <t>0                      Q  0175000B  7312                                                    v.42</t>
  </si>
  <si>
    <t>Autopoiesis and cognition : the realization of the living / Humberto R. Maturana and Francisco J. Varela ; with a pref. to "Autopoiesis" by Sir Stafford Beer.</t>
  </si>
  <si>
    <t>v.42*</t>
  </si>
  <si>
    <t>Maturana, Humberto R., 1928-</t>
  </si>
  <si>
    <t>Dordrecht, Holland ; Boston : D. Reidel Pub. Co., ©1980.</t>
  </si>
  <si>
    <t>Boston studies in the philosophy of science ; v. 42</t>
  </si>
  <si>
    <t>2014-09-09</t>
  </si>
  <si>
    <t>2018-03-02</t>
  </si>
  <si>
    <t>808646605:eng</t>
  </si>
  <si>
    <t>5726379</t>
  </si>
  <si>
    <t>ocm05726379</t>
  </si>
  <si>
    <t>31026081547</t>
  </si>
  <si>
    <t>9789027710154</t>
  </si>
  <si>
    <t>792449255</t>
  </si>
  <si>
    <t>31030421269</t>
  </si>
  <si>
    <t>792449254</t>
  </si>
  <si>
    <t>Q175 B7312 v.6</t>
  </si>
  <si>
    <t>0                      Q  0175000B  7312                                                    v.6</t>
  </si>
  <si>
    <t>Ernst Mach, physicist and philosopher. Edited by Robert S. Cohen and Raymond J. Seeger.</t>
  </si>
  <si>
    <t>v.6*</t>
  </si>
  <si>
    <t>Dordrecht, Reidel [1970]</t>
  </si>
  <si>
    <t>Boston studies in the philosophy of science, v. 6</t>
  </si>
  <si>
    <t>2015-06-25</t>
  </si>
  <si>
    <t>364407050:eng</t>
  </si>
  <si>
    <t>136559</t>
  </si>
  <si>
    <t>ocm00136559</t>
  </si>
  <si>
    <t>31033694866</t>
  </si>
  <si>
    <t>791268335</t>
  </si>
  <si>
    <t>Q175 B783</t>
  </si>
  <si>
    <t>0                      Q  0175000B  783</t>
  </si>
  <si>
    <t>Mach's philosophy of science [by] J. Bradley.</t>
  </si>
  <si>
    <t>Bradley, John, Dr.</t>
  </si>
  <si>
    <t>[London] Athlone Press of the University of London, 1971.</t>
  </si>
  <si>
    <t>2015-01-05</t>
  </si>
  <si>
    <t>351034220:eng</t>
  </si>
  <si>
    <t>217194</t>
  </si>
  <si>
    <t>ocm00217194</t>
  </si>
  <si>
    <t>3102997519I</t>
  </si>
  <si>
    <t>9780485111248</t>
  </si>
  <si>
    <t>791296507</t>
  </si>
  <si>
    <t>1950</t>
  </si>
  <si>
    <t>2015-09-28</t>
  </si>
  <si>
    <t>Q175 B7964 1993</t>
  </si>
  <si>
    <t>0                      Q  0175000B  7964        1993</t>
  </si>
  <si>
    <t>The laboratory of the mind : thought experiments in the natural sciences / James Robert Brown.</t>
  </si>
  <si>
    <t>Brown, James Robert.</t>
  </si>
  <si>
    <t>London ; New York : Routledge, 1993, ©1991.</t>
  </si>
  <si>
    <t>Pbk. ed.</t>
  </si>
  <si>
    <t>Philosophical issues in science series</t>
  </si>
  <si>
    <t>2017-03-07</t>
  </si>
  <si>
    <t>792612625:eng</t>
  </si>
  <si>
    <t>28599921</t>
  </si>
  <si>
    <t>ocm28599921</t>
  </si>
  <si>
    <t>3103005970K</t>
  </si>
  <si>
    <t>9780415095792</t>
  </si>
  <si>
    <t>793291810</t>
  </si>
  <si>
    <t>Q175 B8213</t>
  </si>
  <si>
    <t>0                      Q  0175000B  8213</t>
  </si>
  <si>
    <t>Truth in the sciences.</t>
  </si>
  <si>
    <t>Buchanan, Scott, 1895-1968.</t>
  </si>
  <si>
    <t>Charlottesville, University Press of Virginia [1972]</t>
  </si>
  <si>
    <t>1367830:eng</t>
  </si>
  <si>
    <t>309535</t>
  </si>
  <si>
    <t>ocm00309535</t>
  </si>
  <si>
    <t>3000353318E</t>
  </si>
  <si>
    <t>9780813903880</t>
  </si>
  <si>
    <t>791332033</t>
  </si>
  <si>
    <t>Q175 B823</t>
  </si>
  <si>
    <t>0                      Q  0175000B  823</t>
  </si>
  <si>
    <t>Intuition and science.</t>
  </si>
  <si>
    <t>Englewood Cliffs, N.J., Prentice-Hall [1962]</t>
  </si>
  <si>
    <t>A Spectrum book, S-22</t>
  </si>
  <si>
    <t>2017-04-06</t>
  </si>
  <si>
    <t>159906156:eng</t>
  </si>
  <si>
    <t>742545</t>
  </si>
  <si>
    <t>ocm00742545</t>
  </si>
  <si>
    <t>3102044784I</t>
  </si>
  <si>
    <t>791459531</t>
  </si>
  <si>
    <t>Q175 B8232x</t>
  </si>
  <si>
    <t>0                      Q  0175000B  8232x</t>
  </si>
  <si>
    <t>Method, model, and matter. By Mario Bunge.</t>
  </si>
  <si>
    <t>Dordrecht, Boston, Reidel, [1973]</t>
  </si>
  <si>
    <t>Synthese library</t>
  </si>
  <si>
    <t>2015-12-12</t>
  </si>
  <si>
    <t>314854258:eng</t>
  </si>
  <si>
    <t>613670</t>
  </si>
  <si>
    <t>ocm00613670</t>
  </si>
  <si>
    <t>31027125686</t>
  </si>
  <si>
    <t>9789027702524</t>
  </si>
  <si>
    <t>791428566</t>
  </si>
  <si>
    <t>2006-05-18</t>
  </si>
  <si>
    <t>30004980543</t>
  </si>
  <si>
    <t>791428567</t>
  </si>
  <si>
    <t>Q175 B97 1957</t>
  </si>
  <si>
    <t>0                      Q  0175000B  97          1957</t>
  </si>
  <si>
    <t>The origins of modern science, 1300-1800.</t>
  </si>
  <si>
    <t>Butterfield, Herbert, 1900-1979.</t>
  </si>
  <si>
    <t>London, G. Bell, 1957.</t>
  </si>
  <si>
    <t>[New ed.].</t>
  </si>
  <si>
    <t>2008-06-16</t>
  </si>
  <si>
    <t>117926541:eng</t>
  </si>
  <si>
    <t>522012</t>
  </si>
  <si>
    <t>ocm00522012</t>
  </si>
  <si>
    <t>31030136275</t>
  </si>
  <si>
    <t>791402370</t>
  </si>
  <si>
    <t>3100254545W</t>
  </si>
  <si>
    <t>791402369</t>
  </si>
  <si>
    <t>Q175 C23</t>
  </si>
  <si>
    <t>0                      Q  0175000C  23</t>
  </si>
  <si>
    <t>Experimental and quasi-experimental designs for research / Donald T. Campbell, Julian C. Stanley.</t>
  </si>
  <si>
    <t>Campbell, Donald T. (Donald Thomas), 1916-1996.</t>
  </si>
  <si>
    <t>Chicago : Rand McNally, ©1963.</t>
  </si>
  <si>
    <t>2009-01-22</t>
  </si>
  <si>
    <t>2017-09-20</t>
  </si>
  <si>
    <t>149576077:eng</t>
  </si>
  <si>
    <t>35247730</t>
  </si>
  <si>
    <t>ocm35247730</t>
  </si>
  <si>
    <t>3000991541T</t>
  </si>
  <si>
    <t>9780528614002</t>
  </si>
  <si>
    <t>793447792</t>
  </si>
  <si>
    <t>3100909723R</t>
  </si>
  <si>
    <t>793447789</t>
  </si>
  <si>
    <t>3102111763F</t>
  </si>
  <si>
    <t>793447791</t>
  </si>
  <si>
    <t>Q175 C246 1982</t>
  </si>
  <si>
    <t>0                      Q  0175000C  246         1982</t>
  </si>
  <si>
    <t>The turning point : science, society, and the rising culture / Fritjof Capra.</t>
  </si>
  <si>
    <t>Capra, Fritjof.</t>
  </si>
  <si>
    <t>New York : Simon and Schuster, ©1982.</t>
  </si>
  <si>
    <t>2019-04-28</t>
  </si>
  <si>
    <t>889440755:eng</t>
  </si>
  <si>
    <t>7837511</t>
  </si>
  <si>
    <t>ocm07837511</t>
  </si>
  <si>
    <t>31000213770</t>
  </si>
  <si>
    <t>9780671244231</t>
  </si>
  <si>
    <t>792582743</t>
  </si>
  <si>
    <t>Q175 C3</t>
  </si>
  <si>
    <t>0                      Q  0175000C  3</t>
  </si>
  <si>
    <t>The unity of science, by Rudolf Carnap, translated with an introduction by M. Black.</t>
  </si>
  <si>
    <t>Carnap, Rudolf, 1891-1970.</t>
  </si>
  <si>
    <t>London, K. Paul, Trench, Trubner &amp; Co., Ltd., 1934.</t>
  </si>
  <si>
    <t>Psyche miniatures. General series, no. 63</t>
  </si>
  <si>
    <t>2018-02-13</t>
  </si>
  <si>
    <t>2430515:eng</t>
  </si>
  <si>
    <t>1498324</t>
  </si>
  <si>
    <t>ocm01498324</t>
  </si>
  <si>
    <t>3000499670D</t>
  </si>
  <si>
    <t>791675280</t>
  </si>
  <si>
    <t>Q175 C436</t>
  </si>
  <si>
    <t>0                      Q  0175000C  436</t>
  </si>
  <si>
    <t>The philosophy of science : a systematic account / Peter Caws.</t>
  </si>
  <si>
    <t>Caws, Peter.</t>
  </si>
  <si>
    <t>Princeton, N.J. : Van Nostrand, ©1965.</t>
  </si>
  <si>
    <t>2016-04-08</t>
  </si>
  <si>
    <t>1532523:eng</t>
  </si>
  <si>
    <t>526276</t>
  </si>
  <si>
    <t>ocm00526276</t>
  </si>
  <si>
    <t>3100221179R</t>
  </si>
  <si>
    <t>791403766</t>
  </si>
  <si>
    <t>Q175 C446 1999</t>
  </si>
  <si>
    <t>0                      Q  0175000C  446         1999</t>
  </si>
  <si>
    <t>What is this thing called science? / A.F. Chalmers.</t>
  </si>
  <si>
    <t>Chalmers, A. F. (Alan Francis), 1939-</t>
  </si>
  <si>
    <t>Indianapolis : Hackett Pub., ©1999.</t>
  </si>
  <si>
    <t>2452502564:eng</t>
  </si>
  <si>
    <t>41269448</t>
  </si>
  <si>
    <t>ocm41269448</t>
  </si>
  <si>
    <t>31035282121</t>
  </si>
  <si>
    <t>9780872204522</t>
  </si>
  <si>
    <t>793587869</t>
  </si>
  <si>
    <t>Q175 C477</t>
  </si>
  <si>
    <t>0                      Q  0175000C  477</t>
  </si>
  <si>
    <t>Scientific realism and the plasticity of mind / Paul M. Churchland.</t>
  </si>
  <si>
    <t>Churchland, Paul M., 1942-</t>
  </si>
  <si>
    <t>Cambridge ; New York : Cambridge University Press, 1979.</t>
  </si>
  <si>
    <t>Cambridge studies in philosophy</t>
  </si>
  <si>
    <t>2015-07-20</t>
  </si>
  <si>
    <t>504183:eng</t>
  </si>
  <si>
    <t>4492306</t>
  </si>
  <si>
    <t>ocm04492306</t>
  </si>
  <si>
    <t>3000424731C</t>
  </si>
  <si>
    <t>9780521226325</t>
  </si>
  <si>
    <t>792354445</t>
  </si>
  <si>
    <t>Q175 C494 1948</t>
  </si>
  <si>
    <t>0                      Q  0175000C  494         1948</t>
  </si>
  <si>
    <t>The limits of science; outline of logic and of the methodology of the exact sciences. Introd. and appendix by Helen Charlotte Brodie. [Tr. from the Polish].</t>
  </si>
  <si>
    <t>Chwistek, Leon, 1884-1944.</t>
  </si>
  <si>
    <t>New York, Harcourt, Brace, 1948.</t>
  </si>
  <si>
    <t>International library of psychology, philosophy, and scientific method</t>
  </si>
  <si>
    <t>2018-01-16</t>
  </si>
  <si>
    <t>364426064:eng</t>
  </si>
  <si>
    <t>4611309</t>
  </si>
  <si>
    <t>ocm04611309</t>
  </si>
  <si>
    <t>3000689063Q</t>
  </si>
  <si>
    <t>792368005</t>
  </si>
  <si>
    <t>Q175 C625</t>
  </si>
  <si>
    <t>0                      Q  0175000C  625</t>
  </si>
  <si>
    <t>2011-01-10</t>
  </si>
  <si>
    <t>3102814739T</t>
  </si>
  <si>
    <t>792003030</t>
  </si>
  <si>
    <t>2011-01-17</t>
  </si>
  <si>
    <t>3102803222I</t>
  </si>
  <si>
    <t>792003031</t>
  </si>
  <si>
    <t>Q175 C64</t>
  </si>
  <si>
    <t>0                      Q  0175000C  64</t>
  </si>
  <si>
    <t>Science and common sense.</t>
  </si>
  <si>
    <t>Conant, James Bryant, 1893-1978.</t>
  </si>
  <si>
    <t>New Haven, Yale University Press, 1951.</t>
  </si>
  <si>
    <t>1450390:eng</t>
  </si>
  <si>
    <t>2551377</t>
  </si>
  <si>
    <t>ocm02551377</t>
  </si>
  <si>
    <t>3001028902B</t>
  </si>
  <si>
    <t>792142720</t>
  </si>
  <si>
    <t>3000971041O</t>
  </si>
  <si>
    <t>792142721</t>
  </si>
  <si>
    <t>Q175 C65</t>
  </si>
  <si>
    <t>0                      Q  0175000C  65</t>
  </si>
  <si>
    <t>Mind and cosmos; essays in contemporary science and philosophy [by] Herbert A. Simon [and others] Editor: Robert G. Colodny.</t>
  </si>
  <si>
    <t>Colodny, Robert Garland, editor.</t>
  </si>
  <si>
    <t>[Pittsburgh] University of Pittsburgh Press [1966]</t>
  </si>
  <si>
    <t>University of Pittsburgh series in the philosophy of science, v. 3</t>
  </si>
  <si>
    <t>3855294305:eng</t>
  </si>
  <si>
    <t>525608</t>
  </si>
  <si>
    <t>ocm00525608</t>
  </si>
  <si>
    <t>31031458473</t>
  </si>
  <si>
    <t>791403547</t>
  </si>
  <si>
    <t>Q175 C8</t>
  </si>
  <si>
    <t>0                      Q  0175000C  8</t>
  </si>
  <si>
    <t>Planning of experiments.</t>
  </si>
  <si>
    <t>Cox, D. R. (David Roxbee)</t>
  </si>
  <si>
    <t>New York, Wiley [1958]</t>
  </si>
  <si>
    <t>A Wiley publication in applied statistics</t>
  </si>
  <si>
    <t>2012-01-31</t>
  </si>
  <si>
    <t>1321447:eng</t>
  </si>
  <si>
    <t>180389</t>
  </si>
  <si>
    <t>ocm00180389</t>
  </si>
  <si>
    <t>3000685860K</t>
  </si>
  <si>
    <t>9780471181835</t>
  </si>
  <si>
    <t>791284029</t>
  </si>
  <si>
    <t>Q175 C885 1993</t>
  </si>
  <si>
    <t>0                      Q  0175000C  885         1993</t>
  </si>
  <si>
    <t>The play of nature : experimentation as performance / Robert P. Crease.</t>
  </si>
  <si>
    <t>Crease, Robert P.</t>
  </si>
  <si>
    <t>Bloomington : Indiana University Press, ©1993.</t>
  </si>
  <si>
    <t>The Indiana series in the philosophy of technology</t>
  </si>
  <si>
    <t>2006-03-20</t>
  </si>
  <si>
    <t>799703385:eng</t>
  </si>
  <si>
    <t>27380421</t>
  </si>
  <si>
    <t>ocm27380421</t>
  </si>
  <si>
    <t>3101853967Z</t>
  </si>
  <si>
    <t>9780585105789</t>
  </si>
  <si>
    <t>793265142</t>
  </si>
  <si>
    <t>Q175 C894 1997</t>
  </si>
  <si>
    <t>0                      Q  0175000C  894         1997</t>
  </si>
  <si>
    <t>Connected knowledge : science, philosophy, and education / Alan Cromer.</t>
  </si>
  <si>
    <t>Cromer, Alan H., 1935-</t>
  </si>
  <si>
    <t>New York : Oxford University Press, 1997.</t>
  </si>
  <si>
    <t>2016-08-31</t>
  </si>
  <si>
    <t>40680844:eng</t>
  </si>
  <si>
    <t>34548765</t>
  </si>
  <si>
    <t>ocm34548765</t>
  </si>
  <si>
    <t>3101854357K</t>
  </si>
  <si>
    <t>9780195102406</t>
  </si>
  <si>
    <t>793429560</t>
  </si>
  <si>
    <t>Q175 D346 2010</t>
  </si>
  <si>
    <t>0                      Q  0175000D  346         2010</t>
  </si>
  <si>
    <t>Naturalizing epistemology : Thomas Kuhn and the 'essential tension' / Fred D'Agostino.</t>
  </si>
  <si>
    <t>D'Agostino, Fred.</t>
  </si>
  <si>
    <t>Houndmills, Basingstoke, Hampshire [England] ; New York : Palgrave Macmillan, 2010.</t>
  </si>
  <si>
    <t>803042806:eng</t>
  </si>
  <si>
    <t>435731059</t>
  </si>
  <si>
    <t>ocn435731059</t>
  </si>
  <si>
    <t>31031312641</t>
  </si>
  <si>
    <t>9780230240995</t>
  </si>
  <si>
    <t>794783772</t>
  </si>
  <si>
    <t>Q175 D633</t>
  </si>
  <si>
    <t>0                      Q  0175000D  633</t>
  </si>
  <si>
    <t>The world of probability; statistics in science.</t>
  </si>
  <si>
    <t>Diamond, Solomon, 1906-1998.</t>
  </si>
  <si>
    <t>New York, Basic Books [1964]</t>
  </si>
  <si>
    <t>Science &amp; discovery series</t>
  </si>
  <si>
    <t>367471793:eng</t>
  </si>
  <si>
    <t>525629</t>
  </si>
  <si>
    <t>ocm00525629</t>
  </si>
  <si>
    <t>3000689068G</t>
  </si>
  <si>
    <t>791403566</t>
  </si>
  <si>
    <t>Q175 D6636 1996</t>
  </si>
  <si>
    <t>0                      Q  0175000D  6636        1996</t>
  </si>
  <si>
    <t>The Disunity of science : boundaries, contexts, and power / edited by Peter Galison and David J. Stump.</t>
  </si>
  <si>
    <t>Stanford, Calif. : Stanford University Press, 1996.</t>
  </si>
  <si>
    <t>Writing science</t>
  </si>
  <si>
    <t>2016-10-07</t>
  </si>
  <si>
    <t>806516743:eng</t>
  </si>
  <si>
    <t>32468580</t>
  </si>
  <si>
    <t>ocm32468580</t>
  </si>
  <si>
    <t>31028089626</t>
  </si>
  <si>
    <t>9780804724364</t>
  </si>
  <si>
    <t>793385098</t>
  </si>
  <si>
    <t>Q175 E3 1928a</t>
  </si>
  <si>
    <t>0                      Q  0175000E  3           1928a</t>
  </si>
  <si>
    <t>The nature of the physical world / by A.S. Eddington ...</t>
  </si>
  <si>
    <t>Eddington, Arthur Stanley, Sir, 1882-1944.</t>
  </si>
  <si>
    <t>Cambridge [England] : University Press, 1928.</t>
  </si>
  <si>
    <t>1928</t>
  </si>
  <si>
    <t>Gifford lectures ; 1927</t>
  </si>
  <si>
    <t>1408189:eng</t>
  </si>
  <si>
    <t>7501402</t>
  </si>
  <si>
    <t>ocm07501402</t>
  </si>
  <si>
    <t>3000315285H</t>
  </si>
  <si>
    <t>792562287</t>
  </si>
  <si>
    <t>Q175 E35</t>
  </si>
  <si>
    <t>0                      Q  0175000E  35</t>
  </si>
  <si>
    <t>L'idée de nature en France dans la première moitié du XVIIIe siècle.</t>
  </si>
  <si>
    <t>Ehrard, Jean.</t>
  </si>
  <si>
    <t>Paris, S.E.V.P.E.N., 1963.</t>
  </si>
  <si>
    <t>Bibliothèque générale de l'Ecole pratique des hautes études. 6. section</t>
  </si>
  <si>
    <t>5618999146:fre</t>
  </si>
  <si>
    <t>16772864</t>
  </si>
  <si>
    <t>ocm16772864</t>
  </si>
  <si>
    <t>30005552142</t>
  </si>
  <si>
    <t>792972233</t>
  </si>
  <si>
    <t>31007867327</t>
  </si>
  <si>
    <t>792972232</t>
  </si>
  <si>
    <t>Q175 E473</t>
  </si>
  <si>
    <t>0                      Q  0175000E  473</t>
  </si>
  <si>
    <t>Dialectics of nature, by Frederick Engels; translated and edited by Clemens Dutt with a preface and notes by J.B.S. Haldane, F.R.S.</t>
  </si>
  <si>
    <t>Engels, Friedrich, 1820-1895.</t>
  </si>
  <si>
    <t>New York, International Publishers [©1940]</t>
  </si>
  <si>
    <t>Marxist library ; v. 27</t>
  </si>
  <si>
    <t>8909944167:eng</t>
  </si>
  <si>
    <t>544969</t>
  </si>
  <si>
    <t>ocm00544969</t>
  </si>
  <si>
    <t>3000555700U</t>
  </si>
  <si>
    <t>791409763</t>
  </si>
  <si>
    <t>Q175 E676 2017</t>
  </si>
  <si>
    <t>0                      Q  0175000E  676         2017</t>
  </si>
  <si>
    <t>Eppur si muove : doing history and philosophy of science with Peter Machamer : a collection of essays in honor of Peter Machamer / Marcus P. Adams, Zvi Biener, Uljana Feest, Jacqueline A. Sullivan, editors.</t>
  </si>
  <si>
    <t>Cham, Switzerland : Springer, [2017]</t>
  </si>
  <si>
    <t>The Western Ontario series in philosophy of science ; volume 81</t>
  </si>
  <si>
    <t>4013440801:eng</t>
  </si>
  <si>
    <t>967500780</t>
  </si>
  <si>
    <t>ocn967500780</t>
  </si>
  <si>
    <t>3103710793Z</t>
  </si>
  <si>
    <t>9783319527666</t>
  </si>
  <si>
    <t>795026564</t>
  </si>
  <si>
    <t>Q175 E86</t>
  </si>
  <si>
    <t>0                      Q  0175000E  86</t>
  </si>
  <si>
    <t>Die Fragmente des Eudoxus von Knidos. Hrsg., übers. und kommentiert von François Lasserre.</t>
  </si>
  <si>
    <t>Eudoxus, of Cnidus, approximately 400 B.C.-approximately 350 B.C.</t>
  </si>
  <si>
    <t>Berlin, De Gruyter, 1966.</t>
  </si>
  <si>
    <t>Texte und Kommentare ; Bd. 4</t>
  </si>
  <si>
    <t>2016-09-06</t>
  </si>
  <si>
    <t>11274289:ger</t>
  </si>
  <si>
    <t>3659583</t>
  </si>
  <si>
    <t>ocm03659583</t>
  </si>
  <si>
    <t>3103146672$</t>
  </si>
  <si>
    <t>792277949</t>
  </si>
  <si>
    <t>Q175 E87 2007</t>
  </si>
  <si>
    <t>0                      Q  0175000E  87          2007</t>
  </si>
  <si>
    <t>Launch of the European Philosophy of Science Association / Mauricio Suárez, Mauro Dorato, Miklós Rédei, editors.</t>
  </si>
  <si>
    <t>European Philosophy of Science Association. Conference (1st : 2007 : Madrid, Spain)</t>
  </si>
  <si>
    <t>3008645997:eng</t>
  </si>
  <si>
    <t>632088431</t>
  </si>
  <si>
    <t>ocn632088431</t>
  </si>
  <si>
    <t>3103441995P</t>
  </si>
  <si>
    <t>9789048132621</t>
  </si>
  <si>
    <t>794825107</t>
  </si>
  <si>
    <t>3103446452S</t>
  </si>
  <si>
    <t>794825106</t>
  </si>
  <si>
    <t>Q175 F3865 1996</t>
  </si>
  <si>
    <t>0                      Q  0175000F  3865        1996</t>
  </si>
  <si>
    <t>Feminism, science, and the philosophy of science / edited by Lynn Hankinson Nelson and Jack Nelson.</t>
  </si>
  <si>
    <t>Dordrecht ; Boston : Kluwer Academic Publishers, ©1996.</t>
  </si>
  <si>
    <t>Synthese library ; v. 256</t>
  </si>
  <si>
    <t>2017-04-27</t>
  </si>
  <si>
    <t>351596670:eng</t>
  </si>
  <si>
    <t>35043023</t>
  </si>
  <si>
    <t>ocm35043023</t>
  </si>
  <si>
    <t>3101559801N</t>
  </si>
  <si>
    <t>9780792341628</t>
  </si>
  <si>
    <t>793442535</t>
  </si>
  <si>
    <t>Q175 F39</t>
  </si>
  <si>
    <t>0                      Q  0175000F  39</t>
  </si>
  <si>
    <t>Science in a free society / Paul Feyerabend.</t>
  </si>
  <si>
    <t>Feyerabend, Paul, 1924-1994, author.</t>
  </si>
  <si>
    <t>London : NLB, 1978.</t>
  </si>
  <si>
    <t>2018-04-17</t>
  </si>
  <si>
    <t>53099847:eng</t>
  </si>
  <si>
    <t>4653967</t>
  </si>
  <si>
    <t>ocm04653967</t>
  </si>
  <si>
    <t>3000415512P</t>
  </si>
  <si>
    <t>9780860910084</t>
  </si>
  <si>
    <t>792371910</t>
  </si>
  <si>
    <t>31029975992</t>
  </si>
  <si>
    <t>792371909</t>
  </si>
  <si>
    <t>Q175 F417 1993</t>
  </si>
  <si>
    <t>0                      Q  0175000F  417         1993</t>
  </si>
  <si>
    <t>Philosophy of science / James H. Fetzer.</t>
  </si>
  <si>
    <t>Fetzer, James H., 1940-</t>
  </si>
  <si>
    <t>New York : Paragon House Publishers, 1993.</t>
  </si>
  <si>
    <t>Paragon issues in philosophy</t>
  </si>
  <si>
    <t>2015-04-07</t>
  </si>
  <si>
    <t>27962761:eng</t>
  </si>
  <si>
    <t>25163454</t>
  </si>
  <si>
    <t>ocm25163454</t>
  </si>
  <si>
    <t>3101823515E</t>
  </si>
  <si>
    <t>9781557784810</t>
  </si>
  <si>
    <t>793213400</t>
  </si>
  <si>
    <t>Q175 F42 1993</t>
  </si>
  <si>
    <t>0                      Q  0175000F  42          1993</t>
  </si>
  <si>
    <t>Against method / Paul Feyerabend.</t>
  </si>
  <si>
    <t>Feyerabend, Paul, 1924-1994.</t>
  </si>
  <si>
    <t>London ; New York : Verso, 1993.</t>
  </si>
  <si>
    <t>2019-05-15</t>
  </si>
  <si>
    <t>199194273:eng</t>
  </si>
  <si>
    <t>29026104</t>
  </si>
  <si>
    <t>ocm29026104</t>
  </si>
  <si>
    <t>3101854566B</t>
  </si>
  <si>
    <t>9780860914815</t>
  </si>
  <si>
    <t>793301715</t>
  </si>
  <si>
    <t>Q175 F49 2011</t>
  </si>
  <si>
    <t>0                      Q  0175000F  49          2011</t>
  </si>
  <si>
    <t>Tyranny of science / Paul Feyerabend ; edited, and with an introduction, by Eric Oberheim.</t>
  </si>
  <si>
    <t>Cambridge, UK ; Malden, MA : Polity Press, 2011.</t>
  </si>
  <si>
    <t>2017-10-09</t>
  </si>
  <si>
    <t>683956821:eng</t>
  </si>
  <si>
    <t>668946683</t>
  </si>
  <si>
    <t>ocn668946683</t>
  </si>
  <si>
    <t>3103235529F</t>
  </si>
  <si>
    <t>9780745651897</t>
  </si>
  <si>
    <t>794846613</t>
  </si>
  <si>
    <t>Q175 F82 1992</t>
  </si>
  <si>
    <t>0                      Q  0175000F  82          1992</t>
  </si>
  <si>
    <t>Kant and the exact sciences / Michael Friedman.</t>
  </si>
  <si>
    <t>Friedman, Michael, 1947-</t>
  </si>
  <si>
    <t>Cambridge, Mass. : Harvard University Press, 1992.</t>
  </si>
  <si>
    <t>2019-02-24</t>
  </si>
  <si>
    <t>2681271:eng</t>
  </si>
  <si>
    <t>24144057</t>
  </si>
  <si>
    <t>ocm24144057</t>
  </si>
  <si>
    <t>31027861526</t>
  </si>
  <si>
    <t>9780674500358</t>
  </si>
  <si>
    <t>793190847</t>
  </si>
  <si>
    <t>Q175 F927 2000</t>
  </si>
  <si>
    <t>0                      Q  0175000F  927         2000</t>
  </si>
  <si>
    <t>Thomas Kuhn : a philosophical history for our times / Steve Fuller.</t>
  </si>
  <si>
    <t>Fuller, Steve, 1959-</t>
  </si>
  <si>
    <t>Chicago : University of Chicago Press, ©2000.</t>
  </si>
  <si>
    <t>2015-03-21</t>
  </si>
  <si>
    <t>369452841:eng</t>
  </si>
  <si>
    <t>42772244</t>
  </si>
  <si>
    <t>ocm42772244</t>
  </si>
  <si>
    <t>3101999450B</t>
  </si>
  <si>
    <t>9780226268941</t>
  </si>
  <si>
    <t>793614003</t>
  </si>
  <si>
    <t>Q175 G4889 1988</t>
  </si>
  <si>
    <t>0                      Q  0175000G  4889        1988</t>
  </si>
  <si>
    <t>Explaining science : a cognitive approach / Ronald N. Giere.</t>
  </si>
  <si>
    <t>Giere, Ronald N.</t>
  </si>
  <si>
    <t>Chicago : University of Chicago Press, ©1988.</t>
  </si>
  <si>
    <t>2017-02-02</t>
  </si>
  <si>
    <t>874056:eng</t>
  </si>
  <si>
    <t>16833680</t>
  </si>
  <si>
    <t>ocm16833680</t>
  </si>
  <si>
    <t>30005303114</t>
  </si>
  <si>
    <t>9780226292052</t>
  </si>
  <si>
    <t>792974496</t>
  </si>
  <si>
    <t>Q175 G49 1997</t>
  </si>
  <si>
    <t>0                      Q  0175000G  49          1997</t>
  </si>
  <si>
    <t>Understanding scientific reasoning / Ronald N. Giere.</t>
  </si>
  <si>
    <t>Giere, Ronald N., author.</t>
  </si>
  <si>
    <t>Fort Worth : Harcourt, Brace, Jovanovich, [1997]</t>
  </si>
  <si>
    <t>Fourth edition.</t>
  </si>
  <si>
    <t>3239855:eng</t>
  </si>
  <si>
    <t>35659490</t>
  </si>
  <si>
    <t>ocm35659490</t>
  </si>
  <si>
    <t>3102346953Q</t>
  </si>
  <si>
    <t>9780155016255</t>
  </si>
  <si>
    <t>793454461</t>
  </si>
  <si>
    <t>Q175 G596 2003</t>
  </si>
  <si>
    <t>0                      Q  0175000G  596         2003</t>
  </si>
  <si>
    <t>Theory and reality : an introduction to the philosophy of science / Peter Godfrey-Smith.</t>
  </si>
  <si>
    <t>Godfrey-Smith, Peter.</t>
  </si>
  <si>
    <t>Chicago : University of Chicago Press, 2003.</t>
  </si>
  <si>
    <t>2017-11-06</t>
  </si>
  <si>
    <t>793887961:eng</t>
  </si>
  <si>
    <t>51223665</t>
  </si>
  <si>
    <t>ocm51223665</t>
  </si>
  <si>
    <t>3103290135F</t>
  </si>
  <si>
    <t>MISSING</t>
  </si>
  <si>
    <t>9780226300627</t>
  </si>
  <si>
    <t>793780864</t>
  </si>
  <si>
    <t>Q175 H2 1983</t>
  </si>
  <si>
    <t>0                      Q  0175000H  2           1983</t>
  </si>
  <si>
    <t>Representing and intervening : introductory topics in the philosophy of natural science / Ian Hacking.</t>
  </si>
  <si>
    <t>Hacking, Ian.</t>
  </si>
  <si>
    <t>Cambridge [Cambridgeshire] ; New York : Cambridge University Press, 1983.</t>
  </si>
  <si>
    <t>42810617:eng</t>
  </si>
  <si>
    <t>9371160</t>
  </si>
  <si>
    <t>ocm09371160</t>
  </si>
  <si>
    <t>30003501520</t>
  </si>
  <si>
    <t>9780521238298</t>
  </si>
  <si>
    <t>792672639</t>
  </si>
  <si>
    <t>Q175 H2646 2013</t>
  </si>
  <si>
    <t>0                      Q  0175000H  2646        2013</t>
  </si>
  <si>
    <t>Handbook of the psychology of science / editors, Gregory J. Feist, PhD &amp; Michael E. Gorman, PhD.</t>
  </si>
  <si>
    <t>New York : Springer Pub. Company, LLC, 2013.</t>
  </si>
  <si>
    <t>3757154769:eng</t>
  </si>
  <si>
    <t>692289970</t>
  </si>
  <si>
    <t>ocn692289970</t>
  </si>
  <si>
    <t>3103456295L</t>
  </si>
  <si>
    <t>9780826106230</t>
  </si>
  <si>
    <t>794856111</t>
  </si>
  <si>
    <t>Q175 H27</t>
  </si>
  <si>
    <t>0                      Q  0175000H  27</t>
  </si>
  <si>
    <t>Patterns of discovery; an inquiry into the conceptual foundations of science.</t>
  </si>
  <si>
    <t>Hanson, Norwood Russell.</t>
  </si>
  <si>
    <t>Cambridge [England] University Press, 1958.</t>
  </si>
  <si>
    <t>2019-02-08</t>
  </si>
  <si>
    <t>1090468373:eng</t>
  </si>
  <si>
    <t>522180</t>
  </si>
  <si>
    <t>ocm00522180</t>
  </si>
  <si>
    <t>3103801786Q</t>
  </si>
  <si>
    <t>9780521051972</t>
  </si>
  <si>
    <t>791402439</t>
  </si>
  <si>
    <t>31002544174</t>
  </si>
  <si>
    <t>791402438</t>
  </si>
  <si>
    <t>Q175 H324 2015</t>
  </si>
  <si>
    <t>0                      Q  0175000H  324         2015</t>
  </si>
  <si>
    <t>Objectivity and diversity : another logic of scientific research / Sandra Harding.</t>
  </si>
  <si>
    <t>Harding, Sandra G., author.</t>
  </si>
  <si>
    <t>Chicago : The University of Chicago Press, 2015.</t>
  </si>
  <si>
    <t>2018-04-25</t>
  </si>
  <si>
    <t>2072655010:eng</t>
  </si>
  <si>
    <t>890360373</t>
  </si>
  <si>
    <t>ocn890360373</t>
  </si>
  <si>
    <t>3103622692W</t>
  </si>
  <si>
    <t>9780226241227</t>
  </si>
  <si>
    <t>794979137</t>
  </si>
  <si>
    <t>Q175 H3265</t>
  </si>
  <si>
    <t>0                      Q  0175000H  3265</t>
  </si>
  <si>
    <t>The principles of scientific thinking [by] Rom Harré.</t>
  </si>
  <si>
    <t>Harré, Rom.</t>
  </si>
  <si>
    <t>[Chicago] University of Chicago Press [1970]</t>
  </si>
  <si>
    <t>2018-01-03</t>
  </si>
  <si>
    <t>418520:eng</t>
  </si>
  <si>
    <t>119686</t>
  </si>
  <si>
    <t>ocm00119686</t>
  </si>
  <si>
    <t>3000498111H</t>
  </si>
  <si>
    <t>9780226317083</t>
  </si>
  <si>
    <t>791262882</t>
  </si>
  <si>
    <t>Q175 H393</t>
  </si>
  <si>
    <t>0                      Q  0175000H  393</t>
  </si>
  <si>
    <t>The physicist's conception of nature [by] Werner Heisenberg. [Translated by Arnold J. Pomerans].</t>
  </si>
  <si>
    <t>Heisenberg, Werner, 1901-1976.</t>
  </si>
  <si>
    <t>London, Hutchinson [©1958]</t>
  </si>
  <si>
    <t>2015-06-12</t>
  </si>
  <si>
    <t>1240195:eng</t>
  </si>
  <si>
    <t>1097330</t>
  </si>
  <si>
    <t>ocm01097330</t>
  </si>
  <si>
    <t>3102797388M</t>
  </si>
  <si>
    <t>791545912</t>
  </si>
  <si>
    <t>Q175 H56</t>
  </si>
  <si>
    <t>0                      Q  0175000H  56</t>
  </si>
  <si>
    <t>Models and analogies in science, by Mary B. Hesse.</t>
  </si>
  <si>
    <t>Hesse, Mary B.</t>
  </si>
  <si>
    <t>[Notre Dame, Ind.] University of Notre Dame Press [1966]</t>
  </si>
  <si>
    <t>1521209:eng</t>
  </si>
  <si>
    <t>522396</t>
  </si>
  <si>
    <t>ocm00522396</t>
  </si>
  <si>
    <t>31033004358</t>
  </si>
  <si>
    <t>791402527</t>
  </si>
  <si>
    <t>Q175 H6 1997</t>
  </si>
  <si>
    <t>0                      Q  0175000H  6           1997</t>
  </si>
  <si>
    <t>The Historiography of contemporary science and technology / edited by Thomas Söderqvist.</t>
  </si>
  <si>
    <t>Amsterdam : Harwood Academic, ©1997.</t>
  </si>
  <si>
    <t>Studies in the history of science, technology, and medicine, 1024-8048 ; v. 4</t>
  </si>
  <si>
    <t>2016-07-06</t>
  </si>
  <si>
    <t>138843611:eng</t>
  </si>
  <si>
    <t>37871837</t>
  </si>
  <si>
    <t>ocm37871837</t>
  </si>
  <si>
    <t>31018746445</t>
  </si>
  <si>
    <t>9783718659067</t>
  </si>
  <si>
    <t>793508912</t>
  </si>
  <si>
    <t>Q175 H773 1982</t>
  </si>
  <si>
    <t>0                      Q  0175000H  773         1982</t>
  </si>
  <si>
    <t>The Holographic paradigm and other paradoxes : exploring the leading edge of science / edited by Ken Wilber.</t>
  </si>
  <si>
    <t>Boulder : Shambhala, 1982.</t>
  </si>
  <si>
    <t>54509638:eng</t>
  </si>
  <si>
    <t>8493995</t>
  </si>
  <si>
    <t>ocm08493995</t>
  </si>
  <si>
    <t>3102628515U</t>
  </si>
  <si>
    <t>9780394528236</t>
  </si>
  <si>
    <t>792622860</t>
  </si>
  <si>
    <t>Q175 I514 1965</t>
  </si>
  <si>
    <t>0                      Q  0175000I  514         1965</t>
  </si>
  <si>
    <t>Criticism and the growth of knowledge; edited by Imre Lakatos [and] Alan Musgrave.</t>
  </si>
  <si>
    <t>International Colloquium in the Philosophy of Science (1965 : Bedford College)</t>
  </si>
  <si>
    <t>Cambridge [England] University Press, 1970.</t>
  </si>
  <si>
    <t>Its Proceedings, v. 4</t>
  </si>
  <si>
    <t>423509902:eng</t>
  </si>
  <si>
    <t>94900</t>
  </si>
  <si>
    <t>ocm00094900</t>
  </si>
  <si>
    <t>31034531743</t>
  </si>
  <si>
    <t>9780521078269</t>
  </si>
  <si>
    <t>791254264</t>
  </si>
  <si>
    <t>Q175 I518 1965</t>
  </si>
  <si>
    <t>0                      Q  0175000I  518         1965</t>
  </si>
  <si>
    <t>Problems in the philosophy of science. Edited by Imre Lakatos [and] Alan Musgrave.</t>
  </si>
  <si>
    <t>Amsterdam, North-Holland Pub. Co., 1968.</t>
  </si>
  <si>
    <t>Its Proceedings, v. 3</t>
  </si>
  <si>
    <t>2018-02-22</t>
  </si>
  <si>
    <t>1531405:eng</t>
  </si>
  <si>
    <t>525806</t>
  </si>
  <si>
    <t>ocm00525806</t>
  </si>
  <si>
    <t>3000551483W</t>
  </si>
  <si>
    <t>791403615</t>
  </si>
  <si>
    <t>2011-12-17</t>
  </si>
  <si>
    <t>3000996819M</t>
  </si>
  <si>
    <t>791403614</t>
  </si>
  <si>
    <t>Q175 I535 1967</t>
  </si>
  <si>
    <t>0                      Q  0175000I  535         1967</t>
  </si>
  <si>
    <t>Logic, methodology and philosophy of science III : proceedings of the Third International Congress for Logic, Methodology and Philosophy of Science, Amsterdam 1967; edited by B. Van Rootselaar and J.F. Staal.</t>
  </si>
  <si>
    <t>International Congress for Logic, Methodology, and Philosophy of Science (3rd : 1967 : Amsterdam, Netherlands)</t>
  </si>
  <si>
    <t>Amsterdam : North-Holland Publishing Company, 1968.</t>
  </si>
  <si>
    <t>Studies in logic and the foundations of mathematics</t>
  </si>
  <si>
    <t>2002-04-04</t>
  </si>
  <si>
    <t>806696763:eng</t>
  </si>
  <si>
    <t>10745</t>
  </si>
  <si>
    <t>ocm00010745</t>
  </si>
  <si>
    <t>3000498113D</t>
  </si>
  <si>
    <t>791227372</t>
  </si>
  <si>
    <t>Q175 I633 1999</t>
  </si>
  <si>
    <t>0                      Q  0175000I  633         1999</t>
  </si>
  <si>
    <t>Introduction to the philosophy of science : a text by the members of the Department of the History and Philosophy of Science of the University of pittsburgh / Merrilee H. Salmon [and others].</t>
  </si>
  <si>
    <t>Indianapolis : Hackett Pub. Co., c[1999]</t>
  </si>
  <si>
    <t>134132783:eng</t>
  </si>
  <si>
    <t>40143023</t>
  </si>
  <si>
    <t>ocm40143023</t>
  </si>
  <si>
    <t>31026342339</t>
  </si>
  <si>
    <t>9780872204515</t>
  </si>
  <si>
    <t>793560594</t>
  </si>
  <si>
    <t>Q175 I64 1998</t>
  </si>
  <si>
    <t>0                      Q  0175000I  64          1998</t>
  </si>
  <si>
    <t>Introductory readings in the philosophy of science / edited by E.D. Klemke, Robert Hollinger, David Wÿss Rudge with A. David Kline.</t>
  </si>
  <si>
    <t>Amherst, N.Y. : Prometheus Books, 1998.</t>
  </si>
  <si>
    <t>367210299:eng</t>
  </si>
  <si>
    <t>39210004</t>
  </si>
  <si>
    <t>ocm39210004</t>
  </si>
  <si>
    <t>3103387071I</t>
  </si>
  <si>
    <t>9781573922401</t>
  </si>
  <si>
    <t>793540727</t>
  </si>
  <si>
    <t>31036016111</t>
  </si>
  <si>
    <t>793540726</t>
  </si>
  <si>
    <t>Q175 J37 2001</t>
  </si>
  <si>
    <t>0                      Q  0175000J  37          2001</t>
  </si>
  <si>
    <t>The republic of science : the emergence of Popper's social view of science, 1935-1945 / Ian C. Jarvie.</t>
  </si>
  <si>
    <t>Jarvie, I. C. (Ian Charles), 1937-</t>
  </si>
  <si>
    <t>Amsterdam ; Atlanta, GA : Rodopi, ©2001.</t>
  </si>
  <si>
    <t>Series in the philosophy of Karl R. Popper and critical rationalism = Schriftenreihe zur Philosophie Karl R. Poppers und des kritischen Rationalismus ; Bd. 15</t>
  </si>
  <si>
    <t>478216654:eng</t>
  </si>
  <si>
    <t>48458115</t>
  </si>
  <si>
    <t>ocm48458115</t>
  </si>
  <si>
    <t>3102184126P</t>
  </si>
  <si>
    <t>9789042015159</t>
  </si>
  <si>
    <t>793721513</t>
  </si>
  <si>
    <t>Q175 J4 1958</t>
  </si>
  <si>
    <t>0                      Q  0175000J  4           1958</t>
  </si>
  <si>
    <t>The principles of science; a treatise on logic and scientific method. With a new introd. by Ernest Nagel.</t>
  </si>
  <si>
    <t>2</t>
  </si>
  <si>
    <t>Jevons, William Stanley, 1835-1882.</t>
  </si>
  <si>
    <t>New York, Dover Publications [1958]</t>
  </si>
  <si>
    <t>2015-02-21</t>
  </si>
  <si>
    <t>1870756:eng</t>
  </si>
  <si>
    <t>1210856</t>
  </si>
  <si>
    <t>ocm01210856</t>
  </si>
  <si>
    <t>3102943900C</t>
  </si>
  <si>
    <t>791574393</t>
  </si>
  <si>
    <t>Q175 J63 1946</t>
  </si>
  <si>
    <t>0                      Q  0175000J  63          1946</t>
  </si>
  <si>
    <t>Science and the meanings of truth : studies introductory to asking what is meant today by physical explanation of nature, by mechanisms of cause and effect, and by a claim that scientific knowledge is true / by Martin Johnson ...</t>
  </si>
  <si>
    <t>Johnson, Martin, 1896-1983.</t>
  </si>
  <si>
    <t>London : Faber and Faber Limited, [1946]</t>
  </si>
  <si>
    <t>902094917:eng</t>
  </si>
  <si>
    <t>1419736</t>
  </si>
  <si>
    <t>ocm01419736</t>
  </si>
  <si>
    <t>3001136450H</t>
  </si>
  <si>
    <t>791622186</t>
  </si>
  <si>
    <t>Q175 K12 2001</t>
  </si>
  <si>
    <t>0                      Q  0175000K  12          2001</t>
  </si>
  <si>
    <t>Imre Lakatos and the guises of reason / John Kadvany.</t>
  </si>
  <si>
    <t>Kadvany, John David.</t>
  </si>
  <si>
    <t>Durham, NC : Duke University Press, 2001.</t>
  </si>
  <si>
    <t>Science and cultural theory</t>
  </si>
  <si>
    <t>10279207:eng</t>
  </si>
  <si>
    <t>45122468</t>
  </si>
  <si>
    <t>ocm45122468</t>
  </si>
  <si>
    <t>3102111095U</t>
  </si>
  <si>
    <t>9780822326595</t>
  </si>
  <si>
    <t>793664989</t>
  </si>
  <si>
    <t>Q175 K28 1985</t>
  </si>
  <si>
    <t>0                      Q  0175000K  28          1985</t>
  </si>
  <si>
    <t>Reflections on gender and science / Evelyn Fox Keller.</t>
  </si>
  <si>
    <t>Keller, Evelyn Fox, 1936-</t>
  </si>
  <si>
    <t>New Haven : Yale University Press, ©1985.</t>
  </si>
  <si>
    <t>2019-04-24</t>
  </si>
  <si>
    <t>996924:eng</t>
  </si>
  <si>
    <t>11091387</t>
  </si>
  <si>
    <t>ocm11091387</t>
  </si>
  <si>
    <t>30009730707</t>
  </si>
  <si>
    <t>9780300032918</t>
  </si>
  <si>
    <t>792757703</t>
  </si>
  <si>
    <t>31029449254</t>
  </si>
  <si>
    <t>792757702</t>
  </si>
  <si>
    <t>Q175 K56 1981</t>
  </si>
  <si>
    <t>0                      Q  0175000K  56          1981</t>
  </si>
  <si>
    <t>The manufacture of knowledge : an essay on the constructivist and contextual nature of science / by Karin D. Knorr-Cetina ; preface by Rom Harré.</t>
  </si>
  <si>
    <t>Knorr-Cetina, K. (Karin)</t>
  </si>
  <si>
    <t>Oxford ; New York : Pergamon Press, 1981.</t>
  </si>
  <si>
    <t>Pergamon international library of science, technology, engineering, and social studies</t>
  </si>
  <si>
    <t>2015-06-03</t>
  </si>
  <si>
    <t>9897083:eng</t>
  </si>
  <si>
    <t>6864622</t>
  </si>
  <si>
    <t>ocm06864622</t>
  </si>
  <si>
    <t>3103269302V</t>
  </si>
  <si>
    <t>9780080257778</t>
  </si>
  <si>
    <t>792527529</t>
  </si>
  <si>
    <t>Q175 K67 1971</t>
  </si>
  <si>
    <t>0                      Q  0175000K  67          1971</t>
  </si>
  <si>
    <t>The justification of scientific change. [By] Carl R. Kordig.</t>
  </si>
  <si>
    <t>Kordig, Carl R.</t>
  </si>
  <si>
    <t>Dordrecht, Reidel [1971]</t>
  </si>
  <si>
    <t>Synthese library ; v. 36</t>
  </si>
  <si>
    <t>1269061:eng</t>
  </si>
  <si>
    <t>206254</t>
  </si>
  <si>
    <t>ocm00206254</t>
  </si>
  <si>
    <t>3103653256T</t>
  </si>
  <si>
    <t>9789027701817</t>
  </si>
  <si>
    <t>791293501</t>
  </si>
  <si>
    <t>Q175 K867</t>
  </si>
  <si>
    <t>0                      Q  0175000K  867</t>
  </si>
  <si>
    <t>Metaphysics and measurement: essays in scientific revolution.</t>
  </si>
  <si>
    <t>London, Chapman &amp; Hall, 1968.</t>
  </si>
  <si>
    <t>1500081:eng</t>
  </si>
  <si>
    <t>461711</t>
  </si>
  <si>
    <t>ocm00461711</t>
  </si>
  <si>
    <t>3000556702L</t>
  </si>
  <si>
    <t>791384876</t>
  </si>
  <si>
    <t>Q175 K927 1988</t>
  </si>
  <si>
    <t>0                      Q  0175000K  927         1988</t>
  </si>
  <si>
    <t>The development of scientific thinking skills / Deanna Kuhn, Eric Amsel, Michael O'Loughlin with the assistance of Leona Schauble, Bonnie Leadbeater, William Yotive.</t>
  </si>
  <si>
    <t>Kuhn, Deanna.</t>
  </si>
  <si>
    <t>San Diego : Academic Press, ©1988.</t>
  </si>
  <si>
    <t>Developmental psychology series</t>
  </si>
  <si>
    <t>2008-08-26</t>
  </si>
  <si>
    <t>2015-03-18</t>
  </si>
  <si>
    <t>12454266:eng</t>
  </si>
  <si>
    <t>16525382</t>
  </si>
  <si>
    <t>ocm16525382</t>
  </si>
  <si>
    <t>3101011241N</t>
  </si>
  <si>
    <t>9780124284302</t>
  </si>
  <si>
    <t>792964781</t>
  </si>
  <si>
    <t>3100750111D</t>
  </si>
  <si>
    <t>792964782</t>
  </si>
  <si>
    <t>Q175 K94 2000</t>
  </si>
  <si>
    <t>0                      Q  0175000K  94          2000</t>
  </si>
  <si>
    <t>The road since Structure : philosophical essays, 1970-1993, with an autobiographical interview / Thomas S. Kuhn ; edited by James Conant and John Haugeland.</t>
  </si>
  <si>
    <t>201288563:eng</t>
  </si>
  <si>
    <t>43729156</t>
  </si>
  <si>
    <t>ocm43729156</t>
  </si>
  <si>
    <t>3103642682N</t>
  </si>
  <si>
    <t>9780226457987</t>
  </si>
  <si>
    <t>793633651</t>
  </si>
  <si>
    <t>Q175 K95</t>
  </si>
  <si>
    <t>0                      Q  0175000K  95</t>
  </si>
  <si>
    <t>[Chicago] University of Chicago Press [1962]</t>
  </si>
  <si>
    <t>International encyclopedia of unified science. Volumes I and II. Foundations of the unity of science ; v. 2, no. 2</t>
  </si>
  <si>
    <t>347557</t>
  </si>
  <si>
    <t>ocm00347557</t>
  </si>
  <si>
    <t>3102800659C</t>
  </si>
  <si>
    <t>791345646</t>
  </si>
  <si>
    <t>3103001352L</t>
  </si>
  <si>
    <t>791345645</t>
  </si>
  <si>
    <t>Q175 K95 1996</t>
  </si>
  <si>
    <t>0                      Q  0175000K  95          1996</t>
  </si>
  <si>
    <t>Chicago, IL : University of Chicago Press, 1996.</t>
  </si>
  <si>
    <t>ISSR collection</t>
  </si>
  <si>
    <t>34548541</t>
  </si>
  <si>
    <t>ocm34548541</t>
  </si>
  <si>
    <t>3103074678Z</t>
  </si>
  <si>
    <t>9780226458076</t>
  </si>
  <si>
    <t>793429530</t>
  </si>
  <si>
    <t>2018-11-01</t>
  </si>
  <si>
    <t>3102809164Q</t>
  </si>
  <si>
    <t>793429531</t>
  </si>
  <si>
    <t>31030299204</t>
  </si>
  <si>
    <t>793429529</t>
  </si>
  <si>
    <t>Q175 K95 2012</t>
  </si>
  <si>
    <t>0                      Q  0175000K  95          2012</t>
  </si>
  <si>
    <t>The structure of scientific revolutions / Thomas S. Kuhn ; with an introductory essay by Ian Hacking.</t>
  </si>
  <si>
    <t>Chicago ; London : The University of Chicago Press, [2012]</t>
  </si>
  <si>
    <t>756577696</t>
  </si>
  <si>
    <t>ocn756577696</t>
  </si>
  <si>
    <t>3103462868K</t>
  </si>
  <si>
    <t>9780226458113</t>
  </si>
  <si>
    <t>794894561</t>
  </si>
  <si>
    <t>Q175 K953 P74 2008</t>
  </si>
  <si>
    <t>0                      Q  0175000K  953                P  74          2008</t>
  </si>
  <si>
    <t>Kuhn's The structure of scientific revolutions : a reader's guide / John Preston.</t>
  </si>
  <si>
    <t>Preston, John, 1957-</t>
  </si>
  <si>
    <t>London ; New York : Continuum, ©2008.</t>
  </si>
  <si>
    <t>Continuum reader's guides</t>
  </si>
  <si>
    <t>2019-02-07</t>
  </si>
  <si>
    <t>197841950:eng</t>
  </si>
  <si>
    <t>180851984</t>
  </si>
  <si>
    <t>ocn180851984</t>
  </si>
  <si>
    <t>3103743391M</t>
  </si>
  <si>
    <t>9780826493750</t>
  </si>
  <si>
    <t>794280706</t>
  </si>
  <si>
    <t>Q175 K954</t>
  </si>
  <si>
    <t>0                      Q  0175000K  954</t>
  </si>
  <si>
    <t>The essential tension : selected studies in scientific tradition and change / Thomas S. Kuhn.</t>
  </si>
  <si>
    <t>Chicago : University of Chicago Press, 1977.</t>
  </si>
  <si>
    <t>365123189:eng</t>
  </si>
  <si>
    <t>3034084</t>
  </si>
  <si>
    <t>ocm03034084</t>
  </si>
  <si>
    <t>3103150558P</t>
  </si>
  <si>
    <t>9780226458052</t>
  </si>
  <si>
    <t>792208941</t>
  </si>
  <si>
    <t>Q175 K9543 1992</t>
  </si>
  <si>
    <t>0                      Q  0175000K  9543        1992</t>
  </si>
  <si>
    <t>The trouble with the historical philosophy of science / Thomas S. Kuhn.</t>
  </si>
  <si>
    <t>Cambridge, Mass. (235 Holyoke Center, Cambridge 02138) : Dept. of the History of Science, Harvard University, 1992.</t>
  </si>
  <si>
    <t>Robert and Maurine Rothschild distinguished lecture</t>
  </si>
  <si>
    <t>2018-10-15</t>
  </si>
  <si>
    <t>28751045:eng</t>
  </si>
  <si>
    <t>26127990</t>
  </si>
  <si>
    <t>ocm26127990</t>
  </si>
  <si>
    <t>3101235509Z</t>
  </si>
  <si>
    <t>793237993</t>
  </si>
  <si>
    <t>Q175 L195 v.2</t>
  </si>
  <si>
    <t>0                      Q  0175000L  195                                                     v.2</t>
  </si>
  <si>
    <t>Mathematics, science, and epistemology / Imre Lakatos ; edited by John Worrall and Gregory Currie.</t>
  </si>
  <si>
    <t>v.2*</t>
  </si>
  <si>
    <t>Lakatos, Imre, 1922-1974.</t>
  </si>
  <si>
    <t>His Philosophical papers ; v. 2</t>
  </si>
  <si>
    <t>2016-02-05</t>
  </si>
  <si>
    <t>9725439:eng</t>
  </si>
  <si>
    <t>3327706</t>
  </si>
  <si>
    <t>ocm03327706</t>
  </si>
  <si>
    <t>31030045485</t>
  </si>
  <si>
    <t>9780521217699</t>
  </si>
  <si>
    <t>792242890</t>
  </si>
  <si>
    <t>Q175 L294 1990</t>
  </si>
  <si>
    <t>0                      Q  0175000L  294         1990</t>
  </si>
  <si>
    <t>Science and relativism : some key controversies in the philosophy of science / Larry Laudan.</t>
  </si>
  <si>
    <t>Laudan, Larry, author.</t>
  </si>
  <si>
    <t>Chicago : University of Chicago Press, 1990.</t>
  </si>
  <si>
    <t>509877551:eng</t>
  </si>
  <si>
    <t>21151549</t>
  </si>
  <si>
    <t>ocm21151549</t>
  </si>
  <si>
    <t>3101203129$</t>
  </si>
  <si>
    <t>9780226469485</t>
  </si>
  <si>
    <t>793110611</t>
  </si>
  <si>
    <t>Q175 L543 2016</t>
  </si>
  <si>
    <t>0                      Q  0175000L  543         2016</t>
  </si>
  <si>
    <t>The limits of science : an analysis from "barriers" to "confines" / edited by Wenceslao J. Gonzalez.</t>
  </si>
  <si>
    <t>Leiden ; Boston : Brill-Rodopi, [2016]</t>
  </si>
  <si>
    <t>Poznań studies in the philosophy of the sciences and the humanities, 0303-8157 ; volume 109</t>
  </si>
  <si>
    <t>3228966681:eng</t>
  </si>
  <si>
    <t>950430800</t>
  </si>
  <si>
    <t>ocn950430800</t>
  </si>
  <si>
    <t>31034226805</t>
  </si>
  <si>
    <t>9789004325395</t>
  </si>
  <si>
    <t>795016580</t>
  </si>
  <si>
    <t>Q175 L556 1991</t>
  </si>
  <si>
    <t>0                      Q  0175000L  556         1991</t>
  </si>
  <si>
    <t>Inference to the best explanation / Peter Lipton.</t>
  </si>
  <si>
    <t>Lipton, Peter, 1954-2007.</t>
  </si>
  <si>
    <t>London [England] ; New York : Routledge, 1993.</t>
  </si>
  <si>
    <t>117022804:eng</t>
  </si>
  <si>
    <t>29357130</t>
  </si>
  <si>
    <t>ocm29357130</t>
  </si>
  <si>
    <t>31015119985</t>
  </si>
  <si>
    <t>9780415100298</t>
  </si>
  <si>
    <t>793308793</t>
  </si>
  <si>
    <t>Q175 L655 1990</t>
  </si>
  <si>
    <t>0                      Q  0175000L  655         1990</t>
  </si>
  <si>
    <t>Science as social knowledge : values and objectivity in scientific inquiry / Helen E. Longino.</t>
  </si>
  <si>
    <t>Longino, Helen E.</t>
  </si>
  <si>
    <t>Princeton, N.J. : Princeton University Press, ©1990.</t>
  </si>
  <si>
    <t>807098909:eng</t>
  </si>
  <si>
    <t>19811327</t>
  </si>
  <si>
    <t>ocm19811327</t>
  </si>
  <si>
    <t>3100485226B</t>
  </si>
  <si>
    <t>9780691073422</t>
  </si>
  <si>
    <t>793069249</t>
  </si>
  <si>
    <t>Q175 M415 1996</t>
  </si>
  <si>
    <t>0                      Q  0175000M  415         1996</t>
  </si>
  <si>
    <t>Beauty &amp; revolution in science / James W. McAllister.</t>
  </si>
  <si>
    <t>McAllister, James W. (James William), 1962-</t>
  </si>
  <si>
    <t>Ithaca : Cornell University Press, 1996.</t>
  </si>
  <si>
    <t>2017-07-25</t>
  </si>
  <si>
    <t>36197423:eng</t>
  </si>
  <si>
    <t>34245278</t>
  </si>
  <si>
    <t>ocm34245278</t>
  </si>
  <si>
    <t>3101558294J</t>
  </si>
  <si>
    <t>9780801432408</t>
  </si>
  <si>
    <t>793422271</t>
  </si>
  <si>
    <t>Q175 M42</t>
  </si>
  <si>
    <t>0                      Q  0175000M  42</t>
  </si>
  <si>
    <t>The art of the soluble [by] P.B. Medawar.</t>
  </si>
  <si>
    <t>London, Methuen, 1967.</t>
  </si>
  <si>
    <t>2015-11-30</t>
  </si>
  <si>
    <t>2017-08-22</t>
  </si>
  <si>
    <t>477482316:eng</t>
  </si>
  <si>
    <t>283816</t>
  </si>
  <si>
    <t>ocm00283816</t>
  </si>
  <si>
    <t>3103592246K</t>
  </si>
  <si>
    <t>791323210</t>
  </si>
  <si>
    <t>Q175 M48 2013</t>
  </si>
  <si>
    <t>0                      Q  0175000M  48          2013</t>
  </si>
  <si>
    <t>Méthode et histoire : quelle histoire font les historiens des sciences et des techniques? / sous la direction d'Anne-Lise Rey ; avant-propos de Bernard Joly.</t>
  </si>
  <si>
    <t>Paris : Classiques Garnier, 2013.</t>
  </si>
  <si>
    <t>Histoire et philosophie des sciences, 2117-3508 ; 6</t>
  </si>
  <si>
    <t>1788304968:fre</t>
  </si>
  <si>
    <t>870307706</t>
  </si>
  <si>
    <t>ocn870307706</t>
  </si>
  <si>
    <t>3103556330O</t>
  </si>
  <si>
    <t>9782812414190</t>
  </si>
  <si>
    <t>794966386</t>
  </si>
  <si>
    <t>Q175 M64 v. 10</t>
  </si>
  <si>
    <t>0                      Q  0175000M  64                                                      v. 10</t>
  </si>
  <si>
    <t>Testing scientific theories / edited by John Earman.</t>
  </si>
  <si>
    <t>v. 10*</t>
  </si>
  <si>
    <t>Minneapolis : University of Minnesota Press, ©1983.</t>
  </si>
  <si>
    <t>Minnesota studies in the philosophy of science ; v. 10</t>
  </si>
  <si>
    <t>431729558:eng</t>
  </si>
  <si>
    <t>9110477</t>
  </si>
  <si>
    <t>ocm09110477</t>
  </si>
  <si>
    <t>3000364290$</t>
  </si>
  <si>
    <t>9780816611584</t>
  </si>
  <si>
    <t>792657542</t>
  </si>
  <si>
    <t>Q175 M64 v. 6</t>
  </si>
  <si>
    <t>0                      Q  0175000M  64                                                      v. 6</t>
  </si>
  <si>
    <t>Induction, probability, and confirmation / edited by Grover Maxwell and Robert M. Anderson, Jr., for the Minnesota Center for Philosophy of Science.</t>
  </si>
  <si>
    <t>v. 6*</t>
  </si>
  <si>
    <t>Minneapolis : University of Minnesota Press, ©1975.</t>
  </si>
  <si>
    <t>Minnesota studies in the philosophy of science ; v. 6</t>
  </si>
  <si>
    <t>1073473931:eng</t>
  </si>
  <si>
    <t>1905687</t>
  </si>
  <si>
    <t>ocm01905687</t>
  </si>
  <si>
    <t>3101144017P</t>
  </si>
  <si>
    <t>9780816607365</t>
  </si>
  <si>
    <t>792008902</t>
  </si>
  <si>
    <t>Q175 M64 v. 7</t>
  </si>
  <si>
    <t>0                      Q  0175000M  64                                                      v. 7</t>
  </si>
  <si>
    <t>Language, mind, and knowledge / edited by Keith Gunderson for the Minnesota Center for Philosophy of Science.</t>
  </si>
  <si>
    <t>v. 7*</t>
  </si>
  <si>
    <t>Minneapolis : University of Minnesota Press, [1975]</t>
  </si>
  <si>
    <t>Minnesota studies in the philosophy of science ; v. 7</t>
  </si>
  <si>
    <t>2017-03-26</t>
  </si>
  <si>
    <t>118302703:eng</t>
  </si>
  <si>
    <t>1739603</t>
  </si>
  <si>
    <t>ocm01739603</t>
  </si>
  <si>
    <t>3103773793L</t>
  </si>
  <si>
    <t>9780816607426</t>
  </si>
  <si>
    <t>791857483</t>
  </si>
  <si>
    <t>Q175 M64 v.11</t>
  </si>
  <si>
    <t>0                      Q  0175000M  64                                                      v.11</t>
  </si>
  <si>
    <t>History and philosophy of modern mathematics / edited by William Aspray and Philip Kitcher.</t>
  </si>
  <si>
    <t>v.11*</t>
  </si>
  <si>
    <t>Minneapolis : University of Minnesota Press, ©1988.</t>
  </si>
  <si>
    <t>Minnesota studies in the philosophy of science ; v. 11</t>
  </si>
  <si>
    <t>2019-01-22</t>
  </si>
  <si>
    <t>432581261:eng</t>
  </si>
  <si>
    <t>15082919</t>
  </si>
  <si>
    <t>ocm15082919</t>
  </si>
  <si>
    <t>31030260590</t>
  </si>
  <si>
    <t>9780816615667</t>
  </si>
  <si>
    <t>792919386</t>
  </si>
  <si>
    <t>Q175 M68</t>
  </si>
  <si>
    <t>0                      Q  0175000M  68</t>
  </si>
  <si>
    <t>The groundwork of science : a study of epistemology / by St. George Mivart ...</t>
  </si>
  <si>
    <t>Mivart, St. George Jackson, 1827-1900.</t>
  </si>
  <si>
    <t>New York : G.P. Putnam's Sons ; London : Bliss, Sands, &amp; Co., 1898</t>
  </si>
  <si>
    <t>The science series ; [v. 2]</t>
  </si>
  <si>
    <t>2284411:eng</t>
  </si>
  <si>
    <t>1419755</t>
  </si>
  <si>
    <t>ocm01419755</t>
  </si>
  <si>
    <t>30006575085</t>
  </si>
  <si>
    <t>791622189</t>
  </si>
  <si>
    <t>Q175 M8685 2018</t>
  </si>
  <si>
    <t>0                      Q  0175000M  8685        2018</t>
  </si>
  <si>
    <t>The ashtray : (or the man who denied reality) / Errol Morris.</t>
  </si>
  <si>
    <t>Morris, Errol, author.</t>
  </si>
  <si>
    <t>2019-08-06</t>
  </si>
  <si>
    <t>5208694258:eng</t>
  </si>
  <si>
    <t>1001413883</t>
  </si>
  <si>
    <t>on1001413883</t>
  </si>
  <si>
    <t>3103703755Y</t>
  </si>
  <si>
    <t>9780226922683</t>
  </si>
  <si>
    <t>795040569</t>
  </si>
  <si>
    <t>Q175 M869 1983</t>
  </si>
  <si>
    <t>0                      Q  0175000M  869         1983</t>
  </si>
  <si>
    <t>Dismantling the universe : the nature of scientific discovery / Richard Morris.</t>
  </si>
  <si>
    <t>Morris, Richard, 1939-2003.</t>
  </si>
  <si>
    <t>New York : Simon and Schuster, ©1983.</t>
  </si>
  <si>
    <t>3848278:eng</t>
  </si>
  <si>
    <t>9576022</t>
  </si>
  <si>
    <t>ocm09576022</t>
  </si>
  <si>
    <t>3000355775D</t>
  </si>
  <si>
    <t>9780671452391</t>
  </si>
  <si>
    <t>792682826</t>
  </si>
  <si>
    <t>Q175 M982613 1982</t>
  </si>
  <si>
    <t>0                      Q  0175000M  982613      1982</t>
  </si>
  <si>
    <t>On Mach's theories / Robert Musil ; introduction by G.H. von Wright ; [translated from the German by Kevin Mulligan].</t>
  </si>
  <si>
    <t>Musil, Robert, 1880-1942, author.</t>
  </si>
  <si>
    <t>Washington, D.C. : Catholic University of America Press ; München : Philosophia Verlag, [1982]</t>
  </si>
  <si>
    <t>Philosophia resources library</t>
  </si>
  <si>
    <t>2019-11-16</t>
  </si>
  <si>
    <t>2908735803:eng</t>
  </si>
  <si>
    <t>9195248</t>
  </si>
  <si>
    <t>ocm09195248</t>
  </si>
  <si>
    <t>3000354113R</t>
  </si>
  <si>
    <t>9780813205861</t>
  </si>
  <si>
    <t>792663044</t>
  </si>
  <si>
    <t>Q175 N22 1979</t>
  </si>
  <si>
    <t>0                      Q  0175000N  22          1979</t>
  </si>
  <si>
    <t>The structure of science : problems in the logic of scientific explanation / Ernest Nagel.</t>
  </si>
  <si>
    <t>Indianapolis : Hackett Pub. Co., 1979.</t>
  </si>
  <si>
    <t>2d ed.</t>
  </si>
  <si>
    <t>2019-03-11</t>
  </si>
  <si>
    <t>10033274951:eng</t>
  </si>
  <si>
    <t>6534814</t>
  </si>
  <si>
    <t>ocm06534814</t>
  </si>
  <si>
    <t>31026341696</t>
  </si>
  <si>
    <t>9780915144716</t>
  </si>
  <si>
    <t>792507167</t>
  </si>
  <si>
    <t>Q175 N3 1969</t>
  </si>
  <si>
    <t>0                      Q  0175000N  3           1969</t>
  </si>
  <si>
    <t>Die logischen Grundlagen der exakten Wissenschaften.</t>
  </si>
  <si>
    <t>Natorp, Paul, 1854-1924.</t>
  </si>
  <si>
    <t>Wiesbaden, M. Sändig (1969)</t>
  </si>
  <si>
    <t>(Reprographischer Nachdruck der 2., durchgesehene Aufl. Leipzig und Berlin, Teubner, 1921.).</t>
  </si>
  <si>
    <t>Wissenschaft und Hypothese, 12</t>
  </si>
  <si>
    <t>348559525:ger</t>
  </si>
  <si>
    <t>4502124</t>
  </si>
  <si>
    <t>ocm04502124</t>
  </si>
  <si>
    <t>3000556694V</t>
  </si>
  <si>
    <t>792356736</t>
  </si>
  <si>
    <t>Q175 N33178 2010</t>
  </si>
  <si>
    <t>0                      Q  0175000N  33178       2010</t>
  </si>
  <si>
    <t>The nature of life : classical and contemporary perspectives from philosophy and science / edited by Mark A. Bedau, Carol E. Cleland.</t>
  </si>
  <si>
    <t>Cambridge ; New York : Cambridge University Press, 2010.</t>
  </si>
  <si>
    <t>792612702:eng</t>
  </si>
  <si>
    <t>506249103</t>
  </si>
  <si>
    <t>ocn506249103</t>
  </si>
  <si>
    <t>31033039898</t>
  </si>
  <si>
    <t>9780521517751</t>
  </si>
  <si>
    <t>794807751</t>
  </si>
  <si>
    <t>Q175 N48 2012</t>
  </si>
  <si>
    <t>0                      Q  0175000N  48          2012</t>
  </si>
  <si>
    <t>New essays on Leibniz reception : in science and philosophy of science 1800-2000 / Ralf Krömer, Yannick Chin-Drian, editors.</t>
  </si>
  <si>
    <t>Basel ; New York ; London : Birkhäuser : Springer, ©2012.</t>
  </si>
  <si>
    <t>Publications des Archives Henri Poincaré = Publications of the Henri Poincaré archives</t>
  </si>
  <si>
    <t>1009275578:eng</t>
  </si>
  <si>
    <t>751836929</t>
  </si>
  <si>
    <t>ocn751836929</t>
  </si>
  <si>
    <t>3103412156V</t>
  </si>
  <si>
    <t>9783034605038</t>
  </si>
  <si>
    <t>794891328</t>
  </si>
  <si>
    <t>Q175 N52x</t>
  </si>
  <si>
    <t>0                      Q  0175000N  52x</t>
  </si>
  <si>
    <t>Herder and the philosophy and history of science / by H.B. Nisbet.</t>
  </si>
  <si>
    <t>Nisbet, H. B. (Hugh Barr)</t>
  </si>
  <si>
    <t>Cambridge [England] : Modern Humanities Research Association, 1970.</t>
  </si>
  <si>
    <t>Dissertation series - Modern Humanities Research Association ; v. 3</t>
  </si>
  <si>
    <t>1543112:eng</t>
  </si>
  <si>
    <t>397046</t>
  </si>
  <si>
    <t>ocm00397046</t>
  </si>
  <si>
    <t>3103020058O</t>
  </si>
  <si>
    <t>9780900547065</t>
  </si>
  <si>
    <t>791364817</t>
  </si>
  <si>
    <t>Q175 N563 2007</t>
  </si>
  <si>
    <t>0                      Q  0175000N  563         2007</t>
  </si>
  <si>
    <t>Theories of scientific method : an introduction / Robert Nola and Howard Sankey.</t>
  </si>
  <si>
    <t>Montréal : McGill-Queen's University Press, c2007.</t>
  </si>
  <si>
    <t>Philosophy and science ; 2</t>
  </si>
  <si>
    <t>287213449:eng</t>
  </si>
  <si>
    <t>144602109</t>
  </si>
  <si>
    <t>ocn144602109</t>
  </si>
  <si>
    <t>3103093894J</t>
  </si>
  <si>
    <t>9780773533448</t>
  </si>
  <si>
    <t>794236465</t>
  </si>
  <si>
    <t>Q175 N594 1997</t>
  </si>
  <si>
    <t>0                      Q  0175000N  594         1997</t>
  </si>
  <si>
    <t>Against relativism : philosophy of science, deconstruction, and critical theory / Christopher Norris.</t>
  </si>
  <si>
    <t>Norris, Christopher, 1947-</t>
  </si>
  <si>
    <t>Malden, Mass. : Blackwell, 1997.</t>
  </si>
  <si>
    <t>2015-09-03</t>
  </si>
  <si>
    <t>309439812:eng</t>
  </si>
  <si>
    <t>36327471</t>
  </si>
  <si>
    <t>ocm36327471</t>
  </si>
  <si>
    <t>3101848730A</t>
  </si>
  <si>
    <t>9780631198642</t>
  </si>
  <si>
    <t>793472639</t>
  </si>
  <si>
    <t>Q175 O454 1989</t>
  </si>
  <si>
    <t>0                      Q  0175000O  454         1989</t>
  </si>
  <si>
    <t>Introduction to the philosophy of science / Anthony O'Hear.</t>
  </si>
  <si>
    <t>O'Hear, Anthony.</t>
  </si>
  <si>
    <t>Oxford : Clarendon Press ; New York : Oxford University Press, 1989.</t>
  </si>
  <si>
    <t>2017-05-06</t>
  </si>
  <si>
    <t>3803347792:eng</t>
  </si>
  <si>
    <t>18496537</t>
  </si>
  <si>
    <t>ocm18496537</t>
  </si>
  <si>
    <t>3100226250M</t>
  </si>
  <si>
    <t>9780198248149</t>
  </si>
  <si>
    <t>793027117</t>
  </si>
  <si>
    <t>Q175 O4555 2016</t>
  </si>
  <si>
    <t>0                      Q  0175000O  4555        2016</t>
  </si>
  <si>
    <t>Philosophy of science : a very short introduction / Samir Okasha.</t>
  </si>
  <si>
    <t>Okasha, Samir, author.</t>
  </si>
  <si>
    <t>Oxford, United Kingdom : Oxford University Press, 2016.</t>
  </si>
  <si>
    <t>Second edition.</t>
  </si>
  <si>
    <t>A Very short introduction ; 67</t>
  </si>
  <si>
    <t>838297489:eng</t>
  </si>
  <si>
    <t>956523682</t>
  </si>
  <si>
    <t>ocn956523682</t>
  </si>
  <si>
    <t>3103657206O</t>
  </si>
  <si>
    <t>9780198745587</t>
  </si>
  <si>
    <t>795020207</t>
  </si>
  <si>
    <t>Q175 O456 2002</t>
  </si>
  <si>
    <t>0                      Q  0175000O  456         2002</t>
  </si>
  <si>
    <t>Okasha, Samir.</t>
  </si>
  <si>
    <t>Very short introductions ; 67</t>
  </si>
  <si>
    <t>2017-09-26</t>
  </si>
  <si>
    <t>48932644</t>
  </si>
  <si>
    <t>ocm48932644</t>
  </si>
  <si>
    <t>3102544750S</t>
  </si>
  <si>
    <t>9780192802835</t>
  </si>
  <si>
    <t>793730770</t>
  </si>
  <si>
    <t>Q175 O477 1988</t>
  </si>
  <si>
    <t>0                      Q  0175000O  477         1988</t>
  </si>
  <si>
    <t>On aesthetics in science / Judith Wechsler, editor.</t>
  </si>
  <si>
    <t>Boston : Birkhäuser, ©1988.</t>
  </si>
  <si>
    <t>Design science collection</t>
  </si>
  <si>
    <t>2016-10-01</t>
  </si>
  <si>
    <t>54204117:eng</t>
  </si>
  <si>
    <t>16832674</t>
  </si>
  <si>
    <t>ocm16832674</t>
  </si>
  <si>
    <t>3000535988V</t>
  </si>
  <si>
    <t>9780817633790</t>
  </si>
  <si>
    <t>792974295</t>
  </si>
  <si>
    <t>Q175 O96 2016</t>
  </si>
  <si>
    <t>0                      Q  0175000O  96          2016</t>
  </si>
  <si>
    <t>The Oxford handbook of philosophy of science / edited by Paul Humphreys ; advisory editors Anjan Chakravartty, Margaret Morrison, Andrea Woody.</t>
  </si>
  <si>
    <t>New York, NY : Oxford University Press, [2016]</t>
  </si>
  <si>
    <t>Oxford handbooks</t>
  </si>
  <si>
    <t>2913815674:eng</t>
  </si>
  <si>
    <t>933596096</t>
  </si>
  <si>
    <t>ocn933596096</t>
  </si>
  <si>
    <t>3103657520I</t>
  </si>
  <si>
    <t>9780199368815</t>
  </si>
  <si>
    <t>795009305</t>
  </si>
  <si>
    <t>Q175 P43 1991</t>
  </si>
  <si>
    <t>0                      Q  0175000P  43          1991</t>
  </si>
  <si>
    <t>Persuading science : the art of scientific rhetoric / Marcello Pera and William R. Shea, editors.</t>
  </si>
  <si>
    <t>Canton, MA : Science History Publications, USA, 1991.</t>
  </si>
  <si>
    <t>889558935:eng</t>
  </si>
  <si>
    <t>23216092</t>
  </si>
  <si>
    <t>ocm23216092</t>
  </si>
  <si>
    <t>3101144972I</t>
  </si>
  <si>
    <t>9780881350715</t>
  </si>
  <si>
    <t>793164781</t>
  </si>
  <si>
    <t>Q175 P51227 2000</t>
  </si>
  <si>
    <t>0                      Q  0175000P  51227       2000</t>
  </si>
  <si>
    <t>The philosophy of science : a collection of essays / [edited with an introduction by Lawrence Sklar].</t>
  </si>
  <si>
    <t>[New York] : Garland, [&lt;2000-&gt;</t>
  </si>
  <si>
    <t>2016-11-30</t>
  </si>
  <si>
    <t>2017-05-24</t>
  </si>
  <si>
    <t>2865222574:eng</t>
  </si>
  <si>
    <t>41991325</t>
  </si>
  <si>
    <t>ocm41991325</t>
  </si>
  <si>
    <t>3103322688B</t>
  </si>
  <si>
    <t>9780815327004</t>
  </si>
  <si>
    <t>793600664</t>
  </si>
  <si>
    <t>3103322600R</t>
  </si>
  <si>
    <t>793600662</t>
  </si>
  <si>
    <t>3103322542M</t>
  </si>
  <si>
    <t>793600665</t>
  </si>
  <si>
    <t>2013-09-23</t>
  </si>
  <si>
    <t>3103322639L</t>
  </si>
  <si>
    <t>793600666</t>
  </si>
  <si>
    <t>3103304748I</t>
  </si>
  <si>
    <t>793600663</t>
  </si>
  <si>
    <t>3103334070I</t>
  </si>
  <si>
    <t>793600667</t>
  </si>
  <si>
    <t>Q175 P5125 1993</t>
  </si>
  <si>
    <t>0                      Q  0175000P  5125        1993</t>
  </si>
  <si>
    <t>Philosophy of science / editors, Peter A. French, Theodore E. Uehling, Jr., Howard K. Wettstein.</t>
  </si>
  <si>
    <t>Notre Dame, Ind. : University of Notre Dame Press, ©1993.</t>
  </si>
  <si>
    <t>Midwest studies in philosophy ; v. 18</t>
  </si>
  <si>
    <t>353302957:eng</t>
  </si>
  <si>
    <t>28183777</t>
  </si>
  <si>
    <t>ocm28183777</t>
  </si>
  <si>
    <t>3101257902B</t>
  </si>
  <si>
    <t>9780268014063</t>
  </si>
  <si>
    <t>793282070</t>
  </si>
  <si>
    <t>Q175 P5129 1998</t>
  </si>
  <si>
    <t>0                      Q  0175000P  5129        1998</t>
  </si>
  <si>
    <t>Philosophy of science : the central issues / Martin Curd, J.A. Cover, [editors].</t>
  </si>
  <si>
    <t>New York : W.W. Norton &amp; Co., ©1998.</t>
  </si>
  <si>
    <t>2019-02-04</t>
  </si>
  <si>
    <t>837023360:eng</t>
  </si>
  <si>
    <t>37955435</t>
  </si>
  <si>
    <t>ocm37955435</t>
  </si>
  <si>
    <t>3102797558M</t>
  </si>
  <si>
    <t>9780393971750</t>
  </si>
  <si>
    <t>793511222</t>
  </si>
  <si>
    <t>Q175 P51295 2012</t>
  </si>
  <si>
    <t>0                      Q  0175000P  51295       2012</t>
  </si>
  <si>
    <t>Philosophy of science : the key thinkers / edited by James Robert Brown.</t>
  </si>
  <si>
    <t>London ; New York : Continuum, ©2012.</t>
  </si>
  <si>
    <t>Continuum key thinkers</t>
  </si>
  <si>
    <t>520100176:eng</t>
  </si>
  <si>
    <t>648934496</t>
  </si>
  <si>
    <t>ocn648934496</t>
  </si>
  <si>
    <t>31034290385</t>
  </si>
  <si>
    <t>9781441128812</t>
  </si>
  <si>
    <t>794831498</t>
  </si>
  <si>
    <t>Q175 P57 1933</t>
  </si>
  <si>
    <t>0                      Q  0175000P  57          1933</t>
  </si>
  <si>
    <t>Where is science going? / Max Planck ; with a preface by Albert Einstein ; translated and edited by James Murphy.</t>
  </si>
  <si>
    <t>Planck, Max, 1858-1947.</t>
  </si>
  <si>
    <t>London : Allen &amp; Unwin, 1933.</t>
  </si>
  <si>
    <t>1933</t>
  </si>
  <si>
    <t>2840529754:eng</t>
  </si>
  <si>
    <t>1883655</t>
  </si>
  <si>
    <t>ocm01883655</t>
  </si>
  <si>
    <t>3103644371U</t>
  </si>
  <si>
    <t>792005553</t>
  </si>
  <si>
    <t>2019-05-28</t>
  </si>
  <si>
    <t>3000375178J</t>
  </si>
  <si>
    <t>792005552</t>
  </si>
  <si>
    <t>Q175 P743 1930</t>
  </si>
  <si>
    <t>0                      Q  0175000P  743         1930</t>
  </si>
  <si>
    <t>Science et méthode / par H. Poincaré.</t>
  </si>
  <si>
    <t>Poincaré, Henri, 1854-1912.</t>
  </si>
  <si>
    <t>Paris : E. Flammarion, 1930.</t>
  </si>
  <si>
    <t>Bibliothèque de philosophie scientifique.</t>
  </si>
  <si>
    <t>145692:fre</t>
  </si>
  <si>
    <t>28533119</t>
  </si>
  <si>
    <t>ocm28533119</t>
  </si>
  <si>
    <t>3000662955$</t>
  </si>
  <si>
    <t>793290283</t>
  </si>
  <si>
    <t>Q175 P75 1952</t>
  </si>
  <si>
    <t>0                      Q  0175000P  75          1952</t>
  </si>
  <si>
    <t>Science and hypothesis; with a pref. by J. Larmor.</t>
  </si>
  <si>
    <t>New York] Dover Publications [1952]</t>
  </si>
  <si>
    <t>[Paperbound student's ed.</t>
  </si>
  <si>
    <t>2019-01-25</t>
  </si>
  <si>
    <t>8596487:eng</t>
  </si>
  <si>
    <t>522302</t>
  </si>
  <si>
    <t>ocm00522302</t>
  </si>
  <si>
    <t>31002208689</t>
  </si>
  <si>
    <t>791402473</t>
  </si>
  <si>
    <t>2017-07-12</t>
  </si>
  <si>
    <t>31036010660</t>
  </si>
  <si>
    <t>791402472</t>
  </si>
  <si>
    <t>Q175 P763 1952</t>
  </si>
  <si>
    <t>0                      Q  0175000P  763         1952</t>
  </si>
  <si>
    <t>Science and method / translated by Francis Maitland. With a pref. by Bertrand Russell.</t>
  </si>
  <si>
    <t>2016-12-22</t>
  </si>
  <si>
    <t>145692:eng</t>
  </si>
  <si>
    <t>544971</t>
  </si>
  <si>
    <t>ocm00544971</t>
  </si>
  <si>
    <t>3000540650D</t>
  </si>
  <si>
    <t>791409768</t>
  </si>
  <si>
    <t>Q175 P783 1958</t>
  </si>
  <si>
    <t>0                      Q  0175000P  783         1958</t>
  </si>
  <si>
    <t>The value of science. Authorized translation with an introd. by George Bruce Halsted, with a special prefatory essay.</t>
  </si>
  <si>
    <t>8596387:eng</t>
  </si>
  <si>
    <t>1409452</t>
  </si>
  <si>
    <t>ocm01409452</t>
  </si>
  <si>
    <t>3100220866D</t>
  </si>
  <si>
    <t>791620030</t>
  </si>
  <si>
    <t>Q175 P82</t>
  </si>
  <si>
    <t>0                      Q  0175000P  82</t>
  </si>
  <si>
    <t>Personal knowledge; towards a post-critical philosophy.</t>
  </si>
  <si>
    <t>Polanyi, Michael, 1891-1976.</t>
  </si>
  <si>
    <t>Chicago, University of Chicago Press [1958]</t>
  </si>
  <si>
    <t>117893802:eng</t>
  </si>
  <si>
    <t>522303</t>
  </si>
  <si>
    <t>ocm00522303</t>
  </si>
  <si>
    <t>3102802014U</t>
  </si>
  <si>
    <t>791402475</t>
  </si>
  <si>
    <t>Q175 P82 1958</t>
  </si>
  <si>
    <t>0                      Q  0175000P  82          1958</t>
  </si>
  <si>
    <t>3103068962H</t>
  </si>
  <si>
    <t>791402474</t>
  </si>
  <si>
    <t>Q175 P82 1964</t>
  </si>
  <si>
    <t>0                      Q  0175000P  82          1964</t>
  </si>
  <si>
    <t>Personal knowledge : towards a post-critical philosophy / by Michael Polanyi.</t>
  </si>
  <si>
    <t>New York : Harper &amp; Row, 1964.</t>
  </si>
  <si>
    <t>Harper Torchbooks/Academy library ; TB 1158</t>
  </si>
  <si>
    <t>2015-10-28</t>
  </si>
  <si>
    <t>2019-11-04</t>
  </si>
  <si>
    <t>229048</t>
  </si>
  <si>
    <t>ocm00229048</t>
  </si>
  <si>
    <t>3100522945N</t>
  </si>
  <si>
    <t>791301208</t>
  </si>
  <si>
    <t>3103452930S</t>
  </si>
  <si>
    <t>791301207</t>
  </si>
  <si>
    <t>Q175 P863</t>
  </si>
  <si>
    <t>0                      Q  0175000P  863</t>
  </si>
  <si>
    <t>The Logic of Scientific Discovery / Karl R. Popper.</t>
  </si>
  <si>
    <t>Popper, Karl R. (Karl Raimund), 1902-1994.</t>
  </si>
  <si>
    <t>New York : Basic Books, Inc., [1959]</t>
  </si>
  <si>
    <t>2016-09-24</t>
  </si>
  <si>
    <t>2016-12-21</t>
  </si>
  <si>
    <t>4918117308:eng</t>
  </si>
  <si>
    <t>293358</t>
  </si>
  <si>
    <t>ocm00293358</t>
  </si>
  <si>
    <t>31028244022</t>
  </si>
  <si>
    <t>9780061305764</t>
  </si>
  <si>
    <t>791326629</t>
  </si>
  <si>
    <t>3102794837T</t>
  </si>
  <si>
    <t>791326628</t>
  </si>
  <si>
    <t>Q175 P863 1959</t>
  </si>
  <si>
    <t>0                      Q  0175000P  863         1959</t>
  </si>
  <si>
    <t>The logic of scientific discovery / Karl R. Popper.</t>
  </si>
  <si>
    <t>London : Hutchinson, 1959.</t>
  </si>
  <si>
    <t>ISSR Library</t>
  </si>
  <si>
    <t>5089675</t>
  </si>
  <si>
    <t>ocm05089675</t>
  </si>
  <si>
    <t>3103004872R</t>
  </si>
  <si>
    <t>9780091117207</t>
  </si>
  <si>
    <t>792406704</t>
  </si>
  <si>
    <t>Q175 P8633 1994</t>
  </si>
  <si>
    <t>0                      Q  0175000P  8633        1994</t>
  </si>
  <si>
    <t>The myth of the framework : in defence of science and rationality / Karl Popper ; edited by M.A. Notturno.</t>
  </si>
  <si>
    <t>London ; New York : Routledge, 1994.</t>
  </si>
  <si>
    <t>2018-05-17</t>
  </si>
  <si>
    <t>113279993:eng</t>
  </si>
  <si>
    <t>30156902</t>
  </si>
  <si>
    <t>ocm30156902</t>
  </si>
  <si>
    <t>31029984667</t>
  </si>
  <si>
    <t>9780415113205</t>
  </si>
  <si>
    <t>793331125</t>
  </si>
  <si>
    <t>Q175 P864</t>
  </si>
  <si>
    <t>0                      Q  0175000P  864</t>
  </si>
  <si>
    <t>The open universe : an argument for indeterminism / Karl R. Popper.</t>
  </si>
  <si>
    <t>Totowa, N.J. : Rowman and Littlefield, ©1982.</t>
  </si>
  <si>
    <t>The Postscript to The logic of scientific discovery / as edited by W.W. Bartley, III</t>
  </si>
  <si>
    <t>2017-07-10</t>
  </si>
  <si>
    <t>196686343:eng</t>
  </si>
  <si>
    <t>7573383</t>
  </si>
  <si>
    <t>ocm07573383</t>
  </si>
  <si>
    <t>3103225266L</t>
  </si>
  <si>
    <t>9780847670161</t>
  </si>
  <si>
    <t>792566851</t>
  </si>
  <si>
    <t>Q175 P8643 1983</t>
  </si>
  <si>
    <t>0                      Q  0175000P  8643        1983</t>
  </si>
  <si>
    <t>Realism and the aim of science / Karl R. Popper.</t>
  </si>
  <si>
    <t>Totowa, N.J. : Rowman and Littlefield, 1983.</t>
  </si>
  <si>
    <t>The Postscript to The logic of scientific discovery / edited by W.W. Bartley, III</t>
  </si>
  <si>
    <t>2014-10-14</t>
  </si>
  <si>
    <t>2019-11-07</t>
  </si>
  <si>
    <t>116919711:eng</t>
  </si>
  <si>
    <t>8195046</t>
  </si>
  <si>
    <t>ocm08195046</t>
  </si>
  <si>
    <t>3000338198M</t>
  </si>
  <si>
    <t>9780847670154</t>
  </si>
  <si>
    <t>792604773</t>
  </si>
  <si>
    <t>Q175 P868 1984</t>
  </si>
  <si>
    <t>0                      Q  0175000P  868         1984</t>
  </si>
  <si>
    <t>Order out of chaos : man's new dialogue with nature / Ilya Prigogine and Isabelle Stengers ; foreword by Alvin Toffler.</t>
  </si>
  <si>
    <t>Prigogine, I. (Ilya)</t>
  </si>
  <si>
    <t>Toronto ; New York, N.Y. : Bantam Books, 1984.</t>
  </si>
  <si>
    <t>2019-01-30</t>
  </si>
  <si>
    <t>28584047:eng</t>
  </si>
  <si>
    <t>10146336</t>
  </si>
  <si>
    <t>ocm10146336</t>
  </si>
  <si>
    <t>3103217556B</t>
  </si>
  <si>
    <t>9780553340822</t>
  </si>
  <si>
    <t>792711324</t>
  </si>
  <si>
    <t>Q175 R15513 1988</t>
  </si>
  <si>
    <t>0                      Q  0175000R  15513       1988</t>
  </si>
  <si>
    <t>The material realization of science : a philosophical view on the experimental natural sciences, developed in discussion with Haberman / by Hans Radder.</t>
  </si>
  <si>
    <t>Radder, Hans.</t>
  </si>
  <si>
    <t>Assen/Maastricht, the Netherlands : Van Gorcum, ©1988.</t>
  </si>
  <si>
    <t>2016-05-20</t>
  </si>
  <si>
    <t>3372561472:eng</t>
  </si>
  <si>
    <t>20178704</t>
  </si>
  <si>
    <t>ocm20178704</t>
  </si>
  <si>
    <t>31009475760</t>
  </si>
  <si>
    <t>9789023223993</t>
  </si>
  <si>
    <t>793080267</t>
  </si>
  <si>
    <t>Q175 R17 1968</t>
  </si>
  <si>
    <t>0                      Q  0175000R  17          1968</t>
  </si>
  <si>
    <t>Anglo-Saxon schools of metascience.</t>
  </si>
  <si>
    <t>Radnitzky, Gerard.</t>
  </si>
  <si>
    <t>Göteborg, Akademiförlaget [1968]</t>
  </si>
  <si>
    <t>His Contemporary schools of metascience, 1</t>
  </si>
  <si>
    <t>2015-08-05</t>
  </si>
  <si>
    <t>9490116486:eng</t>
  </si>
  <si>
    <t>82394105</t>
  </si>
  <si>
    <t>ocm82394105</t>
  </si>
  <si>
    <t>3103299835W</t>
  </si>
  <si>
    <t>794205838</t>
  </si>
  <si>
    <t>Q175 R22 1968</t>
  </si>
  <si>
    <t>0                      Q  0175000R  22          1968</t>
  </si>
  <si>
    <t>Contemporary schools of metascience.</t>
  </si>
  <si>
    <t>Göteborg, Akademiförlaget/Gumpert, 1968.</t>
  </si>
  <si>
    <t>Studies in the theory of science, 2, 3</t>
  </si>
  <si>
    <t>1184558:eng</t>
  </si>
  <si>
    <t>194349</t>
  </si>
  <si>
    <t>ocm00194349</t>
  </si>
  <si>
    <t>3101270096Z</t>
  </si>
  <si>
    <t>791290265</t>
  </si>
  <si>
    <t>Q175 R3</t>
  </si>
  <si>
    <t>0                      Q  0175000R  3</t>
  </si>
  <si>
    <t>Scientific knowledge and its social problems [by] Jerome R. Ravetz.</t>
  </si>
  <si>
    <t>Ravetz, Jerome R.</t>
  </si>
  <si>
    <t>Oxford, Clarendon Press, 1971.</t>
  </si>
  <si>
    <t>2017-12-12</t>
  </si>
  <si>
    <t>415325:eng</t>
  </si>
  <si>
    <t>226477</t>
  </si>
  <si>
    <t>ocm00226477</t>
  </si>
  <si>
    <t>3000499688V</t>
  </si>
  <si>
    <t>9780198272137</t>
  </si>
  <si>
    <t>791300226</t>
  </si>
  <si>
    <t>Q175 R463</t>
  </si>
  <si>
    <t>0                      Q  0175000R  463</t>
  </si>
  <si>
    <t>Science and history; a critique of positivist epistemology. Translated from the German by George Reisman. Edited by Arthur Goddard.</t>
  </si>
  <si>
    <t>Rickert, Heinrich, 1863-1936.</t>
  </si>
  <si>
    <t>Princeton, N.J., Van Nostrand [1962]</t>
  </si>
  <si>
    <t>The William Volker Fund series in the humane studies</t>
  </si>
  <si>
    <t>2016-01-09</t>
  </si>
  <si>
    <t>4495053915:eng</t>
  </si>
  <si>
    <t>812253</t>
  </si>
  <si>
    <t>ocm00812253</t>
  </si>
  <si>
    <t>31002223501</t>
  </si>
  <si>
    <t>791476177</t>
  </si>
  <si>
    <t>Q175 R523</t>
  </si>
  <si>
    <t>0                      Q  0175000R  523</t>
  </si>
  <si>
    <t>The nature of science and science teaching [by] James T. Robinson.</t>
  </si>
  <si>
    <t>Robinson, James T. (James Temple), 1923-</t>
  </si>
  <si>
    <t>Belmont, Calif., Wadsworth Pub. Co. [1968]</t>
  </si>
  <si>
    <t>Wadsworth guides to science teaching</t>
  </si>
  <si>
    <t>2016-11-24</t>
  </si>
  <si>
    <t>1567538:eng</t>
  </si>
  <si>
    <t>440979</t>
  </si>
  <si>
    <t>ocm00440979</t>
  </si>
  <si>
    <t>3001044165R</t>
  </si>
  <si>
    <t>791379383</t>
  </si>
  <si>
    <t>Q175 R546 1989</t>
  </si>
  <si>
    <t>0                      Q  0175000R  546         1989</t>
  </si>
  <si>
    <t>Discovering / Robert Scott Root-Bernstein.</t>
  </si>
  <si>
    <t>Root-Bernstein, Robert Scott.</t>
  </si>
  <si>
    <t>582927:eng</t>
  </si>
  <si>
    <t>19067658</t>
  </si>
  <si>
    <t>ocm19067658</t>
  </si>
  <si>
    <t>3100418527O</t>
  </si>
  <si>
    <t>9780674211759</t>
  </si>
  <si>
    <t>793045920</t>
  </si>
  <si>
    <t>Q175 R55</t>
  </si>
  <si>
    <t>0                      Q  0175000R  55</t>
  </si>
  <si>
    <t>Mind and brain : a philosophy of science / by Arturo Rosenblueth.</t>
  </si>
  <si>
    <t>Rosenblueth, Arturo, 1900-1970.</t>
  </si>
  <si>
    <t>Cambridge, Massachusetts : The MIT Press, [1970]</t>
  </si>
  <si>
    <t>2015-09-22</t>
  </si>
  <si>
    <t>973366195:eng</t>
  </si>
  <si>
    <t>55253</t>
  </si>
  <si>
    <t>ocm00055253</t>
  </si>
  <si>
    <t>3000555225Y</t>
  </si>
  <si>
    <t>9780262180412</t>
  </si>
  <si>
    <t>791241098</t>
  </si>
  <si>
    <t>Q175 R5547 1991</t>
  </si>
  <si>
    <t>0                      Q  0175000R  5547        1991</t>
  </si>
  <si>
    <t>Strange weather : culture, science, and technology in the age of limits / Andrew Ross.</t>
  </si>
  <si>
    <t>Ross, Andrew, 1956-</t>
  </si>
  <si>
    <t>London ; New York : Verso, 1991.</t>
  </si>
  <si>
    <t>The Haymarket series</t>
  </si>
  <si>
    <t>836879344:eng</t>
  </si>
  <si>
    <t>23975531</t>
  </si>
  <si>
    <t>ocm23975531</t>
  </si>
  <si>
    <t>3101137239Z</t>
  </si>
  <si>
    <t>9780860913542</t>
  </si>
  <si>
    <t>793186537</t>
  </si>
  <si>
    <t>Q175 R567 1987</t>
  </si>
  <si>
    <t>0                      Q  0175000R  567         1987</t>
  </si>
  <si>
    <t>Knowledge and power : toward a political philosophy of science / Joseph Rouse.</t>
  </si>
  <si>
    <t>Rouse, Joseph, 1952-</t>
  </si>
  <si>
    <t>Ithaca : Cornell University Press, 1987.</t>
  </si>
  <si>
    <t>2019-11-22</t>
  </si>
  <si>
    <t>9855180:eng</t>
  </si>
  <si>
    <t>15654523</t>
  </si>
  <si>
    <t>ocm15654523</t>
  </si>
  <si>
    <t>3101163010W</t>
  </si>
  <si>
    <t>9780801419591</t>
  </si>
  <si>
    <t>792938386</t>
  </si>
  <si>
    <t>Q175 R86 1953</t>
  </si>
  <si>
    <t>0                      Q  0175000R  86          1953</t>
  </si>
  <si>
    <t>The impact of science on society.</t>
  </si>
  <si>
    <t>New York, Simon and Schuster, 1953 [i.e. 1952]</t>
  </si>
  <si>
    <t>1352256:eng</t>
  </si>
  <si>
    <t>457162</t>
  </si>
  <si>
    <t>ocm00457162</t>
  </si>
  <si>
    <t>3000839603$</t>
  </si>
  <si>
    <t>791383331</t>
  </si>
  <si>
    <t>Q175 S2342</t>
  </si>
  <si>
    <t>0                      Q  0175000S  2342</t>
  </si>
  <si>
    <t>Statistical explanation &amp; statistical relevance [by] Wesley C. Salmon, with contributions by Richard C. Jeffrey and James G. Greeno.</t>
  </si>
  <si>
    <t>Salmon, Wesley C.</t>
  </si>
  <si>
    <t>[Pittsburgh] University of Pittsburgh Press [1971]</t>
  </si>
  <si>
    <t>Pitt paperback ; 69</t>
  </si>
  <si>
    <t>488119:eng</t>
  </si>
  <si>
    <t>238806</t>
  </si>
  <si>
    <t>ocm00238806</t>
  </si>
  <si>
    <t>3000555973W</t>
  </si>
  <si>
    <t>9780822952251</t>
  </si>
  <si>
    <t>791305196</t>
  </si>
  <si>
    <t>Q175 S35 1984</t>
  </si>
  <si>
    <t>0                      Q  0175000S  35          1984</t>
  </si>
  <si>
    <t>Scientific explanation and the causal structure of the world / Wesley C. Salmon.</t>
  </si>
  <si>
    <t>Princeton, N.J. : Princeton University Press, ©1984.</t>
  </si>
  <si>
    <t>3382753:eng</t>
  </si>
  <si>
    <t>10724454</t>
  </si>
  <si>
    <t>ocm10724454</t>
  </si>
  <si>
    <t>3102802880T</t>
  </si>
  <si>
    <t>9780691072937</t>
  </si>
  <si>
    <t>792739609</t>
  </si>
  <si>
    <t>Q175 S356 1994</t>
  </si>
  <si>
    <t>0                      Q  0175000S  356         1994</t>
  </si>
  <si>
    <t>Durkheim's philosophy of science and the sociology of knowledge : creating an intellectual niche / Warren Schmaus.</t>
  </si>
  <si>
    <t>Schmaus, Warren.</t>
  </si>
  <si>
    <t>Chicago : University of Chicago Press, 1994.</t>
  </si>
  <si>
    <t>2016-08-01</t>
  </si>
  <si>
    <t>807011825:eng</t>
  </si>
  <si>
    <t>28587164</t>
  </si>
  <si>
    <t>ocm28587164</t>
  </si>
  <si>
    <t>3101459804O</t>
  </si>
  <si>
    <t>9780226742519</t>
  </si>
  <si>
    <t>793291598</t>
  </si>
  <si>
    <t>Q175 S4144 2012</t>
  </si>
  <si>
    <t>0                      Q  0175000S  4144        2012</t>
  </si>
  <si>
    <t>Interpretive research design : concepts and processes / Peregrine Schwartz-Shea and Dvora Yanow.</t>
  </si>
  <si>
    <t>Schwartz-Shea, Peregrine, 1955-</t>
  </si>
  <si>
    <t>New York, NY : Routledge, 2012.</t>
  </si>
  <si>
    <t>Routledge series on interpretive methods</t>
  </si>
  <si>
    <t>1083098432:eng</t>
  </si>
  <si>
    <t>495781667</t>
  </si>
  <si>
    <t>ocn495781667</t>
  </si>
  <si>
    <t>31034055994</t>
  </si>
  <si>
    <t>9780415878074</t>
  </si>
  <si>
    <t>794802052</t>
  </si>
  <si>
    <t>Q175 S4172 2003</t>
  </si>
  <si>
    <t>0                      Q  0175000S  4172        2003</t>
  </si>
  <si>
    <t>Science and other cultures : issues in philosophies of science and technology / edited by Robert Figueroa and Sandra Harding.</t>
  </si>
  <si>
    <t>New York : Routledge, 2003.</t>
  </si>
  <si>
    <t>364477313:eng</t>
  </si>
  <si>
    <t>52116486</t>
  </si>
  <si>
    <t>ocm52116486</t>
  </si>
  <si>
    <t>3102923382O</t>
  </si>
  <si>
    <t>9780415939911</t>
  </si>
  <si>
    <t>793798718</t>
  </si>
  <si>
    <t>Q175 S4175 1982</t>
  </si>
  <si>
    <t>0                      Q  0175000S  4175        1982</t>
  </si>
  <si>
    <t>Science and speculation : studies in Hellenistic theory and practice / edited by Jonathan Barnes [and others].</t>
  </si>
  <si>
    <t>Cambridge ; New York : Cambridge University Press ; Paris : Editions de la maison des sciences de l'homme, 1982.</t>
  </si>
  <si>
    <t>2016-03-14</t>
  </si>
  <si>
    <t>863760428:eng</t>
  </si>
  <si>
    <t>8283698</t>
  </si>
  <si>
    <t>ocm08283698</t>
  </si>
  <si>
    <t>30003393217</t>
  </si>
  <si>
    <t>9780521246897</t>
  </si>
  <si>
    <t>792609904</t>
  </si>
  <si>
    <t>Q175 S5554 2017</t>
  </si>
  <si>
    <t>0                      Q  0175000S  5554        2017</t>
  </si>
  <si>
    <t>Exact thinking in demented times : the Vienna Circle and the epic quest for the foundations of science / Karl Sigmund.</t>
  </si>
  <si>
    <t>Sigmund, Karl, 1945- author.</t>
  </si>
  <si>
    <t>New York, NY : Basic Books, [2017]</t>
  </si>
  <si>
    <t>First United States edition.</t>
  </si>
  <si>
    <t>2018-07-14</t>
  </si>
  <si>
    <t>4660993423:eng</t>
  </si>
  <si>
    <t>982093619</t>
  </si>
  <si>
    <t>ocn982093619</t>
  </si>
  <si>
    <t>3103740082D</t>
  </si>
  <si>
    <t>9780465096954</t>
  </si>
  <si>
    <t>795034303</t>
  </si>
  <si>
    <t>Q175 S56</t>
  </si>
  <si>
    <t>0                      Q  0175000S  56</t>
  </si>
  <si>
    <t>La nature et la portée de la méthode scientifique; exposé et textes choisis de philosophie des sciences. Préf. de Alphonse-Marie Parent. Dessin de René Thibault.</t>
  </si>
  <si>
    <t>Simard, Émile.</t>
  </si>
  <si>
    <t>Québec, Presses universitaires Laval, 1956.</t>
  </si>
  <si>
    <t>2015-09-30</t>
  </si>
  <si>
    <t>365796253:fre</t>
  </si>
  <si>
    <t>1899864</t>
  </si>
  <si>
    <t>ocm01899864</t>
  </si>
  <si>
    <t>30006907096</t>
  </si>
  <si>
    <t>792007919</t>
  </si>
  <si>
    <t>Q175 S564</t>
  </si>
  <si>
    <t>0                      Q  0175000S  564</t>
  </si>
  <si>
    <t>The sciences of the artificial, by Herbert A. Simon.</t>
  </si>
  <si>
    <t>Simon, Herbert A. (Herbert Alexander), 1916-2001.</t>
  </si>
  <si>
    <t>[Cambridge] [M.I.T. Press], [1969]</t>
  </si>
  <si>
    <t>Karl Taylor Compton lectures, 1968</t>
  </si>
  <si>
    <t>2018-08-29</t>
  </si>
  <si>
    <t>67687952:eng</t>
  </si>
  <si>
    <t>4087</t>
  </si>
  <si>
    <t>ocm00004087</t>
  </si>
  <si>
    <t>3000200324Y</t>
  </si>
  <si>
    <t>9780262190510</t>
  </si>
  <si>
    <t>791225201</t>
  </si>
  <si>
    <t>3000991546J</t>
  </si>
  <si>
    <t>791225202</t>
  </si>
  <si>
    <t>Q175 S564 1981</t>
  </si>
  <si>
    <t>0                      Q  0175000S  564         1981</t>
  </si>
  <si>
    <t>The sciences of the artificial / Herbert A. Simon.</t>
  </si>
  <si>
    <t>Cambridge, Mass. : MIT Press, ©1981.</t>
  </si>
  <si>
    <t>2d ed., rev. and enl.</t>
  </si>
  <si>
    <t>7206325</t>
  </si>
  <si>
    <t>ocm07206325</t>
  </si>
  <si>
    <t>30003532950</t>
  </si>
  <si>
    <t>9780262191937</t>
  </si>
  <si>
    <t>792546325</t>
  </si>
  <si>
    <t>Q175 S5734 2004</t>
  </si>
  <si>
    <t>0                      Q  0175000S  5734        2004</t>
  </si>
  <si>
    <t>An introduction to science and technology studies / Sergio Sismondo.</t>
  </si>
  <si>
    <t>Sismondo, Sergio.</t>
  </si>
  <si>
    <t>Malden, MA : Blackwell Pub., 2004.</t>
  </si>
  <si>
    <t>2019-08-20</t>
  </si>
  <si>
    <t>721612:eng</t>
  </si>
  <si>
    <t>50866939</t>
  </si>
  <si>
    <t>ocm50866939</t>
  </si>
  <si>
    <t>3103308205P</t>
  </si>
  <si>
    <t>9780631234432</t>
  </si>
  <si>
    <t>793774395</t>
  </si>
  <si>
    <t>Q175 S735 2014</t>
  </si>
  <si>
    <t>0                      Q  0175000S  735         2014</t>
  </si>
  <si>
    <t>An introduction to the philosophy of science / Kent W. Staley, Saint Louis University, Missouri.</t>
  </si>
  <si>
    <t>Staley, Kent W. (Kent Wade), 1963- author.</t>
  </si>
  <si>
    <t>Cambridge ; New York : Cambridge University Press, 2014.</t>
  </si>
  <si>
    <t>Cambridge introductions to philosophy</t>
  </si>
  <si>
    <t>2019-07-02</t>
  </si>
  <si>
    <t>1924885546:eng</t>
  </si>
  <si>
    <t>878953555</t>
  </si>
  <si>
    <t>ocn878953555</t>
  </si>
  <si>
    <t>3103710191Q</t>
  </si>
  <si>
    <t>9780521112499</t>
  </si>
  <si>
    <t>794971681</t>
  </si>
  <si>
    <t>3103710185L</t>
  </si>
  <si>
    <t>794971680</t>
  </si>
  <si>
    <t>Q175 S764</t>
  </si>
  <si>
    <t>0                      Q  0175000S  764</t>
  </si>
  <si>
    <t>The structuralist view of theories : a possible analogue of the Bourbaki programme in physical science / Wolfgang Stegmüller.</t>
  </si>
  <si>
    <t>Stegmüller, Wolfgang.</t>
  </si>
  <si>
    <t>Berlin ; New York : Springer-Verlag, 1979.</t>
  </si>
  <si>
    <t>2016-03-04</t>
  </si>
  <si>
    <t>15207401:eng</t>
  </si>
  <si>
    <t>5029361</t>
  </si>
  <si>
    <t>ocm05029361</t>
  </si>
  <si>
    <t>3000300087F</t>
  </si>
  <si>
    <t>9780387094601</t>
  </si>
  <si>
    <t>792402645</t>
  </si>
  <si>
    <t>Q175 T486 1990</t>
  </si>
  <si>
    <t>0                      Q  0175000T  486         1990</t>
  </si>
  <si>
    <t>Theories of science in society / Susan E. Cozzens and Thomas F. Gieryn, editors.</t>
  </si>
  <si>
    <t>Bloomington : Indiana University Press, ©1990.</t>
  </si>
  <si>
    <t>2015-02-04</t>
  </si>
  <si>
    <t>351297909:eng</t>
  </si>
  <si>
    <t>20561574</t>
  </si>
  <si>
    <t>ocm20561574</t>
  </si>
  <si>
    <t>3100880387L</t>
  </si>
  <si>
    <t>9780253314710</t>
  </si>
  <si>
    <t>793091446</t>
  </si>
  <si>
    <t>Q175 T64 1961a</t>
  </si>
  <si>
    <t>0                      Q  0175000T  64          1961a</t>
  </si>
  <si>
    <t>Foresight and understanding : an enquiry into the aims of science / Stephen Toulmin ; Foreword by Jacques Barzun.</t>
  </si>
  <si>
    <t>London : Hutchinson, ©1961.</t>
  </si>
  <si>
    <t>Nuffield Foundation Unit for the history of ideas</t>
  </si>
  <si>
    <t>2015-03-16</t>
  </si>
  <si>
    <t>375109594:eng</t>
  </si>
  <si>
    <t>2528042</t>
  </si>
  <si>
    <t>ocm02528042</t>
  </si>
  <si>
    <t>3000658004S</t>
  </si>
  <si>
    <t>792139666</t>
  </si>
  <si>
    <t>Q175 V335 1980</t>
  </si>
  <si>
    <t>0                      Q  0175000V  335         1980</t>
  </si>
  <si>
    <t>The scientific image / Bas C. van Fraassen.</t>
  </si>
  <si>
    <t>Van Fraassen, Bas C., 1941-</t>
  </si>
  <si>
    <t>Oxford : Clarendon Press ; New York : Oxford University Press, 1980.</t>
  </si>
  <si>
    <t>Clarendon library of logic and philosophy</t>
  </si>
  <si>
    <t>571257:eng</t>
  </si>
  <si>
    <t>5942907</t>
  </si>
  <si>
    <t>ocm05942907</t>
  </si>
  <si>
    <t>3101888128Y</t>
  </si>
  <si>
    <t>9780198244240</t>
  </si>
  <si>
    <t>792465381</t>
  </si>
  <si>
    <t>Q175 W4</t>
  </si>
  <si>
    <t>0                      Q  0175000W  4</t>
  </si>
  <si>
    <t>A philosophy of science [by] W.H. Werkmeister ...</t>
  </si>
  <si>
    <t>Werkmeister, W. H. (William Henry), 1901-1993.</t>
  </si>
  <si>
    <t>New York, London, Harper &amp; Brothers [©1940]</t>
  </si>
  <si>
    <t>2018-04-29</t>
  </si>
  <si>
    <t>1521142:eng</t>
  </si>
  <si>
    <t>8082764</t>
  </si>
  <si>
    <t>ocm08082764</t>
  </si>
  <si>
    <t>3000350491F</t>
  </si>
  <si>
    <t>792597270</t>
  </si>
  <si>
    <t>Q175 W4 1940</t>
  </si>
  <si>
    <t>0                      Q  0175000W  4           1940</t>
  </si>
  <si>
    <t>3000555750F</t>
  </si>
  <si>
    <t>792597272</t>
  </si>
  <si>
    <t>Q175 W512</t>
  </si>
  <si>
    <t>0                      Q  0175000W  512</t>
  </si>
  <si>
    <t>The nature and origins of scientism / by John Wellmuth, S.J.</t>
  </si>
  <si>
    <t>Wellmuth, John James, author.</t>
  </si>
  <si>
    <t>Milwaukee : Marquette University Press, 1944.</t>
  </si>
  <si>
    <t>The Aquinas lecture ; 1944</t>
  </si>
  <si>
    <t>642662:eng</t>
  </si>
  <si>
    <t>260850</t>
  </si>
  <si>
    <t>ocm00260850</t>
  </si>
  <si>
    <t>30011626284</t>
  </si>
  <si>
    <t>791313857</t>
  </si>
  <si>
    <t>Q175 W53 1912</t>
  </si>
  <si>
    <t>0                      Q  0175000W  53          1912</t>
  </si>
  <si>
    <t>Scientific method, its philosophy, and its practice.</t>
  </si>
  <si>
    <t>Westaway, F. W. (Frederic William)</t>
  </si>
  <si>
    <t>London : [publisher not identified], 1912.</t>
  </si>
  <si>
    <t>1912</t>
  </si>
  <si>
    <t>3901710942:eng</t>
  </si>
  <si>
    <t>427558868</t>
  </si>
  <si>
    <t>ocn427558868</t>
  </si>
  <si>
    <t>30006582456</t>
  </si>
  <si>
    <t>794685775</t>
  </si>
  <si>
    <t>Q175 W53 1968</t>
  </si>
  <si>
    <t>0                      Q  0175000W  53          1968</t>
  </si>
  <si>
    <t>Scientific method; its philosophy and its practice ...</t>
  </si>
  <si>
    <t>London, Blackie &amp; Son, Ltd., 1219.[], [Cleveland] : [Bell &amp; Howell], [1968?]</t>
  </si>
  <si>
    <t>427860729</t>
  </si>
  <si>
    <t>ocn427860729</t>
  </si>
  <si>
    <t>30005552320</t>
  </si>
  <si>
    <t>794704058</t>
  </si>
  <si>
    <t>Q175 W55 1847</t>
  </si>
  <si>
    <t>0                      Q  0175000W  55          1847</t>
  </si>
  <si>
    <t>The philosophy of the inductive sciences.</t>
  </si>
  <si>
    <t>London : J.W. Parker, 1847.</t>
  </si>
  <si>
    <t>1847</t>
  </si>
  <si>
    <t>New ed.</t>
  </si>
  <si>
    <t>4797785065:eng</t>
  </si>
  <si>
    <t>427303481</t>
  </si>
  <si>
    <t>ocn427303481</t>
  </si>
  <si>
    <t>3000806485C</t>
  </si>
  <si>
    <t>794575469</t>
  </si>
  <si>
    <t>Q175 W58 1930</t>
  </si>
  <si>
    <t>0                      Q  0175000W  58          1930</t>
  </si>
  <si>
    <t>The concept of nature : Tarner lectures delivered in Trinity College, November 1919 / by Alfred North Whitehead.</t>
  </si>
  <si>
    <t>Whitehead, Alfred North, 1861-1947.</t>
  </si>
  <si>
    <t>Cambridge : University Press, 1930.</t>
  </si>
  <si>
    <t>5377790444:eng</t>
  </si>
  <si>
    <t>6390233</t>
  </si>
  <si>
    <t>ocm06390233</t>
  </si>
  <si>
    <t>3102001621B</t>
  </si>
  <si>
    <t>792496196</t>
  </si>
  <si>
    <t>Q175 W6 1925</t>
  </si>
  <si>
    <t>0                      Q  0175000W  6           1925</t>
  </si>
  <si>
    <t>An enquiry concerning the principles of natural knowledge / by A.N. Whitehead.</t>
  </si>
  <si>
    <t>Whitehead, Alfred North, 1861-1947, author.</t>
  </si>
  <si>
    <t>Cambridge : Cambridge University Press, 1925.</t>
  </si>
  <si>
    <t>1925</t>
  </si>
  <si>
    <t>494992:eng</t>
  </si>
  <si>
    <t>173668809</t>
  </si>
  <si>
    <t>ocn173668809</t>
  </si>
  <si>
    <t>3102001613A</t>
  </si>
  <si>
    <t>794269361</t>
  </si>
  <si>
    <t>Q175 W65 1953</t>
  </si>
  <si>
    <t>0                      Q  0175000W  65          1953</t>
  </si>
  <si>
    <t>Science and the modern world, by Alfred North Whitehead ... Lowell lectures, 1925.</t>
  </si>
  <si>
    <t>Cambridge [England] University Press, 1953 [1932]</t>
  </si>
  <si>
    <t>2018-09-24</t>
  </si>
  <si>
    <t>2019-07-31</t>
  </si>
  <si>
    <t>2070184845:eng</t>
  </si>
  <si>
    <t>1411894</t>
  </si>
  <si>
    <t>ocm01411894</t>
  </si>
  <si>
    <t>3102379601I</t>
  </si>
  <si>
    <t>791620461</t>
  </si>
  <si>
    <t>2012-12-14</t>
  </si>
  <si>
    <t>3102790185J</t>
  </si>
  <si>
    <t>791620462</t>
  </si>
  <si>
    <t>Q175 W651 1958</t>
  </si>
  <si>
    <t>0                      Q  0175000W  651         1958</t>
  </si>
  <si>
    <t>From Euclid to Eddington : a study of conceptions of the external world / by Sir Edmund Whittaker.</t>
  </si>
  <si>
    <t>Whittaker, E. T. (Edmund Taylor), 1873-1956.</t>
  </si>
  <si>
    <t>New York : Dover Publications, 1958.</t>
  </si>
  <si>
    <t>Tarner lectures ; 1947</t>
  </si>
  <si>
    <t>4915616984:eng</t>
  </si>
  <si>
    <t>8119156</t>
  </si>
  <si>
    <t>ocm08119156</t>
  </si>
  <si>
    <t>3000348645H</t>
  </si>
  <si>
    <t>792600089</t>
  </si>
  <si>
    <t>Q175 W6516</t>
  </si>
  <si>
    <t>0                      Q  0175000W  6516</t>
  </si>
  <si>
    <t>Cybernetics; or, Control and communication in the animal and the machine.</t>
  </si>
  <si>
    <t>Wiener, Norbert, 1894-1964.</t>
  </si>
  <si>
    <t>New York, J. Wiley [1948]</t>
  </si>
  <si>
    <t>2016-07-19</t>
  </si>
  <si>
    <t>1521131:eng</t>
  </si>
  <si>
    <t>1022297</t>
  </si>
  <si>
    <t>ocm01022297</t>
  </si>
  <si>
    <t>3103349666E</t>
  </si>
  <si>
    <t>791526966</t>
  </si>
  <si>
    <t>Q175 W6517</t>
  </si>
  <si>
    <t>0                      Q  0175000W  6517</t>
  </si>
  <si>
    <t>The human use of human beings.</t>
  </si>
  <si>
    <t>London : [publisher not identified], 1950.</t>
  </si>
  <si>
    <t>2015-07-10</t>
  </si>
  <si>
    <t>2908629537:eng</t>
  </si>
  <si>
    <t>61585663</t>
  </si>
  <si>
    <t>ocm61585663</t>
  </si>
  <si>
    <t>3103025296R</t>
  </si>
  <si>
    <t>794023388</t>
  </si>
  <si>
    <t>Q175 W6517 1954</t>
  </si>
  <si>
    <t>0                      Q  0175000W  6517        1954</t>
  </si>
  <si>
    <t>The human use of human beings : cybernetics and society / by Norbert Wiener.</t>
  </si>
  <si>
    <t>Garden City, New York : Doubleday, 1954.</t>
  </si>
  <si>
    <t>[2d ed. rev.].</t>
  </si>
  <si>
    <t>Doubleday anchor books, A34</t>
  </si>
  <si>
    <t>2010-08-26</t>
  </si>
  <si>
    <t>2016-01-21</t>
  </si>
  <si>
    <t>1521136:eng</t>
  </si>
  <si>
    <t>522365</t>
  </si>
  <si>
    <t>ocm00522365</t>
  </si>
  <si>
    <t>3000835502P</t>
  </si>
  <si>
    <t>791402512</t>
  </si>
  <si>
    <t>31015462396</t>
  </si>
  <si>
    <t>791402510</t>
  </si>
  <si>
    <t>Q175 W6517 1967</t>
  </si>
  <si>
    <t>0                      Q  0175000W  6517        1967</t>
  </si>
  <si>
    <t>The human use of human beings; cybernetics and society. Afterword by Walter A. Rosenblath.</t>
  </si>
  <si>
    <t>[New York] Avon Books [1967]</t>
  </si>
  <si>
    <t>Discus books</t>
  </si>
  <si>
    <t>2015-09-23</t>
  </si>
  <si>
    <t>9592847801:eng</t>
  </si>
  <si>
    <t>427144711</t>
  </si>
  <si>
    <t>ocn427144711</t>
  </si>
  <si>
    <t>3100023644U</t>
  </si>
  <si>
    <t>794522245</t>
  </si>
  <si>
    <t>31029122545</t>
  </si>
  <si>
    <t>794522244</t>
  </si>
  <si>
    <t>Q175 Z44 2003</t>
  </si>
  <si>
    <t>0                      Q  0175000Z  44          2003</t>
  </si>
  <si>
    <t>Luo ji, li shi yu she hui : ke xue he li xing yan jiu = Logic, history and socity [i.e. society] : an approach to the rationality of science / Zhou Chao, Zhu Zhifang zhu.</t>
  </si>
  <si>
    <t>Zhou, Chao.</t>
  </si>
  <si>
    <t>Beijing : Zhongguo she hui ke xue chu ban she, 2003.</t>
  </si>
  <si>
    <t>478477185:chi</t>
  </si>
  <si>
    <t>53065383</t>
  </si>
  <si>
    <t>ocm53065383</t>
  </si>
  <si>
    <t>31022951088</t>
  </si>
  <si>
    <t>9787500436638</t>
  </si>
  <si>
    <t>793820596</t>
  </si>
  <si>
    <t>Q175.3 A38 2000</t>
  </si>
  <si>
    <t>0                      Q  0175300A  38          2000</t>
  </si>
  <si>
    <t>After Popper, Kuhn, and Feyerabend : recent issues in theories of scientific method / edited by Robert Nola and Howard Sankey.</t>
  </si>
  <si>
    <t>Boston : Kluwer Academic Publishers, 2000.</t>
  </si>
  <si>
    <t>Australasian studies in history and philosophy of science. ; v. 15</t>
  </si>
  <si>
    <t>2015-08-06</t>
  </si>
  <si>
    <t>807267261:eng</t>
  </si>
  <si>
    <t>50662958</t>
  </si>
  <si>
    <t>ocm50662958</t>
  </si>
  <si>
    <t>31025868105</t>
  </si>
  <si>
    <t>9780792360322</t>
  </si>
  <si>
    <t>793770002</t>
  </si>
  <si>
    <t>Q175.3 E95 1991</t>
  </si>
  <si>
    <t>0                      Q  0175300E  95          1991</t>
  </si>
  <si>
    <t>Existence and explanation : essays presented in honor of Karel Lambert / edited by Wolfgang Spohn, Bas C. van Fraassen, and Brian Skyrms.</t>
  </si>
  <si>
    <t>The University of Western Ontario series in philosophy of science ; v. 49</t>
  </si>
  <si>
    <t>836856910:eng</t>
  </si>
  <si>
    <t>23583008</t>
  </si>
  <si>
    <t>ocm23583008</t>
  </si>
  <si>
    <t>3100951021W</t>
  </si>
  <si>
    <t>9780792312529</t>
  </si>
  <si>
    <t>793176993</t>
  </si>
  <si>
    <t>Q175.3 L38</t>
  </si>
  <si>
    <t>0                      Q  0175300L  38</t>
  </si>
  <si>
    <t>Science and hypothesis : historical essays on scientific methodology / Larry Laudan.</t>
  </si>
  <si>
    <t>Dordrecht, Holland ; Boston, U.S.A. : D. Reidel Publishing Company ; Hingham, MA : Sold and distributed in the U.S.A. and Canada by Kluwer Boston Inc., ©1981.</t>
  </si>
  <si>
    <t>The University of Western Ontario series in philosophy of science ; v. 19</t>
  </si>
  <si>
    <t>807077496:eng</t>
  </si>
  <si>
    <t>7814052</t>
  </si>
  <si>
    <t>ocm07814052</t>
  </si>
  <si>
    <t>3000325326N</t>
  </si>
  <si>
    <t>9789027713155</t>
  </si>
  <si>
    <t>792581076</t>
  </si>
  <si>
    <t>Q175.3 L44 2002</t>
  </si>
  <si>
    <t>0                      Q  0175300L  44          2002</t>
  </si>
  <si>
    <t>Ben madaʻ le-filosofyah : maʼamarim, hartsaʼot ṿe-śiḥot / Yeshaʻyahu Libovits.</t>
  </si>
  <si>
    <t>Leibowitz, Yeshayahu, 1903-1994.</t>
  </si>
  <si>
    <t>Yerushalayim : Aḳademon, ©2002.</t>
  </si>
  <si>
    <t>heb</t>
  </si>
  <si>
    <t>2016-11-23</t>
  </si>
  <si>
    <t>3902757443:heb</t>
  </si>
  <si>
    <t>51326769</t>
  </si>
  <si>
    <t>ocm51326769</t>
  </si>
  <si>
    <t>31023286590</t>
  </si>
  <si>
    <t>793783198</t>
  </si>
  <si>
    <t>Q175.3 L56 1988</t>
  </si>
  <si>
    <t>0                      Q  0175300L  56          1988</t>
  </si>
  <si>
    <t>The Limitations of deductivism / edited by Adolf Grünbaum and Wesley C. Salmon.</t>
  </si>
  <si>
    <t>Berkeley : University of California Press, ©1988.</t>
  </si>
  <si>
    <t>Pittsburgh series in philosophy and history of science</t>
  </si>
  <si>
    <t>2016-01-04</t>
  </si>
  <si>
    <t>352277641:eng</t>
  </si>
  <si>
    <t>17649691</t>
  </si>
  <si>
    <t>ocm17649691</t>
  </si>
  <si>
    <t>3000588656B</t>
  </si>
  <si>
    <t>9780520062320</t>
  </si>
  <si>
    <t>792998679</t>
  </si>
  <si>
    <t>Q175.3 P37</t>
  </si>
  <si>
    <t>0                      Q  0175300P  37</t>
  </si>
  <si>
    <t>Paradigms and revolutions : appraisals and applications of Thomas Kuhn's philosophy of science / edited by Gary Gutting.</t>
  </si>
  <si>
    <t>Notre Dame : University of Notre Dame Press, [1980]</t>
  </si>
  <si>
    <t>2018-07-19</t>
  </si>
  <si>
    <t>359129855:eng</t>
  </si>
  <si>
    <t>6627319</t>
  </si>
  <si>
    <t>ocm06627319</t>
  </si>
  <si>
    <t>3000318334F</t>
  </si>
  <si>
    <t>9780268015428</t>
  </si>
  <si>
    <t>792512722</t>
  </si>
  <si>
    <t>Q175.3 P758 1988</t>
  </si>
  <si>
    <t>0                      Q  0175300P  758         1988</t>
  </si>
  <si>
    <t>Probability and causality : essays in honor of Wesley C. Salmon / with an annotated bibliography by Wesley C. Salmon ; edited by James H. Fetzer.</t>
  </si>
  <si>
    <t>Dordrecht ; Boston : D. Reidel Pub. Co. ; Norwell, MA, U.S.A. : Sold and distributed in the U.S.A. and Canada by Kluwer Academic Publishers, ©1988.</t>
  </si>
  <si>
    <t>Synthese library ; v. 192</t>
  </si>
  <si>
    <t>865277731:eng</t>
  </si>
  <si>
    <t>16921408</t>
  </si>
  <si>
    <t>ocm16921408</t>
  </si>
  <si>
    <t>3000530447G</t>
  </si>
  <si>
    <t>9789027726070</t>
  </si>
  <si>
    <t>792977361</t>
  </si>
  <si>
    <t>Q175.32 C65 F766 2004</t>
  </si>
  <si>
    <t>0                      Q  0175320C  65                 F  766         2004</t>
  </si>
  <si>
    <t>The emergence of complexity / Jochen Fromm.</t>
  </si>
  <si>
    <t>Fromm, Jochen.</t>
  </si>
  <si>
    <t>Kassel : Kassel University Press, 2004.</t>
  </si>
  <si>
    <t>19430790:eng</t>
  </si>
  <si>
    <t>57538123</t>
  </si>
  <si>
    <t>ocm57538123</t>
  </si>
  <si>
    <t>3102531045V</t>
  </si>
  <si>
    <t>9783899580693</t>
  </si>
  <si>
    <t>793915047</t>
  </si>
  <si>
    <t>Q175.32 E44 E44 2008</t>
  </si>
  <si>
    <t>0                      Q  0175320E  44                 E  44          2008</t>
  </si>
  <si>
    <t>Emergence : contemporary readings in philosophy and science / edited by Mark A. Bedau and Paul Humphreys.</t>
  </si>
  <si>
    <t>Cambridge, Mass. : MIT Press, ©2008.</t>
  </si>
  <si>
    <t>1081983655:eng</t>
  </si>
  <si>
    <t>79002063</t>
  </si>
  <si>
    <t>ocm79002063</t>
  </si>
  <si>
    <t>3103074435C</t>
  </si>
  <si>
    <t>9780262026215</t>
  </si>
  <si>
    <t>794196845</t>
  </si>
  <si>
    <t>Q175.32 E44 W45 2010</t>
  </si>
  <si>
    <t>0                      Q  0175320E  44                 W  45          2010</t>
  </si>
  <si>
    <t>The architecture of emergence : the evolution of form in nature and civilisation / Michael Weinstock.</t>
  </si>
  <si>
    <t>Weinstock, Michael.</t>
  </si>
  <si>
    <t>Chichester, U.K. : Wiley, 2010.</t>
  </si>
  <si>
    <t>2015-11-07</t>
  </si>
  <si>
    <t>1008531837:eng</t>
  </si>
  <si>
    <t>232976084</t>
  </si>
  <si>
    <t>ocn232976084</t>
  </si>
  <si>
    <t>3103132179Z</t>
  </si>
  <si>
    <t>9780470066324</t>
  </si>
  <si>
    <t>794364588</t>
  </si>
  <si>
    <t>Q175.32 E97 D48 2011</t>
  </si>
  <si>
    <t>0                      Q  0175320E  97                 D  48          2011</t>
  </si>
  <si>
    <t>The beginning of infinity : explanations that transform the world / David Deutsch.</t>
  </si>
  <si>
    <t>Deutsch, David, 1953-</t>
  </si>
  <si>
    <t>New York : Viking, 2011.</t>
  </si>
  <si>
    <t>760631347:eng</t>
  </si>
  <si>
    <t>682892569</t>
  </si>
  <si>
    <t>ocn682892569</t>
  </si>
  <si>
    <t>3103445833O</t>
  </si>
  <si>
    <t>9780670022755</t>
  </si>
  <si>
    <t>794853028</t>
  </si>
  <si>
    <t>2018-11-16</t>
  </si>
  <si>
    <t>3103396186C</t>
  </si>
  <si>
    <t>794853027</t>
  </si>
  <si>
    <t>Q175.32 K45 B37 2014</t>
  </si>
  <si>
    <t>0                      Q  0175320K  45                 B  37          2014</t>
  </si>
  <si>
    <t>Bas van Fraassen's approach to representation and models in science. / Wenceslao J. Gonzalez, editor.</t>
  </si>
  <si>
    <t>Dordrecht : Springer Dordrecht, ©2014.</t>
  </si>
  <si>
    <t>Synthese Library ; vol. 368</t>
  </si>
  <si>
    <t>1403332020:eng</t>
  </si>
  <si>
    <t>869726246</t>
  </si>
  <si>
    <t>ocn869726246</t>
  </si>
  <si>
    <t>3103552686L</t>
  </si>
  <si>
    <t>9789400778375</t>
  </si>
  <si>
    <t>794965710</t>
  </si>
  <si>
    <t>Q175.32 R42 B87 2001</t>
  </si>
  <si>
    <t>0                      Q  0175320R  42                 B  87          2001</t>
  </si>
  <si>
    <t>Scientific realism : selected essays of Mario Bunge / edited by Martin Mahner.</t>
  </si>
  <si>
    <t>Amherst, N.Y. : Prometheus Books, 2001.</t>
  </si>
  <si>
    <t>287876990:eng</t>
  </si>
  <si>
    <t>46590048</t>
  </si>
  <si>
    <t>ocm46590048</t>
  </si>
  <si>
    <t>31021675339</t>
  </si>
  <si>
    <t>9781573928922</t>
  </si>
  <si>
    <t>793686982</t>
  </si>
  <si>
    <t>Q175.32 R42 L38 1999</t>
  </si>
  <si>
    <t>0                      Q  0175320R  42                 L  38          1999</t>
  </si>
  <si>
    <t>Pandora's hope : essays on the reality of science studies / Bruno Latour.</t>
  </si>
  <si>
    <t>Latour, Bruno.</t>
  </si>
  <si>
    <t>Cambridge, Mass. : Harvard University Press, 1999.</t>
  </si>
  <si>
    <t>2682768:eng</t>
  </si>
  <si>
    <t>40311545</t>
  </si>
  <si>
    <t>ocm40311545</t>
  </si>
  <si>
    <t>3103274611Z</t>
  </si>
  <si>
    <t>9780674653351</t>
  </si>
  <si>
    <t>793563889</t>
  </si>
  <si>
    <t>Q175.32 R42 L3814 2007</t>
  </si>
  <si>
    <t>0                      Q  0175320R  42                 L  3814        2007</t>
  </si>
  <si>
    <t>L'espoir de Pandore : pour une version réaliste de l'activité scientifique / Bruno Latour ; traduit de l'anglais par Didier Gille.</t>
  </si>
  <si>
    <t>Paris : La Découverte/Poche, 2007.</t>
  </si>
  <si>
    <t>2e éd.</t>
  </si>
  <si>
    <t>Découverte Poche. Sciences humaines et sociales ; 255</t>
  </si>
  <si>
    <t>2015-05-29</t>
  </si>
  <si>
    <t>2017-02-21</t>
  </si>
  <si>
    <t>4160082492:fre</t>
  </si>
  <si>
    <t>213053433</t>
  </si>
  <si>
    <t>ocn213053433</t>
  </si>
  <si>
    <t>31028742756</t>
  </si>
  <si>
    <t>9782707152367</t>
  </si>
  <si>
    <t>794306734</t>
  </si>
  <si>
    <t>Q175.32 R42 R425 2007</t>
  </si>
  <si>
    <t>0                      Q  0175320R  42                 R  425         2007</t>
  </si>
  <si>
    <t>Realism reconsidered : the legacy of Hans Morgenthau in international relations / edited by Michael C. Williams.</t>
  </si>
  <si>
    <t>Oxford ; New York : Oxford University Press, 2007.</t>
  </si>
  <si>
    <t>2016-06-16</t>
  </si>
  <si>
    <t>1051909475:eng</t>
  </si>
  <si>
    <t>154707989</t>
  </si>
  <si>
    <t>ocn154707989</t>
  </si>
  <si>
    <t>3102573537R</t>
  </si>
  <si>
    <t>9780199288618</t>
  </si>
  <si>
    <t>794252595</t>
  </si>
  <si>
    <t>Q175.32 R42 S35 2011</t>
  </si>
  <si>
    <t>0                      Q  0175320R  42                 S  35          2011</t>
  </si>
  <si>
    <t>Scientific realism and democratic society : the philosophy of Philip Kitcher / edited by Wenceslao J. Gonzalez.</t>
  </si>
  <si>
    <t>Amsterdam ; New York : Rodopi, 2011.</t>
  </si>
  <si>
    <t>Poznań studies in the philosophy of the sciences and the humanities ; volume 101</t>
  </si>
  <si>
    <t>1090519437:eng</t>
  </si>
  <si>
    <t>778202386</t>
  </si>
  <si>
    <t>ocn778202386</t>
  </si>
  <si>
    <t>3103429255W</t>
  </si>
  <si>
    <t>9789042034495</t>
  </si>
  <si>
    <t>794909431</t>
  </si>
  <si>
    <t>Q175.32 R45 J68 2012</t>
  </si>
  <si>
    <t>0                      Q  0175320R  45                 J  68          2012</t>
  </si>
  <si>
    <t>The journey from child to scientist : integrating cognitive development and the education sciences / edited by Sharon M. Carver and Jeff Shrager.</t>
  </si>
  <si>
    <t>Washington, DC : American Psychological Association, ©2012.</t>
  </si>
  <si>
    <t>1098550913:eng</t>
  </si>
  <si>
    <t>760978570</t>
  </si>
  <si>
    <t>ocn760978570</t>
  </si>
  <si>
    <t>3103568129J</t>
  </si>
  <si>
    <t>9781433811388</t>
  </si>
  <si>
    <t>794898882</t>
  </si>
  <si>
    <t>Q175.32 R45 K67 1996</t>
  </si>
  <si>
    <t>0                      Q  0175320R  45                 K  67          1996</t>
  </si>
  <si>
    <t>Theory and evidence : the development of scientific reasoning / Barbara Koslowski.</t>
  </si>
  <si>
    <t>Koslowski, Barbara.</t>
  </si>
  <si>
    <t>Cambridge, Mass. : MIT Press, ©1996.</t>
  </si>
  <si>
    <t>Learning, development, and conceptual change</t>
  </si>
  <si>
    <t>2015-08-10</t>
  </si>
  <si>
    <t>799393908:eng</t>
  </si>
  <si>
    <t>32543475</t>
  </si>
  <si>
    <t>ocm32543475</t>
  </si>
  <si>
    <t>31029905139</t>
  </si>
  <si>
    <t>9780262112093</t>
  </si>
  <si>
    <t>793386735</t>
  </si>
  <si>
    <t>Q175.32 R45 P49 2017</t>
  </si>
  <si>
    <t>0                      Q  0175320R  45                 P  49          2017</t>
  </si>
  <si>
    <t>Philosophy of science in practice : Nancy Cartwright and the nature of scientific reasoning / Hsiang-Ke Chao, Julian Reiss, editors.</t>
  </si>
  <si>
    <t>Synthese library: studies in epistemology, logic, methodology, and philosophy of science ; volume 379</t>
  </si>
  <si>
    <t>2018-02-20</t>
  </si>
  <si>
    <t>4106668982:eng</t>
  </si>
  <si>
    <t>954008308</t>
  </si>
  <si>
    <t>ocn954008308</t>
  </si>
  <si>
    <t>3103710406V</t>
  </si>
  <si>
    <t>9783319455303</t>
  </si>
  <si>
    <t>795019537</t>
  </si>
  <si>
    <t>Q175.32 S78 S78 2012</t>
  </si>
  <si>
    <t>0                      Q  0175320S  78                 S  78          2012</t>
  </si>
  <si>
    <t>Structural realism : structure, object, and causality / Elaine M. Landry, Dean P. Rickles, editors.</t>
  </si>
  <si>
    <t>The Western Ontario series in philosophy of science, 1566-659X ; 77</t>
  </si>
  <si>
    <t>1057266608:eng</t>
  </si>
  <si>
    <t>766344942</t>
  </si>
  <si>
    <t>ocn766344942</t>
  </si>
  <si>
    <t>31034409442</t>
  </si>
  <si>
    <t>9789400725782</t>
  </si>
  <si>
    <t>794900867</t>
  </si>
  <si>
    <t>Q175.32 T78 H35 2011</t>
  </si>
  <si>
    <t>0                      Q  0175320T  78                 H  35          2011</t>
  </si>
  <si>
    <t>Axiomatic theories of truth / Volker Halbach.</t>
  </si>
  <si>
    <t>Halbach, Volker.</t>
  </si>
  <si>
    <t>Cambridge ; New York : Cambridge University Press, 2011.</t>
  </si>
  <si>
    <t>551850350:eng</t>
  </si>
  <si>
    <t>712650945</t>
  </si>
  <si>
    <t>ocn712650945</t>
  </si>
  <si>
    <t>3103232371N</t>
  </si>
  <si>
    <t>9780521115810</t>
  </si>
  <si>
    <t>794872117</t>
  </si>
  <si>
    <t>Q175.32 V65 L53 2016</t>
  </si>
  <si>
    <t>0                      Q  0175320V  65                 L  53          2016</t>
  </si>
  <si>
    <t>Life forms in the thinking of the long eighteenth century / edited by Keith Michael Baker and Jenna M. Gibbs.</t>
  </si>
  <si>
    <t>[Toronto, Ontario] : Published by the University of Toronto Press in association with the UCLA Center for Seventeenth- and Eighteenth-Century Studies and the William Andrews Clark Memorial Library, [2016]</t>
  </si>
  <si>
    <t>The UCLA Clark Memorial Library series ; 24</t>
  </si>
  <si>
    <t>2766014911:eng</t>
  </si>
  <si>
    <t>925497591</t>
  </si>
  <si>
    <t>ocn925497591</t>
  </si>
  <si>
    <t>3103646518G</t>
  </si>
  <si>
    <t>9781442630246</t>
  </si>
  <si>
    <t>795005095</t>
  </si>
  <si>
    <t>Q175.46 S35 2000</t>
  </si>
  <si>
    <t>0                      Q  0175460S  35          2000</t>
  </si>
  <si>
    <t>Science and its times : understanding the social significance of scientific discovery / Neil Schlager, editor ; Josh Lauer, associate editor.</t>
  </si>
  <si>
    <t>Detroit : Gale Group, ©2000-©2001.</t>
  </si>
  <si>
    <t>Gale virtual reference library</t>
  </si>
  <si>
    <t>2016-01-11</t>
  </si>
  <si>
    <t>4757762037:eng</t>
  </si>
  <si>
    <t>43836551</t>
  </si>
  <si>
    <t>ocm43836551</t>
  </si>
  <si>
    <t>31021268873</t>
  </si>
  <si>
    <t>9780787639327</t>
  </si>
  <si>
    <t>793636467</t>
  </si>
  <si>
    <t>31021268881</t>
  </si>
  <si>
    <t>793636465</t>
  </si>
  <si>
    <t>3102126882D</t>
  </si>
  <si>
    <t>793636468</t>
  </si>
  <si>
    <t>3102126889$</t>
  </si>
  <si>
    <t>793636464</t>
  </si>
  <si>
    <t>31021268849</t>
  </si>
  <si>
    <t>793636462</t>
  </si>
  <si>
    <t>31021268938</t>
  </si>
  <si>
    <t>793636466</t>
  </si>
  <si>
    <t>31021268857</t>
  </si>
  <si>
    <t>793636463</t>
  </si>
  <si>
    <t>31021268970</t>
  </si>
  <si>
    <t>793636461</t>
  </si>
  <si>
    <t>Q175.5 A575 2006</t>
  </si>
  <si>
    <t>0                      Q  0175500A  575         2006</t>
  </si>
  <si>
    <t>Sociologie de la traduction : textes fondateurs / Madeleine Akrich, Michel Callon, Bruno Latour.</t>
  </si>
  <si>
    <t>Akrich, M. (Madeleine)</t>
  </si>
  <si>
    <t>Paris : Ecole des mines de Paris, 2006.</t>
  </si>
  <si>
    <t>Collection Sciences sociales</t>
  </si>
  <si>
    <t>2017-04-04</t>
  </si>
  <si>
    <t>351793123:fre</t>
  </si>
  <si>
    <t>76879651</t>
  </si>
  <si>
    <t>ocm76879651</t>
  </si>
  <si>
    <t>31028708626</t>
  </si>
  <si>
    <t>9782911762758</t>
  </si>
  <si>
    <t>794178248</t>
  </si>
  <si>
    <t>Q175.5 A58 1987</t>
  </si>
  <si>
    <t>0                      Q  0175500A  58          1987</t>
  </si>
  <si>
    <t>Anti-racist science teaching / edited by Dawn Gill and Les Levidow.</t>
  </si>
  <si>
    <t>London : Free Association Books, 1987.</t>
  </si>
  <si>
    <t>355723446:eng</t>
  </si>
  <si>
    <t>25874198</t>
  </si>
  <si>
    <t>ocm25874198</t>
  </si>
  <si>
    <t>3001000932H</t>
  </si>
  <si>
    <t>9780946960637</t>
  </si>
  <si>
    <t>793232240</t>
  </si>
  <si>
    <t>Q175.5 B37</t>
  </si>
  <si>
    <t>0                      Q  0175500B  37</t>
  </si>
  <si>
    <t>Sociology of science: selected readings; edited by Barry Barnes.</t>
  </si>
  <si>
    <t>Barnes, Barry, 1943- compiler.</t>
  </si>
  <si>
    <t>Harmondsworth, Penguin, 1972.</t>
  </si>
  <si>
    <t>Penguin modern sociology readings</t>
  </si>
  <si>
    <t>864616443:eng</t>
  </si>
  <si>
    <t>584576</t>
  </si>
  <si>
    <t>ocm00584576</t>
  </si>
  <si>
    <t>3000556044X</t>
  </si>
  <si>
    <t>9780140806199</t>
  </si>
  <si>
    <t>791421435</t>
  </si>
  <si>
    <t>Q175.5 B675 2001</t>
  </si>
  <si>
    <t>0                      Q  0175500B  675         2001</t>
  </si>
  <si>
    <t>Science de la science et réflexivité : cours du Collège de France, 2000-2001 / Pierre Bourdieu.</t>
  </si>
  <si>
    <t>Bourdieu, Pierre, 1930-2002.</t>
  </si>
  <si>
    <t>Paris : Raisons d'agir, 2001.</t>
  </si>
  <si>
    <t>Collection "Cours et travaux"</t>
  </si>
  <si>
    <t>8702044:fre</t>
  </si>
  <si>
    <t>51607795</t>
  </si>
  <si>
    <t>ocm51607795</t>
  </si>
  <si>
    <t>3103350458G</t>
  </si>
  <si>
    <t>9782912107145</t>
  </si>
  <si>
    <t>793787698</t>
  </si>
  <si>
    <t>Q175.5 C65 1985</t>
  </si>
  <si>
    <t>0                      Q  0175500C  65          1985</t>
  </si>
  <si>
    <t>Changing order : replication and induction in scientific practice / H.M. Collins.</t>
  </si>
  <si>
    <t>Collins, H. M. (Harry M.), 1943-</t>
  </si>
  <si>
    <t>London ; Beverly Hills : Sage Publications, ©1985.</t>
  </si>
  <si>
    <t>2015-11-23</t>
  </si>
  <si>
    <t>806942601:eng</t>
  </si>
  <si>
    <t>13010908</t>
  </si>
  <si>
    <t>ocm13010908</t>
  </si>
  <si>
    <t>3000375280S</t>
  </si>
  <si>
    <t>9780803997578</t>
  </si>
  <si>
    <t>792837419</t>
  </si>
  <si>
    <t>Q175.5 C65 1992</t>
  </si>
  <si>
    <t>0                      Q  0175500C  65          1992</t>
  </si>
  <si>
    <t>Changing order : replication and induction in scientific practice / H.M. Collins ; with a new afterword.</t>
  </si>
  <si>
    <t>25130943</t>
  </si>
  <si>
    <t>ocm25130943</t>
  </si>
  <si>
    <t>3102814744R</t>
  </si>
  <si>
    <t>9780226113760</t>
  </si>
  <si>
    <t>793212834</t>
  </si>
  <si>
    <t>Q175.5 D46 2005</t>
  </si>
  <si>
    <t>0                      Q  0175500D  46          2005</t>
  </si>
  <si>
    <t>Democratization of expertise? : exploring novel forms of scientific advice in political decision-making / edited by Sabine Maasen and Peter Weingart.</t>
  </si>
  <si>
    <t>Dordrecht, the Netherlands : Springer, ©2005.</t>
  </si>
  <si>
    <t>Sociology of the sciences ; v. 24</t>
  </si>
  <si>
    <t>2019-06-11</t>
  </si>
  <si>
    <t>905801594:eng</t>
  </si>
  <si>
    <t>64310721</t>
  </si>
  <si>
    <t>ocm64310721</t>
  </si>
  <si>
    <t>31026090722</t>
  </si>
  <si>
    <t>9781402037535</t>
  </si>
  <si>
    <t>794128366</t>
  </si>
  <si>
    <t>Q175.5 F45 1989</t>
  </si>
  <si>
    <t>0                      Q  0175500F  45          1989</t>
  </si>
  <si>
    <t>Feminism &amp; science / edited by Nancy Tuana.</t>
  </si>
  <si>
    <t>Bloomington : Indiana University Press, ©1989.</t>
  </si>
  <si>
    <t>Race, gender, and science</t>
  </si>
  <si>
    <t>55168919:eng</t>
  </si>
  <si>
    <t>18986376</t>
  </si>
  <si>
    <t>ocm18986376</t>
  </si>
  <si>
    <t>3103009844D</t>
  </si>
  <si>
    <t>9780253360458</t>
  </si>
  <si>
    <t>793043569</t>
  </si>
  <si>
    <t>Q175.5 F46 1986</t>
  </si>
  <si>
    <t>0                      Q  0175500F  46          1986</t>
  </si>
  <si>
    <t>Feminist approaches to science / edited by Ruth Bleier.</t>
  </si>
  <si>
    <t>New York : Pergamon Press, 1986.</t>
  </si>
  <si>
    <t>The Athene series</t>
  </si>
  <si>
    <t>2015-03-25</t>
  </si>
  <si>
    <t>54767837:eng</t>
  </si>
  <si>
    <t>12836850</t>
  </si>
  <si>
    <t>ocm12836850</t>
  </si>
  <si>
    <t>30004803710</t>
  </si>
  <si>
    <t>9780080327877</t>
  </si>
  <si>
    <t>792830117</t>
  </si>
  <si>
    <t>Q175.5 F467 2001</t>
  </si>
  <si>
    <t>0                      Q  0175500F  467         2001</t>
  </si>
  <si>
    <t>Feminist science studies : a new generation / edited by Maralee Mayberry, Banu Subramaniam, Lisa H. Weasel.</t>
  </si>
  <si>
    <t>New York : Routledge, 2001.</t>
  </si>
  <si>
    <t>2015-12-10</t>
  </si>
  <si>
    <t>837072654:eng</t>
  </si>
  <si>
    <t>44905095</t>
  </si>
  <si>
    <t>ocm44905095</t>
  </si>
  <si>
    <t>3102930672O</t>
  </si>
  <si>
    <t>9780415926959</t>
  </si>
  <si>
    <t>793660172</t>
  </si>
  <si>
    <t>Q175.5 F5913</t>
  </si>
  <si>
    <t>0                      Q  0175500F  5913</t>
  </si>
  <si>
    <t>Genesis and development of a scientific fact / Ludwik Fleck ; edited by Thaddeus J. Trenn and Robert K. Merton ; translated by Fred Bradley and Thaddeus J. Trenn ; foreword by Thomas S. Kuhn.</t>
  </si>
  <si>
    <t>Fleck, Ludwik, 1896-1961.</t>
  </si>
  <si>
    <t>Chicago : University of Chicago Press, 1979.</t>
  </si>
  <si>
    <t>2017-03-06</t>
  </si>
  <si>
    <t>418288:eng</t>
  </si>
  <si>
    <t>4908000</t>
  </si>
  <si>
    <t>ocm04908000</t>
  </si>
  <si>
    <t>3102788750H</t>
  </si>
  <si>
    <t>9780226253244</t>
  </si>
  <si>
    <t>792392913</t>
  </si>
  <si>
    <t>Q175.5 F5913 1981</t>
  </si>
  <si>
    <t>0                      Q  0175500F  5913        1981</t>
  </si>
  <si>
    <t>Fleck, Ludwik, 1896-1961, author.</t>
  </si>
  <si>
    <t>Chicago : University of Chicago Press, 1981.</t>
  </si>
  <si>
    <t>Paperback edition</t>
  </si>
  <si>
    <t>14283058</t>
  </si>
  <si>
    <t>ocm14283058</t>
  </si>
  <si>
    <t>3102823883F</t>
  </si>
  <si>
    <t>9780226253251</t>
  </si>
  <si>
    <t>792884707</t>
  </si>
  <si>
    <t>Q175.5 G7 S48 1994</t>
  </si>
  <si>
    <t>0                      Q  0175500G  7                  S  48          1994</t>
  </si>
  <si>
    <t>A social history of truth : civility and science in seventeenth-century England / Steven Shapin.</t>
  </si>
  <si>
    <t>Shapin, Steven.</t>
  </si>
  <si>
    <t>Chicago : University of Chicago Press, ©1994.</t>
  </si>
  <si>
    <t>2019-02-18</t>
  </si>
  <si>
    <t>807267514:eng</t>
  </si>
  <si>
    <t>29359054</t>
  </si>
  <si>
    <t>ocm29359054</t>
  </si>
  <si>
    <t>31030376932</t>
  </si>
  <si>
    <t>9780226750187</t>
  </si>
  <si>
    <t>793308924</t>
  </si>
  <si>
    <t>2016-01-18</t>
  </si>
  <si>
    <t>3101470453N</t>
  </si>
  <si>
    <t>793308922</t>
  </si>
  <si>
    <t>Q175.5 H39 1998</t>
  </si>
  <si>
    <t>0                      Q  0175500H  39          1998</t>
  </si>
  <si>
    <t>Is science multicultural? : postcolonialisms, feminisms, and epistemologies / Sandra Harding.</t>
  </si>
  <si>
    <t>Bloomington, Ind. : Indiana University Press, ©1998.</t>
  </si>
  <si>
    <t>2018-03-16</t>
  </si>
  <si>
    <t>603057:eng</t>
  </si>
  <si>
    <t>37315353</t>
  </si>
  <si>
    <t>ocm37315353</t>
  </si>
  <si>
    <t>31026307722</t>
  </si>
  <si>
    <t>9780253333650</t>
  </si>
  <si>
    <t>793495724</t>
  </si>
  <si>
    <t>2015-03-13</t>
  </si>
  <si>
    <t>3102672263S</t>
  </si>
  <si>
    <t>793495725</t>
  </si>
  <si>
    <t>31018550253</t>
  </si>
  <si>
    <t>793495723</t>
  </si>
  <si>
    <t>Q175.5 I96 1995</t>
  </si>
  <si>
    <t>0                      Q  0175500I  96          1995</t>
  </si>
  <si>
    <t>Citizen science : a study of people, expertise, and sustainable development / Alan Irwin.</t>
  </si>
  <si>
    <t>Irwin, Alan, 1955-</t>
  </si>
  <si>
    <t>London ; New York : Routledge, 1995.</t>
  </si>
  <si>
    <t>Environment and society</t>
  </si>
  <si>
    <t>2016-12-07</t>
  </si>
  <si>
    <t>797151459:eng</t>
  </si>
  <si>
    <t>31938685</t>
  </si>
  <si>
    <t>ocm31938685</t>
  </si>
  <si>
    <t>31015469021</t>
  </si>
  <si>
    <t>9780415115483</t>
  </si>
  <si>
    <t>793371789</t>
  </si>
  <si>
    <t>Q175.5 J82</t>
  </si>
  <si>
    <t>0                      Q  0175500J  82</t>
  </si>
  <si>
    <t>The search for solutions / Horace Freeland Judson ; introd. by Lewis Thomas.</t>
  </si>
  <si>
    <t>Judson, Horace Freeland.</t>
  </si>
  <si>
    <t>New York : Holt, Rinehart, and Winston, ©1980.</t>
  </si>
  <si>
    <t>2017-03-16</t>
  </si>
  <si>
    <t>498371:eng</t>
  </si>
  <si>
    <t>5563831</t>
  </si>
  <si>
    <t>ocm05563831</t>
  </si>
  <si>
    <t>30010250473</t>
  </si>
  <si>
    <t>9780030437717</t>
  </si>
  <si>
    <t>792438954</t>
  </si>
  <si>
    <t>Q175.5 L3513 1993</t>
  </si>
  <si>
    <t>0                      Q  0175500L  3513        1993</t>
  </si>
  <si>
    <t>We have never been modern / Bruno Latour ; translated by Catherine Porter.</t>
  </si>
  <si>
    <t>C. 1</t>
  </si>
  <si>
    <t>Latour, Bruno, author.</t>
  </si>
  <si>
    <t>Cambridge, Massachusetts : Harvard University Press, 1993.</t>
  </si>
  <si>
    <t>2019-11-18</t>
  </si>
  <si>
    <t>346531:eng</t>
  </si>
  <si>
    <t>27894925</t>
  </si>
  <si>
    <t>ocm27894925</t>
  </si>
  <si>
    <t>31028144037</t>
  </si>
  <si>
    <t>9780674948389</t>
  </si>
  <si>
    <t>793274616</t>
  </si>
  <si>
    <t>2019-04-16</t>
  </si>
  <si>
    <t>3103355998A</t>
  </si>
  <si>
    <t>793274613</t>
  </si>
  <si>
    <t>3103628290M</t>
  </si>
  <si>
    <t>793274615</t>
  </si>
  <si>
    <t>2019-04-30</t>
  </si>
  <si>
    <t>3102767978L</t>
  </si>
  <si>
    <t>793274614</t>
  </si>
  <si>
    <t>Q175.5 L38 1987</t>
  </si>
  <si>
    <t>0                      Q  0175500L  38          1987</t>
  </si>
  <si>
    <t>Science in action : how to follow scientists and engineers through society / Bruno Latour.</t>
  </si>
  <si>
    <t>Cambridge, Mass. : Harvard University Press, 1987.</t>
  </si>
  <si>
    <t>2019-05-29</t>
  </si>
  <si>
    <t>2019-10-07</t>
  </si>
  <si>
    <t>508100386:eng</t>
  </si>
  <si>
    <t>13820884</t>
  </si>
  <si>
    <t>ocm13820884</t>
  </si>
  <si>
    <t>3102814734T</t>
  </si>
  <si>
    <t>9780674792906</t>
  </si>
  <si>
    <t>792867844</t>
  </si>
  <si>
    <t>Q175.5 L38 2006</t>
  </si>
  <si>
    <t>0                      Q  0175500L  38          2006</t>
  </si>
  <si>
    <t>Chroniques d'un amateur de sciences / Bruno Latour.</t>
  </si>
  <si>
    <t>Paris : École des mines de Paris, ©2006.</t>
  </si>
  <si>
    <t>2017-04-09</t>
  </si>
  <si>
    <t>62640032:fre</t>
  </si>
  <si>
    <t>76879652</t>
  </si>
  <si>
    <t>ocm76879652</t>
  </si>
  <si>
    <t>3103338782G</t>
  </si>
  <si>
    <t>9782911762765</t>
  </si>
  <si>
    <t>794178249</t>
  </si>
  <si>
    <t>Q175.5 L44 1998</t>
  </si>
  <si>
    <t>0                      Q  0175500L  44          1998</t>
  </si>
  <si>
    <t>Le sexe du savoir / Michèle Le Doeuff.</t>
  </si>
  <si>
    <t>Le Doeuff, Michèle.</t>
  </si>
  <si>
    <t>Paris : Aubier, 1998</t>
  </si>
  <si>
    <t>Alto</t>
  </si>
  <si>
    <t>44041000:fre</t>
  </si>
  <si>
    <t>406166479</t>
  </si>
  <si>
    <t>ocn406166479</t>
  </si>
  <si>
    <t>3102292046F</t>
  </si>
  <si>
    <t>9782700736663</t>
  </si>
  <si>
    <t>794499713</t>
  </si>
  <si>
    <t>Q175.5 L9 1993</t>
  </si>
  <si>
    <t>0                      Q  0175500L  9           1993</t>
  </si>
  <si>
    <t>Scientific practice and ordinary action : ethnomethodology and social studies of science / Michael Lynch.</t>
  </si>
  <si>
    <t>Lynch, Michael, 1948-</t>
  </si>
  <si>
    <t>Cambridge [England] ; New York : Cambridge University Press, 1993.</t>
  </si>
  <si>
    <t>806625839:eng</t>
  </si>
  <si>
    <t>26808829</t>
  </si>
  <si>
    <t>ocm26808829</t>
  </si>
  <si>
    <t>3102964964N</t>
  </si>
  <si>
    <t>9780521431521</t>
  </si>
  <si>
    <t>793252300</t>
  </si>
  <si>
    <t>Q175.5 M354 2012</t>
  </si>
  <si>
    <t>0                      Q  0175500M  354         2012</t>
  </si>
  <si>
    <t>Reflections on public perceptions of science / F.D. Manchester.</t>
  </si>
  <si>
    <t>Manchester, F. D., author.</t>
  </si>
  <si>
    <t>Toronto : Manchester CF, [2012]</t>
  </si>
  <si>
    <t>2567577951:eng</t>
  </si>
  <si>
    <t>1055246068</t>
  </si>
  <si>
    <t>on1055246068</t>
  </si>
  <si>
    <t>31035621500</t>
  </si>
  <si>
    <t>9780987680204</t>
  </si>
  <si>
    <t>795063287</t>
  </si>
  <si>
    <t>Q175.5 M395 1991</t>
  </si>
  <si>
    <t>0                      Q  0175500M  395         1991</t>
  </si>
  <si>
    <t>Science, technology, and society / Robert E. McGinn.</t>
  </si>
  <si>
    <t>McGinn, Robert E., 1941-</t>
  </si>
  <si>
    <t>Englewood Cliffs, N.J. : Prentice Hall, ©1991.</t>
  </si>
  <si>
    <t>Prentice-Hall foundations of modern sociology series</t>
  </si>
  <si>
    <t>22960102:eng</t>
  </si>
  <si>
    <t>21905785</t>
  </si>
  <si>
    <t>ocm21905785</t>
  </si>
  <si>
    <t>3103523419F</t>
  </si>
  <si>
    <t>9780137947362</t>
  </si>
  <si>
    <t>793129698</t>
  </si>
  <si>
    <t>Q175.5 M47</t>
  </si>
  <si>
    <t>0                      Q  0175500M  47</t>
  </si>
  <si>
    <t>The sociology of science : theoretical and empirical investigations / Robert K. Merton ; edited and with an introd. by Norman W. Storer.</t>
  </si>
  <si>
    <t>Chicago : University of Chicago Press, 1973.</t>
  </si>
  <si>
    <t>57763088:eng</t>
  </si>
  <si>
    <t>755754</t>
  </si>
  <si>
    <t>ocm00755754</t>
  </si>
  <si>
    <t>3000844567X</t>
  </si>
  <si>
    <t>9780226520919</t>
  </si>
  <si>
    <t>791462695</t>
  </si>
  <si>
    <t>2018-09-14</t>
  </si>
  <si>
    <t>30003391176</t>
  </si>
  <si>
    <t>791462694</t>
  </si>
  <si>
    <t>Q175.5 M66 1979</t>
  </si>
  <si>
    <t>0                      Q  0175500M  66          1979</t>
  </si>
  <si>
    <t>Science and the factors of inequality : lessons of the past and hopes for the future / Charles Morazé, with contributions by James A. Dator [and others].</t>
  </si>
  <si>
    <t>Morazé, Charles, 1913-2003.</t>
  </si>
  <si>
    <t>Paris : Unesco, 1979.</t>
  </si>
  <si>
    <t>2016-12-12</t>
  </si>
  <si>
    <t>909783216:eng</t>
  </si>
  <si>
    <t>5829482</t>
  </si>
  <si>
    <t>ocm05829482</t>
  </si>
  <si>
    <t>31017275996</t>
  </si>
  <si>
    <t>792457080</t>
  </si>
  <si>
    <t>Q175.5 M84</t>
  </si>
  <si>
    <t>0                      Q  0175500M  84</t>
  </si>
  <si>
    <t>The social process of innovation: a study in the sociology of science, [by] M.J. Mulkay.</t>
  </si>
  <si>
    <t>Mulkay, M. J. (Michael Joseph), 1936-</t>
  </si>
  <si>
    <t>London, Macmillan, 1972.</t>
  </si>
  <si>
    <t>Studies in sociology</t>
  </si>
  <si>
    <t>1590465:eng</t>
  </si>
  <si>
    <t>496056</t>
  </si>
  <si>
    <t>ocm00496056</t>
  </si>
  <si>
    <t>3000344826X</t>
  </si>
  <si>
    <t>9780333134313</t>
  </si>
  <si>
    <t>791393900</t>
  </si>
  <si>
    <t>Q175.5 M843 1991b</t>
  </si>
  <si>
    <t>0                      Q  0175500M  843         1991b</t>
  </si>
  <si>
    <t>Sociology of science : a sociological pilgrimage / Michael Mulkay.</t>
  </si>
  <si>
    <t>Milton Keynes : Open University Press, 1991.</t>
  </si>
  <si>
    <t>993144:eng</t>
  </si>
  <si>
    <t>21078362</t>
  </si>
  <si>
    <t>ocm21078362</t>
  </si>
  <si>
    <t>3102149209K</t>
  </si>
  <si>
    <t>9780335094097</t>
  </si>
  <si>
    <t>793108586</t>
  </si>
  <si>
    <t>Q175.5 R47 1983</t>
  </si>
  <si>
    <t>0                      Q  0175500R  47          1983</t>
  </si>
  <si>
    <t>The social relations of physics, mysticism, and mathematics : studies in social structure, interests, and ideas / Sal Restivo.</t>
  </si>
  <si>
    <t>Restivo, Sal P.</t>
  </si>
  <si>
    <t>Dordrecht, Holland ; Boston : D. Reidel Pub. Co. ; Hingham, MA. : Sold and distributed in the U.S.A. and Canada by Kluwer Academic Publishers, ©1983.</t>
  </si>
  <si>
    <t>Episteme ; v. 10</t>
  </si>
  <si>
    <t>836665884:eng</t>
  </si>
  <si>
    <t>9282804</t>
  </si>
  <si>
    <t>ocm09282804</t>
  </si>
  <si>
    <t>3000347533X</t>
  </si>
  <si>
    <t>9789027715364</t>
  </si>
  <si>
    <t>792668117</t>
  </si>
  <si>
    <t>Q175.5 R58 1972</t>
  </si>
  <si>
    <t>0                      Q  0175500R  58          1972</t>
  </si>
  <si>
    <t>How long have we got? [by] Ritchie Calder.</t>
  </si>
  <si>
    <t>Montreal, McGill-Queen's University Press, 1972.</t>
  </si>
  <si>
    <t>Beatty memorial lectures</t>
  </si>
  <si>
    <t>2019-09-23</t>
  </si>
  <si>
    <t>1585281:eng</t>
  </si>
  <si>
    <t>447487</t>
  </si>
  <si>
    <t>ocm00447487</t>
  </si>
  <si>
    <t>3000344646Z</t>
  </si>
  <si>
    <t>9780773501508</t>
  </si>
  <si>
    <t>791381275</t>
  </si>
  <si>
    <t>Q175.5 S35 1971</t>
  </si>
  <si>
    <t>0                      Q  0175500S  35          1971</t>
  </si>
  <si>
    <t>Science at the cross roads; papers presented to the International Congress of the History of Science and Technology, held in London from June 29th to July 3rd, 1931, by the Delegates of the U.S.S.R. [Essays by N.I. Bukharin and others]. With a new foreword by Joseph Needham, and a new introduction by P.G. Werskey.</t>
  </si>
  <si>
    <t>[London] F. Cass, 1971.</t>
  </si>
  <si>
    <t>[2d ed.].</t>
  </si>
  <si>
    <t>Social history of science ; no. 23</t>
  </si>
  <si>
    <t>2016-09-10</t>
  </si>
  <si>
    <t>8908478755:eng</t>
  </si>
  <si>
    <t>277687</t>
  </si>
  <si>
    <t>ocm00277687</t>
  </si>
  <si>
    <t>30003939248</t>
  </si>
  <si>
    <t>9780714628684</t>
  </si>
  <si>
    <t>791321046</t>
  </si>
  <si>
    <t>Q175.5 S36 1983</t>
  </si>
  <si>
    <t>0                      Q  0175500S  36          1983</t>
  </si>
  <si>
    <t>Science observed : perspectives on the social study of science / editors, Karin D. Knorr-Cetina &amp; Michael Mulkay.</t>
  </si>
  <si>
    <t>London ; Beverly Hills : Sage Publications, 1983.</t>
  </si>
  <si>
    <t>2019-03-05</t>
  </si>
  <si>
    <t>836622813:eng</t>
  </si>
  <si>
    <t>9650079</t>
  </si>
  <si>
    <t>ocm09650079</t>
  </si>
  <si>
    <t>3102997379C</t>
  </si>
  <si>
    <t>9780803997820</t>
  </si>
  <si>
    <t>792686918</t>
  </si>
  <si>
    <t>Q175.5 S589 1992</t>
  </si>
  <si>
    <t>0                      Q  0175500S  589         1992</t>
  </si>
  <si>
    <t>The social dimensions of science / Ernan McMullin, editor.</t>
  </si>
  <si>
    <t>Notre Dame, Indiana : University of Notre Dame Press, [1992].</t>
  </si>
  <si>
    <t>Studies in science and the humanities from the Reilly Center for Science, Technology, and Values ; v. 3</t>
  </si>
  <si>
    <t>2018-05-01</t>
  </si>
  <si>
    <t>786175088:eng</t>
  </si>
  <si>
    <t>25026322</t>
  </si>
  <si>
    <t>ocm25026322</t>
  </si>
  <si>
    <t>3101208850T</t>
  </si>
  <si>
    <t>9780268017415</t>
  </si>
  <si>
    <t>793210355</t>
  </si>
  <si>
    <t>Q175.5 S734 2004</t>
  </si>
  <si>
    <t>0                      Q  0175500S  734         2004</t>
  </si>
  <si>
    <t>States of knowledge : the co-production of science and social order / edited by Sheila Jasanoff.</t>
  </si>
  <si>
    <t>London ; New York : Routledge, 2004.</t>
  </si>
  <si>
    <t>International library of sociology</t>
  </si>
  <si>
    <t>792920311:eng</t>
  </si>
  <si>
    <t>52895266</t>
  </si>
  <si>
    <t>ocm52895266</t>
  </si>
  <si>
    <t>3102589539Z</t>
  </si>
  <si>
    <t>9780415333610</t>
  </si>
  <si>
    <t>793816712</t>
  </si>
  <si>
    <t>Q175.5 S74</t>
  </si>
  <si>
    <t>0                      Q  0175500S  74</t>
  </si>
  <si>
    <t>Paradoxes of progress / Gunther S. Stent.</t>
  </si>
  <si>
    <t>Stent, Gunther S. (Gunther Siegmund), 1924-2008.</t>
  </si>
  <si>
    <t>San Francisco : W.H. Freeman, ©1978.</t>
  </si>
  <si>
    <t>A Series of books in biology</t>
  </si>
  <si>
    <t>1807280541:eng</t>
  </si>
  <si>
    <t>3965793</t>
  </si>
  <si>
    <t>ocm03965793</t>
  </si>
  <si>
    <t>30010386239</t>
  </si>
  <si>
    <t>9780716700807</t>
  </si>
  <si>
    <t>792309478</t>
  </si>
  <si>
    <t>Q175.5 T46 2012</t>
  </si>
  <si>
    <t>0                      Q  0175500T  46          2012</t>
  </si>
  <si>
    <t>Thinking about provincialism in thinking / edited by Krzysztof Brzechczyn &amp; Katarzyna Paprzycka.</t>
  </si>
  <si>
    <t>Amsterdam ; New York : Rodopi, 2012.</t>
  </si>
  <si>
    <t>Poznań studies in the philosophy of the sciences and the humanities ; v. 100</t>
  </si>
  <si>
    <t>2013-03-22</t>
  </si>
  <si>
    <t>1213990621:eng</t>
  </si>
  <si>
    <t>820632301</t>
  </si>
  <si>
    <t>ocn820632301</t>
  </si>
  <si>
    <t>3103470299Z</t>
  </si>
  <si>
    <t>9789042036307</t>
  </si>
  <si>
    <t>794935580</t>
  </si>
  <si>
    <t>Q175.5 V44 2013</t>
  </si>
  <si>
    <t>0                      Q  0175500V  44          2013</t>
  </si>
  <si>
    <t>Life at the speed of light : from the double helix to the dawn of digital life / J. Craig Venter.</t>
  </si>
  <si>
    <t>Venter, J. Craig.</t>
  </si>
  <si>
    <t>New York, New York : Viking, ©2013.</t>
  </si>
  <si>
    <t>2016-07-08</t>
  </si>
  <si>
    <t>1441139196:eng</t>
  </si>
  <si>
    <t>834432832</t>
  </si>
  <si>
    <t>ocn834432832</t>
  </si>
  <si>
    <t>3103503081N</t>
  </si>
  <si>
    <t>9780670025404</t>
  </si>
  <si>
    <t>794944348</t>
  </si>
  <si>
    <t>Q175.5 W34 2017</t>
  </si>
  <si>
    <t>0                      Q  0175500W  34          2017</t>
  </si>
  <si>
    <t>Therefore choose life / George Wald.</t>
  </si>
  <si>
    <t>Wald, George, 1906-1997, author.</t>
  </si>
  <si>
    <t>Toronto, ON : House of Anansi Press Inc., 2017.</t>
  </si>
  <si>
    <t>The Massey lecture series</t>
  </si>
  <si>
    <t>2019-02-26</t>
  </si>
  <si>
    <t>4209261663:eng</t>
  </si>
  <si>
    <t>987030364</t>
  </si>
  <si>
    <t>ocn987030364</t>
  </si>
  <si>
    <t>3103729111$</t>
  </si>
  <si>
    <t>9781487003203</t>
  </si>
  <si>
    <t>795035854</t>
  </si>
  <si>
    <t>Q175.5 W5x</t>
  </si>
  <si>
    <t>0                      Q  0175500W  5x</t>
  </si>
  <si>
    <t>Social processes of scientific development / edited by Richard Whitley.</t>
  </si>
  <si>
    <t>London ; Boston : Routledge &amp; K. Paul, 1974.</t>
  </si>
  <si>
    <t>365575855:eng</t>
  </si>
  <si>
    <t>3053252</t>
  </si>
  <si>
    <t>ocm03053252</t>
  </si>
  <si>
    <t>30005557490</t>
  </si>
  <si>
    <t>9780710077059</t>
  </si>
  <si>
    <t>792211441</t>
  </si>
  <si>
    <t>Q175.5 W66 1988</t>
  </si>
  <si>
    <t>0                      Q  0175500W  66          1988</t>
  </si>
  <si>
    <t>Science, the very idea / Steve Woolgar.</t>
  </si>
  <si>
    <t>Woolgar, Steve.</t>
  </si>
  <si>
    <t>Chichester, Sussex : Ellis Horwood ; London ; New York : Tavistock Publications, 1988.</t>
  </si>
  <si>
    <t>Key ideas</t>
  </si>
  <si>
    <t>2018-05-08</t>
  </si>
  <si>
    <t>15377100:eng</t>
  </si>
  <si>
    <t>17550140</t>
  </si>
  <si>
    <t>ocm17550140</t>
  </si>
  <si>
    <t>3000537278F</t>
  </si>
  <si>
    <t>9780745800417</t>
  </si>
  <si>
    <t>792995301</t>
  </si>
  <si>
    <t>Q175.52 A43 S32 2008</t>
  </si>
  <si>
    <t>0                      Q  0175520A  43                 S  32          2008</t>
  </si>
  <si>
    <t>Science and empire in the Atlantic world / edited by James Delbourgo and Nicholas Dew.</t>
  </si>
  <si>
    <t>New York : Routledge, 2008.</t>
  </si>
  <si>
    <t>766225204:eng</t>
  </si>
  <si>
    <t>123485478</t>
  </si>
  <si>
    <t>ocn123485478</t>
  </si>
  <si>
    <t>3103532947U</t>
  </si>
  <si>
    <t>9780415961264</t>
  </si>
  <si>
    <t>794227518</t>
  </si>
  <si>
    <t>3102652913R</t>
  </si>
  <si>
    <t>794227519</t>
  </si>
  <si>
    <t>Q175.52 C2 M37 1996</t>
  </si>
  <si>
    <t>0                      Q  0175520C  2                  M  37          1996</t>
  </si>
  <si>
    <t>Science, culture et nation / frère Marie-Victorin ; textes choisis et présentés par Yves Gingras.</t>
  </si>
  <si>
    <t>Marie-Victorin, frère, F.É.C., 1885-1944.</t>
  </si>
  <si>
    <t>[Montréal] : Boréal, 1996.</t>
  </si>
  <si>
    <t>41253484:fre</t>
  </si>
  <si>
    <t>35929028</t>
  </si>
  <si>
    <t>ocm35929028</t>
  </si>
  <si>
    <t>3102895768G</t>
  </si>
  <si>
    <t>9782890527492</t>
  </si>
  <si>
    <t>793461237</t>
  </si>
  <si>
    <t>Q175.52 E85 L96 2010</t>
  </si>
  <si>
    <t>0                      Q  0175520E  85                 L  96          2010</t>
  </si>
  <si>
    <t>The sublime invention : ballooning in Europe, 1783-1820 / by Michael R. Lynn.</t>
  </si>
  <si>
    <t>London : Pickering &amp; Chatto, 2010.</t>
  </si>
  <si>
    <t>The Enlightenment world ; 17</t>
  </si>
  <si>
    <t>797294348:eng</t>
  </si>
  <si>
    <t>503647656</t>
  </si>
  <si>
    <t>ocn503647656</t>
  </si>
  <si>
    <t>3103228957R</t>
  </si>
  <si>
    <t>9781848930162</t>
  </si>
  <si>
    <t>794806635</t>
  </si>
  <si>
    <t>Q175.52 E85 O47 2008</t>
  </si>
  <si>
    <t>0                      Q  0175520E  85                 O  47          2008</t>
  </si>
  <si>
    <t>Science and scientism in nineteenth-century Europe / Richard G. Olson.</t>
  </si>
  <si>
    <t>Olson, Richard, 1940-</t>
  </si>
  <si>
    <t>Urbana : University of Illinois Press, ©2008.</t>
  </si>
  <si>
    <t>2016-02-27</t>
  </si>
  <si>
    <t>67047890:eng</t>
  </si>
  <si>
    <t>82473093</t>
  </si>
  <si>
    <t>ocm82473093</t>
  </si>
  <si>
    <t>3102652849O</t>
  </si>
  <si>
    <t>9780252031885</t>
  </si>
  <si>
    <t>794206070</t>
  </si>
  <si>
    <t>Q175.52 E85 S66 1977</t>
  </si>
  <si>
    <t>0                      Q  0175520E  85                 S  66          1977</t>
  </si>
  <si>
    <t>The Sociology of science in Europe / edited by Robert K. Merton and Jerry Gaston.</t>
  </si>
  <si>
    <t>Carbondale : Southern Illinois University Press, ©1977.</t>
  </si>
  <si>
    <t>Perspectives in sociology</t>
  </si>
  <si>
    <t>2015-08-17</t>
  </si>
  <si>
    <t>3855563053:eng</t>
  </si>
  <si>
    <t>2818196</t>
  </si>
  <si>
    <t>ocm02818196</t>
  </si>
  <si>
    <t>3000465938Z</t>
  </si>
  <si>
    <t>9780809306336</t>
  </si>
  <si>
    <t>792180576</t>
  </si>
  <si>
    <t>Q175.52 G3 J67 1996</t>
  </si>
  <si>
    <t>0                      Q  0175520G  3                  J  67          1996</t>
  </si>
  <si>
    <t>Totalitarian science and technology / Paul R. Josephson.</t>
  </si>
  <si>
    <t>Atlantic Highlands, N.J. : Humanities Press, 1996.</t>
  </si>
  <si>
    <t>Control of nature</t>
  </si>
  <si>
    <t>937914:eng</t>
  </si>
  <si>
    <t>34409794</t>
  </si>
  <si>
    <t>ocm34409794</t>
  </si>
  <si>
    <t>3101808651U</t>
  </si>
  <si>
    <t>9780391039797</t>
  </si>
  <si>
    <t>793425958</t>
  </si>
  <si>
    <t>Q175.52 I4 B33 1996</t>
  </si>
  <si>
    <t>0                      Q  0175520I  4                  B  33          1996</t>
  </si>
  <si>
    <t>The science of empire : scientific knowledge, civilization, and colonial rule in India / Zaheer Baber.</t>
  </si>
  <si>
    <t>Baber, Zaheer.</t>
  </si>
  <si>
    <t>Albany : State University of New York Press, ©1996.</t>
  </si>
  <si>
    <t>2016-09-13</t>
  </si>
  <si>
    <t>799411540:eng</t>
  </si>
  <si>
    <t>32703777</t>
  </si>
  <si>
    <t>ocm32703777</t>
  </si>
  <si>
    <t>3101748067M</t>
  </si>
  <si>
    <t>9780791429204</t>
  </si>
  <si>
    <t>793392229</t>
  </si>
  <si>
    <t>Q175.52 I4 S62 2007</t>
  </si>
  <si>
    <t>0                      Q  0175520I  4                  S  62          2007</t>
  </si>
  <si>
    <t>Social history of science in colonial India / edited by S. Irfan Habib and Dhruv Raina ; [contributors, Zaheer Baber and others].</t>
  </si>
  <si>
    <t>New Delhi : Oxford University Press, 2007.</t>
  </si>
  <si>
    <t>Oxford in India readings. Themes in Indian history</t>
  </si>
  <si>
    <t>351954442:eng</t>
  </si>
  <si>
    <t>124474720</t>
  </si>
  <si>
    <t>ocn124474720</t>
  </si>
  <si>
    <t>31028051723</t>
  </si>
  <si>
    <t>9780195681574</t>
  </si>
  <si>
    <t>794230700</t>
  </si>
  <si>
    <t>Q175.52 S65 S58 1980</t>
  </si>
  <si>
    <t>0                      Q  0175520S  65                 S  58          1980</t>
  </si>
  <si>
    <t>The Social context of Soviet science / edited by Linda L. Lubrano and Susan Gross Solomon.</t>
  </si>
  <si>
    <t>Boulder, Colo. : Westview Press, 1980.</t>
  </si>
  <si>
    <t>Westview special studies on the Soviet Union and Eastern Europe</t>
  </si>
  <si>
    <t>351972035:eng</t>
  </si>
  <si>
    <t>5126092</t>
  </si>
  <si>
    <t>ocm05126092</t>
  </si>
  <si>
    <t>3000321055B</t>
  </si>
  <si>
    <t>9780891584506</t>
  </si>
  <si>
    <t>792409830</t>
  </si>
  <si>
    <t>Q175.52 U5 M66 2005</t>
  </si>
  <si>
    <t>0                      Q  0175520U  5                  M  66          2005</t>
  </si>
  <si>
    <t>The Republican war on science / Chris Mooney.</t>
  </si>
  <si>
    <t>Mooney, Chris (Chris C.)</t>
  </si>
  <si>
    <t>New York : Basic Books, ©2005.</t>
  </si>
  <si>
    <t>2015-07-07</t>
  </si>
  <si>
    <t>589530:eng</t>
  </si>
  <si>
    <t>58605134</t>
  </si>
  <si>
    <t>ocm58605134</t>
  </si>
  <si>
    <t>31025788024</t>
  </si>
  <si>
    <t>9780465046751</t>
  </si>
  <si>
    <t>793923228</t>
  </si>
  <si>
    <t>Q175.52 U5 M85 1989</t>
  </si>
  <si>
    <t>0                      Q  0175520U  5                  M  85          1989</t>
  </si>
  <si>
    <t>A fragile power : scientists and the state / Chandra Mukerji.</t>
  </si>
  <si>
    <t>Mukerji, Chandra.</t>
  </si>
  <si>
    <t>Princeton, N.J. : Princeton University Press, ©1989.</t>
  </si>
  <si>
    <t>2016-11-16</t>
  </si>
  <si>
    <t>808724353:eng</t>
  </si>
  <si>
    <t>19555227</t>
  </si>
  <si>
    <t>ocm19555227</t>
  </si>
  <si>
    <t>3100754998Y</t>
  </si>
  <si>
    <t>9780691085388</t>
  </si>
  <si>
    <t>793062054</t>
  </si>
  <si>
    <t>Q175.55 B37 1990</t>
  </si>
  <si>
    <t>0                      Q  0175550B  37          1990</t>
  </si>
  <si>
    <t>Social studies of science / Bernard Barber.</t>
  </si>
  <si>
    <t>Barber, Bernard.</t>
  </si>
  <si>
    <t>New Brunswick, N.J., U.S.A. : Transaction Publishers, ©1990.</t>
  </si>
  <si>
    <t>2019-10-24</t>
  </si>
  <si>
    <t>22044138:eng</t>
  </si>
  <si>
    <t>20754068</t>
  </si>
  <si>
    <t>ocm20754068</t>
  </si>
  <si>
    <t>3101009415J</t>
  </si>
  <si>
    <t>9780887383298</t>
  </si>
  <si>
    <t>793097493</t>
  </si>
  <si>
    <t>Q175.55 B49 2000</t>
  </si>
  <si>
    <t>0                      Q  0175550B  49          2000</t>
  </si>
  <si>
    <t>Beyond the science wars : the missing discourse about science and society / edited by Ullica Segerstråle.</t>
  </si>
  <si>
    <t>Albany : State University of New York Press, ©2000.</t>
  </si>
  <si>
    <t>2016-11-01</t>
  </si>
  <si>
    <t>800010483:eng</t>
  </si>
  <si>
    <t>42682853</t>
  </si>
  <si>
    <t>ocm42682853</t>
  </si>
  <si>
    <t>3102964956P</t>
  </si>
  <si>
    <t>9780791446171</t>
  </si>
  <si>
    <t>793611672</t>
  </si>
  <si>
    <t>Q175.55 S29 1982</t>
  </si>
  <si>
    <t>0                      Q  0175550S  29          1982</t>
  </si>
  <si>
    <t>Science in context : readings in the sociology of science / edited by Barry Barnes and David Edge.</t>
  </si>
  <si>
    <t>Cambridge, Mass. : MIT Press, 1982.</t>
  </si>
  <si>
    <t>1st MIT Press pbk. ed.</t>
  </si>
  <si>
    <t>366021366:eng</t>
  </si>
  <si>
    <t>9098133</t>
  </si>
  <si>
    <t>ocm09098133</t>
  </si>
  <si>
    <t>30003492134</t>
  </si>
  <si>
    <t>9780262520768</t>
  </si>
  <si>
    <t>792657003</t>
  </si>
  <si>
    <t>Q175.55 T43 1995</t>
  </si>
  <si>
    <t>0                      Q  0175550T  43          1995</t>
  </si>
  <si>
    <t>Technoscientific imaginaries : conversations, profiles, and memoirs / George E. Marcus, editor.</t>
  </si>
  <si>
    <t>Late editions, 1070-8987 ; 2</t>
  </si>
  <si>
    <t>2017-07-06</t>
  </si>
  <si>
    <t>890529032:eng</t>
  </si>
  <si>
    <t>32551118</t>
  </si>
  <si>
    <t>ocm32551118</t>
  </si>
  <si>
    <t>3101467203H</t>
  </si>
  <si>
    <t>9780226504438</t>
  </si>
  <si>
    <t>793387389</t>
  </si>
  <si>
    <t>Q180 A1 B48</t>
  </si>
  <si>
    <t>0                      Q  0180000A  1                  B  48</t>
  </si>
  <si>
    <t>The art of scientific investigation / by W.I.B. Beveridge.</t>
  </si>
  <si>
    <t>Beveridge, W. I. B. (William Ian Beardmore), 1908-2006.</t>
  </si>
  <si>
    <t>Melbourne ; Toronto : W. Heinemann, 1951.</t>
  </si>
  <si>
    <t>Repr. with corrections.</t>
  </si>
  <si>
    <t>2016-01-29</t>
  </si>
  <si>
    <t>372831698:eng</t>
  </si>
  <si>
    <t>35488020</t>
  </si>
  <si>
    <t>ocm35488020</t>
  </si>
  <si>
    <t>3000539983L</t>
  </si>
  <si>
    <t>793451336</t>
  </si>
  <si>
    <t>Q180 A1 B571 1950</t>
  </si>
  <si>
    <t>0                      Q  0180000A  1                  B  571         1950</t>
  </si>
  <si>
    <t>The art of scientific investigation, by W.I.B. Beveridge.</t>
  </si>
  <si>
    <t>New York, Vintage Books [1961]</t>
  </si>
  <si>
    <t>[1st Vintage ed.].</t>
  </si>
  <si>
    <t>A Vintage book ; V-129</t>
  </si>
  <si>
    <t>3898098</t>
  </si>
  <si>
    <t>ocm03898098</t>
  </si>
  <si>
    <t>3000836143M</t>
  </si>
  <si>
    <t>9780394701295</t>
  </si>
  <si>
    <t>792302939</t>
  </si>
  <si>
    <t>Q180.A1 D85 2005</t>
  </si>
  <si>
    <t>0                      Q  0180000A  1                  D  85          2005</t>
  </si>
  <si>
    <t>Becoming a researcher : a companion to the research process / Mairead Dunne, John Pryor and Paul Yates.</t>
  </si>
  <si>
    <t>Dunne, Máiréad.</t>
  </si>
  <si>
    <t>Maidenhead : Open University Press, 2005.</t>
  </si>
  <si>
    <t>Conducting educational research.</t>
  </si>
  <si>
    <t>2016-09-27</t>
  </si>
  <si>
    <t>180972956:eng</t>
  </si>
  <si>
    <t>58832074</t>
  </si>
  <si>
    <t>ocm58832074</t>
  </si>
  <si>
    <t>31025551510</t>
  </si>
  <si>
    <t>9780335213955</t>
  </si>
  <si>
    <t>793925051</t>
  </si>
  <si>
    <t>Q180 A1 H3</t>
  </si>
  <si>
    <t>0                      Q  0180000A  1                  H  3</t>
  </si>
  <si>
    <t>The scientific community [by] Warren O. Hagstrom.</t>
  </si>
  <si>
    <t>Hagstrom, Warren O.</t>
  </si>
  <si>
    <t>New York, Basic Books [1965]</t>
  </si>
  <si>
    <t>2002-11-06</t>
  </si>
  <si>
    <t>466949:eng</t>
  </si>
  <si>
    <t>522914</t>
  </si>
  <si>
    <t>ocm00522914</t>
  </si>
  <si>
    <t>3100221169U</t>
  </si>
  <si>
    <t>791402648</t>
  </si>
  <si>
    <t>3102354241F</t>
  </si>
  <si>
    <t>791402649</t>
  </si>
  <si>
    <t>2004-05-07</t>
  </si>
  <si>
    <t>31002203608</t>
  </si>
  <si>
    <t>791402647</t>
  </si>
  <si>
    <t>Q180 A1 H35 1975</t>
  </si>
  <si>
    <t>0                      Q  0180000A  1                  H  35          1975</t>
  </si>
  <si>
    <t>Patterns of scientific research : a comparative analysis of research in three scientific fields / by Lowell L. Hargens.</t>
  </si>
  <si>
    <t>Hargens, Lowell L. (Lowell Lavern), 1942-</t>
  </si>
  <si>
    <t>[Washington] : [American Sociological Association], [1975]</t>
  </si>
  <si>
    <t>The Arnold and Caroline Rose monograph series of the American Sociological Association</t>
  </si>
  <si>
    <t>2018-09-09</t>
  </si>
  <si>
    <t>474635071:eng</t>
  </si>
  <si>
    <t>1679471</t>
  </si>
  <si>
    <t>ocm01679471</t>
  </si>
  <si>
    <t>3000454732T</t>
  </si>
  <si>
    <t>9780912764115</t>
  </si>
  <si>
    <t>791828501</t>
  </si>
  <si>
    <t>Q180 A1 L63 2004</t>
  </si>
  <si>
    <t>0                      Q  0180000A  1                  L  63          2004</t>
  </si>
  <si>
    <t>Reading and understanding research / Lawrence F. Locke, Stephen J. Silverman, Waneen Wyrick Spirduso.</t>
  </si>
  <si>
    <t>Locke, Lawrence F.</t>
  </si>
  <si>
    <t>Thousand Oaks, Calif. : Sage Publications, ©2004.</t>
  </si>
  <si>
    <t>2009-02-15</t>
  </si>
  <si>
    <t>590118:eng</t>
  </si>
  <si>
    <t>53253895</t>
  </si>
  <si>
    <t>ocm53253895</t>
  </si>
  <si>
    <t>31023626308</t>
  </si>
  <si>
    <t>9780761927686</t>
  </si>
  <si>
    <t>793825105</t>
  </si>
  <si>
    <t>3102465919M</t>
  </si>
  <si>
    <t>793825104</t>
  </si>
  <si>
    <t>Q180 A1 L63 2016</t>
  </si>
  <si>
    <t>0                      Q  0180000A  1                  L  63          2016</t>
  </si>
  <si>
    <t>The local configuration of new research fields : on regional and national diversity / Martina Merz, Philippe Sormani, editors.</t>
  </si>
  <si>
    <t>Cham : Springer, [2016]</t>
  </si>
  <si>
    <t>Sociology of the sciences yearbook, 0167-2320 ; volume 29</t>
  </si>
  <si>
    <t>2843511426:eng</t>
  </si>
  <si>
    <t>931649871</t>
  </si>
  <si>
    <t>ocn931649871</t>
  </si>
  <si>
    <t>31036584095</t>
  </si>
  <si>
    <t>9783319226828</t>
  </si>
  <si>
    <t>795007665</t>
  </si>
  <si>
    <t>Q180 A1 R36 no.2362-1</t>
  </si>
  <si>
    <t>0                      Q  0180000A  1                  R  36                                no.2362-1</t>
  </si>
  <si>
    <t>A Report on the physical environment of southern Baffin Island, Northwest Territories, Canada / Department of Geography, McGill University.</t>
  </si>
  <si>
    <t>no.2362-1*</t>
  </si>
  <si>
    <t>Santa Monica, Calif : Rand Corp., 1963.</t>
  </si>
  <si>
    <t>Memorandum / the Rand Corporation ; RM-2362-1-PR</t>
  </si>
  <si>
    <t>2011-09-21</t>
  </si>
  <si>
    <t>2542098455:eng</t>
  </si>
  <si>
    <t>61572639</t>
  </si>
  <si>
    <t>ocm61572639</t>
  </si>
  <si>
    <t>3000717406U</t>
  </si>
  <si>
    <t>794007168</t>
  </si>
  <si>
    <t>Q180 A1 S345 1982</t>
  </si>
  <si>
    <t>0                      Q  0180000A  1                  S  345         1982</t>
  </si>
  <si>
    <t>Scientific establishments and hierarchies / edited by Norbert Elias, Herminio Martins, and Richard Whitley.</t>
  </si>
  <si>
    <t>Dordrecht, Holland ; Boston : D. Reidel Pub. Co. ; Hingham, MA : Sold and distributed in the U.S.A. and Canada, Kluwer of Boston, 1982.</t>
  </si>
  <si>
    <t>Sociology of the sciences : a yearbook ; v. 6</t>
  </si>
  <si>
    <t>347684173:eng</t>
  </si>
  <si>
    <t>8171792</t>
  </si>
  <si>
    <t>ocm08171792</t>
  </si>
  <si>
    <t>3000336236D</t>
  </si>
  <si>
    <t>9789027713223</t>
  </si>
  <si>
    <t>792603580</t>
  </si>
  <si>
    <t>Q180 A1 S735 2013</t>
  </si>
  <si>
    <t>0                      Q  0180000A  1                  S  735         2013</t>
  </si>
  <si>
    <t>Une autre science est possible! : manifeste pour un ralentissement des sciences / Isabelle Stengers. Suivi de, Le poulpe du doctorat / William James ; présenté par Thierry Drumm.</t>
  </si>
  <si>
    <t>Stengers, Isabelle.</t>
  </si>
  <si>
    <t>Paris : La Découverte, [2013]</t>
  </si>
  <si>
    <t>Les empêcheurs de penser en rond</t>
  </si>
  <si>
    <t>1219525762:fre</t>
  </si>
  <si>
    <t>866803523</t>
  </si>
  <si>
    <t>ocn866803523</t>
  </si>
  <si>
    <t>3103517677N</t>
  </si>
  <si>
    <t>9782359250664</t>
  </si>
  <si>
    <t>794963633</t>
  </si>
  <si>
    <t>Q180 A1 W4</t>
  </si>
  <si>
    <t>0                      Q  0180000A  1                  W  4</t>
  </si>
  <si>
    <t>Reflections on big science [by] Alvin M. Weinberg.</t>
  </si>
  <si>
    <t>Weinberg, Alvin Martin, 1915-2006.</t>
  </si>
  <si>
    <t>2015-12-14</t>
  </si>
  <si>
    <t>113006347:eng</t>
  </si>
  <si>
    <t>523693</t>
  </si>
  <si>
    <t>ocm00523693</t>
  </si>
  <si>
    <t>3103636121C</t>
  </si>
  <si>
    <t>791402931</t>
  </si>
  <si>
    <t>Q180 C2 E34</t>
  </si>
  <si>
    <t>0                      Q  0180000C  2                  E  34</t>
  </si>
  <si>
    <t>National research in Canada : the NRC, 1916-1966 / Wilfrid Eggleston.</t>
  </si>
  <si>
    <t>Eggleston, Wilfrid.</t>
  </si>
  <si>
    <t>Toronto : Clarke, Irwin, ©1978.</t>
  </si>
  <si>
    <t>2018-08-01</t>
  </si>
  <si>
    <t>14844893:eng</t>
  </si>
  <si>
    <t>4570147</t>
  </si>
  <si>
    <t>ocm04570147</t>
  </si>
  <si>
    <t>30008559587</t>
  </si>
  <si>
    <t>9780772011817</t>
  </si>
  <si>
    <t>792363563</t>
  </si>
  <si>
    <t>Q180 C2 Q43 1978</t>
  </si>
  <si>
    <t>0                      Q  0180000C  2                  Q  43          1978</t>
  </si>
  <si>
    <t>Logistique de la recherche nordique : =Logistics of northern research / editor-redacteur: John Drake.</t>
  </si>
  <si>
    <t>Quebec Interuniversity Colloquium on Northern Studies (3rd : 1978 : McGill University)</t>
  </si>
  <si>
    <t>Montréal : Centre for Northern Studies and Research, McGill University, 1978.</t>
  </si>
  <si>
    <t>2017-04-23</t>
  </si>
  <si>
    <t>46141574:eng</t>
  </si>
  <si>
    <t>61572369</t>
  </si>
  <si>
    <t>ocm61572369</t>
  </si>
  <si>
    <t>3103741222I</t>
  </si>
  <si>
    <t>794006857</t>
  </si>
  <si>
    <t>Q180 C2 T5</t>
  </si>
  <si>
    <t>0                      Q  0180000C  2                  T  5</t>
  </si>
  <si>
    <t>The inner ring : the early history of the National Research Council of Canada / by Mel Thistle.</t>
  </si>
  <si>
    <t>Thistle, Mel W.</t>
  </si>
  <si>
    <t>[Toronto] : University of Toronto Press, [1966]</t>
  </si>
  <si>
    <t>500285072:eng</t>
  </si>
  <si>
    <t>523687</t>
  </si>
  <si>
    <t>ocm00523687</t>
  </si>
  <si>
    <t>3000348725J</t>
  </si>
  <si>
    <t>9780802031563</t>
  </si>
  <si>
    <t>791402924</t>
  </si>
  <si>
    <t>Q180 C3 P69 2017</t>
  </si>
  <si>
    <t>0                      Q  0180000C  3                  P  69          2017</t>
  </si>
  <si>
    <t>Studying Arctic fields : cultures, practices, and environmental sciences / Richard C. Powell.</t>
  </si>
  <si>
    <t>Powell, Richard C., author.</t>
  </si>
  <si>
    <t>Montreal ; Kingston ; London ; Chicago : McGill-Queen's University Press, [2017]</t>
  </si>
  <si>
    <t>McGill-Queen's native and northern series ; 92</t>
  </si>
  <si>
    <t>4666847182:eng</t>
  </si>
  <si>
    <t>985688201</t>
  </si>
  <si>
    <t>ocn985688201</t>
  </si>
  <si>
    <t>3103729719X</t>
  </si>
  <si>
    <t>9780773551121</t>
  </si>
  <si>
    <t>795035439</t>
  </si>
  <si>
    <t>Q 180 C663 1950</t>
  </si>
  <si>
    <t>0                      Q  0180000C  663         1950</t>
  </si>
  <si>
    <t>Experimental designs, by William G. Cochran and Gertrude M. Cox.</t>
  </si>
  <si>
    <t>Cochran, William G. (William Gemmell), 1909-1980.</t>
  </si>
  <si>
    <t>New York, Wiley [1950]</t>
  </si>
  <si>
    <t>Wiley mathematical statistics series</t>
  </si>
  <si>
    <t>116383790:eng</t>
  </si>
  <si>
    <t>665897</t>
  </si>
  <si>
    <t>ocm00665897</t>
  </si>
  <si>
    <t>3000128626A</t>
  </si>
  <si>
    <t>791441165</t>
  </si>
  <si>
    <t>Q180 G4 K46 2006</t>
  </si>
  <si>
    <t>0                      Q  0180000G  4                  K  46          2006</t>
  </si>
  <si>
    <t>Kontinuitäten und Diskontinuitäten in der Wissenschaftsgeschichte des 20. Jahrhunderts / Rüdiger vom Bruch, Uta Gerhardt, Aleksandra Pawliczek (Hg.).</t>
  </si>
  <si>
    <t>Stuttgart : Steiner, 2006.</t>
  </si>
  <si>
    <t>Geschichte (Franz Steiner Verlag)</t>
  </si>
  <si>
    <t>2015-05-07</t>
  </si>
  <si>
    <t>367957514:ger</t>
  </si>
  <si>
    <t>123125867</t>
  </si>
  <si>
    <t>ocn123125867</t>
  </si>
  <si>
    <t>3103216460G</t>
  </si>
  <si>
    <t>9783515089654</t>
  </si>
  <si>
    <t>794223225</t>
  </si>
  <si>
    <t>Q180 M4 H35 1994</t>
  </si>
  <si>
    <t>0                      Q  0180000M  4                  H  35          1994</t>
  </si>
  <si>
    <t>The Handbook of research synthesis / edited by Harris Cooper and Larry V. Hedges.</t>
  </si>
  <si>
    <t>New York : Russell Sage Foundation, ©1994.</t>
  </si>
  <si>
    <t>349996176:eng</t>
  </si>
  <si>
    <t>28016110</t>
  </si>
  <si>
    <t>ocm28016110</t>
  </si>
  <si>
    <t>3101513046D</t>
  </si>
  <si>
    <t>9780871542267</t>
  </si>
  <si>
    <t>793277529</t>
  </si>
  <si>
    <t>Q180 Q2 L38 2012</t>
  </si>
  <si>
    <t>0                      Q  0180000Q  2                  L  38          2012</t>
  </si>
  <si>
    <t>Launching the Qatar National Research fund / Shelly Culbertson [and others].</t>
  </si>
  <si>
    <t>Santa Monica, CA : RAND, 2012.</t>
  </si>
  <si>
    <t>Rand Corporation technical report series ; TR-722-QF</t>
  </si>
  <si>
    <t>1172993161:eng</t>
  </si>
  <si>
    <t>808628119</t>
  </si>
  <si>
    <t>ocn808628119</t>
  </si>
  <si>
    <t>3103441019V</t>
  </si>
  <si>
    <t>9780833052414</t>
  </si>
  <si>
    <t>794927782</t>
  </si>
  <si>
    <t>Q180 Q2 S87 2012</t>
  </si>
  <si>
    <t>0                      Q  0180000Q  2                  S  87          2012</t>
  </si>
  <si>
    <t>Sustaining the Qatar National Research Fund / Gary Cecchine [and others].</t>
  </si>
  <si>
    <t>Santa Monica, CA : Rand, 2012.</t>
  </si>
  <si>
    <t>RAND Corporation technical report series ; TR-1125-QF</t>
  </si>
  <si>
    <t>1172993166:eng</t>
  </si>
  <si>
    <t>748812938</t>
  </si>
  <si>
    <t>ocn748812938</t>
  </si>
  <si>
    <t>3103441020T</t>
  </si>
  <si>
    <t>9780833058218</t>
  </si>
  <si>
    <t>794889570</t>
  </si>
  <si>
    <t>Q180 U5 G32 2004</t>
  </si>
  <si>
    <t>0                      Q  0180000U  5                  G  32          2004</t>
  </si>
  <si>
    <t>Knowledge and money : research universities and the paradox of the marketplace / Roger L. Geiger.</t>
  </si>
  <si>
    <t>Geiger, Roger L., 1943-</t>
  </si>
  <si>
    <t>Stanford, Calif. : Stanford University Press, 2004.</t>
  </si>
  <si>
    <t>796575498:eng</t>
  </si>
  <si>
    <t>54374876</t>
  </si>
  <si>
    <t>ocm54374876</t>
  </si>
  <si>
    <t>3102418161C</t>
  </si>
  <si>
    <t>9780804749251</t>
  </si>
  <si>
    <t>793860502</t>
  </si>
  <si>
    <t>Q180 U5 R387 1995</t>
  </si>
  <si>
    <t>0                      Q  0180000U  5                  R  387         1995</t>
  </si>
  <si>
    <t>Research-doctorate programs in the United States : continuity and change / Marvin L. Goldberger, Brendan A. Maher, and Pamela Ebert Flattau, editors ; Committee for the Study of Research-Doctorate Programs in the United States ; sponsored by the Conference Board of Associated Research Councils ; and conducted by Studies and Surveys Unit, Office of Scientific and Engineering Personnel, National Research Council.</t>
  </si>
  <si>
    <t>Washington, D.C. : National Academy Press, 1995.</t>
  </si>
  <si>
    <t>2017-08-24</t>
  </si>
  <si>
    <t>969877355:eng</t>
  </si>
  <si>
    <t>32893466</t>
  </si>
  <si>
    <t>ocm32893466</t>
  </si>
  <si>
    <t>3101801401E</t>
  </si>
  <si>
    <t>9780309050944</t>
  </si>
  <si>
    <t>793396898</t>
  </si>
  <si>
    <t>Q180 U5 U18 2002</t>
  </si>
  <si>
    <t>0                      Q  0180000U  5                  U  18          2002</t>
  </si>
  <si>
    <t>U.S. government funding for science and technology cooperation with Russia / C. Wagner [and others].</t>
  </si>
  <si>
    <t>Santa Monica, CA : RAND, 2002.</t>
  </si>
  <si>
    <t>2019-10-28</t>
  </si>
  <si>
    <t>341648027:eng</t>
  </si>
  <si>
    <t>49727884</t>
  </si>
  <si>
    <t>ocm49727884</t>
  </si>
  <si>
    <t>3102307755B</t>
  </si>
  <si>
    <t>9780833031457</t>
  </si>
  <si>
    <t>793746682</t>
  </si>
  <si>
    <t>Q180.55 E25 R47</t>
  </si>
  <si>
    <t>0                      Q  0180550E  25                 R  47</t>
  </si>
  <si>
    <t>Scientific progress : a philosophical essay on the economics of research in natural science / Nicholas Rescher.</t>
  </si>
  <si>
    <t>Rescher, Nicholas.</t>
  </si>
  <si>
    <t>Oxford : B. Blackwell, ©1978.</t>
  </si>
  <si>
    <t>2018-07-11</t>
  </si>
  <si>
    <t>865136389:eng</t>
  </si>
  <si>
    <t>4210650</t>
  </si>
  <si>
    <t>ocm04210650</t>
  </si>
  <si>
    <t>30004328184</t>
  </si>
  <si>
    <t>9780631179801</t>
  </si>
  <si>
    <t>792331063</t>
  </si>
  <si>
    <t>Q180.55 E25 W54 2010</t>
  </si>
  <si>
    <t>0                      Q  0180550E  25                 W  54          2010</t>
  </si>
  <si>
    <t>Selling science in the age of Newton : advertising and the commoditization of knowledge / Jeffrey R. Wigelsworth.</t>
  </si>
  <si>
    <t>Wigelsworth, Jeffrey R.</t>
  </si>
  <si>
    <t>Farnham, Surrey, England ; Burlington, VT : Ashgate Pub., ©2010.</t>
  </si>
  <si>
    <t>798432630:eng</t>
  </si>
  <si>
    <t>645707915</t>
  </si>
  <si>
    <t>ocn645707915</t>
  </si>
  <si>
    <t>3103322652H</t>
  </si>
  <si>
    <t>9781409400752</t>
  </si>
  <si>
    <t>794829758</t>
  </si>
  <si>
    <t>Q180.55 E4 M35 2012</t>
  </si>
  <si>
    <t>0                      Q  0180550E  4                  M  35          2012</t>
  </si>
  <si>
    <t>Managing research data / edited by Graham Pryor.</t>
  </si>
  <si>
    <t>London : Facet Publishing, 2012.</t>
  </si>
  <si>
    <t>1088353402:eng</t>
  </si>
  <si>
    <t>702873233</t>
  </si>
  <si>
    <t>ocn702873233</t>
  </si>
  <si>
    <t>31034091558</t>
  </si>
  <si>
    <t>9781856047562</t>
  </si>
  <si>
    <t>794864316</t>
  </si>
  <si>
    <t>Q180.55 E4 M48 2015</t>
  </si>
  <si>
    <t>0                      Q  0180550E  4                  M  48          2015</t>
  </si>
  <si>
    <t>Knowledge machines : digital transformations of the sciences and humanities / Eric T. Meyer and Ralph Schroeder.</t>
  </si>
  <si>
    <t>Meyer, Eric T., 1966-</t>
  </si>
  <si>
    <t>Cambridge, Massachusetts : The MIT Press, [2015]</t>
  </si>
  <si>
    <t>Infrastructures series</t>
  </si>
  <si>
    <t>2544732648:eng</t>
  </si>
  <si>
    <t>897401771</t>
  </si>
  <si>
    <t>ocn897401771</t>
  </si>
  <si>
    <t>31037588764</t>
  </si>
  <si>
    <t>9780262028745</t>
  </si>
  <si>
    <t>794985090</t>
  </si>
  <si>
    <t>Q180.55 E9 C43 2007</t>
  </si>
  <si>
    <t>0                      Q  0180550E  9                  C  43          2007</t>
  </si>
  <si>
    <t>The changing governance of the sciences : the advent of research evaluation systems / edited by Richard Whitley and Jochen Gläser.</t>
  </si>
  <si>
    <t>Dordrecht, the Netherlands : Springer, ©2007.</t>
  </si>
  <si>
    <t>Sociology of the sciences yearbook ; v. 26</t>
  </si>
  <si>
    <t>1076744369:eng</t>
  </si>
  <si>
    <t>173239129</t>
  </si>
  <si>
    <t>ocn173239129</t>
  </si>
  <si>
    <t>3102706132D</t>
  </si>
  <si>
    <t>9781402067457</t>
  </si>
  <si>
    <t>794265728</t>
  </si>
  <si>
    <t>Q180.55 E9 G56 2014</t>
  </si>
  <si>
    <t>0                      Q  0180550E  9                  G  56          2014</t>
  </si>
  <si>
    <t>Les dérives de l'évaluation de la recherche : du bon usage de la bibliométrie / Yves Gingras.</t>
  </si>
  <si>
    <t>Gingras, Yves, 1954- author.</t>
  </si>
  <si>
    <t>Paris : Raisons d'agir éditions, [2014]</t>
  </si>
  <si>
    <t>Raisons d'agir</t>
  </si>
  <si>
    <t>1783974366:fre</t>
  </si>
  <si>
    <t>913651748</t>
  </si>
  <si>
    <t>ocn913651748</t>
  </si>
  <si>
    <t>3103647304U</t>
  </si>
  <si>
    <t>9782912107756</t>
  </si>
  <si>
    <t>794999529</t>
  </si>
  <si>
    <t>Q180.55 E9 G5613 2016</t>
  </si>
  <si>
    <t>0                      Q  0180550E  9                  G  5613        2016</t>
  </si>
  <si>
    <t>Bibliometrics and research evaluation : uses and abuses / Yves Gingras.</t>
  </si>
  <si>
    <t>Cambridge, Massachusetts : The MIT Press, [2016]</t>
  </si>
  <si>
    <t>History and foundations of information science</t>
  </si>
  <si>
    <t>2017-10-05</t>
  </si>
  <si>
    <t>3936424043:eng</t>
  </si>
  <si>
    <t>946160420</t>
  </si>
  <si>
    <t>ocn946160420</t>
  </si>
  <si>
    <t>3103671408U</t>
  </si>
  <si>
    <t>9780262035125</t>
  </si>
  <si>
    <t>795014321</t>
  </si>
  <si>
    <t>Q180.55 E9 G57 2001</t>
  </si>
  <si>
    <t>0                      Q  0180550E  9                  G  57          2001</t>
  </si>
  <si>
    <t>Evaluating research articles from start to finish / Ellen R. Girden.</t>
  </si>
  <si>
    <t>Girden, Ellen R., author.</t>
  </si>
  <si>
    <t>Thousand Oaks, Calif. : Sage Publications, ©2001.</t>
  </si>
  <si>
    <t>946779:eng</t>
  </si>
  <si>
    <t>45172858</t>
  </si>
  <si>
    <t>ocm45172858</t>
  </si>
  <si>
    <t>3102465949G</t>
  </si>
  <si>
    <t>9780761922131</t>
  </si>
  <si>
    <t>793666156</t>
  </si>
  <si>
    <t>3102172113D</t>
  </si>
  <si>
    <t>793666157</t>
  </si>
  <si>
    <t>Q180.55 E9 G57 2011</t>
  </si>
  <si>
    <t>0                      Q  0180550E  9                  G  57          2011</t>
  </si>
  <si>
    <t>Evaluating research articles from start to finish / Ellen R. Girden, Robert I. Kabacoff.</t>
  </si>
  <si>
    <t>Girden, Ellen R.</t>
  </si>
  <si>
    <t>Thousand Oaks, Calif. : SAGE Publications, ©2011.</t>
  </si>
  <si>
    <t>2014-08-13</t>
  </si>
  <si>
    <t>607976534</t>
  </si>
  <si>
    <t>ocn607976534</t>
  </si>
  <si>
    <t>3103321696D</t>
  </si>
  <si>
    <t>9781412974462</t>
  </si>
  <si>
    <t>794818633</t>
  </si>
  <si>
    <t>Q180.55 E9 P36 2004</t>
  </si>
  <si>
    <t>0                      Q  0180550E  9                  P  36          2004</t>
  </si>
  <si>
    <t>Preparing literature reviews : qualitative and quantitative approaches / M. Ling Pan.</t>
  </si>
  <si>
    <t>Pan, M. Ling.</t>
  </si>
  <si>
    <t>Glendale, CA : Pryczak Publishing, [2004]</t>
  </si>
  <si>
    <t>897905252:eng</t>
  </si>
  <si>
    <t>55076076</t>
  </si>
  <si>
    <t>ocm55076076</t>
  </si>
  <si>
    <t>31025794336</t>
  </si>
  <si>
    <t>9781884585562</t>
  </si>
  <si>
    <t>793873890</t>
  </si>
  <si>
    <t>Q180.55 I45 M43 1998</t>
  </si>
  <si>
    <t>0                      Q  0180550I  45                 M  43          1998</t>
  </si>
  <si>
    <t>Communicating research / A.J. Meadows.</t>
  </si>
  <si>
    <t>Meadows, A. J. (Arthur Jack)</t>
  </si>
  <si>
    <t>San Diego : Academic Press, ©1998.</t>
  </si>
  <si>
    <t>Library and information science</t>
  </si>
  <si>
    <t>2015-08-11</t>
  </si>
  <si>
    <t>592353:eng</t>
  </si>
  <si>
    <t>37246719</t>
  </si>
  <si>
    <t>ocm37246719</t>
  </si>
  <si>
    <t>31018440385</t>
  </si>
  <si>
    <t>9780124874152</t>
  </si>
  <si>
    <t>793494223</t>
  </si>
  <si>
    <t>Q180.55 I48 A33 2012</t>
  </si>
  <si>
    <t>0                      Q  0180550I  48                 A  33          2012</t>
  </si>
  <si>
    <t>The added value of scientific networking : perspectives from the GEOIDE Network members 1998-2012 / edited by Nicholas Chrisman and Monica Wachowicz.</t>
  </si>
  <si>
    <t>Québec, Québec : GEOIDE Network, 2012.</t>
  </si>
  <si>
    <t>1178699509:eng</t>
  </si>
  <si>
    <t>816661559</t>
  </si>
  <si>
    <t>ocn816661559</t>
  </si>
  <si>
    <t>31034731351</t>
  </si>
  <si>
    <t>9781927371688</t>
  </si>
  <si>
    <t>794933282</t>
  </si>
  <si>
    <t>Q180.55 I48 E97 2009</t>
  </si>
  <si>
    <t>0                      Q  0180550I  48                 E  97          2009</t>
  </si>
  <si>
    <t>Exploring avenues to interdisciplinary research : from cross- to multi- to interdisciplinarity / editors M. Karanika-Murray and R. Wiesemes.</t>
  </si>
  <si>
    <t>Cross-Disciplinary Research Conference (1st : 2007 : University of Nottingham)</t>
  </si>
  <si>
    <t>Nottingham : Nottingham University Press, 2009.</t>
  </si>
  <si>
    <t>2015-04-08</t>
  </si>
  <si>
    <t>802396385:eng</t>
  </si>
  <si>
    <t>311464013</t>
  </si>
  <si>
    <t>ocn311464013</t>
  </si>
  <si>
    <t>31028574660</t>
  </si>
  <si>
    <t>9781904761686</t>
  </si>
  <si>
    <t>794436191</t>
  </si>
  <si>
    <t>Q180.55 I48 O88 1996</t>
  </si>
  <si>
    <t>0                      Q  0180550I  48                 O  88          1996</t>
  </si>
  <si>
    <t>Outside the lines : issues in interdisciplinary research / [edited by] Liora Salter and Alison Hearn.</t>
  </si>
  <si>
    <t>Montreal ; Buffalo : McGill-Queen's University Press, ©1996.</t>
  </si>
  <si>
    <t>2017-06-26</t>
  </si>
  <si>
    <t>1067182143:eng</t>
  </si>
  <si>
    <t>37362225</t>
  </si>
  <si>
    <t>ocm37362225</t>
  </si>
  <si>
    <t>31017057553</t>
  </si>
  <si>
    <t>9780773514386</t>
  </si>
  <si>
    <t>793496759</t>
  </si>
  <si>
    <t>3101705750D</t>
  </si>
  <si>
    <t>793496760</t>
  </si>
  <si>
    <t>Q180.55 I48 P72 2000</t>
  </si>
  <si>
    <t>0                      Q  0180550I  48                 P  72          2000</t>
  </si>
  <si>
    <t>Practising interdisciplinarity / edited by Peter Weingart and Nico Stehr.</t>
  </si>
  <si>
    <t>2015-02-26</t>
  </si>
  <si>
    <t>766886203:eng</t>
  </si>
  <si>
    <t>43283641</t>
  </si>
  <si>
    <t>ocm43283641</t>
  </si>
  <si>
    <t>3101999635$</t>
  </si>
  <si>
    <t>9780802043283</t>
  </si>
  <si>
    <t>793623291</t>
  </si>
  <si>
    <t>Q180.55 I48 T33 2010</t>
  </si>
  <si>
    <t>0                      Q  0180550I  48                 T  33          2010</t>
  </si>
  <si>
    <t>Tackling wicked problems : through the transdisciplinary imagination / edited by Valerie A. Brown, John A. Harris and Jacqueline Y. Russell.</t>
  </si>
  <si>
    <t>Abingdon, Oxon ; New York, NY : Earthscan from Routledge, [2010]</t>
  </si>
  <si>
    <t>2018-08-23</t>
  </si>
  <si>
    <t>860602152:eng</t>
  </si>
  <si>
    <t>502303974</t>
  </si>
  <si>
    <t>ocn502303974</t>
  </si>
  <si>
    <t>3103231334Z</t>
  </si>
  <si>
    <t>9781844079247</t>
  </si>
  <si>
    <t>794805593</t>
  </si>
  <si>
    <t>Q180.55 I48 T73 2001</t>
  </si>
  <si>
    <t>0                      Q  0180550I  48                 T  73          2001</t>
  </si>
  <si>
    <t>Transdisciplinarity : joint problem solving among science, technology, and society : an effective way for managing complexity / J. Thompson Klein [and others], eds.</t>
  </si>
  <si>
    <t>Basel ; Boston : Birkhäuser, ©2001.</t>
  </si>
  <si>
    <t>Synthesebücher</t>
  </si>
  <si>
    <t>2015-05-20</t>
  </si>
  <si>
    <t>2083733:eng</t>
  </si>
  <si>
    <t>45080129</t>
  </si>
  <si>
    <t>ocm45080129</t>
  </si>
  <si>
    <t>3102407069O</t>
  </si>
  <si>
    <t>9783764362485</t>
  </si>
  <si>
    <t>793664080</t>
  </si>
  <si>
    <t>Q180.55 M3 I58 1986</t>
  </si>
  <si>
    <t>0                      Q  0180550M  3                  I  58          1986</t>
  </si>
  <si>
    <t>Interdisciplinary analysis and research : theory and practice of problem-focused research and development / Daryl E. Chubin [and others], editors.</t>
  </si>
  <si>
    <t>Mt. Airy, Md. : Lomond, 1986.</t>
  </si>
  <si>
    <t>889631844:eng</t>
  </si>
  <si>
    <t>13924587</t>
  </si>
  <si>
    <t>ocm13924587</t>
  </si>
  <si>
    <t>3100224668Y</t>
  </si>
  <si>
    <t>9780912338538</t>
  </si>
  <si>
    <t>792871968</t>
  </si>
  <si>
    <t>Q180.55 M4 A38 2008</t>
  </si>
  <si>
    <t>0                      Q  0180550M  4                  A  38          2008</t>
  </si>
  <si>
    <t>Advances in mixed methods research : theories and applications / edited by Manfred Max Bergman.</t>
  </si>
  <si>
    <t>Los Angeles ; London : SAGE Publications, ©2008.</t>
  </si>
  <si>
    <t>890852376:eng</t>
  </si>
  <si>
    <t>181069254</t>
  </si>
  <si>
    <t>ocn181069254</t>
  </si>
  <si>
    <t>3102853183L</t>
  </si>
  <si>
    <t>9781412948081</t>
  </si>
  <si>
    <t>794281258</t>
  </si>
  <si>
    <t>2014-05-07</t>
  </si>
  <si>
    <t>3103150412$</t>
  </si>
  <si>
    <t>794281257</t>
  </si>
  <si>
    <t>Q180.55 M4 B64 1998</t>
  </si>
  <si>
    <t>0                      Q  0180550M  4                  B  64          1998</t>
  </si>
  <si>
    <t>Philosophy of science / Mario Augusto Bunge.</t>
  </si>
  <si>
    <t>New Brunswick, N.J. : Transaction Publishers, ©1998.</t>
  </si>
  <si>
    <t>Science and technology studies</t>
  </si>
  <si>
    <t>2017-08-21</t>
  </si>
  <si>
    <t>1949224924:eng</t>
  </si>
  <si>
    <t>37156799</t>
  </si>
  <si>
    <t>ocm37156799</t>
  </si>
  <si>
    <t>31019058131</t>
  </si>
  <si>
    <t>9780765804150</t>
  </si>
  <si>
    <t>793491933</t>
  </si>
  <si>
    <t>2008-04-29</t>
  </si>
  <si>
    <t>3101905828P</t>
  </si>
  <si>
    <t>793491932</t>
  </si>
  <si>
    <t>Q180.55 M4 B66 1995</t>
  </si>
  <si>
    <t>0                      Q  0180550M  4                  B  66          1995</t>
  </si>
  <si>
    <t>The craft of research / Wayne C. Booth, Gregory G. Colomb, Joseph M. Williams.</t>
  </si>
  <si>
    <t>Booth, Wayne C.</t>
  </si>
  <si>
    <t>Chicago : University of Chicago Press, ©1995.</t>
  </si>
  <si>
    <t>Chicago guides to writing, editing, and publishing</t>
  </si>
  <si>
    <t>2016-08-22</t>
  </si>
  <si>
    <t>2018-09-29</t>
  </si>
  <si>
    <t>666330:eng</t>
  </si>
  <si>
    <t>32014169</t>
  </si>
  <si>
    <t>ocm32014169</t>
  </si>
  <si>
    <t>3101536836V</t>
  </si>
  <si>
    <t>9780226065830</t>
  </si>
  <si>
    <t>793373317</t>
  </si>
  <si>
    <t>3101851456X</t>
  </si>
  <si>
    <t>793373316</t>
  </si>
  <si>
    <t>Q180.55 M4 B66 2003</t>
  </si>
  <si>
    <t>0                      Q  0180550M  4                  B  66          2003</t>
  </si>
  <si>
    <t>Chicago : University of Chicago Press, ©2003.</t>
  </si>
  <si>
    <t>2016-09-14</t>
  </si>
  <si>
    <t>2018-01-11</t>
  </si>
  <si>
    <t>50643834</t>
  </si>
  <si>
    <t>ocm50643834</t>
  </si>
  <si>
    <t>3102800806G</t>
  </si>
  <si>
    <t>9780226065670</t>
  </si>
  <si>
    <t>793769467</t>
  </si>
  <si>
    <t>2016-11-25</t>
  </si>
  <si>
    <t>3102845891W</t>
  </si>
  <si>
    <t>793769469</t>
  </si>
  <si>
    <t>3103474564G</t>
  </si>
  <si>
    <t>793769468</t>
  </si>
  <si>
    <t>Q180.55 M4 B66 2008</t>
  </si>
  <si>
    <t>0                      Q  0180550M  4                  B  66          2008</t>
  </si>
  <si>
    <t>Chicago : University of Chicago Press, ©2008.</t>
  </si>
  <si>
    <t>2019-05-22</t>
  </si>
  <si>
    <t>2019-10-01</t>
  </si>
  <si>
    <t>175218191</t>
  </si>
  <si>
    <t>ocn175218191</t>
  </si>
  <si>
    <t>3103213524X</t>
  </si>
  <si>
    <t>9780226065656</t>
  </si>
  <si>
    <t>794274744</t>
  </si>
  <si>
    <t>2018-08-06</t>
  </si>
  <si>
    <t>3103026730K</t>
  </si>
  <si>
    <t>794274745</t>
  </si>
  <si>
    <t>3103026735K</t>
  </si>
  <si>
    <t>794274746</t>
  </si>
  <si>
    <t>Q180.55 M4 B66 2016</t>
  </si>
  <si>
    <t>0                      Q  0180550M  4                  B  66          2016</t>
  </si>
  <si>
    <t>The craft of research / Wayne C. Booth, Gregory G. Colomb, Joseph M. Williams, Joseph Bizup, William T. FitzGerald.</t>
  </si>
  <si>
    <t>Booth, Wayne C., author.</t>
  </si>
  <si>
    <t>Chicago : The University of Chicago Press, 2016.</t>
  </si>
  <si>
    <t>2019-09-15</t>
  </si>
  <si>
    <t>2019-09-09</t>
  </si>
  <si>
    <t>934432748</t>
  </si>
  <si>
    <t>ocn934432748</t>
  </si>
  <si>
    <t>3103903455W</t>
  </si>
  <si>
    <t>9780226239569</t>
  </si>
  <si>
    <t>795009567</t>
  </si>
  <si>
    <t>Q180.55 M4 C68 1990</t>
  </si>
  <si>
    <t>0                      Q  0180550M  4                  C  68          1990</t>
  </si>
  <si>
    <t>Introduction à la scientométrie : de la bibliométrie à la veille technologique / Jean-Pierre Courtial ; préface de Rémi Barré.</t>
  </si>
  <si>
    <t>Courtial, Jean Pierre.</t>
  </si>
  <si>
    <t>Paris : Anthropos : Diffusion, Economica, ©1990.</t>
  </si>
  <si>
    <t>Collection "Sociologies"</t>
  </si>
  <si>
    <t>808522565:fre</t>
  </si>
  <si>
    <t>23144935</t>
  </si>
  <si>
    <t>ocm23144935</t>
  </si>
  <si>
    <t>31010220818</t>
  </si>
  <si>
    <t>9782717819359</t>
  </si>
  <si>
    <t>793162732</t>
  </si>
  <si>
    <t>Q180.55 M4 F56 1998</t>
  </si>
  <si>
    <t>0                      Q  0180550M  4                  F  56          1998</t>
  </si>
  <si>
    <t>Conducting research literature reviews : from paper to the Internet / Arlene Fink.</t>
  </si>
  <si>
    <t>Fink, Arlene.</t>
  </si>
  <si>
    <t>Thousand Oaks : Sage Publications, ©1998.</t>
  </si>
  <si>
    <t>890771118:eng</t>
  </si>
  <si>
    <t>38200246</t>
  </si>
  <si>
    <t>ocm38200246</t>
  </si>
  <si>
    <t>3103474558I</t>
  </si>
  <si>
    <t>9780761909040</t>
  </si>
  <si>
    <t>793518638</t>
  </si>
  <si>
    <t>Q180.55 M4 G64</t>
  </si>
  <si>
    <t>0                      Q  0180550M  4                  G  64</t>
  </si>
  <si>
    <t>How we know : an exploration of the scientific process / Martin Goldstein and Inge F. Goldstein.</t>
  </si>
  <si>
    <t>New York : Plenum Press, ©1978.</t>
  </si>
  <si>
    <t>2011-04-19</t>
  </si>
  <si>
    <t>2015-12-22</t>
  </si>
  <si>
    <t>889377260:eng</t>
  </si>
  <si>
    <t>3380055</t>
  </si>
  <si>
    <t>ocm03380055</t>
  </si>
  <si>
    <t>3000980240H</t>
  </si>
  <si>
    <t>9780306310690</t>
  </si>
  <si>
    <t>792248407</t>
  </si>
  <si>
    <t>Q180.55 M4 G73 2007</t>
  </si>
  <si>
    <t>0                      Q  0180550M  4                  G  73          2007</t>
  </si>
  <si>
    <t>Qualitative data analysis : an introduction / Carol Grbich.</t>
  </si>
  <si>
    <t>Grbich, Carol.</t>
  </si>
  <si>
    <t>London ; Thousand Oaks, Calif. : SAGE Publications, 2007.</t>
  </si>
  <si>
    <t>865271090:eng</t>
  </si>
  <si>
    <t>71285198</t>
  </si>
  <si>
    <t>ocm71285198</t>
  </si>
  <si>
    <t>31025685578</t>
  </si>
  <si>
    <t>9781412921435</t>
  </si>
  <si>
    <t>794164826</t>
  </si>
  <si>
    <t>Q180.55 M4 H45 2011</t>
  </si>
  <si>
    <t>0                      Q  0180550M  4                  H  45          2011</t>
  </si>
  <si>
    <t>Making sense of research : an introduction for health and social care practitioners / Pam Moule, Gill Hek.</t>
  </si>
  <si>
    <t>Moule, Pam.</t>
  </si>
  <si>
    <t>Los Angeles : Sage, 2011.</t>
  </si>
  <si>
    <t>4th ed.</t>
  </si>
  <si>
    <t>2012-02-15</t>
  </si>
  <si>
    <t>812351720:eng</t>
  </si>
  <si>
    <t>731127464</t>
  </si>
  <si>
    <t>ocn731127464</t>
  </si>
  <si>
    <t>3103363856O</t>
  </si>
  <si>
    <t>9781849207782</t>
  </si>
  <si>
    <t>794880570</t>
  </si>
  <si>
    <t>Q180.55 M4 K45 1996</t>
  </si>
  <si>
    <t>0                      Q  0180550M  4                  K  45          1996</t>
  </si>
  <si>
    <t>The logic of reliable inquiry / Kevin T. Kelly.</t>
  </si>
  <si>
    <t>Kelly, Kevin T.</t>
  </si>
  <si>
    <t>New York : Oxford University Press, 1996.</t>
  </si>
  <si>
    <t>Logic and computation in philosophy</t>
  </si>
  <si>
    <t>32775375:eng</t>
  </si>
  <si>
    <t>30543762</t>
  </si>
  <si>
    <t>ocm30543762</t>
  </si>
  <si>
    <t>3101419496X</t>
  </si>
  <si>
    <t>9780195091953</t>
  </si>
  <si>
    <t>793338248</t>
  </si>
  <si>
    <t>Q180.55 M4 K5 2006</t>
  </si>
  <si>
    <t>0                      Q  0180550M  4                  K  5           2006</t>
  </si>
  <si>
    <t>Experience research social change : methods beyond the mainstream / Sandra Kirby, Lorraine Greaves, and Colleen Reid.</t>
  </si>
  <si>
    <t>Kirby, Sandra L. (Sandra Louise), 1949-</t>
  </si>
  <si>
    <t>Peterborough, Ont. ; Orchard Park, NY : Broadview Press, ©2006.</t>
  </si>
  <si>
    <t>9381448682:eng</t>
  </si>
  <si>
    <t>77574673</t>
  </si>
  <si>
    <t>ocm77574673</t>
  </si>
  <si>
    <t>3102552779R</t>
  </si>
  <si>
    <t>9781551930565</t>
  </si>
  <si>
    <t>794192522</t>
  </si>
  <si>
    <t>Q180.55 M4 L43 2005</t>
  </si>
  <si>
    <t>0                      Q  0180550M  4                  L  43          2005</t>
  </si>
  <si>
    <t>Practical research : planning and design.</t>
  </si>
  <si>
    <t>Leedy, Paul D.</t>
  </si>
  <si>
    <t>Upper Saddle River, N.J. : Prentice Hall, ©2005.</t>
  </si>
  <si>
    <t>8th ed. / Paul D. Leedy and Jeanne Ellis Ormrod.</t>
  </si>
  <si>
    <t>2018-10-06</t>
  </si>
  <si>
    <t>369487728:eng</t>
  </si>
  <si>
    <t>53831701</t>
  </si>
  <si>
    <t>ocm53831701</t>
  </si>
  <si>
    <t>31030299078</t>
  </si>
  <si>
    <t>9780131108950</t>
  </si>
  <si>
    <t>793851330</t>
  </si>
  <si>
    <t>Q180.55 M4 M39 1996</t>
  </si>
  <si>
    <t>0                      Q  0180550M  4                  M  39          1996</t>
  </si>
  <si>
    <t>Qualitative research design : an interactive approach / Joseph A. Maxwell.</t>
  </si>
  <si>
    <t>Maxwell, Joseph Alex, 1941-</t>
  </si>
  <si>
    <t>Thousand Oaks, Calif. : Sage Publications, ©1996.</t>
  </si>
  <si>
    <t>Applied social research methods series ; v. 41</t>
  </si>
  <si>
    <t>2018-02-05</t>
  </si>
  <si>
    <t>2018-02-26</t>
  </si>
  <si>
    <t>285224638:eng</t>
  </si>
  <si>
    <t>33971548</t>
  </si>
  <si>
    <t>ocm33971548</t>
  </si>
  <si>
    <t>3103400815V</t>
  </si>
  <si>
    <t>9780803973282</t>
  </si>
  <si>
    <t>793415495</t>
  </si>
  <si>
    <t>3101594938Y</t>
  </si>
  <si>
    <t>793415497</t>
  </si>
  <si>
    <t>2017-02-22</t>
  </si>
  <si>
    <t>31034005045</t>
  </si>
  <si>
    <t>793415496</t>
  </si>
  <si>
    <t>2018-02-09</t>
  </si>
  <si>
    <t>31028029075</t>
  </si>
  <si>
    <t>793415494</t>
  </si>
  <si>
    <t>Q180.55 M4 M39 2005</t>
  </si>
  <si>
    <t>0                      Q  0180550M  4                  M  39          2005</t>
  </si>
  <si>
    <t>Thousand Oaks, Calif. : Sage Publications, ©2005.</t>
  </si>
  <si>
    <t>Applied social research methods series ; vol. 41</t>
  </si>
  <si>
    <t>2016-09-07</t>
  </si>
  <si>
    <t>2019-02-10</t>
  </si>
  <si>
    <t>55589026</t>
  </si>
  <si>
    <t>ocm55589026</t>
  </si>
  <si>
    <t>3103074692V</t>
  </si>
  <si>
    <t>9780761926078</t>
  </si>
  <si>
    <t>793878851</t>
  </si>
  <si>
    <t>3102722098A</t>
  </si>
  <si>
    <t>793878853</t>
  </si>
  <si>
    <t>3103074687X</t>
  </si>
  <si>
    <t>793878852</t>
  </si>
  <si>
    <t>3103475122W</t>
  </si>
  <si>
    <t>793878850</t>
  </si>
  <si>
    <t>Q180.55 M4 M39 2013</t>
  </si>
  <si>
    <t>0                      Q  0180550M  4                  M  39          2013</t>
  </si>
  <si>
    <t>Thousand Oaks, Calif. : SAGE Publications, ©2013.</t>
  </si>
  <si>
    <t>Applied social research methods ; 41</t>
  </si>
  <si>
    <t>2019-09-30</t>
  </si>
  <si>
    <t>793973487</t>
  </si>
  <si>
    <t>ocn793973487</t>
  </si>
  <si>
    <t>3103479866O</t>
  </si>
  <si>
    <t>9781412981194</t>
  </si>
  <si>
    <t>794918887</t>
  </si>
  <si>
    <t>2018-02-24</t>
  </si>
  <si>
    <t>31035522228</t>
  </si>
  <si>
    <t>794918886</t>
  </si>
  <si>
    <t>2019-06-13</t>
  </si>
  <si>
    <t>3103463357X</t>
  </si>
  <si>
    <t>794918885</t>
  </si>
  <si>
    <t>Q180.55 M4 M66 1987</t>
  </si>
  <si>
    <t>0                      Q  0180550M  4                  M  66          1987</t>
  </si>
  <si>
    <t>How to do research / Nick Moore.</t>
  </si>
  <si>
    <t>Moore, Nick.</t>
  </si>
  <si>
    <t>London : Library Association, 1987.</t>
  </si>
  <si>
    <t>4461094477:eng</t>
  </si>
  <si>
    <t>14588538</t>
  </si>
  <si>
    <t>ocm14588538</t>
  </si>
  <si>
    <t>3000849271T</t>
  </si>
  <si>
    <t>9780853657873</t>
  </si>
  <si>
    <t>792894696</t>
  </si>
  <si>
    <t>Q180.55 M4 M66 2006</t>
  </si>
  <si>
    <t>0                      Q  0180550M  4                  M  66          2006</t>
  </si>
  <si>
    <t>How to do research : a practical guide to designing and managing research projects / Nick Moore.</t>
  </si>
  <si>
    <t>London : Facet, 2006.</t>
  </si>
  <si>
    <t>3rd rev. ed.</t>
  </si>
  <si>
    <t>9075235:eng</t>
  </si>
  <si>
    <t>166309956</t>
  </si>
  <si>
    <t>ocn166309956</t>
  </si>
  <si>
    <t>31031572644</t>
  </si>
  <si>
    <t>9781856045940</t>
  </si>
  <si>
    <t>794260019</t>
  </si>
  <si>
    <t>Q180.55 M4 N49 1998</t>
  </si>
  <si>
    <t>0                      Q  0180550M  4                  N  49          1998</t>
  </si>
  <si>
    <t>Qualitative-quantitative research methodology : exploring the interactive continuum / Isadore Newman and Carolyn R. Benz.</t>
  </si>
  <si>
    <t>Newman, Isadore.</t>
  </si>
  <si>
    <t>Carbondale : Southern Illinois University Press, ©1998.</t>
  </si>
  <si>
    <t>2015-03-11</t>
  </si>
  <si>
    <t>797106425:eng</t>
  </si>
  <si>
    <t>37238910</t>
  </si>
  <si>
    <t>ocm37238910</t>
  </si>
  <si>
    <t>3101866014Y</t>
  </si>
  <si>
    <t>9780809321506</t>
  </si>
  <si>
    <t>793493912</t>
  </si>
  <si>
    <t>31022744523</t>
  </si>
  <si>
    <t>793493911</t>
  </si>
  <si>
    <t>Q180.55 M4 O54 2004</t>
  </si>
  <si>
    <t>0                      Q  0180550M  4                  O  54          2004</t>
  </si>
  <si>
    <t>The essential guide to doing research / Zina O'Leary.</t>
  </si>
  <si>
    <t>O'Leary, Zina.</t>
  </si>
  <si>
    <t>London ; Thoundand Oaks : SAGE, 2004.</t>
  </si>
  <si>
    <t>3805351379:eng</t>
  </si>
  <si>
    <t>55736969</t>
  </si>
  <si>
    <t>ocm55736969</t>
  </si>
  <si>
    <t>3102451280D</t>
  </si>
  <si>
    <t>9780761941989</t>
  </si>
  <si>
    <t>793881698</t>
  </si>
  <si>
    <t>Q180.55 M4 S67 2002</t>
  </si>
  <si>
    <t>0                      Q  0180550M  4                  S  67          2002</t>
  </si>
  <si>
    <t>Handbook of research methods : a guide for practitioners and students in the social sciences / Natalie L. Sproull.</t>
  </si>
  <si>
    <t>Sproull, Natalie L., 1928-</t>
  </si>
  <si>
    <t>Lanham, Md. : Scarecrow Press, 2002.</t>
  </si>
  <si>
    <t>2nd ed., 1st pbk. ed.</t>
  </si>
  <si>
    <t>969194:eng</t>
  </si>
  <si>
    <t>50434525</t>
  </si>
  <si>
    <t>ocm50434525</t>
  </si>
  <si>
    <t>3102362531B</t>
  </si>
  <si>
    <t>9780810844865</t>
  </si>
  <si>
    <t>793765097</t>
  </si>
  <si>
    <t>Q180.55 M4 S88 2014</t>
  </si>
  <si>
    <t>0                      Q  0180550M  4                  S  88          2014</t>
  </si>
  <si>
    <t>Towards methodologically inclusive research syntheses : expanding possibilities / Harsh Suri.</t>
  </si>
  <si>
    <t>Suri, Harsh.</t>
  </si>
  <si>
    <t>London ; New York : Routledge/Taylor &amp; Francis Group, 2014.</t>
  </si>
  <si>
    <t>Routledge research in education ; 25</t>
  </si>
  <si>
    <t>2015-05-26</t>
  </si>
  <si>
    <t>1749382711:eng</t>
  </si>
  <si>
    <t>825750823</t>
  </si>
  <si>
    <t>ocn825750823</t>
  </si>
  <si>
    <t>31035048453</t>
  </si>
  <si>
    <t>9780415828697</t>
  </si>
  <si>
    <t>794938800</t>
  </si>
  <si>
    <t>Q180.55 M4 T76 2001</t>
  </si>
  <si>
    <t>0                      Q  0180550M  4                  T  76          2001</t>
  </si>
  <si>
    <t>Research methods knowledge base / William M.K. Trochim.</t>
  </si>
  <si>
    <t>Trochim, William M. K.</t>
  </si>
  <si>
    <t>Cincinnati, OH : Atomic Dog Pub., ©2001.</t>
  </si>
  <si>
    <t>34126999:eng</t>
  </si>
  <si>
    <t>46927265</t>
  </si>
  <si>
    <t>ocm46927265</t>
  </si>
  <si>
    <t>31024460776</t>
  </si>
  <si>
    <t>9780970138590</t>
  </si>
  <si>
    <t>793694626</t>
  </si>
  <si>
    <t>Q180.55 M4 T76 2007</t>
  </si>
  <si>
    <t>0                      Q  0180550M  4                  T  76          2007</t>
  </si>
  <si>
    <t>Research methods knowledge base / William M.K. Trochim, James P. Donnelly.</t>
  </si>
  <si>
    <t>Mason, Ohio : Atomic Dog/Cengage Learning, ©2008.</t>
  </si>
  <si>
    <t>2019-01-18</t>
  </si>
  <si>
    <t>270695993</t>
  </si>
  <si>
    <t>ocn270695993</t>
  </si>
  <si>
    <t>3102599525W</t>
  </si>
  <si>
    <t>9781592602902</t>
  </si>
  <si>
    <t>794411514</t>
  </si>
  <si>
    <t>Q180.55 M4 W67 2010</t>
  </si>
  <si>
    <t>0                      Q  0180550M  4                  W  67          2010</t>
  </si>
  <si>
    <t>World wide research : reshaping the sciences and humanities / edited by William H. Dutton and Paul W. Jeffreys ; with a foreword by Ian Goldin.</t>
  </si>
  <si>
    <t>Cambridge, Mass. : MIT Press, ©2010.</t>
  </si>
  <si>
    <t>2012-01-04</t>
  </si>
  <si>
    <t>1005391403:eng</t>
  </si>
  <si>
    <t>432442111</t>
  </si>
  <si>
    <t>ocn432442111</t>
  </si>
  <si>
    <t>3103333040S</t>
  </si>
  <si>
    <t>9780262014397</t>
  </si>
  <si>
    <t>794781871</t>
  </si>
  <si>
    <t>Q180.55 M67 M327 2009</t>
  </si>
  <si>
    <t>0                      Q  0180550M  67                 M  327         2009</t>
  </si>
  <si>
    <t>Researching with integrity : the ethics of academic enquiry / Bruce Macfarlane.</t>
  </si>
  <si>
    <t>Macfarlane, Bruce, 1961-</t>
  </si>
  <si>
    <t>New York : Routledge, 2009.</t>
  </si>
  <si>
    <t>803069996:eng</t>
  </si>
  <si>
    <t>166360218</t>
  </si>
  <si>
    <t>ocn166360218</t>
  </si>
  <si>
    <t>3103079065Z</t>
  </si>
  <si>
    <t>9780415429030</t>
  </si>
  <si>
    <t>794260586</t>
  </si>
  <si>
    <t>Q180.55 M67 R47 2007</t>
  </si>
  <si>
    <t>0                      Q  0180550M  67                 R  47          2007</t>
  </si>
  <si>
    <t>Research ethics in the real world : issues and solutions for health and social care / [edited by] Tony Long, Martin Johnson.</t>
  </si>
  <si>
    <t>Edinburgh ; New York : Churchill Livingstone/Elsevier, 2007.</t>
  </si>
  <si>
    <t>364642078:eng</t>
  </si>
  <si>
    <t>76785710</t>
  </si>
  <si>
    <t>ocm76785710</t>
  </si>
  <si>
    <t>3102568519G</t>
  </si>
  <si>
    <t>9780443100659</t>
  </si>
  <si>
    <t>794176611</t>
  </si>
  <si>
    <t>Q180.55 M67 R4985 2004</t>
  </si>
  <si>
    <t>0                      Q  0180550M  67                 R  4985        2004</t>
  </si>
  <si>
    <t>Researchers and their "subjects" : ethics, power, knowledge and consent / edited by Marie Smyth and Emma Williamson.</t>
  </si>
  <si>
    <t>Bristol, UK : Policy Press, 2004.</t>
  </si>
  <si>
    <t>2017-05-01</t>
  </si>
  <si>
    <t>803714819:eng</t>
  </si>
  <si>
    <t>57320330</t>
  </si>
  <si>
    <t>ocm57320330</t>
  </si>
  <si>
    <t>31024804218</t>
  </si>
  <si>
    <t>9781861345158</t>
  </si>
  <si>
    <t>793910628</t>
  </si>
  <si>
    <t>Q180.55 M67 S54 1992</t>
  </si>
  <si>
    <t>0                      Q  0180550M  67                 S  54          1992</t>
  </si>
  <si>
    <t>Planning ethically responsible research : a guide for students and internal review boards / Joan E. Sieber.</t>
  </si>
  <si>
    <t>Sieber, Joan E.</t>
  </si>
  <si>
    <t>Newbury Park, Calif. : Sage Publications, ©1992.</t>
  </si>
  <si>
    <t>Applied social research methods series ; v. 31</t>
  </si>
  <si>
    <t>836896771:eng</t>
  </si>
  <si>
    <t>25746845</t>
  </si>
  <si>
    <t>ocm25746845</t>
  </si>
  <si>
    <t>31009620708</t>
  </si>
  <si>
    <t>9780803939639</t>
  </si>
  <si>
    <t>793229004</t>
  </si>
  <si>
    <t>2010-06-23</t>
  </si>
  <si>
    <t>3103074677Z</t>
  </si>
  <si>
    <t>793229005</t>
  </si>
  <si>
    <t>Q180.55 P7 L63 2000</t>
  </si>
  <si>
    <t>0                      Q  0180550P  7                  L  63          2000</t>
  </si>
  <si>
    <t>Proposals that work : a guide for planning dissertations and grant proposals / Lawrence F. Locke, Waneen Wyrick Spirduso, Stephen J. Silverman.</t>
  </si>
  <si>
    <t>Thousand Oaks, Calif. : Sage, ©2000.</t>
  </si>
  <si>
    <t>2018-04-05</t>
  </si>
  <si>
    <t>815105584:eng</t>
  </si>
  <si>
    <t>41503072</t>
  </si>
  <si>
    <t>ocm41503072</t>
  </si>
  <si>
    <t>31023627189</t>
  </si>
  <si>
    <t>9780761917069</t>
  </si>
  <si>
    <t>793592991</t>
  </si>
  <si>
    <t>Q180.55 P7 P48 1998</t>
  </si>
  <si>
    <t>0                      Q  0180550P  7                  P  48          1998</t>
  </si>
  <si>
    <t>The research writer's phrase book : a guide to proposal writing and research phraseology / Susan Louise Peterson.</t>
  </si>
  <si>
    <t>Peterson, Susan Louise, 1960-</t>
  </si>
  <si>
    <t>San Francisco : International Scholars Publications, 1998.</t>
  </si>
  <si>
    <t>1310700433:eng</t>
  </si>
  <si>
    <t>38478442</t>
  </si>
  <si>
    <t>ocm38478442</t>
  </si>
  <si>
    <t>3101940070M</t>
  </si>
  <si>
    <t>9781573092777</t>
  </si>
  <si>
    <t>793524643</t>
  </si>
  <si>
    <t>Q180.55 P7 T56 2006</t>
  </si>
  <si>
    <t>0                      Q  0180550P  7                  T  56          2006</t>
  </si>
  <si>
    <t>Writing and presenting research / Angela Thody.</t>
  </si>
  <si>
    <t>Thody, Angela.</t>
  </si>
  <si>
    <t>London ; Thousand Oaks, Calif. : Sage Publications, 2006.</t>
  </si>
  <si>
    <t>2019-01-20</t>
  </si>
  <si>
    <t>52318418:eng</t>
  </si>
  <si>
    <t>68968777</t>
  </si>
  <si>
    <t>ocm68968777</t>
  </si>
  <si>
    <t>3103457040X</t>
  </si>
  <si>
    <t>9781412902922</t>
  </si>
  <si>
    <t>794144830</t>
  </si>
  <si>
    <t>Q181 A355 2015</t>
  </si>
  <si>
    <t>0                      Q  0181000A  355         2015</t>
  </si>
  <si>
    <t>The age of STEM : educational policy and practice across the world in science, technology, engineering and mathematics / edited by Brigid Freeman, Simon Marginson and Russell Tytler.</t>
  </si>
  <si>
    <t>London ; New York : Routledge, Taylor &amp; Francis Group, 2015.</t>
  </si>
  <si>
    <t>Routledge research in education ; 129</t>
  </si>
  <si>
    <t>2069351024:eng</t>
  </si>
  <si>
    <t>890107073</t>
  </si>
  <si>
    <t>ocn890107073</t>
  </si>
  <si>
    <t>3103581811I</t>
  </si>
  <si>
    <t>9781138785953</t>
  </si>
  <si>
    <t>794978880</t>
  </si>
  <si>
    <t>Q181 B5566 1997</t>
  </si>
  <si>
    <t>0                      Q  0181000B  5566        1997</t>
  </si>
  <si>
    <t>Procedures of power and curriculum change : Foucault and the quest for possibilities in science education / David W. Blades.</t>
  </si>
  <si>
    <t>Blades, David W., 1954-</t>
  </si>
  <si>
    <t>New York : P. Lang, ©1997.</t>
  </si>
  <si>
    <t>Counterpoints ; v. 35</t>
  </si>
  <si>
    <t>2016-06-28</t>
  </si>
  <si>
    <t>138808226:eng</t>
  </si>
  <si>
    <t>36178585</t>
  </si>
  <si>
    <t>ocm36178585</t>
  </si>
  <si>
    <t>3101940790P</t>
  </si>
  <si>
    <t>9780820433257</t>
  </si>
  <si>
    <t>793468369</t>
  </si>
  <si>
    <t>Q181 B968 2012</t>
  </si>
  <si>
    <t>0                      Q  0181000B  968         2012</t>
  </si>
  <si>
    <t>The busy librarians guide to information literacy in science and engineering / edited by Katherine O'Clair and Jeanne R. Davidson.</t>
  </si>
  <si>
    <t>Chicago : Association of College and Research Libraries, a division of the American Library Association, 2012.</t>
  </si>
  <si>
    <t>2018-07-04</t>
  </si>
  <si>
    <t>1158559420:eng</t>
  </si>
  <si>
    <t>805892322</t>
  </si>
  <si>
    <t>ocn805892322</t>
  </si>
  <si>
    <t>3103497544Z</t>
  </si>
  <si>
    <t>9780838986196</t>
  </si>
  <si>
    <t>794926486</t>
  </si>
  <si>
    <t>Q181 C414 2003</t>
  </si>
  <si>
    <t>0                      Q  0181000C  414         2003</t>
  </si>
  <si>
    <t>The young child as scientist : a constructivist approach to early childhood science education / Christine Chaillé, Lory Britain.</t>
  </si>
  <si>
    <t>Chaillé, Christine.</t>
  </si>
  <si>
    <t>Boston : Allyn and Bacon, ©2003.</t>
  </si>
  <si>
    <t>2018-03-01</t>
  </si>
  <si>
    <t>990623:eng</t>
  </si>
  <si>
    <t>49775394</t>
  </si>
  <si>
    <t>ocm49775394</t>
  </si>
  <si>
    <t>3103214845G</t>
  </si>
  <si>
    <t>9780205367764</t>
  </si>
  <si>
    <t>793747587</t>
  </si>
  <si>
    <t>Q181 D369 2013</t>
  </si>
  <si>
    <t>0                      Q  0181000D  369         2013</t>
  </si>
  <si>
    <t>Design, make, play : growing the next generation of STEM innovators / edited by Margaret Honey, David Kanter.</t>
  </si>
  <si>
    <t>New York, NY : Routledge, 2013.</t>
  </si>
  <si>
    <t>2014-11-06</t>
  </si>
  <si>
    <t>1171948965:eng</t>
  </si>
  <si>
    <t>776534498</t>
  </si>
  <si>
    <t>ocn776534498</t>
  </si>
  <si>
    <t>31035324890</t>
  </si>
  <si>
    <t>9780415539166</t>
  </si>
  <si>
    <t>794908152</t>
  </si>
  <si>
    <t>Q181 D78 1990</t>
  </si>
  <si>
    <t>0                      Q  0181000D  78          1990</t>
  </si>
  <si>
    <t>Restructuring science education : the importance of theories and their development / Richard A. Duschl.</t>
  </si>
  <si>
    <t>Duschl, Richard A. (Richard Alan), 1951-</t>
  </si>
  <si>
    <t>New York : Teachers College Press, ©1990.</t>
  </si>
  <si>
    <t>22640296:eng</t>
  </si>
  <si>
    <t>20490684</t>
  </si>
  <si>
    <t>ocm20490684</t>
  </si>
  <si>
    <t>3103309221H</t>
  </si>
  <si>
    <t>9780807730065</t>
  </si>
  <si>
    <t>793089467</t>
  </si>
  <si>
    <t>Q181 E93 2003</t>
  </si>
  <si>
    <t>0                      Q  0181000E  93          2003</t>
  </si>
  <si>
    <t>Evaluating and improving undergraduate teaching in science, technology, engineering, and mathematics / Committee on Recognizing, Evaluating, Rewarding and Developing Excellence in Teaching of Undergraduate Science, Mathematics, Engineering, and Technology ; Marye Anne Fox and Norman Hackerman, editors ; Center for Education, Division of Behavioral and Social Sciences and Education, National Research Council.</t>
  </si>
  <si>
    <t>Washington, D.C. : National Academies Press, ©2003.</t>
  </si>
  <si>
    <t>414353217:eng</t>
  </si>
  <si>
    <t>224122964</t>
  </si>
  <si>
    <t>ocn224122964</t>
  </si>
  <si>
    <t>3102273039N</t>
  </si>
  <si>
    <t>9780309072779</t>
  </si>
  <si>
    <t>794337802</t>
  </si>
  <si>
    <t>Q181 H149 2007</t>
  </si>
  <si>
    <t>0                      Q  0181000H  149         2007</t>
  </si>
  <si>
    <t>Handbook of research on science education / edited by Sandra K. Abell and Norman G. Lederman.</t>
  </si>
  <si>
    <t>Mahwah, N.J. : Lawrence Erlbaum Associates, 2007-&lt;2014&gt;</t>
  </si>
  <si>
    <t>353954171:eng</t>
  </si>
  <si>
    <t>71833305</t>
  </si>
  <si>
    <t>ocm71833305</t>
  </si>
  <si>
    <t>3102595243G</t>
  </si>
  <si>
    <t>9780805847130</t>
  </si>
  <si>
    <t>794169040</t>
  </si>
  <si>
    <t>Q181 H156 2005</t>
  </si>
  <si>
    <t>0                      Q  0181000H  156         2005</t>
  </si>
  <si>
    <t>The art of teaching science : inquiry and innovation in Middle School and High School / Jack Hassard.</t>
  </si>
  <si>
    <t>Hassard, Jack.</t>
  </si>
  <si>
    <t>New York : Oxford University Press, ©2005.</t>
  </si>
  <si>
    <t>2015-03-04</t>
  </si>
  <si>
    <t>793072703:eng</t>
  </si>
  <si>
    <t>53097183</t>
  </si>
  <si>
    <t>ocm53097183</t>
  </si>
  <si>
    <t>3102594127R</t>
  </si>
  <si>
    <t>9780195155334</t>
  </si>
  <si>
    <t>793821378</t>
  </si>
  <si>
    <t>Q181 H63 2011</t>
  </si>
  <si>
    <t>0                      Q  0181000H  63          2011</t>
  </si>
  <si>
    <t>Looking to the future : building a curriculum for social activism / Derek Hodson.</t>
  </si>
  <si>
    <t>Hodson, Derek.</t>
  </si>
  <si>
    <t>Rotterdam, The Netherlands ; Boston : Sense Publishers, ©2011.</t>
  </si>
  <si>
    <t>2015-03-07</t>
  </si>
  <si>
    <t>2279650469:eng</t>
  </si>
  <si>
    <t>706410097</t>
  </si>
  <si>
    <t>ocn706410097</t>
  </si>
  <si>
    <t>31033611978</t>
  </si>
  <si>
    <t>9789460914706</t>
  </si>
  <si>
    <t>794866828</t>
  </si>
  <si>
    <t>Q181 H99 2011</t>
  </si>
  <si>
    <t>0                      Q  0181000H  99          2011</t>
  </si>
  <si>
    <t>Scientific &amp; mathematical bodies : the interface of culture and mind / by SungWon Hwang and Wolff-Michael Roth.</t>
  </si>
  <si>
    <t>Hwang, SungWon.</t>
  </si>
  <si>
    <t>Rotterdam ; Boston, Mass. : Sense Publishers, ©2011.</t>
  </si>
  <si>
    <t>New directions in mathematics and science education ; v. 22</t>
  </si>
  <si>
    <t>891001211:eng</t>
  </si>
  <si>
    <t>717199621</t>
  </si>
  <si>
    <t>ocn717199621</t>
  </si>
  <si>
    <t>3103297946Z</t>
  </si>
  <si>
    <t>9789460915666</t>
  </si>
  <si>
    <t>794874149</t>
  </si>
  <si>
    <t>Q181 I58 2016</t>
  </si>
  <si>
    <t>0                      Q  0181000I  58          2016</t>
  </si>
  <si>
    <t>Intersections of formal and informal science / edited by Lucy Avraamidou &amp; Wolff-Michael Roth.</t>
  </si>
  <si>
    <t>Avraamidou, Lucy.</t>
  </si>
  <si>
    <t>New York : Routledge, 2016.</t>
  </si>
  <si>
    <t>Routledge research in education ; 165</t>
  </si>
  <si>
    <t>2609449069:eng</t>
  </si>
  <si>
    <t>919480875</t>
  </si>
  <si>
    <t>ocn919480875</t>
  </si>
  <si>
    <t>3103654098G</t>
  </si>
  <si>
    <t>9781138951051</t>
  </si>
  <si>
    <t>795001872</t>
  </si>
  <si>
    <t>Q181 I6557 1998</t>
  </si>
  <si>
    <t>0                      Q  0181000I  6557        1998</t>
  </si>
  <si>
    <t>International handbook of science education / edited by Barry J. Fraser and Kenneth G. Tobin.</t>
  </si>
  <si>
    <t>Dordrecht ; Boston : Kluwer Academic, ©1998.</t>
  </si>
  <si>
    <t>Kluwer international handbooks of education ; v. 2</t>
  </si>
  <si>
    <t>2012-05-23</t>
  </si>
  <si>
    <t>2017-06-27</t>
  </si>
  <si>
    <t>363941803:eng</t>
  </si>
  <si>
    <t>37546835</t>
  </si>
  <si>
    <t>ocm37546835</t>
  </si>
  <si>
    <t>3101910191S</t>
  </si>
  <si>
    <t>9780792335313</t>
  </si>
  <si>
    <t>793501211</t>
  </si>
  <si>
    <t>3101910180X</t>
  </si>
  <si>
    <t>793501210</t>
  </si>
  <si>
    <t>Q181 L49585 2009</t>
  </si>
  <si>
    <t>0                      Q  0181000L  49585       2009</t>
  </si>
  <si>
    <t>Learning science in informal environments : people, places, and pursuits / Committee on Learning Science in Informal Environments, Board on Science Education, Center for Education, Division of Behavioral and Social Sciences and Education, National Research Council of the National Academies ; Philip Bell [and others], editors.</t>
  </si>
  <si>
    <t>National Research Council (U.S.). Committee on Learning Science in Informal Environments.</t>
  </si>
  <si>
    <t>Washington, D.C. : National Academies Press, ©2009.</t>
  </si>
  <si>
    <t>1044587739:eng</t>
  </si>
  <si>
    <t>230199525</t>
  </si>
  <si>
    <t>ocn230199525</t>
  </si>
  <si>
    <t>3103079234Z</t>
  </si>
  <si>
    <t>9780309119559</t>
  </si>
  <si>
    <t>794354797</t>
  </si>
  <si>
    <t>Q181 L747 2010</t>
  </si>
  <si>
    <t>0                      Q  0181000L  747         2010</t>
  </si>
  <si>
    <t>Using and developing measurement instruments in science education : a Rasch modeling approach / by Xiufeng Liu.</t>
  </si>
  <si>
    <t>Liu, Xiufeng, 1962-</t>
  </si>
  <si>
    <t>Charlotte, N.C. : Information Age Pub., ©2010.</t>
  </si>
  <si>
    <t>Science and engineering education sources</t>
  </si>
  <si>
    <t>2011-09-27</t>
  </si>
  <si>
    <t>815072553:eng</t>
  </si>
  <si>
    <t>558665578</t>
  </si>
  <si>
    <t>ocn558665578</t>
  </si>
  <si>
    <t>3103323098N</t>
  </si>
  <si>
    <t>9781607524694</t>
  </si>
  <si>
    <t>794812514</t>
  </si>
  <si>
    <t>Q181 N77 2012</t>
  </si>
  <si>
    <t>0                      Q  0181000N  77          2012</t>
  </si>
  <si>
    <t>From "science in the making" to understanding the nature of science : an overview for science educators / Mansoor Niaz.</t>
  </si>
  <si>
    <t>Niaz, Mansoor.</t>
  </si>
  <si>
    <t>New York : Routledge, 2012.</t>
  </si>
  <si>
    <t>1091222887:eng</t>
  </si>
  <si>
    <t>738351743</t>
  </si>
  <si>
    <t>ocn738351743</t>
  </si>
  <si>
    <t>31034324836</t>
  </si>
  <si>
    <t>9780415807586</t>
  </si>
  <si>
    <t>794882543</t>
  </si>
  <si>
    <t>Q181 P33 2011</t>
  </si>
  <si>
    <t>0                      Q  0181000P  33          2011</t>
  </si>
  <si>
    <t>Pacific CRYSTAL centre for science, mathematics, and technology literacy : lessons learned / edited by Larry D. Yore [and others].</t>
  </si>
  <si>
    <t>2014-05-29</t>
  </si>
  <si>
    <t>905249622:eng</t>
  </si>
  <si>
    <t>727633781</t>
  </si>
  <si>
    <t>ocn727633781</t>
  </si>
  <si>
    <t>31033616257</t>
  </si>
  <si>
    <t>9789460915048</t>
  </si>
  <si>
    <t>794878260</t>
  </si>
  <si>
    <t>Q181 P77 2002</t>
  </si>
  <si>
    <t>0                      Q  0181000P  77          2002</t>
  </si>
  <si>
    <t>The psychology of science text comprehension / edited by José Otero, José A. León, Arthur C. Graesser.</t>
  </si>
  <si>
    <t>Mahwah, N.J. : L. Erlbaum Associates, 2002.</t>
  </si>
  <si>
    <t>2018-09-05</t>
  </si>
  <si>
    <t>766841830:eng</t>
  </si>
  <si>
    <t>47705532</t>
  </si>
  <si>
    <t>ocm47705532</t>
  </si>
  <si>
    <t>31021970462</t>
  </si>
  <si>
    <t>9780805838749</t>
  </si>
  <si>
    <t>793705762</t>
  </si>
  <si>
    <t>Q181 R425 2004</t>
  </si>
  <si>
    <t>0                      Q  0181000R  425         2004</t>
  </si>
  <si>
    <t>Rethinking scientific literacy / Wolff-Michael Roth and Angela Calabrese Barton.</t>
  </si>
  <si>
    <t>Roth, Wolff-Michael, 1953-</t>
  </si>
  <si>
    <t>New York : RoutledgeFalmer, ©2004.</t>
  </si>
  <si>
    <t>Critical social thought series</t>
  </si>
  <si>
    <t>1016245:eng</t>
  </si>
  <si>
    <t>53871554</t>
  </si>
  <si>
    <t>ocm53871554</t>
  </si>
  <si>
    <t>31034757774</t>
  </si>
  <si>
    <t>9780415948425</t>
  </si>
  <si>
    <t>793851984</t>
  </si>
  <si>
    <t>Q181 S3826 1987</t>
  </si>
  <si>
    <t>0                      Q  0181000S  3826        1987</t>
  </si>
  <si>
    <t>Scientific controversies : case studies in the resolution and closure of disputes in science and technology / edited by H. Tristram Engelhardt, Jr., and Arthur L. Caplan.</t>
  </si>
  <si>
    <t>Cambridge ; New York : Cambridge University Press, 1987.</t>
  </si>
  <si>
    <t>2017-07-28</t>
  </si>
  <si>
    <t>4776372175:eng</t>
  </si>
  <si>
    <t>11532411</t>
  </si>
  <si>
    <t>ocm11532411</t>
  </si>
  <si>
    <t>3000481607T</t>
  </si>
  <si>
    <t>9780521255653</t>
  </si>
  <si>
    <t>792777114</t>
  </si>
  <si>
    <t>Q181 T3534 2009</t>
  </si>
  <si>
    <t>0                      Q  0181000T  3534        2009</t>
  </si>
  <si>
    <t>Teaching science for all children : an inquiry approach.</t>
  </si>
  <si>
    <t>Boston : Pearson/Allyn &amp; Bacon, ©2009.</t>
  </si>
  <si>
    <t>5th ed. / Ralph Martin [and others].</t>
  </si>
  <si>
    <t>2287561475:eng</t>
  </si>
  <si>
    <t>191865713</t>
  </si>
  <si>
    <t>ocn191865713</t>
  </si>
  <si>
    <t>3103478770T</t>
  </si>
  <si>
    <t>9780205594917</t>
  </si>
  <si>
    <t>794301612</t>
  </si>
  <si>
    <t>Q181 T3538 1995</t>
  </si>
  <si>
    <t>0                      Q  0181000T  3538        1995</t>
  </si>
  <si>
    <t>Teaching the majority : breaking the gender barrier in science, mathematics, and engineering / edited by Sue V. Rosser.</t>
  </si>
  <si>
    <t>New York : Teachers College Press, ©1995.</t>
  </si>
  <si>
    <t>Athene series</t>
  </si>
  <si>
    <t>837005038:eng</t>
  </si>
  <si>
    <t>31753711</t>
  </si>
  <si>
    <t>ocm31753711</t>
  </si>
  <si>
    <t>31022232493</t>
  </si>
  <si>
    <t>9780807762776</t>
  </si>
  <si>
    <t>793367159</t>
  </si>
  <si>
    <t>Q181 V47 1971</t>
  </si>
  <si>
    <t>0                      Q  0181000V  47          1971</t>
  </si>
  <si>
    <t>Readings in science education for the elementary school [compiled by] Edward Victor [and] Marjorie S. Lerner.</t>
  </si>
  <si>
    <t>Victor, Edward, 1914- editor.</t>
  </si>
  <si>
    <t>New York, Macmillan [1971]</t>
  </si>
  <si>
    <t>1171227:eng</t>
  </si>
  <si>
    <t>101364</t>
  </si>
  <si>
    <t>ocm00101364</t>
  </si>
  <si>
    <t>3000975027Z</t>
  </si>
  <si>
    <t>791257131</t>
  </si>
  <si>
    <t>Q181 W485 1988</t>
  </si>
  <si>
    <t>0                      Q  0181000W  485         1988</t>
  </si>
  <si>
    <t>Learning science / Richard T. White.</t>
  </si>
  <si>
    <t>White, Richard T. (Richard Thomas)</t>
  </si>
  <si>
    <t>Oxford, UK ; New York, NY, USA : B. Blackwell, 1988.</t>
  </si>
  <si>
    <t>2015-09-04</t>
  </si>
  <si>
    <t>148520007:eng</t>
  </si>
  <si>
    <t>16226167</t>
  </si>
  <si>
    <t>ocm16226167</t>
  </si>
  <si>
    <t>31004841684</t>
  </si>
  <si>
    <t>9780631156994</t>
  </si>
  <si>
    <t>792958508</t>
  </si>
  <si>
    <t>Q181.3 I58 2016</t>
  </si>
  <si>
    <t>0                      Q  0181300I  58          2016</t>
  </si>
  <si>
    <t>Interplay of Creativity and Giftedness in Science / edited by Demetrikopoulos, Melissa K., Pecore, John L.</t>
  </si>
  <si>
    <t>The Netherlands : Sense Publishers, 2015.</t>
  </si>
  <si>
    <t>Advances in Creativity and Giftedness</t>
  </si>
  <si>
    <t>2830907378:eng</t>
  </si>
  <si>
    <t>934536759</t>
  </si>
  <si>
    <t>ocn934536759</t>
  </si>
  <si>
    <t>3103653168Q</t>
  </si>
  <si>
    <t>9789463001618</t>
  </si>
  <si>
    <t>795009694</t>
  </si>
  <si>
    <t>Q181.3 T68 1990</t>
  </si>
  <si>
    <t>0                      Q  0181300T  68          1990</t>
  </si>
  <si>
    <t>Toward a scientific practice of science education / edited by Marjorie Gardner [and others].</t>
  </si>
  <si>
    <t>Hillsdale, N.J. : L. Erlbaum Associates, ©1990.</t>
  </si>
  <si>
    <t>23273868:eng</t>
  </si>
  <si>
    <t>21973136</t>
  </si>
  <si>
    <t>ocm21973136</t>
  </si>
  <si>
    <t>3102722168D</t>
  </si>
  <si>
    <t>9780805803457</t>
  </si>
  <si>
    <t>793131891</t>
  </si>
  <si>
    <t>Q181.3 W43 2016</t>
  </si>
  <si>
    <t>0                      Q  0181300W  43          2016</t>
  </si>
  <si>
    <t>Hochschulwesen und Wissenschaftspolitik : Schriften und Reden, 1895-1920 / Max Weber ; herausgegeben von M. Rainer Lepsius und Wolfgang Schluchter in Zusammenarbeit mit Heide-Marie Lauterer und Anne Munding.</t>
  </si>
  <si>
    <t>Weber, Max, 1864-1920, author.</t>
  </si>
  <si>
    <t>Tübingen : J.C.B. Mohr (Paul Siebeck), [2016]</t>
  </si>
  <si>
    <t>Gesamtausgabe. Abteilung I, Schriften und Reden / Max Weber ; Band 13</t>
  </si>
  <si>
    <t>3948656434:ger</t>
  </si>
  <si>
    <t>962299389</t>
  </si>
  <si>
    <t>ocn962299389</t>
  </si>
  <si>
    <t>3103699362D</t>
  </si>
  <si>
    <t>9783161534324</t>
  </si>
  <si>
    <t>795024348</t>
  </si>
  <si>
    <t>Q182.3 E96 1990</t>
  </si>
  <si>
    <t>0                      Q  0182300E  96          1990</t>
  </si>
  <si>
    <t>Experimental inquiries : historical, philosophical, and social studies of experimentation in science / edited by H.E. LeGrand.</t>
  </si>
  <si>
    <t>Australasian studies in history and philosophy of science ; v. 8</t>
  </si>
  <si>
    <t>351597911:eng</t>
  </si>
  <si>
    <t>21443358</t>
  </si>
  <si>
    <t>ocm21443358</t>
  </si>
  <si>
    <t>31010171985</t>
  </si>
  <si>
    <t>9780792307907</t>
  </si>
  <si>
    <t>793119025</t>
  </si>
  <si>
    <t>Q182.3 T43 2002</t>
  </si>
  <si>
    <t>0                      Q  0182300T  43          2002</t>
  </si>
  <si>
    <t>Teaching and learning in the science laboratory / edited by Dimitris Psillos and Hans Niedderer.</t>
  </si>
  <si>
    <t>Dordrecht ; Boston : Kluwer Academic Publishers, ©2002.</t>
  </si>
  <si>
    <t>Science &amp; technology education library ; v. 16</t>
  </si>
  <si>
    <t>1039134089:eng</t>
  </si>
  <si>
    <t>50851691</t>
  </si>
  <si>
    <t>ocm50851691</t>
  </si>
  <si>
    <t>31034757568</t>
  </si>
  <si>
    <t>9781402010187</t>
  </si>
  <si>
    <t>793774048</t>
  </si>
  <si>
    <t>Q182.5 C37 1992</t>
  </si>
  <si>
    <t>0                      Q  0182500C  37          1992</t>
  </si>
  <si>
    <t>The art of science : a practical guide to experiments, observations, and handling data / Joseph J. Carr.</t>
  </si>
  <si>
    <t>Carr, Joseph J.</t>
  </si>
  <si>
    <t>San Diego : HighText Publications, ©1992.</t>
  </si>
  <si>
    <t>2005-06-16</t>
  </si>
  <si>
    <t>2015-06-01</t>
  </si>
  <si>
    <t>896709859:eng</t>
  </si>
  <si>
    <t>26159070</t>
  </si>
  <si>
    <t>ocm26159070</t>
  </si>
  <si>
    <t>3101158516I</t>
  </si>
  <si>
    <t>9781878707055</t>
  </si>
  <si>
    <t>793238833</t>
  </si>
  <si>
    <t>Q183 A1 S78 1990</t>
  </si>
  <si>
    <t>0                      Q  0183000A  1                  S  78          1990</t>
  </si>
  <si>
    <t>The Student laboratory and the science curriculum / edited by Elizabeth Hegarty-Hazel.</t>
  </si>
  <si>
    <t>London ; New York : Routledge, 1990.</t>
  </si>
  <si>
    <t>Curriculum policy and research series</t>
  </si>
  <si>
    <t>509936931:eng</t>
  </si>
  <si>
    <t>19981570</t>
  </si>
  <si>
    <t>ocm19981570</t>
  </si>
  <si>
    <t>31007095088</t>
  </si>
  <si>
    <t>9780415001182</t>
  </si>
  <si>
    <t>793074068</t>
  </si>
  <si>
    <t>Q183 G72 C35 1983</t>
  </si>
  <si>
    <t>0                      Q  0183000G  72                 C  35          1983</t>
  </si>
  <si>
    <t>Cambridge physics in the thirties / edited and introduced by John Hendry.</t>
  </si>
  <si>
    <t>Bristol : A. Hilger, ©1984.</t>
  </si>
  <si>
    <t>1079509:eng</t>
  </si>
  <si>
    <t>11726809</t>
  </si>
  <si>
    <t>ocm11726809</t>
  </si>
  <si>
    <t>30003618502</t>
  </si>
  <si>
    <t>9780852747612</t>
  </si>
  <si>
    <t>792784797</t>
  </si>
  <si>
    <t>Q183.3 A1 A34 2014</t>
  </si>
  <si>
    <t>0                      Q  0183300A  1                  A  34          2014</t>
  </si>
  <si>
    <t>Using the Next Generation Science Standards with gifted and advanced learners / Cheryll M. Adams, Ph. D., Alicia Cotabish, Ed. D., and Mary Cay Ricci.</t>
  </si>
  <si>
    <t>Adams, Cheryll M., 1948-</t>
  </si>
  <si>
    <t>Waco, Texas : Prufrock Press Inc., [2014]</t>
  </si>
  <si>
    <t>1740869064:eng</t>
  </si>
  <si>
    <t>863043698</t>
  </si>
  <si>
    <t>ocn863043698</t>
  </si>
  <si>
    <t>3103505035P</t>
  </si>
  <si>
    <t>9781618211064</t>
  </si>
  <si>
    <t>794960805</t>
  </si>
  <si>
    <t>Q183.3 A1 B37 1998</t>
  </si>
  <si>
    <t>0                      Q  0183300A  1                  B  37          1998</t>
  </si>
  <si>
    <t>Feminist science education / Angela Calabrese Barton.</t>
  </si>
  <si>
    <t>Calabrese Barton, Angela.</t>
  </si>
  <si>
    <t>New York : Teachers College Press, ©1998.</t>
  </si>
  <si>
    <t>2016-05-06</t>
  </si>
  <si>
    <t>616646:eng</t>
  </si>
  <si>
    <t>38024274</t>
  </si>
  <si>
    <t>ocm38024274</t>
  </si>
  <si>
    <t>31018737381</t>
  </si>
  <si>
    <t>9780807762943</t>
  </si>
  <si>
    <t>793513190</t>
  </si>
  <si>
    <t>Q183.3 A1 C637 1998</t>
  </si>
  <si>
    <t>0                      Q  0183300A  1                  C  637         1998</t>
  </si>
  <si>
    <t>Science instruction in the middle and secondary schools.</t>
  </si>
  <si>
    <t>Chiappetta, Eugene L.</t>
  </si>
  <si>
    <t>Upper Saddle River, N.J. : Merrill, ©1998.</t>
  </si>
  <si>
    <t>4th ed. / Eugene 1. Chiappetta, Thomas R. Koballa , Alfred T. Collette.</t>
  </si>
  <si>
    <t>324921:eng</t>
  </si>
  <si>
    <t>36884200</t>
  </si>
  <si>
    <t>ocm36884200</t>
  </si>
  <si>
    <t>31034758369</t>
  </si>
  <si>
    <t>9780136511182</t>
  </si>
  <si>
    <t>793486664</t>
  </si>
  <si>
    <t>Q183.3 A1 R69 1997</t>
  </si>
  <si>
    <t>0                      Q  0183300A  1                  R  69          1997</t>
  </si>
  <si>
    <t>Re-engineering female friendly science / Sue V. Rosser.</t>
  </si>
  <si>
    <t>Rosser, Sue Vilhauer.</t>
  </si>
  <si>
    <t>New York : Teachers College Press, ©1997.</t>
  </si>
  <si>
    <t>1216440842:eng</t>
  </si>
  <si>
    <t>36438807</t>
  </si>
  <si>
    <t>ocm36438807</t>
  </si>
  <si>
    <t>3101846617G</t>
  </si>
  <si>
    <t>9780807762875</t>
  </si>
  <si>
    <t>793475337</t>
  </si>
  <si>
    <t>Q183.4 A7 S78 2018</t>
  </si>
  <si>
    <t>0                      Q  0183400A  7                  S  78          2018</t>
  </si>
  <si>
    <t>Studies in science education in the Asia-Pacific Region / edited by May May Hung Cheng, Alister Jones, and Cathy Buntting.</t>
  </si>
  <si>
    <t>Abingdon, Oxon ; New York, NY : Routledge, 2018.</t>
  </si>
  <si>
    <t>Routledge research in education</t>
  </si>
  <si>
    <t>4029142377:eng</t>
  </si>
  <si>
    <t>968640747</t>
  </si>
  <si>
    <t>ocn968640747</t>
  </si>
  <si>
    <t>3103740033Q</t>
  </si>
  <si>
    <t>9781138858848</t>
  </si>
  <si>
    <t>795027163</t>
  </si>
  <si>
    <t>Q183.4.C6 Z463 2016/17</t>
  </si>
  <si>
    <t>0                      Q  0183400C  6                  Z  463         2016                  17</t>
  </si>
  <si>
    <t>Zhongguo ke pu ren cai fa zhan bao gao (2015) = The development report on China's science popularization talent (2015) / zhu bian Zheng Nian, Ren Rongrong ; fu zhu bian Zhang Limei, Wang Lihui.</t>
  </si>
  <si>
    <t>Beijing Shi : She hui ke xue wen xian chu ban she, 2016.</t>
  </si>
  <si>
    <t>Ke pu lan pi shu = Blue books of science popularization</t>
  </si>
  <si>
    <t>4204981668:chi</t>
  </si>
  <si>
    <t>986507403</t>
  </si>
  <si>
    <t>ocn986507403</t>
  </si>
  <si>
    <t>31038618604</t>
  </si>
  <si>
    <t>9787509783566</t>
  </si>
  <si>
    <t>795035640</t>
  </si>
  <si>
    <t>Q183.4 G7 J46</t>
  </si>
  <si>
    <t>0                      Q  0183400G  7                  J  46</t>
  </si>
  <si>
    <t>From Armstrong to Nuffield : studies in twentieth-century science education in England and Wales / E.W. Jenkins.</t>
  </si>
  <si>
    <t>Jenkins, E. W. (Edgar William)</t>
  </si>
  <si>
    <t>London : J. Murray, 1979.</t>
  </si>
  <si>
    <t>2016-06-29</t>
  </si>
  <si>
    <t>197553818:eng</t>
  </si>
  <si>
    <t>5946814</t>
  </si>
  <si>
    <t>ocm05946814</t>
  </si>
  <si>
    <t>30009649830</t>
  </si>
  <si>
    <t>9780719535857</t>
  </si>
  <si>
    <t>792465713</t>
  </si>
  <si>
    <t>Q183.4 G72 E553 1984</t>
  </si>
  <si>
    <t>0                      Q  0183400G  72                 E  553         1984</t>
  </si>
  <si>
    <t>The mathematicians' apprenticeship : science, universities and society in England, 1560-1640 / Mordechai Feingold.</t>
  </si>
  <si>
    <t>Feingold, Mordechai, author.</t>
  </si>
  <si>
    <t>2019-02-22</t>
  </si>
  <si>
    <t>836715298:eng</t>
  </si>
  <si>
    <t>9255894</t>
  </si>
  <si>
    <t>ocm09255894</t>
  </si>
  <si>
    <t>30003542921</t>
  </si>
  <si>
    <t>9780521251334</t>
  </si>
  <si>
    <t>792666477</t>
  </si>
  <si>
    <t>Q183.9 M578 2001</t>
  </si>
  <si>
    <t>0                      Q  0183900M  578         2001</t>
  </si>
  <si>
    <t>Mit dem Auge denken : Strategien der Sichtbarmachung in wissenschaftlichen und virtuellen Welten / Bettina Heintz / Jörg Huber (Hgg.) ; Arnold Benz [and others].</t>
  </si>
  <si>
    <t>Zürich : Ith, Institut für Theorie der Gestaltung und Kunst ; Wien : Springer, 2001.</t>
  </si>
  <si>
    <t>Theorie: Gestaltung(T:G) ; 01</t>
  </si>
  <si>
    <t>2018-04-13</t>
  </si>
  <si>
    <t>145117582:ger</t>
  </si>
  <si>
    <t>51022473</t>
  </si>
  <si>
    <t>ocm51022473</t>
  </si>
  <si>
    <t>3103759099J</t>
  </si>
  <si>
    <t>9783211836354</t>
  </si>
  <si>
    <t>793777037</t>
  </si>
  <si>
    <t>Q183.9 R44 1991</t>
  </si>
  <si>
    <t>0                      Q  0183900R  44          1991</t>
  </si>
  <si>
    <t>Virtual reality / Howard Rheingold.</t>
  </si>
  <si>
    <t>Rheingold, Howard.</t>
  </si>
  <si>
    <t>New York : Summit Books, ©1991.</t>
  </si>
  <si>
    <t>15283605:eng</t>
  </si>
  <si>
    <t>23382577</t>
  </si>
  <si>
    <t>ocm23382577</t>
  </si>
  <si>
    <t>3103305624L</t>
  </si>
  <si>
    <t>9780671693633</t>
  </si>
  <si>
    <t>793168854</t>
  </si>
  <si>
    <t>2016-06-13</t>
  </si>
  <si>
    <t>3103113145A</t>
  </si>
  <si>
    <t>793168855</t>
  </si>
  <si>
    <t>Q185 B24 2004</t>
  </si>
  <si>
    <t>0                      Q  0185000B  24          2004</t>
  </si>
  <si>
    <t>Thing knowledge : a philosophy of scientific instruments / Davis Baird.</t>
  </si>
  <si>
    <t>Baird, Davis.</t>
  </si>
  <si>
    <t>Berkeley, Calif. : University of California Press, ©2004.</t>
  </si>
  <si>
    <t>793919988:eng</t>
  </si>
  <si>
    <t>51867952</t>
  </si>
  <si>
    <t>ocm51867952</t>
  </si>
  <si>
    <t>3102536888G</t>
  </si>
  <si>
    <t>9780520232495</t>
  </si>
  <si>
    <t>793793044</t>
  </si>
  <si>
    <t>Q185 D3513</t>
  </si>
  <si>
    <t>0                      Q  0185000D  3513</t>
  </si>
  <si>
    <t>Scientific instruments of the seventeenth and eighteenth centuries. Translated and edited by Mary Holbrook.</t>
  </si>
  <si>
    <t>Daumas, Maurice.</t>
  </si>
  <si>
    <t>New York, Praeger Publishers [1972]</t>
  </si>
  <si>
    <t>Books that matter</t>
  </si>
  <si>
    <t>5577498176:eng</t>
  </si>
  <si>
    <t>376059</t>
  </si>
  <si>
    <t>ocm00376059</t>
  </si>
  <si>
    <t>30003534481</t>
  </si>
  <si>
    <t>791357043</t>
  </si>
  <si>
    <t>Q185 F55 1954</t>
  </si>
  <si>
    <t>0                      Q  0185000F  55          1954</t>
  </si>
  <si>
    <t>Catalogo degli strumenti del Museo di storia della scienza.</t>
  </si>
  <si>
    <t>Istituto e museo di storia della scienza (Italy)</t>
  </si>
  <si>
    <t>Firenze, Olschki, 1954.</t>
  </si>
  <si>
    <t>432072163:ita</t>
  </si>
  <si>
    <t>4177206</t>
  </si>
  <si>
    <t>ocm04177206</t>
  </si>
  <si>
    <t>31029643576</t>
  </si>
  <si>
    <t>792328355</t>
  </si>
  <si>
    <t>Q185 H25 1995</t>
  </si>
  <si>
    <t>0                      Q  0185000H  25          1995</t>
  </si>
  <si>
    <t>Instruments and the imagination / Thomas L. Hankins and Robert J. Silverman.</t>
  </si>
  <si>
    <t>Hankins, Thomas L.</t>
  </si>
  <si>
    <t>Princeton, N.J. : Princeton University Press, ©1995.</t>
  </si>
  <si>
    <t>34385057:eng</t>
  </si>
  <si>
    <t>32131326</t>
  </si>
  <si>
    <t>ocm32131326</t>
  </si>
  <si>
    <t>3103283947J</t>
  </si>
  <si>
    <t>9780691029979</t>
  </si>
  <si>
    <t>793376399</t>
  </si>
  <si>
    <t>Q185 H67 2006</t>
  </si>
  <si>
    <t>0                      Q  0185000H  67          2006</t>
  </si>
  <si>
    <t>Unter Beobachtung : Naturforschung in der Zeit der Sinnesapparate / Christoph Hoffmann.</t>
  </si>
  <si>
    <t>Hoffmann, Christoph, 1963-</t>
  </si>
  <si>
    <t>Göttingen : Wallstein, ©2006.</t>
  </si>
  <si>
    <t>Wissenschaftsgeschichte</t>
  </si>
  <si>
    <t>2015-05-23</t>
  </si>
  <si>
    <t>61342590:ger</t>
  </si>
  <si>
    <t>75253060</t>
  </si>
  <si>
    <t>ocm75253060</t>
  </si>
  <si>
    <t>3103441063L</t>
  </si>
  <si>
    <t>9783835300750</t>
  </si>
  <si>
    <t>794174671</t>
  </si>
  <si>
    <t>Q185 I59 2008</t>
  </si>
  <si>
    <t>0                      Q  0185000I  59          2008</t>
  </si>
  <si>
    <t>Instruments in art and science : on the architectonics of cultural boundaries in the 17th century / edited by Helmar Schramm, Ludger Schwarte, Jan Lazardzig.</t>
  </si>
  <si>
    <t>Instrumente in Kunst und Wissenschaft. English.</t>
  </si>
  <si>
    <t>Berlin ; New York : Walter de Gruyter, ©2008.</t>
  </si>
  <si>
    <t>Theatrum scientiarum: English edition ; v. 2</t>
  </si>
  <si>
    <t>351753334:eng</t>
  </si>
  <si>
    <t>182779655</t>
  </si>
  <si>
    <t>ocn182779655</t>
  </si>
  <si>
    <t>3102883400D</t>
  </si>
  <si>
    <t>9783110202403</t>
  </si>
  <si>
    <t>794285558</t>
  </si>
  <si>
    <t>Q185 M4713</t>
  </si>
  <si>
    <t>0                      Q  0185000M  4713</t>
  </si>
  <si>
    <t>Scientific instruments in art and history. Translated by R.E.W. Maddison and Francis R. Maddison.</t>
  </si>
  <si>
    <t>Michel, Henri, 1885-1981.</t>
  </si>
  <si>
    <t>New York, Viking Press [1967]</t>
  </si>
  <si>
    <t>A Studio book</t>
  </si>
  <si>
    <t>118250385:eng</t>
  </si>
  <si>
    <t>544229</t>
  </si>
  <si>
    <t>ocm00544229</t>
  </si>
  <si>
    <t>31029643586</t>
  </si>
  <si>
    <t>791409504</t>
  </si>
  <si>
    <t>Q222 D52 1998</t>
  </si>
  <si>
    <t>0                      Q  0222000D  52          1998</t>
  </si>
  <si>
    <t>Drawn from life : science and art in the portrayal of the New World / Victoria Dickenson.</t>
  </si>
  <si>
    <t>Dickenson, Victoria.</t>
  </si>
  <si>
    <t>Toronto ; Buffalo : University of Toronto Press, ©1998.</t>
  </si>
  <si>
    <t>2017-03-10</t>
  </si>
  <si>
    <t>854604383:eng</t>
  </si>
  <si>
    <t>39380718</t>
  </si>
  <si>
    <t>ocm39380718</t>
  </si>
  <si>
    <t>3102711273H</t>
  </si>
  <si>
    <t>9780802042255</t>
  </si>
  <si>
    <t>793545185</t>
  </si>
  <si>
    <t>Q222 H86 2013</t>
  </si>
  <si>
    <t>0                      Q  0222000H  86          2013</t>
  </si>
  <si>
    <t>Wicked intelligence : visual art and the science of experiment in Restoration London / Matthew C. Hunter.</t>
  </si>
  <si>
    <t>Hunter, Matthew C.</t>
  </si>
  <si>
    <t>Chicago ; London : The University of Chicago Press, [2013]</t>
  </si>
  <si>
    <t>2018-03-17</t>
  </si>
  <si>
    <t>1414786084:eng</t>
  </si>
  <si>
    <t>816318406</t>
  </si>
  <si>
    <t>ocn816318406</t>
  </si>
  <si>
    <t>31035058301</t>
  </si>
  <si>
    <t>9780226017297</t>
  </si>
  <si>
    <t>794933072</t>
  </si>
  <si>
    <t>Q222 I598 2003</t>
  </si>
  <si>
    <t>0                      Q  0222000I  598         2003</t>
  </si>
  <si>
    <t>La ilustración y las ciencias : para una historia de la objetividad / Josep Lluís Barona, Javier Moscoso, Juan Pimentel, eds.</t>
  </si>
  <si>
    <t>Valencia : Universitat de València, 2003.</t>
  </si>
  <si>
    <t>Oberta ; 89. Història</t>
  </si>
  <si>
    <t>320834094:spa</t>
  </si>
  <si>
    <t>52105581</t>
  </si>
  <si>
    <t>ocm52105581</t>
  </si>
  <si>
    <t>31026586328</t>
  </si>
  <si>
    <t>9788437055039</t>
  </si>
  <si>
    <t>793798500</t>
  </si>
  <si>
    <t>Q222 N57 1950</t>
  </si>
  <si>
    <t>0                      Q  0222000N  57          1950</t>
  </si>
  <si>
    <t>Die naturwissenschaftliche Illustration : ein geschichtlicher Überblick / Claus Nissen.</t>
  </si>
  <si>
    <t>Nissen, Claus, 1901-1975.</t>
  </si>
  <si>
    <t>Bad Münster am Stein : L. Hempe, 1950.</t>
  </si>
  <si>
    <t>365658341:ger</t>
  </si>
  <si>
    <t>3160117</t>
  </si>
  <si>
    <t>ocm03160117</t>
  </si>
  <si>
    <t>3103103678V</t>
  </si>
  <si>
    <t>792224036</t>
  </si>
  <si>
    <t>Q222 O27 2014</t>
  </si>
  <si>
    <t>0                      Q  0222000O  27          2014</t>
  </si>
  <si>
    <t>Observing the world through images : diagrams and figures in the ealry-modern arts and sciences / edited by Nicholas Jardine.</t>
  </si>
  <si>
    <t>Leiden : Brill, 2013.</t>
  </si>
  <si>
    <t>2017-05-25</t>
  </si>
  <si>
    <t>1390320176:eng</t>
  </si>
  <si>
    <t>863174586</t>
  </si>
  <si>
    <t>ocn863174586</t>
  </si>
  <si>
    <t>31035809619</t>
  </si>
  <si>
    <t>9789004263840</t>
  </si>
  <si>
    <t>794961020</t>
  </si>
  <si>
    <t>Q222 P53 1996</t>
  </si>
  <si>
    <t>0                      Q  0222000P  53          1996</t>
  </si>
  <si>
    <t>Picturing knowledge : historical and philosophical problems concerning the use of art in science / edited by Brian S. Baigrie.</t>
  </si>
  <si>
    <t>Toronto ; Buffalo : University of Toronto Press, ©1996.</t>
  </si>
  <si>
    <t>Toronto studies in philosophy</t>
  </si>
  <si>
    <t>766890582:eng</t>
  </si>
  <si>
    <t>35089504</t>
  </si>
  <si>
    <t>ocm35089504</t>
  </si>
  <si>
    <t>3102707125B</t>
  </si>
  <si>
    <t>9780802029850</t>
  </si>
  <si>
    <t>793443714</t>
  </si>
  <si>
    <t>Q222 .P53 1996</t>
  </si>
  <si>
    <t>3101974299Q</t>
  </si>
  <si>
    <t>793443713</t>
  </si>
  <si>
    <t>Q222 R46 1990</t>
  </si>
  <si>
    <t>0                      Q  0222000R  46          1990</t>
  </si>
  <si>
    <t>Representation in scientific practice / edited by Michael Lynch and Steve Woolgar.</t>
  </si>
  <si>
    <t>Cambridge, Mass. : MIT Press, 1990.</t>
  </si>
  <si>
    <t>1st MIT Press ed.</t>
  </si>
  <si>
    <t>352975893:eng</t>
  </si>
  <si>
    <t>21036703</t>
  </si>
  <si>
    <t>ocm21036703</t>
  </si>
  <si>
    <t>3103512737B</t>
  </si>
  <si>
    <t>9780262620765</t>
  </si>
  <si>
    <t>793107202</t>
  </si>
  <si>
    <t>Q222 S35 2000</t>
  </si>
  <si>
    <t>0                      Q  0222000S  35          2000</t>
  </si>
  <si>
    <t>Science and the visual image in the enlightenment / edited by William R. Shea.</t>
  </si>
  <si>
    <t>[Canton, MA] : Science History Publications, 2000.</t>
  </si>
  <si>
    <t>European studies in science history and the arts ; 4</t>
  </si>
  <si>
    <t>33941182:eng</t>
  </si>
  <si>
    <t>44701604</t>
  </si>
  <si>
    <t>ocm44701604</t>
  </si>
  <si>
    <t>31023607785</t>
  </si>
  <si>
    <t>9780881352856</t>
  </si>
  <si>
    <t>793656086</t>
  </si>
  <si>
    <t>Q223 A33 1993</t>
  </si>
  <si>
    <t>0                      Q  0223000A  33          1993</t>
  </si>
  <si>
    <t>Academic links and communications / Kenneth Button [and others].</t>
  </si>
  <si>
    <t>Aldershot : Avebury, ©1993.</t>
  </si>
  <si>
    <t>Studies of science in Europe</t>
  </si>
  <si>
    <t>31368309:eng</t>
  </si>
  <si>
    <t>29466605</t>
  </si>
  <si>
    <t>ocm29466605</t>
  </si>
  <si>
    <t>3101408531V</t>
  </si>
  <si>
    <t>9781856285469</t>
  </si>
  <si>
    <t>793311772</t>
  </si>
  <si>
    <t>Q223 C656</t>
  </si>
  <si>
    <t>0                      Q  0223000C  656</t>
  </si>
  <si>
    <t>Communication of scientific information / ed., Stacey B. Day.</t>
  </si>
  <si>
    <t>Basel ; New York : S. Karger, ©1975.</t>
  </si>
  <si>
    <t>6880425:eng</t>
  </si>
  <si>
    <t>2932648</t>
  </si>
  <si>
    <t>ocm02932648</t>
  </si>
  <si>
    <t>3100380547N</t>
  </si>
  <si>
    <t>9783805521567</t>
  </si>
  <si>
    <t>792195621</t>
  </si>
  <si>
    <t>Q223 C775 2005</t>
  </si>
  <si>
    <t>0                      Q  0223000C  775         2005</t>
  </si>
  <si>
    <t>The hand of science : academic writing and its rewards / Blaise Cronin.</t>
  </si>
  <si>
    <t>Cronin, Blaise.</t>
  </si>
  <si>
    <t>Lanham, Md : Scarecrow Press, 2005.</t>
  </si>
  <si>
    <t>311819524:eng</t>
  </si>
  <si>
    <t>56805583</t>
  </si>
  <si>
    <t>ocm56805583</t>
  </si>
  <si>
    <t>3103055724B</t>
  </si>
  <si>
    <t>9780810852822</t>
  </si>
  <si>
    <t>793902154</t>
  </si>
  <si>
    <t>Q223 C85 2018</t>
  </si>
  <si>
    <t>0                      Q  0223000C  85          2018</t>
  </si>
  <si>
    <t>The scientific journal : authorship and the politics of knowledge in the nineteenth century / Alex Csiszar.</t>
  </si>
  <si>
    <t>Csiszar, Alex, author.</t>
  </si>
  <si>
    <t>Chicago : The University of Chicago Press, [2018]</t>
  </si>
  <si>
    <t>4470546265:eng</t>
  </si>
  <si>
    <t>1001807498</t>
  </si>
  <si>
    <t>on1001807498</t>
  </si>
  <si>
    <t>3103810323S</t>
  </si>
  <si>
    <t>9780226553238</t>
  </si>
  <si>
    <t>795040734</t>
  </si>
  <si>
    <t>Q223 G77 1990</t>
  </si>
  <si>
    <t>0                      Q  0223000G  77          1990</t>
  </si>
  <si>
    <t>The rhetoric of science / Alan G. Gross.</t>
  </si>
  <si>
    <t>Gross, Alan G.</t>
  </si>
  <si>
    <t>Cambridge, Mass. : Harvard University Press, 1990.</t>
  </si>
  <si>
    <t>22584347:eng</t>
  </si>
  <si>
    <t>20934762</t>
  </si>
  <si>
    <t>ocm20934762</t>
  </si>
  <si>
    <t>3101017184G</t>
  </si>
  <si>
    <t>9780674768734</t>
  </si>
  <si>
    <t>793103672</t>
  </si>
  <si>
    <t>Q223 H63 2017</t>
  </si>
  <si>
    <t>0                      Q  0223000H  63          2017</t>
  </si>
  <si>
    <t>Scientific writing and communication : papers, proposals, and presentations / Angelika H. Hofmann, Ph.D. (Yale University).</t>
  </si>
  <si>
    <t>Hofmann, Angelika H., 1965- author.</t>
  </si>
  <si>
    <t>New York : Oxford University Press, [2017]</t>
  </si>
  <si>
    <t>Third edition.</t>
  </si>
  <si>
    <t>902312982:eng</t>
  </si>
  <si>
    <t>965796708</t>
  </si>
  <si>
    <t>ocn965796708</t>
  </si>
  <si>
    <t>31037406999</t>
  </si>
  <si>
    <t>9780190278540</t>
  </si>
  <si>
    <t>795025929</t>
  </si>
  <si>
    <t>Q223 L46 1990</t>
  </si>
  <si>
    <t>0                      Q  0223000L  46          1990</t>
  </si>
  <si>
    <t>Talking science : language, learning, and values / Jay L. Lemke.</t>
  </si>
  <si>
    <t>Lemke, J. L. (Jay L.)</t>
  </si>
  <si>
    <t>Norwood, N.J. : Ablex Pub. Corp., ©1990.</t>
  </si>
  <si>
    <t>Language and educational processes</t>
  </si>
  <si>
    <t>796257292:eng</t>
  </si>
  <si>
    <t>21227077</t>
  </si>
  <si>
    <t>ocm21227077</t>
  </si>
  <si>
    <t>3103400752Q</t>
  </si>
  <si>
    <t>9780893915650</t>
  </si>
  <si>
    <t>793112894</t>
  </si>
  <si>
    <t>Q223 L55 2011</t>
  </si>
  <si>
    <t>0                      Q  0223000L  55          2011</t>
  </si>
  <si>
    <t>Visual complexity : mapping patterns of information / Manuel Lima.</t>
  </si>
  <si>
    <t>Lima, Manuel, 1978-</t>
  </si>
  <si>
    <t>New York : Princeton Architectural Press, ©2011.</t>
  </si>
  <si>
    <t>2018-04-14</t>
  </si>
  <si>
    <t>1009293975:eng</t>
  </si>
  <si>
    <t>664674853</t>
  </si>
  <si>
    <t>ocn664674853</t>
  </si>
  <si>
    <t>31034317675</t>
  </si>
  <si>
    <t>9781568989365</t>
  </si>
  <si>
    <t>794844231</t>
  </si>
  <si>
    <t>Q223 M39</t>
  </si>
  <si>
    <t>0                      Q  0223000M  39</t>
  </si>
  <si>
    <t>Communication in science / A.J. Meadows.</t>
  </si>
  <si>
    <t>London : Butterworths, 1974.</t>
  </si>
  <si>
    <t>1976341:eng</t>
  </si>
  <si>
    <t>1104697</t>
  </si>
  <si>
    <t>ocm01104697</t>
  </si>
  <si>
    <t>3000848819C</t>
  </si>
  <si>
    <t>9780408705721</t>
  </si>
  <si>
    <t>791547618</t>
  </si>
  <si>
    <t>- Redpath Basement - Education Collection - Regular Loan</t>
  </si>
  <si>
    <t>Q223 W45 2010</t>
  </si>
  <si>
    <t>0                      Q  0223000W  45          2010</t>
  </si>
  <si>
    <t>Bodies out of control : rethinking science texts / Matthew Weinstein with contributions by Nidda Makki.</t>
  </si>
  <si>
    <t>Weinstein, Matthew, 1959-</t>
  </si>
  <si>
    <t>New York : Peter Lang, ©2010.</t>
  </si>
  <si>
    <t>Complicated conversation, 1534-2816 ; v. 30</t>
  </si>
  <si>
    <t>347320791:eng</t>
  </si>
  <si>
    <t>463454363</t>
  </si>
  <si>
    <t>ocn463454363</t>
  </si>
  <si>
    <t>31033612897</t>
  </si>
  <si>
    <t>9781433105159</t>
  </si>
  <si>
    <t>794792670</t>
  </si>
  <si>
    <t>Q223.2 C66 2013</t>
  </si>
  <si>
    <t>0                      Q  0223200C  66          2013</t>
  </si>
  <si>
    <t>Communicating observations in early modern letters (1500-1675) : epistolography and epistemology in the age of the scientific revolution / edited by Dirk van Miert.</t>
  </si>
  <si>
    <t>London : Warburg Institute ; Turin : Nino Aragno, 2013.</t>
  </si>
  <si>
    <t>Warburg Institute Colloquia 23</t>
  </si>
  <si>
    <t>1748321678:eng</t>
  </si>
  <si>
    <t>867032043</t>
  </si>
  <si>
    <t>ocn867032043</t>
  </si>
  <si>
    <t>3103655554B</t>
  </si>
  <si>
    <t>9781908590466</t>
  </si>
  <si>
    <t>794963787</t>
  </si>
  <si>
    <t>Q224 S35 2017</t>
  </si>
  <si>
    <t>0                      Q  0224000S  35          2017</t>
  </si>
  <si>
    <t>Science in the archives : pasts, presents, futures / edited by Lorraine Daston.</t>
  </si>
  <si>
    <t>Chicago ; London : The University of Chicago Press, [2017]</t>
  </si>
  <si>
    <t>2017-10-03</t>
  </si>
  <si>
    <t>4141374209:eng</t>
  </si>
  <si>
    <t>952567204</t>
  </si>
  <si>
    <t>ocn952567204</t>
  </si>
  <si>
    <t>31036706014</t>
  </si>
  <si>
    <t>9780226432229</t>
  </si>
  <si>
    <t>795018367</t>
  </si>
  <si>
    <t>Q225 N35 1987</t>
  </si>
  <si>
    <t>0                      Q  0225000N  35          1987</t>
  </si>
  <si>
    <t>Selling science : how the press covers science and technology / Dorothy Nelkin.</t>
  </si>
  <si>
    <t>Nelkin, Dorothy.</t>
  </si>
  <si>
    <t>New York : W.H. Freeman, ©1987.</t>
  </si>
  <si>
    <t>8371084:eng</t>
  </si>
  <si>
    <t>14413514</t>
  </si>
  <si>
    <t>ocm14413514</t>
  </si>
  <si>
    <t>3000988683H</t>
  </si>
  <si>
    <t>9780716718260</t>
  </si>
  <si>
    <t>792889475</t>
  </si>
  <si>
    <t>Q225 S354 2012</t>
  </si>
  <si>
    <t>0                      Q  0225000S  354         2012</t>
  </si>
  <si>
    <t>The sciences' media connection : public communication and its repercussions / Simone Rödder, Martina Franzen, Peter Weingart, editors.</t>
  </si>
  <si>
    <t>Sociology of the sciences yearbook ; v. 28</t>
  </si>
  <si>
    <t>2014-05-26</t>
  </si>
  <si>
    <t>1060385732:eng</t>
  </si>
  <si>
    <t>741541326</t>
  </si>
  <si>
    <t>ocn741541326</t>
  </si>
  <si>
    <t>3103441326K</t>
  </si>
  <si>
    <t>9789400720848</t>
  </si>
  <si>
    <t>794884152</t>
  </si>
  <si>
    <t>Q225.5 C66 2004</t>
  </si>
  <si>
    <t>0                      Q  0225500C  66          2004</t>
  </si>
  <si>
    <t>Lo scaffale della biblioteca scientifica in volgare, secoli XIII-XVI : atti del Convegno (Matera, 14-15 ottobre 2004) / a cura di Rita Librandi e Rosa Piro.</t>
  </si>
  <si>
    <t>Convegno Lo scaffale della biblioteca scientifica in volgare (2004 : Matera, Italy)</t>
  </si>
  <si>
    <t>Firenze : SISMEL, Edizioni del Galluzzo, 2006.</t>
  </si>
  <si>
    <t>Micrologus' library ; 16</t>
  </si>
  <si>
    <t>890836088:ita</t>
  </si>
  <si>
    <t>75252358</t>
  </si>
  <si>
    <t>ocm75252358</t>
  </si>
  <si>
    <t>3102674294E</t>
  </si>
  <si>
    <t>9788884502100</t>
  </si>
  <si>
    <t>794174644</t>
  </si>
  <si>
    <t>Q225.5 I47 2007</t>
  </si>
  <si>
    <t>0                      Q  0225500I  47          2007</t>
  </si>
  <si>
    <t>The impact factor of scientific and scholarly journals : its use and misuse in research evaluation : a selection of papers reprinted mainly from the journal Scientometrics / compiled and edited by Tibor Braun with the assistance of the board members of Scientometrics ; preface by Eugene Garfield.</t>
  </si>
  <si>
    <t>[Budapest] Hungary : Akadémiai Kiadó, ©2007.</t>
  </si>
  <si>
    <t>Scientometrics guidebooks series, 1788-2370 ; 2</t>
  </si>
  <si>
    <t>2015-03-10</t>
  </si>
  <si>
    <t>866216538:eng</t>
  </si>
  <si>
    <t>213444416</t>
  </si>
  <si>
    <t>ocn213444416</t>
  </si>
  <si>
    <t>3103252363F</t>
  </si>
  <si>
    <t>9789630585286</t>
  </si>
  <si>
    <t>794308298</t>
  </si>
  <si>
    <t>Q225.5 S347 2008</t>
  </si>
  <si>
    <t>0                      Q  0225500S  347         2008</t>
  </si>
  <si>
    <t>Lessons for a scientific literature review : guiding the inquiry / Randell K. Schmidt, Maureen M. Smyth and Virginia K. Kowalski ; foreword by Ross Todd.</t>
  </si>
  <si>
    <t>Schmidt, Randell K.</t>
  </si>
  <si>
    <t>Westport, Conn. : Libraries Unlimited, 2008.</t>
  </si>
  <si>
    <t>2017-01-23</t>
  </si>
  <si>
    <t>321874862:eng</t>
  </si>
  <si>
    <t>213844885</t>
  </si>
  <si>
    <t>ocn213844885</t>
  </si>
  <si>
    <t>3103284650M</t>
  </si>
  <si>
    <t>9781591586845</t>
  </si>
  <si>
    <t>794312701</t>
  </si>
  <si>
    <t>3102976370Q</t>
  </si>
  <si>
    <t>794312700</t>
  </si>
  <si>
    <t>Q226 L55 2010</t>
  </si>
  <si>
    <t>0                      Q  0226000L  55          2010</t>
  </si>
  <si>
    <t>Linguistic and translation studies in scientic communication / Maria-Lluisa Gea-Valor, Isabel García-Izquierdo &amp; Maria-José Esteve (eds).</t>
  </si>
  <si>
    <t>Bern ; New York : Peter Lang, ©2010.</t>
  </si>
  <si>
    <t>Linguistic insights : studies in language and communication, 1424-8689 ; v. 86</t>
  </si>
  <si>
    <t>628575592:eng</t>
  </si>
  <si>
    <t>634738114</t>
  </si>
  <si>
    <t>ocn634738114</t>
  </si>
  <si>
    <t>31033635086</t>
  </si>
  <si>
    <t>9783034300698</t>
  </si>
  <si>
    <t>794825360</t>
  </si>
  <si>
    <t>Q295 A44x</t>
  </si>
  <si>
    <t>0                      Q  0295000A  44x</t>
  </si>
  <si>
    <t>A Theory of movements / William Alonso.</t>
  </si>
  <si>
    <t>Alonso, William.</t>
  </si>
  <si>
    <t>Berkeley : Institute of Urban &amp; Regional Development, University of California, 1976-</t>
  </si>
  <si>
    <t>University of California, Berkeley. Institute of Urban &amp; Regional Development. Working paper ; no. 266</t>
  </si>
  <si>
    <t>10106915:eng</t>
  </si>
  <si>
    <t>3343147</t>
  </si>
  <si>
    <t>ocm03343147</t>
  </si>
  <si>
    <t>3000409458S</t>
  </si>
  <si>
    <t>792244815</t>
  </si>
  <si>
    <t>Q295 A88 1981</t>
  </si>
  <si>
    <t>0                      Q  0295000A  88          1981</t>
  </si>
  <si>
    <t>Autopoiesis, a theory of living organization / edited by Milan Zeleny.</t>
  </si>
  <si>
    <t>New York, N.Y. : North Holland, ©1981.</t>
  </si>
  <si>
    <t>North-Holland series in general systems research ; 3</t>
  </si>
  <si>
    <t>482524:eng</t>
  </si>
  <si>
    <t>6981490</t>
  </si>
  <si>
    <t>ocm06981490</t>
  </si>
  <si>
    <t>3000369071N</t>
  </si>
  <si>
    <t>9780444003850</t>
  </si>
  <si>
    <t>792533672</t>
  </si>
  <si>
    <t>Q295 B28</t>
  </si>
  <si>
    <t>0                      Q  0295000B  28</t>
  </si>
  <si>
    <t>Platform for change; a message from Stafford Beer.</t>
  </si>
  <si>
    <t>Beer, Stafford.</t>
  </si>
  <si>
    <t>London, New York, Wiley [1975]</t>
  </si>
  <si>
    <t>5620483153:eng</t>
  </si>
  <si>
    <t>865940</t>
  </si>
  <si>
    <t>ocm00865940</t>
  </si>
  <si>
    <t>3000442138K</t>
  </si>
  <si>
    <t>9780471061892</t>
  </si>
  <si>
    <t>791490295</t>
  </si>
  <si>
    <t>Q295 B4</t>
  </si>
  <si>
    <t>0                      Q  0295000B  4</t>
  </si>
  <si>
    <t>General system theory : foundations, development, applications.</t>
  </si>
  <si>
    <t>Bertalanffy, Ludwig von.</t>
  </si>
  <si>
    <t>Harmondsworth, Middlesex : Penguin, Braziller, 1968.</t>
  </si>
  <si>
    <t>2018-06-20</t>
  </si>
  <si>
    <t>579340:eng</t>
  </si>
  <si>
    <t>222860852</t>
  </si>
  <si>
    <t>ocn222860852</t>
  </si>
  <si>
    <t>3100961322C</t>
  </si>
  <si>
    <t>9780807604533</t>
  </si>
  <si>
    <t>794333086</t>
  </si>
  <si>
    <t>Q295 B4 1973</t>
  </si>
  <si>
    <t>0                      Q  0295000B  4           1973</t>
  </si>
  <si>
    <t>General system theory : foundations, development, applications / by Ludwig von Bertalanffy.</t>
  </si>
  <si>
    <t>Bertalanffy, Ludwig von, 1901-1972.</t>
  </si>
  <si>
    <t>New York : G. Braziller, 1973, ©1968.</t>
  </si>
  <si>
    <t>International library of systems theory and philosophy</t>
  </si>
  <si>
    <t>2019-08-02</t>
  </si>
  <si>
    <t>4442775</t>
  </si>
  <si>
    <t>ocm04442775</t>
  </si>
  <si>
    <t>3000986212T</t>
  </si>
  <si>
    <t>9780807604526</t>
  </si>
  <si>
    <t>792350520</t>
  </si>
  <si>
    <t>2018-02-16</t>
  </si>
  <si>
    <t>30008275194</t>
  </si>
  <si>
    <t>792350521</t>
  </si>
  <si>
    <t>Q295 B55</t>
  </si>
  <si>
    <t>0                      Q  0295000B  55</t>
  </si>
  <si>
    <t>Systems theory : philosophical and methodological problems / I.V. Blauberg, V.N. Sadovsky, E.G. Yudin ; [translated from the Russian by Sergei Syrovatkin and Olga Germogenova].</t>
  </si>
  <si>
    <t>Blauberg, I. V. (Igorʹ Viktorovich)</t>
  </si>
  <si>
    <t>Moscow : Progress, 1977.</t>
  </si>
  <si>
    <t>892781930:eng</t>
  </si>
  <si>
    <t>3649761</t>
  </si>
  <si>
    <t>ocm03649761</t>
  </si>
  <si>
    <t>3103773505F</t>
  </si>
  <si>
    <t>792276881</t>
  </si>
  <si>
    <t>Q295 B6313 1984</t>
  </si>
  <si>
    <t>0                      Q  0295000B  6313        1984</t>
  </si>
  <si>
    <t>Essays in tektology : the general science of organization / A. Bogdanov ; English translation by George Gorelik.</t>
  </si>
  <si>
    <t>Bogdanov, A. (Aleksandr), 1873-1928.</t>
  </si>
  <si>
    <t>Seaside, Calif. : Intersystems Publications, ©1984.</t>
  </si>
  <si>
    <t>The Systems inquiry series</t>
  </si>
  <si>
    <t>2754313309:eng</t>
  </si>
  <si>
    <t>16105246</t>
  </si>
  <si>
    <t>ocm16105246</t>
  </si>
  <si>
    <t>3101223160U</t>
  </si>
  <si>
    <t>9780914105060</t>
  </si>
  <si>
    <t>792955006</t>
  </si>
  <si>
    <t>Q295 B68</t>
  </si>
  <si>
    <t>0                      Q  0295000B  68</t>
  </si>
  <si>
    <t>General systems thinking : its scope and applicability / T. Downing Bowler.</t>
  </si>
  <si>
    <t>Bowler, T. Downing.</t>
  </si>
  <si>
    <t>New York : North Holland, ©1981.</t>
  </si>
  <si>
    <t>The North Holland series in general systems research ; v. 4</t>
  </si>
  <si>
    <t>348429319:eng</t>
  </si>
  <si>
    <t>6649905</t>
  </si>
  <si>
    <t>ocm06649905</t>
  </si>
  <si>
    <t>30001546369</t>
  </si>
  <si>
    <t>9780444004208</t>
  </si>
  <si>
    <t>792514462</t>
  </si>
  <si>
    <t>Q295 E17 1985</t>
  </si>
  <si>
    <t>0                      Q  0295000E  17          1985</t>
  </si>
  <si>
    <t>Uses and abuses of systems theory : perspectives by Easton, Taylor and Nyiri / edited by Nicolas Nyiri and John Redekop.</t>
  </si>
  <si>
    <t>Waterloo : Wilfrid Laurier University, 1985.</t>
  </si>
  <si>
    <t>Occasional paper / Interdisciplinary Research Seminar ; 2</t>
  </si>
  <si>
    <t>23042214:eng</t>
  </si>
  <si>
    <t>29201498</t>
  </si>
  <si>
    <t>ocm29201498</t>
  </si>
  <si>
    <t>31023372943</t>
  </si>
  <si>
    <t>793305302</t>
  </si>
  <si>
    <t>Q295 E45</t>
  </si>
  <si>
    <t>0                      Q  0295000E  45</t>
  </si>
  <si>
    <t>Systems thinking : selected readings / edited by F.E. Emery.</t>
  </si>
  <si>
    <t>Harmondsworth : Penguin, 1969.</t>
  </si>
  <si>
    <t>Penguin modern management readings</t>
  </si>
  <si>
    <t>4917907904:eng</t>
  </si>
  <si>
    <t>66172</t>
  </si>
  <si>
    <t>ocm00066172</t>
  </si>
  <si>
    <t>31028772490</t>
  </si>
  <si>
    <t>9780140800715</t>
  </si>
  <si>
    <t>791244575</t>
  </si>
  <si>
    <t>Q295 F84</t>
  </si>
  <si>
    <t>0                      Q  0295000F  84</t>
  </si>
  <si>
    <t>Synergetics : explorations in the geometry of thinking / R. Buckminster Fuller in collaboration with E.J. Applewhite ; pref. and contribution by Arthur L. Loeb.</t>
  </si>
  <si>
    <t>Fuller, R. Buckminster (Richard Buckminster), 1895-1983.</t>
  </si>
  <si>
    <t>New York : Macmillan, [1975-79]</t>
  </si>
  <si>
    <t>50870806:eng</t>
  </si>
  <si>
    <t>886421</t>
  </si>
  <si>
    <t>ocm00886421</t>
  </si>
  <si>
    <t>31029643674</t>
  </si>
  <si>
    <t>9780025418707</t>
  </si>
  <si>
    <t>791495005</t>
  </si>
  <si>
    <t>Q295 G64 1994</t>
  </si>
  <si>
    <t>0                      Q  0295000G  64          1994</t>
  </si>
  <si>
    <t>Chaotic logic : language, thought, and reality from the perspective of complex systems science / Ben Goertzel.</t>
  </si>
  <si>
    <t>Goertzel, Ben.</t>
  </si>
  <si>
    <t>New York : Plenum Press, ©1994.</t>
  </si>
  <si>
    <t>International Federation for Systems Research international series on systems science and engineering ; v. 9</t>
  </si>
  <si>
    <t>836975846:eng</t>
  </si>
  <si>
    <t>29518057</t>
  </si>
  <si>
    <t>ocm29518057</t>
  </si>
  <si>
    <t>31022128100</t>
  </si>
  <si>
    <t>9780306446900</t>
  </si>
  <si>
    <t>793312972</t>
  </si>
  <si>
    <t>Q295 H5</t>
  </si>
  <si>
    <t>0                      Q  0295000H  5</t>
  </si>
  <si>
    <t>Hierarchical structures; proceedings. Edited by Lancelot Law Whyte, Albert G. Wilson [and] Donna Wilson.</t>
  </si>
  <si>
    <t>New York, American Elsevier Pub. Co., 1969.</t>
  </si>
  <si>
    <t>854707256:eng</t>
  </si>
  <si>
    <t>54814</t>
  </si>
  <si>
    <t>ocm00054814</t>
  </si>
  <si>
    <t>3103743284N</t>
  </si>
  <si>
    <t>9780444000699</t>
  </si>
  <si>
    <t>791240978</t>
  </si>
  <si>
    <t>Q295 L3</t>
  </si>
  <si>
    <t>0                      Q  0295000L  3</t>
  </si>
  <si>
    <t>Introduction to systems philosophy; toward a new paradigm of contemporary thought. With a foreword by Ludwig von Bertalanffy.</t>
  </si>
  <si>
    <t>Laszlo, Ervin, 1932-</t>
  </si>
  <si>
    <t>New York, Gordon and Breach [©1972]</t>
  </si>
  <si>
    <t>431376:eng</t>
  </si>
  <si>
    <t>12994311</t>
  </si>
  <si>
    <t>ocm12994311</t>
  </si>
  <si>
    <t>30008424874</t>
  </si>
  <si>
    <t>9780677038506</t>
  </si>
  <si>
    <t>792836212</t>
  </si>
  <si>
    <t>Q295 L37 1972</t>
  </si>
  <si>
    <t>0                      Q  0295000L  37          1972</t>
  </si>
  <si>
    <t>The systems view of the world; the natural philosophy of the new developments in the sciences.</t>
  </si>
  <si>
    <t>New York, G. Braziller [1972]</t>
  </si>
  <si>
    <t>1089542019:eng</t>
  </si>
  <si>
    <t>333573</t>
  </si>
  <si>
    <t>ocm00333573</t>
  </si>
  <si>
    <t>3000556037U</t>
  </si>
  <si>
    <t>9780807606377</t>
  </si>
  <si>
    <t>791340697</t>
  </si>
  <si>
    <t>Q295 M54</t>
  </si>
  <si>
    <t>0                      Q  0295000M  54</t>
  </si>
  <si>
    <t>Living systems / James Grier Miller.</t>
  </si>
  <si>
    <t>Miller, James Grier.</t>
  </si>
  <si>
    <t>New York : McGraw-Hill, ©1978.</t>
  </si>
  <si>
    <t>405954:eng</t>
  </si>
  <si>
    <t>3002365</t>
  </si>
  <si>
    <t>ocm03002365</t>
  </si>
  <si>
    <t>3001037444E</t>
  </si>
  <si>
    <t>9780070420151</t>
  </si>
  <si>
    <t>792205011</t>
  </si>
  <si>
    <t>Q295 R44 1972</t>
  </si>
  <si>
    <t>0                      Q  0295000R  44          1972</t>
  </si>
  <si>
    <t>The Relevance of general systems theory; papers presented to Ludwig von Bertalanffy on his seventieth birthday. Edited by Ervin Laszlo.</t>
  </si>
  <si>
    <t>The International library of systems theory and philosophy</t>
  </si>
  <si>
    <t>808481749:eng</t>
  </si>
  <si>
    <t>532416</t>
  </si>
  <si>
    <t>ocm00532416</t>
  </si>
  <si>
    <t>30005728627</t>
  </si>
  <si>
    <t>9780807606599</t>
  </si>
  <si>
    <t>791405862</t>
  </si>
  <si>
    <t>Q295 R64 2007</t>
  </si>
  <si>
    <t>0                      Q  0295000R  64          2007</t>
  </si>
  <si>
    <t>Driving forces in physical, biological and socio-economic phenomena : a network science investigation of social bonds and interactions / Bertrand M. Roehner.</t>
  </si>
  <si>
    <t>Roehner, Bertrand M., 1946-</t>
  </si>
  <si>
    <t>Cambridge : Cambridge University Press, ©2007.</t>
  </si>
  <si>
    <t>792621194:eng</t>
  </si>
  <si>
    <t>141379284</t>
  </si>
  <si>
    <t>ocn141379284</t>
  </si>
  <si>
    <t>31025703456</t>
  </si>
  <si>
    <t>9780521859103</t>
  </si>
  <si>
    <t>794234702</t>
  </si>
  <si>
    <t>Q295 W44 2001</t>
  </si>
  <si>
    <t>0                      Q  0295000W  44          2001</t>
  </si>
  <si>
    <t>An introduction to general systems thinking / Gerald M. Weinberg.</t>
  </si>
  <si>
    <t>Weinberg, Gerald M.</t>
  </si>
  <si>
    <t>New York : Dorset House, ©2001.</t>
  </si>
  <si>
    <t>Silver anniversary ed.</t>
  </si>
  <si>
    <t>2019-10-15</t>
  </si>
  <si>
    <t>490433:eng</t>
  </si>
  <si>
    <t>45313467</t>
  </si>
  <si>
    <t>ocm45313467</t>
  </si>
  <si>
    <t>3102654612S</t>
  </si>
  <si>
    <t>9780932633491</t>
  </si>
  <si>
    <t>793669114</t>
  </si>
  <si>
    <t>Q300 C66 2003</t>
  </si>
  <si>
    <t>0                      Q  0300000C  66          2003</t>
  </si>
  <si>
    <t>Cybernetics : the Macy-Conferences 1946-1953 = Kybernetik / edited by Claus Pias.</t>
  </si>
  <si>
    <t>Conference on Cybernetics.</t>
  </si>
  <si>
    <t>Zürich : Diaphanes, ©2003-</t>
  </si>
  <si>
    <t>1. Aufl.</t>
  </si>
  <si>
    <t>3374235548:eng</t>
  </si>
  <si>
    <t>54425558</t>
  </si>
  <si>
    <t>ocm54425558</t>
  </si>
  <si>
    <t>31026559409</t>
  </si>
  <si>
    <t>9783935300353</t>
  </si>
  <si>
    <t>793861603</t>
  </si>
  <si>
    <t>2010-08-30</t>
  </si>
  <si>
    <t>3102655935B</t>
  </si>
  <si>
    <t>793861602</t>
  </si>
  <si>
    <t>Q305 G47 2002</t>
  </si>
  <si>
    <t>0                      Q  0305000G  47          2002</t>
  </si>
  <si>
    <t>From newspeak to cyberspeak : a history of Soviet cybernetics / Slava Gerovitch.</t>
  </si>
  <si>
    <t>Gerovitch, Slava.</t>
  </si>
  <si>
    <t>Cambridge, Mass. : MIT Press, ©2002.</t>
  </si>
  <si>
    <t>10183688:eng</t>
  </si>
  <si>
    <t>48477582</t>
  </si>
  <si>
    <t>ocm48477582</t>
  </si>
  <si>
    <t>3102204842S</t>
  </si>
  <si>
    <t>9780262072328</t>
  </si>
  <si>
    <t>793722067</t>
  </si>
  <si>
    <t>Q310 A8 1956</t>
  </si>
  <si>
    <t>0                      Q  0310000A  8           1956</t>
  </si>
  <si>
    <t>2009-08-18</t>
  </si>
  <si>
    <t>3103087785D</t>
  </si>
  <si>
    <t>791402435</t>
  </si>
  <si>
    <t>Q310 H35 2014</t>
  </si>
  <si>
    <t>0                      Q  0310000H  35          2014</t>
  </si>
  <si>
    <t>Beautiful data : a history of vision and reason since 1945 / Orit Halpern.</t>
  </si>
  <si>
    <t>Halpern, Orit, 1972-</t>
  </si>
  <si>
    <t>Durham : Duke University Press, 2014.</t>
  </si>
  <si>
    <t>Experimental futures</t>
  </si>
  <si>
    <t>1840267148:eng</t>
  </si>
  <si>
    <t>875884461</t>
  </si>
  <si>
    <t>ocn875884461</t>
  </si>
  <si>
    <t>31037012500</t>
  </si>
  <si>
    <t>9780822357308</t>
  </si>
  <si>
    <t>794969680</t>
  </si>
  <si>
    <t>Q310 P64 1969</t>
  </si>
  <si>
    <t>0                      Q  0310000P  64          1969</t>
  </si>
  <si>
    <t>Cybernetics simplified.</t>
  </si>
  <si>
    <t>Porter, Arthur, 1910-</t>
  </si>
  <si>
    <t>London, English Universities P., 1969.</t>
  </si>
  <si>
    <t>New science series</t>
  </si>
  <si>
    <t>1282502:eng</t>
  </si>
  <si>
    <t>86471</t>
  </si>
  <si>
    <t>ocm00086471</t>
  </si>
  <si>
    <t>31030092082</t>
  </si>
  <si>
    <t>9780340051993</t>
  </si>
  <si>
    <t>791250682</t>
  </si>
  <si>
    <t>Q310 R65 1974</t>
  </si>
  <si>
    <t>0                      Q  0310000R  65          1974</t>
  </si>
  <si>
    <t>The cybernetic revolution / J. Rose.</t>
  </si>
  <si>
    <t>Rose, John, 1917-</t>
  </si>
  <si>
    <t>New York : Barnes &amp; Noble Books, 1974.</t>
  </si>
  <si>
    <t>2019-05-14</t>
  </si>
  <si>
    <t>2090923:eng</t>
  </si>
  <si>
    <t>1205902</t>
  </si>
  <si>
    <t>ocm01205902</t>
  </si>
  <si>
    <t>31028772480</t>
  </si>
  <si>
    <t>9780064959827</t>
  </si>
  <si>
    <t>791573359</t>
  </si>
  <si>
    <t>Q310 W48</t>
  </si>
  <si>
    <t>0                      Q  0310000W  48</t>
  </si>
  <si>
    <t>God and Golem, inc. : a comment on certain points where cybernetics impinges on religion.</t>
  </si>
  <si>
    <t>Wiener, Norbert, 1894-1964, author.</t>
  </si>
  <si>
    <t>Cambridge : The M.I.T. Press, [1964]</t>
  </si>
  <si>
    <t>430340:eng</t>
  </si>
  <si>
    <t>246070</t>
  </si>
  <si>
    <t>ocm00246070</t>
  </si>
  <si>
    <t>3001142911L</t>
  </si>
  <si>
    <t>791307761</t>
  </si>
  <si>
    <t>Q310 W54 1962</t>
  </si>
  <si>
    <t>0                      Q  0310000W  54          1962</t>
  </si>
  <si>
    <t>Cybernetics ; or, Control and communication in the animal and the machine.</t>
  </si>
  <si>
    <t>Cambridge [Mass.] : M.I.T. Press, [1962, ©1961]</t>
  </si>
  <si>
    <t>2016-10-31</t>
  </si>
  <si>
    <t>33423601</t>
  </si>
  <si>
    <t>ocm33423601</t>
  </si>
  <si>
    <t>3102980871U</t>
  </si>
  <si>
    <t>793409076</t>
  </si>
  <si>
    <t>Q315 P5</t>
  </si>
  <si>
    <t>0                      Q  0315000P  5</t>
  </si>
  <si>
    <t>Philosophy and cybernetics; essays delivered to the Philosophic Institute for Artificial Intelligence at the University of Notre Dame. Frederick J. Crosson and Kenneth M. Sayre, editors.</t>
  </si>
  <si>
    <t>Notre Dame [Ind.] Univ. of Notre Dame Press [c1967]</t>
  </si>
  <si>
    <t>8909815958:eng</t>
  </si>
  <si>
    <t>523666</t>
  </si>
  <si>
    <t>ocm00523666</t>
  </si>
  <si>
    <t>31030253005</t>
  </si>
  <si>
    <t>791402910</t>
  </si>
  <si>
    <t>Q315 S57</t>
  </si>
  <si>
    <t>0                      Q  0315000S  57</t>
  </si>
  <si>
    <t>Great ideas in information theory, language and cybernetics.</t>
  </si>
  <si>
    <t>Singh, Jagjit, 1912-2002.</t>
  </si>
  <si>
    <t>New York, Dover Publications [1966]</t>
  </si>
  <si>
    <t>1089930794:eng</t>
  </si>
  <si>
    <t>509745</t>
  </si>
  <si>
    <t>ocm00509745</t>
  </si>
  <si>
    <t>3000498925B</t>
  </si>
  <si>
    <t>9780486216942</t>
  </si>
  <si>
    <t>791398528</t>
  </si>
  <si>
    <t>Q325 C74 1962</t>
  </si>
  <si>
    <t>0                      Q  0325000C  74          1962</t>
  </si>
  <si>
    <t>Self organizing systems, 1962. Edited by Marshall C. Yovits, George T. Jacobi [and] Gordon D. Goldstein.</t>
  </si>
  <si>
    <t>Conference on Self-Organizing Systems (1962 : Chicago)</t>
  </si>
  <si>
    <t>Washington, Spartan Books [©1962]</t>
  </si>
  <si>
    <t>1572740:eng</t>
  </si>
  <si>
    <t>543000</t>
  </si>
  <si>
    <t>ocm00543000</t>
  </si>
  <si>
    <t>3000687707I</t>
  </si>
  <si>
    <t>791409056</t>
  </si>
  <si>
    <t>Q325 F65 1986</t>
  </si>
  <si>
    <t>0                      Q  0325000F  65          1986</t>
  </si>
  <si>
    <t>Machine learning : applications in expert systems and information retrieval / R. Forsyth and R. Rada.</t>
  </si>
  <si>
    <t>Forsyth, Richard.</t>
  </si>
  <si>
    <t>Chichester : E. Horwood ; New York : Halsted Press, 1986.</t>
  </si>
  <si>
    <t>Ellis Horwood series in artificial intelligence</t>
  </si>
  <si>
    <t>836625281:eng</t>
  </si>
  <si>
    <t>13328374</t>
  </si>
  <si>
    <t>ocm13328374</t>
  </si>
  <si>
    <t>3000849382K</t>
  </si>
  <si>
    <t>9780470203187</t>
  </si>
  <si>
    <t>792848423</t>
  </si>
  <si>
    <t>Q325 K647 2013</t>
  </si>
  <si>
    <t>0                      Q  0325000K  647         2013</t>
  </si>
  <si>
    <t>Boundedness and self-organized semantics : theory and applications / Maria K. Koleva, Bulgarian Academy of Sciences, Bulgaria.</t>
  </si>
  <si>
    <t>SNL - February 04,2016</t>
  </si>
  <si>
    <t>Koleva, Maria K., 1958-</t>
  </si>
  <si>
    <t>Hershey, PA : Information Science Reference, [2013]</t>
  </si>
  <si>
    <t>1169260180:eng</t>
  </si>
  <si>
    <t>794708976</t>
  </si>
  <si>
    <t>ocn794708976</t>
  </si>
  <si>
    <t>3103471819T</t>
  </si>
  <si>
    <t>9781466622029</t>
  </si>
  <si>
    <t>794920395</t>
  </si>
  <si>
    <t>Q325 S45 2006</t>
  </si>
  <si>
    <t>0                      Q  0325000S  45          2006</t>
  </si>
  <si>
    <t>Self-organization and emergence in life sciences / edited by Bernard Feltz, Marc Crommelinck, and Philippe Goujon.</t>
  </si>
  <si>
    <t>Dordrecht : Springer, ©2006.</t>
  </si>
  <si>
    <t>Synthese library ; v. 331</t>
  </si>
  <si>
    <t>865173729:eng</t>
  </si>
  <si>
    <t>61478242</t>
  </si>
  <si>
    <t>ocm61478242</t>
  </si>
  <si>
    <t>3102607756U</t>
  </si>
  <si>
    <t>9781402039164</t>
  </si>
  <si>
    <t>793953742</t>
  </si>
  <si>
    <t>Q325.5 A28 2012</t>
  </si>
  <si>
    <t>0                      Q  0325500A  28          2012</t>
  </si>
  <si>
    <t>Learning from data : a short course / Yaser S. Abu-Mostafa, Malik Magdon-Ismail, Hsuan-Tien Lin.</t>
  </si>
  <si>
    <t>Abu-Mostafa, Yaser S., 1957-</t>
  </si>
  <si>
    <t>[United States] : AMLBook.com, ©2012.</t>
  </si>
  <si>
    <t>1143400716:eng</t>
  </si>
  <si>
    <t>781938256</t>
  </si>
  <si>
    <t>ocn781938256</t>
  </si>
  <si>
    <t>31036399879</t>
  </si>
  <si>
    <t>9781600490064</t>
  </si>
  <si>
    <t>794913425</t>
  </si>
  <si>
    <t>Q325.5 B643 2019</t>
  </si>
  <si>
    <t>0                      Q  0325500B  643         2019</t>
  </si>
  <si>
    <t>Data management in machine learning systems / Matthias Boehm, Arun Kumar, Jun Yang.</t>
  </si>
  <si>
    <t>Boehm, Matthias, author.</t>
  </si>
  <si>
    <t>[San Rafael, California] : Morgan &amp; Claypool Publishers, [2019]</t>
  </si>
  <si>
    <t>Synthesis lectures on data management ; 57</t>
  </si>
  <si>
    <t>2019-07-25</t>
  </si>
  <si>
    <t>2019-06-07</t>
  </si>
  <si>
    <t>8948487615:eng</t>
  </si>
  <si>
    <t>1089489956</t>
  </si>
  <si>
    <t>on1089489956</t>
  </si>
  <si>
    <t>3103892088S</t>
  </si>
  <si>
    <t>9781681734965</t>
  </si>
  <si>
    <t>795079520</t>
  </si>
  <si>
    <t>Q325.5 D53 2013</t>
  </si>
  <si>
    <t>0                      Q  0325500D  53          2013</t>
  </si>
  <si>
    <t>Diagnostic test approaches to machine learning and commonsense reasoning systems / Xenia Naidenova and Dmitry Ignatov, editors.</t>
  </si>
  <si>
    <t>Hershey, PA : Information Science Reference, ©2013.</t>
  </si>
  <si>
    <t>1164980883:eng</t>
  </si>
  <si>
    <t>781939250</t>
  </si>
  <si>
    <t>ocn781939250</t>
  </si>
  <si>
    <t>3103470573U</t>
  </si>
  <si>
    <t>9781466619005</t>
  </si>
  <si>
    <t>794913427</t>
  </si>
  <si>
    <t>Q325.5 G66 2016</t>
  </si>
  <si>
    <t>0                      Q  0325500G  66          2016</t>
  </si>
  <si>
    <t>Deep learning / Ian Goodfellow, Yoshua Bengio and Aaron Courville.</t>
  </si>
  <si>
    <t>Goodfellow, Ian, author.</t>
  </si>
  <si>
    <t>Adaptive computation and machine learning</t>
  </si>
  <si>
    <t>3970222631:eng</t>
  </si>
  <si>
    <t>955778308</t>
  </si>
  <si>
    <t>ocn955778308</t>
  </si>
  <si>
    <t>3103748825R</t>
  </si>
  <si>
    <t>9780262035613</t>
  </si>
  <si>
    <t>795019982</t>
  </si>
  <si>
    <t>3103711259D</t>
  </si>
  <si>
    <t>795019983</t>
  </si>
  <si>
    <t>2019-06-21</t>
  </si>
  <si>
    <t>3103698586X</t>
  </si>
  <si>
    <t>795019981</t>
  </si>
  <si>
    <t>Q325.5 M3215 2012</t>
  </si>
  <si>
    <t>0                      Q  0325500M  3215        2012</t>
  </si>
  <si>
    <t>Machine learning algorithms for problem solving in computational applications : intelligent techniques / Siddhivinayak Kulkarni, editor.</t>
  </si>
  <si>
    <t>Hershey, PA : Information Science Reference, ©2012.</t>
  </si>
  <si>
    <t>2017-12-22</t>
  </si>
  <si>
    <t>1119123895:eng</t>
  </si>
  <si>
    <t>774480730</t>
  </si>
  <si>
    <t>ocn774480730</t>
  </si>
  <si>
    <t>3103470713$</t>
  </si>
  <si>
    <t>9781466618336</t>
  </si>
  <si>
    <t>794906417</t>
  </si>
  <si>
    <t>Q325.6 G42 2015</t>
  </si>
  <si>
    <t>0                      Q  0325600G  42          2015</t>
  </si>
  <si>
    <t>Bayesian reinforcement learning : a survey / Mohammad Ghavamzadeh, Shie Mannor, Joelle Pineau, Aviv Tamar.</t>
  </si>
  <si>
    <t>Ghavamzadeh, Mohammad.</t>
  </si>
  <si>
    <t>[Place of publication not identified] : World Scientific, 2015.</t>
  </si>
  <si>
    <t>2833919132:eng</t>
  </si>
  <si>
    <t>932096951</t>
  </si>
  <si>
    <t>ocn932096951</t>
  </si>
  <si>
    <t>3103748828L</t>
  </si>
  <si>
    <t>9781680830880</t>
  </si>
  <si>
    <t>795008328</t>
  </si>
  <si>
    <t>- Reserves and A/V Room - Reserve Collection - 24 Hour Loan</t>
  </si>
  <si>
    <t>Q327 B57 2006</t>
  </si>
  <si>
    <t>0                      Q  0327000B  57          2006</t>
  </si>
  <si>
    <t>Pattern recognition and machine learning / Christopher M. Bishop.</t>
  </si>
  <si>
    <t>Bishop, Christopher M.</t>
  </si>
  <si>
    <t>New York : Springer, ©2006.</t>
  </si>
  <si>
    <t>Information science and statistics</t>
  </si>
  <si>
    <t>2019-10-03</t>
  </si>
  <si>
    <t>57999184:eng</t>
  </si>
  <si>
    <t>71008143</t>
  </si>
  <si>
    <t>ocm71008143</t>
  </si>
  <si>
    <t>3103788929S</t>
  </si>
  <si>
    <t>9780387310732</t>
  </si>
  <si>
    <t>794162309</t>
  </si>
  <si>
    <t>3103466746B</t>
  </si>
  <si>
    <t>794162308</t>
  </si>
  <si>
    <t>Q327 F85 1972</t>
  </si>
  <si>
    <t>0                      Q  0327000F  85          1972</t>
  </si>
  <si>
    <t>Introduction to statistical pattern recognition.</t>
  </si>
  <si>
    <t>Fukunaga, Keinosuke.</t>
  </si>
  <si>
    <t>New York, Academic Press, 1972.</t>
  </si>
  <si>
    <t>Electrical science.</t>
  </si>
  <si>
    <t>4927299467:eng</t>
  </si>
  <si>
    <t>323881</t>
  </si>
  <si>
    <t>ocm00323881</t>
  </si>
  <si>
    <t>30004981612</t>
  </si>
  <si>
    <t>9780122698507</t>
  </si>
  <si>
    <t>791337066</t>
  </si>
  <si>
    <t>Q327 W56</t>
  </si>
  <si>
    <t>0                      Q  0327000W  56</t>
  </si>
  <si>
    <t>The psychology of computer vision / Patrick Henry Winston, editor ; with contributions from Berthold Horn [and others].</t>
  </si>
  <si>
    <t>Winston, Patrick Henry.</t>
  </si>
  <si>
    <t>New York : McGraw-Hill, [1975]</t>
  </si>
  <si>
    <t>McGraw-Hill computer science series</t>
  </si>
  <si>
    <t>2018-07-20</t>
  </si>
  <si>
    <t>1985596:eng</t>
  </si>
  <si>
    <t>1057017</t>
  </si>
  <si>
    <t>ocm01057017</t>
  </si>
  <si>
    <t>3100241247O</t>
  </si>
  <si>
    <t>9780070710481</t>
  </si>
  <si>
    <t>791535603</t>
  </si>
  <si>
    <t>Q334 S63 1985</t>
  </si>
  <si>
    <t>0                      Q  0334000S  63          1985</t>
  </si>
  <si>
    <t>Social action and artificial intelligence / [edited by] G. Nigel Gilbert, Christian Heath.</t>
  </si>
  <si>
    <t>Aldershot, Hampshire, England ; Brookfield, Vt., U.S.A. : Gower Pub. Co., ©1985.</t>
  </si>
  <si>
    <t>Surrey conferences on sociological theory and method ; 3</t>
  </si>
  <si>
    <t>355524509:eng</t>
  </si>
  <si>
    <t>11533566</t>
  </si>
  <si>
    <t>ocm11533566</t>
  </si>
  <si>
    <t>3000473815I</t>
  </si>
  <si>
    <t>9780566007682</t>
  </si>
  <si>
    <t>792777285</t>
  </si>
  <si>
    <t>Q334.7 N44 2018</t>
  </si>
  <si>
    <t>0                      Q  0334700N  44          2018</t>
  </si>
  <si>
    <t>Intelligence and spirit / Reza Negarestani.</t>
  </si>
  <si>
    <t>Negarestani, Reza, author.</t>
  </si>
  <si>
    <t>Windsor Quarry, Falmouth, United Kingdom : Urbanomic ; New York, NY, United States : Sequence, 2018.</t>
  </si>
  <si>
    <t>4183728084:eng</t>
  </si>
  <si>
    <t>983971666</t>
  </si>
  <si>
    <t>ocn983971666</t>
  </si>
  <si>
    <t>3103880320T</t>
  </si>
  <si>
    <t>9780997567403</t>
  </si>
  <si>
    <t>795034922</t>
  </si>
  <si>
    <t>Q334.7 W43 2019</t>
  </si>
  <si>
    <t>0                      Q  0334700W  43          2019</t>
  </si>
  <si>
    <t>The Big Nine : how the tech titans and their thinking machines could warp humanity / Amy Webb.</t>
  </si>
  <si>
    <t>Webb, Amy, 1974- author.</t>
  </si>
  <si>
    <t>New York, NY : PublicAffairs, [2019]</t>
  </si>
  <si>
    <t>2020-01-13</t>
  </si>
  <si>
    <t>5523344848:eng</t>
  </si>
  <si>
    <t>1060183461</t>
  </si>
  <si>
    <t>on1060183461</t>
  </si>
  <si>
    <t>31038127143</t>
  </si>
  <si>
    <t>9781541773752</t>
  </si>
  <si>
    <t>795064755</t>
  </si>
  <si>
    <t>Q335 A2 2006</t>
  </si>
  <si>
    <t>0                      Q  0335000A  2           2006</t>
  </si>
  <si>
    <t>Thinking machines : discourses of artificial intelligence / Niran B. Abbas.</t>
  </si>
  <si>
    <t>Abbas, Niran B.</t>
  </si>
  <si>
    <t>Hamburg : Lit, 2006.</t>
  </si>
  <si>
    <t>N-1 ; v. 2</t>
  </si>
  <si>
    <t>116726138:eng</t>
  </si>
  <si>
    <t>76949190</t>
  </si>
  <si>
    <t>ocm76949190</t>
  </si>
  <si>
    <t>3102647118$</t>
  </si>
  <si>
    <t>9783825896447</t>
  </si>
  <si>
    <t>794179710</t>
  </si>
  <si>
    <t>Q335 B56 1979</t>
  </si>
  <si>
    <t>0                      Q  0335000B  56          1979</t>
  </si>
  <si>
    <t>Artificial intelligence and natural man / Margaret A. Boden.</t>
  </si>
  <si>
    <t>Boden, Margaret A.</t>
  </si>
  <si>
    <t>Hassocks : Harvester Press, 1979, ©1977.</t>
  </si>
  <si>
    <t>2017-05-03</t>
  </si>
  <si>
    <t>5898690:eng</t>
  </si>
  <si>
    <t>428001260</t>
  </si>
  <si>
    <t>ocn428001260</t>
  </si>
  <si>
    <t>31013173512</t>
  </si>
  <si>
    <t>9780855274351</t>
  </si>
  <si>
    <t>794742980</t>
  </si>
  <si>
    <t>Q335 B613</t>
  </si>
  <si>
    <t>0                      Q  0335000B  613</t>
  </si>
  <si>
    <t>Pattern recognition / M. Bongard ; edited by Joseph K. Hawkins ; translated by Theodore Cheron.</t>
  </si>
  <si>
    <t>Bongard, M. M. (Mikhail Moiseevich)</t>
  </si>
  <si>
    <t>New York, N.Y. : Spartan Books, [1970]</t>
  </si>
  <si>
    <t>1259310:eng</t>
  </si>
  <si>
    <t>79955</t>
  </si>
  <si>
    <t>ocm00079955</t>
  </si>
  <si>
    <t>3000498164X</t>
  </si>
  <si>
    <t>9780876711187</t>
  </si>
  <si>
    <t>791248528</t>
  </si>
  <si>
    <t>Q335 B67 2014</t>
  </si>
  <si>
    <t>0                      Q  0335000B  67          2014</t>
  </si>
  <si>
    <t>Superintelligence : paths, dangers, strategies / Nick Bostrom.</t>
  </si>
  <si>
    <t>Bostrom, Nick, 1973- author.</t>
  </si>
  <si>
    <t>Oxford : Oxford University Press, 2014.</t>
  </si>
  <si>
    <t>2019-08-14</t>
  </si>
  <si>
    <t>1416627782:eng</t>
  </si>
  <si>
    <t>881706835</t>
  </si>
  <si>
    <t>ocn881706835</t>
  </si>
  <si>
    <t>3103580871A</t>
  </si>
  <si>
    <t>9780199678112</t>
  </si>
  <si>
    <t>794974768</t>
  </si>
  <si>
    <t>Q335 C375 1998</t>
  </si>
  <si>
    <t>0                      Q  0335000C  375         1998</t>
  </si>
  <si>
    <t>The Cambridge quintet : a work of scientific speculation / John L. Casti.</t>
  </si>
  <si>
    <t>Casti, J. L.</t>
  </si>
  <si>
    <t>Reading, Mass. : Addison Wesley, 1998.</t>
  </si>
  <si>
    <t>Helix books.</t>
  </si>
  <si>
    <t>2017-08-08</t>
  </si>
  <si>
    <t>4919291347:eng</t>
  </si>
  <si>
    <t>38239487</t>
  </si>
  <si>
    <t>ocm38239487</t>
  </si>
  <si>
    <t>3103018910F</t>
  </si>
  <si>
    <t>9780201328288</t>
  </si>
  <si>
    <t>793519723</t>
  </si>
  <si>
    <t>Q335 C38 2007</t>
  </si>
  <si>
    <t>0                      Q  0335000C  38          2007</t>
  </si>
  <si>
    <t>Minds and computers : an introduction to the philosophy of artificial intelligence / Matt Carter.</t>
  </si>
  <si>
    <t>Carter, Matt, 1975-</t>
  </si>
  <si>
    <t>Edinburgh : Edinburgh University Press, ©2007.</t>
  </si>
  <si>
    <t>792602639:eng</t>
  </si>
  <si>
    <t>62307912</t>
  </si>
  <si>
    <t>ocm62307912</t>
  </si>
  <si>
    <t>31025711614</t>
  </si>
  <si>
    <t>9780748620999</t>
  </si>
  <si>
    <t>794104532</t>
  </si>
  <si>
    <t>Q335 C5 1997</t>
  </si>
  <si>
    <t>0                      Q  0335000C  5           1997</t>
  </si>
  <si>
    <t>Situated cognition : on human knowledge and computer representations / William J. Clancey.</t>
  </si>
  <si>
    <t>Clancey, William J.</t>
  </si>
  <si>
    <t>Cambridge, U.K. ; New York, NY, USA : Cambridge University Press, 1997.</t>
  </si>
  <si>
    <t>Learning in doing</t>
  </si>
  <si>
    <t>795053592:eng</t>
  </si>
  <si>
    <t>35558976</t>
  </si>
  <si>
    <t>ocm35558976</t>
  </si>
  <si>
    <t>3102441054U</t>
  </si>
  <si>
    <t>9780521444002</t>
  </si>
  <si>
    <t>793452076</t>
  </si>
  <si>
    <t>Q335 C57 1989</t>
  </si>
  <si>
    <t>0                      Q  0335000C  57          1989</t>
  </si>
  <si>
    <t>Computers and thought : a practical introduction to artificial intelligence / Mike Sharples [and others].</t>
  </si>
  <si>
    <t>Cambridge, Mass. : MIT Press, ©1989.</t>
  </si>
  <si>
    <t>Explorations in cognitive science ; 5</t>
  </si>
  <si>
    <t>836852152:eng</t>
  </si>
  <si>
    <t>19267152</t>
  </si>
  <si>
    <t>ocm19267152</t>
  </si>
  <si>
    <t>3103018921D</t>
  </si>
  <si>
    <t>9780262192859</t>
  </si>
  <si>
    <t>793051517</t>
  </si>
  <si>
    <t>Q335 D73 1986</t>
  </si>
  <si>
    <t>0                      Q  0335000D  73          1986</t>
  </si>
  <si>
    <t>Mind over machine : the power of human intuition and expertise in the era of the computer / Hubert L. Dreyfus, Stuart E. Dreyfus, with Tom Athanasiou.</t>
  </si>
  <si>
    <t>Dreyfus, Hubert L.</t>
  </si>
  <si>
    <t>New York : Free Press, ©1986.</t>
  </si>
  <si>
    <t>2014-12-02</t>
  </si>
  <si>
    <t>836692602:eng</t>
  </si>
  <si>
    <t>12554464</t>
  </si>
  <si>
    <t>ocm12554464</t>
  </si>
  <si>
    <t>31028154073</t>
  </si>
  <si>
    <t>9780029080603</t>
  </si>
  <si>
    <t>792818711</t>
  </si>
  <si>
    <t>Q335 D74 1992</t>
  </si>
  <si>
    <t>0                      Q  0335000D  74          1992</t>
  </si>
  <si>
    <t>What computers still can't do : a critique of artificial reason / Hubert L. Dreyfus.</t>
  </si>
  <si>
    <t>Cambridge, Mass. : MIT Press, ©1992.</t>
  </si>
  <si>
    <t>2015-12-11</t>
  </si>
  <si>
    <t>2564799010:eng</t>
  </si>
  <si>
    <t>26308051</t>
  </si>
  <si>
    <t>ocm26308051</t>
  </si>
  <si>
    <t>31011990193</t>
  </si>
  <si>
    <t>9780262041348</t>
  </si>
  <si>
    <t>793242211</t>
  </si>
  <si>
    <t>Q335 F863 2013</t>
  </si>
  <si>
    <t>0                      Q  0335000F  863         2013</t>
  </si>
  <si>
    <t>Fundamental issues of artificial intelligence / Vincent C. Müller, editor.</t>
  </si>
  <si>
    <t>Cham, Switzerland : Springer, [2016]</t>
  </si>
  <si>
    <t>Synthese library, 0082-1128 ; volume 376</t>
  </si>
  <si>
    <t>2017-09-06</t>
  </si>
  <si>
    <t>3248073019:eng</t>
  </si>
  <si>
    <t>952322174</t>
  </si>
  <si>
    <t>ocn952322174</t>
  </si>
  <si>
    <t>31036594155</t>
  </si>
  <si>
    <t>9783319264837</t>
  </si>
  <si>
    <t>795018135</t>
  </si>
  <si>
    <t>Q335 H355 1990</t>
  </si>
  <si>
    <t>0                      Q  0335000H  355         1990</t>
  </si>
  <si>
    <t>Keyguide to information sources in artificial intelligence/expert systems / Peter J. Hancox, William J. Mills, and Bruce J. Reid.</t>
  </si>
  <si>
    <t>Hancox, Peter J.</t>
  </si>
  <si>
    <t>Lawrence, Kan. : Ergosyst Associates ; London : Mansell, 1990.</t>
  </si>
  <si>
    <t>2019-10-22</t>
  </si>
  <si>
    <t>21445429:eng</t>
  </si>
  <si>
    <t>21082137</t>
  </si>
  <si>
    <t>ocm21082137</t>
  </si>
  <si>
    <t>3101146277Q</t>
  </si>
  <si>
    <t>9780916313180</t>
  </si>
  <si>
    <t>793108875</t>
  </si>
  <si>
    <t>Q335 H36</t>
  </si>
  <si>
    <t>0                      Q  0335000H  36</t>
  </si>
  <si>
    <t>The Handbook of artificial intelligence / edited by Avron Barr and Edward A. Feigenbaum.</t>
  </si>
  <si>
    <t>Stanford, Calif. : HeurisTech Press, ©1981-&lt;c1989&gt;</t>
  </si>
  <si>
    <t>2005-05-24</t>
  </si>
  <si>
    <t>3901025497:eng</t>
  </si>
  <si>
    <t>7196612</t>
  </si>
  <si>
    <t>ocm07196612</t>
  </si>
  <si>
    <t>31011453801</t>
  </si>
  <si>
    <t>9780865760042</t>
  </si>
  <si>
    <t>792545364</t>
  </si>
  <si>
    <t>3100879662N</t>
  </si>
  <si>
    <t>792545365</t>
  </si>
  <si>
    <t>3000843630K</t>
  </si>
  <si>
    <t>792545366</t>
  </si>
  <si>
    <t>Q335 H38 1985</t>
  </si>
  <si>
    <t>0                      Q  0335000H  38          1985</t>
  </si>
  <si>
    <t>Artificial intelligence : the very idea / John Haugeland.</t>
  </si>
  <si>
    <t>Haugeland, John, 1945-2010.</t>
  </si>
  <si>
    <t>Cambridge, Mass. : MIT Press, ©1985.</t>
  </si>
  <si>
    <t>4694965:eng</t>
  </si>
  <si>
    <t>11840529</t>
  </si>
  <si>
    <t>ocm11840529</t>
  </si>
  <si>
    <t>3103743373O</t>
  </si>
  <si>
    <t>9780262081535</t>
  </si>
  <si>
    <t>792790270</t>
  </si>
  <si>
    <t>Q335 H394 1999</t>
  </si>
  <si>
    <t>0                      Q  0335000H  394         1999</t>
  </si>
  <si>
    <t>How we became posthuman : virtual bodies in cybernetics, literature, and informatics / N. Katherine Hayles.</t>
  </si>
  <si>
    <t>Hayles, Katherine, 1943-</t>
  </si>
  <si>
    <t>Chicago, Ill. : University of Chicago Press, 1999.</t>
  </si>
  <si>
    <t>2019-09-16</t>
  </si>
  <si>
    <t>802653137:eng</t>
  </si>
  <si>
    <t>39539341</t>
  </si>
  <si>
    <t>ocm39539341</t>
  </si>
  <si>
    <t>3103761915C</t>
  </si>
  <si>
    <t>9780226321455</t>
  </si>
  <si>
    <t>793548247</t>
  </si>
  <si>
    <t>Q335 H48 2010</t>
  </si>
  <si>
    <t>0                      Q  0335000H  48          2010</t>
  </si>
  <si>
    <t>Heuristics, probability, and causality : a tribute to Judea Pearl / edited by Rina Dechter, Hector Geffner, and Joseph Y. Halpern.</t>
  </si>
  <si>
    <t>London : College Publications, ©2010.</t>
  </si>
  <si>
    <t>Tributes ; 11</t>
  </si>
  <si>
    <t>903306386:eng</t>
  </si>
  <si>
    <t>649707454</t>
  </si>
  <si>
    <t>ocn649707454</t>
  </si>
  <si>
    <t>3103230596L</t>
  </si>
  <si>
    <t>9781904987666</t>
  </si>
  <si>
    <t>794831837</t>
  </si>
  <si>
    <t>Q335 I543 1998</t>
  </si>
  <si>
    <t>0                      Q  0335000I  543         1998</t>
  </si>
  <si>
    <t>Intelligence and artificial intelligence : an interdisciplinary debate / U. Ratsch, M.M. Richter, I.-O. Stamatescu (eds.).</t>
  </si>
  <si>
    <t>Berlin ; New York : Springer, ©1998.</t>
  </si>
  <si>
    <t>865008908:eng</t>
  </si>
  <si>
    <t>39131108</t>
  </si>
  <si>
    <t>ocm39131108</t>
  </si>
  <si>
    <t>3101904849M</t>
  </si>
  <si>
    <t>9783540637806</t>
  </si>
  <si>
    <t>793538854</t>
  </si>
  <si>
    <t>Q335 J27 1985</t>
  </si>
  <si>
    <t>0                      Q  0335000J  27          1985</t>
  </si>
  <si>
    <t>Introduction to artificial intelligence / Philip C. Jackson, Jr.</t>
  </si>
  <si>
    <t>Jackson, Philip C., 1949-</t>
  </si>
  <si>
    <t>New York : Dover, 1985.</t>
  </si>
  <si>
    <t>2nd, enl. ed.</t>
  </si>
  <si>
    <t>3900998652:eng</t>
  </si>
  <si>
    <t>11187853</t>
  </si>
  <si>
    <t>ocm11187853</t>
  </si>
  <si>
    <t>3100946873$</t>
  </si>
  <si>
    <t>9780486248646</t>
  </si>
  <si>
    <t>792762308</t>
  </si>
  <si>
    <t>Q335 J3 1989</t>
  </si>
  <si>
    <t>0                      Q  0335000J  3           1989</t>
  </si>
  <si>
    <t>Brain, mind, and computers / Stanley L. Jaki.</t>
  </si>
  <si>
    <t>Jaki, Stanley L.</t>
  </si>
  <si>
    <t>Washington, D.C. : Regnery Gateway ; New York, N.Y. : Distributed to the trade by Kampmann, ©1989.</t>
  </si>
  <si>
    <t>1130612:eng</t>
  </si>
  <si>
    <t>18815299</t>
  </si>
  <si>
    <t>ocm18815299</t>
  </si>
  <si>
    <t>31023060059</t>
  </si>
  <si>
    <t>9780895269072</t>
  </si>
  <si>
    <t>793037877</t>
  </si>
  <si>
    <t>Q335 K87 1990</t>
  </si>
  <si>
    <t>0                      Q  0335000K  87          1990</t>
  </si>
  <si>
    <t>The age of intelligent machines / Raymond Kurzweil.</t>
  </si>
  <si>
    <t>Kurzweil, Ray.</t>
  </si>
  <si>
    <t>Cambridge, Mass. : MIT Press, [1990]</t>
  </si>
  <si>
    <t>16283740:eng</t>
  </si>
  <si>
    <t>20692759</t>
  </si>
  <si>
    <t>ocm20692759</t>
  </si>
  <si>
    <t>3100950890N</t>
  </si>
  <si>
    <t>9780262111218</t>
  </si>
  <si>
    <t>793096001</t>
  </si>
  <si>
    <t>Q335 P384 1985</t>
  </si>
  <si>
    <t>0                      Q  0335000P  384         1985</t>
  </si>
  <si>
    <t>Artificial intelligence : how machines think / F. David Peat.</t>
  </si>
  <si>
    <t>Peat, F. David, 1938-</t>
  </si>
  <si>
    <t>New York : Bean Enterprises : Distributed by Simon &amp; Schuster, ©1988.</t>
  </si>
  <si>
    <t>1988 ed.</t>
  </si>
  <si>
    <t>866154955:eng</t>
  </si>
  <si>
    <t>17391022</t>
  </si>
  <si>
    <t>ocm17391022</t>
  </si>
  <si>
    <t>3101107342N</t>
  </si>
  <si>
    <t>9780671653774</t>
  </si>
  <si>
    <t>792990100</t>
  </si>
  <si>
    <t>Q335 P415 1989</t>
  </si>
  <si>
    <t>0                      Q  0335000P  415         1989</t>
  </si>
  <si>
    <t>The emperor's new mind : concerning computers, minds, and the laws of physics / Roger Penrose ; foreword by Martin Gardner.</t>
  </si>
  <si>
    <t>Penrose, Roger.</t>
  </si>
  <si>
    <t>Oxford ; New York : Oxford University Press, 1989.</t>
  </si>
  <si>
    <t>2018-10-23</t>
  </si>
  <si>
    <t>28933664:eng</t>
  </si>
  <si>
    <t>19724273</t>
  </si>
  <si>
    <t>ocm19724273</t>
  </si>
  <si>
    <t>3103602737B</t>
  </si>
  <si>
    <t>9780198519737</t>
  </si>
  <si>
    <t>793067053</t>
  </si>
  <si>
    <t>Q335 P415 1991</t>
  </si>
  <si>
    <t>0                      Q  0335000P  415         1991</t>
  </si>
  <si>
    <t>New York, N.Y., U.S.A. : Penguin Books, 1991.</t>
  </si>
  <si>
    <t>22240220</t>
  </si>
  <si>
    <t>ocm22240220</t>
  </si>
  <si>
    <t>31028072076</t>
  </si>
  <si>
    <t>9780140145342</t>
  </si>
  <si>
    <t>793138178</t>
  </si>
  <si>
    <t>Q335 P48 1990</t>
  </si>
  <si>
    <t>0                      Q  0335000P  48          1990</t>
  </si>
  <si>
    <t>The philosophy of artificial intelligence / edited by Margaret A. Boden.</t>
  </si>
  <si>
    <t>Oxford [England] ; New York : Oxford University Press, 1990.</t>
  </si>
  <si>
    <t>Oxford readings in philosophy</t>
  </si>
  <si>
    <t>55214026:eng</t>
  </si>
  <si>
    <t>19739410</t>
  </si>
  <si>
    <t>ocm19739410</t>
  </si>
  <si>
    <t>3103602269I</t>
  </si>
  <si>
    <t>9780198248552</t>
  </si>
  <si>
    <t>793067391</t>
  </si>
  <si>
    <t>Q335 R63 1987</t>
  </si>
  <si>
    <t>0                      Q  0335000R  63          1987</t>
  </si>
  <si>
    <t>The Robot's dilemma : the frame problem in artificial intelligence / edited by Zenon W. Pylyshyn.</t>
  </si>
  <si>
    <t>Norwood, N.J. : Ablex, ©1987.</t>
  </si>
  <si>
    <t>Theoretical issues in cognitive science</t>
  </si>
  <si>
    <t>2017-11-10</t>
  </si>
  <si>
    <t>866250777:eng</t>
  </si>
  <si>
    <t>14167213</t>
  </si>
  <si>
    <t>ocm14167213</t>
  </si>
  <si>
    <t>3102997459D</t>
  </si>
  <si>
    <t>9780893913717</t>
  </si>
  <si>
    <t>792880435</t>
  </si>
  <si>
    <t>Q335 R675 2011</t>
  </si>
  <si>
    <t>0                      Q  0335000R  675         2011</t>
  </si>
  <si>
    <t>A short introduction to preferences : between artificial intelligence and social choice / Francesca Rossi, Kristen Brent Venable, Toby Walsh.</t>
  </si>
  <si>
    <t>Rossi, Francesca, 1962-</t>
  </si>
  <si>
    <t>[San Rafael, Calif.] : Morgan &amp; Claypool Publishers, ©2011.</t>
  </si>
  <si>
    <t>Synthesis lectures on artificial intelligence and machine learning, 1939-4608 ; #14</t>
  </si>
  <si>
    <t>970978548:eng</t>
  </si>
  <si>
    <t>775378614</t>
  </si>
  <si>
    <t>ocn775378614</t>
  </si>
  <si>
    <t>3103471814T</t>
  </si>
  <si>
    <t>9781608455867</t>
  </si>
  <si>
    <t>794907400</t>
  </si>
  <si>
    <t>Q335 W352 2012</t>
  </si>
  <si>
    <t>0                      Q  0335000W  352         2012</t>
  </si>
  <si>
    <t>Mind and machine / Joel Walmsley.</t>
  </si>
  <si>
    <t>Walmsley, Joel.</t>
  </si>
  <si>
    <t>Houndmills, Basingstoke, Hampshire ; New York : Palgrave Macmillan, 2012.</t>
  </si>
  <si>
    <t>Palgrave philosophy today</t>
  </si>
  <si>
    <t>1172424912:eng</t>
  </si>
  <si>
    <t>785873560</t>
  </si>
  <si>
    <t>ocn785873560</t>
  </si>
  <si>
    <t>3103432412K</t>
  </si>
  <si>
    <t>9780230302938</t>
  </si>
  <si>
    <t>794915613</t>
  </si>
  <si>
    <t>Q335 W386 2014</t>
  </si>
  <si>
    <t>0                      Q  0335000W  386         2014</t>
  </si>
  <si>
    <t>Robots are people too : how Siri, Google Car, and artificial intelligence will force us to change our laws / John Frank Weaver.</t>
  </si>
  <si>
    <t>Weaver, John Frank, author.</t>
  </si>
  <si>
    <t>Santa Barbara, California : Praeger, An imprint of ABC-CLIO, LLC, [2014]</t>
  </si>
  <si>
    <t>1250184543:eng</t>
  </si>
  <si>
    <t>840465029</t>
  </si>
  <si>
    <t>ocn840465029</t>
  </si>
  <si>
    <t>3103505272B</t>
  </si>
  <si>
    <t>9781440829451</t>
  </si>
  <si>
    <t>794946067</t>
  </si>
  <si>
    <t>Q335.5 A5</t>
  </si>
  <si>
    <t>0                      Q  0335500A  5</t>
  </si>
  <si>
    <t>Minds and machines / edited by Alan Ross Anderson.</t>
  </si>
  <si>
    <t>Englewood Cliffs, New Jersey : Prentice-Hall, [1964]</t>
  </si>
  <si>
    <t>Prentice-Hall contemporary perspectives in philosophy series</t>
  </si>
  <si>
    <t>2011-10-06</t>
  </si>
  <si>
    <t>2016-02-15</t>
  </si>
  <si>
    <t>56517951:eng</t>
  </si>
  <si>
    <t>883504</t>
  </si>
  <si>
    <t>ocm00883504</t>
  </si>
  <si>
    <t>3102357523Z</t>
  </si>
  <si>
    <t>9780135833933</t>
  </si>
  <si>
    <t>791494353</t>
  </si>
  <si>
    <t>Q335.5 A7825 2000</t>
  </si>
  <si>
    <t>0                      Q  0335500A  7825        2000</t>
  </si>
  <si>
    <t>Artificial intelligence : critical concepts / edited by Ronald Chrisley ; editorial assistant, Sander Begeer.</t>
  </si>
  <si>
    <t>London ; New York : Routledge, 2000.</t>
  </si>
  <si>
    <t>2018-05-28</t>
  </si>
  <si>
    <t>5091558301:eng</t>
  </si>
  <si>
    <t>44777313</t>
  </si>
  <si>
    <t>ocm44777313</t>
  </si>
  <si>
    <t>31026063617</t>
  </si>
  <si>
    <t>9780415193313</t>
  </si>
  <si>
    <t>793657848</t>
  </si>
  <si>
    <t>31026063715</t>
  </si>
  <si>
    <t>793657846</t>
  </si>
  <si>
    <t>31026063765</t>
  </si>
  <si>
    <t>793657845</t>
  </si>
  <si>
    <t>31026063667</t>
  </si>
  <si>
    <t>793657847</t>
  </si>
  <si>
    <t>Q335.5 I55 1973</t>
  </si>
  <si>
    <t>0                      Q  0335500I  55          1973</t>
  </si>
  <si>
    <t>Advance papers of the conference.</t>
  </si>
  <si>
    <t>International Joint Conference on Artificial Intelligence (3rd : 1973 : Stanford University)</t>
  </si>
  <si>
    <t>[Menlo Park, Calif.], [Stanford Research Institute], [1973]</t>
  </si>
  <si>
    <t>2017-07-18</t>
  </si>
  <si>
    <t>150085141:eng</t>
  </si>
  <si>
    <t>3241831</t>
  </si>
  <si>
    <t>ocm03241831</t>
  </si>
  <si>
    <t>3103593223R</t>
  </si>
  <si>
    <t>792233915</t>
  </si>
  <si>
    <t>Q335.5 L44 1996</t>
  </si>
  <si>
    <t>0                      Q  0335500L  44          1996</t>
  </si>
  <si>
    <t>The legacy of Alan Turing / edited by P.J.R. Millican and A. Clark.</t>
  </si>
  <si>
    <t>Oxford : Clarendon Press ; New York : Oxford University Press, 1996.</t>
  </si>
  <si>
    <t>Mind Association occasional series</t>
  </si>
  <si>
    <t>5091202521:eng</t>
  </si>
  <si>
    <t>34839772</t>
  </si>
  <si>
    <t>ocm34839772</t>
  </si>
  <si>
    <t>3101885956C</t>
  </si>
  <si>
    <t>9780198235934</t>
  </si>
  <si>
    <t>793437093</t>
  </si>
  <si>
    <t>Q335.5 M49</t>
  </si>
  <si>
    <t>0                      Q  0335500M  49</t>
  </si>
  <si>
    <t>Mind design : philosophy, psychology, artificial intelligence / edited by John Haugeland.</t>
  </si>
  <si>
    <t>Montgomery, Vt. : Bradford Books, ©1981.</t>
  </si>
  <si>
    <t>868478827:eng</t>
  </si>
  <si>
    <t>232162142</t>
  </si>
  <si>
    <t>ocn232162142</t>
  </si>
  <si>
    <t>31011981623</t>
  </si>
  <si>
    <t>9780897060042</t>
  </si>
  <si>
    <t>794363136</t>
  </si>
  <si>
    <t>Q336 H68 1988</t>
  </si>
  <si>
    <t>0                      Q  0336000H  68          1988</t>
  </si>
  <si>
    <t>Generating natural language under pragmatic constraints / Eduard H. Hovy.</t>
  </si>
  <si>
    <t>Hovy, Eduard H.</t>
  </si>
  <si>
    <t>Hillsdale, N.J. : L. Erlbaum Associates, 1988.</t>
  </si>
  <si>
    <t>15856723:eng</t>
  </si>
  <si>
    <t>17479018</t>
  </si>
  <si>
    <t>ocm17479018</t>
  </si>
  <si>
    <t>3100224433O</t>
  </si>
  <si>
    <t>9780805802481</t>
  </si>
  <si>
    <t>792992630</t>
  </si>
  <si>
    <t>Q337.3 C655 2006</t>
  </si>
  <si>
    <t>0                      Q  0337300C  655         2006</t>
  </si>
  <si>
    <t>Collective intelligence in design / guest-edited by Christopher Hight and Chris Perry.</t>
  </si>
  <si>
    <t>Chichester, England : Wiley-Academy, 2006.</t>
  </si>
  <si>
    <t>Architectural design ; profile no. 183, v. 76, no. 5</t>
  </si>
  <si>
    <t>364341586:eng</t>
  </si>
  <si>
    <t>75282417</t>
  </si>
  <si>
    <t>ocm75282417</t>
  </si>
  <si>
    <t>31026934864</t>
  </si>
  <si>
    <t>9780470026526</t>
  </si>
  <si>
    <t>794174760</t>
  </si>
  <si>
    <t>Q339.25 Q84 2012</t>
  </si>
  <si>
    <t>0                      Q  0339250Q  84          2012</t>
  </si>
  <si>
    <t>Qualitative spatio-temporal representation and reasoning : trends and future directions / Shyamanta M. Hazarika.</t>
  </si>
  <si>
    <t>1008950782:eng</t>
  </si>
  <si>
    <t>617382242</t>
  </si>
  <si>
    <t>ocn617382242</t>
  </si>
  <si>
    <t>3103471890D</t>
  </si>
  <si>
    <t>9781616928681</t>
  </si>
  <si>
    <t>794822834</t>
  </si>
  <si>
    <t>Q342 C655 2015</t>
  </si>
  <si>
    <t>0                      Q  0342000C  655         2015</t>
  </si>
  <si>
    <t>Collective agency and cooperation in natural and artificial systems : explanation, implementation and simulation / Catrin Misselhorn, editor.</t>
  </si>
  <si>
    <t>Cham : Springer, [2015]</t>
  </si>
  <si>
    <t>Philosophical studies series ; volume 122</t>
  </si>
  <si>
    <t>2613286532:eng</t>
  </si>
  <si>
    <t>922972550</t>
  </si>
  <si>
    <t>ocn922972550</t>
  </si>
  <si>
    <t>3103642780N</t>
  </si>
  <si>
    <t>9783319155142</t>
  </si>
  <si>
    <t>795004419</t>
  </si>
  <si>
    <t>Q342 C668 2012</t>
  </si>
  <si>
    <t>0                      Q  0342000C  668         2012</t>
  </si>
  <si>
    <t>Computational intelligence and its applications : evolutionary computation, fuzzy logic, neural network and support vector machine techniques / editors, H.K. Lam, S.H. Ling, H.T. Nguyen.</t>
  </si>
  <si>
    <t>London : Imperial College Press ; Singapore ; Hackensack, NJ : Distributed by World Scientific Pub., ©2012.</t>
  </si>
  <si>
    <t>1166898029:eng</t>
  </si>
  <si>
    <t>812000045</t>
  </si>
  <si>
    <t>ocn812000045</t>
  </si>
  <si>
    <t>3103471816T</t>
  </si>
  <si>
    <t>9781848166912</t>
  </si>
  <si>
    <t>794930521</t>
  </si>
  <si>
    <t>Q342 M856 2012</t>
  </si>
  <si>
    <t>0                      Q  0342000M  856         2012</t>
  </si>
  <si>
    <t>Multidisciplinary computational intelligence techniques : applications in business, engineering, and medicine / Shawkat Ali, Noureddine Abbadeni, Mohamed Batouche.</t>
  </si>
  <si>
    <t>Premier reference source</t>
  </si>
  <si>
    <t>1076200798:eng</t>
  </si>
  <si>
    <t>774480726</t>
  </si>
  <si>
    <t>ocn774480726</t>
  </si>
  <si>
    <t>3103471881F</t>
  </si>
  <si>
    <t>9781466618305</t>
  </si>
  <si>
    <t>794906416</t>
  </si>
  <si>
    <t>Q342 W46 2006</t>
  </si>
  <si>
    <t>0                      Q  0342000W  46          2006</t>
  </si>
  <si>
    <t>Rethinking cognitive computation : Turing and the science of the mind / A.J. Wells.</t>
  </si>
  <si>
    <t>Wells, Andrew, 1952-</t>
  </si>
  <si>
    <t>Houndmills, Basingstoke, Hampshire, England ; New York : Palgrave Macmillan, 2006.</t>
  </si>
  <si>
    <t>2015-05-25</t>
  </si>
  <si>
    <t>991184:eng</t>
  </si>
  <si>
    <t>60798559</t>
  </si>
  <si>
    <t>ocm60798559</t>
  </si>
  <si>
    <t>31025482070</t>
  </si>
  <si>
    <t>9781403911612</t>
  </si>
  <si>
    <t>793944151</t>
  </si>
  <si>
    <t>Q350 S76 2015</t>
  </si>
  <si>
    <t>0                      Q  0350000S  76          2015</t>
  </si>
  <si>
    <t>Information theory : a tutorial introduction / James V Stone.</t>
  </si>
  <si>
    <t>Stone, James V., Dr., author.</t>
  </si>
  <si>
    <t>[Sheffield, United Kingdom] : Sebtel Press, 2015.</t>
  </si>
  <si>
    <t>First Edition.</t>
  </si>
  <si>
    <t>2019-12-04</t>
  </si>
  <si>
    <t>2299163439:eng</t>
  </si>
  <si>
    <t>903654515</t>
  </si>
  <si>
    <t>ocn903654515</t>
  </si>
  <si>
    <t>3103201061G</t>
  </si>
  <si>
    <t>9780956372857</t>
  </si>
  <si>
    <t>794989572</t>
  </si>
  <si>
    <t>Q355 R385 2013</t>
  </si>
  <si>
    <t>0                      Q  0355000R  385         2013</t>
  </si>
  <si>
    <t>"Raw data" is an oxymoron / edited by Lisa Gitelman.</t>
  </si>
  <si>
    <t>Cambridge, Massachusetts ; London, England : The MIT Press, [2013]</t>
  </si>
  <si>
    <t>1145916943:eng</t>
  </si>
  <si>
    <t>802890425</t>
  </si>
  <si>
    <t>ocn802890425</t>
  </si>
  <si>
    <t>31034714134</t>
  </si>
  <si>
    <t>9780262518284</t>
  </si>
  <si>
    <t>794925789</t>
  </si>
  <si>
    <t>Q360 A48 1996</t>
  </si>
  <si>
    <t>0                      Q  0360000A  48          1996</t>
  </si>
  <si>
    <t>Communication theory : epistemological foundations / James A. Anderson.</t>
  </si>
  <si>
    <t>Anderson, James A. (James Arthur), 1939-</t>
  </si>
  <si>
    <t>New York : Guilford Press, 1996.</t>
  </si>
  <si>
    <t>The Guilford communication series</t>
  </si>
  <si>
    <t>4202635457:eng</t>
  </si>
  <si>
    <t>34576705</t>
  </si>
  <si>
    <t>ocm34576705</t>
  </si>
  <si>
    <t>3101571525C</t>
  </si>
  <si>
    <t>9781572300835</t>
  </si>
  <si>
    <t>793430294</t>
  </si>
  <si>
    <t>Q360 A8</t>
  </si>
  <si>
    <t>0                      Q  0360000A  8</t>
  </si>
  <si>
    <t>Information theory.</t>
  </si>
  <si>
    <t>Ash, Robert B.</t>
  </si>
  <si>
    <t>New York, Interscience [1967, ©1965]</t>
  </si>
  <si>
    <t>2018-09-28</t>
  </si>
  <si>
    <t>1356006:eng</t>
  </si>
  <si>
    <t>256778</t>
  </si>
  <si>
    <t>ocm00256778</t>
  </si>
  <si>
    <t>3000498168P</t>
  </si>
  <si>
    <t>9780470034453</t>
  </si>
  <si>
    <t>791312205</t>
  </si>
  <si>
    <t>Q360 B74 2004</t>
  </si>
  <si>
    <t>0                      Q  0360000B  74          2004</t>
  </si>
  <si>
    <t>Information and information flow : an introduction / Manuel Bremer, Daniel Cohnitz.</t>
  </si>
  <si>
    <t>Bremer, Manuel Eugen.</t>
  </si>
  <si>
    <t>Frankfurt : Ontos Verlag ; Piscataway, NJ : Transaction Books [distributor], ©2004.</t>
  </si>
  <si>
    <t>Linguistics &amp; philosophy ; v. 3</t>
  </si>
  <si>
    <t>2016-02-24</t>
  </si>
  <si>
    <t>31101937:eng</t>
  </si>
  <si>
    <t>60345039</t>
  </si>
  <si>
    <t>ocm60345039</t>
  </si>
  <si>
    <t>3102580355$</t>
  </si>
  <si>
    <t>9783937202471</t>
  </si>
  <si>
    <t>793935678</t>
  </si>
  <si>
    <t>Q360 C93 1995</t>
  </si>
  <si>
    <t>0                      Q  0360000C  93          1995</t>
  </si>
  <si>
    <t>The cyborg handbook / edited by Chris Hables Gray ; with the assistance of Heidi Figueroa-Sarriera &amp; Steven Mentor.</t>
  </si>
  <si>
    <t>New York : Routledge, 1995.</t>
  </si>
  <si>
    <t>2017-12-11</t>
  </si>
  <si>
    <t>32871454:eng</t>
  </si>
  <si>
    <t>30919973</t>
  </si>
  <si>
    <t>ocm30919973</t>
  </si>
  <si>
    <t>3102800411Q</t>
  </si>
  <si>
    <t>9780415908481</t>
  </si>
  <si>
    <t>793349132</t>
  </si>
  <si>
    <t>Q360 F665 2000</t>
  </si>
  <si>
    <t>0                      Q  0360000F  665         2000</t>
  </si>
  <si>
    <t>Formalizing the dynamics of information / Martina Faller, Stefan Kaufmann, Marc Pauly, editors.</t>
  </si>
  <si>
    <t>Stanford, Calif. : CSLI Publications, ©2000.</t>
  </si>
  <si>
    <t>CSLI lecture notes ; no. 91</t>
  </si>
  <si>
    <t>351180718:eng</t>
  </si>
  <si>
    <t>42912515</t>
  </si>
  <si>
    <t>ocm42912515</t>
  </si>
  <si>
    <t>3102991790K</t>
  </si>
  <si>
    <t>9781575862392</t>
  </si>
  <si>
    <t>793617137</t>
  </si>
  <si>
    <t>Q360 M3</t>
  </si>
  <si>
    <t>0                      Q  0360000M  3</t>
  </si>
  <si>
    <t>Information, mechanism and meaning [by] Donald M. MacKay.</t>
  </si>
  <si>
    <t>MacKay, Donald MacCrimmon, 1922-1987.</t>
  </si>
  <si>
    <t>Cambridge, M.I.T. Press [1969]</t>
  </si>
  <si>
    <t>2018-09-20</t>
  </si>
  <si>
    <t>430244:eng</t>
  </si>
  <si>
    <t>46864</t>
  </si>
  <si>
    <t>ocm00046864</t>
  </si>
  <si>
    <t>3000499758$</t>
  </si>
  <si>
    <t>9780262130554</t>
  </si>
  <si>
    <t>791238430</t>
  </si>
  <si>
    <t>Q360 M3134 2017</t>
  </si>
  <si>
    <t>0                      Q  0360000M  3134        2017</t>
  </si>
  <si>
    <t>Machine learners : archaeology of a data practice / Adrian Mackenzie.</t>
  </si>
  <si>
    <t>Mackenzie, Adrian, 1962- author.</t>
  </si>
  <si>
    <t>Cambridge, Massachusetts : The MIT Press, [2017]</t>
  </si>
  <si>
    <t>4062928822:eng</t>
  </si>
  <si>
    <t>972093403</t>
  </si>
  <si>
    <t>ocn972093403</t>
  </si>
  <si>
    <t>31037041962</t>
  </si>
  <si>
    <t>9780262036825</t>
  </si>
  <si>
    <t>795028499</t>
  </si>
  <si>
    <t>Q360 N38</t>
  </si>
  <si>
    <t>0                      Q  0360000N  38</t>
  </si>
  <si>
    <t>The meaning of information.</t>
  </si>
  <si>
    <t>Nauta, Deode, 1934-</t>
  </si>
  <si>
    <t>The Hague : Mouton, 1970.</t>
  </si>
  <si>
    <t>Approaches to semiotics ; 20</t>
  </si>
  <si>
    <t>2018-06-22</t>
  </si>
  <si>
    <t>293715058:eng</t>
  </si>
  <si>
    <t>61587332</t>
  </si>
  <si>
    <t>ocm61587332</t>
  </si>
  <si>
    <t>3103773422J</t>
  </si>
  <si>
    <t>794025084</t>
  </si>
  <si>
    <t>Q360 P45 2014</t>
  </si>
  <si>
    <t>0                      Q  0360000P  45          2014</t>
  </si>
  <si>
    <t>The philosophy of Information quality / Luciano Floridi, Phyllis Illari, editors.</t>
  </si>
  <si>
    <t>Cham ; Heidelberg : Springer, ©2014.</t>
  </si>
  <si>
    <t>Synthese library : Studies in epistemology, logic, methodology, and philosophy of science ; 358</t>
  </si>
  <si>
    <t>2085203539:eng</t>
  </si>
  <si>
    <t>879245626</t>
  </si>
  <si>
    <t>ocn879245626</t>
  </si>
  <si>
    <t>3103198373C</t>
  </si>
  <si>
    <t>9783319071206</t>
  </si>
  <si>
    <t>794971833</t>
  </si>
  <si>
    <t>Q360 P48 2008</t>
  </si>
  <si>
    <t>0                      Q  0360000P  48          2008</t>
  </si>
  <si>
    <t>Philosophy of information / edited by Pieter Adriaans and Johan van Benthem.</t>
  </si>
  <si>
    <t>Amsterdam, The Netherlands ; Boston : North Holland, 2008.</t>
  </si>
  <si>
    <t>Handbook of the philosophy of science ; v. 8</t>
  </si>
  <si>
    <t>1011573943:eng</t>
  </si>
  <si>
    <t>166334194</t>
  </si>
  <si>
    <t>ocn166334194</t>
  </si>
  <si>
    <t>31030572718</t>
  </si>
  <si>
    <t>9780444517265</t>
  </si>
  <si>
    <t>794260313</t>
  </si>
  <si>
    <t>Q360 R43</t>
  </si>
  <si>
    <t>0                      Q  0360000R  43</t>
  </si>
  <si>
    <t>An introduction to information theory.</t>
  </si>
  <si>
    <t>Reza, Fazlollah M.</t>
  </si>
  <si>
    <t>New York, McGraw-Hill, 1961.</t>
  </si>
  <si>
    <t>McGraw-Hill texts in electrical engineering</t>
  </si>
  <si>
    <t>1569087:eng</t>
  </si>
  <si>
    <t>541187</t>
  </si>
  <si>
    <t>ocm00541187</t>
  </si>
  <si>
    <t>3000498169N</t>
  </si>
  <si>
    <t>791408500</t>
  </si>
  <si>
    <t>Q360 W37</t>
  </si>
  <si>
    <t>0                      Q  0360000W  37</t>
  </si>
  <si>
    <t>Knowing and guessing; a quantitative study of inference and information [by] Satosi Watanabe.</t>
  </si>
  <si>
    <t>Watanabe, Satoshi, 1910-</t>
  </si>
  <si>
    <t>New York, Wiley [1969]</t>
  </si>
  <si>
    <t>2012-12-19</t>
  </si>
  <si>
    <t>2015-06-02</t>
  </si>
  <si>
    <t>1134052:eng</t>
  </si>
  <si>
    <t>10971</t>
  </si>
  <si>
    <t>ocm00010971</t>
  </si>
  <si>
    <t>30004981701</t>
  </si>
  <si>
    <t>9780471921301</t>
  </si>
  <si>
    <t>791227484</t>
  </si>
  <si>
    <t>Q370 P513</t>
  </si>
  <si>
    <t>0                      Q  0370000P  513</t>
  </si>
  <si>
    <t>Information and information stability of random variables and processes, by M.S. Pinsker. Translated and edited by Amiel Feinstein.</t>
  </si>
  <si>
    <t>Pinsker, M. S.</t>
  </si>
  <si>
    <t>San Francisco, Holden-Day, 1964.</t>
  </si>
  <si>
    <t>Holden-Day series in time series analysis</t>
  </si>
  <si>
    <t>2018-05-02</t>
  </si>
  <si>
    <t>1596424:eng</t>
  </si>
  <si>
    <t>551003</t>
  </si>
  <si>
    <t>ocm00551003</t>
  </si>
  <si>
    <t>3000498171$</t>
  </si>
  <si>
    <t>791411684</t>
  </si>
  <si>
    <t>Q375 T35 2007</t>
  </si>
  <si>
    <t>0                      Q  0375000T  35          2007</t>
  </si>
  <si>
    <t>The black swan : the impact of the highly improbable / Nassim Nicholas Taleb.</t>
  </si>
  <si>
    <t>Taleb, Nassim Nicholas, 1960-</t>
  </si>
  <si>
    <t>New York : Random House, ©2007.</t>
  </si>
  <si>
    <t>495808067:eng</t>
  </si>
  <si>
    <t>71833470</t>
  </si>
  <si>
    <t>ocm71833470</t>
  </si>
  <si>
    <t>3103433671Z</t>
  </si>
  <si>
    <t>9781400063512</t>
  </si>
  <si>
    <t>794169090</t>
  </si>
  <si>
    <t>Q387.2 S46 2002</t>
  </si>
  <si>
    <t>0                      Q  0387200S  46          2002</t>
  </si>
  <si>
    <t>The semantics of relationships : an interdisciplinary perspective / edited by Rebecca Green, Carol A. Bean, Sung Hyon Myaeng.</t>
  </si>
  <si>
    <t>Information science and knowledge management ; v. 3</t>
  </si>
  <si>
    <t>2017-10-26</t>
  </si>
  <si>
    <t>839916162:eng</t>
  </si>
  <si>
    <t>49799512</t>
  </si>
  <si>
    <t>ocm49799512</t>
  </si>
  <si>
    <t>3102597914U</t>
  </si>
  <si>
    <t>9781402005688</t>
  </si>
  <si>
    <t>793748184</t>
  </si>
  <si>
    <t>Q391 H</t>
  </si>
  <si>
    <t>0                      Q  0391000                                                           H</t>
  </si>
  <si>
    <t>The evolution of fashion: pattern and cut from 1066 to 1930 [by] Margot Hamilton Hill [and] Peter A. Bucknell.</t>
  </si>
  <si>
    <t>Hill, Margot Hamilton.</t>
  </si>
  <si>
    <t>London, Batsford; New York, Reinhold, 1967.</t>
  </si>
  <si>
    <t>2003-11-02</t>
  </si>
  <si>
    <t>2017-10-19</t>
  </si>
  <si>
    <t>181351:eng</t>
  </si>
  <si>
    <t>386214</t>
  </si>
  <si>
    <t>ocm00386214</t>
  </si>
  <si>
    <t>3000914570I</t>
  </si>
  <si>
    <t>9780713408515</t>
  </si>
  <si>
    <t>791360940</t>
  </si>
  <si>
    <t>Q4051.5 Q37 2015</t>
  </si>
  <si>
    <t>0                      Q  4051500Q  37          2015</t>
  </si>
  <si>
    <t>Narrazione e migrazione / Lucia Quaquarelli.</t>
  </si>
  <si>
    <t>Quaquarelli, Lucia, author.</t>
  </si>
  <si>
    <t>Milano : Morellini editore, febbraio 2015.</t>
  </si>
  <si>
    <t>Tracciati</t>
  </si>
  <si>
    <t>2610286211:ita</t>
  </si>
  <si>
    <t>911267330</t>
  </si>
  <si>
    <t>ocn911267330</t>
  </si>
  <si>
    <t>31036242751</t>
  </si>
  <si>
    <t>9788862983815</t>
  </si>
  <si>
    <t>794998281</t>
  </si>
  <si>
    <t>QA1 A626 no.6</t>
  </si>
  <si>
    <t>0                      QA 0001000A  626                                                     no.6</t>
  </si>
  <si>
    <t>The calculi of lambda-conversion, by Alonzo Church.</t>
  </si>
  <si>
    <t>no.6*</t>
  </si>
  <si>
    <t>Church, Alonzo, 1903-1995.</t>
  </si>
  <si>
    <t>Princeton, Princeton University Press; London, H. Milford, Oxford University Press, 1941.</t>
  </si>
  <si>
    <t>[Annals of mathematical studies ; no. 6]</t>
  </si>
  <si>
    <t xml:space="preserve">QA </t>
  </si>
  <si>
    <t>115248605:eng</t>
  </si>
  <si>
    <t>1290331</t>
  </si>
  <si>
    <t>ocm01290331</t>
  </si>
  <si>
    <t>3000696761B</t>
  </si>
  <si>
    <t>791592756</t>
  </si>
  <si>
    <t>QA1 A647 v.1 1981</t>
  </si>
  <si>
    <t>0                      QA 0001000A  647                                                     v.1 1981</t>
  </si>
  <si>
    <t>Partial differential equations / Fritz John.</t>
  </si>
  <si>
    <t>v.1 1981*</t>
  </si>
  <si>
    <t>John, Fritz, 1910-1994.</t>
  </si>
  <si>
    <t>New York : Springer-Verlag, ©1981.</t>
  </si>
  <si>
    <t>Applied mathematical sciences ; 1</t>
  </si>
  <si>
    <t>4820474743:eng</t>
  </si>
  <si>
    <t>123190194</t>
  </si>
  <si>
    <t>ocn123190194</t>
  </si>
  <si>
    <t>3103347620U</t>
  </si>
  <si>
    <t>9780387906096</t>
  </si>
  <si>
    <t>794224651</t>
  </si>
  <si>
    <t>2018-03-29</t>
  </si>
  <si>
    <t>2019-01-10</t>
  </si>
  <si>
    <t>1894</t>
  </si>
  <si>
    <t>2016-03-22</t>
  </si>
  <si>
    <t>1918</t>
  </si>
  <si>
    <t>1908</t>
  </si>
  <si>
    <t>QA1 N3 2003</t>
  </si>
  <si>
    <t>0                      QA 0001000N  3           2003</t>
  </si>
  <si>
    <t>Learning and teaching measurement / Douglas H. Clements, 2003 yearbook editor ; George Bright, general yearbook editor.</t>
  </si>
  <si>
    <t>Reston, VA : National Council of Teachers of Mathematics, ©2003.</t>
  </si>
  <si>
    <t>Yearbook ; 2003</t>
  </si>
  <si>
    <t>2015-01-19</t>
  </si>
  <si>
    <t>350262801:eng</t>
  </si>
  <si>
    <t>52901591</t>
  </si>
  <si>
    <t>ocm52901591</t>
  </si>
  <si>
    <t>3102287331U</t>
  </si>
  <si>
    <t>9780873535397</t>
  </si>
  <si>
    <t>793816937</t>
  </si>
  <si>
    <t>QA1 N3 2003 Suppl.</t>
  </si>
  <si>
    <t>0                      QA 0001000N  3           2003                                        Suppl.</t>
  </si>
  <si>
    <t>Classroom activities for learning and teaching measurement : 2003 yearbook / edited by George W. Bright, Douglas H. Clements.</t>
  </si>
  <si>
    <t>Suppl.*</t>
  </si>
  <si>
    <t>Reston, Va. : National Council of Teachers of Mathematics, ©2003.</t>
  </si>
  <si>
    <t>3857574841:eng</t>
  </si>
  <si>
    <t>52076310</t>
  </si>
  <si>
    <t>ocm52076310</t>
  </si>
  <si>
    <t>3102286664J</t>
  </si>
  <si>
    <t>793797928</t>
  </si>
  <si>
    <t>QA1 N3 2007</t>
  </si>
  <si>
    <t>0                      QA 0001000N  3           2007</t>
  </si>
  <si>
    <t>The learning of mathematics / W. Gary Martin, sixty-ninth yearbook coeditor, Marilyn E. Strutchens, sixty-ninth yearbook coeditor, Portia C. Elliott, general yearbook editor.</t>
  </si>
  <si>
    <t>Reston, VA : National Council of Teachers of Mathematics, ©2007.</t>
  </si>
  <si>
    <t>Yearbook ; 69th</t>
  </si>
  <si>
    <t>2017-02-28</t>
  </si>
  <si>
    <t>9592880828:eng</t>
  </si>
  <si>
    <t>75088003</t>
  </si>
  <si>
    <t>ocm75088003</t>
  </si>
  <si>
    <t>3102675026U</t>
  </si>
  <si>
    <t>9780873535960</t>
  </si>
  <si>
    <t>794174398</t>
  </si>
  <si>
    <t>QA1 N3 2010</t>
  </si>
  <si>
    <t>0                      QA 0001000N  3           2010</t>
  </si>
  <si>
    <t>Mathematics curriculum : issues, trends, and future directions / Barbara J. Reys, Robert E. Reys, Rheta Rubenstein.</t>
  </si>
  <si>
    <t>(text + CD-ROM)</t>
  </si>
  <si>
    <t>Reston, VA : National Council of Teachers of Mathematics, ©2010.</t>
  </si>
  <si>
    <t>Yearbook, 0077-4103 ; Seventy-second</t>
  </si>
  <si>
    <t>1070227077:eng</t>
  </si>
  <si>
    <t>606216030</t>
  </si>
  <si>
    <t>ocn606216030</t>
  </si>
  <si>
    <t>3103283560R</t>
  </si>
  <si>
    <t>9780873536431</t>
  </si>
  <si>
    <t>794816750</t>
  </si>
  <si>
    <t>QA1 N3 2012</t>
  </si>
  <si>
    <t>0                      QA 0001000N  3           2012</t>
  </si>
  <si>
    <t>Professional collaborations in mathematics teaching and learning : seeking success for all / Jennifer M. Bay-Williams, William R. Speer [editors].</t>
  </si>
  <si>
    <t>Reston, VA : National Council of Teachers of Mathematics, ©2012.</t>
  </si>
  <si>
    <t>Yearbook / National Council of Teachers of Mathematics, 0077-4103 ; 74th</t>
  </si>
  <si>
    <t>2012-09-30</t>
  </si>
  <si>
    <t>1110366255:eng</t>
  </si>
  <si>
    <t>794056017</t>
  </si>
  <si>
    <t>ocn794056017</t>
  </si>
  <si>
    <t>3103463398P</t>
  </si>
  <si>
    <t>9780873536974</t>
  </si>
  <si>
    <t>794919183</t>
  </si>
  <si>
    <t>QA1 N3 2013</t>
  </si>
  <si>
    <t>0                      QA 0001000N  3           2013</t>
  </si>
  <si>
    <t>Defining Mathematics Education : Presidential Yearbook Selections, 1926-2012 : Seventy-Fifth Yearbook / National Council of Teachers of Mathematics ; Francis (Skip) Fennell, seventy-fifth yearbook editor ; William R. Speer, general yearbook editor.</t>
  </si>
  <si>
    <t>Reston, VA : National Council of Teachers of Mathematics, [2013]</t>
  </si>
  <si>
    <t>Yearbook, 0077-4103 ; 75th</t>
  </si>
  <si>
    <t>2930948171:eng</t>
  </si>
  <si>
    <t>842963426</t>
  </si>
  <si>
    <t>ocn842963426</t>
  </si>
  <si>
    <t>3103525557X</t>
  </si>
  <si>
    <t>9780873537384</t>
  </si>
  <si>
    <t>794947761</t>
  </si>
  <si>
    <t>QA1 N3 2014</t>
  </si>
  <si>
    <t>0                      QA 0001000N  3           2014</t>
  </si>
  <si>
    <t>Using research to improve instruction / Karen Karp, volume editor.</t>
  </si>
  <si>
    <t>Reston, VA : National Council of Teachers of Mathematics, 2014.</t>
  </si>
  <si>
    <t>Annual perspectives in mathematics education, 2332-6336 ; 2014</t>
  </si>
  <si>
    <t>1907061156:eng</t>
  </si>
  <si>
    <t>868378806</t>
  </si>
  <si>
    <t>ocn868378806</t>
  </si>
  <si>
    <t>3103557154M</t>
  </si>
  <si>
    <t>9780873537612</t>
  </si>
  <si>
    <t>794964668</t>
  </si>
  <si>
    <t>QA1 N3 2016</t>
  </si>
  <si>
    <t>0                      QA 0001000N  3           2016</t>
  </si>
  <si>
    <t>Mathematical modeling and modeling mathematics / Christian R. Hirsch, volume editor, Western Michigan University, Kalamazoo, Michigan, Amy Roth McDuffie, series editor, Washington State University Tri-Cities, Richland, Washington.</t>
  </si>
  <si>
    <t>Reston, VA : National Council of Teachers of Mathematics, 2016.</t>
  </si>
  <si>
    <t>Annual perspectives in mathematics education, 2332-6336 ; 2016</t>
  </si>
  <si>
    <t>2992868027:eng</t>
  </si>
  <si>
    <t>948295889</t>
  </si>
  <si>
    <t>ocn948295889</t>
  </si>
  <si>
    <t>3103686941I</t>
  </si>
  <si>
    <t>9780873539739</t>
  </si>
  <si>
    <t>795015405</t>
  </si>
  <si>
    <t>QA1 N87 no.6</t>
  </si>
  <si>
    <t>0                      QA 0001000N  87                                                      no.6</t>
  </si>
  <si>
    <t>A theory of formal deducibility.</t>
  </si>
  <si>
    <t>Curry, Haskell B. (Haskell Brooks), 1900-1982.</t>
  </si>
  <si>
    <t>Notre Dame mathematical lectures ; no. 6</t>
  </si>
  <si>
    <t>2016-04-11</t>
  </si>
  <si>
    <t>104159032:eng</t>
  </si>
  <si>
    <t>523606</t>
  </si>
  <si>
    <t>ocm00523606</t>
  </si>
  <si>
    <t>3000664642A</t>
  </si>
  <si>
    <t>791402864</t>
  </si>
  <si>
    <t>1857</t>
  </si>
  <si>
    <t>2018-06-07</t>
  </si>
  <si>
    <t>1913</t>
  </si>
  <si>
    <t>1929</t>
  </si>
  <si>
    <t>1916</t>
  </si>
  <si>
    <t>1911</t>
  </si>
  <si>
    <t>QA3 B48513 2006</t>
  </si>
  <si>
    <t>0                      QA 0003000B  48513       2006</t>
  </si>
  <si>
    <t>The art of conjecturing, together with Letter to a friend on sets in court tennis / Jacob Bernoulli ; translated with an introduction and notes by Edith Dudley Sylla.</t>
  </si>
  <si>
    <t>Bernoulli, Jakob, 1654-1705.</t>
  </si>
  <si>
    <t>Baltimore, Md. : Johns Hopkins University Press, 2006.</t>
  </si>
  <si>
    <t>2018-08-17</t>
  </si>
  <si>
    <t>3855396298:eng</t>
  </si>
  <si>
    <t>59003421</t>
  </si>
  <si>
    <t>ocm59003421</t>
  </si>
  <si>
    <t>3102549258N</t>
  </si>
  <si>
    <t>9780801882357</t>
  </si>
  <si>
    <t>793926646</t>
  </si>
  <si>
    <t>QA3 C27</t>
  </si>
  <si>
    <t>0                      QA 0003000C  27</t>
  </si>
  <si>
    <t>Gesammelte abhandlungen mathematischen und philosophischen inhalts, mit erläuternden anmerkungen sowie mit ergänzungen aus dem briefwechsel Cantor-Dedekind, herausgegeben von Ernst Zermelo. Nebst einem lebenslauf Cantors von Adolf Fraenkel ...</t>
  </si>
  <si>
    <t>Cantor, Georg, 1845-1918.</t>
  </si>
  <si>
    <t>Berlin, Verlag von Julius Springer, 1932.</t>
  </si>
  <si>
    <t>7338910:ger</t>
  </si>
  <si>
    <t>2697736</t>
  </si>
  <si>
    <t>ocm02697736</t>
  </si>
  <si>
    <t>3000688489Y</t>
  </si>
  <si>
    <t>792164535</t>
  </si>
  <si>
    <t>QA3 E7</t>
  </si>
  <si>
    <t>0                      QA 0003000E  7</t>
  </si>
  <si>
    <t>Die konfluente hypergeometrische Funktion, mit besonderer Berücksichtigung ihrer Anwendungen.</t>
  </si>
  <si>
    <t>Buchholz, Herbert, 1895-1971.</t>
  </si>
  <si>
    <t>Berlin, Springer, 1953.</t>
  </si>
  <si>
    <t>Ergebnisse der angewandten Mathematik, 2</t>
  </si>
  <si>
    <t>422217707:ger</t>
  </si>
  <si>
    <t>1347606</t>
  </si>
  <si>
    <t>ocm01347606</t>
  </si>
  <si>
    <t>3000700799Q</t>
  </si>
  <si>
    <t>791606058</t>
  </si>
  <si>
    <t>QA3 H315 2001</t>
  </si>
  <si>
    <t>0                      QA 0003000H  315         2001</t>
  </si>
  <si>
    <t>Gesammelte Werke : einschliesslich der under dem Pseudonym Paul Mongré erschienenen philosophischen und literarischen Schriften und ausgewählter Texte aus dem Nachlass / herausgegeben von E. Brieskorn [and others].</t>
  </si>
  <si>
    <t>Hausdorff, Felix, 1868-1942.</t>
  </si>
  <si>
    <t>Berlin : Springer, 2001-</t>
  </si>
  <si>
    <t>2017-06-07</t>
  </si>
  <si>
    <t>5377859723:ger</t>
  </si>
  <si>
    <t>57368353</t>
  </si>
  <si>
    <t>ocm57368353</t>
  </si>
  <si>
    <t>3103711635B</t>
  </si>
  <si>
    <t>9783642255984</t>
  </si>
  <si>
    <t>793911527</t>
  </si>
  <si>
    <t>31037116377</t>
  </si>
  <si>
    <t>793911525</t>
  </si>
  <si>
    <t>3103711632H</t>
  </si>
  <si>
    <t>793911526</t>
  </si>
  <si>
    <t>3103710788S</t>
  </si>
  <si>
    <t>793911532</t>
  </si>
  <si>
    <t>31037107831</t>
  </si>
  <si>
    <t>793911529</t>
  </si>
  <si>
    <t>3103710742F</t>
  </si>
  <si>
    <t>793911531</t>
  </si>
  <si>
    <t>v.1A</t>
  </si>
  <si>
    <t>3103710699R</t>
  </si>
  <si>
    <t>793911533</t>
  </si>
  <si>
    <t>B001634139</t>
  </si>
  <si>
    <t>793911528</t>
  </si>
  <si>
    <t>3103710695Z</t>
  </si>
  <si>
    <t>793911530</t>
  </si>
  <si>
    <t>QA3 M6</t>
  </si>
  <si>
    <t>0                      QA 0003000M  6</t>
  </si>
  <si>
    <t>Gesammelte abhandlungen von Hermann Minkowski, unter mitwirkung von Andreas Speiser und Hermann Weyl hrsg. von David Hilbert ...</t>
  </si>
  <si>
    <t>Minkowski, H. (Hermann), 1864-1909.</t>
  </si>
  <si>
    <t>Leipzig, Berlin, B.G. Teubner, 1911.</t>
  </si>
  <si>
    <t>9593421807:ger</t>
  </si>
  <si>
    <t>1194040</t>
  </si>
  <si>
    <t>ocm01194040</t>
  </si>
  <si>
    <t>3000688523N</t>
  </si>
  <si>
    <t>791569689</t>
  </si>
  <si>
    <t>3100433603A</t>
  </si>
  <si>
    <t>791569688</t>
  </si>
  <si>
    <t>QA3 P8 v.5</t>
  </si>
  <si>
    <t>0                      QA 0003000P  8                                                       v.5</t>
  </si>
  <si>
    <t>Entire functions / Ralph Philip Boas, Jr.</t>
  </si>
  <si>
    <t>v.5*</t>
  </si>
  <si>
    <t>Boas, Ralph P. (Ralph Philip), 1912-1992.</t>
  </si>
  <si>
    <t>New York : Academic Press, ©1954.</t>
  </si>
  <si>
    <t>Pure and applied mathematics (Academic Press) ; 5</t>
  </si>
  <si>
    <t>9566441186:eng</t>
  </si>
  <si>
    <t>847696</t>
  </si>
  <si>
    <t>ocm00847696</t>
  </si>
  <si>
    <t>3000696709D</t>
  </si>
  <si>
    <t>9780121081508</t>
  </si>
  <si>
    <t>791485617</t>
  </si>
  <si>
    <t>QA5 H4</t>
  </si>
  <si>
    <t>0                      QA 0005000H  4</t>
  </si>
  <si>
    <t>Dictionary of mathematical sciences.</t>
  </si>
  <si>
    <t>Herland, Leo (Leo Joseph)</t>
  </si>
  <si>
    <t>New York, F. Ungar Pub. Co. [1951-54]</t>
  </si>
  <si>
    <t>2016-03-03</t>
  </si>
  <si>
    <t>4915562602:eng</t>
  </si>
  <si>
    <t>1024875</t>
  </si>
  <si>
    <t>ocm01024875</t>
  </si>
  <si>
    <t>3000771282G</t>
  </si>
  <si>
    <t>791527505</t>
  </si>
  <si>
    <t>2000-05-02</t>
  </si>
  <si>
    <t>31004336323</t>
  </si>
  <si>
    <t>791527504</t>
  </si>
  <si>
    <t>QA5 M845</t>
  </si>
  <si>
    <t>0                      QA 0005000M  845</t>
  </si>
  <si>
    <t>Dictionnaire historique de la terminologie géométrique des Grecs.</t>
  </si>
  <si>
    <t>Mugler, Charles.</t>
  </si>
  <si>
    <t>Paris C. Klincksieck 1958-59.</t>
  </si>
  <si>
    <t>Etudes et commentaires. 28-29</t>
  </si>
  <si>
    <t>3744382:fre</t>
  </si>
  <si>
    <t>427562982</t>
  </si>
  <si>
    <t>ocn427562982</t>
  </si>
  <si>
    <t>3103476170I</t>
  </si>
  <si>
    <t>794687653</t>
  </si>
  <si>
    <t>QA7 F7</t>
  </si>
  <si>
    <t>0                      QA 0007000F  7</t>
  </si>
  <si>
    <t>Begriffsschrift und andere Aufsätze. 2. Aufl. Mit E. Husserls und H. Scholz' Anmerkungen. Hrsg. von Ignacio Angelelli.</t>
  </si>
  <si>
    <t>Frege, Gottlob, 1848-1925.</t>
  </si>
  <si>
    <t>Darmstadt : Wissenschaftliche Buchgesellschaft, 1964.</t>
  </si>
  <si>
    <t>2. Aufl.</t>
  </si>
  <si>
    <t>2018-01-27</t>
  </si>
  <si>
    <t>1743868:ger</t>
  </si>
  <si>
    <t>427563556</t>
  </si>
  <si>
    <t>ocn427563556</t>
  </si>
  <si>
    <t>3000664713D</t>
  </si>
  <si>
    <t>794687867</t>
  </si>
  <si>
    <t>QA8.4 A75 2015</t>
  </si>
  <si>
    <t>0                      QA 0008400A  75          2015</t>
  </si>
  <si>
    <t>Art in the life of mathematicians / Anna Kepes Szemeredi, editor.</t>
  </si>
  <si>
    <t>Providence, Rhode Island : American Mathematical Society, [2015]</t>
  </si>
  <si>
    <t>2585449762:eng</t>
  </si>
  <si>
    <t>899884907</t>
  </si>
  <si>
    <t>ocn899884907</t>
  </si>
  <si>
    <t>3103607383W</t>
  </si>
  <si>
    <t>9781470419561</t>
  </si>
  <si>
    <t>794986979</t>
  </si>
  <si>
    <t>QA8.4 B3313 2008</t>
  </si>
  <si>
    <t>0                      QA 0008400B  3313        2008</t>
  </si>
  <si>
    <t>Number and numbers / Alain Badiou ; translated by Robin Mackay.</t>
  </si>
  <si>
    <t>Badiou, Alain.</t>
  </si>
  <si>
    <t>Cambridge, UK ; Malden, MA : Polity Press, ©2008.</t>
  </si>
  <si>
    <t>English ed.</t>
  </si>
  <si>
    <t>119528262:eng</t>
  </si>
  <si>
    <t>191245302</t>
  </si>
  <si>
    <t>ocn191245302</t>
  </si>
  <si>
    <t>3102976166Y</t>
  </si>
  <si>
    <t>9780745638782</t>
  </si>
  <si>
    <t>794297625</t>
  </si>
  <si>
    <t>QA8.4 B345 1998</t>
  </si>
  <si>
    <t>0                      QA 0008400B  345         1998</t>
  </si>
  <si>
    <t>Platonism and anti-Platonism in mathematics / Mark Balaguer.</t>
  </si>
  <si>
    <t>Balaguer, Mark.</t>
  </si>
  <si>
    <t>New York : Oxford University Press, 1998.</t>
  </si>
  <si>
    <t>597684:eng</t>
  </si>
  <si>
    <t>37580365</t>
  </si>
  <si>
    <t>ocm37580365</t>
  </si>
  <si>
    <t>31027861448</t>
  </si>
  <si>
    <t>9780195122305</t>
  </si>
  <si>
    <t>793502025</t>
  </si>
  <si>
    <t>QA8.4 B36 2012</t>
  </si>
  <si>
    <t>0                      QA 0008400B  36          2012</t>
  </si>
  <si>
    <t>The applicability of mathematics in science : indispensability and ontology / Sorin Bangu.</t>
  </si>
  <si>
    <t>Bangu, Sorin.</t>
  </si>
  <si>
    <t>Houndmills, Basingstoke ; New York : Palgrave Macmillan, 2012.</t>
  </si>
  <si>
    <t>New directions in the philosophy of science</t>
  </si>
  <si>
    <t>1119166542:eng</t>
  </si>
  <si>
    <t>795181601</t>
  </si>
  <si>
    <t>ocn795181601</t>
  </si>
  <si>
    <t>3103428951F</t>
  </si>
  <si>
    <t>9780230285200</t>
  </si>
  <si>
    <t>794921087</t>
  </si>
  <si>
    <t>QA8.4 B486 2000</t>
  </si>
  <si>
    <t>0                      QA 0008400B  486         2000</t>
  </si>
  <si>
    <t>Between logic and intuition : essays in honor of Charles Parsons / edited by Gila Sher, Richard Tieszen.</t>
  </si>
  <si>
    <t>Cambridge : Cambridge University Press, 2000.</t>
  </si>
  <si>
    <t>896879483:eng</t>
  </si>
  <si>
    <t>43457613</t>
  </si>
  <si>
    <t>ocm43457613</t>
  </si>
  <si>
    <t>3103104068A</t>
  </si>
  <si>
    <t>9780521650762</t>
  </si>
  <si>
    <t>793627170</t>
  </si>
  <si>
    <t>31020308665</t>
  </si>
  <si>
    <t>793627169</t>
  </si>
  <si>
    <t>QA8.4 B675 2009</t>
  </si>
  <si>
    <t>0                      QA 0008400B  675         2009</t>
  </si>
  <si>
    <t>Philosophy of mathematics : an introduction / David Bostock.</t>
  </si>
  <si>
    <t>Bostock, David.</t>
  </si>
  <si>
    <t>Chichester, U.K. ; Malden, MA : Wiley-Blackwell, 2009.</t>
  </si>
  <si>
    <t>3943714468:eng</t>
  </si>
  <si>
    <t>232002229</t>
  </si>
  <si>
    <t>ocn232002229</t>
  </si>
  <si>
    <t>3103078853H</t>
  </si>
  <si>
    <t>9781405189910</t>
  </si>
  <si>
    <t>794358917</t>
  </si>
  <si>
    <t>QA8.4 B76 2008</t>
  </si>
  <si>
    <t>0                      QA 0008400B  76          2008</t>
  </si>
  <si>
    <t>Philosophy of mathematics : a contemporary introduction to the world of proofs and pictures / James Robert Brown.</t>
  </si>
  <si>
    <t>Routledge contemporary introductions to philosophy</t>
  </si>
  <si>
    <t>2017-12-04</t>
  </si>
  <si>
    <t>795145374:eng</t>
  </si>
  <si>
    <t>175218043</t>
  </si>
  <si>
    <t>ocn175218043</t>
  </si>
  <si>
    <t>31026506353</t>
  </si>
  <si>
    <t>9780415960472</t>
  </si>
  <si>
    <t>794274740</t>
  </si>
  <si>
    <t>QA8.4 C58 1995</t>
  </si>
  <si>
    <t>0                      QA 0008400C  58          1995</t>
  </si>
  <si>
    <t>Aristotle and mathematics : aporetic method in cosmology and metaphysics / by John J. Cleary.</t>
  </si>
  <si>
    <t>Cleary, John J.</t>
  </si>
  <si>
    <t>Leiden ; New York : E.J. Brill, 1995.</t>
  </si>
  <si>
    <t>Philosophia antiqua, 0079-1687 ; v. 67</t>
  </si>
  <si>
    <t>808974689:eng</t>
  </si>
  <si>
    <t>31865604</t>
  </si>
  <si>
    <t>ocm31865604</t>
  </si>
  <si>
    <t>3101484287P</t>
  </si>
  <si>
    <t>9789004101593</t>
  </si>
  <si>
    <t>793369793</t>
  </si>
  <si>
    <t>3101540113L</t>
  </si>
  <si>
    <t>793369794</t>
  </si>
  <si>
    <t>QA8.4 C67 2003</t>
  </si>
  <si>
    <t>0                      QA 0008400C  67          2003</t>
  </si>
  <si>
    <t>Towards a philosophy of real mathematics / David Corfield.</t>
  </si>
  <si>
    <t>Corfield, David (David Neil)</t>
  </si>
  <si>
    <t>Cambridge, UK ; New York : Cambridge University Press, 2003.</t>
  </si>
  <si>
    <t>2019-04-10</t>
  </si>
  <si>
    <t>710361:eng</t>
  </si>
  <si>
    <t>50919787</t>
  </si>
  <si>
    <t>ocm50919787</t>
  </si>
  <si>
    <t>3103080318U</t>
  </si>
  <si>
    <t>9780521817226</t>
  </si>
  <si>
    <t>793775186</t>
  </si>
  <si>
    <t>QA8.4 D37 2012</t>
  </si>
  <si>
    <t>0                      QA 0008400D  37          2012</t>
  </si>
  <si>
    <t>The mathematical experience / Philip J. Davis, Reuben Hersh, Elena Anne Marchisotto ; with an introduction by Gian-Carlo Rota.</t>
  </si>
  <si>
    <t>Davis, Philip J., 1923-</t>
  </si>
  <si>
    <t>Boston : Birkhäuser, ©2012.</t>
  </si>
  <si>
    <t>Study ed.</t>
  </si>
  <si>
    <t>327280:eng</t>
  </si>
  <si>
    <t>752068450</t>
  </si>
  <si>
    <t>ocn752068450</t>
  </si>
  <si>
    <t>3103468779Y</t>
  </si>
  <si>
    <t>9780817682941</t>
  </si>
  <si>
    <t>794891467</t>
  </si>
  <si>
    <t>QA8.4 D86 1991</t>
  </si>
  <si>
    <t>0                      QA 0008400D  86          1991</t>
  </si>
  <si>
    <t>Frege. Philosophy of mathematics / Michael Dummett.</t>
  </si>
  <si>
    <t>Dummett, Michael, 1925-2011.</t>
  </si>
  <si>
    <t>Cambridge, Mass. : Harvard University Press, 1991.</t>
  </si>
  <si>
    <t>3901346982:eng</t>
  </si>
  <si>
    <t>24142939</t>
  </si>
  <si>
    <t>ocm24142939</t>
  </si>
  <si>
    <t>31029481752</t>
  </si>
  <si>
    <t>9780674319356</t>
  </si>
  <si>
    <t>793190698</t>
  </si>
  <si>
    <t>QA8.4 F68 2011</t>
  </si>
  <si>
    <t>0                      QA 0008400F  68          2011</t>
  </si>
  <si>
    <t>Foundational theories of classical and constructive mathematics / Giovanni Sommaruga, editor.</t>
  </si>
  <si>
    <t>Dordrecht ; New York : Springer, ©2011.</t>
  </si>
  <si>
    <t>The Western Ontario series in philosophy of science, 1566-659X ; v. 76</t>
  </si>
  <si>
    <t>917532240:eng</t>
  </si>
  <si>
    <t>695008859</t>
  </si>
  <si>
    <t>ocn695008859</t>
  </si>
  <si>
    <t>3103423355G</t>
  </si>
  <si>
    <t>9789400704305</t>
  </si>
  <si>
    <t>794858129</t>
  </si>
  <si>
    <t>QA8.4 F73 1960</t>
  </si>
  <si>
    <t>0                      QA 0008400F  73          1960</t>
  </si>
  <si>
    <t>Translations from the philosophical writings of Gottlob Frege / edited by Peter Geach and Max Black.</t>
  </si>
  <si>
    <t>Frege, Gottlob, 1848-1925, author.</t>
  </si>
  <si>
    <t>Oxford : Basil Blackwell, 1960.</t>
  </si>
  <si>
    <t>508081:eng</t>
  </si>
  <si>
    <t>6177752</t>
  </si>
  <si>
    <t>ocm06177752</t>
  </si>
  <si>
    <t>3100192378I</t>
  </si>
  <si>
    <t>9780631058106</t>
  </si>
  <si>
    <t>792480804</t>
  </si>
  <si>
    <t>QA8.4 J47 1993</t>
  </si>
  <si>
    <t>0                      QA 0008400J  47          1993</t>
  </si>
  <si>
    <t>Berkeley's philosophy of mathematics / Douglas M. Jesseph.</t>
  </si>
  <si>
    <t>Jesseph, Douglas Michael.</t>
  </si>
  <si>
    <t>Chicago : University of Chicago Press, ©1993.</t>
  </si>
  <si>
    <t>2015-04-16</t>
  </si>
  <si>
    <t>138726912:eng</t>
  </si>
  <si>
    <t>27186614</t>
  </si>
  <si>
    <t>ocm27186614</t>
  </si>
  <si>
    <t>3101314871S</t>
  </si>
  <si>
    <t>9780226398976</t>
  </si>
  <si>
    <t>793261137</t>
  </si>
  <si>
    <t>QA8.4 K53 1983</t>
  </si>
  <si>
    <t>0                      QA 0008400K  53          1983</t>
  </si>
  <si>
    <t>The nature of mathematical knowledge / Philip Kitcher.</t>
  </si>
  <si>
    <t>Kitcher, Philip, 1947-</t>
  </si>
  <si>
    <t>New York ; Oxford : Oxford University Press, 1983.</t>
  </si>
  <si>
    <t>4922471402:eng</t>
  </si>
  <si>
    <t>8052714</t>
  </si>
  <si>
    <t>ocm08052714</t>
  </si>
  <si>
    <t>3103032303C</t>
  </si>
  <si>
    <t>9780195031492</t>
  </si>
  <si>
    <t>792595770</t>
  </si>
  <si>
    <t>QA8.4 L37613 2011</t>
  </si>
  <si>
    <t>0                      QA 0008400L  37613       2011</t>
  </si>
  <si>
    <t>Mathematics, ideas, and the physical real / Albert Lautman ; translated by Simon B. Duffy.</t>
  </si>
  <si>
    <t>London ; New York : Continuum, 2011.</t>
  </si>
  <si>
    <t>2018-10-02</t>
  </si>
  <si>
    <t>351731351:eng</t>
  </si>
  <si>
    <t>657602920</t>
  </si>
  <si>
    <t>ocn657602920</t>
  </si>
  <si>
    <t>3103235281C</t>
  </si>
  <si>
    <t>9781441146564</t>
  </si>
  <si>
    <t>794835637</t>
  </si>
  <si>
    <t>QA8.4 L586 2009</t>
  </si>
  <si>
    <t>0                      QA 0008400L  586         2009</t>
  </si>
  <si>
    <t>Is God a mathematician? / Mario Livio.</t>
  </si>
  <si>
    <t>Livio, Mario, 1945-</t>
  </si>
  <si>
    <t>New York : Simon &amp; Schuster, 2009.</t>
  </si>
  <si>
    <t>1st Simon &amp; Schuster hardcover ed.</t>
  </si>
  <si>
    <t>2016-08-28</t>
  </si>
  <si>
    <t>129779968:eng</t>
  </si>
  <si>
    <t>209694006</t>
  </si>
  <si>
    <t>ocn209694006</t>
  </si>
  <si>
    <t>3103056273C</t>
  </si>
  <si>
    <t>9780743294058</t>
  </si>
  <si>
    <t>794305224</t>
  </si>
  <si>
    <t>QA8.4 L833 1999</t>
  </si>
  <si>
    <t>0                      QA 0008400L  833         1999</t>
  </si>
  <si>
    <t>The conceptual roots of mathematics / J.R. Lucas.</t>
  </si>
  <si>
    <t>Lucas, J. R. (John Randolph), 1929-</t>
  </si>
  <si>
    <t>New York : Routledge, 1999.</t>
  </si>
  <si>
    <t>800182953:eng</t>
  </si>
  <si>
    <t>222731366</t>
  </si>
  <si>
    <t>ocn222731366</t>
  </si>
  <si>
    <t>31020034405</t>
  </si>
  <si>
    <t>9780415207386</t>
  </si>
  <si>
    <t>794332639</t>
  </si>
  <si>
    <t>QA8.4 M36 1996</t>
  </si>
  <si>
    <t>0                      QA 0008400M  36          1996</t>
  </si>
  <si>
    <t>Philosophy of mathematics and mathematical practice in the seventeenth century / Paolo Mancosu.</t>
  </si>
  <si>
    <t>Mancosu, Paolo.</t>
  </si>
  <si>
    <t>New York : Oxford University Press, [1996]</t>
  </si>
  <si>
    <t>27968505:eng</t>
  </si>
  <si>
    <t>31814772</t>
  </si>
  <si>
    <t>ocm31814772</t>
  </si>
  <si>
    <t>31015473509</t>
  </si>
  <si>
    <t>9780195084634</t>
  </si>
  <si>
    <t>793368831</t>
  </si>
  <si>
    <t>QA8.4 M658 2014</t>
  </si>
  <si>
    <t>0                      QA 0008400M  658         2014</t>
  </si>
  <si>
    <t>Explaining beauty in mathematics : an aesthetic theory of mathematics / Ulianov Montano.</t>
  </si>
  <si>
    <t>Montano, Ulianov, author.</t>
  </si>
  <si>
    <t>Cham : Springer, [2014]</t>
  </si>
  <si>
    <t>Synthese library ; volume 370</t>
  </si>
  <si>
    <t>1412717866:eng</t>
  </si>
  <si>
    <t>874520550</t>
  </si>
  <si>
    <t>ocn874520550</t>
  </si>
  <si>
    <t>3103556436L</t>
  </si>
  <si>
    <t>9783319034515</t>
  </si>
  <si>
    <t>794968866</t>
  </si>
  <si>
    <t>QA8.4 M87 2010</t>
  </si>
  <si>
    <t>0                      QA 0008400M  87          2010</t>
  </si>
  <si>
    <t>Essays in the philosophy and history of logic and mathematics / Roman Murawski ; foreword [by] Jan Woleński.</t>
  </si>
  <si>
    <t>Murawski, Roman.</t>
  </si>
  <si>
    <t>Amsterdam ; New York, NY : Rodopi, 2010.</t>
  </si>
  <si>
    <t>Poznań studies in the philosophy of the sciences and the humanities, 0303-8157 ; v. 98</t>
  </si>
  <si>
    <t>2011-06-20</t>
  </si>
  <si>
    <t>684878653:eng</t>
  </si>
  <si>
    <t>671698632</t>
  </si>
  <si>
    <t>ocn671698632</t>
  </si>
  <si>
    <t>3103235630A</t>
  </si>
  <si>
    <t>9789042030909</t>
  </si>
  <si>
    <t>794848981</t>
  </si>
  <si>
    <t>QA8.4 N485 2010</t>
  </si>
  <si>
    <t>0                      QA 0008400N  485         2010</t>
  </si>
  <si>
    <t>New essays on Peirce's mathematical philosophy / edited by Matthew E. Moore.</t>
  </si>
  <si>
    <t>Chicago : Open Court, ©2010.</t>
  </si>
  <si>
    <t>2012-04-01</t>
  </si>
  <si>
    <t>364622566:eng</t>
  </si>
  <si>
    <t>489014413</t>
  </si>
  <si>
    <t>ocn489014413</t>
  </si>
  <si>
    <t>3103228035L</t>
  </si>
  <si>
    <t>9780812696813</t>
  </si>
  <si>
    <t>794799483</t>
  </si>
  <si>
    <t>QA8.4 N494 2009</t>
  </si>
  <si>
    <t>0                      QA 0008400N  494         2009</t>
  </si>
  <si>
    <t>New waves in philosophy of mathematics / edited by Otávio Bueno, Øystein Linnebo.</t>
  </si>
  <si>
    <t>Basingstoke ; New York : Palgrave Macmillan, 2009.</t>
  </si>
  <si>
    <t>New waves in philosophy</t>
  </si>
  <si>
    <t>864083893:eng</t>
  </si>
  <si>
    <t>298778355</t>
  </si>
  <si>
    <t>ocn298778355</t>
  </si>
  <si>
    <t>3102860746I</t>
  </si>
  <si>
    <t>9780230219427</t>
  </si>
  <si>
    <t>794428401</t>
  </si>
  <si>
    <t>QA8.4 P478 1996</t>
  </si>
  <si>
    <t>0                      QA 0008400P  478         1996</t>
  </si>
  <si>
    <t>The philosophy of mathematics / edited by W.D. Hart.</t>
  </si>
  <si>
    <t>3901181084:eng</t>
  </si>
  <si>
    <t>33664690</t>
  </si>
  <si>
    <t>ocm33664690</t>
  </si>
  <si>
    <t>3103039140J</t>
  </si>
  <si>
    <t>9780198751199</t>
  </si>
  <si>
    <t>793410963</t>
  </si>
  <si>
    <t>QA8.4 P48 1983</t>
  </si>
  <si>
    <t>0                      QA 0008400P  48          1983</t>
  </si>
  <si>
    <t>Philosophy of mathematics : selected readings / edited by Paul Benacerraf, Hilary Putnam.</t>
  </si>
  <si>
    <t>2018-07-25</t>
  </si>
  <si>
    <t>795207771:eng</t>
  </si>
  <si>
    <t>9154779</t>
  </si>
  <si>
    <t>ocm09154779</t>
  </si>
  <si>
    <t>3103032565V</t>
  </si>
  <si>
    <t>9780521227964</t>
  </si>
  <si>
    <t>792660111</t>
  </si>
  <si>
    <t>QA8.4 P53 2010</t>
  </si>
  <si>
    <t>0                      QA 0008400P  53          2010</t>
  </si>
  <si>
    <t>Phenomenology and mathematics / edited by Mirja Hartimo.</t>
  </si>
  <si>
    <t>Dordrecht ; London : Springer, 2010.</t>
  </si>
  <si>
    <t>Phaenomenologica, 0079-1350 ; 195</t>
  </si>
  <si>
    <t>2011-11-16</t>
  </si>
  <si>
    <t>866869956:eng</t>
  </si>
  <si>
    <t>462920514</t>
  </si>
  <si>
    <t>ocn462920514</t>
  </si>
  <si>
    <t>31032995550</t>
  </si>
  <si>
    <t>9789048137282</t>
  </si>
  <si>
    <t>794792163</t>
  </si>
  <si>
    <t>QA8.4 P58 1999</t>
  </si>
  <si>
    <t>0                      QA 0008400P  58          1999</t>
  </si>
  <si>
    <t>Mathematical intuitionism and intersubjectivity : a critical exposition of arguments for intuitionism / Tomasz Placek.</t>
  </si>
  <si>
    <t>Placek, Tomasz, 1960-</t>
  </si>
  <si>
    <t>Synthese library ; v. 279</t>
  </si>
  <si>
    <t>366377620:eng</t>
  </si>
  <si>
    <t>40762714</t>
  </si>
  <si>
    <t>ocm40762714</t>
  </si>
  <si>
    <t>3101968854A</t>
  </si>
  <si>
    <t>9780792356301</t>
  </si>
  <si>
    <t>793575223</t>
  </si>
  <si>
    <t>QA8.4 S532 2000</t>
  </si>
  <si>
    <t>0                      QA 0008400S  532         2000</t>
  </si>
  <si>
    <t>Thinking about mathematics : the philosophy of mathematics / Stewart Shapiro.</t>
  </si>
  <si>
    <t>Shapiro, Stewart, 1951-</t>
  </si>
  <si>
    <t>Oxford ; New York : Oxford University Press, 2000.</t>
  </si>
  <si>
    <t>836983784:eng</t>
  </si>
  <si>
    <t>222774332</t>
  </si>
  <si>
    <t>ocn222774332</t>
  </si>
  <si>
    <t>3102865760V</t>
  </si>
  <si>
    <t>9780192893062</t>
  </si>
  <si>
    <t>794332732</t>
  </si>
  <si>
    <t>QA8.4 S55 2017</t>
  </si>
  <si>
    <t>0                      QA 0008400S  55          2017</t>
  </si>
  <si>
    <t>Mathematics and Its applications : a transcendental-idealist perspective / Jairo José da Silva.</t>
  </si>
  <si>
    <t>Silva, Jairo José da, author.</t>
  </si>
  <si>
    <t>Synthese library ; volume 385</t>
  </si>
  <si>
    <t>4406377331:eng</t>
  </si>
  <si>
    <t>992746553</t>
  </si>
  <si>
    <t>ocn992746553</t>
  </si>
  <si>
    <t>3103759797W</t>
  </si>
  <si>
    <t>9783319630724</t>
  </si>
  <si>
    <t>795038380</t>
  </si>
  <si>
    <t>QA8.4 T33 2013</t>
  </si>
  <si>
    <t>0                      QA 0008400T  33          2013</t>
  </si>
  <si>
    <t>How humans learn to think mathematically : exploring the three worlds of mathematics / David Tall, emeritus professor in mathematical thinking, University of Warwick, visiting professor, Mathematics Education Centre, Loughborough University.</t>
  </si>
  <si>
    <t>Tall, David Orme.</t>
  </si>
  <si>
    <t>Cambridge : Cambridge University Press, 2013.</t>
  </si>
  <si>
    <t>Learning in doing : social, cognitive and computational perspectives</t>
  </si>
  <si>
    <t>1223248222:eng</t>
  </si>
  <si>
    <t>838192705</t>
  </si>
  <si>
    <t>ocn838192705</t>
  </si>
  <si>
    <t>3103502133Y</t>
  </si>
  <si>
    <t>9781107035706</t>
  </si>
  <si>
    <t>794945292</t>
  </si>
  <si>
    <t>QA8.6 D39 1986</t>
  </si>
  <si>
    <t>0                      QA 0008600D  39          1986</t>
  </si>
  <si>
    <t>Descartes' dream : the world according to mathematics / Philip J. Davis, Reuben Hersh.</t>
  </si>
  <si>
    <t>San Diego : Harcourt Brace Jovanovich, ©1986.</t>
  </si>
  <si>
    <t>7523214:eng</t>
  </si>
  <si>
    <t>13581834</t>
  </si>
  <si>
    <t>ocm13581834</t>
  </si>
  <si>
    <t>30005286667</t>
  </si>
  <si>
    <t>9780151252602</t>
  </si>
  <si>
    <t>792858807</t>
  </si>
  <si>
    <t>QA8.6 D396 2015</t>
  </si>
  <si>
    <t>0                      QA 0008600D  396         2015</t>
  </si>
  <si>
    <t>Unity and disunity and other mathematical essays / Philip J. Davis.</t>
  </si>
  <si>
    <t>2503694365:eng</t>
  </si>
  <si>
    <t>907931299</t>
  </si>
  <si>
    <t>ocn907931299</t>
  </si>
  <si>
    <t>31036077041</t>
  </si>
  <si>
    <t>9781470420239</t>
  </si>
  <si>
    <t>794993902</t>
  </si>
  <si>
    <t>QA8.6 E87 2010</t>
  </si>
  <si>
    <t>0                      QA 0008600E  87          2010</t>
  </si>
  <si>
    <t>Essays on the foundations of mathematics / by Moritz Pasch ; Stephen Pollard, editor.</t>
  </si>
  <si>
    <t>Pasch, Moritz, 1843-1930.</t>
  </si>
  <si>
    <t>Dordrecht ; New York : Springer, 2010.</t>
  </si>
  <si>
    <t>The Western Ontario series in philosophy of science ; . 83</t>
  </si>
  <si>
    <t>2013-03-31</t>
  </si>
  <si>
    <t>10076556268:eng</t>
  </si>
  <si>
    <t>646114320</t>
  </si>
  <si>
    <t>ocn646114320</t>
  </si>
  <si>
    <t>31033022690</t>
  </si>
  <si>
    <t>9789048194155</t>
  </si>
  <si>
    <t>794830203</t>
  </si>
  <si>
    <t>QA8.6 F76 1995</t>
  </si>
  <si>
    <t>0                      QA 0008600F  76          1995</t>
  </si>
  <si>
    <t>From Dedekind to Gödel : essays on the development of the foundations of mathematics / edited by Jaakko Hintikka.</t>
  </si>
  <si>
    <t>Dordrecht ; Norwell, MA, U.S.A. : Kluwer Academic Publishers, ©1995.</t>
  </si>
  <si>
    <t>Synthese library ; v. 251</t>
  </si>
  <si>
    <t>836912264:eng</t>
  </si>
  <si>
    <t>32392855</t>
  </si>
  <si>
    <t>ocm32392855</t>
  </si>
  <si>
    <t>3102786130A</t>
  </si>
  <si>
    <t>9780792334842</t>
  </si>
  <si>
    <t>793382801</t>
  </si>
  <si>
    <t>QA8.6 M385 2000</t>
  </si>
  <si>
    <t>0                      QA 0008600M  385         2000</t>
  </si>
  <si>
    <t>Mathematics and necessity : essays in the history of philosophy / edited by Timothy Smiley.</t>
  </si>
  <si>
    <t>Oxford ; New York : Published for the British Academy by Oxford University Press, ©2000.</t>
  </si>
  <si>
    <t>Proceedings of the British Academy ; 103</t>
  </si>
  <si>
    <t>836992701:eng</t>
  </si>
  <si>
    <t>43970618</t>
  </si>
  <si>
    <t>ocm43970618</t>
  </si>
  <si>
    <t>3102189340Z</t>
  </si>
  <si>
    <t>9780197262153</t>
  </si>
  <si>
    <t>793639818</t>
  </si>
  <si>
    <t>QA8.6 P45 2002</t>
  </si>
  <si>
    <t>0                      QA 0008600P  45          2002</t>
  </si>
  <si>
    <t>Philosophy of mathematics : an anthology / edited by Dale Jacquette.</t>
  </si>
  <si>
    <t>Malden, Mass. : Blackwell Publishers, 2002.</t>
  </si>
  <si>
    <t>Blackwell philosophy anthologies ; 15</t>
  </si>
  <si>
    <t>2018-09-26</t>
  </si>
  <si>
    <t>803901579:eng</t>
  </si>
  <si>
    <t>45784178</t>
  </si>
  <si>
    <t>ocm45784178</t>
  </si>
  <si>
    <t>3103534296X</t>
  </si>
  <si>
    <t>9780631218692</t>
  </si>
  <si>
    <t>793678004</t>
  </si>
  <si>
    <t>QA9 B3953 1977</t>
  </si>
  <si>
    <t>0                      QA 0009000B  3953        1977</t>
  </si>
  <si>
    <t>A course in mathematical logic / by J.L. Bell and M. Machover.</t>
  </si>
  <si>
    <t>Bell, J. L. (John Lane)</t>
  </si>
  <si>
    <t>Amsterdam : North-Holland Pub. Co. ; New York : Sole distributors for the U.S.A. and Canada American Elsevier Pub. Co., 1977.</t>
  </si>
  <si>
    <t>2019-02-27</t>
  </si>
  <si>
    <t>2635853:eng</t>
  </si>
  <si>
    <t>1818478</t>
  </si>
  <si>
    <t>ocm01818478</t>
  </si>
  <si>
    <t>3103074868V</t>
  </si>
  <si>
    <t>9780720428445</t>
  </si>
  <si>
    <t>791993767</t>
  </si>
  <si>
    <t>QA9 C4862 2017</t>
  </si>
  <si>
    <t>0                      QA 0009000C  4862        2017</t>
  </si>
  <si>
    <t>Beyond infinity : an expedition to the outer limits of the mathematical universe / Eugenia Cheng.</t>
  </si>
  <si>
    <t>Cheng, Eugenia, author.</t>
  </si>
  <si>
    <t>London : Profile Books Ltd, 2017.</t>
  </si>
  <si>
    <t>3903526956:eng</t>
  </si>
  <si>
    <t>992349249</t>
  </si>
  <si>
    <t>ocn992349249</t>
  </si>
  <si>
    <t>3103655514N</t>
  </si>
  <si>
    <t>9781781252857</t>
  </si>
  <si>
    <t>795038215</t>
  </si>
  <si>
    <t>QA9 C97</t>
  </si>
  <si>
    <t>0                      QA 0009000C  97</t>
  </si>
  <si>
    <t>Outlines of a formalist philosophy of mathematics / Haskell B. Curry.</t>
  </si>
  <si>
    <t>Amsterdam : North-Holland Pub. Co., 1951.</t>
  </si>
  <si>
    <t>2015-01-21</t>
  </si>
  <si>
    <t>226500832:eng</t>
  </si>
  <si>
    <t>523920</t>
  </si>
  <si>
    <t>ocm00523920</t>
  </si>
  <si>
    <t>3000690896I</t>
  </si>
  <si>
    <t>791403032</t>
  </si>
  <si>
    <t>QA9 E54 2001</t>
  </si>
  <si>
    <t>0                      QA 0009000E  54          2001</t>
  </si>
  <si>
    <t>A mathematical introduction to logic / Herbert B. Enderton.</t>
  </si>
  <si>
    <t>Enderton, Herbert B.</t>
  </si>
  <si>
    <t>San Diego, Calif. : Academic Press, ©2001.</t>
  </si>
  <si>
    <t>2019-09-11</t>
  </si>
  <si>
    <t>1444361:eng</t>
  </si>
  <si>
    <t>45830890</t>
  </si>
  <si>
    <t>ocm45830890</t>
  </si>
  <si>
    <t>31030410864</t>
  </si>
  <si>
    <t>9780122384523</t>
  </si>
  <si>
    <t>793679184</t>
  </si>
  <si>
    <t>QA9 F7 1893</t>
  </si>
  <si>
    <t>0                      QA 0009000F  7           1893</t>
  </si>
  <si>
    <t>Grundgesetze der Arithmetik. Begriffsschriftlich abgeleitet von G. Frege.</t>
  </si>
  <si>
    <t>Jena, H. Pohle, 1893-1903.</t>
  </si>
  <si>
    <t>1893</t>
  </si>
  <si>
    <t>2525661947:ger</t>
  </si>
  <si>
    <t>13467061</t>
  </si>
  <si>
    <t>ocm13467061</t>
  </si>
  <si>
    <t>3100909913M</t>
  </si>
  <si>
    <t>792854591</t>
  </si>
  <si>
    <t>QA9 F7514 1968</t>
  </si>
  <si>
    <t>0                      QA 0009000F  7514        1968</t>
  </si>
  <si>
    <t>The foundations of arithmetic; a logico-mathematical enquiry into the concept of number. English translation by J.L. Austin.</t>
  </si>
  <si>
    <t>Evanston, Ill., Northwestern University Press, 1968 [©1959]</t>
  </si>
  <si>
    <t>2d rev. ed.</t>
  </si>
  <si>
    <t>2685607:eng</t>
  </si>
  <si>
    <t>650</t>
  </si>
  <si>
    <t>ocm00000650</t>
  </si>
  <si>
    <t>3102800746B</t>
  </si>
  <si>
    <t>9780810106055</t>
  </si>
  <si>
    <t>791223787</t>
  </si>
  <si>
    <t>QA9 F85 E5 1953</t>
  </si>
  <si>
    <t>0                      QA 0009000F  85                 E  5           1953</t>
  </si>
  <si>
    <t>The foundations of arithmetic; a logicomathematical enquiry into the concept of number. Translated by J.L. Austin.</t>
  </si>
  <si>
    <t>Oxford : [publisher not identified], 1953.</t>
  </si>
  <si>
    <t>2018-12-03</t>
  </si>
  <si>
    <t>4917939826:eng</t>
  </si>
  <si>
    <t>427556661</t>
  </si>
  <si>
    <t>ocn427556661</t>
  </si>
  <si>
    <t>3000655520P</t>
  </si>
  <si>
    <t>794684691</t>
  </si>
  <si>
    <t>QA9 G5313 1986</t>
  </si>
  <si>
    <t>0                      QA 0009000G  5313        1986</t>
  </si>
  <si>
    <t>Collected works / Kurt Gödel ; edited by Solomon Feferman [and others].</t>
  </si>
  <si>
    <t>Gödel, Kurt, author.</t>
  </si>
  <si>
    <t>Oxford Clarendon Press ; New York : Oxford University Press, 1986-2003.</t>
  </si>
  <si>
    <t>8906972716:eng</t>
  </si>
  <si>
    <t>12371326</t>
  </si>
  <si>
    <t>ocm12371326</t>
  </si>
  <si>
    <t>3102832896C</t>
  </si>
  <si>
    <t>9780195039641</t>
  </si>
  <si>
    <t>792812576</t>
  </si>
  <si>
    <t>2010-01-20</t>
  </si>
  <si>
    <t>3102619417Y</t>
  </si>
  <si>
    <t>792812573</t>
  </si>
  <si>
    <t>31021568168</t>
  </si>
  <si>
    <t>792812577</t>
  </si>
  <si>
    <t>3102087544$</t>
  </si>
  <si>
    <t>792812575</t>
  </si>
  <si>
    <t>3102619450Q</t>
  </si>
  <si>
    <t>792812574</t>
  </si>
  <si>
    <t>QA9 H46</t>
  </si>
  <si>
    <t>0                      QA 0009000H  46</t>
  </si>
  <si>
    <t>Intuitionism; an introduction.</t>
  </si>
  <si>
    <t>Heyting, A. (Arend), 1898-</t>
  </si>
  <si>
    <t>Amsterdam, North-Holland Pub. Co., 1956.</t>
  </si>
  <si>
    <t>2017-11-14</t>
  </si>
  <si>
    <t>1392465:eng</t>
  </si>
  <si>
    <t>3097797</t>
  </si>
  <si>
    <t>ocm03097797</t>
  </si>
  <si>
    <t>3103292642R</t>
  </si>
  <si>
    <t>792217090</t>
  </si>
  <si>
    <t>QA9 H5</t>
  </si>
  <si>
    <t>0                      QA 0009000H  5</t>
  </si>
  <si>
    <t>Grundlagen der mathematik, von D. Hilbert und P. Bernays ...</t>
  </si>
  <si>
    <t>Bd. 1</t>
  </si>
  <si>
    <t>Hilbert, David, 1862-1943.</t>
  </si>
  <si>
    <t>Berlin, J. Springer, 1934-39.</t>
  </si>
  <si>
    <t>Die grundlehren der mathematischen wissenschaften in einzeldarstellungen ... hrsg. von R. Courant. Bd. XL, L</t>
  </si>
  <si>
    <t>1311224:ger</t>
  </si>
  <si>
    <t>6005244</t>
  </si>
  <si>
    <t>ocm06005244</t>
  </si>
  <si>
    <t>3000690927X</t>
  </si>
  <si>
    <t>792469265</t>
  </si>
  <si>
    <t>Bd. 2</t>
  </si>
  <si>
    <t>31004336315</t>
  </si>
  <si>
    <t>792469264</t>
  </si>
  <si>
    <t>QA9 H813 2003</t>
  </si>
  <si>
    <t>0                      QA 0009000H  813         2003</t>
  </si>
  <si>
    <t>Philosophy of arithmetic : psychological and logical investigations : with supplementary texts from 1887-1901 / Edmund Husserl ; translated by Dallas Willard.</t>
  </si>
  <si>
    <t>Husserl, Edmund, 1859-1938.</t>
  </si>
  <si>
    <t>Edmund Husserl collected works ; v. 10</t>
  </si>
  <si>
    <t>2840275668:eng</t>
  </si>
  <si>
    <t>52858552</t>
  </si>
  <si>
    <t>ocm52858552</t>
  </si>
  <si>
    <t>3102379069O</t>
  </si>
  <si>
    <t>9781402015465</t>
  </si>
  <si>
    <t>793815980</t>
  </si>
  <si>
    <t>QA9 I5 1959</t>
  </si>
  <si>
    <t>0                      QA 0009000I  5           1959</t>
  </si>
  <si>
    <t>Constructivity in mathematics : proceedings / edited by A. Heyting.</t>
  </si>
  <si>
    <t>International Colloquium "Constructivity in Mathematics" (1957 : Amsterdam, Netherlands)</t>
  </si>
  <si>
    <t>Amsterdam : North-Holland Publishing Company, 1959.</t>
  </si>
  <si>
    <t>907176748:eng</t>
  </si>
  <si>
    <t>2191579</t>
  </si>
  <si>
    <t>ocm02191579</t>
  </si>
  <si>
    <t>3103592333P</t>
  </si>
  <si>
    <t>792064765</t>
  </si>
  <si>
    <t>QA9 I53 1965</t>
  </si>
  <si>
    <t>0                      QA 0009000I  53          1965</t>
  </si>
  <si>
    <t>Problems in the philosophy of mathematics. Edited by Imre Lakatos.</t>
  </si>
  <si>
    <t>Amsterdam, North-Holland Pub. Co., 1967.</t>
  </si>
  <si>
    <t>Its Proceedings, v. 1</t>
  </si>
  <si>
    <t>1532586:eng</t>
  </si>
  <si>
    <t>526300</t>
  </si>
  <si>
    <t>ocm00526300</t>
  </si>
  <si>
    <t>3000991370U</t>
  </si>
  <si>
    <t>791403787</t>
  </si>
  <si>
    <t>QA9 K58</t>
  </si>
  <si>
    <t>0                      QA 0009000K  58</t>
  </si>
  <si>
    <t>Introduction to metamathematics.</t>
  </si>
  <si>
    <t>Kleene, Stephen Cole, 1909-1994.</t>
  </si>
  <si>
    <t>New York, Van Nostrand, 1952.</t>
  </si>
  <si>
    <t>The University series in higher mathematics</t>
  </si>
  <si>
    <t>135806264:eng</t>
  </si>
  <si>
    <t>523942</t>
  </si>
  <si>
    <t>ocm00523942</t>
  </si>
  <si>
    <t>3102667270B</t>
  </si>
  <si>
    <t>791403040</t>
  </si>
  <si>
    <t>2016-07-05</t>
  </si>
  <si>
    <t>3103592576$</t>
  </si>
  <si>
    <t>791403041</t>
  </si>
  <si>
    <t>QA9 L5</t>
  </si>
  <si>
    <t>0                      QA 0009000L  5</t>
  </si>
  <si>
    <t>Infinity; with drawings by Hugh Gray Lieber.</t>
  </si>
  <si>
    <t>Lieber, Lillian R. (Lillian Rosanoff), 1886-1986.</t>
  </si>
  <si>
    <t>New York, Rinehart [1953]</t>
  </si>
  <si>
    <t>136958771:eng</t>
  </si>
  <si>
    <t>964418</t>
  </si>
  <si>
    <t>ocm00964418</t>
  </si>
  <si>
    <t>30007394513</t>
  </si>
  <si>
    <t>791513250</t>
  </si>
  <si>
    <t>QA9 L65</t>
  </si>
  <si>
    <t>0                      QA 0009000L  65</t>
  </si>
  <si>
    <t>Logik und Logikkalkül / hrsg. von Max Käsbauer und Franz von Kutschera.</t>
  </si>
  <si>
    <t>München : K. Alber, 1962.</t>
  </si>
  <si>
    <t>2015-04-29</t>
  </si>
  <si>
    <t>422878630:ger</t>
  </si>
  <si>
    <t>2951194</t>
  </si>
  <si>
    <t>ocm02951194</t>
  </si>
  <si>
    <t>30006647450</t>
  </si>
  <si>
    <t>792197859</t>
  </si>
  <si>
    <t>QA9 P57</t>
  </si>
  <si>
    <t>0                      QA 0009000P  57</t>
  </si>
  <si>
    <t>Mathematics and plausible reasoning.</t>
  </si>
  <si>
    <t>Pólya, George, 1887-1985.</t>
  </si>
  <si>
    <t>Princeton, N.J., Princeton University Press, 1954.</t>
  </si>
  <si>
    <t>2019-01-05</t>
  </si>
  <si>
    <t>442304:eng</t>
  </si>
  <si>
    <t>523684</t>
  </si>
  <si>
    <t>ocm00523684</t>
  </si>
  <si>
    <t>30009703394</t>
  </si>
  <si>
    <t>791402922</t>
  </si>
  <si>
    <t>31006616904</t>
  </si>
  <si>
    <t>791402921</t>
  </si>
  <si>
    <t>QA9 R23</t>
  </si>
  <si>
    <t>0                      QA 0009000R  23</t>
  </si>
  <si>
    <t>The foundations of mathematics and other logical essays, by Frank Plumpton Ramsey ... Edited by R.B. Braithwaite ... with a preface by G.E. Moore ...</t>
  </si>
  <si>
    <t>Ramsey, Frank Plumpton, 1903-1930.</t>
  </si>
  <si>
    <t>London, K. Paul, Trench, Trubner &amp; Co.; New York, Harcourt, Brace and Co., 1931.</t>
  </si>
  <si>
    <t>International library of psychology, philosophy and scientific method</t>
  </si>
  <si>
    <t>1533071:eng</t>
  </si>
  <si>
    <t>526504</t>
  </si>
  <si>
    <t>ocm00526504</t>
  </si>
  <si>
    <t>3100220366X</t>
  </si>
  <si>
    <t>791403862</t>
  </si>
  <si>
    <t>31027960672</t>
  </si>
  <si>
    <t>791403863</t>
  </si>
  <si>
    <t>QA9 R25</t>
  </si>
  <si>
    <t>0                      QA 0009000R  25</t>
  </si>
  <si>
    <t>The mathematics of metamathematics.</t>
  </si>
  <si>
    <t>Rasiowa, Helena.</t>
  </si>
  <si>
    <t>Warszawa, Państwowe Wydawn. Naukowe, 1963.</t>
  </si>
  <si>
    <t>Polska Akademia Nauk. Monografie matematyczne, t. 41</t>
  </si>
  <si>
    <t>1425198:eng</t>
  </si>
  <si>
    <t>403920</t>
  </si>
  <si>
    <t>ocm00403920</t>
  </si>
  <si>
    <t>3101123940B</t>
  </si>
  <si>
    <t>791367473</t>
  </si>
  <si>
    <t>QA9 R727 1991</t>
  </si>
  <si>
    <t>0                      QA 0009000R  727         1991</t>
  </si>
  <si>
    <t>The mathematical philosophy of Bertrand Russell : origins and development / Francisco A. Rodríguez-Consuegra.</t>
  </si>
  <si>
    <t>Rodríguez-Consuegra, Francisco A., 1951-</t>
  </si>
  <si>
    <t>Boston : Birkhäuser Verlag, 1991.</t>
  </si>
  <si>
    <t>2017-04-17</t>
  </si>
  <si>
    <t>890406011:eng</t>
  </si>
  <si>
    <t>24284475</t>
  </si>
  <si>
    <t>ocm24284475</t>
  </si>
  <si>
    <t>3101240572A</t>
  </si>
  <si>
    <t>9780817626563</t>
  </si>
  <si>
    <t>793194456</t>
  </si>
  <si>
    <t>QA9 R88 1937</t>
  </si>
  <si>
    <t>0                      QA 0009000R  88          1937</t>
  </si>
  <si>
    <t>Principles of mathematics [by] Bertrand Russell.</t>
  </si>
  <si>
    <t>London, G. Allen &amp; Unwin [1937]</t>
  </si>
  <si>
    <t>2019-01-24</t>
  </si>
  <si>
    <t>2038685:eng</t>
  </si>
  <si>
    <t>13840276</t>
  </si>
  <si>
    <t>ocm13840276</t>
  </si>
  <si>
    <t>31027961315</t>
  </si>
  <si>
    <t>9780045100217</t>
  </si>
  <si>
    <t>792868942</t>
  </si>
  <si>
    <t>QA9 S5</t>
  </si>
  <si>
    <t>0                      QA 0009000S  5</t>
  </si>
  <si>
    <t>Lectures on the philosophy of mathematics / by James Byrnie Shaw.</t>
  </si>
  <si>
    <t>Shaw, James Byrnie, 1866-1948.</t>
  </si>
  <si>
    <t>Chicago ; London : Open court Pub. Co., 1918.</t>
  </si>
  <si>
    <t>2017-11-15</t>
  </si>
  <si>
    <t>3412258:eng</t>
  </si>
  <si>
    <t>2050259</t>
  </si>
  <si>
    <t>ocm02050259</t>
  </si>
  <si>
    <t>3000694527T</t>
  </si>
  <si>
    <t>792034996</t>
  </si>
  <si>
    <t>QA9 S55</t>
  </si>
  <si>
    <t>0                      QA 0009000S  55</t>
  </si>
  <si>
    <t>Man and number.</t>
  </si>
  <si>
    <t>Smeltzer, Donald.</t>
  </si>
  <si>
    <t>London, A. and C. Black [1953]</t>
  </si>
  <si>
    <t>705421:eng</t>
  </si>
  <si>
    <t>5868880</t>
  </si>
  <si>
    <t>ocm05868880</t>
  </si>
  <si>
    <t>3001005439Z</t>
  </si>
  <si>
    <t>792459809</t>
  </si>
  <si>
    <t>QA9 S583 1961b</t>
  </si>
  <si>
    <t>0                      QA 0009000S  583         1961b</t>
  </si>
  <si>
    <t>The method of mathematical induction. Translated from the Russian by Halina Moss. Translation editor, Ian N. Sneddon.</t>
  </si>
  <si>
    <t>Sominskiĭ, I. S. (Ilʹi︠a︡ Samuilovich)</t>
  </si>
  <si>
    <t>Oxford, New York, Pergamon Press, 1961.</t>
  </si>
  <si>
    <t>Popular Lectures In Mathematics Series. 1</t>
  </si>
  <si>
    <t>157601:eng</t>
  </si>
  <si>
    <t>6888308</t>
  </si>
  <si>
    <t>ocm06888308</t>
  </si>
  <si>
    <t>3000694536S</t>
  </si>
  <si>
    <t>792528753</t>
  </si>
  <si>
    <t>QA9 S745 2009</t>
  </si>
  <si>
    <t>0                      QA 0009000S  745         2009</t>
  </si>
  <si>
    <t>More precisely : the math you need to do philosophy / Eric Steinhart.</t>
  </si>
  <si>
    <t>Steinhart, Eric.</t>
  </si>
  <si>
    <t>Peterborough, Ont. ; Buffalo, N.Y. : Broadview Press, ©2009.</t>
  </si>
  <si>
    <t>Broadview guides to philosophy</t>
  </si>
  <si>
    <t>2016-04-06</t>
  </si>
  <si>
    <t>1044730382:eng</t>
  </si>
  <si>
    <t>294885870</t>
  </si>
  <si>
    <t>ocn294885870</t>
  </si>
  <si>
    <t>31036534027</t>
  </si>
  <si>
    <t>9781551119090</t>
  </si>
  <si>
    <t>794425103</t>
  </si>
  <si>
    <t>QA9 T33 2010</t>
  </si>
  <si>
    <t>0                      QA 0009000T  33          2010</t>
  </si>
  <si>
    <t>Undecidable theories / Alfred Tarski ; in collaboration with Andrzej Mostowski and Raphael M. Robinson.</t>
  </si>
  <si>
    <t>Tarski, Alfred.</t>
  </si>
  <si>
    <t>Mineola, N.Y. : Dover Publications, 2010.</t>
  </si>
  <si>
    <t>Dover ed.</t>
  </si>
  <si>
    <t>Dover books on mathematics</t>
  </si>
  <si>
    <t>1356621:eng</t>
  </si>
  <si>
    <t>468972309</t>
  </si>
  <si>
    <t>ocn468972309</t>
  </si>
  <si>
    <t>3103320640R</t>
  </si>
  <si>
    <t>9780486477039</t>
  </si>
  <si>
    <t>794795550</t>
  </si>
  <si>
    <t>QA9 T87 2014</t>
  </si>
  <si>
    <t>0                      QA 0009000T  87          2014</t>
  </si>
  <si>
    <t>Alan Turing's systems of logic : the Princeton thesis / edited and introduced by Andrew W. Appel.</t>
  </si>
  <si>
    <t>Turing, Alan, 1912-1954.</t>
  </si>
  <si>
    <t>Princeton : Princeton University Press, 2014, ©2012.</t>
  </si>
  <si>
    <t>1123823304:eng</t>
  </si>
  <si>
    <t>881139564</t>
  </si>
  <si>
    <t>ocn881139564</t>
  </si>
  <si>
    <t>31036706111</t>
  </si>
  <si>
    <t>9780691164731</t>
  </si>
  <si>
    <t>794973823</t>
  </si>
  <si>
    <t>QA9 V3 1967</t>
  </si>
  <si>
    <t>0                      QA 0009000V  3           1967</t>
  </si>
  <si>
    <t>From Frege to Gödel; a source book in mathematical logic, 1879-1931 / Jean van Heijenoort.</t>
  </si>
  <si>
    <t>Van Heijenoort, Jean, 1912-1986, compiler.</t>
  </si>
  <si>
    <t>Cambridge, Harvard University Press, 1967.</t>
  </si>
  <si>
    <t>2019-07-09</t>
  </si>
  <si>
    <t>198197082:eng</t>
  </si>
  <si>
    <t>523838</t>
  </si>
  <si>
    <t>ocm00523838</t>
  </si>
  <si>
    <t>3103030007T</t>
  </si>
  <si>
    <t>9780674324503</t>
  </si>
  <si>
    <t>791402999</t>
  </si>
  <si>
    <t>QA9 W335 2003</t>
  </si>
  <si>
    <t>0                      QA 0009000W  335         2003</t>
  </si>
  <si>
    <t>Everything and more : a compact history of [infinity] / David Foster Wallace.</t>
  </si>
  <si>
    <t>Wallace, David Foster.</t>
  </si>
  <si>
    <t>New York ; London : W.W. Norton, ©2003.</t>
  </si>
  <si>
    <t>Great discoveries</t>
  </si>
  <si>
    <t>2019-07-04</t>
  </si>
  <si>
    <t>864659130:eng</t>
  </si>
  <si>
    <t>123124306</t>
  </si>
  <si>
    <t>ocn123124306</t>
  </si>
  <si>
    <t>31023168793</t>
  </si>
  <si>
    <t>9780393003383</t>
  </si>
  <si>
    <t>794223189</t>
  </si>
  <si>
    <t>QA9 W5 1910</t>
  </si>
  <si>
    <t>0                      QA 0009000W  5           1910</t>
  </si>
  <si>
    <t>Principia mathematica, by Alfred North Whitehead and Bertrand Russell.</t>
  </si>
  <si>
    <t>Cambridge, University Press, 1910-</t>
  </si>
  <si>
    <t>2016-02-09</t>
  </si>
  <si>
    <t>2018-12-20</t>
  </si>
  <si>
    <t>502957:eng</t>
  </si>
  <si>
    <t>10451882</t>
  </si>
  <si>
    <t>ocm10451882</t>
  </si>
  <si>
    <t>31025507532</t>
  </si>
  <si>
    <t>792726951</t>
  </si>
  <si>
    <t>31025507484</t>
  </si>
  <si>
    <t>792726950</t>
  </si>
  <si>
    <t>31025507434</t>
  </si>
  <si>
    <t>792726949</t>
  </si>
  <si>
    <t>QA9 W58 1965</t>
  </si>
  <si>
    <t>0                      QA 0009000W  58          1965</t>
  </si>
  <si>
    <t>Introduction to the foundations of mathematics [by] Raymond L. Wilder.</t>
  </si>
  <si>
    <t>Wilder, Raymond Louis, 1896-1982.</t>
  </si>
  <si>
    <t>New York, J. Wiley [1965]</t>
  </si>
  <si>
    <t>2012-06-03</t>
  </si>
  <si>
    <t>2018-01-24</t>
  </si>
  <si>
    <t>554712:eng</t>
  </si>
  <si>
    <t>523388</t>
  </si>
  <si>
    <t>ocm00523388</t>
  </si>
  <si>
    <t>3000499759Y</t>
  </si>
  <si>
    <t>9780471944157</t>
  </si>
  <si>
    <t>791402788</t>
  </si>
  <si>
    <t>QA9 Y4 2011</t>
  </si>
  <si>
    <t>0                      QA 0009000Y  4           2011</t>
  </si>
  <si>
    <t>Strict finitism and the logic of mathematical applications / by Feng Ye.</t>
  </si>
  <si>
    <t>Ye, Feng, 1963-</t>
  </si>
  <si>
    <t>Dordrecht ; New York : Springer Science, ©2011.</t>
  </si>
  <si>
    <t>Synthese library ; v. 355</t>
  </si>
  <si>
    <t>10178140386:eng</t>
  </si>
  <si>
    <t>728580667</t>
  </si>
  <si>
    <t>ocn728580667</t>
  </si>
  <si>
    <t>3103379005T</t>
  </si>
  <si>
    <t>9789400713468</t>
  </si>
  <si>
    <t>794878915</t>
  </si>
  <si>
    <t>QA9.2 B67 2000</t>
  </si>
  <si>
    <t>0                      QA 0009200B  67          2000</t>
  </si>
  <si>
    <t>A Boole anthology : recent and classical studies in the logic of George Boole / edited by James Gasser.</t>
  </si>
  <si>
    <t>Synthese library ; v. 291</t>
  </si>
  <si>
    <t>837005549:eng</t>
  </si>
  <si>
    <t>44084026</t>
  </si>
  <si>
    <t>ocm44084026</t>
  </si>
  <si>
    <t>3102058589R</t>
  </si>
  <si>
    <t>9780792363804</t>
  </si>
  <si>
    <t>793642042</t>
  </si>
  <si>
    <t>QA9.2 L64 2007</t>
  </si>
  <si>
    <t>0                      QA 0009200L  64          2007</t>
  </si>
  <si>
    <t>Logica universalis : towards a general theory of logic / Jean-Yves Beziau, editor.</t>
  </si>
  <si>
    <t>Basel ; Boston : Birkhäuer, ©2007.</t>
  </si>
  <si>
    <t>905996965:eng</t>
  </si>
  <si>
    <t>123893494</t>
  </si>
  <si>
    <t>ocn123893494</t>
  </si>
  <si>
    <t>3102851473M</t>
  </si>
  <si>
    <t>9783764383534</t>
  </si>
  <si>
    <t>794228465</t>
  </si>
  <si>
    <t>QA9.4 P75 2001</t>
  </si>
  <si>
    <t>0                      QA 0009400P  75          2001</t>
  </si>
  <si>
    <t>An introduction to non-classical logic / Graham Priest.</t>
  </si>
  <si>
    <t>Priest, Graham.</t>
  </si>
  <si>
    <t>Cambridge ; New York : Cambridge University Press, 2001.</t>
  </si>
  <si>
    <t>2017-11-02</t>
  </si>
  <si>
    <t>44079461:eng</t>
  </si>
  <si>
    <t>43661975</t>
  </si>
  <si>
    <t>ocm43661975</t>
  </si>
  <si>
    <t>31027387457</t>
  </si>
  <si>
    <t>9780521790987</t>
  </si>
  <si>
    <t>793632063</t>
  </si>
  <si>
    <t>QA9.46 C47 1997</t>
  </si>
  <si>
    <t>0                      QA 0009460C  47          1997</t>
  </si>
  <si>
    <t>Modal logic / Alexander Chagrov and Michael Zakharyaschev.</t>
  </si>
  <si>
    <t>Chagrov, Alexander.</t>
  </si>
  <si>
    <t>Oxford : Clarendon Press ; New York : Oxford University Press, 1997.</t>
  </si>
  <si>
    <t>Oxford logic guides ; 35</t>
  </si>
  <si>
    <t>2019-02-05</t>
  </si>
  <si>
    <t>599420:eng</t>
  </si>
  <si>
    <t>37239736</t>
  </si>
  <si>
    <t>ocm37239736</t>
  </si>
  <si>
    <t>3101966773K</t>
  </si>
  <si>
    <t>9780198537793</t>
  </si>
  <si>
    <t>793494003</t>
  </si>
  <si>
    <t>QA9.54 B4713 2009</t>
  </si>
  <si>
    <t>0                      QA 0009540B  4713        2009</t>
  </si>
  <si>
    <t>There's something about Gödel : the complete guide to the incompleteness theorem / Francesco Berto.</t>
  </si>
  <si>
    <t>Berto, Francesco.</t>
  </si>
  <si>
    <t>Malden, MA : Wiley-Blackwell, 2009.</t>
  </si>
  <si>
    <t>136788993:eng</t>
  </si>
  <si>
    <t>361965956</t>
  </si>
  <si>
    <t>ocn361965956</t>
  </si>
  <si>
    <t>31033213171</t>
  </si>
  <si>
    <t>9781405197663</t>
  </si>
  <si>
    <t>794492405</t>
  </si>
  <si>
    <t>QA9.54 B55 2015</t>
  </si>
  <si>
    <t>0                      QA 0009540B  55          2015</t>
  </si>
  <si>
    <t>Proof theory : sequent calculi and related formalisms / Katalin Bimbó, University of Alberta, Edmonton, Canada.</t>
  </si>
  <si>
    <t>Bimbó, Katalin, 1963- author.</t>
  </si>
  <si>
    <t>Boca Raton : CRC Press, Taylor &amp; Francis Group, [2015]</t>
  </si>
  <si>
    <t>Discrete mathematics and its applications</t>
  </si>
  <si>
    <t>1107205163:eng</t>
  </si>
  <si>
    <t>793224670</t>
  </si>
  <si>
    <t>ocn793224670</t>
  </si>
  <si>
    <t>31034226609</t>
  </si>
  <si>
    <t>9781466564664</t>
  </si>
  <si>
    <t>794917927</t>
  </si>
  <si>
    <t>QA9.54 P77 1992</t>
  </si>
  <si>
    <t>0                      QA 0009540P  77          1992</t>
  </si>
  <si>
    <t>Proof, logic, and formalization / edited by Michael Detlefsen.</t>
  </si>
  <si>
    <t>London ; New York : Routledge, 1992.</t>
  </si>
  <si>
    <t>2017-10-02</t>
  </si>
  <si>
    <t>28219:eng</t>
  </si>
  <si>
    <t>23732776</t>
  </si>
  <si>
    <t>ocm23732776</t>
  </si>
  <si>
    <t>3101426269G</t>
  </si>
  <si>
    <t>9780415023351</t>
  </si>
  <si>
    <t>793181329</t>
  </si>
  <si>
    <t>QA9.58 D37 2008</t>
  </si>
  <si>
    <t>0                      QA 0009580D  37          2008</t>
  </si>
  <si>
    <t>Algorithms / Sanjoy Dasgupta, Christos Papadimitriou, Umesh Vazirani.</t>
  </si>
  <si>
    <t>Dasgupta, Sanjoy.</t>
  </si>
  <si>
    <t>Boston : McGraw-Hill Higher Education, ©2008.</t>
  </si>
  <si>
    <t>57478643:eng</t>
  </si>
  <si>
    <t>70267221</t>
  </si>
  <si>
    <t>ocm70267221</t>
  </si>
  <si>
    <t>3103106354W</t>
  </si>
  <si>
    <t>9780073523408</t>
  </si>
  <si>
    <t>794152186</t>
  </si>
  <si>
    <t>QA9.58 T43 1998</t>
  </si>
  <si>
    <t>0                      QA 0009580T  43          1998</t>
  </si>
  <si>
    <t>The teaching and learning of algorithms in school mathematics / Lorna J. Morrow, 1998 yearbook editor, Margaret J. Kenney, general yearbook editor.</t>
  </si>
  <si>
    <t>Reston, VA : National Council of Teachers of Mathematics, ©1998.</t>
  </si>
  <si>
    <t>Yearbook / National Council of Teachers of Mathematics ; 1998</t>
  </si>
  <si>
    <t>501845074:eng</t>
  </si>
  <si>
    <t>38496507</t>
  </si>
  <si>
    <t>ocm38496507</t>
  </si>
  <si>
    <t>3101974039F</t>
  </si>
  <si>
    <t>9780873534406</t>
  </si>
  <si>
    <t>793525274</t>
  </si>
  <si>
    <t>QA9.59 B66 1980</t>
  </si>
  <si>
    <t>0                      QA 0009590B  66          1980</t>
  </si>
  <si>
    <t>Computability and logic / George Boolos, Richard Jeffrey.</t>
  </si>
  <si>
    <t>Boolos, George.</t>
  </si>
  <si>
    <t>[Open University set book]</t>
  </si>
  <si>
    <t>2019-07-24</t>
  </si>
  <si>
    <t>1910353:eng</t>
  </si>
  <si>
    <t>6487830</t>
  </si>
  <si>
    <t>ocm06487830</t>
  </si>
  <si>
    <t>31027825618</t>
  </si>
  <si>
    <t>9780521299671</t>
  </si>
  <si>
    <t>792502880</t>
  </si>
  <si>
    <t>QA9.6 S67 1994</t>
  </si>
  <si>
    <t>0                      QA 0009600S  67          1994</t>
  </si>
  <si>
    <t>Diagonalization and self-reference / Raymond M. Smullyan.</t>
  </si>
  <si>
    <t>Smullyan, Raymond M.</t>
  </si>
  <si>
    <t>Oxford ; New York : Clarendon Press, 1994.</t>
  </si>
  <si>
    <t>Oxford logic guides ; 27</t>
  </si>
  <si>
    <t>892262:eng</t>
  </si>
  <si>
    <t>30666843</t>
  </si>
  <si>
    <t>ocm30666843</t>
  </si>
  <si>
    <t>3102095417A</t>
  </si>
  <si>
    <t>9780198534501</t>
  </si>
  <si>
    <t>793341557</t>
  </si>
  <si>
    <t>QA9.7 B34 2007</t>
  </si>
  <si>
    <t>0                      QA 0009700B  34          2007</t>
  </si>
  <si>
    <t>Le concept de modèle : introduction à une épistémologie matérialiste des mathématiques / Alain Badiou.</t>
  </si>
  <si>
    <t>[Paris] : Fayard, ©2007.</t>
  </si>
  <si>
    <t>Nouv. éd. augm. d'une préface inédite.</t>
  </si>
  <si>
    <t>Ouvertures</t>
  </si>
  <si>
    <t>5090621356:fre</t>
  </si>
  <si>
    <t>173842684</t>
  </si>
  <si>
    <t>ocn173842684</t>
  </si>
  <si>
    <t>3102870136X</t>
  </si>
  <si>
    <t>9782213634814</t>
  </si>
  <si>
    <t>794270726</t>
  </si>
  <si>
    <t>2008-02-26</t>
  </si>
  <si>
    <t>3102870141V</t>
  </si>
  <si>
    <t>794270725</t>
  </si>
  <si>
    <t>QA9.7 B3413 2007</t>
  </si>
  <si>
    <t>0                      QA 0009700B  3413        2007</t>
  </si>
  <si>
    <t>The concept of model : an introduction to the materialist epistemology of mathematics / Alain Badiou ; edited and translated by Zachary Luke Fraser and Tzuchien Tho.</t>
  </si>
  <si>
    <t>Melbourne : Re.press, ©2007.</t>
  </si>
  <si>
    <t>Transmission</t>
  </si>
  <si>
    <t>4160279232:eng</t>
  </si>
  <si>
    <t>213495757</t>
  </si>
  <si>
    <t>ocn213495757</t>
  </si>
  <si>
    <t>31031570718</t>
  </si>
  <si>
    <t>9780980305234</t>
  </si>
  <si>
    <t>794308796</t>
  </si>
  <si>
    <t>QA9.7 H65 1997</t>
  </si>
  <si>
    <t>0                      QA 0009700H  65          1997</t>
  </si>
  <si>
    <t>A shorter model theory / Wilfrid Hodges.</t>
  </si>
  <si>
    <t>Hodges, Wilfrid.</t>
  </si>
  <si>
    <t>Cambridge ; New York : Cambridge University Press, 1997.</t>
  </si>
  <si>
    <t>2019-07-11</t>
  </si>
  <si>
    <t>40710872:eng</t>
  </si>
  <si>
    <t>35627518</t>
  </si>
  <si>
    <t>ocm35627518</t>
  </si>
  <si>
    <t>3102430187U</t>
  </si>
  <si>
    <t>9780521587136</t>
  </si>
  <si>
    <t>793453565</t>
  </si>
  <si>
    <t>QA9.7 L66 2015</t>
  </si>
  <si>
    <t>0                      QA 0009700L  66          2015</t>
  </si>
  <si>
    <t>Logic without borders : essays on set theory, model theory, philosophical logic, and philosophy of mathematics / edited by Åsa Hirvonen, Juha Kontinen, Roman Kossak, and Andrés Villaveces.</t>
  </si>
  <si>
    <t>Boston : De Gruyter, [2015]</t>
  </si>
  <si>
    <t>Ontos mathematical logic ; vol. 5</t>
  </si>
  <si>
    <t>9381252939:eng</t>
  </si>
  <si>
    <t>895500619</t>
  </si>
  <si>
    <t>ocn895500619</t>
  </si>
  <si>
    <t>3103657415F</t>
  </si>
  <si>
    <t>9781614517726</t>
  </si>
  <si>
    <t>794983576</t>
  </si>
  <si>
    <t>QA10 T37</t>
  </si>
  <si>
    <t>0                      QA 0010000T  37</t>
  </si>
  <si>
    <t>Ordinal algebras; with appendices by Chen-Chung Chang and Bjarni Jónsson.</t>
  </si>
  <si>
    <t>2015-05-22</t>
  </si>
  <si>
    <t>1524735:eng</t>
  </si>
  <si>
    <t>523810</t>
  </si>
  <si>
    <t>ocm00523810</t>
  </si>
  <si>
    <t>30006998889</t>
  </si>
  <si>
    <t>9780720422276</t>
  </si>
  <si>
    <t>791402976</t>
  </si>
  <si>
    <t>QA10.5 S36 2011</t>
  </si>
  <si>
    <t>0                      QA 0010500S  36          2011</t>
  </si>
  <si>
    <t>Teacher education matters : a study of middle school mathematics teacher preparation in six countries / William H. Schmidt, Sigrid Blömeke, Maria Teresa Tatto ; with Feng-Jui Hsieh [and others].</t>
  </si>
  <si>
    <t>Schmidt, William H.</t>
  </si>
  <si>
    <t>New York : Teachers College Press, Columbia University, ©2011.</t>
  </si>
  <si>
    <t>678741570:eng</t>
  </si>
  <si>
    <t>668188608</t>
  </si>
  <si>
    <t>ocn668188608</t>
  </si>
  <si>
    <t>3103324103Y</t>
  </si>
  <si>
    <t>9780807751626</t>
  </si>
  <si>
    <t>794845955</t>
  </si>
  <si>
    <t>QA10.5 Z39 2011</t>
  </si>
  <si>
    <t>0                      QA 0010500Z  39          2011</t>
  </si>
  <si>
    <t>Relearning mathematics : a challenge for prospective elementary school teachers / Rina Zazkis.</t>
  </si>
  <si>
    <t>Zazkis, Rina.</t>
  </si>
  <si>
    <t>Charlotte, NC : Information Age Pub., ©2011.</t>
  </si>
  <si>
    <t>919142592:eng</t>
  </si>
  <si>
    <t>734002246</t>
  </si>
  <si>
    <t>ocn734002246</t>
  </si>
  <si>
    <t>3103406890S</t>
  </si>
  <si>
    <t>9781617354885</t>
  </si>
  <si>
    <t>794882339</t>
  </si>
  <si>
    <t>QA10.7 R47 1992</t>
  </si>
  <si>
    <t>0                      QA 0010700R  47          1992</t>
  </si>
  <si>
    <t>Mathematics in society and history : sociological inquiries / Sal Restivo.</t>
  </si>
  <si>
    <t>Episteme ; v. 20</t>
  </si>
  <si>
    <t>836895233:eng</t>
  </si>
  <si>
    <t>25709270</t>
  </si>
  <si>
    <t>ocm25709270</t>
  </si>
  <si>
    <t>3101209742R</t>
  </si>
  <si>
    <t>9780792317654</t>
  </si>
  <si>
    <t>793228200</t>
  </si>
  <si>
    <t>QA10.7 R48 2006</t>
  </si>
  <si>
    <t>0                      QA 0010700R  48          2006</t>
  </si>
  <si>
    <t>Rethinking mathematics : teaching social justice by the numbers / edited by Eric Gutstein and Bob Peterson.</t>
  </si>
  <si>
    <t>Milwaukee, WI : Rethinking Schools, ©2006.</t>
  </si>
  <si>
    <t>2018-01-15</t>
  </si>
  <si>
    <t>937352520:eng</t>
  </si>
  <si>
    <t>60504664</t>
  </si>
  <si>
    <t>ocm60504664</t>
  </si>
  <si>
    <t>3102587499Y</t>
  </si>
  <si>
    <t>9780942961546</t>
  </si>
  <si>
    <t>793938478</t>
  </si>
  <si>
    <t>QA11 A1 I63 2009</t>
  </si>
  <si>
    <t>0                      QA 0011000A  1                  I  63          2009</t>
  </si>
  <si>
    <t>Interdisciplinarity for the twenty-first century : proceedings of the third International Symposium on Mathematics and its Connections to Arts and Sciences, Moncton 2009 / edited by Bharath Sriraman and Viktor Freiman.</t>
  </si>
  <si>
    <t>International Symposium on Mathematics and Its Connections to the Arts and Sciences. (3rd : 2009 : Moncton, Canada)</t>
  </si>
  <si>
    <t>Charlotte, N.C. : IAP, Information Age Pub., ©2011.</t>
  </si>
  <si>
    <t>Montana mathematics enthusiast monographs in mathematics education ; monograph no. 11</t>
  </si>
  <si>
    <t>899376343:eng</t>
  </si>
  <si>
    <t>668403300</t>
  </si>
  <si>
    <t>ocn668403300</t>
  </si>
  <si>
    <t>3103355295V</t>
  </si>
  <si>
    <t>9781617352188</t>
  </si>
  <si>
    <t>794846526</t>
  </si>
  <si>
    <t>QA11 A1 W67 2009</t>
  </si>
  <si>
    <t>0                      QA 0011000A  1                  W  67          2009</t>
  </si>
  <si>
    <t>The worlds of Oronce Fine : mathematics, instruments, and print in Renaissance France / edited by Alexander Marr.</t>
  </si>
  <si>
    <t>Donington : Shaun Tyas, 2009.</t>
  </si>
  <si>
    <t>2017-01-12</t>
  </si>
  <si>
    <t>371698011:eng</t>
  </si>
  <si>
    <t>497931863</t>
  </si>
  <si>
    <t>ocn497931863</t>
  </si>
  <si>
    <t>3103344405F</t>
  </si>
  <si>
    <t>9781900289962</t>
  </si>
  <si>
    <t>794803058</t>
  </si>
  <si>
    <t>QA11 B66 1987</t>
  </si>
  <si>
    <t>0                      QA 0011000B  66          1987</t>
  </si>
  <si>
    <t>Éduquer à la réussite en mathématiques / Yves Blouin.</t>
  </si>
  <si>
    <t>Blouin, Yves, 1948-</t>
  </si>
  <si>
    <t>[Sillery, Québec] : Cégep François-Xavier Garneau, [1987?]</t>
  </si>
  <si>
    <t>2018-08-15</t>
  </si>
  <si>
    <t>117600197:fre</t>
  </si>
  <si>
    <t>17480634</t>
  </si>
  <si>
    <t>ocm17480634</t>
  </si>
  <si>
    <t>31037429581</t>
  </si>
  <si>
    <t>9782551067411</t>
  </si>
  <si>
    <t>792992755</t>
  </si>
  <si>
    <t>QA11 B67 2000</t>
  </si>
  <si>
    <t>0                      QA 0011000B  67          2000</t>
  </si>
  <si>
    <t>Reading counts : expanding the role of reading in mathematics classrooms / Raffaella Borasi &amp; Marjorie Siegel ; foreword by David Pimm.</t>
  </si>
  <si>
    <t>Borasi, Raffaella.</t>
  </si>
  <si>
    <t>New York : Teachers College Press, ©2000.</t>
  </si>
  <si>
    <t>Ways of knowing in science series</t>
  </si>
  <si>
    <t>2017-10-30</t>
  </si>
  <si>
    <t>837000889:eng</t>
  </si>
  <si>
    <t>42786333</t>
  </si>
  <si>
    <t>ocm42786333</t>
  </si>
  <si>
    <t>3102048365I</t>
  </si>
  <si>
    <t>9780807739211</t>
  </si>
  <si>
    <t>793614356</t>
  </si>
  <si>
    <t>QA11 B9</t>
  </si>
  <si>
    <t>0                      QA 0011000B  9</t>
  </si>
  <si>
    <t>Mathematics; strategies of teaching [by] Edward G. Buffie, Ronald C. Welch [and] Donald D. Paige.</t>
  </si>
  <si>
    <t>Buffie, Edward G.</t>
  </si>
  <si>
    <t>Englewood Cliffs, N.J., Prentice-Hall [1968]</t>
  </si>
  <si>
    <t>Modern elementary methods series</t>
  </si>
  <si>
    <t>1574461:eng</t>
  </si>
  <si>
    <t>443325</t>
  </si>
  <si>
    <t>ocm00443325</t>
  </si>
  <si>
    <t>3000970790P</t>
  </si>
  <si>
    <t>791380109</t>
  </si>
  <si>
    <t>QA11 G38 1986</t>
  </si>
  <si>
    <t>0                      QA 0011000G  38          1986</t>
  </si>
  <si>
    <t>Les mathophobes : une expérience de réinsertion au niveau collégial / Linda Gattuso et Raynald Lacasse.</t>
  </si>
  <si>
    <t>Gattuso, Linda.</t>
  </si>
  <si>
    <t>[Montréal] : Cégep du Vieux Montréal, Centre de ressources didactiques, 1986.</t>
  </si>
  <si>
    <t>475745152:fre</t>
  </si>
  <si>
    <t>427938433</t>
  </si>
  <si>
    <t>ocn427938433</t>
  </si>
  <si>
    <t>3100964313Z</t>
  </si>
  <si>
    <t>9782551067381</t>
  </si>
  <si>
    <t>794715972</t>
  </si>
  <si>
    <t>QA11 G382 1989</t>
  </si>
  <si>
    <t>0                      QA 0011000G  382         1989</t>
  </si>
  <si>
    <t>Les maths, le coeur et la raison : un modèle d'intervention dans une classe de mathématiques au collégial / Linda Gattuso, Raynald Lacasse.</t>
  </si>
  <si>
    <t>Montréal, Québec : Cégep du Vieux Montréal, [1989]</t>
  </si>
  <si>
    <t>2019-01-23</t>
  </si>
  <si>
    <t>55345565:fre</t>
  </si>
  <si>
    <t>21759224</t>
  </si>
  <si>
    <t>ocm21759224</t>
  </si>
  <si>
    <t>31006824280</t>
  </si>
  <si>
    <t>793126785</t>
  </si>
  <si>
    <t>QA11 H256 1999</t>
  </si>
  <si>
    <t>0                      QA 0011000H  256         1999</t>
  </si>
  <si>
    <t>Handbook of research design in mathematics and science education / edited by Anthony E. Kelly, Richard A. Lesh.</t>
  </si>
  <si>
    <t>Mahwah, N.J. : L. Erlbaum, 2000.</t>
  </si>
  <si>
    <t>416523894:eng</t>
  </si>
  <si>
    <t>41143060</t>
  </si>
  <si>
    <t>ocm41143060</t>
  </si>
  <si>
    <t>3103033674M</t>
  </si>
  <si>
    <t>9780805832815</t>
  </si>
  <si>
    <t>793585367</t>
  </si>
  <si>
    <t>QA11 H26 1992</t>
  </si>
  <si>
    <t>0                      QA 0011000H  26          1992</t>
  </si>
  <si>
    <t>Handbook of research on mathematics teaching and learning / Douglas A. Grouws, editor.</t>
  </si>
  <si>
    <t>Reston, VA : National Council of Teachers of Mathematics, ©1992.</t>
  </si>
  <si>
    <t>2019-09-12</t>
  </si>
  <si>
    <t>890453090:eng</t>
  </si>
  <si>
    <t>427844391</t>
  </si>
  <si>
    <t>ocn427844391</t>
  </si>
  <si>
    <t>31030747117</t>
  </si>
  <si>
    <t>9781593115982</t>
  </si>
  <si>
    <t>794701995</t>
  </si>
  <si>
    <t>QA11 I48 1983</t>
  </si>
  <si>
    <t>0                      QA 0011000I  48          1983</t>
  </si>
  <si>
    <t>Proceedings of the fifth annual meeting = Actes de la cinquième rencontre annuelle / PME-NA, North American Chapter of the International Group for the Psychology of Mathematics Education ; edited by Jacques C. Bergeron, Nicolas Herscovics.</t>
  </si>
  <si>
    <t>International Group for the Psychology of Mathematics Education. North American Chapter (5th : 1983 : Montréal, Québec)</t>
  </si>
  <si>
    <t>[Montréal] : [PME-NA], ©1983.</t>
  </si>
  <si>
    <t>1909254711:eng</t>
  </si>
  <si>
    <t>61553373</t>
  </si>
  <si>
    <t>ocm61553373</t>
  </si>
  <si>
    <t>3103636153$</t>
  </si>
  <si>
    <t>793985246</t>
  </si>
  <si>
    <t>3100518480H</t>
  </si>
  <si>
    <t>793985247</t>
  </si>
  <si>
    <t>QA11 K818 2000</t>
  </si>
  <si>
    <t>0                      QA 0011000K  818         2000</t>
  </si>
  <si>
    <t>Teaching middle school mathematics : activities, materials, and problems / Stephen Krulik, Jesse A. Rudnick.</t>
  </si>
  <si>
    <t>Krulik, Stephen.</t>
  </si>
  <si>
    <t>Boston : Allyn and Bacon, ©2000.</t>
  </si>
  <si>
    <t>2015-06-05</t>
  </si>
  <si>
    <t>1060855:eng</t>
  </si>
  <si>
    <t>40776980</t>
  </si>
  <si>
    <t>ocm40776980</t>
  </si>
  <si>
    <t>31019913299</t>
  </si>
  <si>
    <t>9780205286287</t>
  </si>
  <si>
    <t>793575460</t>
  </si>
  <si>
    <t>QA11 L33 1990</t>
  </si>
  <si>
    <t>0                      QA 0011000L  33          1990</t>
  </si>
  <si>
    <t>Adultes, attitudes et apprentissage des mathématiques / Louise Lafortune.</t>
  </si>
  <si>
    <t>Lafortune, Louise.</t>
  </si>
  <si>
    <t>[LaSalle, Québec] : Cégep André-Laurendeau, [1990]</t>
  </si>
  <si>
    <t>23223783:fre</t>
  </si>
  <si>
    <t>22209311</t>
  </si>
  <si>
    <t>ocm22209311</t>
  </si>
  <si>
    <t>3103742934F</t>
  </si>
  <si>
    <t>9782920928053</t>
  </si>
  <si>
    <t>793137411</t>
  </si>
  <si>
    <t>QA11 M79 2000</t>
  </si>
  <si>
    <t>0                      QA 0011000M  79          2000</t>
  </si>
  <si>
    <t>Multiple perspectives on mathematics teaching and learning / edited by Jo Boaler.</t>
  </si>
  <si>
    <t>Westport, CT : Ablex Pub., 2000.</t>
  </si>
  <si>
    <t>International perspectives on mathematics education, 1530-3993</t>
  </si>
  <si>
    <t>56534238:eng</t>
  </si>
  <si>
    <t>43694442</t>
  </si>
  <si>
    <t>ocm43694442</t>
  </si>
  <si>
    <t>3102294937J</t>
  </si>
  <si>
    <t>9781567505344</t>
  </si>
  <si>
    <t>793632783</t>
  </si>
  <si>
    <t>QA11 P6 1946</t>
  </si>
  <si>
    <t>0                      QA 0011000P  6           1946</t>
  </si>
  <si>
    <t>How to solve it : a new aspect of mathematical method.</t>
  </si>
  <si>
    <t>Princeton : Princeton University Press, 1946, ©1945.</t>
  </si>
  <si>
    <t>3901211501:eng</t>
  </si>
  <si>
    <t>61541341</t>
  </si>
  <si>
    <t>ocm61541341</t>
  </si>
  <si>
    <t>3103397795P</t>
  </si>
  <si>
    <t>793972679</t>
  </si>
  <si>
    <t>QA11 P6 1971</t>
  </si>
  <si>
    <t>0                      QA 0011000P  6           1971</t>
  </si>
  <si>
    <t>How to solve it; a new aspect of mathematical method [by] G. Polya.</t>
  </si>
  <si>
    <t>Princeton, N.J., Princeton University Press [1971, ©1957]</t>
  </si>
  <si>
    <t>Princeton paperbacks ; no. 246</t>
  </si>
  <si>
    <t>2020-01-07</t>
  </si>
  <si>
    <t>293243</t>
  </si>
  <si>
    <t>ocm00293243</t>
  </si>
  <si>
    <t>3103453225A</t>
  </si>
  <si>
    <t>9780691080970</t>
  </si>
  <si>
    <t>791326602</t>
  </si>
  <si>
    <t>2002-04-10</t>
  </si>
  <si>
    <t>3000841121E</t>
  </si>
  <si>
    <t>791326603</t>
  </si>
  <si>
    <t>QA11 P617 2001</t>
  </si>
  <si>
    <t>0                      QA 0011000P  617         2001</t>
  </si>
  <si>
    <t>101 great ideas for introducing key concepts in mathematics : a resource for secondary school teachers / Alfred S. Posamentier, Herbert A. Hauptman.</t>
  </si>
  <si>
    <t>Posamentier, Alfred S.</t>
  </si>
  <si>
    <t>Thousand Oaks, Calif. : Corwin Press, ©2001.</t>
  </si>
  <si>
    <t>2018-08-27</t>
  </si>
  <si>
    <t>2288157391:eng</t>
  </si>
  <si>
    <t>44090467</t>
  </si>
  <si>
    <t>ocm44090467</t>
  </si>
  <si>
    <t>31020857522</t>
  </si>
  <si>
    <t>9780761975120</t>
  </si>
  <si>
    <t>793642304</t>
  </si>
  <si>
    <t>QA11 S365 2007</t>
  </si>
  <si>
    <t>0                      QA 0011000S  365         2007</t>
  </si>
  <si>
    <t>Second handbook of research on mathematics teaching and learning : a project of the National Council of Teachers of Mathematics / Frank K. Lester, Jr., editor.</t>
  </si>
  <si>
    <t>Charlotte, N.C. : Information Age Pub., ©2007.</t>
  </si>
  <si>
    <t>867430669:eng</t>
  </si>
  <si>
    <t>73502393</t>
  </si>
  <si>
    <t>ocm73502393</t>
  </si>
  <si>
    <t>3103150395N</t>
  </si>
  <si>
    <t>9781593111779</t>
  </si>
  <si>
    <t>794171200</t>
  </si>
  <si>
    <t>3103150390N</t>
  </si>
  <si>
    <t>794171199</t>
  </si>
  <si>
    <t>QA11 S665 2001</t>
  </si>
  <si>
    <t>0                      QA 0011000S  665         2001</t>
  </si>
  <si>
    <t>Sociocultural research on mathematics education : an international perspective / edited by Bill Atweh, Helen Forgasz, Ben Nebres.</t>
  </si>
  <si>
    <t>Mahwah, N.J. : Lawrence Erlbaum Associates, 2001.</t>
  </si>
  <si>
    <t>2018-11-12</t>
  </si>
  <si>
    <t>800048284:eng</t>
  </si>
  <si>
    <t>44613199</t>
  </si>
  <si>
    <t>ocm44613199</t>
  </si>
  <si>
    <t>31034530796</t>
  </si>
  <si>
    <t>9780805837254</t>
  </si>
  <si>
    <t>793654261</t>
  </si>
  <si>
    <t>QA11 T27 1998</t>
  </si>
  <si>
    <t>0                      QA 0011000T  27          1998</t>
  </si>
  <si>
    <t>Talking mathematics in school : studies of teaching and learning / edited by Magdalene Lampert, Merrie L. Blunk.</t>
  </si>
  <si>
    <t>Cambridge, U.K. ; New York : Cambridge University Press, 1998.</t>
  </si>
  <si>
    <t>837010099:eng</t>
  </si>
  <si>
    <t>37748444</t>
  </si>
  <si>
    <t>ocm37748444</t>
  </si>
  <si>
    <t>31032376274</t>
  </si>
  <si>
    <t>9780521621366</t>
  </si>
  <si>
    <t>793506143</t>
  </si>
  <si>
    <t>QA11 V6 1991</t>
  </si>
  <si>
    <t>0                      QA 0011000V  6           1991</t>
  </si>
  <si>
    <t>Visualization in teaching and learning mathematics : a project / sponsored by the Committee on Computers in Mathematics Education of the Mathematical Association of America ; editors, Walter Zimmermann, Steve Cunningham.</t>
  </si>
  <si>
    <t>[Washington, D.C.] : Mathematical Association of America, ©1991.</t>
  </si>
  <si>
    <t>MAA notes ; no. 19</t>
  </si>
  <si>
    <t>180915316:eng</t>
  </si>
  <si>
    <t>23823890</t>
  </si>
  <si>
    <t>ocm23823890</t>
  </si>
  <si>
    <t>3103601312B</t>
  </si>
  <si>
    <t>9780883850718</t>
  </si>
  <si>
    <t>793182890</t>
  </si>
  <si>
    <t>QA11.2 A87 2015</t>
  </si>
  <si>
    <t>0                      QA 0011200A  87          2015</t>
  </si>
  <si>
    <t>Assessment to enhance teaching and learning / Christine Suurtamm, volume editor ; Amy Roth McDuffie, series editor.</t>
  </si>
  <si>
    <t>Reston, VA : National Council of Teachers of Mathematics, [2015]</t>
  </si>
  <si>
    <t>Annual perspectives in mathematics education, 2332-6336 ; 2015</t>
  </si>
  <si>
    <t>2562819274:eng</t>
  </si>
  <si>
    <t>894025588</t>
  </si>
  <si>
    <t>ocn894025588</t>
  </si>
  <si>
    <t>3103688447G</t>
  </si>
  <si>
    <t>9780873539234</t>
  </si>
  <si>
    <t>794982264</t>
  </si>
  <si>
    <t>QA11.2 B73 2013</t>
  </si>
  <si>
    <t>0                      QA 0011200B  73          2013</t>
  </si>
  <si>
    <t>Teaching secondary and middle school mathematics / Daniel J. Brahier.</t>
  </si>
  <si>
    <t>Brahier, Daniel J.</t>
  </si>
  <si>
    <t>Boston : Pearson, ©2013.</t>
  </si>
  <si>
    <t>2013-02-12</t>
  </si>
  <si>
    <t>2552151:eng</t>
  </si>
  <si>
    <t>775664131</t>
  </si>
  <si>
    <t>ocn775664131</t>
  </si>
  <si>
    <t>31034786049</t>
  </si>
  <si>
    <t>9780132698115</t>
  </si>
  <si>
    <t>794907752</t>
  </si>
  <si>
    <t>QA11.2 E44 2011</t>
  </si>
  <si>
    <t>0                      QA 0011200E  44          2011</t>
  </si>
  <si>
    <t>The elements of creativity and giftedness in mathematics / edited by Bharath Sriraman, Kyeong Hwa Lee.</t>
  </si>
  <si>
    <t>Advances in creativity and giftedness ; v. 1</t>
  </si>
  <si>
    <t>1044686596:eng</t>
  </si>
  <si>
    <t>688602161</t>
  </si>
  <si>
    <t>ocn688602161</t>
  </si>
  <si>
    <t>3103213799D</t>
  </si>
  <si>
    <t>9789460914386</t>
  </si>
  <si>
    <t>794854491</t>
  </si>
  <si>
    <t>QA11.2 F86 2004</t>
  </si>
  <si>
    <t>0                      QA 0011200F  86          2004</t>
  </si>
  <si>
    <t>Fundamental constructs in mathematics education / edited by John Mason and Sue Johnston-Wilder.</t>
  </si>
  <si>
    <t>London ; New York : RoutledgeFalmer [for] Open University, 2004.</t>
  </si>
  <si>
    <t>5612565455:eng</t>
  </si>
  <si>
    <t>427634780</t>
  </si>
  <si>
    <t>ocn427634780</t>
  </si>
  <si>
    <t>3102454560X</t>
  </si>
  <si>
    <t>9780415326971</t>
  </si>
  <si>
    <t>794693876</t>
  </si>
  <si>
    <t>QA11.2 I66 2009</t>
  </si>
  <si>
    <t>0                      QA 0011200I  66          2009</t>
  </si>
  <si>
    <t>Interdisciplinarity, creativity, and learning : mathematics with literature, paradoxes, history, technology, and modeling / edited by Bharath Sriraman, Viktor Freiman, Nicole Lirette-Pitre.</t>
  </si>
  <si>
    <t>Charlotte, NC : IAP, Information Age Pub., ©2009.</t>
  </si>
  <si>
    <t>The Montana mathematics enthusiast, monograph series in mathematics education ; monograph 7</t>
  </si>
  <si>
    <t>897682762:eng</t>
  </si>
  <si>
    <t>317068130</t>
  </si>
  <si>
    <t>ocn317068130</t>
  </si>
  <si>
    <t>3103078857H</t>
  </si>
  <si>
    <t>9781607521013</t>
  </si>
  <si>
    <t>794450484</t>
  </si>
  <si>
    <t>QA11.2 I67 2008</t>
  </si>
  <si>
    <t>0                      QA 0011200I  67          2008</t>
  </si>
  <si>
    <t>International perspectives on social justice in mathematics education / edited by Bharath Sriraman.</t>
  </si>
  <si>
    <t>Charlotte, NC : IAP/Information Age Pub., ©2008.</t>
  </si>
  <si>
    <t>The Montana mathematics enthusiast : monograph series in mathematics education</t>
  </si>
  <si>
    <t>110195260:eng</t>
  </si>
  <si>
    <t>182573538</t>
  </si>
  <si>
    <t>ocn182573538</t>
  </si>
  <si>
    <t>3103062041Z</t>
  </si>
  <si>
    <t>9781593118808</t>
  </si>
  <si>
    <t>794284696</t>
  </si>
  <si>
    <t>QA11.2 K47 2013</t>
  </si>
  <si>
    <t>0                      QA 0011200K  47          2013</t>
  </si>
  <si>
    <t>Teaching mathematics to English language learners / Gladis Kersaint, Denisse R. Thompson and Mariana Petkova.</t>
  </si>
  <si>
    <t>Kersaint, Gladis.</t>
  </si>
  <si>
    <t>New York : Routledge, 2013.</t>
  </si>
  <si>
    <t>Teaching English language learners across the curriculum</t>
  </si>
  <si>
    <t>2017-12-03</t>
  </si>
  <si>
    <t>119440413:eng</t>
  </si>
  <si>
    <t>798809781</t>
  </si>
  <si>
    <t>ocn798809781</t>
  </si>
  <si>
    <t>3103471039C</t>
  </si>
  <si>
    <t>9780415629768</t>
  </si>
  <si>
    <t>794924012</t>
  </si>
  <si>
    <t>QA11.2 K58 2008</t>
  </si>
  <si>
    <t>0                      QA 0011200K  58          2008</t>
  </si>
  <si>
    <t>Knowledge and beliefs in mathematics teaching and teaching development / edited by Peter Sullivan and Terry Wood.</t>
  </si>
  <si>
    <t>Rotterdam : Sense, 2008.</t>
  </si>
  <si>
    <t>The international handbook of mathematics teacher education ; v. 1</t>
  </si>
  <si>
    <t>350058537:eng</t>
  </si>
  <si>
    <t>243920850</t>
  </si>
  <si>
    <t>ocn243920850</t>
  </si>
  <si>
    <t>3103150455S</t>
  </si>
  <si>
    <t>9789087905415</t>
  </si>
  <si>
    <t>794380450</t>
  </si>
  <si>
    <t>QA11.2 M2778 2007</t>
  </si>
  <si>
    <t>0                      QA 0011200M  2778        2007</t>
  </si>
  <si>
    <t>Mathematics education at highly effective schools that serve the poor : strategies for change / Richard Kitchen [and others].</t>
  </si>
  <si>
    <t>Mahwah, N.J. : Lawrence Erlbaum Associates, ©2007.</t>
  </si>
  <si>
    <t>2017-03-14</t>
  </si>
  <si>
    <t>47423778:eng</t>
  </si>
  <si>
    <t>63245283</t>
  </si>
  <si>
    <t>ocm63245283</t>
  </si>
  <si>
    <t>3102592451K</t>
  </si>
  <si>
    <t>9780805856880</t>
  </si>
  <si>
    <t>794120622</t>
  </si>
  <si>
    <t>QA11.2 M279 2008</t>
  </si>
  <si>
    <t>0                      QA 0011200M  279         2008</t>
  </si>
  <si>
    <t>The mathematics teacher educator as a developing professional / edited by Barbara Jaworski and Terry Wood.</t>
  </si>
  <si>
    <t>Rotterdam : Sense Publishers, ©2008.</t>
  </si>
  <si>
    <t>International handbook of mathematics teacher education ; v. 4</t>
  </si>
  <si>
    <t>354699528:eng</t>
  </si>
  <si>
    <t>243920867</t>
  </si>
  <si>
    <t>ocn243920867</t>
  </si>
  <si>
    <t>3103150493K</t>
  </si>
  <si>
    <t>9789087905507</t>
  </si>
  <si>
    <t>794380452</t>
  </si>
  <si>
    <t>QA11.2 M285 2007</t>
  </si>
  <si>
    <t>0                      QA 0011200M  285         2007</t>
  </si>
  <si>
    <t>Mathematisation and demathematisation : social, philosophical and educational ramifications / edited by Uwe Gellert and Eva Jablonka.</t>
  </si>
  <si>
    <t>Rotterdam : Sense Publishers, 2007.</t>
  </si>
  <si>
    <t>368620962:eng</t>
  </si>
  <si>
    <t>85885557</t>
  </si>
  <si>
    <t>ocm85885557</t>
  </si>
  <si>
    <t>3102857760S</t>
  </si>
  <si>
    <t>9789087900113</t>
  </si>
  <si>
    <t>794217441</t>
  </si>
  <si>
    <t>QA11.2 M355 2008</t>
  </si>
  <si>
    <t>0                      QA 0011200M  355         2008</t>
  </si>
  <si>
    <t>Making the connection : research and teaching in undergraduate mathematics education / [edited by] Marilyn P. Carlson, Chris Rasmussen.</t>
  </si>
  <si>
    <t>Washington, DC : Mathematical Association of America, 2008.</t>
  </si>
  <si>
    <t>MAA notes ; #73</t>
  </si>
  <si>
    <t>496737057:eng</t>
  </si>
  <si>
    <t>191856281</t>
  </si>
  <si>
    <t>ocn191856281</t>
  </si>
  <si>
    <t>31029779626</t>
  </si>
  <si>
    <t>9780883851838</t>
  </si>
  <si>
    <t>794301525</t>
  </si>
  <si>
    <t>QA11.2 M66 2010</t>
  </si>
  <si>
    <t>0                      QA 0011200M  66          2010</t>
  </si>
  <si>
    <t>Approches socioculturelles de l'enseignement en Afrique subsaharienne / Alexandre Mopondi Bendeko Mbumbu.</t>
  </si>
  <si>
    <t>Mopondi, Bendeko.</t>
  </si>
  <si>
    <t>Paris : Harmattan, ©2010.</t>
  </si>
  <si>
    <t>Études africaines</t>
  </si>
  <si>
    <t>2011-02-28</t>
  </si>
  <si>
    <t>503125811:fre</t>
  </si>
  <si>
    <t>641954155</t>
  </si>
  <si>
    <t>ocn641954155</t>
  </si>
  <si>
    <t>31033176298</t>
  </si>
  <si>
    <t>9782296118553</t>
  </si>
  <si>
    <t>794827797</t>
  </si>
  <si>
    <t>QA11.2 M68 2011</t>
  </si>
  <si>
    <t>0                      QA 0011200M  68          2011</t>
  </si>
  <si>
    <t>Motivation and disposition : pathways to learning mathematics / Daniel J. Brahier, William R. Speer [editors].</t>
  </si>
  <si>
    <t>Reston, VA : National Council of Teachers of Mathematics, ©2011.</t>
  </si>
  <si>
    <t>Yearbook / National Council of Teachers of Mathematics ; 73rd</t>
  </si>
  <si>
    <t>1189336257:eng</t>
  </si>
  <si>
    <t>715171259</t>
  </si>
  <si>
    <t>ocn715171259</t>
  </si>
  <si>
    <t>3103368886Z</t>
  </si>
  <si>
    <t>9780873536615</t>
  </si>
  <si>
    <t>794873817</t>
  </si>
  <si>
    <t>QA11.2 R447 2017</t>
  </si>
  <si>
    <t>0                      QA 0011200R  447         2017</t>
  </si>
  <si>
    <t>Research for educational change : transforming researchers' insights into improvement in mathematics teaching and learning / edited by Jill Adler and Anna Sfard.</t>
  </si>
  <si>
    <t>London ; New York : Routledge/Taylor &amp; Francis Group, 2017.</t>
  </si>
  <si>
    <t>Routledge research in education ; 173</t>
  </si>
  <si>
    <t>3223675951:eng</t>
  </si>
  <si>
    <t>935192771</t>
  </si>
  <si>
    <t>ocn935192771</t>
  </si>
  <si>
    <t>3103656602L</t>
  </si>
  <si>
    <t>9781138187320</t>
  </si>
  <si>
    <t>795009984</t>
  </si>
  <si>
    <t>QA11.2 R68 2011</t>
  </si>
  <si>
    <t>0                      QA 0011200R  68          2011</t>
  </si>
  <si>
    <t>A cultural-historical perspective on mathematics teaching and learning / by Wolff-Michael Roth and Luis Radford.</t>
  </si>
  <si>
    <t>Rotterdam ; Boston : Sense, ©2011.</t>
  </si>
  <si>
    <t>Semiotic perspectives on the teaching and learning of mathematics series ; v. 2</t>
  </si>
  <si>
    <t>894528880:eng</t>
  </si>
  <si>
    <t>719418727</t>
  </si>
  <si>
    <t>ocn719418727</t>
  </si>
  <si>
    <t>31033631656</t>
  </si>
  <si>
    <t>9789460915628</t>
  </si>
  <si>
    <t>794874456</t>
  </si>
  <si>
    <t>QA11.2 S65 2002</t>
  </si>
  <si>
    <t>0                      QA 0011200S  65          2002</t>
  </si>
  <si>
    <t>The glass wall : why mathematics can seem difficult / Frank Smith.</t>
  </si>
  <si>
    <t>Smith, Frank, 1928-</t>
  </si>
  <si>
    <t>New York : Teachers College Press, ©2002.</t>
  </si>
  <si>
    <t>353463341:eng</t>
  </si>
  <si>
    <t>49386403</t>
  </si>
  <si>
    <t>ocm49386403</t>
  </si>
  <si>
    <t>31022904803</t>
  </si>
  <si>
    <t>9780807742426</t>
  </si>
  <si>
    <t>793739210</t>
  </si>
  <si>
    <t>QA11.2 S85 2008</t>
  </si>
  <si>
    <t>0                      QA 0011200S  85          2008</t>
  </si>
  <si>
    <t>Maththatmatters : a teacher resource linking math and social justice / by David Stocker.</t>
  </si>
  <si>
    <t>Stocker, David.</t>
  </si>
  <si>
    <t>[Ottawa, Ont.] : CCPA Education Project, ©2008.</t>
  </si>
  <si>
    <t>3982328135:eng</t>
  </si>
  <si>
    <t>251452973</t>
  </si>
  <si>
    <t>ocn251452973</t>
  </si>
  <si>
    <t>3102706766Q</t>
  </si>
  <si>
    <t>9780886275129</t>
  </si>
  <si>
    <t>794385771</t>
  </si>
  <si>
    <t>QA12 R63 2012</t>
  </si>
  <si>
    <t>0                      QA 0012000R  63          2012</t>
  </si>
  <si>
    <t>Une caméra au fond de la classe de mathématiques : (se) former au métier d'enseignant du secondaire à partir d'analyses de vidéos / Aline Robert, Jacqueline Penninckx et Marie Lattuati ; avec la collaboration d'Aurélie Chesnais [and 7 others].</t>
  </si>
  <si>
    <t>Robert, Aline, author.</t>
  </si>
  <si>
    <t>[Besançon] : Presses universitaires de France-Comté, [2012].</t>
  </si>
  <si>
    <t>Didactiques. Mathématiques</t>
  </si>
  <si>
    <t>2014-07-07</t>
  </si>
  <si>
    <t>1415958627:fre</t>
  </si>
  <si>
    <t>862827271</t>
  </si>
  <si>
    <t>ocn862827271</t>
  </si>
  <si>
    <t>3103514699V</t>
  </si>
  <si>
    <t>9782848674346</t>
  </si>
  <si>
    <t>794960644</t>
  </si>
  <si>
    <t>QA13 D49 1999</t>
  </si>
  <si>
    <t>0                      QA 0013000D  49          1999</t>
  </si>
  <si>
    <t>Developing mathematically promising students / edited by Linda Jensen Sheffield.</t>
  </si>
  <si>
    <t>Reston, Va. : National Council of Teachers of Mathematics, ©1999.</t>
  </si>
  <si>
    <t>350260598:eng</t>
  </si>
  <si>
    <t>41070913</t>
  </si>
  <si>
    <t>ocm41070913</t>
  </si>
  <si>
    <t>3102091806J</t>
  </si>
  <si>
    <t>9780873534703</t>
  </si>
  <si>
    <t>793583190</t>
  </si>
  <si>
    <t>QA13 G55 2006</t>
  </si>
  <si>
    <t>0                      QA 0013000G  55          2006</t>
  </si>
  <si>
    <t>Essential mathematics for political and social research / Jeff Gill.</t>
  </si>
  <si>
    <t>Gill, Jeff.</t>
  </si>
  <si>
    <t>Cambridge ; New York : Cambridge University Press, 2006.</t>
  </si>
  <si>
    <t>Analytical methods for social research</t>
  </si>
  <si>
    <t>2019-04-13</t>
  </si>
  <si>
    <t>46529336:eng</t>
  </si>
  <si>
    <t>62110044</t>
  </si>
  <si>
    <t>ocm62110044</t>
  </si>
  <si>
    <t>3102578660Z</t>
  </si>
  <si>
    <t>9780521834261</t>
  </si>
  <si>
    <t>794100297</t>
  </si>
  <si>
    <t>QA13 J63 2010</t>
  </si>
  <si>
    <t>0                      QA 0013000J  63          2010</t>
  </si>
  <si>
    <t>Teaching mathematics to culturally and linguistically diverse learners / Art Johnson.</t>
  </si>
  <si>
    <t>Johnson, Art, 1946-</t>
  </si>
  <si>
    <t>Boston : Pearson, ©2010.</t>
  </si>
  <si>
    <t>2010-02-20</t>
  </si>
  <si>
    <t>154702479:eng</t>
  </si>
  <si>
    <t>245598825</t>
  </si>
  <si>
    <t>ocn245598825</t>
  </si>
  <si>
    <t>31030532031</t>
  </si>
  <si>
    <t>9780205468775</t>
  </si>
  <si>
    <t>794383572</t>
  </si>
  <si>
    <t>QA13 N49 1995</t>
  </si>
  <si>
    <t>0                      QA 0013000N  49          1995</t>
  </si>
  <si>
    <t>New directions for equity in mathematics education / edited by Walter G. Secada, Elizabeth Fennema, Lisa Byrd Adajian.</t>
  </si>
  <si>
    <t>Cambridge ; New York, NY, USA : Cambridge University Press, 1995.</t>
  </si>
  <si>
    <t>355685918:eng</t>
  </si>
  <si>
    <t>30510231</t>
  </si>
  <si>
    <t>ocm30510231</t>
  </si>
  <si>
    <t>31034749792</t>
  </si>
  <si>
    <t>9780521471527</t>
  </si>
  <si>
    <t>793337267</t>
  </si>
  <si>
    <t>QA13 P4725 2004</t>
  </si>
  <si>
    <t>0                      QA 0013000P  4725        2004</t>
  </si>
  <si>
    <t>Perspectives on the teaching of mathematics / [edited by] Rheta N. Rubenstein, George Bright.</t>
  </si>
  <si>
    <t>text</t>
  </si>
  <si>
    <t>Reston, VA : National Council of Teachers of Mathematics, ©2004.</t>
  </si>
  <si>
    <t>Yearbook ; 66th</t>
  </si>
  <si>
    <t>9658303364:eng</t>
  </si>
  <si>
    <t>54372739</t>
  </si>
  <si>
    <t>ocm54372739</t>
  </si>
  <si>
    <t>3102405281M</t>
  </si>
  <si>
    <t>9780873535588</t>
  </si>
  <si>
    <t>793860367</t>
  </si>
  <si>
    <t>T-guide</t>
  </si>
  <si>
    <t>2009-10-19</t>
  </si>
  <si>
    <t>3102405280M</t>
  </si>
  <si>
    <t>793860368</t>
  </si>
  <si>
    <t>QA13 R4353 2017</t>
  </si>
  <si>
    <t>0                      QA 0013000R  4353        2017</t>
  </si>
  <si>
    <t>Reflective and collaborative processes to improve mathematics teaching / Lucy West, volume editor (Metamorphosis Teaching Learning Communities, New York, New York) ; Melissa Boston, series editor (Duquesne University, Pittsburgh, Pennsylvania).</t>
  </si>
  <si>
    <t>Reston, VA : National Council of Teachers of Mathematics, [2017]</t>
  </si>
  <si>
    <t>Annual perspectives in mathematics education, 2332-6336 ; 2017</t>
  </si>
  <si>
    <t>4513128711:eng</t>
  </si>
  <si>
    <t>987000920</t>
  </si>
  <si>
    <t>ocn987000920</t>
  </si>
  <si>
    <t>31037483721</t>
  </si>
  <si>
    <t>9781680540024</t>
  </si>
  <si>
    <t>795035827</t>
  </si>
  <si>
    <t>QA13 R444 2018</t>
  </si>
  <si>
    <t>0                      QA 0013000R  444         2018</t>
  </si>
  <si>
    <t>Rehumanizing mathematics for Black, Indigenous, and Latinx students / Imani Goffney, Rochelle Gutiérrez, volume editors ; Melissa Boston, series editor.</t>
  </si>
  <si>
    <t>Reston, VA : National Council of Teachers of Mathematics, [2018]</t>
  </si>
  <si>
    <t>Annual perspectives in mathematics education, 2332-6336 ; 2018</t>
  </si>
  <si>
    <t>5416967615:eng</t>
  </si>
  <si>
    <t>1034576887</t>
  </si>
  <si>
    <t>on1034576887</t>
  </si>
  <si>
    <t>31037948752</t>
  </si>
  <si>
    <t>9781680540093</t>
  </si>
  <si>
    <t>795057202</t>
  </si>
  <si>
    <t>QA13 S66 2008</t>
  </si>
  <si>
    <t>0                      QA 0013000S  66          2008</t>
  </si>
  <si>
    <t>How the brain learns mathematics / David A. Sousa.</t>
  </si>
  <si>
    <t>Sousa, David A.</t>
  </si>
  <si>
    <t>Thousand Oaks, CA : Corwin Press, ©2008.</t>
  </si>
  <si>
    <t>3372192286:eng</t>
  </si>
  <si>
    <t>145431675</t>
  </si>
  <si>
    <t>ocn145431675</t>
  </si>
  <si>
    <t>31034981652</t>
  </si>
  <si>
    <t>9781412953054</t>
  </si>
  <si>
    <t>794239750</t>
  </si>
  <si>
    <t>QA14 C3 F65 2010</t>
  </si>
  <si>
    <t>0                      QA 0014000C  3                  F  65          2010</t>
  </si>
  <si>
    <t>Formation des enseignants en mathématiques : tendances et perspectives actuelles / sous la direction de Jérôme Proulx et Linda Gattuso.</t>
  </si>
  <si>
    <t>Sherbrooke, Québec : Éditions du CRP, [2010?]</t>
  </si>
  <si>
    <t>2010-11-11</t>
  </si>
  <si>
    <t>619660436:fre</t>
  </si>
  <si>
    <t>662576601</t>
  </si>
  <si>
    <t>ocn662576601</t>
  </si>
  <si>
    <t>3103286606O</t>
  </si>
  <si>
    <t>9782894740781</t>
  </si>
  <si>
    <t>794837369</t>
  </si>
  <si>
    <t>QA14 C6 H69 2004</t>
  </si>
  <si>
    <t>0                      QA 0014000C  6                  H  69          2004</t>
  </si>
  <si>
    <t>How Chinese learn mathematics : perspectives from insiders / edited by Fan Lianghuo [and others].</t>
  </si>
  <si>
    <t>Singapore ; River Edge, NJ : World Scientific, ©2004.</t>
  </si>
  <si>
    <t>Series on mathematics education ; v. 1</t>
  </si>
  <si>
    <t>793945740:eng</t>
  </si>
  <si>
    <t>56630391</t>
  </si>
  <si>
    <t>ocm56630391</t>
  </si>
  <si>
    <t>3102506109V</t>
  </si>
  <si>
    <t>9789812560148</t>
  </si>
  <si>
    <t>793897462</t>
  </si>
  <si>
    <t>QA14 C6 L53 2013</t>
  </si>
  <si>
    <t>0                      QA 0014000C  6                  L  53          2013</t>
  </si>
  <si>
    <t>The development of teaching expertise from an international perspective / by Su Liang, California State University, San Bernadino.</t>
  </si>
  <si>
    <t>Liang, Su, author.</t>
  </si>
  <si>
    <t>Charlotte, North Carolina : Information Age Publishing, Inc., [2013]</t>
  </si>
  <si>
    <t>The Montana mathematics enthusiast: monograph series in mathematics education</t>
  </si>
  <si>
    <t>1375126592:eng</t>
  </si>
  <si>
    <t>855607280</t>
  </si>
  <si>
    <t>ocn855607280</t>
  </si>
  <si>
    <t>3103502528O</t>
  </si>
  <si>
    <t>9781623963774</t>
  </si>
  <si>
    <t>794953653</t>
  </si>
  <si>
    <t>QA20 C65 P36 1980</t>
  </si>
  <si>
    <t>0                      QA 0020000C  65                 P  36          1980</t>
  </si>
  <si>
    <t>Mindstorms : children, computers, and powerful ideas / Seymour Papert.</t>
  </si>
  <si>
    <t>Papert, Seymour.</t>
  </si>
  <si>
    <t>New York : Basic Books, ©1980.</t>
  </si>
  <si>
    <t>Harvester studies in cognitive science ; 14</t>
  </si>
  <si>
    <t>2016-11-22</t>
  </si>
  <si>
    <t>2019-01-03</t>
  </si>
  <si>
    <t>9490440722:eng</t>
  </si>
  <si>
    <t>6144549</t>
  </si>
  <si>
    <t>ocm06144549</t>
  </si>
  <si>
    <t>3000814992$</t>
  </si>
  <si>
    <t>9780465046270</t>
  </si>
  <si>
    <t>792478225</t>
  </si>
  <si>
    <t>3103474647H</t>
  </si>
  <si>
    <t>792478226</t>
  </si>
  <si>
    <t>QA20 I53 S634 2010</t>
  </si>
  <si>
    <t>0                      QA 0020000I  53                 S  634         2010</t>
  </si>
  <si>
    <t>More good questions : great ways to differentiate secondary mathematics instruction / Marian Small and Amy Lin.</t>
  </si>
  <si>
    <t>Small, Marian.</t>
  </si>
  <si>
    <t>New York : Teachers College Press ; Reston, VA : National Council of Teachers of Mathematics ; [Scarborough, Ont.] : Nelson Education, [2010]</t>
  </si>
  <si>
    <t>2012-12-07</t>
  </si>
  <si>
    <t>3859264924:eng</t>
  </si>
  <si>
    <t>531718610</t>
  </si>
  <si>
    <t>ocn531718610</t>
  </si>
  <si>
    <t>31026694119</t>
  </si>
  <si>
    <t>9780807750889</t>
  </si>
  <si>
    <t>794809899</t>
  </si>
  <si>
    <t>QA21 A29 2011</t>
  </si>
  <si>
    <t>0                      QA 0021000A  29          2011</t>
  </si>
  <si>
    <t>A strange wilderness : the lives of the great mathematicians / Amir D. Aczel.</t>
  </si>
  <si>
    <t>Aczel, Amir D.</t>
  </si>
  <si>
    <t>New York : Sterling, ©2011.</t>
  </si>
  <si>
    <t>1043092906:eng</t>
  </si>
  <si>
    <t>707260450</t>
  </si>
  <si>
    <t>ocn707260450</t>
  </si>
  <si>
    <t>3103529587B</t>
  </si>
  <si>
    <t>9781402785849</t>
  </si>
  <si>
    <t>794867609</t>
  </si>
  <si>
    <t>QA21 A83 2002</t>
  </si>
  <si>
    <t>0                      QA 0021000A  83          2002</t>
  </si>
  <si>
    <t>Mathematics elsewhere : an exploration of ideas across cultures / Marcia Ascher.</t>
  </si>
  <si>
    <t>Ascher, Marcia, 1935-2013.</t>
  </si>
  <si>
    <t>Princeton, N.J. : Princeton University Press, ©2002.</t>
  </si>
  <si>
    <t>2015-07-16</t>
  </si>
  <si>
    <t>933902:eng</t>
  </si>
  <si>
    <t>50487466</t>
  </si>
  <si>
    <t>ocm50487466</t>
  </si>
  <si>
    <t>3102254633B</t>
  </si>
  <si>
    <t>9780691070209</t>
  </si>
  <si>
    <t>793766003</t>
  </si>
  <si>
    <t>QA21 B42 1951</t>
  </si>
  <si>
    <t>0                      QA 0021000B  42          1951</t>
  </si>
  <si>
    <t>Mathematics, queen and servant of science.</t>
  </si>
  <si>
    <t>Bell, Eric Temple, 1883-1960.</t>
  </si>
  <si>
    <t>New York, McGraw-Hill [1951]</t>
  </si>
  <si>
    <t>2002-04-15</t>
  </si>
  <si>
    <t>3901012969:eng</t>
  </si>
  <si>
    <t>899715</t>
  </si>
  <si>
    <t>ocm00899715</t>
  </si>
  <si>
    <t>30009714272</t>
  </si>
  <si>
    <t>791497775</t>
  </si>
  <si>
    <t>QA21 B47 2004</t>
  </si>
  <si>
    <t>0                      QA 0021000B  47          2004</t>
  </si>
  <si>
    <t>Math through the ages : a gentle history for teachers and others / William P. Berlinghoff, Fernando Q. Gouvea.</t>
  </si>
  <si>
    <t>Berlinghoff, William P.</t>
  </si>
  <si>
    <t>Washington, DC : Mathematical Association of America, ©2004.</t>
  </si>
  <si>
    <t>Expanded ed.</t>
  </si>
  <si>
    <t>Classroom resource materials</t>
  </si>
  <si>
    <t>792582182:eng</t>
  </si>
  <si>
    <t>54666079</t>
  </si>
  <si>
    <t>ocm54666079</t>
  </si>
  <si>
    <t>3103151166V</t>
  </si>
  <si>
    <t>9780883857366</t>
  </si>
  <si>
    <t>793865031</t>
  </si>
  <si>
    <t>QA21 D78 1990</t>
  </si>
  <si>
    <t>0                      QA 0021000D  78          1990</t>
  </si>
  <si>
    <t>Journey through genius : the great theorems of mathematics / William Dunham.</t>
  </si>
  <si>
    <t>Dunham, William, 1947-</t>
  </si>
  <si>
    <t>New York : Wiley, ©1990.</t>
  </si>
  <si>
    <t>Wiley science editions</t>
  </si>
  <si>
    <t>2017-02-05</t>
  </si>
  <si>
    <t>2018-10-24</t>
  </si>
  <si>
    <t>795715025:eng</t>
  </si>
  <si>
    <t>20452336</t>
  </si>
  <si>
    <t>ocm20452336</t>
  </si>
  <si>
    <t>3102542419G</t>
  </si>
  <si>
    <t>9780471500308</t>
  </si>
  <si>
    <t>793088235</t>
  </si>
  <si>
    <t>QA21 H559 1989</t>
  </si>
  <si>
    <t>0                      QA 0021000H  559         1989</t>
  </si>
  <si>
    <t>Historical topics for the mathematics classroom.</t>
  </si>
  <si>
    <t>Reston, Va. : National Council of Teachers of Mathematics, ©1989.</t>
  </si>
  <si>
    <t>5090726757:eng</t>
  </si>
  <si>
    <t>19815183</t>
  </si>
  <si>
    <t>ocm19815183</t>
  </si>
  <si>
    <t>3100216577X</t>
  </si>
  <si>
    <t>9780873532815</t>
  </si>
  <si>
    <t>793069490</t>
  </si>
  <si>
    <t>QA21 K517</t>
  </si>
  <si>
    <t>0                      QA 0021000K  517</t>
  </si>
  <si>
    <t>Mathematics and the physical world / by Morris Kline.</t>
  </si>
  <si>
    <t>Kline, Morris, 1908-1992.</t>
  </si>
  <si>
    <t>New York : Crowell, [1959]</t>
  </si>
  <si>
    <t>2002-04-12</t>
  </si>
  <si>
    <t>52968639:eng</t>
  </si>
  <si>
    <t>904456</t>
  </si>
  <si>
    <t>ocm00904456</t>
  </si>
  <si>
    <t>3000970686K</t>
  </si>
  <si>
    <t>791498796</t>
  </si>
  <si>
    <t>QA21 M33 2000</t>
  </si>
  <si>
    <t>0                      QA 0021000M  33          2000</t>
  </si>
  <si>
    <t>Mathematics across cultures : the history of non-western mathematics / editor, Helaine Selin ; advisory editor, Ubiratan D'Ambrosio.</t>
  </si>
  <si>
    <t>Dordrecht ; Boston : Kluwer Academic, ©2000.</t>
  </si>
  <si>
    <t>Science across cultures ; v. 2</t>
  </si>
  <si>
    <t>2014-02-18</t>
  </si>
  <si>
    <t>806876959:eng</t>
  </si>
  <si>
    <t>44461960</t>
  </si>
  <si>
    <t>ocm44461960</t>
  </si>
  <si>
    <t>3102183944X</t>
  </si>
  <si>
    <t>9780792364818</t>
  </si>
  <si>
    <t>793646670</t>
  </si>
  <si>
    <t>QA21 M37 2005</t>
  </si>
  <si>
    <t>0                      QA 0021000M  37          2005</t>
  </si>
  <si>
    <t>Mathematics and the divine : a historical study / edited by T. Koetsier and L. Bergmans.</t>
  </si>
  <si>
    <t>Amsterdam ; Boston : Elsevier, 2005.</t>
  </si>
  <si>
    <t>Ist ed.</t>
  </si>
  <si>
    <t>2018-06-14</t>
  </si>
  <si>
    <t>943581621:eng</t>
  </si>
  <si>
    <t>56695893</t>
  </si>
  <si>
    <t>ocm56695893</t>
  </si>
  <si>
    <t>3102587917Z</t>
  </si>
  <si>
    <t>9780444503282</t>
  </si>
  <si>
    <t>793899343</t>
  </si>
  <si>
    <t>QA21 M413</t>
  </si>
  <si>
    <t>0                      QA 0021000M  413</t>
  </si>
  <si>
    <t>Ways of thought of great mathematicians; an approach to the history of mathematics. Translated by John Dyer-Bennet.</t>
  </si>
  <si>
    <t>Meschkowski, Herbert.</t>
  </si>
  <si>
    <t>The Mathesis series</t>
  </si>
  <si>
    <t>3943294541:eng</t>
  </si>
  <si>
    <t>395428</t>
  </si>
  <si>
    <t>ocm00395428</t>
  </si>
  <si>
    <t>3000691478V</t>
  </si>
  <si>
    <t>791364272</t>
  </si>
  <si>
    <t>QA21 M57 1978</t>
  </si>
  <si>
    <t>0                      QA 0021000M  57          1978</t>
  </si>
  <si>
    <t>Mathematical history : activities, puzzles, stories, and games / Merle Mitchell ; ill. inspired by Barbara Rives.</t>
  </si>
  <si>
    <t>Mitchell, Merle.</t>
  </si>
  <si>
    <t>Reston, Va. : National Council of Teachers of Mathematics, ©1978.</t>
  </si>
  <si>
    <t>1018412588:eng</t>
  </si>
  <si>
    <t>4494151</t>
  </si>
  <si>
    <t>ocm04494151</t>
  </si>
  <si>
    <t>3103034411$</t>
  </si>
  <si>
    <t>9780873531382</t>
  </si>
  <si>
    <t>792355062</t>
  </si>
  <si>
    <t>QA21 S64</t>
  </si>
  <si>
    <t>0                      QA 0021000S  64</t>
  </si>
  <si>
    <t>History of mathematics ... by David Eugene Smith.</t>
  </si>
  <si>
    <t>Smith, David Eugene, 1860-1944.</t>
  </si>
  <si>
    <t>Boston, New York Ginn and Co. [©1951- 53]</t>
  </si>
  <si>
    <t>Goldstine Printed Materials</t>
  </si>
  <si>
    <t>2015-08-18</t>
  </si>
  <si>
    <t>9242850005:eng</t>
  </si>
  <si>
    <t>1391085</t>
  </si>
  <si>
    <t>ocm01391085</t>
  </si>
  <si>
    <t>30010057118</t>
  </si>
  <si>
    <t>791617072</t>
  </si>
  <si>
    <t>QA21 W385 1995</t>
  </si>
  <si>
    <t>0                      QA 0021000W  385         1995</t>
  </si>
  <si>
    <t>The infinite in the finite / Alistair Macintosh Wilson.</t>
  </si>
  <si>
    <t>Wilson, Alistair Macintosh.</t>
  </si>
  <si>
    <t>Oxford ; New York : Oxford University Press, 1995.</t>
  </si>
  <si>
    <t>32939099:eng</t>
  </si>
  <si>
    <t>31171662</t>
  </si>
  <si>
    <t>ocm31171662</t>
  </si>
  <si>
    <t>3101713753B</t>
  </si>
  <si>
    <t>9780198539506</t>
  </si>
  <si>
    <t>793354904</t>
  </si>
  <si>
    <t>QA22 A63 2000</t>
  </si>
  <si>
    <t>0                      QA 0022000A  63          2000</t>
  </si>
  <si>
    <t>Ancient &amp; medieval traditions in the exact sciences : essays in memory of Wilbur Knorr / edited by Patrick Suppes, Julius M. Moravcsik, Henry Mendell.</t>
  </si>
  <si>
    <t>Stanford, Calif. : CSLI Publications, Center for the Study of Language and Information, ©2000.</t>
  </si>
  <si>
    <t>CSLI lecture notes</t>
  </si>
  <si>
    <t>807291782:eng</t>
  </si>
  <si>
    <t>44777326</t>
  </si>
  <si>
    <t>ocm44777326</t>
  </si>
  <si>
    <t>3102257151A</t>
  </si>
  <si>
    <t>9781575862743</t>
  </si>
  <si>
    <t>793657855</t>
  </si>
  <si>
    <t>QA22 C85 2001</t>
  </si>
  <si>
    <t>0                      QA 0022000C  85          2001</t>
  </si>
  <si>
    <t>Ancient mathematics / S. Cuomo.</t>
  </si>
  <si>
    <t>Cuomo, S. (Serafina)</t>
  </si>
  <si>
    <t>London ; New York : Routledge, 2001.</t>
  </si>
  <si>
    <t>Sciences of antiquity</t>
  </si>
  <si>
    <t>2015-11-12</t>
  </si>
  <si>
    <t>6505422:eng</t>
  </si>
  <si>
    <t>46462671</t>
  </si>
  <si>
    <t>ocm46462671</t>
  </si>
  <si>
    <t>3103053409W</t>
  </si>
  <si>
    <t>9780415164948</t>
  </si>
  <si>
    <t>793685322</t>
  </si>
  <si>
    <t>QA22 G53 1984</t>
  </si>
  <si>
    <t>0                      QA 0022000G  53          1984</t>
  </si>
  <si>
    <t>Mathematik in Antike und Orient / Helmuth Gericke.</t>
  </si>
  <si>
    <t>Gericke, Helmuth.</t>
  </si>
  <si>
    <t>Berlin ; New York : Springer, 1984.</t>
  </si>
  <si>
    <t>2015-01-16</t>
  </si>
  <si>
    <t>3901031135:ger</t>
  </si>
  <si>
    <t>11432559</t>
  </si>
  <si>
    <t>ocm11432559</t>
  </si>
  <si>
    <t>30004711646</t>
  </si>
  <si>
    <t>9780387116471</t>
  </si>
  <si>
    <t>792773086</t>
  </si>
  <si>
    <t>QA22 H67 2013</t>
  </si>
  <si>
    <t>0                      QA 0022000H  67          2013</t>
  </si>
  <si>
    <t>Plato and Pythagoreanism / Philip Sidney Horky.</t>
  </si>
  <si>
    <t>Horky, Phillip Sidney.</t>
  </si>
  <si>
    <t>New York : Oxford University Press, [2013]</t>
  </si>
  <si>
    <t>1391745799:eng</t>
  </si>
  <si>
    <t>823380557</t>
  </si>
  <si>
    <t>ocn823380557</t>
  </si>
  <si>
    <t>3103502604P</t>
  </si>
  <si>
    <t>9780199898220</t>
  </si>
  <si>
    <t>794937128</t>
  </si>
  <si>
    <t>QA22 M34 1998</t>
  </si>
  <si>
    <t>0                      QA 0022000M  34          1998</t>
  </si>
  <si>
    <t>Prolegomena mathematica : from Apollonius of Perga to late Neoplatonism : with an appendix on Pappus and the history of Platonism / by Jaap Mansfeld.</t>
  </si>
  <si>
    <t>Mansfeld, Jaap.</t>
  </si>
  <si>
    <t>Leiden ; Boston : Brill, 1998.</t>
  </si>
  <si>
    <t>Philosophia antiqua, 0079-1687 ; v. 80</t>
  </si>
  <si>
    <t>2015-10-27</t>
  </si>
  <si>
    <t>41601735:eng</t>
  </si>
  <si>
    <t>39658752</t>
  </si>
  <si>
    <t>ocm39658752</t>
  </si>
  <si>
    <t>31019073068</t>
  </si>
  <si>
    <t>9789004112674</t>
  </si>
  <si>
    <t>793550273</t>
  </si>
  <si>
    <t>QA22 T28 2006</t>
  </si>
  <si>
    <t>0                      QA 0022000T  28          2006</t>
  </si>
  <si>
    <t>The theoretic arithmetic of the Pythagoreans / by Thomas Taylor.</t>
  </si>
  <si>
    <t>Taylor, Thomas, 1758-1835.</t>
  </si>
  <si>
    <t>Dorset : The Prometheus Trust, 2006.</t>
  </si>
  <si>
    <t>Thomas Taylor series ; v. 30</t>
  </si>
  <si>
    <t>2945947931:eng</t>
  </si>
  <si>
    <t>64671017</t>
  </si>
  <si>
    <t>ocm64671017</t>
  </si>
  <si>
    <t>3102489699Q</t>
  </si>
  <si>
    <t>9781898910299</t>
  </si>
  <si>
    <t>794131312</t>
  </si>
  <si>
    <t>QA23 F65 2003</t>
  </si>
  <si>
    <t>0                      QA 0023000F  65          2003</t>
  </si>
  <si>
    <t>Essays on early medieval mathematics : the Latin tradition / Menso Folkerts.</t>
  </si>
  <si>
    <t>Folkerts, Menso.</t>
  </si>
  <si>
    <t>Aldershot, Hampshire, Great Britain ; Brookfield, Vt. : Ashgate/Variorum, ©2003.</t>
  </si>
  <si>
    <t>Variorum collected studies series ; CS751</t>
  </si>
  <si>
    <t>2018-04-03</t>
  </si>
  <si>
    <t>840229199:eng</t>
  </si>
  <si>
    <t>51289912</t>
  </si>
  <si>
    <t>ocm51289912</t>
  </si>
  <si>
    <t>3102779947E</t>
  </si>
  <si>
    <t>9780754678953</t>
  </si>
  <si>
    <t>793782328</t>
  </si>
  <si>
    <t>QA23 M928 2000</t>
  </si>
  <si>
    <t>0                      QA 0023000M  928         2000</t>
  </si>
  <si>
    <t>Kennedy, Macmillan and nuclear weapons / Donette Murray.</t>
  </si>
  <si>
    <t>Murray, Donette, 1973-</t>
  </si>
  <si>
    <t>Houndmills, Basingstoke, Hampshire and London : Macmillan Press ; New York : St. Martin's Press, 1999.</t>
  </si>
  <si>
    <t>Cold War history</t>
  </si>
  <si>
    <t>2015-11-28</t>
  </si>
  <si>
    <t>1089391:eng</t>
  </si>
  <si>
    <t>41213080</t>
  </si>
  <si>
    <t>ocm41213080</t>
  </si>
  <si>
    <t>3102028659D</t>
  </si>
  <si>
    <t>9780312222215</t>
  </si>
  <si>
    <t>793586817</t>
  </si>
  <si>
    <t>QA26 H3 1869</t>
  </si>
  <si>
    <t>0                      QA 0026000H  3           1869</t>
  </si>
  <si>
    <t>Die Entwickelung der Mathematick in den letzten Jahrhunderten : ein Vortrag beim in den akademischen Senat der Universität Tübingen am 29. April 1869 / gehalten von Hermann Hankel.</t>
  </si>
  <si>
    <t>Hankel, Hermann, 1839-1873.</t>
  </si>
  <si>
    <t>Tübingen : L.F. Fues, 1869.</t>
  </si>
  <si>
    <t>1869</t>
  </si>
  <si>
    <t>2015-05-15</t>
  </si>
  <si>
    <t>1152621745:ger</t>
  </si>
  <si>
    <t>427499313</t>
  </si>
  <si>
    <t>ocn427499313</t>
  </si>
  <si>
    <t>3000691469W</t>
  </si>
  <si>
    <t>794667935</t>
  </si>
  <si>
    <t>QA26 R67 2012</t>
  </si>
  <si>
    <t>0                      QA 0026000R  67          2012</t>
  </si>
  <si>
    <t>From foundations to philosophy of mathematics : an historical account of their development in the XX century and beyond / Joan Roselló.</t>
  </si>
  <si>
    <t>Roselló, Joan.</t>
  </si>
  <si>
    <t>Newcastle upon Tyne, UK : Cambridge Scholars Pub., 2012.</t>
  </si>
  <si>
    <t>2014-09-29</t>
  </si>
  <si>
    <t>1076471834:eng</t>
  </si>
  <si>
    <t>774639665</t>
  </si>
  <si>
    <t>ocn774639665</t>
  </si>
  <si>
    <t>3103408730Z</t>
  </si>
  <si>
    <t>9781443834599</t>
  </si>
  <si>
    <t>794906726</t>
  </si>
  <si>
    <t>QA27 C5 C58 1993</t>
  </si>
  <si>
    <t>0                      QA 0027000C  5                  C  58          1993</t>
  </si>
  <si>
    <t>Zhongguo ke xue ji shu dian ji tong hui. Shu xue juan / Guo Shuchun zhu bian ; [Zhongguo ke xue yuan zi ran ke xue shi yan jiu suo zhu ban].</t>
  </si>
  <si>
    <t>Zhongguo Zhengzhou : Henan jiao yu chu ban she, 1993.</t>
  </si>
  <si>
    <t>2017-03-31</t>
  </si>
  <si>
    <t>3769636718:chi</t>
  </si>
  <si>
    <t>41119404</t>
  </si>
  <si>
    <t>ocm41119404</t>
  </si>
  <si>
    <t>3102042205X</t>
  </si>
  <si>
    <t>9787534713583</t>
  </si>
  <si>
    <t>793584928</t>
  </si>
  <si>
    <t>3102042209P</t>
  </si>
  <si>
    <t>793584927</t>
  </si>
  <si>
    <t>3102042213Y</t>
  </si>
  <si>
    <t>793584924</t>
  </si>
  <si>
    <t>3102042208R</t>
  </si>
  <si>
    <t>793584926</t>
  </si>
  <si>
    <t>3102042204Z</t>
  </si>
  <si>
    <t>793584925</t>
  </si>
  <si>
    <t>QA27 G7 T3</t>
  </si>
  <si>
    <t>0                      QA 0027000G  7                  T  3</t>
  </si>
  <si>
    <t>The mathematical practitioners of Tudor &amp; Stuart England.</t>
  </si>
  <si>
    <t>Taylor, E. G. R. (Eva Germaine Rimington), 1879-1966.</t>
  </si>
  <si>
    <t>Cambridge [Eng.], [Published] for the Institute of Navigation at the University Press, 1954.</t>
  </si>
  <si>
    <t>2015-01-22</t>
  </si>
  <si>
    <t>131349974:eng</t>
  </si>
  <si>
    <t>1394346</t>
  </si>
  <si>
    <t>ocm01394346</t>
  </si>
  <si>
    <t>3000691489Q</t>
  </si>
  <si>
    <t>791617672</t>
  </si>
  <si>
    <t>QA27 G8 N47 1999</t>
  </si>
  <si>
    <t>0                      QA 0027000G  8                  N  47          1999</t>
  </si>
  <si>
    <t>The shaping of deduction in Greek mathematics : a study in cognitive history / Reviel Netz.</t>
  </si>
  <si>
    <t>Netz, Reviel.</t>
  </si>
  <si>
    <t>Cambridge ; New York : Cambridge University Press, 1999.</t>
  </si>
  <si>
    <t>Ideas in context ; 51</t>
  </si>
  <si>
    <t>793923934:eng</t>
  </si>
  <si>
    <t>39122840</t>
  </si>
  <si>
    <t>ocm39122840</t>
  </si>
  <si>
    <t>3101966601C</t>
  </si>
  <si>
    <t>9780521622790</t>
  </si>
  <si>
    <t>793538530</t>
  </si>
  <si>
    <t>QA27 I4 J67 2009</t>
  </si>
  <si>
    <t>0                      QA 0027000I  4                  J  67          2009</t>
  </si>
  <si>
    <t>A passage to infinity : medieval Indian mathematics from Kerala and its impact / George Gheverghese Joseph.</t>
  </si>
  <si>
    <t>Joseph, George Gheverghese.</t>
  </si>
  <si>
    <t>New Delhi ; Thousand Oaks : SAGE Publications, 2009.</t>
  </si>
  <si>
    <t>793230527:eng</t>
  </si>
  <si>
    <t>436310978</t>
  </si>
  <si>
    <t>ocn436310978</t>
  </si>
  <si>
    <t>3103300160B</t>
  </si>
  <si>
    <t>9788132101680</t>
  </si>
  <si>
    <t>794784609</t>
  </si>
  <si>
    <t>QA27 J3 U46 2017</t>
  </si>
  <si>
    <t>0                      QA 0027000J  3                  U  46          2017</t>
  </si>
  <si>
    <t>Wasan e no izanai : sūgaku o tanoshinda Edo jidai / Ueno Kenji.</t>
  </si>
  <si>
    <t>Ueno, Kenji, 1945- author.</t>
  </si>
  <si>
    <t>Tōkyō : Heibonsha, 2017.</t>
  </si>
  <si>
    <t>Shohan.</t>
  </si>
  <si>
    <t>jpn</t>
  </si>
  <si>
    <t>Bukkuretto "shomotsu o hiraku" ; 7</t>
  </si>
  <si>
    <t>4445470101:jpn</t>
  </si>
  <si>
    <t>994812216</t>
  </si>
  <si>
    <t>ocn994812216</t>
  </si>
  <si>
    <t>3103760462S</t>
  </si>
  <si>
    <t>9784582364477</t>
  </si>
  <si>
    <t>795039285</t>
  </si>
  <si>
    <t>QA27.J3 U54 2015</t>
  </si>
  <si>
    <t>0                      QA 0027000J  3                  U  54          2015</t>
  </si>
  <si>
    <t>Sangaku proofs : a Japanese mathematician at work / J. Marshall Unger.</t>
  </si>
  <si>
    <t>Unger, J. Marshall, author.</t>
  </si>
  <si>
    <t>Ithaca, New York : East Asia Program, Cornell University, [2015]</t>
  </si>
  <si>
    <t>Cornell East Asia series, 1050-2955 ; 175</t>
  </si>
  <si>
    <t>2822071815:eng</t>
  </si>
  <si>
    <t>906978081</t>
  </si>
  <si>
    <t>ocn906978081</t>
  </si>
  <si>
    <t>3103612177H</t>
  </si>
  <si>
    <t>9781939161550</t>
  </si>
  <si>
    <t>794992732</t>
  </si>
  <si>
    <t>QA27 J3 U54 2017</t>
  </si>
  <si>
    <t>0                      QA 0027000J  3                  U  54          2017</t>
  </si>
  <si>
    <t>Sangaku reflections : a Japanese mathematician teaches / J. Marshall Unger.</t>
  </si>
  <si>
    <t>Ithaca, New York : East Asia Program, Cornell University, [2017]</t>
  </si>
  <si>
    <t>Cornell East Asia series ; number 189</t>
  </si>
  <si>
    <t>9125237255:eng</t>
  </si>
  <si>
    <t>1042394595</t>
  </si>
  <si>
    <t>on1042394595</t>
  </si>
  <si>
    <t>3103809795M</t>
  </si>
  <si>
    <t>9781939161697</t>
  </si>
  <si>
    <t>795059522</t>
  </si>
  <si>
    <t>QA28 B4</t>
  </si>
  <si>
    <t>0                      QA 0028000B  4</t>
  </si>
  <si>
    <t>Men of mathematics / by E.T. Bell.</t>
  </si>
  <si>
    <t>New York : Simon and Schuster, 1937.</t>
  </si>
  <si>
    <t>3376537446:eng</t>
  </si>
  <si>
    <t>514181</t>
  </si>
  <si>
    <t>ocm00514181</t>
  </si>
  <si>
    <t>3103873331F</t>
  </si>
  <si>
    <t>791399960</t>
  </si>
  <si>
    <t>3101594744A</t>
  </si>
  <si>
    <t>791399959</t>
  </si>
  <si>
    <t>3103000594B</t>
  </si>
  <si>
    <t>791399958</t>
  </si>
  <si>
    <t>QA28 B78 1999</t>
  </si>
  <si>
    <t>0                      QA 0028000B  78          1999</t>
  </si>
  <si>
    <t>Math and mathematicians : the history of math discoveries around the world / Leonard C. Bruno ; Lawrence W. Baker, editor.</t>
  </si>
  <si>
    <t>Bruno, Leonard C.</t>
  </si>
  <si>
    <t>Detroit, Mich. : U X L, ©1999-&lt;c2003&gt;</t>
  </si>
  <si>
    <t>865544500:eng</t>
  </si>
  <si>
    <t>41497065</t>
  </si>
  <si>
    <t>ocm41497065</t>
  </si>
  <si>
    <t>3103303370S</t>
  </si>
  <si>
    <t>9780787638122</t>
  </si>
  <si>
    <t>793592866</t>
  </si>
  <si>
    <t>3103303379S</t>
  </si>
  <si>
    <t>793592865</t>
  </si>
  <si>
    <t>3103303384Q</t>
  </si>
  <si>
    <t>793592864</t>
  </si>
  <si>
    <t>3102669323A</t>
  </si>
  <si>
    <t>793592863</t>
  </si>
  <si>
    <t>QA29 F57 B68</t>
  </si>
  <si>
    <t>0                      QA 0029000F  57                 B  68</t>
  </si>
  <si>
    <t>R.A. Fisher, the life of a scientist / Joan Fisher Box.</t>
  </si>
  <si>
    <t>Box, Joan Fisher, 1926-</t>
  </si>
  <si>
    <t>New York : Wiley, ©1978.</t>
  </si>
  <si>
    <t>Wiley series in probability and mathematical statistics</t>
  </si>
  <si>
    <t>2003-12-12</t>
  </si>
  <si>
    <t>489276:eng</t>
  </si>
  <si>
    <t>3649815</t>
  </si>
  <si>
    <t>ocm03649815</t>
  </si>
  <si>
    <t>3001034364R</t>
  </si>
  <si>
    <t>9780471093008</t>
  </si>
  <si>
    <t>792276909</t>
  </si>
  <si>
    <t>QA29 G58 W357 1996</t>
  </si>
  <si>
    <t>0                      QA 0029000G  58                 W  357         1996</t>
  </si>
  <si>
    <t>A logical journey : from Gödel to philosophy / Hao Wang.</t>
  </si>
  <si>
    <t>Wang, Hao, 1921-</t>
  </si>
  <si>
    <t>Representation and mind</t>
  </si>
  <si>
    <t>364661913:eng</t>
  </si>
  <si>
    <t>35243454</t>
  </si>
  <si>
    <t>ocm35243454</t>
  </si>
  <si>
    <t>3101876743U</t>
  </si>
  <si>
    <t>9780262231893</t>
  </si>
  <si>
    <t>793447663</t>
  </si>
  <si>
    <t>QA29 G58 W36 1987</t>
  </si>
  <si>
    <t>0                      QA 0029000G  58                 W  36          1987</t>
  </si>
  <si>
    <t>Reflections on Kurt Gödel / Hao Wang.</t>
  </si>
  <si>
    <t>Cambridge, Mass. : MIT Press, ©1987.</t>
  </si>
  <si>
    <t>994966:eng</t>
  </si>
  <si>
    <t>14357534</t>
  </si>
  <si>
    <t>ocm14357534</t>
  </si>
  <si>
    <t>3102159392Y</t>
  </si>
  <si>
    <t>9780262231275</t>
  </si>
  <si>
    <t>792887072</t>
  </si>
  <si>
    <t>QA29 G595 I95 1983</t>
  </si>
  <si>
    <t>0                      QA 0029000G  595                I  95          1983</t>
  </si>
  <si>
    <t>Khristian Golʹdbakh, 1690-1764 / A.P. I︠U︡shkevich, I︠U︡. Kh. Kopelevich.</t>
  </si>
  <si>
    <t>I︠U︡shkevich, A. P. (Adolʹf Pavlovich), 1906-1993.</t>
  </si>
  <si>
    <t>Nauchno-biograficheskai︠a︡ serii︠a︡</t>
  </si>
  <si>
    <t>2015-10-03</t>
  </si>
  <si>
    <t>4202283138:rus</t>
  </si>
  <si>
    <t>10371214</t>
  </si>
  <si>
    <t>ocm10371214</t>
  </si>
  <si>
    <t>3103643472T</t>
  </si>
  <si>
    <t>792722972</t>
  </si>
  <si>
    <t>QA29 H88 D43 2007</t>
  </si>
  <si>
    <t>0                      QA 0029000H  88                 D  43          2007</t>
  </si>
  <si>
    <t>Hypatia of Alexandria : mathematician and martyr / Michael A.B. Deakin.</t>
  </si>
  <si>
    <t>Deakin, Michael A. B., 1939-</t>
  </si>
  <si>
    <t>Amherst, N.Y. : Prometheus Books, 2007.</t>
  </si>
  <si>
    <t>64125174:eng</t>
  </si>
  <si>
    <t>78791004</t>
  </si>
  <si>
    <t>ocm78791004</t>
  </si>
  <si>
    <t>3102644000G</t>
  </si>
  <si>
    <t>9781591025207</t>
  </si>
  <si>
    <t>794196053</t>
  </si>
  <si>
    <t>QA29 L72 B38 1986</t>
  </si>
  <si>
    <t>0                      QA 0029000L  72                 B  38          1986</t>
  </si>
  <si>
    <t>The calculating passion of Ada Byron / Joan Baum.</t>
  </si>
  <si>
    <t>Baum, Joan, 1937-</t>
  </si>
  <si>
    <t>Hamden, Conn. : Archon Books, 1986.</t>
  </si>
  <si>
    <t>2017-04-28</t>
  </si>
  <si>
    <t>7880025:eng</t>
  </si>
  <si>
    <t>13793405</t>
  </si>
  <si>
    <t>ocm13793405</t>
  </si>
  <si>
    <t>31037060932</t>
  </si>
  <si>
    <t>9780208021199</t>
  </si>
  <si>
    <t>792866664</t>
  </si>
  <si>
    <t>QA29 L72 H65 2018</t>
  </si>
  <si>
    <t>0                      QA 0029000L  72                 H  65          2018</t>
  </si>
  <si>
    <t>Ada Lovelace : the making of a computer scientist / Christopher Hollings, Ursula Martin &amp; Adrian Rice.</t>
  </si>
  <si>
    <t>Hollings, Christopher, 1982- author.</t>
  </si>
  <si>
    <t>Oxford : Bodleian Library, [2018]</t>
  </si>
  <si>
    <t>4897397808:eng</t>
  </si>
  <si>
    <t>1007310334</t>
  </si>
  <si>
    <t>on1007310334</t>
  </si>
  <si>
    <t>3103812808V</t>
  </si>
  <si>
    <t>9781851244881</t>
  </si>
  <si>
    <t>795043889</t>
  </si>
  <si>
    <t>QA29 V66 P68 1992</t>
  </si>
  <si>
    <t>0                      QA 0029000V  66                 P  68          1992</t>
  </si>
  <si>
    <t>Prisoner's dilemma / William Poundstone.</t>
  </si>
  <si>
    <t>Poundstone, William.</t>
  </si>
  <si>
    <t>New York : Doubleday, ©1992.</t>
  </si>
  <si>
    <t>25329831:eng</t>
  </si>
  <si>
    <t>23383657</t>
  </si>
  <si>
    <t>ocm23383657</t>
  </si>
  <si>
    <t>3100962203F</t>
  </si>
  <si>
    <t>9780385415675</t>
  </si>
  <si>
    <t>793168941</t>
  </si>
  <si>
    <t>QA29 W497 A35</t>
  </si>
  <si>
    <t>0                      QA 0029000W  497                A  35</t>
  </si>
  <si>
    <t>I am a mathematician, the later life of a prodigy; an autobiographical account of the mature years and career of Norbert Wiener and a continuation of the account of his childhood in Ex-prodigy.</t>
  </si>
  <si>
    <t>Garden City, N.Y., Doubleday, 1956.</t>
  </si>
  <si>
    <t>2008-02-03</t>
  </si>
  <si>
    <t>2018-01-14</t>
  </si>
  <si>
    <t>3956468:eng</t>
  </si>
  <si>
    <t>807476</t>
  </si>
  <si>
    <t>ocm00807476</t>
  </si>
  <si>
    <t>3000714081A</t>
  </si>
  <si>
    <t>791474893</t>
  </si>
  <si>
    <t>QA31 A5 1990</t>
  </si>
  <si>
    <t>0                      QA 0031000A  5           1990</t>
  </si>
  <si>
    <t>Conics, books V to VII : the Arabic translation of the lost Greek original in the version of the Banū Mūsā / Apollonius ; edited with translation and commentary by G.J. Toomer.</t>
  </si>
  <si>
    <t>Apollonius, of Perga.</t>
  </si>
  <si>
    <t>New York : Springer-Verlag, ©1990.</t>
  </si>
  <si>
    <t>Sources in the history of mathematics and physical sciences ; 9</t>
  </si>
  <si>
    <t>2015-09-02</t>
  </si>
  <si>
    <t>4160073552:eng</t>
  </si>
  <si>
    <t>20827845</t>
  </si>
  <si>
    <t>ocm20827845</t>
  </si>
  <si>
    <t>3101472748V</t>
  </si>
  <si>
    <t>9780387972169</t>
  </si>
  <si>
    <t>793100725</t>
  </si>
  <si>
    <t>31014727523</t>
  </si>
  <si>
    <t>793100726</t>
  </si>
  <si>
    <t>QA31 A513 2000</t>
  </si>
  <si>
    <t>0                      QA 0031000A  513         2000</t>
  </si>
  <si>
    <t>Conics. Books I-III / Apollonius of Perga ; translation by R. Catesby Taliaferro ; diagrams by William H. Donahue ; introduction by Harvey Flaumenhaft.</t>
  </si>
  <si>
    <t>Santa Fe, N.M. : Green Lion Press, ©1998.</t>
  </si>
  <si>
    <t>2nd print. with minor revisons; new rev. ed. / Dana Densmore, editor.</t>
  </si>
  <si>
    <t>2016-03-10</t>
  </si>
  <si>
    <t>364497239:eng</t>
  </si>
  <si>
    <t>51981970</t>
  </si>
  <si>
    <t>ocm51981970</t>
  </si>
  <si>
    <t>31022573622</t>
  </si>
  <si>
    <t>9781888009040</t>
  </si>
  <si>
    <t>793795738</t>
  </si>
  <si>
    <t>QA31 A513 2002</t>
  </si>
  <si>
    <t>0                      QA 0031000A  513         2002</t>
  </si>
  <si>
    <t>Treatise on conic sections / Apollonius of Perga ; edited in modern notation, with introductions including an essay on the earlier history of the subject, by T.L. Heath.</t>
  </si>
  <si>
    <t>Chicago, IL : Powell's Bookstore ; Mansfield Centre, CT : Martino Pub., [2002?]</t>
  </si>
  <si>
    <t>2016-07-03</t>
  </si>
  <si>
    <t>9021701865:eng</t>
  </si>
  <si>
    <t>49416008</t>
  </si>
  <si>
    <t>ocm49416008</t>
  </si>
  <si>
    <t>3102506428I</t>
  </si>
  <si>
    <t>9781578983797</t>
  </si>
  <si>
    <t>793740085</t>
  </si>
  <si>
    <t>QA31 A513 2013</t>
  </si>
  <si>
    <t>0                      QA 0031000A  513         2013</t>
  </si>
  <si>
    <t>Conics. Books I-IV : the entire surviving Greek text in the only English translation / Apollonius of Perga ; Books 1-III translated by R. Catesby Taliaferro, Book IV translated by Michael N. Fried.</t>
  </si>
  <si>
    <t>Santa Fe, New Mexico : Green Lion Press, [2013]</t>
  </si>
  <si>
    <t>9382665061:eng</t>
  </si>
  <si>
    <t>862831939</t>
  </si>
  <si>
    <t>ocn862831939</t>
  </si>
  <si>
    <t>3103637716D</t>
  </si>
  <si>
    <t>9781888009408</t>
  </si>
  <si>
    <t>794960648</t>
  </si>
  <si>
    <t>QA31 A692 2002</t>
  </si>
  <si>
    <t>0                      QA 0031000A  692         2002</t>
  </si>
  <si>
    <t>The works of Archimedes / edited by T.L. Heath.</t>
  </si>
  <si>
    <t>Archimedes.</t>
  </si>
  <si>
    <t>Mineola, N.Y. : Dover Publications, 2002.</t>
  </si>
  <si>
    <t>197117705:eng</t>
  </si>
  <si>
    <t>48876646</t>
  </si>
  <si>
    <t>ocm48876646</t>
  </si>
  <si>
    <t>3102871309T</t>
  </si>
  <si>
    <t>9780486420844</t>
  </si>
  <si>
    <t>793729505</t>
  </si>
  <si>
    <t>QA31 A8 Z57</t>
  </si>
  <si>
    <t>0                      QA 0031000A  8                  Z  57</t>
  </si>
  <si>
    <t>Dijksterhuis, E. J. (Eduard Jan), 1892-1965.</t>
  </si>
  <si>
    <t>Copenhagen, Munksgaard, 1956.</t>
  </si>
  <si>
    <t>und</t>
  </si>
  <si>
    <t>Acta historica scientiarum naturalium et medicinalium, v. 12</t>
  </si>
  <si>
    <t>2018-08-04</t>
  </si>
  <si>
    <t>8909993566:und</t>
  </si>
  <si>
    <t>909033</t>
  </si>
  <si>
    <t>ocm00909033</t>
  </si>
  <si>
    <t>30006876666</t>
  </si>
  <si>
    <t>791499731</t>
  </si>
  <si>
    <t>QA31 A95 H4</t>
  </si>
  <si>
    <t>0                      QA 0031000A  95                 H  4</t>
  </si>
  <si>
    <t>Mathematics in Aristotle / by Sir Thomas Heath.</t>
  </si>
  <si>
    <t>Heath, Thomas Little, Sir, 1861-1940.</t>
  </si>
  <si>
    <t>Oxford : Clarendon Press, 1949.</t>
  </si>
  <si>
    <t>490453:eng</t>
  </si>
  <si>
    <t>647537</t>
  </si>
  <si>
    <t>ocm00647537</t>
  </si>
  <si>
    <t>3000691470A</t>
  </si>
  <si>
    <t>791436975</t>
  </si>
  <si>
    <t>QA31 D52 M47 2010</t>
  </si>
  <si>
    <t>0                      QA 0031000D  52                 M  47          2010</t>
  </si>
  <si>
    <t>Travelling mathematics : the fate of Diophantos' arithmetic / Ad Meskens.</t>
  </si>
  <si>
    <t>Meskens, Ad.</t>
  </si>
  <si>
    <t>Basel : Birkhäuser, ©2010.</t>
  </si>
  <si>
    <t>Science networks. Historical studies ; v. 41</t>
  </si>
  <si>
    <t>686023602:eng</t>
  </si>
  <si>
    <t>693252232</t>
  </si>
  <si>
    <t>ocn693252232</t>
  </si>
  <si>
    <t>3103313659I</t>
  </si>
  <si>
    <t>9783034606424</t>
  </si>
  <si>
    <t>794856457</t>
  </si>
  <si>
    <t>QA31 E779165 2005</t>
  </si>
  <si>
    <t>0                      QA 0031000E  779165      2005</t>
  </si>
  <si>
    <t>Campanus of Novara and Euclid's elements / H.L.L. Busard.</t>
  </si>
  <si>
    <t>Euclid.</t>
  </si>
  <si>
    <t>Stuttgart : Steiner, 2005.</t>
  </si>
  <si>
    <t>Boethius ; Bd. 51</t>
  </si>
  <si>
    <t>3374025943:eng</t>
  </si>
  <si>
    <t>62553894</t>
  </si>
  <si>
    <t>ocm62553894</t>
  </si>
  <si>
    <t>31026012103</t>
  </si>
  <si>
    <t>9783515086455</t>
  </si>
  <si>
    <t>794109639</t>
  </si>
  <si>
    <t>31026012153</t>
  </si>
  <si>
    <t>794109638</t>
  </si>
  <si>
    <t>QA31 E867 1969</t>
  </si>
  <si>
    <t>0                      QA 0031000E  867         1969</t>
  </si>
  <si>
    <t>Elementa. Post J.L. Heiberg, ed. E.S. Stamatis.</t>
  </si>
  <si>
    <t>(Leipzig) Teubner BSB, 1969.</t>
  </si>
  <si>
    <t>grc</t>
  </si>
  <si>
    <t>Bibliotheca scriptorum Graecorum et Romanorum Teubneriana [Scriptores Graece]</t>
  </si>
  <si>
    <t>2000-11-09</t>
  </si>
  <si>
    <t>10177728333:grc</t>
  </si>
  <si>
    <t>1412696</t>
  </si>
  <si>
    <t>ocm01412696</t>
  </si>
  <si>
    <t>31004337052</t>
  </si>
  <si>
    <t>791620581</t>
  </si>
  <si>
    <t>31004337044</t>
  </si>
  <si>
    <t>791620580</t>
  </si>
  <si>
    <t>V. 5 Pt. 2</t>
  </si>
  <si>
    <t>2001-05-28</t>
  </si>
  <si>
    <t>3100433701A</t>
  </si>
  <si>
    <t>791620577</t>
  </si>
  <si>
    <t>3000308642A</t>
  </si>
  <si>
    <t>791620582</t>
  </si>
  <si>
    <t>V. 5 Pt. 1</t>
  </si>
  <si>
    <t>2009-07-29</t>
  </si>
  <si>
    <t>31004337028</t>
  </si>
  <si>
    <t>791620578</t>
  </si>
  <si>
    <t>31004337036</t>
  </si>
  <si>
    <t>791620579</t>
  </si>
  <si>
    <t>QA31 E875 1956</t>
  </si>
  <si>
    <t>0                      QA 0031000E  875         1956</t>
  </si>
  <si>
    <t>The thirteen books of Euclid's Elements / translated from the text of Heiberg, with introduction and commentary by Sir Thomas L. Heath.</t>
  </si>
  <si>
    <t>New York : Dover Publications, [1956]</t>
  </si>
  <si>
    <t>Second edition, revised with additions.</t>
  </si>
  <si>
    <t>Dover classics of science and mathematics</t>
  </si>
  <si>
    <t>2019-07-15</t>
  </si>
  <si>
    <t>10141826644:eng</t>
  </si>
  <si>
    <t>355237</t>
  </si>
  <si>
    <t>ocm00355237</t>
  </si>
  <si>
    <t>3103032037F</t>
  </si>
  <si>
    <t>9780486600888</t>
  </si>
  <si>
    <t>791348739</t>
  </si>
  <si>
    <t>V.1</t>
  </si>
  <si>
    <t>3103032032F</t>
  </si>
  <si>
    <t>791348741</t>
  </si>
  <si>
    <t>3103031932T</t>
  </si>
  <si>
    <t>791348740</t>
  </si>
  <si>
    <t>QA31 E8753 1998</t>
  </si>
  <si>
    <t>0                      QA 0031000E  8753        1998</t>
  </si>
  <si>
    <t>Euclid in China : the genesis of the first Chinese translation of Euclid's Elements, books I-VI (Jihe yuanben, Beijing, 1607) and its reception up to 1723 / by Peter M. Engelfriet.</t>
  </si>
  <si>
    <t>Engelfriet, Peter M.</t>
  </si>
  <si>
    <t>Sinica Leidensia, 0169-9563 ; v. 40</t>
  </si>
  <si>
    <t>366594105:eng</t>
  </si>
  <si>
    <t>38249467</t>
  </si>
  <si>
    <t>ocm38249467</t>
  </si>
  <si>
    <t>3101999503G</t>
  </si>
  <si>
    <t>9789004109445</t>
  </si>
  <si>
    <t>793520087</t>
  </si>
  <si>
    <t>QA31 F75 2001</t>
  </si>
  <si>
    <t>0                      QA 0031000F  75          2001</t>
  </si>
  <si>
    <t>Apollonius of Perga's Conica : text, context, subtext / by Michael N. Fried, Sabetai Unguru.</t>
  </si>
  <si>
    <t>Fried, Michael N.</t>
  </si>
  <si>
    <t>Leiden ; Boston : Brill, 2001.</t>
  </si>
  <si>
    <t>Mnemosyne, bibliotheca classica Batava. Supplementum, 0169-8958 ; 222</t>
  </si>
  <si>
    <t>308277199:eng</t>
  </si>
  <si>
    <t>47056365</t>
  </si>
  <si>
    <t>ocm47056365</t>
  </si>
  <si>
    <t>31022457457</t>
  </si>
  <si>
    <t>9789004119772</t>
  </si>
  <si>
    <t>793697438</t>
  </si>
  <si>
    <t>QA31 K59 1975</t>
  </si>
  <si>
    <t>0                      QA 0031000K  59          1975</t>
  </si>
  <si>
    <t>The evolution of the Euclidean elements : a study of the theory of incommensurable magnitudes and its significance for early Greek geometry / Wilbur Richard Knorr.</t>
  </si>
  <si>
    <t>Knorr, Wilbur Richard, 1945-</t>
  </si>
  <si>
    <t>Dordrecht, Holland ; Boston : D. Reidel Pub. Co., [1975]</t>
  </si>
  <si>
    <t>Synthese historical library ; v. 15</t>
  </si>
  <si>
    <t>2019-08-28</t>
  </si>
  <si>
    <t>796042095:eng</t>
  </si>
  <si>
    <t>1339807</t>
  </si>
  <si>
    <t>ocm01339807</t>
  </si>
  <si>
    <t>31025084338</t>
  </si>
  <si>
    <t>9789027705099</t>
  </si>
  <si>
    <t>791604281</t>
  </si>
  <si>
    <t>QA31 L45 2010</t>
  </si>
  <si>
    <t>0                      QA 0031000L  45          2010</t>
  </si>
  <si>
    <t>Die Erfindung der Messkunst : angewandte Mathematik im antiken Griechenland / Dieter Lelgemann.</t>
  </si>
  <si>
    <t>Lelgemann, Dieter.</t>
  </si>
  <si>
    <t>Darmstadt : WBG, Wissenschaftliche Buchgesellschaft, 2010.</t>
  </si>
  <si>
    <t>890568928:ger</t>
  </si>
  <si>
    <t>505428338</t>
  </si>
  <si>
    <t>ocn505428338</t>
  </si>
  <si>
    <t>31032848978</t>
  </si>
  <si>
    <t>9783534231188</t>
  </si>
  <si>
    <t>794807207</t>
  </si>
  <si>
    <t>QA31 N48 2007</t>
  </si>
  <si>
    <t>0                      QA 0031000N  48          2007</t>
  </si>
  <si>
    <t>The Archimedes codex / Reviel Netz, William Noel.</t>
  </si>
  <si>
    <t>London : Weidenfeld &amp; Nicolson, 2007.</t>
  </si>
  <si>
    <t>2017-05-10</t>
  </si>
  <si>
    <t>4020184414:eng</t>
  </si>
  <si>
    <t>80331794</t>
  </si>
  <si>
    <t>ocm80331794</t>
  </si>
  <si>
    <t>31026478489</t>
  </si>
  <si>
    <t>9780297645474</t>
  </si>
  <si>
    <t>794200466</t>
  </si>
  <si>
    <t>QA31 N6 A3</t>
  </si>
  <si>
    <t>0                      QA 0031000N  6                  A  3</t>
  </si>
  <si>
    <t>Introduction to arithmetic / translated into English by Martin Luther D'Ooge ; with studies in Greek arithmetic by Frank Egleston Robbins and Louis Charles Karpinski.</t>
  </si>
  <si>
    <t>Nicomachus, of Gerasa.</t>
  </si>
  <si>
    <t>New York : Macmillan Co. ; London : Macmillan and Co., 1926.</t>
  </si>
  <si>
    <t>University of Michigan studies. Humanistic series ; v. 16</t>
  </si>
  <si>
    <t>2018-03-06</t>
  </si>
  <si>
    <t>322126:eng</t>
  </si>
  <si>
    <t>1398050</t>
  </si>
  <si>
    <t>ocm01398050</t>
  </si>
  <si>
    <t>3103107860B</t>
  </si>
  <si>
    <t>791618299</t>
  </si>
  <si>
    <t>QA31 P4</t>
  </si>
  <si>
    <t>0                      QA 0031000P  4</t>
  </si>
  <si>
    <t>The commentary of Pappus on book x of Euclid's Elements; Arabic text and translation by William Thomson; with introductory remarks, notes, and glossary of technical terms by Gustav Junge and William Thomson.</t>
  </si>
  <si>
    <t>Pappus, of Alexandria.</t>
  </si>
  <si>
    <t>Cambridge, Harvard University Press, 1930.</t>
  </si>
  <si>
    <t>Harvard Semitic series. vol. VIII</t>
  </si>
  <si>
    <t>2018-03-07</t>
  </si>
  <si>
    <t>4915316289:eng</t>
  </si>
  <si>
    <t>318937110</t>
  </si>
  <si>
    <t>ocn318937110</t>
  </si>
  <si>
    <t>3103773748Q</t>
  </si>
  <si>
    <t>794483140</t>
  </si>
  <si>
    <t>QA31 P744</t>
  </si>
  <si>
    <t>0                      QA 0031000P  744</t>
  </si>
  <si>
    <t>Les commentaires sur le premier livre des Elements d'Euclide / traduits pour la premiere fois du grec en francais avec une introduction et des notes par Paul Ver Eecke.</t>
  </si>
  <si>
    <t>Proclus, approximately 410-485.</t>
  </si>
  <si>
    <t>Bruges : [publisher not identified], 1948.</t>
  </si>
  <si>
    <t>4061393663:fre</t>
  </si>
  <si>
    <t>427505799</t>
  </si>
  <si>
    <t>ocn427505799</t>
  </si>
  <si>
    <t>3103679452O</t>
  </si>
  <si>
    <t>794670103</t>
  </si>
  <si>
    <t>QA32 L534 2010</t>
  </si>
  <si>
    <t>0                      QA 0032000L  534         2010</t>
  </si>
  <si>
    <t>Le Liber mahameleth : édition critique et commentaires / édité par Anne-Marie Vlasschaert.</t>
  </si>
  <si>
    <t>Stuttgart : Steiner, 2010.</t>
  </si>
  <si>
    <t>Boethius ; Bd. 60</t>
  </si>
  <si>
    <t>792057382:fre</t>
  </si>
  <si>
    <t>631138612</t>
  </si>
  <si>
    <t>ocn631138612</t>
  </si>
  <si>
    <t>3103302813T</t>
  </si>
  <si>
    <t>9783515092388</t>
  </si>
  <si>
    <t>794824795</t>
  </si>
  <si>
    <t>QA32 M8</t>
  </si>
  <si>
    <t>0                      QA 0032000M  8</t>
  </si>
  <si>
    <t>Robert of Chester's Latin translation of the Algebra of al-Khowarizmi / with an introduction, critical notes and an English version by Louis Charles Karpinski.</t>
  </si>
  <si>
    <t>Khuwārizmī, Muḥammad ibn Mūsá, active 813-846.</t>
  </si>
  <si>
    <t>New York : Macmillan ; London : Macmillan and Co., 1915.</t>
  </si>
  <si>
    <t>University of Michigan studies. Humanistic series ; v. 11, pt. 1</t>
  </si>
  <si>
    <t>2009-07-28</t>
  </si>
  <si>
    <t>9023459:lat</t>
  </si>
  <si>
    <t>20558585</t>
  </si>
  <si>
    <t>ocm20558585</t>
  </si>
  <si>
    <t>3000688553E</t>
  </si>
  <si>
    <t>793091318</t>
  </si>
  <si>
    <t>QA33 D5</t>
  </si>
  <si>
    <t>0                      QA 0033000D  5</t>
  </si>
  <si>
    <t>The geometry of René Descartes, translated from the French and Latin by David Eugene Smith and Marcia L. Latham; with a facsimile of the first edition, 1637.</t>
  </si>
  <si>
    <t>[New York] Dover Publications [1954]</t>
  </si>
  <si>
    <t>4087517878:eng</t>
  </si>
  <si>
    <t>5916455</t>
  </si>
  <si>
    <t>ocm05916455</t>
  </si>
  <si>
    <t>3000702064Q</t>
  </si>
  <si>
    <t>9780486600680</t>
  </si>
  <si>
    <t>792463290</t>
  </si>
  <si>
    <t>QA33 H613 1981</t>
  </si>
  <si>
    <t>0                      QA 0033000H  613         1981</t>
  </si>
  <si>
    <t>Computatio, sive, Logica = Logic / Thomas Hobbes ; translation and commentary by Aloysius Martinich ; edited, and with an introductory essay, by Isabel C. Hungerland and George R. Vick.</t>
  </si>
  <si>
    <t>Hobbes, Thomas, 1588-1679.</t>
  </si>
  <si>
    <t>New York : Abaris Books, 1981.</t>
  </si>
  <si>
    <t>Janus series ; 8</t>
  </si>
  <si>
    <t>426878740:eng</t>
  </si>
  <si>
    <t>7157645</t>
  </si>
  <si>
    <t>ocm07157645</t>
  </si>
  <si>
    <t>3102779939G</t>
  </si>
  <si>
    <t>9780913870365</t>
  </si>
  <si>
    <t>792542745</t>
  </si>
  <si>
    <t>QA36 A453</t>
  </si>
  <si>
    <t>0                      QA 0036000A  453</t>
  </si>
  <si>
    <t>Mathematics, its content, methods and meaning. Edited by A.D. Aleksandrov, A.N. Kolmogorov [and] M.A. Lavrent'ev.</t>
  </si>
  <si>
    <t>V. 1 Pt. 3</t>
  </si>
  <si>
    <t>Matematicheskiĭ institut im. V.A. Steklova.</t>
  </si>
  <si>
    <t>Providence, American Mathematical Society, 1962-63.</t>
  </si>
  <si>
    <t>Translations of mathematical monographs ; v. 1</t>
  </si>
  <si>
    <t>3945655500:eng</t>
  </si>
  <si>
    <t>10780029</t>
  </si>
  <si>
    <t>ocm10780029</t>
  </si>
  <si>
    <t>3100433692M</t>
  </si>
  <si>
    <t>792743293</t>
  </si>
  <si>
    <t>V. 1 Pt. 4</t>
  </si>
  <si>
    <t>3100433691O</t>
  </si>
  <si>
    <t>792743292</t>
  </si>
  <si>
    <t>V. 1 Pt. 5</t>
  </si>
  <si>
    <t>3100433690Q</t>
  </si>
  <si>
    <t>792743291</t>
  </si>
  <si>
    <t>V. 1 Pt. 2</t>
  </si>
  <si>
    <t>3000802417C</t>
  </si>
  <si>
    <t>792743294</t>
  </si>
  <si>
    <t>V. 1 Pt. 6</t>
  </si>
  <si>
    <t>3100433695G</t>
  </si>
  <si>
    <t>792743290</t>
  </si>
  <si>
    <t>QA36 B37 1992</t>
  </si>
  <si>
    <t>0                      QA 0036000B  37          1992</t>
  </si>
  <si>
    <t>Pi in the sky : counting, thinking, and being / John D. Barrow.</t>
  </si>
  <si>
    <t>Barrow, John D., 1952-</t>
  </si>
  <si>
    <t>Oxford : Clarendon Press ; New York : Oxford University Press, 1992.</t>
  </si>
  <si>
    <t>2018-10-26</t>
  </si>
  <si>
    <t>806855002:eng</t>
  </si>
  <si>
    <t>26097247</t>
  </si>
  <si>
    <t>ocm26097247</t>
  </si>
  <si>
    <t>3101517392B</t>
  </si>
  <si>
    <t>9780198539568</t>
  </si>
  <si>
    <t>793237385</t>
  </si>
  <si>
    <t>QA36 C75 2011</t>
  </si>
  <si>
    <t>0                      QA 0036000C  75          2011</t>
  </si>
  <si>
    <t>Mathematics / Tony Crilly.</t>
  </si>
  <si>
    <t>Crilly, A. J.</t>
  </si>
  <si>
    <t>London : Quercus, ©2011.</t>
  </si>
  <si>
    <t>The big questions</t>
  </si>
  <si>
    <t>3769762376:eng</t>
  </si>
  <si>
    <t>701110131</t>
  </si>
  <si>
    <t>ocn701110131</t>
  </si>
  <si>
    <t>31032353839</t>
  </si>
  <si>
    <t>9781849162401</t>
  </si>
  <si>
    <t>794862601</t>
  </si>
  <si>
    <t>QA37 D19</t>
  </si>
  <si>
    <t>0                      QA 0037000D  19</t>
  </si>
  <si>
    <t>Number : the language of science ...</t>
  </si>
  <si>
    <t>Dantzig, Tobias, 1884-1956.</t>
  </si>
  <si>
    <t>New York : MacMillan, 1949.</t>
  </si>
  <si>
    <t>3902625475:eng</t>
  </si>
  <si>
    <t>61620642</t>
  </si>
  <si>
    <t>ocm61620642</t>
  </si>
  <si>
    <t>3001006453$</t>
  </si>
  <si>
    <t>794059396</t>
  </si>
  <si>
    <t>QA37 F85 1939</t>
  </si>
  <si>
    <t>0                      QA 0037000F  85          1939</t>
  </si>
  <si>
    <t>Mathematics for actuarial students, by Harry Freeman ...</t>
  </si>
  <si>
    <t>Freeman, Harry, 1888-</t>
  </si>
  <si>
    <t>Cambridge [England] Published for the Institute of Actuaries at the University Press, 1939.</t>
  </si>
  <si>
    <t>2019-05-31</t>
  </si>
  <si>
    <t>2391367:eng</t>
  </si>
  <si>
    <t>1486605</t>
  </si>
  <si>
    <t>ocm01486605</t>
  </si>
  <si>
    <t>3000716285L</t>
  </si>
  <si>
    <t>9781316606988</t>
  </si>
  <si>
    <t>791672767</t>
  </si>
  <si>
    <t>3100433758I</t>
  </si>
  <si>
    <t>791672766</t>
  </si>
  <si>
    <t>QA37 S66</t>
  </si>
  <si>
    <t>0                      QA 0037000S  66</t>
  </si>
  <si>
    <t>Some aspects of analysis and probability [by] Irving Kaplansky [and others].</t>
  </si>
  <si>
    <t>Surveys in applied mathematics, 4</t>
  </si>
  <si>
    <t>509636710:eng</t>
  </si>
  <si>
    <t>904466</t>
  </si>
  <si>
    <t>ocm00904466</t>
  </si>
  <si>
    <t>3000498637G</t>
  </si>
  <si>
    <t>791498799</t>
  </si>
  <si>
    <t>QA37.2 H227 1995</t>
  </si>
  <si>
    <t>0                      QA 0037200H  227         1995</t>
  </si>
  <si>
    <t>Basic math for social scientists : concepts / Timothy M. Hagle.</t>
  </si>
  <si>
    <t>Hagle, Timothy M.</t>
  </si>
  <si>
    <t>Sage university papers series. Quantitative applications in the social sciences ; no. 07-108</t>
  </si>
  <si>
    <t>2015-02-02</t>
  </si>
  <si>
    <t>3372974568:eng</t>
  </si>
  <si>
    <t>32468661</t>
  </si>
  <si>
    <t>ocm32468661</t>
  </si>
  <si>
    <t>3101489406I</t>
  </si>
  <si>
    <t>9780803958753</t>
  </si>
  <si>
    <t>793385128</t>
  </si>
  <si>
    <t>QA37.2 L38 2017</t>
  </si>
  <si>
    <t>0                      QA 0037200L  38          2017</t>
  </si>
  <si>
    <t>Survey of basic mathematics 1 / Hang Lau.</t>
  </si>
  <si>
    <t>Lau, H. T. (Hang Tong), 1952-</t>
  </si>
  <si>
    <t>Toronto, Ontario : Nelson Education,, ©2017.</t>
  </si>
  <si>
    <t>Custom edition.</t>
  </si>
  <si>
    <t>3897137285:eng</t>
  </si>
  <si>
    <t>959983149</t>
  </si>
  <si>
    <t>ocn959983149</t>
  </si>
  <si>
    <t>31036838224</t>
  </si>
  <si>
    <t>9780176774042</t>
  </si>
  <si>
    <t>795022863</t>
  </si>
  <si>
    <t>QA37.2 M38 2007</t>
  </si>
  <si>
    <t>0                      QA 0037200M  38          2007</t>
  </si>
  <si>
    <t>Mathematics for management / selected and arranged by Hang Lau.</t>
  </si>
  <si>
    <t>Boston, MA : Pearson Custom Publishing, [2007]</t>
  </si>
  <si>
    <t>Custom ed. for McGill University.</t>
  </si>
  <si>
    <t>2015-03-27</t>
  </si>
  <si>
    <t>2017-01-08</t>
  </si>
  <si>
    <t>503323052:eng</t>
  </si>
  <si>
    <t>253907368</t>
  </si>
  <si>
    <t>ocn253907368</t>
  </si>
  <si>
    <t>3102837379B</t>
  </si>
  <si>
    <t>9780536481733</t>
  </si>
  <si>
    <t>794396660</t>
  </si>
  <si>
    <t>3102820267C</t>
  </si>
  <si>
    <t>794396659</t>
  </si>
  <si>
    <t>QA37.2 M38 2009</t>
  </si>
  <si>
    <t>0                      QA 0037200M  38          2009</t>
  </si>
  <si>
    <t>Boston, MA : Pearson Custom Publishing, [2009]</t>
  </si>
  <si>
    <t>Rev. custom ed. for McGill University.</t>
  </si>
  <si>
    <t>2019-06-05</t>
  </si>
  <si>
    <t>436840437</t>
  </si>
  <si>
    <t>ocn436840437</t>
  </si>
  <si>
    <t>3103142604T</t>
  </si>
  <si>
    <t>9780558348502</t>
  </si>
  <si>
    <t>794784967</t>
  </si>
  <si>
    <t>3103142460N</t>
  </si>
  <si>
    <t>794784968</t>
  </si>
  <si>
    <t>QA37.2 M38 2010</t>
  </si>
  <si>
    <t>0                      QA 0037200M  38          2010</t>
  </si>
  <si>
    <t>Boston, MA : Pearson Learning Solutions, [2010]</t>
  </si>
  <si>
    <t>2nd custom ed. for McGill University.</t>
  </si>
  <si>
    <t>668401897</t>
  </si>
  <si>
    <t>ocn668401897</t>
  </si>
  <si>
    <t>3103358390G</t>
  </si>
  <si>
    <t>9780558591502</t>
  </si>
  <si>
    <t>794846521</t>
  </si>
  <si>
    <t>3103524412B</t>
  </si>
  <si>
    <t>794846522</t>
  </si>
  <si>
    <t>2019-11-02</t>
  </si>
  <si>
    <t>31036347972</t>
  </si>
  <si>
    <t>794846520</t>
  </si>
  <si>
    <t>- Reserves (ASK AT THE SERVICE DESK) - 3 Hour Loan</t>
  </si>
  <si>
    <t>QA37.2 M38 2015</t>
  </si>
  <si>
    <t>0                      QA 0037200M  38          2015</t>
  </si>
  <si>
    <t>New York, New York : Pearson Learning Solutions, ©2015.</t>
  </si>
  <si>
    <t>Third custom edition for McGill University.</t>
  </si>
  <si>
    <t>2020-01-12</t>
  </si>
  <si>
    <t>920573584</t>
  </si>
  <si>
    <t>ocn920573584</t>
  </si>
  <si>
    <t>3103701188G</t>
  </si>
  <si>
    <t>9781323243916</t>
  </si>
  <si>
    <t>795002380</t>
  </si>
  <si>
    <t>2020-01-11</t>
  </si>
  <si>
    <t>3103773150Q</t>
  </si>
  <si>
    <t>795002381</t>
  </si>
  <si>
    <t>QA37.3 B37 2005</t>
  </si>
  <si>
    <t>0                      QA 0037300B  37          2005</t>
  </si>
  <si>
    <t>College mathematics for business, economics, life sciences, and social sciences.</t>
  </si>
  <si>
    <t>Barnett, Raymond A.</t>
  </si>
  <si>
    <t>Upper Saddle River, N.J. : Pearson Prentice Hall, ©2005.</t>
  </si>
  <si>
    <t>10th ed. / Raymond A. Barnett, Michael R. Ziegler, Karl E. Byleen.</t>
  </si>
  <si>
    <t>890473:eng</t>
  </si>
  <si>
    <t>54897134</t>
  </si>
  <si>
    <t>ocm54897134</t>
  </si>
  <si>
    <t>3102518716Z</t>
  </si>
  <si>
    <t>9780131432093</t>
  </si>
  <si>
    <t>793869965</t>
  </si>
  <si>
    <t>QA37.3 L53 2012 Solutions</t>
  </si>
  <si>
    <t>0                      QA 0037300L  53          2012                                        Solutions</t>
  </si>
  <si>
    <t>Student solutions manual for Finite mathematics and calculus with applications, 9th edition / Margaret Lial, Ray Greenwell, Nathan Ritchey.</t>
  </si>
  <si>
    <t>Lial, Margaret L.</t>
  </si>
  <si>
    <t>Upper Saddle River, N.J. ; Harlow : Pearson Education, 2012.</t>
  </si>
  <si>
    <t>2019-04-01</t>
  </si>
  <si>
    <t>3861251509:eng</t>
  </si>
  <si>
    <t>754168106</t>
  </si>
  <si>
    <t>ocn754168106</t>
  </si>
  <si>
    <t>3103402088X</t>
  </si>
  <si>
    <t>9780321746238</t>
  </si>
  <si>
    <t>794892599</t>
  </si>
  <si>
    <t>3103559951R</t>
  </si>
  <si>
    <t>794892600</t>
  </si>
  <si>
    <t>QA37.3 L54 2005</t>
  </si>
  <si>
    <t>0                      QA 0037300L  54          2005</t>
  </si>
  <si>
    <t>Finite mathematics and calculus with applications.</t>
  </si>
  <si>
    <t>Boston : Pearson Addison Wesley, ©2005.</t>
  </si>
  <si>
    <t>7th ed. / Margaret 1. Lial, Raymond N. Greenwell, Nathan P. Ritchey.</t>
  </si>
  <si>
    <t>2017-02-17</t>
  </si>
  <si>
    <t>2018-09-11</t>
  </si>
  <si>
    <t>3503655708:eng</t>
  </si>
  <si>
    <t>54543567</t>
  </si>
  <si>
    <t>ocm54543567</t>
  </si>
  <si>
    <t>3102518811W</t>
  </si>
  <si>
    <t>9780321228239</t>
  </si>
  <si>
    <t>793864344</t>
  </si>
  <si>
    <t>QA37.3 L54 2012</t>
  </si>
  <si>
    <t>0                      QA 0037300L  54          2012</t>
  </si>
  <si>
    <t>Boston : Pearson, ©2012.</t>
  </si>
  <si>
    <t>9th ed. / Margaret 1. Lial, Raymond N. Greenwell, Nathan P. Ritchey.</t>
  </si>
  <si>
    <t>2019-12-05</t>
  </si>
  <si>
    <t>655302068</t>
  </si>
  <si>
    <t>ocn655302068</t>
  </si>
  <si>
    <t>3103198983T</t>
  </si>
  <si>
    <t>9780321749086</t>
  </si>
  <si>
    <t>794834264</t>
  </si>
  <si>
    <t>3103588716U</t>
  </si>
  <si>
    <t>794834265</t>
  </si>
  <si>
    <t>3103198988T</t>
  </si>
  <si>
    <t>794834263</t>
  </si>
  <si>
    <t>31035596127</t>
  </si>
  <si>
    <t>794834262</t>
  </si>
  <si>
    <t>QA37.3 L54 2016</t>
  </si>
  <si>
    <t>0                      QA 0037300L  54          2016</t>
  </si>
  <si>
    <t>Finite mathematics and calculus with applications / Margaret L. Lial, American River College, Raymond N. Greenwell, Hofstra University, Nathan P. Ritchey, Edinboro University.</t>
  </si>
  <si>
    <t>Boston : Pearson, [2016]</t>
  </si>
  <si>
    <t>Tenth edition.</t>
  </si>
  <si>
    <t>2019-10-18</t>
  </si>
  <si>
    <t>2020-01-16</t>
  </si>
  <si>
    <t>894670525</t>
  </si>
  <si>
    <t>ocn894670525</t>
  </si>
  <si>
    <t>31037663363</t>
  </si>
  <si>
    <t>9780321979407</t>
  </si>
  <si>
    <t>794982933</t>
  </si>
  <si>
    <t>31037663606</t>
  </si>
  <si>
    <t>794982935</t>
  </si>
  <si>
    <t>Student's solutions manual : Finite mathematics and calculus with applications, tenth edition, Margaret L. Lial, Raymond N. Greenwell, Nathan P. Ritchey / Elka Block, Frank Purcell.</t>
  </si>
  <si>
    <t>Block, Elka, author.</t>
  </si>
  <si>
    <t>Boston, MA : Pearson Education, Inc., [2016]</t>
  </si>
  <si>
    <t>3815872353:eng</t>
  </si>
  <si>
    <t>967750062</t>
  </si>
  <si>
    <t>ocn967750062</t>
  </si>
  <si>
    <t>31037933433</t>
  </si>
  <si>
    <t>9780133920659</t>
  </si>
  <si>
    <t>795026696</t>
  </si>
  <si>
    <t>3103766359S</t>
  </si>
  <si>
    <t>794982936</t>
  </si>
  <si>
    <t>2019-12-08</t>
  </si>
  <si>
    <t>3103766341A</t>
  </si>
  <si>
    <t>794982932</t>
  </si>
  <si>
    <t>3103766331D</t>
  </si>
  <si>
    <t>794982934</t>
  </si>
  <si>
    <t>QA37.3 M38 2016</t>
  </si>
  <si>
    <t>0                      QA 0037300M  38          2016</t>
  </si>
  <si>
    <t>Mathematical tools for management professional / selected and arranged by Hang Lau.</t>
  </si>
  <si>
    <t>New York : Pearson Education, [2016].</t>
  </si>
  <si>
    <t>Custom edition for McGill University.</t>
  </si>
  <si>
    <t>2019-10-16</t>
  </si>
  <si>
    <t>3877366270:eng</t>
  </si>
  <si>
    <t>958885613</t>
  </si>
  <si>
    <t>ocn958885613</t>
  </si>
  <si>
    <t>3103699219I</t>
  </si>
  <si>
    <t>9781323449769</t>
  </si>
  <si>
    <t>795022095</t>
  </si>
  <si>
    <t>3103667655Q</t>
  </si>
  <si>
    <t>795022096</t>
  </si>
  <si>
    <t>QA37.3 M38 2016 Manual</t>
  </si>
  <si>
    <t>0                      QA 0037300M  38          2016                                        Manual</t>
  </si>
  <si>
    <t>Student's solutions manual for Mathematical tools for management professionals / selected and arranged by Hang Lau.</t>
  </si>
  <si>
    <t>Manual*</t>
  </si>
  <si>
    <t>New York : Pearson Education, ©2016.</t>
  </si>
  <si>
    <t>3897108299:eng</t>
  </si>
  <si>
    <t>959983827</t>
  </si>
  <si>
    <t>ocn959983827</t>
  </si>
  <si>
    <t>3103683818W</t>
  </si>
  <si>
    <t>9781323449806</t>
  </si>
  <si>
    <t>795022865</t>
  </si>
  <si>
    <t>QA39.2 F68 1987</t>
  </si>
  <si>
    <t>0                      QA 0039200F  68          1987</t>
  </si>
  <si>
    <t>Foundations of mathematics / Dino Dottori [and others].</t>
  </si>
  <si>
    <t>Scarborough, Ont. : McGraw-Hill Ryerson, 1987.</t>
  </si>
  <si>
    <t>The McGraw-Hill Ryerson mathematics program</t>
  </si>
  <si>
    <t>2009-01-12</t>
  </si>
  <si>
    <t>2865338906:eng</t>
  </si>
  <si>
    <t>427389123</t>
  </si>
  <si>
    <t>ocn427389123</t>
  </si>
  <si>
    <t>3100519245M</t>
  </si>
  <si>
    <t>9780075487289</t>
  </si>
  <si>
    <t>794649104</t>
  </si>
  <si>
    <t>3100518544H</t>
  </si>
  <si>
    <t>794649103</t>
  </si>
  <si>
    <t>2006-08-11</t>
  </si>
  <si>
    <t>3100519244O</t>
  </si>
  <si>
    <t>794649105</t>
  </si>
  <si>
    <t>2008-11-18</t>
  </si>
  <si>
    <t>3103873401K</t>
  </si>
  <si>
    <t>794649106</t>
  </si>
  <si>
    <t>QA39.2 M373 1982</t>
  </si>
  <si>
    <t>0                      QA 0039200M  373         1982</t>
  </si>
  <si>
    <t>Thinking mathematically / by John Mason, with Leone Burton and Kaye Stacey.</t>
  </si>
  <si>
    <t>Mason, John, 1944-</t>
  </si>
  <si>
    <t>London ; Reading, Mass. : Addison-Wesley Pub. Co., ©1982.</t>
  </si>
  <si>
    <t>2003-06-30</t>
  </si>
  <si>
    <t>2015-11-20</t>
  </si>
  <si>
    <t>417171:eng</t>
  </si>
  <si>
    <t>8112759</t>
  </si>
  <si>
    <t>ocm08112759</t>
  </si>
  <si>
    <t>3000970697F</t>
  </si>
  <si>
    <t>9780201102383</t>
  </si>
  <si>
    <t>792599319</t>
  </si>
  <si>
    <t>QA39.2 O95 1999</t>
  </si>
  <si>
    <t>0                      QA 0039200O  95          1999</t>
  </si>
  <si>
    <t>Discrete mathematics and game theory / by Guillermo Owen.</t>
  </si>
  <si>
    <t>Owen, Guillermo.</t>
  </si>
  <si>
    <t>Boston : Kluwer Academic Publishers, ©1999.</t>
  </si>
  <si>
    <t>Theory and decision library. Series C, Game theory, mathematical programming, and operations research ; v. 22</t>
  </si>
  <si>
    <t>26716026:eng</t>
  </si>
  <si>
    <t>41070859</t>
  </si>
  <si>
    <t>ocm41070859</t>
  </si>
  <si>
    <t>3102019669B</t>
  </si>
  <si>
    <t>9780792385110</t>
  </si>
  <si>
    <t>793583181</t>
  </si>
  <si>
    <t>QA39.3 B59 2015</t>
  </si>
  <si>
    <t>0                      QA 0039300B  59          2015</t>
  </si>
  <si>
    <t>Thinking mathematically / Robert Blitzer, Miami Dade College.</t>
  </si>
  <si>
    <t>Blitzer, Robert.</t>
  </si>
  <si>
    <t>Boston : Pearson Education, Inc., [2015]</t>
  </si>
  <si>
    <t>Sixth edition.</t>
  </si>
  <si>
    <t>872547:eng</t>
  </si>
  <si>
    <t>853113956</t>
  </si>
  <si>
    <t>ocn853113956</t>
  </si>
  <si>
    <t>3103582209Y</t>
  </si>
  <si>
    <t>9780321867322</t>
  </si>
  <si>
    <t>794951915</t>
  </si>
  <si>
    <t>QA39.3 L68 2003</t>
  </si>
  <si>
    <t>0                      QA 0039300L  68          2003</t>
  </si>
  <si>
    <t>Discrete mathematics : elementary and beyond / L. Lovász, J. Pelikán, K. Vesztergombi.</t>
  </si>
  <si>
    <t>Lovász, László, 1948-</t>
  </si>
  <si>
    <t>New York : Springer, ©2003.</t>
  </si>
  <si>
    <t>Undergraduate texts in mathematics</t>
  </si>
  <si>
    <t>2019-04-17</t>
  </si>
  <si>
    <t>793909416:eng</t>
  </si>
  <si>
    <t>50494481</t>
  </si>
  <si>
    <t>ocm50494481</t>
  </si>
  <si>
    <t>3102609570O</t>
  </si>
  <si>
    <t>9780387955841</t>
  </si>
  <si>
    <t>793766090</t>
  </si>
  <si>
    <t>QA39.3 R67 2012</t>
  </si>
  <si>
    <t>0                      QA 0039300R  67          2012</t>
  </si>
  <si>
    <t>Discrete mathematics and its applications / Kenneth H. Rosen.</t>
  </si>
  <si>
    <t>Rosen, Kenneth H.</t>
  </si>
  <si>
    <t>New York : McGraw-Hill, ©2012.</t>
  </si>
  <si>
    <t>7th ed.</t>
  </si>
  <si>
    <t>2019-12-17</t>
  </si>
  <si>
    <t>843220:eng</t>
  </si>
  <si>
    <t>702182593</t>
  </si>
  <si>
    <t>ocn702182593</t>
  </si>
  <si>
    <t>3103199143K</t>
  </si>
  <si>
    <t>9780073383095</t>
  </si>
  <si>
    <t>794863872</t>
  </si>
  <si>
    <t>QA39.3 R67 2019</t>
  </si>
  <si>
    <t>0                      QA 0039300R  67          2019</t>
  </si>
  <si>
    <t>Discrete mathematics and its applications / Kenneth H. Rosen, formerly AT&amp;T Laboratories.</t>
  </si>
  <si>
    <t>Rosen, Kenneth H., author.</t>
  </si>
  <si>
    <t>New York, NY : McGraw-Hill Education, [2019]</t>
  </si>
  <si>
    <t>Eighth edition. International Student edition.</t>
  </si>
  <si>
    <t>2019-12-18</t>
  </si>
  <si>
    <t>2020-01-15</t>
  </si>
  <si>
    <t>2019-10-04</t>
  </si>
  <si>
    <t>1064702256</t>
  </si>
  <si>
    <t>on1064702256</t>
  </si>
  <si>
    <t>3103877126X</t>
  </si>
  <si>
    <t>9781259676512</t>
  </si>
  <si>
    <t>795066254</t>
  </si>
  <si>
    <t>31038771232</t>
  </si>
  <si>
    <t>795066255</t>
  </si>
  <si>
    <t>3103877125Z</t>
  </si>
  <si>
    <t>795066253</t>
  </si>
  <si>
    <t>QA43 B74213 1996</t>
  </si>
  <si>
    <t>0                      QA 0043000B  74213       1996</t>
  </si>
  <si>
    <t>Mathematics carrousel 2 : secondary II / Guy Breton ; in collaboration with Denis Fortin.</t>
  </si>
  <si>
    <t>bk. 2</t>
  </si>
  <si>
    <t>Breton, Guy, 1944-</t>
  </si>
  <si>
    <t>Montréal : Wilson &amp; Lafleur, 1996-7.</t>
  </si>
  <si>
    <t>2011-06-30</t>
  </si>
  <si>
    <t>3772339071:fre</t>
  </si>
  <si>
    <t>428093043</t>
  </si>
  <si>
    <t>ocn428093043</t>
  </si>
  <si>
    <t>3101907076$</t>
  </si>
  <si>
    <t>9782891273626</t>
  </si>
  <si>
    <t>794771446</t>
  </si>
  <si>
    <t>bk.1</t>
  </si>
  <si>
    <t>2011-02-17</t>
  </si>
  <si>
    <t>31014987413</t>
  </si>
  <si>
    <t>794771447</t>
  </si>
  <si>
    <t>bk.2</t>
  </si>
  <si>
    <t>2009-01-14</t>
  </si>
  <si>
    <t>3102126341A</t>
  </si>
  <si>
    <t>794771450</t>
  </si>
  <si>
    <t>31019070727</t>
  </si>
  <si>
    <t>794771451</t>
  </si>
  <si>
    <t>T-guide;bk.1</t>
  </si>
  <si>
    <t>31019070808</t>
  </si>
  <si>
    <t>794771449</t>
  </si>
  <si>
    <t>T-guide;bk.2</t>
  </si>
  <si>
    <t>3101907079U</t>
  </si>
  <si>
    <t>794771448</t>
  </si>
  <si>
    <t>QA43 F75 1998</t>
  </si>
  <si>
    <t>0                      QA 0043000F  75          1998</t>
  </si>
  <si>
    <t>GRE-GMAT math review : the Mathworks program : everything you need to score high / David Frieder.</t>
  </si>
  <si>
    <t>Frieder, David.</t>
  </si>
  <si>
    <t>New York : Macmillan, ©1998.</t>
  </si>
  <si>
    <t>2019-03-21</t>
  </si>
  <si>
    <t>1862964361:eng</t>
  </si>
  <si>
    <t>39309190</t>
  </si>
  <si>
    <t>ocm39309190</t>
  </si>
  <si>
    <t>3101908755B</t>
  </si>
  <si>
    <t>9780028624716</t>
  </si>
  <si>
    <t>793543371</t>
  </si>
  <si>
    <t>QA43 H245 1996</t>
  </si>
  <si>
    <t>0                      QA 0043000H  245         1996</t>
  </si>
  <si>
    <t>Basic math for social scientists : problems and solutions / Timothy M. Hagle.</t>
  </si>
  <si>
    <t>Sage university papers series. Quantitative applications in the social sciences ; no. 07-109</t>
  </si>
  <si>
    <t>2016-10-13</t>
  </si>
  <si>
    <t>799585171:eng</t>
  </si>
  <si>
    <t>33408101</t>
  </si>
  <si>
    <t>ocm33408101</t>
  </si>
  <si>
    <t>31015584130</t>
  </si>
  <si>
    <t>9780803972858</t>
  </si>
  <si>
    <t>793408867</t>
  </si>
  <si>
    <t>QA43 M868 2007</t>
  </si>
  <si>
    <t>0                      QA 0043000M  868         2007</t>
  </si>
  <si>
    <t>McGraw-Hill's conquering GRE/GMAT math / Robert E. Moyer.</t>
  </si>
  <si>
    <t>Moyer, Robert E.</t>
  </si>
  <si>
    <t>New York : McGraw-Hill, ©2007.</t>
  </si>
  <si>
    <t>2016-08-08</t>
  </si>
  <si>
    <t>151991066:eng</t>
  </si>
  <si>
    <t>71812834</t>
  </si>
  <si>
    <t>ocm71812834</t>
  </si>
  <si>
    <t>3102649070J</t>
  </si>
  <si>
    <t>9780071472432</t>
  </si>
  <si>
    <t>794168768</t>
  </si>
  <si>
    <t>QA63 E8 1986</t>
  </si>
  <si>
    <t>0                      QA 0063000E  8           1986</t>
  </si>
  <si>
    <t>Estimation and mental computation : 1986 yearbook / Harold L. Shoen, 1986 yearbook editor ; Marilyn J. Zweng, general yearbook editor.</t>
  </si>
  <si>
    <t>Reston, Va. : National Council of Teachers of Mathematics, ©1986.</t>
  </si>
  <si>
    <t>Yearbook ; 1986</t>
  </si>
  <si>
    <t>2015-05-30</t>
  </si>
  <si>
    <t>355909873:eng</t>
  </si>
  <si>
    <t>13010132</t>
  </si>
  <si>
    <t>ocm13010132</t>
  </si>
  <si>
    <t>30009740621</t>
  </si>
  <si>
    <t>9780873532266</t>
  </si>
  <si>
    <t>792837303</t>
  </si>
  <si>
    <t>QA63 K763 1996</t>
  </si>
  <si>
    <t>0                      QA 0063000K  763         1996</t>
  </si>
  <si>
    <t>The new sourcebook for teaching reasoning and problem solving in junior and senior high school / Stephen Krulik, Jesse A. Rudnick.</t>
  </si>
  <si>
    <t>Boston, MA : Allyn and Bacon, 1996.</t>
  </si>
  <si>
    <t>2015-07-29</t>
  </si>
  <si>
    <t>1174912155:eng</t>
  </si>
  <si>
    <t>33864302</t>
  </si>
  <si>
    <t>ocm33864302</t>
  </si>
  <si>
    <t>3102318962V</t>
  </si>
  <si>
    <t>9780205165209</t>
  </si>
  <si>
    <t>793412722</t>
  </si>
  <si>
    <t>QA63 M35 2011</t>
  </si>
  <si>
    <t>0                      QA 0063000M  35          2011</t>
  </si>
  <si>
    <t>Making mathematics practical : an approach to problem solving / Toh Tin Lam [and others].</t>
  </si>
  <si>
    <t>Singapore ; Hackensack, NJ : World Scientific, ©2011.</t>
  </si>
  <si>
    <t>836126158:eng</t>
  </si>
  <si>
    <t>707918501</t>
  </si>
  <si>
    <t>ocn707918501</t>
  </si>
  <si>
    <t>3103406886U</t>
  </si>
  <si>
    <t>9789814355018</t>
  </si>
  <si>
    <t>794868230</t>
  </si>
  <si>
    <t>QA75 K65</t>
  </si>
  <si>
    <t>0                      QA 0075000K  65</t>
  </si>
  <si>
    <t>Advanced abacus; Japanese theory and practice.</t>
  </si>
  <si>
    <t>Kojima, Takashi, 1936-</t>
  </si>
  <si>
    <t>Rutland, Vt., C.E. Tuttle Co. [1963]</t>
  </si>
  <si>
    <t>2015-07-04</t>
  </si>
  <si>
    <t>428957:eng</t>
  </si>
  <si>
    <t>491820</t>
  </si>
  <si>
    <t>ocm00491820</t>
  </si>
  <si>
    <t>3000711381D</t>
  </si>
  <si>
    <t>9780804800037</t>
  </si>
  <si>
    <t>791392514</t>
  </si>
  <si>
    <t>QA75.5 L43 v.2436</t>
  </si>
  <si>
    <t>0                      QA 0075500L  43                                                      v.2436</t>
  </si>
  <si>
    <t>Advances in web-based learning : first international conference, ICWL 2002, Hong Kong, China, August 17-19, 2002 ; proceedings / Joseph Fong [and others] (eds.).</t>
  </si>
  <si>
    <t>v.2436*</t>
  </si>
  <si>
    <t>Berlin : Springer, 2002.</t>
  </si>
  <si>
    <t>Lecture notes in computer science, 0302-9743 ; v. 2436</t>
  </si>
  <si>
    <t>2017-06-01</t>
  </si>
  <si>
    <t>8910094878:eng</t>
  </si>
  <si>
    <t>50428802</t>
  </si>
  <si>
    <t>ocm50428802</t>
  </si>
  <si>
    <t>3102238156G</t>
  </si>
  <si>
    <t>9783540440413</t>
  </si>
  <si>
    <t>793764987</t>
  </si>
  <si>
    <t>QA75.5 L43 v.6273</t>
  </si>
  <si>
    <t>0                      QA 0075500L  43                                                      v.6273</t>
  </si>
  <si>
    <t>Research and advanced technology for digital libraries : 14th European Conference, ECDL 2010, Glasgow, UK, September 6-10, 2010 : proceedings / Mounia Lalmas [and others] (eds.).</t>
  </si>
  <si>
    <t>v.6273*</t>
  </si>
  <si>
    <t>ECDL (Conference) (14th : 2010 : Glasgow, Scotland)</t>
  </si>
  <si>
    <t>Berlin ; New York : Springer, 2010.</t>
  </si>
  <si>
    <t>Lecture notes in computer science, 0302-9743 ; 6273</t>
  </si>
  <si>
    <t>5164174187:eng</t>
  </si>
  <si>
    <t>662409343</t>
  </si>
  <si>
    <t>ocn662409343</t>
  </si>
  <si>
    <t>3103213759L</t>
  </si>
  <si>
    <t>9783642154638</t>
  </si>
  <si>
    <t>794837306</t>
  </si>
  <si>
    <t>QA76.5915 K66 2015</t>
  </si>
  <si>
    <t>0                      QA 0076000                                                           .5915 K66 2015</t>
  </si>
  <si>
    <t>Konpyūtā ga netto to deattara : mono to mono ga tsunagariau sekai e / Sakamura Ken kanshū.</t>
  </si>
  <si>
    <t>Tōkyō-to Chiyoda-ku : Kabushiki Kaisha Kadokawa, Heisei 27 [2015]</t>
  </si>
  <si>
    <t>Intānetto kōza / Kadokawa = Course-internet / Kadokawa ; 14</t>
  </si>
  <si>
    <t>5622882132:jpn</t>
  </si>
  <si>
    <t>910077394</t>
  </si>
  <si>
    <t>ocn910077394</t>
  </si>
  <si>
    <t>3103632182C</t>
  </si>
  <si>
    <t>9784046538949</t>
  </si>
  <si>
    <t>794995791</t>
  </si>
  <si>
    <t>QA76.5915 Z68 2013</t>
  </si>
  <si>
    <t>0                      QA 0076000                                                           .5915 Z68 2013</t>
  </si>
  <si>
    <t>The internet of things in the cloud : a middleware perspective / Honbo Zhou.</t>
  </si>
  <si>
    <t>Zhou, Honbo.</t>
  </si>
  <si>
    <t>Boca Raton : CRC Press, Taylor &amp; Francis Group, ©2013.</t>
  </si>
  <si>
    <t>1106194827:eng</t>
  </si>
  <si>
    <t>809789617</t>
  </si>
  <si>
    <t>ocn809789617</t>
  </si>
  <si>
    <t>3103469346B</t>
  </si>
  <si>
    <t>9781439892992</t>
  </si>
  <si>
    <t>794928693</t>
  </si>
  <si>
    <t>QA76 754 W38 2013</t>
  </si>
  <si>
    <t>0                      QA 0076000                                                           754 W38 2013</t>
  </si>
  <si>
    <t>Scrum mastery : from good to great servant leadership / Geoff Watts.</t>
  </si>
  <si>
    <t>Watts, Geoff, 1979- author.</t>
  </si>
  <si>
    <t>Cheltenham, Glos : Inspect &amp; Adapt Ltd, June 2013.</t>
  </si>
  <si>
    <t>2016-08-29</t>
  </si>
  <si>
    <t>2265629764:eng</t>
  </si>
  <si>
    <t>853247620</t>
  </si>
  <si>
    <t>ocn853247620</t>
  </si>
  <si>
    <t>31036834547</t>
  </si>
  <si>
    <t>9780957587403</t>
  </si>
  <si>
    <t>794951968</t>
  </si>
  <si>
    <t>QA76 C74</t>
  </si>
  <si>
    <t>0                      QA 0076000C  74</t>
  </si>
  <si>
    <t>Understanding computers [by] Thomas H. Crowley.</t>
  </si>
  <si>
    <t>Crowley, Thomas H.</t>
  </si>
  <si>
    <t>New York, McGraw-Hill [1967]</t>
  </si>
  <si>
    <t>2017-04-11</t>
  </si>
  <si>
    <t>1498651:eng</t>
  </si>
  <si>
    <t>297432</t>
  </si>
  <si>
    <t>ocm00297432</t>
  </si>
  <si>
    <t>3101021738N</t>
  </si>
  <si>
    <t>791328118</t>
  </si>
  <si>
    <t>QA76 H6237 2011</t>
  </si>
  <si>
    <t>0                      QA 0076000H  6237        2011</t>
  </si>
  <si>
    <t>Homi Bhabha and the computer revolution / edited by R.K. Shyamasundar, M.A. Pai.</t>
  </si>
  <si>
    <t>New Delhi : Oxford University Press, 2011.</t>
  </si>
  <si>
    <t>2016-02-12</t>
  </si>
  <si>
    <t>1348443648:eng</t>
  </si>
  <si>
    <t>710931974</t>
  </si>
  <si>
    <t>ocn710931974</t>
  </si>
  <si>
    <t>3103351072K</t>
  </si>
  <si>
    <t>9780198072461</t>
  </si>
  <si>
    <t>794870343</t>
  </si>
  <si>
    <t>QA76 I472 1985</t>
  </si>
  <si>
    <t>0                      QA 0076000I  472         1985</t>
  </si>
  <si>
    <t>The Information technology revolution / edited and introduced by Tom Forester.</t>
  </si>
  <si>
    <t>Oxford : Blackwell, 1985.</t>
  </si>
  <si>
    <t>2000-09-06</t>
  </si>
  <si>
    <t>54653527:eng</t>
  </si>
  <si>
    <t>59244343</t>
  </si>
  <si>
    <t>ocm59244343</t>
  </si>
  <si>
    <t>30008460692</t>
  </si>
  <si>
    <t>9780631134381</t>
  </si>
  <si>
    <t>793928811</t>
  </si>
  <si>
    <t>QA76 I855 1988</t>
  </si>
  <si>
    <t>0                      QA 0076000I  855         1988</t>
  </si>
  <si>
    <t>Introduction to computers and information systems / Robert A. Szymanski [and others].</t>
  </si>
  <si>
    <t>Columbus, Ohio : Merrill Pub. Co., ©1988.</t>
  </si>
  <si>
    <t>2017-09-13</t>
  </si>
  <si>
    <t>3901223877:eng</t>
  </si>
  <si>
    <t>17513824</t>
  </si>
  <si>
    <t>ocm17513824</t>
  </si>
  <si>
    <t>3100185527I</t>
  </si>
  <si>
    <t>9780675207683</t>
  </si>
  <si>
    <t>792993854</t>
  </si>
  <si>
    <t>QA76 K47 2011</t>
  </si>
  <si>
    <t>0                      QA 0076000K  47          2011</t>
  </si>
  <si>
    <t>D is for digital : what a well-informed person should know about computers and communications / Brian W. Kernighan.</t>
  </si>
  <si>
    <t>Kernighan, Brian W.</t>
  </si>
  <si>
    <t>[Place of publication not identified] : DisforDigital.net : Printed by CreateSpace, ©2011.</t>
  </si>
  <si>
    <t>1043155780:eng</t>
  </si>
  <si>
    <t>760111514</t>
  </si>
  <si>
    <t>ocn760111514</t>
  </si>
  <si>
    <t>3103656624B</t>
  </si>
  <si>
    <t>9781463733896</t>
  </si>
  <si>
    <t>794898273</t>
  </si>
  <si>
    <t>QA76 M418 2018</t>
  </si>
  <si>
    <t>0                      QA 0076000M  418         2018</t>
  </si>
  <si>
    <t>Swipe to unlock : the primer on technology and business strategy / Neel Mehta, Parth Detroja, Aditya Agashe.</t>
  </si>
  <si>
    <t>Mehta, Neel, author.</t>
  </si>
  <si>
    <t>[Ithaca, New York] : Belle Applications, Inc., [2018]</t>
  </si>
  <si>
    <t>2nd edition, 4th revision (December 2018).</t>
  </si>
  <si>
    <t>4771016524:eng</t>
  </si>
  <si>
    <t>1082362763</t>
  </si>
  <si>
    <t>on1082362763</t>
  </si>
  <si>
    <t>3103859384D</t>
  </si>
  <si>
    <t>9781976182198</t>
  </si>
  <si>
    <t>795077690</t>
  </si>
  <si>
    <t>QA76 T85 1984</t>
  </si>
  <si>
    <t>0                      QA 0076000T  85          1984</t>
  </si>
  <si>
    <t>The second self : computers and the human spirit / by Sherry Turkle.</t>
  </si>
  <si>
    <t>Turkle, Sherry.</t>
  </si>
  <si>
    <t>New York : Simon and Schuster, ©1984.</t>
  </si>
  <si>
    <t>2019-01-09</t>
  </si>
  <si>
    <t>4799717915:eng</t>
  </si>
  <si>
    <t>10273404</t>
  </si>
  <si>
    <t>ocm10273404</t>
  </si>
  <si>
    <t>31036791414</t>
  </si>
  <si>
    <t>9780671468484</t>
  </si>
  <si>
    <t>792717309</t>
  </si>
  <si>
    <t>QA76 W38 1986</t>
  </si>
  <si>
    <t>0                      QA 0076000W  38          1986</t>
  </si>
  <si>
    <t>Information technology : a luddite analysis / Frank Webster, Kevin Robins.</t>
  </si>
  <si>
    <t>Webster, Frank.</t>
  </si>
  <si>
    <t>Norwood, N.J. : Ablex Pub. Corp., ©1986.</t>
  </si>
  <si>
    <t>Communication and information science</t>
  </si>
  <si>
    <t>807398716:eng</t>
  </si>
  <si>
    <t>13064684</t>
  </si>
  <si>
    <t>ocm13064684</t>
  </si>
  <si>
    <t>30004747563</t>
  </si>
  <si>
    <t>9780893913434</t>
  </si>
  <si>
    <t>792839041</t>
  </si>
  <si>
    <t>QA76 W44</t>
  </si>
  <si>
    <t>0                      QA 0076000W  44</t>
  </si>
  <si>
    <t>Computer power and human reason : from judgment to calculation / Joseph Weizenbaum.</t>
  </si>
  <si>
    <t>Weizenbaum, Joseph, author.</t>
  </si>
  <si>
    <t>San Francisco : W.H. Freeman, ©1976.</t>
  </si>
  <si>
    <t>2017-10-17</t>
  </si>
  <si>
    <t>792888767:eng</t>
  </si>
  <si>
    <t>1527521</t>
  </si>
  <si>
    <t>ocm01527521</t>
  </si>
  <si>
    <t>31034757930</t>
  </si>
  <si>
    <t>9780716704645</t>
  </si>
  <si>
    <t>791690645</t>
  </si>
  <si>
    <t>QA76.15 C645 2004</t>
  </si>
  <si>
    <t>0                      QA 0076150C  645         2004</t>
  </si>
  <si>
    <t>French computing dictionary : French-English, English-French / S.M.H. Collin, Francoise Laurendeau, Bernard Mouget.</t>
  </si>
  <si>
    <t>Collin, S. M. H., 1966-</t>
  </si>
  <si>
    <t>London : Bloomsbury Pub., 2004.</t>
  </si>
  <si>
    <t>2019-11-19</t>
  </si>
  <si>
    <t>910543014:eng</t>
  </si>
  <si>
    <t>56418699</t>
  </si>
  <si>
    <t>ocm56418699</t>
  </si>
  <si>
    <t>3103437819P</t>
  </si>
  <si>
    <t>9780747569923</t>
  </si>
  <si>
    <t>793892796</t>
  </si>
  <si>
    <t>QA76.15 G54 1990</t>
  </si>
  <si>
    <t>0                      QA 0076150G  54          1990</t>
  </si>
  <si>
    <t>Dictionnaire anglais-français d'informatique : bureautique, télématique, micro-informatique / Michel Ginguay, traducteur.</t>
  </si>
  <si>
    <t>Paris : Masson, 1990.</t>
  </si>
  <si>
    <t>10. éd. rév. et augm.</t>
  </si>
  <si>
    <t>4820695377:eng</t>
  </si>
  <si>
    <t>80723517</t>
  </si>
  <si>
    <t>ocm80723517</t>
  </si>
  <si>
    <t>3100679134P</t>
  </si>
  <si>
    <t>9782225819889</t>
  </si>
  <si>
    <t>794201463</t>
  </si>
  <si>
    <t>QA76.15 W55 1999</t>
  </si>
  <si>
    <t>0                      QA 0076150W  55          1999</t>
  </si>
  <si>
    <t>Wired style : principles of English usage in the digital age / [edited by] Constance Hale &amp; Jessie Scanlon.</t>
  </si>
  <si>
    <t>New York : Broadway Books, ©1999.</t>
  </si>
  <si>
    <t>2018-08-10</t>
  </si>
  <si>
    <t>866992356:eng</t>
  </si>
  <si>
    <t>43076805</t>
  </si>
  <si>
    <t>ocm43076805</t>
  </si>
  <si>
    <t>3102079583M</t>
  </si>
  <si>
    <t>9780767903721</t>
  </si>
  <si>
    <t>793619768</t>
  </si>
  <si>
    <t>QA76.15 W56 1996</t>
  </si>
  <si>
    <t>0                      QA 0076150W  56          1996</t>
  </si>
  <si>
    <t>Wired style : principles of English usage in the digital age / from the editors of Wired ; edited by Constance Hale.</t>
  </si>
  <si>
    <t>San Francisco, Calif. : HardWired : Distributed to the trade by Publishers Group West, 1996.</t>
  </si>
  <si>
    <t>36128118</t>
  </si>
  <si>
    <t>ocm36128118</t>
  </si>
  <si>
    <t>3101874082L</t>
  </si>
  <si>
    <t>9781888869019</t>
  </si>
  <si>
    <t>793467080</t>
  </si>
  <si>
    <t>QA76.167 B53 2004</t>
  </si>
  <si>
    <t>0                      QA 0076167B  53          2004</t>
  </si>
  <si>
    <t>The Blackwell guide to the philosophy of computing and information / edited by Luciano Floridi.</t>
  </si>
  <si>
    <t>Blackwell philosophy guides</t>
  </si>
  <si>
    <t>2019-04-21</t>
  </si>
  <si>
    <t>889144804:eng</t>
  </si>
  <si>
    <t>51900606</t>
  </si>
  <si>
    <t>ocm51900606</t>
  </si>
  <si>
    <t>3102636283S</t>
  </si>
  <si>
    <t>9780631229186</t>
  </si>
  <si>
    <t>793793881</t>
  </si>
  <si>
    <t>QA76.167 C66 2014</t>
  </si>
  <si>
    <t>0                      QA 0076167C  66          2014</t>
  </si>
  <si>
    <t>Computing and philosophy : selected papers from IACAP 2014 / Vincent C. Müller, editor.</t>
  </si>
  <si>
    <t>Synthese library : studies in epistemology, logic, methodology, and philosophy of science ; volume 375</t>
  </si>
  <si>
    <t>2016-07-15</t>
  </si>
  <si>
    <t>8913889055:eng</t>
  </si>
  <si>
    <t>934475917</t>
  </si>
  <si>
    <t>ocn934475917</t>
  </si>
  <si>
    <t>3103632478S</t>
  </si>
  <si>
    <t>9783319232904</t>
  </si>
  <si>
    <t>795009624</t>
  </si>
  <si>
    <t>QA76.167 P45 2017</t>
  </si>
  <si>
    <t>0                      QA 0076167P  45          2017</t>
  </si>
  <si>
    <t>Philosophy and computing : essays in epistemology, philosophy of mind, logic, and ethics / Thomas M. Powers, editor.</t>
  </si>
  <si>
    <t>CEPE-IACAP (Conference) (2015 : University of Delaware), author.</t>
  </si>
  <si>
    <t>Philosophical studies series ; volume 128</t>
  </si>
  <si>
    <t>4227828309:eng</t>
  </si>
  <si>
    <t>988290470</t>
  </si>
  <si>
    <t>ocn988290470</t>
  </si>
  <si>
    <t>3103760388E</t>
  </si>
  <si>
    <t>9783319610429</t>
  </si>
  <si>
    <t>795036692</t>
  </si>
  <si>
    <t>QA76.17 E34 1996</t>
  </si>
  <si>
    <t>0                      QA 0076170E  34          1996</t>
  </si>
  <si>
    <t>The closed world : computers and the politics of discourse in Cold War America / Paul N. Edwards.</t>
  </si>
  <si>
    <t>Edwards, Paul N., author.</t>
  </si>
  <si>
    <t>Cambridge, Massachusetts : MIT Press, [1996]</t>
  </si>
  <si>
    <t>Inside technology</t>
  </si>
  <si>
    <t>2014-04-30</t>
  </si>
  <si>
    <t>2017-05-15</t>
  </si>
  <si>
    <t>603744:eng</t>
  </si>
  <si>
    <t>32893943</t>
  </si>
  <si>
    <t>ocm32893943</t>
  </si>
  <si>
    <t>3102619376P</t>
  </si>
  <si>
    <t>9780262050517</t>
  </si>
  <si>
    <t>793396951</t>
  </si>
  <si>
    <t>QA76.17 I58 2015</t>
  </si>
  <si>
    <t>0                      QA 0076170I  58          2015</t>
  </si>
  <si>
    <t>Intertwingled : the work and influence of Ted Nelson / Douglas R. Dechow, Daniele C. Struppa, editors.</t>
  </si>
  <si>
    <t>Cham : Springer Open, [2015]</t>
  </si>
  <si>
    <t>History of computing, 2190-6831</t>
  </si>
  <si>
    <t>2495401803:eng</t>
  </si>
  <si>
    <t>907132909</t>
  </si>
  <si>
    <t>ocn907132909</t>
  </si>
  <si>
    <t>3103607584M</t>
  </si>
  <si>
    <t>9783319169248</t>
  </si>
  <si>
    <t>794992891</t>
  </si>
  <si>
    <t>QA76.17 K53 1997</t>
  </si>
  <si>
    <t>0                      QA 0076170K  53          1997</t>
  </si>
  <si>
    <t>The soul of a new machine / Tracy Kidder.</t>
  </si>
  <si>
    <t>Kidder, Tracy.</t>
  </si>
  <si>
    <t>New York : Modern Library, ©1997.</t>
  </si>
  <si>
    <t>[The modern library of the world's best books]</t>
  </si>
  <si>
    <t>2019-06-19</t>
  </si>
  <si>
    <t>2019-11-05</t>
  </si>
  <si>
    <t>448200:eng</t>
  </si>
  <si>
    <t>36112109</t>
  </si>
  <si>
    <t>ocm36112109</t>
  </si>
  <si>
    <t>3101802337T</t>
  </si>
  <si>
    <t>9780679602613</t>
  </si>
  <si>
    <t>793466656</t>
  </si>
  <si>
    <t>QA76.2 A2 I87 2014</t>
  </si>
  <si>
    <t>0                      QA 0076200A  2                  I  87          2014</t>
  </si>
  <si>
    <t>The innovators : how a group of hackers, geniuses, and geeks created the digital revolution / Walter Isaacson.</t>
  </si>
  <si>
    <t>Isaacson, Walter.</t>
  </si>
  <si>
    <t>New York : Simon &amp; Schuster, 2014.</t>
  </si>
  <si>
    <t>First Simon &amp; Schuster hardcover edition.</t>
  </si>
  <si>
    <t>2197806792:eng</t>
  </si>
  <si>
    <t>876012030</t>
  </si>
  <si>
    <t>ocn876012030</t>
  </si>
  <si>
    <t>31031995830</t>
  </si>
  <si>
    <t>9781476708690</t>
  </si>
  <si>
    <t>794969820</t>
  </si>
  <si>
    <t>QA76.2 J63 B74 2013</t>
  </si>
  <si>
    <t>0                      QA 0076200J  63                 B  74          2013</t>
  </si>
  <si>
    <t>The bite in the apple : a memoir of my life with Steve Jobs / Chrisann Brennan.</t>
  </si>
  <si>
    <t>Brennan, Chrisann.</t>
  </si>
  <si>
    <t>New York : St. Martin's Press, 2013.</t>
  </si>
  <si>
    <t>1779533602:eng</t>
  </si>
  <si>
    <t>827256522</t>
  </si>
  <si>
    <t>ocn827256522</t>
  </si>
  <si>
    <t>31035030120</t>
  </si>
  <si>
    <t>9781250048547</t>
  </si>
  <si>
    <t>794939890</t>
  </si>
  <si>
    <t>QA76.2 J63 I83 2011</t>
  </si>
  <si>
    <t>0                      QA 0076200J  63                 I  83          2011</t>
  </si>
  <si>
    <t>Steve Jobs / Walter Isaacson.</t>
  </si>
  <si>
    <t>Isaacson, Walter, author.</t>
  </si>
  <si>
    <t>New York : Simon &amp; Schuster, 2011.</t>
  </si>
  <si>
    <t>3902437434:eng</t>
  </si>
  <si>
    <t>713189055</t>
  </si>
  <si>
    <t>ocn713189055</t>
  </si>
  <si>
    <t>31036021158</t>
  </si>
  <si>
    <t>9781451648539</t>
  </si>
  <si>
    <t>794872771</t>
  </si>
  <si>
    <t>QA76.2 J63 Y677 2005</t>
  </si>
  <si>
    <t>0                      QA 0076200J  63                 Y  677         2005</t>
  </si>
  <si>
    <t>ICon : Steve Jobs, the greatest second act in the history of business / Jeffrey S. Young, William L. Simon.</t>
  </si>
  <si>
    <t>Young, Jeffrey S., 1952-</t>
  </si>
  <si>
    <t>Hoboken, NJ : Wiley, ©2005.</t>
  </si>
  <si>
    <t>50983311:eng</t>
  </si>
  <si>
    <t>57527651</t>
  </si>
  <si>
    <t>ocm57527651</t>
  </si>
  <si>
    <t>3102750553X</t>
  </si>
  <si>
    <t>9780471720836</t>
  </si>
  <si>
    <t>793914765</t>
  </si>
  <si>
    <t>QA76.2 J63 Y68 1988</t>
  </si>
  <si>
    <t>0                      QA 0076200J  63                 Y  68          1988</t>
  </si>
  <si>
    <t>Steve Jobs : the journey is the reward / Jeffrey S. Young.</t>
  </si>
  <si>
    <t>Glenview, Ill. : Scott, Foresman, ©1988.</t>
  </si>
  <si>
    <t>13764970:eng</t>
  </si>
  <si>
    <t>16831071</t>
  </si>
  <si>
    <t>ocm16831071</t>
  </si>
  <si>
    <t>3102827737C</t>
  </si>
  <si>
    <t>9780673188649</t>
  </si>
  <si>
    <t>792974157</t>
  </si>
  <si>
    <t>QA76.2 P38 A3 2008</t>
  </si>
  <si>
    <t>0                      QA 0076200P  38                 A  3           2008</t>
  </si>
  <si>
    <t>The last lecture / Randy Pausch, Professor, Carnegie Mellon with Jeffrey Zaslow.</t>
  </si>
  <si>
    <t>Pausch, Randy, author.</t>
  </si>
  <si>
    <t>New York : Hyperion, [2008]</t>
  </si>
  <si>
    <t>119833338:eng</t>
  </si>
  <si>
    <t>183266069</t>
  </si>
  <si>
    <t>ocn183266069</t>
  </si>
  <si>
    <t>3103026684D</t>
  </si>
  <si>
    <t>9781401323257</t>
  </si>
  <si>
    <t>794287583</t>
  </si>
  <si>
    <t>3102885566R</t>
  </si>
  <si>
    <t>794287581</t>
  </si>
  <si>
    <t>31030268965</t>
  </si>
  <si>
    <t>794287582</t>
  </si>
  <si>
    <t>QA76.25 M35 2002</t>
  </si>
  <si>
    <t>0                      QA 0076250M  35          2002</t>
  </si>
  <si>
    <t>Unlocking the clubhouse : women in computing / Jane Margolis and Allan Fisher.</t>
  </si>
  <si>
    <t>Margolis, Jane.</t>
  </si>
  <si>
    <t>2018-05-31</t>
  </si>
  <si>
    <t>148779391:eng</t>
  </si>
  <si>
    <t>47054696</t>
  </si>
  <si>
    <t>ocm47054696</t>
  </si>
  <si>
    <t>31021567188</t>
  </si>
  <si>
    <t>9780262133982</t>
  </si>
  <si>
    <t>793697374</t>
  </si>
  <si>
    <t>QA76.27 H55 1999</t>
  </si>
  <si>
    <t>0                      QA 0076270H  55          1999</t>
  </si>
  <si>
    <t>Dealers of lightning : Xerox PARC and the dawn of the computer age / Michael Hiltzik.</t>
  </si>
  <si>
    <t>Hiltzik, Michael A.</t>
  </si>
  <si>
    <t>New York : HarperBusiness, ©1999.</t>
  </si>
  <si>
    <t>1100801:eng</t>
  </si>
  <si>
    <t>40105877</t>
  </si>
  <si>
    <t>ocm40105877</t>
  </si>
  <si>
    <t>3102968669G</t>
  </si>
  <si>
    <t>9780887308918</t>
  </si>
  <si>
    <t>793559756</t>
  </si>
  <si>
    <t>QA76.27 Q4</t>
  </si>
  <si>
    <t>0                      QA 0076270Q  4</t>
  </si>
  <si>
    <t>Programme d'études secondaire : introduction à la science de l'informatique / Ministère de l'éducation, Direction générale de développement pédagogique.</t>
  </si>
  <si>
    <t>Québec (Province). Direction générale du développement pédagogique.</t>
  </si>
  <si>
    <t>[Québec] : Ministère de l'éducation, Direction des programmes, Service du secondaire, 1982.</t>
  </si>
  <si>
    <t>2016-09-09</t>
  </si>
  <si>
    <t>3769774012:fre</t>
  </si>
  <si>
    <t>427192166</t>
  </si>
  <si>
    <t>ocn427192166</t>
  </si>
  <si>
    <t>3000844487V</t>
  </si>
  <si>
    <t>794534125</t>
  </si>
  <si>
    <t>QA76.5 B365 1991</t>
  </si>
  <si>
    <t>0                      QA 0076500B  365         1991</t>
  </si>
  <si>
    <t>Connectionism and the mind : an introduction to parallel processing in networks / William Bechtel and Adele Abrahamsen.</t>
  </si>
  <si>
    <t>Bechtel, William.</t>
  </si>
  <si>
    <t>Cambridge, Mass., USA : B. Blackwell, 1991.</t>
  </si>
  <si>
    <t>2017-02-26</t>
  </si>
  <si>
    <t>22438118:eng</t>
  </si>
  <si>
    <t>20826134</t>
  </si>
  <si>
    <t>ocm20826134</t>
  </si>
  <si>
    <t>31010178505</t>
  </si>
  <si>
    <t>9780631165767</t>
  </si>
  <si>
    <t>793100397</t>
  </si>
  <si>
    <t>QA76.5 C387 1990</t>
  </si>
  <si>
    <t>0                      QA 0076500C  387         1990</t>
  </si>
  <si>
    <t>Naturally intelligent systems / Maureen Caudill and Charles Butler.</t>
  </si>
  <si>
    <t>Caudill, Maureen.</t>
  </si>
  <si>
    <t>Cambridge, Mass. : MIT Press, ©1990.</t>
  </si>
  <si>
    <t>994600:eng</t>
  </si>
  <si>
    <t>20294635</t>
  </si>
  <si>
    <t>ocm20294635</t>
  </si>
  <si>
    <t>31010125440</t>
  </si>
  <si>
    <t>9780262031561</t>
  </si>
  <si>
    <t>793083229</t>
  </si>
  <si>
    <t>QA76.5 H475 1991</t>
  </si>
  <si>
    <t>0                      QA 0076500H  475         1991</t>
  </si>
  <si>
    <t>Introduction to the theory of neural computation / John Hertz, Anders Krogh, Richard G. Palmer.</t>
  </si>
  <si>
    <t>Hertz, John.</t>
  </si>
  <si>
    <t>Redwood City, Calif. : Addison-Wesley Pub. Co., ©1991.</t>
  </si>
  <si>
    <t>Santa Fe Institute studies in the sciences of complexity. Lecture notes ; v. 1</t>
  </si>
  <si>
    <t>2016-08-26</t>
  </si>
  <si>
    <t>10177752142:eng</t>
  </si>
  <si>
    <t>21522159</t>
  </si>
  <si>
    <t>ocm21522159</t>
  </si>
  <si>
    <t>3101200394W</t>
  </si>
  <si>
    <t>9780201503951</t>
  </si>
  <si>
    <t>793121327</t>
  </si>
  <si>
    <t>QA76.5 J83 1990</t>
  </si>
  <si>
    <t>0                      QA 0076500J  83          1990</t>
  </si>
  <si>
    <t>Neural network design and the complexity of learning / J. Stephen Judd.</t>
  </si>
  <si>
    <t>Judd, J. Stephen.</t>
  </si>
  <si>
    <t>Neural network modeling and connectionism</t>
  </si>
  <si>
    <t>2008-06-04</t>
  </si>
  <si>
    <t>2017-09-15</t>
  </si>
  <si>
    <t>21492961:eng</t>
  </si>
  <si>
    <t>20489607</t>
  </si>
  <si>
    <t>ocm20489607</t>
  </si>
  <si>
    <t>3102947976J</t>
  </si>
  <si>
    <t>9780262100458</t>
  </si>
  <si>
    <t>793089354</t>
  </si>
  <si>
    <t>QA76.5 N665 1998</t>
  </si>
  <si>
    <t>0                      QA 0076500N  665         1998</t>
  </si>
  <si>
    <t>The invisible computer : why good products can fail, the personal computer is so complex, and information appliances are the solution / Donald A. Norman.</t>
  </si>
  <si>
    <t>Norman, Donald A.</t>
  </si>
  <si>
    <t>Cambridge, Mass. : MIT Press, ©1998.</t>
  </si>
  <si>
    <t>836917384:eng</t>
  </si>
  <si>
    <t>39007119</t>
  </si>
  <si>
    <t>ocm39007119</t>
  </si>
  <si>
    <t>3101905929J</t>
  </si>
  <si>
    <t>9780262140652</t>
  </si>
  <si>
    <t>793535648</t>
  </si>
  <si>
    <t>QA76.5 S558</t>
  </si>
  <si>
    <t>0                      QA 0076500S  558</t>
  </si>
  <si>
    <t>Introduction to minicomputers and microcomputers / M.E. Sloan.</t>
  </si>
  <si>
    <t>Sloan, M. E. (Martha E.)</t>
  </si>
  <si>
    <t>Reading, Mass. : Addison-Wesley Pub. Co., ©1980.</t>
  </si>
  <si>
    <t>Addison-Wesley series in computer science</t>
  </si>
  <si>
    <t>14923836:eng</t>
  </si>
  <si>
    <t>4592599</t>
  </si>
  <si>
    <t>ocm04592599</t>
  </si>
  <si>
    <t>3100551362Y</t>
  </si>
  <si>
    <t>9780201072792</t>
  </si>
  <si>
    <t>792366046</t>
  </si>
  <si>
    <t>QA76.5 V6213 1963</t>
  </si>
  <si>
    <t>0                      QA 0076500V  6213        1963</t>
  </si>
  <si>
    <t>The Theory of mathematical machines. Edited by Yu. Ya. Bazilevskii. Translated from the Russian by C.A.R. Hoare. Translation edited by J.M. Jackson.</t>
  </si>
  <si>
    <t>Oxford, New York, Pergamon Press; [distributed in the Western Hemisphere by Macmillan, New York] 1963.</t>
  </si>
  <si>
    <t>2003-06-12</t>
  </si>
  <si>
    <t>54013143:eng</t>
  </si>
  <si>
    <t>958282</t>
  </si>
  <si>
    <t>ocm00958282</t>
  </si>
  <si>
    <t>30007113855</t>
  </si>
  <si>
    <t>791511696</t>
  </si>
  <si>
    <t>QA76.55 D56 2010</t>
  </si>
  <si>
    <t>0                      QA 0076550D  56          2010</t>
  </si>
  <si>
    <t>Information architecture : the design and integration of information spaces / Wei Ding, Xia Lin.</t>
  </si>
  <si>
    <t>Ding, Wei, 1967 September 14-</t>
  </si>
  <si>
    <t>[San Rafael, Calif.] : Morgan &amp; Claypool Publishers, ©2010.</t>
  </si>
  <si>
    <t>Synthesis lectures on information concepts, retrieval, and services, 1947-945X ; #8</t>
  </si>
  <si>
    <t>2013-02-28</t>
  </si>
  <si>
    <t>385278330:eng</t>
  </si>
  <si>
    <t>557704189</t>
  </si>
  <si>
    <t>ocn557704189</t>
  </si>
  <si>
    <t>3103097942A</t>
  </si>
  <si>
    <t>9781598299595</t>
  </si>
  <si>
    <t>794812476</t>
  </si>
  <si>
    <t>QA76.55 H37 1986</t>
  </si>
  <si>
    <t>0                      QA 0076550H  37          1986</t>
  </si>
  <si>
    <t>Online information retrieval : concepts, principles, and techniques / Stephen P. Harter.</t>
  </si>
  <si>
    <t>Harter, Stephen P.</t>
  </si>
  <si>
    <t>Orlando : Academic Press, 1986.</t>
  </si>
  <si>
    <t>2017-10-20</t>
  </si>
  <si>
    <t>320397015:eng</t>
  </si>
  <si>
    <t>12806981</t>
  </si>
  <si>
    <t>ocm12806981</t>
  </si>
  <si>
    <t>31007535630</t>
  </si>
  <si>
    <t>9780123284556</t>
  </si>
  <si>
    <t>792828816</t>
  </si>
  <si>
    <t>QA76.55 K63 1996</t>
  </si>
  <si>
    <t>0                      QA 0076550K  63          1996</t>
  </si>
  <si>
    <t>The message is the medium : online all the time for everyone / Tom Koch.</t>
  </si>
  <si>
    <t>Koch, Tom, 1949-</t>
  </si>
  <si>
    <t>Westport, Conn. : Praeger, 1996.</t>
  </si>
  <si>
    <t>2576356:eng</t>
  </si>
  <si>
    <t>34029785</t>
  </si>
  <si>
    <t>ocm34029785</t>
  </si>
  <si>
    <t>31017252836</t>
  </si>
  <si>
    <t>9780275955496</t>
  </si>
  <si>
    <t>793416804</t>
  </si>
  <si>
    <t>QA76.575 B87 2009</t>
  </si>
  <si>
    <t>0                      QA 0076575B  87          2009</t>
  </si>
  <si>
    <t>The science of digital media / Jennifer Burg.</t>
  </si>
  <si>
    <t>Burg, Jennifer.</t>
  </si>
  <si>
    <t>Upper Saddle River, NJ : Prentice Hall/Pearson Education, ©2009.</t>
  </si>
  <si>
    <t>353337245:eng</t>
  </si>
  <si>
    <t>148790399</t>
  </si>
  <si>
    <t>ocn148790399</t>
  </si>
  <si>
    <t>31032859941</t>
  </si>
  <si>
    <t>9780132435802</t>
  </si>
  <si>
    <t>794240962</t>
  </si>
  <si>
    <t>31030320619</t>
  </si>
  <si>
    <t>794240963</t>
  </si>
  <si>
    <t>QA76.575 C675 1996</t>
  </si>
  <si>
    <t>0                      QA 0076575C  675         1996</t>
  </si>
  <si>
    <t>The contours of multimedia : recent technological, theoretical and empirical developments / edited by Nicholas W. Jankowski and Lucien Hanssen.</t>
  </si>
  <si>
    <t>Luton, Bedfordshire, U.K. : University of Luton Press : John Libbey Media, ©1996.</t>
  </si>
  <si>
    <t>Acamedia research monographs, 0956-9057 ; 19</t>
  </si>
  <si>
    <t>474186811:eng</t>
  </si>
  <si>
    <t>35648057</t>
  </si>
  <si>
    <t>ocm35648057</t>
  </si>
  <si>
    <t>31018644596</t>
  </si>
  <si>
    <t>9781860205118</t>
  </si>
  <si>
    <t>793454120</t>
  </si>
  <si>
    <t>QA76.575 I233 2012</t>
  </si>
  <si>
    <t>0                      QA 0076575I  233         2012</t>
  </si>
  <si>
    <t>Information technology for intellectual property protection : interdisciplinary advancements / Hideyasu Sasaki, editor.</t>
  </si>
  <si>
    <t>3859842296:eng</t>
  </si>
  <si>
    <t>743298837</t>
  </si>
  <si>
    <t>ocn743298837</t>
  </si>
  <si>
    <t>3103471790G</t>
  </si>
  <si>
    <t>9781613501351</t>
  </si>
  <si>
    <t>794885668</t>
  </si>
  <si>
    <t>QA76.575 L5 2004</t>
  </si>
  <si>
    <t>0                      QA 0076575L  5           2004</t>
  </si>
  <si>
    <t>Fundamentals of multimedia / Ze-Nian Li and Mark S. Drew.</t>
  </si>
  <si>
    <t>Li, Ze-Nian.</t>
  </si>
  <si>
    <t>Upper Saddle River, NJ : Pearson Prentice Hall, ©2004.</t>
  </si>
  <si>
    <t>10111829:eng</t>
  </si>
  <si>
    <t>52486445</t>
  </si>
  <si>
    <t>ocm52486445</t>
  </si>
  <si>
    <t>3103032284$</t>
  </si>
  <si>
    <t>9780130618726</t>
  </si>
  <si>
    <t>793807698</t>
  </si>
  <si>
    <t>31032859951</t>
  </si>
  <si>
    <t>793807697</t>
  </si>
  <si>
    <t>QA76.575 M8319 2001</t>
  </si>
  <si>
    <t>0                      QA 0076575M  8319        2001</t>
  </si>
  <si>
    <t>Multimedia : from Wagner to virtual reality / edited by Randall Packer and Ken Jordan ; foreword by William Gibson.</t>
  </si>
  <si>
    <t>New York : Norton, 2001.</t>
  </si>
  <si>
    <t>836988581:eng</t>
  </si>
  <si>
    <t>45419038</t>
  </si>
  <si>
    <t>ocm45419038</t>
  </si>
  <si>
    <t>3102155273P</t>
  </si>
  <si>
    <t>9780393049794</t>
  </si>
  <si>
    <t>793671067</t>
  </si>
  <si>
    <t>QA76.575 W59 2000</t>
  </si>
  <si>
    <t>0                      QA 0076575W  59          2000</t>
  </si>
  <si>
    <t>Multimedia : a critical introduction / Richard Wise with Jeanette Steemers.</t>
  </si>
  <si>
    <t>Wise, Richard, 1944-</t>
  </si>
  <si>
    <t>2015-01-09</t>
  </si>
  <si>
    <t>761259163:eng</t>
  </si>
  <si>
    <t>43641359</t>
  </si>
  <si>
    <t>ocm43641359</t>
  </si>
  <si>
    <t>3103301128F</t>
  </si>
  <si>
    <t>9780415121507</t>
  </si>
  <si>
    <t>793631588</t>
  </si>
  <si>
    <t>31020957128</t>
  </si>
  <si>
    <t>793631587</t>
  </si>
  <si>
    <t>QA76.575 W665 2016</t>
  </si>
  <si>
    <t>0                      QA 0076575W  665         2016</t>
  </si>
  <si>
    <t>Digital media primer : digital audio, video, imaging, and multimedia programming / Yue-Ling Wong.</t>
  </si>
  <si>
    <t>Wong, Yue-Ling.</t>
  </si>
  <si>
    <t>2019-11-20</t>
  </si>
  <si>
    <t>904325768:eng</t>
  </si>
  <si>
    <t>898408378</t>
  </si>
  <si>
    <t>ocn898408378</t>
  </si>
  <si>
    <t>3103748666L</t>
  </si>
  <si>
    <t>9780134054285</t>
  </si>
  <si>
    <t>794986283</t>
  </si>
  <si>
    <t>QA76.58 B42 2002</t>
  </si>
  <si>
    <t>0                      QA 0076580B  42          2002</t>
  </si>
  <si>
    <t>Connectionism and the mind : parallel processing, dynamics, and evolution in networks / William Bechtel and Adele Abrahamsen.</t>
  </si>
  <si>
    <t>Malden, Mass. ; Oxford, England : Blackwell, 2002.</t>
  </si>
  <si>
    <t>3856887147:eng</t>
  </si>
  <si>
    <t>48408450</t>
  </si>
  <si>
    <t>ocm48408450</t>
  </si>
  <si>
    <t>3102193309G</t>
  </si>
  <si>
    <t>9780631207122</t>
  </si>
  <si>
    <t>793720412</t>
  </si>
  <si>
    <t>QA76.58 C85 1999</t>
  </si>
  <si>
    <t>0                      QA 0076580C  85          1999</t>
  </si>
  <si>
    <t>Parallel computer architecture : a hardware/software approach / David E. Culler, Jaswinder Pal Singh, with Anoop Gupta.</t>
  </si>
  <si>
    <t>Culler, David E.</t>
  </si>
  <si>
    <t>San Francisco : Morgan Kaufmann Publishers, ©1999.</t>
  </si>
  <si>
    <t>10986941:eng</t>
  </si>
  <si>
    <t>39354251</t>
  </si>
  <si>
    <t>ocm39354251</t>
  </si>
  <si>
    <t>3103525551X</t>
  </si>
  <si>
    <t>9781558603431</t>
  </si>
  <si>
    <t>793544408</t>
  </si>
  <si>
    <t>3102655247U</t>
  </si>
  <si>
    <t>793544409</t>
  </si>
  <si>
    <t>QA76.58 R47 1994</t>
  </si>
  <si>
    <t>0                      QA 0076580R  47          1994</t>
  </si>
  <si>
    <t>Turtles, termites, and traffic jams : explorations in massively parallel microworlds / Mitchel Resnick.</t>
  </si>
  <si>
    <t>Resnick, Mitchel.</t>
  </si>
  <si>
    <t>Cambridge, Mass. : MIT Press, ©1994.</t>
  </si>
  <si>
    <t>Complex adaptive systems</t>
  </si>
  <si>
    <t>2015-11-10</t>
  </si>
  <si>
    <t>799649858:eng</t>
  </si>
  <si>
    <t>30319011</t>
  </si>
  <si>
    <t>ocm30319011</t>
  </si>
  <si>
    <t>31014866683</t>
  </si>
  <si>
    <t>9780262181624</t>
  </si>
  <si>
    <t>793332256</t>
  </si>
  <si>
    <t>QA76.585 E75 2013</t>
  </si>
  <si>
    <t>0                      QA 0076585E  75          2013</t>
  </si>
  <si>
    <t>Cloud computing : concepts, technology, &amp; architecture / Thomas Erl, Zaigham Mahmood and Richardo Puttini.</t>
  </si>
  <si>
    <t>Erl, Thomas.</t>
  </si>
  <si>
    <t>Upper Saddle River, NJ : Prentice Hall, [2013]</t>
  </si>
  <si>
    <t>The Prentice Hall service technology series from Thomas Erl</t>
  </si>
  <si>
    <t>1744957519:eng</t>
  </si>
  <si>
    <t>836557453</t>
  </si>
  <si>
    <t>ocn836557453</t>
  </si>
  <si>
    <t>31038771216</t>
  </si>
  <si>
    <t>9780133387520</t>
  </si>
  <si>
    <t>794944904</t>
  </si>
  <si>
    <t>QA76.585 M374 2018</t>
  </si>
  <si>
    <t>0                      QA 0076585M  374         2018</t>
  </si>
  <si>
    <t>Cloud computing : theory and practice / Dan C. Marinescu.</t>
  </si>
  <si>
    <t>Marinescu, Dan C., author.</t>
  </si>
  <si>
    <t>Cambridge, MA : Morgan Kaufmann Publishers, an imprint of Elsevier [2018]</t>
  </si>
  <si>
    <t>1778113577:eng</t>
  </si>
  <si>
    <t>1014025201</t>
  </si>
  <si>
    <t>on1014025201</t>
  </si>
  <si>
    <t>3103903664N</t>
  </si>
  <si>
    <t>9780128128107</t>
  </si>
  <si>
    <t>795047597</t>
  </si>
  <si>
    <t>QA76.59 S55 2012</t>
  </si>
  <si>
    <t>0                      QA 0076590S  55          2012</t>
  </si>
  <si>
    <t>Mobile interfaces in public spaces : locational privacy, control, and urban sociability / Adriana de Souza e Silva &amp; Jordan Frith.</t>
  </si>
  <si>
    <t>Silva, Adriana de Souza e.</t>
  </si>
  <si>
    <t>Routledge research in cultural and media studies</t>
  </si>
  <si>
    <t>2016-04-15</t>
  </si>
  <si>
    <t>1050059680:eng</t>
  </si>
  <si>
    <t>676728549</t>
  </si>
  <si>
    <t>ocn676728549</t>
  </si>
  <si>
    <t>3103438249X</t>
  </si>
  <si>
    <t>9780415888233</t>
  </si>
  <si>
    <t>794850001</t>
  </si>
  <si>
    <t>QA76.6 C662 2009</t>
  </si>
  <si>
    <t>0                      QA 0076600C  662         2009</t>
  </si>
  <si>
    <t>Introduction to algorithms / Thomas H. Cormen, Charles E. Leiserson, Ronald L. Rivest, Clifford Stein.</t>
  </si>
  <si>
    <t>Cambridge, Mass. : MIT Press, [2009]</t>
  </si>
  <si>
    <t>2019-12-15</t>
  </si>
  <si>
    <t>2020-01-14</t>
  </si>
  <si>
    <t>6419620:eng</t>
  </si>
  <si>
    <t>311310321</t>
  </si>
  <si>
    <t>ocn311310321</t>
  </si>
  <si>
    <t>3103388958S</t>
  </si>
  <si>
    <t>9780262033848</t>
  </si>
  <si>
    <t>794436173</t>
  </si>
  <si>
    <t>3103479659W</t>
  </si>
  <si>
    <t>794436172</t>
  </si>
  <si>
    <t>QA76.6 H5244 2012</t>
  </si>
  <si>
    <t>0                      QA 0076600H  5244        2012</t>
  </si>
  <si>
    <t>The art of multiprocessor programming / Maurice Herlihy, Nir Shavit.</t>
  </si>
  <si>
    <t>Herlihy, Maurice, author.</t>
  </si>
  <si>
    <t>Amsterdam : Morgan Kaufmann, [2012]</t>
  </si>
  <si>
    <t>Rev. first edition.</t>
  </si>
  <si>
    <t>4916963430:eng</t>
  </si>
  <si>
    <t>798263818</t>
  </si>
  <si>
    <t>ocn798263818</t>
  </si>
  <si>
    <t>3103467072M</t>
  </si>
  <si>
    <t>9780123973375</t>
  </si>
  <si>
    <t>794923428</t>
  </si>
  <si>
    <t>QA76.6 L469 2010</t>
  </si>
  <si>
    <t>0                      QA 0076600L  469         2010</t>
  </si>
  <si>
    <t>Hackers : heroes of the computer revolution / Steven Levy.</t>
  </si>
  <si>
    <t>Levy, Steven.</t>
  </si>
  <si>
    <t>Sebastopol, CA : O'Reilly Media, ©2010.</t>
  </si>
  <si>
    <t>1154762:eng</t>
  </si>
  <si>
    <t>615926697</t>
  </si>
  <si>
    <t>ocn615926697</t>
  </si>
  <si>
    <t>3103463580L</t>
  </si>
  <si>
    <t>9781449388393</t>
  </si>
  <si>
    <t>794822831</t>
  </si>
  <si>
    <t>QA76.6 M34 2015</t>
  </si>
  <si>
    <t>0                      QA 0076600M  34          2015</t>
  </si>
  <si>
    <t>Cracking the coding interview : 189 programming questions and solutions / Gayle Laakmann McDowell, founder and CEO, CareerCup.com.</t>
  </si>
  <si>
    <t>McDowell, Gayle Laakmann, 1982- author.</t>
  </si>
  <si>
    <t>Palo Alto, CA : CareerCup, LLC, [2015]</t>
  </si>
  <si>
    <t>6th edition.</t>
  </si>
  <si>
    <t>2019-10-31</t>
  </si>
  <si>
    <t>2995280991:eng</t>
  </si>
  <si>
    <t>913477191</t>
  </si>
  <si>
    <t>ocn913477191</t>
  </si>
  <si>
    <t>3103793729I</t>
  </si>
  <si>
    <t>9780984782857</t>
  </si>
  <si>
    <t>794999377</t>
  </si>
  <si>
    <t>2019-10-23</t>
  </si>
  <si>
    <t>3103793774D</t>
  </si>
  <si>
    <t>794999378</t>
  </si>
  <si>
    <t>QA76.6 T38 1984</t>
  </si>
  <si>
    <t>0                      QA 0076600T  38          1984</t>
  </si>
  <si>
    <t>Structured computer organization / Andrew S. Tanenbaum.</t>
  </si>
  <si>
    <t>Tanenbaum, Andrew S., 1944-</t>
  </si>
  <si>
    <t>Englewood Cliffs, N.J. : Prentice-Hall, ©1984.</t>
  </si>
  <si>
    <t>2016-02-14</t>
  </si>
  <si>
    <t>872414:eng</t>
  </si>
  <si>
    <t>9197831</t>
  </si>
  <si>
    <t>ocm09197831</t>
  </si>
  <si>
    <t>3100185509K</t>
  </si>
  <si>
    <t>9780138544898</t>
  </si>
  <si>
    <t>792663551</t>
  </si>
  <si>
    <t>QA76.625 N48 2014</t>
  </si>
  <si>
    <t>0                      QA 0076625N  48          2014</t>
  </si>
  <si>
    <t>Netto o sasaeru ōpun sōsu : sofutowea no shinka / Matsumoto Yukihiro kanshū.</t>
  </si>
  <si>
    <t>Tōkyō : Kabushiki Kaisha Kadokawa, Heisei 26 [2014]</t>
  </si>
  <si>
    <t>Intānetto kōza / Kadokawa = Course-internet / Kadokawa ; 02</t>
  </si>
  <si>
    <t>2233093922:jpn</t>
  </si>
  <si>
    <t>896817809</t>
  </si>
  <si>
    <t>ocn896817809</t>
  </si>
  <si>
    <t>31036321589</t>
  </si>
  <si>
    <t>9784046538826</t>
  </si>
  <si>
    <t>794984240</t>
  </si>
  <si>
    <t>QA76.63 L65 1991</t>
  </si>
  <si>
    <t>0                      QA 0076630L  65          1991</t>
  </si>
  <si>
    <t>Logical frameworks / edited by Gérard Huet, G. Plotkin.</t>
  </si>
  <si>
    <t>Cambridge ; New York : Cambridge University Press, 1991.</t>
  </si>
  <si>
    <t>2017-12-21</t>
  </si>
  <si>
    <t>365854520:eng</t>
  </si>
  <si>
    <t>27810927</t>
  </si>
  <si>
    <t>ocm27810927</t>
  </si>
  <si>
    <t>31012165265</t>
  </si>
  <si>
    <t>9780521413008</t>
  </si>
  <si>
    <t>793272508</t>
  </si>
  <si>
    <t>QA76.66 V93 2008</t>
  </si>
  <si>
    <t>0                      QA 0076660V  93          2008</t>
  </si>
  <si>
    <t>Software Systems.</t>
  </si>
  <si>
    <t>Vybihal, Joseph.</t>
  </si>
  <si>
    <t>Dubuque, IA : Kendall Hunt Pub., ©2008.</t>
  </si>
  <si>
    <t>2019-12-03</t>
  </si>
  <si>
    <t>146637751:eng</t>
  </si>
  <si>
    <t>251199659</t>
  </si>
  <si>
    <t>ocn251199659</t>
  </si>
  <si>
    <t>31035595582</t>
  </si>
  <si>
    <t>9780757557279</t>
  </si>
  <si>
    <t>794385544</t>
  </si>
  <si>
    <t>3103434417C</t>
  </si>
  <si>
    <t>794385545</t>
  </si>
  <si>
    <t>3103030134K</t>
  </si>
  <si>
    <t>794385546</t>
  </si>
  <si>
    <t>QA76.66 V93 2011</t>
  </si>
  <si>
    <t>0                      QA 0076660V  93          2011</t>
  </si>
  <si>
    <t>Software systems / Joseph Vybihal, Danielle Azar.</t>
  </si>
  <si>
    <t>Vybihal, Joseph, 1964-</t>
  </si>
  <si>
    <t>Dubuque, Iowa : Kendall/Hunt Pub. Co., ©2011.</t>
  </si>
  <si>
    <t>775570405</t>
  </si>
  <si>
    <t>ocn775570405</t>
  </si>
  <si>
    <t>31035594693</t>
  </si>
  <si>
    <t>9780757595141</t>
  </si>
  <si>
    <t>794907657</t>
  </si>
  <si>
    <t>3103788943Y</t>
  </si>
  <si>
    <t>794907659</t>
  </si>
  <si>
    <t>31037889330</t>
  </si>
  <si>
    <t>794907656</t>
  </si>
  <si>
    <t>3103788938R</t>
  </si>
  <si>
    <t>794907658</t>
  </si>
  <si>
    <t>QA76.7 E43 2010</t>
  </si>
  <si>
    <t>0                      QA 0076700E  43          2010</t>
  </si>
  <si>
    <t>Computational semantics with functional programming / Jan van Eijck and Christina Unger.</t>
  </si>
  <si>
    <t>Eijck, J. van (Jan), author.</t>
  </si>
  <si>
    <t>2017-05-11</t>
  </si>
  <si>
    <t>500031667:eng</t>
  </si>
  <si>
    <t>636911230</t>
  </si>
  <si>
    <t>ocn636911230</t>
  </si>
  <si>
    <t>3103230268$</t>
  </si>
  <si>
    <t>9780521760300</t>
  </si>
  <si>
    <t>794826097</t>
  </si>
  <si>
    <t>QA76.7 P54 2002</t>
  </si>
  <si>
    <t>0                      QA 0076700P  54          2002</t>
  </si>
  <si>
    <t>Types and programming languages / Benjamin C. Pierce.</t>
  </si>
  <si>
    <t>Pierce, Benjamin C.</t>
  </si>
  <si>
    <t>Cambridge, Mass. : MIT Press, 2002.</t>
  </si>
  <si>
    <t>2018-09-07</t>
  </si>
  <si>
    <t>3856963606:eng</t>
  </si>
  <si>
    <t>47705787</t>
  </si>
  <si>
    <t>ocm47705787</t>
  </si>
  <si>
    <t>3103148732X</t>
  </si>
  <si>
    <t>9780262162098</t>
  </si>
  <si>
    <t>793705804</t>
  </si>
  <si>
    <t>3103294316Y</t>
  </si>
  <si>
    <t>793705803</t>
  </si>
  <si>
    <t>QA76.73 B3 M665 1984</t>
  </si>
  <si>
    <t>0                      QA 0076730B  3                  M  665         1984</t>
  </si>
  <si>
    <t>Structured BASIC programming / Harry A. Moriber.</t>
  </si>
  <si>
    <t>Moriber, Harry A.</t>
  </si>
  <si>
    <t>Columbus : C.E. Merrill Pub. Co., ©1984.</t>
  </si>
  <si>
    <t>Charles E. Merrill information processing series</t>
  </si>
  <si>
    <t>3768482573:eng</t>
  </si>
  <si>
    <t>10855068</t>
  </si>
  <si>
    <t>ocm10855068</t>
  </si>
  <si>
    <t>30008460943</t>
  </si>
  <si>
    <t>9780675201063</t>
  </si>
  <si>
    <t>792746924</t>
  </si>
  <si>
    <t>QA76.73 F25 S85 1976</t>
  </si>
  <si>
    <t>0                      QA 0076730F  25                 S  85          1976</t>
  </si>
  <si>
    <t>Applied Fortran IV programming / John R. Sturgul, Michael J. Merchant ; [technical ill., Carl Brown].</t>
  </si>
  <si>
    <t>Sturgul, John R.</t>
  </si>
  <si>
    <t>Belmont, Calif. : Wadsworth Pub. Co., ©1976.</t>
  </si>
  <si>
    <t>2015-07-13</t>
  </si>
  <si>
    <t>1749513:eng</t>
  </si>
  <si>
    <t>2150805</t>
  </si>
  <si>
    <t>ocm02150805</t>
  </si>
  <si>
    <t>3100551361$</t>
  </si>
  <si>
    <t>9780534004408</t>
  </si>
  <si>
    <t>792057048</t>
  </si>
  <si>
    <t>QA76.73 J38 D45 2010</t>
  </si>
  <si>
    <t>0                      QA 0076730J  38                 D  45          2010</t>
  </si>
  <si>
    <t>Java : how to program / Paul Deitel, Harvey M. Deitel.</t>
  </si>
  <si>
    <t>text + CD-ROM</t>
  </si>
  <si>
    <t>Deitel, Paul J.</t>
  </si>
  <si>
    <t>Upper Saddle River, N.J. : Pearson Prentice Hall, ©2010.</t>
  </si>
  <si>
    <t>8th ed.</t>
  </si>
  <si>
    <t>How to program series</t>
  </si>
  <si>
    <t>3768409378:eng</t>
  </si>
  <si>
    <t>229033668</t>
  </si>
  <si>
    <t>ocn229033668</t>
  </si>
  <si>
    <t>3103285320X</t>
  </si>
  <si>
    <t>9780136053064</t>
  </si>
  <si>
    <t>794352902</t>
  </si>
  <si>
    <t>QA76.73 J38 D45 2012</t>
  </si>
  <si>
    <t>0                      QA 0076730J  38                 D  45          2012</t>
  </si>
  <si>
    <t>Java : how to program / P.J. Deitel, H.M. Deitel.</t>
  </si>
  <si>
    <t>Upper Saddle River, N.J. : Prentice Hall, ©2012.</t>
  </si>
  <si>
    <t>9th ed.</t>
  </si>
  <si>
    <t>699760794</t>
  </si>
  <si>
    <t>ocn699760794</t>
  </si>
  <si>
    <t>3102627778G</t>
  </si>
  <si>
    <t>9780132575669</t>
  </si>
  <si>
    <t>794861545</t>
  </si>
  <si>
    <t>QA76.73 J38 G66 2014</t>
  </si>
  <si>
    <t>0                      QA 0076730J  38                 G  66          2014</t>
  </si>
  <si>
    <t>Data structures and algorithms in Java / Michael T. Goodrich, Roberto Tamassia, Michael H. Goldwasser.</t>
  </si>
  <si>
    <t>Goodrich, Michael T., author.</t>
  </si>
  <si>
    <t>Hoboken, NJ : Wiley, [2014]</t>
  </si>
  <si>
    <t>549522:eng</t>
  </si>
  <si>
    <t>847126203</t>
  </si>
  <si>
    <t>ocn847126203</t>
  </si>
  <si>
    <t>3103640091J</t>
  </si>
  <si>
    <t>9781118771334</t>
  </si>
  <si>
    <t>794949392</t>
  </si>
  <si>
    <t>3103759531X</t>
  </si>
  <si>
    <t>794949393</t>
  </si>
  <si>
    <t>QA76.73 J38 H674 2014</t>
  </si>
  <si>
    <t>0                      QA 0076730J  38                 H  674         2014</t>
  </si>
  <si>
    <t>Big Java : early objects / Cay Horstmann, San Jose State University.</t>
  </si>
  <si>
    <t>Horstmann, Cay S., 1959-</t>
  </si>
  <si>
    <t>Fifth edition.</t>
  </si>
  <si>
    <t>3902457320:eng</t>
  </si>
  <si>
    <t>808413763</t>
  </si>
  <si>
    <t>ocn808413763</t>
  </si>
  <si>
    <t>3103550419C</t>
  </si>
  <si>
    <t>9781118431115</t>
  </si>
  <si>
    <t>794927577</t>
  </si>
  <si>
    <t>QA76.73 J38 L52 2013</t>
  </si>
  <si>
    <t>0                      QA 0076730J  38                 L  52          2013</t>
  </si>
  <si>
    <t>Introduction to Java programming : comprehensive version / Y. Daniel Liang.</t>
  </si>
  <si>
    <t>Liang, Y. Daniel.</t>
  </si>
  <si>
    <t>2017-01-03</t>
  </si>
  <si>
    <t>2280440610:eng</t>
  </si>
  <si>
    <t>758397869</t>
  </si>
  <si>
    <t>ocn758397869</t>
  </si>
  <si>
    <t>3103466431M</t>
  </si>
  <si>
    <t>9780132936521</t>
  </si>
  <si>
    <t>794896354</t>
  </si>
  <si>
    <t>3103466436M</t>
  </si>
  <si>
    <t>794896355</t>
  </si>
  <si>
    <t>QA76.73 J38 L52 2015</t>
  </si>
  <si>
    <t>0                      QA 0076730J  38                 L  52          2015</t>
  </si>
  <si>
    <t>Introduction to Java programming / Y. Daniel Liang, Armstrong Atlantic State University.</t>
  </si>
  <si>
    <t>Boston : Pearson, [2015]</t>
  </si>
  <si>
    <t>862095888</t>
  </si>
  <si>
    <t>ocn862095888</t>
  </si>
  <si>
    <t>3103586024K</t>
  </si>
  <si>
    <t>9780133761313</t>
  </si>
  <si>
    <t>794960019</t>
  </si>
  <si>
    <t>QA76.73 J38 L5847 2015</t>
  </si>
  <si>
    <t>0                      QA 0076730J  38                 L  5847        2015</t>
  </si>
  <si>
    <t>Java Methods : object-oriented programming and data structures / Maria Litvin, Gary Litvin.</t>
  </si>
  <si>
    <t>Litvin, Maria.</t>
  </si>
  <si>
    <t>Andover, Mass. : Skylight Pub., ©2015.</t>
  </si>
  <si>
    <t>3rd AP ed.</t>
  </si>
  <si>
    <t>2019-02-13</t>
  </si>
  <si>
    <t>745885:eng</t>
  </si>
  <si>
    <t>910882956</t>
  </si>
  <si>
    <t>ocn910882956</t>
  </si>
  <si>
    <t>3103701431X</t>
  </si>
  <si>
    <t>9780982477564</t>
  </si>
  <si>
    <t>794996636</t>
  </si>
  <si>
    <t>QA76.73 J38 R6 2008</t>
  </si>
  <si>
    <t>0                      QA 0076730J  38                 R  6           2008</t>
  </si>
  <si>
    <t>The art &amp; science of Java : an introduction to computer science / Eric S. Roberts.</t>
  </si>
  <si>
    <t>Roberts, Eric.</t>
  </si>
  <si>
    <t>Boston : Pearson/Addison Wesley, ©2008.</t>
  </si>
  <si>
    <t>2019-01-21</t>
  </si>
  <si>
    <t>363780236:eng</t>
  </si>
  <si>
    <t>123112157</t>
  </si>
  <si>
    <t>ocn123112157</t>
  </si>
  <si>
    <t>3103766292Y</t>
  </si>
  <si>
    <t>9780321486127</t>
  </si>
  <si>
    <t>794222818</t>
  </si>
  <si>
    <t>3103788948O</t>
  </si>
  <si>
    <t>794222817</t>
  </si>
  <si>
    <t>QA76.73 J38 S835 2014</t>
  </si>
  <si>
    <t>0                      QA 0076730J  38                 S  835         2014</t>
  </si>
  <si>
    <t>Murach's Java servlets and JSP / Joel Murach and Michael Urban.</t>
  </si>
  <si>
    <t>Murach, Joel, 1968-</t>
  </si>
  <si>
    <t>Fresno, CA : Mike Murach &amp; Associates, 2014.</t>
  </si>
  <si>
    <t>3rd edition.</t>
  </si>
  <si>
    <t>995339711:eng</t>
  </si>
  <si>
    <t>979875208</t>
  </si>
  <si>
    <t>ocn979875208</t>
  </si>
  <si>
    <t>31037876581</t>
  </si>
  <si>
    <t>9781890774783</t>
  </si>
  <si>
    <t>795033560</t>
  </si>
  <si>
    <t>3103787653B</t>
  </si>
  <si>
    <t>795033559</t>
  </si>
  <si>
    <t>QA76.73 J39 D83 2014</t>
  </si>
  <si>
    <t>0                      QA 0076730J  39                 D  83          2014</t>
  </si>
  <si>
    <t>JavaScript &amp; jQuery : interactive front-end web development / Jon Duckett ; design by Emme Stone ; additional material by Gilles Ruppert &amp; Jack Moore.</t>
  </si>
  <si>
    <t>Duckett, Jon, author.</t>
  </si>
  <si>
    <t>Indianapolis, IN : Wiley, [2014]</t>
  </si>
  <si>
    <t>2019-07-17</t>
  </si>
  <si>
    <t>1866199979:eng</t>
  </si>
  <si>
    <t>829055899</t>
  </si>
  <si>
    <t>ocn829055899</t>
  </si>
  <si>
    <t>31036584427</t>
  </si>
  <si>
    <t>9781118531648</t>
  </si>
  <si>
    <t>794942020</t>
  </si>
  <si>
    <t>2016-10-14</t>
  </si>
  <si>
    <t>3103586018M</t>
  </si>
  <si>
    <t>794942018</t>
  </si>
  <si>
    <t>3103714438Z</t>
  </si>
  <si>
    <t>794942019</t>
  </si>
  <si>
    <t>QA76.73 J39 J646 2013</t>
  </si>
  <si>
    <t>0                      QA 0076730J  39                 J  646         2013</t>
  </si>
  <si>
    <t>Programming in HTML5 with JavaScript and CSS3 : training guide / by Glenn Johnson.</t>
  </si>
  <si>
    <t>Johnson, Glenn, 1956- author.</t>
  </si>
  <si>
    <t>Redmond, Wash. : Microsoft, [2013]</t>
  </si>
  <si>
    <t>2290729032:eng</t>
  </si>
  <si>
    <t>820107651</t>
  </si>
  <si>
    <t>ocn820107651</t>
  </si>
  <si>
    <t>3103539091J</t>
  </si>
  <si>
    <t>9780735674387</t>
  </si>
  <si>
    <t>794935003</t>
  </si>
  <si>
    <t>QA76.73 L23 M38</t>
  </si>
  <si>
    <t>0                      QA 0076730L  23                 M  38</t>
  </si>
  <si>
    <t>The programmer's introduction to LISP, W.D. Maurer.</t>
  </si>
  <si>
    <t>Maurer, Ward Douglas, 1938-</t>
  </si>
  <si>
    <t>London, Macdonald; New York, American Elsevier [1972]</t>
  </si>
  <si>
    <t>Computer monographs ; 15</t>
  </si>
  <si>
    <t>1787244:eng</t>
  </si>
  <si>
    <t>591988</t>
  </si>
  <si>
    <t>ocm00591988</t>
  </si>
  <si>
    <t>3000856584H</t>
  </si>
  <si>
    <t>9780444195722</t>
  </si>
  <si>
    <t>791423348</t>
  </si>
  <si>
    <t>QA76.73 P98 B57 2009</t>
  </si>
  <si>
    <t>0                      QA 0076730P  98                 B  57          2009</t>
  </si>
  <si>
    <t>Natural language processing with Python / Steven Bird, Ewan Klein, and Edward Loper.</t>
  </si>
  <si>
    <t>Bird, Steven.</t>
  </si>
  <si>
    <t>Beijing ; Sebastopol, CA : O'Reilly Media Inc., 2009.</t>
  </si>
  <si>
    <t>1st edition.</t>
  </si>
  <si>
    <t>181515872:eng</t>
  </si>
  <si>
    <t>301885973</t>
  </si>
  <si>
    <t>ocn301885973</t>
  </si>
  <si>
    <t>3103585157F</t>
  </si>
  <si>
    <t>9780596516499</t>
  </si>
  <si>
    <t>794433004</t>
  </si>
  <si>
    <t>QA76.73 P98 M544 2009</t>
  </si>
  <si>
    <t>0                      QA 0076730P  98                 M  544         2009</t>
  </si>
  <si>
    <t>Python programming in context / Bradley N. Miller, David L. Ranum.</t>
  </si>
  <si>
    <t>Miller, Bradley N.</t>
  </si>
  <si>
    <t>Sudbury, Mass. : Jones and Bartlett Publishers, ©2009.</t>
  </si>
  <si>
    <t>137560705:eng</t>
  </si>
  <si>
    <t>227920208</t>
  </si>
  <si>
    <t>ocn227920208</t>
  </si>
  <si>
    <t>31030870425</t>
  </si>
  <si>
    <t>9780763746025</t>
  </si>
  <si>
    <t>794348356</t>
  </si>
  <si>
    <t>QA76.73 P98 Y36 2017</t>
  </si>
  <si>
    <t>0                      QA 0076730P  98                 Y  36          2017</t>
  </si>
  <si>
    <t>Python for finance : financial modeling and quantitative analysis explained / Yuxing Yan.</t>
  </si>
  <si>
    <t>Yan, Yuxing, author.</t>
  </si>
  <si>
    <t>Birmingham, UK : Packt Publishing, 2017.</t>
  </si>
  <si>
    <t>5343042449:eng</t>
  </si>
  <si>
    <t>993096785</t>
  </si>
  <si>
    <t>ocn993096785</t>
  </si>
  <si>
    <t>31037933522</t>
  </si>
  <si>
    <t>9781787125698</t>
  </si>
  <si>
    <t>795038533</t>
  </si>
  <si>
    <t>QA76.73 P98 2019</t>
  </si>
  <si>
    <t>0                      QA 0076730P  98          2019</t>
  </si>
  <si>
    <t>A beginners guide to Python 3 programming / John Hunt.</t>
  </si>
  <si>
    <t>Hunt, John, author.</t>
  </si>
  <si>
    <t>Cham, Switzerland : Springer, 2019.</t>
  </si>
  <si>
    <t>Undergraduate topics in computer science</t>
  </si>
  <si>
    <t>9483824658:eng</t>
  </si>
  <si>
    <t>1097294129</t>
  </si>
  <si>
    <t>on1097294129</t>
  </si>
  <si>
    <t>3103903657K</t>
  </si>
  <si>
    <t>9783030202897</t>
  </si>
  <si>
    <t>795080733</t>
  </si>
  <si>
    <t>QA76.73 R3 C5 2017</t>
  </si>
  <si>
    <t>0                      QA 0076730R  3                  C  5           2017</t>
  </si>
  <si>
    <t>Neural networks with R : smart models using CNN, RNN, deep learning, and artificial intelligence principles / Giuseppe Ciaburro, Balaji Venkateswaran.</t>
  </si>
  <si>
    <t>Ciaburro, Giuseppe, author.</t>
  </si>
  <si>
    <t>2019-08-15</t>
  </si>
  <si>
    <t>4532501888:eng</t>
  </si>
  <si>
    <t>1005103912</t>
  </si>
  <si>
    <t>on1005103912</t>
  </si>
  <si>
    <t>3103641939H</t>
  </si>
  <si>
    <t>9781788397872</t>
  </si>
  <si>
    <t>795042398</t>
  </si>
  <si>
    <t>QA76.73 S28 H67 2017</t>
  </si>
  <si>
    <t>0                      QA 0076730S  28                 H  67          2017</t>
  </si>
  <si>
    <t>Scala for the impatient / Cay S. Horstmann.</t>
  </si>
  <si>
    <t>Horstmann, Cay S., 1959- author.</t>
  </si>
  <si>
    <t>Boston : Addison-Wesley, [2017]</t>
  </si>
  <si>
    <t>996343044:eng</t>
  </si>
  <si>
    <t>964820811</t>
  </si>
  <si>
    <t>ocn964820811</t>
  </si>
  <si>
    <t>3103765954J</t>
  </si>
  <si>
    <t>9780134540566</t>
  </si>
  <si>
    <t>795025489</t>
  </si>
  <si>
    <t>3103759697$</t>
  </si>
  <si>
    <t>795025486</t>
  </si>
  <si>
    <t>3103765944M</t>
  </si>
  <si>
    <t>795025488</t>
  </si>
  <si>
    <t>2019-04-08</t>
  </si>
  <si>
    <t>3103765949C</t>
  </si>
  <si>
    <t>795025487</t>
  </si>
  <si>
    <t>QA76.73 S67 B46 2017</t>
  </si>
  <si>
    <t>0                      QA 0076730S  67                 B  46          2017</t>
  </si>
  <si>
    <t>Exam ref 70-761 : querying data with Transact-SQL / Itzik Ben-Gan.</t>
  </si>
  <si>
    <t>Ben-Gan, Itzik, author.</t>
  </si>
  <si>
    <t>[Old Tappan, New Jersey] : Published with the authorization of Microsoft Corporation by Pearson Education, Inc., [2017]</t>
  </si>
  <si>
    <t>4075735789:eng</t>
  </si>
  <si>
    <t>985359138</t>
  </si>
  <si>
    <t>ocn985359138</t>
  </si>
  <si>
    <t>3103737299X</t>
  </si>
  <si>
    <t>9781509304332</t>
  </si>
  <si>
    <t>795035306</t>
  </si>
  <si>
    <t>QA76.73 S67 P73 2015</t>
  </si>
  <si>
    <t>0                      QA 0076730S  67                 P  73          2015</t>
  </si>
  <si>
    <t>A guide to SQL / Philip J. Pratt, Mary Z. Last.</t>
  </si>
  <si>
    <t>Pratt, Philip J., 1945- author.</t>
  </si>
  <si>
    <t>Boston, MA : Cengage Learning, [2015]</t>
  </si>
  <si>
    <t>Ninth edition.</t>
  </si>
  <si>
    <t>2018-10-11</t>
  </si>
  <si>
    <t>913606:eng</t>
  </si>
  <si>
    <t>898154085</t>
  </si>
  <si>
    <t>ocn898154085</t>
  </si>
  <si>
    <t>3103699206R</t>
  </si>
  <si>
    <t>9781111527273</t>
  </si>
  <si>
    <t>794985924</t>
  </si>
  <si>
    <t>QA76.754 C46 2005</t>
  </si>
  <si>
    <t>0                      QA 0076754C  46          2005</t>
  </si>
  <si>
    <t>The end of software : finding security, flexibility, and profit in the on demand future / Timothy Chou.</t>
  </si>
  <si>
    <t>Chou, Timothy Chen Kuang, 1954-</t>
  </si>
  <si>
    <t>Indianapolis, Ind. : Sams, ©2005.</t>
  </si>
  <si>
    <t>801745914:eng</t>
  </si>
  <si>
    <t>57393314</t>
  </si>
  <si>
    <t>ocm57393314</t>
  </si>
  <si>
    <t>31024454552</t>
  </si>
  <si>
    <t>9780672326981</t>
  </si>
  <si>
    <t>793912114</t>
  </si>
  <si>
    <t>QA76.758 J644 2014</t>
  </si>
  <si>
    <t>0                      QA 0076758J  644         2014</t>
  </si>
  <si>
    <t>The technical and social history of software engineering / Capers Jones.</t>
  </si>
  <si>
    <t>Jones, Capers.</t>
  </si>
  <si>
    <t>Upper Saddle River, NJ : Addison-Wesley, [2014]</t>
  </si>
  <si>
    <t>1761455036:eng</t>
  </si>
  <si>
    <t>827694995</t>
  </si>
  <si>
    <t>ocn827694995</t>
  </si>
  <si>
    <t>3103504992R</t>
  </si>
  <si>
    <t>9780321903426</t>
  </si>
  <si>
    <t>794940158</t>
  </si>
  <si>
    <t>QA76.758 S549 2008</t>
  </si>
  <si>
    <t>0                      QA 0076758S  549         2008</t>
  </si>
  <si>
    <t>CMMI and Six Sigma : partners in process improvement / Jeannine M. Siviy, M. Lynn Penn, Robert W. Stoddard.</t>
  </si>
  <si>
    <t>Siviy, Jeannine M.</t>
  </si>
  <si>
    <t>Upper Saddle River, NJ : Addison-Wesley, ©2008.</t>
  </si>
  <si>
    <t>SEI series in software engineering</t>
  </si>
  <si>
    <t>2017-10-04</t>
  </si>
  <si>
    <t>321004235:eng</t>
  </si>
  <si>
    <t>154806675</t>
  </si>
  <si>
    <t>ocn154806675</t>
  </si>
  <si>
    <t>3102651793L</t>
  </si>
  <si>
    <t>9780321516084</t>
  </si>
  <si>
    <t>794253117</t>
  </si>
  <si>
    <t>QA76.758 S657 2016</t>
  </si>
  <si>
    <t>0                      QA 0076758S  657         2016</t>
  </si>
  <si>
    <t>Software engineering / Ian Sommerville.</t>
  </si>
  <si>
    <t>Sommerville, Ian, 1951-</t>
  </si>
  <si>
    <t>Boston : Pearson, ©2016.</t>
  </si>
  <si>
    <t>2018-10-07</t>
  </si>
  <si>
    <t>1004450:eng</t>
  </si>
  <si>
    <t>907941065</t>
  </si>
  <si>
    <t>ocn907941065</t>
  </si>
  <si>
    <t>3103636996N</t>
  </si>
  <si>
    <t>9780133943030</t>
  </si>
  <si>
    <t>794993961</t>
  </si>
  <si>
    <t>31036388253</t>
  </si>
  <si>
    <t>794993962</t>
  </si>
  <si>
    <t>QA76.76 C65 F57 2010</t>
  </si>
  <si>
    <t>0                      QA 0076760C  65                 F  57          2010</t>
  </si>
  <si>
    <t>Crafting a compiler / Charles N. Fischer, Ron K. Cytron, Richard J. LeBlanc, Jr.</t>
  </si>
  <si>
    <t>Fischer, Charles N.</t>
  </si>
  <si>
    <t>Boston : Addison-Wesley, ©2010.</t>
  </si>
  <si>
    <t>Crafting a compiler with C</t>
  </si>
  <si>
    <t>13202138:eng</t>
  </si>
  <si>
    <t>268788318</t>
  </si>
  <si>
    <t>ocn268788318</t>
  </si>
  <si>
    <t>3103586078A</t>
  </si>
  <si>
    <t>9780136067054</t>
  </si>
  <si>
    <t>794408366</t>
  </si>
  <si>
    <t>QA76.76 C672 M549 2009</t>
  </si>
  <si>
    <t>0                      QA 0076760C  672                M  549         2009</t>
  </si>
  <si>
    <t>Artificial intelligence for games / Ian Millington and John Funge.</t>
  </si>
  <si>
    <t>Millington, Ian.</t>
  </si>
  <si>
    <t>Boca Raton : CRC Press, [2009]</t>
  </si>
  <si>
    <t>58226988:eng</t>
  </si>
  <si>
    <t>947875259</t>
  </si>
  <si>
    <t>ocn947875259</t>
  </si>
  <si>
    <t>31037486313</t>
  </si>
  <si>
    <t>9780123747310</t>
  </si>
  <si>
    <t>795015275</t>
  </si>
  <si>
    <t>QA76.76 C672 M55 2010</t>
  </si>
  <si>
    <t>0                      QA 0076760C  672                M  55          2010</t>
  </si>
  <si>
    <t>Game physics engine development : how to build a robust commercial-grade physics engine for your game / Ian Millington.</t>
  </si>
  <si>
    <t>Amsterdam ; Boston : Morgan Kaufmann Publishers, ©2010.</t>
  </si>
  <si>
    <t>3813959694:eng</t>
  </si>
  <si>
    <t>609304030</t>
  </si>
  <si>
    <t>ocn609304030</t>
  </si>
  <si>
    <t>3103748503C</t>
  </si>
  <si>
    <t>9780123819765</t>
  </si>
  <si>
    <t>794819839</t>
  </si>
  <si>
    <t>QA76.76 C672 R47 2003</t>
  </si>
  <si>
    <t>0                      QA 0076760C  672                R  47          2003</t>
  </si>
  <si>
    <t>Re:play : game design + game culture / edited by Amy Scholder + Eric Zimmerman.</t>
  </si>
  <si>
    <t>New York : P. Lang, ©2003.</t>
  </si>
  <si>
    <t>New literacies and digital epistemologies ; v. 18</t>
  </si>
  <si>
    <t>2018-05-29</t>
  </si>
  <si>
    <t>898813565:eng</t>
  </si>
  <si>
    <t>52943073</t>
  </si>
  <si>
    <t>ocm52943073</t>
  </si>
  <si>
    <t>3102378837A</t>
  </si>
  <si>
    <t>9780820470535</t>
  </si>
  <si>
    <t>793817780</t>
  </si>
  <si>
    <t>QA76.76 C672 Z53 2011</t>
  </si>
  <si>
    <t>0                      QA 0076760C  672                Z  53          2011</t>
  </si>
  <si>
    <t>Gamification by design : implementing game mechanics in web and mobile apps / Gabe Zichermann and Christopher Cunningham.</t>
  </si>
  <si>
    <t>Zichermann, Gabe, 1974-</t>
  </si>
  <si>
    <t>Sebastopol, Calif. : O'Reilly Media, 2011.</t>
  </si>
  <si>
    <t>2017-03-09</t>
  </si>
  <si>
    <t>908550383:eng</t>
  </si>
  <si>
    <t>711045699</t>
  </si>
  <si>
    <t>ocn711045699</t>
  </si>
  <si>
    <t>3103382722R</t>
  </si>
  <si>
    <t>9781449397678</t>
  </si>
  <si>
    <t>794870657</t>
  </si>
  <si>
    <t>QA76.76 C68 B69 2011b</t>
  </si>
  <si>
    <t>0                      QA 0076760C  68                 B  69          2011b</t>
  </si>
  <si>
    <t>Worm : the first digital world war / Mark Bowden.</t>
  </si>
  <si>
    <t>Bowden, Mark, 1951-</t>
  </si>
  <si>
    <t>New York : Grove Press ; [Berkeley, Calif.] : Distributed by Publishers Group West, ©2011.</t>
  </si>
  <si>
    <t>1019112007:eng</t>
  </si>
  <si>
    <t>811855495</t>
  </si>
  <si>
    <t>ocn811855495</t>
  </si>
  <si>
    <t>3103470465Z</t>
  </si>
  <si>
    <t>9780802145949</t>
  </si>
  <si>
    <t>794930488</t>
  </si>
  <si>
    <t>QA76.76 D47 J46 2015</t>
  </si>
  <si>
    <t>0                      QA 0076760D  47                 J  46          2015</t>
  </si>
  <si>
    <t>Improving software development productivity : effective leadership and quantitative methods in software management / Randall W. Jensen, Ph. D.</t>
  </si>
  <si>
    <t>Jensen, Randall W.</t>
  </si>
  <si>
    <t>Upper Saddle River, New Jersey : Prentice Hall, [2015]</t>
  </si>
  <si>
    <t>2075005534:eng</t>
  </si>
  <si>
    <t>884665068</t>
  </si>
  <si>
    <t>ocn884665068</t>
  </si>
  <si>
    <t>3103580852E</t>
  </si>
  <si>
    <t>9780133562675</t>
  </si>
  <si>
    <t>794976539</t>
  </si>
  <si>
    <t>QA76.76 D47 V35 1990</t>
  </si>
  <si>
    <t>0                      QA 0076760D  47                 V  35          1990</t>
  </si>
  <si>
    <t>Auditing software development : a manual with case studies / S. Rao Vallabhaneni.</t>
  </si>
  <si>
    <t>Vallabhaneni, S. Rao.</t>
  </si>
  <si>
    <t>836735085:eng</t>
  </si>
  <si>
    <t>20489145</t>
  </si>
  <si>
    <t>ocm20489145</t>
  </si>
  <si>
    <t>31009828450</t>
  </si>
  <si>
    <t>9780471520887</t>
  </si>
  <si>
    <t>793089299</t>
  </si>
  <si>
    <t>QA76.76 E95 E96 1990</t>
  </si>
  <si>
    <t>0                      QA 0076760E  95                 E  96          1990</t>
  </si>
  <si>
    <t>Expert systems and artificial intelligence : the need for information about data.</t>
  </si>
  <si>
    <t>London : Library Association, 1990.</t>
  </si>
  <si>
    <t>Report / Library Association</t>
  </si>
  <si>
    <t>29894172:eng</t>
  </si>
  <si>
    <t>27042489</t>
  </si>
  <si>
    <t>ocm27042489</t>
  </si>
  <si>
    <t>31005741764</t>
  </si>
  <si>
    <t>793257778</t>
  </si>
  <si>
    <t>QA76.76 E95 G66 2010</t>
  </si>
  <si>
    <t>0                      QA 0076760E  95                 G  66          2010</t>
  </si>
  <si>
    <t>Acquisition and understanding of process knowledge using problem solving methods / José Manuel Gómez-Pérez.</t>
  </si>
  <si>
    <t>Gómez-Pérez, José Manuel.</t>
  </si>
  <si>
    <t>[Amsterdam] : IOS Press ; Heidelberg, Germany : AKA, ©2010.</t>
  </si>
  <si>
    <t>Studies on the Semantic Web ; v. 007</t>
  </si>
  <si>
    <t>589215401:eng</t>
  </si>
  <si>
    <t>669738864</t>
  </si>
  <si>
    <t>ocn669738864</t>
  </si>
  <si>
    <t>3103313475K</t>
  </si>
  <si>
    <t>9781607506003</t>
  </si>
  <si>
    <t>794846995</t>
  </si>
  <si>
    <t>QA76.76 H94 C3698 2007</t>
  </si>
  <si>
    <t>0                      QA 0076760H  94                 C  3698        2007</t>
  </si>
  <si>
    <t>HTML, XHTML &amp; CSS / by Elizabeth Castro.</t>
  </si>
  <si>
    <t>Castro, Elizabeth.</t>
  </si>
  <si>
    <t>Berkeley, CA : Peachpit Press, ©2007.</t>
  </si>
  <si>
    <t>6th ed.</t>
  </si>
  <si>
    <t>Visual quickstart guide</t>
  </si>
  <si>
    <t>2015-07-24</t>
  </si>
  <si>
    <t>5481382986:eng</t>
  </si>
  <si>
    <t>71252517</t>
  </si>
  <si>
    <t>ocm71252517</t>
  </si>
  <si>
    <t>3103316299A</t>
  </si>
  <si>
    <t>9780321430847</t>
  </si>
  <si>
    <t>794164289</t>
  </si>
  <si>
    <t>31034839407</t>
  </si>
  <si>
    <t>794164290</t>
  </si>
  <si>
    <t>3103467150N</t>
  </si>
  <si>
    <t>794164291</t>
  </si>
  <si>
    <t>3103142543O</t>
  </si>
  <si>
    <t>794164292</t>
  </si>
  <si>
    <t>QA76.76 H94 D837 2011</t>
  </si>
  <si>
    <t>0                      QA 0076760H  94                 D  837         2011</t>
  </si>
  <si>
    <t>HTML &amp; CSS : design and build websites / Jon Duckett.</t>
  </si>
  <si>
    <t>Duckett, Jon.</t>
  </si>
  <si>
    <t>Indianapolis, IN : Wiley ; Chichester : Wiley [distributor], ©2011.</t>
  </si>
  <si>
    <t>2017-09-18</t>
  </si>
  <si>
    <t>2018-05-16</t>
  </si>
  <si>
    <t>1081801475:eng</t>
  </si>
  <si>
    <t>751583472</t>
  </si>
  <si>
    <t>ocn751583472</t>
  </si>
  <si>
    <t>3103658447Y</t>
  </si>
  <si>
    <t>9781118008188</t>
  </si>
  <si>
    <t>794890467</t>
  </si>
  <si>
    <t>3103714404F</t>
  </si>
  <si>
    <t>794890468</t>
  </si>
  <si>
    <t>QA76.76 H94 D84 2014</t>
  </si>
  <si>
    <t>0                      QA 0076760H  94                 D  84          2014</t>
  </si>
  <si>
    <t>Indianapolis, IN : John Wiley &amp; Sons Inc., [2014]</t>
  </si>
  <si>
    <t>871305670</t>
  </si>
  <si>
    <t>ocn871305670</t>
  </si>
  <si>
    <t>3103586014M</t>
  </si>
  <si>
    <t>9781118871645</t>
  </si>
  <si>
    <t>794967548</t>
  </si>
  <si>
    <t>QA76.76 H94 H7674 2013</t>
  </si>
  <si>
    <t>0                      QA 0076760H  94                 H  7674        2013</t>
  </si>
  <si>
    <t>HTML5 application development fundamentals, exam 98-375.</t>
  </si>
  <si>
    <t>Hoboken, NJ : John Wiley &amp; Sons, Inc., [2013]</t>
  </si>
  <si>
    <t>Microsoft official academic course</t>
  </si>
  <si>
    <t>2014-06-18</t>
  </si>
  <si>
    <t>1204919419:eng</t>
  </si>
  <si>
    <t>779259290</t>
  </si>
  <si>
    <t>ocn779259290</t>
  </si>
  <si>
    <t>3103539076N</t>
  </si>
  <si>
    <t>9781118359938</t>
  </si>
  <si>
    <t>794910729</t>
  </si>
  <si>
    <t>- Reserves (ASK AT THE SERVICE DESK) - 24 Hour Loan</t>
  </si>
  <si>
    <t>QA76.76 H94 M655 2013</t>
  </si>
  <si>
    <t>0                      QA 0076760H  94                 M  655         2013</t>
  </si>
  <si>
    <t>Web development and design foundations with HTML5 / Terry Ann Felke-Morris.</t>
  </si>
  <si>
    <t>Felke-Morris, Terry.</t>
  </si>
  <si>
    <t>1215533109:eng</t>
  </si>
  <si>
    <t>758397867</t>
  </si>
  <si>
    <t>ocn758397867</t>
  </si>
  <si>
    <t>31035865471</t>
  </si>
  <si>
    <t>9780132783392</t>
  </si>
  <si>
    <t>794896353</t>
  </si>
  <si>
    <t>QA76.76 H94 N45 1992</t>
  </si>
  <si>
    <t>0                      QA 0076760H  94                 N  45          1992</t>
  </si>
  <si>
    <t>Literary machines : the report on, and of, Project Xanadu concerning word processing, electronic publishing, hypertext, thinkertoys, tomorrow's intellectual revolution, and certain other topics including knowledge, education and freedom / Theodor Holm Nelson.</t>
  </si>
  <si>
    <t>Nelson, Theodor H.</t>
  </si>
  <si>
    <t>Sausalito, CA : Mindful Press, ©1992.</t>
  </si>
  <si>
    <t>Ed. 93.1.</t>
  </si>
  <si>
    <t>3618248:eng</t>
  </si>
  <si>
    <t>28395699</t>
  </si>
  <si>
    <t>ocm28395699</t>
  </si>
  <si>
    <t>3102554189Z</t>
  </si>
  <si>
    <t>793287252</t>
  </si>
  <si>
    <t>QA76.76 H94 P684 1999</t>
  </si>
  <si>
    <t>0                      QA 0076760H  94                 P  684         1999</t>
  </si>
  <si>
    <t>HTML : the complete reference / Thomas A. Powell.</t>
  </si>
  <si>
    <t>Powell, Thomas A., 1968-</t>
  </si>
  <si>
    <t>Berkeley, Calif. : Osborne/McGraw-Hill, ©1999.</t>
  </si>
  <si>
    <t>2015-08-26</t>
  </si>
  <si>
    <t>45317479:eng</t>
  </si>
  <si>
    <t>41213086</t>
  </si>
  <si>
    <t>ocm41213086</t>
  </si>
  <si>
    <t>3102009209E</t>
  </si>
  <si>
    <t>9780072119770</t>
  </si>
  <si>
    <t>793586819</t>
  </si>
  <si>
    <t>QA76.76 H94 S64 1996</t>
  </si>
  <si>
    <t>0                      QA 0076760H  94                 S  64          1996</t>
  </si>
  <si>
    <t>Hypertext : the electronic labyrinth / Ilana Snyder.</t>
  </si>
  <si>
    <t>Snyder, Ilana, 1949-</t>
  </si>
  <si>
    <t>Carlton South, Vic. : Melbourne University Press, 1996.</t>
  </si>
  <si>
    <t>Interpretations, 1039-6128</t>
  </si>
  <si>
    <t>2019-11-13</t>
  </si>
  <si>
    <t>622381:eng</t>
  </si>
  <si>
    <t>35171429</t>
  </si>
  <si>
    <t>ocm35171429</t>
  </si>
  <si>
    <t>31018938798</t>
  </si>
  <si>
    <t>9780522846294</t>
  </si>
  <si>
    <t>793445876</t>
  </si>
  <si>
    <t>QA76.76 I58 M68 2013</t>
  </si>
  <si>
    <t>0                      QA 0076760I  58                 M  68          2013</t>
  </si>
  <si>
    <t>Motion imagery processing and exploitation (MIPE) / Amado Cordova, Lindsay D. Millard, Lance Menthe, Robert A. Guffey, Carl Rhodes ; RAND Project AIR FORCE.</t>
  </si>
  <si>
    <t>Cordova, Amado, author.</t>
  </si>
  <si>
    <t>Santa Monica, CA : RAND Corporation, [2013]</t>
  </si>
  <si>
    <t>Project Air Force</t>
  </si>
  <si>
    <t>1749217174:eng</t>
  </si>
  <si>
    <t>861665728</t>
  </si>
  <si>
    <t>ocn861665728</t>
  </si>
  <si>
    <t>3103564560F</t>
  </si>
  <si>
    <t>9780833081506</t>
  </si>
  <si>
    <t>794959449</t>
  </si>
  <si>
    <t>QA76.76 I59 B65 1998</t>
  </si>
  <si>
    <t>0                      QA 0076760I  59                 B  65          1998</t>
  </si>
  <si>
    <t>Writing for new media : the essential guide to writing for interactive media, CD-ROMs, and the Web / Andrew Bonime, Ken C. Pohlmann.</t>
  </si>
  <si>
    <t>Bonime, Andrew, 1948-</t>
  </si>
  <si>
    <t>New York : J. Wiley, ©1998.</t>
  </si>
  <si>
    <t>Wiley books for writers.</t>
  </si>
  <si>
    <t>836968162:eng</t>
  </si>
  <si>
    <t>37107208</t>
  </si>
  <si>
    <t>ocm37107208</t>
  </si>
  <si>
    <t>3102601528T</t>
  </si>
  <si>
    <t>9780471170303</t>
  </si>
  <si>
    <t>793490899</t>
  </si>
  <si>
    <t>QA76.76 I59 D57 2009</t>
  </si>
  <si>
    <t>0                      QA 0076760I  59                 D  57          2009</t>
  </si>
  <si>
    <t>Digital storytelling, mediatized stories : self-representations in new media / edited by Knut Lundby.</t>
  </si>
  <si>
    <t>New York : P. Lang, ©2009.</t>
  </si>
  <si>
    <t>Digital formations, 1526-3169 ; v. 52</t>
  </si>
  <si>
    <t>801474655:eng</t>
  </si>
  <si>
    <t>216616537</t>
  </si>
  <si>
    <t>ocn216616537</t>
  </si>
  <si>
    <t>31030744812</t>
  </si>
  <si>
    <t>9781433102738</t>
  </si>
  <si>
    <t>794315515</t>
  </si>
  <si>
    <t>QA76.76 I59 F72 1996</t>
  </si>
  <si>
    <t>0                      QA 0076760I  59                 F  72          1996</t>
  </si>
  <si>
    <t>Fractal dreams : new media in social context / edited by Jon Dovey.</t>
  </si>
  <si>
    <t>London : Lawrence &amp; Wishart, 1996.</t>
  </si>
  <si>
    <t>2018-01-29</t>
  </si>
  <si>
    <t>836945414:eng</t>
  </si>
  <si>
    <t>34558696</t>
  </si>
  <si>
    <t>ocm34558696</t>
  </si>
  <si>
    <t>3101536802B</t>
  </si>
  <si>
    <t>9780853158004</t>
  </si>
  <si>
    <t>793429952</t>
  </si>
  <si>
    <t>QA76.76 I59 M66 2003</t>
  </si>
  <si>
    <t>0                      QA 0076760I  59                 M  66          2003</t>
  </si>
  <si>
    <t>Twisty little passages : an approach to interactive fiction / Nick Montfort.</t>
  </si>
  <si>
    <t>Montfort, Nick.</t>
  </si>
  <si>
    <t>Cambridge, Mass. : MIT Press, 2003.</t>
  </si>
  <si>
    <t>2019-05-21</t>
  </si>
  <si>
    <t>668816:eng</t>
  </si>
  <si>
    <t>52214874</t>
  </si>
  <si>
    <t>ocm52214874</t>
  </si>
  <si>
    <t>3102797531Q</t>
  </si>
  <si>
    <t>9780262134361</t>
  </si>
  <si>
    <t>793801191</t>
  </si>
  <si>
    <t>QA76.76 I59 M87 1997</t>
  </si>
  <si>
    <t>0                      QA 0076760I  59                 M  87          1997</t>
  </si>
  <si>
    <t>Hamlet on the holodeck : the future of narrative in cyberspace / Janet H. Murray.</t>
  </si>
  <si>
    <t>Murray, Janet Horowitz, 1946- author.</t>
  </si>
  <si>
    <t>New York : The Free Press, [1997]</t>
  </si>
  <si>
    <t>2019-03-29</t>
  </si>
  <si>
    <t>41896825:eng</t>
  </si>
  <si>
    <t>36446940</t>
  </si>
  <si>
    <t>ocm36446940</t>
  </si>
  <si>
    <t>31028023837</t>
  </si>
  <si>
    <t>9780684827230</t>
  </si>
  <si>
    <t>793475545</t>
  </si>
  <si>
    <t>3102618294S</t>
  </si>
  <si>
    <t>793475544</t>
  </si>
  <si>
    <t>QA76.76 I59 P37 2008</t>
  </si>
  <si>
    <t>0                      QA 0076760I  59                 P  37          2008</t>
  </si>
  <si>
    <t>Paradoxes of interactivity : perspectives for media theory, human-computer interaction, and artistic investigations / Uwe Seifert, Jin Hyun Kim, and Anthony Moore (eds.).</t>
  </si>
  <si>
    <t>Bielefeld : Transcript ; New Brunswick [N.J.] : Distributed in North America by Transaction Publishers, ©2008.</t>
  </si>
  <si>
    <t>Cultural and media studies</t>
  </si>
  <si>
    <t>892726663:eng</t>
  </si>
  <si>
    <t>229035581</t>
  </si>
  <si>
    <t>ocn229035581</t>
  </si>
  <si>
    <t>31030522251</t>
  </si>
  <si>
    <t>9783899428421</t>
  </si>
  <si>
    <t>794352962</t>
  </si>
  <si>
    <t>QA76.76 I59 S7 1998</t>
  </si>
  <si>
    <t>0                      QA 0076760I  59                 S  7           1998</t>
  </si>
  <si>
    <t>Labyrinths : the art of interactive writing &amp; design : content development for new media / Domenic Stansberry.</t>
  </si>
  <si>
    <t>Stansberry, Domenic.</t>
  </si>
  <si>
    <t>Belmont, CA : Wadsworth Pub. Co., ©1998.</t>
  </si>
  <si>
    <t>2019-04-18</t>
  </si>
  <si>
    <t>561219:eng</t>
  </si>
  <si>
    <t>36909613</t>
  </si>
  <si>
    <t>ocm36909613</t>
  </si>
  <si>
    <t>3101955876L</t>
  </si>
  <si>
    <t>9780534519483</t>
  </si>
  <si>
    <t>793487416</t>
  </si>
  <si>
    <t>QA76.76 O63 S5583 2003</t>
  </si>
  <si>
    <t>0                      QA 0076760O  63                 S  5583        2003</t>
  </si>
  <si>
    <t>Operating system concepts / Abraham Silberschatz, Peter Baer Galvin, Greg Gagne.</t>
  </si>
  <si>
    <t>Silberschatz, Abraham.</t>
  </si>
  <si>
    <t>[Hoboken, NJ] : Wiley, ©2003.</t>
  </si>
  <si>
    <t>Windows XP update</t>
  </si>
  <si>
    <t>10119691236:eng</t>
  </si>
  <si>
    <t>53797180</t>
  </si>
  <si>
    <t>ocm53797180</t>
  </si>
  <si>
    <t>3103389070A</t>
  </si>
  <si>
    <t>9780471250609</t>
  </si>
  <si>
    <t>793850582</t>
  </si>
  <si>
    <t>QA76.76 O63 S5583 2009</t>
  </si>
  <si>
    <t>0                      QA 0076760O  63                 S  5583        2009</t>
  </si>
  <si>
    <t>Hoboken, NJ : J. Wiley &amp; Sons, ©2009.</t>
  </si>
  <si>
    <t>260208396</t>
  </si>
  <si>
    <t>ocn260208396</t>
  </si>
  <si>
    <t>31030296811</t>
  </si>
  <si>
    <t>9780470279939</t>
  </si>
  <si>
    <t>794400463</t>
  </si>
  <si>
    <t>3103433923$</t>
  </si>
  <si>
    <t>794400461</t>
  </si>
  <si>
    <t>31030296861</t>
  </si>
  <si>
    <t>794400462</t>
  </si>
  <si>
    <t>QA76.76 O63 S734 2005</t>
  </si>
  <si>
    <t>0                      QA 0076760O  63                 S  734         2005</t>
  </si>
  <si>
    <t>Operating systems : internals and design principles / William Stallings.</t>
  </si>
  <si>
    <t>Stallings, William.</t>
  </si>
  <si>
    <t>Upper Saddle River, N.J. : Pearson/Prentice Hall, ©2005.</t>
  </si>
  <si>
    <t>5th ed.</t>
  </si>
  <si>
    <t>2016-03-09</t>
  </si>
  <si>
    <t>793009058:eng</t>
  </si>
  <si>
    <t>55588229</t>
  </si>
  <si>
    <t>ocm55588229</t>
  </si>
  <si>
    <t>31027496049</t>
  </si>
  <si>
    <t>9780131479548</t>
  </si>
  <si>
    <t>793878812</t>
  </si>
  <si>
    <t>QA76.76 O63 W394 2000</t>
  </si>
  <si>
    <t>0                      QA 0076760O  63                 W  394         2000</t>
  </si>
  <si>
    <t>Free for all : how Linux and the free software movement undercut the high-tech titans / Peter Wayner.</t>
  </si>
  <si>
    <t>Wayner, Peter, 1964-</t>
  </si>
  <si>
    <t>New York : Harper Business, ©2000.</t>
  </si>
  <si>
    <t>44395230:eng</t>
  </si>
  <si>
    <t>43520955</t>
  </si>
  <si>
    <t>ocm43520955</t>
  </si>
  <si>
    <t>3102043620G</t>
  </si>
  <si>
    <t>9780066620503</t>
  </si>
  <si>
    <t>793628561</t>
  </si>
  <si>
    <t>QA76.76.S65 F56 1999</t>
  </si>
  <si>
    <t>0                      QA 0076760S  65                 F  56          1999</t>
  </si>
  <si>
    <t>Measuring the software process : statistical process control for software process improvement / William A. Florac, Anita D. Carleton.</t>
  </si>
  <si>
    <t>Florac, William A.</t>
  </si>
  <si>
    <t>Reading, Mass. : Addison-Wesley, [1999]</t>
  </si>
  <si>
    <t>2018-12-18</t>
  </si>
  <si>
    <t>836952349:eng</t>
  </si>
  <si>
    <t>41017368</t>
  </si>
  <si>
    <t>ocm41017368</t>
  </si>
  <si>
    <t>B000341043</t>
  </si>
  <si>
    <t>9780201604443</t>
  </si>
  <si>
    <t>793581942</t>
  </si>
  <si>
    <t>QA76.76 S65 M44 2014</t>
  </si>
  <si>
    <t>0                      QA 0076760S  65                 M  44          2014</t>
  </si>
  <si>
    <t>Software project measurement : tools and techniques / Monica Mehrotra, Mukta Narang.</t>
  </si>
  <si>
    <t>Mehrotra, Monica, author.</t>
  </si>
  <si>
    <t>Oxford, U.K. : Alpha Science International Ltd., [2014]</t>
  </si>
  <si>
    <t>2031625608:eng</t>
  </si>
  <si>
    <t>884314700</t>
  </si>
  <si>
    <t>ocn884314700</t>
  </si>
  <si>
    <t>31035672986</t>
  </si>
  <si>
    <t>9781842659106</t>
  </si>
  <si>
    <t>794976282</t>
  </si>
  <si>
    <t>QA76.77 S555 2014</t>
  </si>
  <si>
    <t>0                      QA 0076770S  555         2014</t>
  </si>
  <si>
    <t>Operating system concepts essentials / Abraham Silberschatz, Yale University, Peter Baer Galvin, Corporate Technologies, Inc., Greg Gagne, Westminster College.</t>
  </si>
  <si>
    <t>2019-09-27</t>
  </si>
  <si>
    <t>3902140075:eng</t>
  </si>
  <si>
    <t>862053077</t>
  </si>
  <si>
    <t>ocn862053077</t>
  </si>
  <si>
    <t>31036682275</t>
  </si>
  <si>
    <t>9781118804926</t>
  </si>
  <si>
    <t>794959892</t>
  </si>
  <si>
    <t>QA76.77 T359 2015</t>
  </si>
  <si>
    <t>0                      QA 0076770T  359         2015</t>
  </si>
  <si>
    <t>Modern operating systems.</t>
  </si>
  <si>
    <t>Fourth edition / Andrew S. Tanenbaum, Herbert Bos, Vrije Universiteit, Amsterdam, The Netherlands.</t>
  </si>
  <si>
    <t>24131693:eng</t>
  </si>
  <si>
    <t>870646449</t>
  </si>
  <si>
    <t>ocn870646449</t>
  </si>
  <si>
    <t>3103748562X</t>
  </si>
  <si>
    <t>9780133591620</t>
  </si>
  <si>
    <t>794966775</t>
  </si>
  <si>
    <t>3103748557Q</t>
  </si>
  <si>
    <t>794966774</t>
  </si>
  <si>
    <t>QA76.774 A53 C67 2017</t>
  </si>
  <si>
    <t>0                      QA 0076774A  53                 C  67          2017</t>
  </si>
  <si>
    <t>Android programming concepts / Trish Cornez, University of Redlands, Richard Cornez, University of Redlands.</t>
  </si>
  <si>
    <t>Cornez, Trish.</t>
  </si>
  <si>
    <t>Burlington, Massachusetts : Jones &amp; Bartlett Learning, [2017]</t>
  </si>
  <si>
    <t>2474584210:eng</t>
  </si>
  <si>
    <t>905344076</t>
  </si>
  <si>
    <t>ocn905344076</t>
  </si>
  <si>
    <t>3103699220X</t>
  </si>
  <si>
    <t>9781284070705</t>
  </si>
  <si>
    <t>794991234</t>
  </si>
  <si>
    <t>QA76.774 A53 G75 2017</t>
  </si>
  <si>
    <t>0                      QA 0076774A  53                 G  75          2017</t>
  </si>
  <si>
    <t>Head first Android development / Dawn Griffiths, David Griffiths.</t>
  </si>
  <si>
    <t>Griffiths, Dawn, author.</t>
  </si>
  <si>
    <t>Sebastopol, CA : O'Reilly Media, Inc., 2017.</t>
  </si>
  <si>
    <t>Head first</t>
  </si>
  <si>
    <t>2083854593:eng</t>
  </si>
  <si>
    <t>1001952674</t>
  </si>
  <si>
    <t>on1001952674</t>
  </si>
  <si>
    <t>3103866999M</t>
  </si>
  <si>
    <t>9781491974056</t>
  </si>
  <si>
    <t>795040808</t>
  </si>
  <si>
    <t>QA76.8 I2594 H39 1985</t>
  </si>
  <si>
    <t>0                      QA 0076800I  2594               H  39          1985</t>
  </si>
  <si>
    <t>File and data-base management programs for the IBM PC / Myron Hecht.</t>
  </si>
  <si>
    <t>Hecht, Myron.</t>
  </si>
  <si>
    <t>New York : Wiley, ©1985.</t>
  </si>
  <si>
    <t>The Wiley IBM PC series</t>
  </si>
  <si>
    <t>4375885:eng</t>
  </si>
  <si>
    <t>11812117</t>
  </si>
  <si>
    <t>ocm11812117</t>
  </si>
  <si>
    <t>30001705955</t>
  </si>
  <si>
    <t>9780471809753</t>
  </si>
  <si>
    <t>792788926</t>
  </si>
  <si>
    <t>QA76.8 I64 M47 2017</t>
  </si>
  <si>
    <t>0                      QA 0076800I  64                 M  47          2017</t>
  </si>
  <si>
    <t>The one device : the secret history of the iPhone / Brian Merchant.</t>
  </si>
  <si>
    <t>Merchant, Brian, author.</t>
  </si>
  <si>
    <t>New York, NY : Little, Brown and Company, 2017.</t>
  </si>
  <si>
    <t>4238744214:eng</t>
  </si>
  <si>
    <t>989120655</t>
  </si>
  <si>
    <t>ocn989120655</t>
  </si>
  <si>
    <t>3103670392O</t>
  </si>
  <si>
    <t>9780316546164</t>
  </si>
  <si>
    <t>795037112</t>
  </si>
  <si>
    <t>QA76.87 A325 1999</t>
  </si>
  <si>
    <t>0                      QA 0076870A  325         1999</t>
  </si>
  <si>
    <t>Neural networks / Hervé Abdi, Dominique Valentin, Betty Edelman.</t>
  </si>
  <si>
    <t>Abdi, Hervé.</t>
  </si>
  <si>
    <t>Thousand Oaks, Calif. : Sage Publications, ©1999.</t>
  </si>
  <si>
    <t>Sage university papers series. Quantitative applications in the social sciences ; no. 07-124</t>
  </si>
  <si>
    <t>3769172681:eng</t>
  </si>
  <si>
    <t>40230293</t>
  </si>
  <si>
    <t>ocm40230293</t>
  </si>
  <si>
    <t>3102019683H</t>
  </si>
  <si>
    <t>9780761914402</t>
  </si>
  <si>
    <t>793562342</t>
  </si>
  <si>
    <t>QA76.87 A383 2010</t>
  </si>
  <si>
    <t>0                      QA 0076870A  383         2010</t>
  </si>
  <si>
    <t>Advances in cognitive systems / edited by S. Nefti and J.O. Gray.</t>
  </si>
  <si>
    <t>London : Institution of Engineering and Technology, 2010.</t>
  </si>
  <si>
    <t>IET control engineering series ; 71</t>
  </si>
  <si>
    <t>888463563:eng</t>
  </si>
  <si>
    <t>466333841</t>
  </si>
  <si>
    <t>ocn466333841</t>
  </si>
  <si>
    <t>3103240731M</t>
  </si>
  <si>
    <t>9781849190756</t>
  </si>
  <si>
    <t>794794224</t>
  </si>
  <si>
    <t>QA76.9 A25 H37 2017</t>
  </si>
  <si>
    <t>0                      QA 0076900A  25                 H  37          2017</t>
  </si>
  <si>
    <t>Data hiding techniques in Windows OS : a practical approach to investigation and defense / Nihad Admad Hassan, Rami Hijazi ; Helvi Salminen, technical editor.</t>
  </si>
  <si>
    <t>Hassan, Nihad Ahmad.</t>
  </si>
  <si>
    <t>Cambridge, MA ; Singapore : Syngress, ©2017.</t>
  </si>
  <si>
    <t>3872281952:eng</t>
  </si>
  <si>
    <t>967752561</t>
  </si>
  <si>
    <t>ocn967752561</t>
  </si>
  <si>
    <t>3103697978L</t>
  </si>
  <si>
    <t>9780128044490</t>
  </si>
  <si>
    <t>795026697</t>
  </si>
  <si>
    <t>QA76.9 A25 I526 2011</t>
  </si>
  <si>
    <t>0                      QA 0076900A  25                 I  526         2011</t>
  </si>
  <si>
    <t>Influences on the adoption of multifactor authentication / Martin C. Libicki [and others].</t>
  </si>
  <si>
    <t>Santa Monica : RAND, ©2011.</t>
  </si>
  <si>
    <t>Technical report ; TR-937-NIST</t>
  </si>
  <si>
    <t>1749227694:eng</t>
  </si>
  <si>
    <t>729347956</t>
  </si>
  <si>
    <t>ocn729347956</t>
  </si>
  <si>
    <t>31026693378</t>
  </si>
  <si>
    <t>9780833052353</t>
  </si>
  <si>
    <t>794879380</t>
  </si>
  <si>
    <t>- Reserves (ASK AT THE SERVICE DESK) - Regular Loan</t>
  </si>
  <si>
    <t>QA76.9 A25 I581 2013</t>
  </si>
  <si>
    <t>0                      QA 0076900A  25                 I  581         2013</t>
  </si>
  <si>
    <t>Information technology, security techniques : information security management systems - requirements = systémes de management de la sécurité de l'information - exigences / International Organization for Standardization.</t>
  </si>
  <si>
    <t>International Organization for Standardization, Standards body.</t>
  </si>
  <si>
    <t>Geneva, Switzerland : ISO/IEC, [2013]</t>
  </si>
  <si>
    <t>International standard ; ISO/IEC 27001</t>
  </si>
  <si>
    <t>2019-06-28</t>
  </si>
  <si>
    <t>4095870382:eng</t>
  </si>
  <si>
    <t>878908407</t>
  </si>
  <si>
    <t>ocn878908407</t>
  </si>
  <si>
    <t>31035991304</t>
  </si>
  <si>
    <t>794971654</t>
  </si>
  <si>
    <t>QA76.9.A25 N62 2019</t>
  </si>
  <si>
    <t>0                      QA 0076900A  25                 N  62          2019</t>
  </si>
  <si>
    <t>Nomenclatura : encyclopedia of modern cryptography and Internet security : from AutoCrypt and exponential encryption to zero-knowledge-proof keys / [editors] Linda A. Bertram, Gunther van Dooble ... [et al.].</t>
  </si>
  <si>
    <t>Norderstedt : BoD, 2019.</t>
  </si>
  <si>
    <t>9428663253:eng</t>
  </si>
  <si>
    <t>1117456398</t>
  </si>
  <si>
    <t>on1117456398</t>
  </si>
  <si>
    <t>3103875202G</t>
  </si>
  <si>
    <t>9783746066684</t>
  </si>
  <si>
    <t>795084684</t>
  </si>
  <si>
    <t>QA76.9 A25 P45 2015</t>
  </si>
  <si>
    <t>0                      QA 0076900A  25                 P  45          2015</t>
  </si>
  <si>
    <t>Security in computing / Charles P. Pfleeger, Shari Lawrence Pfleeger, Jonathan Margulies.</t>
  </si>
  <si>
    <t>Pfleeger, Charles P., 1948- author.</t>
  </si>
  <si>
    <t>Upper Saddle River, NJ : Prentice Hall, [2015]</t>
  </si>
  <si>
    <t>6393102:eng</t>
  </si>
  <si>
    <t>893452682</t>
  </si>
  <si>
    <t>ocn893452682</t>
  </si>
  <si>
    <t>3103642709T</t>
  </si>
  <si>
    <t>9780134085043</t>
  </si>
  <si>
    <t>794981614</t>
  </si>
  <si>
    <t>QA76.9 A25 P46 2002</t>
  </si>
  <si>
    <t>0                      QA 0076900A  25                 P  46          2002</t>
  </si>
  <si>
    <t>Information security policies, procedures, and standards : guidelines for effective information security management / Thomas R. Peltier.</t>
  </si>
  <si>
    <t>Peltier, Thomas R.</t>
  </si>
  <si>
    <t>Boca Raton : Auerbach Publications, ©2002.</t>
  </si>
  <si>
    <t>2016-04-02</t>
  </si>
  <si>
    <t>793225722:eng</t>
  </si>
  <si>
    <t>47521397</t>
  </si>
  <si>
    <t>ocm47521397</t>
  </si>
  <si>
    <t>3102278395J</t>
  </si>
  <si>
    <t>9780849311376</t>
  </si>
  <si>
    <t>793703639</t>
  </si>
  <si>
    <t>QA76.9 A25 V35 1989</t>
  </si>
  <si>
    <t>0                      QA 0076900A  25                 V  35          1989</t>
  </si>
  <si>
    <t>Auditing computer security : a manual with case studies / S. Rao Vallabhaneni.</t>
  </si>
  <si>
    <t>New York : Wiley, ©1989.</t>
  </si>
  <si>
    <t>836752226:eng</t>
  </si>
  <si>
    <t>18833220</t>
  </si>
  <si>
    <t>ocm18833220</t>
  </si>
  <si>
    <t>3101462137T</t>
  </si>
  <si>
    <t>9780471626046</t>
  </si>
  <si>
    <t>793038534</t>
  </si>
  <si>
    <t>QA76.9 A43 K54 2006</t>
  </si>
  <si>
    <t>0                      QA 0076900A  43                 K  54          2006</t>
  </si>
  <si>
    <t>Algorithm design / Jon Kleinberg, Éva Tardos.</t>
  </si>
  <si>
    <t>Kleinberg, Jon.</t>
  </si>
  <si>
    <t>Boston : Pearson/Addison-Wesley, ©2006.</t>
  </si>
  <si>
    <t>1122439:eng</t>
  </si>
  <si>
    <t>57422612</t>
  </si>
  <si>
    <t>ocm57422612</t>
  </si>
  <si>
    <t>3103586120H</t>
  </si>
  <si>
    <t>9780321295354</t>
  </si>
  <si>
    <t>793912619</t>
  </si>
  <si>
    <t>3103388956S</t>
  </si>
  <si>
    <t>793912617</t>
  </si>
  <si>
    <t>3103586129H</t>
  </si>
  <si>
    <t>793912618</t>
  </si>
  <si>
    <t>QA76.9 A48 V36 2010</t>
  </si>
  <si>
    <t>0                      QA 0076900A  48                 V  36          2010</t>
  </si>
  <si>
    <t>The situated self : identity in a world of ambient intelligence / Bibi van den Berg.</t>
  </si>
  <si>
    <t>Berg, Bibi van den.</t>
  </si>
  <si>
    <t>Nijmegen : Wolf Legal Publishers, ©2010.</t>
  </si>
  <si>
    <t>2012-10-16</t>
  </si>
  <si>
    <t>600511660:eng</t>
  </si>
  <si>
    <t>659712216</t>
  </si>
  <si>
    <t>ocn659712216</t>
  </si>
  <si>
    <t>3103363463Y</t>
  </si>
  <si>
    <t>9789058505385</t>
  </si>
  <si>
    <t>794836393</t>
  </si>
  <si>
    <t>QA76.9 A73 H65 2010</t>
  </si>
  <si>
    <t>0                      QA 0076900A  73                 H  65          2010</t>
  </si>
  <si>
    <t>Modelling enterprise architectures / Jon Holt and Simon Perry.</t>
  </si>
  <si>
    <t>Holt, Jon.</t>
  </si>
  <si>
    <t>Stevenage : Institution of Engineering and Technology, 2010.</t>
  </si>
  <si>
    <t>Professional applications of computing series ; 8</t>
  </si>
  <si>
    <t>349179418:eng</t>
  </si>
  <si>
    <t>466333847</t>
  </si>
  <si>
    <t>ocn466333847</t>
  </si>
  <si>
    <t>3103227323I</t>
  </si>
  <si>
    <t>9781849190770</t>
  </si>
  <si>
    <t>794794225</t>
  </si>
  <si>
    <t>QA76.9 A73 P377 2012</t>
  </si>
  <si>
    <t>0                      QA 0076900A  73                 P  377         2012</t>
  </si>
  <si>
    <t>Computer architecture : a quantitative approach / John L. Hennessy, David A. Patterson ; with contributions by Krste Asanović ́ [and others].</t>
  </si>
  <si>
    <t>Hennessy, John L.</t>
  </si>
  <si>
    <t>Waltham, MA : Morgan Kaufmann, ©2012.</t>
  </si>
  <si>
    <t>2018-09-12</t>
  </si>
  <si>
    <t>28485856:eng</t>
  </si>
  <si>
    <t>755102367</t>
  </si>
  <si>
    <t>ocn755102367</t>
  </si>
  <si>
    <t>3103545192R</t>
  </si>
  <si>
    <t>9780123838728</t>
  </si>
  <si>
    <t>794893649</t>
  </si>
  <si>
    <t>QA76.9 B45 B54 2015</t>
  </si>
  <si>
    <t>0                      QA 0076900B  45                 B  54          2015</t>
  </si>
  <si>
    <t>Biggu dēta o kaitakuseyo : kaiseki ga umu atarashii kachi / Sakauchi Masao kanshū.</t>
  </si>
  <si>
    <t>Tōkyō : Kabushiki Kaisha Kadokawa, Heisei 27 [2015]</t>
  </si>
  <si>
    <t>Intānetto kōza / Kadokawa = Course-internet / Kadokawa ; 07</t>
  </si>
  <si>
    <t>5623596065:jpn</t>
  </si>
  <si>
    <t>921824692</t>
  </si>
  <si>
    <t>ocn921824692</t>
  </si>
  <si>
    <t>3103632172F</t>
  </si>
  <si>
    <t>9784046538871</t>
  </si>
  <si>
    <t>795003298</t>
  </si>
  <si>
    <t>QA76.9 B45 H86 2017</t>
  </si>
  <si>
    <t>0                      QA 0076900B  45                 H  86          2017</t>
  </si>
  <si>
    <t>The human element of big data : issues, analytics, and performance / edited by Geetam S. Tomar, Narendra S. Chaudhari, Robin Singh Bhadoria, Ganesh Chandra Deka.</t>
  </si>
  <si>
    <t>Boca Raton, FL : CRC Press, Taylor &amp; Francis Group, [2017]</t>
  </si>
  <si>
    <t>2918069216:eng</t>
  </si>
  <si>
    <t>960905576</t>
  </si>
  <si>
    <t>ocn960905576</t>
  </si>
  <si>
    <t>3103740015S</t>
  </si>
  <si>
    <t>9781498754156</t>
  </si>
  <si>
    <t>795023388</t>
  </si>
  <si>
    <t>QA76.9 B45 O64 2016</t>
  </si>
  <si>
    <t>0                      QA 0076900B  45                 O  64          2016</t>
  </si>
  <si>
    <t>Weapons of math destruction : how big data increases inequality and threatens democracy / Cathy O'Neil.</t>
  </si>
  <si>
    <t>O'Neil, Cathy, author.</t>
  </si>
  <si>
    <t>Great Britain : Allen Lane, 2016.</t>
  </si>
  <si>
    <t>2019-09-18</t>
  </si>
  <si>
    <t>2838670689:eng</t>
  </si>
  <si>
    <t>958464372</t>
  </si>
  <si>
    <t>ocn958464372</t>
  </si>
  <si>
    <t>3103794513$</t>
  </si>
  <si>
    <t>RECALLED</t>
  </si>
  <si>
    <t>9780241296813</t>
  </si>
  <si>
    <t>795021843</t>
  </si>
  <si>
    <t>3103655263M</t>
  </si>
  <si>
    <t>795021844</t>
  </si>
  <si>
    <t>QA76.9 B45 W35 2018</t>
  </si>
  <si>
    <t>0                      QA 0076900B  45                 W  35          2018</t>
  </si>
  <si>
    <t>Big data shocks : an introduction to big data for librarians and information professionals / Andrew Weiss.</t>
  </si>
  <si>
    <t>Weiss, Andrew, 1971- author.</t>
  </si>
  <si>
    <t>Lanham, Maryland : Rowman &amp; Littlefield Publishers, 2018.</t>
  </si>
  <si>
    <t>Library Information Technology Association (LITA) Guides</t>
  </si>
  <si>
    <t>4771988430:eng</t>
  </si>
  <si>
    <t>1031849573</t>
  </si>
  <si>
    <t>on1031849573</t>
  </si>
  <si>
    <t>31037380698</t>
  </si>
  <si>
    <t>9781538103234</t>
  </si>
  <si>
    <t>795055584</t>
  </si>
  <si>
    <t>QA76.9 C55 B46 2012</t>
  </si>
  <si>
    <t>0                      QA 0076900C  55                 B  46          2012</t>
  </si>
  <si>
    <t>Querying Microsoft SQL Server 2012 : exam 70-461 training kit / Itzik Ben-Gan, Dejan Sarka, Ron Talmage.</t>
  </si>
  <si>
    <t>&lt;text + 1 CD-ROM&gt;</t>
  </si>
  <si>
    <t>Ben-Gan, Itzik.</t>
  </si>
  <si>
    <t>Sebastopol, Calif. : Microsoft, ©2012.</t>
  </si>
  <si>
    <t>1186341014:eng</t>
  </si>
  <si>
    <t>820956133</t>
  </si>
  <si>
    <t>ocn820956133</t>
  </si>
  <si>
    <t>31036292892</t>
  </si>
  <si>
    <t>9780735666054</t>
  </si>
  <si>
    <t>794935900</t>
  </si>
  <si>
    <t>QA76.9 C55 M37 2014</t>
  </si>
  <si>
    <t>0                      QA 0076900C  55                 M  37          2014</t>
  </si>
  <si>
    <t>SQL server 2014 development essentials / Basit A. Masood-Al-Farooq.</t>
  </si>
  <si>
    <t>Masood-Al-Farooq, Basit A.</t>
  </si>
  <si>
    <t>Birmingham, U.K. : Packt Pub., 2014.</t>
  </si>
  <si>
    <t>Professional expertise distilled</t>
  </si>
  <si>
    <t>2267577347:eng</t>
  </si>
  <si>
    <t>898316202</t>
  </si>
  <si>
    <t>ocn898316202</t>
  </si>
  <si>
    <t>3103638829W</t>
  </si>
  <si>
    <t>9781782172550</t>
  </si>
  <si>
    <t>794986213</t>
  </si>
  <si>
    <t>QA76.9 C64 A53 2009</t>
  </si>
  <si>
    <t>0                      QA 0076900C  64                 A  53          2009</t>
  </si>
  <si>
    <t>Equity and information communication technology (ICT) in education / Neil Anderson.</t>
  </si>
  <si>
    <t>Anderson, Neil, 1954-</t>
  </si>
  <si>
    <t>New York : Peter Lang, ©2009.</t>
  </si>
  <si>
    <t>New literacies and digital epistemologies, 1523-9543 ; v. 6</t>
  </si>
  <si>
    <t>473249093:eng</t>
  </si>
  <si>
    <t>263498187</t>
  </si>
  <si>
    <t>ocn263498187</t>
  </si>
  <si>
    <t>3103361207N</t>
  </si>
  <si>
    <t>9781433100512</t>
  </si>
  <si>
    <t>794403885</t>
  </si>
  <si>
    <t>QA76.9 C643 H36 2012</t>
  </si>
  <si>
    <t>0                      QA 0076900C  643                H  36          2012</t>
  </si>
  <si>
    <t>Computer organization and embedded systems / Carl Hamacher [and others].</t>
  </si>
  <si>
    <t>New York, NY : McGraw-Hill, ©2012.</t>
  </si>
  <si>
    <t>2531166589:eng</t>
  </si>
  <si>
    <t>694172133</t>
  </si>
  <si>
    <t>ocn694172133</t>
  </si>
  <si>
    <t>3103748840V</t>
  </si>
  <si>
    <t>9780073380650</t>
  </si>
  <si>
    <t>794857215</t>
  </si>
  <si>
    <t>QA76.9 C643 H46 2014</t>
  </si>
  <si>
    <t>0                      QA 0076900C  643                H  46          2014</t>
  </si>
  <si>
    <t>Computer organization and design : the hardware / software interface / David A. Patterson, John L. Hennessy.</t>
  </si>
  <si>
    <t>Patterson, David A., author.</t>
  </si>
  <si>
    <t>Amsterdam : Morgan Kaufmann, [2014]</t>
  </si>
  <si>
    <t>The Morgan Kaufmann series in computer architecture and design.</t>
  </si>
  <si>
    <t>2019-10-21</t>
  </si>
  <si>
    <t>2019-12-22</t>
  </si>
  <si>
    <t>796375912:eng</t>
  </si>
  <si>
    <t>871482317</t>
  </si>
  <si>
    <t>ocn871482317</t>
  </si>
  <si>
    <t>3103667653U</t>
  </si>
  <si>
    <t>9780124077263</t>
  </si>
  <si>
    <t>794967692</t>
  </si>
  <si>
    <t>3103699167B</t>
  </si>
  <si>
    <t>794967695</t>
  </si>
  <si>
    <t>2019-12-14</t>
  </si>
  <si>
    <t>31036585229</t>
  </si>
  <si>
    <t>794967694</t>
  </si>
  <si>
    <t>- Redpath Basement - Regular Loan</t>
  </si>
  <si>
    <t>2019-12-16</t>
  </si>
  <si>
    <t>31036585237</t>
  </si>
  <si>
    <t>794967693</t>
  </si>
  <si>
    <t>3103658528Y</t>
  </si>
  <si>
    <t>794967691</t>
  </si>
  <si>
    <t>QA76.9 C643 P37 2009</t>
  </si>
  <si>
    <t>0                      QA 0076900C  643                P  37          2009</t>
  </si>
  <si>
    <t>Computer organization and design : the hardware/software interface / David A. Patterson, John L. Hennessy.</t>
  </si>
  <si>
    <t>(text + CDROM)</t>
  </si>
  <si>
    <t>Patterson, David A.</t>
  </si>
  <si>
    <t>Burlington, MA : Morgan Kaufmann Publishers, ©2009.</t>
  </si>
  <si>
    <t>2017-02-08</t>
  </si>
  <si>
    <t>232002245</t>
  </si>
  <si>
    <t>ocn232002245</t>
  </si>
  <si>
    <t>3103096518W</t>
  </si>
  <si>
    <t>9780123744937</t>
  </si>
  <si>
    <t>794358920</t>
  </si>
  <si>
    <t>3103096523U</t>
  </si>
  <si>
    <t>794358921</t>
  </si>
  <si>
    <t>QA76.9 C65 F45 2016</t>
  </si>
  <si>
    <t>0                      QA 0076900C  65                 F  45          2016</t>
  </si>
  <si>
    <t>The art of computer modeling for business analytics : paradigms and case studies / Gerald Feigin, PhD.</t>
  </si>
  <si>
    <t>Feigin, Gerald (Gerald Eugene), author.</t>
  </si>
  <si>
    <t>New York : Business Expert Press, 2016.</t>
  </si>
  <si>
    <t>Quantitative approaches to decision making collection</t>
  </si>
  <si>
    <t>3335019754:eng</t>
  </si>
  <si>
    <t>960738289</t>
  </si>
  <si>
    <t>ocn960738289</t>
  </si>
  <si>
    <t>3103698640G</t>
  </si>
  <si>
    <t>9781631573750</t>
  </si>
  <si>
    <t>795023242</t>
  </si>
  <si>
    <t>QA76.9 C65 K45 2004</t>
  </si>
  <si>
    <t>0                      QA 0076900C  65                 K  45          2004</t>
  </si>
  <si>
    <t>Simulation with Arena / W. David Kelton, Randall P. Sadowski, David T. Sturrock.</t>
  </si>
  <si>
    <t>Text + CD-ROM</t>
  </si>
  <si>
    <t>Kelton, W. David.</t>
  </si>
  <si>
    <t>New York, NY : McGraw-Hill Higher Education, ©2004.</t>
  </si>
  <si>
    <t>McGraw-Hill series in industrial engineering and management science</t>
  </si>
  <si>
    <t>651517:eng</t>
  </si>
  <si>
    <t>52208671</t>
  </si>
  <si>
    <t>ocm52208671</t>
  </si>
  <si>
    <t>3103559426B</t>
  </si>
  <si>
    <t>9780072856941</t>
  </si>
  <si>
    <t>793800997</t>
  </si>
  <si>
    <t>QA76.9 C65 L38</t>
  </si>
  <si>
    <t>0                      QA 0076900C  65                 L  38</t>
  </si>
  <si>
    <t>Simulation modeling and analysis / Averill M. Law, W. David Kelton.</t>
  </si>
  <si>
    <t>Law, Averill M.</t>
  </si>
  <si>
    <t>New York : McGraw-Hill, ©1982.</t>
  </si>
  <si>
    <t>23087848:eng</t>
  </si>
  <si>
    <t>7551103</t>
  </si>
  <si>
    <t>ocm07551103</t>
  </si>
  <si>
    <t>3103138015Q</t>
  </si>
  <si>
    <t>9780070366961</t>
  </si>
  <si>
    <t>792564957</t>
  </si>
  <si>
    <t>QA76.9 C659 H54 2010</t>
  </si>
  <si>
    <t>0                      QA 0076900C  659                H  54          2010</t>
  </si>
  <si>
    <t>High-tech tots : childhood in a digital world / edited by Ilene R. Berson and Michael J. Berson.</t>
  </si>
  <si>
    <t>Research in global child advocacy</t>
  </si>
  <si>
    <t>431526672:eng</t>
  </si>
  <si>
    <t>560546407</t>
  </si>
  <si>
    <t>ocn560546407</t>
  </si>
  <si>
    <t>3103323407T</t>
  </si>
  <si>
    <t>9781617350092</t>
  </si>
  <si>
    <t>794812811</t>
  </si>
  <si>
    <t>QA76.9 C66 B37 2000</t>
  </si>
  <si>
    <t>0                      QA 0076900C  66                 B  37          2000</t>
  </si>
  <si>
    <t>Prometheus wired : the hope for democracy in the age of network technology / Darin Barney.</t>
  </si>
  <si>
    <t>Barney, Darin David, 1966-</t>
  </si>
  <si>
    <t>Vancouver : UBC Press, ©2000.</t>
  </si>
  <si>
    <t>793991833:eng</t>
  </si>
  <si>
    <t>43507865</t>
  </si>
  <si>
    <t>ocm43507865</t>
  </si>
  <si>
    <t>31030178878</t>
  </si>
  <si>
    <t>9780774807968</t>
  </si>
  <si>
    <t>793628332</t>
  </si>
  <si>
    <t>QA76.9 C66 C57 1996</t>
  </si>
  <si>
    <t>0                      QA 0076900C  66                 C  57          1996</t>
  </si>
  <si>
    <t>Clicking in : hot links to a digital culture / edited by Lynn Hershman-Leeson.</t>
  </si>
  <si>
    <t>Seattle : Bay Press, ©1996.</t>
  </si>
  <si>
    <t>2016-05-18</t>
  </si>
  <si>
    <t>969163932:eng</t>
  </si>
  <si>
    <t>34474655</t>
  </si>
  <si>
    <t>ocm34474655</t>
  </si>
  <si>
    <t>3101559083R</t>
  </si>
  <si>
    <t>9780941920421</t>
  </si>
  <si>
    <t>793427395</t>
  </si>
  <si>
    <t>QA76.9 C66 C898 2000</t>
  </si>
  <si>
    <t>0                      QA 0076900C  66                 C  898         2000</t>
  </si>
  <si>
    <t>The cybercultures reader / edited by David Bell and Barbara M. Kennedy.</t>
  </si>
  <si>
    <t>London : New York Routledge, 2000.</t>
  </si>
  <si>
    <t>504033956:eng</t>
  </si>
  <si>
    <t>59454857</t>
  </si>
  <si>
    <t>ocm59454857</t>
  </si>
  <si>
    <t>31028951481</t>
  </si>
  <si>
    <t>9780415183789</t>
  </si>
  <si>
    <t>793930052</t>
  </si>
  <si>
    <t>QA76.9 C66 C93 2012</t>
  </si>
  <si>
    <t>0                      QA 0076900C  66                 C  93          2012</t>
  </si>
  <si>
    <t>Cybercultures : mediations of community, culture, politics / edited by Harris Breslow and Aris Mousoutzanis.</t>
  </si>
  <si>
    <t>At the interface/Probing the boundaries, 1570-7113 ; v. 83</t>
  </si>
  <si>
    <t>2015-04-02</t>
  </si>
  <si>
    <t>1177019509:eng</t>
  </si>
  <si>
    <t>820106429</t>
  </si>
  <si>
    <t>ocn820106429</t>
  </si>
  <si>
    <t>3103471534Y</t>
  </si>
  <si>
    <t>9789042035782</t>
  </si>
  <si>
    <t>794934985</t>
  </si>
  <si>
    <t>QA76.9 C66 D36 1986</t>
  </si>
  <si>
    <t>0                      QA 0076900C  66                 D  36          1986</t>
  </si>
  <si>
    <t>People and computers : the impacts of computing on end users in organizations / James N. Danziger and Kenneth L. Kraemer.</t>
  </si>
  <si>
    <t>Danziger, James N.</t>
  </si>
  <si>
    <t>New York : Columbia University Press, 1986.</t>
  </si>
  <si>
    <t>CORPS (computing, organizations, policy, and society) series</t>
  </si>
  <si>
    <t>2017-09-25</t>
  </si>
  <si>
    <t>836690853:eng</t>
  </si>
  <si>
    <t>12970534</t>
  </si>
  <si>
    <t>ocm12970534</t>
  </si>
  <si>
    <t>3000193177X</t>
  </si>
  <si>
    <t>9780231061780</t>
  </si>
  <si>
    <t>792835062</t>
  </si>
  <si>
    <t>QA76.9 C66 D46 1999</t>
  </si>
  <si>
    <t>0                      QA 0076900C  66                 D  46          1999</t>
  </si>
  <si>
    <t>Talking back to the machine : computers and human aspiration / Peter J. Denning, editor ; introductions by James Burke.</t>
  </si>
  <si>
    <t>New York : Copernicus, ©1999.</t>
  </si>
  <si>
    <t>867704173:eng</t>
  </si>
  <si>
    <t>42517768</t>
  </si>
  <si>
    <t>ocm42517768</t>
  </si>
  <si>
    <t>3101967980A</t>
  </si>
  <si>
    <t>9780387984131</t>
  </si>
  <si>
    <t>793608594</t>
  </si>
  <si>
    <t>QA76.9 C66 D54 1999</t>
  </si>
  <si>
    <t>0                      QA 0076900C  66                 D  54          1999</t>
  </si>
  <si>
    <t>The digital dialectic : new essays on new media / edited by Peter Lunenfeld.</t>
  </si>
  <si>
    <t>Cambridge, Mass. : MIT Press, ©1999.</t>
  </si>
  <si>
    <t>Leonardo</t>
  </si>
  <si>
    <t>1074660370:eng</t>
  </si>
  <si>
    <t>39235692</t>
  </si>
  <si>
    <t>ocm39235692</t>
  </si>
  <si>
    <t>3102814935N</t>
  </si>
  <si>
    <t>9780262122139</t>
  </si>
  <si>
    <t>793541440</t>
  </si>
  <si>
    <t>QA76.9 C66 D544 2016</t>
  </si>
  <si>
    <t>0                      QA 0076900C  66                 D  544         2016</t>
  </si>
  <si>
    <t>Digital keywords : a vocabulary of information society and culture / edited by Benjamin Peters.</t>
  </si>
  <si>
    <t>Princeton : Princeton University Press, [2016]</t>
  </si>
  <si>
    <t>Princeton studies in culture and technology</t>
  </si>
  <si>
    <t>2822127302:eng</t>
  </si>
  <si>
    <t>930875140</t>
  </si>
  <si>
    <t>ocn930875140</t>
  </si>
  <si>
    <t>3103657773Q</t>
  </si>
  <si>
    <t>9780691167336</t>
  </si>
  <si>
    <t>795007357</t>
  </si>
  <si>
    <t>QA76.9 C66 E46 2010</t>
  </si>
  <si>
    <t>0                      QA 0076900C  66                 E  46          2010</t>
  </si>
  <si>
    <t>Emerging practices in cyberculture and social networking / edited by Daniel Riha and Anna Maj.</t>
  </si>
  <si>
    <t>At the interface/probing the boundaries ; v. 69. Critical issues series 'Cybercultures'</t>
  </si>
  <si>
    <t>2014-09-06</t>
  </si>
  <si>
    <t>767458809:eng</t>
  </si>
  <si>
    <t>650215677</t>
  </si>
  <si>
    <t>ocn650215677</t>
  </si>
  <si>
    <t>3103226143O</t>
  </si>
  <si>
    <t>9789042030824</t>
  </si>
  <si>
    <t>794832356</t>
  </si>
  <si>
    <t>QA76.9 C66 F76 2012</t>
  </si>
  <si>
    <t>0                      QA 0076900C  66                 F  76          2012</t>
  </si>
  <si>
    <t>Frontiers of cyberspace / edited by Daniel Riha.</t>
  </si>
  <si>
    <t>Amsterdam ; New York, N.Y. : Rodopi, 2012.</t>
  </si>
  <si>
    <t>At the interface/probing the boundaries ; v. 85</t>
  </si>
  <si>
    <t>8911610472:eng</t>
  </si>
  <si>
    <t>820783215</t>
  </si>
  <si>
    <t>ocn820783215</t>
  </si>
  <si>
    <t>31034971616</t>
  </si>
  <si>
    <t>9789042035836</t>
  </si>
  <si>
    <t>794935776</t>
  </si>
  <si>
    <t>QA76.9 C66 H33 2011</t>
  </si>
  <si>
    <t>0                      QA 0076900C  66                 H  33          2011</t>
  </si>
  <si>
    <t>Social engineering : the art of human hacking / by Christopher Hadnagy ; [foreword by Paul Wilson].</t>
  </si>
  <si>
    <t>Hadnagy, Christopher.</t>
  </si>
  <si>
    <t>Indianapolis, IN : Wiley, ©2011.</t>
  </si>
  <si>
    <t>499223003:eng</t>
  </si>
  <si>
    <t>635494717</t>
  </si>
  <si>
    <t>ocn635494717</t>
  </si>
  <si>
    <t>31033239642</t>
  </si>
  <si>
    <t>9780470639535</t>
  </si>
  <si>
    <t>794825725</t>
  </si>
  <si>
    <t>QA76.9 C66 H63 1998</t>
  </si>
  <si>
    <t>0                      QA 0076900C  66                 H  63          1998</t>
  </si>
  <si>
    <t>Information ages : literacy, numeracy, and the computer revolution / Michael E. Hobart and Zachary S. Schiffman.</t>
  </si>
  <si>
    <t>Hobart, Michael E., 1944-</t>
  </si>
  <si>
    <t>Baltimore : Johns Hopkins University Press, ©1998.</t>
  </si>
  <si>
    <t>808522660:eng</t>
  </si>
  <si>
    <t>38432577</t>
  </si>
  <si>
    <t>ocm38432577</t>
  </si>
  <si>
    <t>3101943253$</t>
  </si>
  <si>
    <t>9780801858819</t>
  </si>
  <si>
    <t>793523779</t>
  </si>
  <si>
    <t>QA76.9 C66 H823 2011</t>
  </si>
  <si>
    <t>0                      QA 0076900C  66                 H  823         2011</t>
  </si>
  <si>
    <t>Human-computer etiquette : cultural expectations and the design implications they place on computers and technology / edited by Caroline C. Hayes, Christopher A. Miller.</t>
  </si>
  <si>
    <t>Boca Raton : CRC Press, ©2011.</t>
  </si>
  <si>
    <t>Supply chain integration series</t>
  </si>
  <si>
    <t>902467137:eng</t>
  </si>
  <si>
    <t>682145201</t>
  </si>
  <si>
    <t>ocn682145201</t>
  </si>
  <si>
    <t>31033205031</t>
  </si>
  <si>
    <t>9781420069457</t>
  </si>
  <si>
    <t>794852573</t>
  </si>
  <si>
    <t>QA76.9 C66 J67 2008</t>
  </si>
  <si>
    <t>0                      QA 0076900C  66                 J  67          2008</t>
  </si>
  <si>
    <t>Hacking : digital media and technological determinism / Tim Jordan.</t>
  </si>
  <si>
    <t>Jordan, Tim, 1959-</t>
  </si>
  <si>
    <t>Cambridge, UK ; Malden, MA : Polity Press, 2008.</t>
  </si>
  <si>
    <t>Digital media and society series</t>
  </si>
  <si>
    <t>1008403632:eng</t>
  </si>
  <si>
    <t>228275783</t>
  </si>
  <si>
    <t>ocn228275783</t>
  </si>
  <si>
    <t>3102975910O</t>
  </si>
  <si>
    <t>9780745639710</t>
  </si>
  <si>
    <t>794349040</t>
  </si>
  <si>
    <t>QA76.9 C66 P77 2012</t>
  </si>
  <si>
    <t>0                      QA 0076900C  66                 P  77          2012</t>
  </si>
  <si>
    <t>The difference engine : computing, knowledge, and the transformation of learning / Eugene F. Provenzo, Jr.</t>
  </si>
  <si>
    <t>Provenzo, Eugene F.</t>
  </si>
  <si>
    <t>Lanham, Md. : Rowman &amp; Littlefield Publishers, ©2012.</t>
  </si>
  <si>
    <t>1104796799:eng</t>
  </si>
  <si>
    <t>744296659</t>
  </si>
  <si>
    <t>ocn744296659</t>
  </si>
  <si>
    <t>3103472268X</t>
  </si>
  <si>
    <t>9781442214354</t>
  </si>
  <si>
    <t>794886089</t>
  </si>
  <si>
    <t>QA76.9 C66 R93 1999</t>
  </si>
  <si>
    <t>0                      QA 0076900C  66                 R  93          1999</t>
  </si>
  <si>
    <t>Cyberspace textuality : computer technology and literary theory / edited by Marie-Laure Ryan.</t>
  </si>
  <si>
    <t>Bloomington : Indiana University Press, 1999.</t>
  </si>
  <si>
    <t>2018-05-10</t>
  </si>
  <si>
    <t>865041962:eng</t>
  </si>
  <si>
    <t>40251473</t>
  </si>
  <si>
    <t>ocm40251473</t>
  </si>
  <si>
    <t>3101983669I</t>
  </si>
  <si>
    <t>9780253334657</t>
  </si>
  <si>
    <t>793562682</t>
  </si>
  <si>
    <t>QA76.9 C66 S618 1996</t>
  </si>
  <si>
    <t>0                      QA 0076900C  66                 S  618         1996</t>
  </si>
  <si>
    <t>Social and ethical effects of the computer revolution / edited by Joseph Migga Kizza.</t>
  </si>
  <si>
    <t>Jefferson, N.C. : McFarland, ©1996.</t>
  </si>
  <si>
    <t>38894162:eng</t>
  </si>
  <si>
    <t>33865047</t>
  </si>
  <si>
    <t>ocm33865047</t>
  </si>
  <si>
    <t>3101538783G</t>
  </si>
  <si>
    <t>9780786402052</t>
  </si>
  <si>
    <t>793412777</t>
  </si>
  <si>
    <t>QA76.9 C66 S619 2010</t>
  </si>
  <si>
    <t>0                      QA 0076900C  66                 S  619         2010</t>
  </si>
  <si>
    <t>Social computing and virtual communities / edited by Panayiotis Zaphiris and Chee Siang Ang.</t>
  </si>
  <si>
    <t>Boca Raton : Chapman &amp; Hall/CRC Press, ©2010.</t>
  </si>
  <si>
    <t>1011709052:eng</t>
  </si>
  <si>
    <t>229022796</t>
  </si>
  <si>
    <t>ocn229022796</t>
  </si>
  <si>
    <t>31031582288</t>
  </si>
  <si>
    <t>9781420090420</t>
  </si>
  <si>
    <t>794352752</t>
  </si>
  <si>
    <t>QA76.9 C66 T87 1995</t>
  </si>
  <si>
    <t>0                      QA 0076900C  66                 T  87          1995</t>
  </si>
  <si>
    <t>Life on the screen : identity in the age of the Internet / Sherry Turkle.</t>
  </si>
  <si>
    <t>New York : Simon &amp; Schuster, ©1995.</t>
  </si>
  <si>
    <t>572398:eng</t>
  </si>
  <si>
    <t>33078560</t>
  </si>
  <si>
    <t>ocm33078560</t>
  </si>
  <si>
    <t>3103070934D</t>
  </si>
  <si>
    <t>9780684803531</t>
  </si>
  <si>
    <t>793401190</t>
  </si>
  <si>
    <t>QA76.9 C66 T875 2006</t>
  </si>
  <si>
    <t>0                      QA 0076900C  66                 T  875         2006</t>
  </si>
  <si>
    <t>From counterculture to cyberculture : Stewart Brand, the Whole Earth Network, and the rise of digital utopianism / Fred Turner.</t>
  </si>
  <si>
    <t>Turner, Fred.</t>
  </si>
  <si>
    <t>Chicago : University of Chicago Press, 2006.</t>
  </si>
  <si>
    <t>2015-02-25</t>
  </si>
  <si>
    <t>795527290:eng</t>
  </si>
  <si>
    <t>62533774</t>
  </si>
  <si>
    <t>ocm62533774</t>
  </si>
  <si>
    <t>31025891428</t>
  </si>
  <si>
    <t>9780226817415</t>
  </si>
  <si>
    <t>794109367</t>
  </si>
  <si>
    <t>QA76.9 C92 P764 2013</t>
  </si>
  <si>
    <t>0                      QA 0076900C  92                 P  764         2013</t>
  </si>
  <si>
    <t>Professionalizing the nation's cybersecurity workforce? : criteria for decision-making / Committee on Professionalizing the Nation's Cybersecurity Workforce: Criteria for Future Decision-Making, Computer Science and Telecommunications Board, Division on Engineering and Physical Sciences, National Research Council of the National Academies.</t>
  </si>
  <si>
    <t>Washington, D.C. : National Academies Press, 2013.</t>
  </si>
  <si>
    <t>1406123790:eng</t>
  </si>
  <si>
    <t>859754025</t>
  </si>
  <si>
    <t>ocn859754025</t>
  </si>
  <si>
    <t>31035054599</t>
  </si>
  <si>
    <t>9780309291040</t>
  </si>
  <si>
    <t>794958148</t>
  </si>
  <si>
    <t>QA76.9 D26 B36 2019</t>
  </si>
  <si>
    <t>0                      QA 0076900D  26                 B  36          2019</t>
  </si>
  <si>
    <t>The data wrangler's handbook : simple tools for powerful results / Kyle Banerjee.</t>
  </si>
  <si>
    <t>Banerjee, Kyle, author.</t>
  </si>
  <si>
    <t>Chicago : ALA Neal-Schuman, 2019.</t>
  </si>
  <si>
    <t>9451206638:eng</t>
  </si>
  <si>
    <t>1108161188</t>
  </si>
  <si>
    <t>on1108161188</t>
  </si>
  <si>
    <t>3103903691K</t>
  </si>
  <si>
    <t>9780838919095</t>
  </si>
  <si>
    <t>795083347</t>
  </si>
  <si>
    <t>QA76.9 D26 C67 2013</t>
  </si>
  <si>
    <t>0                      QA 0076900D  26                 C  67          2013</t>
  </si>
  <si>
    <t>Database systems : design, implementation, and management / Carlos Coronel, Steven Morris, Peter Rob.</t>
  </si>
  <si>
    <t>Rob, Peter, author.</t>
  </si>
  <si>
    <t>Boston, MA : Course Technology, Cengage Learning, [2013]</t>
  </si>
  <si>
    <t>10 ed.</t>
  </si>
  <si>
    <t>793124875:eng</t>
  </si>
  <si>
    <t>780100102</t>
  </si>
  <si>
    <t>ocn780100102</t>
  </si>
  <si>
    <t>3103638848S</t>
  </si>
  <si>
    <t>9781111969608</t>
  </si>
  <si>
    <t>794911775</t>
  </si>
  <si>
    <t>QA76.9 D26 H477 2013</t>
  </si>
  <si>
    <t>0                      QA 0076900D  26                 H  477         2013</t>
  </si>
  <si>
    <t>Database design for mere mortals : a hands-on guide to relational database design / Michael J. Hernandez.</t>
  </si>
  <si>
    <t>Hernandez, Michael J. (Michael James), 1955-</t>
  </si>
  <si>
    <t>Upper Saddle River, NJ : Addison-Wesley, [2013]</t>
  </si>
  <si>
    <t>62784855:eng</t>
  </si>
  <si>
    <t>828625598</t>
  </si>
  <si>
    <t>ocn828625598</t>
  </si>
  <si>
    <t>3103867267L</t>
  </si>
  <si>
    <t>9780321884497</t>
  </si>
  <si>
    <t>794941401</t>
  </si>
  <si>
    <t>QA76.9 D26 M374 2004</t>
  </si>
  <si>
    <t>0                      QA 0076900D  26                 M  374         2004</t>
  </si>
  <si>
    <t>Database design, application development, and administration / Michael V. Mannino.</t>
  </si>
  <si>
    <t>Text &amp; 1 CD</t>
  </si>
  <si>
    <t>Mannino, Michael V.</t>
  </si>
  <si>
    <t>New York : McGraw-Hill, 2004.</t>
  </si>
  <si>
    <t>651471:eng</t>
  </si>
  <si>
    <t>50937217</t>
  </si>
  <si>
    <t>ocm50937217</t>
  </si>
  <si>
    <t>3102519351Z</t>
  </si>
  <si>
    <t>9780072823509</t>
  </si>
  <si>
    <t>793775610</t>
  </si>
  <si>
    <t>QA76.9 D26 M374 2007</t>
  </si>
  <si>
    <t>0                      QA 0076900D  26                 M  374         2007</t>
  </si>
  <si>
    <t>Boston : McGraw-Hill Irwin, 2007.</t>
  </si>
  <si>
    <t>61211417</t>
  </si>
  <si>
    <t>ocm61211417</t>
  </si>
  <si>
    <t>3102654541P</t>
  </si>
  <si>
    <t>9780072942200</t>
  </si>
  <si>
    <t>793948794</t>
  </si>
  <si>
    <t>QA76.9 D26 M67 2005</t>
  </si>
  <si>
    <t>0                      QA 0076900D  26                 M  67          2005</t>
  </si>
  <si>
    <t>Ambient findability / Peter Morville.</t>
  </si>
  <si>
    <t>Morville, Peter.</t>
  </si>
  <si>
    <t>Sebastopol, CA : O'Reilly, ©2005.</t>
  </si>
  <si>
    <t>2017-05-08</t>
  </si>
  <si>
    <t>2967774:eng</t>
  </si>
  <si>
    <t>65183407</t>
  </si>
  <si>
    <t>ocm65183407</t>
  </si>
  <si>
    <t>3103026712O</t>
  </si>
  <si>
    <t>9780596007652</t>
  </si>
  <si>
    <t>794132651</t>
  </si>
  <si>
    <t>3103026707Q</t>
  </si>
  <si>
    <t>794132650</t>
  </si>
  <si>
    <t>QA76.9 D26 R54 2005</t>
  </si>
  <si>
    <t>0                      QA 0076900D  26                 R  54          2005</t>
  </si>
  <si>
    <t>Designing effective database systems / Rebecca M. Riordan.</t>
  </si>
  <si>
    <t>Riordan, Rebecca.</t>
  </si>
  <si>
    <t>Upper Saddle River, NJ : Addison-Wesley, 2005.</t>
  </si>
  <si>
    <t>1004633:eng</t>
  </si>
  <si>
    <t>56672048</t>
  </si>
  <si>
    <t>ocm56672048</t>
  </si>
  <si>
    <t>31026861826</t>
  </si>
  <si>
    <t>9780321290939</t>
  </si>
  <si>
    <t>793898787</t>
  </si>
  <si>
    <t>QA76.9 D26 R62 2011</t>
  </si>
  <si>
    <t>0                      QA 0076900D  26                 R  62          2011</t>
  </si>
  <si>
    <t>Coronel, Carlos.</t>
  </si>
  <si>
    <t>Australia ; United States : Course Technology Cengage Learning, ©2011.</t>
  </si>
  <si>
    <t>501945175</t>
  </si>
  <si>
    <t>ocn501945175</t>
  </si>
  <si>
    <t>31032947986</t>
  </si>
  <si>
    <t>9780538469685</t>
  </si>
  <si>
    <t>794805189</t>
  </si>
  <si>
    <t>QA76.9 D3 B25 2008</t>
  </si>
  <si>
    <t>0                      QA 0076900D  3                  B  25          2008</t>
  </si>
  <si>
    <t>Managing the crowd : rethinking records management for the Web 2.0 world / Steve Bailey.</t>
  </si>
  <si>
    <t>Bailey, Steve, 1975- author.</t>
  </si>
  <si>
    <t>London : Facet Publishing, 2008.</t>
  </si>
  <si>
    <t>2015-04-01</t>
  </si>
  <si>
    <t>334856134:eng</t>
  </si>
  <si>
    <t>220006961</t>
  </si>
  <si>
    <t>ocn220006961</t>
  </si>
  <si>
    <t>3102853704J</t>
  </si>
  <si>
    <t>9781856046411</t>
  </si>
  <si>
    <t>794319607</t>
  </si>
  <si>
    <t>QA76.9 D3 F7165 1997</t>
  </si>
  <si>
    <t>0                      QA 0076900D  3                  F  7165        1997</t>
  </si>
  <si>
    <t>Automated information retrieval : theory and methods / Valery I. Frants, Jacob Shapiro, Vladimir G. Voiskunskii.</t>
  </si>
  <si>
    <t>Frants, V.</t>
  </si>
  <si>
    <t>San Diego : Academic Press, ©1997.</t>
  </si>
  <si>
    <t>836969217:eng</t>
  </si>
  <si>
    <t>37132574</t>
  </si>
  <si>
    <t>ocm37132574</t>
  </si>
  <si>
    <t>3101801551W</t>
  </si>
  <si>
    <t>9780122661709</t>
  </si>
  <si>
    <t>793491374</t>
  </si>
  <si>
    <t>QA76.9 D3 G49 1994</t>
  </si>
  <si>
    <t>0                      QA 0076900D  3                  G  49          1994</t>
  </si>
  <si>
    <t>Microsoft Access 2 developer's handbook / Ken Getz, Paul Litwin, Greg Reddick.</t>
  </si>
  <si>
    <t>Getz, Ken.</t>
  </si>
  <si>
    <t>San Francisco : Sybex, ©1994.</t>
  </si>
  <si>
    <t>32877459:eng</t>
  </si>
  <si>
    <t>31304889</t>
  </si>
  <si>
    <t>ocm31304889</t>
  </si>
  <si>
    <t>31026773597</t>
  </si>
  <si>
    <t>9780782113273</t>
  </si>
  <si>
    <t>793358285</t>
  </si>
  <si>
    <t>QA76.9 D3 I599 2008</t>
  </si>
  <si>
    <t>0                      QA 0076900D  3                  I  599         2008</t>
  </si>
  <si>
    <t>Introduction to metadata / edited by Murtha Baca.</t>
  </si>
  <si>
    <t>Los Angeles, CA : Getty Research Institute, 2008.</t>
  </si>
  <si>
    <t>890006673:eng</t>
  </si>
  <si>
    <t>199464527</t>
  </si>
  <si>
    <t>ocn199464527</t>
  </si>
  <si>
    <t>3103135162P</t>
  </si>
  <si>
    <t>9780892368969</t>
  </si>
  <si>
    <t>794304900</t>
  </si>
  <si>
    <t>QA76.9 D3 M395 2007</t>
  </si>
  <si>
    <t>0                      QA 0076900D  3                  M  395         2007</t>
  </si>
  <si>
    <t>Modern database management / Jeffrey A. Hoffer, Mary B. Prescott, Fred R. McFadden.</t>
  </si>
  <si>
    <t>Hoffer, Jeffrey A.</t>
  </si>
  <si>
    <t>Upper Saddle River, N.J. : Pearson/ Prentice Hall, ©2007.</t>
  </si>
  <si>
    <t>2016-03-11</t>
  </si>
  <si>
    <t>2545459:eng</t>
  </si>
  <si>
    <t>68622917</t>
  </si>
  <si>
    <t>ocm68622917</t>
  </si>
  <si>
    <t>3102671638Q</t>
  </si>
  <si>
    <t>9780132212113</t>
  </si>
  <si>
    <t>794143555</t>
  </si>
  <si>
    <t>QA76.9 D3 M395 2009</t>
  </si>
  <si>
    <t>0                      QA 0076900D  3                  M  395         2009</t>
  </si>
  <si>
    <t>Modern database management / Jeffrey A. Hoffer, Mary B. Prescott, Heikki Topi.</t>
  </si>
  <si>
    <t>Upper Saddle River, NJ : Pearson/Prentice Hall, ©2009.</t>
  </si>
  <si>
    <t>185026609</t>
  </si>
  <si>
    <t>ocn185026609</t>
  </si>
  <si>
    <t>3103101425I</t>
  </si>
  <si>
    <t>9780136003915</t>
  </si>
  <si>
    <t>794291845</t>
  </si>
  <si>
    <t>QA76.9 D3 M484 2004</t>
  </si>
  <si>
    <t>0                      QA 0076900D  3                  M  484         2004</t>
  </si>
  <si>
    <t>Metadata applications and management / edited by G.E. Gorman ; associate editor Daniel G. Dorner.</t>
  </si>
  <si>
    <t>Lanham, Md. : Scarecrow Press, 2004.</t>
  </si>
  <si>
    <t>International yearbook of library and information management ; 2003-2004</t>
  </si>
  <si>
    <t>2015-11-14</t>
  </si>
  <si>
    <t>5615745050:eng</t>
  </si>
  <si>
    <t>54427966</t>
  </si>
  <si>
    <t>ocm54427966</t>
  </si>
  <si>
    <t>3102583190M</t>
  </si>
  <si>
    <t>9780810849808</t>
  </si>
  <si>
    <t>793861644</t>
  </si>
  <si>
    <t>QA76.9 D3 P46 1984</t>
  </si>
  <si>
    <t>0                      QA 0076900D  3                  P  46          1984</t>
  </si>
  <si>
    <t>Data analysis : the key to data base design / Richard C. Perkinson.</t>
  </si>
  <si>
    <t>Perkinson, Richard C.</t>
  </si>
  <si>
    <t>Wellesley, Mass. : QED Information Sciences, ©1984.</t>
  </si>
  <si>
    <t>3745270:eng</t>
  </si>
  <si>
    <t>10744402</t>
  </si>
  <si>
    <t>ocm10744402</t>
  </si>
  <si>
    <t>3000846062G</t>
  </si>
  <si>
    <t>9780894351051</t>
  </si>
  <si>
    <t>792740578</t>
  </si>
  <si>
    <t>QA76.9 D3 R237 2003</t>
  </si>
  <si>
    <t>0                      QA 0076900D  3                  R  237         2003</t>
  </si>
  <si>
    <t>Database management systems / Raghu Ramakrishnan, Johannes Gehrke.</t>
  </si>
  <si>
    <t>Ramakrishnan, Raghu.</t>
  </si>
  <si>
    <t>Boston : McGraw-Hill, ©2003.</t>
  </si>
  <si>
    <t>4764599312:eng</t>
  </si>
  <si>
    <t>49977005</t>
  </si>
  <si>
    <t>ocm49977005</t>
  </si>
  <si>
    <t>3103585209M</t>
  </si>
  <si>
    <t>9780072465631</t>
  </si>
  <si>
    <t>793752675</t>
  </si>
  <si>
    <t>3103687621V</t>
  </si>
  <si>
    <t>793752676</t>
  </si>
  <si>
    <t>3103687616O</t>
  </si>
  <si>
    <t>793752673</t>
  </si>
  <si>
    <t>3103585213K</t>
  </si>
  <si>
    <t>793752674</t>
  </si>
  <si>
    <t>QA76.9 D3 R65 2002</t>
  </si>
  <si>
    <t>0                      QA 0076900D  3                  R  65          2002</t>
  </si>
  <si>
    <t>Access database design and programming / Steven Roman.</t>
  </si>
  <si>
    <t>Roman, Steven.</t>
  </si>
  <si>
    <t>Sebastopol [CA] : O'Reilly, 2002.</t>
  </si>
  <si>
    <t>Nutshell handbook</t>
  </si>
  <si>
    <t>2015-06-16</t>
  </si>
  <si>
    <t>2016-02-11</t>
  </si>
  <si>
    <t>12576840:eng</t>
  </si>
  <si>
    <t>50291258</t>
  </si>
  <si>
    <t>ocm50291258</t>
  </si>
  <si>
    <t>31022090151</t>
  </si>
  <si>
    <t>9780596002732</t>
  </si>
  <si>
    <t>793760110</t>
  </si>
  <si>
    <t>QA76.9 D33 C37 2015</t>
  </si>
  <si>
    <t>0                      QA 0076900D  33                 C  37          2015</t>
  </si>
  <si>
    <t>Data structures and abstractions with Java / Frank M. Carrano, University of Rhode Island, Timothy M. Henry, New England Institute of Technology.</t>
  </si>
  <si>
    <t>Carrano, Frank M.</t>
  </si>
  <si>
    <t>889976:eng</t>
  </si>
  <si>
    <t>876667099</t>
  </si>
  <si>
    <t>ocn876667099</t>
  </si>
  <si>
    <t>3103793114I</t>
  </si>
  <si>
    <t>9780133744057</t>
  </si>
  <si>
    <t>794970195</t>
  </si>
  <si>
    <t>2019-04-07</t>
  </si>
  <si>
    <t>31037930655</t>
  </si>
  <si>
    <t>794970196</t>
  </si>
  <si>
    <t>QA76.9 D343 A3385 2013</t>
  </si>
  <si>
    <t>0                      QA 0076900D  343                A  3385        2013</t>
  </si>
  <si>
    <t>Uncharted : big data as a lens on human culture / Erez Aiden and Jean-Baptiste Michel.</t>
  </si>
  <si>
    <t>Aiden, Erez.</t>
  </si>
  <si>
    <t>New York : Riverhead Books, a member of Penguin Group (USA), 2013.</t>
  </si>
  <si>
    <t>2017-06-05</t>
  </si>
  <si>
    <t>1791589646:eng</t>
  </si>
  <si>
    <t>837144847</t>
  </si>
  <si>
    <t>ocn837144847</t>
  </si>
  <si>
    <t>31035511765</t>
  </si>
  <si>
    <t>9781594487453</t>
  </si>
  <si>
    <t>794945028</t>
  </si>
  <si>
    <t>QA76.9 D343 C429 2012</t>
  </si>
  <si>
    <t>0                      QA 0076900D  343                C  429         2012</t>
  </si>
  <si>
    <t>Graph mining : laws, tools, and case studies / D. Chakrabarti, C. Faloutsos.</t>
  </si>
  <si>
    <t>Chakrabarti, Deepayan.</t>
  </si>
  <si>
    <t>[San Rafael, Calif.] : Morgan &amp; Claypool Publishers, ©2012.</t>
  </si>
  <si>
    <t>Synthesis lectures on data mining and knowledge discovery, 2151-0075 ; #6</t>
  </si>
  <si>
    <t>1174568609:eng</t>
  </si>
  <si>
    <t>401167994</t>
  </si>
  <si>
    <t>ocn401167994</t>
  </si>
  <si>
    <t>3103455354U</t>
  </si>
  <si>
    <t>9781608451159</t>
  </si>
  <si>
    <t>794498603</t>
  </si>
  <si>
    <t>QA76.9 D343 D45 2015</t>
  </si>
  <si>
    <t>0                      QA 0076900D  343                D  45          2015</t>
  </si>
  <si>
    <t>Real-world data mining : applied business analytics and decision making / Dursun Delen.</t>
  </si>
  <si>
    <t>Delen, Dursun, author.</t>
  </si>
  <si>
    <t>Upper Saddle River, New Jersey : Pearson Education LTD, 2015.</t>
  </si>
  <si>
    <t>2262747209:eng</t>
  </si>
  <si>
    <t>866616567</t>
  </si>
  <si>
    <t>ocn866616567</t>
  </si>
  <si>
    <t>3103582716H</t>
  </si>
  <si>
    <t>9780133551075</t>
  </si>
  <si>
    <t>794963522</t>
  </si>
  <si>
    <t>QA76.9 D343 L3776 2015</t>
  </si>
  <si>
    <t>0                      QA 0076900D  343                L  3776        2015</t>
  </si>
  <si>
    <t>Data mining and predictive analytics / Daniel T. Larose, Chantal D. Larose.</t>
  </si>
  <si>
    <t>Larose, Daniel T.</t>
  </si>
  <si>
    <t>Hoboken, New Jersey : John Wiley &amp; Sons Inc., [2015]</t>
  </si>
  <si>
    <t>Wiley series on methods and applications in data mining</t>
  </si>
  <si>
    <t>2242831881:eng</t>
  </si>
  <si>
    <t>862096372</t>
  </si>
  <si>
    <t>ocn862096372</t>
  </si>
  <si>
    <t>3103759582G</t>
  </si>
  <si>
    <t>9781118116197</t>
  </si>
  <si>
    <t>794960022</t>
  </si>
  <si>
    <t>QA76.9 D343 L38 2011</t>
  </si>
  <si>
    <t>0                      QA 0076900D  343                L  38          2011</t>
  </si>
  <si>
    <t>Human computation / Edith Law and Luis von Ahn.</t>
  </si>
  <si>
    <t>Law, Edith L. M. (Edith Lok Man), 1977-</t>
  </si>
  <si>
    <t>Synthesis lectures on artificial intelligence and machine learning, 1939-4616 ; #13</t>
  </si>
  <si>
    <t>932854596:eng</t>
  </si>
  <si>
    <t>746598786</t>
  </si>
  <si>
    <t>ocn746598786</t>
  </si>
  <si>
    <t>3103431291E</t>
  </si>
  <si>
    <t>9781608455164</t>
  </si>
  <si>
    <t>794887301</t>
  </si>
  <si>
    <t>QA76.9 D343 M56 2001</t>
  </si>
  <si>
    <t>0                      QA 0076900D  343                M  56          2001</t>
  </si>
  <si>
    <t>Mining the World Wide Web : an information search approach / George Chang [and others].</t>
  </si>
  <si>
    <t>Boston : Kluwer Academic, ©2001.</t>
  </si>
  <si>
    <t>The Kluwer international series on information retrieval ; 10</t>
  </si>
  <si>
    <t>2018-05-20</t>
  </si>
  <si>
    <t>837034047:eng</t>
  </si>
  <si>
    <t>45917144</t>
  </si>
  <si>
    <t>ocm45917144</t>
  </si>
  <si>
    <t>3102136564L</t>
  </si>
  <si>
    <t>9780792373490</t>
  </si>
  <si>
    <t>793681170</t>
  </si>
  <si>
    <t>QA76.9 D343 N33 2009</t>
  </si>
  <si>
    <t>0                      QA 0076900D  343                N  33          2009</t>
  </si>
  <si>
    <t>Web intelligence and security : advances in data and text mining techniques for detecting and preventing terrorist activities on the web / edited by Mark Last and Abraham Kandel.</t>
  </si>
  <si>
    <t>NATO Advanced Research Workshop on Web Intelligence and Security (2009 : ʻEn Boḳeḳ, Israel)</t>
  </si>
  <si>
    <t>Amsterdam ; Washington, DC : IOS Press, ©2010.</t>
  </si>
  <si>
    <t>NATO science for peace and security series. Sub-series D, Information and communication security ; v. 27</t>
  </si>
  <si>
    <t>793942003:eng</t>
  </si>
  <si>
    <t>669738925</t>
  </si>
  <si>
    <t>ocn669738925</t>
  </si>
  <si>
    <t>31033246599</t>
  </si>
  <si>
    <t>9781607506102</t>
  </si>
  <si>
    <t>794847000</t>
  </si>
  <si>
    <t>QA76.9 D343 R35 2014</t>
  </si>
  <si>
    <t>0                      QA 0076900D  343                R  35          2014</t>
  </si>
  <si>
    <t>Mining of massive datasets / Jure Leskovec, Stanford University, Anand Rajaraman, Milliways Labs, Jeffrey David Ullman, Stanford University.</t>
  </si>
  <si>
    <t>Leskovec, Jurij, author.</t>
  </si>
  <si>
    <t>Cambridge : Cambridge University Press, 2014.</t>
  </si>
  <si>
    <t>1058207552:eng</t>
  </si>
  <si>
    <t>900001321</t>
  </si>
  <si>
    <t>ocn900001321</t>
  </si>
  <si>
    <t>3103641557V</t>
  </si>
  <si>
    <t>9781107077232</t>
  </si>
  <si>
    <t>794987046</t>
  </si>
  <si>
    <t>QA76.9 D5 C68 2012</t>
  </si>
  <si>
    <t>0                      QA 0076900D  5                  C  68          2012</t>
  </si>
  <si>
    <t>Distributed systems : concepts and design / George Coulouris [and others].</t>
  </si>
  <si>
    <t>Boston : Addison-Wesley, ©2012.</t>
  </si>
  <si>
    <t>International computer science series</t>
  </si>
  <si>
    <t>2019-08-12</t>
  </si>
  <si>
    <t>354235900:eng</t>
  </si>
  <si>
    <t>746622042</t>
  </si>
  <si>
    <t>ocn746622042</t>
  </si>
  <si>
    <t>3103586498V</t>
  </si>
  <si>
    <t>9780132143011</t>
  </si>
  <si>
    <t>794887356</t>
  </si>
  <si>
    <t>QA76.9 D5 W43 2010</t>
  </si>
  <si>
    <t>0                      QA 0076900D  5                  W  43          2010</t>
  </si>
  <si>
    <t>Web-based information technologies and distributed systems / [edited by] Alban Gabillon, Quan Z. Sheng, Wathiq Mansoor.</t>
  </si>
  <si>
    <t>Amsterdam : Atlantis Press/World Scientific, ©2010.</t>
  </si>
  <si>
    <t>Atlantis ambient and pervasive intelligence, 1875-7669 ; v. 2</t>
  </si>
  <si>
    <t>3772518704:eng</t>
  </si>
  <si>
    <t>619662411</t>
  </si>
  <si>
    <t>ocn619662411</t>
  </si>
  <si>
    <t>31032274941</t>
  </si>
  <si>
    <t>9789078677284</t>
  </si>
  <si>
    <t>794823365</t>
  </si>
  <si>
    <t>QA76.9 E57 L59 2009</t>
  </si>
  <si>
    <t>0                      QA 0076900E  57                 L  59          2009</t>
  </si>
  <si>
    <t>Living virtually : researching new worlds / edited by Don Heider.</t>
  </si>
  <si>
    <t>Digital formations, 1526-3169 ; v. 47</t>
  </si>
  <si>
    <t>793200272:eng</t>
  </si>
  <si>
    <t>220101109</t>
  </si>
  <si>
    <t>ocn220101109</t>
  </si>
  <si>
    <t>3103083420D</t>
  </si>
  <si>
    <t>9781433101304</t>
  </si>
  <si>
    <t>794319981</t>
  </si>
  <si>
    <t>QA76.9 F5 B53 2015</t>
  </si>
  <si>
    <t>0                      QA 0076900F  5                  B  53          2015</t>
  </si>
  <si>
    <t>Fundamentals of database indexing and searching / Arnab Bhattacharya.</t>
  </si>
  <si>
    <t>Bhattacharya, Arnab (Computer scientist)</t>
  </si>
  <si>
    <t>Boca Raton : Taylor &amp; Francis, [2015]</t>
  </si>
  <si>
    <t>1855336218:eng</t>
  </si>
  <si>
    <t>893202681</t>
  </si>
  <si>
    <t>ocn893202681</t>
  </si>
  <si>
    <t>31037401659</t>
  </si>
  <si>
    <t>9781466582545</t>
  </si>
  <si>
    <t>794981390</t>
  </si>
  <si>
    <t>QA76.9 H84 L43 2013</t>
  </si>
  <si>
    <t>0                      QA 0076900H  84                 L  43          2013</t>
  </si>
  <si>
    <t>Crowdsourcing : one step beyond / Jean-Fabrice Lebraty, Katia Lobre-Lebraty.</t>
  </si>
  <si>
    <t>Lebraty, Jean-Fabrice, author.</t>
  </si>
  <si>
    <t>London : Wiley : ISTE, 2013.</t>
  </si>
  <si>
    <t>Focus series in information systems, web and pervasive computing</t>
  </si>
  <si>
    <t>2018-01-26</t>
  </si>
  <si>
    <t>1398961264:eng</t>
  </si>
  <si>
    <t>855705718</t>
  </si>
  <si>
    <t>ocn855705718</t>
  </si>
  <si>
    <t>3103504135Q</t>
  </si>
  <si>
    <t>9781848214668</t>
  </si>
  <si>
    <t>794953694</t>
  </si>
  <si>
    <t>QA76.9 H85 A485 2008</t>
  </si>
  <si>
    <t>0                      QA 0076900H  85                 A  485         2008</t>
  </si>
  <si>
    <t>Affect and emotion in human-computer interaction : from theory to applications / Christian Peter, Russell Beale, eds.</t>
  </si>
  <si>
    <t>Heidelberg ; New York : Springer, 2008.</t>
  </si>
  <si>
    <t>Lecture notes in computer science ; 4868</t>
  </si>
  <si>
    <t>1107746422:eng</t>
  </si>
  <si>
    <t>233932660</t>
  </si>
  <si>
    <t>ocn233932660</t>
  </si>
  <si>
    <t>3103054484C</t>
  </si>
  <si>
    <t>9783540850984</t>
  </si>
  <si>
    <t>794367402</t>
  </si>
  <si>
    <t>QA76.9 H85 A53 2010</t>
  </si>
  <si>
    <t>0                      QA 0076900H  85                 A  53          2010</t>
  </si>
  <si>
    <t>Beyond the usability lab : conducting large-scale online user experience studies / Bill Albert, Tom Tullis, Donna Tedesco.</t>
  </si>
  <si>
    <t>Albert, Bill (William)</t>
  </si>
  <si>
    <t>Amsterdam ; Boston : Elsevier/Morgan Kaufmann, ©2010.</t>
  </si>
  <si>
    <t>2013-06-05</t>
  </si>
  <si>
    <t>802653208:eng</t>
  </si>
  <si>
    <t>463634335</t>
  </si>
  <si>
    <t>ocn463634335</t>
  </si>
  <si>
    <t>31031562932</t>
  </si>
  <si>
    <t>9780123748928</t>
  </si>
  <si>
    <t>794792816</t>
  </si>
  <si>
    <t>QA76.9 H85 C47 2002</t>
  </si>
  <si>
    <t>0                      QA 0076900H  85                 C  47          2002</t>
  </si>
  <si>
    <t>A framework for visualizing information / by Ed H. Chi.</t>
  </si>
  <si>
    <t>Chi, Ed H.</t>
  </si>
  <si>
    <t>Boston : Kluwer Academic Publishers, ©2002.</t>
  </si>
  <si>
    <t>Kluwer international series on HCI ; v. 1</t>
  </si>
  <si>
    <t>1042616:eng</t>
  </si>
  <si>
    <t>50417462</t>
  </si>
  <si>
    <t>ocm50417462</t>
  </si>
  <si>
    <t>31022647069</t>
  </si>
  <si>
    <t>9781402005893</t>
  </si>
  <si>
    <t>793764661</t>
  </si>
  <si>
    <t>QA76.9 H85 C645 2005</t>
  </si>
  <si>
    <t>0                      QA 0076900H  85                 C  645         2005</t>
  </si>
  <si>
    <t>Cognitive technology : essays on the transformation of thought and society / edited by W. Richard Walker and Douglas J. Herrmann.</t>
  </si>
  <si>
    <t>Jefferson, N.C. : McFarland &amp; Co., ©2005.</t>
  </si>
  <si>
    <t>900773673:eng</t>
  </si>
  <si>
    <t>56481497</t>
  </si>
  <si>
    <t>ocm56481497</t>
  </si>
  <si>
    <t>3102652270$</t>
  </si>
  <si>
    <t>9780786419746</t>
  </si>
  <si>
    <t>793894009</t>
  </si>
  <si>
    <t>QA76.9 H85 C655 1995</t>
  </si>
  <si>
    <t>0                      QA 0076900H  85                 C  655         1995</t>
  </si>
  <si>
    <t>Communication in the age of virtual reality / edited by Frank Biocca, Mark R. Levy.</t>
  </si>
  <si>
    <t>Hillsdale, N.J. : L. Erlbaum Associates, 1995.</t>
  </si>
  <si>
    <t>LEA's communication series</t>
  </si>
  <si>
    <t>864032858:eng</t>
  </si>
  <si>
    <t>30663651</t>
  </si>
  <si>
    <t>ocm30663651</t>
  </si>
  <si>
    <t>3101571073L</t>
  </si>
  <si>
    <t>9780805815498</t>
  </si>
  <si>
    <t>793341278</t>
  </si>
  <si>
    <t>QA76.9 H85 C74 2011</t>
  </si>
  <si>
    <t>0                      QA 0076900H  85                 C  74          2011</t>
  </si>
  <si>
    <t>Creating second lives : community, identity, and spatiality as constructions of the virtual / edited by Astrid Ensslin and Eben Muse.</t>
  </si>
  <si>
    <t>New York : Routledge, 2011.</t>
  </si>
  <si>
    <t>Routledge studies in new media and cyberculture ; 8</t>
  </si>
  <si>
    <t>2011-11-17</t>
  </si>
  <si>
    <t>814140133:eng</t>
  </si>
  <si>
    <t>606777117</t>
  </si>
  <si>
    <t>ocn606777117</t>
  </si>
  <si>
    <t>3103361989N</t>
  </si>
  <si>
    <t>9780415884204</t>
  </si>
  <si>
    <t>794817236</t>
  </si>
  <si>
    <t>QA76.9 H85 E485 2012</t>
  </si>
  <si>
    <t>0                      QA 0076900H  85                 E  485         2012</t>
  </si>
  <si>
    <t>Emotion-oriented systems / edited by Catherine Pelachaud.</t>
  </si>
  <si>
    <t>London : ISTE ; Hoboken, NJ : Wiley, 2012.</t>
  </si>
  <si>
    <t>1851293726:eng</t>
  </si>
  <si>
    <t>755004152</t>
  </si>
  <si>
    <t>ocn755004152</t>
  </si>
  <si>
    <t>3103472267X</t>
  </si>
  <si>
    <t>9781848212589</t>
  </si>
  <si>
    <t>794893372</t>
  </si>
  <si>
    <t>QA76.9 H85 E957 2015</t>
  </si>
  <si>
    <t>0                      QA 0076900H  85                 E  957         2015</t>
  </si>
  <si>
    <t>Logic of the digital / Aden Evens.</t>
  </si>
  <si>
    <t>Evens, Aden.</t>
  </si>
  <si>
    <t>London ; New York : Bloomsbury Academic, 2015.</t>
  </si>
  <si>
    <t>1916815581:eng</t>
  </si>
  <si>
    <t>881656192</t>
  </si>
  <si>
    <t>ocn881656192</t>
  </si>
  <si>
    <t>31035837731</t>
  </si>
  <si>
    <t>9781472566737</t>
  </si>
  <si>
    <t>794974709</t>
  </si>
  <si>
    <t>QA76.9 H85 F38 1998</t>
  </si>
  <si>
    <t>0                      QA 0076900H  85                 F  38          1998</t>
  </si>
  <si>
    <t>The essence of human-computer interaction / Christine Faulkner.</t>
  </si>
  <si>
    <t>Faulkner, Christine, 1953-</t>
  </si>
  <si>
    <t>Harlow, England ; New York : Prentice Hall, 1998.</t>
  </si>
  <si>
    <t>Essence of computing series</t>
  </si>
  <si>
    <t>2017-03-29</t>
  </si>
  <si>
    <t>155095262:eng</t>
  </si>
  <si>
    <t>37917259</t>
  </si>
  <si>
    <t>ocm37917259</t>
  </si>
  <si>
    <t>3101892783Q</t>
  </si>
  <si>
    <t>9780137519750</t>
  </si>
  <si>
    <t>793510047</t>
  </si>
  <si>
    <t>QA76.9 H85 G355 2012</t>
  </si>
  <si>
    <t>0                      QA 0076900H  85                 G  355         2012</t>
  </si>
  <si>
    <t>The interface effect / Alexander R. Galloway.</t>
  </si>
  <si>
    <t>Galloway, Alexander R., 1974-</t>
  </si>
  <si>
    <t>Cambridge, UK ; Malden, MA : Polity, 2012.</t>
  </si>
  <si>
    <t>2019-07-19</t>
  </si>
  <si>
    <t>1120969659:eng</t>
  </si>
  <si>
    <t>796277401</t>
  </si>
  <si>
    <t>ocn796277401</t>
  </si>
  <si>
    <t>31034703397</t>
  </si>
  <si>
    <t>9780745662527</t>
  </si>
  <si>
    <t>794922119</t>
  </si>
  <si>
    <t>QA76.9 H85 H35 2010</t>
  </si>
  <si>
    <t>0                      QA 0076900H  85                 H  35          2010</t>
  </si>
  <si>
    <t>Human-centered information fusion / David L. Hall, John M. Jordan.</t>
  </si>
  <si>
    <t>Hall, David L. (David Lee), 1946-2015.</t>
  </si>
  <si>
    <t>Boston : Artech House, ©2010.</t>
  </si>
  <si>
    <t>Artech House electronic warfare library</t>
  </si>
  <si>
    <t>2013-11-15</t>
  </si>
  <si>
    <t>930520286:eng</t>
  </si>
  <si>
    <t>491919035</t>
  </si>
  <si>
    <t>ocn491919035</t>
  </si>
  <si>
    <t>3103241930C</t>
  </si>
  <si>
    <t>9781596934344</t>
  </si>
  <si>
    <t>794800860</t>
  </si>
  <si>
    <t>QA76.9 H85 H45 1993</t>
  </si>
  <si>
    <t>0                      QA 0076900H  85                 H  45          1993</t>
  </si>
  <si>
    <t>The metaphysics of virtual reality / Michael Heim.</t>
  </si>
  <si>
    <t>Heim, Michael, 1944-</t>
  </si>
  <si>
    <t>New York : Oxford University Press, 1993.</t>
  </si>
  <si>
    <t>113871021:eng</t>
  </si>
  <si>
    <t>26855275</t>
  </si>
  <si>
    <t>ocm26855275</t>
  </si>
  <si>
    <t>3101276474$</t>
  </si>
  <si>
    <t>9780195081787</t>
  </si>
  <si>
    <t>793253688</t>
  </si>
  <si>
    <t>2002-02-27</t>
  </si>
  <si>
    <t>3101276476W</t>
  </si>
  <si>
    <t>793253689</t>
  </si>
  <si>
    <t>2004-12-18</t>
  </si>
  <si>
    <t>3101276475Y</t>
  </si>
  <si>
    <t>793253687</t>
  </si>
  <si>
    <t>QA76.9 H85 H85643 2009</t>
  </si>
  <si>
    <t>0                      QA 0076900H  85                 H  85643       2009</t>
  </si>
  <si>
    <t>Human-computer interaction. Designing for diverse users and domains / edited by Andrew Sears, Julie A. Jacko.</t>
  </si>
  <si>
    <t>Boca Raton : CRC Press, ©2009.</t>
  </si>
  <si>
    <t>Human factors and ergonomics</t>
  </si>
  <si>
    <t>2018-01-28</t>
  </si>
  <si>
    <t>10141319082:eng</t>
  </si>
  <si>
    <t>276406231</t>
  </si>
  <si>
    <t>ocn276406231</t>
  </si>
  <si>
    <t>3103083975P</t>
  </si>
  <si>
    <t>9781420088878</t>
  </si>
  <si>
    <t>794416661</t>
  </si>
  <si>
    <t>QA76.9 H85 I5814 2016</t>
  </si>
  <si>
    <t>0                      QA 0076900H  85                 I  5814        2016</t>
  </si>
  <si>
    <t>Interface critique / Florian Hadler, Joachim Haupt (eds.) ; with contributions by Tara L. Andrews [and fourteen others].</t>
  </si>
  <si>
    <t>Berlin : Kulturverlag Kadmos, [2016]</t>
  </si>
  <si>
    <t>Kaleidogramme ; vol. 139</t>
  </si>
  <si>
    <t>8914082532:eng</t>
  </si>
  <si>
    <t>967790592</t>
  </si>
  <si>
    <t>ocn967790592</t>
  </si>
  <si>
    <t>31037013213</t>
  </si>
  <si>
    <t>9783865993076</t>
  </si>
  <si>
    <t>795026758</t>
  </si>
  <si>
    <t>QA76.9 H85 I6 1993</t>
  </si>
  <si>
    <t>0                      QA 0076900H  85                 I  6           1993</t>
  </si>
  <si>
    <t>Human-computer interaction : proceedings of the Fifth International Conference on Human-Computer Interaction, (HCI International '93), Orlando, Florida, August 8-13, 1993 / edited by Michael J. Smith and Gavriel Salvendy.</t>
  </si>
  <si>
    <t>International Conference on Human-Computer Interaction (5th : 1993 : Orlando, Fla.)</t>
  </si>
  <si>
    <t>Amsterdam ; New York : Elsevier, 1993.</t>
  </si>
  <si>
    <t>Advances in human factors/ergonomics ; 19</t>
  </si>
  <si>
    <t>2015-09-01</t>
  </si>
  <si>
    <t>230385615:eng</t>
  </si>
  <si>
    <t>29050558</t>
  </si>
  <si>
    <t>ocm29050558</t>
  </si>
  <si>
    <t>31021719727</t>
  </si>
  <si>
    <t>9780444895400</t>
  </si>
  <si>
    <t>793302578</t>
  </si>
  <si>
    <t>3102171976$</t>
  </si>
  <si>
    <t>793302577</t>
  </si>
  <si>
    <t>QA76.9 H85 J47 2016</t>
  </si>
  <si>
    <t>0                      QA 0076900H  85                 J  47          2016</t>
  </si>
  <si>
    <t>The VR book : human-centered design for virtual reality / Jason Jerald, NextGen Interactions.</t>
  </si>
  <si>
    <t>Jerald, Jason, author.</t>
  </si>
  <si>
    <t>[New York] : Association for Computing Machinery ; [San Rafael, California] : M &amp; C, Morgan &amp; Claypool, [2016]</t>
  </si>
  <si>
    <t>ACM books, 2374-6777 ; #8</t>
  </si>
  <si>
    <t>2832257182:eng</t>
  </si>
  <si>
    <t>932003094</t>
  </si>
  <si>
    <t>ocn932003094</t>
  </si>
  <si>
    <t>3103653437P</t>
  </si>
  <si>
    <t>9781970001129</t>
  </si>
  <si>
    <t>795008150</t>
  </si>
  <si>
    <t>QA76.9 H85 L38 1993</t>
  </si>
  <si>
    <t>0                      QA 0076900H  85                 L  38          1993</t>
  </si>
  <si>
    <t>Computers as theatre / Brenda Laurel.</t>
  </si>
  <si>
    <t>Laurel, Brenda.</t>
  </si>
  <si>
    <t>Reading, Mass. : Addison-Wesley Pub. Co., ©1993.</t>
  </si>
  <si>
    <t>328571:eng</t>
  </si>
  <si>
    <t>27814295</t>
  </si>
  <si>
    <t>ocm27814295</t>
  </si>
  <si>
    <t>3102944044R</t>
  </si>
  <si>
    <t>9780201550603</t>
  </si>
  <si>
    <t>793272970</t>
  </si>
  <si>
    <t>QA76.9 H85 L396 2010</t>
  </si>
  <si>
    <t>0                      QA 0076900H  85                 L  396         2010</t>
  </si>
  <si>
    <t>Research methods in human-computer interaction / Jonathan Lazar, Jinjuan Heidi Feng, and Harry Hochheiser.</t>
  </si>
  <si>
    <t>Lazar, Jonathan.</t>
  </si>
  <si>
    <t>Chichester, West Sussex, U.K. : Wiley, 2010.</t>
  </si>
  <si>
    <t>2015-02-27</t>
  </si>
  <si>
    <t>318821121:eng</t>
  </si>
  <si>
    <t>431936033</t>
  </si>
  <si>
    <t>ocn431936033</t>
  </si>
  <si>
    <t>3103132101C</t>
  </si>
  <si>
    <t>9780470723371</t>
  </si>
  <si>
    <t>794781572</t>
  </si>
  <si>
    <t>QA76.9 H85 L496 2011</t>
  </si>
  <si>
    <t>0                      QA 0076900H  85                 L  496         2011</t>
  </si>
  <si>
    <t>Practical speech user interface design / James R. Lewis.</t>
  </si>
  <si>
    <t>Lewis, James R., 1953-</t>
  </si>
  <si>
    <t>2016-03-07</t>
  </si>
  <si>
    <t>502938445:eng</t>
  </si>
  <si>
    <t>641535526</t>
  </si>
  <si>
    <t>ocn641535526</t>
  </si>
  <si>
    <t>3103314132X</t>
  </si>
  <si>
    <t>9781439815847</t>
  </si>
  <si>
    <t>794827650</t>
  </si>
  <si>
    <t>QA76.9 H85 M355 2012</t>
  </si>
  <si>
    <t>0                      QA 0076900H  85                 M  355         2012</t>
  </si>
  <si>
    <t>Making claims : knowledge design, capture, and sharing in HCI / D. Scott McCrickard.</t>
  </si>
  <si>
    <t>McCrickard, D. Scott, 1970-</t>
  </si>
  <si>
    <t>San Rafael Ca. : Morgan &amp; Claypool, ©2012.</t>
  </si>
  <si>
    <t>Synthesis lectures on human-centered informatics ; #15</t>
  </si>
  <si>
    <t>1149183405:eng</t>
  </si>
  <si>
    <t>791643270</t>
  </si>
  <si>
    <t>ocn791643270</t>
  </si>
  <si>
    <t>3103469333D</t>
  </si>
  <si>
    <t>9781608459049</t>
  </si>
  <si>
    <t>794916860</t>
  </si>
  <si>
    <t>QA76.9 H85 M38 1995</t>
  </si>
  <si>
    <t>0                      QA 0076900H  85                 M  38          1995</t>
  </si>
  <si>
    <t>Information seeking in electronic environments / Gary Marchionini.</t>
  </si>
  <si>
    <t>Marchionini, Gary, author.</t>
  </si>
  <si>
    <t>Cambridge ; New York : Cambridge University Press, 1995.</t>
  </si>
  <si>
    <t>Cambridge series on human-computer interaction ; 9</t>
  </si>
  <si>
    <t>557511:eng</t>
  </si>
  <si>
    <t>31740382</t>
  </si>
  <si>
    <t>ocm31740382</t>
  </si>
  <si>
    <t>3103414600I</t>
  </si>
  <si>
    <t>9780521443722</t>
  </si>
  <si>
    <t>793366943</t>
  </si>
  <si>
    <t>3103467166L</t>
  </si>
  <si>
    <t>793366942</t>
  </si>
  <si>
    <t>QA76.9 H85 N48 2011</t>
  </si>
  <si>
    <t>0                      QA 0076900H  85                 N  48          2011</t>
  </si>
  <si>
    <t>Design and the digital divide : insights from 40 years in computer support for older and disabled people / Alan F. Newell.</t>
  </si>
  <si>
    <t>Newell, A. F. (Alan F.)</t>
  </si>
  <si>
    <t>[San Rafael, Calif.] : Morgan &amp; Claypool, ©2011.</t>
  </si>
  <si>
    <t>Synthesis lectures on assistive, rehabilitative, and health-preserving technologies ; #1</t>
  </si>
  <si>
    <t>932854511:eng</t>
  </si>
  <si>
    <t>772397832</t>
  </si>
  <si>
    <t>ocn772397832</t>
  </si>
  <si>
    <t>9781608457403</t>
  </si>
  <si>
    <t>794904550</t>
  </si>
  <si>
    <t>QA76.9 H85 P72 2002</t>
  </si>
  <si>
    <t>0                      QA 0076900H  85                 P  72          2002</t>
  </si>
  <si>
    <t>Interaction design : beyond human-computer interaction / [Jennifer] Preece, [Yvonne] Rogers, [Helen] Sharp.</t>
  </si>
  <si>
    <t>Preece, Jenny, 1949-</t>
  </si>
  <si>
    <t>New York, NY : J. Wiley &amp; Sons, ©2002.</t>
  </si>
  <si>
    <t>2015-02-05</t>
  </si>
  <si>
    <t>803995758:eng</t>
  </si>
  <si>
    <t>48265540</t>
  </si>
  <si>
    <t>ocm48265540</t>
  </si>
  <si>
    <t>3102672077W</t>
  </si>
  <si>
    <t>9780471492788</t>
  </si>
  <si>
    <t>793719084</t>
  </si>
  <si>
    <t>QA76.9 H85 P72 2007</t>
  </si>
  <si>
    <t>0                      QA 0076900H  85                 P  72          2007</t>
  </si>
  <si>
    <t>Interaction design : beyond human-computer interaction / [Jenny] Preece, [Helen] Sharp, [Yvonne] Rogers.</t>
  </si>
  <si>
    <t>Chichester ; Hoboken, NJ : Wiley, ©2007.</t>
  </si>
  <si>
    <t>71350546</t>
  </si>
  <si>
    <t>ocm71350546</t>
  </si>
  <si>
    <t>3102882854W</t>
  </si>
  <si>
    <t>9780470018668</t>
  </si>
  <si>
    <t>794166120</t>
  </si>
  <si>
    <t>QA76.9 H85 P72 2011</t>
  </si>
  <si>
    <t>0                      QA 0076900H  85                 P  72          2011</t>
  </si>
  <si>
    <t>Interaction design : beyond human-computer interaction / [Yvonne] Rogers, [Helen] Sharp, [Jenny] Preece.</t>
  </si>
  <si>
    <t>Rogers, Yvonne.</t>
  </si>
  <si>
    <t>Chichester, West Sussex, U.K. : Wiley, 2011.</t>
  </si>
  <si>
    <t>2019-11-10</t>
  </si>
  <si>
    <t>707725930</t>
  </si>
  <si>
    <t>ocn707725930</t>
  </si>
  <si>
    <t>3103472602X</t>
  </si>
  <si>
    <t>9780470665763</t>
  </si>
  <si>
    <t>794868017</t>
  </si>
  <si>
    <t>QA76.9 H85 R64 2012</t>
  </si>
  <si>
    <t>0                      QA 0076900H  85                 R  64          2012</t>
  </si>
  <si>
    <t>HCI theory : classical, modern, and contemporary / Yvonne Rogers.</t>
  </si>
  <si>
    <t>San Rafael, Calif. : Morgan &amp; Claypool Publishers, ©2012.</t>
  </si>
  <si>
    <t>Synthesis lectures on human-centered informatics, 1946-7680 ; #14</t>
  </si>
  <si>
    <t>1117713166:eng</t>
  </si>
  <si>
    <t>798611504</t>
  </si>
  <si>
    <t>ocn798611504</t>
  </si>
  <si>
    <t>3103472260X</t>
  </si>
  <si>
    <t>9781608459001</t>
  </si>
  <si>
    <t>794923826</t>
  </si>
  <si>
    <t>QA76.9 H85 S54 2010</t>
  </si>
  <si>
    <t>0                      QA 0076900H  85                 S  54          2010</t>
  </si>
  <si>
    <t>Designing the user interface : strategies for effective human-computer interaction / Ben Shneiderman &amp; Catherine Plaisant.</t>
  </si>
  <si>
    <t>Shneiderman, Ben.</t>
  </si>
  <si>
    <t>2019-01-28</t>
  </si>
  <si>
    <t>439262633:eng</t>
  </si>
  <si>
    <t>244066651</t>
  </si>
  <si>
    <t>ocn244066651</t>
  </si>
  <si>
    <t>3103078908O</t>
  </si>
  <si>
    <t>9780321537355</t>
  </si>
  <si>
    <t>794380804</t>
  </si>
  <si>
    <t>QA76.9 H85 S654 2012</t>
  </si>
  <si>
    <t>0                      QA 0076900H  85                 S  654         2012</t>
  </si>
  <si>
    <t>Speech, image, and language processing for human computer interaction : multi-modal advancements / Uma Shanker Tiwary and Tanveer J. Siddiqui, editors.</t>
  </si>
  <si>
    <t>1066169306:eng</t>
  </si>
  <si>
    <t>769141358</t>
  </si>
  <si>
    <t>ocn769141358</t>
  </si>
  <si>
    <t>3103470930Q</t>
  </si>
  <si>
    <t>9781466609549</t>
  </si>
  <si>
    <t>794903033</t>
  </si>
  <si>
    <t>QA76.9 H85 U68 2011</t>
  </si>
  <si>
    <t>0                      QA 0076900H  85                 U  68          2011</t>
  </si>
  <si>
    <t>Usability of complex information systems : evaluation of user interaction / editors, Michael J. Albers, Brian Still.</t>
  </si>
  <si>
    <t>796621476:eng</t>
  </si>
  <si>
    <t>649417497</t>
  </si>
  <si>
    <t>ocn649417497</t>
  </si>
  <si>
    <t>3103236216M</t>
  </si>
  <si>
    <t>9781439828946</t>
  </si>
  <si>
    <t>794831702</t>
  </si>
  <si>
    <t>QA76.9 H85 V515 1999</t>
  </si>
  <si>
    <t>0                      QA 0076900H  85                 V  515         1999</t>
  </si>
  <si>
    <t>Cognitive work analysis : toward safe, productive, and healthy computer-based work / Kim J. Vicente.</t>
  </si>
  <si>
    <t>Vicente, Kim J., author.</t>
  </si>
  <si>
    <t>Mahwah, N.J. : Lawrence Erlbaum Associates, 1999.</t>
  </si>
  <si>
    <t>1001556:eng</t>
  </si>
  <si>
    <t>39985534</t>
  </si>
  <si>
    <t>ocm39985534</t>
  </si>
  <si>
    <t>3102459713H</t>
  </si>
  <si>
    <t>9780805823967</t>
  </si>
  <si>
    <t>793558367</t>
  </si>
  <si>
    <t>QA76.9 H85 V58 1993</t>
  </si>
  <si>
    <t>0                      QA 0076900H  85                 V  58          1993</t>
  </si>
  <si>
    <t>Virtual reality systems / edited by R.A. Earnshaw, M.A. Gigante, H. Jones.</t>
  </si>
  <si>
    <t>London ; San Diego : Academic Press, ©1993.</t>
  </si>
  <si>
    <t>2016-11-15</t>
  </si>
  <si>
    <t>365325169:eng</t>
  </si>
  <si>
    <t>28462671</t>
  </si>
  <si>
    <t>ocm28462671</t>
  </si>
  <si>
    <t>3101315637V</t>
  </si>
  <si>
    <t>9780122277481</t>
  </si>
  <si>
    <t>793288723</t>
  </si>
  <si>
    <t>QA76.9 I52 D38 2017</t>
  </si>
  <si>
    <t>0                      QA 0076900I  52                 D  38          2017</t>
  </si>
  <si>
    <t>Data visualization for success : interviews with 40 experienced designers / edited by Steven Braun.</t>
  </si>
  <si>
    <t>Braun, Steven (Steven Geofrey), author.</t>
  </si>
  <si>
    <t>Mulgrave, Victoria : Images Publishing, 2017</t>
  </si>
  <si>
    <t>4062871526:eng</t>
  </si>
  <si>
    <t>972091942</t>
  </si>
  <si>
    <t>ocn972091942</t>
  </si>
  <si>
    <t>3103740202T</t>
  </si>
  <si>
    <t>9781864707205</t>
  </si>
  <si>
    <t>795028493</t>
  </si>
  <si>
    <t>QA76.9 M3 V54 1999</t>
  </si>
  <si>
    <t>0                      QA 0076900M  3                  V  54          1999</t>
  </si>
  <si>
    <t>Running Microsoft Access 2000 / John Viescas.</t>
  </si>
  <si>
    <t>Viescas, John L., 1947-</t>
  </si>
  <si>
    <t>Redmond, Wash. : Microsoft Press, 1999.</t>
  </si>
  <si>
    <t>326026718:eng</t>
  </si>
  <si>
    <t>40267532</t>
  </si>
  <si>
    <t>ocm40267532</t>
  </si>
  <si>
    <t>3102200191I</t>
  </si>
  <si>
    <t>9781572319349</t>
  </si>
  <si>
    <t>793563112</t>
  </si>
  <si>
    <t>QA76.9 M65 C64 2007</t>
  </si>
  <si>
    <t>0                      QA 0076900M  65                 C  64          2007</t>
  </si>
  <si>
    <t>Computer ethics / edited by John Weckert.</t>
  </si>
  <si>
    <t>Aldershot : Ashgate, ©2007.</t>
  </si>
  <si>
    <t>The international library of essays in public and professional ethics</t>
  </si>
  <si>
    <t>58969196:eng</t>
  </si>
  <si>
    <t>72149513</t>
  </si>
  <si>
    <t>ocm72149513</t>
  </si>
  <si>
    <t>31026521516</t>
  </si>
  <si>
    <t>9780754625988</t>
  </si>
  <si>
    <t>794169651</t>
  </si>
  <si>
    <t>QA76.9 M65 T456 2002</t>
  </si>
  <si>
    <t>0                      QA 0076900M  65                 T  456         2002</t>
  </si>
  <si>
    <t>Hacker culture / Douglas Thomas.</t>
  </si>
  <si>
    <t>Thomas, Douglas, 1966-</t>
  </si>
  <si>
    <t>Minneapolis : University of Minnesota Press, ©2002.</t>
  </si>
  <si>
    <t>58749680:eng</t>
  </si>
  <si>
    <t>47922733</t>
  </si>
  <si>
    <t>ocm47922733</t>
  </si>
  <si>
    <t>3102201321M</t>
  </si>
  <si>
    <t>9780816633456</t>
  </si>
  <si>
    <t>793711203</t>
  </si>
  <si>
    <t>QA76.9 N38 A38 2000</t>
  </si>
  <si>
    <t>0                      QA 0076900N  38                 A  38          2000</t>
  </si>
  <si>
    <t>Advances in probabilistic and other parsing technologies / edited by Harry Bunt and Anton Nijholt.</t>
  </si>
  <si>
    <t>Dordrecht ; Boston, Mass. : Kluwer Academic Publishers, 2000.</t>
  </si>
  <si>
    <t>Text, speech, and language technology ; v. 16</t>
  </si>
  <si>
    <t>352977582:eng</t>
  </si>
  <si>
    <t>44883655</t>
  </si>
  <si>
    <t>ocm44883655</t>
  </si>
  <si>
    <t>3102192212$</t>
  </si>
  <si>
    <t>9780792366164</t>
  </si>
  <si>
    <t>793659811</t>
  </si>
  <si>
    <t>QA76.9 N38 H36 2011</t>
  </si>
  <si>
    <t>0                      QA 0076900N  38                 H  36          2011</t>
  </si>
  <si>
    <t>Handbook of logic and language / [edited by] Johan van Benthem, Alice ter Meulen.</t>
  </si>
  <si>
    <t>Amsterdam ; Boston : Elsevier, 2011.</t>
  </si>
  <si>
    <t>Elsevier insights</t>
  </si>
  <si>
    <t>4918104832:eng</t>
  </si>
  <si>
    <t>645673495</t>
  </si>
  <si>
    <t>ocn645673495</t>
  </si>
  <si>
    <t>3103323243R</t>
  </si>
  <si>
    <t>9780444537263</t>
  </si>
  <si>
    <t>794829647</t>
  </si>
  <si>
    <t>QA76.9 N38 J33 2002</t>
  </si>
  <si>
    <t>0                      QA 0076900N  38                 J  33          2002</t>
  </si>
  <si>
    <t>Natural language processing for online applications : text retrieval, extraction, and categorization / Peter Jackson, Isabelle Moulinier.</t>
  </si>
  <si>
    <t>Jackson, Peter, 1948-</t>
  </si>
  <si>
    <t>Amsterdam ; Philadelphia, PA : John Benjamins Pub., ©2002.</t>
  </si>
  <si>
    <t>Natural language processing, 1567-8202 ; v. 5</t>
  </si>
  <si>
    <t>800499553:eng</t>
  </si>
  <si>
    <t>49824718</t>
  </si>
  <si>
    <t>ocm49824718</t>
  </si>
  <si>
    <t>31022196489</t>
  </si>
  <si>
    <t>9781588112491</t>
  </si>
  <si>
    <t>793748646</t>
  </si>
  <si>
    <t>QA76.9 N38 O58 2010</t>
  </si>
  <si>
    <t>0                      QA 0076900N  38                 O  58          2010</t>
  </si>
  <si>
    <t>Ontology and the lexicon : a natural language processing perspective / by Chu-Ren Huang [and others].</t>
  </si>
  <si>
    <t>Cambridge, UK ; New York : Cambridge University Press, 2010.</t>
  </si>
  <si>
    <t>Studies in natural language processing</t>
  </si>
  <si>
    <t>865349937:eng</t>
  </si>
  <si>
    <t>437089483</t>
  </si>
  <si>
    <t>ocn437089483</t>
  </si>
  <si>
    <t>31031330315</t>
  </si>
  <si>
    <t>9780521886598</t>
  </si>
  <si>
    <t>794785473</t>
  </si>
  <si>
    <t>QA76.9 N38 R45 2000</t>
  </si>
  <si>
    <t>0                      QA 0076900N  38                 R  45          2000</t>
  </si>
  <si>
    <t>Building natural language generation systems / Ehud Reiter, Robert Dale.</t>
  </si>
  <si>
    <t>Reiter, Ehud, 1960-</t>
  </si>
  <si>
    <t>Casmbridge, U.K. ; New York : Cambridge University Press, ©2000.</t>
  </si>
  <si>
    <t>25728357:eng</t>
  </si>
  <si>
    <t>41017359</t>
  </si>
  <si>
    <t>ocm41017359</t>
  </si>
  <si>
    <t>31022967877</t>
  </si>
  <si>
    <t>9780521620369</t>
  </si>
  <si>
    <t>793581940</t>
  </si>
  <si>
    <t>QA76.9 N38 R57 1993</t>
  </si>
  <si>
    <t>0                      QA 0076900N  38                 R  57          1993</t>
  </si>
  <si>
    <t>The language complexity game / Eric Sven Ristad.</t>
  </si>
  <si>
    <t>Ristad, Eric Sven.</t>
  </si>
  <si>
    <t>Cambridge, Mass. : MIT Press, ©1993.</t>
  </si>
  <si>
    <t>Artificial intelligence</t>
  </si>
  <si>
    <t>2018-12-16</t>
  </si>
  <si>
    <t>8908304245:eng</t>
  </si>
  <si>
    <t>26931730</t>
  </si>
  <si>
    <t>ocm26931730</t>
  </si>
  <si>
    <t>3101259070K</t>
  </si>
  <si>
    <t>9780262181471</t>
  </si>
  <si>
    <t>793255198</t>
  </si>
  <si>
    <t>QA76.9 N38 S52 2008</t>
  </si>
  <si>
    <t>0                      QA 0076900N  38                 S  52          2008</t>
  </si>
  <si>
    <t>Natural language processing and information retrieval / Tanveer Siddiqui, U.S. Tiwary.</t>
  </si>
  <si>
    <t>Siddiqui, Tanveer.</t>
  </si>
  <si>
    <t>New Delhi ; New York : Oxford Univ Press, ©2008.</t>
  </si>
  <si>
    <t>138002269:eng</t>
  </si>
  <si>
    <t>229023321</t>
  </si>
  <si>
    <t>ocn229023321</t>
  </si>
  <si>
    <t>3103135226U</t>
  </si>
  <si>
    <t>9780195692327</t>
  </si>
  <si>
    <t>794352756</t>
  </si>
  <si>
    <t>QA76.9 O35 H68 2006</t>
  </si>
  <si>
    <t>0                      QA 0076900O  35                 H  68          2006</t>
  </si>
  <si>
    <t>Object-oriented design &amp; patterns / Cay Horstmann.</t>
  </si>
  <si>
    <t>Hoboken, NJ : Wiley, ©2006.</t>
  </si>
  <si>
    <t>80347:eng</t>
  </si>
  <si>
    <t>60544745</t>
  </si>
  <si>
    <t>ocm60544745</t>
  </si>
  <si>
    <t>3103737248D</t>
  </si>
  <si>
    <t>9780471744870</t>
  </si>
  <si>
    <t>793939380</t>
  </si>
  <si>
    <t>3103788958L</t>
  </si>
  <si>
    <t>793939381</t>
  </si>
  <si>
    <t>QA76.9 S63 L44 2001</t>
  </si>
  <si>
    <t>0                      QA 0076900S  63                 L  44          2001</t>
  </si>
  <si>
    <t>Fuzzy and multi-level decision making : an interactive computational approach / E. Stanley Lee and Hsu-Shih Shih.</t>
  </si>
  <si>
    <t>Lee, E. Stanley (Eugene Stanley), 1930-</t>
  </si>
  <si>
    <t>London ; New York : Springer, ©2001.</t>
  </si>
  <si>
    <t>Advanced manufacturing</t>
  </si>
  <si>
    <t>2015-12-21</t>
  </si>
  <si>
    <t>836914697:eng</t>
  </si>
  <si>
    <t>40821115</t>
  </si>
  <si>
    <t>ocm40821115</t>
  </si>
  <si>
    <t>31021362167</t>
  </si>
  <si>
    <t>9781852331573</t>
  </si>
  <si>
    <t>793576390</t>
  </si>
  <si>
    <t>QA76.9 S88 C85 2012</t>
  </si>
  <si>
    <t>0                      QA 0076900S  88                 C  85          2012</t>
  </si>
  <si>
    <t>Cultural factors in systems design : decision making and action / edited by Robert W. Proctor, Shimon Y. Nof, Yuehwern Yih.</t>
  </si>
  <si>
    <t>Boca Raton, FL : CRC Press, ©2012.</t>
  </si>
  <si>
    <t>Industrial and systems engineering series</t>
  </si>
  <si>
    <t>1055367004:eng</t>
  </si>
  <si>
    <t>587104211</t>
  </si>
  <si>
    <t>ocn587104211</t>
  </si>
  <si>
    <t>3103498464U</t>
  </si>
  <si>
    <t>9781439846469</t>
  </si>
  <si>
    <t>794814297</t>
  </si>
  <si>
    <t>QA76.9 S88 D464 2003</t>
  </si>
  <si>
    <t>0                      QA 0076900S  88                 D  464         2003</t>
  </si>
  <si>
    <t>Systems analysis design / Alan Dennis, Barbara Wixom.</t>
  </si>
  <si>
    <t>Dennis, Alan.</t>
  </si>
  <si>
    <t>New York : J. Wiley, ©2003.</t>
  </si>
  <si>
    <t>2018-09-01</t>
  </si>
  <si>
    <t>4915167628:eng</t>
  </si>
  <si>
    <t>51437757</t>
  </si>
  <si>
    <t>ocm51437757</t>
  </si>
  <si>
    <t>3102530170Q</t>
  </si>
  <si>
    <t>9780471073222</t>
  </si>
  <si>
    <t>793784271</t>
  </si>
  <si>
    <t>QA76.9 S88 H6197 2008</t>
  </si>
  <si>
    <t>0                      QA 0076900S  88                 H  6197        2008</t>
  </si>
  <si>
    <t>Modern systems analysis and design / Jeffrey A. Hoffer, Joey F. George, Joseph S. Valacich.</t>
  </si>
  <si>
    <t>Upper Saddle River, N.J. : Pearson Prentice Hall, ©2008.</t>
  </si>
  <si>
    <t>2014-12-16</t>
  </si>
  <si>
    <t>984759:eng</t>
  </si>
  <si>
    <t>76786769</t>
  </si>
  <si>
    <t>ocm76786769</t>
  </si>
  <si>
    <t>31030295736</t>
  </si>
  <si>
    <t>9780132240765</t>
  </si>
  <si>
    <t>794176645</t>
  </si>
  <si>
    <t>3103029534E</t>
  </si>
  <si>
    <t>794176646</t>
  </si>
  <si>
    <t>31030295688</t>
  </si>
  <si>
    <t>794176644</t>
  </si>
  <si>
    <t>QA76.9 S88 H6197 2011</t>
  </si>
  <si>
    <t>0                      QA 0076900S  88                 H  6197        2011</t>
  </si>
  <si>
    <t>Upper Saddle River, N.J. : Pearson Prentice Hall, ©2011.</t>
  </si>
  <si>
    <t>2019-11-01</t>
  </si>
  <si>
    <t>457156389</t>
  </si>
  <si>
    <t>ocn457156389</t>
  </si>
  <si>
    <t>3103369530D</t>
  </si>
  <si>
    <t>9780136088219</t>
  </si>
  <si>
    <t>794789874</t>
  </si>
  <si>
    <t>3103373265Z</t>
  </si>
  <si>
    <t>794789873</t>
  </si>
  <si>
    <t>QA76.9 S88 K45 2008</t>
  </si>
  <si>
    <t>0                      QA 0076900S  88                 K  45          2008</t>
  </si>
  <si>
    <t>Systems analysis and design / Kenneth E. Kendall, Julie E. Kendall.</t>
  </si>
  <si>
    <t>Kendall, Kenneth E., 1948-</t>
  </si>
  <si>
    <t>Upper Saddle River, N.J. : Pearson/Prentice Hall, ©2008.</t>
  </si>
  <si>
    <t>984758:eng</t>
  </si>
  <si>
    <t>80019989</t>
  </si>
  <si>
    <t>ocm80019989</t>
  </si>
  <si>
    <t>3103217649A</t>
  </si>
  <si>
    <t>9780132240857</t>
  </si>
  <si>
    <t>794199670</t>
  </si>
  <si>
    <t>QA76.9 S88 K45 2011</t>
  </si>
  <si>
    <t>0                      QA 0076900S  88                 K  45          2011</t>
  </si>
  <si>
    <t>429227850</t>
  </si>
  <si>
    <t>ocn429227850</t>
  </si>
  <si>
    <t>3103294484H</t>
  </si>
  <si>
    <t>9780136089162</t>
  </si>
  <si>
    <t>794779830</t>
  </si>
  <si>
    <t>QA76.9 S88 R675 2013</t>
  </si>
  <si>
    <t>0                      QA 0076900S  88                 R  675         2013</t>
  </si>
  <si>
    <t>Routledge international handbook of participatory design / edited by Jesper Simonsen and Toni Robertson.</t>
  </si>
  <si>
    <t>Routledge international handbooks</t>
  </si>
  <si>
    <t>1107196812:eng</t>
  </si>
  <si>
    <t>754734489</t>
  </si>
  <si>
    <t>ocn754734489</t>
  </si>
  <si>
    <t>3103469342B</t>
  </si>
  <si>
    <t>9780415694407</t>
  </si>
  <si>
    <t>794893136</t>
  </si>
  <si>
    <t>QA76.9 S88 V345 2012</t>
  </si>
  <si>
    <t>0                      QA 0076900S  88                 V  345         2012</t>
  </si>
  <si>
    <t>Essentials of systems : analysis and design / Joseph S. Valacich, Joey F. George, Jeffrey A. Hoffer.</t>
  </si>
  <si>
    <t>Valacich, Joseph S., 1959-</t>
  </si>
  <si>
    <t>361306:eng</t>
  </si>
  <si>
    <t>710815938</t>
  </si>
  <si>
    <t>ocn710815938</t>
  </si>
  <si>
    <t>31022131803</t>
  </si>
  <si>
    <t>9780137067114</t>
  </si>
  <si>
    <t>794870202</t>
  </si>
  <si>
    <t>QA76.9 S88 W48 2007</t>
  </si>
  <si>
    <t>0                      QA 0076900S  88                 W  48          2007</t>
  </si>
  <si>
    <t>Systems analysis and design methods / Jeffrey L. Whitten, Lonnie D. Bentley ; with contributions by Gary Randolph.</t>
  </si>
  <si>
    <t>Whitten, Jeffrey L.</t>
  </si>
  <si>
    <t>Boston : McGraw-Hill/Irwin, [2007]</t>
  </si>
  <si>
    <t>Seventh edition.</t>
  </si>
  <si>
    <t>2016-06-23</t>
  </si>
  <si>
    <t>2018-10-09</t>
  </si>
  <si>
    <t>4714644569:eng</t>
  </si>
  <si>
    <t>61362886</t>
  </si>
  <si>
    <t>ocm61362886</t>
  </si>
  <si>
    <t>3102537026B</t>
  </si>
  <si>
    <t>9780073052335</t>
  </si>
  <si>
    <t>793951911</t>
  </si>
  <si>
    <t>3103678897S</t>
  </si>
  <si>
    <t>793951910</t>
  </si>
  <si>
    <t>QA76.9 S88 W75 2010</t>
  </si>
  <si>
    <t>0                      QA 0076900S  88                 W  75          2010</t>
  </si>
  <si>
    <t>Experience-centered design : designers, users, and communities in dialogue / Peter Wright, John McCarthy.</t>
  </si>
  <si>
    <t>Wright, Peter (Peter Charles)</t>
  </si>
  <si>
    <t>Synthesis lectures on human-centered informatics, 1946-7680 ; #9</t>
  </si>
  <si>
    <t>854858191:eng</t>
  </si>
  <si>
    <t>317467203</t>
  </si>
  <si>
    <t>ocn317467203</t>
  </si>
  <si>
    <t>31032272937</t>
  </si>
  <si>
    <t>9781608450442</t>
  </si>
  <si>
    <t>794453797</t>
  </si>
  <si>
    <t>QA76.9 T48 M26 2008</t>
  </si>
  <si>
    <t>0                      QA 0076900T  48                 M  26          2008</t>
  </si>
  <si>
    <t>Introduction to information retrieval / Christopher D. Manning, Prabhakar Raghavan, Hinrich Schütze.</t>
  </si>
  <si>
    <t>Manning, Christopher D.</t>
  </si>
  <si>
    <t>New York : Cambridge University Press, 2008.</t>
  </si>
  <si>
    <t>2019-09-25</t>
  </si>
  <si>
    <t>113701897:eng</t>
  </si>
  <si>
    <t>190786122</t>
  </si>
  <si>
    <t>ocn190786122</t>
  </si>
  <si>
    <t>31029716652</t>
  </si>
  <si>
    <t>9780521865715</t>
  </si>
  <si>
    <t>794295655</t>
  </si>
  <si>
    <t>QA76.9 T48 T45 2002</t>
  </si>
  <si>
    <t>0                      QA 0076900T  48                 T  45          2002</t>
  </si>
  <si>
    <t>The TEI Consortium : guidelines for electronic text encoding and interchange / edited by C.M. Sperberg-McQueen and Lou Burnard ; XML-compatible edition prepared by Syd Bauman [and others].</t>
  </si>
  <si>
    <t>TEI Consortium.</t>
  </si>
  <si>
    <t>Oxford : Humanities Computing Unit, University of Oxford, ©2002.</t>
  </si>
  <si>
    <t>2517210167:eng</t>
  </si>
  <si>
    <t>50123241</t>
  </si>
  <si>
    <t>ocm50123241</t>
  </si>
  <si>
    <t>3102304716V</t>
  </si>
  <si>
    <t>9780952330134</t>
  </si>
  <si>
    <t>793755991</t>
  </si>
  <si>
    <t>3103613712G</t>
  </si>
  <si>
    <t>793755992</t>
  </si>
  <si>
    <t>QA76.9 U83 A5 1996</t>
  </si>
  <si>
    <t>0                      QA 0076900U  83                 A  5           1996</t>
  </si>
  <si>
    <t>Information tasks : toward a user-centered approach to information systems / Bryce L. Allen.</t>
  </si>
  <si>
    <t>Allen, Bryce.</t>
  </si>
  <si>
    <t>San Diego : Academic Press, 1996.</t>
  </si>
  <si>
    <t>Library and information science series</t>
  </si>
  <si>
    <t>138800555:eng</t>
  </si>
  <si>
    <t>34966380</t>
  </si>
  <si>
    <t>ocm34966380</t>
  </si>
  <si>
    <t>3102547850D</t>
  </si>
  <si>
    <t>9780120510405</t>
  </si>
  <si>
    <t>793439999</t>
  </si>
  <si>
    <t>QA76.9 U83 B34 2011</t>
  </si>
  <si>
    <t>0                      QA 0076900U  83                 B  34          2011</t>
  </si>
  <si>
    <t>A new theory of information and the Internet : public sphere meets protocol / Mark Balnaves, Michele Willson.</t>
  </si>
  <si>
    <t>Balnaves, Mark.</t>
  </si>
  <si>
    <t>New York : Peter Lang, 2011.</t>
  </si>
  <si>
    <t>Digital formations ; v. 66</t>
  </si>
  <si>
    <t>2013-08-14</t>
  </si>
  <si>
    <t>796204901:eng</t>
  </si>
  <si>
    <t>705568286</t>
  </si>
  <si>
    <t>ocn705568286</t>
  </si>
  <si>
    <t>3103362160A</t>
  </si>
  <si>
    <t>9781433110627</t>
  </si>
  <si>
    <t>794866285</t>
  </si>
  <si>
    <t>QA76.9 U83 C45 2010</t>
  </si>
  <si>
    <t>0                      QA 0076900U  83                 C  45          2010</t>
  </si>
  <si>
    <t>Music recommendation and discovery : the long tail, long fail, and long play in the digital music space / Oscar Celma.</t>
  </si>
  <si>
    <t>Celma, Òscar.</t>
  </si>
  <si>
    <t>Heidelberg ; New York : Springer, ©2010.</t>
  </si>
  <si>
    <t>2019-03-02</t>
  </si>
  <si>
    <t>792304240:eng</t>
  </si>
  <si>
    <t>646114575</t>
  </si>
  <si>
    <t>ocn646114575</t>
  </si>
  <si>
    <t>3103236250E</t>
  </si>
  <si>
    <t>9783642132865</t>
  </si>
  <si>
    <t>794830210</t>
  </si>
  <si>
    <t>QA76.9 U83 C55 2012</t>
  </si>
  <si>
    <t>0                      QA 0076900U  83                 C  55          2012</t>
  </si>
  <si>
    <t>Cognitively informed intelligent interfaces : systems design and development / Eshaa M. Alkhalifa and Khulood Gaid, editors.</t>
  </si>
  <si>
    <t>Hershey, Pa. : Information Science Reference, ©2012.</t>
  </si>
  <si>
    <t>1076030310:eng</t>
  </si>
  <si>
    <t>768800748</t>
  </si>
  <si>
    <t>ocn768800748</t>
  </si>
  <si>
    <t>3103472356W</t>
  </si>
  <si>
    <t>9781466616288</t>
  </si>
  <si>
    <t>794902823</t>
  </si>
  <si>
    <t>QA76.9 U83 E745 2009</t>
  </si>
  <si>
    <t>0                      QA 0076900U  83                 E  745         2009</t>
  </si>
  <si>
    <t>Ergonomics of human-system interaction. Part 920, Guidance on tactile and haptic interactions = Ergonomie de l'interaction homme-systéme. Partie 920, Lignes directrices relatives aux interactions tactiles et haptiques.</t>
  </si>
  <si>
    <t>Geneva, Switzerland : ISO, 2009.</t>
  </si>
  <si>
    <t>2019-10-08</t>
  </si>
  <si>
    <t>2865051474:eng</t>
  </si>
  <si>
    <t>326879606</t>
  </si>
  <si>
    <t>ocn326879606</t>
  </si>
  <si>
    <t>31033177137</t>
  </si>
  <si>
    <t>794490650</t>
  </si>
  <si>
    <t>QA76.9 U83 I67 2011</t>
  </si>
  <si>
    <t>0                      QA 0076900U  83                 I  67          2011</t>
  </si>
  <si>
    <t>Interface criticism : aesthetics beyond the buttons / edited by Christian Ulrik Andersen &amp; Søren Bro Pold.</t>
  </si>
  <si>
    <t>Aarhus [Denmark] : Aarhus University Press, 2010.</t>
  </si>
  <si>
    <t>Acta Jutlandica. Humanities series ; 2011/1</t>
  </si>
  <si>
    <t>1077186869:eng</t>
  </si>
  <si>
    <t>617619230</t>
  </si>
  <si>
    <t>ocn617619230</t>
  </si>
  <si>
    <t>3103421506S</t>
  </si>
  <si>
    <t>9788779345041</t>
  </si>
  <si>
    <t>794823110</t>
  </si>
  <si>
    <t>QA76.9 U83 N385 2010</t>
  </si>
  <si>
    <t>0                      QA 0076900U  83                 N  385         2010</t>
  </si>
  <si>
    <t>Toward better usability, security, and privacy of information technology : report of a workshop / Steering Committee on the Usability, Security, and Privacy of Computer Systems, Computer Science and Telecommunications Board, Division on Engineering and Physical Sciences, National Research Council of the National Academies.</t>
  </si>
  <si>
    <t>National Research Council (U.S.). Steering Committee on the Usability, Security, and Privacy of Computer Systems.</t>
  </si>
  <si>
    <t>Washington, D.C. : National Academies Press, ©2010.</t>
  </si>
  <si>
    <t>792123267:eng</t>
  </si>
  <si>
    <t>681774035</t>
  </si>
  <si>
    <t>ocn681774035</t>
  </si>
  <si>
    <t>3103470859P</t>
  </si>
  <si>
    <t>9780309160902</t>
  </si>
  <si>
    <t>794852385</t>
  </si>
  <si>
    <t>QA76.9 U83 U8375 2012</t>
  </si>
  <si>
    <t>0                      QA 0076900U  83                 U  8375        2012</t>
  </si>
  <si>
    <t>User interface design for virtual environments : challenges and advances / [edited by] Badrul H. Khan.</t>
  </si>
  <si>
    <t>2013-09-17</t>
  </si>
  <si>
    <t>1057500674:eng</t>
  </si>
  <si>
    <t>766606925</t>
  </si>
  <si>
    <t>ocn766606925</t>
  </si>
  <si>
    <t>3103470798K</t>
  </si>
  <si>
    <t>9781613505168</t>
  </si>
  <si>
    <t>794900942</t>
  </si>
  <si>
    <t>QA90 B47513 2011</t>
  </si>
  <si>
    <t>0                      QA 0090000B  47513       2011</t>
  </si>
  <si>
    <t>Semiology of graphics : diagrams, networks, maps / Jacques Bertin ; translated by William J. Berg.</t>
  </si>
  <si>
    <t>Bertin, Jacques, 1918-2010.</t>
  </si>
  <si>
    <t>Redlands, Calif. : ESRI Press : Distributed by Ingram Publisher Services, 2011.</t>
  </si>
  <si>
    <t>4964140:eng</t>
  </si>
  <si>
    <t>656556106</t>
  </si>
  <si>
    <t>ocn656556106</t>
  </si>
  <si>
    <t>3103323645F</t>
  </si>
  <si>
    <t>9781589482616</t>
  </si>
  <si>
    <t>794834907</t>
  </si>
  <si>
    <t>QA90 C54 1985</t>
  </si>
  <si>
    <t>0                      QA 0090000C  54          1985</t>
  </si>
  <si>
    <t>The elements of graphing data / William S. Cleveland.</t>
  </si>
  <si>
    <t>Cleveland, William S., 1943-</t>
  </si>
  <si>
    <t>Monterey, Calif. : Wadsworth Advanced Books and Software, ©1985.</t>
  </si>
  <si>
    <t>4355821:eng</t>
  </si>
  <si>
    <t>12050954</t>
  </si>
  <si>
    <t>ocm12050954</t>
  </si>
  <si>
    <t>30008467042</t>
  </si>
  <si>
    <t>9780534037307</t>
  </si>
  <si>
    <t>792798597</t>
  </si>
  <si>
    <t>QA90 O64</t>
  </si>
  <si>
    <t>0                      QA 0090000O  64</t>
  </si>
  <si>
    <t>Graphs and their uses.</t>
  </si>
  <si>
    <t>Ore, Øystein, 1899-1968.</t>
  </si>
  <si>
    <t>[New York] Random House [1963]</t>
  </si>
  <si>
    <t>New mathematical library, 10</t>
  </si>
  <si>
    <t>352674047:eng</t>
  </si>
  <si>
    <t>680434</t>
  </si>
  <si>
    <t>ocm00680434</t>
  </si>
  <si>
    <t>3000967987E</t>
  </si>
  <si>
    <t>9780394015668</t>
  </si>
  <si>
    <t>791444692</t>
  </si>
  <si>
    <t>QA93 C627 2016</t>
  </si>
  <si>
    <t>0                      QA 0093000C  627         2016</t>
  </si>
  <si>
    <t>Are numbers real? : the uncanny relationship of mathematics and the physical world / Brian Clegg.</t>
  </si>
  <si>
    <t>Clegg, Brian.</t>
  </si>
  <si>
    <t>New York : St. Martin's Press, 2016.</t>
  </si>
  <si>
    <t>3979689595:eng</t>
  </si>
  <si>
    <t>932576610</t>
  </si>
  <si>
    <t>ocn932576610</t>
  </si>
  <si>
    <t>31036977708</t>
  </si>
  <si>
    <t>9781250081049</t>
  </si>
  <si>
    <t>795008649</t>
  </si>
  <si>
    <t>QA93 C74 2014</t>
  </si>
  <si>
    <t>0                      QA 0093000C  74          2014</t>
  </si>
  <si>
    <t>50 ideas you really need to know : maths / Tony Crilly.</t>
  </si>
  <si>
    <t>Crilly, A. J., author.</t>
  </si>
  <si>
    <t>London : Quercus, 2007.</t>
  </si>
  <si>
    <t>2019-08-16</t>
  </si>
  <si>
    <t>4211919044:eng</t>
  </si>
  <si>
    <t>881024587</t>
  </si>
  <si>
    <t>ocn881024587</t>
  </si>
  <si>
    <t>3103583119V</t>
  </si>
  <si>
    <t>9781848667051</t>
  </si>
  <si>
    <t>794973715</t>
  </si>
  <si>
    <t>QA93 E49 2013</t>
  </si>
  <si>
    <t>0                      QA 0093000E  49          2013</t>
  </si>
  <si>
    <t>Chaotic fishponds and mirror universes : the strange maths behind the modern world / by Richard Elwes.</t>
  </si>
  <si>
    <t>Elwes, Richard, 1978- author.</t>
  </si>
  <si>
    <t>London : Quercus, 2013.</t>
  </si>
  <si>
    <t>2019-09-10</t>
  </si>
  <si>
    <t>1907597844:eng</t>
  </si>
  <si>
    <t>819520983</t>
  </si>
  <si>
    <t>ocn819520983</t>
  </si>
  <si>
    <t>3103500429Z</t>
  </si>
  <si>
    <t>9781780871608</t>
  </si>
  <si>
    <t>794934646</t>
  </si>
  <si>
    <t>QA93 G69 2002</t>
  </si>
  <si>
    <t>0                      QA 0093000G  69          2002</t>
  </si>
  <si>
    <t>Mathematics : a very short introduction / Timothy Gowers.</t>
  </si>
  <si>
    <t>Gowers, Timothy.</t>
  </si>
  <si>
    <t>Very short introductions ; 66</t>
  </si>
  <si>
    <t>3768439898:eng</t>
  </si>
  <si>
    <t>49936189</t>
  </si>
  <si>
    <t>ocm49936189</t>
  </si>
  <si>
    <t>31034759414</t>
  </si>
  <si>
    <t>9780192853615</t>
  </si>
  <si>
    <t>793750977</t>
  </si>
  <si>
    <t>QA93 J33</t>
  </si>
  <si>
    <t>0                      QA 0093000J  33</t>
  </si>
  <si>
    <t>Mathematics, a human endeavor : a textbook for those who think they don't like the subject / Harold R. Jacobs.</t>
  </si>
  <si>
    <t>Jacobs, Harold R., author.</t>
  </si>
  <si>
    <t>San Francisco : W.H. Freeman and Company, [1970]</t>
  </si>
  <si>
    <t>A Series of books in mathematics</t>
  </si>
  <si>
    <t>836680960:eng</t>
  </si>
  <si>
    <t>118178</t>
  </si>
  <si>
    <t>ocm00118178</t>
  </si>
  <si>
    <t>3000996154B</t>
  </si>
  <si>
    <t>9780716704393</t>
  </si>
  <si>
    <t>791262393</t>
  </si>
  <si>
    <t>QA93 K3 1940</t>
  </si>
  <si>
    <t>0                      QA 0093000K  3           1940</t>
  </si>
  <si>
    <t>Mathematics and the imagination [by] Edward Kasner and James Newman; with drawings and diagrams by Rufus Isaac.</t>
  </si>
  <si>
    <t>Kasner, Edward, 1878-1955.</t>
  </si>
  <si>
    <t>New York, Simon and Schuster, 1940.</t>
  </si>
  <si>
    <t>1531312:eng</t>
  </si>
  <si>
    <t>525772</t>
  </si>
  <si>
    <t>ocm00525772</t>
  </si>
  <si>
    <t>3000739457S</t>
  </si>
  <si>
    <t>791403590</t>
  </si>
  <si>
    <t>QA93 P38 2001</t>
  </si>
  <si>
    <t>0                      QA 0093000P  38          2001</t>
  </si>
  <si>
    <t>Innumeracy : mathematical illiteracy and its consequences / John Allen Paulos.</t>
  </si>
  <si>
    <t>Paulos, John Allen, author.</t>
  </si>
  <si>
    <t>New York : Hill and Wang, 2001.</t>
  </si>
  <si>
    <t>2001 edition.</t>
  </si>
  <si>
    <t>2019451:eng</t>
  </si>
  <si>
    <t>49853587</t>
  </si>
  <si>
    <t>ocm49853587</t>
  </si>
  <si>
    <t>31024805147</t>
  </si>
  <si>
    <t>9780809058402</t>
  </si>
  <si>
    <t>793749195</t>
  </si>
  <si>
    <t>QA93 P6674 2017</t>
  </si>
  <si>
    <t>0                      QA 0093000P  6674        2017</t>
  </si>
  <si>
    <t>The joy of mathematics : marvels, novelties, and neglected gems that are rarely taught in math class / Alfred S. Posamentier, and Robert Geretschläger, Charles Li, and Christian Spreitzer.</t>
  </si>
  <si>
    <t>Posamentier, Alfred S., author.</t>
  </si>
  <si>
    <t>Amherst, New York : Prometheus Books, 2017.</t>
  </si>
  <si>
    <t>2019-02-21</t>
  </si>
  <si>
    <t>3840483699:eng</t>
  </si>
  <si>
    <t>957744327</t>
  </si>
  <si>
    <t>ocn957744327</t>
  </si>
  <si>
    <t>31037029253</t>
  </si>
  <si>
    <t>9781633882973</t>
  </si>
  <si>
    <t>795021309</t>
  </si>
  <si>
    <t>QA93 S684 1996</t>
  </si>
  <si>
    <t>0                      QA 0093000S  684         1996</t>
  </si>
  <si>
    <t>Strength in numbers : discovering the joy and power of mathematics in everyday life / Sherman K. Stein.</t>
  </si>
  <si>
    <t>Stein, Sherman K.</t>
  </si>
  <si>
    <t>New York : John Wiley, ©1996.</t>
  </si>
  <si>
    <t>46456834:eng</t>
  </si>
  <si>
    <t>33898062</t>
  </si>
  <si>
    <t>ocm33898062</t>
  </si>
  <si>
    <t>31032182948</t>
  </si>
  <si>
    <t>9780471152521</t>
  </si>
  <si>
    <t>793413437</t>
  </si>
  <si>
    <t>QA93 S713 1969</t>
  </si>
  <si>
    <t>0                      QA 0093000S  713         1969</t>
  </si>
  <si>
    <t>Mathematical snapshots [by] H. Steinhaus.</t>
  </si>
  <si>
    <t>Steinhaus, Hugo, 1887-1972.</t>
  </si>
  <si>
    <t>New York, Oxford University Press, 1969.</t>
  </si>
  <si>
    <t>3d American ed., rev. and enl.</t>
  </si>
  <si>
    <t>414628:eng</t>
  </si>
  <si>
    <t>232272</t>
  </si>
  <si>
    <t>ocm00232272</t>
  </si>
  <si>
    <t>31029643428</t>
  </si>
  <si>
    <t>791302537</t>
  </si>
  <si>
    <t>QA93 S75 2013</t>
  </si>
  <si>
    <t>0                      QA 0093000S  75          2013</t>
  </si>
  <si>
    <t>Visions of infinity : the great mathematical problems / Ian Stewart.</t>
  </si>
  <si>
    <t>Stewart, Ian, 1945-</t>
  </si>
  <si>
    <t>New York : Basic Books, ©2013.</t>
  </si>
  <si>
    <t>2013-07-22</t>
  </si>
  <si>
    <t>1220171901:eng</t>
  </si>
  <si>
    <t>808413612</t>
  </si>
  <si>
    <t>ocn808413612</t>
  </si>
  <si>
    <t>31034679265</t>
  </si>
  <si>
    <t>9780465022403</t>
  </si>
  <si>
    <t>794927556</t>
  </si>
  <si>
    <t>QA93 S77 2012</t>
  </si>
  <si>
    <t>0                      QA 0093000S  77          2012</t>
  </si>
  <si>
    <t>The joy of x : a guided tour of math, from one to infinity / Steven Strogatz.</t>
  </si>
  <si>
    <t>Boston : Houghton Mifflin Harcourt, ©2012.</t>
  </si>
  <si>
    <t>2018-08-30</t>
  </si>
  <si>
    <t>1174441479:eng</t>
  </si>
  <si>
    <t>772100958</t>
  </si>
  <si>
    <t>ocn772100958</t>
  </si>
  <si>
    <t>3103470138D</t>
  </si>
  <si>
    <t>9780547517650</t>
  </si>
  <si>
    <t>794904366</t>
  </si>
  <si>
    <t>QA95 A25 1975</t>
  </si>
  <si>
    <t>0                      QA 0095000A  25          1975</t>
  </si>
  <si>
    <t>Aftermath / Mary Laycock, Dale Seymour, Verda Holmberg ; Bob Larsen, cartoonist ; Ruth Heller, designer.</t>
  </si>
  <si>
    <t>Laycock, Mary.</t>
  </si>
  <si>
    <t>Palo Alto, Calif. : Creative Pubs., ©1975.</t>
  </si>
  <si>
    <t>181386100:eng</t>
  </si>
  <si>
    <t>223263539</t>
  </si>
  <si>
    <t>ocn223263539</t>
  </si>
  <si>
    <t>3103601492K</t>
  </si>
  <si>
    <t>9780884880332</t>
  </si>
  <si>
    <t>794334731</t>
  </si>
  <si>
    <t>2009-02-04</t>
  </si>
  <si>
    <t>3103873081C</t>
  </si>
  <si>
    <t>794334733</t>
  </si>
  <si>
    <t>31010145895</t>
  </si>
  <si>
    <t>794334734</t>
  </si>
  <si>
    <t>3103601493I</t>
  </si>
  <si>
    <t>794334732</t>
  </si>
  <si>
    <t>QA95 A28 1901</t>
  </si>
  <si>
    <t>0                      QA 0095000A  28          1901</t>
  </si>
  <si>
    <t>Mathematische Unterhaltungen und Spiele / von W. Ahrens ... Mit 1 tafel und vielen figuren im text.</t>
  </si>
  <si>
    <t>Ahrens, W. (Wilhelm), 1872-1927.</t>
  </si>
  <si>
    <t>Leipzig : B.G. Teubner, 1901-18.</t>
  </si>
  <si>
    <t>1901</t>
  </si>
  <si>
    <t>8910110971:ger</t>
  </si>
  <si>
    <t>427506593</t>
  </si>
  <si>
    <t>ocn427506593</t>
  </si>
  <si>
    <t>3000699662Z</t>
  </si>
  <si>
    <t>794670432</t>
  </si>
  <si>
    <t>2010-12-22</t>
  </si>
  <si>
    <t>3103293493J</t>
  </si>
  <si>
    <t>794670431</t>
  </si>
  <si>
    <t>QA95 B2 1956</t>
  </si>
  <si>
    <t>0                      QA 0095000B  2           1956</t>
  </si>
  <si>
    <t>Mathematical recreations &amp; essays, by W.W. Rouse Ball. Revised by H.S.M. Coxeter.</t>
  </si>
  <si>
    <t>Ball, W. W. Rouse (Walter William Rouse), 1850-1925.</t>
  </si>
  <si>
    <t>New York, Macmillan, 1956 [1947]</t>
  </si>
  <si>
    <t>[American ed.].</t>
  </si>
  <si>
    <t>2015-07-08</t>
  </si>
  <si>
    <t>398980:eng</t>
  </si>
  <si>
    <t>855990</t>
  </si>
  <si>
    <t>ocm00855990</t>
  </si>
  <si>
    <t>31030133774</t>
  </si>
  <si>
    <t>791488043</t>
  </si>
  <si>
    <t>QA95 D83 1927</t>
  </si>
  <si>
    <t>0                      QA 0095000D  83          1927</t>
  </si>
  <si>
    <t>The Canterbury puzzles and other curious problems. 2d ed., with some fuller solutions and additional notes.</t>
  </si>
  <si>
    <t>Dudeney, Henry Ernest, 1857-1930.</t>
  </si>
  <si>
    <t>London : T. Nelson and Sons, Ltd., 1927.</t>
  </si>
  <si>
    <t>1021235:eng</t>
  </si>
  <si>
    <t>61598706</t>
  </si>
  <si>
    <t>ocm61598706</t>
  </si>
  <si>
    <t>3000700565E</t>
  </si>
  <si>
    <t>794037830</t>
  </si>
  <si>
    <t>QA95 G23</t>
  </si>
  <si>
    <t>0                      QA 0095000G  23</t>
  </si>
  <si>
    <t>Aha! : Aha! insight / Martin Gardner ; [framed drawings by Jim Glen ; diagrams by Felix Cooper].</t>
  </si>
  <si>
    <t>New York : Scientific American, Inc., [1978]</t>
  </si>
  <si>
    <t>3901369614:eng</t>
  </si>
  <si>
    <t>4036396</t>
  </si>
  <si>
    <t>ocm04036396</t>
  </si>
  <si>
    <t>3000965626J</t>
  </si>
  <si>
    <t>9780894540011</t>
  </si>
  <si>
    <t>792315786</t>
  </si>
  <si>
    <t>QA95 G32 1975</t>
  </si>
  <si>
    <t>0                      QA 0095000G  32          1975</t>
  </si>
  <si>
    <t>Martin Gardner's Sixth book of mathematical games from Scientific American.</t>
  </si>
  <si>
    <t>New York : Scribner, [1975], ©1971.</t>
  </si>
  <si>
    <t>The Scribner library : Emblem editions : Games</t>
  </si>
  <si>
    <t>5608940009:eng</t>
  </si>
  <si>
    <t>1500018</t>
  </si>
  <si>
    <t>ocm01500018</t>
  </si>
  <si>
    <t>31036442319</t>
  </si>
  <si>
    <t>9780684142456</t>
  </si>
  <si>
    <t>791675558</t>
  </si>
  <si>
    <t>QA95 K45 1980</t>
  </si>
  <si>
    <t>0                      QA 0095000K  45          1980</t>
  </si>
  <si>
    <t>Problem solving / Brendan Kelly ; illustrator, Tim O'Halloran ; designer, Brian McGroarty ; graphics, Helen Newell.</t>
  </si>
  <si>
    <t>Kelly, B. (Brendan), 1943-</t>
  </si>
  <si>
    <t>Burlington, Ont. : Hayes Pub., c1980.</t>
  </si>
  <si>
    <t>Mathclues primary ; no. 2-300014</t>
  </si>
  <si>
    <t>2260815269:eng</t>
  </si>
  <si>
    <t>15922308</t>
  </si>
  <si>
    <t>ocm15922308</t>
  </si>
  <si>
    <t>3000988132H</t>
  </si>
  <si>
    <t>9780886250140</t>
  </si>
  <si>
    <t>792947811</t>
  </si>
  <si>
    <t>QA95 L95</t>
  </si>
  <si>
    <t>0                      QA 0095000L  95</t>
  </si>
  <si>
    <t>Récréations mathématiques, par Édouard Lucas ...</t>
  </si>
  <si>
    <t>V. 1-2</t>
  </si>
  <si>
    <t>Lucas, Édouard, 1842-1891.</t>
  </si>
  <si>
    <t>Paris, Gauthier-Villars et fils, 1891-96.</t>
  </si>
  <si>
    <t>1891</t>
  </si>
  <si>
    <t>2016-08-27</t>
  </si>
  <si>
    <t>3184662:fre</t>
  </si>
  <si>
    <t>2174697</t>
  </si>
  <si>
    <t>ocm02174697</t>
  </si>
  <si>
    <t>3102784409F</t>
  </si>
  <si>
    <t>792061208</t>
  </si>
  <si>
    <t>V. 3-4</t>
  </si>
  <si>
    <t>31027843812</t>
  </si>
  <si>
    <t>792061207</t>
  </si>
  <si>
    <t>QA95 N483 2012</t>
  </si>
  <si>
    <t>0                      QA 0095000N  483         2012</t>
  </si>
  <si>
    <t>The puzzler's dilemma : from the Lighthouse of Alexandria to Monty Hall, a fresh look at classic conundrums of logic, mathematics, and life / Derrick Niederman.</t>
  </si>
  <si>
    <t>Niederman, Derrick.</t>
  </si>
  <si>
    <t>New York : Perigee Trade, 2012.</t>
  </si>
  <si>
    <t>2014-09-02</t>
  </si>
  <si>
    <t>1083900276:eng</t>
  </si>
  <si>
    <t>727703477</t>
  </si>
  <si>
    <t>ocn727703477</t>
  </si>
  <si>
    <t>3103470128F</t>
  </si>
  <si>
    <t>9780399537295</t>
  </si>
  <si>
    <t>794878471</t>
  </si>
  <si>
    <t>QA95 N6</t>
  </si>
  <si>
    <t>0                      QA 0095000N  6</t>
  </si>
  <si>
    <t>Riddles in mathematics; a book of paradoxes [by] Eugene P. Northrop.</t>
  </si>
  <si>
    <t>Northrop, Eugene P. (Eugene Purdy), 1908-1969.</t>
  </si>
  <si>
    <t>New York, D. Van Nostrand Co., 1944.</t>
  </si>
  <si>
    <t>2018-03-05</t>
  </si>
  <si>
    <t>481416:eng</t>
  </si>
  <si>
    <t>525652</t>
  </si>
  <si>
    <t>ocm00525652</t>
  </si>
  <si>
    <t>30006944218</t>
  </si>
  <si>
    <t>791403575</t>
  </si>
  <si>
    <t>QA95 W6</t>
  </si>
  <si>
    <t>0                      QA 0095000W  6</t>
  </si>
  <si>
    <t>A scrap-book of elementary mathematics : notes, recreations, essays / by William F. White.</t>
  </si>
  <si>
    <t>White, William F. (William Frank), 1871-</t>
  </si>
  <si>
    <t>Chicago : Open Count Pub., 1927, ©1908.</t>
  </si>
  <si>
    <t>2018-10-25</t>
  </si>
  <si>
    <t>423228513:eng</t>
  </si>
  <si>
    <t>9678859</t>
  </si>
  <si>
    <t>ocm09678859</t>
  </si>
  <si>
    <t>30006945889</t>
  </si>
  <si>
    <t>792688083</t>
  </si>
  <si>
    <t>QA99 B195 2014</t>
  </si>
  <si>
    <t>0                      QA 0099000B  195         2014</t>
  </si>
  <si>
    <t>Alex through the looking-glass : how numbers reflect life and life reflects numbers / Alex Bellos ; illustrations by the Surreal McCoy.</t>
  </si>
  <si>
    <t>Bellos, Alex, 1969- author.</t>
  </si>
  <si>
    <t>London : Bloomsbury, 2014.</t>
  </si>
  <si>
    <t>2014-10-03</t>
  </si>
  <si>
    <t>1822763722:eng</t>
  </si>
  <si>
    <t>869786497</t>
  </si>
  <si>
    <t>ocn869786497</t>
  </si>
  <si>
    <t>3103531760$</t>
  </si>
  <si>
    <t>9781408817773</t>
  </si>
  <si>
    <t>794965823</t>
  </si>
  <si>
    <t>QA99 E45 2014</t>
  </si>
  <si>
    <t>0                      QA 0099000E  45          2014</t>
  </si>
  <si>
    <t>How not to be wrong : the power of mathematical thinking / Jordan Ellenberg.</t>
  </si>
  <si>
    <t>Ellenberg, Jordan, 1971- author.</t>
  </si>
  <si>
    <t>New York : The Penguin Press, 2014.</t>
  </si>
  <si>
    <t>1871962700:eng</t>
  </si>
  <si>
    <t>861479092</t>
  </si>
  <si>
    <t>ocn861479092</t>
  </si>
  <si>
    <t>31035658672</t>
  </si>
  <si>
    <t>9781594205224</t>
  </si>
  <si>
    <t>794959220</t>
  </si>
  <si>
    <t>QA99 E59 2009</t>
  </si>
  <si>
    <t>0                      QA 0099000E  59          2009</t>
  </si>
  <si>
    <t>Fortuna und Kalkül : zwei mathematische Belustigungen / Hans Magnus Enzensberger.</t>
  </si>
  <si>
    <t>Enzensberger, Hans Magnus.</t>
  </si>
  <si>
    <t>Frankfurt am Main : Suhrkamp, 2009.</t>
  </si>
  <si>
    <t>1. Aufl., Originalausg.</t>
  </si>
  <si>
    <t>Edition Unseld ; 22</t>
  </si>
  <si>
    <t>2017-06-16</t>
  </si>
  <si>
    <t>690355280:ger</t>
  </si>
  <si>
    <t>419645469</t>
  </si>
  <si>
    <t>ocn419645469</t>
  </si>
  <si>
    <t>3103119174H</t>
  </si>
  <si>
    <t>9783518260227</t>
  </si>
  <si>
    <t>794503277</t>
  </si>
  <si>
    <t>QA99 E75 2011</t>
  </si>
  <si>
    <t>0                      QA 0099000E  75          2011</t>
  </si>
  <si>
    <t>Beautiful mathematics / Martin Erickson.</t>
  </si>
  <si>
    <t>Erickson, Martin J., 1963-</t>
  </si>
  <si>
    <t>Washington, D.C. : Mathematical Association of America, ©2011.</t>
  </si>
  <si>
    <t>Spectrum series / American Mathematical Association</t>
  </si>
  <si>
    <t>2013-11-03</t>
  </si>
  <si>
    <t>1043466535:eng</t>
  </si>
  <si>
    <t>760290943</t>
  </si>
  <si>
    <t>ocn760290943</t>
  </si>
  <si>
    <t>3103470140B</t>
  </si>
  <si>
    <t>9780883855768</t>
  </si>
  <si>
    <t>794898528</t>
  </si>
  <si>
    <t>QA99 P385 2015</t>
  </si>
  <si>
    <t>0                      QA 0099000P  385         2015</t>
  </si>
  <si>
    <t>Great calculations : a surprising look behind 50 scientific inquiries / Colin Pask.</t>
  </si>
  <si>
    <t>Pask, Colin, 1943-</t>
  </si>
  <si>
    <t>Amherst, New York : Prometheus Books, 2015.</t>
  </si>
  <si>
    <t>2195382470:eng</t>
  </si>
  <si>
    <t>893016856</t>
  </si>
  <si>
    <t>ocn893016856</t>
  </si>
  <si>
    <t>31036072449</t>
  </si>
  <si>
    <t>9781633880283</t>
  </si>
  <si>
    <t>794981306</t>
  </si>
  <si>
    <t>QA99 P664 2013</t>
  </si>
  <si>
    <t>0                      QA 0099000P  664         2013</t>
  </si>
  <si>
    <t>Magnificent mistakes in mathematics / Alfred S. Posamentier, Ingmar Lehmann.</t>
  </si>
  <si>
    <t>Amherst, New York : Prometheus Books, 2013.</t>
  </si>
  <si>
    <t>1781371874:eng</t>
  </si>
  <si>
    <t>818738062</t>
  </si>
  <si>
    <t>ocn818738062</t>
  </si>
  <si>
    <t>3103505982P</t>
  </si>
  <si>
    <t>9781616147471</t>
  </si>
  <si>
    <t>794934166</t>
  </si>
  <si>
    <t>QA99 P6655 2014</t>
  </si>
  <si>
    <t>0                      QA 0099000P  6655        2014</t>
  </si>
  <si>
    <t>Mathematical curiosities : a treasure trove of unexpected entertainments / Alfred S. Posamentier, Ingmar Lehmann.</t>
  </si>
  <si>
    <t>Amherst, New York : Prometheus Books, 2014.</t>
  </si>
  <si>
    <t>1417355299:eng</t>
  </si>
  <si>
    <t>863198369</t>
  </si>
  <si>
    <t>ocn863198369</t>
  </si>
  <si>
    <t>3103567178D</t>
  </si>
  <si>
    <t>9781616149314</t>
  </si>
  <si>
    <t>794961079</t>
  </si>
  <si>
    <t>QA99 S48 2013</t>
  </si>
  <si>
    <t>0                      QA 0099000S  48          2013</t>
  </si>
  <si>
    <t>The Simpsons and their Mathematical Secrets / by Simon Singh.</t>
  </si>
  <si>
    <t>Singh, Simon.</t>
  </si>
  <si>
    <t>London : Bloomsbury, 2013.</t>
  </si>
  <si>
    <t>1380932256:eng</t>
  </si>
  <si>
    <t>859223856</t>
  </si>
  <si>
    <t>ocn859223856</t>
  </si>
  <si>
    <t>31035046489</t>
  </si>
  <si>
    <t>9781408843734</t>
  </si>
  <si>
    <t>794957599</t>
  </si>
  <si>
    <t>QA99 Z5413 2014</t>
  </si>
  <si>
    <t>0                      QA 0099000Z  5413        2014</t>
  </si>
  <si>
    <t>Do I count? : stories from mathematics / Günter M. Ziegler ; translated by Thomas von Foerster.</t>
  </si>
  <si>
    <t>Ziegler, Günter M.</t>
  </si>
  <si>
    <t>Boca Raton : CRC Press, Taylor &amp; Francis Group, 2014.</t>
  </si>
  <si>
    <t>1110354141:eng</t>
  </si>
  <si>
    <t>794041256</t>
  </si>
  <si>
    <t>ocn794041256</t>
  </si>
  <si>
    <t>3103499625S</t>
  </si>
  <si>
    <t>9781466564916</t>
  </si>
  <si>
    <t>794919133</t>
  </si>
  <si>
    <t>QA101 B6414 2002</t>
  </si>
  <si>
    <t>0                      QA 0101000B  6414        2002</t>
  </si>
  <si>
    <t>Institution arithmétique / Boèce ; texte établi et traduit par Jean-Yves Guillaumin (professeur à l'Université de Saint-Étienne).</t>
  </si>
  <si>
    <t>Boethius, -524, author.</t>
  </si>
  <si>
    <t>Paris : Les Belles Lettres, 2002.</t>
  </si>
  <si>
    <t>Première édition.</t>
  </si>
  <si>
    <t>Collection des universités de France. 329e volume de la série latine</t>
  </si>
  <si>
    <t>24872109:fre</t>
  </si>
  <si>
    <t>427782773</t>
  </si>
  <si>
    <t>ocn427782773</t>
  </si>
  <si>
    <t>3102716984B</t>
  </si>
  <si>
    <t>9782251013909</t>
  </si>
  <si>
    <t>794698272</t>
  </si>
  <si>
    <t>QA107 M38</t>
  </si>
  <si>
    <t>0                      QA 0107000M  38</t>
  </si>
  <si>
    <t>Mathways / W.W. Bates [and others].</t>
  </si>
  <si>
    <t>Toronto : Copp Clark Pub., ©1976- (v.4)</t>
  </si>
  <si>
    <t>476582480:eng</t>
  </si>
  <si>
    <t>461594321</t>
  </si>
  <si>
    <t>ocn461594321</t>
  </si>
  <si>
    <t>31005203874</t>
  </si>
  <si>
    <t>9780773014275</t>
  </si>
  <si>
    <t>794791630</t>
  </si>
  <si>
    <t>QA107 M47 1985</t>
  </si>
  <si>
    <t>0                      QA 0107000M  47          1985</t>
  </si>
  <si>
    <t>Merrill mathematics / Audrey V. Buffington [and others] ; consultants, Robert B. Ashlock [and others].</t>
  </si>
  <si>
    <t>gr.3</t>
  </si>
  <si>
    <t>Columbus, Ohio ; Toronto ; London ; Sydney : Charles E. Merrill, 1985.</t>
  </si>
  <si>
    <t>4820527485:eng</t>
  </si>
  <si>
    <t>12014045</t>
  </si>
  <si>
    <t>ocm12014045</t>
  </si>
  <si>
    <t>3102483536S</t>
  </si>
  <si>
    <t>9780675052207</t>
  </si>
  <si>
    <t>792797038</t>
  </si>
  <si>
    <t>QA135 B888</t>
  </si>
  <si>
    <t>0                      QA 0135000B  888</t>
  </si>
  <si>
    <t>How to make arithmetic meaningful / by Leo J. Brueckner and Foster E. Grossnickle.</t>
  </si>
  <si>
    <t>Brueckner, Leo J. (Leo John), 1890-1967, author.</t>
  </si>
  <si>
    <t>Philadelphia ; Chicago : The John C. Winston Company, [1947]</t>
  </si>
  <si>
    <t>2015-12-16</t>
  </si>
  <si>
    <t>1965319:eng</t>
  </si>
  <si>
    <t>988458</t>
  </si>
  <si>
    <t>ocm00988458</t>
  </si>
  <si>
    <t>3000645644D</t>
  </si>
  <si>
    <t>791519374</t>
  </si>
  <si>
    <t>QA135 W67t 1904</t>
  </si>
  <si>
    <t>0                      QA 0135000W  67t         1904</t>
  </si>
  <si>
    <t>The tutorial arithmetic.</t>
  </si>
  <si>
    <t>Workman, W. P.</t>
  </si>
  <si>
    <t>London : [publisher not identified], 1904.</t>
  </si>
  <si>
    <t>1904</t>
  </si>
  <si>
    <t>Univ. tutorial ser.</t>
  </si>
  <si>
    <t>2016-05-08</t>
  </si>
  <si>
    <t>5800886:eng</t>
  </si>
  <si>
    <t>61600102</t>
  </si>
  <si>
    <t>ocm61600102</t>
  </si>
  <si>
    <t>3000711299Z</t>
  </si>
  <si>
    <t>794039163</t>
  </si>
  <si>
    <t>QA135.5 A32 2001</t>
  </si>
  <si>
    <t>0                      QA 0135500A  32          2001</t>
  </si>
  <si>
    <t>Adding it up : helping children learn mathematics / Mathematics Learning Study Committee, Center for Education, Division of Behavioral and Social Sciences and Education, National Research Council ; Jeremy Kilpatrick, Jane Swafford, and Bradford Findell, editors.</t>
  </si>
  <si>
    <t>Washington, DC : National Academy Press, ©2001.</t>
  </si>
  <si>
    <t>1152715305:eng</t>
  </si>
  <si>
    <t>48544780</t>
  </si>
  <si>
    <t>ocm48544780</t>
  </si>
  <si>
    <t>31022563832</t>
  </si>
  <si>
    <t>9780309069953</t>
  </si>
  <si>
    <t>793723587</t>
  </si>
  <si>
    <t>QA135.5 A782 2010</t>
  </si>
  <si>
    <t>0                      QA 0135500A  782         2010</t>
  </si>
  <si>
    <t>Error patterns in computation : using error patterns to help each student learn / Robert B. Ashlock.</t>
  </si>
  <si>
    <t>Ashlock, Robert B., 1930-</t>
  </si>
  <si>
    <t>Boston : Allyn &amp; Bacon, ©2010.</t>
  </si>
  <si>
    <t>10th ed.</t>
  </si>
  <si>
    <t>2009-05-25</t>
  </si>
  <si>
    <t>815081757:eng</t>
  </si>
  <si>
    <t>263147007</t>
  </si>
  <si>
    <t>ocn263147007</t>
  </si>
  <si>
    <t>3103062074T</t>
  </si>
  <si>
    <t>9780135009109</t>
  </si>
  <si>
    <t>794403413</t>
  </si>
  <si>
    <t>QA135.5 B495 1990</t>
  </si>
  <si>
    <t>0                      QA 0135500B  495         1990</t>
  </si>
  <si>
    <t>A problem solving approach to mathematics for elementary school teachers / Rick Billstein, Shlomo Libeskind, Johnny W. Lott.</t>
  </si>
  <si>
    <t>Billstein, Rick.</t>
  </si>
  <si>
    <t>Redwood City, Calif. : Benjamin/Cummings, ©1990.</t>
  </si>
  <si>
    <t>678934:eng</t>
  </si>
  <si>
    <t>20453111</t>
  </si>
  <si>
    <t>ocm20453111</t>
  </si>
  <si>
    <t>3101384308D</t>
  </si>
  <si>
    <t>9780805303902</t>
  </si>
  <si>
    <t>793088305</t>
  </si>
  <si>
    <t>QA135.5 H56 1986</t>
  </si>
  <si>
    <t>0                      QA 0135500H  56          1986</t>
  </si>
  <si>
    <t>Structure and insight : a theory of mathematics education / Pierre M. van Hiele.</t>
  </si>
  <si>
    <t>Hiele, Pierre M. van.</t>
  </si>
  <si>
    <t>Orlando, Fla. : Academic Press, 1986.</t>
  </si>
  <si>
    <t>2019-07-20</t>
  </si>
  <si>
    <t>3823733:eng</t>
  </si>
  <si>
    <t>11113569</t>
  </si>
  <si>
    <t>ocm11113569</t>
  </si>
  <si>
    <t>30009874079</t>
  </si>
  <si>
    <t>9780127141602</t>
  </si>
  <si>
    <t>792758501</t>
  </si>
  <si>
    <t>QA135.5 K186 2000</t>
  </si>
  <si>
    <t>0                      QA 0135500K  186         2000</t>
  </si>
  <si>
    <t>Young children reinvent arithmetic : implications of Piaget's theory.</t>
  </si>
  <si>
    <t>Kamii, Constance.</t>
  </si>
  <si>
    <t>2nd ed. / Constance Kamii with Leslie Baker Housman.</t>
  </si>
  <si>
    <t>Early childhood education series</t>
  </si>
  <si>
    <t>3740822102:eng</t>
  </si>
  <si>
    <t>41951300</t>
  </si>
  <si>
    <t>ocm41951300</t>
  </si>
  <si>
    <t>3102030206A</t>
  </si>
  <si>
    <t>9780807739044</t>
  </si>
  <si>
    <t>793599818</t>
  </si>
  <si>
    <t>QA135.5 R6845 2017</t>
  </si>
  <si>
    <t>0                      QA 0135500R  6845        2017</t>
  </si>
  <si>
    <t>Math on the move : engaging students in whole body learning / Malke Rosenfeld.</t>
  </si>
  <si>
    <t>Rosenfeld, Malke.</t>
  </si>
  <si>
    <t>Portsmouth, NH : Heinemann, [2017]</t>
  </si>
  <si>
    <t>2017-11-09</t>
  </si>
  <si>
    <t>3853850926:eng</t>
  </si>
  <si>
    <t>956959739</t>
  </si>
  <si>
    <t>ocn956959739</t>
  </si>
  <si>
    <t>3103697895P</t>
  </si>
  <si>
    <t>9780325074702</t>
  </si>
  <si>
    <t>795020553</t>
  </si>
  <si>
    <t>QA135.5 V34 1998</t>
  </si>
  <si>
    <t>0                      QA 0135500V  34          1998</t>
  </si>
  <si>
    <t>Elementary and middle school mathematics : teaching developmentally / John A. Van de Walle.</t>
  </si>
  <si>
    <t>Van de Walle, John A.</t>
  </si>
  <si>
    <t>New York : Longman, ©1998.</t>
  </si>
  <si>
    <t>147621216:eng</t>
  </si>
  <si>
    <t>37001652</t>
  </si>
  <si>
    <t>ocm37001652</t>
  </si>
  <si>
    <t>31018809617</t>
  </si>
  <si>
    <t>9780801318665</t>
  </si>
  <si>
    <t>793489604</t>
  </si>
  <si>
    <t>QA135.5 W25 1988</t>
  </si>
  <si>
    <t>0                      QA 0135500W  25          1988</t>
  </si>
  <si>
    <t>The mastery of reason : cognitive development and the production of rationality / Valerie Walkerdine.</t>
  </si>
  <si>
    <t>Walkerdine, Valerie.</t>
  </si>
  <si>
    <t>London ; New York : Routledge, 1988.</t>
  </si>
  <si>
    <t>2015-09-17</t>
  </si>
  <si>
    <t>180915:eng</t>
  </si>
  <si>
    <t>17300907</t>
  </si>
  <si>
    <t>ocm17300907</t>
  </si>
  <si>
    <t>3000996037F</t>
  </si>
  <si>
    <t>9780415006965</t>
  </si>
  <si>
    <t>792987251</t>
  </si>
  <si>
    <t>QA135.6 A53 2002</t>
  </si>
  <si>
    <t>0                      QA 0135600A  53          2002</t>
  </si>
  <si>
    <t>Little kids--powerful problem solvers : math stories from a kindergarten classroom / Angela Giglio Andrews, Paul R. Trafton.</t>
  </si>
  <si>
    <t>Andrews, Angela, 1945-</t>
  </si>
  <si>
    <t>Portsmouth, NH : Heinemann, ©2002.</t>
  </si>
  <si>
    <t>8465661:eng</t>
  </si>
  <si>
    <t>48003191</t>
  </si>
  <si>
    <t>ocm48003191</t>
  </si>
  <si>
    <t>3102278570H</t>
  </si>
  <si>
    <t>9780325004310</t>
  </si>
  <si>
    <t>793713253</t>
  </si>
  <si>
    <t>QA135.6 B49 2001</t>
  </si>
  <si>
    <t>0                      QA 0135600B  49          2001</t>
  </si>
  <si>
    <t>Beyond classical pedagogy : teaching elementary school mathematics / edited by Terry Wood, Barbara Scott Nelson, Janet Warfield.</t>
  </si>
  <si>
    <t>Mahwah, N.J. : L. Erlbaum Associates, 2001.</t>
  </si>
  <si>
    <t>Studies in mathematical thinking and learning</t>
  </si>
  <si>
    <t>801047412:eng</t>
  </si>
  <si>
    <t>45861743</t>
  </si>
  <si>
    <t>ocm45861743</t>
  </si>
  <si>
    <t>3102251462N</t>
  </si>
  <si>
    <t>9780805835700</t>
  </si>
  <si>
    <t>793679856</t>
  </si>
  <si>
    <t>QA135.6 B55 2007</t>
  </si>
  <si>
    <t>0                      QA 0135600B  55          2007</t>
  </si>
  <si>
    <t>Boston : Pearson Addison Wesley, ©2007.</t>
  </si>
  <si>
    <t>60590218</t>
  </si>
  <si>
    <t>ocm60590218</t>
  </si>
  <si>
    <t>3102628835H</t>
  </si>
  <si>
    <t>9780321331793</t>
  </si>
  <si>
    <t>793940423</t>
  </si>
  <si>
    <t>QA135.6 B55 2010</t>
  </si>
  <si>
    <t>0                      QA 0135600B  55          2010</t>
  </si>
  <si>
    <t>A problem solving approach to mathematics / Rick Billstein, Shlomo Libeskind, Johnny W. Lott.</t>
  </si>
  <si>
    <t>(text + 1 CD)</t>
  </si>
  <si>
    <t>2013-01-11</t>
  </si>
  <si>
    <t>4916189881:eng</t>
  </si>
  <si>
    <t>252921413</t>
  </si>
  <si>
    <t>ocn252921413</t>
  </si>
  <si>
    <t>3103254030M</t>
  </si>
  <si>
    <t>9780321570543</t>
  </si>
  <si>
    <t>794389657</t>
  </si>
  <si>
    <t>QA135.6 B68 2016</t>
  </si>
  <si>
    <t>0                      QA 0135600B  68          2016</t>
  </si>
  <si>
    <t>Mathematical mindsets : unleashing students' potential through creative math, inspiring messages and innovative teaching / Jo Boaler ; foreword by Carol Dweck.</t>
  </si>
  <si>
    <t>Boaler, Jo, 1964- author.</t>
  </si>
  <si>
    <t>San Francisco, CA : Jossey-Bass, a Wiley Brand, [2016]</t>
  </si>
  <si>
    <t>2020-01-08</t>
  </si>
  <si>
    <t>2594637784:eng</t>
  </si>
  <si>
    <t>917888599</t>
  </si>
  <si>
    <t>ocn917888599</t>
  </si>
  <si>
    <t>31034227696</t>
  </si>
  <si>
    <t>9780470894521</t>
  </si>
  <si>
    <t>795000992</t>
  </si>
  <si>
    <t>QA135.6 C37 2003</t>
  </si>
  <si>
    <t>0                      QA 0135600C  37          2003</t>
  </si>
  <si>
    <t>Thinking mathematically : integrating arithmetic and algebra in elementary school / Thomas P. Carpenter, Megan Loef Franke, Linda Levi.</t>
  </si>
  <si>
    <t>Carpenter, Thomas P.</t>
  </si>
  <si>
    <t>Portsmouth, NH : Heinemann, ©2003.</t>
  </si>
  <si>
    <t>2019-03-16</t>
  </si>
  <si>
    <t>908774350:eng</t>
  </si>
  <si>
    <t>50604794</t>
  </si>
  <si>
    <t>ocm50604794</t>
  </si>
  <si>
    <t>3102278655I</t>
  </si>
  <si>
    <t>9780325005652</t>
  </si>
  <si>
    <t>793768588</t>
  </si>
  <si>
    <t>QA135.6 C37 2017</t>
  </si>
  <si>
    <t>0                      QA 0135600C  37          2017</t>
  </si>
  <si>
    <t>Young children's mathematics : cognitively guided instruction in early childhood education / Thomas P. Carpenter, Megan L. Franke, Nicholas C. Johnson, Angela Chan Turrou, Anita A. Wager.</t>
  </si>
  <si>
    <t>3863555186:eng</t>
  </si>
  <si>
    <t>951955903</t>
  </si>
  <si>
    <t>ocn951955903</t>
  </si>
  <si>
    <t>3103697661D</t>
  </si>
  <si>
    <t>9780325078120</t>
  </si>
  <si>
    <t>795017880</t>
  </si>
  <si>
    <t>QA135.6 C46 2006</t>
  </si>
  <si>
    <t>0                      QA 0135600C  46          2006</t>
  </si>
  <si>
    <t>Math matters : understanding the math you teach, grades K-8 / Suzanne H. Chapin, Art Johnson.</t>
  </si>
  <si>
    <t>Chapin, Suzanne H.</t>
  </si>
  <si>
    <t>Sausalito, CA : Math Solutions Publications, ©2006.</t>
  </si>
  <si>
    <t>794194983:eng</t>
  </si>
  <si>
    <t>63164894</t>
  </si>
  <si>
    <t>ocm63164894</t>
  </si>
  <si>
    <t>3103369793W</t>
  </si>
  <si>
    <t>9780941355711</t>
  </si>
  <si>
    <t>794119206</t>
  </si>
  <si>
    <t>QA135.6 C463 2010</t>
  </si>
  <si>
    <t>0                      QA 0135600C  463         2010</t>
  </si>
  <si>
    <t>Math &amp; science for young children / Rosalind Charlesworth, Karen K. Lind.</t>
  </si>
  <si>
    <t>Charlesworth, Rosalind.</t>
  </si>
  <si>
    <t>Belmont, CA : Wadsworth/Cengage Learning, ©2010.</t>
  </si>
  <si>
    <t>2009-11-04</t>
  </si>
  <si>
    <t>948978:eng</t>
  </si>
  <si>
    <t>244767075</t>
  </si>
  <si>
    <t>ocn244767075</t>
  </si>
  <si>
    <t>3103079514U</t>
  </si>
  <si>
    <t>9781428375864</t>
  </si>
  <si>
    <t>794382346</t>
  </si>
  <si>
    <t>QA135.6 C55 2014</t>
  </si>
  <si>
    <t>0                      QA 0135600C  55          2014</t>
  </si>
  <si>
    <t>Learning and teaching early math : the learning trajectories approach / Douglas H. Clements, Julie Sarama.</t>
  </si>
  <si>
    <t>Clements, Douglas H.</t>
  </si>
  <si>
    <t>New York : Routledge, Taylor &amp; Francis Group, 2014.</t>
  </si>
  <si>
    <t>800625882:eng</t>
  </si>
  <si>
    <t>858778288</t>
  </si>
  <si>
    <t>ocn858778288</t>
  </si>
  <si>
    <t>3103532864T</t>
  </si>
  <si>
    <t>9780415828512</t>
  </si>
  <si>
    <t>794956596</t>
  </si>
  <si>
    <t>QA135.6 C642 2016</t>
  </si>
  <si>
    <t>0                      QA 0135600C  642         2016</t>
  </si>
  <si>
    <t>Engaging in mathematics in the classroom : symbols and experiences / Alf Coles.</t>
  </si>
  <si>
    <t>Coles, Alf.</t>
  </si>
  <si>
    <t>London ; New York : Routledge, Taylor &amp; Francis Group, 2016.</t>
  </si>
  <si>
    <t>2598099427:eng</t>
  </si>
  <si>
    <t>907188720</t>
  </si>
  <si>
    <t>ocn907188720</t>
  </si>
  <si>
    <t>3103611474G</t>
  </si>
  <si>
    <t>9780415733687</t>
  </si>
  <si>
    <t>794993007</t>
  </si>
  <si>
    <t>QA135.6 D53 2011</t>
  </si>
  <si>
    <t>0                      QA 0135600D  53          2011</t>
  </si>
  <si>
    <t>Mathematics education for a new era : video games as a medium for learning / Keith Devlin.</t>
  </si>
  <si>
    <t>Devlin, Keith J.</t>
  </si>
  <si>
    <t>Natick, Mass. : A K Peters, ©2011.</t>
  </si>
  <si>
    <t>762670503:eng</t>
  </si>
  <si>
    <t>690084566</t>
  </si>
  <si>
    <t>ocn690084566</t>
  </si>
  <si>
    <t>3103363719Z</t>
  </si>
  <si>
    <t>9781568814315</t>
  </si>
  <si>
    <t>794855103</t>
  </si>
  <si>
    <t>QA135.6 E44 2011</t>
  </si>
  <si>
    <t>0                      QA 0135600E  44          2011</t>
  </si>
  <si>
    <t>Elementary and middle school mathematics : teaching developmentally / John A. Van de Walle [and others].</t>
  </si>
  <si>
    <t>Toronto : Pearson Allyn &amp; Bacon, ©2011.</t>
  </si>
  <si>
    <t>3rd Canadian ed.</t>
  </si>
  <si>
    <t>2016-01-26</t>
  </si>
  <si>
    <t>499431315</t>
  </si>
  <si>
    <t>ocn499431315</t>
  </si>
  <si>
    <t>3103303252Z</t>
  </si>
  <si>
    <t>9780205676972</t>
  </si>
  <si>
    <t>794803576</t>
  </si>
  <si>
    <t>2015-09-11</t>
  </si>
  <si>
    <t>3103303251Z</t>
  </si>
  <si>
    <t>794803575</t>
  </si>
  <si>
    <t>3103303671J</t>
  </si>
  <si>
    <t>794803577</t>
  </si>
  <si>
    <t>QA135.6 E57 2004</t>
  </si>
  <si>
    <t>0                      QA 0135600E  57          2004</t>
  </si>
  <si>
    <t>Engaging young children in mathematics : standards for early childhood mathematics education / edited by Douglas H. Clements, Julie Sarama ; associate editor, Ann-Marie DiBiase.</t>
  </si>
  <si>
    <t>Mahwah, N.J. : Lawrence Erlbaum Associates, 2004.</t>
  </si>
  <si>
    <t>797214283:eng</t>
  </si>
  <si>
    <t>51223726</t>
  </si>
  <si>
    <t>ocm51223726</t>
  </si>
  <si>
    <t>31034758761</t>
  </si>
  <si>
    <t>9780805842104</t>
  </si>
  <si>
    <t>793780885</t>
  </si>
  <si>
    <t>QA135.6 E86 2004</t>
  </si>
  <si>
    <t>0                      QA 0135600E  86          2004</t>
  </si>
  <si>
    <t>Exploring mathematics through literature : articles and lessons for prekindergarten through grade 8 / edited by Diane Thiessen.</t>
  </si>
  <si>
    <t>2699678:eng</t>
  </si>
  <si>
    <t>53796945</t>
  </si>
  <si>
    <t>ocm53796945</t>
  </si>
  <si>
    <t>3102459533J</t>
  </si>
  <si>
    <t>9780873535533</t>
  </si>
  <si>
    <t>793850559</t>
  </si>
  <si>
    <t>QA135.6 H45 2004</t>
  </si>
  <si>
    <t>0                      QA 0135600H  45          2004</t>
  </si>
  <si>
    <t>Helping children learn mathematics.</t>
  </si>
  <si>
    <t>Hoboken, NJ : John Wiley &amp; Sons, ©2004.</t>
  </si>
  <si>
    <t>7th ed. / Robert E. Reys [and others].</t>
  </si>
  <si>
    <t>8909908377:eng</t>
  </si>
  <si>
    <t>52980623</t>
  </si>
  <si>
    <t>ocm52980623</t>
  </si>
  <si>
    <t>3102444746$</t>
  </si>
  <si>
    <t>9780471151630</t>
  </si>
  <si>
    <t>793818587</t>
  </si>
  <si>
    <t>2010-09-13</t>
  </si>
  <si>
    <t>3102722100P</t>
  </si>
  <si>
    <t>793818588</t>
  </si>
  <si>
    <t>QA135.6 K46 2004</t>
  </si>
  <si>
    <t>0                      QA 0135600K  46          2004</t>
  </si>
  <si>
    <t>Guiding children's learning of mathematics / Leonard M. Kennedy, Steve Tipps, Art Johnson.</t>
  </si>
  <si>
    <t>text+ CD-ROM</t>
  </si>
  <si>
    <t>Kennedy, Leonard M., author.</t>
  </si>
  <si>
    <t>Belmont, California : Thomson/Wadsworth, 2004.</t>
  </si>
  <si>
    <t>2019-10-25</t>
  </si>
  <si>
    <t>713830:eng</t>
  </si>
  <si>
    <t>53208886</t>
  </si>
  <si>
    <t>ocm53208886</t>
  </si>
  <si>
    <t>31024812308</t>
  </si>
  <si>
    <t>9780534608767</t>
  </si>
  <si>
    <t>793823728</t>
  </si>
  <si>
    <t>QA135.6 L36 2001</t>
  </si>
  <si>
    <t>0                      QA 0135600L  36          2001</t>
  </si>
  <si>
    <t>Teaching problems and the problems of teaching / Magdalene Lampert.</t>
  </si>
  <si>
    <t>Lampert, Magdalene.</t>
  </si>
  <si>
    <t>New Haven : Yale University Press, ©2001.</t>
  </si>
  <si>
    <t>671959:eng</t>
  </si>
  <si>
    <t>46793207</t>
  </si>
  <si>
    <t>ocm46793207</t>
  </si>
  <si>
    <t>31034758555</t>
  </si>
  <si>
    <t>9780300089738</t>
  </si>
  <si>
    <t>793691513</t>
  </si>
  <si>
    <t>QA135.6 L63 2010</t>
  </si>
  <si>
    <t>0                      QA 0135600L  63          2010</t>
  </si>
  <si>
    <t>Developing essential understanding of ratios, proportions, and proportional reasoning for teaching mathematics in grades 6-8 / Joanne Lobato, Amy B. Ellis ; Randall I. Charles, volume editor ; Rose Mary Zbiek, series editor.</t>
  </si>
  <si>
    <t>Lobato, Joanne (Joanne Elizabeth), author.</t>
  </si>
  <si>
    <t>Essential understanding series</t>
  </si>
  <si>
    <t>393909784:eng</t>
  </si>
  <si>
    <t>521753857</t>
  </si>
  <si>
    <t>ocn521753857</t>
  </si>
  <si>
    <t>3103237412C</t>
  </si>
  <si>
    <t>9780873536226</t>
  </si>
  <si>
    <t>794808798</t>
  </si>
  <si>
    <t>QA135.6 M374 2004</t>
  </si>
  <si>
    <t>0                      QA 0135600M  374         2004</t>
  </si>
  <si>
    <t>Mathematical and analogical reasoning of young learners / edited by Lyn D. English.</t>
  </si>
  <si>
    <t>765995756:eng</t>
  </si>
  <si>
    <t>53285161</t>
  </si>
  <si>
    <t>ocm53285161</t>
  </si>
  <si>
    <t>3102388330K</t>
  </si>
  <si>
    <t>9780805841022</t>
  </si>
  <si>
    <t>793825466</t>
  </si>
  <si>
    <t>QA135.6 M378 2014</t>
  </si>
  <si>
    <t>0                      QA 0135600M  378         2014</t>
  </si>
  <si>
    <t>Mathematics for equity : a framework for successful practice / edited by Na'ilah Suad Nasir ... [and four others].</t>
  </si>
  <si>
    <t>New York : Teachers College Press ; Reston, VA : National Council of Teachers of Mathematics, [2014]</t>
  </si>
  <si>
    <t>Multicultural education series</t>
  </si>
  <si>
    <t>1780252972:eng</t>
  </si>
  <si>
    <t>869066581</t>
  </si>
  <si>
    <t>ocn869066581</t>
  </si>
  <si>
    <t>31035667475</t>
  </si>
  <si>
    <t>9780807755419</t>
  </si>
  <si>
    <t>794965150</t>
  </si>
  <si>
    <t>QA135.6 M385 2004</t>
  </si>
  <si>
    <t>0                      QA 0135600M  385         2004</t>
  </si>
  <si>
    <t>Mathematics methods for elementary and middle school teachers.</t>
  </si>
  <si>
    <t>Hoboken, N.J. : J. Wiley, 2004.</t>
  </si>
  <si>
    <t>5th ed. / Mary M. Hatfield [and others].</t>
  </si>
  <si>
    <t>2015-07-30</t>
  </si>
  <si>
    <t>56450849:eng</t>
  </si>
  <si>
    <t>54046452</t>
  </si>
  <si>
    <t>ocm54046452</t>
  </si>
  <si>
    <t>31024807053</t>
  </si>
  <si>
    <t>9780471149835</t>
  </si>
  <si>
    <t>793856190</t>
  </si>
  <si>
    <t>QA135.6 M535 2003</t>
  </si>
  <si>
    <t>0                      QA 0135600M  535         2003</t>
  </si>
  <si>
    <t>The myth of ability : nurturing mathematical talent in every child / John Mighton.</t>
  </si>
  <si>
    <t>Mighton, John, 1957-</t>
  </si>
  <si>
    <t>Toronto : House of Anansi, 2003.</t>
  </si>
  <si>
    <t>904118:eng</t>
  </si>
  <si>
    <t>51925166</t>
  </si>
  <si>
    <t>ocm51925166</t>
  </si>
  <si>
    <t>3103474396G</t>
  </si>
  <si>
    <t>9780887846939</t>
  </si>
  <si>
    <t>793794391</t>
  </si>
  <si>
    <t>QA135.6 M5668 2015</t>
  </si>
  <si>
    <t>0                      QA 0135600M  5668        2015</t>
  </si>
  <si>
    <t>Using teacher inquiry for knowing and supporting parents with mathematics / Regina M. Mistretta.</t>
  </si>
  <si>
    <t>Mistretta, Regina M., 1965- author.</t>
  </si>
  <si>
    <t>Lanham, Maryland : Rowman &amp; Littlefield, [2015]</t>
  </si>
  <si>
    <t>2621576247:eng</t>
  </si>
  <si>
    <t>894105527</t>
  </si>
  <si>
    <t>ocn894105527</t>
  </si>
  <si>
    <t>3103610353X</t>
  </si>
  <si>
    <t>9781475812572</t>
  </si>
  <si>
    <t>794982333</t>
  </si>
  <si>
    <t>QA135.6 S27 2009</t>
  </si>
  <si>
    <t>0                      QA 0135600S  27          2009</t>
  </si>
  <si>
    <t>Early childhood mathematics education research : learning trajectories for young children / Julie Sarama and Douglas H. Clements.</t>
  </si>
  <si>
    <t>Sarama, Julie.</t>
  </si>
  <si>
    <t>New York ; London : Routledge, 2009.</t>
  </si>
  <si>
    <t>800625890:eng</t>
  </si>
  <si>
    <t>237402521</t>
  </si>
  <si>
    <t>ocn237402521</t>
  </si>
  <si>
    <t>3103083244F</t>
  </si>
  <si>
    <t>9780805863086</t>
  </si>
  <si>
    <t>794373269</t>
  </si>
  <si>
    <t>QA135.6 S76 2015</t>
  </si>
  <si>
    <t>0                      QA 0135600S  76          2015</t>
  </si>
  <si>
    <t>Children count : exploring what is possible in a classroom with mathematics and children / Mary M. Stordy.</t>
  </si>
  <si>
    <t>Stordy, Mary M., 1969- author.</t>
  </si>
  <si>
    <t>New York : Peter Lang, 2015.</t>
  </si>
  <si>
    <t>Rethinking childhood, 1086-7155 ; v. 51</t>
  </si>
  <si>
    <t>2500704520:eng</t>
  </si>
  <si>
    <t>879370724</t>
  </si>
  <si>
    <t>ocn879370724</t>
  </si>
  <si>
    <t>31036103138</t>
  </si>
  <si>
    <t>9781433114144</t>
  </si>
  <si>
    <t>794972022</t>
  </si>
  <si>
    <t>QA135.6 T37 2004</t>
  </si>
  <si>
    <t>0                      QA 0135600T  37          2004</t>
  </si>
  <si>
    <t>Teaching elementary mathematics : a resource for field experiences / Nancy L. Smith [and others].</t>
  </si>
  <si>
    <t>Wiley/Jossey-Bass education</t>
  </si>
  <si>
    <t>2018-04-18</t>
  </si>
  <si>
    <t>815131628:eng</t>
  </si>
  <si>
    <t>53285271</t>
  </si>
  <si>
    <t>ocm53285271</t>
  </si>
  <si>
    <t>3102438688K</t>
  </si>
  <si>
    <t>9780471453369</t>
  </si>
  <si>
    <t>793825491</t>
  </si>
  <si>
    <t>QA135.6 T39 2003</t>
  </si>
  <si>
    <t>0                      QA 0135600T  39          2003</t>
  </si>
  <si>
    <t>Teaching K-6 mathematics / Douglas K. Brumbaugh [and others].</t>
  </si>
  <si>
    <t>Mahwah, N.J. : Lawrence Erlbaum, 2003.</t>
  </si>
  <si>
    <t>766841840:eng</t>
  </si>
  <si>
    <t>48834720</t>
  </si>
  <si>
    <t>ocm48834720</t>
  </si>
  <si>
    <t>3102273162E</t>
  </si>
  <si>
    <t>9780805832686</t>
  </si>
  <si>
    <t>793728683</t>
  </si>
  <si>
    <t>QA135.6 V36 2007</t>
  </si>
  <si>
    <t>0                      QA 0135600V  36          2007</t>
  </si>
  <si>
    <t>Boston : Pearson /Allyn and Bacon, ©2007.</t>
  </si>
  <si>
    <t>62331079</t>
  </si>
  <si>
    <t>ocm62331079</t>
  </si>
  <si>
    <t>31026594820</t>
  </si>
  <si>
    <t>9780205483921</t>
  </si>
  <si>
    <t>794105236</t>
  </si>
  <si>
    <t>QA135.6 V362 2008</t>
  </si>
  <si>
    <t>0                      QA 0135600V  362         2008</t>
  </si>
  <si>
    <t>Elementary and middle school mathematics : teaching developmentally / John A. Van de Walle, Karen S. Karp, Jennifer M. Bay-Williams, Lynn M. McGarvey, Sandra Folk.</t>
  </si>
  <si>
    <t>Toronto : Pearson Allyn and Bacon, c2008.</t>
  </si>
  <si>
    <t>2nd Canadian ed.</t>
  </si>
  <si>
    <t>2015-05-19</t>
  </si>
  <si>
    <t>85737393</t>
  </si>
  <si>
    <t>ocm85737393</t>
  </si>
  <si>
    <t>3103050286Y</t>
  </si>
  <si>
    <t>9780205488391</t>
  </si>
  <si>
    <t>794214370</t>
  </si>
  <si>
    <t>QA135.6 W4743 2013</t>
  </si>
  <si>
    <t>0                      QA 0135600W  4743        2013</t>
  </si>
  <si>
    <t>Differentiating instruction with menus for the inclusive classroom. Math (lower and on-level menus grades 6-8) / Laurie E. Westphal.</t>
  </si>
  <si>
    <t>Westphal, Laurie E., 1967-</t>
  </si>
  <si>
    <t>Waco, Texas : Prufrock Press Inc, [2013]</t>
  </si>
  <si>
    <t>4162702343:eng</t>
  </si>
  <si>
    <t>778421168</t>
  </si>
  <si>
    <t>ocn778421168</t>
  </si>
  <si>
    <t>3103583625E</t>
  </si>
  <si>
    <t>9781593639648</t>
  </si>
  <si>
    <t>794909839</t>
  </si>
  <si>
    <t>QA135.6 W49 2004</t>
  </si>
  <si>
    <t>0                      QA 0135600W  49          2004</t>
  </si>
  <si>
    <t>New visions for linking literature and mathematics / David J. Whitin, Phyllis Whitin ; [with a foreword by Judith Lindfors].</t>
  </si>
  <si>
    <t>Whitin, David Jackman, 1947-</t>
  </si>
  <si>
    <t>Urbana, Ill. : National Council of Teachers of English ; Reston, Va. : National Council of Teachers of Mathematics, ©2004.</t>
  </si>
  <si>
    <t>11368724:eng</t>
  </si>
  <si>
    <t>53325071</t>
  </si>
  <si>
    <t>ocm53325071</t>
  </si>
  <si>
    <t>31034757646</t>
  </si>
  <si>
    <t>9780814133484</t>
  </si>
  <si>
    <t>793826276</t>
  </si>
  <si>
    <t>QA137 H33 2016</t>
  </si>
  <si>
    <t>0                      QA 0137000H  33          2016</t>
  </si>
  <si>
    <t>Developing fractions knowledge / Amy J. Hackenberg, Anderson Norton, Robert J. Wright.</t>
  </si>
  <si>
    <t>Hackenberg, Amy J., author.</t>
  </si>
  <si>
    <t>London ; Thousand Oaks, California : SAGE Publications, 2016.</t>
  </si>
  <si>
    <t>3924668169:eng</t>
  </si>
  <si>
    <t>938390429</t>
  </si>
  <si>
    <t>ocn938390429</t>
  </si>
  <si>
    <t>3103697634G</t>
  </si>
  <si>
    <t>9781412962193</t>
  </si>
  <si>
    <t>795011305</t>
  </si>
  <si>
    <t>QA137 L36 2006</t>
  </si>
  <si>
    <t>0                      QA 0137000L  36          2006</t>
  </si>
  <si>
    <t>Teaching fractions and ratios for understanding : essential content knowledge and instructional strategies for teachers / Susan J. Lamon.</t>
  </si>
  <si>
    <t>Lamon, Susan J., 1949-</t>
  </si>
  <si>
    <t>Mahwah, N.J. : Lawrence Erlbaum Associates, 2006.</t>
  </si>
  <si>
    <t>2019-05-25</t>
  </si>
  <si>
    <t>796335345:eng</t>
  </si>
  <si>
    <t>61758657</t>
  </si>
  <si>
    <t>ocm61758657</t>
  </si>
  <si>
    <t>31025792666</t>
  </si>
  <si>
    <t>9780805852103</t>
  </si>
  <si>
    <t>794098138</t>
  </si>
  <si>
    <t>QA141 C66 2016</t>
  </si>
  <si>
    <t>0                      QA 0141000C  66          2016</t>
  </si>
  <si>
    <t>Living by numbers.</t>
  </si>
  <si>
    <t>Connor, Steven.</t>
  </si>
  <si>
    <t>Reaktion Books, 2016.</t>
  </si>
  <si>
    <t>3805354053:eng</t>
  </si>
  <si>
    <t>956969458</t>
  </si>
  <si>
    <t>ocn956969458</t>
  </si>
  <si>
    <t>3103657203U</t>
  </si>
  <si>
    <t>9781780236469</t>
  </si>
  <si>
    <t>795020559</t>
  </si>
  <si>
    <t>QA141 D44 1997</t>
  </si>
  <si>
    <t>0                      QA 0141000D  44          1997</t>
  </si>
  <si>
    <t>The number sense : how the mind creates mathematics / Stanislas Dehaene.</t>
  </si>
  <si>
    <t>Dehaene, Stanislas.</t>
  </si>
  <si>
    <t>2017-06-02</t>
  </si>
  <si>
    <t>9350122065:eng</t>
  </si>
  <si>
    <t>36159480</t>
  </si>
  <si>
    <t>ocm36159480</t>
  </si>
  <si>
    <t>3101826989S</t>
  </si>
  <si>
    <t>9780195110043</t>
  </si>
  <si>
    <t>793467837</t>
  </si>
  <si>
    <t>QA141 F74 2014</t>
  </si>
  <si>
    <t>0                      QA 0141000F  74          2014</t>
  </si>
  <si>
    <t>Numericon / Marianne Freiberger and Rachel Thomas.</t>
  </si>
  <si>
    <t>Freiberger, Marianne, author.</t>
  </si>
  <si>
    <t>London : Quercus, 2014.</t>
  </si>
  <si>
    <t>2082585893:eng</t>
  </si>
  <si>
    <t>890007987</t>
  </si>
  <si>
    <t>ocn890007987</t>
  </si>
  <si>
    <t>3103533664V</t>
  </si>
  <si>
    <t>9781782061540</t>
  </si>
  <si>
    <t>794978771</t>
  </si>
  <si>
    <t>QA141.15 D478 2010</t>
  </si>
  <si>
    <t>0                      QA 0141150D  478         2010</t>
  </si>
  <si>
    <t>Developing essential understanding of number and numeration for teaching mathematics in prekindergarten--grade 2 / Barbara J. Dougherty [and others] ; Barbara J. Dougherty, volume editor ; Rose Mary Zbiek, series editor.</t>
  </si>
  <si>
    <t>398947969:eng</t>
  </si>
  <si>
    <t>526812672</t>
  </si>
  <si>
    <t>ocn526812672</t>
  </si>
  <si>
    <t>31032364538</t>
  </si>
  <si>
    <t>9780873536295</t>
  </si>
  <si>
    <t>794809263</t>
  </si>
  <si>
    <t>QA141.15 S66 1996</t>
  </si>
  <si>
    <t>0                      QA 0141150S  66          1996</t>
  </si>
  <si>
    <t>Children's numbers / Catherine Sophian.</t>
  </si>
  <si>
    <t>Sophian, Catherine.</t>
  </si>
  <si>
    <t>Boulder, Colo. : Westview Press, 1996.</t>
  </si>
  <si>
    <t>33583717:eng</t>
  </si>
  <si>
    <t>34077198</t>
  </si>
  <si>
    <t>ocm34077198</t>
  </si>
  <si>
    <t>31017006424</t>
  </si>
  <si>
    <t>9780813330457</t>
  </si>
  <si>
    <t>793417965</t>
  </si>
  <si>
    <t>QA141.2 M4513</t>
  </si>
  <si>
    <t>0                      QA 0141200M  4513</t>
  </si>
  <si>
    <t>Number words and number symbols : a cultural history of numbers / Karl Menninger ; translated by Paul Broneer from the rev. German ed.</t>
  </si>
  <si>
    <t>Menninger, Karl, 1898-</t>
  </si>
  <si>
    <t>Cambridge, Mass. : M.I.T. Press, ©1969.</t>
  </si>
  <si>
    <t>2013-11-07</t>
  </si>
  <si>
    <t>3901260302:eng</t>
  </si>
  <si>
    <t>21420</t>
  </si>
  <si>
    <t>ocm00021420</t>
  </si>
  <si>
    <t>3000351689Q</t>
  </si>
  <si>
    <t>9780262130400</t>
  </si>
  <si>
    <t>791230885</t>
  </si>
  <si>
    <t>2001-02-05</t>
  </si>
  <si>
    <t>3102964332A</t>
  </si>
  <si>
    <t>791230887</t>
  </si>
  <si>
    <t>QA141.2 S53</t>
  </si>
  <si>
    <t>0                      QA 0141200S  53</t>
  </si>
  <si>
    <t>How did numbers begin? / Mindel and Harry Sitomer ; illustrated by Richard Cuffari.</t>
  </si>
  <si>
    <t>Sitomer, Mindel.</t>
  </si>
  <si>
    <t>New York : Crowell, ©1976.</t>
  </si>
  <si>
    <t>Young math books</t>
  </si>
  <si>
    <t>4494882374:eng</t>
  </si>
  <si>
    <t>1339624</t>
  </si>
  <si>
    <t>ocm01339624</t>
  </si>
  <si>
    <t>30009856801</t>
  </si>
  <si>
    <t>9780690007947</t>
  </si>
  <si>
    <t>791604212</t>
  </si>
  <si>
    <t>QA152 W4855</t>
  </si>
  <si>
    <t>0                      QA 0152000W  4855</t>
  </si>
  <si>
    <t>Elements of algebra / by Wooster Woodruff Beman and David Eugene Smith.</t>
  </si>
  <si>
    <t>Beman, Wooster Woodruff, 1850-1922.</t>
  </si>
  <si>
    <t>Boston : Ginn, 1901.</t>
  </si>
  <si>
    <t>2016-05-22</t>
  </si>
  <si>
    <t>2851593:eng</t>
  </si>
  <si>
    <t>9490280</t>
  </si>
  <si>
    <t>ocm09490280</t>
  </si>
  <si>
    <t>3000688597V</t>
  </si>
  <si>
    <t>792678810</t>
  </si>
  <si>
    <t>QA152 W5</t>
  </si>
  <si>
    <t>0                      QA 0152000W  5</t>
  </si>
  <si>
    <t>Elementary algebra, by G.A. Wentworth.</t>
  </si>
  <si>
    <t>Wentworth, G. A. (George Albert), 1835-1906.</t>
  </si>
  <si>
    <t>Boston, Ginn [©1906]</t>
  </si>
  <si>
    <t>1932177:eng</t>
  </si>
  <si>
    <t>1010815</t>
  </si>
  <si>
    <t>ocm01010815</t>
  </si>
  <si>
    <t>3103601338U</t>
  </si>
  <si>
    <t>791524417</t>
  </si>
  <si>
    <t>QA152 Y862</t>
  </si>
  <si>
    <t>0                      QA 0152000Y  862</t>
  </si>
  <si>
    <t>A high school algebra, by J.W.A. Young ... and Lambert L. Jackson ...</t>
  </si>
  <si>
    <t>Young, J. W. A. (Jacob William Albert), 1865-1948.</t>
  </si>
  <si>
    <t>New York, Chicago, D. Appleton and Company [©1913]</t>
  </si>
  <si>
    <t>Twentieth century text-books</t>
  </si>
  <si>
    <t>12994371:eng</t>
  </si>
  <si>
    <t>32716750</t>
  </si>
  <si>
    <t>ocm32716750</t>
  </si>
  <si>
    <t>3000689095D</t>
  </si>
  <si>
    <t>793392533</t>
  </si>
  <si>
    <t>QA152.3 K47 2012</t>
  </si>
  <si>
    <t>0                      QA 0152300K  47          2012</t>
  </si>
  <si>
    <t>Math remediation for the college bound : how teachers can close the gap, from the basics through algebra / Daryao S. Khatri and Anne O. Hughes.</t>
  </si>
  <si>
    <t>Khatri, Daryao S., 1945-</t>
  </si>
  <si>
    <t>Lanham, Md. : Rowman &amp; Littlefield Education, ©2012.</t>
  </si>
  <si>
    <t>2012-12-18</t>
  </si>
  <si>
    <t>1364351527:eng</t>
  </si>
  <si>
    <t>698327964</t>
  </si>
  <si>
    <t>ocn698327964</t>
  </si>
  <si>
    <t>3103428854I</t>
  </si>
  <si>
    <t>9781610483667</t>
  </si>
  <si>
    <t>794860814</t>
  </si>
  <si>
    <t>QA152.3 L375 2010</t>
  </si>
  <si>
    <t>0                      QA 0152300L  375         2010</t>
  </si>
  <si>
    <t>Elementary and intermediate algebra.</t>
  </si>
  <si>
    <t>Larson, Ron, 1941-</t>
  </si>
  <si>
    <t>Belmont, Calif. ; [Abingdon] : Brooks/Cole CENGAGE Learning, ©2010.</t>
  </si>
  <si>
    <t>5th ed. / Ron Larson with the assistance of Kimberly Nolting.</t>
  </si>
  <si>
    <t>2018-09-19</t>
  </si>
  <si>
    <t>3855515914:eng</t>
  </si>
  <si>
    <t>317746845</t>
  </si>
  <si>
    <t>ocn317746845</t>
  </si>
  <si>
    <t>31034667519</t>
  </si>
  <si>
    <t>9780547102160</t>
  </si>
  <si>
    <t>794461281</t>
  </si>
  <si>
    <t>31030950546</t>
  </si>
  <si>
    <t>794461280</t>
  </si>
  <si>
    <t>QA152.3 L3752 2013</t>
  </si>
  <si>
    <t>0                      QA 0152300L  3752        2013</t>
  </si>
  <si>
    <t>Foundations of mathematics / Ron Larsen ; [selections by] Hang Lau.</t>
  </si>
  <si>
    <t>Toronto, Ont. : Nelson Education, ©2013.</t>
  </si>
  <si>
    <t>Custom ed. McGill University.</t>
  </si>
  <si>
    <t>2018-04-28</t>
  </si>
  <si>
    <t>1109211449:eng</t>
  </si>
  <si>
    <t>793804664</t>
  </si>
  <si>
    <t>ocn793804664</t>
  </si>
  <si>
    <t>3103634818K</t>
  </si>
  <si>
    <t>9780176650889</t>
  </si>
  <si>
    <t>794918707</t>
  </si>
  <si>
    <t>31037060673</t>
  </si>
  <si>
    <t>794918708</t>
  </si>
  <si>
    <t>3103613704F</t>
  </si>
  <si>
    <t>794918709</t>
  </si>
  <si>
    <t>QA152.3 L3752 2016b</t>
  </si>
  <si>
    <t>0                      QA 0152300L  3752        2016b</t>
  </si>
  <si>
    <t>Student solutions manual to accompany Foundations of mathematics / Hang Lau.</t>
  </si>
  <si>
    <t>Toronto, Ont.ario : Nelson Education, ©2016.</t>
  </si>
  <si>
    <t>2nd custom ed.</t>
  </si>
  <si>
    <t>2019-12-06</t>
  </si>
  <si>
    <t>8913398318:eng</t>
  </si>
  <si>
    <t>932067876</t>
  </si>
  <si>
    <t>ocn932067876</t>
  </si>
  <si>
    <t>31036343191</t>
  </si>
  <si>
    <t>9780176764708</t>
  </si>
  <si>
    <t>795008232</t>
  </si>
  <si>
    <t>31036343248</t>
  </si>
  <si>
    <t>795008231</t>
  </si>
  <si>
    <t>3103701405Y</t>
  </si>
  <si>
    <t>795008230</t>
  </si>
  <si>
    <t>3103508216B</t>
  </si>
  <si>
    <t>795008229</t>
  </si>
  <si>
    <t>QA152.3 L3753 2016</t>
  </si>
  <si>
    <t>0                      QA 0152300L  3753        2016</t>
  </si>
  <si>
    <t>Foundations of mathematics / Hang Lau.</t>
  </si>
  <si>
    <t>934439978</t>
  </si>
  <si>
    <t>ocn934439978</t>
  </si>
  <si>
    <t>3103657950U</t>
  </si>
  <si>
    <t>9780176743574</t>
  </si>
  <si>
    <t>795009599</t>
  </si>
  <si>
    <t>31037014007</t>
  </si>
  <si>
    <t>795009600</t>
  </si>
  <si>
    <t>3103701438J</t>
  </si>
  <si>
    <t>795009601</t>
  </si>
  <si>
    <t>3103701395B</t>
  </si>
  <si>
    <t>795009598</t>
  </si>
  <si>
    <t>QA152.3 S7372 2012</t>
  </si>
  <si>
    <t>0                      QA 0152300S  7372        2012</t>
  </si>
  <si>
    <t>College algebra and functions / Hang Lau.</t>
  </si>
  <si>
    <t>Toronto, Ontario : Nelson Education, 2012.</t>
  </si>
  <si>
    <t>Custon edition for McGill University.</t>
  </si>
  <si>
    <t>5432025110:eng</t>
  </si>
  <si>
    <t>1051223477</t>
  </si>
  <si>
    <t>on1051223477</t>
  </si>
  <si>
    <t>3103404287J</t>
  </si>
  <si>
    <t>9780176636715</t>
  </si>
  <si>
    <t>795061735</t>
  </si>
  <si>
    <t>3103336797M</t>
  </si>
  <si>
    <t>795061734</t>
  </si>
  <si>
    <t>QA152.3 S7373 2012</t>
  </si>
  <si>
    <t>0                      QA 0152300S  7373        2012</t>
  </si>
  <si>
    <t>Student solutions manual algebra &amp; trigonometry, third edition, James Stewart, Lothar Redlin, Saleem Watson / prepared by Andrew Bulman-Fleming.</t>
  </si>
  <si>
    <t>Bulman-Fleming, Andy.</t>
  </si>
  <si>
    <t>Belmont, CA : Thomson/Brooks/Cole, ©2012.</t>
  </si>
  <si>
    <t>2016-09-02</t>
  </si>
  <si>
    <t>2017-02-20</t>
  </si>
  <si>
    <t>1012470628:eng</t>
  </si>
  <si>
    <t>754085058</t>
  </si>
  <si>
    <t>ocn754085058</t>
  </si>
  <si>
    <t>31033368020</t>
  </si>
  <si>
    <t>9780840069238</t>
  </si>
  <si>
    <t>794892452</t>
  </si>
  <si>
    <t>31034783950</t>
  </si>
  <si>
    <t>794892454</t>
  </si>
  <si>
    <t>QA154 R59 1965</t>
  </si>
  <si>
    <t>0                      QA 0154000R  59          1965</t>
  </si>
  <si>
    <t>Numbers and ideals: an introduction to some basic concepts of algebra and number theory.</t>
  </si>
  <si>
    <t>Robinson, Abraham, 1918-1974.</t>
  </si>
  <si>
    <t>San Francisco, Holden-Day, 1965.</t>
  </si>
  <si>
    <t>2018-05-24</t>
  </si>
  <si>
    <t>820830890:eng</t>
  </si>
  <si>
    <t>713413</t>
  </si>
  <si>
    <t>ocm00713413</t>
  </si>
  <si>
    <t>3103099649B</t>
  </si>
  <si>
    <t>791453272</t>
  </si>
  <si>
    <t>QA157 P778 2000</t>
  </si>
  <si>
    <t>0                      QA 0157000P  778         2000</t>
  </si>
  <si>
    <t>Making algebra come alive! : student activities &amp; teacher notes / Alfred S. Posamentier.</t>
  </si>
  <si>
    <t>Thousand Oaks, Calif. : Corwin Press, ©2000.</t>
  </si>
  <si>
    <t>Math assessment series</t>
  </si>
  <si>
    <t>3740837002:eng</t>
  </si>
  <si>
    <t>44883566</t>
  </si>
  <si>
    <t>ocm44883566</t>
  </si>
  <si>
    <t>3102086808X</t>
  </si>
  <si>
    <t>9780761975960</t>
  </si>
  <si>
    <t>793659796</t>
  </si>
  <si>
    <t>QA162 D85 2004</t>
  </si>
  <si>
    <t>0                      QA 0162000D  85          2004</t>
  </si>
  <si>
    <t>Abstract algebra / David S. Dummit, University of Vermont, Richard M. Foote, University of Vermont.</t>
  </si>
  <si>
    <t>Dummit, David Steven, author.</t>
  </si>
  <si>
    <t>Hoboken, NJ : John Wiley &amp; Sons, Inc., [2004]</t>
  </si>
  <si>
    <t>2019-12-12</t>
  </si>
  <si>
    <t>703587:eng</t>
  </si>
  <si>
    <t>52559229</t>
  </si>
  <si>
    <t>ocm52559229</t>
  </si>
  <si>
    <t>3103545909L</t>
  </si>
  <si>
    <t>9780471433347</t>
  </si>
  <si>
    <t>793809711</t>
  </si>
  <si>
    <t>3103388970O</t>
  </si>
  <si>
    <t>793809710</t>
  </si>
  <si>
    <t>3103347911N</t>
  </si>
  <si>
    <t>793809709</t>
  </si>
  <si>
    <t>QA166 G53 1985</t>
  </si>
  <si>
    <t>0                      QA 0166000G  53          1985</t>
  </si>
  <si>
    <t>Algorithmic graph theory / Alan Gibbons.</t>
  </si>
  <si>
    <t>Gibbons, Alan (Alan M.)</t>
  </si>
  <si>
    <t>Cambridge [Cambridgeshire] ; New York : Cambridge University Press, 1985.</t>
  </si>
  <si>
    <t>138554643:eng</t>
  </si>
  <si>
    <t>11316168</t>
  </si>
  <si>
    <t>ocm11316168</t>
  </si>
  <si>
    <t>31031486251</t>
  </si>
  <si>
    <t>9780521246590</t>
  </si>
  <si>
    <t>792768307</t>
  </si>
  <si>
    <t>QA166 W37 2004</t>
  </si>
  <si>
    <t>0                      QA 0166000W  37          2004</t>
  </si>
  <si>
    <t>Six degrees : the science of a connected age / Duncan J. Watts.</t>
  </si>
  <si>
    <t>Watts, Duncan J., 1971-</t>
  </si>
  <si>
    <t>New York : W.W. Norton, 2004, ©2003.</t>
  </si>
  <si>
    <t>1st Norton pbk. ed.</t>
  </si>
  <si>
    <t>690673:eng</t>
  </si>
  <si>
    <t>55472617</t>
  </si>
  <si>
    <t>ocm55472617</t>
  </si>
  <si>
    <t>3103687606R</t>
  </si>
  <si>
    <t>9780393325423</t>
  </si>
  <si>
    <t>793876662</t>
  </si>
  <si>
    <t>QA171 M5</t>
  </si>
  <si>
    <t>0                      QA 0171000M  5</t>
  </si>
  <si>
    <t>Theory and applications of finite groups, by G.A. Miller ... H.F. Blichfeldt ... [and] L.E. Dickson ...</t>
  </si>
  <si>
    <t>Miller, G. A. (George Abram), 1863-1951.</t>
  </si>
  <si>
    <t>New York, John Wiley &amp; Sons, Inc. 1916.</t>
  </si>
  <si>
    <t>1st ed., 1st thousand.</t>
  </si>
  <si>
    <t>2015-08-24</t>
  </si>
  <si>
    <t>2207007:eng</t>
  </si>
  <si>
    <t>1475947</t>
  </si>
  <si>
    <t>ocm01475947</t>
  </si>
  <si>
    <t>30006910131</t>
  </si>
  <si>
    <t>791641634</t>
  </si>
  <si>
    <t>QA181 B56 2011</t>
  </si>
  <si>
    <t>0                      QA 0181000B  56          2011</t>
  </si>
  <si>
    <t>Blogging as change : transforming science &amp; math education through new media literacies / edited by April Luehmann &amp; Raffaella borasi.</t>
  </si>
  <si>
    <t>New York : Peter Lang, ©2011.</t>
  </si>
  <si>
    <t>New literacies and digital epistemologies ; v. 41</t>
  </si>
  <si>
    <t>984170415:eng</t>
  </si>
  <si>
    <t>707023063</t>
  </si>
  <si>
    <t>ocn707023063</t>
  </si>
  <si>
    <t>31033848638</t>
  </si>
  <si>
    <t>9781433105593</t>
  </si>
  <si>
    <t>794867366</t>
  </si>
  <si>
    <t>QA184 G4413 1963</t>
  </si>
  <si>
    <t>0                      QA 0184000G  4413        1963</t>
  </si>
  <si>
    <t>Lectures on linear algebra / I.M. Gelʹfand ; translated from the revised second Russian edition by A. Shenitzer.</t>
  </si>
  <si>
    <t>Gelʹfand, I. M. (Izrailʹ Moiseevich)</t>
  </si>
  <si>
    <t>Huntington, N.Y. : [publisher not identified], [1963, ©1961]</t>
  </si>
  <si>
    <t>Interscience tracts in pure and applied mathematics ; no. 9</t>
  </si>
  <si>
    <t>115858792:eng</t>
  </si>
  <si>
    <t>427506467</t>
  </si>
  <si>
    <t>ocn427506467</t>
  </si>
  <si>
    <t>3000699539Y</t>
  </si>
  <si>
    <t>9780882755946</t>
  </si>
  <si>
    <t>794670398</t>
  </si>
  <si>
    <t>QA184 K67 1980</t>
  </si>
  <si>
    <t>0                      QA 0184000K  67          1980</t>
  </si>
  <si>
    <t>Introductory linear algebra, with applications / Bernard Kolman.</t>
  </si>
  <si>
    <t>Kolman, Bernard, 1932-</t>
  </si>
  <si>
    <t>New York : Macmillan, ©1980.</t>
  </si>
  <si>
    <t>4197268:eng</t>
  </si>
  <si>
    <t>4804271</t>
  </si>
  <si>
    <t>ocm04804271</t>
  </si>
  <si>
    <t>3000145983Q</t>
  </si>
  <si>
    <t>9780023659706</t>
  </si>
  <si>
    <t>792384575</t>
  </si>
  <si>
    <t>QA184 N52 2003</t>
  </si>
  <si>
    <t>0                      QA 0184000N  52          2003</t>
  </si>
  <si>
    <t>Elementary linear algebra / W. Keith Nicholson.</t>
  </si>
  <si>
    <t>Nicholson, W. Keith.</t>
  </si>
  <si>
    <t>Toronto ; New York : McGraw-Hill Ryerson, ©2004.</t>
  </si>
  <si>
    <t>2019-11-29</t>
  </si>
  <si>
    <t>5090427781:eng</t>
  </si>
  <si>
    <t>50495823</t>
  </si>
  <si>
    <t>ocm50495823</t>
  </si>
  <si>
    <t>3103758910U</t>
  </si>
  <si>
    <t>9780070911420</t>
  </si>
  <si>
    <t>793766193</t>
  </si>
  <si>
    <t>3103347892A</t>
  </si>
  <si>
    <t>793766190</t>
  </si>
  <si>
    <t>3103559895M</t>
  </si>
  <si>
    <t>793766189</t>
  </si>
  <si>
    <t>3103545152Z</t>
  </si>
  <si>
    <t>793766192</t>
  </si>
  <si>
    <t>3103560494S</t>
  </si>
  <si>
    <t>793766191</t>
  </si>
  <si>
    <t>QA184 S78 2016</t>
  </si>
  <si>
    <t>0                      QA 0184000S  78          2016</t>
  </si>
  <si>
    <t>Introduction to linear algebra / Gilbert Strang.</t>
  </si>
  <si>
    <t>Strang, Gilbert, author.</t>
  </si>
  <si>
    <t>Wellesley, MA : Cambridge Press, [2016]</t>
  </si>
  <si>
    <t>745035:eng</t>
  </si>
  <si>
    <t>956503593</t>
  </si>
  <si>
    <t>ocn956503593</t>
  </si>
  <si>
    <t>3103723827N</t>
  </si>
  <si>
    <t>9780980232776</t>
  </si>
  <si>
    <t>795020161</t>
  </si>
  <si>
    <t>QA184.2 L53 2018</t>
  </si>
  <si>
    <t>0                      QA 0184200L  53          2018</t>
  </si>
  <si>
    <t>Linear algebra / Seymour Lipschutz, PhD (Temple University), Marc Lars Lipson, PhD (University of Virginia).</t>
  </si>
  <si>
    <t>Lipschutz, Seymour, author.</t>
  </si>
  <si>
    <t>New York : McGraw-Hill Education, [2018]</t>
  </si>
  <si>
    <t>Schaum's outline series</t>
  </si>
  <si>
    <t>4928420034:eng</t>
  </si>
  <si>
    <t>1011218203</t>
  </si>
  <si>
    <t>on1011218203</t>
  </si>
  <si>
    <t>3103768391M</t>
  </si>
  <si>
    <t>9781260011449</t>
  </si>
  <si>
    <t>795045467</t>
  </si>
  <si>
    <t>2020-01-03</t>
  </si>
  <si>
    <t>3103768396C</t>
  </si>
  <si>
    <t>795045465</t>
  </si>
  <si>
    <t>31037684018</t>
  </si>
  <si>
    <t>795045469</t>
  </si>
  <si>
    <t>3103768386F</t>
  </si>
  <si>
    <t>795045466</t>
  </si>
  <si>
    <t>3103768381P</t>
  </si>
  <si>
    <t>795045468</t>
  </si>
  <si>
    <t>QA184.2 P66 2003</t>
  </si>
  <si>
    <t>0                      QA 0184200P  66          2003</t>
  </si>
  <si>
    <t>Linear algebra : a modern introduction / David Poole.</t>
  </si>
  <si>
    <t>Poole, David, 1955-</t>
  </si>
  <si>
    <t>Australia ; Pacific Grove, CA : Brooks/Cole-Thomson Learning, ©2003.</t>
  </si>
  <si>
    <t>4915138819:eng</t>
  </si>
  <si>
    <t>48449487</t>
  </si>
  <si>
    <t>ocm48449487</t>
  </si>
  <si>
    <t>31026772706</t>
  </si>
  <si>
    <t>9780534341749</t>
  </si>
  <si>
    <t>793721287</t>
  </si>
  <si>
    <t>QA188 G649 2010</t>
  </si>
  <si>
    <t>0                      QA 0188000G  649         2010</t>
  </si>
  <si>
    <t>Matrices, moments, and quadrature with applications / Gene H. Golub and Gérard Meurant.</t>
  </si>
  <si>
    <t>Golub, Gene H. (Gene Howard), 1932-2007.</t>
  </si>
  <si>
    <t>Princeton, N.J. : Princeton University Press, ©2010.</t>
  </si>
  <si>
    <t>Princeton series in applied mathematics</t>
  </si>
  <si>
    <t>345514442:eng</t>
  </si>
  <si>
    <t>461270987</t>
  </si>
  <si>
    <t>ocn461270987</t>
  </si>
  <si>
    <t>3103157836T</t>
  </si>
  <si>
    <t>9780691143415</t>
  </si>
  <si>
    <t>794791393</t>
  </si>
  <si>
    <t>QA188 N35 1984</t>
  </si>
  <si>
    <t>0                      QA 0188000N  35          1984</t>
  </si>
  <si>
    <t>Matrix algebra : an introduction / Krishnan Namboodiri.</t>
  </si>
  <si>
    <t>Namboodiri, Narayanan Krishnan, 1929-</t>
  </si>
  <si>
    <t>Newbury Park : Sage Publications, ©1984.</t>
  </si>
  <si>
    <t>Sage University papers</t>
  </si>
  <si>
    <t>799790803:eng</t>
  </si>
  <si>
    <t>300448045</t>
  </si>
  <si>
    <t>ocn300448045</t>
  </si>
  <si>
    <t>31030945211</t>
  </si>
  <si>
    <t>9780803920521</t>
  </si>
  <si>
    <t>794431562</t>
  </si>
  <si>
    <t>QA188 S4 2006</t>
  </si>
  <si>
    <t>0                      QA 0188000S  4           2006</t>
  </si>
  <si>
    <t>Matrix algebra useful for statistics / Shayle R. Searle.</t>
  </si>
  <si>
    <t>Searle, S. R. (Shayle R.), 1928-</t>
  </si>
  <si>
    <t>Hoboken, N.J. : Wiley-Interscience, ©2006.</t>
  </si>
  <si>
    <t>Wiley series in probability and mathematical statistics.</t>
  </si>
  <si>
    <t>490315:eng</t>
  </si>
  <si>
    <t>70232417</t>
  </si>
  <si>
    <t>ocm70232417</t>
  </si>
  <si>
    <t>3103316163J</t>
  </si>
  <si>
    <t>9780470009611</t>
  </si>
  <si>
    <t>794151334</t>
  </si>
  <si>
    <t>QA241 D52</t>
  </si>
  <si>
    <t>0                      QA 0241000D  52</t>
  </si>
  <si>
    <t>History of the theory of numbers ... by Leonard Eugene Dickson ...</t>
  </si>
  <si>
    <t>Dickson, Leonard E. (Leonard Eugene), 1874-1954.</t>
  </si>
  <si>
    <t>Washington, Carnegie Institution of Washington, 1919-1923.</t>
  </si>
  <si>
    <t>1919</t>
  </si>
  <si>
    <t>Carnegie Institution of Washington publication no. 256, vol. I-III</t>
  </si>
  <si>
    <t>5585108315:eng</t>
  </si>
  <si>
    <t>2659317</t>
  </si>
  <si>
    <t>ocm02659317</t>
  </si>
  <si>
    <t>3102680179W</t>
  </si>
  <si>
    <t>9780828400862</t>
  </si>
  <si>
    <t>792159248</t>
  </si>
  <si>
    <t>QA241 D54</t>
  </si>
  <si>
    <t>0                      QA 0241000D  54</t>
  </si>
  <si>
    <t>Modern elementary theory of numbers [by] Leonard Eugene Dickson ...</t>
  </si>
  <si>
    <t>Chicago, Ill., The University of Chicago Press [1939]</t>
  </si>
  <si>
    <t>862950909:eng</t>
  </si>
  <si>
    <t>2219815</t>
  </si>
  <si>
    <t>ocm02219815</t>
  </si>
  <si>
    <t>3000692639S</t>
  </si>
  <si>
    <t>792069234</t>
  </si>
  <si>
    <t>QA241 H28</t>
  </si>
  <si>
    <t>0                      QA 0241000H  28</t>
  </si>
  <si>
    <t>An introduction to the theory of numbers, by G.H. Hardy and E.M. Wright ...</t>
  </si>
  <si>
    <t>Hardy, G. H. (Godfrey Harold), 1877-1947, author.</t>
  </si>
  <si>
    <t>Oxford, Clarendon Press, 1938.</t>
  </si>
  <si>
    <t>2006-12-22</t>
  </si>
  <si>
    <t>416296:eng</t>
  </si>
  <si>
    <t>879664</t>
  </si>
  <si>
    <t>ocm00879664</t>
  </si>
  <si>
    <t>3000689155L</t>
  </si>
  <si>
    <t>791493474</t>
  </si>
  <si>
    <t>QA241 H28 1960</t>
  </si>
  <si>
    <t>0                      QA 0241000H  28          1960</t>
  </si>
  <si>
    <t>An introduction to the theory of numbers / by G.H. Hardy and E.M. Wright.</t>
  </si>
  <si>
    <t>Hardy, G. H. (Godfrey Harold), 1877-1947.</t>
  </si>
  <si>
    <t>Oxford : Clarendon Press, 1960.</t>
  </si>
  <si>
    <t>525455</t>
  </si>
  <si>
    <t>ocm00525455</t>
  </si>
  <si>
    <t>3102549412P</t>
  </si>
  <si>
    <t>791403495</t>
  </si>
  <si>
    <t>QA241 K668 1974</t>
  </si>
  <si>
    <t>0                      QA 0241000K  668         1974</t>
  </si>
  <si>
    <t>Surreal numbers : how two ex-students turned on to pure mathematics and found total happiness : a mathematical novelette / by D.E. Knuth.</t>
  </si>
  <si>
    <t>Knuth, Donald Ervin, 1938-</t>
  </si>
  <si>
    <t>Boston, Mass. : Addison-Wesley Pub. Co., [1974]</t>
  </si>
  <si>
    <t>416853:eng</t>
  </si>
  <si>
    <t>1194979</t>
  </si>
  <si>
    <t>ocm01194979</t>
  </si>
  <si>
    <t>3103668176X</t>
  </si>
  <si>
    <t>9780201038125</t>
  </si>
  <si>
    <t>791569891</t>
  </si>
  <si>
    <t>QA241 R34 1994</t>
  </si>
  <si>
    <t>0                      QA 0241000R  34          1994</t>
  </si>
  <si>
    <t>Real numbers, generalizations of the reals, and theories of continua / edited by Philip Ehrlich.</t>
  </si>
  <si>
    <t>Synthese library ; v. 242</t>
  </si>
  <si>
    <t>2019-06-06</t>
  </si>
  <si>
    <t>31364594:eng</t>
  </si>
  <si>
    <t>29564183</t>
  </si>
  <si>
    <t>ocm29564183</t>
  </si>
  <si>
    <t>31013170386</t>
  </si>
  <si>
    <t>9780792326892</t>
  </si>
  <si>
    <t>793314429</t>
  </si>
  <si>
    <t>QA241 S44</t>
  </si>
  <si>
    <t>0                      QA 0241000S  44</t>
  </si>
  <si>
    <t>Solved and unsolved problems in number theory.</t>
  </si>
  <si>
    <t>Shanks, Daniel, 1917-</t>
  </si>
  <si>
    <t>Washington, Spartan Books, 1962-</t>
  </si>
  <si>
    <t>1530866:eng</t>
  </si>
  <si>
    <t>525586</t>
  </si>
  <si>
    <t>ocm00525586</t>
  </si>
  <si>
    <t>3000699316H</t>
  </si>
  <si>
    <t>791403537</t>
  </si>
  <si>
    <t>QA244 G8</t>
  </si>
  <si>
    <t>0                      QA 0244000G  8</t>
  </si>
  <si>
    <t>Lectures on modular forms. Notes by Armand Brumer.</t>
  </si>
  <si>
    <t>Gunning, Robert C. (Robert Clifford), 1931-</t>
  </si>
  <si>
    <t>Princeton, N.J., Princeton University Press, 1962.</t>
  </si>
  <si>
    <t>Annals of mathematics studies, no. 48</t>
  </si>
  <si>
    <t>2013-02-08</t>
  </si>
  <si>
    <t>892645:eng</t>
  </si>
  <si>
    <t>527315</t>
  </si>
  <si>
    <t>ocm00527315</t>
  </si>
  <si>
    <t>3000699572$</t>
  </si>
  <si>
    <t>9780691079950</t>
  </si>
  <si>
    <t>791404093</t>
  </si>
  <si>
    <t>QA244 H3</t>
  </si>
  <si>
    <t>0                      QA 0244000H  3</t>
  </si>
  <si>
    <t>Foundations of the theory of algebraic numbers, by Harris Hancock ...</t>
  </si>
  <si>
    <t>Hancock, Harris, 1867-1944.</t>
  </si>
  <si>
    <t>New York, Macmillan Co., 1931-</t>
  </si>
  <si>
    <t>1653373:eng</t>
  </si>
  <si>
    <t>816003</t>
  </si>
  <si>
    <t>ocm00816003</t>
  </si>
  <si>
    <t>3100433725X</t>
  </si>
  <si>
    <t>791477027</t>
  </si>
  <si>
    <t>3000689154N</t>
  </si>
  <si>
    <t>791477028</t>
  </si>
  <si>
    <t>QA246 Z68 2012</t>
  </si>
  <si>
    <t>0                      QA 0246000Z  68          2012</t>
  </si>
  <si>
    <t>Luan sheng su shu dui shu deng de ji suan ji qi cai xiang de zheng ming = The calculation of twin primes etc and the proofs of the conjecture of them / Zhou Huanchun zhu.</t>
  </si>
  <si>
    <t>Zhou, Huanchun, author.</t>
  </si>
  <si>
    <t>Xianggang : Xianggang wen hui chu ban she, 2012.</t>
  </si>
  <si>
    <t>1778625150:chi</t>
  </si>
  <si>
    <t>838077438</t>
  </si>
  <si>
    <t>ocn838077438</t>
  </si>
  <si>
    <t>3103482400Y</t>
  </si>
  <si>
    <t>9789623746618</t>
  </si>
  <si>
    <t>794945252</t>
  </si>
  <si>
    <t>QA247 H37</t>
  </si>
  <si>
    <t>0                      QA 0247000H  37</t>
  </si>
  <si>
    <t>Über die Klassenzahl abelscher Zahlkörper.</t>
  </si>
  <si>
    <t>Hasse, Helmut, 1898-1979.</t>
  </si>
  <si>
    <t>Berlin, Akademie-Verlag, 1952.</t>
  </si>
  <si>
    <t>Mathematische Lehrbücher und Monographien. 2. Abt.: Mathematische Monographien, #v Bd. 1</t>
  </si>
  <si>
    <t>104751627:ger</t>
  </si>
  <si>
    <t>887931</t>
  </si>
  <si>
    <t>ocm00887931</t>
  </si>
  <si>
    <t>3000692737S</t>
  </si>
  <si>
    <t>791495251</t>
  </si>
  <si>
    <t>QA247 L32 1994</t>
  </si>
  <si>
    <t>0                      QA 0247000L  32          1994</t>
  </si>
  <si>
    <t>Algebraic number theory / Serge Lang.</t>
  </si>
  <si>
    <t>Lang, Serge, 1927-2005.</t>
  </si>
  <si>
    <t>New York : Springer-Verlag, ©1994.</t>
  </si>
  <si>
    <t>Graduate texts in mathematics ; 110</t>
  </si>
  <si>
    <t>2017-08-10</t>
  </si>
  <si>
    <t>143878054:eng</t>
  </si>
  <si>
    <t>29667945</t>
  </si>
  <si>
    <t>ocm29667945</t>
  </si>
  <si>
    <t>3101223520Q</t>
  </si>
  <si>
    <t>9780387942254</t>
  </si>
  <si>
    <t>793317554</t>
  </si>
  <si>
    <t>QA247.5 N57</t>
  </si>
  <si>
    <t>0                      QA 0247500N  57</t>
  </si>
  <si>
    <t>Irrational numbers.</t>
  </si>
  <si>
    <t>Niven, Ivan, 1915-1999.</t>
  </si>
  <si>
    <t>[Buffalo] Mathematical Association of America; distributed by J. Wiley [New York], [1956]</t>
  </si>
  <si>
    <t>Carus mathematical monographs ; no. 11</t>
  </si>
  <si>
    <t>5584427370:eng</t>
  </si>
  <si>
    <t>526977</t>
  </si>
  <si>
    <t>ocm00526977</t>
  </si>
  <si>
    <t>3000692838M</t>
  </si>
  <si>
    <t>9780883850114</t>
  </si>
  <si>
    <t>791403987</t>
  </si>
  <si>
    <t>QA248 B52</t>
  </si>
  <si>
    <t>0                      QA 0248000B  52</t>
  </si>
  <si>
    <t>Axiomatic set theory / Paul Bernays ; with a historical introduction by Abraham A. Fraenkel.</t>
  </si>
  <si>
    <t>Bernays, Paul, 1888-1977, author.</t>
  </si>
  <si>
    <t>Amsterdam : North-Holland Publishing Company, 1958.</t>
  </si>
  <si>
    <t>2015-11-24</t>
  </si>
  <si>
    <t>4917586179:eng</t>
  </si>
  <si>
    <t>339836</t>
  </si>
  <si>
    <t>ocm00339836</t>
  </si>
  <si>
    <t>30006926058</t>
  </si>
  <si>
    <t>791342925</t>
  </si>
  <si>
    <t>QA248 F74 1961</t>
  </si>
  <si>
    <t>0                      QA 0248000F  74          1961</t>
  </si>
  <si>
    <t>Abstract set theory.</t>
  </si>
  <si>
    <t>Fraenkel, Abraham Adolf, 1891-1965.</t>
  </si>
  <si>
    <t>Amsterdam, North-Holland Pub. Co., 1961.</t>
  </si>
  <si>
    <t>2d completely rev. ed.</t>
  </si>
  <si>
    <t>2018-06-15</t>
  </si>
  <si>
    <t>1524632:eng</t>
  </si>
  <si>
    <t>1887574</t>
  </si>
  <si>
    <t>ocm01887574</t>
  </si>
  <si>
    <t>31027406116</t>
  </si>
  <si>
    <t>792006232</t>
  </si>
  <si>
    <t>QA248 F75 1928</t>
  </si>
  <si>
    <t>0                      QA 0248000F  75          1928</t>
  </si>
  <si>
    <t>Einleitung in die mengenlehre / von dr. phil. Adolf Fraenkel.</t>
  </si>
  <si>
    <t>Berlin : J. Springer, 1928.</t>
  </si>
  <si>
    <t>3. umgearb. und stark erw. Aufl. ; mit 13 abbildungen.</t>
  </si>
  <si>
    <t>Die grundlehren der mathematischen wissenschaften ; Bd. 9</t>
  </si>
  <si>
    <t>8912684115:ger</t>
  </si>
  <si>
    <t>5281666</t>
  </si>
  <si>
    <t>ocm05281666</t>
  </si>
  <si>
    <t>31013405634</t>
  </si>
  <si>
    <t>792421872</t>
  </si>
  <si>
    <t>QA248 M274 1996</t>
  </si>
  <si>
    <t>0                      QA 0248000M  274         1996</t>
  </si>
  <si>
    <t>Set theory, logic, and their limitations / Moshé Machover.</t>
  </si>
  <si>
    <t>Machover, Moshé.</t>
  </si>
  <si>
    <t>2019-09-06</t>
  </si>
  <si>
    <t>38944490:eng</t>
  </si>
  <si>
    <t>33818819</t>
  </si>
  <si>
    <t>ocm33818819</t>
  </si>
  <si>
    <t>31025426600</t>
  </si>
  <si>
    <t>9780521479981</t>
  </si>
  <si>
    <t>793411790</t>
  </si>
  <si>
    <t>3103491811J</t>
  </si>
  <si>
    <t>793411791</t>
  </si>
  <si>
    <t>2019-07-08</t>
  </si>
  <si>
    <t>3103491806L</t>
  </si>
  <si>
    <t>793411789</t>
  </si>
  <si>
    <t>QA248 R63 2014</t>
  </si>
  <si>
    <t>0                      QA 0248000R  63          2014</t>
  </si>
  <si>
    <t>Axiomatic method and category theory / Andrei Rodin.</t>
  </si>
  <si>
    <t>Rodin, Andrei, author.</t>
  </si>
  <si>
    <t>Synthese Library ; volume 364</t>
  </si>
  <si>
    <t>9094206950:eng</t>
  </si>
  <si>
    <t>839397392</t>
  </si>
  <si>
    <t>ocn839397392</t>
  </si>
  <si>
    <t>3103533768S</t>
  </si>
  <si>
    <t>9783319004037</t>
  </si>
  <si>
    <t>794945679</t>
  </si>
  <si>
    <t>QA248 S5</t>
  </si>
  <si>
    <t>0                      QA 0248000S  5</t>
  </si>
  <si>
    <t>Introduction to general topology, by Waclaw Sierpiński ... translated by C. Cecilia Krieger.</t>
  </si>
  <si>
    <t>Sierpinski, Waclaw, 1882-1969, author.</t>
  </si>
  <si>
    <t>Toronto, The University of Toronto Press, 1934.</t>
  </si>
  <si>
    <t>1760354:eng</t>
  </si>
  <si>
    <t>588171</t>
  </si>
  <si>
    <t>ocm00588171</t>
  </si>
  <si>
    <t>30007035609</t>
  </si>
  <si>
    <t>791422283</t>
  </si>
  <si>
    <t>QA248 S92</t>
  </si>
  <si>
    <t>0                      QA 0248000S  92</t>
  </si>
  <si>
    <t>Axiomatic set theory.</t>
  </si>
  <si>
    <t>Suppes, Patrick, 1922-2014.</t>
  </si>
  <si>
    <t>Princeton, N.J., Van Nostrand [1960]</t>
  </si>
  <si>
    <t>The University series in undergraduate mathematics</t>
  </si>
  <si>
    <t>495284:eng</t>
  </si>
  <si>
    <t>523910</t>
  </si>
  <si>
    <t>ocm00523910</t>
  </si>
  <si>
    <t>3102740496X</t>
  </si>
  <si>
    <t>791403025</t>
  </si>
  <si>
    <t>QA248.5 D33 1965</t>
  </si>
  <si>
    <t>0                      QA 0248500D  33          1965</t>
  </si>
  <si>
    <t>The undecidable : basic papers on undecidable propositions, unsolvable problems and computable functions / edited by Martin Davis.</t>
  </si>
  <si>
    <t>Hewlett, N.Y. : Raven Press, [1965]</t>
  </si>
  <si>
    <t>308800137:eng</t>
  </si>
  <si>
    <t>232930</t>
  </si>
  <si>
    <t>ocm00232930</t>
  </si>
  <si>
    <t>3102593317R</t>
  </si>
  <si>
    <t>9780911216011</t>
  </si>
  <si>
    <t>791302823</t>
  </si>
  <si>
    <t>QA251 H67 1964</t>
  </si>
  <si>
    <t>0                      QA 0251000H  67          1964</t>
  </si>
  <si>
    <t>Linear algebra [by] Kenneth Hoffman [and] Ray Kunze.</t>
  </si>
  <si>
    <t>Hoffman, Kenneth.</t>
  </si>
  <si>
    <t>Englewood Cliffs, N.J. : Prentice-Hall, [1964, ©1961]</t>
  </si>
  <si>
    <t>Prentice-Hall mathematics series</t>
  </si>
  <si>
    <t>2019-09-17</t>
  </si>
  <si>
    <t>411423:eng</t>
  </si>
  <si>
    <t>427506551</t>
  </si>
  <si>
    <t>ocn427506551</t>
  </si>
  <si>
    <t>3000699619$</t>
  </si>
  <si>
    <t>9780135367971</t>
  </si>
  <si>
    <t>794670418</t>
  </si>
  <si>
    <t>QA251 S5</t>
  </si>
  <si>
    <t>0                      QA 0251000S  5</t>
  </si>
  <si>
    <t>Synopsis of linear associative algebra. A report on its natural development and results reached up to the present time, by James Byrnie Shaw.</t>
  </si>
  <si>
    <t>Washington, D.C., Carnegie Institution of Washington, 1907.</t>
  </si>
  <si>
    <t>1907</t>
  </si>
  <si>
    <t>Carnegie Institution of Washington publication no. 78</t>
  </si>
  <si>
    <t>2678756:eng</t>
  </si>
  <si>
    <t>2016780</t>
  </si>
  <si>
    <t>ocm02016780</t>
  </si>
  <si>
    <t>30008051470</t>
  </si>
  <si>
    <t>792029384</t>
  </si>
  <si>
    <t>QA251 W6</t>
  </si>
  <si>
    <t>0                      QA 0251000W  6</t>
  </si>
  <si>
    <t>A treatise on universal algebra, with applications. By Alfred North Whitehead ...</t>
  </si>
  <si>
    <t>Cambridge, University Press, 1898-</t>
  </si>
  <si>
    <t>50360928:eng</t>
  </si>
  <si>
    <t>1739101</t>
  </si>
  <si>
    <t>ocm01739101</t>
  </si>
  <si>
    <t>3000699924V</t>
  </si>
  <si>
    <t>791857432</t>
  </si>
  <si>
    <t>QA257 K3 1873</t>
  </si>
  <si>
    <t>0                      QA 0257000K  3           1873</t>
  </si>
  <si>
    <t>Introduction to quaternions, with numerous examples, by P. Kelland and P.G. Tait.</t>
  </si>
  <si>
    <t>Kelland, Philip, 1808-1879.</t>
  </si>
  <si>
    <t>London, Macmillan, 1873.</t>
  </si>
  <si>
    <t>1873</t>
  </si>
  <si>
    <t>2002194:eng</t>
  </si>
  <si>
    <t>1039048</t>
  </si>
  <si>
    <t>ocm01039048</t>
  </si>
  <si>
    <t>3000697694W</t>
  </si>
  <si>
    <t>791531289</t>
  </si>
  <si>
    <t>QA257 T3 1867</t>
  </si>
  <si>
    <t>0                      QA 0257000T  3           1867</t>
  </si>
  <si>
    <t>An elementary treatise on quaternions / by P.G. Tait.</t>
  </si>
  <si>
    <t>Tait, Peter Guthrie, 1831-1901.</t>
  </si>
  <si>
    <t>Oxford : Clarendon Press, 1867.</t>
  </si>
  <si>
    <t>1867</t>
  </si>
  <si>
    <t>Clarendon Press series</t>
  </si>
  <si>
    <t>2249597:eng</t>
  </si>
  <si>
    <t>3832313</t>
  </si>
  <si>
    <t>ocm03832313</t>
  </si>
  <si>
    <t>3103593757R</t>
  </si>
  <si>
    <t>792296560</t>
  </si>
  <si>
    <t>QA261 C6 1911</t>
  </si>
  <si>
    <t>0                      QA 0261000C  6           1911</t>
  </si>
  <si>
    <t>Vector analysis : an introduction to vector-methods and their various applications to physics and mathematics / by Joseph George Coffin.</t>
  </si>
  <si>
    <t>Coffin, Joseph George, 1877-</t>
  </si>
  <si>
    <t>New York : J. Wiley &amp; Sons, 1911.</t>
  </si>
  <si>
    <t>2d ed. 1st thousand.</t>
  </si>
  <si>
    <t>1971562:eng</t>
  </si>
  <si>
    <t>1029908</t>
  </si>
  <si>
    <t>ocm01029908</t>
  </si>
  <si>
    <t>3101109765M</t>
  </si>
  <si>
    <t>791528760</t>
  </si>
  <si>
    <t>QA261 H39</t>
  </si>
  <si>
    <t>0                      QA 0261000H  39</t>
  </si>
  <si>
    <t>Vector and tensor analysis.</t>
  </si>
  <si>
    <t>Hay, G. E. (George Edward), 1914-</t>
  </si>
  <si>
    <t>New York, Dover Publications [1953]</t>
  </si>
  <si>
    <t>1524775:eng</t>
  </si>
  <si>
    <t>523829</t>
  </si>
  <si>
    <t>ocm00523829</t>
  </si>
  <si>
    <t>3000498581H</t>
  </si>
  <si>
    <t>9780486601090</t>
  </si>
  <si>
    <t>791402986</t>
  </si>
  <si>
    <t>QA263 A9x</t>
  </si>
  <si>
    <t>0                      QA 0263000A  9x</t>
  </si>
  <si>
    <t>Schaum's outline of theory and problems of matrices / by Frank Ayres.</t>
  </si>
  <si>
    <t>Ayres, Frank, 1901-1994.</t>
  </si>
  <si>
    <t>New York : Schaum, 1962.</t>
  </si>
  <si>
    <t>2015-07-28</t>
  </si>
  <si>
    <t>2945970238:eng</t>
  </si>
  <si>
    <t>4791564</t>
  </si>
  <si>
    <t>ocm04791564</t>
  </si>
  <si>
    <t>31028781027</t>
  </si>
  <si>
    <t>792383601</t>
  </si>
  <si>
    <t>QA263 G67</t>
  </si>
  <si>
    <t>0                      QA 0263000G  67</t>
  </si>
  <si>
    <t>Introduction to matrices with applications in statistics [by] Franklin A. Graybill.</t>
  </si>
  <si>
    <t>Graybill, Franklin A.</t>
  </si>
  <si>
    <t>Belmont, Calif., Wadsworth Pub. Co. [1969]</t>
  </si>
  <si>
    <t>2001-01-10</t>
  </si>
  <si>
    <t>3855372215:eng</t>
  </si>
  <si>
    <t>12209</t>
  </si>
  <si>
    <t>ocm00012209</t>
  </si>
  <si>
    <t>31028781017</t>
  </si>
  <si>
    <t>791227957</t>
  </si>
  <si>
    <t>QA266 H32</t>
  </si>
  <si>
    <t>0                      QA 0266000H  32</t>
  </si>
  <si>
    <t>Lectures on Boolean algebras.</t>
  </si>
  <si>
    <t>Halmos, Paul R. (Paul Richard), 1916-2006.</t>
  </si>
  <si>
    <t>Princeton, N.J., Van Nostrand [1963]</t>
  </si>
  <si>
    <t>Van Nostrand mathematical studies, no. 1</t>
  </si>
  <si>
    <t>2015-05-05</t>
  </si>
  <si>
    <t>59199457:eng</t>
  </si>
  <si>
    <t>526290</t>
  </si>
  <si>
    <t>ocm00526290</t>
  </si>
  <si>
    <t>3101236470V</t>
  </si>
  <si>
    <t>9780442030650</t>
  </si>
  <si>
    <t>791403780</t>
  </si>
  <si>
    <t>QA266 M25</t>
  </si>
  <si>
    <t>0                      QA 0266000M  25</t>
  </si>
  <si>
    <t>An introduction to abstract algebra / by Cyrus Colton MacDuffee.</t>
  </si>
  <si>
    <t>MacDuffee, Cyrus Colton, 1895-</t>
  </si>
  <si>
    <t>New York : [publisher not identified], [1950]</t>
  </si>
  <si>
    <t>1530922:eng</t>
  </si>
  <si>
    <t>427850853</t>
  </si>
  <si>
    <t>ocn427850853</t>
  </si>
  <si>
    <t>3000548614E</t>
  </si>
  <si>
    <t>794702946</t>
  </si>
  <si>
    <t>QA266 T35</t>
  </si>
  <si>
    <t>0                      QA 0266000T  35</t>
  </si>
  <si>
    <t>Cardinal algebras. With an appendix: Cardinal products of isomorphism types, by Bjarni Jónsson and Alfred Tarski.</t>
  </si>
  <si>
    <t>Tarski, Alfred, 1901-1983.</t>
  </si>
  <si>
    <t>New York, Oxford University Press, 1949.</t>
  </si>
  <si>
    <t>5618479999:eng</t>
  </si>
  <si>
    <t>784730</t>
  </si>
  <si>
    <t>ocm00784730</t>
  </si>
  <si>
    <t>3000699884H</t>
  </si>
  <si>
    <t>791469359</t>
  </si>
  <si>
    <t>QA267 R46 2010</t>
  </si>
  <si>
    <t>0                      QA 0267000R  46          2010</t>
  </si>
  <si>
    <t>Applications of automata theory and algebra : via the mathematical theory of complexity to biology, physics, psychology, philosophy, and games / John Rhodes ; edited by Chrystopher L. Nehaniv ; foreword by Morris W. Hirsch.</t>
  </si>
  <si>
    <t>Rhodes, John L.</t>
  </si>
  <si>
    <t>Singapore ; Hackensack, NJ : World Scientific, ©2010.</t>
  </si>
  <si>
    <t>1107510797:eng</t>
  </si>
  <si>
    <t>290460960</t>
  </si>
  <si>
    <t>ocn290460960</t>
  </si>
  <si>
    <t>31031558096</t>
  </si>
  <si>
    <t>9789812836960</t>
  </si>
  <si>
    <t>794423242</t>
  </si>
  <si>
    <t>QA267 S56 2013</t>
  </si>
  <si>
    <t>0                      QA 0267000S  56          2013</t>
  </si>
  <si>
    <t>Introduction to the theory of computation / Michael Sipser.</t>
  </si>
  <si>
    <t>Sipser, Michael.</t>
  </si>
  <si>
    <t>Boston, MA : Cengage Learning, ©2013.</t>
  </si>
  <si>
    <t>361977:eng</t>
  </si>
  <si>
    <t>761858892</t>
  </si>
  <si>
    <t>ocn761858892</t>
  </si>
  <si>
    <t>3103200425G</t>
  </si>
  <si>
    <t>9781133187790</t>
  </si>
  <si>
    <t>794899734</t>
  </si>
  <si>
    <t>QA269 B47 1992</t>
  </si>
  <si>
    <t>0                      QA 0269000B  47          1992</t>
  </si>
  <si>
    <t>Fun and games : a text on game theory / Ken Binmore.</t>
  </si>
  <si>
    <t>Binmore, K. G., 1940-</t>
  </si>
  <si>
    <t>Lexington, Mass. : D.C. Heath, ©1992.</t>
  </si>
  <si>
    <t>2016-02-16</t>
  </si>
  <si>
    <t>28318843:eng</t>
  </si>
  <si>
    <t>25182877</t>
  </si>
  <si>
    <t>ocm25182877</t>
  </si>
  <si>
    <t>31019990688</t>
  </si>
  <si>
    <t>9780669246032</t>
  </si>
  <si>
    <t>793213828</t>
  </si>
  <si>
    <t>3102155283M</t>
  </si>
  <si>
    <t>793213827</t>
  </si>
  <si>
    <t>2011-04-29</t>
  </si>
  <si>
    <t>31020945553</t>
  </si>
  <si>
    <t>793213826</t>
  </si>
  <si>
    <t>QA269 B73 2005</t>
  </si>
  <si>
    <t>0                      QA 0269000B  73          2005</t>
  </si>
  <si>
    <t>Models in cooperative game theory : crisp, fuzzy, and multi-choice games / Rodica Brânzei, Dinko Dimitrov, Stef Tijs.</t>
  </si>
  <si>
    <t>Brânzei, Rodica, 1949-</t>
  </si>
  <si>
    <t>Berlin ; New York : Springer, ©2005.</t>
  </si>
  <si>
    <t>Lecture notes in economics and mathematical systems ; 556</t>
  </si>
  <si>
    <t>4922271898:eng</t>
  </si>
  <si>
    <t>61263489</t>
  </si>
  <si>
    <t>ocm61263489</t>
  </si>
  <si>
    <t>3102493922D</t>
  </si>
  <si>
    <t>9783540260820</t>
  </si>
  <si>
    <t>793950222</t>
  </si>
  <si>
    <t>QA269 B78 2010</t>
  </si>
  <si>
    <t>0                      QA 0269000B  78          2010</t>
  </si>
  <si>
    <t>Explaining games : the epistemic programme in game theory / by Boudewijn de Bruin.</t>
  </si>
  <si>
    <t>Bruin, Boudewijn Paul de.</t>
  </si>
  <si>
    <t>Dordrecht : Springer, cop. 2010.</t>
  </si>
  <si>
    <t>Synthese library, 0166-6991 ; vol. 346</t>
  </si>
  <si>
    <t>2014-05-28</t>
  </si>
  <si>
    <t>793949042:eng</t>
  </si>
  <si>
    <t>672238008</t>
  </si>
  <si>
    <t>ocn672238008</t>
  </si>
  <si>
    <t>3103303190U</t>
  </si>
  <si>
    <t>9781402099052</t>
  </si>
  <si>
    <t>794849421</t>
  </si>
  <si>
    <t>QA269 C59 1995</t>
  </si>
  <si>
    <t>0                      QA 0269000C  59          1995</t>
  </si>
  <si>
    <t>Game theory and its applications in the social and biological sciences / Andrew M. Colman.</t>
  </si>
  <si>
    <t>Colman, Andrew M.</t>
  </si>
  <si>
    <t>Oxford [England] ; Boston, Mass. : Butterworth-Heinemann, ©1995.</t>
  </si>
  <si>
    <t>International series in social psychology</t>
  </si>
  <si>
    <t>34204768:eng</t>
  </si>
  <si>
    <t>32508077</t>
  </si>
  <si>
    <t>ocm32508077</t>
  </si>
  <si>
    <t>3101441662R</t>
  </si>
  <si>
    <t>9780750623698</t>
  </si>
  <si>
    <t>793385850</t>
  </si>
  <si>
    <t>QA269 C69 2003</t>
  </si>
  <si>
    <t>0                      QA 0269000C  69          2003</t>
  </si>
  <si>
    <t>Evolutionary dynamics and extensive form games / Ross Cressman.</t>
  </si>
  <si>
    <t>Cressman, Ross.</t>
  </si>
  <si>
    <t>Economic learning and social evolution ; 5</t>
  </si>
  <si>
    <t>668623:eng</t>
  </si>
  <si>
    <t>52475592</t>
  </si>
  <si>
    <t>ocm52475592</t>
  </si>
  <si>
    <t>31022852206</t>
  </si>
  <si>
    <t>9780262033053</t>
  </si>
  <si>
    <t>793807334</t>
  </si>
  <si>
    <t>QA269 D38</t>
  </si>
  <si>
    <t>0                      QA 0269000D  38</t>
  </si>
  <si>
    <t>Game theory : a nontechnical introduction / Morton D. Davis ; with a foreword by Oskar Morgenstern.</t>
  </si>
  <si>
    <t>Davis, Morton D., 1930-</t>
  </si>
  <si>
    <t>New York : Basic Books, 1970.</t>
  </si>
  <si>
    <t>Science and discovery</t>
  </si>
  <si>
    <t>552176:eng</t>
  </si>
  <si>
    <t>68544</t>
  </si>
  <si>
    <t>ocm00068544</t>
  </si>
  <si>
    <t>30008221384</t>
  </si>
  <si>
    <t>9780465026265</t>
  </si>
  <si>
    <t>791245319</t>
  </si>
  <si>
    <t>QA269 D38 1983</t>
  </si>
  <si>
    <t>0                      QA 0269000D  38          1983</t>
  </si>
  <si>
    <t>Game theory : a nontechnical introduction / Morton D. Davis.</t>
  </si>
  <si>
    <t>Davis, Morton D., 1930- author.</t>
  </si>
  <si>
    <t>New York : Basic Books Inc., [1983]</t>
  </si>
  <si>
    <t>Revised edition.</t>
  </si>
  <si>
    <t>Harper colophon books ; CN5107</t>
  </si>
  <si>
    <t>2019-01-15</t>
  </si>
  <si>
    <t>9464888</t>
  </si>
  <si>
    <t>ocm09464888</t>
  </si>
  <si>
    <t>3100485946E</t>
  </si>
  <si>
    <t>9780465026289</t>
  </si>
  <si>
    <t>792677490</t>
  </si>
  <si>
    <t>2013-02-27</t>
  </si>
  <si>
    <t>31000269087</t>
  </si>
  <si>
    <t>792677488</t>
  </si>
  <si>
    <t>QA269 F83 1998</t>
  </si>
  <si>
    <t>0                      QA 0269000F  83          1998</t>
  </si>
  <si>
    <t>The theory of learning in games / Drew Fudenberg and David K. Levine.</t>
  </si>
  <si>
    <t>Fudenberg, Drew.</t>
  </si>
  <si>
    <t>MIT Press series on economic learning and social evolution ; 2</t>
  </si>
  <si>
    <t>603511:eng</t>
  </si>
  <si>
    <t>37579964</t>
  </si>
  <si>
    <t>ocm37579964</t>
  </si>
  <si>
    <t>31018923746</t>
  </si>
  <si>
    <t>9780262061940</t>
  </si>
  <si>
    <t>793502005</t>
  </si>
  <si>
    <t>QA269 G44 2006</t>
  </si>
  <si>
    <t>0                      QA 0269000G  44          2006</t>
  </si>
  <si>
    <t>Condorcet's paradox / William V. Gehrlein.</t>
  </si>
  <si>
    <t>Gehrlein, William V.</t>
  </si>
  <si>
    <t>Berlin : Springer-Verlag, ©2006.</t>
  </si>
  <si>
    <t>Theory and decision library. Series C, Game theory, mathematical programming, and operations research ; v. 40</t>
  </si>
  <si>
    <t>9837651736:eng</t>
  </si>
  <si>
    <t>70779142</t>
  </si>
  <si>
    <t>ocm70779142</t>
  </si>
  <si>
    <t>3102693865X</t>
  </si>
  <si>
    <t>9783540337980</t>
  </si>
  <si>
    <t>794159079</t>
  </si>
  <si>
    <t>QA269 G55 2010</t>
  </si>
  <si>
    <t>0                      QA 0269000G  55          2010</t>
  </si>
  <si>
    <t>The cooperative game theory of networks and hierarchies / Robert P. Gilles.</t>
  </si>
  <si>
    <t>Gilles, Robert P.</t>
  </si>
  <si>
    <t>Heidelberg : Springer, ©2010.</t>
  </si>
  <si>
    <t>Theory and decision library. Series C, Game theory, mathematical programming and operations research, 0924-6126 ; v. 44</t>
  </si>
  <si>
    <t>346871889:eng</t>
  </si>
  <si>
    <t>462920251</t>
  </si>
  <si>
    <t>ocn462920251</t>
  </si>
  <si>
    <t>3103438371O</t>
  </si>
  <si>
    <t>9783642052811</t>
  </si>
  <si>
    <t>794792161</t>
  </si>
  <si>
    <t>QA269 M457 1998</t>
  </si>
  <si>
    <t>0                      QA 0269000M  457         1998</t>
  </si>
  <si>
    <t>Moral calculations : game theory, logic, and human frailty / László Mérő ; translated by Anna C. Gösi-Greguss ; English version edited by David Kramer.</t>
  </si>
  <si>
    <t>Mérő, László.</t>
  </si>
  <si>
    <t>New York, NY : Copernicus, ©1998.</t>
  </si>
  <si>
    <t>324872237:eng</t>
  </si>
  <si>
    <t>38856213</t>
  </si>
  <si>
    <t>ocm38856213</t>
  </si>
  <si>
    <t>31018941744</t>
  </si>
  <si>
    <t>9780387984193</t>
  </si>
  <si>
    <t>793531500</t>
  </si>
  <si>
    <t>QA269 O78 2004</t>
  </si>
  <si>
    <t>0                      QA 0269000O  78          2004</t>
  </si>
  <si>
    <t>An introduction to game theory / Martin J. Osborne.</t>
  </si>
  <si>
    <t>Osborne, Martin J.</t>
  </si>
  <si>
    <t>New York : Oxford University Press, ©2004.</t>
  </si>
  <si>
    <t>26140:eng</t>
  </si>
  <si>
    <t>51769105</t>
  </si>
  <si>
    <t>ocm51769105</t>
  </si>
  <si>
    <t>3102629647H</t>
  </si>
  <si>
    <t>9780195128956</t>
  </si>
  <si>
    <t>793790698</t>
  </si>
  <si>
    <t>3103442081D</t>
  </si>
  <si>
    <t>793790697</t>
  </si>
  <si>
    <t>QA269 R37 1989</t>
  </si>
  <si>
    <t>0                      QA 0269000R  37          1989</t>
  </si>
  <si>
    <t>Games and information : an introduction to game theory / Eric Rasmusen.</t>
  </si>
  <si>
    <t>Rasmusen, Eric.</t>
  </si>
  <si>
    <t>Oxford, UK ; New York : Basil Blackwell, 1989.</t>
  </si>
  <si>
    <t>2015-02-11</t>
  </si>
  <si>
    <t>16954145:eng</t>
  </si>
  <si>
    <t>18136319</t>
  </si>
  <si>
    <t>ocm18136319</t>
  </si>
  <si>
    <t>3101575558E</t>
  </si>
  <si>
    <t>9780631157090</t>
  </si>
  <si>
    <t>793015120</t>
  </si>
  <si>
    <t>QA269 R37 2007</t>
  </si>
  <si>
    <t>0                      QA 0269000R  37          2007</t>
  </si>
  <si>
    <t>Malden, MA ; Oxford : Blackwell Pub., 2007.</t>
  </si>
  <si>
    <t>71312740</t>
  </si>
  <si>
    <t>ocm71312740</t>
  </si>
  <si>
    <t>31026594556</t>
  </si>
  <si>
    <t>9781405136662</t>
  </si>
  <si>
    <t>794165251</t>
  </si>
  <si>
    <t>2014-06-04</t>
  </si>
  <si>
    <t>3102837612E</t>
  </si>
  <si>
    <t>794165252</t>
  </si>
  <si>
    <t>QA269 R39 2007</t>
  </si>
  <si>
    <t>0                      QA 0269000R  39          2007</t>
  </si>
  <si>
    <t>A game-theoretic perspective on coalition formation / Debraj Ray.</t>
  </si>
  <si>
    <t>Ray, Debraj.</t>
  </si>
  <si>
    <t>Oxford ; New York : Oxford University Press, ©2007.</t>
  </si>
  <si>
    <t>The Lipsey lectures</t>
  </si>
  <si>
    <t>104333253:eng</t>
  </si>
  <si>
    <t>153553897</t>
  </si>
  <si>
    <t>ocn153553897</t>
  </si>
  <si>
    <t>3102573472M</t>
  </si>
  <si>
    <t>9780199207954</t>
  </si>
  <si>
    <t>794249819</t>
  </si>
  <si>
    <t>QA269 S76 1991</t>
  </si>
  <si>
    <t>0                      QA 0269000S  76          1991</t>
  </si>
  <si>
    <t>Stochastic games and related topics : in honor of Professor L.S. Shapley / edited by T.E.S. Raghavan [and others].</t>
  </si>
  <si>
    <t>Theory and decision library. Series C, Game theory, mathematical programming, and operations research ; v. 7</t>
  </si>
  <si>
    <t>2016-05-03</t>
  </si>
  <si>
    <t>24530346:eng</t>
  </si>
  <si>
    <t>22489835</t>
  </si>
  <si>
    <t>ocm22489835</t>
  </si>
  <si>
    <t>3101008972T</t>
  </si>
  <si>
    <t>9780792310167</t>
  </si>
  <si>
    <t>793145635</t>
  </si>
  <si>
    <t>QA269 V65</t>
  </si>
  <si>
    <t>0                      QA 0269000V  65</t>
  </si>
  <si>
    <t>Theory of games and economic behavior / by John Von Neumann and Oskar Morgenstern.</t>
  </si>
  <si>
    <t>Von Neumann, John, 1903-1957.</t>
  </si>
  <si>
    <t>New York : J. Wiley &amp; Sons, ©1944.</t>
  </si>
  <si>
    <t>490419:eng</t>
  </si>
  <si>
    <t>221359611</t>
  </si>
  <si>
    <t>ocn221359611</t>
  </si>
  <si>
    <t>3103592190L</t>
  </si>
  <si>
    <t>794326065</t>
  </si>
  <si>
    <t>QA270 I8</t>
  </si>
  <si>
    <t>0                      QA 0270000I  8</t>
  </si>
  <si>
    <t>Differential games; a mathematical theory with applications to warfare and pursuit, control and optimization [by] Rufus Isaacs.</t>
  </si>
  <si>
    <t>Isaacs, Rufus, 1914-</t>
  </si>
  <si>
    <t>New York, Wiley [1965]</t>
  </si>
  <si>
    <t>The SIAM series in applied mathematics</t>
  </si>
  <si>
    <t>1908627:eng</t>
  </si>
  <si>
    <t>958832</t>
  </si>
  <si>
    <t>ocm00958832</t>
  </si>
  <si>
    <t>30004986002</t>
  </si>
  <si>
    <t>791511777</t>
  </si>
  <si>
    <t>QA270 K46 2007</t>
  </si>
  <si>
    <t>0                      QA 0270000K  46          2007</t>
  </si>
  <si>
    <t>The iterated prisoners' dilemma : 20 years on / Graham Kendall, Xin Yao, Siang Yew Chong.</t>
  </si>
  <si>
    <t>Kendall, Graham, 1961-</t>
  </si>
  <si>
    <t>Singapore ; Hackensack, NJ : World Scientific, ©2007.</t>
  </si>
  <si>
    <t>Advances in natural computation ; v. 4</t>
  </si>
  <si>
    <t>801287890:eng</t>
  </si>
  <si>
    <t>154672026</t>
  </si>
  <si>
    <t>ocn154672026</t>
  </si>
  <si>
    <t>3102639127V</t>
  </si>
  <si>
    <t>9789812706973</t>
  </si>
  <si>
    <t>794252003</t>
  </si>
  <si>
    <t>QA272.4 M455 2014</t>
  </si>
  <si>
    <t>0                      QA 0272400M  455         2014</t>
  </si>
  <si>
    <t>The Pre-kernel as a tractable solution for cooperative games : an exercise in algorithmic game theory / Holger Ingmar Meinhart.</t>
  </si>
  <si>
    <t>Meinhardt, Holger Ingmar, 1965- author.</t>
  </si>
  <si>
    <t>Heidelberg ; New York : Springer, [2014]</t>
  </si>
  <si>
    <t>Theory and decision library C ; game theory, social choice, decision theory and optimization ; 45</t>
  </si>
  <si>
    <t>1789509487:eng</t>
  </si>
  <si>
    <t>857977734</t>
  </si>
  <si>
    <t>ocn857977734</t>
  </si>
  <si>
    <t>3103198056P</t>
  </si>
  <si>
    <t>9783642395482</t>
  </si>
  <si>
    <t>794955638</t>
  </si>
  <si>
    <t>QA273 A35 E5913 2011</t>
  </si>
  <si>
    <t>0                      QA 0273000A  35                 E  5913        2011</t>
  </si>
  <si>
    <t>Fatal numbers : why count on chance / Hans Magnus Enzensberger ; translated from the German by Karen Leeder ; with a foreword by Gerd Gigerenzer.</t>
  </si>
  <si>
    <t>New York : Upper West Side Philosophers, 2011, ©2010.</t>
  </si>
  <si>
    <t>Subway line ; no. 3</t>
  </si>
  <si>
    <t>2016-07-04</t>
  </si>
  <si>
    <t>1156416159:eng</t>
  </si>
  <si>
    <t>674931655</t>
  </si>
  <si>
    <t>ocn674931655</t>
  </si>
  <si>
    <t>3103407412F</t>
  </si>
  <si>
    <t>9781935830016</t>
  </si>
  <si>
    <t>794849622</t>
  </si>
  <si>
    <t>QA273 A35 O94 2016</t>
  </si>
  <si>
    <t>0                      QA 0273000A  35                 O  94          2016</t>
  </si>
  <si>
    <t>The Oxford handbook of probability and philosophy / edited by Alan Hájek and Christopher Hitchcock.</t>
  </si>
  <si>
    <t>Oxford handbooks in philosophy</t>
  </si>
  <si>
    <t>2586901788:eng</t>
  </si>
  <si>
    <t>960039929</t>
  </si>
  <si>
    <t>ocn960039929</t>
  </si>
  <si>
    <t>3103422626H</t>
  </si>
  <si>
    <t>9780199607617</t>
  </si>
  <si>
    <t>795022903</t>
  </si>
  <si>
    <t>QA273 A38</t>
  </si>
  <si>
    <t>0                      QA 0273000A  38</t>
  </si>
  <si>
    <t>The lognormal distribution : with special reference to its uses in economics / by J. Aitchison and J.A.C. Brown.</t>
  </si>
  <si>
    <t>Aitchison, J. (John), 1926-</t>
  </si>
  <si>
    <t>Cambridge : University Press, 1957.</t>
  </si>
  <si>
    <t>University of Cambridge. Dept. of Applied Economics. Monographs ; 5</t>
  </si>
  <si>
    <t>20175058:eng</t>
  </si>
  <si>
    <t>1201051</t>
  </si>
  <si>
    <t>ocm01201051</t>
  </si>
  <si>
    <t>3000280971R</t>
  </si>
  <si>
    <t>9780521040112</t>
  </si>
  <si>
    <t>791572360</t>
  </si>
  <si>
    <t>QA273 A4 D37 1988</t>
  </si>
  <si>
    <t>0                      QA 0273000A  4                  D  37          1988</t>
  </si>
  <si>
    <t>Classical probability in the Enlightenment / Lorraine Daston.</t>
  </si>
  <si>
    <t>Daston, Lorraine, 1951- author.</t>
  </si>
  <si>
    <t>Princeton, N.J. : Princeton University Press, [1988]</t>
  </si>
  <si>
    <t>2018-06-28</t>
  </si>
  <si>
    <t>16652314:eng</t>
  </si>
  <si>
    <t>17726921</t>
  </si>
  <si>
    <t>ocm17726921</t>
  </si>
  <si>
    <t>3102797465N</t>
  </si>
  <si>
    <t>9780691084978</t>
  </si>
  <si>
    <t>793001253</t>
  </si>
  <si>
    <t>QA273 A4 P76 1987</t>
  </si>
  <si>
    <t>0                      QA 0273000A  4                  P  76          1987</t>
  </si>
  <si>
    <t>The Probabilistic revolution.</t>
  </si>
  <si>
    <t>5342847387:eng</t>
  </si>
  <si>
    <t>13904081</t>
  </si>
  <si>
    <t>ocm13904081</t>
  </si>
  <si>
    <t>3103089474G</t>
  </si>
  <si>
    <t>9780262111188</t>
  </si>
  <si>
    <t>792871445</t>
  </si>
  <si>
    <t>3103679293I</t>
  </si>
  <si>
    <t>792871446</t>
  </si>
  <si>
    <t>QA273 B258</t>
  </si>
  <si>
    <t>0                      QA 0273000B  258</t>
  </si>
  <si>
    <t>An introduction to stochastic processes, with special reference to methods and applications.</t>
  </si>
  <si>
    <t>Bartlett, M. S. (Maurice Stevenson)</t>
  </si>
  <si>
    <t>Cambridge [England] University Press, 1955.</t>
  </si>
  <si>
    <t>575763:eng</t>
  </si>
  <si>
    <t>907139</t>
  </si>
  <si>
    <t>ocm00907139</t>
  </si>
  <si>
    <t>3101355937W</t>
  </si>
  <si>
    <t>791499269</t>
  </si>
  <si>
    <t>QA273 B258 1966</t>
  </si>
  <si>
    <t>0                      QA 0273000B  258         1966</t>
  </si>
  <si>
    <t>An introduction to stochastic processes : with special reference to methods and applications / by M.S. Bartlett.</t>
  </si>
  <si>
    <t>Cambridge : Cambridge U.P., 1966.</t>
  </si>
  <si>
    <t>527235</t>
  </si>
  <si>
    <t>ocm00527235</t>
  </si>
  <si>
    <t>3000497101P</t>
  </si>
  <si>
    <t>9780521041164</t>
  </si>
  <si>
    <t>791404053</t>
  </si>
  <si>
    <t>QA273 D46 2016</t>
  </si>
  <si>
    <t>0                      QA 0273000D  46          2016</t>
  </si>
  <si>
    <t>Probability and statistics for engineering and the sciences / Jay Devore, California Polytechnic State University, San Luis Obispo.</t>
  </si>
  <si>
    <t>Devore, Jay L., author</t>
  </si>
  <si>
    <t>Boston, MA : Cengage Learning, [2016]</t>
  </si>
  <si>
    <t>2019-04-26</t>
  </si>
  <si>
    <t>4929820918:eng</t>
  </si>
  <si>
    <t>911517789</t>
  </si>
  <si>
    <t>ocn911517789</t>
  </si>
  <si>
    <t>31037590439</t>
  </si>
  <si>
    <t>9781305251809</t>
  </si>
  <si>
    <t>794998422</t>
  </si>
  <si>
    <t>3103758941J</t>
  </si>
  <si>
    <t>794998423</t>
  </si>
  <si>
    <t>3103758961D</t>
  </si>
  <si>
    <t>794998420</t>
  </si>
  <si>
    <t>3103758936C</t>
  </si>
  <si>
    <t>794998421</t>
  </si>
  <si>
    <t>QA273 D46 2016 suppl.</t>
  </si>
  <si>
    <t>0                      QA 0273000D  46          2016                                        suppl.</t>
  </si>
  <si>
    <t>Student solutions manual : probability and statistics for engineering and the sciences / prepared by Matt Carlton, California Polytechnic State University.</t>
  </si>
  <si>
    <t>suppl.*</t>
  </si>
  <si>
    <t>Carlton, Matthew A., author.</t>
  </si>
  <si>
    <t>Boston, MA : Cengage Learning, [2014]</t>
  </si>
  <si>
    <t>787901047:eng</t>
  </si>
  <si>
    <t>905552039</t>
  </si>
  <si>
    <t>ocn905552039</t>
  </si>
  <si>
    <t>3103759065$</t>
  </si>
  <si>
    <t>9781305260597</t>
  </si>
  <si>
    <t>794991551</t>
  </si>
  <si>
    <t>3103759156X</t>
  </si>
  <si>
    <t>794991552</t>
  </si>
  <si>
    <t>31037591613</t>
  </si>
  <si>
    <t>794991549</t>
  </si>
  <si>
    <t>3103759326Y</t>
  </si>
  <si>
    <t>794991550</t>
  </si>
  <si>
    <t>QA273 E57 1989</t>
  </si>
  <si>
    <t>0                      QA 0273000E  57          1989</t>
  </si>
  <si>
    <t>The Empire of chance : how probability changed science and everyday life / Gerd Gigerenzer [and others].</t>
  </si>
  <si>
    <t>Cambridge [England] ; New York : Cambridge University Press, 1989.</t>
  </si>
  <si>
    <t>808110295:eng</t>
  </si>
  <si>
    <t>17982634</t>
  </si>
  <si>
    <t>ocm17982634</t>
  </si>
  <si>
    <t>3101015634L</t>
  </si>
  <si>
    <t>9780521331159</t>
  </si>
  <si>
    <t>793009516</t>
  </si>
  <si>
    <t>QA273 J4 1961</t>
  </si>
  <si>
    <t>0                      QA 0273000J  4           1961</t>
  </si>
  <si>
    <t>Theory of probability.</t>
  </si>
  <si>
    <t>Jeffreys, Harold, 1891-1989.</t>
  </si>
  <si>
    <t>Oxford, Clarendon Press, 1961.</t>
  </si>
  <si>
    <t>3d ed.</t>
  </si>
  <si>
    <t>The International series of monographs on physics</t>
  </si>
  <si>
    <t>2015-09-10</t>
  </si>
  <si>
    <t>2094421:eng</t>
  </si>
  <si>
    <t>1183155</t>
  </si>
  <si>
    <t>ocm01183155</t>
  </si>
  <si>
    <t>30004995579</t>
  </si>
  <si>
    <t>791567045</t>
  </si>
  <si>
    <t>QA273 K27 1985</t>
  </si>
  <si>
    <t>0                      QA 0273000K  27          1985</t>
  </si>
  <si>
    <t>Probability and statistical inference / J.G. Kalbfleisch.</t>
  </si>
  <si>
    <t>Kalbfleisch, J. G.</t>
  </si>
  <si>
    <t>New York : Springer-Verlag, ©1985.</t>
  </si>
  <si>
    <t>Springer texts in statistics</t>
  </si>
  <si>
    <t>2015-07-03</t>
  </si>
  <si>
    <t>2016-06-17</t>
  </si>
  <si>
    <t>10177294477:eng</t>
  </si>
  <si>
    <t>12134893</t>
  </si>
  <si>
    <t>ocm12134893</t>
  </si>
  <si>
    <t>3101011310U</t>
  </si>
  <si>
    <t>9780387961446</t>
  </si>
  <si>
    <t>792802946</t>
  </si>
  <si>
    <t>QA273 K34 1962a</t>
  </si>
  <si>
    <t>0                      QA 0273000K  34          1962a</t>
  </si>
  <si>
    <t>Rank correlation methods.</t>
  </si>
  <si>
    <t>Kendall, Maurice G. (Maurice George), 1907-1983.</t>
  </si>
  <si>
    <t>New York, Hafner Pub. Co., 1962.</t>
  </si>
  <si>
    <t>[3d ed.].</t>
  </si>
  <si>
    <t>115901649:eng</t>
  </si>
  <si>
    <t>527341</t>
  </si>
  <si>
    <t>ocm00527341</t>
  </si>
  <si>
    <t>3000700022F</t>
  </si>
  <si>
    <t>791404100</t>
  </si>
  <si>
    <t>QA273 K6 1946</t>
  </si>
  <si>
    <t>0                      QA 0273000K  6           1946</t>
  </si>
  <si>
    <t>Grundbegriffe der Wahrscheinlichkeitsrechnung, von A. Kolmogoroff.</t>
  </si>
  <si>
    <t>Kolmogorov, A. N. (Andreĭ Nikolaevich), 1903-1987.</t>
  </si>
  <si>
    <t>New York, N.Y. Chelsea Publishing Company, 1946.</t>
  </si>
  <si>
    <t>Ergebnisse der Mathematik und ihrer Grenzgebiete. Bd. 2, 3</t>
  </si>
  <si>
    <t>2016-04-27</t>
  </si>
  <si>
    <t>352469056:ger</t>
  </si>
  <si>
    <t>66781823</t>
  </si>
  <si>
    <t>ocm66781823</t>
  </si>
  <si>
    <t>3000700130C</t>
  </si>
  <si>
    <t>794139497</t>
  </si>
  <si>
    <t>QA273 K614</t>
  </si>
  <si>
    <t>0                      QA 0273000K  614</t>
  </si>
  <si>
    <t>Foundations of the theory of probability; translation edited by Nathan Morrison.</t>
  </si>
  <si>
    <t>New York, Chelsea Pub. Co., 1950.</t>
  </si>
  <si>
    <t>2014-06-16</t>
  </si>
  <si>
    <t>2016-02-26</t>
  </si>
  <si>
    <t>352469056:eng</t>
  </si>
  <si>
    <t>1039895</t>
  </si>
  <si>
    <t>ocm01039895</t>
  </si>
  <si>
    <t>30007001328</t>
  </si>
  <si>
    <t>791531572</t>
  </si>
  <si>
    <t>QA273 L32</t>
  </si>
  <si>
    <t>0                      QA 0273000L  32</t>
  </si>
  <si>
    <t>A philosophical essay on probabilities. By Pierre Simon, marquis de Laplace. Translated from the 6th French ed. by Frederick Wilson Truscott and Frederick Lincoln Emory.</t>
  </si>
  <si>
    <t>Laplace, Pierre Simon, marquis de, 1749-1827.</t>
  </si>
  <si>
    <t>New York, Wiley, 1902.</t>
  </si>
  <si>
    <t>1902</t>
  </si>
  <si>
    <t>1st ed. 1st thousand.</t>
  </si>
  <si>
    <t>2015-07-12</t>
  </si>
  <si>
    <t>4718553850:eng</t>
  </si>
  <si>
    <t>1039907</t>
  </si>
  <si>
    <t>ocm01039907</t>
  </si>
  <si>
    <t>30006644842</t>
  </si>
  <si>
    <t>791531574</t>
  </si>
  <si>
    <t>QA273 P794 2011</t>
  </si>
  <si>
    <t>0                      QA 0273000P  794         2011</t>
  </si>
  <si>
    <t>Probabilistic logics and probabilistic networks / by Rolf Haenni [and others].</t>
  </si>
  <si>
    <t>Synthese Library ; v. 350</t>
  </si>
  <si>
    <t>866994663:eng</t>
  </si>
  <si>
    <t>662410152</t>
  </si>
  <si>
    <t>ocn662410152</t>
  </si>
  <si>
    <t>31033460813</t>
  </si>
  <si>
    <t>9789400700079</t>
  </si>
  <si>
    <t>794837311</t>
  </si>
  <si>
    <t>QA273 R7</t>
  </si>
  <si>
    <t>0                      QA 0273000R  7</t>
  </si>
  <si>
    <t>Random processes.</t>
  </si>
  <si>
    <t>Rosenblatt, Murray.</t>
  </si>
  <si>
    <t>New York, Oxford University Press, 1962.</t>
  </si>
  <si>
    <t>University texts in the mathematical sciences</t>
  </si>
  <si>
    <t>2010-07-10</t>
  </si>
  <si>
    <t>1539041:eng</t>
  </si>
  <si>
    <t>528879</t>
  </si>
  <si>
    <t>ocm00528879</t>
  </si>
  <si>
    <t>3000498604V</t>
  </si>
  <si>
    <t>791404630</t>
  </si>
  <si>
    <t>QA273 W59</t>
  </si>
  <si>
    <t>0                      QA 0273000W  59</t>
  </si>
  <si>
    <t>Probability.</t>
  </si>
  <si>
    <t>Whittle, Peter, 1927-</t>
  </si>
  <si>
    <t>Harmondsworth, Penguin, 1970.</t>
  </si>
  <si>
    <t>Library of university mathematics</t>
  </si>
  <si>
    <t>2018-11-03</t>
  </si>
  <si>
    <t>1301768:eng</t>
  </si>
  <si>
    <t>140282</t>
  </si>
  <si>
    <t>ocm00140282</t>
  </si>
  <si>
    <t>3000997005N</t>
  </si>
  <si>
    <t>9780140800852</t>
  </si>
  <si>
    <t>791269783</t>
  </si>
  <si>
    <t>QA273.15 W65 2008</t>
  </si>
  <si>
    <t>0                      QA 0273150W  65          2008</t>
  </si>
  <si>
    <t>Everyday probability and statistics : health, elections, gambling and war / Michael M. Woolfson.</t>
  </si>
  <si>
    <t>Woolfson, Michael M. (Michael Mark)</t>
  </si>
  <si>
    <t>London : Imperial College Press ; Singapore ; Hackensack, NJ : Distributed by World Scientific Pub., ©2008.</t>
  </si>
  <si>
    <t>799412004:eng</t>
  </si>
  <si>
    <t>191658554</t>
  </si>
  <si>
    <t>ocn191658554</t>
  </si>
  <si>
    <t>3102971346F</t>
  </si>
  <si>
    <t>9781848160316</t>
  </si>
  <si>
    <t>794298160</t>
  </si>
  <si>
    <t>QA273.25 H78 2011</t>
  </si>
  <si>
    <t>0                      QA 0273250H  78          2011</t>
  </si>
  <si>
    <t>Schaum's outlines : probability, random variables, and random processes / Hwei P. Hsu.</t>
  </si>
  <si>
    <t>Hsu, Hwei P. (Hwei Piao), 1930-</t>
  </si>
  <si>
    <t>New York : McGraw-Hill, ©2011.</t>
  </si>
  <si>
    <t>4926058014:eng</t>
  </si>
  <si>
    <t>606789493</t>
  </si>
  <si>
    <t>ocn606789493</t>
  </si>
  <si>
    <t>31032941291</t>
  </si>
  <si>
    <t>9780071632898</t>
  </si>
  <si>
    <t>794817348</t>
  </si>
  <si>
    <t>3103788967K</t>
  </si>
  <si>
    <t>794817349</t>
  </si>
  <si>
    <t>QA273.25 L56</t>
  </si>
  <si>
    <t>0                      QA 0273250L  56</t>
  </si>
  <si>
    <t>Schaum's outline of theory and problems of probability / by Seymour Lipschutz.</t>
  </si>
  <si>
    <t>Lipschutz, Seymour.</t>
  </si>
  <si>
    <t>New York : McGraw-Hill, ©1965.</t>
  </si>
  <si>
    <t>2017-09-19</t>
  </si>
  <si>
    <t>1043070601:eng</t>
  </si>
  <si>
    <t>2324530</t>
  </si>
  <si>
    <t>ocm02324530</t>
  </si>
  <si>
    <t>3103873054F</t>
  </si>
  <si>
    <t>9780070379824</t>
  </si>
  <si>
    <t>792103996</t>
  </si>
  <si>
    <t>QA273.5 G83 2006</t>
  </si>
  <si>
    <t>0                      QA 0273500G  83          2006</t>
  </si>
  <si>
    <t>Probability and random processes for electrical and computer engineers / John A. Gubner.</t>
  </si>
  <si>
    <t>Gubner, John A.</t>
  </si>
  <si>
    <t>New York ; Cambridge : Cambridge University Press., 2006.</t>
  </si>
  <si>
    <t>2018-02-18</t>
  </si>
  <si>
    <t>55085374:eng</t>
  </si>
  <si>
    <t>70147423</t>
  </si>
  <si>
    <t>ocm70147423</t>
  </si>
  <si>
    <t>3102557173P</t>
  </si>
  <si>
    <t>9780521864701</t>
  </si>
  <si>
    <t>794149549</t>
  </si>
  <si>
    <t>3103638828Y</t>
  </si>
  <si>
    <t>794149550</t>
  </si>
  <si>
    <t>QA273.6 J58</t>
  </si>
  <si>
    <t>0                      QA 0273600J  58</t>
  </si>
  <si>
    <t>Distributions in statistics : continuous multivariate distributions / Norman L. Johnson, Samuel Kotz.</t>
  </si>
  <si>
    <t>Johnson, Norman Lloyd.</t>
  </si>
  <si>
    <t>New York : Wiley, 1972.</t>
  </si>
  <si>
    <t>9657996947:eng</t>
  </si>
  <si>
    <t>43659859</t>
  </si>
  <si>
    <t>ocm43659859</t>
  </si>
  <si>
    <t>3000181389Y</t>
  </si>
  <si>
    <t>9780471443704</t>
  </si>
  <si>
    <t>793632018</t>
  </si>
  <si>
    <t>QA274 C36 2005</t>
  </si>
  <si>
    <t>0                      QA 0274000C  36          2005</t>
  </si>
  <si>
    <t>An introduction to continuous-time stochastic processes : theory, models, and applications to finance, biology, and medicine / Vincenzo Capasso, David Bakstein.</t>
  </si>
  <si>
    <t>Capasso, V. (Vincenzo), 1945-</t>
  </si>
  <si>
    <t>Boston : Birkhäuser, ©2005.</t>
  </si>
  <si>
    <t>Modeling and simulation in science, engineering and technology</t>
  </si>
  <si>
    <t>807589071:eng</t>
  </si>
  <si>
    <t>53846549</t>
  </si>
  <si>
    <t>ocm53846549</t>
  </si>
  <si>
    <t>3102423539L</t>
  </si>
  <si>
    <t>9780817632342</t>
  </si>
  <si>
    <t>793851592</t>
  </si>
  <si>
    <t>QA274 K37 1975</t>
  </si>
  <si>
    <t>0                      QA 0274000K  37          1975</t>
  </si>
  <si>
    <t>A first course in stochastic processes / Samuel Karlin, Howard M. Taylor.</t>
  </si>
  <si>
    <t>Karlin, Samuel, 1923-2007.</t>
  </si>
  <si>
    <t>New York : Academic Press, [1975]</t>
  </si>
  <si>
    <t>124045272:eng</t>
  </si>
  <si>
    <t>1279526</t>
  </si>
  <si>
    <t>ocm01279526</t>
  </si>
  <si>
    <t>3103007887D</t>
  </si>
  <si>
    <t>9780123985521</t>
  </si>
  <si>
    <t>791590256</t>
  </si>
  <si>
    <t>QA274 S79 2007</t>
  </si>
  <si>
    <t>0                      QA 0274000S  79          2007</t>
  </si>
  <si>
    <t>Stochastic economic dynamics / Bjarne S. Jensen &amp; Tapio Palokangas (editors).</t>
  </si>
  <si>
    <t>[Copenhagen?] : Copenhagen Business School Press ; Portland, OR : International Specialized Book Services [distributor], ©2007.</t>
  </si>
  <si>
    <t>354970143:eng</t>
  </si>
  <si>
    <t>176918849</t>
  </si>
  <si>
    <t>ocn176918849</t>
  </si>
  <si>
    <t>31029705669</t>
  </si>
  <si>
    <t>9788763001854</t>
  </si>
  <si>
    <t>794277806</t>
  </si>
  <si>
    <t>QA275 J65 1900</t>
  </si>
  <si>
    <t>0                      QA 0275000J  65          1900</t>
  </si>
  <si>
    <t>Theory of errors and method of least squares.</t>
  </si>
  <si>
    <t>Johnson, William Woolsey, 1841-1927.</t>
  </si>
  <si>
    <t>New York : [publisher not identified], 1900.</t>
  </si>
  <si>
    <t>1900</t>
  </si>
  <si>
    <t>2099961:eng</t>
  </si>
  <si>
    <t>427528162</t>
  </si>
  <si>
    <t>ocn427528162</t>
  </si>
  <si>
    <t>30007164107</t>
  </si>
  <si>
    <t>794676104</t>
  </si>
  <si>
    <t>QA276 A1 A39 v. 2</t>
  </si>
  <si>
    <t>0                      QA 0276000A  1                  A  39                                v. 2</t>
  </si>
  <si>
    <t>Foundations of statistical inference / Ian B. MacNeill &amp; Gary J. Umphrey, editors ; associate editors, M. Safiul Haq, William L. Harper, Serge B. Provost.</t>
  </si>
  <si>
    <t>v. 2*</t>
  </si>
  <si>
    <t>Dordrecht ; Boston : D. Reidel ; Norwell, MA, U.S.A. : Sold and distributed in the U.S.A. and Canada by Kluwer Academic Publishers, ©1987.</t>
  </si>
  <si>
    <t>Advances in the statistical sciences ; v. 2</t>
  </si>
  <si>
    <t>350023346:eng</t>
  </si>
  <si>
    <t>14719357</t>
  </si>
  <si>
    <t>ocm14719357</t>
  </si>
  <si>
    <t>3000478552$</t>
  </si>
  <si>
    <t>9789027723949</t>
  </si>
  <si>
    <t>792900228</t>
  </si>
  <si>
    <t>QA276 A1 A39 v. 6</t>
  </si>
  <si>
    <t>0                      QA 0276000A  1                  A  39                                v. 6</t>
  </si>
  <si>
    <t>Actuarial science / edited by Ian B. MacNeill and Gary J. Umphrey, editors ; associate editors, Beda S.C. Chan, Serge B. Provost.</t>
  </si>
  <si>
    <t>Advances in the statistical sciences ; v. 6</t>
  </si>
  <si>
    <t>355620975:eng</t>
  </si>
  <si>
    <t>14819145</t>
  </si>
  <si>
    <t>ocm14819145</t>
  </si>
  <si>
    <t>3000478547T</t>
  </si>
  <si>
    <t>9789027723987</t>
  </si>
  <si>
    <t>792908456</t>
  </si>
  <si>
    <t>QA276 A22 1995</t>
  </si>
  <si>
    <t>0                      QA 0276000A  22          1995</t>
  </si>
  <si>
    <t>Statistics as principled argument / Robert P. Abelson.</t>
  </si>
  <si>
    <t>Abelson, Robert P., author.</t>
  </si>
  <si>
    <t>1001365:eng</t>
  </si>
  <si>
    <t>31011850</t>
  </si>
  <si>
    <t>ocm31011850</t>
  </si>
  <si>
    <t>3101487974S</t>
  </si>
  <si>
    <t>9780805805277</t>
  </si>
  <si>
    <t>793351340</t>
  </si>
  <si>
    <t>QA276 A53 2002</t>
  </si>
  <si>
    <t>0                      QA 0276000A  53          2002</t>
  </si>
  <si>
    <t>Missing data / Paul D. Allison.</t>
  </si>
  <si>
    <t>Allison, Paul David.</t>
  </si>
  <si>
    <t>Thousand Oaks, Calif. : Sage Publications, ©2002.</t>
  </si>
  <si>
    <t>Sage university papers. Quantitative applications in the social sciences ; no. 07-136</t>
  </si>
  <si>
    <t>35386006:eng</t>
  </si>
  <si>
    <t>46364640</t>
  </si>
  <si>
    <t>ocm46364640</t>
  </si>
  <si>
    <t>31027672931</t>
  </si>
  <si>
    <t>9780761916727</t>
  </si>
  <si>
    <t>793683332</t>
  </si>
  <si>
    <t>31030748282</t>
  </si>
  <si>
    <t>793683333</t>
  </si>
  <si>
    <t>QA276 B614 2019</t>
  </si>
  <si>
    <t>0                      QA 0276000B  614         2019</t>
  </si>
  <si>
    <t>Statistics in context / Barbara Blatchley.</t>
  </si>
  <si>
    <t>Blatchley, Barbara, author.</t>
  </si>
  <si>
    <t>New York, NY : Oxford University Press, [2019]</t>
  </si>
  <si>
    <t>4566562857:eng</t>
  </si>
  <si>
    <t>1007063454</t>
  </si>
  <si>
    <t>on1007063454</t>
  </si>
  <si>
    <t>3103701794Y</t>
  </si>
  <si>
    <t>9780190278953</t>
  </si>
  <si>
    <t>795043698</t>
  </si>
  <si>
    <t>QA276 B677</t>
  </si>
  <si>
    <t>0                      QA 0276000B  677</t>
  </si>
  <si>
    <t>Bayesian inference in statistical analysis [by] George E.P. Box and George C. Tiao.</t>
  </si>
  <si>
    <t>Box, George E. P.</t>
  </si>
  <si>
    <t>Reading, Mass., Addison-Wesley Pub. Co. [1973]</t>
  </si>
  <si>
    <t>Addison-Wesley series in behavioral science</t>
  </si>
  <si>
    <t>416709:eng</t>
  </si>
  <si>
    <t>585122</t>
  </si>
  <si>
    <t>ocm00585122</t>
  </si>
  <si>
    <t>3102967696E</t>
  </si>
  <si>
    <t>9780201006223</t>
  </si>
  <si>
    <t>791421559</t>
  </si>
  <si>
    <t>QA276 C4665 2002</t>
  </si>
  <si>
    <t>0                      QA 0276000C  4665        2002</t>
  </si>
  <si>
    <t>Correlation : parametric and nonparametric measures / Peter Y. Chen, Paula M. Popovich.</t>
  </si>
  <si>
    <t>Chen, Peter Y.</t>
  </si>
  <si>
    <t>Thousands Oaks, Calif. : Sage Publications, ©2002.</t>
  </si>
  <si>
    <t>Quantitative applications in the social sciences ; no. 139</t>
  </si>
  <si>
    <t>836666295:eng</t>
  </si>
  <si>
    <t>49576427</t>
  </si>
  <si>
    <t>ocm49576427</t>
  </si>
  <si>
    <t>3102790136T</t>
  </si>
  <si>
    <t>9780761922285</t>
  </si>
  <si>
    <t>793743319</t>
  </si>
  <si>
    <t>QA276 F496 1973</t>
  </si>
  <si>
    <t>0                      QA 0276000F  496         1973</t>
  </si>
  <si>
    <t>Statistical methods and scientific inference / by Sir Ronald A. Fisher.</t>
  </si>
  <si>
    <t>Fisher, Ronald Aylmer, Sir, 1890-1962.</t>
  </si>
  <si>
    <t>New York : Hafner Press, 1973.</t>
  </si>
  <si>
    <t>[3d ed., rev. and enl.].</t>
  </si>
  <si>
    <t>2015-04-04</t>
  </si>
  <si>
    <t>1720426:eng</t>
  </si>
  <si>
    <t>785822</t>
  </si>
  <si>
    <t>ocm00785822</t>
  </si>
  <si>
    <t>30002815193</t>
  </si>
  <si>
    <t>9780028447407</t>
  </si>
  <si>
    <t>791469594</t>
  </si>
  <si>
    <t>QA276 H314</t>
  </si>
  <si>
    <t>0                      QA 0276000H  314</t>
  </si>
  <si>
    <t>Statistical theory : with engineering applications.</t>
  </si>
  <si>
    <t>Hald, Anders, 1913-</t>
  </si>
  <si>
    <t>New York : [publisher not identified], 1962, ©1952.</t>
  </si>
  <si>
    <t>Wiley publications in statistics</t>
  </si>
  <si>
    <t>12139219:eng</t>
  </si>
  <si>
    <t>61600782</t>
  </si>
  <si>
    <t>ocm61600782</t>
  </si>
  <si>
    <t>30007163216</t>
  </si>
  <si>
    <t>794039806</t>
  </si>
  <si>
    <t>QA276 H38 1967</t>
  </si>
  <si>
    <t>0                      QA 0276000H  38          1967</t>
  </si>
  <si>
    <t>Modern factor analysis [by] Harry H. Harman.</t>
  </si>
  <si>
    <t>Harman, Harry Horace, 1913-1976.</t>
  </si>
  <si>
    <t>Chicago, University of Chicago Press [1967]</t>
  </si>
  <si>
    <t>2d ed., rev.</t>
  </si>
  <si>
    <t>2009-03-27</t>
  </si>
  <si>
    <t>2016-05-12</t>
  </si>
  <si>
    <t>418518:eng</t>
  </si>
  <si>
    <t>301749</t>
  </si>
  <si>
    <t>ocm00301749</t>
  </si>
  <si>
    <t>3000971162C</t>
  </si>
  <si>
    <t>791329394</t>
  </si>
  <si>
    <t>QA276 H45 1992</t>
  </si>
  <si>
    <t>0                      QA 0276000H  45          1992</t>
  </si>
  <si>
    <t>Basic statistics for the behavioral sciences / Gary W. Heiman.</t>
  </si>
  <si>
    <t>Heiman, Gary W.</t>
  </si>
  <si>
    <t>Boston : Houghton Mifflin, ©1992.</t>
  </si>
  <si>
    <t>2019-09-13</t>
  </si>
  <si>
    <t>335974:eng</t>
  </si>
  <si>
    <t>26121539</t>
  </si>
  <si>
    <t>ocm26121539</t>
  </si>
  <si>
    <t>31011486843</t>
  </si>
  <si>
    <t>9780395515464</t>
  </si>
  <si>
    <t>793237873</t>
  </si>
  <si>
    <t>QA276 H84</t>
  </si>
  <si>
    <t>0                      QA 0276000H  84</t>
  </si>
  <si>
    <t>The analysis of variance.</t>
  </si>
  <si>
    <t>Huitson, Alan.</t>
  </si>
  <si>
    <t>London, Griffin, 1966.</t>
  </si>
  <si>
    <t>Griffin's statistical monographs &amp; courses, no. 18</t>
  </si>
  <si>
    <t>6269651:eng</t>
  </si>
  <si>
    <t>2865014</t>
  </si>
  <si>
    <t>ocm02865014</t>
  </si>
  <si>
    <t>3102877634R</t>
  </si>
  <si>
    <t>792186692</t>
  </si>
  <si>
    <t>QA276 K253 2016</t>
  </si>
  <si>
    <t>0                      QA 0276000K  253         2016</t>
  </si>
  <si>
    <t>The tao of statistics : a path to understanding (with no math) / Dana K. Keller, Halcyon Research, Inc. ; illustrated by Helen Cardiff.</t>
  </si>
  <si>
    <t>Keller, Dana K.</t>
  </si>
  <si>
    <t>Los Angeles : SAGE, [2016]</t>
  </si>
  <si>
    <t>992418:eng</t>
  </si>
  <si>
    <t>899884304</t>
  </si>
  <si>
    <t>ocn899884304</t>
  </si>
  <si>
    <t>31036122051</t>
  </si>
  <si>
    <t>9781483377926</t>
  </si>
  <si>
    <t>794986978</t>
  </si>
  <si>
    <t>QA276 K28 1969</t>
  </si>
  <si>
    <t>0                      QA 0276000K  28          1969</t>
  </si>
  <si>
    <t>An introduction to genetic statistics / Oscar Kempthorne.</t>
  </si>
  <si>
    <t>Kempthorne, Oscar.</t>
  </si>
  <si>
    <t>Ames, Iowa : Iowa State University Press, ©1969.</t>
  </si>
  <si>
    <t>1458268:eng</t>
  </si>
  <si>
    <t>11256260</t>
  </si>
  <si>
    <t>ocm11256260</t>
  </si>
  <si>
    <t>3001044465F</t>
  </si>
  <si>
    <t>9780813807157</t>
  </si>
  <si>
    <t>792765412</t>
  </si>
  <si>
    <t>QA276 L314 2012</t>
  </si>
  <si>
    <t>0                      QA 0276000L  314         2012</t>
  </si>
  <si>
    <t>An introduction to mathematical statistics and its applications / Richard J. Larsen, Morris L. Marx.</t>
  </si>
  <si>
    <t>Larsen, Richard J.</t>
  </si>
  <si>
    <t>Boston : Prentice Hall, ©2012.</t>
  </si>
  <si>
    <t>2015-04-28</t>
  </si>
  <si>
    <t>5251054:eng</t>
  </si>
  <si>
    <t>502674159</t>
  </si>
  <si>
    <t>ocn502674159</t>
  </si>
  <si>
    <t>3103527267W</t>
  </si>
  <si>
    <t>9780321693945</t>
  </si>
  <si>
    <t>794805924</t>
  </si>
  <si>
    <t>QA276 L328 1982</t>
  </si>
  <si>
    <t>0                      QA 0276000L  328         1982</t>
  </si>
  <si>
    <t>Statistical models and methods for lifetime data / J.F. Lawless.</t>
  </si>
  <si>
    <t>Lawless, Jerald F., 1944-</t>
  </si>
  <si>
    <t>New York : Wiley, ©1982.</t>
  </si>
  <si>
    <t>Wiley series in probability and mathematical statistics. Applied probability and statistics, 0271-6356</t>
  </si>
  <si>
    <t>2017-01-25</t>
  </si>
  <si>
    <t>967365:eng</t>
  </si>
  <si>
    <t>7653508</t>
  </si>
  <si>
    <t>ocm07653508</t>
  </si>
  <si>
    <t>3102721455A</t>
  </si>
  <si>
    <t>9780471085447</t>
  </si>
  <si>
    <t>792572639</t>
  </si>
  <si>
    <t>QA276 L343</t>
  </si>
  <si>
    <t>0                      QA 0276000L  343</t>
  </si>
  <si>
    <t>Testing statistical hypotheses / E.L. Lehmann.</t>
  </si>
  <si>
    <t>Lehmann, E. L. (Erich Leo), 1917-</t>
  </si>
  <si>
    <t>New York : Wiley, 1959.</t>
  </si>
  <si>
    <t>A Wiley publication in mathematical statistics</t>
  </si>
  <si>
    <t>690156:eng</t>
  </si>
  <si>
    <t>528572</t>
  </si>
  <si>
    <t>ocm00528572</t>
  </si>
  <si>
    <t>30007001603</t>
  </si>
  <si>
    <t>9780471524700</t>
  </si>
  <si>
    <t>791404507</t>
  </si>
  <si>
    <t>QA276 M425 2003</t>
  </si>
  <si>
    <t>0                      QA 0276000M  425         2003</t>
  </si>
  <si>
    <t>Introduction to probability and statistics / William Mendenhall, Robert J. Beaver.</t>
  </si>
  <si>
    <t>(text</t>
  </si>
  <si>
    <t>Mendenhall, William.</t>
  </si>
  <si>
    <t>Pacific Grove, CA : Thomson-Brooks/Cole, ©2003.</t>
  </si>
  <si>
    <t>11th ed. / Barbara M. Beaver.</t>
  </si>
  <si>
    <t>447063:eng</t>
  </si>
  <si>
    <t>52920356</t>
  </si>
  <si>
    <t>ocm52920356</t>
  </si>
  <si>
    <t>3102316565E</t>
  </si>
  <si>
    <t>9780534395193</t>
  </si>
  <si>
    <t>793817246</t>
  </si>
  <si>
    <t>QA276 M426</t>
  </si>
  <si>
    <t>0                      QA 0276000M  426</t>
  </si>
  <si>
    <t>Mathematical statistics with applications [by] William Mendenhall [and] Richard L. Scheaffer.</t>
  </si>
  <si>
    <t>North Scituate, Mass., Duxbury Press [1973]</t>
  </si>
  <si>
    <t>2016-10-12</t>
  </si>
  <si>
    <t>1909191434:eng</t>
  </si>
  <si>
    <t>658117</t>
  </si>
  <si>
    <t>ocm00658117</t>
  </si>
  <si>
    <t>3102877723Q</t>
  </si>
  <si>
    <t>9780878720477</t>
  </si>
  <si>
    <t>791439623</t>
  </si>
  <si>
    <t>QA276 M426 2008</t>
  </si>
  <si>
    <t>0                      QA 0276000M  426         2008</t>
  </si>
  <si>
    <t>Mathematical statistics with applications / Dennis D. Wackerly, William Mendenhall III, Richard L. Scheaffer.</t>
  </si>
  <si>
    <t>Wackerly, Dennis D., 1945-</t>
  </si>
  <si>
    <t>Belmont, CA : Thomson Brooks/Cole, ©2008.</t>
  </si>
  <si>
    <t>183886598</t>
  </si>
  <si>
    <t>ocn183886598</t>
  </si>
  <si>
    <t>3103347935J</t>
  </si>
  <si>
    <t>9780495110811</t>
  </si>
  <si>
    <t>794288620</t>
  </si>
  <si>
    <t>2019-10-06</t>
  </si>
  <si>
    <t>31035550114</t>
  </si>
  <si>
    <t>794288619</t>
  </si>
  <si>
    <t>2019-12-19</t>
  </si>
  <si>
    <t>31035460243</t>
  </si>
  <si>
    <t>794288609</t>
  </si>
  <si>
    <t>31035549982</t>
  </si>
  <si>
    <t>794288613</t>
  </si>
  <si>
    <t>3103347844K</t>
  </si>
  <si>
    <t>794288607</t>
  </si>
  <si>
    <t>31035550046</t>
  </si>
  <si>
    <t>794288614</t>
  </si>
  <si>
    <t>31035550026</t>
  </si>
  <si>
    <t>794288615</t>
  </si>
  <si>
    <t>3103347834M</t>
  </si>
  <si>
    <t>794288618</t>
  </si>
  <si>
    <t>31035550066</t>
  </si>
  <si>
    <t>794288611</t>
  </si>
  <si>
    <t>2019-12-02</t>
  </si>
  <si>
    <t>3103347858I</t>
  </si>
  <si>
    <t>794288617</t>
  </si>
  <si>
    <t>31035549972</t>
  </si>
  <si>
    <t>794288621</t>
  </si>
  <si>
    <t>31035550056</t>
  </si>
  <si>
    <t>794288610</t>
  </si>
  <si>
    <t>2019-09-20</t>
  </si>
  <si>
    <t>31035550036</t>
  </si>
  <si>
    <t>794288622</t>
  </si>
  <si>
    <t>3103347885C</t>
  </si>
  <si>
    <t>794288608</t>
  </si>
  <si>
    <t>3103305410T</t>
  </si>
  <si>
    <t>794288612</t>
  </si>
  <si>
    <t>31031494077</t>
  </si>
  <si>
    <t>794288616</t>
  </si>
  <si>
    <t>QA276 M426 2008 St-Guide.</t>
  </si>
  <si>
    <t>0                      QA 0276000M  426         2008                                        St-Guide.</t>
  </si>
  <si>
    <t>Student solutions manual for mathematical statistics with applications / William J. Owen.</t>
  </si>
  <si>
    <t>Owen, William J.</t>
  </si>
  <si>
    <t>Belmont : Thomson, 2008.</t>
  </si>
  <si>
    <t>9827441017:eng</t>
  </si>
  <si>
    <t>213035713</t>
  </si>
  <si>
    <t>ocn213035713</t>
  </si>
  <si>
    <t>3103347841K</t>
  </si>
  <si>
    <t>9780495385066</t>
  </si>
  <si>
    <t>794306709</t>
  </si>
  <si>
    <t>3103388966Q</t>
  </si>
  <si>
    <t>794306710</t>
  </si>
  <si>
    <t>3103347928L</t>
  </si>
  <si>
    <t>794306711</t>
  </si>
  <si>
    <t>QA276 M6x</t>
  </si>
  <si>
    <t>0                      QA 0276000M  6x</t>
  </si>
  <si>
    <t>Data analysis and regression : a second course in statistics / Frederick Mosteller, John W. Tukey.</t>
  </si>
  <si>
    <t>Mosteller, Frederick, 1916-2006.</t>
  </si>
  <si>
    <t>Reading, Mass. : Addison-Wesley Pub. Co., ©1977.</t>
  </si>
  <si>
    <t>Addison-wesley Series In Behavioral Science. Quantitative Methods.</t>
  </si>
  <si>
    <t>2018-10-20</t>
  </si>
  <si>
    <t>203249581:eng</t>
  </si>
  <si>
    <t>3235470</t>
  </si>
  <si>
    <t>ocm03235470</t>
  </si>
  <si>
    <t>3102969709L</t>
  </si>
  <si>
    <t>9780201048544</t>
  </si>
  <si>
    <t>792233149</t>
  </si>
  <si>
    <t>QA276 P286 2001</t>
  </si>
  <si>
    <t>0                      QA 0276000P  286         2001</t>
  </si>
  <si>
    <t>In all likelihood : statistical modelling and inference using likelihood / Yudi Pawitan.</t>
  </si>
  <si>
    <t>Pawitan, Yudi.</t>
  </si>
  <si>
    <t>Oxford : Clarendon Press ; New York : Oxford University Press, 2001.</t>
  </si>
  <si>
    <t>Oxford science publications.</t>
  </si>
  <si>
    <t>2019-12-20</t>
  </si>
  <si>
    <t>792936711:eng</t>
  </si>
  <si>
    <t>47101087</t>
  </si>
  <si>
    <t>ocm47101087</t>
  </si>
  <si>
    <t>3102941713O</t>
  </si>
  <si>
    <t>9780198507659</t>
  </si>
  <si>
    <t>793698355</t>
  </si>
  <si>
    <t>QA276 R33 2013</t>
  </si>
  <si>
    <t>0                      QA 0276000R  33          2013</t>
  </si>
  <si>
    <t>The statistical sleuth : a course in methods of data analysis / Fred L. Ramsey, Daniel W. Schafer.</t>
  </si>
  <si>
    <t>Ramsey, Fred L.</t>
  </si>
  <si>
    <t>Boston : Brooks/Cole, Cengage Learning, 2013, ©2013.</t>
  </si>
  <si>
    <t>837005037:eng</t>
  </si>
  <si>
    <t>794592462</t>
  </si>
  <si>
    <t>ocn794592462</t>
  </si>
  <si>
    <t>31037052840</t>
  </si>
  <si>
    <t>9781133490678</t>
  </si>
  <si>
    <t>794920060</t>
  </si>
  <si>
    <t>QA276 S34</t>
  </si>
  <si>
    <t>0                      QA 0276000S  34</t>
  </si>
  <si>
    <t>The analysis of variance / Henry Scheffé.</t>
  </si>
  <si>
    <t>Scheffé, Henry, 1907-1977.</t>
  </si>
  <si>
    <t>490208:eng</t>
  </si>
  <si>
    <t>528590</t>
  </si>
  <si>
    <t>ocm00528590</t>
  </si>
  <si>
    <t>3000971251D</t>
  </si>
  <si>
    <t>9780471758341</t>
  </si>
  <si>
    <t>791404517</t>
  </si>
  <si>
    <t>QA276 S514 1990</t>
  </si>
  <si>
    <t>0                      QA 0276000S  514         1990</t>
  </si>
  <si>
    <t>How to interpret statistical data : a guide for librarians and information scientists / I.S. Simpson.</t>
  </si>
  <si>
    <t>Simpson, I. S. (Ian Stuart), 1927-</t>
  </si>
  <si>
    <t>836839908:eng</t>
  </si>
  <si>
    <t>23220095</t>
  </si>
  <si>
    <t>ocm23220095</t>
  </si>
  <si>
    <t>3101010890S</t>
  </si>
  <si>
    <t>9780853657293</t>
  </si>
  <si>
    <t>793165104</t>
  </si>
  <si>
    <t>QA276 S783</t>
  </si>
  <si>
    <t>0                      QA 0276000S  783</t>
  </si>
  <si>
    <t>Statistical methods for comparative studies : techniques for bias reduction / Sharon Anderson [and others].</t>
  </si>
  <si>
    <t>New York : Wiley, ©1980.</t>
  </si>
  <si>
    <t>2004-06-28</t>
  </si>
  <si>
    <t>2016-10-20</t>
  </si>
  <si>
    <t>889827166:eng</t>
  </si>
  <si>
    <t>5893246</t>
  </si>
  <si>
    <t>ocm05893246</t>
  </si>
  <si>
    <t>3000966600W</t>
  </si>
  <si>
    <t>9780471048381</t>
  </si>
  <si>
    <t>792461458</t>
  </si>
  <si>
    <t>QA276 T25 2000</t>
  </si>
  <si>
    <t>0                      QA 0276000T  25          2000</t>
  </si>
  <si>
    <t>Statistics and data analysis : from elementary to intermediate / Ajit C. Tamhane, Dorothy D. Dunlop.</t>
  </si>
  <si>
    <t>Tamhane, Ajit C.</t>
  </si>
  <si>
    <t>Upper Saddle River, NJ : Prentice Hall, ©2000.</t>
  </si>
  <si>
    <t>2019-09-04</t>
  </si>
  <si>
    <t>836961620:eng</t>
  </si>
  <si>
    <t>42397806</t>
  </si>
  <si>
    <t>ocm42397806</t>
  </si>
  <si>
    <t>31035126982</t>
  </si>
  <si>
    <t>9780137444267</t>
  </si>
  <si>
    <t>793606620</t>
  </si>
  <si>
    <t>2014-08-29</t>
  </si>
  <si>
    <t>3103613714C</t>
  </si>
  <si>
    <t>793606621</t>
  </si>
  <si>
    <t>3103628426N</t>
  </si>
  <si>
    <t>793606618</t>
  </si>
  <si>
    <t>QA276 T9x</t>
  </si>
  <si>
    <t>0                      QA 0276000T  9x</t>
  </si>
  <si>
    <t>Exploratory data analysis, by John W. Tukey.</t>
  </si>
  <si>
    <t>Tukey, John W. (John Wilder), 1915-2000.</t>
  </si>
  <si>
    <t>Reading, Mass., Addison Wesley Pub. Co. [1970]-</t>
  </si>
  <si>
    <t>Limited prelim. ed.</t>
  </si>
  <si>
    <t>2018-10-14</t>
  </si>
  <si>
    <t>3943331218:eng</t>
  </si>
  <si>
    <t>926206</t>
  </si>
  <si>
    <t>ocm00926206</t>
  </si>
  <si>
    <t>31028763147</t>
  </si>
  <si>
    <t>791503700</t>
  </si>
  <si>
    <t>QA276 U5 1983</t>
  </si>
  <si>
    <t>0                      QA 0276000U  5           1983</t>
  </si>
  <si>
    <t>Understanding robust and exploratory data analysis / edited by David C. Hoaglin, Frederick Mosteller, John W. Tukey.</t>
  </si>
  <si>
    <t>New York : Wiley, ©1983.</t>
  </si>
  <si>
    <t>2010-10-04</t>
  </si>
  <si>
    <t>503749466:eng</t>
  </si>
  <si>
    <t>8495063</t>
  </si>
  <si>
    <t>ocm08495063</t>
  </si>
  <si>
    <t>3102795770K</t>
  </si>
  <si>
    <t>9780471097778</t>
  </si>
  <si>
    <t>792623071</t>
  </si>
  <si>
    <t>QA276 W29</t>
  </si>
  <si>
    <t>0                      QA 0276000W  29</t>
  </si>
  <si>
    <t>Statistical decision functions, [by] the late Abraham Wald.</t>
  </si>
  <si>
    <t>Wald, Abraham, 1902-1950.</t>
  </si>
  <si>
    <t>New York, Wiley [©1950]</t>
  </si>
  <si>
    <t>2015-06-10</t>
  </si>
  <si>
    <t>1261772:eng</t>
  </si>
  <si>
    <t>183957</t>
  </si>
  <si>
    <t>ocm00183957</t>
  </si>
  <si>
    <t>3000498606R</t>
  </si>
  <si>
    <t>791285619</t>
  </si>
  <si>
    <t>QA276 W4 1949</t>
  </si>
  <si>
    <t>0                      QA 0276000W  4           1949</t>
  </si>
  <si>
    <t>First course in mathematical statistics.</t>
  </si>
  <si>
    <t>Weatherburn, C. E. (Charles Ernest), 1884-</t>
  </si>
  <si>
    <t>Cambridge, Eng. : [publisher not identified], 1952.</t>
  </si>
  <si>
    <t>1650787:eng</t>
  </si>
  <si>
    <t>427499820</t>
  </si>
  <si>
    <t>ocn427499820</t>
  </si>
  <si>
    <t>3000692557U</t>
  </si>
  <si>
    <t>9780521067508</t>
  </si>
  <si>
    <t>794668203</t>
  </si>
  <si>
    <t>QA276 W48</t>
  </si>
  <si>
    <t>0                      QA 0276000W  48</t>
  </si>
  <si>
    <t>31028763431</t>
  </si>
  <si>
    <t>791526964</t>
  </si>
  <si>
    <t>QA276.12 A34 1999</t>
  </si>
  <si>
    <t>0                      QA 0276120A  34          1999</t>
  </si>
  <si>
    <t>Statistical methods for the social sciences / Alan Agresti, Barbara Finlay.</t>
  </si>
  <si>
    <t>Agresti, Alan.</t>
  </si>
  <si>
    <t>Upper Saddle River, N.J. : Prentice Hall, 1999.</t>
  </si>
  <si>
    <t>3rd ed., repr. with corrections.</t>
  </si>
  <si>
    <t>524618:eng</t>
  </si>
  <si>
    <t>46450203</t>
  </si>
  <si>
    <t>ocm46450203</t>
  </si>
  <si>
    <t>31021532380</t>
  </si>
  <si>
    <t>9780135265260</t>
  </si>
  <si>
    <t>793685091</t>
  </si>
  <si>
    <t>QA276.12 B335 2018</t>
  </si>
  <si>
    <t>0                      QA 0276120B  335         2018</t>
  </si>
  <si>
    <t>The practice of statistics in the life sciences / Brigitte Baldi (University of California, Irvine), David S. Moore (Purdue University).</t>
  </si>
  <si>
    <t>Baldi, Brigitte, author.</t>
  </si>
  <si>
    <t>New York, NY : W.H. Freeman, Macmillan Learning, [2018]</t>
  </si>
  <si>
    <t>2019-11-27</t>
  </si>
  <si>
    <t>140728539:eng</t>
  </si>
  <si>
    <t>1029560997</t>
  </si>
  <si>
    <t>on1029560997</t>
  </si>
  <si>
    <t>3103811540F</t>
  </si>
  <si>
    <t>9781319013370</t>
  </si>
  <si>
    <t>795054144</t>
  </si>
  <si>
    <t>QA276.12 B355 2014</t>
  </si>
  <si>
    <t>0                      QA 0276120B  355         2014</t>
  </si>
  <si>
    <t>The practice of statistics in the life sciences / Brigitte Baldi, David S. Moore.</t>
  </si>
  <si>
    <t>New York, NY : W.H. Freeman and Co., [2014]</t>
  </si>
  <si>
    <t>879147322</t>
  </si>
  <si>
    <t>ocn879147322</t>
  </si>
  <si>
    <t>3103634273$</t>
  </si>
  <si>
    <t>9781464175367</t>
  </si>
  <si>
    <t>794971761</t>
  </si>
  <si>
    <t>QA276.12 F45 1989</t>
  </si>
  <si>
    <t>0                      QA 0276120F  45          1989</t>
  </si>
  <si>
    <t>Statistical analysis in psychology and education / George A. Ferguson, Yoshio Takane.</t>
  </si>
  <si>
    <t>Ferguson, George Andrew.</t>
  </si>
  <si>
    <t>New York : McGraw-Hill, ©1989.</t>
  </si>
  <si>
    <t>McGraw-Hill series in psychology</t>
  </si>
  <si>
    <t>2018-12-14</t>
  </si>
  <si>
    <t>1295929:eng</t>
  </si>
  <si>
    <t>18949197</t>
  </si>
  <si>
    <t>ocm18949197</t>
  </si>
  <si>
    <t>31035926804</t>
  </si>
  <si>
    <t>9780070204850</t>
  </si>
  <si>
    <t>793042164</t>
  </si>
  <si>
    <t>3102866697O</t>
  </si>
  <si>
    <t>793042163</t>
  </si>
  <si>
    <t>3102679844N</t>
  </si>
  <si>
    <t>793042165</t>
  </si>
  <si>
    <t>QA276.12 F45 2005</t>
  </si>
  <si>
    <t>0                      QA 0276120F  45          2005</t>
  </si>
  <si>
    <t>New York : McGraw-Hill Custom Pub., ©2005.</t>
  </si>
  <si>
    <t>2019-09-05</t>
  </si>
  <si>
    <t>427535701</t>
  </si>
  <si>
    <t>ocn427535701</t>
  </si>
  <si>
    <t>3103550976M</t>
  </si>
  <si>
    <t>9780070966376</t>
  </si>
  <si>
    <t>794678785</t>
  </si>
  <si>
    <t>3103068270$</t>
  </si>
  <si>
    <t>794678782</t>
  </si>
  <si>
    <t>3102799617J</t>
  </si>
  <si>
    <t>794678784</t>
  </si>
  <si>
    <t>3103103243C</t>
  </si>
  <si>
    <t>794678783</t>
  </si>
  <si>
    <t>2018-10-31</t>
  </si>
  <si>
    <t>3103392754G</t>
  </si>
  <si>
    <t>794678787</t>
  </si>
  <si>
    <t>3103551767Q</t>
  </si>
  <si>
    <t>794678781</t>
  </si>
  <si>
    <t>2018-10-04</t>
  </si>
  <si>
    <t>31030682503</t>
  </si>
  <si>
    <t>794678786</t>
  </si>
  <si>
    <t>3103449705H</t>
  </si>
  <si>
    <t>794678789</t>
  </si>
  <si>
    <t>QA276.12 F75 2010</t>
  </si>
  <si>
    <t>0                      QA 0276120F  75          2010</t>
  </si>
  <si>
    <t>Statistical methods / Rudolf J. Freund, William J. Wilson, Donna L. Mohr.</t>
  </si>
  <si>
    <t>Freund, Rudolf J. (Rudolf Jakob), 1927-2014.</t>
  </si>
  <si>
    <t>Amsterdam ; Boston : Elsevier, ©2010.</t>
  </si>
  <si>
    <t>601084643:eng</t>
  </si>
  <si>
    <t>612960471</t>
  </si>
  <si>
    <t>ocn612960471</t>
  </si>
  <si>
    <t>3103384495E</t>
  </si>
  <si>
    <t>9780123749703</t>
  </si>
  <si>
    <t>794821693</t>
  </si>
  <si>
    <t>QA276.12 G67 1993</t>
  </si>
  <si>
    <t>0                      QA 0276120G  67          1993</t>
  </si>
  <si>
    <t>The cartoon guide to statistics / Larry Gonick &amp; Woollcott Smith ; [illustrations by Larry Gonick].</t>
  </si>
  <si>
    <t>Gonick, Larry.</t>
  </si>
  <si>
    <t>New York, NY : Collins Reference, 2005.</t>
  </si>
  <si>
    <t>1st Collins ed.</t>
  </si>
  <si>
    <t>325867:eng</t>
  </si>
  <si>
    <t>224621474</t>
  </si>
  <si>
    <t>ocn224621474</t>
  </si>
  <si>
    <t>31032278185</t>
  </si>
  <si>
    <t>9780062731029</t>
  </si>
  <si>
    <t>794339022</t>
  </si>
  <si>
    <t>QA276.12 H32 1979</t>
  </si>
  <si>
    <t>0                      QA 0276120H  32          1979</t>
  </si>
  <si>
    <t>Statistical literacy : a guide to interpretation / Dennis G. Haack.</t>
  </si>
  <si>
    <t>Haack, Dennis G., 1944-</t>
  </si>
  <si>
    <t>North Scituate, Mass. : Duxbury Press, ©1979.</t>
  </si>
  <si>
    <t>2015-11-04</t>
  </si>
  <si>
    <t>13727919:eng</t>
  </si>
  <si>
    <t>4056783</t>
  </si>
  <si>
    <t>ocm04056783</t>
  </si>
  <si>
    <t>3101234965E</t>
  </si>
  <si>
    <t>9780878721832</t>
  </si>
  <si>
    <t>792317997</t>
  </si>
  <si>
    <t>QA276.12 H365 1995</t>
  </si>
  <si>
    <t>0                      QA 0276120H  365         1995</t>
  </si>
  <si>
    <t>Basic statistics for behavioral science research / Mary B. Harris.</t>
  </si>
  <si>
    <t>Harris, Mary B. (Mary Bierman), 1943-</t>
  </si>
  <si>
    <t>Boston : Allyn and Bacon, ©1995.</t>
  </si>
  <si>
    <t>2011-09-06</t>
  </si>
  <si>
    <t>600789:eng</t>
  </si>
  <si>
    <t>30701816</t>
  </si>
  <si>
    <t>ocm30701816</t>
  </si>
  <si>
    <t>3101458829D</t>
  </si>
  <si>
    <t>9780205151028</t>
  </si>
  <si>
    <t>793342761</t>
  </si>
  <si>
    <t>2014-05-06</t>
  </si>
  <si>
    <t>31018394840</t>
  </si>
  <si>
    <t>793342763</t>
  </si>
  <si>
    <t>3101458833M</t>
  </si>
  <si>
    <t>793342762</t>
  </si>
  <si>
    <t>2013-05-08</t>
  </si>
  <si>
    <t>3102184440J</t>
  </si>
  <si>
    <t>793342760</t>
  </si>
  <si>
    <t>QA276.12 H365 1998</t>
  </si>
  <si>
    <t>0                      QA 0276120H  365         1998</t>
  </si>
  <si>
    <t>Boston : Allyn and Bacon, ©1998.</t>
  </si>
  <si>
    <t>2014-09-04</t>
  </si>
  <si>
    <t>36498954</t>
  </si>
  <si>
    <t>ocm36498954</t>
  </si>
  <si>
    <t>3102809342O</t>
  </si>
  <si>
    <t>9780205268894</t>
  </si>
  <si>
    <t>793476803</t>
  </si>
  <si>
    <t>3103146044N</t>
  </si>
  <si>
    <t>793476802</t>
  </si>
  <si>
    <t>QA276.12 J64 2000</t>
  </si>
  <si>
    <t>0                      QA 0276120J  64          2000</t>
  </si>
  <si>
    <t>Elementary statistics.</t>
  </si>
  <si>
    <t>Johnson, Robert, 1939-</t>
  </si>
  <si>
    <t>Pacific Grove : Duxbury, ©2000.</t>
  </si>
  <si>
    <t>8th ed. / Robert Johnson, Patricia Kuby.</t>
  </si>
  <si>
    <t>2017-01-11</t>
  </si>
  <si>
    <t>713460:eng</t>
  </si>
  <si>
    <t>41142954</t>
  </si>
  <si>
    <t>ocm41142954</t>
  </si>
  <si>
    <t>3101989748T</t>
  </si>
  <si>
    <t>9780534356767</t>
  </si>
  <si>
    <t>793585328</t>
  </si>
  <si>
    <t>3102028662O</t>
  </si>
  <si>
    <t>793585329</t>
  </si>
  <si>
    <t>QA276.12 J83 1989</t>
  </si>
  <si>
    <t>0                      QA 0276120J  83          1989</t>
  </si>
  <si>
    <t>Data analysis : a model-comparison approach / Charles M. Judd, Gary H. McClelland.</t>
  </si>
  <si>
    <t>Judd, Charles M.</t>
  </si>
  <si>
    <t>San Diego : Harcourt Brace Jovanovich, ©1989.</t>
  </si>
  <si>
    <t>2013-04-04</t>
  </si>
  <si>
    <t>197621458:eng</t>
  </si>
  <si>
    <t>20946342</t>
  </si>
  <si>
    <t>ocm20946342</t>
  </si>
  <si>
    <t>31000138205</t>
  </si>
  <si>
    <t>9780155167650</t>
  </si>
  <si>
    <t>793103941</t>
  </si>
  <si>
    <t>31000138310</t>
  </si>
  <si>
    <t>793103940</t>
  </si>
  <si>
    <t>QA276.12 K73 2003</t>
  </si>
  <si>
    <t>0                      QA 0276120K  73          2003</t>
  </si>
  <si>
    <t>Statistics for the terrified.</t>
  </si>
  <si>
    <t>Kranzler, John H.</t>
  </si>
  <si>
    <t>Upper Saddle River, N.J. : Prentice Hall, 2003.</t>
  </si>
  <si>
    <t>3rd ed. / John H. Kranzler.</t>
  </si>
  <si>
    <t>984347:eng</t>
  </si>
  <si>
    <t>48501155</t>
  </si>
  <si>
    <t>ocm48501155</t>
  </si>
  <si>
    <t>3102212020M</t>
  </si>
  <si>
    <t>9780130983404</t>
  </si>
  <si>
    <t>793722606</t>
  </si>
  <si>
    <t>QA276.12 L36 1980</t>
  </si>
  <si>
    <t>0                      QA 0276120L  36          1980</t>
  </si>
  <si>
    <t>Statistics, meaning and method / Lawrence L. Lapin ; [cover, Harry Crosby].</t>
  </si>
  <si>
    <t>Lapin, Lawrence L.</t>
  </si>
  <si>
    <t>New York : Harcourt Brace Jovanovich, ©1980.</t>
  </si>
  <si>
    <t>2017-01-06</t>
  </si>
  <si>
    <t>3372181113:eng</t>
  </si>
  <si>
    <t>5990782</t>
  </si>
  <si>
    <t>ocm05990782</t>
  </si>
  <si>
    <t>3000146280I</t>
  </si>
  <si>
    <t>9780155837690</t>
  </si>
  <si>
    <t>792468394</t>
  </si>
  <si>
    <t>QA276.12 M4 2017</t>
  </si>
  <si>
    <t>0                      QA 0276120M  4           2017</t>
  </si>
  <si>
    <t>Statistics / James T. McClave, Info Tech, Inc., University of Florida, Terry Sincich, University of South Florida.</t>
  </si>
  <si>
    <t>McClave, James T.</t>
  </si>
  <si>
    <t>Boston : Pearson, [2017]</t>
  </si>
  <si>
    <t>Thirteenth edition.</t>
  </si>
  <si>
    <t>3893601131:eng</t>
  </si>
  <si>
    <t>904047454</t>
  </si>
  <si>
    <t>ocn904047454</t>
  </si>
  <si>
    <t>31037005024</t>
  </si>
  <si>
    <t>9780134080215</t>
  </si>
  <si>
    <t>794989990</t>
  </si>
  <si>
    <t>3103700507V</t>
  </si>
  <si>
    <t>794989993</t>
  </si>
  <si>
    <t>3103700492I</t>
  </si>
  <si>
    <t>794989994</t>
  </si>
  <si>
    <t>31037005121</t>
  </si>
  <si>
    <t>794989992</t>
  </si>
  <si>
    <t>3103700517S</t>
  </si>
  <si>
    <t>794989991</t>
  </si>
  <si>
    <t>QA276.12 M4 2017 Manual</t>
  </si>
  <si>
    <t>0                      QA 0276120M  4           2017                                        Manual</t>
  </si>
  <si>
    <t>Student's solutions manual [for] Statistics / James McClave, Terry Sincich.</t>
  </si>
  <si>
    <t>Boudreau, Nancy S.</t>
  </si>
  <si>
    <t>Boston, MA : Pearson 2017.</t>
  </si>
  <si>
    <t>4202656432:eng</t>
  </si>
  <si>
    <t>970002977</t>
  </si>
  <si>
    <t>ocn970002977</t>
  </si>
  <si>
    <t>31035082219</t>
  </si>
  <si>
    <t>9780134081120</t>
  </si>
  <si>
    <t>795027600</t>
  </si>
  <si>
    <t>3103701427O</t>
  </si>
  <si>
    <t>795027604</t>
  </si>
  <si>
    <t>2019-10-30</t>
  </si>
  <si>
    <t>3103546449O</t>
  </si>
  <si>
    <t>795027602</t>
  </si>
  <si>
    <t>QA276.12 M648 2004</t>
  </si>
  <si>
    <t>0                      QA 0276120M  648         2004</t>
  </si>
  <si>
    <t>The basic practice of statistics / David S. Moore.</t>
  </si>
  <si>
    <t>Moore, David S., author.</t>
  </si>
  <si>
    <t>New York : W.H. Freeman and Company, [2004]</t>
  </si>
  <si>
    <t>581029:eng</t>
  </si>
  <si>
    <t>51769291</t>
  </si>
  <si>
    <t>ocm51769291</t>
  </si>
  <si>
    <t>3102289141Q</t>
  </si>
  <si>
    <t>9780716796237</t>
  </si>
  <si>
    <t>793790724</t>
  </si>
  <si>
    <t>2014-09-18</t>
  </si>
  <si>
    <t>3103014469$</t>
  </si>
  <si>
    <t>793790723</t>
  </si>
  <si>
    <t>QA276.12 M648 2007</t>
  </si>
  <si>
    <t>0                      QA 0276120M  648         2007</t>
  </si>
  <si>
    <t>Moore, David S.</t>
  </si>
  <si>
    <t>New York, NY : W.H. Freeman and Company, ©2007.</t>
  </si>
  <si>
    <t>2019-11-11</t>
  </si>
  <si>
    <t>71782786</t>
  </si>
  <si>
    <t>ocm71782786</t>
  </si>
  <si>
    <t>3103029617F</t>
  </si>
  <si>
    <t>9780716770626</t>
  </si>
  <si>
    <t>794168072</t>
  </si>
  <si>
    <t>(text &amp; CD-ROM)</t>
  </si>
  <si>
    <t>2013-09-19</t>
  </si>
  <si>
    <t>3103031998H</t>
  </si>
  <si>
    <t>794168071</t>
  </si>
  <si>
    <t>QA276.12 M648 2010</t>
  </si>
  <si>
    <t>0                      QA 0276120M  648         2010</t>
  </si>
  <si>
    <t>New York : W.H. Freeman and Co., 2008.</t>
  </si>
  <si>
    <t>231582269</t>
  </si>
  <si>
    <t>ocn231582269</t>
  </si>
  <si>
    <t>3103284694E</t>
  </si>
  <si>
    <t>9781429201216</t>
  </si>
  <si>
    <t>794357692</t>
  </si>
  <si>
    <t>2019-08-26</t>
  </si>
  <si>
    <t>3103294279P</t>
  </si>
  <si>
    <t>794357693</t>
  </si>
  <si>
    <t>QA276.12 M648 2015</t>
  </si>
  <si>
    <t>0                      QA 0276120M  648         2015</t>
  </si>
  <si>
    <t>The basic practice of statistics.</t>
  </si>
  <si>
    <t>New York : W.H. Freeman and Co., ©2015.</t>
  </si>
  <si>
    <t>7th ed. / David S. Moore, William I. Notz, Michael A. Fligner.</t>
  </si>
  <si>
    <t>908070547</t>
  </si>
  <si>
    <t>ocn908070547</t>
  </si>
  <si>
    <t>31038977314</t>
  </si>
  <si>
    <t>9781464142536</t>
  </si>
  <si>
    <t>794994122</t>
  </si>
  <si>
    <t>3103877080V</t>
  </si>
  <si>
    <t>794994120</t>
  </si>
  <si>
    <t>3103877085L</t>
  </si>
  <si>
    <t>794994121</t>
  </si>
  <si>
    <t>QA276.12 M65 2006</t>
  </si>
  <si>
    <t>0                      QA 0276120M  65          2006</t>
  </si>
  <si>
    <t>Introduction to the practice of statistics / David S. Moore, George P. McCabe.</t>
  </si>
  <si>
    <t>(Text + CD-ROM)</t>
  </si>
  <si>
    <t>New York : W.H. Freeman and Co., ©2006.</t>
  </si>
  <si>
    <t>9085204001:eng</t>
  </si>
  <si>
    <t>63705381</t>
  </si>
  <si>
    <t>ocm63705381</t>
  </si>
  <si>
    <t>31025109998</t>
  </si>
  <si>
    <t>9780716787686</t>
  </si>
  <si>
    <t>794122835</t>
  </si>
  <si>
    <t>QA276.12 O47 1987</t>
  </si>
  <si>
    <t>0                      QA 0276120O  47          1987</t>
  </si>
  <si>
    <t>Statistics, making sense of data / Chester L. Olson.</t>
  </si>
  <si>
    <t>Olson, Chester L.</t>
  </si>
  <si>
    <t>Boston : Allyn and Bacon, ©1987.</t>
  </si>
  <si>
    <t>2018-12-08</t>
  </si>
  <si>
    <t>8753629:eng</t>
  </si>
  <si>
    <t>14377385</t>
  </si>
  <si>
    <t>ocm14377385</t>
  </si>
  <si>
    <t>3103025714S</t>
  </si>
  <si>
    <t>9780205087907</t>
  </si>
  <si>
    <t>792887890</t>
  </si>
  <si>
    <t>3103025711S</t>
  </si>
  <si>
    <t>792887891</t>
  </si>
  <si>
    <t>3103025719S</t>
  </si>
  <si>
    <t>792887888</t>
  </si>
  <si>
    <t>3103025709U</t>
  </si>
  <si>
    <t>792887889</t>
  </si>
  <si>
    <t>QA276.12 R68 1981</t>
  </si>
  <si>
    <t>0                      QA 0276120R  68          1981</t>
  </si>
  <si>
    <t>Statistics without tears : a primer for non-mathematicians / Derek Rowntree.</t>
  </si>
  <si>
    <t>Rowntree, Derek.</t>
  </si>
  <si>
    <t>New York : Scribner, ©1981.</t>
  </si>
  <si>
    <t>433818:eng</t>
  </si>
  <si>
    <t>8283507</t>
  </si>
  <si>
    <t>ocm08283507</t>
  </si>
  <si>
    <t>3000819113S</t>
  </si>
  <si>
    <t>9780684175010</t>
  </si>
  <si>
    <t>792609833</t>
  </si>
  <si>
    <t>QA276.12 R68 1981b</t>
  </si>
  <si>
    <t>0                      QA 0276120R  68          1981b</t>
  </si>
  <si>
    <t>Harmondsworth : Penguin, 1981.</t>
  </si>
  <si>
    <t>A Pelican book</t>
  </si>
  <si>
    <t>7872526</t>
  </si>
  <si>
    <t>ocm07872526</t>
  </si>
  <si>
    <t>31006804581</t>
  </si>
  <si>
    <t>9780140223262</t>
  </si>
  <si>
    <t>792584360</t>
  </si>
  <si>
    <t>QA276.12 R68 1991</t>
  </si>
  <si>
    <t>0                      QA 0276120R  68          1991</t>
  </si>
  <si>
    <t>London : Penguin, 1991, ©1981.</t>
  </si>
  <si>
    <t>61422421</t>
  </si>
  <si>
    <t>ocm61422421</t>
  </si>
  <si>
    <t>31028099682</t>
  </si>
  <si>
    <t>9780140136326</t>
  </si>
  <si>
    <t>793952346</t>
  </si>
  <si>
    <t>QA276.12 R68 2004</t>
  </si>
  <si>
    <t>0                      QA 0276120R  68          2004</t>
  </si>
  <si>
    <t>Boston : Pearson/A &amp; B, ©2004.</t>
  </si>
  <si>
    <t>Classic ed.</t>
  </si>
  <si>
    <t>Allyn and Bacon classics</t>
  </si>
  <si>
    <t>2017-07-26</t>
  </si>
  <si>
    <t>55962577</t>
  </si>
  <si>
    <t>ocm55962577</t>
  </si>
  <si>
    <t>3103363817W</t>
  </si>
  <si>
    <t>9780205395095</t>
  </si>
  <si>
    <t>793884720</t>
  </si>
  <si>
    <t>QA276.12 S72 2001</t>
  </si>
  <si>
    <t>0                      QA 0276120S  72          2001</t>
  </si>
  <si>
    <t>Statistics : a first course / Donald H. Sanders [and others].</t>
  </si>
  <si>
    <t>Toronto : McGraw-Hill Ryerson, ©2001.</t>
  </si>
  <si>
    <t>1st Canadian ed.</t>
  </si>
  <si>
    <t>2013-02-24</t>
  </si>
  <si>
    <t>3943722603:eng</t>
  </si>
  <si>
    <t>44069064</t>
  </si>
  <si>
    <t>ocm44069064</t>
  </si>
  <si>
    <t>3102786963H</t>
  </si>
  <si>
    <t>9780070871519</t>
  </si>
  <si>
    <t>793641724</t>
  </si>
  <si>
    <t>QA276.15 P67 1986</t>
  </si>
  <si>
    <t>0                      QA 0276150P  67          1986</t>
  </si>
  <si>
    <t>The rise of statistical thinking, 1820-1900 / Theodore M. Porter.</t>
  </si>
  <si>
    <t>Porter, Theodore M., 1953- author.</t>
  </si>
  <si>
    <t>Princeton, New Jersey : Princeton University Press, 1986.</t>
  </si>
  <si>
    <t>2018-11-08</t>
  </si>
  <si>
    <t>5569849:eng</t>
  </si>
  <si>
    <t>13158796</t>
  </si>
  <si>
    <t>ocm13158796</t>
  </si>
  <si>
    <t>3103488033G</t>
  </si>
  <si>
    <t>9780691084169</t>
  </si>
  <si>
    <t>792843159</t>
  </si>
  <si>
    <t>QA276.15 S738 2002</t>
  </si>
  <si>
    <t>0                      QA 0276150S  738         2002</t>
  </si>
  <si>
    <t>The statistical mind in a pre-statistical era : the Netherlands 1750-1850 / Paul M.M. Klep and Ida H. Stamhuis (eds.).</t>
  </si>
  <si>
    <t>Amsterdam : Aksant, 2002.</t>
  </si>
  <si>
    <t>2016-05-24</t>
  </si>
  <si>
    <t>837067271:eng</t>
  </si>
  <si>
    <t>51076417</t>
  </si>
  <si>
    <t>ocm51076417</t>
  </si>
  <si>
    <t>3102486016Z</t>
  </si>
  <si>
    <t>9789057420344</t>
  </si>
  <si>
    <t>793778347</t>
  </si>
  <si>
    <t>QA276.15 S74 2014</t>
  </si>
  <si>
    <t>0                      QA 0276150S  74          2014</t>
  </si>
  <si>
    <t>Statistics in action : a Canadian outlook / edited by Jerald F. Lawless.</t>
  </si>
  <si>
    <t>Boca Raton, FL : CRC Press, [2014]</t>
  </si>
  <si>
    <t>1835467179:eng</t>
  </si>
  <si>
    <t>861212064</t>
  </si>
  <si>
    <t>ocn861212064</t>
  </si>
  <si>
    <t>31034953932</t>
  </si>
  <si>
    <t>9781482236231</t>
  </si>
  <si>
    <t>794958941</t>
  </si>
  <si>
    <t>QA276.15 S75 1986</t>
  </si>
  <si>
    <t>0                      QA 0276150S  75          1986</t>
  </si>
  <si>
    <t>The history of statistics : the measurement of uncertainty before 1900 / Stephen M. Stigler.</t>
  </si>
  <si>
    <t>Stigler, Stephen M.</t>
  </si>
  <si>
    <t>Cambridge, Mass. : Belknap Press of Harvard University Press, ©1986.</t>
  </si>
  <si>
    <t>5601271:eng</t>
  </si>
  <si>
    <t>12972377</t>
  </si>
  <si>
    <t>ocm12972377</t>
  </si>
  <si>
    <t>3000473704R</t>
  </si>
  <si>
    <t>9780674403406</t>
  </si>
  <si>
    <t>792835219</t>
  </si>
  <si>
    <t>QA276.16 S84</t>
  </si>
  <si>
    <t>0                      QA 0276160S  84</t>
  </si>
  <si>
    <t>Statistics : a guide to the unknown / edited by Judith M. Tanur [and others].</t>
  </si>
  <si>
    <t>San Francisco, Calif. : Holden-Day, ©1972.</t>
  </si>
  <si>
    <t>Holden-Day series in probability and statistics</t>
  </si>
  <si>
    <t>2015-01-17</t>
  </si>
  <si>
    <t>4927926227:eng</t>
  </si>
  <si>
    <t>364046</t>
  </si>
  <si>
    <t>ocm00364046</t>
  </si>
  <si>
    <t>31028763383</t>
  </si>
  <si>
    <t>9780816286041</t>
  </si>
  <si>
    <t>791352192</t>
  </si>
  <si>
    <t>30010444689</t>
  </si>
  <si>
    <t>791352193</t>
  </si>
  <si>
    <t>QA276.2 C5 2008</t>
  </si>
  <si>
    <t>0                      QA 0276200C  5           2008</t>
  </si>
  <si>
    <t>An introduction to survival analysis using Stata / Mario A. Cleves [and others].</t>
  </si>
  <si>
    <t>Cleves, Mario Alberto, 1954-</t>
  </si>
  <si>
    <t>College Station, Tex. : Stata Press, 2008.</t>
  </si>
  <si>
    <t>2017-05-02</t>
  </si>
  <si>
    <t>11696219:eng</t>
  </si>
  <si>
    <t>221164304</t>
  </si>
  <si>
    <t>ocn221164304</t>
  </si>
  <si>
    <t>3103096683F</t>
  </si>
  <si>
    <t>9781597180412</t>
  </si>
  <si>
    <t>794324782</t>
  </si>
  <si>
    <t>QA276.2 C5 2010</t>
  </si>
  <si>
    <t>0                      QA 0276200C  5           2010</t>
  </si>
  <si>
    <t>An introduction to survival analysis using Stata / Mario Cleves [and others].</t>
  </si>
  <si>
    <t>C. 2</t>
  </si>
  <si>
    <t>College Station, Tex. : Stata Press, 2010.</t>
  </si>
  <si>
    <t>654317075</t>
  </si>
  <si>
    <t>ocn654317075</t>
  </si>
  <si>
    <t>31036020445</t>
  </si>
  <si>
    <t>9781597180740</t>
  </si>
  <si>
    <t>794834003</t>
  </si>
  <si>
    <t>3103410101C</t>
  </si>
  <si>
    <t>794834002</t>
  </si>
  <si>
    <t>QA276.3 J33 1997</t>
  </si>
  <si>
    <t>0                      QA 0276300J  33          1997</t>
  </si>
  <si>
    <t>Statistical graphics for univariate and bivariate data / William G. Jacoby.</t>
  </si>
  <si>
    <t>Jacoby, William G.</t>
  </si>
  <si>
    <t>Thousand Oaks, Calif. : Sage Publications, ©1997.</t>
  </si>
  <si>
    <t>Sage university papers series. Quantitative applications in the social sciences ; 117</t>
  </si>
  <si>
    <t>2016-01-22</t>
  </si>
  <si>
    <t>9593545034:eng</t>
  </si>
  <si>
    <t>35860947</t>
  </si>
  <si>
    <t>ocm35860947</t>
  </si>
  <si>
    <t>3101728930L</t>
  </si>
  <si>
    <t>9780761900832</t>
  </si>
  <si>
    <t>793459170</t>
  </si>
  <si>
    <t>2010-11-03</t>
  </si>
  <si>
    <t>31030748046</t>
  </si>
  <si>
    <t>793459169</t>
  </si>
  <si>
    <t>QA276.3 T83 1983</t>
  </si>
  <si>
    <t>0                      QA 0276300T  83          1983</t>
  </si>
  <si>
    <t>The visual display of quantitative information / Edward R. Tufte.</t>
  </si>
  <si>
    <t>Tufte, Edward R., 1942-</t>
  </si>
  <si>
    <t>Cheshire, Conn. (Box 430, Cheshire 06410) : Graphics Press, ©1983.</t>
  </si>
  <si>
    <t>96846:eng</t>
  </si>
  <si>
    <t>9480885</t>
  </si>
  <si>
    <t>ocm09480885</t>
  </si>
  <si>
    <t>3102947684Q</t>
  </si>
  <si>
    <t>9780961392109</t>
  </si>
  <si>
    <t>792678306</t>
  </si>
  <si>
    <t>QA276.4 D45 1998</t>
  </si>
  <si>
    <t>0                      QA 0276400D  45          1998</t>
  </si>
  <si>
    <t>The little SAS book : a primer / Lora D. Delwiche and Susan J. Slaughter.</t>
  </si>
  <si>
    <t>Delwiche, Lora D.</t>
  </si>
  <si>
    <t>Cary, NC : SAS Institute, ©1998.</t>
  </si>
  <si>
    <t>792150555:eng</t>
  </si>
  <si>
    <t>41183073</t>
  </si>
  <si>
    <t>ocm41183073</t>
  </si>
  <si>
    <t>3102199750A</t>
  </si>
  <si>
    <t>9781580252393</t>
  </si>
  <si>
    <t>793586320</t>
  </si>
  <si>
    <t>QA276.4 H356 2006</t>
  </si>
  <si>
    <t>0                      QA 0276400H  356         2006</t>
  </si>
  <si>
    <t>Statistics with Stata : updated for version 9 / Lawrence C. Hamilton.</t>
  </si>
  <si>
    <t>Hamilton, Lawrence C.</t>
  </si>
  <si>
    <t>Belmont, CA : Thomson/BrooksCole, ©2006.</t>
  </si>
  <si>
    <t>813214349:eng</t>
  </si>
  <si>
    <t>62781022</t>
  </si>
  <si>
    <t>ocm62781022</t>
  </si>
  <si>
    <t>3102631300O</t>
  </si>
  <si>
    <t>9780495109723</t>
  </si>
  <si>
    <t>794112583</t>
  </si>
  <si>
    <t>QA276.4 H359 2013</t>
  </si>
  <si>
    <t>0                      QA 0276400H  359         2013</t>
  </si>
  <si>
    <t>Statistics with Stata : updated for version 12 / Lawrence C. Hamilton, University of New Hampshire.</t>
  </si>
  <si>
    <t>Hamilton, Lawrence C., author.</t>
  </si>
  <si>
    <t>Boston, MA : Brooks/Cole, Cengage Learning, [2013]</t>
  </si>
  <si>
    <t>Eighth edition.</t>
  </si>
  <si>
    <t>812567075</t>
  </si>
  <si>
    <t>ocn812567075</t>
  </si>
  <si>
    <t>3103414635C</t>
  </si>
  <si>
    <t>9780840064639</t>
  </si>
  <si>
    <t>794931064</t>
  </si>
  <si>
    <t>QA276.4 H75 2007</t>
  </si>
  <si>
    <t>0                      QA 0276400H  75          2007</t>
  </si>
  <si>
    <t>Applied statistics with SPSS / Eelko Huizingh.</t>
  </si>
  <si>
    <t>Huizingh, Eelko.</t>
  </si>
  <si>
    <t>London ; Thousand Oaks, Calif. : SAGE, 2007.</t>
  </si>
  <si>
    <t>2016-04-05</t>
  </si>
  <si>
    <t>49239613:eng</t>
  </si>
  <si>
    <t>65469403</t>
  </si>
  <si>
    <t>ocm65469403</t>
  </si>
  <si>
    <t>31025953699</t>
  </si>
  <si>
    <t>9781412919302</t>
  </si>
  <si>
    <t>794134792</t>
  </si>
  <si>
    <t>QA276.4 K63 2005</t>
  </si>
  <si>
    <t>0                      QA 0276400K  63          2005</t>
  </si>
  <si>
    <t>Data analysis using stata / Ulrich Kohler, Frauke Kreuter.</t>
  </si>
  <si>
    <t>Kohler, Ulrich, Dr. phil.</t>
  </si>
  <si>
    <t>College Station, Tex. : Stata Press, ©2005.</t>
  </si>
  <si>
    <t>2016-11-18</t>
  </si>
  <si>
    <t>148756077:eng</t>
  </si>
  <si>
    <t>61102236</t>
  </si>
  <si>
    <t>ocm61102236</t>
  </si>
  <si>
    <t>31026361492</t>
  </si>
  <si>
    <t>9781597180078</t>
  </si>
  <si>
    <t>793946266</t>
  </si>
  <si>
    <t>QA276.4 K63 2012</t>
  </si>
  <si>
    <t>0                      QA 0276400K  63          2012</t>
  </si>
  <si>
    <t>College Station, Tex. : Stata Press, ©2012.</t>
  </si>
  <si>
    <t>806017135</t>
  </si>
  <si>
    <t>ocn806017135</t>
  </si>
  <si>
    <t>3103414468C</t>
  </si>
  <si>
    <t>9781597181105</t>
  </si>
  <si>
    <t>794926616</t>
  </si>
  <si>
    <t>QA276.4 L58 1991</t>
  </si>
  <si>
    <t>0                      QA 0276400L  58          1991</t>
  </si>
  <si>
    <t>SAS System for linear models / [Ramon C. Littell, Rudolf J. Freund, Philip C. Spector].</t>
  </si>
  <si>
    <t>Littell, Ramon C.</t>
  </si>
  <si>
    <t>Cary, NC : SAS Institute, ©1991.</t>
  </si>
  <si>
    <t>SAS series in statistical applications</t>
  </si>
  <si>
    <t>2013-06-19</t>
  </si>
  <si>
    <t>3855535161:eng</t>
  </si>
  <si>
    <t>24508741</t>
  </si>
  <si>
    <t>ocm24508741</t>
  </si>
  <si>
    <t>3103475902C</t>
  </si>
  <si>
    <t>9781555444303</t>
  </si>
  <si>
    <t>793199948</t>
  </si>
  <si>
    <t>QA276.4 M59 2012</t>
  </si>
  <si>
    <t>0                      QA 0276400M  59          2012</t>
  </si>
  <si>
    <t>A visual guide to Stata graphics / Michael N. Mitchell.</t>
  </si>
  <si>
    <t>Mitchell, Michael N., author.</t>
  </si>
  <si>
    <t>College Station, Texas : Stata Press, 2012.</t>
  </si>
  <si>
    <t>4921733432:eng</t>
  </si>
  <si>
    <t>772973777</t>
  </si>
  <si>
    <t>ocn772973777</t>
  </si>
  <si>
    <t>3103499519X</t>
  </si>
  <si>
    <t>9781597181068</t>
  </si>
  <si>
    <t>794905082</t>
  </si>
  <si>
    <t>QA276.4 O59 2005</t>
  </si>
  <si>
    <t>0                      QA 0276400O  59          2005</t>
  </si>
  <si>
    <t>SAS programming and data analysis : a theory and program-driven approach / Leonard C. Onyiah.</t>
  </si>
  <si>
    <t>Onyiah, Leonard C.</t>
  </si>
  <si>
    <t>Lanham : University Press of America, ©2005.</t>
  </si>
  <si>
    <t>47388669:eng</t>
  </si>
  <si>
    <t>63202610</t>
  </si>
  <si>
    <t>ocm63202610</t>
  </si>
  <si>
    <t>3102557407U</t>
  </si>
  <si>
    <t>9780761832638</t>
  </si>
  <si>
    <t>794120180</t>
  </si>
  <si>
    <t>QA276.4 R33 2007</t>
  </si>
  <si>
    <t>0                      QA 0276400R  33          2007</t>
  </si>
  <si>
    <t>A handbook of statistical analyses using Stata / Sophia Rabe-Hesketh, Brian S. Everitt.</t>
  </si>
  <si>
    <t>Rabe-Hesketh, S.</t>
  </si>
  <si>
    <t>Boca Raton, FL : Chapman &amp; Hall/CRC, ©2007.</t>
  </si>
  <si>
    <t>795240:eng</t>
  </si>
  <si>
    <t>70867113</t>
  </si>
  <si>
    <t>ocm70867113</t>
  </si>
  <si>
    <t>3102633667W</t>
  </si>
  <si>
    <t>9781584887560</t>
  </si>
  <si>
    <t>794160448</t>
  </si>
  <si>
    <t>QA276.4 S645 2001</t>
  </si>
  <si>
    <t>0                      QA 0276400S  645         2001</t>
  </si>
  <si>
    <t>SAS programming for researchers and social scientists / Paul E. Spector.</t>
  </si>
  <si>
    <t>Spector, Paul E.</t>
  </si>
  <si>
    <t>2017-10-21</t>
  </si>
  <si>
    <t>352055:eng</t>
  </si>
  <si>
    <t>45493417</t>
  </si>
  <si>
    <t>ocm45493417</t>
  </si>
  <si>
    <t>31026431547</t>
  </si>
  <si>
    <t>9780761922674</t>
  </si>
  <si>
    <t>793672771</t>
  </si>
  <si>
    <t>QA276.4 T465 2006</t>
  </si>
  <si>
    <t>0                      QA 0276400T  465         2006</t>
  </si>
  <si>
    <t>Thirty-three Stata tips / [H. Joseph Newton, editor, Nicholas J. Cox, editor].</t>
  </si>
  <si>
    <t>College Station, Tex. : StataCorp LP, ©2006.</t>
  </si>
  <si>
    <t>375776756:eng</t>
  </si>
  <si>
    <t>76786781</t>
  </si>
  <si>
    <t>ocm76786781</t>
  </si>
  <si>
    <t>3102595085E</t>
  </si>
  <si>
    <t>9781597180184</t>
  </si>
  <si>
    <t>794176649</t>
  </si>
  <si>
    <t>QA276.45 R3 S7413 2012</t>
  </si>
  <si>
    <t>0                      QA 0276450R  3                  S  7413        2012</t>
  </si>
  <si>
    <t>R for statistics / Pierre-André Cornillon [and others].</t>
  </si>
  <si>
    <t>Statistiques avec R. English.</t>
  </si>
  <si>
    <t>1124669992:eng</t>
  </si>
  <si>
    <t>724641053</t>
  </si>
  <si>
    <t>ocn724641053</t>
  </si>
  <si>
    <t>3103411728N</t>
  </si>
  <si>
    <t>9781439881453</t>
  </si>
  <si>
    <t>794876416</t>
  </si>
  <si>
    <t>QA276.45 S73 L66 2009</t>
  </si>
  <si>
    <t>0                      QA 0276450S  73                 L  66          2009</t>
  </si>
  <si>
    <t>The workflow of data analysis using Stata / J. Scott Long.</t>
  </si>
  <si>
    <t>Long, J. Scott, author.</t>
  </si>
  <si>
    <t>College Station, Tex. : Stata Press, [2009]</t>
  </si>
  <si>
    <t>178440466:eng</t>
  </si>
  <si>
    <t>297146677</t>
  </si>
  <si>
    <t>ocn297146677</t>
  </si>
  <si>
    <t>3103079517U</t>
  </si>
  <si>
    <t>9781597180474</t>
  </si>
  <si>
    <t>794425671</t>
  </si>
  <si>
    <t>QA276.45 S8 P48 2009</t>
  </si>
  <si>
    <t>0                      QA 0276450S  8                  P  48          2009</t>
  </si>
  <si>
    <t>The Stata survival manual / [David] Pevalin and [Karen] Robson.</t>
  </si>
  <si>
    <t>Pevalin, David J.</t>
  </si>
  <si>
    <t>Maidenhead, Berkshire, England ; New York, NY : Open University Press, 2009.</t>
  </si>
  <si>
    <t>308519408:eng</t>
  </si>
  <si>
    <t>440554767</t>
  </si>
  <si>
    <t>ocn440554767</t>
  </si>
  <si>
    <t>3103097232X</t>
  </si>
  <si>
    <t>9780335223879</t>
  </si>
  <si>
    <t>794786452</t>
  </si>
  <si>
    <t>QA276.5 R3</t>
  </si>
  <si>
    <t>0                      QA 0276500R  3</t>
  </si>
  <si>
    <t>A million random digits with 100,000 normal deviates / by the Rand Corporation.</t>
  </si>
  <si>
    <t>Rand Corporation.</t>
  </si>
  <si>
    <t>Glencoe, Ill. : Free Press, 1955.</t>
  </si>
  <si>
    <t>2018-11-15</t>
  </si>
  <si>
    <t>400742:eng</t>
  </si>
  <si>
    <t>180364</t>
  </si>
  <si>
    <t>ocm00180364</t>
  </si>
  <si>
    <t>3000991091Y</t>
  </si>
  <si>
    <t>9780029257906</t>
  </si>
  <si>
    <t>791284011</t>
  </si>
  <si>
    <t>31024164847</t>
  </si>
  <si>
    <t>791284012</t>
  </si>
  <si>
    <t>QA276.6 L46 2004</t>
  </si>
  <si>
    <t>0                      QA 0276600L  46          2004</t>
  </si>
  <si>
    <t>Practical methods for design and analysis of complex surveys / Risto Lehtonen and Erkki Pahkinen.</t>
  </si>
  <si>
    <t>Lehtonen, Risto.</t>
  </si>
  <si>
    <t>Chichester, West Sussex, England ; Hoboken, NJ : J. Wiley, ©2004.</t>
  </si>
  <si>
    <t>Statistics in practice</t>
  </si>
  <si>
    <t>702638:eng</t>
  </si>
  <si>
    <t>52418310</t>
  </si>
  <si>
    <t>ocm52418310</t>
  </si>
  <si>
    <t>3102785312C</t>
  </si>
  <si>
    <t>9780470847695</t>
  </si>
  <si>
    <t>793806008</t>
  </si>
  <si>
    <t>QA276.7 P646 1999</t>
  </si>
  <si>
    <t>0                      QA 0276700P  646         1999</t>
  </si>
  <si>
    <t>Subsampling / Dimitris N. Politis, Joseph P. Romano, Michael Wolf.</t>
  </si>
  <si>
    <t>Politis, Dimitris N.</t>
  </si>
  <si>
    <t>New York : Springer, ©1999.</t>
  </si>
  <si>
    <t>Springer series in statistics</t>
  </si>
  <si>
    <t>2016-08-15</t>
  </si>
  <si>
    <t>26708520:eng</t>
  </si>
  <si>
    <t>41070657</t>
  </si>
  <si>
    <t>ocm41070657</t>
  </si>
  <si>
    <t>3102236113W</t>
  </si>
  <si>
    <t>9780387988542</t>
  </si>
  <si>
    <t>793583144</t>
  </si>
  <si>
    <t>QA276.74 S73 2014</t>
  </si>
  <si>
    <t>0                      QA 0276740S  73          2014</t>
  </si>
  <si>
    <t>Statistical interpretation of data. Part 6, Determination of statistical tolerance intervals = Interprétation statistique des données. Partie 6, Détermination des intervalles statistiques de tolérance.</t>
  </si>
  <si>
    <t>[Geneva], Switzerland : International Organization for Standardization, [2014]</t>
  </si>
  <si>
    <t>117219530:eng</t>
  </si>
  <si>
    <t>1008757084</t>
  </si>
  <si>
    <t>on1008757084</t>
  </si>
  <si>
    <t>31037602522</t>
  </si>
  <si>
    <t>795044752</t>
  </si>
  <si>
    <t>QA276.8 B3745 1993</t>
  </si>
  <si>
    <t>0                      QA 0276800B  3745        1993</t>
  </si>
  <si>
    <t>An introduction to the bootstrap / Bradley Efron and Robert J. Tibshirani.</t>
  </si>
  <si>
    <t>Efron, Bradley.</t>
  </si>
  <si>
    <t>New York : Chapman &amp; Hall, ©1994.</t>
  </si>
  <si>
    <t>Monographs on statistics and applied probability ; 57</t>
  </si>
  <si>
    <t>20761531:eng</t>
  </si>
  <si>
    <t>28112208</t>
  </si>
  <si>
    <t>ocm28112208</t>
  </si>
  <si>
    <t>31027682711</t>
  </si>
  <si>
    <t>9780412042317</t>
  </si>
  <si>
    <t>793279967</t>
  </si>
  <si>
    <t>QA277 H43 2018</t>
  </si>
  <si>
    <t>0                      QA 0277000H  43          2018</t>
  </si>
  <si>
    <t>Introduction to power analysis : two-group studies / E.C. Hedberg, NORC at the University of Chicago.</t>
  </si>
  <si>
    <t>Hedberg, E. C. (Eric Christopher), 1978- author.</t>
  </si>
  <si>
    <t>Thousand Oaks, California : Sage Publications, Inc., [2018]</t>
  </si>
  <si>
    <t>Quantitative Applications in the Social Sciences ; no. 07-176</t>
  </si>
  <si>
    <t>4418036738:eng</t>
  </si>
  <si>
    <t>1005779063</t>
  </si>
  <si>
    <t>on1005779063</t>
  </si>
  <si>
    <t>3103741071D</t>
  </si>
  <si>
    <t>9781506343129</t>
  </si>
  <si>
    <t>795042771</t>
  </si>
  <si>
    <t>QA277 M87 2004</t>
  </si>
  <si>
    <t>0                      QA 0277000M  87          2004</t>
  </si>
  <si>
    <t>Statistical power analysis : a simple and general model for traditional and modern hypothesis tests / Kevin R. Murphy, Brett Myors.</t>
  </si>
  <si>
    <t>Murphy, Kevin R., 1952-</t>
  </si>
  <si>
    <t>Mahwah, N.J. : L. Erlbaum Associates, Publishers, 2004.</t>
  </si>
  <si>
    <t>799758838:eng</t>
  </si>
  <si>
    <t>52860444</t>
  </si>
  <si>
    <t>ocm52860444</t>
  </si>
  <si>
    <t>3102326475A</t>
  </si>
  <si>
    <t>9780805845259</t>
  </si>
  <si>
    <t>793816066</t>
  </si>
  <si>
    <t>QA277 R84 1998</t>
  </si>
  <si>
    <t>0                      QA 0277000R  84          1998</t>
  </si>
  <si>
    <t>Odds ratios in the analysis of contingency tables / Tamás Rudas.</t>
  </si>
  <si>
    <t>Rudas, Tamás.</t>
  </si>
  <si>
    <t>Sage university papers series. Quantitative applications in the social sciences ; no. 07-119</t>
  </si>
  <si>
    <t>590139:eng</t>
  </si>
  <si>
    <t>37573245</t>
  </si>
  <si>
    <t>ocm37573245</t>
  </si>
  <si>
    <t>3102790141R</t>
  </si>
  <si>
    <t>9780761903628</t>
  </si>
  <si>
    <t>793501813</t>
  </si>
  <si>
    <t>2013-06-26</t>
  </si>
  <si>
    <t>3103074843Z</t>
  </si>
  <si>
    <t>793501812</t>
  </si>
  <si>
    <t>QA278 A353 1990</t>
  </si>
  <si>
    <t>0                      QA 0278000A  353         1990</t>
  </si>
  <si>
    <t>Categorical data analysis / Alan Agresti.</t>
  </si>
  <si>
    <t>Wiley series in probability and mathematical statistics. Applied probability and statistics</t>
  </si>
  <si>
    <t>5980024:eng</t>
  </si>
  <si>
    <t>20393175</t>
  </si>
  <si>
    <t>ocm20393175</t>
  </si>
  <si>
    <t>31029438673</t>
  </si>
  <si>
    <t>9780471853015</t>
  </si>
  <si>
    <t>793086743</t>
  </si>
  <si>
    <t>QA278 B97 1998</t>
  </si>
  <si>
    <t>0                      QA 0278000B  97          1998</t>
  </si>
  <si>
    <t>Structural equation modeling with LISREL, PRELIS, and SIMPLIS : basic concepts, applications, and programming / Barbara M. Byrne.</t>
  </si>
  <si>
    <t>Byrne, Barbara M.</t>
  </si>
  <si>
    <t>Mahwah, N.J. : L. Erlbaum Associates, 1998.</t>
  </si>
  <si>
    <t>Multivariate applications book series</t>
  </si>
  <si>
    <t>3863835942:eng</t>
  </si>
  <si>
    <t>38002664</t>
  </si>
  <si>
    <t>ocm38002664</t>
  </si>
  <si>
    <t>31027404642</t>
  </si>
  <si>
    <t>9780805829242</t>
  </si>
  <si>
    <t>793512613</t>
  </si>
  <si>
    <t>QA278 C587 1996</t>
  </si>
  <si>
    <t>0                      QA 0278000C  587         1996</t>
  </si>
  <si>
    <t>Clustering and classification / editors, P. Arabie, L.J. Hubert, G. De Soete.</t>
  </si>
  <si>
    <t>Singapore ; River Edge, NJ : World Scientific, ©1996.</t>
  </si>
  <si>
    <t>2017-07-02</t>
  </si>
  <si>
    <t>350628897:eng</t>
  </si>
  <si>
    <t>34894884</t>
  </si>
  <si>
    <t>ocm34894884</t>
  </si>
  <si>
    <t>3101593682B</t>
  </si>
  <si>
    <t>9789810212872</t>
  </si>
  <si>
    <t>793438250</t>
  </si>
  <si>
    <t>QA278 H34 1987</t>
  </si>
  <si>
    <t>0                      QA 0278000H  34          1987</t>
  </si>
  <si>
    <t>Multivariate data analysis with readings / Joseph F. Hair, Jr., Rolph E. Anderson, Ronald L. Tatham.</t>
  </si>
  <si>
    <t>Hair, Joseph F.</t>
  </si>
  <si>
    <t>New York : Macmillan ; London : Collier Macmillan, ©1987.</t>
  </si>
  <si>
    <t>2018-03-24</t>
  </si>
  <si>
    <t>1020479992:eng</t>
  </si>
  <si>
    <t>13821459</t>
  </si>
  <si>
    <t>ocm13821459</t>
  </si>
  <si>
    <t>3102417166G</t>
  </si>
  <si>
    <t>9780023489808</t>
  </si>
  <si>
    <t>792867926</t>
  </si>
  <si>
    <t>QA278 H35 2001</t>
  </si>
  <si>
    <t>0                      QA 0278000H  35          2001</t>
  </si>
  <si>
    <t>A primer of multivariate statistics / Richard J. Harris.</t>
  </si>
  <si>
    <t>Harris, Richard J.</t>
  </si>
  <si>
    <t>1002255:eng</t>
  </si>
  <si>
    <t>46793079</t>
  </si>
  <si>
    <t>ocm46793079</t>
  </si>
  <si>
    <t>3102312297X</t>
  </si>
  <si>
    <t>9780805832105</t>
  </si>
  <si>
    <t>793691504</t>
  </si>
  <si>
    <t>QA278 H373 2015</t>
  </si>
  <si>
    <t>0                      QA 0278000H  373         2015</t>
  </si>
  <si>
    <t>Applied multivariate statistical analysis / Wolfgang Karl Härdle, Léopold Simar.</t>
  </si>
  <si>
    <t>Härdle, Wolfgang, author.</t>
  </si>
  <si>
    <t>Heidelberg ; New York : Springer, [2015]</t>
  </si>
  <si>
    <t>2019-08-27</t>
  </si>
  <si>
    <t>832539:eng</t>
  </si>
  <si>
    <t>910078938</t>
  </si>
  <si>
    <t>ocn910078938</t>
  </si>
  <si>
    <t>3103903225C</t>
  </si>
  <si>
    <t>9783662451700</t>
  </si>
  <si>
    <t>794995796</t>
  </si>
  <si>
    <t>QA278 I53 2004</t>
  </si>
  <si>
    <t>0                      QA 0278000I  53          2004</t>
  </si>
  <si>
    <t>Classification, clustering, and data mining applications : proceedings of the Meeting of the International Federation of Classification Societies (IFCS), Illinois Institute of Technology, Chicago, 15-18 July 2004 / David Banks [and others], editors.</t>
  </si>
  <si>
    <t>International Federation of Classification Societies. Conference (9th : 2004 : Chicago, Ill.)</t>
  </si>
  <si>
    <t>Studies in classification, data analysis, and knowledge organization, 1431-8814</t>
  </si>
  <si>
    <t>864149139:eng</t>
  </si>
  <si>
    <t>60589756</t>
  </si>
  <si>
    <t>ocm60589756</t>
  </si>
  <si>
    <t>3102451007Z</t>
  </si>
  <si>
    <t>9783540220145</t>
  </si>
  <si>
    <t>793940346</t>
  </si>
  <si>
    <t>QA278 J332 1998</t>
  </si>
  <si>
    <t>0                      QA 0278000J  332         1998</t>
  </si>
  <si>
    <t>Statistical graphics for visualizing multivariate data / William G. Jacoby.</t>
  </si>
  <si>
    <t>Sage University papers. Quantitative applications in the social sciences ; no. 07-120</t>
  </si>
  <si>
    <t>590597:eng</t>
  </si>
  <si>
    <t>37843851</t>
  </si>
  <si>
    <t>ocm37843851</t>
  </si>
  <si>
    <t>3101856326L</t>
  </si>
  <si>
    <t>9780761908999</t>
  </si>
  <si>
    <t>793508305</t>
  </si>
  <si>
    <t>QA278 J63 1992</t>
  </si>
  <si>
    <t>0                      QA 0278000J  63          1992</t>
  </si>
  <si>
    <t>Applied multivariate statistical analysis / Richard A. Johnson, Dean W. Wichern.</t>
  </si>
  <si>
    <t>Johnson, Richard A. (Richard Arnold), 1937-</t>
  </si>
  <si>
    <t>Englewood Cliffs, N.J. : Prentice Hall, ©1992.</t>
  </si>
  <si>
    <t>2015-09-25</t>
  </si>
  <si>
    <t>2018-09-22</t>
  </si>
  <si>
    <t>594147:eng</t>
  </si>
  <si>
    <t>24955047</t>
  </si>
  <si>
    <t>ocm24955047</t>
  </si>
  <si>
    <t>3100208145L</t>
  </si>
  <si>
    <t>9780130417732</t>
  </si>
  <si>
    <t>793209017</t>
  </si>
  <si>
    <t>QA278 K395 2011</t>
  </si>
  <si>
    <t>0                      QA 0278000K  395         2011</t>
  </si>
  <si>
    <t>Resource-constrained spatial hot spot identification / Ryan Keefe, Thomas Sullivan.</t>
  </si>
  <si>
    <t>Keefe, Ryan.</t>
  </si>
  <si>
    <t>Santa Monica, CA : RAND, 2011.</t>
  </si>
  <si>
    <t>Technical report</t>
  </si>
  <si>
    <t>769994780:eng</t>
  </si>
  <si>
    <t>696772912</t>
  </si>
  <si>
    <t>ocn696772912</t>
  </si>
  <si>
    <t>3103368897X</t>
  </si>
  <si>
    <t>9780833051370</t>
  </si>
  <si>
    <t>794859429</t>
  </si>
  <si>
    <t>QA278 K585 2005</t>
  </si>
  <si>
    <t>0                      QA 0278000K  585         2005</t>
  </si>
  <si>
    <t>Principles and practice of structural equation modeling / Rex B. Kline.</t>
  </si>
  <si>
    <t>Kline, Rex B.</t>
  </si>
  <si>
    <t>New York : Guilford Press, ©2005.</t>
  </si>
  <si>
    <t>Methodology in the social sciences</t>
  </si>
  <si>
    <t>86213:eng</t>
  </si>
  <si>
    <t>56334248</t>
  </si>
  <si>
    <t>ocm56334248</t>
  </si>
  <si>
    <t>3102460177H</t>
  </si>
  <si>
    <t>9781593850753</t>
  </si>
  <si>
    <t>793891016</t>
  </si>
  <si>
    <t>QA278 K73 1988</t>
  </si>
  <si>
    <t>0                      QA 0278000K  73          1988</t>
  </si>
  <si>
    <t>Principles of multivariate analysis : a user's perspective / W.J. Krzanowski.</t>
  </si>
  <si>
    <t>Krzanowski, W. J.</t>
  </si>
  <si>
    <t>Oxford [Oxfordshire] : Clarendon Press ; New York : Oxford University Press, 1988.</t>
  </si>
  <si>
    <t>Oxford statistical science series ; 3</t>
  </si>
  <si>
    <t>2017-07-31</t>
  </si>
  <si>
    <t>43487:eng</t>
  </si>
  <si>
    <t>17104080</t>
  </si>
  <si>
    <t>ocm17104080</t>
  </si>
  <si>
    <t>3100683220J</t>
  </si>
  <si>
    <t>9780198522119</t>
  </si>
  <si>
    <t>792982160</t>
  </si>
  <si>
    <t>QA278 L384 2003</t>
  </si>
  <si>
    <t>0                      QA 0278000L  384         2003</t>
  </si>
  <si>
    <t>Categorical data analysis with SAS and SPSS applications / Bayo Lawal.</t>
  </si>
  <si>
    <t>Lawal, Bayo (H. Bayo)</t>
  </si>
  <si>
    <t>Mahwah, N.J. : Lawrence Erlbaum Associates, 2003.</t>
  </si>
  <si>
    <t>44590:eng</t>
  </si>
  <si>
    <t>51768777</t>
  </si>
  <si>
    <t>ocm51768777</t>
  </si>
  <si>
    <t>3102327628A</t>
  </si>
  <si>
    <t>9780805846058</t>
  </si>
  <si>
    <t>793790650</t>
  </si>
  <si>
    <t>QA278 L85 2004</t>
  </si>
  <si>
    <t>0                      QA 0278000L  85          2004</t>
  </si>
  <si>
    <t>Multilevel modeling / Douglas A. Luke.</t>
  </si>
  <si>
    <t>Luke, Douglas A.</t>
  </si>
  <si>
    <t>Sage university papers. Quantitative applications in the social sciences ; no. 07-143</t>
  </si>
  <si>
    <t>12642814:eng</t>
  </si>
  <si>
    <t>53970761</t>
  </si>
  <si>
    <t>ocm53970761</t>
  </si>
  <si>
    <t>31024832202</t>
  </si>
  <si>
    <t>9780761928799</t>
  </si>
  <si>
    <t>793854358</t>
  </si>
  <si>
    <t>QA278 M374 1998</t>
  </si>
  <si>
    <t>0                      QA 0278000M  374         1998</t>
  </si>
  <si>
    <t>Basics of structural equation modeling / Geoffrey M. Maruyama.</t>
  </si>
  <si>
    <t>Maruyama, Geoffrey.</t>
  </si>
  <si>
    <t>Thousand Oaks, Calif. : Sage Publications, [1997], ©1998.</t>
  </si>
  <si>
    <t>155230111:eng</t>
  </si>
  <si>
    <t>36755728</t>
  </si>
  <si>
    <t>ocm36755728</t>
  </si>
  <si>
    <t>31023760179</t>
  </si>
  <si>
    <t>9780803974081</t>
  </si>
  <si>
    <t>793483539</t>
  </si>
  <si>
    <t>QA278 M46 2013</t>
  </si>
  <si>
    <t>0                      QA 0278000M  46          2013</t>
  </si>
  <si>
    <t>Advanced and multivariate statistical methods : practical application and interpretation / Craig A. Mertler, Rachel A. Vannatta.</t>
  </si>
  <si>
    <t>Mertler, Craig A., author.</t>
  </si>
  <si>
    <t>Glendale, CA : Pyrczak Publishing, [2013]</t>
  </si>
  <si>
    <t>18287189:eng</t>
  </si>
  <si>
    <t>855806713</t>
  </si>
  <si>
    <t>ocn855806713</t>
  </si>
  <si>
    <t>3103640116T</t>
  </si>
  <si>
    <t>9781936523092</t>
  </si>
  <si>
    <t>794953850</t>
  </si>
  <si>
    <t>QA278 R32 2000</t>
  </si>
  <si>
    <t>0                      QA 0278000R  32          2000</t>
  </si>
  <si>
    <t>Reading and understanding more multivariate statistics / edited by Laurence G. Grimm and Paul R. Yarnold.</t>
  </si>
  <si>
    <t>Washington, DC : American Psychological Association, ©2000.</t>
  </si>
  <si>
    <t>2017-01-05</t>
  </si>
  <si>
    <t>3802579812:eng</t>
  </si>
  <si>
    <t>43694440</t>
  </si>
  <si>
    <t>ocm43694440</t>
  </si>
  <si>
    <t>3102953307P</t>
  </si>
  <si>
    <t>9781557986986</t>
  </si>
  <si>
    <t>793632780</t>
  </si>
  <si>
    <t>2012-12-13</t>
  </si>
  <si>
    <t>3103474508S</t>
  </si>
  <si>
    <t>793632781</t>
  </si>
  <si>
    <t>QA278 S645 1999</t>
  </si>
  <si>
    <t>0                      QA 0278000S  645         1999</t>
  </si>
  <si>
    <t>Multilevel analysis : an introduction to basic and advanced multilevel modeling / Tom A.B. Snijders and Roel J. Bosker.</t>
  </si>
  <si>
    <t>Snijders, T. A. B.</t>
  </si>
  <si>
    <t>London ; Thousand Oaks, Calif. : Sage Publications, 1999.</t>
  </si>
  <si>
    <t>2016-08-24</t>
  </si>
  <si>
    <t>807035383:eng</t>
  </si>
  <si>
    <t>44885604</t>
  </si>
  <si>
    <t>ocm44885604</t>
  </si>
  <si>
    <t>3103041496R</t>
  </si>
  <si>
    <t>9780761958895</t>
  </si>
  <si>
    <t>793659962</t>
  </si>
  <si>
    <t>3103212680M</t>
  </si>
  <si>
    <t>793659963</t>
  </si>
  <si>
    <t>3102789768B</t>
  </si>
  <si>
    <t>793659965</t>
  </si>
  <si>
    <t>3103101275E</t>
  </si>
  <si>
    <t>793659964</t>
  </si>
  <si>
    <t>QA278 S645 2012</t>
  </si>
  <si>
    <t>0                      QA 0278000S  645         2012</t>
  </si>
  <si>
    <t>Multilevel analysis : an introduction to basic and advanced multilevel modeling / Tom A.B. Snijders, Roel J. Bosker.</t>
  </si>
  <si>
    <t>Snijders, T. A. B., author.</t>
  </si>
  <si>
    <t>Los Angeles : Sage, [2012]</t>
  </si>
  <si>
    <t>768067500</t>
  </si>
  <si>
    <t>ocn768067500</t>
  </si>
  <si>
    <t>31037396055</t>
  </si>
  <si>
    <t>9781849202008</t>
  </si>
  <si>
    <t>794901826</t>
  </si>
  <si>
    <t>QA278 S693 2002</t>
  </si>
  <si>
    <t>0                      QA 0278000S  693         2002</t>
  </si>
  <si>
    <t>Methods of multivariate statistics / M.S. Srivastava.</t>
  </si>
  <si>
    <t>Srivastava, M. S.</t>
  </si>
  <si>
    <t>Toronto, Ont. ; Chichester : Wiley, ©2002.</t>
  </si>
  <si>
    <t>Wiley series in probability and statistics</t>
  </si>
  <si>
    <t>6361878:eng</t>
  </si>
  <si>
    <t>49594739</t>
  </si>
  <si>
    <t>ocm49594739</t>
  </si>
  <si>
    <t>31023123129</t>
  </si>
  <si>
    <t>9780471223818</t>
  </si>
  <si>
    <t>793743714</t>
  </si>
  <si>
    <t>QA278 S74 2002</t>
  </si>
  <si>
    <t>0                      QA 0278000S  74          2002</t>
  </si>
  <si>
    <t>Applied multivariate statistics for the social sciences / James Stevens.</t>
  </si>
  <si>
    <t>Stevens, James (James Paul)</t>
  </si>
  <si>
    <t>Mahwah, N.J. : Lawrence Erlbaum Associates, 2002.</t>
  </si>
  <si>
    <t>1002768:eng</t>
  </si>
  <si>
    <t>46685145</t>
  </si>
  <si>
    <t>ocm46685145</t>
  </si>
  <si>
    <t>3102252648H</t>
  </si>
  <si>
    <t>9780805837766</t>
  </si>
  <si>
    <t>793689578</t>
  </si>
  <si>
    <t>2015-02-18</t>
  </si>
  <si>
    <t>31027944188</t>
  </si>
  <si>
    <t>793689579</t>
  </si>
  <si>
    <t>QA278 S74 2009</t>
  </si>
  <si>
    <t>0                      QA 0278000S  74          2009</t>
  </si>
  <si>
    <t>Applied multivariate statistics for the social sciences / James P. Stevens.</t>
  </si>
  <si>
    <t>New York : Routledge, ©2009.</t>
  </si>
  <si>
    <t>237880550</t>
  </si>
  <si>
    <t>ocn237880550</t>
  </si>
  <si>
    <t>3103333369F</t>
  </si>
  <si>
    <t>9780805859010</t>
  </si>
  <si>
    <t>794373641</t>
  </si>
  <si>
    <t>3103333370D</t>
  </si>
  <si>
    <t>794373640</t>
  </si>
  <si>
    <t>QA278 T3 1989</t>
  </si>
  <si>
    <t>0                      QA 0278000T  3           1989</t>
  </si>
  <si>
    <t>Using multivariate statistics / Barbara G. Tabachnick, Linda S. Fidell.</t>
  </si>
  <si>
    <t>Tabachnick, Barbara G., 1936-</t>
  </si>
  <si>
    <t>New York : Harper &amp; Row, ©1989.</t>
  </si>
  <si>
    <t>1004180:eng</t>
  </si>
  <si>
    <t>18681399</t>
  </si>
  <si>
    <t>ocm18681399</t>
  </si>
  <si>
    <t>31029533819</t>
  </si>
  <si>
    <t>9780060465711</t>
  </si>
  <si>
    <t>793033289</t>
  </si>
  <si>
    <t>QA278 T3 2001</t>
  </si>
  <si>
    <t>0                      QA 0278000T  3           2001</t>
  </si>
  <si>
    <t>Boston, MA : Allyn and Bacon, ©2001.</t>
  </si>
  <si>
    <t>2017-01-27</t>
  </si>
  <si>
    <t>43661994</t>
  </si>
  <si>
    <t>ocm43661994</t>
  </si>
  <si>
    <t>3102223393R</t>
  </si>
  <si>
    <t>9780321056771</t>
  </si>
  <si>
    <t>793632064</t>
  </si>
  <si>
    <t>QA278 T3 2007</t>
  </si>
  <si>
    <t>0                      QA 0278000T  3           2007</t>
  </si>
  <si>
    <t>Boston : Pearson/Allyn &amp; Bacon, ©2007.</t>
  </si>
  <si>
    <t>62766132</t>
  </si>
  <si>
    <t>ocm62766132</t>
  </si>
  <si>
    <t>3103409827U</t>
  </si>
  <si>
    <t>9780205459384</t>
  </si>
  <si>
    <t>794112382</t>
  </si>
  <si>
    <t>3103251733D</t>
  </si>
  <si>
    <t>794112381</t>
  </si>
  <si>
    <t>QA278 T3 2013</t>
  </si>
  <si>
    <t>0                      QA 0278000T  3           2013</t>
  </si>
  <si>
    <t>Tabachnick, Barbara G., 1936- author.</t>
  </si>
  <si>
    <t>Boston : Pearson Education, ©2013.</t>
  </si>
  <si>
    <t>776874786</t>
  </si>
  <si>
    <t>ocn776874786</t>
  </si>
  <si>
    <t>31034783676</t>
  </si>
  <si>
    <t>9780205849574</t>
  </si>
  <si>
    <t>794908409</t>
  </si>
  <si>
    <t>QA278.2 A29 2004</t>
  </si>
  <si>
    <t>0                      QA 0278200A  29          2004</t>
  </si>
  <si>
    <t>Regression analysis for categorical moderators / Herman Aguinis ; series editor's note by David A. Kenny.</t>
  </si>
  <si>
    <t>Aguinis, Herman, 1966-</t>
  </si>
  <si>
    <t>New York : Guilford Press, ©2004.</t>
  </si>
  <si>
    <t>2015-10-22</t>
  </si>
  <si>
    <t>783304:eng</t>
  </si>
  <si>
    <t>53360550</t>
  </si>
  <si>
    <t>ocm53360550</t>
  </si>
  <si>
    <t>3102338952N</t>
  </si>
  <si>
    <t>9781572309692</t>
  </si>
  <si>
    <t>793827018</t>
  </si>
  <si>
    <t>QA278.2 A34 1991</t>
  </si>
  <si>
    <t>0                      QA 0278200A  34          1991</t>
  </si>
  <si>
    <t>Multiple regression : testing and interpreting interactions / Leona S. Aiken, Stephen G. West ; with contributions by Raymond R. Reno.</t>
  </si>
  <si>
    <t>Aiken, Leona S.</t>
  </si>
  <si>
    <t>Newbury Park, Calif. : Sage Publications, ©1991.</t>
  </si>
  <si>
    <t>2017-02-19</t>
  </si>
  <si>
    <t>898589:eng</t>
  </si>
  <si>
    <t>23080434</t>
  </si>
  <si>
    <t>ocm23080434</t>
  </si>
  <si>
    <t>3102739308N</t>
  </si>
  <si>
    <t>9780803936058</t>
  </si>
  <si>
    <t>793161007</t>
  </si>
  <si>
    <t>QA278.2 A435 1999</t>
  </si>
  <si>
    <t>0                      QA 0278200A  435         1999</t>
  </si>
  <si>
    <t>Multiple regression : a primer / Paul D. Allison.</t>
  </si>
  <si>
    <t>Thousand Oaks, Calif. : Pine Forge Press, ©1999.</t>
  </si>
  <si>
    <t>The Pine Forge Press series in research methods and statistics</t>
  </si>
  <si>
    <t>796388457:eng</t>
  </si>
  <si>
    <t>39671633</t>
  </si>
  <si>
    <t>ocm39671633</t>
  </si>
  <si>
    <t>3102521262Q</t>
  </si>
  <si>
    <t>9780761985334</t>
  </si>
  <si>
    <t>793550612</t>
  </si>
  <si>
    <t>31028099760</t>
  </si>
  <si>
    <t>793550611</t>
  </si>
  <si>
    <t>QA278.2 B74 1996</t>
  </si>
  <si>
    <t>0                      QA 0278200B  74          1996</t>
  </si>
  <si>
    <t>Regression models : censored, sample selected or truncated data / Richard Breen.</t>
  </si>
  <si>
    <t>Breen, Richard, 1954-</t>
  </si>
  <si>
    <t>Thousand Oaks, Ca. : Sage Publications, ©1996.</t>
  </si>
  <si>
    <t>Sage university papers series. Quantitative applications in the social sciences ; no. 07-111</t>
  </si>
  <si>
    <t>2009-04-15</t>
  </si>
  <si>
    <t>794367556:eng</t>
  </si>
  <si>
    <t>33165023</t>
  </si>
  <si>
    <t>ocm33165023</t>
  </si>
  <si>
    <t>3103073943$</t>
  </si>
  <si>
    <t>9780803957107</t>
  </si>
  <si>
    <t>793403631</t>
  </si>
  <si>
    <t>3101516185L</t>
  </si>
  <si>
    <t>793403632</t>
  </si>
  <si>
    <t>QA278.2 C36 1998</t>
  </si>
  <si>
    <t>0                      QA 0278200C  36          1998</t>
  </si>
  <si>
    <t>Regression analysis of count data / A. Colin Cameron, Pravin K. Trivedi.</t>
  </si>
  <si>
    <t>Cameron, Adrian Colin.</t>
  </si>
  <si>
    <t>Cambridge, UK ; New York, NY, USA : Cambridge University Press, 1998.</t>
  </si>
  <si>
    <t>Econometric society monographs ; no. 30</t>
  </si>
  <si>
    <t>8908764176:eng</t>
  </si>
  <si>
    <t>38738914</t>
  </si>
  <si>
    <t>ocm38738914</t>
  </si>
  <si>
    <t>3101941964D</t>
  </si>
  <si>
    <t>9780521632010</t>
  </si>
  <si>
    <t>793529572</t>
  </si>
  <si>
    <t>QA278.2 C6</t>
  </si>
  <si>
    <t>0                      QA 0278200C  6</t>
  </si>
  <si>
    <t>Spatial autocorrelation [by] A.D. Cliff and J.K. Ord.</t>
  </si>
  <si>
    <t>Cliff, A. D. (Andrew David)</t>
  </si>
  <si>
    <t>London, Pion, 1973.</t>
  </si>
  <si>
    <t>Monographs in spatial and environmental systems analysis, 5</t>
  </si>
  <si>
    <t>1930901:eng</t>
  </si>
  <si>
    <t>1010166</t>
  </si>
  <si>
    <t>ocm01010166</t>
  </si>
  <si>
    <t>3102964396Z</t>
  </si>
  <si>
    <t>9780850860368</t>
  </si>
  <si>
    <t>791524323</t>
  </si>
  <si>
    <t>30001887801</t>
  </si>
  <si>
    <t>791524324</t>
  </si>
  <si>
    <t>QA278.2 F62 2000</t>
  </si>
  <si>
    <t>0                      QA 0278200F  62          2000</t>
  </si>
  <si>
    <t>Nonparametric simple regression : smoothing scatterplots / John Fox.</t>
  </si>
  <si>
    <t>Fox, John, 1947-</t>
  </si>
  <si>
    <t>Thousand Oaks, CA : Sage Publications, ©2000.</t>
  </si>
  <si>
    <t>Quantitative applications in the social sciences ; no. 07-130</t>
  </si>
  <si>
    <t>795241479:eng</t>
  </si>
  <si>
    <t>42578667</t>
  </si>
  <si>
    <t>ocm42578667</t>
  </si>
  <si>
    <t>3102060261L</t>
  </si>
  <si>
    <t>9780761915850</t>
  </si>
  <si>
    <t>793609120</t>
  </si>
  <si>
    <t>QA278.2 F63 1991</t>
  </si>
  <si>
    <t>0                      QA 0278200F  63          1991</t>
  </si>
  <si>
    <t>Regression Diagnostics / John Fox.</t>
  </si>
  <si>
    <t>A Sage university papers series. Quantitative applications in the social sciences ; no. 07-079</t>
  </si>
  <si>
    <t>5610447540:eng</t>
  </si>
  <si>
    <t>24068617</t>
  </si>
  <si>
    <t>ocm24068617</t>
  </si>
  <si>
    <t>3102929843U</t>
  </si>
  <si>
    <t>9780803939714</t>
  </si>
  <si>
    <t>793188931</t>
  </si>
  <si>
    <t>QA278.2 F698 2006</t>
  </si>
  <si>
    <t>0                      QA 0278200F  698         2006</t>
  </si>
  <si>
    <t>Regression analysis : statistical modeling of a response variable.</t>
  </si>
  <si>
    <t>(text + CD)</t>
  </si>
  <si>
    <t>Burlington, MA : Elsevier Academic Press, ©2006.</t>
  </si>
  <si>
    <t>2nd ed. / Rudolf J. Freund, William J. Wilson, Ping Sa.</t>
  </si>
  <si>
    <t>4919975839:eng</t>
  </si>
  <si>
    <t>62533974</t>
  </si>
  <si>
    <t>ocm62533974</t>
  </si>
  <si>
    <t>3102971894R</t>
  </si>
  <si>
    <t>9780120885978</t>
  </si>
  <si>
    <t>794109435</t>
  </si>
  <si>
    <t>QA278.2 G8445 2019</t>
  </si>
  <si>
    <t>0                      QA 0278200G  8445        2019</t>
  </si>
  <si>
    <t>Linear regression : a mathematical introduction / Damodar N. Gujarati.</t>
  </si>
  <si>
    <t>Gujarati, Damodar N., author.</t>
  </si>
  <si>
    <t>Thousand Oaks, California : Sage Publications, Inc., [2019]</t>
  </si>
  <si>
    <t>Quantitative applications in the social sciences ; 177</t>
  </si>
  <si>
    <t>4951202244:eng</t>
  </si>
  <si>
    <t>1031041736</t>
  </si>
  <si>
    <t>on1031041736</t>
  </si>
  <si>
    <t>3103704239A</t>
  </si>
  <si>
    <t>9781544336572</t>
  </si>
  <si>
    <t>795055056</t>
  </si>
  <si>
    <t>QA278.2 H38 1990</t>
  </si>
  <si>
    <t>0                      QA 0278200H  38          1990</t>
  </si>
  <si>
    <t>Applied nonparametric regression / Wolfgang Härdle.</t>
  </si>
  <si>
    <t>Härdle, Wolfgang.</t>
  </si>
  <si>
    <t>Econometric Society monographs ; no. 19</t>
  </si>
  <si>
    <t>9298279302:eng</t>
  </si>
  <si>
    <t>20825260</t>
  </si>
  <si>
    <t>ocm20825260</t>
  </si>
  <si>
    <t>3100709483Z</t>
  </si>
  <si>
    <t>9780521382489</t>
  </si>
  <si>
    <t>793100273</t>
  </si>
  <si>
    <t>QA278.2 L65 1997</t>
  </si>
  <si>
    <t>0                      QA 0278200L  65          1997</t>
  </si>
  <si>
    <t>Regression models for categorical and limited dependent variables / J. Scott Long.</t>
  </si>
  <si>
    <t>Long, J. Scott.</t>
  </si>
  <si>
    <t>Thousand Oaks : Sage Publications, ©1997.</t>
  </si>
  <si>
    <t>Advanced quantitative techniques in the social sciences ; 7</t>
  </si>
  <si>
    <t>3856696066:eng</t>
  </si>
  <si>
    <t>35627509</t>
  </si>
  <si>
    <t>ocm35627509</t>
  </si>
  <si>
    <t>31026331944</t>
  </si>
  <si>
    <t>9780803973749</t>
  </si>
  <si>
    <t>793453561</t>
  </si>
  <si>
    <t>3103400639X</t>
  </si>
  <si>
    <t>793453562</t>
  </si>
  <si>
    <t>QA278.2 L66 2006</t>
  </si>
  <si>
    <t>0                      QA 0278200L  66          2006</t>
  </si>
  <si>
    <t>Regression models for categorical dependent variables using Stata / J. Scott Long, Jeremy Freese.</t>
  </si>
  <si>
    <t>College Station, Texas : StataCorp LP, [2006]</t>
  </si>
  <si>
    <t>2019-08-23</t>
  </si>
  <si>
    <t>11709968:eng</t>
  </si>
  <si>
    <t>62464715</t>
  </si>
  <si>
    <t>ocm62464715</t>
  </si>
  <si>
    <t>3102633216H</t>
  </si>
  <si>
    <t>9781597180115</t>
  </si>
  <si>
    <t>794108252</t>
  </si>
  <si>
    <t>QA278.2 M46 1995</t>
  </si>
  <si>
    <t>0                      QA 0278200M  46          1995</t>
  </si>
  <si>
    <t>Applied logistic regression analysis / Scott Menard.</t>
  </si>
  <si>
    <t>Menard, Scott W.</t>
  </si>
  <si>
    <t>Sage university papers series. Quantitative applications in the social sciences ; no. 07-106</t>
  </si>
  <si>
    <t>34426193:eng</t>
  </si>
  <si>
    <t>32468615</t>
  </si>
  <si>
    <t>ocm32468615</t>
  </si>
  <si>
    <t>3101485638H</t>
  </si>
  <si>
    <t>9780803957572</t>
  </si>
  <si>
    <t>793385114</t>
  </si>
  <si>
    <t>QA278.2 M46 2002</t>
  </si>
  <si>
    <t>0                      QA 0278200M  46          2002</t>
  </si>
  <si>
    <t>Sage university papers. Quantitative applications in the social sciences ; no. 07-106</t>
  </si>
  <si>
    <t>46729126</t>
  </si>
  <si>
    <t>ocm46729126</t>
  </si>
  <si>
    <t>3102521277O</t>
  </si>
  <si>
    <t>9780761922087</t>
  </si>
  <si>
    <t>793690380</t>
  </si>
  <si>
    <t>3102953302P</t>
  </si>
  <si>
    <t>793690381</t>
  </si>
  <si>
    <t>QA278.2 M57 2012</t>
  </si>
  <si>
    <t>0                      QA 0278200M  57          2012</t>
  </si>
  <si>
    <t>Interpreting and visualizing regression models using Stata / Michael N. Mitchell.</t>
  </si>
  <si>
    <t>College Station, Tex. : Stata Press, 2012.</t>
  </si>
  <si>
    <t>1120908157:eng</t>
  </si>
  <si>
    <t>783169117</t>
  </si>
  <si>
    <t>ocn783169117</t>
  </si>
  <si>
    <t>3103413905D</t>
  </si>
  <si>
    <t>9781597181075</t>
  </si>
  <si>
    <t>794914117</t>
  </si>
  <si>
    <t>QA278.2 N47 1985</t>
  </si>
  <si>
    <t>0                      QA 0278200N  47          1985</t>
  </si>
  <si>
    <t>Applied linear statistical models : regression, analysis of variance, and experimental designs / John Neter, William Wasserman, Michael H. Kutner.</t>
  </si>
  <si>
    <t>Neter, John.</t>
  </si>
  <si>
    <t>Homewood, Ill. : R.D. Irwin, 1985.</t>
  </si>
  <si>
    <t>4926601915:eng</t>
  </si>
  <si>
    <t>11452677</t>
  </si>
  <si>
    <t>ocm11452677</t>
  </si>
  <si>
    <t>30001707826</t>
  </si>
  <si>
    <t>9780256024470</t>
  </si>
  <si>
    <t>792773934</t>
  </si>
  <si>
    <t>QA278.2 N47 1990</t>
  </si>
  <si>
    <t>0                      QA 0278200N  47          1990</t>
  </si>
  <si>
    <t>Homewood, IL : Irwin, ©1990.</t>
  </si>
  <si>
    <t>20796785</t>
  </si>
  <si>
    <t>ocm20796785</t>
  </si>
  <si>
    <t>3102968190P</t>
  </si>
  <si>
    <t>9780256083385</t>
  </si>
  <si>
    <t>793098808</t>
  </si>
  <si>
    <t>QA278.2 R56</t>
  </si>
  <si>
    <t>0                      QA 0278200R  56</t>
  </si>
  <si>
    <t>Spatial statistics / Brian D. Ripley.</t>
  </si>
  <si>
    <t>Ripley, Brian D., 1952-</t>
  </si>
  <si>
    <t>New York : Wiley, ©1981.</t>
  </si>
  <si>
    <t>Wiley series in probability and mathematical statistics. Applied probability and statistics.</t>
  </si>
  <si>
    <t>2011-07-12</t>
  </si>
  <si>
    <t>489187:eng</t>
  </si>
  <si>
    <t>6916618</t>
  </si>
  <si>
    <t>ocm06916618</t>
  </si>
  <si>
    <t>3102968561J</t>
  </si>
  <si>
    <t>9780471083672</t>
  </si>
  <si>
    <t>792530219</t>
  </si>
  <si>
    <t>QA278.2 U68 1985</t>
  </si>
  <si>
    <t>0                      QA 0278200U  68          1985</t>
  </si>
  <si>
    <t>Spatial data analysis by example / Graham J.G. Upton, Bernard Fingleton.</t>
  </si>
  <si>
    <t>Upton, Graham J. G.</t>
  </si>
  <si>
    <t>Chichester ; New York : Wiley, ©1985-©1989.</t>
  </si>
  <si>
    <t>2835704:eng</t>
  </si>
  <si>
    <t>10800407</t>
  </si>
  <si>
    <t>ocm10800407</t>
  </si>
  <si>
    <t>3102741292Z</t>
  </si>
  <si>
    <t>9780471905424</t>
  </si>
  <si>
    <t>792744411</t>
  </si>
  <si>
    <t>3102741225C</t>
  </si>
  <si>
    <t>792744410</t>
  </si>
  <si>
    <t>QA278.3 A73 2007</t>
  </si>
  <si>
    <t>0                      QA 0278300A  73          2007</t>
  </si>
  <si>
    <t>Amos 16.0 user's guide / James L. Arbuckle.</t>
  </si>
  <si>
    <t>Arbuckle, James, 1959-</t>
  </si>
  <si>
    <t>Chicago, Ill. : SPSS Inc., 2007.</t>
  </si>
  <si>
    <t>2015-10-19</t>
  </si>
  <si>
    <t>155130927:eng</t>
  </si>
  <si>
    <t>192012003</t>
  </si>
  <si>
    <t>ocn192012003</t>
  </si>
  <si>
    <t>3103213091Y</t>
  </si>
  <si>
    <t>9781568273945</t>
  </si>
  <si>
    <t>794302623</t>
  </si>
  <si>
    <t>2015-06-17</t>
  </si>
  <si>
    <t>3103085499S</t>
  </si>
  <si>
    <t>794302624</t>
  </si>
  <si>
    <t>QA278.3 .B968 2012</t>
  </si>
  <si>
    <t>0                      QA 0278300B  968         2012</t>
  </si>
  <si>
    <t>Structural equation modeling with Mplus : basic concepts, applications, and programming / Barbara M. Byrne.</t>
  </si>
  <si>
    <t>New York : Routledge Academic, 2012.</t>
  </si>
  <si>
    <t>Multivariate applications series</t>
  </si>
  <si>
    <t>1863453625:eng</t>
  </si>
  <si>
    <t>298781446</t>
  </si>
  <si>
    <t>ocn298781446</t>
  </si>
  <si>
    <t>31037942610</t>
  </si>
  <si>
    <t>9780805859867</t>
  </si>
  <si>
    <t>794428447</t>
  </si>
  <si>
    <t>QA278.3 B97 2006</t>
  </si>
  <si>
    <t>0                      QA 0278300B  97          2006</t>
  </si>
  <si>
    <t>Structural equation modeling with EQS : basic concepts, applications, and programming / Barbara M. Byrne.</t>
  </si>
  <si>
    <t>Byrne, Barbara M., author.</t>
  </si>
  <si>
    <t>Mahwah, N.J. : Lawrence Erlbaum Associates, ©2006.</t>
  </si>
  <si>
    <t>2017-06-09</t>
  </si>
  <si>
    <t>867227026:eng</t>
  </si>
  <si>
    <t>61878829</t>
  </si>
  <si>
    <t>ocm61878829</t>
  </si>
  <si>
    <t>31031295710</t>
  </si>
  <si>
    <t>9780805841251</t>
  </si>
  <si>
    <t>794098999</t>
  </si>
  <si>
    <t>QA278.3 D53 2000</t>
  </si>
  <si>
    <t>0                      QA 0278300D  53          2000</t>
  </si>
  <si>
    <t>Introducing Lisrel : a guide for the uninitiated / Adamantios Diamantopoulos, Judy A. Siguaw.</t>
  </si>
  <si>
    <t>Diamantopoulos, A. (Adamantios)</t>
  </si>
  <si>
    <t>London : SAGE, 2000.</t>
  </si>
  <si>
    <t>Introducing statistical methods.</t>
  </si>
  <si>
    <t>796687630:eng</t>
  </si>
  <si>
    <t>43970085</t>
  </si>
  <si>
    <t>ocm43970085</t>
  </si>
  <si>
    <t>3102251747I</t>
  </si>
  <si>
    <t>9780761951704</t>
  </si>
  <si>
    <t>793639799</t>
  </si>
  <si>
    <t>QA278.3 M84 1996</t>
  </si>
  <si>
    <t>0                      QA 0278300M  84          1996</t>
  </si>
  <si>
    <t>Basic principles of structural equation modeling : an introduction to LISREL and EQS / Ralph O. Mueller.</t>
  </si>
  <si>
    <t>Mueller, Ralph O.</t>
  </si>
  <si>
    <t>New York : Springer, ©1996.</t>
  </si>
  <si>
    <t>890050750:eng</t>
  </si>
  <si>
    <t>32389350</t>
  </si>
  <si>
    <t>ocm32389350</t>
  </si>
  <si>
    <t>31028359623</t>
  </si>
  <si>
    <t>9780387945163</t>
  </si>
  <si>
    <t>793382549</t>
  </si>
  <si>
    <t>QA278.5 K5</t>
  </si>
  <si>
    <t>0                      QA 0278500K  5</t>
  </si>
  <si>
    <t>Introduction to factor analysis : what it is and how to do it / Jae-on Kim, Charles W. Mueller.</t>
  </si>
  <si>
    <t>Kim, Jae-on.</t>
  </si>
  <si>
    <t>Beverly Hills, Calif. : Sage Publications, ©1978.</t>
  </si>
  <si>
    <t>Sage university papers series. Quantitative applications in the social sciences ; no. 07-013</t>
  </si>
  <si>
    <t>2012-10-11</t>
  </si>
  <si>
    <t>578591:eng</t>
  </si>
  <si>
    <t>5196572</t>
  </si>
  <si>
    <t>ocm05196572</t>
  </si>
  <si>
    <t>31034533109</t>
  </si>
  <si>
    <t>9780803911659</t>
  </si>
  <si>
    <t>792415213</t>
  </si>
  <si>
    <t>2013-06-12</t>
  </si>
  <si>
    <t>31020113178</t>
  </si>
  <si>
    <t>792415212</t>
  </si>
  <si>
    <t>3102766984N</t>
  </si>
  <si>
    <t>792415210</t>
  </si>
  <si>
    <t>2011-04-09</t>
  </si>
  <si>
    <t>31030700147</t>
  </si>
  <si>
    <t>792415211</t>
  </si>
  <si>
    <t>QA278.5 L4 2010</t>
  </si>
  <si>
    <t>0                      QA 0278500L  4           2010</t>
  </si>
  <si>
    <t>Multiple correspondence analysis / Brigitte Le Roux, Henry Rouanet.</t>
  </si>
  <si>
    <t>Le Roux, Brigitte.</t>
  </si>
  <si>
    <t>Thousand Oaks, Calif. : Sage Publications, ©2010.</t>
  </si>
  <si>
    <t>Quantitative applications in the social sciences ; no. 07-163</t>
  </si>
  <si>
    <t>2014-07-24</t>
  </si>
  <si>
    <t>9965126741:eng</t>
  </si>
  <si>
    <t>441152824</t>
  </si>
  <si>
    <t>ocn441152824</t>
  </si>
  <si>
    <t>3103214191R</t>
  </si>
  <si>
    <t>9781412968973</t>
  </si>
  <si>
    <t>794786643</t>
  </si>
  <si>
    <t>2012-08-20</t>
  </si>
  <si>
    <t>3103302905S</t>
  </si>
  <si>
    <t>794786642</t>
  </si>
  <si>
    <t>QA278.6 A67 2002</t>
  </si>
  <si>
    <t>0                      QA 0278600A  67          2002</t>
  </si>
  <si>
    <t>Applied latent class analysis / edited by Jacques A. Hagenaars, Allan L. McCutcheon.</t>
  </si>
  <si>
    <t>Cambridge ; New York : Cambridge University Press, 2002.</t>
  </si>
  <si>
    <t>2018-04-06</t>
  </si>
  <si>
    <t>3769157443:eng</t>
  </si>
  <si>
    <t>47221810</t>
  </si>
  <si>
    <t>ocm47221810</t>
  </si>
  <si>
    <t>3102253330O</t>
  </si>
  <si>
    <t>9780521594516</t>
  </si>
  <si>
    <t>793701157</t>
  </si>
  <si>
    <t>QA278.6 D39 1998</t>
  </si>
  <si>
    <t>0                      QA 0278600D  39          1998</t>
  </si>
  <si>
    <t>Latent class scaling analysis / C. Mitchell Dayton.</t>
  </si>
  <si>
    <t>Dayton, C. Mitchell (Chauncey Mitchell)</t>
  </si>
  <si>
    <t>Thousand Oaks, California : Sage Publications, ©1998.</t>
  </si>
  <si>
    <t>A Sage university papers series. Quantitative applications in the social sciences ; 07-126</t>
  </si>
  <si>
    <t>5091354871:eng</t>
  </si>
  <si>
    <t>40298337</t>
  </si>
  <si>
    <t>ocm40298337</t>
  </si>
  <si>
    <t>31020112368</t>
  </si>
  <si>
    <t>9780761913238</t>
  </si>
  <si>
    <t>793563582</t>
  </si>
  <si>
    <t>QA278.6 I58 1998</t>
  </si>
  <si>
    <t>0                      QA 0278600I  58          1998</t>
  </si>
  <si>
    <t>Interaction and nonlinear effects in structural equation modeling / edited by Randall E. Schumacker, George A. Marcoulides.</t>
  </si>
  <si>
    <t>2016-05-04</t>
  </si>
  <si>
    <t>416796239:eng</t>
  </si>
  <si>
    <t>38010729</t>
  </si>
  <si>
    <t>ocm38010729</t>
  </si>
  <si>
    <t>3101908665C</t>
  </si>
  <si>
    <t>9780805829501</t>
  </si>
  <si>
    <t>793512777</t>
  </si>
  <si>
    <t>2012-09-21</t>
  </si>
  <si>
    <t>3102189270U</t>
  </si>
  <si>
    <t>793512776</t>
  </si>
  <si>
    <t>QA278.6 L32 2008</t>
  </si>
  <si>
    <t>0                      QA 0278600L  32          2008</t>
  </si>
  <si>
    <t>Latent growth curve modeling / Kristopher J. Preacher [and others].</t>
  </si>
  <si>
    <t>Los Angeles : SAGE, ©2008.</t>
  </si>
  <si>
    <t>Quantitative applications in the social sciences ; no. 07-157</t>
  </si>
  <si>
    <t>2019-07-27</t>
  </si>
  <si>
    <t>117734716:eng</t>
  </si>
  <si>
    <t>185031297</t>
  </si>
  <si>
    <t>ocn185031297</t>
  </si>
  <si>
    <t>31030304801</t>
  </si>
  <si>
    <t>9781412939553</t>
  </si>
  <si>
    <t>794291898</t>
  </si>
  <si>
    <t>QA278.6 M38 1987</t>
  </si>
  <si>
    <t>0                      QA 0278600M  38          1987</t>
  </si>
  <si>
    <t>Latent class analysis / Allan L. McCutcheon.</t>
  </si>
  <si>
    <t>McCutcheon, Allan L., 1950-2016.</t>
  </si>
  <si>
    <t>Newbury Park, California : Sage Publications, ©1987.</t>
  </si>
  <si>
    <t>Sage University papers series. Quantitative applications in the social sciences ; no. 07-064</t>
  </si>
  <si>
    <t>1057914:eng</t>
  </si>
  <si>
    <t>16319047</t>
  </si>
  <si>
    <t>ocm16319047</t>
  </si>
  <si>
    <t>3000819465Y</t>
  </si>
  <si>
    <t>9780803927520</t>
  </si>
  <si>
    <t>792960390</t>
  </si>
  <si>
    <t>QA278.6 S57 2012</t>
  </si>
  <si>
    <t>0                      QA 0278600S  57          2012</t>
  </si>
  <si>
    <t>Multilevel and longitudinal modeling using Stata / Sophia Rabe-Hesketh, Anders Skrondal.</t>
  </si>
  <si>
    <t>Rabe-Hesketh, S., author.</t>
  </si>
  <si>
    <t>College Station, Texas : Stata Press Publication, 2012.</t>
  </si>
  <si>
    <t>2018-10-16</t>
  </si>
  <si>
    <t>4020591172:eng</t>
  </si>
  <si>
    <t>787853271</t>
  </si>
  <si>
    <t>ocn787853271</t>
  </si>
  <si>
    <t>3103696850F</t>
  </si>
  <si>
    <t>9781597181082</t>
  </si>
  <si>
    <t>794916130</t>
  </si>
  <si>
    <t>3103610810V</t>
  </si>
  <si>
    <t>794916129</t>
  </si>
  <si>
    <t>3103610819D</t>
  </si>
  <si>
    <t>794916128</t>
  </si>
  <si>
    <t>QA278.65 G67 1999</t>
  </si>
  <si>
    <t>0                      QA 0278650G  67          1999</t>
  </si>
  <si>
    <t>Classification / A.D. Gordon.</t>
  </si>
  <si>
    <t>Gordon, A. D.</t>
  </si>
  <si>
    <t>Boca Raton : Chapman &amp; Hall/CRC, ©1999.</t>
  </si>
  <si>
    <t>Monographs on statistics and applied probability ; 82</t>
  </si>
  <si>
    <t>1090493044:eng</t>
  </si>
  <si>
    <t>40964997</t>
  </si>
  <si>
    <t>ocm40964997</t>
  </si>
  <si>
    <t>3103238012K</t>
  </si>
  <si>
    <t>9781584880134</t>
  </si>
  <si>
    <t>793580203</t>
  </si>
  <si>
    <t>QA278.8 C65 1980</t>
  </si>
  <si>
    <t>0                      QA 0278800C  65          1980</t>
  </si>
  <si>
    <t>Practical nonparametric statistics / W.J. Conover.</t>
  </si>
  <si>
    <t>Conover, W. J.</t>
  </si>
  <si>
    <t>1238748:eng</t>
  </si>
  <si>
    <t>5946525</t>
  </si>
  <si>
    <t>ocm05946525</t>
  </si>
  <si>
    <t>31029806681</t>
  </si>
  <si>
    <t>9780471028673</t>
  </si>
  <si>
    <t>792465652</t>
  </si>
  <si>
    <t>QA278.8 G53 1993</t>
  </si>
  <si>
    <t>0                      QA 0278800G  53          1993</t>
  </si>
  <si>
    <t>Nonparametric statistics : an introduction / Jean Dickinson Gibbons.</t>
  </si>
  <si>
    <t>Gibbons, Jean Dickinson, 1938-</t>
  </si>
  <si>
    <t>Newbury Park, Calif. : Sage Publications, ©1993.</t>
  </si>
  <si>
    <t>Quantitative applications in the social sciences ; no. 90</t>
  </si>
  <si>
    <t>795688382:eng</t>
  </si>
  <si>
    <t>26401194</t>
  </si>
  <si>
    <t>ocm26401194</t>
  </si>
  <si>
    <t>3101189182Z</t>
  </si>
  <si>
    <t>9780803939516</t>
  </si>
  <si>
    <t>793244205</t>
  </si>
  <si>
    <t>QA279 B73 1985</t>
  </si>
  <si>
    <t>0                      QA 0279000B  73          1985</t>
  </si>
  <si>
    <t>Multivariate analysis of variance / James H. Bray, Scott E. Maxwell.</t>
  </si>
  <si>
    <t>Bray, James H.</t>
  </si>
  <si>
    <t>Beverly Hills : Sage Publications, ©1985.</t>
  </si>
  <si>
    <t>A Sage university paper. Quantitative applications in the social sciences ; no. 07-054</t>
  </si>
  <si>
    <t>5610368006:eng</t>
  </si>
  <si>
    <t>12967168</t>
  </si>
  <si>
    <t>ocm12967168</t>
  </si>
  <si>
    <t>3102277803Q</t>
  </si>
  <si>
    <t>9780803923102</t>
  </si>
  <si>
    <t>792834907</t>
  </si>
  <si>
    <t>2012-12-06</t>
  </si>
  <si>
    <t>31030700295</t>
  </si>
  <si>
    <t>792834905</t>
  </si>
  <si>
    <t>QA279 C6</t>
  </si>
  <si>
    <t>0                      QA 0279000C  6</t>
  </si>
  <si>
    <t>Quasi-experimentation : design &amp; analysis issues for field settings / Thomas D. Cook, Donald T. Campbell ; [project editor, Gayle Fankhauser ; cover illustrator, Arles Day].</t>
  </si>
  <si>
    <t>Cook, Thomas D.</t>
  </si>
  <si>
    <t>Chicago : Rand McNally College Pub. Co., ©1979.</t>
  </si>
  <si>
    <t>851973417:eng</t>
  </si>
  <si>
    <t>5044322</t>
  </si>
  <si>
    <t>ocm05044322</t>
  </si>
  <si>
    <t>3103452677T</t>
  </si>
  <si>
    <t>9780528620539</t>
  </si>
  <si>
    <t>792403800</t>
  </si>
  <si>
    <t>QA279 C6645 2000</t>
  </si>
  <si>
    <t>0                      QA 0279000C  6645        2000</t>
  </si>
  <si>
    <t>Effect size for ANOVA designs / Jose M. Cortina, Hossein Nouri.</t>
  </si>
  <si>
    <t>Cortina, Jose M.</t>
  </si>
  <si>
    <t>Thousand Oaks, Calif. : Sage Publications, ©2000.</t>
  </si>
  <si>
    <t>Sage university papers series. Quantitative applications in the social sciences ; no. 07-129</t>
  </si>
  <si>
    <t>1044578:eng</t>
  </si>
  <si>
    <t>41431583</t>
  </si>
  <si>
    <t>ocm41431583</t>
  </si>
  <si>
    <t>3102796198U</t>
  </si>
  <si>
    <t>9780761915508</t>
  </si>
  <si>
    <t>793591262</t>
  </si>
  <si>
    <t>QA279 H34 2008</t>
  </si>
  <si>
    <t>0                      QA 0279000H  34          2008</t>
  </si>
  <si>
    <t>Handbook of design research methods in education : innovations in science, technology, engineering, and mathematics learning and teaching / edited by Anthony E. Kelly, Richard A. Lesh, John Y. Baek.</t>
  </si>
  <si>
    <t>New York ; London : Routledge, 2008.</t>
  </si>
  <si>
    <t>2018-02-21</t>
  </si>
  <si>
    <t>792935610:eng</t>
  </si>
  <si>
    <t>190784916</t>
  </si>
  <si>
    <t>ocn190784916</t>
  </si>
  <si>
    <t>3103080724G</t>
  </si>
  <si>
    <t>9780805860580</t>
  </si>
  <si>
    <t>794295611</t>
  </si>
  <si>
    <t>QA279 J33 2003</t>
  </si>
  <si>
    <t>0                      QA 0279000J  33          2003</t>
  </si>
  <si>
    <t>Research methods and statistics : a critical thinking approach / Sherri L. Jackson.</t>
  </si>
  <si>
    <t>Jackson, Sherri L., 1962-</t>
  </si>
  <si>
    <t>Australia ; Belmont, CA : Thomson/Wadsworth, ©2003.</t>
  </si>
  <si>
    <t>796415116:eng</t>
  </si>
  <si>
    <t>51461679</t>
  </si>
  <si>
    <t>ocm51461679</t>
  </si>
  <si>
    <t>31027694075</t>
  </si>
  <si>
    <t>9780534554231</t>
  </si>
  <si>
    <t>793784824</t>
  </si>
  <si>
    <t>QA279 L52 1994</t>
  </si>
  <si>
    <t>0                      QA 0279000L  52          1994</t>
  </si>
  <si>
    <t>Interpreting probability models : logit, probit, and other generalized linear models / Tim Futing Liao.</t>
  </si>
  <si>
    <t>Liao, Tim Futing.</t>
  </si>
  <si>
    <t>Thousand Oaks, Calif. : Sage, ©1994.</t>
  </si>
  <si>
    <t>Sage university papers series. Quantitative applications in the social sciences ; no. 07-101</t>
  </si>
  <si>
    <t>795786100:eng</t>
  </si>
  <si>
    <t>30076182</t>
  </si>
  <si>
    <t>ocm30076182</t>
  </si>
  <si>
    <t>3102929833W</t>
  </si>
  <si>
    <t>9780803949997</t>
  </si>
  <si>
    <t>793328951</t>
  </si>
  <si>
    <t>QA279 M388 1988</t>
  </si>
  <si>
    <t>0                      QA 0279000M  388         1988</t>
  </si>
  <si>
    <t>The design of experiments : statistical principles for practical applications / R. Mead.</t>
  </si>
  <si>
    <t>Mead, R. (Roger)</t>
  </si>
  <si>
    <t>Cambridge [England] ; New York : Cambridge University Press, 1988.</t>
  </si>
  <si>
    <t>2015-06-08</t>
  </si>
  <si>
    <t>12491483:eng</t>
  </si>
  <si>
    <t>16581736</t>
  </si>
  <si>
    <t>ocm16581736</t>
  </si>
  <si>
    <t>3000639146F</t>
  </si>
  <si>
    <t>9780521245128</t>
  </si>
  <si>
    <t>792966216</t>
  </si>
  <si>
    <t>QA279 M933 2003</t>
  </si>
  <si>
    <t>0                      QA 0279000M  933         2003</t>
  </si>
  <si>
    <t>Research design and statistical analysis / Jerome L. Myers, Arnold D. Well.</t>
  </si>
  <si>
    <t>Myers, Jerome L.</t>
  </si>
  <si>
    <t>960817:eng</t>
  </si>
  <si>
    <t>50684740</t>
  </si>
  <si>
    <t>ocm50684740</t>
  </si>
  <si>
    <t>3102312954K</t>
  </si>
  <si>
    <t>9780805840377</t>
  </si>
  <si>
    <t>793770609</t>
  </si>
  <si>
    <t>- Government Document Collection - In Library Use</t>
  </si>
  <si>
    <t>QA279 S638 2014</t>
  </si>
  <si>
    <t>0                      QA 0279000S  638         2014</t>
  </si>
  <si>
    <t>Standard deviations : flawed assumptions, tortured data, and other ways to lie with statistics / Gary Smith.</t>
  </si>
  <si>
    <t>Smith, Gary, 1945- author.</t>
  </si>
  <si>
    <t>New York : Overlook Duckworth, 2014.</t>
  </si>
  <si>
    <t>2038857385:eng</t>
  </si>
  <si>
    <t>861479017</t>
  </si>
  <si>
    <t>ocn861479017</t>
  </si>
  <si>
    <t>3103567179D</t>
  </si>
  <si>
    <t>9781468309201</t>
  </si>
  <si>
    <t>794959215</t>
  </si>
  <si>
    <t>QA279 W54</t>
  </si>
  <si>
    <t>0                      QA 0279000W  54</t>
  </si>
  <si>
    <t>Statistical principles in experimental design.</t>
  </si>
  <si>
    <t>Winer, B. J.</t>
  </si>
  <si>
    <t>New York, McGraw-Hill, 1962.</t>
  </si>
  <si>
    <t>2018-05-04</t>
  </si>
  <si>
    <t>1193355:eng</t>
  </si>
  <si>
    <t>165866</t>
  </si>
  <si>
    <t>ocm00165866</t>
  </si>
  <si>
    <t>3102618198V</t>
  </si>
  <si>
    <t>791278002</t>
  </si>
  <si>
    <t>QA279 W54 1971</t>
  </si>
  <si>
    <t>0                      QA 0279000W  54          1971</t>
  </si>
  <si>
    <t>Statistical principles in experimental design [by] B.J. Winer.</t>
  </si>
  <si>
    <t>2018-05-03</t>
  </si>
  <si>
    <t>157313</t>
  </si>
  <si>
    <t>ocm00157313</t>
  </si>
  <si>
    <t>3103137002W</t>
  </si>
  <si>
    <t>9780070709812</t>
  </si>
  <si>
    <t>791275294</t>
  </si>
  <si>
    <t>QA279 Y367 2005</t>
  </si>
  <si>
    <t>0                      QA 0279000Y  367         2005</t>
  </si>
  <si>
    <t>Optimal data analysis : a guidebook with software for windows / Paul R. Yarnold and Robert C. Soltysik.</t>
  </si>
  <si>
    <t>Yarnold, Paul R.</t>
  </si>
  <si>
    <t>Washington, DC : American Psychological Association, ©2005.</t>
  </si>
  <si>
    <t>478530880:eng</t>
  </si>
  <si>
    <t>55494882</t>
  </si>
  <si>
    <t>ocm55494882</t>
  </si>
  <si>
    <t>3103158017G</t>
  </si>
  <si>
    <t>9781557989819</t>
  </si>
  <si>
    <t>793877125</t>
  </si>
  <si>
    <t>QA279.2 O33 1988</t>
  </si>
  <si>
    <t>0                      QA 0279200O  33          1988</t>
  </si>
  <si>
    <t>Spatial autocorrelation / John Odland.</t>
  </si>
  <si>
    <t>Odland, John.</t>
  </si>
  <si>
    <t>Newbury Park, Calif. : Sage Publications, ©1988.</t>
  </si>
  <si>
    <t>Scientific geography series ; v. 9</t>
  </si>
  <si>
    <t>11598229:eng</t>
  </si>
  <si>
    <t>16084231</t>
  </si>
  <si>
    <t>ocm16084231</t>
  </si>
  <si>
    <t>3102766999L</t>
  </si>
  <si>
    <t>9780803926523</t>
  </si>
  <si>
    <t>792954001</t>
  </si>
  <si>
    <t>QA279.4 P48 2008</t>
  </si>
  <si>
    <t>0                      QA 0279400P  48          2008</t>
  </si>
  <si>
    <t>Non-Bayesian decision theory : beliefs and desires as reasons for action / Martin Peterson.</t>
  </si>
  <si>
    <t>Peterson, Martin, 1975-</t>
  </si>
  <si>
    <t>[Dordrecht] : Springer, ©2008.</t>
  </si>
  <si>
    <t>Theory and decision library. Series A, Philosophy and methodology of the social sciences ; v. 44</t>
  </si>
  <si>
    <t>792811631:eng</t>
  </si>
  <si>
    <t>230990334</t>
  </si>
  <si>
    <t>ocn230990334</t>
  </si>
  <si>
    <t>31030510437</t>
  </si>
  <si>
    <t>9781402086984</t>
  </si>
  <si>
    <t>794356028</t>
  </si>
  <si>
    <t>QA279.4 S33 2012</t>
  </si>
  <si>
    <t>0                      QA 0279400S  33          2012</t>
  </si>
  <si>
    <t>Cost-benefit analysis and distributional preferences : a choice modelling approach / Helen Scarborough, Jeff Bennett.</t>
  </si>
  <si>
    <t>Scarborough, Helen.</t>
  </si>
  <si>
    <t>Cheltenham : Edward Elgar, ©2012.</t>
  </si>
  <si>
    <t>1037384386:eng</t>
  </si>
  <si>
    <t>758983820</t>
  </si>
  <si>
    <t>ocn758983820</t>
  </si>
  <si>
    <t>3103409318A</t>
  </si>
  <si>
    <t>9780857932228</t>
  </si>
  <si>
    <t>794896789</t>
  </si>
  <si>
    <t>QA279.5 B39 2013</t>
  </si>
  <si>
    <t>0                      QA 0279500B  39          2013</t>
  </si>
  <si>
    <t>Bayesian argumentation : the practical side of probability / Frank Zenker, editor.</t>
  </si>
  <si>
    <t>Dordrecht ; London : Springer, [2013]</t>
  </si>
  <si>
    <t>Synthese Library ; v. 362</t>
  </si>
  <si>
    <t>1191792672:eng</t>
  </si>
  <si>
    <t>826657415</t>
  </si>
  <si>
    <t>ocn826657415</t>
  </si>
  <si>
    <t>3103506132I</t>
  </si>
  <si>
    <t>9789400753563</t>
  </si>
  <si>
    <t>794939258</t>
  </si>
  <si>
    <t>QA279.5 J43 1990</t>
  </si>
  <si>
    <t>0                      QA 0279500J  43          1990</t>
  </si>
  <si>
    <t>The logic of decision / Richard C. Jeffrey.</t>
  </si>
  <si>
    <t>Jeffrey, Richard C.</t>
  </si>
  <si>
    <t>Chicago : University of Chicago Press, 1990, ©1983.</t>
  </si>
  <si>
    <t>2230764:eng</t>
  </si>
  <si>
    <t>33260937</t>
  </si>
  <si>
    <t>ocm33260937</t>
  </si>
  <si>
    <t>3102367929I</t>
  </si>
  <si>
    <t>9780226395821</t>
  </si>
  <si>
    <t>793405583</t>
  </si>
  <si>
    <t>QA279.5 L86 2013</t>
  </si>
  <si>
    <t>0                      QA 0279500L  86          2013</t>
  </si>
  <si>
    <t>The BUGS book : a practical introduction to Bayesian analysis / David Lunn, Christopher Jackson, Nicky Best, Andrew Thomas, David Spiegelhalter.</t>
  </si>
  <si>
    <t>Lunn, David, 1971- author.</t>
  </si>
  <si>
    <t>Boca Raton : CRC Press, Taylor &amp; Francis Group, [2013]</t>
  </si>
  <si>
    <t>Texts in statistical science series</t>
  </si>
  <si>
    <t>2017-10-10</t>
  </si>
  <si>
    <t>1776744769:eng</t>
  </si>
  <si>
    <t>808810636</t>
  </si>
  <si>
    <t>ocn808810636</t>
  </si>
  <si>
    <t>31034409580</t>
  </si>
  <si>
    <t>9781584888499</t>
  </si>
  <si>
    <t>794927891</t>
  </si>
  <si>
    <t>QA279.5 S33</t>
  </si>
  <si>
    <t>0                      QA 0279500S  33</t>
  </si>
  <si>
    <t>Measuring uncertainty; an elementary introduction to Bayesian statistics [by] Samuel A. Schmitt.</t>
  </si>
  <si>
    <t>Schmitt, Samuel A.</t>
  </si>
  <si>
    <t>Reading, Mass., Addison-Wesley [1969]</t>
  </si>
  <si>
    <t>198935502:eng</t>
  </si>
  <si>
    <t>5013</t>
  </si>
  <si>
    <t>ocm00005013</t>
  </si>
  <si>
    <t>3102878009A</t>
  </si>
  <si>
    <t>9780201067408</t>
  </si>
  <si>
    <t>791225595</t>
  </si>
  <si>
    <t>QA279.5 S635 1994</t>
  </si>
  <si>
    <t>0                      QA 0279500S  635         1994</t>
  </si>
  <si>
    <t>Taking chances : essays on rational choice / Jordan Howard Sobel.</t>
  </si>
  <si>
    <t>Sobel, Jordan Howard.</t>
  </si>
  <si>
    <t>Cambridge studies in probability, induction, and decision theory</t>
  </si>
  <si>
    <t>836768840:eng</t>
  </si>
  <si>
    <t>28183242</t>
  </si>
  <si>
    <t>ocm28183242</t>
  </si>
  <si>
    <t>3103476169K</t>
  </si>
  <si>
    <t>9780521416351</t>
  </si>
  <si>
    <t>793281984</t>
  </si>
  <si>
    <t>QA280 B67</t>
  </si>
  <si>
    <t>0                      QA 0280000B  67</t>
  </si>
  <si>
    <t>Time series analysis; forecasting and control [by] George E.P. Box and Gwilym M. Jenkins.</t>
  </si>
  <si>
    <t>San Francisco, Holden-Day [1970]</t>
  </si>
  <si>
    <t>2016-05-16</t>
  </si>
  <si>
    <t>1328087:eng</t>
  </si>
  <si>
    <t>98158</t>
  </si>
  <si>
    <t>ocm00098158</t>
  </si>
  <si>
    <t>31028780118</t>
  </si>
  <si>
    <t>791255796</t>
  </si>
  <si>
    <t>QA280 H38 1990</t>
  </si>
  <si>
    <t>0                      QA 0280000H  38          1990</t>
  </si>
  <si>
    <t>Forecasting, structural time series models, and the Kalman filter / Andrew Harvey.</t>
  </si>
  <si>
    <t>Harvey, A. C. (Andrew C.)</t>
  </si>
  <si>
    <t>Cambridge ; New York : Cambridge University Press, 1989.</t>
  </si>
  <si>
    <t>115195527:eng</t>
  </si>
  <si>
    <t>19458552</t>
  </si>
  <si>
    <t>ocm19458552</t>
  </si>
  <si>
    <t>3102768003L</t>
  </si>
  <si>
    <t>9780521405737</t>
  </si>
  <si>
    <t>793058694</t>
  </si>
  <si>
    <t>QA280 P37 1983</t>
  </si>
  <si>
    <t>0                      QA 0280000P  37          1983</t>
  </si>
  <si>
    <t>Forecasting with univariate Box-Jenkins models : concepts and cases / Alan Pankratz.</t>
  </si>
  <si>
    <t>Pankratz, Alan, 1944-</t>
  </si>
  <si>
    <t>792788945:eng</t>
  </si>
  <si>
    <t>9280850</t>
  </si>
  <si>
    <t>ocm09280850</t>
  </si>
  <si>
    <t>31001998829</t>
  </si>
  <si>
    <t>9780471090236</t>
  </si>
  <si>
    <t>792667812</t>
  </si>
  <si>
    <t>QA280 T47 2010</t>
  </si>
  <si>
    <t>0                      QA 0280000T  47          2010</t>
  </si>
  <si>
    <t>Modelling nonlinear economic time series / by Timo Teräsvirta, Dag Tjostheim, Clive W.J. Granger.</t>
  </si>
  <si>
    <t>Teräsvirta, Timo.</t>
  </si>
  <si>
    <t>Oxford ; New York : Oxford University Press, 2010.</t>
  </si>
  <si>
    <t>Advanced texts in econometrics</t>
  </si>
  <si>
    <t>2013-07-17</t>
  </si>
  <si>
    <t>500029147:eng</t>
  </si>
  <si>
    <t>636906670</t>
  </si>
  <si>
    <t>ocn636906670</t>
  </si>
  <si>
    <t>3103234186J</t>
  </si>
  <si>
    <t>9780199587148</t>
  </si>
  <si>
    <t>794826086</t>
  </si>
  <si>
    <t>QA297 C4185 2012</t>
  </si>
  <si>
    <t>0                      QA 0297000C  4185        2012</t>
  </si>
  <si>
    <t>Applied numerical methods with MATLAB for engineers and scientists / Steven C. Chapra.</t>
  </si>
  <si>
    <t>Chapra, Steven C.</t>
  </si>
  <si>
    <t>982749:eng</t>
  </si>
  <si>
    <t>664665963</t>
  </si>
  <si>
    <t>ocn664665963</t>
  </si>
  <si>
    <t>31036884882</t>
  </si>
  <si>
    <t>9780073401102</t>
  </si>
  <si>
    <t>794844156</t>
  </si>
  <si>
    <t>QA300 B29 1976</t>
  </si>
  <si>
    <t>0                      QA 0300000B  29          1976</t>
  </si>
  <si>
    <t>The elements of real analysis / Robert G. Bartle.</t>
  </si>
  <si>
    <t>Bartle, Robert G., 1927-2003.</t>
  </si>
  <si>
    <t>New York : Wiley, ©1976.</t>
  </si>
  <si>
    <t>488827:eng</t>
  </si>
  <si>
    <t>1418827</t>
  </si>
  <si>
    <t>ocm01418827</t>
  </si>
  <si>
    <t>3102967666K</t>
  </si>
  <si>
    <t>9780471054641</t>
  </si>
  <si>
    <t>791621977</t>
  </si>
  <si>
    <t>QA300 B294 2011</t>
  </si>
  <si>
    <t>0                      QA 0300000B  294         2011</t>
  </si>
  <si>
    <t>Introduction to real analysis / Robert G. Bartle, Donald R. Sherbert.</t>
  </si>
  <si>
    <t>Hoboken, NJ : Wiley, [2011]</t>
  </si>
  <si>
    <t>2020-01-18</t>
  </si>
  <si>
    <t>4165867:eng</t>
  </si>
  <si>
    <t>671573454</t>
  </si>
  <si>
    <t>ocn671573454</t>
  </si>
  <si>
    <t>31035780757</t>
  </si>
  <si>
    <t>9780471433316</t>
  </si>
  <si>
    <t>794848871</t>
  </si>
  <si>
    <t>3103527276U</t>
  </si>
  <si>
    <t>794848870</t>
  </si>
  <si>
    <t>31035780767</t>
  </si>
  <si>
    <t>794848872</t>
  </si>
  <si>
    <t>QA300 F744 2016</t>
  </si>
  <si>
    <t>0                      QA 0300000F  744         2016</t>
  </si>
  <si>
    <t>Discrete data analysis with R : visualization and modeling techniques for categorical and count data / Michael Friendly, York University, Toronto, Canada, David Meyer, UAS Technikum Wien, Vienna, Austria ; with contributions by Achim Zeileis, University of Innsbruck, Innsbruck, Austria.</t>
  </si>
  <si>
    <t>Friendly, Michael.</t>
  </si>
  <si>
    <t>Boca Raton : CRC Press, Taylor &amp; Francis Group, 2016.</t>
  </si>
  <si>
    <t>Chapman &amp; Hall/CRC texts in statistical science series</t>
  </si>
  <si>
    <t>2756648900:eng</t>
  </si>
  <si>
    <t>912377273</t>
  </si>
  <si>
    <t>ocn912377273</t>
  </si>
  <si>
    <t>31037034389</t>
  </si>
  <si>
    <t>9781498725835</t>
  </si>
  <si>
    <t>794998849</t>
  </si>
  <si>
    <t>QA300 H33 1976</t>
  </si>
  <si>
    <t>0                      QA 0300000H  33          1976</t>
  </si>
  <si>
    <t>Introductory mathematical analysis for students of business and economics / Ernest F. Haeussler, Jr., Richard S. Paul.</t>
  </si>
  <si>
    <t>Haeussler, Ernest F.</t>
  </si>
  <si>
    <t>Reston, Va. : Reston Pub. Co., ©1976.</t>
  </si>
  <si>
    <t>2019-06-22</t>
  </si>
  <si>
    <t>3901162430:eng</t>
  </si>
  <si>
    <t>1974278</t>
  </si>
  <si>
    <t>ocm01974278</t>
  </si>
  <si>
    <t>3102878003A</t>
  </si>
  <si>
    <t>9780879093594</t>
  </si>
  <si>
    <t>792021225</t>
  </si>
  <si>
    <t>QA 300 H791 1968</t>
  </si>
  <si>
    <t>0                      QA 0300000H  791         1968</t>
  </si>
  <si>
    <t>Methods of multivariate analysis, with handbook of multivariate methods programmed in Atlas Autocode.</t>
  </si>
  <si>
    <t>Hope, Keith, 1936-</t>
  </si>
  <si>
    <t>London, University of London P., 1968.</t>
  </si>
  <si>
    <t>2018-02-15</t>
  </si>
  <si>
    <t>3943356316:eng</t>
  </si>
  <si>
    <t>14270</t>
  </si>
  <si>
    <t>ocm00014270</t>
  </si>
  <si>
    <t>30001285824</t>
  </si>
  <si>
    <t>9780340073308</t>
  </si>
  <si>
    <t>791228824</t>
  </si>
  <si>
    <t>QA300 J8 1893</t>
  </si>
  <si>
    <t>0                      QA 0300000J  8           1893</t>
  </si>
  <si>
    <t>Cours d'analyse de l'École polytechnique / par m.C. Jordan.</t>
  </si>
  <si>
    <t>Jordan, Camille, 1838-1922, author.</t>
  </si>
  <si>
    <t>Paris : Gauthier-Villars et fils, 1893-96.</t>
  </si>
  <si>
    <t>Deuxiéme édition, entièrement refondue.</t>
  </si>
  <si>
    <t>2001-10-10</t>
  </si>
  <si>
    <t>2863568954:fre</t>
  </si>
  <si>
    <t>2313721</t>
  </si>
  <si>
    <t>ocm02313721</t>
  </si>
  <si>
    <t>31004368466</t>
  </si>
  <si>
    <t>792102105</t>
  </si>
  <si>
    <t>3000699555$</t>
  </si>
  <si>
    <t>792102107</t>
  </si>
  <si>
    <t>3100436852B</t>
  </si>
  <si>
    <t>792102106</t>
  </si>
  <si>
    <t>QA300 N4</t>
  </si>
  <si>
    <t>0                      QA 0300000N  4</t>
  </si>
  <si>
    <t>Absolute Analysis, von F. und R. Nevanlinna.</t>
  </si>
  <si>
    <t>Nevanlinna, F. (Frithiof), 1894-1977.</t>
  </si>
  <si>
    <t>Berlin, Springer, 1959.</t>
  </si>
  <si>
    <t>Die Grundlehren der mathematischen Wissenschaften, Bd. 102</t>
  </si>
  <si>
    <t>2016-02-18</t>
  </si>
  <si>
    <t>5453785245:ger</t>
  </si>
  <si>
    <t>1036438</t>
  </si>
  <si>
    <t>ocm01036438</t>
  </si>
  <si>
    <t>3000699832$</t>
  </si>
  <si>
    <t>791530685</t>
  </si>
  <si>
    <t>QA300 P58</t>
  </si>
  <si>
    <t>0                      QA 0300000P  58</t>
  </si>
  <si>
    <t>Traité d'analyse.</t>
  </si>
  <si>
    <t>Picard, Emile, 1856-1941.</t>
  </si>
  <si>
    <t>Paris : [publisher not identified], [1893-1908]</t>
  </si>
  <si>
    <t>Cours de la faculté des sciences de Paris</t>
  </si>
  <si>
    <t>5612632699:fre</t>
  </si>
  <si>
    <t>427510402</t>
  </si>
  <si>
    <t>ocn427510402</t>
  </si>
  <si>
    <t>31004409134</t>
  </si>
  <si>
    <t>794671747</t>
  </si>
  <si>
    <t>30007033746</t>
  </si>
  <si>
    <t>794671749</t>
  </si>
  <si>
    <t>31004409150</t>
  </si>
  <si>
    <t>794671748</t>
  </si>
  <si>
    <t>QA300 R8 1964</t>
  </si>
  <si>
    <t>0                      QA 0300000R  8           1964</t>
  </si>
  <si>
    <t>Principles of mathematical analysis / Walter Rudin.</t>
  </si>
  <si>
    <t>Rudin, Walter, 1921-2010.</t>
  </si>
  <si>
    <t>New York : McGraw-Hill, 1964.</t>
  </si>
  <si>
    <t>International series in pure and applied mathematics</t>
  </si>
  <si>
    <t>495956337:eng</t>
  </si>
  <si>
    <t>527796</t>
  </si>
  <si>
    <t>ocm00527796</t>
  </si>
  <si>
    <t>3102053499G</t>
  </si>
  <si>
    <t>791404262</t>
  </si>
  <si>
    <t>QA300 S18 2003</t>
  </si>
  <si>
    <t>0                      QA 0300000S  18          2003</t>
  </si>
  <si>
    <t>Fundamentals of complex analysis with applications to engineering and science / E.B. Saff, A.D. Snider ; with an appendix by Lloyd N. Trefethen and Tobin Driscoll.</t>
  </si>
  <si>
    <t>Saff, E. B., 1944-</t>
  </si>
  <si>
    <t>Upper Saddle River, N.J. : Prentice Hall, ©2003.</t>
  </si>
  <si>
    <t>3rd ed. International Edition</t>
  </si>
  <si>
    <t>3857495284:eng</t>
  </si>
  <si>
    <t>51178128</t>
  </si>
  <si>
    <t>ocm51178128</t>
  </si>
  <si>
    <t>3102864592Z</t>
  </si>
  <si>
    <t>9780139078743</t>
  </si>
  <si>
    <t>793779909</t>
  </si>
  <si>
    <t>QA300 S713 1964</t>
  </si>
  <si>
    <t>0                      QA 0300000S  713         1964</t>
  </si>
  <si>
    <t>A course of higher mathematics [by] V.I. Smirnov. Translated by D.E. Brown. Translation edited and additions made by I.N. Sneddon.</t>
  </si>
  <si>
    <t>Smirnov, V. I. (Vladimir Ivanovich), 1887-1974.</t>
  </si>
  <si>
    <t>Oxford, New York, Pergamon Press; [U.S.A. ed. distributed by Addison-Wesley Pub. Co., Reading, Mass.], [1964]</t>
  </si>
  <si>
    <t>International series of monographs in pure and applied mathematics, v. 57-62</t>
  </si>
  <si>
    <t>2002-12-15</t>
  </si>
  <si>
    <t>9438621038:eng</t>
  </si>
  <si>
    <t>346488</t>
  </si>
  <si>
    <t>ocm00346488</t>
  </si>
  <si>
    <t>3100440909W</t>
  </si>
  <si>
    <t>791345245</t>
  </si>
  <si>
    <t>3000699976C</t>
  </si>
  <si>
    <t>791345248</t>
  </si>
  <si>
    <t>31004409053</t>
  </si>
  <si>
    <t>791345247</t>
  </si>
  <si>
    <t>3100440907$</t>
  </si>
  <si>
    <t>791345244</t>
  </si>
  <si>
    <t>2009-01-21</t>
  </si>
  <si>
    <t>3100440908Y</t>
  </si>
  <si>
    <t>791345246</t>
  </si>
  <si>
    <t>QA303 B37 2006</t>
  </si>
  <si>
    <t>0                      QA 0303000B  37          2006</t>
  </si>
  <si>
    <t>The calculus wars : Newton, Leibniz, and the greatest mathematical clash of all time / Jason Socrates Bardi.</t>
  </si>
  <si>
    <t>Bardi, Jason Socrates.</t>
  </si>
  <si>
    <t>New York : Thunder's Mouth Press, 2006.</t>
  </si>
  <si>
    <t>2017-02-13</t>
  </si>
  <si>
    <t>49920931:eng</t>
  </si>
  <si>
    <t>66270850</t>
  </si>
  <si>
    <t>ocm66270850</t>
  </si>
  <si>
    <t>3102584732C</t>
  </si>
  <si>
    <t>9781560257066</t>
  </si>
  <si>
    <t>794138806</t>
  </si>
  <si>
    <t>QA303 C843</t>
  </si>
  <si>
    <t>0                      QA 0303000C  843</t>
  </si>
  <si>
    <t>Differential and integral calculus / by R. Courant; translated by E.J. McShane.</t>
  </si>
  <si>
    <t>Courant, Richard, 1888-1972.</t>
  </si>
  <si>
    <t>New York : [publisher not identified], [1959]</t>
  </si>
  <si>
    <t>2015-05-16</t>
  </si>
  <si>
    <t>5612771727:eng</t>
  </si>
  <si>
    <t>427850917</t>
  </si>
  <si>
    <t>ocn427850917</t>
  </si>
  <si>
    <t>3000548764W</t>
  </si>
  <si>
    <t>794702960</t>
  </si>
  <si>
    <t>2015-02-24</t>
  </si>
  <si>
    <t>3101109139A</t>
  </si>
  <si>
    <t>794702961</t>
  </si>
  <si>
    <t>3100179504G</t>
  </si>
  <si>
    <t>794702962</t>
  </si>
  <si>
    <t>QA303 F73</t>
  </si>
  <si>
    <t>0                      QA 0303000F  73</t>
  </si>
  <si>
    <t>Methods of advanced calculus / by Philip Franklin.</t>
  </si>
  <si>
    <t>Franklin, Philip, 1898-</t>
  </si>
  <si>
    <t>New York : McGraw-Hill, 1944.</t>
  </si>
  <si>
    <t>324801616:eng</t>
  </si>
  <si>
    <t>427096324</t>
  </si>
  <si>
    <t>ocn427096324</t>
  </si>
  <si>
    <t>3000498636I</t>
  </si>
  <si>
    <t>794519896</t>
  </si>
  <si>
    <t>QA303 H24 1914</t>
  </si>
  <si>
    <t>0                      QA 0303000H  24          1914</t>
  </si>
  <si>
    <t>A course of pure mathematics.</t>
  </si>
  <si>
    <t>Cambridge : [publisher not identified], 1914.</t>
  </si>
  <si>
    <t>1914</t>
  </si>
  <si>
    <t>395750:eng</t>
  </si>
  <si>
    <t>427499207</t>
  </si>
  <si>
    <t>ocn427499207</t>
  </si>
  <si>
    <t>3000691220X</t>
  </si>
  <si>
    <t>794667899</t>
  </si>
  <si>
    <t>QA303 H24 1938</t>
  </si>
  <si>
    <t>0                      QA 0303000H  24          1938</t>
  </si>
  <si>
    <t>A course of pure mathematics, by G.H. Hardy ...</t>
  </si>
  <si>
    <t>Cambridge [England] University Press, 1938.</t>
  </si>
  <si>
    <t>1083217</t>
  </si>
  <si>
    <t>ocm01083217</t>
  </si>
  <si>
    <t>3000688504R</t>
  </si>
  <si>
    <t>791542221</t>
  </si>
  <si>
    <t>QA303 H24 1944</t>
  </si>
  <si>
    <t>0                      QA 0303000H  24          1944</t>
  </si>
  <si>
    <t>Cambridge [England] University Press; New York, Macmillan Co. [1944]</t>
  </si>
  <si>
    <t>6060294</t>
  </si>
  <si>
    <t>ocm06060294</t>
  </si>
  <si>
    <t>3000690676W</t>
  </si>
  <si>
    <t>792472511</t>
  </si>
  <si>
    <t>QA303 I94 1996</t>
  </si>
  <si>
    <t>0                      QA 0303000I  94          1996</t>
  </si>
  <si>
    <t>Calculus / Gudmund R. Iversen.</t>
  </si>
  <si>
    <t>Iversen, Gudmund R.</t>
  </si>
  <si>
    <t>Sage university papers series. Quantitative applications in the social sciences ; no. 07-110</t>
  </si>
  <si>
    <t>34596508:eng</t>
  </si>
  <si>
    <t>33334277</t>
  </si>
  <si>
    <t>ocm33334277</t>
  </si>
  <si>
    <t>3102766994L</t>
  </si>
  <si>
    <t>9780803971103</t>
  </si>
  <si>
    <t>793407100</t>
  </si>
  <si>
    <t>QA303 L254</t>
  </si>
  <si>
    <t>0                      QA 0303000L  254</t>
  </si>
  <si>
    <t>Differential and integral calculus / translated from the German by Melvin Hausner and Martin Davis.</t>
  </si>
  <si>
    <t>Landau, Edmund, 1877-1938.</t>
  </si>
  <si>
    <t>New York : Chelsea Pub. Co., 1960.</t>
  </si>
  <si>
    <t>2016-03-01</t>
  </si>
  <si>
    <t>1298798:eng</t>
  </si>
  <si>
    <t>427506566</t>
  </si>
  <si>
    <t>ocn427506566</t>
  </si>
  <si>
    <t>30006996408</t>
  </si>
  <si>
    <t>794670421</t>
  </si>
  <si>
    <t>QA303 M338 2003</t>
  </si>
  <si>
    <t>0                      QA 0303000M  338         2003</t>
  </si>
  <si>
    <t>Vector calculus / Jerrold E. Marsden, Anthony J. Tromba.</t>
  </si>
  <si>
    <t>Marsden, Jerrold E.</t>
  </si>
  <si>
    <t>New York : W.H. Freeman, ©2003.</t>
  </si>
  <si>
    <t>730784:eng</t>
  </si>
  <si>
    <t>52377580</t>
  </si>
  <si>
    <t>ocm52377580</t>
  </si>
  <si>
    <t>31035593774</t>
  </si>
  <si>
    <t>9780716749929</t>
  </si>
  <si>
    <t>793804893</t>
  </si>
  <si>
    <t>3103559836Y</t>
  </si>
  <si>
    <t>793804895</t>
  </si>
  <si>
    <t>2018-12-04</t>
  </si>
  <si>
    <t>3103388963Q</t>
  </si>
  <si>
    <t>793804894</t>
  </si>
  <si>
    <t>QA303 M338 2003 Guide</t>
  </si>
  <si>
    <t>0                      QA 0303000M  338         2003                                        Guide</t>
  </si>
  <si>
    <t>Student study guide with solutions for Marsden and Tromba's Vector calculus, fifth edition / Karen Pao and Frederick Soon.</t>
  </si>
  <si>
    <t>Guide*</t>
  </si>
  <si>
    <t>Pao, Karen.</t>
  </si>
  <si>
    <t>New York : W.H. Freeman, 2003, ©2004.</t>
  </si>
  <si>
    <t>2705357:eng</t>
  </si>
  <si>
    <t>53113265</t>
  </si>
  <si>
    <t>ocm53113265</t>
  </si>
  <si>
    <t>3102531119Y</t>
  </si>
  <si>
    <t>9780716705284</t>
  </si>
  <si>
    <t>793821682</t>
  </si>
  <si>
    <t>QA303 M338 2012</t>
  </si>
  <si>
    <t>0                      QA 0303000M  338         2012</t>
  </si>
  <si>
    <t>New York : W.H. Freeman, ©2012.</t>
  </si>
  <si>
    <t>6th ed., International ed.</t>
  </si>
  <si>
    <t>773193687</t>
  </si>
  <si>
    <t>ocn773193687</t>
  </si>
  <si>
    <t>3103198998R</t>
  </si>
  <si>
    <t>9781429224048</t>
  </si>
  <si>
    <t>794905380</t>
  </si>
  <si>
    <t>3103198993R</t>
  </si>
  <si>
    <t>794905381</t>
  </si>
  <si>
    <t>QA303 O82</t>
  </si>
  <si>
    <t>0                      QA 0303000O  82</t>
  </si>
  <si>
    <t>A first course in the differential and integral calculus / by William F. Osgood.</t>
  </si>
  <si>
    <t>Osgood, William F. (William Fogg), 1864-1943.</t>
  </si>
  <si>
    <t>New York : [publisher not identified], 1909.</t>
  </si>
  <si>
    <t>2831697720:eng</t>
  </si>
  <si>
    <t>427097509</t>
  </si>
  <si>
    <t>ocn427097509</t>
  </si>
  <si>
    <t>3000498645H</t>
  </si>
  <si>
    <t>794519957</t>
  </si>
  <si>
    <t>3000075857K</t>
  </si>
  <si>
    <t>794519958</t>
  </si>
  <si>
    <t>QA303 P5</t>
  </si>
  <si>
    <t>0                      QA 0303000P  5</t>
  </si>
  <si>
    <t>Calculus, by H.B. Phillips.</t>
  </si>
  <si>
    <t>Phillips, H. B. (Henry Bayard), 1881-1973.</t>
  </si>
  <si>
    <t>New York, J. Wiley; London, Chapman &amp; Hall, 1927.</t>
  </si>
  <si>
    <t>2127918:eng</t>
  </si>
  <si>
    <t>1247405</t>
  </si>
  <si>
    <t>ocm01247405</t>
  </si>
  <si>
    <t>3000699915W</t>
  </si>
  <si>
    <t>791583285</t>
  </si>
  <si>
    <t>QA303 S73 2016</t>
  </si>
  <si>
    <t>0                      QA 0303000S  73          2016</t>
  </si>
  <si>
    <t>Single variable calculus : early transcendentals / James Stewart.</t>
  </si>
  <si>
    <t>Stewart, James, 1941- author.</t>
  </si>
  <si>
    <t>Boston, MA : Cengage Learning, ©2016.</t>
  </si>
  <si>
    <t>4915210037:eng</t>
  </si>
  <si>
    <t>910846024</t>
  </si>
  <si>
    <t>ocn910846024</t>
  </si>
  <si>
    <t>3103768348N</t>
  </si>
  <si>
    <t>9781305270336</t>
  </si>
  <si>
    <t>794996560</t>
  </si>
  <si>
    <t>- Reserves and A/V Room - A/V Reserves - 24 Hour Loan</t>
  </si>
  <si>
    <t>2020-01-10</t>
  </si>
  <si>
    <t>3103768358K</t>
  </si>
  <si>
    <t>794996563</t>
  </si>
  <si>
    <t>3103768343X</t>
  </si>
  <si>
    <t>794996564</t>
  </si>
  <si>
    <t>3103768353U</t>
  </si>
  <si>
    <t>794996562</t>
  </si>
  <si>
    <t>3103768363R</t>
  </si>
  <si>
    <t>794996561</t>
  </si>
  <si>
    <t>QA303 S88255 2016</t>
  </si>
  <si>
    <t>0                      QA 0303000S  88255       2016</t>
  </si>
  <si>
    <t>Student solutions manual for Single variable calculus : early transcendentals / Daniel Anderson, Jeffery A. Cole, Daniel Drucker.</t>
  </si>
  <si>
    <t>Anderson, Daniel D., 1948- author.</t>
  </si>
  <si>
    <t>3855586802:eng</t>
  </si>
  <si>
    <t>929587330</t>
  </si>
  <si>
    <t>ocn929587330</t>
  </si>
  <si>
    <t>3103768392K</t>
  </si>
  <si>
    <t>9781305272422</t>
  </si>
  <si>
    <t>795006591</t>
  </si>
  <si>
    <t>3103768373O</t>
  </si>
  <si>
    <t>795006589</t>
  </si>
  <si>
    <t>3103768387D</t>
  </si>
  <si>
    <t>795006586</t>
  </si>
  <si>
    <t>3103768397A</t>
  </si>
  <si>
    <t>795006587</t>
  </si>
  <si>
    <t>3103560499S</t>
  </si>
  <si>
    <t>795006588</t>
  </si>
  <si>
    <t>3103768368H</t>
  </si>
  <si>
    <t>795006590</t>
  </si>
  <si>
    <t>QA303 T39</t>
  </si>
  <si>
    <t>0                      QA 0303000T  39</t>
  </si>
  <si>
    <t>An introduction to the differential and integral calculus and differential equations / by F. Glanville Taylor.</t>
  </si>
  <si>
    <t>Taylor, Frank Glanville.</t>
  </si>
  <si>
    <t>London ; New York : Longmans, Green &amp; Co., 1899.</t>
  </si>
  <si>
    <t>1899</t>
  </si>
  <si>
    <t>2018-02-04</t>
  </si>
  <si>
    <t>7669031:eng</t>
  </si>
  <si>
    <t>13239578</t>
  </si>
  <si>
    <t>ocm13239578</t>
  </si>
  <si>
    <t>3101141278C</t>
  </si>
  <si>
    <t>792846053</t>
  </si>
  <si>
    <t>QA303.2 A333 2018</t>
  </si>
  <si>
    <t>0                      QA 0303200A  333         2018</t>
  </si>
  <si>
    <t>Calculus. Several variables / Robert A. Adams (University of British Columbia), Christopher Essex (University of Western Ontario).</t>
  </si>
  <si>
    <t>Adams, Robert A., 1940- author.</t>
  </si>
  <si>
    <t>Don Mills, Ontario : Pearson, [2018]</t>
  </si>
  <si>
    <t>2020-01-17</t>
  </si>
  <si>
    <t>5342688252:eng</t>
  </si>
  <si>
    <t>958272028</t>
  </si>
  <si>
    <t>ocn958272028</t>
  </si>
  <si>
    <t>3103768354S</t>
  </si>
  <si>
    <t>9780134579788</t>
  </si>
  <si>
    <t>795021643</t>
  </si>
  <si>
    <t>3103768345T</t>
  </si>
  <si>
    <t>795021642</t>
  </si>
  <si>
    <t>3103768359I</t>
  </si>
  <si>
    <t>795021641</t>
  </si>
  <si>
    <t>3103768349L</t>
  </si>
  <si>
    <t>795021640</t>
  </si>
  <si>
    <t>QA303.2 S74 2016</t>
  </si>
  <si>
    <t>0                      QA 0303200S  74          2016</t>
  </si>
  <si>
    <t>Multivariable calculus / James Stewart, McMaster University and University of Toronto.</t>
  </si>
  <si>
    <t>Stewart, James, 1941-</t>
  </si>
  <si>
    <t>Boston, MA, USA : Cengage Learning, [2016]</t>
  </si>
  <si>
    <t>1083172:eng</t>
  </si>
  <si>
    <t>948291365</t>
  </si>
  <si>
    <t>ocn948291365</t>
  </si>
  <si>
    <t>3103765834T</t>
  </si>
  <si>
    <t>9781305266643</t>
  </si>
  <si>
    <t>795015387</t>
  </si>
  <si>
    <t>3103765833V</t>
  </si>
  <si>
    <t>795015391</t>
  </si>
  <si>
    <t>3103765828O</t>
  </si>
  <si>
    <t>795015390</t>
  </si>
  <si>
    <t>2020-01-09</t>
  </si>
  <si>
    <t>3103765829M</t>
  </si>
  <si>
    <t>795015389</t>
  </si>
  <si>
    <t>QA304 P35</t>
  </si>
  <si>
    <t>0                      QA 0304000P  35</t>
  </si>
  <si>
    <t>Einleitung in die differential- und integralrechnung, von Dr. Moritz Pasch ...</t>
  </si>
  <si>
    <t>Leipzig, B.G. Teubner, 1882.</t>
  </si>
  <si>
    <t>32599115:ger</t>
  </si>
  <si>
    <t>29949878</t>
  </si>
  <si>
    <t>ocm29949878</t>
  </si>
  <si>
    <t>30006998994</t>
  </si>
  <si>
    <t>793324821</t>
  </si>
  <si>
    <t>QA308 Y65</t>
  </si>
  <si>
    <t>0                      QA 0308000Y  65</t>
  </si>
  <si>
    <t>The theory of integration, by L.C. Young.</t>
  </si>
  <si>
    <t>Young, L. C. (Laurence Chisholm), 1905-2000.</t>
  </si>
  <si>
    <t>Cambridge [England] The University Press, 1927.</t>
  </si>
  <si>
    <t>Cambridge tracts in mathematics and mathematical physics ... No. 21</t>
  </si>
  <si>
    <t>510938632:eng</t>
  </si>
  <si>
    <t>2394625</t>
  </si>
  <si>
    <t>ocm02394625</t>
  </si>
  <si>
    <t>3000789589I</t>
  </si>
  <si>
    <t>792115914</t>
  </si>
  <si>
    <t>QA312 B42</t>
  </si>
  <si>
    <t>0                      QA 0312000B  42</t>
  </si>
  <si>
    <t>Measure and integration / Sterling K. Berberian.</t>
  </si>
  <si>
    <t>Berberian, Sterling K., 1926-</t>
  </si>
  <si>
    <t>New York : Macmillan, 1965.</t>
  </si>
  <si>
    <t>Allendoerfer advanced series</t>
  </si>
  <si>
    <t>494303:eng</t>
  </si>
  <si>
    <t>529822</t>
  </si>
  <si>
    <t>ocm00529822</t>
  </si>
  <si>
    <t>3000698576X</t>
  </si>
  <si>
    <t>791405000</t>
  </si>
  <si>
    <t>QA312 M17</t>
  </si>
  <si>
    <t>0                      QA 0312000M  17</t>
  </si>
  <si>
    <t>Integration, by Edward James McShane.</t>
  </si>
  <si>
    <t>McShane, E. J. (Edward James), 1904-</t>
  </si>
  <si>
    <t>Princeton, Princeton University Press, 1944.</t>
  </si>
  <si>
    <t>[Princeton mathematical series ... 7]</t>
  </si>
  <si>
    <t>27675313:eng</t>
  </si>
  <si>
    <t>528215</t>
  </si>
  <si>
    <t>ocm00528215</t>
  </si>
  <si>
    <t>30007037504</t>
  </si>
  <si>
    <t>9780691079820</t>
  </si>
  <si>
    <t>791404414</t>
  </si>
  <si>
    <t>QA312 N313</t>
  </si>
  <si>
    <t>0                      QA 0312000N  313</t>
  </si>
  <si>
    <t>The Haar integral. Translated from the Portuguese by Lulu Bechtolsheim.</t>
  </si>
  <si>
    <t>Nachbin, Leopoldo.</t>
  </si>
  <si>
    <t>Princeton, N.J., Van Nostrand [1965]</t>
  </si>
  <si>
    <t>1539042:eng</t>
  </si>
  <si>
    <t>528880</t>
  </si>
  <si>
    <t>ocm00528880</t>
  </si>
  <si>
    <t>3000703758P</t>
  </si>
  <si>
    <t>791404631</t>
  </si>
  <si>
    <t>QA315 B7 1904</t>
  </si>
  <si>
    <t>0                      QA 0315000B  7           1904</t>
  </si>
  <si>
    <t>Lectures on the calculus of variations; by Oskar Bolza ...</t>
  </si>
  <si>
    <t>Bolza, O. (Oskar), 1857-1942.</t>
  </si>
  <si>
    <t>Chicago, University of Chicago Press, 1904.</t>
  </si>
  <si>
    <t>Chicago. University. The decennial publications. 2d series, vol. XIV</t>
  </si>
  <si>
    <t>2016-08-18</t>
  </si>
  <si>
    <t>1638382:eng</t>
  </si>
  <si>
    <t>1305564</t>
  </si>
  <si>
    <t>ocm01305564</t>
  </si>
  <si>
    <t>3103049573X</t>
  </si>
  <si>
    <t>791595303</t>
  </si>
  <si>
    <t>QA315 C273</t>
  </si>
  <si>
    <t>0                      QA 0315000C  273</t>
  </si>
  <si>
    <t>Variationsrechnung und partielle Differentialgleichungen erster Ordnung.</t>
  </si>
  <si>
    <t>Carathéodory, Constantin, 1873-1950.</t>
  </si>
  <si>
    <t>Leipzig, Teubner, 1956-</t>
  </si>
  <si>
    <t>2. Aufl., hrsg. von Ernst Hölder.</t>
  </si>
  <si>
    <t>2016-05-27</t>
  </si>
  <si>
    <t>4095492501:ger</t>
  </si>
  <si>
    <t>1048416</t>
  </si>
  <si>
    <t>ocm01048416</t>
  </si>
  <si>
    <t>3103678469C</t>
  </si>
  <si>
    <t>791533376</t>
  </si>
  <si>
    <t>QA315 L5 1861</t>
  </si>
  <si>
    <t>0                      QA 0315000L  5           1861</t>
  </si>
  <si>
    <t>Leçons de calcul des variations / par L. Lindelöf ; rédigées en collaboration avec M. l'abbé Moigno.</t>
  </si>
  <si>
    <t>Lindelöf, L. (Lorenz), 1827-1908.</t>
  </si>
  <si>
    <t>Paris : Mallet-Bachelier, 1861.</t>
  </si>
  <si>
    <t>1861</t>
  </si>
  <si>
    <t>16470483:fre</t>
  </si>
  <si>
    <t>25251592</t>
  </si>
  <si>
    <t>ocm25251592</t>
  </si>
  <si>
    <t>3102904782I</t>
  </si>
  <si>
    <t>793215349</t>
  </si>
  <si>
    <t>QA316 W53</t>
  </si>
  <si>
    <t>0                      QA 0316000W  53</t>
  </si>
  <si>
    <t>The Laplace transform.</t>
  </si>
  <si>
    <t>Widder, D. V. (David Vernon), 1898-1990.</t>
  </si>
  <si>
    <t>Princeton, Princeton University Press; London, H. Milford, Oxford University Press, 1946 [©1941]</t>
  </si>
  <si>
    <t>[Princeton mathematical series, 6]</t>
  </si>
  <si>
    <t>495525155:eng</t>
  </si>
  <si>
    <t>528187</t>
  </si>
  <si>
    <t>ocm00528187</t>
  </si>
  <si>
    <t>30007009195</t>
  </si>
  <si>
    <t>791404403</t>
  </si>
  <si>
    <t>QA320 C57</t>
  </si>
  <si>
    <t>0                      QA 0320000C  57</t>
  </si>
  <si>
    <t>Funktionalanalysis und numerische Mathematik.</t>
  </si>
  <si>
    <t>Collatz, L. (Lothar), 1910-1990.</t>
  </si>
  <si>
    <t>Berlin, Springer, 1964.</t>
  </si>
  <si>
    <t>Die Grundlehren der mathematischen Wissenschaften in Einzeldarstellungen, Bd. 120</t>
  </si>
  <si>
    <t>135169976:ger</t>
  </si>
  <si>
    <t>1220413</t>
  </si>
  <si>
    <t>ocm01220413</t>
  </si>
  <si>
    <t>3000696767$</t>
  </si>
  <si>
    <t>9780387041353</t>
  </si>
  <si>
    <t>791576158</t>
  </si>
  <si>
    <t>QA320 K28</t>
  </si>
  <si>
    <t>0                      QA 0320000K  28</t>
  </si>
  <si>
    <t>Functional analysis in normed spaces / L.V. Kantorovich and G.P. Akilov ; translated from the Russian by D.E. Brown ; edited by A.P. Robertson.</t>
  </si>
  <si>
    <t>Kantorovich, L. V. (Leonid Vitalʹevich), 1912-1986.</t>
  </si>
  <si>
    <t>New York : Pergamon Press, 1964.</t>
  </si>
  <si>
    <t>International series of monographs on pure and applied mathematics ; v. 46</t>
  </si>
  <si>
    <t>2017-12-15</t>
  </si>
  <si>
    <t>136076947:eng</t>
  </si>
  <si>
    <t>427381351</t>
  </si>
  <si>
    <t>ocn427381351</t>
  </si>
  <si>
    <t>3000498096O</t>
  </si>
  <si>
    <t>794644011</t>
  </si>
  <si>
    <t>QA320 Y6</t>
  </si>
  <si>
    <t>0                      QA 0320000Y  6</t>
  </si>
  <si>
    <t>Functional analysis, by Kôsaku Yosida.</t>
  </si>
  <si>
    <t>Yoshida, Kōsaku, 1909-1990.</t>
  </si>
  <si>
    <t>Berlin, Springer-Verlag, 1965.</t>
  </si>
  <si>
    <t>Die Grundlehren der mathematischen Wissenschaften in Einzeldarstellungen, Bd. 123</t>
  </si>
  <si>
    <t>480453346:eng</t>
  </si>
  <si>
    <t>527459</t>
  </si>
  <si>
    <t>ocm00527459</t>
  </si>
  <si>
    <t>30006904844</t>
  </si>
  <si>
    <t>791404143</t>
  </si>
  <si>
    <t>QA322 R6 1964</t>
  </si>
  <si>
    <t>0                      QA 0322000R  6           1964</t>
  </si>
  <si>
    <t>Topological vector spaces, by A.P. Robertson and Wendy Robertson.</t>
  </si>
  <si>
    <t>Robertson, A. P. (Alex P.)</t>
  </si>
  <si>
    <t>Cambridge, University Press, 1964.</t>
  </si>
  <si>
    <t>Cambridge tracts in mathematics and mathematical physics ; no. 53</t>
  </si>
  <si>
    <t>9380921459:eng</t>
  </si>
  <si>
    <t>1265416</t>
  </si>
  <si>
    <t>ocm01265416</t>
  </si>
  <si>
    <t>3000774905S</t>
  </si>
  <si>
    <t>791587630</t>
  </si>
  <si>
    <t>QA331 A45</t>
  </si>
  <si>
    <t>0                      QA 0331000A  45</t>
  </si>
  <si>
    <t>Complex analysis : an introduction to the theory of analytic functions of one complex variable / Lars V. Ahlfors.</t>
  </si>
  <si>
    <t>Ahlfors, Lars V. (Lars Valerian), 1907-1996.</t>
  </si>
  <si>
    <t>New York : McGraw-Hill, 1953.</t>
  </si>
  <si>
    <t>197133423:eng</t>
  </si>
  <si>
    <t>527446</t>
  </si>
  <si>
    <t>ocm00527446</t>
  </si>
  <si>
    <t>3000690622I</t>
  </si>
  <si>
    <t>791404137</t>
  </si>
  <si>
    <t>QA331 K34</t>
  </si>
  <si>
    <t>0                      QA 0331000K  34</t>
  </si>
  <si>
    <t>Lectures on functions of a complex variable, edited by Wilfred Kaplan with the assistance of Maxwell O. Reade and Gail S. Young.</t>
  </si>
  <si>
    <t>Kaplan, Wilfred, 1915- editor.</t>
  </si>
  <si>
    <t>Ann Arbor, University of Michigan Press, 1955.</t>
  </si>
  <si>
    <t>352695456:eng</t>
  </si>
  <si>
    <t>1378415</t>
  </si>
  <si>
    <t>ocm01378415</t>
  </si>
  <si>
    <t>30006957852</t>
  </si>
  <si>
    <t>791613420</t>
  </si>
  <si>
    <t>QA331 L5</t>
  </si>
  <si>
    <t>0                      QA 0331000L  5</t>
  </si>
  <si>
    <t>Le calcul des résidus et ses applications à la théorie des fonctions, par Ernst Lindelöf ...</t>
  </si>
  <si>
    <t>Lindelöf, Ernst, 1870-1946.</t>
  </si>
  <si>
    <t>Paris, Gauthier-Villars, 1905.</t>
  </si>
  <si>
    <t>1905</t>
  </si>
  <si>
    <t>Collection de monographies sur la théorie des fonctions, pub. sous la direction de M. Émile Borel</t>
  </si>
  <si>
    <t>2015-02-23</t>
  </si>
  <si>
    <t>348380611:fre</t>
  </si>
  <si>
    <t>1226577</t>
  </si>
  <si>
    <t>ocm01226577</t>
  </si>
  <si>
    <t>3000690436F</t>
  </si>
  <si>
    <t>791577471</t>
  </si>
  <si>
    <t>QA331 L77</t>
  </si>
  <si>
    <t>0                      QA 0331000L  77</t>
  </si>
  <si>
    <t>Lectures on the theory of functions, by J.E. Littlewood ...</t>
  </si>
  <si>
    <t>Littlewood, John E. (John Edensor), 1885-1977.</t>
  </si>
  <si>
    <t>[London] Oxford University Press, 1944.</t>
  </si>
  <si>
    <t>2008-02-04</t>
  </si>
  <si>
    <t>2015-08-12</t>
  </si>
  <si>
    <t>1497626:eng</t>
  </si>
  <si>
    <t>297140</t>
  </si>
  <si>
    <t>ocm00297140</t>
  </si>
  <si>
    <t>3000690438B</t>
  </si>
  <si>
    <t>791328020</t>
  </si>
  <si>
    <t>QA331.7 W86 2005</t>
  </si>
  <si>
    <t>0                      QA 0331700W  86          2005</t>
  </si>
  <si>
    <t>Complex variables with applications / A. David Wunsch.</t>
  </si>
  <si>
    <t>Wunsch, A. David.</t>
  </si>
  <si>
    <t>Boston : Pearson Addison-Wesley, ©2005.</t>
  </si>
  <si>
    <t>12007001:eng</t>
  </si>
  <si>
    <t>53951748</t>
  </si>
  <si>
    <t>ocm53951748</t>
  </si>
  <si>
    <t>3102808399I</t>
  </si>
  <si>
    <t>9780201756098</t>
  </si>
  <si>
    <t>793853873</t>
  </si>
  <si>
    <t>31037889233</t>
  </si>
  <si>
    <t>793853870</t>
  </si>
  <si>
    <t>2018-08-22</t>
  </si>
  <si>
    <t>3103149378X</t>
  </si>
  <si>
    <t>793853872</t>
  </si>
  <si>
    <t>3103788968I</t>
  </si>
  <si>
    <t>793853874</t>
  </si>
  <si>
    <t>2019-02-11</t>
  </si>
  <si>
    <t>3103788954T</t>
  </si>
  <si>
    <t>793853871</t>
  </si>
  <si>
    <t>31037889241</t>
  </si>
  <si>
    <t>793853876</t>
  </si>
  <si>
    <t>3103036358N</t>
  </si>
  <si>
    <t>793853875</t>
  </si>
  <si>
    <t>3102806635T</t>
  </si>
  <si>
    <t>793853869</t>
  </si>
  <si>
    <t>QA333 S36</t>
  </si>
  <si>
    <t>0                      QA 0333000S  36</t>
  </si>
  <si>
    <t>Functionals of finite Riemann surfaces, by Menahem Schiffer and Donald C. Spencer.</t>
  </si>
  <si>
    <t>Schiffer, Menahem.</t>
  </si>
  <si>
    <t>Princeton mathematical series, 16</t>
  </si>
  <si>
    <t>1537340:eng</t>
  </si>
  <si>
    <t>528214</t>
  </si>
  <si>
    <t>ocm00528214</t>
  </si>
  <si>
    <t>30007006951</t>
  </si>
  <si>
    <t>791404413</t>
  </si>
  <si>
    <t>QA351 T49</t>
  </si>
  <si>
    <t>0                      QA 0351000T  49</t>
  </si>
  <si>
    <t>The theory of the Riemann zeta-function.</t>
  </si>
  <si>
    <t>Titchmarsh, E. C. (Edward Charles), 1899-1963.</t>
  </si>
  <si>
    <t>Oxford, Clarendon Press, 1951.</t>
  </si>
  <si>
    <t>2294580361:eng</t>
  </si>
  <si>
    <t>1303766</t>
  </si>
  <si>
    <t>ocm01303766</t>
  </si>
  <si>
    <t>30006960078</t>
  </si>
  <si>
    <t>791595023</t>
  </si>
  <si>
    <t>QA360 G3</t>
  </si>
  <si>
    <t>0                      QA 0360000G  3</t>
  </si>
  <si>
    <t>Konstruktive Methoden der konformen Abbildung.</t>
  </si>
  <si>
    <t>Gaier, Dieter.</t>
  </si>
  <si>
    <t>Springer tracts in natural philosophy ; v. 3</t>
  </si>
  <si>
    <t>2025719:ger</t>
  </si>
  <si>
    <t>1071346</t>
  </si>
  <si>
    <t>ocm01071346</t>
  </si>
  <si>
    <t>3000498627J</t>
  </si>
  <si>
    <t>791538723</t>
  </si>
  <si>
    <t>QA371 B69 2013 Suppl.</t>
  </si>
  <si>
    <t>0                      QA 0371000B  69          2013                                        Suppl.</t>
  </si>
  <si>
    <t>Student solutions manual to accompany Elementary differential equations, tenth edition, and Elementary differential equations and boundary value problems, tenth edition [by] William E. Boyce, Edward P. Hamilton Professor Emeritus, Richard C. DiPrima, formerly Eliza Ricketts Foundation Professor, Department of Mathematical Sciences, Rensselaer Polytechnic Institute / Tamas Wiandt, Rochester University of Technology.</t>
  </si>
  <si>
    <t>Wiandt, Tamas, author.</t>
  </si>
  <si>
    <t>Hoboken, NJ : Wiley, [2013]</t>
  </si>
  <si>
    <t>5619483663:eng</t>
  </si>
  <si>
    <t>829753931</t>
  </si>
  <si>
    <t>ocn829753931</t>
  </si>
  <si>
    <t>3103759088O</t>
  </si>
  <si>
    <t>9780470458334</t>
  </si>
  <si>
    <t>794942742</t>
  </si>
  <si>
    <t>3103688623M</t>
  </si>
  <si>
    <t>794942741</t>
  </si>
  <si>
    <t>QA371 B773 2012</t>
  </si>
  <si>
    <t>0                      QA 0371000B  773         2012</t>
  </si>
  <si>
    <t>Elementary differential equations and boundary value problems / William E. Boyce, Edward P. Hamilton professor emeritus, Richard C. DiPrima, formerly Eliza Ricketts Foundation professor, Department of Mathematical Sciences, Rensselaer Polytechnic Institute.</t>
  </si>
  <si>
    <t>Boyce, William E., author.</t>
  </si>
  <si>
    <t>Hoboken, NJ : Wiley, [2012]</t>
  </si>
  <si>
    <t>4918475679:eng</t>
  </si>
  <si>
    <t>779125914</t>
  </si>
  <si>
    <t>ocn779125914</t>
  </si>
  <si>
    <t>3103552124B</t>
  </si>
  <si>
    <t>9780470458310</t>
  </si>
  <si>
    <t>794910515</t>
  </si>
  <si>
    <t>3103000610O</t>
  </si>
  <si>
    <t>794910516</t>
  </si>
  <si>
    <t>3103551404A</t>
  </si>
  <si>
    <t>794910517</t>
  </si>
  <si>
    <t>3103397869S</t>
  </si>
  <si>
    <t>794910514</t>
  </si>
  <si>
    <t>QA371 K282</t>
  </si>
  <si>
    <t>0                      QA 0371000K  282</t>
  </si>
  <si>
    <t>Differentialgleichungen : Losungsmethoden und Losungen / von E. Kamke.</t>
  </si>
  <si>
    <t>Kamke, E. (Erich), 1890-1961.</t>
  </si>
  <si>
    <t>New York : Chelsea Publishing Co., 1948-</t>
  </si>
  <si>
    <t>3. Auflage.</t>
  </si>
  <si>
    <t>2015-09-29</t>
  </si>
  <si>
    <t>4535649390:eng</t>
  </si>
  <si>
    <t>233973237</t>
  </si>
  <si>
    <t>ocn233973237</t>
  </si>
  <si>
    <t>3000703961S</t>
  </si>
  <si>
    <t>794367585</t>
  </si>
  <si>
    <t>QA374 S86 2008</t>
  </si>
  <si>
    <t>0                      QA 0374000S  86          2008</t>
  </si>
  <si>
    <t>Partial differential equations : an introduction / Walter A. Strauss.</t>
  </si>
  <si>
    <t>Strauss, Walter A., 1937-</t>
  </si>
  <si>
    <t>New York : Wiley, ©2008.</t>
  </si>
  <si>
    <t>1142376:eng</t>
  </si>
  <si>
    <t>173499007</t>
  </si>
  <si>
    <t>ocn173499007</t>
  </si>
  <si>
    <t>3103585233G</t>
  </si>
  <si>
    <t>9780470054567</t>
  </si>
  <si>
    <t>794268581</t>
  </si>
  <si>
    <t>QA377 E68 2014</t>
  </si>
  <si>
    <t>0                      QA 0377000E  68          2014</t>
  </si>
  <si>
    <t>Equazioni a derivate parziali nell'opera di Gaetano Fichera / Carlo Sbordone [editor].</t>
  </si>
  <si>
    <t>Napoli : Accademia Pontaniana, 2014.</t>
  </si>
  <si>
    <t>Quaderni dell'Accademia pontaniana ; 60</t>
  </si>
  <si>
    <t>3758423356:ita</t>
  </si>
  <si>
    <t>1005143562</t>
  </si>
  <si>
    <t>on1005143562</t>
  </si>
  <si>
    <t>31037597666</t>
  </si>
  <si>
    <t>9788874317172</t>
  </si>
  <si>
    <t>795042482</t>
  </si>
  <si>
    <t>QA377 H58</t>
  </si>
  <si>
    <t>0                      QA 0377000H  58</t>
  </si>
  <si>
    <t>Linear partial differential operators.</t>
  </si>
  <si>
    <t>Hörmander, Lars.</t>
  </si>
  <si>
    <t>Berlin, Springer, 1963.</t>
  </si>
  <si>
    <t>Die Grundlehren der mathematischen Wissenschaften in Einzeldarstellungen mit besonderer Berücksichtigung der Anwendungsgebiete, Bd. 116</t>
  </si>
  <si>
    <t>2016-02-22</t>
  </si>
  <si>
    <t>133509003:eng</t>
  </si>
  <si>
    <t>527457</t>
  </si>
  <si>
    <t>ocm00527457</t>
  </si>
  <si>
    <t>3000703928Q</t>
  </si>
  <si>
    <t>791404141</t>
  </si>
  <si>
    <t>QA385 C5</t>
  </si>
  <si>
    <t>0                      QA 0385000C  5</t>
  </si>
  <si>
    <t>Theory of Lie groups. I / Claude Chevalley.</t>
  </si>
  <si>
    <t>Chevalley, C. (Claude), 1909-1984.</t>
  </si>
  <si>
    <t>Princeton : Princeton University Press, 1946.</t>
  </si>
  <si>
    <t>Princeton mathematical series ; 8</t>
  </si>
  <si>
    <t>1815558426:eng</t>
  </si>
  <si>
    <t>528126</t>
  </si>
  <si>
    <t>ocm00528126</t>
  </si>
  <si>
    <t>30007041862</t>
  </si>
  <si>
    <t>9780691049908</t>
  </si>
  <si>
    <t>791404380</t>
  </si>
  <si>
    <t>QA401 H527 2000</t>
  </si>
  <si>
    <t>0                      QA 0401000H  527         2000</t>
  </si>
  <si>
    <t>Emergence : from chaos to order.</t>
  </si>
  <si>
    <t>Holland, John H. (John Henry), 1929-2015.</t>
  </si>
  <si>
    <t>Oxford : Oxford University Press, 2000.</t>
  </si>
  <si>
    <t>4924130532:eng</t>
  </si>
  <si>
    <t>42745957</t>
  </si>
  <si>
    <t>ocm42745957</t>
  </si>
  <si>
    <t>3103286030$</t>
  </si>
  <si>
    <t>9780192862112</t>
  </si>
  <si>
    <t>793613390</t>
  </si>
  <si>
    <t>QA402 O63 1997</t>
  </si>
  <si>
    <t>0                      QA 0402000O  63          1997</t>
  </si>
  <si>
    <t>Signals &amp; systems / Alan V. Oppenheim, Alan S. Willsky, with S. Hamid Nawab.</t>
  </si>
  <si>
    <t>Oppenheim, Alan V., 1937-</t>
  </si>
  <si>
    <t>Upper Saddle River, N.J. : Prentice Hall, ©1997.</t>
  </si>
  <si>
    <t>Prentice-Hall signal processing series</t>
  </si>
  <si>
    <t>11638129:eng</t>
  </si>
  <si>
    <t>34730193</t>
  </si>
  <si>
    <t>ocm34730193</t>
  </si>
  <si>
    <t>3103545516V</t>
  </si>
  <si>
    <t>9780138147570</t>
  </si>
  <si>
    <t>793434295</t>
  </si>
  <si>
    <t>QA402 W43</t>
  </si>
  <si>
    <t>0                      QA 0402000W  43</t>
  </si>
  <si>
    <t>On the design of stable systems / Gerald M. Weinberg, Daniela Weinberg ; illustrated by Sally Cox.</t>
  </si>
  <si>
    <t>New York : Wiley, ©1979.</t>
  </si>
  <si>
    <t>Wiley series on systems engineering and analysis</t>
  </si>
  <si>
    <t>2999410226:eng</t>
  </si>
  <si>
    <t>5007314</t>
  </si>
  <si>
    <t>ocm05007314</t>
  </si>
  <si>
    <t>3000146994G</t>
  </si>
  <si>
    <t>9780471047223</t>
  </si>
  <si>
    <t>792400763</t>
  </si>
  <si>
    <t>QA402 W547 2007</t>
  </si>
  <si>
    <t>0                      QA 0402000W  547         2007</t>
  </si>
  <si>
    <t>Linear state-space control systems / Robert L. Williams II, Douglas A. Lawrence.</t>
  </si>
  <si>
    <t>Williams, Robert L., 1962-</t>
  </si>
  <si>
    <t>Hoboken, N.J. : John Wiley &amp; Sons, ©2007.</t>
  </si>
  <si>
    <t>52363194:eng</t>
  </si>
  <si>
    <t>69020985</t>
  </si>
  <si>
    <t>ocm69020985</t>
  </si>
  <si>
    <t>3103393158U</t>
  </si>
  <si>
    <t>9780471735557</t>
  </si>
  <si>
    <t>794145016</t>
  </si>
  <si>
    <t>QA402.5 A645 1993</t>
  </si>
  <si>
    <t>0                      QA 0402500A  645         1993</t>
  </si>
  <si>
    <t>Applied simulated annealing / René V.V. Vidal (ed.).</t>
  </si>
  <si>
    <t>Berlin ; New York : Springer-Verlag, ©1993.</t>
  </si>
  <si>
    <t>Lecture notes in economics and mathematical systems ; 396</t>
  </si>
  <si>
    <t>29175413:eng</t>
  </si>
  <si>
    <t>26851455</t>
  </si>
  <si>
    <t>ocm26851455</t>
  </si>
  <si>
    <t>3101204054$</t>
  </si>
  <si>
    <t>9783540562290</t>
  </si>
  <si>
    <t>793253269</t>
  </si>
  <si>
    <t>QA402.5 B465 2019</t>
  </si>
  <si>
    <t>0                      QA 0402500B  465         2019</t>
  </si>
  <si>
    <t>Reinforcement learning and optimal control / by Dimitri P. Bertsekas.</t>
  </si>
  <si>
    <t>Bertsekas, Dimitri P., author.</t>
  </si>
  <si>
    <t>Belmont, Massachusetts : Athena Scientific, [2019]</t>
  </si>
  <si>
    <t>Athena Scientific optimization and computation series</t>
  </si>
  <si>
    <t>9473996204:eng</t>
  </si>
  <si>
    <t>1114332024</t>
  </si>
  <si>
    <t>on1114332024</t>
  </si>
  <si>
    <t>3103907839V</t>
  </si>
  <si>
    <t>9781886529397</t>
  </si>
  <si>
    <t>795084470</t>
  </si>
  <si>
    <t>QA402.5 B7</t>
  </si>
  <si>
    <t>0                      QA 0402500B  7</t>
  </si>
  <si>
    <t>Applied mathematical programming / Stephen P. Bradley, Arnoldo C. Hax, Thomas L. Magnanti.</t>
  </si>
  <si>
    <t>Bradley, Stephen P., 1941-</t>
  </si>
  <si>
    <t>416695:eng</t>
  </si>
  <si>
    <t>3142799</t>
  </si>
  <si>
    <t>ocm03142799</t>
  </si>
  <si>
    <t>3103116180R</t>
  </si>
  <si>
    <t>9780201004649</t>
  </si>
  <si>
    <t>792222484</t>
  </si>
  <si>
    <t>QA402.5 I4885 1996</t>
  </si>
  <si>
    <t>0                      QA 0402500I  4885        1996</t>
  </si>
  <si>
    <t>Interior point methods of mathematical programming / edited by Tamás Terlaky.</t>
  </si>
  <si>
    <t>Dordrecht, Netherlands ; Boston : Kluwer, ©1996.</t>
  </si>
  <si>
    <t>Applied optimization ; v. 5</t>
  </si>
  <si>
    <t>2007-10-16</t>
  </si>
  <si>
    <t>2017-11-29</t>
  </si>
  <si>
    <t>40591435:eng</t>
  </si>
  <si>
    <t>35084922</t>
  </si>
  <si>
    <t>ocm35084922</t>
  </si>
  <si>
    <t>3102416451D</t>
  </si>
  <si>
    <t>9780792342014</t>
  </si>
  <si>
    <t>793443496</t>
  </si>
  <si>
    <t>QA402.5 K32 1991</t>
  </si>
  <si>
    <t>0                      QA 0402500K  32          1991</t>
  </si>
  <si>
    <t>Dynamic optimization : the calculus of variations and optimal control in economics and management / Morton I. Kamien and Nancy L. Schwartz.</t>
  </si>
  <si>
    <t>Kamien, Morton I.</t>
  </si>
  <si>
    <t>Amsterdam ; New York : North-Holland ; New York, N.Y. : Elsevier Science, ©1991.</t>
  </si>
  <si>
    <t>Advanced textbooks in economics ; v. 31</t>
  </si>
  <si>
    <t>884580:eng</t>
  </si>
  <si>
    <t>23941087</t>
  </si>
  <si>
    <t>ocm23941087</t>
  </si>
  <si>
    <t>3102543013O</t>
  </si>
  <si>
    <t>9780444016096</t>
  </si>
  <si>
    <t>793185546</t>
  </si>
  <si>
    <t>QA402.5 N453 1988</t>
  </si>
  <si>
    <t>0                      QA 0402500N  453         1988</t>
  </si>
  <si>
    <t>Integer and combinatorial optimization / George L. Nemhauser, Laurence A. Wolsey.</t>
  </si>
  <si>
    <t>Nemhauser, George L.</t>
  </si>
  <si>
    <t>New York : Wiley, ©1988.</t>
  </si>
  <si>
    <t>Wiley-Interscience series in discrete mathematics and optimization</t>
  </si>
  <si>
    <t>15372407:eng</t>
  </si>
  <si>
    <t>17200031</t>
  </si>
  <si>
    <t>ocm17200031</t>
  </si>
  <si>
    <t>31026776284</t>
  </si>
  <si>
    <t>9780471828198</t>
  </si>
  <si>
    <t>792983782</t>
  </si>
  <si>
    <t>QA402.5 S837 1996</t>
  </si>
  <si>
    <t>0                      QA 0402500S  837         1996</t>
  </si>
  <si>
    <t>A first course in optimization theory / Rangarajan K. Sundaram.</t>
  </si>
  <si>
    <t>Sundaram, Rangarajan K.</t>
  </si>
  <si>
    <t>38194232:eng</t>
  </si>
  <si>
    <t>32892151</t>
  </si>
  <si>
    <t>ocm32892151</t>
  </si>
  <si>
    <t>3102809709K</t>
  </si>
  <si>
    <t>9780521497190</t>
  </si>
  <si>
    <t>793396745</t>
  </si>
  <si>
    <t>QA402.5 Z68</t>
  </si>
  <si>
    <t>0                      QA 0402500Z  68</t>
  </si>
  <si>
    <t>Mathematical programming methods / G. Zoutendijk.</t>
  </si>
  <si>
    <t>Zoutendijk, G.</t>
  </si>
  <si>
    <t>Amsterdam : North Holland Pub. Co. ; New York : Sole distributors for the U.S.A. and Canada, American Elsevier Pub. Co., 1976.</t>
  </si>
  <si>
    <t>3364441:eng</t>
  </si>
  <si>
    <t>1992086</t>
  </si>
  <si>
    <t>ocm01992086</t>
  </si>
  <si>
    <t>3102878006A</t>
  </si>
  <si>
    <t>9780444110695</t>
  </si>
  <si>
    <t>792024770</t>
  </si>
  <si>
    <t>QA403 L64</t>
  </si>
  <si>
    <t>0                      QA 0403000L  64</t>
  </si>
  <si>
    <t>An introduction to abstract harmonic analysis.</t>
  </si>
  <si>
    <t>Loomis, Lynn H., 1915-1994.</t>
  </si>
  <si>
    <t>Toronto : Van Nostrand, 1953.</t>
  </si>
  <si>
    <t>2015-03-26</t>
  </si>
  <si>
    <t>4065854:eng</t>
  </si>
  <si>
    <t>61599050</t>
  </si>
  <si>
    <t>ocm61599050</t>
  </si>
  <si>
    <t>3100416545W</t>
  </si>
  <si>
    <t>794038145</t>
  </si>
  <si>
    <t>QA403 R8</t>
  </si>
  <si>
    <t>0                      QA 0403000R  8</t>
  </si>
  <si>
    <t>Fourier analysis on groups.</t>
  </si>
  <si>
    <t>New York, Interscience Publishers [1962]</t>
  </si>
  <si>
    <t>Interscience tracts in pure and applied mathematics, no. 12</t>
  </si>
  <si>
    <t>495956986:eng</t>
  </si>
  <si>
    <t>529736</t>
  </si>
  <si>
    <t>ocm00529736</t>
  </si>
  <si>
    <t>3000696607L</t>
  </si>
  <si>
    <t>9780471523642</t>
  </si>
  <si>
    <t>791404950</t>
  </si>
  <si>
    <t>QA432 M3 1953</t>
  </si>
  <si>
    <t>0                      QA 0432000M  3           1953</t>
  </si>
  <si>
    <t>Complex variable theory and transform calculus with technical applications.</t>
  </si>
  <si>
    <t>McLachlan, N. W. (Norman William), 1888-</t>
  </si>
  <si>
    <t>Cambridge [England] University Press, 1953.</t>
  </si>
  <si>
    <t>2015-06-11</t>
  </si>
  <si>
    <t>2086106:eng</t>
  </si>
  <si>
    <t>1202805</t>
  </si>
  <si>
    <t>ocm01202805</t>
  </si>
  <si>
    <t>3000498451U</t>
  </si>
  <si>
    <t>791572721</t>
  </si>
  <si>
    <t>QA442 W66 2012</t>
  </si>
  <si>
    <t>0                      QA 0442000W  66          2012</t>
  </si>
  <si>
    <t>"Mathesis of the mind" : a study of Fichte's Wissenschaftslehre and geometry / David W. Wood.</t>
  </si>
  <si>
    <t>Wood, David W., 1968-</t>
  </si>
  <si>
    <t>Amsterdam ; New York, NY : Rodopi, 2012.</t>
  </si>
  <si>
    <t>Fichte-Studie-Supplementa ; Bd. 29</t>
  </si>
  <si>
    <t>1090519228:eng</t>
  </si>
  <si>
    <t>793131305</t>
  </si>
  <si>
    <t>ocn793131305</t>
  </si>
  <si>
    <t>3103657539Y</t>
  </si>
  <si>
    <t>9789042034914</t>
  </si>
  <si>
    <t>794917614</t>
  </si>
  <si>
    <t>QA443.5 K58 1993</t>
  </si>
  <si>
    <t>0                      QA 0443500K  58          1993</t>
  </si>
  <si>
    <t>The ancient tradition of geometric problems / Wilbur Richard Knorr.</t>
  </si>
  <si>
    <t>New York : Dover, 1993.</t>
  </si>
  <si>
    <t>341485:eng</t>
  </si>
  <si>
    <t>27070595</t>
  </si>
  <si>
    <t>ocm27070595</t>
  </si>
  <si>
    <t>3101429298V</t>
  </si>
  <si>
    <t>9780486675329</t>
  </si>
  <si>
    <t>793258471</t>
  </si>
  <si>
    <t>QA445 C48A</t>
  </si>
  <si>
    <t>0                      QA 0445000C  48A</t>
  </si>
  <si>
    <t>Aperçu historique sur l'origine et le développement des méthodes en géométrie, particulièrement de celles qui se rapportent à la géométrie moderne, suivi d'un mémoire de géométrie sur deux principes généraux de la science, la dualité et l'homographie; par M. Chasles ...</t>
  </si>
  <si>
    <t>Chasles, M. (Michel), 1793-1880.</t>
  </si>
  <si>
    <t>Paris, Gauthier-Villars, 1875.</t>
  </si>
  <si>
    <t>1875</t>
  </si>
  <si>
    <t>2. éd., conforme à la première.</t>
  </si>
  <si>
    <t>4666385733:fre</t>
  </si>
  <si>
    <t>4601767</t>
  </si>
  <si>
    <t>ocm04601767</t>
  </si>
  <si>
    <t>31036012256</t>
  </si>
  <si>
    <t>792367263</t>
  </si>
  <si>
    <t>QA445 L36 1988</t>
  </si>
  <si>
    <t>0                      QA 0445000L  36          1988</t>
  </si>
  <si>
    <t>Geometry : a high school course / Serge Lang, Gene Murrow.</t>
  </si>
  <si>
    <t>New York : Springer-Verlag, ©1988.</t>
  </si>
  <si>
    <t>57888492:eng</t>
  </si>
  <si>
    <t>17226816</t>
  </si>
  <si>
    <t>ocm17226816</t>
  </si>
  <si>
    <t>31009642051</t>
  </si>
  <si>
    <t>9780387966540</t>
  </si>
  <si>
    <t>792984618</t>
  </si>
  <si>
    <t>QA445 W67 1906</t>
  </si>
  <si>
    <t>0                      QA 0445000W  67          1906</t>
  </si>
  <si>
    <t>Geometry, theoretical and practical / by W.P. Workman and A.G. Cracknell.</t>
  </si>
  <si>
    <t>Workman, W. P. (Walter Percy), 1863-</t>
  </si>
  <si>
    <t>London : W.B. Clive, University Tutorial Press, 1906.</t>
  </si>
  <si>
    <t>University tutorial series</t>
  </si>
  <si>
    <t>15951308:eng</t>
  </si>
  <si>
    <t>660084541</t>
  </si>
  <si>
    <t>ocn660084541</t>
  </si>
  <si>
    <t>3102928109Q</t>
  </si>
  <si>
    <t>794836634</t>
  </si>
  <si>
    <t>QA447 L33 1989</t>
  </si>
  <si>
    <t>0                      QA 0447000L  33          1989</t>
  </si>
  <si>
    <t>The ethics of geometry : a genealogy of modernity / David Rapport Lachterman.</t>
  </si>
  <si>
    <t>Lachterman, David Rapport, 1944-</t>
  </si>
  <si>
    <t>New York : Routledge, 1989.</t>
  </si>
  <si>
    <t>2019-08-05</t>
  </si>
  <si>
    <t>996744632:eng</t>
  </si>
  <si>
    <t>18497169</t>
  </si>
  <si>
    <t>ocm18497169</t>
  </si>
  <si>
    <t>3100219034J</t>
  </si>
  <si>
    <t>9780415900539</t>
  </si>
  <si>
    <t>793027219</t>
  </si>
  <si>
    <t>QA447 L38 1989</t>
  </si>
  <si>
    <t>0                      QA 0447000L  38          1989</t>
  </si>
  <si>
    <t>Sacred geometry : philosophy and practice / Robert Lawlor ; [diagrams by Melvyn Bernstein].</t>
  </si>
  <si>
    <t>Lawlor, Robert, 1938 or 1939-</t>
  </si>
  <si>
    <t>New York : Thames and Hudson, 1989, ©1982.</t>
  </si>
  <si>
    <t>Art and imagination</t>
  </si>
  <si>
    <t>826610768:eng</t>
  </si>
  <si>
    <t>19563997</t>
  </si>
  <si>
    <t>ocm19563997</t>
  </si>
  <si>
    <t>3102964401D</t>
  </si>
  <si>
    <t>9780500810309</t>
  </si>
  <si>
    <t>793062417</t>
  </si>
  <si>
    <t>QA447 M34 2001</t>
  </si>
  <si>
    <t>0                      QA 0447000M  34          2001</t>
  </si>
  <si>
    <t>Philosophy and geometry : theoretical and historical issues / by Lorenzo Magnani.</t>
  </si>
  <si>
    <t>Magnani, Lorenzo.</t>
  </si>
  <si>
    <t>Western Ontario series in philosophy of science ; v. 66</t>
  </si>
  <si>
    <t>808888450:eng</t>
  </si>
  <si>
    <t>46401610</t>
  </si>
  <si>
    <t>ocm46401610</t>
  </si>
  <si>
    <t>3102150379Y</t>
  </si>
  <si>
    <t>9780792369332</t>
  </si>
  <si>
    <t>793684074</t>
  </si>
  <si>
    <t>QA451 I83 1865</t>
  </si>
  <si>
    <t>0                      QA 0451000I  83          1865</t>
  </si>
  <si>
    <t>College and school examiner in Euclid.</t>
  </si>
  <si>
    <t>Isbister, Alexander Kennedy, 1822-1883.</t>
  </si>
  <si>
    <t>London : [publisher not identified], 1865.</t>
  </si>
  <si>
    <t>1865</t>
  </si>
  <si>
    <t>155896411:eng</t>
  </si>
  <si>
    <t>61599889</t>
  </si>
  <si>
    <t>ocm61599889</t>
  </si>
  <si>
    <t>3103114912P</t>
  </si>
  <si>
    <t>794038891</t>
  </si>
  <si>
    <t>QA451 L63 1892</t>
  </si>
  <si>
    <t>0                      QA 0451000L  63          1892</t>
  </si>
  <si>
    <t>First book of Euclid's Elements arranged for beginners.</t>
  </si>
  <si>
    <t>London : [publisher not identified], 1892.</t>
  </si>
  <si>
    <t>1892</t>
  </si>
  <si>
    <t>1809381193:eng</t>
  </si>
  <si>
    <t>427512460</t>
  </si>
  <si>
    <t>ocn427512460</t>
  </si>
  <si>
    <t>31030764580</t>
  </si>
  <si>
    <t>794672190</t>
  </si>
  <si>
    <t>QA451 P6 1831</t>
  </si>
  <si>
    <t>0                      QA 0451000P  6           1831</t>
  </si>
  <si>
    <t>Elements of geometry: containing the first six books of Euclid, with a supplement on the quadrature of the circle, and the geometry of solids: to which are added elements of plane and sphericale trigonometry.</t>
  </si>
  <si>
    <t>Edinburgh : [publisher not identified], 1831.</t>
  </si>
  <si>
    <t>1831</t>
  </si>
  <si>
    <t>5613030821:eng</t>
  </si>
  <si>
    <t>427511328</t>
  </si>
  <si>
    <t>ocn427511328</t>
  </si>
  <si>
    <t>31012595425</t>
  </si>
  <si>
    <t>794672109</t>
  </si>
  <si>
    <t>QA455 T7</t>
  </si>
  <si>
    <t>0                      QA 0455000T  7</t>
  </si>
  <si>
    <t>Chapters on the modern geometry of the point, line, and circle; being the substance of lectures delivered in the University of Dublin to the candidates for honors of the first year in arts. By the Rev. Richard Townsend.</t>
  </si>
  <si>
    <t>Townsend, Richard, 1821-1884.</t>
  </si>
  <si>
    <t>Dublin, Hodges, Smith, and Co., 1863-1865.</t>
  </si>
  <si>
    <t>1863</t>
  </si>
  <si>
    <t>2016-07-10</t>
  </si>
  <si>
    <t>2902683:eng</t>
  </si>
  <si>
    <t>66741014</t>
  </si>
  <si>
    <t>ocm66741014</t>
  </si>
  <si>
    <t>3103706331C</t>
  </si>
  <si>
    <t>794139461</t>
  </si>
  <si>
    <t>QA461 L45 1998</t>
  </si>
  <si>
    <t>0                      QA 0461000L  45          1998</t>
  </si>
  <si>
    <t>Designing learning environments for developing understanding of geometry and space / edited by Richard Lehrer, Daniel Chazan.</t>
  </si>
  <si>
    <t>Mahwah, N.J. : Lawrence Erlbaum, ©1998.</t>
  </si>
  <si>
    <t>476329222:eng</t>
  </si>
  <si>
    <t>38014817</t>
  </si>
  <si>
    <t>ocm38014817</t>
  </si>
  <si>
    <t>3101919980U</t>
  </si>
  <si>
    <t>9780805819489</t>
  </si>
  <si>
    <t>793512902</t>
  </si>
  <si>
    <t>QA461 M37 2017</t>
  </si>
  <si>
    <t>0                      QA 0461000M  37          2017</t>
  </si>
  <si>
    <t>La pensée spatiale, géométrique et métrique à l'école : réflexions didactiques / Patricia Marchand, Caroline Bisson.</t>
  </si>
  <si>
    <t>Marchand, Patricia, 1972- author.</t>
  </si>
  <si>
    <t>Montréal : JFD Éditions, [2017]</t>
  </si>
  <si>
    <t>3924962698:fre</t>
  </si>
  <si>
    <t>978354786</t>
  </si>
  <si>
    <t>ocn978354786</t>
  </si>
  <si>
    <t>3103705132N</t>
  </si>
  <si>
    <t>9782924651186</t>
  </si>
  <si>
    <t>795033282</t>
  </si>
  <si>
    <t>QA467 H68</t>
  </si>
  <si>
    <t>0                      QA 0467000H  68</t>
  </si>
  <si>
    <t>"Squaring the circle"; a history of the problem, by E.W. Hobson ...</t>
  </si>
  <si>
    <t>Hobson, Ernest William, 1856-1933.</t>
  </si>
  <si>
    <t>Cambridge, University Press, 1913.</t>
  </si>
  <si>
    <t>3944064298:eng</t>
  </si>
  <si>
    <t>5919909</t>
  </si>
  <si>
    <t>ocm05919909</t>
  </si>
  <si>
    <t>3103773843W</t>
  </si>
  <si>
    <t>792463464</t>
  </si>
  <si>
    <t>QA471 C67</t>
  </si>
  <si>
    <t>0                      QA 0471000C  67</t>
  </si>
  <si>
    <t>Projective geometry [by] H.S.M. Coxeter.</t>
  </si>
  <si>
    <t>Coxeter, H. S. M. (Harold Scott Macdonald), 1907-2003.</t>
  </si>
  <si>
    <t>New York, Blaisdell Pub. Co. [1964]</t>
  </si>
  <si>
    <t>A Blaisdell book in the pure and applied sciences</t>
  </si>
  <si>
    <t>2016-03-16</t>
  </si>
  <si>
    <t>63530662:eng</t>
  </si>
  <si>
    <t>820242</t>
  </si>
  <si>
    <t>ocm00820242</t>
  </si>
  <si>
    <t>30007052368</t>
  </si>
  <si>
    <t>9780387965321</t>
  </si>
  <si>
    <t>791478506</t>
  </si>
  <si>
    <t>QA471 R45</t>
  </si>
  <si>
    <t>0                      QA 0471000R  45</t>
  </si>
  <si>
    <t>Lectures on the geometry of position / by Theodor Reye ; translated and edited by Thomas F. Holgate.</t>
  </si>
  <si>
    <t>Reye, Theodor, 1838-1919.</t>
  </si>
  <si>
    <t>New York : Macmillan, 1898.</t>
  </si>
  <si>
    <t>4663486251:eng</t>
  </si>
  <si>
    <t>2925182</t>
  </si>
  <si>
    <t>ocm02925182</t>
  </si>
  <si>
    <t>3000705218A</t>
  </si>
  <si>
    <t>792194434</t>
  </si>
  <si>
    <t>QA471 R66</t>
  </si>
  <si>
    <t>0                      QA 0471000R  66</t>
  </si>
  <si>
    <t>The geometry of determinantal loci, by T.G. Room ...</t>
  </si>
  <si>
    <t>Room, Thomas Gerald.</t>
  </si>
  <si>
    <t>2017-01-13</t>
  </si>
  <si>
    <t>1714467:eng</t>
  </si>
  <si>
    <t>824681</t>
  </si>
  <si>
    <t>ocm00824681</t>
  </si>
  <si>
    <t>3103706135C</t>
  </si>
  <si>
    <t>791480138</t>
  </si>
  <si>
    <t>QA491 W39</t>
  </si>
  <si>
    <t>0                      QA 0491000W  39</t>
  </si>
  <si>
    <t>Polyhedron models / Magnus J. Wenninger.</t>
  </si>
  <si>
    <t>Wenninger, Magnus J.</t>
  </si>
  <si>
    <t>Cambridge [England] : University Press, 1971.</t>
  </si>
  <si>
    <t>2015-08-28</t>
  </si>
  <si>
    <t>152458:eng</t>
  </si>
  <si>
    <t>189425</t>
  </si>
  <si>
    <t>ocm00189425</t>
  </si>
  <si>
    <t>3102964416B</t>
  </si>
  <si>
    <t>9780521069175</t>
  </si>
  <si>
    <t>791287930</t>
  </si>
  <si>
    <t>QA531 C39 1881</t>
  </si>
  <si>
    <t>0                      QA 0531000C  39          1881</t>
  </si>
  <si>
    <t>A treatise on plane and spherical trigonometry / by William Chauvenet.</t>
  </si>
  <si>
    <t>5</t>
  </si>
  <si>
    <t>Chauvenet, William, 1820-1870.</t>
  </si>
  <si>
    <t>Philadelphia : J.B. Lippincott, 1881.</t>
  </si>
  <si>
    <t>1881</t>
  </si>
  <si>
    <t>1717239:eng</t>
  </si>
  <si>
    <t>427500535</t>
  </si>
  <si>
    <t>ocn427500535</t>
  </si>
  <si>
    <t>31034756825</t>
  </si>
  <si>
    <t>794668306</t>
  </si>
  <si>
    <t>QA533 H68 1957</t>
  </si>
  <si>
    <t>0                      QA 0533000H  68          1957</t>
  </si>
  <si>
    <t>A treatise on plane and advanced trigonometry.</t>
  </si>
  <si>
    <t>New York, Dover Publications [1957]</t>
  </si>
  <si>
    <t>Dover books on elementary and intermediate mathematics.</t>
  </si>
  <si>
    <t>3900996034:eng</t>
  </si>
  <si>
    <t>1159468</t>
  </si>
  <si>
    <t>ocm01159468</t>
  </si>
  <si>
    <t>30006930683</t>
  </si>
  <si>
    <t>791560189</t>
  </si>
  <si>
    <t>QA533 L48 1892</t>
  </si>
  <si>
    <t>0                      QA 0533000L  48          1892</t>
  </si>
  <si>
    <t>The elements of plane trigonometry, by R. Levett ... and C. Davison.</t>
  </si>
  <si>
    <t>Levett, Rawdon.</t>
  </si>
  <si>
    <t>2016-05-30</t>
  </si>
  <si>
    <t>3772396386:eng</t>
  </si>
  <si>
    <t>13479869</t>
  </si>
  <si>
    <t>ocm13479869</t>
  </si>
  <si>
    <t>31029257834</t>
  </si>
  <si>
    <t>792854880</t>
  </si>
  <si>
    <t>QA552 H47 1881</t>
  </si>
  <si>
    <t>0                      QA 0552000H  47          1881</t>
  </si>
  <si>
    <t>Conic sections treated geometrically / by S. Holker Haslam and Joseph Edwards.</t>
  </si>
  <si>
    <t>Haslam, S. Holker.</t>
  </si>
  <si>
    <t>London : Longmans, Green, and Co., 1881.</t>
  </si>
  <si>
    <t>2016-10-10</t>
  </si>
  <si>
    <t>431950988:eng</t>
  </si>
  <si>
    <t>45695353</t>
  </si>
  <si>
    <t>ocm45695353</t>
  </si>
  <si>
    <t>3103075849V</t>
  </si>
  <si>
    <t>793676323</t>
  </si>
  <si>
    <t>QA552 J65</t>
  </si>
  <si>
    <t>0                      QA 0552000J  65</t>
  </si>
  <si>
    <t>An introduction to algebraical geometry, by A. Clement Jones.</t>
  </si>
  <si>
    <t>Jones, A. Clement (Alfred Clement), 1871-</t>
  </si>
  <si>
    <t>Oxford : [publisher not identified], 1912.</t>
  </si>
  <si>
    <t>1717219:eng</t>
  </si>
  <si>
    <t>427505865</t>
  </si>
  <si>
    <t>ocn427505865</t>
  </si>
  <si>
    <t>30006986089</t>
  </si>
  <si>
    <t>794670135</t>
  </si>
  <si>
    <t>QA552 R94</t>
  </si>
  <si>
    <t>0                      QA 0552000R  94</t>
  </si>
  <si>
    <t>Elements of plane analytic geometry.</t>
  </si>
  <si>
    <t>Runkle, John Daniel, 1822-1902.</t>
  </si>
  <si>
    <t>Boston : [publisher not identified], 1895.</t>
  </si>
  <si>
    <t>1895</t>
  </si>
  <si>
    <t>62605893:eng</t>
  </si>
  <si>
    <t>61599763</t>
  </si>
  <si>
    <t>ocm61599763</t>
  </si>
  <si>
    <t>3000709019X</t>
  </si>
  <si>
    <t>794038769</t>
  </si>
  <si>
    <t>QA552 S18</t>
  </si>
  <si>
    <t>0                      QA 0552000S  18</t>
  </si>
  <si>
    <t>A treatise on conic sections : containing an account of some of the most important modern algebraic and geometric methods / by George Salmon.</t>
  </si>
  <si>
    <t>3</t>
  </si>
  <si>
    <t>Salmon, George, 1819-1904.</t>
  </si>
  <si>
    <t>London : Longmans, Green, 1879.</t>
  </si>
  <si>
    <t>1879</t>
  </si>
  <si>
    <t>6. ed.</t>
  </si>
  <si>
    <t>1991353:eng</t>
  </si>
  <si>
    <t>427505778</t>
  </si>
  <si>
    <t>ocn427505778</t>
  </si>
  <si>
    <t>3000698471A</t>
  </si>
  <si>
    <t>794670088</t>
  </si>
  <si>
    <t>QA552 T3</t>
  </si>
  <si>
    <t>0                      QA 0552000T  3</t>
  </si>
  <si>
    <t>An introduction to the ancient and modern geometry of conics, being a geometrical treatise on the conic sections with a collection of problems and historical notes and prolegomena, by Charles Taylor ...</t>
  </si>
  <si>
    <t>Taylor, Charles, 1840-1908.</t>
  </si>
  <si>
    <t>Cambridge [England] Deighton, Bell and Co.; London, G. Bell and Sons, 1881.</t>
  </si>
  <si>
    <t>2016-03-30</t>
  </si>
  <si>
    <t>1710629:eng</t>
  </si>
  <si>
    <t>823299</t>
  </si>
  <si>
    <t>ocm00823299</t>
  </si>
  <si>
    <t>3000698499P</t>
  </si>
  <si>
    <t>791479582</t>
  </si>
  <si>
    <t>QA553 S65</t>
  </si>
  <si>
    <t>0                      QA 0553000S  65</t>
  </si>
  <si>
    <t>Analytical geometry of three dimensions, by D.M.Y. Sommerville ...</t>
  </si>
  <si>
    <t>Sommerville, Duncan M'Laren Young, 1879-1934.</t>
  </si>
  <si>
    <t>Cambridge [England] University Press, 1959.</t>
  </si>
  <si>
    <t>1717690:eng</t>
  </si>
  <si>
    <t>10206001</t>
  </si>
  <si>
    <t>ocm10206001</t>
  </si>
  <si>
    <t>3000703569S</t>
  </si>
  <si>
    <t>792714176</t>
  </si>
  <si>
    <t>QA559 C6</t>
  </si>
  <si>
    <t>0                      QA 0559000C  6</t>
  </si>
  <si>
    <t>A history of the conic sections and quadric surfaces / by Julian Lowell Coolidge.</t>
  </si>
  <si>
    <t>Coolidge, Julian Lowell, 1873-1954.</t>
  </si>
  <si>
    <t>1508241:eng</t>
  </si>
  <si>
    <t>825772</t>
  </si>
  <si>
    <t>ocm00825772</t>
  </si>
  <si>
    <t>30006914645</t>
  </si>
  <si>
    <t>791480489</t>
  </si>
  <si>
    <t>QA564 L29 1962</t>
  </si>
  <si>
    <t>0                      QA 0564000L  29          1962</t>
  </si>
  <si>
    <t>Diophantine geometry.</t>
  </si>
  <si>
    <t>Interscience tracts in pure and applied mathematics, no. 11</t>
  </si>
  <si>
    <t>1541316:eng</t>
  </si>
  <si>
    <t>529739</t>
  </si>
  <si>
    <t>ocm00529739</t>
  </si>
  <si>
    <t>3101138387F</t>
  </si>
  <si>
    <t>791404951</t>
  </si>
  <si>
    <t>QA564 W53 2004</t>
  </si>
  <si>
    <t>0                      QA 0564000W  53          2004</t>
  </si>
  <si>
    <t>Geometry and meaning / by Dominic Widdows.</t>
  </si>
  <si>
    <t>Widdows, Dominic, 1974-</t>
  </si>
  <si>
    <t>Stanford, Calif. : CSLI Publications, ©2004.</t>
  </si>
  <si>
    <t>CSLI lecture notes ; no. 172</t>
  </si>
  <si>
    <t>785975:eng</t>
  </si>
  <si>
    <t>55016992</t>
  </si>
  <si>
    <t>ocm55016992</t>
  </si>
  <si>
    <t>3102825914I</t>
  </si>
  <si>
    <t>9781575864488</t>
  </si>
  <si>
    <t>793872693</t>
  </si>
  <si>
    <t>QA573 S4</t>
  </si>
  <si>
    <t>0                      QA 0573000S  4</t>
  </si>
  <si>
    <t>The non-singular cubic surfaces; a new method of investigation with special reference to questions of reality, by B. Segre.</t>
  </si>
  <si>
    <t>Segre, Beniamino, 1903-1977.</t>
  </si>
  <si>
    <t>Oxford, The Clarendon Press, 1942.</t>
  </si>
  <si>
    <t>1942</t>
  </si>
  <si>
    <t>2145766:eng</t>
  </si>
  <si>
    <t>1189876</t>
  </si>
  <si>
    <t>ocm01189876</t>
  </si>
  <si>
    <t>3103602155X</t>
  </si>
  <si>
    <t>791568574</t>
  </si>
  <si>
    <t>QA611 K83</t>
  </si>
  <si>
    <t>0                      QA 0611000K  83</t>
  </si>
  <si>
    <t>Topologie.</t>
  </si>
  <si>
    <t>Kuratowski, Kazimierz, 1896-1980.</t>
  </si>
  <si>
    <t>Monografie matematyczne. 20-21</t>
  </si>
  <si>
    <t>552120693:fre</t>
  </si>
  <si>
    <t>23411834</t>
  </si>
  <si>
    <t>ocm23411834</t>
  </si>
  <si>
    <t>3000703503L</t>
  </si>
  <si>
    <t>793170246</t>
  </si>
  <si>
    <t>3100787530E</t>
  </si>
  <si>
    <t>793170245</t>
  </si>
  <si>
    <t>QA611 M55</t>
  </si>
  <si>
    <t>0                      QA 0611000M  55</t>
  </si>
  <si>
    <t>Morse theory / by J. Milnor ; based on lecture notes by M. Spivak and R. Wells.</t>
  </si>
  <si>
    <t>Milnor, John W. (John Willard), 1931- author.</t>
  </si>
  <si>
    <t>Princeton, N.J. : Princeton University Press, ©1963.</t>
  </si>
  <si>
    <t>Annals of mathematics studies ; no. 51</t>
  </si>
  <si>
    <t>503315573:eng</t>
  </si>
  <si>
    <t>512586</t>
  </si>
  <si>
    <t>ocm00512586</t>
  </si>
  <si>
    <t>31030135454</t>
  </si>
  <si>
    <t>9780691080086</t>
  </si>
  <si>
    <t>791399467</t>
  </si>
  <si>
    <t>QA611 S817</t>
  </si>
  <si>
    <t>0                      QA 0611000S  817</t>
  </si>
  <si>
    <t>Cohomology operations; lectures by N.E. Steenrod. Written and rev. by D.B.A. Epstein.</t>
  </si>
  <si>
    <t>Steenrod, Norman Earl, 1910-1971.</t>
  </si>
  <si>
    <t>Annals of mathematics studies, no. 50</t>
  </si>
  <si>
    <t>892641:eng</t>
  </si>
  <si>
    <t>529577</t>
  </si>
  <si>
    <t>ocm00529577</t>
  </si>
  <si>
    <t>3000703582$</t>
  </si>
  <si>
    <t>9780691079240</t>
  </si>
  <si>
    <t>791404880</t>
  </si>
  <si>
    <t>QA611 S82 1951</t>
  </si>
  <si>
    <t>0                      QA 0611000S  82          1951</t>
  </si>
  <si>
    <t>The topology of fibre bundles / by Norman Steenrod.</t>
  </si>
  <si>
    <t>Princeton : Princeton University Press, 1951.</t>
  </si>
  <si>
    <t>Princeton mathematical series ; 14</t>
  </si>
  <si>
    <t>890992:eng</t>
  </si>
  <si>
    <t>243432088</t>
  </si>
  <si>
    <t>ocn243432088</t>
  </si>
  <si>
    <t>3103602319T</t>
  </si>
  <si>
    <t>9780691080550</t>
  </si>
  <si>
    <t>794376564</t>
  </si>
  <si>
    <t>QA611 T62</t>
  </si>
  <si>
    <t>0                      QA 0611000T  62</t>
  </si>
  <si>
    <t>Composition methods in homotopy groups of spheres.</t>
  </si>
  <si>
    <t>Toda, Hiroshi, 1928-</t>
  </si>
  <si>
    <t>Annals of mathematics studies, no. 49</t>
  </si>
  <si>
    <t>1540915:eng</t>
  </si>
  <si>
    <t>529580</t>
  </si>
  <si>
    <t>ocm00529580</t>
  </si>
  <si>
    <t>3000703596P</t>
  </si>
  <si>
    <t>791404882</t>
  </si>
  <si>
    <t>QA611 T66 1962</t>
  </si>
  <si>
    <t>0                      QA 0611000T  66          1962</t>
  </si>
  <si>
    <t>Topology of 3-manifolds, and related topics; proceedings of the University of Georgia Institute, 1961. M.K. Fort, Jr., editor.</t>
  </si>
  <si>
    <t>Topology of 3-Manifolds Institute (1st : 1961 : University of Georgia)</t>
  </si>
  <si>
    <t>Englewood Cliffs, N.J., Prentice-Hall, 1962.</t>
  </si>
  <si>
    <t>5608747187:eng</t>
  </si>
  <si>
    <t>11091112</t>
  </si>
  <si>
    <t>ocm11091112</t>
  </si>
  <si>
    <t>3000703598L</t>
  </si>
  <si>
    <t>792757648</t>
  </si>
  <si>
    <t>QA611.5 G68 1955</t>
  </si>
  <si>
    <t>0                      QA 0611500G  68          1955</t>
  </si>
  <si>
    <t>Topological dynamics / by Walter Helbig Gottschalk and Gustav Arnold Hedlund.</t>
  </si>
  <si>
    <t>Gottschalk, Walter H. (Walter Helbig), 1918-2004.</t>
  </si>
  <si>
    <t>Providence, R.I. : American Mathematical Society, ©1955.</t>
  </si>
  <si>
    <t>American Mathematical Society. Colloquium publications, vol. XXXVI</t>
  </si>
  <si>
    <t>1522995:eng</t>
  </si>
  <si>
    <t>523134</t>
  </si>
  <si>
    <t>ocm00523134</t>
  </si>
  <si>
    <t>3103644393K</t>
  </si>
  <si>
    <t>791402707</t>
  </si>
  <si>
    <t>QA612 P3</t>
  </si>
  <si>
    <t>0                      QA 0612000P  3</t>
  </si>
  <si>
    <t>Seminar on the Atiyah-Singer index theorem [edited] by Richard S. Palais. With contributions by M.F. Atiyah [and others].</t>
  </si>
  <si>
    <t>Palais, Richard S., ed.</t>
  </si>
  <si>
    <t>Princeton, N.J., Princeton University Press, 1965.</t>
  </si>
  <si>
    <t>Annals of mathematics studies, no. 57</t>
  </si>
  <si>
    <t>885436:eng</t>
  </si>
  <si>
    <t>529768</t>
  </si>
  <si>
    <t>ocm00529768</t>
  </si>
  <si>
    <t>3000697187C</t>
  </si>
  <si>
    <t>9780691080314</t>
  </si>
  <si>
    <t>791404963</t>
  </si>
  <si>
    <t>QA613 W55 1949</t>
  </si>
  <si>
    <t>0                      QA 0613000W  55          1949</t>
  </si>
  <si>
    <t>Topology of manifolds / by Raymond Louis Wilder.</t>
  </si>
  <si>
    <t>New York : American Mathematical Society, 1949.</t>
  </si>
  <si>
    <t>American Mathematical Society. Colloquium publications ; v. 32</t>
  </si>
  <si>
    <t>485617:eng</t>
  </si>
  <si>
    <t>816842</t>
  </si>
  <si>
    <t>ocm00816842</t>
  </si>
  <si>
    <t>30007746320</t>
  </si>
  <si>
    <t>791477384</t>
  </si>
  <si>
    <t>QA613.7 M66</t>
  </si>
  <si>
    <t>0                      QA 0613700M  66</t>
  </si>
  <si>
    <t>Topological transformation groups / Deane Montgomery, Leo Zippin.</t>
  </si>
  <si>
    <t>Montgomery, Deane, 1909-</t>
  </si>
  <si>
    <t>New York : Interscience Pub., 1955.</t>
  </si>
  <si>
    <t>Interscience tracts in pure and applied mathematics ; 1</t>
  </si>
  <si>
    <t>48317444:eng</t>
  </si>
  <si>
    <t>427503943</t>
  </si>
  <si>
    <t>ocn427503943</t>
  </si>
  <si>
    <t>30006965944</t>
  </si>
  <si>
    <t>794669229</t>
  </si>
  <si>
    <t>QA614.8 M428 2001</t>
  </si>
  <si>
    <t>0                      QA 0614800M  428         2001</t>
  </si>
  <si>
    <t>Nonlinear dynamics : a primer / Alfredo Medio, Marji Lines.</t>
  </si>
  <si>
    <t>Medio, Alfredo, 1938-</t>
  </si>
  <si>
    <t>2004-05-10</t>
  </si>
  <si>
    <t>116909755:eng</t>
  </si>
  <si>
    <t>59514928</t>
  </si>
  <si>
    <t>ocm59514928</t>
  </si>
  <si>
    <t>31021691377</t>
  </si>
  <si>
    <t>9780521551861</t>
  </si>
  <si>
    <t>793930357</t>
  </si>
  <si>
    <t>QA641 E58</t>
  </si>
  <si>
    <t>0                      QA 0641000E  58</t>
  </si>
  <si>
    <t>Riemannian geometry, by Luther Pfahler Eisenhart ...</t>
  </si>
  <si>
    <t>Eisenhart, Luther Pfahler, 1876-1965.</t>
  </si>
  <si>
    <t>Princeton, Princeton University Press; London, H. Milford, Oxford University Press, 1926.</t>
  </si>
  <si>
    <t>862358787:eng</t>
  </si>
  <si>
    <t>2140832</t>
  </si>
  <si>
    <t>ocm02140832</t>
  </si>
  <si>
    <t>3000704768H</t>
  </si>
  <si>
    <t>792054386</t>
  </si>
  <si>
    <t>QA641 H6</t>
  </si>
  <si>
    <t>0                      QA 0641000H  6</t>
  </si>
  <si>
    <t>Differentialgeometrie der kurven und flächen und tensorrechnung, von universitätsprofessor ph. dr. Václav Hlavatý ... Autorisierte übersetzung von universitätsdozent dr. phil. Max Pinl ...</t>
  </si>
  <si>
    <t>Hlavatý, Václav, 1894-</t>
  </si>
  <si>
    <t>Groningen-Batavia, P. Noordhoff, n.v., 1939.</t>
  </si>
  <si>
    <t>2123414:ger</t>
  </si>
  <si>
    <t>1225733</t>
  </si>
  <si>
    <t>ocm01225733</t>
  </si>
  <si>
    <t>3000704827R</t>
  </si>
  <si>
    <t>791577303</t>
  </si>
  <si>
    <t>QA645 Y35</t>
  </si>
  <si>
    <t>0                      QA 0645000Y  35</t>
  </si>
  <si>
    <t>Curvature and Betti numbers, by K. Yano and S. Bochner.</t>
  </si>
  <si>
    <t>Yano, Kentarō, 1912-1993.</t>
  </si>
  <si>
    <t>Princeton, Princeton University Press, 1953.</t>
  </si>
  <si>
    <t>Annals of mathematics studies, no. 32</t>
  </si>
  <si>
    <t>355688705:eng</t>
  </si>
  <si>
    <t>1439332</t>
  </si>
  <si>
    <t>ocm01439332</t>
  </si>
  <si>
    <t>3103705413F</t>
  </si>
  <si>
    <t>791626434</t>
  </si>
  <si>
    <t>QA681 H43</t>
  </si>
  <si>
    <t>0                      QA 0681000H  43</t>
  </si>
  <si>
    <t>The axiomatic method with special reference to geometry and physics. Proceedings of an international symposium held at the University of California, Berkeley, December 26, 1957-January 4, 1958. Edited by Leon Henkin, Patrick Suppes [and] Alfred Tarski.</t>
  </si>
  <si>
    <t>Henkin, Leon, editor.</t>
  </si>
  <si>
    <t>Amsterdam, North-Holland Pub. Co., 1959.</t>
  </si>
  <si>
    <t>499306307:eng</t>
  </si>
  <si>
    <t>529630</t>
  </si>
  <si>
    <t>ocm00529630</t>
  </si>
  <si>
    <t>3000689231V</t>
  </si>
  <si>
    <t>791404906</t>
  </si>
  <si>
    <t>QA681 H58</t>
  </si>
  <si>
    <t>0                      QA 0681000H  58</t>
  </si>
  <si>
    <t>Grundlagen der geometrie, von Dr. David Hilbert ...</t>
  </si>
  <si>
    <t>Leipzig, B.G. Teubner, 1903.</t>
  </si>
  <si>
    <t>1903</t>
  </si>
  <si>
    <t>2., durch zusätze verm. und mit fünf anhängen versehene Aufl. Mit zahlreichen iu den text gedrucklen figuren.</t>
  </si>
  <si>
    <t>3901549944:ger</t>
  </si>
  <si>
    <t>3183898</t>
  </si>
  <si>
    <t>ocm03183898</t>
  </si>
  <si>
    <t>3103068750P</t>
  </si>
  <si>
    <t>792226766</t>
  </si>
  <si>
    <t>QA681 H8714 1962</t>
  </si>
  <si>
    <t>0                      QA 0681000H  8714        1962</t>
  </si>
  <si>
    <t>L'origine de la géométrie. Traduction et introd. par Jacques Derrida.</t>
  </si>
  <si>
    <t>Paris, Presses universitaires de France, 1962.</t>
  </si>
  <si>
    <t>Épiméthée; essais philosophiques.</t>
  </si>
  <si>
    <t>4783243853:fre</t>
  </si>
  <si>
    <t>1463643</t>
  </si>
  <si>
    <t>ocm01463643</t>
  </si>
  <si>
    <t>3101021005T</t>
  </si>
  <si>
    <t>791639198</t>
  </si>
  <si>
    <t>QA681 H8714 1974</t>
  </si>
  <si>
    <t>0                      QA 0681000H  8714        1974</t>
  </si>
  <si>
    <t>L'origine de la géométrie / Edmund Husserl ; traduction et introd. par Jacques Derrida.</t>
  </si>
  <si>
    <t>Paris : Presses universitaires de France, 1974, ©1962.</t>
  </si>
  <si>
    <t>2. éd. revue.</t>
  </si>
  <si>
    <t>Epiméthée</t>
  </si>
  <si>
    <t>2015-03-09</t>
  </si>
  <si>
    <t>3038552</t>
  </si>
  <si>
    <t>ocm03038552</t>
  </si>
  <si>
    <t>31029643850</t>
  </si>
  <si>
    <t>792209541</t>
  </si>
  <si>
    <t>QA685 B83</t>
  </si>
  <si>
    <t>0                      QA 0685000B  83</t>
  </si>
  <si>
    <t>Non-Euclidean geometry : a critical and historical study of its development / by Roberto Bonola ; authorized English translation with additional appendices, by H.S. Carslaw ; with an introduction by Federigo Enriques.</t>
  </si>
  <si>
    <t>Bonola, Roberto, 1874-1911.</t>
  </si>
  <si>
    <t>Chicago : Open Court Pub. Co., 1912.</t>
  </si>
  <si>
    <t>5575772530:eng</t>
  </si>
  <si>
    <t>7518153</t>
  </si>
  <si>
    <t>ocm07518153</t>
  </si>
  <si>
    <t>3000690868N</t>
  </si>
  <si>
    <t>9780486600277</t>
  </si>
  <si>
    <t>792563051</t>
  </si>
  <si>
    <t>QA685 H513</t>
  </si>
  <si>
    <t>0                      QA 0685000H  513</t>
  </si>
  <si>
    <t>Geometry and the imagination / by D. Hilbert and S. Cohn-Vossen ; translated by P. Nemenyi.</t>
  </si>
  <si>
    <t>Hilbert, David, 1862-1943, author.</t>
  </si>
  <si>
    <t>New York : Chelsea Publishing Company, 1952.</t>
  </si>
  <si>
    <t>4494892245:eng</t>
  </si>
  <si>
    <t>542459</t>
  </si>
  <si>
    <t>ocm00542459</t>
  </si>
  <si>
    <t>3102964390Z</t>
  </si>
  <si>
    <t>9780828400879</t>
  </si>
  <si>
    <t>791408893</t>
  </si>
  <si>
    <t>QA685 K8 1961</t>
  </si>
  <si>
    <t>0                      QA 0685000K  8           1961</t>
  </si>
  <si>
    <t>Non-Euclidean geometry. Translated from Polish by Stanislaw Knapowski.</t>
  </si>
  <si>
    <t>Kulczycki, Stefan.</t>
  </si>
  <si>
    <t>Oxford, New York, Pergamon Press [1961]</t>
  </si>
  <si>
    <t>International series of monographs on pure and applied mathematics, v. 16</t>
  </si>
  <si>
    <t>2016-08-16</t>
  </si>
  <si>
    <t>1539103:eng</t>
  </si>
  <si>
    <t>528903</t>
  </si>
  <si>
    <t>ocm00528903</t>
  </si>
  <si>
    <t>3000692410N</t>
  </si>
  <si>
    <t>791404639</t>
  </si>
  <si>
    <t>QA685 S66 1914</t>
  </si>
  <si>
    <t>0                      QA 0685000S  66          1914</t>
  </si>
  <si>
    <t>The elements of non-Euclidean geometry / by D.M.Y. Sommerville ...</t>
  </si>
  <si>
    <t>London : G. Bell, 1914.</t>
  </si>
  <si>
    <t>Bell's mathematical series for schools and colleges</t>
  </si>
  <si>
    <t>917351:eng</t>
  </si>
  <si>
    <t>2094747</t>
  </si>
  <si>
    <t>ocm02094747</t>
  </si>
  <si>
    <t>30006924381</t>
  </si>
  <si>
    <t>792044938</t>
  </si>
  <si>
    <t>QA685 W6 1945</t>
  </si>
  <si>
    <t>0                      QA 0685000W  6           1945</t>
  </si>
  <si>
    <t>Introduction to non-Euclidean geometry / by Harold E. Wolfe.</t>
  </si>
  <si>
    <t>Wolfe, Harold Eichholtz.</t>
  </si>
  <si>
    <t>New York : Holt, Rinehart and Winston, ©1945.</t>
  </si>
  <si>
    <t>335222343:eng</t>
  </si>
  <si>
    <t>166482</t>
  </si>
  <si>
    <t>ocm00166482</t>
  </si>
  <si>
    <t>3000548755X</t>
  </si>
  <si>
    <t>791278252</t>
  </si>
  <si>
    <t>QA691 B4</t>
  </si>
  <si>
    <t>0                      QA 0691000B  4</t>
  </si>
  <si>
    <t>Introduction to Hilbert space.</t>
  </si>
  <si>
    <t>New York, Oxford University Press, 1961.</t>
  </si>
  <si>
    <t>1718346:eng</t>
  </si>
  <si>
    <t>625755</t>
  </si>
  <si>
    <t>ocm00625755</t>
  </si>
  <si>
    <t>3000498558C</t>
  </si>
  <si>
    <t>791431412</t>
  </si>
  <si>
    <t>QA691 C68 1963</t>
  </si>
  <si>
    <t>0                      QA 0691000C  68          1963</t>
  </si>
  <si>
    <t>Regular polytopes.</t>
  </si>
  <si>
    <t>New York, Macmillan [1963]</t>
  </si>
  <si>
    <t>Macmillan mathematics paperbacks</t>
  </si>
  <si>
    <t>2007-12-13</t>
  </si>
  <si>
    <t>63530649:eng</t>
  </si>
  <si>
    <t>528941</t>
  </si>
  <si>
    <t>ocm00528941</t>
  </si>
  <si>
    <t>3102964400D</t>
  </si>
  <si>
    <t>791404655</t>
  </si>
  <si>
    <t>30009912309</t>
  </si>
  <si>
    <t>791404653</t>
  </si>
  <si>
    <t>2008-07-28</t>
  </si>
  <si>
    <t>3102964395Z</t>
  </si>
  <si>
    <t>791404652</t>
  </si>
  <si>
    <t>QA691 M35 1928</t>
  </si>
  <si>
    <t>0                      QA 0691000M  35          1928</t>
  </si>
  <si>
    <t>Geometry of four dimensions, by Henry Parker Manning ...</t>
  </si>
  <si>
    <t>Manning, Henry Parker, 1859-1956.</t>
  </si>
  <si>
    <t>New York, Macmillan Co., 1928.</t>
  </si>
  <si>
    <t>330113876:eng</t>
  </si>
  <si>
    <t>30696165</t>
  </si>
  <si>
    <t>ocm30696165</t>
  </si>
  <si>
    <t>3000498629F</t>
  </si>
  <si>
    <t>793342465</t>
  </si>
  <si>
    <t>QA699 A13 1963</t>
  </si>
  <si>
    <t>0                      QA 0699000A  13          1963</t>
  </si>
  <si>
    <t>Flatland : a romance of many dimensions / with illustrations by the author, A Square (Edwin A. Abbott) ; with introduction by William Garnett.</t>
  </si>
  <si>
    <t>Abbott, Edwin Abbott, 1838-1926, author.</t>
  </si>
  <si>
    <t>New York : Barnes &amp; Noble, 1963.</t>
  </si>
  <si>
    <t>Fifth Edition, Revised</t>
  </si>
  <si>
    <t>University paperbacks ; 45</t>
  </si>
  <si>
    <t>2015-05-08</t>
  </si>
  <si>
    <t>458486:eng</t>
  </si>
  <si>
    <t>280319</t>
  </si>
  <si>
    <t>ocm00280319</t>
  </si>
  <si>
    <t>30009766551</t>
  </si>
  <si>
    <t>9780064800051</t>
  </si>
  <si>
    <t>791322014</t>
  </si>
  <si>
    <t>QA699 A13 1983</t>
  </si>
  <si>
    <t>0                      QA 0699000A  13          1983</t>
  </si>
  <si>
    <t>Abbott, Edwin Abbott, 1838-1926.</t>
  </si>
  <si>
    <t>New York : Barnes &amp; Noble, 1983.</t>
  </si>
  <si>
    <t>Everyday handbook ; EH/573</t>
  </si>
  <si>
    <t>2018-05-07</t>
  </si>
  <si>
    <t>9322949</t>
  </si>
  <si>
    <t>ocm09322949</t>
  </si>
  <si>
    <t>3102807291P</t>
  </si>
  <si>
    <t>9780064635738</t>
  </si>
  <si>
    <t>792669903</t>
  </si>
  <si>
    <t>QA699 A13 1998</t>
  </si>
  <si>
    <t>0                      QA 0699000A  13          1998</t>
  </si>
  <si>
    <t>Flatland : a romance of many dimensions / by A. Square (Edwin A. Abbott) ; with illustrations by the author and an introduction by Alan Lightman.</t>
  </si>
  <si>
    <t>New York : Penguin Books, 1998.</t>
  </si>
  <si>
    <t>Penguin classics</t>
  </si>
  <si>
    <t>2018-06-01</t>
  </si>
  <si>
    <t>38378257</t>
  </si>
  <si>
    <t>ocm38378257</t>
  </si>
  <si>
    <t>3102507956U</t>
  </si>
  <si>
    <t>9780140435313</t>
  </si>
  <si>
    <t>793522539</t>
  </si>
  <si>
    <t>QA699 A13 2010</t>
  </si>
  <si>
    <t>0                      QA 0699000A  13          2010</t>
  </si>
  <si>
    <t>Flatland / Edwin A. Abbott ; an edition with notes and commentary by William F. Lindgren, Thomas F. Banchoff.</t>
  </si>
  <si>
    <t>Cambridge ; New York : Cambridge University Press ; Washington, D.C. : Mathematical Association of America, 2010.</t>
  </si>
  <si>
    <t>MAA spectrum</t>
  </si>
  <si>
    <t>421147574</t>
  </si>
  <si>
    <t>ocn421147574</t>
  </si>
  <si>
    <t>3103294440P</t>
  </si>
  <si>
    <t>9780521759946</t>
  </si>
  <si>
    <t>794503759</t>
  </si>
  <si>
    <t>QA699 A13 2010b</t>
  </si>
  <si>
    <t>0                      QA 0699000A  13          2010b</t>
  </si>
  <si>
    <t>Flatland : a romance of many dimensions / Edwin Abbott ; edited by Lila Marz Harper.</t>
  </si>
  <si>
    <t>Peterborough, Ont. : Broadview Editions, ©2010.</t>
  </si>
  <si>
    <t>Broadview editions</t>
  </si>
  <si>
    <t>2014-12-12</t>
  </si>
  <si>
    <t>455789594</t>
  </si>
  <si>
    <t>ocn455789594</t>
  </si>
  <si>
    <t>3103072442I</t>
  </si>
  <si>
    <t>9781551116907</t>
  </si>
  <si>
    <t>794788083</t>
  </si>
  <si>
    <t>QA699 B813 1983</t>
  </si>
  <si>
    <t>0                      QA 0699000B  813         1983</t>
  </si>
  <si>
    <t>Sphereland : a fantasy about curved spaces and an expanding universe / by Dionys Burger ; translated from the Dutch by Cornelie J. Rheinboldt ; foreword by Isaac Asimov.</t>
  </si>
  <si>
    <t>Burger, Dionys.</t>
  </si>
  <si>
    <t>New York : Barnes &amp; Noble, 1983, ©1965.</t>
  </si>
  <si>
    <t>1st Barnes &amp; Noble books ed.</t>
  </si>
  <si>
    <t>2016-11-13</t>
  </si>
  <si>
    <t>257468:eng</t>
  </si>
  <si>
    <t>9322950</t>
  </si>
  <si>
    <t>ocm09322950</t>
  </si>
  <si>
    <t>30011373653</t>
  </si>
  <si>
    <t>9780064635745</t>
  </si>
  <si>
    <t>792669904</t>
  </si>
  <si>
    <t>QA699 H66 1925</t>
  </si>
  <si>
    <t>0                      QA 0699000H  66          1925</t>
  </si>
  <si>
    <t>Scientific romances / by C.H. Hinton.</t>
  </si>
  <si>
    <t>Hinton, Charles Howard, 1853-1907.</t>
  </si>
  <si>
    <t>London : S. Sonnenschein, 1904.</t>
  </si>
  <si>
    <t>1st series.</t>
  </si>
  <si>
    <t>3470651:eng</t>
  </si>
  <si>
    <t>9247381</t>
  </si>
  <si>
    <t>ocm09247381</t>
  </si>
  <si>
    <t>3000690879I</t>
  </si>
  <si>
    <t>792666012</t>
  </si>
  <si>
    <t>QA699 M15 1928</t>
  </si>
  <si>
    <t>0                      QA 0699000M  15          1928</t>
  </si>
  <si>
    <t>La vie de l'espace ...</t>
  </si>
  <si>
    <t>Maeterlinck, Maurice, 1862-1949.</t>
  </si>
  <si>
    <t>Paris, E. Fasquelle, ©1928.</t>
  </si>
  <si>
    <t>2017-11-20</t>
  </si>
  <si>
    <t>53058167:fre</t>
  </si>
  <si>
    <t>1899671</t>
  </si>
  <si>
    <t>ocm01899671</t>
  </si>
  <si>
    <t>31018501856</t>
  </si>
  <si>
    <t>792007884</t>
  </si>
  <si>
    <t>QA803 B47 1996</t>
  </si>
  <si>
    <t>0                      QA 0803000B  47          1996</t>
  </si>
  <si>
    <t>Equivalence and priority : Newton versus Leibniz : including Leibniz's unpublished manuscripts on the Principia / Domenico Bertoloni Meli.</t>
  </si>
  <si>
    <t>Bertoloni Meli, Domenico.</t>
  </si>
  <si>
    <t>Oxford [England] : Clarendon Press ; New York : Oxford University Press, 1996, ©1993.</t>
  </si>
  <si>
    <t>793346100:eng</t>
  </si>
  <si>
    <t>38384622</t>
  </si>
  <si>
    <t>ocm38384622</t>
  </si>
  <si>
    <t>31035551181</t>
  </si>
  <si>
    <t>9780198501435</t>
  </si>
  <si>
    <t>793522594</t>
  </si>
  <si>
    <t>QA807 A8 2012</t>
  </si>
  <si>
    <t>0                      QA 0807000A  8           2012</t>
  </si>
  <si>
    <t>An illustration of the concepts of verification and validation in computational solid mechanics / American Society of Mechanical Engineers.</t>
  </si>
  <si>
    <t>New York, NY : American Society of Mechanical Engineers, 2012.</t>
  </si>
  <si>
    <t>1169657883:eng</t>
  </si>
  <si>
    <t>811259992</t>
  </si>
  <si>
    <t>ocn811259992</t>
  </si>
  <si>
    <t>3103793709O</t>
  </si>
  <si>
    <t>9780791834152</t>
  </si>
  <si>
    <t>794929940</t>
  </si>
  <si>
    <t>QA841 M3</t>
  </si>
  <si>
    <t>0                      QA 0841000M  3</t>
  </si>
  <si>
    <t>Octonions, a development of Clifford's biquaternions.</t>
  </si>
  <si>
    <t>McAulay, Alexander.</t>
  </si>
  <si>
    <t>Cambridge : University Press, 1898.</t>
  </si>
  <si>
    <t>7745427:eng</t>
  </si>
  <si>
    <t>61597886</t>
  </si>
  <si>
    <t>ocm61597886</t>
  </si>
  <si>
    <t>3102948139A</t>
  </si>
  <si>
    <t>794037122</t>
  </si>
  <si>
    <t>QA841 S93</t>
  </si>
  <si>
    <t>0                      QA 0841000S  93</t>
  </si>
  <si>
    <t>Geometrie der Dynamen : die Zusammensetzung von Kraften und verwandte Gegenstande der Geometrie.</t>
  </si>
  <si>
    <t>Study, Eduard.</t>
  </si>
  <si>
    <t>Leipzig : B.C. Teubner, 1903.</t>
  </si>
  <si>
    <t>9647355:ger</t>
  </si>
  <si>
    <t>221981792</t>
  </si>
  <si>
    <t>ocn221981792</t>
  </si>
  <si>
    <t>30007043660</t>
  </si>
  <si>
    <t>794328882</t>
  </si>
  <si>
    <t>QA871 K833</t>
  </si>
  <si>
    <t>0                      QA 0871000K  833</t>
  </si>
  <si>
    <t>Stability of motion; applications of Lyapunov's second method to differential systems and equations with delay. Translated by J.L. Brenner.</t>
  </si>
  <si>
    <t>Krasovskiĭ, N. N. (Nikolaĭ Nikolaevich)</t>
  </si>
  <si>
    <t>Stanford, Calif., Stanford University Press, 1963.</t>
  </si>
  <si>
    <t>4494988523:eng</t>
  </si>
  <si>
    <t>285258</t>
  </si>
  <si>
    <t>ocm00285258</t>
  </si>
  <si>
    <t>3000498417U</t>
  </si>
  <si>
    <t>791323803</t>
  </si>
  <si>
    <t>QA901 C8 2013</t>
  </si>
  <si>
    <t>0                      QA 0901000C  8           2013</t>
  </si>
  <si>
    <t>Fundamental mechanics of fluids / I.G. Currie.</t>
  </si>
  <si>
    <t>Currie, Iain G.</t>
  </si>
  <si>
    <t>Boca Raton, FL : Taylor &amp; Francis, 2013.</t>
  </si>
  <si>
    <t>325999:eng</t>
  </si>
  <si>
    <t>703208516</t>
  </si>
  <si>
    <t>ocn703208516</t>
  </si>
  <si>
    <t>31035863623</t>
  </si>
  <si>
    <t>9781439874608</t>
  </si>
  <si>
    <t>794864559</t>
  </si>
  <si>
    <t>QA911 A6 2003</t>
  </si>
  <si>
    <t>0                      QA 0911000A  6           2003</t>
  </si>
  <si>
    <t>Modern compressible flow : with historical perspective / John D. Anderson, Jr.</t>
  </si>
  <si>
    <t>Anderson, John D., Jr. (John David), 1937-</t>
  </si>
  <si>
    <t>McGraw-Hill series in aeronautical and aerospace engineering</t>
  </si>
  <si>
    <t>21654690:eng</t>
  </si>
  <si>
    <t>49551243</t>
  </si>
  <si>
    <t>ocm49551243</t>
  </si>
  <si>
    <t>3103709967Q</t>
  </si>
  <si>
    <t>9780072424430</t>
  </si>
  <si>
    <t>793742733</t>
  </si>
  <si>
    <t>QA931 L453</t>
  </si>
  <si>
    <t>0                      QA 0931000L  453</t>
  </si>
  <si>
    <t>Theory of elasticity of an anisotropic elastic body. Edited by Julius J. Brandstatter. Translated by P. Fern.</t>
  </si>
  <si>
    <t>Lekhnit︠s︡kiĭ, S. G. (Sergeĭ Georgievich)</t>
  </si>
  <si>
    <t>San Francisco, Holden-Day, 1963.</t>
  </si>
  <si>
    <t>Holden-Day series in mathematical physics</t>
  </si>
  <si>
    <t>2017-03-30</t>
  </si>
  <si>
    <t>3901316735:eng</t>
  </si>
  <si>
    <t>1223000</t>
  </si>
  <si>
    <t>ocm01223000</t>
  </si>
  <si>
    <t>3101140288E</t>
  </si>
  <si>
    <t>791576706</t>
  </si>
  <si>
    <t>QA931 L9 1892</t>
  </si>
  <si>
    <t>0                      QA 0931000L  9           1892</t>
  </si>
  <si>
    <t>A treatise on the mathematical theory of elasticity / by A.E.H. Love.</t>
  </si>
  <si>
    <t>Love, A. E. H. (Augustus Edward Hough), 1863-1940.</t>
  </si>
  <si>
    <t>Cambridge : University Press, 1959.</t>
  </si>
  <si>
    <t>4820533708:eng</t>
  </si>
  <si>
    <t>427034963</t>
  </si>
  <si>
    <t>ocn427034963</t>
  </si>
  <si>
    <t>3100119397R</t>
  </si>
  <si>
    <t>9780486601748</t>
  </si>
  <si>
    <t>794518457</t>
  </si>
  <si>
    <t>QB3 G14 1964</t>
  </si>
  <si>
    <t>0                      QB 0003000G  14          1964</t>
  </si>
  <si>
    <t>Opere. Con note di Pietro Pagnini.</t>
  </si>
  <si>
    <t>Galilei, Galileo, 1564-1642.</t>
  </si>
  <si>
    <t>[Firenze] Salani Editore [©1964]</t>
  </si>
  <si>
    <t xml:space="preserve">QB </t>
  </si>
  <si>
    <t>9020729394:eng</t>
  </si>
  <si>
    <t>1390960</t>
  </si>
  <si>
    <t>ocm01390960</t>
  </si>
  <si>
    <t>31007877322</t>
  </si>
  <si>
    <t>791617054</t>
  </si>
  <si>
    <t>31007877314</t>
  </si>
  <si>
    <t>791617055</t>
  </si>
  <si>
    <t>31007877306</t>
  </si>
  <si>
    <t>791617056</t>
  </si>
  <si>
    <t>3100787725$</t>
  </si>
  <si>
    <t>791617057</t>
  </si>
  <si>
    <t>QB8 G62 1931</t>
  </si>
  <si>
    <t>0                      QB 0008000G  62          1931</t>
  </si>
  <si>
    <t>The nautical almanac : abridged for the use of seamen.</t>
  </si>
  <si>
    <t>London : H.M. Stationery Office, 1931-</t>
  </si>
  <si>
    <t>46167143:eng</t>
  </si>
  <si>
    <t>61604675</t>
  </si>
  <si>
    <t>ocm61604675</t>
  </si>
  <si>
    <t>31030764412</t>
  </si>
  <si>
    <t>794043152</t>
  </si>
  <si>
    <t>QB11 P56 1985</t>
  </si>
  <si>
    <t>0                      QB 0011000P  56          1985</t>
  </si>
  <si>
    <t>The astronomical works of Gregory Chioniades / by David Pingree.</t>
  </si>
  <si>
    <t>V. 1 Pt. 1</t>
  </si>
  <si>
    <t>Chioniadēs, Grēgorios, active 13th century-14th century.</t>
  </si>
  <si>
    <t>Amsterdam : J.C. Gieben, 1985-&lt;1986&gt;</t>
  </si>
  <si>
    <t>Corpus des Astronomes Byzantins ; 2</t>
  </si>
  <si>
    <t>5364047:eng</t>
  </si>
  <si>
    <t>13000653</t>
  </si>
  <si>
    <t>ocm13000653</t>
  </si>
  <si>
    <t>3000375377D</t>
  </si>
  <si>
    <t>9789070265656</t>
  </si>
  <si>
    <t>792836570</t>
  </si>
  <si>
    <t>V. 2 Pt. 2</t>
  </si>
  <si>
    <t>3100443453Y</t>
  </si>
  <si>
    <t>792836569</t>
  </si>
  <si>
    <t>QB14 Y56 1974</t>
  </si>
  <si>
    <t>0                      QB 0014000Y  56          1974</t>
  </si>
  <si>
    <t>Ying Han tian wen xue ci hui / [Nanjing da xue tian wen xi "Tian wen xue ci hui" bian shen xiao zu].</t>
  </si>
  <si>
    <t>Beijing : Ke xue chu ban she : Xin hua shu dian Beijing fa xing suo fa xing, 1974.</t>
  </si>
  <si>
    <t>Chinese unified book ; no. 17031-22</t>
  </si>
  <si>
    <t>152134647:chi</t>
  </si>
  <si>
    <t>22828315</t>
  </si>
  <si>
    <t>ocm22828315</t>
  </si>
  <si>
    <t>3000365560S</t>
  </si>
  <si>
    <t>793154756</t>
  </si>
  <si>
    <t>QB14.2 W45 2011</t>
  </si>
  <si>
    <t>0                      QB 0014200W  45          2011</t>
  </si>
  <si>
    <t>Hindsight and popular astronomy / Alan B. Whiting.</t>
  </si>
  <si>
    <t>Whiting, Alan B.</t>
  </si>
  <si>
    <t>New Jersey : World Scientific, ©2011.</t>
  </si>
  <si>
    <t>941697958:eng</t>
  </si>
  <si>
    <t>630497515</t>
  </si>
  <si>
    <t>ocn630497515</t>
  </si>
  <si>
    <t>3103312565N</t>
  </si>
  <si>
    <t>9789814307918</t>
  </si>
  <si>
    <t>794824595</t>
  </si>
  <si>
    <t>QB14.5 H3513 1990</t>
  </si>
  <si>
    <t>0                      QB 0014500H  3513        1990</t>
  </si>
  <si>
    <t>The poetic structure of the world : Copernicus and Kepler / Fernand Hallyn ; translated by Donald M. Leslie.</t>
  </si>
  <si>
    <t>Hallyn, Fernand.</t>
  </si>
  <si>
    <t>New York : Zone Books ; Cambridge, Mass. : Distributed by MIT Press, 1990.</t>
  </si>
  <si>
    <t>383672:eng</t>
  </si>
  <si>
    <t>20352129</t>
  </si>
  <si>
    <t>ocm20352129</t>
  </si>
  <si>
    <t>31036027826</t>
  </si>
  <si>
    <t>9780942299601</t>
  </si>
  <si>
    <t>793085245</t>
  </si>
  <si>
    <t>QB15 B56 1999</t>
  </si>
  <si>
    <t>0                      QB 0015000B  56          1999</t>
  </si>
  <si>
    <t>Between demonstration and imagination : essays in the history of science and philosophy presented to John D. North / edited by Lodi Nauta and Arjo Vanderjagt.</t>
  </si>
  <si>
    <t>Leiden, Netherlands ; Boston : Brill, 1999.</t>
  </si>
  <si>
    <t>Brill's studies in intellectual history, 0920-8607 ; v. 96</t>
  </si>
  <si>
    <t>2015-12-03</t>
  </si>
  <si>
    <t>795203990:eng</t>
  </si>
  <si>
    <t>41002837</t>
  </si>
  <si>
    <t>ocm41002837</t>
  </si>
  <si>
    <t>3103052368R</t>
  </si>
  <si>
    <t>9789004114685</t>
  </si>
  <si>
    <t>793581663</t>
  </si>
  <si>
    <t>QB15 B656 2008</t>
  </si>
  <si>
    <t>0                      QB 0015000B  656         2008</t>
  </si>
  <si>
    <t>Aspects of the astrolabe : 'architectonica ratio' in tenth- and eleventh-century Europe / Arianna Borelli.</t>
  </si>
  <si>
    <t>Borelli, Arianna.</t>
  </si>
  <si>
    <t>Stuttgart : Franz Steiner, 2008.</t>
  </si>
  <si>
    <t>Sudhoffs Archiv; Zeitschrift für Wissenschaftsgeschichte. Beihefte ; Heft 57</t>
  </si>
  <si>
    <t>2019-06-14</t>
  </si>
  <si>
    <t>891873407:eng</t>
  </si>
  <si>
    <t>225884821</t>
  </si>
  <si>
    <t>ocn225884821</t>
  </si>
  <si>
    <t>3103041650T</t>
  </si>
  <si>
    <t>9783515091299</t>
  </si>
  <si>
    <t>794343257</t>
  </si>
  <si>
    <t>QB15 D77 1953</t>
  </si>
  <si>
    <t>0                      QB 0015000D  77          1953</t>
  </si>
  <si>
    <t>A history of astronomy : from Thales to Kepler / by J.L.E. Dreyer ; revised with a foreword by W.H. Stahl.</t>
  </si>
  <si>
    <t>Dreyer, J. L. E. (John Louis Emil), 1852-1926.</t>
  </si>
  <si>
    <t>[New York] : Dover Publications, 1953.</t>
  </si>
  <si>
    <t>Dover books ; S79</t>
  </si>
  <si>
    <t>53957781:eng</t>
  </si>
  <si>
    <t>302541</t>
  </si>
  <si>
    <t>ocm00302541</t>
  </si>
  <si>
    <t>3101147534R</t>
  </si>
  <si>
    <t>9780486600796</t>
  </si>
  <si>
    <t>791329641</t>
  </si>
  <si>
    <t>QB15 S122 1913</t>
  </si>
  <si>
    <t>0                      QB 0015000S  122         1913</t>
  </si>
  <si>
    <t>Le système du monde des Chaldéens à Newton, par Jules Sageret, avec 20 figures dans le texte.</t>
  </si>
  <si>
    <t>Sageret, Jules, 1861-</t>
  </si>
  <si>
    <t>[Paris] F. Alcan, 1913.</t>
  </si>
  <si>
    <t>Nouvelle collection scientifique</t>
  </si>
  <si>
    <t>31755547:fre</t>
  </si>
  <si>
    <t>7938270</t>
  </si>
  <si>
    <t>ocm07938270</t>
  </si>
  <si>
    <t>3000712809X</t>
  </si>
  <si>
    <t>792587999</t>
  </si>
  <si>
    <t>QB16 B74 1983</t>
  </si>
  <si>
    <t>0                      QB 0016000B  74          1983</t>
  </si>
  <si>
    <t>The stars and the stones : ancient art and astronomy in Ireland / Martin Brennan.</t>
  </si>
  <si>
    <t>Brennan, Martin, 1942-</t>
  </si>
  <si>
    <t>[London] : Thames and Hudson, ©1983.</t>
  </si>
  <si>
    <t>2010-01-03</t>
  </si>
  <si>
    <t>2865820:eng</t>
  </si>
  <si>
    <t>59146887</t>
  </si>
  <si>
    <t>ocm59146887</t>
  </si>
  <si>
    <t>3000353672X</t>
  </si>
  <si>
    <t>9780500012956</t>
  </si>
  <si>
    <t>793927909</t>
  </si>
  <si>
    <t>QB16 E93 1998</t>
  </si>
  <si>
    <t>0                      QB 0016000E  93          1998</t>
  </si>
  <si>
    <t>The history &amp; practice of ancient astronomy / James Evans.</t>
  </si>
  <si>
    <t>Evans, James, 1948-</t>
  </si>
  <si>
    <t>25806:eng</t>
  </si>
  <si>
    <t>36877378</t>
  </si>
  <si>
    <t>ocm36877378</t>
  </si>
  <si>
    <t>3102490648U</t>
  </si>
  <si>
    <t>9780195095395</t>
  </si>
  <si>
    <t>793486386</t>
  </si>
  <si>
    <t>QB16 G6 1985</t>
  </si>
  <si>
    <t>0                      QB 0016000G  6           1985</t>
  </si>
  <si>
    <t>Theory and observation in ancient and medieval astronomy / Bernard R. Goldstein.</t>
  </si>
  <si>
    <t>Goldstein, Bernard R.</t>
  </si>
  <si>
    <t>London : Variorum Reprints, 1985.</t>
  </si>
  <si>
    <t>Variorum reprint ; CS215</t>
  </si>
  <si>
    <t>5419631:eng</t>
  </si>
  <si>
    <t>13005143</t>
  </si>
  <si>
    <t>ocm13005143</t>
  </si>
  <si>
    <t>3000376902F</t>
  </si>
  <si>
    <t>9780860781639</t>
  </si>
  <si>
    <t>792836882</t>
  </si>
  <si>
    <t>QB16 K45 2005</t>
  </si>
  <si>
    <t>0                      QB 0016000K  45          2005</t>
  </si>
  <si>
    <t>Exploring ancient skies : an encyclopedic survey of archaeoastronomy / David H. Kelley, Eugene F. Milone ; foreword by Anthony F. Aveni.</t>
  </si>
  <si>
    <t>Kelley, David H.</t>
  </si>
  <si>
    <t>New York : Springer, ©2005.</t>
  </si>
  <si>
    <t>792675325:eng</t>
  </si>
  <si>
    <t>46937593</t>
  </si>
  <si>
    <t>ocm46937593</t>
  </si>
  <si>
    <t>3102653195V</t>
  </si>
  <si>
    <t>9780387953106</t>
  </si>
  <si>
    <t>793694970</t>
  </si>
  <si>
    <t>QB16 N46</t>
  </si>
  <si>
    <t>0                      QB 0016000N  46</t>
  </si>
  <si>
    <t>A history of ancient mathematical astronomy / O. Neugebauer.</t>
  </si>
  <si>
    <t>Neugebauer, O. (Otto), 1899-1990.</t>
  </si>
  <si>
    <t>Berlin ; New York : Springer-Verlag, 1975.</t>
  </si>
  <si>
    <t>Studies in the history of mathematics and physical sciences ; 1</t>
  </si>
  <si>
    <t>2017-05-05</t>
  </si>
  <si>
    <t>9593331829:eng</t>
  </si>
  <si>
    <t>1273428</t>
  </si>
  <si>
    <t>ocm01273428</t>
  </si>
  <si>
    <t>3103736011C</t>
  </si>
  <si>
    <t>9780387069951</t>
  </si>
  <si>
    <t>791589316</t>
  </si>
  <si>
    <t>3000457865W</t>
  </si>
  <si>
    <t>791589317</t>
  </si>
  <si>
    <t>3100443386N</t>
  </si>
  <si>
    <t>791589315</t>
  </si>
  <si>
    <t>QB19 A53 1999</t>
  </si>
  <si>
    <t>0                      QB 0019000A  53          1999</t>
  </si>
  <si>
    <t>Ancient astronomy and celestial divination / edited by N.M. Swerdlow.</t>
  </si>
  <si>
    <t>Cambridge, Ma. : MIT Press, 1999.</t>
  </si>
  <si>
    <t>56417947:eng</t>
  </si>
  <si>
    <t>41142931</t>
  </si>
  <si>
    <t>ocm41142931</t>
  </si>
  <si>
    <t>3102336135M</t>
  </si>
  <si>
    <t>9780262194228</t>
  </si>
  <si>
    <t>793585321</t>
  </si>
  <si>
    <t>QB19 B43 2018</t>
  </si>
  <si>
    <t>0                      QB 0019000B  43          2018</t>
  </si>
  <si>
    <t>The cuneiform uranology texts : drawing the constellations / Paul-Alain Beaulieu, Eckart Frahm, Wayne Horowitz, John Steele.</t>
  </si>
  <si>
    <t>Beaulieu, Paul-Alain, author.</t>
  </si>
  <si>
    <t>[Philadelphia] : American Philosophical Society Press, [2018]</t>
  </si>
  <si>
    <t>Transactions of the American Philosophical Society, 0065-9746 ; volume 107, part 2</t>
  </si>
  <si>
    <t>5183304378:eng</t>
  </si>
  <si>
    <t>1031408784</t>
  </si>
  <si>
    <t>on1031408784</t>
  </si>
  <si>
    <t>31037307407</t>
  </si>
  <si>
    <t>9781606180723</t>
  </si>
  <si>
    <t>795055396</t>
  </si>
  <si>
    <t>QB19 O87 2012</t>
  </si>
  <si>
    <t>0                      QB 0019000O  87          2012</t>
  </si>
  <si>
    <t>Babylonian mathematical astronomy : procedure texts / Mathieu Ossendrijver.</t>
  </si>
  <si>
    <t>Ossendrijver, Mathieu.</t>
  </si>
  <si>
    <t>New York : Springer, [2012]</t>
  </si>
  <si>
    <t>Sources and studies in the history of mathematics and physical sciences</t>
  </si>
  <si>
    <t>1107504312:eng</t>
  </si>
  <si>
    <t>780478122</t>
  </si>
  <si>
    <t>ocn780478122</t>
  </si>
  <si>
    <t>3103503194I</t>
  </si>
  <si>
    <t>9781461437819</t>
  </si>
  <si>
    <t>794912251</t>
  </si>
  <si>
    <t>QB21 G4514</t>
  </si>
  <si>
    <t>0                      QB 0021000G  4514</t>
  </si>
  <si>
    <t>Introduction aux phénomènes / Géminos ; texte établi et traduit par Germaine Aujac.</t>
  </si>
  <si>
    <t>Geminus.</t>
  </si>
  <si>
    <t>Paris : Belles Lettres, 1975.</t>
  </si>
  <si>
    <t>Collection des universités de France</t>
  </si>
  <si>
    <t>2019-08-13</t>
  </si>
  <si>
    <t>9093622292:fre</t>
  </si>
  <si>
    <t>2840533</t>
  </si>
  <si>
    <t>ocm02840533</t>
  </si>
  <si>
    <t>3000451090L</t>
  </si>
  <si>
    <t>792183801</t>
  </si>
  <si>
    <t>QB22 H9 1983</t>
  </si>
  <si>
    <t>0                      QB 0022000H  9           1983</t>
  </si>
  <si>
    <t>L'astronomie / Hygin ; texte établi et traduit par André Le Bœuffle, professeur à l'Université d'Amiens.</t>
  </si>
  <si>
    <t>Hyginus, C. Julius, author.</t>
  </si>
  <si>
    <t>Paris : Les Belles Lettres, 1983.</t>
  </si>
  <si>
    <t>Collection des universités de France, 0184-7155</t>
  </si>
  <si>
    <t>9937378003:fre</t>
  </si>
  <si>
    <t>12237884</t>
  </si>
  <si>
    <t>ocm12237884</t>
  </si>
  <si>
    <t>3000349434P</t>
  </si>
  <si>
    <t>9782251013213</t>
  </si>
  <si>
    <t>792807357</t>
  </si>
  <si>
    <t>QB23 D58 2010</t>
  </si>
  <si>
    <t>0                      QB 0023000D  58          2010</t>
  </si>
  <si>
    <t>Selected papers on medieval and renaissance astronomy / Jerzy Dobrzycki ; with a forward by Owen Gingerich ; edited by Jarosław Włodarczyk and Richard L. Kremer.</t>
  </si>
  <si>
    <t>Dobrzycki, Jerzy.</t>
  </si>
  <si>
    <t>Warsaw : Institute for the History of Science, Polish Academy of Sciences, Copernicus Center for IInterdisciplinary Studies, 2010.</t>
  </si>
  <si>
    <t>Studia Copernicana, 0081-6701 ; 43</t>
  </si>
  <si>
    <t>761913496:eng</t>
  </si>
  <si>
    <t>690975801</t>
  </si>
  <si>
    <t>ocn690975801</t>
  </si>
  <si>
    <t>31031276951</t>
  </si>
  <si>
    <t>9788386062034</t>
  </si>
  <si>
    <t>794855660</t>
  </si>
  <si>
    <t>QB23 H3713 1981</t>
  </si>
  <si>
    <t>0                      QB 0023000H  3713        1981</t>
  </si>
  <si>
    <t>The book of the reasons behind astronomical tables = Kitāb fīʻilal al-zījāt / by ʻAlī ibn Sulaymān al-Hāshimī ; a facsim. reproduction of the unique Arabic text contained in the Bodleian ms. arch. Seld A.11, with a translation by Fuad I. Haddad and E.S. Kennedy and a commentary by David Pingree and E.S. Kennedy.</t>
  </si>
  <si>
    <t>Hāshimī, ʻAlī ibn Sulaymān, active 9th century?</t>
  </si>
  <si>
    <t>Delmar, N.Y. : Scholars' Facsimiles &amp; Reprints, 1981.</t>
  </si>
  <si>
    <t>Studies in Islamic philosophy and science</t>
  </si>
  <si>
    <t>9276940:eng</t>
  </si>
  <si>
    <t>3274513</t>
  </si>
  <si>
    <t>ocm03274513</t>
  </si>
  <si>
    <t>3000334309M</t>
  </si>
  <si>
    <t>9780820112985</t>
  </si>
  <si>
    <t>792237787</t>
  </si>
  <si>
    <t>QB23 K43 1998</t>
  </si>
  <si>
    <t>0                      QB 0023000K  43          1998</t>
  </si>
  <si>
    <t>Astronomy and astrology in the medieval Islamic world / Edward S. Kennedy.</t>
  </si>
  <si>
    <t>Kennedy, E. S. (Edward Stewart), 1912-2009.</t>
  </si>
  <si>
    <t>Aldershot ; Brookfield, VT, USA : Ashgate, ©1998.</t>
  </si>
  <si>
    <t>Variorum collected studies series ; CS600</t>
  </si>
  <si>
    <t>2017-11-18</t>
  </si>
  <si>
    <t>637244:eng</t>
  </si>
  <si>
    <t>37981631</t>
  </si>
  <si>
    <t>ocm37981631</t>
  </si>
  <si>
    <t>3102244167P</t>
  </si>
  <si>
    <t>9780860786825</t>
  </si>
  <si>
    <t>793511849</t>
  </si>
  <si>
    <t>QB23 M43 1998</t>
  </si>
  <si>
    <t>0                      QB 0023000M  43          1998</t>
  </si>
  <si>
    <t>Astronomies and cultures in early medieval Europe / Stephen C. McCluskey.</t>
  </si>
  <si>
    <t>McCluskey, Stephen C. (Stephen Clement), 1940-</t>
  </si>
  <si>
    <t>Cambridge, England : Cambridge University Press, 1997.</t>
  </si>
  <si>
    <t>557226:eng</t>
  </si>
  <si>
    <t>36501275</t>
  </si>
  <si>
    <t>ocm36501275</t>
  </si>
  <si>
    <t>31019118606</t>
  </si>
  <si>
    <t>9780521583619</t>
  </si>
  <si>
    <t>793476884</t>
  </si>
  <si>
    <t>QB23 R5 1976</t>
  </si>
  <si>
    <t>0                      QB 0023000R  5           1976</t>
  </si>
  <si>
    <t>Richard of Wallingford : an edition of his writings / with introductions, English translation and commentary by J.D. North.</t>
  </si>
  <si>
    <t>Richard, of Wallingford, 1292-1336.</t>
  </si>
  <si>
    <t>Oxford : Clarendon Press, 1976.</t>
  </si>
  <si>
    <t>3980150116:eng</t>
  </si>
  <si>
    <t>3069760</t>
  </si>
  <si>
    <t>ocm03069760</t>
  </si>
  <si>
    <t>30004221440</t>
  </si>
  <si>
    <t>9780198581390</t>
  </si>
  <si>
    <t>792213322</t>
  </si>
  <si>
    <t>3100443397I</t>
  </si>
  <si>
    <t>792213320</t>
  </si>
  <si>
    <t>3100443396K</t>
  </si>
  <si>
    <t>792213321</t>
  </si>
  <si>
    <t>QB25 B7 1899a</t>
  </si>
  <si>
    <t>0                      QB 0025000B  7           1899a</t>
  </si>
  <si>
    <t>L'astrologie grecque / par A. Bouché-Leclercq.</t>
  </si>
  <si>
    <t>Bouché-Leclercq, Auguste, 1842-1923.</t>
  </si>
  <si>
    <t>Bruxelles : Culture et civilization, 1963.</t>
  </si>
  <si>
    <t>62927733:fre</t>
  </si>
  <si>
    <t>2755787</t>
  </si>
  <si>
    <t>ocm02755787</t>
  </si>
  <si>
    <t>3000721888A</t>
  </si>
  <si>
    <t>792172132</t>
  </si>
  <si>
    <t>QB26 I313 2013</t>
  </si>
  <si>
    <t>0                      QB 0026000I  313         2013</t>
  </si>
  <si>
    <t>Abraham Ibn Ezra on nativities and continuous horoscopy : a parallel Hebrew-English critical edition of the Book of nativities and the Book of revolution / edited, translated, and annotated by Shlomo Sela.</t>
  </si>
  <si>
    <t>Ibn Ezra, Abraham ben Meïr, 1089-1164.</t>
  </si>
  <si>
    <t>Abraham Ibn Ezra's astrological writings ; volume 4</t>
  </si>
  <si>
    <t>1779807895:eng</t>
  </si>
  <si>
    <t>853113656</t>
  </si>
  <si>
    <t>ocn853113656</t>
  </si>
  <si>
    <t>31035334366</t>
  </si>
  <si>
    <t>9789004258518</t>
  </si>
  <si>
    <t>794951910</t>
  </si>
  <si>
    <t>QB26 I323513 2010</t>
  </si>
  <si>
    <t>0                      QB 0026000I  323513      2010</t>
  </si>
  <si>
    <t>The book of the world : a parallel Hebrew-English critical edition of the two versions of the text / Abraham Ibn Ezra ; edited, translated, and annotated by Shlomo Sela.</t>
  </si>
  <si>
    <t>Leiden ; Boston : Brill, 2010.</t>
  </si>
  <si>
    <t>1st critical ed.</t>
  </si>
  <si>
    <t>Études sur le judaïsme médiéval, 0169-815X ; t. 39</t>
  </si>
  <si>
    <t>2011-02-18</t>
  </si>
  <si>
    <t>341919136:eng</t>
  </si>
  <si>
    <t>457010465</t>
  </si>
  <si>
    <t>ocn457010465</t>
  </si>
  <si>
    <t>3103213856I</t>
  </si>
  <si>
    <t>9789004179141</t>
  </si>
  <si>
    <t>794789500</t>
  </si>
  <si>
    <t>QB26 N45 2008</t>
  </si>
  <si>
    <t>0                      QB 0026000N  45          2008</t>
  </si>
  <si>
    <t>Nello specchio del cielo : Giovanni Pico della Mirandola e le Disputationes contro l'astrologia divinatoria : atti del convegno di studi, Mirandola, 16 aprile 2004, Ferrara, 17 aprile 2004 / a cura di Marco Bertozzi.</t>
  </si>
  <si>
    <t>Firenze : L.S. Olschki, 2008.</t>
  </si>
  <si>
    <t>Studi pichiani ; 12</t>
  </si>
  <si>
    <t>2017-09-17</t>
  </si>
  <si>
    <t>351978905:ita</t>
  </si>
  <si>
    <t>232123552</t>
  </si>
  <si>
    <t>ocn232123552</t>
  </si>
  <si>
    <t>3103037963$</t>
  </si>
  <si>
    <t>9788822257222</t>
  </si>
  <si>
    <t>794359066</t>
  </si>
  <si>
    <t>QB28 B58</t>
  </si>
  <si>
    <t>0                      QB 0028000B  58</t>
  </si>
  <si>
    <t>Die Genesis der kopernikanischen Welt / Hans Blumenberg.</t>
  </si>
  <si>
    <t>Blumenberg, Hans.</t>
  </si>
  <si>
    <t>Frankfurt am Main : Suhrkamp, 1975.</t>
  </si>
  <si>
    <t>8976129:ger</t>
  </si>
  <si>
    <t>2073572</t>
  </si>
  <si>
    <t>ocm02073572</t>
  </si>
  <si>
    <t>3000412846B</t>
  </si>
  <si>
    <t>9783518074305</t>
  </si>
  <si>
    <t>792040266</t>
  </si>
  <si>
    <t>QB28 C66</t>
  </si>
  <si>
    <t>0                      QB 0028000C  66</t>
  </si>
  <si>
    <t>The Copernican achievement / edited by Robert S. Westman.</t>
  </si>
  <si>
    <t>Berkeley : University of California Press, 1975.</t>
  </si>
  <si>
    <t>Contributions of the UCLA Center for Medieval and Renaissance Studies ; 7</t>
  </si>
  <si>
    <t>54104797:eng</t>
  </si>
  <si>
    <t>2088919</t>
  </si>
  <si>
    <t>ocm02088919</t>
  </si>
  <si>
    <t>31031032804</t>
  </si>
  <si>
    <t>9780520028777</t>
  </si>
  <si>
    <t>792043113</t>
  </si>
  <si>
    <t>QB33 A7 M32 1998</t>
  </si>
  <si>
    <t>0                      QB 0033000A  7                  M  32          1998</t>
  </si>
  <si>
    <t>The Arctic sky : Inuit astronomy, star lore, and legend / John MacDonald.</t>
  </si>
  <si>
    <t>MacDonald, John, 1940-</t>
  </si>
  <si>
    <t>Toronto : Royal Ontario Museum/Nunavut Research Institute, 1998.</t>
  </si>
  <si>
    <t>20839698:eng</t>
  </si>
  <si>
    <t>38885238</t>
  </si>
  <si>
    <t>ocm38885238</t>
  </si>
  <si>
    <t>31028888656</t>
  </si>
  <si>
    <t>9780888544278</t>
  </si>
  <si>
    <t>793532199</t>
  </si>
  <si>
    <t>3101999877C</t>
  </si>
  <si>
    <t>793532200</t>
  </si>
  <si>
    <t>QB33 C3 J37 1988</t>
  </si>
  <si>
    <t>0                      QB 0033000C  3                  J  37          1988</t>
  </si>
  <si>
    <t>The cold light of dawn : a history of Canadian astronomy / Richard A. Jarrell.</t>
  </si>
  <si>
    <t>Jarrell, Richard A.</t>
  </si>
  <si>
    <t>Toronto ; Buffalo : University of Toronto Press, ©1988.</t>
  </si>
  <si>
    <t>196507593:eng</t>
  </si>
  <si>
    <t>20131252</t>
  </si>
  <si>
    <t>ocm20131252</t>
  </si>
  <si>
    <t>3102727856B</t>
  </si>
  <si>
    <t>9780802026538</t>
  </si>
  <si>
    <t>793078437</t>
  </si>
  <si>
    <t>QB33 E85 H46</t>
  </si>
  <si>
    <t>0                      QB 0033000E  85                 H  46</t>
  </si>
  <si>
    <t>The cosmographical glass : Renaissance diagrams of the universe / by S.K. Heninger, Jr.</t>
  </si>
  <si>
    <t>Heninger, S. K.</t>
  </si>
  <si>
    <t>San Marino, Calif. : Huntington Library, 1977.</t>
  </si>
  <si>
    <t>Henry E. Huntington Library and Art Gallery. Huntington Library publications</t>
  </si>
  <si>
    <t>9027057:eng</t>
  </si>
  <si>
    <t>3267455</t>
  </si>
  <si>
    <t>ocm03267455</t>
  </si>
  <si>
    <t>3101457010Y</t>
  </si>
  <si>
    <t>9780873280709</t>
  </si>
  <si>
    <t>792236943</t>
  </si>
  <si>
    <t>3000417719U</t>
  </si>
  <si>
    <t>792236944</t>
  </si>
  <si>
    <t>QB35 C37</t>
  </si>
  <si>
    <t>0                      QB 0035000C  37</t>
  </si>
  <si>
    <t>Carteggio / a cura di Paolo Galluzzi e Maurizio Torrini.</t>
  </si>
  <si>
    <t>Firenze : Giunti-Barbèra, 1975-</t>
  </si>
  <si>
    <t>Le Opere dei discepoli di Galileo Galilei : Edizione nazionale</t>
  </si>
  <si>
    <t>3858869757:ita</t>
  </si>
  <si>
    <t>61534782</t>
  </si>
  <si>
    <t>ocm61534782</t>
  </si>
  <si>
    <t>31035237420</t>
  </si>
  <si>
    <t>793966080</t>
  </si>
  <si>
    <t>3103467643A</t>
  </si>
  <si>
    <t>793966081</t>
  </si>
  <si>
    <t>QB35 M2 1933</t>
  </si>
  <si>
    <t>0                      QB 0035000M  2           1933</t>
  </si>
  <si>
    <t>Makers of astronomy, by Hector Macpherson ...</t>
  </si>
  <si>
    <t>Macpherson, Hector, 1888-1956.</t>
  </si>
  <si>
    <t>Oxford, The Clarendon Press, 1933.</t>
  </si>
  <si>
    <t>2007-12-07</t>
  </si>
  <si>
    <t>2018-01-23</t>
  </si>
  <si>
    <t>2374647:eng</t>
  </si>
  <si>
    <t>1600059</t>
  </si>
  <si>
    <t>ocm01600059</t>
  </si>
  <si>
    <t>30003563341</t>
  </si>
  <si>
    <t>791775312</t>
  </si>
  <si>
    <t>QB36 C8 A7 1957</t>
  </si>
  <si>
    <t>0                      QB 0036000C  8                  A  7           1957</t>
  </si>
  <si>
    <t>Copernicus : the founder of modern astronomy / by Angus Armitage.</t>
  </si>
  <si>
    <t>Armitage, A. (Angus), 1902-1976.</t>
  </si>
  <si>
    <t>New York : T. Yoseloff, 1957.</t>
  </si>
  <si>
    <t>2017-01-17</t>
  </si>
  <si>
    <t>49918688:eng</t>
  </si>
  <si>
    <t>844690</t>
  </si>
  <si>
    <t>ocm00844690</t>
  </si>
  <si>
    <t>3000687484C</t>
  </si>
  <si>
    <t>791485005</t>
  </si>
  <si>
    <t>QB36 C8 B8713</t>
  </si>
  <si>
    <t>0                      QB 0036000C  8                  B  8713</t>
  </si>
  <si>
    <t>The Ash Wednesday supper / Giordano Bruno ; translated with an introd. and notes by Stanley L. Jaki.</t>
  </si>
  <si>
    <t>Bruno, Giordano, 1548-1600.</t>
  </si>
  <si>
    <t>The Hague : Mouton, [1975]</t>
  </si>
  <si>
    <t>2016-01-05</t>
  </si>
  <si>
    <t>8908290550:eng</t>
  </si>
  <si>
    <t>3051589</t>
  </si>
  <si>
    <t>ocm03051589</t>
  </si>
  <si>
    <t>3000437338U</t>
  </si>
  <si>
    <t>9789027975812</t>
  </si>
  <si>
    <t>792211088</t>
  </si>
  <si>
    <t>QB36 C8 B8713 1977</t>
  </si>
  <si>
    <t>0                      QB 0036000C  8                  B  8713        1977</t>
  </si>
  <si>
    <t>The Ash Wednesday supper = La cena de le ceneri / by Giordano Bruno ; edited and translated by Edward A. Gosselin and Lawrence S. Lerner.</t>
  </si>
  <si>
    <t>Hamden, Conn. : Archon Books, 1977.</t>
  </si>
  <si>
    <t>2860325</t>
  </si>
  <si>
    <t>ocm02860325</t>
  </si>
  <si>
    <t>3103487943S</t>
  </si>
  <si>
    <t>9780208016102</t>
  </si>
  <si>
    <t>792186111</t>
  </si>
  <si>
    <t>QB36 C8 B8713 1995</t>
  </si>
  <si>
    <t>0                      QB 0036000C  8                  B  8713        1995</t>
  </si>
  <si>
    <t>The Ash Wednesday supper = La cena de le ceneri / Giordano Bruno ; edited and translated by Edward A. Gosselin and Lawrence S. Lerner.</t>
  </si>
  <si>
    <t>Toronto ; Buffalo : University of Toronto Press, ©1995.</t>
  </si>
  <si>
    <t>Renaissance Society of America reprint texts ; 4</t>
  </si>
  <si>
    <t>5453813883:eng</t>
  </si>
  <si>
    <t>34669081</t>
  </si>
  <si>
    <t>ocm34669081</t>
  </si>
  <si>
    <t>3102923458R</t>
  </si>
  <si>
    <t>9780802074690</t>
  </si>
  <si>
    <t>793432772</t>
  </si>
  <si>
    <t>QB36 C8 B8713 2018</t>
  </si>
  <si>
    <t>0                      QB 0036000C  8                  B  8713        2018</t>
  </si>
  <si>
    <t>The Ash Wednesday supper / Giordano Bruno ; a new translation of La cena de le ceneri with the Italian text annotated and introduced by Hilary Gatti.</t>
  </si>
  <si>
    <t>Bruno, Giordano, 1548-1600, author.</t>
  </si>
  <si>
    <t>Toronto ; Buffalo ; London : University of Toronto Press, [2018]</t>
  </si>
  <si>
    <t>The Lorenzo da Ponte Italian library</t>
  </si>
  <si>
    <t>1027034426</t>
  </si>
  <si>
    <t>on1027034426</t>
  </si>
  <si>
    <t>3103730160P</t>
  </si>
  <si>
    <t>9781487521400</t>
  </si>
  <si>
    <t>795052511</t>
  </si>
  <si>
    <t>QB36 C8 C564 1973a</t>
  </si>
  <si>
    <t>0                      QB 0036000C  8                  C  564         1973a</t>
  </si>
  <si>
    <t>Colloquia Copernicana / [comité de rédaction, Marian Biskup, Jerzy Bukowski, Paweł Czartoryski, rédacteur en chef].</t>
  </si>
  <si>
    <t>Colloquia Copernicana (1973 : Toruń, Poland)</t>
  </si>
  <si>
    <t>Wrocław : Zakład Narodowy im. Ossolińskich, 1972-1975.</t>
  </si>
  <si>
    <t>Studia Copernicana ; 5-6, 13-14</t>
  </si>
  <si>
    <t>3374186135:eng</t>
  </si>
  <si>
    <t>896316</t>
  </si>
  <si>
    <t>ocm00896316</t>
  </si>
  <si>
    <t>3100241327Q</t>
  </si>
  <si>
    <t>791496849</t>
  </si>
  <si>
    <t>3100241136X</t>
  </si>
  <si>
    <t>791496847</t>
  </si>
  <si>
    <t>3100433330J</t>
  </si>
  <si>
    <t>791496848</t>
  </si>
  <si>
    <t>2004-11-12</t>
  </si>
  <si>
    <t>3100443388J</t>
  </si>
  <si>
    <t>791496846</t>
  </si>
  <si>
    <t>QB36 G2 A233</t>
  </si>
  <si>
    <t>0                      QB 0036000G  2                  A  233</t>
  </si>
  <si>
    <t>The achievement of Galileo / edited with notes by James Brophy and Henry Paolucci ; with an introduction by Henry Paolucci.</t>
  </si>
  <si>
    <t>New York : Twayne Publishers, 1962.</t>
  </si>
  <si>
    <t>2012-03-11</t>
  </si>
  <si>
    <t>1038959:eng</t>
  </si>
  <si>
    <t>530430</t>
  </si>
  <si>
    <t>ocm00530430</t>
  </si>
  <si>
    <t>3000555424S</t>
  </si>
  <si>
    <t>791405234</t>
  </si>
  <si>
    <t>QB36 G2 A233 1966</t>
  </si>
  <si>
    <t>0                      QB 0036000G  2                  A  233         1966</t>
  </si>
  <si>
    <t>Galileo Galilei, his life and his works, by Raymond J. Seeger.</t>
  </si>
  <si>
    <t>Oxford, New York, Pergamon Press [1966]</t>
  </si>
  <si>
    <t>Men of physics</t>
  </si>
  <si>
    <t>2016-12-05</t>
  </si>
  <si>
    <t>3855345122:eng</t>
  </si>
  <si>
    <t>11815718</t>
  </si>
  <si>
    <t>ocm11815718</t>
  </si>
  <si>
    <t>31017394693</t>
  </si>
  <si>
    <t>792789375</t>
  </si>
  <si>
    <t>QB36 G2 B54 1993</t>
  </si>
  <si>
    <t>0                      QB 0036000G  2                  B  54          1993</t>
  </si>
  <si>
    <t>Galileo, courtier : the practice of science in the culture of absolutism / Mario Biagioli.</t>
  </si>
  <si>
    <t>Biagioli, Mario, 1955-</t>
  </si>
  <si>
    <t>2016-12-08</t>
  </si>
  <si>
    <t>505091507:eng</t>
  </si>
  <si>
    <t>26767743</t>
  </si>
  <si>
    <t>ocm26767743</t>
  </si>
  <si>
    <t>3101973854T</t>
  </si>
  <si>
    <t>9780226045597</t>
  </si>
  <si>
    <t>793251306</t>
  </si>
  <si>
    <t>QB36 G2 B574 1991</t>
  </si>
  <si>
    <t>0                      QB 0036000G  2                  B  574         1991</t>
  </si>
  <si>
    <t>Galileo, Bellarmine, and the Bible : including a translation of Foscarini's Letter on the motion of the earth / Richard J. Blackwell.</t>
  </si>
  <si>
    <t>Blackwell, Richard J., 1929-</t>
  </si>
  <si>
    <t>Notre Dame, Ind. : University of Notre Dame Press, ©1991.</t>
  </si>
  <si>
    <t>2017-10-25</t>
  </si>
  <si>
    <t>304722538:eng</t>
  </si>
  <si>
    <t>22179603</t>
  </si>
  <si>
    <t>ocm22179603</t>
  </si>
  <si>
    <t>3102421257Y</t>
  </si>
  <si>
    <t>9780268010249</t>
  </si>
  <si>
    <t>793136229</t>
  </si>
  <si>
    <t>QB36 G2 B7</t>
  </si>
  <si>
    <t>0                      QB 0036000G  2                  B  7</t>
  </si>
  <si>
    <t>Galileo.</t>
  </si>
  <si>
    <t>restore no loan code</t>
  </si>
  <si>
    <t>Bryant, Walter W. (Walter William)</t>
  </si>
  <si>
    <t>London : [publisher not identified], 1918.</t>
  </si>
  <si>
    <t>181019462:eng</t>
  </si>
  <si>
    <t>427508577</t>
  </si>
  <si>
    <t>ocn427508577</t>
  </si>
  <si>
    <t>3101136521A</t>
  </si>
  <si>
    <t>794671193</t>
  </si>
  <si>
    <t>QB36 G2 C27 1998</t>
  </si>
  <si>
    <t>0                      QB 0036000G  2                  C  27          1998</t>
  </si>
  <si>
    <t>The Cambridge companion to Galileo / edited by Peter Machamer.</t>
  </si>
  <si>
    <t>Cambridge companions to philosophy.</t>
  </si>
  <si>
    <t>4916717472:eng</t>
  </si>
  <si>
    <t>38495017</t>
  </si>
  <si>
    <t>ocm38495017</t>
  </si>
  <si>
    <t>3101941071F</t>
  </si>
  <si>
    <t>9780521581783</t>
  </si>
  <si>
    <t>793525205</t>
  </si>
  <si>
    <t>QB36 G2 C3213 1994</t>
  </si>
  <si>
    <t>0                      QB 0036000G  2                  C  3213        1994</t>
  </si>
  <si>
    <t>A defense of Galileo, the mathematician from Florence : which is an inquiry as to whether the philosophical view advocated by Galileo is in agreement with, or is opposed to, the Sacred Scriptures / Thomas Campanella ; translated with an introduction and notes by Richard J. Blackwell.</t>
  </si>
  <si>
    <t>Campanella, Tommaso, 1568-1639.</t>
  </si>
  <si>
    <t>Notre Dame : University of Notre Dame Press, ©1994.</t>
  </si>
  <si>
    <t>2908714686:eng</t>
  </si>
  <si>
    <t>28183783</t>
  </si>
  <si>
    <t>ocm28183783</t>
  </si>
  <si>
    <t>3101511865O</t>
  </si>
  <si>
    <t>9780268008697</t>
  </si>
  <si>
    <t>793282073</t>
  </si>
  <si>
    <t>QB36 G2 C48 2005</t>
  </si>
  <si>
    <t>0                      QB 0036000G  2                  C  48          2005</t>
  </si>
  <si>
    <t>The church and Galileo / edited by Ernan McMullin.</t>
  </si>
  <si>
    <t>Notre Dame, Indiana : University of Notre Dame Press, [2005]</t>
  </si>
  <si>
    <t>Studies in science and the humanities from the Reilly Center for Science, Technology, and Values</t>
  </si>
  <si>
    <t>786175154:eng</t>
  </si>
  <si>
    <t>57549548</t>
  </si>
  <si>
    <t>ocm57549548</t>
  </si>
  <si>
    <t>3102532299B</t>
  </si>
  <si>
    <t>9780268034832</t>
  </si>
  <si>
    <t>793915195</t>
  </si>
  <si>
    <t>QB36 G2 D3513 2004</t>
  </si>
  <si>
    <t>0                      QB 0036000G  2                  D  3513        2004</t>
  </si>
  <si>
    <t>The Galileo case : trial, science, truth / Mario D'Addio ; [translated by Brian Williams].</t>
  </si>
  <si>
    <t>D'Addio, Mario.</t>
  </si>
  <si>
    <t>Leominster, Herefordshire : Gracewing ; Roma, Italy : Nova Millennium Romae, 2004.</t>
  </si>
  <si>
    <t>Millennium ; 11</t>
  </si>
  <si>
    <t>2016-11-28</t>
  </si>
  <si>
    <t>889398105:eng</t>
  </si>
  <si>
    <t>60629629</t>
  </si>
  <si>
    <t>ocm60629629</t>
  </si>
  <si>
    <t>3102556581F</t>
  </si>
  <si>
    <t>9780852446652</t>
  </si>
  <si>
    <t>793941120</t>
  </si>
  <si>
    <t>QB36 G2 D4 1955</t>
  </si>
  <si>
    <t>0                      QB 0036000G  2                  D  4           1955</t>
  </si>
  <si>
    <t>The crime of Galileo / by Giorgio de Santillana.</t>
  </si>
  <si>
    <t>De Santillana, Giorgio, 1902-</t>
  </si>
  <si>
    <t>[Chicago] : University of Chicago Press, 1955.</t>
  </si>
  <si>
    <t>3769839173:eng</t>
  </si>
  <si>
    <t>710646</t>
  </si>
  <si>
    <t>ocm00710646</t>
  </si>
  <si>
    <t>3102051000D</t>
  </si>
  <si>
    <t>791451992</t>
  </si>
  <si>
    <t>QB36 G2 D667 1999</t>
  </si>
  <si>
    <t>0                      QB 0036000G  2                  D  667         1999</t>
  </si>
  <si>
    <t>Essays on Galileo and the history and philosophy of science / Stillman Drake ; selected and introduced by N.M. Swerdlow and T.H. Levere.</t>
  </si>
  <si>
    <t>Drake, Stillman.</t>
  </si>
  <si>
    <t>Toronto ; Buffalo : University of Toronto Press, ©1999.</t>
  </si>
  <si>
    <t>2013-10-13</t>
  </si>
  <si>
    <t>292601334:eng</t>
  </si>
  <si>
    <t>44313621</t>
  </si>
  <si>
    <t>ocm44313621</t>
  </si>
  <si>
    <t>3102014393E</t>
  </si>
  <si>
    <t>9780802006264</t>
  </si>
  <si>
    <t>793645043</t>
  </si>
  <si>
    <t>2014-01-09</t>
  </si>
  <si>
    <t>31020143895</t>
  </si>
  <si>
    <t>793645044</t>
  </si>
  <si>
    <t>3103002044S</t>
  </si>
  <si>
    <t>793645045</t>
  </si>
  <si>
    <t>QB36 G2 D69</t>
  </si>
  <si>
    <t>0                      QB 0036000G  2                  D  69</t>
  </si>
  <si>
    <t>Galileo at work : his scientific biography / Stillman Drake.</t>
  </si>
  <si>
    <t>1999-06-14</t>
  </si>
  <si>
    <t>796042930:eng</t>
  </si>
  <si>
    <t>3770650</t>
  </si>
  <si>
    <t>ocm03770650</t>
  </si>
  <si>
    <t>3000429517Q</t>
  </si>
  <si>
    <t>9780226162263</t>
  </si>
  <si>
    <t>792289389</t>
  </si>
  <si>
    <t>QB36 G2 F2613 1994</t>
  </si>
  <si>
    <t>0                      QB 0036000G  2                  F  2613        1994</t>
  </si>
  <si>
    <t>Galileo : for Copernicanism and for the church / Annibale Fantoli ; translation by George V. Coyne.</t>
  </si>
  <si>
    <t>Fantoli, Annibale, 1924-</t>
  </si>
  <si>
    <t>[Vatican City] : Vatican Observatory Publications ; Notre Dame, Ind. : Distributed by the University of Notre Dame Press, ©1994.</t>
  </si>
  <si>
    <t>Studi Galileiani ; vol. 3</t>
  </si>
  <si>
    <t>4495382170:eng</t>
  </si>
  <si>
    <t>31182040</t>
  </si>
  <si>
    <t>ocm31182040</t>
  </si>
  <si>
    <t>3101492812$</t>
  </si>
  <si>
    <t>9780268010294</t>
  </si>
  <si>
    <t>793355325</t>
  </si>
  <si>
    <t>QB36 G2 F39 1995</t>
  </si>
  <si>
    <t>0                      QB 0036000G  2                  F  39          1995</t>
  </si>
  <si>
    <t>Galileo and the church : political inquisition or critical dialogue? / Rivka Feldhay.</t>
  </si>
  <si>
    <t>Feldhay, Rivka.</t>
  </si>
  <si>
    <t>809502406:eng</t>
  </si>
  <si>
    <t>30668444</t>
  </si>
  <si>
    <t>ocm30668444</t>
  </si>
  <si>
    <t>31014896078</t>
  </si>
  <si>
    <t>9780521344685</t>
  </si>
  <si>
    <t>793341729</t>
  </si>
  <si>
    <t>QB36 G2 G2 1870</t>
  </si>
  <si>
    <t>0                      QB 0036000G  2                  G  2           1870</t>
  </si>
  <si>
    <t>The private life of Galileo. Compiled principally from his correspondence and that of his eldest daughter, Sister Maria Celeste.</t>
  </si>
  <si>
    <t>London, Macmillan, 1870.</t>
  </si>
  <si>
    <t>1870</t>
  </si>
  <si>
    <t>3857273860:eng</t>
  </si>
  <si>
    <t>3402085</t>
  </si>
  <si>
    <t>ocm03402085</t>
  </si>
  <si>
    <t>3000350295F</t>
  </si>
  <si>
    <t>792250773</t>
  </si>
  <si>
    <t>QB36 G2 K6813 1978b</t>
  </si>
  <si>
    <t>0                      QB 0036000G  2                  K  6813        1978b</t>
  </si>
  <si>
    <t>Galileo studies / Alexandre Koyré ; translated from the French by John Mepham.</t>
  </si>
  <si>
    <t>Hassocks [England] : Harvester Press, 1978.</t>
  </si>
  <si>
    <t>European philosophy and the human sciences</t>
  </si>
  <si>
    <t>1405793:eng</t>
  </si>
  <si>
    <t>4381478</t>
  </si>
  <si>
    <t>ocm04381478</t>
  </si>
  <si>
    <t>3100140178T</t>
  </si>
  <si>
    <t>9780391007604</t>
  </si>
  <si>
    <t>792345321</t>
  </si>
  <si>
    <t>QB36.G2 W55 2015</t>
  </si>
  <si>
    <t>0                      QB 0036000G  2                  W  55          2015</t>
  </si>
  <si>
    <t>Faussaire de Lune : autopsie d'une imposture, Galilée et ses contrefacteurs / Nick Wilding.</t>
  </si>
  <si>
    <t>Wilding, Nic, author.</t>
  </si>
  <si>
    <t>Paris : Bibliothèque nationale de France, 2015.</t>
  </si>
  <si>
    <t>Conférences Léopold Delisle</t>
  </si>
  <si>
    <t>2016-05-19</t>
  </si>
  <si>
    <t>2886832000:fre</t>
  </si>
  <si>
    <t>937370412</t>
  </si>
  <si>
    <t>ocn937370412</t>
  </si>
  <si>
    <t>31036832692</t>
  </si>
  <si>
    <t>9782717726497</t>
  </si>
  <si>
    <t>795011070</t>
  </si>
  <si>
    <t>QB36 G36 N4413 1986</t>
  </si>
  <si>
    <t>0                      QB 0036000G  36                 N  4413        1986</t>
  </si>
  <si>
    <t>Jewish thought and the scientific revolution of the sixteenth century : David Gans (1541-1613) and his times / André Neher ; translated from the French by David Maisel.</t>
  </si>
  <si>
    <t>Neher, André.</t>
  </si>
  <si>
    <t>Oxford [Oxfordshire] ; New York : Published for the Littman Library by Oxford University Press, 1986.</t>
  </si>
  <si>
    <t>3566346:eng</t>
  </si>
  <si>
    <t>12695182</t>
  </si>
  <si>
    <t>ocm12695182</t>
  </si>
  <si>
    <t>31027223647</t>
  </si>
  <si>
    <t>9780197100578</t>
  </si>
  <si>
    <t>792824606</t>
  </si>
  <si>
    <t>QB36 H25 C66 1998</t>
  </si>
  <si>
    <t>0                      QB 0036000H  25                 C  66          1998</t>
  </si>
  <si>
    <t>Edmond Halley : charting the heavens and the seas / Alan Cook.</t>
  </si>
  <si>
    <t>Cook, Alan H.</t>
  </si>
  <si>
    <t>Oxford ; New York : Clarendon, 1998.</t>
  </si>
  <si>
    <t>309402824:eng</t>
  </si>
  <si>
    <t>36696322</t>
  </si>
  <si>
    <t>ocm36696322</t>
  </si>
  <si>
    <t>3102802003W</t>
  </si>
  <si>
    <t>9780198500315</t>
  </si>
  <si>
    <t>793482039</t>
  </si>
  <si>
    <t>QB36 K4 A3 1951</t>
  </si>
  <si>
    <t>0                      QB 0036000K  4                  A  3           1951</t>
  </si>
  <si>
    <t>Johannes Kepler : life and letters / by Carola Baumgardt ; with an introduction by Albert Einstein.</t>
  </si>
  <si>
    <t>New York : Philosophical Library, 1951.</t>
  </si>
  <si>
    <t>10177498026:eng</t>
  </si>
  <si>
    <t>733276</t>
  </si>
  <si>
    <t>ocm00733276</t>
  </si>
  <si>
    <t>30003563236</t>
  </si>
  <si>
    <t>9780806530963</t>
  </si>
  <si>
    <t>791457540</t>
  </si>
  <si>
    <t>QB36 K4 A8</t>
  </si>
  <si>
    <t>0                      QB 0036000K  4                  A  8</t>
  </si>
  <si>
    <t>John Kepler.</t>
  </si>
  <si>
    <t>London, Faber, 1966.</t>
  </si>
  <si>
    <t>2019-03-28</t>
  </si>
  <si>
    <t>49918708:eng</t>
  </si>
  <si>
    <t>513225</t>
  </si>
  <si>
    <t>ocm00513225</t>
  </si>
  <si>
    <t>3000555439F</t>
  </si>
  <si>
    <t>791399649</t>
  </si>
  <si>
    <t>QB36 K4 B7</t>
  </si>
  <si>
    <t>0                      QB 0036000K  4                  B  7</t>
  </si>
  <si>
    <t>Kepler, by Walter W. Bryant ...</t>
  </si>
  <si>
    <t>London, Society for promoting Christian knowledge; New York, The Macmillan Company, 1920.</t>
  </si>
  <si>
    <t>Pioneers of progress. Men of science</t>
  </si>
  <si>
    <t>1628435:eng</t>
  </si>
  <si>
    <t>759445</t>
  </si>
  <si>
    <t>ocm00759445</t>
  </si>
  <si>
    <t>30004986685</t>
  </si>
  <si>
    <t>791463559</t>
  </si>
  <si>
    <t>QB36 K4 H6 1976</t>
  </si>
  <si>
    <t>0                      QB 0036000K  4                  H  6           1976</t>
  </si>
  <si>
    <t>Johannes Kepler / von Johannes Hoppe.</t>
  </si>
  <si>
    <t>Hoppe, Johannes, 1907-</t>
  </si>
  <si>
    <t>Leipzig : BSB Teubner, 1976.</t>
  </si>
  <si>
    <t>Biographien hervorragender Naturwissenschaftler, Techniker und Mediziner ; Bd. 17</t>
  </si>
  <si>
    <t>4928771965:ger</t>
  </si>
  <si>
    <t>2701588</t>
  </si>
  <si>
    <t>ocm02701588</t>
  </si>
  <si>
    <t>3000403539L</t>
  </si>
  <si>
    <t>792164932</t>
  </si>
  <si>
    <t>QB36 K4 I57 1971</t>
  </si>
  <si>
    <t>0                      QB 0036000K  4                  I  57          1971</t>
  </si>
  <si>
    <t>Internationales Kepler-Symposium, Weil der Stadt 1971 : Referate und Diskussionen / hrsg. von Fritz Krafft, Karl Meyer, Bernhard Sticker.</t>
  </si>
  <si>
    <t>Internationales Kepler-Symposium (1971 : Weil der Stadt, Germany)</t>
  </si>
  <si>
    <t>Hildesheim : H.A. Gerstenberg, 1973.</t>
  </si>
  <si>
    <t>Arbor scientiarum. Reihe A: Abhandlungen, Bd. 1</t>
  </si>
  <si>
    <t>1841189:ger</t>
  </si>
  <si>
    <t>870411</t>
  </si>
  <si>
    <t>ocm00870411</t>
  </si>
  <si>
    <t>31039075809</t>
  </si>
  <si>
    <t>9783806701555</t>
  </si>
  <si>
    <t>791491323</t>
  </si>
  <si>
    <t>QB36 K4 S348 1997</t>
  </si>
  <si>
    <t>0                      QB 0036000K  4                  S  348         1997</t>
  </si>
  <si>
    <t>"Si nulla esset in terra anima" : Johannes Keplers Seelenlehre als Grundlage seines Wissenschaftsverständnisses : ein Beitrag zum vierten Buch der Harmonice Mundi / Harald Schwaetzer.</t>
  </si>
  <si>
    <t>Schwaetzer, Harald.</t>
  </si>
  <si>
    <t>Hildesheim ; New York : G. Olms, 1997.</t>
  </si>
  <si>
    <t>Studien und Materialien zur Geschichte der Philosophie, 0585-5802 ; Bd. 44</t>
  </si>
  <si>
    <t>199211834:ger</t>
  </si>
  <si>
    <t>36661951</t>
  </si>
  <si>
    <t>ocm36661951</t>
  </si>
  <si>
    <t>3101871463O</t>
  </si>
  <si>
    <t>9783487102948</t>
  </si>
  <si>
    <t>793480756</t>
  </si>
  <si>
    <t>QB36 K4 S58 1979</t>
  </si>
  <si>
    <t>0                      QB 0036000K  4                  S  58          1979</t>
  </si>
  <si>
    <t>Kepler astronome astrologue / Gérard Simon.</t>
  </si>
  <si>
    <t>Simon, Gérard, 1931-</t>
  </si>
  <si>
    <t>[Paris] : Gallimard, ©1979.</t>
  </si>
  <si>
    <t>Bibliothèque des sciences humaines</t>
  </si>
  <si>
    <t>118834709:fre</t>
  </si>
  <si>
    <t>5133843</t>
  </si>
  <si>
    <t>ocm05133843</t>
  </si>
  <si>
    <t>30004145756</t>
  </si>
  <si>
    <t>792410334</t>
  </si>
  <si>
    <t>QB36 Z3 C48 2000</t>
  </si>
  <si>
    <t>0                      QB 0036000Z  3                  C  48          2000</t>
  </si>
  <si>
    <t>Astronomy in the Iberian Peninsula : Abraham Zacut and the transition from manuscript to print / José Chabás and Bernard R. Goldstein.</t>
  </si>
  <si>
    <t>Chabás, José, 1948-</t>
  </si>
  <si>
    <t>Transactions of the American Philosophical Society, 0065-9746 ; v. 90, pt. 2</t>
  </si>
  <si>
    <t>2015-12-13</t>
  </si>
  <si>
    <t>3856144632:eng</t>
  </si>
  <si>
    <t>45173003</t>
  </si>
  <si>
    <t>ocm45173003</t>
  </si>
  <si>
    <t>3102170840T</t>
  </si>
  <si>
    <t>9780871699022</t>
  </si>
  <si>
    <t>793666185</t>
  </si>
  <si>
    <t>QB41 A73 N49 2009</t>
  </si>
  <si>
    <t>0                      QB 0041000A  73                 N  49          2009</t>
  </si>
  <si>
    <t>New perspectives on Aristotle's De caelo / edited by Alan C. Bowen and Christian Wildberg.</t>
  </si>
  <si>
    <t>Leiden ; Boston : Brill, 2009.</t>
  </si>
  <si>
    <t>Philosophia antiqua, 0079-1687 ; v. 117</t>
  </si>
  <si>
    <t>316880035:eng</t>
  </si>
  <si>
    <t>429816874</t>
  </si>
  <si>
    <t>ocn429816874</t>
  </si>
  <si>
    <t>3103213700V</t>
  </si>
  <si>
    <t>9789004173767</t>
  </si>
  <si>
    <t>794780347</t>
  </si>
  <si>
    <t>QB41 A73 S54213 2011</t>
  </si>
  <si>
    <t>0                      QB 0041000A  73                 S  54213       2011</t>
  </si>
  <si>
    <t>On Aristotle On the heavens 1.2-3 / Simplicius ; translated by Ian Mueller.</t>
  </si>
  <si>
    <t>London ; New York, NY : Bristol Classical Press, 2011.</t>
  </si>
  <si>
    <t>506180963:eng</t>
  </si>
  <si>
    <t>614983355</t>
  </si>
  <si>
    <t>ocn614983355</t>
  </si>
  <si>
    <t>3103505205P</t>
  </si>
  <si>
    <t>9780715639207</t>
  </si>
  <si>
    <t>794822647</t>
  </si>
  <si>
    <t>QB41 A73 S56213 2009</t>
  </si>
  <si>
    <t>0                      QB 0041000A  73                 S  56213       2009</t>
  </si>
  <si>
    <t>On Aristotle On the heavens 3.7-4.6 / Simplicius ; translated by Ian Mueller.</t>
  </si>
  <si>
    <t>London : Duckworth, 2009.</t>
  </si>
  <si>
    <t>3754895985:eng</t>
  </si>
  <si>
    <t>317748925</t>
  </si>
  <si>
    <t>ocn317748925</t>
  </si>
  <si>
    <t>3103531132N</t>
  </si>
  <si>
    <t>9780715638446</t>
  </si>
  <si>
    <t>794461536</t>
  </si>
  <si>
    <t>QB41 A73 S56313 2009</t>
  </si>
  <si>
    <t>0                      QB 0041000A  73                 S  56313       2009</t>
  </si>
  <si>
    <t>On Aristotle On the heavens 3.1-7 / Simplicius ; translated by Ian Mueller.</t>
  </si>
  <si>
    <t>195080138:eng</t>
  </si>
  <si>
    <t>317748924</t>
  </si>
  <si>
    <t>ocn317748924</t>
  </si>
  <si>
    <t>3103531214O</t>
  </si>
  <si>
    <t>9780715638439</t>
  </si>
  <si>
    <t>794461535</t>
  </si>
  <si>
    <t>QB41 A73 2005</t>
  </si>
  <si>
    <t>0                      QB 0041000A  73          2005</t>
  </si>
  <si>
    <t>The treatises of Aristotle, on the heavens, on generation &amp; corruption, and on meteors / with copious elucidations from the commentaries of Simplicius on the first, and of Olympiodorus on the last of these treatises ... translated from the Greek by Thomas Taylor.</t>
  </si>
  <si>
    <t>Somerset, England : The Prometheus Trust, 2004, 1807.</t>
  </si>
  <si>
    <t>Works of Aristotle ; v. 7</t>
  </si>
  <si>
    <t>3145841753:eng</t>
  </si>
  <si>
    <t>62355388</t>
  </si>
  <si>
    <t>ocm62355388</t>
  </si>
  <si>
    <t>31024897004</t>
  </si>
  <si>
    <t>9781898910244</t>
  </si>
  <si>
    <t>794105973</t>
  </si>
  <si>
    <t>QB41 A7513 1995</t>
  </si>
  <si>
    <t>0                      QB 0041000A  7513        1995</t>
  </si>
  <si>
    <t>On the heavens I and II / Aristotle ; edited and translated by Stuart Leggatt.</t>
  </si>
  <si>
    <t>Warminster : Aris &amp; Phillips, ©1995.</t>
  </si>
  <si>
    <t>347103637:eng</t>
  </si>
  <si>
    <t>37770661</t>
  </si>
  <si>
    <t>ocm37770661</t>
  </si>
  <si>
    <t>31027396730</t>
  </si>
  <si>
    <t>9780856686634</t>
  </si>
  <si>
    <t>793506690</t>
  </si>
  <si>
    <t>QB41 C7614 2015</t>
  </si>
  <si>
    <t>0                      QB 0041000C  7614        2015</t>
  </si>
  <si>
    <t>De revolutionibus orbium cœlestium = Des révolutions des orbes célestes / Nicolas Copernic.</t>
  </si>
  <si>
    <t>Copernicus, Nicolaus, 1473-1543, author.</t>
  </si>
  <si>
    <t>Paris : Les Belle Lettres, 2015.</t>
  </si>
  <si>
    <t>Science et humanisme / collection publiée sous le patronage de l'Association Guillaume Budé ; 11</t>
  </si>
  <si>
    <t>2019-02-16</t>
  </si>
  <si>
    <t>4159859291:fre</t>
  </si>
  <si>
    <t>931934174</t>
  </si>
  <si>
    <t>ocn931934174</t>
  </si>
  <si>
    <t>31036232489</t>
  </si>
  <si>
    <t>9782251345147</t>
  </si>
  <si>
    <t>795007784</t>
  </si>
  <si>
    <t>3103623247B</t>
  </si>
  <si>
    <t>795007783</t>
  </si>
  <si>
    <t>3103623242L</t>
  </si>
  <si>
    <t>795007782</t>
  </si>
  <si>
    <t>QB41 C763 V66 2006</t>
  </si>
  <si>
    <t>0                      QB 0041000C  763                V  66          2006</t>
  </si>
  <si>
    <t>Uncentering the Earth : Copernicus and the revolutions of the heavenly spheres / William T. Vollmann.</t>
  </si>
  <si>
    <t>Vollmann, William T.</t>
  </si>
  <si>
    <t>New York : Norton, ©2006.</t>
  </si>
  <si>
    <t>2016-10-24</t>
  </si>
  <si>
    <t>905883991:eng</t>
  </si>
  <si>
    <t>61479556</t>
  </si>
  <si>
    <t>ocm61479556</t>
  </si>
  <si>
    <t>3102547910I</t>
  </si>
  <si>
    <t>9780393059694</t>
  </si>
  <si>
    <t>793953863</t>
  </si>
  <si>
    <t>QB41 C815 K8</t>
  </si>
  <si>
    <t>0                      QB 0041000C  815                K  8</t>
  </si>
  <si>
    <t>The Copernican revolution : planetary astronomy in the development of Western thought / Thomas S. Kuhn.</t>
  </si>
  <si>
    <t>Cambridge : Harvard University Press, 1957.</t>
  </si>
  <si>
    <t>4928923554:eng</t>
  </si>
  <si>
    <t>535467</t>
  </si>
  <si>
    <t>ocm00535467</t>
  </si>
  <si>
    <t>3103474931A</t>
  </si>
  <si>
    <t>9780674171039</t>
  </si>
  <si>
    <t>791406725</t>
  </si>
  <si>
    <t>3102948131A</t>
  </si>
  <si>
    <t>791406726</t>
  </si>
  <si>
    <t>QB41 E5</t>
  </si>
  <si>
    <t>0                      QB 0041000E  5</t>
  </si>
  <si>
    <t>Aristotle's cosmology, a commentary on the De caelo.</t>
  </si>
  <si>
    <t>Elders, Leo.</t>
  </si>
  <si>
    <t>Assen, Van Gorcum, 1966 [©1965]</t>
  </si>
  <si>
    <t>Philosophical texts and studies, 13</t>
  </si>
  <si>
    <t>147857345:eng</t>
  </si>
  <si>
    <t>519380</t>
  </si>
  <si>
    <t>ocm00519380</t>
  </si>
  <si>
    <t>3103524102M</t>
  </si>
  <si>
    <t>791401672</t>
  </si>
  <si>
    <t>QB41 G129413 2001</t>
  </si>
  <si>
    <t>0                      QB 0041000G  129413      2001</t>
  </si>
  <si>
    <t>Dialogue concerning the two chief world systems, Ptolemaic and Copernican / Galileo Galilei ; translated and with revised notes by Stillman Drake ; foreword by Albert Einstein ; introduction by J.L. Heilbron.</t>
  </si>
  <si>
    <t>New York : Modern Library, ©2001.</t>
  </si>
  <si>
    <t>Modern Library science series</t>
  </si>
  <si>
    <t>2019-11-28</t>
  </si>
  <si>
    <t>19837620:eng</t>
  </si>
  <si>
    <t>46685578</t>
  </si>
  <si>
    <t>ocm46685578</t>
  </si>
  <si>
    <t>31026787001</t>
  </si>
  <si>
    <t>9780375757662</t>
  </si>
  <si>
    <t>793689628</t>
  </si>
  <si>
    <t>QB41 G13 1998</t>
  </si>
  <si>
    <t>0                      QB 0041000G  13          1998</t>
  </si>
  <si>
    <t>Dialogo sopra i due massimi sistemi del mondo, Tolemaico e Copernicano / Galileo Galilei ; edizione critica e commento a cura di Ottavio Besomi e Mario Helbing.</t>
  </si>
  <si>
    <t>V.2</t>
  </si>
  <si>
    <t>Padova : Antenore, 1998.</t>
  </si>
  <si>
    <t>Medioevo e umanesimo ; 102-103</t>
  </si>
  <si>
    <t>2008-08-14</t>
  </si>
  <si>
    <t>2973783053:ita</t>
  </si>
  <si>
    <t>40985663</t>
  </si>
  <si>
    <t>ocm40985663</t>
  </si>
  <si>
    <t>3101943507V</t>
  </si>
  <si>
    <t>793580729</t>
  </si>
  <si>
    <t>31019435032</t>
  </si>
  <si>
    <t>793580730</t>
  </si>
  <si>
    <t>QB41 G1356 1967</t>
  </si>
  <si>
    <t>0                      QB 0041000G  1356        1967</t>
  </si>
  <si>
    <t>Dialogue concerning the two chief world systems, Ptolemaic &amp; Copernican / Galileo Galilei ; translated by Stillman Drake ; foreword by Albert Einstein.</t>
  </si>
  <si>
    <t>Berkeley : University of California Press, 1967.</t>
  </si>
  <si>
    <t>907697</t>
  </si>
  <si>
    <t>ocm00907697</t>
  </si>
  <si>
    <t>30005120451</t>
  </si>
  <si>
    <t>9780520004504</t>
  </si>
  <si>
    <t>791499377</t>
  </si>
  <si>
    <t>3100579652A</t>
  </si>
  <si>
    <t>791499378</t>
  </si>
  <si>
    <t>QB41 G163 1976</t>
  </si>
  <si>
    <t>0                      QB 0041000G  163         1976</t>
  </si>
  <si>
    <t>Galileo against the philosophers in his Dialogue of Cecco di Ronchitti (1605) and Considerations of Alimberto Mauri (1606) : in English translations / with introductions and notes by Stillman Drake.</t>
  </si>
  <si>
    <t>Los Angeles : Zeitlin &amp; Ver Brugge, 1976.</t>
  </si>
  <si>
    <t>1863120362:eng</t>
  </si>
  <si>
    <t>2559401</t>
  </si>
  <si>
    <t>ocm02559401</t>
  </si>
  <si>
    <t>3102797431T</t>
  </si>
  <si>
    <t>792143641</t>
  </si>
  <si>
    <t>QB41 G164 1977</t>
  </si>
  <si>
    <t>0                      QB 0041000G  164         1977</t>
  </si>
  <si>
    <t>Galileo's early notebooks : the physical questions : a translation from the Latin, with historical and paleographical commentary / William A. Wallace.</t>
  </si>
  <si>
    <t>Notre Dame, Ind. : University of Notre Dame Press, ©1977.</t>
  </si>
  <si>
    <t>190718746:eng</t>
  </si>
  <si>
    <t>3239593</t>
  </si>
  <si>
    <t>ocm03239593</t>
  </si>
  <si>
    <t>3000464840K</t>
  </si>
  <si>
    <t>9780268009984</t>
  </si>
  <si>
    <t>792233507</t>
  </si>
  <si>
    <t>QB41 G178 F3613 2003</t>
  </si>
  <si>
    <t>0                      QB 0041000G  178                F  3613        2003</t>
  </si>
  <si>
    <t>Galileo, for Copernicanism and for the church / Annibale Fantoli ; translation by George V. Coyne.</t>
  </si>
  <si>
    <t>[Vatican City] : Vatican Observatory Publications ; Notre Dame, Ind. : Distributed by the University of Notre Dame Press, ©2003.</t>
  </si>
  <si>
    <t>3rd ed., rev. and corr.</t>
  </si>
  <si>
    <t>Studi Galileiani ; vol. 6</t>
  </si>
  <si>
    <t>52897897</t>
  </si>
  <si>
    <t>ocm52897897</t>
  </si>
  <si>
    <t>3102362181D</t>
  </si>
  <si>
    <t>9788820974275</t>
  </si>
  <si>
    <t>793816786</t>
  </si>
  <si>
    <t>QB41 H94 1992</t>
  </si>
  <si>
    <t>0                      QB 0041000H  94          1992</t>
  </si>
  <si>
    <t>Hygini De astronomia / edidit Ghislaine Viré.</t>
  </si>
  <si>
    <t>Stutgardiae : In aedibus B.G.Teubneri, 1992.</t>
  </si>
  <si>
    <t>Bibliotheca scriptorum Graecorum et Romanorum Teubneriana</t>
  </si>
  <si>
    <t>4021081373:lat</t>
  </si>
  <si>
    <t>26650392</t>
  </si>
  <si>
    <t>ocm26650392</t>
  </si>
  <si>
    <t>31011997736</t>
  </si>
  <si>
    <t>9783519014386</t>
  </si>
  <si>
    <t>793248721</t>
  </si>
  <si>
    <t>QB41 K3363</t>
  </si>
  <si>
    <t>0                      QB 0041000K  3363</t>
  </si>
  <si>
    <t>Kepler's Conversation with Galileo's Sidereal messenger / first complete translation, with an introduction and notes, by Edward Rosen.</t>
  </si>
  <si>
    <t>Kepler, Johannes, 1571-1630, author.</t>
  </si>
  <si>
    <t>New York : Johnson Reprint Corporation, 1965.</t>
  </si>
  <si>
    <t>The Sources of science ; number 5</t>
  </si>
  <si>
    <t>1746302:eng</t>
  </si>
  <si>
    <t>728474</t>
  </si>
  <si>
    <t>ocm00728474</t>
  </si>
  <si>
    <t>30007186562</t>
  </si>
  <si>
    <t>791456522</t>
  </si>
  <si>
    <t>QB41 K413 1981</t>
  </si>
  <si>
    <t>0                      QB 0041000K  413         1981</t>
  </si>
  <si>
    <t>The secret of the universe = Mysterium cosmographicum / Johannes Kepler ; translation by A.M. Duncan ; introduction and commentary by E.J. Aiton ; with a preface by I. Bernard Cohen.</t>
  </si>
  <si>
    <t>Janus series ; 9</t>
  </si>
  <si>
    <t>5091264069:eng</t>
  </si>
  <si>
    <t>8452760</t>
  </si>
  <si>
    <t>ocm08452760</t>
  </si>
  <si>
    <t>30003379951</t>
  </si>
  <si>
    <t>9780913870648</t>
  </si>
  <si>
    <t>792620446</t>
  </si>
  <si>
    <t>QB41 K422 L4</t>
  </si>
  <si>
    <t>0                      QB 0041000K  422                L  4</t>
  </si>
  <si>
    <t>Kepler's Dream / by John Lear ; with the full text and notes of Somnium, sive Astronomia lunaris Joannis Kepleri ; translated by Patricia Frueh Kirkwood.</t>
  </si>
  <si>
    <t>Lear, John, 1909-1999.</t>
  </si>
  <si>
    <t>Berkeley : University of California Press, 1965.</t>
  </si>
  <si>
    <t>375545620:eng</t>
  </si>
  <si>
    <t>553340</t>
  </si>
  <si>
    <t>ocm00553340</t>
  </si>
  <si>
    <t>30004376867</t>
  </si>
  <si>
    <t>791412483</t>
  </si>
  <si>
    <t>QB41 P956 2000</t>
  </si>
  <si>
    <t>0                      QB 0041000P  956         2000</t>
  </si>
  <si>
    <t>Claudii Ptolemaei Magnae constructionis liber primus, cum Theonis Alexandrini commentariis Io. Baptista Porta Neapolitano inprete / [traduzione di] Giovan Battista Della Porta ; a cura di Raffaella De Vivo.</t>
  </si>
  <si>
    <t>Ptolemy, 2nd cent.</t>
  </si>
  <si>
    <t>Napoli : Edizioni scientifiche italiane, 2000.</t>
  </si>
  <si>
    <t>Edizione nazionale delle opere di Giovan Battista Della Porta ; v. 18</t>
  </si>
  <si>
    <t>37601029:lat</t>
  </si>
  <si>
    <t>428009746</t>
  </si>
  <si>
    <t>ocn428009746</t>
  </si>
  <si>
    <t>31021863380</t>
  </si>
  <si>
    <t>9788881149780</t>
  </si>
  <si>
    <t>794747370</t>
  </si>
  <si>
    <t>QB41 S4 T5 1949</t>
  </si>
  <si>
    <t>0                      QB 0041000S  4                  T  5           1949</t>
  </si>
  <si>
    <t>The Sphere of Sacrobosco and its commentators [ed. and tr.] by Lynn Thorndike.</t>
  </si>
  <si>
    <t>Sacro Bosco, Joannes de, active 1230.</t>
  </si>
  <si>
    <t>[Chicago] Univ. of Chicago Press [1949]</t>
  </si>
  <si>
    <t>Corpus of mediaeval scientific texts sponsored jointly by the Mediaeval Academy of America and the University of Chicago, v. 2</t>
  </si>
  <si>
    <t>4535724009:eng</t>
  </si>
  <si>
    <t>21033906</t>
  </si>
  <si>
    <t>ocm21033906</t>
  </si>
  <si>
    <t>3101597261F</t>
  </si>
  <si>
    <t>793106986</t>
  </si>
  <si>
    <t>QB41 S56 2002</t>
  </si>
  <si>
    <t>0                      QB 0041000S  56          2002</t>
  </si>
  <si>
    <t>On Aristotle's "On the heavens 1.1-4" / Simplicius ; translated by R.J. Hankinson.</t>
  </si>
  <si>
    <t>Ithaca, N.Y. : Cornell University Press, 2002.</t>
  </si>
  <si>
    <t>26270:eng</t>
  </si>
  <si>
    <t>50252699</t>
  </si>
  <si>
    <t>ocm50252699</t>
  </si>
  <si>
    <t>3102202891Q</t>
  </si>
  <si>
    <t>9780801439070</t>
  </si>
  <si>
    <t>793759026</t>
  </si>
  <si>
    <t>QB41 T4 1950</t>
  </si>
  <si>
    <t>0                      QB 0041000T  4           1950</t>
  </si>
  <si>
    <t>Latin treatises on comets between 1238 and 1368 A.D. Edited by Lynn Thorndike.</t>
  </si>
  <si>
    <t>Thorndike, Lynn, 1882-1965, compiler.</t>
  </si>
  <si>
    <t>[Chicago] University of Chicago Press [1950]</t>
  </si>
  <si>
    <t>Corpus of medieval scientific texts, 3</t>
  </si>
  <si>
    <t>9621678129:lat</t>
  </si>
  <si>
    <t>1105519</t>
  </si>
  <si>
    <t>ocm01105519</t>
  </si>
  <si>
    <t>31017494914</t>
  </si>
  <si>
    <t>791547750</t>
  </si>
  <si>
    <t>QB41 W44 H6 1973</t>
  </si>
  <si>
    <t>0                      QB 0041000W  44                 H  6           1973</t>
  </si>
  <si>
    <t>Critique du De mundo de Thomas White / Thomas Hobbes ; introduction, texte critique et notes par Jean Jacquot et Harold Whitmore Jones.</t>
  </si>
  <si>
    <t>Paris : Librairie Philosophique J. Vrin, 1973.</t>
  </si>
  <si>
    <t>L'Histoire des sciences : textes et études</t>
  </si>
  <si>
    <t>2018-10-01</t>
  </si>
  <si>
    <t>2079588:fre</t>
  </si>
  <si>
    <t>1150697</t>
  </si>
  <si>
    <t>ocm01150697</t>
  </si>
  <si>
    <t>3103026498H</t>
  </si>
  <si>
    <t>791558176</t>
  </si>
  <si>
    <t>QB41 W67 1973</t>
  </si>
  <si>
    <t>0                      QB 0041000W  67          1973</t>
  </si>
  <si>
    <t>The discovery of a world in the moone. A facsim. reproduction with an introd. by Barbara Shapiro.</t>
  </si>
  <si>
    <t>Wilkins, John, 1614-1672.</t>
  </si>
  <si>
    <t>Delmar, N.Y., Scholars' Facsimiles &amp; Reprints, 1973.</t>
  </si>
  <si>
    <t>2592220748:eng</t>
  </si>
  <si>
    <t>843331</t>
  </si>
  <si>
    <t>ocm00843331</t>
  </si>
  <si>
    <t>30003850146</t>
  </si>
  <si>
    <t>9780820111230</t>
  </si>
  <si>
    <t>791484644</t>
  </si>
  <si>
    <t>QB44.3 A94 2008</t>
  </si>
  <si>
    <t>0                      QB 0044300A  94          2008</t>
  </si>
  <si>
    <t>People and the sky : our ancestors and the cosmos / Anthony Aveni.</t>
  </si>
  <si>
    <t>Aveni, Anthony F.</t>
  </si>
  <si>
    <t>New York : Thames &amp; Hudson, 2008.</t>
  </si>
  <si>
    <t>368973329:eng</t>
  </si>
  <si>
    <t>182663525</t>
  </si>
  <si>
    <t>ocn182663525</t>
  </si>
  <si>
    <t>3102884105I</t>
  </si>
  <si>
    <t>9780500051528</t>
  </si>
  <si>
    <t>794285093</t>
  </si>
  <si>
    <t>QB46 F365 2016</t>
  </si>
  <si>
    <t>0                      QB 0046000F  365         2016</t>
  </si>
  <si>
    <t>Star Trek, the official guide to our universe : the true science behind the starship voyages / Andrew Fazekas ; foreword by William Shatner.</t>
  </si>
  <si>
    <t>Fazekas, Andrew, author.</t>
  </si>
  <si>
    <t>Washington, D.C. : National Geographic Partners, LLC, [2016]</t>
  </si>
  <si>
    <t>3323843695:eng</t>
  </si>
  <si>
    <t>944014250</t>
  </si>
  <si>
    <t>ocn944014250</t>
  </si>
  <si>
    <t>3103722876F</t>
  </si>
  <si>
    <t>9781426216527</t>
  </si>
  <si>
    <t>795012636</t>
  </si>
  <si>
    <t>QB47 A88 2014</t>
  </si>
  <si>
    <t>0                      QB 0047000A  88          2014</t>
  </si>
  <si>
    <t>Astroculture : figurations of cosmology in media and arts / edited by Sonja A. J. Neef, Henry Sussman and Dietrich Boschung.</t>
  </si>
  <si>
    <t>München : Wilhelm Fink Verlag, [2014]</t>
  </si>
  <si>
    <t>Morphomata ; volume 17</t>
  </si>
  <si>
    <t>1781973931:ger</t>
  </si>
  <si>
    <t>869724817</t>
  </si>
  <si>
    <t>ocn869724817</t>
  </si>
  <si>
    <t>3103200798U</t>
  </si>
  <si>
    <t>9783770556175</t>
  </si>
  <si>
    <t>794965693</t>
  </si>
  <si>
    <t>QB51 H22 1968</t>
  </si>
  <si>
    <t>0                      QB 0051000H  22          1968</t>
  </si>
  <si>
    <t>Oriens, Occidens. Ausgewählte Schriften zur Wissenschafts- und Kulturgeschichte. Festschrift zum 60. Geburtstag. (Herausgeber: Günther Kerstein [u.a.]).</t>
  </si>
  <si>
    <t>Hartner, Willy, 1905-</t>
  </si>
  <si>
    <t>Hildesheim, G. Olms, 1968.</t>
  </si>
  <si>
    <t>Collectanea ; 3</t>
  </si>
  <si>
    <t>2015-09-21</t>
  </si>
  <si>
    <t>4916622428:ger</t>
  </si>
  <si>
    <t>513692</t>
  </si>
  <si>
    <t>ocm00513692</t>
  </si>
  <si>
    <t>3000531371I</t>
  </si>
  <si>
    <t>791399816</t>
  </si>
  <si>
    <t>QB51 S34</t>
  </si>
  <si>
    <t>0                      QB 0051000S  34</t>
  </si>
  <si>
    <t>Science and history : studies in honor of Edward Rosen / [editors, Erna Hilfstein, Paweł Czartoryski, Frank D. Grande].</t>
  </si>
  <si>
    <t>Wrocław : Ossolineum, 1978.</t>
  </si>
  <si>
    <t>Studia Copernicana ; 16</t>
  </si>
  <si>
    <t>795200534:eng</t>
  </si>
  <si>
    <t>5310433</t>
  </si>
  <si>
    <t>ocm05310433</t>
  </si>
  <si>
    <t>3100241250Z</t>
  </si>
  <si>
    <t>792424084</t>
  </si>
  <si>
    <t>3102008054M</t>
  </si>
  <si>
    <t>792424083</t>
  </si>
  <si>
    <t>QB54 F6 1966</t>
  </si>
  <si>
    <t>0                      QB 0054000F  6           1966</t>
  </si>
  <si>
    <t>Entretiens sur la pluralité des mondes [par] Fontenelle. Edition critique avec une introduction et des notes par Alexandre Calame.</t>
  </si>
  <si>
    <t>Fontenelle, M. de (Bernard Le Bovier), 1657-1757.</t>
  </si>
  <si>
    <t>Paris, M. Didier, 1966.</t>
  </si>
  <si>
    <t>4917193843:fre</t>
  </si>
  <si>
    <t>542083</t>
  </si>
  <si>
    <t>ocm00542083</t>
  </si>
  <si>
    <t>3000555987L</t>
  </si>
  <si>
    <t>791408745</t>
  </si>
  <si>
    <t>QB54 F6 1990</t>
  </si>
  <si>
    <t>0                      QB 0054000F  6           1990</t>
  </si>
  <si>
    <t>Entretiens sur la pluralité des mondes / Bernard Le Bovier de Fontenelle ; préface de François Bott.</t>
  </si>
  <si>
    <t>France : L'Aube, ©1990.</t>
  </si>
  <si>
    <t>Poussières</t>
  </si>
  <si>
    <t>221155746</t>
  </si>
  <si>
    <t>ocn221155746</t>
  </si>
  <si>
    <t>31011102673</t>
  </si>
  <si>
    <t>9782876780521</t>
  </si>
  <si>
    <t>794324720</t>
  </si>
  <si>
    <t>QB54 F613 1990</t>
  </si>
  <si>
    <t>0                      QB 0054000F  613         1990</t>
  </si>
  <si>
    <t>Conversations on the plurality of worlds / Bernard le Bovier de Fontenelle ; translation by H.A. Hargreaves ; introduction by Nina Rattner Gelbart.</t>
  </si>
  <si>
    <t>Berkeley : University of California Press, ©1990.</t>
  </si>
  <si>
    <t>4917193843:eng</t>
  </si>
  <si>
    <t>21080669</t>
  </si>
  <si>
    <t>ocm21080669</t>
  </si>
  <si>
    <t>3102393535T</t>
  </si>
  <si>
    <t>9780520063617</t>
  </si>
  <si>
    <t>793108772</t>
  </si>
  <si>
    <t>QB54 S5213</t>
  </si>
  <si>
    <t>0                      QB 0054000S  5213</t>
  </si>
  <si>
    <t>Intelligent life in the universe [by] I.S. Shklovskii [and] Carl Sagan. Authorized translation by Paula Fern.</t>
  </si>
  <si>
    <t>Shklovskiĭ, I. S.</t>
  </si>
  <si>
    <t>San Francisco, Holden-Day, 1966.</t>
  </si>
  <si>
    <t>2009-05-13</t>
  </si>
  <si>
    <t>792583743:eng</t>
  </si>
  <si>
    <t>317314</t>
  </si>
  <si>
    <t>ocm00317314</t>
  </si>
  <si>
    <t>30010279092</t>
  </si>
  <si>
    <t>791334813</t>
  </si>
  <si>
    <t>QB54 S68 1971</t>
  </si>
  <si>
    <t>0                      QB 0054000S  68          1971</t>
  </si>
  <si>
    <t>Communication with extraterrestrial intelligence (CETI) / edited by Carl Sagan.</t>
  </si>
  <si>
    <t>Soviet-American Conference on the Problems of Communication with Extraterrestrial Intelligence, 1st, Byurakan Astrophysical Observatory, 1971.</t>
  </si>
  <si>
    <t>Cambridge : MIT Press, [1973]</t>
  </si>
  <si>
    <t>2016-10-09</t>
  </si>
  <si>
    <t>10927962:eng</t>
  </si>
  <si>
    <t>700752</t>
  </si>
  <si>
    <t>ocm00700752</t>
  </si>
  <si>
    <t>3103222854H</t>
  </si>
  <si>
    <t>9780262191067</t>
  </si>
  <si>
    <t>791449601</t>
  </si>
  <si>
    <t>QB63 M39 2018</t>
  </si>
  <si>
    <t>0                      QB 0063000M  39          2018</t>
  </si>
  <si>
    <t>Ancient skies : constellation mythology of the Greeks / David Weston Marshall.</t>
  </si>
  <si>
    <t>Marshall, David Weston, author.</t>
  </si>
  <si>
    <t>New York, NY : The Countryman Press, a division of W.W Norton &amp; Company, [2018]</t>
  </si>
  <si>
    <t>5443729399:eng</t>
  </si>
  <si>
    <t>1046981866</t>
  </si>
  <si>
    <t>on1046981866</t>
  </si>
  <si>
    <t>31037044570</t>
  </si>
  <si>
    <t>9781682682111</t>
  </si>
  <si>
    <t>795060579</t>
  </si>
  <si>
    <t>QB63 P92</t>
  </si>
  <si>
    <t>0                      QB 0063000P  92</t>
  </si>
  <si>
    <t>Easy star lessons / by Richard A. Proctor ...</t>
  </si>
  <si>
    <t>Proctor, Richard A. (Richard Anthony), 1837-1888.</t>
  </si>
  <si>
    <t>London : Chatto &amp; Windus ..., 1881.</t>
  </si>
  <si>
    <t>3023440:eng</t>
  </si>
  <si>
    <t>53053054</t>
  </si>
  <si>
    <t>ocm53053054</t>
  </si>
  <si>
    <t>3101147528M</t>
  </si>
  <si>
    <t>793820298</t>
  </si>
  <si>
    <t>QB82 G72 L663 2018</t>
  </si>
  <si>
    <t>0                      QB 0082000G  72                 L  663         2018</t>
  </si>
  <si>
    <t>Kew Observatory &amp; the evolution of Victorian science, 1840-1910 / Lee T. Macdonald.</t>
  </si>
  <si>
    <t>MacDonald, Lee, 1973- author.</t>
  </si>
  <si>
    <t>Pittsburgh, PA. : University of Pittsburgh Press, [2018]</t>
  </si>
  <si>
    <t>Science and culture in the nineteenth century</t>
  </si>
  <si>
    <t>5210170378:eng</t>
  </si>
  <si>
    <t>1016010507</t>
  </si>
  <si>
    <t>on1016010507</t>
  </si>
  <si>
    <t>3103704164F</t>
  </si>
  <si>
    <t>9780822945260</t>
  </si>
  <si>
    <t>795048275</t>
  </si>
  <si>
    <t>QB82 I4 S43 1995</t>
  </si>
  <si>
    <t>0                      QB 0082000I  4                  S  43          1995</t>
  </si>
  <si>
    <t>Sawai Jai Singh and his astronomy / Virendra Nath Sharma.</t>
  </si>
  <si>
    <t>Sharma, Virendra Nath.</t>
  </si>
  <si>
    <t>Delhi : Motilal Banarsidass Publishers, 1995.</t>
  </si>
  <si>
    <t>37385207:eng</t>
  </si>
  <si>
    <t>32699670</t>
  </si>
  <si>
    <t>ocm32699670</t>
  </si>
  <si>
    <t>3101914612A</t>
  </si>
  <si>
    <t>793391984</t>
  </si>
  <si>
    <t>QB85.8 C47 2016</t>
  </si>
  <si>
    <t>0                      QB 0085800C  47          2016</t>
  </si>
  <si>
    <t>Chosŏn sidae ch'ŏnmun ŭigi : ch'ŏnmundae, ch'ŏnmun kwanch'ŭk kigi, ch'ŏnmun sigye, kŭ pogwŏn ŭl nonhada = Astronomic instruments in Joseon Dynasty / Yi Yong-sam yŏkkŭm ; taep'yo chŏja Yi Yong-sam ; kongjŏja Kim Sang-hyŏk, Min Pyŏng-hŭi, Yi Min-su, Chŏn Chun-hyŏk, Ham Sŏn-yŏng.</t>
  </si>
  <si>
    <t>Yi, Yong-sam, 1950- author, editor.</t>
  </si>
  <si>
    <t>Sŏul : Minsogwŏn, 2016.</t>
  </si>
  <si>
    <t>Ch'op'an.</t>
  </si>
  <si>
    <t>kor</t>
  </si>
  <si>
    <t>Minsogwŏn arŭk'e puksŭ ; 058</t>
  </si>
  <si>
    <t>3009737268:kor</t>
  </si>
  <si>
    <t>949851264</t>
  </si>
  <si>
    <t>ocn949851264</t>
  </si>
  <si>
    <t>3103861510V</t>
  </si>
  <si>
    <t>9788928508617</t>
  </si>
  <si>
    <t>795016202</t>
  </si>
  <si>
    <t>QB88 B8313 2015</t>
  </si>
  <si>
    <t>0                      QB 0088000B  8313        2015</t>
  </si>
  <si>
    <t>Galileo's telescope : a European story / Massimo Bucciantini, Michele Camerota, Franco Giudice ; translated by Catherine Bolton.</t>
  </si>
  <si>
    <t>Bucciantini, Massimo.</t>
  </si>
  <si>
    <t>Cambridge, Massachusetts : Harvard University Press, 2015.</t>
  </si>
  <si>
    <t>2302076667:eng</t>
  </si>
  <si>
    <t>890377518</t>
  </si>
  <si>
    <t>ocn890377518</t>
  </si>
  <si>
    <t>3103656116U</t>
  </si>
  <si>
    <t>9780674736917</t>
  </si>
  <si>
    <t>794979158</t>
  </si>
  <si>
    <t>QB107 J65 2017</t>
  </si>
  <si>
    <t>0                      QB 0107000J  65          2017</t>
  </si>
  <si>
    <t>A portable cosmos : revealing the Antikythera Mechanism, scientific wonder of the ancient world / Alexander Jones.</t>
  </si>
  <si>
    <t>Jones, Alexander, author.</t>
  </si>
  <si>
    <t>New York, NY, United States of America : Oxford University Press, [2017]</t>
  </si>
  <si>
    <t>2986994687:eng</t>
  </si>
  <si>
    <t>959965429</t>
  </si>
  <si>
    <t>ocn959965429</t>
  </si>
  <si>
    <t>31037019711</t>
  </si>
  <si>
    <t>9780199739349</t>
  </si>
  <si>
    <t>795022855</t>
  </si>
  <si>
    <t>QB107 N32</t>
  </si>
  <si>
    <t>0                      QB 0107000N  32</t>
  </si>
  <si>
    <t>Heavenly clockwork; the great astronomical clocks of medieval China, by Joseph Needham, Wang Ling and Derek J. de Solla Price.</t>
  </si>
  <si>
    <t>Cambridge, Published in association with the Antiquarian Horological Society at the University Press, 1960.</t>
  </si>
  <si>
    <t>Antiquarian Horological Society. Monograph no. 1</t>
  </si>
  <si>
    <t>2013-12-20</t>
  </si>
  <si>
    <t>836644888:eng</t>
  </si>
  <si>
    <t>535867</t>
  </si>
  <si>
    <t>ocm00535867</t>
  </si>
  <si>
    <t>30003494793</t>
  </si>
  <si>
    <t>791406853</t>
  </si>
  <si>
    <t>QB209 H26 2009</t>
  </si>
  <si>
    <t>0                      QB 0209000H  26          2009</t>
  </si>
  <si>
    <t>Time in antiquity / Robert Hannah.</t>
  </si>
  <si>
    <t>Hannah, Robert.</t>
  </si>
  <si>
    <t>London ; New York : Routledge, c2009.</t>
  </si>
  <si>
    <t>2018-02-28</t>
  </si>
  <si>
    <t>112907722:eng</t>
  </si>
  <si>
    <t>166383953</t>
  </si>
  <si>
    <t>ocn166383953</t>
  </si>
  <si>
    <t>3103061452P</t>
  </si>
  <si>
    <t>9780415331555</t>
  </si>
  <si>
    <t>794261222</t>
  </si>
  <si>
    <t>QB209 I55 1983</t>
  </si>
  <si>
    <t>0                      QB 0209000I  55          1983</t>
  </si>
  <si>
    <t>Time, science, and society in China and the West / edited by J.T. Fraser, N. Lawrence, and F.C. Haber.</t>
  </si>
  <si>
    <t>International Society for the Study of Time.</t>
  </si>
  <si>
    <t>Amherst : University of Massachusetts Press, 1986.</t>
  </si>
  <si>
    <t>Study of time ; 5</t>
  </si>
  <si>
    <t>351557413:eng</t>
  </si>
  <si>
    <t>14229561</t>
  </si>
  <si>
    <t>ocm14229561</t>
  </si>
  <si>
    <t>3102040866$</t>
  </si>
  <si>
    <t>9780870234958</t>
  </si>
  <si>
    <t>792882715</t>
  </si>
  <si>
    <t>QB209 R54 1987</t>
  </si>
  <si>
    <t>0                      QB 0209000R  54          1987</t>
  </si>
  <si>
    <t>Time wars : the primary conflict in human history / Jeremy Rifkin.</t>
  </si>
  <si>
    <t>Rifkin, Jeremy.</t>
  </si>
  <si>
    <t>New York : H. Holt, ©1987.</t>
  </si>
  <si>
    <t>2017-12-07</t>
  </si>
  <si>
    <t>8384366:eng</t>
  </si>
  <si>
    <t>14413948</t>
  </si>
  <si>
    <t>ocm14413948</t>
  </si>
  <si>
    <t>3102986928D</t>
  </si>
  <si>
    <t>9780805003772</t>
  </si>
  <si>
    <t>792889522</t>
  </si>
  <si>
    <t>QB209 T484 2016</t>
  </si>
  <si>
    <t>0                      QB 0209000T  484         2016</t>
  </si>
  <si>
    <t>Time : a vocabulary of the present / edited by Joel Burges and Amy J. Elias.</t>
  </si>
  <si>
    <t>New York : New York University Press, [2016]</t>
  </si>
  <si>
    <t>3004298564:eng</t>
  </si>
  <si>
    <t>945804126</t>
  </si>
  <si>
    <t>ocn945804126</t>
  </si>
  <si>
    <t>3103670830Q</t>
  </si>
  <si>
    <t>9781479821709</t>
  </si>
  <si>
    <t>795013976</t>
  </si>
  <si>
    <t>QB210 U5 B37 2000</t>
  </si>
  <si>
    <t>0                      QB 0210000U  5                  B  37          2000</t>
  </si>
  <si>
    <t>Selling the true time : nineteenth-century timekeeping in America / Ian R. Bartky.</t>
  </si>
  <si>
    <t>Bartky, Ian R.</t>
  </si>
  <si>
    <t>Stanford, Calif. : Stanford University Press, ©2000.</t>
  </si>
  <si>
    <t>795257816:eng</t>
  </si>
  <si>
    <t>43109830</t>
  </si>
  <si>
    <t>ocm43109830</t>
  </si>
  <si>
    <t>3102635979D</t>
  </si>
  <si>
    <t>9780804738743</t>
  </si>
  <si>
    <t>793620304</t>
  </si>
  <si>
    <t>QB213 B43 1999</t>
  </si>
  <si>
    <t>0                      QB 0213000B  43          1999</t>
  </si>
  <si>
    <t>Bede, the reckoning of time / translated, with introduction, notes and commentary by Faith Wallis.</t>
  </si>
  <si>
    <t>Bede, the Venerable, Saint, 673-735.</t>
  </si>
  <si>
    <t>Liverpool : Liverpool University Press, 1999.</t>
  </si>
  <si>
    <t>Translated texts for historians ; v. 29</t>
  </si>
  <si>
    <t>118015349:eng</t>
  </si>
  <si>
    <t>41943682</t>
  </si>
  <si>
    <t>ocm41943682</t>
  </si>
  <si>
    <t>3101996679V</t>
  </si>
  <si>
    <t>9780853236931</t>
  </si>
  <si>
    <t>793599614</t>
  </si>
  <si>
    <t>QB213 D6413 1996</t>
  </si>
  <si>
    <t>0                      QB 0213000D  6413        1996</t>
  </si>
  <si>
    <t>History of the hour : clocks and modern temporal orders / Gerhard Dohrn-van Rossum ; translated by Thomas Dunlap.</t>
  </si>
  <si>
    <t>Dohrn-van Rossum, Gerhard, 1947-</t>
  </si>
  <si>
    <t>Chicago : University of Chicago Press, ©1996.</t>
  </si>
  <si>
    <t>38399861:eng</t>
  </si>
  <si>
    <t>33440282</t>
  </si>
  <si>
    <t>ocm33440282</t>
  </si>
  <si>
    <t>3103038373B</t>
  </si>
  <si>
    <t>9780226155104</t>
  </si>
  <si>
    <t>793409509</t>
  </si>
  <si>
    <t>31026081635</t>
  </si>
  <si>
    <t>793409510</t>
  </si>
  <si>
    <t>QB223 H75</t>
  </si>
  <si>
    <t>0                      QB 0223000H  75</t>
  </si>
  <si>
    <t>Greenwich time and the discovery of the longitude / Derek Howse.</t>
  </si>
  <si>
    <t>Howse, Derek.</t>
  </si>
  <si>
    <t>Oxford ; New York : Oxford University Press, 1980.</t>
  </si>
  <si>
    <t>42590615:eng</t>
  </si>
  <si>
    <t>5352913</t>
  </si>
  <si>
    <t>ocm05352913</t>
  </si>
  <si>
    <t>30003087086</t>
  </si>
  <si>
    <t>9780192159489</t>
  </si>
  <si>
    <t>792427431</t>
  </si>
  <si>
    <t>QB296 I5 K43 2000</t>
  </si>
  <si>
    <t>0                      QB 0296000I  5                  K  43          2000</t>
  </si>
  <si>
    <t>The great arc : the dramatic tale of how India was mapped and Everest was named / John Keay.</t>
  </si>
  <si>
    <t>Keay, John.</t>
  </si>
  <si>
    <t>New York : HarperCollins, ©2000.</t>
  </si>
  <si>
    <t>20661513:eng</t>
  </si>
  <si>
    <t>43851477</t>
  </si>
  <si>
    <t>ocm43851477</t>
  </si>
  <si>
    <t>3102042186B</t>
  </si>
  <si>
    <t>9780060195182</t>
  </si>
  <si>
    <t>793636835</t>
  </si>
  <si>
    <t>QB361 C35 1971</t>
  </si>
  <si>
    <t>0                      QB 0361000C  35          1971</t>
  </si>
  <si>
    <t>Campanus of Novara and medieval planetary theory. Theorica planetarum / edited with an introduction, English translation, and commentary by Francis S. Benjamin, Jr. and G.J. Toomer.</t>
  </si>
  <si>
    <t>Campano, da Novara, -1296.</t>
  </si>
  <si>
    <t>Madison, WI : University of Wisconsin Press, 1971.</t>
  </si>
  <si>
    <t>The University of Wisconsin publications in medieval science ; 16</t>
  </si>
  <si>
    <t>1417962:eng</t>
  </si>
  <si>
    <t>277908</t>
  </si>
  <si>
    <t>ocm00277908</t>
  </si>
  <si>
    <t>30005728643</t>
  </si>
  <si>
    <t>9780299059606</t>
  </si>
  <si>
    <t>791321142</t>
  </si>
  <si>
    <t>QB361 C73 1980</t>
  </si>
  <si>
    <t>0                      QB 0361000C  73          1980</t>
  </si>
  <si>
    <t>Pianeti e teorie del cielo nel Settecento / Francesca Maria Crasta.</t>
  </si>
  <si>
    <t>Crasta, Francesca Maria.</t>
  </si>
  <si>
    <t>Torino : Loescher Editore, ©1980.</t>
  </si>
  <si>
    <t>Storia della scienza</t>
  </si>
  <si>
    <t>10076639112:ita</t>
  </si>
  <si>
    <t>11123616</t>
  </si>
  <si>
    <t>ocm11123616</t>
  </si>
  <si>
    <t>3101384125L</t>
  </si>
  <si>
    <t>792758961</t>
  </si>
  <si>
    <t>QB361.9 E445 2007</t>
  </si>
  <si>
    <t>0                      QB 0361900E  445         2007</t>
  </si>
  <si>
    <t>Ordering the heavens : Roman astronomy and cosmology in the Carolingian renaissance / by Bruce S. Eastwood.</t>
  </si>
  <si>
    <t>Eastwood, Bruce.</t>
  </si>
  <si>
    <t>Leiden ; Boston : Brill, 2007.</t>
  </si>
  <si>
    <t>History of science and medicine library ; v. 4</t>
  </si>
  <si>
    <t>796990368:eng</t>
  </si>
  <si>
    <t>141384368</t>
  </si>
  <si>
    <t>ocn141384368</t>
  </si>
  <si>
    <t>3102642754U</t>
  </si>
  <si>
    <t>9789004161863</t>
  </si>
  <si>
    <t>794234860</t>
  </si>
  <si>
    <t>QB361.9 E45 2004</t>
  </si>
  <si>
    <t>0                      QB 0361900E  45          2004</t>
  </si>
  <si>
    <t>Planetary diagrams for Roman astronomy in medieval Europe, ca. 800-1500 / Bruce S. Eastwood, Gerd Grasshoff.</t>
  </si>
  <si>
    <t>Philadelphia : American Philosophical Society, 2004.</t>
  </si>
  <si>
    <t>Transactions of the American Philosophical Society, 0065-9746 ; v. 94, pt. 3</t>
  </si>
  <si>
    <t>16804988:eng</t>
  </si>
  <si>
    <t>55845805</t>
  </si>
  <si>
    <t>ocm55845805</t>
  </si>
  <si>
    <t>3102469697$</t>
  </si>
  <si>
    <t>9780871699435</t>
  </si>
  <si>
    <t>793883005</t>
  </si>
  <si>
    <t>QB410 C47</t>
  </si>
  <si>
    <t>0                      QB 0410000C  47</t>
  </si>
  <si>
    <t>Ellipsoidal figures of equilibrium, by S. Chandrasekhar.</t>
  </si>
  <si>
    <t>Chandrasekhar, S. (Subrahmanyan), 1910-1995.</t>
  </si>
  <si>
    <t>New Haven, Yale University Press, 1969.</t>
  </si>
  <si>
    <t>Mrs. Hepsa Ely Silliman memorial lectures</t>
  </si>
  <si>
    <t>53099191:eng</t>
  </si>
  <si>
    <t>57269</t>
  </si>
  <si>
    <t>ocm00057269</t>
  </si>
  <si>
    <t>30005557539</t>
  </si>
  <si>
    <t>9780300011166</t>
  </si>
  <si>
    <t>791241619</t>
  </si>
  <si>
    <t>QB461 M32 2016</t>
  </si>
  <si>
    <t>0                      QB 0461000M  32          2016</t>
  </si>
  <si>
    <t>Astrophysics in a nutshell / Dan Maoz.</t>
  </si>
  <si>
    <t>Maoz, Dan, author.</t>
  </si>
  <si>
    <t>Princeton, New Jersey : Princeton University Press, [2016]</t>
  </si>
  <si>
    <t>In a nutshell</t>
  </si>
  <si>
    <t>2019-12-07</t>
  </si>
  <si>
    <t>57997243:eng</t>
  </si>
  <si>
    <t>919479393</t>
  </si>
  <si>
    <t>ocn919479393</t>
  </si>
  <si>
    <t>3103642685H</t>
  </si>
  <si>
    <t>9780691164793</t>
  </si>
  <si>
    <t>795001853</t>
  </si>
  <si>
    <t>31036426899</t>
  </si>
  <si>
    <t>795001854</t>
  </si>
  <si>
    <t>QB500 J4</t>
  </si>
  <si>
    <t>0                      QB 0500000J  4</t>
  </si>
  <si>
    <t>The universe around us, by Sir James Jeans ...</t>
  </si>
  <si>
    <t>New York, The Macmillan company; Cambridge, Eng., The University Press [©1929]</t>
  </si>
  <si>
    <t>2018-10-05</t>
  </si>
  <si>
    <t>1542042:eng</t>
  </si>
  <si>
    <t>1319942</t>
  </si>
  <si>
    <t>ocm01319942</t>
  </si>
  <si>
    <t>31001795177</t>
  </si>
  <si>
    <t>791599209</t>
  </si>
  <si>
    <t>30004986693</t>
  </si>
  <si>
    <t>791599211</t>
  </si>
  <si>
    <t>QB500.25 P35 2016</t>
  </si>
  <si>
    <t>0                      QB 0500250P  35          2016</t>
  </si>
  <si>
    <t>The Palgrave handbook of society, culture and outer space / edited by Peter Dickens, University of Cambridge, UK, James S. Ormrod, University of Brighton, UK.</t>
  </si>
  <si>
    <t>Houndmills, Basingstoke, Hampshire ; New York, NY : Palgrave Macmillan, 2016.</t>
  </si>
  <si>
    <t>2994482755:eng</t>
  </si>
  <si>
    <t>913573091</t>
  </si>
  <si>
    <t>ocn913573091</t>
  </si>
  <si>
    <t>3103702055U</t>
  </si>
  <si>
    <t>9781137363510</t>
  </si>
  <si>
    <t>794999484</t>
  </si>
  <si>
    <t>QB521 Y7 1896</t>
  </si>
  <si>
    <t>0                      QB 0521000Y  7           1896</t>
  </si>
  <si>
    <t>The sun / by C.A. Young ...</t>
  </si>
  <si>
    <t>Young, Charles A. (Charles Augustus), 1834-1908.</t>
  </si>
  <si>
    <t>New York : D. Appleton and Co., 1896.</t>
  </si>
  <si>
    <t>New and rev. ed.</t>
  </si>
  <si>
    <t>1474373:eng</t>
  </si>
  <si>
    <t>1652395</t>
  </si>
  <si>
    <t>ocm01652395</t>
  </si>
  <si>
    <t>3000698559X</t>
  </si>
  <si>
    <t>791824120</t>
  </si>
  <si>
    <t>QB581 M25 2003</t>
  </si>
  <si>
    <t>0                      QB 0581000M  25          2003</t>
  </si>
  <si>
    <t>The big splat, or, How our moon came to be / Dana Mackenzie.</t>
  </si>
  <si>
    <t>Mackenzie, Dana.</t>
  </si>
  <si>
    <t>Hoboken, N.J. : John Wiley &amp; Sons, ©2003.</t>
  </si>
  <si>
    <t>702949:eng</t>
  </si>
  <si>
    <t>52129583</t>
  </si>
  <si>
    <t>ocm52129583</t>
  </si>
  <si>
    <t>31031490569</t>
  </si>
  <si>
    <t>9780471150572</t>
  </si>
  <si>
    <t>793799089</t>
  </si>
  <si>
    <t>QB581 M626</t>
  </si>
  <si>
    <t>0                      QB 0581000M  626</t>
  </si>
  <si>
    <t>The subjective side of science : a philosophical inquiry into the psychology of the Apollo moon scientists / Ian I. Mitroff.</t>
  </si>
  <si>
    <t>Mitroff, Ian I.</t>
  </si>
  <si>
    <t>Amsterdam : Elsevier Scientific Pub. Co. ; New York : American Elsevier Pub. Co., [1974]</t>
  </si>
  <si>
    <t>2015-06-09</t>
  </si>
  <si>
    <t>878308844:eng</t>
  </si>
  <si>
    <t>1195179</t>
  </si>
  <si>
    <t>ocm01195179</t>
  </si>
  <si>
    <t>3000423173P</t>
  </si>
  <si>
    <t>9780444412331</t>
  </si>
  <si>
    <t>791569956</t>
  </si>
  <si>
    <t>QB601 P53 1986b</t>
  </si>
  <si>
    <t>0                      QB 0601000P  53          1986b</t>
  </si>
  <si>
    <t>Planetary mysteries / edited by Richard Grossinger.</t>
  </si>
  <si>
    <t>Berkeley, Calif. : North Atlantic Books, ©1986.</t>
  </si>
  <si>
    <t>Io ; #38</t>
  </si>
  <si>
    <t>7957263:eng</t>
  </si>
  <si>
    <t>13946758</t>
  </si>
  <si>
    <t>ocm13946758</t>
  </si>
  <si>
    <t>3000476151R</t>
  </si>
  <si>
    <t>9780938190905</t>
  </si>
  <si>
    <t>792872595</t>
  </si>
  <si>
    <t>QB637.8 B76 2019</t>
  </si>
  <si>
    <t>0                      QB 0637800B  76          2019</t>
  </si>
  <si>
    <t>Winterlust : finding beauty in the fiercest season / Bernd Brunner ; translated by Mary Catherine Lawler ; foreword by Mark Kurlansky.</t>
  </si>
  <si>
    <t>Brunner, Bernd, 1964- author.</t>
  </si>
  <si>
    <t>Vancouver ; Berkeley [California] : Greystone Books, 2019.</t>
  </si>
  <si>
    <t>8948129499:eng</t>
  </si>
  <si>
    <t>1088539455</t>
  </si>
  <si>
    <t>on1088539455</t>
  </si>
  <si>
    <t>3103864054G</t>
  </si>
  <si>
    <t>9781771643528</t>
  </si>
  <si>
    <t>795079253</t>
  </si>
  <si>
    <t>QB637.8 G66 2011</t>
  </si>
  <si>
    <t>0                      QB 0637800G  66          2011</t>
  </si>
  <si>
    <t>Winter : five windows on the season / Adam Gopnik.</t>
  </si>
  <si>
    <t>Gopnik, Adam.</t>
  </si>
  <si>
    <t>Toronto : Anansi, c2011.</t>
  </si>
  <si>
    <t>CBC Massey lecture series</t>
  </si>
  <si>
    <t>2016-03-20</t>
  </si>
  <si>
    <t>917847042:eng</t>
  </si>
  <si>
    <t>732948892</t>
  </si>
  <si>
    <t>ocn732948892</t>
  </si>
  <si>
    <t>31033258215</t>
  </si>
  <si>
    <t>9780887849749</t>
  </si>
  <si>
    <t>794881499</t>
  </si>
  <si>
    <t>QB644 L924</t>
  </si>
  <si>
    <t>0                      QB 0644000L  924</t>
  </si>
  <si>
    <t>Mars as the abode of life, by Percival Lowell ...</t>
  </si>
  <si>
    <t>Lowell, Percival, 1855-1916.</t>
  </si>
  <si>
    <t>New York, The Macmillan company, 1908.</t>
  </si>
  <si>
    <t>2380731:eng</t>
  </si>
  <si>
    <t>1526909</t>
  </si>
  <si>
    <t>ocm01526909</t>
  </si>
  <si>
    <t>30006932449</t>
  </si>
  <si>
    <t>791690487</t>
  </si>
  <si>
    <t>QB802 A713 1997</t>
  </si>
  <si>
    <t>0                      QB 0802000A  713         1997</t>
  </si>
  <si>
    <t>Phaenomena / edited with introduction, translation, and commentary by Douglas Kidd.</t>
  </si>
  <si>
    <t>Aratus, Solensis.</t>
  </si>
  <si>
    <t>Cambridge, U.K. ; New York : Cambridge University Press, 1997.</t>
  </si>
  <si>
    <t>Cambridge classical texts and commentaries ; 34</t>
  </si>
  <si>
    <t>9988648313:eng</t>
  </si>
  <si>
    <t>35701193</t>
  </si>
  <si>
    <t>ocm35701193</t>
  </si>
  <si>
    <t>3101810369K</t>
  </si>
  <si>
    <t>9780521582308</t>
  </si>
  <si>
    <t>793455307</t>
  </si>
  <si>
    <t>QB805 H83 1979</t>
  </si>
  <si>
    <t>0                      QB 0805000H  83          1979</t>
  </si>
  <si>
    <t>The star of Bethlehem : an astronomer's confirmation / David Hughes.</t>
  </si>
  <si>
    <t>Hughes, David W. (David Wolstenholme), 1941-</t>
  </si>
  <si>
    <t>New York : Walker, 1979.</t>
  </si>
  <si>
    <t>3855421857:eng</t>
  </si>
  <si>
    <t>5779975</t>
  </si>
  <si>
    <t>ocm05779975</t>
  </si>
  <si>
    <t>3000308271J</t>
  </si>
  <si>
    <t>9780802706447</t>
  </si>
  <si>
    <t>792453420</t>
  </si>
  <si>
    <t>QB819 P9</t>
  </si>
  <si>
    <t>0                      QB 0819000P  9</t>
  </si>
  <si>
    <t>The universe and the coming transits: presenting researches into and new views respecting the constitution of the heavens: together with an investigation of the conditions of the coming transits of Venus ... By Richard A. Proctor ...</t>
  </si>
  <si>
    <t>London, Longmans, Green, and Co., 1874.</t>
  </si>
  <si>
    <t>1874</t>
  </si>
  <si>
    <t>145899452:eng</t>
  </si>
  <si>
    <t>2636609</t>
  </si>
  <si>
    <t>ocm02636609</t>
  </si>
  <si>
    <t>3000723429W</t>
  </si>
  <si>
    <t>792156103</t>
  </si>
  <si>
    <t>QB843 W5 E95 2014</t>
  </si>
  <si>
    <t>0                      QB 0843000W  5                  E  95          2014</t>
  </si>
  <si>
    <t>19th European Workshop on White Dwarfs : proceedings of a conference held at the Université de Montréal, Montréal, Canada 11-15 August 2014 / edited by Patrick Dufour, Département de physique, Université de Montréal, Montréal, Canada, Pierre Bergeron, Département de physique, Université de Montréal, Montréal, Canada, Gilles Fontaine, Département de physique, Université de Montréal, Montréal, Canada.</t>
  </si>
  <si>
    <t>European Workshop on White Dwarfs (19th : 2014 : Montréal, Québec), author.</t>
  </si>
  <si>
    <t>San Francisco : Astronomical Society of the Pacific, 2015.</t>
  </si>
  <si>
    <t>Astronomical Society of the Pacific conference series ; volume 493</t>
  </si>
  <si>
    <t>2572887842:eng</t>
  </si>
  <si>
    <t>913861136</t>
  </si>
  <si>
    <t>ocn913861136</t>
  </si>
  <si>
    <t>3103644624R</t>
  </si>
  <si>
    <t>9781583818701</t>
  </si>
  <si>
    <t>794999709</t>
  </si>
  <si>
    <t>QB857 M63 2010</t>
  </si>
  <si>
    <t>0                      QB 0857000M  63          2010</t>
  </si>
  <si>
    <t>Galaxy formation and evolution / Houjun Mo, Frank van den Bosch, Simon White.</t>
  </si>
  <si>
    <t>Mo, Houjun.</t>
  </si>
  <si>
    <t>344444279:eng</t>
  </si>
  <si>
    <t>460059772</t>
  </si>
  <si>
    <t>ocn460059772</t>
  </si>
  <si>
    <t>3103133577J</t>
  </si>
  <si>
    <t>9780521857932</t>
  </si>
  <si>
    <t>794790971</t>
  </si>
  <si>
    <t>QB981 A64713 2000</t>
  </si>
  <si>
    <t>0                      QB 0981000A  64713       2000</t>
  </si>
  <si>
    <t>On the heavens / with an English translation by W.K.C. Guthrie.</t>
  </si>
  <si>
    <t>Cambridge, Mass. : Harvard Univ. Press, 2000.</t>
  </si>
  <si>
    <t>The Loeb classical library ; 338</t>
  </si>
  <si>
    <t>9738275111:eng</t>
  </si>
  <si>
    <t>804047438</t>
  </si>
  <si>
    <t>ocn804047438</t>
  </si>
  <si>
    <t>3102675062M</t>
  </si>
  <si>
    <t>9780674993723</t>
  </si>
  <si>
    <t>794925986</t>
  </si>
  <si>
    <t>QB981 B19</t>
  </si>
  <si>
    <t>0                      QB 0981000B  19</t>
  </si>
  <si>
    <t>The earth's beginning, by Sir Robert Stawell Ball ... With four colored plates and numerous illustrations.</t>
  </si>
  <si>
    <t>Ball, Robert S. (Robert Stawell), 1840-1913.</t>
  </si>
  <si>
    <t>New York; London Cassell and Company, Limited, 1901.</t>
  </si>
  <si>
    <t>2016-11-27</t>
  </si>
  <si>
    <t>4287478:eng</t>
  </si>
  <si>
    <t>12572652</t>
  </si>
  <si>
    <t>ocm12572652</t>
  </si>
  <si>
    <t>3000721753X</t>
  </si>
  <si>
    <t>792819701</t>
  </si>
  <si>
    <t>QB981 C6458 2001</t>
  </si>
  <si>
    <t>0                      QB 0981000C  6458        2001</t>
  </si>
  <si>
    <t>Cosmology : a very short introduction / Peter Coles.</t>
  </si>
  <si>
    <t>Coles, Peter, 1963- author.</t>
  </si>
  <si>
    <t>New York : Oxford University Press, [2001]</t>
  </si>
  <si>
    <t>Very short introductions ; 51</t>
  </si>
  <si>
    <t>9349429999:eng</t>
  </si>
  <si>
    <t>46984946</t>
  </si>
  <si>
    <t>ocm46984946</t>
  </si>
  <si>
    <t>3102544829V</t>
  </si>
  <si>
    <t>9780192854162</t>
  </si>
  <si>
    <t>793696065</t>
  </si>
  <si>
    <t>QB981 G664 1994</t>
  </si>
  <si>
    <t>0                      QB 0981000G  664         1994</t>
  </si>
  <si>
    <t>Planets, stars, and orbs : the medieval cosmos, 1200-1687 / Edward Grant.</t>
  </si>
  <si>
    <t>Cambridge [England] ; New York : Cambridge University Press, 1994.</t>
  </si>
  <si>
    <t>807498847:eng</t>
  </si>
  <si>
    <t>28376647</t>
  </si>
  <si>
    <t>ocm28376647</t>
  </si>
  <si>
    <t>3101238612R</t>
  </si>
  <si>
    <t>9780521433440</t>
  </si>
  <si>
    <t>793286587</t>
  </si>
  <si>
    <t>QB981 H324 1985</t>
  </si>
  <si>
    <t>0                      QB 0981000H  324         1985</t>
  </si>
  <si>
    <t>Masks of the universe / Edward Harrison.</t>
  </si>
  <si>
    <t>Harrison, Edward Robert.</t>
  </si>
  <si>
    <t>New York : Macmillan Pub. Co. ; London : Collier Macmillan, ©1985.</t>
  </si>
  <si>
    <t>801387894:eng</t>
  </si>
  <si>
    <t>11318135</t>
  </si>
  <si>
    <t>ocm11318135</t>
  </si>
  <si>
    <t>3000374267P</t>
  </si>
  <si>
    <t>9780029487808</t>
  </si>
  <si>
    <t>792768516</t>
  </si>
  <si>
    <t>QB981 H377 1998</t>
  </si>
  <si>
    <t>0                      QB 0981000H  377         1998</t>
  </si>
  <si>
    <t>A brief history of time / Stephen Hawking.</t>
  </si>
  <si>
    <t>Hawking, Stephen, 1942-2018.</t>
  </si>
  <si>
    <t>New York : Bantam Books, 1998.</t>
  </si>
  <si>
    <t>Updated and expanded tenth anniversary ed.</t>
  </si>
  <si>
    <t>3943680875:eng</t>
  </si>
  <si>
    <t>39256652</t>
  </si>
  <si>
    <t>ocm39256652</t>
  </si>
  <si>
    <t>3103030265B</t>
  </si>
  <si>
    <t>9780553109535</t>
  </si>
  <si>
    <t>793541865</t>
  </si>
  <si>
    <t>QB981 L32 1994</t>
  </si>
  <si>
    <t>0                      QB 0981000L  32          1994</t>
  </si>
  <si>
    <t>Between Copernicus and Galileo : Christoph Clavius and the collapse of Ptolemaic cosmology / James M. Lattis.</t>
  </si>
  <si>
    <t>Lattis, James M.</t>
  </si>
  <si>
    <t>807217711:eng</t>
  </si>
  <si>
    <t>29953006</t>
  </si>
  <si>
    <t>ocm29953006</t>
  </si>
  <si>
    <t>3101489134P</t>
  </si>
  <si>
    <t>9780226469270</t>
  </si>
  <si>
    <t>793324958</t>
  </si>
  <si>
    <t>QB981 L37 1996</t>
  </si>
  <si>
    <t>0                      QB 0981000L  37          1996</t>
  </si>
  <si>
    <t>Le monde des sphères / Michel-Pierre Lerner.</t>
  </si>
  <si>
    <t>Lerner, Michel-Pierre.</t>
  </si>
  <si>
    <t>Paris : Les Belles Lettres, 1997.</t>
  </si>
  <si>
    <t>L'ane d'or</t>
  </si>
  <si>
    <t>4203041339:fre</t>
  </si>
  <si>
    <t>36236556</t>
  </si>
  <si>
    <t>ocm36236556</t>
  </si>
  <si>
    <t>3102670590L</t>
  </si>
  <si>
    <t>9782251420066</t>
  </si>
  <si>
    <t>793469964</t>
  </si>
  <si>
    <t>3102670585N</t>
  </si>
  <si>
    <t>793469963</t>
  </si>
  <si>
    <t>QB981 M55</t>
  </si>
  <si>
    <t>0                      QB 0981000M  55</t>
  </si>
  <si>
    <t>Modern cosmology and the Christian idea of God.</t>
  </si>
  <si>
    <t>Milne, Edward Arthur, 1896-1950.</t>
  </si>
  <si>
    <t>Oxford, Clarendon Press, 1952.</t>
  </si>
  <si>
    <t>Edward Cadbury lectures ; 1950</t>
  </si>
  <si>
    <t>3946371:eng</t>
  </si>
  <si>
    <t>2211561</t>
  </si>
  <si>
    <t>ocm02211561</t>
  </si>
  <si>
    <t>3001164924R</t>
  </si>
  <si>
    <t>792067868</t>
  </si>
  <si>
    <t>QB981 N773 1989</t>
  </si>
  <si>
    <t>0                      QB 0981000N  773         1989</t>
  </si>
  <si>
    <t>Stars, minds, and fate : essays in ancient and medieval cosmology / J.D. North.</t>
  </si>
  <si>
    <t>North, John David.</t>
  </si>
  <si>
    <t>London ; Ronceverte, WV : Hambledon Press, 1989.</t>
  </si>
  <si>
    <t>836803844:eng</t>
  </si>
  <si>
    <t>18984769</t>
  </si>
  <si>
    <t>ocm18984769</t>
  </si>
  <si>
    <t>3100226146H</t>
  </si>
  <si>
    <t>9780907628941</t>
  </si>
  <si>
    <t>793043467</t>
  </si>
  <si>
    <t>QB981 P25 1986</t>
  </si>
  <si>
    <t>0                      QB 0981000P  25          1986</t>
  </si>
  <si>
    <t>Perfect symmetry : the search for the beginning of time / Heinz R. Pagels.</t>
  </si>
  <si>
    <t>Pagels, Heinz R., 1939-</t>
  </si>
  <si>
    <t>New York : Bantam Books, ©1986.</t>
  </si>
  <si>
    <t>2016-01-23</t>
  </si>
  <si>
    <t>4448125:eng</t>
  </si>
  <si>
    <t>21102626</t>
  </si>
  <si>
    <t>ocm21102626</t>
  </si>
  <si>
    <t>3103481552P</t>
  </si>
  <si>
    <t>9780553240009</t>
  </si>
  <si>
    <t>793109194</t>
  </si>
  <si>
    <t>QB981 S267 1993</t>
  </si>
  <si>
    <t>0                      QB 0981000S  267         1993</t>
  </si>
  <si>
    <t>Development and evolution : complexity and change in biology / Stanley N. Salthe.</t>
  </si>
  <si>
    <t>Salthe, Stanley N.</t>
  </si>
  <si>
    <t>329325:eng</t>
  </si>
  <si>
    <t>28016069</t>
  </si>
  <si>
    <t>ocm28016069</t>
  </si>
  <si>
    <t>31018567087</t>
  </si>
  <si>
    <t>9780262193351</t>
  </si>
  <si>
    <t>793277519</t>
  </si>
  <si>
    <t>QB981 T8</t>
  </si>
  <si>
    <t>0                      QB 0981000T  8</t>
  </si>
  <si>
    <t>The fabric of the heavens; the development of astronomy and dynamics [by] Stephen Toulmin and June Goodfield.</t>
  </si>
  <si>
    <t>New York, Harper [1962, ©1961]</t>
  </si>
  <si>
    <t>Harper torchbooks, TB579</t>
  </si>
  <si>
    <t>4783719193:eng</t>
  </si>
  <si>
    <t>193203</t>
  </si>
  <si>
    <t>ocm00193203</t>
  </si>
  <si>
    <t>3000328673O</t>
  </si>
  <si>
    <t>791289712</t>
  </si>
  <si>
    <t>QB981 T8 1965</t>
  </si>
  <si>
    <t>0                      QB 0981000T  8           1965</t>
  </si>
  <si>
    <t>The fabric of the heavens : the development of astronomy and dynamics / Stephen Toulmin and June Goodfield.</t>
  </si>
  <si>
    <t>Toulmin, Stephen Edelston.</t>
  </si>
  <si>
    <t>New York : Harper &amp; Row, 1965, ©1961.</t>
  </si>
  <si>
    <t>Harper torchbooks ; TB579</t>
  </si>
  <si>
    <t>3091650</t>
  </si>
  <si>
    <t>ocm03091650</t>
  </si>
  <si>
    <t>3103773417C</t>
  </si>
  <si>
    <t>9780061305795</t>
  </si>
  <si>
    <t>792216576</t>
  </si>
  <si>
    <t>QB981 W64</t>
  </si>
  <si>
    <t>0                      QB 0981000W  64</t>
  </si>
  <si>
    <t>Les Hypotheses cosmogoniques : examen des theories scientifiques modernes sur lórigine des mondes, suivi de la traduction de la theorie du ciel de Kant.</t>
  </si>
  <si>
    <t>Wolf, C. (Charles), 1827-1918.</t>
  </si>
  <si>
    <t>Paris : Gauthier-Villars, 1886.</t>
  </si>
  <si>
    <t>1886</t>
  </si>
  <si>
    <t>365326554:fre</t>
  </si>
  <si>
    <t>8591808</t>
  </si>
  <si>
    <t>ocm08591808</t>
  </si>
  <si>
    <t>3000721794J</t>
  </si>
  <si>
    <t>792629223</t>
  </si>
  <si>
    <t>QC5.3 B53 2001</t>
  </si>
  <si>
    <t>0                      QC 0005300B  53          2001</t>
  </si>
  <si>
    <t>Interacting with audiences : social influences on the production of scientific writing / Ann M. Blakeslee.</t>
  </si>
  <si>
    <t>Blakeslee, Ann M.</t>
  </si>
  <si>
    <t>Rhetoric, knowledge, and society</t>
  </si>
  <si>
    <t xml:space="preserve">QC </t>
  </si>
  <si>
    <t>2016-07-26</t>
  </si>
  <si>
    <t>799987147:eng</t>
  </si>
  <si>
    <t>43864413</t>
  </si>
  <si>
    <t>ocm43864413</t>
  </si>
  <si>
    <t>3102107125N</t>
  </si>
  <si>
    <t>9780805822991</t>
  </si>
  <si>
    <t>793637302</t>
  </si>
  <si>
    <t>QC6 B59719</t>
  </si>
  <si>
    <t>0                      QC 0006000B  59719</t>
  </si>
  <si>
    <t>The special theory of relativity / David Bohm.</t>
  </si>
  <si>
    <t>Bohm, David, 1917-1992.</t>
  </si>
  <si>
    <t>New York : W.A. Benjamin, 1965.</t>
  </si>
  <si>
    <t>Lecture notes and supplements in physics</t>
  </si>
  <si>
    <t>131375525:eng</t>
  </si>
  <si>
    <t>174373</t>
  </si>
  <si>
    <t>ocm00174373</t>
  </si>
  <si>
    <t>3000497748C</t>
  </si>
  <si>
    <t>791281483</t>
  </si>
  <si>
    <t>QC6 B73 1926</t>
  </si>
  <si>
    <t>0                      QC 0006000B  73          1926</t>
  </si>
  <si>
    <t>Space and time, by Emile Borel.</t>
  </si>
  <si>
    <t>Borel, Emile, 1871-1956.</t>
  </si>
  <si>
    <t>London, Glasgow, Blackie, 1926.</t>
  </si>
  <si>
    <t>705480:eng</t>
  </si>
  <si>
    <t>880789</t>
  </si>
  <si>
    <t>ocm00880789</t>
  </si>
  <si>
    <t>3000690740C</t>
  </si>
  <si>
    <t>791493713</t>
  </si>
  <si>
    <t>QC6 B87</t>
  </si>
  <si>
    <t>0                      QC 0006000B  87</t>
  </si>
  <si>
    <t>Philosophy of physics. By Mario Bunge.</t>
  </si>
  <si>
    <t>Dordrecht, Boston, Reidel [1973]</t>
  </si>
  <si>
    <t>2017-05-19</t>
  </si>
  <si>
    <t>309084604:eng</t>
  </si>
  <si>
    <t>613671</t>
  </si>
  <si>
    <t>ocm00613671</t>
  </si>
  <si>
    <t>3103741341A</t>
  </si>
  <si>
    <t>9789027702531</t>
  </si>
  <si>
    <t>791428568</t>
  </si>
  <si>
    <t>QC6 C27</t>
  </si>
  <si>
    <t>0                      QC 0006000C  27</t>
  </si>
  <si>
    <t>The philosophical impact of contemporary physics.</t>
  </si>
  <si>
    <t>Čapek, Milič.</t>
  </si>
  <si>
    <t>Princeton, N.J., Van Nostrand [1961]</t>
  </si>
  <si>
    <t>1315222:eng</t>
  </si>
  <si>
    <t>530498</t>
  </si>
  <si>
    <t>ocm00530498</t>
  </si>
  <si>
    <t>3000703261J</t>
  </si>
  <si>
    <t>791405252</t>
  </si>
  <si>
    <t>QC6 C277 2000</t>
  </si>
  <si>
    <t>0                      QC 0006000C  277         2000</t>
  </si>
  <si>
    <t>The Tao of physics : an exploration of the parallels between modern physics and Eastern mysticism / by Fritjof Capra.</t>
  </si>
  <si>
    <t>Capra, Fritjof, author.</t>
  </si>
  <si>
    <t>Boston : Shambhala, [2000]</t>
  </si>
  <si>
    <t>4th edition, updated.</t>
  </si>
  <si>
    <t>3922317961:eng</t>
  </si>
  <si>
    <t>41540324</t>
  </si>
  <si>
    <t>ocm41540324</t>
  </si>
  <si>
    <t>31026663908</t>
  </si>
  <si>
    <t>9781570625190</t>
  </si>
  <si>
    <t>793593809</t>
  </si>
  <si>
    <t>QC6 C294 1983</t>
  </si>
  <si>
    <t>0                      QC 0006000C  294         1983</t>
  </si>
  <si>
    <t>How the laws of physics lie / Nancy Cartwright.</t>
  </si>
  <si>
    <t>Cartwright, Nancy.</t>
  </si>
  <si>
    <t>Oxford : Clarendon Press ; New York : Oxford University Press, 1983.</t>
  </si>
  <si>
    <t>2017-07-27</t>
  </si>
  <si>
    <t>2017-11-11</t>
  </si>
  <si>
    <t>19583153:eng</t>
  </si>
  <si>
    <t>9733454</t>
  </si>
  <si>
    <t>ocm09733454</t>
  </si>
  <si>
    <t>30003491170</t>
  </si>
  <si>
    <t>9780198247005</t>
  </si>
  <si>
    <t>792691007</t>
  </si>
  <si>
    <t>QC6 C33</t>
  </si>
  <si>
    <t>0                      QC 0006000C  33</t>
  </si>
  <si>
    <t>Philosophical foundations of physics; an introduction to the philosophy of science. Edited by Martin Gardner.</t>
  </si>
  <si>
    <t>New York, Basic Books, Inc. [1966]</t>
  </si>
  <si>
    <t>4160519765:eng</t>
  </si>
  <si>
    <t>530616</t>
  </si>
  <si>
    <t>ocm00530616</t>
  </si>
  <si>
    <t>31030143398</t>
  </si>
  <si>
    <t>9780465035502</t>
  </si>
  <si>
    <t>791405312</t>
  </si>
  <si>
    <t>QC6 D43 1996</t>
  </si>
  <si>
    <t>0                      QC 0006000D  43          1996</t>
  </si>
  <si>
    <t>Physiologia : natural philosophy in late Aristotelian and Cartesian thought / Dennis Des Chene.</t>
  </si>
  <si>
    <t>Des Chene, Dennis.</t>
  </si>
  <si>
    <t>50611:eng</t>
  </si>
  <si>
    <t>32854584</t>
  </si>
  <si>
    <t>ocm32854584</t>
  </si>
  <si>
    <t>31015744316</t>
  </si>
  <si>
    <t>9780801430725</t>
  </si>
  <si>
    <t>793395831</t>
  </si>
  <si>
    <t>QC6 D787 1990</t>
  </si>
  <si>
    <t>0                      QC 0006000D  787         1990</t>
  </si>
  <si>
    <t>Sōzein ta phainomena : essai sur la notion de théorie physique de Platon à Galilée / par Pierre Duhem ; introduction de Paul Brouzeng.</t>
  </si>
  <si>
    <t>Duhem, Pierre Maurice Marie, 1861-1916.</t>
  </si>
  <si>
    <t>Paris : Librairie philosophique J. Vrin, 1990.</t>
  </si>
  <si>
    <t>Mathesis</t>
  </si>
  <si>
    <t>3754172958:fre</t>
  </si>
  <si>
    <t>21478108</t>
  </si>
  <si>
    <t>ocm21478108</t>
  </si>
  <si>
    <t>3101867392Y</t>
  </si>
  <si>
    <t>9782711608058</t>
  </si>
  <si>
    <t>793119963</t>
  </si>
  <si>
    <t>QC6 D7873 1985</t>
  </si>
  <si>
    <t>0                      QC 0006000D  7873        1985</t>
  </si>
  <si>
    <t>To save the phenomena : an essay on the idea of physical theory from Plato to Galileo / Pierre Duhem ; translated from the French by Edmund Doland and Chaninah Maschler ; with an introductory essay by Stanley L. Jaki.</t>
  </si>
  <si>
    <t>Chicago : University of Chicago Press, 1985, ©1969.</t>
  </si>
  <si>
    <t>Midway reprints</t>
  </si>
  <si>
    <t>2909566089:eng</t>
  </si>
  <si>
    <t>12429405</t>
  </si>
  <si>
    <t>ocm12429405</t>
  </si>
  <si>
    <t>3103656144P</t>
  </si>
  <si>
    <t>9780226169217</t>
  </si>
  <si>
    <t>792815572</t>
  </si>
  <si>
    <t>QC6 E35</t>
  </si>
  <si>
    <t>0                      QC 0006000E  35</t>
  </si>
  <si>
    <t>The mathematical theory of relativity, by A.S. Eddington ...</t>
  </si>
  <si>
    <t>Cambridge [England] University Press, 1923.</t>
  </si>
  <si>
    <t>494315:eng</t>
  </si>
  <si>
    <t>1045410</t>
  </si>
  <si>
    <t>ocm01045410</t>
  </si>
  <si>
    <t>3103874132G</t>
  </si>
  <si>
    <t>791532821</t>
  </si>
  <si>
    <t>QC6 E5 1959</t>
  </si>
  <si>
    <t>0                      QC 0006000E  5           1959</t>
  </si>
  <si>
    <t>Relativity, the special and the general theory.</t>
  </si>
  <si>
    <t>Einstein, Albert, 1879-1955.</t>
  </si>
  <si>
    <t>Gloucester, Mass : P. Smith, 1959.</t>
  </si>
  <si>
    <t>Translated by Robert W. Lawson.</t>
  </si>
  <si>
    <t>10076573199:eng</t>
  </si>
  <si>
    <t>61597132</t>
  </si>
  <si>
    <t>ocm61597132</t>
  </si>
  <si>
    <t>31028001030</t>
  </si>
  <si>
    <t>794036556</t>
  </si>
  <si>
    <t>QC6 F33 1988</t>
  </si>
  <si>
    <t>0                      QC 0006000F  33          1988</t>
  </si>
  <si>
    <t>Zhe xue shi wu li xue de gong ju / Fang Lizhi zhu.</t>
  </si>
  <si>
    <t>Fang, Lizhi.</t>
  </si>
  <si>
    <t>Changsha Shi : Hunan ke xue ji shu chu ban she : Jing xiao Hunan sheng xin hua shu dian, 1988.</t>
  </si>
  <si>
    <t>945864840:chi</t>
  </si>
  <si>
    <t>23723615</t>
  </si>
  <si>
    <t>ocm23723615</t>
  </si>
  <si>
    <t>3102477965$</t>
  </si>
  <si>
    <t>9787535703552</t>
  </si>
  <si>
    <t>793180922</t>
  </si>
  <si>
    <t>QC6 F68</t>
  </si>
  <si>
    <t>0                      QC 0006000F  68</t>
  </si>
  <si>
    <t>Special relativity / A.P. French.</t>
  </si>
  <si>
    <t>French, A. P. (Anthony Philip), 1920-</t>
  </si>
  <si>
    <t>New York : Norton, ©1968.</t>
  </si>
  <si>
    <t>The M.I.T. introductory physics series</t>
  </si>
  <si>
    <t>4820359230:eng</t>
  </si>
  <si>
    <t>437098</t>
  </si>
  <si>
    <t>ocm00437098</t>
  </si>
  <si>
    <t>3102615928X</t>
  </si>
  <si>
    <t>9780171770759</t>
  </si>
  <si>
    <t>791378061</t>
  </si>
  <si>
    <t>3103245781T</t>
  </si>
  <si>
    <t>791378060</t>
  </si>
  <si>
    <t>QC6 G22 1987</t>
  </si>
  <si>
    <t>0                      QC 0006000G  22          1987</t>
  </si>
  <si>
    <t>How experiments end / Peter Galison.</t>
  </si>
  <si>
    <t>Galison, Peter, 1955-</t>
  </si>
  <si>
    <t>Chicago : University of Chicago Press, ©1987.</t>
  </si>
  <si>
    <t>117488184:eng</t>
  </si>
  <si>
    <t>15421534</t>
  </si>
  <si>
    <t>ocm15421534</t>
  </si>
  <si>
    <t>3103224392G</t>
  </si>
  <si>
    <t>9780226279152</t>
  </si>
  <si>
    <t>792931015</t>
  </si>
  <si>
    <t>QC6 G23</t>
  </si>
  <si>
    <t>0                      QC 0006000G  23</t>
  </si>
  <si>
    <t>Mr. Tompkins in Wonderland; or, Stories of c, G, and h, by G. Gamow ... illustrated by John Hookham.</t>
  </si>
  <si>
    <t>Cambridge [England] University Press, 1939.</t>
  </si>
  <si>
    <t>2005-07-12</t>
  </si>
  <si>
    <t>27012727:eng</t>
  </si>
  <si>
    <t>4306156</t>
  </si>
  <si>
    <t>ocm04306156</t>
  </si>
  <si>
    <t>3000497756D</t>
  </si>
  <si>
    <t>792339658</t>
  </si>
  <si>
    <t>QC6 G75</t>
  </si>
  <si>
    <t>0                      QC 0006000G  75</t>
  </si>
  <si>
    <t>Geometry and chronometry in philosophical perspective / by Adolf Grünbaum.</t>
  </si>
  <si>
    <t>Grünbaum, Adolf.</t>
  </si>
  <si>
    <t>Minneapolis : University of Minnesota Press, 1968.</t>
  </si>
  <si>
    <t>Minnesota paperbacks ; MP16</t>
  </si>
  <si>
    <t>1571703:eng</t>
  </si>
  <si>
    <t>442420</t>
  </si>
  <si>
    <t>ocm00442420</t>
  </si>
  <si>
    <t>3000555632L</t>
  </si>
  <si>
    <t>791379847</t>
  </si>
  <si>
    <t>QC6 J3 1954</t>
  </si>
  <si>
    <t>0                      QC 0006000J  3           1954</t>
  </si>
  <si>
    <t>Concepts of space; the history of theories of space in physics. Foreword by Albert Einstein.</t>
  </si>
  <si>
    <t>Jammer, Max.</t>
  </si>
  <si>
    <t>Cambridge, Harvard University Press, 1954.</t>
  </si>
  <si>
    <t>364446147:eng</t>
  </si>
  <si>
    <t>531025</t>
  </si>
  <si>
    <t>ocm00531025</t>
  </si>
  <si>
    <t>3103476168K</t>
  </si>
  <si>
    <t>791405439</t>
  </si>
  <si>
    <t>QC6 K6x</t>
  </si>
  <si>
    <t>0                      QC 0006000K  6x</t>
  </si>
  <si>
    <t>Observation and interpretation; a symposium of philosophers and physicists. Edited by S. Körner in collaboration with M.H.L. Pryce.</t>
  </si>
  <si>
    <t>Körner, Stephan, 1913-2000, editor.</t>
  </si>
  <si>
    <t>London, Butterworths, 1957.</t>
  </si>
  <si>
    <t>Colston papers, v. 9</t>
  </si>
  <si>
    <t>198880304:eng</t>
  </si>
  <si>
    <t>732641</t>
  </si>
  <si>
    <t>ocm00732641</t>
  </si>
  <si>
    <t>30004977686</t>
  </si>
  <si>
    <t>791457394</t>
  </si>
  <si>
    <t>QC6 K78413</t>
  </si>
  <si>
    <t>0                      QC 0006000K  78413</t>
  </si>
  <si>
    <t>Einstein and Dostoyevsky; [by] Boris Kuznetsov, translated from the Russian by Vladimir Talmy.</t>
  </si>
  <si>
    <t>Kuznet︠s︡ov, B. G. (Boris Grigorʹevich), 1903-1984.</t>
  </si>
  <si>
    <t>London, Hutchinson, 1972.</t>
  </si>
  <si>
    <t>2017-02-14</t>
  </si>
  <si>
    <t>350685533:eng</t>
  </si>
  <si>
    <t>579491</t>
  </si>
  <si>
    <t>ocm00579491</t>
  </si>
  <si>
    <t>3103592935Y</t>
  </si>
  <si>
    <t>9780091066604</t>
  </si>
  <si>
    <t>791420157</t>
  </si>
  <si>
    <t>QC6 L4138513 2011</t>
  </si>
  <si>
    <t>0                      QC 0006000L  4138513     2011</t>
  </si>
  <si>
    <t>New philosophy theories in physics and biomedicine = Wu li yu sheng wu yi xue de zhe xue xin lun / Li Wanyuan.</t>
  </si>
  <si>
    <t>Li, Wanyuan.</t>
  </si>
  <si>
    <t>Beijing : Zhongguo chuan mei da xue chu ban she, 2011.</t>
  </si>
  <si>
    <t>1056163934:eng</t>
  </si>
  <si>
    <t>761403453</t>
  </si>
  <si>
    <t>ocn761403453</t>
  </si>
  <si>
    <t>3103442586Z</t>
  </si>
  <si>
    <t>9787565701559</t>
  </si>
  <si>
    <t>794899383</t>
  </si>
  <si>
    <t>QC6 L5</t>
  </si>
  <si>
    <t>0                      QC 0006000L  5</t>
  </si>
  <si>
    <t>The Einstein theory of relativity; a concise statement, by Prof. H.A. Lorentz ...</t>
  </si>
  <si>
    <t>Lorentz, H. A. (Hendrik Antoon), 1853-1928.</t>
  </si>
  <si>
    <t>New York, Brentano's [©1920]</t>
  </si>
  <si>
    <t>3943277200:eng</t>
  </si>
  <si>
    <t>904555</t>
  </si>
  <si>
    <t>ocm00904555</t>
  </si>
  <si>
    <t>3000690784T</t>
  </si>
  <si>
    <t>791498815</t>
  </si>
  <si>
    <t>QC6 O925 2013</t>
  </si>
  <si>
    <t>0                      QC 0006000O  925         2013</t>
  </si>
  <si>
    <t>The Oxford handbook of philosophy of physics / edited by Robert Batterman.</t>
  </si>
  <si>
    <t>New York : Oxford University Press, ©2013.</t>
  </si>
  <si>
    <t>1101287193:eng</t>
  </si>
  <si>
    <t>785808879</t>
  </si>
  <si>
    <t>ocn785808879</t>
  </si>
  <si>
    <t>31035288896</t>
  </si>
  <si>
    <t>9780195392043</t>
  </si>
  <si>
    <t>794915274</t>
  </si>
  <si>
    <t>QC6 P283 1991</t>
  </si>
  <si>
    <t>0                      QC 0006000P  283         1991</t>
  </si>
  <si>
    <t>Māyā in physics / N.C. Panda.</t>
  </si>
  <si>
    <t>Paṇḍā, Nr̥siṃhacaraṇa, 1929-</t>
  </si>
  <si>
    <t>Delhi : Motilal Banarsidass Publishers, 1991.</t>
  </si>
  <si>
    <t>394088:eng</t>
  </si>
  <si>
    <t>25052010</t>
  </si>
  <si>
    <t>ocm25052010</t>
  </si>
  <si>
    <t>31011485839</t>
  </si>
  <si>
    <t>9788120806986</t>
  </si>
  <si>
    <t>793211358</t>
  </si>
  <si>
    <t>QC6 P625 1936</t>
  </si>
  <si>
    <t>0                      QC 0006000P  625         1936</t>
  </si>
  <si>
    <t>The philosophy of physics, by Max Planck. Translated by W.H. Johnston.</t>
  </si>
  <si>
    <t>London, G. Allen &amp; Unwin [1936]</t>
  </si>
  <si>
    <t>1936</t>
  </si>
  <si>
    <t>2005-01-14</t>
  </si>
  <si>
    <t>1596429:eng</t>
  </si>
  <si>
    <t>8252356</t>
  </si>
  <si>
    <t>ocm08252356</t>
  </si>
  <si>
    <t>3000356107C</t>
  </si>
  <si>
    <t>792607991</t>
  </si>
  <si>
    <t>QC6 P697 1986</t>
  </si>
  <si>
    <t>0                      QC 0006000P  697         1986</t>
  </si>
  <si>
    <t>La nouvelle alliance : métamorphose de la science / Ilya Prigogine, Isabelle Stengers.</t>
  </si>
  <si>
    <t>[Paris] : Gallimard, ©1986.</t>
  </si>
  <si>
    <t>Collection Folio/essais ; 26</t>
  </si>
  <si>
    <t>792304012:fre</t>
  </si>
  <si>
    <t>16258516</t>
  </si>
  <si>
    <t>ocm16258516</t>
  </si>
  <si>
    <t>31029992953</t>
  </si>
  <si>
    <t>9782070323241</t>
  </si>
  <si>
    <t>792959066</t>
  </si>
  <si>
    <t>QC6 R382 1971</t>
  </si>
  <si>
    <t>0                      QC 0006000R  382         1971</t>
  </si>
  <si>
    <t>The direction of time / Hans Reichenbach ; edited by Maria Reichenbach.</t>
  </si>
  <si>
    <t>Reichenbach, Hans, 1891-1953, author.</t>
  </si>
  <si>
    <t>Berkeley : University of California Press, 1971.</t>
  </si>
  <si>
    <t>California Library reprint series edition. First paperback edition.</t>
  </si>
  <si>
    <t>California Library reprint series</t>
  </si>
  <si>
    <t>575649:eng</t>
  </si>
  <si>
    <t>625526</t>
  </si>
  <si>
    <t>ocm00625526</t>
  </si>
  <si>
    <t>31030245800</t>
  </si>
  <si>
    <t>9780520018396</t>
  </si>
  <si>
    <t>791431332</t>
  </si>
  <si>
    <t>QC6 R5696</t>
  </si>
  <si>
    <t>0                      QC 0006000R  5696</t>
  </si>
  <si>
    <t>Reality and scientific truth : discussions with Einstein, von Laue, and Planck / by Ilse Rosenthal-Schneider ; edited by Thomas Braun ; foreword by Arthur I. Miller.</t>
  </si>
  <si>
    <t>Rosenthal-Schneider, Ilse, 1891-1990.</t>
  </si>
  <si>
    <t>Detroit : Wayne State University Press, 1980.</t>
  </si>
  <si>
    <t>477661738:eng</t>
  </si>
  <si>
    <t>6222962</t>
  </si>
  <si>
    <t>ocm06222962</t>
  </si>
  <si>
    <t>30003200004</t>
  </si>
  <si>
    <t>9780814316504</t>
  </si>
  <si>
    <t>792484136</t>
  </si>
  <si>
    <t>QC6 S62</t>
  </si>
  <si>
    <t>0                      QC 0006000S  62</t>
  </si>
  <si>
    <t>Problems of space and time. Readings selected, edited and furnished with an introd. by J.J.C. Smart.</t>
  </si>
  <si>
    <t>Smart, J. J. C. (John Jamieson Carswell), 1920-2012, editor.</t>
  </si>
  <si>
    <t>New York, Macmillan [1964]</t>
  </si>
  <si>
    <t>Problems of philosophy series</t>
  </si>
  <si>
    <t>351113846:eng</t>
  </si>
  <si>
    <t>530960</t>
  </si>
  <si>
    <t>ocm00530960</t>
  </si>
  <si>
    <t>3000565106$</t>
  </si>
  <si>
    <t>791405401</t>
  </si>
  <si>
    <t>QC6 S8</t>
  </si>
  <si>
    <t>0                      QC 0006000S  8</t>
  </si>
  <si>
    <t>Four lectures on relativity and space / by Charles Proteus Steinmetz ...</t>
  </si>
  <si>
    <t>Steinmetz, Charles Proteus, 1865-1923.</t>
  </si>
  <si>
    <t>New York : McGraw-Hill Book Company, Inc., 1923.</t>
  </si>
  <si>
    <t>970325:eng</t>
  </si>
  <si>
    <t>992066</t>
  </si>
  <si>
    <t>ocm00992066</t>
  </si>
  <si>
    <t>30006908068</t>
  </si>
  <si>
    <t>791520228</t>
  </si>
  <si>
    <t>QC6 S914</t>
  </si>
  <si>
    <t>0                      QC 0006000S  914</t>
  </si>
  <si>
    <t>Space and time / Richard Swinburne.</t>
  </si>
  <si>
    <t>Swinburne, Richard.</t>
  </si>
  <si>
    <t>London ; Melbourne : Macmillan ; New York : St. Martin's Press, ©1968.</t>
  </si>
  <si>
    <t>2019-05-18</t>
  </si>
  <si>
    <t>1539375:eng</t>
  </si>
  <si>
    <t>395691</t>
  </si>
  <si>
    <t>ocm00395691</t>
  </si>
  <si>
    <t>3000515005Z</t>
  </si>
  <si>
    <t>791364356</t>
  </si>
  <si>
    <t>QC6 T35 1992</t>
  </si>
  <si>
    <t>0                      QC 0006000T  35          1992</t>
  </si>
  <si>
    <t>Spacetime physics : introduction to special relativity / Edwin F. Taylor, John Archibald Wheeler.</t>
  </si>
  <si>
    <t>Taylor, Edwin F.</t>
  </si>
  <si>
    <t>New York : W.H. Freeman, ©1992.</t>
  </si>
  <si>
    <t>4160573697:eng</t>
  </si>
  <si>
    <t>25165077</t>
  </si>
  <si>
    <t>ocm25165077</t>
  </si>
  <si>
    <t>3103559960P</t>
  </si>
  <si>
    <t>9780716723271</t>
  </si>
  <si>
    <t>793213621</t>
  </si>
  <si>
    <t>QC6 W3 1938</t>
  </si>
  <si>
    <t>0                      QC 0006000W  3           1938</t>
  </si>
  <si>
    <t>On understanding physics / by W.H. Watson.</t>
  </si>
  <si>
    <t>Watson, W. H. (William Heriot), 1899-</t>
  </si>
  <si>
    <t>Cambridge [England] : University Press, 1938.</t>
  </si>
  <si>
    <t>1849389:eng</t>
  </si>
  <si>
    <t>911173</t>
  </si>
  <si>
    <t>ocm00911173</t>
  </si>
  <si>
    <t>3000363399J</t>
  </si>
  <si>
    <t>791500185</t>
  </si>
  <si>
    <t>QC6 W55</t>
  </si>
  <si>
    <t>0                      QC 0006000W  55</t>
  </si>
  <si>
    <t>Space-time-matter / by Hermann Weyl ; translated from the German by Henry L. Brose.</t>
  </si>
  <si>
    <t>Weyl, Hermann, 1885-1955.</t>
  </si>
  <si>
    <t>New York : Dover, 1922.</t>
  </si>
  <si>
    <t>2010-03-20</t>
  </si>
  <si>
    <t>4918599409:eng</t>
  </si>
  <si>
    <t>1049832</t>
  </si>
  <si>
    <t>ocm01049832</t>
  </si>
  <si>
    <t>3000405516N</t>
  </si>
  <si>
    <t>791534193</t>
  </si>
  <si>
    <t>QC6 W57</t>
  </si>
  <si>
    <t>0                      QC 0006000W  57</t>
  </si>
  <si>
    <t>The principle of relativity with applications to physical science / by A.N. Whitehead.</t>
  </si>
  <si>
    <t>Cambridge [England]: The University Press, 1922.</t>
  </si>
  <si>
    <t>1345106:eng</t>
  </si>
  <si>
    <t>6495266</t>
  </si>
  <si>
    <t>ocm06495266</t>
  </si>
  <si>
    <t>3000545075X</t>
  </si>
  <si>
    <t>792503786</t>
  </si>
  <si>
    <t>31002203616</t>
  </si>
  <si>
    <t>792503787</t>
  </si>
  <si>
    <t>QC6.2 D84 1996</t>
  </si>
  <si>
    <t>0                      QC 0006200D  84          1996</t>
  </si>
  <si>
    <t>Essays in the history and philosophy of science / translated and edited, with introduction, by Roger Ariew and Peter Barker.</t>
  </si>
  <si>
    <t>Indianapolis : Hackett Pub. Co., ©1996.</t>
  </si>
  <si>
    <t>8908646729:eng</t>
  </si>
  <si>
    <t>33968944</t>
  </si>
  <si>
    <t>ocm33968944</t>
  </si>
  <si>
    <t>3101742016W</t>
  </si>
  <si>
    <t>9780872203082</t>
  </si>
  <si>
    <t>793415282</t>
  </si>
  <si>
    <t>QC6.4 C3 C374 2007</t>
  </si>
  <si>
    <t>0                      QC 0006400C  3                  C  374         2007</t>
  </si>
  <si>
    <t>Causation, physics, and the constitution of reality : Russell's republic revisited / edited by Huw Price and Richard Corry.</t>
  </si>
  <si>
    <t>Oxford : Clarendon Press ; New York : Oxford University Press, 2007.</t>
  </si>
  <si>
    <t>1059975645:eng</t>
  </si>
  <si>
    <t>73954025</t>
  </si>
  <si>
    <t>ocm73954025</t>
  </si>
  <si>
    <t>3102569228J</t>
  </si>
  <si>
    <t>9780199278190</t>
  </si>
  <si>
    <t>794171618</t>
  </si>
  <si>
    <t>QC6.4 D46 E27 1986</t>
  </si>
  <si>
    <t>0                      QC 0006400D  46                 E  27          1986</t>
  </si>
  <si>
    <t>A primer on determinism / John Earman.</t>
  </si>
  <si>
    <t>Earman, John.</t>
  </si>
  <si>
    <t>Dordrecht ; Boston : D. Reidel Pub. Co. ; Norwell, MA, U.S.A. : Sold and distributed in the U.S.A. and Canada by Kluwer Academic, ©1986.</t>
  </si>
  <si>
    <t>University of Western Ontario series in philosophy of science ; v. 32</t>
  </si>
  <si>
    <t>6982548:eng</t>
  </si>
  <si>
    <t>13859390</t>
  </si>
  <si>
    <t>ocm13859390</t>
  </si>
  <si>
    <t>3000474802M</t>
  </si>
  <si>
    <t>9789027722409</t>
  </si>
  <si>
    <t>792869508</t>
  </si>
  <si>
    <t>QC7 A85 1991</t>
  </si>
  <si>
    <t>0                      QC 0007000A  85          1991</t>
  </si>
  <si>
    <t>Averroes' questions in physics : from the unpublished Sêfer ha-derûšîm ha-tibʼîyîm / translated and edited by Helen Tunik Goldstein.</t>
  </si>
  <si>
    <t>Averroës, 1126-1198.</t>
  </si>
  <si>
    <t>The new synthese historical library : texts and studies in the history of philosophy ; v. 39</t>
  </si>
  <si>
    <t>836733785:eng</t>
  </si>
  <si>
    <t>22451163</t>
  </si>
  <si>
    <t>ocm22451163</t>
  </si>
  <si>
    <t>3100484234H</t>
  </si>
  <si>
    <t>9780792309970</t>
  </si>
  <si>
    <t>793144505</t>
  </si>
  <si>
    <t>QC7 H4 1961</t>
  </si>
  <si>
    <t>0                      QC 0007000H  4           1961</t>
  </si>
  <si>
    <t>Forces and fields; the concept of action at a distance in the history of physics.</t>
  </si>
  <si>
    <t>London, New York, Nelson [©1961]</t>
  </si>
  <si>
    <t>1258856:eng</t>
  </si>
  <si>
    <t>531071</t>
  </si>
  <si>
    <t>ocm00531071</t>
  </si>
  <si>
    <t>3000703323N</t>
  </si>
  <si>
    <t>791405449</t>
  </si>
  <si>
    <t>QC7 M6</t>
  </si>
  <si>
    <t>0                      QC 0007000M  6</t>
  </si>
  <si>
    <t>Le développement de la physique cartésienne, 1646-1712, par Paul Mouy ...</t>
  </si>
  <si>
    <t>Mouy, Paul.</t>
  </si>
  <si>
    <t>Paris, J. Vrin, 1934.</t>
  </si>
  <si>
    <t>Bibliothèque d'histoire de la philosophie</t>
  </si>
  <si>
    <t>365357243:fre</t>
  </si>
  <si>
    <t>2429933</t>
  </si>
  <si>
    <t>ocm02429933</t>
  </si>
  <si>
    <t>3000721603F</t>
  </si>
  <si>
    <t>792120955</t>
  </si>
  <si>
    <t>QC8 E53</t>
  </si>
  <si>
    <t>0                      QC 0008000E  53</t>
  </si>
  <si>
    <t>Sidelights on relativity, by Albert Einstein ... I. Ether and relativity. II. Geometry and experience, tr. by G.B. Jeffery, D. Sc., and W. Perrett, Ph. D.</t>
  </si>
  <si>
    <t>London, Methuen &amp; Co. [1922]</t>
  </si>
  <si>
    <t>1467579:eng</t>
  </si>
  <si>
    <t>919416</t>
  </si>
  <si>
    <t>ocm00919416</t>
  </si>
  <si>
    <t>3100241219T</t>
  </si>
  <si>
    <t>791502239</t>
  </si>
  <si>
    <t>QC9 G3 B48</t>
  </si>
  <si>
    <t>0                      QC 0009000G  3                  B  48</t>
  </si>
  <si>
    <t>Scientists under Hitler : politics and the physics community in the Third Reich / Alan D. Beyerchen.</t>
  </si>
  <si>
    <t>Beyerchen, Alan, 1945-</t>
  </si>
  <si>
    <t>New Haven : Yale University Press, 1977.</t>
  </si>
  <si>
    <t>2016-04-01</t>
  </si>
  <si>
    <t>364473209:eng</t>
  </si>
  <si>
    <t>2818271</t>
  </si>
  <si>
    <t>ocm02818271</t>
  </si>
  <si>
    <t>3102796355W</t>
  </si>
  <si>
    <t>9780300018301</t>
  </si>
  <si>
    <t>792180602</t>
  </si>
  <si>
    <t>QC9 G3 P495 2012</t>
  </si>
  <si>
    <t>0                      QC 0009000G  3                  P  495         2012</t>
  </si>
  <si>
    <t>Physik um 1800 : Kunst, Naturwissenschaft oder Philosophie? / Olaf Breidbach, Roswitha Burwick (Hrsg.).</t>
  </si>
  <si>
    <t>München : Fink, 2012.</t>
  </si>
  <si>
    <t>Laboratorium Aufklärung ; Bd. 5</t>
  </si>
  <si>
    <t>1166778321:ger</t>
  </si>
  <si>
    <t>808420772</t>
  </si>
  <si>
    <t>ocn808420772</t>
  </si>
  <si>
    <t>3103472479P</t>
  </si>
  <si>
    <t>9783770549115</t>
  </si>
  <si>
    <t>794927617</t>
  </si>
  <si>
    <t>QC9 G3 P94 1985</t>
  </si>
  <si>
    <t>0                      QC 0009000G  3                  P  94          1985</t>
  </si>
  <si>
    <t>Cultural imperialism and exact sciences : German expansion overseas, 1900-1930 / Lewis Pyenson.</t>
  </si>
  <si>
    <t>New York : P. Lang, ©1985.</t>
  </si>
  <si>
    <t>Studies in history and culture ; vol. 1</t>
  </si>
  <si>
    <t>4630786:eng</t>
  </si>
  <si>
    <t>11785248</t>
  </si>
  <si>
    <t>ocm11785248</t>
  </si>
  <si>
    <t>30003778317</t>
  </si>
  <si>
    <t>9780820401591</t>
  </si>
  <si>
    <t>792787784</t>
  </si>
  <si>
    <t>QC9 G3 S75 1984</t>
  </si>
  <si>
    <t>0                      QC 0009000G  3                  S  75          1984</t>
  </si>
  <si>
    <t>Zur Entstehung des modernen Systems wissenschaftlicher Disziplinen : Physik in Deutschland, 1740-1890 / Rudolf Stichweh.</t>
  </si>
  <si>
    <t>Stichweh, Rudolf, 1951-</t>
  </si>
  <si>
    <t>Frankfurt am Main : Suhrkamp, 1984.</t>
  </si>
  <si>
    <t>796144239:ger</t>
  </si>
  <si>
    <t>11780160</t>
  </si>
  <si>
    <t>ocm11780160</t>
  </si>
  <si>
    <t>30003792808</t>
  </si>
  <si>
    <t>9783518576885</t>
  </si>
  <si>
    <t>792787279</t>
  </si>
  <si>
    <t>QC15 P469 2016</t>
  </si>
  <si>
    <t>0                      QC 0015000P  469         2016</t>
  </si>
  <si>
    <t>Physics in a mad world : Houtermans, Golfand / editor, M. Shifman ; translated from Russian by James Manteith.</t>
  </si>
  <si>
    <t>Singapore ; Hackensack, NJ : World Scientific, [2016]</t>
  </si>
  <si>
    <t>2017-12-02</t>
  </si>
  <si>
    <t>2869034367:eng</t>
  </si>
  <si>
    <t>890435948</t>
  </si>
  <si>
    <t>ocn890435948</t>
  </si>
  <si>
    <t>3103655173N</t>
  </si>
  <si>
    <t>9789814619288</t>
  </si>
  <si>
    <t>794979222</t>
  </si>
  <si>
    <t>QC16 B45 G8</t>
  </si>
  <si>
    <t>0                      QC 0016000B  45                 G  8</t>
  </si>
  <si>
    <t>Bergson and the evolution of physics / edited and translated by P.A.Y. Gunter.</t>
  </si>
  <si>
    <t>Gunter, P. A. Y. (Pete Addison Y.), 1936- compiler.</t>
  </si>
  <si>
    <t>Knoxville : University of Tennessee Press, 1969.</t>
  </si>
  <si>
    <t>4495194323:eng</t>
  </si>
  <si>
    <t>54870</t>
  </si>
  <si>
    <t>ocm00054870</t>
  </si>
  <si>
    <t>3000556867Q</t>
  </si>
  <si>
    <t>9780870490927</t>
  </si>
  <si>
    <t>791240991</t>
  </si>
  <si>
    <t>QC16 B77 R38 1992</t>
  </si>
  <si>
    <t>0                      QC 0016000B  77                 R  38          1992</t>
  </si>
  <si>
    <t>Harriet Brooks : pioneer nuclear scientist / Marelene F. Rayner-Canham, Geoffrey W. Rayner-Canham.</t>
  </si>
  <si>
    <t>Rayner-Canham, Marelene F., author.</t>
  </si>
  <si>
    <t>Montréal ; Buffalo : McGill-Queen's University Press, ©1992.</t>
  </si>
  <si>
    <t>2018-03-19</t>
  </si>
  <si>
    <t>29303690:eng</t>
  </si>
  <si>
    <t>26858162</t>
  </si>
  <si>
    <t>ocm26858162</t>
  </si>
  <si>
    <t>3100977781I</t>
  </si>
  <si>
    <t>9780773508811</t>
  </si>
  <si>
    <t>793253927</t>
  </si>
  <si>
    <t>2014-06-17</t>
  </si>
  <si>
    <t>3100977782G</t>
  </si>
  <si>
    <t>793253926</t>
  </si>
  <si>
    <t>QC16 D57 F37 2009b</t>
  </si>
  <si>
    <t>0                      QC 0016000D  57                 F  37          2009b</t>
  </si>
  <si>
    <t>The strangest man : the hidden life of Paul Dirac, mystic of the atom / Graham Farmelo.</t>
  </si>
  <si>
    <t>Farmelo, Graham.</t>
  </si>
  <si>
    <t>New York : Basic Books, 2009.</t>
  </si>
  <si>
    <t>4917572024:eng</t>
  </si>
  <si>
    <t>426938310</t>
  </si>
  <si>
    <t>ocn426938310</t>
  </si>
  <si>
    <t>3103355953I</t>
  </si>
  <si>
    <t>9780465018277</t>
  </si>
  <si>
    <t>794516394</t>
  </si>
  <si>
    <t>31031321484</t>
  </si>
  <si>
    <t>794516395</t>
  </si>
  <si>
    <t>QC16 E5 A4 1972</t>
  </si>
  <si>
    <t>0                      QC 0016000E  5                  A  4           1972</t>
  </si>
  <si>
    <t>Correspondance, 1903-1955 / Albert Einstein, Michele Besso ; traduction, notes et introduction de Pierre Speziali.</t>
  </si>
  <si>
    <t>Paris : Hermann, 1972.</t>
  </si>
  <si>
    <t>Histoire de la pensée ; 17</t>
  </si>
  <si>
    <t>1746774:fre</t>
  </si>
  <si>
    <t>728621</t>
  </si>
  <si>
    <t>ocm00728621</t>
  </si>
  <si>
    <t>3000409199Q</t>
  </si>
  <si>
    <t>791456539</t>
  </si>
  <si>
    <t>QC16 E5 A4513 1971</t>
  </si>
  <si>
    <t>0                      QC 0016000E  5                  A  4513        1971</t>
  </si>
  <si>
    <t>The Born-Einstein letters: correspondence between Albert Einstein and Max and Hedwig Born from 1916-1955, with commentaries by Max Born; translated [from the German] by Irene Born.</t>
  </si>
  <si>
    <t>London, Macmillan, 1971.</t>
  </si>
  <si>
    <t>2010-06-09</t>
  </si>
  <si>
    <t>9964557857:eng</t>
  </si>
  <si>
    <t>200309</t>
  </si>
  <si>
    <t>ocm00200309</t>
  </si>
  <si>
    <t>3000524530F</t>
  </si>
  <si>
    <t>9780333112670</t>
  </si>
  <si>
    <t>791291789</t>
  </si>
  <si>
    <t>QC16 E5 A5 2005 CD</t>
  </si>
  <si>
    <t>0                      QC 0016000E  5                  A  5           2005                  CD</t>
  </si>
  <si>
    <t>Albert Einstein : historic recordings, 1930-1947.</t>
  </si>
  <si>
    <t>CD*</t>
  </si>
  <si>
    <t>London : British Library, 2005.</t>
  </si>
  <si>
    <t>796440547:eng</t>
  </si>
  <si>
    <t>60336442</t>
  </si>
  <si>
    <t>ocm60336442</t>
  </si>
  <si>
    <t>3103442183A</t>
  </si>
  <si>
    <t>Audiobook_CD</t>
  </si>
  <si>
    <t>9780712305211</t>
  </si>
  <si>
    <t>793935492</t>
  </si>
  <si>
    <t>QC16 E5 F73x 1947</t>
  </si>
  <si>
    <t>0                      QC 0016000E  5                  F  73x         1947</t>
  </si>
  <si>
    <t>Einstein : his life and times / by Philipp Frank ; translated from a German manuscript by George Rosen, edited and revised by Shuichi Kusaka.</t>
  </si>
  <si>
    <t>Frank, Philipp, 1884-1966.</t>
  </si>
  <si>
    <t>New York : A.A. Knopf, 1947.</t>
  </si>
  <si>
    <t>1536461:eng</t>
  </si>
  <si>
    <t>394650</t>
  </si>
  <si>
    <t>ocm00394650</t>
  </si>
  <si>
    <t>3001160066U</t>
  </si>
  <si>
    <t>791363980</t>
  </si>
  <si>
    <t>QC16 E5 H54 1994</t>
  </si>
  <si>
    <t>0                      QC 0016000E  5                  H  54          1994</t>
  </si>
  <si>
    <t>The private lives of Albert Einstein / Roger Highfield, Paul Carter.</t>
  </si>
  <si>
    <t>Highfield, Roger.</t>
  </si>
  <si>
    <t>New York : St. Martin's Press, 1994 [©1993]</t>
  </si>
  <si>
    <t>23397607:eng</t>
  </si>
  <si>
    <t>29702990</t>
  </si>
  <si>
    <t>ocm29702990</t>
  </si>
  <si>
    <t>3101310737F</t>
  </si>
  <si>
    <t>9780312110475</t>
  </si>
  <si>
    <t>793318804</t>
  </si>
  <si>
    <t>QC16 E5 P26 1982</t>
  </si>
  <si>
    <t>0                      QC 0016000E  5                  P  26          1982</t>
  </si>
  <si>
    <t>"Subtle is the Lord-- " : the science and the life of Albert Einstein / Abraham Pais.</t>
  </si>
  <si>
    <t>Pais, Abraham, 1918-2000.</t>
  </si>
  <si>
    <t>Oxford [Oxfordshire] ; New York : Oxford University Press, 1982.</t>
  </si>
  <si>
    <t>31465510:eng</t>
  </si>
  <si>
    <t>8195995</t>
  </si>
  <si>
    <t>ocm08195995</t>
  </si>
  <si>
    <t>30003390536</t>
  </si>
  <si>
    <t>9780198539070</t>
  </si>
  <si>
    <t>792604972</t>
  </si>
  <si>
    <t>QC16 E5 R93 2017</t>
  </si>
  <si>
    <t>0                      QC 0016000E  5                  R  93          2017</t>
  </si>
  <si>
    <t>Einstein / Thomas Ryckman.</t>
  </si>
  <si>
    <t>Ryckman, Thomas, author.</t>
  </si>
  <si>
    <t>London ; New York : Routledge, Taylor &amp; Francis Group, 2017.</t>
  </si>
  <si>
    <t>Routledge Philosophers</t>
  </si>
  <si>
    <t>4219650722:eng</t>
  </si>
  <si>
    <t>897502685</t>
  </si>
  <si>
    <t>ocn897502685</t>
  </si>
  <si>
    <t>3103748599A</t>
  </si>
  <si>
    <t>9780415773263</t>
  </si>
  <si>
    <t>794985226</t>
  </si>
  <si>
    <t>QC16 E5 W48 1993</t>
  </si>
  <si>
    <t>0                      QC 0016000E  5                  W  48          1993</t>
  </si>
  <si>
    <t>Einstein : a life in science / Michael White and John Gribbin.</t>
  </si>
  <si>
    <t>London ; New York : Simon &amp; Schuster, 1993.</t>
  </si>
  <si>
    <t>2018-01-21</t>
  </si>
  <si>
    <t>16971320:eng</t>
  </si>
  <si>
    <t>31754938</t>
  </si>
  <si>
    <t>ocm31754938</t>
  </si>
  <si>
    <t>31038740922</t>
  </si>
  <si>
    <t>9780671711702</t>
  </si>
  <si>
    <t>793367367</t>
  </si>
  <si>
    <t>QC16 E513 A4 2003</t>
  </si>
  <si>
    <t>0                      QC 0016000E  513                A  4           2003</t>
  </si>
  <si>
    <t>In Albert's shadow : the life and letters of Mileva Maric, Einstein's first wife / edited by Milan Popović.</t>
  </si>
  <si>
    <t>Einstein-Marić, Mileva, 1875-1948.</t>
  </si>
  <si>
    <t>Baltimore : Johns Hopkins University Press, 2003.</t>
  </si>
  <si>
    <t>905363137:eng</t>
  </si>
  <si>
    <t>52302206</t>
  </si>
  <si>
    <t>ocm52302206</t>
  </si>
  <si>
    <t>31023293663</t>
  </si>
  <si>
    <t>9780801878565</t>
  </si>
  <si>
    <t>793803068</t>
  </si>
  <si>
    <t>QC16 F2 F37 1985</t>
  </si>
  <si>
    <t>0                      QC 0016000F  2                  F  37          1985</t>
  </si>
  <si>
    <t>Faraday rediscovered : essays on the life and work of Michael Faraday, 1791-1867 / edited and introduced by David Gooding, Frank A.J.L. James.</t>
  </si>
  <si>
    <t>Basingstoke, Hants, England : Macmillan Press ; New York, NY : Stockton Press, 1985.</t>
  </si>
  <si>
    <t>836673220:eng</t>
  </si>
  <si>
    <t>12665548</t>
  </si>
  <si>
    <t>ocm12665548</t>
  </si>
  <si>
    <t>3000375535L</t>
  </si>
  <si>
    <t>9780943818917</t>
  </si>
  <si>
    <t>792823006</t>
  </si>
  <si>
    <t>QC16 F49 A3 2006</t>
  </si>
  <si>
    <t>0                      QC 0016000F  49                 A  3           2006</t>
  </si>
  <si>
    <t>Classic Feynman : all the adventures of a curious character / Richard P. Feynman ; edited by Ralph Leighton.</t>
  </si>
  <si>
    <t>CD-ROM</t>
  </si>
  <si>
    <t>Feynman, Richard P. (Richard Phillips), 1918-1988.</t>
  </si>
  <si>
    <t>New York : W.W. Norton, ©2006.</t>
  </si>
  <si>
    <t>2012-02-06</t>
  </si>
  <si>
    <t>2017-01-30</t>
  </si>
  <si>
    <t>881655217:eng</t>
  </si>
  <si>
    <t>60798482</t>
  </si>
  <si>
    <t>ocm60798482</t>
  </si>
  <si>
    <t>3102458806K</t>
  </si>
  <si>
    <t>9780393061321</t>
  </si>
  <si>
    <t>793944118</t>
  </si>
  <si>
    <t>3102496506H</t>
  </si>
  <si>
    <t>793944117</t>
  </si>
  <si>
    <t>QC16 F49 A37 1997</t>
  </si>
  <si>
    <t>0                      QC 0016000F  49                 A  37          1997</t>
  </si>
  <si>
    <t>Surely you're joking, Mr. Feynman! : adventures of a curious character / Richard P. Feynman as told to Ralph Leighton ; edited by Edward Hutchings.</t>
  </si>
  <si>
    <t>New York : W.W. Norton, 1997.</t>
  </si>
  <si>
    <t>2019-10-26</t>
  </si>
  <si>
    <t>3855465740:eng</t>
  </si>
  <si>
    <t>37123233</t>
  </si>
  <si>
    <t>ocm37123233</t>
  </si>
  <si>
    <t>31029112667</t>
  </si>
  <si>
    <t>9780393316049</t>
  </si>
  <si>
    <t>793491197</t>
  </si>
  <si>
    <t>QC16 I64 A313</t>
  </si>
  <si>
    <t>0                      QC 0016000I  64                 A  313</t>
  </si>
  <si>
    <t>Why I left Canada : reflections on science and politics / Leopold Infeld ; translated by Helen Infeld ; edited with introd. and notes by Lewis Pyenson.</t>
  </si>
  <si>
    <t>Infeld, Leopold, 1898-1968.</t>
  </si>
  <si>
    <t>Montreal : McGill-Queen's University Press, 1978.</t>
  </si>
  <si>
    <t>2005-06-10</t>
  </si>
  <si>
    <t>2015-01-08</t>
  </si>
  <si>
    <t>2452903692:eng</t>
  </si>
  <si>
    <t>4275589</t>
  </si>
  <si>
    <t>ocm04275589</t>
  </si>
  <si>
    <t>3103874102P</t>
  </si>
  <si>
    <t>9780773502727</t>
  </si>
  <si>
    <t>792337324</t>
  </si>
  <si>
    <t>QC16 L25 D6</t>
  </si>
  <si>
    <t>0                      QC 0016000L  25                 D  6</t>
  </si>
  <si>
    <t>The man they wouldn't let die.</t>
  </si>
  <si>
    <t>Dorozynski, Alexandre, 1931-</t>
  </si>
  <si>
    <t>New York, Macmillan [1965]</t>
  </si>
  <si>
    <t>1543653:eng</t>
  </si>
  <si>
    <t>530629</t>
  </si>
  <si>
    <t>ocm00530629</t>
  </si>
  <si>
    <t>3000555651H</t>
  </si>
  <si>
    <t>791405323</t>
  </si>
  <si>
    <t>QC16 L6 A4 1932</t>
  </si>
  <si>
    <t>0                      QC 0016000L  6                  A  4           1932</t>
  </si>
  <si>
    <t>Letters from Sir Oliver Lodge, psychical, religious, scientific and personal, with a foreword by Sir Oliver; compiled and annotated by J. Arthur Hill ... with four plates.</t>
  </si>
  <si>
    <t>Lodge, Oliver, Sir, 1851-1940.</t>
  </si>
  <si>
    <t>London Cassell and Company, Ltd. [1932]</t>
  </si>
  <si>
    <t>146632739:eng</t>
  </si>
  <si>
    <t>1380694</t>
  </si>
  <si>
    <t>ocm01380694</t>
  </si>
  <si>
    <t>3103577873O</t>
  </si>
  <si>
    <t>791613859</t>
  </si>
  <si>
    <t>QC16 M24 U24 2001</t>
  </si>
  <si>
    <t>0                      QC 0016000M  24                 U  24          2001</t>
  </si>
  <si>
    <t>Über Schall : Ernst Machs und Peter Salchers Geschossfotografien / herausgegeben von Christoph Hoffmann und Peter Berz.</t>
  </si>
  <si>
    <t>Göttingen : Wallstein, ©2001.</t>
  </si>
  <si>
    <t>36869448:ger</t>
  </si>
  <si>
    <t>48057986</t>
  </si>
  <si>
    <t>ocm48057986</t>
  </si>
  <si>
    <t>31026064732</t>
  </si>
  <si>
    <t>9783892444558</t>
  </si>
  <si>
    <t>793714919</t>
  </si>
  <si>
    <t>QC16 M34 D8 1972</t>
  </si>
  <si>
    <t>0                      QC 0016000M  34                 D  8           1972</t>
  </si>
  <si>
    <t>Robert Mayer : der Galilei des neunzehnten Jahrhunderts und die Gelehrtenunthaten gegen bahnbrechende Wissenschaftsgrössen.</t>
  </si>
  <si>
    <t>Dühring, E. (Eugen), 1833-1921.</t>
  </si>
  <si>
    <t>Darmstadt : Wissenschaftliche Buchgesellschaft, 1972.</t>
  </si>
  <si>
    <t>10177313117:ger</t>
  </si>
  <si>
    <t>222956477</t>
  </si>
  <si>
    <t>ocn222956477</t>
  </si>
  <si>
    <t>30004047827</t>
  </si>
  <si>
    <t>794333639</t>
  </si>
  <si>
    <t>QC16 M345 M37 1986</t>
  </si>
  <si>
    <t>0                      QC 0016000M  345                M  37          1986</t>
  </si>
  <si>
    <t>Mariotte, savant et philosophe (+ 1684) : analyse d'une renommée : [actes du colloque international ... février 1985].</t>
  </si>
  <si>
    <t>Paris : Vrin, 1986.</t>
  </si>
  <si>
    <t>L'histoire des sciences.textes et études</t>
  </si>
  <si>
    <t>345914851:fre</t>
  </si>
  <si>
    <t>416380761</t>
  </si>
  <si>
    <t>ocn416380761</t>
  </si>
  <si>
    <t>3100241235V</t>
  </si>
  <si>
    <t>9782711609222</t>
  </si>
  <si>
    <t>794500741</t>
  </si>
  <si>
    <t>QC16 M44 H4 1925</t>
  </si>
  <si>
    <t>0                      QC 0016000M  44                 H  4           1925</t>
  </si>
  <si>
    <t>J. Robert Mayer und das Gesetz von der Erhaltung der Energie.</t>
  </si>
  <si>
    <t>Hell, Bernhard, 1877-</t>
  </si>
  <si>
    <t>Stuttgart, F. Frommann, 1925.</t>
  </si>
  <si>
    <t>9737827880:ger</t>
  </si>
  <si>
    <t>2340492</t>
  </si>
  <si>
    <t>ocm02340492</t>
  </si>
  <si>
    <t>3100759079C</t>
  </si>
  <si>
    <t>792106346</t>
  </si>
  <si>
    <t>QC16 N7 A4</t>
  </si>
  <si>
    <t>0                      QC 0016000N  7                  A  4</t>
  </si>
  <si>
    <t>The correspondence of Isaac Newton / edited by H.W. Turnbull.</t>
  </si>
  <si>
    <t>Newton, Isaac, 1642-1727.</t>
  </si>
  <si>
    <t>Cambridge [England] Published for the Royal Society at the University Press, 1959-77.</t>
  </si>
  <si>
    <t>5463504947:eng</t>
  </si>
  <si>
    <t>530619</t>
  </si>
  <si>
    <t>ocm00530619</t>
  </si>
  <si>
    <t>3101141073U</t>
  </si>
  <si>
    <t>9780521087223</t>
  </si>
  <si>
    <t>791405313</t>
  </si>
  <si>
    <t>3103109605L</t>
  </si>
  <si>
    <t>791405316</t>
  </si>
  <si>
    <t>3101141127X</t>
  </si>
  <si>
    <t>791405315</t>
  </si>
  <si>
    <t>3101141078K</t>
  </si>
  <si>
    <t>791405314</t>
  </si>
  <si>
    <t>3000442380D</t>
  </si>
  <si>
    <t>791405318</t>
  </si>
  <si>
    <t>3102070654X</t>
  </si>
  <si>
    <t>791405317</t>
  </si>
  <si>
    <t>QC16 N7 A56</t>
  </si>
  <si>
    <t>0                      QC 0016000N  7                  A  56</t>
  </si>
  <si>
    <t>Sir Isaac Newton, by E.N. da C. Andrade.</t>
  </si>
  <si>
    <t>Andrade, E. N. da C. (Edward Neville da Costa), 1887-1971.</t>
  </si>
  <si>
    <t>Garden City, N.Y., Doubleday [1954]</t>
  </si>
  <si>
    <t>Anchor book ; no. 151</t>
  </si>
  <si>
    <t>2003-11-16</t>
  </si>
  <si>
    <t>445982:eng</t>
  </si>
  <si>
    <t>4915751</t>
  </si>
  <si>
    <t>ocm04915751</t>
  </si>
  <si>
    <t>3000083945R</t>
  </si>
  <si>
    <t>792393371</t>
  </si>
  <si>
    <t>3101199292M</t>
  </si>
  <si>
    <t>792393372</t>
  </si>
  <si>
    <t>QC16 N7 A85 2003</t>
  </si>
  <si>
    <t>0                      QC 0016000N  7                  A  85          2003</t>
  </si>
  <si>
    <t>Newton's apple : Isaac Newton and the English scientific Renaissance / Peter Aughton.</t>
  </si>
  <si>
    <t>Aughton, Peter, 1940-</t>
  </si>
  <si>
    <t>London : Weidenfeld &amp; Nicolson, 2003.</t>
  </si>
  <si>
    <t>838297455:eng</t>
  </si>
  <si>
    <t>51965887</t>
  </si>
  <si>
    <t>ocm51965887</t>
  </si>
  <si>
    <t>3102355785P</t>
  </si>
  <si>
    <t>9780297843214</t>
  </si>
  <si>
    <t>793795372</t>
  </si>
  <si>
    <t>QC16 N7 B55</t>
  </si>
  <si>
    <t>0                      QC 0016000N  7                  B  55</t>
  </si>
  <si>
    <t>Newton and Russia : the early influence, 1698-1796 / Valentin Boss.</t>
  </si>
  <si>
    <t>Boss, Valentin, author.</t>
  </si>
  <si>
    <t>Cambridge, Massachusetts : Harvard University Press, 1972.</t>
  </si>
  <si>
    <t>Russian Research Center studies ; 69</t>
  </si>
  <si>
    <t>2016-07-27</t>
  </si>
  <si>
    <t>292962892:eng</t>
  </si>
  <si>
    <t>554212</t>
  </si>
  <si>
    <t>ocm00554212</t>
  </si>
  <si>
    <t>3101120055C</t>
  </si>
  <si>
    <t>9780674622753</t>
  </si>
  <si>
    <t>791412739</t>
  </si>
  <si>
    <t>QC16 N7 B8 1855</t>
  </si>
  <si>
    <t>0                      QC 0016000N  7                  B  8           1855</t>
  </si>
  <si>
    <t>Memoirs of the life, writings and discoveries of Sir Isaac Newton.</t>
  </si>
  <si>
    <t>Brewster, David, 1781-1868.</t>
  </si>
  <si>
    <t>Edinburgh : [publisher not identified], 1855.</t>
  </si>
  <si>
    <t>1855</t>
  </si>
  <si>
    <t>Sources of science. no. 14</t>
  </si>
  <si>
    <t>2001-08-13</t>
  </si>
  <si>
    <t>2019-06-08</t>
  </si>
  <si>
    <t>5612864792:eng</t>
  </si>
  <si>
    <t>427079766</t>
  </si>
  <si>
    <t>ocn427079766</t>
  </si>
  <si>
    <t>31002562237</t>
  </si>
  <si>
    <t>794519391</t>
  </si>
  <si>
    <t>3000498469B</t>
  </si>
  <si>
    <t>794519392</t>
  </si>
  <si>
    <t>QC16 N7 C37</t>
  </si>
  <si>
    <t>0                      QC 0016000N  7                  C  37</t>
  </si>
  <si>
    <t>The expanding force in Newton's cosmos, as shown in his unpublished papers / David Castillejo.</t>
  </si>
  <si>
    <t>Castillejo, David.</t>
  </si>
  <si>
    <t>Madrid : Ediciones de Arte y Bibliofilia, ©1981.</t>
  </si>
  <si>
    <t>2017-02-24</t>
  </si>
  <si>
    <t>31139349:eng</t>
  </si>
  <si>
    <t>8281204</t>
  </si>
  <si>
    <t>ocm08281204</t>
  </si>
  <si>
    <t>3000332454N</t>
  </si>
  <si>
    <t>9788485005499</t>
  </si>
  <si>
    <t>792609434</t>
  </si>
  <si>
    <t>QC16 N7 C67</t>
  </si>
  <si>
    <t>0                      QC 0016000N  7                  C  67</t>
  </si>
  <si>
    <t>Newton at the mint, by Sir John Craig ...</t>
  </si>
  <si>
    <t>Craig, John Herbert McCutcheon, Sir, 1885-</t>
  </si>
  <si>
    <t>Cambridge [England] University Press, 1946.</t>
  </si>
  <si>
    <t>2230872:eng</t>
  </si>
  <si>
    <t>1293032</t>
  </si>
  <si>
    <t>ocm01293032</t>
  </si>
  <si>
    <t>3000412010R</t>
  </si>
  <si>
    <t>791593290</t>
  </si>
  <si>
    <t>QC16 N7 D6</t>
  </si>
  <si>
    <t>0                      QC 0016000N  7                  D  6</t>
  </si>
  <si>
    <t>The foundations of Newton's alchemy : or, "The hunting of the greene lyon" / Betty Jo Teeter Dobbs.</t>
  </si>
  <si>
    <t>Dobbs, Betty Jo Teeter, 1930-1994.</t>
  </si>
  <si>
    <t>Cambridge ; New York : Cambridge University Press, 1975.</t>
  </si>
  <si>
    <t>Cambridge paperback library</t>
  </si>
  <si>
    <t>355757835:eng</t>
  </si>
  <si>
    <t>1418499</t>
  </si>
  <si>
    <t>ocm01418499</t>
  </si>
  <si>
    <t>3000461458W</t>
  </si>
  <si>
    <t>9780521207867</t>
  </si>
  <si>
    <t>791621869</t>
  </si>
  <si>
    <t>QC16 N7 G56 2003</t>
  </si>
  <si>
    <t>0                      QC 0016000N  7                  G  56          2003</t>
  </si>
  <si>
    <t>Isaac Newton / James Gleick.</t>
  </si>
  <si>
    <t>Gleick, James.</t>
  </si>
  <si>
    <t>London ; New York : Fourth Estate, ©2003.</t>
  </si>
  <si>
    <t>3943487296:eng</t>
  </si>
  <si>
    <t>52457129</t>
  </si>
  <si>
    <t>ocm52457129</t>
  </si>
  <si>
    <t>3102929839W</t>
  </si>
  <si>
    <t>9780007163175</t>
  </si>
  <si>
    <t>793806867</t>
  </si>
  <si>
    <t>QC16 N7 M38 1993</t>
  </si>
  <si>
    <t>0                      QC 0016000N  7                  M  38          1993</t>
  </si>
  <si>
    <t>On the shoulders of giants : a Shandean postscript / Robert K. Merton ; with a foreword by Umberto Eco, an afterword by Denis Donoghue, and a preface and postface by the author.</t>
  </si>
  <si>
    <t>Chicago : University of Chicago Press, 1993.</t>
  </si>
  <si>
    <t>Post-Italianate ed., University of Chicago Press ed.</t>
  </si>
  <si>
    <t>57763236:eng</t>
  </si>
  <si>
    <t>27108151</t>
  </si>
  <si>
    <t>ocm27108151</t>
  </si>
  <si>
    <t>31024049689</t>
  </si>
  <si>
    <t>9780226520865</t>
  </si>
  <si>
    <t>793259208</t>
  </si>
  <si>
    <t>QC16 N7 W45 1997</t>
  </si>
  <si>
    <t>0                      QC 0016000N  7                  W  45          1997</t>
  </si>
  <si>
    <t>Isaac Newton : the last sorcerer / Michael White.</t>
  </si>
  <si>
    <t>Reading, Mass. : Addison-Wesley, ©1997.</t>
  </si>
  <si>
    <t>Helix books</t>
  </si>
  <si>
    <t>2017-01-24</t>
  </si>
  <si>
    <t>14051756:eng</t>
  </si>
  <si>
    <t>37696312</t>
  </si>
  <si>
    <t>ocm37696312</t>
  </si>
  <si>
    <t>3101850752Y</t>
  </si>
  <si>
    <t>9780201483017</t>
  </si>
  <si>
    <t>793504979</t>
  </si>
  <si>
    <t>QC16 N7 Z33</t>
  </si>
  <si>
    <t>0                      QC 0016000N  7                  Z  33</t>
  </si>
  <si>
    <t>"Sensorium Dei" dans l'hermétisme et la science / par Jean Zafiropulo et Catherine Monod.</t>
  </si>
  <si>
    <t>Zafiropulo, Jean.</t>
  </si>
  <si>
    <t>Paris : Les Belles lettres, 1976.</t>
  </si>
  <si>
    <t>Collection d'études anciennes</t>
  </si>
  <si>
    <t>5370473:fre</t>
  </si>
  <si>
    <t>2492985</t>
  </si>
  <si>
    <t>ocm02492985</t>
  </si>
  <si>
    <t>3000303904V</t>
  </si>
  <si>
    <t>792134804</t>
  </si>
  <si>
    <t>QC16 O62 B57 2005</t>
  </si>
  <si>
    <t>0                      QC 0016000O  62                 B  57          2005</t>
  </si>
  <si>
    <t>American Prometheus : the triumph and tragedy of J. Robert Oppenheimer / by Kai Bird and Martin J. Sherwin.</t>
  </si>
  <si>
    <t>Bird, Kai.</t>
  </si>
  <si>
    <t>New York : A.A. Knopf, 2005.</t>
  </si>
  <si>
    <t>796425583:eng</t>
  </si>
  <si>
    <t>56753298</t>
  </si>
  <si>
    <t>ocm56753298</t>
  </si>
  <si>
    <t>31033798231</t>
  </si>
  <si>
    <t>9780375412028</t>
  </si>
  <si>
    <t>793901273</t>
  </si>
  <si>
    <t>QC16 O62 M66 2012</t>
  </si>
  <si>
    <t>0                      QC 0016000O  62                 M  66          2012</t>
  </si>
  <si>
    <t>Inside the centre : the life of J. Robert Oppenheimer / Ray Monk.</t>
  </si>
  <si>
    <t>Monk, Ray.</t>
  </si>
  <si>
    <t>London : Jonathan Cape, 2012.</t>
  </si>
  <si>
    <t>10141874446:eng</t>
  </si>
  <si>
    <t>819300105</t>
  </si>
  <si>
    <t>ocn819300105</t>
  </si>
  <si>
    <t>3103457985Z</t>
  </si>
  <si>
    <t>9780224062626</t>
  </si>
  <si>
    <t>794934442</t>
  </si>
  <si>
    <t>QC16 P6 B76 2015</t>
  </si>
  <si>
    <t>0                      QC 0016000P  6                  B  76          2015</t>
  </si>
  <si>
    <t>Planck : driven by vision, broken by war / Brandon R. Brown.</t>
  </si>
  <si>
    <t>Brown, Brandon R.</t>
  </si>
  <si>
    <t>Oxford ; New York : Oxford University Press, [2015]</t>
  </si>
  <si>
    <t>2188281554:eng</t>
  </si>
  <si>
    <t>892895289</t>
  </si>
  <si>
    <t>ocn892895289</t>
  </si>
  <si>
    <t>3103608240C</t>
  </si>
  <si>
    <t>9780190219475</t>
  </si>
  <si>
    <t>794981258</t>
  </si>
  <si>
    <t>QC16 R27 J38 1989</t>
  </si>
  <si>
    <t>0                      QC 0016000R  27                 J  38          1989</t>
  </si>
  <si>
    <t>Chandrasekhara Venkata Raman / A. Jayaraman.</t>
  </si>
  <si>
    <t>Jayaraman, A. (Aiyasami), 1926-</t>
  </si>
  <si>
    <t>New Delhi : Affiliated East-West Press, 1989.</t>
  </si>
  <si>
    <t>23255235:eng</t>
  </si>
  <si>
    <t>21675106</t>
  </si>
  <si>
    <t>ocm21675106</t>
  </si>
  <si>
    <t>31011074673</t>
  </si>
  <si>
    <t>9788185336244</t>
  </si>
  <si>
    <t>793125381</t>
  </si>
  <si>
    <t>QC16 R27 P57 1982</t>
  </si>
  <si>
    <t>0                      QC 0016000R  27                 P  57          1982</t>
  </si>
  <si>
    <t>C.V. Raman / P.R. Pisharoty.</t>
  </si>
  <si>
    <t>Pisharoty, P. R.</t>
  </si>
  <si>
    <t>New Delhi : Publications Division, Ministry of Information and Broadcasting, Govt. of India, 1982.</t>
  </si>
  <si>
    <t>Builders of modern India</t>
  </si>
  <si>
    <t>3381664:eng</t>
  </si>
  <si>
    <t>10275987</t>
  </si>
  <si>
    <t>ocm10275987</t>
  </si>
  <si>
    <t>30003539878</t>
  </si>
  <si>
    <t>792717644</t>
  </si>
  <si>
    <t>- McLennan Basement - A/V Collection - By Request</t>
  </si>
  <si>
    <t>QC16 R44 R44 A-Cass.</t>
  </si>
  <si>
    <t>0                      QC 0016000R  44                 R  44                                A-Cass.</t>
  </si>
  <si>
    <t>Child of the universe.</t>
  </si>
  <si>
    <t>Reeves, Hubert.</t>
  </si>
  <si>
    <t>[Toronto, Ont.] : RadioWorks, ©1995.</t>
  </si>
  <si>
    <t>315400533:eng</t>
  </si>
  <si>
    <t>427986591</t>
  </si>
  <si>
    <t>ocn427986591</t>
  </si>
  <si>
    <t>3101465831Z</t>
  </si>
  <si>
    <t>Audiobook_Cassette</t>
  </si>
  <si>
    <t>794735943</t>
  </si>
  <si>
    <t>QC20 H75</t>
  </si>
  <si>
    <t>0                      QC 0020000H  75</t>
  </si>
  <si>
    <t>Homology and Feynman integrals [by] Rudolph C. Hwa [and] Vigdor L. Teplitz.</t>
  </si>
  <si>
    <t>Hwa, Rudolph C.</t>
  </si>
  <si>
    <t>New York, W.A. Benjamin, 1966.</t>
  </si>
  <si>
    <t>The Mathematical physics monograph series</t>
  </si>
  <si>
    <t>1513151:eng</t>
  </si>
  <si>
    <t>387010</t>
  </si>
  <si>
    <t>ocm00387010</t>
  </si>
  <si>
    <t>30004978399</t>
  </si>
  <si>
    <t>791361284</t>
  </si>
  <si>
    <t>QC20 H913</t>
  </si>
  <si>
    <t>0                      QC 0020000H  913</t>
  </si>
  <si>
    <t>Mathematical and theoretical physics / Egil A. Hylleraas.</t>
  </si>
  <si>
    <t>Hylleraas, Egil A. (Egil Andersen), 1898-1965.</t>
  </si>
  <si>
    <t>New York : Wiley-Interscience, ©1970.</t>
  </si>
  <si>
    <t>2018-03-08</t>
  </si>
  <si>
    <t>1235899:eng</t>
  </si>
  <si>
    <t>117418</t>
  </si>
  <si>
    <t>ocm00117418</t>
  </si>
  <si>
    <t>3100241239N</t>
  </si>
  <si>
    <t>9780471426011</t>
  </si>
  <si>
    <t>791262137</t>
  </si>
  <si>
    <t>3100795500R</t>
  </si>
  <si>
    <t>791262136</t>
  </si>
  <si>
    <t>QC21 B16</t>
  </si>
  <si>
    <t>0                      QC 0021000B  16</t>
  </si>
  <si>
    <t>Physics ; advanced course.</t>
  </si>
  <si>
    <t>too fragile to circulate</t>
  </si>
  <si>
    <t>Barker, George Frederick, 1835-1910.</t>
  </si>
  <si>
    <t>London : [publisher not identified], [1892]</t>
  </si>
  <si>
    <t>365768331:eng</t>
  </si>
  <si>
    <t>427515520</t>
  </si>
  <si>
    <t>ocn427515520</t>
  </si>
  <si>
    <t>3000707270Z</t>
  </si>
  <si>
    <t>794672902</t>
  </si>
  <si>
    <t>QC21.2 B478 2000</t>
  </si>
  <si>
    <t>0                      QC 0021200B  478         2000</t>
  </si>
  <si>
    <t>Modern physics / Jeremy Bernstein, Paul M. Fishbane, Stephen Gasiorowicz.</t>
  </si>
  <si>
    <t>Bernstein, Jeremy, 1929-</t>
  </si>
  <si>
    <t>Upper Saddle River, NJ. : Prentice Hall, ©2000.</t>
  </si>
  <si>
    <t>27871406:eng</t>
  </si>
  <si>
    <t>43118232</t>
  </si>
  <si>
    <t>ocm43118232</t>
  </si>
  <si>
    <t>3103036099O</t>
  </si>
  <si>
    <t>9780139553110</t>
  </si>
  <si>
    <t>793620590</t>
  </si>
  <si>
    <t>31034340948</t>
  </si>
  <si>
    <t>793620589</t>
  </si>
  <si>
    <t>QC21.2 B84</t>
  </si>
  <si>
    <t>0                      QC 0021200B  84</t>
  </si>
  <si>
    <t>Principles of physics/ [by] F. Bueche.</t>
  </si>
  <si>
    <t>Bueche, Frederick J., 1923-2015.</t>
  </si>
  <si>
    <t>New York : McGraw-Hill, [1965]</t>
  </si>
  <si>
    <t>1430537:eng</t>
  </si>
  <si>
    <t>882346</t>
  </si>
  <si>
    <t>ocm00882346</t>
  </si>
  <si>
    <t>3000497693B</t>
  </si>
  <si>
    <t>791494056</t>
  </si>
  <si>
    <t>QC21.2 P35 1986</t>
  </si>
  <si>
    <t>0                      QC 0021200P  35          1986</t>
  </si>
  <si>
    <t>Inward bound : of matter and forces in the physical world / Abraham Pais.</t>
  </si>
  <si>
    <t>Oxford [Oxfordshire] : Clarendon Press ; New York : Oxford University Press, 1986.</t>
  </si>
  <si>
    <t>8064:eng</t>
  </si>
  <si>
    <t>12581763</t>
  </si>
  <si>
    <t>ocm12581763</t>
  </si>
  <si>
    <t>3100678721F</t>
  </si>
  <si>
    <t>9780198519713</t>
  </si>
  <si>
    <t>792819952</t>
  </si>
  <si>
    <t>QC21.3 S467 2019</t>
  </si>
  <si>
    <t>0                      QC 0021300S  467         2019</t>
  </si>
  <si>
    <t>Physics for scientists and engineers / Raymond A. Serway (Emeritus, James Madison University), John W. Jewett, Jr. (Emeritus, California State Polytechnic University, Pomona) ; with contributions from Vahé Peroomian (University of Southern California).</t>
  </si>
  <si>
    <t>Serway, Raymond A, author.</t>
  </si>
  <si>
    <t>Boston, MA, USA : Cengage, [2019]</t>
  </si>
  <si>
    <t>Tenth edition, Student edition.</t>
  </si>
  <si>
    <t>4535572901:eng</t>
  </si>
  <si>
    <t>1030412049</t>
  </si>
  <si>
    <t>on1030412049</t>
  </si>
  <si>
    <t>3103867348L</t>
  </si>
  <si>
    <t>9781337553278</t>
  </si>
  <si>
    <t>795054581</t>
  </si>
  <si>
    <t>QC23 G399 2014</t>
  </si>
  <si>
    <t>0                      QC 0023000G  399         2014</t>
  </si>
  <si>
    <t>Physics : principles with applications / Douglas C. Giancoli.</t>
  </si>
  <si>
    <t>Giancoli, Douglas C.</t>
  </si>
  <si>
    <t>Boston : Pearson, [2014]</t>
  </si>
  <si>
    <t>Seventh edition. AP edition.</t>
  </si>
  <si>
    <t>3875186667:eng</t>
  </si>
  <si>
    <t>853154197</t>
  </si>
  <si>
    <t>ocn853154197</t>
  </si>
  <si>
    <t>31035845695</t>
  </si>
  <si>
    <t>9780321625922</t>
  </si>
  <si>
    <t>794951929</t>
  </si>
  <si>
    <t>31035845625</t>
  </si>
  <si>
    <t>794951926</t>
  </si>
  <si>
    <t>31035845635</t>
  </si>
  <si>
    <t>794951925</t>
  </si>
  <si>
    <t>31035845685</t>
  </si>
  <si>
    <t>794951927</t>
  </si>
  <si>
    <t>31035845655</t>
  </si>
  <si>
    <t>794951930</t>
  </si>
  <si>
    <t>3103584607E</t>
  </si>
  <si>
    <t>794951928</t>
  </si>
  <si>
    <t>31035845645</t>
  </si>
  <si>
    <t>794951923</t>
  </si>
  <si>
    <t>31035845675</t>
  </si>
  <si>
    <t>794951924</t>
  </si>
  <si>
    <t>QC23.2 K65 2013b</t>
  </si>
  <si>
    <t>0                      QC 0023200K  65          2013b</t>
  </si>
  <si>
    <t>Physics for scientists and engineers : a strategic approach : with modern physics / Randall D. Knight.</t>
  </si>
  <si>
    <t>Knight, Randall Dewey, author.</t>
  </si>
  <si>
    <t>Boston ; London : Pearson, [2013]</t>
  </si>
  <si>
    <t>10033454867:eng</t>
  </si>
  <si>
    <t>756279784</t>
  </si>
  <si>
    <t>ocn756279784</t>
  </si>
  <si>
    <t>3103550799O</t>
  </si>
  <si>
    <t>9780321740908</t>
  </si>
  <si>
    <t>794894402</t>
  </si>
  <si>
    <t>31035508042</t>
  </si>
  <si>
    <t>794894404</t>
  </si>
  <si>
    <t>3103550856T</t>
  </si>
  <si>
    <t>794894403</t>
  </si>
  <si>
    <t>3103550851T</t>
  </si>
  <si>
    <t>794894401</t>
  </si>
  <si>
    <t>3103550846V</t>
  </si>
  <si>
    <t>794894400</t>
  </si>
  <si>
    <t>QC28 F4 1965</t>
  </si>
  <si>
    <t>0                      QC 0028000F  4           1965</t>
  </si>
  <si>
    <t>The character of physical law / Richard Feynman.</t>
  </si>
  <si>
    <t>Cambridge, Mass. : M.I.T. Press, 1965.</t>
  </si>
  <si>
    <t>The Messenger lectures ; 1964</t>
  </si>
  <si>
    <t>2019-09-08</t>
  </si>
  <si>
    <t>21033873:eng</t>
  </si>
  <si>
    <t>175060</t>
  </si>
  <si>
    <t>ocm00175060</t>
  </si>
  <si>
    <t>3000515174C</t>
  </si>
  <si>
    <t>9780262060165</t>
  </si>
  <si>
    <t>791281790</t>
  </si>
  <si>
    <t>QC28 H234 2015</t>
  </si>
  <si>
    <t>0                      QC 0028000H  234         2015</t>
  </si>
  <si>
    <t>Slap shot science : a curious fan's guide to hockey / Alain Haché.</t>
  </si>
  <si>
    <t>Haché, Alain, 1970-</t>
  </si>
  <si>
    <t>Baltimore : Johns Hopkins University Press, 2015.</t>
  </si>
  <si>
    <t>2796402926:eng</t>
  </si>
  <si>
    <t>902803186</t>
  </si>
  <si>
    <t>ocn902803186</t>
  </si>
  <si>
    <t>3103608714U</t>
  </si>
  <si>
    <t>9781421417929</t>
  </si>
  <si>
    <t>794988538</t>
  </si>
  <si>
    <t>QC30 W34</t>
  </si>
  <si>
    <t>0                      QC 0030000W  34</t>
  </si>
  <si>
    <t>The teaching of physics / J.W. Warren.</t>
  </si>
  <si>
    <t>Warren, J. W. (John William)</t>
  </si>
  <si>
    <t>London : Butterworths, 1965.</t>
  </si>
  <si>
    <t>282068273:eng</t>
  </si>
  <si>
    <t>1155871</t>
  </si>
  <si>
    <t>ocm01155871</t>
  </si>
  <si>
    <t>30004977011</t>
  </si>
  <si>
    <t>791559314</t>
  </si>
  <si>
    <t>QC32 E64 1995</t>
  </si>
  <si>
    <t>0                      QC 0032000E  64          1995</t>
  </si>
  <si>
    <t>Thinking physics is Gedanken physics / Lewis Carroll Epstein.</t>
  </si>
  <si>
    <t>Epstein, Lewis C.</t>
  </si>
  <si>
    <t>San Francisco, CA : Insight Press, ©1989.</t>
  </si>
  <si>
    <t>2767073:eng</t>
  </si>
  <si>
    <t>20837803</t>
  </si>
  <si>
    <t>ocm20837803</t>
  </si>
  <si>
    <t>3101491226H</t>
  </si>
  <si>
    <t>9780935218060</t>
  </si>
  <si>
    <t>793100995</t>
  </si>
  <si>
    <t>QC39 A4 1992</t>
  </si>
  <si>
    <t>0                      QC 0039000A  4           1992</t>
  </si>
  <si>
    <t>Quantum mechanics and experience / David Z Albert.</t>
  </si>
  <si>
    <t>Albert, David Z.</t>
  </si>
  <si>
    <t>29506084:eng</t>
  </si>
  <si>
    <t>26673636</t>
  </si>
  <si>
    <t>ocm26673636</t>
  </si>
  <si>
    <t>3102997702E</t>
  </si>
  <si>
    <t>9780674741126</t>
  </si>
  <si>
    <t>793249210</t>
  </si>
  <si>
    <t>QC39 B37 2002b</t>
  </si>
  <si>
    <t>0                      QC 0039000B  37          2002b</t>
  </si>
  <si>
    <t>The constants of nature : from Alpha to Omega / John D. Barrow.</t>
  </si>
  <si>
    <t>London : Jonathan Cape, 2002.</t>
  </si>
  <si>
    <t>10177448623:eng</t>
  </si>
  <si>
    <t>50582530</t>
  </si>
  <si>
    <t>ocm50582530</t>
  </si>
  <si>
    <t>31022664314</t>
  </si>
  <si>
    <t>9780224061353</t>
  </si>
  <si>
    <t>793768104</t>
  </si>
  <si>
    <t>QC39 C5</t>
  </si>
  <si>
    <t>0                      QC 0039000C  5</t>
  </si>
  <si>
    <t>Measurement : definitions and theories / edited by C. West Churchman and Philburn Ratoosh.</t>
  </si>
  <si>
    <t>Churchman, C. West (Charles West), 1913-2004.</t>
  </si>
  <si>
    <t>New York : Wiley, 1962.</t>
  </si>
  <si>
    <t>892472721:eng</t>
  </si>
  <si>
    <t>221192205</t>
  </si>
  <si>
    <t>ocn221192205</t>
  </si>
  <si>
    <t>3000548873R</t>
  </si>
  <si>
    <t>794324973</t>
  </si>
  <si>
    <t>QC39 E49</t>
  </si>
  <si>
    <t>0                      QC 0039000E  49</t>
  </si>
  <si>
    <t>Basic concepts of measurement / by Brian Ellis.</t>
  </si>
  <si>
    <t>Ellis, B. D. (Brian David), 1929-</t>
  </si>
  <si>
    <t>Cambridge [England] : University Press, 1966.</t>
  </si>
  <si>
    <t>220746:eng</t>
  </si>
  <si>
    <t>222753</t>
  </si>
  <si>
    <t>ocm00222753</t>
  </si>
  <si>
    <t>31028027109</t>
  </si>
  <si>
    <t>791298495</t>
  </si>
  <si>
    <t>QC39 S24 2010</t>
  </si>
  <si>
    <t>0                      QC 0039000S  24          2010</t>
  </si>
  <si>
    <t>The SAGE handbook of measurement / edited by Geoffrey Walford, Eric Tucker, and Madhu Viswanathan.</t>
  </si>
  <si>
    <t>Los Angeles : SAGE, 2010.</t>
  </si>
  <si>
    <t>2012-05-29</t>
  </si>
  <si>
    <t>9658003904:eng</t>
  </si>
  <si>
    <t>611410643</t>
  </si>
  <si>
    <t>ocn611410643</t>
  </si>
  <si>
    <t>3103238041E</t>
  </si>
  <si>
    <t>9781412948142</t>
  </si>
  <si>
    <t>794821095</t>
  </si>
  <si>
    <t>QC71 F3 1860a</t>
  </si>
  <si>
    <t>0                      QC 0071000F  3           1860a</t>
  </si>
  <si>
    <t>A course of six lectures on the various forces of matter, and their relations to each other / by Michael Faraday ... ; delivered before a juvenile auditory at the Royal Institution of Great Britain during the Christmas holidays of 1859-60 ; edited by William Crookes ... ; with numerous illustrations.</t>
  </si>
  <si>
    <t>Faraday, Michael, 1791-1867.</t>
  </si>
  <si>
    <t>New York : Harper &amp; Brothers ..., 1860.</t>
  </si>
  <si>
    <t>1860</t>
  </si>
  <si>
    <t>2017-10-06</t>
  </si>
  <si>
    <t>4919050233:eng</t>
  </si>
  <si>
    <t>3572148</t>
  </si>
  <si>
    <t>ocm03572148</t>
  </si>
  <si>
    <t>3000711143T</t>
  </si>
  <si>
    <t>792269470</t>
  </si>
  <si>
    <t>QC71 M15 1943</t>
  </si>
  <si>
    <t>0                      QC 0071000M  15          1943</t>
  </si>
  <si>
    <t>Popular scientific lectures. Translated by Thomas McCormack.</t>
  </si>
  <si>
    <t>Mach, Ernst, 1838-1916.</t>
  </si>
  <si>
    <t>La Salle, Ill., Open Court Pub. Co., 1943.</t>
  </si>
  <si>
    <t>1943</t>
  </si>
  <si>
    <t>5th ed. With fifty-nine cuts and diagrams.</t>
  </si>
  <si>
    <t>2542328998:eng</t>
  </si>
  <si>
    <t>1442205</t>
  </si>
  <si>
    <t>ocm01442205</t>
  </si>
  <si>
    <t>3102810710C</t>
  </si>
  <si>
    <t>791627006</t>
  </si>
  <si>
    <t>QC73 D383 1987</t>
  </si>
  <si>
    <t>0                      QC 0073000D  383         1987</t>
  </si>
  <si>
    <t>The cosmic blueprint / Paul Davies.</t>
  </si>
  <si>
    <t>Davies, P. C. W. (Paul Charles William), 1946-</t>
  </si>
  <si>
    <t>London : Heinemann, 1987.</t>
  </si>
  <si>
    <t>2018-05-11</t>
  </si>
  <si>
    <t>5377760642:eng</t>
  </si>
  <si>
    <t>59213974</t>
  </si>
  <si>
    <t>ocm59213974</t>
  </si>
  <si>
    <t>3000532798E</t>
  </si>
  <si>
    <t>9780434177028</t>
  </si>
  <si>
    <t>793928451</t>
  </si>
  <si>
    <t>QC75 O84 2006</t>
  </si>
  <si>
    <t>0                      QC 0075000O  84          2006</t>
  </si>
  <si>
    <t>The physics of the Buffyverse / by Jennifer Ouellette ; illustrations by Paul Dlugokencky.</t>
  </si>
  <si>
    <t>Ouellette, Jennifer.</t>
  </si>
  <si>
    <t>New York : Penguin Books, ©2006.</t>
  </si>
  <si>
    <t>2017-02-11</t>
  </si>
  <si>
    <t>57889594:eng</t>
  </si>
  <si>
    <t>70877904</t>
  </si>
  <si>
    <t>ocm70877904</t>
  </si>
  <si>
    <t>3102595092C</t>
  </si>
  <si>
    <t>9780143038627</t>
  </si>
  <si>
    <t>794160756</t>
  </si>
  <si>
    <t>QC83 K813 1986</t>
  </si>
  <si>
    <t>0                      QC 0083000K  813         1986</t>
  </si>
  <si>
    <t>Measures and men / Witold Kula ; translated by R. Szreter.</t>
  </si>
  <si>
    <t>Kula, Witold.</t>
  </si>
  <si>
    <t>Princeton, N.J. : Princeton University Press, ©1986.</t>
  </si>
  <si>
    <t>2018-03-31</t>
  </si>
  <si>
    <t>1153659682:eng</t>
  </si>
  <si>
    <t>12420547</t>
  </si>
  <si>
    <t>ocm12420547</t>
  </si>
  <si>
    <t>3000372339$</t>
  </si>
  <si>
    <t>9780691054469</t>
  </si>
  <si>
    <t>792815085</t>
  </si>
  <si>
    <t>QC89 C6 C45 1993</t>
  </si>
  <si>
    <t>0                      QC 0089000C  6                  C  45          1993</t>
  </si>
  <si>
    <t>Zhongguo du liang heng / Qiu Guangming zhu.</t>
  </si>
  <si>
    <t>Qiu, Guangming.</t>
  </si>
  <si>
    <t>[Peking] : Xin hua chu ban she : Xin hua shu dian jing xiao, 1993.</t>
  </si>
  <si>
    <t>Shenzhou wen hua ji cheng cong shu</t>
  </si>
  <si>
    <t>2018-01-05</t>
  </si>
  <si>
    <t>3769497805:chi</t>
  </si>
  <si>
    <t>34896274</t>
  </si>
  <si>
    <t>ocm34896274</t>
  </si>
  <si>
    <t>3101915890E</t>
  </si>
  <si>
    <t>9787501122097</t>
  </si>
  <si>
    <t>793438320</t>
  </si>
  <si>
    <t>QC89 F8 Z86</t>
  </si>
  <si>
    <t>0                      QC 0089000F  8                  Z  86</t>
  </si>
  <si>
    <t>French weights and measures before the Revolution : a dictionary of provincial and local units / Ronald Edward Zupko.</t>
  </si>
  <si>
    <t>Bloomington : Indiana University Press, ©1978.</t>
  </si>
  <si>
    <t>2016-03-13</t>
  </si>
  <si>
    <t>13358735:eng</t>
  </si>
  <si>
    <t>3845459</t>
  </si>
  <si>
    <t>ocm03845459</t>
  </si>
  <si>
    <t>3000445457Q</t>
  </si>
  <si>
    <t>9780253324801</t>
  </si>
  <si>
    <t>792298098</t>
  </si>
  <si>
    <t>QC89 G8 W2</t>
  </si>
  <si>
    <t>0                      QC 0089000G  8                  W  2</t>
  </si>
  <si>
    <t>British weights and measures as described in the laws of England from Anglo-Saxon times, by Sir C.M. Watson.</t>
  </si>
  <si>
    <t>Watson, Charles Moore, Sir, 1844-1916.</t>
  </si>
  <si>
    <t>London, J. Murray, 1910.</t>
  </si>
  <si>
    <t>14831961:eng</t>
  </si>
  <si>
    <t>4566577</t>
  </si>
  <si>
    <t>ocm04566577</t>
  </si>
  <si>
    <t>3000319009L</t>
  </si>
  <si>
    <t>792363206</t>
  </si>
  <si>
    <t>QC89 G8 Z86</t>
  </si>
  <si>
    <t>0                      QC 0089000G  8                  Z  86</t>
  </si>
  <si>
    <t>British weights &amp; measures : a history from antiquity to the seventeenth century / Ronald Edward Zupko.</t>
  </si>
  <si>
    <t>Madison : University of Wisconsin Press, 1977.</t>
  </si>
  <si>
    <t>854707501:eng</t>
  </si>
  <si>
    <t>3001869</t>
  </si>
  <si>
    <t>ocm03001869</t>
  </si>
  <si>
    <t>31028672259</t>
  </si>
  <si>
    <t>9780299073404</t>
  </si>
  <si>
    <t>792204905</t>
  </si>
  <si>
    <t>QC89 K6 Y535 2016</t>
  </si>
  <si>
    <t>0                      QC 0089000K  6                  Y  535         2016</t>
  </si>
  <si>
    <t>Han'guk toryanghyŏngsa = History of weights and measures in the Korea / Yi Chong-bong chiŭm.</t>
  </si>
  <si>
    <t>Yi, Chong-bong, 1961- author.</t>
  </si>
  <si>
    <t>Sŏul-si : Somyŏng Ch'ulp'an, 2016.</t>
  </si>
  <si>
    <t>4629437787:kor</t>
  </si>
  <si>
    <t>965517449</t>
  </si>
  <si>
    <t>ocn965517449</t>
  </si>
  <si>
    <t>3103901015X</t>
  </si>
  <si>
    <t>9791159050671</t>
  </si>
  <si>
    <t>795025744</t>
  </si>
  <si>
    <t>QC91 H2</t>
  </si>
  <si>
    <t>0                      QC 0091000H  2</t>
  </si>
  <si>
    <t>The metric fallacy, by Frederick A. Halsey, and the metric failure in the textile industry, by Samuel S. Dale.</t>
  </si>
  <si>
    <t>Halsey, Frederick A. (Frederick Arthur), 1856-1935.</t>
  </si>
  <si>
    <t>New York, D. Van Nostrand Co., 1904.</t>
  </si>
  <si>
    <t>2549069:eng</t>
  </si>
  <si>
    <t>1686412</t>
  </si>
  <si>
    <t>ocm01686412</t>
  </si>
  <si>
    <t>3000688579X</t>
  </si>
  <si>
    <t>791832546</t>
  </si>
  <si>
    <t>QC92.5 R67</t>
  </si>
  <si>
    <t>0                      QC 0092500R  67</t>
  </si>
  <si>
    <t>The metric system : measures for all mankind / Frank Ross, Jr. ; illustrated by Robert Galster.</t>
  </si>
  <si>
    <t>Ross, Frank, 1914-1998.</t>
  </si>
  <si>
    <t>New York : S.G. Phillips, ©1974.</t>
  </si>
  <si>
    <t>533302:eng</t>
  </si>
  <si>
    <t>995117</t>
  </si>
  <si>
    <t>ocm00995117</t>
  </si>
  <si>
    <t>3000975207X</t>
  </si>
  <si>
    <t>9780875991986</t>
  </si>
  <si>
    <t>791520935</t>
  </si>
  <si>
    <t>QC93 M4 1948</t>
  </si>
  <si>
    <t>0                      QC 0093000M  4           1948</t>
  </si>
  <si>
    <t>The metric system of weights and measures, comp. by the Committee on the Metric System, J.T. Johnson, chairman.</t>
  </si>
  <si>
    <t>National Council of Teachers of Mathematics. Committee on the Metric System.</t>
  </si>
  <si>
    <t>New York, Bureau of Publications, Teachers College, Columbia University, 1948.</t>
  </si>
  <si>
    <t>National Council of Teachers of Mathematics. Yearbook 20</t>
  </si>
  <si>
    <t>1982069:eng</t>
  </si>
  <si>
    <t>994417</t>
  </si>
  <si>
    <t>ocm00994417</t>
  </si>
  <si>
    <t>31006618273</t>
  </si>
  <si>
    <t>791520700</t>
  </si>
  <si>
    <t>QC100.5 Q254 2001</t>
  </si>
  <si>
    <t>0                      QC 0100500Q  254         2001</t>
  </si>
  <si>
    <t>Zhongguo ke xue ji shu shi. Du liang heng juan / Qiu Guangming, Qiu Long, Yang Ping zhu ; Lu Jiaxi zong zhu bian.</t>
  </si>
  <si>
    <t>Beijing : Ke xue chu ban she, 2001.</t>
  </si>
  <si>
    <t>27481821:chi</t>
  </si>
  <si>
    <t>48458408</t>
  </si>
  <si>
    <t>ocm48458408</t>
  </si>
  <si>
    <t>3102272231L</t>
  </si>
  <si>
    <t>9787030078919</t>
  </si>
  <si>
    <t>793721518</t>
  </si>
  <si>
    <t>QC122 C55 1959</t>
  </si>
  <si>
    <t>0                      QC 0122000C  55          1959</t>
  </si>
  <si>
    <t>The science of mechanics in the Middle Ages.</t>
  </si>
  <si>
    <t>Clagett, Marshall, 1916-2005.</t>
  </si>
  <si>
    <t>Madison, University of Wisconsin Press, 1959.</t>
  </si>
  <si>
    <t>Wisconsin. University. Publications in medieval science, 4</t>
  </si>
  <si>
    <t>4919618207:eng</t>
  </si>
  <si>
    <t>537120</t>
  </si>
  <si>
    <t>ocm00537120</t>
  </si>
  <si>
    <t>3102846510G</t>
  </si>
  <si>
    <t>791407249</t>
  </si>
  <si>
    <t>QC122 C6 1985</t>
  </si>
  <si>
    <t>0                      QC 0122000C  6           1985</t>
  </si>
  <si>
    <t>The birth of a new physics / by I. Bernard Cohen.</t>
  </si>
  <si>
    <t>New York : W.W. Norton, ©1985.</t>
  </si>
  <si>
    <t>Rev. and updated.</t>
  </si>
  <si>
    <t>118142056:eng</t>
  </si>
  <si>
    <t>11442169</t>
  </si>
  <si>
    <t>ocm11442169</t>
  </si>
  <si>
    <t>3103741628R</t>
  </si>
  <si>
    <t>9780393019940</t>
  </si>
  <si>
    <t>792773399</t>
  </si>
  <si>
    <t>QC131 G78</t>
  </si>
  <si>
    <t>0                      QC 0131000G  78</t>
  </si>
  <si>
    <t>Modern science and Zeno's paradoxes.</t>
  </si>
  <si>
    <t>Middletown, Conn., Wesleyan University Press [1967]</t>
  </si>
  <si>
    <t>2013-09-09</t>
  </si>
  <si>
    <t>1194515:eng</t>
  </si>
  <si>
    <t>531760</t>
  </si>
  <si>
    <t>ocm00531760</t>
  </si>
  <si>
    <t>3103386111V</t>
  </si>
  <si>
    <t>791405691</t>
  </si>
  <si>
    <t>2017-04-24</t>
  </si>
  <si>
    <t>30005560331</t>
  </si>
  <si>
    <t>791405690</t>
  </si>
  <si>
    <t>QC133 D83 1998</t>
  </si>
  <si>
    <t>0                      QC 0133000D  83          1998</t>
  </si>
  <si>
    <t>Les modèles du vivant de Descartes à Leibniz / François Duchesneau.</t>
  </si>
  <si>
    <t>Duchesneau, François, 1943-</t>
  </si>
  <si>
    <t>Paris : J. Vrin, 1998.</t>
  </si>
  <si>
    <t>Mathesis, 1147-4920</t>
  </si>
  <si>
    <t>347756868:fre</t>
  </si>
  <si>
    <t>39947928</t>
  </si>
  <si>
    <t>ocm39947928</t>
  </si>
  <si>
    <t>3101906680Q</t>
  </si>
  <si>
    <t>9782711613366</t>
  </si>
  <si>
    <t>793557590</t>
  </si>
  <si>
    <t>QC147 D7</t>
  </si>
  <si>
    <t>0                      QC 0147000D  7</t>
  </si>
  <si>
    <t>Cause, experiment, and science : a Galilean dialogue, incorporating a new English translation of Galileo's "Bodies that stay atop water, or move in it" / Stillman Drake.</t>
  </si>
  <si>
    <t>918559698:eng</t>
  </si>
  <si>
    <t>7462820</t>
  </si>
  <si>
    <t>ocm07462820</t>
  </si>
  <si>
    <t>3000330757F</t>
  </si>
  <si>
    <t>9780226162287</t>
  </si>
  <si>
    <t>792560055</t>
  </si>
  <si>
    <t>QC151 Y5</t>
  </si>
  <si>
    <t>0                      QC 0151000Y  5</t>
  </si>
  <si>
    <t>Dynamics of nonhomogeneous fluids.</t>
  </si>
  <si>
    <t>Yih, Chia-shun, 1918-1997.</t>
  </si>
  <si>
    <t>Macmillan series in advanced mathematics and theoretical physics</t>
  </si>
  <si>
    <t>2019-02-28</t>
  </si>
  <si>
    <t>2104649:eng</t>
  </si>
  <si>
    <t>1214415</t>
  </si>
  <si>
    <t>ocm01214415</t>
  </si>
  <si>
    <t>3000497723S</t>
  </si>
  <si>
    <t>791575036</t>
  </si>
  <si>
    <t>QC161 P68 2001</t>
  </si>
  <si>
    <t>0                      QC 0161000P  68          2001</t>
  </si>
  <si>
    <t>Gender and Boyle's law of gases / Elizabeth Potter.</t>
  </si>
  <si>
    <t>Potter, Elizabeth.</t>
  </si>
  <si>
    <t>Bloomington : Indiana University Press, ©2001.</t>
  </si>
  <si>
    <t>6312626:eng</t>
  </si>
  <si>
    <t>44777235</t>
  </si>
  <si>
    <t>ocm44777235</t>
  </si>
  <si>
    <t>31029448551</t>
  </si>
  <si>
    <t>9780253108463</t>
  </si>
  <si>
    <t>793657820</t>
  </si>
  <si>
    <t>QC161 S39 1997</t>
  </si>
  <si>
    <t>0                      QC 0161000S  39          1997</t>
  </si>
  <si>
    <t>Die Schwere der Luft : in der Diskussion des 17. Jahrhunderts / herausgegeben von Wim Klever.</t>
  </si>
  <si>
    <t>Wiesbaden : Harrassowitz, 1997.</t>
  </si>
  <si>
    <t>Wolfenbütteler Arbeiten zur Barockforschung ; Bd. 29</t>
  </si>
  <si>
    <t>351449999:ger</t>
  </si>
  <si>
    <t>38217271</t>
  </si>
  <si>
    <t>ocm38217271</t>
  </si>
  <si>
    <t>3101878362W</t>
  </si>
  <si>
    <t>9783447039888</t>
  </si>
  <si>
    <t>793519087</t>
  </si>
  <si>
    <t>QC166 P47 1991</t>
  </si>
  <si>
    <t>0                      QC 0166000P  47          1991</t>
  </si>
  <si>
    <t>The Philosophy of vacuum / edited by Simon Saunders and Harvey R. Brown.</t>
  </si>
  <si>
    <t>351628164:eng</t>
  </si>
  <si>
    <t>22451446</t>
  </si>
  <si>
    <t>ocm22451446</t>
  </si>
  <si>
    <t>3101116648Z</t>
  </si>
  <si>
    <t>9780198244493</t>
  </si>
  <si>
    <t>793144560</t>
  </si>
  <si>
    <t>QC166 S47 1985</t>
  </si>
  <si>
    <t>0                      QC 0166000S  47          1985</t>
  </si>
  <si>
    <t>Leviathan and the air-pump : Hobbes, Boyle, and the experimental life : including a translation of Thomas Hobbes, Dialogus physicus de natura aeris by Simon Schaffer / Steven Shapin &amp; Simon Schaffer.</t>
  </si>
  <si>
    <t>Shapin, Steven, author.</t>
  </si>
  <si>
    <t>Princeton, New Jersey : Princeton University Press, 1985.</t>
  </si>
  <si>
    <t>476584253:eng</t>
  </si>
  <si>
    <t>12078908</t>
  </si>
  <si>
    <t>ocm12078908</t>
  </si>
  <si>
    <t>3102531826B</t>
  </si>
  <si>
    <t>9780691083933</t>
  </si>
  <si>
    <t>792799945</t>
  </si>
  <si>
    <t>QC166 S47 1989</t>
  </si>
  <si>
    <t>0                      QC 0166000S  47          1989</t>
  </si>
  <si>
    <t>Princeton, N.J. : Princeton University Press, 1989, ©1985.</t>
  </si>
  <si>
    <t>1st Princeton pbk. print. with corrections.</t>
  </si>
  <si>
    <t>21625035</t>
  </si>
  <si>
    <t>ocm21625035</t>
  </si>
  <si>
    <t>31033041321</t>
  </si>
  <si>
    <t>9780691024325</t>
  </si>
  <si>
    <t>793124424</t>
  </si>
  <si>
    <t>QC 171 C851</t>
  </si>
  <si>
    <t>0                      QC 0171000C  851</t>
  </si>
  <si>
    <t>The mechanical properties of matter.</t>
  </si>
  <si>
    <t>Cottrell, Alan, 1919-2012.</t>
  </si>
  <si>
    <t>New York, Wiley [1964]</t>
  </si>
  <si>
    <t>Wiley series on the science and technology of materials</t>
  </si>
  <si>
    <t>2019-11-09</t>
  </si>
  <si>
    <t>349919455:eng</t>
  </si>
  <si>
    <t>283775</t>
  </si>
  <si>
    <t>ocm00283775</t>
  </si>
  <si>
    <t>30001020076</t>
  </si>
  <si>
    <t>9780471176763</t>
  </si>
  <si>
    <t>791323186</t>
  </si>
  <si>
    <t>QC171 G3 1965</t>
  </si>
  <si>
    <t>0                      QC 0171000G  3           1965</t>
  </si>
  <si>
    <t>Matter, earth, and sky / George Gamow.</t>
  </si>
  <si>
    <t>Englewood Cliffs, N.J. : Prentice-Hall, 1965.</t>
  </si>
  <si>
    <t>1546388:eng</t>
  </si>
  <si>
    <t>531739</t>
  </si>
  <si>
    <t>ocm00531739</t>
  </si>
  <si>
    <t>3000497726M</t>
  </si>
  <si>
    <t>791405681</t>
  </si>
  <si>
    <t>QC173 C75</t>
  </si>
  <si>
    <t>0                      QC 0173000C  75</t>
  </si>
  <si>
    <t>The atom, by Albert C. Crehore ...</t>
  </si>
  <si>
    <t>Crehore, Albert C. (Albert Cushing), 1868-</t>
  </si>
  <si>
    <t>New York, D. Van Nostrand Co., 1920.</t>
  </si>
  <si>
    <t>4804377:eng</t>
  </si>
  <si>
    <t>2329988</t>
  </si>
  <si>
    <t>ocm02329988</t>
  </si>
  <si>
    <t>3000718404T</t>
  </si>
  <si>
    <t>792104674</t>
  </si>
  <si>
    <t>QC173 H62</t>
  </si>
  <si>
    <t>0                      QC 0173000H  62</t>
  </si>
  <si>
    <t>The nature of atoms.</t>
  </si>
  <si>
    <t>Holden, Alan.</t>
  </si>
  <si>
    <t>Oxford, Clarendon Press; London, Oxford University Press, 1971.</t>
  </si>
  <si>
    <t>1176508:eng</t>
  </si>
  <si>
    <t>152655</t>
  </si>
  <si>
    <t>ocm00152655</t>
  </si>
  <si>
    <t>31002409382</t>
  </si>
  <si>
    <t>9780198511236</t>
  </si>
  <si>
    <t>791273743</t>
  </si>
  <si>
    <t>QC173 J28 1964</t>
  </si>
  <si>
    <t>0                      QC 0173000J  28          1964</t>
  </si>
  <si>
    <t>Concepts of mass, in classical and modern physics / Max Jammer.</t>
  </si>
  <si>
    <t>New York : Harper &amp; Row, 1964, ©1961.</t>
  </si>
  <si>
    <t>Harper torchbooks. Science library.</t>
  </si>
  <si>
    <t>2007-12-17</t>
  </si>
  <si>
    <t>1555472:eng</t>
  </si>
  <si>
    <t>2591655</t>
  </si>
  <si>
    <t>ocm02591655</t>
  </si>
  <si>
    <t>31002409390</t>
  </si>
  <si>
    <t>792148666</t>
  </si>
  <si>
    <t>QC173 M4724</t>
  </si>
  <si>
    <t>0                      QC 0173000M  4724</t>
  </si>
  <si>
    <t>From atomos to atom : the history of the concept atom / by Andrew G. van Melsen ; translated by Henry J. Koren.</t>
  </si>
  <si>
    <t>Melsen, Andreas Gerardus Maria van, 1912-</t>
  </si>
  <si>
    <t>Pittsburgh : Duquesne University Press, 1952.</t>
  </si>
  <si>
    <t>Duquesne studies. Philosophical series ; v. 1</t>
  </si>
  <si>
    <t>2013-07-10</t>
  </si>
  <si>
    <t>1925460:eng</t>
  </si>
  <si>
    <t>1007596</t>
  </si>
  <si>
    <t>ocm01007596</t>
  </si>
  <si>
    <t>3101355439B</t>
  </si>
  <si>
    <t>791523475</t>
  </si>
  <si>
    <t>QC173.38 L38 2001</t>
  </si>
  <si>
    <t>0                      QC 0173380L  38          2001</t>
  </si>
  <si>
    <t>Late medieval and early modern corpuscular matter theories / edited by Christoph Lüthy, John E. Murdoch, William R. Newman.</t>
  </si>
  <si>
    <t>Medieval and early modern science, 1567-8393 ; v. 1</t>
  </si>
  <si>
    <t>350728814:eng</t>
  </si>
  <si>
    <t>48519743</t>
  </si>
  <si>
    <t>ocm48519743</t>
  </si>
  <si>
    <t>31021828097</t>
  </si>
  <si>
    <t>9789004115163</t>
  </si>
  <si>
    <t>793723080</t>
  </si>
  <si>
    <t>QC173.4 I57 B47 2010</t>
  </si>
  <si>
    <t>0                      QC 0173400I  57                 B  47          2010</t>
  </si>
  <si>
    <t>An introduction to interfaces &amp; colloids : the bridge to nanoscience / John C. Berg.</t>
  </si>
  <si>
    <t>Berg, John C., 1937-</t>
  </si>
  <si>
    <t>793257256:eng</t>
  </si>
  <si>
    <t>498932462</t>
  </si>
  <si>
    <t>ocn498932462</t>
  </si>
  <si>
    <t>31038670711</t>
  </si>
  <si>
    <t>9789814299824</t>
  </si>
  <si>
    <t>794803233</t>
  </si>
  <si>
    <t>QC173.454 M37 2010</t>
  </si>
  <si>
    <t>0                      QC 0173454M  37          2010</t>
  </si>
  <si>
    <t>Condensed matter physics / Michael P. Marder.</t>
  </si>
  <si>
    <t>Marder, Michael P., 1960-</t>
  </si>
  <si>
    <t>Hoboken, N.J. : Wiley, ©2010.</t>
  </si>
  <si>
    <t>26594301:eng</t>
  </si>
  <si>
    <t>664839098</t>
  </si>
  <si>
    <t>ocn664839098</t>
  </si>
  <si>
    <t>31032381607</t>
  </si>
  <si>
    <t>9780470617984</t>
  </si>
  <si>
    <t>794844367</t>
  </si>
  <si>
    <t>QC173.55 F74 1983</t>
  </si>
  <si>
    <t>0                      QC 0173550F  74          1983</t>
  </si>
  <si>
    <t>Foundations of space-time theories : relativistic physics and philosophy of science / Michael Friedman.</t>
  </si>
  <si>
    <t>Princeton, N.J. : Princeton University Press, ©1983.</t>
  </si>
  <si>
    <t>2008-11-16</t>
  </si>
  <si>
    <t>2017-10-29</t>
  </si>
  <si>
    <t>209292821:eng</t>
  </si>
  <si>
    <t>8785918</t>
  </si>
  <si>
    <t>ocm08785918</t>
  </si>
  <si>
    <t>3000348994T</t>
  </si>
  <si>
    <t>9780691072395</t>
  </si>
  <si>
    <t>792641019</t>
  </si>
  <si>
    <t>QC173.57 N83 E5 1922</t>
  </si>
  <si>
    <t>0                      QC 0173570N  83                 E  5           1922</t>
  </si>
  <si>
    <t>Einstein and the universe : a popular exposition of the famous theory / by Charles Nordmann ; translated [from the French] by Joseph McCabe ; with a preface by the Rt. Hon. Viscount Haldane.</t>
  </si>
  <si>
    <t>NORDMANN, Charles.</t>
  </si>
  <si>
    <t>London, Eng. : Fisher Unwin, 1922.</t>
  </si>
  <si>
    <t>2017-12-17</t>
  </si>
  <si>
    <t>2151627:eng</t>
  </si>
  <si>
    <t>224225400</t>
  </si>
  <si>
    <t>ocn224225400</t>
  </si>
  <si>
    <t>3000690789J</t>
  </si>
  <si>
    <t>794338076</t>
  </si>
  <si>
    <t>QC173.59 S65 D35 2001b</t>
  </si>
  <si>
    <t>0                      QC 0173590S  65                 D  35          2001b</t>
  </si>
  <si>
    <t>Time and space / Barry Dainton.</t>
  </si>
  <si>
    <t>Dainton, Barry, 1958-</t>
  </si>
  <si>
    <t>Montreal : McGill-Queen's University Press, c2001.</t>
  </si>
  <si>
    <t>36908466:eng</t>
  </si>
  <si>
    <t>47691120</t>
  </si>
  <si>
    <t>ocm47691120</t>
  </si>
  <si>
    <t>3102955922W</t>
  </si>
  <si>
    <t>9780773523029</t>
  </si>
  <si>
    <t>793705434</t>
  </si>
  <si>
    <t>QC173.59 S65 I58 2006</t>
  </si>
  <si>
    <t>0                      QC 0173590S  65                 I  58          2006</t>
  </si>
  <si>
    <t>The ontology of spacetime II / edited by Dennis Dieks.</t>
  </si>
  <si>
    <t>International Conference on the Ontology of Spacetime (2nd : 2006 : Concordia University)</t>
  </si>
  <si>
    <t>Amsterdam ; Boston : Elsevier Science, 2008.</t>
  </si>
  <si>
    <t>Philosophy and foundations of physics, 1871-1774 ; v. 4</t>
  </si>
  <si>
    <t>131273243:eng</t>
  </si>
  <si>
    <t>213110920</t>
  </si>
  <si>
    <t>ocn213110920</t>
  </si>
  <si>
    <t>3103081900A</t>
  </si>
  <si>
    <t>9780444532756</t>
  </si>
  <si>
    <t>794306935</t>
  </si>
  <si>
    <t>The ontology of spacetime / edited by Dennis Dieks.</t>
  </si>
  <si>
    <t>International Conference on the Ontology of Spacetime (1st : 2004 : Montréal, Québec)</t>
  </si>
  <si>
    <t>Amsterdam ; Boston : Elsevier, 2006.</t>
  </si>
  <si>
    <t>Philosophy and foundations of physics, 1871-1774 ; v. 1</t>
  </si>
  <si>
    <t>51721908:eng</t>
  </si>
  <si>
    <t>68373538</t>
  </si>
  <si>
    <t>ocm68373538</t>
  </si>
  <si>
    <t>3102591255U</t>
  </si>
  <si>
    <t>9780444527684</t>
  </si>
  <si>
    <t>794143133</t>
  </si>
  <si>
    <t>QC173.59 S65 K76 1985</t>
  </si>
  <si>
    <t>0                      QC 0173590S  65                 K  76          1985</t>
  </si>
  <si>
    <t>Time : its structure and role in physical theories / Peter Kroes.</t>
  </si>
  <si>
    <t>Kroes, Peter, 1950-</t>
  </si>
  <si>
    <t>Dordrecht ; Boston : D. Reidel Pub. Co. ; Hingham, MA : Sold and distributed in the U.S.A. and Canada by KLuwer Academic, ©1985.</t>
  </si>
  <si>
    <t>Synthese library ; v. 179</t>
  </si>
  <si>
    <t>3838993:eng</t>
  </si>
  <si>
    <t>11316232</t>
  </si>
  <si>
    <t>ocm11316232</t>
  </si>
  <si>
    <t>3102539659G</t>
  </si>
  <si>
    <t>9789027718945</t>
  </si>
  <si>
    <t>792768318</t>
  </si>
  <si>
    <t>QC173.59 S65 M68</t>
  </si>
  <si>
    <t>0                      QC 0173590S  65                 M  68</t>
  </si>
  <si>
    <t>Motion and time, space and matter : interrelations in the history of philosophy and science / edited by Peter K. Machamer and Robert G. Turnbull.</t>
  </si>
  <si>
    <t>Columbus : Ohio State University Press, ©1976.</t>
  </si>
  <si>
    <t>2017-06-14</t>
  </si>
  <si>
    <t>793332900:eng</t>
  </si>
  <si>
    <t>1582837</t>
  </si>
  <si>
    <t>ocm01582837</t>
  </si>
  <si>
    <t>3000398546Q</t>
  </si>
  <si>
    <t>9780814202074</t>
  </si>
  <si>
    <t>791756489</t>
  </si>
  <si>
    <t>QC173.59 S65 R6813 2018</t>
  </si>
  <si>
    <t>0                      QC 0173590S  65                 R  6813        2018</t>
  </si>
  <si>
    <t>The order of time / Carlo Rovelli ; translated by Erica Segre and Simon Carnell.</t>
  </si>
  <si>
    <t>Rovelli, Carlo, 1956- author.</t>
  </si>
  <si>
    <t>New York : Riverhead Books, 2018.</t>
  </si>
  <si>
    <t>4242308615:eng</t>
  </si>
  <si>
    <t>1020300173</t>
  </si>
  <si>
    <t>on1020300173</t>
  </si>
  <si>
    <t>3103670159U</t>
  </si>
  <si>
    <t>9780735216105</t>
  </si>
  <si>
    <t>795050277</t>
  </si>
  <si>
    <t>QC173.59 S65 T26513 2003</t>
  </si>
  <si>
    <t>0                      QC 0173590S  65                 T  26513       2003</t>
  </si>
  <si>
    <t>On Aristotle Physics 4 / Themistius ; translated by Robert B. Todd.</t>
  </si>
  <si>
    <t>London : Duckworth, 2003.</t>
  </si>
  <si>
    <t>2016-12-11</t>
  </si>
  <si>
    <t>6494759:eng</t>
  </si>
  <si>
    <t>50582438</t>
  </si>
  <si>
    <t>ocm50582438</t>
  </si>
  <si>
    <t>3102309046Q</t>
  </si>
  <si>
    <t>9780715631997</t>
  </si>
  <si>
    <t>793768100</t>
  </si>
  <si>
    <t>QC173.59 S65 T26513 2008</t>
  </si>
  <si>
    <t>0                      QC 0173590S  65                 T  26513       2008</t>
  </si>
  <si>
    <t>On Aristotle Physics 5-8 / Themistius ; translated by Robert B. Todd.</t>
  </si>
  <si>
    <t>London : Duckworth, 2008.</t>
  </si>
  <si>
    <t>113036303:eng</t>
  </si>
  <si>
    <t>166626364</t>
  </si>
  <si>
    <t>ocn166626364</t>
  </si>
  <si>
    <t>3103505196A</t>
  </si>
  <si>
    <t>9780715636640</t>
  </si>
  <si>
    <t>794261931</t>
  </si>
  <si>
    <t>QC173.59 S65 V513 1999</t>
  </si>
  <si>
    <t>0                      QC 0173590S  65                 V  513         1999</t>
  </si>
  <si>
    <t>Polar inertia / Paul Virilio ; translated by Patrick Camiller.</t>
  </si>
  <si>
    <t>Virilio, Paul.</t>
  </si>
  <si>
    <t>Thousand Oaks, Calif. ; London : SAGE, 1999.</t>
  </si>
  <si>
    <t>Theory, culture &amp; society</t>
  </si>
  <si>
    <t>3901635784:eng</t>
  </si>
  <si>
    <t>41388391</t>
  </si>
  <si>
    <t>ocm41388391</t>
  </si>
  <si>
    <t>31019652487</t>
  </si>
  <si>
    <t>9780761958024</t>
  </si>
  <si>
    <t>793590459</t>
  </si>
  <si>
    <t>QC174.1 M25</t>
  </si>
  <si>
    <t>0                      QC 0174100M  25</t>
  </si>
  <si>
    <t>Induced representations of groups and quantum mechanics [by] George W. Mackey.</t>
  </si>
  <si>
    <t>Mackey, George W. (George Whitelaw), 1916-2006.</t>
  </si>
  <si>
    <t>New York, W.A. Benjamin, 1968.</t>
  </si>
  <si>
    <t>2015-07-14</t>
  </si>
  <si>
    <t>49046823:eng</t>
  </si>
  <si>
    <t>303348</t>
  </si>
  <si>
    <t>ocm00303348</t>
  </si>
  <si>
    <t>30004978739</t>
  </si>
  <si>
    <t>9780805366983</t>
  </si>
  <si>
    <t>791329850</t>
  </si>
  <si>
    <t>QC174.1 S34 1968</t>
  </si>
  <si>
    <t>0                      QC 0174100S  34          1968</t>
  </si>
  <si>
    <t>Quantum mechanics / Leonard I. Schiff.</t>
  </si>
  <si>
    <t>Schiff, Leonard I. (Leonard Isaac), 1915-1971.</t>
  </si>
  <si>
    <t>New York : McGraw-Hill, 1968.</t>
  </si>
  <si>
    <t>International series in pure and applied physics</t>
  </si>
  <si>
    <t>3145862:eng</t>
  </si>
  <si>
    <t>443932</t>
  </si>
  <si>
    <t>ocm00443932</t>
  </si>
  <si>
    <t>31033897101</t>
  </si>
  <si>
    <t>9780070856431</t>
  </si>
  <si>
    <t>791380274</t>
  </si>
  <si>
    <t>30004978577</t>
  </si>
  <si>
    <t>791380273</t>
  </si>
  <si>
    <t>QC174.12 F67 2014</t>
  </si>
  <si>
    <t>0                      QC 0174120F  67          2014</t>
  </si>
  <si>
    <t>Sense perception and reality : a theory of perceptual relativity, quantum mechanics and the observer dependent universe / Rochelle Forrester.</t>
  </si>
  <si>
    <t>Forrester, Rochelle, 1957- author.</t>
  </si>
  <si>
    <t>Wellington, New Zealand : Best Publications Limited, [2014]</t>
  </si>
  <si>
    <t>2014-09-28</t>
  </si>
  <si>
    <t>1905646371:eng</t>
  </si>
  <si>
    <t>881281320</t>
  </si>
  <si>
    <t>ocn881281320</t>
  </si>
  <si>
    <t>3103517704Y</t>
  </si>
  <si>
    <t>9780473273118</t>
  </si>
  <si>
    <t>794974084</t>
  </si>
  <si>
    <t>QC174.12 G75 2005</t>
  </si>
  <si>
    <t>0                      QC 0174120G  75          2005</t>
  </si>
  <si>
    <t>Introduction to quantum mechanics / David J. Griffiths.</t>
  </si>
  <si>
    <t>Griffiths, David J. (David Jeffery), 1942-</t>
  </si>
  <si>
    <t>Upper Saddle River, NJ : Pearson Prentice Hall, ©2005.</t>
  </si>
  <si>
    <t>984498:eng</t>
  </si>
  <si>
    <t>53926857</t>
  </si>
  <si>
    <t>ocm53926857</t>
  </si>
  <si>
    <t>3103552193Y</t>
  </si>
  <si>
    <t>9780131118928</t>
  </si>
  <si>
    <t>793853311</t>
  </si>
  <si>
    <t>31035520754</t>
  </si>
  <si>
    <t>793853310</t>
  </si>
  <si>
    <t>QC174.12 H37 1989</t>
  </si>
  <si>
    <t>0                      QC 0174120H  37          1989</t>
  </si>
  <si>
    <t>The philosophy of quantum mechanics : an interactive interpretation / Richard Healey.</t>
  </si>
  <si>
    <t>Healey, Richard.</t>
  </si>
  <si>
    <t>836871491:eng</t>
  </si>
  <si>
    <t>19355008</t>
  </si>
  <si>
    <t>ocm19355008</t>
  </si>
  <si>
    <t>3103678583E</t>
  </si>
  <si>
    <t>9780521371056</t>
  </si>
  <si>
    <t>793055243</t>
  </si>
  <si>
    <t>QC174.12 P637 2002</t>
  </si>
  <si>
    <t>0                      QC 0174120P  637         2002</t>
  </si>
  <si>
    <t>Quantum theory : a very short introduction / John Polkinghorne.</t>
  </si>
  <si>
    <t>Polkinghorne, J. C., 1930-</t>
  </si>
  <si>
    <t>Very short introductions ; 69</t>
  </si>
  <si>
    <t>792451305:eng</t>
  </si>
  <si>
    <t>48932657</t>
  </si>
  <si>
    <t>ocm48932657</t>
  </si>
  <si>
    <t>3102544791K</t>
  </si>
  <si>
    <t>9780192802521</t>
  </si>
  <si>
    <t>793730773</t>
  </si>
  <si>
    <t>QC174.12 P67 1982</t>
  </si>
  <si>
    <t>0                      QC 0174120P  67          1982</t>
  </si>
  <si>
    <t>Quantum theory and the schism in physics : from the Postscript to the Logic of scientific discovery, edited by W.W. Bartley, III / Karl R. Popper.</t>
  </si>
  <si>
    <t>Totowa, N.J. : Rowman and Littlefield, 1982.</t>
  </si>
  <si>
    <t>2999326033:eng</t>
  </si>
  <si>
    <t>363926865</t>
  </si>
  <si>
    <t>ocn363926865</t>
  </si>
  <si>
    <t>3000331755E</t>
  </si>
  <si>
    <t>9780847670185</t>
  </si>
  <si>
    <t>794492539</t>
  </si>
  <si>
    <t>QC174.12 T69 2012</t>
  </si>
  <si>
    <t>0                      QC 0174120T  69          2012</t>
  </si>
  <si>
    <t>A modern approach to quantum mechanics / John S. Townsend.</t>
  </si>
  <si>
    <t>Townsend, John S., author.</t>
  </si>
  <si>
    <t>Mill Valey, California : University Science Books, [2012]</t>
  </si>
  <si>
    <t>12754724:eng</t>
  </si>
  <si>
    <t>768607168</t>
  </si>
  <si>
    <t>ocn768607168</t>
  </si>
  <si>
    <t>31037230870</t>
  </si>
  <si>
    <t>9781891389788</t>
  </si>
  <si>
    <t>794902624</t>
  </si>
  <si>
    <t>QC174.13 B6</t>
  </si>
  <si>
    <t>0                      QC 0174130B  6</t>
  </si>
  <si>
    <t>Wholeness and the implicate order / David Bohm.</t>
  </si>
  <si>
    <t>London ; Boston : Routledge &amp; Kegan Paul, 1980.</t>
  </si>
  <si>
    <t>2017-03-01</t>
  </si>
  <si>
    <t>131522789:eng</t>
  </si>
  <si>
    <t>213796591</t>
  </si>
  <si>
    <t>ocn213796591</t>
  </si>
  <si>
    <t>3103090449G</t>
  </si>
  <si>
    <t>9780710003669</t>
  </si>
  <si>
    <t>794311523</t>
  </si>
  <si>
    <t>QC174.17 C3 F65 1985</t>
  </si>
  <si>
    <t>0                      QC 0174170C  3                  F  65          1985</t>
  </si>
  <si>
    <t>The philosophy of Niels Bohr : the framework of complementarity / Henry J. Folse.</t>
  </si>
  <si>
    <t>Folse, Henry J., 1945-</t>
  </si>
  <si>
    <t>Amsterdam ; New York : North-Holland ; New York, N.Y. : Sole distributors for the U.S.A. and Canada, Elsevier Science Pub. Co., 1985.</t>
  </si>
  <si>
    <t>North-Holland personal library</t>
  </si>
  <si>
    <t>2005-11-27</t>
  </si>
  <si>
    <t>2016-03-15</t>
  </si>
  <si>
    <t>364478894:eng</t>
  </si>
  <si>
    <t>11650680</t>
  </si>
  <si>
    <t>ocm11650680</t>
  </si>
  <si>
    <t>3000376693Z</t>
  </si>
  <si>
    <t>9780444869142</t>
  </si>
  <si>
    <t>792782278</t>
  </si>
  <si>
    <t>QC174.17 G7 W313</t>
  </si>
  <si>
    <t>0                      QC 0174170G  7                  W  313</t>
  </si>
  <si>
    <t>Group theory and quantum mechanics [by] B.L. van der Waerden.</t>
  </si>
  <si>
    <t>Waerden, B. L. van der (Bartel Leendert), 1903-1996.</t>
  </si>
  <si>
    <t>Berlin, New York, Springer-Verlag, 1974.</t>
  </si>
  <si>
    <t>Die Grundlehren der mathematischen Wissenschaften in Einzeldarstellungen mit besonderer Berücksichtigung der Anwendungsgebiete ; Bd. 214</t>
  </si>
  <si>
    <t>905501128:eng</t>
  </si>
  <si>
    <t>995083</t>
  </si>
  <si>
    <t>ocm00995083</t>
  </si>
  <si>
    <t>3000424532I</t>
  </si>
  <si>
    <t>9780387067407</t>
  </si>
  <si>
    <t>791520913</t>
  </si>
  <si>
    <t>QC174.17 I76 H65 1985</t>
  </si>
  <si>
    <t>0                      QC 0174170I  76                 H  65          1985</t>
  </si>
  <si>
    <t>The nature of irreversibility : a study of its dynamics and physical origins / by Henry B. Hollinger and Michael John Zenzen.</t>
  </si>
  <si>
    <t>Hollinger, Henry B., 1933-</t>
  </si>
  <si>
    <t>Dordrecht ; Boston : D. Reidel Pub. Co. ; Hingham, MA, U.S.A. : Sold and distributed in the U.S.A. and Canada by Kluwer Academic Publishers, ©1985.</t>
  </si>
  <si>
    <t>The University of Western Ontario series in philosophy of science ; v. 28</t>
  </si>
  <si>
    <t>889574493:eng</t>
  </si>
  <si>
    <t>12343677</t>
  </si>
  <si>
    <t>ocm12343677</t>
  </si>
  <si>
    <t>3000376263N</t>
  </si>
  <si>
    <t>9789027720801</t>
  </si>
  <si>
    <t>792811291</t>
  </si>
  <si>
    <t>QC174.3 V6 1968</t>
  </si>
  <si>
    <t>0                      QC 0174300V  6           1968</t>
  </si>
  <si>
    <t>Mathematische Grundlagen der Quantenmechanik. Von Johann v. Neumann. Mit 4 Abbildungen.</t>
  </si>
  <si>
    <t>Berlin, Heidelberg, New York, Springer, 1968.</t>
  </si>
  <si>
    <t>Unveränderter Nachdruck der 1. Aufl. von 1932.</t>
  </si>
  <si>
    <t>Die Grundlehren der mathematischen Wissenschaften in Einzeldarstellungen mit besonderer Berücksichtigung der Anwendungsgebiete ; Bd. 38</t>
  </si>
  <si>
    <t>891818:ger</t>
  </si>
  <si>
    <t>335476</t>
  </si>
  <si>
    <t>ocm00335476</t>
  </si>
  <si>
    <t>3103869943Y</t>
  </si>
  <si>
    <t>791341292</t>
  </si>
  <si>
    <t>QC174.5 M25</t>
  </si>
  <si>
    <t>0                      QC 0174500M  25</t>
  </si>
  <si>
    <t>The mathematical foundations of quantum mechanics : a lecture-note volume / George W. Mackey.</t>
  </si>
  <si>
    <t>New York : W.A. Benjamin, 1963.</t>
  </si>
  <si>
    <t>2018-06-27</t>
  </si>
  <si>
    <t>806719050:eng</t>
  </si>
  <si>
    <t>537248</t>
  </si>
  <si>
    <t>ocm00537248</t>
  </si>
  <si>
    <t>30004984887</t>
  </si>
  <si>
    <t>9780805367010</t>
  </si>
  <si>
    <t>791407296</t>
  </si>
  <si>
    <t>QC174.5 M39</t>
  </si>
  <si>
    <t>0                      QC 0174500M  39</t>
  </si>
  <si>
    <t>Random matrices and the statistical theory of energy levels [by] M.L. Mehta.</t>
  </si>
  <si>
    <t>Mehta, M. L.</t>
  </si>
  <si>
    <t>New York, Academic Press, 1967.</t>
  </si>
  <si>
    <t>2008-09-14</t>
  </si>
  <si>
    <t>2016-09-23</t>
  </si>
  <si>
    <t>3943285720:eng</t>
  </si>
  <si>
    <t>1478379</t>
  </si>
  <si>
    <t>ocm01478379</t>
  </si>
  <si>
    <t>30004976949</t>
  </si>
  <si>
    <t>791642091</t>
  </si>
  <si>
    <t>QC174.8 M33 2010</t>
  </si>
  <si>
    <t>0                      QC 0174800M  33          2010</t>
  </si>
  <si>
    <t>Advanced statistical mechanics / Barry M. McCoy.</t>
  </si>
  <si>
    <t>McCoy, Barry M.</t>
  </si>
  <si>
    <t>International series of monographs on physics ; 146</t>
  </si>
  <si>
    <t>2013-09-07</t>
  </si>
  <si>
    <t>321974426:eng</t>
  </si>
  <si>
    <t>435730815</t>
  </si>
  <si>
    <t>ocn435730815</t>
  </si>
  <si>
    <t>31031552956</t>
  </si>
  <si>
    <t>9780199556632</t>
  </si>
  <si>
    <t>794783757</t>
  </si>
  <si>
    <t>QC174.85 M64 L36 2009</t>
  </si>
  <si>
    <t>0                      QC 0174850M  64                 L  36          2009</t>
  </si>
  <si>
    <t>A guide to Monte Carlo simulations in statistical physics / David P. Landau, Kurt Binder.</t>
  </si>
  <si>
    <t>Landau, David P.</t>
  </si>
  <si>
    <t>Cambridge ; New York : Cambridge University Press, 2009.</t>
  </si>
  <si>
    <t>3856020023:eng</t>
  </si>
  <si>
    <t>444371657</t>
  </si>
  <si>
    <t>ocn444371657</t>
  </si>
  <si>
    <t>3102860330W</t>
  </si>
  <si>
    <t>9780521768481</t>
  </si>
  <si>
    <t>794787048</t>
  </si>
  <si>
    <t>QC174.85 P76 P76 2011</t>
  </si>
  <si>
    <t>0                      QC 0174850P  76                 P  76          2011</t>
  </si>
  <si>
    <t>Probabilities, causes and propensities in physics / edited by Mauricio Suárez.</t>
  </si>
  <si>
    <t>Dordrecht ; New York : Springer, [2011], ©2011.</t>
  </si>
  <si>
    <t>Synthese library. Studies in epistemology, logic, methodology, and philosophy of science ; v. 347</t>
  </si>
  <si>
    <t>2014-03-07</t>
  </si>
  <si>
    <t>862147494:eng</t>
  </si>
  <si>
    <t>648933308</t>
  </si>
  <si>
    <t>ocn648933308</t>
  </si>
  <si>
    <t>31033460637</t>
  </si>
  <si>
    <t>9781402099038</t>
  </si>
  <si>
    <t>794831464</t>
  </si>
  <si>
    <t>QC176 A83</t>
  </si>
  <si>
    <t>0                      QC 0176000A  83</t>
  </si>
  <si>
    <t>Solid state physics / Neil W. Ashcroft, N. David Mermin.</t>
  </si>
  <si>
    <t>Ashcroft, Neil W.</t>
  </si>
  <si>
    <t>New York : Holt, Rinehart and Winston, ©1976.</t>
  </si>
  <si>
    <t>790493:eng</t>
  </si>
  <si>
    <t>934604</t>
  </si>
  <si>
    <t>ocm00934604</t>
  </si>
  <si>
    <t>3103434109N</t>
  </si>
  <si>
    <t>9780030839931</t>
  </si>
  <si>
    <t>791506058</t>
  </si>
  <si>
    <t>31032457186</t>
  </si>
  <si>
    <t>791506059</t>
  </si>
  <si>
    <t>QC176 K5 2005</t>
  </si>
  <si>
    <t>0                      QC 0176000K  5           2005</t>
  </si>
  <si>
    <t>Introduction to solid state physics / Charles Kittel.</t>
  </si>
  <si>
    <t>Kittel, Charles.</t>
  </si>
  <si>
    <t>2018-07-30</t>
  </si>
  <si>
    <t>3944227758:eng</t>
  </si>
  <si>
    <t>55228781</t>
  </si>
  <si>
    <t>ocm55228781</t>
  </si>
  <si>
    <t>3103248012F</t>
  </si>
  <si>
    <t>9780471415268</t>
  </si>
  <si>
    <t>793876330</t>
  </si>
  <si>
    <t>QC178 G3</t>
  </si>
  <si>
    <t>0                      QC 0178000G  3</t>
  </si>
  <si>
    <t>Gravity : [classic and modern views] / George Gamow ; illustrations by the author.</t>
  </si>
  <si>
    <t>Garden City, N.Y. : Anchor Books, 1962.</t>
  </si>
  <si>
    <t>Science study series ; S22</t>
  </si>
  <si>
    <t>365505606:eng</t>
  </si>
  <si>
    <t>537105</t>
  </si>
  <si>
    <t>ocm00537105</t>
  </si>
  <si>
    <t>30005153930</t>
  </si>
  <si>
    <t>791407242</t>
  </si>
  <si>
    <t>QC178 R69313 2018</t>
  </si>
  <si>
    <t>0                      QC 0178000R  69313       2018</t>
  </si>
  <si>
    <t>Reality is not what it seems : the journey to quantum gravity / Carlo Rovelli ; translated by Simon Carnell and Erica Segre.</t>
  </si>
  <si>
    <t>New York : Riverhead Books, [2018]</t>
  </si>
  <si>
    <t>First Riverhead trade paperback edition.</t>
  </si>
  <si>
    <t>2018-08-31</t>
  </si>
  <si>
    <t>3004216975:eng</t>
  </si>
  <si>
    <t>1014063482</t>
  </si>
  <si>
    <t>on1014063482</t>
  </si>
  <si>
    <t>31037040982</t>
  </si>
  <si>
    <t>9780735213937</t>
  </si>
  <si>
    <t>795047612</t>
  </si>
  <si>
    <t>QC221.7 H86</t>
  </si>
  <si>
    <t>0                      QC 0221700H  86</t>
  </si>
  <si>
    <t>Origins in acoustics : the science of sound from antiquity to the age of Newton / Frederick Vinton Hunt ; with a foreword by Robert Edmund Apfel.</t>
  </si>
  <si>
    <t>Hunt, Frederick V.</t>
  </si>
  <si>
    <t>New Haven : Yale University Press, 1978.</t>
  </si>
  <si>
    <t>2009-07-30</t>
  </si>
  <si>
    <t>2017-06-03</t>
  </si>
  <si>
    <t>796102331:eng</t>
  </si>
  <si>
    <t>3845319</t>
  </si>
  <si>
    <t>ocm03845319</t>
  </si>
  <si>
    <t>3000430269L</t>
  </si>
  <si>
    <t>9780300022209</t>
  </si>
  <si>
    <t>792298063</t>
  </si>
  <si>
    <t>QC 225 B482a 1949</t>
  </si>
  <si>
    <t>0                      QC 0225000B  482a        1949</t>
  </si>
  <si>
    <t>Acoustic measurements.</t>
  </si>
  <si>
    <t>Beranek, Leo L. (Leo Leroy), 1914-2016.</t>
  </si>
  <si>
    <t>New York, J. Wiley [1949]</t>
  </si>
  <si>
    <t>1556077:eng</t>
  </si>
  <si>
    <t>534946</t>
  </si>
  <si>
    <t>ocm00534946</t>
  </si>
  <si>
    <t>3000143854A</t>
  </si>
  <si>
    <t>9780471068648</t>
  </si>
  <si>
    <t>791406565</t>
  </si>
  <si>
    <t>QC225.15 O23 2007</t>
  </si>
  <si>
    <t>0                      QC 0225150O  23          2007</t>
  </si>
  <si>
    <t>Sounds / Casey O'Callaghan.</t>
  </si>
  <si>
    <t>O'Callaghan, Casey.</t>
  </si>
  <si>
    <t>Oxford : Oxford University Press, 2007.</t>
  </si>
  <si>
    <t>2015-12-04</t>
  </si>
  <si>
    <t>801719259:eng</t>
  </si>
  <si>
    <t>145387759</t>
  </si>
  <si>
    <t>ocn145387759</t>
  </si>
  <si>
    <t>3102573470M</t>
  </si>
  <si>
    <t>9780199215928</t>
  </si>
  <si>
    <t>794239373</t>
  </si>
  <si>
    <t>QC235 F74</t>
  </si>
  <si>
    <t>0                      QC 0235000F  74</t>
  </si>
  <si>
    <t>Vibrations and waves / A.P. French.</t>
  </si>
  <si>
    <t>New York : Norton, 1971.</t>
  </si>
  <si>
    <t>1272795:eng</t>
  </si>
  <si>
    <t>132582</t>
  </si>
  <si>
    <t>ocm00132582</t>
  </si>
  <si>
    <t>3103244683$</t>
  </si>
  <si>
    <t>9780393099249</t>
  </si>
  <si>
    <t>791266919</t>
  </si>
  <si>
    <t>3103318246C</t>
  </si>
  <si>
    <t>791266918</t>
  </si>
  <si>
    <t>3103245760X</t>
  </si>
  <si>
    <t>791266917</t>
  </si>
  <si>
    <t>QC246 S7 1951</t>
  </si>
  <si>
    <t>0                      QC 0246000S  7           1951</t>
  </si>
  <si>
    <t>Motor phonetics : a study of speech movements in action.</t>
  </si>
  <si>
    <t>Stetson, R. H. (Raymond Herbert), 1872-1950.</t>
  </si>
  <si>
    <t>3157781:eng</t>
  </si>
  <si>
    <t>14647123</t>
  </si>
  <si>
    <t>ocm14647123</t>
  </si>
  <si>
    <t>30007422521</t>
  </si>
  <si>
    <t>792897180</t>
  </si>
  <si>
    <t>QC271.6 C46 2004</t>
  </si>
  <si>
    <t>0                      QC 0271600C  46          2004</t>
  </si>
  <si>
    <t>Inventing temperature : measurement and scientific progress / Hasok Chang.</t>
  </si>
  <si>
    <t>Chang, Hasok.</t>
  </si>
  <si>
    <t>Oxford ; New York : Oxford University Press, ©2004.</t>
  </si>
  <si>
    <t>Oxford studies in philosophy of science</t>
  </si>
  <si>
    <t>801642235:eng</t>
  </si>
  <si>
    <t>52720597</t>
  </si>
  <si>
    <t>ocm52720597</t>
  </si>
  <si>
    <t>31025309478</t>
  </si>
  <si>
    <t>9780195171273</t>
  </si>
  <si>
    <t>793812529</t>
  </si>
  <si>
    <t>QC291 H64 2003</t>
  </si>
  <si>
    <t>0                      QC 0291000H  64          2003</t>
  </si>
  <si>
    <t>Differential scanning calorimetry : an introduction for practitioners / G.W.H. Höhne, W. Hemminger, H.-J. Flammersheim.</t>
  </si>
  <si>
    <t>Höhne, G. (Günther)</t>
  </si>
  <si>
    <t>Berlin ; New York : Springer, ©2003.</t>
  </si>
  <si>
    <t>2nd rev. and enl. ed.</t>
  </si>
  <si>
    <t>2018-06-08</t>
  </si>
  <si>
    <t>832271:eng</t>
  </si>
  <si>
    <t>52079739</t>
  </si>
  <si>
    <t>ocm52079739</t>
  </si>
  <si>
    <t>3102578234G</t>
  </si>
  <si>
    <t>9783540004677</t>
  </si>
  <si>
    <t>793798022</t>
  </si>
  <si>
    <t>QC311 S77 1964</t>
  </si>
  <si>
    <t>0                      QC 0311000S  77          1964</t>
  </si>
  <si>
    <t>Introduction to thermodynamics / D.C. Spanner.</t>
  </si>
  <si>
    <t>Spanner, D. C.</t>
  </si>
  <si>
    <t>London ; New York : Academic Press, 1964.</t>
  </si>
  <si>
    <t>Experimental botany ; v. 1</t>
  </si>
  <si>
    <t>1385049:eng</t>
  </si>
  <si>
    <t>350977</t>
  </si>
  <si>
    <t>ocm00350977</t>
  </si>
  <si>
    <t>30010374818</t>
  </si>
  <si>
    <t>791347130</t>
  </si>
  <si>
    <t>QC311.15 S32 2000</t>
  </si>
  <si>
    <t>0                      QC 0311150S  32          2000</t>
  </si>
  <si>
    <t>An introduction to thermal physics / Daniel V. Schroeder.</t>
  </si>
  <si>
    <t>Schroeder, Daniel V., author.</t>
  </si>
  <si>
    <t>San Francisco, CA : Addison Wesley, c 2000.</t>
  </si>
  <si>
    <t>27161636:eng</t>
  </si>
  <si>
    <t>41476755</t>
  </si>
  <si>
    <t>ocm41476755</t>
  </si>
  <si>
    <t>3103244178G</t>
  </si>
  <si>
    <t>9780201380279</t>
  </si>
  <si>
    <t>793592431</t>
  </si>
  <si>
    <t>3103148662U</t>
  </si>
  <si>
    <t>793592430</t>
  </si>
  <si>
    <t>QC320 H64 2010</t>
  </si>
  <si>
    <t>0                      QC 0320000H  64          2010</t>
  </si>
  <si>
    <t>Heat transfer / J.P. Holman.</t>
  </si>
  <si>
    <t>Holman, J. P. (Jack Philip)</t>
  </si>
  <si>
    <t>Boston [Mass.] : McGraw Hill Higher Education, ©2010.</t>
  </si>
  <si>
    <t>McGraw-Hill series in mechanical engineering</t>
  </si>
  <si>
    <t>1402181:eng</t>
  </si>
  <si>
    <t>237018426</t>
  </si>
  <si>
    <t>ocn237018426</t>
  </si>
  <si>
    <t>3103199600D</t>
  </si>
  <si>
    <t>9780073529363</t>
  </si>
  <si>
    <t>794371776</t>
  </si>
  <si>
    <t>QC352 F4x</t>
  </si>
  <si>
    <t>0                      QC 0352000F  4x</t>
  </si>
  <si>
    <t>Studi sulla prospettiva medievale / Graziella Federici Vescovini.</t>
  </si>
  <si>
    <t>Federici-Vescovini, Graziella.</t>
  </si>
  <si>
    <t>Torino : G. Giappichelli, 1965.</t>
  </si>
  <si>
    <t>Pubblicazioni della Facoltà di lettere e filosofia, Università di Torino ; v. 16, fasc. 1</t>
  </si>
  <si>
    <t>4706646:ita</t>
  </si>
  <si>
    <t>2369758</t>
  </si>
  <si>
    <t>ocm02369758</t>
  </si>
  <si>
    <t>3000556026Z</t>
  </si>
  <si>
    <t>792110800</t>
  </si>
  <si>
    <t>QC353 A32313 2001</t>
  </si>
  <si>
    <t>0                      QC 0353000A  32313       2001</t>
  </si>
  <si>
    <t>Alhacen's theory of visual perception : a critical edition, with English translation and commentary, of the first three books of Alhacen's De aspectibus, the medieval Latin version of Ibn al-Haytham's Kitab al-Manazir / [edited by] A. Mark Smith.</t>
  </si>
  <si>
    <t>Alhazen, 965-1039.</t>
  </si>
  <si>
    <t>Philadelphia : American Philosophical Society, 2001.</t>
  </si>
  <si>
    <t>Transactions of the American Philosophical Society ; v. 91, pts. 4 &amp; 5</t>
  </si>
  <si>
    <t>2018-07-23</t>
  </si>
  <si>
    <t>23321839:eng</t>
  </si>
  <si>
    <t>47168716</t>
  </si>
  <si>
    <t>ocm47168716</t>
  </si>
  <si>
    <t>3102193324K</t>
  </si>
  <si>
    <t>9780871699145</t>
  </si>
  <si>
    <t>793700004</t>
  </si>
  <si>
    <t>31028476119</t>
  </si>
  <si>
    <t>793700005</t>
  </si>
  <si>
    <t>QC353 A44213 2010</t>
  </si>
  <si>
    <t>0                      QC 0353000A  44213       2010</t>
  </si>
  <si>
    <t>Alhacen on refraction : a critical edition, with English translation and commentary, of Book 7 of Alhacen's De Aspectibus / A. Mark Smith.</t>
  </si>
  <si>
    <t>Philadelphia : American Philosophical Society, ©2010.</t>
  </si>
  <si>
    <t>Transactions of the American Philosophical Society held at Philadelphia for promoting useful knowledge ; v. 100, pt. 3, sections 1 &amp; 2</t>
  </si>
  <si>
    <t>2011-04-23</t>
  </si>
  <si>
    <t>2011-07-19</t>
  </si>
  <si>
    <t>3861564760:eng</t>
  </si>
  <si>
    <t>677848001</t>
  </si>
  <si>
    <t>ocn677848001</t>
  </si>
  <si>
    <t>3103267475M</t>
  </si>
  <si>
    <t>9781606180037</t>
  </si>
  <si>
    <t>794850229</t>
  </si>
  <si>
    <t>3103267474M</t>
  </si>
  <si>
    <t>794850230</t>
  </si>
  <si>
    <t>QC353 B313 1983</t>
  </si>
  <si>
    <t>0                      QC 0353000B  313         1983</t>
  </si>
  <si>
    <t>Roger Bacon's philosophy of nature : a critical edition, with English translation, introduction, and notes, of De multiplicatione specierum and De speculis comburentibus / by David C. Lindberg.</t>
  </si>
  <si>
    <t>Bacon, Roger, 1214?-1294.</t>
  </si>
  <si>
    <t>416395:eng</t>
  </si>
  <si>
    <t>8494557</t>
  </si>
  <si>
    <t>ocm08494557</t>
  </si>
  <si>
    <t>3000353263D</t>
  </si>
  <si>
    <t>9780198581642</t>
  </si>
  <si>
    <t>792622958</t>
  </si>
  <si>
    <t>QC353 L54 1996</t>
  </si>
  <si>
    <t>0                      QC 0353000L  54          1996</t>
  </si>
  <si>
    <t>Roger Bacon and the origins of Perspectiva in the Middle Ages : a critical edition and English translation of Bacon's Perspectiva, with introduction and notes / by David C. Lindberg.</t>
  </si>
  <si>
    <t>2016-06-10</t>
  </si>
  <si>
    <t>807291965:eng</t>
  </si>
  <si>
    <t>34548644</t>
  </si>
  <si>
    <t>ocm34548644</t>
  </si>
  <si>
    <t>3103371323B</t>
  </si>
  <si>
    <t>9780198239925</t>
  </si>
  <si>
    <t>793429541</t>
  </si>
  <si>
    <t>QC353 N54 1973</t>
  </si>
  <si>
    <t>0                      QC 0353000N  54          1973</t>
  </si>
  <si>
    <t>The unpublished first version of Isaac Newton's Cambridge lectures on optics, 1670-1672; a facsimile of the autograph, now Cambridge University Library MS. Add. 4002 with an introduction by D.T. Whiteside.</t>
  </si>
  <si>
    <t>Cambridge [Eng] University Library, 1973.</t>
  </si>
  <si>
    <t>Newton manuscripts series / University of Cambridge. Library ; 1</t>
  </si>
  <si>
    <t>1042442241:eng</t>
  </si>
  <si>
    <t>10544132</t>
  </si>
  <si>
    <t>ocm10544132</t>
  </si>
  <si>
    <t>3102735068$</t>
  </si>
  <si>
    <t>9780902205055</t>
  </si>
  <si>
    <t>792731305</t>
  </si>
  <si>
    <t>QC353 P8613 1996</t>
  </si>
  <si>
    <t>0                      QC 0353000P  8613        1996</t>
  </si>
  <si>
    <t>Ptolemy's theory of visual perception : an English translation of the Optics / with introduction and commentary [by] A. Mark Smith.</t>
  </si>
  <si>
    <t>Ptolemy, active 2nd century.</t>
  </si>
  <si>
    <t>Philadelphia : American Philosophical Society, 1996.</t>
  </si>
  <si>
    <t>Transactions of the American Philosophical Society, 0065-9746 ; v. 86, pt. 2</t>
  </si>
  <si>
    <t>889907926:eng</t>
  </si>
  <si>
    <t>34724889</t>
  </si>
  <si>
    <t>ocm34724889</t>
  </si>
  <si>
    <t>3101593540V</t>
  </si>
  <si>
    <t>9780871698629</t>
  </si>
  <si>
    <t>793434210</t>
  </si>
  <si>
    <t>QC355.3 H43 2017</t>
  </si>
  <si>
    <t>0                      QC 0355300H  43          2017</t>
  </si>
  <si>
    <t>Optics / Eugene Hecht, Adelphi University.</t>
  </si>
  <si>
    <t>Hecht, Eugene, author.</t>
  </si>
  <si>
    <t>Boston : Pearson Education, Inc., [2017]</t>
  </si>
  <si>
    <t>5 ed.</t>
  </si>
  <si>
    <t>1888464:eng</t>
  </si>
  <si>
    <t>938342235</t>
  </si>
  <si>
    <t>ocn938342235</t>
  </si>
  <si>
    <t>31037002092</t>
  </si>
  <si>
    <t>9780133977226</t>
  </si>
  <si>
    <t>795011285</t>
  </si>
  <si>
    <t>QC371 K5</t>
  </si>
  <si>
    <t>0                      QC 0371000K  5</t>
  </si>
  <si>
    <t>Applied optics and optical engineering / edited by R. Kingslake [and others].</t>
  </si>
  <si>
    <t>New York : Academic Press, 1965-1983.</t>
  </si>
  <si>
    <t>2017-11-13</t>
  </si>
  <si>
    <t>4915742128:eng</t>
  </si>
  <si>
    <t>17007872</t>
  </si>
  <si>
    <t>ocm17007872</t>
  </si>
  <si>
    <t>3100440789G</t>
  </si>
  <si>
    <t>9780124086012</t>
  </si>
  <si>
    <t>792980342</t>
  </si>
  <si>
    <t>3100440785O</t>
  </si>
  <si>
    <t>792980341</t>
  </si>
  <si>
    <t>3100440787K</t>
  </si>
  <si>
    <t>792980339</t>
  </si>
  <si>
    <t>3000304069Y</t>
  </si>
  <si>
    <t>792980343</t>
  </si>
  <si>
    <t>3100440786M</t>
  </si>
  <si>
    <t>792980340</t>
  </si>
  <si>
    <t>QC385 M4513 2001</t>
  </si>
  <si>
    <t>0                      QC 0385000M  4513        2001</t>
  </si>
  <si>
    <t>The mirror : a history / Sabine Melchior-Bonnet ; translated by Katharine H. Jewett ; with a preface by Jean Delumeau.</t>
  </si>
  <si>
    <t>Melchior-Bonnet, Sabine.</t>
  </si>
  <si>
    <t>1151654232:eng</t>
  </si>
  <si>
    <t>44174226</t>
  </si>
  <si>
    <t>ocm44174226</t>
  </si>
  <si>
    <t>3102076323Q</t>
  </si>
  <si>
    <t>9780415924474</t>
  </si>
  <si>
    <t>793644106</t>
  </si>
  <si>
    <t>QC407 R63</t>
  </si>
  <si>
    <t>0                      QC 0407000R  63</t>
  </si>
  <si>
    <t>Roemer et la vitesse de la lumière : table ronde du Centre national de la recherche scientifique, Paris, 16 et 17 juin 1976 / avant-propos de René Taton.</t>
  </si>
  <si>
    <t>Paris : J. Vrin, 1978.</t>
  </si>
  <si>
    <t>Collection d'histoire des sciences ; 3</t>
  </si>
  <si>
    <t>2015-06-14</t>
  </si>
  <si>
    <t>808327837:fre</t>
  </si>
  <si>
    <t>5028891</t>
  </si>
  <si>
    <t>ocm05028891</t>
  </si>
  <si>
    <t>30003072204</t>
  </si>
  <si>
    <t>792402512</t>
  </si>
  <si>
    <t>QC451 H65 2004</t>
  </si>
  <si>
    <t>0                      QC 0451000H  65          2004</t>
  </si>
  <si>
    <t>Modern spectroscopy / J. Michael Hollas.</t>
  </si>
  <si>
    <t>Hollas, J. Michael (John Michael)</t>
  </si>
  <si>
    <t>Chichester ; Hoboken, NJ : J. Wiley, ©2004.</t>
  </si>
  <si>
    <t>702571:eng</t>
  </si>
  <si>
    <t>54817480</t>
  </si>
  <si>
    <t>ocm54817480</t>
  </si>
  <si>
    <t>3103246067D</t>
  </si>
  <si>
    <t>9780470844151</t>
  </si>
  <si>
    <t>793868479</t>
  </si>
  <si>
    <t>QC476 P68 1965</t>
  </si>
  <si>
    <t>0                      QC 0476000P  68          1965</t>
  </si>
  <si>
    <t>Radiative transfer on discrete spaces / by Rudolph W. Preisendorfer, University of California, San Diego.</t>
  </si>
  <si>
    <t>Preisendorfer, Rudolph W., author.</t>
  </si>
  <si>
    <t>Oxford ; New York : Pergamon Press, 1965.</t>
  </si>
  <si>
    <t>International series of monographs in pure and applied mathematics ; Volume 74</t>
  </si>
  <si>
    <t>2016-10-02</t>
  </si>
  <si>
    <t>2017462:eng</t>
  </si>
  <si>
    <t>1067675</t>
  </si>
  <si>
    <t>ocm01067675</t>
  </si>
  <si>
    <t>3000694133D</t>
  </si>
  <si>
    <t>791537828</t>
  </si>
  <si>
    <t>QC495 B523</t>
  </si>
  <si>
    <t>0                      QC 0495000B  523</t>
  </si>
  <si>
    <t>A grammar of color : a basic treatise on the color system of Albert H. Munsell / edited and with an introduction by Faber Birren.</t>
  </si>
  <si>
    <t>Birren, Faber, 1900-1988.</t>
  </si>
  <si>
    <t>New York : Van Nostrand Reinhold Co., 1969.</t>
  </si>
  <si>
    <t>9827268239:eng</t>
  </si>
  <si>
    <t>23128</t>
  </si>
  <si>
    <t>ocm00023128</t>
  </si>
  <si>
    <t>3102964402D</t>
  </si>
  <si>
    <t>9780442113438</t>
  </si>
  <si>
    <t>791231624</t>
  </si>
  <si>
    <t>QC495 C76 2011</t>
  </si>
  <si>
    <t>0                      QC 0495000C  76          2011</t>
  </si>
  <si>
    <t>Colour in art, design &amp; nature / editors, C.A. Brebbia, C. Greated, M.W. Collins.</t>
  </si>
  <si>
    <t>Southampton, UK : WIT Press, [2011]</t>
  </si>
  <si>
    <t>1011453990:eng</t>
  </si>
  <si>
    <t>747934784</t>
  </si>
  <si>
    <t>ocn747934784</t>
  </si>
  <si>
    <t>31033620987</t>
  </si>
  <si>
    <t>9781845645687</t>
  </si>
  <si>
    <t>794888659</t>
  </si>
  <si>
    <t>QC495 E8</t>
  </si>
  <si>
    <t>0                      QC 0495000E  8</t>
  </si>
  <si>
    <t>An introduction to color / Ralph M. Evans.</t>
  </si>
  <si>
    <t>Evans, Ralph M. (Ralph Merrill)</t>
  </si>
  <si>
    <t>New York : John Wiley &amp; Sons, Inc., 1948.</t>
  </si>
  <si>
    <t>1351477:eng</t>
  </si>
  <si>
    <t>537447</t>
  </si>
  <si>
    <t>ocm00537447</t>
  </si>
  <si>
    <t>3000498480N</t>
  </si>
  <si>
    <t>791407364</t>
  </si>
  <si>
    <t>QC495 G3213 1975</t>
  </si>
  <si>
    <t>0                      QC 0495000G  3213        1975</t>
  </si>
  <si>
    <t>Theory and practice of color : a color theory based on laws of perception / Frans Gerritsen ; [translated from the Dutch MS. by Ruth de Vriendt ; reproduction drawings by Nico Raemaekers].</t>
  </si>
  <si>
    <t>Gerritsen, Frans.</t>
  </si>
  <si>
    <t>London : Studio Vista, 1975.</t>
  </si>
  <si>
    <t>481654:eng</t>
  </si>
  <si>
    <t>2754257</t>
  </si>
  <si>
    <t>ocm02754257</t>
  </si>
  <si>
    <t>3102964408D</t>
  </si>
  <si>
    <t>9780289706527</t>
  </si>
  <si>
    <t>792171860</t>
  </si>
  <si>
    <t>QC495 G5 1967</t>
  </si>
  <si>
    <t>0                      QC 0495000G  5           1967</t>
  </si>
  <si>
    <t>Goethe's theory of colours; translated by Charles Lock Eastlake.</t>
  </si>
  <si>
    <t>Goethe, Johann Wolfgang von, 1749-1832.</t>
  </si>
  <si>
    <t>London, Cass, 1967.</t>
  </si>
  <si>
    <t>[1st ed.], new impression with index.</t>
  </si>
  <si>
    <t>Cass library of science classics ; no. 3</t>
  </si>
  <si>
    <t>14479638:eng</t>
  </si>
  <si>
    <t>460538</t>
  </si>
  <si>
    <t>ocm00460538</t>
  </si>
  <si>
    <t>3102964403D</t>
  </si>
  <si>
    <t>791384490</t>
  </si>
  <si>
    <t>QC495 G513 1970</t>
  </si>
  <si>
    <t>0                      QC 0495000G  513         1970</t>
  </si>
  <si>
    <t>Theory of colours / Johann Wolfgang von Goethe ; translated from the German, with notes, by Charles Lock Eastlake ; introduction by Deane B. Judd.</t>
  </si>
  <si>
    <t>Goethe, Johann Wolfgang von, 1749-1832, author.</t>
  </si>
  <si>
    <t>Cambridge, Massachusetts : M.I.T. Press, 1970.</t>
  </si>
  <si>
    <t>First M.I.T. Press paperback edition.</t>
  </si>
  <si>
    <t>62569</t>
  </si>
  <si>
    <t>ocm00062569</t>
  </si>
  <si>
    <t>3101468015D</t>
  </si>
  <si>
    <t>9780262570213</t>
  </si>
  <si>
    <t>791243400</t>
  </si>
  <si>
    <t>QC495 L76 1925</t>
  </si>
  <si>
    <t>0                      QC 0495000L  76          1925</t>
  </si>
  <si>
    <t>The language of color.</t>
  </si>
  <si>
    <t>Luckiesh, Matthew, 1883-1967.</t>
  </si>
  <si>
    <t>New York : [publisher not identified], 1925.</t>
  </si>
  <si>
    <t>1785622:eng</t>
  </si>
  <si>
    <t>427497027</t>
  </si>
  <si>
    <t>ocn427497027</t>
  </si>
  <si>
    <t>3000689787L</t>
  </si>
  <si>
    <t>794665032</t>
  </si>
  <si>
    <t>QC495 R5</t>
  </si>
  <si>
    <t>0                      QC 0495000R  5</t>
  </si>
  <si>
    <t>Color standards and color nomenclature / by Robert Ridgway, M.S., C.M.Z.S., etc., curator of the Division of Birds, United States National Museum ; with fifty-three colored plates and eleven hundred and fifteen named colors.</t>
  </si>
  <si>
    <t>Ridgway, Robert, 1850-1929, author.</t>
  </si>
  <si>
    <t>Washington, D.C. : Published by the author, 1912.</t>
  </si>
  <si>
    <t>2018-06-29</t>
  </si>
  <si>
    <t>1740586:eng</t>
  </si>
  <si>
    <t>630954</t>
  </si>
  <si>
    <t>ocm00630954</t>
  </si>
  <si>
    <t>3001047854Q</t>
  </si>
  <si>
    <t>791432779</t>
  </si>
  <si>
    <t>QC495 W72 1964</t>
  </si>
  <si>
    <t>0                      QC 0495000W  72          1964</t>
  </si>
  <si>
    <t>The measurement of colour / W.D. Wright.</t>
  </si>
  <si>
    <t>Wright, W. D. (William David), 1906-1997.</t>
  </si>
  <si>
    <t>London : Hilger &amp; Watts, [©1964]</t>
  </si>
  <si>
    <t>1175264:eng</t>
  </si>
  <si>
    <t>1653488</t>
  </si>
  <si>
    <t>ocm01653488</t>
  </si>
  <si>
    <t>3001055575Y</t>
  </si>
  <si>
    <t>791824243</t>
  </si>
  <si>
    <t>QC495.3 R66 1983</t>
  </si>
  <si>
    <t>0                      QC 0495300R  66          1983</t>
  </si>
  <si>
    <t>Colour : why the world isn't grey / by Hazel Rossotti.</t>
  </si>
  <si>
    <t>Rossotti, Hazel.</t>
  </si>
  <si>
    <t>Harmondsworth : Penguin, 1983.</t>
  </si>
  <si>
    <t>3435248:eng</t>
  </si>
  <si>
    <t>9763459</t>
  </si>
  <si>
    <t>ocm09763459</t>
  </si>
  <si>
    <t>3102518934P</t>
  </si>
  <si>
    <t>9780140222012</t>
  </si>
  <si>
    <t>792692538</t>
  </si>
  <si>
    <t>QC495.8 E87 2016</t>
  </si>
  <si>
    <t>0                      QC 0495800E  87          2016</t>
  </si>
  <si>
    <t>Essays in global color history : interpreting the ancient spectrum / edited by Rachael B. Goldman.</t>
  </si>
  <si>
    <t>Piscataway, NJ : Gorgias Press, 2016.</t>
  </si>
  <si>
    <t>Gorgias studies in classical and late antiquity ; 19</t>
  </si>
  <si>
    <t>4129280122:eng</t>
  </si>
  <si>
    <t>946463555</t>
  </si>
  <si>
    <t>ocn946463555</t>
  </si>
  <si>
    <t>31037486119</t>
  </si>
  <si>
    <t>9781463205829</t>
  </si>
  <si>
    <t>795014489</t>
  </si>
  <si>
    <t>QC503 K29</t>
  </si>
  <si>
    <t>0                      QC 0503000K  29</t>
  </si>
  <si>
    <t>Reprints of papers on electrostatics and magnetism / Sir William Thomson.</t>
  </si>
  <si>
    <t>Kelvin, William Thomson, Baron, 1824-1907.</t>
  </si>
  <si>
    <t>London : Macmillan, 1884.</t>
  </si>
  <si>
    <t>1884</t>
  </si>
  <si>
    <t>10142005730:eng</t>
  </si>
  <si>
    <t>931786678</t>
  </si>
  <si>
    <t>ocn931786678</t>
  </si>
  <si>
    <t>3000711057M</t>
  </si>
  <si>
    <t>795007737</t>
  </si>
  <si>
    <t>QC507 D5 1952</t>
  </si>
  <si>
    <t>0                      QC 0507000D  5           1952</t>
  </si>
  <si>
    <t>Galvani-Volta : a controversy that led to the discovery of useful electricity.</t>
  </si>
  <si>
    <t>Dibner, Bern.</t>
  </si>
  <si>
    <t>Norwalk, Conn. : Burndy Library, 1952.</t>
  </si>
  <si>
    <t>Burndy Library. Publication ; no. 7</t>
  </si>
  <si>
    <t>1650858:eng</t>
  </si>
  <si>
    <t>612693</t>
  </si>
  <si>
    <t>ocm00612693</t>
  </si>
  <si>
    <t>31015659940</t>
  </si>
  <si>
    <t>791428249</t>
  </si>
  <si>
    <t>QC507 M56</t>
  </si>
  <si>
    <t>0                      QC 0507000M  56</t>
  </si>
  <si>
    <t>A history of electricity and magnetism [by] Herbert W. Meyer. Foreword by Bern Dibner.</t>
  </si>
  <si>
    <t>Meyer, Herbert W.</t>
  </si>
  <si>
    <t>Cambridge, Mass., MIT Press [©1971]</t>
  </si>
  <si>
    <t>2014-12-11</t>
  </si>
  <si>
    <t>1415026:eng</t>
  </si>
  <si>
    <t>277202</t>
  </si>
  <si>
    <t>ocm00277202</t>
  </si>
  <si>
    <t>3102711248N</t>
  </si>
  <si>
    <t>9780262130707</t>
  </si>
  <si>
    <t>791320902</t>
  </si>
  <si>
    <t>QC517 V922</t>
  </si>
  <si>
    <t>0                      QC 0517000V  922</t>
  </si>
  <si>
    <t>Le opere di Alessandro Volta. Edizione nazionale sotto gli auspici della Reale Accademia dei Lincei e del Reale Istituto lombardo di scienze e lettere.</t>
  </si>
  <si>
    <t>Volta, Alessandro, 1745-1827.</t>
  </si>
  <si>
    <t>New York, Johnson Reprint Corp. [1968]</t>
  </si>
  <si>
    <t>The Sources of science ; no. 70</t>
  </si>
  <si>
    <t>1102753149:ita</t>
  </si>
  <si>
    <t>2495280</t>
  </si>
  <si>
    <t>ocm02495280</t>
  </si>
  <si>
    <t>3103769262S</t>
  </si>
  <si>
    <t>792135265</t>
  </si>
  <si>
    <t>3103769267I</t>
  </si>
  <si>
    <t>792135264</t>
  </si>
  <si>
    <t>QC518 H27 1949</t>
  </si>
  <si>
    <t>0                      QC 0518000H  27          1949</t>
  </si>
  <si>
    <t>Principles of electricity and electromagnetism / by Gaylord P. Harnwell.</t>
  </si>
  <si>
    <t>Harnwell, G. P. (Gaylord Probasco), 1903-1982.</t>
  </si>
  <si>
    <t>New York : McGraw-Hill Book Co., 1949.</t>
  </si>
  <si>
    <t>1559349:eng</t>
  </si>
  <si>
    <t>536715</t>
  </si>
  <si>
    <t>ocm00536715</t>
  </si>
  <si>
    <t>3000374159S</t>
  </si>
  <si>
    <t>791407116</t>
  </si>
  <si>
    <t>QC521 G95</t>
  </si>
  <si>
    <t>0                      QC 0521000G  95</t>
  </si>
  <si>
    <t>Electricity and magnetism / translated from the French of Amédée Guillemin ; revised and edited by Silvanus P. Thompson.</t>
  </si>
  <si>
    <t>Guillemin, Amédée, 1826-1893.</t>
  </si>
  <si>
    <t>London : Macmillan, 1891.</t>
  </si>
  <si>
    <t>2016-01-17</t>
  </si>
  <si>
    <t>1909659821:eng</t>
  </si>
  <si>
    <t>230710328</t>
  </si>
  <si>
    <t>ocn230710328</t>
  </si>
  <si>
    <t>3103224415T</t>
  </si>
  <si>
    <t>794355315</t>
  </si>
  <si>
    <t>QC611.6 H6 C3 2013</t>
  </si>
  <si>
    <t>0                      QC 0611600H  6                  C  3           2013</t>
  </si>
  <si>
    <t>Calculation of electron vacancy number in superalloys.</t>
  </si>
  <si>
    <t>[Warrendale, PA] : SAE International, [2013]</t>
  </si>
  <si>
    <t>Revised</t>
  </si>
  <si>
    <t>Aerospace standard ; AS5491 Rev.C</t>
  </si>
  <si>
    <t>4427940180:eng</t>
  </si>
  <si>
    <t>994614521</t>
  </si>
  <si>
    <t>ocn994614521</t>
  </si>
  <si>
    <t>31037515034</t>
  </si>
  <si>
    <t>795039089</t>
  </si>
  <si>
    <t>QC672 S562</t>
  </si>
  <si>
    <t>0                      QC 0672000S  562</t>
  </si>
  <si>
    <t>The theory of general relativity and gravitation.</t>
  </si>
  <si>
    <t>Silberstein, Ludwik, 1872-</t>
  </si>
  <si>
    <t>Toronto : [publisher not identified], 1922.</t>
  </si>
  <si>
    <t>3857996708:eng</t>
  </si>
  <si>
    <t>427084503</t>
  </si>
  <si>
    <t>ocn427084503</t>
  </si>
  <si>
    <t>3000498528L</t>
  </si>
  <si>
    <t>794519521</t>
  </si>
  <si>
    <t>QC680 G74 2013</t>
  </si>
  <si>
    <t>0                      QC 0680000G  74          2013</t>
  </si>
  <si>
    <t>Introduction to electrodynamics / David J. Griffiths, Reed College.</t>
  </si>
  <si>
    <t>Griffiths, David J. (David Jeffery), 1942- author.</t>
  </si>
  <si>
    <t>Boston : Pearson, [2013]</t>
  </si>
  <si>
    <t>9739552:eng</t>
  </si>
  <si>
    <t>794711764</t>
  </si>
  <si>
    <t>ocn794711764</t>
  </si>
  <si>
    <t>3103578584R</t>
  </si>
  <si>
    <t>9780321856562</t>
  </si>
  <si>
    <t>794920418</t>
  </si>
  <si>
    <t>3103578579T</t>
  </si>
  <si>
    <t>794920419</t>
  </si>
  <si>
    <t>QC680 G74 2017</t>
  </si>
  <si>
    <t>0                      QC 0680000G  74          2017</t>
  </si>
  <si>
    <t>Introduction to electrodynamics / David J. Griffiths, Reed College, Oregon.</t>
  </si>
  <si>
    <t>Cambridge, United Kingdom ; New York, NY : Cambridge University Press, 2017.</t>
  </si>
  <si>
    <t>1021068059</t>
  </si>
  <si>
    <t>on1021068059</t>
  </si>
  <si>
    <t>3103907785S</t>
  </si>
  <si>
    <t>9781108420419</t>
  </si>
  <si>
    <t>795050626</t>
  </si>
  <si>
    <t>QC710 F5 1924</t>
  </si>
  <si>
    <t>0                      QC 0710000F  5           1924</t>
  </si>
  <si>
    <t>The thermionic valve and its developments in radio-telegraphy and telephony,</t>
  </si>
  <si>
    <t>Fleming, J. A. (John Ambrose), Sir, 1849-1945.</t>
  </si>
  <si>
    <t>London : [publisher not identified], 1924.</t>
  </si>
  <si>
    <t>1924</t>
  </si>
  <si>
    <t>2nd ed. fully rev.</t>
  </si>
  <si>
    <t>3958631:eng</t>
  </si>
  <si>
    <t>61597335</t>
  </si>
  <si>
    <t>ocm61597335</t>
  </si>
  <si>
    <t>3000692918O</t>
  </si>
  <si>
    <t>794036736</t>
  </si>
  <si>
    <t>QC744 K8 A7913 1981</t>
  </si>
  <si>
    <t>0                      QC 0744000K  8                  A  7913        1981</t>
  </si>
  <si>
    <t>Academician Kurchatov; hero in science and labour. Tr. from the Russian by George Yankovsky.</t>
  </si>
  <si>
    <t>Astashenkov, P. T. (Petr Timofeevich)</t>
  </si>
  <si>
    <t>Moscow, Mir Pub., 1981.</t>
  </si>
  <si>
    <t>Outstanding Soviet scientists</t>
  </si>
  <si>
    <t>20468037:eng</t>
  </si>
  <si>
    <t>19024023</t>
  </si>
  <si>
    <t>ocm19024023</t>
  </si>
  <si>
    <t>3101566833J</t>
  </si>
  <si>
    <t>793044667</t>
  </si>
  <si>
    <t>QC760 N68 2011</t>
  </si>
  <si>
    <t>0                      QC 0760000N  68          2011</t>
  </si>
  <si>
    <t>Electromagnetics / Branislav M. Notaroš.</t>
  </si>
  <si>
    <t>Notaros, Branislav M.</t>
  </si>
  <si>
    <t>Upper Saddle River, N.J. : Prentice Hall, ©2011.</t>
  </si>
  <si>
    <t>369601773:eng</t>
  </si>
  <si>
    <t>495597731</t>
  </si>
  <si>
    <t>ocn495597731</t>
  </si>
  <si>
    <t>31035520676</t>
  </si>
  <si>
    <t>9780132433846</t>
  </si>
  <si>
    <t>794801858</t>
  </si>
  <si>
    <t>3103404707K</t>
  </si>
  <si>
    <t>794801857</t>
  </si>
  <si>
    <t>QC 762 P828</t>
  </si>
  <si>
    <t>0                      QC 0762000P  828</t>
  </si>
  <si>
    <t>High-resolution nuclear magnetic resonance [by] J.A. Pople, W.G. Schneider, and H.J. Bernstein.</t>
  </si>
  <si>
    <t>Pople, John A., 1925-2004.</t>
  </si>
  <si>
    <t>New York, McGraw-Hill, 1959.</t>
  </si>
  <si>
    <t>McGraw-Hill series in advanced chemistry</t>
  </si>
  <si>
    <t>768623295:eng</t>
  </si>
  <si>
    <t>485276</t>
  </si>
  <si>
    <t>ocm00485276</t>
  </si>
  <si>
    <t>3101366162H</t>
  </si>
  <si>
    <t>791390505</t>
  </si>
  <si>
    <t>QC773 A1 C59</t>
  </si>
  <si>
    <t>0                      QC 0773000A  1                  C  59</t>
  </si>
  <si>
    <t>The birth of the bomb : the untold story of Britain's part in the weapon that changed the world / Ronald W. Clark; preface by George Thomson.</t>
  </si>
  <si>
    <t>Clark, Ronald (Ronald William), 1916-1987, author.</t>
  </si>
  <si>
    <t>London : Phoenix House LTD, 1961.</t>
  </si>
  <si>
    <t>836671199:eng</t>
  </si>
  <si>
    <t>824335</t>
  </si>
  <si>
    <t>ocm00824335</t>
  </si>
  <si>
    <t>3000694347V</t>
  </si>
  <si>
    <t>791480012</t>
  </si>
  <si>
    <t>QC773 A1 G7 1983</t>
  </si>
  <si>
    <t>0                      QC 0773000A  1                  G  7           1983</t>
  </si>
  <si>
    <t>Now it can be told : the story of the Manhattan Project / by Leslie R. Groves ; new introduction by Edward Teller.</t>
  </si>
  <si>
    <t>Groves, Leslie R., 1896-1970.</t>
  </si>
  <si>
    <t>[New York, N.Y.] : Da Capo Press, [1983], ©1962.</t>
  </si>
  <si>
    <t>A Da Capo paperback</t>
  </si>
  <si>
    <t>2016-04-20</t>
  </si>
  <si>
    <t>439105:eng</t>
  </si>
  <si>
    <t>9132112</t>
  </si>
  <si>
    <t>ocm09132112</t>
  </si>
  <si>
    <t>3000356838A</t>
  </si>
  <si>
    <t>9780306801891</t>
  </si>
  <si>
    <t>792658829</t>
  </si>
  <si>
    <t>QC773 A27 1998</t>
  </si>
  <si>
    <t>0                      QC 0773000A  27          1998</t>
  </si>
  <si>
    <t>The making of the Indian atomic bomb : science, secrecy and the postcolonial state / Itty Abraham.</t>
  </si>
  <si>
    <t>Abraham, Itty, 1960-</t>
  </si>
  <si>
    <t>London ; New York : Zed Books ; New York, NY : Distributed exclusively in the USA by St. Martin's Press, 1998.</t>
  </si>
  <si>
    <t>Postcolonial encounters</t>
  </si>
  <si>
    <t>2019-04-27</t>
  </si>
  <si>
    <t>875510:eng</t>
  </si>
  <si>
    <t>39335797</t>
  </si>
  <si>
    <t>ocm39335797</t>
  </si>
  <si>
    <t>3101951913O</t>
  </si>
  <si>
    <t>9781856496292</t>
  </si>
  <si>
    <t>793543957</t>
  </si>
  <si>
    <t>QC773 G6313 1982</t>
  </si>
  <si>
    <t>0                      QC 0773000G  6313        1982</t>
  </si>
  <si>
    <t>The atomic complex : a worldwide political history of nuclear energy / Bertrand Goldschmidt ; [translated from the French by Bruce M. Adkins].</t>
  </si>
  <si>
    <t>Goldschmidt, Bertrand.</t>
  </si>
  <si>
    <t>La Grange Park, Ill. : American Nuclear Society, ©1982.</t>
  </si>
  <si>
    <t>551618:eng</t>
  </si>
  <si>
    <t>8195045</t>
  </si>
  <si>
    <t>ocm08195045</t>
  </si>
  <si>
    <t>3000340538L</t>
  </si>
  <si>
    <t>9780894485503</t>
  </si>
  <si>
    <t>792604772</t>
  </si>
  <si>
    <t>QC773 J813 1958b</t>
  </si>
  <si>
    <t>0                      QC 0773000J  813         1958b</t>
  </si>
  <si>
    <t>Brighter than a thousand suns; a personal history of the atomic scientists / translated by James Cleugh.</t>
  </si>
  <si>
    <t>Jungk, Robert.</t>
  </si>
  <si>
    <t>5610115100:eng</t>
  </si>
  <si>
    <t>314478938</t>
  </si>
  <si>
    <t>ocn314478938</t>
  </si>
  <si>
    <t>3102799601L</t>
  </si>
  <si>
    <t>794438879</t>
  </si>
  <si>
    <t>QC773 O87 1983</t>
  </si>
  <si>
    <t>0                      QC 0773000O  87          1983</t>
  </si>
  <si>
    <t>Otto Hahn and the rise of nuclear physics / edited by William R. Shea.</t>
  </si>
  <si>
    <t>Dordrecht, Holland ; Boston : D. Reidel Pub. Co. ; Hingham, MA. : Distributed in the U.S.A. and Canada by Kluwer Academic Publishers, ©1983.</t>
  </si>
  <si>
    <t>The University of Western Ontario series in philosophy of science ; v. 22</t>
  </si>
  <si>
    <t>2016-04-10</t>
  </si>
  <si>
    <t>43753887:eng</t>
  </si>
  <si>
    <t>9647141</t>
  </si>
  <si>
    <t>ocm09647141</t>
  </si>
  <si>
    <t>3000348099I</t>
  </si>
  <si>
    <t>9789027715845</t>
  </si>
  <si>
    <t>792686797</t>
  </si>
  <si>
    <t>QC773 R46 1986</t>
  </si>
  <si>
    <t>0                      QC 0773000R  46          1986</t>
  </si>
  <si>
    <t>The making of the atomic bomb / Richard Rhodes.</t>
  </si>
  <si>
    <t>Rhodes, Richard.</t>
  </si>
  <si>
    <t>New York : Simon &amp; Schuster, 1988, ©1986.</t>
  </si>
  <si>
    <t>1st Touchstone ed.</t>
  </si>
  <si>
    <t>6736116:eng</t>
  </si>
  <si>
    <t>17454791</t>
  </si>
  <si>
    <t>ocm17454791</t>
  </si>
  <si>
    <t>3102288276L</t>
  </si>
  <si>
    <t>9780671657192</t>
  </si>
  <si>
    <t>792991838</t>
  </si>
  <si>
    <t>QC773.3 G3 B35 2013</t>
  </si>
  <si>
    <t>0                      QC 0773300G  3                  B  35          2013</t>
  </si>
  <si>
    <t>Serving the Reich : the Struggle for the Soul of Physics Under Hitler / Philip Ball.</t>
  </si>
  <si>
    <t>Ball, Philip, 1962- author.</t>
  </si>
  <si>
    <t>London : The Bodley Head, 2013.</t>
  </si>
  <si>
    <t>2014-05-15</t>
  </si>
  <si>
    <t>1784520147:eng</t>
  </si>
  <si>
    <t>855705703</t>
  </si>
  <si>
    <t>ocn855705703</t>
  </si>
  <si>
    <t>3103529536L</t>
  </si>
  <si>
    <t>9781847922489</t>
  </si>
  <si>
    <t>794953693</t>
  </si>
  <si>
    <t>QC773.3 G7 G68 1974</t>
  </si>
  <si>
    <t>0                      QC 0773300G  7                  G  68          1974</t>
  </si>
  <si>
    <t>Independence and deterrence : Britain and atomic energy, 1945-1952 / by Margaret Gowing, assisted by Lorna Arnold.</t>
  </si>
  <si>
    <t>Gowing, Margaret, author.</t>
  </si>
  <si>
    <t>New York : St. Martin's Press, 1974.</t>
  </si>
  <si>
    <t>4929709296:eng</t>
  </si>
  <si>
    <t>1256196</t>
  </si>
  <si>
    <t>ocm01256196</t>
  </si>
  <si>
    <t>3103127310Q</t>
  </si>
  <si>
    <t>791584905</t>
  </si>
  <si>
    <t>3100440775R</t>
  </si>
  <si>
    <t>791584904</t>
  </si>
  <si>
    <t>QC773.3 P35 B48 1993</t>
  </si>
  <si>
    <t>0                      QC 0773300P  35                 B  48          1993</t>
  </si>
  <si>
    <t>Pakistan's nuclear policy / P.L. Bhola.</t>
  </si>
  <si>
    <t>Bhola, P. L.</t>
  </si>
  <si>
    <t>New Delhi : Sterling Publishers, ©1993.</t>
  </si>
  <si>
    <t>South Asia studies series</t>
  </si>
  <si>
    <t>31709914:eng</t>
  </si>
  <si>
    <t>29704090</t>
  </si>
  <si>
    <t>ocm29704090</t>
  </si>
  <si>
    <t>3101513347$</t>
  </si>
  <si>
    <t>9788120714823</t>
  </si>
  <si>
    <t>793318917</t>
  </si>
  <si>
    <t>QC773.3 U5 H68 1999</t>
  </si>
  <si>
    <t>0                      QC 0773300U  5                  H  68          1999</t>
  </si>
  <si>
    <t>Their day in the sun : women of the Manhattan Project / Ruth H. Howes and Caroline L. Herzenberg ; foreword by Ellen C. Weaver.</t>
  </si>
  <si>
    <t>Howes, Ruth (Ruth Hege)</t>
  </si>
  <si>
    <t>Philadelphia, PA : Temple University Press, 1999.</t>
  </si>
  <si>
    <t>Labor and social change</t>
  </si>
  <si>
    <t>800090456:eng</t>
  </si>
  <si>
    <t>40964725</t>
  </si>
  <si>
    <t>ocm40964725</t>
  </si>
  <si>
    <t>3102003740U</t>
  </si>
  <si>
    <t>9780585388816</t>
  </si>
  <si>
    <t>793580122</t>
  </si>
  <si>
    <t>QC773.3 U5 K43 2004</t>
  </si>
  <si>
    <t>0                      QC 0773300U  5                  K  43          2004</t>
  </si>
  <si>
    <t>News zero : the New York times and the bomb / Beverly Deepe Keever.</t>
  </si>
  <si>
    <t>Keever, Beverly Deepe.</t>
  </si>
  <si>
    <t>Monroe, Me. : Common Courage Press, ©2004.</t>
  </si>
  <si>
    <t>2256615:eng</t>
  </si>
  <si>
    <t>56955178</t>
  </si>
  <si>
    <t>ocm56955178</t>
  </si>
  <si>
    <t>31024179064</t>
  </si>
  <si>
    <t>9781567512823</t>
  </si>
  <si>
    <t>793904695</t>
  </si>
  <si>
    <t>QC774 L49 F39 1994</t>
  </si>
  <si>
    <t>0                      QC 0774000L  49                 F  39          1994</t>
  </si>
  <si>
    <t>Nuclear pursuits : the scientific biography of Wilfrid Bennett Lewis / Ruth Fawcett.</t>
  </si>
  <si>
    <t>Fawcett, Ruth.</t>
  </si>
  <si>
    <t>Montreal ; London ; Buffalo : McGill-Queen's University Press, ©1994.</t>
  </si>
  <si>
    <t>31939347:eng</t>
  </si>
  <si>
    <t>29597342</t>
  </si>
  <si>
    <t>ocm29597342</t>
  </si>
  <si>
    <t>3101339600M</t>
  </si>
  <si>
    <t>9780773511866</t>
  </si>
  <si>
    <t>793315676</t>
  </si>
  <si>
    <t>QC774 M34 A66 2018</t>
  </si>
  <si>
    <t>0                      QC 0774000M  34                 A  66          2018</t>
  </si>
  <si>
    <t>What is real? / Giorgio Agamben ; translated by Lorenzo Chiesa.</t>
  </si>
  <si>
    <t>Agamben, Giorgio, 1942- author.</t>
  </si>
  <si>
    <t>Stanford, California : Stanford University Press, [2018]</t>
  </si>
  <si>
    <t>Meridian: crossing aesthetics</t>
  </si>
  <si>
    <t>9621648721:eng</t>
  </si>
  <si>
    <t>1021304019</t>
  </si>
  <si>
    <t>on1021304019</t>
  </si>
  <si>
    <t>31038098422</t>
  </si>
  <si>
    <t>9781503606203</t>
  </si>
  <si>
    <t>795051146</t>
  </si>
  <si>
    <t>QC774 M34 S3332 2011</t>
  </si>
  <si>
    <t>0                      QC 0774000M  34                 S  3332        2011</t>
  </si>
  <si>
    <t>Sciascia, Savinio e La scomparsa di Majorana / Susanna Bisi.</t>
  </si>
  <si>
    <t>Bisi, Susanna.</t>
  </si>
  <si>
    <t>Soveria Mannelli : Rubbettino, ©2011.</t>
  </si>
  <si>
    <t>Saggi ; 275</t>
  </si>
  <si>
    <t>1062025544:ita</t>
  </si>
  <si>
    <t>773671742</t>
  </si>
  <si>
    <t>ocn773671742</t>
  </si>
  <si>
    <t>3103483248S</t>
  </si>
  <si>
    <t>9788849831788</t>
  </si>
  <si>
    <t>794905877</t>
  </si>
  <si>
    <t>QC774 P66 C56 2015</t>
  </si>
  <si>
    <t>0                      QC 0774000P  66                 C  56          2015</t>
  </si>
  <si>
    <t>Half life : the divided life of Bruno Pontecorvo, physicist or spy / Frank Close.</t>
  </si>
  <si>
    <t>Close, F. E.</t>
  </si>
  <si>
    <t>New York, NY : Basic Books, a member of the Perseus Books Group, [2015]</t>
  </si>
  <si>
    <t>2235423641:eng</t>
  </si>
  <si>
    <t>897001600</t>
  </si>
  <si>
    <t>ocn897001600</t>
  </si>
  <si>
    <t>3103495783T</t>
  </si>
  <si>
    <t>9780465069989</t>
  </si>
  <si>
    <t>794984723</t>
  </si>
  <si>
    <t>QC776 B45 2007</t>
  </si>
  <si>
    <t>0                      QC 0776000B  45          2007</t>
  </si>
  <si>
    <t>Nuclear physics in a nutshell / Carlos A. Bertulani.</t>
  </si>
  <si>
    <t>Bertulani, Carlos A.</t>
  </si>
  <si>
    <t>Princeton, N.J. : Princeton University Press, ©2007.</t>
  </si>
  <si>
    <t>69625925:eng</t>
  </si>
  <si>
    <t>85690422</t>
  </si>
  <si>
    <t>ocm85690422</t>
  </si>
  <si>
    <t>31025962844</t>
  </si>
  <si>
    <t>9780691125053</t>
  </si>
  <si>
    <t>794214154</t>
  </si>
  <si>
    <t>QC791.95 J3 Y36 2011</t>
  </si>
  <si>
    <t>0                      QC 0791950J  3                  Y  36          2011</t>
  </si>
  <si>
    <t>Nihon no kaku kaihatsu 1939-1955 : genbaku kara genshiryoku e / Yamazaki Masakatsu.</t>
  </si>
  <si>
    <t>Yamazaki, Masakatsu, 1944-</t>
  </si>
  <si>
    <t>Tōkyō : Sekibundō Shuppan, 2011.</t>
  </si>
  <si>
    <t>1058205819:jpn</t>
  </si>
  <si>
    <t>767500142</t>
  </si>
  <si>
    <t>ocn767500142</t>
  </si>
  <si>
    <t>3103441200R</t>
  </si>
  <si>
    <t>9784881160756</t>
  </si>
  <si>
    <t>794901014</t>
  </si>
  <si>
    <t>QC793.5 N42 J39 2013</t>
  </si>
  <si>
    <t>0                      QC 0793500N  42                 J  39          2013</t>
  </si>
  <si>
    <t>Neutrino hunters : the thrilling chase for a ghostly particle to unlock the secrets of the universe / Ray Jayawardhana.</t>
  </si>
  <si>
    <t>Jayawardhana, Ray.</t>
  </si>
  <si>
    <t>Toronto : HarperCollins Publishers Ltd., ©2013.</t>
  </si>
  <si>
    <t>First Canadian edition.</t>
  </si>
  <si>
    <t>2014-04-02</t>
  </si>
  <si>
    <t>1372126502:eng</t>
  </si>
  <si>
    <t>872332821</t>
  </si>
  <si>
    <t>ocn872332821</t>
  </si>
  <si>
    <t>3103493604J</t>
  </si>
  <si>
    <t>9781443414265</t>
  </si>
  <si>
    <t>794968003</t>
  </si>
  <si>
    <t>QC794.6 S75 O4 2006</t>
  </si>
  <si>
    <t>0                      QC 0794600S  75                 O  4           2006</t>
  </si>
  <si>
    <t>The theory of almost everything : the Standard Model, the unsung triumph of modern physics / Robert Oerter.</t>
  </si>
  <si>
    <t>Oerter, Robert.</t>
  </si>
  <si>
    <t>New York : Pi Press, ©2006.</t>
  </si>
  <si>
    <t>588837:eng</t>
  </si>
  <si>
    <t>61129117</t>
  </si>
  <si>
    <t>ocm61129117</t>
  </si>
  <si>
    <t>3102495550B</t>
  </si>
  <si>
    <t>9780132366786</t>
  </si>
  <si>
    <t>793946806</t>
  </si>
  <si>
    <t>QC795 R87 1904</t>
  </si>
  <si>
    <t>0                      QC 0795000R  87          1904</t>
  </si>
  <si>
    <t>Radio-activity / by E. Rutherford.</t>
  </si>
  <si>
    <t>Rutherford, Ernest, 1871-1937.</t>
  </si>
  <si>
    <t>Cambridge : University Press, 1904.</t>
  </si>
  <si>
    <t>Cambridge physical series</t>
  </si>
  <si>
    <t>1423395:eng</t>
  </si>
  <si>
    <t>14801635</t>
  </si>
  <si>
    <t>ocm14801635</t>
  </si>
  <si>
    <t>3100240656C</t>
  </si>
  <si>
    <t>792906750</t>
  </si>
  <si>
    <t>2004-11-03</t>
  </si>
  <si>
    <t>31002413967</t>
  </si>
  <si>
    <t>792906753</t>
  </si>
  <si>
    <t>3000362772S</t>
  </si>
  <si>
    <t>792906751</t>
  </si>
  <si>
    <t>3000019476B</t>
  </si>
  <si>
    <t>792906752</t>
  </si>
  <si>
    <t>QC798 D3 L5 1955</t>
  </si>
  <si>
    <t>0                      QC 0798000D  3                  L  5           1955</t>
  </si>
  <si>
    <t>Radiocarbon dating.</t>
  </si>
  <si>
    <t>Libby, Willard F.</t>
  </si>
  <si>
    <t>[Chicago] University of Chicago Press, 1955.</t>
  </si>
  <si>
    <t>University of Chicago. Publications in the physical sciences</t>
  </si>
  <si>
    <t>2017-02-01</t>
  </si>
  <si>
    <t>1514761:eng</t>
  </si>
  <si>
    <t>424261</t>
  </si>
  <si>
    <t>ocm00424261</t>
  </si>
  <si>
    <t>3000498574E</t>
  </si>
  <si>
    <t>791375006</t>
  </si>
  <si>
    <t>QC798 D3 R33 2012</t>
  </si>
  <si>
    <t>0                      QC 0798000D  3                  R  33          2012</t>
  </si>
  <si>
    <t>Radiocarbon dates : from samples funded by English Heritage between 1981 and 1988 / Alex Bayliss [and others].</t>
  </si>
  <si>
    <t>Swindon [England] : English Heritage, 2012.</t>
  </si>
  <si>
    <t>3861789692:eng</t>
  </si>
  <si>
    <t>794366940</t>
  </si>
  <si>
    <t>ocn794366940</t>
  </si>
  <si>
    <t>3103432215Q</t>
  </si>
  <si>
    <t>9781848021303</t>
  </si>
  <si>
    <t>794919818</t>
  </si>
  <si>
    <t>2016-01-13</t>
  </si>
  <si>
    <t>QC806 F625 2005</t>
  </si>
  <si>
    <t>0                      QC 0806000F  625         2005</t>
  </si>
  <si>
    <t>The solid earth : an introduction to global geophysics / C.M.R. Fowler.</t>
  </si>
  <si>
    <t>Fowler, C. M. R.</t>
  </si>
  <si>
    <t>Cambridge, UK ; New York : Cambridge University Press, 2005.</t>
  </si>
  <si>
    <t>908840:eng</t>
  </si>
  <si>
    <t>53325178</t>
  </si>
  <si>
    <t>ocm53325178</t>
  </si>
  <si>
    <t>31035738587</t>
  </si>
  <si>
    <t>9780521893077</t>
  </si>
  <si>
    <t>793826296</t>
  </si>
  <si>
    <t>31035738537</t>
  </si>
  <si>
    <t>793826297</t>
  </si>
  <si>
    <t>QC809.F5 V3554 2019</t>
  </si>
  <si>
    <t>0                      QC 0809000F  5                  V  3554        2019</t>
  </si>
  <si>
    <t>Essentials of atmospheric and oceanic dynamics / Geoffrey K. Vallis, University of Exeter.</t>
  </si>
  <si>
    <t>Vallis, Geoffrey K., author.</t>
  </si>
  <si>
    <t>Cambridge, United Kingdom ; New York, NY : Cambridge University Press, 2019.</t>
  </si>
  <si>
    <t>5436294994:eng</t>
  </si>
  <si>
    <t>1051685201</t>
  </si>
  <si>
    <t>on1051685201</t>
  </si>
  <si>
    <t>3103908878G</t>
  </si>
  <si>
    <t>9781107692794</t>
  </si>
  <si>
    <t>795062108</t>
  </si>
  <si>
    <t>QC855 E94 2015</t>
  </si>
  <si>
    <t>0                      QC 0855000E  94          2015</t>
  </si>
  <si>
    <t>Breathing space : the natural and unnatural history of air / Mark Everard.</t>
  </si>
  <si>
    <t>Everard, Mark, author.</t>
  </si>
  <si>
    <t>London : Zed Books, 2015.</t>
  </si>
  <si>
    <t>2085638603:eng</t>
  </si>
  <si>
    <t>891854030</t>
  </si>
  <si>
    <t>ocn891854030</t>
  </si>
  <si>
    <t>31035829563</t>
  </si>
  <si>
    <t>9781783603855</t>
  </si>
  <si>
    <t>794980524</t>
  </si>
  <si>
    <t>QC859 A44 1996</t>
  </si>
  <si>
    <t>0                      QC 0859000A  44          1996</t>
  </si>
  <si>
    <t>On Aristotle's Meteorology 4 / Alexander of Aphrodisias ; translated by Eric Lewis.</t>
  </si>
  <si>
    <t>Alexander, of Aphrodisias.</t>
  </si>
  <si>
    <t>Ithaca, N.Y. : Cornell University Press, 1996.</t>
  </si>
  <si>
    <t>474913299:eng</t>
  </si>
  <si>
    <t>33044360</t>
  </si>
  <si>
    <t>ocm33044360</t>
  </si>
  <si>
    <t>3101713520Y</t>
  </si>
  <si>
    <t>9780801432255</t>
  </si>
  <si>
    <t>793400346</t>
  </si>
  <si>
    <t>QC859 A73 P4513 2012</t>
  </si>
  <si>
    <t>0                      QC 0859000A  73                 P  4513        2012</t>
  </si>
  <si>
    <t>On Aristotle Meteorology 1.4-9, 12 / Philoponus ; translated by Inna Kupreeva.</t>
  </si>
  <si>
    <t>1184785647:eng</t>
  </si>
  <si>
    <t>820380077</t>
  </si>
  <si>
    <t>ocn820380077</t>
  </si>
  <si>
    <t>31034576799</t>
  </si>
  <si>
    <t>9780715636756</t>
  </si>
  <si>
    <t>794935287</t>
  </si>
  <si>
    <t>QC859 P45 2011</t>
  </si>
  <si>
    <t>0                      QC 0859000P  45          2011</t>
  </si>
  <si>
    <t>On Aristotle Meteorology 1.1-3 / Philoponus ; translated by Inna Kupreeva.</t>
  </si>
  <si>
    <t>1074799015:eng</t>
  </si>
  <si>
    <t>773372462</t>
  </si>
  <si>
    <t>ocn773372462</t>
  </si>
  <si>
    <t>3103381994B</t>
  </si>
  <si>
    <t>9780715636763</t>
  </si>
  <si>
    <t>794905573</t>
  </si>
  <si>
    <t>QC861 B77 1941</t>
  </si>
  <si>
    <t>0                      QC 0861000B  77          1941</t>
  </si>
  <si>
    <t>Physical and dynamical meteorology.</t>
  </si>
  <si>
    <t>Brunt, David, 1886-1965.</t>
  </si>
  <si>
    <t>Cambridge University Press 1941.</t>
  </si>
  <si>
    <t>1520377:eng</t>
  </si>
  <si>
    <t>220999481</t>
  </si>
  <si>
    <t>ocn220999481</t>
  </si>
  <si>
    <t>3000497130I</t>
  </si>
  <si>
    <t>794323688</t>
  </si>
  <si>
    <t>QC861 L86 1879</t>
  </si>
  <si>
    <t>0                      QC 0861000L  86          1879</t>
  </si>
  <si>
    <t>A treatise on meteorology : with a collection of meteorological tables / by Elias Loomis.</t>
  </si>
  <si>
    <t>Loomis, Elias, 1811-1889, author.</t>
  </si>
  <si>
    <t>New York : Harper &amp; Bros., 1879, ©1868.</t>
  </si>
  <si>
    <t>1572789:eng</t>
  </si>
  <si>
    <t>47679819</t>
  </si>
  <si>
    <t>ocm47679819</t>
  </si>
  <si>
    <t>3103488015K</t>
  </si>
  <si>
    <t>793705204</t>
  </si>
  <si>
    <t>QC861.3 A47 2016</t>
  </si>
  <si>
    <t>0                      QC 0861300A  47          2016</t>
  </si>
  <si>
    <t>Meteorology today : an introduction to weather, climate, and the environment / C. Donald Ahrens (Emeritus, Modesto Junior College), Peter L. Jackson (University of Northern British Columbia), Christine E.J. Jackson (University of Northern British Columbia).</t>
  </si>
  <si>
    <t>Ahrens, C. Donald, author.</t>
  </si>
  <si>
    <t>Toronto : Nelson Education, [2016]</t>
  </si>
  <si>
    <t>Second Canadian edition.</t>
  </si>
  <si>
    <t>47449:eng</t>
  </si>
  <si>
    <t>959890436</t>
  </si>
  <si>
    <t>ocn959890436</t>
  </si>
  <si>
    <t>3103762409M</t>
  </si>
  <si>
    <t>9780176530792</t>
  </si>
  <si>
    <t>795022786</t>
  </si>
  <si>
    <t>31037624100</t>
  </si>
  <si>
    <t>795022785</t>
  </si>
  <si>
    <t>QC866 B97</t>
  </si>
  <si>
    <t>0                      QC 0866000B  97</t>
  </si>
  <si>
    <t>The philosophy of the weather : And a guide to its changes / by T.B. Butler.</t>
  </si>
  <si>
    <t>Butler, T. B. (Thomas Belden), 1806-1873.</t>
  </si>
  <si>
    <t>New York : D. Appleton &amp; Co., 1856.</t>
  </si>
  <si>
    <t>1856</t>
  </si>
  <si>
    <t>424111319:eng</t>
  </si>
  <si>
    <t>2497235</t>
  </si>
  <si>
    <t>ocm02497235</t>
  </si>
  <si>
    <t>3000692316F</t>
  </si>
  <si>
    <t>792135602</t>
  </si>
  <si>
    <t>QC869.4 C6 K83 1993</t>
  </si>
  <si>
    <t>0                      QC 0869400C  6                  K  83          1993</t>
  </si>
  <si>
    <t>Tian xiang yin yang hui lu / Jiang Tingxi deng bian.</t>
  </si>
  <si>
    <t>Gu jin tu shu ji cheng. Li xiang hui bian. Qian xiang dian. Selections.</t>
  </si>
  <si>
    <t>[Shanghai] : Shanghai wen yi chu ban she, 1993.</t>
  </si>
  <si>
    <t>Ying yin ben.</t>
  </si>
  <si>
    <t>Zhongguo bi ji xiao shuo wen ku xu bian</t>
  </si>
  <si>
    <t>1063591162:chi</t>
  </si>
  <si>
    <t>32997124</t>
  </si>
  <si>
    <t>ocm32997124</t>
  </si>
  <si>
    <t>3101464780V</t>
  </si>
  <si>
    <t>9787532110469</t>
  </si>
  <si>
    <t>793399292</t>
  </si>
  <si>
    <t>QC871 C3 1935</t>
  </si>
  <si>
    <t>0                      QC 0871000C  3           1935</t>
  </si>
  <si>
    <t>Manuel d'observation de la température, la précipitation, le vent et le temps.</t>
  </si>
  <si>
    <t>Ottawa : J.O. Patenaude, 1935.</t>
  </si>
  <si>
    <t>46164200:fre</t>
  </si>
  <si>
    <t>61600926</t>
  </si>
  <si>
    <t>ocm61600926</t>
  </si>
  <si>
    <t>30007176931</t>
  </si>
  <si>
    <t>794039896</t>
  </si>
  <si>
    <t>QC871.4 G74 1908</t>
  </si>
  <si>
    <t>0                      QC 0871400G  74          1908</t>
  </si>
  <si>
    <t>The observer's handbook.</t>
  </si>
  <si>
    <t>Great Britain. Meteorological Office.</t>
  </si>
  <si>
    <t>London : Printed for H.M.S.O. Stationery off., by Darling &amp; son, ltd., 1908.</t>
  </si>
  <si>
    <t>A new and revised edition.</t>
  </si>
  <si>
    <t>1229296:eng</t>
  </si>
  <si>
    <t>872706746</t>
  </si>
  <si>
    <t>ocn872706746</t>
  </si>
  <si>
    <t>31031178852</t>
  </si>
  <si>
    <t>794968271</t>
  </si>
  <si>
    <t>QC874 I5814 1929</t>
  </si>
  <si>
    <t>0                      QC 0874000I  5814        1929</t>
  </si>
  <si>
    <t>Rapport de la septième réunion de la Commission internationale des reseignements syniptiques du temps à Londres, mai-juin, 1928. traduction en française du rapport du prêsident de la commission avec des textes allemands des resolutions.</t>
  </si>
  <si>
    <t>International Commission for Synoptic Weather Information.</t>
  </si>
  <si>
    <t>Utrecht : Kemink en Zoon, 1929.</t>
  </si>
  <si>
    <t>Secrétariat du Comité météorologique international ; no. 1</t>
  </si>
  <si>
    <t>314984909:fre</t>
  </si>
  <si>
    <t>427531832</t>
  </si>
  <si>
    <t>ocn427531832</t>
  </si>
  <si>
    <t>3103113963J</t>
  </si>
  <si>
    <t>794677666</t>
  </si>
  <si>
    <t>QC874 P3</t>
  </si>
  <si>
    <t>0                      QC 0874000P  3</t>
  </si>
  <si>
    <t>Some applications of statistics to meteorology, by Hans A. Panofsky and Glenn W. Brier.</t>
  </si>
  <si>
    <t>Panofsky, Hans A.</t>
  </si>
  <si>
    <t>University Park, Pa., Mineral Industries Extension Services, College of Mineral Industries, Pennsylvania State University, 1958.</t>
  </si>
  <si>
    <t>9108107:eng</t>
  </si>
  <si>
    <t>511987</t>
  </si>
  <si>
    <t>ocm00511987</t>
  </si>
  <si>
    <t>30005171718</t>
  </si>
  <si>
    <t>791399265</t>
  </si>
  <si>
    <t>QC879.6 S45 2006</t>
  </si>
  <si>
    <t>0                      QC 0879600S  45          2006</t>
  </si>
  <si>
    <t>Atmospheric chemistry and physics : from air pollution to climate change / John H. Seinfeld, Spyros N. Pandis.</t>
  </si>
  <si>
    <t>Seinfeld, John H.</t>
  </si>
  <si>
    <t>Hoboken, N.J. : J. Wiley, ©2006.</t>
  </si>
  <si>
    <t>2018-03-21</t>
  </si>
  <si>
    <t>807869151:eng</t>
  </si>
  <si>
    <t>62493628</t>
  </si>
  <si>
    <t>ocm62493628</t>
  </si>
  <si>
    <t>31025894331</t>
  </si>
  <si>
    <t>9780471720171</t>
  </si>
  <si>
    <t>794108606</t>
  </si>
  <si>
    <t>QC880 G6</t>
  </si>
  <si>
    <t>0                      QC 0880000G  6</t>
  </si>
  <si>
    <t>Dynamic meteorology and weather forecasting / by C.L. Godske [and others].</t>
  </si>
  <si>
    <t>Godske, C. L. (Carl Ludvig), 1906-1970.</t>
  </si>
  <si>
    <t>Boston : American Meteorological Society, 1957.</t>
  </si>
  <si>
    <t>Carnegie Institution of Washington. Publications ; 605</t>
  </si>
  <si>
    <t>1317586:eng</t>
  </si>
  <si>
    <t>178825</t>
  </si>
  <si>
    <t>ocm00178825</t>
  </si>
  <si>
    <t>3000497131G</t>
  </si>
  <si>
    <t>791283360</t>
  </si>
  <si>
    <t>QC884 C57 1981</t>
  </si>
  <si>
    <t>0                      QC 0884000C  57          1981</t>
  </si>
  <si>
    <t>Climate and history : studies in interdisciplinary history / edited by Robert I. Rotberg and Theodore K. Rabb ; contributors, Andrew B. Appleby [and others].</t>
  </si>
  <si>
    <t>Princeton, N.J. : Princeton University Press, [1981]</t>
  </si>
  <si>
    <t>2019-11-08</t>
  </si>
  <si>
    <t>890009536:eng</t>
  </si>
  <si>
    <t>8125402</t>
  </si>
  <si>
    <t>ocm08125402</t>
  </si>
  <si>
    <t>3000343461F</t>
  </si>
  <si>
    <t>9780691053318</t>
  </si>
  <si>
    <t>792600378</t>
  </si>
  <si>
    <t>QC884 L5 1983</t>
  </si>
  <si>
    <t>0                      QC 0884000L  5           1983</t>
  </si>
  <si>
    <t>Past climates : tree thermometers, commodities, and people / by Leona Marshall Libby ; foreword by Rainer Berger.</t>
  </si>
  <si>
    <t>Libby, Leona Marshall, 1919-</t>
  </si>
  <si>
    <t>Austin : University of Texas Press, 1983.</t>
  </si>
  <si>
    <t>2015-02-14</t>
  </si>
  <si>
    <t>31796936:eng</t>
  </si>
  <si>
    <t>8476136</t>
  </si>
  <si>
    <t>ocm08476136</t>
  </si>
  <si>
    <t>30004724039</t>
  </si>
  <si>
    <t>9780292730199</t>
  </si>
  <si>
    <t>792621803</t>
  </si>
  <si>
    <t>QC886 M5 1964</t>
  </si>
  <si>
    <t>0                      QC 0886000M  5           1964</t>
  </si>
  <si>
    <t>The history of the barometer.</t>
  </si>
  <si>
    <t>Baltimore, Johns Hopkins Press [©1964]</t>
  </si>
  <si>
    <t>660212:eng</t>
  </si>
  <si>
    <t>538125</t>
  </si>
  <si>
    <t>ocm00538125</t>
  </si>
  <si>
    <t>3000349383G</t>
  </si>
  <si>
    <t>9780801871542</t>
  </si>
  <si>
    <t>791407576</t>
  </si>
  <si>
    <t>QC902.8 C55 2014</t>
  </si>
  <si>
    <t>0                      QC 0902800C  55          2014</t>
  </si>
  <si>
    <t>Climate change and infrastructure, urban systems, and vulnerabilities / coordinating lead authors, Thomas J. Wilbanks, ORNL, Steven J. Fernandez, ORNL ; lead authors, George Backus, Sandia National Laboratories, Pablo Garcia, Sandia National Laboratories, Karl K. Jonietz, LANL, Paul H. Kirshen, University of New Hampshire, Michael Savonic, ICF, William Solecki, CUNY/Hunter College, Gasper Loren Toole, LANL ; contributing authors, Melissa R. Allen, ORNL [and 11 others].</t>
  </si>
  <si>
    <t>Wilbanks, Thomas J., coordinating lead author.</t>
  </si>
  <si>
    <t>Washington, DC : Island Press, [2014]</t>
  </si>
  <si>
    <t>National Climate Assessment regional technical input report series</t>
  </si>
  <si>
    <t>2018-02-19</t>
  </si>
  <si>
    <t>1749409925:eng</t>
  </si>
  <si>
    <t>867603871</t>
  </si>
  <si>
    <t>ocn867603871</t>
  </si>
  <si>
    <t>3103565791$</t>
  </si>
  <si>
    <t>9781610915540</t>
  </si>
  <si>
    <t>794963974</t>
  </si>
  <si>
    <t>QC903 A145 2013</t>
  </si>
  <si>
    <t>0                      QC 0903000A  145         2013</t>
  </si>
  <si>
    <t>Climate economics : the state of the art / Frank Ackerman and Elizabeth A. Stanton.</t>
  </si>
  <si>
    <t>Ackerman, Frank.</t>
  </si>
  <si>
    <t>London ; New York : Routledge, 2013.</t>
  </si>
  <si>
    <t>Routledge studies in ecological economics ; 27</t>
  </si>
  <si>
    <t>2017-10-24</t>
  </si>
  <si>
    <t>1173740668:eng</t>
  </si>
  <si>
    <t>792874987</t>
  </si>
  <si>
    <t>ocn792874987</t>
  </si>
  <si>
    <t>3103456389K</t>
  </si>
  <si>
    <t>9780415637183</t>
  </si>
  <si>
    <t>794917115</t>
  </si>
  <si>
    <t>QC903 B53 2012</t>
  </si>
  <si>
    <t>0                      QC 0903000B  53          2012</t>
  </si>
  <si>
    <t>The politics of climate change and the global crisis : mortgaging our future / Praful Bidwai.</t>
  </si>
  <si>
    <t>Bidwai, Praful, author.</t>
  </si>
  <si>
    <t>New Delhi : Orient BlackSwan, 2012.</t>
  </si>
  <si>
    <t>2779232862:eng</t>
  </si>
  <si>
    <t>780689129</t>
  </si>
  <si>
    <t>ocn780689129</t>
  </si>
  <si>
    <t>31032994601</t>
  </si>
  <si>
    <t>9788125045038</t>
  </si>
  <si>
    <t>794912380</t>
  </si>
  <si>
    <t>QC903 B67 2012</t>
  </si>
  <si>
    <t>0                      QC 0903000B  67          2012</t>
  </si>
  <si>
    <t>Local climate action planning / Michael R. Boswell, Adrienne I. Greve, and Tammy L. Seale ; images by Dina Perkins.</t>
  </si>
  <si>
    <t>Boswell, Michael R.</t>
  </si>
  <si>
    <t>Washington, DC : Island Press, ©2012.</t>
  </si>
  <si>
    <t>787127822:eng</t>
  </si>
  <si>
    <t>702327609</t>
  </si>
  <si>
    <t>ocn702327609</t>
  </si>
  <si>
    <t>31033856914</t>
  </si>
  <si>
    <t>9781597269612</t>
  </si>
  <si>
    <t>794863920</t>
  </si>
  <si>
    <t>QC903 C4313 2014</t>
  </si>
  <si>
    <t>0                      QC 0903000C  4313        2014</t>
  </si>
  <si>
    <t>The challenges of climate change : children on the front line / UNICEF Office of Research.</t>
  </si>
  <si>
    <t>Florence, Italy : UNICEF Office of Research, [2014]</t>
  </si>
  <si>
    <t>Innocenti insight</t>
  </si>
  <si>
    <t>2031629047:eng</t>
  </si>
  <si>
    <t>884315616</t>
  </si>
  <si>
    <t>ocn884315616</t>
  </si>
  <si>
    <t>3103561039B</t>
  </si>
  <si>
    <t>9788865220276</t>
  </si>
  <si>
    <t>794976285</t>
  </si>
  <si>
    <t>QC903 C45 2011</t>
  </si>
  <si>
    <t>0                      QC 0903000C  45          2011</t>
  </si>
  <si>
    <t>The no-nonsense guide to climate change : the science, the solutions, the way forward / Danny Chivers.</t>
  </si>
  <si>
    <t>Chivers, Danny.</t>
  </si>
  <si>
    <t>Ottawa : New Internationalist, c2011.</t>
  </si>
  <si>
    <t>[The no-nonsense guides]</t>
  </si>
  <si>
    <t>685228065:eng</t>
  </si>
  <si>
    <t>671530608</t>
  </si>
  <si>
    <t>ocn671530608</t>
  </si>
  <si>
    <t>3103528412W</t>
  </si>
  <si>
    <t>9781897071717</t>
  </si>
  <si>
    <t>794848725</t>
  </si>
  <si>
    <t>QC903 C55 2014</t>
  </si>
  <si>
    <t>0                      QC 0903000C  55          2014</t>
  </si>
  <si>
    <t>Climate change adaptation manual : lessons learned from European and other industrialised countries / edited by Andrea Prutsch, Torsten Grothmann, Sabine McCallum, Inke Schauser and Rob Swart.</t>
  </si>
  <si>
    <t>London ; New York, NY : Routledge, Taylor &amp; Francis Group/Earthscan from Routledge, 2014.</t>
  </si>
  <si>
    <t>1848805713:eng</t>
  </si>
  <si>
    <t>847600046</t>
  </si>
  <si>
    <t>ocn847600046</t>
  </si>
  <si>
    <t>3103530400O</t>
  </si>
  <si>
    <t>9780415660341</t>
  </si>
  <si>
    <t>794949609</t>
  </si>
  <si>
    <t>QC903 C553 2010</t>
  </si>
  <si>
    <t>0                      QC 0903000C  553         2010</t>
  </si>
  <si>
    <t>Climate change : who's carrying the burden? : the chilly climates of the global environment dilemma / edited by L. Anders Sandberg and Tor Sandberg.</t>
  </si>
  <si>
    <t>Ottawa, ON : Canadian Centre for Policy Alternatives, 2010.</t>
  </si>
  <si>
    <t>Our schools/our selves book series ; v. 3</t>
  </si>
  <si>
    <t>808110326:eng</t>
  </si>
  <si>
    <t>662821552</t>
  </si>
  <si>
    <t>ocn662821552</t>
  </si>
  <si>
    <t>3103302297V</t>
  </si>
  <si>
    <t>9781926888064</t>
  </si>
  <si>
    <t>794837570</t>
  </si>
  <si>
    <t>QC903 C5627 2013</t>
  </si>
  <si>
    <t>0                      QC 0903000C  5627        2013</t>
  </si>
  <si>
    <t>Climate change negotiations : a guide to resolving disputes and facilitating multilateral cooperation / edited by Gunnar Sjostedt and Ariel Macaspac Penetrante.</t>
  </si>
  <si>
    <t>London : Routledge, Taylor &amp; Francis Group, 2013.</t>
  </si>
  <si>
    <t>Earthscan climate</t>
  </si>
  <si>
    <t>1220734938:eng</t>
  </si>
  <si>
    <t>154754170</t>
  </si>
  <si>
    <t>ocn154754170</t>
  </si>
  <si>
    <t>3103500015C</t>
  </si>
  <si>
    <t>9781844074648</t>
  </si>
  <si>
    <t>794252758</t>
  </si>
  <si>
    <t>QC903 C564 2010</t>
  </si>
  <si>
    <t>0                      QC 0903000C  564         2010</t>
  </si>
  <si>
    <t>Climate crises in human history / editors, A. Bruce Mainwaring, Robert Giegengack, Claudio Vita-Finzi.</t>
  </si>
  <si>
    <t>Philadelphia : American Philosophical Society, 2010.</t>
  </si>
  <si>
    <t>510748531:eng</t>
  </si>
  <si>
    <t>647773654</t>
  </si>
  <si>
    <t>ocn647773654</t>
  </si>
  <si>
    <t>3103396312K</t>
  </si>
  <si>
    <t>9781606189214</t>
  </si>
  <si>
    <t>794830916</t>
  </si>
  <si>
    <t>QC903 C87 2014</t>
  </si>
  <si>
    <t>0                      QC 0903000C  87          2014</t>
  </si>
  <si>
    <t>Culture, politics and climate change : how information shapes our common future / edited by Deserai A. Crow and Maxwell T. Boykoff.</t>
  </si>
  <si>
    <t>Milton Park, Abingdon, Oxon ; New York, NY : Routledge, 2014.</t>
  </si>
  <si>
    <t>2018-09-21</t>
  </si>
  <si>
    <t>1392059271:eng</t>
  </si>
  <si>
    <t>858355497</t>
  </si>
  <si>
    <t>ocn858355497</t>
  </si>
  <si>
    <t>31035304838</t>
  </si>
  <si>
    <t>9780415661485</t>
  </si>
  <si>
    <t>794956100</t>
  </si>
  <si>
    <t>QC903 D473 2013</t>
  </si>
  <si>
    <t>0                      QC 0903000D  473         2013</t>
  </si>
  <si>
    <t>The Demography of adaptation to climate change / George Martine and Daniel Schensul, editors ; coordination, José Miguel Guzmán.</t>
  </si>
  <si>
    <t>New York : UNFPA, IIED, and El Colegio de México, ©2013.</t>
  </si>
  <si>
    <t>1208373856:eng</t>
  </si>
  <si>
    <t>827841726</t>
  </si>
  <si>
    <t>ocn827841726</t>
  </si>
  <si>
    <t>31038601171</t>
  </si>
  <si>
    <t>9780897140010</t>
  </si>
  <si>
    <t>794940323</t>
  </si>
  <si>
    <t>QC903 D75 2011</t>
  </si>
  <si>
    <t>0                      QC 0903000D  75          2011</t>
  </si>
  <si>
    <t>Mediating climate change / Julie Doyle.</t>
  </si>
  <si>
    <t>Doyle, Julie, 1972-</t>
  </si>
  <si>
    <t>Farnham, Surrey ; Burlington, VT : Ashgate, ©2011.</t>
  </si>
  <si>
    <t>Environmental sociology</t>
  </si>
  <si>
    <t>980110725:eng</t>
  </si>
  <si>
    <t>705717052</t>
  </si>
  <si>
    <t>ocn705717052</t>
  </si>
  <si>
    <t>3103342802B</t>
  </si>
  <si>
    <t>9780754676683</t>
  </si>
  <si>
    <t>794866318</t>
  </si>
  <si>
    <t>QC903 E57 2011</t>
  </si>
  <si>
    <t>0                      QC 0903000E  57          2011</t>
  </si>
  <si>
    <t>Uncertain futures : adapting development to a changing climate / Jonathan Ensor.</t>
  </si>
  <si>
    <t>Ensor, Jonathan, 1974- author.</t>
  </si>
  <si>
    <t>Rugby, Warwickshire, UK : Practical Action Publishing, [2011?]</t>
  </si>
  <si>
    <t>1104379384:eng</t>
  </si>
  <si>
    <t>698332248</t>
  </si>
  <si>
    <t>ocn698332248</t>
  </si>
  <si>
    <t>3103380685Q</t>
  </si>
  <si>
    <t>9781853397202</t>
  </si>
  <si>
    <t>794860908</t>
  </si>
  <si>
    <t>QC903 E93 2015</t>
  </si>
  <si>
    <t>0                      QC 0903000E  93          2015</t>
  </si>
  <si>
    <t>The troubled rhetoric and communication of climate change : the argumentative situation / Philip Eubanks.</t>
  </si>
  <si>
    <t>Eubanks, Philip, 1954-</t>
  </si>
  <si>
    <t>Routledge studies in environmental communication and media</t>
  </si>
  <si>
    <t>2534023057:eng</t>
  </si>
  <si>
    <t>896601651</t>
  </si>
  <si>
    <t>ocn896601651</t>
  </si>
  <si>
    <t>3103583334L</t>
  </si>
  <si>
    <t>9781138841185</t>
  </si>
  <si>
    <t>794984038</t>
  </si>
  <si>
    <t>QC903 F58 2010</t>
  </si>
  <si>
    <t>0                      QC 0903000F  58          2010</t>
  </si>
  <si>
    <t>An introduction to climate change economics and policy / Felix R. FitzRoy and Elissaios Papyrakis.</t>
  </si>
  <si>
    <t>FitzRoy, Felix.</t>
  </si>
  <si>
    <t>London ; Sterling, VA : Earthscan, 2010.</t>
  </si>
  <si>
    <t>197160329:eng</t>
  </si>
  <si>
    <t>320189778</t>
  </si>
  <si>
    <t>ocn320189778</t>
  </si>
  <si>
    <t>31032492391</t>
  </si>
  <si>
    <t>9781844078097</t>
  </si>
  <si>
    <t>794485445</t>
  </si>
  <si>
    <t>QC903 G56 2010</t>
  </si>
  <si>
    <t>0                      QC 0903000G  56          2010</t>
  </si>
  <si>
    <t>Global climate, local journalisms : a transnational study of how media make sense of climate summits / Elisabeth Eide, Risto Kunelius, Ville Kumpu (eds.).</t>
  </si>
  <si>
    <t>Bochum : Projectverlag, 2010.</t>
  </si>
  <si>
    <t>Global journalism research series, 1865-1615 ; v. 3</t>
  </si>
  <si>
    <t>2014-01-27</t>
  </si>
  <si>
    <t>773076345:eng</t>
  </si>
  <si>
    <t>746897306</t>
  </si>
  <si>
    <t>ocn746897306</t>
  </si>
  <si>
    <t>3103441375A</t>
  </si>
  <si>
    <t>9783897332263</t>
  </si>
  <si>
    <t>794887587</t>
  </si>
  <si>
    <t>QC903 G73 2015</t>
  </si>
  <si>
    <t>0                      QC 0903000G  73          2015</t>
  </si>
  <si>
    <t>A diet of austerity : class, food and climate change / Elaine Graham-Leigh.</t>
  </si>
  <si>
    <t>Graham-Leigh, Elaine, 1973- author.</t>
  </si>
  <si>
    <t>Winchester, UK : Zero Books, 2015.</t>
  </si>
  <si>
    <t>2601633902:eng</t>
  </si>
  <si>
    <t>900121388</t>
  </si>
  <si>
    <t>ocn900121388</t>
  </si>
  <si>
    <t>3103583281E</t>
  </si>
  <si>
    <t>9781782797401</t>
  </si>
  <si>
    <t>794987181</t>
  </si>
  <si>
    <t>QC903 K44 2014</t>
  </si>
  <si>
    <t>0                      QC 0903000K  44          2014</t>
  </si>
  <si>
    <t>Toward a binding climate change adaptation regime : a proposed framework / Mizan R. Khan.</t>
  </si>
  <si>
    <t>Khan, Mizanur Rahman, author.</t>
  </si>
  <si>
    <t>London ; New York : Routledge, Taylor &amp; Francis Group, 2014.</t>
  </si>
  <si>
    <t>Routledge advances in climate change research</t>
  </si>
  <si>
    <t>1415057687:eng</t>
  </si>
  <si>
    <t>855977444</t>
  </si>
  <si>
    <t>ocn855977444</t>
  </si>
  <si>
    <t>3103503400R</t>
  </si>
  <si>
    <t>9780415661553</t>
  </si>
  <si>
    <t>794953999</t>
  </si>
  <si>
    <t>QC903 K5618 2015</t>
  </si>
  <si>
    <t>0                      QC 0903000K  5618        2015</t>
  </si>
  <si>
    <t>The global governance of climate change : G7, G20, and UN leadership / John J. Kirton, University of Toronto, Canada, Ella Kokotsis, G7 Research Group, Canada.</t>
  </si>
  <si>
    <t>Kirton, John J.</t>
  </si>
  <si>
    <t>Surrey ; Burlington, VT : Ashgate, [2015]</t>
  </si>
  <si>
    <t>Global environmental governance</t>
  </si>
  <si>
    <t>2574374786:eng</t>
  </si>
  <si>
    <t>910826848</t>
  </si>
  <si>
    <t>ocn910826848</t>
  </si>
  <si>
    <t>3103611450U</t>
  </si>
  <si>
    <t>9780754675846</t>
  </si>
  <si>
    <t>794996499</t>
  </si>
  <si>
    <t>QC903 K64 2014</t>
  </si>
  <si>
    <t>0                      QC 0903000K  64          2014</t>
  </si>
  <si>
    <t>This changes everything : capitalism vs. the climate / Naomi Klein.</t>
  </si>
  <si>
    <t>Klein, Naomi, author.</t>
  </si>
  <si>
    <t>Toronto : Alfred A. Knopf Canada, 2014.</t>
  </si>
  <si>
    <t>2019-09-26</t>
  </si>
  <si>
    <t>1874762345:eng</t>
  </si>
  <si>
    <t>878183175</t>
  </si>
  <si>
    <t>ocn878183175</t>
  </si>
  <si>
    <t>31035845821</t>
  </si>
  <si>
    <t>9780307401991</t>
  </si>
  <si>
    <t>794971307</t>
  </si>
  <si>
    <t>2019-03-31</t>
  </si>
  <si>
    <t>31035845783</t>
  </si>
  <si>
    <t>794971308</t>
  </si>
  <si>
    <t>QC903 L36 2012</t>
  </si>
  <si>
    <t>0                      QC 0903000L  36          2012</t>
  </si>
  <si>
    <t>Eco-republic : what the ancients can teach us about ethics, virtue, and sustainable living / Melissa Lane.</t>
  </si>
  <si>
    <t>Lane, M. S. (Melissa S.)</t>
  </si>
  <si>
    <t>Princeton, N.J. : Princeton University Press, ©2012.</t>
  </si>
  <si>
    <t>1043255286:eng</t>
  </si>
  <si>
    <t>760163213</t>
  </si>
  <si>
    <t>ocn760163213</t>
  </si>
  <si>
    <t>3103384293K</t>
  </si>
  <si>
    <t>9780691151243</t>
  </si>
  <si>
    <t>794898280</t>
  </si>
  <si>
    <t>QC903 M37 2011</t>
  </si>
  <si>
    <t>0                      QC 0903000M  37          2011</t>
  </si>
  <si>
    <t>Fools rule : inside the failed politics of climate change / William Marsden.</t>
  </si>
  <si>
    <t>Marsden, William.</t>
  </si>
  <si>
    <t>Toronto : A.A. Knopf Canada, c2011.</t>
  </si>
  <si>
    <t>5218787463:eng</t>
  </si>
  <si>
    <t>712851332</t>
  </si>
  <si>
    <t>ocn712851332</t>
  </si>
  <si>
    <t>3103425162C</t>
  </si>
  <si>
    <t>9780307398246</t>
  </si>
  <si>
    <t>794872313</t>
  </si>
  <si>
    <t>QC903 M54 2011</t>
  </si>
  <si>
    <t>0                      QC 0903000M  54          2011</t>
  </si>
  <si>
    <t>Migration and climate change / edited by Etienne Piguet, Antoine Pécoud and Paul de Guchteneire.</t>
  </si>
  <si>
    <t>Paris : UNESCO Pub. ; Cambridge, UK ; New York : Cambridge University Press, 2011.</t>
  </si>
  <si>
    <t>832460743:eng</t>
  </si>
  <si>
    <t>707842828</t>
  </si>
  <si>
    <t>ocn707842828</t>
  </si>
  <si>
    <t>3103342177I</t>
  </si>
  <si>
    <t>9781107014855</t>
  </si>
  <si>
    <t>794868175</t>
  </si>
  <si>
    <t>QC903 N34 2016</t>
  </si>
  <si>
    <t>0                      QC 0903000N  34          2016</t>
  </si>
  <si>
    <t>Gender and climate change : impacts, science, policy / Joane Nagel.</t>
  </si>
  <si>
    <t>Nagel, Joane.</t>
  </si>
  <si>
    <t>New York : Routledge, Taylor &amp; Francis Group, 2016.</t>
  </si>
  <si>
    <t>2497238271:eng</t>
  </si>
  <si>
    <t>907295664</t>
  </si>
  <si>
    <t>ocn907295664</t>
  </si>
  <si>
    <t>31036084137</t>
  </si>
  <si>
    <t>9781612057668</t>
  </si>
  <si>
    <t>794993226</t>
  </si>
  <si>
    <t>QC903 O36 2017</t>
  </si>
  <si>
    <t>0                      QC 0903000O  36          2017</t>
  </si>
  <si>
    <t>The violence of climate change : lessons of resistance from nonviolent activists / Kevin J. O'Brien.</t>
  </si>
  <si>
    <t>O'Brien, Kevin J. (Kevin James), 1977-</t>
  </si>
  <si>
    <t>Washington, DC : Georgetown University Press, [2017]</t>
  </si>
  <si>
    <t>3828713367:eng</t>
  </si>
  <si>
    <t>957581426</t>
  </si>
  <si>
    <t>ocn957581426</t>
  </si>
  <si>
    <t>3103892095V</t>
  </si>
  <si>
    <t>9781626164345</t>
  </si>
  <si>
    <t>795021114</t>
  </si>
  <si>
    <t>QC903 P35 2013</t>
  </si>
  <si>
    <t>0                      QC 0903000P  35          2013</t>
  </si>
  <si>
    <t>Climate change in the media : reporting risk and uncertainty / James Painter.</t>
  </si>
  <si>
    <t>Painter, James, author.</t>
  </si>
  <si>
    <t>London : Published by I.B. Tauris &amp; Co. Ltd in association with the Reuters Institute for the Study of Journalism, University of Oxford, 2013.</t>
  </si>
  <si>
    <t>RISJ challenges</t>
  </si>
  <si>
    <t>1412175469:eng</t>
  </si>
  <si>
    <t>841186358</t>
  </si>
  <si>
    <t>ocn841186358</t>
  </si>
  <si>
    <t>3103504527G</t>
  </si>
  <si>
    <t>9781780765884</t>
  </si>
  <si>
    <t>794946597</t>
  </si>
  <si>
    <t>QC903 P44 2011</t>
  </si>
  <si>
    <t>0                      QC 0903000P  44          2011</t>
  </si>
  <si>
    <t>Adaptation to climate change : from resilience to transformation / Mark Pelling.</t>
  </si>
  <si>
    <t>Pelling, Mark, 1967-</t>
  </si>
  <si>
    <t>London ; New York : Routledge, 2011.</t>
  </si>
  <si>
    <t>2017-10-22</t>
  </si>
  <si>
    <t>796651644:eng</t>
  </si>
  <si>
    <t>316836172</t>
  </si>
  <si>
    <t>ocn316836172</t>
  </si>
  <si>
    <t>3103230021D</t>
  </si>
  <si>
    <t>9780415477505</t>
  </si>
  <si>
    <t>794450058</t>
  </si>
  <si>
    <t>QC903 P445 2011</t>
  </si>
  <si>
    <t>0                      QC 0903000P  445         2011</t>
  </si>
  <si>
    <t>The challenge of climate change : which way now? / by Daniel D. Perlmutter and Robert L. Rothstein.</t>
  </si>
  <si>
    <t>Perlmutter, Daniel D.</t>
  </si>
  <si>
    <t>Chichester, West Sussex, UK ; Hoboken, NJ : Wiley-Blackwell, 2011.</t>
  </si>
  <si>
    <t>2015-09-24</t>
  </si>
  <si>
    <t>793964164:eng</t>
  </si>
  <si>
    <t>640510907</t>
  </si>
  <si>
    <t>ocn640510907</t>
  </si>
  <si>
    <t>3103323361K</t>
  </si>
  <si>
    <t>9780470654989</t>
  </si>
  <si>
    <t>794827414</t>
  </si>
  <si>
    <t>QC903 R69 2014</t>
  </si>
  <si>
    <t>0                      QC 0903000R  69          2014</t>
  </si>
  <si>
    <t>Routledge handbook of the climate change movement / edited by Matthias Dietz and Heiko Garrelts.</t>
  </si>
  <si>
    <t>London ; New York : Routledge, Earthscan from Routledge, 2014.</t>
  </si>
  <si>
    <t>1405392273:eng</t>
  </si>
  <si>
    <t>853287123</t>
  </si>
  <si>
    <t>ocn853287123</t>
  </si>
  <si>
    <t>3103504049R</t>
  </si>
  <si>
    <t>9780415839259</t>
  </si>
  <si>
    <t>794952002</t>
  </si>
  <si>
    <t>QC903 S535 2016</t>
  </si>
  <si>
    <t>0                      QC 0903000S  535         2016</t>
  </si>
  <si>
    <t>The two degrees dangerous limit for climate change : public understanding and decision making / Christopher Shaw.</t>
  </si>
  <si>
    <t>Shaw, Christopher, 1965-</t>
  </si>
  <si>
    <t>2019-08-18</t>
  </si>
  <si>
    <t>2584992442:eng</t>
  </si>
  <si>
    <t>915323917</t>
  </si>
  <si>
    <t>ocn915323917</t>
  </si>
  <si>
    <t>3103611227X</t>
  </si>
  <si>
    <t>9781138782952</t>
  </si>
  <si>
    <t>795000480</t>
  </si>
  <si>
    <t>QC903 S563 2011</t>
  </si>
  <si>
    <t>0                      QC 0903000S  563         2011</t>
  </si>
  <si>
    <t>Let them eat carbon : the price of failing climate change policies, and how governments and big business profit from them / Matthew Sinclair.</t>
  </si>
  <si>
    <t>Sinclair, Matthew.</t>
  </si>
  <si>
    <t>London : Biteback, 2011.</t>
  </si>
  <si>
    <t>1071338338:eng</t>
  </si>
  <si>
    <t>752791164</t>
  </si>
  <si>
    <t>ocn752791164</t>
  </si>
  <si>
    <t>3103343024R</t>
  </si>
  <si>
    <t>9781849541169</t>
  </si>
  <si>
    <t>794891872</t>
  </si>
  <si>
    <t>QC903 S587 2013</t>
  </si>
  <si>
    <t>0                      QC 0903000S  587         2013</t>
  </si>
  <si>
    <t>The climate bonus : co-benefits of climate policy / Alison Smith.</t>
  </si>
  <si>
    <t>Smith, Alison, 1964-</t>
  </si>
  <si>
    <t>London ; New York : Routledge/Earthscan, 2013.</t>
  </si>
  <si>
    <t>1220523458:eng</t>
  </si>
  <si>
    <t>758394677</t>
  </si>
  <si>
    <t>ocn758394677</t>
  </si>
  <si>
    <t>3103456386K</t>
  </si>
  <si>
    <t>9781849713405</t>
  </si>
  <si>
    <t>794896316</t>
  </si>
  <si>
    <t>QC903 S86 2012</t>
  </si>
  <si>
    <t>0                      QC 0903000S  86          2012</t>
  </si>
  <si>
    <t>The city and the coming climate : climate change in the places we live / Brian Stone, Jr.</t>
  </si>
  <si>
    <t>Stone, Brian, Jr.</t>
  </si>
  <si>
    <t>New York : Cambridge University Press, 2012.</t>
  </si>
  <si>
    <t>2013-10-28</t>
  </si>
  <si>
    <t>1038722432:eng</t>
  </si>
  <si>
    <t>759050076</t>
  </si>
  <si>
    <t>ocn759050076</t>
  </si>
  <si>
    <t>3103430679A</t>
  </si>
  <si>
    <t>9781107016712</t>
  </si>
  <si>
    <t>794896944</t>
  </si>
  <si>
    <t>QC903 S95 2017</t>
  </si>
  <si>
    <t>0                      QC 0903000S  95          2017</t>
  </si>
  <si>
    <t>Just cool it! : the climate crisis and what we can do : a post-Paris Agreement game plan / David Suzuki &amp; Ian Hanington.</t>
  </si>
  <si>
    <t>Suzuki, David, 1936- author.</t>
  </si>
  <si>
    <t>Vancouver ; Berkeley : Greystone Books, 2017.</t>
  </si>
  <si>
    <t>4147615595:eng</t>
  </si>
  <si>
    <t>980364538</t>
  </si>
  <si>
    <t>ocn980364538</t>
  </si>
  <si>
    <t>3103647309K</t>
  </si>
  <si>
    <t>9781771642590</t>
  </si>
  <si>
    <t>795033708</t>
  </si>
  <si>
    <t>QC903 T69 2014</t>
  </si>
  <si>
    <t>0                      QC 0903000T  69          2014</t>
  </si>
  <si>
    <t>Toward a new climate agreement : conflict, resolution and governance / edited by Todd L. Cherry, Jon Hovi, David M. McEvoy.</t>
  </si>
  <si>
    <t>1215511792:eng</t>
  </si>
  <si>
    <t>832277435</t>
  </si>
  <si>
    <t>ocn832277435</t>
  </si>
  <si>
    <t>3103530242M</t>
  </si>
  <si>
    <t>9780415643795</t>
  </si>
  <si>
    <t>794943882</t>
  </si>
  <si>
    <t>QC903 V67 2018</t>
  </si>
  <si>
    <t>0                      QC 0903000V  67          2018</t>
  </si>
  <si>
    <t>The memory we could be : overcoming fear to create our ecological future / Daniel MacMillen Voskoboynik.</t>
  </si>
  <si>
    <t>Voskoboynik, Daniel Macmillen, author.</t>
  </si>
  <si>
    <t>Gabriola Island, BC, Canada : New Society Publishers, [2018]</t>
  </si>
  <si>
    <t>5400901664:eng</t>
  </si>
  <si>
    <t>1127772913</t>
  </si>
  <si>
    <t>on1127772913</t>
  </si>
  <si>
    <t>3103730585U</t>
  </si>
  <si>
    <t>9780865718999</t>
  </si>
  <si>
    <t>795086210</t>
  </si>
  <si>
    <t>QC903 W34 2016</t>
  </si>
  <si>
    <t>0                      QC 0903000W  34          2016</t>
  </si>
  <si>
    <t>Climate shock : the economic consequences of a hotter planet / Gernot Wagner and Martin L. Weitzman.</t>
  </si>
  <si>
    <t>Wagner, Gernot, author.</t>
  </si>
  <si>
    <t>Princeton : Princeton University Press, [2015]</t>
  </si>
  <si>
    <t>2297281200:eng</t>
  </si>
  <si>
    <t>890107122</t>
  </si>
  <si>
    <t>ocn890107122</t>
  </si>
  <si>
    <t>3103698576$</t>
  </si>
  <si>
    <t>9780691159478</t>
  </si>
  <si>
    <t>794978881</t>
  </si>
  <si>
    <t>QC903 W57 2016</t>
  </si>
  <si>
    <t>0                      QC 0903000W  57          2016</t>
  </si>
  <si>
    <t>Gender and climate change financing : coming out of the margin / Mariama Williams.</t>
  </si>
  <si>
    <t>Williams, Mariama.</t>
  </si>
  <si>
    <t>Routledge IAFFE advances in feminist economics</t>
  </si>
  <si>
    <t>900740926:eng</t>
  </si>
  <si>
    <t>724640134</t>
  </si>
  <si>
    <t>ocn724640134</t>
  </si>
  <si>
    <t>31036129505</t>
  </si>
  <si>
    <t>9780415688543</t>
  </si>
  <si>
    <t>794876397</t>
  </si>
  <si>
    <t>QC903.2 A68 L465 2013</t>
  </si>
  <si>
    <t>0                      QC 0903200A  68                 L  465         2013</t>
  </si>
  <si>
    <t>Arctic opening : insecurity and opportunity / Christian Le Mière and Jeffrey Mazo.</t>
  </si>
  <si>
    <t>Le Mière, Christian, author.</t>
  </si>
  <si>
    <t>Abingdon : Routledge for the International Institute for Strategic Studies, 2013.</t>
  </si>
  <si>
    <t>Adelphi series, 1944-5571 ; 440</t>
  </si>
  <si>
    <t>1770847705:eng</t>
  </si>
  <si>
    <t>868199925</t>
  </si>
  <si>
    <t>ocn868199925</t>
  </si>
  <si>
    <t>3103657696I</t>
  </si>
  <si>
    <t>9781138776692</t>
  </si>
  <si>
    <t>794964524</t>
  </si>
  <si>
    <t>QC903.2 B2 M66 2019</t>
  </si>
  <si>
    <t>0                      QC 0903200B  2                  M  66          2019</t>
  </si>
  <si>
    <t>Destination Anthropocene : science and tourism in the Bahamas / Amelia Moore.</t>
  </si>
  <si>
    <t>Moore, Amelia, 1981- author.</t>
  </si>
  <si>
    <t>Oakland, California : University of California Press, [2019]</t>
  </si>
  <si>
    <t>Critical environments: nature, science, and politics ; 7</t>
  </si>
  <si>
    <t>8876120840:eng</t>
  </si>
  <si>
    <t>1083152245</t>
  </si>
  <si>
    <t>on1083152245</t>
  </si>
  <si>
    <t>3103903755K</t>
  </si>
  <si>
    <t>9780520298927</t>
  </si>
  <si>
    <t>795078023</t>
  </si>
  <si>
    <t>QC903.2 C3 J64 2016</t>
  </si>
  <si>
    <t>0                      QC 0903200C  3                  J  64          2016</t>
  </si>
  <si>
    <t>Empty cellars, melting ice, and burning tundra : climate change and Native Peoples in the United States and Canada / Bruce E. Johansen.</t>
  </si>
  <si>
    <t>Johansen, Bruce E. (Bruce Elliott), 1950- author.</t>
  </si>
  <si>
    <t>Vernon, British Columbia : JCharlton Publishing Ltd., 2016.</t>
  </si>
  <si>
    <t>2854900008:eng</t>
  </si>
  <si>
    <t>933542194</t>
  </si>
  <si>
    <t>ocn933542194</t>
  </si>
  <si>
    <t>31036471130</t>
  </si>
  <si>
    <t>9781926476087</t>
  </si>
  <si>
    <t>795009232</t>
  </si>
  <si>
    <t>QC903.2 C35 C55 2015</t>
  </si>
  <si>
    <t>0                      QC 0903200C  35                 C  55          2015</t>
  </si>
  <si>
    <t>Climate change impacts on tropical forests in Central America : an ecosystem service perspective / edited by Aline Chiabai.</t>
  </si>
  <si>
    <t>Milton Park, Abingdon, Oxon : Routledge/Taylor &amp; Francis Group, 2015.</t>
  </si>
  <si>
    <t>The Earthscan forest library</t>
  </si>
  <si>
    <t>2553668461:eng</t>
  </si>
  <si>
    <t>866614222</t>
  </si>
  <si>
    <t>ocn866614222</t>
  </si>
  <si>
    <t>3103611725H</t>
  </si>
  <si>
    <t>9780415720809</t>
  </si>
  <si>
    <t>794963470</t>
  </si>
  <si>
    <t>QC903.2 C5 C55 2016</t>
  </si>
  <si>
    <t>0                      QC 0903200C  5                  C  55          2016</t>
  </si>
  <si>
    <t>Climate risk and resilience in China / edited by Rebecca Nadin, Sarah Opitz-Stapleton and Xu Yinlong.</t>
  </si>
  <si>
    <t>London ; New York : Routledge/Taylor &amp; Francis Group, 2016.</t>
  </si>
  <si>
    <t>2564974039:eng</t>
  </si>
  <si>
    <t>910309743</t>
  </si>
  <si>
    <t>ocn910309743</t>
  </si>
  <si>
    <t>3103612890Y</t>
  </si>
  <si>
    <t>9781138818828</t>
  </si>
  <si>
    <t>794996063</t>
  </si>
  <si>
    <t>QC903.2 C5 Z463 2011</t>
  </si>
  <si>
    <t>0                      QC 0903200C  5                  Z  463         2011</t>
  </si>
  <si>
    <t>Zhongguo li chao qi hou bian hua / Ge Quansheng deng zhu.</t>
  </si>
  <si>
    <t>Beijing : Ke xue chu ban she, 2011.</t>
  </si>
  <si>
    <t>1208544684:chi</t>
  </si>
  <si>
    <t>696295394</t>
  </si>
  <si>
    <t>ocn696295394</t>
  </si>
  <si>
    <t>31034252885</t>
  </si>
  <si>
    <t>9787030297532</t>
  </si>
  <si>
    <t>794859085</t>
  </si>
  <si>
    <t>QC903.2 D44 C55 2013</t>
  </si>
  <si>
    <t>0                      QC 0903200D  44                 C  55          2013</t>
  </si>
  <si>
    <t>Climate governance in the developing world / edited by David Held, Charles Roger and Eva-Maria Nag.</t>
  </si>
  <si>
    <t>Cambridge : Polity, 2013.</t>
  </si>
  <si>
    <t>1440948993:eng</t>
  </si>
  <si>
    <t>829055763</t>
  </si>
  <si>
    <t>ocn829055763</t>
  </si>
  <si>
    <t>3103501413X</t>
  </si>
  <si>
    <t>9780745662763</t>
  </si>
  <si>
    <t>794942011</t>
  </si>
  <si>
    <t>QC903.2 E85 B5613 2019</t>
  </si>
  <si>
    <t>0                      QC 0903200E  85                 B  5613        2019</t>
  </si>
  <si>
    <t>Nature's mutiny : how the little Ice Age of the long seventeenth century transformed the West and shaped the present / Philipp Blom ; translated from the German by the author.</t>
  </si>
  <si>
    <t>Blom, Philipp, 1970- author, translator.</t>
  </si>
  <si>
    <t>New York, NY : Liveright Publishing Corporation, a division of W.W. Norton &amp; Company, [2019]</t>
  </si>
  <si>
    <t>5190403455:eng</t>
  </si>
  <si>
    <t>1037807373</t>
  </si>
  <si>
    <t>on1037807373</t>
  </si>
  <si>
    <t>3103812468T</t>
  </si>
  <si>
    <t>9781631494048</t>
  </si>
  <si>
    <t>795058242</t>
  </si>
  <si>
    <t>QC903.2 I4 H36 2012</t>
  </si>
  <si>
    <t>0                      QC 0903200I  4                  H  36          2012</t>
  </si>
  <si>
    <t>A handbook of climate change and India : development, politics, and governance / edited by Navroz K. Dubash.</t>
  </si>
  <si>
    <t>Abingdon, Oxon ; N.Y. : Earthscan, 2012.</t>
  </si>
  <si>
    <t>916219921:eng</t>
  </si>
  <si>
    <t>731925112</t>
  </si>
  <si>
    <t>ocn731925112</t>
  </si>
  <si>
    <t>31034059570</t>
  </si>
  <si>
    <t>9781849713580</t>
  </si>
  <si>
    <t>794881089</t>
  </si>
  <si>
    <t>QC903.2 I4 S43 2008</t>
  </si>
  <si>
    <t>0                      QC 0903200I  4                  S  43          2008</t>
  </si>
  <si>
    <t>Security implications of climate change for India : report of the IDSA Working Group.</t>
  </si>
  <si>
    <t>New Delhi : Academic Foundation in association with Institute for Defence Studies and Analyses, 2009.</t>
  </si>
  <si>
    <t>338976710:eng</t>
  </si>
  <si>
    <t>453818737</t>
  </si>
  <si>
    <t>ocn453818737</t>
  </si>
  <si>
    <t>3103249453S</t>
  </si>
  <si>
    <t>9788171887637</t>
  </si>
  <si>
    <t>794787890</t>
  </si>
  <si>
    <t>QC903.2 P73 F37 2012</t>
  </si>
  <si>
    <t>0                      QC 0903200P  73                 F  37          2012</t>
  </si>
  <si>
    <t>Far field : digital culture, climate change, and the Poles / edited by Jane D. Marsching and Andrea Polli.</t>
  </si>
  <si>
    <t>Bristol, U.K. ; Chicago : Intellect, 2012.</t>
  </si>
  <si>
    <t>2014-01-30</t>
  </si>
  <si>
    <t>1158160244:eng</t>
  </si>
  <si>
    <t>769191088</t>
  </si>
  <si>
    <t>ocn769191088</t>
  </si>
  <si>
    <t>3103409634Y</t>
  </si>
  <si>
    <t>9781841504780</t>
  </si>
  <si>
    <t>794903130</t>
  </si>
  <si>
    <t>QC903.2 S94 A57 2015</t>
  </si>
  <si>
    <t>0                      QC 0903200S  94                 A  57          2015</t>
  </si>
  <si>
    <t>Discourses of global climate change : apocalyptic framing and political antagonisms / Jonas Anshelm and Martin Hultman.</t>
  </si>
  <si>
    <t>Anshelm, Jonas, 1960- author.</t>
  </si>
  <si>
    <t>Abingdon, Oxon ; New York, NY : Routledge, 2015.</t>
  </si>
  <si>
    <t>2243651170:eng</t>
  </si>
  <si>
    <t>877844790</t>
  </si>
  <si>
    <t>ocn877844790</t>
  </si>
  <si>
    <t>3103580457Q</t>
  </si>
  <si>
    <t>9781138781313</t>
  </si>
  <si>
    <t>794971044</t>
  </si>
  <si>
    <t>QC903.2 U6 B35 2015</t>
  </si>
  <si>
    <t>0                      QC 0903200U  6                  B  35          2015</t>
  </si>
  <si>
    <t>US climate change policy / Christopher J. Bailey.</t>
  </si>
  <si>
    <t>Bailey, Christopher J., author.</t>
  </si>
  <si>
    <t>Farnham, Surrey : Ashgate Publishing Limited, [2015]</t>
  </si>
  <si>
    <t>Transforming environmental politics and policy</t>
  </si>
  <si>
    <t>2757904199:eng</t>
  </si>
  <si>
    <t>910826886</t>
  </si>
  <si>
    <t>ocn910826886</t>
  </si>
  <si>
    <t>3103610900U</t>
  </si>
  <si>
    <t>9781409440178</t>
  </si>
  <si>
    <t>794996502</t>
  </si>
  <si>
    <t>QC903.2 U6 D47 2012</t>
  </si>
  <si>
    <t>0                      QC 0903200U  6                  D  47          2012</t>
  </si>
  <si>
    <t>The design and implementation of US climate policy / edited by Don Fullerton and Catherine Wolfram.</t>
  </si>
  <si>
    <t>Chicago : The University of Chicago Press, 2012.</t>
  </si>
  <si>
    <t>A National Bureau of Economic Research conference report</t>
  </si>
  <si>
    <t>1066430385:eng</t>
  </si>
  <si>
    <t>769232456</t>
  </si>
  <si>
    <t>ocn769232456</t>
  </si>
  <si>
    <t>3103484310R</t>
  </si>
  <si>
    <t>9780226269146</t>
  </si>
  <si>
    <t>794903164</t>
  </si>
  <si>
    <t>QC903.2 U6 S53 2013</t>
  </si>
  <si>
    <t>0                      QC 0903200U  6                  S  53          2013</t>
  </si>
  <si>
    <t>American exodus : climate change and the coming flight for survival / Giles Slade.</t>
  </si>
  <si>
    <t>Slade, Giles, author.</t>
  </si>
  <si>
    <t>Gabriola, BC : New Society Publishers, [2013]</t>
  </si>
  <si>
    <t>2013-11-26</t>
  </si>
  <si>
    <t>1411007102:eng</t>
  </si>
  <si>
    <t>833301182</t>
  </si>
  <si>
    <t>ocn833301182</t>
  </si>
  <si>
    <t>3103493213T</t>
  </si>
  <si>
    <t>9780865717497</t>
  </si>
  <si>
    <t>794944112</t>
  </si>
  <si>
    <t>QC911 R65</t>
  </si>
  <si>
    <t>0                      QC 0911000R  65</t>
  </si>
  <si>
    <t>Solar radiation.</t>
  </si>
  <si>
    <t>Robinson, N. (Nathan), editor.</t>
  </si>
  <si>
    <t>Amsterdam, New York, Elsevier Pub. Co., 1966.</t>
  </si>
  <si>
    <t>2017-06-12</t>
  </si>
  <si>
    <t>355703804:eng</t>
  </si>
  <si>
    <t>639865</t>
  </si>
  <si>
    <t>ocm00639865</t>
  </si>
  <si>
    <t>30010493159</t>
  </si>
  <si>
    <t>791435104</t>
  </si>
  <si>
    <t>QC911.8 N38 2013</t>
  </si>
  <si>
    <t>0                      QC 0911800N  38          2013</t>
  </si>
  <si>
    <t>Review of NOAA Working Group report on maintaining the continuation of long-term satellite total solar irradiance observation / Committee on Evaluating NOAA's Plan to Mitigate the Loss of Total Solar Irradiance Measurements from Space, Board on Atmospheric Sciences and Climate, Division on Earth and Life Sciences, National Research Council of the National Academies.</t>
  </si>
  <si>
    <t>National Research Council (U.S.). Committee on Evaluating NOAA's Plan to Mitigate the Loss of Total Solar Irradiance Measurements from Space.</t>
  </si>
  <si>
    <t>Washington, D.C. : National Academies Press, [2013]</t>
  </si>
  <si>
    <t>1376467757:eng</t>
  </si>
  <si>
    <t>855957470</t>
  </si>
  <si>
    <t>ocn855957470</t>
  </si>
  <si>
    <t>3103505140K</t>
  </si>
  <si>
    <t>9780309287630</t>
  </si>
  <si>
    <t>794953982</t>
  </si>
  <si>
    <t>QC915 M46</t>
  </si>
  <si>
    <t>0                      QC 0915000M  46</t>
  </si>
  <si>
    <t>A history of the theories of rain and other forms of precipitation [by] W.E. Knowles Middleton.</t>
  </si>
  <si>
    <t>London, Oldbourne [1966]</t>
  </si>
  <si>
    <t>Oldbourne history of science library</t>
  </si>
  <si>
    <t>1816461:eng</t>
  </si>
  <si>
    <t>12250134</t>
  </si>
  <si>
    <t>ocm12250134</t>
  </si>
  <si>
    <t>3000349382I</t>
  </si>
  <si>
    <t>792807690</t>
  </si>
  <si>
    <t>QC925 B315 2015</t>
  </si>
  <si>
    <t>0                      QC 0925000B  315         2015</t>
  </si>
  <si>
    <t>Rain : a natural and cultural history / Cynthia Barnett.</t>
  </si>
  <si>
    <t>Barnett, Cynthia, 1966- author.</t>
  </si>
  <si>
    <t>New York : Crown Publishers, [2015]</t>
  </si>
  <si>
    <t>2072763471:eng</t>
  </si>
  <si>
    <t>890377468</t>
  </si>
  <si>
    <t>ocn890377468</t>
  </si>
  <si>
    <t>3103610156Z</t>
  </si>
  <si>
    <t>9780804137096</t>
  </si>
  <si>
    <t>794979157</t>
  </si>
  <si>
    <t>QC925.7 N4 R8 1897</t>
  </si>
  <si>
    <t>0                      QC 0925700N  4                  R  8           1897</t>
  </si>
  <si>
    <t>Results of rain, river, and evaporation observations made in New South Wales during 1893 / under the direction of H.C. Russell, government astronomer.</t>
  </si>
  <si>
    <t>Paper Fragile. Handle with care.</t>
  </si>
  <si>
    <t>Sydney : Charles Potter, 1894.</t>
  </si>
  <si>
    <t>132698006:eng</t>
  </si>
  <si>
    <t>14026424</t>
  </si>
  <si>
    <t>ocm14026424</t>
  </si>
  <si>
    <t>31035929420</t>
  </si>
  <si>
    <t>792875323</t>
  </si>
  <si>
    <t>QC926.45 C2 A24 1998</t>
  </si>
  <si>
    <t>0                      QC 0926450C  2                  A  24          1998</t>
  </si>
  <si>
    <t>The ice storm : an historic record in photographs of January 1998 / with a text by Mark Abley ; [edited by Jennifer Robinson].</t>
  </si>
  <si>
    <t>Abley, Mark.</t>
  </si>
  <si>
    <t>Toronto : M &amp; S, ©1998.</t>
  </si>
  <si>
    <t>2014-07-21</t>
  </si>
  <si>
    <t>44618870:eng</t>
  </si>
  <si>
    <t>43757806</t>
  </si>
  <si>
    <t>ocm43757806</t>
  </si>
  <si>
    <t>3101940138E</t>
  </si>
  <si>
    <t>9780771061004</t>
  </si>
  <si>
    <t>793634185</t>
  </si>
  <si>
    <t>3102658154J</t>
  </si>
  <si>
    <t>793634184</t>
  </si>
  <si>
    <t>QC926.45 C22 Q44 1998</t>
  </si>
  <si>
    <t>0                      QC 0926450C  22                 Q  44          1998</t>
  </si>
  <si>
    <t>Débranché : janvier 1998 : l'album photo / préface de Gaston L'Heureux = Unplugged : January 1998 : the photo album / preface by Trevor Ferguson.</t>
  </si>
  <si>
    <t>[Lemoyne, Québec : Lookommunication, 1998?]</t>
  </si>
  <si>
    <t>2e éd. = 2nd ed.</t>
  </si>
  <si>
    <t>56520821:fre</t>
  </si>
  <si>
    <t>43428023</t>
  </si>
  <si>
    <t>ocm43428023</t>
  </si>
  <si>
    <t>3102249926Q</t>
  </si>
  <si>
    <t>9782980600913</t>
  </si>
  <si>
    <t>793626497</t>
  </si>
  <si>
    <t>QC929 F7 C57 2015</t>
  </si>
  <si>
    <t>0                      QC 0929000F  7                  C  57          2015</t>
  </si>
  <si>
    <t>London fog : the biography / Christine L. Corton.</t>
  </si>
  <si>
    <t>Corton, Christine L., 1958- author.</t>
  </si>
  <si>
    <t>Cambridge, Massachusetts : The Belknap Press of Harvard University Press, 2015.</t>
  </si>
  <si>
    <t>2789509326:eng</t>
  </si>
  <si>
    <t>906121578</t>
  </si>
  <si>
    <t>ocn906121578</t>
  </si>
  <si>
    <t>31036089582</t>
  </si>
  <si>
    <t>9780674088351</t>
  </si>
  <si>
    <t>794992252</t>
  </si>
  <si>
    <t>QC929.28 C32 P72 2004</t>
  </si>
  <si>
    <t>0                      QC 0929280C  32                 P  72          2004</t>
  </si>
  <si>
    <t>The science, impacts and monitoring of drought in Western Canada / edited by Dave Sauchyn, Madhav Khandekar and E. Ray Garnett.</t>
  </si>
  <si>
    <t>Prairie Drought Workshop (2004 : Calgary, Alta.)</t>
  </si>
  <si>
    <t>Regina : University of Regina, Canadian Plains Research Center, 2005.</t>
  </si>
  <si>
    <t>46584391:eng</t>
  </si>
  <si>
    <t>60798018</t>
  </si>
  <si>
    <t>ocm60798018</t>
  </si>
  <si>
    <t>3102557905F</t>
  </si>
  <si>
    <t>9780889771802</t>
  </si>
  <si>
    <t>793944012</t>
  </si>
  <si>
    <t>QC945 H8733 2004</t>
  </si>
  <si>
    <t>0                      QC 0945000H  8733        2004</t>
  </si>
  <si>
    <t>Hurricane Juan : the unforgettable storm / compiled by Donald J. McLeod.</t>
  </si>
  <si>
    <t>Halifax, N.S. : Formac Pub., c2004.</t>
  </si>
  <si>
    <t>2533395838:eng</t>
  </si>
  <si>
    <t>56807553</t>
  </si>
  <si>
    <t>ocm56807553</t>
  </si>
  <si>
    <t>3102440056Y</t>
  </si>
  <si>
    <t>9780887806551</t>
  </si>
  <si>
    <t>793902267</t>
  </si>
  <si>
    <t>QC945 K54 2018</t>
  </si>
  <si>
    <t>0                      QC 0945000K  54          2018</t>
  </si>
  <si>
    <t>The battle for paradise : Puerto Rico takes on the disaster capitalists / Naomi Klein.</t>
  </si>
  <si>
    <t>Klein, Naomi, 1970- author.</t>
  </si>
  <si>
    <t>Chicago, Illinois : Haymarket Books, 2018.</t>
  </si>
  <si>
    <t>4936465475:eng</t>
  </si>
  <si>
    <t>1030901739</t>
  </si>
  <si>
    <t>on1030901739</t>
  </si>
  <si>
    <t>31037038317</t>
  </si>
  <si>
    <t>9781608463572</t>
  </si>
  <si>
    <t>795054909</t>
  </si>
  <si>
    <t>QC945 S384 2015</t>
  </si>
  <si>
    <t>0                      QC 0945000S  384         2015</t>
  </si>
  <si>
    <t>Sea of storms : a history of hurricanes in the greater Caribbean from Columbus to Katrina / Stuart B. Schwartz.</t>
  </si>
  <si>
    <t>Schwartz, Stuart B., author.</t>
  </si>
  <si>
    <t>Lawrence Stone lectures</t>
  </si>
  <si>
    <t>2232340416:eng</t>
  </si>
  <si>
    <t>877364369</t>
  </si>
  <si>
    <t>ocn877364369</t>
  </si>
  <si>
    <t>3103584205Q</t>
  </si>
  <si>
    <t>9780691157566</t>
  </si>
  <si>
    <t>794970827</t>
  </si>
  <si>
    <t>QC966 E47 2015</t>
  </si>
  <si>
    <t>0                      QC 0966000E  47          2015</t>
  </si>
  <si>
    <t>Lightning / Derek M. Elsom.</t>
  </si>
  <si>
    <t>Elsom, Derek M., author.</t>
  </si>
  <si>
    <t>London, UK : Reaktion Books Ltd, 2015.</t>
  </si>
  <si>
    <t>Earth series</t>
  </si>
  <si>
    <t>2763686774:eng</t>
  </si>
  <si>
    <t>905524312</t>
  </si>
  <si>
    <t>ocn905524312</t>
  </si>
  <si>
    <t>3103612984P</t>
  </si>
  <si>
    <t>9781780234960</t>
  </si>
  <si>
    <t>794991482</t>
  </si>
  <si>
    <t>QC981 B87 1930</t>
  </si>
  <si>
    <t>0                      QC 0981000B  87          1930</t>
  </si>
  <si>
    <t>Climate; a handbook for business men, students and travellers, by C.E.P. Brooks.</t>
  </si>
  <si>
    <t>Brooks, C. E. P. (Charles Ernest Pelham)</t>
  </si>
  <si>
    <t>New York, Scribner [1930?]</t>
  </si>
  <si>
    <t>1329295:eng</t>
  </si>
  <si>
    <t>222661</t>
  </si>
  <si>
    <t>ocm00222661</t>
  </si>
  <si>
    <t>30007163119</t>
  </si>
  <si>
    <t>791298453</t>
  </si>
  <si>
    <t>QC981 H27</t>
  </si>
  <si>
    <t>0                      QC 0981000H  27</t>
  </si>
  <si>
    <t>Handbook of climatology, by Dr. Julius Hann. Part I. General climatology. Tr. with the author's permission from the 2nd rev. and enl. German ed., with additional references and notes, by Robert De Courcy Ward.</t>
  </si>
  <si>
    <t>Hann, Julius von, 1839-1921.</t>
  </si>
  <si>
    <t>New York, The Macmillan company; London, Macmillan &amp; Co., Ltd., 1903.</t>
  </si>
  <si>
    <t>3841574:eng</t>
  </si>
  <si>
    <t>3592809</t>
  </si>
  <si>
    <t>ocm03592809</t>
  </si>
  <si>
    <t>30005404739</t>
  </si>
  <si>
    <t>792271241</t>
  </si>
  <si>
    <t>QC981 H3 1966</t>
  </si>
  <si>
    <t>0                      QC 0981000H  3           1966</t>
  </si>
  <si>
    <t>The restless atmosphere [by] F.K. Hare.</t>
  </si>
  <si>
    <t>Hare, F. Kenneth (Frederick Kenneth), 1919-</t>
  </si>
  <si>
    <t>London, Hutchinson, 1966.</t>
  </si>
  <si>
    <t>Hutchinson university library. Geography</t>
  </si>
  <si>
    <t>1476567:eng</t>
  </si>
  <si>
    <t>1900707</t>
  </si>
  <si>
    <t>ocm01900707</t>
  </si>
  <si>
    <t>30005178856</t>
  </si>
  <si>
    <t>792008118</t>
  </si>
  <si>
    <t>QC981 L27</t>
  </si>
  <si>
    <t>0                      QC 0981000L  27</t>
  </si>
  <si>
    <t>The changing climate: selected papers, by H.H. Lamb.</t>
  </si>
  <si>
    <t>Lamb, H. H.</t>
  </si>
  <si>
    <t>London, Methuen, 1966.</t>
  </si>
  <si>
    <t>235612436:eng</t>
  </si>
  <si>
    <t>2224596</t>
  </si>
  <si>
    <t>ocm02224596</t>
  </si>
  <si>
    <t>3000497107D</t>
  </si>
  <si>
    <t>9780416237801</t>
  </si>
  <si>
    <t>792069877</t>
  </si>
  <si>
    <t>QC981 L3 1958</t>
  </si>
  <si>
    <t>0                      QC 0981000L  3           1958</t>
  </si>
  <si>
    <t>Physical climatology.</t>
  </si>
  <si>
    <t>Landsberg, Helmut Erich, 1906-1985.</t>
  </si>
  <si>
    <t>DuBois, Pa., Gray Print. Co., 1958.</t>
  </si>
  <si>
    <t>1568861:eng</t>
  </si>
  <si>
    <t>541071</t>
  </si>
  <si>
    <t>ocm00541071</t>
  </si>
  <si>
    <t>31028213831</t>
  </si>
  <si>
    <t>791408460</t>
  </si>
  <si>
    <t>QC981 W26 1918</t>
  </si>
  <si>
    <t>0                      QC 0981000W  26          1918</t>
  </si>
  <si>
    <t>Climate, considered especially in relation to man, by Robert De Courcy Ward ...</t>
  </si>
  <si>
    <t>Ward, Robert De Courcy, 1867-1931.</t>
  </si>
  <si>
    <t>New York and London, G.P. Putnam's Sons, 1918.</t>
  </si>
  <si>
    <t>2d ed., rev. ...</t>
  </si>
  <si>
    <t>The Science series</t>
  </si>
  <si>
    <t>5889367:eng</t>
  </si>
  <si>
    <t>551779</t>
  </si>
  <si>
    <t>ocm00551779</t>
  </si>
  <si>
    <t>3000711969G</t>
  </si>
  <si>
    <t>791411954</t>
  </si>
  <si>
    <t>QC981.2 W64 2018</t>
  </si>
  <si>
    <t>0                      QC 0981200W  64          2018</t>
  </si>
  <si>
    <t>The weather detective : rediscovering nature's secret signs / Peter Wohlleben ; translated by Ruth Ahmedzai Kemp.</t>
  </si>
  <si>
    <t>Wohlleben, Peter, 1964- author.</t>
  </si>
  <si>
    <t>New York, New York : Dutton, an imprint of Penguin Random House LLC, [2018]</t>
  </si>
  <si>
    <t>5069614009:eng</t>
  </si>
  <si>
    <t>1033592936</t>
  </si>
  <si>
    <t>on1033592936</t>
  </si>
  <si>
    <t>31037384359</t>
  </si>
  <si>
    <t>9781524743741</t>
  </si>
  <si>
    <t>795057005</t>
  </si>
  <si>
    <t>QC981.4 B58 2012</t>
  </si>
  <si>
    <t>0                      QC 0981400B  58          2012</t>
  </si>
  <si>
    <t>Dancing to the beat of the great green heart : musings of an incorrigible world-saver / Kathryn Blume.</t>
  </si>
  <si>
    <t>Blume, Kathryn, author.</t>
  </si>
  <si>
    <t>United States : KBI Press, 2012.</t>
  </si>
  <si>
    <t>2014-08-25</t>
  </si>
  <si>
    <t>2053865096:eng</t>
  </si>
  <si>
    <t>887750633</t>
  </si>
  <si>
    <t>ocn887750633</t>
  </si>
  <si>
    <t>3103198230N</t>
  </si>
  <si>
    <t>9780984863792</t>
  </si>
  <si>
    <t>794977784</t>
  </si>
  <si>
    <t>QC981.45 P48 2012</t>
  </si>
  <si>
    <t>0                      QC 0981450P  48          2012</t>
  </si>
  <si>
    <t>Simulating nature : a philosophical study of computer-simulation uncertainties and their role in climate science and policy advice / Arthur C. Petersen.</t>
  </si>
  <si>
    <t>Petersen, Arthur C. (Arthur Caesar), 1970-</t>
  </si>
  <si>
    <t>2019-01-27</t>
  </si>
  <si>
    <t>1083642945:eng</t>
  </si>
  <si>
    <t>748331616</t>
  </si>
  <si>
    <t>ocn748331616</t>
  </si>
  <si>
    <t>31034721531</t>
  </si>
  <si>
    <t>9781466500624</t>
  </si>
  <si>
    <t>794889147</t>
  </si>
  <si>
    <t>QC981.8 C5 B647 2004</t>
  </si>
  <si>
    <t>0                      QC 0981800C  5                  B  647         2004</t>
  </si>
  <si>
    <t>Climate change policy and global trade / Christoph Böhringer, Andreas Löschel.</t>
  </si>
  <si>
    <t>Böhringer, Christoph, 1965-</t>
  </si>
  <si>
    <t>Heidelberg ; New York : Physica-Verlag, ©2004.</t>
  </si>
  <si>
    <t>ZEW economic studies ; 26</t>
  </si>
  <si>
    <t>193017611:eng</t>
  </si>
  <si>
    <t>56416616</t>
  </si>
  <si>
    <t>ocm56416616</t>
  </si>
  <si>
    <t>3102796441V</t>
  </si>
  <si>
    <t>9783790801712</t>
  </si>
  <si>
    <t>793892771</t>
  </si>
  <si>
    <t>QC981.8 C5 B738 2008</t>
  </si>
  <si>
    <t>0                      QC 0981800C  5                  B  738         2008</t>
  </si>
  <si>
    <t>Migration and climate change / prepared for IOM by Oli Brown.</t>
  </si>
  <si>
    <t>Brown, Oli.</t>
  </si>
  <si>
    <t>Geneva : International Organization for Migration, ©2008.</t>
  </si>
  <si>
    <t>IOM migration research series, 1607-338X ; no. 31</t>
  </si>
  <si>
    <t>131257048:eng</t>
  </si>
  <si>
    <t>212988249</t>
  </si>
  <si>
    <t>ocn212988249</t>
  </si>
  <si>
    <t>3102898183I</t>
  </si>
  <si>
    <t>9789211036596</t>
  </si>
  <si>
    <t>794306661</t>
  </si>
  <si>
    <t>QC981.8 C5 B77</t>
  </si>
  <si>
    <t>0                      QC 0981800C  5                  B  77</t>
  </si>
  <si>
    <t>Climates of hunger : mankind and the world's changing weather / Reid A. Bryson and Thomas J. Murray.</t>
  </si>
  <si>
    <t>Bryson, Reid A.</t>
  </si>
  <si>
    <t>434266:eng</t>
  </si>
  <si>
    <t>2968388</t>
  </si>
  <si>
    <t>ocm02968388</t>
  </si>
  <si>
    <t>3000442869I</t>
  </si>
  <si>
    <t>9780299073701</t>
  </si>
  <si>
    <t>792200348</t>
  </si>
  <si>
    <t>QC981.8 C5 B853 2003</t>
  </si>
  <si>
    <t>0                      QC 0981800C  5                  B  853         2003</t>
  </si>
  <si>
    <t>Cities and climate change : urban sustainability and global environmental governance / Harriet Bulkeley and Michele M. Betsill.</t>
  </si>
  <si>
    <t>Bulkeley, Harriet, 1972-</t>
  </si>
  <si>
    <t>London ; New York : Routledge, 2003.</t>
  </si>
  <si>
    <t>Routledge studies in physical geography and environment ; 4</t>
  </si>
  <si>
    <t>882516:eng</t>
  </si>
  <si>
    <t>50228085</t>
  </si>
  <si>
    <t>ocm50228085</t>
  </si>
  <si>
    <t>3102823715W</t>
  </si>
  <si>
    <t>9780415273794</t>
  </si>
  <si>
    <t>793758345</t>
  </si>
  <si>
    <t>QC981.8 C5 B86 2001</t>
  </si>
  <si>
    <t>0                      QC 0981800C  5                  B  86          2001</t>
  </si>
  <si>
    <t>Climate change : a multidisciplinary approach / William James Burroughs.</t>
  </si>
  <si>
    <t>Burroughs, William James.</t>
  </si>
  <si>
    <t>793864697:eng</t>
  </si>
  <si>
    <t>44045640</t>
  </si>
  <si>
    <t>ocm44045640</t>
  </si>
  <si>
    <t>31024814372</t>
  </si>
  <si>
    <t>9780521561259</t>
  </si>
  <si>
    <t>793641188</t>
  </si>
  <si>
    <t>QC981.8 C5 C35 2011</t>
  </si>
  <si>
    <t>0                      QC 0981800C  5                  C  35          2011</t>
  </si>
  <si>
    <t>Climate change and the Canadian energy sector : implications for labour and trade unions / by John Calvert and Marjorie Griffin Cohen.</t>
  </si>
  <si>
    <t>Calvert, John.</t>
  </si>
  <si>
    <t>Ottawa, ON : Canadian Centre for Policy Alternatives, 2011.</t>
  </si>
  <si>
    <t>1073639411:eng</t>
  </si>
  <si>
    <t>773666287</t>
  </si>
  <si>
    <t>ocn773666287</t>
  </si>
  <si>
    <t>3103441034R</t>
  </si>
  <si>
    <t>9781926888705</t>
  </si>
  <si>
    <t>794905808</t>
  </si>
  <si>
    <t>QC981.8 C5 C51134527 2007</t>
  </si>
  <si>
    <t>0                      QC 0981800C  5                  C  51134527    2007</t>
  </si>
  <si>
    <t>Climate change 2007 : impacts, adaptation and vulnerability : contribution of Working Group II to the fourth assessment report of the Intergovernmental Panel on Climate Change / edited Martin Parry [and others].</t>
  </si>
  <si>
    <t>(text+CD-ROM)</t>
  </si>
  <si>
    <t>Cambridge, U.K. ; New York : Cambridge University Press, 2007.</t>
  </si>
  <si>
    <t>2018-12-01</t>
  </si>
  <si>
    <t>1357467924:eng</t>
  </si>
  <si>
    <t>163616658</t>
  </si>
  <si>
    <t>ocn163616658</t>
  </si>
  <si>
    <t>3103101439G</t>
  </si>
  <si>
    <t>9780521880107</t>
  </si>
  <si>
    <t>794258319</t>
  </si>
  <si>
    <t>QC981.8 C5 C5113456 2009</t>
  </si>
  <si>
    <t>0                      QC 0981800C  5                  C  5113456     2009</t>
  </si>
  <si>
    <t>Climate change and adaptation [Texte imprimé].</t>
  </si>
  <si>
    <t>London ; Sterling (Va.) : Earthscan, 2009, cop. 2008.</t>
  </si>
  <si>
    <t>10033171189:eng</t>
  </si>
  <si>
    <t>494468804</t>
  </si>
  <si>
    <t>ocn494468804</t>
  </si>
  <si>
    <t>3103128441D</t>
  </si>
  <si>
    <t>9781844076895</t>
  </si>
  <si>
    <t>794801453</t>
  </si>
  <si>
    <t>QC981.8 C5 C511384 2001</t>
  </si>
  <si>
    <t>0                      QC 0981800C  5                  C  511384      2001</t>
  </si>
  <si>
    <t>Climate change economics and policy : an RFF anthology / edited by Michael A. Toman.</t>
  </si>
  <si>
    <t>Washington, DC : Resources for the Future, ©2001.</t>
  </si>
  <si>
    <t>803225705:eng</t>
  </si>
  <si>
    <t>45639066</t>
  </si>
  <si>
    <t>ocm45639066</t>
  </si>
  <si>
    <t>31027898648</t>
  </si>
  <si>
    <t>9781891853043</t>
  </si>
  <si>
    <t>793675444</t>
  </si>
  <si>
    <t>QC981.8 C5 C55</t>
  </si>
  <si>
    <t>0                      QC 0981800C  5                  C  55</t>
  </si>
  <si>
    <t>Climatic change / edited by John Gribbin.</t>
  </si>
  <si>
    <t>Cambridge [England] ; New York : Cambridge University Press, 1978.</t>
  </si>
  <si>
    <t>54162688:eng</t>
  </si>
  <si>
    <t>2983211</t>
  </si>
  <si>
    <t>ocm02983211</t>
  </si>
  <si>
    <t>3000425035R</t>
  </si>
  <si>
    <t>9780521215947</t>
  </si>
  <si>
    <t>792202501</t>
  </si>
  <si>
    <t>QC981.8 C5 D44 2006</t>
  </si>
  <si>
    <t>0                      QC 0981800C  5                  D  44          2006</t>
  </si>
  <si>
    <t>The science and politics of global climate change : a guide to the debate / Andrew E. Dessler, Edward A. Parson.</t>
  </si>
  <si>
    <t>Dessler, Andrew Emory.</t>
  </si>
  <si>
    <t>Cambridge, UK ; New York : Cambridge University Press, 2006.</t>
  </si>
  <si>
    <t>795565001:eng</t>
  </si>
  <si>
    <t>60560107</t>
  </si>
  <si>
    <t>ocm60560107</t>
  </si>
  <si>
    <t>3102592602O</t>
  </si>
  <si>
    <t>9780521831703</t>
  </si>
  <si>
    <t>793939861</t>
  </si>
  <si>
    <t>QC981.8 C5 E26 2009</t>
  </si>
  <si>
    <t>0                      QC 0981800C  5                  E  26          2009</t>
  </si>
  <si>
    <t>The economics and politics of climate change / edited by Dieter Helm and Cameron Hepburn.</t>
  </si>
  <si>
    <t>Oxford ; New York : Oxford University Press, 2009.</t>
  </si>
  <si>
    <t>294278013:eng</t>
  </si>
  <si>
    <t>407007568</t>
  </si>
  <si>
    <t>ocn407007568</t>
  </si>
  <si>
    <t>31031306103</t>
  </si>
  <si>
    <t>9780199573288</t>
  </si>
  <si>
    <t>794499994</t>
  </si>
  <si>
    <t>QC981.8 C5 E54 2007</t>
  </si>
  <si>
    <t>0                      QC 0981800C  5                  E  54          2007</t>
  </si>
  <si>
    <t>Energy security and climate change : a Canadian primer : [foreword by Edward R. Schreyer] / edited by Cy Gonick.</t>
  </si>
  <si>
    <t>Black Point, N.S. : Fernwood Pub., [2007]</t>
  </si>
  <si>
    <t>1042436268:eng</t>
  </si>
  <si>
    <t>1127728216</t>
  </si>
  <si>
    <t>on1127728216</t>
  </si>
  <si>
    <t>31028978703</t>
  </si>
  <si>
    <t>9781552662489</t>
  </si>
  <si>
    <t>795086204</t>
  </si>
  <si>
    <t>31028978753</t>
  </si>
  <si>
    <t>795086205</t>
  </si>
  <si>
    <t>QC981.8 C5 F438 2006</t>
  </si>
  <si>
    <t>0                      QC 0981800C  5                  F  438         2006</t>
  </si>
  <si>
    <t>The weather makers : the history and future impact of climate change / Tim Flannery.</t>
  </si>
  <si>
    <t>Flannery, Tim F. (Tim Fridtjof), 1956-</t>
  </si>
  <si>
    <t>London : Allen Lane, 2006.</t>
  </si>
  <si>
    <t>Allen Lane science</t>
  </si>
  <si>
    <t>8910982658:eng</t>
  </si>
  <si>
    <t>62475593</t>
  </si>
  <si>
    <t>ocm62475593</t>
  </si>
  <si>
    <t>3102555350V</t>
  </si>
  <si>
    <t>9780713999211</t>
  </si>
  <si>
    <t>794108360</t>
  </si>
  <si>
    <t>QC981.8 C5 G44 2002</t>
  </si>
  <si>
    <t>0                      QC 0981800C  5                  G  44          2002</t>
  </si>
  <si>
    <t>Gender, development, and climate change / edited by Rachel Masika.</t>
  </si>
  <si>
    <t>Oxford : Oxfam GB, ©2002.</t>
  </si>
  <si>
    <t>Oxfam focus on gender</t>
  </si>
  <si>
    <t>2018-11-19</t>
  </si>
  <si>
    <t>971476:eng</t>
  </si>
  <si>
    <t>50707672</t>
  </si>
  <si>
    <t>ocm50707672</t>
  </si>
  <si>
    <t>3102321481S</t>
  </si>
  <si>
    <t>9780855984793</t>
  </si>
  <si>
    <t>793771131</t>
  </si>
  <si>
    <t>QC981.8 C5 G56 2008</t>
  </si>
  <si>
    <t>0                      QC 0981800C  5                  G  56          2008</t>
  </si>
  <si>
    <t>Global climate change and extreme weather events : understanding the contributions to infectious disease emergence : workshop summary / rapporteurs, David A. Relman [and others] ; Forum on Microbial Threats, Board on Global Health, Institute of Medicine of the National Academies.</t>
  </si>
  <si>
    <t>Washington, D.C. : National Academies Press, ©2008.</t>
  </si>
  <si>
    <t>889573548:eng</t>
  </si>
  <si>
    <t>262478964</t>
  </si>
  <si>
    <t>ocn262478964</t>
  </si>
  <si>
    <t>3103316434G</t>
  </si>
  <si>
    <t>9780309124027</t>
  </si>
  <si>
    <t>794401986</t>
  </si>
  <si>
    <t>QC981.8 C5 G664 2001</t>
  </si>
  <si>
    <t>0                      QC 0981800C  5                  G  664         2001</t>
  </si>
  <si>
    <t>The no-nonsense guide to climate change / Dinyar Godrej.</t>
  </si>
  <si>
    <t>Godrej, Dinyar, 1965-</t>
  </si>
  <si>
    <t>Toronto, Ont. : New Internationalist Publications : Between the Lines, ©2001.</t>
  </si>
  <si>
    <t>The no-nonsense guides</t>
  </si>
  <si>
    <t>35831937:eng</t>
  </si>
  <si>
    <t>123141169</t>
  </si>
  <si>
    <t>ocn123141169</t>
  </si>
  <si>
    <t>3102187803V</t>
  </si>
  <si>
    <t>9781896357485</t>
  </si>
  <si>
    <t>794223599</t>
  </si>
  <si>
    <t>QC981.8 C5 G6648 2006</t>
  </si>
  <si>
    <t>0                      QC 0981800C  5                  G  6648        2006</t>
  </si>
  <si>
    <t>Postmodern climate change / Leigh Glover.</t>
  </si>
  <si>
    <t>Glover, Leigh.</t>
  </si>
  <si>
    <t>London ; New York : Routledge, 2006.</t>
  </si>
  <si>
    <t>Routledge research in environmental politics ; 11</t>
  </si>
  <si>
    <t>2017-11-28</t>
  </si>
  <si>
    <t>9622277584:eng</t>
  </si>
  <si>
    <t>63178954</t>
  </si>
  <si>
    <t>ocm63178954</t>
  </si>
  <si>
    <t>3102632091B</t>
  </si>
  <si>
    <t>9780415357340</t>
  </si>
  <si>
    <t>794119517</t>
  </si>
  <si>
    <t>QC981.8 C5 H27 2004</t>
  </si>
  <si>
    <t>0                      QC 0981800C  5                  H  27          2004</t>
  </si>
  <si>
    <t>Hard choices : climate change in Canada / edited by Harold Coward and Andrew J. Weaver.</t>
  </si>
  <si>
    <t>Waterloo, Ont. : Published for Centre for Studies in Religion and Society by Wilfrid Laurier University Press, 2004.</t>
  </si>
  <si>
    <t>2015-01-15</t>
  </si>
  <si>
    <t>864906923:eng</t>
  </si>
  <si>
    <t>54692827</t>
  </si>
  <si>
    <t>ocm54692827</t>
  </si>
  <si>
    <t>3102383947K</t>
  </si>
  <si>
    <t>9780889204423</t>
  </si>
  <si>
    <t>793865759</t>
  </si>
  <si>
    <t>QC981.8 C5 H84 1995</t>
  </si>
  <si>
    <t>0                      QC 0981800C  5                  H  84          1995</t>
  </si>
  <si>
    <t>Human ecology and climate change : people and resources in the Far North / edited by David L. Peterson, Darryll R. Johnson ; [foreword by E. Fred Roots].</t>
  </si>
  <si>
    <t>Washington, D.C. : Taylor &amp; Francis, ©1995.</t>
  </si>
  <si>
    <t>836935228:eng</t>
  </si>
  <si>
    <t>32590100</t>
  </si>
  <si>
    <t>ocm32590100</t>
  </si>
  <si>
    <t>3102155127$</t>
  </si>
  <si>
    <t>9781560324041</t>
  </si>
  <si>
    <t>793389544</t>
  </si>
  <si>
    <t>QC981.8 C5 I58 2001</t>
  </si>
  <si>
    <t>0                      QC 0981800C  5                  I  58          2001</t>
  </si>
  <si>
    <t>International relations and global climate change / edited by Urs Luterbacher and Detlef F. Sprinz.</t>
  </si>
  <si>
    <t>Global environmental accord</t>
  </si>
  <si>
    <t>355748688:eng</t>
  </si>
  <si>
    <t>46456414</t>
  </si>
  <si>
    <t>ocm46456414</t>
  </si>
  <si>
    <t>3102906439T</t>
  </si>
  <si>
    <t>9780262122405</t>
  </si>
  <si>
    <t>793685223</t>
  </si>
  <si>
    <t>QC981.8 C5 J37 2007</t>
  </si>
  <si>
    <t>0                      QC 0981800C  5                  J  37          2007</t>
  </si>
  <si>
    <t>Climate change / Melanie Jarman.</t>
  </si>
  <si>
    <t>Jarman, Melanie.</t>
  </si>
  <si>
    <t>Halifax : Fernwood Pub. ; London ; Ann Arbor, MI : Pluto ; South Yarra : Palgrave Macmillan ; [Oxford, England] : Oxfam ; Auckland Park, South Africa : Jacana, 2007.</t>
  </si>
  <si>
    <t>Small guides to big issues</t>
  </si>
  <si>
    <t>102898853:eng</t>
  </si>
  <si>
    <t>154769387</t>
  </si>
  <si>
    <t>ocn154769387</t>
  </si>
  <si>
    <t>31027061833</t>
  </si>
  <si>
    <t>9780745325811</t>
  </si>
  <si>
    <t>794252834</t>
  </si>
  <si>
    <t>QC981.8 C5 L33 2005</t>
  </si>
  <si>
    <t>0                      QC 0981800C  5                  L  33          2005</t>
  </si>
  <si>
    <t>Security and climate change : international relations and the limits of realism / Mark J. Lacy.</t>
  </si>
  <si>
    <t>Lacy, Mark J.</t>
  </si>
  <si>
    <t>London ; New York : Routledge, 2005.</t>
  </si>
  <si>
    <t>Routledge research in environmental politics ; 9</t>
  </si>
  <si>
    <t>2017-09-22</t>
  </si>
  <si>
    <t>1970692:eng</t>
  </si>
  <si>
    <t>56656168</t>
  </si>
  <si>
    <t>ocm56656168</t>
  </si>
  <si>
    <t>3102492434U</t>
  </si>
  <si>
    <t>9780415324083</t>
  </si>
  <si>
    <t>793898432</t>
  </si>
  <si>
    <t>QC981.8 C5 L45 2001</t>
  </si>
  <si>
    <t>0                      QC 0981800C  5                  L  45          2001</t>
  </si>
  <si>
    <t>The carbon war : global warming and the end of the oil era / Jeremy Leggett.</t>
  </si>
  <si>
    <t>Leggett, Jeremy K.</t>
  </si>
  <si>
    <t>1st Routledge ed.</t>
  </si>
  <si>
    <t>35159112:eng</t>
  </si>
  <si>
    <t>45806411</t>
  </si>
  <si>
    <t>ocm45806411</t>
  </si>
  <si>
    <t>3102135837H</t>
  </si>
  <si>
    <t>9780415931021</t>
  </si>
  <si>
    <t>793678664</t>
  </si>
  <si>
    <t>QC981.8 C5 M3896 2010</t>
  </si>
  <si>
    <t>0                      QC 0981800C  5                  M  3896        2010</t>
  </si>
  <si>
    <t>Eaarth : making a life on a tough new planet / Bill McKibben.</t>
  </si>
  <si>
    <t>McKibben, Bill.</t>
  </si>
  <si>
    <t>New York : Times Books, 2010.</t>
  </si>
  <si>
    <t>2018-11-23</t>
  </si>
  <si>
    <t>766778655:eng</t>
  </si>
  <si>
    <t>428926444</t>
  </si>
  <si>
    <t>ocn428926444</t>
  </si>
  <si>
    <t>3103238765Q</t>
  </si>
  <si>
    <t>9780805090567</t>
  </si>
  <si>
    <t>794778980</t>
  </si>
  <si>
    <t>QC981.8 C5 N86 2007</t>
  </si>
  <si>
    <t>0                      QC 0981800C  5                  N  86          2007</t>
  </si>
  <si>
    <t>Climate, environment and society in the Pacific during the last millennium / by Patrick D. Nunn.</t>
  </si>
  <si>
    <t>Nunn, Patrick D., 1955-</t>
  </si>
  <si>
    <t>Amsterdam ; London : Elsevier, 2007.</t>
  </si>
  <si>
    <t>Developments in earth &amp; environmental sciences ; 6</t>
  </si>
  <si>
    <t>2015-03-23</t>
  </si>
  <si>
    <t>105098201:eng</t>
  </si>
  <si>
    <t>156890946</t>
  </si>
  <si>
    <t>ocn156890946</t>
  </si>
  <si>
    <t>3102647929A</t>
  </si>
  <si>
    <t>9780444528162</t>
  </si>
  <si>
    <t>794255583</t>
  </si>
  <si>
    <t>QC981.8 C5 P33 2008</t>
  </si>
  <si>
    <t>0                      QC 0981800C  5                  P  33          2008</t>
  </si>
  <si>
    <t>Some like it cold : the politics of climate change in Canada / Robert C. Paehlke.</t>
  </si>
  <si>
    <t>Paehlke, Robert.</t>
  </si>
  <si>
    <t>Toronto : Between the Lines, 2008.</t>
  </si>
  <si>
    <t>123596181:eng</t>
  </si>
  <si>
    <t>198535906</t>
  </si>
  <si>
    <t>ocn198535906</t>
  </si>
  <si>
    <t>3102706542$</t>
  </si>
  <si>
    <t>9781897071397</t>
  </si>
  <si>
    <t>794304765</t>
  </si>
  <si>
    <t>QC981.8 C5 R54 1993</t>
  </si>
  <si>
    <t>0                      QC 0981800C  5                  R  54          1993</t>
  </si>
  <si>
    <t>The challenge of climate change : policy options for Canada / by Gilles Rhéaume.</t>
  </si>
  <si>
    <t>Rhéaume, Gilles, 1951-</t>
  </si>
  <si>
    <t>Ottawa : Conference Board of Canada, 1993.</t>
  </si>
  <si>
    <t>Report (Conference Board of Canada), 0827-1070 ; 112-93</t>
  </si>
  <si>
    <t>180163893:eng</t>
  </si>
  <si>
    <t>30831072</t>
  </si>
  <si>
    <t>ocm30831072</t>
  </si>
  <si>
    <t>3101399345D</t>
  </si>
  <si>
    <t>9780887632563</t>
  </si>
  <si>
    <t>793346203</t>
  </si>
  <si>
    <t>QC981.8 C5 R59 2007</t>
  </si>
  <si>
    <t>0                      QC 0981800C  5                  R  59          2007</t>
  </si>
  <si>
    <t>A climate of injustice : global inequality, North-South politics, and climate policy / J. Timmons Roberts and Bradley C. Parks.</t>
  </si>
  <si>
    <t>Roberts, J. Timmons.</t>
  </si>
  <si>
    <t>Cambridge, Mass. : MIT Press, ©2007.</t>
  </si>
  <si>
    <t>802516965:eng</t>
  </si>
  <si>
    <t>70267211</t>
  </si>
  <si>
    <t>ocm70267211</t>
  </si>
  <si>
    <t>31025518201</t>
  </si>
  <si>
    <t>9780262182560</t>
  </si>
  <si>
    <t>794152178</t>
  </si>
  <si>
    <t>QC981.8 C5 S748 2007</t>
  </si>
  <si>
    <t>0                      QC 0981800C  5                  S  748         2007</t>
  </si>
  <si>
    <t>The economics of climate change : the Stern review / [study conducted by] Nicholas Stern.</t>
  </si>
  <si>
    <t>Cambridge, UK ; New York : Cambridge University Press, 2007.</t>
  </si>
  <si>
    <t>918689134:eng</t>
  </si>
  <si>
    <t>78555140</t>
  </si>
  <si>
    <t>ocm78555140</t>
  </si>
  <si>
    <t>31025683916</t>
  </si>
  <si>
    <t>9780521700801</t>
  </si>
  <si>
    <t>794195377</t>
  </si>
  <si>
    <t>QC981.8 G56 B466 2016</t>
  </si>
  <si>
    <t>0                      QC 0981800G  56                 B  466         2016</t>
  </si>
  <si>
    <t>A global warming primer : answering your questions about the science, the consequences, and the solutions / Jeffrey Bennett.</t>
  </si>
  <si>
    <t>Bennett, Jeffrey O., author.</t>
  </si>
  <si>
    <t>Boulder, CO : Big Kid Science, [2016]</t>
  </si>
  <si>
    <t>Big kid science</t>
  </si>
  <si>
    <t>3883480377:eng</t>
  </si>
  <si>
    <t>959236502</t>
  </si>
  <si>
    <t>ocn959236502</t>
  </si>
  <si>
    <t>3103698191J</t>
  </si>
  <si>
    <t>9781937548780</t>
  </si>
  <si>
    <t>795022278</t>
  </si>
  <si>
    <t>QC981.8 G56 B47 2013</t>
  </si>
  <si>
    <t>0                      QC 0981800G  56                 B  47          2013</t>
  </si>
  <si>
    <t>The curve / Duncan Clark and Mike Berners-Lee.</t>
  </si>
  <si>
    <t>Clark, Duncan (Duncan Antony)</t>
  </si>
  <si>
    <t>London : Profile, 2013.</t>
  </si>
  <si>
    <t>1171950321:eng</t>
  </si>
  <si>
    <t>812688660</t>
  </si>
  <si>
    <t>ocn812688660</t>
  </si>
  <si>
    <t>3103500387Q</t>
  </si>
  <si>
    <t>9781781250457</t>
  </si>
  <si>
    <t>794931197</t>
  </si>
  <si>
    <t>QC981.8 G56 D37 2013</t>
  </si>
  <si>
    <t>0                      QC 0981800G  56                 D  37          2013</t>
  </si>
  <si>
    <t>Afterword: conjuring the literary dead.</t>
  </si>
  <si>
    <t>DALE SALWAK.</t>
  </si>
  <si>
    <t>691837071:eng</t>
  </si>
  <si>
    <t>848907582</t>
  </si>
  <si>
    <t>ocn848907582</t>
  </si>
  <si>
    <t>3103500372S</t>
  </si>
  <si>
    <t>9780704372993</t>
  </si>
  <si>
    <t>794950028</t>
  </si>
  <si>
    <t>QC981.8 G56 D67 1993</t>
  </si>
  <si>
    <t>0                      QC 0981800G  56                 D  67          1993</t>
  </si>
  <si>
    <t>Ethical choices and global greenhouse warming / Lydia Dotto.</t>
  </si>
  <si>
    <t>Dotto, Lydia.</t>
  </si>
  <si>
    <t>Waterloo, Ont., Canada : Wilfrid Laurier University Press for the Calgary Institute for the Humanities, ©1993.</t>
  </si>
  <si>
    <t>2016-12-01</t>
  </si>
  <si>
    <t>32182055:eng</t>
  </si>
  <si>
    <t>30363788</t>
  </si>
  <si>
    <t>ocm30363788</t>
  </si>
  <si>
    <t>3101308952E</t>
  </si>
  <si>
    <t>9780889202344</t>
  </si>
  <si>
    <t>793333791</t>
  </si>
  <si>
    <t>QC981.8 G56 F35 2010</t>
  </si>
  <si>
    <t>0                      QC 0981800G  56                 F  35          2010</t>
  </si>
  <si>
    <t>Cold front : conflict ahead in Arctic waters / David Fairhall.</t>
  </si>
  <si>
    <t>Fairhall, David.</t>
  </si>
  <si>
    <t>London : I.B. Tauris, 2010.</t>
  </si>
  <si>
    <t>796555152:eng</t>
  </si>
  <si>
    <t>620352005</t>
  </si>
  <si>
    <t>ocn620352005</t>
  </si>
  <si>
    <t>3103230654Q</t>
  </si>
  <si>
    <t>9781848853843</t>
  </si>
  <si>
    <t>794823630</t>
  </si>
  <si>
    <t>QC981.8 G56 G67 2006</t>
  </si>
  <si>
    <t>0                      QC 0981800G  56                 G  67          2006</t>
  </si>
  <si>
    <t>An inconvenient truth : the planetary emergency of global warming and what we can do about it / Al Gore.</t>
  </si>
  <si>
    <t>Gore, Al, 1948- author.</t>
  </si>
  <si>
    <t>New York : Rodale Press, [2006]</t>
  </si>
  <si>
    <t>1060351623:eng</t>
  </si>
  <si>
    <t>69249460</t>
  </si>
  <si>
    <t>ocm69249460</t>
  </si>
  <si>
    <t>3102578171B</t>
  </si>
  <si>
    <t>9781594865671</t>
  </si>
  <si>
    <t>794145724</t>
  </si>
  <si>
    <t>QC981.8 G56 G6735 2009</t>
  </si>
  <si>
    <t>0                      QC 0981800G  56                 G  6735        2009</t>
  </si>
  <si>
    <t>Our choice : a plan to solve the climate crisis / Al Gore.</t>
  </si>
  <si>
    <t>Gore, Al, 1948-</t>
  </si>
  <si>
    <t>Emmaus, PA : Rodale, ©2009.</t>
  </si>
  <si>
    <t>480571746:eng</t>
  </si>
  <si>
    <t>452271919</t>
  </si>
  <si>
    <t>ocn452271919</t>
  </si>
  <si>
    <t>3103154369D</t>
  </si>
  <si>
    <t>9781594867347</t>
  </si>
  <si>
    <t>794787846</t>
  </si>
  <si>
    <t>QC981.8 G56 H64 2006</t>
  </si>
  <si>
    <t>0                      QC 0981800G  56                 H  64          2006</t>
  </si>
  <si>
    <t>What is next after the Kyoto protocol? : assessment of options for international climate policy post 2012 / by Niklas Höhne.</t>
  </si>
  <si>
    <t>Höhne, Niklas Eberhard, 1970-</t>
  </si>
  <si>
    <t>Amsterdam, The Netherlands : Techne Press, 2006.</t>
  </si>
  <si>
    <t>2nd rev. ed.</t>
  </si>
  <si>
    <t>2015-02-06</t>
  </si>
  <si>
    <t>891713329:eng</t>
  </si>
  <si>
    <t>70841007</t>
  </si>
  <si>
    <t>ocm70841007</t>
  </si>
  <si>
    <t>3102675251I</t>
  </si>
  <si>
    <t>9789085940050</t>
  </si>
  <si>
    <t>794160070</t>
  </si>
  <si>
    <t>QC981.8 G56 H68 2015</t>
  </si>
  <si>
    <t>0                      QC 0981800G  56                 H  68          2015</t>
  </si>
  <si>
    <t>Global warming : the complete briefing / Sir John Houghton.</t>
  </si>
  <si>
    <t>Houghton, J. T. (John Theodore), 1931- author.</t>
  </si>
  <si>
    <t>Cambridge, United Kingdom : Cambridge University Press, 2015.</t>
  </si>
  <si>
    <t>792591145:eng</t>
  </si>
  <si>
    <t>899880838</t>
  </si>
  <si>
    <t>ocn899880838</t>
  </si>
  <si>
    <t>3103793233A</t>
  </si>
  <si>
    <t>9781107463790</t>
  </si>
  <si>
    <t>794986972</t>
  </si>
  <si>
    <t>3103793230G</t>
  </si>
  <si>
    <t>794986973</t>
  </si>
  <si>
    <t>31037932178</t>
  </si>
  <si>
    <t>794986971</t>
  </si>
  <si>
    <t>QC981.8 G56 M62 2009</t>
  </si>
  <si>
    <t>0                      QC 0981800G  56                 M  62          2009</t>
  </si>
  <si>
    <t>Heat : how to stop the planet from burning / George Monbiot ; with research assistance from Matthew Prescott.</t>
  </si>
  <si>
    <t>Monbiot, George, 1963-</t>
  </si>
  <si>
    <t>Cambridge, Mass. : South End Press, ©2009, ©2007.</t>
  </si>
  <si>
    <t>10177738872:eng</t>
  </si>
  <si>
    <t>216936703</t>
  </si>
  <si>
    <t>ocn216936703</t>
  </si>
  <si>
    <t>3103294189Q</t>
  </si>
  <si>
    <t>9780896087873</t>
  </si>
  <si>
    <t>794315891</t>
  </si>
  <si>
    <t>2014-11-12</t>
  </si>
  <si>
    <t>31034414913</t>
  </si>
  <si>
    <t>794315890</t>
  </si>
  <si>
    <t>QC981.8 G56 O94 2015</t>
  </si>
  <si>
    <t>0                      QC 0981800G  56                 O  94          2015</t>
  </si>
  <si>
    <t>The Oxford handbook of the macroeconomics of global warming / edited by Lucas Bernard and Willi Semmler.</t>
  </si>
  <si>
    <t>Oxford : Oxford University Press, [2015]</t>
  </si>
  <si>
    <t>2217310882:eng</t>
  </si>
  <si>
    <t>903269999</t>
  </si>
  <si>
    <t>ocn903269999</t>
  </si>
  <si>
    <t>3103608618Q</t>
  </si>
  <si>
    <t>9780199856978</t>
  </si>
  <si>
    <t>794988968</t>
  </si>
  <si>
    <t>QC981.8 G56 R44 1992</t>
  </si>
  <si>
    <t>0                      QC 0981800G  56                 R  44          1992</t>
  </si>
  <si>
    <t>The Regions and global warming : impacts and response strategies / edited by Jurgen Schmandt, Judith Clarkson.</t>
  </si>
  <si>
    <t>New York : Oxford University Press, 1992.</t>
  </si>
  <si>
    <t>HARC global change studies ; v. 1</t>
  </si>
  <si>
    <t>836869684:eng</t>
  </si>
  <si>
    <t>25283005</t>
  </si>
  <si>
    <t>ocm25283005</t>
  </si>
  <si>
    <t>3101234867E</t>
  </si>
  <si>
    <t>9780195075861</t>
  </si>
  <si>
    <t>793215949</t>
  </si>
  <si>
    <t>QC981.8 G56 R53 2019</t>
  </si>
  <si>
    <t>0                      QC 0981800G  56                 R  53          2019</t>
  </si>
  <si>
    <t>Losing Earth : a recent history / Nathaniel Rich.</t>
  </si>
  <si>
    <t>Rich, Nathaniel, 1980- author.</t>
  </si>
  <si>
    <t>New York : MCD/Farrar, Straus and Giroux, 2019</t>
  </si>
  <si>
    <t>8891461836:eng</t>
  </si>
  <si>
    <t>1083699228</t>
  </si>
  <si>
    <t>on1083699228</t>
  </si>
  <si>
    <t>3103880141T</t>
  </si>
  <si>
    <t>9780374191337</t>
  </si>
  <si>
    <t>795078410</t>
  </si>
  <si>
    <t>QC981.8 G56 S33 2015</t>
  </si>
  <si>
    <t>0                      QC 0981800G  56                 S  33          2015</t>
  </si>
  <si>
    <t>Learning to die in the Anthropocene : reflections on the end of a civilization / Roy Scranton.</t>
  </si>
  <si>
    <t>Scranton, Roy, 1976-</t>
  </si>
  <si>
    <t>San Francisco, CA : City Lights Books, [2015]</t>
  </si>
  <si>
    <t>2547044384:eng</t>
  </si>
  <si>
    <t>910964890</t>
  </si>
  <si>
    <t>ocn910964890</t>
  </si>
  <si>
    <t>3103759719F</t>
  </si>
  <si>
    <t>9780872866690</t>
  </si>
  <si>
    <t>794996811</t>
  </si>
  <si>
    <t>3103759714P</t>
  </si>
  <si>
    <t>794996810</t>
  </si>
  <si>
    <t>QC981.8 H37 2013</t>
  </si>
  <si>
    <t>0                      QC 0981800H  37          2013</t>
  </si>
  <si>
    <t>What's Wrong with Climate Politics and How to Fix It / Paul G. Harris.</t>
  </si>
  <si>
    <t>Harris, Paul G., author.</t>
  </si>
  <si>
    <t>Cambridge ; Malden, MA : Polity, 2013.</t>
  </si>
  <si>
    <t>1779818310:eng</t>
  </si>
  <si>
    <t>844989464</t>
  </si>
  <si>
    <t>ocn844989464</t>
  </si>
  <si>
    <t>3103500667L</t>
  </si>
  <si>
    <t>9780745652511</t>
  </si>
  <si>
    <t>794948860</t>
  </si>
  <si>
    <t>QC983 D61</t>
  </si>
  <si>
    <t>0                      QC 0983000D  61</t>
  </si>
  <si>
    <t>Influence of climate in North and South America: showing the varied climatic influences operating in the equatorial, tropical, sub-tropical, temperate, cold and frigid regions, extending from the Arctic to the Antarctic circle. Accompanied by an agricultural, and isothermal map of North America. Compiled by J. Disturnell.</t>
  </si>
  <si>
    <t>Disturnell, John, 1801-1877.</t>
  </si>
  <si>
    <t>New York, D. Van Nostrand, 1867.</t>
  </si>
  <si>
    <t>2223678:eng</t>
  </si>
  <si>
    <t>2959303</t>
  </si>
  <si>
    <t>ocm02959303</t>
  </si>
  <si>
    <t>3000715556L</t>
  </si>
  <si>
    <t>792198755</t>
  </si>
  <si>
    <t>QC985 K6</t>
  </si>
  <si>
    <t>0                      QC 0985000K  6</t>
  </si>
  <si>
    <t>The Canadian climate, by Clarence Eugene Koeppe, PH. D.</t>
  </si>
  <si>
    <t>Koeppe, Clarence Eugene, 1891-</t>
  </si>
  <si>
    <t>Bloomington, Ill., McKnight &amp; McKnight [©1931]</t>
  </si>
  <si>
    <t>1562559:eng</t>
  </si>
  <si>
    <t>538522</t>
  </si>
  <si>
    <t>ocm00538522</t>
  </si>
  <si>
    <t>3000539204Y</t>
  </si>
  <si>
    <t>791407686</t>
  </si>
  <si>
    <t>- Map Collection - By Consultation</t>
  </si>
  <si>
    <t>QC985 N45</t>
  </si>
  <si>
    <t>0                      QC 0985000N  45</t>
  </si>
  <si>
    <t>Weather and climate; selected readings edited by J.G. Nelson, M.J. Chambers [and] R.E. Chambers.</t>
  </si>
  <si>
    <t>Nelson, James Gordon, compiler.</t>
  </si>
  <si>
    <t>Toronto, Methuen [1970]</t>
  </si>
  <si>
    <t>Process and method in Canadian geography</t>
  </si>
  <si>
    <t>1323480:eng</t>
  </si>
  <si>
    <t>96919</t>
  </si>
  <si>
    <t>ocm00096919</t>
  </si>
  <si>
    <t>30008111880</t>
  </si>
  <si>
    <t>9780458904709</t>
  </si>
  <si>
    <t>791255195</t>
  </si>
  <si>
    <t>2016-12-09</t>
  </si>
  <si>
    <t>QC985.5 G8 T38 2003</t>
  </si>
  <si>
    <t>0                      QC 0985500G  8                  T  38          2003</t>
  </si>
  <si>
    <t>Ancient meteorology / Liba Taub.</t>
  </si>
  <si>
    <t>Taub, Liba Chaia, 1954-</t>
  </si>
  <si>
    <t>691845:eng</t>
  </si>
  <si>
    <t>51172232</t>
  </si>
  <si>
    <t>ocm51172232</t>
  </si>
  <si>
    <t>3102480023K</t>
  </si>
  <si>
    <t>9780415161954</t>
  </si>
  <si>
    <t>793779749</t>
  </si>
  <si>
    <t>QC985.5 N6 B56 1994</t>
  </si>
  <si>
    <t>0                      QC 0985500N  6                  B  56          1994</t>
  </si>
  <si>
    <t>Biological implications of global change : northern perspectives / edited by Rick Riewe and Jill Oakes.</t>
  </si>
  <si>
    <t>[Edmonton] : Canadian Circumpolar Institute, ©1994.</t>
  </si>
  <si>
    <t>Environmental research series</t>
  </si>
  <si>
    <t>905428976:eng</t>
  </si>
  <si>
    <t>31442069</t>
  </si>
  <si>
    <t>ocm31442069</t>
  </si>
  <si>
    <t>31014085939</t>
  </si>
  <si>
    <t>9780919058897</t>
  </si>
  <si>
    <t>793361541</t>
  </si>
  <si>
    <t>QC989 A1 B76 2001</t>
  </si>
  <si>
    <t>0                      QC 0989000A  1                  B  76          2001</t>
  </si>
  <si>
    <t>History and climate change : an Eurocentric perspective / Neville Brown.</t>
  </si>
  <si>
    <t>Brown, Neville.</t>
  </si>
  <si>
    <t>Routledge studies in physical geography and environment ; 3</t>
  </si>
  <si>
    <t>793843967:eng</t>
  </si>
  <si>
    <t>46472050</t>
  </si>
  <si>
    <t>ocm46472050</t>
  </si>
  <si>
    <t>3102226265O</t>
  </si>
  <si>
    <t>9780415019590</t>
  </si>
  <si>
    <t>793685518</t>
  </si>
  <si>
    <t>QC989 A1 F34 2000</t>
  </si>
  <si>
    <t>0                      QC 0989000A  1                  F  34          2000</t>
  </si>
  <si>
    <t>The Little Ice Age : how climate made history, 1300-1850 / Brian Fagan.</t>
  </si>
  <si>
    <t>Fagan, Brian M.</t>
  </si>
  <si>
    <t>New York, NY : Basic Books, ©2000.</t>
  </si>
  <si>
    <t>1067263:eng</t>
  </si>
  <si>
    <t>45093768</t>
  </si>
  <si>
    <t>ocm45093768</t>
  </si>
  <si>
    <t>3103289970Q</t>
  </si>
  <si>
    <t>9780465022717</t>
  </si>
  <si>
    <t>793664398</t>
  </si>
  <si>
    <t>QC989 A1 L4 2004</t>
  </si>
  <si>
    <t>0                      QC 0989000A  1                  L  4           2004</t>
  </si>
  <si>
    <t>Histoire humaine et comparée du climat / Emmanuel Le Roy Ladurie.</t>
  </si>
  <si>
    <t>Le Roy Ladurie, Emmanuel.</t>
  </si>
  <si>
    <t>[Paris] : Fayard, ©2004-©2009.</t>
  </si>
  <si>
    <t>4790817482:fre</t>
  </si>
  <si>
    <t>56498770</t>
  </si>
  <si>
    <t>ocm56498770</t>
  </si>
  <si>
    <t>3102426997M</t>
  </si>
  <si>
    <t>9782213619217</t>
  </si>
  <si>
    <t>793894545</t>
  </si>
  <si>
    <t>QC989 F8 L4</t>
  </si>
  <si>
    <t>0                      QC 0989000F  8                  L  4</t>
  </si>
  <si>
    <t>Histoire du climat depuis l'an mil.</t>
  </si>
  <si>
    <t>Paris, Flammarion, 1967.</t>
  </si>
  <si>
    <t>Nouvelle bibliothèque scientifique</t>
  </si>
  <si>
    <t>1394748:fre</t>
  </si>
  <si>
    <t>244123</t>
  </si>
  <si>
    <t>ocm00244123</t>
  </si>
  <si>
    <t>3000497117A</t>
  </si>
  <si>
    <t>791307126</t>
  </si>
  <si>
    <t>QC989 G69 M3</t>
  </si>
  <si>
    <t>0                      QC 0989000G  69                 M  3</t>
  </si>
  <si>
    <t>Climate and the British scene.</t>
  </si>
  <si>
    <t>Manley, Gordon.</t>
  </si>
  <si>
    <t>London, Collins, 1952.</t>
  </si>
  <si>
    <t>The New naturalist; a survey of British natural history, 22</t>
  </si>
  <si>
    <t>2016-03-23</t>
  </si>
  <si>
    <t>5585128490:eng</t>
  </si>
  <si>
    <t>543679</t>
  </si>
  <si>
    <t>ocm00543679</t>
  </si>
  <si>
    <t>3000497140F</t>
  </si>
  <si>
    <t>791409280</t>
  </si>
  <si>
    <t>QC989 G69 W5</t>
  </si>
  <si>
    <t>0                      QC 0989000G  69                 W  5</t>
  </si>
  <si>
    <t>The climate of Great Britain : or remarks on the change it has undergone, particularly within the last fifty years. Accounting for the increasing humidity and consequent cloudiness and coldness of our springs and summers, with the effects such ungenial seasons have produced upon the vegetable and animal economy / by John Williams.</t>
  </si>
  <si>
    <t>Williams, John, Esq.</t>
  </si>
  <si>
    <t>London : C. and R. Baldwin, 1806.</t>
  </si>
  <si>
    <t>1806</t>
  </si>
  <si>
    <t>1058656987:eng</t>
  </si>
  <si>
    <t>9706462</t>
  </si>
  <si>
    <t>ocm09706462</t>
  </si>
  <si>
    <t>3000711973P</t>
  </si>
  <si>
    <t>792689833</t>
  </si>
  <si>
    <t>QC990 C5 Q5313 2017</t>
  </si>
  <si>
    <t>0                      QC 0990000C  5                  Q  5313        2017</t>
  </si>
  <si>
    <t>Er shi si jie qi tong hua = 24 solar terms fairy tale / Qiao Qiao hui zhu ; Bérénice Zandonai bian yi.</t>
  </si>
  <si>
    <t>Qiao, Qiao, author, illustrator.</t>
  </si>
  <si>
    <t>Beijing Shi : Wu zhou chuan bo chu ban she, 2018.</t>
  </si>
  <si>
    <t>8874186635:chi</t>
  </si>
  <si>
    <t>1003415751</t>
  </si>
  <si>
    <t>on1003415751</t>
  </si>
  <si>
    <t>31038616369</t>
  </si>
  <si>
    <t>9787508536675</t>
  </si>
  <si>
    <t>795041591</t>
  </si>
  <si>
    <t>QC990 C5 Q5314 2017</t>
  </si>
  <si>
    <t>0                      QC 0990000C  5                  Q  5314        2017</t>
  </si>
  <si>
    <t>Er shi si jie qi tong hua = Conte des 24 périodes solaires / Qiao Qiao hui zhu ; Bérénice Zandonai bian yi.</t>
  </si>
  <si>
    <t>Beijing Shi : Wu zhou chuan bo chu ban she, 2017.</t>
  </si>
  <si>
    <t>Di 1 ban, [shuang yu, zhong fa wen]</t>
  </si>
  <si>
    <t>1083125729</t>
  </si>
  <si>
    <t>on1083125729</t>
  </si>
  <si>
    <t>3103861631J</t>
  </si>
  <si>
    <t>9787508536682</t>
  </si>
  <si>
    <t>795077995</t>
  </si>
  <si>
    <t>QC990 C62 K3534 2012</t>
  </si>
  <si>
    <t>0                      QC 0990000C  62                 K  3534        2012</t>
  </si>
  <si>
    <t>Bei Song Kaifeng qi xiang bian nian shi / Cheng Minsheng zhu.</t>
  </si>
  <si>
    <t>Cheng, Minsheng.</t>
  </si>
  <si>
    <t>Beijing : Ren min chu ban she, 2012.</t>
  </si>
  <si>
    <t>1109262988:chi</t>
  </si>
  <si>
    <t>793807082</t>
  </si>
  <si>
    <t>ocn793807082</t>
  </si>
  <si>
    <t>31034739766</t>
  </si>
  <si>
    <t>9787010106670</t>
  </si>
  <si>
    <t>794918716</t>
  </si>
  <si>
    <t>QC990 E18 G56 2003</t>
  </si>
  <si>
    <t>0                      QC 0990000E  18                 G  56          2003</t>
  </si>
  <si>
    <t>Global warming and East Asia : the domestic and international politics of climate change / edited by Paul G. Harris.</t>
  </si>
  <si>
    <t>Routledge research in environmental politics ; 4</t>
  </si>
  <si>
    <t>795456110:eng</t>
  </si>
  <si>
    <t>51764583</t>
  </si>
  <si>
    <t>ocm51764583</t>
  </si>
  <si>
    <t>3102313720S</t>
  </si>
  <si>
    <t>9780415315449</t>
  </si>
  <si>
    <t>793790580</t>
  </si>
  <si>
    <t>QC990 K6 L44 2010</t>
  </si>
  <si>
    <t>0                      QC 0990000K  6                  L  44          2010</t>
  </si>
  <si>
    <t>The climate and culture of Korea / by Seungho Lee.</t>
  </si>
  <si>
    <t>Yi, Sŭng-ho, 1961-</t>
  </si>
  <si>
    <t>Seoul, Korea : PurenGil, 2010.</t>
  </si>
  <si>
    <t>767173231:eng</t>
  </si>
  <si>
    <t>694620568</t>
  </si>
  <si>
    <t>ocn694620568</t>
  </si>
  <si>
    <t>31033178016</t>
  </si>
  <si>
    <t>9788962911312</t>
  </si>
  <si>
    <t>794857833</t>
  </si>
  <si>
    <t>QC991 T8 V47 2013</t>
  </si>
  <si>
    <t>0                      QC 0991000T  8                  V  47          2013</t>
  </si>
  <si>
    <t>Tunisia in a changing climate : assessment and actions for increased resilience and development / edited by Dorte Verner.</t>
  </si>
  <si>
    <t>Verner, Dorte.</t>
  </si>
  <si>
    <t>Washington, D.C. : The World Bank, [2013]</t>
  </si>
  <si>
    <t>A World Bank study</t>
  </si>
  <si>
    <t>1392876834:eng</t>
  </si>
  <si>
    <t>822895887</t>
  </si>
  <si>
    <t>ocn822895887</t>
  </si>
  <si>
    <t>3103505615B</t>
  </si>
  <si>
    <t>9780821398579</t>
  </si>
  <si>
    <t>794936684</t>
  </si>
  <si>
    <t>QC994.8 C55 2009</t>
  </si>
  <si>
    <t>0                      QC 0994800C  55          2009</t>
  </si>
  <si>
    <t>Climate governance in the Arctic / edited by Timo Koivurova, E. Carina H. Keskitalo and Nigel Bankes.</t>
  </si>
  <si>
    <t>[Dordrecht] : Springer, ©2009.</t>
  </si>
  <si>
    <t>Environment &amp; policy ; 50</t>
  </si>
  <si>
    <t>902916391:eng</t>
  </si>
  <si>
    <t>288985991</t>
  </si>
  <si>
    <t>ocn288985991</t>
  </si>
  <si>
    <t>3103156305H</t>
  </si>
  <si>
    <t>9781402095412</t>
  </si>
  <si>
    <t>794421575</t>
  </si>
  <si>
    <t>QC994.8 E37 2002</t>
  </si>
  <si>
    <t>0                      QC 0994800E  37          2002</t>
  </si>
  <si>
    <t>The earth is faster now : indigenous observations of Arctic environmental change / edited by Igor Krupnik and Dyanna Jolly.</t>
  </si>
  <si>
    <t>Fairbanks, Alaska : Arctic Research Consortium of the United States, 2002.</t>
  </si>
  <si>
    <t>Frontiers in polar social science</t>
  </si>
  <si>
    <t>1208150587:eng</t>
  </si>
  <si>
    <t>51652926</t>
  </si>
  <si>
    <t>ocm51652926</t>
  </si>
  <si>
    <t>3103613701L</t>
  </si>
  <si>
    <t>9780972044905</t>
  </si>
  <si>
    <t>793788712</t>
  </si>
  <si>
    <t>QC994.8 S8</t>
  </si>
  <si>
    <t>0                      QC 0994800S  8</t>
  </si>
  <si>
    <t>Studies of climate and ice conditions in eastern Baffin Island, 1971-73 / J.D. Jacobs [and others].</t>
  </si>
  <si>
    <t>[Boulder, Colo.] : Institute of Arctic and Alpine Research, University of Colorado, 1974.</t>
  </si>
  <si>
    <t>Occasional paper ; no. 9</t>
  </si>
  <si>
    <t>8909454809:eng</t>
  </si>
  <si>
    <t>53020735</t>
  </si>
  <si>
    <t>ocm53020735</t>
  </si>
  <si>
    <t>3000449162P</t>
  </si>
  <si>
    <t>793819456</t>
  </si>
  <si>
    <t>QC995 K46 2000</t>
  </si>
  <si>
    <t>0                      QC 0995000K  46          2000</t>
  </si>
  <si>
    <t>Scientific weather forecasting in the middle ages : the writings of Al-Kindī : studies, editions, and translations / by Gerrit Bos and Charles Burnett.</t>
  </si>
  <si>
    <t>Kindī, -approximately 873.</t>
  </si>
  <si>
    <t>London ; New York : Kegan Paul International ; New York : Distributed by Wiley, 2000.</t>
  </si>
  <si>
    <t>Sir Henry Wellcome Asian series</t>
  </si>
  <si>
    <t>481012535:eng</t>
  </si>
  <si>
    <t>38010686</t>
  </si>
  <si>
    <t>ocm38010686</t>
  </si>
  <si>
    <t>3102574399H</t>
  </si>
  <si>
    <t>9780710305763</t>
  </si>
  <si>
    <t>793512758</t>
  </si>
  <si>
    <t xml:space="preserve">QD </t>
  </si>
  <si>
    <t>2016-02-02</t>
  </si>
  <si>
    <t>QD11 I44</t>
  </si>
  <si>
    <t>0                      QD 0011000I  44</t>
  </si>
  <si>
    <t>The development of modern chemistry [by] Aaron J. Ihde.</t>
  </si>
  <si>
    <t>Ihde, Aaron J. (Aaron John), 1909-2000.</t>
  </si>
  <si>
    <t>New York, Harper &amp; Row [1964]</t>
  </si>
  <si>
    <t>2009-12-04</t>
  </si>
  <si>
    <t>2015-12-17</t>
  </si>
  <si>
    <t>422820181:eng</t>
  </si>
  <si>
    <t>426454</t>
  </si>
  <si>
    <t>ocm00426454</t>
  </si>
  <si>
    <t>3000348843D</t>
  </si>
  <si>
    <t>9780060430504</t>
  </si>
  <si>
    <t>791375667</t>
  </si>
  <si>
    <t>QD13 A43 2013</t>
  </si>
  <si>
    <t>0                      QD 0013000A  43          2013</t>
  </si>
  <si>
    <t>Alchemical traditions : from antiquity to the avant-garde / edited by Aaron Cheak.</t>
  </si>
  <si>
    <t>Melbourne, Australia : Numen Books, [2013]</t>
  </si>
  <si>
    <t>1411012532:eng</t>
  </si>
  <si>
    <t>861975128</t>
  </si>
  <si>
    <t>ocn861975128</t>
  </si>
  <si>
    <t>3103552734S</t>
  </si>
  <si>
    <t>9780987559821</t>
  </si>
  <si>
    <t>794959769</t>
  </si>
  <si>
    <t>QD13 A5</t>
  </si>
  <si>
    <t>0                      QD 0013000A  5</t>
  </si>
  <si>
    <t>Les Alchimistes grecs / texte établi et traduit par Robert Halleux.</t>
  </si>
  <si>
    <t>t. 1</t>
  </si>
  <si>
    <t>Paris : Belles Lettres, 1981-&lt;2000&gt;</t>
  </si>
  <si>
    <t>2017-11-21</t>
  </si>
  <si>
    <t>864115175:fre</t>
  </si>
  <si>
    <t>8666919</t>
  </si>
  <si>
    <t>ocm08666919</t>
  </si>
  <si>
    <t>3000319221N</t>
  </si>
  <si>
    <t>9782251000039</t>
  </si>
  <si>
    <t>792633697</t>
  </si>
  <si>
    <t>t. 4, pt. 1</t>
  </si>
  <si>
    <t>2016-03-29</t>
  </si>
  <si>
    <t>3102691504P</t>
  </si>
  <si>
    <t>792633696</t>
  </si>
  <si>
    <t>3102691509P</t>
  </si>
  <si>
    <t>792633695</t>
  </si>
  <si>
    <t>QD13 H84 2012</t>
  </si>
  <si>
    <t>0                      QD 0013000H  84          2012</t>
  </si>
  <si>
    <t>The rise of alchemy in fourteenth-century England : Plantagenet kings and the search for the philosopher's stone / Jonathan Hughes.</t>
  </si>
  <si>
    <t>Hughes, Jonathan, 1952-</t>
  </si>
  <si>
    <t>London : Continuum, 2012.</t>
  </si>
  <si>
    <t>1009086859:eng</t>
  </si>
  <si>
    <t>751721304</t>
  </si>
  <si>
    <t>ocn751721304</t>
  </si>
  <si>
    <t>3103431053S</t>
  </si>
  <si>
    <t>9781441181831</t>
  </si>
  <si>
    <t>794890618</t>
  </si>
  <si>
    <t>QD14 B63 2013</t>
  </si>
  <si>
    <t>0                      QD 0014000B  63          2013</t>
  </si>
  <si>
    <t>Matter and method in the long chemical revolution : laws of another order / Victor D. Boantza, University of Minnesota, USA.</t>
  </si>
  <si>
    <t>Boantza, Victor D.</t>
  </si>
  <si>
    <t>Farnham, Surrey ; Burlington, Vermont : Ashgate, [2013]</t>
  </si>
  <si>
    <t>Science, technology and culture, 1700-1945</t>
  </si>
  <si>
    <t>2018-06-05</t>
  </si>
  <si>
    <t>1363802732:eng</t>
  </si>
  <si>
    <t>830030007</t>
  </si>
  <si>
    <t>ocn830030007</t>
  </si>
  <si>
    <t>3103501592E</t>
  </si>
  <si>
    <t>9781409418672</t>
  </si>
  <si>
    <t>794943068</t>
  </si>
  <si>
    <t>QD14 D43</t>
  </si>
  <si>
    <t>0                      QD 0014000D  43</t>
  </si>
  <si>
    <t>The chemical philosophy : Paracelsian science and medicine in the sixteenth and seventeenth centuries / Allen G. Debus.</t>
  </si>
  <si>
    <t>Debus, Allen G.</t>
  </si>
  <si>
    <t>2009-10-30</t>
  </si>
  <si>
    <t>2016-04-21</t>
  </si>
  <si>
    <t>4714421862:eng</t>
  </si>
  <si>
    <t>2006000</t>
  </si>
  <si>
    <t>ocm02006000</t>
  </si>
  <si>
    <t>3100744040X</t>
  </si>
  <si>
    <t>9780882020471</t>
  </si>
  <si>
    <t>792027452</t>
  </si>
  <si>
    <t>30004656738</t>
  </si>
  <si>
    <t>792027453</t>
  </si>
  <si>
    <t>QD14 T53</t>
  </si>
  <si>
    <t>0                      QD 0014000T  53</t>
  </si>
  <si>
    <t>Atoms and powers; an essay on Newtonian matter-theory and the development of chemistry.</t>
  </si>
  <si>
    <t>Thackray, Arnold, 1939-</t>
  </si>
  <si>
    <t>Cambridge, Mass., Harvard University Press, 1970.</t>
  </si>
  <si>
    <t>Harvard monographs in the history of science</t>
  </si>
  <si>
    <t>1197314:eng</t>
  </si>
  <si>
    <t>108556</t>
  </si>
  <si>
    <t>ocm00108556</t>
  </si>
  <si>
    <t>3000558288W</t>
  </si>
  <si>
    <t>9780674052574</t>
  </si>
  <si>
    <t>791259663</t>
  </si>
  <si>
    <t>QD15 K54 2007</t>
  </si>
  <si>
    <t>0                      QD 0015000K  54          2007</t>
  </si>
  <si>
    <t>Materials in eighteenth-century science : a historical ontology / Ursula Klein and Wolfgang Lefèvre.</t>
  </si>
  <si>
    <t>Klein, Ursula, 1952-</t>
  </si>
  <si>
    <t>Transformations</t>
  </si>
  <si>
    <t>2017-11-26</t>
  </si>
  <si>
    <t>792536671:eng</t>
  </si>
  <si>
    <t>76828871</t>
  </si>
  <si>
    <t>ocm76828871</t>
  </si>
  <si>
    <t>31032942150</t>
  </si>
  <si>
    <t>9780262113069</t>
  </si>
  <si>
    <t>794177529</t>
  </si>
  <si>
    <t>QD18 C5 L5</t>
  </si>
  <si>
    <t>0                      QD 0018000C  5                  L  5</t>
  </si>
  <si>
    <t>The chemical arts of old China; with a foreword by Tenney L. Davis.</t>
  </si>
  <si>
    <t>Li, Qiaoping, 1897-</t>
  </si>
  <si>
    <t>Easton, Pa., Journal of Chemical Education [1948]</t>
  </si>
  <si>
    <t>433381827:eng</t>
  </si>
  <si>
    <t>538078</t>
  </si>
  <si>
    <t>ocm00538078</t>
  </si>
  <si>
    <t>3103008012A</t>
  </si>
  <si>
    <t>791407551</t>
  </si>
  <si>
    <t>QD20 G67 2013</t>
  </si>
  <si>
    <t>0                      QD 0020000G  67          2013</t>
  </si>
  <si>
    <t>Searching for the soror mystica : the lives and science of women alchemists / Robin L. Gordon.</t>
  </si>
  <si>
    <t>Gordon, Robin L.</t>
  </si>
  <si>
    <t>Lanham, Md. : University Press of America, ©2013.</t>
  </si>
  <si>
    <t>1178687447:eng</t>
  </si>
  <si>
    <t>816563950</t>
  </si>
  <si>
    <t>ocn816563950</t>
  </si>
  <si>
    <t>3103499091W</t>
  </si>
  <si>
    <t>9780761860556</t>
  </si>
  <si>
    <t>794933254</t>
  </si>
  <si>
    <t>QD22 C4 J86 1999</t>
  </si>
  <si>
    <t>0                      QD 0022000C  4                  J  86          1999</t>
  </si>
  <si>
    <t>Cavendish : the experimental life / by Christa Jungnickel and Russell McCormmach.</t>
  </si>
  <si>
    <t>Jungnickel, Christa.</t>
  </si>
  <si>
    <t>[Lewisburg, Pa.] : Bucknell, 1999.</t>
  </si>
  <si>
    <t>[Rev. ed.].</t>
  </si>
  <si>
    <t>969763:eng</t>
  </si>
  <si>
    <t>41655294</t>
  </si>
  <si>
    <t>ocm41655294</t>
  </si>
  <si>
    <t>3101983567Q</t>
  </si>
  <si>
    <t>9780838754450</t>
  </si>
  <si>
    <t>793596233</t>
  </si>
  <si>
    <t>QD22 C78 D66</t>
  </si>
  <si>
    <t>0                      QD 0022000C  78                 D  66</t>
  </si>
  <si>
    <t>Philosophical chemistry in the Scottish enlightenment : the doctrines and discoveries of William Cullen and Joseph Black / A.L. Donovan.</t>
  </si>
  <si>
    <t>Donovan, Arthur L.</t>
  </si>
  <si>
    <t>Edinburgh : University Press, ©1975.</t>
  </si>
  <si>
    <t>2010-02-23</t>
  </si>
  <si>
    <t>374225374:eng</t>
  </si>
  <si>
    <t>2122165</t>
  </si>
  <si>
    <t>ocm02122165</t>
  </si>
  <si>
    <t>3000448438F</t>
  </si>
  <si>
    <t>9780852242810</t>
  </si>
  <si>
    <t>792051312</t>
  </si>
  <si>
    <t>QD22 C8 C45 2011</t>
  </si>
  <si>
    <t>0                      QD 0022000C  8                  C  45          2011</t>
  </si>
  <si>
    <t>Celebrating the 100th anniversary of Madame Marie Sklodowska Curie's Nobel Prize in Chemistry / edited by M.-H. Chiu, P.J. Gilmer, D.F Treagust.</t>
  </si>
  <si>
    <t>Rotterdam : Sense Publishers, ©2011.</t>
  </si>
  <si>
    <t>1081009144:eng</t>
  </si>
  <si>
    <t>775438865</t>
  </si>
  <si>
    <t>ocn775438865</t>
  </si>
  <si>
    <t>3103410566P</t>
  </si>
  <si>
    <t>9789460917189</t>
  </si>
  <si>
    <t>794907605</t>
  </si>
  <si>
    <t>QD22 C8 C8513 1938</t>
  </si>
  <si>
    <t>0                      QD 0022000C  8                  C  8513        1938</t>
  </si>
  <si>
    <t>Madame Curie, a biography. Tr. by Vincent Sheean.</t>
  </si>
  <si>
    <t>Curie, Eve, 1904-2007.</t>
  </si>
  <si>
    <t>New York, Doubleday, Doran, 1938.</t>
  </si>
  <si>
    <t>115405701:eng</t>
  </si>
  <si>
    <t>14752860</t>
  </si>
  <si>
    <t>ocm14752860</t>
  </si>
  <si>
    <t>3101575710Y</t>
  </si>
  <si>
    <t>792902582</t>
  </si>
  <si>
    <t>QD22 C8 H56 2014</t>
  </si>
  <si>
    <t>0                      QD 0022000C  8                  H  56          2014</t>
  </si>
  <si>
    <t>Marie Curie : portrait d'une femme engagée : 1914-1918 : récit / Marie-Noëlle Himbert.</t>
  </si>
  <si>
    <t>Himbert, Marie-Noëlle.</t>
  </si>
  <si>
    <t>Arles : Actes sud, [2014]</t>
  </si>
  <si>
    <t>2243766440:fre</t>
  </si>
  <si>
    <t>896834615</t>
  </si>
  <si>
    <t>ocn896834615</t>
  </si>
  <si>
    <t>3103562439</t>
  </si>
  <si>
    <t>9782330036782</t>
  </si>
  <si>
    <t>794984304</t>
  </si>
  <si>
    <t>QD22 I65 A313 1946</t>
  </si>
  <si>
    <t>0                      QD 0022000I  65                 A  313         1946</t>
  </si>
  <si>
    <t>The life of a chemist : memoirs of Vladimir N. Ipatieff / edited by Xenia Joukoff Eudin, Helen Dwight Fisher [and] Harold H. Fisher; translated by Vladimir Haensel and Mrs. Ralph H. Lusher.</t>
  </si>
  <si>
    <t>Ipatieff, Vladimir N. (Vladimir Nikolaevich), 1867-1952, author.</t>
  </si>
  <si>
    <t>Stanford University, California : Stanford University Press ; London : Oxford University Press, 1946.</t>
  </si>
  <si>
    <t>The Hoover library on war, revolution and peace. Publication ; no. 21</t>
  </si>
  <si>
    <t>7603247:eng</t>
  </si>
  <si>
    <t>3031443</t>
  </si>
  <si>
    <t>ocm03031443</t>
  </si>
  <si>
    <t>30006876682</t>
  </si>
  <si>
    <t>792208596</t>
  </si>
  <si>
    <t>QD22 L4 B29 2001</t>
  </si>
  <si>
    <t>0                      QD 0022000L  4                  B  29          2001</t>
  </si>
  <si>
    <t>Imaging a career in science : the iconography of Antoine Laurent Lavoisier / Marco Beretta.</t>
  </si>
  <si>
    <t>Beretta, Marco.</t>
  </si>
  <si>
    <t>Canton, Mass. : Science History Publications/USA, 2001.</t>
  </si>
  <si>
    <t>Bologna studies in scientific heritage ; 1</t>
  </si>
  <si>
    <t>9093580586:eng</t>
  </si>
  <si>
    <t>47927735</t>
  </si>
  <si>
    <t>ocm47927735</t>
  </si>
  <si>
    <t>3102361125T</t>
  </si>
  <si>
    <t>9780881352948</t>
  </si>
  <si>
    <t>793711397</t>
  </si>
  <si>
    <t>QD22 L4 M32 1952b</t>
  </si>
  <si>
    <t>0                      QD 0022000L  4                  M  32          1952b</t>
  </si>
  <si>
    <t>Antoine Lavoisier, scientist, economist, social reformer.</t>
  </si>
  <si>
    <t>McKie, Douglas.</t>
  </si>
  <si>
    <t>London, Constable [1952]</t>
  </si>
  <si>
    <t>2008-04-15</t>
  </si>
  <si>
    <t>2016-02-04</t>
  </si>
  <si>
    <t>8102056:eng</t>
  </si>
  <si>
    <t>14653588</t>
  </si>
  <si>
    <t>ocm14653588</t>
  </si>
  <si>
    <t>30003517544</t>
  </si>
  <si>
    <t>792897431</t>
  </si>
  <si>
    <t>QD22 L524 L36 2016</t>
  </si>
  <si>
    <t>0                      QD 0022000L  524                L  36          2016</t>
  </si>
  <si>
    <t>Li Yuanzhe zhuan / Lan Lijuan zhu.</t>
  </si>
  <si>
    <t>Lan, Lijuan, author.</t>
  </si>
  <si>
    <t>Taibei Shi : Yuan shen chu ban she you xian gong si, 2016.</t>
  </si>
  <si>
    <t>Chu ban.</t>
  </si>
  <si>
    <t>Yuan shen wen cong ; 203</t>
  </si>
  <si>
    <t>4027426103:chi</t>
  </si>
  <si>
    <t>968252232</t>
  </si>
  <si>
    <t>ocn968252232</t>
  </si>
  <si>
    <t>3103701718D</t>
  </si>
  <si>
    <t>9789861335957</t>
  </si>
  <si>
    <t>795027053</t>
  </si>
  <si>
    <t>3103701713N</t>
  </si>
  <si>
    <t>795027054</t>
  </si>
  <si>
    <t>QD22 L9 F85 2017</t>
  </si>
  <si>
    <t>0                      QD 0022000L  9                  F  85          2017</t>
  </si>
  <si>
    <t>Hua xia chi zi ke jiao ju bo Lu Jiaxi / Fujian Lu Jiaxi ke xue jaio yu ji jin hui bian zhu.</t>
  </si>
  <si>
    <t>Fujian Lu Jiaxi ke xue jiao yu ji jin hui, author.</t>
  </si>
  <si>
    <t>Beijing : Zhong yang wen xian chu ban she, 2017.</t>
  </si>
  <si>
    <t>9484935453:chi</t>
  </si>
  <si>
    <t>1117339463</t>
  </si>
  <si>
    <t>on1117339463</t>
  </si>
  <si>
    <t>3103893256S</t>
  </si>
  <si>
    <t>9787507345681</t>
  </si>
  <si>
    <t>795084623</t>
  </si>
  <si>
    <t>3103893255U</t>
  </si>
  <si>
    <t>795084624</t>
  </si>
  <si>
    <t>QD22 S75 K56 1989</t>
  </si>
  <si>
    <t>0                      QD 0022000S  75                 K  56          1989</t>
  </si>
  <si>
    <t>E.W.R. Steacie and science in Canada / M. Christine King.</t>
  </si>
  <si>
    <t>King, M. Christine, 1947-1987.</t>
  </si>
  <si>
    <t>Toronto : University of Toronto Press, c1989.</t>
  </si>
  <si>
    <t>2009-09-22</t>
  </si>
  <si>
    <t>19167866:eng</t>
  </si>
  <si>
    <t>18988172</t>
  </si>
  <si>
    <t>ocm18988172</t>
  </si>
  <si>
    <t>3102888539L</t>
  </si>
  <si>
    <t>9780802026675</t>
  </si>
  <si>
    <t>793043751</t>
  </si>
  <si>
    <t>QD23.4 D42 1987</t>
  </si>
  <si>
    <t>0                      QD 0023400D  42          1987</t>
  </si>
  <si>
    <t>Chemistry, alchemy, and the new philosophy, 1550-1700 : studies in the history of science and medicine / Allen G. Debus.</t>
  </si>
  <si>
    <t>London : Variorum Reprints, 1987.</t>
  </si>
  <si>
    <t>Variorum reprint ; CS145</t>
  </si>
  <si>
    <t>808263867:eng</t>
  </si>
  <si>
    <t>17547159</t>
  </si>
  <si>
    <t>ocm17547159</t>
  </si>
  <si>
    <t>3000535275V</t>
  </si>
  <si>
    <t>9780860781974</t>
  </si>
  <si>
    <t>792994877</t>
  </si>
  <si>
    <t>QD24 M3 C7 1968</t>
  </si>
  <si>
    <t>0                      QD 0024000M  3                  C  7           1968</t>
  </si>
  <si>
    <t>Count Michael Maier, doctor of philosophy and of medicine, alchemist, Rosicrucian, mystic, 1568-1622: life and writings, by J.B. Craven.</t>
  </si>
  <si>
    <t>Craven, J. B. (James Brown), 1850-1924.</t>
  </si>
  <si>
    <t>London : Dawsons, 1968.</t>
  </si>
  <si>
    <t>[1st ed.] reprinted.</t>
  </si>
  <si>
    <t>2016-02-17</t>
  </si>
  <si>
    <t>737570:eng</t>
  </si>
  <si>
    <t>427266348</t>
  </si>
  <si>
    <t>ocn427266348</t>
  </si>
  <si>
    <t>30003885075</t>
  </si>
  <si>
    <t>9780712903356</t>
  </si>
  <si>
    <t>794555837</t>
  </si>
  <si>
    <t>QD24 M3 T558 2003</t>
  </si>
  <si>
    <t>0                      QD 0024000M  3                  T  558         2003</t>
  </si>
  <si>
    <t>The quest for the phoenix : spiritual alchemy and Rosicrucianism in the work of Count Michael Maier (1569-1622) / by Hereward Tilton.</t>
  </si>
  <si>
    <t>Tilton, Hereward.</t>
  </si>
  <si>
    <t>Berlin ; New York : Walter de Gruyter, 2003.</t>
  </si>
  <si>
    <t>Arbeiten zur Kirchengeschichte ; Bd. 88</t>
  </si>
  <si>
    <t>890362452:eng</t>
  </si>
  <si>
    <t>50572166</t>
  </si>
  <si>
    <t>ocm50572166</t>
  </si>
  <si>
    <t>3102309458C</t>
  </si>
  <si>
    <t>9783110176377</t>
  </si>
  <si>
    <t>793767936</t>
  </si>
  <si>
    <t>QD24 S73 N49 1994</t>
  </si>
  <si>
    <t>0                      QD 0024000S  73                 N  49          1994</t>
  </si>
  <si>
    <t>Gehennical fire : the lives of George Starkey, an American alchemist in the scientific revolution / William R. Newman.</t>
  </si>
  <si>
    <t>Newman, William R., 1955-</t>
  </si>
  <si>
    <t>Cambridge, Mass. : Harvard University Press, 1994.</t>
  </si>
  <si>
    <t>836807075:eng</t>
  </si>
  <si>
    <t>30069770</t>
  </si>
  <si>
    <t>ocm30069770</t>
  </si>
  <si>
    <t>3102798060V</t>
  </si>
  <si>
    <t>9780674341715</t>
  </si>
  <si>
    <t>793328457</t>
  </si>
  <si>
    <t>QD24 W56 W66 2010</t>
  </si>
  <si>
    <t>0                      QD 0024000W  56                 W  66          2010</t>
  </si>
  <si>
    <t>Prospero's America : John Winthrop, Jr., alchemy, and the creation of New England culture, 1606-1676 / Walter W. Woodward.</t>
  </si>
  <si>
    <t>Woodward, Walter William.</t>
  </si>
  <si>
    <t>Chapel Hill : Published for the Omohundro Institute of Early American History and Culture by the University of North Carolina Press, ©2010.</t>
  </si>
  <si>
    <t>793225012:eng</t>
  </si>
  <si>
    <t>435728500</t>
  </si>
  <si>
    <t>ocn435728500</t>
  </si>
  <si>
    <t>3103156001Q</t>
  </si>
  <si>
    <t>9780807833018</t>
  </si>
  <si>
    <t>794783736</t>
  </si>
  <si>
    <t>QD25 F53 1989</t>
  </si>
  <si>
    <t>0                      QD 0025000F  53          1989</t>
  </si>
  <si>
    <t>Oeuvres / Nicolas Flamel ; préface de Elie-Charles Flamand.</t>
  </si>
  <si>
    <t>Flamel, Nicolas, -1418.</t>
  </si>
  <si>
    <t>Paris : Courrier du livre, 1989.</t>
  </si>
  <si>
    <t>2389545:fre</t>
  </si>
  <si>
    <t>61637641</t>
  </si>
  <si>
    <t>ocm61637641</t>
  </si>
  <si>
    <t>3100491147L</t>
  </si>
  <si>
    <t>9782702902462</t>
  </si>
  <si>
    <t>794072736</t>
  </si>
  <si>
    <t>QD25 G36713 1991</t>
  </si>
  <si>
    <t>0                      QD 0025000G  36713       1991</t>
  </si>
  <si>
    <t>The Summa perfectionis of Pseudo-Geber : a critical edition, translation and study / by William R. Newman.</t>
  </si>
  <si>
    <t>Geber, active 13th century.</t>
  </si>
  <si>
    <t>Leiden ; New York : E.J. Brill, 1991.</t>
  </si>
  <si>
    <t>Collection de travaux de l'Académie internationale d'histoire des sciences, 0169-7897 ; t. 35</t>
  </si>
  <si>
    <t>1348752298:eng</t>
  </si>
  <si>
    <t>24068086</t>
  </si>
  <si>
    <t>ocm24068086</t>
  </si>
  <si>
    <t>3102164964Y</t>
  </si>
  <si>
    <t>9789004094642</t>
  </si>
  <si>
    <t>793188853</t>
  </si>
  <si>
    <t>QD25 L63 2011</t>
  </si>
  <si>
    <t>0                      QD 0025000L  63          2011</t>
  </si>
  <si>
    <t>Misticall wordes and names infinite : an edition and study of Humfrey Lock's Treatise on alchemy / Peter J. Grund.</t>
  </si>
  <si>
    <t>Lock, Humfrey, active 1560-1570.</t>
  </si>
  <si>
    <t>Tempe, Ariz. : ACMRS (Arizona Center for Medieval and Renaissance Studies), 2011.</t>
  </si>
  <si>
    <t>Medieval and Renaissance texts and studies ; v. 367</t>
  </si>
  <si>
    <t>931959672:eng</t>
  </si>
  <si>
    <t>702168539</t>
  </si>
  <si>
    <t>ocn702168539</t>
  </si>
  <si>
    <t>3103343955V</t>
  </si>
  <si>
    <t>9780866984157</t>
  </si>
  <si>
    <t>794863842</t>
  </si>
  <si>
    <t>QD25 M313 1976</t>
  </si>
  <si>
    <t>0                      QD 0025000M  313         1976</t>
  </si>
  <si>
    <t>On the elements.</t>
  </si>
  <si>
    <t>Marius, active 1160-1169.</t>
  </si>
  <si>
    <t>Berkeley : University of California Press, 1976.</t>
  </si>
  <si>
    <t>A critical ed. and translation / by Richard C. Dales.</t>
  </si>
  <si>
    <t>Publications of the Center for Medieval and Renaissance Studies, UCLA ; 10</t>
  </si>
  <si>
    <t>2015-10-30</t>
  </si>
  <si>
    <t>190018016:eng</t>
  </si>
  <si>
    <t>3255333</t>
  </si>
  <si>
    <t>ocm03255333</t>
  </si>
  <si>
    <t>3000456905E</t>
  </si>
  <si>
    <t>9780520028562</t>
  </si>
  <si>
    <t>792235724</t>
  </si>
  <si>
    <t>QD25 P78 2011</t>
  </si>
  <si>
    <t>0                      QD 0025000P  78          2011</t>
  </si>
  <si>
    <t>Lettera sul fuoco filosofico / Giovanni Pontano.</t>
  </si>
  <si>
    <t>Pontano, Giovanni Gioviano, 1426-1503.</t>
  </si>
  <si>
    <t>Milano : La vita felice, 2011.</t>
  </si>
  <si>
    <t>La coda di paglia ; 8</t>
  </si>
  <si>
    <t>2288487352:ita</t>
  </si>
  <si>
    <t>724302672</t>
  </si>
  <si>
    <t>ocn724302672</t>
  </si>
  <si>
    <t>3103447553L</t>
  </si>
  <si>
    <t>9788877993298</t>
  </si>
  <si>
    <t>794876287</t>
  </si>
  <si>
    <t>QD25 S75 2016</t>
  </si>
  <si>
    <t>0                      QD 0025000S  75          2016</t>
  </si>
  <si>
    <t>Meravigliosa visione : il testo di alchimia e cabala di un frate riminese del Rinascimento / Pacifico Stivivi ; a cura e con un saggio introduttivo di Daniele Ruinetti ; postfazione di Gratianus.</t>
  </si>
  <si>
    <t>Stivivi, Pacifico, active 16th century, author.</t>
  </si>
  <si>
    <t>Milano : Mimesis, [2016]</t>
  </si>
  <si>
    <t>Il flauto magico ; N. 27</t>
  </si>
  <si>
    <t>4068481472:ita</t>
  </si>
  <si>
    <t>1031084662</t>
  </si>
  <si>
    <t>on1031084662</t>
  </si>
  <si>
    <t>3103721517B</t>
  </si>
  <si>
    <t>9788857534558</t>
  </si>
  <si>
    <t>795055085</t>
  </si>
  <si>
    <t>QD25 T477 1966</t>
  </si>
  <si>
    <t>0                      QD 0025000T  477         1966</t>
  </si>
  <si>
    <t>Aurora consurgens : a document attributed to Thomas Aquinas on the problem of opposites in alchemy / edited, with a commentary, by Marie-Louise von Franz ; translated by R.F.C. Hull and A.S.B. Glover.</t>
  </si>
  <si>
    <t>Thomas, Aquinas, Saint, 1225?-1274.</t>
  </si>
  <si>
    <t>New York, N.Y. : Pantheon Books, c1966.</t>
  </si>
  <si>
    <t>Bollingen series ; 77</t>
  </si>
  <si>
    <t>1150900931:lat</t>
  </si>
  <si>
    <t>988466</t>
  </si>
  <si>
    <t>ocm00988466</t>
  </si>
  <si>
    <t>3000517934J</t>
  </si>
  <si>
    <t>791519377</t>
  </si>
  <si>
    <t>QD25 V2813 2001</t>
  </si>
  <si>
    <t>0                      QD 0025000V  2813        2001</t>
  </si>
  <si>
    <t>Thomas and Rebecca Vaughan's Aqua vitae, non vitis (British Library MS, Sloane 1741) / edited and translated with an introduction by Donald R. Dickson.</t>
  </si>
  <si>
    <t>Vaughan, Thomas, 1621-1666.</t>
  </si>
  <si>
    <t>Tempe, Ariz. : Arizona Center for Medieval and Renaissance Studies, 2001.</t>
  </si>
  <si>
    <t>Medieval and Renaissance texts and studies ; v. 217</t>
  </si>
  <si>
    <t>649301569:eng</t>
  </si>
  <si>
    <t>45419937</t>
  </si>
  <si>
    <t>ocm45419937</t>
  </si>
  <si>
    <t>31021523551</t>
  </si>
  <si>
    <t>9780866982597</t>
  </si>
  <si>
    <t>793671087</t>
  </si>
  <si>
    <t>QD26 F735</t>
  </si>
  <si>
    <t>0                      QD 0026000F  735</t>
  </si>
  <si>
    <t>Alchemical active imagination / by Marie-Louise von Franz.</t>
  </si>
  <si>
    <t>Franz, Marie-Luise von, 1915-1998.</t>
  </si>
  <si>
    <t>Irving, Tex. : Spring Publications, 1979.</t>
  </si>
  <si>
    <t>Seminar series ; 14</t>
  </si>
  <si>
    <t>149110021:eng</t>
  </si>
  <si>
    <t>5697015</t>
  </si>
  <si>
    <t>ocm05697015</t>
  </si>
  <si>
    <t>31036356005</t>
  </si>
  <si>
    <t>9780882141145</t>
  </si>
  <si>
    <t>792447402</t>
  </si>
  <si>
    <t>QD26 J65 1992</t>
  </si>
  <si>
    <t>0                      QD 0026000J  65          1992</t>
  </si>
  <si>
    <t>La rationalité de l'alchimie au XVIIe siècle / par Bernard Joly ; avec le texte latin, la traduction et le commentaire du Manuscriptum ad federicum de Pierre-Jean Fabre ; préface de Jean-Paul Dumont.</t>
  </si>
  <si>
    <t>Joly, Bernard, 1944-</t>
  </si>
  <si>
    <t>Paris : J. Vrin, 1992.</t>
  </si>
  <si>
    <t>351983967:fre</t>
  </si>
  <si>
    <t>27003592</t>
  </si>
  <si>
    <t>ocm27003592</t>
  </si>
  <si>
    <t>31012305938</t>
  </si>
  <si>
    <t>9782711610556</t>
  </si>
  <si>
    <t>793256602</t>
  </si>
  <si>
    <t>QD26 M97 2007</t>
  </si>
  <si>
    <t>0                      QD 0026000M  97          2007</t>
  </si>
  <si>
    <t>Mystical metal of gold : essays on alchemy and Renaissance culture / edited by Stanton J. Linden.</t>
  </si>
  <si>
    <t>New York : AMS Press, ©2007.</t>
  </si>
  <si>
    <t>AMS studies in the Renaissance ; no. 42</t>
  </si>
  <si>
    <t>46569653:eng</t>
  </si>
  <si>
    <t>62161349</t>
  </si>
  <si>
    <t>ocm62161349</t>
  </si>
  <si>
    <t>3102831981F</t>
  </si>
  <si>
    <t>9780404623425</t>
  </si>
  <si>
    <t>794101581</t>
  </si>
  <si>
    <t>QD26.5 E4 M45 1995</t>
  </si>
  <si>
    <t>0                      QD 0026500E  4                  M  45          1995</t>
  </si>
  <si>
    <t>Li shi shang de lian dan shu / Meng Shaorong, Zhang Xingqiang zhu.</t>
  </si>
  <si>
    <t>Meng, Shaorong.</t>
  </si>
  <si>
    <t>Shanghai : Shanghai ke ji jiao yu chu ban she, 1995.</t>
  </si>
  <si>
    <t>Dian dao cong shu</t>
  </si>
  <si>
    <t>37648173:chi</t>
  </si>
  <si>
    <t>33458736</t>
  </si>
  <si>
    <t>ocm33458736</t>
  </si>
  <si>
    <t>3102359368P</t>
  </si>
  <si>
    <t>9787542810076</t>
  </si>
  <si>
    <t>793410267</t>
  </si>
  <si>
    <t>QD27 B75</t>
  </si>
  <si>
    <t>0                      QD 0027000B  75</t>
  </si>
  <si>
    <t>The sceptical chymist, by the Hon. Robert Boyle.</t>
  </si>
  <si>
    <t>London, J.M. Dent &amp; Sons, Ltd.; New York, E.P. Dutton &amp; Co. [1911]</t>
  </si>
  <si>
    <t>Everyman's library. Science ; no. 559</t>
  </si>
  <si>
    <t>1551059:eng</t>
  </si>
  <si>
    <t>1015901</t>
  </si>
  <si>
    <t>ocm01015901</t>
  </si>
  <si>
    <t>3000350546G</t>
  </si>
  <si>
    <t>791525263</t>
  </si>
  <si>
    <t>QD27 D4 2016</t>
  </si>
  <si>
    <t>0                      QD 0027000D  4           2016</t>
  </si>
  <si>
    <t>Le De anima alchimique du pseudo-Avicenne / Sébastien Moureau.</t>
  </si>
  <si>
    <t>Firenze : SISMEL, Edizioni del Galluzzo, 2016.</t>
  </si>
  <si>
    <t>Micrologus' library ; 76. Alchemica latina ; 1</t>
  </si>
  <si>
    <t>3454072943:fre</t>
  </si>
  <si>
    <t>953450008</t>
  </si>
  <si>
    <t>ocn953450008</t>
  </si>
  <si>
    <t>31036426054</t>
  </si>
  <si>
    <t>9788884507167</t>
  </si>
  <si>
    <t>795018743</t>
  </si>
  <si>
    <t>3103642633$</t>
  </si>
  <si>
    <t>795018744</t>
  </si>
  <si>
    <t>QD31.3 B455 2012</t>
  </si>
  <si>
    <t>0                      QD 0031300B  455         2012</t>
  </si>
  <si>
    <t>Chemistry : the impure science / Bernadette Bensaude-Vincent, Jonathan Simon.</t>
  </si>
  <si>
    <t>Bensaude-Vincent, Bernadette.</t>
  </si>
  <si>
    <t>868341650:eng</t>
  </si>
  <si>
    <t>799794646</t>
  </si>
  <si>
    <t>ocn799794646</t>
  </si>
  <si>
    <t>31034712484</t>
  </si>
  <si>
    <t>9781848168114</t>
  </si>
  <si>
    <t>794924325</t>
  </si>
  <si>
    <t>QD31.3 S54 2016</t>
  </si>
  <si>
    <t>0                      QD 0031300S  54          2016</t>
  </si>
  <si>
    <t>Chemistry : the molecular nature of matter and change / Martin S. Silberberg, Patricia Amateis, Sophie Lavieri, Rashmi Venkateswaran.</t>
  </si>
  <si>
    <t>Silberberg, Martin S. (Martin Stuart), 1945-</t>
  </si>
  <si>
    <t>[Toronto] : McGraw-Hill Ryerson, 2016.</t>
  </si>
  <si>
    <t>796379459:eng</t>
  </si>
  <si>
    <t>958299570</t>
  </si>
  <si>
    <t>ocn958299570</t>
  </si>
  <si>
    <t>3103642368T</t>
  </si>
  <si>
    <t>9781259087110</t>
  </si>
  <si>
    <t>795021676</t>
  </si>
  <si>
    <t>3103642369R</t>
  </si>
  <si>
    <t>795021679</t>
  </si>
  <si>
    <t>31036423640</t>
  </si>
  <si>
    <t>795021680</t>
  </si>
  <si>
    <t>31036423551</t>
  </si>
  <si>
    <t>795021673</t>
  </si>
  <si>
    <t>31036423624</t>
  </si>
  <si>
    <t>795021674</t>
  </si>
  <si>
    <t>3103705391$</t>
  </si>
  <si>
    <t>795021675</t>
  </si>
  <si>
    <t>2019-11-24</t>
  </si>
  <si>
    <t>31036423632</t>
  </si>
  <si>
    <t>795021678</t>
  </si>
  <si>
    <t>31036423608</t>
  </si>
  <si>
    <t>795021677</t>
  </si>
  <si>
    <t>QD33 H42 1987</t>
  </si>
  <si>
    <t>0                      QD 0033000H  42          1987</t>
  </si>
  <si>
    <t>Heath chemistry, Canadian edition / J. Dudley Herron ... [et al.].</t>
  </si>
  <si>
    <t>[Toronto] : D.C. Heath Canada, c1987.</t>
  </si>
  <si>
    <t>Pupil's ed.</t>
  </si>
  <si>
    <t>2019-02-12</t>
  </si>
  <si>
    <t>3372252351:eng</t>
  </si>
  <si>
    <t>16181427</t>
  </si>
  <si>
    <t>ocm16181427</t>
  </si>
  <si>
    <t>3103453034E</t>
  </si>
  <si>
    <t>9780669952896</t>
  </si>
  <si>
    <t>792957444</t>
  </si>
  <si>
    <t>2007-01-19</t>
  </si>
  <si>
    <t>3101445062V</t>
  </si>
  <si>
    <t>792957445</t>
  </si>
  <si>
    <t>Manual</t>
  </si>
  <si>
    <t>3101445074O</t>
  </si>
  <si>
    <t>792957448</t>
  </si>
  <si>
    <t>Manual;T-ed.</t>
  </si>
  <si>
    <t>3101445070W</t>
  </si>
  <si>
    <t>792957447</t>
  </si>
  <si>
    <t>T-ed.</t>
  </si>
  <si>
    <t>2006-11-29</t>
  </si>
  <si>
    <t>3101466539Q</t>
  </si>
  <si>
    <t>792957446</t>
  </si>
  <si>
    <t>QD51 M67 2015</t>
  </si>
  <si>
    <t>0                      QD 0051000M  67          2015</t>
  </si>
  <si>
    <t>The matter factory : a history of the chemistry laboratory / Peter J.T. Morris.</t>
  </si>
  <si>
    <t>Morris, Peter J. T. (Peter John Turnbull), 1956- author.</t>
  </si>
  <si>
    <t>London, UK : Reaktion Books, 2015.</t>
  </si>
  <si>
    <t>2554972212:eng</t>
  </si>
  <si>
    <t>891615957</t>
  </si>
  <si>
    <t>ocn891615957</t>
  </si>
  <si>
    <t>3103583211S</t>
  </si>
  <si>
    <t>9781780234427</t>
  </si>
  <si>
    <t>794980334</t>
  </si>
  <si>
    <t>QD76.9 D3 G76 2017</t>
  </si>
  <si>
    <t>0                      QD 0076900D  3                  G  76          2017</t>
  </si>
  <si>
    <t>Group privacy : new challenges of data technologies / Linnet Taylor, Luciano Floridi, Bart van der Sloot, editors.</t>
  </si>
  <si>
    <t>Philosophical studies series ; volume 126</t>
  </si>
  <si>
    <t>4014334232:eng</t>
  </si>
  <si>
    <t>973734382</t>
  </si>
  <si>
    <t>ocn973734382</t>
  </si>
  <si>
    <t>3103710630Q</t>
  </si>
  <si>
    <t>9783319466064</t>
  </si>
  <si>
    <t>795029227</t>
  </si>
  <si>
    <t>QD101.2 C57 2004</t>
  </si>
  <si>
    <t>0                      QD 0101200C  57          2004</t>
  </si>
  <si>
    <t>Analytical chemistry / Gary D. Christian.</t>
  </si>
  <si>
    <t>Christian, Gary D.</t>
  </si>
  <si>
    <t>Hoboken, NJ : Wiley, ©2004.</t>
  </si>
  <si>
    <t>2014-09-24</t>
  </si>
  <si>
    <t>3904167982:eng</t>
  </si>
  <si>
    <t>50767995</t>
  </si>
  <si>
    <t>ocm50767995</t>
  </si>
  <si>
    <t>3102784920X</t>
  </si>
  <si>
    <t>9780471214724</t>
  </si>
  <si>
    <t>793772629</t>
  </si>
  <si>
    <t>QD181 C1 V648 2018</t>
  </si>
  <si>
    <t>0                      QD 0181000C  1                  V  648         2018</t>
  </si>
  <si>
    <t>Carbon ideologies / William T. Vollmann.</t>
  </si>
  <si>
    <t>Vollmann, William T., author.</t>
  </si>
  <si>
    <t>New York, New York : Viking, [2018]</t>
  </si>
  <si>
    <t>9474455461:eng</t>
  </si>
  <si>
    <t>1026358784</t>
  </si>
  <si>
    <t>on1026358784</t>
  </si>
  <si>
    <t>31037943137</t>
  </si>
  <si>
    <t>9780399563492</t>
  </si>
  <si>
    <t>795052355</t>
  </si>
  <si>
    <t>3103794319W</t>
  </si>
  <si>
    <t>795052354</t>
  </si>
  <si>
    <t>QD251 B513 1889</t>
  </si>
  <si>
    <t>0                      QD 0251000B  513         1889</t>
  </si>
  <si>
    <t>A text-book of organic chemistry / by A. Bernthsen ; translated by George M'Gowan.</t>
  </si>
  <si>
    <t>Bernthsen, A. (August), 1855-1931.</t>
  </si>
  <si>
    <t>London : [publisher not identified], 1889.</t>
  </si>
  <si>
    <t>1889</t>
  </si>
  <si>
    <t>3821742:eng</t>
  </si>
  <si>
    <t>427527198</t>
  </si>
  <si>
    <t>ocn427527198</t>
  </si>
  <si>
    <t>3102357768L</t>
  </si>
  <si>
    <t>794676102</t>
  </si>
  <si>
    <t>QD253.2 S65 2016</t>
  </si>
  <si>
    <t>0                      QD 0253200S  65          2016</t>
  </si>
  <si>
    <t>Organic chemistry / T.W. Graham Solomons, University of South Florida, Craig B. Fryhle, Pacific Lutheran University, Scott A. Snyder, University of Chicago.</t>
  </si>
  <si>
    <t>Solomons, T. W. Graham, author.</t>
  </si>
  <si>
    <t>Hoboken, NJ : John Wiley &amp; Sons, Inc., [2016]</t>
  </si>
  <si>
    <t>12e.</t>
  </si>
  <si>
    <t>1686479:eng</t>
  </si>
  <si>
    <t>927438923</t>
  </si>
  <si>
    <t>ocn927438923</t>
  </si>
  <si>
    <t>3103768110J</t>
  </si>
  <si>
    <t>9781118875766</t>
  </si>
  <si>
    <t>795005950</t>
  </si>
  <si>
    <t>3103768123A</t>
  </si>
  <si>
    <t>795005944</t>
  </si>
  <si>
    <t>3103768112F</t>
  </si>
  <si>
    <t>795005948</t>
  </si>
  <si>
    <t>3103768111H</t>
  </si>
  <si>
    <t>795005945</t>
  </si>
  <si>
    <t>2019-09-03</t>
  </si>
  <si>
    <t>31037681191</t>
  </si>
  <si>
    <t>795005949</t>
  </si>
  <si>
    <t>31037681248</t>
  </si>
  <si>
    <t>795005951</t>
  </si>
  <si>
    <t>3103768106A</t>
  </si>
  <si>
    <t>795005947</t>
  </si>
  <si>
    <t>31037681078</t>
  </si>
  <si>
    <t>795005946</t>
  </si>
  <si>
    <t>QD253.2 S65 2016 suppl.</t>
  </si>
  <si>
    <t>0                      QD 0253200S  65          2016                                        suppl.</t>
  </si>
  <si>
    <t>Study guide and solutions manual to accompany Organic chemistry, twelfth edition / T.W. Graham Solomons, Craig B. Fryhle, Scott A. Snyder, Robert G. Johnson, Jon Antilla.</t>
  </si>
  <si>
    <t>Hoboken, NJ : Wiley, 2016.</t>
  </si>
  <si>
    <t>2019-10-05</t>
  </si>
  <si>
    <t>3376916297:eng</t>
  </si>
  <si>
    <t>919483898</t>
  </si>
  <si>
    <t>ocn919483898</t>
  </si>
  <si>
    <t>3103768129Z</t>
  </si>
  <si>
    <t>9781119077329</t>
  </si>
  <si>
    <t>795001894</t>
  </si>
  <si>
    <t>31037681280</t>
  </si>
  <si>
    <t>795001899</t>
  </si>
  <si>
    <t>31037681272</t>
  </si>
  <si>
    <t>795001896</t>
  </si>
  <si>
    <t>3103768137$</t>
  </si>
  <si>
    <t>795001893</t>
  </si>
  <si>
    <t>2019-05-16</t>
  </si>
  <si>
    <t>31037681175</t>
  </si>
  <si>
    <t>795001897</t>
  </si>
  <si>
    <t>3103768120G</t>
  </si>
  <si>
    <t>795001898</t>
  </si>
  <si>
    <t>3103768122C</t>
  </si>
  <si>
    <t>795001892</t>
  </si>
  <si>
    <t>31037681329</t>
  </si>
  <si>
    <t>795001895</t>
  </si>
  <si>
    <t>QD261 M38 2011</t>
  </si>
  <si>
    <t>0                      QD 0261000M  38          2011</t>
  </si>
  <si>
    <t>Microscale organic laboratory : with multistep and multiscale syntheses / Dana W. Mayo, Ronald M. Pike, David C. Forbes.</t>
  </si>
  <si>
    <t>Mayo, Dana W.</t>
  </si>
  <si>
    <t>Hoboken, NJ : J. Wiley &amp; Sons, ©2011.</t>
  </si>
  <si>
    <t>2012-03-30</t>
  </si>
  <si>
    <t>4923994254:eng</t>
  </si>
  <si>
    <t>311783016</t>
  </si>
  <si>
    <t>ocn311783016</t>
  </si>
  <si>
    <t>3103213179Z</t>
  </si>
  <si>
    <t>9780471215028</t>
  </si>
  <si>
    <t>794436471</t>
  </si>
  <si>
    <t>2012-03-29</t>
  </si>
  <si>
    <t>3103213177Z</t>
  </si>
  <si>
    <t>794436469</t>
  </si>
  <si>
    <t>2012-05-15</t>
  </si>
  <si>
    <t>3103213180X</t>
  </si>
  <si>
    <t>794436467</t>
  </si>
  <si>
    <t>3103213184X</t>
  </si>
  <si>
    <t>794436473</t>
  </si>
  <si>
    <t>2011-10-28</t>
  </si>
  <si>
    <t>3103213182X</t>
  </si>
  <si>
    <t>794436466</t>
  </si>
  <si>
    <t>QD271 Z88</t>
  </si>
  <si>
    <t>0                      QD 0271000Z  88</t>
  </si>
  <si>
    <t>Paper chromatography and electrophoresis, by Gunter Zweig and John R. Whitaker.</t>
  </si>
  <si>
    <t>Zweig, Gunter.</t>
  </si>
  <si>
    <t>New York, Academic Press, 1967-71.</t>
  </si>
  <si>
    <t>2016-03-18</t>
  </si>
  <si>
    <t>3752920485:eng</t>
  </si>
  <si>
    <t>335985</t>
  </si>
  <si>
    <t>ocm00335985</t>
  </si>
  <si>
    <t>3100674943H</t>
  </si>
  <si>
    <t>9780127843315</t>
  </si>
  <si>
    <t>791341447</t>
  </si>
  <si>
    <t>3001048706$</t>
  </si>
  <si>
    <t>791341446</t>
  </si>
  <si>
    <t>QD 271 Z97</t>
  </si>
  <si>
    <t>0                      QD 0271000Z  97</t>
  </si>
  <si>
    <t>Paper chromatography and electrophoresis / by Gunter Zweig and John R. Whitaker. Vol. 2, Paper chromatography.</t>
  </si>
  <si>
    <t>v.1 (1967)</t>
  </si>
  <si>
    <t>New York ; London : Academic Press, 1971.</t>
  </si>
  <si>
    <t>4926165854:eng</t>
  </si>
  <si>
    <t>270803184</t>
  </si>
  <si>
    <t>ocn270803184</t>
  </si>
  <si>
    <t>3000113155H</t>
  </si>
  <si>
    <t>794412537</t>
  </si>
  <si>
    <t>v.2 (1971)</t>
  </si>
  <si>
    <t>31003428046</t>
  </si>
  <si>
    <t>794412536</t>
  </si>
  <si>
    <t>QD272 S6 P38 2015</t>
  </si>
  <si>
    <t>0                      QD 0272000S  6                  P  38          2015</t>
  </si>
  <si>
    <t>Introduction to spectroscopy / Donald L. Pavia, Gary M. Lampman, George S. Kriz, James R. Vyvyan, Department of Chemistry, Western Washington University, Bellingham, Washington.</t>
  </si>
  <si>
    <t>Pavia, Donald L., author.</t>
  </si>
  <si>
    <t>Stamford, CT : Cengage Learning, [2015]</t>
  </si>
  <si>
    <t>793894987:eng</t>
  </si>
  <si>
    <t>864087517</t>
  </si>
  <si>
    <t>ocn864087517</t>
  </si>
  <si>
    <t>3103612497$</t>
  </si>
  <si>
    <t>9781285460123</t>
  </si>
  <si>
    <t>794961679</t>
  </si>
  <si>
    <t>QD341 A2 W315</t>
  </si>
  <si>
    <t>0                      QD 0341000A  2                  W  315</t>
  </si>
  <si>
    <t>The double helix : a personal account of the discovery of the structure of DNA / by James D. Watson.</t>
  </si>
  <si>
    <t>Watson, James D., 1928- author.</t>
  </si>
  <si>
    <t>New York : Atheneum, 1968.</t>
  </si>
  <si>
    <t>439031:eng</t>
  </si>
  <si>
    <t>439345</t>
  </si>
  <si>
    <t>ocm00439345</t>
  </si>
  <si>
    <t>3102112011K</t>
  </si>
  <si>
    <t>791378831</t>
  </si>
  <si>
    <t>3100026867W</t>
  </si>
  <si>
    <t>791378827</t>
  </si>
  <si>
    <t>3100026868U</t>
  </si>
  <si>
    <t>791378826</t>
  </si>
  <si>
    <t>QD453.2 C48 2000</t>
  </si>
  <si>
    <t>0                      QD 0453200C  48          2000</t>
  </si>
  <si>
    <t>Physical chemistry for the chemical and biological sciences / Raymond Chang.</t>
  </si>
  <si>
    <t>Chang, Raymond.</t>
  </si>
  <si>
    <t>Sausalito, Calif. : University Science Books, ©2000.</t>
  </si>
  <si>
    <t>1778405892:eng</t>
  </si>
  <si>
    <t>42780525</t>
  </si>
  <si>
    <t>ocm42780525</t>
  </si>
  <si>
    <t>3103148591R</t>
  </si>
  <si>
    <t>9781891389061</t>
  </si>
  <si>
    <t>793614190</t>
  </si>
  <si>
    <t>3102501448Y</t>
  </si>
  <si>
    <t>793614192</t>
  </si>
  <si>
    <t>3102807575K</t>
  </si>
  <si>
    <t>793614193</t>
  </si>
  <si>
    <t>31028063087</t>
  </si>
  <si>
    <t>793614194</t>
  </si>
  <si>
    <t>2019-09-28</t>
  </si>
  <si>
    <t>3102807583I</t>
  </si>
  <si>
    <t>793614195</t>
  </si>
  <si>
    <t>QD453.2 C48 2000 Suppl.</t>
  </si>
  <si>
    <t>0                      QD 0453200C  48          2000                                        Suppl.</t>
  </si>
  <si>
    <t>Problems and solutions to accompany Physical chemistry for the chemical and biological sciences [by] Raymond Chang / Helen O. Leung and Mark D. Marshall.</t>
  </si>
  <si>
    <t>Leung, Helen O.</t>
  </si>
  <si>
    <t>3901814091:eng</t>
  </si>
  <si>
    <t>45125590</t>
  </si>
  <si>
    <t>ocm45125590</t>
  </si>
  <si>
    <t>3102807601V</t>
  </si>
  <si>
    <t>9781891389115</t>
  </si>
  <si>
    <t>793665063</t>
  </si>
  <si>
    <t>3103221116D</t>
  </si>
  <si>
    <t>793665064</t>
  </si>
  <si>
    <t>3102807556O</t>
  </si>
  <si>
    <t>793665065</t>
  </si>
  <si>
    <t>QD453.3 A74 2014</t>
  </si>
  <si>
    <t>0                      QD 0453300A  74          2014</t>
  </si>
  <si>
    <t>Atkins' Physical chemistry / Peter Atkins, Fellow of Lincoln College, University of Oxford, Oxford, UK, Julio de Paula, Professor of Chemistry, Lewis &amp; Clark College, Portland, Oregon, USA.</t>
  </si>
  <si>
    <t>Oxford ; New York : Oxford University Press, [2014]</t>
  </si>
  <si>
    <t>3754801698:eng</t>
  </si>
  <si>
    <t>854139283</t>
  </si>
  <si>
    <t>ocn854139283</t>
  </si>
  <si>
    <t>31037486135</t>
  </si>
  <si>
    <t>9780199697403</t>
  </si>
  <si>
    <t>794952384</t>
  </si>
  <si>
    <t>QD453.3 A74 2018</t>
  </si>
  <si>
    <t>0                      QD 0453300A  74          2018</t>
  </si>
  <si>
    <t>Atkins' Physical chemistry / Peter Atkins, Fellow of Lincoln College, University of Oxford, Oxford, UK, Julio de Paula, Professor of Chemistry, Lewis &amp; Clark College, Portland, Oregon, USA, James Keeler, Senior Lecturer in Chemistry and Fellow of Selwyn College, University of Cambridge, Cambridge, UK.</t>
  </si>
  <si>
    <t>Atkins, P. W. (Peter William), 1940- author.</t>
  </si>
  <si>
    <t>Oxford, United Kingdom ; New York, NY : Oxford University Press, [2018]</t>
  </si>
  <si>
    <t>Eleventh edition.</t>
  </si>
  <si>
    <t>1020028162</t>
  </si>
  <si>
    <t>on1020028162</t>
  </si>
  <si>
    <t>3103768383L</t>
  </si>
  <si>
    <t>9780198769866</t>
  </si>
  <si>
    <t>795050105</t>
  </si>
  <si>
    <t>QD453.3 L48 2009</t>
  </si>
  <si>
    <t>0                      QD 0453300L  48          2009</t>
  </si>
  <si>
    <t>Physical chemistry / Ira N. Levine.</t>
  </si>
  <si>
    <t>Levine, Ira N., 1937-</t>
  </si>
  <si>
    <t>Boston : McGraw-Hill, ©2009.</t>
  </si>
  <si>
    <t>2016-09-16</t>
  </si>
  <si>
    <t>1862420359:eng</t>
  </si>
  <si>
    <t>191024171</t>
  </si>
  <si>
    <t>ocn191024171</t>
  </si>
  <si>
    <t>31036137281</t>
  </si>
  <si>
    <t>9780071276368</t>
  </si>
  <si>
    <t>794296782</t>
  </si>
  <si>
    <t>QD461 K33</t>
  </si>
  <si>
    <t>0                      QD 0461000K  33</t>
  </si>
  <si>
    <t>Atoms and molecules; an introduction for students of physical chemistry [by] Martin Karplus [and] Richard N. Porter.</t>
  </si>
  <si>
    <t>Karplus, Martin, 1930-</t>
  </si>
  <si>
    <t>New York, W.A. Benjamin, 1970.</t>
  </si>
  <si>
    <t>918036910:eng</t>
  </si>
  <si>
    <t>99559</t>
  </si>
  <si>
    <t>ocm00099559</t>
  </si>
  <si>
    <t>31031494381</t>
  </si>
  <si>
    <t>9780805352184</t>
  </si>
  <si>
    <t>791256408</t>
  </si>
  <si>
    <t>QD461 W942</t>
  </si>
  <si>
    <t>0                      QD 0461000W  942</t>
  </si>
  <si>
    <t>The atomic theory. By Ad. Wurtz. Tr. by E. Cleminshaw.</t>
  </si>
  <si>
    <t>Wurtz, Ad. (Adolphe), 1817-1884.</t>
  </si>
  <si>
    <t>New York, D. Appleton and Company, 1881.</t>
  </si>
  <si>
    <t>The International scientific series. [American ed.] vol. xxix</t>
  </si>
  <si>
    <t>9420173:eng</t>
  </si>
  <si>
    <t>3236310</t>
  </si>
  <si>
    <t>ocm03236310</t>
  </si>
  <si>
    <t>3000718623H</t>
  </si>
  <si>
    <t>792233214</t>
  </si>
  <si>
    <t>QD462 E53 2013</t>
  </si>
  <si>
    <t>0                      QD 0462000E  53          2013</t>
  </si>
  <si>
    <t>Quantum chemistry &amp; spectroscopy / Thomas Engel ; chapter 15, "Computational chemistry," was contributed by Warren Hehre.</t>
  </si>
  <si>
    <t>Engel, Thomas, 1942-</t>
  </si>
  <si>
    <t>3629882:eng</t>
  </si>
  <si>
    <t>754713352</t>
  </si>
  <si>
    <t>ocn754713352</t>
  </si>
  <si>
    <t>31035523441</t>
  </si>
  <si>
    <t>9780321766199</t>
  </si>
  <si>
    <t>794893002</t>
  </si>
  <si>
    <t>31035722130</t>
  </si>
  <si>
    <t>794893003</t>
  </si>
  <si>
    <t>QD474 J66 2007</t>
  </si>
  <si>
    <t>0                      QD 0474000J  66          2007</t>
  </si>
  <si>
    <t>Medicinal applications of coordination chemistry / Chris Jones, John Thornback.</t>
  </si>
  <si>
    <t>Jones, Chris J.</t>
  </si>
  <si>
    <t>Cambridge : Royal Society of Chemistry, ©2007.</t>
  </si>
  <si>
    <t>66247722:eng</t>
  </si>
  <si>
    <t>81453264</t>
  </si>
  <si>
    <t>ocm81453264</t>
  </si>
  <si>
    <t>3102650519A</t>
  </si>
  <si>
    <t>9780854045969</t>
  </si>
  <si>
    <t>794203445</t>
  </si>
  <si>
    <t>QD476 R65</t>
  </si>
  <si>
    <t>0                      QD 0476000R  65</t>
  </si>
  <si>
    <t>The structural relations of natural products : being the first Weizmann memorial lectures, December 1953 / by Robert Robinson.</t>
  </si>
  <si>
    <t>Robinson, Robert, 1886-1975.</t>
  </si>
  <si>
    <t>Oxford : Clarendon, 1955.</t>
  </si>
  <si>
    <t>Weizmann memorial lecture series ; 1</t>
  </si>
  <si>
    <t>2019-03-01</t>
  </si>
  <si>
    <t>1994759:eng</t>
  </si>
  <si>
    <t>152343288</t>
  </si>
  <si>
    <t>ocn152343288</t>
  </si>
  <si>
    <t>3001048080F</t>
  </si>
  <si>
    <t>794248988</t>
  </si>
  <si>
    <t>QD476.2 P49 2014</t>
  </si>
  <si>
    <t>0                      QD 0476200P  49          2014</t>
  </si>
  <si>
    <t>Physical chemistry : principles and applications in biological sciences / Ignacio Tinoco, Jr. [and others].</t>
  </si>
  <si>
    <t>Boston : Pearson, ©2014.</t>
  </si>
  <si>
    <t>Pearson advanced chemistry series</t>
  </si>
  <si>
    <t>2019-03-08</t>
  </si>
  <si>
    <t>837056334:eng</t>
  </si>
  <si>
    <t>829243499</t>
  </si>
  <si>
    <t>ocn829243499</t>
  </si>
  <si>
    <t>3103608838C</t>
  </si>
  <si>
    <t>9780136056065</t>
  </si>
  <si>
    <t>794942224</t>
  </si>
  <si>
    <t>3103631951X</t>
  </si>
  <si>
    <t>794942225</t>
  </si>
  <si>
    <t>31037681167</t>
  </si>
  <si>
    <t>794942227</t>
  </si>
  <si>
    <t>3103631956N</t>
  </si>
  <si>
    <t>794942226</t>
  </si>
  <si>
    <t>QD505.5 K47 2003</t>
  </si>
  <si>
    <t>0                      QD 0505500K  47          2003</t>
  </si>
  <si>
    <t>Affinity, that elusive dream : a genealogy of the chemical revolution / Mi Gyung Kim.</t>
  </si>
  <si>
    <t>Kim, Mi Gyung.</t>
  </si>
  <si>
    <t>801237431:eng</t>
  </si>
  <si>
    <t>50478456</t>
  </si>
  <si>
    <t>ocm50478456</t>
  </si>
  <si>
    <t>3102336136M</t>
  </si>
  <si>
    <t>9780262112734</t>
  </si>
  <si>
    <t>793765736</t>
  </si>
  <si>
    <t>QD516 L27 2006</t>
  </si>
  <si>
    <t>0                      QD 0516000L  27          2006</t>
  </si>
  <si>
    <t>Combustion physics / Chung K. Law.</t>
  </si>
  <si>
    <t>Law, Chung K., 1947-</t>
  </si>
  <si>
    <t>49672893:eng</t>
  </si>
  <si>
    <t>65978625</t>
  </si>
  <si>
    <t>ocm65978625</t>
  </si>
  <si>
    <t>3102592757B</t>
  </si>
  <si>
    <t>9780521870528</t>
  </si>
  <si>
    <t>794137226</t>
  </si>
  <si>
    <t>3102616922T</t>
  </si>
  <si>
    <t>794137227</t>
  </si>
  <si>
    <t>QD543 F6413 1969</t>
  </si>
  <si>
    <t>0                      QD 0543000F  6413        1969</t>
  </si>
  <si>
    <t>Diffusion and heat transfer in chemical kinetics [by] David A. Frank-Kamenetskii.</t>
  </si>
  <si>
    <t>Frank-Kamenet︠s︡kiĭ, D. A. (David Alʹbertovich)</t>
  </si>
  <si>
    <t>New York, Plenum Press, 1969.</t>
  </si>
  <si>
    <t>2d enl. and rev. ed. Translation editor: John P. Appleton.</t>
  </si>
  <si>
    <t>365200167:eng</t>
  </si>
  <si>
    <t>51988</t>
  </si>
  <si>
    <t>ocm00051988</t>
  </si>
  <si>
    <t>31031449610</t>
  </si>
  <si>
    <t>791240174</t>
  </si>
  <si>
    <t>QD561 B32 1964</t>
  </si>
  <si>
    <t>0                      QD 0561000B  32          1964</t>
  </si>
  <si>
    <t>Determination of pH; theory and practice.</t>
  </si>
  <si>
    <t>Bates, Roger G. (Roger Gordon), 1912-</t>
  </si>
  <si>
    <t>2004-11-29</t>
  </si>
  <si>
    <t>5838794:eng</t>
  </si>
  <si>
    <t>543829</t>
  </si>
  <si>
    <t>ocm00543829</t>
  </si>
  <si>
    <t>3001044071$</t>
  </si>
  <si>
    <t>791409332</t>
  </si>
  <si>
    <t>2015-02-19</t>
  </si>
  <si>
    <t>QD933 S53 1971</t>
  </si>
  <si>
    <t>0                      QD 0933000S  53          1971</t>
  </si>
  <si>
    <t>Single crystal elastic constants and calculated aggregate properties: a handbook [by] Gene Simmons and Herbert Wang.</t>
  </si>
  <si>
    <t>Simmons, Gene, 1929-</t>
  </si>
  <si>
    <t>Cambridge, Mass., M.I.T. Press [1971]</t>
  </si>
  <si>
    <t>2014-04-24</t>
  </si>
  <si>
    <t>146694341:eng</t>
  </si>
  <si>
    <t>152631</t>
  </si>
  <si>
    <t>ocm00152631</t>
  </si>
  <si>
    <t>31029976801</t>
  </si>
  <si>
    <t>9780262190923</t>
  </si>
  <si>
    <t>791273736</t>
  </si>
  <si>
    <t xml:space="preserve">QE </t>
  </si>
  <si>
    <t>QE1 G467 no.3</t>
  </si>
  <si>
    <t>0                      QE 0001000G  467                                                     no.3</t>
  </si>
  <si>
    <t>Fossil non-marine Mollusca of North America / by Junius Henderson.</t>
  </si>
  <si>
    <t>no.3*</t>
  </si>
  <si>
    <t>Henderson, Junius, 1865-1937, author.</t>
  </si>
  <si>
    <t>[New York] : Geological Society of America, 1935.</t>
  </si>
  <si>
    <t>Special papers / Geological Society of America ; no. 3</t>
  </si>
  <si>
    <t>1580978:eng</t>
  </si>
  <si>
    <t>547339</t>
  </si>
  <si>
    <t>ocm00547339</t>
  </si>
  <si>
    <t>3000557864R</t>
  </si>
  <si>
    <t>791410566</t>
  </si>
  <si>
    <t>v.10 (1968)</t>
  </si>
  <si>
    <t>v.13 (1971)</t>
  </si>
  <si>
    <t>QE3 D23 1876</t>
  </si>
  <si>
    <t>0                      QE 0003000D  23          1876</t>
  </si>
  <si>
    <t>Geological observations on the volcanic islands and parts of South America visited during the voyage of H.M.S. ʻBeagle.'</t>
  </si>
  <si>
    <t>Darwin, Charles, 1809-1882, author.</t>
  </si>
  <si>
    <t>London : Smith, Elder, &amp; Co., 1876.</t>
  </si>
  <si>
    <t>1876</t>
  </si>
  <si>
    <t>Second edition : with maps and illustrations.</t>
  </si>
  <si>
    <t>3855265712:eng</t>
  </si>
  <si>
    <t>1112117</t>
  </si>
  <si>
    <t>ocm01112117</t>
  </si>
  <si>
    <t>3000723544W</t>
  </si>
  <si>
    <t>791548977</t>
  </si>
  <si>
    <t>QE6 I48 1997</t>
  </si>
  <si>
    <t>0                      QE 0006000I  48          1997</t>
  </si>
  <si>
    <t>Images of the Earth : essays in the history of the environmental sciences / edited by Ludmilla Jordanova and Roy Porter.</t>
  </si>
  <si>
    <t>[England] : British Society for the History of Science, 1997.</t>
  </si>
  <si>
    <t>BSHS monographs ; 1</t>
  </si>
  <si>
    <t>2018-04-15</t>
  </si>
  <si>
    <t>836653110:eng</t>
  </si>
  <si>
    <t>38024336</t>
  </si>
  <si>
    <t>ocm38024336</t>
  </si>
  <si>
    <t>3103095379U</t>
  </si>
  <si>
    <t>9780906450123</t>
  </si>
  <si>
    <t>793513207</t>
  </si>
  <si>
    <t>QE13 C3 F68 2014</t>
  </si>
  <si>
    <t>0                      QE 0013000C  3                  F  68          2014</t>
  </si>
  <si>
    <t>Four billion years and counting : Canada's geological heritage / Robert Fensome, Graham Williams, Aïcha Achab, John Clague, David Corrigan, Jim Monger, and Godfrey Nowlan (editors).</t>
  </si>
  <si>
    <t>[Halifax] : Nimbus Publishing : Canadian Federation of Earth Sciences, [2014]</t>
  </si>
  <si>
    <t>1898718723:eng</t>
  </si>
  <si>
    <t>880843088</t>
  </si>
  <si>
    <t>ocn880843088</t>
  </si>
  <si>
    <t>31035862794</t>
  </si>
  <si>
    <t>9781551099965</t>
  </si>
  <si>
    <t>794973462</t>
  </si>
  <si>
    <t>QE22 D272</t>
  </si>
  <si>
    <t>0                      QE 0022000D  272</t>
  </si>
  <si>
    <t>Fifty years of work in Canada, scientific and educational; being autobiographical notes by Sir William Dawson ... Edited by Rankine Dawson ...</t>
  </si>
  <si>
    <t>Dawson, John William, Sir, 1820-1899.</t>
  </si>
  <si>
    <t>London and Edinburgh, Ballantyne, Hanson &amp; Co., 1901.</t>
  </si>
  <si>
    <t>7410542:eng</t>
  </si>
  <si>
    <t>3025580</t>
  </si>
  <si>
    <t>ocm03025580</t>
  </si>
  <si>
    <t>3102250564O</t>
  </si>
  <si>
    <t>792208054</t>
  </si>
  <si>
    <t>2003-08-11</t>
  </si>
  <si>
    <t>3001182431B</t>
  </si>
  <si>
    <t>792208055</t>
  </si>
  <si>
    <t>QE22 D29 A3 1989</t>
  </si>
  <si>
    <t>0                      QE 0022000D  29                 A  3           1989</t>
  </si>
  <si>
    <t>The journals of George M. Dawson : British Columbia, 1875-1878 / edited by Douglas Cole and Bradley Lockner.</t>
  </si>
  <si>
    <t>Dawson, George Mercer, 1849-1901.</t>
  </si>
  <si>
    <t>Vancouver : University of British Columbia Press, 1989.</t>
  </si>
  <si>
    <t>Recollections of the pioneers of British Columbia</t>
  </si>
  <si>
    <t>2019-07-03</t>
  </si>
  <si>
    <t>427501750:eng</t>
  </si>
  <si>
    <t>20594775</t>
  </si>
  <si>
    <t>ocm20594775</t>
  </si>
  <si>
    <t>3102357185Z</t>
  </si>
  <si>
    <t>9780774802765</t>
  </si>
  <si>
    <t>793092320</t>
  </si>
  <si>
    <t>3103144611J</t>
  </si>
  <si>
    <t>793092319</t>
  </si>
  <si>
    <t>QE22 D29 J45 2007</t>
  </si>
  <si>
    <t>0                      QE 0022000D  29                 J  45          2007</t>
  </si>
  <si>
    <t>Beneath my feet : the memoirs of George Mercer Dawson / with Phil Jenkins.</t>
  </si>
  <si>
    <t>Jenkins, Phil, 1951-</t>
  </si>
  <si>
    <t>Toronto : McClelland and Stewart, c2007.</t>
  </si>
  <si>
    <t>313981258:eng</t>
  </si>
  <si>
    <t>70839303</t>
  </si>
  <si>
    <t>ocm70839303</t>
  </si>
  <si>
    <t>3102706776O</t>
  </si>
  <si>
    <t>9780771043888</t>
  </si>
  <si>
    <t>794159929</t>
  </si>
  <si>
    <t>QE22 H5 M6</t>
  </si>
  <si>
    <t>0                      QE 0022000H  5                  M  6</t>
  </si>
  <si>
    <t>Henry Youle Hind, 1823-1908 / W.L. Morton.</t>
  </si>
  <si>
    <t>Morton, W. L. (William Lewis), 1908-1981.</t>
  </si>
  <si>
    <t>Toronto ; Buffalo : University of Toronto Press, ©1980.</t>
  </si>
  <si>
    <t>Canadian biographical studies, 0045-4486 ; 7</t>
  </si>
  <si>
    <t>2018-04-08</t>
  </si>
  <si>
    <t>139841347:eng</t>
  </si>
  <si>
    <t>8345453</t>
  </si>
  <si>
    <t>ocm08345453</t>
  </si>
  <si>
    <t>30003079148</t>
  </si>
  <si>
    <t>9780802032782</t>
  </si>
  <si>
    <t>792614146</t>
  </si>
  <si>
    <t>QE22 H9 R46 2003</t>
  </si>
  <si>
    <t>0                      QE 0022000H  9                  R  46          2003</t>
  </si>
  <si>
    <t>The man who found time : James Hutton and the discovery of Earth's antiquity / Jack Repcheck.</t>
  </si>
  <si>
    <t>Repcheck, Jack.</t>
  </si>
  <si>
    <t>London : Simon &amp; Schuster, 2003.</t>
  </si>
  <si>
    <t>2016-06-27</t>
  </si>
  <si>
    <t>794245619:eng</t>
  </si>
  <si>
    <t>52326778</t>
  </si>
  <si>
    <t>ocm52326778</t>
  </si>
  <si>
    <t>3102359671E</t>
  </si>
  <si>
    <t>9780743231893</t>
  </si>
  <si>
    <t>793803551</t>
  </si>
  <si>
    <t>QE22 V47 B34 1990</t>
  </si>
  <si>
    <t>0                      QE 0022000V  47                 B  34          1990</t>
  </si>
  <si>
    <t>Science and Russian culture in an age of revolutions : V.I. Vernadsky and his scientific school, 1863-1945 / Kendall E. Bailes.</t>
  </si>
  <si>
    <t>Bailes, Kendall E.</t>
  </si>
  <si>
    <t>Indiana-Michigan series in Russian and East European studies</t>
  </si>
  <si>
    <t>808563695:eng</t>
  </si>
  <si>
    <t>19921141</t>
  </si>
  <si>
    <t>ocm19921141</t>
  </si>
  <si>
    <t>3101144935O</t>
  </si>
  <si>
    <t>9780253311238</t>
  </si>
  <si>
    <t>793072234</t>
  </si>
  <si>
    <t>QE26 U55 1947</t>
  </si>
  <si>
    <t>0                      QE 0026000U  55          1947</t>
  </si>
  <si>
    <t>The pulse of the earth / by J.H.F. Umbgrove ...</t>
  </si>
  <si>
    <t>Umbgrove, Johannes Herman Frederik, 1899-1954.</t>
  </si>
  <si>
    <t>The Hague : M. Nijhoff, 1947.</t>
  </si>
  <si>
    <t>Second ed.</t>
  </si>
  <si>
    <t>2016-08-05</t>
  </si>
  <si>
    <t>1600392:eng</t>
  </si>
  <si>
    <t>552425</t>
  </si>
  <si>
    <t>ocm00552425</t>
  </si>
  <si>
    <t>3000371700F</t>
  </si>
  <si>
    <t>791412165</t>
  </si>
  <si>
    <t>3001031048F</t>
  </si>
  <si>
    <t>791412167</t>
  </si>
  <si>
    <t>QE26.3 M36 2012</t>
  </si>
  <si>
    <t>0                      QE 0026300M  36          2012</t>
  </si>
  <si>
    <t>Earth : portrait of a planet / Stephen Marshak.</t>
  </si>
  <si>
    <t>Marshak, Stephen, 1955-</t>
  </si>
  <si>
    <t>New York : W.W. Norton, ©2012.</t>
  </si>
  <si>
    <t>796384823:eng</t>
  </si>
  <si>
    <t>751780685</t>
  </si>
  <si>
    <t>ocn751780685</t>
  </si>
  <si>
    <t>31035351377</t>
  </si>
  <si>
    <t>9780393935189</t>
  </si>
  <si>
    <t>794890996</t>
  </si>
  <si>
    <t>QE28 M3415 2016</t>
  </si>
  <si>
    <t>0                      QE 0028000M  3415        2016</t>
  </si>
  <si>
    <t>Essentials of geology / Stephen Marshak, University of Illinois.</t>
  </si>
  <si>
    <t>New York : W.W. Norton &amp; Company, [2016]</t>
  </si>
  <si>
    <t>690760:eng</t>
  </si>
  <si>
    <t>920818893</t>
  </si>
  <si>
    <t>ocn920818893</t>
  </si>
  <si>
    <t>3103655489X</t>
  </si>
  <si>
    <t>9780393263398</t>
  </si>
  <si>
    <t>795002552</t>
  </si>
  <si>
    <t>3103710342V</t>
  </si>
  <si>
    <t>795002554</t>
  </si>
  <si>
    <t>2019-11-17</t>
  </si>
  <si>
    <t>3103710332Y</t>
  </si>
  <si>
    <t>795002555</t>
  </si>
  <si>
    <t>3103710327R</t>
  </si>
  <si>
    <t>795002553</t>
  </si>
  <si>
    <t>3103710337O</t>
  </si>
  <si>
    <t>795002551</t>
  </si>
  <si>
    <t>QE28.3 L48 2013</t>
  </si>
  <si>
    <t>0                      QE 0028300L  48          2013</t>
  </si>
  <si>
    <t>The earth through time / Harold L. Levin.</t>
  </si>
  <si>
    <t>Levin, Harold L. (Harold Leonard), 1929-</t>
  </si>
  <si>
    <t>Hoboken, N.J. : John Wiley &amp; Sons, ©2013.</t>
  </si>
  <si>
    <t>1017850:eng</t>
  </si>
  <si>
    <t>712124916</t>
  </si>
  <si>
    <t>ocn712124916</t>
  </si>
  <si>
    <t>31035852758</t>
  </si>
  <si>
    <t>9781118254677</t>
  </si>
  <si>
    <t>794871834</t>
  </si>
  <si>
    <t>QE28.3 S735 2015</t>
  </si>
  <si>
    <t>0                      QE 0028300S  735         2015</t>
  </si>
  <si>
    <t>Earth system history / Steven M. Stanley, University of Hawaii, John A. Luczaj, University of Wisconsin - Green Bay.</t>
  </si>
  <si>
    <t>Stanley, Steven M., author.</t>
  </si>
  <si>
    <t>New York, NY : W.H. Freeman and Company, a Macmillan Higher Education Company, [2015]</t>
  </si>
  <si>
    <t>940795:eng</t>
  </si>
  <si>
    <t>881875780</t>
  </si>
  <si>
    <t>ocn881875780</t>
  </si>
  <si>
    <t>31031985932</t>
  </si>
  <si>
    <t>9781429255264</t>
  </si>
  <si>
    <t>794974954</t>
  </si>
  <si>
    <t>QE28.3 W53 2015</t>
  </si>
  <si>
    <t>0                      QE 0028300W  53          2015</t>
  </si>
  <si>
    <t>Historical geology : evolution of earth &amp; life through time / Reed Wicander, Central Michigan University ; James S. Monroe, Emeritus, Central Michigan University.</t>
  </si>
  <si>
    <t>Wicander, Reed, 1946-</t>
  </si>
  <si>
    <t>Belmont, CA : Cengage Learning, [2015]</t>
  </si>
  <si>
    <t>8e.</t>
  </si>
  <si>
    <t>793894946:eng</t>
  </si>
  <si>
    <t>904020059</t>
  </si>
  <si>
    <t>ocn904020059</t>
  </si>
  <si>
    <t>3103586477Z</t>
  </si>
  <si>
    <t>9781305119567</t>
  </si>
  <si>
    <t>794989936</t>
  </si>
  <si>
    <t>QE31 K7713 2013</t>
  </si>
  <si>
    <t>0                      QE 0031000K  7713        2013</t>
  </si>
  <si>
    <t>Why hell stinks of sulfur : mythology and geology of the underworld / Salomon Kroonenberg ; translated by Andy Brown.</t>
  </si>
  <si>
    <t>Kroonenberg, Salomon Bernard.</t>
  </si>
  <si>
    <t>London, UK : Reaktion Books, ©2013.</t>
  </si>
  <si>
    <t>2017-11-05</t>
  </si>
  <si>
    <t>1236928004:eng</t>
  </si>
  <si>
    <t>794136884</t>
  </si>
  <si>
    <t>ocn794136884</t>
  </si>
  <si>
    <t>3103502065V</t>
  </si>
  <si>
    <t>9781780230450</t>
  </si>
  <si>
    <t>794919249</t>
  </si>
  <si>
    <t>QE33 M35 2013</t>
  </si>
  <si>
    <t>0                      QE 0033000M  35          2013</t>
  </si>
  <si>
    <t>Making the geologic now : responses to material conditions of contemporary life / edited by Elizabeth Ellsworth, Jamie Kruse.</t>
  </si>
  <si>
    <t>Brooklyn, N.Y. : Punctum Books, 2013.</t>
  </si>
  <si>
    <t>1367495409:eng</t>
  </si>
  <si>
    <t>852713460</t>
  </si>
  <si>
    <t>ocn852713460</t>
  </si>
  <si>
    <t>31037591087</t>
  </si>
  <si>
    <t>9780615766362</t>
  </si>
  <si>
    <t>794951505</t>
  </si>
  <si>
    <t>QE38 G73 2004</t>
  </si>
  <si>
    <t>0                      QE 0038000G  73          2004</t>
  </si>
  <si>
    <t>Geodiversity : valuing and conserving abiotic nature / Murray Gray.</t>
  </si>
  <si>
    <t>Gray, J. M.</t>
  </si>
  <si>
    <t>Chichester, West Sussex ; Hoboken, NJ : J. Wiley, ©2004.</t>
  </si>
  <si>
    <t>800625700:eng</t>
  </si>
  <si>
    <t>52784118</t>
  </si>
  <si>
    <t>ocm52784118</t>
  </si>
  <si>
    <t>31023617309</t>
  </si>
  <si>
    <t>9780470848951</t>
  </si>
  <si>
    <t>793813959</t>
  </si>
  <si>
    <t>QE38 M66 2014</t>
  </si>
  <si>
    <t>0                      QE 0038000M  66          2014</t>
  </si>
  <si>
    <t>Environmental geology / Carla W. Montgomery.</t>
  </si>
  <si>
    <t>Montgomery, Carla W., 1951-</t>
  </si>
  <si>
    <t>New York, NY : McGraw-Hill, ©2014.</t>
  </si>
  <si>
    <t>4308360:eng</t>
  </si>
  <si>
    <t>856014002</t>
  </si>
  <si>
    <t>ocn856014002</t>
  </si>
  <si>
    <t>3103688589X</t>
  </si>
  <si>
    <t>9780073524115</t>
  </si>
  <si>
    <t>794954048</t>
  </si>
  <si>
    <t>QE38 P48 2013</t>
  </si>
  <si>
    <t>0                      QE 0038000P  48          2013</t>
  </si>
  <si>
    <t>Geology and the environment / Bernard W. Pipkin, D.D. Trent, Richard Hazlett, Paul Bierman.</t>
  </si>
  <si>
    <t>Pipkin, Bernard W.</t>
  </si>
  <si>
    <t>Belmont, CA, USA : Brooks/Cole, CENGAGE Learning, [2013]</t>
  </si>
  <si>
    <t>7th edition.</t>
  </si>
  <si>
    <t>1030220:eng</t>
  </si>
  <si>
    <t>800032829</t>
  </si>
  <si>
    <t>ocn800032829</t>
  </si>
  <si>
    <t>3103714500J</t>
  </si>
  <si>
    <t>9781133603986</t>
  </si>
  <si>
    <t>794924424</t>
  </si>
  <si>
    <t>QE48.8 D38 2002</t>
  </si>
  <si>
    <t>0                      QE 0048800D  38          2002</t>
  </si>
  <si>
    <t>Statistics and data analysis in geology / John C. Davis.</t>
  </si>
  <si>
    <t>Davis, John C.</t>
  </si>
  <si>
    <t>New York : J. Wiley, ©2002.</t>
  </si>
  <si>
    <t>1089384:eng</t>
  </si>
  <si>
    <t>50101008</t>
  </si>
  <si>
    <t>ocm50101008</t>
  </si>
  <si>
    <t>3103439447N</t>
  </si>
  <si>
    <t>9780471172758</t>
  </si>
  <si>
    <t>793755580</t>
  </si>
  <si>
    <t>QE70 H6</t>
  </si>
  <si>
    <t>0                      QE 0070000H  6</t>
  </si>
  <si>
    <t>The Bering Land Bridge, edited by David M. Hopkins.</t>
  </si>
  <si>
    <t>Hopkins, David Moody, 1921-2001.</t>
  </si>
  <si>
    <t>Stanford, Calif., Stanford University Press, 1967.</t>
  </si>
  <si>
    <t>2017-03-28</t>
  </si>
  <si>
    <t>148031963:eng</t>
  </si>
  <si>
    <t>545237</t>
  </si>
  <si>
    <t>ocm00545237</t>
  </si>
  <si>
    <t>30003114357</t>
  </si>
  <si>
    <t>9780804702720</t>
  </si>
  <si>
    <t>791409875</t>
  </si>
  <si>
    <t>3001044088J</t>
  </si>
  <si>
    <t>791409877</t>
  </si>
  <si>
    <t>QE75 P9 no.15</t>
  </si>
  <si>
    <t>0                      QE 0075000P  9                                                       no.15</t>
  </si>
  <si>
    <t>The mineral resources of the Mount Wrangell district, Alaska / by Walter C. Mendenhall and Frank C. Schrader.</t>
  </si>
  <si>
    <t>no.15*</t>
  </si>
  <si>
    <t>Mendenhall, Walter C. (Walter Curran), 1871-1957.</t>
  </si>
  <si>
    <t>Washington : Government Printing Office, 1903.</t>
  </si>
  <si>
    <t>Professional paper, no. 15.</t>
  </si>
  <si>
    <t>5218575316:eng</t>
  </si>
  <si>
    <t>5314281</t>
  </si>
  <si>
    <t>ocm05314281</t>
  </si>
  <si>
    <t>3000691686O</t>
  </si>
  <si>
    <t>792424564</t>
  </si>
  <si>
    <t>QE89 M37 1993</t>
  </si>
  <si>
    <t>0                      QE 0089000M  37          1993</t>
  </si>
  <si>
    <t>Assembling California / John McPhee.</t>
  </si>
  <si>
    <t>McPhee, John, 1931- author.</t>
  </si>
  <si>
    <t>New York : Farrar, Straus &amp; Giroux, 1993.</t>
  </si>
  <si>
    <t>56669571:eng</t>
  </si>
  <si>
    <t>26809557</t>
  </si>
  <si>
    <t>ocm26809557</t>
  </si>
  <si>
    <t>3101426733H</t>
  </si>
  <si>
    <t>9780374106454</t>
  </si>
  <si>
    <t>793252340</t>
  </si>
  <si>
    <t>QE185 A2 no. 78</t>
  </si>
  <si>
    <t>0                      QE 0185000A  2                                                       no. 78</t>
  </si>
  <si>
    <t>Wabana iron ore of Newfoundland, by Albert Orion Hayes.</t>
  </si>
  <si>
    <t>no. 78*</t>
  </si>
  <si>
    <t>Hayes, Albert Orion, 1882-1965.</t>
  </si>
  <si>
    <t>Ottawa, Government Printing Bureau, 1915.</t>
  </si>
  <si>
    <t>Geological Survey of Canada. Memoir 78</t>
  </si>
  <si>
    <t>1454343:eng</t>
  </si>
  <si>
    <t>506994</t>
  </si>
  <si>
    <t>ocm00506994</t>
  </si>
  <si>
    <t>31001297789</t>
  </si>
  <si>
    <t>791397606</t>
  </si>
  <si>
    <t>QE185 A2 no. 80</t>
  </si>
  <si>
    <t>0                      QE 0185000A  2                                                       no. 80</t>
  </si>
  <si>
    <t>Huron and Wyandot mythology, with an appendix containing earlier published records, by C.M. Barbeau.</t>
  </si>
  <si>
    <t>no. 80*</t>
  </si>
  <si>
    <t>Barbeau, Marius, 1883-1969.</t>
  </si>
  <si>
    <t>Canada. Geological survey. Memoir 80; Anthropological series no. 11</t>
  </si>
  <si>
    <t>2018-01-31</t>
  </si>
  <si>
    <t>4647454:eng</t>
  </si>
  <si>
    <t>2365453</t>
  </si>
  <si>
    <t>ocm02365453</t>
  </si>
  <si>
    <t>30006577061</t>
  </si>
  <si>
    <t>792110183</t>
  </si>
  <si>
    <t>QE185 A2 no. 86</t>
  </si>
  <si>
    <t>0                      QE 0185000A  2                                                       no. 86</t>
  </si>
  <si>
    <t>Iroquis [sic] foods and food preparation / by F.W. Waugh.</t>
  </si>
  <si>
    <t>no. 86*</t>
  </si>
  <si>
    <t>Waugh, F. W. (Frederick Wilkerson), 1872-1924.</t>
  </si>
  <si>
    <t>Ottawa : Government printing Bureau, 1916.</t>
  </si>
  <si>
    <t>Canada. Geological survey. Memoir Anthropological series ; 86. no. 12</t>
  </si>
  <si>
    <t>9093707112:eng</t>
  </si>
  <si>
    <t>3920494</t>
  </si>
  <si>
    <t>ocm03920494</t>
  </si>
  <si>
    <t>31011470285</t>
  </si>
  <si>
    <t>792305271</t>
  </si>
  <si>
    <t>QE185 A48 v.9 pt F</t>
  </si>
  <si>
    <t>0                      QE 0185000A  48                                                      v.9 pt F</t>
  </si>
  <si>
    <t>Report on the Doobaunt, Kazan and Ferguson rivers and the north-west coast of Hudson Bay, and on two overland routes from Hudson Bay to Lake Winnipeg / by J. Burr Tyrrell.</t>
  </si>
  <si>
    <t>v.9 pt F*</t>
  </si>
  <si>
    <t>Tyrrell, Joseph Burr, 1858-1957.</t>
  </si>
  <si>
    <t>Ottawa : S.E. Dawson, 1897.</t>
  </si>
  <si>
    <t>1897</t>
  </si>
  <si>
    <t>Canada. Geological survey. Annual report. Vol. IX ; pt. F</t>
  </si>
  <si>
    <t>225663538:eng</t>
  </si>
  <si>
    <t>29104004</t>
  </si>
  <si>
    <t>ocm29104004</t>
  </si>
  <si>
    <t>3000746316I</t>
  </si>
  <si>
    <t>793303353</t>
  </si>
  <si>
    <t>QE185 A5 1947</t>
  </si>
  <si>
    <t>0                      QE 0185000A  5           1947</t>
  </si>
  <si>
    <t>A century in the history of the Geological Survey of Canada.</t>
  </si>
  <si>
    <t>Alcock, F. J. (Frederick James), 1888-1972.</t>
  </si>
  <si>
    <t>Ottawa : E. Cloutier, printer to the King, 1947.</t>
  </si>
  <si>
    <t>Canada. National Museum, Ottawa. Special contribution ; no. 47-1</t>
  </si>
  <si>
    <t>1112617:eng</t>
  </si>
  <si>
    <t>1228554</t>
  </si>
  <si>
    <t>ocm01228554</t>
  </si>
  <si>
    <t>3100240271W</t>
  </si>
  <si>
    <t>791578254</t>
  </si>
  <si>
    <t>QE185 B53x</t>
  </si>
  <si>
    <t>0                      QE 0185000B  53x</t>
  </si>
  <si>
    <t>The natural landscapes of Canada; a study in regional earth science [by] J. Brian Bird. With an introd. by F.K. Hare.</t>
  </si>
  <si>
    <t>Bird, J. Brian (John Brian), 1923-</t>
  </si>
  <si>
    <t>Toronto, Wiley Publishers of Canada [1972]</t>
  </si>
  <si>
    <t>2015-06-19</t>
  </si>
  <si>
    <t>1565163:eng</t>
  </si>
  <si>
    <t>539643</t>
  </si>
  <si>
    <t>ocm00539643</t>
  </si>
  <si>
    <t>30009937364</t>
  </si>
  <si>
    <t>9780471073703</t>
  </si>
  <si>
    <t>791408046</t>
  </si>
  <si>
    <t>3100024755G</t>
  </si>
  <si>
    <t>791408044</t>
  </si>
  <si>
    <t>QE185 Z9247</t>
  </si>
  <si>
    <t>0                      QE 0185000Z  9247</t>
  </si>
  <si>
    <t>Index to reports of Geological Survey of Canada from 1951-59. Compiled by J.F. Wright.</t>
  </si>
  <si>
    <t>Geological Survey of Canada.</t>
  </si>
  <si>
    <t>[Ottawa] Dept. of Mines and Technical Surveys, 1965.</t>
  </si>
  <si>
    <t>13548076:eng</t>
  </si>
  <si>
    <t>3928253</t>
  </si>
  <si>
    <t>ocm03928253</t>
  </si>
  <si>
    <t>30007449431</t>
  </si>
  <si>
    <t>792305713</t>
  </si>
  <si>
    <t>QE186 C19 1914</t>
  </si>
  <si>
    <t>0                      QE 0186000C  19          1914</t>
  </si>
  <si>
    <t>Guide to the geology of the Canadian national parks on the Canadian Pacific railway between Calgary and Revelstoke, by Charles Camsell.</t>
  </si>
  <si>
    <t>Camsell, Charles, 1876-1958.</t>
  </si>
  <si>
    <t>Ottawa, Dept. of the Interior, 1914.</t>
  </si>
  <si>
    <t>12722523:eng</t>
  </si>
  <si>
    <t>6016967</t>
  </si>
  <si>
    <t>ocm06016967</t>
  </si>
  <si>
    <t>3000744365F</t>
  </si>
  <si>
    <t>792470286</t>
  </si>
  <si>
    <t>QE271 H54 1996</t>
  </si>
  <si>
    <t>0                      QE 0271000H  54          1996</t>
  </si>
  <si>
    <t>A geological companion to Greece and the Aegean / Michael Denis Higgins and Reynold Higgins.</t>
  </si>
  <si>
    <t>Higgins, Michael Denis, 1952-</t>
  </si>
  <si>
    <t>20449283:eng</t>
  </si>
  <si>
    <t>34742310</t>
  </si>
  <si>
    <t>ocm34742310</t>
  </si>
  <si>
    <t>31017418238</t>
  </si>
  <si>
    <t>9780801433375</t>
  </si>
  <si>
    <t>793434584</t>
  </si>
  <si>
    <t>QE320 D5</t>
  </si>
  <si>
    <t>0                      QE 0320000D  5</t>
  </si>
  <si>
    <t>The East African rift system.</t>
  </si>
  <si>
    <t>Dixey, F. (Frank)</t>
  </si>
  <si>
    <t>London, H.M. Stationery Off., 1956.</t>
  </si>
  <si>
    <t>Colonial geology and mineral resources. Supplement series, bull. suppl. no. 1</t>
  </si>
  <si>
    <t>3979538:eng</t>
  </si>
  <si>
    <t>11040223</t>
  </si>
  <si>
    <t>ocm11040223</t>
  </si>
  <si>
    <t>3000715574J</t>
  </si>
  <si>
    <t>792755212</t>
  </si>
  <si>
    <t>QE350.6 C57 2019</t>
  </si>
  <si>
    <t>0                      QE 0350600C  57          2019</t>
  </si>
  <si>
    <t>Circum-Arctic structural events : tectonic evolution of the Arctic margins and trans-Arctic links with adjacent orogens / edited by Karsten Piepjohn, Justin V. Strauss, Lutz Reinhardt, William C. McClelland.</t>
  </si>
  <si>
    <t>Boulder, Colorado : The Geological Society of America, 2019.</t>
  </si>
  <si>
    <t>Special paper ; 541</t>
  </si>
  <si>
    <t>5589403641:eng</t>
  </si>
  <si>
    <t>1076380091</t>
  </si>
  <si>
    <t>on1076380091</t>
  </si>
  <si>
    <t>3103812692O</t>
  </si>
  <si>
    <t>9780813725413</t>
  </si>
  <si>
    <t>795067462</t>
  </si>
  <si>
    <t>2015-03-19</t>
  </si>
  <si>
    <t>2004-10-01</t>
  </si>
  <si>
    <t>2013-08-30</t>
  </si>
  <si>
    <t>QE351 R48 v.67</t>
  </si>
  <si>
    <t>0                      QE 0351000R  48                                                      v.67</t>
  </si>
  <si>
    <t>Amphiboles : crystal chemistry, occurrence, and health issues / editors, Frank C. Hawthorne [and others].</t>
  </si>
  <si>
    <t>v.67*</t>
  </si>
  <si>
    <t>Chantilly, Va. : Mineralogical Society of America, ©2007.</t>
  </si>
  <si>
    <t>Reviews in mineralogy and geochemistry, 1529-6466 ; v. 67</t>
  </si>
  <si>
    <t>891423182:eng</t>
  </si>
  <si>
    <t>176897672</t>
  </si>
  <si>
    <t>ocn176897672</t>
  </si>
  <si>
    <t>31028311794</t>
  </si>
  <si>
    <t>9780939950799</t>
  </si>
  <si>
    <t>794277765</t>
  </si>
  <si>
    <t>2015-02-20</t>
  </si>
  <si>
    <t>2016-12-20</t>
  </si>
  <si>
    <t>QE359 A1 S65 2004</t>
  </si>
  <si>
    <t>0                      QE 0359000A  1                  S  65          2004</t>
  </si>
  <si>
    <t>Soils, stones and symbols : cultural perceptions of the mineral world / edited by Nicole Boivin &amp; Mary Ann Owoc.</t>
  </si>
  <si>
    <t>London : UCL ; Portland, Ore. : Cavendish Publishing, ©2004.</t>
  </si>
  <si>
    <t>905497349:eng</t>
  </si>
  <si>
    <t>56911728</t>
  </si>
  <si>
    <t>ocm56911728</t>
  </si>
  <si>
    <t>3102479337F</t>
  </si>
  <si>
    <t>9781844720392</t>
  </si>
  <si>
    <t>793903831</t>
  </si>
  <si>
    <t>QE362 T513 1965</t>
  </si>
  <si>
    <t>0                      QE 0362000T  513         1965</t>
  </si>
  <si>
    <t>De lapidibus / edited, with introduction, translation, and commentary, by D.E. Eichholz.</t>
  </si>
  <si>
    <t>Theophrastus.</t>
  </si>
  <si>
    <t>Oxford : Clarendon Press, 1965.</t>
  </si>
  <si>
    <t>2016-10-19</t>
  </si>
  <si>
    <t>2829675587:eng</t>
  </si>
  <si>
    <t>653564</t>
  </si>
  <si>
    <t>ocm00653564</t>
  </si>
  <si>
    <t>3000557852Y</t>
  </si>
  <si>
    <t>791438394</t>
  </si>
  <si>
    <t>QE363.2 N48 2012</t>
  </si>
  <si>
    <t>0                      QE 0363200N  48          2012</t>
  </si>
  <si>
    <t>Introduction to mineralogy / William D. Nesse.</t>
  </si>
  <si>
    <t>Nesse, William D.</t>
  </si>
  <si>
    <t>New York : Oxford University Press, ©2012.</t>
  </si>
  <si>
    <t>2018-12-02</t>
  </si>
  <si>
    <t>3849888320:eng</t>
  </si>
  <si>
    <t>729863174</t>
  </si>
  <si>
    <t>ocn729863174</t>
  </si>
  <si>
    <t>3103534997C</t>
  </si>
  <si>
    <t>9780199827381</t>
  </si>
  <si>
    <t>794879700</t>
  </si>
  <si>
    <t>QE389.2 V38</t>
  </si>
  <si>
    <t>0                      QE 0389200V  38</t>
  </si>
  <si>
    <t>Mineral chemistry of metal sulfides / David J. Vaughan, James R. Craig.</t>
  </si>
  <si>
    <t>Vaughan, David J., 1946-</t>
  </si>
  <si>
    <t>Cambridge earth science series</t>
  </si>
  <si>
    <t>2006-08-08</t>
  </si>
  <si>
    <t>503704:eng</t>
  </si>
  <si>
    <t>2645305</t>
  </si>
  <si>
    <t>ocm02645305</t>
  </si>
  <si>
    <t>3000443170J</t>
  </si>
  <si>
    <t>9780521214896</t>
  </si>
  <si>
    <t>792157296</t>
  </si>
  <si>
    <t>QE392 G46 2017</t>
  </si>
  <si>
    <t>0                      QE 0392000G  46          2017</t>
  </si>
  <si>
    <t>Gemstones in the first millennium AD : mines, trade, workshops and symbolism : International Conference, October 20th-22nd, 2015, Römisch-Germanisches Zentralmuseum, Mainz / Alexandra Hilgner, Susanne Greiff, Dieter Quast (eds).</t>
  </si>
  <si>
    <t>Mainz : Verlag des Römisch-Germanischen Zentralmuseums ; [Regensburg] : [Schnell + Steiner, distributor], 2017.</t>
  </si>
  <si>
    <t>RGZM-Tagungen, 1862-4812 ; Band 30</t>
  </si>
  <si>
    <t>4194198464:eng</t>
  </si>
  <si>
    <t>985344048</t>
  </si>
  <si>
    <t>ocn985344048</t>
  </si>
  <si>
    <t>31039033355</t>
  </si>
  <si>
    <t>9783884672716</t>
  </si>
  <si>
    <t>795035292</t>
  </si>
  <si>
    <t>QE392.2 G74 2016</t>
  </si>
  <si>
    <t>0                      QE 0392200G  74          2016</t>
  </si>
  <si>
    <t>The rock &amp; gem book : ... and other treasures of the natural world / written by Dan Green.</t>
  </si>
  <si>
    <t>Green, Dan, 1975 June 20- author.</t>
  </si>
  <si>
    <t>New York, New York : DK Publishing, 2016.</t>
  </si>
  <si>
    <t>2979938540:eng</t>
  </si>
  <si>
    <t>954205522</t>
  </si>
  <si>
    <t>ocn954205522</t>
  </si>
  <si>
    <t>31036979263</t>
  </si>
  <si>
    <t>9781465450708</t>
  </si>
  <si>
    <t>795019644</t>
  </si>
  <si>
    <t>QE462 O28 C76 2010</t>
  </si>
  <si>
    <t>0                      QE 0462000O  28                 C  76          2010</t>
  </si>
  <si>
    <t>Crossing the straits : prehistoric obsidian source exploitation in the North Pacific Rim / edited by Yaroslav V. Kuzmin, Michael D. Glascock.</t>
  </si>
  <si>
    <t>Oxford : Archaeopress, 2010.</t>
  </si>
  <si>
    <t>BAR international series ; 2152</t>
  </si>
  <si>
    <t>687193413:eng</t>
  </si>
  <si>
    <t>671298152</t>
  </si>
  <si>
    <t>ocn671298152</t>
  </si>
  <si>
    <t>3103320517$</t>
  </si>
  <si>
    <t>9781407306940</t>
  </si>
  <si>
    <t>794848410</t>
  </si>
  <si>
    <t>QE471.15 C4 C44 2007</t>
  </si>
  <si>
    <t>0                      QE 0471150C  4                  C  44          2007</t>
  </si>
  <si>
    <t>Chert availability and prehistoric exploitation in the Near East / edited by Christophe Delage.</t>
  </si>
  <si>
    <t>Oxford : John and Erica Hedges, 2007.</t>
  </si>
  <si>
    <t>BAR international series ; 1615</t>
  </si>
  <si>
    <t>2016-04-18</t>
  </si>
  <si>
    <t>102937939:eng</t>
  </si>
  <si>
    <t>133156415</t>
  </si>
  <si>
    <t>ocn133156415</t>
  </si>
  <si>
    <t>31025707042</t>
  </si>
  <si>
    <t>9781407300573</t>
  </si>
  <si>
    <t>794232260</t>
  </si>
  <si>
    <t>QE475 J27 L48 2001</t>
  </si>
  <si>
    <t>0                      QE 0475000J  27                 L  48          2001</t>
  </si>
  <si>
    <t>The stone of heaven : unearthing the secret history of imperial green jade / Adrian Levy and Cathy Scott-Clark.</t>
  </si>
  <si>
    <t>Levy, Adrian, 1965-</t>
  </si>
  <si>
    <t>Boston : Little, Brown and Co., ©2001.</t>
  </si>
  <si>
    <t>2016-03-06</t>
  </si>
  <si>
    <t>9017808652:eng</t>
  </si>
  <si>
    <t>47240708</t>
  </si>
  <si>
    <t>ocm47240708</t>
  </si>
  <si>
    <t>31021675800</t>
  </si>
  <si>
    <t>9780316525961</t>
  </si>
  <si>
    <t>793701609</t>
  </si>
  <si>
    <t>QE475 S65 1969</t>
  </si>
  <si>
    <t>0                      QE 0475000S  65          1969</t>
  </si>
  <si>
    <t>Metamorphic textures.</t>
  </si>
  <si>
    <t>Spry, Alan.</t>
  </si>
  <si>
    <t>Oxford ; New York : Pergamon Press, [1969]</t>
  </si>
  <si>
    <t>The Commonwealth and international library. Geology division</t>
  </si>
  <si>
    <t>2018-11-06</t>
  </si>
  <si>
    <t>38400387:eng</t>
  </si>
  <si>
    <t>11231</t>
  </si>
  <si>
    <t>ocm00011231</t>
  </si>
  <si>
    <t>3000498359I</t>
  </si>
  <si>
    <t>9780080133164</t>
  </si>
  <si>
    <t>791227587</t>
  </si>
  <si>
    <t>QE501 M2864 2013</t>
  </si>
  <si>
    <t>0                      QE 0501000M  2864        2013</t>
  </si>
  <si>
    <t>Earth's evolving systems : the history of planet Earth / Ronald Martin.</t>
  </si>
  <si>
    <t>Martin, Ronald E.</t>
  </si>
  <si>
    <t>Sudbury, MA : Jones &amp; Bartlett Learning, ©2013.</t>
  </si>
  <si>
    <t>2014-08-15</t>
  </si>
  <si>
    <t>499215718:eng</t>
  </si>
  <si>
    <t>635476788</t>
  </si>
  <si>
    <t>ocn635476788</t>
  </si>
  <si>
    <t>31035505129</t>
  </si>
  <si>
    <t>9780763780012</t>
  </si>
  <si>
    <t>794825592</t>
  </si>
  <si>
    <t>QE501.4 P3 V43 1999</t>
  </si>
  <si>
    <t>0                      QE 0501400P  3                  V  43          1999</t>
  </si>
  <si>
    <t>Vedic Sarasvati : evolutionary history of a lost river of northwestern India / B.P. Radhakrishna and S.S. Merh, editors.</t>
  </si>
  <si>
    <t>Bangalore : Geological Society of India, ©1999.</t>
  </si>
  <si>
    <t>Memoir / Geological Society of India ; 42</t>
  </si>
  <si>
    <t>365975027:eng</t>
  </si>
  <si>
    <t>42240645</t>
  </si>
  <si>
    <t>ocm42240645</t>
  </si>
  <si>
    <t>31035995737</t>
  </si>
  <si>
    <t>9788185867359</t>
  </si>
  <si>
    <t>793603636</t>
  </si>
  <si>
    <t>QE507 W35 2003</t>
  </si>
  <si>
    <t>0                      QE 0507000W  35          2003</t>
  </si>
  <si>
    <t>Snowball Earth : the story of the great global catastrophe that spawned life as we know it / Gabrielle Walker.</t>
  </si>
  <si>
    <t>Walker, Gabrielle.</t>
  </si>
  <si>
    <t>London : Bloomsbury, ©2003.</t>
  </si>
  <si>
    <t>796382338:eng</t>
  </si>
  <si>
    <t>51568868</t>
  </si>
  <si>
    <t>ocm51568868</t>
  </si>
  <si>
    <t>3102340394N</t>
  </si>
  <si>
    <t>9780747560517</t>
  </si>
  <si>
    <t>793787093</t>
  </si>
  <si>
    <t>QE511.5 G74 2015</t>
  </si>
  <si>
    <t>0                      QE 0511500G  74          2015</t>
  </si>
  <si>
    <t>Alfred Wegener : science, exploration, and the theory of continental drift / Mott T. Greene.</t>
  </si>
  <si>
    <t>Greene, Mott T., 1945-</t>
  </si>
  <si>
    <t>2762080516:eng</t>
  </si>
  <si>
    <t>893721595</t>
  </si>
  <si>
    <t>ocn893721595</t>
  </si>
  <si>
    <t>3103683694O</t>
  </si>
  <si>
    <t>9781421417127</t>
  </si>
  <si>
    <t>794981986</t>
  </si>
  <si>
    <t>QE521.3 O3313 2015</t>
  </si>
  <si>
    <t>0                      QE 0521300O  3313        2015</t>
  </si>
  <si>
    <t>Listen to the voice of the Earth : learn about earthquakes to save lives / Satoko Oki ; translated by Takako Iwaki.</t>
  </si>
  <si>
    <t>Ōki, Satoko, 1978- author.</t>
  </si>
  <si>
    <t>Tokyo, Japan : Japan Publishing Industry Foundation for Culture, 2015.</t>
  </si>
  <si>
    <t>Japan library / Japan Publishing Industry Foundation for Culture</t>
  </si>
  <si>
    <t>2482351581:eng</t>
  </si>
  <si>
    <t>905554614</t>
  </si>
  <si>
    <t>ocn905554614</t>
  </si>
  <si>
    <t>3103621529B</t>
  </si>
  <si>
    <t>9784916055453</t>
  </si>
  <si>
    <t>794991564</t>
  </si>
  <si>
    <t>QE521.5 C85 2005</t>
  </si>
  <si>
    <t>0                      QE 0521500C  85          2005</t>
  </si>
  <si>
    <t>Cultural responses to the volcanic landscape : the Mediterranean and beyond / edited by Miriam S. Balmuth, David K. Chester, Patricia A. Johnston.</t>
  </si>
  <si>
    <t>Boston, Mass. : Archaeological Institute of America, ©2005.</t>
  </si>
  <si>
    <t>Colloquia and conference papers ; 8</t>
  </si>
  <si>
    <t>837250182:eng</t>
  </si>
  <si>
    <t>61458347</t>
  </si>
  <si>
    <t>ocm61458347</t>
  </si>
  <si>
    <t>31025598266</t>
  </si>
  <si>
    <t>9791931909067</t>
  </si>
  <si>
    <t>793953349</t>
  </si>
  <si>
    <t>QE522 B637 2002</t>
  </si>
  <si>
    <t>0                      QE 0522000B  637         2002</t>
  </si>
  <si>
    <t>Volcanoes in human history : the far-reaching effects of major eruptions / Jelle Zeilinga de Boer and Donald Theodore Sanders.</t>
  </si>
  <si>
    <t>Zeilinga de Boer, Jelle.</t>
  </si>
  <si>
    <t>2015-12-06</t>
  </si>
  <si>
    <t>796379496:eng</t>
  </si>
  <si>
    <t>48363173</t>
  </si>
  <si>
    <t>ocm48363173</t>
  </si>
  <si>
    <t>3102163795$</t>
  </si>
  <si>
    <t>9780691050812</t>
  </si>
  <si>
    <t>793719339</t>
  </si>
  <si>
    <t>QE523 E975 L44 2012</t>
  </si>
  <si>
    <t>0                      QE 0523000E  975                L  44          2012</t>
  </si>
  <si>
    <t>Preparing for high-impact, low-probability events : lessons from Eyjafjallajökull / Bernice Lee and Felix Preston, with Gemma Green.</t>
  </si>
  <si>
    <t>Lee, Bernice.</t>
  </si>
  <si>
    <t>London, England : Chatham House, 2012.</t>
  </si>
  <si>
    <t>A Chatham House report</t>
  </si>
  <si>
    <t>1892244929:eng</t>
  </si>
  <si>
    <t>772110901</t>
  </si>
  <si>
    <t>ocn772110901</t>
  </si>
  <si>
    <t>3103469933W</t>
  </si>
  <si>
    <t>9781862032538</t>
  </si>
  <si>
    <t>794904390</t>
  </si>
  <si>
    <t>QE523 K73 K7 1983</t>
  </si>
  <si>
    <t>0                      QE 0523000K  73                 K  7           1983</t>
  </si>
  <si>
    <t>Krakatau, 1883--the volcanic eruption and its effects / [edited by] Tom Simkin and Richard S. Fiske ; with the collaboration of Sarah Melcher and Elizabeth Nielsen.</t>
  </si>
  <si>
    <t>Washington, D.C. : Smithsonian Institution Press, 1983.</t>
  </si>
  <si>
    <t>2015-12-02</t>
  </si>
  <si>
    <t>3021130:eng</t>
  </si>
  <si>
    <t>10017933</t>
  </si>
  <si>
    <t>ocm10017933</t>
  </si>
  <si>
    <t>3103292285V</t>
  </si>
  <si>
    <t>9780874748420</t>
  </si>
  <si>
    <t>792704756</t>
  </si>
  <si>
    <t>- Reserves and A/V Room - A/V Collection - In Library Use</t>
  </si>
  <si>
    <t>QE523 P56 I6 DVD</t>
  </si>
  <si>
    <t>0                      QE 0523000P  56                 I  6                                 DVD</t>
  </si>
  <si>
    <t>In the path of a killer volcano / A production of The Documentary Guild in association with WGBH Boston for Nova ; WGBH Educational Foundation ; Executive editor, William Grant ; executive producer, Paula S. Apsell ; written, produced and directed by Rob Whittlesey and Noel Buckner.</t>
  </si>
  <si>
    <t>DVD*</t>
  </si>
  <si>
    <t>Nova (Television program)</t>
  </si>
  <si>
    <t>[Boston] : WGBH Boston Video, [2006]</t>
  </si>
  <si>
    <t>Earth science ; [no. 1]</t>
  </si>
  <si>
    <t>2008-10-19</t>
  </si>
  <si>
    <t>601573300:eng</t>
  </si>
  <si>
    <t>63175036</t>
  </si>
  <si>
    <t>ocm63175036</t>
  </si>
  <si>
    <t>3102658162H</t>
  </si>
  <si>
    <t>Video_DVD</t>
  </si>
  <si>
    <t>9781593755690</t>
  </si>
  <si>
    <t>794119430</t>
  </si>
  <si>
    <t>QE535.2 H34 L33 2010</t>
  </si>
  <si>
    <t>0                      QE 0535200H  34                 L  33          2010</t>
  </si>
  <si>
    <t>Tout bouge autour de moi / Dany Laferrière.</t>
  </si>
  <si>
    <t>Laferrière, Dany.</t>
  </si>
  <si>
    <t>Montréal : Mémoire d'encrier, [2010]</t>
  </si>
  <si>
    <t>Chronique</t>
  </si>
  <si>
    <t>2016-04-14</t>
  </si>
  <si>
    <t>770560497:fre</t>
  </si>
  <si>
    <t>853071924</t>
  </si>
  <si>
    <t>ocn853071924</t>
  </si>
  <si>
    <t>3103267865C</t>
  </si>
  <si>
    <t>9782923713304</t>
  </si>
  <si>
    <t>794951870</t>
  </si>
  <si>
    <t>QE535.2 H34 L33 2011</t>
  </si>
  <si>
    <t>0                      QE 0535200H  34                 L  33          2011</t>
  </si>
  <si>
    <t>Tout bouge autour de moi : chronique / Dany Laferrière.</t>
  </si>
  <si>
    <t>Montréal : Mémoire d'encrier, 2011.</t>
  </si>
  <si>
    <t>Édition revue et augmentée.</t>
  </si>
  <si>
    <t>Collection Chronique</t>
  </si>
  <si>
    <t>878024402</t>
  </si>
  <si>
    <t>ocn878024402</t>
  </si>
  <si>
    <t>3103325786X</t>
  </si>
  <si>
    <t>9782923713632</t>
  </si>
  <si>
    <t>794971198</t>
  </si>
  <si>
    <t>QE536.2 J3 G74 2015</t>
  </si>
  <si>
    <t>0                      QE 0536200J  3                  G  74          2015</t>
  </si>
  <si>
    <t>Great East Japan Earthquake investigation : questionnaire survey data pertaining to the Fukushima nuclear disaster.</t>
  </si>
  <si>
    <t>Fukushima : Fukushima Private Kindergarten Association ; Tokyo : Children's Life Science Association, August 2015.</t>
  </si>
  <si>
    <t>2927619980:eng</t>
  </si>
  <si>
    <t>928066113</t>
  </si>
  <si>
    <t>ocn928066113</t>
  </si>
  <si>
    <t>3103507638$</t>
  </si>
  <si>
    <t>795006098</t>
  </si>
  <si>
    <t>QE576 T3</t>
  </si>
  <si>
    <t>0                      QE 0576000T  3</t>
  </si>
  <si>
    <t>Alaskan glacier studies of the National Geographic Society in the Yakutat Bay, Prince William Sound and lower Copper River regions / by Ralph Stockman Tarr ... and Lawrence Martin ... based on the field work in 1909, 1910, 1911 and 1913 by National Geographic Society expeditions.</t>
  </si>
  <si>
    <t>Tarr, Ralph S. (Ralph Stockman), 1864-1912, author.</t>
  </si>
  <si>
    <t>Washington : National Geographic Society, 1914.</t>
  </si>
  <si>
    <t>2018-12-12</t>
  </si>
  <si>
    <t>1665017:eng</t>
  </si>
  <si>
    <t>569268</t>
  </si>
  <si>
    <t>ocm00569268</t>
  </si>
  <si>
    <t>31030882003</t>
  </si>
  <si>
    <t>791417182</t>
  </si>
  <si>
    <t>QE599 C2 M39 2003</t>
  </si>
  <si>
    <t>0                      QE 0599000C  2                  M  39          2003</t>
  </si>
  <si>
    <t>Report on the Great landslide at Frank, Alta., 1903 / R.G. McConnell, R.W. Brock.</t>
  </si>
  <si>
    <t>McConnell, R. G. (Richard George), 1857-1942.</t>
  </si>
  <si>
    <t>Edmonton, AB : Edmonton Geological Society, 2003.</t>
  </si>
  <si>
    <t>14857755:eng</t>
  </si>
  <si>
    <t>52594084</t>
  </si>
  <si>
    <t>ocm52594084</t>
  </si>
  <si>
    <t>3102326871Z</t>
  </si>
  <si>
    <t>9780969710721</t>
  </si>
  <si>
    <t>793810476</t>
  </si>
  <si>
    <t>QE601 W46 1912</t>
  </si>
  <si>
    <t>0                      QE 0601000W  46          1912</t>
  </si>
  <si>
    <t>Grundzüge der tektonischen Geologie, von Dr. Otto Wilckens ... mit 118 Abbildungen.</t>
  </si>
  <si>
    <t>Wilckens, Otto, 1876-1943.</t>
  </si>
  <si>
    <t>Jena, G. Fischer, 1912.</t>
  </si>
  <si>
    <t>43032728:ger</t>
  </si>
  <si>
    <t>9649744</t>
  </si>
  <si>
    <t>ocm09649744</t>
  </si>
  <si>
    <t>3000726560J</t>
  </si>
  <si>
    <t>792686911</t>
  </si>
  <si>
    <t>QE676 G86</t>
  </si>
  <si>
    <t>0                      QE 0676000G  86</t>
  </si>
  <si>
    <t>Indian Mesozoic stratigraphy / V.J. Gupta.</t>
  </si>
  <si>
    <t>Gupta, Vishwa Jit, 1942-</t>
  </si>
  <si>
    <t>Delhi : Hindustan Pub. Corp. (India), 1975.</t>
  </si>
  <si>
    <t>3856587834:eng</t>
  </si>
  <si>
    <t>2441023</t>
  </si>
  <si>
    <t>ocm02441023</t>
  </si>
  <si>
    <t>3000414254Q</t>
  </si>
  <si>
    <t>792122472</t>
  </si>
  <si>
    <t>QE696 I55 v.6</t>
  </si>
  <si>
    <t>0                      QE 0696000I  55                                                      v.6</t>
  </si>
  <si>
    <t>Pleistocene extinctions; the search for a cause. Editors: P.S. Martin and H.E. Wright, Jr.</t>
  </si>
  <si>
    <t>International Association for Quaternary Research.</t>
  </si>
  <si>
    <t>New Haven, Yale University Press, 1967.</t>
  </si>
  <si>
    <t>Its Proceedings of the VII congress ... v. 6</t>
  </si>
  <si>
    <t>789712727:eng</t>
  </si>
  <si>
    <t>363110</t>
  </si>
  <si>
    <t>ocm00363110</t>
  </si>
  <si>
    <t>3001044097I</t>
  </si>
  <si>
    <t>791351902</t>
  </si>
  <si>
    <t>QE697 I45 1986</t>
  </si>
  <si>
    <t>0                      QE 0697000I  45          1986</t>
  </si>
  <si>
    <t>Ice ages : solving the mystery / John Imbrie and Katherine Palmer Imbrie.</t>
  </si>
  <si>
    <t>Imbrie, John.</t>
  </si>
  <si>
    <t>Cambridge, Mass. : Harvard University Press, 1986, ©1979.</t>
  </si>
  <si>
    <t>551857:eng</t>
  </si>
  <si>
    <t>13867925</t>
  </si>
  <si>
    <t>ocm13867925</t>
  </si>
  <si>
    <t>3103586220E</t>
  </si>
  <si>
    <t>9780674440753</t>
  </si>
  <si>
    <t>792869971</t>
  </si>
  <si>
    <t>3103765980I</t>
  </si>
  <si>
    <t>792869972</t>
  </si>
  <si>
    <t>3103149105G</t>
  </si>
  <si>
    <t>792869970</t>
  </si>
  <si>
    <t>31037659890</t>
  </si>
  <si>
    <t>792869973</t>
  </si>
  <si>
    <t>QE697 W66 2014</t>
  </si>
  <si>
    <t>0                      QE 0697000W  66          2014</t>
  </si>
  <si>
    <t>The ice age : a very short introduction / Jamie Woodward.</t>
  </si>
  <si>
    <t>Woodward, Jamie C.</t>
  </si>
  <si>
    <t>Very short introductions ; 380</t>
  </si>
  <si>
    <t>2016-11-12</t>
  </si>
  <si>
    <t>1784253689:eng</t>
  </si>
  <si>
    <t>857848721</t>
  </si>
  <si>
    <t>ocn857848721</t>
  </si>
  <si>
    <t>3103531071I</t>
  </si>
  <si>
    <t>9780199580699</t>
  </si>
  <si>
    <t>794955471</t>
  </si>
  <si>
    <t>QE701 F63 1984</t>
  </si>
  <si>
    <t>0                      QE 0701000F  63          1984</t>
  </si>
  <si>
    <t>Fossils and climate : proceedings of a symposium entitled "fossils and climate" / jointly sponsored by the Liverpool Geological Society and the Palaeontological Association, and held in the University of Glasgow on 24th-25th September 1982 as part of the meeting of the geological societies of Great Britain ; edited by P.J. Brenchley.</t>
  </si>
  <si>
    <t>Chichester [West Sussex] ; New York : Wiley, ©1984.</t>
  </si>
  <si>
    <t>Geological journal special issue ; no. 11</t>
  </si>
  <si>
    <t>2017-11-07</t>
  </si>
  <si>
    <t>353873040:eng</t>
  </si>
  <si>
    <t>10228866</t>
  </si>
  <si>
    <t>ocm10228866</t>
  </si>
  <si>
    <t>30010312851</t>
  </si>
  <si>
    <t>9780471904182</t>
  </si>
  <si>
    <t>792715333</t>
  </si>
  <si>
    <t>QE701 S56 no.42</t>
  </si>
  <si>
    <t>0                      QE 0701000S  56                                                      no.42</t>
  </si>
  <si>
    <t>Living and fossil brachiopod genera, 1775-1979 : lists and bibliography / Rex A. Doescher.</t>
  </si>
  <si>
    <t>no.42*</t>
  </si>
  <si>
    <t>Doescher, Rex A.</t>
  </si>
  <si>
    <t>Washington : Smithsonian Institution Press, 1981.</t>
  </si>
  <si>
    <t>Smithsonian contributions to paleobiology ; no. 42</t>
  </si>
  <si>
    <t>8960909638:eng</t>
  </si>
  <si>
    <t>6710719</t>
  </si>
  <si>
    <t>ocm06710719</t>
  </si>
  <si>
    <t>3001026177M</t>
  </si>
  <si>
    <t>792518281</t>
  </si>
  <si>
    <t>QE705 A1 R82 1992</t>
  </si>
  <si>
    <t>0                      QE 0705000A  1                  R  82          1992</t>
  </si>
  <si>
    <t>Scenes from deep time : early pictorial representations of the prehistoric world / Martin J.S. Rudwick.</t>
  </si>
  <si>
    <t>Rudwick, M. J. S.</t>
  </si>
  <si>
    <t>2015-03-24</t>
  </si>
  <si>
    <t>806543008:eng</t>
  </si>
  <si>
    <t>25164783</t>
  </si>
  <si>
    <t>ocm25164783</t>
  </si>
  <si>
    <t>31017011746</t>
  </si>
  <si>
    <t>9780226731049</t>
  </si>
  <si>
    <t>793213586</t>
  </si>
  <si>
    <t>QE719.8 P76 1998</t>
  </si>
  <si>
    <t>0                      QE 0719800P  76          1998</t>
  </si>
  <si>
    <t>Bringing fossils to life : an introduction to paleobiology / Donald R. Prothero.</t>
  </si>
  <si>
    <t>Prothero, Donald R.</t>
  </si>
  <si>
    <t>Boston : WCB/McGraw-Hill, ©1998.</t>
  </si>
  <si>
    <t>654658:eng</t>
  </si>
  <si>
    <t>37451787</t>
  </si>
  <si>
    <t>ocm37451787</t>
  </si>
  <si>
    <t>31020515806</t>
  </si>
  <si>
    <t>9780070521971</t>
  </si>
  <si>
    <t>793498964</t>
  </si>
  <si>
    <t>QE719.8 P76 2013</t>
  </si>
  <si>
    <t>0                      QE 0719800P  76          2013</t>
  </si>
  <si>
    <t>Prothero, Donald R., author.</t>
  </si>
  <si>
    <t>New York : Columbia University Press, [2013]</t>
  </si>
  <si>
    <t>841186905</t>
  </si>
  <si>
    <t>ocn841186905</t>
  </si>
  <si>
    <t>3103810237L</t>
  </si>
  <si>
    <t>9780231158923</t>
  </si>
  <si>
    <t>794946617</t>
  </si>
  <si>
    <t>QE720 W46 1982</t>
  </si>
  <si>
    <t>0                      QE 0720000W  46          1982</t>
  </si>
  <si>
    <t>Paleoecology of Beringia / edited by David M. Hopkins [and others] ; Wenner-Gren Foundation for Anthropological Research, Symposium #81, Burg Wartenstein, Austria, June 8-17, 1979.</t>
  </si>
  <si>
    <t>Wenner-Gren Foundation for Anthropological Research. Symposium (81st : 1979 : Burg Wartenstein, Austria)</t>
  </si>
  <si>
    <t>New York : Academic Press, 1982.</t>
  </si>
  <si>
    <t>2003-04-14</t>
  </si>
  <si>
    <t>2015-06-18</t>
  </si>
  <si>
    <t>43357650:eng</t>
  </si>
  <si>
    <t>9018920</t>
  </si>
  <si>
    <t>ocm09018920</t>
  </si>
  <si>
    <t>30003502152</t>
  </si>
  <si>
    <t>9780123558602</t>
  </si>
  <si>
    <t>792653268</t>
  </si>
  <si>
    <t>QE721 P24 1990</t>
  </si>
  <si>
    <t>0                      QE 0721000P  24          1990</t>
  </si>
  <si>
    <t>Palaeobiology : a synthesis / edited by Derek E.G. Briggs and Peter R. Crowther on behalf of the Palaeontological Association.</t>
  </si>
  <si>
    <t>Oxford ; Boston : Blackwell Scientific Publications, 1990.</t>
  </si>
  <si>
    <t>836802488:eng</t>
  </si>
  <si>
    <t>65765179</t>
  </si>
  <si>
    <t>ocm65765179</t>
  </si>
  <si>
    <t>3100682331F</t>
  </si>
  <si>
    <t>9780632025251</t>
  </si>
  <si>
    <t>794136647</t>
  </si>
  <si>
    <t>QE721.1 E85 S728 2004</t>
  </si>
  <si>
    <t>0                      QE 0721100E  85                 S  728         2004</t>
  </si>
  <si>
    <t>The story of life / T.R.E. Southwood.</t>
  </si>
  <si>
    <t>Southwood, Richard, Sir.</t>
  </si>
  <si>
    <t>2016-04-24</t>
  </si>
  <si>
    <t>664119:eng</t>
  </si>
  <si>
    <t>51000006</t>
  </si>
  <si>
    <t>ocm51000006</t>
  </si>
  <si>
    <t>3102629659F</t>
  </si>
  <si>
    <t>9780198525905</t>
  </si>
  <si>
    <t>793776592</t>
  </si>
  <si>
    <t>QE721.2 S7 G44 1999b</t>
  </si>
  <si>
    <t>0                      QE 0721200S  7                  G  44          1999b</t>
  </si>
  <si>
    <t>In search of deep time : beyond the fossil record to a new history of life / Henry Gee.</t>
  </si>
  <si>
    <t>Gee, Henry, 1962-</t>
  </si>
  <si>
    <t>Ithaca, N.Y. : Cornell University Press, 2001.</t>
  </si>
  <si>
    <t>327241893:eng</t>
  </si>
  <si>
    <t>45094158</t>
  </si>
  <si>
    <t>ocm45094158</t>
  </si>
  <si>
    <t>31021047482</t>
  </si>
  <si>
    <t>9780801487132</t>
  </si>
  <si>
    <t>793664465</t>
  </si>
  <si>
    <t>QE736 N46 1987</t>
  </si>
  <si>
    <t>0                      QE 0736000N  46          1987</t>
  </si>
  <si>
    <t>Neogene paleontology and geology of Sahabi / editors, Noel T. Boaz [and others].</t>
  </si>
  <si>
    <t>New York : A.R. Liss, ©1987.</t>
  </si>
  <si>
    <t>54817420:eng</t>
  </si>
  <si>
    <t>13559856</t>
  </si>
  <si>
    <t>ocm13559856</t>
  </si>
  <si>
    <t>30010527479</t>
  </si>
  <si>
    <t>9780845142141</t>
  </si>
  <si>
    <t>792857661</t>
  </si>
  <si>
    <t>QE748 A4 A43 2017</t>
  </si>
  <si>
    <t>0                      QE 0748000A  4                  A  43          2017</t>
  </si>
  <si>
    <t>Alberta's lower Athabasca basin : archaeology and palaeoenvironments / edited by Brian M. Ronaghan.</t>
  </si>
  <si>
    <t>Edmonton, AB : AU Press, Athabasca University, [2017]</t>
  </si>
  <si>
    <t>1099367614:eng</t>
  </si>
  <si>
    <t>784293048</t>
  </si>
  <si>
    <t>ocn784293048</t>
  </si>
  <si>
    <t>3103729334G</t>
  </si>
  <si>
    <t>9781926836904</t>
  </si>
  <si>
    <t>794914460</t>
  </si>
  <si>
    <t>QE753 H3 1985</t>
  </si>
  <si>
    <t>0                      QE 0753000H  3           1985</t>
  </si>
  <si>
    <t>Die Fossilien des Kupferschiefers : Pflanzen-und Tierwelt zu Beginn des Zechsteins, eine Erzlagerstätte und ihre Paläontologie / von Hartmut Haubold und Günther Schaumberg unter Miterbeit von Gerhard Katzung.</t>
  </si>
  <si>
    <t>Haubold, Hartmut.</t>
  </si>
  <si>
    <t>Wittenberg Lutherstadt : A. Ziemsen, 1985.</t>
  </si>
  <si>
    <t>Die Neue Brehm-bucherei. 333, 0138-1423</t>
  </si>
  <si>
    <t>889909315:ger</t>
  </si>
  <si>
    <t>13991938</t>
  </si>
  <si>
    <t>ocm13991938</t>
  </si>
  <si>
    <t>3001039420I</t>
  </si>
  <si>
    <t>792873876</t>
  </si>
  <si>
    <t>QE756 C6 Z43 2004</t>
  </si>
  <si>
    <t>0                      QE 0756000C  6                  Z  43          2004</t>
  </si>
  <si>
    <t>Gu sheng wu yu gu huan jing / Zhang Xing zhu.</t>
  </si>
  <si>
    <t>Zhang, Xing.</t>
  </si>
  <si>
    <t>Lanzhou Shi : Dunhuang wen yi chu ban she, 2004.</t>
  </si>
  <si>
    <t>Yao wang xing xiu : Gansu kao gu wen hua cong shu.</t>
  </si>
  <si>
    <t>15366723:chi</t>
  </si>
  <si>
    <t>55754798</t>
  </si>
  <si>
    <t>ocm55754798</t>
  </si>
  <si>
    <t>31025431867</t>
  </si>
  <si>
    <t>9787805876115</t>
  </si>
  <si>
    <t>793882301</t>
  </si>
  <si>
    <t>QE757 A1 B3</t>
  </si>
  <si>
    <t>0                      QE 0757000A  1                  B  3</t>
  </si>
  <si>
    <t>Background to evolution in Africa / edited by Walter W. Bishop and J. Desmond Clark.</t>
  </si>
  <si>
    <t>Chicago : University of Chicago Press, ©1967.</t>
  </si>
  <si>
    <t>433085743:eng</t>
  </si>
  <si>
    <t>408150</t>
  </si>
  <si>
    <t>ocm00408150</t>
  </si>
  <si>
    <t>3000538993N</t>
  </si>
  <si>
    <t>791369092</t>
  </si>
  <si>
    <t>QE767 P525 1985</t>
  </si>
  <si>
    <t>0                      QE 0767000P  525         1985</t>
  </si>
  <si>
    <t>Plankton stratigraphy / edited by Hans M. Bolli, John B. Saunders, and Katharina Perch-Nielsen ; assisted by Karin E. Fancett.</t>
  </si>
  <si>
    <t>5218286166:eng</t>
  </si>
  <si>
    <t>10207799</t>
  </si>
  <si>
    <t>ocm10207799</t>
  </si>
  <si>
    <t>3001031937L</t>
  </si>
  <si>
    <t>9780521235761</t>
  </si>
  <si>
    <t>792714354</t>
  </si>
  <si>
    <t>QE770 E18</t>
  </si>
  <si>
    <t>0                      QE 0770000E  18</t>
  </si>
  <si>
    <t>Invertebrate paleontology.</t>
  </si>
  <si>
    <t>Easton, William H. (William Heyden), 1916-1996.</t>
  </si>
  <si>
    <t>New York, Harper [1960]</t>
  </si>
  <si>
    <t>Harper's geoscience series</t>
  </si>
  <si>
    <t>375543270:eng</t>
  </si>
  <si>
    <t>551744</t>
  </si>
  <si>
    <t>ocm00551744</t>
  </si>
  <si>
    <t>3001049187T</t>
  </si>
  <si>
    <t>791411941</t>
  </si>
  <si>
    <t>QE770 F67 1987</t>
  </si>
  <si>
    <t>0                      QE 0770000F  67          1987</t>
  </si>
  <si>
    <t>Fossil invertebrates / senior editor, Richard S. Boardman ; editors, Alan H. Cheetham, Albert J. Rowell.</t>
  </si>
  <si>
    <t>Palo Alto : Blackwell Scientific Publications, 1987.</t>
  </si>
  <si>
    <t>3943316862:eng</t>
  </si>
  <si>
    <t>11574136</t>
  </si>
  <si>
    <t>ocm11574136</t>
  </si>
  <si>
    <t>3103741299K</t>
  </si>
  <si>
    <t>9780865423022</t>
  </si>
  <si>
    <t>792779003</t>
  </si>
  <si>
    <t>QE770 G67 1989</t>
  </si>
  <si>
    <t>0                      QE 0770000G  67          1989</t>
  </si>
  <si>
    <t>Wonderful life : the Burgess Shale and the nature of history / Stephen Jay Gould.</t>
  </si>
  <si>
    <t>Gould, Stephen Jay, author.</t>
  </si>
  <si>
    <t>New York : W.W. Norton &amp; Company, [1989]</t>
  </si>
  <si>
    <t>582978:eng</t>
  </si>
  <si>
    <t>18983518</t>
  </si>
  <si>
    <t>ocm18983518</t>
  </si>
  <si>
    <t>31013406509</t>
  </si>
  <si>
    <t>9780393027051</t>
  </si>
  <si>
    <t>793043359</t>
  </si>
  <si>
    <t>QE770 N47 1982</t>
  </si>
  <si>
    <t>0                      QE 0770000N  47          1982</t>
  </si>
  <si>
    <t>Die Fossilien der Rügener Schreibkreide / von Helmut Nestler.</t>
  </si>
  <si>
    <t>Nestler, Helmut.</t>
  </si>
  <si>
    <t>Wittenberg Lutherstadt : Ziemsen, 1982.</t>
  </si>
  <si>
    <t>2., durchgesehene Aufl.</t>
  </si>
  <si>
    <t>Die Neue Brehm-Bücherei, 0138-1423 ; 486</t>
  </si>
  <si>
    <t>364984223:ger</t>
  </si>
  <si>
    <t>10124110</t>
  </si>
  <si>
    <t>ocm10124110</t>
  </si>
  <si>
    <t>3001032110V</t>
  </si>
  <si>
    <t>792710445</t>
  </si>
  <si>
    <t>QE770 T8 1953</t>
  </si>
  <si>
    <t>0                      QE 0770000T  8           1953</t>
  </si>
  <si>
    <t>Principles of invertebrate paleontology [by] Robert R. Shrock [and] William H. Twenhofel.</t>
  </si>
  <si>
    <t>Twenhofel, William H. (William Henry), 1875-1957.</t>
  </si>
  <si>
    <t>New York, McGraw-Hill, 1953.</t>
  </si>
  <si>
    <t>McGraw-Hill series in geology</t>
  </si>
  <si>
    <t>198897888:eng</t>
  </si>
  <si>
    <t>291093</t>
  </si>
  <si>
    <t>ocm00291093</t>
  </si>
  <si>
    <t>30010494422</t>
  </si>
  <si>
    <t>791325967</t>
  </si>
  <si>
    <t>QE841 P76</t>
  </si>
  <si>
    <t>0                      QE 0841000P  76</t>
  </si>
  <si>
    <t>Problèmes actuels de paléontologie : évolution des vertébrés : [actes du colloque international C.N.R.S.], Paris, 4-9 juin 1973 [à l'Institut de paléontologie du Muséum national d'histoire naturelle / organisé par J.-P. Lehman].</t>
  </si>
  <si>
    <t>T. 2</t>
  </si>
  <si>
    <t>Paris : Éditions du Centre national de la recherche scientifique, 1975.</t>
  </si>
  <si>
    <t>Colloques internationaux du Centre national de la recherche scientifique ; no 218</t>
  </si>
  <si>
    <t>865048653:fre</t>
  </si>
  <si>
    <t>2876961</t>
  </si>
  <si>
    <t>ocm02876961</t>
  </si>
  <si>
    <t>31036361351</t>
  </si>
  <si>
    <t>9782222016694</t>
  </si>
  <si>
    <t>792188268</t>
  </si>
  <si>
    <t>T. 1</t>
  </si>
  <si>
    <t>3103636130B</t>
  </si>
  <si>
    <t>792188269</t>
  </si>
  <si>
    <t>QE841 W44</t>
  </si>
  <si>
    <t>0                      QE 0841000W  44</t>
  </si>
  <si>
    <t>Studies on fossil vertebrates presented to David Meredith Seares Watson.</t>
  </si>
  <si>
    <t>Westoll, T. Stanley, editor.</t>
  </si>
  <si>
    <t>[London] University of London, Athlone Press, 1958.</t>
  </si>
  <si>
    <t>364070275:eng</t>
  </si>
  <si>
    <t>2140599</t>
  </si>
  <si>
    <t>ocm02140599</t>
  </si>
  <si>
    <t>3103599330X</t>
  </si>
  <si>
    <t>792054333</t>
  </si>
  <si>
    <t>QE852 D5 D46 1992</t>
  </si>
  <si>
    <t>0                      QE 0852000D  5                  D  46          1992</t>
  </si>
  <si>
    <t>Dipnoi / H.-P. Schultze.</t>
  </si>
  <si>
    <t>Schultze, Hans-Peter.</t>
  </si>
  <si>
    <t>Amsterdam ; New York : Kugler Publications, 1992.</t>
  </si>
  <si>
    <t>Fossilium catalogus. I, Animalia ; pars 131</t>
  </si>
  <si>
    <t>29431820:eng</t>
  </si>
  <si>
    <t>27252646</t>
  </si>
  <si>
    <t>ocm27252646</t>
  </si>
  <si>
    <t>3101348122V</t>
  </si>
  <si>
    <t>9789062990900</t>
  </si>
  <si>
    <t>793262850</t>
  </si>
  <si>
    <t>QE861.8 S64 S39 2015</t>
  </si>
  <si>
    <t>0                      QE 0861800S  64                 S  39          2015</t>
  </si>
  <si>
    <t>A Late Cretaceous dinosaur and reptile assemblage from South Carolina, USA / David R. Schwimmer, Albert E. Sanders, Bruce R. Erickson, Robert E. Weems.</t>
  </si>
  <si>
    <t>Schwimmer, David R.</t>
  </si>
  <si>
    <t>Philadelphia : American Philosophical Society Press, 2015.</t>
  </si>
  <si>
    <t>Transactions of the American Philosophical Society, 0065-9746 ; volume 105, part 2</t>
  </si>
  <si>
    <t>2554690193:eng</t>
  </si>
  <si>
    <t>906027956</t>
  </si>
  <si>
    <t>ocn906027956</t>
  </si>
  <si>
    <t>3103645447I</t>
  </si>
  <si>
    <t>9781606180525</t>
  </si>
  <si>
    <t>794992199</t>
  </si>
  <si>
    <t>QE862 D5 C48</t>
  </si>
  <si>
    <t>0                      QE 0862000D  5                  C  48</t>
  </si>
  <si>
    <t>A new look at dinosaurs / by Alan Charig.</t>
  </si>
  <si>
    <t>Charig, Alan.</t>
  </si>
  <si>
    <t>New York : Mayflower Books, [1979]</t>
  </si>
  <si>
    <t>3902727857:eng</t>
  </si>
  <si>
    <t>237457949</t>
  </si>
  <si>
    <t>ocn237457949</t>
  </si>
  <si>
    <t>3101238849X</t>
  </si>
  <si>
    <t>9780831763541</t>
  </si>
  <si>
    <t>794373348</t>
  </si>
  <si>
    <t>QE862 D5 S8</t>
  </si>
  <si>
    <t>0                      QE 0862000D  5                  S  8</t>
  </si>
  <si>
    <t>The dinosaurs; a short history of a great group of extinct reptiles, by W.E. Swinton ...</t>
  </si>
  <si>
    <t>Swinton, W. E. (William Elgin), 1900-1994.</t>
  </si>
  <si>
    <t>London, T. Murby &amp; Co., 1934.</t>
  </si>
  <si>
    <t>4927711494:eng</t>
  </si>
  <si>
    <t>1515188</t>
  </si>
  <si>
    <t>ocm01515188</t>
  </si>
  <si>
    <t>3001049374U</t>
  </si>
  <si>
    <t>791683094</t>
  </si>
  <si>
    <t>QE862 R5 A35 1993</t>
  </si>
  <si>
    <t>0                      QE 0862000R  5                  A  35          1993</t>
  </si>
  <si>
    <t>Un sphenodontien du Jurassique superieur de Cerin (France) et la question des "Sapheosaures" (Diapsida, Sphenodontia) / A. Daniel Ahmad ; directeur: J.C. Rage.</t>
  </si>
  <si>
    <t>Ahmad, A. Daniel.</t>
  </si>
  <si>
    <t>[Paris?] : [Université Paris 7, D.E.A. de Paléontologie?], 1993.</t>
  </si>
  <si>
    <t>2016-11-09</t>
  </si>
  <si>
    <t>315433651:fre</t>
  </si>
  <si>
    <t>428033974</t>
  </si>
  <si>
    <t>ocn428033974</t>
  </si>
  <si>
    <t>31019107930</t>
  </si>
  <si>
    <t>794758190</t>
  </si>
  <si>
    <t>QE872 A8 H69 1986</t>
  </si>
  <si>
    <t>0                      QE 0872000A  8                  H  69          1986</t>
  </si>
  <si>
    <t>Archaeopteryx, the primordial bird : a case of fossil forgery / Fred Hoyle &amp; Chandra Wickramasinghe ; photographs by R.S. Watkins.</t>
  </si>
  <si>
    <t>Hoyle, Fred, 1915-2001.</t>
  </si>
  <si>
    <t>Swansea : Christopher Davies, 1986.</t>
  </si>
  <si>
    <t>2016-01-28</t>
  </si>
  <si>
    <t>16543094:eng</t>
  </si>
  <si>
    <t>17768215</t>
  </si>
  <si>
    <t>ocm17768215</t>
  </si>
  <si>
    <t>3001039564V</t>
  </si>
  <si>
    <t>9780715406656</t>
  </si>
  <si>
    <t>793002689</t>
  </si>
  <si>
    <t>QE881 K53 2004</t>
  </si>
  <si>
    <t>0                      QE 0881000K  53          2004</t>
  </si>
  <si>
    <t>Mammals from the age of dinosaurs : origins, evolution, and structure / Zofia Kielan-Jaworowska, Richard L. Cifelli, and Zhe-Xi Luo.</t>
  </si>
  <si>
    <t>Kielan-Jaworowska, Zofia.</t>
  </si>
  <si>
    <t>New York : Columbia University Press, ©2004.</t>
  </si>
  <si>
    <t>801719074:eng</t>
  </si>
  <si>
    <t>55535025</t>
  </si>
  <si>
    <t>ocm55535025</t>
  </si>
  <si>
    <t>31024570129</t>
  </si>
  <si>
    <t>9780231119184</t>
  </si>
  <si>
    <t>793878348</t>
  </si>
  <si>
    <t>QE881 P74 2002</t>
  </si>
  <si>
    <t>0                      QE 0881000P  74          2002</t>
  </si>
  <si>
    <t>Prehistoric mammals of Australia and New Guinea : one hundred million years of evolution / John Long [and others] ; reconstructions by Anne Musser.</t>
  </si>
  <si>
    <t>Baltimore : Johns Hopkins University Press, 2002.</t>
  </si>
  <si>
    <t>840033617:eng</t>
  </si>
  <si>
    <t>49860159</t>
  </si>
  <si>
    <t>ocm49860159</t>
  </si>
  <si>
    <t>31022658180</t>
  </si>
  <si>
    <t>9780801872235</t>
  </si>
  <si>
    <t>793749314</t>
  </si>
  <si>
    <t>QE882 E2 F54 2010</t>
  </si>
  <si>
    <t>0                      QE 0882000E  2                  F  54          2010</t>
  </si>
  <si>
    <t>The ground sloth Megalonyx (Xenarthra: Megalonychidae) from the Pleistocene (late Irvingtonian) Camelot local fauna, Dorchester County, South Carolina / Steven E. Fields.</t>
  </si>
  <si>
    <t>Fields, Steven E., 1966-</t>
  </si>
  <si>
    <t>Transactions of the American Philosophical Society ; v. 100, pt. 4</t>
  </si>
  <si>
    <t>523112201:eng</t>
  </si>
  <si>
    <t>649077589</t>
  </si>
  <si>
    <t>ocn649077589</t>
  </si>
  <si>
    <t>3103325076J</t>
  </si>
  <si>
    <t>9781606180044</t>
  </si>
  <si>
    <t>794831569</t>
  </si>
  <si>
    <t>QE955 M5 1984</t>
  </si>
  <si>
    <t>0                      QE 0955000M  5           1984</t>
  </si>
  <si>
    <t>Microbial mats, stromatolites : based on the proceedings of the Integrated Approach to the Study of Microbial Mats, July 26-31, 1982, sponsored by microbial ecology and marine ecology courses, and the Ecosystems Center, Marine Biological Laboratory, Woods Hole, Massachusetts / editors, Yehuda Cohen, Richard W. Castenholz, Harlyn O. Halvorson.</t>
  </si>
  <si>
    <t>New York : A.R. Liss, ©1984.</t>
  </si>
  <si>
    <t>MBL lectures in biology ; v. 3</t>
  </si>
  <si>
    <t>889976153:eng</t>
  </si>
  <si>
    <t>9830252</t>
  </si>
  <si>
    <t>ocm09830252</t>
  </si>
  <si>
    <t>3001029442E</t>
  </si>
  <si>
    <t>9780845122020</t>
  </si>
  <si>
    <t>792695857</t>
  </si>
  <si>
    <t>QE955 P35 1985</t>
  </si>
  <si>
    <t>0                      QE 0955000P  35          1985</t>
  </si>
  <si>
    <t>Paleoalgology : contemporary research and applications / edited by D.F. Toomey and M.H. Nitecki.</t>
  </si>
  <si>
    <t>Berlin ; New York : Springer-Verlag, ©1985.</t>
  </si>
  <si>
    <t>2015-08-03</t>
  </si>
  <si>
    <t>890294865:eng</t>
  </si>
  <si>
    <t>11970369</t>
  </si>
  <si>
    <t>ocm11970369</t>
  </si>
  <si>
    <t>31036355797</t>
  </si>
  <si>
    <t>9780387153124</t>
  </si>
  <si>
    <t>792795245</t>
  </si>
  <si>
    <t>QH1 C13 no. 119</t>
  </si>
  <si>
    <t>0                      QH 0001000C  13                                                      no. 119</t>
  </si>
  <si>
    <t>Totem poles / by Marius Barbeau.</t>
  </si>
  <si>
    <t>[Ottawa] : National Museum of Canada, 1950, 1964 printing.</t>
  </si>
  <si>
    <t>Bulletin - National Museum of Canada ; no. 119</t>
  </si>
  <si>
    <t xml:space="preserve">QH </t>
  </si>
  <si>
    <t>5609236301:eng</t>
  </si>
  <si>
    <t>15834746</t>
  </si>
  <si>
    <t>ocm15834746</t>
  </si>
  <si>
    <t>3100795499N</t>
  </si>
  <si>
    <t>792944222</t>
  </si>
  <si>
    <t>no. 119*</t>
  </si>
  <si>
    <t>2009-11-30</t>
  </si>
  <si>
    <t>3000384340Z</t>
  </si>
  <si>
    <t>792944223</t>
  </si>
  <si>
    <t>QH1 C13 no. 124</t>
  </si>
  <si>
    <t>0                      QH 0001000C  13                                                      no. 124</t>
  </si>
  <si>
    <t>Iroquois pottery types : a technique for the study of Iroquois prehistory / by Richard S. MacNeish.</t>
  </si>
  <si>
    <t>no. 124*</t>
  </si>
  <si>
    <t>MacNeish, Richard S.</t>
  </si>
  <si>
    <t>Ottawa : Canada Dept. of Resources and Development, National Parks Branch, National Museum of Canada, 1952.</t>
  </si>
  <si>
    <t>Bulletin / National Museum of Canada ; no. 124</t>
  </si>
  <si>
    <t>2010-03-29</t>
  </si>
  <si>
    <t>234363701:eng</t>
  </si>
  <si>
    <t>978155107</t>
  </si>
  <si>
    <t>ocn978155107</t>
  </si>
  <si>
    <t>31001792836</t>
  </si>
  <si>
    <t>795032928</t>
  </si>
  <si>
    <t>3000384518K</t>
  </si>
  <si>
    <t>795032927</t>
  </si>
  <si>
    <t>QH1 C13 no. 151</t>
  </si>
  <si>
    <t>0                      QH 0001000C  13                                                      no. 151</t>
  </si>
  <si>
    <t>Roundelays : folk dances and games / collected in Canada and New England and prepared by Marius Barbeau = Dansons à la ronde : danses et jeux populaires / recueillis au Canada et en Nouvelle-Angleterre et préparés par Marius Barbeau.</t>
  </si>
  <si>
    <t>no. 151*</t>
  </si>
  <si>
    <t>Ottawa : Dept. of Northern Affairs and National Resources, 1958.</t>
  </si>
  <si>
    <t>Bulletin / National Museum of Canada ; no. 151</t>
  </si>
  <si>
    <t>2016-07-11</t>
  </si>
  <si>
    <t>57606645:eng</t>
  </si>
  <si>
    <t>61546599</t>
  </si>
  <si>
    <t>ocm61546599</t>
  </si>
  <si>
    <t>3000384751E</t>
  </si>
  <si>
    <t>MsScr</t>
  </si>
  <si>
    <t>793978216</t>
  </si>
  <si>
    <t>QH1 C13 no. 165</t>
  </si>
  <si>
    <t>0                      QH 0001000C  13                                                      no. 165</t>
  </si>
  <si>
    <t>Huron-Wyandot traditional narratives in translations and native texts.</t>
  </si>
  <si>
    <t>no. 165*</t>
  </si>
  <si>
    <t>Ottawa : Queen's Printer, 1960.</t>
  </si>
  <si>
    <t>Bulletin of the National Museum of Canada ; 165</t>
  </si>
  <si>
    <t>2016-10-17</t>
  </si>
  <si>
    <t>10032683529:eng</t>
  </si>
  <si>
    <t>63030276</t>
  </si>
  <si>
    <t>ocm63030276</t>
  </si>
  <si>
    <t>3101158144T</t>
  </si>
  <si>
    <t>794117434</t>
  </si>
  <si>
    <t>QH1 C13 no. 175</t>
  </si>
  <si>
    <t>0                      QH 0001000C  13                                                      no. 175</t>
  </si>
  <si>
    <t>Répertoire de la chanson folklorique française au Canada.</t>
  </si>
  <si>
    <t>no. 175*</t>
  </si>
  <si>
    <t>Ottawa, Ministère du Nord canadien et des ressources nationales, Musée national du Canada, 1962-</t>
  </si>
  <si>
    <t>National Museum of Canada. Bulletin no 175. Anthropological ser., no. 52</t>
  </si>
  <si>
    <t>1999186:fre</t>
  </si>
  <si>
    <t>999214</t>
  </si>
  <si>
    <t>ocm00999214</t>
  </si>
  <si>
    <t>30003847378</t>
  </si>
  <si>
    <t>791521630</t>
  </si>
  <si>
    <t>QH1 C13 no. 195</t>
  </si>
  <si>
    <t>0                      QH 0001000C  13                                                      no. 195</t>
  </si>
  <si>
    <t>The hunting group--hunting territory complex among the Mistassini Indians.</t>
  </si>
  <si>
    <t>no. 195*</t>
  </si>
  <si>
    <t>Rogers, Edward S.</t>
  </si>
  <si>
    <t>Ottawa, Dept. of Northern Affairs and National Resources, 1963.</t>
  </si>
  <si>
    <t>National Museum of Canada, Bulletin no. 195. Anthropological series, no. 63</t>
  </si>
  <si>
    <t>2688003:eng</t>
  </si>
  <si>
    <t>2018365</t>
  </si>
  <si>
    <t>ocm02018365</t>
  </si>
  <si>
    <t>3101185184E</t>
  </si>
  <si>
    <t>792029542</t>
  </si>
  <si>
    <t>2013-09-06</t>
  </si>
  <si>
    <t>3101185183G</t>
  </si>
  <si>
    <t>792029541</t>
  </si>
  <si>
    <t>QH1 C13 no. 196</t>
  </si>
  <si>
    <t>0                      QH 0001000C  13                                                      no. 196</t>
  </si>
  <si>
    <t>Igluligmiut kinship and local groupings : a structural approach / by David Damas.</t>
  </si>
  <si>
    <t>no. 196*</t>
  </si>
  <si>
    <t>Damas, David, author.</t>
  </si>
  <si>
    <t>Ottawa, Canada : Department of Northern Affairs and National Resources, 1963.</t>
  </si>
  <si>
    <t>Bulletin / National Museum of Canada ; no. 196. Anthropological series ; no. 65</t>
  </si>
  <si>
    <t>235374715:eng</t>
  </si>
  <si>
    <t>3191396</t>
  </si>
  <si>
    <t>ocm03191396</t>
  </si>
  <si>
    <t>3100241565A</t>
  </si>
  <si>
    <t>792227653</t>
  </si>
  <si>
    <t>30004735956</t>
  </si>
  <si>
    <t>792227652</t>
  </si>
  <si>
    <t>QH1 C13 no. 197</t>
  </si>
  <si>
    <t>0                      QH 0001000C  13                                                      no. 197</t>
  </si>
  <si>
    <t>Songs of the Newfoundland outports / collected and edited by Kenneth Peacock, melodies transcribed and drawn by the author, photographs by the author.</t>
  </si>
  <si>
    <t>Ottawa : [Queens Printer], 1965.</t>
  </si>
  <si>
    <t>National Museum of Canada Bulletin No. 197, Anthropological Series No. 65</t>
  </si>
  <si>
    <t>8907259751:eng</t>
  </si>
  <si>
    <t>155769257</t>
  </si>
  <si>
    <t>ocn155769257</t>
  </si>
  <si>
    <t>3100795508B</t>
  </si>
  <si>
    <t>794253666</t>
  </si>
  <si>
    <t>31007955196</t>
  </si>
  <si>
    <t>794253667</t>
  </si>
  <si>
    <t>3000314705Q</t>
  </si>
  <si>
    <t>794253668</t>
  </si>
  <si>
    <t>QH1 C13 no. 198</t>
  </si>
  <si>
    <t>0                      QH 0001000C  13                                                      no. 198</t>
  </si>
  <si>
    <t>Gaelic songs in Nova Scotia / by Helen Creighton and Calum MacLeod.</t>
  </si>
  <si>
    <t>no. 198*</t>
  </si>
  <si>
    <t>Creighton, Helen, 1899-1989, compiler.</t>
  </si>
  <si>
    <t>[Ottawa] : Dept. of the Secretary of State, Canada, 1964.</t>
  </si>
  <si>
    <t>gla</t>
  </si>
  <si>
    <t>National Museum of Canada, Bulletin ; no. 198 ; Anthropological series ; no. 66</t>
  </si>
  <si>
    <t>2016-09-19</t>
  </si>
  <si>
    <t>344755839:gla</t>
  </si>
  <si>
    <t>1580579</t>
  </si>
  <si>
    <t>ocm01580579</t>
  </si>
  <si>
    <t>3000470108L</t>
  </si>
  <si>
    <t>791755824</t>
  </si>
  <si>
    <t>QH1 C13 no. 201</t>
  </si>
  <si>
    <t>0                      QH 0001000C  13                                                      no. 201</t>
  </si>
  <si>
    <t>Folk ballads and songs of the lower Labrador coast.</t>
  </si>
  <si>
    <t>no. 201*</t>
  </si>
  <si>
    <t>Leach, MacEdward, 1896-1967.</t>
  </si>
  <si>
    <t>Ottawa : Queen's Printer, 1965.</t>
  </si>
  <si>
    <t>Bulletin / National Museum of Canada ; 201</t>
  </si>
  <si>
    <t>5610074270:eng</t>
  </si>
  <si>
    <t>220032593</t>
  </si>
  <si>
    <t>ocn220032593</t>
  </si>
  <si>
    <t>3000350809A</t>
  </si>
  <si>
    <t>794319696</t>
  </si>
  <si>
    <t>QH1 C13 no. 210</t>
  </si>
  <si>
    <t>0                      QH 0001000C  13                                                      no. 210</t>
  </si>
  <si>
    <t>The Ontario Iroquois tradition / by J.V. Wright.</t>
  </si>
  <si>
    <t>no. 210*</t>
  </si>
  <si>
    <t>Wright, J. V. (James Vallière), 1932-2004.</t>
  </si>
  <si>
    <t>Ottawa : Department of the secretary of state, 1966.</t>
  </si>
  <si>
    <t>Bulletin ; no. 210. Anthropological series ; no. 75</t>
  </si>
  <si>
    <t>20894151:eng</t>
  </si>
  <si>
    <t>4258965</t>
  </si>
  <si>
    <t>ocm04258965</t>
  </si>
  <si>
    <t>3000557870W</t>
  </si>
  <si>
    <t>792336041</t>
  </si>
  <si>
    <t>QH1 C13 no. 215</t>
  </si>
  <si>
    <t>0                      QH 0001000C  13                                                      no. 215</t>
  </si>
  <si>
    <t>Le costume civil en Nouvelle-France / par Robert-Lionel Séguin.</t>
  </si>
  <si>
    <t>no. 215*</t>
  </si>
  <si>
    <t>Séguin, Robert Lionel.</t>
  </si>
  <si>
    <t>Ottawa : Secrétariat d'État, 1968.</t>
  </si>
  <si>
    <t>Bulletin / Musée national du Canada ; no. 215. Folklore series ; no. 3</t>
  </si>
  <si>
    <t>10097427447:fre</t>
  </si>
  <si>
    <t>1135050</t>
  </si>
  <si>
    <t>ocm01135050</t>
  </si>
  <si>
    <t>3102964418B</t>
  </si>
  <si>
    <t>791554387</t>
  </si>
  <si>
    <t>3000557408G</t>
  </si>
  <si>
    <t>791554388</t>
  </si>
  <si>
    <t>QH1 C13 no. 218</t>
  </si>
  <si>
    <t>0                      QH 0001000C  13                                                      no. 218</t>
  </si>
  <si>
    <t>The material culture of the Mistassini, by Edward S. Rogers.</t>
  </si>
  <si>
    <t>no. 218*</t>
  </si>
  <si>
    <t>Ottawa [Queen's Printer] 1967.</t>
  </si>
  <si>
    <t>National Museum of Canada. Bulletin no. 218. Anthropological series no. 80</t>
  </si>
  <si>
    <t>1464990:eng</t>
  </si>
  <si>
    <t>455978</t>
  </si>
  <si>
    <t>ocm00455978</t>
  </si>
  <si>
    <t>31002415757</t>
  </si>
  <si>
    <t>791382992</t>
  </si>
  <si>
    <t>QH1 C13 no. 220</t>
  </si>
  <si>
    <t>0                      QH 0001000C  13                                                      no. 220</t>
  </si>
  <si>
    <t>Dance and song rituals of Six Nations Reserve, Ontario / by Gertrude Prokosch Kurath.</t>
  </si>
  <si>
    <t>no. 220*</t>
  </si>
  <si>
    <t>Kurath, Gertrude Prokosch.</t>
  </si>
  <si>
    <t>Ottawa : [Queen's Printer], 1968.</t>
  </si>
  <si>
    <t>Bulletin ; no. 220. Folklore series ; no. 4</t>
  </si>
  <si>
    <t>2016-11-05</t>
  </si>
  <si>
    <t>1141303:eng</t>
  </si>
  <si>
    <t>18808</t>
  </si>
  <si>
    <t>ocm00018808</t>
  </si>
  <si>
    <t>31002415749</t>
  </si>
  <si>
    <t>791229959</t>
  </si>
  <si>
    <t>QH1 C13 no. 227</t>
  </si>
  <si>
    <t>0                      QH 0001000C  13                                                      no. 227</t>
  </si>
  <si>
    <t>Les divertissements en Nouvelle-France / par Robert-Lionel Séguin.</t>
  </si>
  <si>
    <t>no. 227*</t>
  </si>
  <si>
    <t>Ottawa : [Imprimeur de la reine], 1968.</t>
  </si>
  <si>
    <t>Bulletin / Musée national du Canada ; no. 227. Folklore series ; no. 6</t>
  </si>
  <si>
    <t>2016-11-04</t>
  </si>
  <si>
    <t>3855267579:fre</t>
  </si>
  <si>
    <t>1141150</t>
  </si>
  <si>
    <t>ocm01141150</t>
  </si>
  <si>
    <t>31002415870</t>
  </si>
  <si>
    <t>791555402</t>
  </si>
  <si>
    <t>QH1 C13 no. 230</t>
  </si>
  <si>
    <t>0                      QH 0001000C  13                                                      no. 230</t>
  </si>
  <si>
    <t>Contributions to anthropology: ecological essays; proceedings of the Conference on Cultural Ecology, Ottawa, August 3-6, 1966. Edited by David Damas.</t>
  </si>
  <si>
    <t>no. 230*</t>
  </si>
  <si>
    <t>Conference on Cultural Ecology (1966 : Ottawa, Ont.)</t>
  </si>
  <si>
    <t>Ottawa [Queen's Printer] 1969.</t>
  </si>
  <si>
    <t>National Museums of Canada. Bulletin no. 230. Anthropological series, no. 86</t>
  </si>
  <si>
    <t>8912781821:eng</t>
  </si>
  <si>
    <t>747797</t>
  </si>
  <si>
    <t>ocm00747797</t>
  </si>
  <si>
    <t>31000131588</t>
  </si>
  <si>
    <t>791460600</t>
  </si>
  <si>
    <t>QH1 C13 no. 235</t>
  </si>
  <si>
    <t>0                      QH 0001000C  13                                                      no. 235</t>
  </si>
  <si>
    <t>Unikkaatuat sanaugarngnik atyingualiit Puvirngniturngmit. Eskimo stories from Povungnituk, Quebec. Illustrated in soapstone carvings, by Zebedee Nungak and Eugene Arima.</t>
  </si>
  <si>
    <t>no. 235*</t>
  </si>
  <si>
    <t>Nungak, Zebedee.</t>
  </si>
  <si>
    <t>Ottawa : National Museum of Canada 1969.</t>
  </si>
  <si>
    <t>5481497857:eng</t>
  </si>
  <si>
    <t>380097</t>
  </si>
  <si>
    <t>ocm00380097</t>
  </si>
  <si>
    <t>3103705757K</t>
  </si>
  <si>
    <t>791358570</t>
  </si>
  <si>
    <t>2010-09-15</t>
  </si>
  <si>
    <t>30003847904</t>
  </si>
  <si>
    <t>791358571</t>
  </si>
  <si>
    <t>3100227035L</t>
  </si>
  <si>
    <t>791358572</t>
  </si>
  <si>
    <t>QH1 C13 no. 6</t>
  </si>
  <si>
    <t>0                      QH 0001000C  13                                                      no. 6</t>
  </si>
  <si>
    <t>Prehistoric and present commerce among the Arctic coast Eskimo, by V. Stefánsson.</t>
  </si>
  <si>
    <t>no. 6*</t>
  </si>
  <si>
    <t>Stefansson, Vilhjalmur, 1879-1962.</t>
  </si>
  <si>
    <t>Ottawa, Government Printing Bureau, 1914.</t>
  </si>
  <si>
    <t>Geological Survey of Canada Museum Bulletin ; no. 6</t>
  </si>
  <si>
    <t>11221922:eng</t>
  </si>
  <si>
    <t>3664881</t>
  </si>
  <si>
    <t>ocm03664881</t>
  </si>
  <si>
    <t>3000732313D</t>
  </si>
  <si>
    <t>792278680</t>
  </si>
  <si>
    <t>QH1 C13 no. 93</t>
  </si>
  <si>
    <t>0                      QH 0001000C  13                                                      no. 93</t>
  </si>
  <si>
    <t>Assomption sash / by Marius Barbeau, Department of Mines and Resources, National Museum of Canada.</t>
  </si>
  <si>
    <t>no. 93*</t>
  </si>
  <si>
    <t>Canada. National museum, Ottawa. Bulletin 93. Anthropological series ; no. 24</t>
  </si>
  <si>
    <t>2016-06-03</t>
  </si>
  <si>
    <t>9658303422:eng</t>
  </si>
  <si>
    <t>29438436</t>
  </si>
  <si>
    <t>ocm29438436</t>
  </si>
  <si>
    <t>31029644347</t>
  </si>
  <si>
    <t>793310968</t>
  </si>
  <si>
    <t>QH11 B43</t>
  </si>
  <si>
    <t>0                      QH 0011000B  43</t>
  </si>
  <si>
    <t>The Beagle record : selections from the original pictorial records and written accounts of the voyage of H.M.S. Beagle / edited by Richard Darwin Keynes.</t>
  </si>
  <si>
    <t>875282979:eng</t>
  </si>
  <si>
    <t>3360884</t>
  </si>
  <si>
    <t>ocm03360884</t>
  </si>
  <si>
    <t>3001034720V</t>
  </si>
  <si>
    <t>9780521218221</t>
  </si>
  <si>
    <t>792246568</t>
  </si>
  <si>
    <t>QH11 V57 1996</t>
  </si>
  <si>
    <t>0                      QH 0011000V  57          1996</t>
  </si>
  <si>
    <t>Visions of empire : voyages, botany, and representations of nature / edited by David Philip Miller and Peter Hanns Reill.</t>
  </si>
  <si>
    <t>Cambridge [England] ; New York : Cambridge University Press, 1996.</t>
  </si>
  <si>
    <t>806543171:eng</t>
  </si>
  <si>
    <t>32509011</t>
  </si>
  <si>
    <t>ocm32509011</t>
  </si>
  <si>
    <t>3103142248X</t>
  </si>
  <si>
    <t>9780521483032</t>
  </si>
  <si>
    <t>793385959</t>
  </si>
  <si>
    <t>2016-08-30</t>
  </si>
  <si>
    <t>31026081449</t>
  </si>
  <si>
    <t>793385960</t>
  </si>
  <si>
    <t>QH15 C85 1996</t>
  </si>
  <si>
    <t>0                      QH 0015000C  85          1996</t>
  </si>
  <si>
    <t>Cultures of natural history / edited by N. Jardine, J.A. Secord, and E.C. Spary.</t>
  </si>
  <si>
    <t>350436195:eng</t>
  </si>
  <si>
    <t>31291775</t>
  </si>
  <si>
    <t>ocm31291775</t>
  </si>
  <si>
    <t>31030379247</t>
  </si>
  <si>
    <t>9780521453943</t>
  </si>
  <si>
    <t>793357904</t>
  </si>
  <si>
    <t>QH15 F74 1994</t>
  </si>
  <si>
    <t>0                      QH 0015000F  74          1994</t>
  </si>
  <si>
    <t>Ancient natural history : histories of nature / Roger French.</t>
  </si>
  <si>
    <t>French, R. K. (Roger Kenneth)</t>
  </si>
  <si>
    <t>801792959:eng</t>
  </si>
  <si>
    <t>29845576</t>
  </si>
  <si>
    <t>ocm29845576</t>
  </si>
  <si>
    <t>3101571172J</t>
  </si>
  <si>
    <t>9780415088800</t>
  </si>
  <si>
    <t>793321952</t>
  </si>
  <si>
    <t>QH15 T47 2014</t>
  </si>
  <si>
    <t>0                      QH 0015000T  47          2014</t>
  </si>
  <si>
    <t>Catching nature in the act : Réaumur and the practice of natural history in the eighteenth century / Mary Terrall.</t>
  </si>
  <si>
    <t>Terrall, Mary, author.</t>
  </si>
  <si>
    <t>Chicago ; London : The University of Chicago Press, [2014]</t>
  </si>
  <si>
    <t>1875704999:eng</t>
  </si>
  <si>
    <t>841558925</t>
  </si>
  <si>
    <t>ocn841558925</t>
  </si>
  <si>
    <t>3103583403O</t>
  </si>
  <si>
    <t>9780226088600</t>
  </si>
  <si>
    <t>794946961</t>
  </si>
  <si>
    <t>QH21 C3 Z44 1996</t>
  </si>
  <si>
    <t>0                      QH 0021000C  3                  Z  44          1996</t>
  </si>
  <si>
    <t>Land of promise, promised land : the culture of Victorian science in Canada / Suzanne Zeller.</t>
  </si>
  <si>
    <t>Ottawa : Canadian Historical Association, 1996.</t>
  </si>
  <si>
    <t>Historical booklet / Canadian Historical association, 0006-8886 ; no. 56</t>
  </si>
  <si>
    <t>2010-09-09</t>
  </si>
  <si>
    <t>1043676476:eng</t>
  </si>
  <si>
    <t>36673997</t>
  </si>
  <si>
    <t>ocm36673997</t>
  </si>
  <si>
    <t>3101714885Q</t>
  </si>
  <si>
    <t>9780887981715</t>
  </si>
  <si>
    <t>793481161</t>
  </si>
  <si>
    <t>3101714889I</t>
  </si>
  <si>
    <t>793481160</t>
  </si>
  <si>
    <t>QH21 C6 N37 2009</t>
  </si>
  <si>
    <t>0                      QH 0021000C  6                  N  37          2009</t>
  </si>
  <si>
    <t>The monkey and the inkpot : natural history and its transformations in early modern China / Carla Nappi.</t>
  </si>
  <si>
    <t>Nappi, Carla Suzan, 1977-</t>
  </si>
  <si>
    <t>Cambridge, Mass. : Harvard University Press, 2009.</t>
  </si>
  <si>
    <t>797314816:eng</t>
  </si>
  <si>
    <t>314378750</t>
  </si>
  <si>
    <t>ocn314378750</t>
  </si>
  <si>
    <t>3103135282I</t>
  </si>
  <si>
    <t>9780674035294</t>
  </si>
  <si>
    <t>794438441</t>
  </si>
  <si>
    <t>QH21 F7 M7</t>
  </si>
  <si>
    <t>0                      QH 0021000F  7                  M  7</t>
  </si>
  <si>
    <t>Les sciences de la nature en France, au XVIIIe siècle. Un chapitre de l'histoire des idées.</t>
  </si>
  <si>
    <t>Mornet, Daniel, 1878-1954.</t>
  </si>
  <si>
    <t>Paris, A. Colin, 1911.</t>
  </si>
  <si>
    <t>365349320:fre</t>
  </si>
  <si>
    <t>2221621</t>
  </si>
  <si>
    <t>ocm02221621</t>
  </si>
  <si>
    <t>3000687698U</t>
  </si>
  <si>
    <t>792069605</t>
  </si>
  <si>
    <t>QH21 G3 B54 2012</t>
  </si>
  <si>
    <t>0                      QH 0021000G  3                  B  54          2012</t>
  </si>
  <si>
    <t>Im Grunde ein Bild : die Darstellung der Naturforschung bei Kant, Goethe und Alexander von Humboldt / Michael Bies.</t>
  </si>
  <si>
    <t>Bies, Michael, 1979-</t>
  </si>
  <si>
    <t>Göttingen : Wallstein, ©2012.</t>
  </si>
  <si>
    <t>1089559883:ger</t>
  </si>
  <si>
    <t>780473750</t>
  </si>
  <si>
    <t>ocn780473750</t>
  </si>
  <si>
    <t>3103642793E</t>
  </si>
  <si>
    <t>9783835310537</t>
  </si>
  <si>
    <t>794912231</t>
  </si>
  <si>
    <t>QH21 N7 S78 2003</t>
  </si>
  <si>
    <t>0                      QH 0021000N  7                  S  78          2003</t>
  </si>
  <si>
    <t>Stuffing birds, pressing plants, shaping knowledge : natural history in North America, 1730-1860 / Sue Ann Prince, editor.</t>
  </si>
  <si>
    <t>Philadelphia, Pa. : American Philosophical Society, 2003.</t>
  </si>
  <si>
    <t>Transactions of the American Philosophical Society, 0065-9736 ; v. 93, pt. 4</t>
  </si>
  <si>
    <t>892009441:eng</t>
  </si>
  <si>
    <t>52464676</t>
  </si>
  <si>
    <t>ocm52464676</t>
  </si>
  <si>
    <t>31023616832</t>
  </si>
  <si>
    <t>9780871699343</t>
  </si>
  <si>
    <t>793807074</t>
  </si>
  <si>
    <t>QH21 U5 P37 2006</t>
  </si>
  <si>
    <t>0                      QH 0021000U  5                  P  37          2006</t>
  </si>
  <si>
    <t>American curiosity : cultures of natural history in the colonial British Atlantic world / Susan Scott Parrish.</t>
  </si>
  <si>
    <t>Parrish, Susan Scott.</t>
  </si>
  <si>
    <t>Chapel Hill : University of North Carolina Press, ©2006.</t>
  </si>
  <si>
    <t>367258894:eng</t>
  </si>
  <si>
    <t>61362668</t>
  </si>
  <si>
    <t>ocm61362668</t>
  </si>
  <si>
    <t>3102671961B</t>
  </si>
  <si>
    <t>9780807830093</t>
  </si>
  <si>
    <t>793951824</t>
  </si>
  <si>
    <t>QH26 B67 2002</t>
  </si>
  <si>
    <t>0                      QH 0026000B  67          2002</t>
  </si>
  <si>
    <t>Sightseers and scholars : scientific travellers in the golden age of natural history / Stephen R. Bown.</t>
  </si>
  <si>
    <t>Bown, Stephen R.</t>
  </si>
  <si>
    <t>Toronto : Key Porter Books, c2002.</t>
  </si>
  <si>
    <t>2015-11-29</t>
  </si>
  <si>
    <t>294223622:eng</t>
  </si>
  <si>
    <t>50185948</t>
  </si>
  <si>
    <t>ocm50185948</t>
  </si>
  <si>
    <t>3102996442J</t>
  </si>
  <si>
    <t>9781552634868</t>
  </si>
  <si>
    <t>793757493</t>
  </si>
  <si>
    <t>QH26 H68 2003</t>
  </si>
  <si>
    <t>0                      QH 0026000H  68          2003</t>
  </si>
  <si>
    <t>Eighteenth-century naturalists of Hudson Bay / Stuart Houston, Tim Ball, and Mary Houston.</t>
  </si>
  <si>
    <t>Houston, C. Stuart (Clarence Stuart), 1927-</t>
  </si>
  <si>
    <t>Montreal : McGill-Queen's University Press, 2003.</t>
  </si>
  <si>
    <t>McGill-Queen's Native and northern series ; 34</t>
  </si>
  <si>
    <t>34525453:eng</t>
  </si>
  <si>
    <t>52749883</t>
  </si>
  <si>
    <t>ocm52749883</t>
  </si>
  <si>
    <t>31023121645</t>
  </si>
  <si>
    <t>9780773522855</t>
  </si>
  <si>
    <t>793813189</t>
  </si>
  <si>
    <t>QH26 W66 1997</t>
  </si>
  <si>
    <t>0                      QH 0026000W  66          1997</t>
  </si>
  <si>
    <t>Women in the biological sciences : a biobibliographic sourcebook / edited by Louise S. Grinstein, Carol A. Biermann, and Rose K. Rose ; with a foreword by Martha Oakley Chiscon.</t>
  </si>
  <si>
    <t>Westport, Conn. : Greenwood Press, 1997.</t>
  </si>
  <si>
    <t>865379609:eng</t>
  </si>
  <si>
    <t>35620349</t>
  </si>
  <si>
    <t>ocm35620349</t>
  </si>
  <si>
    <t>31018654397</t>
  </si>
  <si>
    <t>9780313291807</t>
  </si>
  <si>
    <t>793453419</t>
  </si>
  <si>
    <t>QH31 B18 E8</t>
  </si>
  <si>
    <t>0                      QH 0031000B  18                 E  8</t>
  </si>
  <si>
    <t>John Banister and his natural history of Virginia, 1678-1692 / Joseph and Nesta Ewan.</t>
  </si>
  <si>
    <t>Ewan, Joseph, 1909-1999.</t>
  </si>
  <si>
    <t>Urbana : University of Illinois Press, ©1970.</t>
  </si>
  <si>
    <t>51314702:eng</t>
  </si>
  <si>
    <t>105900</t>
  </si>
  <si>
    <t>ocm00105900</t>
  </si>
  <si>
    <t>3001051438R</t>
  </si>
  <si>
    <t>9780252000751</t>
  </si>
  <si>
    <t>791258824</t>
  </si>
  <si>
    <t>QH31 B23</t>
  </si>
  <si>
    <t>0                      QH 0031000B  23</t>
  </si>
  <si>
    <t>John and William Bartram's America : selections from the writings of the Philadelphia naturalists / edited with an introduction by Helen Gere Cruickshank ; foreword by B. Bartram Cadbury ; illustrated by Francis Lee Jacques [i.e. Jaques].</t>
  </si>
  <si>
    <t>Bartram, John, 1699-1777.</t>
  </si>
  <si>
    <t>New York : Devin-Adair Co., 1957.</t>
  </si>
  <si>
    <t>American naturalists series</t>
  </si>
  <si>
    <t>2863465065:eng</t>
  </si>
  <si>
    <t>1237775</t>
  </si>
  <si>
    <t>ocm01237775</t>
  </si>
  <si>
    <t>3001060576E</t>
  </si>
  <si>
    <t>791579798</t>
  </si>
  <si>
    <t>QH31 C33 M87 2015</t>
  </si>
  <si>
    <t>0                      QH 0031000C  33                 M  87          2015</t>
  </si>
  <si>
    <t>Rachel Carson and her sisters : extraordinary women who have shaped America's environment / Robert K. Musil.</t>
  </si>
  <si>
    <t>Musil, Robert K., 1943-</t>
  </si>
  <si>
    <t>New Brunswick, New Jersey : Rutgers University Press, 2015.</t>
  </si>
  <si>
    <t>1822061030:eng</t>
  </si>
  <si>
    <t>910981645</t>
  </si>
  <si>
    <t>ocn910981645</t>
  </si>
  <si>
    <t>31036078955</t>
  </si>
  <si>
    <t>9780813576213</t>
  </si>
  <si>
    <t>794996867</t>
  </si>
  <si>
    <t>QH31 C33 S68 2012</t>
  </si>
  <si>
    <t>0                      QH 0031000C  33                 S  68          2012</t>
  </si>
  <si>
    <t>On a farther shore : the life and legacy of Rachel Carson / William Souder.</t>
  </si>
  <si>
    <t>Souder, William, 1949-</t>
  </si>
  <si>
    <t>New York : Crown Publishers, ©2012.</t>
  </si>
  <si>
    <t>2014-04-20</t>
  </si>
  <si>
    <t>1403207189:eng</t>
  </si>
  <si>
    <t>769424501</t>
  </si>
  <si>
    <t>ocn769424501</t>
  </si>
  <si>
    <t>3103455698D</t>
  </si>
  <si>
    <t>9780307462206</t>
  </si>
  <si>
    <t>794903322</t>
  </si>
  <si>
    <t>QH31 D2 A2 1898</t>
  </si>
  <si>
    <t>0                      QH 0031000D  2                  A  2           1898</t>
  </si>
  <si>
    <t>The life and letters of Charles Darwin / including an autobiographical chapter ed. by his son Francis Darwin.</t>
  </si>
  <si>
    <t>Darwin, Charles, 1809-1882.</t>
  </si>
  <si>
    <t>New York : Appleton, 1898.</t>
  </si>
  <si>
    <t>5612870009:eng</t>
  </si>
  <si>
    <t>427483386</t>
  </si>
  <si>
    <t>ocn427483386</t>
  </si>
  <si>
    <t>3102926903A</t>
  </si>
  <si>
    <t>794661725</t>
  </si>
  <si>
    <t>3102926901A</t>
  </si>
  <si>
    <t>794661726</t>
  </si>
  <si>
    <t>QH31 D2 A2 2001</t>
  </si>
  <si>
    <t>0                      QH 0031000D  2                  A  2           2001</t>
  </si>
  <si>
    <t>The collected writings of Erasmus Darwin / introduced by Martin Priestman.</t>
  </si>
  <si>
    <t>Bristol, England : Thoemmes Continuum, 2004.</t>
  </si>
  <si>
    <t>2012-04-30</t>
  </si>
  <si>
    <t>10813443:eng</t>
  </si>
  <si>
    <t>56614709</t>
  </si>
  <si>
    <t>ocm56614709</t>
  </si>
  <si>
    <t>3102719051W</t>
  </si>
  <si>
    <t>9781843710868</t>
  </si>
  <si>
    <t>793897101</t>
  </si>
  <si>
    <t>3102719061U</t>
  </si>
  <si>
    <t>793897099</t>
  </si>
  <si>
    <t>3102719075S</t>
  </si>
  <si>
    <t>793897095</t>
  </si>
  <si>
    <t>3102719071S</t>
  </si>
  <si>
    <t>793897097</t>
  </si>
  <si>
    <t>3102719041Y</t>
  </si>
  <si>
    <t>793897093</t>
  </si>
  <si>
    <t>3102719056W</t>
  </si>
  <si>
    <t>793897100</t>
  </si>
  <si>
    <t>3102719066U</t>
  </si>
  <si>
    <t>793897098</t>
  </si>
  <si>
    <t>3102719036$</t>
  </si>
  <si>
    <t>793897094</t>
  </si>
  <si>
    <t>3102719076S</t>
  </si>
  <si>
    <t>793897096</t>
  </si>
  <si>
    <t>QH31 D2 O74 1995</t>
  </si>
  <si>
    <t>0                      QH 0031000D  2                  O  74          1995</t>
  </si>
  <si>
    <t>The development of Darwin's theory : natural history, natural theology, and natural selection, 1838-1859 / Dov Ospovat.</t>
  </si>
  <si>
    <t>Ospovat, Dov.</t>
  </si>
  <si>
    <t>Cambridge ; New York : Cambridge University Press, 1981.</t>
  </si>
  <si>
    <t>836672376:eng</t>
  </si>
  <si>
    <t>7464692</t>
  </si>
  <si>
    <t>ocm07464692</t>
  </si>
  <si>
    <t>3101466121O</t>
  </si>
  <si>
    <t>9780521238182</t>
  </si>
  <si>
    <t>792560326</t>
  </si>
  <si>
    <t>QH31 D2 T67 2005</t>
  </si>
  <si>
    <t>0                      QH 0031000D  2                  T  67          2005</t>
  </si>
  <si>
    <t>Darwin et le darwinisme / Patrick Tort.</t>
  </si>
  <si>
    <t>Tort, Patrick.</t>
  </si>
  <si>
    <t>Paris : Presses universitaires de France, 2005.</t>
  </si>
  <si>
    <t>Que sais-je? ; 3738</t>
  </si>
  <si>
    <t>41022622:fre</t>
  </si>
  <si>
    <t>61429625</t>
  </si>
  <si>
    <t>ocm61429625</t>
  </si>
  <si>
    <t>31032949508</t>
  </si>
  <si>
    <t>9782130549741</t>
  </si>
  <si>
    <t>793952586</t>
  </si>
  <si>
    <t>QH31 D86 A3 1995</t>
  </si>
  <si>
    <t>0                      QH 0031000D  86                 A  3           1995</t>
  </si>
  <si>
    <t>Essays from a life : Scotland, Canada, Greenland, Denmark / Max Dunbar.</t>
  </si>
  <si>
    <t>Dunbar, M. J. (Maxwell John), 1914-1995.</t>
  </si>
  <si>
    <t>Montreal : McGill University Libraries, 1995.</t>
  </si>
  <si>
    <t>Fontanus monograph series, 1183-1774 ; 5</t>
  </si>
  <si>
    <t>477235428:eng</t>
  </si>
  <si>
    <t>36556982</t>
  </si>
  <si>
    <t>ocm36556982</t>
  </si>
  <si>
    <t>31014067201</t>
  </si>
  <si>
    <t>9780771704543</t>
  </si>
  <si>
    <t>793478541</t>
  </si>
  <si>
    <t>QH31 F67 H6</t>
  </si>
  <si>
    <t>0                      QH 0031000F  67                 H  6</t>
  </si>
  <si>
    <t>The tactless philosopher : Johann Reinhold Forster (1729-98) / Michael E. Hoare.</t>
  </si>
  <si>
    <t>Hoare, Michael E. (Michael Edward), 1941-1996.</t>
  </si>
  <si>
    <t>Melbourne : Hawthorn Press, 1976.</t>
  </si>
  <si>
    <t>865186698:eng</t>
  </si>
  <si>
    <t>3903076</t>
  </si>
  <si>
    <t>ocm03903076</t>
  </si>
  <si>
    <t>3000401200X</t>
  </si>
  <si>
    <t>9780725601218</t>
  </si>
  <si>
    <t>792303603</t>
  </si>
  <si>
    <t>QH31 G67 2017</t>
  </si>
  <si>
    <t>0                      QH 0031000G  67          2017</t>
  </si>
  <si>
    <t>Curators : behind the scenes of natural history museums / Lance Grande.</t>
  </si>
  <si>
    <t>Grande, Lance, author.</t>
  </si>
  <si>
    <t>Chicago ; London : The University of Chicago Press, 2017.</t>
  </si>
  <si>
    <t>4141375450:eng</t>
  </si>
  <si>
    <t>953918859</t>
  </si>
  <si>
    <t>ocn953918859</t>
  </si>
  <si>
    <t>31036710607</t>
  </si>
  <si>
    <t>9780226192758</t>
  </si>
  <si>
    <t>795019386</t>
  </si>
  <si>
    <t>QH31 J36 J36</t>
  </si>
  <si>
    <t>0                      QH 0031000J  36                 J  36</t>
  </si>
  <si>
    <t>Francis Lee Jaques : artist of the wilderness world / Florence Page Jaques ; foreword by Roger Tory Peterson ; a treasury of prose writings from the six Jaques books ; three new appraisals of the artist's work ; memorials to Francis Lee Jaques by Sigurd F. Olson and to Florence Page Jaques by Harriet Buchheister ; with 64 paintings and dioramas in full color, 100 drawings in scratchboard, pen and ink, and pencil.</t>
  </si>
  <si>
    <t>Jaques, Florence Page, 1890-1972.</t>
  </si>
  <si>
    <t>Garden City, N.Y. : Doubleday, 1973.</t>
  </si>
  <si>
    <t>2018-04-04</t>
  </si>
  <si>
    <t>1638134:eng</t>
  </si>
  <si>
    <t>762266</t>
  </si>
  <si>
    <t>ocm00762266</t>
  </si>
  <si>
    <t>30010359444</t>
  </si>
  <si>
    <t>9780385022392</t>
  </si>
  <si>
    <t>791464494</t>
  </si>
  <si>
    <t>QH31 J36 L8 1982</t>
  </si>
  <si>
    <t>0                      QH 0031000J  36                 L  8           1982</t>
  </si>
  <si>
    <t>Francis Lee Jaques, artist-naturalist / Don T. Luce &amp; Laura M. Andrews ; with excerpts from F.L. Jaques's manuscript autobiography.</t>
  </si>
  <si>
    <t>Luce, Don T.</t>
  </si>
  <si>
    <t>Minneapolis : University of Minnesota Press, ©1982.</t>
  </si>
  <si>
    <t>480597:eng</t>
  </si>
  <si>
    <t>8845478</t>
  </si>
  <si>
    <t>ocm08845478</t>
  </si>
  <si>
    <t>3001027628A</t>
  </si>
  <si>
    <t>9780816611454</t>
  </si>
  <si>
    <t>792644155</t>
  </si>
  <si>
    <t>QH31 L115 D89 2003</t>
  </si>
  <si>
    <t>0                      QH 0031000L  115                D  89          2003</t>
  </si>
  <si>
    <t>Citizen Labillardière : a naturalist's life in revolution and exploration (1755-1834) / Edward Duyker.</t>
  </si>
  <si>
    <t>Duyker, Edward.</t>
  </si>
  <si>
    <t>Carlton, Vic. : Miegunyah Press, 2003.</t>
  </si>
  <si>
    <t>711854:eng</t>
  </si>
  <si>
    <t>52901651</t>
  </si>
  <si>
    <t>ocm52901651</t>
  </si>
  <si>
    <t>3102302849U</t>
  </si>
  <si>
    <t>9780522850109</t>
  </si>
  <si>
    <t>793816941</t>
  </si>
  <si>
    <t>QH31 L618 A43 1987</t>
  </si>
  <si>
    <t>0                      QH 0031000L  618                A  43          1987</t>
  </si>
  <si>
    <t>Aldo Leopold : the man and his legacy / Thomas Tanner, editor ; foreword by Stewart L. Udall.</t>
  </si>
  <si>
    <t>Ankeny, Iowa : Soil Conservation Society of America, ©1987.</t>
  </si>
  <si>
    <t>444534715:eng</t>
  </si>
  <si>
    <t>15519977</t>
  </si>
  <si>
    <t>ocm15519977</t>
  </si>
  <si>
    <t>3001052840J</t>
  </si>
  <si>
    <t>9780935734133</t>
  </si>
  <si>
    <t>792934129</t>
  </si>
  <si>
    <t>QH31 L618 M33 1987</t>
  </si>
  <si>
    <t>0                      QH 0031000L  618                M  33          1987</t>
  </si>
  <si>
    <t>Aldo Leopold, the professor / Robert A. McCabe ; drawings by Charles W. Schwartz.</t>
  </si>
  <si>
    <t>McCabe, Robert A.</t>
  </si>
  <si>
    <t>Madison, Wis. : [Rusty Rock Press], 1987.</t>
  </si>
  <si>
    <t>13466278:eng</t>
  </si>
  <si>
    <t>16918250</t>
  </si>
  <si>
    <t>ocm16918250</t>
  </si>
  <si>
    <t>3100658712S</t>
  </si>
  <si>
    <t>9780910122986</t>
  </si>
  <si>
    <t>792977292</t>
  </si>
  <si>
    <t>QH31 M45 H464 2000</t>
  </si>
  <si>
    <t>0                      QH 0031000M  45                 H  464         2000</t>
  </si>
  <si>
    <t>The monk in the garden : the lost and found genius of Gregor Mendel, the father of genetics / Robin Marantz Henig.</t>
  </si>
  <si>
    <t>Henig, Robin Marantz.</t>
  </si>
  <si>
    <t>Boston : Houghton Mifflin, 2000.</t>
  </si>
  <si>
    <t>20661053:eng</t>
  </si>
  <si>
    <t>43648512</t>
  </si>
  <si>
    <t>ocm43648512</t>
  </si>
  <si>
    <t>3102185827R</t>
  </si>
  <si>
    <t>9780395977651</t>
  </si>
  <si>
    <t>793631713</t>
  </si>
  <si>
    <t>QH31 M4516 T63 2007</t>
  </si>
  <si>
    <t>0                      QH 0031000M  4516               T  63          2007</t>
  </si>
  <si>
    <t>Chrysalis : Maria Sibylla Merian and the secrets of metamorphosis / Kim Todd.</t>
  </si>
  <si>
    <t>Todd, Kim, 1970-</t>
  </si>
  <si>
    <t>Orlando : Harcourt, ©2007.</t>
  </si>
  <si>
    <t>802686546:eng</t>
  </si>
  <si>
    <t>69020922</t>
  </si>
  <si>
    <t>ocm69020922</t>
  </si>
  <si>
    <t>3103119465A</t>
  </si>
  <si>
    <t>9780151011087</t>
  </si>
  <si>
    <t>794144997</t>
  </si>
  <si>
    <t>QH31 M48 S84 2017</t>
  </si>
  <si>
    <t>0                      QH 0031000M  48                 S  84          2017</t>
  </si>
  <si>
    <t>Minakata Kumagusu to setsuwagaku / Sugiyama Kazuya.</t>
  </si>
  <si>
    <t>Sugiyama, Kazuya, 1983- author.</t>
  </si>
  <si>
    <t>Bukkuretto "shomotsu o hiraku" ; 9</t>
  </si>
  <si>
    <t>4649248378:jpn</t>
  </si>
  <si>
    <t>1012920150</t>
  </si>
  <si>
    <t>on1012920150</t>
  </si>
  <si>
    <t>3103762581A</t>
  </si>
  <si>
    <t>9784582364491</t>
  </si>
  <si>
    <t>795046719</t>
  </si>
  <si>
    <t>QH31 R13 B64 2011</t>
  </si>
  <si>
    <t>0                      QH 0031000R  13                 B  64          2011</t>
  </si>
  <si>
    <t>The life of C.S. Rafinesque : a man of uncommon zeal / by Charles Boewe.</t>
  </si>
  <si>
    <t>(text + 1 CD-ROM)</t>
  </si>
  <si>
    <t>Boewe, Charles E., 1924-</t>
  </si>
  <si>
    <t>Philadelphia : American Philosophical Society, 2011.</t>
  </si>
  <si>
    <t>Lightning rod press series ; v. 7</t>
  </si>
  <si>
    <t>1003806873:eng</t>
  </si>
  <si>
    <t>747819322</t>
  </si>
  <si>
    <t>ocn747819322</t>
  </si>
  <si>
    <t>3103494986R</t>
  </si>
  <si>
    <t>9781606189221</t>
  </si>
  <si>
    <t>794888557</t>
  </si>
  <si>
    <t>QH31 S58 L9</t>
  </si>
  <si>
    <t>0                      QH 0031000S  58                 L  9</t>
  </si>
  <si>
    <t>Pierre Sonnerat, 1748-1814 : an account of his life and work / Madeleine Ly-Tio-Fane.</t>
  </si>
  <si>
    <t>Ly-Tio-Fane, Madeleine.</t>
  </si>
  <si>
    <t>[Place of publication not identified] : [publisher not identified], 1976</t>
  </si>
  <si>
    <t>365847715:eng</t>
  </si>
  <si>
    <t>4886632</t>
  </si>
  <si>
    <t>ocm04886632</t>
  </si>
  <si>
    <t>30010276808</t>
  </si>
  <si>
    <t>792391274</t>
  </si>
  <si>
    <t>QH31 W2 A4 2013</t>
  </si>
  <si>
    <t>0                      QH 0031000W  2                  A  4           2013</t>
  </si>
  <si>
    <t>Alfred Russel Wallace : letters from the Malay Archipelago / edited by John van Wyhe and Kees Rookmaaker.</t>
  </si>
  <si>
    <t>Wallace, Alfred Russel, 1823-1913.</t>
  </si>
  <si>
    <t>Oxford, United Kingdom : Oxford University Press, 2013.</t>
  </si>
  <si>
    <t>3902106689:eng</t>
  </si>
  <si>
    <t>868429201</t>
  </si>
  <si>
    <t>ocn868429201</t>
  </si>
  <si>
    <t>3103612640K</t>
  </si>
  <si>
    <t>9780199683994</t>
  </si>
  <si>
    <t>794964718</t>
  </si>
  <si>
    <t>QH32 S49 C76 1991</t>
  </si>
  <si>
    <t>0                      QH 0032000S  49                 C  76          1991</t>
  </si>
  <si>
    <t>Pioneer ecologist : the life and work of Victor Ernest Shelford, 1877-1968 / Robert A. Croker.</t>
  </si>
  <si>
    <t>Croker, Robert A.</t>
  </si>
  <si>
    <t>Washington : Smithsonian Institution Press, ©1991.</t>
  </si>
  <si>
    <t>2016-08-11</t>
  </si>
  <si>
    <t>23121102:eng</t>
  </si>
  <si>
    <t>22112979</t>
  </si>
  <si>
    <t>ocm22112979</t>
  </si>
  <si>
    <t>31009450381</t>
  </si>
  <si>
    <t>9780874743159</t>
  </si>
  <si>
    <t>793134291</t>
  </si>
  <si>
    <t>QH41 M87 2004</t>
  </si>
  <si>
    <t>0                      QH 0041000M  87          2004</t>
  </si>
  <si>
    <t>Pliny the Elder's Natural history : the Empire in the encyclopedia / Trevor Murphy.</t>
  </si>
  <si>
    <t>Murphy, Trevor Morgan.</t>
  </si>
  <si>
    <t>Oxford ; New York : Oxford University Press, 2004.</t>
  </si>
  <si>
    <t>801769676:eng</t>
  </si>
  <si>
    <t>53392996</t>
  </si>
  <si>
    <t>ocm53392996</t>
  </si>
  <si>
    <t>3102439624S</t>
  </si>
  <si>
    <t>9780199262885</t>
  </si>
  <si>
    <t>793827832</t>
  </si>
  <si>
    <t>QH41 P774 1964</t>
  </si>
  <si>
    <t>0                      QH 0041000P  774         1964</t>
  </si>
  <si>
    <t>Pliny's natural history; a selection from Philemon Holland's translation. Edited by J. Newsome.</t>
  </si>
  <si>
    <t>Pliny, the Elder.</t>
  </si>
  <si>
    <t>Oxford, Clarendon Press, 1964.</t>
  </si>
  <si>
    <t>9622585562:eng</t>
  </si>
  <si>
    <t>491259</t>
  </si>
  <si>
    <t>ocm00491259</t>
  </si>
  <si>
    <t>30007657220</t>
  </si>
  <si>
    <t>791392264</t>
  </si>
  <si>
    <t>QH44 B76 1992</t>
  </si>
  <si>
    <t>0                      QH 0044000B  76          1992</t>
  </si>
  <si>
    <t>Carl Linnaeus / by Gunnar Broberg.</t>
  </si>
  <si>
    <t>Broberg, Gunnar, 1942-</t>
  </si>
  <si>
    <t>Stockholm : Swedish Institute, ©1992.</t>
  </si>
  <si>
    <t>Swedish portraits, 1101-6353</t>
  </si>
  <si>
    <t>10075963356:eng</t>
  </si>
  <si>
    <t>26931789</t>
  </si>
  <si>
    <t>ocm26931789</t>
  </si>
  <si>
    <t>3101517137R</t>
  </si>
  <si>
    <t>9789152002858</t>
  </si>
  <si>
    <t>793255207</t>
  </si>
  <si>
    <t>QH44 L75 1980</t>
  </si>
  <si>
    <t>0                      QH 0044000L  75          1980</t>
  </si>
  <si>
    <t>Linnaeus, progress and prospects in Linnaean research / edited by Gunnar Broberg.</t>
  </si>
  <si>
    <t>Stockholm, Sweden : Almqvist &amp; Wiksell International ; Pittsburgh, Pa. : Hunt Institute for Botanical Documentation, 1980.</t>
  </si>
  <si>
    <t>2015-11-03</t>
  </si>
  <si>
    <t>29123189:eng</t>
  </si>
  <si>
    <t>7542944</t>
  </si>
  <si>
    <t>ocm07542944</t>
  </si>
  <si>
    <t>3001027091R</t>
  </si>
  <si>
    <t>9780913196311</t>
  </si>
  <si>
    <t>792564499</t>
  </si>
  <si>
    <t>QH45.2 L68 2001</t>
  </si>
  <si>
    <t>0                      QH 0045200L  68          2001</t>
  </si>
  <si>
    <t>Rhetoric and natural history : Buffon in polemical and literary context / Jeff Loveland.</t>
  </si>
  <si>
    <t>Loveland, Jeff.</t>
  </si>
  <si>
    <t>Oxford : Voltaire Foundation, 2001.</t>
  </si>
  <si>
    <t>Studies on Voltaire and the eighteenth century, 0435-2866 ; 2001:03</t>
  </si>
  <si>
    <t>366076095:eng</t>
  </si>
  <si>
    <t>46985295</t>
  </si>
  <si>
    <t>ocm46985295</t>
  </si>
  <si>
    <t>31021685083</t>
  </si>
  <si>
    <t>9780729407472</t>
  </si>
  <si>
    <t>793696083</t>
  </si>
  <si>
    <t>QH45.5 K46 2017</t>
  </si>
  <si>
    <t>0                      QH 0045500K  46          2017</t>
  </si>
  <si>
    <t>The lost species : great expeditions in the collections of natural history museums / Christopher Kemp.</t>
  </si>
  <si>
    <t>Kemp, Christopher, author.</t>
  </si>
  <si>
    <t>Chicago, IL : The University of Chicago Press, 2017.</t>
  </si>
  <si>
    <t>5068544967:eng</t>
  </si>
  <si>
    <t>983799177</t>
  </si>
  <si>
    <t>ocn983799177</t>
  </si>
  <si>
    <t>3103738058D</t>
  </si>
  <si>
    <t>9780226386218</t>
  </si>
  <si>
    <t>795034880</t>
  </si>
  <si>
    <t>QH45.5 M67 1989</t>
  </si>
  <si>
    <t>0                      QH 0045500M  67          1989</t>
  </si>
  <si>
    <t>L'oeil américain : histoires naturelles du Nouveau Monde / Pierre Morency ; illustrations de Pierre Lussier.</t>
  </si>
  <si>
    <t>Morency, Pierre, 1942-</t>
  </si>
  <si>
    <t>[Montréal] : Boréal, 1989.</t>
  </si>
  <si>
    <t>2016-07-20</t>
  </si>
  <si>
    <t>365449888:fre</t>
  </si>
  <si>
    <t>321011940</t>
  </si>
  <si>
    <t>ocn321011940</t>
  </si>
  <si>
    <t>31004159111</t>
  </si>
  <si>
    <t>9782890523081</t>
  </si>
  <si>
    <t>794488978</t>
  </si>
  <si>
    <t>QH45.5 M673 1996</t>
  </si>
  <si>
    <t>0                      QH 0045500M  673         1996</t>
  </si>
  <si>
    <t>La vie entière : histoires naturelles du Nouveau Monde / Pierre Morency ; illustrations de Pierre Lussier.</t>
  </si>
  <si>
    <t>345600510:fre</t>
  </si>
  <si>
    <t>35977590</t>
  </si>
  <si>
    <t>ocm35977590</t>
  </si>
  <si>
    <t>3102809509Q</t>
  </si>
  <si>
    <t>9782890527577</t>
  </si>
  <si>
    <t>793463084</t>
  </si>
  <si>
    <t>QH46.5 S65 2006</t>
  </si>
  <si>
    <t>0                      QH 0046500S  65          2006</t>
  </si>
  <si>
    <t>Charles Darwin and Victorian visual culture / Jonathan Smith.</t>
  </si>
  <si>
    <t>Smith, Jonathan, 1960-</t>
  </si>
  <si>
    <t>Cambridge : Cambridge University Press, 2006.</t>
  </si>
  <si>
    <t>Cambridge studies in nineteenth-century literature and culture</t>
  </si>
  <si>
    <t>2016-09-12</t>
  </si>
  <si>
    <t>5616289344:eng</t>
  </si>
  <si>
    <t>62891595</t>
  </si>
  <si>
    <t>ocm62891595</t>
  </si>
  <si>
    <t>3102657287E</t>
  </si>
  <si>
    <t>9780521856904</t>
  </si>
  <si>
    <t>794113707</t>
  </si>
  <si>
    <t>QH70 A1 P46 2014</t>
  </si>
  <si>
    <t>0                      QH 0070000A  1                  P  46          2014</t>
  </si>
  <si>
    <t>Penser, classer, administrer : pour une histoire croisée des collections scientifiques / coordonné par Bertrand Daugeron &amp; Armelle Le Goff.</t>
  </si>
  <si>
    <t>Paris : Muséum national d'histoire naturelle, publications scientifiques : CTHS, [2014]</t>
  </si>
  <si>
    <t>Archives</t>
  </si>
  <si>
    <t>2053696185:fre</t>
  </si>
  <si>
    <t>871670880</t>
  </si>
  <si>
    <t>ocn871670880</t>
  </si>
  <si>
    <t>3103786519K</t>
  </si>
  <si>
    <t>9782856537466</t>
  </si>
  <si>
    <t>794967776</t>
  </si>
  <si>
    <t>QH70 A1 Y25 1999</t>
  </si>
  <si>
    <t>0                      QH 0070000A  1                  Y  25          1999</t>
  </si>
  <si>
    <t>Nature's museums : Victorian science and the architecture of display / Carla Yanni.</t>
  </si>
  <si>
    <t>Yanni, Carla.</t>
  </si>
  <si>
    <t>Baltimore, Md : Johns Hopkins University Press ; London : Althone Press, ©1999.</t>
  </si>
  <si>
    <t>2018-04-16</t>
  </si>
  <si>
    <t>941936:eng</t>
  </si>
  <si>
    <t>41540251</t>
  </si>
  <si>
    <t>ocm41540251</t>
  </si>
  <si>
    <t>31029644387</t>
  </si>
  <si>
    <t>9781568984728</t>
  </si>
  <si>
    <t>793593796</t>
  </si>
  <si>
    <t>QH70 G72 L6538 1981</t>
  </si>
  <si>
    <t>0                      QH 0070000G  72                 L  6538        1981</t>
  </si>
  <si>
    <t>The British Museum (Natural History) / text by Peter Whitehead ; photographs by Colin Keates.</t>
  </si>
  <si>
    <t>Whitehead, Peter James Palmer.</t>
  </si>
  <si>
    <t>London : P. Wilson, 1981.</t>
  </si>
  <si>
    <t>325306456:eng</t>
  </si>
  <si>
    <t>8115111</t>
  </si>
  <si>
    <t>ocm08115111</t>
  </si>
  <si>
    <t>3001026448H</t>
  </si>
  <si>
    <t>9780856671081</t>
  </si>
  <si>
    <t>792599722</t>
  </si>
  <si>
    <t>QH71 V6 A28 no.34 1995</t>
  </si>
  <si>
    <t>0                      QH 0071000V  6                  A  28                                no.34 1995</t>
  </si>
  <si>
    <t>Food plants of coastal First Peoples / Nancy J. Turner.</t>
  </si>
  <si>
    <t>no.34 1995*</t>
  </si>
  <si>
    <t>Turner, Nancy J., 1947-</t>
  </si>
  <si>
    <t>Vancouver : UBC Press, ©1995.</t>
  </si>
  <si>
    <t>Royal British Columbia Museum handbook</t>
  </si>
  <si>
    <t>2016-11-14</t>
  </si>
  <si>
    <t>39907573:eng</t>
  </si>
  <si>
    <t>34143811</t>
  </si>
  <si>
    <t>ocm34143811</t>
  </si>
  <si>
    <t>3101537063I</t>
  </si>
  <si>
    <t>9780774805339</t>
  </si>
  <si>
    <t>793420079</t>
  </si>
  <si>
    <t>QH75 A1 N3345 2002</t>
  </si>
  <si>
    <t>0                      QH 0075000A  1                  N  3345        2002</t>
  </si>
  <si>
    <t>The role of biodiversity conservation in the transition to rural sustainability / edited by Stephen S. Light.</t>
  </si>
  <si>
    <t>NATO Advanced Research Workshop on the Role of Biodiversity Conservation in the Transition to Rural Sustainability (2002 : Kraków, Poland)</t>
  </si>
  <si>
    <t>Amsterdam ; Washington, DC : IOS Press, ©2004.</t>
  </si>
  <si>
    <t>NATO science series. Series V, Science and technology policy, 1387-6708 ; v. 41</t>
  </si>
  <si>
    <t>2018-01-10</t>
  </si>
  <si>
    <t>902985848:eng</t>
  </si>
  <si>
    <t>54512536</t>
  </si>
  <si>
    <t>ocm54512536</t>
  </si>
  <si>
    <t>3102456703V</t>
  </si>
  <si>
    <t>9781586033958</t>
  </si>
  <si>
    <t>793863525</t>
  </si>
  <si>
    <t>QH75 A3 I58 2001</t>
  </si>
  <si>
    <t>0                      QH 0075000A  3                  I  58          2001</t>
  </si>
  <si>
    <t>International Cosmos Prize, 2000 = 2000-nen Hana no Banpaku kinen "Kosumosu Kokusaishō."</t>
  </si>
  <si>
    <t>Osaka, Japan : Commemorative Foundation for the International Garden and Greenery Exposition, Osaka, Japan, 1990, [2001]</t>
  </si>
  <si>
    <t>5392027399:eng</t>
  </si>
  <si>
    <t>46516170</t>
  </si>
  <si>
    <t>ocm46516170</t>
  </si>
  <si>
    <t>31024329436</t>
  </si>
  <si>
    <t>793686272</t>
  </si>
  <si>
    <t>QH75 A425 2011</t>
  </si>
  <si>
    <t>0                      QH 0075000A  425         2011</t>
  </si>
  <si>
    <t>Strategic conservation planning / Ole M. Amundsen III.</t>
  </si>
  <si>
    <t>Amundsen, Ole M., III (Ole Martin), 1967- author.</t>
  </si>
  <si>
    <t>Washington, DC : Land Trust Alliance, [2011], ©2011.</t>
  </si>
  <si>
    <t>Standards and practices curriculum</t>
  </si>
  <si>
    <t>1072283601:eng</t>
  </si>
  <si>
    <t>772503070</t>
  </si>
  <si>
    <t>ocn772503070</t>
  </si>
  <si>
    <t>3103412348R</t>
  </si>
  <si>
    <t>9780943915296</t>
  </si>
  <si>
    <t>794904640</t>
  </si>
  <si>
    <t>QH75 B5324 1994</t>
  </si>
  <si>
    <t>0                      QH 0075000B  5324        1994</t>
  </si>
  <si>
    <t>Biodiversity data sourcebook / compiled by the World Conservation Monitoring Centre ; editor, Brian Groombridge ; advisory editor, Martin Jenkins ; in collaboration with IUCN - The World Conservation Union, United Nations Environment Programme, World Wide Fund for Nature.</t>
  </si>
  <si>
    <t>Cambridge, UK : World Conservation Press, 1994.</t>
  </si>
  <si>
    <t>WCMC biodiversity series ; no. 1</t>
  </si>
  <si>
    <t>364526946:eng</t>
  </si>
  <si>
    <t>32394776</t>
  </si>
  <si>
    <t>ocm32394776</t>
  </si>
  <si>
    <t>3101804347G</t>
  </si>
  <si>
    <t>9781899628001</t>
  </si>
  <si>
    <t>793382972</t>
  </si>
  <si>
    <t>QH75 B562 1997</t>
  </si>
  <si>
    <t>0                      QH 0075000B  562         1997</t>
  </si>
  <si>
    <t>La biodiversité, tout conserver ou tout exploiter? / textes réunis par Marie-Hélène Parizeau ; avec les contributions d'A. Beauchamp ... [et al.].</t>
  </si>
  <si>
    <t>Paris : De Boeck Université, ©1997.</t>
  </si>
  <si>
    <t>Sciences, éthiques, sociétés, 0778-4082</t>
  </si>
  <si>
    <t>2016-10-27</t>
  </si>
  <si>
    <t>365427970:fre</t>
  </si>
  <si>
    <t>39868585</t>
  </si>
  <si>
    <t>ocm39868585</t>
  </si>
  <si>
    <t>3102154210H</t>
  </si>
  <si>
    <t>9782804125936</t>
  </si>
  <si>
    <t>793555628</t>
  </si>
  <si>
    <t>QH75 B76 1989</t>
  </si>
  <si>
    <t>0                      QH 0075000B  76          1989</t>
  </si>
  <si>
    <t>The Greenpeace story / Michael Brown &amp; John May.</t>
  </si>
  <si>
    <t>Brown, Michael H. (Michael Harold), 1952-</t>
  </si>
  <si>
    <t>Scarborough, Ont. : Prentice-Hall Canada, 1989.</t>
  </si>
  <si>
    <t>17902057:eng</t>
  </si>
  <si>
    <t>18877248</t>
  </si>
  <si>
    <t>ocm18877248</t>
  </si>
  <si>
    <t>3101183990Y</t>
  </si>
  <si>
    <t>9780133653052</t>
  </si>
  <si>
    <t>793040123</t>
  </si>
  <si>
    <t>QH75 C735 2018</t>
  </si>
  <si>
    <t>0                      QH 0075000C  735         2018</t>
  </si>
  <si>
    <t>Abundant Earth : toward an ecological civilization / Eileen Crist.</t>
  </si>
  <si>
    <t>Crist, Eileen, 1961- author.</t>
  </si>
  <si>
    <t>Chicago, IL ; London : The University of Chicago Press, 2019.</t>
  </si>
  <si>
    <t>4824224756:eng</t>
  </si>
  <si>
    <t>1028893800</t>
  </si>
  <si>
    <t>on1028893800</t>
  </si>
  <si>
    <t>31038123644</t>
  </si>
  <si>
    <t>9780226596778</t>
  </si>
  <si>
    <t>795053572</t>
  </si>
  <si>
    <t>QH75 D87 1986</t>
  </si>
  <si>
    <t>0                      QH 0075000D  87          1986</t>
  </si>
  <si>
    <t>State of the ark / Lee Durrell ; researched by IUCN ; [foreword by Gerald Durrell].</t>
  </si>
  <si>
    <t>Durrell, Lee.</t>
  </si>
  <si>
    <t>Garden City, N.Y. : Doubleday, ©1986.</t>
  </si>
  <si>
    <t>7519711:eng</t>
  </si>
  <si>
    <t>13581735</t>
  </si>
  <si>
    <t>ocm13581735</t>
  </si>
  <si>
    <t>3001039070J</t>
  </si>
  <si>
    <t>9780385236683</t>
  </si>
  <si>
    <t>792858793</t>
  </si>
  <si>
    <t>QH75 G68</t>
  </si>
  <si>
    <t>0                      QH 0075000G  68</t>
  </si>
  <si>
    <t>Since Silent spring / Frank Graham, Jr.</t>
  </si>
  <si>
    <t>Graham, Frank, 1925-</t>
  </si>
  <si>
    <t>Boston : Houghton-Mifflin, 1970.</t>
  </si>
  <si>
    <t>2013-10-10</t>
  </si>
  <si>
    <t>1186545:eng</t>
  </si>
  <si>
    <t>55770</t>
  </si>
  <si>
    <t>ocm00055770</t>
  </si>
  <si>
    <t>31029644533</t>
  </si>
  <si>
    <t>791241229</t>
  </si>
  <si>
    <t>3001049454W</t>
  </si>
  <si>
    <t>791241226</t>
  </si>
  <si>
    <t>QH75 G75 1992</t>
  </si>
  <si>
    <t>0                      QH 0075000G  75          1992</t>
  </si>
  <si>
    <t>Ghost bears : exploring the biodiversity crisis / R. Edward Grumbine ; foreword by Michael E. Soulé.</t>
  </si>
  <si>
    <t>Grumbine, R. Edward.</t>
  </si>
  <si>
    <t>Washington, D.C. : Island Press, ©1992.</t>
  </si>
  <si>
    <t>865012096:eng</t>
  </si>
  <si>
    <t>25711431</t>
  </si>
  <si>
    <t>ocm25711431</t>
  </si>
  <si>
    <t>3101441464V</t>
  </si>
  <si>
    <t>9781559631525</t>
  </si>
  <si>
    <t>793228333</t>
  </si>
  <si>
    <t>QH75 L36 1993</t>
  </si>
  <si>
    <t>0                      QH 0075000L  36          1993</t>
  </si>
  <si>
    <t>The Last extinction / edited by Les Kaufman and Kenneth Mallory.</t>
  </si>
  <si>
    <t>2018-05-30</t>
  </si>
  <si>
    <t>355755472:eng</t>
  </si>
  <si>
    <t>27769089</t>
  </si>
  <si>
    <t>ocm27769089</t>
  </si>
  <si>
    <t>3101468382N</t>
  </si>
  <si>
    <t>9780262111799</t>
  </si>
  <si>
    <t>793271613</t>
  </si>
  <si>
    <t>QH75 P628 2003</t>
  </si>
  <si>
    <t>0                      QH 0075000P  628         2003</t>
  </si>
  <si>
    <t>Rivers for life : managing water for people and nature / Sandra Postel and Brian Richter.</t>
  </si>
  <si>
    <t>Postel, Sandra.</t>
  </si>
  <si>
    <t>Washington : Island Press, ©2003.</t>
  </si>
  <si>
    <t>794174122:eng</t>
  </si>
  <si>
    <t>51898972</t>
  </si>
  <si>
    <t>ocm51898972</t>
  </si>
  <si>
    <t>31027407291</t>
  </si>
  <si>
    <t>9781559634434</t>
  </si>
  <si>
    <t>793793772</t>
  </si>
  <si>
    <t>QH75 R34 2003</t>
  </si>
  <si>
    <t>0                      QH 0075000R  34          2003</t>
  </si>
  <si>
    <t>Who guards the guardians? : intercultural dialogue on environmental guardianship / Peter Raine.</t>
  </si>
  <si>
    <t>Raine, Peter.</t>
  </si>
  <si>
    <t>Lanham : University Press of America, ©2003.</t>
  </si>
  <si>
    <t>2017-10-11</t>
  </si>
  <si>
    <t>287962999:eng</t>
  </si>
  <si>
    <t>52896345</t>
  </si>
  <si>
    <t>ocm52896345</t>
  </si>
  <si>
    <t>31023133273</t>
  </si>
  <si>
    <t>9780761825814</t>
  </si>
  <si>
    <t>793816776</t>
  </si>
  <si>
    <t>QH75 R87 2003</t>
  </si>
  <si>
    <t>0                      QH 0075000R  87          2003</t>
  </si>
  <si>
    <t>Groundwork for community-based conservation : strategies for social research / Diane Russell and Camilla Harshbarger.</t>
  </si>
  <si>
    <t>Russell, Diane, 1950-</t>
  </si>
  <si>
    <t>Walnut Creek, CA : AltaMira Press, ©2003.</t>
  </si>
  <si>
    <t>436841142:eng</t>
  </si>
  <si>
    <t>49602045</t>
  </si>
  <si>
    <t>ocm49602045</t>
  </si>
  <si>
    <t>3102291487$</t>
  </si>
  <si>
    <t>9780742504370</t>
  </si>
  <si>
    <t>793743820</t>
  </si>
  <si>
    <t>QH75 S4785 1993</t>
  </si>
  <si>
    <t>0                      QH 0075000S  4785        1993</t>
  </si>
  <si>
    <t>Monocultures of the mind : perspectives on biodiversity and biotechnology / Vandana Shiva.</t>
  </si>
  <si>
    <t>Shiva, Vandana.</t>
  </si>
  <si>
    <t>London, UK ; Atlantic Highlands, N.J., USA : Zed Books ; Penang, Malaysia : Third World Network, ©1993.</t>
  </si>
  <si>
    <t>391553:eng</t>
  </si>
  <si>
    <t>28880450</t>
  </si>
  <si>
    <t>ocm28880450</t>
  </si>
  <si>
    <t>3102439939H</t>
  </si>
  <si>
    <t>9781856492171</t>
  </si>
  <si>
    <t>793298364</t>
  </si>
  <si>
    <t>QH75 T235 1996</t>
  </si>
  <si>
    <t>0                      QH 0075000T  235         1996</t>
  </si>
  <si>
    <t>The idea of biodiversity : philosophies of paradise / David Takacs.</t>
  </si>
  <si>
    <t>Takacs, David.</t>
  </si>
  <si>
    <t>Baltimore : Johns Hopkins University Press, 1996.</t>
  </si>
  <si>
    <t>141751149:eng</t>
  </si>
  <si>
    <t>34545007</t>
  </si>
  <si>
    <t>ocm34545007</t>
  </si>
  <si>
    <t>3101727186V</t>
  </si>
  <si>
    <t>9780801854002</t>
  </si>
  <si>
    <t>793429262</t>
  </si>
  <si>
    <t>QH75 V374 2000</t>
  </si>
  <si>
    <t>0                      QH 0075000V  374         2000</t>
  </si>
  <si>
    <t>The economics of nature : managing biological assets / G. Cornelis van Kooten, Erwin H. Bulte.</t>
  </si>
  <si>
    <t>Van Kooten, G. C. (Gerrit Cornelis)</t>
  </si>
  <si>
    <t>Malden, Mass. : Blackwell Publishers, 2000.</t>
  </si>
  <si>
    <t>2016-03-05</t>
  </si>
  <si>
    <t>20797308:eng</t>
  </si>
  <si>
    <t>42080294</t>
  </si>
  <si>
    <t>ocm42080294</t>
  </si>
  <si>
    <t>3102091085T</t>
  </si>
  <si>
    <t>9780631218944</t>
  </si>
  <si>
    <t>793602739</t>
  </si>
  <si>
    <t>QH75 W667 2001</t>
  </si>
  <si>
    <t>0                      QH 0075000W  667         2001</t>
  </si>
  <si>
    <t>The world and the wild / edited by David Rothenberg, Marta Ulvaeus.</t>
  </si>
  <si>
    <t>Tucson : University of Arizona Press, ©2001.</t>
  </si>
  <si>
    <t>355240525:eng</t>
  </si>
  <si>
    <t>44420664</t>
  </si>
  <si>
    <t>ocm44420664</t>
  </si>
  <si>
    <t>31022924541</t>
  </si>
  <si>
    <t>9780816520633</t>
  </si>
  <si>
    <t>793645770</t>
  </si>
  <si>
    <t>QH76 B87 2001</t>
  </si>
  <si>
    <t>0                      QH 0076000B  87          2001</t>
  </si>
  <si>
    <t>Fate of the wild : the Endangered Species Act and the future of biodiversity / Bonnie B. Burgess.</t>
  </si>
  <si>
    <t>Burgess, Bonnie B., 1946-</t>
  </si>
  <si>
    <t>Athens : University of Georgia Press, ©2001.</t>
  </si>
  <si>
    <t>2016-09-30</t>
  </si>
  <si>
    <t>796904155:eng</t>
  </si>
  <si>
    <t>45362678</t>
  </si>
  <si>
    <t>ocm45362678</t>
  </si>
  <si>
    <t>31022715748</t>
  </si>
  <si>
    <t>9780820322964</t>
  </si>
  <si>
    <t>793670079</t>
  </si>
  <si>
    <t>QH76 R43 2003</t>
  </si>
  <si>
    <t>0                      QH 0076000R  43          2003</t>
  </si>
  <si>
    <t>Reconstructing conservation : finding common ground / edited by Ben A. Minteer and Robert E. Manning.</t>
  </si>
  <si>
    <t>838757691:eng</t>
  </si>
  <si>
    <t>52127912</t>
  </si>
  <si>
    <t>ocm52127912</t>
  </si>
  <si>
    <t>3102347756S</t>
  </si>
  <si>
    <t>9781559633505</t>
  </si>
  <si>
    <t>793799052</t>
  </si>
  <si>
    <t>QH76 Z82</t>
  </si>
  <si>
    <t>0                      QH 0076000Z  82</t>
  </si>
  <si>
    <t>Landscape assessment: values, perceptions and resources. Edited by Ervin H. Zube, Robert O. Brush [and] Julius Gy. Fabos.</t>
  </si>
  <si>
    <t>Zube, Ervin H.</t>
  </si>
  <si>
    <t>Stroudsburg, Pa., Dowden, Hutchinson &amp; Ross; distributed by Halsted Press [New York], [1975]</t>
  </si>
  <si>
    <t>Community development series ; 11</t>
  </si>
  <si>
    <t>2016-01-15</t>
  </si>
  <si>
    <t>1074899105:eng</t>
  </si>
  <si>
    <t>980316</t>
  </si>
  <si>
    <t>ocm00980316</t>
  </si>
  <si>
    <t>31029644573</t>
  </si>
  <si>
    <t>9780470984239</t>
  </si>
  <si>
    <t>791517405</t>
  </si>
  <si>
    <t>3001038247B</t>
  </si>
  <si>
    <t>791517404</t>
  </si>
  <si>
    <t>QH76.5 Y45 C47 1986</t>
  </si>
  <si>
    <t>0                      QH 0076500Y  45                 C  47          1986</t>
  </si>
  <si>
    <t>Playing God in Yellowstone : the destruction of America's first national park / by Alston Chase.</t>
  </si>
  <si>
    <t>Chase, Alston.</t>
  </si>
  <si>
    <t>Boston : Atlantic Monthly Press, ©1986.</t>
  </si>
  <si>
    <t>912995334:eng</t>
  </si>
  <si>
    <t>13095393</t>
  </si>
  <si>
    <t>ocm13095393</t>
  </si>
  <si>
    <t>31006735180</t>
  </si>
  <si>
    <t>9780871130259</t>
  </si>
  <si>
    <t>792840275</t>
  </si>
  <si>
    <t>QH76.5 Y45 P75 1999</t>
  </si>
  <si>
    <t>0                      QH 0076500Y  45                 P  75          1999</t>
  </si>
  <si>
    <t>Preserving Yellowstone's natural conditions : science and the perception of nature / James A. Pritchard.</t>
  </si>
  <si>
    <t>Pritchard, James A., 1954-</t>
  </si>
  <si>
    <t>Lincoln : University of Nebraska Press, ©1999.</t>
  </si>
  <si>
    <t>368384358:eng</t>
  </si>
  <si>
    <t>40408755</t>
  </si>
  <si>
    <t>ocm40408755</t>
  </si>
  <si>
    <t>3102010809T</t>
  </si>
  <si>
    <t>9780803237223</t>
  </si>
  <si>
    <t>793565984</t>
  </si>
  <si>
    <t>QH77 A533 C66 2010</t>
  </si>
  <si>
    <t>0                      QH 0077000A  533                C  66          2010</t>
  </si>
  <si>
    <t>Conservation capital in the Americas : exemplary conservation finance initiatives / editor, James N. Levitt ; assistant editor, Shannon Meyer.</t>
  </si>
  <si>
    <t>Cambridge, Massachusetts : Lincoln Institute of Land Policy, [2010]</t>
  </si>
  <si>
    <t>858180490:eng</t>
  </si>
  <si>
    <t>476832891</t>
  </si>
  <si>
    <t>ocn476832891</t>
  </si>
  <si>
    <t>3103344965P</t>
  </si>
  <si>
    <t>9781558442078</t>
  </si>
  <si>
    <t>794798737</t>
  </si>
  <si>
    <t>QH77.B45 K53 2006</t>
  </si>
  <si>
    <t>0                      QH 0077000B  45                 K  53          2006</t>
  </si>
  <si>
    <t>ʼBrug gi raṅ bźin phun tshogs = The natural world of Bhutan / [managing editor &amp; project co-ordinator, Kama Wangdi ; Dzongkha translation, Dorji Gyeltshen and Tshering Tobgay ; English text, Frances Klatzel and K.E.S. Kirby ; illustrations, Sonam Tshering ... (et al.)].</t>
  </si>
  <si>
    <t>Klatzel, Frances.</t>
  </si>
  <si>
    <t>[Thimphu] : [World Wildlife Fund Bhutan Programme]: [Royal Society for the Protection of Nature], [2006]</t>
  </si>
  <si>
    <t>1. par theṅs.</t>
  </si>
  <si>
    <t>dzo</t>
  </si>
  <si>
    <t>114119564:dzo</t>
  </si>
  <si>
    <t>173219334</t>
  </si>
  <si>
    <t>ocn173219334</t>
  </si>
  <si>
    <t>31037478977</t>
  </si>
  <si>
    <t>794265594</t>
  </si>
  <si>
    <t>QH77 B67 W33 2005</t>
  </si>
  <si>
    <t>0                      QH 0077000B  67                 W  33          2005</t>
  </si>
  <si>
    <t>Histories of the Borneo environment : economic, political and social dimensions of change and continuity / edited by Reed L. Wadley.</t>
  </si>
  <si>
    <t>Leiden : KITLV Press, 2005.</t>
  </si>
  <si>
    <t>Verhandelingen van het Koninklijk Instituut voor Taal-, Land- en Volkenkunde ; 231</t>
  </si>
  <si>
    <t>2014-06-19</t>
  </si>
  <si>
    <t>864912397:eng</t>
  </si>
  <si>
    <t>63177386</t>
  </si>
  <si>
    <t>ocm63177386</t>
  </si>
  <si>
    <t>3102587846W</t>
  </si>
  <si>
    <t>9789067182546</t>
  </si>
  <si>
    <t>794119470</t>
  </si>
  <si>
    <t>QH77 C2 B62 2000</t>
  </si>
  <si>
    <t>0                      QH 0077000C  2                  B  62          2000</t>
  </si>
  <si>
    <t>Biodiversity in Canada : ecology, ideas, and action / edited by Stephen Bocking.</t>
  </si>
  <si>
    <t>Peterborough, Ont. : Broadview Press, c2000.</t>
  </si>
  <si>
    <t>855167208:eng</t>
  </si>
  <si>
    <t>42138169</t>
  </si>
  <si>
    <t>ocm42138169</t>
  </si>
  <si>
    <t>3102734176Z</t>
  </si>
  <si>
    <t>9781551112381</t>
  </si>
  <si>
    <t>793602931</t>
  </si>
  <si>
    <t>QH77 C2 C345 1995</t>
  </si>
  <si>
    <t>0                      QH 0077000C  2                  C  345         1995</t>
  </si>
  <si>
    <t>Canadian biodiversity strategy : Canada's response to the Convention on Biological Diversity.</t>
  </si>
  <si>
    <t>Hull, Quebec, Canada : Biodiversity Convention Office, Environment Canada, 1995.</t>
  </si>
  <si>
    <t>2002-11-12</t>
  </si>
  <si>
    <t>5337129303:eng</t>
  </si>
  <si>
    <t>35688342</t>
  </si>
  <si>
    <t>ocm35688342</t>
  </si>
  <si>
    <t>31015447184</t>
  </si>
  <si>
    <t>9780662232216</t>
  </si>
  <si>
    <t>793455046</t>
  </si>
  <si>
    <t>QH77 C8 S74 2001</t>
  </si>
  <si>
    <t>0                      QH 0077000C  8                  S  74          2001</t>
  </si>
  <si>
    <t>Environmental leadership in developing countries : transnational relations and biodiversity policy in Costa Rica and Bolivia / Paul F. Steinberg.</t>
  </si>
  <si>
    <t>Steinberg, Paul F.</t>
  </si>
  <si>
    <t>American and comparative environmental policy</t>
  </si>
  <si>
    <t>2016-11-07</t>
  </si>
  <si>
    <t>687645628:eng</t>
  </si>
  <si>
    <t>46472305</t>
  </si>
  <si>
    <t>ocm46472305</t>
  </si>
  <si>
    <t>31021491874</t>
  </si>
  <si>
    <t>9780262194655</t>
  </si>
  <si>
    <t>793685592</t>
  </si>
  <si>
    <t>QH77 E925 R57 2000</t>
  </si>
  <si>
    <t>0                      QH 0077000E  925                R  57          2000</t>
  </si>
  <si>
    <t>The transformation of coastal wetlands : exploitation and management of marshland landscapes in North West Europe during the Roman and medieval periods / Stephen Rippon.</t>
  </si>
  <si>
    <t>Rippon, Stephen, 1968-</t>
  </si>
  <si>
    <t>A British Academy postdoctoral fellowship monograph</t>
  </si>
  <si>
    <t>836993930:eng</t>
  </si>
  <si>
    <t>45485036</t>
  </si>
  <si>
    <t>ocm45485036</t>
  </si>
  <si>
    <t>3102126216D</t>
  </si>
  <si>
    <t>9780197262290</t>
  </si>
  <si>
    <t>793672453</t>
  </si>
  <si>
    <t>QH77 F7 R46 2010</t>
  </si>
  <si>
    <t>0                      QH 0077000F  7                  R  46          2010</t>
  </si>
  <si>
    <t>Patrimoine et biodiversité : cinquièmes Rencontres patrimoniales de Périgueux / [coordination des textes et organisation du colloque, Dominique Audrerie].</t>
  </si>
  <si>
    <t>Rencontres patrimoniales de Périgueux (5th : 2010 : Périgueux)</t>
  </si>
  <si>
    <t>Pessac : Presses universitaires de Bordeaux, 2011.</t>
  </si>
  <si>
    <t>1086948930:fre</t>
  </si>
  <si>
    <t>815656473</t>
  </si>
  <si>
    <t>ocn815656473</t>
  </si>
  <si>
    <t>31034829843</t>
  </si>
  <si>
    <t>9782867817564</t>
  </si>
  <si>
    <t>794932643</t>
  </si>
  <si>
    <t>QH77 G7 G75 2017</t>
  </si>
  <si>
    <t>0                      QH 0077000G  7                  G  75          2017</t>
  </si>
  <si>
    <t>Outskirts : living life on the edge of the green belt / John Grinrod ; [illustrations by Eleanor Crow].</t>
  </si>
  <si>
    <t>Grindrod, John, author.</t>
  </si>
  <si>
    <t>London, England : Sceptre, 2017.</t>
  </si>
  <si>
    <t>4071129579:eng</t>
  </si>
  <si>
    <t>951999016</t>
  </si>
  <si>
    <t>ocn951999016</t>
  </si>
  <si>
    <t>31036558280</t>
  </si>
  <si>
    <t>9781473625020</t>
  </si>
  <si>
    <t>795017921</t>
  </si>
  <si>
    <t>QH77 G8 T54 2003</t>
  </si>
  <si>
    <t>0                      QH 0077000G  8                  T  54          2003</t>
  </si>
  <si>
    <t>Troubles with turtles : cultural understandings of the environment on a Greek island / Dimitrios Theodossopoulos.</t>
  </si>
  <si>
    <t>Theodossopoulos, Dimitrios.</t>
  </si>
  <si>
    <t>New York : Berghahn Books, 2003.</t>
  </si>
  <si>
    <t>New directions in anthropology ; v. 16</t>
  </si>
  <si>
    <t>223319736:eng</t>
  </si>
  <si>
    <t>49727758</t>
  </si>
  <si>
    <t>ocm49727758</t>
  </si>
  <si>
    <t>3102309130P</t>
  </si>
  <si>
    <t>9781571815965</t>
  </si>
  <si>
    <t>793746651</t>
  </si>
  <si>
    <t>QH77 L25 T73 1996</t>
  </si>
  <si>
    <t>0                      QH 0077000L  25                 T  73          1996</t>
  </si>
  <si>
    <t>Traditional peoples and biodiversity conservation in large tropical landscapes / edited by Kent H. Redford and Jane A. Mansour.</t>
  </si>
  <si>
    <t>Arlington, VA : Nature Conservancy, 1996.</t>
  </si>
  <si>
    <t>America Verde</t>
  </si>
  <si>
    <t>46005007:eng</t>
  </si>
  <si>
    <t>36444182</t>
  </si>
  <si>
    <t>ocm36444182</t>
  </si>
  <si>
    <t>3103006010I</t>
  </si>
  <si>
    <t>9781886765023</t>
  </si>
  <si>
    <t>793475457</t>
  </si>
  <si>
    <t>QH77 N56 F66 2004</t>
  </si>
  <si>
    <t>0                      QH 0077000N  56                 F  66          2004</t>
  </si>
  <si>
    <t>Rewilding North America : a vision for conservation in the 21st century / Dave Foreman.</t>
  </si>
  <si>
    <t>Foreman, Dave, 1946-</t>
  </si>
  <si>
    <t>Washington : Island Press, ©2004.</t>
  </si>
  <si>
    <t>794174116:eng</t>
  </si>
  <si>
    <t>54400145</t>
  </si>
  <si>
    <t>ocm54400145</t>
  </si>
  <si>
    <t>31024103523</t>
  </si>
  <si>
    <t>9781559630603</t>
  </si>
  <si>
    <t>793860957</t>
  </si>
  <si>
    <t>QH77 N56 P735 1996</t>
  </si>
  <si>
    <t>0                      QH 0077000N  56                 P  735         1996</t>
  </si>
  <si>
    <t>Prairie conservation : preserving North America's most endangered ecosystem / edited by Fred B. Samson and Fritz L. Knopf ; foreword by E. Benjamin Nelson.</t>
  </si>
  <si>
    <t>Washington, D.C. : Island Press, 1996.</t>
  </si>
  <si>
    <t>890007103:eng</t>
  </si>
  <si>
    <t>34476273</t>
  </si>
  <si>
    <t>ocm34476273</t>
  </si>
  <si>
    <t>3101846533M</t>
  </si>
  <si>
    <t>9781559634274</t>
  </si>
  <si>
    <t>793427562</t>
  </si>
  <si>
    <t>QH77 S6 B45 2003</t>
  </si>
  <si>
    <t>0                      QH 0077000S  6                  B  45          2003</t>
  </si>
  <si>
    <t>The rise of conservation in South Africa : settlers, livestock, and the environment 1770-1950 / William Beinart.</t>
  </si>
  <si>
    <t>Beinart, William.</t>
  </si>
  <si>
    <t>Oxford ; New York : Oxford University Press, ©2003.</t>
  </si>
  <si>
    <t>839272179:eng</t>
  </si>
  <si>
    <t>52327522</t>
  </si>
  <si>
    <t>ocm52327522</t>
  </si>
  <si>
    <t>3102341192P</t>
  </si>
  <si>
    <t>9780199261512</t>
  </si>
  <si>
    <t>793803569</t>
  </si>
  <si>
    <t>QH77 T9 R43 2018</t>
  </si>
  <si>
    <t>0                      QH 0077000T  9                  R  43          2018</t>
  </si>
  <si>
    <t>Recent researches in science and landscape management / edited by Recep Efe, Murat Zencirkiran and İsa Curebal.</t>
  </si>
  <si>
    <t>Newcastle upon Tyne : Cambridge Scholars Publishing, 2018.</t>
  </si>
  <si>
    <t>5107751134:eng</t>
  </si>
  <si>
    <t>1035514518</t>
  </si>
  <si>
    <t>on1035514518</t>
  </si>
  <si>
    <t>3103703827Z</t>
  </si>
  <si>
    <t>9781527510876</t>
  </si>
  <si>
    <t>795057679</t>
  </si>
  <si>
    <t>QH81 B887 1881</t>
  </si>
  <si>
    <t>0                      QH 0081000B  887         1881</t>
  </si>
  <si>
    <t>Winter sunshine.</t>
  </si>
  <si>
    <t>4</t>
  </si>
  <si>
    <t>Burroughs, John, 1837-1921.</t>
  </si>
  <si>
    <t>Boston, Houghton, Mifflin &amp; Co., 1881.</t>
  </si>
  <si>
    <t>4920300964:eng</t>
  </si>
  <si>
    <t>38879480</t>
  </si>
  <si>
    <t>ocm38879480</t>
  </si>
  <si>
    <t>3103060253Z</t>
  </si>
  <si>
    <t>793532056</t>
  </si>
  <si>
    <t>QH81 C3546 1998</t>
  </si>
  <si>
    <t>0                      QH 0081000C  3546        1998</t>
  </si>
  <si>
    <t>Lost woods : the discovered writing of Rachel Carson / edited and with an introduction by Linda Lear.</t>
  </si>
  <si>
    <t>Carson, Rachel, 1907-1964, author.</t>
  </si>
  <si>
    <t>Boston : Beacon Press, [1998]</t>
  </si>
  <si>
    <t>The Concord library</t>
  </si>
  <si>
    <t>1059371968:eng</t>
  </si>
  <si>
    <t>39013712</t>
  </si>
  <si>
    <t>ocm39013712</t>
  </si>
  <si>
    <t>3102332397K</t>
  </si>
  <si>
    <t>9780807085462</t>
  </si>
  <si>
    <t>793535829</t>
  </si>
  <si>
    <t>QH81 C3547 2018</t>
  </si>
  <si>
    <t>0                      QH 0081000C  3547        2018</t>
  </si>
  <si>
    <t>Silent spring &amp; other writings on the environment / Rachel Carson ; Sandra Steingraber, editor.</t>
  </si>
  <si>
    <t>[New York, NY] : The Library of America, [2018]</t>
  </si>
  <si>
    <t>The Library of America ; 307</t>
  </si>
  <si>
    <t>4826613576:eng</t>
  </si>
  <si>
    <t>1028993195</t>
  </si>
  <si>
    <t>on1028993195</t>
  </si>
  <si>
    <t>3103729582Y</t>
  </si>
  <si>
    <t>9781598535600</t>
  </si>
  <si>
    <t>795053667</t>
  </si>
  <si>
    <t>QH81 C63 1998</t>
  </si>
  <si>
    <t>0                      QH 0081000C  63          1998</t>
  </si>
  <si>
    <t>Nature : western attitudes since ancient times / Peter Coates.</t>
  </si>
  <si>
    <t>Coates, Peter A., 1957-</t>
  </si>
  <si>
    <t>Berkeley : University of California Press, ©1998.</t>
  </si>
  <si>
    <t>364727731:eng</t>
  </si>
  <si>
    <t>40241586</t>
  </si>
  <si>
    <t>ocm40241586</t>
  </si>
  <si>
    <t>3102629660D</t>
  </si>
  <si>
    <t>9780520217430</t>
  </si>
  <si>
    <t>793562547</t>
  </si>
  <si>
    <t>QH81 C663 2002</t>
  </si>
  <si>
    <t>0                      QH 0081000C  663         2002</t>
  </si>
  <si>
    <t>The colors of nature : culture, identity, and the natural world / edited by Alison H. Deming and Lauret E. Savoy.</t>
  </si>
  <si>
    <t>Minneapolis, Minn. : Milkweed Editions, 2002.</t>
  </si>
  <si>
    <t>902467156:eng</t>
  </si>
  <si>
    <t>49276633</t>
  </si>
  <si>
    <t>ocm49276633</t>
  </si>
  <si>
    <t>3102216512U</t>
  </si>
  <si>
    <t>9781571312679</t>
  </si>
  <si>
    <t>793736439</t>
  </si>
  <si>
    <t>QH81 D56 1974</t>
  </si>
  <si>
    <t>0                      QH 0081000D  56          1974</t>
  </si>
  <si>
    <t>Pilgrim at Tinker Creek / Annie Dillard.</t>
  </si>
  <si>
    <t>Dillard, Annie, author.</t>
  </si>
  <si>
    <t>New York : Harper's Magazine Press, 1974.</t>
  </si>
  <si>
    <t>First U.S. edition.</t>
  </si>
  <si>
    <t>510783:eng</t>
  </si>
  <si>
    <t>804986</t>
  </si>
  <si>
    <t>ocm00804986</t>
  </si>
  <si>
    <t>3101829107$</t>
  </si>
  <si>
    <t>9780061219801</t>
  </si>
  <si>
    <t>791474300</t>
  </si>
  <si>
    <t>QH81 D56 2007</t>
  </si>
  <si>
    <t>0                      QH 0081000D  56          2007</t>
  </si>
  <si>
    <t>Dillard, Annie.</t>
  </si>
  <si>
    <t>New York : HarperPerennial, 2007, ©1974.</t>
  </si>
  <si>
    <t>1st Harper Perennial modern classics ed.</t>
  </si>
  <si>
    <t>Harper Perennial modern classics</t>
  </si>
  <si>
    <t>144685093</t>
  </si>
  <si>
    <t>ocn144685093</t>
  </si>
  <si>
    <t>3103642754O</t>
  </si>
  <si>
    <t>9780061233326</t>
  </si>
  <si>
    <t>794236786</t>
  </si>
  <si>
    <t>QH81 L557 1991</t>
  </si>
  <si>
    <t>0                      QH 0081000L  557         1991</t>
  </si>
  <si>
    <t>The river of the mother of God and other essays / by Aldo Leopold ; edited by Susan L. Flader and J. Baird Callicott.</t>
  </si>
  <si>
    <t>Leopold, Aldo, 1886-1948.</t>
  </si>
  <si>
    <t>Madison, Wis. : University of Wisconsin Press, ©1991.</t>
  </si>
  <si>
    <t>20879858:eng</t>
  </si>
  <si>
    <t>22305488</t>
  </si>
  <si>
    <t>ocm22305488</t>
  </si>
  <si>
    <t>31033038909</t>
  </si>
  <si>
    <t>9780299127602</t>
  </si>
  <si>
    <t>793139901</t>
  </si>
  <si>
    <t>QH81 L56 1970</t>
  </si>
  <si>
    <t>0                      QH 0081000L  56          1970</t>
  </si>
  <si>
    <t>A Sand County almanac : with essays on conservation from Round River / Aldo Leopold ; illustrated by Charles W. Schwartz.</t>
  </si>
  <si>
    <t>New York : Oxford University Press [1970], ©1966.</t>
  </si>
  <si>
    <t>4536120036:eng</t>
  </si>
  <si>
    <t>7943103</t>
  </si>
  <si>
    <t>ocm07943103</t>
  </si>
  <si>
    <t>3103144970Z</t>
  </si>
  <si>
    <t>9780345295316</t>
  </si>
  <si>
    <t>792588383</t>
  </si>
  <si>
    <t>QH81 L56 1987</t>
  </si>
  <si>
    <t>0                      QH 0081000L  56          1987</t>
  </si>
  <si>
    <t>A Sand County almanac, and sketches here and there / by Aldo Leopold ; illustrated by Charles W. Schwartz ; introduction by Robert Finch.</t>
  </si>
  <si>
    <t>New York : Oxford University Press, 1987, ©1949.</t>
  </si>
  <si>
    <t>2543287:eng</t>
  </si>
  <si>
    <t>16405709</t>
  </si>
  <si>
    <t>ocm16405709</t>
  </si>
  <si>
    <t>3103612247M</t>
  </si>
  <si>
    <t>9780195053050</t>
  </si>
  <si>
    <t>792962302</t>
  </si>
  <si>
    <t>3102947949P</t>
  </si>
  <si>
    <t>792962301</t>
  </si>
  <si>
    <t>QH81 L56 2013</t>
  </si>
  <si>
    <t>0                      QH 0081000L  56          2013</t>
  </si>
  <si>
    <t>A Sand County almanac &amp; other writings on ecology and conservation / Aldo Leopold ; Curt Meine, editor.</t>
  </si>
  <si>
    <t>Leopold, Aldo, 1886-1948, author.</t>
  </si>
  <si>
    <t>New York : Library of America, [2013]</t>
  </si>
  <si>
    <t>Special commemorative ed.</t>
  </si>
  <si>
    <t>The Library of America ; 238</t>
  </si>
  <si>
    <t>1776744834:eng</t>
  </si>
  <si>
    <t>796756009</t>
  </si>
  <si>
    <t>ocn796756009</t>
  </si>
  <si>
    <t>31034040122</t>
  </si>
  <si>
    <t>9781598532067</t>
  </si>
  <si>
    <t>794922276</t>
  </si>
  <si>
    <t>QH81 L5614 2000</t>
  </si>
  <si>
    <t>0                      QH 0081000L  5614        2000</t>
  </si>
  <si>
    <t>Almanach d'un comté des sables suivi de : Quelques croquis / Aldo Leopold ; traduit de l'américain par Anna Gibson ; préface de J.M.G. Le Clézio ; illustrations de Charles W. Schwartz.</t>
  </si>
  <si>
    <t>Paris : Flammarion, 2000.</t>
  </si>
  <si>
    <t>Garnier Flammarion. Texte intégral ; 1060</t>
  </si>
  <si>
    <t>4917561271:fre</t>
  </si>
  <si>
    <t>44081821</t>
  </si>
  <si>
    <t>ocm44081821</t>
  </si>
  <si>
    <t>3102863796X</t>
  </si>
  <si>
    <t>9782080710604</t>
  </si>
  <si>
    <t>793641993</t>
  </si>
  <si>
    <t>QH81 Q17 2000</t>
  </si>
  <si>
    <t>0                      QH 0081000Q  17          2000</t>
  </si>
  <si>
    <t>The boilerplate rhino : nature in the eye of the beholder / David Quammen.</t>
  </si>
  <si>
    <t>Quammen, David, 1948-</t>
  </si>
  <si>
    <t>New York : Scribner, ©2000.</t>
  </si>
  <si>
    <t>836996773:eng</t>
  </si>
  <si>
    <t>42786284</t>
  </si>
  <si>
    <t>ocm42786284</t>
  </si>
  <si>
    <t>3102187355W</t>
  </si>
  <si>
    <t>9780684837284</t>
  </si>
  <si>
    <t>793614347</t>
  </si>
  <si>
    <t>QH81 S572 1999</t>
  </si>
  <si>
    <t>0                      QH 0081000S  572         1999</t>
  </si>
  <si>
    <t>Encounters with nature : essays / by Paul Shepard ; edited by Florence R. Shepard.</t>
  </si>
  <si>
    <t>Shepard, Paul, 1925-1996.</t>
  </si>
  <si>
    <t>Washington, D.C. : Island Press [for] Shearwater Books, ©1999.</t>
  </si>
  <si>
    <t>2018-10-12</t>
  </si>
  <si>
    <t>198989761:eng</t>
  </si>
  <si>
    <t>41565113</t>
  </si>
  <si>
    <t>ocm41565113</t>
  </si>
  <si>
    <t>3102225318Z</t>
  </si>
  <si>
    <t>9781559635295</t>
  </si>
  <si>
    <t>793594202</t>
  </si>
  <si>
    <t>QH83 M664 1997</t>
  </si>
  <si>
    <t>0                      QH 0083000M  664         1997</t>
  </si>
  <si>
    <t>Molecular evolution and adaptive radiation / edited by Thomas J. Givnish and Kenneth J. Sytsma.</t>
  </si>
  <si>
    <t>363811076:eng</t>
  </si>
  <si>
    <t>36485808</t>
  </si>
  <si>
    <t>ocm36485808</t>
  </si>
  <si>
    <t>31019103109</t>
  </si>
  <si>
    <t>9780521573290</t>
  </si>
  <si>
    <t>793476431</t>
  </si>
  <si>
    <t>QH83 S26 1985</t>
  </si>
  <si>
    <t>0                      QH 0083000S  26          1985</t>
  </si>
  <si>
    <t>Evolving hierarchical systems : their structure and representation / Stanley N. Salthe.</t>
  </si>
  <si>
    <t>New York : Columbia University Press, 1985.</t>
  </si>
  <si>
    <t>836700448:eng</t>
  </si>
  <si>
    <t>11676612</t>
  </si>
  <si>
    <t>ocm11676612</t>
  </si>
  <si>
    <t>3001031332I</t>
  </si>
  <si>
    <t>9780231060165</t>
  </si>
  <si>
    <t>792783148</t>
  </si>
  <si>
    <t>QH83 T84 2000</t>
  </si>
  <si>
    <t>0                      QH 0083000T  84          2000</t>
  </si>
  <si>
    <t>The variety of life : a survey and a celebration of all the creatures that have ever lived / Colin Tudge.</t>
  </si>
  <si>
    <t>Tudge, Colin.</t>
  </si>
  <si>
    <t>London ; New York : Oxford University Press, 2000.</t>
  </si>
  <si>
    <t>988781:eng</t>
  </si>
  <si>
    <t>43185815</t>
  </si>
  <si>
    <t>ocm43185815</t>
  </si>
  <si>
    <t>3102110400J</t>
  </si>
  <si>
    <t>9780198503118</t>
  </si>
  <si>
    <t>793621345</t>
  </si>
  <si>
    <t>QH83 W75 2014</t>
  </si>
  <si>
    <t>0                      QH 0083000W  75          2014</t>
  </si>
  <si>
    <t>The naming of the shrew / John Wright.</t>
  </si>
  <si>
    <t>Wright, John, 1951- author.</t>
  </si>
  <si>
    <t>London ; New York : Bloomsbury Publishing Plc, 2014.</t>
  </si>
  <si>
    <t>2070789355:eng</t>
  </si>
  <si>
    <t>890161501</t>
  </si>
  <si>
    <t>ocn890161501</t>
  </si>
  <si>
    <t>3103580499I</t>
  </si>
  <si>
    <t>9781408816981</t>
  </si>
  <si>
    <t>794978960</t>
  </si>
  <si>
    <t>QH84.1 C36 2012</t>
  </si>
  <si>
    <t>0                      QH 0084100C  36          2012</t>
  </si>
  <si>
    <t>International Polar Year Canadian science report : highlights.</t>
  </si>
  <si>
    <t>Canadian Polar Commission.</t>
  </si>
  <si>
    <t>Ottawa, Ont. : Canadian Polar Commission, ©2012.</t>
  </si>
  <si>
    <t>2867877378:eng</t>
  </si>
  <si>
    <t>794965516</t>
  </si>
  <si>
    <t>ocn794965516</t>
  </si>
  <si>
    <t>31035138128</t>
  </si>
  <si>
    <t>9781100541952</t>
  </si>
  <si>
    <t>794920670</t>
  </si>
  <si>
    <t>QH84.1 H635 2016</t>
  </si>
  <si>
    <t>0                      QH 0084100H  635         2016</t>
  </si>
  <si>
    <t>AVATIMIK KAMATTIARNIQ : arctic ecology and environmental stewardship.</t>
  </si>
  <si>
    <t>HOFFMAN, JORDAN.</t>
  </si>
  <si>
    <t>CONTOOCOOK : NUNAVUT ARCTIC COLLEGE, 2017.</t>
  </si>
  <si>
    <t>4501969958:eng</t>
  </si>
  <si>
    <t>1004262279</t>
  </si>
  <si>
    <t>on1004262279</t>
  </si>
  <si>
    <t>3103729763U</t>
  </si>
  <si>
    <t>9781897568484</t>
  </si>
  <si>
    <t>795041830</t>
  </si>
  <si>
    <t>QH84.1 S72</t>
  </si>
  <si>
    <t>0                      QH 0084100S  72</t>
  </si>
  <si>
    <t>Norway in Arcticum; from Spitsbergen to--Greenland? By Baron, Dr. Lage v. Staël-Holstein ...</t>
  </si>
  <si>
    <t>Staël von Holstein, Lage Fabian Wilhelm, friherre, 1886-</t>
  </si>
  <si>
    <t>Copenhagen, Levin &amp; Munksgaard, 1932.</t>
  </si>
  <si>
    <t>26891265:eng</t>
  </si>
  <si>
    <t>9625081</t>
  </si>
  <si>
    <t>ocm09625081</t>
  </si>
  <si>
    <t>3001074823Y</t>
  </si>
  <si>
    <t>792685559</t>
  </si>
  <si>
    <t>QH84.1 Y68 1989</t>
  </si>
  <si>
    <t>0                      QH 0084100Y  68          1989</t>
  </si>
  <si>
    <t>To the Arctic : an introduction to the far northern world / Steven B. Young.</t>
  </si>
  <si>
    <t>Young, Steven B.</t>
  </si>
  <si>
    <t>2007-03-15</t>
  </si>
  <si>
    <t>16398697:eng</t>
  </si>
  <si>
    <t>18106591</t>
  </si>
  <si>
    <t>ocm18106591</t>
  </si>
  <si>
    <t>3100945201G</t>
  </si>
  <si>
    <t>9780471620822</t>
  </si>
  <si>
    <t>793014068</t>
  </si>
  <si>
    <t>QH85 M3</t>
  </si>
  <si>
    <t>0                      QH 0085000M  3</t>
  </si>
  <si>
    <t>The theory of island biogeography / Robert H. MacArthur and Edward O. Wilson.</t>
  </si>
  <si>
    <t>MacArthur, Robert H., author.</t>
  </si>
  <si>
    <t>Princeton, N.J. : Princeton University Press, 1967.</t>
  </si>
  <si>
    <t>Monographs in population biology ; [1]</t>
  </si>
  <si>
    <t>1337086:eng</t>
  </si>
  <si>
    <t>250558</t>
  </si>
  <si>
    <t>ocm00250558</t>
  </si>
  <si>
    <t>3000496862J</t>
  </si>
  <si>
    <t>791309493</t>
  </si>
  <si>
    <t>QH87.3 W66 2001</t>
  </si>
  <si>
    <t>0                      QH 0087300W  66          2001</t>
  </si>
  <si>
    <t>African enclosures? : the social dynamics of wetlands in drylands / Philip Woodhouse, Henry Bernstein, David Hulme ; with Pippa Trench [and others].</t>
  </si>
  <si>
    <t>Woodhouse, Philip.</t>
  </si>
  <si>
    <t>Trenton, N.J. : Africa World Press, 2001, ©2000.</t>
  </si>
  <si>
    <t>1st Africa World Press ed.</t>
  </si>
  <si>
    <t>34716228:eng</t>
  </si>
  <si>
    <t>47210147</t>
  </si>
  <si>
    <t>ocm47210147</t>
  </si>
  <si>
    <t>3102158299T</t>
  </si>
  <si>
    <t>9780865439375</t>
  </si>
  <si>
    <t>793700900</t>
  </si>
  <si>
    <t>QH88 B7</t>
  </si>
  <si>
    <t>0                      QH 0088000B  7</t>
  </si>
  <si>
    <t>Desert biology; special topics on the physical and biological aspects of arid regions, edited by G.W. Brown, Jr.</t>
  </si>
  <si>
    <t>Brown, G. W. (George Willard), 1924-</t>
  </si>
  <si>
    <t>New York, Academic Press, 1968-1974</t>
  </si>
  <si>
    <t>308584278:eng</t>
  </si>
  <si>
    <t>419987</t>
  </si>
  <si>
    <t>ocm00419987</t>
  </si>
  <si>
    <t>30010495224</t>
  </si>
  <si>
    <t>9780121359027</t>
  </si>
  <si>
    <t>791373514</t>
  </si>
  <si>
    <t>2002-03-17</t>
  </si>
  <si>
    <t>31006735253</t>
  </si>
  <si>
    <t>791373513</t>
  </si>
  <si>
    <t>QH88 C5 1964</t>
  </si>
  <si>
    <t>0                      QH 0088000C  5           1964</t>
  </si>
  <si>
    <t>Life in deserts / J.L. Cloudsley-Thompson and M.J. Chadwick.</t>
  </si>
  <si>
    <t>Cloudsley-Thompson, J. L.</t>
  </si>
  <si>
    <t>Philadelphia : Dufour Editions, 1964.</t>
  </si>
  <si>
    <t>2013-02-23</t>
  </si>
  <si>
    <t>1359937:eng</t>
  </si>
  <si>
    <t>1113845</t>
  </si>
  <si>
    <t>ocm01113845</t>
  </si>
  <si>
    <t>30010503703</t>
  </si>
  <si>
    <t>791549426</t>
  </si>
  <si>
    <t>3000518246Z</t>
  </si>
  <si>
    <t>791549425</t>
  </si>
  <si>
    <t>QH88 C53x</t>
  </si>
  <si>
    <t>0                      QH 0088000C  53x</t>
  </si>
  <si>
    <t>Man and the biology of arid zones / J.L. Cloudsley-Thompson.</t>
  </si>
  <si>
    <t>London : Edward Arnold, 1977.</t>
  </si>
  <si>
    <t>Contemporary Biology.</t>
  </si>
  <si>
    <t>9865729:eng</t>
  </si>
  <si>
    <t>3482999</t>
  </si>
  <si>
    <t>ocm03482999</t>
  </si>
  <si>
    <t>30004108990</t>
  </si>
  <si>
    <t>9780713125788</t>
  </si>
  <si>
    <t>792260038</t>
  </si>
  <si>
    <t>QH91 C628</t>
  </si>
  <si>
    <t>0                      QH 0091000C  628</t>
  </si>
  <si>
    <t>The living sea / by Jacques-Yves Cousteau ; with James Dugan.</t>
  </si>
  <si>
    <t>Cousteau, Jacques, 1910-1997.</t>
  </si>
  <si>
    <t>New York : Harper &amp; Row, [1963]</t>
  </si>
  <si>
    <t>[First edition].</t>
  </si>
  <si>
    <t>368331764:eng</t>
  </si>
  <si>
    <t>268803</t>
  </si>
  <si>
    <t>ocm00268803</t>
  </si>
  <si>
    <t>3000499342U</t>
  </si>
  <si>
    <t>9780060108755</t>
  </si>
  <si>
    <t>791317576</t>
  </si>
  <si>
    <t>QH91 C66</t>
  </si>
  <si>
    <t>0                      QH 0091000C  66</t>
  </si>
  <si>
    <t>The silent world / by Captain J.Y. Cousteau ; with Frédéric Dumas.</t>
  </si>
  <si>
    <t>New York : Harper &amp; Brothers Publishers, [1953]</t>
  </si>
  <si>
    <t>3858570820:eng</t>
  </si>
  <si>
    <t>547689</t>
  </si>
  <si>
    <t>ocm00547689</t>
  </si>
  <si>
    <t>3000498799R</t>
  </si>
  <si>
    <t>9780060108908</t>
  </si>
  <si>
    <t>791410701</t>
  </si>
  <si>
    <t>QH91 H29 1965</t>
  </si>
  <si>
    <t>0                      QH 0091000H  29          1965</t>
  </si>
  <si>
    <t>The open sea, its natural history.</t>
  </si>
  <si>
    <t>Hardy, Alister Clavering, Sir, 1896-</t>
  </si>
  <si>
    <t>Boston : Houghton Mifflin; Cambridge : Riverside Press, 1965.</t>
  </si>
  <si>
    <t>2015-07-31</t>
  </si>
  <si>
    <t>2863398555:eng</t>
  </si>
  <si>
    <t>318237421</t>
  </si>
  <si>
    <t>ocn318237421</t>
  </si>
  <si>
    <t>3001067932K</t>
  </si>
  <si>
    <t>794481260</t>
  </si>
  <si>
    <t>QH91.3 C66 A3 2000</t>
  </si>
  <si>
    <t>0                      QH 0091300C  66                 A  3           2000</t>
  </si>
  <si>
    <t>Swimming with giants : my encounters with whales, dolphins, and seals / Anne Collet with Marc Sich ; translated by Gayle Wurst.</t>
  </si>
  <si>
    <t>Collet, Anne.</t>
  </si>
  <si>
    <t>Minneapolis, Minn. : Milkweed Editions, 2000.</t>
  </si>
  <si>
    <t>2016-12-13</t>
  </si>
  <si>
    <t>42639842:eng</t>
  </si>
  <si>
    <t>43333554</t>
  </si>
  <si>
    <t>ocm43333554</t>
  </si>
  <si>
    <t>31021736745</t>
  </si>
  <si>
    <t>9781571312440</t>
  </si>
  <si>
    <t>793624766</t>
  </si>
  <si>
    <t>QH91.3 E45 2012</t>
  </si>
  <si>
    <t>0                      QH 0091300E  45          2012</t>
  </si>
  <si>
    <t>Cool times, hot times : stories from my life. Volume 1, Marine biological expedition to the central Canadian arctic, 1954-55 / by Derek Ellis.</t>
  </si>
  <si>
    <t>Ellis, Derek V.</t>
  </si>
  <si>
    <t>1212754888:eng</t>
  </si>
  <si>
    <t>829873844</t>
  </si>
  <si>
    <t>ocn829873844</t>
  </si>
  <si>
    <t>31034811276</t>
  </si>
  <si>
    <t>794942807</t>
  </si>
  <si>
    <t>QH91.3 M67 A3 2002</t>
  </si>
  <si>
    <t>0                      QH 0091300M  67                 A  3           2002</t>
  </si>
  <si>
    <t>Listening to whales : what the orcas have taught us / Alexandra Morton.</t>
  </si>
  <si>
    <t>Morton, Alexandra, 1957-</t>
  </si>
  <si>
    <t>New York : Ballantine, 2002.</t>
  </si>
  <si>
    <t>946186807:eng</t>
  </si>
  <si>
    <t>50479383</t>
  </si>
  <si>
    <t>ocm50479383</t>
  </si>
  <si>
    <t>3102265908$</t>
  </si>
  <si>
    <t>9780345437945</t>
  </si>
  <si>
    <t>793765889</t>
  </si>
  <si>
    <t>QH96 A1 B56 Bd. 20</t>
  </si>
  <si>
    <t>0                      QH 0096000A  1                  B  56                                Bd. 20</t>
  </si>
  <si>
    <t>Chironomus; Leben, Verbreitung und wirtschaftliche Bedeutung der Chironomiden.</t>
  </si>
  <si>
    <t>Bd. 20*</t>
  </si>
  <si>
    <t>Thienemann, August, 1882-1960.</t>
  </si>
  <si>
    <t>Stuttgart, E. Schweizerbart, 1954.</t>
  </si>
  <si>
    <t>Die Binnengewässer, Bd. 20</t>
  </si>
  <si>
    <t>2015-05-06</t>
  </si>
  <si>
    <t>807142079:ger</t>
  </si>
  <si>
    <t>796463</t>
  </si>
  <si>
    <t>ocm00796463</t>
  </si>
  <si>
    <t>30010298151</t>
  </si>
  <si>
    <t>791471917</t>
  </si>
  <si>
    <t>QH96 A1 B56 Bd.16</t>
  </si>
  <si>
    <t>0                      QH 0096000A  1                  B  56                                Bd.16</t>
  </si>
  <si>
    <t>Das Phytoplankton des süsswassers : systematik und biologie / von dr. phil. et med. G. Huber-Pestalozzi.</t>
  </si>
  <si>
    <t>T. 7/1</t>
  </si>
  <si>
    <t>Huber-Pestalozzi, Gottfried, 1877- author.</t>
  </si>
  <si>
    <t>Stuttgart : Schweizerbart, 1938-</t>
  </si>
  <si>
    <t>Die Binnengewässer ; Bd. XVI</t>
  </si>
  <si>
    <t>4915198842:ger</t>
  </si>
  <si>
    <t>1824768</t>
  </si>
  <si>
    <t>ocm01824768</t>
  </si>
  <si>
    <t>3100490186G</t>
  </si>
  <si>
    <t>9783510400232</t>
  </si>
  <si>
    <t>791994740</t>
  </si>
  <si>
    <t>T. 2/2</t>
  </si>
  <si>
    <t>3100490193J</t>
  </si>
  <si>
    <t>791994745</t>
  </si>
  <si>
    <t>3001029819U</t>
  </si>
  <si>
    <t>791994747</t>
  </si>
  <si>
    <t>T. 6</t>
  </si>
  <si>
    <t>3100490187E</t>
  </si>
  <si>
    <t>791994741</t>
  </si>
  <si>
    <t>T. 8/1</t>
  </si>
  <si>
    <t>3100504090J</t>
  </si>
  <si>
    <t>791994739</t>
  </si>
  <si>
    <t>T. 5</t>
  </si>
  <si>
    <t>3100490169G</t>
  </si>
  <si>
    <t>791994742</t>
  </si>
  <si>
    <t>T. 4</t>
  </si>
  <si>
    <t>3100490184K</t>
  </si>
  <si>
    <t>791994743</t>
  </si>
  <si>
    <t>T. 2/1</t>
  </si>
  <si>
    <t>3100490195F</t>
  </si>
  <si>
    <t>791994746</t>
  </si>
  <si>
    <t>T. 3</t>
  </si>
  <si>
    <t>3100490191N</t>
  </si>
  <si>
    <t>791994744</t>
  </si>
  <si>
    <t>QH96 L556 1999</t>
  </si>
  <si>
    <t>0                      QH 0096000L  556         1999</t>
  </si>
  <si>
    <t>Limnology of humic waters / edited by Jorma Keskitalo and Pertti Eloranta.</t>
  </si>
  <si>
    <t>Leiden : Backhuys, ©1999.</t>
  </si>
  <si>
    <t>364484260:eng</t>
  </si>
  <si>
    <t>42715694</t>
  </si>
  <si>
    <t>ocm42715694</t>
  </si>
  <si>
    <t>3102048323Y</t>
  </si>
  <si>
    <t>9789057820298</t>
  </si>
  <si>
    <t>793612456</t>
  </si>
  <si>
    <t>QH96.57 P75 S96 1971</t>
  </si>
  <si>
    <t>0                      QH 0096570P  75                 S  96          1971</t>
  </si>
  <si>
    <t>Symbols, units and conversion factors in studies of fresh water productivity / edited by G.G. Winberg and collaborators.</t>
  </si>
  <si>
    <t>London, England : International Biological Programme Control Office, 1971.</t>
  </si>
  <si>
    <t>57550058:eng</t>
  </si>
  <si>
    <t>70367842</t>
  </si>
  <si>
    <t>ocm70367842</t>
  </si>
  <si>
    <t>3101841207N</t>
  </si>
  <si>
    <t>794154384</t>
  </si>
  <si>
    <t>QH96.8 E9 S9</t>
  </si>
  <si>
    <t>0                      QH 0096800E  9                  S  9</t>
  </si>
  <si>
    <t>Nutrients and eutrophication: the limiting-nutrient controversy : proceedings. / G.E. Likens, editor.</t>
  </si>
  <si>
    <t>Symposium on Nutrients and Eutrophication: the Limiting-Nutrient Controversy (1971 : Michigan State University)</t>
  </si>
  <si>
    <t>Lawrence, Kansas : American Society of Limnology and Oceanography, 1972.</t>
  </si>
  <si>
    <t>American Society of Limnology and Oceanography./ Special Symposia, V.1</t>
  </si>
  <si>
    <t>2044505604:eng</t>
  </si>
  <si>
    <t>187318123</t>
  </si>
  <si>
    <t>ocn187318123</t>
  </si>
  <si>
    <t>30010492195</t>
  </si>
  <si>
    <t>794293535</t>
  </si>
  <si>
    <t>QH98 H82</t>
  </si>
  <si>
    <t>0                      QH 0098000H  82</t>
  </si>
  <si>
    <t>A treatise on limnology / G. Evelyn Hutchinson.</t>
  </si>
  <si>
    <t>Hutchinson, G. Evelyn (George Evelyn), 1903-1991, author.</t>
  </si>
  <si>
    <t>New York : Wiley, [1957-1993]</t>
  </si>
  <si>
    <t>3858723159:eng</t>
  </si>
  <si>
    <t>271888</t>
  </si>
  <si>
    <t>ocm00271888</t>
  </si>
  <si>
    <t>3001043989N</t>
  </si>
  <si>
    <t>9780471425700</t>
  </si>
  <si>
    <t>791318857</t>
  </si>
  <si>
    <t>2003-05-02</t>
  </si>
  <si>
    <t>31012735677</t>
  </si>
  <si>
    <t>791318855</t>
  </si>
  <si>
    <t>3100489489X</t>
  </si>
  <si>
    <t>791318856</t>
  </si>
  <si>
    <t>QH104.5 C45 C66 1987</t>
  </si>
  <si>
    <t>0                      QH 0104500C  45                 C  66          1987</t>
  </si>
  <si>
    <t>Contaminant problems and management of living Chesapeake Bay resources / edited by Shyamal K. Majumdar, Lenwood W. Hall, Jr., Herbert M. Austin.</t>
  </si>
  <si>
    <t>Easton, Pa. : Pennsylvania Academy of Science, ©1987.</t>
  </si>
  <si>
    <t>2016-01-10</t>
  </si>
  <si>
    <t>15628692:eng</t>
  </si>
  <si>
    <t>17614582</t>
  </si>
  <si>
    <t>ocm17614582</t>
  </si>
  <si>
    <t>3001053974U</t>
  </si>
  <si>
    <t>9780960667079</t>
  </si>
  <si>
    <t>792997305</t>
  </si>
  <si>
    <t>QH104.5 G68 M34 2015</t>
  </si>
  <si>
    <t>0                      QH 0104500G  68                 M  34          2015</t>
  </si>
  <si>
    <t>The paleoarchaic occupation of the Old River Bed delta / David B. Madsen, Dave N. Schmitt and David Page ; with contributions by Charlotte Beck, Daron G. Duke, George T. Jones, Lisbeth A. Louderback, Charles G. Oviatt, David Rhode, and D. Craig Young.</t>
  </si>
  <si>
    <t>Madsen, David B.</t>
  </si>
  <si>
    <t>Salt Lake City : The University of Utah Press, [2015]</t>
  </si>
  <si>
    <t>University of Utah anthropological paper ; number 128</t>
  </si>
  <si>
    <t>2016-06-21</t>
  </si>
  <si>
    <t>2890164455:eng</t>
  </si>
  <si>
    <t>900243010</t>
  </si>
  <si>
    <t>ocn900243010</t>
  </si>
  <si>
    <t>3103496046H</t>
  </si>
  <si>
    <t>9781607813934</t>
  </si>
  <si>
    <t>794987308</t>
  </si>
  <si>
    <t>QH105 A4 B36 2003</t>
  </si>
  <si>
    <t>0                      QH 0105000A  4                  B  36          2003</t>
  </si>
  <si>
    <t>Arctic National Wildlife Refuge : seasons of life and land : a photographic journey / by Subhankar Banerje ; Peter Matthiessen [and others] ; foreword by Jimmy Carter ; poem by Terry Tempest Williams.</t>
  </si>
  <si>
    <t>Banerjee, Subhankar, 1967-</t>
  </si>
  <si>
    <t>Seattle, Wash. : Mountaineers Books, 2003.</t>
  </si>
  <si>
    <t>16040:eng</t>
  </si>
  <si>
    <t>51178412</t>
  </si>
  <si>
    <t>ocm51178412</t>
  </si>
  <si>
    <t>3102315662F</t>
  </si>
  <si>
    <t>9780898869095</t>
  </si>
  <si>
    <t>793779963</t>
  </si>
  <si>
    <t>QH105 A4 G63 1982</t>
  </si>
  <si>
    <t>0                      QH 0105000A  4                  G  63          1982</t>
  </si>
  <si>
    <t>Looking far north : the Harriman Expedition to Alaska, 1899 / William H. Goetzmann and Kay Sloan.</t>
  </si>
  <si>
    <t>Goetzmann, William H.</t>
  </si>
  <si>
    <t>New York : Viking, 1982.</t>
  </si>
  <si>
    <t>2018-07-10</t>
  </si>
  <si>
    <t>31132720:eng</t>
  </si>
  <si>
    <t>8132972</t>
  </si>
  <si>
    <t>ocm08132972</t>
  </si>
  <si>
    <t>3001027125$</t>
  </si>
  <si>
    <t>9780670439973</t>
  </si>
  <si>
    <t>792601267</t>
  </si>
  <si>
    <t>QH105 A4 W48 1996</t>
  </si>
  <si>
    <t>0                      QH 0105000A  4                  W  48          1996</t>
  </si>
  <si>
    <t>Degrees of disaster : Prince William Sound : how nature reels and rebounds / Jeff Wheelwright.</t>
  </si>
  <si>
    <t>Wheelwright, Jeff.</t>
  </si>
  <si>
    <t>New York : Simon &amp; Schuster, ©1994.</t>
  </si>
  <si>
    <t>836837300:eng</t>
  </si>
  <si>
    <t>30111267</t>
  </si>
  <si>
    <t>ocm30111267</t>
  </si>
  <si>
    <t>3101870211J</t>
  </si>
  <si>
    <t>9780671702410</t>
  </si>
  <si>
    <t>793330067</t>
  </si>
  <si>
    <t>QH105 W8 G75 1991</t>
  </si>
  <si>
    <t>0                      QH 0105000W  8                  G  75          1991</t>
  </si>
  <si>
    <t>The Greater Yellowstone ecosystem : redefining America's wilderness heritage / Robert B. Keiter and Mark S. Boyce, editors ; with a foreword by Luna B. Leopold.</t>
  </si>
  <si>
    <t>New Haven : Yale University Press, ©1991.</t>
  </si>
  <si>
    <t>836758094:eng</t>
  </si>
  <si>
    <t>23382455</t>
  </si>
  <si>
    <t>ocm23382455</t>
  </si>
  <si>
    <t>31013017685</t>
  </si>
  <si>
    <t>9780300049701</t>
  </si>
  <si>
    <t>793168835</t>
  </si>
  <si>
    <t>QH106 E25 1989</t>
  </si>
  <si>
    <t>0                      QH 0106000E  25          1989</t>
  </si>
  <si>
    <t>Ecoclimatic regions of Canada : first approximation / written and compiled by Ecoregions Working Group, Canada Committee on Ecological Land Classification ; [final compilation of the report, W. Strong and S.C. Zoltai].</t>
  </si>
  <si>
    <t>Strong, Wayne.</t>
  </si>
  <si>
    <t>Ottawa : Sustainable Development Branch, Canadian Wildlife Service, 1989.</t>
  </si>
  <si>
    <t>Ecological land classification series, 0823-406X ; no. 23</t>
  </si>
  <si>
    <t>2006-02-15</t>
  </si>
  <si>
    <t>5609832014:eng</t>
  </si>
  <si>
    <t>21674487</t>
  </si>
  <si>
    <t>ocm21674487</t>
  </si>
  <si>
    <t>31023542827</t>
  </si>
  <si>
    <t>9780662165651</t>
  </si>
  <si>
    <t>793125322</t>
  </si>
  <si>
    <t>QH106 L283 1989</t>
  </si>
  <si>
    <t>0                      QH 0106000L  283         1989</t>
  </si>
  <si>
    <t>The northern forest border in Canada and Alaska : biotic communities and ecological relationships / James A. Larsen.</t>
  </si>
  <si>
    <t>Larsen, James Arthur.</t>
  </si>
  <si>
    <t>New York : Springer-Verlag, ©1989.</t>
  </si>
  <si>
    <t>Ecological studies ; v. 70</t>
  </si>
  <si>
    <t>889734727:eng</t>
  </si>
  <si>
    <t>18464770</t>
  </si>
  <si>
    <t>ocm18464770</t>
  </si>
  <si>
    <t>3001052921J</t>
  </si>
  <si>
    <t>9780387967530</t>
  </si>
  <si>
    <t>793026579</t>
  </si>
  <si>
    <t>QH106 P66 2001</t>
  </si>
  <si>
    <t>0                      QH 0106000P  66          2001</t>
  </si>
  <si>
    <t>Perspectives on developing a Canadian classification of ecological communities / Serguei Ponomarenko and Rob Alvo.</t>
  </si>
  <si>
    <t>Ponomarenko, Serguei.</t>
  </si>
  <si>
    <t>Ottawa : Science Branch, Canadian Forest Service, Natural Resources Canada, 2001.</t>
  </si>
  <si>
    <t>Information report ; ST-X-18E</t>
  </si>
  <si>
    <t>8910120065:eng</t>
  </si>
  <si>
    <t>48777762</t>
  </si>
  <si>
    <t>ocm48777762</t>
  </si>
  <si>
    <t>3102109516Z</t>
  </si>
  <si>
    <t>9780662298168</t>
  </si>
  <si>
    <t>793727627</t>
  </si>
  <si>
    <t>QH106.2 N6 C36 1973</t>
  </si>
  <si>
    <t>0                      QH 0106200N  6                  C  36          1973</t>
  </si>
  <si>
    <t>An inventory of wildlife habitat of the Mackenzie Valley and the northern Yukon / prepared by the Special Habitat Evaluation Group, Canadian Wildlife Service, Department of the Environment, G.H. Watson, W.H. Prescott, E.A. de Bock, J.W. Nolan, M.C. Dennington, H.J. Poston, I.G. Stirling, for the Environmental-Social Program, Northern Pipelines.</t>
  </si>
  <si>
    <t>[Ottawa, Ont.] : Environmental-Social Committee, Northern Pipelines, Task Force on Northern Oil Development, 1973.</t>
  </si>
  <si>
    <t>Report / Environmental-Social Committee, Northern Pipelines, Task Force on Northern Oil Development ; no. 73-27</t>
  </si>
  <si>
    <t>8907097624:eng</t>
  </si>
  <si>
    <t>1103511</t>
  </si>
  <si>
    <t>ocm01103511</t>
  </si>
  <si>
    <t>30010327984</t>
  </si>
  <si>
    <t>791547315</t>
  </si>
  <si>
    <t>QH106.2 N6 M37 1984</t>
  </si>
  <si>
    <t>0                      QH 0106200N  6                  M  37          1984</t>
  </si>
  <si>
    <t>Wildlife of the Mackenzie Delta region / Arthur M. Martell, Dawn M. Dickinson, and Lisa M. Casselman.</t>
  </si>
  <si>
    <t>Martell, A. M.</t>
  </si>
  <si>
    <t>Edmonton, Alta., Canada : Boreal Institute for Northern Studies, University of Alberta, [1984]</t>
  </si>
  <si>
    <t>Occasional publication / Boreal Institute for Northern Studies, University of Alberta, 0068-0303 ; no. 15</t>
  </si>
  <si>
    <t>4014359:eng</t>
  </si>
  <si>
    <t>11228489</t>
  </si>
  <si>
    <t>ocm11228489</t>
  </si>
  <si>
    <t>3001029935S</t>
  </si>
  <si>
    <t>792764028</t>
  </si>
  <si>
    <t>QH106.2 N7 L34 1971</t>
  </si>
  <si>
    <t>0                      QH 0106200N  7                  L  34          1971</t>
  </si>
  <si>
    <t>Ecological zoning of the eastern portion of Northwest Territories / by André Lafond, Robert Héroux and Alain Soucy.</t>
  </si>
  <si>
    <t>Lafond, André, 1921-</t>
  </si>
  <si>
    <t>Québec : Centre de recherches sur l'eau, Université Laval, 1971.</t>
  </si>
  <si>
    <t>46129599:eng</t>
  </si>
  <si>
    <t>61557718</t>
  </si>
  <si>
    <t>ocm61557718</t>
  </si>
  <si>
    <t>3101161413K</t>
  </si>
  <si>
    <t>793990425</t>
  </si>
  <si>
    <t>3101204522T</t>
  </si>
  <si>
    <t>793990427</t>
  </si>
  <si>
    <t>3101161414I</t>
  </si>
  <si>
    <t>793990426</t>
  </si>
  <si>
    <t>QH106.2 Q4 Q43 1973</t>
  </si>
  <si>
    <t>0                      QH 0106200Q  4                  Q  43          1973</t>
  </si>
  <si>
    <t>Étude sur la sauvagine; îles de Grâce, île Lapierre, île à l'Aigle, baie St-François, baie Maskinongé, canal de Beauharnois, baie de Carillon, baie des Seigneurs, île Carillon, île au Foin, îles Pelées [par] Normand Proulx, biologiste, S.E.I.B.</t>
  </si>
  <si>
    <t>Québec (Province). Service des études et inventaires bio-physiques.</t>
  </si>
  <si>
    <t>180373175:fre</t>
  </si>
  <si>
    <t>1860404</t>
  </si>
  <si>
    <t>ocm01860404</t>
  </si>
  <si>
    <t>3101593888S</t>
  </si>
  <si>
    <t>792001250</t>
  </si>
  <si>
    <t>3001035004F</t>
  </si>
  <si>
    <t>792001249</t>
  </si>
  <si>
    <t>QH106.2 S25 W47 1997</t>
  </si>
  <si>
    <t>0                      QH 0106200S  25                 W  47          1997</t>
  </si>
  <si>
    <t>Marine environmental assessment of the Estuary and Gulf of St. Lawrence / Louise White [and] Frank Johns.</t>
  </si>
  <si>
    <t>White, Louise.</t>
  </si>
  <si>
    <t>Dartmouth, N.S. : Fisheries and Oceans Canada, Toxic Chemicals Program, 1997.</t>
  </si>
  <si>
    <t>9044031543:eng</t>
  </si>
  <si>
    <t>37651952</t>
  </si>
  <si>
    <t>ocm37651952</t>
  </si>
  <si>
    <t>3101896086S</t>
  </si>
  <si>
    <t>9780660168524</t>
  </si>
  <si>
    <t>793503799</t>
  </si>
  <si>
    <t>QH 106.2 S38 E36 1998</t>
  </si>
  <si>
    <t>0                      QH 0106200S  38                 E  36          1998</t>
  </si>
  <si>
    <t>Ecoregions of Saskatchewan / prepared and edited by Saskatchewan Environment and Resource Management ; principal authors, D.F. Acton, G.A. Padbury, C.T. Stushnoff ; contributing authors, L. Gallagher [and others].</t>
  </si>
  <si>
    <t>Regina : Canadian Plains Research Center, 1998.</t>
  </si>
  <si>
    <t>477470701:eng</t>
  </si>
  <si>
    <t>38949830</t>
  </si>
  <si>
    <t>ocm38949830</t>
  </si>
  <si>
    <t>31019865200</t>
  </si>
  <si>
    <t>9780889770973</t>
  </si>
  <si>
    <t>793534178</t>
  </si>
  <si>
    <t>QH106.2 Y8 N67 1981</t>
  </si>
  <si>
    <t>0                      QH 0106200Y  8                  N  67          1981</t>
  </si>
  <si>
    <t>The Northern Yukon : an ecological land survey / by E.B. Wiken [and others].</t>
  </si>
  <si>
    <t>Ottawa, Ont. : Lands Directorate, Environment Canada, ©1981.</t>
  </si>
  <si>
    <t>Ecological land classification series ; no. 6</t>
  </si>
  <si>
    <t>5609288573:eng</t>
  </si>
  <si>
    <t>16708267</t>
  </si>
  <si>
    <t>ocm16708267</t>
  </si>
  <si>
    <t>31010211738</t>
  </si>
  <si>
    <t>792969371</t>
  </si>
  <si>
    <t>QH108 A1 F67 1984</t>
  </si>
  <si>
    <t>0                      QH 0108000A  1                  F  67          1984</t>
  </si>
  <si>
    <t>Tropical nature / Adrian Forsyth and Kenneth Miyata ; illustrations by Sarah Landry.</t>
  </si>
  <si>
    <t>Forsyth, Adrian.</t>
  </si>
  <si>
    <t>New York : Scribner, ©1984.</t>
  </si>
  <si>
    <t>2848868:eng</t>
  </si>
  <si>
    <t>10207062</t>
  </si>
  <si>
    <t>ocm10207062</t>
  </si>
  <si>
    <t>3100658680F</t>
  </si>
  <si>
    <t>9780684179643</t>
  </si>
  <si>
    <t>792714207</t>
  </si>
  <si>
    <t>QH109 A1 F476 2016</t>
  </si>
  <si>
    <t>0                      QH 0109000A  1                  F  476         2016</t>
  </si>
  <si>
    <t>Sumario de la historia natural de las Indias / Gonzalo Fernández de Oviedo ; edición de Alfredo Rodríguez López-Vázquez y Arturo Rodríguez López-Abadía.</t>
  </si>
  <si>
    <t>Fernández de Oviedo y Valdés, Gonzalo, 1478-1557, author.</t>
  </si>
  <si>
    <t>Madrid : Cátedra, 2016.</t>
  </si>
  <si>
    <t>1a. edición.</t>
  </si>
  <si>
    <t>Letras hispánicas ; 777</t>
  </si>
  <si>
    <t>2402875:spa</t>
  </si>
  <si>
    <t>957466313</t>
  </si>
  <si>
    <t>ocn957466313</t>
  </si>
  <si>
    <t>31037100191</t>
  </si>
  <si>
    <t>9788437635743</t>
  </si>
  <si>
    <t>795020969</t>
  </si>
  <si>
    <t>QH111 B3 1969</t>
  </si>
  <si>
    <t>0                      QH 0111000B  3           1969</t>
  </si>
  <si>
    <t>The naturalist on the River Amazons; introduction by Peter Fleming.</t>
  </si>
  <si>
    <t>Bates, Henry Walter, 1825-1892.</t>
  </si>
  <si>
    <t>London, Dent; New York, Dutton, 1969.</t>
  </si>
  <si>
    <t>Everyman's library ; 446</t>
  </si>
  <si>
    <t>2013-01-17</t>
  </si>
  <si>
    <t>4922842882:eng</t>
  </si>
  <si>
    <t>69639</t>
  </si>
  <si>
    <t>ocm00069639</t>
  </si>
  <si>
    <t>30005185992</t>
  </si>
  <si>
    <t>9780460004466</t>
  </si>
  <si>
    <t>791245638</t>
  </si>
  <si>
    <t>QH112 C457 2000</t>
  </si>
  <si>
    <t>0                      QH 0112000C  457         2000</t>
  </si>
  <si>
    <t>Central Amazon floodplain : actual use and options for a sustainable management / edited by W.J. Junk [and others].</t>
  </si>
  <si>
    <t>Leiden : Backhuys Publishers, 2000.</t>
  </si>
  <si>
    <t>364611526:eng</t>
  </si>
  <si>
    <t>46981104</t>
  </si>
  <si>
    <t>ocm46981104</t>
  </si>
  <si>
    <t>31029974769</t>
  </si>
  <si>
    <t>9789057820748</t>
  </si>
  <si>
    <t>793695992</t>
  </si>
  <si>
    <t>QH123 B68</t>
  </si>
  <si>
    <t>0                      QH 0123000B  68</t>
  </si>
  <si>
    <t>The Galápagos : proceedings of the symposia of the Galápagos International Scientific Project / edited by Robert I. Bowman.</t>
  </si>
  <si>
    <t>Berkeley : University of California Press, 1966.</t>
  </si>
  <si>
    <t>141286242:eng</t>
  </si>
  <si>
    <t>550156</t>
  </si>
  <si>
    <t>ocm00550156</t>
  </si>
  <si>
    <t>3001058250A</t>
  </si>
  <si>
    <t>791411450</t>
  </si>
  <si>
    <t>QH128 G46 1998</t>
  </si>
  <si>
    <t>0                      QH 0128000G  46          1998</t>
  </si>
  <si>
    <t>Geoecología y desarrollo amazónico : estudio integrado en la zona de Iquitos, Perú / editores: Risto Kalliola, Salvador Flores Paitán.</t>
  </si>
  <si>
    <t>Turku, Finland : Turun Yliopisto, 1998.</t>
  </si>
  <si>
    <t>Turun yliopiston julkaisuja. Sarja A II, Biologica-geographica-geologica ; t. 144</t>
  </si>
  <si>
    <t>846254035:spa</t>
  </si>
  <si>
    <t>42879439</t>
  </si>
  <si>
    <t>ocm42879439</t>
  </si>
  <si>
    <t>3102313973C</t>
  </si>
  <si>
    <t>9789512913381</t>
  </si>
  <si>
    <t>793616505</t>
  </si>
  <si>
    <t>QH135 F59 2018</t>
  </si>
  <si>
    <t>0                      QH 0135000F  59          2018</t>
  </si>
  <si>
    <t>Europe : a natural history / Tim Flannery ; with Luigi Boitani.</t>
  </si>
  <si>
    <t>Flannery, Tim F. (Tim Fridtjof), 1956- author.</t>
  </si>
  <si>
    <t>Great Britain : Allen Lane, an imprint of Penguin Books, 2018.</t>
  </si>
  <si>
    <t>5445911570:eng</t>
  </si>
  <si>
    <t>1057605194</t>
  </si>
  <si>
    <t>on1057605194</t>
  </si>
  <si>
    <t>3103880308J</t>
  </si>
  <si>
    <t>9780241358078</t>
  </si>
  <si>
    <t>795064010</t>
  </si>
  <si>
    <t>QH135 H38 1997</t>
  </si>
  <si>
    <t>0                      QH 0135000H  38          1997</t>
  </si>
  <si>
    <t>Ecology and empire : environmental history of settler societies / edited by Tom Griffiths and Libby Robin.</t>
  </si>
  <si>
    <t>Seattle, Wash. : University of Washington Press, ©1997.</t>
  </si>
  <si>
    <t>791992951:eng</t>
  </si>
  <si>
    <t>37763032</t>
  </si>
  <si>
    <t>ocm37763032</t>
  </si>
  <si>
    <t>31018497127</t>
  </si>
  <si>
    <t>9781853311994</t>
  </si>
  <si>
    <t>793506533</t>
  </si>
  <si>
    <t>QH135 H57 2005</t>
  </si>
  <si>
    <t>0                      QH 0135000H  57          2005</t>
  </si>
  <si>
    <t>Historia : empiricism and erudition in early modern Europe / Gianna Pomata and Nancy G. Siraisi, editors.</t>
  </si>
  <si>
    <t>Cambridge, Mass. : MIT Press, ©2005.</t>
  </si>
  <si>
    <t>2014-08-11</t>
  </si>
  <si>
    <t>2017-02-23</t>
  </si>
  <si>
    <t>687656778:eng</t>
  </si>
  <si>
    <t>57669558</t>
  </si>
  <si>
    <t>ocm57669558</t>
  </si>
  <si>
    <t>3102491439Y</t>
  </si>
  <si>
    <t>9780262162296</t>
  </si>
  <si>
    <t>793917292</t>
  </si>
  <si>
    <t>QH137 N28 2001</t>
  </si>
  <si>
    <t>0                      QH 0137000N  28          2001</t>
  </si>
  <si>
    <t>Naturalists and society : the culture of natural history in Britain, 1700-1900 / [edited by] David Elliston Allen.</t>
  </si>
  <si>
    <t>Aldershot ; Burlington USA : Ashgate/Variorum, ©2001.</t>
  </si>
  <si>
    <t>Variorum collected studies series ; CS724</t>
  </si>
  <si>
    <t>837075109:eng</t>
  </si>
  <si>
    <t>46685420</t>
  </si>
  <si>
    <t>ocm46685420</t>
  </si>
  <si>
    <t>3102204699O</t>
  </si>
  <si>
    <t>9780860788638</t>
  </si>
  <si>
    <t>793689611</t>
  </si>
  <si>
    <t>QH138 H36 G74 2001</t>
  </si>
  <si>
    <t>0                      QH 0138000H  36                 G  74          2001</t>
  </si>
  <si>
    <t>The cottage book : the undiscovered country diary of an Edwardian statesman / by Edward and Lady Grey ; edited and introduced by Michael Waterhouse.</t>
  </si>
  <si>
    <t>Grey of Fallodon, Edward Grey, Viscount, 1862-1933.</t>
  </si>
  <si>
    <t>London : Weidenfeld &amp; Nicolson, 2001.</t>
  </si>
  <si>
    <t>2015-07-11</t>
  </si>
  <si>
    <t>364403014:eng</t>
  </si>
  <si>
    <t>59549315</t>
  </si>
  <si>
    <t>ocm59549315</t>
  </si>
  <si>
    <t>31022483643</t>
  </si>
  <si>
    <t>9780297607526</t>
  </si>
  <si>
    <t>793930502</t>
  </si>
  <si>
    <t>QH141 M3 1961</t>
  </si>
  <si>
    <t>0                      QH 0141000M  3           1961</t>
  </si>
  <si>
    <t>Ring of bright water / Gavin Maxwell.</t>
  </si>
  <si>
    <t>Maxwell, Gavin, 1914-1969.</t>
  </si>
  <si>
    <t>New York : E.P. Dutton, 1961, ©1960.</t>
  </si>
  <si>
    <t>1873192:eng</t>
  </si>
  <si>
    <t>19722734</t>
  </si>
  <si>
    <t>ocm19722734</t>
  </si>
  <si>
    <t>31036798625</t>
  </si>
  <si>
    <t>793066878</t>
  </si>
  <si>
    <t>QH143 N38 1997</t>
  </si>
  <si>
    <t>0                      QH 0143000N  38          1997</t>
  </si>
  <si>
    <t>Nature in Ireland : a scientific and cultural history / senior editor, John Wilson Foster ; associate editor, Helena C.G. Chesney.</t>
  </si>
  <si>
    <t>Montréal : McGill-Queen's University Press, ©1997.</t>
  </si>
  <si>
    <t>837040187:eng</t>
  </si>
  <si>
    <t>229477086</t>
  </si>
  <si>
    <t>ocn229477086</t>
  </si>
  <si>
    <t>31019040018</t>
  </si>
  <si>
    <t>9780773518162</t>
  </si>
  <si>
    <t>794354297</t>
  </si>
  <si>
    <t>QH151 S24 1991</t>
  </si>
  <si>
    <t>0                      QH 0151000S  24          1991</t>
  </si>
  <si>
    <t>The ecology of the ancient Greek world / Robert Sallares.</t>
  </si>
  <si>
    <t>Sallares, Robert, author.</t>
  </si>
  <si>
    <t>21005340:eng</t>
  </si>
  <si>
    <t>22543364</t>
  </si>
  <si>
    <t>ocm22543364</t>
  </si>
  <si>
    <t>31024543338</t>
  </si>
  <si>
    <t>9780801426155</t>
  </si>
  <si>
    <t>793147549</t>
  </si>
  <si>
    <t>3101014344Z</t>
  </si>
  <si>
    <t>793147548</t>
  </si>
  <si>
    <t>QH159 E56 1986</t>
  </si>
  <si>
    <t>0                      QH 0159000E  56          1986</t>
  </si>
  <si>
    <t>Hendrik Engelʼs Alphabetical list of Dutch zoological cabinets and menageries.</t>
  </si>
  <si>
    <t>Engel, Hendrik, 1898-</t>
  </si>
  <si>
    <t>Amsterdam : Rodopi, ©1986.</t>
  </si>
  <si>
    <t>2nd, enl. ed. / prepared by Pieter Smit with the assistance of A.P.M. Sanders and J.P.F. van der Veer.</t>
  </si>
  <si>
    <t>Nieuwe Nederlandse bijdragen tot de geschiedenis der geneeskunde en der natuurwetenschappen, 0168-9827 ; no. 19</t>
  </si>
  <si>
    <t>9318923:eng</t>
  </si>
  <si>
    <t>14396972</t>
  </si>
  <si>
    <t>ocm14396972</t>
  </si>
  <si>
    <t>3101016069L</t>
  </si>
  <si>
    <t>9789062036189</t>
  </si>
  <si>
    <t>792888789</t>
  </si>
  <si>
    <t>QH161 U544 2005</t>
  </si>
  <si>
    <t>0                      QH 0161000U  544         2005</t>
  </si>
  <si>
    <t>Understanding Russian nature : representations, values and concepts / Arja Rosenholm and Sari Autio-Sarasmo (eds.).</t>
  </si>
  <si>
    <t>Helsinki : University of Helsinki, Aleksanteri Institute, 2005.</t>
  </si>
  <si>
    <t>Aleksanteri Papers ; 4:2005</t>
  </si>
  <si>
    <t>376478330:eng</t>
  </si>
  <si>
    <t>85810566</t>
  </si>
  <si>
    <t>ocm85810566</t>
  </si>
  <si>
    <t>3102671007D</t>
  </si>
  <si>
    <t>9789521025983</t>
  </si>
  <si>
    <t>794216299</t>
  </si>
  <si>
    <t>QH181 S35 2012</t>
  </si>
  <si>
    <t>0                      QH 0181000S  35          2012</t>
  </si>
  <si>
    <t>Tibet wild : a naturalist's journeys on the roof of the world / George B. Schaller.</t>
  </si>
  <si>
    <t>Schaller, George B.</t>
  </si>
  <si>
    <t>1171194091:eng</t>
  </si>
  <si>
    <t>768126315</t>
  </si>
  <si>
    <t>ocn768126315</t>
  </si>
  <si>
    <t>3103497390V</t>
  </si>
  <si>
    <t>9781610911726</t>
  </si>
  <si>
    <t>794901940</t>
  </si>
  <si>
    <t>QH186 E23 v.5</t>
  </si>
  <si>
    <t>0                      QH 0186000E  23                                                      v.5</t>
  </si>
  <si>
    <t>The ecology of Nusa Tenggara and Maluku / Kathryn A. Monk, Yance De Fretes, Gayatri Reksodiharjo-Lilley.</t>
  </si>
  <si>
    <t>Monk, Kathryn A., 1954-</t>
  </si>
  <si>
    <t>[Hong Kong] : Periplus Editions, ©1997.</t>
  </si>
  <si>
    <t>The ecology of Indonesia series ; v. 5</t>
  </si>
  <si>
    <t>637046:eng</t>
  </si>
  <si>
    <t>38364047</t>
  </si>
  <si>
    <t>ocm38364047</t>
  </si>
  <si>
    <t>3101898953Y</t>
  </si>
  <si>
    <t>9789625930763</t>
  </si>
  <si>
    <t>793522388</t>
  </si>
  <si>
    <t>QH191 L35 1979</t>
  </si>
  <si>
    <t>0                      QH 0191000L  35          1979</t>
  </si>
  <si>
    <t>Lake Baikal : guide-book / Academy of Sciences of the USSR, Limnological Institute of the Siberian Branch.</t>
  </si>
  <si>
    <t>Moscow : "Nauka", 1979.</t>
  </si>
  <si>
    <t>2015-10-09</t>
  </si>
  <si>
    <t>42487005:rus</t>
  </si>
  <si>
    <t>38645447</t>
  </si>
  <si>
    <t>ocm38645447</t>
  </si>
  <si>
    <t>31018721325</t>
  </si>
  <si>
    <t>793528525</t>
  </si>
  <si>
    <t>QH193 H5 S32</t>
  </si>
  <si>
    <t>0                      QH 0193000H  5                  S  32</t>
  </si>
  <si>
    <t>Stones of silence : journeys in the Himalaya / George B. Schaller ; illustrated with sketches by Jean Pruchnik and photos. by George B. Schaller.</t>
  </si>
  <si>
    <t>New York : Viking Press, 1980.</t>
  </si>
  <si>
    <t>516234:eng</t>
  </si>
  <si>
    <t>5353246</t>
  </si>
  <si>
    <t>ocm05353246</t>
  </si>
  <si>
    <t>3001024553U</t>
  </si>
  <si>
    <t>9780670671403</t>
  </si>
  <si>
    <t>792427476</t>
  </si>
  <si>
    <t>QH193 K6 K58 2017</t>
  </si>
  <si>
    <t>0                      QH 0193000K  6                  K  58          2017</t>
  </si>
  <si>
    <t>Chosŏn ŭi saengt'ae hwan'gyŏngsa / Kim Tong-jin chiŭm.</t>
  </si>
  <si>
    <t>Kim, Tong-jin, 1966- author.</t>
  </si>
  <si>
    <t>Sŏul-si : P'urŭn Yŏksa, 2017.</t>
  </si>
  <si>
    <t>4436151680:kor</t>
  </si>
  <si>
    <t>995630634</t>
  </si>
  <si>
    <t>ocn995630634</t>
  </si>
  <si>
    <t>31037601089</t>
  </si>
  <si>
    <t>9791156120872</t>
  </si>
  <si>
    <t>795039677</t>
  </si>
  <si>
    <t>QH193 N37 S26 1996</t>
  </si>
  <si>
    <t>0                      QH 0193000N  37                 S  26          1996</t>
  </si>
  <si>
    <t>Ecology of river Narmada / K. Sankaran Unni.</t>
  </si>
  <si>
    <t>Sankaran Unni, K., 1938-</t>
  </si>
  <si>
    <t>New Delhi : A.P.H. Pub. Corp., 1996.</t>
  </si>
  <si>
    <t>2018-04-19</t>
  </si>
  <si>
    <t>45981223:eng</t>
  </si>
  <si>
    <t>35941670</t>
  </si>
  <si>
    <t>ocm35941670</t>
  </si>
  <si>
    <t>3101985425$</t>
  </si>
  <si>
    <t>9788170247654</t>
  </si>
  <si>
    <t>793461855</t>
  </si>
  <si>
    <t>QH195 B6 L36 1993</t>
  </si>
  <si>
    <t>0                      QH 0195000B  6                  L  36          1993</t>
  </si>
  <si>
    <t>Okavango : Africa's last eden / Frans Lanting ; edited by Christine Eckstrom.</t>
  </si>
  <si>
    <t>Lanting, Frans.</t>
  </si>
  <si>
    <t>San Francisco : Chronicle Books in association with Callaway Editions, 1993.</t>
  </si>
  <si>
    <t>3769429952:eng</t>
  </si>
  <si>
    <t>27895474</t>
  </si>
  <si>
    <t>ocm27895474</t>
  </si>
  <si>
    <t>3101849122S</t>
  </si>
  <si>
    <t>9780811805278</t>
  </si>
  <si>
    <t>793274672</t>
  </si>
  <si>
    <t>QH195 M2 N37 1997</t>
  </si>
  <si>
    <t>0                      QH 0195000M  2                  N  37          1997</t>
  </si>
  <si>
    <t>Natural change and human impact in Madagascar / edited by Steven M. Goodman and Bruce D. Patterson.</t>
  </si>
  <si>
    <t>Washington, DC : Smithsonian Institution Press, ©1997.</t>
  </si>
  <si>
    <t>366208174:eng</t>
  </si>
  <si>
    <t>35620388</t>
  </si>
  <si>
    <t>ocm35620388</t>
  </si>
  <si>
    <t>3101870025G</t>
  </si>
  <si>
    <t>9781560986829</t>
  </si>
  <si>
    <t>793453439</t>
  </si>
  <si>
    <t>QH198 G3 G35 2016</t>
  </si>
  <si>
    <t>0                      QH 0198000G  3                  G  35          2016</t>
  </si>
  <si>
    <t>Galapagos : preserving Darwin's legacy / Tui de Roy, editor and principal photographer. ; with contributions by experts and major researcxhers highlighting new knowledge, recent discovries and breakthroughs in appliced conservation science."</t>
  </si>
  <si>
    <t>London : Bloomsbury Wildlife, 2016.</t>
  </si>
  <si>
    <t>New edition.</t>
  </si>
  <si>
    <t>3894957593:eng</t>
  </si>
  <si>
    <t>1053568524</t>
  </si>
  <si>
    <t>on1053568524</t>
  </si>
  <si>
    <t>3103867470O</t>
  </si>
  <si>
    <t>9781472966964</t>
  </si>
  <si>
    <t>795062519</t>
  </si>
  <si>
    <t>QH198 G3 N53 2014</t>
  </si>
  <si>
    <t>0                      QH 0198000G  3                  N  53          2014</t>
  </si>
  <si>
    <t>The Galapagos : a natural history / Henry Nicholls.</t>
  </si>
  <si>
    <t>Nicholls, Henry, 1973-</t>
  </si>
  <si>
    <t>New York : Basic Books, a member of the Perseus Books Group, [2014]</t>
  </si>
  <si>
    <t>3859840780:eng</t>
  </si>
  <si>
    <t>866563829</t>
  </si>
  <si>
    <t>ocn866563829</t>
  </si>
  <si>
    <t>31035315469</t>
  </si>
  <si>
    <t>9780465035977</t>
  </si>
  <si>
    <t>794963385</t>
  </si>
  <si>
    <t>QH198 H3 D38 1988</t>
  </si>
  <si>
    <t>0                      QH 0198000H  3                  D  38          1988</t>
  </si>
  <si>
    <t>Hawaii, the islands of life : the Nature Conservancy of Hawaii / by Gavan Daws ; with captions by Samuel M. Gon III.</t>
  </si>
  <si>
    <t>Daws, Gavan.</t>
  </si>
  <si>
    <t>Honolulu : Signature Pub., 1988.</t>
  </si>
  <si>
    <t>17195945:eng</t>
  </si>
  <si>
    <t>18049112</t>
  </si>
  <si>
    <t>ocm18049112</t>
  </si>
  <si>
    <t>3101182289F</t>
  </si>
  <si>
    <t>9780943823010</t>
  </si>
  <si>
    <t>793011882</t>
  </si>
  <si>
    <t>QH198 H3 Z54 2002</t>
  </si>
  <si>
    <t>0                      QH 0198000H  3                  Z  54          2002</t>
  </si>
  <si>
    <t>Hawaiian natural history, ecology, and evolution / Alan C. Ziegler.</t>
  </si>
  <si>
    <t>Ziegler, Alan C.</t>
  </si>
  <si>
    <t>Honolulu : University of Hawai'i Press, ©2002.</t>
  </si>
  <si>
    <t>12824796:eng</t>
  </si>
  <si>
    <t>48084188</t>
  </si>
  <si>
    <t>ocm48084188</t>
  </si>
  <si>
    <t>31022570837</t>
  </si>
  <si>
    <t>9780824821906</t>
  </si>
  <si>
    <t>793715496</t>
  </si>
  <si>
    <t>QH204 F67 1985b</t>
  </si>
  <si>
    <t>0                      QH 0204000F  67          1985b</t>
  </si>
  <si>
    <t>Single lens : the story of the simple microscope / Brian J. Ford.</t>
  </si>
  <si>
    <t>Ford, Brian J.</t>
  </si>
  <si>
    <t>New York : Harper &amp; Row, 1985.</t>
  </si>
  <si>
    <t>3629377:eng</t>
  </si>
  <si>
    <t>10998821</t>
  </si>
  <si>
    <t>ocm10998821</t>
  </si>
  <si>
    <t>30003763111</t>
  </si>
  <si>
    <t>9780060153663</t>
  </si>
  <si>
    <t>792753624</t>
  </si>
  <si>
    <t>2013-11-25</t>
  </si>
  <si>
    <t>QH212 E4 H3 1966</t>
  </si>
  <si>
    <t>0                      QH 0212000E  4                  H  3           1966</t>
  </si>
  <si>
    <t>Introduction to electron microscopy.</t>
  </si>
  <si>
    <t>Hall, Cecil E.</t>
  </si>
  <si>
    <t>New York, McGraw-Hall [©1966]</t>
  </si>
  <si>
    <t>1559332:eng</t>
  </si>
  <si>
    <t>684141</t>
  </si>
  <si>
    <t>ocm00684141</t>
  </si>
  <si>
    <t>3001027002F</t>
  </si>
  <si>
    <t>791445515</t>
  </si>
  <si>
    <t>QH213 B34</t>
  </si>
  <si>
    <t>0                      QH 0213000B  34</t>
  </si>
  <si>
    <t>Micromanipulators and micromanipulation.</t>
  </si>
  <si>
    <t>El-Badry, Hamed M.</t>
  </si>
  <si>
    <t>New York, Academic Press, 1963.</t>
  </si>
  <si>
    <t>Monographien aus dem Gebiete der Qualitativen Mikroanalyse, v. 3</t>
  </si>
  <si>
    <t>1376141:eng</t>
  </si>
  <si>
    <t>1162178</t>
  </si>
  <si>
    <t>ocm01162178</t>
  </si>
  <si>
    <t>3001055737Y</t>
  </si>
  <si>
    <t>791561012</t>
  </si>
  <si>
    <t>QH237 G88</t>
  </si>
  <si>
    <t>0                      QH 0237000G  88</t>
  </si>
  <si>
    <t>Synthetic dyes in biology, medicine and chemistry.</t>
  </si>
  <si>
    <t>Gurr, Edward.</t>
  </si>
  <si>
    <t>London, New York, Academic P., 1971.</t>
  </si>
  <si>
    <t>2003-11-17</t>
  </si>
  <si>
    <t>2017-06-06</t>
  </si>
  <si>
    <t>1336090:eng</t>
  </si>
  <si>
    <t>148947</t>
  </si>
  <si>
    <t>ocm00148947</t>
  </si>
  <si>
    <t>3001048199R</t>
  </si>
  <si>
    <t>9780123096500</t>
  </si>
  <si>
    <t>791272578</t>
  </si>
  <si>
    <t>QH303.2 A475</t>
  </si>
  <si>
    <t>0                      QH 0303200A  475</t>
  </si>
  <si>
    <t>Guidelines for development of biology data banks / by Philip L. Altman, Kenneth D. Fisher.</t>
  </si>
  <si>
    <t>Altman, Philip L.</t>
  </si>
  <si>
    <t>Bethesda, Md. : Life Sciences Research Office, Federation of American Societies for Experimental Biology, 1981.</t>
  </si>
  <si>
    <t>2287689405:eng</t>
  </si>
  <si>
    <t>8032298</t>
  </si>
  <si>
    <t>ocm08032298</t>
  </si>
  <si>
    <t>3103305819H</t>
  </si>
  <si>
    <t>792594308</t>
  </si>
  <si>
    <t>QH304 H64 2016</t>
  </si>
  <si>
    <t>0                      QH 0304000H  64          2016</t>
  </si>
  <si>
    <t>Writing in the biological sciences : a comprehensive resource for scientific communication / Angelika H. Hofmann, Ph. D., Yale University.</t>
  </si>
  <si>
    <t>Hofmann, Angelika H., 1965-</t>
  </si>
  <si>
    <t>New York : Oxford University Press, [2016]</t>
  </si>
  <si>
    <t>2029959155:eng</t>
  </si>
  <si>
    <t>919924587</t>
  </si>
  <si>
    <t>ocn919924587</t>
  </si>
  <si>
    <t>3103739989Z</t>
  </si>
  <si>
    <t>9780190245603</t>
  </si>
  <si>
    <t>795002087</t>
  </si>
  <si>
    <t>QH304 H64 2019</t>
  </si>
  <si>
    <t>0                      QH 0304000H  64          2019</t>
  </si>
  <si>
    <t>Writing in the biological sciences : a comprehensive resource for scientific communication / Angelika H. Hofmann, Yale University.</t>
  </si>
  <si>
    <t>New York : Oxford University Press, [2019]</t>
  </si>
  <si>
    <t>1010505696</t>
  </si>
  <si>
    <t>on1010505696</t>
  </si>
  <si>
    <t>3103704067D</t>
  </si>
  <si>
    <t>9780190852191</t>
  </si>
  <si>
    <t>795045179</t>
  </si>
  <si>
    <t>QH304 K59 2017</t>
  </si>
  <si>
    <t>0                      QH 0304000K  59          2017</t>
  </si>
  <si>
    <t>A student handbook for writing in biology / Karin Knisely, Bucknell University.</t>
  </si>
  <si>
    <t>Knisely, Karin, author.</t>
  </si>
  <si>
    <t>Sunderland, Massachusetts : Sinauer Associates, Inc., [2017]</t>
  </si>
  <si>
    <t>1083470:eng</t>
  </si>
  <si>
    <t>969973714</t>
  </si>
  <si>
    <t>ocn969973714</t>
  </si>
  <si>
    <t>3103669582H</t>
  </si>
  <si>
    <t>9781319121815</t>
  </si>
  <si>
    <t>795027568</t>
  </si>
  <si>
    <t>QH304 R65 2016</t>
  </si>
  <si>
    <t>0                      QH 0304000R  65          2016</t>
  </si>
  <si>
    <t>Writing in biology : a brief guide / Leslie Roldan, Mary-Lou Pardue, Massachusetts Institute of Technology.</t>
  </si>
  <si>
    <t>Roldan, Leslie.</t>
  </si>
  <si>
    <t>Brief guides to writing in the disciplines</t>
  </si>
  <si>
    <t>3004286236:eng</t>
  </si>
  <si>
    <t>922970517</t>
  </si>
  <si>
    <t>ocn922970517</t>
  </si>
  <si>
    <t>3103739970J</t>
  </si>
  <si>
    <t>9780199342716</t>
  </si>
  <si>
    <t>795004400</t>
  </si>
  <si>
    <t>QH305 M22</t>
  </si>
  <si>
    <t>0                      QH 0305000M  22</t>
  </si>
  <si>
    <t>A history of the life sciences / Lois N. Magner.</t>
  </si>
  <si>
    <t>Magner, Lois N., 1943-</t>
  </si>
  <si>
    <t>New York : M. Dekker, ©1979.</t>
  </si>
  <si>
    <t>4923275228:eng</t>
  </si>
  <si>
    <t>4983272</t>
  </si>
  <si>
    <t>ocm04983272</t>
  </si>
  <si>
    <t>3001024357U</t>
  </si>
  <si>
    <t>9780824768249</t>
  </si>
  <si>
    <t>792399241</t>
  </si>
  <si>
    <t>QH305 M26 1982</t>
  </si>
  <si>
    <t>0                      QH 0305000M  26          1982</t>
  </si>
  <si>
    <t>The growth of biological thought : diversity, evolution, and inheritance / Ernst Mayr.</t>
  </si>
  <si>
    <t>Mayr, Ernst, 1904-2005.</t>
  </si>
  <si>
    <t>Cambridge, Mass. : Belknap Press, 1982.</t>
  </si>
  <si>
    <t>2015-04-13</t>
  </si>
  <si>
    <t>28919941:eng</t>
  </si>
  <si>
    <t>7875904</t>
  </si>
  <si>
    <t>ocm07875904</t>
  </si>
  <si>
    <t>3001026833E</t>
  </si>
  <si>
    <t>9780674364455</t>
  </si>
  <si>
    <t>792584614</t>
  </si>
  <si>
    <t>QH305 R54 1971</t>
  </si>
  <si>
    <t>0                      QH 0305000R  54          1971</t>
  </si>
  <si>
    <t>Les sciences de la vie dans la pensée française du 18e siècle : La génération des animaux de Descartes à l'Encyclopédie.</t>
  </si>
  <si>
    <t>Roger, Jacques.</t>
  </si>
  <si>
    <t>Paris : Armand Colin, 1971.</t>
  </si>
  <si>
    <t>2e éd. complétée.</t>
  </si>
  <si>
    <t>2864127387:fre</t>
  </si>
  <si>
    <t>80423674</t>
  </si>
  <si>
    <t>ocm80423674</t>
  </si>
  <si>
    <t>3000557773U</t>
  </si>
  <si>
    <t>794200812</t>
  </si>
  <si>
    <t>QH305 R56 1964</t>
  </si>
  <si>
    <t>0                      QH 0305000R  56          1964</t>
  </si>
  <si>
    <t>The origins and growth of biology.</t>
  </si>
  <si>
    <t>Rook, Arthur.</t>
  </si>
  <si>
    <t>Baltimore, Penguin Books [1964]</t>
  </si>
  <si>
    <t>Pelican books ; A536</t>
  </si>
  <si>
    <t>2011-03-01</t>
  </si>
  <si>
    <t>355409937:eng</t>
  </si>
  <si>
    <t>863175</t>
  </si>
  <si>
    <t>ocm00863175</t>
  </si>
  <si>
    <t>3103293691D</t>
  </si>
  <si>
    <t>791489772</t>
  </si>
  <si>
    <t>QH305 S25</t>
  </si>
  <si>
    <t>0                      QH 0305000S  25</t>
  </si>
  <si>
    <t>L'institution de la science et l'expérience du vivant : méthode et expérience à l'Académie royale des sciences, 1666-1793 / Claire Salomon-Bayet.</t>
  </si>
  <si>
    <t>Salomon-Bayet, Claire.</t>
  </si>
  <si>
    <t>Paris : Flammarion, ©1978.</t>
  </si>
  <si>
    <t>Science</t>
  </si>
  <si>
    <t>792122632:fre</t>
  </si>
  <si>
    <t>5455862</t>
  </si>
  <si>
    <t>ocm05455862</t>
  </si>
  <si>
    <t>3000429648B</t>
  </si>
  <si>
    <t>9782082106542</t>
  </si>
  <si>
    <t>792434152</t>
  </si>
  <si>
    <t>QH305 S96 1995</t>
  </si>
  <si>
    <t>0                      QH 0305000S  96          1995</t>
  </si>
  <si>
    <t>Aristotelische Biologie : Intentionen, Methoden, Ergebnisse : Akten des Symposions über Aristoteles' Biologie vom 24.-28. Juli 1995 in der Werner-Reimers-Stiftung in Bad Homburg / herausgegeben von Wolfgang Kullmann und Sabine Föllinger.</t>
  </si>
  <si>
    <t>Symposion über Aristoteles' Biologie (1995 : Werner-Reimers-Stiftung)</t>
  </si>
  <si>
    <t>Stuttgart : F. Steiner Verlag, 1997.</t>
  </si>
  <si>
    <t>Philosophie der Antike, 0943-5921 ; Bd. 6</t>
  </si>
  <si>
    <t>890086771:ger</t>
  </si>
  <si>
    <t>38279397</t>
  </si>
  <si>
    <t>ocm38279397</t>
  </si>
  <si>
    <t>31019504425</t>
  </si>
  <si>
    <t>9783515070478</t>
  </si>
  <si>
    <t>793521056</t>
  </si>
  <si>
    <t>QH305.2 G3 L46 1982</t>
  </si>
  <si>
    <t>0                      QH 0305200G  3                  L  46          1982</t>
  </si>
  <si>
    <t>The strategy of life : teleology and mechanics in nineteenth century German biology / Timothy Lenoir.</t>
  </si>
  <si>
    <t>Lenoir, Timothy, 1948-</t>
  </si>
  <si>
    <t>Dordrecht, Holland ; Boston, U.S.A. : D. Reidel Pub. Co. ; Hingham, MA : Sold and distributed in the U.S.A. and Canada by Kluwer Boston, ©1982.</t>
  </si>
  <si>
    <t>Studies in the history of modern science ; v. 13</t>
  </si>
  <si>
    <t>568067:eng</t>
  </si>
  <si>
    <t>8689604</t>
  </si>
  <si>
    <t>ocm08689604</t>
  </si>
  <si>
    <t>3001027650H</t>
  </si>
  <si>
    <t>9789027713636</t>
  </si>
  <si>
    <t>792635634</t>
  </si>
  <si>
    <t>QH305.2 G7 R43 1983</t>
  </si>
  <si>
    <t>0                      QH 0305200G  7                  R  43          1983</t>
  </si>
  <si>
    <t>The philosophical naturalists : themes in early nineteenth-century British biology / Philip F. Rehbock.</t>
  </si>
  <si>
    <t>Rehbock, Philip F., 1942-</t>
  </si>
  <si>
    <t>Madison, Wis. : University of Wisconsin Press, 1983.</t>
  </si>
  <si>
    <t>Wisconsin publications in the history of science and medicine ; no. 3</t>
  </si>
  <si>
    <t>836622638:eng</t>
  </si>
  <si>
    <t>9646277</t>
  </si>
  <si>
    <t>ocm09646277</t>
  </si>
  <si>
    <t>3000356248V</t>
  </si>
  <si>
    <t>9780299094300</t>
  </si>
  <si>
    <t>792686636</t>
  </si>
  <si>
    <t>QH305.5 R67 2000</t>
  </si>
  <si>
    <t>0                      QH 0305500R  67          2000</t>
  </si>
  <si>
    <t>Women, science, and society : the crucial union / Sue V. Rosser.</t>
  </si>
  <si>
    <t>44585919:eng</t>
  </si>
  <si>
    <t>43334131</t>
  </si>
  <si>
    <t>ocm43334131</t>
  </si>
  <si>
    <t>3102029575E</t>
  </si>
  <si>
    <t>9780807739433</t>
  </si>
  <si>
    <t>793624808</t>
  </si>
  <si>
    <t>QH305.5 S53 2004</t>
  </si>
  <si>
    <t>0                      QH 0305500S  53          2004</t>
  </si>
  <si>
    <t>Women's work : gender equality vs. hierarchy in the life sciences / Laurel Smith-Doerr.</t>
  </si>
  <si>
    <t>Smith-Doerr, Laurel, 1969-</t>
  </si>
  <si>
    <t>Boulder : Lynne Rienner Publishers, 2004.</t>
  </si>
  <si>
    <t>288293964:eng</t>
  </si>
  <si>
    <t>54425415</t>
  </si>
  <si>
    <t>ocm54425415</t>
  </si>
  <si>
    <t>31023851105</t>
  </si>
  <si>
    <t>9781588262646</t>
  </si>
  <si>
    <t>793861590</t>
  </si>
  <si>
    <t>QH307.2 B43 2019</t>
  </si>
  <si>
    <t>0                      QH 0307200B  43          2019</t>
  </si>
  <si>
    <t>Biology : science for life / Colleen Belk, University of Minnesota Duluth, Virginia Borden Maier, St. John Fisher College.</t>
  </si>
  <si>
    <t>Belk, Colleen M., author.</t>
  </si>
  <si>
    <t>New York, NY : Pearson, [2019]</t>
  </si>
  <si>
    <t>2286767883:eng</t>
  </si>
  <si>
    <t>1010544207</t>
  </si>
  <si>
    <t>on1010544207</t>
  </si>
  <si>
    <t>3103810258D</t>
  </si>
  <si>
    <t>9780134675473</t>
  </si>
  <si>
    <t>795045190</t>
  </si>
  <si>
    <t>QH307.2 B43 2019b</t>
  </si>
  <si>
    <t>0                      QH 0307200B  43          2019b</t>
  </si>
  <si>
    <t>Biology : science for life, with physiology / Colleen Belk, University of Minnesota-Duluth, Virginia Borden Maier, St. John Fisher College.</t>
  </si>
  <si>
    <t>Belk, Colleen M, author.</t>
  </si>
  <si>
    <t>3755164388:eng</t>
  </si>
  <si>
    <t>1010585474</t>
  </si>
  <si>
    <t>on1010585474</t>
  </si>
  <si>
    <t>3103811513I</t>
  </si>
  <si>
    <t>9780134555430</t>
  </si>
  <si>
    <t>795045209</t>
  </si>
  <si>
    <t>QH307.2 P56 2010</t>
  </si>
  <si>
    <t>0                      QH 0307200P  56          2010</t>
  </si>
  <si>
    <t>Evolutionary worlds without end / Henry Plotkin.</t>
  </si>
  <si>
    <t>Plotkin, H. C. (Henry C.)</t>
  </si>
  <si>
    <t>2011-03-18</t>
  </si>
  <si>
    <t>2011-07-25</t>
  </si>
  <si>
    <t>376416562:eng</t>
  </si>
  <si>
    <t>503639285</t>
  </si>
  <si>
    <t>ocn503639285</t>
  </si>
  <si>
    <t>3103133511V</t>
  </si>
  <si>
    <t>9780199544950</t>
  </si>
  <si>
    <t>794806611</t>
  </si>
  <si>
    <t>QH307.2 T458 1974</t>
  </si>
  <si>
    <t>0                      QH 0307200T  458         1974</t>
  </si>
  <si>
    <t>The lives of a cell : notes of a biology watcher / Lewis Thomas.</t>
  </si>
  <si>
    <t>Thomas, Lewis, 1913-1993.</t>
  </si>
  <si>
    <t>New York, Viking Press [1974]</t>
  </si>
  <si>
    <t>2013-04-24</t>
  </si>
  <si>
    <t>196153574:eng</t>
  </si>
  <si>
    <t>918053</t>
  </si>
  <si>
    <t>ocm00918053</t>
  </si>
  <si>
    <t>3101920618C</t>
  </si>
  <si>
    <t>9780670434428</t>
  </si>
  <si>
    <t>791501892</t>
  </si>
  <si>
    <t>QH308.2 C34 2014</t>
  </si>
  <si>
    <t>0                      QH 0308200C  34          2014</t>
  </si>
  <si>
    <t>Campbell biology / Jane B. Reece, Lisa A. Urry, Michael L. Cain, Steven A. Wasserman, Peter V. Minorsky, Robert B. Jackson, Fiona Rawle, Dion Durnford, Chris Moyes, Sandra Walde, Kenneth Wilson.</t>
  </si>
  <si>
    <t>Reece, Jane B., author.</t>
  </si>
  <si>
    <t>Don Mills, Ontario : Pearson Canada, [2014]</t>
  </si>
  <si>
    <t>Canadian edition.</t>
  </si>
  <si>
    <t>2019-08-29</t>
  </si>
  <si>
    <t>2973733737:eng</t>
  </si>
  <si>
    <t>857794318</t>
  </si>
  <si>
    <t>ocn857794318</t>
  </si>
  <si>
    <t>3103687254W</t>
  </si>
  <si>
    <t>9780321778307</t>
  </si>
  <si>
    <t>794955388</t>
  </si>
  <si>
    <t>3103687248R</t>
  </si>
  <si>
    <t>794955389</t>
  </si>
  <si>
    <t>QH308.7 W65 1976</t>
  </si>
  <si>
    <t>0                      QH 0308700W  65          1976</t>
  </si>
  <si>
    <t>Biology : ideas and investigations in science / Harry K. Wong, Malvin S. Dolmatz.</t>
  </si>
  <si>
    <t>Wong, Harry K., 1932-</t>
  </si>
  <si>
    <t>Englewood Cliffs, N.J. : Prentice-Hall, 1976.</t>
  </si>
  <si>
    <t>Ideas and investigations in science</t>
  </si>
  <si>
    <t>3855289426:eng</t>
  </si>
  <si>
    <t>2323706</t>
  </si>
  <si>
    <t>ocm02323706</t>
  </si>
  <si>
    <t>3100986784B</t>
  </si>
  <si>
    <t>9780134498270</t>
  </si>
  <si>
    <t>792103813</t>
  </si>
  <si>
    <t>QH309 R55</t>
  </si>
  <si>
    <t>0                      QH 0309000R  55</t>
  </si>
  <si>
    <t>The second genesis : the coming control of life / by Albert Rosenfeld.</t>
  </si>
  <si>
    <t>Rosenfeld, Albert.</t>
  </si>
  <si>
    <t>Englewood Cliffs, N.J. : Prentice-Hall, [1969]</t>
  </si>
  <si>
    <t>1145222:eng</t>
  </si>
  <si>
    <t>23053</t>
  </si>
  <si>
    <t>ocm00023053</t>
  </si>
  <si>
    <t>31037735801</t>
  </si>
  <si>
    <t>9780137973576</t>
  </si>
  <si>
    <t>791231575</t>
  </si>
  <si>
    <t>QH311 H18</t>
  </si>
  <si>
    <t>0                      QH 0311000H  18</t>
  </si>
  <si>
    <t>The wonders of life; a popular study of biological philosophy, by Ernst Haeckel ... translated by Joseph McCabe ...</t>
  </si>
  <si>
    <t>Haeckel, Ernst, 1834-1919.</t>
  </si>
  <si>
    <t>New York, London, Harper &amp; Brothers, 1905.</t>
  </si>
  <si>
    <t>2899838482:eng</t>
  </si>
  <si>
    <t>1396549</t>
  </si>
  <si>
    <t>ocm01396549</t>
  </si>
  <si>
    <t>30006655275</t>
  </si>
  <si>
    <t>791617964</t>
  </si>
  <si>
    <t>QH311 H93</t>
  </si>
  <si>
    <t>0                      QH 0311000H  93</t>
  </si>
  <si>
    <t>Stream of life, by Julian S. Huxley.</t>
  </si>
  <si>
    <t>Huxley, Julian, 1887-1975.</t>
  </si>
  <si>
    <t>New York, Harper &amp; Bros., 1927.</t>
  </si>
  <si>
    <t>Things-to-know series</t>
  </si>
  <si>
    <t>2401703:eng</t>
  </si>
  <si>
    <t>6451250</t>
  </si>
  <si>
    <t>ocm06451250</t>
  </si>
  <si>
    <t>3001150540Y</t>
  </si>
  <si>
    <t>792499892</t>
  </si>
  <si>
    <t>QH311 S65</t>
  </si>
  <si>
    <t>0                      QH 0311000S  65</t>
  </si>
  <si>
    <t>Philosophy of biology.</t>
  </si>
  <si>
    <t>Smith, Vincent Edward, 1915- editor.</t>
  </si>
  <si>
    <t>New York, St. John's University Press [1962]</t>
  </si>
  <si>
    <t>St. John's University studies. Philosophical series, no. 3</t>
  </si>
  <si>
    <t>1356549:eng</t>
  </si>
  <si>
    <t>231729</t>
  </si>
  <si>
    <t>ocm00231729</t>
  </si>
  <si>
    <t>3000496792E</t>
  </si>
  <si>
    <t>791302334</t>
  </si>
  <si>
    <t>QH315 K54 2003</t>
  </si>
  <si>
    <t>0                      QH 0315000K  54          2003</t>
  </si>
  <si>
    <t>Impure cultures : university biology and the world of commerce / Daniel Lee Kleinman.</t>
  </si>
  <si>
    <t>Kleinman, Daniel Lee.</t>
  </si>
  <si>
    <t>Madison, Wis. : University of Wisconsin Press, ©2003.</t>
  </si>
  <si>
    <t>Science and technology in society</t>
  </si>
  <si>
    <t>794186683:eng</t>
  </si>
  <si>
    <t>51968910</t>
  </si>
  <si>
    <t>ocm51968910</t>
  </si>
  <si>
    <t>31023625507</t>
  </si>
  <si>
    <t>9780299192334</t>
  </si>
  <si>
    <t>793795459</t>
  </si>
  <si>
    <t>QH315 L315</t>
  </si>
  <si>
    <t>0                      QH 0315000L  315</t>
  </si>
  <si>
    <t>Laboratory life : the social construction of scientific facts / Bruno Latour, Steve Woolgar ; introd. by Jonas Salk.</t>
  </si>
  <si>
    <t>Beverly Hills : Sage Publications, ©1979.</t>
  </si>
  <si>
    <t>Sage library of social research ; v. 80</t>
  </si>
  <si>
    <t>891783:eng</t>
  </si>
  <si>
    <t>4775088</t>
  </si>
  <si>
    <t>ocm04775088</t>
  </si>
  <si>
    <t>3100020499S</t>
  </si>
  <si>
    <t>9780803909939</t>
  </si>
  <si>
    <t>792382082</t>
  </si>
  <si>
    <t>31029477052</t>
  </si>
  <si>
    <t>792382083</t>
  </si>
  <si>
    <t>QH315 L315 1986</t>
  </si>
  <si>
    <t>0                      QH 0315000L  315         1986</t>
  </si>
  <si>
    <t>Laboratory life : the construction of scientific facts / Bruno Latour, Steve Woolgar ; introduction by Jonas Salk ; with a new postscript and index by the authors.</t>
  </si>
  <si>
    <t>13124747</t>
  </si>
  <si>
    <t>ocm13124747</t>
  </si>
  <si>
    <t>31027845258</t>
  </si>
  <si>
    <t>9780691028323</t>
  </si>
  <si>
    <t>792841777</t>
  </si>
  <si>
    <t>3101854572G</t>
  </si>
  <si>
    <t>792841778</t>
  </si>
  <si>
    <t>QH315 L31514 1996</t>
  </si>
  <si>
    <t>0                      QH 0315000L  31514       1996</t>
  </si>
  <si>
    <t>La vie de laboratoire : la production des faits scientifiques / Bruno Latour, Steve Woolgar ; trad. de l'anglais par Michel Biezunski.</t>
  </si>
  <si>
    <t>Paris : La Découverte, ©1996.</t>
  </si>
  <si>
    <t>La Découverte/Poche ; 18</t>
  </si>
  <si>
    <t>5377685205:fre</t>
  </si>
  <si>
    <t>36357631</t>
  </si>
  <si>
    <t>ocm36357631</t>
  </si>
  <si>
    <t>3103284335Z</t>
  </si>
  <si>
    <t>9782707126443</t>
  </si>
  <si>
    <t>793473502</t>
  </si>
  <si>
    <t>QH318 Z97 1988</t>
  </si>
  <si>
    <t>0                      QH 0318000Z  97          1988</t>
  </si>
  <si>
    <t>A handbook of biological illustration / Frances W. Zweifel.</t>
  </si>
  <si>
    <t>Zweifel, Frances W.</t>
  </si>
  <si>
    <t>Chicago : University of Chicago Press, 1988.</t>
  </si>
  <si>
    <t>2012-02-07</t>
  </si>
  <si>
    <t>11560798:eng</t>
  </si>
  <si>
    <t>17259089</t>
  </si>
  <si>
    <t>ocm17259089</t>
  </si>
  <si>
    <t>3001053701S</t>
  </si>
  <si>
    <t>9780226997001</t>
  </si>
  <si>
    <t>792985621</t>
  </si>
  <si>
    <t>QH319 A1 A66 2000</t>
  </si>
  <si>
    <t>0                      QH 0319000A  1                  A  66          2000</t>
  </si>
  <si>
    <t>Shaping biology : the National Science Foundation and American biological research, 1945-1975 / Toby A. Appel.</t>
  </si>
  <si>
    <t>Appel, Toby A., 1945-</t>
  </si>
  <si>
    <t>Baltimore : Johns Hopkins University Press, ©2000.</t>
  </si>
  <si>
    <t>793896661:eng</t>
  </si>
  <si>
    <t>43050289</t>
  </si>
  <si>
    <t>ocm43050289</t>
  </si>
  <si>
    <t>31021914856</t>
  </si>
  <si>
    <t>9780801863219</t>
  </si>
  <si>
    <t>793619257</t>
  </si>
  <si>
    <t>QH323.5 D46 2000</t>
  </si>
  <si>
    <t>0                      QH 0323500D  46          2000</t>
  </si>
  <si>
    <t>Chance in biology : using probability to explore nature / Mark Denny and Steven Gaines.</t>
  </si>
  <si>
    <t>Denny, Mark W., 1951-</t>
  </si>
  <si>
    <t>Princeton : Princeton University Press, ©2000.</t>
  </si>
  <si>
    <t>2016-07-22</t>
  </si>
  <si>
    <t>890976:eng</t>
  </si>
  <si>
    <t>43757593</t>
  </si>
  <si>
    <t>ocm43757593</t>
  </si>
  <si>
    <t>3102092760C</t>
  </si>
  <si>
    <t>9780691005218</t>
  </si>
  <si>
    <t>793634135</t>
  </si>
  <si>
    <t>QH323.5 M28</t>
  </si>
  <si>
    <t>0                      QH 0323500M  28</t>
  </si>
  <si>
    <t>Time lags in biological models / Norman MacDonald.</t>
  </si>
  <si>
    <t>MacDonald, N. (Norman), 1934-</t>
  </si>
  <si>
    <t>Berlin ; New York : Springer-Verlag, 1978.</t>
  </si>
  <si>
    <t>Lecture notes in biomathematics ; 27</t>
  </si>
  <si>
    <t>14787725:eng</t>
  </si>
  <si>
    <t>4503292</t>
  </si>
  <si>
    <t>ocm04503292</t>
  </si>
  <si>
    <t>3001038499L</t>
  </si>
  <si>
    <t>9780387090924</t>
  </si>
  <si>
    <t>792356809</t>
  </si>
  <si>
    <t>QH323.5 S52</t>
  </si>
  <si>
    <t>0                      QH 0323500S  52</t>
  </si>
  <si>
    <t>Mathematical techniques for physiology and medicine.</t>
  </si>
  <si>
    <t>Simon, William, 1929-</t>
  </si>
  <si>
    <t>New York, Academic Press [1972]</t>
  </si>
  <si>
    <t>3753456821:eng</t>
  </si>
  <si>
    <t>354087</t>
  </si>
  <si>
    <t>ocm00354087</t>
  </si>
  <si>
    <t>3001049458O</t>
  </si>
  <si>
    <t>9780126438505</t>
  </si>
  <si>
    <t>791348345</t>
  </si>
  <si>
    <t>QH323.5 S63</t>
  </si>
  <si>
    <t>0                      QH 0323500S  63</t>
  </si>
  <si>
    <t>Biometry : the principles and practice of statistics in biological research / [by] Robert R. Sokal and F. James Rohlf.</t>
  </si>
  <si>
    <t>Sokal, Robert R.</t>
  </si>
  <si>
    <t>San Francisco, W.H. Freeman [1969]</t>
  </si>
  <si>
    <t>2017-04-16</t>
  </si>
  <si>
    <t>1133494:eng</t>
  </si>
  <si>
    <t>10329</t>
  </si>
  <si>
    <t>ocm00010329</t>
  </si>
  <si>
    <t>31033875695</t>
  </si>
  <si>
    <t>9780716706632</t>
  </si>
  <si>
    <t>791227128</t>
  </si>
  <si>
    <t>QH324 C493</t>
  </si>
  <si>
    <t>0                      QH 0324000C  493</t>
  </si>
  <si>
    <t>Introduction to stochastic processes in biostatistics.</t>
  </si>
  <si>
    <t>Chiang, Chin Long, 1915-2014.</t>
  </si>
  <si>
    <t>New York, Wiley [1968]</t>
  </si>
  <si>
    <t>2003-10-16</t>
  </si>
  <si>
    <t>1449010:eng</t>
  </si>
  <si>
    <t>371591</t>
  </si>
  <si>
    <t>ocm00371591</t>
  </si>
  <si>
    <t>30010504157</t>
  </si>
  <si>
    <t>9780471155003</t>
  </si>
  <si>
    <t>791355041</t>
  </si>
  <si>
    <t>31028779956</t>
  </si>
  <si>
    <t>791355040</t>
  </si>
  <si>
    <t>QH 324 C744 1969</t>
  </si>
  <si>
    <t>0                      QH 0324000C  744         1969</t>
  </si>
  <si>
    <t>Concepts and models of biomathematics; simulation techniques and methods, edited by F. Heinmets.</t>
  </si>
  <si>
    <t>Heinmets, F. (Ferdinand)</t>
  </si>
  <si>
    <t>New York, M. Dekker, 1969.</t>
  </si>
  <si>
    <t>Biomathematics (New York, 1969- ) ; v. 1</t>
  </si>
  <si>
    <t>478621033:eng</t>
  </si>
  <si>
    <t>72747</t>
  </si>
  <si>
    <t>ocm00072747</t>
  </si>
  <si>
    <t>3000112856T</t>
  </si>
  <si>
    <t>791246440</t>
  </si>
  <si>
    <t>QH324 H35</t>
  </si>
  <si>
    <t>0                      QH 0324000H  35</t>
  </si>
  <si>
    <t>30010481746</t>
  </si>
  <si>
    <t>791246441</t>
  </si>
  <si>
    <t>QH324 S4</t>
  </si>
  <si>
    <t>0                      QH 0324000S  4</t>
  </si>
  <si>
    <t>Matrix algebra for the biological sciences, including applications in statistics [by] S.R. Searle.</t>
  </si>
  <si>
    <t>New York, Wiley [1966]</t>
  </si>
  <si>
    <t>Series on quantitative methods for biologists and medical scientists</t>
  </si>
  <si>
    <t>196709243:eng</t>
  </si>
  <si>
    <t>311505</t>
  </si>
  <si>
    <t>ocm00311505</t>
  </si>
  <si>
    <t>3000498802R</t>
  </si>
  <si>
    <t>9780471769309</t>
  </si>
  <si>
    <t>791332812</t>
  </si>
  <si>
    <t>2008-10-30</t>
  </si>
  <si>
    <t>3000991381P</t>
  </si>
  <si>
    <t>791332810</t>
  </si>
  <si>
    <t>- Wendy Patrick Collection - McLennan 2nd Floor - Regular Loan</t>
  </si>
  <si>
    <t>QH324.2 C44 2007</t>
  </si>
  <si>
    <t>0                      QH 0324200C  44          2007</t>
  </si>
  <si>
    <t>Bioinformatics for dummies® / by Jean-Michel Claverie and Cedric Notredame.</t>
  </si>
  <si>
    <t>Claverie, Jean-Michel, author.</t>
  </si>
  <si>
    <t>Hoboken, N.J. : Wiley Publishing, Inc., [2007]</t>
  </si>
  <si>
    <t>--For dummies</t>
  </si>
  <si>
    <t>759737:eng</t>
  </si>
  <si>
    <t>79917671</t>
  </si>
  <si>
    <t>ocm79917671</t>
  </si>
  <si>
    <t>3102593344L</t>
  </si>
  <si>
    <t>9780470089859</t>
  </si>
  <si>
    <t>794199390</t>
  </si>
  <si>
    <t>QH324.8 I57 1975</t>
  </si>
  <si>
    <t>0                      QH 0324800I  57          1975</t>
  </si>
  <si>
    <t>La ceroplastica nella scienza e nell'arte / atti del I Congresso internazionale, Firenze, 3-7 giugno 1975.</t>
  </si>
  <si>
    <t>International Congress on Wax Modelling in Science and Art (1st : 1975 : Florence, Italy)</t>
  </si>
  <si>
    <t>Firenze : L.S. Olschki, 1977.</t>
  </si>
  <si>
    <t>Biblioteca della "Rivista di storia delle scienze mediche e naturali" ; v. 20</t>
  </si>
  <si>
    <t>2011-05-22</t>
  </si>
  <si>
    <t>2018-07-27</t>
  </si>
  <si>
    <t>8909069271:ita</t>
  </si>
  <si>
    <t>4461826</t>
  </si>
  <si>
    <t>ocm04461826</t>
  </si>
  <si>
    <t>3102964494W</t>
  </si>
  <si>
    <t>792351840</t>
  </si>
  <si>
    <t>3102964499W</t>
  </si>
  <si>
    <t>792351839</t>
  </si>
  <si>
    <t>QH 324.8 S98x 1966</t>
  </si>
  <si>
    <t>0                      QH 0324800S  98x         1966</t>
  </si>
  <si>
    <t>Systems theory and biology. Proceedings of the 3rd Systems Symposium at Case Institute of Technology. Edited by M.D. Mesarović.</t>
  </si>
  <si>
    <t>Systems Symposium (3rd : 1966 : Case Institute of Technology)</t>
  </si>
  <si>
    <t>Berlin, New York Springer, 1968.</t>
  </si>
  <si>
    <t>2004-12-17</t>
  </si>
  <si>
    <t>48244636:eng</t>
  </si>
  <si>
    <t>455656</t>
  </si>
  <si>
    <t>ocm00455656</t>
  </si>
  <si>
    <t>3001043795$</t>
  </si>
  <si>
    <t>791382915</t>
  </si>
  <si>
    <t>QH325 A278 2002</t>
  </si>
  <si>
    <t>0                      QH 0325000A  278         2002</t>
  </si>
  <si>
    <t>Origins of existence : how life emerged in the universe / Fred Adams.</t>
  </si>
  <si>
    <t>Adams, Fred, 1961-</t>
  </si>
  <si>
    <t>New York : The Free Press, ©2002.</t>
  </si>
  <si>
    <t>1039591:eng</t>
  </si>
  <si>
    <t>50124724</t>
  </si>
  <si>
    <t>ocm50124724</t>
  </si>
  <si>
    <t>3102278350R</t>
  </si>
  <si>
    <t>9780743212625</t>
  </si>
  <si>
    <t>793756172</t>
  </si>
  <si>
    <t>QH325 C77 1968</t>
  </si>
  <si>
    <t>0                      QH 0325000C  77          1968</t>
  </si>
  <si>
    <t>Cosmic evolution, abundance, and distribution of biologically important elements; proceedings. Edited by Lynn Margulis.</t>
  </si>
  <si>
    <t>Conference on Origins of Life (2nd : 1968 : Princeton, N.J.)</t>
  </si>
  <si>
    <t>Washington, Published by the Interdisciplinary Communication Associates, Inc. for the Interdisciplinary Communications Program, the Smithsonian Institution [©1971]</t>
  </si>
  <si>
    <t>Origins of life, v. 2</t>
  </si>
  <si>
    <t>2017-12-10</t>
  </si>
  <si>
    <t>5619646090:eng</t>
  </si>
  <si>
    <t>740201</t>
  </si>
  <si>
    <t>ocm00740201</t>
  </si>
  <si>
    <t>3100488891Z</t>
  </si>
  <si>
    <t>9780677133201</t>
  </si>
  <si>
    <t>791458951</t>
  </si>
  <si>
    <t>QH325 M29 1982</t>
  </si>
  <si>
    <t>0                      QH 0325000M  29          1982</t>
  </si>
  <si>
    <t>Early life / Lynn Margulis.</t>
  </si>
  <si>
    <t>Margulis, Lynn, 1938-2011.</t>
  </si>
  <si>
    <t>Boston, Mass. : Science Books International, ©1982.</t>
  </si>
  <si>
    <t>4683022:eng</t>
  </si>
  <si>
    <t>7924284</t>
  </si>
  <si>
    <t>ocm07924284</t>
  </si>
  <si>
    <t>3001027688T</t>
  </si>
  <si>
    <t>9780867200058</t>
  </si>
  <si>
    <t>792587192</t>
  </si>
  <si>
    <t>QH325 O5313</t>
  </si>
  <si>
    <t>0                      QH 0325000O  5313</t>
  </si>
  <si>
    <t>The chemical origin of life, by Alexander I. Oparin. Translated from Russian by Ann Synge.</t>
  </si>
  <si>
    <t>Oparin, A. I. (Aleksandr Ivanovich), 1894-1980.</t>
  </si>
  <si>
    <t>Springfield, Ill., C.C. Thomas [1964]</t>
  </si>
  <si>
    <t>American lecture series, publication no. 588. A monograph in American lectures in living chemistry</t>
  </si>
  <si>
    <t>2002642:eng</t>
  </si>
  <si>
    <t>1039222</t>
  </si>
  <si>
    <t>ocm01039222</t>
  </si>
  <si>
    <t>3001043836B</t>
  </si>
  <si>
    <t>791531314</t>
  </si>
  <si>
    <t>31004889192</t>
  </si>
  <si>
    <t>791531311</t>
  </si>
  <si>
    <t>31004888900</t>
  </si>
  <si>
    <t>791531310</t>
  </si>
  <si>
    <t>30010438379</t>
  </si>
  <si>
    <t>791531313</t>
  </si>
  <si>
    <t>QH325 O6 1953</t>
  </si>
  <si>
    <t>0                      QH 0325000O  6           1953</t>
  </si>
  <si>
    <t>The origin of life / by A.I. Oparin ; translation with annotations by Sergius Morgulis.</t>
  </si>
  <si>
    <t>New York, Dover Publications 1953.</t>
  </si>
  <si>
    <t>2d ed., with a new introd. by the translator.</t>
  </si>
  <si>
    <t>2015-12-01</t>
  </si>
  <si>
    <t>1957179:eng</t>
  </si>
  <si>
    <t>427324583</t>
  </si>
  <si>
    <t>ocn427324583</t>
  </si>
  <si>
    <t>3001029336D</t>
  </si>
  <si>
    <t>794596304</t>
  </si>
  <si>
    <t>QH325 O7 1970</t>
  </si>
  <si>
    <t>0                      QH 0325000O  7           1970</t>
  </si>
  <si>
    <t>Origins of Life Proceedings of the First Conference. Edited by Lynn Margulis.</t>
  </si>
  <si>
    <t>Conference on Origins of Life, 1st, Princeton, N.J., 1967.</t>
  </si>
  <si>
    <t>New York, Published for Interdisciplinary Communication Associates, by Gordon and Breach [©1970]</t>
  </si>
  <si>
    <t>365357734:eng</t>
  </si>
  <si>
    <t>143549</t>
  </si>
  <si>
    <t>ocm00143549</t>
  </si>
  <si>
    <t>3001049578E</t>
  </si>
  <si>
    <t>791270901</t>
  </si>
  <si>
    <t>QH325 W544 2000</t>
  </si>
  <si>
    <t>0                      QH 0325000W  544         2000</t>
  </si>
  <si>
    <t>The spark of life : Darwin and the primeval soup / Christopher Wills, Jeffrey Bada.</t>
  </si>
  <si>
    <t>Wills, Christopher, author.</t>
  </si>
  <si>
    <t>Cambridge, Mass. : Perseus Pub., ©2000.</t>
  </si>
  <si>
    <t>20661072:eng</t>
  </si>
  <si>
    <t>43945723</t>
  </si>
  <si>
    <t>ocm43945723</t>
  </si>
  <si>
    <t>3102126010X</t>
  </si>
  <si>
    <t>9780738201962</t>
  </si>
  <si>
    <t>793639404</t>
  </si>
  <si>
    <t>QH331 A93 1980</t>
  </si>
  <si>
    <t>0                      QH 0331000A  93          1980</t>
  </si>
  <si>
    <t>Autopoiesis, dissipative structures, and spontaneous social orders / edited by Milan Zeleny.</t>
  </si>
  <si>
    <t>AAAS selected symposium ; 55</t>
  </si>
  <si>
    <t>347683773:eng</t>
  </si>
  <si>
    <t>6487174</t>
  </si>
  <si>
    <t>ocm06487174</t>
  </si>
  <si>
    <t>3000369066G</t>
  </si>
  <si>
    <t>9780865310353</t>
  </si>
  <si>
    <t>792502669</t>
  </si>
  <si>
    <t>QH331 D519</t>
  </si>
  <si>
    <t>0                      QH 0331000D  519</t>
  </si>
  <si>
    <t>Discours biologique et ordre social / Pierre Achard [and others].</t>
  </si>
  <si>
    <t>Paris : Éditions du Seuil, ©1977.</t>
  </si>
  <si>
    <t>Science ouverte</t>
  </si>
  <si>
    <t>2016-06-02</t>
  </si>
  <si>
    <t>180105872:fre</t>
  </si>
  <si>
    <t>3350849</t>
  </si>
  <si>
    <t>ocm03350849</t>
  </si>
  <si>
    <t>3001025025D</t>
  </si>
  <si>
    <t>9782020045872</t>
  </si>
  <si>
    <t>792245735</t>
  </si>
  <si>
    <t>QH331 D7 1914</t>
  </si>
  <si>
    <t>0                      QH 0331000D  7           1914</t>
  </si>
  <si>
    <t>The history &amp; theory of vitalism, by Hans Driesch ... Authorised translation by C.K. Ogden ...</t>
  </si>
  <si>
    <t>Driesch, Hans, 1867-1941.</t>
  </si>
  <si>
    <t>London, Macmillan and Co., Limited, 1914.</t>
  </si>
  <si>
    <t>Rev. and in part rewritten for the English ed. by the author.</t>
  </si>
  <si>
    <t>26918289:eng</t>
  </si>
  <si>
    <t>541602</t>
  </si>
  <si>
    <t>ocm00541602</t>
  </si>
  <si>
    <t>3001150542U</t>
  </si>
  <si>
    <t>791408603</t>
  </si>
  <si>
    <t>QH331 D79</t>
  </si>
  <si>
    <t>0                      QH 0331000D  79</t>
  </si>
  <si>
    <t>La physiologie des lumières : empirisme, modèles et théories / par François Duchesneau.</t>
  </si>
  <si>
    <t>The Hague ; Boston : M. Nijhoff, 1982.</t>
  </si>
  <si>
    <t>Archives internationales d'histoire des idées = International archives of the history of ideas ; 95</t>
  </si>
  <si>
    <t>836673645:fre</t>
  </si>
  <si>
    <t>7553158</t>
  </si>
  <si>
    <t>ocm07553158</t>
  </si>
  <si>
    <t>3103224546K</t>
  </si>
  <si>
    <t>9789024725007</t>
  </si>
  <si>
    <t>792565306</t>
  </si>
  <si>
    <t>QH331 E84 1992</t>
  </si>
  <si>
    <t>0                      QH 0331000E  84          1992</t>
  </si>
  <si>
    <t>The social creation of nature / Neil Evernden.</t>
  </si>
  <si>
    <t>Evernden, Lorne Leslie Neil, author.</t>
  </si>
  <si>
    <t>Baltimore : Johns Hopkins University Press, [1992]</t>
  </si>
  <si>
    <t>903679:eng</t>
  </si>
  <si>
    <t>25316318</t>
  </si>
  <si>
    <t>ocm25316318</t>
  </si>
  <si>
    <t>31028015845</t>
  </si>
  <si>
    <t>9780801843969</t>
  </si>
  <si>
    <t>793216579</t>
  </si>
  <si>
    <t>3102767988J</t>
  </si>
  <si>
    <t>793216578</t>
  </si>
  <si>
    <t>QH331 E97 2014</t>
  </si>
  <si>
    <t>0                      QH 0331000E  97          2014</t>
  </si>
  <si>
    <t>Explanation in the special sciences : the case of biology and history / Marie I. Kaiser [and others], editors.</t>
  </si>
  <si>
    <t>Dordrecht : Springer, 2014.</t>
  </si>
  <si>
    <t>Synthese library, 0082-1128 ; v. 367</t>
  </si>
  <si>
    <t>1461839227:eng</t>
  </si>
  <si>
    <t>868017404</t>
  </si>
  <si>
    <t>ocn868017404</t>
  </si>
  <si>
    <t>3103554947C</t>
  </si>
  <si>
    <t>9789400775626</t>
  </si>
  <si>
    <t>794964302</t>
  </si>
  <si>
    <t>QH331 F63 1986</t>
  </si>
  <si>
    <t>0                      QH 0331000F  63          1986</t>
  </si>
  <si>
    <t>Foundations of biology : a selection of papers contributed to the Biology Section of the 7th International Congress of Logic, Methodology, and Philosophy of Science / edited by Paul Weingartner and Georg Dorn.</t>
  </si>
  <si>
    <t>Vienna, Austria : Hölder-Pichler-Tempsky, ©1986.</t>
  </si>
  <si>
    <t>897728024:eng</t>
  </si>
  <si>
    <t>16869881</t>
  </si>
  <si>
    <t>ocm16869881</t>
  </si>
  <si>
    <t>3103299831W</t>
  </si>
  <si>
    <t>9783209006318</t>
  </si>
  <si>
    <t>792975596</t>
  </si>
  <si>
    <t>QH331 G27 2007</t>
  </si>
  <si>
    <t>0                      QH 0331000G  27          2007</t>
  </si>
  <si>
    <t>Philosophy of biology / Brian Garvey.</t>
  </si>
  <si>
    <t>Garvey, Brian, 1967-</t>
  </si>
  <si>
    <t>Stocksfield : Acumen, 2007.</t>
  </si>
  <si>
    <t>Philosophy and science</t>
  </si>
  <si>
    <t>103297943:eng</t>
  </si>
  <si>
    <t>71285450</t>
  </si>
  <si>
    <t>ocm71285450</t>
  </si>
  <si>
    <t>3103094656T</t>
  </si>
  <si>
    <t>9781844650705</t>
  </si>
  <si>
    <t>794164852</t>
  </si>
  <si>
    <t>QH331 G68 2012</t>
  </si>
  <si>
    <t>0                      QH 0331000G  68          2012</t>
  </si>
  <si>
    <t>Teleology, first principles and scientific method in Aristotle's biology / Allan Gotthelf.</t>
  </si>
  <si>
    <t>Gotthelf, Allan, 1942-2013.</t>
  </si>
  <si>
    <t>Oxford ; New York : Oxford University Press, 2012.</t>
  </si>
  <si>
    <t>1060065975:eng</t>
  </si>
  <si>
    <t>742512012</t>
  </si>
  <si>
    <t>ocn742512012</t>
  </si>
  <si>
    <t>3103408697Q</t>
  </si>
  <si>
    <t>9780199287956</t>
  </si>
  <si>
    <t>794885066</t>
  </si>
  <si>
    <t>QH331 H36</t>
  </si>
  <si>
    <t>0                      QH 0331000H  36</t>
  </si>
  <si>
    <t>Crystals, fabrics, and fields : metaphors of organicism in twentieth-century developmental biology / Donna Jeanne Haraway.</t>
  </si>
  <si>
    <t>Haraway, Donna Jeanne.</t>
  </si>
  <si>
    <t>New Haven, Conn. : Yale University Press, 1976.</t>
  </si>
  <si>
    <t>285423793:eng</t>
  </si>
  <si>
    <t>2136420</t>
  </si>
  <si>
    <t>ocm02136420</t>
  </si>
  <si>
    <t>3102727597C</t>
  </si>
  <si>
    <t>9780300018646</t>
  </si>
  <si>
    <t>792053574</t>
  </si>
  <si>
    <t>QH331 H45 1970</t>
  </si>
  <si>
    <t>0                      QH 0331000H  45          1970</t>
  </si>
  <si>
    <t>The fitness of the environment : an inquiry into the biological significance of the properties of matter / by Lawrence J. Henderson ; introduction by George Wald.</t>
  </si>
  <si>
    <t>Henderson, Lawrence Joseph, 1878-1942.</t>
  </si>
  <si>
    <t>Gloucester, Mass. : Peter Smith, 1970 [©1913]</t>
  </si>
  <si>
    <t>1252209:eng</t>
  </si>
  <si>
    <t>126252</t>
  </si>
  <si>
    <t>ocm00126252</t>
  </si>
  <si>
    <t>3001043915F</t>
  </si>
  <si>
    <t>791264883</t>
  </si>
  <si>
    <t>QH331 I586 2007</t>
  </si>
  <si>
    <t>0                      QH 0331000I  586         2007</t>
  </si>
  <si>
    <t>Introduction to biosemiotics : the new biological synthesis / edited by Marcello Barbieri.</t>
  </si>
  <si>
    <t>Dordrecht : Springer, 2007.</t>
  </si>
  <si>
    <t>905997054:eng</t>
  </si>
  <si>
    <t>79447365</t>
  </si>
  <si>
    <t>ocm79447365</t>
  </si>
  <si>
    <t>3102598047A</t>
  </si>
  <si>
    <t>9781402048135</t>
  </si>
  <si>
    <t>794198025</t>
  </si>
  <si>
    <t>QH331 J6</t>
  </si>
  <si>
    <t>0                      QH 0331000J  6</t>
  </si>
  <si>
    <t>The future of life, a theory of vitalism, by C.E.M. Joad.</t>
  </si>
  <si>
    <t>Joad, C. E. M. (Cyril Edwin Mitchinson), 1891-1953.</t>
  </si>
  <si>
    <t>London, New York, G.P. Putnam's Sons [1928]</t>
  </si>
  <si>
    <t>347321054:eng</t>
  </si>
  <si>
    <t>825924</t>
  </si>
  <si>
    <t>ocm00825924</t>
  </si>
  <si>
    <t>3000557787J</t>
  </si>
  <si>
    <t>791480523</t>
  </si>
  <si>
    <t>QH331 J74 1990</t>
  </si>
  <si>
    <t>0                      QH 0331000J  74          1990</t>
  </si>
  <si>
    <t>Gaia : the growth of an idea / Lawrence E. Joseph.</t>
  </si>
  <si>
    <t>Joseph, Lawrence E.</t>
  </si>
  <si>
    <t>New York : St. Martin's Press, ©1990.</t>
  </si>
  <si>
    <t>22588955:eng</t>
  </si>
  <si>
    <t>21034548</t>
  </si>
  <si>
    <t>ocm21034548</t>
  </si>
  <si>
    <t>3100976662V</t>
  </si>
  <si>
    <t>9780312043186</t>
  </si>
  <si>
    <t>793107022</t>
  </si>
  <si>
    <t>QH331 K798 2004</t>
  </si>
  <si>
    <t>0                      QH 0331000K  798         2004</t>
  </si>
  <si>
    <t>The earth system / Lee R. Kump, James F. Kasting, Robert G. Crane.</t>
  </si>
  <si>
    <t>Kump, Lee R.</t>
  </si>
  <si>
    <t>Upper Saddle River, N.J. : Pearson Prentice Hall, ©2004.</t>
  </si>
  <si>
    <t>657850:eng</t>
  </si>
  <si>
    <t>52341652</t>
  </si>
  <si>
    <t>ocm52341652</t>
  </si>
  <si>
    <t>3103788952X</t>
  </si>
  <si>
    <t>9780131420595</t>
  </si>
  <si>
    <t>793803986</t>
  </si>
  <si>
    <t>QH331 K798 2010</t>
  </si>
  <si>
    <t>0                      QH 0331000K  798         2010</t>
  </si>
  <si>
    <t>San Francisco : Prentice Hall, ©2010.</t>
  </si>
  <si>
    <t>268789401</t>
  </si>
  <si>
    <t>ocn268789401</t>
  </si>
  <si>
    <t>3103086684K</t>
  </si>
  <si>
    <t>9780321597793</t>
  </si>
  <si>
    <t>794408458</t>
  </si>
  <si>
    <t>3103476097H</t>
  </si>
  <si>
    <t>794408459</t>
  </si>
  <si>
    <t>31035360552</t>
  </si>
  <si>
    <t>794408460</t>
  </si>
  <si>
    <t>31035843807</t>
  </si>
  <si>
    <t>794408462</t>
  </si>
  <si>
    <t>QH331 L3313 2017</t>
  </si>
  <si>
    <t>0                      QH 0331000L  3313        2017</t>
  </si>
  <si>
    <t>Facing Gaia : eight lectures on the new climatic regime / Bruno Latour ; translated by Catherine Porter.</t>
  </si>
  <si>
    <t>Cambridge, UK ; Medford, MA, USA : Polity Press, 2017.</t>
  </si>
  <si>
    <t>2018-10-27</t>
  </si>
  <si>
    <t>4006426336:eng</t>
  </si>
  <si>
    <t>967200576</t>
  </si>
  <si>
    <t>ocn967200576</t>
  </si>
  <si>
    <t>31037042000</t>
  </si>
  <si>
    <t>9780745684338</t>
  </si>
  <si>
    <t>795026472</t>
  </si>
  <si>
    <t>QH331 L38 2015</t>
  </si>
  <si>
    <t>0                      QH 0331000L  38          2015</t>
  </si>
  <si>
    <t>Face à Gaïa : huit conférences sur le nouveau régime climatique / Bruno Latour.</t>
  </si>
  <si>
    <t>Paris : La Découverte : Les Empêcheurs de penser en rond, [2015]</t>
  </si>
  <si>
    <t>2755816844:fre</t>
  </si>
  <si>
    <t>930170341</t>
  </si>
  <si>
    <t>ocn930170341</t>
  </si>
  <si>
    <t>3103623573Z</t>
  </si>
  <si>
    <t>9782359251081</t>
  </si>
  <si>
    <t>795006947</t>
  </si>
  <si>
    <t>QH331 L413 1937</t>
  </si>
  <si>
    <t>0                      QH 0331000L  413         1937</t>
  </si>
  <si>
    <t>Biological time, by P. Lecomte du Noüy ... with foreword by Alexis Carrel ...</t>
  </si>
  <si>
    <t>Lecomte du Noüy, Pierre, 1883-1947.</t>
  </si>
  <si>
    <t>New York, Macmillan Co., 1937.</t>
  </si>
  <si>
    <t>6192615:eng</t>
  </si>
  <si>
    <t>2859673</t>
  </si>
  <si>
    <t>ocm02859673</t>
  </si>
  <si>
    <t>31004898353</t>
  </si>
  <si>
    <t>792186029</t>
  </si>
  <si>
    <t>QH331 L528 2001</t>
  </si>
  <si>
    <t>0                      QH 0331000L  528         2001</t>
  </si>
  <si>
    <t>Aristotle's philosophy of biology : studies in the origins of life science / James G. Lennox.</t>
  </si>
  <si>
    <t>Lennox, James G.</t>
  </si>
  <si>
    <t>Cambridge studies in philosophy and biology</t>
  </si>
  <si>
    <t>2018-10-19</t>
  </si>
  <si>
    <t>806942347:eng</t>
  </si>
  <si>
    <t>43694261</t>
  </si>
  <si>
    <t>ocm43694261</t>
  </si>
  <si>
    <t>3102081005M</t>
  </si>
  <si>
    <t>9780521650274</t>
  </si>
  <si>
    <t>793632743</t>
  </si>
  <si>
    <t>QH331 L5285 2014</t>
  </si>
  <si>
    <t>0                      QH 0331000L  5285        2014</t>
  </si>
  <si>
    <t>The lagoon : how Aristotle invented science / by Armand Marie Leroi ; with translations from the Greek by Simon MacPherson and original illustrations by David Koutsogiannopoulos.</t>
  </si>
  <si>
    <t>Leroi, Armand Marie, author.</t>
  </si>
  <si>
    <t>London ; New Delhi ; New York ; Sydney : Bloomsbury Circus, 2014.</t>
  </si>
  <si>
    <t>1901970481:eng</t>
  </si>
  <si>
    <t>881021443</t>
  </si>
  <si>
    <t>ocn881021443</t>
  </si>
  <si>
    <t>3103567500F</t>
  </si>
  <si>
    <t>9781408836200</t>
  </si>
  <si>
    <t>794973708</t>
  </si>
  <si>
    <t>QH331 L53 1991</t>
  </si>
  <si>
    <t>0                      QH 0331000L  53          1991</t>
  </si>
  <si>
    <t>Biology as ideology : the doctrine of DNA / R.C. Lewontin.</t>
  </si>
  <si>
    <t>Lewontin, Richard C., 1929-</t>
  </si>
  <si>
    <t>Concord, Ont. : Anansi, 1991.</t>
  </si>
  <si>
    <t>CBC Massey lecture series ; 1990</t>
  </si>
  <si>
    <t>796473771:eng</t>
  </si>
  <si>
    <t>24743223</t>
  </si>
  <si>
    <t>ocm24743223</t>
  </si>
  <si>
    <t>3101484665J</t>
  </si>
  <si>
    <t>9780887845185</t>
  </si>
  <si>
    <t>793204591</t>
  </si>
  <si>
    <t>QH331 L684 A-Cass.</t>
  </si>
  <si>
    <t>0                      QH 0331000L  684                                                     A-Cass.</t>
  </si>
  <si>
    <t>The Gaia hypothesis.</t>
  </si>
  <si>
    <t>Lovelock, J. E.</t>
  </si>
  <si>
    <t>[Toronto, Ont.] : CBC RadioWorks, 1995.</t>
  </si>
  <si>
    <t>2542205845:eng</t>
  </si>
  <si>
    <t>427991306</t>
  </si>
  <si>
    <t>ocn427991306</t>
  </si>
  <si>
    <t>31027107942</t>
  </si>
  <si>
    <t>794737517</t>
  </si>
  <si>
    <t>QH331 M5529</t>
  </si>
  <si>
    <t>0                      QH 0331000M  5529</t>
  </si>
  <si>
    <t>Le hasard et la nécessité; essai sur la philosophie naturelle de la biologie moderne.</t>
  </si>
  <si>
    <t>Monod, Jacques.</t>
  </si>
  <si>
    <t>Paris, Éditions du Seuil [1970]</t>
  </si>
  <si>
    <t>4020082395:fre</t>
  </si>
  <si>
    <t>4620714</t>
  </si>
  <si>
    <t>ocm04620714</t>
  </si>
  <si>
    <t>3103552383U</t>
  </si>
  <si>
    <t>9782020006187</t>
  </si>
  <si>
    <t>792368741</t>
  </si>
  <si>
    <t>QH331 M55313 1971</t>
  </si>
  <si>
    <t>0                      QH 0331000M  55313       1971</t>
  </si>
  <si>
    <t>Chance and necessity; an essay on the natural philosophy of modern biology. Translated from the French by Austryn Wainhouse.</t>
  </si>
  <si>
    <t>New York, Knopf, 1971.</t>
  </si>
  <si>
    <t>4046441516:eng</t>
  </si>
  <si>
    <t>209901</t>
  </si>
  <si>
    <t>ocm00209901</t>
  </si>
  <si>
    <t>3000496809N</t>
  </si>
  <si>
    <t>9780394466156</t>
  </si>
  <si>
    <t>791294467</t>
  </si>
  <si>
    <t>QH331 P465 1987</t>
  </si>
  <si>
    <t>0                      QH 0331000P  465         1987</t>
  </si>
  <si>
    <t>Philosophical issues in Aristotle's biology / edited by Allan Gotthelf and James G. Lennox.</t>
  </si>
  <si>
    <t>353979748:eng</t>
  </si>
  <si>
    <t>14242750</t>
  </si>
  <si>
    <t>ocm14242750</t>
  </si>
  <si>
    <t>3102834294M</t>
  </si>
  <si>
    <t>9780521325820</t>
  </si>
  <si>
    <t>792883366</t>
  </si>
  <si>
    <t>QH331 R5</t>
  </si>
  <si>
    <t>0                      QH 0331000R  5</t>
  </si>
  <si>
    <t>The nature of life / by Eugenio Rignano.</t>
  </si>
  <si>
    <t>Rignano, Eugenio, 1870-1930.</t>
  </si>
  <si>
    <t>London : K. Paul, Trench, Trubner &amp; Co., Ltd. ; New York : Harcourt, Brace and Company, 1930.</t>
  </si>
  <si>
    <t>2015-04-20</t>
  </si>
  <si>
    <t>5682107:eng</t>
  </si>
  <si>
    <t>2594716</t>
  </si>
  <si>
    <t>ocm02594716</t>
  </si>
  <si>
    <t>3001056296X</t>
  </si>
  <si>
    <t>792149295</t>
  </si>
  <si>
    <t>QH331 S357 1992</t>
  </si>
  <si>
    <t>0                      QH 0331000S  357         1992</t>
  </si>
  <si>
    <t>What is life? : the physical aspect of the living cell ; with Mind and matter ; &amp; Autobiographical sketches / Erwin Schrödinger.</t>
  </si>
  <si>
    <t>Cambridge ; New York : Cambridge University Press, ©1992.</t>
  </si>
  <si>
    <t>Canto</t>
  </si>
  <si>
    <t>3754588298:eng</t>
  </si>
  <si>
    <t>24503223</t>
  </si>
  <si>
    <t>ocm24503223</t>
  </si>
  <si>
    <t>3103642715Y</t>
  </si>
  <si>
    <t>9780521427081</t>
  </si>
  <si>
    <t>793199712</t>
  </si>
  <si>
    <t>3102525106P</t>
  </si>
  <si>
    <t>793199713</t>
  </si>
  <si>
    <t>QH331 S47 2001</t>
  </si>
  <si>
    <t>0                      QH 0331000S  47          2001</t>
  </si>
  <si>
    <t>The splendid feast of reason / S. Jonathan Singer.</t>
  </si>
  <si>
    <t>Singer, Seymour Jonathan, 1924-2017.</t>
  </si>
  <si>
    <t>Berkeley : University of California Press, ©2001.</t>
  </si>
  <si>
    <t>707410:eng</t>
  </si>
  <si>
    <t>45707713</t>
  </si>
  <si>
    <t>ocm45707713</t>
  </si>
  <si>
    <t>3102109639J</t>
  </si>
  <si>
    <t>9780520224254</t>
  </si>
  <si>
    <t>793676595</t>
  </si>
  <si>
    <t>QH331 W43</t>
  </si>
  <si>
    <t>0                      QH 0331000W  43</t>
  </si>
  <si>
    <t>The science of life: the living system--a system for living [by] Paul A. Weiss.</t>
  </si>
  <si>
    <t>Weiss, Paul A., 1898-1989.</t>
  </si>
  <si>
    <t>[Mount Kisco, N.Y.] Futura Pub. Co., 1973.</t>
  </si>
  <si>
    <t>799229833:eng</t>
  </si>
  <si>
    <t>810529</t>
  </si>
  <si>
    <t>ocm00810529</t>
  </si>
  <si>
    <t>3001036798L</t>
  </si>
  <si>
    <t>9780879930349</t>
  </si>
  <si>
    <t>791475813</t>
  </si>
  <si>
    <t>QH332 A74 2012</t>
  </si>
  <si>
    <t>0                      QH 0332000A  74          2012</t>
  </si>
  <si>
    <t>Arguing about bioethics / edited by Stephen Holland.</t>
  </si>
  <si>
    <t>Arguing about philosophy</t>
  </si>
  <si>
    <t>2014-10-27</t>
  </si>
  <si>
    <t>814102933:eng</t>
  </si>
  <si>
    <t>277196018</t>
  </si>
  <si>
    <t>ocn277196018</t>
  </si>
  <si>
    <t>31034021197</t>
  </si>
  <si>
    <t>9780415476324</t>
  </si>
  <si>
    <t>794418618</t>
  </si>
  <si>
    <t>QH332 A88 2015</t>
  </si>
  <si>
    <t>0                      QH 0332000A  88          2015</t>
  </si>
  <si>
    <t>At the foundations of bioethics and biopolitics : critical essays on the thought of H. Tristram Engelhardt Jr. / Lisa M. Rasmussen, Ana Smith IItis, Mark J. Cherry, editors.</t>
  </si>
  <si>
    <t>Philosophy and medicine, 0376-7418 ; volume 125</t>
  </si>
  <si>
    <t>2803989522:eng</t>
  </si>
  <si>
    <t>925497706</t>
  </si>
  <si>
    <t>ocn925497706</t>
  </si>
  <si>
    <t>3103190688X</t>
  </si>
  <si>
    <t>9783319189642</t>
  </si>
  <si>
    <t>795005096</t>
  </si>
  <si>
    <t>QH332 B559 2012</t>
  </si>
  <si>
    <t>0                      QH 0332000B  559         2012</t>
  </si>
  <si>
    <t>Bioethics critically reconsidered : having second thoughts / edited by H. Tristram Engelhardt Jr.</t>
  </si>
  <si>
    <t>Philosophy and medicine, 0376-7418 ; v. 100</t>
  </si>
  <si>
    <t>1056766221:eng</t>
  </si>
  <si>
    <t>740625567</t>
  </si>
  <si>
    <t>ocn740625567</t>
  </si>
  <si>
    <t>31034409344</t>
  </si>
  <si>
    <t>9789400722439</t>
  </si>
  <si>
    <t>794883307</t>
  </si>
  <si>
    <t>QH332 B56 2018</t>
  </si>
  <si>
    <t>0                      QH 0332000B  56          2018</t>
  </si>
  <si>
    <t>Bioéthique : vulnérabilité et communion / A. Chapelle,... &amp;#x2020;, T. Collaud, X. Dijon,... [et al.] ; préface de Mgr Pierre d'Ornellas.</t>
  </si>
  <si>
    <t>Bioéthique (2018)</t>
  </si>
  <si>
    <t>Paris : CLD éditions, [2018]</t>
  </si>
  <si>
    <t>Cahiers de la Nouvelle revue théologique</t>
  </si>
  <si>
    <t>5314349997:fre</t>
  </si>
  <si>
    <t>1043440773</t>
  </si>
  <si>
    <t>on1043440773</t>
  </si>
  <si>
    <t>3103785560S</t>
  </si>
  <si>
    <t>9782854435894</t>
  </si>
  <si>
    <t>795059677</t>
  </si>
  <si>
    <t>QH332 B568 2011</t>
  </si>
  <si>
    <t>0                      QH 0332000B  568         2011</t>
  </si>
  <si>
    <t>Bioethics with liberty and justice : themes in the work of Joseph M. Boyle / edited by Christopher Tollefsen.</t>
  </si>
  <si>
    <t>Dordrecht [Netherlands] ; New York [N.Y.] : Springer Science+Business Media, ©2011.</t>
  </si>
  <si>
    <t>Philosophy and medicine, 0376-7418 ; v. 110</t>
  </si>
  <si>
    <t>906054748:eng</t>
  </si>
  <si>
    <t>648932997</t>
  </si>
  <si>
    <t>ocn648932997</t>
  </si>
  <si>
    <t>3103302563S</t>
  </si>
  <si>
    <t>9789048197903</t>
  </si>
  <si>
    <t>794831459</t>
  </si>
  <si>
    <t>QH332 C656 2017</t>
  </si>
  <si>
    <t>0                      QH 0332000C  656         2017</t>
  </si>
  <si>
    <t>Contemporary controversies in Catholic bioethics / Jason T. Eberl, editor.</t>
  </si>
  <si>
    <t>Philosophy and medicine, 0376-7418 ; volume 127</t>
  </si>
  <si>
    <t>4076271481:eng</t>
  </si>
  <si>
    <t>973920192</t>
  </si>
  <si>
    <t>ocn973920192</t>
  </si>
  <si>
    <t>3103748578I</t>
  </si>
  <si>
    <t>9783319557649</t>
  </si>
  <si>
    <t>795029380</t>
  </si>
  <si>
    <t>QH332 D485 2013</t>
  </si>
  <si>
    <t>0                      QH 0332000D  485         2013</t>
  </si>
  <si>
    <t>The development of bioethics in the United States / Jeremy R. Garrett, Fabrice Jotterand, D. Christopher Ralston, editors.</t>
  </si>
  <si>
    <t>New York : Springer Science + Business Media, ©2013.</t>
  </si>
  <si>
    <t>Philosophy and medicine, 0376-7418 ; v. 115</t>
  </si>
  <si>
    <t>1200364301:eng</t>
  </si>
  <si>
    <t>841201171</t>
  </si>
  <si>
    <t>ocn841201171</t>
  </si>
  <si>
    <t>31031987700</t>
  </si>
  <si>
    <t>9789400740105</t>
  </si>
  <si>
    <t>794946705</t>
  </si>
  <si>
    <t>QH332 H846 2013</t>
  </si>
  <si>
    <t>0                      QH 0332000H  846         2013</t>
  </si>
  <si>
    <t>Human dignity in bioethics : from worldviews to the public square / edited by Stephen Dilley and Nathan J. Palpant.</t>
  </si>
  <si>
    <t>Routledge annals of bioethics ; 13</t>
  </si>
  <si>
    <t>1167704782:eng</t>
  </si>
  <si>
    <t>798061985</t>
  </si>
  <si>
    <t>ocn798061985</t>
  </si>
  <si>
    <t>3103469864T</t>
  </si>
  <si>
    <t>9780415659314</t>
  </si>
  <si>
    <t>794923157</t>
  </si>
  <si>
    <t>QH332 I23 2010</t>
  </si>
  <si>
    <t>0                      QH 0332000I  23          2010</t>
  </si>
  <si>
    <t>Ibero-American bioethics : history and perspectives / Leo Pessini [and others] (Editors) ; translated by Jennifer Bulcock, Adail Sobral, Maria Stela Gonçalves.</t>
  </si>
  <si>
    <t>Dordrecht : Springer, ©2010.</t>
  </si>
  <si>
    <t>Philosophy and medicine ; v. 106</t>
  </si>
  <si>
    <t>866065414:eng</t>
  </si>
  <si>
    <t>260208429</t>
  </si>
  <si>
    <t>ocn260208429</t>
  </si>
  <si>
    <t>3103213420$</t>
  </si>
  <si>
    <t>9781402093494</t>
  </si>
  <si>
    <t>794400464</t>
  </si>
  <si>
    <t>QH332 K37 2002</t>
  </si>
  <si>
    <t>0                      QH 0332000K  37          2002</t>
  </si>
  <si>
    <t>Life, liberty, and the defense of dignity : the challenge for bioethics / Leon R. Kass.</t>
  </si>
  <si>
    <t>Kass, Leon, author.</t>
  </si>
  <si>
    <t>San Francisco : Encounter Books, 2002.</t>
  </si>
  <si>
    <t>793905638:eng</t>
  </si>
  <si>
    <t>49903190</t>
  </si>
  <si>
    <t>ocm49903190</t>
  </si>
  <si>
    <t>3103106478P</t>
  </si>
  <si>
    <t>9781893554559</t>
  </si>
  <si>
    <t>793750391</t>
  </si>
  <si>
    <t>QH332 S62 2016</t>
  </si>
  <si>
    <t>0                      QH 0332000S  62          2016</t>
  </si>
  <si>
    <t>Ethos, bioethics, and sexual ethics in work and reception of the anatomist Niels Stensen,1638-1686 : circulation of love / Frank Sobiech.</t>
  </si>
  <si>
    <t>Sobiech, Frank, 1972- author.</t>
  </si>
  <si>
    <t>[Cham] : Springer International Publishing, [2016]</t>
  </si>
  <si>
    <t>Philosophy and medicine, 0376-7418 ; 117</t>
  </si>
  <si>
    <t>2959540262:eng</t>
  </si>
  <si>
    <t>945231339</t>
  </si>
  <si>
    <t>ocn945231339</t>
  </si>
  <si>
    <t>3103688707G</t>
  </si>
  <si>
    <t>9783319329116</t>
  </si>
  <si>
    <t>795013407</t>
  </si>
  <si>
    <t>QH332 U7 1982</t>
  </si>
  <si>
    <t>0                      QH 0332000U  7           1982</t>
  </si>
  <si>
    <t>Splicing life : a report on the social and ethical issues of genetic engineering with human beings.</t>
  </si>
  <si>
    <t>United States. President's Commission for the Study of Ethical Problems in Medicine and Biomedical and Behavioral Research.</t>
  </si>
  <si>
    <t>Washington, D.C. : The Commission : For sale by the Supt. of Docs., U.S. G.P.O., [1982]</t>
  </si>
  <si>
    <t>2017-06-29</t>
  </si>
  <si>
    <t>5608783415:eng</t>
  </si>
  <si>
    <t>10272700</t>
  </si>
  <si>
    <t>ocm10272700</t>
  </si>
  <si>
    <t>31037362975</t>
  </si>
  <si>
    <t>792717226</t>
  </si>
  <si>
    <t>QH333 B43</t>
  </si>
  <si>
    <t>0                      QH 0333000B  43</t>
  </si>
  <si>
    <t>Challenging biological problems: directions toward their solution / John A. Behnke, editor. Editorial committee: Harlyn O. Halvorson, Carl P. Swanson [and] William G. Van der Kloot.</t>
  </si>
  <si>
    <t>Behnke, John A.</t>
  </si>
  <si>
    <t>New York, NY: Oxford University Press, 1972.</t>
  </si>
  <si>
    <t>189863920:eng</t>
  </si>
  <si>
    <t>427651</t>
  </si>
  <si>
    <t>ocm00427651</t>
  </si>
  <si>
    <t>3000498803P</t>
  </si>
  <si>
    <t>9780195016192</t>
  </si>
  <si>
    <t>791376192</t>
  </si>
  <si>
    <t>QH333 T33 2008</t>
  </si>
  <si>
    <t>0                      QH 0333000T  33          2008</t>
  </si>
  <si>
    <t>Tactical biopolitics : art, activism, and technoscience / edited by Beatriz da Costa and Kavita Philip ; with a foreword by Joseph Dumit.</t>
  </si>
  <si>
    <t>802456668:eng</t>
  </si>
  <si>
    <t>163605167</t>
  </si>
  <si>
    <t>ocn163605167</t>
  </si>
  <si>
    <t>3103070828I</t>
  </si>
  <si>
    <t>9780262042499</t>
  </si>
  <si>
    <t>794258201</t>
  </si>
  <si>
    <t>QH341 C3 1975</t>
  </si>
  <si>
    <t>0                      QH 0341000C  3           1975</t>
  </si>
  <si>
    <t>La Connaissance de la vie / par Georges Canguilhem.</t>
  </si>
  <si>
    <t>Paris : J. Vrin, 1975.</t>
  </si>
  <si>
    <t>2. éd., revue et augm., 5. tirage.</t>
  </si>
  <si>
    <t>137569633:fre</t>
  </si>
  <si>
    <t>2627739</t>
  </si>
  <si>
    <t>ocm02627739</t>
  </si>
  <si>
    <t>30004053211</t>
  </si>
  <si>
    <t>792155065</t>
  </si>
  <si>
    <t>QH341 C313 2008</t>
  </si>
  <si>
    <t>0                      QH 0341000C  313         2008</t>
  </si>
  <si>
    <t>Knowledge of life / Georges Canguilhem ; edited by Paola Marrati and Todd Meyers ; translated by Stefanos Geroulanos and Daniela Ginsburg.</t>
  </si>
  <si>
    <t>New York : Fordham University Press, 2008.</t>
  </si>
  <si>
    <t>2013-11-01</t>
  </si>
  <si>
    <t>137569633:eng</t>
  </si>
  <si>
    <t>227930882</t>
  </si>
  <si>
    <t>ocn227930882</t>
  </si>
  <si>
    <t>3103316545B</t>
  </si>
  <si>
    <t>9780823229253</t>
  </si>
  <si>
    <t>794348494</t>
  </si>
  <si>
    <t>QH343.4 L694 2006</t>
  </si>
  <si>
    <t>0                      QH 0343400L  694         2006</t>
  </si>
  <si>
    <t>The revenge of Gaia : why the earth is fighting back - and how we can still save humanity / James Lovelock ; foreword by Crispin Tickell.</t>
  </si>
  <si>
    <t>Lovelock, James, 1919-</t>
  </si>
  <si>
    <t>865291557:eng</t>
  </si>
  <si>
    <t>62475592</t>
  </si>
  <si>
    <t>ocm62475592</t>
  </si>
  <si>
    <t>31026937541</t>
  </si>
  <si>
    <t>9780713999143</t>
  </si>
  <si>
    <t>794108358</t>
  </si>
  <si>
    <t>QH343.4 L695 2015</t>
  </si>
  <si>
    <t>0                      QH 0343400L  695         2015</t>
  </si>
  <si>
    <t>A rough ride to the future / James Lovelock.</t>
  </si>
  <si>
    <t>Lovelock, James, 1919- author.</t>
  </si>
  <si>
    <t>New York, NY : The Overlook Press, 2015.</t>
  </si>
  <si>
    <t>1851020451:eng</t>
  </si>
  <si>
    <t>881888227</t>
  </si>
  <si>
    <t>ocn881888227</t>
  </si>
  <si>
    <t>3103612798M</t>
  </si>
  <si>
    <t>9781468310467</t>
  </si>
  <si>
    <t>794974965</t>
  </si>
  <si>
    <t>QH344 I57 1979</t>
  </si>
  <si>
    <t>0                      QH 0344000I  57          1979</t>
  </si>
  <si>
    <t>Biogeochemistry of ancient and modern environments : proceedings of the Fourth International Symposium on Environmental Biogeochemistry (ISEB) and, Conference on Biogeochemistry in Relation to the Mining Industry and Environmental Pollution (Leaching Conference), held in Canberra, Australia, 26 August-4 September 1979 / editorial committee, P.A. Trudinger and M.R. Walter, B.J. Ralph.</t>
  </si>
  <si>
    <t>International Symposium on Environmental Biogeochemistry (4th : 1979 : Canberra, A.C.T.)</t>
  </si>
  <si>
    <t>Berlin ; New York : Springer, 1980.</t>
  </si>
  <si>
    <t>30049192:eng</t>
  </si>
  <si>
    <t>9489193</t>
  </si>
  <si>
    <t>ocm09489193</t>
  </si>
  <si>
    <t>3001027447E</t>
  </si>
  <si>
    <t>9780387103037</t>
  </si>
  <si>
    <t>792678756</t>
  </si>
  <si>
    <t>QH345 F76 1958</t>
  </si>
  <si>
    <t>0                      QH 0345000F  76          1958</t>
  </si>
  <si>
    <t>General biochemistry [by] Joseph S. Fruton [and] Sofia Simmonds.</t>
  </si>
  <si>
    <t>Fruton, Joseph S. (Joseph Stewart), 1912-2007.</t>
  </si>
  <si>
    <t>365435072:eng</t>
  </si>
  <si>
    <t>327955</t>
  </si>
  <si>
    <t>ocm00327955</t>
  </si>
  <si>
    <t>31004898280</t>
  </si>
  <si>
    <t>791338628</t>
  </si>
  <si>
    <t>QH345 L4</t>
  </si>
  <si>
    <t>0                      QH 0345000L  4</t>
  </si>
  <si>
    <t>Principles of biochemistry / Albert L. Lehninger.</t>
  </si>
  <si>
    <t>Lehninger, Albert L.</t>
  </si>
  <si>
    <t>New York, N.Y. : Worth Publishers, ©1982.</t>
  </si>
  <si>
    <t>3901048175:eng</t>
  </si>
  <si>
    <t>10628559</t>
  </si>
  <si>
    <t>ocm10628559</t>
  </si>
  <si>
    <t>3101120061H</t>
  </si>
  <si>
    <t>9780879011369</t>
  </si>
  <si>
    <t>792734900</t>
  </si>
  <si>
    <t>QH345 T56 1985</t>
  </si>
  <si>
    <t>0                      QH 0345000T  56          1985</t>
  </si>
  <si>
    <t>Physical chemistry : principles and applications in biological sciences / Ignacio Tinoco, Jr., Kenneth Sauer, James C. Wang.</t>
  </si>
  <si>
    <t>Tinoco, Ignacio.</t>
  </si>
  <si>
    <t>Englewood Cliffs, N.J. : Prentice-Hall, 1985.</t>
  </si>
  <si>
    <t>2003-04-25</t>
  </si>
  <si>
    <t>2015-10-02</t>
  </si>
  <si>
    <t>11518416</t>
  </si>
  <si>
    <t>ocm11518416</t>
  </si>
  <si>
    <t>3001038992F</t>
  </si>
  <si>
    <t>9780136662808</t>
  </si>
  <si>
    <t>792776365</t>
  </si>
  <si>
    <t>QH349 S5 1963</t>
  </si>
  <si>
    <t>0                      QH 0349000S  5           1963</t>
  </si>
  <si>
    <t>Men on his nature / by Sir Charles Sherrington.</t>
  </si>
  <si>
    <t>Sherrington, Charles Sir, 1857-1952.</t>
  </si>
  <si>
    <t>Cambridge : University Press, 1963.</t>
  </si>
  <si>
    <t>3768810661:und</t>
  </si>
  <si>
    <t>220723948</t>
  </si>
  <si>
    <t>ocn220723948</t>
  </si>
  <si>
    <t>3000346331D</t>
  </si>
  <si>
    <t>794322256</t>
  </si>
  <si>
    <t>QH352 C52 2000</t>
  </si>
  <si>
    <t>0                      QH 0352000C  52          2000</t>
  </si>
  <si>
    <t>Chaos in real data : the analysis of non-linear dynamics from short ecological time series / edited by Joe N. Perry [and others].</t>
  </si>
  <si>
    <t>Population and community biology series ; 27</t>
  </si>
  <si>
    <t>836972085:eng</t>
  </si>
  <si>
    <t>43757616</t>
  </si>
  <si>
    <t>ocm43757616</t>
  </si>
  <si>
    <t>31022919050</t>
  </si>
  <si>
    <t>9780412796906</t>
  </si>
  <si>
    <t>793634147</t>
  </si>
  <si>
    <t>QH352 G67 1998</t>
  </si>
  <si>
    <t>0                      QH 0352000G  67          1998</t>
  </si>
  <si>
    <t>A primer of ecology / Nicholas J. Gotelli.</t>
  </si>
  <si>
    <t>Gotelli, Nicholas J., 1959-</t>
  </si>
  <si>
    <t>Sunderland, Mass. : Sinauer Associates, ©1998.</t>
  </si>
  <si>
    <t>2000-12-17</t>
  </si>
  <si>
    <t>20378492:eng</t>
  </si>
  <si>
    <t>38593447</t>
  </si>
  <si>
    <t>ocm38593447</t>
  </si>
  <si>
    <t>3101125079A</t>
  </si>
  <si>
    <t>9780878932740</t>
  </si>
  <si>
    <t>793527804</t>
  </si>
  <si>
    <t>QH352 M97</t>
  </si>
  <si>
    <t>0                      QH 0352000M  97</t>
  </si>
  <si>
    <t>Population dynamics : alternative models / Bertram G. Murray, Jr.</t>
  </si>
  <si>
    <t>Murray, Bertram G.</t>
  </si>
  <si>
    <t>New York : Academic Press, 1979.</t>
  </si>
  <si>
    <t>Physiological ecology</t>
  </si>
  <si>
    <t>2000-11-15</t>
  </si>
  <si>
    <t>365448333:eng</t>
  </si>
  <si>
    <t>5614521</t>
  </si>
  <si>
    <t>ocm05614521</t>
  </si>
  <si>
    <t>3001025139Z</t>
  </si>
  <si>
    <t>9780125117500</t>
  </si>
  <si>
    <t>792441654</t>
  </si>
  <si>
    <t>QH352 S86 1997</t>
  </si>
  <si>
    <t>0                      QH 0352000S  86          1997</t>
  </si>
  <si>
    <t>Structured-population models in marine, terrestrial, and freshwater systems / edited by Shripad Tuljapurkar, Hal Caswell.</t>
  </si>
  <si>
    <t>New York : Chapman &amp; Hall, ©1997.</t>
  </si>
  <si>
    <t>Population and community biology series ; 18</t>
  </si>
  <si>
    <t>2003-10-17</t>
  </si>
  <si>
    <t>350148642:eng</t>
  </si>
  <si>
    <t>35183938</t>
  </si>
  <si>
    <t>ocm35183938</t>
  </si>
  <si>
    <t>3101742412O</t>
  </si>
  <si>
    <t>9780412072611</t>
  </si>
  <si>
    <t>793446222</t>
  </si>
  <si>
    <t>QH352 S88</t>
  </si>
  <si>
    <t>0                      QH 0352000S  88</t>
  </si>
  <si>
    <t>Studies on methods of estimating population density, biomass, and productivity in terrestrial animals / edited by M. Morisita.</t>
  </si>
  <si>
    <t>Tokyo : University of Tokyo Press, 1977.</t>
  </si>
  <si>
    <t>JIBP synthesis ; v. 17</t>
  </si>
  <si>
    <t>503410161:eng</t>
  </si>
  <si>
    <t>3712140</t>
  </si>
  <si>
    <t>ocm03712140</t>
  </si>
  <si>
    <t>30010375539</t>
  </si>
  <si>
    <t>792283849</t>
  </si>
  <si>
    <t>QH359 C63</t>
  </si>
  <si>
    <t>0                      QH 0359000C  63</t>
  </si>
  <si>
    <t>Coevolution of animals and plants : Symposium V, First International Congress of Systematic and Evolutionary Biology, Boulder, Colorado, August, 1973 : [papers] / edited by Lawrence E. Gilbert and Peter H. Raven.</t>
  </si>
  <si>
    <t>Austin : University of Texas Press, [1975]</t>
  </si>
  <si>
    <t>Dan Danciger publication series</t>
  </si>
  <si>
    <t>836706618:eng</t>
  </si>
  <si>
    <t>1287577</t>
  </si>
  <si>
    <t>ocm01287577</t>
  </si>
  <si>
    <t>3001036237O</t>
  </si>
  <si>
    <t>9780292710313</t>
  </si>
  <si>
    <t>791592200</t>
  </si>
  <si>
    <t>QH360 R38 1983</t>
  </si>
  <si>
    <t>0                      QH 0360000R  38          1983</t>
  </si>
  <si>
    <t>Razvitie ėvoli︠u︡t︠s︡ionnoĭ teorii v SSSR, 1917-1970-e gody / otvetstvennye redaktory S.R. Mikulinskiĭ, I︠U︡.I. Poli︠a︡nskiĭ.</t>
  </si>
  <si>
    <t>Leningrad : "Nauka, " Leningradskoe otd-nie, 1983.</t>
  </si>
  <si>
    <t>5288050:rus</t>
  </si>
  <si>
    <t>12394112</t>
  </si>
  <si>
    <t>ocm12394112</t>
  </si>
  <si>
    <t>30003715508</t>
  </si>
  <si>
    <t>792813524</t>
  </si>
  <si>
    <t>QH360.5 F86 2013</t>
  </si>
  <si>
    <t>0                      QH 0360500F  86          2013</t>
  </si>
  <si>
    <t>Functions : selection and mechanisms / Philippe Huneman, editor.</t>
  </si>
  <si>
    <t>Dordrecht : Springer, [2013]</t>
  </si>
  <si>
    <t>Synthese library ; volume 363</t>
  </si>
  <si>
    <t>1177027088:eng</t>
  </si>
  <si>
    <t>837528276</t>
  </si>
  <si>
    <t>ocn837528276</t>
  </si>
  <si>
    <t>3103492338Q</t>
  </si>
  <si>
    <t>9789400753037</t>
  </si>
  <si>
    <t>794945163</t>
  </si>
  <si>
    <t>QH360.5 S63 2000</t>
  </si>
  <si>
    <t>0                      QH 0360500S  63          2000</t>
  </si>
  <si>
    <t>Philosophy of biology / Elliott Sober.</t>
  </si>
  <si>
    <t>Sober, Elliott.</t>
  </si>
  <si>
    <t>Boulder, Colo. : Westview Press, 2000.</t>
  </si>
  <si>
    <t>Dimensions of philosophy series</t>
  </si>
  <si>
    <t>2020840:eng</t>
  </si>
  <si>
    <t>42463200</t>
  </si>
  <si>
    <t>ocm42463200</t>
  </si>
  <si>
    <t>3102110014O</t>
  </si>
  <si>
    <t>9780813391267</t>
  </si>
  <si>
    <t>793608142</t>
  </si>
  <si>
    <t>3102110007L</t>
  </si>
  <si>
    <t>793608140</t>
  </si>
  <si>
    <t>QH360.5 S76 2001</t>
  </si>
  <si>
    <t>0                      QH 0360500S  76          2001</t>
  </si>
  <si>
    <t>The evolution of agency and other essays / Kim Sterelny.</t>
  </si>
  <si>
    <t>Sterelny, Kim.</t>
  </si>
  <si>
    <t>Cambridge, U.K. : Cambridge University Press, 2001.</t>
  </si>
  <si>
    <t>5613598512:eng</t>
  </si>
  <si>
    <t>43641154</t>
  </si>
  <si>
    <t>ocm43641154</t>
  </si>
  <si>
    <t>3102109465Q</t>
  </si>
  <si>
    <t>9780521642316</t>
  </si>
  <si>
    <t>793631531</t>
  </si>
  <si>
    <t>QH361 B69 1984</t>
  </si>
  <si>
    <t>0                      QH 0361000B  69          1984</t>
  </si>
  <si>
    <t>Evolution, the history of an idea / Peter J. Bowler.</t>
  </si>
  <si>
    <t>Bowler, Peter J.</t>
  </si>
  <si>
    <t>Berkeley : University of California Press, ©1984.</t>
  </si>
  <si>
    <t>43091892:eng</t>
  </si>
  <si>
    <t>9392873</t>
  </si>
  <si>
    <t>ocm09392873</t>
  </si>
  <si>
    <t>3001029963N</t>
  </si>
  <si>
    <t>9780520048805</t>
  </si>
  <si>
    <t>792673654</t>
  </si>
  <si>
    <t>QH361 E35</t>
  </si>
  <si>
    <t>0                      QH 0361000E  35</t>
  </si>
  <si>
    <t>Darwin's century: evolution and the men who discovered it.</t>
  </si>
  <si>
    <t>Eiseley, Loren C., 1907-1977.</t>
  </si>
  <si>
    <t>Garden City, N.Y., Doubleday, 1958.</t>
  </si>
  <si>
    <t>Doubleday anchor books</t>
  </si>
  <si>
    <t>1291102:eng</t>
  </si>
  <si>
    <t>168989</t>
  </si>
  <si>
    <t>ocm00168989</t>
  </si>
  <si>
    <t>30004323200</t>
  </si>
  <si>
    <t>9780385081412</t>
  </si>
  <si>
    <t>791279299</t>
  </si>
  <si>
    <t>30010778394</t>
  </si>
  <si>
    <t>791279297</t>
  </si>
  <si>
    <t>QH361 E35 1961</t>
  </si>
  <si>
    <t>0                      QH 0361000E  35          1961</t>
  </si>
  <si>
    <t>Darwin's century : evolution and the men who discovered it.</t>
  </si>
  <si>
    <t>Garden City, N.Y. : Doubleday, [1961]</t>
  </si>
  <si>
    <t>Anchor books, A224</t>
  </si>
  <si>
    <t>316853716</t>
  </si>
  <si>
    <t>ocn316853716</t>
  </si>
  <si>
    <t>30010504521</t>
  </si>
  <si>
    <t>794450131</t>
  </si>
  <si>
    <t>2008-12-13</t>
  </si>
  <si>
    <t>3101547487J</t>
  </si>
  <si>
    <t>794450132</t>
  </si>
  <si>
    <t>QH361 P37</t>
  </si>
  <si>
    <t>0                      QH 0361000P  37</t>
  </si>
  <si>
    <t>The other side of evolution : an examination of its evidences / by Rev. Alexander Patterson ; with an introduction by George Frederick Wright.</t>
  </si>
  <si>
    <t>Patterson, Alexander.</t>
  </si>
  <si>
    <t>Chicago, Ill. : Winona Pub. Co., ©1903.</t>
  </si>
  <si>
    <t>198283123:eng</t>
  </si>
  <si>
    <t>4219713</t>
  </si>
  <si>
    <t>ocm04219713</t>
  </si>
  <si>
    <t>3001072606F</t>
  </si>
  <si>
    <t>792332098</t>
  </si>
  <si>
    <t>QH361 R64 2011</t>
  </si>
  <si>
    <t>0                      QH 0361000R  64          2011</t>
  </si>
  <si>
    <t>The evidence for evolution / Alan R. Rogers.</t>
  </si>
  <si>
    <t>Rogers, Alan R.</t>
  </si>
  <si>
    <t>Chicago : University of Chicago Press, 2011.</t>
  </si>
  <si>
    <t>616691899:eng</t>
  </si>
  <si>
    <t>662154682</t>
  </si>
  <si>
    <t>ocn662154682</t>
  </si>
  <si>
    <t>31033857823</t>
  </si>
  <si>
    <t>9780226723808</t>
  </si>
  <si>
    <t>794837129</t>
  </si>
  <si>
    <t>QH361 S76 2013</t>
  </si>
  <si>
    <t>0                      QH 0361000S  76          2013</t>
  </si>
  <si>
    <t>Darwin's ghosts : the secret history of evolution / Rebecca Stott.</t>
  </si>
  <si>
    <t>Stott, Rebecca, author.</t>
  </si>
  <si>
    <t>New York : Spiegel &amp; Grau, 2013.</t>
  </si>
  <si>
    <t>2013 Spiegel &amp; Grau trade paperback edition.</t>
  </si>
  <si>
    <t>2017-01-20</t>
  </si>
  <si>
    <t>1117958768:eng</t>
  </si>
  <si>
    <t>829315964</t>
  </si>
  <si>
    <t>ocn829315964</t>
  </si>
  <si>
    <t>3103497560V</t>
  </si>
  <si>
    <t>9780812981704</t>
  </si>
  <si>
    <t>794942363</t>
  </si>
  <si>
    <t>QH363 L9</t>
  </si>
  <si>
    <t>0                      QH 0363000L  9</t>
  </si>
  <si>
    <t>Sir Charles Lyell's scientific journals on the species question / Edited by Leonard G. Wilson.</t>
  </si>
  <si>
    <t>Lyell, Charles, Sir, 1797-1875, author.</t>
  </si>
  <si>
    <t>New Haven : Yale University Press, 1970.</t>
  </si>
  <si>
    <t>Yale studies in the history of science and medicine, 5</t>
  </si>
  <si>
    <t>2000-11-30</t>
  </si>
  <si>
    <t>350034382:eng</t>
  </si>
  <si>
    <t>76486</t>
  </si>
  <si>
    <t>ocm00076486</t>
  </si>
  <si>
    <t>3001055577U</t>
  </si>
  <si>
    <t>9780300012316</t>
  </si>
  <si>
    <t>791247445</t>
  </si>
  <si>
    <t>QH363 S4 2000</t>
  </si>
  <si>
    <t>0                      QH 0363000S  4           2000</t>
  </si>
  <si>
    <t>Victorian sensation : the extraordinary publication, reception, and secret authorship of Vestiges of the natural history of creation / James A. Secord.</t>
  </si>
  <si>
    <t>Secord, James A.</t>
  </si>
  <si>
    <t>10781512:eng</t>
  </si>
  <si>
    <t>43864195</t>
  </si>
  <si>
    <t>ocm43864195</t>
  </si>
  <si>
    <t>31020704633</t>
  </si>
  <si>
    <t>9780226744100</t>
  </si>
  <si>
    <t>793637231</t>
  </si>
  <si>
    <t>QH365 D2 1871b</t>
  </si>
  <si>
    <t>0                      QH 0365000D  2           1871b</t>
  </si>
  <si>
    <t>The descent of man, and selection in relation to sex / by Charles Darwin, M.A., F.R.S., etc. ; with illustrations ; in two volumes ; vol. I[-II].</t>
  </si>
  <si>
    <t>v.1- too old/fragile to circulate</t>
  </si>
  <si>
    <t>24</t>
  </si>
  <si>
    <t>New York : D. Appleton and Company, 549 &amp; 551 Broadway, 1871.</t>
  </si>
  <si>
    <t>1871</t>
  </si>
  <si>
    <t>2288003370:eng</t>
  </si>
  <si>
    <t>1179282</t>
  </si>
  <si>
    <t>ocm01179282</t>
  </si>
  <si>
    <t>3101202647J</t>
  </si>
  <si>
    <t>791566333</t>
  </si>
  <si>
    <t>v.2- too old / fragile to circulate</t>
  </si>
  <si>
    <t>3101202646L</t>
  </si>
  <si>
    <t>791566332</t>
  </si>
  <si>
    <t>QH365 D2 1930</t>
  </si>
  <si>
    <t>0                      QH 0365000D  2           1930</t>
  </si>
  <si>
    <t>The descent of man / by Charles Darwin.</t>
  </si>
  <si>
    <t>London : Watts, [1930]</t>
  </si>
  <si>
    <t>Thinker's library ; no. 12</t>
  </si>
  <si>
    <t>4921333678:eng</t>
  </si>
  <si>
    <t>61578074</t>
  </si>
  <si>
    <t>ocm61578074</t>
  </si>
  <si>
    <t>3001050453$</t>
  </si>
  <si>
    <t>794013781</t>
  </si>
  <si>
    <t>QH365 O2 1966</t>
  </si>
  <si>
    <t>0                      QH 0365000O  2           1966</t>
  </si>
  <si>
    <t>On the origin of species. / A facsim. of the 1st ed., with an introd. by Ernst Mayr.</t>
  </si>
  <si>
    <t>Cambridge, Harvard University Press, 1966 [©1964]</t>
  </si>
  <si>
    <t>4648317563:eng</t>
  </si>
  <si>
    <t>249780532</t>
  </si>
  <si>
    <t>ocn249780532</t>
  </si>
  <si>
    <t>3103024013G</t>
  </si>
  <si>
    <t>794385248</t>
  </si>
  <si>
    <t>QH365 O2 1996</t>
  </si>
  <si>
    <t>0                      QH 0365000O  2           1996</t>
  </si>
  <si>
    <t>The origin of species / Charles Darwin ; edited with an introduction by Gillian Beer.</t>
  </si>
  <si>
    <t>The World's classics</t>
  </si>
  <si>
    <t>4494928014:eng</t>
  </si>
  <si>
    <t>7136063</t>
  </si>
  <si>
    <t>ocm07136063</t>
  </si>
  <si>
    <t>3101800170C</t>
  </si>
  <si>
    <t>9780192817839</t>
  </si>
  <si>
    <t>792541709</t>
  </si>
  <si>
    <t>QH365 O8 V6</t>
  </si>
  <si>
    <t>0                      QH 0365000O  8                  V  6</t>
  </si>
  <si>
    <t>Charles Darwin: the years of controversy; The origin of species and its critics, 1859-1882, by Peter J. Vorzimmer.</t>
  </si>
  <si>
    <t>Vorzimmer, Peter J., 1937-</t>
  </si>
  <si>
    <t>Philadelphia, Temple University Press, 1970.</t>
  </si>
  <si>
    <t>2016-09-01</t>
  </si>
  <si>
    <t>197766456:eng</t>
  </si>
  <si>
    <t>104500</t>
  </si>
  <si>
    <t>ocm00104500</t>
  </si>
  <si>
    <t>3000496794A</t>
  </si>
  <si>
    <t>9780877220015</t>
  </si>
  <si>
    <t>791258347</t>
  </si>
  <si>
    <t>QH365 Z9 A7</t>
  </si>
  <si>
    <t>0                      QH 0365000Z  9                  A  7</t>
  </si>
  <si>
    <t>Darwin.</t>
  </si>
  <si>
    <t>Appleman, Philip, 1926- compiler.</t>
  </si>
  <si>
    <t>New York, Norton [1970]</t>
  </si>
  <si>
    <t>Norton critical edition</t>
  </si>
  <si>
    <t>2018-10-28</t>
  </si>
  <si>
    <t>10033349283:eng</t>
  </si>
  <si>
    <t>81998</t>
  </si>
  <si>
    <t>ocm00081998</t>
  </si>
  <si>
    <t>30004967966</t>
  </si>
  <si>
    <t>9780393054125</t>
  </si>
  <si>
    <t>791249159</t>
  </si>
  <si>
    <t>QH366 D6 1951</t>
  </si>
  <si>
    <t>0                      QH 0366000D  6           1951</t>
  </si>
  <si>
    <t>Genetics and the origin of species.</t>
  </si>
  <si>
    <t>Dobzhansky, Theodosius, 1900-1975, author.</t>
  </si>
  <si>
    <t>New York, [NY] : Columbia University Press, 1951.</t>
  </si>
  <si>
    <t>3d ed., rev.</t>
  </si>
  <si>
    <t>Columbia biological series, no. 11</t>
  </si>
  <si>
    <t>2003-03-11</t>
  </si>
  <si>
    <t>420526:eng</t>
  </si>
  <si>
    <t>295774</t>
  </si>
  <si>
    <t>ocm00295774</t>
  </si>
  <si>
    <t>3001043779Y</t>
  </si>
  <si>
    <t>9780231085519</t>
  </si>
  <si>
    <t>791327584</t>
  </si>
  <si>
    <t>QH366 E85 1925</t>
  </si>
  <si>
    <t>0                      QH 0366000E  85          1925</t>
  </si>
  <si>
    <t>Evolution in the light of modern knowledge : A collective work.</t>
  </si>
  <si>
    <t>London : Blackie and Son Limited, 50 Old Bailey, London; Glasgow, Bombay 1925.</t>
  </si>
  <si>
    <t>2016-08-13</t>
  </si>
  <si>
    <t>865298358:eng</t>
  </si>
  <si>
    <t>414278</t>
  </si>
  <si>
    <t>ocm00414278</t>
  </si>
  <si>
    <t>3001145242N</t>
  </si>
  <si>
    <t>791371580</t>
  </si>
  <si>
    <t>3001051637L</t>
  </si>
  <si>
    <t>791371579</t>
  </si>
  <si>
    <t>QH366 R87 2013</t>
  </si>
  <si>
    <t>0                      QH 0366000R  87          2013</t>
  </si>
  <si>
    <t>Le darwinisme / Michael Ruse.</t>
  </si>
  <si>
    <t>Ruse, Michael.</t>
  </si>
  <si>
    <t>Leuven : Peeters, 2013.</t>
  </si>
  <si>
    <t>Bibliothèque Philosophique de Louvain ; 88</t>
  </si>
  <si>
    <t>1416683953:fre</t>
  </si>
  <si>
    <t>847627862</t>
  </si>
  <si>
    <t>ocn847627862</t>
  </si>
  <si>
    <t>31035146434</t>
  </si>
  <si>
    <t>9789042927391</t>
  </si>
  <si>
    <t>794949639</t>
  </si>
  <si>
    <t>QH366 T3</t>
  </si>
  <si>
    <t>0                      QH 0366000T  3</t>
  </si>
  <si>
    <t>Evolution after Darwin : the University of Chicago centennial / Sol Tax, editor.</t>
  </si>
  <si>
    <t>Tax, Sol, 1907-1995, editor.</t>
  </si>
  <si>
    <t>Chicago : University of Chicago Press, [1960]</t>
  </si>
  <si>
    <t>2019-03-06</t>
  </si>
  <si>
    <t>4095545710:eng</t>
  </si>
  <si>
    <t>505724</t>
  </si>
  <si>
    <t>ocm00505724</t>
  </si>
  <si>
    <t>31004384666</t>
  </si>
  <si>
    <t>791397137</t>
  </si>
  <si>
    <t>3100492500Q</t>
  </si>
  <si>
    <t>791397145</t>
  </si>
  <si>
    <t>31006662167</t>
  </si>
  <si>
    <t>791397144</t>
  </si>
  <si>
    <t>2005-02-07</t>
  </si>
  <si>
    <t>30010287281</t>
  </si>
  <si>
    <t>791397146</t>
  </si>
  <si>
    <t>QH366.2 B415 2015</t>
  </si>
  <si>
    <t>0                      QH 0366200B  415         2015</t>
  </si>
  <si>
    <t>The evolution of life / Graham Bell, McGill University.</t>
  </si>
  <si>
    <t>Bell, Graham (Graham A. C.), 1949-</t>
  </si>
  <si>
    <t>2233596092:eng</t>
  </si>
  <si>
    <t>899219187</t>
  </si>
  <si>
    <t>ocn899219187</t>
  </si>
  <si>
    <t>3103559963P</t>
  </si>
  <si>
    <t>9780198712572</t>
  </si>
  <si>
    <t>794986732</t>
  </si>
  <si>
    <t>31036098913</t>
  </si>
  <si>
    <t>794986733</t>
  </si>
  <si>
    <t>QH366.2 C39 1990</t>
  </si>
  <si>
    <t>0                      QH 0366200C  39          1990</t>
  </si>
  <si>
    <t>Causes of evolution : a paleontological perspective / edited by Robert M. Ross and Warren D. Allmon ; with a foreword by Stephen Jay Gould.</t>
  </si>
  <si>
    <t>807077218:eng</t>
  </si>
  <si>
    <t>21560941</t>
  </si>
  <si>
    <t>ocm21560941</t>
  </si>
  <si>
    <t>3101162645V</t>
  </si>
  <si>
    <t>9780226728230</t>
  </si>
  <si>
    <t>793122672</t>
  </si>
  <si>
    <t>QH366.2 G664 1990</t>
  </si>
  <si>
    <t>0                      QH 0366200G  664         1990</t>
  </si>
  <si>
    <t>Gould, Stephen Jay.</t>
  </si>
  <si>
    <t>London : Hutchinson Radius, 1990.</t>
  </si>
  <si>
    <t>26460269</t>
  </si>
  <si>
    <t>ocm26460269</t>
  </si>
  <si>
    <t>31030033789</t>
  </si>
  <si>
    <t>9780091754228</t>
  </si>
  <si>
    <t>793245124</t>
  </si>
  <si>
    <t>QH366.2 H35 2011</t>
  </si>
  <si>
    <t>0                      QH 0366200H  35          2011</t>
  </si>
  <si>
    <t>Evolution : principles and processes / Brian K. Hall.</t>
  </si>
  <si>
    <t>Hall, Brian K. (Brian Keith), 1941-</t>
  </si>
  <si>
    <t>Sudbury, Mass. : Jones and Bartlett, ©2011.</t>
  </si>
  <si>
    <t>1008569683:eng</t>
  </si>
  <si>
    <t>562401254</t>
  </si>
  <si>
    <t>ocn562401254</t>
  </si>
  <si>
    <t>3103737096A</t>
  </si>
  <si>
    <t>9780763760397</t>
  </si>
  <si>
    <t>794812916</t>
  </si>
  <si>
    <t>3103242388G</t>
  </si>
  <si>
    <t>794812920</t>
  </si>
  <si>
    <t>3103380297$</t>
  </si>
  <si>
    <t>794812917</t>
  </si>
  <si>
    <t>3103794592E</t>
  </si>
  <si>
    <t>794812921</t>
  </si>
  <si>
    <t>3103768350$</t>
  </si>
  <si>
    <t>794812918</t>
  </si>
  <si>
    <t>3103445965F</t>
  </si>
  <si>
    <t>794812919</t>
  </si>
  <si>
    <t>QH366.2 J3</t>
  </si>
  <si>
    <t>0                      QH 0366200J  3</t>
  </si>
  <si>
    <t>The self-organizing universe : scientific and human implications of the emerging paradigm of evolution / by Erich Jantsch.</t>
  </si>
  <si>
    <t>Jantsch, Erich.</t>
  </si>
  <si>
    <t>New York : Pergamon Press, ©1980.</t>
  </si>
  <si>
    <t>1151130609:eng</t>
  </si>
  <si>
    <t>213519197</t>
  </si>
  <si>
    <t>ocn213519197</t>
  </si>
  <si>
    <t>3000325455C</t>
  </si>
  <si>
    <t>9780080243122</t>
  </si>
  <si>
    <t>794310034</t>
  </si>
  <si>
    <t>QH366.2 L375 2001</t>
  </si>
  <si>
    <t>0                      QH 0366200L  375         2001</t>
  </si>
  <si>
    <t>Evolution's workshop : God and science on the Galápagos Islands / Edward J. Larson.</t>
  </si>
  <si>
    <t>Larson, Edward J. (Edward John)</t>
  </si>
  <si>
    <t>New York : Basic Books, ©2001.</t>
  </si>
  <si>
    <t>34677901:eng</t>
  </si>
  <si>
    <t>45374853</t>
  </si>
  <si>
    <t>ocm45374853</t>
  </si>
  <si>
    <t>3102333351O</t>
  </si>
  <si>
    <t>9780465038107</t>
  </si>
  <si>
    <t>793670295</t>
  </si>
  <si>
    <t>QH366.2 L56</t>
  </si>
  <si>
    <t>0                      QH 0366200L  56</t>
  </si>
  <si>
    <t>La sélection naturelle; étude sur la première constitution d'un concept (1837-1859).</t>
  </si>
  <si>
    <t>Limoges, Camille.</t>
  </si>
  <si>
    <t>Paris, Presses universitaires de France, 1970.</t>
  </si>
  <si>
    <t>[1. éd.].</t>
  </si>
  <si>
    <t>"Galien," histoire et philosophie de la biologie et de la médecine</t>
  </si>
  <si>
    <t>355899859:fre</t>
  </si>
  <si>
    <t>782411</t>
  </si>
  <si>
    <t>ocm00782411</t>
  </si>
  <si>
    <t>30005584641</t>
  </si>
  <si>
    <t>791468834</t>
  </si>
  <si>
    <t>QH366.2 S69</t>
  </si>
  <si>
    <t>0                      QH 0366200S  69</t>
  </si>
  <si>
    <t>The new evolutionary timetable : fossils, genes, and the origin of species / Steven M. Stanley.</t>
  </si>
  <si>
    <t>Stanley, Steven M.</t>
  </si>
  <si>
    <t>New York : Basic Books, ©1981.</t>
  </si>
  <si>
    <t>487532:eng</t>
  </si>
  <si>
    <t>7739372</t>
  </si>
  <si>
    <t>ocm07739372</t>
  </si>
  <si>
    <t>3001026245V</t>
  </si>
  <si>
    <t>9780465050130</t>
  </si>
  <si>
    <t>792577089</t>
  </si>
  <si>
    <t>QH367 C43 2003</t>
  </si>
  <si>
    <t>0                      QH 0367000C  43          2003</t>
  </si>
  <si>
    <t>Evolution : a very short introduction / Brian and Deborah Charlesworth.</t>
  </si>
  <si>
    <t>Charlesworth, Brian.</t>
  </si>
  <si>
    <t>Very short introductions</t>
  </si>
  <si>
    <t>837391318:eng</t>
  </si>
  <si>
    <t>51668497</t>
  </si>
  <si>
    <t>ocm51668497</t>
  </si>
  <si>
    <t>3102544775O</t>
  </si>
  <si>
    <t>9780192802514</t>
  </si>
  <si>
    <t>793789042</t>
  </si>
  <si>
    <t>QH367 S395 2004</t>
  </si>
  <si>
    <t>0                      QH 0367000S  395         2004</t>
  </si>
  <si>
    <t>Evolution vs. creationism : an introduction / Eugenie C. Scott ; foreword by Niles Eldredge.</t>
  </si>
  <si>
    <t>Scott, Eugenie Carol, 1945-</t>
  </si>
  <si>
    <t>Westport, Conn. : Greenwood Press, 2004.</t>
  </si>
  <si>
    <t>796443979:eng</t>
  </si>
  <si>
    <t>54752786</t>
  </si>
  <si>
    <t>ocm54752786</t>
  </si>
  <si>
    <t>31034757862</t>
  </si>
  <si>
    <t>9780313321221</t>
  </si>
  <si>
    <t>793867027</t>
  </si>
  <si>
    <t>QH367.1 T39 2014</t>
  </si>
  <si>
    <t>0                      QH 0367100T  39          2014</t>
  </si>
  <si>
    <t>Great adaptations : a fantastical collection of scientific poems / Tiffany Taylor.</t>
  </si>
  <si>
    <t>Taylor, Tiffany B., author.</t>
  </si>
  <si>
    <t>[United Kingdom] : Breadpig, Inc., 2014.</t>
  </si>
  <si>
    <t>2450931125:eng</t>
  </si>
  <si>
    <t>904410289</t>
  </si>
  <si>
    <t>ocn904410289</t>
  </si>
  <si>
    <t>3103626507X</t>
  </si>
  <si>
    <t>9780978501679</t>
  </si>
  <si>
    <t>794990390</t>
  </si>
  <si>
    <t>QH368 A68</t>
  </si>
  <si>
    <t>0                      QH 0368000A  68</t>
  </si>
  <si>
    <t>African genesis; a personal investigation into the animal origins and nature of man. Drawings by Berdine Ardrey.</t>
  </si>
  <si>
    <t>Ardrey, Robert.</t>
  </si>
  <si>
    <t>New York, Atheneum, 1961.</t>
  </si>
  <si>
    <t>1103673624:eng</t>
  </si>
  <si>
    <t>252499</t>
  </si>
  <si>
    <t>ocm00252499</t>
  </si>
  <si>
    <t>3001043921K</t>
  </si>
  <si>
    <t>791310151</t>
  </si>
  <si>
    <t>3000496808P</t>
  </si>
  <si>
    <t>791310150</t>
  </si>
  <si>
    <t>QH368 E38</t>
  </si>
  <si>
    <t>0                      QH 0368000E  38</t>
  </si>
  <si>
    <t>The immense journey / Loren Eiseley.</t>
  </si>
  <si>
    <t>New York : Random House, ©1957.</t>
  </si>
  <si>
    <t>Modern libr. paperbacks.</t>
  </si>
  <si>
    <t>463752:eng</t>
  </si>
  <si>
    <t>327379</t>
  </si>
  <si>
    <t>ocm00327379</t>
  </si>
  <si>
    <t>3001049563R</t>
  </si>
  <si>
    <t>9780394701578</t>
  </si>
  <si>
    <t>791338386</t>
  </si>
  <si>
    <t>QH368 F5</t>
  </si>
  <si>
    <t>0                      QH 0368000F  5</t>
  </si>
  <si>
    <t>The meaning of infancy / by John Fiske.</t>
  </si>
  <si>
    <t>Fiske, John, 1842-1901.</t>
  </si>
  <si>
    <t>Boston ; New York : Houghton Mifflin Co., [©1909]</t>
  </si>
  <si>
    <t>Riverside educational monographs</t>
  </si>
  <si>
    <t>2019-07-26</t>
  </si>
  <si>
    <t>2345429:eng</t>
  </si>
  <si>
    <t>1515318</t>
  </si>
  <si>
    <t>ocm01515318</t>
  </si>
  <si>
    <t>3000658153B</t>
  </si>
  <si>
    <t>791683110</t>
  </si>
  <si>
    <t>QH371 D55</t>
  </si>
  <si>
    <t>0                      QH 0371000D  55</t>
  </si>
  <si>
    <t>After man : a zoology of the future / by Dougal Dixon ; introduction by Desmond Morris.</t>
  </si>
  <si>
    <t>Dixon, Dougal.</t>
  </si>
  <si>
    <t>New York : St Martin's Press, 1981.</t>
  </si>
  <si>
    <t>441491:eng</t>
  </si>
  <si>
    <t>7551057</t>
  </si>
  <si>
    <t>ocm07551057</t>
  </si>
  <si>
    <t>3103379153G</t>
  </si>
  <si>
    <t>9780312011635</t>
  </si>
  <si>
    <t>792564947</t>
  </si>
  <si>
    <t>QH371 J2</t>
  </si>
  <si>
    <t>0                      QH 0371000J  2</t>
  </si>
  <si>
    <t>The possible and the actual / François Jacob.</t>
  </si>
  <si>
    <t>Jacob, François, 1920-2013.</t>
  </si>
  <si>
    <t>Seattle : University of Washington Press, ©1982.</t>
  </si>
  <si>
    <t>The Jessie and John Danz lectures</t>
  </si>
  <si>
    <t>3856303030:eng</t>
  </si>
  <si>
    <t>7837291</t>
  </si>
  <si>
    <t>ocm07837291</t>
  </si>
  <si>
    <t>3001026835A</t>
  </si>
  <si>
    <t>9780295958880</t>
  </si>
  <si>
    <t>792582687</t>
  </si>
  <si>
    <t>2015-03-17</t>
  </si>
  <si>
    <t>3001026834C</t>
  </si>
  <si>
    <t>792582688</t>
  </si>
  <si>
    <t>QH371 M33</t>
  </si>
  <si>
    <t>0                      QH 0371000M  33</t>
  </si>
  <si>
    <t>Animal species and evolution / Ernst Mayr.</t>
  </si>
  <si>
    <t>Cambridge : Belknap Press of Harvard University Press, 1963.</t>
  </si>
  <si>
    <t>2014-11-27</t>
  </si>
  <si>
    <t>69760385:eng</t>
  </si>
  <si>
    <t>551391</t>
  </si>
  <si>
    <t>ocm00551391</t>
  </si>
  <si>
    <t>3001029157D</t>
  </si>
  <si>
    <t>9780674037502</t>
  </si>
  <si>
    <t>791411825</t>
  </si>
  <si>
    <t>QH371 R77 1986</t>
  </si>
  <si>
    <t>0                      QH 0371000R  77          1986</t>
  </si>
  <si>
    <t>Taking Darwin seriously : a naturalistic approach to philosophy / Michael Ruse.</t>
  </si>
  <si>
    <t>New York, NY : Blackwell, 1986.</t>
  </si>
  <si>
    <t>836669338:eng</t>
  </si>
  <si>
    <t>12236751</t>
  </si>
  <si>
    <t>ocm12236751</t>
  </si>
  <si>
    <t>30003802494</t>
  </si>
  <si>
    <t>9780631135425</t>
  </si>
  <si>
    <t>792807201</t>
  </si>
  <si>
    <t>QH371 W45 2006</t>
  </si>
  <si>
    <t>0                      QH 0371000W  45          2006</t>
  </si>
  <si>
    <t>Deep ancestry : inside the Genographic Project / Spencer Wells.</t>
  </si>
  <si>
    <t>Wells, Spencer, 1969-</t>
  </si>
  <si>
    <t>Washington, D.C. : National Geographic, ©2006.</t>
  </si>
  <si>
    <t>905904924:eng</t>
  </si>
  <si>
    <t>70265481</t>
  </si>
  <si>
    <t>ocm70265481</t>
  </si>
  <si>
    <t>3102637074W</t>
  </si>
  <si>
    <t>9780792262152</t>
  </si>
  <si>
    <t>794152008</t>
  </si>
  <si>
    <t>QH375 D45 1995</t>
  </si>
  <si>
    <t>0                      QH 0375000D  45          1995</t>
  </si>
  <si>
    <t>Darwin's dangerous idea : evolution and the meanings of life / Daniel C. Dennett.</t>
  </si>
  <si>
    <t>Dennett, D. C. (Daniel Clement)</t>
  </si>
  <si>
    <t>New York : Simon &amp; Schuster, [1995]</t>
  </si>
  <si>
    <t>33934288:eng</t>
  </si>
  <si>
    <t>31867409</t>
  </si>
  <si>
    <t>ocm31867409</t>
  </si>
  <si>
    <t>3103217454E</t>
  </si>
  <si>
    <t>9780684802909</t>
  </si>
  <si>
    <t>793369941</t>
  </si>
  <si>
    <t>3103601380V</t>
  </si>
  <si>
    <t>793369940</t>
  </si>
  <si>
    <t>QH375 .D45 1995</t>
  </si>
  <si>
    <t>2004-05-11</t>
  </si>
  <si>
    <t>3101494664F</t>
  </si>
  <si>
    <t>793369939</t>
  </si>
  <si>
    <t>2017-04-01</t>
  </si>
  <si>
    <t>31031502321</t>
  </si>
  <si>
    <t>793369942</t>
  </si>
  <si>
    <t>QH375 T63 1989</t>
  </si>
  <si>
    <t>0                      QH 0375000T  63          1989</t>
  </si>
  <si>
    <t>Darwin without Malthus : the struggle for existence in Russian evolutionary thought / Daniel P. Todes.</t>
  </si>
  <si>
    <t>Todes, Daniel Philip.</t>
  </si>
  <si>
    <t>New York : Oxford University Press, 1989.</t>
  </si>
  <si>
    <t>Monographs on the history and philosophy of biology</t>
  </si>
  <si>
    <t>793989797:eng</t>
  </si>
  <si>
    <t>18906787</t>
  </si>
  <si>
    <t>ocm18906787</t>
  </si>
  <si>
    <t>3103742454T</t>
  </si>
  <si>
    <t>9780195058307</t>
  </si>
  <si>
    <t>793040795</t>
  </si>
  <si>
    <t>QH380 G46</t>
  </si>
  <si>
    <t>0                      QH 0380000G  46</t>
  </si>
  <si>
    <t>Genetics of speciation / edited by D.L. Jameson.</t>
  </si>
  <si>
    <t>Stroudsburg, Pa. : Dowden, Hutchinson &amp; Ross ; [New York] : Exclusive distributor, Halsted Press, ©1977.</t>
  </si>
  <si>
    <t>Benchmark papers in genetics ; v. 9</t>
  </si>
  <si>
    <t>6593529:eng</t>
  </si>
  <si>
    <t>2965126</t>
  </si>
  <si>
    <t>ocm02965126</t>
  </si>
  <si>
    <t>3001035720Q</t>
  </si>
  <si>
    <t>9780879333027</t>
  </si>
  <si>
    <t>792199585</t>
  </si>
  <si>
    <t>QH390 B37 2013</t>
  </si>
  <si>
    <t>0                      QH 0390000B  37          2013</t>
  </si>
  <si>
    <t>Les gènes voyageurs : l'odyssée de l'évolution / Éric Bapteste.</t>
  </si>
  <si>
    <t>Bapteste, Éric, author.</t>
  </si>
  <si>
    <t>Paris : Belin : Pour la Science, [2013]</t>
  </si>
  <si>
    <t>[Regards], 1773-8016</t>
  </si>
  <si>
    <t>2014-12-22</t>
  </si>
  <si>
    <t>1753878166:fre</t>
  </si>
  <si>
    <t>867794140</t>
  </si>
  <si>
    <t>ocn867794140</t>
  </si>
  <si>
    <t>31035511549</t>
  </si>
  <si>
    <t>9782701158853</t>
  </si>
  <si>
    <t>794964145</t>
  </si>
  <si>
    <t>QH411 E34 1989</t>
  </si>
  <si>
    <t>0                      QH 0411000E  34          1989</t>
  </si>
  <si>
    <t>The remembered present : a biological theory of consciousness / Gerald M. Edelman.</t>
  </si>
  <si>
    <t>Edelman, Gerald M.</t>
  </si>
  <si>
    <t>New York : Basic Books, ©1989.</t>
  </si>
  <si>
    <t>866244331:eng</t>
  </si>
  <si>
    <t>20130117</t>
  </si>
  <si>
    <t>ocm20130117</t>
  </si>
  <si>
    <t>3102276854K</t>
  </si>
  <si>
    <t>9780465069101</t>
  </si>
  <si>
    <t>793078317</t>
  </si>
  <si>
    <t>QH428 J313 1974</t>
  </si>
  <si>
    <t>0                      QH 0428000J  313         1974</t>
  </si>
  <si>
    <t>The logic of life : a history of heredity / by François Jacob ; translated by Betty E. Spillmann.</t>
  </si>
  <si>
    <t>Jacob, François, 1920-2013, author.</t>
  </si>
  <si>
    <t>New York : Pantheon Books, [1974]</t>
  </si>
  <si>
    <t>8907296392:eng</t>
  </si>
  <si>
    <t>737057</t>
  </si>
  <si>
    <t>ocm00737057</t>
  </si>
  <si>
    <t>3000425557Y</t>
  </si>
  <si>
    <t>9780394472461</t>
  </si>
  <si>
    <t>791458333</t>
  </si>
  <si>
    <t>QH428 S8</t>
  </si>
  <si>
    <t>0                      QH 0428000S  8</t>
  </si>
  <si>
    <t>A history of genetics / [by] A.H. Sturtevant.</t>
  </si>
  <si>
    <t>Sturtevant, A. H. (Alfred Henry), 1891-1970.</t>
  </si>
  <si>
    <t>New York, Harper &amp; Row, [1965]</t>
  </si>
  <si>
    <t>Modern perspectives in biology</t>
  </si>
  <si>
    <t>69542376:eng</t>
  </si>
  <si>
    <t>311941</t>
  </si>
  <si>
    <t>ocm00311941</t>
  </si>
  <si>
    <t>30010352063</t>
  </si>
  <si>
    <t>791333065</t>
  </si>
  <si>
    <t>QH429.2 D37 H37 2004</t>
  </si>
  <si>
    <t>0                      QH 0429200D  37                 H  37          2004</t>
  </si>
  <si>
    <t>The man who invented the chromosome : the life of Cyril Darlington / Oren Solomon Harman.</t>
  </si>
  <si>
    <t>Harman, Oren Solomon.</t>
  </si>
  <si>
    <t>Cambridge, Mass. : Harvard University Press, 2004.</t>
  </si>
  <si>
    <t>1354185657:eng</t>
  </si>
  <si>
    <t>54686392</t>
  </si>
  <si>
    <t>ocm54686392</t>
  </si>
  <si>
    <t>3102362202Q</t>
  </si>
  <si>
    <t>9780674013339</t>
  </si>
  <si>
    <t>793865550</t>
  </si>
  <si>
    <t>QH429.2 M38 C66 2001</t>
  </si>
  <si>
    <t>0                      QH 0429200M  38                 C  66          2001</t>
  </si>
  <si>
    <t>The tangled field : Barbara McClintock's search for the patterns of genetic control / Nathaniel C. Comfort.</t>
  </si>
  <si>
    <t>Comfort, Nathaniel C.</t>
  </si>
  <si>
    <t>Cambridge, Mass. : Harvard University Press, 2001.</t>
  </si>
  <si>
    <t>801769408:eng</t>
  </si>
  <si>
    <t>45668956</t>
  </si>
  <si>
    <t>ocm45668956</t>
  </si>
  <si>
    <t>31022375764</t>
  </si>
  <si>
    <t>9780674004566</t>
  </si>
  <si>
    <t>793676042</t>
  </si>
  <si>
    <t>QH429.2 M38 K44 2003</t>
  </si>
  <si>
    <t>0                      QH 0429200M  38                 K  44          2003</t>
  </si>
  <si>
    <t>A feeling for the organism : the life and work of Barbara McClintock / Evelyn Fox Keller.</t>
  </si>
  <si>
    <t>New York : Henry Holt : W.H. Freeman, 2003, ©1983.</t>
  </si>
  <si>
    <t>Owl book</t>
  </si>
  <si>
    <t>2017-10-31</t>
  </si>
  <si>
    <t>348750:eng</t>
  </si>
  <si>
    <t>54057542</t>
  </si>
  <si>
    <t>ocm54057542</t>
  </si>
  <si>
    <t>3102671779F</t>
  </si>
  <si>
    <t>9780805074581</t>
  </si>
  <si>
    <t>793856404</t>
  </si>
  <si>
    <t>QH429.2 M84 C37</t>
  </si>
  <si>
    <t>0                      QH 0429200M  84                 C  37</t>
  </si>
  <si>
    <t>Genes, radiation, and society : the life and work of H.J. Muller / Elof Axel Carlson.</t>
  </si>
  <si>
    <t>Carlson, Elof Axel.</t>
  </si>
  <si>
    <t>Ithaca : Cornell University Press, 1981.</t>
  </si>
  <si>
    <t>292410540:eng</t>
  </si>
  <si>
    <t>7462701</t>
  </si>
  <si>
    <t>ocm07462701</t>
  </si>
  <si>
    <t>30010260525</t>
  </si>
  <si>
    <t>9780801413049</t>
  </si>
  <si>
    <t>792560039</t>
  </si>
  <si>
    <t>QH430 H3733 2001 Suppl.</t>
  </si>
  <si>
    <t>0                      QH 0430000H  3733        2001                                        Suppl.</t>
  </si>
  <si>
    <t>Student solutions manual and supplemental problems to accompany Genetic : analysis of genes and genomes / Daniel L. Hartl, Elizabeth W. Jones ; [prepared] by Elena R. Lozovsky.</t>
  </si>
  <si>
    <t>Hartl, Daniel L.</t>
  </si>
  <si>
    <t>Sudbury, Mass. : Jones and Bartlett Publishers, ©2001.</t>
  </si>
  <si>
    <t>1126575028:eng</t>
  </si>
  <si>
    <t>46345776</t>
  </si>
  <si>
    <t>ocm46345776</t>
  </si>
  <si>
    <t>3102168521B</t>
  </si>
  <si>
    <t>9780763716042</t>
  </si>
  <si>
    <t>793682859</t>
  </si>
  <si>
    <t>QH430 I57 2015</t>
  </si>
  <si>
    <t>0                      QH 0430000I  57          2015</t>
  </si>
  <si>
    <t>Introduction to genetic analysis / by Anthony J.F. Griffiths, Susan R. Wessler, Sean B. Carroll, John Doebley.</t>
  </si>
  <si>
    <t>New York : Freeman, Custom Publishing, 2015.</t>
  </si>
  <si>
    <t>Custom edition for McGill University. Eleventh edition.</t>
  </si>
  <si>
    <t>1075367632:eng</t>
  </si>
  <si>
    <t>1048898198</t>
  </si>
  <si>
    <t>on1048898198</t>
  </si>
  <si>
    <t>31035459757</t>
  </si>
  <si>
    <t>9781319023652</t>
  </si>
  <si>
    <t>795061014</t>
  </si>
  <si>
    <t>3103546336T</t>
  </si>
  <si>
    <t>795061015</t>
  </si>
  <si>
    <t>31035459805</t>
  </si>
  <si>
    <t>795061012</t>
  </si>
  <si>
    <t>3103546312X</t>
  </si>
  <si>
    <t>795061013</t>
  </si>
  <si>
    <t>QH430 I62 2015</t>
  </si>
  <si>
    <t>0                      QH 0430000I  62          2015</t>
  </si>
  <si>
    <t>Introduction to genetic analysis / Anthony J.F. Griffiths, University of British Columbia ; Susan R. Wessler, University of California, Riverside ; Sean B. Carroll, Howard Hughes Medical Institute, University of Wisconsin--Madison ; John Doebley, University of Wisconsin--Madison.</t>
  </si>
  <si>
    <t>Griffiths, Anthony J. F., author.</t>
  </si>
  <si>
    <t>New York, NY : W.H. Freeman &amp; Company, [2015]</t>
  </si>
  <si>
    <t>900650999</t>
  </si>
  <si>
    <t>ocn900650999</t>
  </si>
  <si>
    <t>31036219334</t>
  </si>
  <si>
    <t>9781464109485</t>
  </si>
  <si>
    <t>794987784</t>
  </si>
  <si>
    <t>31036219253</t>
  </si>
  <si>
    <t>794987783</t>
  </si>
  <si>
    <t>Solutions manual for Introduction to genetic analysis / Jay Brewster, Ann Marie Davison, Varuni Jamburuthugoda, and Mark E. Meade.</t>
  </si>
  <si>
    <t>Brewster, Jay, author.</t>
  </si>
  <si>
    <t>[New York] : W.H. Freeman and Company, a Macmillan Education Company, [2015]</t>
  </si>
  <si>
    <t>4227427889:eng</t>
  </si>
  <si>
    <t>903222073</t>
  </si>
  <si>
    <t>ocn903222073</t>
  </si>
  <si>
    <t>3103545282Q</t>
  </si>
  <si>
    <t>9781464187940</t>
  </si>
  <si>
    <t>794988906</t>
  </si>
  <si>
    <t>3103642019H</t>
  </si>
  <si>
    <t>794988909</t>
  </si>
  <si>
    <t>3102504300X</t>
  </si>
  <si>
    <t>794988908</t>
  </si>
  <si>
    <t>3103562700T</t>
  </si>
  <si>
    <t>794988907</t>
  </si>
  <si>
    <t>31032889057</t>
  </si>
  <si>
    <t>794988905</t>
  </si>
  <si>
    <t>QH430 M37</t>
  </si>
  <si>
    <t>0                      QH 0430000M  37</t>
  </si>
  <si>
    <t>Introduction to biometrical genetics / Kenneth Mather, John L. Jinks.</t>
  </si>
  <si>
    <t>Mather, Kenneth.</t>
  </si>
  <si>
    <t>Ithaca, N.Y. : Cornell University Press, 1977.</t>
  </si>
  <si>
    <t>3699175851:eng</t>
  </si>
  <si>
    <t>3715042</t>
  </si>
  <si>
    <t>ocm03715042</t>
  </si>
  <si>
    <t>3001038507B</t>
  </si>
  <si>
    <t>9780801411236</t>
  </si>
  <si>
    <t>792284039</t>
  </si>
  <si>
    <t>QH430 W675 2000</t>
  </si>
  <si>
    <t>0                      QH 0430000W  675         2000</t>
  </si>
  <si>
    <t>Life without genes / Adrian Woolfson.</t>
  </si>
  <si>
    <t>Woolfson, Adrian, author.</t>
  </si>
  <si>
    <t>London : HarperCollinsPublishers, 2000.</t>
  </si>
  <si>
    <t>2018-04-09</t>
  </si>
  <si>
    <t>844346005:eng</t>
  </si>
  <si>
    <t>43459763</t>
  </si>
  <si>
    <t>ocm43459763</t>
  </si>
  <si>
    <t>31022136172</t>
  </si>
  <si>
    <t>9780002556187</t>
  </si>
  <si>
    <t>793627243</t>
  </si>
  <si>
    <t>QH431 A72</t>
  </si>
  <si>
    <t>0                      QH 0431000A  72</t>
  </si>
  <si>
    <t>The genetic code.</t>
  </si>
  <si>
    <t>New York : Orion Press, 1963, ©1962.</t>
  </si>
  <si>
    <t>43450541:eng</t>
  </si>
  <si>
    <t>551262</t>
  </si>
  <si>
    <t>ocm00551262</t>
  </si>
  <si>
    <t>3001052631S</t>
  </si>
  <si>
    <t>791411765</t>
  </si>
  <si>
    <t>QH431 A832 1962</t>
  </si>
  <si>
    <t>0                      QH 0431000A  832         1962</t>
  </si>
  <si>
    <t>30008361864</t>
  </si>
  <si>
    <t>791411764</t>
  </si>
  <si>
    <t>QH431 C394</t>
  </si>
  <si>
    <t>0                      QH 0431000C  394</t>
  </si>
  <si>
    <t>The genetics of human populations [by] L.L. Cavalli-Sforza [and] W.F. Bodmer.</t>
  </si>
  <si>
    <t>Cavalli-Sforza, L. L. (Luigi Luca), 1922-2018.</t>
  </si>
  <si>
    <t>San Francisco, W.H. Freeman [1971]</t>
  </si>
  <si>
    <t>A series of books in biology (W.H. Freeman and Company)</t>
  </si>
  <si>
    <t>1254894:eng</t>
  </si>
  <si>
    <t>201656</t>
  </si>
  <si>
    <t>ocm00201656</t>
  </si>
  <si>
    <t>30010355767</t>
  </si>
  <si>
    <t>9780716706816</t>
  </si>
  <si>
    <t>791292168</t>
  </si>
  <si>
    <t>QH431 E85</t>
  </si>
  <si>
    <t>0                      QH 0431000E  85</t>
  </si>
  <si>
    <t>Population genetics [by] W.J. Ewens.</t>
  </si>
  <si>
    <t>Ewens, W. J. (Warren John), 1937-</t>
  </si>
  <si>
    <t>London, Methuen, 1969.</t>
  </si>
  <si>
    <t>Methuen's monographs on applied probability and statistics.</t>
  </si>
  <si>
    <t>3855486115:eng</t>
  </si>
  <si>
    <t>14126</t>
  </si>
  <si>
    <t>ocm00014126</t>
  </si>
  <si>
    <t>3001050490U</t>
  </si>
  <si>
    <t>9780416031607</t>
  </si>
  <si>
    <t>791228776</t>
  </si>
  <si>
    <t>QH431 F17 1964a</t>
  </si>
  <si>
    <t>0                      QH 0431000F  17          1964a</t>
  </si>
  <si>
    <t>Introduction to quantitative genetics / D.S. Falconer.</t>
  </si>
  <si>
    <t>Falconer, D. S. (Douglas Scott)</t>
  </si>
  <si>
    <t>New York : Ronald Press Co., 1964, ©1960.</t>
  </si>
  <si>
    <t>1301053:eng</t>
  </si>
  <si>
    <t>13731808</t>
  </si>
  <si>
    <t>ocm13731808</t>
  </si>
  <si>
    <t>3100948560A</t>
  </si>
  <si>
    <t>792864523</t>
  </si>
  <si>
    <t>QH431 G625 1967</t>
  </si>
  <si>
    <t>0                      QH 0431000G  625         1967</t>
  </si>
  <si>
    <t>Genetics is easy.</t>
  </si>
  <si>
    <t>Goldstein, Philip, 1910-</t>
  </si>
  <si>
    <t>New York, Lantern Press, 1967.</t>
  </si>
  <si>
    <t>4th rev. and enl. ed.</t>
  </si>
  <si>
    <t>3856863074:eng</t>
  </si>
  <si>
    <t>710021</t>
  </si>
  <si>
    <t>ocm00710021</t>
  </si>
  <si>
    <t>30004967885</t>
  </si>
  <si>
    <t>791451845</t>
  </si>
  <si>
    <t>QH431 H42 2008</t>
  </si>
  <si>
    <t>0                      QH 0431000H  42          2008</t>
  </si>
  <si>
    <t>L'hérédité entre Moyen Âge et époque moderne : perspectives historiques / études réunies par Maaike van der Lugt et Charles de Miramon.</t>
  </si>
  <si>
    <t>Firenze : SISMEL, Edizioni del Galluzzo per la Fondazione Ezio Franceschini, 2008.</t>
  </si>
  <si>
    <t>Micrologus' library ; 27</t>
  </si>
  <si>
    <t>763026143:fre</t>
  </si>
  <si>
    <t>318872007</t>
  </si>
  <si>
    <t>ocn318872007</t>
  </si>
  <si>
    <t>3103094881H</t>
  </si>
  <si>
    <t>9788884503091</t>
  </si>
  <si>
    <t>794482673</t>
  </si>
  <si>
    <t>QH431 J27</t>
  </si>
  <si>
    <t>0                      QH 0431000J  27</t>
  </si>
  <si>
    <t>La logique du vivant; une histoire de l'hérédité.</t>
  </si>
  <si>
    <t>[Paris] Gallimard [1970]</t>
  </si>
  <si>
    <t>347741:fre</t>
  </si>
  <si>
    <t>3112007</t>
  </si>
  <si>
    <t>ocm03112007</t>
  </si>
  <si>
    <t>3103679196G</t>
  </si>
  <si>
    <t>792218595</t>
  </si>
  <si>
    <t>QH431 J27713 1984</t>
  </si>
  <si>
    <t>0                      QH 0431000J  27713       1984</t>
  </si>
  <si>
    <t>In praise of difference : genetics and human affairs / Albert Jacquard ; translated by Margaret M. Moriarty.</t>
  </si>
  <si>
    <t>Jacquard, Albert.</t>
  </si>
  <si>
    <t>New York : Columbia University Press, 1984.</t>
  </si>
  <si>
    <t>2004-08-10</t>
  </si>
  <si>
    <t>2016-06-09</t>
  </si>
  <si>
    <t>355901574:eng</t>
  </si>
  <si>
    <t>10605553</t>
  </si>
  <si>
    <t>ocm10605553</t>
  </si>
  <si>
    <t>30010297163</t>
  </si>
  <si>
    <t>9780231054829</t>
  </si>
  <si>
    <t>792734040</t>
  </si>
  <si>
    <t>QH431 J78 1996</t>
  </si>
  <si>
    <t>0                      QH 0431000J  78          1996</t>
  </si>
  <si>
    <t>In the blood : God, genes, and destiny / Steve Jones.</t>
  </si>
  <si>
    <t>Jones, Steve, 1944-</t>
  </si>
  <si>
    <t>London : HarperCollins, 1996.</t>
  </si>
  <si>
    <t>113333217:eng</t>
  </si>
  <si>
    <t>35771294</t>
  </si>
  <si>
    <t>ocm35771294</t>
  </si>
  <si>
    <t>3102224639Q</t>
  </si>
  <si>
    <t>9780002555111</t>
  </si>
  <si>
    <t>793457095</t>
  </si>
  <si>
    <t>3101740801N</t>
  </si>
  <si>
    <t>793457096</t>
  </si>
  <si>
    <t>QH431 M34 1961</t>
  </si>
  <si>
    <t>0                      QH 0431000M  34          1961</t>
  </si>
  <si>
    <t>The future of man.</t>
  </si>
  <si>
    <t>[New York] New American Library [1961, ©1959]</t>
  </si>
  <si>
    <t>The BBC Reith lectures, 1959</t>
  </si>
  <si>
    <t>2018-10-18</t>
  </si>
  <si>
    <t>3943338455:eng</t>
  </si>
  <si>
    <t>258749</t>
  </si>
  <si>
    <t>ocm00258749</t>
  </si>
  <si>
    <t>3001043809E</t>
  </si>
  <si>
    <t>791312868</t>
  </si>
  <si>
    <t>QH 431 M489</t>
  </si>
  <si>
    <t>0                      QH 0431000M  489</t>
  </si>
  <si>
    <t>Medical biology and Etruscan origins / editors for the Ciba Foundation G.E.W. Wolstenholme and C.M. O'Connor.</t>
  </si>
  <si>
    <t>London : Churchill, 1959.</t>
  </si>
  <si>
    <t>Ciba Foundation symposia</t>
  </si>
  <si>
    <t>4915124635:eng</t>
  </si>
  <si>
    <t>86064261</t>
  </si>
  <si>
    <t>ocm86064261</t>
  </si>
  <si>
    <t>3000128868N</t>
  </si>
  <si>
    <t>794218074</t>
  </si>
  <si>
    <t>QH 431 N277r 1970</t>
  </si>
  <si>
    <t>0                      QH 0431000N  277r        1970</t>
  </si>
  <si>
    <t>Report on the XYY chromosomal abnormality / [by Saleem A. Shah].</t>
  </si>
  <si>
    <t>Center for Studies of Crime and Delinquency (U.S.)</t>
  </si>
  <si>
    <t>Chevy Chase, Md.; National Institute of Mental Health, Center for Studies of Crime and Delinquency, 1970.</t>
  </si>
  <si>
    <t>Public Health Service publication no. 2103</t>
  </si>
  <si>
    <t>1366268:eng</t>
  </si>
  <si>
    <t>235264</t>
  </si>
  <si>
    <t>ocm00235264</t>
  </si>
  <si>
    <t>3000098363I</t>
  </si>
  <si>
    <t>791303846</t>
  </si>
  <si>
    <t>QH431 N28 2004</t>
  </si>
  <si>
    <t>0                      QH 0431000N  28          2004</t>
  </si>
  <si>
    <t>Why some like it hot : food, genes, and cultural diversity / Gary Paul Nabhan.</t>
  </si>
  <si>
    <t>Nabhan, Gary Paul.</t>
  </si>
  <si>
    <t>Washington : Island Press/Shearwater Books, ©2004.</t>
  </si>
  <si>
    <t>60951162:eng</t>
  </si>
  <si>
    <t>54685972</t>
  </si>
  <si>
    <t>ocm54685972</t>
  </si>
  <si>
    <t>31024140330</t>
  </si>
  <si>
    <t>9781559634663</t>
  </si>
  <si>
    <t>793865505</t>
  </si>
  <si>
    <t>QH431 P32</t>
  </si>
  <si>
    <t>0                      QH 0431000P  32</t>
  </si>
  <si>
    <t>The nature-nurture controversy. With a foreword by Goodwin Watson.</t>
  </si>
  <si>
    <t>Pastore, Nicholas, 1916-1998.</t>
  </si>
  <si>
    <t>New York, King's Crown Press 1949.</t>
  </si>
  <si>
    <t>910996:eng</t>
  </si>
  <si>
    <t>1488790</t>
  </si>
  <si>
    <t>ocm01488790</t>
  </si>
  <si>
    <t>30010576135</t>
  </si>
  <si>
    <t>791673108</t>
  </si>
  <si>
    <t>QH 431 P358 2017</t>
  </si>
  <si>
    <t>0                      QH 0431000P  358         2017</t>
  </si>
  <si>
    <t>The genetics of health : understand your genes for better health / Sharad P. Paul, MD.</t>
  </si>
  <si>
    <t>Paul, Sharad P., author.</t>
  </si>
  <si>
    <t>New York : Atria ; Hillsboro, Oregon : Beyond Words, 2017.</t>
  </si>
  <si>
    <t>First Atria books/Beyond Words hardcover edition.</t>
  </si>
  <si>
    <t>3934584440:eng</t>
  </si>
  <si>
    <t>962172011</t>
  </si>
  <si>
    <t>ocn962172011</t>
  </si>
  <si>
    <t>31036712081</t>
  </si>
  <si>
    <t>9781501155413</t>
  </si>
  <si>
    <t>795024211</t>
  </si>
  <si>
    <t>QH431 R236 1999</t>
  </si>
  <si>
    <t>0                      QH 0431000R  236         1999</t>
  </si>
  <si>
    <t>French DNA : trouble in purgatory / Paul Rabinow.</t>
  </si>
  <si>
    <t>Rabinow, Paul, author.</t>
  </si>
  <si>
    <t>Chicago, IL : University of Chicago Press, 1999.</t>
  </si>
  <si>
    <t>807011584:eng</t>
  </si>
  <si>
    <t>40675057</t>
  </si>
  <si>
    <t>ocm40675057</t>
  </si>
  <si>
    <t>3102042430Q</t>
  </si>
  <si>
    <t>9780226701509</t>
  </si>
  <si>
    <t>793572617</t>
  </si>
  <si>
    <t>3102029801V</t>
  </si>
  <si>
    <t>793572618</t>
  </si>
  <si>
    <t>QH 431 R546g 1999</t>
  </si>
  <si>
    <t>0                      QH 0431000R  546g        1999</t>
  </si>
  <si>
    <t>Genome : the autobiography of a species in 23 chapters / Matt Ridley.</t>
  </si>
  <si>
    <t>Ridley, Matt.</t>
  </si>
  <si>
    <t>New York : HarperCollins, ©1999.</t>
  </si>
  <si>
    <t>392005933:eng</t>
  </si>
  <si>
    <t>41977285</t>
  </si>
  <si>
    <t>ocm41977285</t>
  </si>
  <si>
    <t>3103306190I</t>
  </si>
  <si>
    <t>9780060194970</t>
  </si>
  <si>
    <t>793600357</t>
  </si>
  <si>
    <t>QH431 S274 2007</t>
  </si>
  <si>
    <t>0                      QH 0431000S  274         2007</t>
  </si>
  <si>
    <t>On genetic interests : family, ethnicity, and humanity in an age of mass migration / Frank Salter ; with a new introduction by the author.</t>
  </si>
  <si>
    <t>Salter, Frank K.</t>
  </si>
  <si>
    <t>New Brunswick, N.J. : Transaction Publishers, ©2007.</t>
  </si>
  <si>
    <t>443846088:eng</t>
  </si>
  <si>
    <t>69241550</t>
  </si>
  <si>
    <t>ocm69241550</t>
  </si>
  <si>
    <t>3102595870T</t>
  </si>
  <si>
    <t>9781412805964</t>
  </si>
  <si>
    <t>794145679</t>
  </si>
  <si>
    <t>QH431 S5577 2004</t>
  </si>
  <si>
    <t>0                      QH 0431000S  5577        2004</t>
  </si>
  <si>
    <t>The genome war : how Craig Venter tried to capture the code of life and save the world / James Shreeve.</t>
  </si>
  <si>
    <t>Shreeve, James.</t>
  </si>
  <si>
    <t>New York : Alfred A. Knopf, ©2004.</t>
  </si>
  <si>
    <t>917818982:eng</t>
  </si>
  <si>
    <t>52251457</t>
  </si>
  <si>
    <t>ocm52251457</t>
  </si>
  <si>
    <t>3102336208P</t>
  </si>
  <si>
    <t>9780375406294</t>
  </si>
  <si>
    <t>793801900</t>
  </si>
  <si>
    <t>QH431 S5x</t>
  </si>
  <si>
    <t>0                      QH 0431000S  5x</t>
  </si>
  <si>
    <t>The book of life.</t>
  </si>
  <si>
    <t>Sinsheimer, Robert L.</t>
  </si>
  <si>
    <t>Reading, Mass., Adison-Wesley [1967]</t>
  </si>
  <si>
    <t>Addison-Wesley series in life science</t>
  </si>
  <si>
    <t>1597415:eng</t>
  </si>
  <si>
    <t>551393</t>
  </si>
  <si>
    <t>ocm00551393</t>
  </si>
  <si>
    <t>30010434993</t>
  </si>
  <si>
    <t>791411827</t>
  </si>
  <si>
    <t>QH431 S66</t>
  </si>
  <si>
    <t>0                      QH 0431000S  66</t>
  </si>
  <si>
    <t>The control of human heredity and evolution, edited by T.M. Sonneborn.</t>
  </si>
  <si>
    <t>Sonneborn, T. M. (Tracy Morton), 1905-1981, editor.</t>
  </si>
  <si>
    <t>354160398:eng</t>
  </si>
  <si>
    <t>551711</t>
  </si>
  <si>
    <t>ocm00551711</t>
  </si>
  <si>
    <t>30010435031</t>
  </si>
  <si>
    <t>791411927</t>
  </si>
  <si>
    <t>QH431 S678</t>
  </si>
  <si>
    <t>0                      QH 0431000S  678</t>
  </si>
  <si>
    <t>Papers on animal population genetics.</t>
  </si>
  <si>
    <t>Spiess, Eliot B.</t>
  </si>
  <si>
    <t>Boston, Little, Brown [©1962]</t>
  </si>
  <si>
    <t>Little, Brown experimental sciences collection</t>
  </si>
  <si>
    <t>49243906:eng</t>
  </si>
  <si>
    <t>742480</t>
  </si>
  <si>
    <t>ocm00742480</t>
  </si>
  <si>
    <t>30010474189</t>
  </si>
  <si>
    <t>791459510</t>
  </si>
  <si>
    <t>QH431 S7925</t>
  </si>
  <si>
    <t>0                      QH 0431000S  7925</t>
  </si>
  <si>
    <t>Experiments in genetics with Drosophila / Monroe W. Strickberger.</t>
  </si>
  <si>
    <t>Strickberger, Monroe W.</t>
  </si>
  <si>
    <t>New York : John Wiley, [1962]</t>
  </si>
  <si>
    <t>2014-02-21</t>
  </si>
  <si>
    <t>1598446:eng</t>
  </si>
  <si>
    <t>551713</t>
  </si>
  <si>
    <t>ocm00551713</t>
  </si>
  <si>
    <t>3101183254T</t>
  </si>
  <si>
    <t>9780471833734</t>
  </si>
  <si>
    <t>791411929</t>
  </si>
  <si>
    <t>QH 431 T473</t>
  </si>
  <si>
    <t>0                      QH 0431000T  473</t>
  </si>
  <si>
    <t>Genetics in medicine [by] James S. Thompson and Margaret W. Thompson.</t>
  </si>
  <si>
    <t>Thompson, James S. (James Scott), 1919-</t>
  </si>
  <si>
    <t>Philadelphia, Saunders, 1966.</t>
  </si>
  <si>
    <t>2018-06-06</t>
  </si>
  <si>
    <t>4535623826:eng</t>
  </si>
  <si>
    <t>173323</t>
  </si>
  <si>
    <t>ocm00173323</t>
  </si>
  <si>
    <t>3000112961W</t>
  </si>
  <si>
    <t>791280990</t>
  </si>
  <si>
    <t>QH431 V58</t>
  </si>
  <si>
    <t>0                      QH 0431000V  58</t>
  </si>
  <si>
    <t>The chromosome theory of inheritance; classic papers in development and heredity, edited by Bruce R. Voeller.</t>
  </si>
  <si>
    <t>Voeller, Bruce R., compiler.</t>
  </si>
  <si>
    <t>New York, Appleton-Century-Crofts [1968]</t>
  </si>
  <si>
    <t>860259946:eng</t>
  </si>
  <si>
    <t>252576</t>
  </si>
  <si>
    <t>ocm00252576</t>
  </si>
  <si>
    <t>30010434896</t>
  </si>
  <si>
    <t>791310180</t>
  </si>
  <si>
    <t>QH431 W288</t>
  </si>
  <si>
    <t>0                      QH 0431000W  288</t>
  </si>
  <si>
    <t>Genetic load, its biological and conceptual aspects.</t>
  </si>
  <si>
    <t>Wallace, Bruce, 1920-2015.</t>
  </si>
  <si>
    <t>Englewood Cliffs, N.J., Prentice-Hall [©1970]</t>
  </si>
  <si>
    <t>Concepts of modern biology series</t>
  </si>
  <si>
    <t>803515330:eng</t>
  </si>
  <si>
    <t>50642</t>
  </si>
  <si>
    <t>ocm00050642</t>
  </si>
  <si>
    <t>3001043490L</t>
  </si>
  <si>
    <t>9780133511970</t>
  </si>
  <si>
    <t>791239750</t>
  </si>
  <si>
    <t>QH431 W482</t>
  </si>
  <si>
    <t>0                      QH 0431000W  482</t>
  </si>
  <si>
    <t>Human genetics and its foundations.</t>
  </si>
  <si>
    <t>Whittinghill, Maurice, 1909-1998.</t>
  </si>
  <si>
    <t>New York, Reinhold Pub. Corp. [1965]</t>
  </si>
  <si>
    <t>Reinhold books in the biological sciences</t>
  </si>
  <si>
    <t>365358881:eng</t>
  </si>
  <si>
    <t>165563</t>
  </si>
  <si>
    <t>ocm00165563</t>
  </si>
  <si>
    <t>3001043493F</t>
  </si>
  <si>
    <t>791277869</t>
  </si>
  <si>
    <t>3001043494D</t>
  </si>
  <si>
    <t>791277868</t>
  </si>
  <si>
    <t>QH431 W79</t>
  </si>
  <si>
    <t>0                      QH 0431000W  79</t>
  </si>
  <si>
    <t>Evolution and the genetics of populations : a treatise.</t>
  </si>
  <si>
    <t>Wright, Sewall, 1889-1988.</t>
  </si>
  <si>
    <t>Chicago : University of Chicago Press, [1968-78]</t>
  </si>
  <si>
    <t>4757613365:eng</t>
  </si>
  <si>
    <t>551234</t>
  </si>
  <si>
    <t>ocm00551234</t>
  </si>
  <si>
    <t>3100675389C</t>
  </si>
  <si>
    <t>9780226910499</t>
  </si>
  <si>
    <t>791411744</t>
  </si>
  <si>
    <t>3100675388E</t>
  </si>
  <si>
    <t>791411743</t>
  </si>
  <si>
    <t>3100688243J</t>
  </si>
  <si>
    <t>791411745</t>
  </si>
  <si>
    <t>2004-02-18</t>
  </si>
  <si>
    <t>3100675398B</t>
  </si>
  <si>
    <t>791411742</t>
  </si>
  <si>
    <t>QH 431 W953</t>
  </si>
  <si>
    <t>0                      QH 0431000W  953</t>
  </si>
  <si>
    <t>3000112967K</t>
  </si>
  <si>
    <t>791411741</t>
  </si>
  <si>
    <t>QH432 G44 1994</t>
  </si>
  <si>
    <t>0                      QH 0432000G  44          1994</t>
  </si>
  <si>
    <t>Genetics and evolution of aquatic organisms / edited by A.R. Beaumont.</t>
  </si>
  <si>
    <t>London ; New York : Chapman &amp; Hall, 1994.</t>
  </si>
  <si>
    <t>24137835:eng</t>
  </si>
  <si>
    <t>28854473</t>
  </si>
  <si>
    <t>ocm28854473</t>
  </si>
  <si>
    <t>31013156057</t>
  </si>
  <si>
    <t>9780412493706</t>
  </si>
  <si>
    <t>793297983</t>
  </si>
  <si>
    <t>QH438.5 N38 2004</t>
  </si>
  <si>
    <t>0                      QH 0438500N  38          2004</t>
  </si>
  <si>
    <t>Nature and nurture : the complex interplay of genetic and environmental influences on human behavior and development / edited by Cynthia García Coll, Elaine L. Bearer, Richard M. Lerner.</t>
  </si>
  <si>
    <t>Mahwah, N.J. : Lawrence Erlbaum, 2004.</t>
  </si>
  <si>
    <t>800985766:eng</t>
  </si>
  <si>
    <t>51566514</t>
  </si>
  <si>
    <t>ocm51566514</t>
  </si>
  <si>
    <t>3102795295V</t>
  </si>
  <si>
    <t>9780805843873</t>
  </si>
  <si>
    <t>793786999</t>
  </si>
  <si>
    <t>QH438.5 R535 2003</t>
  </si>
  <si>
    <t>0                      QH 0438500R  535         2003</t>
  </si>
  <si>
    <t>Nature via nurture : genes, experience, and what makes us human / Matt Ridley.</t>
  </si>
  <si>
    <t>New York, N.Y. : HarperCollins, 2003.</t>
  </si>
  <si>
    <t>647549:eng</t>
  </si>
  <si>
    <t>51553398</t>
  </si>
  <si>
    <t>ocm51553398</t>
  </si>
  <si>
    <t>31029439248</t>
  </si>
  <si>
    <t>9780060006785</t>
  </si>
  <si>
    <t>793786713</t>
  </si>
  <si>
    <t>QH438.7 C48 2003</t>
  </si>
  <si>
    <t>0                      QH 0438700C  48          2003</t>
  </si>
  <si>
    <t>A Christian response to the new genetics : religious, ethical, and social issues / edited by David H. Smith and Cynthia B. Cohen.</t>
  </si>
  <si>
    <t>Lanham, Md. : Rowman &amp; Littlefield Publishers, 2003.</t>
  </si>
  <si>
    <t>800596908:eng</t>
  </si>
  <si>
    <t>51848595</t>
  </si>
  <si>
    <t>ocm51848595</t>
  </si>
  <si>
    <t>31023213462</t>
  </si>
  <si>
    <t>9780742514980</t>
  </si>
  <si>
    <t>793792556</t>
  </si>
  <si>
    <t>QH438.7 D43 2006</t>
  </si>
  <si>
    <t>0                      QH 0438700D  43          2006</t>
  </si>
  <si>
    <t>Genetics and Christian ethics / Celia Deane-Drummond.</t>
  </si>
  <si>
    <t>Deane-Drummond, Celia.</t>
  </si>
  <si>
    <t>New studies in Christian ethics ; 25</t>
  </si>
  <si>
    <t>46547207:eng</t>
  </si>
  <si>
    <t>62132884</t>
  </si>
  <si>
    <t>ocm62132884</t>
  </si>
  <si>
    <t>3102633972L</t>
  </si>
  <si>
    <t>9780521829434</t>
  </si>
  <si>
    <t>794100827</t>
  </si>
  <si>
    <t>QH438.7 E935 2002</t>
  </si>
  <si>
    <t>0                      QH 0438700E  935         2002</t>
  </si>
  <si>
    <t>Playing God? : human genetic engineering and the rationalization of public bioethical debate / John H. Evans.</t>
  </si>
  <si>
    <t>Evans, John Hyde, 1965-</t>
  </si>
  <si>
    <t>Morality and society series</t>
  </si>
  <si>
    <t>836998949:eng</t>
  </si>
  <si>
    <t>47054668</t>
  </si>
  <si>
    <t>ocm47054668</t>
  </si>
  <si>
    <t>3102767681S</t>
  </si>
  <si>
    <t>9780226222615</t>
  </si>
  <si>
    <t>793697365</t>
  </si>
  <si>
    <t>QH438.7 N38 2010</t>
  </si>
  <si>
    <t>0                      QH 0438700N  38          2010</t>
  </si>
  <si>
    <t>Nature after the genome / edited by Sarah Parry and John Dupré.</t>
  </si>
  <si>
    <t>Malden, MA : Wiley-Blackwell : Sociological Review, 2010.</t>
  </si>
  <si>
    <t>Sociological review monographs</t>
  </si>
  <si>
    <t>2017-10-01</t>
  </si>
  <si>
    <t>5218575096:eng</t>
  </si>
  <si>
    <t>489003087</t>
  </si>
  <si>
    <t>ocn489003087</t>
  </si>
  <si>
    <t>3103285722L</t>
  </si>
  <si>
    <t>9781444333961</t>
  </si>
  <si>
    <t>794799444</t>
  </si>
  <si>
    <t>QH438.7 P48 1997</t>
  </si>
  <si>
    <t>0                      QH 0438700P  48          1997</t>
  </si>
  <si>
    <t>Playing God? : genetic determinism and human freedom / Ted Peters.</t>
  </si>
  <si>
    <t>Peters, Ted, 1941-</t>
  </si>
  <si>
    <t>New York and London : Routledge, 1997.</t>
  </si>
  <si>
    <t>1016139:eng</t>
  </si>
  <si>
    <t>35192269</t>
  </si>
  <si>
    <t>ocm35192269</t>
  </si>
  <si>
    <t>3101740776X</t>
  </si>
  <si>
    <t>9780415915212</t>
  </si>
  <si>
    <t>793446466</t>
  </si>
  <si>
    <t>QH442 B68 2013</t>
  </si>
  <si>
    <t>0                      QH 0442000B  68          2013</t>
  </si>
  <si>
    <t>La démocratie et ses gènes : le génie génétique dans l'espace public suisse, 1990-2005 / Alain Bovet.</t>
  </si>
  <si>
    <t>Bovet, Alain, author.</t>
  </si>
  <si>
    <t>Lausanne, Suisse : Éditions Antipodes, [2013]</t>
  </si>
  <si>
    <t>Contre-pied</t>
  </si>
  <si>
    <t>2018-06-21</t>
  </si>
  <si>
    <t>1358926585:fre</t>
  </si>
  <si>
    <t>857378507</t>
  </si>
  <si>
    <t>ocn857378507</t>
  </si>
  <si>
    <t>3103514516D</t>
  </si>
  <si>
    <t>9782889010622</t>
  </si>
  <si>
    <t>794955067</t>
  </si>
  <si>
    <t>QH442 E88</t>
  </si>
  <si>
    <t>0                      QH 0442000E  88</t>
  </si>
  <si>
    <t>Genetic fix.</t>
  </si>
  <si>
    <t>Etzioni, Amitai.</t>
  </si>
  <si>
    <t>New York, Macmillan [1973]</t>
  </si>
  <si>
    <t>1790818:eng</t>
  </si>
  <si>
    <t>851823</t>
  </si>
  <si>
    <t>ocm00851823</t>
  </si>
  <si>
    <t>3001036439C</t>
  </si>
  <si>
    <t>791486832</t>
  </si>
  <si>
    <t>QH442 G56 1984</t>
  </si>
  <si>
    <t>0                      QH 0442000G  56          1984</t>
  </si>
  <si>
    <t>What sort of people should there be? / Jonathan Glover.</t>
  </si>
  <si>
    <t>Glover, Jonathan.</t>
  </si>
  <si>
    <t>Harmondsworth, Middlesex, England ; New York, N.Y., U.S.A. : Penguin, 1984.</t>
  </si>
  <si>
    <t>3776305:eng</t>
  </si>
  <si>
    <t>10747910</t>
  </si>
  <si>
    <t>ocm10747910</t>
  </si>
  <si>
    <t>30003655211</t>
  </si>
  <si>
    <t>9780140222241</t>
  </si>
  <si>
    <t>792740680</t>
  </si>
  <si>
    <t>QH442 K74 1982</t>
  </si>
  <si>
    <t>0                      QH 0442000K  74          1982</t>
  </si>
  <si>
    <t>Genetic alchemy : the social history of the recombinant DNA controversy / Sheldon Krimsky.</t>
  </si>
  <si>
    <t>Krimsky, Sheldon.</t>
  </si>
  <si>
    <t>Cambridge, Mass. : MIT Press, ©1982.</t>
  </si>
  <si>
    <t>422174:eng</t>
  </si>
  <si>
    <t>8221897</t>
  </si>
  <si>
    <t>ocm08221897</t>
  </si>
  <si>
    <t>3000335299V</t>
  </si>
  <si>
    <t>9780262110839</t>
  </si>
  <si>
    <t>792606332</t>
  </si>
  <si>
    <t>QH442 R53 1984</t>
  </si>
  <si>
    <t>0                      QH 0442000R  53          1984</t>
  </si>
  <si>
    <t>Algeny / Jeremy Rifkin, in collaboration with Nicanor Perlas.</t>
  </si>
  <si>
    <t>New York : Penguin Books, 1984.</t>
  </si>
  <si>
    <t>836653975:eng</t>
  </si>
  <si>
    <t>10145533</t>
  </si>
  <si>
    <t>ocm10145533</t>
  </si>
  <si>
    <t>3000527008D</t>
  </si>
  <si>
    <t>9780140071061</t>
  </si>
  <si>
    <t>792711180</t>
  </si>
  <si>
    <t>QH442 S477 2000</t>
  </si>
  <si>
    <t>0                      QH 0442000S  477         2000</t>
  </si>
  <si>
    <t>Made in whose image? : genetic engineering and Christian ethics / Thomas A. Shannon.</t>
  </si>
  <si>
    <t>Shannon, Thomas A. (Thomas Anthony), 1940-</t>
  </si>
  <si>
    <t>536904:eng</t>
  </si>
  <si>
    <t>42420708</t>
  </si>
  <si>
    <t>ocm42420708</t>
  </si>
  <si>
    <t>3102157852$</t>
  </si>
  <si>
    <t>9781573926324</t>
  </si>
  <si>
    <t>793607193</t>
  </si>
  <si>
    <t>QH442.2 H857 2002</t>
  </si>
  <si>
    <t>0                      QH 0442200H  857         2002</t>
  </si>
  <si>
    <t>Human cloning and human dignity : the report of the President's Council on Bioethics / with a foreword by Leon R. Kass, chairman.</t>
  </si>
  <si>
    <t>President's Council on Bioethics (U.S.)</t>
  </si>
  <si>
    <t>New York : PublicAffairs, ©2002.</t>
  </si>
  <si>
    <t>PublicAffairs reports</t>
  </si>
  <si>
    <t>5609818464:eng</t>
  </si>
  <si>
    <t>181898943</t>
  </si>
  <si>
    <t>ocn181898943</t>
  </si>
  <si>
    <t>3103301780M</t>
  </si>
  <si>
    <t>9781586481766</t>
  </si>
  <si>
    <t>794284015</t>
  </si>
  <si>
    <t>QH442.2 K65 1998</t>
  </si>
  <si>
    <t>0                      QH 0442200K  65          1998</t>
  </si>
  <si>
    <t>Clone : the road to Dolly, and the path ahead / Gina Kolata.</t>
  </si>
  <si>
    <t>Kolata, Gina Bari, 1948-</t>
  </si>
  <si>
    <t>New York : W. Morrow &amp; Co., ©1998.</t>
  </si>
  <si>
    <t>2016-09-08</t>
  </si>
  <si>
    <t>24117686:eng</t>
  </si>
  <si>
    <t>37437467</t>
  </si>
  <si>
    <t>ocm37437467</t>
  </si>
  <si>
    <t>3101869455Q</t>
  </si>
  <si>
    <t>9780688156923</t>
  </si>
  <si>
    <t>793498640</t>
  </si>
  <si>
    <t>QH443 E96 1988</t>
  </si>
  <si>
    <t>0                      QH 0443000E  96          1988</t>
  </si>
  <si>
    <t>The Evolution of sex : an examination of current ideas / edited by Richard E. Michod and Bruce R. Levin.</t>
  </si>
  <si>
    <t>Sunderland, Mass. : Sinauer Associates, ©1988.</t>
  </si>
  <si>
    <t>889784970:eng</t>
  </si>
  <si>
    <t>16758907</t>
  </si>
  <si>
    <t>ocm16758907</t>
  </si>
  <si>
    <t>3001053004D</t>
  </si>
  <si>
    <t>9780878934584</t>
  </si>
  <si>
    <t>792971668</t>
  </si>
  <si>
    <t>QH445.2 D38 1990</t>
  </si>
  <si>
    <t>0                      QH 0445200D  38          1990</t>
  </si>
  <si>
    <t>Mapping the code : the Human Genome Project and the choices of modern science / Joel Davis.</t>
  </si>
  <si>
    <t>Davis, Joel, 1948-</t>
  </si>
  <si>
    <t>889365336:eng</t>
  </si>
  <si>
    <t>21672568</t>
  </si>
  <si>
    <t>ocm21672568</t>
  </si>
  <si>
    <t>3100989436J</t>
  </si>
  <si>
    <t>9780471503835</t>
  </si>
  <si>
    <t>793125230</t>
  </si>
  <si>
    <t>QH447.8 S45 M47 2007</t>
  </si>
  <si>
    <t>0                      QH 0447800S  45                 M  47          2007</t>
  </si>
  <si>
    <t>Selfish genes and Christian ethics : theological and ethical reflections on evolutionary biology / Neil Messer.</t>
  </si>
  <si>
    <t>Messer, Neil.</t>
  </si>
  <si>
    <t>London : SCM Press, 2007.</t>
  </si>
  <si>
    <t>375699042:eng</t>
  </si>
  <si>
    <t>122956971</t>
  </si>
  <si>
    <t>ocn122956971</t>
  </si>
  <si>
    <t>3102598961G</t>
  </si>
  <si>
    <t>9780334029960</t>
  </si>
  <si>
    <t>794221871</t>
  </si>
  <si>
    <t>QH450 M68 2015</t>
  </si>
  <si>
    <t>0                      QH 0450000M  68          2015</t>
  </si>
  <si>
    <t>The developing genome : an introduction to behavioral epigenetics / David S. Moore.</t>
  </si>
  <si>
    <t>Moore, David Scott, 1960-</t>
  </si>
  <si>
    <t>Oxford ; New York, NY : Oxford University Press, [2015]</t>
  </si>
  <si>
    <t>2213803361:eng</t>
  </si>
  <si>
    <t>894139943</t>
  </si>
  <si>
    <t>ocn894139943</t>
  </si>
  <si>
    <t>31038084774</t>
  </si>
  <si>
    <t>9780199922345</t>
  </si>
  <si>
    <t>794982416</t>
  </si>
  <si>
    <t>QH452 S27 1987</t>
  </si>
  <si>
    <t>0                      QH 0452000S  27          1987</t>
  </si>
  <si>
    <t>Beyond the gene : cytoplasmic inheritance and the struggle for authority in genetics / Jan Sapp.</t>
  </si>
  <si>
    <t>Sapp, Jan.</t>
  </si>
  <si>
    <t>New York : Oxford University Press, 1987.</t>
  </si>
  <si>
    <t>793989583:eng</t>
  </si>
  <si>
    <t>13795243</t>
  </si>
  <si>
    <t>ocm13795243</t>
  </si>
  <si>
    <t>3001039867D</t>
  </si>
  <si>
    <t>9780195042061</t>
  </si>
  <si>
    <t>792866907</t>
  </si>
  <si>
    <t>QH455 A73 2000</t>
  </si>
  <si>
    <t>0                      QH 0455000A  73          2000</t>
  </si>
  <si>
    <t>Archaeogenetics : DNA and the population prehistory of Europe / edited by Colin Renfrew &amp; Katie Boyle.</t>
  </si>
  <si>
    <t>Cambridge : McDonald Institute for Archaeological Research ; Oakville, CT : David Brown Book Co. [distributor], ©2000.</t>
  </si>
  <si>
    <t>McDonald Institute monographs, 1363-1349</t>
  </si>
  <si>
    <t>327344165:eng</t>
  </si>
  <si>
    <t>46728213</t>
  </si>
  <si>
    <t>ocm46728213</t>
  </si>
  <si>
    <t>3102165959M</t>
  </si>
  <si>
    <t>9781902937083</t>
  </si>
  <si>
    <t>793690363</t>
  </si>
  <si>
    <t>QH455 B87 2000</t>
  </si>
  <si>
    <t>0                      QH 0455000B  87          2000</t>
  </si>
  <si>
    <t>The mathematical theory of selection, recombination, and mutation / R. Bürger.</t>
  </si>
  <si>
    <t>Bürger, R. (Reinhard)</t>
  </si>
  <si>
    <t>Chichester ; New York : Wiley, ©2000.</t>
  </si>
  <si>
    <t>Wiley series in mathematical and computational biology</t>
  </si>
  <si>
    <t>20829886:eng</t>
  </si>
  <si>
    <t>44427026</t>
  </si>
  <si>
    <t>ocm44427026</t>
  </si>
  <si>
    <t>31021648374</t>
  </si>
  <si>
    <t>9780471986539</t>
  </si>
  <si>
    <t>793645964</t>
  </si>
  <si>
    <t>QH455 C47</t>
  </si>
  <si>
    <t>0                      QH 0455000C  47</t>
  </si>
  <si>
    <t>Evolution in age-structured populations / Brian Charlesworth.</t>
  </si>
  <si>
    <t>Cambridge studies in mathematical biology ; 1</t>
  </si>
  <si>
    <t>504423:eng</t>
  </si>
  <si>
    <t>5889634</t>
  </si>
  <si>
    <t>ocm05889634</t>
  </si>
  <si>
    <t>3001024677C</t>
  </si>
  <si>
    <t>9780521230452</t>
  </si>
  <si>
    <t>792461140</t>
  </si>
  <si>
    <t>QH455 H36 2007</t>
  </si>
  <si>
    <t>0                      QH 0455000H  36          2007</t>
  </si>
  <si>
    <t>Principles of population genetics / Daniel L. Hartl, Andrew G. Clark.</t>
  </si>
  <si>
    <t>Sunderland, Mass. : Sinauer Associates, ©2007.</t>
  </si>
  <si>
    <t>644243:eng</t>
  </si>
  <si>
    <t>75087956</t>
  </si>
  <si>
    <t>ocm75087956</t>
  </si>
  <si>
    <t>3102632311I</t>
  </si>
  <si>
    <t>9780878933082</t>
  </si>
  <si>
    <t>794174380</t>
  </si>
  <si>
    <t>3103306182K</t>
  </si>
  <si>
    <t>794174379</t>
  </si>
  <si>
    <t>QH455 I58 2002</t>
  </si>
  <si>
    <t>0                      QH 0455000I  58          2002</t>
  </si>
  <si>
    <t>Populations and genetics : legal and socio-ethical perspectives / edited by Bartha Maria Knoppers.</t>
  </si>
  <si>
    <t>International DNA Sampling Conference (3rd : 2002 : Montreal, Québec)</t>
  </si>
  <si>
    <t>Leiden ; Boston : Martinus Nijhoff, 2003.</t>
  </si>
  <si>
    <t>2016-08-10</t>
  </si>
  <si>
    <t>866871273:eng</t>
  </si>
  <si>
    <t>55039993</t>
  </si>
  <si>
    <t>ocm55039993</t>
  </si>
  <si>
    <t>3102358587J</t>
  </si>
  <si>
    <t>9789004136786</t>
  </si>
  <si>
    <t>793873198</t>
  </si>
  <si>
    <t>QH455 O474 2002</t>
  </si>
  <si>
    <t>0                      QH 0455000O  474         2002</t>
  </si>
  <si>
    <t>Mapping human history : discovering the past through our genes / Steve Olson.</t>
  </si>
  <si>
    <t>Olson, Steve, 1956-</t>
  </si>
  <si>
    <t>Boston : Houghton Mifflin, ©2002.</t>
  </si>
  <si>
    <t>19948551:eng</t>
  </si>
  <si>
    <t>48451080</t>
  </si>
  <si>
    <t>ocm48451080</t>
  </si>
  <si>
    <t>3102895672H</t>
  </si>
  <si>
    <t>9780618091577</t>
  </si>
  <si>
    <t>793721432</t>
  </si>
  <si>
    <t>QH455 S35 2002</t>
  </si>
  <si>
    <t>0                      QH 0455000S  35          2002</t>
  </si>
  <si>
    <t>The evolution and genetics of Latin American populations / Francisco M. Salzano and Maria Cátira Bortolini.</t>
  </si>
  <si>
    <t>Salzano, Francisco M.</t>
  </si>
  <si>
    <t>Cambridge studies in biological and evolutionary anthropology ; 28</t>
  </si>
  <si>
    <t>35422275:eng</t>
  </si>
  <si>
    <t>46366297</t>
  </si>
  <si>
    <t>ocm46366297</t>
  </si>
  <si>
    <t>3102208164T</t>
  </si>
  <si>
    <t>9780521652759</t>
  </si>
  <si>
    <t>793683445</t>
  </si>
  <si>
    <t>QH455 W34</t>
  </si>
  <si>
    <t>0                      QH 0455000W  34</t>
  </si>
  <si>
    <t>Basic population genetics / Bruce Wallace.</t>
  </si>
  <si>
    <t>New York : Columbia University Press, 1981.</t>
  </si>
  <si>
    <t>180268877:eng</t>
  </si>
  <si>
    <t>7006940</t>
  </si>
  <si>
    <t>ocm07006940</t>
  </si>
  <si>
    <t>3001026443R</t>
  </si>
  <si>
    <t>9780231050425</t>
  </si>
  <si>
    <t>792535193</t>
  </si>
  <si>
    <t>QH457 M67 1999</t>
  </si>
  <si>
    <t>0                      QH 0457000M  67          1999</t>
  </si>
  <si>
    <t>The spirit in the gene : humanity's proud illusion and the laws of nature / Reg Morrison ; with a foreword by Lynn Margulis.</t>
  </si>
  <si>
    <t>Morrison, Reg.</t>
  </si>
  <si>
    <t>Ithaca : Comstock Pub. Associates, a division of Cornell University Press, 1999.</t>
  </si>
  <si>
    <t>836995093:eng</t>
  </si>
  <si>
    <t>41380397</t>
  </si>
  <si>
    <t>ocm41380397</t>
  </si>
  <si>
    <t>31020301187</t>
  </si>
  <si>
    <t>9780801436512</t>
  </si>
  <si>
    <t>793590260</t>
  </si>
  <si>
    <t>QH457 W43 2000</t>
  </si>
  <si>
    <t>0                      QH 0457000W  43          2000</t>
  </si>
  <si>
    <t>Time, love, memory : a great biologist and his quest for the origins of behavior / Jonathan Weiner.</t>
  </si>
  <si>
    <t>Weiner, Jonathan.</t>
  </si>
  <si>
    <t>New York : Vintage Books, 2000, ©1999.</t>
  </si>
  <si>
    <t>1st Vintage Books ed.</t>
  </si>
  <si>
    <t>969505:eng</t>
  </si>
  <si>
    <t>44165178</t>
  </si>
  <si>
    <t>ocm44165178</t>
  </si>
  <si>
    <t>3102133523D</t>
  </si>
  <si>
    <t>9780679763901</t>
  </si>
  <si>
    <t>793643763</t>
  </si>
  <si>
    <t>QH471 F69 1986</t>
  </si>
  <si>
    <t>0                      QH 0471000F  69          1986</t>
  </si>
  <si>
    <t>A natural history of sex : the ecology and evolution of sexual behavior / Adrian Forsyth.</t>
  </si>
  <si>
    <t>New York : Scribner's, ©1986.</t>
  </si>
  <si>
    <t>9381527168:eng</t>
  </si>
  <si>
    <t>13122067</t>
  </si>
  <si>
    <t>ocm13122067</t>
  </si>
  <si>
    <t>3001039350D</t>
  </si>
  <si>
    <t>9780684183381</t>
  </si>
  <si>
    <t>792841471</t>
  </si>
  <si>
    <t>QH481 G56</t>
  </si>
  <si>
    <t>0                      QH 0481000G  56</t>
  </si>
  <si>
    <t>The economy of nature and the evolution of sex / Michael T. Ghiselin.</t>
  </si>
  <si>
    <t>Ghiselin, Michael T., 1939-</t>
  </si>
  <si>
    <t>Berkeley : University of California Press, [1974]</t>
  </si>
  <si>
    <t>500785:eng</t>
  </si>
  <si>
    <t>1072414</t>
  </si>
  <si>
    <t>ocm01072414</t>
  </si>
  <si>
    <t>30010333611</t>
  </si>
  <si>
    <t>9780520024748</t>
  </si>
  <si>
    <t>791538905</t>
  </si>
  <si>
    <t>QH481 M27 1986</t>
  </si>
  <si>
    <t>0                      QH 0481000M  27          1986</t>
  </si>
  <si>
    <t>Origins of sex : three billion years of genetic recombination / Lynn Margulis, Dorion Sagan.</t>
  </si>
  <si>
    <t>New Haven : Yale University Press, ©1986.</t>
  </si>
  <si>
    <t>The Bio-origins series</t>
  </si>
  <si>
    <t>795370474:eng</t>
  </si>
  <si>
    <t>12081025</t>
  </si>
  <si>
    <t>ocm12081025</t>
  </si>
  <si>
    <t>3001038986A</t>
  </si>
  <si>
    <t>9780300033403</t>
  </si>
  <si>
    <t>792800296</t>
  </si>
  <si>
    <t>QH491 T48</t>
  </si>
  <si>
    <t>0                      QH 0491000T  48</t>
  </si>
  <si>
    <t>Modèles mathématiques de la morphogenèse : recueil de textes sur la théorie des catastrophes et ses applications / par René Thom.</t>
  </si>
  <si>
    <t>Thom, René, 1923-2002.</t>
  </si>
  <si>
    <t>Paris : Union général d'éditions, 1974.</t>
  </si>
  <si>
    <t>10/18 ; 887</t>
  </si>
  <si>
    <t>4160760529:fre</t>
  </si>
  <si>
    <t>1603211</t>
  </si>
  <si>
    <t>ocm01603211</t>
  </si>
  <si>
    <t>3000440510$</t>
  </si>
  <si>
    <t>791775816</t>
  </si>
  <si>
    <t>QH501 H37 1996</t>
  </si>
  <si>
    <t>0                      QH 0501000H  37          1996</t>
  </si>
  <si>
    <t>Reenchanted science : holism in German culture from Wilhelm II to Hitler / Anne Harrington.</t>
  </si>
  <si>
    <t>Harrington, Anne, 1960-</t>
  </si>
  <si>
    <t>Princeton, N.J. : Princeton University Press, ©1996.</t>
  </si>
  <si>
    <t>39334893:eng</t>
  </si>
  <si>
    <t>34029394</t>
  </si>
  <si>
    <t>ocm34029394</t>
  </si>
  <si>
    <t>31028028078</t>
  </si>
  <si>
    <t>9780691021423</t>
  </si>
  <si>
    <t>793416760</t>
  </si>
  <si>
    <t>QH505 M6</t>
  </si>
  <si>
    <t>0                      QH 0505000M  6</t>
  </si>
  <si>
    <t>Energy flow in biology; biological organization as a problem in thermal physics [by] Harold J. Morowitz.</t>
  </si>
  <si>
    <t>Morowitz, Harold J.</t>
  </si>
  <si>
    <t>New York, Academic Press, 1968.</t>
  </si>
  <si>
    <t>2014-07-28</t>
  </si>
  <si>
    <t>1464813:eng</t>
  </si>
  <si>
    <t>288774</t>
  </si>
  <si>
    <t>ocm00288774</t>
  </si>
  <si>
    <t>3001048207H</t>
  </si>
  <si>
    <t>791325098</t>
  </si>
  <si>
    <t>QH506 H636 2012</t>
  </si>
  <si>
    <t>0                      QH 0506000H  636         2012</t>
  </si>
  <si>
    <t>Life's ratchet : how molecular machines extract order from chaos / Peter M. Hoffmann.</t>
  </si>
  <si>
    <t>Hoffmann, Peter M.</t>
  </si>
  <si>
    <t>New York : Basic Books, ©2012.</t>
  </si>
  <si>
    <t>2013-11-27</t>
  </si>
  <si>
    <t>1163746668:eng</t>
  </si>
  <si>
    <t>808107321</t>
  </si>
  <si>
    <t>ocn808107321</t>
  </si>
  <si>
    <t>3103527240$</t>
  </si>
  <si>
    <t>9780465022533</t>
  </si>
  <si>
    <t>794927401</t>
  </si>
  <si>
    <t>2013-11-24</t>
  </si>
  <si>
    <t>31035272381</t>
  </si>
  <si>
    <t>794927400</t>
  </si>
  <si>
    <t>31035272391</t>
  </si>
  <si>
    <t>794927402</t>
  </si>
  <si>
    <t>QH506 M635 2004</t>
  </si>
  <si>
    <t>0                      QH 0506000M  635         2004</t>
  </si>
  <si>
    <t>Modelling in molecular biology / Gabriel Ciobanu, Grzegorz Rozenberg (eds.).</t>
  </si>
  <si>
    <t>Natural computing series</t>
  </si>
  <si>
    <t>351114714:eng</t>
  </si>
  <si>
    <t>56593671</t>
  </si>
  <si>
    <t>ocm56593671</t>
  </si>
  <si>
    <t>3102444794Q</t>
  </si>
  <si>
    <t>9783540407997</t>
  </si>
  <si>
    <t>793896657</t>
  </si>
  <si>
    <t>QH507 V37 1979</t>
  </si>
  <si>
    <t>0                      QH 0507000V  37          1979</t>
  </si>
  <si>
    <t>Principles of biological autonomy / Francisco J. Varela.</t>
  </si>
  <si>
    <t>Varela, Francisco J., 1946-2001.</t>
  </si>
  <si>
    <t>New York : North Holland, ©1979.</t>
  </si>
  <si>
    <t>The North Holland series in general systems research ; 2</t>
  </si>
  <si>
    <t>4757774906:eng</t>
  </si>
  <si>
    <t>5305213</t>
  </si>
  <si>
    <t>ocm05305213</t>
  </si>
  <si>
    <t>3000346733U</t>
  </si>
  <si>
    <t>9780444003218</t>
  </si>
  <si>
    <t>792423737</t>
  </si>
  <si>
    <t>QH508 P37 1973</t>
  </si>
  <si>
    <t>0                      QH 0508000P  37          1973</t>
  </si>
  <si>
    <t>Hierarchy theory; the challenge of complex systems. Edited by Howard H. Pattee.</t>
  </si>
  <si>
    <t>Pattee, H. H. (Howard Hunt), 1926-</t>
  </si>
  <si>
    <t>New York, G. Braziller [1973]</t>
  </si>
  <si>
    <t>808857606:eng</t>
  </si>
  <si>
    <t>638741</t>
  </si>
  <si>
    <t>ocm00638741</t>
  </si>
  <si>
    <t>3001044816C</t>
  </si>
  <si>
    <t>9780807606742</t>
  </si>
  <si>
    <t>791434893</t>
  </si>
  <si>
    <t>QH509 T78 2009</t>
  </si>
  <si>
    <t>0                      QH 0509000T  78          2009</t>
  </si>
  <si>
    <t>Transport phenomena in biological systems / George A. Truskey, Fan Yuan, David F. Katz.</t>
  </si>
  <si>
    <t>Truskey, George A.</t>
  </si>
  <si>
    <t>Upper Saddle River, N.J. : Pearson Prentice Hall, ©2009.</t>
  </si>
  <si>
    <t>2nd ed. International Edition</t>
  </si>
  <si>
    <t>Pearson Prentice Hall bioengineering</t>
  </si>
  <si>
    <t>656290:eng</t>
  </si>
  <si>
    <t>262694333</t>
  </si>
  <si>
    <t>ocn262694333</t>
  </si>
  <si>
    <t>31038669717</t>
  </si>
  <si>
    <t>9780131569881</t>
  </si>
  <si>
    <t>794402169</t>
  </si>
  <si>
    <t>QH510 H37 1986</t>
  </si>
  <si>
    <t>0                      QH 0510000H  37          1986</t>
  </si>
  <si>
    <t>The vital force : a study of bioenergetics / Franklin M. Harold.</t>
  </si>
  <si>
    <t>Harold, Franklin M.</t>
  </si>
  <si>
    <t>New York : W.H. Freeman, ©1986.</t>
  </si>
  <si>
    <t>324548004:eng</t>
  </si>
  <si>
    <t>12162882</t>
  </si>
  <si>
    <t>ocm12162882</t>
  </si>
  <si>
    <t>3001039131P</t>
  </si>
  <si>
    <t>9780716717348</t>
  </si>
  <si>
    <t>792804424</t>
  </si>
  <si>
    <t>QH510 S36 2005</t>
  </si>
  <si>
    <t>0                      QH 0510000S  36          2005</t>
  </si>
  <si>
    <t>Into the cool : energy flow, thermodynamics, and life / Eric D. Schneider and Dorion Sagan.</t>
  </si>
  <si>
    <t>Schneider, Eric D.</t>
  </si>
  <si>
    <t>Chicago : University of Chicago Press, 2005.</t>
  </si>
  <si>
    <t>2014-08-21</t>
  </si>
  <si>
    <t>1026106:eng</t>
  </si>
  <si>
    <t>56982032</t>
  </si>
  <si>
    <t>ocm56982032</t>
  </si>
  <si>
    <t>3103404208Z</t>
  </si>
  <si>
    <t>9780226739366</t>
  </si>
  <si>
    <t>793905208</t>
  </si>
  <si>
    <t>QH510 W35 1993</t>
  </si>
  <si>
    <t>0                      QH 0510000W  35          1993</t>
  </si>
  <si>
    <t>Energy, plants and man / by David Walker ; with illustrations by Richard Walker.</t>
  </si>
  <si>
    <t>Walker, David, 1928-2012.</t>
  </si>
  <si>
    <t>Brighton, East Sussex : Oxygraphics, 1993, ©1992.</t>
  </si>
  <si>
    <t>2nd ed., with amendments.</t>
  </si>
  <si>
    <t>2015-07-22</t>
  </si>
  <si>
    <t>30546961:eng</t>
  </si>
  <si>
    <t>31016438</t>
  </si>
  <si>
    <t>ocm31016438</t>
  </si>
  <si>
    <t>3101465588I</t>
  </si>
  <si>
    <t>9781870232050</t>
  </si>
  <si>
    <t>793351620</t>
  </si>
  <si>
    <t>QH511 L4</t>
  </si>
  <si>
    <t>0                      QH 0511000L  4</t>
  </si>
  <si>
    <t>Bioenergetics: the molecular basis of biological energy transformations [by] Albert L. Lehninger.</t>
  </si>
  <si>
    <t>New York, W.A. Benjamin, 1965.</t>
  </si>
  <si>
    <t>Biology teaching monograph series</t>
  </si>
  <si>
    <t>460824:eng</t>
  </si>
  <si>
    <t>556427</t>
  </si>
  <si>
    <t>ocm00556427</t>
  </si>
  <si>
    <t>30010485407</t>
  </si>
  <si>
    <t>791413415</t>
  </si>
  <si>
    <t>QH515 P467 2002</t>
  </si>
  <si>
    <t>0                      QH 0515000P  467         2002</t>
  </si>
  <si>
    <t>Photobiology : the science of light and life / edited by Lars Olof Björn.</t>
  </si>
  <si>
    <t>4714556638:eng</t>
  </si>
  <si>
    <t>50410384</t>
  </si>
  <si>
    <t>ocm50410384</t>
  </si>
  <si>
    <t>31022747084</t>
  </si>
  <si>
    <t>9781402008429</t>
  </si>
  <si>
    <t>793764472</t>
  </si>
  <si>
    <t>QH527 L83 1971</t>
  </si>
  <si>
    <t>0                      QH 0527000L  83          1971</t>
  </si>
  <si>
    <t>Body time; physiological rhythms and social stress.</t>
  </si>
  <si>
    <t>Luce, Gay Gaer.</t>
  </si>
  <si>
    <t>New York, Pantheon Books [©1971]</t>
  </si>
  <si>
    <t>3943330169:eng</t>
  </si>
  <si>
    <t>286124</t>
  </si>
  <si>
    <t>ocm00286124</t>
  </si>
  <si>
    <t>3000522442M</t>
  </si>
  <si>
    <t>9780394468914</t>
  </si>
  <si>
    <t>791324200</t>
  </si>
  <si>
    <t>3000524387V</t>
  </si>
  <si>
    <t>791324201</t>
  </si>
  <si>
    <t>QH527 S43 2013</t>
  </si>
  <si>
    <t>0                      QH 0527000S  43          2013</t>
  </si>
  <si>
    <t>Northern light and northern times : Swedish leadership in the foundation of biological rhythms research / Jole Shackelford.</t>
  </si>
  <si>
    <t>Shackelford, Jole, author.</t>
  </si>
  <si>
    <t>Transactions of the American Philosophical Society, 0065-9746 ; volume 103, part 2</t>
  </si>
  <si>
    <t>1412102661:eng</t>
  </si>
  <si>
    <t>861755237</t>
  </si>
  <si>
    <t>ocn861755237</t>
  </si>
  <si>
    <t>31034939266</t>
  </si>
  <si>
    <t>9781606180327</t>
  </si>
  <si>
    <t>794959592</t>
  </si>
  <si>
    <t>QH540 D5x 1969</t>
  </si>
  <si>
    <t>0                      QH 0540000D  5x          1969</t>
  </si>
  <si>
    <t>Diversity and stability in ecological systems; report of symposium held May 26-28, 1969.</t>
  </si>
  <si>
    <t>Upton, N.Y., Biology Dept., Brookhaven National Laboratory; [available from the Clearinghouse for Federal Scientific and Technical Information, Springfield, Va.], [1969]</t>
  </si>
  <si>
    <t>Brookhaven symposia in biology, no. 22</t>
  </si>
  <si>
    <t>905848675:eng</t>
  </si>
  <si>
    <t>187426</t>
  </si>
  <si>
    <t>ocm00187426</t>
  </si>
  <si>
    <t>30010337939</t>
  </si>
  <si>
    <t>791286980</t>
  </si>
  <si>
    <t>QH540.4 D45 2011</t>
  </si>
  <si>
    <t>0                      QH 0540400D  45          2011</t>
  </si>
  <si>
    <t>Dictionnaire de l'environnement et du développement durable : bilingue anglais-français, français-anglais / par Olivier Delbard.</t>
  </si>
  <si>
    <t>Delbard, Olivier.</t>
  </si>
  <si>
    <t>[Paris] : Pocket, 2011.</t>
  </si>
  <si>
    <t>Nouvelle éd. revue et augmentée.</t>
  </si>
  <si>
    <t>Langues pour tous.</t>
  </si>
  <si>
    <t>890873987:fre</t>
  </si>
  <si>
    <t>798851842</t>
  </si>
  <si>
    <t>ocn798851842</t>
  </si>
  <si>
    <t>3103438150Y</t>
  </si>
  <si>
    <t>9782266212144</t>
  </si>
  <si>
    <t>794924060</t>
  </si>
  <si>
    <t>QH540.5 A55 1992</t>
  </si>
  <si>
    <t>0                      QH 0540500A  55          1992</t>
  </si>
  <si>
    <t>Toward a unified ecology / T.F.H. Allen and Thomas W. Hoekstra.</t>
  </si>
  <si>
    <t>Allen, T. F. H., author.</t>
  </si>
  <si>
    <t>New York : Columbia University Press, 1992.</t>
  </si>
  <si>
    <t>Complexity in ecological systems series</t>
  </si>
  <si>
    <t>2013-03-28</t>
  </si>
  <si>
    <t>2017-06-08</t>
  </si>
  <si>
    <t>24133909:eng</t>
  </si>
  <si>
    <t>25164562</t>
  </si>
  <si>
    <t>ocm25164562</t>
  </si>
  <si>
    <t>3101487376B</t>
  </si>
  <si>
    <t>9780231069182</t>
  </si>
  <si>
    <t>793213554</t>
  </si>
  <si>
    <t>QH540.5 C39 1991</t>
  </si>
  <si>
    <t>0                      QH 0540500C  39          1991</t>
  </si>
  <si>
    <t>The age of ecology : the environment on CBC Radio's Ideas / David Cayley.</t>
  </si>
  <si>
    <t>Cayley, David.</t>
  </si>
  <si>
    <t>Toronto : J. Lorimer, 1991.</t>
  </si>
  <si>
    <t>499356375:eng</t>
  </si>
  <si>
    <t>28115677</t>
  </si>
  <si>
    <t>ocm28115677</t>
  </si>
  <si>
    <t>3101159514H</t>
  </si>
  <si>
    <t>9781550283518</t>
  </si>
  <si>
    <t>793280217</t>
  </si>
  <si>
    <t>QH540.5 L58 1994</t>
  </si>
  <si>
    <t>0                      QH 0540500L  58          1994</t>
  </si>
  <si>
    <t>Rogue primate : an exploration of human domestication / John A. Livingston.</t>
  </si>
  <si>
    <t>Livingston, John A.</t>
  </si>
  <si>
    <t>Toronto : Key Porter Books, ©1994.</t>
  </si>
  <si>
    <t>30977247:eng</t>
  </si>
  <si>
    <t>28343503</t>
  </si>
  <si>
    <t>ocm28343503</t>
  </si>
  <si>
    <t>31022583236</t>
  </si>
  <si>
    <t>9781550135084</t>
  </si>
  <si>
    <t>793286038</t>
  </si>
  <si>
    <t>QH540.5 L8313 1989</t>
  </si>
  <si>
    <t>0                      QH 0540500L  8313        1989</t>
  </si>
  <si>
    <t>Ecological communication / Niklas Luhmann ; translated by John Bednarz, Jr.</t>
  </si>
  <si>
    <t>Luhmann, Niklas, 1927-1998.</t>
  </si>
  <si>
    <t>Chicago : University of Chicago Press, 1989.</t>
  </si>
  <si>
    <t>1043669498:eng</t>
  </si>
  <si>
    <t>19512872</t>
  </si>
  <si>
    <t>ocm19512872</t>
  </si>
  <si>
    <t>31011170008</t>
  </si>
  <si>
    <t>9780226496511</t>
  </si>
  <si>
    <t>793060276</t>
  </si>
  <si>
    <t>QH540.5 M48 2005</t>
  </si>
  <si>
    <t>0                      QH 0540500M  48          2005</t>
  </si>
  <si>
    <t>Radical ecology : the search for a livable world / Carolyn Merchant.</t>
  </si>
  <si>
    <t>New York : Routledge, 2005.</t>
  </si>
  <si>
    <t>Revolutionary thought/radical movements</t>
  </si>
  <si>
    <t>591296:eng</t>
  </si>
  <si>
    <t>59003455</t>
  </si>
  <si>
    <t>ocm59003455</t>
  </si>
  <si>
    <t>3103249247$</t>
  </si>
  <si>
    <t>9780415935777</t>
  </si>
  <si>
    <t>793926651</t>
  </si>
  <si>
    <t>QH540.5 M66 2002</t>
  </si>
  <si>
    <t>0                      QH 0540500M  66          2002</t>
  </si>
  <si>
    <t>Thinking ecologically : environmental thought, values, and policy / Bruce Morito.</t>
  </si>
  <si>
    <t>Morito, Bruce.</t>
  </si>
  <si>
    <t>Halifax, NS : Fernwood Pub., ©2002.</t>
  </si>
  <si>
    <t>866706589:eng</t>
  </si>
  <si>
    <t>52215157</t>
  </si>
  <si>
    <t>ocm52215157</t>
  </si>
  <si>
    <t>3102237199C</t>
  </si>
  <si>
    <t>9781552660928</t>
  </si>
  <si>
    <t>793801218</t>
  </si>
  <si>
    <t>QH540.5 P53 1990</t>
  </si>
  <si>
    <t>0                      QH 0540500P  53          1990</t>
  </si>
  <si>
    <t>Turtle talk : voices for a sustainable future / Christopher Plant &amp; Judith Plant.</t>
  </si>
  <si>
    <t>Plant, Christopher.</t>
  </si>
  <si>
    <t>Philadelphia, PA : New Society Publishers, ©1990.</t>
  </si>
  <si>
    <t>The New catalyst bioregional series</t>
  </si>
  <si>
    <t>905863139:eng</t>
  </si>
  <si>
    <t>22145931</t>
  </si>
  <si>
    <t>ocm22145931</t>
  </si>
  <si>
    <t>3101336335U</t>
  </si>
  <si>
    <t>9780865711853</t>
  </si>
  <si>
    <t>793135223</t>
  </si>
  <si>
    <t>QH540.7 N37 1989</t>
  </si>
  <si>
    <t>0                      QH 0540700N  37          1989</t>
  </si>
  <si>
    <t>Nature in Asian traditions of thought : essays in environmental philosophy / edited by J. Baird Callicott and Roger T. Ames.</t>
  </si>
  <si>
    <t>Albany : State University of New York Press, ©1989.</t>
  </si>
  <si>
    <t>SUNY series in philosophy and biology</t>
  </si>
  <si>
    <t>889886450:eng</t>
  </si>
  <si>
    <t>18051853</t>
  </si>
  <si>
    <t>ocm18051853</t>
  </si>
  <si>
    <t>3103590360M</t>
  </si>
  <si>
    <t>9780887069505</t>
  </si>
  <si>
    <t>793012184</t>
  </si>
  <si>
    <t>QH540.8 R46 2017</t>
  </si>
  <si>
    <t>0                      QH 0540800R  46          2017</t>
  </si>
  <si>
    <t>Entretiens sur l'écologie : de la science au politique / Ivo Rens ; préface de Philippe Lebreton.</t>
  </si>
  <si>
    <t>Rens, Ivo, author.</t>
  </si>
  <si>
    <t>Chêne-Bourg/Genève : Georg éditeur, [2017]</t>
  </si>
  <si>
    <t>Collection Stratégies énergétiques, biosphère et société</t>
  </si>
  <si>
    <t>4243483885:fre</t>
  </si>
  <si>
    <t>989758871</t>
  </si>
  <si>
    <t>ocn989758871</t>
  </si>
  <si>
    <t>3103859377A</t>
  </si>
  <si>
    <t>9782825710555</t>
  </si>
  <si>
    <t>795037245</t>
  </si>
  <si>
    <t>QH540.83 C6 S44 1998</t>
  </si>
  <si>
    <t>0                      QH 0540830C  6                  S  44          1998</t>
  </si>
  <si>
    <t>Sediments of time : environment and society in Chinese history / edited by Mark Elvin, Liu Tsʻui-jung.</t>
  </si>
  <si>
    <t>Studies in environment and history</t>
  </si>
  <si>
    <t>795014858:eng</t>
  </si>
  <si>
    <t>34691215</t>
  </si>
  <si>
    <t>ocm34691215</t>
  </si>
  <si>
    <t>31027403527</t>
  </si>
  <si>
    <t>9780521563819</t>
  </si>
  <si>
    <t>793433379</t>
  </si>
  <si>
    <t>QH541 A223 2001</t>
  </si>
  <si>
    <t>0                      QH 0541000A  223         2001</t>
  </si>
  <si>
    <t>Terrestrial ecosystems / John D. Aber, Jerry M. Melillo.</t>
  </si>
  <si>
    <t>Aber, John D.</t>
  </si>
  <si>
    <t>San Diego : Academic Press, ©2001.</t>
  </si>
  <si>
    <t>2014-04-07</t>
  </si>
  <si>
    <t>25908037:eng</t>
  </si>
  <si>
    <t>46606424</t>
  </si>
  <si>
    <t>ocm46606424</t>
  </si>
  <si>
    <t>3102543014O</t>
  </si>
  <si>
    <t>9780120417551</t>
  </si>
  <si>
    <t>793687250</t>
  </si>
  <si>
    <t>QH541 A457 2003</t>
  </si>
  <si>
    <t>0                      QH 0541000A  457         2003</t>
  </si>
  <si>
    <t>Supply-side sustainability / T.F.H. Allen, Joseph A. Tainter, Thomas W. Hoekstra.</t>
  </si>
  <si>
    <t>Allen, T. F. H.</t>
  </si>
  <si>
    <t>New York : Columbia University Press, ©2003.</t>
  </si>
  <si>
    <t>966754:eng</t>
  </si>
  <si>
    <t>50096845</t>
  </si>
  <si>
    <t>ocm50096845</t>
  </si>
  <si>
    <t>3102255442B</t>
  </si>
  <si>
    <t>9780231105866</t>
  </si>
  <si>
    <t>793755495</t>
  </si>
  <si>
    <t>QH541 B415 1986</t>
  </si>
  <si>
    <t>0                      QH 0541000B  415         1986</t>
  </si>
  <si>
    <t>Ecology : individuals, populations, and communities / Michael Begon, John L. Harper, Colin R. Townsend.</t>
  </si>
  <si>
    <t>Begon, Michael.</t>
  </si>
  <si>
    <t>Sunderland, Mass. : Sinauer Associates, ©1986.</t>
  </si>
  <si>
    <t>2004-04-01</t>
  </si>
  <si>
    <t>991864:eng</t>
  </si>
  <si>
    <t>12582962</t>
  </si>
  <si>
    <t>ocm12582962</t>
  </si>
  <si>
    <t>3001032020W</t>
  </si>
  <si>
    <t>9780878930517</t>
  </si>
  <si>
    <t>792820050</t>
  </si>
  <si>
    <t>QH541 C62</t>
  </si>
  <si>
    <t>0                      QH 0541000C  62</t>
  </si>
  <si>
    <t>Food webs and niche space / Joel E. Cohen.</t>
  </si>
  <si>
    <t>Cohen, Joel E.</t>
  </si>
  <si>
    <t>Princeton, N.J. : Princeton University Press, ©1978.</t>
  </si>
  <si>
    <t>Monographs in population biology ; 11</t>
  </si>
  <si>
    <t>2004-06-14</t>
  </si>
  <si>
    <t>2017-09-21</t>
  </si>
  <si>
    <t>442400:eng</t>
  </si>
  <si>
    <t>3750765</t>
  </si>
  <si>
    <t>ocm03750765</t>
  </si>
  <si>
    <t>3001035306$</t>
  </si>
  <si>
    <t>9780691082011</t>
  </si>
  <si>
    <t>792287719</t>
  </si>
  <si>
    <t>QH541 C63</t>
  </si>
  <si>
    <t>0                      QH 0541000C  63</t>
  </si>
  <si>
    <t>Introduction to ecology [by] Paul A. Colinvaux.</t>
  </si>
  <si>
    <t>Colinvaux, Paul, 1930-</t>
  </si>
  <si>
    <t>New York, Wiley [1973]</t>
  </si>
  <si>
    <t>1397087:eng</t>
  </si>
  <si>
    <t>320037</t>
  </si>
  <si>
    <t>ocm00320037</t>
  </si>
  <si>
    <t>3001049581P</t>
  </si>
  <si>
    <t>9780471164982</t>
  </si>
  <si>
    <t>791335759</t>
  </si>
  <si>
    <t>QH541 D5</t>
  </si>
  <si>
    <t>0                      QH 0541000D  5</t>
  </si>
  <si>
    <t>Natural communities.</t>
  </si>
  <si>
    <t>Dice, Lee R. (Lee Raymond), 1887-1977.</t>
  </si>
  <si>
    <t>Ann Arbor, University of Michigan Press, 1952.</t>
  </si>
  <si>
    <t>2016-08-19</t>
  </si>
  <si>
    <t>1303980:eng</t>
  </si>
  <si>
    <t>173702</t>
  </si>
  <si>
    <t>ocm00173702</t>
  </si>
  <si>
    <t>31029644661</t>
  </si>
  <si>
    <t>791281195</t>
  </si>
  <si>
    <t>30010446584</t>
  </si>
  <si>
    <t>791281196</t>
  </si>
  <si>
    <t>QH541 H37</t>
  </si>
  <si>
    <t>0                      QH 0541000H  37</t>
  </si>
  <si>
    <t>Herbivores, their interaction with secondary plant metabolites / edited by Gerald A. Rosenthal, Daniel H. Janzen ; contributors, Shalom W. Applebaum [and others].</t>
  </si>
  <si>
    <t>3858115088:eng</t>
  </si>
  <si>
    <t>5196996</t>
  </si>
  <si>
    <t>ocm05196996</t>
  </si>
  <si>
    <t>30010246992</t>
  </si>
  <si>
    <t>9780125971805</t>
  </si>
  <si>
    <t>792415353</t>
  </si>
  <si>
    <t>QH541 K67 1978</t>
  </si>
  <si>
    <t>0                      QH 0541000K  67          1978</t>
  </si>
  <si>
    <t>Ecology : the experimental analysis of distribution and abundance / Charles J. Krebs.</t>
  </si>
  <si>
    <t>Krebs, Charles J.</t>
  </si>
  <si>
    <t>New York : Harper &amp; Row, ©1978.</t>
  </si>
  <si>
    <t>2014-12-18</t>
  </si>
  <si>
    <t>876544:eng</t>
  </si>
  <si>
    <t>3327901</t>
  </si>
  <si>
    <t>ocm03327901</t>
  </si>
  <si>
    <t>30010384546</t>
  </si>
  <si>
    <t>9780060437718</t>
  </si>
  <si>
    <t>792242927</t>
  </si>
  <si>
    <t>QH541 K67 2001</t>
  </si>
  <si>
    <t>0                      QH 0541000K  67          2001</t>
  </si>
  <si>
    <t>San Francisco : Benjamin Cummings, ©2001.</t>
  </si>
  <si>
    <t>44914351</t>
  </si>
  <si>
    <t>ocm44914351</t>
  </si>
  <si>
    <t>3103476067N</t>
  </si>
  <si>
    <t>9780321042897</t>
  </si>
  <si>
    <t>793660432</t>
  </si>
  <si>
    <t>QH541 K67 2009</t>
  </si>
  <si>
    <t>0                      QH 0541000K  67          2009</t>
  </si>
  <si>
    <t>San Francisco, CA : Pearson Benjamin Cummings, ©2009.</t>
  </si>
  <si>
    <t>213835469</t>
  </si>
  <si>
    <t>ocn213835469</t>
  </si>
  <si>
    <t>3103225811D</t>
  </si>
  <si>
    <t>9780321507433</t>
  </si>
  <si>
    <t>794312557</t>
  </si>
  <si>
    <t>3103855971I</t>
  </si>
  <si>
    <t>794312558</t>
  </si>
  <si>
    <t>31038559768</t>
  </si>
  <si>
    <t>794312560</t>
  </si>
  <si>
    <t>3103642455Y</t>
  </si>
  <si>
    <t>794312561</t>
  </si>
  <si>
    <t>31033974595</t>
  </si>
  <si>
    <t>794312559</t>
  </si>
  <si>
    <t>3103055887X</t>
  </si>
  <si>
    <t>794312556</t>
  </si>
  <si>
    <t>QH541 M365 1974</t>
  </si>
  <si>
    <t>0                      QH 0541000M  365         1974</t>
  </si>
  <si>
    <t>Ecología / Ramón Margalef.</t>
  </si>
  <si>
    <t>Margalef, Ramón.</t>
  </si>
  <si>
    <t>Barcelona : Omega, [1974]</t>
  </si>
  <si>
    <t>11060825:spa</t>
  </si>
  <si>
    <t>3605595</t>
  </si>
  <si>
    <t>ocm03605595</t>
  </si>
  <si>
    <t>31037065500</t>
  </si>
  <si>
    <t>9788428204057</t>
  </si>
  <si>
    <t>792272368</t>
  </si>
  <si>
    <t>QH541 M386 1985</t>
  </si>
  <si>
    <t>0                      QH 0541000M  386         1985</t>
  </si>
  <si>
    <t>The background of ecology : concept and theory / Robert P. McIntosh.</t>
  </si>
  <si>
    <t>McIntosh, Robert P. (Robert Patrick)</t>
  </si>
  <si>
    <t>Cambridge studies in ecology</t>
  </si>
  <si>
    <t>4017169:eng</t>
  </si>
  <si>
    <t>11523431</t>
  </si>
  <si>
    <t>ocm11523431</t>
  </si>
  <si>
    <t>30003683952</t>
  </si>
  <si>
    <t>9780521249355</t>
  </si>
  <si>
    <t>792776686</t>
  </si>
  <si>
    <t>QH541 M526 2012</t>
  </si>
  <si>
    <t>0                      QH 0541000M  526         2012</t>
  </si>
  <si>
    <t>Community ecology / Gary G. Mittelbach.</t>
  </si>
  <si>
    <t>Mittelbach, Gary George.</t>
  </si>
  <si>
    <t>Sunderland, Mass. : Sinauer Associates, ©2012.</t>
  </si>
  <si>
    <t>1090622292:eng</t>
  </si>
  <si>
    <t>781431954</t>
  </si>
  <si>
    <t>ocn781431954</t>
  </si>
  <si>
    <t>31034422729</t>
  </si>
  <si>
    <t>9780878935093</t>
  </si>
  <si>
    <t>794912660</t>
  </si>
  <si>
    <t>31034422867</t>
  </si>
  <si>
    <t>794912661</t>
  </si>
  <si>
    <t>3103862230W</t>
  </si>
  <si>
    <t>794912659</t>
  </si>
  <si>
    <t>QH541 O3 1971</t>
  </si>
  <si>
    <t>0                      QH 0541000O  3           1971</t>
  </si>
  <si>
    <t>Fundamentals of ecology / [by] Eugene P. Odum.</t>
  </si>
  <si>
    <t>Odum, Eugene P. (Eugene Pleasants), 1913-2002.</t>
  </si>
  <si>
    <t>Philadelphia : Saunders, 1971.</t>
  </si>
  <si>
    <t>149376756:eng</t>
  </si>
  <si>
    <t>154846</t>
  </si>
  <si>
    <t>ocm00154846</t>
  </si>
  <si>
    <t>30009651513</t>
  </si>
  <si>
    <t>9780721669410</t>
  </si>
  <si>
    <t>791274436</t>
  </si>
  <si>
    <t>QH541 O33</t>
  </si>
  <si>
    <t>0                      QH 0541000O  33</t>
  </si>
  <si>
    <t>Environment, power, and society [by] Howard T. Odum.</t>
  </si>
  <si>
    <t>Odum, Howard T. (Howard Thomas), 1924-2002.</t>
  </si>
  <si>
    <t>New York, Wiley-Interscience [1970, ©1971]</t>
  </si>
  <si>
    <t>62776565:eng</t>
  </si>
  <si>
    <t>113919</t>
  </si>
  <si>
    <t>ocm00113919</t>
  </si>
  <si>
    <t>3101209107G</t>
  </si>
  <si>
    <t>9780471652700</t>
  </si>
  <si>
    <t>791261195</t>
  </si>
  <si>
    <t>2011-11-10</t>
  </si>
  <si>
    <t>3000414456E</t>
  </si>
  <si>
    <t>791261196</t>
  </si>
  <si>
    <t>QH541 P47 1981</t>
  </si>
  <si>
    <t>0                      QH 0541000P  47          1981</t>
  </si>
  <si>
    <t>Physiological ecology : an evolutionary approach to resource use / edited by Colin R. Townsend and Peter Calow.</t>
  </si>
  <si>
    <t>Oxford [Oxfordshire] ; Boston [Mass.] : Blackwell Scientific Publications, 1981.</t>
  </si>
  <si>
    <t>2016-12-15</t>
  </si>
  <si>
    <t>499793677:eng</t>
  </si>
  <si>
    <t>8149469</t>
  </si>
  <si>
    <t>ocm08149469</t>
  </si>
  <si>
    <t>3001026325X</t>
  </si>
  <si>
    <t>9780632005550</t>
  </si>
  <si>
    <t>792602070</t>
  </si>
  <si>
    <t>QH541 P5</t>
  </si>
  <si>
    <t>0                      QH 0541000P  5</t>
  </si>
  <si>
    <t>Evolutionary ecology [by] Eric R. Pianka.</t>
  </si>
  <si>
    <t>Pianka, Eric R.</t>
  </si>
  <si>
    <t>New York, Harper &amp; Row [1973, ©1974]</t>
  </si>
  <si>
    <t>1633953:eng</t>
  </si>
  <si>
    <t>658944</t>
  </si>
  <si>
    <t>ocm00658944</t>
  </si>
  <si>
    <t>3001035787V</t>
  </si>
  <si>
    <t>9780060452261</t>
  </si>
  <si>
    <t>791439794</t>
  </si>
  <si>
    <t>QH541 P5 1978</t>
  </si>
  <si>
    <t>0                      QH 0541000P  5           1978</t>
  </si>
  <si>
    <t>Evolutionary ecology / Eric R. Pianka.</t>
  </si>
  <si>
    <t>3447417</t>
  </si>
  <si>
    <t>ocm03447417</t>
  </si>
  <si>
    <t>3001035259J</t>
  </si>
  <si>
    <t>9780060452247</t>
  </si>
  <si>
    <t>792256592</t>
  </si>
  <si>
    <t>QH541 P5 1983</t>
  </si>
  <si>
    <t>0                      QH 0541000P  5           1983</t>
  </si>
  <si>
    <t>8411176</t>
  </si>
  <si>
    <t>ocm08411176</t>
  </si>
  <si>
    <t>3001027194H</t>
  </si>
  <si>
    <t>9780060452322</t>
  </si>
  <si>
    <t>792618023</t>
  </si>
  <si>
    <t>QH541 R53</t>
  </si>
  <si>
    <t>0                      QH 0541000R  53</t>
  </si>
  <si>
    <t>Ecology [by] Robert E. Ricklefs.</t>
  </si>
  <si>
    <t>Ricklefs, Robert E.</t>
  </si>
  <si>
    <t>Newton, Mass., Chiron Press [1973]</t>
  </si>
  <si>
    <t>4185748:eng</t>
  </si>
  <si>
    <t>650114</t>
  </si>
  <si>
    <t>ocm00650114</t>
  </si>
  <si>
    <t>3101303939V</t>
  </si>
  <si>
    <t>9780913462010</t>
  </si>
  <si>
    <t>791437610</t>
  </si>
  <si>
    <t>QH541 R54</t>
  </si>
  <si>
    <t>0                      QH 0541000R  54</t>
  </si>
  <si>
    <t>The economy of nature : a textbook in basic ecology / Robert E. Ricklefs.</t>
  </si>
  <si>
    <t>Portland, Or. : Chiron Press, ©1976.</t>
  </si>
  <si>
    <t>3943500311:eng</t>
  </si>
  <si>
    <t>2090811</t>
  </si>
  <si>
    <t>ocm02090811</t>
  </si>
  <si>
    <t>3001036555A</t>
  </si>
  <si>
    <t>9780913462041</t>
  </si>
  <si>
    <t>792043594</t>
  </si>
  <si>
    <t>QH541 S6 1996</t>
  </si>
  <si>
    <t>0                      QH 0541000S  6           1996</t>
  </si>
  <si>
    <t>Ecology and field biology / Robert Leo Smith.</t>
  </si>
  <si>
    <t>Smith, Robert Leo.</t>
  </si>
  <si>
    <t>New York, NY : HarperCollins, ©1996.</t>
  </si>
  <si>
    <t>3813928743:eng</t>
  </si>
  <si>
    <t>32926046</t>
  </si>
  <si>
    <t>ocm32926046</t>
  </si>
  <si>
    <t>3101844257U</t>
  </si>
  <si>
    <t>9780065009767</t>
  </si>
  <si>
    <t>793397783</t>
  </si>
  <si>
    <t>QH541 S62 1986</t>
  </si>
  <si>
    <t>0                      QH 0541000S  62          1986</t>
  </si>
  <si>
    <t>The ecologists : from merry naturalists to saviours of the nation : a sociologically informed narrative survey of the ecologization of Sweden 1895-1975 / Thomas Söderqvist.</t>
  </si>
  <si>
    <t>Söderqvist, Thomas.</t>
  </si>
  <si>
    <t>Stockholm, Sweden : Almqvist &amp; Wiksell International, ©1986.</t>
  </si>
  <si>
    <t>890374162:eng</t>
  </si>
  <si>
    <t>15369365</t>
  </si>
  <si>
    <t>ocm15369365</t>
  </si>
  <si>
    <t>3000533883I</t>
  </si>
  <si>
    <t>9789122008279</t>
  </si>
  <si>
    <t>792929741</t>
  </si>
  <si>
    <t>QH541 T68 2000</t>
  </si>
  <si>
    <t>0                      QH 0541000T  68          2000</t>
  </si>
  <si>
    <t>Environmental anthropology : from pigs to policies / Patricia K. Townsend.</t>
  </si>
  <si>
    <t>Townsend, Patricia K., 1941-</t>
  </si>
  <si>
    <t>Prospect Heights, Ill. : Waveland Press, ©2000.</t>
  </si>
  <si>
    <t>316706227:eng</t>
  </si>
  <si>
    <t>46436583</t>
  </si>
  <si>
    <t>ocm46436583</t>
  </si>
  <si>
    <t>3102231475V</t>
  </si>
  <si>
    <t>9781577661269</t>
  </si>
  <si>
    <t>793684677</t>
  </si>
  <si>
    <t>QH541 T68 2009</t>
  </si>
  <si>
    <t>0                      QH 0541000T  68          2009</t>
  </si>
  <si>
    <t>Prospect Heights, Ill. : Waveland Press, ©2009.</t>
  </si>
  <si>
    <t>244566828</t>
  </si>
  <si>
    <t>ocn244566828</t>
  </si>
  <si>
    <t>3102973787O</t>
  </si>
  <si>
    <t>9781577665816</t>
  </si>
  <si>
    <t>794381763</t>
  </si>
  <si>
    <t>3103096572K</t>
  </si>
  <si>
    <t>794381764</t>
  </si>
  <si>
    <t>QH541 T73 1989</t>
  </si>
  <si>
    <t>0                      QH 0541000T  73          1989</t>
  </si>
  <si>
    <t>Traditional ecological knowledge : a collection of essays / edited by Robert E. Johannes.</t>
  </si>
  <si>
    <t>Gland ; Cambridge : IUCN, the World Conservation Union, 1989.</t>
  </si>
  <si>
    <t>The IUCN conservation library</t>
  </si>
  <si>
    <t>836741354:eng</t>
  </si>
  <si>
    <t>24738092</t>
  </si>
  <si>
    <t>ocm24738092</t>
  </si>
  <si>
    <t>3102789839E</t>
  </si>
  <si>
    <t>9782880329983</t>
  </si>
  <si>
    <t>793204492</t>
  </si>
  <si>
    <t>QH541 W46</t>
  </si>
  <si>
    <t>0                      QH 0541000W  46</t>
  </si>
  <si>
    <t>Patterns in the balance of nature : and related problems in quantitative ecology.</t>
  </si>
  <si>
    <t>William, C. B., 1889-</t>
  </si>
  <si>
    <t>London, New York, Academic Press, 1964.</t>
  </si>
  <si>
    <t>Theoretical and experimental biology, v. 3</t>
  </si>
  <si>
    <t>1464877:eng</t>
  </si>
  <si>
    <t>338468</t>
  </si>
  <si>
    <t>ocm00338468</t>
  </si>
  <si>
    <t>3000496901Z</t>
  </si>
  <si>
    <t>791342455</t>
  </si>
  <si>
    <t>QH541.14 E243 2006</t>
  </si>
  <si>
    <t>0                      QH 0541140E  243         2006</t>
  </si>
  <si>
    <t>Ecology and biomechanics : a mechanical approach to the ecology of animals and plants / edited by Anthony Herrel, Thomas Speck, Nicholas P. Rowe.</t>
  </si>
  <si>
    <t>Boca Raton : CRC/Taylor &amp; Francis, 2006.</t>
  </si>
  <si>
    <t>865019966:eng</t>
  </si>
  <si>
    <t>61461525</t>
  </si>
  <si>
    <t>ocm61461525</t>
  </si>
  <si>
    <t>3102546606X</t>
  </si>
  <si>
    <t>9780849332098</t>
  </si>
  <si>
    <t>793953432</t>
  </si>
  <si>
    <t>QH541.145 H38</t>
  </si>
  <si>
    <t>0                      QH 0541145H  38</t>
  </si>
  <si>
    <t>Readings in population and community ecology.</t>
  </si>
  <si>
    <t>Hazen, William E. (William Eugene), 1925- editor.</t>
  </si>
  <si>
    <t>Philadelphia, Saunders, 1964.</t>
  </si>
  <si>
    <t>1235842:eng</t>
  </si>
  <si>
    <t>411331</t>
  </si>
  <si>
    <t>ocm00411331</t>
  </si>
  <si>
    <t>30010360236</t>
  </si>
  <si>
    <t>791370372</t>
  </si>
  <si>
    <t>2009-09-24</t>
  </si>
  <si>
    <t>30010360244</t>
  </si>
  <si>
    <t>791370375</t>
  </si>
  <si>
    <t>2000-11-16</t>
  </si>
  <si>
    <t>3000433232T</t>
  </si>
  <si>
    <t>791370373</t>
  </si>
  <si>
    <t>QH541.15 E19 F35 2004</t>
  </si>
  <si>
    <t>0                      QH 0541150E  19                 F  35          2004</t>
  </si>
  <si>
    <t>Balancing water for humans and nature : the new approach in ecohydrology / Malin Falkenmark and Johan Rockstrom ; with contributions by Hubert Savenije.</t>
  </si>
  <si>
    <t>Falkenmark, Malin, 1925-</t>
  </si>
  <si>
    <t>London ; Sterling, VA : Earthscan, 2004.</t>
  </si>
  <si>
    <t>2016-04-22</t>
  </si>
  <si>
    <t>793977548:eng</t>
  </si>
  <si>
    <t>53374801</t>
  </si>
  <si>
    <t>ocm53374801</t>
  </si>
  <si>
    <t>3102459732D</t>
  </si>
  <si>
    <t>9781853839276</t>
  </si>
  <si>
    <t>793827361</t>
  </si>
  <si>
    <t>QH541.15 E22 P47 2004</t>
  </si>
  <si>
    <t>0                      QH 0541150E  22                 P  47          2004</t>
  </si>
  <si>
    <t>Perú : Ampiyacu, Apayacu, Yaguas, Medio Putumayo / Nigel Pitman, Richard Chase Smith, Corine Vriesendorp, Debra Moskovits, Renzo Piana, Guillermo Knell y/and Tyana Wachter, editores/editors.</t>
  </si>
  <si>
    <t>Chicago, Illinois : Field Museum, Environmental and Conservation Programs, 2004.</t>
  </si>
  <si>
    <t>Rapid biological inventories ; 12</t>
  </si>
  <si>
    <t>57089820:spa</t>
  </si>
  <si>
    <t>56211228</t>
  </si>
  <si>
    <t>ocm56211228</t>
  </si>
  <si>
    <t>3102401224D</t>
  </si>
  <si>
    <t>9780914868668</t>
  </si>
  <si>
    <t>793889276</t>
  </si>
  <si>
    <t>QH541.15 E245 E36 2000</t>
  </si>
  <si>
    <t>0                      QH 0541150E  245                E  36          2000</t>
  </si>
  <si>
    <t>Ecological integrity : integrating environment, conservation, and health / edited by David Pimentel, Laura Westra, Reed F. Noss.</t>
  </si>
  <si>
    <t>Washington, D.C. : Island Press, ©2000.</t>
  </si>
  <si>
    <t>793926394:eng</t>
  </si>
  <si>
    <t>43411453</t>
  </si>
  <si>
    <t>ocm43411453</t>
  </si>
  <si>
    <t>31020607182</t>
  </si>
  <si>
    <t>9781559638074</t>
  </si>
  <si>
    <t>793626136</t>
  </si>
  <si>
    <t>QH541.15 E25 A24 2010</t>
  </si>
  <si>
    <t>0                      QH 0541150E  25                 A  24          2010</t>
  </si>
  <si>
    <t>Achieving environmental security : ecosystem services and human welfare / edited by P.H. Liotta [and others].</t>
  </si>
  <si>
    <t>Amsterdam ; Washington, D.C. : IOS Press, 2010.</t>
  </si>
  <si>
    <t>NATO science for peace and security series. E, Human and societal dynamics, 1874-6276 ; v. 69</t>
  </si>
  <si>
    <t>908772968:eng</t>
  </si>
  <si>
    <t>669754686</t>
  </si>
  <si>
    <t>ocn669754686</t>
  </si>
  <si>
    <t>3103322631L</t>
  </si>
  <si>
    <t>9781607505792</t>
  </si>
  <si>
    <t>794847083</t>
  </si>
  <si>
    <t>QH541.15 E25 E35 2013</t>
  </si>
  <si>
    <t>0                      QH 0541150E  25                 E  35          2013</t>
  </si>
  <si>
    <t>Ecological economics from the ground up / edited by Hali Healy [and others].</t>
  </si>
  <si>
    <t>2014-07-18</t>
  </si>
  <si>
    <t>1206365721:eng</t>
  </si>
  <si>
    <t>730403915</t>
  </si>
  <si>
    <t>ocn730403915</t>
  </si>
  <si>
    <t>3103457547I</t>
  </si>
  <si>
    <t>9781849713986</t>
  </si>
  <si>
    <t>794880057</t>
  </si>
  <si>
    <t>QH541.15 E25 E37 2011</t>
  </si>
  <si>
    <t>0                      QH 0541150E  25                 E  37          2011</t>
  </si>
  <si>
    <t>Ecosystem services and global trade of natural resources : ecology, economics, and policies / edited by Thomas Köellner.</t>
  </si>
  <si>
    <t>Routledge explorations in environmental economics ; 32</t>
  </si>
  <si>
    <t>771807740:eng</t>
  </si>
  <si>
    <t>697974185</t>
  </si>
  <si>
    <t>ocn697974185</t>
  </si>
  <si>
    <t>3103408408D</t>
  </si>
  <si>
    <t>9780415485838</t>
  </si>
  <si>
    <t>794860487</t>
  </si>
  <si>
    <t>QH541.15 F73 F72 2008</t>
  </si>
  <si>
    <t>0                      QH 0541150F  73                 F  72          2008</t>
  </si>
  <si>
    <t>Fragmentation in semi-arid and arid landscapes : consequences for human and natural landscapes / edited by Kathleen A. Galvin [and others].</t>
  </si>
  <si>
    <t>Dordrecht, the Netherlands : Springer, ©2008.</t>
  </si>
  <si>
    <t>9657748679:eng</t>
  </si>
  <si>
    <t>144222194</t>
  </si>
  <si>
    <t>ocn144222194</t>
  </si>
  <si>
    <t>31026531650</t>
  </si>
  <si>
    <t>9781402049057</t>
  </si>
  <si>
    <t>794235453</t>
  </si>
  <si>
    <t>QH541.15 L35 B43 2013</t>
  </si>
  <si>
    <t>0                      QH 0541150L  35                 B  43          2013</t>
  </si>
  <si>
    <t>Principles of ecological landscape design / Travis Beck.</t>
  </si>
  <si>
    <t>Beck, Travis.</t>
  </si>
  <si>
    <t>Washington, DC : Island Press, 2013.</t>
  </si>
  <si>
    <t>1190087789:eng</t>
  </si>
  <si>
    <t>795173896</t>
  </si>
  <si>
    <t>ocn795173896</t>
  </si>
  <si>
    <t>3103454889D</t>
  </si>
  <si>
    <t>9781597267014</t>
  </si>
  <si>
    <t>794920956</t>
  </si>
  <si>
    <t>QH541.15 L35 M38 1998</t>
  </si>
  <si>
    <t>0                      QH 0541150L  35                 M  38          1998</t>
  </si>
  <si>
    <t>To heal the earth : selected writings of Ian L. McHarg / edited by Ian L. McHarg and Frederick R. Steiner ; foreword by Robert D. Yaro.</t>
  </si>
  <si>
    <t>McHarg, Ian L., 1920-2001.</t>
  </si>
  <si>
    <t>Washington, D.C. : Island Press, ©1998.</t>
  </si>
  <si>
    <t>1059384799:eng</t>
  </si>
  <si>
    <t>38535870</t>
  </si>
  <si>
    <t>ocm38535870</t>
  </si>
  <si>
    <t>3102964471$</t>
  </si>
  <si>
    <t>9781559635738</t>
  </si>
  <si>
    <t>793526285</t>
  </si>
  <si>
    <t>QH541.15 M3 C63 1990</t>
  </si>
  <si>
    <t>0                      QH 0541150M  3                  C  63          1990</t>
  </si>
  <si>
    <t>Community food webs : data and theory / Joel E. Cohen, Frédéric Briand, Charles M. Newman ; with a contribution by Zbigniew J. Palka.</t>
  </si>
  <si>
    <t>Berlin ; New York : Springer-Verlag, ©1990.</t>
  </si>
  <si>
    <t>Biomathematics ; v. 20</t>
  </si>
  <si>
    <t>889627339:eng</t>
  </si>
  <si>
    <t>20221613</t>
  </si>
  <si>
    <t>ocm20221613</t>
  </si>
  <si>
    <t>31002182388</t>
  </si>
  <si>
    <t>9780387511290</t>
  </si>
  <si>
    <t>793081174</t>
  </si>
  <si>
    <t>QH541.15 M3 J43 1978</t>
  </si>
  <si>
    <t>0                      QH 0541150M  3                  J  43          1978</t>
  </si>
  <si>
    <t>An introduction to systems analysis, with ecological applications / John N.R. Jeffers.</t>
  </si>
  <si>
    <t>Jeffers, J. N. R. (John Norman Richard)</t>
  </si>
  <si>
    <t>Baltimore : University Park Press, [1978]</t>
  </si>
  <si>
    <t>A Series of student texts in contemporary biology</t>
  </si>
  <si>
    <t>14272200:eng</t>
  </si>
  <si>
    <t>4036540</t>
  </si>
  <si>
    <t>ocm04036540</t>
  </si>
  <si>
    <t>3001036902F</t>
  </si>
  <si>
    <t>9780839113058</t>
  </si>
  <si>
    <t>792315841</t>
  </si>
  <si>
    <t>QH541.15 M34 G67 2001</t>
  </si>
  <si>
    <t>0                      QH 0541150M  34                 G  67          2001</t>
  </si>
  <si>
    <t>A course in mathematical and statistical ecology / by Anil Gore and Sharayu Paranjpe.</t>
  </si>
  <si>
    <t>Gore, Anil.</t>
  </si>
  <si>
    <t>Theory and decision library. Series B, Mathematical and statistical methods ; v. 42</t>
  </si>
  <si>
    <t>20878037:eng</t>
  </si>
  <si>
    <t>45172662</t>
  </si>
  <si>
    <t>ocm45172662</t>
  </si>
  <si>
    <t>3102987427O</t>
  </si>
  <si>
    <t>9780792367154</t>
  </si>
  <si>
    <t>793666100</t>
  </si>
  <si>
    <t>QH541.15 R4 R4</t>
  </si>
  <si>
    <t>0                      QH 0541150R  4                  R  4</t>
  </si>
  <si>
    <t>Remote sensing in ecology / edited by Philip L. Johnson.</t>
  </si>
  <si>
    <t>Athens : University of Georgia Press, 1969.</t>
  </si>
  <si>
    <t>376649145:eng</t>
  </si>
  <si>
    <t>85427</t>
  </si>
  <si>
    <t>ocm00085427</t>
  </si>
  <si>
    <t>3001056368Y</t>
  </si>
  <si>
    <t>9780820302355</t>
  </si>
  <si>
    <t>791250343</t>
  </si>
  <si>
    <t>QH541.15 R45 J67 2003</t>
  </si>
  <si>
    <t>0                      QH 0541150R  45                 J  67          2003</t>
  </si>
  <si>
    <t>The sunflower forest : ecological restoration and the new communion with nature / William R. Jordan III.</t>
  </si>
  <si>
    <t>Jordan, William R., III, 1944- author.</t>
  </si>
  <si>
    <t>Berkeley : University of California Press, ©2003.</t>
  </si>
  <si>
    <t>38979386:eng</t>
  </si>
  <si>
    <t>49576400</t>
  </si>
  <si>
    <t>ocm49576400</t>
  </si>
  <si>
    <t>3102286560M</t>
  </si>
  <si>
    <t>9780520233201</t>
  </si>
  <si>
    <t>793743314</t>
  </si>
  <si>
    <t>QH541.15 S62 T56 2011</t>
  </si>
  <si>
    <t>0                      QH 0541150S  62                 T  56          2011</t>
  </si>
  <si>
    <t>Mapping the nation : GIS for federal progress and accountability / written and compiled by Christopher Thomas and Heather Warren ; edited by Emily Meyertholen ; designed by Donna Celso.</t>
  </si>
  <si>
    <t>Thomas, Christopher, 1963 August 6- author.</t>
  </si>
  <si>
    <t>Redlands, Calif. : Esri, ©2011.</t>
  </si>
  <si>
    <t>1077016130:eng</t>
  </si>
  <si>
    <t>697267566</t>
  </si>
  <si>
    <t>ocn697267566</t>
  </si>
  <si>
    <t>31033617244</t>
  </si>
  <si>
    <t>9781589482869</t>
  </si>
  <si>
    <t>794859836</t>
  </si>
  <si>
    <t>QH541.15 S72 P43 2010</t>
  </si>
  <si>
    <t>0                      QH 0541150S  72                 P  43          2010</t>
  </si>
  <si>
    <t>Multivariate analysis for community ecologists : step-by-step using PC-ORD / JeriLynn E. Peck.</t>
  </si>
  <si>
    <t>Peck, Jerilynn E.</t>
  </si>
  <si>
    <t>Gleneden Beach, Or. : MjM Software Design, ©2010.</t>
  </si>
  <si>
    <t>2881777450:eng</t>
  </si>
  <si>
    <t>706786933</t>
  </si>
  <si>
    <t>ocn706786933</t>
  </si>
  <si>
    <t>3103556250N</t>
  </si>
  <si>
    <t>9780972129022</t>
  </si>
  <si>
    <t>794867156</t>
  </si>
  <si>
    <t>QH541.3 L5</t>
  </si>
  <si>
    <t>0                      QH 0541300L  5</t>
  </si>
  <si>
    <t>Primary productivity of the biosphere / edited by Helmut Lieth and Robert H. Whittaker.</t>
  </si>
  <si>
    <t>Lieth, Helmut.</t>
  </si>
  <si>
    <t>New York : Springer-Verlag, 1975.</t>
  </si>
  <si>
    <t>Ecological studies ; v. 14</t>
  </si>
  <si>
    <t>2003-09-22</t>
  </si>
  <si>
    <t>347046024:eng</t>
  </si>
  <si>
    <t>1095037</t>
  </si>
  <si>
    <t>ocm01095037</t>
  </si>
  <si>
    <t>3001033962C</t>
  </si>
  <si>
    <t>9780387070834</t>
  </si>
  <si>
    <t>791545407</t>
  </si>
  <si>
    <t>QH541.5 C6 N37</t>
  </si>
  <si>
    <t>0                      QH 0541500C  6                  N  37</t>
  </si>
  <si>
    <t>Nature in cities : the natural environment in the design and development of urban green space / edited by Ian C. Laurie.</t>
  </si>
  <si>
    <t>Chichester ; New York : Wiley, ©1979.</t>
  </si>
  <si>
    <t>2015-04-30</t>
  </si>
  <si>
    <t>874369737:eng</t>
  </si>
  <si>
    <t>3361580</t>
  </si>
  <si>
    <t>ocm03361580</t>
  </si>
  <si>
    <t>3102964480Y</t>
  </si>
  <si>
    <t>9780471996057</t>
  </si>
  <si>
    <t>792246655</t>
  </si>
  <si>
    <t>QH541.5 C7 C613</t>
  </si>
  <si>
    <t>0                      QH 0541500C  7                  C  613</t>
  </si>
  <si>
    <t>Life and death in a coral sea / Jacques-Yves Cousteau ; with Philippe Diolé ; translated from the French by J.F. Bernard.</t>
  </si>
  <si>
    <t>Garden City, N.Y. : Doubleday, 1971.</t>
  </si>
  <si>
    <t>The Undersea discoveries of Jacques-Yves Cousteau</t>
  </si>
  <si>
    <t>3902737596:eng</t>
  </si>
  <si>
    <t>145498</t>
  </si>
  <si>
    <t>ocm00145498</t>
  </si>
  <si>
    <t>3001027588X</t>
  </si>
  <si>
    <t>791271459</t>
  </si>
  <si>
    <t>QH541.5 C7 F6x</t>
  </si>
  <si>
    <t>0                      QH 0541500C  7                  F  6x</t>
  </si>
  <si>
    <t>Man's place in the island ecosystem; a symposium. Edited by F.R. Fosberg.</t>
  </si>
  <si>
    <t>[Honolulu] Bishop Museum Press, 1963.</t>
  </si>
  <si>
    <t>1150899804:eng</t>
  </si>
  <si>
    <t>1130963</t>
  </si>
  <si>
    <t>ocm01130963</t>
  </si>
  <si>
    <t>3001050591O</t>
  </si>
  <si>
    <t>791553720</t>
  </si>
  <si>
    <t>3000644461Q</t>
  </si>
  <si>
    <t>791553721</t>
  </si>
  <si>
    <t>QH541.5 D4 P47 1977</t>
  </si>
  <si>
    <t>0                      QH 0541500D  4                  P  47          1977</t>
  </si>
  <si>
    <t>Life in desert and plain / Richard Perry ; illustrated by Nancy Lou Gahan.</t>
  </si>
  <si>
    <t>Perry, Richard, 1909-</t>
  </si>
  <si>
    <t>New York : Taplinger, 1977.</t>
  </si>
  <si>
    <t>His The many worlds of wildlife series ; v. 5</t>
  </si>
  <si>
    <t>5926830:eng</t>
  </si>
  <si>
    <t>2768689</t>
  </si>
  <si>
    <t>ocm02768689</t>
  </si>
  <si>
    <t>3001038659P</t>
  </si>
  <si>
    <t>9780800847982</t>
  </si>
  <si>
    <t>792173728</t>
  </si>
  <si>
    <t>QH541.5 E8 B4 1971</t>
  </si>
  <si>
    <t>0                      QH 0541500E  8                  B  4           1971</t>
  </si>
  <si>
    <t>Estuarine microbial ecology / edited by L. Harold Stevenson and R.R. Colwell.</t>
  </si>
  <si>
    <t>Belle W. Baruch Symposium in Marine Science (1st : 1971 : University of South Carolina)</t>
  </si>
  <si>
    <t>Columbia : Published for the Belle W. Baruch Coastal Research Institute by University of South Carolina Press, [1973]</t>
  </si>
  <si>
    <t>The Belle W. Baruch library in marine science, no. 1</t>
  </si>
  <si>
    <t>1597729:eng</t>
  </si>
  <si>
    <t>650728</t>
  </si>
  <si>
    <t>ocm00650728</t>
  </si>
  <si>
    <t>3001056369W</t>
  </si>
  <si>
    <t>9780872492813</t>
  </si>
  <si>
    <t>791437822</t>
  </si>
  <si>
    <t>QH541.5 E8 E82 1983</t>
  </si>
  <si>
    <t>0                      QH 0541500E  8                  E  82          1983</t>
  </si>
  <si>
    <t>Estuaries and enclosed seas / edited by Bostwick H. Ketchum.</t>
  </si>
  <si>
    <t>Amsterdam ; New York : Elsevier Scientific Pub. Co. ; New York : Distributors for the U.S. and Canada, Elsevier Science Pub. Co., 1983.</t>
  </si>
  <si>
    <t>Ecosystems of the world ; 26</t>
  </si>
  <si>
    <t>28694106:eng</t>
  </si>
  <si>
    <t>7614862</t>
  </si>
  <si>
    <t>ocm07614862</t>
  </si>
  <si>
    <t>30010283693</t>
  </si>
  <si>
    <t>9780444419217</t>
  </si>
  <si>
    <t>792569719</t>
  </si>
  <si>
    <t>QH541.5 E8 M32</t>
  </si>
  <si>
    <t>0                      QH 0541500E  8                  M  32</t>
  </si>
  <si>
    <t>The estuarine ecosystem / Donald S. McLusky.</t>
  </si>
  <si>
    <t>McLusky, Donald Samuel.</t>
  </si>
  <si>
    <t>New York : Wiley, 1981.</t>
  </si>
  <si>
    <t>Tertiary level biology</t>
  </si>
  <si>
    <t>21733936:eng</t>
  </si>
  <si>
    <t>7206158</t>
  </si>
  <si>
    <t>ocm07206158</t>
  </si>
  <si>
    <t>3001026462N</t>
  </si>
  <si>
    <t>9780470271278</t>
  </si>
  <si>
    <t>792546298</t>
  </si>
  <si>
    <t>QH541.5 F7 A6 1998</t>
  </si>
  <si>
    <t>0                      QH 0541500F  7                  A  6           1998</t>
  </si>
  <si>
    <t>Aquatic humic substances : ecology and biogeochemistry / D.O. Hessen, L.J. Tranvik, (eds.).</t>
  </si>
  <si>
    <t>Ecological studies, 0070-8356 ; vol. 133</t>
  </si>
  <si>
    <t>793011524:eng</t>
  </si>
  <si>
    <t>38061583</t>
  </si>
  <si>
    <t>ocm38061583</t>
  </si>
  <si>
    <t>3101908439L</t>
  </si>
  <si>
    <t>9783540639107</t>
  </si>
  <si>
    <t>793514135</t>
  </si>
  <si>
    <t>QH541.5 L3 M43 2003</t>
  </si>
  <si>
    <t>0                      QH 0541500L  3                  M  43          2003</t>
  </si>
  <si>
    <t>Lake and pond management guidebook / Steve McComas.</t>
  </si>
  <si>
    <t>McComas, Steve.</t>
  </si>
  <si>
    <t>Boca Raton, Fla. : Lewis Publishers, ©2003.</t>
  </si>
  <si>
    <t>1050941:eng</t>
  </si>
  <si>
    <t>51020316</t>
  </si>
  <si>
    <t>ocm51020316</t>
  </si>
  <si>
    <t>3102278900J</t>
  </si>
  <si>
    <t>9781566706308</t>
  </si>
  <si>
    <t>793776977</t>
  </si>
  <si>
    <t>QH541.5 L3 P47</t>
  </si>
  <si>
    <t>0                      QH 0541500L  3                  P  47</t>
  </si>
  <si>
    <t>Perspectives on lake ecosystem modeling / edited by Donald Scavia, Andrew Robertson.</t>
  </si>
  <si>
    <t>Ann Arbor, Mich. : Ann Arbor Science Publishers, [1979]</t>
  </si>
  <si>
    <t>2003-10-29</t>
  </si>
  <si>
    <t>355953977:eng</t>
  </si>
  <si>
    <t>5195612</t>
  </si>
  <si>
    <t>ocm05195612</t>
  </si>
  <si>
    <t>30010365649</t>
  </si>
  <si>
    <t>9780250402489</t>
  </si>
  <si>
    <t>792415139</t>
  </si>
  <si>
    <t>QH541.5 M3 E266 2006</t>
  </si>
  <si>
    <t>0                      QH 0541500M  3                  E  266         2006</t>
  </si>
  <si>
    <t>Ecology of freshwater and estuarine wetlands / edited by Darold P. Batzer and Rebecca R. Sharitz.</t>
  </si>
  <si>
    <t>Berkeley : University of California Press, ©2006.</t>
  </si>
  <si>
    <t>355305955:eng</t>
  </si>
  <si>
    <t>70060995</t>
  </si>
  <si>
    <t>ocm70060995</t>
  </si>
  <si>
    <t>31028369473</t>
  </si>
  <si>
    <t>9780520247772</t>
  </si>
  <si>
    <t>794148084</t>
  </si>
  <si>
    <t>QH541.5 P6 D8</t>
  </si>
  <si>
    <t>0                      QH 0541500P  6                  D  8</t>
  </si>
  <si>
    <t>Ecological development in polar regions : a study in evolution / M.J. Dunbar.</t>
  </si>
  <si>
    <t>Englewood Cliffs, N.J. : Prentice-Hall, 1968.</t>
  </si>
  <si>
    <t>2018-09-25</t>
  </si>
  <si>
    <t>807543774:eng</t>
  </si>
  <si>
    <t>439546</t>
  </si>
  <si>
    <t>ocm00439546</t>
  </si>
  <si>
    <t>3001038484Y</t>
  </si>
  <si>
    <t>791378906</t>
  </si>
  <si>
    <t>QH541.5 P7 G7</t>
  </si>
  <si>
    <t>0                      QH 0541500P  7                  G  7</t>
  </si>
  <si>
    <t>Grassland ecology and wildlife management [by] E. Duffey [and others] With a foreword by K. Mellanby.</t>
  </si>
  <si>
    <t>London, Chapman and Hall [distributed in the U.S.A. by Halsted Press, New York], [1974]</t>
  </si>
  <si>
    <t>180142896:eng</t>
  </si>
  <si>
    <t>1054103</t>
  </si>
  <si>
    <t>ocm01054103</t>
  </si>
  <si>
    <t>3001034780D</t>
  </si>
  <si>
    <t>9780412122903</t>
  </si>
  <si>
    <t>791534855</t>
  </si>
  <si>
    <t>QH541.5 S3 L323 2003</t>
  </si>
  <si>
    <t>0                      QH 0541500S  3                  L  323         2003</t>
  </si>
  <si>
    <t>Large marine ecosystems of the world : trends in exploitation, protection, and research / edited by Gotthilf Hempel, Kenneth Sherman.</t>
  </si>
  <si>
    <t>Amsterdam : Elsevier, 2003.</t>
  </si>
  <si>
    <t>Large marine ecosystems ; v. 12</t>
  </si>
  <si>
    <t>838961260:eng</t>
  </si>
  <si>
    <t>53939117</t>
  </si>
  <si>
    <t>ocm53939117</t>
  </si>
  <si>
    <t>3102347309D</t>
  </si>
  <si>
    <t>9780444510273</t>
  </si>
  <si>
    <t>793853612</t>
  </si>
  <si>
    <t>QH541.5 S3 T53 2018</t>
  </si>
  <si>
    <t>0                      QH 0541500S  3                  T  53          2018</t>
  </si>
  <si>
    <t>Tidalectics : imagining an oceanic worldview through art and science / edited by Stefanie Hessler.</t>
  </si>
  <si>
    <t>London, England : TBA21-Academy ; Cambridge, Massachusetts : The MIT Press, [2018]</t>
  </si>
  <si>
    <t>2019-06-26</t>
  </si>
  <si>
    <t>4799730805:eng</t>
  </si>
  <si>
    <t>1005850991</t>
  </si>
  <si>
    <t>on1005850991</t>
  </si>
  <si>
    <t>3103809985H</t>
  </si>
  <si>
    <t>9780262038096</t>
  </si>
  <si>
    <t>795042806</t>
  </si>
  <si>
    <t>QH541.5 S7 E26 1995</t>
  </si>
  <si>
    <t>0                      QH 0541500S  7                  E  26          1995</t>
  </si>
  <si>
    <t>The ecological basis for river management / edited by David M. Harper and Alastair J.D. Ferguson.</t>
  </si>
  <si>
    <t>Chichester ; New York : J. Wiley, ©1995.</t>
  </si>
  <si>
    <t>2017-10-12</t>
  </si>
  <si>
    <t>349991753:eng</t>
  </si>
  <si>
    <t>30357247</t>
  </si>
  <si>
    <t>ocm30357247</t>
  </si>
  <si>
    <t>31015422323</t>
  </si>
  <si>
    <t>9780471951513</t>
  </si>
  <si>
    <t>793333304</t>
  </si>
  <si>
    <t>QH541.5 T3 W47 2010</t>
  </si>
  <si>
    <t>0                      QH 0541500T  3                  W  47          2010</t>
  </si>
  <si>
    <t>Western Boreal Conservation Initiative, 2003-2008 : towards the conservation of Canada's boreal forests.</t>
  </si>
  <si>
    <t>Western Boreal Conservation Initiative (Canada)</t>
  </si>
  <si>
    <t>[Ottawa] : Western Boreal Conservation Initiative, ©2010.</t>
  </si>
  <si>
    <t>659851822:eng</t>
  </si>
  <si>
    <t>305107925</t>
  </si>
  <si>
    <t>ocn305107925</t>
  </si>
  <si>
    <t>3103256581Q</t>
  </si>
  <si>
    <t>9781100118864</t>
  </si>
  <si>
    <t>794434191</t>
  </si>
  <si>
    <t>QH541.5 T7 S67</t>
  </si>
  <si>
    <t>0                      QH 0541500T  7                  S  67</t>
  </si>
  <si>
    <t>Speciation in tropical environments, edited by R.H. Lowe-McConnell.</t>
  </si>
  <si>
    <t>[London] Published for the Linnean Society of London by Academic P., 1969.</t>
  </si>
  <si>
    <t>355137097:eng</t>
  </si>
  <si>
    <t>50839</t>
  </si>
  <si>
    <t>ocm00050839</t>
  </si>
  <si>
    <t>30010282014</t>
  </si>
  <si>
    <t>9780124574601</t>
  </si>
  <si>
    <t>791239823</t>
  </si>
  <si>
    <t>QH542.5 B88 1995</t>
  </si>
  <si>
    <t>0                      QH 0542500B  88          1995</t>
  </si>
  <si>
    <t>Zoogeomorphology : animals as geomorphic agents / David R. Butler.</t>
  </si>
  <si>
    <t>Butler, David R.</t>
  </si>
  <si>
    <t>34227737:eng</t>
  </si>
  <si>
    <t>31781542</t>
  </si>
  <si>
    <t>ocm31781542</t>
  </si>
  <si>
    <t>3101573683L</t>
  </si>
  <si>
    <t>9780521039321</t>
  </si>
  <si>
    <t>793368081</t>
  </si>
  <si>
    <t>QH543.3 D42 2013</t>
  </si>
  <si>
    <t>0                      QH 0543300D  42          2013</t>
  </si>
  <si>
    <t>The monkey's voyage : how improbable journeys shaped the history of life / Alan de Queiroz.</t>
  </si>
  <si>
    <t>De Queiroz, Alan.</t>
  </si>
  <si>
    <t>New York : Basic Books, [2014]</t>
  </si>
  <si>
    <t>1790157805:eng</t>
  </si>
  <si>
    <t>858975420</t>
  </si>
  <si>
    <t>ocn858975420</t>
  </si>
  <si>
    <t>31035308326</t>
  </si>
  <si>
    <t>9780465020515</t>
  </si>
  <si>
    <t>794957266</t>
  </si>
  <si>
    <t>QH545 A1 R3513 1987</t>
  </si>
  <si>
    <t>0                      QH 0545000A  1                  R  3513        1987</t>
  </si>
  <si>
    <t>Ecotoxicology / F. Ramade ; translated by L.J.M. Hodgson.</t>
  </si>
  <si>
    <t>Ramade, François.</t>
  </si>
  <si>
    <t>Chichester [West Sussex] ; New York : Wiley, ©1987.</t>
  </si>
  <si>
    <t>3893638007:eng</t>
  </si>
  <si>
    <t>11519140</t>
  </si>
  <si>
    <t>ocm11519140</t>
  </si>
  <si>
    <t>3001039782L</t>
  </si>
  <si>
    <t>9780471104452</t>
  </si>
  <si>
    <t>792776480</t>
  </si>
  <si>
    <t>QH545 A17 I47 1986</t>
  </si>
  <si>
    <t>0                      QH 0545000A  17                 I  47          1986</t>
  </si>
  <si>
    <t>Impact of acid rain and deposition on aquatic biological systems / a symposium sponsored by ASTM Committee D-19 on Water, Bal Harbour, FL, 29 Oct. 1984 ; Billy G. Isom, Sally D. Dennis, and John M. Bates, editors.</t>
  </si>
  <si>
    <t>Philadelphia, PA : ASTM, ©1986.</t>
  </si>
  <si>
    <t>ASTM special technical publication ; 928</t>
  </si>
  <si>
    <t>499314523:eng</t>
  </si>
  <si>
    <t>13823126</t>
  </si>
  <si>
    <t>ocm13823126</t>
  </si>
  <si>
    <t>3001039017N</t>
  </si>
  <si>
    <t>9780803104921</t>
  </si>
  <si>
    <t>792868155</t>
  </si>
  <si>
    <t>QH545 H42 H42 1990</t>
  </si>
  <si>
    <t>0                      QH 0545000H  42                 H  42          1990</t>
  </si>
  <si>
    <t>Heavy metals in the marine environment / editors, Robert W. Furness and Philip S. Rainbow.</t>
  </si>
  <si>
    <t>Boca Raton, Fla. : CRC Press, ©1990.</t>
  </si>
  <si>
    <t>355372579:eng</t>
  </si>
  <si>
    <t>19921079</t>
  </si>
  <si>
    <t>ocm19921079</t>
  </si>
  <si>
    <t>3100951351B</t>
  </si>
  <si>
    <t>9780849355066</t>
  </si>
  <si>
    <t>793072224</t>
  </si>
  <si>
    <t>QH545 H92 N88 2010</t>
  </si>
  <si>
    <t>0                      QH 0545000H  92                 N  88          2010</t>
  </si>
  <si>
    <t>Pipeline dreams : people, environment, and the Arctic energy frontier / Mark Nuttall.</t>
  </si>
  <si>
    <t>Nuttall, Mark.</t>
  </si>
  <si>
    <t>Copenhagen : International Work Group for Indigenous Affairs, 2010.</t>
  </si>
  <si>
    <t>IWGIA document, 0105-4503 ; 126</t>
  </si>
  <si>
    <t>797259918:eng</t>
  </si>
  <si>
    <t>698163365</t>
  </si>
  <si>
    <t>ocn698163365</t>
  </si>
  <si>
    <t>3103364374V</t>
  </si>
  <si>
    <t>9788791563867</t>
  </si>
  <si>
    <t>794860654</t>
  </si>
  <si>
    <t>QH545 M6 R62 1979</t>
  </si>
  <si>
    <t>0                      QH 0545000M  6                  R  62          1979</t>
  </si>
  <si>
    <t>The effects of weapons on ecosystems / J.P. Robinson, with the assistance of the United Nations Environment Programme and the United Nations Centre for Disarmament.</t>
  </si>
  <si>
    <t>Robinson, Julian Perry, author.</t>
  </si>
  <si>
    <t>Oxford ; New York : Published for the United Nations Environment Programme by Pergamon Press, 1979.</t>
  </si>
  <si>
    <t>UNEP studies ; v. 1</t>
  </si>
  <si>
    <t>9657319897:eng</t>
  </si>
  <si>
    <t>5889517</t>
  </si>
  <si>
    <t>ocm05889517</t>
  </si>
  <si>
    <t>3000304772H</t>
  </si>
  <si>
    <t>9780080256566</t>
  </si>
  <si>
    <t>792461127</t>
  </si>
  <si>
    <t>QH545 P4 C38 2002</t>
  </si>
  <si>
    <t>0                      QH 0545000P  4                  C  38          2002</t>
  </si>
  <si>
    <t>Silent spring / Rachel Carson ; introduction by Linda Lear ; afterword by Edward O. Wilson ; [drawings by Lois and Louis Darling].</t>
  </si>
  <si>
    <t>Boston : Houghton Mifflin, [2002]</t>
  </si>
  <si>
    <t>First Mariner books edition.</t>
  </si>
  <si>
    <t>524084:eng</t>
  </si>
  <si>
    <t>50751491</t>
  </si>
  <si>
    <t>ocm50751491</t>
  </si>
  <si>
    <t>3103622174H</t>
  </si>
  <si>
    <t>9780618253050</t>
  </si>
  <si>
    <t>793772231</t>
  </si>
  <si>
    <t>3103622165I</t>
  </si>
  <si>
    <t>793772232</t>
  </si>
  <si>
    <t>QH546 C65 1983</t>
  </si>
  <si>
    <t>0                      QH 0546000C  65          1983</t>
  </si>
  <si>
    <t>Adaptability : the significance of variability from molecule to ecosystem / Michael Conrad.</t>
  </si>
  <si>
    <t>Conrad, Michael, 1941-</t>
  </si>
  <si>
    <t>New York : Plenum Press, ©1983.</t>
  </si>
  <si>
    <t>795682620:eng</t>
  </si>
  <si>
    <t>9110177</t>
  </si>
  <si>
    <t>ocm09110177</t>
  </si>
  <si>
    <t>30010284924</t>
  </si>
  <si>
    <t>9780306412233</t>
  </si>
  <si>
    <t>792657496</t>
  </si>
  <si>
    <t>QH546 W55</t>
  </si>
  <si>
    <t>0                      QH 0546000W  55</t>
  </si>
  <si>
    <t>Adaptation and natural selection; a critique of some current evolutionary thought [by] George C. Willams.</t>
  </si>
  <si>
    <t>Williams, George C. (George Christopher), 1926-2010.</t>
  </si>
  <si>
    <t>Princeton, N.J., Princeton University Press, 1966.</t>
  </si>
  <si>
    <t>2015-09-12</t>
  </si>
  <si>
    <t>774675275:eng</t>
  </si>
  <si>
    <t>232949</t>
  </si>
  <si>
    <t>ocm00232949</t>
  </si>
  <si>
    <t>3001044914C</t>
  </si>
  <si>
    <t>9780691023571</t>
  </si>
  <si>
    <t>791302830</t>
  </si>
  <si>
    <t>QH547 M47 v.39</t>
  </si>
  <si>
    <t>0                      QH 0547000M  47                                                      v.39</t>
  </si>
  <si>
    <t>Motility assays for motor proteins / edited by Jonathan M. Scholey.</t>
  </si>
  <si>
    <t>v.39*</t>
  </si>
  <si>
    <t>San Diego : Academic Press, ©1993.</t>
  </si>
  <si>
    <t>Methods in cell biology, 0091-679X ; v. 39</t>
  </si>
  <si>
    <t>2015-11-15</t>
  </si>
  <si>
    <t>31412545:eng</t>
  </si>
  <si>
    <t>29173959</t>
  </si>
  <si>
    <t>ocm29173959</t>
  </si>
  <si>
    <t>3101352810Y</t>
  </si>
  <si>
    <t>9780125641395</t>
  </si>
  <si>
    <t>793304606</t>
  </si>
  <si>
    <t>QH548 D8 1965</t>
  </si>
  <si>
    <t>0                      QH 0548000D  8           1965</t>
  </si>
  <si>
    <t>Partners in nature / Ruth H. Dudley ; illustrated by Eva Cellini.</t>
  </si>
  <si>
    <t>Dudley, Ruth Hubbell, 1905-</t>
  </si>
  <si>
    <t>New York : Funk &amp; Wagnalls, ©1965.</t>
  </si>
  <si>
    <t>5164226128:eng</t>
  </si>
  <si>
    <t>553074</t>
  </si>
  <si>
    <t>ocm00553074</t>
  </si>
  <si>
    <t>3102427828Z</t>
  </si>
  <si>
    <t>791412401</t>
  </si>
  <si>
    <t>QH548 S26 1994</t>
  </si>
  <si>
    <t>0                      QH 0548000S  26          1994</t>
  </si>
  <si>
    <t>Evolution by association : a history of symbiosis / Jan Sapp.</t>
  </si>
  <si>
    <t>New York : Oxford University Press, 1994.</t>
  </si>
  <si>
    <t>793989880:eng</t>
  </si>
  <si>
    <t>29913047</t>
  </si>
  <si>
    <t>ocm29913047</t>
  </si>
  <si>
    <t>3101445811G</t>
  </si>
  <si>
    <t>9780195088212</t>
  </si>
  <si>
    <t>793323864</t>
  </si>
  <si>
    <t>QH549.5 F67 2000</t>
  </si>
  <si>
    <t>0                      QH 0549500F  67          2000</t>
  </si>
  <si>
    <t>The secret language of life : how animals and plants feel and communicate / Brian J. Ford.</t>
  </si>
  <si>
    <t>New York : Fromm International, 2000.</t>
  </si>
  <si>
    <t>1st Fromm International ed.</t>
  </si>
  <si>
    <t>2017-03-22</t>
  </si>
  <si>
    <t>918375261:eng</t>
  </si>
  <si>
    <t>45072260</t>
  </si>
  <si>
    <t>ocm45072260</t>
  </si>
  <si>
    <t>31021642046</t>
  </si>
  <si>
    <t>9780880642545</t>
  </si>
  <si>
    <t>793663988</t>
  </si>
  <si>
    <t>QH574 L36 2001</t>
  </si>
  <si>
    <t>0                      QH 0574000L  36          2001</t>
  </si>
  <si>
    <t>Landmark papers in cell biology / editors, Joseph G. Gall, J. Richard McIntosh.</t>
  </si>
  <si>
    <t>Cold Spring Harbor, NY : Cold Spring Harbor Laboratory Press ; Bethesda, MD : American Society for Cell Biology, 2001.</t>
  </si>
  <si>
    <t>435386710:eng</t>
  </si>
  <si>
    <t>44860876</t>
  </si>
  <si>
    <t>ocm44860876</t>
  </si>
  <si>
    <t>3102291144G</t>
  </si>
  <si>
    <t>9780879696023</t>
  </si>
  <si>
    <t>793659374</t>
  </si>
  <si>
    <t>QH 581 H874a</t>
  </si>
  <si>
    <t>0                      QH 0581000H  874a</t>
  </si>
  <si>
    <t>An atlas of mammalian chromosomes / T.C. Hsu [and] Kurt Benirschke.</t>
  </si>
  <si>
    <t>v. 5-6 (1971)</t>
  </si>
  <si>
    <t>New York : Springer, 1967-1977.</t>
  </si>
  <si>
    <t>4138457552:eng</t>
  </si>
  <si>
    <t>5623697</t>
  </si>
  <si>
    <t>ocm05623697</t>
  </si>
  <si>
    <t>3100342851Y</t>
  </si>
  <si>
    <t>Book_Continuing</t>
  </si>
  <si>
    <t>792442298</t>
  </si>
  <si>
    <t>v. 1 (1967)</t>
  </si>
  <si>
    <t>3000102887O</t>
  </si>
  <si>
    <t>792442300</t>
  </si>
  <si>
    <t>v. 7-8 (1973-74)</t>
  </si>
  <si>
    <t>3100342852W</t>
  </si>
  <si>
    <t>792442297</t>
  </si>
  <si>
    <t>v. 9 (1975)</t>
  </si>
  <si>
    <t>3100342853U</t>
  </si>
  <si>
    <t>792442296</t>
  </si>
  <si>
    <t>v. 3-4 (1969-70)</t>
  </si>
  <si>
    <t>3100342850$</t>
  </si>
  <si>
    <t>792442299</t>
  </si>
  <si>
    <t>v. 10 (1977)</t>
  </si>
  <si>
    <t>3100342854S</t>
  </si>
  <si>
    <t>792442295</t>
  </si>
  <si>
    <t>QH581 L6</t>
  </si>
  <si>
    <t>0                      QH 0581000L  6</t>
  </si>
  <si>
    <t>Cell structure and function [by] Ariel G. Loewy [and] Philip Siekevitz.</t>
  </si>
  <si>
    <t>Loewy, Ariel G.</t>
  </si>
  <si>
    <t>New York, Holt, Rinehart and Winston [1963]</t>
  </si>
  <si>
    <t>Modern biology series</t>
  </si>
  <si>
    <t>1213797:eng</t>
  </si>
  <si>
    <t>555406</t>
  </si>
  <si>
    <t>ocm00555406</t>
  </si>
  <si>
    <t>3001049000Y</t>
  </si>
  <si>
    <t>9780030709555</t>
  </si>
  <si>
    <t>791413068</t>
  </si>
  <si>
    <t>3100242092M</t>
  </si>
  <si>
    <t>791413069</t>
  </si>
  <si>
    <t>QH 581 S337c 1970</t>
  </si>
  <si>
    <t>0                      QH 0581000S  337c        1970</t>
  </si>
  <si>
    <t>Cell differentiation. Editors: Ole A. Schjeide [and] Jean de Vellis.</t>
  </si>
  <si>
    <t>Schjeide, Ole A.</t>
  </si>
  <si>
    <t>New York, Van Nostrand Reinhold Co. [1970]</t>
  </si>
  <si>
    <t>2016-05-01</t>
  </si>
  <si>
    <t>1311528:eng</t>
  </si>
  <si>
    <t>93846</t>
  </si>
  <si>
    <t>ocm00093846</t>
  </si>
  <si>
    <t>3100858800H</t>
  </si>
  <si>
    <t>791253832</t>
  </si>
  <si>
    <t>QH581.2 A9</t>
  </si>
  <si>
    <t>0                      QH 0581200A  9</t>
  </si>
  <si>
    <t>Cell biology / Charlotte J. Avers.</t>
  </si>
  <si>
    <t>Avers, Charlotte J.</t>
  </si>
  <si>
    <t>New York : Van Nostrand, ©1976.</t>
  </si>
  <si>
    <t>2867843888:eng</t>
  </si>
  <si>
    <t>2294947</t>
  </si>
  <si>
    <t>ocm02294947</t>
  </si>
  <si>
    <t>3001036939T</t>
  </si>
  <si>
    <t>9780442203825</t>
  </si>
  <si>
    <t>792099519</t>
  </si>
  <si>
    <t>QH581.2 B43 1986</t>
  </si>
  <si>
    <t>0                      QH 0581200B  43          1986</t>
  </si>
  <si>
    <t>The world of the cell / Wayne M. Becker.</t>
  </si>
  <si>
    <t>Becker, Wayne M.</t>
  </si>
  <si>
    <t>Menlo Park, Calif. : Benjamin/Cummings Pub. Co., ©1986.</t>
  </si>
  <si>
    <t>Benjamin/Cummings series in the life sciences</t>
  </si>
  <si>
    <t>789836:eng</t>
  </si>
  <si>
    <t>12946310</t>
  </si>
  <si>
    <t>ocm12946310</t>
  </si>
  <si>
    <t>3001039102W</t>
  </si>
  <si>
    <t>9780805308006</t>
  </si>
  <si>
    <t>792834164</t>
  </si>
  <si>
    <t>QH581.2 D37 1986b</t>
  </si>
  <si>
    <t>0                      QH 0581200D  37          1986b</t>
  </si>
  <si>
    <t>Molecular cell biology / James Darnell, Harvey Lodish, David Baltimore.</t>
  </si>
  <si>
    <t>Darnell, James E.</t>
  </si>
  <si>
    <t>New York : Scientific American Books : Distributed by W.H. Freeman, ©1986.</t>
  </si>
  <si>
    <t>55841409:eng</t>
  </si>
  <si>
    <t>13122556</t>
  </si>
  <si>
    <t>ocm13122556</t>
  </si>
  <si>
    <t>3001040171F</t>
  </si>
  <si>
    <t>9780716714484</t>
  </si>
  <si>
    <t>792841513</t>
  </si>
  <si>
    <t>31009229316</t>
  </si>
  <si>
    <t>792841511</t>
  </si>
  <si>
    <t>QH581.2 D37 1990</t>
  </si>
  <si>
    <t>0                      QH 0581200D  37          1990</t>
  </si>
  <si>
    <t>New York : Scientific American Books : Distributed by W.H. Freeman, ©1990.</t>
  </si>
  <si>
    <t>20757120</t>
  </si>
  <si>
    <t>ocm20757120</t>
  </si>
  <si>
    <t>31011399452</t>
  </si>
  <si>
    <t>9780716719816</t>
  </si>
  <si>
    <t>793097782</t>
  </si>
  <si>
    <t>2001-12-10</t>
  </si>
  <si>
    <t>3100752757T</t>
  </si>
  <si>
    <t>793097777</t>
  </si>
  <si>
    <t>2013-11-14</t>
  </si>
  <si>
    <t>3101119865C</t>
  </si>
  <si>
    <t>793097776</t>
  </si>
  <si>
    <t>2013-10-11</t>
  </si>
  <si>
    <t>3101093407V</t>
  </si>
  <si>
    <t>793097778</t>
  </si>
  <si>
    <t>2005-11-03</t>
  </si>
  <si>
    <t>3101367927J</t>
  </si>
  <si>
    <t>793097779</t>
  </si>
  <si>
    <t>QH581.2 D37 1995</t>
  </si>
  <si>
    <t>0                      QH 0581200D  37          1995</t>
  </si>
  <si>
    <t>Molecular cell biology / Harvey Lodish [and others].</t>
  </si>
  <si>
    <t>New York : Scientific American Books : Distributed by W.H. Freeman and Co., ©1995.</t>
  </si>
  <si>
    <t>2000-02-02</t>
  </si>
  <si>
    <t>30783343</t>
  </si>
  <si>
    <t>ocm30783343</t>
  </si>
  <si>
    <t>31013017758</t>
  </si>
  <si>
    <t>9780716723806</t>
  </si>
  <si>
    <t>793344980</t>
  </si>
  <si>
    <t>QH581.2 D37 2000</t>
  </si>
  <si>
    <t>0                      QH 0581200D  37          2000</t>
  </si>
  <si>
    <t>New York : W.H. Freeman, ©2000.</t>
  </si>
  <si>
    <t>41266312</t>
  </si>
  <si>
    <t>ocm41266312</t>
  </si>
  <si>
    <t>31019216616</t>
  </si>
  <si>
    <t>9780716731368</t>
  </si>
  <si>
    <t>793587831</t>
  </si>
  <si>
    <t>3102722754Y</t>
  </si>
  <si>
    <t>793587830</t>
  </si>
  <si>
    <t>QH581.2 M64 1983</t>
  </si>
  <si>
    <t>0                      QH 0581200M  64          1983</t>
  </si>
  <si>
    <t>Molecular biology of the cell / Bruce Alberts [and others].</t>
  </si>
  <si>
    <t>New York : Garland Pub., ©1983.</t>
  </si>
  <si>
    <t>2002-02-19</t>
  </si>
  <si>
    <t>4915107406:eng</t>
  </si>
  <si>
    <t>8805724</t>
  </si>
  <si>
    <t>ocm08805724</t>
  </si>
  <si>
    <t>3101183247Q</t>
  </si>
  <si>
    <t>9780824072827</t>
  </si>
  <si>
    <t>792642040</t>
  </si>
  <si>
    <t>QH581.2 M655 2016</t>
  </si>
  <si>
    <t>0                      QH 0581200M  655         2016</t>
  </si>
  <si>
    <t>Molecular cell biology / Harvey Lodish [and 7 others].</t>
  </si>
  <si>
    <t>Lodish, Harvey F., author.</t>
  </si>
  <si>
    <t>New York : W.H. Freeman-Macmillan Learning, [2016]</t>
  </si>
  <si>
    <t>949909675</t>
  </si>
  <si>
    <t>ocn949909675</t>
  </si>
  <si>
    <t>3103699062P</t>
  </si>
  <si>
    <t>9781464183393</t>
  </si>
  <si>
    <t>795016329</t>
  </si>
  <si>
    <t>3103699057I</t>
  </si>
  <si>
    <t>795016326</t>
  </si>
  <si>
    <t>3103699042V</t>
  </si>
  <si>
    <t>795016327</t>
  </si>
  <si>
    <t>3103699077C</t>
  </si>
  <si>
    <t>795016331</t>
  </si>
  <si>
    <t>3103699047L</t>
  </si>
  <si>
    <t>795016330</t>
  </si>
  <si>
    <t>3103699067F</t>
  </si>
  <si>
    <t>795016328</t>
  </si>
  <si>
    <t>3103699072M</t>
  </si>
  <si>
    <t>795016332</t>
  </si>
  <si>
    <t>3103699052S</t>
  </si>
  <si>
    <t>795016325</t>
  </si>
  <si>
    <t>QH583.2 C87 1998</t>
  </si>
  <si>
    <t>0                      QH 0583200C  87          1998</t>
  </si>
  <si>
    <t>Current protocols in cell biology / editorial board, Juan S. Bonifacino [and others].</t>
  </si>
  <si>
    <t>New York : John Wiley, 1998-</t>
  </si>
  <si>
    <t>5224673158:eng</t>
  </si>
  <si>
    <t>217242418</t>
  </si>
  <si>
    <t>ocn217242418</t>
  </si>
  <si>
    <t>3102186306D</t>
  </si>
  <si>
    <t>9780471241089</t>
  </si>
  <si>
    <t>794316280</t>
  </si>
  <si>
    <t>3102186310M</t>
  </si>
  <si>
    <t>794316281</t>
  </si>
  <si>
    <t>QH585 C46 1989</t>
  </si>
  <si>
    <t>0                      QH 0585000C  46          1989</t>
  </si>
  <si>
    <t>Cell growth and division : a practical approach / edited by Renato Baserga.</t>
  </si>
  <si>
    <t>Oxford ; New York : IRL Press at Oxford University Press, 1989.</t>
  </si>
  <si>
    <t>The Practical approach series</t>
  </si>
  <si>
    <t>2015-10-31</t>
  </si>
  <si>
    <t>808608414:eng</t>
  </si>
  <si>
    <t>18682575</t>
  </si>
  <si>
    <t>ocm18682575</t>
  </si>
  <si>
    <t>30010537466</t>
  </si>
  <si>
    <t>9780199630271</t>
  </si>
  <si>
    <t>793033389</t>
  </si>
  <si>
    <t>QH585.5 F56 S48 2003</t>
  </si>
  <si>
    <t>0                      QH 0585500F  56                 S  48          2003</t>
  </si>
  <si>
    <t>Practical flow cytometry / Howard M. Shapiro.</t>
  </si>
  <si>
    <t>Shapiro, Howard M. (Howard Maurice), 1941-</t>
  </si>
  <si>
    <t>New York : Wiley-Liss, ©2003.</t>
  </si>
  <si>
    <t>1975649:eng</t>
  </si>
  <si>
    <t>49221931</t>
  </si>
  <si>
    <t>ocm49221931</t>
  </si>
  <si>
    <t>3102292570V</t>
  </si>
  <si>
    <t>9780471411253</t>
  </si>
  <si>
    <t>793734979</t>
  </si>
  <si>
    <t>QH588 S83 F86 2008</t>
  </si>
  <si>
    <t>0                      QH 0588000S  83                 F  86          2008</t>
  </si>
  <si>
    <t>Fundamentals of the stem cell debate : the scientific, religious, ethical, and political issues / edited by Kristen Renwick Monroe, Ronald B. Miller, and Jerome S. Tobis.</t>
  </si>
  <si>
    <t>Berkeley : University of California Press, ©2008.</t>
  </si>
  <si>
    <t>2012-03-13</t>
  </si>
  <si>
    <t>2016-04-07</t>
  </si>
  <si>
    <t>801559704:eng</t>
  </si>
  <si>
    <t>162507278</t>
  </si>
  <si>
    <t>ocn162507278</t>
  </si>
  <si>
    <t>3102880352I</t>
  </si>
  <si>
    <t>9780520252103</t>
  </si>
  <si>
    <t>794257520</t>
  </si>
  <si>
    <t>3102880347K</t>
  </si>
  <si>
    <t>794257518</t>
  </si>
  <si>
    <t>QH601 B55</t>
  </si>
  <si>
    <t>0                      QH 0601000B  55</t>
  </si>
  <si>
    <t>Membranes and ion transport / edited by E. Edward Bittar.</t>
  </si>
  <si>
    <t>London : Wiley-Interscience, a division of John Wiley &amp; Sons Ltd., 1970-1971.</t>
  </si>
  <si>
    <t>3372270375:eng</t>
  </si>
  <si>
    <t>139220</t>
  </si>
  <si>
    <t>ocm00139220</t>
  </si>
  <si>
    <t>3100673566Q</t>
  </si>
  <si>
    <t>9780471077077</t>
  </si>
  <si>
    <t>791269394</t>
  </si>
  <si>
    <t>3100673565S</t>
  </si>
  <si>
    <t>791269395</t>
  </si>
  <si>
    <t>3001045226S</t>
  </si>
  <si>
    <t>791269396</t>
  </si>
  <si>
    <t>QH601 C3984 1984</t>
  </si>
  <si>
    <t>0                      QH 0601000C  3984        1984</t>
  </si>
  <si>
    <t>Cell surface dynamics : concepts and models / edited by Alan S. Perelson, Charles DeLisi, Frederik W. Wiegel.</t>
  </si>
  <si>
    <t>New York : M. Dekker, ©1984.</t>
  </si>
  <si>
    <t>Receptors and ligands in intercellular communication ; v. 3</t>
  </si>
  <si>
    <t>796037344:eng</t>
  </si>
  <si>
    <t>10752324</t>
  </si>
  <si>
    <t>ocm10752324</t>
  </si>
  <si>
    <t>3001030305Q</t>
  </si>
  <si>
    <t>9780824771157</t>
  </si>
  <si>
    <t>792740964</t>
  </si>
  <si>
    <t>QH601 C45 1987</t>
  </si>
  <si>
    <t>0                      QH 0601000C  45          1987</t>
  </si>
  <si>
    <t>Phospholipid bilayers : physical principles and models / Gregor Cevc, Derek Marsh.</t>
  </si>
  <si>
    <t>Cevc, Gregor.</t>
  </si>
  <si>
    <t>New York : Wiley, ©1987.</t>
  </si>
  <si>
    <t>Cell biology : a series of monographs ; v. 5</t>
  </si>
  <si>
    <t>796996566:eng</t>
  </si>
  <si>
    <t>14098246</t>
  </si>
  <si>
    <t>ocm14098246</t>
  </si>
  <si>
    <t>3001039502G</t>
  </si>
  <si>
    <t>9780471092551</t>
  </si>
  <si>
    <t>792877815</t>
  </si>
  <si>
    <t>QH 601 C466</t>
  </si>
  <si>
    <t>0                      QH 0601000C  466</t>
  </si>
  <si>
    <t>Biological membranes / edited by Dennis Chapman [and Donald F.H. Wallach].</t>
  </si>
  <si>
    <t>v. 2 (1973)</t>
  </si>
  <si>
    <t>Chapman, Dennis, 1927-1999.</t>
  </si>
  <si>
    <t>London ; New York : Academic Press, 1968-1984.</t>
  </si>
  <si>
    <t>4919508275:eng</t>
  </si>
  <si>
    <t>368590</t>
  </si>
  <si>
    <t>ocm00368590</t>
  </si>
  <si>
    <t>31003426612</t>
  </si>
  <si>
    <t>9780121685409</t>
  </si>
  <si>
    <t>791353881</t>
  </si>
  <si>
    <t>v. 3 (1976)</t>
  </si>
  <si>
    <t>31003426620</t>
  </si>
  <si>
    <t>791353880</t>
  </si>
  <si>
    <t>v. 1 (1968)</t>
  </si>
  <si>
    <t>3000113140U</t>
  </si>
  <si>
    <t>791353882</t>
  </si>
  <si>
    <t>QH601 C47</t>
  </si>
  <si>
    <t>0                      QH 0601000C  47</t>
  </si>
  <si>
    <t>3100673573T</t>
  </si>
  <si>
    <t>791353876</t>
  </si>
  <si>
    <t>30010358626</t>
  </si>
  <si>
    <t>791353879</t>
  </si>
  <si>
    <t>3100673572V</t>
  </si>
  <si>
    <t>791353877</t>
  </si>
  <si>
    <t>3100673574R</t>
  </si>
  <si>
    <t>791353875</t>
  </si>
  <si>
    <t>3100673571X</t>
  </si>
  <si>
    <t>791353878</t>
  </si>
  <si>
    <t>QH601 D3 1952</t>
  </si>
  <si>
    <t>0                      QH 0601000D  3           1952</t>
  </si>
  <si>
    <t>The permeability of natural membranes / by Hugh Davson and J.F. Danielli ; with a foreword by E. Newton Harvey.</t>
  </si>
  <si>
    <t>Davson, Hugh, 1909-1996, author.</t>
  </si>
  <si>
    <t>Cambridge : University Press, 1952.</t>
  </si>
  <si>
    <t>153207281:eng</t>
  </si>
  <si>
    <t>14659077</t>
  </si>
  <si>
    <t>ocm14659077</t>
  </si>
  <si>
    <t>3001047620E</t>
  </si>
  <si>
    <t>792897699</t>
  </si>
  <si>
    <t>QH603 M5 B53 1977</t>
  </si>
  <si>
    <t>0                      QH 0603000M  5                  B  53          1977</t>
  </si>
  <si>
    <t>Analysis of ecological systems / edited by David J. Horn, Gordon R. Stairs, and Rodger D. Mitchell.</t>
  </si>
  <si>
    <t>Biosciences Colloquium (3rd : 1977 : Ohio State University)</t>
  </si>
  <si>
    <t>Columbus : Ohio State University Press, ©1979.</t>
  </si>
  <si>
    <t>Ohio State University biosciences colloquia</t>
  </si>
  <si>
    <t>355989879:eng</t>
  </si>
  <si>
    <t>4136434</t>
  </si>
  <si>
    <t>ocm04136434</t>
  </si>
  <si>
    <t>3001034683B</t>
  </si>
  <si>
    <t>9780814202760</t>
  </si>
  <si>
    <t>792325077</t>
  </si>
  <si>
    <t>QH604 B95 1983</t>
  </si>
  <si>
    <t>0                      QH 0604000B  95          1983</t>
  </si>
  <si>
    <t>Growth factors and stem cells / by Antony Burgess and Nicos Nicola.</t>
  </si>
  <si>
    <t>Burgess, Antony, 1946-</t>
  </si>
  <si>
    <t>Sydney ; New York : Academic Press, 1983.</t>
  </si>
  <si>
    <t>2931587:eng</t>
  </si>
  <si>
    <t>12906196</t>
  </si>
  <si>
    <t>ocm12906196</t>
  </si>
  <si>
    <t>30010303763</t>
  </si>
  <si>
    <t>9780121437503</t>
  </si>
  <si>
    <t>792832270</t>
  </si>
  <si>
    <t>QH605 C757 1991</t>
  </si>
  <si>
    <t>0                      QH 0605000C  757         1991</t>
  </si>
  <si>
    <t>Control of cell growth and division / edited by Akira Ishihama and Hiroshi Yoshikawa.</t>
  </si>
  <si>
    <t>Tokyo : Japan Scientific Societies Press ; Berlin ; New York : Springer-Verlag, 1991.</t>
  </si>
  <si>
    <t>353966441:eng</t>
  </si>
  <si>
    <t>25592687</t>
  </si>
  <si>
    <t>ocm25592687</t>
  </si>
  <si>
    <t>31011118859</t>
  </si>
  <si>
    <t>9784762246470</t>
  </si>
  <si>
    <t>793225471</t>
  </si>
  <si>
    <t>QH611 C44</t>
  </si>
  <si>
    <t>0                      QH 0611000C  44</t>
  </si>
  <si>
    <t>Artificial cells.</t>
  </si>
  <si>
    <t>Chang, Thomas Ming Swi.</t>
  </si>
  <si>
    <t>Springfield, Ill., Thomas [1972]</t>
  </si>
  <si>
    <t>American lecture series, no. 828. American lectures in living chemistry</t>
  </si>
  <si>
    <t>2004-01-05</t>
  </si>
  <si>
    <t>3769504440:eng</t>
  </si>
  <si>
    <t>403122</t>
  </si>
  <si>
    <t>ocm00403122</t>
  </si>
  <si>
    <t>3001045357D</t>
  </si>
  <si>
    <t>9780398022570</t>
  </si>
  <si>
    <t>791367198</t>
  </si>
  <si>
    <t>QH641 A53 2018</t>
  </si>
  <si>
    <t>0                      QH 0641000A  53          2018</t>
  </si>
  <si>
    <t>Luminous creatures : the history and science of light production in living organisms / Michel Anctil.</t>
  </si>
  <si>
    <t>Anctil, Michel, 1945- author.</t>
  </si>
  <si>
    <t>Montreal ; London ; Chicago : McGill-Queen's University Press, [2018]</t>
  </si>
  <si>
    <t>5104088501:eng</t>
  </si>
  <si>
    <t>1047642566</t>
  </si>
  <si>
    <t>on1047642566</t>
  </si>
  <si>
    <t>3103819503I</t>
  </si>
  <si>
    <t>9780773553125</t>
  </si>
  <si>
    <t>795060717</t>
  </si>
  <si>
    <t>QH651 C6 1957</t>
  </si>
  <si>
    <t>0                      QH 0651000C  6           1957</t>
  </si>
  <si>
    <t>Photoperiodism and related phenomena in plants and animals : proceedings / edited by Robert B. Withrow.</t>
  </si>
  <si>
    <t>Conference on Photoperiodism (1957 : Gatlinburg, Tenn.)</t>
  </si>
  <si>
    <t>American Association for the Advancement of Science. Publication ; no. 55</t>
  </si>
  <si>
    <t>9906776789:eng</t>
  </si>
  <si>
    <t>665164</t>
  </si>
  <si>
    <t>ocm00665164</t>
  </si>
  <si>
    <t>3001047593S</t>
  </si>
  <si>
    <t>791441013</t>
  </si>
  <si>
    <t>QH651 I48 1960</t>
  </si>
  <si>
    <t>0                      QH 0651000I  48          1960</t>
  </si>
  <si>
    <t>Progress in photobiology; proceedings. Edited by B. Chr. Christensen and B. Buchmann, with a preface by Alexander Hollaender.</t>
  </si>
  <si>
    <t>International Congress on Photobiology (3rd : 1960 : Copenhagen)</t>
  </si>
  <si>
    <t>Amsterdam, New York, Elsevier Pub. Co., 1961.</t>
  </si>
  <si>
    <t>8910449641:eng</t>
  </si>
  <si>
    <t>58087</t>
  </si>
  <si>
    <t>ocm00058087</t>
  </si>
  <si>
    <t>30005744940</t>
  </si>
  <si>
    <t>791241908</t>
  </si>
  <si>
    <t>QH705 C4</t>
  </si>
  <si>
    <t>0                      QH 0705000C  4</t>
  </si>
  <si>
    <t>Mathematical bioeconomics : the optimal management of renewable resources / Colin W. Clark.</t>
  </si>
  <si>
    <t>Clark, Colin Whitcomb, 1931-</t>
  </si>
  <si>
    <t>Pure and applied mathematics</t>
  </si>
  <si>
    <t>808857685:eng</t>
  </si>
  <si>
    <t>2202592</t>
  </si>
  <si>
    <t>ocm02202592</t>
  </si>
  <si>
    <t>3100242151W</t>
  </si>
  <si>
    <t>9780471158561</t>
  </si>
  <si>
    <t>792066305</t>
  </si>
  <si>
    <t>QH705 C41 2005</t>
  </si>
  <si>
    <t>0                      QH 0705000C  41          2005</t>
  </si>
  <si>
    <t>Hoboken, N.J. : Wiley-Interscience, ©2005.</t>
  </si>
  <si>
    <t>Wiley-Interscience paperback series</t>
  </si>
  <si>
    <t>61744817</t>
  </si>
  <si>
    <t>ocm61744817</t>
  </si>
  <si>
    <t>3103401907Q</t>
  </si>
  <si>
    <t>9780471751526</t>
  </si>
  <si>
    <t>794097605</t>
  </si>
  <si>
    <t>QK1 I6 1959</t>
  </si>
  <si>
    <t>0                      QK 0001000I  6           1959</t>
  </si>
  <si>
    <t>Proceedings = Comptes rendus.</t>
  </si>
  <si>
    <t>v. 2a</t>
  </si>
  <si>
    <t>International Botanical Congress (9th : 1959 : Montréal, Québec)</t>
  </si>
  <si>
    <t xml:space="preserve">QK </t>
  </si>
  <si>
    <t>2015-02-17</t>
  </si>
  <si>
    <t>2643426270:eng</t>
  </si>
  <si>
    <t>427310446</t>
  </si>
  <si>
    <t>ocn427310446</t>
  </si>
  <si>
    <t>3100521252M</t>
  </si>
  <si>
    <t>794580800</t>
  </si>
  <si>
    <t>30010251623</t>
  </si>
  <si>
    <t>794580802</t>
  </si>
  <si>
    <t>3100521251O</t>
  </si>
  <si>
    <t>794580801</t>
  </si>
  <si>
    <t>QK1 I6 1959n</t>
  </si>
  <si>
    <t>0                      QK 0001000I  6           1959n</t>
  </si>
  <si>
    <t>Circular / IX International Botanical Congress, Montreal, August 19-29, 1959.</t>
  </si>
  <si>
    <t>Ottawa : International Botanical Congress, 1958-</t>
  </si>
  <si>
    <t>1151949536:eng</t>
  </si>
  <si>
    <t>61552731</t>
  </si>
  <si>
    <t>ocm61552731</t>
  </si>
  <si>
    <t>3100521253K</t>
  </si>
  <si>
    <t>793984490</t>
  </si>
  <si>
    <t>3001038214Q</t>
  </si>
  <si>
    <t>793984491</t>
  </si>
  <si>
    <t>QK1 I6 1959s</t>
  </si>
  <si>
    <t>0                      QK 0001000I  6           1959s</t>
  </si>
  <si>
    <t>IX International Botanical Congress information : =IX International congrès de botanique renseignements.</t>
  </si>
  <si>
    <t>International Botanical Congress (9th : 1959: Montréal, Québec)</t>
  </si>
  <si>
    <t>[Montréal] : Local Organizing Committee, 1959.</t>
  </si>
  <si>
    <t>8910662381:eng</t>
  </si>
  <si>
    <t>61539389</t>
  </si>
  <si>
    <t>ocm61539389</t>
  </si>
  <si>
    <t>3001027710P</t>
  </si>
  <si>
    <t>793970593</t>
  </si>
  <si>
    <t>QK1 I6 1987b</t>
  </si>
  <si>
    <t>0                      QK 0001000I  6           1987b</t>
  </si>
  <si>
    <t>Abstracts of the general lectures, symposium papers and posters presented at the XIV International Botanical Congress, Berlin, July 24 to August 1, 1987 / collated and edited by W. Greuter, B. Zimmer and H.-D. Behnke ; produced with the assistance of M.I. Hakki, H. Sipman and Staff Members of the Botanical Museum Berlin-Dahlem.</t>
  </si>
  <si>
    <t>International Botanical Congress (14th : 1987 : Berlin, Germany)</t>
  </si>
  <si>
    <t>Berlin : [publisher not identified], 1987.</t>
  </si>
  <si>
    <t>13330327:eng</t>
  </si>
  <si>
    <t>427243194</t>
  </si>
  <si>
    <t>ocn427243194</t>
  </si>
  <si>
    <t>3001040092B</t>
  </si>
  <si>
    <t>794550655</t>
  </si>
  <si>
    <t>QK5 N54 2000</t>
  </si>
  <si>
    <t>0                      QK 0005000N  54          2000</t>
  </si>
  <si>
    <t>Remedios para el imperio : historia natural y la apropiación del Nuevo Mundo / Mauricio Nieto Olarte.</t>
  </si>
  <si>
    <t>Nieto Olarte, Mauricio.</t>
  </si>
  <si>
    <t>Bogotá, Colombia : Instituto Colombiano de Antropología e Historia, [2000]</t>
  </si>
  <si>
    <t>2016-11-29</t>
  </si>
  <si>
    <t>37578213:spa</t>
  </si>
  <si>
    <t>48525045</t>
  </si>
  <si>
    <t>ocm48525045</t>
  </si>
  <si>
    <t>3102297135V</t>
  </si>
  <si>
    <t>9789589693070</t>
  </si>
  <si>
    <t>793723130</t>
  </si>
  <si>
    <t>- Reference Collection - In Library Use</t>
  </si>
  <si>
    <t>QK9 B44 2010</t>
  </si>
  <si>
    <t>0                      QK 0009000B  44          2010</t>
  </si>
  <si>
    <t>The Kew Plant glossary : an illustrated dictionary of plant terms / Henk J. Beentje ; illustrations by Juliet Williamson.</t>
  </si>
  <si>
    <t>Beentje, Henk.</t>
  </si>
  <si>
    <t>Richmond, Surrey : Kew, 2010.</t>
  </si>
  <si>
    <t>793231128:eng</t>
  </si>
  <si>
    <t>464589004</t>
  </si>
  <si>
    <t>ocn464589004</t>
  </si>
  <si>
    <t>3103134241U</t>
  </si>
  <si>
    <t>9781842464229</t>
  </si>
  <si>
    <t>794793328</t>
  </si>
  <si>
    <t>QK9 U8</t>
  </si>
  <si>
    <t>0                      QK 0009000U  8</t>
  </si>
  <si>
    <t>A dictionary of botany, including terms used in biochemistry, soil science and statistics.</t>
  </si>
  <si>
    <t>Usher, George.</t>
  </si>
  <si>
    <t>London, Constable [1966]</t>
  </si>
  <si>
    <t>7291818:eng</t>
  </si>
  <si>
    <t>13375594</t>
  </si>
  <si>
    <t>ocm13375594</t>
  </si>
  <si>
    <t>3000953635Y</t>
  </si>
  <si>
    <t>9780094504905</t>
  </si>
  <si>
    <t>792850586</t>
  </si>
  <si>
    <t>QK14.5 D53 2017</t>
  </si>
  <si>
    <t>0                      QK 0014500D  53          2017</t>
  </si>
  <si>
    <t>Diccionario herbario de textos antiguos y premodernos / compilado por Thomas M. Capuano.</t>
  </si>
  <si>
    <t>New York : Hispanic Seminary of Medieval Studies, 2017.</t>
  </si>
  <si>
    <t>Spanish series ; 161</t>
  </si>
  <si>
    <t>4222764844:spa</t>
  </si>
  <si>
    <t>988006398</t>
  </si>
  <si>
    <t>ocn988006398</t>
  </si>
  <si>
    <t>31036705026</t>
  </si>
  <si>
    <t>9781569541586</t>
  </si>
  <si>
    <t>795036505</t>
  </si>
  <si>
    <t>QK15 M32 2015</t>
  </si>
  <si>
    <t>0                      QK 0015000M  32          2015</t>
  </si>
  <si>
    <t>The cabaret of plants : botany and the imagination / Richard Mabey.</t>
  </si>
  <si>
    <t>Mabey, Richard, 1941- author.</t>
  </si>
  <si>
    <t>London : Profile Books, 2015.</t>
  </si>
  <si>
    <t>4820379999:eng</t>
  </si>
  <si>
    <t>927291647</t>
  </si>
  <si>
    <t>ocn927291647</t>
  </si>
  <si>
    <t>31036112323</t>
  </si>
  <si>
    <t>9781861976628</t>
  </si>
  <si>
    <t>795005792</t>
  </si>
  <si>
    <t>QK15 S13 1967</t>
  </si>
  <si>
    <t>0                      QK 0015000S  13          1967</t>
  </si>
  <si>
    <t>History of botany, 1530-1860. Authorised translation by Henry E.F. Garnsey. Rev. by Isaac Bayley Balfour.</t>
  </si>
  <si>
    <t>Sachs, Julius, 1832-1897.</t>
  </si>
  <si>
    <t>New York, Russell and Russell [1967]</t>
  </si>
  <si>
    <t>2952707643:eng</t>
  </si>
  <si>
    <t>244421</t>
  </si>
  <si>
    <t>ocm00244421</t>
  </si>
  <si>
    <t>3001045047S</t>
  </si>
  <si>
    <t>791307200</t>
  </si>
  <si>
    <t>QK21 C6 M53 1990</t>
  </si>
  <si>
    <t>0                      QK 0021000C  6                  M  53          1990</t>
  </si>
  <si>
    <t>Han Wei Liu chao Lingnan zhi wu "Zhi lu" ji shi / Miao Qiyu, Qiu Zeqi ji shi.</t>
  </si>
  <si>
    <t>Miao, Qiyu.</t>
  </si>
  <si>
    <t>Beijing : Nong ye chu ban she : Xin hua shu dian Beijing fa xing suo fa xing, 1990.</t>
  </si>
  <si>
    <t>3229212504:chi</t>
  </si>
  <si>
    <t>27112152</t>
  </si>
  <si>
    <t>ocm27112152</t>
  </si>
  <si>
    <t>3102190156U</t>
  </si>
  <si>
    <t>9787109010772</t>
  </si>
  <si>
    <t>793259409</t>
  </si>
  <si>
    <t>QK21 G7 R6 1922</t>
  </si>
  <si>
    <t>0                      QK 0021000G  7                  R  6           1922</t>
  </si>
  <si>
    <t>The old English herbals / by Eleanour Sinclair Rohde.</t>
  </si>
  <si>
    <t>Rohde, Eleanour Sinclair.</t>
  </si>
  <si>
    <t>London, England : Longmans, 1922.</t>
  </si>
  <si>
    <t>1296551:eng</t>
  </si>
  <si>
    <t>427827311</t>
  </si>
  <si>
    <t>ocn427827311</t>
  </si>
  <si>
    <t>3001051362Y</t>
  </si>
  <si>
    <t>794699915</t>
  </si>
  <si>
    <t>QK21 G7 S57 1996</t>
  </si>
  <si>
    <t>0                      QK 0021000G  7                  S  57          1996</t>
  </si>
  <si>
    <t>Cultivating women, cultivating science : Flora's daughters and botany in England, 1760-1860 / Ann B. Shteir.</t>
  </si>
  <si>
    <t>Shteir, Ann B., 1941-</t>
  </si>
  <si>
    <t>Baltimore : Johns Hopkins University Press, ©1996.</t>
  </si>
  <si>
    <t>806516838:eng</t>
  </si>
  <si>
    <t>32469608</t>
  </si>
  <si>
    <t>ocm32469608</t>
  </si>
  <si>
    <t>3103451762W</t>
  </si>
  <si>
    <t>9780801851414</t>
  </si>
  <si>
    <t>793385274</t>
  </si>
  <si>
    <t>QK21 S7 B54 2012</t>
  </si>
  <si>
    <t>0                      QK 0021000S  7                  B  54          2012</t>
  </si>
  <si>
    <t>Visible empire : botanical expeditions and visual culture in the Hispanic Enlightenment / Daniela Bleichmar.</t>
  </si>
  <si>
    <t>Bleichmar, Daniela, 1973-</t>
  </si>
  <si>
    <t>Chicago ; London : The University of Chicago Press, 2012.</t>
  </si>
  <si>
    <t>1079761462:eng</t>
  </si>
  <si>
    <t>706965700</t>
  </si>
  <si>
    <t>ocn706965700</t>
  </si>
  <si>
    <t>3103414036U</t>
  </si>
  <si>
    <t>9780226058535</t>
  </si>
  <si>
    <t>794867299</t>
  </si>
  <si>
    <t>QK31 M8 A4 1983</t>
  </si>
  <si>
    <t>0                      QK 0031000M  8                  A  4           1983</t>
  </si>
  <si>
    <t>Archivo epistolar del sabio naturalista don José Celestino Mutis / compilación, prólogo, y notas de Guillermo Hernández de Alba.</t>
  </si>
  <si>
    <t>t. 2</t>
  </si>
  <si>
    <t>Mutis, José Celestino, 1732-1808.</t>
  </si>
  <si>
    <t>Bogotá : Editorial Presencia, 1983.</t>
  </si>
  <si>
    <t>2a ed.</t>
  </si>
  <si>
    <t>2015-04-09</t>
  </si>
  <si>
    <t>14767971:spa</t>
  </si>
  <si>
    <t>23829811</t>
  </si>
  <si>
    <t>ocm23829811</t>
  </si>
  <si>
    <t>3102405632K</t>
  </si>
  <si>
    <t>793182969</t>
  </si>
  <si>
    <t>QK31 M8 P4 1983</t>
  </si>
  <si>
    <t>0                      QK 0031000M  8                  P  4           1983</t>
  </si>
  <si>
    <t>José Celestino Mutis y la Real Expedición Botánica del Nuevo Reino de Granada.</t>
  </si>
  <si>
    <t>Pérez Arbeláez, Enrique, 1896-1972.</t>
  </si>
  <si>
    <t>Bogotá, Antares, Tercer Mundo, 1967.</t>
  </si>
  <si>
    <t>2643437062:spa</t>
  </si>
  <si>
    <t>3238534</t>
  </si>
  <si>
    <t>ocm03238534</t>
  </si>
  <si>
    <t>3102423995Y</t>
  </si>
  <si>
    <t>792233383</t>
  </si>
  <si>
    <t>QK31 T7 R6 1965</t>
  </si>
  <si>
    <t>0                      QK 0031000T  7                  R  6           1965</t>
  </si>
  <si>
    <t>John Torrey; a story of North American botany.</t>
  </si>
  <si>
    <t>Rodgers, Andrew Denny, 1900-1981.</t>
  </si>
  <si>
    <t>New York, Hafner, 1965 [©1942]</t>
  </si>
  <si>
    <t>2016-01-08</t>
  </si>
  <si>
    <t>836675195:eng</t>
  </si>
  <si>
    <t>170727</t>
  </si>
  <si>
    <t>ocm00170727</t>
  </si>
  <si>
    <t>31036435320</t>
  </si>
  <si>
    <t>791279965</t>
  </si>
  <si>
    <t>QK41 T28414 2003</t>
  </si>
  <si>
    <t>0                      QK 0041000T  28414       2003</t>
  </si>
  <si>
    <t>Recherches sur les plantes / Théophraste ; texte établi et traduit par Suzanne Amigues.</t>
  </si>
  <si>
    <t>Paris : Les Belles lettres, 2003-</t>
  </si>
  <si>
    <t>4575230215:fre</t>
  </si>
  <si>
    <t>56791769</t>
  </si>
  <si>
    <t>ocm56791769</t>
  </si>
  <si>
    <t>3102717618U</t>
  </si>
  <si>
    <t>9782251004037</t>
  </si>
  <si>
    <t>793901846</t>
  </si>
  <si>
    <t>3102717627S</t>
  </si>
  <si>
    <t>793901843</t>
  </si>
  <si>
    <t>3102717613U</t>
  </si>
  <si>
    <t>793901847</t>
  </si>
  <si>
    <t>3102717623S</t>
  </si>
  <si>
    <t>793901845</t>
  </si>
  <si>
    <t>3102717632Q</t>
  </si>
  <si>
    <t>793901844</t>
  </si>
  <si>
    <t>QK45.2 H32513 2002</t>
  </si>
  <si>
    <t>0                      QK 0045200H  32513       2002</t>
  </si>
  <si>
    <t>In praise of plants / Francis Hallé ; translated and with a foreword by David Lee.</t>
  </si>
  <si>
    <t>Hallé, Francis.</t>
  </si>
  <si>
    <t>Portland : Timber Press, 2002.</t>
  </si>
  <si>
    <t>1151764453:eng</t>
  </si>
  <si>
    <t>48817346</t>
  </si>
  <si>
    <t>ocm48817346</t>
  </si>
  <si>
    <t>3102312288Z</t>
  </si>
  <si>
    <t>9780881925500</t>
  </si>
  <si>
    <t>793728376</t>
  </si>
  <si>
    <t>QK46.5 H85 W66 2003</t>
  </si>
  <si>
    <t>0                      QK 0046500H  85                 W  66          2003</t>
  </si>
  <si>
    <t>Women &amp; plants : gender relations in biodiversity management and conservation / edited by Patricia L. Howard.</t>
  </si>
  <si>
    <t>London ; New York : Zed Books ; New York : Distributed in the USA exclusively by Palgrave, 2003.</t>
  </si>
  <si>
    <t>891355106:eng</t>
  </si>
  <si>
    <t>123124324</t>
  </si>
  <si>
    <t>ocn123124324</t>
  </si>
  <si>
    <t>3102299946Y</t>
  </si>
  <si>
    <t>9781842771563</t>
  </si>
  <si>
    <t>794223190</t>
  </si>
  <si>
    <t>QK47 C895 1961</t>
  </si>
  <si>
    <t>0                      QK 0047000C  895         1961</t>
  </si>
  <si>
    <t>Introductory botany.</t>
  </si>
  <si>
    <t>Cronquist, Arthur.</t>
  </si>
  <si>
    <t>New York, Harper [1961]</t>
  </si>
  <si>
    <t>1168003:eng</t>
  </si>
  <si>
    <t>421739</t>
  </si>
  <si>
    <t>ocm00421739</t>
  </si>
  <si>
    <t>3100521318I</t>
  </si>
  <si>
    <t>791374143</t>
  </si>
  <si>
    <t>QK47 E56 2000</t>
  </si>
  <si>
    <t>0                      QK 0047000E  56          2000</t>
  </si>
  <si>
    <t>Plant life / Roland Ennos and Elizabeth Sheffield.</t>
  </si>
  <si>
    <t>Ennos, A. R.</t>
  </si>
  <si>
    <t>Oxford ; Malden, MA : Blackwell Science, 2000.</t>
  </si>
  <si>
    <t>44273728:eng</t>
  </si>
  <si>
    <t>43526756</t>
  </si>
  <si>
    <t>ocm43526756</t>
  </si>
  <si>
    <t>3102119976W</t>
  </si>
  <si>
    <t>9780865427372</t>
  </si>
  <si>
    <t>793628650</t>
  </si>
  <si>
    <t>QK47 R25 1986</t>
  </si>
  <si>
    <t>0                      QK 0047000R  25          1986</t>
  </si>
  <si>
    <t>Biology of plants / Peter H. Raven, Ray F. Evert, Susan E. Eichhorn.</t>
  </si>
  <si>
    <t>Raven, Peter H.</t>
  </si>
  <si>
    <t>New York, N.Y. : Worth Publishers, ©1986.</t>
  </si>
  <si>
    <t>1036692:eng</t>
  </si>
  <si>
    <t>13720852</t>
  </si>
  <si>
    <t>ocm13720852</t>
  </si>
  <si>
    <t>3100010216Z</t>
  </si>
  <si>
    <t>9780879013158</t>
  </si>
  <si>
    <t>792864212</t>
  </si>
  <si>
    <t>QK50 H63 2013</t>
  </si>
  <si>
    <t>0                      QK 0050000H  63          2013</t>
  </si>
  <si>
    <t>Practical botany for gardeners : over 3,000 botanical terms explained and explored / Geoff Hodge.</t>
  </si>
  <si>
    <t>Hodge, Geoff, author.</t>
  </si>
  <si>
    <t>Chicago ; London : The University of Chicago Press, 2013.</t>
  </si>
  <si>
    <t>1789520390:eng</t>
  </si>
  <si>
    <t>841892474</t>
  </si>
  <si>
    <t>ocn841892474</t>
  </si>
  <si>
    <t>31037482644</t>
  </si>
  <si>
    <t>9780226093932</t>
  </si>
  <si>
    <t>794947176</t>
  </si>
  <si>
    <t>QK50 P58 1999</t>
  </si>
  <si>
    <t>0                      QK 0050000P  58          1999</t>
  </si>
  <si>
    <t>La plus belle histoire des plantes : les racines de notre vie / Jean-Marie Pelt [and others].</t>
  </si>
  <si>
    <t>Paris : Editions du Seuil, ©1999.</t>
  </si>
  <si>
    <t>56423240:fre</t>
  </si>
  <si>
    <t>41279865</t>
  </si>
  <si>
    <t>ocm41279865</t>
  </si>
  <si>
    <t>3102305822M</t>
  </si>
  <si>
    <t>9782020372169</t>
  </si>
  <si>
    <t>793588134</t>
  </si>
  <si>
    <t>QK73 I82 U556 2013</t>
  </si>
  <si>
    <t>0                      QK 0073000I  82                 U  556         2013</t>
  </si>
  <si>
    <t>1545 the hortus simplicium of Padova : the oldest university botanical garden in the world / Italian text by Martino Perti ; English translation by Gabriel Walton.</t>
  </si>
  <si>
    <t>Perti, Martino.</t>
  </si>
  <si>
    <t>Padova, Italy : Padova University Press, 2013.</t>
  </si>
  <si>
    <t>1324568813:eng</t>
  </si>
  <si>
    <t>843442050</t>
  </si>
  <si>
    <t>ocn843442050</t>
  </si>
  <si>
    <t>31035567812</t>
  </si>
  <si>
    <t>9788897385547</t>
  </si>
  <si>
    <t>794948061</t>
  </si>
  <si>
    <t>QK73 K4 T8 1959</t>
  </si>
  <si>
    <t>0                      QK 0073000K  4                  T  8           1959</t>
  </si>
  <si>
    <t>The Royal Botanic Gardens; Kew, past and present.</t>
  </si>
  <si>
    <t>Turrill, W. B. (William Bertram), 1890-1961.</t>
  </si>
  <si>
    <t>London, H. Jenkins [1959]</t>
  </si>
  <si>
    <t>3855361318:eng</t>
  </si>
  <si>
    <t>11867079</t>
  </si>
  <si>
    <t>ocm11867079</t>
  </si>
  <si>
    <t>3102964417B</t>
  </si>
  <si>
    <t>792791740</t>
  </si>
  <si>
    <t>QK93 J85 I789a</t>
  </si>
  <si>
    <t>0                      QK 0093000J  85                 I  789a</t>
  </si>
  <si>
    <t>Genera plantarum / with an introduction by Frans A. Stafleu.</t>
  </si>
  <si>
    <t>Jussieu, Antoine Laurent de, 1748-1836.</t>
  </si>
  <si>
    <t>Weinheim : J. Cramer ; New York : Stechert-Hafner Service Agency, 1964.</t>
  </si>
  <si>
    <t>Historiae naturalis classica ; t. 35</t>
  </si>
  <si>
    <t>2044266585:lat</t>
  </si>
  <si>
    <t>315729</t>
  </si>
  <si>
    <t>ocm00315729</t>
  </si>
  <si>
    <t>3001048045H</t>
  </si>
  <si>
    <t>791334317</t>
  </si>
  <si>
    <t>QK98.18 B38 2015</t>
  </si>
  <si>
    <t>0                      QK 0098180B  38          2015</t>
  </si>
  <si>
    <t>The Bauers : Joseph, Franz &amp; Ferdinand : masters of botanical illustration : an illustrated biography / Hans Walter Lack.</t>
  </si>
  <si>
    <t>Lack, H. Walter, author.</t>
  </si>
  <si>
    <t>Munich : Prestel, [2015]</t>
  </si>
  <si>
    <t>2902620265:eng</t>
  </si>
  <si>
    <t>927293448</t>
  </si>
  <si>
    <t>ocn927293448</t>
  </si>
  <si>
    <t>31036549273</t>
  </si>
  <si>
    <t>9783791354897</t>
  </si>
  <si>
    <t>795005799</t>
  </si>
  <si>
    <t>QK98.18 K73 1996</t>
  </si>
  <si>
    <t>0                      QK 0098180K  73          1996</t>
  </si>
  <si>
    <t>Women of flowers : a tribute to Victorian women illustrators / by Jack Kramer ; photographed by Eric Strachan ; designed by Mary Tiegreen ; edited by Linda Sunshine.</t>
  </si>
  <si>
    <t>Kramer, Jack, 1927-</t>
  </si>
  <si>
    <t>New York : Stewart, Tabori &amp; Chang, 1996.</t>
  </si>
  <si>
    <t>2017-11-19</t>
  </si>
  <si>
    <t>35011224:eng</t>
  </si>
  <si>
    <t>34590971</t>
  </si>
  <si>
    <t>ocm34590971</t>
  </si>
  <si>
    <t>31029644229</t>
  </si>
  <si>
    <t>9781556704970</t>
  </si>
  <si>
    <t>793430657</t>
  </si>
  <si>
    <t>QK98.2 K33 1982</t>
  </si>
  <si>
    <t>0                      QK 0098200K  33          1982</t>
  </si>
  <si>
    <t>The illustration of plants &amp; gardens, 1500-1850 / Vera Kaden.</t>
  </si>
  <si>
    <t>Kaden, Vera C.</t>
  </si>
  <si>
    <t>London : H.M.S.O., 1982.</t>
  </si>
  <si>
    <t>20020651:eng</t>
  </si>
  <si>
    <t>11573495</t>
  </si>
  <si>
    <t>ocm11573495</t>
  </si>
  <si>
    <t>31029644279</t>
  </si>
  <si>
    <t>9780112903314</t>
  </si>
  <si>
    <t>792778901</t>
  </si>
  <si>
    <t>QK98.3 F57 2013</t>
  </si>
  <si>
    <t>0                      QK 0098300F  57          2013</t>
  </si>
  <si>
    <t>The golden age of flowers : botanical illustration in the age of discovery 1600-1800 / Celia Fisher.</t>
  </si>
  <si>
    <t>Fisher, Celia.</t>
  </si>
  <si>
    <t>London : British Library, 2013.</t>
  </si>
  <si>
    <t>1020784046:eng</t>
  </si>
  <si>
    <t>828037165</t>
  </si>
  <si>
    <t>ocn828037165</t>
  </si>
  <si>
    <t>31035523187</t>
  </si>
  <si>
    <t>9780712358958</t>
  </si>
  <si>
    <t>794940589</t>
  </si>
  <si>
    <t>QK98.4 C46 W55 1981</t>
  </si>
  <si>
    <t>0                      QK 0098400C  46                 W  55          1981</t>
  </si>
  <si>
    <t>The useful plants of Central America / Louis O. Williams.</t>
  </si>
  <si>
    <t>Williams, Louis O., 1908-1991.</t>
  </si>
  <si>
    <t>Tegucigalpa, Honduras : Escuela Agrícola Panamericana, 1981.</t>
  </si>
  <si>
    <t>Ceiba ; v. 24 no. 1-4</t>
  </si>
  <si>
    <t>5474576:eng</t>
  </si>
  <si>
    <t>427220658</t>
  </si>
  <si>
    <t>ocn427220658</t>
  </si>
  <si>
    <t>3001028053U</t>
  </si>
  <si>
    <t>794546326</t>
  </si>
  <si>
    <t>QK98.5 C3 L37 2016</t>
  </si>
  <si>
    <t>0                      QK 0098500C  3                  L  37          2016</t>
  </si>
  <si>
    <t>Plantes comestibles et médicinales de la forêt boréale et bienfaits du chaga / Roger Larivière ; collaborateurs, Anabelle Gagnon, Louis-Joseph Beauchamp, Irène Breton.</t>
  </si>
  <si>
    <t>Larivière, Roger, 1949-, author.</t>
  </si>
  <si>
    <t>Rouyn-Noranda (Québec) : l'ABC de l'édition, [2016]</t>
  </si>
  <si>
    <t>Collection Guides nature</t>
  </si>
  <si>
    <t>2951136695:fre</t>
  </si>
  <si>
    <t>1039097640</t>
  </si>
  <si>
    <t>on1039097640</t>
  </si>
  <si>
    <t>3103767555N</t>
  </si>
  <si>
    <t>9782922952865</t>
  </si>
  <si>
    <t>795058779</t>
  </si>
  <si>
    <t>QK98.5 R6 K47 2000</t>
  </si>
  <si>
    <t>0                      QK 0098500R  6                  K  47          2000</t>
  </si>
  <si>
    <t>Edible &amp; medicinal plants of the Rockies / Linda Kershaw.</t>
  </si>
  <si>
    <t>Kershaw, Linda, 1951-</t>
  </si>
  <si>
    <t>Edmonton : Lone Pine Pub., 2000.</t>
  </si>
  <si>
    <t>17115578:eng</t>
  </si>
  <si>
    <t>43847018</t>
  </si>
  <si>
    <t>ocm43847018</t>
  </si>
  <si>
    <t>3102997323M</t>
  </si>
  <si>
    <t>9781551052298</t>
  </si>
  <si>
    <t>793636715</t>
  </si>
  <si>
    <t>QK99 A1 M67</t>
  </si>
  <si>
    <t>0                      QK 0099000A  1                  M  67</t>
  </si>
  <si>
    <t>Major medicinal plants : botany, culture, and uses / by Julia F. Morton.</t>
  </si>
  <si>
    <t>Morton, Julia F. (Julia Francis), 1912-1996.</t>
  </si>
  <si>
    <t>Springfield, Ill. : Thomas, ©1977.</t>
  </si>
  <si>
    <t>1006963395:eng</t>
  </si>
  <si>
    <t>2837476</t>
  </si>
  <si>
    <t>ocm02837476</t>
  </si>
  <si>
    <t>3001036152W</t>
  </si>
  <si>
    <t>9780398036737</t>
  </si>
  <si>
    <t>792183469</t>
  </si>
  <si>
    <t>QK99 C3 G73 2011</t>
  </si>
  <si>
    <t>0                      QK 0099000C  3                  G  73          2011</t>
  </si>
  <si>
    <t>The boreal herbal : wild food and medicine plants of the North / Beverley Gray.</t>
  </si>
  <si>
    <t>Gray, Beverley, 1966- author.</t>
  </si>
  <si>
    <t>Whitehorse, Yukon : Aroma Borealis Press, c2011.</t>
  </si>
  <si>
    <t>Occasional publication ; no. 70</t>
  </si>
  <si>
    <t>771740646:eng</t>
  </si>
  <si>
    <t>697934423</t>
  </si>
  <si>
    <t>ocn697934423</t>
  </si>
  <si>
    <t>31033271856</t>
  </si>
  <si>
    <t>9781896445564</t>
  </si>
  <si>
    <t>794860470</t>
  </si>
  <si>
    <t>QK99 C448 D85 1985</t>
  </si>
  <si>
    <t>0                      QK 0099000C  448                D  85          1985</t>
  </si>
  <si>
    <t>Medicinal plants of China / James A. Duke, Edward S. Ayensu.</t>
  </si>
  <si>
    <t>Duke, James A., 1929-2017.</t>
  </si>
  <si>
    <t>Algonac, Mich. : Reference Publications, 1985.</t>
  </si>
  <si>
    <t>Medicinal plants of the world ; no. 4</t>
  </si>
  <si>
    <t>2897532:eng</t>
  </si>
  <si>
    <t>10558661</t>
  </si>
  <si>
    <t>ocm10558661</t>
  </si>
  <si>
    <t>3001030313R</t>
  </si>
  <si>
    <t>9780917256202</t>
  </si>
  <si>
    <t>792731939</t>
  </si>
  <si>
    <t>31006695743</t>
  </si>
  <si>
    <t>792731938</t>
  </si>
  <si>
    <t>QK99 C448 I55 2012</t>
  </si>
  <si>
    <t>0                      QK 0099000C  448                I  55          2012</t>
  </si>
  <si>
    <t>An illustrated manual of the commonly used chinese materia medica / Zhang Gui-jun ; edited by Carl Stimson.</t>
  </si>
  <si>
    <t>Beijing : People's medical Publishing House, 2012.</t>
  </si>
  <si>
    <t>2032431055:eng</t>
  </si>
  <si>
    <t>884353856</t>
  </si>
  <si>
    <t>ocn884353856</t>
  </si>
  <si>
    <t>3103578397V</t>
  </si>
  <si>
    <t>9787117153485</t>
  </si>
  <si>
    <t>794976311</t>
  </si>
  <si>
    <t>QK99 K213 1968a</t>
  </si>
  <si>
    <t>0                      QK 0099000K  213         1968a</t>
  </si>
  <si>
    <t>Hawaiian herbs of medicinal value found among the mountains and elsewhere in the Hawaiian Islands, and known to the Hawaiians to possess curative and palliative properties most effective in removing physical ailments. Translated by Akaiko Akana, from the original compilations of D.M. Kaaiakamanu and J.K. Akina. Classification of herbs made by H.F. Bergman. Honolulu, Pacific Book House.</t>
  </si>
  <si>
    <t>Kaaiakamanu, D. M.</t>
  </si>
  <si>
    <t>Rutland, Vt., C.E. Tuttle Co. [1972]</t>
  </si>
  <si>
    <t>1182459:eng</t>
  </si>
  <si>
    <t>309413</t>
  </si>
  <si>
    <t>ocm00309413</t>
  </si>
  <si>
    <t>30010325260</t>
  </si>
  <si>
    <t>9780804810197</t>
  </si>
  <si>
    <t>791331992</t>
  </si>
  <si>
    <t>QK99 U6 J64 2018</t>
  </si>
  <si>
    <t>0                      QK 0099000U  6                  J  64          2018</t>
  </si>
  <si>
    <t>American Eden : David Hosack, botany, and medicine in the garden of the early republic / Victoria Johnson.</t>
  </si>
  <si>
    <t>Johnson, Victoria, 1969- author.</t>
  </si>
  <si>
    <t>New York, NY : Liveright Publishing Corporation, [2018]</t>
  </si>
  <si>
    <t>5089063084:eng</t>
  </si>
  <si>
    <t>1005117933</t>
  </si>
  <si>
    <t>on1005117933</t>
  </si>
  <si>
    <t>31039035218</t>
  </si>
  <si>
    <t>9781631494192</t>
  </si>
  <si>
    <t>795042435</t>
  </si>
  <si>
    <t>QK100 A1 B57 1990</t>
  </si>
  <si>
    <t>0                      QK 0100000A  1                  B  57          1990</t>
  </si>
  <si>
    <t>Poisonous and medicinal plants / Will H. Blackwell ; illustrations by Thomas J. Cobbe ; chapter 5 written by Martha J. Powell.</t>
  </si>
  <si>
    <t>Blackwell, Will H., 1939-</t>
  </si>
  <si>
    <t>Englewood Cliffs, N.J. : Prentice Hall, ©1990.</t>
  </si>
  <si>
    <t>Prentice Hall advanced reference series. Physical and life sciences</t>
  </si>
  <si>
    <t>21126063:eng</t>
  </si>
  <si>
    <t>19352728</t>
  </si>
  <si>
    <t>ocm19352728</t>
  </si>
  <si>
    <t>3102167263C</t>
  </si>
  <si>
    <t>9780136841272</t>
  </si>
  <si>
    <t>793055033</t>
  </si>
  <si>
    <t>QK100 U6 M67</t>
  </si>
  <si>
    <t>0                      QK 0100000U  6                  M  67</t>
  </si>
  <si>
    <t>Plants poisonous to people in Florida and other warm areas, by Julia F. Morton. With 48 color photos. by the author.</t>
  </si>
  <si>
    <t>Miami, Fla., Hurricane House, 1971.</t>
  </si>
  <si>
    <t>1442753:eng</t>
  </si>
  <si>
    <t>333539</t>
  </si>
  <si>
    <t>ocm00333539</t>
  </si>
  <si>
    <t>3001046801F</t>
  </si>
  <si>
    <t>791340682</t>
  </si>
  <si>
    <t>QK110 G84 1985</t>
  </si>
  <si>
    <t>0                      QK 0110000G  84          1985</t>
  </si>
  <si>
    <t>Plantes sauvages du bord de la mer : guide d'identification Fleurbec.</t>
  </si>
  <si>
    <t>Groupe Fleurbec.</t>
  </si>
  <si>
    <t>Saint-Augustin, Québec : Fleurbec, 1985.</t>
  </si>
  <si>
    <t>116127867:fre</t>
  </si>
  <si>
    <t>317555662</t>
  </si>
  <si>
    <t>ocn317555662</t>
  </si>
  <si>
    <t>30010390011</t>
  </si>
  <si>
    <t>9782920174085</t>
  </si>
  <si>
    <t>794454385</t>
  </si>
  <si>
    <t>QK110 R436 2009</t>
  </si>
  <si>
    <t>0                      QK 0110000R  436         2009</t>
  </si>
  <si>
    <t>620 wild plants of North America : fully illustrated / Tom Reaume.</t>
  </si>
  <si>
    <t>Reaume, Tom, 1944- author, illustrator.</t>
  </si>
  <si>
    <t>Regina, SK : Canadian Plains Research Center, University of Regina ; Toronto, ON : Distributed by University of Toronto Press, 2009.</t>
  </si>
  <si>
    <t>Canadian plains studies, 0317-6290 ; 57</t>
  </si>
  <si>
    <t>892160582:eng</t>
  </si>
  <si>
    <t>298591568</t>
  </si>
  <si>
    <t>ocn298591568</t>
  </si>
  <si>
    <t>3102709436T</t>
  </si>
  <si>
    <t>9780889772144</t>
  </si>
  <si>
    <t>794427988</t>
  </si>
  <si>
    <t>QK115 P46 1988</t>
  </si>
  <si>
    <t>0                      QK 0115000P  46          1988</t>
  </si>
  <si>
    <t>A field guide to eastern trees : eastern United States and Canada / George A. Petrides ; illustrated by Janet Wehr.</t>
  </si>
  <si>
    <t>Petrides, George A.</t>
  </si>
  <si>
    <t>Boston : Houghton Mifflin, 1988.</t>
  </si>
  <si>
    <t>The Peterson field guide series ; 11</t>
  </si>
  <si>
    <t>10141289649:eng</t>
  </si>
  <si>
    <t>16523490</t>
  </si>
  <si>
    <t>ocm16523490</t>
  </si>
  <si>
    <t>3001053356J</t>
  </si>
  <si>
    <t>9780395467305</t>
  </si>
  <si>
    <t>792964621</t>
  </si>
  <si>
    <t>QK115 P46 1998</t>
  </si>
  <si>
    <t>0                      QK 0115000P  46          1998</t>
  </si>
  <si>
    <t>A field guide to eastern trees : eastern United States and Canada, including the Midwest / George A. Petrides ; illustrated by Janet Wehr.</t>
  </si>
  <si>
    <t>Petrides, George A., author.</t>
  </si>
  <si>
    <t>Boston : Houghton Mifflin, [1998]</t>
  </si>
  <si>
    <t>First edition, expanded.</t>
  </si>
  <si>
    <t>38535978</t>
  </si>
  <si>
    <t>ocm38535978</t>
  </si>
  <si>
    <t>3101943986U</t>
  </si>
  <si>
    <t>9780395904558</t>
  </si>
  <si>
    <t>793526320</t>
  </si>
  <si>
    <t>QK125 S64 1972</t>
  </si>
  <si>
    <t>0                      QK 0125000S  64          1972</t>
  </si>
  <si>
    <t>Manual of the southeastern flora; being descriptions of the seed plants growing naturally in Florida, Alabama, Mississippi, eastern Louisiana, Tennessee, North Carolina, South Carolina and Georgia.(Facsimile reprint of the 1933 edition).</t>
  </si>
  <si>
    <t>Small, John Kunkel, 1869-1938.</t>
  </si>
  <si>
    <t>New York, Hafner Pub. Co., 1972.</t>
  </si>
  <si>
    <t>2017-04-07</t>
  </si>
  <si>
    <t>8961002388:eng</t>
  </si>
  <si>
    <t>354361</t>
  </si>
  <si>
    <t>ocm00354361</t>
  </si>
  <si>
    <t>3100921698S</t>
  </si>
  <si>
    <t>791348418</t>
  </si>
  <si>
    <t>3100921697U</t>
  </si>
  <si>
    <t>791348417</t>
  </si>
  <si>
    <t>QK149 B29 2010</t>
  </si>
  <si>
    <t>0                      QK 0149000B  29          2010</t>
  </si>
  <si>
    <t>Botanical serigraphs : the Gene Bauer collection.</t>
  </si>
  <si>
    <t>Bauer, Gene, 1926-</t>
  </si>
  <si>
    <t>Redlands, Calif. : ESRI Press ; [LaVergne, TN] : Distributed to the trade in North America, Ingram Publisher Services, ©2010.</t>
  </si>
  <si>
    <t>312860095:eng</t>
  </si>
  <si>
    <t>424556401</t>
  </si>
  <si>
    <t>ocn424556401</t>
  </si>
  <si>
    <t>3103156111L</t>
  </si>
  <si>
    <t>9781589482531</t>
  </si>
  <si>
    <t>794506845</t>
  </si>
  <si>
    <t>QK164 H35 1998</t>
  </si>
  <si>
    <t>0                      QK 0164000H  35          1998</t>
  </si>
  <si>
    <t>Flora of Maine : a manual for identification of native and naturalized vascular plants of Maine / Arthur Haines, Thomas F. Vining.</t>
  </si>
  <si>
    <t>Haines, Arthur.</t>
  </si>
  <si>
    <t>Bar Harbor, Me. : V.F. Thomas Co., ©1998.</t>
  </si>
  <si>
    <t>890669497:eng</t>
  </si>
  <si>
    <t>39947693</t>
  </si>
  <si>
    <t>ocm39947693</t>
  </si>
  <si>
    <t>3102245121T</t>
  </si>
  <si>
    <t>9780966487404</t>
  </si>
  <si>
    <t>793557589</t>
  </si>
  <si>
    <t>QK201 B54 v. 1</t>
  </si>
  <si>
    <t>0                      QK 0201000B  54                                                      v. 1</t>
  </si>
  <si>
    <t>Vegetation of the northern Yukon Territory / Loren Hettinger, Arnold Janz, Ross W. Wein ; prepared by Northern Engineering Services Company Limited.</t>
  </si>
  <si>
    <t>Hettinger, Loren.</t>
  </si>
  <si>
    <t>[Calgary] : Canadian Arctic Gas Study ; [Place of publication not identified] : Alaskan Arctic Gas Study Co., 1973.</t>
  </si>
  <si>
    <t>Biological report series ; v. 1</t>
  </si>
  <si>
    <t>2082228:eng</t>
  </si>
  <si>
    <t>1152241</t>
  </si>
  <si>
    <t>ocm01152241</t>
  </si>
  <si>
    <t>3100673847I</t>
  </si>
  <si>
    <t>791558387</t>
  </si>
  <si>
    <t>QK201 B54 v. 8</t>
  </si>
  <si>
    <t>0                      QK 0201000B  54                                                      v. 8</t>
  </si>
  <si>
    <t>A study of furbearers associated with proposed pipeline routes in the Yukon Territory and Mackenzie River Valley, 1971 / R.A. Ruttan, D.R. Wooley ; prepared by Renewable Resources Consulting Services Ltd.</t>
  </si>
  <si>
    <t>v. 8*</t>
  </si>
  <si>
    <t>Ruttan, Robert A.</t>
  </si>
  <si>
    <t>[Calgary] : Canadian Arctic Gas Study Ltd. ; [Anchorage?] : Alaskan Arctic Gas Study Co., 1974.</t>
  </si>
  <si>
    <t>Biological report series ; v. 8</t>
  </si>
  <si>
    <t>2086863:eng</t>
  </si>
  <si>
    <t>1155138</t>
  </si>
  <si>
    <t>ocm01155138</t>
  </si>
  <si>
    <t>3001053636D</t>
  </si>
  <si>
    <t>791559188</t>
  </si>
  <si>
    <t>QK201 B54 v. 9</t>
  </si>
  <si>
    <t>0                      QK 0201000B  54                                                      v. 9</t>
  </si>
  <si>
    <t>Studies of furbearers associated with proposed pipeline routes in the Yukon and Northwest Territories / edited by R.A. Ruttan, D.R. Wooley ; prepared by Renewable Resources Consulting Services Ltd.</t>
  </si>
  <si>
    <t>v. 9*</t>
  </si>
  <si>
    <t>[Calgary] : Canadian Arctic Gas Study ; [Place of publication not identified] : Alaskan Arctic Gas Study Co., 1974.</t>
  </si>
  <si>
    <t>Biological report series ; v. 9</t>
  </si>
  <si>
    <t>2017-10-15</t>
  </si>
  <si>
    <t>2086964:eng</t>
  </si>
  <si>
    <t>4490209</t>
  </si>
  <si>
    <t>ocm04490209</t>
  </si>
  <si>
    <t>3001053601W</t>
  </si>
  <si>
    <t>792354092</t>
  </si>
  <si>
    <t>QK201 C86 1958</t>
  </si>
  <si>
    <t>0                      QK 0201000C  86          1958</t>
  </si>
  <si>
    <t>Forest flora of Canada. Flore forestière du Canada. By G.C. Cunningham.</t>
  </si>
  <si>
    <t>Cunningham, G. C. (Gilbert C.)</t>
  </si>
  <si>
    <t>[Ottawa] Dept. of Northern Affairs and National Resources, Forestry Branch [1958]</t>
  </si>
  <si>
    <t>Canada. Forestry Branch. Bulletin, 121</t>
  </si>
  <si>
    <t>10177596788:eng</t>
  </si>
  <si>
    <t>927681</t>
  </si>
  <si>
    <t>ocm00927681</t>
  </si>
  <si>
    <t>3001036464D</t>
  </si>
  <si>
    <t>791503924</t>
  </si>
  <si>
    <t>QK203 B7 P36 1994</t>
  </si>
  <si>
    <t>0                      QK 0203000B  7                  P  36          1994</t>
  </si>
  <si>
    <t>Plants of coastal British Columbia : including Washington, Oregon &amp; Alaska / compiled and edited by Jim Pojar and Andy MacKinnon ; written by Paul Alaback ... [et al.].</t>
  </si>
  <si>
    <t>Vancouver : Lone Pine Publishing, 1994.</t>
  </si>
  <si>
    <t>368760612:eng</t>
  </si>
  <si>
    <t>30357486</t>
  </si>
  <si>
    <t>ocm30357486</t>
  </si>
  <si>
    <t>31017024147</t>
  </si>
  <si>
    <t>9781551050423</t>
  </si>
  <si>
    <t>793333326</t>
  </si>
  <si>
    <t>QK203 B7 P47 1996</t>
  </si>
  <si>
    <t>0                      QK 0203000B  7                  P  47          1996</t>
  </si>
  <si>
    <t>Plants of southern interior British Columbia / edited by Roberta Parish, Ray Coupé and Dennis Lloyd ; written by Joe Antos [and others].</t>
  </si>
  <si>
    <t>Vancouver, BC ; Redmond, WA : Lone Pine, 1996.</t>
  </si>
  <si>
    <t>477495815:eng</t>
  </si>
  <si>
    <t>39006980</t>
  </si>
  <si>
    <t>ocm39006980</t>
  </si>
  <si>
    <t>3101707492$</t>
  </si>
  <si>
    <t>9781551050577</t>
  </si>
  <si>
    <t>793535632</t>
  </si>
  <si>
    <t>QK203 O6 F53 1983</t>
  </si>
  <si>
    <t>0                      QK 0203000O  6                  F  53          1983</t>
  </si>
  <si>
    <t>Field guide to forest ecosystem classification for the clay belt, site region 3e / by R. Keith Jones [and others].</t>
  </si>
  <si>
    <t>[Ontario] : Ministry of Natural Resources, ©1983-</t>
  </si>
  <si>
    <t>2004-09-07</t>
  </si>
  <si>
    <t>4066519451:eng</t>
  </si>
  <si>
    <t>13058728</t>
  </si>
  <si>
    <t>ocm13058728</t>
  </si>
  <si>
    <t>31023799333</t>
  </si>
  <si>
    <t>9780774381949</t>
  </si>
  <si>
    <t>792838672</t>
  </si>
  <si>
    <t>QK203 P7 B8 1979</t>
  </si>
  <si>
    <t>0                      QK 0203000P  7                  B  8           1979</t>
  </si>
  <si>
    <t>Budd's Flora of the Canadian prairie provinces.</t>
  </si>
  <si>
    <t>Budd, A. C. (Archibald Charles), 1889-1960.</t>
  </si>
  <si>
    <t>[Ottawa] : Research Branch, Agriculture Canada ; Hull, Québec : Available from Canadian Govt. Pub. Centre, Supply and Services Canada, 1979.</t>
  </si>
  <si>
    <t>Rev. and enl. / by J. Looman and K.F. Best.</t>
  </si>
  <si>
    <t>Publication - Agriculture Canada ; 1662</t>
  </si>
  <si>
    <t>2016-09-28</t>
  </si>
  <si>
    <t>5615654073:eng</t>
  </si>
  <si>
    <t>6249756</t>
  </si>
  <si>
    <t>ocm06249756</t>
  </si>
  <si>
    <t>3001031350G</t>
  </si>
  <si>
    <t>9780660102337</t>
  </si>
  <si>
    <t>792485693</t>
  </si>
  <si>
    <t>QK203 P7 B8 1987</t>
  </si>
  <si>
    <t>0                      QK 0203000P  7                  B  8           1987</t>
  </si>
  <si>
    <t>Budd's flora of the Canadian prairie provinces.</t>
  </si>
  <si>
    <t>[Ottawa] : Research Branch, Agriculture Canada ; Hull, Quebec, Canada : Available from Canadian Government Pub. Centre, ©1987.</t>
  </si>
  <si>
    <t>Publication / Research Branch, Agriculture Canada ; 1662</t>
  </si>
  <si>
    <t>2001-01-12</t>
  </si>
  <si>
    <t>22339480</t>
  </si>
  <si>
    <t>ocm22339480</t>
  </si>
  <si>
    <t>3001040252F</t>
  </si>
  <si>
    <t>793141138</t>
  </si>
  <si>
    <t>QK203 Q4 B585 1989</t>
  </si>
  <si>
    <t>0                      QK 0203000Q  4                  B  585         1989</t>
  </si>
  <si>
    <t>La flore vasculaire de la région d'Ivujivik incluant Wolstenholme (Nouveau-Québec) et les îles Digges (Territoires du Nord-Ouest) / par Marcel Blondeau.</t>
  </si>
  <si>
    <t>Blondeau, Marcel, 1936-</t>
  </si>
  <si>
    <t>Québec, Canada : Herbier Louis-Marie, Faculté des sciences de l'agriculture et de l'alimentation, Université Laval, 1989.</t>
  </si>
  <si>
    <t>Provancheria ; no 22</t>
  </si>
  <si>
    <t>30875616:fre</t>
  </si>
  <si>
    <t>21793193</t>
  </si>
  <si>
    <t>ocm21793193</t>
  </si>
  <si>
    <t>3103635648E</t>
  </si>
  <si>
    <t>793127664</t>
  </si>
  <si>
    <t>QK203 Q4 M3x</t>
  </si>
  <si>
    <t>0                      QK 0203000Q  4                  M  3x</t>
  </si>
  <si>
    <t>Flore de l'Anticosti-Minganie. Par Frère Marie-Victorin et Frère Rolland-Germain.</t>
  </si>
  <si>
    <t>Marie-Victorin, frère, E.C., 1885-1944.</t>
  </si>
  <si>
    <t>Montreal, Les Presses de l'Université de Montreal, 1969.</t>
  </si>
  <si>
    <t>1648666:fre</t>
  </si>
  <si>
    <t>709172</t>
  </si>
  <si>
    <t>ocm00709172</t>
  </si>
  <si>
    <t>3001045617D</t>
  </si>
  <si>
    <t>791451692</t>
  </si>
  <si>
    <t>QK205 F66 2004</t>
  </si>
  <si>
    <t>0                      QK 0205000F  66          2004</t>
  </si>
  <si>
    <t>Flowering plants of the Neotropics / edited by Nathan P. Smith [and others].</t>
  </si>
  <si>
    <t>Princeton : Princeton University Press, published in association with the New York Botanical Garden, ©2004.</t>
  </si>
  <si>
    <t>56904733:eng</t>
  </si>
  <si>
    <t>51886443</t>
  </si>
  <si>
    <t>ocm51886443</t>
  </si>
  <si>
    <t>31023257725</t>
  </si>
  <si>
    <t>9780691116945</t>
  </si>
  <si>
    <t>793793471</t>
  </si>
  <si>
    <t>QK217 H335 2000</t>
  </si>
  <si>
    <t>0                      QK 0217000H  335         2000</t>
  </si>
  <si>
    <t>An introduction to cloud forest trees : Monteverde, Costa Rica / by William A. Haber, Willow Zuchowski, and Erick Bello ; illustrated by Willow Zuchowski.</t>
  </si>
  <si>
    <t>Haber, William A.</t>
  </si>
  <si>
    <t>Monteverde, Costa Rica : Mountain Gem Pub., ©2000.</t>
  </si>
  <si>
    <t>2nd ed., rev. and updated.</t>
  </si>
  <si>
    <t>145690279:eng</t>
  </si>
  <si>
    <t>44594271</t>
  </si>
  <si>
    <t>ocm44594271</t>
  </si>
  <si>
    <t>3102291696S</t>
  </si>
  <si>
    <t>9789977124186</t>
  </si>
  <si>
    <t>793653968</t>
  </si>
  <si>
    <t>QK231 M35 K56 1988</t>
  </si>
  <si>
    <t>0                      QK 0231000M  35                 K  56          1988</t>
  </si>
  <si>
    <t>Martinique revisited : the changing plant geographies of a West Indian island / by Clarissa Thérèse Kimber.</t>
  </si>
  <si>
    <t>Kimber, C. T. (Clarissa Thérèse), 1929-</t>
  </si>
  <si>
    <t>College Station : Texas A &amp; M University Press, ©1988.</t>
  </si>
  <si>
    <t>8393773:eng</t>
  </si>
  <si>
    <t>15109077</t>
  </si>
  <si>
    <t>ocm15109077</t>
  </si>
  <si>
    <t>3001053850B</t>
  </si>
  <si>
    <t>9780890962978</t>
  </si>
  <si>
    <t>792920544</t>
  </si>
  <si>
    <t>QK241 S67 1908</t>
  </si>
  <si>
    <t>0                      QK 0241000S  67          1908</t>
  </si>
  <si>
    <t>Notes of a botanist on the Amazon and Andes : being records of travel on the Amazon and its tributaries, the Trombetas, Rio Negro, Uaupes, Casiquiari, Pacimoni, Huallaga and Pastasa. Vol. 2 / Richard Spruce ; edited by Alfred Russel Wallace.</t>
  </si>
  <si>
    <t>Spruce, Richard, 1817-1893, author.</t>
  </si>
  <si>
    <t>Cambridge library collection. Botany and horticulture</t>
  </si>
  <si>
    <t>1179474:eng</t>
  </si>
  <si>
    <t>870650248</t>
  </si>
  <si>
    <t>ocn870650248</t>
  </si>
  <si>
    <t>3103607394R</t>
  </si>
  <si>
    <t>9781108069212</t>
  </si>
  <si>
    <t>794966792</t>
  </si>
  <si>
    <t>QK266 W43 2001</t>
  </si>
  <si>
    <t>0                      QK 0266000W  43          2001</t>
  </si>
  <si>
    <t>Plant diversity of an Andean cloud forest : checklist of the vascular flora of Maquipucuna, Ecuador / Grady L. Webster and Robert M. Rhode.</t>
  </si>
  <si>
    <t>Webster, Grady L. (Grady Linder), 1927-</t>
  </si>
  <si>
    <t>University of California publications. Botany ; v. 82</t>
  </si>
  <si>
    <t>34746690:eng</t>
  </si>
  <si>
    <t>45387371</t>
  </si>
  <si>
    <t>ocm45387371</t>
  </si>
  <si>
    <t>3102259966D</t>
  </si>
  <si>
    <t>9780520098305</t>
  </si>
  <si>
    <t>793670471</t>
  </si>
  <si>
    <t>QK281 H48 2000</t>
  </si>
  <si>
    <t>0                      QK 0281000H  48          2000</t>
  </si>
  <si>
    <t>Wild flowers : a photographic guide to the flowers of Britain and Northern Europe / Peter Heukels ; photographs assembled by Natural Image.</t>
  </si>
  <si>
    <t>Heukels, Peter.</t>
  </si>
  <si>
    <t>London : HarperCollins, 2000.</t>
  </si>
  <si>
    <t>Collins wildlife trust guide.</t>
  </si>
  <si>
    <t>3901447709:eng</t>
  </si>
  <si>
    <t>47868697</t>
  </si>
  <si>
    <t>ocm47868697</t>
  </si>
  <si>
    <t>31025039785</t>
  </si>
  <si>
    <t>9780002201391</t>
  </si>
  <si>
    <t>793709783</t>
  </si>
  <si>
    <t>QK315 H87</t>
  </si>
  <si>
    <t>0                      QK 0315000H  87</t>
  </si>
  <si>
    <t>Flowers of Greece and the Aegean / by Anthony Huxley and William Taylor ; with 483 colour illustrations from photographs and 77 line drawings by Victoria Gordon.</t>
  </si>
  <si>
    <t>Huxley, Anthony, 1920-1992.</t>
  </si>
  <si>
    <t>London : Chatto &amp; Windus, 1977.</t>
  </si>
  <si>
    <t>444258:eng</t>
  </si>
  <si>
    <t>3186552</t>
  </si>
  <si>
    <t>ocm03186552</t>
  </si>
  <si>
    <t>3001035833D</t>
  </si>
  <si>
    <t>9780701121907</t>
  </si>
  <si>
    <t>792227112</t>
  </si>
  <si>
    <t>QK332 D3</t>
  </si>
  <si>
    <t>0                      QK 0332000D  3</t>
  </si>
  <si>
    <t>Flora of Turkey and the East Aegean Islands, edited by P.H. Davis, assisted by J. Cullen and M.J.E. Coode.</t>
  </si>
  <si>
    <t>Edinburgh, University Press, [1965]-2000.</t>
  </si>
  <si>
    <t>510090264:eng</t>
  </si>
  <si>
    <t>517726</t>
  </si>
  <si>
    <t>ocm00517726</t>
  </si>
  <si>
    <t>3100673414C</t>
  </si>
  <si>
    <t>9780852242087</t>
  </si>
  <si>
    <t>791401021</t>
  </si>
  <si>
    <t>3100673415A</t>
  </si>
  <si>
    <t>791401020</t>
  </si>
  <si>
    <t>31006734168</t>
  </si>
  <si>
    <t>791401019</t>
  </si>
  <si>
    <t>QK332 P64 1987</t>
  </si>
  <si>
    <t>0                      QK 0332000P  64          1987</t>
  </si>
  <si>
    <t>Flowers of Greece and the Balkans : a field guide / Oleg Polunin ; with 80 pages of illustrations in colour from photographs taken by the author and others ; 28 pages of line drawing by Barbara Everard and Ann Davies ; 34 pages of line drawings by Pat Halliday ; and maps by John Callow.</t>
  </si>
  <si>
    <t>Polunin, Oleg.</t>
  </si>
  <si>
    <t>Oxford [Oxfordshire] ; New York : Oxford University Press, 1987, ©1980.</t>
  </si>
  <si>
    <t>Oxford paperbacks</t>
  </si>
  <si>
    <t>836691515:eng</t>
  </si>
  <si>
    <t>14719248</t>
  </si>
  <si>
    <t>ocm14719248</t>
  </si>
  <si>
    <t>3001053139R</t>
  </si>
  <si>
    <t>9780192819987</t>
  </si>
  <si>
    <t>792900213</t>
  </si>
  <si>
    <t>QK341 Z63</t>
  </si>
  <si>
    <t>0                      QK 0341000Z  63</t>
  </si>
  <si>
    <t>Geobotanical foundations of the Middle East.</t>
  </si>
  <si>
    <t>Zohary, Michael, 1898-1983.</t>
  </si>
  <si>
    <t>Stuttgart, G. Fischer, 1973.</t>
  </si>
  <si>
    <t>Geobotanica selecta, bd. 3</t>
  </si>
  <si>
    <t>121134122:eng</t>
  </si>
  <si>
    <t>641510</t>
  </si>
  <si>
    <t>ocm00641510</t>
  </si>
  <si>
    <t>3001046044T</t>
  </si>
  <si>
    <t>9789026501579</t>
  </si>
  <si>
    <t>791435524</t>
  </si>
  <si>
    <t>3100673421F</t>
  </si>
  <si>
    <t>791435523</t>
  </si>
  <si>
    <t>QK355 B354 2012</t>
  </si>
  <si>
    <t>0                      QK 0355000B  354         2012</t>
  </si>
  <si>
    <t>Beijing huang jia yuan lin shu mu wen hua tu kao / Feng Guangping, Bao Yan, Zhao Jiancheng, Zhao Zhijun deng zhu.</t>
  </si>
  <si>
    <t>Beijing : Ke xue chu ban she, 2012.</t>
  </si>
  <si>
    <t>Zhongguo shu mu wen hua tu kao xi lie</t>
  </si>
  <si>
    <t>1205147059:chi</t>
  </si>
  <si>
    <t>826121373</t>
  </si>
  <si>
    <t>ocn826121373</t>
  </si>
  <si>
    <t>31035540138</t>
  </si>
  <si>
    <t>9787030333797</t>
  </si>
  <si>
    <t>794938975</t>
  </si>
  <si>
    <t>QK355 Q548 2012</t>
  </si>
  <si>
    <t>0                      QK 0355000Q  548         2012</t>
  </si>
  <si>
    <t>Qin Han Shanglinyuan zhi wu tu kao / Feng Guangping [and others] zhu.</t>
  </si>
  <si>
    <t>2048148215:chi</t>
  </si>
  <si>
    <t>812403616</t>
  </si>
  <si>
    <t>ocn812403616</t>
  </si>
  <si>
    <t>3103535660N</t>
  </si>
  <si>
    <t>9787030348319</t>
  </si>
  <si>
    <t>794930939</t>
  </si>
  <si>
    <t>QK355 S488 2012</t>
  </si>
  <si>
    <t>0                      QK 0355000S  488         2012</t>
  </si>
  <si>
    <t>Shi yong Zhong yao yao tu pu / Xu Honghua, Lou Buqing zhu bian.</t>
  </si>
  <si>
    <t>Guangzhou Shi : Guangdong ke ji chu ban she, 2012.</t>
  </si>
  <si>
    <t>Di 1 ban Zhen cang ban.</t>
  </si>
  <si>
    <t>2537462512:chi</t>
  </si>
  <si>
    <t>826303621</t>
  </si>
  <si>
    <t>ocn826303621</t>
  </si>
  <si>
    <t>31035579420</t>
  </si>
  <si>
    <t>9787535953995</t>
  </si>
  <si>
    <t>794939070</t>
  </si>
  <si>
    <t>QK358 R86 1971</t>
  </si>
  <si>
    <t>0                      QK 0358000R  86          1971</t>
  </si>
  <si>
    <t>Flora indica; or, Descriptions of Indian plants.</t>
  </si>
  <si>
    <t>Roxburgh, William, 1751-1815.</t>
  </si>
  <si>
    <t>New Delhi, Today &amp; Tomorrow's Printers &amp; Publishers, 1971.</t>
  </si>
  <si>
    <t>14860241:eng</t>
  </si>
  <si>
    <t>202090</t>
  </si>
  <si>
    <t>ocm00202090</t>
  </si>
  <si>
    <t>3001046052U</t>
  </si>
  <si>
    <t>791292267</t>
  </si>
  <si>
    <t>QK393 S743 1988</t>
  </si>
  <si>
    <t>0                      QK 0393000S  743         1988</t>
  </si>
  <si>
    <t>Flowering plants in West Africa / Margaret Steentoft.</t>
  </si>
  <si>
    <t>Steentoft, Margaret.</t>
  </si>
  <si>
    <t>12491015:eng</t>
  </si>
  <si>
    <t>16581719</t>
  </si>
  <si>
    <t>ocm16581719</t>
  </si>
  <si>
    <t>3103552037C</t>
  </si>
  <si>
    <t>9780521261920</t>
  </si>
  <si>
    <t>792966212</t>
  </si>
  <si>
    <t>QK394 L45 1967</t>
  </si>
  <si>
    <t>0                      QK 0394000L  45          1967</t>
  </si>
  <si>
    <t>The plant ecology of the Southern Kalahari / by O.A. Leistner.</t>
  </si>
  <si>
    <t>Leistner, O. A.</t>
  </si>
  <si>
    <t>Pretoria : Govt. Printer, 1967.</t>
  </si>
  <si>
    <t>Botanical survey memoir ; no. 38</t>
  </si>
  <si>
    <t>5380723:eng</t>
  </si>
  <si>
    <t>12663436</t>
  </si>
  <si>
    <t>ocm12663436</t>
  </si>
  <si>
    <t>3001031055I</t>
  </si>
  <si>
    <t>792822715</t>
  </si>
  <si>
    <t>QK463 C6 1967</t>
  </si>
  <si>
    <t>0                      QK 0463000C  6           1967</t>
  </si>
  <si>
    <t>New Zealand plants and their story / by L. Cockayne.</t>
  </si>
  <si>
    <t>Cockayne, L. (Leonard), 1855-1934.</t>
  </si>
  <si>
    <t>Wellington, N.Z. : Govt. Printer, 1967.</t>
  </si>
  <si>
    <t>4th ed. / edited by E.J. Godley.</t>
  </si>
  <si>
    <t>1495471:eng</t>
  </si>
  <si>
    <t>461022</t>
  </si>
  <si>
    <t>ocm00461022</t>
  </si>
  <si>
    <t>30010272993</t>
  </si>
  <si>
    <t>791384648</t>
  </si>
  <si>
    <t>QK473 G2 M37 1999</t>
  </si>
  <si>
    <t>0                      QK 0473000G  2                  M  37          1999</t>
  </si>
  <si>
    <t>Flowering plants of the Galápagos / Conley K. McMullen ; with a foreword by Sir Ghillean Prance.</t>
  </si>
  <si>
    <t>McMullen, Conley K.</t>
  </si>
  <si>
    <t>9274969:eng</t>
  </si>
  <si>
    <t>41338169</t>
  </si>
  <si>
    <t>ocm41338169</t>
  </si>
  <si>
    <t>3102061599G</t>
  </si>
  <si>
    <t>9780801437106</t>
  </si>
  <si>
    <t>793589373</t>
  </si>
  <si>
    <t>QK473 G2 S36 1984</t>
  </si>
  <si>
    <t>0                      QK 0473000G  2                  S  36          1984</t>
  </si>
  <si>
    <t>Plants of the Galapagos Islands / Eileen K. Schofield ; illustrated by the author.</t>
  </si>
  <si>
    <t>Schofield, Eileen K., 1939-</t>
  </si>
  <si>
    <t>New York : Universe Books, 1984.</t>
  </si>
  <si>
    <t>2856585:eng</t>
  </si>
  <si>
    <t>10751707</t>
  </si>
  <si>
    <t>ocm10751707</t>
  </si>
  <si>
    <t>3001029833$</t>
  </si>
  <si>
    <t>9780876634141</t>
  </si>
  <si>
    <t>792740858</t>
  </si>
  <si>
    <t>QK475 B76</t>
  </si>
  <si>
    <t>0                      QK 0475000B  76</t>
  </si>
  <si>
    <t>L'arbre. Encyclopédie Essentielle.</t>
  </si>
  <si>
    <t>Brosse, Jacques.</t>
  </si>
  <si>
    <t>Paris, Robert Delpire, 1962.</t>
  </si>
  <si>
    <t>Série science no. 15</t>
  </si>
  <si>
    <t>350575651:fre</t>
  </si>
  <si>
    <t>4367769</t>
  </si>
  <si>
    <t>ocm04367769</t>
  </si>
  <si>
    <t>3102338963L</t>
  </si>
  <si>
    <t>792344269</t>
  </si>
  <si>
    <t>QK475 W6413 2016</t>
  </si>
  <si>
    <t>0                      QK 0475000W  6413        2016</t>
  </si>
  <si>
    <t>The hidden life of trees : what they feel, how they communicate : discoveries from a secret world / Peter Wohlleben ; foreword by Tim Flannery ; translation by Jane Billinghurst.</t>
  </si>
  <si>
    <t>Vancouver, BC, Canada : David Suzuki Institute ; Vancouver, BC, Canada ; Berkeley : Greystone Books Ltd, [2016]</t>
  </si>
  <si>
    <t>2860480885:eng</t>
  </si>
  <si>
    <t>933722592</t>
  </si>
  <si>
    <t>ocn933722592</t>
  </si>
  <si>
    <t>3103697180T</t>
  </si>
  <si>
    <t>9781771642484</t>
  </si>
  <si>
    <t>795009360</t>
  </si>
  <si>
    <t>QK475.8 R8855 2016</t>
  </si>
  <si>
    <t>0                      QK 0475800R  8855        2016</t>
  </si>
  <si>
    <t>Treecology : 30 activities and observations for exploring the world of trees and forests / Monica Russo ; photographs by Kevin Byron.</t>
  </si>
  <si>
    <t>Russo, Monica, author.</t>
  </si>
  <si>
    <t>Chicago, Illinois : Chicago Review Press, [2016]</t>
  </si>
  <si>
    <t>Young naturalists series</t>
  </si>
  <si>
    <t>2902706569:eng</t>
  </si>
  <si>
    <t>936255940</t>
  </si>
  <si>
    <t>ocn936255940</t>
  </si>
  <si>
    <t>31036979069</t>
  </si>
  <si>
    <t>9781613733967</t>
  </si>
  <si>
    <t>795010603</t>
  </si>
  <si>
    <t>QK477 S8</t>
  </si>
  <si>
    <t>0                      QK 0477000S  8</t>
  </si>
  <si>
    <t>An introduction to tree-ring dating [by] Marvin A. Stokes and Terah L. Smiley.</t>
  </si>
  <si>
    <t>Stokes, Marvin A.</t>
  </si>
  <si>
    <t>Chicago, University of Chicago Press [1968]</t>
  </si>
  <si>
    <t>2002-09-24</t>
  </si>
  <si>
    <t>1260311:eng</t>
  </si>
  <si>
    <t>203616</t>
  </si>
  <si>
    <t>ocm00203616</t>
  </si>
  <si>
    <t>3000496979Z</t>
  </si>
  <si>
    <t>9780226775401</t>
  </si>
  <si>
    <t>791292615</t>
  </si>
  <si>
    <t>QK481 L49 1980</t>
  </si>
  <si>
    <t>0                      QK 0481000L  49          1980</t>
  </si>
  <si>
    <t>The Audubon Society field guide to North American trees / Elbert L. Little ; photos. by Sonja Bullaty and Angelo Lomeo, and others ; visual key by Susan Rayfield and Olivia Buehl.</t>
  </si>
  <si>
    <t>Vol. 1</t>
  </si>
  <si>
    <t>Little, Elbert L. (Elbert Luther), 1907-2004.</t>
  </si>
  <si>
    <t>New York : Knopf : Distributed by Random House, ©1980.</t>
  </si>
  <si>
    <t>Chanticleer Press ed.</t>
  </si>
  <si>
    <t>National Audubon Society Field Guide series</t>
  </si>
  <si>
    <t>224958442:eng</t>
  </si>
  <si>
    <t>6467607</t>
  </si>
  <si>
    <t>ocm06467607</t>
  </si>
  <si>
    <t>3102132326K</t>
  </si>
  <si>
    <t>9780394507613</t>
  </si>
  <si>
    <t>792501150</t>
  </si>
  <si>
    <t>Vol. 2</t>
  </si>
  <si>
    <t>31007043343</t>
  </si>
  <si>
    <t>792501149</t>
  </si>
  <si>
    <t>QK482 P43 1972</t>
  </si>
  <si>
    <t>0                      QK 0482000P  43          1972</t>
  </si>
  <si>
    <t>A field guide to trees and shrubs; field marks of all trees, shrubs, and woody vines that grow wild in the northeastern and north-central United States and in southeastern and south-central Canada, by George A. Petrides. Illus. by George A. Petrides [and] Roger Tory Peterson.</t>
  </si>
  <si>
    <t>Boston, Houghton Mifflin, 1972.</t>
  </si>
  <si>
    <t>The Peterson field guide series, 11</t>
  </si>
  <si>
    <t>6183068037:eng</t>
  </si>
  <si>
    <t>337071</t>
  </si>
  <si>
    <t>ocm00337071</t>
  </si>
  <si>
    <t>31034759464</t>
  </si>
  <si>
    <t>9780395136515</t>
  </si>
  <si>
    <t>791341902</t>
  </si>
  <si>
    <t>QK484 T2 S8</t>
  </si>
  <si>
    <t>0                      QK 0484000T  2                  S  8</t>
  </si>
  <si>
    <t>Trees, shrubs, and woody vines of Great Smoky Mountains National Park.</t>
  </si>
  <si>
    <t>Stupka, Arthur.</t>
  </si>
  <si>
    <t>Knoxville, University of Tennessee Press, 1964.</t>
  </si>
  <si>
    <t>2016-10-03</t>
  </si>
  <si>
    <t>1287875:eng</t>
  </si>
  <si>
    <t>167607</t>
  </si>
  <si>
    <t>ocm00167607</t>
  </si>
  <si>
    <t>3001048558P</t>
  </si>
  <si>
    <t>791278750</t>
  </si>
  <si>
    <t>QK485 R6</t>
  </si>
  <si>
    <t>0                      QK 0485000R  6</t>
  </si>
  <si>
    <t>Forest regions of Canada / by J.S. Rowe.</t>
  </si>
  <si>
    <t>Rowe, J. S., 1918-2004.</t>
  </si>
  <si>
    <t>Ottawa : Information Canada, 1972.</t>
  </si>
  <si>
    <t>Publication - Canadian Forestry Service ; no. 1300</t>
  </si>
  <si>
    <t>2006-03-29</t>
  </si>
  <si>
    <t>9438371009:eng</t>
  </si>
  <si>
    <t>3670562</t>
  </si>
  <si>
    <t>ocm03670562</t>
  </si>
  <si>
    <t>30010243620</t>
  </si>
  <si>
    <t>792279163</t>
  </si>
  <si>
    <t>QK495 A12 M47 1979</t>
  </si>
  <si>
    <t>0                      QK 0495000A  12                 M  47          1979</t>
  </si>
  <si>
    <t>Anatomy of the dicotyledons / by C.R. Metcalfe and L. Chalk. --.</t>
  </si>
  <si>
    <t>v. 2 (1979)</t>
  </si>
  <si>
    <t>Metcalfe, C. R. (Charles Russell)</t>
  </si>
  <si>
    <t>Oxford : Clarendon Press, 1979-</t>
  </si>
  <si>
    <t>4916057859:eng</t>
  </si>
  <si>
    <t>225870378</t>
  </si>
  <si>
    <t>ocn225870378</t>
  </si>
  <si>
    <t>31006737310</t>
  </si>
  <si>
    <t>9780198543831</t>
  </si>
  <si>
    <t>794342800</t>
  </si>
  <si>
    <t>3100945480N</t>
  </si>
  <si>
    <t>794342799</t>
  </si>
  <si>
    <t>3102406034Y</t>
  </si>
  <si>
    <t>794342798</t>
  </si>
  <si>
    <t>v. 1 (1979)</t>
  </si>
  <si>
    <t>2004-04-08</t>
  </si>
  <si>
    <t>30010266780</t>
  </si>
  <si>
    <t>794342801</t>
  </si>
  <si>
    <t>QK495 C11 A53 2001</t>
  </si>
  <si>
    <t>0                      QK 0495000C  11                 A  53          2001</t>
  </si>
  <si>
    <t>The cactus family / Edward F. Anderson ; with a foreword by Wilhelm Barthlott ; and a chapter on cactus cultivation by Roger Brown.</t>
  </si>
  <si>
    <t>Anderson, Edward F., 1932-2001.</t>
  </si>
  <si>
    <t>Portland, Or. : Timber Press, ©2001.</t>
  </si>
  <si>
    <t>2017-11-17</t>
  </si>
  <si>
    <t>17321178:eng</t>
  </si>
  <si>
    <t>44650974</t>
  </si>
  <si>
    <t>ocm44650974</t>
  </si>
  <si>
    <t>3102173704M</t>
  </si>
  <si>
    <t>9780881924985</t>
  </si>
  <si>
    <t>793655110</t>
  </si>
  <si>
    <t>QK495 C11 B354 1982</t>
  </si>
  <si>
    <t>0                      QK 0495000C  11                 B  354         1982</t>
  </si>
  <si>
    <t>The cacti of the United States and Canada / Lyman Benson ; with line drawings by Lucretia Breazeale Hamilton.</t>
  </si>
  <si>
    <t>Benson, Lyman David, 1909-1993.</t>
  </si>
  <si>
    <t>Stanford, Calif. : Stanford University Press, 1982.</t>
  </si>
  <si>
    <t>43103111:eng</t>
  </si>
  <si>
    <t>8725286</t>
  </si>
  <si>
    <t>ocm08725286</t>
  </si>
  <si>
    <t>3001027346K</t>
  </si>
  <si>
    <t>9780804708630</t>
  </si>
  <si>
    <t>792637659</t>
  </si>
  <si>
    <t>QK495 C74 S45</t>
  </si>
  <si>
    <t>0                      QK 0495000C  74                 S  45</t>
  </si>
  <si>
    <t>Compositae -- Heliantheae -- Coreopsidinae [by] Earl Edward Sherff and Edward Johnston Alexander.</t>
  </si>
  <si>
    <t>Sherff, Earl Edward, 1886-1966.</t>
  </si>
  <si>
    <t>[New York], [New York Botanical Garden], [1955]</t>
  </si>
  <si>
    <t>North American flora. Series 2, pt. 2</t>
  </si>
  <si>
    <t>1767266:eng</t>
  </si>
  <si>
    <t>732543</t>
  </si>
  <si>
    <t>ocm00732543</t>
  </si>
  <si>
    <t>3001037945T</t>
  </si>
  <si>
    <t>791457364</t>
  </si>
  <si>
    <t>QK495 C75 S4 1987</t>
  </si>
  <si>
    <t>0                      QK 0495000C  75                 S  4           1987</t>
  </si>
  <si>
    <t>The asters of Ontario : Aster L. and Virgulus Raf. : (Compositae:Astereae) / by John C. Semple and Stehen B. Heard.</t>
  </si>
  <si>
    <t>Semple, John C.</t>
  </si>
  <si>
    <t>Waterloo, Ont., Canada : Dept. of Biology, University of Waterloo, ©1987.</t>
  </si>
  <si>
    <t>University of Waterloo biology series, 0317-3348 ; no. 30</t>
  </si>
  <si>
    <t>940946635:eng</t>
  </si>
  <si>
    <t>25834546</t>
  </si>
  <si>
    <t>ocm25834546</t>
  </si>
  <si>
    <t>3101145585K</t>
  </si>
  <si>
    <t>793231242</t>
  </si>
  <si>
    <t>QK495 C997 G38 2014</t>
  </si>
  <si>
    <t>0                      QK 0495000C  997                G  38          2014</t>
  </si>
  <si>
    <t>Papyrus : the plant that changed the world, from ancient Egypt to today's water wars / John Gaudet.</t>
  </si>
  <si>
    <t>Gaudet, John J., author.</t>
  </si>
  <si>
    <t>New York, NY : Pegasus Books, 2014.</t>
  </si>
  <si>
    <t>First Pegasus books cloth edition.</t>
  </si>
  <si>
    <t>1854087641:eng</t>
  </si>
  <si>
    <t>875397562</t>
  </si>
  <si>
    <t>ocn875397562</t>
  </si>
  <si>
    <t>3103566183F</t>
  </si>
  <si>
    <t>9781605985664</t>
  </si>
  <si>
    <t>794969413</t>
  </si>
  <si>
    <t>QK495 E68 R53 2007</t>
  </si>
  <si>
    <t>0                      QK 0495000E  68                 R  53          2007</t>
  </si>
  <si>
    <t>Salal : listening for the Northwest understory / Laurie Ricou.</t>
  </si>
  <si>
    <t>Ricou, Laurence.</t>
  </si>
  <si>
    <t>Edmonton : NeWest Press, ©2007.</t>
  </si>
  <si>
    <t>197580919:eng</t>
  </si>
  <si>
    <t>124034526</t>
  </si>
  <si>
    <t>ocn124034526</t>
  </si>
  <si>
    <t>3103038200S</t>
  </si>
  <si>
    <t>9781897126226</t>
  </si>
  <si>
    <t>794229451</t>
  </si>
  <si>
    <t>QK495 O44 F53 1988</t>
  </si>
  <si>
    <t>0                      QK 0495000O  44                 F  53          1988</t>
  </si>
  <si>
    <t>Lilacs, the genus Syringa / by John L. Fiala.</t>
  </si>
  <si>
    <t>Fiala, John L.</t>
  </si>
  <si>
    <t>Portland, Or. : Timber Press, ©1988.</t>
  </si>
  <si>
    <t>2018-03-18</t>
  </si>
  <si>
    <t>6072145:eng</t>
  </si>
  <si>
    <t>17413261</t>
  </si>
  <si>
    <t>ocm17413261</t>
  </si>
  <si>
    <t>30010533983</t>
  </si>
  <si>
    <t>9780881920017</t>
  </si>
  <si>
    <t>792990680</t>
  </si>
  <si>
    <t>QK495 O64 P5</t>
  </si>
  <si>
    <t>0                      QK 0495000O  64                 P  5</t>
  </si>
  <si>
    <t>Orchid flowers: their pollination and evolution, by L. van der Pijl and Calaway H. Dodson.</t>
  </si>
  <si>
    <t>Pijl, L. van der (Leendert), 1905-</t>
  </si>
  <si>
    <t>Coral Gables, Fla., Published jointly by the Fairchild Tropical Garden and the University of Miami Press, 1966.</t>
  </si>
  <si>
    <t>2017-12-01</t>
  </si>
  <si>
    <t>514929:eng</t>
  </si>
  <si>
    <t>426290</t>
  </si>
  <si>
    <t>ocm00426290</t>
  </si>
  <si>
    <t>30010453939</t>
  </si>
  <si>
    <t>9780870240690</t>
  </si>
  <si>
    <t>791375603</t>
  </si>
  <si>
    <t>QK495 S7 B56</t>
  </si>
  <si>
    <t>0                      QK 0495000S  7                  B  56</t>
  </si>
  <si>
    <t>The Biology and taxonomy of the Solanaceae / editors J.G. Hawkes, R.N. Lester, A.D. Skelding.</t>
  </si>
  <si>
    <t>London : Published for the Linnean Society of London by Academic Press, ©1979.</t>
  </si>
  <si>
    <t>Linnean Society symposium series ; no. 7</t>
  </si>
  <si>
    <t>20987556:eng</t>
  </si>
  <si>
    <t>5942468</t>
  </si>
  <si>
    <t>ocm05942468</t>
  </si>
  <si>
    <t>31019217604</t>
  </si>
  <si>
    <t>9780123331502</t>
  </si>
  <si>
    <t>792465272</t>
  </si>
  <si>
    <t>QK495 S7 L8</t>
  </si>
  <si>
    <t>0                      QK 0495000S  7                  L  8</t>
  </si>
  <si>
    <t>The genus Lycopersicon; an historical, biological, and taxonomic survey of the wild and cultivated tomatoes, by Leonard C. Luckwill.</t>
  </si>
  <si>
    <t>Luckwill, Leonard C.</t>
  </si>
  <si>
    <t>Aberdeen, The University Press, 1943.</t>
  </si>
  <si>
    <t>Aberdeen University studies, no. 120</t>
  </si>
  <si>
    <t>21398082:eng</t>
  </si>
  <si>
    <t>6219920</t>
  </si>
  <si>
    <t>ocm06219920</t>
  </si>
  <si>
    <t>3000803520E</t>
  </si>
  <si>
    <t>792483876</t>
  </si>
  <si>
    <t>QK495 Z9 C73</t>
  </si>
  <si>
    <t>0                      QK 0495000Z  9                  C  73</t>
  </si>
  <si>
    <t>Creosote bush : biology and chemistry of Larrea in New World deserts / edited by T.J. Mabry, J.H. Hunziker, D.R. DiFeo, Jr.</t>
  </si>
  <si>
    <t>Stroudsburg, Pa. : Dowden, Hutchinson, &amp; Ross ; [New York] : Exclusive distributor, Halsted Press, ©1977.</t>
  </si>
  <si>
    <t>US/IBP synthesis series ; 6</t>
  </si>
  <si>
    <t>923559084:eng</t>
  </si>
  <si>
    <t>2968559</t>
  </si>
  <si>
    <t>ocm02968559</t>
  </si>
  <si>
    <t>3001036347H</t>
  </si>
  <si>
    <t>9780879332822</t>
  </si>
  <si>
    <t>792200400</t>
  </si>
  <si>
    <t>QK565 R77 1989</t>
  </si>
  <si>
    <t>0                      QK 0565000R  77          1989</t>
  </si>
  <si>
    <t>Photosynthetic pigments of algae / Kingsley S. Rowan.</t>
  </si>
  <si>
    <t>Rowan, K. S.</t>
  </si>
  <si>
    <t>17115739:eng</t>
  </si>
  <si>
    <t>18192419</t>
  </si>
  <si>
    <t>ocm18192419</t>
  </si>
  <si>
    <t>31010101991</t>
  </si>
  <si>
    <t>9780521301763</t>
  </si>
  <si>
    <t>793017327</t>
  </si>
  <si>
    <t>QK566 A38</t>
  </si>
  <si>
    <t>0                      QK 0566000A  38</t>
  </si>
  <si>
    <t>Advance of phycology in Japan / edited by Jun Tokida and Hiroyuki Hirose.</t>
  </si>
  <si>
    <t>The Hague : Junk, 1975.</t>
  </si>
  <si>
    <t>354978092:eng</t>
  </si>
  <si>
    <t>1602896</t>
  </si>
  <si>
    <t>ocm01602896</t>
  </si>
  <si>
    <t>30010329596</t>
  </si>
  <si>
    <t>9789061930266</t>
  </si>
  <si>
    <t>791775780</t>
  </si>
  <si>
    <t>QK567 B6</t>
  </si>
  <si>
    <t>0                      QK 0567000B  6</t>
  </si>
  <si>
    <t>Les algues d'eau douce.</t>
  </si>
  <si>
    <t>Bourrelly, Pierre.</t>
  </si>
  <si>
    <t>Paris, Boubée, 1966-</t>
  </si>
  <si>
    <t>Collection Faunes et flores actuelles</t>
  </si>
  <si>
    <t>5481396674:fre</t>
  </si>
  <si>
    <t>1425248</t>
  </si>
  <si>
    <t>ocm01425248</t>
  </si>
  <si>
    <t>3100673479L</t>
  </si>
  <si>
    <t>791623183</t>
  </si>
  <si>
    <t>3100673469O</t>
  </si>
  <si>
    <t>791623184</t>
  </si>
  <si>
    <t>30010464469</t>
  </si>
  <si>
    <t>791623185</t>
  </si>
  <si>
    <t>QK569 C96 D5</t>
  </si>
  <si>
    <t>0                      QK 0569000C  96                 D  5</t>
  </si>
  <si>
    <t>Cyanophyta.</t>
  </si>
  <si>
    <t>New Delhi, Indian Council of Agricultural Research [1959]</t>
  </si>
  <si>
    <t>I.C.A.R. monographs on algae</t>
  </si>
  <si>
    <t>2378752:eng</t>
  </si>
  <si>
    <t>1526463</t>
  </si>
  <si>
    <t>ocm01526463</t>
  </si>
  <si>
    <t>3001044625J</t>
  </si>
  <si>
    <t>791690435</t>
  </si>
  <si>
    <t>QK569 D54 D6 1987</t>
  </si>
  <si>
    <t>0                      QK 0569000D  54                 D  6           1987</t>
  </si>
  <si>
    <t>Diatoms / John Jeffrey Dodd ; with a foreword by Robert H. Mohlenbrock.</t>
  </si>
  <si>
    <t>Dodd, John Jeffrey, 1947-</t>
  </si>
  <si>
    <t>Carbondale : Southern Illinois University Press, ©1987.</t>
  </si>
  <si>
    <t>The Illustrated flora of Illinois</t>
  </si>
  <si>
    <t>6854538:eng</t>
  </si>
  <si>
    <t>13902806</t>
  </si>
  <si>
    <t>ocm13902806</t>
  </si>
  <si>
    <t>3001039708X</t>
  </si>
  <si>
    <t>9780809311545</t>
  </si>
  <si>
    <t>792871267</t>
  </si>
  <si>
    <t>QK570.25 M47 1979</t>
  </si>
  <si>
    <t>0                      QK 0570250M  47          1979</t>
  </si>
  <si>
    <t>Methods and measurements of periphyton communities : a review / sponsored by ASTM Committee D-19 on Water, American Society for Testing and Materials ; R.L. Weitzel, editor.</t>
  </si>
  <si>
    <t>Philadelphia, Pa. : ASTM, ©1979.</t>
  </si>
  <si>
    <t>ASTM special technical publication ; 690</t>
  </si>
  <si>
    <t>426613173:eng</t>
  </si>
  <si>
    <t>5845086</t>
  </si>
  <si>
    <t>ocm05845086</t>
  </si>
  <si>
    <t>3100944744K</t>
  </si>
  <si>
    <t>792458357</t>
  </si>
  <si>
    <t>QK570.5 F74 2003</t>
  </si>
  <si>
    <t>0                      QK 0570500F  74          2003</t>
  </si>
  <si>
    <t>Freshwater algae of North America : ecology and classification / edited by John D. Wehr and Robert G. Sheath.</t>
  </si>
  <si>
    <t>Amsterdam ; Boston : Academic Press, ©2003.</t>
  </si>
  <si>
    <t>Aquatic ecology series</t>
  </si>
  <si>
    <t>2015-10-04</t>
  </si>
  <si>
    <t>943559859:eng</t>
  </si>
  <si>
    <t>51245822</t>
  </si>
  <si>
    <t>ocm51245822</t>
  </si>
  <si>
    <t>31022401742</t>
  </si>
  <si>
    <t>9780127415505</t>
  </si>
  <si>
    <t>793781349</t>
  </si>
  <si>
    <t>QK571 P67 1962</t>
  </si>
  <si>
    <t>0                      QK 0571000P  67          1962</t>
  </si>
  <si>
    <t>Algae of the western Great Lakes area : with an illustrated key to the genera of desmids and freshwater diatoms / G.W. Prescott.</t>
  </si>
  <si>
    <t>Prescott, G. W. (Gerald Webber), 1899-1988.</t>
  </si>
  <si>
    <t>Dubuque, Iowa : W.C. Brown Co., [1962]</t>
  </si>
  <si>
    <t>Cranbrook Institute of Science. Bulletin ; 31</t>
  </si>
  <si>
    <t>4926147977:eng</t>
  </si>
  <si>
    <t>510167</t>
  </si>
  <si>
    <t>ocm00510167</t>
  </si>
  <si>
    <t>3001048056C</t>
  </si>
  <si>
    <t>9780697045522</t>
  </si>
  <si>
    <t>791398659</t>
  </si>
  <si>
    <t>QK581 H3 1983</t>
  </si>
  <si>
    <t>0                      QK 0581000H  3           1983</t>
  </si>
  <si>
    <t>The biology of lichens / Mason E. Hale, Jr.</t>
  </si>
  <si>
    <t>Hale, Mason E.</t>
  </si>
  <si>
    <t>London ; Baltimore, Md., U.S.A. : E. Arnold, 1983.</t>
  </si>
  <si>
    <t>2004-04-07</t>
  </si>
  <si>
    <t>1353047:eng</t>
  </si>
  <si>
    <t>12419126</t>
  </si>
  <si>
    <t>ocm12419126</t>
  </si>
  <si>
    <t>3001028596T</t>
  </si>
  <si>
    <t>9780713128673</t>
  </si>
  <si>
    <t>792814844</t>
  </si>
  <si>
    <t>QK581 L47 1996</t>
  </si>
  <si>
    <t>0                      QK 0581000L  47          1996</t>
  </si>
  <si>
    <t>Lichen biology / edited by Thomas H. Nash III.</t>
  </si>
  <si>
    <t>2009-09-17</t>
  </si>
  <si>
    <t>766079783:eng</t>
  </si>
  <si>
    <t>32665855</t>
  </si>
  <si>
    <t>ocm32665855</t>
  </si>
  <si>
    <t>3101706088B</t>
  </si>
  <si>
    <t>9780521453684</t>
  </si>
  <si>
    <t>793391314</t>
  </si>
  <si>
    <t>QK589 D63 1981</t>
  </si>
  <si>
    <t>0                      QK 0589000D  63          1981</t>
  </si>
  <si>
    <t>Lichens : an illustrated guide / by Frank Dobson.</t>
  </si>
  <si>
    <t>Dobson, Frank.</t>
  </si>
  <si>
    <t>Richmond, Surrey : Richmond Pub. Co., 1981.</t>
  </si>
  <si>
    <t>2nd rev. and corr. ed.</t>
  </si>
  <si>
    <t>3858770218:eng</t>
  </si>
  <si>
    <t>7700424</t>
  </si>
  <si>
    <t>ocm07700424</t>
  </si>
  <si>
    <t>3001032004U</t>
  </si>
  <si>
    <t>9780855462109</t>
  </si>
  <si>
    <t>792574998</t>
  </si>
  <si>
    <t>QK589 S6 1921</t>
  </si>
  <si>
    <t>0                      QK 0589000S  6           1921</t>
  </si>
  <si>
    <t>A handbook of the British lichens / by Annie Lorrain Smith.</t>
  </si>
  <si>
    <t>Smith, Annie Lorrain, 1854-</t>
  </si>
  <si>
    <t>London : Printed by order of the Trustees of the British Museum, 1921.</t>
  </si>
  <si>
    <t>12265169:eng</t>
  </si>
  <si>
    <t>6409881</t>
  </si>
  <si>
    <t>ocm06409881</t>
  </si>
  <si>
    <t>3102869580H</t>
  </si>
  <si>
    <t>792497217</t>
  </si>
  <si>
    <t>QK601 B54 1990</t>
  </si>
  <si>
    <t>0                      QK 0601000B  54          1990</t>
  </si>
  <si>
    <t>Biochemistry of cell walls and membranes in fungi / P.J. Kuhn [and others], eds.</t>
  </si>
  <si>
    <t>22092061:eng</t>
  </si>
  <si>
    <t>20262135</t>
  </si>
  <si>
    <t>ocm20262135</t>
  </si>
  <si>
    <t>31010105555</t>
  </si>
  <si>
    <t>9780387504377</t>
  </si>
  <si>
    <t>793082154</t>
  </si>
  <si>
    <t>QK601 B835 1983</t>
  </si>
  <si>
    <t>0                      QK 0601000B  835         1983</t>
  </si>
  <si>
    <t>The ecology and physiology of the fungal mycelium / Symposium of the British Mycological Society held at Bath University, 11-15 April 1983 ; edited by D.H. Jennings &amp; A.D.M. Rayner.</t>
  </si>
  <si>
    <t>British Mycological Society. Symposium (1983 Apr. 11-15 : Bath University)</t>
  </si>
  <si>
    <t>British Mycological Society symposium series ; 8</t>
  </si>
  <si>
    <t>2016-01-25</t>
  </si>
  <si>
    <t>9489733792:eng</t>
  </si>
  <si>
    <t>10163042</t>
  </si>
  <si>
    <t>ocm10163042</t>
  </si>
  <si>
    <t>30010302011</t>
  </si>
  <si>
    <t>9780521254137</t>
  </si>
  <si>
    <t>792712404</t>
  </si>
  <si>
    <t>QK601 B835 1984</t>
  </si>
  <si>
    <t>0                      QK 0601000B  835         1984</t>
  </si>
  <si>
    <t>Developmental biology of higher fungi : symposium of the British Mycological Sociology Society, held at the University of Manchester, April 1984 / edited by D. Moore [and others].</t>
  </si>
  <si>
    <t>British Mycological Society. Symposium (1984 : University of Manchester)</t>
  </si>
  <si>
    <t>British Mycological Society symposium ; 10</t>
  </si>
  <si>
    <t>1008930748:eng</t>
  </si>
  <si>
    <t>237344824</t>
  </si>
  <si>
    <t>ocn237344824</t>
  </si>
  <si>
    <t>3001031735X</t>
  </si>
  <si>
    <t>9780521301619</t>
  </si>
  <si>
    <t>794373113</t>
  </si>
  <si>
    <t>QK603 A52</t>
  </si>
  <si>
    <t>0                      QK 0603000A  52</t>
  </si>
  <si>
    <t>The fungi; an advanced treatise. Edited by G.C. Ainsworth [and] Alfred S. Sussman.</t>
  </si>
  <si>
    <t>Ainsworth, G. C. (Geoffrey Clough), 1905-1998.</t>
  </si>
  <si>
    <t>New York, Academic Press, 1965-73.</t>
  </si>
  <si>
    <t>504875107:eng</t>
  </si>
  <si>
    <t>243224</t>
  </si>
  <si>
    <t>ocm00243224</t>
  </si>
  <si>
    <t>3100671702H</t>
  </si>
  <si>
    <t>9780120456017</t>
  </si>
  <si>
    <t>791306794</t>
  </si>
  <si>
    <t>3001045281K</t>
  </si>
  <si>
    <t>791306796</t>
  </si>
  <si>
    <t>3100711254A</t>
  </si>
  <si>
    <t>791306795</t>
  </si>
  <si>
    <t>V. 4, pt. B</t>
  </si>
  <si>
    <t>3100671703F</t>
  </si>
  <si>
    <t>791306792</t>
  </si>
  <si>
    <t>V. 4, pt. A</t>
  </si>
  <si>
    <t>3100671704D</t>
  </si>
  <si>
    <t>791306793</t>
  </si>
  <si>
    <t>QK603 M59 2002</t>
  </si>
  <si>
    <t>0                      QK 0603000M  59          2002</t>
  </si>
  <si>
    <t>Mr. Bloomfield's orchard : the mysterious world of mushrooms, molds, and mycologists / Nicholas P. Money.</t>
  </si>
  <si>
    <t>Money, Nicholas P.</t>
  </si>
  <si>
    <t>New York, N.Y. : Oxford University Press, 2002.</t>
  </si>
  <si>
    <t>987125:eng</t>
  </si>
  <si>
    <t>49905488</t>
  </si>
  <si>
    <t>ocm49905488</t>
  </si>
  <si>
    <t>3102278639M</t>
  </si>
  <si>
    <t>9780195154573</t>
  </si>
  <si>
    <t>793750445</t>
  </si>
  <si>
    <t>QK603 R6 1925</t>
  </si>
  <si>
    <t>0                      QK 0603000R  6           1925</t>
  </si>
  <si>
    <t>The romance of the fungus world; an account of fungus life in its numerous guises, both real and legendary, by R.T. Rolfe and F.W. Rolfe with foreword by J. Ramsbottom.</t>
  </si>
  <si>
    <t>Rolfe, R. T. (Robert Thatcher), 1883-</t>
  </si>
  <si>
    <t>London, Chapman &amp; Hall. Ltd., 1925.</t>
  </si>
  <si>
    <t>1712150:eng</t>
  </si>
  <si>
    <t>3505336</t>
  </si>
  <si>
    <t>ocm03505336</t>
  </si>
  <si>
    <t>3103743474I</t>
  </si>
  <si>
    <t>792262226</t>
  </si>
  <si>
    <t>QK617 B483 1997</t>
  </si>
  <si>
    <t>0                      QK 0617000B  483         1997</t>
  </si>
  <si>
    <t>Mushrooms of northeastern North America / Alan E. Bessette, Arleen R. Bessette, David W. Fischer.</t>
  </si>
  <si>
    <t>Bessette, Alan.</t>
  </si>
  <si>
    <t>Syracuse, N.Y. : Syracuse University Press, 1997.</t>
  </si>
  <si>
    <t>2018-08-09</t>
  </si>
  <si>
    <t>39398729:eng</t>
  </si>
  <si>
    <t>34411834</t>
  </si>
  <si>
    <t>ocm34411834</t>
  </si>
  <si>
    <t>3101892583Y</t>
  </si>
  <si>
    <t>9780815627074</t>
  </si>
  <si>
    <t>793426201</t>
  </si>
  <si>
    <t>QK617 B624</t>
  </si>
  <si>
    <t>0                      QK 0617000B  624</t>
  </si>
  <si>
    <t>Mushroom pocket field guide [by] Howard E. Bigelow.</t>
  </si>
  <si>
    <t>Bigelow, Howard E. (Howard Elson), 1923-</t>
  </si>
  <si>
    <t>New York, Macmillan [1974]</t>
  </si>
  <si>
    <t>398171:eng</t>
  </si>
  <si>
    <t>704789</t>
  </si>
  <si>
    <t>ocm00704789</t>
  </si>
  <si>
    <t>3001032904V</t>
  </si>
  <si>
    <t>9780025106505</t>
  </si>
  <si>
    <t>791450636</t>
  </si>
  <si>
    <t>QK617 G55 1979</t>
  </si>
  <si>
    <t>0                      QK 0617000G  55          1979</t>
  </si>
  <si>
    <t>The mushroom trailguide / Phyllis G. Glick ; ill. by the author.</t>
  </si>
  <si>
    <t>Glick, Phyllis G., 1924-</t>
  </si>
  <si>
    <t>New York : Holt, Rinehart Winston, ©1979.</t>
  </si>
  <si>
    <t>13640609:eng</t>
  </si>
  <si>
    <t>4004838</t>
  </si>
  <si>
    <t>ocm04004838</t>
  </si>
  <si>
    <t>3001036945Y</t>
  </si>
  <si>
    <t>9780030183065</t>
  </si>
  <si>
    <t>792313332</t>
  </si>
  <si>
    <t>QK617 K8 1967</t>
  </si>
  <si>
    <t>0                      QK 0617000K  8           1967</t>
  </si>
  <si>
    <t>The mushroom handbook / by Louis C.C. Krieger ; with a new preface and appendix on nomenclatural changes by Robert L. Shaffer.</t>
  </si>
  <si>
    <t>Krieger, L. C. C. (Louis Charles Christopher), 1873-1940.</t>
  </si>
  <si>
    <t>New York : Dover Publications, 1967.</t>
  </si>
  <si>
    <t>1895867:eng</t>
  </si>
  <si>
    <t>326442</t>
  </si>
  <si>
    <t>ocm00326442</t>
  </si>
  <si>
    <t>3001046952V</t>
  </si>
  <si>
    <t>9780486218618</t>
  </si>
  <si>
    <t>791337990</t>
  </si>
  <si>
    <t>QK617 L245 1996</t>
  </si>
  <si>
    <t>0                      QK 0617000L  245         1996</t>
  </si>
  <si>
    <t>The mushroom book / by Thomas Læssøe, Gary Lincoff, Anna Del Conte ; photography by Neil Fletcher.</t>
  </si>
  <si>
    <t>Laessøe, Thomas, author.</t>
  </si>
  <si>
    <t>New York : DK Pub., 1996.</t>
  </si>
  <si>
    <t>10177802588:eng</t>
  </si>
  <si>
    <t>34320440</t>
  </si>
  <si>
    <t>ocm34320440</t>
  </si>
  <si>
    <t>3101869690G</t>
  </si>
  <si>
    <t>9780789410733</t>
  </si>
  <si>
    <t>793424117</t>
  </si>
  <si>
    <t>QK617 M37</t>
  </si>
  <si>
    <t>0                      QK 0617000M  37</t>
  </si>
  <si>
    <t>The mushroom book. A popular guide to the identification and study of our commoner Fungi, with special emphasis on the edible varieties, by Nina L. Marshall. With many illustrations in color and black and white, photographed from nature by J.A. &amp; H.C. Anderson.</t>
  </si>
  <si>
    <t>Marshall, Nina L. (Nina Lovering)</t>
  </si>
  <si>
    <t>New York, Doubleday, Page, 1901.</t>
  </si>
  <si>
    <t>4928209279:eng</t>
  </si>
  <si>
    <t>1083270</t>
  </si>
  <si>
    <t>ocm01083270</t>
  </si>
  <si>
    <t>3001047890M</t>
  </si>
  <si>
    <t>791542233</t>
  </si>
  <si>
    <t>QK617 M4</t>
  </si>
  <si>
    <t>0                      QK 0617000M  4</t>
  </si>
  <si>
    <t>New York, Doubleday, Page &amp; Co., 1905 [©1904]</t>
  </si>
  <si>
    <t>The Nature library, v. 10</t>
  </si>
  <si>
    <t>268855</t>
  </si>
  <si>
    <t>ocm00268855</t>
  </si>
  <si>
    <t>30010537199</t>
  </si>
  <si>
    <t>791317636</t>
  </si>
  <si>
    <t>3101897415U</t>
  </si>
  <si>
    <t>791317637</t>
  </si>
  <si>
    <t>QK617 P618 1980</t>
  </si>
  <si>
    <t>0                      QK 0617000P  618         1980</t>
  </si>
  <si>
    <t>Flore des champignons au Québec et régions limitrophes / René Pomerleau.</t>
  </si>
  <si>
    <t>Pomerleau, René, 1904-</t>
  </si>
  <si>
    <t>Montréal : Éditions la presse, ©1980.</t>
  </si>
  <si>
    <t>2003-09-07</t>
  </si>
  <si>
    <t>22410193:fre</t>
  </si>
  <si>
    <t>6479517</t>
  </si>
  <si>
    <t>ocm06479517</t>
  </si>
  <si>
    <t>3001030796I</t>
  </si>
  <si>
    <t>792502144</t>
  </si>
  <si>
    <t>QK617.5 Y44 1983</t>
  </si>
  <si>
    <t>0                      QK 0617500Y  44          1983</t>
  </si>
  <si>
    <t>Yeast genetics : fundamental and applied aspects / edited by J.F.T. Spencer, Dorothy M. Spencer, and A.R.W. Smith ; with contributions by E.A. Bevan [and others].</t>
  </si>
  <si>
    <t>New York : Springer-Verlag, ©1983.</t>
  </si>
  <si>
    <t>Springer series in molecular biology</t>
  </si>
  <si>
    <t>2011-11-05</t>
  </si>
  <si>
    <t>4915874675:eng</t>
  </si>
  <si>
    <t>9488663</t>
  </si>
  <si>
    <t>ocm09488663</t>
  </si>
  <si>
    <t>3001028811E</t>
  </si>
  <si>
    <t>9780387907932</t>
  </si>
  <si>
    <t>792678634</t>
  </si>
  <si>
    <t>QK623 S23 M6 1991</t>
  </si>
  <si>
    <t>0                      QK 0623000S  23                 M  6           1991</t>
  </si>
  <si>
    <t>The Molecular and cellular biology of the yeast Saccharomyces / edited by James R. Broach, John R. Pringle, Elizabeth W. Jones.</t>
  </si>
  <si>
    <t>Cold Spring Harbor, N.Y. : Cole Spring Harbor Laboratory Press, ©1991-1997.</t>
  </si>
  <si>
    <t>Cold Spring Harbor monograph series ; 21</t>
  </si>
  <si>
    <t>2015-11-01</t>
  </si>
  <si>
    <t>4039907584:eng</t>
  </si>
  <si>
    <t>22207415</t>
  </si>
  <si>
    <t>ocm22207415</t>
  </si>
  <si>
    <t>31018087891</t>
  </si>
  <si>
    <t>9780879693558</t>
  </si>
  <si>
    <t>793137232</t>
  </si>
  <si>
    <t>2011-11-07</t>
  </si>
  <si>
    <t>31012220068</t>
  </si>
  <si>
    <t>793137233</t>
  </si>
  <si>
    <t>3101148374I</t>
  </si>
  <si>
    <t>793137234</t>
  </si>
  <si>
    <t>QK629 A4 H39</t>
  </si>
  <si>
    <t>0                      QK 0629000A  4                  H  39</t>
  </si>
  <si>
    <t>North American species of Gymnopilus [by] L.R. Hesler.</t>
  </si>
  <si>
    <t>Hesler, L. R. (Lexemuel Ray)</t>
  </si>
  <si>
    <t>New York, Hafner Pub. Co., 1969.</t>
  </si>
  <si>
    <t>Mycologia memoir, no. 3</t>
  </si>
  <si>
    <t>1135334:eng</t>
  </si>
  <si>
    <t>12413</t>
  </si>
  <si>
    <t>ocm00012413</t>
  </si>
  <si>
    <t>30010465821</t>
  </si>
  <si>
    <t>791228072</t>
  </si>
  <si>
    <t>QK641 T69 1984</t>
  </si>
  <si>
    <t>0                      QK 0641000T  69          1984</t>
  </si>
  <si>
    <t>Gestalt und Urbild : gesammelte Aufsätze zu Grundfragen der organischen Morphologie / von Wilhelm Troll.</t>
  </si>
  <si>
    <t>Troll, Wilhelm, 1897-</t>
  </si>
  <si>
    <t>Köln : Böhlau, 1984.</t>
  </si>
  <si>
    <t>3., durchgesehene und vermehrte Aufl.</t>
  </si>
  <si>
    <t>6860440:ger</t>
  </si>
  <si>
    <t>214298825</t>
  </si>
  <si>
    <t>ocn214298825</t>
  </si>
  <si>
    <t>30010392484</t>
  </si>
  <si>
    <t>9783412077839</t>
  </si>
  <si>
    <t>794313478</t>
  </si>
  <si>
    <t>QK658 I96 1988</t>
  </si>
  <si>
    <t>0                      QK 0658000I  96          1988</t>
  </si>
  <si>
    <t>Pollen : illustrations and scanning electronmicrographs / Yozo Iwanami, Tetsuo Sasakuma, Yoshio Yamada.</t>
  </si>
  <si>
    <t>Iwanami, Yōzō, 1926-</t>
  </si>
  <si>
    <t>Tokyo : Kodansha ; Berlin ; New York : Springer-Verlag, ©1988.</t>
  </si>
  <si>
    <t>Kodansha scientific books</t>
  </si>
  <si>
    <t>889644955:eng</t>
  </si>
  <si>
    <t>18202314</t>
  </si>
  <si>
    <t>ocm18202314</t>
  </si>
  <si>
    <t>3001054236O</t>
  </si>
  <si>
    <t>9784062026901</t>
  </si>
  <si>
    <t>793017498</t>
  </si>
  <si>
    <t>QK658 K36</t>
  </si>
  <si>
    <t>0                      QK 0658000K  36</t>
  </si>
  <si>
    <t>How to know pollen and spores [by] Ronald O. Kapp.</t>
  </si>
  <si>
    <t>Kapp, Ronald O.</t>
  </si>
  <si>
    <t>Dubuque, Iowa, W.C. Brown Co. [1969]</t>
  </si>
  <si>
    <t>Pictured key nature series</t>
  </si>
  <si>
    <t>3753181210:eng</t>
  </si>
  <si>
    <t>55501</t>
  </si>
  <si>
    <t>ocm00055501</t>
  </si>
  <si>
    <t>30010446932</t>
  </si>
  <si>
    <t>9780697048486</t>
  </si>
  <si>
    <t>791241167</t>
  </si>
  <si>
    <t>QK669 R39</t>
  </si>
  <si>
    <t>0                      QK 0669000R  39</t>
  </si>
  <si>
    <t>A mycological colour chart / prepared by R.W. Rayner.</t>
  </si>
  <si>
    <t>Rayner, R. W.</t>
  </si>
  <si>
    <t>Kew, Surrey : Commonwealth Mycological Institute ; [England] : British Mycological Society, 1970.</t>
  </si>
  <si>
    <t>365936449:eng</t>
  </si>
  <si>
    <t>150844</t>
  </si>
  <si>
    <t>ocm00150844</t>
  </si>
  <si>
    <t>3103706547Q</t>
  </si>
  <si>
    <t>791273215</t>
  </si>
  <si>
    <t>QK711 M38</t>
  </si>
  <si>
    <t>0                      QK 0711000M  38</t>
  </si>
  <si>
    <t>Mathematics and plant physiology / edited by D.A. Rose and D.A. Charles-Edwards.</t>
  </si>
  <si>
    <t>London ; New York : Academic Press, 1981.</t>
  </si>
  <si>
    <t>Experimental botany ; v. 16</t>
  </si>
  <si>
    <t>760275767:eng</t>
  </si>
  <si>
    <t>8107974</t>
  </si>
  <si>
    <t>ocm08107974</t>
  </si>
  <si>
    <t>3001026548D</t>
  </si>
  <si>
    <t>9780125968805</t>
  </si>
  <si>
    <t>792598695</t>
  </si>
  <si>
    <t>QK711.2 K72</t>
  </si>
  <si>
    <t>0                      QK 0711200K  72</t>
  </si>
  <si>
    <t>Physiology of woody plants / Paul J. Kramer, Theodore T. Kozlowski.</t>
  </si>
  <si>
    <t>Kramer, Paul J. (Paul Jackson), 1904-1995.</t>
  </si>
  <si>
    <t>2005-11-29</t>
  </si>
  <si>
    <t>9657352135:eng</t>
  </si>
  <si>
    <t>4515394</t>
  </si>
  <si>
    <t>ocm04515394</t>
  </si>
  <si>
    <t>3001035418P</t>
  </si>
  <si>
    <t>9780124250505</t>
  </si>
  <si>
    <t>792358056</t>
  </si>
  <si>
    <t>QK711.2 S23 1978</t>
  </si>
  <si>
    <t>0                      QK 0711200S  23          1978</t>
  </si>
  <si>
    <t>Plant physiology / Frank B. Salisbury, Cleon W. Ross.</t>
  </si>
  <si>
    <t>Salisbury, Frank B.</t>
  </si>
  <si>
    <t>Belmont, Calif. : Wadsworth Pub. Co., ©1978.</t>
  </si>
  <si>
    <t>2016-09-26</t>
  </si>
  <si>
    <t>1143716:eng</t>
  </si>
  <si>
    <t>3705695</t>
  </si>
  <si>
    <t>ocm03705695</t>
  </si>
  <si>
    <t>3102451207T</t>
  </si>
  <si>
    <t>9780534005627</t>
  </si>
  <si>
    <t>792283092</t>
  </si>
  <si>
    <t>3001034722R</t>
  </si>
  <si>
    <t>792283091</t>
  </si>
  <si>
    <t>QK711.2 T56</t>
  </si>
  <si>
    <t>0                      QK 0711200T  56</t>
  </si>
  <si>
    <t>Plant physiology / Irwin P. Ting.</t>
  </si>
  <si>
    <t>Ting, Irwin P.</t>
  </si>
  <si>
    <t>Reading, Mass. : Addison-Wesley Pub. Co., ©1982.</t>
  </si>
  <si>
    <t>Addison-Wesley series in the life sciences</t>
  </si>
  <si>
    <t>2003-10-30</t>
  </si>
  <si>
    <t>417037:eng</t>
  </si>
  <si>
    <t>6305198</t>
  </si>
  <si>
    <t>ocm06305198</t>
  </si>
  <si>
    <t>30010295624</t>
  </si>
  <si>
    <t>9780201074062</t>
  </si>
  <si>
    <t>792490042</t>
  </si>
  <si>
    <t>QK731 W35 1978</t>
  </si>
  <si>
    <t>0                      QK 0731000W  35          1978</t>
  </si>
  <si>
    <t>The control of growth and differentiation in plants / by P.F. Wareing and I.D.J. Phillips.</t>
  </si>
  <si>
    <t>Wareing, P. F.</t>
  </si>
  <si>
    <t>Oxford ; New York : Pergamon Press, 1978.</t>
  </si>
  <si>
    <t>Pergamon international library of science, technology, engineering and social studies</t>
  </si>
  <si>
    <t>2006-10-14</t>
  </si>
  <si>
    <t>407101:eng</t>
  </si>
  <si>
    <t>3608317</t>
  </si>
  <si>
    <t>ocm03608317</t>
  </si>
  <si>
    <t>3001035425S</t>
  </si>
  <si>
    <t>9780080215259</t>
  </si>
  <si>
    <t>792272689</t>
  </si>
  <si>
    <t>QK753 M47 M47 1983</t>
  </si>
  <si>
    <t>0                      QK 0753000M  47                 M  47          1983</t>
  </si>
  <si>
    <t>Metals and micronutrients : uptake and utilization by plants / edited by D.A. Robb and W.S. Pierpoint.</t>
  </si>
  <si>
    <t>London ; New York : Academic Press, 1983.</t>
  </si>
  <si>
    <t>Annual proceedings of the Phytochemical Society of Europe, 0309-9393 ; no. 21</t>
  </si>
  <si>
    <t>796068544:eng</t>
  </si>
  <si>
    <t>9699320</t>
  </si>
  <si>
    <t>ocm09699320</t>
  </si>
  <si>
    <t>30010293761</t>
  </si>
  <si>
    <t>9780125895804</t>
  </si>
  <si>
    <t>792689490</t>
  </si>
  <si>
    <t>QK754 L42</t>
  </si>
  <si>
    <t>0                      QK 0754000L  42</t>
  </si>
  <si>
    <t>Responses of plants to environmental stresses [by] J. Levitt.</t>
  </si>
  <si>
    <t>Levitt, J. (Jacob), 1911-</t>
  </si>
  <si>
    <t>4918264654:eng</t>
  </si>
  <si>
    <t>480891</t>
  </si>
  <si>
    <t>ocm00480891</t>
  </si>
  <si>
    <t>3001046306P</t>
  </si>
  <si>
    <t>9780124455603</t>
  </si>
  <si>
    <t>791388971</t>
  </si>
  <si>
    <t>QK826 M64 1992</t>
  </si>
  <si>
    <t>0                      QK 0826000M  64          1992</t>
  </si>
  <si>
    <t>The evolution of asexual reproduction in plants / Michael Mogie.</t>
  </si>
  <si>
    <t>Mogie, Michael, author.</t>
  </si>
  <si>
    <t>London ; New York : Chapman &amp; Hall, 1992.</t>
  </si>
  <si>
    <t>2015-07-17</t>
  </si>
  <si>
    <t>43436434:eng</t>
  </si>
  <si>
    <t>24795274</t>
  </si>
  <si>
    <t>ocm24795274</t>
  </si>
  <si>
    <t>31011861695</t>
  </si>
  <si>
    <t>9780412442209</t>
  </si>
  <si>
    <t>793205381</t>
  </si>
  <si>
    <t>QK882 H19 1999</t>
  </si>
  <si>
    <t>0                      QK 0882000H  19          1999</t>
  </si>
  <si>
    <t>Photosynthesis / D.O. Hall and K.K. Rao.</t>
  </si>
  <si>
    <t>Hall, D. O. (David Oakley)</t>
  </si>
  <si>
    <t>Cambridge, UK ; New York : Cambridge University Press, 1999.</t>
  </si>
  <si>
    <t>Studies in biology</t>
  </si>
  <si>
    <t>1744631:eng</t>
  </si>
  <si>
    <t>40218791</t>
  </si>
  <si>
    <t>ocm40218791</t>
  </si>
  <si>
    <t>3101999759I</t>
  </si>
  <si>
    <t>9780521642576</t>
  </si>
  <si>
    <t>793562191</t>
  </si>
  <si>
    <t>QK898 P677 P58 2001</t>
  </si>
  <si>
    <t>0                      QK 0898000P  677                P  58          2001</t>
  </si>
  <si>
    <t>Phytoliths : applications in earth sciences and human history / edited by Jean Dominique Meunier, Fabrice Colin.</t>
  </si>
  <si>
    <t>Lisse [Netherlands] ; Exton, PA : A.A. Balkema Publishers, ©2001.</t>
  </si>
  <si>
    <t>837031278:eng</t>
  </si>
  <si>
    <t>47443972</t>
  </si>
  <si>
    <t>ocm47443972</t>
  </si>
  <si>
    <t>31021837258</t>
  </si>
  <si>
    <t>9789058093455</t>
  </si>
  <si>
    <t>793703537</t>
  </si>
  <si>
    <t>QK900.73 G3 C58 1990</t>
  </si>
  <si>
    <t>0                      QK 0900730G  3                  C  58          1990</t>
  </si>
  <si>
    <t>Nature as the laboratory : Darwinian plant ecology in the German Empire, 1880-1900 / Eugene Cittadino.</t>
  </si>
  <si>
    <t>Cittadino, Eugene.</t>
  </si>
  <si>
    <t>Cambridge ; New York : Cambridge University Press, 1990.</t>
  </si>
  <si>
    <t>808753126:eng</t>
  </si>
  <si>
    <t>21077582</t>
  </si>
  <si>
    <t>ocm21077582</t>
  </si>
  <si>
    <t>3100976619W</t>
  </si>
  <si>
    <t>9780521340458</t>
  </si>
  <si>
    <t>793108511</t>
  </si>
  <si>
    <t>QK911 B7 A35 no.23</t>
  </si>
  <si>
    <t>0                      QK 0911000B  7                  A  35                                no.23</t>
  </si>
  <si>
    <t>Evolutionary ecology : the 23rd Symposium of the British Ecological Society, Leeds, 1982 / edited by B. Shorrocks.</t>
  </si>
  <si>
    <t>no.23*</t>
  </si>
  <si>
    <t>British Ecological Society. Symposium (23rd : 1982 : Leeds, England)</t>
  </si>
  <si>
    <t>Oxford ; Boston : Blackwell Scientific Publications ; St Louis, Mo., U.S.A. : Distributors, U.S.A., Blackwell Mosby Book Distributors, 1984.</t>
  </si>
  <si>
    <t>Symposium of the British Ecological Society ; 23rd</t>
  </si>
  <si>
    <t>2017-09-07</t>
  </si>
  <si>
    <t>101313:eng</t>
  </si>
  <si>
    <t>12586581</t>
  </si>
  <si>
    <t>ocm12586581</t>
  </si>
  <si>
    <t>30010292870</t>
  </si>
  <si>
    <t>9780632011896</t>
  </si>
  <si>
    <t>792820364</t>
  </si>
  <si>
    <t>QK911 B7 A35 no.25</t>
  </si>
  <si>
    <t>0                      QK 0911000B  7                  A  35                                no.25</t>
  </si>
  <si>
    <t>Behavioural ecology : ecological consequences of adaptive behaviour : the 25th Symposium of the British Ecological Society, Reading, 1984 / edited by R.M. Sibly and R.H. Smith.</t>
  </si>
  <si>
    <t>no.25*</t>
  </si>
  <si>
    <t>British Ecological Society. Symposium (25th : 1984 : Reading)</t>
  </si>
  <si>
    <t>Oxford ; Boston : Blackwell Scientific, 1985.</t>
  </si>
  <si>
    <t>Symposium of the British Ecological Society ; 25th</t>
  </si>
  <si>
    <t>890319420:eng</t>
  </si>
  <si>
    <t>12457292</t>
  </si>
  <si>
    <t>ocm12457292</t>
  </si>
  <si>
    <t>3001030722A</t>
  </si>
  <si>
    <t>9780632013593</t>
  </si>
  <si>
    <t>792816150</t>
  </si>
  <si>
    <t>QK911 D3</t>
  </si>
  <si>
    <t>0                      QK 0911000D  3</t>
  </si>
  <si>
    <t>Plant communities; a textbook of plant synecology [by] Rexford Daubenmire.</t>
  </si>
  <si>
    <t>Daubenmire, Rexford F., 1909-1995.</t>
  </si>
  <si>
    <t>New York, Harper &amp; Row [1968]</t>
  </si>
  <si>
    <t>1556206:eng</t>
  </si>
  <si>
    <t>436648</t>
  </si>
  <si>
    <t>ocm00436648</t>
  </si>
  <si>
    <t>30010456725</t>
  </si>
  <si>
    <t>791377911</t>
  </si>
  <si>
    <t>QK911 D58 1988</t>
  </si>
  <si>
    <t>0                      QK 0911000D  58          1988</t>
  </si>
  <si>
    <t>Diversity and pattern in plant communities / edited by H.J. During, M.J.A. Werger &amp; H.J. Willems.</t>
  </si>
  <si>
    <t>The Hague : SPB Academic Pub., 1988.</t>
  </si>
  <si>
    <t>364148653:eng</t>
  </si>
  <si>
    <t>19819324</t>
  </si>
  <si>
    <t>ocm19819324</t>
  </si>
  <si>
    <t>31007127121</t>
  </si>
  <si>
    <t>9789051030211</t>
  </si>
  <si>
    <t>793069629</t>
  </si>
  <si>
    <t>QK911 P47</t>
  </si>
  <si>
    <t>0                      QK 0911000P  47</t>
  </si>
  <si>
    <t>Phytosociology / edited by Robert P. McIntosh.</t>
  </si>
  <si>
    <t>Stroudsburg, Pa. : Dowden, Hutchinson &amp; Ross ; [New York] : Distributed ... by Academic Press, ©1978.</t>
  </si>
  <si>
    <t>Benchmark papers in ecology ; 6</t>
  </si>
  <si>
    <t>9867665:eng</t>
  </si>
  <si>
    <t>3380099</t>
  </si>
  <si>
    <t>ocm03380099</t>
  </si>
  <si>
    <t>3001024678A</t>
  </si>
  <si>
    <t>9780879333126</t>
  </si>
  <si>
    <t>792248420</t>
  </si>
  <si>
    <t>QK913 S33x</t>
  </si>
  <si>
    <t>0                      QK 0913000S  33x</t>
  </si>
  <si>
    <t>Arctic adaptations in plants [by] D.B.O. Savile.</t>
  </si>
  <si>
    <t>Savile, D. B. O. (Douglas Barton Osborne), 1909-</t>
  </si>
  <si>
    <t>Ottawa, Research Branch, Canada Dept. of Agriculture, 1972.</t>
  </si>
  <si>
    <t>Canada. Dept. of Agriculture. Research Branch. Monograph, no. 6</t>
  </si>
  <si>
    <t>2015-11-16</t>
  </si>
  <si>
    <t>1490700:eng</t>
  </si>
  <si>
    <t>515117</t>
  </si>
  <si>
    <t>ocm00515117</t>
  </si>
  <si>
    <t>3001045677W</t>
  </si>
  <si>
    <t>9780662016991</t>
  </si>
  <si>
    <t>791400269</t>
  </si>
  <si>
    <t>QK922 V35 1999</t>
  </si>
  <si>
    <t>0                      QK 0922000V  35          1999</t>
  </si>
  <si>
    <t>Dispersal biology of desert plants / K. van Rheede van Oudtshoorn and M.W. van Rooyen.</t>
  </si>
  <si>
    <t>Van Rheede van Oudtshoorn, K. (Karen), 1967-</t>
  </si>
  <si>
    <t>Berlin ; New York : Springer, 1998.</t>
  </si>
  <si>
    <t>Adaptations of desert organisms, 1430-9432</t>
  </si>
  <si>
    <t>41769958:eng</t>
  </si>
  <si>
    <t>39515012</t>
  </si>
  <si>
    <t>ocm39515012</t>
  </si>
  <si>
    <t>3101999835S</t>
  </si>
  <si>
    <t>9783540648864</t>
  </si>
  <si>
    <t>793547467</t>
  </si>
  <si>
    <t>QK926 F3 1979</t>
  </si>
  <si>
    <t>0                      QK 0926000F  3           1979</t>
  </si>
  <si>
    <t>The principles of pollination ecology / by K. Faegri and L. van der Pijl.</t>
  </si>
  <si>
    <t>Faegri, Knut.</t>
  </si>
  <si>
    <t>Oxford ; New York : Pergamon Press, 1979.</t>
  </si>
  <si>
    <t>3d rev. ed.</t>
  </si>
  <si>
    <t>407245:eng</t>
  </si>
  <si>
    <t>3915458</t>
  </si>
  <si>
    <t>ocm03915458</t>
  </si>
  <si>
    <t>3101443123A</t>
  </si>
  <si>
    <t>9780080213385</t>
  </si>
  <si>
    <t>792304743</t>
  </si>
  <si>
    <t>QK933 P49</t>
  </si>
  <si>
    <t>0                      QK 0933000P  49</t>
  </si>
  <si>
    <t>Phytoplankton manual / edited by A. Sournia.</t>
  </si>
  <si>
    <t>Paris : Unesco, 1978.</t>
  </si>
  <si>
    <t>Monographs on oceanographic methodology ; 6</t>
  </si>
  <si>
    <t>569080:eng</t>
  </si>
  <si>
    <t>4916591</t>
  </si>
  <si>
    <t>ocm04916591</t>
  </si>
  <si>
    <t>31013028377</t>
  </si>
  <si>
    <t>9789231015724</t>
  </si>
  <si>
    <t>792393420</t>
  </si>
  <si>
    <t>QK933 R38 1997</t>
  </si>
  <si>
    <t>0                      QK 0933000R  38          1997</t>
  </si>
  <si>
    <t>Vegetation processes in the pelagic : a model for ecosystem theory / Colin S. Reynolds ; introduction, Otto Kinne ; Colin S. Reynolds, A Laudatio, William D. Williams.</t>
  </si>
  <si>
    <t>Reynolds, Colin S.</t>
  </si>
  <si>
    <t>Oldendorf/Luhe, Germany : Ecology Institute, 1997.</t>
  </si>
  <si>
    <t>Excellence in ecology, 0932-2205 ; 9</t>
  </si>
  <si>
    <t>347141358:eng</t>
  </si>
  <si>
    <t>37270909</t>
  </si>
  <si>
    <t>ocm37270909</t>
  </si>
  <si>
    <t>3101811218$</t>
  </si>
  <si>
    <t>793494723</t>
  </si>
  <si>
    <t>QK934 B47 1999</t>
  </si>
  <si>
    <t>0                      QK 0934000B  47          1999</t>
  </si>
  <si>
    <t>Guide d'identification du phytoplancton marin de l'estuaire et du golfe du Saint-Laurent : incluant également certains protozoaires / Lyse Bérard-Therriault, Michel Poulin, Luci Bossé.</t>
  </si>
  <si>
    <t>Bérard-Therriault, Lyse.</t>
  </si>
  <si>
    <t>Ottawa, Ont. : Presses scientifiques du CNRC, 1999.</t>
  </si>
  <si>
    <t>Publication spéciale canadienne des sciences halieutiques et aquatiques, 0706-6481 ; 128</t>
  </si>
  <si>
    <t>180852197:fre</t>
  </si>
  <si>
    <t>43973291</t>
  </si>
  <si>
    <t>ocm43973291</t>
  </si>
  <si>
    <t>3102153808M</t>
  </si>
  <si>
    <t>9780660960579</t>
  </si>
  <si>
    <t>793639900</t>
  </si>
  <si>
    <t>QK938 F6 F67 1971</t>
  </si>
  <si>
    <t>0                      QK 0938000F  6                  F  67          1971</t>
  </si>
  <si>
    <t>Forest environments in tropical life zones; a pilot study [by] L.R. Holdridge [and others.</t>
  </si>
  <si>
    <t>Oxford, New York, Pergamon Press [1971]</t>
  </si>
  <si>
    <t>1st ed.].</t>
  </si>
  <si>
    <t>137364953:eng</t>
  </si>
  <si>
    <t>202383</t>
  </si>
  <si>
    <t>ocm00202383</t>
  </si>
  <si>
    <t>3001045706E</t>
  </si>
  <si>
    <t>9780080163406</t>
  </si>
  <si>
    <t>791292342</t>
  </si>
  <si>
    <t>QK938 I84 P46</t>
  </si>
  <si>
    <t>0                      QK 0938000I  84                 P  46</t>
  </si>
  <si>
    <t>Plants and islands / edited by D. Bramwell.</t>
  </si>
  <si>
    <t>Plants and Islands (Conference) (1977 : Las Palmas de Gran Canaria, Canary Islands)</t>
  </si>
  <si>
    <t>London ; New York : Academic Press, 1979.</t>
  </si>
  <si>
    <t>408577:eng</t>
  </si>
  <si>
    <t>5196681</t>
  </si>
  <si>
    <t>ocm05196681</t>
  </si>
  <si>
    <t>30010251275</t>
  </si>
  <si>
    <t>9780121254605</t>
  </si>
  <si>
    <t>792415231</t>
  </si>
  <si>
    <t>QK965 H66</t>
  </si>
  <si>
    <t>0                      QK 0965000H  66</t>
  </si>
  <si>
    <t>Forest and savanna : an introduction to tropical plant ecology with special reference to West Africa / by Brian Hopkins.</t>
  </si>
  <si>
    <t>Hopkins, Brian.</t>
  </si>
  <si>
    <t>London : Heinemann, 1965.</t>
  </si>
  <si>
    <t>10579608:eng</t>
  </si>
  <si>
    <t>263526698</t>
  </si>
  <si>
    <t>ocn263526698</t>
  </si>
  <si>
    <t>3000655254K</t>
  </si>
  <si>
    <t>794403938</t>
  </si>
  <si>
    <t>QL1 S54 no.596</t>
  </si>
  <si>
    <t>0                      QL 0001000S  54                                                      no.596</t>
  </si>
  <si>
    <t>Thesaurus of sponge morphology / Nicole Boury-Esnault and Klaus Rützler, editors.</t>
  </si>
  <si>
    <t>no.596*</t>
  </si>
  <si>
    <t>Washington, D.C. : Smithsonian Institution Press, 1997.</t>
  </si>
  <si>
    <t>Smithsonian contributions to zoology ; no. 596</t>
  </si>
  <si>
    <t xml:space="preserve">QL </t>
  </si>
  <si>
    <t>355718244:eng</t>
  </si>
  <si>
    <t>36817342</t>
  </si>
  <si>
    <t>ocm36817342</t>
  </si>
  <si>
    <t>3101848167B</t>
  </si>
  <si>
    <t>793484975</t>
  </si>
  <si>
    <t>QL15 D342 1962</t>
  </si>
  <si>
    <t>0                      QL 0015000D  342         1962</t>
  </si>
  <si>
    <t>La zoologie au seizième siècle.</t>
  </si>
  <si>
    <t>Delaunay, Paul, 1878-1958.</t>
  </si>
  <si>
    <t>Paris, Hermann [1962]</t>
  </si>
  <si>
    <t>Histoire de la pensée, 7</t>
  </si>
  <si>
    <t>431096307:fre</t>
  </si>
  <si>
    <t>14594009</t>
  </si>
  <si>
    <t>ocm14594009</t>
  </si>
  <si>
    <t>3101213814F</t>
  </si>
  <si>
    <t>792894960</t>
  </si>
  <si>
    <t>QL31 G4 G8913 2004</t>
  </si>
  <si>
    <t>0                      QL 0031000G  4                  G  8913        2004</t>
  </si>
  <si>
    <t>Étienne Geoffroy Saint-Hilaire : a visionary naturalist / Hervé Le Guyader ; translated by Marjorie Grene.</t>
  </si>
  <si>
    <t>Le Guyader, Hervé.</t>
  </si>
  <si>
    <t>Chicago ; London : University of Chicago Press, ©2004.</t>
  </si>
  <si>
    <t>4648451473:eng</t>
  </si>
  <si>
    <t>61569479</t>
  </si>
  <si>
    <t>ocm61569479</t>
  </si>
  <si>
    <t>3102325813E</t>
  </si>
  <si>
    <t>9780226470917</t>
  </si>
  <si>
    <t>794003833</t>
  </si>
  <si>
    <t>QL31 G58 A3 1990</t>
  </si>
  <si>
    <t>0                      QL 0031000G  58                 A  3           1990</t>
  </si>
  <si>
    <t>Through a window : my thirty years with the chimpanzees of Gombe / Jane Goodall.</t>
  </si>
  <si>
    <t>Goodall, Jane, 1934-</t>
  </si>
  <si>
    <t>Boston : Houghton Mifflin, 1990.</t>
  </si>
  <si>
    <t>2005-03-21</t>
  </si>
  <si>
    <t>14832702:eng</t>
  </si>
  <si>
    <t>21523604</t>
  </si>
  <si>
    <t>ocm21523604</t>
  </si>
  <si>
    <t>3100752767Q</t>
  </si>
  <si>
    <t>9780395500811</t>
  </si>
  <si>
    <t>793121497</t>
  </si>
  <si>
    <t>3100752769M</t>
  </si>
  <si>
    <t>793121498</t>
  </si>
  <si>
    <t>QL31 P45 D48 1977b</t>
  </si>
  <si>
    <t>0                      QL 0031000P  45                 D  48          1977b</t>
  </si>
  <si>
    <t>The world of Roger Tory Peterson : an authorized biography / by John C. Devlin and Grace Naismith ; foreword by Elliot Richardson ; paintings and ill. by Roger Tory Peterson.</t>
  </si>
  <si>
    <t>Devlin, John C., 1911-1984.</t>
  </si>
  <si>
    <t>Montreal : Optimum Pub. Co., ©1977.</t>
  </si>
  <si>
    <t>6693479:eng</t>
  </si>
  <si>
    <t>4795512</t>
  </si>
  <si>
    <t>ocm04795512</t>
  </si>
  <si>
    <t>3001034211F</t>
  </si>
  <si>
    <t>9780888900746</t>
  </si>
  <si>
    <t>792383866</t>
  </si>
  <si>
    <t>QL31 R539 T36 2004</t>
  </si>
  <si>
    <t>0                      QL 0031000R  539                T  36          2004</t>
  </si>
  <si>
    <t>Beyond the outer shores : the untold odyssey of Ed Ricketts, the pioneering ecologist who inspired John Steinbeck and Joseph Campbell / Eric Enno Tamm.</t>
  </si>
  <si>
    <t>Tamm, Eric Enno.</t>
  </si>
  <si>
    <t>New York : Four Walls Eight Windows, 2004.</t>
  </si>
  <si>
    <t>937310:eng</t>
  </si>
  <si>
    <t>53951733</t>
  </si>
  <si>
    <t>ocm53951733</t>
  </si>
  <si>
    <t>31024005218</t>
  </si>
  <si>
    <t>9781568582986</t>
  </si>
  <si>
    <t>793853865</t>
  </si>
  <si>
    <t>QL31 W34 A33 2002</t>
  </si>
  <si>
    <t>0                      QL 0031000W  34                 A  33          2002</t>
  </si>
  <si>
    <t>Seal wars : twenty-five years on the front lines with the harp seals / Paul Watson.</t>
  </si>
  <si>
    <t>Watson, Paul, 1950-</t>
  </si>
  <si>
    <t>Toronto, Ont. : Key Porter Books, ©2002.</t>
  </si>
  <si>
    <t>969715738:eng</t>
  </si>
  <si>
    <t>50538880</t>
  </si>
  <si>
    <t>ocm50538880</t>
  </si>
  <si>
    <t>3102268006E</t>
  </si>
  <si>
    <t>9781552635100</t>
  </si>
  <si>
    <t>793767155</t>
  </si>
  <si>
    <t>QL31 W7 P5</t>
  </si>
  <si>
    <t>0                      QL 0031000W  7                  P  5</t>
  </si>
  <si>
    <t>Alexander Wilson, wanderer in the wilderness. Illus. from Wilson's American ornithology.</t>
  </si>
  <si>
    <t>Plate, Robert.</t>
  </si>
  <si>
    <t>New York, D. McKay Co., 1966.</t>
  </si>
  <si>
    <t>2348808:eng</t>
  </si>
  <si>
    <t>1516420</t>
  </si>
  <si>
    <t>ocm01516420</t>
  </si>
  <si>
    <t>3001060156$</t>
  </si>
  <si>
    <t>791683336</t>
  </si>
  <si>
    <t>QL35 A44</t>
  </si>
  <si>
    <t>0                      QL 0035000A  44</t>
  </si>
  <si>
    <t>American malacologists; a national register of professional and amateur malacologists and private shell collectors and biographies of early American mollusk workers born between 1618 and 1900. [R. Tucker Abbott, editor-in-chief].</t>
  </si>
  <si>
    <t>Falls Church, Va., American Malacologists [1973]</t>
  </si>
  <si>
    <t>1st ed., 1973-1974.</t>
  </si>
  <si>
    <t>3856098343:eng</t>
  </si>
  <si>
    <t>841448</t>
  </si>
  <si>
    <t>ocm00841448</t>
  </si>
  <si>
    <t>3001033399D</t>
  </si>
  <si>
    <t>9780913792025</t>
  </si>
  <si>
    <t>791484104</t>
  </si>
  <si>
    <t>QL41 A72413 2001</t>
  </si>
  <si>
    <t>0                      QL 0041000A  72413       2001</t>
  </si>
  <si>
    <t>On the parts of animals / Aristotle ; translated with a commentary by James G. Lennox.</t>
  </si>
  <si>
    <t>Oxford [England] : Clarendon Press ; New York : Oxford University Press, 2001.</t>
  </si>
  <si>
    <t>4915785100:eng</t>
  </si>
  <si>
    <t>48588337</t>
  </si>
  <si>
    <t>ocm48588337</t>
  </si>
  <si>
    <t>3102735199R</t>
  </si>
  <si>
    <t>9780198751090</t>
  </si>
  <si>
    <t>793724540</t>
  </si>
  <si>
    <t>QL41 P45 2000</t>
  </si>
  <si>
    <t>0                      QL 0041000P  45          2000</t>
  </si>
  <si>
    <t>Aristotle's zoology and its Renaissance commentators, 1521-1601 / Stefano Perfetti.</t>
  </si>
  <si>
    <t>Perfetti, Stefano.</t>
  </si>
  <si>
    <t>Leuven : Leuven University Press, 2000.</t>
  </si>
  <si>
    <t>Ancient and medieval philosophy. Series 1 ; 27</t>
  </si>
  <si>
    <t>292259435:eng</t>
  </si>
  <si>
    <t>47255429</t>
  </si>
  <si>
    <t>ocm47255429</t>
  </si>
  <si>
    <t>3102152693I</t>
  </si>
  <si>
    <t>9789058670502</t>
  </si>
  <si>
    <t>793702096</t>
  </si>
  <si>
    <t>QL45 B9423 1920</t>
  </si>
  <si>
    <t>0                      QL 0045000B  9423        1920</t>
  </si>
  <si>
    <t>The flight of birds.</t>
  </si>
  <si>
    <t>Boston : [publisher not identified], 1920.</t>
  </si>
  <si>
    <t>1911034123:eng</t>
  </si>
  <si>
    <t>61631360</t>
  </si>
  <si>
    <t>ocm61631360</t>
  </si>
  <si>
    <t>3001064777L</t>
  </si>
  <si>
    <t>794066944</t>
  </si>
  <si>
    <t>QL45 D56 1958</t>
  </si>
  <si>
    <t>0                      QL 0045000D  56          1958</t>
  </si>
  <si>
    <t>Recent trends in the scallop fishery of eastern Canada.</t>
  </si>
  <si>
    <t>Dickie, L. M. (Lloyd Merlin), 1926-</t>
  </si>
  <si>
    <t>Ottawa : [publisher not identified], 1958.</t>
  </si>
  <si>
    <t>46186679:eng</t>
  </si>
  <si>
    <t>61631266</t>
  </si>
  <si>
    <t>ocm61631266</t>
  </si>
  <si>
    <t>3001064664Y</t>
  </si>
  <si>
    <t>794066924</t>
  </si>
  <si>
    <t>QL45 M695 1972</t>
  </si>
  <si>
    <t>0                      QL 0045000M  695         1972</t>
  </si>
  <si>
    <t>Logic and law in biology.</t>
  </si>
  <si>
    <t>Mitchell, P. Chalmers (Peter Chalmers), Sir, 1864-1945.</t>
  </si>
  <si>
    <t>London : Macmillan and Co. Ltd., 1972.</t>
  </si>
  <si>
    <t>11182188:eng</t>
  </si>
  <si>
    <t>427314242</t>
  </si>
  <si>
    <t>ocn427314242</t>
  </si>
  <si>
    <t>3001070335U</t>
  </si>
  <si>
    <t>794584252</t>
  </si>
  <si>
    <t>QL45 S741 1921</t>
  </si>
  <si>
    <t>0                      QL 0045000S  741         1921</t>
  </si>
  <si>
    <t>Bird-lore of the Northern Indians.</t>
  </si>
  <si>
    <t>Speck, Frank G. (Frank Gouldsmith), 1881-1950.</t>
  </si>
  <si>
    <t>Philadelphia : [publisher not identified], 1921.</t>
  </si>
  <si>
    <t>314809389:eng</t>
  </si>
  <si>
    <t>427303060</t>
  </si>
  <si>
    <t>ocn427303060</t>
  </si>
  <si>
    <t>3001064964M</t>
  </si>
  <si>
    <t>794575241</t>
  </si>
  <si>
    <t>QL46.5 K83 1982</t>
  </si>
  <si>
    <t>0                      QL 0046500K  83          1982</t>
  </si>
  <si>
    <t>The animal art of Bob Kuhn.</t>
  </si>
  <si>
    <t>Kuhn, Bob.</t>
  </si>
  <si>
    <t>Fairfield, Conn. : North Light Publishers, [1982]</t>
  </si>
  <si>
    <t>Rev. for soft cover print. 1982.</t>
  </si>
  <si>
    <t>2453312698:eng</t>
  </si>
  <si>
    <t>8974351</t>
  </si>
  <si>
    <t>ocm08974351</t>
  </si>
  <si>
    <t>31012737823</t>
  </si>
  <si>
    <t>9780891340508</t>
  </si>
  <si>
    <t>792650769</t>
  </si>
  <si>
    <t>QL47.2 H54 1979</t>
  </si>
  <si>
    <t>0                      QL 0047200H  54          1979</t>
  </si>
  <si>
    <t>Integrated principles of zoology / Cleveland P. Hickman, Sr., Cleveland P. Hickman, Jr., Frances M. Hickman, in association with Larry S. Roberts ; with 1205 ill., including original drawings by William C. Ober.</t>
  </si>
  <si>
    <t>Hickman, Cleveland P. (Cleveland Pendleton), 1896-1978.</t>
  </si>
  <si>
    <t>St. Louis : Mosby, 1979.</t>
  </si>
  <si>
    <t>2832355:eng</t>
  </si>
  <si>
    <t>4491721</t>
  </si>
  <si>
    <t>ocm04491721</t>
  </si>
  <si>
    <t>3001034708L</t>
  </si>
  <si>
    <t>9780801621727</t>
  </si>
  <si>
    <t>792354345</t>
  </si>
  <si>
    <t>QL50 H315</t>
  </si>
  <si>
    <t>0                      QL 0050000H  315</t>
  </si>
  <si>
    <t>There's a seal in my sleeping bag.</t>
  </si>
  <si>
    <t>Hancock, Lyn.</t>
  </si>
  <si>
    <t>New York, Knopf, 1972.</t>
  </si>
  <si>
    <t>1479017:eng</t>
  </si>
  <si>
    <t>378977</t>
  </si>
  <si>
    <t>ocm00378977</t>
  </si>
  <si>
    <t>3000555086M</t>
  </si>
  <si>
    <t>9780394480329</t>
  </si>
  <si>
    <t>791358253</t>
  </si>
  <si>
    <t>- Reserves and A/V Room - A/V Collection - A/V Loan</t>
  </si>
  <si>
    <t>QL50 .P583 DVD</t>
  </si>
  <si>
    <t>0                      QL 0050000P  583                                                     DVD</t>
  </si>
  <si>
    <t>Planet Earth / British Broadcasting Corporation ; produced by Shannon Malone ; written by David Attenborough ; directed by Alastair Fothergill.</t>
  </si>
  <si>
    <t>disc 2- Mountains</t>
  </si>
  <si>
    <t>Planet Earth (Television program : 2006)</t>
  </si>
  <si>
    <t>[London] : BBC Active ; Mississauga, ON : [Distributed in Canada by] McNabb Connolly, [2007]</t>
  </si>
  <si>
    <t>2008-11-24</t>
  </si>
  <si>
    <t>5218142821:eng</t>
  </si>
  <si>
    <t>253896911</t>
  </si>
  <si>
    <t>ocn253896911</t>
  </si>
  <si>
    <t>3102816259W</t>
  </si>
  <si>
    <t>794396223</t>
  </si>
  <si>
    <t>disc 1- From Pole to Pole</t>
  </si>
  <si>
    <t>3102816254W</t>
  </si>
  <si>
    <t>794396224</t>
  </si>
  <si>
    <t>QL76.5 G72 I86 2014</t>
  </si>
  <si>
    <t>0                      QL 0076500G  72                 I  86          2014</t>
  </si>
  <si>
    <t>London Zoo, 1828-1859 : cultural politics, public science and animal history / Takashi Ito.</t>
  </si>
  <si>
    <t>Ito, Takashi, author.</t>
  </si>
  <si>
    <t>London : Royal Historical Society, 2014.</t>
  </si>
  <si>
    <t>Royal Historical Society studies in history. New series</t>
  </si>
  <si>
    <t>1492404191:eng</t>
  </si>
  <si>
    <t>864788414</t>
  </si>
  <si>
    <t>ocn864788414</t>
  </si>
  <si>
    <t>31035659561</t>
  </si>
  <si>
    <t>9780861933211</t>
  </si>
  <si>
    <t>794962425</t>
  </si>
  <si>
    <t>QL83 M34 1989</t>
  </si>
  <si>
    <t>0                      QL 0083000M  34          1989</t>
  </si>
  <si>
    <t>Travels in search of endangered species / Jeremy Mallinson ; foreword by Gerald Durrell.</t>
  </si>
  <si>
    <t>Mallinson, Jeremy.</t>
  </si>
  <si>
    <t>Newton Abbot : David &amp; Charles ; New York, NY : Distributed in the United States by Sterling Pub. Co., ©1989.</t>
  </si>
  <si>
    <t>25817676:eng</t>
  </si>
  <si>
    <t>23941824</t>
  </si>
  <si>
    <t>ocm23941824</t>
  </si>
  <si>
    <t>3103397772T</t>
  </si>
  <si>
    <t>9780715393468</t>
  </si>
  <si>
    <t>793185628</t>
  </si>
  <si>
    <t>QL84.24 F57 2018</t>
  </si>
  <si>
    <t>0                      QL 0084240F  57          2018</t>
  </si>
  <si>
    <t>The subjugation of Canadian wildlife : failures of principle and policy / Max Foran.</t>
  </si>
  <si>
    <t>Foran, Maxwell, author.</t>
  </si>
  <si>
    <t>Montreal ; Kingston ; London ; Chicago : McGill-Queen's University Press, [2018]</t>
  </si>
  <si>
    <t>McGill-Queen's rural, wildland, and resource studies series ; 9</t>
  </si>
  <si>
    <t>4649842346:eng</t>
  </si>
  <si>
    <t>1013499226</t>
  </si>
  <si>
    <t>on1013499226</t>
  </si>
  <si>
    <t>31037300879</t>
  </si>
  <si>
    <t>9780773553163</t>
  </si>
  <si>
    <t>795047098</t>
  </si>
  <si>
    <t>QL84.4 G7 A46 2019</t>
  </si>
  <si>
    <t>0                      QL 0084400G  7                  A  46          2019</t>
  </si>
  <si>
    <t>City of beasts : how animals shaped Georgian London / Thomas Almeroth-Williams.</t>
  </si>
  <si>
    <t>Almeroth-Williams, Thomas, author.</t>
  </si>
  <si>
    <t>Manchester : Manchester University Press, 2019.</t>
  </si>
  <si>
    <t>2019-12-13</t>
  </si>
  <si>
    <t>8961809237:eng</t>
  </si>
  <si>
    <t>1077483437</t>
  </si>
  <si>
    <t>on1077483437</t>
  </si>
  <si>
    <t>31039077291</t>
  </si>
  <si>
    <t>9781526126351</t>
  </si>
  <si>
    <t>795067647</t>
  </si>
  <si>
    <t>QL84.6 A1 A33 1999</t>
  </si>
  <si>
    <t>0                      QL 0084600A  1                  A  33          1999</t>
  </si>
  <si>
    <t>The myth of wild Africa : conservation without illusion / Jonathan S. Adams, Thomas O. McShane.</t>
  </si>
  <si>
    <t>Adams, Jonathan S., 1961-</t>
  </si>
  <si>
    <t>Berkeley : University of California Press, [1996]</t>
  </si>
  <si>
    <t>796357268:eng</t>
  </si>
  <si>
    <t>34576850</t>
  </si>
  <si>
    <t>ocm34576850</t>
  </si>
  <si>
    <t>3102757139L</t>
  </si>
  <si>
    <t>9780520206717</t>
  </si>
  <si>
    <t>793430339</t>
  </si>
  <si>
    <t>QL84.6 A1 A34 2001</t>
  </si>
  <si>
    <t>0                      QL 0084600A  1                  A  34          2001</t>
  </si>
  <si>
    <t>African wildlife &amp; livelihoods : the promise and performance of community conservation / edited by David Hulme, Marshall Murphree.</t>
  </si>
  <si>
    <t>Cape Town : D. Philip ; Portsmouth, NH : Heinemann, ©2001.</t>
  </si>
  <si>
    <t>2016-04-16</t>
  </si>
  <si>
    <t>836969292:eng</t>
  </si>
  <si>
    <t>46984498</t>
  </si>
  <si>
    <t>ocm46984498</t>
  </si>
  <si>
    <t>31021357120</t>
  </si>
  <si>
    <t>9780325070605</t>
  </si>
  <si>
    <t>793696040</t>
  </si>
  <si>
    <t>31030383859</t>
  </si>
  <si>
    <t>793696039</t>
  </si>
  <si>
    <t>QL84.6 K4 M33 2016</t>
  </si>
  <si>
    <t>0                      QL 0084600K  4                  M  33          2016</t>
  </si>
  <si>
    <t>The big conservation lie : the untold story of wildlife conservation in Kenya / John Mbaria &amp; Mordecai Ogada.</t>
  </si>
  <si>
    <t>Mbaria, John, author.</t>
  </si>
  <si>
    <t>Auburn : Lens &amp; Pens Publishing, 2016.</t>
  </si>
  <si>
    <t>4217595317:eng</t>
  </si>
  <si>
    <t>969240979</t>
  </si>
  <si>
    <t>ocn969240979</t>
  </si>
  <si>
    <t>3103684254A</t>
  </si>
  <si>
    <t>9780692787212</t>
  </si>
  <si>
    <t>795027347</t>
  </si>
  <si>
    <t>QL84.6 T3 G57 2016</t>
  </si>
  <si>
    <t>0                      QL 0084600T  3                  G  57          2016</t>
  </si>
  <si>
    <t>The nature of German imperialism : conservation and the politics of wildlife in colonial East Africa / Bernhard Gissibl.</t>
  </si>
  <si>
    <t>Gissibl, Bernhard, 1976- author.</t>
  </si>
  <si>
    <t>New York : Berghahn Books, 2016.</t>
  </si>
  <si>
    <t>The environment in history : international perspectives ; Volume 9</t>
  </si>
  <si>
    <t>3805521580:eng</t>
  </si>
  <si>
    <t>936348983</t>
  </si>
  <si>
    <t>ocn936348983</t>
  </si>
  <si>
    <t>3103697716E</t>
  </si>
  <si>
    <t>9781785331756</t>
  </si>
  <si>
    <t>795010694</t>
  </si>
  <si>
    <t>QL84.6 Z33 O84 1992</t>
  </si>
  <si>
    <t>0                      QL 0084600Z  33                 O  84          1992</t>
  </si>
  <si>
    <t>The eye of the elephant : an epic adventure in the African wilderness / Delia and Mark Owens.</t>
  </si>
  <si>
    <t>Owens, Delia. author.</t>
  </si>
  <si>
    <t>Boston : Houghton Mifflin, 1992.</t>
  </si>
  <si>
    <t>395623:eng</t>
  </si>
  <si>
    <t>25915314</t>
  </si>
  <si>
    <t>ocm25915314</t>
  </si>
  <si>
    <t>3102168493R</t>
  </si>
  <si>
    <t>9780395423813</t>
  </si>
  <si>
    <t>793233124</t>
  </si>
  <si>
    <t>QL84.6 Z55 D84 2000</t>
  </si>
  <si>
    <t>0                      QL 0084600Z  55                 D  84          2000</t>
  </si>
  <si>
    <t>Killing for conservation : wildlife policy in Zimbabwe / Rosaleen Duffy.</t>
  </si>
  <si>
    <t>Duffy, Rosaleen.</t>
  </si>
  <si>
    <t>[London] : International African Institute in association with J. Currey, Oxford ; Bloomington : Indiana University Press, 2000.</t>
  </si>
  <si>
    <t>African issues</t>
  </si>
  <si>
    <t>33764856:eng</t>
  </si>
  <si>
    <t>44768909</t>
  </si>
  <si>
    <t>ocm44768909</t>
  </si>
  <si>
    <t>31025118957</t>
  </si>
  <si>
    <t>9780253339157</t>
  </si>
  <si>
    <t>793657603</t>
  </si>
  <si>
    <t>QL85 A52 2000</t>
  </si>
  <si>
    <t>0                      QL 0085000A  52          2000</t>
  </si>
  <si>
    <t>Animal spaces, beastly places : new geographies of human-animal relations / edited by Chris Philo and Chris Wilbert.</t>
  </si>
  <si>
    <t>Critical geographies</t>
  </si>
  <si>
    <t>793967407:eng</t>
  </si>
  <si>
    <t>43063309</t>
  </si>
  <si>
    <t>ocm43063309</t>
  </si>
  <si>
    <t>3103051765J</t>
  </si>
  <si>
    <t>9780415198462</t>
  </si>
  <si>
    <t>793619566</t>
  </si>
  <si>
    <t>QL85 A5235 2013</t>
  </si>
  <si>
    <t>0                      QL 0085000A  5235        2013</t>
  </si>
  <si>
    <t>Animals &amp; people : a selection of essays from Orion Magazine / [foreword by Jane Goodall].</t>
  </si>
  <si>
    <t>Great Barrington, MA : Orion, [2013]</t>
  </si>
  <si>
    <t>2239173490:eng</t>
  </si>
  <si>
    <t>897379196</t>
  </si>
  <si>
    <t>ocn897379196</t>
  </si>
  <si>
    <t>31037939826</t>
  </si>
  <si>
    <t>9781935713104</t>
  </si>
  <si>
    <t>794985067</t>
  </si>
  <si>
    <t>QL85 A53 1994</t>
  </si>
  <si>
    <t>0                      QL 0085000A  53          1994</t>
  </si>
  <si>
    <t>Animals and human society : changing perspectives / edited by Aubrey Manning and James Serpell.</t>
  </si>
  <si>
    <t>864992714:eng</t>
  </si>
  <si>
    <t>27974254</t>
  </si>
  <si>
    <t>ocm27974254</t>
  </si>
  <si>
    <t>3103008086X</t>
  </si>
  <si>
    <t>9780415091558</t>
  </si>
  <si>
    <t>793276555</t>
  </si>
  <si>
    <t>QL85 B38 2012</t>
  </si>
  <si>
    <t>0                      QL 0085000B  38          2012</t>
  </si>
  <si>
    <t>ANIMALS IN SOCIAL LIFE.</t>
  </si>
  <si>
    <t>LU BAUER, RADHIKA.</t>
  </si>
  <si>
    <t>[S.l.] : AKADEMIKER VERLAG, 2012.</t>
  </si>
  <si>
    <t>5300010442:eng</t>
  </si>
  <si>
    <t>1042352467</t>
  </si>
  <si>
    <t>on1042352467</t>
  </si>
  <si>
    <t>31037374655</t>
  </si>
  <si>
    <t>9783639448658</t>
  </si>
  <si>
    <t>795059508</t>
  </si>
  <si>
    <t>QL85 C64 2002</t>
  </si>
  <si>
    <t>0                      QL 0085000C  64          2002</t>
  </si>
  <si>
    <t>Game in the garden : a human history of wildlife in Western Canada to 1940 / George Colpitts.</t>
  </si>
  <si>
    <t>Colpitts, George, 1964-</t>
  </si>
  <si>
    <t>Vancouver : UBC Press, ©2002.</t>
  </si>
  <si>
    <t>793918084:eng</t>
  </si>
  <si>
    <t>50713652</t>
  </si>
  <si>
    <t>ocm50713652</t>
  </si>
  <si>
    <t>3102998347E</t>
  </si>
  <si>
    <t>9780774809627</t>
  </si>
  <si>
    <t>793771243</t>
  </si>
  <si>
    <t>QL85 F73 1999</t>
  </si>
  <si>
    <t>0                      QL 0085000F  73          1999</t>
  </si>
  <si>
    <t>Animals and modern cultures : a sociology of human-animal relations in modernity / Adrian Franklin.</t>
  </si>
  <si>
    <t>Franklin, Adrian.</t>
  </si>
  <si>
    <t>London ; Thousand Oaks, Calif. : Sage, 1999.</t>
  </si>
  <si>
    <t>836981926:eng</t>
  </si>
  <si>
    <t>41257030</t>
  </si>
  <si>
    <t>ocm41257030</t>
  </si>
  <si>
    <t>3102561582U</t>
  </si>
  <si>
    <t>9780761956228</t>
  </si>
  <si>
    <t>793587621</t>
  </si>
  <si>
    <t>QL85 F83 2002</t>
  </si>
  <si>
    <t>0                      QL 0085000F  83          2002</t>
  </si>
  <si>
    <t>Animal / Erica Fudge.</t>
  </si>
  <si>
    <t>Fudge, Erica.</t>
  </si>
  <si>
    <t>London : Reaktion, 2002.</t>
  </si>
  <si>
    <t>Focus on contemporary issues</t>
  </si>
  <si>
    <t>1066857:eng</t>
  </si>
  <si>
    <t>49905622</t>
  </si>
  <si>
    <t>ocm49905622</t>
  </si>
  <si>
    <t>31028027385</t>
  </si>
  <si>
    <t>9781861891341</t>
  </si>
  <si>
    <t>793750452</t>
  </si>
  <si>
    <t>QL85 H369 2016</t>
  </si>
  <si>
    <t>0                      QL 0085000H  369         2016</t>
  </si>
  <si>
    <t>Staying with the trouble : making kin in the Chthulucene / Donna J. Haraway.</t>
  </si>
  <si>
    <t>Haraway, Donna Jeanne, author.</t>
  </si>
  <si>
    <t>Durham : Duke University Press, 2016.</t>
  </si>
  <si>
    <t>Experimental futures: technological lives, scientific arts, anthropological voices</t>
  </si>
  <si>
    <t>2935143986:eng</t>
  </si>
  <si>
    <t>934194942</t>
  </si>
  <si>
    <t>ocn934194942</t>
  </si>
  <si>
    <t>3103687526P</t>
  </si>
  <si>
    <t>9780822362142</t>
  </si>
  <si>
    <t>795009511</t>
  </si>
  <si>
    <t>3103687528L</t>
  </si>
  <si>
    <t>795009509</t>
  </si>
  <si>
    <t>3103687525R</t>
  </si>
  <si>
    <t>795009510</t>
  </si>
  <si>
    <t>QL85 H37 2008</t>
  </si>
  <si>
    <t>0                      QL 0085000H  37          2008</t>
  </si>
  <si>
    <t>When species meet / Donna J. Haraway.</t>
  </si>
  <si>
    <t>Minneapolis : University of Minnesota Press, ©2008.</t>
  </si>
  <si>
    <t>Posthumanities ; 3</t>
  </si>
  <si>
    <t>105156602:eng</t>
  </si>
  <si>
    <t>230932894</t>
  </si>
  <si>
    <t>ocn230932894</t>
  </si>
  <si>
    <t>3103711208U</t>
  </si>
  <si>
    <t>9780816650453</t>
  </si>
  <si>
    <t>794355797</t>
  </si>
  <si>
    <t>3103251081O</t>
  </si>
  <si>
    <t>794355798</t>
  </si>
  <si>
    <t>3102910662$</t>
  </si>
  <si>
    <t>794355799</t>
  </si>
  <si>
    <t>QL85 I58 1999</t>
  </si>
  <si>
    <t>0                      QL 0085000I  58          1999</t>
  </si>
  <si>
    <t>Intimate nature : the bond between women and animals / edited by Linda Hogan, Deena Metzger and Brenda Peterson.</t>
  </si>
  <si>
    <t>New York : Fawcett ; London : Turnaround, 1999.</t>
  </si>
  <si>
    <t>836983184:eng</t>
  </si>
  <si>
    <t>41258237</t>
  </si>
  <si>
    <t>ocm41258237</t>
  </si>
  <si>
    <t>3102095636Z</t>
  </si>
  <si>
    <t>9780449003008</t>
  </si>
  <si>
    <t>793587662</t>
  </si>
  <si>
    <t>QL85 J37 2005</t>
  </si>
  <si>
    <t>0                      QL 0085000J  37          2005</t>
  </si>
  <si>
    <t>JAPANimals : history and culture in Japan's animal life / edited by Gregory M. Pflugfelder and Brett L. Walker.</t>
  </si>
  <si>
    <t>Ann Arbor : Center for Japanese Studies, University of Michigan, 2005.</t>
  </si>
  <si>
    <t>Michigan monograph series in Japanese studies ; no. 52</t>
  </si>
  <si>
    <t>2016-10-08</t>
  </si>
  <si>
    <t>902844036:eng</t>
  </si>
  <si>
    <t>58986178</t>
  </si>
  <si>
    <t>ocm58986178</t>
  </si>
  <si>
    <t>3102554684K</t>
  </si>
  <si>
    <t>9781929280308</t>
  </si>
  <si>
    <t>793926296</t>
  </si>
  <si>
    <t>QL85 L55 2013</t>
  </si>
  <si>
    <t>0                      QL 0085000L  55          2013</t>
  </si>
  <si>
    <t>Living beings : perspectives on interspecies engagements / edited by Penelope Dransart.</t>
  </si>
  <si>
    <t>London ; New York : Bloomsbury, 2013.</t>
  </si>
  <si>
    <t>ASA monographs, 0066-9679 ; 50</t>
  </si>
  <si>
    <t>1415391743:eng</t>
  </si>
  <si>
    <t>856053380</t>
  </si>
  <si>
    <t>ocn856053380</t>
  </si>
  <si>
    <t>3103529841A</t>
  </si>
  <si>
    <t>9780857858412</t>
  </si>
  <si>
    <t>794954075</t>
  </si>
  <si>
    <t>QL85 N38 2000</t>
  </si>
  <si>
    <t>0                      QL 0085000N  38          2000</t>
  </si>
  <si>
    <t>Natural enemies : people-wildlife conflicts in anthropological perspective / edited by John Knight.</t>
  </si>
  <si>
    <t>European Association of Social Anthropologists</t>
  </si>
  <si>
    <t>837030786:eng</t>
  </si>
  <si>
    <t>44509232</t>
  </si>
  <si>
    <t>ocm44509232</t>
  </si>
  <si>
    <t>3102155614P</t>
  </si>
  <si>
    <t>9780415224406</t>
  </si>
  <si>
    <t>793651899</t>
  </si>
  <si>
    <t>QL85 O34 2009</t>
  </si>
  <si>
    <t>0                      QL 0085000O  34          2009</t>
  </si>
  <si>
    <t>Of mice and men : animals in human culture / edited by Nandita Batra and Vartan Messier.</t>
  </si>
  <si>
    <t>Newcastle upon Tyne : Cambridge Scholars, 2009.</t>
  </si>
  <si>
    <t>908631432:eng</t>
  </si>
  <si>
    <t>428370874</t>
  </si>
  <si>
    <t>ocn428370874</t>
  </si>
  <si>
    <t>31031304297</t>
  </si>
  <si>
    <t>9781443812320</t>
  </si>
  <si>
    <t>794778555</t>
  </si>
  <si>
    <t>QL85 R455 2004</t>
  </si>
  <si>
    <t>0                      QL 0085000R  455         2004</t>
  </si>
  <si>
    <t>Renaissance beasts : of animals, humans, and other wonderful creatures / edited by Erica Fudge.</t>
  </si>
  <si>
    <t>Urbana : University of Illinois Press, ©2004.</t>
  </si>
  <si>
    <t>838736964:eng</t>
  </si>
  <si>
    <t>52127452</t>
  </si>
  <si>
    <t>ocm52127452</t>
  </si>
  <si>
    <t>3102440810I</t>
  </si>
  <si>
    <t>9780252028809</t>
  </si>
  <si>
    <t>793798963</t>
  </si>
  <si>
    <t>QL85 S22 2001</t>
  </si>
  <si>
    <t>0                      QL 0085000S  22          2001</t>
  </si>
  <si>
    <t>Reordering the natural world : humans and animals in the city / Annabelle Sabloff.</t>
  </si>
  <si>
    <t>Sabloff, Annabelle, 1944-</t>
  </si>
  <si>
    <t>Toronto ; Buffalo : University of Toronto Press, ©2001.</t>
  </si>
  <si>
    <t>856981075:eng</t>
  </si>
  <si>
    <t>44751667</t>
  </si>
  <si>
    <t>ocm44751667</t>
  </si>
  <si>
    <t>3102152369R</t>
  </si>
  <si>
    <t>9780802048325</t>
  </si>
  <si>
    <t>793657307</t>
  </si>
  <si>
    <t>QL 85 S52 1998</t>
  </si>
  <si>
    <t>0                      QL 0085000S  52          1998</t>
  </si>
  <si>
    <t>Si les lions pouvaient parler : essais sur la condition animale / sous la dir. de Boris Cyrulnik.</t>
  </si>
  <si>
    <t>Paris : Gallimard, ©1998.</t>
  </si>
  <si>
    <t>Quarto</t>
  </si>
  <si>
    <t>890801561:fre</t>
  </si>
  <si>
    <t>39785163</t>
  </si>
  <si>
    <t>ocm39785163</t>
  </si>
  <si>
    <t>3101987885T</t>
  </si>
  <si>
    <t>9782070737093</t>
  </si>
  <si>
    <t>793553206</t>
  </si>
  <si>
    <t>QL85 W55 2004</t>
  </si>
  <si>
    <t>0                      QL 0085000W  55          2004</t>
  </si>
  <si>
    <t>Wildlife in Asia : cultural perspectives / edited by John Knight.</t>
  </si>
  <si>
    <t>London ; New York : RoutledgeCurzon, 2004.</t>
  </si>
  <si>
    <t>Nordic Institute of Asian Studies : Man and nature in Asia</t>
  </si>
  <si>
    <t>799861261:eng</t>
  </si>
  <si>
    <t>52587592</t>
  </si>
  <si>
    <t>ocm52587592</t>
  </si>
  <si>
    <t>31023475057</t>
  </si>
  <si>
    <t>9780700713325</t>
  </si>
  <si>
    <t>793810295</t>
  </si>
  <si>
    <t>QL87 A55 1997</t>
  </si>
  <si>
    <t>0                      QL 0087000A  55          1997</t>
  </si>
  <si>
    <t>L'animal dans l'Antiquité / édité par Barbara Cassin et Jean-Louis Labarrière, sous la direction de Gilbert Romeyer Dherbey.</t>
  </si>
  <si>
    <t>Paris : J. Vrin, 1997.</t>
  </si>
  <si>
    <t>Bibliothèque d'histoire de la philosophie, 0249-7980. Nouvelle série</t>
  </si>
  <si>
    <t>364228906:fre</t>
  </si>
  <si>
    <t>38744282</t>
  </si>
  <si>
    <t>ocm38744282</t>
  </si>
  <si>
    <t>3101892603H</t>
  </si>
  <si>
    <t>9782711613236</t>
  </si>
  <si>
    <t>793529768</t>
  </si>
  <si>
    <t>QL89 H56 2017</t>
  </si>
  <si>
    <t>0                      QL 0089000H  56          2017</t>
  </si>
  <si>
    <t>Canadian monsters &amp; mythical creatures / Andrew Hind.</t>
  </si>
  <si>
    <t>Hind, Andrew, author.</t>
  </si>
  <si>
    <t>[Edmonton, Alberta] : Quagmire Press, [2017]</t>
  </si>
  <si>
    <t>5393988252:eng</t>
  </si>
  <si>
    <t>1049174402</t>
  </si>
  <si>
    <t>on1049174402</t>
  </si>
  <si>
    <t>3103730066H</t>
  </si>
  <si>
    <t>9781926695372</t>
  </si>
  <si>
    <t>795061113</t>
  </si>
  <si>
    <t>QL89 M65x</t>
  </si>
  <si>
    <t>0                      QL 0089000M  65x</t>
  </si>
  <si>
    <t>Ogopogo : the Okanagan mystery from Indian lore to contemporary evidence, the facts about the legendary monster of British Columbia's Okanagan Lake / Mary Moon.</t>
  </si>
  <si>
    <t>Moon, Mary.</t>
  </si>
  <si>
    <t>Vancouver : J.J. Douglas, ©1977.</t>
  </si>
  <si>
    <t>7925900:eng</t>
  </si>
  <si>
    <t>3161851</t>
  </si>
  <si>
    <t>ocm03161851</t>
  </si>
  <si>
    <t>3000424798H</t>
  </si>
  <si>
    <t>9780888941084</t>
  </si>
  <si>
    <t>792224268</t>
  </si>
  <si>
    <t>QL89.2 S2 D34 2004</t>
  </si>
  <si>
    <t>0                      QL 0089200S  2                  D  34          2004</t>
  </si>
  <si>
    <t>Bigfoot exposed : an anthropologist examines America's enduring legend / David J. Daegling.</t>
  </si>
  <si>
    <t>Daegling, David J., 1960-</t>
  </si>
  <si>
    <t>Walnut Creek, Calif. : Altamira Press, ©2004.</t>
  </si>
  <si>
    <t>2018-03-28</t>
  </si>
  <si>
    <t>234844763:eng</t>
  </si>
  <si>
    <t>55982193</t>
  </si>
  <si>
    <t>ocm55982193</t>
  </si>
  <si>
    <t>3102980688Y</t>
  </si>
  <si>
    <t>9780759105386</t>
  </si>
  <si>
    <t>793885180</t>
  </si>
  <si>
    <t>QL104 I78</t>
  </si>
  <si>
    <t>0                      QL 0104000I  78</t>
  </si>
  <si>
    <t>Arctic life of birds and mammals, including man.</t>
  </si>
  <si>
    <t>Irving, Laurence, 1895-1979.</t>
  </si>
  <si>
    <t>Berlin, New York, Springer-Verlag, 1972.</t>
  </si>
  <si>
    <t>Zoophysiology and ecology ; v. 2</t>
  </si>
  <si>
    <t>2004-10-14</t>
  </si>
  <si>
    <t>1778286:eng</t>
  </si>
  <si>
    <t>590792</t>
  </si>
  <si>
    <t>ocm00590792</t>
  </si>
  <si>
    <t>3001037431N</t>
  </si>
  <si>
    <t>9780387058016</t>
  </si>
  <si>
    <t>791423055</t>
  </si>
  <si>
    <t>QL105 C44 2016</t>
  </si>
  <si>
    <t>0                      QL 0105000C  44          2016</t>
  </si>
  <si>
    <t>The Arctic guide : wildlife of the far north / Sharon Chester.</t>
  </si>
  <si>
    <t>Chester, Sharon R., author.</t>
  </si>
  <si>
    <t>Princeton field guides</t>
  </si>
  <si>
    <t>2536574817:eng</t>
  </si>
  <si>
    <t>910566494</t>
  </si>
  <si>
    <t>ocn910566494</t>
  </si>
  <si>
    <t>3103739378R</t>
  </si>
  <si>
    <t>9780691139753</t>
  </si>
  <si>
    <t>794996320</t>
  </si>
  <si>
    <t>QL110 B8 1967</t>
  </si>
  <si>
    <t>0                      QL 0110000B  8           1967</t>
  </si>
  <si>
    <t>Soil biology, edited by A. Burges and F. Raw.</t>
  </si>
  <si>
    <t>Burges, Alan, 1911-</t>
  </si>
  <si>
    <t>London, Academic Press, 1967.</t>
  </si>
  <si>
    <t>346791990:eng</t>
  </si>
  <si>
    <t>556358</t>
  </si>
  <si>
    <t>ocm00556358</t>
  </si>
  <si>
    <t>3001028881U</t>
  </si>
  <si>
    <t>9780121434502</t>
  </si>
  <si>
    <t>791413387</t>
  </si>
  <si>
    <t>QL116 C7</t>
  </si>
  <si>
    <t>0                      QL 0116000C  7</t>
  </si>
  <si>
    <t>Biology of desert invertebrates / Clifford S. Crawford.</t>
  </si>
  <si>
    <t>Crawford, Clifford S.</t>
  </si>
  <si>
    <t>Berlin ; New York : Springer-Verlag, 1981.</t>
  </si>
  <si>
    <t>28882858:eng</t>
  </si>
  <si>
    <t>7575660</t>
  </si>
  <si>
    <t>ocm07575660</t>
  </si>
  <si>
    <t>3001026541R</t>
  </si>
  <si>
    <t>9780387108070</t>
  </si>
  <si>
    <t>792567264</t>
  </si>
  <si>
    <t>QL121 E34 1985</t>
  </si>
  <si>
    <t>0                      QL 0121000E  34          1985</t>
  </si>
  <si>
    <t>The Effects of stress and pollution on marine animals / by B.L. Bayne [and others].</t>
  </si>
  <si>
    <t>New York : Praeger, ©1985.</t>
  </si>
  <si>
    <t>Praeger special studies</t>
  </si>
  <si>
    <t>2018-08-08</t>
  </si>
  <si>
    <t>54668691:eng</t>
  </si>
  <si>
    <t>11187804</t>
  </si>
  <si>
    <t>ocm11187804</t>
  </si>
  <si>
    <t>3001030006$</t>
  </si>
  <si>
    <t>9780030570193</t>
  </si>
  <si>
    <t>792762292</t>
  </si>
  <si>
    <t>QL121 E58 1994</t>
  </si>
  <si>
    <t>0                      QL 0121000E  58          1994</t>
  </si>
  <si>
    <t>Monsters of the sea / Richard Ellis.</t>
  </si>
  <si>
    <t>Ellis, Richard, 1938-</t>
  </si>
  <si>
    <t>New York, NY : Lyons Press, 2001.</t>
  </si>
  <si>
    <t>1st Lyons Press ed.</t>
  </si>
  <si>
    <t>87326:eng</t>
  </si>
  <si>
    <t>45422141</t>
  </si>
  <si>
    <t>ocm45422141</t>
  </si>
  <si>
    <t>3102168503D</t>
  </si>
  <si>
    <t>9781585742585</t>
  </si>
  <si>
    <t>793671195</t>
  </si>
  <si>
    <t>QL121 S43 1996</t>
  </si>
  <si>
    <t>0                      QL 0121000S  43          1996</t>
  </si>
  <si>
    <t>SeaLife : a complete guide to the marine environment / edited by Geoffrey Waller ; principal contributors, Michael Burchett and Marc Dando ; illustrated by Marc Dando and Richard Hull.</t>
  </si>
  <si>
    <t>Washington, D.C. : Smithsonian Institution Press, ©1996.</t>
  </si>
  <si>
    <t>837028079:eng</t>
  </si>
  <si>
    <t>35673765</t>
  </si>
  <si>
    <t>ocm35673765</t>
  </si>
  <si>
    <t>3101729264R</t>
  </si>
  <si>
    <t>9781560986331</t>
  </si>
  <si>
    <t>793454774</t>
  </si>
  <si>
    <t>QL123 O4613 1984</t>
  </si>
  <si>
    <t>0                      QL 0123000O  4613        1984</t>
  </si>
  <si>
    <t>Methods in marine zooplankton ecology / Makoto Ōmori, Tsutomu Ikeda.</t>
  </si>
  <si>
    <t>Ōmori, Makoto, 1937-</t>
  </si>
  <si>
    <t>New York : Wiley, ©1984.</t>
  </si>
  <si>
    <t>3382727:eng</t>
  </si>
  <si>
    <t>10276010</t>
  </si>
  <si>
    <t>ocm10276010</t>
  </si>
  <si>
    <t>30010302872</t>
  </si>
  <si>
    <t>9780471801078</t>
  </si>
  <si>
    <t>792717648</t>
  </si>
  <si>
    <t>QL125 H85 2013</t>
  </si>
  <si>
    <t>0                      QL 0125000H  85          2013</t>
  </si>
  <si>
    <t>Reef creature identification : Florida, Caribbean, Bahamas.</t>
  </si>
  <si>
    <t>Humann, Paul, author.</t>
  </si>
  <si>
    <t>Jacksonville, Florida : New World Publications, [2013]</t>
  </si>
  <si>
    <t>3rd edition / Paul Humann, Ned DeLoach, Les Wilk.</t>
  </si>
  <si>
    <t>Reef set ; bk. 2</t>
  </si>
  <si>
    <t>30451983:eng</t>
  </si>
  <si>
    <t>861665721</t>
  </si>
  <si>
    <t>ocn861665721</t>
  </si>
  <si>
    <t>3103811485Y</t>
  </si>
  <si>
    <t>9781878348531</t>
  </si>
  <si>
    <t>794959448</t>
  </si>
  <si>
    <t>QL128 M35 no.8</t>
  </si>
  <si>
    <t>0                      QL 0128000M  35                                                      no.8</t>
  </si>
  <si>
    <t>Polychaeta Phyllodocidae / by Fredrik Pleijel.</t>
  </si>
  <si>
    <t>no.8*</t>
  </si>
  <si>
    <t>Pleijel, Fredrik.</t>
  </si>
  <si>
    <t>Oslo : Scandinavian University Press, 1993.</t>
  </si>
  <si>
    <t>Marine invertebrates of Scandinavia ; no. 8</t>
  </si>
  <si>
    <t>30860981:eng</t>
  </si>
  <si>
    <t>28238791</t>
  </si>
  <si>
    <t>ocm28238791</t>
  </si>
  <si>
    <t>3101492856G</t>
  </si>
  <si>
    <t>9788200216261</t>
  </si>
  <si>
    <t>793283552</t>
  </si>
  <si>
    <t>QL138 R5 1962</t>
  </si>
  <si>
    <t>0                      QL 0138000R  5           1962</t>
  </si>
  <si>
    <t>Between Pacific tides : an account of the habits and habitats of some five hundred of the common, conspicuous seashore invertebrates of the Pacific Coast between Sitka, Alaska, and northern Mexico / Edward F. Ricketts and Jack Calvin ; foreword by John Steinbeck ; line drawings by Ritchie Lovejoy.</t>
  </si>
  <si>
    <t>Ricketts, Edward Flanders, 1897-1948.</t>
  </si>
  <si>
    <t>Stanford, Calif. : Stanford University Press, 1962.</t>
  </si>
  <si>
    <t>3rd ed., rev. / revisions by Joel W. Hedgpeth.</t>
  </si>
  <si>
    <t>1617525:eng</t>
  </si>
  <si>
    <t>556231</t>
  </si>
  <si>
    <t>ocm00556231</t>
  </si>
  <si>
    <t>3001067847B</t>
  </si>
  <si>
    <t>791413353</t>
  </si>
  <si>
    <t>QL143 B35 1984</t>
  </si>
  <si>
    <t>0                      QL 0143000B  35          1984</t>
  </si>
  <si>
    <t>Zooplankton of the Great Lakes : a guide to the identification and ecology of the common crustacean species / Mary D. Balcer, Nancy L. Korda, Stanley I. Dodson.</t>
  </si>
  <si>
    <t>Balcer, Mary D., author.</t>
  </si>
  <si>
    <t>Madison, Wis. : University of Wisconsin Press, 1984.</t>
  </si>
  <si>
    <t>2018-09-06</t>
  </si>
  <si>
    <t>795557115:eng</t>
  </si>
  <si>
    <t>10301240</t>
  </si>
  <si>
    <t>ocm10301240</t>
  </si>
  <si>
    <t>3103305579E</t>
  </si>
  <si>
    <t>9780299098209</t>
  </si>
  <si>
    <t>792718957</t>
  </si>
  <si>
    <t>QL181 K5</t>
  </si>
  <si>
    <t>0                      QL 0181000K  5</t>
  </si>
  <si>
    <t>A philosopher with nature / by Benjamin Kidd.</t>
  </si>
  <si>
    <t>Kidd, Benjamin, 1858-1916.</t>
  </si>
  <si>
    <t>London : Methuen, [1921]</t>
  </si>
  <si>
    <t>4503717:eng</t>
  </si>
  <si>
    <t>2232703</t>
  </si>
  <si>
    <t>ocm02232703</t>
  </si>
  <si>
    <t>3001150554N</t>
  </si>
  <si>
    <t>792071176</t>
  </si>
  <si>
    <t>QL229 I5 K65 1940</t>
  </si>
  <si>
    <t>0                      QL 0229000I  5                  K  65          1940</t>
  </si>
  <si>
    <t>The ocean island (Inagua) / by Gilbert C. Klingel ; illustrated from photographs taken by the author.</t>
  </si>
  <si>
    <t>Klingel, Gilbert C.</t>
  </si>
  <si>
    <t>New York : Dodd, Mead, ©1940.</t>
  </si>
  <si>
    <t>1636054:eng</t>
  </si>
  <si>
    <t>12656052</t>
  </si>
  <si>
    <t>ocm12656052</t>
  </si>
  <si>
    <t>30010723928</t>
  </si>
  <si>
    <t>792822470</t>
  </si>
  <si>
    <t>QL259 W66 2013</t>
  </si>
  <si>
    <t>0                      QL 0259000W  66          2013</t>
  </si>
  <si>
    <t>Field notes from a hidden city / Esther Woolfson.</t>
  </si>
  <si>
    <t>Woolfson, Esther.</t>
  </si>
  <si>
    <t>London : Granta, 2013.</t>
  </si>
  <si>
    <t>1175671818:eng</t>
  </si>
  <si>
    <t>815366340</t>
  </si>
  <si>
    <t>ocn815366340</t>
  </si>
  <si>
    <t>3103497744T</t>
  </si>
  <si>
    <t>9781847082756</t>
  </si>
  <si>
    <t>794932428</t>
  </si>
  <si>
    <t>QL337 E25 M37x</t>
  </si>
  <si>
    <t>0                      QL 0337000E  25                 M  37x</t>
  </si>
  <si>
    <t>The tree where man was born: [text by] Peter Matthiessen; [and] The African experience; [photographs by] Eliot Porter.</t>
  </si>
  <si>
    <t>Matthiessen, Peter.</t>
  </si>
  <si>
    <t>London, Collins, 1972.</t>
  </si>
  <si>
    <t>678995:eng</t>
  </si>
  <si>
    <t>636152</t>
  </si>
  <si>
    <t>ocm00636152</t>
  </si>
  <si>
    <t>3001057964D</t>
  </si>
  <si>
    <t>9780002118385</t>
  </si>
  <si>
    <t>791434206</t>
  </si>
  <si>
    <t>QL337 E25 Z45 1984</t>
  </si>
  <si>
    <t>0                      QL 0337000E  25                 Z  45          1984</t>
  </si>
  <si>
    <t>Safari : the East African diaries of a wildlife photographer / photographs by Günter Ziesler ; diary notes by Angelika Hofer ; consulting editor Nigel Sitwell.</t>
  </si>
  <si>
    <t>Ziesler, Günter.</t>
  </si>
  <si>
    <t>New York, NY : Facts on File, Inc., 1984.</t>
  </si>
  <si>
    <t>Eddison/Sadd ed.</t>
  </si>
  <si>
    <t>479004848:eng</t>
  </si>
  <si>
    <t>10457964</t>
  </si>
  <si>
    <t>ocm10457964</t>
  </si>
  <si>
    <t>30010305278</t>
  </si>
  <si>
    <t>9780871968470</t>
  </si>
  <si>
    <t>792727418</t>
  </si>
  <si>
    <t>QL337 M37 D8</t>
  </si>
  <si>
    <t>0                      QL 0337000M  37                 D  8</t>
  </si>
  <si>
    <t>Golden bats and pink pigeons / Gerald Durrell ; drawings by Edward Mortelmans.</t>
  </si>
  <si>
    <t>Durrell, Gerald, 1925-1995.</t>
  </si>
  <si>
    <t>London : Collins, 1977.</t>
  </si>
  <si>
    <t>20915317:eng</t>
  </si>
  <si>
    <t>4809491</t>
  </si>
  <si>
    <t>ocm04809491</t>
  </si>
  <si>
    <t>31035598121</t>
  </si>
  <si>
    <t>9780002115766</t>
  </si>
  <si>
    <t>792385244</t>
  </si>
  <si>
    <t>QL362 B93 1987</t>
  </si>
  <si>
    <t>0                      QL 0362000B  93          1987</t>
  </si>
  <si>
    <t>Animals without backbones.</t>
  </si>
  <si>
    <t>Buchsbaum, Ralph, 1907-2002.</t>
  </si>
  <si>
    <t>Chicago : University of Chicago Press, 1987.</t>
  </si>
  <si>
    <t>3rd ed. / Ralph Buchsbaum [and others].</t>
  </si>
  <si>
    <t>196509631:eng</t>
  </si>
  <si>
    <t>13456472</t>
  </si>
  <si>
    <t>ocm13456472</t>
  </si>
  <si>
    <t>3001040215L</t>
  </si>
  <si>
    <t>9780226078731</t>
  </si>
  <si>
    <t>792854125</t>
  </si>
  <si>
    <t>QL373 D4 T36 1989</t>
  </si>
  <si>
    <t>0                      QL 0373000D  4                  T  36          1989</t>
  </si>
  <si>
    <t>The Demospongiae of Sagami Bay / collected by His Majesty Emperor Showa ; described by Senji Tanita ; edited by Biological Laboratory Imperial Household.</t>
  </si>
  <si>
    <t>[Tokyo] : [Biological Laboratory Imperial Household], 1989.</t>
  </si>
  <si>
    <t>29012739:eng</t>
  </si>
  <si>
    <t>25891632</t>
  </si>
  <si>
    <t>ocm25891632</t>
  </si>
  <si>
    <t>3100881269M</t>
  </si>
  <si>
    <t>793232638</t>
  </si>
  <si>
    <t>QL374 A87 1991</t>
  </si>
  <si>
    <t>0                      QL 0374000A  87          1991</t>
  </si>
  <si>
    <t>Atlas of sponge morphology = Atlas de morphologie des éponges / Louis De Vos [and others].</t>
  </si>
  <si>
    <t>889628835:eng</t>
  </si>
  <si>
    <t>22112990</t>
  </si>
  <si>
    <t>ocm22112990</t>
  </si>
  <si>
    <t>3101218811X</t>
  </si>
  <si>
    <t>9781560980223</t>
  </si>
  <si>
    <t>793134293</t>
  </si>
  <si>
    <t>QL384 H7 L35 1997</t>
  </si>
  <si>
    <t>0                      QL 0384000H  7                  L  35          1997</t>
  </si>
  <si>
    <t>Sea cucumbers of British Columbia, Southeast Alaska, and Puget Sound / Philip Lambert.</t>
  </si>
  <si>
    <t>Lambert, Philip, 1945-</t>
  </si>
  <si>
    <t>Vancouver : UBC Press, ©1997.</t>
  </si>
  <si>
    <t>Royal British Columbia Museum handbook, 1188-5114</t>
  </si>
  <si>
    <t>4160923314:eng</t>
  </si>
  <si>
    <t>36991984</t>
  </si>
  <si>
    <t>ocm36991984</t>
  </si>
  <si>
    <t>3102441471E</t>
  </si>
  <si>
    <t>9780774806077</t>
  </si>
  <si>
    <t>793489250</t>
  </si>
  <si>
    <t>QL391 A6 E38 1996</t>
  </si>
  <si>
    <t>0                      QL 0391000A  6                  E  38          1996</t>
  </si>
  <si>
    <t>Biology and ecology of earthworms.</t>
  </si>
  <si>
    <t>Edwards, C. A. (Clive Arthur), 1925-</t>
  </si>
  <si>
    <t>London : Chapman &amp; Hall, ©1996.</t>
  </si>
  <si>
    <t>3rd ed. / C.A. Edwards and P.J. Bohlen.</t>
  </si>
  <si>
    <t>2005-08-16</t>
  </si>
  <si>
    <t>4926794703:eng</t>
  </si>
  <si>
    <t>35666444</t>
  </si>
  <si>
    <t>ocm35666444</t>
  </si>
  <si>
    <t>3101597198X</t>
  </si>
  <si>
    <t>9780412561603</t>
  </si>
  <si>
    <t>793454540</t>
  </si>
  <si>
    <t>QL391 O4 E3x</t>
  </si>
  <si>
    <t>0                      QL 0391000O  4                  E  3x</t>
  </si>
  <si>
    <t>Biology of earthworms [by] C.A. Edwards [and] J.R. Lofty.</t>
  </si>
  <si>
    <t>London, Chapman and Hall, 1972.</t>
  </si>
  <si>
    <t>2015-01-14</t>
  </si>
  <si>
    <t>4923108112:eng</t>
  </si>
  <si>
    <t>603537</t>
  </si>
  <si>
    <t>ocm00603537</t>
  </si>
  <si>
    <t>30010518771</t>
  </si>
  <si>
    <t>9780412110603</t>
  </si>
  <si>
    <t>791426145</t>
  </si>
  <si>
    <t>QL430.3.V35 F5513 2011</t>
  </si>
  <si>
    <t>0                      QL 0430300V  35                 F  5513        2011</t>
  </si>
  <si>
    <t>Vampyroteuthis infernalis / Vilém Flusser ; forward by Abraham A. Moles ; edited and translated by Rodrigo Maltez Novaes.</t>
  </si>
  <si>
    <t>Flusser, Vilém, 1920-1991.</t>
  </si>
  <si>
    <t>New York : Atropos Press, [2011]</t>
  </si>
  <si>
    <t>226027789:eng</t>
  </si>
  <si>
    <t>755015724</t>
  </si>
  <si>
    <t>ocn755015724</t>
  </si>
  <si>
    <t>3103976342P</t>
  </si>
  <si>
    <t>9780983173410</t>
  </si>
  <si>
    <t>794893430</t>
  </si>
  <si>
    <t>QL430.5 M9 R3</t>
  </si>
  <si>
    <t>0                      QL 0430500M  9                  R  3</t>
  </si>
  <si>
    <t>Murex shells of the world : an illustrated guide to the Muricidae / George E. Radwin and Anthony D'Attilio ; with color photographs by David K. Mulliner.</t>
  </si>
  <si>
    <t>Radwin, George E., 1940-1977.</t>
  </si>
  <si>
    <t>Stanford, Calif. : Stanford University Press, 1976.</t>
  </si>
  <si>
    <t>459578:eng</t>
  </si>
  <si>
    <t>2786933</t>
  </si>
  <si>
    <t>ocm02786933</t>
  </si>
  <si>
    <t>3001034909B</t>
  </si>
  <si>
    <t>9780804708975</t>
  </si>
  <si>
    <t>792176201</t>
  </si>
  <si>
    <t>QL444 B815 A76 2002</t>
  </si>
  <si>
    <t>0                      QL 0444000B  815                A  76          2002</t>
  </si>
  <si>
    <t>Artemia : basic and applied biology / edited by Th. J. Abatzopoulos [and others].</t>
  </si>
  <si>
    <t>Biology of aquatic organisms ; v. 1</t>
  </si>
  <si>
    <t>837365858:eng</t>
  </si>
  <si>
    <t>50253193</t>
  </si>
  <si>
    <t>ocm50253193</t>
  </si>
  <si>
    <t>31022618832</t>
  </si>
  <si>
    <t>9781402007460</t>
  </si>
  <si>
    <t>793759129</t>
  </si>
  <si>
    <t>QL444 C6 B3</t>
  </si>
  <si>
    <t>0                      QL 0444000C  6                  B  3</t>
  </si>
  <si>
    <t>Studies on the physiology, genetics, and evolution of some Cladocera [by] A.M. Banta ... with the collaboration of Thelma R. Wood, L.A. Brown, and Lester Ingle.</t>
  </si>
  <si>
    <t>Banta, Arthur Mangun, 1877-</t>
  </si>
  <si>
    <t>Washington, D.C., Carnegie Institution of Washington, 1939.</t>
  </si>
  <si>
    <t>Carnegie Institution of Washington publication ; no. 513</t>
  </si>
  <si>
    <t>2080062:eng</t>
  </si>
  <si>
    <t>1150954</t>
  </si>
  <si>
    <t>ocm01150954</t>
  </si>
  <si>
    <t>3103601706R</t>
  </si>
  <si>
    <t>791558207</t>
  </si>
  <si>
    <t>QL444 M33 I5 1979</t>
  </si>
  <si>
    <t>0                      QL 0444000M  33                 I  5           1979</t>
  </si>
  <si>
    <t>The brine shrimp Artemia : proceedings of the International Symposium on the Brine Shrimp Artemia salina, Corpus Christi, Texas, USA, August 20-23, 1979 / editors, Guido Persoone [and others].</t>
  </si>
  <si>
    <t>International Symposium on the Brine Shrimp Artemia Salina (1979 : Corpus Christi, Tex.)</t>
  </si>
  <si>
    <t>Wetteren, Belgium : Universa Press, 1980.</t>
  </si>
  <si>
    <t>21771238:eng</t>
  </si>
  <si>
    <t>7355487</t>
  </si>
  <si>
    <t>ocm07355487</t>
  </si>
  <si>
    <t>3100641329V</t>
  </si>
  <si>
    <t>792555139</t>
  </si>
  <si>
    <t>3100641328X</t>
  </si>
  <si>
    <t>792555140</t>
  </si>
  <si>
    <t>2014-10-23</t>
  </si>
  <si>
    <t>3001028037S</t>
  </si>
  <si>
    <t>792555141</t>
  </si>
  <si>
    <t>QL444 M33 K532 2011</t>
  </si>
  <si>
    <t>0                      QL 0444000M  33                 K  532         2011</t>
  </si>
  <si>
    <t>Lobster / Richard J. King.</t>
  </si>
  <si>
    <t>King, Richard J.</t>
  </si>
  <si>
    <t>London : Reaktion Books, 2011.</t>
  </si>
  <si>
    <t>Animal</t>
  </si>
  <si>
    <t>1004803510:eng</t>
  </si>
  <si>
    <t>670480401</t>
  </si>
  <si>
    <t>ocn670480401</t>
  </si>
  <si>
    <t>3103654652G</t>
  </si>
  <si>
    <t>9781861897954</t>
  </si>
  <si>
    <t>794848009</t>
  </si>
  <si>
    <t>QL444 M35 M96 1991</t>
  </si>
  <si>
    <t>0                      QL 0444000M  35                 M  96          1991</t>
  </si>
  <si>
    <t>Mysids in fisheries : hard lessons from headlong introductions / edited by Thomas P. Nesler, Eric P. Bergersen.</t>
  </si>
  <si>
    <t>Bethesda, Md. : American Fisheries Society, 1991.</t>
  </si>
  <si>
    <t>American Fisheries Society symposium, 0892-2284 ; 9</t>
  </si>
  <si>
    <t>364366012:eng</t>
  </si>
  <si>
    <t>25813332</t>
  </si>
  <si>
    <t>ocm25813332</t>
  </si>
  <si>
    <t>3101340853W</t>
  </si>
  <si>
    <t>9780913235713</t>
  </si>
  <si>
    <t>793230476</t>
  </si>
  <si>
    <t>QL447.5 I57 1985</t>
  </si>
  <si>
    <t>0                      QL 0447500I  57          1985</t>
  </si>
  <si>
    <t>Biology of tardigrades : proceedings of the 4th International Symposium on the Tardigrada, Modena, September 3-5, 1985 / edited by Roberto Bertolani ; organizers, R. Bertolani, M. Balsamo, Department of Animal Biology, University of Modena.</t>
  </si>
  <si>
    <t>International Symposium on the Tardigrada (4th : 1985 : Università di Modena)</t>
  </si>
  <si>
    <t>Modena : Mucchi Editore, 1987.</t>
  </si>
  <si>
    <t>Selected symposia and monographs ; 1</t>
  </si>
  <si>
    <t>906221617:eng</t>
  </si>
  <si>
    <t>18908194</t>
  </si>
  <si>
    <t>ocm18908194</t>
  </si>
  <si>
    <t>31011174562</t>
  </si>
  <si>
    <t>9788870001082</t>
  </si>
  <si>
    <t>793040975</t>
  </si>
  <si>
    <t>QL451 F313 1971</t>
  </si>
  <si>
    <t>0                      QL 0451000F  313         1971</t>
  </si>
  <si>
    <t>The life of the spider. Pref. by Maurice Maeterlinck. Introd. by John K. Terres. Translated by Alexander Teixeira de Mattos.</t>
  </si>
  <si>
    <t>Fabre, Jean-Henri, 1823-1915.</t>
  </si>
  <si>
    <t>New York, Horizon Press [1971]</t>
  </si>
  <si>
    <t>1281825:eng</t>
  </si>
  <si>
    <t>165248</t>
  </si>
  <si>
    <t>ocm00165248</t>
  </si>
  <si>
    <t>3001057211P</t>
  </si>
  <si>
    <t>9780818017056</t>
  </si>
  <si>
    <t>791277700</t>
  </si>
  <si>
    <t>QL452 N33 2000</t>
  </si>
  <si>
    <t>0                      QL 0452000N  33          2000</t>
  </si>
  <si>
    <t>Nabokov's butterflies : unpublished and uncollected writings / edited and annotated by Brian Boyd and Robert Michael Pyle ; new translations from the Russian by Dmitri Nabokov.</t>
  </si>
  <si>
    <t>Nabokov, Vladimir Vladimirovich, 1899-1977.</t>
  </si>
  <si>
    <t>Boston, Mass. : Beacon Press, ©2000.</t>
  </si>
  <si>
    <t>2908620806:eng</t>
  </si>
  <si>
    <t>39787844</t>
  </si>
  <si>
    <t>ocm39787844</t>
  </si>
  <si>
    <t>3103577903Z</t>
  </si>
  <si>
    <t>9780807085400</t>
  </si>
  <si>
    <t>793553390</t>
  </si>
  <si>
    <t>QL458.14 R6 G575 1938</t>
  </si>
  <si>
    <t>0                      QL 0458140R  6                  G  575         1938</t>
  </si>
  <si>
    <t>Le roman de l'araignée / Robert Goffin.</t>
  </si>
  <si>
    <t>Goffin, Robert 1898-1984</t>
  </si>
  <si>
    <t>Paris : Gallimard ; Clichy : Paul Dupont, 1938.</t>
  </si>
  <si>
    <t>Nrf</t>
  </si>
  <si>
    <t>350974414:fre</t>
  </si>
  <si>
    <t>824721455</t>
  </si>
  <si>
    <t>ocn824721455</t>
  </si>
  <si>
    <t>3103768385H</t>
  </si>
  <si>
    <t>794938158</t>
  </si>
  <si>
    <t>QL463 B69 1981</t>
  </si>
  <si>
    <t>0                      QL 0463000B  69          1981</t>
  </si>
  <si>
    <t>An introduction to the study of insects / Donald J. Borror, Dwight M. De Long, Charles A. Triplehorn.</t>
  </si>
  <si>
    <t>Borror, Donald J. (Donald Joyce), 1907-1988.</t>
  </si>
  <si>
    <t>Philadelphia : Saunders College Pub., ©1981.</t>
  </si>
  <si>
    <t>2010-11-07</t>
  </si>
  <si>
    <t>2016-10-21</t>
  </si>
  <si>
    <t>148080691:eng</t>
  </si>
  <si>
    <t>7622404</t>
  </si>
  <si>
    <t>ocm07622404</t>
  </si>
  <si>
    <t>31000213665</t>
  </si>
  <si>
    <t>9780030435317</t>
  </si>
  <si>
    <t>792570066</t>
  </si>
  <si>
    <t>QL463 C48</t>
  </si>
  <si>
    <t>0                      QL 0463000C  48</t>
  </si>
  <si>
    <t>The insects: structure and function [by] R.F. Chapman.</t>
  </si>
  <si>
    <t>Chapman, R. F. (Reginald Frederick)</t>
  </si>
  <si>
    <t>Biological science texts</t>
  </si>
  <si>
    <t>2018-04-21</t>
  </si>
  <si>
    <t>3410479:eng</t>
  </si>
  <si>
    <t>71186</t>
  </si>
  <si>
    <t>ocm00071186</t>
  </si>
  <si>
    <t>3103593150S</t>
  </si>
  <si>
    <t>9780340049884</t>
  </si>
  <si>
    <t>791246058</t>
  </si>
  <si>
    <t>QL463 F117 1975</t>
  </si>
  <si>
    <t>0                      QL 0463000F  117         1975</t>
  </si>
  <si>
    <t>Marvels of the insect world, by Jean-Henri Fabre; edited, annotated, and translated by Percy F. Bicknell; illustrated with wood engravings by Robert Gibbings.</t>
  </si>
  <si>
    <t>New York, London, D. Appleton-Century Co. [©1938]</t>
  </si>
  <si>
    <t>1976615:eng</t>
  </si>
  <si>
    <t>1533900</t>
  </si>
  <si>
    <t>ocm01533900</t>
  </si>
  <si>
    <t>30010576313</t>
  </si>
  <si>
    <t>9780810341203</t>
  </si>
  <si>
    <t>791695502</t>
  </si>
  <si>
    <t>QL463 R34 2010</t>
  </si>
  <si>
    <t>0                      QL 0463000R  34          2010</t>
  </si>
  <si>
    <t>Insectopedia / Hugh Raffles.</t>
  </si>
  <si>
    <t>Raffles, Hugh, 1958-</t>
  </si>
  <si>
    <t>New York : Vintage Books, 2011.</t>
  </si>
  <si>
    <t>1st Vintage books ed.</t>
  </si>
  <si>
    <t>2020-01-06</t>
  </si>
  <si>
    <t>311291146:eng</t>
  </si>
  <si>
    <t>644663831</t>
  </si>
  <si>
    <t>ocn644663831</t>
  </si>
  <si>
    <t>31037368531</t>
  </si>
  <si>
    <t>9781400096961</t>
  </si>
  <si>
    <t>794829299</t>
  </si>
  <si>
    <t>QL464 B65</t>
  </si>
  <si>
    <t>0                      QL 0464000B  65</t>
  </si>
  <si>
    <t>A field guide to the insects of America north of Mexico / by Donald J. Borror and Richard E. White ; color and shaded drawings by Richard E. White ; line drawings by the authors.</t>
  </si>
  <si>
    <t>Boston : Houghton Mifflin Company, ©1970.</t>
  </si>
  <si>
    <t>The Peterson field guide series ; 19</t>
  </si>
  <si>
    <t>324370510:eng</t>
  </si>
  <si>
    <t>66022</t>
  </si>
  <si>
    <t>ocm00066022</t>
  </si>
  <si>
    <t>3100021316K</t>
  </si>
  <si>
    <t>9780395074367</t>
  </si>
  <si>
    <t>791244526</t>
  </si>
  <si>
    <t>QL464 L43 1979</t>
  </si>
  <si>
    <t>0                      QL 0464000L  43          1979</t>
  </si>
  <si>
    <t>How to know the aquatic insects / Dennis M. Lehmkuhl.</t>
  </si>
  <si>
    <t>Lehmkuhl, Dennis M.</t>
  </si>
  <si>
    <t>Dubuque, Iowa : W.C. Brown Co. Publishers, ©1979.</t>
  </si>
  <si>
    <t>The Pictured key nature series</t>
  </si>
  <si>
    <t>443195:eng</t>
  </si>
  <si>
    <t>4956673</t>
  </si>
  <si>
    <t>ocm04956673</t>
  </si>
  <si>
    <t>3100022004Y</t>
  </si>
  <si>
    <t>9780697047663</t>
  </si>
  <si>
    <t>792396763</t>
  </si>
  <si>
    <t>QL467 J35 1978</t>
  </si>
  <si>
    <t>0                      QL 0467000J  35          1978</t>
  </si>
  <si>
    <t>How to know the insects / Roger G. Bland, H.E. Jaques.</t>
  </si>
  <si>
    <t>Bland, Roger G.</t>
  </si>
  <si>
    <t>Dubuque, Iowa : W.C. Brown Co., ©1978.</t>
  </si>
  <si>
    <t>2565006098:eng</t>
  </si>
  <si>
    <t>4136675</t>
  </si>
  <si>
    <t>ocm04136675</t>
  </si>
  <si>
    <t>31020427524</t>
  </si>
  <si>
    <t>9780697047533</t>
  </si>
  <si>
    <t>792325138</t>
  </si>
  <si>
    <t>3101575580L</t>
  </si>
  <si>
    <t>792325139</t>
  </si>
  <si>
    <t>QL468.5 K48</t>
  </si>
  <si>
    <t>0                      QL 0468500K  48</t>
  </si>
  <si>
    <t>The Department of Entomology, McGill University : a history to 1978 / by D. Keith McE. Kevan.</t>
  </si>
  <si>
    <t>Kevan, D. Keith McE.</t>
  </si>
  <si>
    <t>St. Anne-de-Bellevue, Que : Macdonald Campus, McGill University, 1979.</t>
  </si>
  <si>
    <t>Notes / Lyman Entomological Museum and Research Laboratory ; no. 5</t>
  </si>
  <si>
    <t>25983146:eng</t>
  </si>
  <si>
    <t>7221709</t>
  </si>
  <si>
    <t>ocm07221709</t>
  </si>
  <si>
    <t>3001026564F</t>
  </si>
  <si>
    <t>792547289</t>
  </si>
  <si>
    <t>QL473 I57</t>
  </si>
  <si>
    <t>0                      QL 0473000I  57</t>
  </si>
  <si>
    <t>An introduction to the aquatic insects of North America / edited by Richard W. Merritt and Kenneth W. Cummins.</t>
  </si>
  <si>
    <t>Dubuque, Iowa : Kendall/Hunt Pub. Co., ©1978.</t>
  </si>
  <si>
    <t>3769648971:eng</t>
  </si>
  <si>
    <t>3953557</t>
  </si>
  <si>
    <t>ocm03953557</t>
  </si>
  <si>
    <t>31000214289</t>
  </si>
  <si>
    <t>9780840380074</t>
  </si>
  <si>
    <t>792307984</t>
  </si>
  <si>
    <t>QL475 A6 A44 1999</t>
  </si>
  <si>
    <t>0                      QL 0475000A  6                  A  44          1999</t>
  </si>
  <si>
    <t>In a desert garden : love and death among the insects / John Alcock ; with illustrations by Turid Forsyth.</t>
  </si>
  <si>
    <t>Alcock, John, 1942-</t>
  </si>
  <si>
    <t>Tucson, Ariz. : University of Arizona Press, 1999.</t>
  </si>
  <si>
    <t>536977:eng</t>
  </si>
  <si>
    <t>40397117</t>
  </si>
  <si>
    <t>ocm40397117</t>
  </si>
  <si>
    <t>3102268923K</t>
  </si>
  <si>
    <t>9780816519705</t>
  </si>
  <si>
    <t>793565694</t>
  </si>
  <si>
    <t>QL496 B3613 1985</t>
  </si>
  <si>
    <t>0                      QL 0496000B  3613        1985</t>
  </si>
  <si>
    <t>Insects and flowers : the biology of a partnership / Friedrich G. Barth ; translated by M.A. Biederman-Thorson.</t>
  </si>
  <si>
    <t>Barth, Friedrich G., 1940-</t>
  </si>
  <si>
    <t>Princeton, N.J. : Princeton University Press, ©1985.</t>
  </si>
  <si>
    <t>2915074:eng</t>
  </si>
  <si>
    <t>10753353</t>
  </si>
  <si>
    <t>ocm10753353</t>
  </si>
  <si>
    <t>3001031145H</t>
  </si>
  <si>
    <t>9780691083681</t>
  </si>
  <si>
    <t>792741163</t>
  </si>
  <si>
    <t>QL496 F12 1956</t>
  </si>
  <si>
    <t>0                      QL 0496000F  12          1956</t>
  </si>
  <si>
    <t>The insect world of J. Henri Fabre / newly revised with an introduction by Edwin Way Teale.</t>
  </si>
  <si>
    <t>Greenwich, Conn. : Fawcett Publications, ©1956.</t>
  </si>
  <si>
    <t>Newly rev. ed.</t>
  </si>
  <si>
    <t>1617444:eng</t>
  </si>
  <si>
    <t>221769645</t>
  </si>
  <si>
    <t>ocn221769645</t>
  </si>
  <si>
    <t>3000562480R</t>
  </si>
  <si>
    <t>794327753</t>
  </si>
  <si>
    <t>QL496 F18 1911</t>
  </si>
  <si>
    <t>0                      QL 0496000F  18          1911</t>
  </si>
  <si>
    <t>The life and love of the insect / by J. Henri Fabre ; translated by Alexander Teixeira de Mattos.</t>
  </si>
  <si>
    <t>London : Adam and Charles Black, 1911.</t>
  </si>
  <si>
    <t>4159924749:eng</t>
  </si>
  <si>
    <t>1548980</t>
  </si>
  <si>
    <t>ocm01548980</t>
  </si>
  <si>
    <t>3001029321Q</t>
  </si>
  <si>
    <t>791710766</t>
  </si>
  <si>
    <t>QL496 W66</t>
  </si>
  <si>
    <t>0                      QL 0496000W  66</t>
  </si>
  <si>
    <t>The insect societies [by] Edward O. Wilson.</t>
  </si>
  <si>
    <t>Wilson, Edward O.</t>
  </si>
  <si>
    <t>Cambridge, Mass., Belknap Press of Harvard University Press, 1971.</t>
  </si>
  <si>
    <t>2009-10-27</t>
  </si>
  <si>
    <t>1380282:eng</t>
  </si>
  <si>
    <t>199513</t>
  </si>
  <si>
    <t>ocm00199513</t>
  </si>
  <si>
    <t>3000325561D</t>
  </si>
  <si>
    <t>9780674454903</t>
  </si>
  <si>
    <t>791291579</t>
  </si>
  <si>
    <t>QL537 M7 B88</t>
  </si>
  <si>
    <t>0                      QL 0537000M  7                  B  88</t>
  </si>
  <si>
    <t>The natural history of tsetse flies; an account of the biology of the genus Glossina (Diptera).</t>
  </si>
  <si>
    <t>Buxton, Patrick Alfred, 1892-</t>
  </si>
  <si>
    <t>London, Lewis, 1955.</t>
  </si>
  <si>
    <t>London School of Hygiene and Tropical Medicine. Memoir [series] no. 10</t>
  </si>
  <si>
    <t>1306188:eng</t>
  </si>
  <si>
    <t>174596</t>
  </si>
  <si>
    <t>ocm00174596</t>
  </si>
  <si>
    <t>3102803763W</t>
  </si>
  <si>
    <t>791281591</t>
  </si>
  <si>
    <t>QL542 B428</t>
  </si>
  <si>
    <t>0                      QL 0542000B  428</t>
  </si>
  <si>
    <t>Butterfly lives; with a preface by E.B. Ford.</t>
  </si>
  <si>
    <t>Beaufoy, S.</t>
  </si>
  <si>
    <t>London, Collins, 1947.</t>
  </si>
  <si>
    <t>199625265:eng</t>
  </si>
  <si>
    <t>4532210</t>
  </si>
  <si>
    <t>ocm04532210</t>
  </si>
  <si>
    <t>3001073886F</t>
  </si>
  <si>
    <t>792359744</t>
  </si>
  <si>
    <t>QL544.2 H4613 2011</t>
  </si>
  <si>
    <t>0                      QL 0544200H  4613        2011</t>
  </si>
  <si>
    <t>Panda's family / Yi Heng ; illustrated by Yi Heng ; translated [from the Chinese] by Anita Zhang.</t>
  </si>
  <si>
    <t>Heng, Yi.</t>
  </si>
  <si>
    <t>Beijing : Beijing world Publishing Corporation, 2011.</t>
  </si>
  <si>
    <t>Kung Fu Panda is me</t>
  </si>
  <si>
    <t>3861929501:eng</t>
  </si>
  <si>
    <t>857766628</t>
  </si>
  <si>
    <t>ocn857766628</t>
  </si>
  <si>
    <t>3103527096W</t>
  </si>
  <si>
    <t>9781921678721</t>
  </si>
  <si>
    <t>794955359</t>
  </si>
  <si>
    <t>QL544.2 L8613 2011</t>
  </si>
  <si>
    <t>0                      QL 0544200L  8613        2011</t>
  </si>
  <si>
    <t>Panda's homeland / Xiaoyun Luo ; illustrated by Yange Yong ; translated [from the Chinese] by Anita Zhang.</t>
  </si>
  <si>
    <t>Luo, Xiaoyun.</t>
  </si>
  <si>
    <t>1367353905:eng</t>
  </si>
  <si>
    <t>857766590</t>
  </si>
  <si>
    <t>ocn857766590</t>
  </si>
  <si>
    <t>3103527087Y</t>
  </si>
  <si>
    <t>9781921678714</t>
  </si>
  <si>
    <t>794955358</t>
  </si>
  <si>
    <t>QL544.2 Y6613 2011</t>
  </si>
  <si>
    <t>0                      QL 0544200Y  6613        2011</t>
  </si>
  <si>
    <t>Pandas in the wild / Yange Yong ; ill. by Yange Yong ; transl. [from the Chinese] by Anita Zhang.</t>
  </si>
  <si>
    <t>Yong, Yange.</t>
  </si>
  <si>
    <t>3861841678:eng</t>
  </si>
  <si>
    <t>857766388</t>
  </si>
  <si>
    <t>ocn857766388</t>
  </si>
  <si>
    <t>3103527088Y</t>
  </si>
  <si>
    <t>9781921678707</t>
  </si>
  <si>
    <t>794955357</t>
  </si>
  <si>
    <t>QL545 H54</t>
  </si>
  <si>
    <t>0                      QL 0545000H  54</t>
  </si>
  <si>
    <t>The generic names of the holarctic butterflies ... by Francis Hemming.</t>
  </si>
  <si>
    <t>Hemming, Francis, 1893-</t>
  </si>
  <si>
    <t>London, Printed by order of the Trustees of the British museum, 1934-</t>
  </si>
  <si>
    <t>22466135:eng</t>
  </si>
  <si>
    <t>6437685</t>
  </si>
  <si>
    <t>ocm06437685</t>
  </si>
  <si>
    <t>3103599373F</t>
  </si>
  <si>
    <t>792498967</t>
  </si>
  <si>
    <t>QL568 F7 S3</t>
  </si>
  <si>
    <t>0                      QL 0568000F  7                  S  3</t>
  </si>
  <si>
    <t>Army ants; a study in social organization. Edited by Howard R. Topoff.</t>
  </si>
  <si>
    <t>Schneirla, T. C. (Theodore Christian), 1902-1968.</t>
  </si>
  <si>
    <t>2007-07-31</t>
  </si>
  <si>
    <t>1284068:eng</t>
  </si>
  <si>
    <t>210501</t>
  </si>
  <si>
    <t>ocm00210501</t>
  </si>
  <si>
    <t>3102786678O</t>
  </si>
  <si>
    <t>9780716709336</t>
  </si>
  <si>
    <t>791294643</t>
  </si>
  <si>
    <t>QL605 W44 v. 3 no. 1</t>
  </si>
  <si>
    <t>0                      QL 0605000W  44                                                      v. 3 no. 1</t>
  </si>
  <si>
    <t>Occupation of urban habitats by birds in Papua New Guinea / by Harry L. Bell.</t>
  </si>
  <si>
    <t>v. 3 no. 1*</t>
  </si>
  <si>
    <t>Bell, Harry L.</t>
  </si>
  <si>
    <t>Los Angeles : Western Foundation of Vertebrate Zoology, 1986.</t>
  </si>
  <si>
    <t>Proceedings of the Western Foundation of Vertebrate Zoology ; v. 3, no. 1</t>
  </si>
  <si>
    <t>2017-07-14</t>
  </si>
  <si>
    <t>7513510:eng</t>
  </si>
  <si>
    <t>14178523</t>
  </si>
  <si>
    <t>ocm14178523</t>
  </si>
  <si>
    <t>3001039768F</t>
  </si>
  <si>
    <t>792880796</t>
  </si>
  <si>
    <t>QL615 M64</t>
  </si>
  <si>
    <t>0                      QL 0615000M  64</t>
  </si>
  <si>
    <t>Fishes : an introduction to ichthyology / Peter B. Moyle, Joseph J. Cech, Jr.</t>
  </si>
  <si>
    <t>Moyle, Peter B.</t>
  </si>
  <si>
    <t>Englewood Cliffs, N.J. : Prentice-Hall, ©1982.</t>
  </si>
  <si>
    <t>366901449:eng</t>
  </si>
  <si>
    <t>7732219</t>
  </si>
  <si>
    <t>ocm07732219</t>
  </si>
  <si>
    <t>3100010823E</t>
  </si>
  <si>
    <t>9780133197235</t>
  </si>
  <si>
    <t>792576218</t>
  </si>
  <si>
    <t>QL615 W63 1990</t>
  </si>
  <si>
    <t>0                      QL 0615000W  63          1990</t>
  </si>
  <si>
    <t>Ecology of teleost fishes / Robert J. Wootton.</t>
  </si>
  <si>
    <t>Wootton, R. J. (Robert J.)</t>
  </si>
  <si>
    <t>London ; New York : Chapman and Hall, 1990.</t>
  </si>
  <si>
    <t>Fish and fisheries series ; 1</t>
  </si>
  <si>
    <t>4917748543:eng</t>
  </si>
  <si>
    <t>19970482</t>
  </si>
  <si>
    <t>ocm19970482</t>
  </si>
  <si>
    <t>3100945634M</t>
  </si>
  <si>
    <t>9780412317200</t>
  </si>
  <si>
    <t>793073465</t>
  </si>
  <si>
    <t>QL618.2 S95 1972</t>
  </si>
  <si>
    <t>0                      QL 0618200S  95          1972</t>
  </si>
  <si>
    <t>Interrelationships of fishes. editors, P.H. Greenwood, R.S. Miles [and] Colin Patterson.</t>
  </si>
  <si>
    <t>Symposium on Interrelationships of Fishes, London (1972)</t>
  </si>
  <si>
    <t>[London] Academic Press [©1973]</t>
  </si>
  <si>
    <t>Zoological Journal of the Linnean Society. Supplements (Linnean Society of London)</t>
  </si>
  <si>
    <t>364304624:eng</t>
  </si>
  <si>
    <t>915322</t>
  </si>
  <si>
    <t>ocm00915322</t>
  </si>
  <si>
    <t>3103524408D</t>
  </si>
  <si>
    <t>9780123008503</t>
  </si>
  <si>
    <t>791501269</t>
  </si>
  <si>
    <t>QL627 R48</t>
  </si>
  <si>
    <t>0                      QL 0627000R  48</t>
  </si>
  <si>
    <t>Reservoir fisheries and limnology. Gordon E. Hall, editor.</t>
  </si>
  <si>
    <t>Washington, American Fisheries Society [1971]</t>
  </si>
  <si>
    <t>American Fisheries Society. Special publication no. 8</t>
  </si>
  <si>
    <t>57509967:eng</t>
  </si>
  <si>
    <t>207487</t>
  </si>
  <si>
    <t>ocm00207487</t>
  </si>
  <si>
    <t>30010519654</t>
  </si>
  <si>
    <t>791293834</t>
  </si>
  <si>
    <t>QL628 N7 W47</t>
  </si>
  <si>
    <t>0                      QL 0628000N  7                  W  47</t>
  </si>
  <si>
    <t>Freshwater fishes of New York State : a field guide / Robert G. Werner.</t>
  </si>
  <si>
    <t>Werner, Robert G.</t>
  </si>
  <si>
    <t>Syracuse, N.Y. : Syracuse University Press, 1980.</t>
  </si>
  <si>
    <t>A York State book</t>
  </si>
  <si>
    <t>796170607:eng</t>
  </si>
  <si>
    <t>6446999</t>
  </si>
  <si>
    <t>ocm06446999</t>
  </si>
  <si>
    <t>3001024870I</t>
  </si>
  <si>
    <t>9780815622222</t>
  </si>
  <si>
    <t>792499587</t>
  </si>
  <si>
    <t>QL630 C35 B87 1998</t>
  </si>
  <si>
    <t>0                      QL 0630000C  35                 B  87          1998</t>
  </si>
  <si>
    <t>Peces de las aguas continentales de Costa Rica = Freshwater fishes of Costa Rica / William A. Bussing.</t>
  </si>
  <si>
    <t>Bussing, William A.</t>
  </si>
  <si>
    <t>San José, Costa Rica : Editorial de la Universidad de Costa Rica, 1998.</t>
  </si>
  <si>
    <t>2. ed.</t>
  </si>
  <si>
    <t>Revista de biología tropical. Suplemento, 0034-7744 ; v. 46, suppl. 2</t>
  </si>
  <si>
    <t>16494896:spa</t>
  </si>
  <si>
    <t>40984149</t>
  </si>
  <si>
    <t>ocm40984149</t>
  </si>
  <si>
    <t>3102273922Z</t>
  </si>
  <si>
    <t>9789977674896</t>
  </si>
  <si>
    <t>793580712</t>
  </si>
  <si>
    <t>QL630 P2 M44</t>
  </si>
  <si>
    <t>0                      QL 0630000P  2                  M  44</t>
  </si>
  <si>
    <t>The marine fishes of Panama, by Seth E. Meek ... and Samuel F. Hildebrand.</t>
  </si>
  <si>
    <t>Meek, Seth E. (Seth Eugene), 1859-1914, author.</t>
  </si>
  <si>
    <t>Chicago, Field Museum of Natural History, 1923-1928.</t>
  </si>
  <si>
    <t>Field Museum of Natural History. Publication 215, 226, 249</t>
  </si>
  <si>
    <t>3490798:eng</t>
  </si>
  <si>
    <t>4477720</t>
  </si>
  <si>
    <t>ocm04477720</t>
  </si>
  <si>
    <t>3001073173F</t>
  </si>
  <si>
    <t>792353329</t>
  </si>
  <si>
    <t>QL637.5 L68</t>
  </si>
  <si>
    <t>0                      QL 0637500L  68</t>
  </si>
  <si>
    <t>Fish communities in tropical freshwaters : their distribution, ecology, and evolution / R.H. Lowe-McConnell.</t>
  </si>
  <si>
    <t>McConnell, Ro.</t>
  </si>
  <si>
    <t>London ; New York : Longman, 1975.</t>
  </si>
  <si>
    <t>365618538:eng</t>
  </si>
  <si>
    <t>1272596</t>
  </si>
  <si>
    <t>ocm01272596</t>
  </si>
  <si>
    <t>3001037535B</t>
  </si>
  <si>
    <t>9780582443488</t>
  </si>
  <si>
    <t>791589156</t>
  </si>
  <si>
    <t>QL637.9 A5 E45 2003</t>
  </si>
  <si>
    <t>0                      QL 0637900A  5                  E  45          2003</t>
  </si>
  <si>
    <t>Eel biology / K. Aida, K. Tsukamoto, K. Yamauchi (eds.).</t>
  </si>
  <si>
    <t>Tokyo ; New York : Springer, ©2003.</t>
  </si>
  <si>
    <t>2018-03-09</t>
  </si>
  <si>
    <t>364529727:eng</t>
  </si>
  <si>
    <t>52418390</t>
  </si>
  <si>
    <t>ocm52418390</t>
  </si>
  <si>
    <t>3102367243Z</t>
  </si>
  <si>
    <t>9784431004585</t>
  </si>
  <si>
    <t>793806013</t>
  </si>
  <si>
    <t>QL638 A55 G6 2017</t>
  </si>
  <si>
    <t>0                      QL 0638000A  55                 G  6           2017</t>
  </si>
  <si>
    <t>Le roman des anguilles : roman / Robert Goffin ; préface, Arnaud de la Croix.</t>
  </si>
  <si>
    <t>Goffin, Robert, 1898-1984.</t>
  </si>
  <si>
    <t>Bruxelles : Édition Samsa : Académie royale de langue et de littérature françaises, [2017]</t>
  </si>
  <si>
    <t>343958219:fre</t>
  </si>
  <si>
    <t>1077290426</t>
  </si>
  <si>
    <t>on1077290426</t>
  </si>
  <si>
    <t>3103863118L</t>
  </si>
  <si>
    <t>9782875931146</t>
  </si>
  <si>
    <t>795067625</t>
  </si>
  <si>
    <t>QL638 C65 M5x</t>
  </si>
  <si>
    <t>0                      QL 0638000C  65                 M  5x</t>
  </si>
  <si>
    <t>Anatomie de Latimeria chalumnae / J. Millot et J. Anthony ; Publié avec le concours de l'Institut de recherche scientifique de Madagascar.</t>
  </si>
  <si>
    <t>Millot, Jacques, 1897-1980.</t>
  </si>
  <si>
    <t>Paris : Centre national de la recherche scientifique, [1958]-1978.</t>
  </si>
  <si>
    <t>3943386063:fre</t>
  </si>
  <si>
    <t>1833142</t>
  </si>
  <si>
    <t>ocm01833142</t>
  </si>
  <si>
    <t>3001026975V</t>
  </si>
  <si>
    <t>9782222022435</t>
  </si>
  <si>
    <t>791996306</t>
  </si>
  <si>
    <t>30010267825</t>
  </si>
  <si>
    <t>791996305</t>
  </si>
  <si>
    <t>QL638 C94 Z43 2002</t>
  </si>
  <si>
    <t>0                      QL 0638000C  94                 Z  43          2002</t>
  </si>
  <si>
    <t>Zebrafish : a practical approach / edited by Christiane Nüsslein-Volhard and Ralf Dahm.</t>
  </si>
  <si>
    <t>Oxford : Oxford University Press, 2002.</t>
  </si>
  <si>
    <t>The practical approach series ; no. 261</t>
  </si>
  <si>
    <t>2016-07-12</t>
  </si>
  <si>
    <t>1153287707:eng</t>
  </si>
  <si>
    <t>49926870</t>
  </si>
  <si>
    <t>ocm49926870</t>
  </si>
  <si>
    <t>3102234192O</t>
  </si>
  <si>
    <t>9780199638093</t>
  </si>
  <si>
    <t>793750775</t>
  </si>
  <si>
    <t>QL638 E55 P47 1987</t>
  </si>
  <si>
    <t>0                      QL 0638000E  55                 P  47          1987</t>
  </si>
  <si>
    <t>The Peruvian anchoveta and its upwelling ecosystem : three decades of change / edited by D. Pauly and I. Tsukayama.</t>
  </si>
  <si>
    <t>Callao, Peru : Instituto del Mar del Perú ; Eschborn, Federal Republic of Germany : Deutsche Gesellschaft für Technische Zusammenarbeit ; Manila, Philippines : International Center for Living Aquatic Resources Management, 1987.</t>
  </si>
  <si>
    <t>PROCOPA contribution ; no. 46</t>
  </si>
  <si>
    <t>2015-06-15</t>
  </si>
  <si>
    <t>22672514:eng</t>
  </si>
  <si>
    <t>20492248</t>
  </si>
  <si>
    <t>ocm20492248</t>
  </si>
  <si>
    <t>3001053993Q</t>
  </si>
  <si>
    <t>9789711022341</t>
  </si>
  <si>
    <t>793089709</t>
  </si>
  <si>
    <t>QL638 E55 W67 1987</t>
  </si>
  <si>
    <t>0                      QL 0638000E  55                 W  67          1987</t>
  </si>
  <si>
    <t>The Peruvian upwelling ecosystem : dynamics and interactions / edited by D. Pauly [and others].</t>
  </si>
  <si>
    <t>Workshop on Models for Yield Prediction in the Peruvian Ecosystem (1987 : Callao, Peru)</t>
  </si>
  <si>
    <t>Callao, Perú : Instituto del Mar del Perú ; Eschborn, Federal Republic of Germany : Deutsche Gesellschaft für Technische Zusammenarbeit ; Manila, Philippines : International Center for Living Aquatic Resources Management, 1989.</t>
  </si>
  <si>
    <t>PROCOPA contribution ; no. 92</t>
  </si>
  <si>
    <t>190595256:eng</t>
  </si>
  <si>
    <t>22455843</t>
  </si>
  <si>
    <t>ocm22455843</t>
  </si>
  <si>
    <t>3101117432G</t>
  </si>
  <si>
    <t>9789711022471</t>
  </si>
  <si>
    <t>793144798</t>
  </si>
  <si>
    <t>QL638 L26 W45 2000</t>
  </si>
  <si>
    <t>0                      QL 0638000L  26                 W  45          2000</t>
  </si>
  <si>
    <t>A fish caught in time : the search for the coelacanth / Samantha Weinberg.</t>
  </si>
  <si>
    <t>Weinberg, Samantha, 1966-</t>
  </si>
  <si>
    <t>New York : Harper Collins Publishers, ©2000.</t>
  </si>
  <si>
    <t>39158406:eng</t>
  </si>
  <si>
    <t>42290224</t>
  </si>
  <si>
    <t>ocm42290224</t>
  </si>
  <si>
    <t>3102106333L</t>
  </si>
  <si>
    <t>9780060194956</t>
  </si>
  <si>
    <t>793604376</t>
  </si>
  <si>
    <t>QL638 P358 B42 1985</t>
  </si>
  <si>
    <t>0                      QL 0638000P  358                B  42          1985</t>
  </si>
  <si>
    <t>Rapport sur la situation du bar rayé (Morone saxatilis) / par Hélène Beaulieu.</t>
  </si>
  <si>
    <t>Beaulieu, Hélène.</t>
  </si>
  <si>
    <t>Montréal : Association des biologistes du Québec, 1985.</t>
  </si>
  <si>
    <t>Faune et flore à protéger au Québec ; publication no 7</t>
  </si>
  <si>
    <t>38784493:fre</t>
  </si>
  <si>
    <t>427237430</t>
  </si>
  <si>
    <t>ocn427237430</t>
  </si>
  <si>
    <t>3001040072H</t>
  </si>
  <si>
    <t>9782550117971</t>
  </si>
  <si>
    <t>794550102</t>
  </si>
  <si>
    <t>QL638 P4 A53 2015</t>
  </si>
  <si>
    <t>0                      QL 0638000P  4                  A  53          2015</t>
  </si>
  <si>
    <t>Review of the splendid perches, Callanthias (Percoidei: Callanthiidae) / William D. Anderson, Jr., Grice Marine Biological Laboratory, College of Charleston, 205 Fort Johnson, Charleston, South Carolina ; G. David Johnson and Carole C. Baldwin, Department of Vertebrate Zoology, National Museum of Natural History, Smithsonian, Institution, Washington, D.C.</t>
  </si>
  <si>
    <t>Anderson, William D. (William Dewey), 1933-</t>
  </si>
  <si>
    <t>Philadelphia, PA : American Philosophical Society, [2015]</t>
  </si>
  <si>
    <t>Transactions of the American Philosophical Society, 0065-9746 ; volume 105, part 3</t>
  </si>
  <si>
    <t>2596374119:eng</t>
  </si>
  <si>
    <t>918562855</t>
  </si>
  <si>
    <t>ocn918562855</t>
  </si>
  <si>
    <t>3103645452P</t>
  </si>
  <si>
    <t>9781606180532</t>
  </si>
  <si>
    <t>795001066</t>
  </si>
  <si>
    <t>QL638 S48 A63 2012</t>
  </si>
  <si>
    <t>0                      QL 0638000S  48                 A  63          2012</t>
  </si>
  <si>
    <t>Review of Atlantic and Eastern Pacific anthiine fishes (Teleostei:Perciformes: Serranidae), with descriptions of two new genera / William D. Anderson, Jr., Phillip C. Heemstra.</t>
  </si>
  <si>
    <t>Transactions of the American Philosophical Society ; v. 102, pt. 2</t>
  </si>
  <si>
    <t>3861999816:eng</t>
  </si>
  <si>
    <t>781431880</t>
  </si>
  <si>
    <t>ocn781431880</t>
  </si>
  <si>
    <t>3103403088T</t>
  </si>
  <si>
    <t>9781606180228</t>
  </si>
  <si>
    <t>794912658</t>
  </si>
  <si>
    <t>QL638 S9 L68 2016</t>
  </si>
  <si>
    <t>0                      QL 0638000S  9                  L  68          2016</t>
  </si>
  <si>
    <t>Seahorses : a life-size guide to every species / Sara Lourie.</t>
  </si>
  <si>
    <t>Lourie, Sara A., author.</t>
  </si>
  <si>
    <t>Chicago : University of Chicago Press, 2016.</t>
  </si>
  <si>
    <t>2624768117:eng</t>
  </si>
  <si>
    <t>921821791</t>
  </si>
  <si>
    <t>ocn921821791</t>
  </si>
  <si>
    <t>3103793365U</t>
  </si>
  <si>
    <t>9780226338415</t>
  </si>
  <si>
    <t>795003285</t>
  </si>
  <si>
    <t>QL638.9 M67 1984</t>
  </si>
  <si>
    <t>0                      QL 0638900M  67          1984</t>
  </si>
  <si>
    <t>Sharks : an introduction for the amateur naturalist / Sanford A. Moss.</t>
  </si>
  <si>
    <t>Moss, Sanford A.</t>
  </si>
  <si>
    <t>PHalarope books</t>
  </si>
  <si>
    <t>917594056:eng</t>
  </si>
  <si>
    <t>10404081</t>
  </si>
  <si>
    <t>ocm10404081</t>
  </si>
  <si>
    <t>3001031118K</t>
  </si>
  <si>
    <t>9780138083120</t>
  </si>
  <si>
    <t>792724682</t>
  </si>
  <si>
    <t>QL639 H31813</t>
  </si>
  <si>
    <t>0                      QL 0639000H  31813</t>
  </si>
  <si>
    <t>Anatomy of fishes / by Wilhelm Harder ; transl. by Stephen Sokoloff.</t>
  </si>
  <si>
    <t>Pt. 1</t>
  </si>
  <si>
    <t>Harder, Wilhelm.</t>
  </si>
  <si>
    <t>Stuttgart : Schweizerbart, 1975.</t>
  </si>
  <si>
    <t>41254999:eng</t>
  </si>
  <si>
    <t>2465061</t>
  </si>
  <si>
    <t>ocm02465061</t>
  </si>
  <si>
    <t>31007056848</t>
  </si>
  <si>
    <t>9783510650675</t>
  </si>
  <si>
    <t>792131344</t>
  </si>
  <si>
    <t>Pt. 2</t>
  </si>
  <si>
    <t>3001036256K</t>
  </si>
  <si>
    <t>792131343</t>
  </si>
  <si>
    <t>QL639 J37</t>
  </si>
  <si>
    <t>0                      QL 0639000J  37</t>
  </si>
  <si>
    <t>Das seelenleben der fische, von dr. Karl Jarmer; mit 8 tafeln und 5 textfiguren.</t>
  </si>
  <si>
    <t>Jarmer, Karl.</t>
  </si>
  <si>
    <t>München, Berlin, R. Oldenbourg, 1928.</t>
  </si>
  <si>
    <t>406932104:ger</t>
  </si>
  <si>
    <t>13280701</t>
  </si>
  <si>
    <t>ocm13280701</t>
  </si>
  <si>
    <t>30010725564</t>
  </si>
  <si>
    <t>792847172</t>
  </si>
  <si>
    <t>QL639.1 F57 1983</t>
  </si>
  <si>
    <t>0                      QL 0639100F  57          1983</t>
  </si>
  <si>
    <t>Fish neurobiology / R. Glenn Northcutt and Roger E. Davis, editors.</t>
  </si>
  <si>
    <t>Ann Arbor : University of Michigan Press, ©1983.</t>
  </si>
  <si>
    <t>2798138116:eng</t>
  </si>
  <si>
    <t>8476145</t>
  </si>
  <si>
    <t>ocm08476145</t>
  </si>
  <si>
    <t>31004993860</t>
  </si>
  <si>
    <t>9780472100057</t>
  </si>
  <si>
    <t>792621807</t>
  </si>
  <si>
    <t>3001028323R</t>
  </si>
  <si>
    <t>792621808</t>
  </si>
  <si>
    <t>QL641 G6 1971</t>
  </si>
  <si>
    <t>0                      QL 0641000G  6           1971</t>
  </si>
  <si>
    <t>Introduction to herpetology, by Coleman J. Goin and Olive B. Goin.</t>
  </si>
  <si>
    <t>Goin, Coleman Jett, 1911-</t>
  </si>
  <si>
    <t>San Francisco : W.H. Freeman, [1971]</t>
  </si>
  <si>
    <t>149908569:eng</t>
  </si>
  <si>
    <t>427127007</t>
  </si>
  <si>
    <t>ocn427127007</t>
  </si>
  <si>
    <t>30010497200</t>
  </si>
  <si>
    <t>794521383</t>
  </si>
  <si>
    <t>QL641 H35 1986</t>
  </si>
  <si>
    <t>0                      QL 0641000H  35          1986</t>
  </si>
  <si>
    <t>The encyclopedia of reptiles and amphibians / edited by Tim R. Halliday and Kraig Adler.</t>
  </si>
  <si>
    <t>Halliday, Tim, 1945-</t>
  </si>
  <si>
    <t>New York, NY : Facts on File Publications, ©1986.</t>
  </si>
  <si>
    <t>2015-11-13</t>
  </si>
  <si>
    <t>3855365184:eng</t>
  </si>
  <si>
    <t>12975533</t>
  </si>
  <si>
    <t>ocm12975533</t>
  </si>
  <si>
    <t>31014426876</t>
  </si>
  <si>
    <t>9780816013593</t>
  </si>
  <si>
    <t>792835511</t>
  </si>
  <si>
    <t>QL651 C65 1975</t>
  </si>
  <si>
    <t>0                      QL 0651000C  65          1975</t>
  </si>
  <si>
    <t>A field guide to reptiles and amphibians of Eastern and Central North America. Illustrated by Isabelle Hunt Conant.</t>
  </si>
  <si>
    <t>Conant, Roger, 1909-2003.</t>
  </si>
  <si>
    <t>Boston, Houghton Mifflin, 1975.</t>
  </si>
  <si>
    <t>The Peterson field guide series, 12</t>
  </si>
  <si>
    <t>2018-06-12</t>
  </si>
  <si>
    <t>3855351827:eng</t>
  </si>
  <si>
    <t>1423604</t>
  </si>
  <si>
    <t>ocm01423604</t>
  </si>
  <si>
    <t>3001036455E</t>
  </si>
  <si>
    <t>9780395199794</t>
  </si>
  <si>
    <t>791622803</t>
  </si>
  <si>
    <t>QL651 S59 1982</t>
  </si>
  <si>
    <t>0                      QL 0651000S  59          1982</t>
  </si>
  <si>
    <t>Reptiles of North America : a guide to field identification / by Hobart M. Smith and Edmund D. Brodie, Jr. ; illustrated by David M. Dennis and Sy Barlowe.</t>
  </si>
  <si>
    <t>Smith, Hobart M. (Hobart Muir), 1912-2013.</t>
  </si>
  <si>
    <t>New York : Golden Press, ©1982.</t>
  </si>
  <si>
    <t>The Golden field guide series</t>
  </si>
  <si>
    <t>2015-11-09</t>
  </si>
  <si>
    <t>905706307:eng</t>
  </si>
  <si>
    <t>8785374</t>
  </si>
  <si>
    <t>ocm08785374</t>
  </si>
  <si>
    <t>3001028372E</t>
  </si>
  <si>
    <t>9780307136664</t>
  </si>
  <si>
    <t>792640890</t>
  </si>
  <si>
    <t>QL651 S6</t>
  </si>
  <si>
    <t>0                      QL 0651000S  6</t>
  </si>
  <si>
    <t>Amphibians of North America : a guide to field identification / by Hobart M. Smith ; illustrated by Sy Barlowe.</t>
  </si>
  <si>
    <t>New York : Golden Press, ©1978.</t>
  </si>
  <si>
    <t>Golden field guide series</t>
  </si>
  <si>
    <t>22812528:eng</t>
  </si>
  <si>
    <t>4875093</t>
  </si>
  <si>
    <t>ocm04875093</t>
  </si>
  <si>
    <t>3001036988G</t>
  </si>
  <si>
    <t>9780307636621</t>
  </si>
  <si>
    <t>792390003</t>
  </si>
  <si>
    <t>QL651 S783</t>
  </si>
  <si>
    <t>0                      QL 0651000S  783</t>
  </si>
  <si>
    <t>A field guide to western reptiles and amphibians; field marks of all species in western North America. Text and illus. by Robert C. Stebbins.</t>
  </si>
  <si>
    <t>Stebbins, Robert C. (Robert Cyril), 1915-2013.</t>
  </si>
  <si>
    <t>Boston, Houghton Mifflin, 1966.</t>
  </si>
  <si>
    <t>The Peterson field guide series, 16</t>
  </si>
  <si>
    <t>889923351:eng</t>
  </si>
  <si>
    <t>559172</t>
  </si>
  <si>
    <t>ocm00559172</t>
  </si>
  <si>
    <t>3100542458M</t>
  </si>
  <si>
    <t>9780395194218</t>
  </si>
  <si>
    <t>791414360</t>
  </si>
  <si>
    <t>QL653 N95 S26 2002</t>
  </si>
  <si>
    <t>0                      QL 0653000N  95                 S  26          2002</t>
  </si>
  <si>
    <t>Reptiles of the Northwest / text, photographs and drawings by Alan St. John.</t>
  </si>
  <si>
    <t>St. John, Alan D.</t>
  </si>
  <si>
    <t>Renton, Wash. ; Edmonton : Lone Pine Pub., 2002.</t>
  </si>
  <si>
    <t>38240118:eng</t>
  </si>
  <si>
    <t>49404049</t>
  </si>
  <si>
    <t>ocm49404049</t>
  </si>
  <si>
    <t>3102302942R</t>
  </si>
  <si>
    <t>9781551053431</t>
  </si>
  <si>
    <t>793739807</t>
  </si>
  <si>
    <t>QL654 G54 1984</t>
  </si>
  <si>
    <t>0                      QL 0654000G  54          1984</t>
  </si>
  <si>
    <t>Amphibians and reptiles of Nova Scotia / John Gilhen ; photographs by Ronald Merrick ; watercolours and line drawings by Frederick Scott.</t>
  </si>
  <si>
    <t>Gilhen, John.</t>
  </si>
  <si>
    <t>Halifax, N.S. : Nova Scotia Museum, 1984.</t>
  </si>
  <si>
    <t>3388062:eng</t>
  </si>
  <si>
    <t>10994516</t>
  </si>
  <si>
    <t>ocm10994516</t>
  </si>
  <si>
    <t>30010302961</t>
  </si>
  <si>
    <t>9780919680265</t>
  </si>
  <si>
    <t>792752965</t>
  </si>
  <si>
    <t>QL654 J64 1989</t>
  </si>
  <si>
    <t>0                      QL 0654000J  64          1989</t>
  </si>
  <si>
    <t>Familiar amphibians &amp; reptiles of Ontario / Bob Johnson ; illustrated by Paul Harpley.</t>
  </si>
  <si>
    <t>Johnson, Bob, 1948-</t>
  </si>
  <si>
    <t>Toronto : Natural Heritage/Natural History, [c1989]</t>
  </si>
  <si>
    <t>18216813:eng</t>
  </si>
  <si>
    <t>19516156</t>
  </si>
  <si>
    <t>ocm19516156</t>
  </si>
  <si>
    <t>3103705758I</t>
  </si>
  <si>
    <t>9780920474457</t>
  </si>
  <si>
    <t>793060635</t>
  </si>
  <si>
    <t>QL654 M3 P74 1982</t>
  </si>
  <si>
    <t>0                      QL 0654000M  3                  P  74          1982</t>
  </si>
  <si>
    <t>The amphibians and reptiles of Manitoba / by William B. Preston.</t>
  </si>
  <si>
    <t>Preston, William B.</t>
  </si>
  <si>
    <t>Winnipeg, Can. : Manitoba Museum of Man and Nature, 1982.</t>
  </si>
  <si>
    <t>2862512:eng</t>
  </si>
  <si>
    <t>10258595</t>
  </si>
  <si>
    <t>ocm10258595</t>
  </si>
  <si>
    <t>3001028348B</t>
  </si>
  <si>
    <t>9780920704134</t>
  </si>
  <si>
    <t>792716692</t>
  </si>
  <si>
    <t>QL666 C9 H26 1991</t>
  </si>
  <si>
    <t>0                      QL 0666000C  9                  H  26          1991</t>
  </si>
  <si>
    <t>Handbook of alligators and crocodiles / Steve Grenard ; illustrated by Wanda Loutsenhizer.</t>
  </si>
  <si>
    <t>Grenard, Steve.</t>
  </si>
  <si>
    <t>Malabar, Fla. : Krieger Pub., 1991.</t>
  </si>
  <si>
    <t>22466185:eng</t>
  </si>
  <si>
    <t>20827385</t>
  </si>
  <si>
    <t>ocm20827385</t>
  </si>
  <si>
    <t>3101869093Y</t>
  </si>
  <si>
    <t>9780894644351</t>
  </si>
  <si>
    <t>793100671</t>
  </si>
  <si>
    <t>QL666 C925 R53 2002</t>
  </si>
  <si>
    <t>0                      QL 0666000C  925                R  53          2002</t>
  </si>
  <si>
    <t>Crocodiles: inside out : a guide to the crocodilians and their functional morphology / by K.C. Richardson, G.J.W. Webb and S.C. Manolis.</t>
  </si>
  <si>
    <t>Richardson, K. C. (Kenneth Chadwick), 1947-</t>
  </si>
  <si>
    <t>Chipping Norton, NSW : Surrey Beatty &amp; Sons, 2002.</t>
  </si>
  <si>
    <t>366747240:eng</t>
  </si>
  <si>
    <t>51759081</t>
  </si>
  <si>
    <t>ocm51759081</t>
  </si>
  <si>
    <t>31024381378</t>
  </si>
  <si>
    <t>9780949324900</t>
  </si>
  <si>
    <t>793790400</t>
  </si>
  <si>
    <t>QL666 L2 B45</t>
  </si>
  <si>
    <t>0                      QL 0666000L  2                  B  45</t>
  </si>
  <si>
    <t>Behavior and neurology of lizards : an interdisciplinary colloquium / edited by Neil Greenberg and Paul D. MacLean.</t>
  </si>
  <si>
    <t>Rockville, Md. : U.S. Dept. of Health, Education, and Welfare, Public Health Service, Alcohol, Drug Abuse, and Mental Health Administration, National Institute of Mental Health, [1978]</t>
  </si>
  <si>
    <t>DHEW publication ; no. (ADM) 77-491</t>
  </si>
  <si>
    <t>821920354:eng</t>
  </si>
  <si>
    <t>4571831</t>
  </si>
  <si>
    <t>ocm04571831</t>
  </si>
  <si>
    <t>3001036971X</t>
  </si>
  <si>
    <t>792363749</t>
  </si>
  <si>
    <t>QL666 L25 L36 1989</t>
  </si>
  <si>
    <t>0                      QL 0666000L  25                 L  36          1989</t>
  </si>
  <si>
    <t>Phylogenetic and biogeographic patterns of basiliscine iguanians : Reptilia, Squamata, "Iguanidae" / by Mathias Lang.</t>
  </si>
  <si>
    <t>Lang, Mathias.</t>
  </si>
  <si>
    <t>Bonn : Zoologisches Forschungsinstitut und Museum Alexander Koenig, 1989.</t>
  </si>
  <si>
    <t>Bonner zoologische Monographien, 0302-671X ; Nr. 28</t>
  </si>
  <si>
    <t>890207581:eng</t>
  </si>
  <si>
    <t>19549368</t>
  </si>
  <si>
    <t>ocm19549368</t>
  </si>
  <si>
    <t>3103599490B</t>
  </si>
  <si>
    <t>9783925382284</t>
  </si>
  <si>
    <t>793061666</t>
  </si>
  <si>
    <t>QL666 O6 F5368 1999</t>
  </si>
  <si>
    <t>0                      QL 0666000O  6                  F  5368        1999</t>
  </si>
  <si>
    <t>A Kansas snake community : composition and changes over 50 years / Henry S. Fitch.</t>
  </si>
  <si>
    <t>Fitch, Henry S. (Henry Sheldon), 1909-2009.</t>
  </si>
  <si>
    <t>Malabar, Fla. : Krieger Pub. Co., 1999.</t>
  </si>
  <si>
    <t>Original ed.</t>
  </si>
  <si>
    <t>650214:eng</t>
  </si>
  <si>
    <t>38105209</t>
  </si>
  <si>
    <t>ocm38105209</t>
  </si>
  <si>
    <t>3102017225K</t>
  </si>
  <si>
    <t>9780894649967</t>
  </si>
  <si>
    <t>793515633</t>
  </si>
  <si>
    <t>QL666 O6 G73 1997</t>
  </si>
  <si>
    <t>0                      QL 0666000O  6                  G  73          1997</t>
  </si>
  <si>
    <t>The biology and evolution of Australian snakes / by Allen E. Greer.</t>
  </si>
  <si>
    <t>Greer, Allen E.</t>
  </si>
  <si>
    <t>Chipping Norton, N.S.W. : S. Beatty, 1997.</t>
  </si>
  <si>
    <t>20414973:eng</t>
  </si>
  <si>
    <t>38407991</t>
  </si>
  <si>
    <t>ocm38407991</t>
  </si>
  <si>
    <t>31019507975</t>
  </si>
  <si>
    <t>9780949324689</t>
  </si>
  <si>
    <t>793522912</t>
  </si>
  <si>
    <t>QL666 O6 I77</t>
  </si>
  <si>
    <t>0                      QL 0666000O  6                  I  77</t>
  </si>
  <si>
    <t>Snakes of Africa [by] R.M. Isemonger.</t>
  </si>
  <si>
    <t>Isemonger, R. M. (Richard M.), 1916-</t>
  </si>
  <si>
    <t>[Cape Town] Books of Africa, 1968.</t>
  </si>
  <si>
    <t>4241244505:eng</t>
  </si>
  <si>
    <t>42420</t>
  </si>
  <si>
    <t>ocm00042420</t>
  </si>
  <si>
    <t>3001058661Q</t>
  </si>
  <si>
    <t>791237180</t>
  </si>
  <si>
    <t>QL666 O6 K56</t>
  </si>
  <si>
    <t>0                      QL 0666000O  6                  K  56</t>
  </si>
  <si>
    <t>Rattlesnakes; their habits, life histories, and influence on mankind.</t>
  </si>
  <si>
    <t>Klauber, Laurence Monroe, 1883-1968.</t>
  </si>
  <si>
    <t>Berkeley [Calif.] Zoölogical Society of San Diego, 1956.</t>
  </si>
  <si>
    <t>502106:eng</t>
  </si>
  <si>
    <t>14621894</t>
  </si>
  <si>
    <t>ocm14621894</t>
  </si>
  <si>
    <t>3100637191A</t>
  </si>
  <si>
    <t>792896213</t>
  </si>
  <si>
    <t>3001067259S</t>
  </si>
  <si>
    <t>792896214</t>
  </si>
  <si>
    <t>QL668 E2 B5</t>
  </si>
  <si>
    <t>0                      QL 0668000E  2                  B  5</t>
  </si>
  <si>
    <t>Evolution in the genus Bufo. Edited by W. Frank Blair.</t>
  </si>
  <si>
    <t>Blair, W. Frank, 1912-</t>
  </si>
  <si>
    <t>Austin, University of Texas Press [1972]</t>
  </si>
  <si>
    <t>1558227:eng</t>
  </si>
  <si>
    <t>480629</t>
  </si>
  <si>
    <t>ocm00480629</t>
  </si>
  <si>
    <t>3001058670P</t>
  </si>
  <si>
    <t>9780292720015</t>
  </si>
  <si>
    <t>791388863</t>
  </si>
  <si>
    <t>QL669 K56 1996</t>
  </si>
  <si>
    <t>0                      QL 0669000K  56          1996</t>
  </si>
  <si>
    <t>Reptiles and herbivory / Gillian King.</t>
  </si>
  <si>
    <t>King, Gillian.</t>
  </si>
  <si>
    <t>London ; New York : Chapman &amp; Hall, 1996.</t>
  </si>
  <si>
    <t>1066604:eng</t>
  </si>
  <si>
    <t>35207011</t>
  </si>
  <si>
    <t>ocm35207011</t>
  </si>
  <si>
    <t>31018773434</t>
  </si>
  <si>
    <t>9780412461101</t>
  </si>
  <si>
    <t>793446782</t>
  </si>
  <si>
    <t>QL669 R58</t>
  </si>
  <si>
    <t>0                      QL 0669000R  58</t>
  </si>
  <si>
    <t>Osteology of the reptiles.</t>
  </si>
  <si>
    <t>Romer, Alfred Sherwood, 1894-1973.</t>
  </si>
  <si>
    <t>Chicago, University of Chicago Press [1956]</t>
  </si>
  <si>
    <t>133347714:eng</t>
  </si>
  <si>
    <t>236743</t>
  </si>
  <si>
    <t>ocm00236743</t>
  </si>
  <si>
    <t>3103387951W</t>
  </si>
  <si>
    <t>791304336</t>
  </si>
  <si>
    <t>QL669.2 I58 1987</t>
  </si>
  <si>
    <t>0                      QL 0669200I  58          1987</t>
  </si>
  <si>
    <t>The forebrain of reptiles : current concepts of structure and function / International Symposium on Recent Advances in Understanding the Structure and Function of the Forebrain in Reptiles, Frankfurt/M., August 13-14, 1987 ; editors, Walter K. Schwerdtfeger, Wilhelmus J.A.J. Smeets.</t>
  </si>
  <si>
    <t>International Symposium on Recent Advances in Understanding the Structure and Function of the Forebrain in Reptiles (1987 : Frankfurt am Main, Germany)</t>
  </si>
  <si>
    <t>Basel ; New York : Karger, ©1988.</t>
  </si>
  <si>
    <t>811149634:eng</t>
  </si>
  <si>
    <t>18136661</t>
  </si>
  <si>
    <t>ocm18136661</t>
  </si>
  <si>
    <t>3001053972Y</t>
  </si>
  <si>
    <t>9783805547512</t>
  </si>
  <si>
    <t>793015138</t>
  </si>
  <si>
    <t>QL673 G515 1995</t>
  </si>
  <si>
    <t>0                      QL 0673000G  515         1995</t>
  </si>
  <si>
    <t>Ornithology / Frank B. Gill ; bird portraits by James E. Coe ; consultant for bird portraiture, Guy Tudor.</t>
  </si>
  <si>
    <t>Gill, Frank B.</t>
  </si>
  <si>
    <t>New York : W.H. Freeman, ©1995.</t>
  </si>
  <si>
    <t>2004-03-11</t>
  </si>
  <si>
    <t>2705478:eng</t>
  </si>
  <si>
    <t>30354617</t>
  </si>
  <si>
    <t>ocm30354617</t>
  </si>
  <si>
    <t>3101467840O</t>
  </si>
  <si>
    <t>9780716724155</t>
  </si>
  <si>
    <t>793333144</t>
  </si>
  <si>
    <t>QL674 M56 2016</t>
  </si>
  <si>
    <t>0                      QL 0674000M  56          2016</t>
  </si>
  <si>
    <t>Dionisio Minaggio : le livre des plumes 1618. 1, Les oiseaux / [texte, Franck Guyon].</t>
  </si>
  <si>
    <t>Minaggio, Dionisio.</t>
  </si>
  <si>
    <t>Angoulême : Éditions Marguerite Waknine, [2016]</t>
  </si>
  <si>
    <t>Le cabinet de dessins, 2265-5689 ; [18]</t>
  </si>
  <si>
    <t>4087475853:fre</t>
  </si>
  <si>
    <t>974096990</t>
  </si>
  <si>
    <t>ocn974096990</t>
  </si>
  <si>
    <t>3103759336V</t>
  </si>
  <si>
    <t>9791094565032</t>
  </si>
  <si>
    <t>795029483</t>
  </si>
  <si>
    <t>QL676 L36 1988</t>
  </si>
  <si>
    <t>0                      QL 0676000L  36          1988</t>
  </si>
  <si>
    <t>A dissimulation of birds : an anecdotal look at one hundred of the most common species / written and illustrated by David M. Lank.</t>
  </si>
  <si>
    <t>Lank, David M., 1937-</t>
  </si>
  <si>
    <t>Montreal : Antiquarian Press, 1988.</t>
  </si>
  <si>
    <t>2911258171:eng</t>
  </si>
  <si>
    <t>18639184</t>
  </si>
  <si>
    <t>ocm18639184</t>
  </si>
  <si>
    <t>3001053363M</t>
  </si>
  <si>
    <t>9780969156512</t>
  </si>
  <si>
    <t>793031797</t>
  </si>
  <si>
    <t>QL676.8 C65 2000</t>
  </si>
  <si>
    <t>0                      QL 0676800C  65          2000</t>
  </si>
  <si>
    <t>Hope is the thing with feathers : a personal chronicle of vanished birds / Christopher Cokinos.</t>
  </si>
  <si>
    <t>Cokinos, Christopher.</t>
  </si>
  <si>
    <t>New York : J.P. Tarcher/Putnam, ©2000.</t>
  </si>
  <si>
    <t>788690:eng</t>
  </si>
  <si>
    <t>42683160</t>
  </si>
  <si>
    <t>ocm42683160</t>
  </si>
  <si>
    <t>31020912503</t>
  </si>
  <si>
    <t>9781585420063</t>
  </si>
  <si>
    <t>793611742</t>
  </si>
  <si>
    <t>QL677.5 C36 2010</t>
  </si>
  <si>
    <t>0                      QL 0677500C  36          2010</t>
  </si>
  <si>
    <t>Canadian atlas of bird banding. Volume 4, Shorebirds, 1921-1995 / Erica H. Dunn ... [et al.].</t>
  </si>
  <si>
    <t>Ottawa : Canadian Wildlife Service, c2010.</t>
  </si>
  <si>
    <t>Special publication / Canadian Wildlife Service</t>
  </si>
  <si>
    <t>8910290711:eng</t>
  </si>
  <si>
    <t>541681568</t>
  </si>
  <si>
    <t>ocn541681568</t>
  </si>
  <si>
    <t>31035138384</t>
  </si>
  <si>
    <t>9781100151656</t>
  </si>
  <si>
    <t>794810752</t>
  </si>
  <si>
    <t>QL677.5 P4 1970</t>
  </si>
  <si>
    <t>0                      QL 0677500P  4           1970</t>
  </si>
  <si>
    <t>Ornithology in laboratory and field. Illustrated by Walter J. Breckenridge.</t>
  </si>
  <si>
    <t>Pettingill, Olin Sewall, 1907-2001.</t>
  </si>
  <si>
    <t>Minneapolis, Minn., Burgess [1970]</t>
  </si>
  <si>
    <t>135947260:eng</t>
  </si>
  <si>
    <t>102317</t>
  </si>
  <si>
    <t>ocm00102317</t>
  </si>
  <si>
    <t>3001051961C</t>
  </si>
  <si>
    <t>9780808716099</t>
  </si>
  <si>
    <t>791257543</t>
  </si>
  <si>
    <t>QL677.5 W6x</t>
  </si>
  <si>
    <t>0                      QL 0677500W  6x</t>
  </si>
  <si>
    <t>A bird-bander's guide to determination of age and sex of selected species / Merrill Wood.</t>
  </si>
  <si>
    <t>Wood, Merrill, 1908-1992.</t>
  </si>
  <si>
    <t>University Park, Pa. : College of Agriculture, Pennsylvania State University, [1969]</t>
  </si>
  <si>
    <t>1413273:eng</t>
  </si>
  <si>
    <t>361061</t>
  </si>
  <si>
    <t>ocm00361061</t>
  </si>
  <si>
    <t>3001059138$</t>
  </si>
  <si>
    <t>791351139</t>
  </si>
  <si>
    <t>QL677.7 W23 1978</t>
  </si>
  <si>
    <t>0                      QL 0677700W  23          1978</t>
  </si>
  <si>
    <t>Type specimens of birds in the Merseyside County Museums : formerly City of Liverpool Museums / R. Wagstaffe.</t>
  </si>
  <si>
    <t>Wagstaffe, Reginald.</t>
  </si>
  <si>
    <t>Liverpool : Merseyside County Museums, 1978.</t>
  </si>
  <si>
    <t>119891903:eng</t>
  </si>
  <si>
    <t>427227409</t>
  </si>
  <si>
    <t>ocn427227409</t>
  </si>
  <si>
    <t>3103635645K</t>
  </si>
  <si>
    <t>9780906367001</t>
  </si>
  <si>
    <t>794547566</t>
  </si>
  <si>
    <t>QL681 P45 1980</t>
  </si>
  <si>
    <t>0                      QL 0681000P  45          1980</t>
  </si>
  <si>
    <t>A field guide to the birds : a completely new guide to all the birds of eastern and central North America / text and ill. by Roger Tory Peterson ; maps by Virginia Marie Peterson.</t>
  </si>
  <si>
    <t>Peterson, Roger Tory, 1908-1996, author, illustrator.</t>
  </si>
  <si>
    <t>Boston : Houghton Mifflin Company, 1980.</t>
  </si>
  <si>
    <t>Fourth edition, completely revised and enlarged.</t>
  </si>
  <si>
    <t>21st century reference ; 1</t>
  </si>
  <si>
    <t>3860527904:eng</t>
  </si>
  <si>
    <t>6223743</t>
  </si>
  <si>
    <t>ocm06223743</t>
  </si>
  <si>
    <t>3000820499J</t>
  </si>
  <si>
    <t>9780395266212</t>
  </si>
  <si>
    <t>792484283</t>
  </si>
  <si>
    <t>QL683 S6 M37 1982</t>
  </si>
  <si>
    <t>0                      QL 0683000S  6                  M  37          1982</t>
  </si>
  <si>
    <t>Marine birds of the southeastern United States and Gulf of Mexico / by Roger B. Clapp [and others] ; prepared for Coastal Ecosystems Project, Office of Biological Services, U.S. Department of the Interior.</t>
  </si>
  <si>
    <t>pt. 3</t>
  </si>
  <si>
    <t>[Washington, D.C.?] : Bureau of Land Management, Fish and Wildlife Service, U.S. Dept. of the Interior, 1982-[1983]</t>
  </si>
  <si>
    <t>FWS/OBS ; 82/01, 82/20, 83/30.</t>
  </si>
  <si>
    <t>2908800959:eng</t>
  </si>
  <si>
    <t>8359556</t>
  </si>
  <si>
    <t>ocm08359556</t>
  </si>
  <si>
    <t>31036360452</t>
  </si>
  <si>
    <t>792615012</t>
  </si>
  <si>
    <t>pt. 2</t>
  </si>
  <si>
    <t>2015-10-07</t>
  </si>
  <si>
    <t>31036360460</t>
  </si>
  <si>
    <t>792615013</t>
  </si>
  <si>
    <t>pt. 1</t>
  </si>
  <si>
    <t>3103636090Y</t>
  </si>
  <si>
    <t>792615014</t>
  </si>
  <si>
    <t>QL685 P68</t>
  </si>
  <si>
    <t>0                      QL 0685000P  68</t>
  </si>
  <si>
    <t>Mes observations sur les oiseaux / Paul Provencher.</t>
  </si>
  <si>
    <t>Provencher, Paul.</t>
  </si>
  <si>
    <t>Montréal : Editions de l'Homme, ©1977.</t>
  </si>
  <si>
    <t>Collection Sport</t>
  </si>
  <si>
    <t>14745681:fre</t>
  </si>
  <si>
    <t>427318292</t>
  </si>
  <si>
    <t>ocn427318292</t>
  </si>
  <si>
    <t>30010375911</t>
  </si>
  <si>
    <t>9780775905342</t>
  </si>
  <si>
    <t>794587627</t>
  </si>
  <si>
    <t>QL685 Q8 C3x</t>
  </si>
  <si>
    <t>0                      QL 0685000Q  8                  C  3x</t>
  </si>
  <si>
    <t>Les oiseaux du Québec / Raymond Cayouette, Jean-Luc Grondin.</t>
  </si>
  <si>
    <t>Cayoutte, Raymond.</t>
  </si>
  <si>
    <t>Orsainville, Qué. : Société zoologique de Québec, 1972.</t>
  </si>
  <si>
    <t>1. éd.</t>
  </si>
  <si>
    <t>373615927:fre</t>
  </si>
  <si>
    <t>1721374</t>
  </si>
  <si>
    <t>ocm01721374</t>
  </si>
  <si>
    <t>3001062085N</t>
  </si>
  <si>
    <t>791854043</t>
  </si>
  <si>
    <t>QL685.5 A8 B868 2002</t>
  </si>
  <si>
    <t>0                      QL 0685500A  8                  B  868         2002</t>
  </si>
  <si>
    <t>Birds of Atlantic Canada / Roger Burrows.</t>
  </si>
  <si>
    <t>Burrows, Roger, 1942-</t>
  </si>
  <si>
    <t>Edmonton : Lone Pine Pub., 2002.</t>
  </si>
  <si>
    <t>2533336494:eng</t>
  </si>
  <si>
    <t>48906326</t>
  </si>
  <si>
    <t>ocm48906326</t>
  </si>
  <si>
    <t>3102258542X</t>
  </si>
  <si>
    <t>9781551053530</t>
  </si>
  <si>
    <t>793730135</t>
  </si>
  <si>
    <t>QL685.5 H8 M26</t>
  </si>
  <si>
    <t>0                      QL 0685500H  8                  M  26</t>
  </si>
  <si>
    <t>Birds and mammals of the Belcher, Sleeper, Ottawa and King George Islands, and Northwest Territories / by T.H. Manning.</t>
  </si>
  <si>
    <t>Manning, T. H. (Thomas Henry), 1911-1998.</t>
  </si>
  <si>
    <t>Ottawa : Canadian Wildlife Service, 1976.</t>
  </si>
  <si>
    <t>Occasional paper - Canadian Wildlife Service ; number 28</t>
  </si>
  <si>
    <t>7966249:eng</t>
  </si>
  <si>
    <t>3085712</t>
  </si>
  <si>
    <t>ocm03085712</t>
  </si>
  <si>
    <t>3001024945D</t>
  </si>
  <si>
    <t>792215611</t>
  </si>
  <si>
    <t>QL685.5 N6 M66 1987</t>
  </si>
  <si>
    <t>0                      QL 0685500N  6                  M  66          1987</t>
  </si>
  <si>
    <t>Newfoundland birds : exploitation, study, conservation / William A. Montevecchi and Leslie M. Tuck.</t>
  </si>
  <si>
    <t>Montevecchi, William A.</t>
  </si>
  <si>
    <t>Cambridge, Mass. : Nuttall Ornithological Club, 1987.</t>
  </si>
  <si>
    <t>Publications of the Nuttall Ornithological Club ; no. 21</t>
  </si>
  <si>
    <t>17958492:eng</t>
  </si>
  <si>
    <t>18292443</t>
  </si>
  <si>
    <t>ocm18292443</t>
  </si>
  <si>
    <t>3001051296L</t>
  </si>
  <si>
    <t>793020098</t>
  </si>
  <si>
    <t>QL685.5 Q3 M59 1992</t>
  </si>
  <si>
    <t>0                      QL 0685500Q  3                  M  59          1992</t>
  </si>
  <si>
    <t>Lumière des oiseaux : histoires naturelles du Nouveau Monde / Pierre Morency ; illustrations de Pierre Lussier.</t>
  </si>
  <si>
    <t>Morency, Pierre.</t>
  </si>
  <si>
    <t>[Montréal] : Boréal, 1992.</t>
  </si>
  <si>
    <t>28625174:fre</t>
  </si>
  <si>
    <t>427955767</t>
  </si>
  <si>
    <t>ocn427955767</t>
  </si>
  <si>
    <t>3101215502O</t>
  </si>
  <si>
    <t>9782890524606</t>
  </si>
  <si>
    <t>794721365</t>
  </si>
  <si>
    <t>QL685.7 E36 1992</t>
  </si>
  <si>
    <t>0                      QL 0685700E  36          1992</t>
  </si>
  <si>
    <t>Ecology and conservation of neotropical migrant landbirds / edited by John M. Hagan III and David W. Johnston ; preface by Gerry E. Studds ; foreword by Thomas E. Lovejoy.</t>
  </si>
  <si>
    <t>Washington : Smithsonian Institution Press, ©1992.</t>
  </si>
  <si>
    <t>25171332:eng</t>
  </si>
  <si>
    <t>23583000</t>
  </si>
  <si>
    <t>ocm23583000</t>
  </si>
  <si>
    <t>3101459067W</t>
  </si>
  <si>
    <t>9781560981138</t>
  </si>
  <si>
    <t>793176988</t>
  </si>
  <si>
    <t>QL685.7 S58 1999</t>
  </si>
  <si>
    <t>0                      QL 0685700S  58          1999</t>
  </si>
  <si>
    <t>Trogons, laughing falcons, and other neotropical birds / Alexander F. Skutch ; illustrations by Dana Gardner.</t>
  </si>
  <si>
    <t>Skutch, Alexander F. (Alexander Frank), 1904-2004.</t>
  </si>
  <si>
    <t>College Station, Tex. : Texas A &amp; M University Press, ©1999.</t>
  </si>
  <si>
    <t>The Louise Lindsey Merrick natural environment series ; no. 29</t>
  </si>
  <si>
    <t>2016-02-06</t>
  </si>
  <si>
    <t>41805381:eng</t>
  </si>
  <si>
    <t>39516063</t>
  </si>
  <si>
    <t>ocm39516063</t>
  </si>
  <si>
    <t>3102014591A</t>
  </si>
  <si>
    <t>9780890968505</t>
  </si>
  <si>
    <t>793547600</t>
  </si>
  <si>
    <t>QL689 A1 D38</t>
  </si>
  <si>
    <t>0                      QL 0689000A  1                  D  38</t>
  </si>
  <si>
    <t>A guide to the birds of South America. Illustrated by Earl L. Poole, John R. Quinn, and George M. Sutton.</t>
  </si>
  <si>
    <t>Meyer de Schauensee, Rodolphe, 1901-1984.</t>
  </si>
  <si>
    <t>Wynnewood, Pa., Published for the Academy of Natural Sciences of Philadelphia by Livingston Pub. Co. [1970]</t>
  </si>
  <si>
    <t>1232779:eng</t>
  </si>
  <si>
    <t>115641</t>
  </si>
  <si>
    <t>ocm00115641</t>
  </si>
  <si>
    <t>31035931200</t>
  </si>
  <si>
    <t>9780870980275</t>
  </si>
  <si>
    <t>791261670</t>
  </si>
  <si>
    <t>QL689 A5 F53 1990</t>
  </si>
  <si>
    <t>0                      QL 0689000A  5                  F  53          1990</t>
  </si>
  <si>
    <t>Birds of the high Andes / by Jon Fjeldså and Niels Krabbe ; illustrated by Jon Fjeldså.</t>
  </si>
  <si>
    <t>Fjeldså, Jon, 1942- author, illustrator.</t>
  </si>
  <si>
    <t>Copenhagen, Denmark : Zoological Museum, University of Copenhagen ; Svendborg, Denmark : Apollo Books, [1990]</t>
  </si>
  <si>
    <t>308716603:eng</t>
  </si>
  <si>
    <t>22163126</t>
  </si>
  <si>
    <t>ocm22163126</t>
  </si>
  <si>
    <t>3100951187Z</t>
  </si>
  <si>
    <t>9788788757163</t>
  </si>
  <si>
    <t>793135930</t>
  </si>
  <si>
    <t>QL689 A6 N3313 1989</t>
  </si>
  <si>
    <t>0                      QL 0689000A  6                  N  3313        1989</t>
  </si>
  <si>
    <t>Birds of Argentina and Uruguay : a field guide / T. Narosky and D. Yzurieta.</t>
  </si>
  <si>
    <t>Narosky, Tito, 1932-</t>
  </si>
  <si>
    <t>Buenos Aires : Vazquez Mazzini, 1989.</t>
  </si>
  <si>
    <t>1st ed., English.</t>
  </si>
  <si>
    <t>5092845291:eng</t>
  </si>
  <si>
    <t>23762191</t>
  </si>
  <si>
    <t>ocm23762191</t>
  </si>
  <si>
    <t>3101430808$</t>
  </si>
  <si>
    <t>9789509906334</t>
  </si>
  <si>
    <t>793181735</t>
  </si>
  <si>
    <t>QL689 A6 N3313 2003</t>
  </si>
  <si>
    <t>0                      QL 0689000A  6                  N  3313        2003</t>
  </si>
  <si>
    <t>Birds of Argentina and Uruguay : a field guide / T. Narosky, D. Yzurieta ; [English version, Mariano Moldes].</t>
  </si>
  <si>
    <t>Buenos Aires : Vazquez Mazzini Editores, 2003.</t>
  </si>
  <si>
    <t>15th ed.</t>
  </si>
  <si>
    <t>2017-05-09</t>
  </si>
  <si>
    <t>54664660</t>
  </si>
  <si>
    <t>ocm54664660</t>
  </si>
  <si>
    <t>3102437491S</t>
  </si>
  <si>
    <t>9789879132050</t>
  </si>
  <si>
    <t>793865016</t>
  </si>
  <si>
    <t>QL689 P4 W34 2002</t>
  </si>
  <si>
    <t>0                      QL 0689000P  4                  W  34          2002</t>
  </si>
  <si>
    <t>Field guide to the birds of Machu Picchu, Peru / by Barry Walker ; illustrated by Jon Fjeldså.</t>
  </si>
  <si>
    <t>Walker, B. L.</t>
  </si>
  <si>
    <t>Lima : National Trust Fund for Natural Protected Areas PROFONANPE ; Cusco : Machu Picchu Program, 2002.</t>
  </si>
  <si>
    <t>478744865:eng</t>
  </si>
  <si>
    <t>52657137</t>
  </si>
  <si>
    <t>ocm52657137</t>
  </si>
  <si>
    <t>31036361246</t>
  </si>
  <si>
    <t>793811737</t>
  </si>
  <si>
    <t>QL690 A75 A33 1997</t>
  </si>
  <si>
    <t>0                      QL 0690000A  75                 A  33          1997</t>
  </si>
  <si>
    <t>A field guide to birds of Armenia / Martin S. Adamian, Daniel Klem, Jr. ; [foreword by Keith L. Bildstein].</t>
  </si>
  <si>
    <t>Adamian, Martin S.</t>
  </si>
  <si>
    <t>Oakland, CA : American University of Armenia, ©1997.</t>
  </si>
  <si>
    <t>398833822:eng</t>
  </si>
  <si>
    <t>37721838</t>
  </si>
  <si>
    <t>ocm37721838</t>
  </si>
  <si>
    <t>3102260918H</t>
  </si>
  <si>
    <t>9780965742924</t>
  </si>
  <si>
    <t>793505543</t>
  </si>
  <si>
    <t>QL690 G7 M458 2002</t>
  </si>
  <si>
    <t>0                      QL 0690000G  7                  M  458         2002</t>
  </si>
  <si>
    <t>The migration atlas : movements of the birds of Britain and Ireland / edited by Chris Wernham [and others].</t>
  </si>
  <si>
    <t>London : T. &amp; A.D. Poyser, 2002.</t>
  </si>
  <si>
    <t>793020398:eng</t>
  </si>
  <si>
    <t>50582482</t>
  </si>
  <si>
    <t>ocm50582482</t>
  </si>
  <si>
    <t>3102276366X</t>
  </si>
  <si>
    <t>9780713665147</t>
  </si>
  <si>
    <t>793768103</t>
  </si>
  <si>
    <t>QL690 G7 S538 2013</t>
  </si>
  <si>
    <t>0                      QL 0690000G  7                  S  538         2013</t>
  </si>
  <si>
    <t>Feasting, fowling and feathers : a history of the exploitation of wild birds / Michael Shrubb.</t>
  </si>
  <si>
    <t>Shrubb, Michael, author.</t>
  </si>
  <si>
    <t>London : T. &amp; A.D. Poyser, 2013.</t>
  </si>
  <si>
    <t>Poyser monographs ; 391</t>
  </si>
  <si>
    <t>1269274735:eng</t>
  </si>
  <si>
    <t>841184373</t>
  </si>
  <si>
    <t>ocn841184373</t>
  </si>
  <si>
    <t>3103903734S</t>
  </si>
  <si>
    <t>9781408159903</t>
  </si>
  <si>
    <t>794946586</t>
  </si>
  <si>
    <t>QL691 A76 A33 1999</t>
  </si>
  <si>
    <t>0                      QL 0691000A  76                 A  33          1999</t>
  </si>
  <si>
    <t>Handbook of the birds of Armenia / Martin S. Adamian, Daniel Klem, Jr.</t>
  </si>
  <si>
    <t>Adamyan, M. S. (Martin Sirekani), 1927-</t>
  </si>
  <si>
    <t>Oakland, Calif. : American University of Armenia, ©1999.</t>
  </si>
  <si>
    <t>27747352:eng</t>
  </si>
  <si>
    <t>42212161</t>
  </si>
  <si>
    <t>ocm42212161</t>
  </si>
  <si>
    <t>3102259020B</t>
  </si>
  <si>
    <t>9780965742931</t>
  </si>
  <si>
    <t>793603255</t>
  </si>
  <si>
    <t>QL691 C5 C25</t>
  </si>
  <si>
    <t>0                      QL 0691000C  5                  C  25</t>
  </si>
  <si>
    <t>South China birds, by Harry R. Caldwell and John C. Caldwell; a complete, popular and scientific account of nearly five hundred and fifty forms of birds found in Fukien, Kwangtung, Kiangsi, Kiangsu and Chekiang provinces. Illustrated by more than seventy-five original half tones of birds in life, nests, eggs and haunts, from photographs by the authors, and Morris Caldwell. Together with six colored plates by Prof. Andrew Allison. Stories and legends by Muriel E. Caldwell.</t>
  </si>
  <si>
    <t>Caldwell, Harry R.</t>
  </si>
  <si>
    <t>Shanghai, H.M. Vanderburgh [1931]</t>
  </si>
  <si>
    <t>14664549:eng</t>
  </si>
  <si>
    <t>4362977</t>
  </si>
  <si>
    <t>ocm04362977</t>
  </si>
  <si>
    <t>3100487368I</t>
  </si>
  <si>
    <t>792343957</t>
  </si>
  <si>
    <t>QL691 C5 D4 1984</t>
  </si>
  <si>
    <t>0                      QL 0691000C  5                  D  4           1984</t>
  </si>
  <si>
    <t>The birds of China / Rodolphe Meyer de Schauensee ; scientific editing by Eleanor D. Brown ; color plates by John Henry Dick, John A. Gwynne, Jr., and H. Wayne Trimm ; wash drawings by Michel Kleinbaum ; endpaper maps by Maude T. Meyer de Schauensee.</t>
  </si>
  <si>
    <t>Washington, D.C. : Smithsonian Institution Press, ©1984.</t>
  </si>
  <si>
    <t>4600357:eng</t>
  </si>
  <si>
    <t>9622094</t>
  </si>
  <si>
    <t>ocm09622094</t>
  </si>
  <si>
    <t>3001029766P</t>
  </si>
  <si>
    <t>9780874743623</t>
  </si>
  <si>
    <t>792685375</t>
  </si>
  <si>
    <t>QL691 E18 B73 2009</t>
  </si>
  <si>
    <t>0                      QL 0691000E  18                 B  73          2009</t>
  </si>
  <si>
    <t>Birds of East Asia : China, Taiwan, Korea, Japan, and Russia / Mark Brazil ; illustrated by Dave Nurney [and others].</t>
  </si>
  <si>
    <t>Brazil, Mark, 1955-</t>
  </si>
  <si>
    <t>Princeton, N.J. : Princeton University Press, 2009.</t>
  </si>
  <si>
    <t>2019-06-18</t>
  </si>
  <si>
    <t>9020823795:eng</t>
  </si>
  <si>
    <t>276340701</t>
  </si>
  <si>
    <t>ocn276340701</t>
  </si>
  <si>
    <t>31031985922</t>
  </si>
  <si>
    <t>9780691139265</t>
  </si>
  <si>
    <t>794416527</t>
  </si>
  <si>
    <t>QL691 J6 A53 1995</t>
  </si>
  <si>
    <t>0                      QL 0691000J  6                  A  53          1995</t>
  </si>
  <si>
    <t>The birds of the Hashemite Kingdom of Jordan / Ian J. Andrews.</t>
  </si>
  <si>
    <t>Andrews, Ian J.</t>
  </si>
  <si>
    <t>Musselburgh, Midlothian, Scotland : I.J. Andrews, 1995.</t>
  </si>
  <si>
    <t>34349010:eng</t>
  </si>
  <si>
    <t>32465117</t>
  </si>
  <si>
    <t>ocm32465117</t>
  </si>
  <si>
    <t>3101867955G</t>
  </si>
  <si>
    <t>9780952497806</t>
  </si>
  <si>
    <t>793384832</t>
  </si>
  <si>
    <t>QL691 S65 G75 1999</t>
  </si>
  <si>
    <t>0                      QL 0691000S  65                 G  75          1999</t>
  </si>
  <si>
    <t>A guide to the birds of India, Pakistan, Nepal, Bangladesh, Bhutan, Sri Lanka, and the Maldives / Richard Grimmett, Carol Inskipp, and Tim Inskipp ; with collaboration of Sarath Kotagama and Shahid Ali ; illustrated by Clive Byers [and others].</t>
  </si>
  <si>
    <t>Grimmett, Richard, 1960-</t>
  </si>
  <si>
    <t>Princeton, N.J. : Princeton University Press, ©1999.</t>
  </si>
  <si>
    <t>3858095823:eng</t>
  </si>
  <si>
    <t>39890499</t>
  </si>
  <si>
    <t>ocm39890499</t>
  </si>
  <si>
    <t>3102014582B</t>
  </si>
  <si>
    <t>9780691006871</t>
  </si>
  <si>
    <t>793556106</t>
  </si>
  <si>
    <t>QL692 H45</t>
  </si>
  <si>
    <t>0                      QL 0692000H  45</t>
  </si>
  <si>
    <t>Les oiseaux du nord-ouest de l'Afrique; distribution géographique, écologie, migrations, reproduction [par] Henri Heim de Balsac et Noël Mayaud.</t>
  </si>
  <si>
    <t>Heim de Balsac, Henri.</t>
  </si>
  <si>
    <t>Paris, P. Lechevalier, 1962.</t>
  </si>
  <si>
    <t>Encyclopédie ornithologique 10</t>
  </si>
  <si>
    <t>806413004:fre</t>
  </si>
  <si>
    <t>7980665</t>
  </si>
  <si>
    <t>ocm07980665</t>
  </si>
  <si>
    <t>30010377507</t>
  </si>
  <si>
    <t>792591241</t>
  </si>
  <si>
    <t>QL693 C56</t>
  </si>
  <si>
    <t>0                      QL 0693000C  56</t>
  </si>
  <si>
    <t>Checklist of the birds of Australia / by H.T. Condon.</t>
  </si>
  <si>
    <t>Condon, H. T.</t>
  </si>
  <si>
    <t>Melbourne : Royal Australasian Ornithologists Union, 1975-</t>
  </si>
  <si>
    <t>4133072401:eng</t>
  </si>
  <si>
    <t>1612381</t>
  </si>
  <si>
    <t>ocm01612381</t>
  </si>
  <si>
    <t>3001033527U</t>
  </si>
  <si>
    <t>9780959982312</t>
  </si>
  <si>
    <t>791791790</t>
  </si>
  <si>
    <t>QL693 D96 1986</t>
  </si>
  <si>
    <t>0                      QL 0693000D  96          1986</t>
  </si>
  <si>
    <t>The dynamic partnership : birds and plants in Southern Australia / edited by H.A. Ford and D.C. Paton.</t>
  </si>
  <si>
    <t>[Adelaide], S. Aust. : D.J. Woolman, govt. printer, ©1986.</t>
  </si>
  <si>
    <t>Handbooks of the flora and fauna of South Australia</t>
  </si>
  <si>
    <t>942828161:eng</t>
  </si>
  <si>
    <t>123205123</t>
  </si>
  <si>
    <t>ocn123205123</t>
  </si>
  <si>
    <t>3100712112P</t>
  </si>
  <si>
    <t>9780724346400</t>
  </si>
  <si>
    <t>794224960</t>
  </si>
  <si>
    <t>QL694 G2 H37 1982</t>
  </si>
  <si>
    <t>0                      QL 0694000G  2                  H  37          1982</t>
  </si>
  <si>
    <t>A field guide to the birds of Galapagos / Michael Harris ; with 12 plates and 68 line illustrations by Barry Kent Mackay.</t>
  </si>
  <si>
    <t>Harris, M. P. (Michael Philip)</t>
  </si>
  <si>
    <t>London : Collins, 1982.</t>
  </si>
  <si>
    <t>3002714:eng</t>
  </si>
  <si>
    <t>9249592</t>
  </si>
  <si>
    <t>ocm09249592</t>
  </si>
  <si>
    <t>3001028137O</t>
  </si>
  <si>
    <t>9780002192378</t>
  </si>
  <si>
    <t>792666079</t>
  </si>
  <si>
    <t>QL696 A3 T8</t>
  </si>
  <si>
    <t>0                      QL 0696000A  3                  T  8</t>
  </si>
  <si>
    <t>The murres; their distribution, populations and biology: A study of the genus Uria.</t>
  </si>
  <si>
    <t>Tuck, Leslie M., 1911-1979.</t>
  </si>
  <si>
    <t>Ottawa, [Dept. of Northern Affairs and National Resources, National Parks Branch, Canadian Wildlife Service], [1960]</t>
  </si>
  <si>
    <t>Canadian wildlife series. 1</t>
  </si>
  <si>
    <t>2329682:eng</t>
  </si>
  <si>
    <t>37762956</t>
  </si>
  <si>
    <t>ocm37762956</t>
  </si>
  <si>
    <t>3101544774V</t>
  </si>
  <si>
    <t>793506529</t>
  </si>
  <si>
    <t>QL696 C4 B87</t>
  </si>
  <si>
    <t>0                      QL 0696000C  4                  B  87</t>
  </si>
  <si>
    <t>Feeding and the feeding apparatus in waders: a study of anatomy and adaptations in the Charadrii [by] Philip J.K. Burton.</t>
  </si>
  <si>
    <t>Burton, Philip John Kennedy.</t>
  </si>
  <si>
    <t>London, Trustees of the British Museum (Natural History), 1974.</t>
  </si>
  <si>
    <t>British Museum (Natural History). Publication no. 719</t>
  </si>
  <si>
    <t>2021044:eng</t>
  </si>
  <si>
    <t>1120216</t>
  </si>
  <si>
    <t>ocm01120216</t>
  </si>
  <si>
    <t>3001033178T</t>
  </si>
  <si>
    <t>9780565007195</t>
  </si>
  <si>
    <t>791550981</t>
  </si>
  <si>
    <t>QL696 C42 A84 1985</t>
  </si>
  <si>
    <t>0                      QL 0696000C  42                 A  84          1985</t>
  </si>
  <si>
    <t>The Atlantic Alcidae : the evolution, distribution, and biology of the auks inhabiting the Atlantic Ocean and adjacent water areas / edited by David N. Nettleship, Tim R. Birkhead ; contributors, Jean Bédard [and others].</t>
  </si>
  <si>
    <t>London ; Orlando : Academic Press, 1985.</t>
  </si>
  <si>
    <t>795618368:eng</t>
  </si>
  <si>
    <t>11865625</t>
  </si>
  <si>
    <t>ocm11865625</t>
  </si>
  <si>
    <t>30010318799</t>
  </si>
  <si>
    <t>9780125156707</t>
  </si>
  <si>
    <t>792791488</t>
  </si>
  <si>
    <t>QL696 C42 B5</t>
  </si>
  <si>
    <t>0                      QL 0696000C  42                 B  5</t>
  </si>
  <si>
    <t>Census methods for murres, Uria species : a unified approach / T.R. Birkhead ; D.N. Nettleship.</t>
  </si>
  <si>
    <t>Birkhead, T. R.</t>
  </si>
  <si>
    <t>[Ottawa] : Canadian Wildlife Service, [1980]</t>
  </si>
  <si>
    <t>Canadian Wildlife Service. Occasional paper ; no. 43</t>
  </si>
  <si>
    <t>5614117474:eng</t>
  </si>
  <si>
    <t>6859957</t>
  </si>
  <si>
    <t>ocm06859957</t>
  </si>
  <si>
    <t>3001025359L</t>
  </si>
  <si>
    <t>9780662109341</t>
  </si>
  <si>
    <t>792526931</t>
  </si>
  <si>
    <t>QL696 C42 G256 1981</t>
  </si>
  <si>
    <t>0                      QL 0696000C  42                 G  256         1981</t>
  </si>
  <si>
    <t>The thick-billed murres of Prince Leopold Island : a study of the breeding ecology of a colonial high Arctic seabird / by A.J. Gaston and D.N. Nettleship.</t>
  </si>
  <si>
    <t>Gaston, A. J. (Anthony J.), 1946-</t>
  </si>
  <si>
    <t>Ottawa : Environment Canada, Canadian Wildlife Service : Available by mail from Printing and Pub. Supply and Services Canada, 1981.</t>
  </si>
  <si>
    <t>Monograph series / Canadian Wildlife Service ; no. 6</t>
  </si>
  <si>
    <t>5608842206:eng</t>
  </si>
  <si>
    <t>10459223</t>
  </si>
  <si>
    <t>ocm10459223</t>
  </si>
  <si>
    <t>30010266853</t>
  </si>
  <si>
    <t>9780660108575</t>
  </si>
  <si>
    <t>792727580</t>
  </si>
  <si>
    <t>QL696 C42 M87 1993</t>
  </si>
  <si>
    <t>0                      QL 0696000C  42                 M  87          1993</t>
  </si>
  <si>
    <t>Monitoring thick-billed murre populations at colonies in northern Hudson Bay, 1972-92 / Anthony J. Gaston [and 3 others].</t>
  </si>
  <si>
    <t>Ottawa : Canadian Wildlife Service, [1993]</t>
  </si>
  <si>
    <t>Occasional paper, 0576-6370 ; no. 80</t>
  </si>
  <si>
    <t>8908041157:eng</t>
  </si>
  <si>
    <t>28850316</t>
  </si>
  <si>
    <t>ocm28850316</t>
  </si>
  <si>
    <t>3101274510V</t>
  </si>
  <si>
    <t>9780662208587</t>
  </si>
  <si>
    <t>793297801</t>
  </si>
  <si>
    <t>QL696 C488 F87 1987</t>
  </si>
  <si>
    <t>0                      QL 0696000C  488                F  87          1987</t>
  </si>
  <si>
    <t>The Skuas / by Robert W. Furness ; illustrated by John Busby.</t>
  </si>
  <si>
    <t>Furness, R. W.</t>
  </si>
  <si>
    <t>Calton : T &amp; AD Poyser, 1987.</t>
  </si>
  <si>
    <t>12575351:eng</t>
  </si>
  <si>
    <t>16681156</t>
  </si>
  <si>
    <t>ocm16681156</t>
  </si>
  <si>
    <t>3001052983Y</t>
  </si>
  <si>
    <t>9780856610462</t>
  </si>
  <si>
    <t>792968478</t>
  </si>
  <si>
    <t>QL696 C52 R525</t>
  </si>
  <si>
    <t>0                      QL 0696000C  52                 R  525</t>
  </si>
  <si>
    <t>The heron Garth.</t>
  </si>
  <si>
    <t>Richmond, W. Kenneth (William Kenneth), 1910-1990.</t>
  </si>
  <si>
    <t>London, G. Routledge &amp; Sons, Ltd. [1946]</t>
  </si>
  <si>
    <t>2015-03-28</t>
  </si>
  <si>
    <t>476114975:eng</t>
  </si>
  <si>
    <t>7930046</t>
  </si>
  <si>
    <t>ocm07930046</t>
  </si>
  <si>
    <t>CVB1248835-10</t>
  </si>
  <si>
    <t>792587673</t>
  </si>
  <si>
    <t>QL696 C56 I57 1973</t>
  </si>
  <si>
    <t>0                      QL 0696000C  56                 I  57          1973</t>
  </si>
  <si>
    <t>Flamingos / edited by Janet Kear and Nicole Duplaix-Hall ; introd. by Sir Peter Scott ; authors, J.V. Beer [and others].</t>
  </si>
  <si>
    <t>International Flamingo Symposium (1973 : Slimbridge, England)</t>
  </si>
  <si>
    <t>Berkhamsted [England] : T. &amp; A.D. Poyser, 1975.</t>
  </si>
  <si>
    <t>473047032:eng</t>
  </si>
  <si>
    <t>1958561</t>
  </si>
  <si>
    <t>ocm01958561</t>
  </si>
  <si>
    <t>31035996490</t>
  </si>
  <si>
    <t>9780856610073</t>
  </si>
  <si>
    <t>792018382</t>
  </si>
  <si>
    <t>QL696 C6 G74 2014</t>
  </si>
  <si>
    <t>0                      QL 0696000C  6                  G  74          2014</t>
  </si>
  <si>
    <t>A feathered river across the sky : the passenger pigeon's flight to extinction / Joel Greenberg.</t>
  </si>
  <si>
    <t>Greenberg, Joel (Joel R.)</t>
  </si>
  <si>
    <t>New York, NY : Bloomsbury, 2014.</t>
  </si>
  <si>
    <t>1784637653:eng</t>
  </si>
  <si>
    <t>849210339</t>
  </si>
  <si>
    <t>ocn849210339</t>
  </si>
  <si>
    <t>3103505407J</t>
  </si>
  <si>
    <t>9781620405345</t>
  </si>
  <si>
    <t>794950078</t>
  </si>
  <si>
    <t>QL696 C63 F74 1982</t>
  </si>
  <si>
    <t>0                      QL 0696000C  63                 F  74          1982</t>
  </si>
  <si>
    <t>Pigeons and doves of Australia / H.J. Frith.</t>
  </si>
  <si>
    <t>Frith, H. J. (Harold James), 1921-1982.</t>
  </si>
  <si>
    <t>Adelaide ; New York : Rigby, 1982.</t>
  </si>
  <si>
    <t>43194742:eng</t>
  </si>
  <si>
    <t>9826742</t>
  </si>
  <si>
    <t>ocm09826742</t>
  </si>
  <si>
    <t>30010281050</t>
  </si>
  <si>
    <t>9780727014986</t>
  </si>
  <si>
    <t>792695289</t>
  </si>
  <si>
    <t>QL696 F3 G72 1997</t>
  </si>
  <si>
    <t>0                      QL 0696000F  3                  G  72          1997</t>
  </si>
  <si>
    <t>Vulture : nature's ghastly gourmet / Wayne Grady.</t>
  </si>
  <si>
    <t>Grady, Wayne.</t>
  </si>
  <si>
    <t>San Francisco : Sierra Club Books, ©1997.</t>
  </si>
  <si>
    <t>640181:eng</t>
  </si>
  <si>
    <t>36458149</t>
  </si>
  <si>
    <t>ocm36458149</t>
  </si>
  <si>
    <t>31018694305</t>
  </si>
  <si>
    <t>9780871569820</t>
  </si>
  <si>
    <t>793475761</t>
  </si>
  <si>
    <t>QL696 F3 H39 2001</t>
  </si>
  <si>
    <t>0                      QL 0696000F  3                  H  39          2001</t>
  </si>
  <si>
    <t>Hawkwatching in the Americas : proceedings of the 25th anniversary meeting of the Hawk Migration Association of North America, Split Rock Resort, Lake Harmony, Pennsylvania, 8-11 June 2000 / edited by Keith L. Bildstein &amp; Daniel Klem, Jr. ; Kyle McCarty &amp; Jennifer Ottinger, associate editors.</t>
  </si>
  <si>
    <t>Hawk Migration Association of North America (25th : 2000 : Lake Harmony, Pa.)</t>
  </si>
  <si>
    <t>North Wales, Pennsylvania : Hawk Migration Ass. of North America, ©2001.</t>
  </si>
  <si>
    <t>46273428:eng</t>
  </si>
  <si>
    <t>61738687</t>
  </si>
  <si>
    <t>ocm61738687</t>
  </si>
  <si>
    <t>3102504800I</t>
  </si>
  <si>
    <t>794094407</t>
  </si>
  <si>
    <t>QL696 F3 S73 1982</t>
  </si>
  <si>
    <t>0                      QL 0696000F  3                  S  73          1982</t>
  </si>
  <si>
    <t>Birds of prey of southern Africa : their identification &amp; life histories / Peter Steyn ; illustrated by Graeme Arnott.</t>
  </si>
  <si>
    <t>Steyn, Peter.</t>
  </si>
  <si>
    <t>Cape Town : D. Philip ; Beckenham, Kent : Croom Helm, 1982.</t>
  </si>
  <si>
    <t>1001218608:eng</t>
  </si>
  <si>
    <t>10133827</t>
  </si>
  <si>
    <t>ocm10133827</t>
  </si>
  <si>
    <t>3001028050$</t>
  </si>
  <si>
    <t>9780908396641</t>
  </si>
  <si>
    <t>792710692</t>
  </si>
  <si>
    <t>QL696 F32 M33 2014</t>
  </si>
  <si>
    <t>0                      QL 0696000F  32                 M  33          2014</t>
  </si>
  <si>
    <t>H is for Hawk / Helen Macdonald.</t>
  </si>
  <si>
    <t>Macdonald, Helen, 1970- author.</t>
  </si>
  <si>
    <t>New York : Grove Press, [2014]</t>
  </si>
  <si>
    <t>2018-06-11</t>
  </si>
  <si>
    <t>1928744741:eng</t>
  </si>
  <si>
    <t>883651136</t>
  </si>
  <si>
    <t>ocn883651136</t>
  </si>
  <si>
    <t>3103612151Z</t>
  </si>
  <si>
    <t>9780802123411</t>
  </si>
  <si>
    <t>794975769</t>
  </si>
  <si>
    <t>QL696 G2 J8x</t>
  </si>
  <si>
    <t>0                      QL 0696000G  2                  J  8x</t>
  </si>
  <si>
    <t>The neuroanatomy of the domestic fowl (Gallus domesticus) Completed posthumously by Charles F. Helmboldt and Patricia Timmins.</t>
  </si>
  <si>
    <t>Jungherr, Erwin Leopold.</t>
  </si>
  <si>
    <t>[Amherst, Mass.], [American Assn. of Avian Pathologists] 1969.</t>
  </si>
  <si>
    <t>14826609:eng</t>
  </si>
  <si>
    <t>14496236</t>
  </si>
  <si>
    <t>ocm14496236</t>
  </si>
  <si>
    <t>30010516787</t>
  </si>
  <si>
    <t>792892191</t>
  </si>
  <si>
    <t>QL696 G2 P68 1986</t>
  </si>
  <si>
    <t>0                      QL 0696000G  2                  P  68          1986</t>
  </si>
  <si>
    <t>The partridge : pesticides, predation and conservation / G.R. Potts.</t>
  </si>
  <si>
    <t>Potts, G. R.</t>
  </si>
  <si>
    <t>London : Collins Professional &amp; Technical, 1986.</t>
  </si>
  <si>
    <t>836654218:eng</t>
  </si>
  <si>
    <t>13703271</t>
  </si>
  <si>
    <t>ocm13703271</t>
  </si>
  <si>
    <t>3103599470H</t>
  </si>
  <si>
    <t>9780003832983</t>
  </si>
  <si>
    <t>792863850</t>
  </si>
  <si>
    <t>QL696 G285 K8913 1992</t>
  </si>
  <si>
    <t>0                      QL 0696000G  285                K  8913        1992</t>
  </si>
  <si>
    <t>Tetraonidae and phasianidae of the USSR : ecology and morphology / M.A. Kuzʹmina ; scientific editor Douglas Siegel-Causey ; [translators, P.M. Rao and D. Siegel-Causey].</t>
  </si>
  <si>
    <t>Kuzʹmina, M. A. (Marii︠a︡ Alekseevna)</t>
  </si>
  <si>
    <t>Washington, D.C. : Smithsonian Institution Libraries : National Science Foundation, 1992.</t>
  </si>
  <si>
    <t>21425989:eng</t>
  </si>
  <si>
    <t>19222217</t>
  </si>
  <si>
    <t>ocm19222217</t>
  </si>
  <si>
    <t>3101404303R</t>
  </si>
  <si>
    <t>793050336</t>
  </si>
  <si>
    <t>QL696 P2367 M37 1992</t>
  </si>
  <si>
    <t>0                      QL 0696000P  2367               M  37          1992</t>
  </si>
  <si>
    <t>The pinyon jay : behavioral ecology of a colonial and cooperative corvid / by John M. Marzluff and Russell P. Balda ; illustrated by Tony Angell and Caroline Bauder.</t>
  </si>
  <si>
    <t>Marzluff, John M.</t>
  </si>
  <si>
    <t>London : Poyser, 1992.</t>
  </si>
  <si>
    <t>890097426:eng</t>
  </si>
  <si>
    <t>26150009</t>
  </si>
  <si>
    <t>ocm26150009</t>
  </si>
  <si>
    <t>31013463786</t>
  </si>
  <si>
    <t>9780856610646</t>
  </si>
  <si>
    <t>793238649</t>
  </si>
  <si>
    <t>QL696 P243 R5</t>
  </si>
  <si>
    <t>0                      QL 0696000P  243                R  5</t>
  </si>
  <si>
    <t>Functional anatomy and adaptive evolution of the feeding apparatus in the Hawaiian honeycreeper genus Loxops (Drepanididae) / by Lawrence P. Richards and Walter J. Bock.</t>
  </si>
  <si>
    <t>Richards, Lawrence P. (Lawrence Phillips), 1924-</t>
  </si>
  <si>
    <t>Anchorage, Ky. : American Ornithologists' Union, 1973.</t>
  </si>
  <si>
    <t>Ornithological monographs ; no. 15</t>
  </si>
  <si>
    <t>1623985:eng</t>
  </si>
  <si>
    <t>805200</t>
  </si>
  <si>
    <t>ocm00805200</t>
  </si>
  <si>
    <t>3001038675R</t>
  </si>
  <si>
    <t>791474382</t>
  </si>
  <si>
    <t>QL696 P2438 G73 1989</t>
  </si>
  <si>
    <t>0                      QL 0696000P  2438               G  73          1989</t>
  </si>
  <si>
    <t>Evolutionary dynamics of a natural population : the large cactus finch of the Galápagos / B. Rosemary Grant and Peter R. Grant.</t>
  </si>
  <si>
    <t>Grant, B. Rosemary, author.</t>
  </si>
  <si>
    <t>Chicago : University of Chicago Press, [1989]</t>
  </si>
  <si>
    <t>808110103:eng</t>
  </si>
  <si>
    <t>19222597</t>
  </si>
  <si>
    <t>ocm19222597</t>
  </si>
  <si>
    <t>31005752480</t>
  </si>
  <si>
    <t>9780226305905</t>
  </si>
  <si>
    <t>793050384</t>
  </si>
  <si>
    <t>QL696 P2438 N48 1993</t>
  </si>
  <si>
    <t>0                      QL 0696000P  2438               N  48          1993</t>
  </si>
  <si>
    <t>The snow bunting.</t>
  </si>
  <si>
    <t>Nethersole-Thompson, Desmond.</t>
  </si>
  <si>
    <t>Leeds : Peregrine, 1993.</t>
  </si>
  <si>
    <t>2015-10-12</t>
  </si>
  <si>
    <t>2442714:eng</t>
  </si>
  <si>
    <t>31709569</t>
  </si>
  <si>
    <t>ocm31709569</t>
  </si>
  <si>
    <t>3101874900D</t>
  </si>
  <si>
    <t>9780952026815</t>
  </si>
  <si>
    <t>793366219</t>
  </si>
  <si>
    <t>QL696 P246 G73 1986</t>
  </si>
  <si>
    <t>0                      QL 0696000P  246                G  73          1986</t>
  </si>
  <si>
    <t>Ecology and evolution of Darwin's finches / Peter R. Grant.</t>
  </si>
  <si>
    <t>Grant, Peter R., 1936-</t>
  </si>
  <si>
    <t>892147:eng</t>
  </si>
  <si>
    <t>13497352</t>
  </si>
  <si>
    <t>ocm13497352</t>
  </si>
  <si>
    <t>31014457542</t>
  </si>
  <si>
    <t>9780691084275</t>
  </si>
  <si>
    <t>792855438</t>
  </si>
  <si>
    <t>QL696 P246 G732 2010</t>
  </si>
  <si>
    <t>0                      QL 0696000P  246                G  732         2010</t>
  </si>
  <si>
    <t>The evolution of Darwin's finches, mockingbirds and flies / by Peter and Rosemary Grant.</t>
  </si>
  <si>
    <t>Firenze : L.S. Olschki, 2010.</t>
  </si>
  <si>
    <t>The annual Balzan lecture ; 1</t>
  </si>
  <si>
    <t>774070082:eng</t>
  </si>
  <si>
    <t>727048455</t>
  </si>
  <si>
    <t>ocn727048455</t>
  </si>
  <si>
    <t>3103506245D</t>
  </si>
  <si>
    <t>9788822260499</t>
  </si>
  <si>
    <t>794877667</t>
  </si>
  <si>
    <t>QL696 P247 B7624 1998</t>
  </si>
  <si>
    <t>0                      QL 0696000P  247                B  7624        1998</t>
  </si>
  <si>
    <t>Swallow summer / Charles R. Brown.</t>
  </si>
  <si>
    <t>Brown, Charles Robert, 1958 September 22-</t>
  </si>
  <si>
    <t>Lincoln : University of Nebraska Press, [1998]</t>
  </si>
  <si>
    <t>42401423:eng</t>
  </si>
  <si>
    <t>38438988</t>
  </si>
  <si>
    <t>ocm38438988</t>
  </si>
  <si>
    <t>3101951979V</t>
  </si>
  <si>
    <t>9780803261457</t>
  </si>
  <si>
    <t>793523970</t>
  </si>
  <si>
    <t>QL696 P247 D38 2002</t>
  </si>
  <si>
    <t>0                      QL 0696000P  247                D  38          2002</t>
  </si>
  <si>
    <t>The purple martin / Robin Doughty and Rob Fergus.</t>
  </si>
  <si>
    <t>Doughty, Robin W.</t>
  </si>
  <si>
    <t>Austin : University of Texas Press, 2002.</t>
  </si>
  <si>
    <t>The Corrie Herring Hooks series ; 52</t>
  </si>
  <si>
    <t>20444703:eng</t>
  </si>
  <si>
    <t>47443767</t>
  </si>
  <si>
    <t>ocm47443767</t>
  </si>
  <si>
    <t>3102290244H</t>
  </si>
  <si>
    <t>9780292716155</t>
  </si>
  <si>
    <t>793703485</t>
  </si>
  <si>
    <t>QL696 P2618 H37 1984</t>
  </si>
  <si>
    <t>0                      QL 0696000P  2618               H  37          1984</t>
  </si>
  <si>
    <t>Wood warblers' world / by Hal H. Harrison ; technical assistance and range maps by Mada Harrison.</t>
  </si>
  <si>
    <t>Harrison, Hal H.</t>
  </si>
  <si>
    <t>3317218:eng</t>
  </si>
  <si>
    <t>10430019</t>
  </si>
  <si>
    <t>ocm10430019</t>
  </si>
  <si>
    <t>30010302783</t>
  </si>
  <si>
    <t>9780671477981</t>
  </si>
  <si>
    <t>792725925</t>
  </si>
  <si>
    <t>QL696 P6 F53</t>
  </si>
  <si>
    <t>0                      QL 0696000P  6                  F  53</t>
  </si>
  <si>
    <t>The albatross of Midway Island; a natural history of the Laysan Albatross [by] Mildred L. Fisher.</t>
  </si>
  <si>
    <t>Fisher, Mildred L.</t>
  </si>
  <si>
    <t>Carbondale, Southern Illinois University Press [1970]</t>
  </si>
  <si>
    <t>5218957214:eng</t>
  </si>
  <si>
    <t>80902</t>
  </si>
  <si>
    <t>ocm00080902</t>
  </si>
  <si>
    <t>3001057300Q</t>
  </si>
  <si>
    <t>9780809304264</t>
  </si>
  <si>
    <t>791248867</t>
  </si>
  <si>
    <t>QL696 S83 B8 1997</t>
  </si>
  <si>
    <t>0                      QL 0696000S  83                 B  8           1997</t>
  </si>
  <si>
    <t>The burrowing owl, its biology and management : including the proceedings of the First International Burrowing Owl Symposium / [editors, Jeffrey L. Lincer, Karen Steenhof].</t>
  </si>
  <si>
    <t>Hastings, Minn. : Raptor Research Foundation, ©1997.</t>
  </si>
  <si>
    <t>Raptor research reports ; no. 9</t>
  </si>
  <si>
    <t>41540939:eng</t>
  </si>
  <si>
    <t>38109609</t>
  </si>
  <si>
    <t>ocm38109609</t>
  </si>
  <si>
    <t>31021372340</t>
  </si>
  <si>
    <t>9780935868432</t>
  </si>
  <si>
    <t>793515932</t>
  </si>
  <si>
    <t>QL696 S83 H45 1987</t>
  </si>
  <si>
    <t>0                      QL 0696000S  83                 H  45          1987</t>
  </si>
  <si>
    <t>One man's owl / by Bernd Heinrich ; with drawings and photographs by the author.</t>
  </si>
  <si>
    <t>Heinrich, Bernd, 1940-</t>
  </si>
  <si>
    <t>Princeton, N.J. : Princeton University Press, ©1987.</t>
  </si>
  <si>
    <t>2018-04-24</t>
  </si>
  <si>
    <t>61467004:eng</t>
  </si>
  <si>
    <t>15486687</t>
  </si>
  <si>
    <t>ocm15486687</t>
  </si>
  <si>
    <t>3001052844B</t>
  </si>
  <si>
    <t>9780691084701</t>
  </si>
  <si>
    <t>792932719</t>
  </si>
  <si>
    <t>QL696 S83 M33</t>
  </si>
  <si>
    <t>0                      QL 0696000S  83                 M  33</t>
  </si>
  <si>
    <t>Care and rehabilitation of injured owls : a user's guide to the medical treatment of raptorial birds, and the housing, release training and captive breeding of native owls / by Katherine McKeever ; Owl Rehabilitation Research Foundation.</t>
  </si>
  <si>
    <t>McKeever, Kay.</t>
  </si>
  <si>
    <t>Lincoln, Ont. : W.F. Rannie, 1979.</t>
  </si>
  <si>
    <t>2832981:eng</t>
  </si>
  <si>
    <t>5684860</t>
  </si>
  <si>
    <t>ocm05684860</t>
  </si>
  <si>
    <t>30010260193</t>
  </si>
  <si>
    <t>792446508</t>
  </si>
  <si>
    <t>QL698 I57 1980</t>
  </si>
  <si>
    <t>0                      QL 0698000I  57          1980</t>
  </si>
  <si>
    <t>Avian endocrinology / edited by August Epple, Milton H. Stetson, with the assistance of Barbara J. Nibbio.</t>
  </si>
  <si>
    <t>International Symposium on Avian Endocrinology (2nd : 1980 : Benalmádena, Spain)</t>
  </si>
  <si>
    <t>New York : Academic Press, 1980.</t>
  </si>
  <si>
    <t>2017-07-24</t>
  </si>
  <si>
    <t>408918:eng</t>
  </si>
  <si>
    <t>7169711</t>
  </si>
  <si>
    <t>ocm07169711</t>
  </si>
  <si>
    <t>30010258745</t>
  </si>
  <si>
    <t>9780122402500</t>
  </si>
  <si>
    <t>792543300</t>
  </si>
  <si>
    <t>QL698.3 M36 1990</t>
  </si>
  <si>
    <t>0                      QL 0698300M  36          1990</t>
  </si>
  <si>
    <t>Birds by night / by Graham Martin ; illustrated by John Busby.</t>
  </si>
  <si>
    <t>Martin, Graham, 1948-</t>
  </si>
  <si>
    <t>London : Poyser, 1990.</t>
  </si>
  <si>
    <t>311743253:eng</t>
  </si>
  <si>
    <t>21790684</t>
  </si>
  <si>
    <t>ocm21790684</t>
  </si>
  <si>
    <t>3101111936I</t>
  </si>
  <si>
    <t>9780856610592</t>
  </si>
  <si>
    <t>793127647</t>
  </si>
  <si>
    <t>QL698.5 R35 2001 CD</t>
  </si>
  <si>
    <t>0                      QL 0698500R  35          2001                                        CD</t>
  </si>
  <si>
    <t>Rainforest soundwalks : ambiences of Bosavi, Papua New Guinea.</t>
  </si>
  <si>
    <t>[Place of publication not identified] : Earth Ear, ℗2001.</t>
  </si>
  <si>
    <t>10177540421:eng</t>
  </si>
  <si>
    <t>82601381</t>
  </si>
  <si>
    <t>ocm82601381</t>
  </si>
  <si>
    <t>3103425125K</t>
  </si>
  <si>
    <t>Music_CD</t>
  </si>
  <si>
    <t>794206450</t>
  </si>
  <si>
    <t>QL698.7 R8313</t>
  </si>
  <si>
    <t>0                      QL 0698700R  8313</t>
  </si>
  <si>
    <t>Bird flight / Georg Rüppell.</t>
  </si>
  <si>
    <t>Rüppell, Georg, 1940-</t>
  </si>
  <si>
    <t>New York : Van Nostrand Reinhold Co., 1977, ©1975.</t>
  </si>
  <si>
    <t>1806735896:eng</t>
  </si>
  <si>
    <t>2968562</t>
  </si>
  <si>
    <t>ocm02968562</t>
  </si>
  <si>
    <t>30010384627</t>
  </si>
  <si>
    <t>9780442271978</t>
  </si>
  <si>
    <t>792200402</t>
  </si>
  <si>
    <t>QL698.9 E3713</t>
  </si>
  <si>
    <t>0                      QL 0698900E  3713</t>
  </si>
  <si>
    <t>Bird migrations; ecological and physiological factors. B.E. Bykhovskii, editor. Translated from Russian by E.D. Gordon.</t>
  </si>
  <si>
    <t>Ėkologicheskie i fiziologicheskie aspekty pereletov ptit︠s︡. English.</t>
  </si>
  <si>
    <t>New York, Wiley [1974, ©1973]</t>
  </si>
  <si>
    <t>896269102:eng</t>
  </si>
  <si>
    <t>677469</t>
  </si>
  <si>
    <t>ocm00677469</t>
  </si>
  <si>
    <t>30010362301</t>
  </si>
  <si>
    <t>9780470128909</t>
  </si>
  <si>
    <t>791444082</t>
  </si>
  <si>
    <t>QL698.9 G7 1964a</t>
  </si>
  <si>
    <t>0                      QL 0698900G  7           1964a</t>
  </si>
  <si>
    <t>Bird migration / by Donald R. Griffin ; ill. by Helen C. Lyman.</t>
  </si>
  <si>
    <t>Griffin, Donald R. (Donald Redfield), 1915-2003.</t>
  </si>
  <si>
    <t>Garden City N.Y. : Published for the American Museum of Natural History [by] Natural History Press, [1964]</t>
  </si>
  <si>
    <t>1150896234:eng</t>
  </si>
  <si>
    <t>427861116</t>
  </si>
  <si>
    <t>ocn427861116</t>
  </si>
  <si>
    <t>3000555519H</t>
  </si>
  <si>
    <t>9780486205298</t>
  </si>
  <si>
    <t>794704100</t>
  </si>
  <si>
    <t>3001057392W</t>
  </si>
  <si>
    <t>794704099</t>
  </si>
  <si>
    <t>QL703 V3x</t>
  </si>
  <si>
    <t>0                      QL 0703000V  3x</t>
  </si>
  <si>
    <t>Mammalogy [by] Terry A. Vaughan.</t>
  </si>
  <si>
    <t>Vaughan, Terry A.</t>
  </si>
  <si>
    <t>Philadelphia, Saunders, 1972.</t>
  </si>
  <si>
    <t>2001-04-04</t>
  </si>
  <si>
    <t>1562099:eng</t>
  </si>
  <si>
    <t>482062</t>
  </si>
  <si>
    <t>ocm00482062</t>
  </si>
  <si>
    <t>3001061750J</t>
  </si>
  <si>
    <t>9780721690117</t>
  </si>
  <si>
    <t>791389292</t>
  </si>
  <si>
    <t>3100665851N</t>
  </si>
  <si>
    <t>791389293</t>
  </si>
  <si>
    <t>QL703 W222 1964</t>
  </si>
  <si>
    <t>0                      QL 0703000W  222         1964</t>
  </si>
  <si>
    <t>Mammals of the world / by Ernest P. Walker [and others].</t>
  </si>
  <si>
    <t>Walker, Ernest P. (Ernest Pillsbury), 1891-1969.</t>
  </si>
  <si>
    <t>Baltimore : Johns Hopkins Press, 1964.</t>
  </si>
  <si>
    <t>4915327460:eng</t>
  </si>
  <si>
    <t>420451</t>
  </si>
  <si>
    <t>ocm00420451</t>
  </si>
  <si>
    <t>3001052294K</t>
  </si>
  <si>
    <t>791373676</t>
  </si>
  <si>
    <t>2006-03-09</t>
  </si>
  <si>
    <t>3100665853J</t>
  </si>
  <si>
    <t>791373675</t>
  </si>
  <si>
    <t>3001052295I</t>
  </si>
  <si>
    <t>791373674</t>
  </si>
  <si>
    <t>QL703 W222 1975</t>
  </si>
  <si>
    <t>0                      QL 0703000W  222         1975</t>
  </si>
  <si>
    <t>Baltimore : Johns Hopkins University Press, 1975.</t>
  </si>
  <si>
    <t>3d ed. / revision for 3d ed. by John 1. Paradiso.</t>
  </si>
  <si>
    <t>1289512</t>
  </si>
  <si>
    <t>ocm01289512</t>
  </si>
  <si>
    <t>3100665852L</t>
  </si>
  <si>
    <t>9780801816574</t>
  </si>
  <si>
    <t>791592622</t>
  </si>
  <si>
    <t>3001037621I</t>
  </si>
  <si>
    <t>791592623</t>
  </si>
  <si>
    <t>QL708 M35 1982</t>
  </si>
  <si>
    <t>0                      QL 0708000M  35          1982</t>
  </si>
  <si>
    <t>Mammal species of the world : a taxonomic and geographic reference / edited by James H. Honacki, Kenneth E. Kinman, and James W. Koeppl.</t>
  </si>
  <si>
    <t>Lawrence, Kan. : Allen Press and the Association of Systematics Collections, 1982.</t>
  </si>
  <si>
    <t>355876004:eng</t>
  </si>
  <si>
    <t>8476356</t>
  </si>
  <si>
    <t>ocm08476356</t>
  </si>
  <si>
    <t>30010272977</t>
  </si>
  <si>
    <t>9780942924008</t>
  </si>
  <si>
    <t>792621865</t>
  </si>
  <si>
    <t>QL708.4 M35 1987</t>
  </si>
  <si>
    <t>0                      QL 0708400M  35          1987</t>
  </si>
  <si>
    <t>Mammal collection management / edited by Hugh H. Genoways, Clyde Jones, and Olga L. Rossolimo.</t>
  </si>
  <si>
    <t>Lubbock, Tex. : Texas Tech University Press, 1987.</t>
  </si>
  <si>
    <t>2015-05-21</t>
  </si>
  <si>
    <t>15552490:eng</t>
  </si>
  <si>
    <t>17460532</t>
  </si>
  <si>
    <t>ocm17460532</t>
  </si>
  <si>
    <t>3001053705K</t>
  </si>
  <si>
    <t>9780896721562</t>
  </si>
  <si>
    <t>792991941</t>
  </si>
  <si>
    <t>QL708.5 E57</t>
  </si>
  <si>
    <t>0                      QL 0708500E  57</t>
  </si>
  <si>
    <t>The mammalian radiations : an analysis of trends in evolution, adaptation, and behavior / John F. Eisenberg.</t>
  </si>
  <si>
    <t>Eisenberg, John Frederick.</t>
  </si>
  <si>
    <t>Chicago : University of Chicago Press, ©1981.</t>
  </si>
  <si>
    <t>862838718:eng</t>
  </si>
  <si>
    <t>7171342</t>
  </si>
  <si>
    <t>ocm07171342</t>
  </si>
  <si>
    <t>30010265946</t>
  </si>
  <si>
    <t>9780226195377</t>
  </si>
  <si>
    <t>792543541</t>
  </si>
  <si>
    <t>QL713.25 K5613 2002</t>
  </si>
  <si>
    <t>0                      QL 0713250K  5613        2002</t>
  </si>
  <si>
    <t>Marine mammals of the North Atlantic / Carl Christian Kinze ; illustrated by Birgitte Rubaek ; translated by David A. Christie.</t>
  </si>
  <si>
    <t>Kinze, Carl Christian, author.</t>
  </si>
  <si>
    <t>Princeton, N.J. : Princeton University Press, [2002]</t>
  </si>
  <si>
    <t>2018-09-13</t>
  </si>
  <si>
    <t>1152317009:eng</t>
  </si>
  <si>
    <t>51807032</t>
  </si>
  <si>
    <t>ocm51807032</t>
  </si>
  <si>
    <t>3102291501C</t>
  </si>
  <si>
    <t>9780691113074</t>
  </si>
  <si>
    <t>793791479</t>
  </si>
  <si>
    <t>QL715 C3</t>
  </si>
  <si>
    <t>0                      QL 0715000C  3</t>
  </si>
  <si>
    <t>Mammals of North America, by Victor H. Cahalane, with drawings by Francis L. Jaques.</t>
  </si>
  <si>
    <t>Cahalane, Victor H. (Victor Harrison), 1901-1993.</t>
  </si>
  <si>
    <t>New York, Macmillan Co., 1947.</t>
  </si>
  <si>
    <t>1419627:eng</t>
  </si>
  <si>
    <t>327620</t>
  </si>
  <si>
    <t>ocm00327620</t>
  </si>
  <si>
    <t>3001061760G</t>
  </si>
  <si>
    <t>791338493</t>
  </si>
  <si>
    <t>QL731 D67</t>
  </si>
  <si>
    <t>0                      QL 0731000D  67</t>
  </si>
  <si>
    <t>A field guide to the larger mammals of Africa / Jean Dorst ; with 44 color plates by Pierre Dandelot.</t>
  </si>
  <si>
    <t>Dorst, Jean, 1924-</t>
  </si>
  <si>
    <t>Boston, Mass. : Houghton Mifflin, 1970 [©1969]</t>
  </si>
  <si>
    <t>2015-01-18</t>
  </si>
  <si>
    <t>467415:eng</t>
  </si>
  <si>
    <t>90313</t>
  </si>
  <si>
    <t>ocm00090313</t>
  </si>
  <si>
    <t>3001049848B</t>
  </si>
  <si>
    <t>791252052</t>
  </si>
  <si>
    <t>QL731 E27 G83</t>
  </si>
  <si>
    <t>0                      QL 0731000E  27                 G  83</t>
  </si>
  <si>
    <t>Mammals of east Africa (ungulates-carnivores-primates) [by] C.A.W. Guggisberg.</t>
  </si>
  <si>
    <t>Guggisberg, C. A. W. (Charles Albert Walter), 1913-1980.</t>
  </si>
  <si>
    <t>Nairobi, Sapra Studio [1970]</t>
  </si>
  <si>
    <t>Sapra safari guide, no. 1</t>
  </si>
  <si>
    <t>3859898890:eng</t>
  </si>
  <si>
    <t>618874</t>
  </si>
  <si>
    <t>ocm00618874</t>
  </si>
  <si>
    <t>3001032727R</t>
  </si>
  <si>
    <t>791429736</t>
  </si>
  <si>
    <t>QL735 O3 F58 1995</t>
  </si>
  <si>
    <t>0                      QL 0735000O  3                  F  58          1995</t>
  </si>
  <si>
    <t>Mammals of the South-West Pacific &amp; Moluccan Islands / Timothy Flannery.</t>
  </si>
  <si>
    <t>Ithaca, N.Y. : Cornell University Press, 1995.</t>
  </si>
  <si>
    <t>24562428:eng</t>
  </si>
  <si>
    <t>428039653</t>
  </si>
  <si>
    <t>ocn428039653</t>
  </si>
  <si>
    <t>31014709444</t>
  </si>
  <si>
    <t>9780801431500</t>
  </si>
  <si>
    <t>794759124</t>
  </si>
  <si>
    <t>QL737 C214 F36 2011</t>
  </si>
  <si>
    <t>0                      QL 0737000C  214                F  36          2011</t>
  </si>
  <si>
    <t>The giant panda / Fang Min ; [translation by Ben Daggers].</t>
  </si>
  <si>
    <t>Fang, Min.</t>
  </si>
  <si>
    <t>New York : Better Link, ©2011.</t>
  </si>
  <si>
    <t>Discovering China</t>
  </si>
  <si>
    <t>2015-11-26</t>
  </si>
  <si>
    <t>962176700:eng</t>
  </si>
  <si>
    <t>717566999</t>
  </si>
  <si>
    <t>ocn717566999</t>
  </si>
  <si>
    <t>3103371037I</t>
  </si>
  <si>
    <t>9781602201309</t>
  </si>
  <si>
    <t>794874234</t>
  </si>
  <si>
    <t>QL737 C22 B736 1988</t>
  </si>
  <si>
    <t>0                      QL 0737000C  22                 B  736         1988</t>
  </si>
  <si>
    <t>White wolf : living with an Arctic legend / Jim Brandenburg ; edited by James S. Thornton.</t>
  </si>
  <si>
    <t>Brandenburg, Jim.</t>
  </si>
  <si>
    <t>Minocqua, WI : NorthWord Press, ©1988.</t>
  </si>
  <si>
    <t>28021014:eng</t>
  </si>
  <si>
    <t>30891866</t>
  </si>
  <si>
    <t>ocm30891866</t>
  </si>
  <si>
    <t>31003878499</t>
  </si>
  <si>
    <t>9780942802955</t>
  </si>
  <si>
    <t>793347400</t>
  </si>
  <si>
    <t>QL737 C22 F47 1996</t>
  </si>
  <si>
    <t>0                      QL 0737000C  22                 F  47          1996</t>
  </si>
  <si>
    <t>The Yellowstone wolves : the first year / Gary Ferguson.</t>
  </si>
  <si>
    <t>Ferguson, Gary, 1956-</t>
  </si>
  <si>
    <t>Helena, Mont. : Falcon, ©1996.</t>
  </si>
  <si>
    <t>1048401:eng</t>
  </si>
  <si>
    <t>35083773</t>
  </si>
  <si>
    <t>ocm35083773</t>
  </si>
  <si>
    <t>3103073459C</t>
  </si>
  <si>
    <t>9781560445005</t>
  </si>
  <si>
    <t>793443373</t>
  </si>
  <si>
    <t>QL737 C22 F56 1995</t>
  </si>
  <si>
    <t>0                      QL 0737000C  22                 F  56          1995</t>
  </si>
  <si>
    <t>Wolf wars : the remarkable inside story of the restoration of wolves to Yellowstone / by Hank Fischer.</t>
  </si>
  <si>
    <t>Fischer, Hank.</t>
  </si>
  <si>
    <t>Helena, Mont. : Falcon Press, ©1995.</t>
  </si>
  <si>
    <t>997576769:eng</t>
  </si>
  <si>
    <t>32938322</t>
  </si>
  <si>
    <t>ocm32938322</t>
  </si>
  <si>
    <t>3101987598W</t>
  </si>
  <si>
    <t>9781560443513</t>
  </si>
  <si>
    <t>793398060</t>
  </si>
  <si>
    <t>QL737 C22 L66</t>
  </si>
  <si>
    <t>0                      QL 0737000C  22                 L  66</t>
  </si>
  <si>
    <t>Of wolves and men / by Barry Holstun Lopez.</t>
  </si>
  <si>
    <t>Lopez, Barry Holstun, 1945-</t>
  </si>
  <si>
    <t>New York : Scribner, ©1978.</t>
  </si>
  <si>
    <t>741780:eng</t>
  </si>
  <si>
    <t>3843350</t>
  </si>
  <si>
    <t>ocm03843350</t>
  </si>
  <si>
    <t>3001036588W</t>
  </si>
  <si>
    <t>9780684156248</t>
  </si>
  <si>
    <t>792297446</t>
  </si>
  <si>
    <t>QL737 C22 M33 1987</t>
  </si>
  <si>
    <t>0                      QL 0737000C  22                 M  33          1987</t>
  </si>
  <si>
    <t>Running with the fox / David Macdonald ; illustrations by Priscilla Barrett ; photographs by David and Jenny Macdonald.</t>
  </si>
  <si>
    <t>Macdonald, David W. (David Whyte)</t>
  </si>
  <si>
    <t>New York, N.Y. : Facts on File Publications, 1987.</t>
  </si>
  <si>
    <t>11967780:eng</t>
  </si>
  <si>
    <t>16405687</t>
  </si>
  <si>
    <t>ocm16405687</t>
  </si>
  <si>
    <t>30010528580</t>
  </si>
  <si>
    <t>9780816018864</t>
  </si>
  <si>
    <t>792962296</t>
  </si>
  <si>
    <t>QL737 C22 P46 1985</t>
  </si>
  <si>
    <t>0                      QL 0737000C  22                 P  46          1985</t>
  </si>
  <si>
    <t>Dance of the wolves / Roger Peters.</t>
  </si>
  <si>
    <t>Peters, Roger.</t>
  </si>
  <si>
    <t>New York : McGraw-Hill, ©1985.</t>
  </si>
  <si>
    <t>3704299:eng</t>
  </si>
  <si>
    <t>10348671</t>
  </si>
  <si>
    <t>ocm10348671</t>
  </si>
  <si>
    <t>3001030938O</t>
  </si>
  <si>
    <t>9780070495807</t>
  </si>
  <si>
    <t>792721763</t>
  </si>
  <si>
    <t>QL737 C22 R39 2001</t>
  </si>
  <si>
    <t>0                      QL 0737000C  22                 R  39          2001</t>
  </si>
  <si>
    <t>Changing tracks : predators and politics in Mt. McKinley National Park / Timothy Rawson.</t>
  </si>
  <si>
    <t>Rawson, Timothy.</t>
  </si>
  <si>
    <t>Fairbanks : University of Alaska Press, ©2001.</t>
  </si>
  <si>
    <t>327931728:eng</t>
  </si>
  <si>
    <t>45890501</t>
  </si>
  <si>
    <t>ocm45890501</t>
  </si>
  <si>
    <t>31022654476</t>
  </si>
  <si>
    <t>9781889963525</t>
  </si>
  <si>
    <t>793680695</t>
  </si>
  <si>
    <t>QL737 C23 R33 1986</t>
  </si>
  <si>
    <t>0                      QL 0737000C  23                 R  33          1986</t>
  </si>
  <si>
    <t>Jaguar : struggle and triumph in the jungles of Belize / Alan Rabinowitz.</t>
  </si>
  <si>
    <t>Rabinowitz, Alan, 1953-2018.</t>
  </si>
  <si>
    <t>New York : Arbor House, ©1986.</t>
  </si>
  <si>
    <t>3855461861:eng</t>
  </si>
  <si>
    <t>13455640</t>
  </si>
  <si>
    <t>ocm13455640</t>
  </si>
  <si>
    <t>3001039217F</t>
  </si>
  <si>
    <t>9780877958253</t>
  </si>
  <si>
    <t>792853954</t>
  </si>
  <si>
    <t>QL737 C23 R33 2000</t>
  </si>
  <si>
    <t>0                      QL 0737000C  23                 R  33          2000</t>
  </si>
  <si>
    <t>Jaguar : one man's struggle to establish the world's first jaguar preserve / Alan Rabinowitz.</t>
  </si>
  <si>
    <t>Rabinowitz, Alan, 1953-2018, author.</t>
  </si>
  <si>
    <t>Washington, DC : Island Press [for] Shearwater Books, 2000.</t>
  </si>
  <si>
    <t>3768444349:eng</t>
  </si>
  <si>
    <t>42953299</t>
  </si>
  <si>
    <t>ocm42953299</t>
  </si>
  <si>
    <t>3102175241Q</t>
  </si>
  <si>
    <t>9781559638012</t>
  </si>
  <si>
    <t>793617841</t>
  </si>
  <si>
    <t>QL737 C23 S52 2000</t>
  </si>
  <si>
    <t>0                      QL 0737000C  23                 S  52          2000</t>
  </si>
  <si>
    <t>Soul among lions : the cougar as peaceful adversary / Harley Shaw.</t>
  </si>
  <si>
    <t>Shaw, Harley G.</t>
  </si>
  <si>
    <t>Tucson : University of Arizona Press, 2000.</t>
  </si>
  <si>
    <t>1st University of Arizona Press paperbound ed.</t>
  </si>
  <si>
    <t>1045996:eng</t>
  </si>
  <si>
    <t>44090589</t>
  </si>
  <si>
    <t>ocm44090589</t>
  </si>
  <si>
    <t>3102133549W</t>
  </si>
  <si>
    <t>9780816520848</t>
  </si>
  <si>
    <t>793642336</t>
  </si>
  <si>
    <t>QL737 C27 G49 2017</t>
  </si>
  <si>
    <t>0                      QL 0737000C  27                 G  49          2017</t>
  </si>
  <si>
    <t>Ours : brun, blanc, noir / Pascal Girard.</t>
  </si>
  <si>
    <t>Girard, Pascal, author, illustrator.</t>
  </si>
  <si>
    <t>Montréal, Québec : La Pastèque, [2017]</t>
  </si>
  <si>
    <t>4975207979:fre</t>
  </si>
  <si>
    <t>1031482707</t>
  </si>
  <si>
    <t>on1031482707</t>
  </si>
  <si>
    <t>3103729843W</t>
  </si>
  <si>
    <t>9782897770273</t>
  </si>
  <si>
    <t>795055494</t>
  </si>
  <si>
    <t>QL737 C27 I58 2009</t>
  </si>
  <si>
    <t>0                      QL 0737000C  27                 I  58          2009</t>
  </si>
  <si>
    <t>Inuit, polar bears, and sustainable use : local, national and international perspectives / Milton M.R. Freeman and Lee Fote, editors.</t>
  </si>
  <si>
    <t>Edmonton : CCI Press, 2098.</t>
  </si>
  <si>
    <t>Occasional publication, 0068-0303 ; no. 61</t>
  </si>
  <si>
    <t>909692389:eng</t>
  </si>
  <si>
    <t>364977501</t>
  </si>
  <si>
    <t>ocn364977501</t>
  </si>
  <si>
    <t>31030720021</t>
  </si>
  <si>
    <t>9781896445458</t>
  </si>
  <si>
    <t>794492696</t>
  </si>
  <si>
    <t>QL737 C27 M33 2003</t>
  </si>
  <si>
    <t>0                      QL 0737000C  27                 M  33          2003</t>
  </si>
  <si>
    <t>The beast that walks like man : the story of the grizzly bear / Harold McCracken.</t>
  </si>
  <si>
    <t>McCracken, Harold, 1894-1983.</t>
  </si>
  <si>
    <t>[Niwot, Colo.] : Roberts Rinehart, 2003.</t>
  </si>
  <si>
    <t>373787272:eng</t>
  </si>
  <si>
    <t>52196599</t>
  </si>
  <si>
    <t>ocm52196599</t>
  </si>
  <si>
    <t>3102361711D</t>
  </si>
  <si>
    <t>9781570983948</t>
  </si>
  <si>
    <t>793800669</t>
  </si>
  <si>
    <t>QL737 C27 W45 2008</t>
  </si>
  <si>
    <t>0                      QL 0737000C  27                 W  45          2008</t>
  </si>
  <si>
    <t>Sometimes hunting can seem like business : polar bear sport hunting in Nunavut / George W. Wenzel.</t>
  </si>
  <si>
    <t>Wenzel, George W.</t>
  </si>
  <si>
    <t>Edmonton : CCI Press, 2008.</t>
  </si>
  <si>
    <t>Occasional publication</t>
  </si>
  <si>
    <t>980677774:eng</t>
  </si>
  <si>
    <t>429726050</t>
  </si>
  <si>
    <t>ocn429726050</t>
  </si>
  <si>
    <t>31030718508</t>
  </si>
  <si>
    <t>9781896445434</t>
  </si>
  <si>
    <t>794780242</t>
  </si>
  <si>
    <t>QL737 C27 X564 2010</t>
  </si>
  <si>
    <t>0                      QL 0737000C  27                 X  564         2010</t>
  </si>
  <si>
    <t>Giant pandas / compiled by Peking University Center for Nature and Society ; translated by Chen Guoming, Li Tianzhao.</t>
  </si>
  <si>
    <t>Xiong mao. English.</t>
  </si>
  <si>
    <t>Beijing Shi : Xin xing chu ban she, 2010.</t>
  </si>
  <si>
    <t>Chinese namecards = Zhongguo ming pian cong shu</t>
  </si>
  <si>
    <t>1174127909:eng</t>
  </si>
  <si>
    <t>763130285</t>
  </si>
  <si>
    <t>ocn763130285</t>
  </si>
  <si>
    <t>3103436599M</t>
  </si>
  <si>
    <t>9787802257702</t>
  </si>
  <si>
    <t>794900168</t>
  </si>
  <si>
    <t>QL737 C4 C6913</t>
  </si>
  <si>
    <t>0                      QL 0737000C  4                  C  6913</t>
  </si>
  <si>
    <t>The whale : mighty monarch of the sea [by] Jacques-Yves Cousteau and Philippe Diolé. Translated from the French by J.F. Bernard.</t>
  </si>
  <si>
    <t>Garden City, N.Y., Doubleday, 1972.</t>
  </si>
  <si>
    <t>[1st ed. in U.S.].</t>
  </si>
  <si>
    <t>364026955:eng</t>
  </si>
  <si>
    <t>415335</t>
  </si>
  <si>
    <t>ocm00415335</t>
  </si>
  <si>
    <t>3001049855E</t>
  </si>
  <si>
    <t>791372017</t>
  </si>
  <si>
    <t>QL737 C4 M55x</t>
  </si>
  <si>
    <t>0                      QL 0737000C  4                  M  55x</t>
  </si>
  <si>
    <t>Porpoise, dolphin, and small whale fisheries of the world : status and problems / Edward Mitchell.</t>
  </si>
  <si>
    <t>Mitchell, Edward D.</t>
  </si>
  <si>
    <t>Morges, Switzerland : International Union for Conservation of Nature and Natural Resources, 1975.</t>
  </si>
  <si>
    <t>IUCN monograph ; no. 3</t>
  </si>
  <si>
    <t>889495782:eng</t>
  </si>
  <si>
    <t>1546934</t>
  </si>
  <si>
    <t>ocm01546934</t>
  </si>
  <si>
    <t>3001033207B</t>
  </si>
  <si>
    <t>791710475</t>
  </si>
  <si>
    <t>QL737 C4 M73</t>
  </si>
  <si>
    <t>0                      QL 0737000C  4                  M  73</t>
  </si>
  <si>
    <t>A whale for the killing.</t>
  </si>
  <si>
    <t>Mowat, Farley.</t>
  </si>
  <si>
    <t>Toronto, McClelland and Stewart [1972]</t>
  </si>
  <si>
    <t>2013-04-02</t>
  </si>
  <si>
    <t>35217:eng</t>
  </si>
  <si>
    <t>608634</t>
  </si>
  <si>
    <t>ocm00608634</t>
  </si>
  <si>
    <t>30004988572</t>
  </si>
  <si>
    <t>9780771065705</t>
  </si>
  <si>
    <t>791427242</t>
  </si>
  <si>
    <t>QL737 C432 H69 1984</t>
  </si>
  <si>
    <t>0                      QL 0737000C  432                H  69          1984</t>
  </si>
  <si>
    <t>Orca : the whale called killer / Erich Hoyt.</t>
  </si>
  <si>
    <t>Hoyt, Erich.</t>
  </si>
  <si>
    <t>Camden East, Ont., Canada : Camden House, 1984.</t>
  </si>
  <si>
    <t>986869:eng</t>
  </si>
  <si>
    <t>11490964</t>
  </si>
  <si>
    <t>ocm11490964</t>
  </si>
  <si>
    <t>3001030029O</t>
  </si>
  <si>
    <t>9780920656297</t>
  </si>
  <si>
    <t>792775430</t>
  </si>
  <si>
    <t>QL737 C432 J33</t>
  </si>
  <si>
    <t>0                      QL 0737000C  432                J  33</t>
  </si>
  <si>
    <t>The anatomy of the brain of the bottlenose dolphin (Tursiops truncatus) : rhinic lobe (rhinencephalon), the archicortex / M.S. Jacobs, W.L. McFarland, and P.J. Morgane.</t>
  </si>
  <si>
    <t>Jacobs, Myron S.</t>
  </si>
  <si>
    <t>Fayetteville, N.Y. : Ankho International, 1979.</t>
  </si>
  <si>
    <t>Brain research bulletin ; v. 4, Suppl. 1</t>
  </si>
  <si>
    <t>9593633032:eng</t>
  </si>
  <si>
    <t>5889856</t>
  </si>
  <si>
    <t>ocm05889856</t>
  </si>
  <si>
    <t>3001024355Y</t>
  </si>
  <si>
    <t>9780916086046</t>
  </si>
  <si>
    <t>792461183</t>
  </si>
  <si>
    <t>QL737 C432 R47 1986</t>
  </si>
  <si>
    <t>0                      QL 0737000C  432                R  47          1986</t>
  </si>
  <si>
    <t>Research on dolphins / edited by M.M. Bryden, Richard Harrison.</t>
  </si>
  <si>
    <t>Oxford [Oxfordshire] : Clarendon Press ; New York : Oxford, 1986.</t>
  </si>
  <si>
    <t>Oxford science publications</t>
  </si>
  <si>
    <t>355345128:eng</t>
  </si>
  <si>
    <t>12286752</t>
  </si>
  <si>
    <t>ocm12286752</t>
  </si>
  <si>
    <t>3103706870J</t>
  </si>
  <si>
    <t>9780198576068</t>
  </si>
  <si>
    <t>792809031</t>
  </si>
  <si>
    <t>QL737 C433 N37 2017</t>
  </si>
  <si>
    <t>0                      QL 0737000C  433                N  37          2017</t>
  </si>
  <si>
    <t>Narwhal : revealing an arctic legend / edited by William W. Fitzhugh and Martin T. Nweeia.</t>
  </si>
  <si>
    <t>Hanover, NH : IPI Press ; Washington, DC : Artic Studies Center, National Museum of NaturaI History, Smithsonian Institution, 2017.</t>
  </si>
  <si>
    <t>4538743381:eng</t>
  </si>
  <si>
    <t>1005895346</t>
  </si>
  <si>
    <t>on1005895346</t>
  </si>
  <si>
    <t>3103703895I</t>
  </si>
  <si>
    <t>9780996748018</t>
  </si>
  <si>
    <t>795042819</t>
  </si>
  <si>
    <t>QL737 C5 B59 1998</t>
  </si>
  <si>
    <t>0                      QL 0737000C  5                  B  59          1998</t>
  </si>
  <si>
    <t>Bats of Papua New Guinea / Frank J. Bonaccorso ; illustrated by Fiona A. Reid [and others] ; editorial team for this volume, William R. Konstant, Charles G. Burg, and Russell A. Mittermeier.</t>
  </si>
  <si>
    <t>Bonaccorso, Frank J.</t>
  </si>
  <si>
    <t>Washington, D.C. : Conservation International, 1998.</t>
  </si>
  <si>
    <t>Conservation International tropical field guide series ; 2</t>
  </si>
  <si>
    <t>26950404:eng</t>
  </si>
  <si>
    <t>41321408</t>
  </si>
  <si>
    <t>ocm41321408</t>
  </si>
  <si>
    <t>3102286355U</t>
  </si>
  <si>
    <t>9781881173267</t>
  </si>
  <si>
    <t>793589030</t>
  </si>
  <si>
    <t>QL737 C5 S337 1997</t>
  </si>
  <si>
    <t>0                      QL 0737000C  5                  S  337         1997</t>
  </si>
  <si>
    <t>The bats of Europe &amp; North America : knowing them, identifying them, protecting them / Wilfried Schober &amp; Eckard Grimmberger ; translator: William Charlton.</t>
  </si>
  <si>
    <t>Schober, Wilfried, 1933-</t>
  </si>
  <si>
    <t>Neptune City, NJ : T.F.H. Publications, ©1997.</t>
  </si>
  <si>
    <t>European and North American bats ; TS-289</t>
  </si>
  <si>
    <t>866198246:eng</t>
  </si>
  <si>
    <t>38466192</t>
  </si>
  <si>
    <t>ocm38466192</t>
  </si>
  <si>
    <t>3102312494R</t>
  </si>
  <si>
    <t>9780793804900</t>
  </si>
  <si>
    <t>793524261</t>
  </si>
  <si>
    <t>QL737 I53 S76 1987</t>
  </si>
  <si>
    <t>0                      QL 0737000I  53                 S  76          1987</t>
  </si>
  <si>
    <t>The complete hedgehog / Les Stocker ; foreword by John Craven ; drawings by Ian MacKay.</t>
  </si>
  <si>
    <t>Stocker, Les, 1943-</t>
  </si>
  <si>
    <t>London : Chatto &amp; Windus, 1987.</t>
  </si>
  <si>
    <t>2017-09-24</t>
  </si>
  <si>
    <t>193660835:eng</t>
  </si>
  <si>
    <t>59994598</t>
  </si>
  <si>
    <t>ocm59994598</t>
  </si>
  <si>
    <t>3001053350V</t>
  </si>
  <si>
    <t>9780701132729</t>
  </si>
  <si>
    <t>793933117</t>
  </si>
  <si>
    <t>QL737 M336 G85 1985</t>
  </si>
  <si>
    <t>0                      QL 0737000M  336                G  85          1985</t>
  </si>
  <si>
    <t>Thylacine : the tragedy of the Tasmanian tiger / Eric R. Guiler.</t>
  </si>
  <si>
    <t>Guiler, Eric R.</t>
  </si>
  <si>
    <t>Melbourne ; Oxford : Oxford University Press, 1985.</t>
  </si>
  <si>
    <t>5364349:eng</t>
  </si>
  <si>
    <t>13000682</t>
  </si>
  <si>
    <t>ocm13000682</t>
  </si>
  <si>
    <t>3001031483Y</t>
  </si>
  <si>
    <t>9780195546033</t>
  </si>
  <si>
    <t>792836571</t>
  </si>
  <si>
    <t>QL737 M35 D39 1995</t>
  </si>
  <si>
    <t>0                      QL 0737000M  35                 D  39          1995</t>
  </si>
  <si>
    <t>Kangaroos : biology of the largest marsupials / Terence J. Dawson ; illustrated by Anne Musser and Jillian Hallam.</t>
  </si>
  <si>
    <t>Dawson, Terence J.</t>
  </si>
  <si>
    <t>Ithaca, N.Y. : Comstock Pub. Associates, 1995.</t>
  </si>
  <si>
    <t>Comstock/Cornell paperbacks</t>
  </si>
  <si>
    <t>33251174:eng</t>
  </si>
  <si>
    <t>31133382</t>
  </si>
  <si>
    <t>ocm31133382</t>
  </si>
  <si>
    <t>3101493591L</t>
  </si>
  <si>
    <t>9780801482625</t>
  </si>
  <si>
    <t>793354127</t>
  </si>
  <si>
    <t>QL737 P6 B44 1991</t>
  </si>
  <si>
    <t>0                      QL 0737000P  6                  B  44          1991</t>
  </si>
  <si>
    <t>The Behaviour of pinnipeds / edited by Deane Renouf.</t>
  </si>
  <si>
    <t>London ; New York : Chapman and Hall, 1991.</t>
  </si>
  <si>
    <t>55389281:eng</t>
  </si>
  <si>
    <t>22490763</t>
  </si>
  <si>
    <t>ocm22490763</t>
  </si>
  <si>
    <t>3100677757$</t>
  </si>
  <si>
    <t>9780412305405</t>
  </si>
  <si>
    <t>793145696</t>
  </si>
  <si>
    <t>QL737 P6 R54 1990</t>
  </si>
  <si>
    <t>0                      QL 0737000P  6                  R  54          1990</t>
  </si>
  <si>
    <t>The pinnipeds : seals, sea lions, and walruses / Marianne Riedman.</t>
  </si>
  <si>
    <t>Riedman, Marianne.</t>
  </si>
  <si>
    <t>21288911:eng</t>
  </si>
  <si>
    <t>19511610</t>
  </si>
  <si>
    <t>ocm19511610</t>
  </si>
  <si>
    <t>31008805143</t>
  </si>
  <si>
    <t>9780520064973</t>
  </si>
  <si>
    <t>793060163</t>
  </si>
  <si>
    <t>QL737 P6 S3 1958</t>
  </si>
  <si>
    <t>0                      QL 0737000P  6                  S  3           1958</t>
  </si>
  <si>
    <t>Seals, sea lions, and walruses; a review of the Pinnipedia.</t>
  </si>
  <si>
    <t>Scheffer, Victor B.</t>
  </si>
  <si>
    <t>Stanford, Calif., Stanford University Press, 1958.</t>
  </si>
  <si>
    <t>238606314:eng</t>
  </si>
  <si>
    <t>182952</t>
  </si>
  <si>
    <t>ocm00182952</t>
  </si>
  <si>
    <t>3001059265T</t>
  </si>
  <si>
    <t>791285193</t>
  </si>
  <si>
    <t>QL737 P62 B67 2017</t>
  </si>
  <si>
    <t>0                      QL 0737000P  62                 B  67          2017</t>
  </si>
  <si>
    <t>Walruses and the walrus hunt in West and Northwest Greenland : an interview survey about the catch and the climate / Erik W. Born, Anna Heilmann, Lene Kielsen Holm, Kristin L. Laidre and Maria Iversen.</t>
  </si>
  <si>
    <t>Born, Erik W., author.</t>
  </si>
  <si>
    <t>Copenhagen : Museum Tusculanum Press, [2017]</t>
  </si>
  <si>
    <t>Monographs on Greenland = Meddelelser om Grønland, 0025-6676 ; vol. 355</t>
  </si>
  <si>
    <t>4404651641:eng</t>
  </si>
  <si>
    <t>979568273</t>
  </si>
  <si>
    <t>ocn979568273</t>
  </si>
  <si>
    <t>31036701551</t>
  </si>
  <si>
    <t>9788763545488</t>
  </si>
  <si>
    <t>795033536</t>
  </si>
  <si>
    <t>QL737 P62 D38 1978</t>
  </si>
  <si>
    <t>0                      QL 0737000P  62                 D  38          1978</t>
  </si>
  <si>
    <t>Numbers and distribution of walruses in the central Canadian High Arctic / prepared for Polar Gas Project by Rolph A. Davis, William R. Koski, Kerwin J. Finley.</t>
  </si>
  <si>
    <t>Davis, R. A. (Rolph Aubrey), 1942-</t>
  </si>
  <si>
    <t>Toronto : LGL Limited, Environmental Research Associates, 1978.</t>
  </si>
  <si>
    <t>39587190:eng</t>
  </si>
  <si>
    <t>427973088</t>
  </si>
  <si>
    <t>ocn427973088</t>
  </si>
  <si>
    <t>3101223768R</t>
  </si>
  <si>
    <t>794730624</t>
  </si>
  <si>
    <t>QL737 P62 S34 1978</t>
  </si>
  <si>
    <t>0                      QL 0737000P  62                 S  34          1978</t>
  </si>
  <si>
    <t>Normal behaviour and disturbance responses of walruses (Odobenus rosmarus L.) during terrestrial haul-out, eastern Bathurst Island, N.W.T., July-August 1977 / prepared for Polar Gas Project by R.E. Salter.</t>
  </si>
  <si>
    <t>Salter, R. E.</t>
  </si>
  <si>
    <t>315388995:eng</t>
  </si>
  <si>
    <t>427973082</t>
  </si>
  <si>
    <t>ocn427973082</t>
  </si>
  <si>
    <t>3101223767T</t>
  </si>
  <si>
    <t>794730620</t>
  </si>
  <si>
    <t>QL737 P64 B73 1983</t>
  </si>
  <si>
    <t>0                      QL 0737000P  64                 B  73          1983</t>
  </si>
  <si>
    <t>Diet of ringed seals (Phoca hispida) in the Canadian High Arctic / by Michael S.W. Bradstreet and Kerwin J. Finley.</t>
  </si>
  <si>
    <t>Bradstreet, Michael S. W., author.</t>
  </si>
  <si>
    <t>Calgary, Alberta : LGL Limited, 1983</t>
  </si>
  <si>
    <t>1888416478:eng</t>
  </si>
  <si>
    <t>879889530</t>
  </si>
  <si>
    <t>ocn879889530</t>
  </si>
  <si>
    <t>3103557018X</t>
  </si>
  <si>
    <t>794972626</t>
  </si>
  <si>
    <t>QL737 P64 H43 1981</t>
  </si>
  <si>
    <t>0                      QL 0737000P  64                 H  43          1981</t>
  </si>
  <si>
    <t>Distribution and abundance of ringed and bearded seals in Wager Bay, Northwest Territories / Douglas C. Heard, Judith L. Donaldson.</t>
  </si>
  <si>
    <t>Heard, Douglas C., 1950-</t>
  </si>
  <si>
    <t>Ottawa : Environmental-Social Program, Northern Pipelines, 1981.</t>
  </si>
  <si>
    <t>ESCOM report ; no. AI-37</t>
  </si>
  <si>
    <t>3768483238:eng</t>
  </si>
  <si>
    <t>15943337</t>
  </si>
  <si>
    <t>ocm15943337</t>
  </si>
  <si>
    <t>3001031377X</t>
  </si>
  <si>
    <t>792948525</t>
  </si>
  <si>
    <t>QL737 P64 S84 1981</t>
  </si>
  <si>
    <t>0                      QL 0737000P  64                 S  84          1981</t>
  </si>
  <si>
    <t>The distribution and abundance of ringed and bearded seals in the eastern Beaufort Sea, 1974-1979 / Ian Stirling, M.C.S. Kingsley and Wendy Calvert.</t>
  </si>
  <si>
    <t>Stirling, Ian (Ian Grote), 1941-</t>
  </si>
  <si>
    <t>Edmonton : Canadian Wildlife Service, 1981.</t>
  </si>
  <si>
    <t>12446780:eng</t>
  </si>
  <si>
    <t>61558264</t>
  </si>
  <si>
    <t>ocm61558264</t>
  </si>
  <si>
    <t>3101223772$</t>
  </si>
  <si>
    <t>793991181</t>
  </si>
  <si>
    <t>QL737 P9 C67 2005</t>
  </si>
  <si>
    <t>0                      QL 0737000P  9                  C  67          2005</t>
  </si>
  <si>
    <t>The metaphysics of apes : negotiating the animal-human boundary / Raymond Corbey.</t>
  </si>
  <si>
    <t>Corbey, Raymond, 1954-</t>
  </si>
  <si>
    <t>Cambridge ; New York : Cambridge University Press, 2005.</t>
  </si>
  <si>
    <t>2019-05-23</t>
  </si>
  <si>
    <t>271826:eng</t>
  </si>
  <si>
    <t>56481793</t>
  </si>
  <si>
    <t>ocm56481793</t>
  </si>
  <si>
    <t>31025030373</t>
  </si>
  <si>
    <t>9780521836838</t>
  </si>
  <si>
    <t>793894046</t>
  </si>
  <si>
    <t>QL737 P9 H245 1989</t>
  </si>
  <si>
    <t>0                      QL 0737000P  9                  H  245         1989</t>
  </si>
  <si>
    <t>Primate visions : gender, race, and nature in the world of modern science / Donna Haraway.</t>
  </si>
  <si>
    <t>375475684:eng</t>
  </si>
  <si>
    <t>19672184</t>
  </si>
  <si>
    <t>ocm19672184</t>
  </si>
  <si>
    <t>31032519641</t>
  </si>
  <si>
    <t>9780415901147</t>
  </si>
  <si>
    <t>793065670</t>
  </si>
  <si>
    <t>2012-10-02</t>
  </si>
  <si>
    <t>3102797673F</t>
  </si>
  <si>
    <t>793065669</t>
  </si>
  <si>
    <t>3102741769Q</t>
  </si>
  <si>
    <t>793065671</t>
  </si>
  <si>
    <t>QL737 P9 S764 2011</t>
  </si>
  <si>
    <t>0                      QL 0737000P  9                  S  764         2011</t>
  </si>
  <si>
    <t>Primate behavioral ecology / Karen B. Strier.</t>
  </si>
  <si>
    <t>Strier, Karen B.</t>
  </si>
  <si>
    <t>892805:eng</t>
  </si>
  <si>
    <t>653121660</t>
  </si>
  <si>
    <t>ocn653121660</t>
  </si>
  <si>
    <t>3103528440Q</t>
  </si>
  <si>
    <t>9780205790173</t>
  </si>
  <si>
    <t>794833707</t>
  </si>
  <si>
    <t>QL737 P9 T75 2001</t>
  </si>
  <si>
    <t>0                      QL 0737000P  9                  T  75          2001</t>
  </si>
  <si>
    <t>Tree of origin : what primate behavior can tell us about human social evolution / Frans B.M. de Waal, editor.</t>
  </si>
  <si>
    <t>796444348:eng</t>
  </si>
  <si>
    <t>45137660</t>
  </si>
  <si>
    <t>ocm45137660</t>
  </si>
  <si>
    <t>3102117907O</t>
  </si>
  <si>
    <t>9780674004603</t>
  </si>
  <si>
    <t>793665474</t>
  </si>
  <si>
    <t>QL737 P93 S27 2002</t>
  </si>
  <si>
    <t>0                      QL 0737000P  93                 S  27          2002</t>
  </si>
  <si>
    <t>A primate's memoir : a neuroscientist's unconventional life among the baboons / Robert M. Sapolsky.</t>
  </si>
  <si>
    <t>Sapolsky, Robert M.</t>
  </si>
  <si>
    <t>New York : Simon &amp; Schuster, 2002, ©2001.</t>
  </si>
  <si>
    <t>78907:eng</t>
  </si>
  <si>
    <t>49279595</t>
  </si>
  <si>
    <t>ocm49279595</t>
  </si>
  <si>
    <t>31026728984</t>
  </si>
  <si>
    <t>9780743202473</t>
  </si>
  <si>
    <t>793736527</t>
  </si>
  <si>
    <t>QL737 P95 W54 1995</t>
  </si>
  <si>
    <t>0                      QL 0737000P  95                 W  54          1995</t>
  </si>
  <si>
    <t>Lemurs of the lost world : exploring the forests and Crocodile Caves of Madagascar / Jane Wilson.</t>
  </si>
  <si>
    <t>Wilson, Jane.</t>
  </si>
  <si>
    <t>London : Impact Books, 1995.</t>
  </si>
  <si>
    <t>Travellers' tales</t>
  </si>
  <si>
    <t>836731401:eng</t>
  </si>
  <si>
    <t>34121267</t>
  </si>
  <si>
    <t>ocm34121267</t>
  </si>
  <si>
    <t>3101953037$</t>
  </si>
  <si>
    <t>9781874687481</t>
  </si>
  <si>
    <t>793419604</t>
  </si>
  <si>
    <t>QL737 R6 G575 1937</t>
  </si>
  <si>
    <t>0                      QL 0737000R  6                  G  575         1937</t>
  </si>
  <si>
    <t>Le roman des rats.</t>
  </si>
  <si>
    <t>Paris : Gallimard, 1937.</t>
  </si>
  <si>
    <t>Deuxième édition.</t>
  </si>
  <si>
    <t>5398664741:fre</t>
  </si>
  <si>
    <t>1049805651</t>
  </si>
  <si>
    <t>on1049805651</t>
  </si>
  <si>
    <t>31037681523</t>
  </si>
  <si>
    <t>795061241</t>
  </si>
  <si>
    <t>QL737 R6 P27 1983</t>
  </si>
  <si>
    <t>0                      QL 0737000R  6                  P  27          1983</t>
  </si>
  <si>
    <t>Parental behaviour of rodents / edited by R.W. Elwood.</t>
  </si>
  <si>
    <t>Chichester [Sussex] ; New York : Wiley, ©1983.</t>
  </si>
  <si>
    <t>31795887:eng</t>
  </si>
  <si>
    <t>8476062</t>
  </si>
  <si>
    <t>ocm08476062</t>
  </si>
  <si>
    <t>30010287095</t>
  </si>
  <si>
    <t>9780471102526</t>
  </si>
  <si>
    <t>792621782</t>
  </si>
  <si>
    <t>QL737 R6 W63 1933</t>
  </si>
  <si>
    <t>0                      QL 0737000R  6                  W  63          1933</t>
  </si>
  <si>
    <t>Maternal behaviour in the rat, by Bertold P. Wiesner and Norah M. Sheard.</t>
  </si>
  <si>
    <t>Wiesner, Bertold Paul, 1901-</t>
  </si>
  <si>
    <t>Edinburgh, London, Oliver and Boyd, 1933.</t>
  </si>
  <si>
    <t>Biological monographs and manuals ... no. XI</t>
  </si>
  <si>
    <t>1635057:eng</t>
  </si>
  <si>
    <t>806613</t>
  </si>
  <si>
    <t>ocm00806613</t>
  </si>
  <si>
    <t>3000670558D</t>
  </si>
  <si>
    <t>791474692</t>
  </si>
  <si>
    <t>QL737 R68 H65 1995</t>
  </si>
  <si>
    <t>0                      QL 0737000R  68                 H  65          1995</t>
  </si>
  <si>
    <t>The black-tailed prairie dog : social life of a burrowing mammal / John L. Hoogland.</t>
  </si>
  <si>
    <t>Hoogland, John L.</t>
  </si>
  <si>
    <t>Wildlife behavior and ecology</t>
  </si>
  <si>
    <t>836868195:eng</t>
  </si>
  <si>
    <t>30356376</t>
  </si>
  <si>
    <t>ocm30356376</t>
  </si>
  <si>
    <t>3101577055U</t>
  </si>
  <si>
    <t>9780226351179</t>
  </si>
  <si>
    <t>793333243</t>
  </si>
  <si>
    <t>QL737 U53 L68 2002</t>
  </si>
  <si>
    <t>0                      QL 0737000U  53                 L  68          2002</t>
  </si>
  <si>
    <t>American bison : a natural history / Dale F. Lott ; with a foreword by Harry W. Greene.</t>
  </si>
  <si>
    <t>Lott, Dale F., author.</t>
  </si>
  <si>
    <t>Berkeley : University of California Press, [2002]</t>
  </si>
  <si>
    <t>Organisms and environments ; 6</t>
  </si>
  <si>
    <t>797214357:eng</t>
  </si>
  <si>
    <t>48803709</t>
  </si>
  <si>
    <t>ocm48803709</t>
  </si>
  <si>
    <t>3102266317B</t>
  </si>
  <si>
    <t>9780520233386</t>
  </si>
  <si>
    <t>793728051</t>
  </si>
  <si>
    <t>QL737 U55 B5626 1987</t>
  </si>
  <si>
    <t>0                      QL 0737000U  55                 B  5626        1987</t>
  </si>
  <si>
    <t>Biology and management of the Cervidae : a conference held at the Conservation and Research Center, National Zoological Park, Smithsonian Institution, Front Royal, Virginia, August 1-5, 1982 / Chris Wemmer, editor.</t>
  </si>
  <si>
    <t>Washington : Smithsonian Institution Press, ©1987.</t>
  </si>
  <si>
    <t>Research symposia of the National Zoological Park</t>
  </si>
  <si>
    <t>984694382:eng</t>
  </si>
  <si>
    <t>13526447</t>
  </si>
  <si>
    <t>ocm13526447</t>
  </si>
  <si>
    <t>3001052808F</t>
  </si>
  <si>
    <t>9780874749816</t>
  </si>
  <si>
    <t>792856609</t>
  </si>
  <si>
    <t>QL737 U55 T46 1980</t>
  </si>
  <si>
    <t>0                      QL 0737000U  55                 T  46          1980</t>
  </si>
  <si>
    <t>At the crossroads of caribou management in northern Canada.</t>
  </si>
  <si>
    <t>Thomas, D. C.</t>
  </si>
  <si>
    <t>Ottawa : Canadian Nature Federation, [1980?]</t>
  </si>
  <si>
    <t>Canadian Nature Federation. Special publication - Canadian Nature Federation ; no. 10</t>
  </si>
  <si>
    <t>40871617:eng</t>
  </si>
  <si>
    <t>35391415</t>
  </si>
  <si>
    <t>ocm35391415</t>
  </si>
  <si>
    <t>3101161340L</t>
  </si>
  <si>
    <t>9780920342091</t>
  </si>
  <si>
    <t>793450514</t>
  </si>
  <si>
    <t>QL737 U55 W35 2018</t>
  </si>
  <si>
    <t>0                      QL 0737000U  55                 W  35          2018</t>
  </si>
  <si>
    <t>When the caribou do not come : indigenous knowledge and adaptive management in the western Arctic / edited by Brenda L. Parlee and Ken J. Caine.</t>
  </si>
  <si>
    <t>Vancouver ; Toronto : UBC Press, [2018]</t>
  </si>
  <si>
    <t>4192528573:eng</t>
  </si>
  <si>
    <t>1038288927</t>
  </si>
  <si>
    <t>on1038288927</t>
  </si>
  <si>
    <t>3103730484$</t>
  </si>
  <si>
    <t>9780774831185</t>
  </si>
  <si>
    <t>795058609</t>
  </si>
  <si>
    <t>QL737 U55 Y68 2002</t>
  </si>
  <si>
    <t>0                      QL 0737000U  55                 Y  68          2002</t>
  </si>
  <si>
    <t>In the absence of predators : conservation and controversy on the Kaibab plateau / Christian C. Young.</t>
  </si>
  <si>
    <t>Young, Christian C.</t>
  </si>
  <si>
    <t>Lincoln : University of Nebraska Press, 2002.</t>
  </si>
  <si>
    <t>365253201:eng</t>
  </si>
  <si>
    <t>50067976</t>
  </si>
  <si>
    <t>ocm50067976</t>
  </si>
  <si>
    <t>3102294354X</t>
  </si>
  <si>
    <t>9780803249165</t>
  </si>
  <si>
    <t>793754883</t>
  </si>
  <si>
    <t>QL737 U57 E48 1999</t>
  </si>
  <si>
    <t>0                      QL 0737000U  57                 E  48          1999</t>
  </si>
  <si>
    <t>The hippos : natural history and conservation / S.K. Eltringham ; illustrated by Priscilla Barrett.</t>
  </si>
  <si>
    <t>Eltringham, S. K. (Stewart Keith)</t>
  </si>
  <si>
    <t>London ; San Diego, Calif. : Academic Press, ©1999.</t>
  </si>
  <si>
    <t>T &amp; A D Poyser natural history</t>
  </si>
  <si>
    <t>802686354:eng</t>
  </si>
  <si>
    <t>42274422</t>
  </si>
  <si>
    <t>ocm42274422</t>
  </si>
  <si>
    <t>31022921706</t>
  </si>
  <si>
    <t>9780856611315</t>
  </si>
  <si>
    <t>793604021</t>
  </si>
  <si>
    <t>QL739.3 E88 1992</t>
  </si>
  <si>
    <t>0                      QL 0739300E  88          1992</t>
  </si>
  <si>
    <t>Behavioral aspects of feeding : basic and applied research in mammals : 6th Workshop of the International School of Ethology, Ettore Majorana Centre for Scientific Culture, Erice, Sicily, Italy, 8-14 June 1992 / edited by Bennett G. Galef, Jr., Marisa Mainardi, and Paola Valsecchi.</t>
  </si>
  <si>
    <t>Ettore Majorana International Centre for Scientific Culture. International School of Ethology. Workshop (6th : 1992 : Erice, Italy)</t>
  </si>
  <si>
    <t>Chur, Switzerland ; Langhorne, Pa. : Harwood Academic Publishers, ©1994.</t>
  </si>
  <si>
    <t>Ettore Majorana international life sciences series ; 12</t>
  </si>
  <si>
    <t>2015-01-26</t>
  </si>
  <si>
    <t>31453714:eng</t>
  </si>
  <si>
    <t>29224532</t>
  </si>
  <si>
    <t>ocm29224532</t>
  </si>
  <si>
    <t>3101464758O</t>
  </si>
  <si>
    <t>9783718654574</t>
  </si>
  <si>
    <t>793305802</t>
  </si>
  <si>
    <t>QL739.8 L37 1999</t>
  </si>
  <si>
    <t>0                      QL 0739800L  37          1999</t>
  </si>
  <si>
    <t>Landscape ecology of small mammals / Gary W. Barrett, John D. Peles, editors ; foreword by Ilkka Hanski.</t>
  </si>
  <si>
    <t>349982543:eng</t>
  </si>
  <si>
    <t>39886996</t>
  </si>
  <si>
    <t>ocm39886996</t>
  </si>
  <si>
    <t>3102120619L</t>
  </si>
  <si>
    <t>9780387986463</t>
  </si>
  <si>
    <t>793555983</t>
  </si>
  <si>
    <t>QL751 B345 1997</t>
  </si>
  <si>
    <t>0                      QL 0751000B  345         1997</t>
  </si>
  <si>
    <t>Behavioural ecology : an evolutionary approach / edited by John R. Krebs and Nicholas B. Davies.</t>
  </si>
  <si>
    <t>Malden, MA : Blackwell Pub., 1997.</t>
  </si>
  <si>
    <t>195356683:eng</t>
  </si>
  <si>
    <t>35114973</t>
  </si>
  <si>
    <t>ocm35114973</t>
  </si>
  <si>
    <t>3101742235K</t>
  </si>
  <si>
    <t>9780865427310</t>
  </si>
  <si>
    <t>793444391</t>
  </si>
  <si>
    <t>QL751 B76 1996</t>
  </si>
  <si>
    <t>0                      QL 0751000B  76          1996</t>
  </si>
  <si>
    <t>La pensée naturelle / Claude Bugeon.</t>
  </si>
  <si>
    <t>Bugeon, Claude.</t>
  </si>
  <si>
    <t>Monoco : Editions du Rocher, ©1996.</t>
  </si>
  <si>
    <t>Conscience de la terre</t>
  </si>
  <si>
    <t>347716035:fre</t>
  </si>
  <si>
    <t>40175490</t>
  </si>
  <si>
    <t>ocm40175490</t>
  </si>
  <si>
    <t>3102321874I</t>
  </si>
  <si>
    <t>793561188</t>
  </si>
  <si>
    <t>QL751 D725 1988</t>
  </si>
  <si>
    <t>0                      QL 0751000D  725         1988</t>
  </si>
  <si>
    <t>Protean behaviour : the biology of unpredictability / P.M. Driver and D.A. Humphries.</t>
  </si>
  <si>
    <t>Driver, Peter M.</t>
  </si>
  <si>
    <t>Oxford : Clarendon Press ; Oxford ; New York : Oxford University Press, 1988.</t>
  </si>
  <si>
    <t>16336444:eng</t>
  </si>
  <si>
    <t>17954371</t>
  </si>
  <si>
    <t>ocm17954371</t>
  </si>
  <si>
    <t>31035776105</t>
  </si>
  <si>
    <t>9780198571704</t>
  </si>
  <si>
    <t>793008585</t>
  </si>
  <si>
    <t>QL751 G73 2005</t>
  </si>
  <si>
    <t>0                      QL 0751000G  73          2005</t>
  </si>
  <si>
    <t>Animals in translation : using the mysteries of autism to decode animal behavior / Temple Grandin and Catherine Johnson.</t>
  </si>
  <si>
    <t>Grandin, Temple.</t>
  </si>
  <si>
    <t>New York : Scribner, ©2005.</t>
  </si>
  <si>
    <t>364617:eng</t>
  </si>
  <si>
    <t>56535176</t>
  </si>
  <si>
    <t>ocm56535176</t>
  </si>
  <si>
    <t>3103370840X</t>
  </si>
  <si>
    <t>9780743247696</t>
  </si>
  <si>
    <t>793895439</t>
  </si>
  <si>
    <t>31033707105</t>
  </si>
  <si>
    <t>793895438</t>
  </si>
  <si>
    <t>QL751 M393 1993</t>
  </si>
  <si>
    <t>0                      QL 0751000M  393         1993</t>
  </si>
  <si>
    <t>Animal behaviour : psychobiology, ethology, and evolution / David McFarland.</t>
  </si>
  <si>
    <t>McFarland, David.</t>
  </si>
  <si>
    <t>Harlow, Essex, England : Longman Scientific and Technical ; New York : Wiley, 1993.</t>
  </si>
  <si>
    <t>2015-01-28</t>
  </si>
  <si>
    <t>344706:eng</t>
  </si>
  <si>
    <t>25832200</t>
  </si>
  <si>
    <t>ocm25832200</t>
  </si>
  <si>
    <t>3101459021J</t>
  </si>
  <si>
    <t>9780582067219</t>
  </si>
  <si>
    <t>793230978</t>
  </si>
  <si>
    <t>QL751 S56 2000</t>
  </si>
  <si>
    <t>0                      QL 0751000S  56          2000</t>
  </si>
  <si>
    <t>Owls aren't wise &amp; bats aren't blind : a naturalist debunks our favorite fallacies about wildlife / Warner Shedd ; illustrated by Trudy Nicholson.</t>
  </si>
  <si>
    <t>Shedd, Warner, 1934-</t>
  </si>
  <si>
    <t>New York : Harmony Books, ©2000.</t>
  </si>
  <si>
    <t>27792534:eng</t>
  </si>
  <si>
    <t>42813053</t>
  </si>
  <si>
    <t>ocm42813053</t>
  </si>
  <si>
    <t>3102094131X</t>
  </si>
  <si>
    <t>9780609605295</t>
  </si>
  <si>
    <t>793615104</t>
  </si>
  <si>
    <t>QL751 S674 1982</t>
  </si>
  <si>
    <t>0                      QL 0751000S  674         1982</t>
  </si>
  <si>
    <t>The discovery of animal behaviour / John Sparks.</t>
  </si>
  <si>
    <t>Sparks, John.</t>
  </si>
  <si>
    <t>Boston : Little, Brown, ©1982.</t>
  </si>
  <si>
    <t>21052146:eng</t>
  </si>
  <si>
    <t>8918204</t>
  </si>
  <si>
    <t>ocm08918204</t>
  </si>
  <si>
    <t>3001029924X</t>
  </si>
  <si>
    <t>9780316804929</t>
  </si>
  <si>
    <t>792647965</t>
  </si>
  <si>
    <t>QL752 B3</t>
  </si>
  <si>
    <t>0                      QL 0752000B  3</t>
  </si>
  <si>
    <t>Stochastic population models in ecology and epidemiology.</t>
  </si>
  <si>
    <t>Bartlett, Maurice Stevenson.</t>
  </si>
  <si>
    <t>London, Methuen [1960]</t>
  </si>
  <si>
    <t>Methuen's monographs on applied probability and statistics</t>
  </si>
  <si>
    <t>2019-08-22</t>
  </si>
  <si>
    <t>1581446:eng</t>
  </si>
  <si>
    <t>490668</t>
  </si>
  <si>
    <t>ocm00490668</t>
  </si>
  <si>
    <t>3000715383Q</t>
  </si>
  <si>
    <t>9780416523300</t>
  </si>
  <si>
    <t>791392129</t>
  </si>
  <si>
    <t>QL752 L4</t>
  </si>
  <si>
    <t>0                      QL 0752000L  4</t>
  </si>
  <si>
    <t>Evolution in changing environments : some theoretical explorations / Richard Levins.</t>
  </si>
  <si>
    <t>Levins, Richard.</t>
  </si>
  <si>
    <t>Princeton, N.J. : Princeton University Press, 1968.</t>
  </si>
  <si>
    <t>Monographs in population biology ; no. 2</t>
  </si>
  <si>
    <t>2015-12-18</t>
  </si>
  <si>
    <t>288896549:eng</t>
  </si>
  <si>
    <t>310897</t>
  </si>
  <si>
    <t>ocm00310897</t>
  </si>
  <si>
    <t>3001045929V</t>
  </si>
  <si>
    <t>9780691079592</t>
  </si>
  <si>
    <t>791332614</t>
  </si>
  <si>
    <t>QL756.5 P47 1986</t>
  </si>
  <si>
    <t>0                      QL 0756500P  47          1986</t>
  </si>
  <si>
    <t>Perspectives in chemoreception and behavior / edited by R.F. Chapman, E.A. Bernays, and J.G. Stoffolano, Jr. ; with contributions by E.A. Bernays [and others].</t>
  </si>
  <si>
    <t>New York : Springer-Verlag, ©1986.</t>
  </si>
  <si>
    <t>Proceedings in life sciences</t>
  </si>
  <si>
    <t>355397278:eng</t>
  </si>
  <si>
    <t>214492623</t>
  </si>
  <si>
    <t>ocn214492623</t>
  </si>
  <si>
    <t>30010393715</t>
  </si>
  <si>
    <t>9780387963747</t>
  </si>
  <si>
    <t>794314076</t>
  </si>
  <si>
    <t>QL757 C37</t>
  </si>
  <si>
    <t>0                      QL 0757000C  37</t>
  </si>
  <si>
    <t>Le parasitisme et la symbiose.</t>
  </si>
  <si>
    <t>Caullery, Maurice, 1868-1958.</t>
  </si>
  <si>
    <t>Paris, Doin, 1922.</t>
  </si>
  <si>
    <t>Encyclopédie scientifique. Bibliothèque de biologie générale</t>
  </si>
  <si>
    <t>351136423:fre</t>
  </si>
  <si>
    <t>14775110</t>
  </si>
  <si>
    <t>ocm14775110</t>
  </si>
  <si>
    <t>3103592879I</t>
  </si>
  <si>
    <t>792903318</t>
  </si>
  <si>
    <t>QL758 H37 2005</t>
  </si>
  <si>
    <t>0                      QL 0758000H  37          2005</t>
  </si>
  <si>
    <t>Man the hunted : primates, predators, and human evolution / Donna Hart [and] Robert W. Sussman.</t>
  </si>
  <si>
    <t>Hart, Donna.</t>
  </si>
  <si>
    <t>New York : Westview, ©2005.</t>
  </si>
  <si>
    <t>793859967:eng</t>
  </si>
  <si>
    <t>57751148</t>
  </si>
  <si>
    <t>ocm57751148</t>
  </si>
  <si>
    <t>31025092870</t>
  </si>
  <si>
    <t>9780813339368</t>
  </si>
  <si>
    <t>793918864</t>
  </si>
  <si>
    <t>QL761 C76 1991</t>
  </si>
  <si>
    <t>0                      QL 0761000C  76          1991</t>
  </si>
  <si>
    <t>The ant and the peacock : altruism and sexual selection from Darwin to today / Helena Cronin.</t>
  </si>
  <si>
    <t>Cronin, Helena.</t>
  </si>
  <si>
    <t>Cambridge ; New York : Press Syndicate of the University of Cambridge, 1991.</t>
  </si>
  <si>
    <t>24705233:eng</t>
  </si>
  <si>
    <t>23144516</t>
  </si>
  <si>
    <t>ocm23144516</t>
  </si>
  <si>
    <t>3101347684V</t>
  </si>
  <si>
    <t>9780521329378</t>
  </si>
  <si>
    <t>793162664</t>
  </si>
  <si>
    <t>QL761 D34</t>
  </si>
  <si>
    <t>0                      QL 0761000D  34</t>
  </si>
  <si>
    <t>Sex, evolution, and behavior : adaptations for reproduction / Martin Daly, Margo Wilson.</t>
  </si>
  <si>
    <t>Daly, Martin, 1944-</t>
  </si>
  <si>
    <t>North Scituate, Mass. : Duxbury Press, 1978.</t>
  </si>
  <si>
    <t>3857412925:eng</t>
  </si>
  <si>
    <t>3608851</t>
  </si>
  <si>
    <t>ocm03608851</t>
  </si>
  <si>
    <t>3001034437Q</t>
  </si>
  <si>
    <t>9780878721566</t>
  </si>
  <si>
    <t>792272803</t>
  </si>
  <si>
    <t>QL763 N45</t>
  </si>
  <si>
    <t>0                      QL 0763000N  45</t>
  </si>
  <si>
    <t>Early experience and behavior : the psychobiology of development / Edited by Grant Newton and Seymour Levine.</t>
  </si>
  <si>
    <t>Newton, Grant.</t>
  </si>
  <si>
    <t>Springfield, Ill. : C.C. Thomas, [1968]</t>
  </si>
  <si>
    <t>894529224:eng</t>
  </si>
  <si>
    <t>186643</t>
  </si>
  <si>
    <t>ocm00186643</t>
  </si>
  <si>
    <t>3001050250D</t>
  </si>
  <si>
    <t>791286684</t>
  </si>
  <si>
    <t>QL765 S63 1997</t>
  </si>
  <si>
    <t>0                      QL 0765000S  63          1997</t>
  </si>
  <si>
    <t>Social influences on vocal development / edited by Charles T. Snowdon and Martine Hausberger.</t>
  </si>
  <si>
    <t>New York : Cambridge University Press, 1997.</t>
  </si>
  <si>
    <t>353770944:eng</t>
  </si>
  <si>
    <t>34990110</t>
  </si>
  <si>
    <t>ocm34990110</t>
  </si>
  <si>
    <t>3101844493I</t>
  </si>
  <si>
    <t>9780521495264</t>
  </si>
  <si>
    <t>793440675</t>
  </si>
  <si>
    <t>QL768 G53 2003</t>
  </si>
  <si>
    <t>0                      QL 0768000G  53          2003</t>
  </si>
  <si>
    <t>Mammal tracks and sign of the northeast / Diane Gibbons.</t>
  </si>
  <si>
    <t>Gibbons, Diane K.</t>
  </si>
  <si>
    <t>Hanover : University Press of New England, ©2003.</t>
  </si>
  <si>
    <t>5547265092:eng</t>
  </si>
  <si>
    <t>50731017</t>
  </si>
  <si>
    <t>ocm50731017</t>
  </si>
  <si>
    <t>3102362414I</t>
  </si>
  <si>
    <t>9781584652427</t>
  </si>
  <si>
    <t>793771788</t>
  </si>
  <si>
    <t>QL775 L696 1991</t>
  </si>
  <si>
    <t>0                      QL 0775000L  696         1991</t>
  </si>
  <si>
    <t>Intraspecific variation in the social systems of wild vertebrates / Dale F. Lott.</t>
  </si>
  <si>
    <t>Lott, Dale F.</t>
  </si>
  <si>
    <t>Cambridge studies in behavioural biology</t>
  </si>
  <si>
    <t>22941162:eng</t>
  </si>
  <si>
    <t>22005698</t>
  </si>
  <si>
    <t>ocm22005698</t>
  </si>
  <si>
    <t>3100960990D</t>
  </si>
  <si>
    <t>9780521370240</t>
  </si>
  <si>
    <t>793132922</t>
  </si>
  <si>
    <t>QL775 W54</t>
  </si>
  <si>
    <t>0                      QL 0775000W  54</t>
  </si>
  <si>
    <t>Sociobiology : the new synthesis / Edward O. Wilson.</t>
  </si>
  <si>
    <t>Cambridge, Mass. : Belknap Press of Harvard University Press, 1975.</t>
  </si>
  <si>
    <t>2013-12-12</t>
  </si>
  <si>
    <t>6518905:eng</t>
  </si>
  <si>
    <t>1368872</t>
  </si>
  <si>
    <t>ocm01368872</t>
  </si>
  <si>
    <t>3103387944Y</t>
  </si>
  <si>
    <t>9780674816213</t>
  </si>
  <si>
    <t>791611147</t>
  </si>
  <si>
    <t>3102227115X</t>
  </si>
  <si>
    <t>791611146</t>
  </si>
  <si>
    <t>3102741775O</t>
  </si>
  <si>
    <t>791611145</t>
  </si>
  <si>
    <t>QL776 B73 2011</t>
  </si>
  <si>
    <t>0                      QL 0776000B  73          2011</t>
  </si>
  <si>
    <t>Principles of animal communication / Jack W. Bradbury, Sandra L. Vehrencamp.</t>
  </si>
  <si>
    <t>Bradbury, J. W.</t>
  </si>
  <si>
    <t>Sunderland, Mass. : Sinauer Associates, ©2011.</t>
  </si>
  <si>
    <t>2017-11-22</t>
  </si>
  <si>
    <t>644238:eng</t>
  </si>
  <si>
    <t>747947250</t>
  </si>
  <si>
    <t>ocn747947250</t>
  </si>
  <si>
    <t>3103396359C</t>
  </si>
  <si>
    <t>9780878930456</t>
  </si>
  <si>
    <t>794888671</t>
  </si>
  <si>
    <t>QL785 A73 1971</t>
  </si>
  <si>
    <t>0                      QL 0785000A  73          1971</t>
  </si>
  <si>
    <t>Animal memory. Edited by Werner K. Honig and P.H.R. James. Contributors: Bernard W. Agranoff [and others].</t>
  </si>
  <si>
    <t>New York, Academic Press, 1971.</t>
  </si>
  <si>
    <t>2015-03-31</t>
  </si>
  <si>
    <t>356127870:eng</t>
  </si>
  <si>
    <t>226797</t>
  </si>
  <si>
    <t>ocm00226797</t>
  </si>
  <si>
    <t>3000498834E</t>
  </si>
  <si>
    <t>9780123550507</t>
  </si>
  <si>
    <t>791300329</t>
  </si>
  <si>
    <t>QL785 G72</t>
  </si>
  <si>
    <t>0                      QL 0785000G  72</t>
  </si>
  <si>
    <t>The question of animal awareness : evolutionary continuity of mental experience / Donald R. Griffin.</t>
  </si>
  <si>
    <t>New York : Rockefeller University Press, 1976.</t>
  </si>
  <si>
    <t>795556847:eng</t>
  </si>
  <si>
    <t>2512955</t>
  </si>
  <si>
    <t>ocm02512955</t>
  </si>
  <si>
    <t>3001037578U</t>
  </si>
  <si>
    <t>9780874700206</t>
  </si>
  <si>
    <t>792137688</t>
  </si>
  <si>
    <t>QL785 M5</t>
  </si>
  <si>
    <t>0                      QL 0785000M  5</t>
  </si>
  <si>
    <t>Mechanisms of learning and motivation : a memorial volume to Jerzy Konorski / edited by Anthony Dickinson, Robert A. Boakes.</t>
  </si>
  <si>
    <t>Hillsdale, N.J. : L. Erlbaum Associates ; New York : Distributed by Halsted Press Division of Wiley, 1979.</t>
  </si>
  <si>
    <t>351894196:eng</t>
  </si>
  <si>
    <t>4498567</t>
  </si>
  <si>
    <t>ocm04498567</t>
  </si>
  <si>
    <t>3100538944Q</t>
  </si>
  <si>
    <t>9780470265673</t>
  </si>
  <si>
    <t>792356441</t>
  </si>
  <si>
    <t>QL785 S35</t>
  </si>
  <si>
    <t>0                      QL 0785000S  35</t>
  </si>
  <si>
    <t>Genetics and the social behavior of the dog, by John Paul Scott and John L. Fuller.</t>
  </si>
  <si>
    <t>Scott, John Paul, 1909-2000.</t>
  </si>
  <si>
    <t>Chicago, Univ. of Chicago Press [1965]</t>
  </si>
  <si>
    <t>2009-12-02</t>
  </si>
  <si>
    <t>139038685:eng</t>
  </si>
  <si>
    <t>894102</t>
  </si>
  <si>
    <t>ocm00894102</t>
  </si>
  <si>
    <t>3103146708A</t>
  </si>
  <si>
    <t>791496464</t>
  </si>
  <si>
    <t>3001046140X</t>
  </si>
  <si>
    <t>791496465</t>
  </si>
  <si>
    <t>QL785 W95 2001</t>
  </si>
  <si>
    <t>0                      QL 0785000W  95          2001</t>
  </si>
  <si>
    <t>Animal cognition : the mental lives of animals / Clive D.L. Wynne.</t>
  </si>
  <si>
    <t>Wynne, Clive D. L.</t>
  </si>
  <si>
    <t>Basingstoke, Hampshire, England ; New York, N.Y. : Palgrave, 2001.</t>
  </si>
  <si>
    <t>35983626:eng</t>
  </si>
  <si>
    <t>48083994</t>
  </si>
  <si>
    <t>ocm48083994</t>
  </si>
  <si>
    <t>3103099643B</t>
  </si>
  <si>
    <t>9780333923955</t>
  </si>
  <si>
    <t>793715481</t>
  </si>
  <si>
    <t>QL785.25 P76 1997</t>
  </si>
  <si>
    <t>0                      QL 0785250P  76          1997</t>
  </si>
  <si>
    <t>Comment l'esprit vient aux bêtes : essai sur la représentation / Joëlle Proust.</t>
  </si>
  <si>
    <t>Proust, Joëlle.</t>
  </si>
  <si>
    <t>[Paris] : Gallimard, ©1997.</t>
  </si>
  <si>
    <t>NRF essais</t>
  </si>
  <si>
    <t>2019-08-09</t>
  </si>
  <si>
    <t>303449758:fre</t>
  </si>
  <si>
    <t>36894593</t>
  </si>
  <si>
    <t>ocm36894593</t>
  </si>
  <si>
    <t>31018035863</t>
  </si>
  <si>
    <t>9782070731312</t>
  </si>
  <si>
    <t>793486957</t>
  </si>
  <si>
    <t>QL785.5 B6 L3</t>
  </si>
  <si>
    <t>0                      QL 0785500B  6                  L  3</t>
  </si>
  <si>
    <t>Ecological adaptations for breeding in birds [by] David Lack.</t>
  </si>
  <si>
    <t>Lack, David, 1910-1973.</t>
  </si>
  <si>
    <t>London, Methuen, 1968.</t>
  </si>
  <si>
    <t>2005-12-09</t>
  </si>
  <si>
    <t>1517150:eng</t>
  </si>
  <si>
    <t>464831</t>
  </si>
  <si>
    <t>ocm00464831</t>
  </si>
  <si>
    <t>30010497891</t>
  </si>
  <si>
    <t>791385716</t>
  </si>
  <si>
    <t>QL785.5 D65 L5</t>
  </si>
  <si>
    <t>0                      QL 0785500D  65                 L  5</t>
  </si>
  <si>
    <t>The mind of the dolphin : a nonhuman intelligence / John Cunningham Lilly.</t>
  </si>
  <si>
    <t>Lilly, John Cunningham, 1915-2001, author.</t>
  </si>
  <si>
    <t>Garden City, New York : Doubleday, [1967]</t>
  </si>
  <si>
    <t>2015-06-26</t>
  </si>
  <si>
    <t>196543067:eng</t>
  </si>
  <si>
    <t>851669</t>
  </si>
  <si>
    <t>ocm00851669</t>
  </si>
  <si>
    <t>30010579863</t>
  </si>
  <si>
    <t>9780385025430</t>
  </si>
  <si>
    <t>791486784</t>
  </si>
  <si>
    <t>QL791 G39x</t>
  </si>
  <si>
    <t>0                      QL 0791000G  39x</t>
  </si>
  <si>
    <t>Bestiaire sans oubli. Illus. de J. Robion.</t>
  </si>
  <si>
    <t>Genevoix, Maurice, 1890-1980.</t>
  </si>
  <si>
    <t>[Paris] Plon [1971]</t>
  </si>
  <si>
    <t>149506115:fre</t>
  </si>
  <si>
    <t>1239777</t>
  </si>
  <si>
    <t>ocm01239777</t>
  </si>
  <si>
    <t>30005551057</t>
  </si>
  <si>
    <t>791580841</t>
  </si>
  <si>
    <t>QL791 S517</t>
  </si>
  <si>
    <t>0                      QL 0791000S  517</t>
  </si>
  <si>
    <t>Mainly about wolves.</t>
  </si>
  <si>
    <t>Seton, Ernest Thompson, 1860-1946.</t>
  </si>
  <si>
    <t>London, Methuen and Co., [1937]</t>
  </si>
  <si>
    <t>2286918376:eng</t>
  </si>
  <si>
    <t>11964835</t>
  </si>
  <si>
    <t>ocm11964835</t>
  </si>
  <si>
    <t>30007569767</t>
  </si>
  <si>
    <t>792794939</t>
  </si>
  <si>
    <t>QL791 S52 1991</t>
  </si>
  <si>
    <t>0                      QL 0791000S  52          1991</t>
  </si>
  <si>
    <t>Wild animals I have known / Ernest Thompson Seton ; illustrations by the author ; with an afterword by David Arnason.</t>
  </si>
  <si>
    <t>Toronto : McClelland &amp; Stewart, 1991.</t>
  </si>
  <si>
    <t>New Canadian library</t>
  </si>
  <si>
    <t>2876017:eng</t>
  </si>
  <si>
    <t>23052949</t>
  </si>
  <si>
    <t>ocm23052949</t>
  </si>
  <si>
    <t>31009615208</t>
  </si>
  <si>
    <t>9780771098734</t>
  </si>
  <si>
    <t>793160424</t>
  </si>
  <si>
    <t>QL795 B57 B35 1967</t>
  </si>
  <si>
    <t>0                      QL 0795000B  57                 B  35          1967</t>
  </si>
  <si>
    <t>The peregrine [by] J.A. Baker.</t>
  </si>
  <si>
    <t>Baker, J. A. (John Alec)</t>
  </si>
  <si>
    <t>New York, Harper &amp; Row [1967]</t>
  </si>
  <si>
    <t>[1st U.S. ed.].</t>
  </si>
  <si>
    <t>4922361449:eng</t>
  </si>
  <si>
    <t>1974896</t>
  </si>
  <si>
    <t>ocm01974896</t>
  </si>
  <si>
    <t>30010615013</t>
  </si>
  <si>
    <t>792021313</t>
  </si>
  <si>
    <t>QL795 D6 M3 1923</t>
  </si>
  <si>
    <t>0                      QL 0795000D  6                  M  3           1923</t>
  </si>
  <si>
    <t>Bashan and I / by Thomas Mann ; translated by Herman George Scheffauer.</t>
  </si>
  <si>
    <t>Mann, Thomas, 1875-1955.</t>
  </si>
  <si>
    <t>New York : Henry Holt, 1923.</t>
  </si>
  <si>
    <t>285759284:eng</t>
  </si>
  <si>
    <t>5059141</t>
  </si>
  <si>
    <t>ocm05059141</t>
  </si>
  <si>
    <t>30007993437</t>
  </si>
  <si>
    <t>792404662</t>
  </si>
  <si>
    <t>QL795 W8 M6</t>
  </si>
  <si>
    <t>0                      QL 0795000W  8                  M  6</t>
  </si>
  <si>
    <t>Never cry wolf / Farley Mowat.</t>
  </si>
  <si>
    <t>Toronto : McClelland and Stewart, ©1963.</t>
  </si>
  <si>
    <t>4615451624:eng</t>
  </si>
  <si>
    <t>187455225</t>
  </si>
  <si>
    <t>ocn187455225</t>
  </si>
  <si>
    <t>3103001054U</t>
  </si>
  <si>
    <t>794294471</t>
  </si>
  <si>
    <t>30005396616</t>
  </si>
  <si>
    <t>794294472</t>
  </si>
  <si>
    <t>QL795 W8 M6 1963</t>
  </si>
  <si>
    <t>0                      QL 0795000W  8                  M  6           1963</t>
  </si>
  <si>
    <t>Mowat, Farley, author.</t>
  </si>
  <si>
    <t>Boston : Little, Brown and Company, [1963]</t>
  </si>
  <si>
    <t>1080233</t>
  </si>
  <si>
    <t>ocm01080233</t>
  </si>
  <si>
    <t>3001038942U</t>
  </si>
  <si>
    <t>9780896214026</t>
  </si>
  <si>
    <t>791540593</t>
  </si>
  <si>
    <t>QL795 W8 M6 1973</t>
  </si>
  <si>
    <t>0                      QL 0795000W  8                  M  6           1973</t>
  </si>
  <si>
    <t>Toronto : McClelland and Stewart, ©1973.</t>
  </si>
  <si>
    <t>7259136</t>
  </si>
  <si>
    <t>ocm07259136</t>
  </si>
  <si>
    <t>3101518658V</t>
  </si>
  <si>
    <t>9780771065842</t>
  </si>
  <si>
    <t>792549449</t>
  </si>
  <si>
    <t>QL799 O45</t>
  </si>
  <si>
    <t>0                      QL 0799000O  45</t>
  </si>
  <si>
    <t>Morphological integration, by Everett C. Olson and Robert L. Miller.</t>
  </si>
  <si>
    <t>Olson, Everett C. (Everett Claire), 1910-1993.</t>
  </si>
  <si>
    <t>[Chicago] Univ. of Chicago Press [©1958]</t>
  </si>
  <si>
    <t>University of Chicago. Committee on Publications in Biology and Medicine. Publications</t>
  </si>
  <si>
    <t>57857323:eng</t>
  </si>
  <si>
    <t>1535894</t>
  </si>
  <si>
    <t>ocm01535894</t>
  </si>
  <si>
    <t>31036791244</t>
  </si>
  <si>
    <t>791696254</t>
  </si>
  <si>
    <t>QL805 C6 1944</t>
  </si>
  <si>
    <t>0                      QL 0805000C  6           1944</t>
  </si>
  <si>
    <t>A history of comparative anatomy, from Aristotle to the eighteenth century.</t>
  </si>
  <si>
    <t>Cole, F. J. (Francis Joseph), 1872-1959.</t>
  </si>
  <si>
    <t>London, Macmillan, 1944.</t>
  </si>
  <si>
    <t>14487853:eng</t>
  </si>
  <si>
    <t>1535861</t>
  </si>
  <si>
    <t>ocm01535861</t>
  </si>
  <si>
    <t>3001029145K</t>
  </si>
  <si>
    <t>791696252</t>
  </si>
  <si>
    <t>QL925 A693 1929</t>
  </si>
  <si>
    <t>0                      QL 0925000A  693         1929</t>
  </si>
  <si>
    <t>The evolution of the nervous system in invertebrates, vertebrates and man / by C.U. Ariëns Kappers.</t>
  </si>
  <si>
    <t>Ariëns Kappers, C. U. (Cornelius Ubbo), 1877-1946.</t>
  </si>
  <si>
    <t>Haarlem : De erven F. Bohn, 1929.</t>
  </si>
  <si>
    <t>2016-05-21</t>
  </si>
  <si>
    <t>19025109:eng</t>
  </si>
  <si>
    <t>5586212</t>
  </si>
  <si>
    <t>ocm05586212</t>
  </si>
  <si>
    <t>30010653385</t>
  </si>
  <si>
    <t>792440956</t>
  </si>
  <si>
    <t>QL937 R33 1985</t>
  </si>
  <si>
    <t>0                      QL 0937000R  33          1985</t>
  </si>
  <si>
    <t>The Rat nervous system / edited by George Paxinos.</t>
  </si>
  <si>
    <t>Sydney ; Orlando : Academic Press, ©1985.</t>
  </si>
  <si>
    <t>3372164627:eng</t>
  </si>
  <si>
    <t>13162915</t>
  </si>
  <si>
    <t>ocm13162915</t>
  </si>
  <si>
    <t>31005458515</t>
  </si>
  <si>
    <t>9780125476317</t>
  </si>
  <si>
    <t>792843308</t>
  </si>
  <si>
    <t>3001032034L</t>
  </si>
  <si>
    <t>792843307</t>
  </si>
  <si>
    <t>QL938 D44 C46</t>
  </si>
  <si>
    <t>0                      QL 0938000D  44                 C  46</t>
  </si>
  <si>
    <t>Cerebellar dentate nucleus : organization, cytology and transmitters / Victoria Chan-Palay.</t>
  </si>
  <si>
    <t>Chan-Palay, Victoria.</t>
  </si>
  <si>
    <t>Berlin ; New York : Springer-Verlag, 1977.</t>
  </si>
  <si>
    <t>859522583:eng</t>
  </si>
  <si>
    <t>2542632</t>
  </si>
  <si>
    <t>ocm02542632</t>
  </si>
  <si>
    <t>30010363103</t>
  </si>
  <si>
    <t>9780387079585</t>
  </si>
  <si>
    <t>792141456</t>
  </si>
  <si>
    <t>QL953 N4</t>
  </si>
  <si>
    <t>0                      QL 0953000N  4</t>
  </si>
  <si>
    <t>A history of embryology, by Joseph Needham ...</t>
  </si>
  <si>
    <t>Cambridge [England] The University Press, 1934.</t>
  </si>
  <si>
    <t>2007-06-21</t>
  </si>
  <si>
    <t>2015-04-25</t>
  </si>
  <si>
    <t>57770598:eng</t>
  </si>
  <si>
    <t>830850</t>
  </si>
  <si>
    <t>ocm00830850</t>
  </si>
  <si>
    <t>3001057391Y</t>
  </si>
  <si>
    <t>791481823</t>
  </si>
  <si>
    <t>QL955 W82</t>
  </si>
  <si>
    <t>0                      QL 0955000W  82</t>
  </si>
  <si>
    <t>Organisers &amp; genes, by C.H. Waddington ...</t>
  </si>
  <si>
    <t>Waddington, C. H. (Conrad Hal), 1905-1975.</t>
  </si>
  <si>
    <t>Cambridge [England] University Press, 1940.</t>
  </si>
  <si>
    <t>Cambridge biological studies</t>
  </si>
  <si>
    <t>2053167:eng</t>
  </si>
  <si>
    <t>1135733</t>
  </si>
  <si>
    <t>ocm01135733</t>
  </si>
  <si>
    <t>3001077168P</t>
  </si>
  <si>
    <t>791554504</t>
  </si>
  <si>
    <t>QL958 C36 1985</t>
  </si>
  <si>
    <t>0                      QL 0958000C  36          1985</t>
  </si>
  <si>
    <t>The embryonic development of Drosophila melanogaster / José A. Campos-Ortega, Volker Hartenstein.</t>
  </si>
  <si>
    <t>Campos-Ortega, José A. (José Antonio), 1940-</t>
  </si>
  <si>
    <t>4950751:eng</t>
  </si>
  <si>
    <t>12558721</t>
  </si>
  <si>
    <t>ocm12558721</t>
  </si>
  <si>
    <t>3001031694L</t>
  </si>
  <si>
    <t>9780387158679</t>
  </si>
  <si>
    <t>792819279</t>
  </si>
  <si>
    <t>QL959 W33</t>
  </si>
  <si>
    <t>0                      QL 0959000W  33</t>
  </si>
  <si>
    <t>The epigenetics of birds.</t>
  </si>
  <si>
    <t>Cambridge [England] University Press, 1952.</t>
  </si>
  <si>
    <t>2428504:eng</t>
  </si>
  <si>
    <t>1538474</t>
  </si>
  <si>
    <t>ocm01538474</t>
  </si>
  <si>
    <t>3001068752H</t>
  </si>
  <si>
    <t>791709296</t>
  </si>
  <si>
    <t>QL 964 H128 1969</t>
  </si>
  <si>
    <t>0                      QL 0964000H  128         1969</t>
  </si>
  <si>
    <t>Mammalian fertilization; an atlas of ultrastructure.</t>
  </si>
  <si>
    <t>Hadek, Robert, 1924-</t>
  </si>
  <si>
    <t>New York, Academic Press, 1969.</t>
  </si>
  <si>
    <t>365240107:eng</t>
  </si>
  <si>
    <t>12015</t>
  </si>
  <si>
    <t>ocm00012015</t>
  </si>
  <si>
    <t>3000113330P</t>
  </si>
  <si>
    <t>791227875</t>
  </si>
  <si>
    <t>QL971 M84 1997</t>
  </si>
  <si>
    <t>0                      QL 0971000M  84          1997</t>
  </si>
  <si>
    <t>Self-generation : biology, philosophy, and literature around 1800 / Helmut Müller-Sievers.</t>
  </si>
  <si>
    <t>Müller-Sievers, Helmut.</t>
  </si>
  <si>
    <t>Stanford, Calif. : Stanford University Press, 1997.</t>
  </si>
  <si>
    <t>2015-12-20</t>
  </si>
  <si>
    <t>891265335:eng</t>
  </si>
  <si>
    <t>35198621</t>
  </si>
  <si>
    <t>ocm35198621</t>
  </si>
  <si>
    <t>3101722812K</t>
  </si>
  <si>
    <t>9780804727792</t>
  </si>
  <si>
    <t>793446613</t>
  </si>
  <si>
    <t>QM16 L4 B4 1955</t>
  </si>
  <si>
    <t>0                      QM 0016000L  4                  B  4           1955</t>
  </si>
  <si>
    <t>Leonardo the anatomist.</t>
  </si>
  <si>
    <t>Belt, Elmer, 1893-1980.</t>
  </si>
  <si>
    <t>Lawrence, Univ. of Kansas Press, 1955.</t>
  </si>
  <si>
    <t>Logan Clendening lectures on the history and philosophy of medicine ; 4th ser. 1953</t>
  </si>
  <si>
    <t xml:space="preserve">QM </t>
  </si>
  <si>
    <t>2008-09-29</t>
  </si>
  <si>
    <t>1315019:eng</t>
  </si>
  <si>
    <t>14651049</t>
  </si>
  <si>
    <t>ocm14651049</t>
  </si>
  <si>
    <t>3102964492W</t>
  </si>
  <si>
    <t>792897356</t>
  </si>
  <si>
    <t>QM16 V5 O43 1964</t>
  </si>
  <si>
    <t>0                      QM 0016000V  5                  O  43          1964</t>
  </si>
  <si>
    <t>Andreas Vesalius of Brussels, 1514-1564.</t>
  </si>
  <si>
    <t>O'Malley, Charles Donald.</t>
  </si>
  <si>
    <t>Berkeley : University of California Press, 1964.</t>
  </si>
  <si>
    <t>2014-09-25</t>
  </si>
  <si>
    <t>1529035:eng</t>
  </si>
  <si>
    <t>429258</t>
  </si>
  <si>
    <t>ocm00429258</t>
  </si>
  <si>
    <t>3001028542F</t>
  </si>
  <si>
    <t>791376596</t>
  </si>
  <si>
    <t>QM21 B453</t>
  </si>
  <si>
    <t>0                      QM 0021000B  453</t>
  </si>
  <si>
    <t>A short introduction to anatomy (Isagogae breves) Tr. with an introduction and historical notes by L.R. Lind and with anatomical notes by Paul G. Roofe.</t>
  </si>
  <si>
    <t>Berengario da Carpi, Jacopo, approximately 1460-approximately 1530.</t>
  </si>
  <si>
    <t>[Chicago] Univ. of Chicago Press [1959]</t>
  </si>
  <si>
    <t>2015-03-03</t>
  </si>
  <si>
    <t>2452903442:eng</t>
  </si>
  <si>
    <t>2400019</t>
  </si>
  <si>
    <t>ocm02400019</t>
  </si>
  <si>
    <t>3001061887T</t>
  </si>
  <si>
    <t>792116826</t>
  </si>
  <si>
    <t>QM21 G3513 1962</t>
  </si>
  <si>
    <t>0                      QM 0021000G  3513        1962</t>
  </si>
  <si>
    <t>On anatomical procedures; the later books. Ed. by M.C. Lyons and B. Towers. Translation by the late W.L.H. Duckworth.</t>
  </si>
  <si>
    <t>Galen.</t>
  </si>
  <si>
    <t>Cambridge, Univ. Press, 1962.</t>
  </si>
  <si>
    <t>4160159735:eng</t>
  </si>
  <si>
    <t>3856800</t>
  </si>
  <si>
    <t>ocm03856800</t>
  </si>
  <si>
    <t>3000760859Z</t>
  </si>
  <si>
    <t>792299024</t>
  </si>
  <si>
    <t>QM21 H3</t>
  </si>
  <si>
    <t>0                      QM 0021000H  3</t>
  </si>
  <si>
    <t>Anatomical lectures: Prelectiones anatomie universalis, De musculis. Edited, with an introd., translation and notes by Gweneth Whitteridge.</t>
  </si>
  <si>
    <t>Harvey, William, 1578-1657.</t>
  </si>
  <si>
    <t>Edinburgh, Published for the Royal College of Physicians, London, by E. &amp; S. Livingstone, 1964.</t>
  </si>
  <si>
    <t>2001-06-21</t>
  </si>
  <si>
    <t>3901107540:eng</t>
  </si>
  <si>
    <t>1927282</t>
  </si>
  <si>
    <t>ocm01927282</t>
  </si>
  <si>
    <t>3001062174O</t>
  </si>
  <si>
    <t>792012674</t>
  </si>
  <si>
    <t>QM21 H49 1959</t>
  </si>
  <si>
    <t>0                      QM 0021000H  49          1959</t>
  </si>
  <si>
    <t>Andreas Vesalius' first public anatomy at Bologna, 1540 : an eyewitness report / by Baldasar Heseler, Medicinae Scholaris, together with his notes on Matthaeus Curtius' lectures on Anatomia Mundini ; edited with an introduction, translation into English and notes by Ruben Eriksson.</t>
  </si>
  <si>
    <t>Heseler, Baldasar, 1508 or 1509-1567.</t>
  </si>
  <si>
    <t>Uppsala and Stockholm : Almqvist and Wiksells, Boktryckeri Ab, 1959.</t>
  </si>
  <si>
    <t>Lychnos-bibliotek ; 18</t>
  </si>
  <si>
    <t>14506773:mul</t>
  </si>
  <si>
    <t>14605383</t>
  </si>
  <si>
    <t>ocm14605383</t>
  </si>
  <si>
    <t>3001062181R</t>
  </si>
  <si>
    <t>792895416</t>
  </si>
  <si>
    <t>QM23.2 M67 2010</t>
  </si>
  <si>
    <t>0                      QM 0023200M  67          2010</t>
  </si>
  <si>
    <t>Clinically oriented anatomy / Keith L. Moore, Arthur F. Dalley, Anne M.R. Agur.</t>
  </si>
  <si>
    <t>Moore, Keith L.</t>
  </si>
  <si>
    <t>Philadelphia : Wolters Kluwer Health/Lippincott Williams &amp; Wilkins, ©2010.</t>
  </si>
  <si>
    <t>2013-10-03</t>
  </si>
  <si>
    <t>347223:eng</t>
  </si>
  <si>
    <t>216940468</t>
  </si>
  <si>
    <t>ocn216940468</t>
  </si>
  <si>
    <t>3103096507Y</t>
  </si>
  <si>
    <t>9780781775250</t>
  </si>
  <si>
    <t>794316108</t>
  </si>
  <si>
    <t>QM25 G7 1972</t>
  </si>
  <si>
    <t>0                      QM 0025000G  7           1972</t>
  </si>
  <si>
    <t>An atlas of anatomy, by regions ... [by] J.C. Boileau Grant.</t>
  </si>
  <si>
    <t>Grant, J. C. Boileau (John Charles Boileau), 1886-1973.</t>
  </si>
  <si>
    <t>Baltimore, Williams &amp; Wilkins, 1972.</t>
  </si>
  <si>
    <t>4820418298:eng</t>
  </si>
  <si>
    <t>278236</t>
  </si>
  <si>
    <t>ocm00278236</t>
  </si>
  <si>
    <t>3000828953K</t>
  </si>
  <si>
    <t>9780683037296</t>
  </si>
  <si>
    <t>791321274</t>
  </si>
  <si>
    <t>QM25 H88 2007</t>
  </si>
  <si>
    <t>0                      QM 0025000H  88          2007</t>
  </si>
  <si>
    <t>A brief atlas of the human body / Matt Hutchinson, John Mallatt, Elaine N. Marieb, Patricia Brady Wilhelm ; photographs by Ralph T. Hutchings and Nina Zanetti.</t>
  </si>
  <si>
    <t>Hutchinson, Matt, author.</t>
  </si>
  <si>
    <t>San Francisco : Pearson Benjamin Cummings, [2007]</t>
  </si>
  <si>
    <t>2864246579:eng</t>
  </si>
  <si>
    <t>70292177</t>
  </si>
  <si>
    <t>ocm70292177</t>
  </si>
  <si>
    <t>3103290140D</t>
  </si>
  <si>
    <t>9780805373738</t>
  </si>
  <si>
    <t>794152649</t>
  </si>
  <si>
    <t>QM27 H86 1993</t>
  </si>
  <si>
    <t>0                      QM 0027000H  86          1993</t>
  </si>
  <si>
    <t>The human body : a fascinating see-through view of how our bodies work / text consultants, Luisa Dillner and Peter Abrahams.</t>
  </si>
  <si>
    <t>Wilton, CT : Wishing Well Books, ©1993.</t>
  </si>
  <si>
    <t>55804536:eng</t>
  </si>
  <si>
    <t>29991576</t>
  </si>
  <si>
    <t>ocm29991576</t>
  </si>
  <si>
    <t>3103644060A</t>
  </si>
  <si>
    <t>9780887056444</t>
  </si>
  <si>
    <t>793326208</t>
  </si>
  <si>
    <t>QM28 G76 2014</t>
  </si>
  <si>
    <t>0                      QM 0028000G  76          2014</t>
  </si>
  <si>
    <t>Écrits épistémologiques sur l'anatomie du XVIe au XIXe siècle / Gilles Gros.</t>
  </si>
  <si>
    <t>Gros, Gilles.</t>
  </si>
  <si>
    <t>Paris : Harmattan, ©2014.</t>
  </si>
  <si>
    <t>Acteurs de la science</t>
  </si>
  <si>
    <t>2270880759:fre</t>
  </si>
  <si>
    <t>900465431</t>
  </si>
  <si>
    <t>ocn900465431</t>
  </si>
  <si>
    <t>3103562449U</t>
  </si>
  <si>
    <t>9782343050942</t>
  </si>
  <si>
    <t>794987541</t>
  </si>
  <si>
    <t>QM33 L43 1990</t>
  </si>
  <si>
    <t>0                      QM 0033000L  43          1990</t>
  </si>
  <si>
    <t>Artistes et mortels / Michel Lemire ; photos, B. Faye ; préface de E.A. Cabanis.</t>
  </si>
  <si>
    <t>Lemire, Michel.</t>
  </si>
  <si>
    <t>Paris : Chabaud, ©1990.</t>
  </si>
  <si>
    <t>26932812:fre</t>
  </si>
  <si>
    <t>24626366</t>
  </si>
  <si>
    <t>ocm24626366</t>
  </si>
  <si>
    <t>3103550871P</t>
  </si>
  <si>
    <t>9782877490191</t>
  </si>
  <si>
    <t>793202360</t>
  </si>
  <si>
    <t>QM33.3 N4 H85 2009</t>
  </si>
  <si>
    <t>0                      QM 0033300N  4                  H  85          2009</t>
  </si>
  <si>
    <t>The finger of God : anatomical practice in 17th century Leiden / Tim Huisman.</t>
  </si>
  <si>
    <t>Huisman, Tim.</t>
  </si>
  <si>
    <t>Leiden : Primavera Pers, 2009.</t>
  </si>
  <si>
    <t>792436432:eng</t>
  </si>
  <si>
    <t>313673248</t>
  </si>
  <si>
    <t>ocn313673248</t>
  </si>
  <si>
    <t>31034101376</t>
  </si>
  <si>
    <t>9789059970618</t>
  </si>
  <si>
    <t>794438090</t>
  </si>
  <si>
    <t>QM100 B445 2006</t>
  </si>
  <si>
    <t>0                      QM 0100000B  445         2006</t>
  </si>
  <si>
    <t>Kinetic anatomy / Robert S. Behnke.</t>
  </si>
  <si>
    <t>Behnke, Robert S., 1938-</t>
  </si>
  <si>
    <t>Champaign, IL : Human Kinetics, ©2006.</t>
  </si>
  <si>
    <t>19506840:eng</t>
  </si>
  <si>
    <t>58451796</t>
  </si>
  <si>
    <t>ocm58451796</t>
  </si>
  <si>
    <t>3102580855L</t>
  </si>
  <si>
    <t>9780736059091</t>
  </si>
  <si>
    <t>793921059</t>
  </si>
  <si>
    <t>QM105 R53 2011</t>
  </si>
  <si>
    <t>0                      QM 0105000R  53          2011</t>
  </si>
  <si>
    <t>A study through skull morphology on the diversity of holocene African populations in a historical perspective / Isabelle Ribot.</t>
  </si>
  <si>
    <t>Ribot, Isabelle.</t>
  </si>
  <si>
    <t>Oxford : Archaeopress, 2011.</t>
  </si>
  <si>
    <t>BAR international series ; 2215</t>
  </si>
  <si>
    <t>900601439:eng</t>
  </si>
  <si>
    <t>724493086</t>
  </si>
  <si>
    <t>ocn724493086</t>
  </si>
  <si>
    <t>3103341455H</t>
  </si>
  <si>
    <t>9781407307732</t>
  </si>
  <si>
    <t>794876358</t>
  </si>
  <si>
    <t>QM151 D4513 2003</t>
  </si>
  <si>
    <t>0                      QM 0151000D  4513        2003</t>
  </si>
  <si>
    <t>Women's strength training anatomy / Frédéric Delavier.</t>
  </si>
  <si>
    <t>Delavier, Frédéric.</t>
  </si>
  <si>
    <t>Champaign, IL : Human Kinetics, ©2003.</t>
  </si>
  <si>
    <t>Anatomy series (Human Kinetics (Organization))830</t>
  </si>
  <si>
    <t>1863603212:eng</t>
  </si>
  <si>
    <t>50858873</t>
  </si>
  <si>
    <t>ocm50858873</t>
  </si>
  <si>
    <t>3103452688R</t>
  </si>
  <si>
    <t>9780736048132</t>
  </si>
  <si>
    <t>793774148</t>
  </si>
  <si>
    <t>QM151 D454 2006</t>
  </si>
  <si>
    <t>0                      QM 0151000D  454         2006</t>
  </si>
  <si>
    <t>Strength training anatomy / Frédéric Delavier.</t>
  </si>
  <si>
    <t>8964292331:eng</t>
  </si>
  <si>
    <t>61123117</t>
  </si>
  <si>
    <t>ocm61123117</t>
  </si>
  <si>
    <t>3102632666$</t>
  </si>
  <si>
    <t>9780736063685</t>
  </si>
  <si>
    <t>793946643</t>
  </si>
  <si>
    <t>QM421 D74613 2005</t>
  </si>
  <si>
    <t>0                      QM 0421000D  74613       2005</t>
  </si>
  <si>
    <t>The origin of the world : science and fiction of the vagina / Jelto Drenth ; translated by Arnold and Erica Pomerans.</t>
  </si>
  <si>
    <t>Drenth, Jelto, 1946-</t>
  </si>
  <si>
    <t>London : Reaktion Books, 2005.</t>
  </si>
  <si>
    <t>3372938808:eng</t>
  </si>
  <si>
    <t>56458289</t>
  </si>
  <si>
    <t>ocm56458289</t>
  </si>
  <si>
    <t>3102894588M</t>
  </si>
  <si>
    <t>9781861892102</t>
  </si>
  <si>
    <t>793893658</t>
  </si>
  <si>
    <t>QM451 C37</t>
  </si>
  <si>
    <t>0                      QM 0451000C  37</t>
  </si>
  <si>
    <t>Core text of neuroanatomy [by] Malcolm B. Carpenter.</t>
  </si>
  <si>
    <t>Carpenter, Malcolm B.</t>
  </si>
  <si>
    <t>Baltimore, Williams &amp; Wilkins [1972]</t>
  </si>
  <si>
    <t>5481535635:eng</t>
  </si>
  <si>
    <t>394026</t>
  </si>
  <si>
    <t>ocm00394026</t>
  </si>
  <si>
    <t>3100021460D</t>
  </si>
  <si>
    <t>9780683014518</t>
  </si>
  <si>
    <t>791363764</t>
  </si>
  <si>
    <t>3102916237U</t>
  </si>
  <si>
    <t>791363763</t>
  </si>
  <si>
    <t>QM451 C37 1991</t>
  </si>
  <si>
    <t>0                      QM 0451000C  37          1991</t>
  </si>
  <si>
    <t>Core text of neuroanatomy / Malcolm B. Carpenter.</t>
  </si>
  <si>
    <t>Baltimore : Williams &amp; Wilkins, ©1991.</t>
  </si>
  <si>
    <t>22813398</t>
  </si>
  <si>
    <t>ocm22813398</t>
  </si>
  <si>
    <t>31027108419</t>
  </si>
  <si>
    <t>9780683014570</t>
  </si>
  <si>
    <t>793154363</t>
  </si>
  <si>
    <t>QM451 D36 2017</t>
  </si>
  <si>
    <t>0                      QM 0451000D  36          2017</t>
  </si>
  <si>
    <t>Functional neuroanatomy of the brain / Leon Dănăilă.</t>
  </si>
  <si>
    <t>pt.3 (book slightly water damaged)</t>
  </si>
  <si>
    <t>Dănăilă, Leon, 1933-</t>
  </si>
  <si>
    <t>Lexington, KY : [CreateSpace Independent Publishing Platform], 2017.</t>
  </si>
  <si>
    <t>4725229734:eng</t>
  </si>
  <si>
    <t>1019872571</t>
  </si>
  <si>
    <t>on1019872571</t>
  </si>
  <si>
    <t>3103765946I</t>
  </si>
  <si>
    <t>9781511743792</t>
  </si>
  <si>
    <t>795049985</t>
  </si>
  <si>
    <t>31037659785</t>
  </si>
  <si>
    <t>795049987</t>
  </si>
  <si>
    <t>31037659777</t>
  </si>
  <si>
    <t>795049986</t>
  </si>
  <si>
    <t>QM451 P52 1998</t>
  </si>
  <si>
    <t>0                      QM 0451000P  52          1998</t>
  </si>
  <si>
    <t>A colorful introduction to the anatomy of the human brain : a brain and psychology coloring book / John P.J. Pinel with Maggie Edwards.</t>
  </si>
  <si>
    <t>Pinel, John P. J.</t>
  </si>
  <si>
    <t>Boston, MA : Allyn and Bacon, ©1998.</t>
  </si>
  <si>
    <t>837068377:eng</t>
  </si>
  <si>
    <t>38598121</t>
  </si>
  <si>
    <t>ocm38598121</t>
  </si>
  <si>
    <t>3102894629V</t>
  </si>
  <si>
    <t>9780205162994</t>
  </si>
  <si>
    <t>793527984</t>
  </si>
  <si>
    <t>2010-10-08</t>
  </si>
  <si>
    <t>3102401013L</t>
  </si>
  <si>
    <t>793527983</t>
  </si>
  <si>
    <t>31028099584</t>
  </si>
  <si>
    <t>793527985</t>
  </si>
  <si>
    <t>3102226455K</t>
  </si>
  <si>
    <t>793527982</t>
  </si>
  <si>
    <t>QM451 T7 1983</t>
  </si>
  <si>
    <t>0                      QM 0451000T  7           1983</t>
  </si>
  <si>
    <t>Human neuroanatomy / Malcolm B. Carpenter, Jerome Sutin.</t>
  </si>
  <si>
    <t>Baltimore : Williams &amp; Wilkins, ©1983.</t>
  </si>
  <si>
    <t>8346573</t>
  </si>
  <si>
    <t>ocm08346573</t>
  </si>
  <si>
    <t>3103398633$</t>
  </si>
  <si>
    <t>9780683014617</t>
  </si>
  <si>
    <t>792614437</t>
  </si>
  <si>
    <t>31033489797</t>
  </si>
  <si>
    <t>792614436</t>
  </si>
  <si>
    <t>3103348955B</t>
  </si>
  <si>
    <t>792614439</t>
  </si>
  <si>
    <t>QM455 B57</t>
  </si>
  <si>
    <t>0                      QM 0455000B  57</t>
  </si>
  <si>
    <t>Brain and mind; or, The nervous system of man, by R.J.A. Berry ...</t>
  </si>
  <si>
    <t>Berry, Richard J. A. (Richard James Arthur), 1867-1962.</t>
  </si>
  <si>
    <t>New York, The Macmillan Company, 1928.</t>
  </si>
  <si>
    <t>292540035:eng</t>
  </si>
  <si>
    <t>3724516</t>
  </si>
  <si>
    <t>ocm03724516</t>
  </si>
  <si>
    <t>30010719408</t>
  </si>
  <si>
    <t>792284810</t>
  </si>
  <si>
    <t>QM455 H85 2010</t>
  </si>
  <si>
    <t>0                      QM 0455000H  85          2010</t>
  </si>
  <si>
    <t>The Human brain evolving : paleoneurological studies in honor of Ralph L. Holloway / editors, Douglas Broadfield [and others].</t>
  </si>
  <si>
    <t>Gosport, IN. : Stone Age Institute Press, ©2010.</t>
  </si>
  <si>
    <t>Stone Age Institute publication series, no. 4</t>
  </si>
  <si>
    <t>2013-08-02</t>
  </si>
  <si>
    <t>1039210631:eng</t>
  </si>
  <si>
    <t>704382820</t>
  </si>
  <si>
    <t>ocn704382820</t>
  </si>
  <si>
    <t>3103364398R</t>
  </si>
  <si>
    <t>9780979227639</t>
  </si>
  <si>
    <t>794865565</t>
  </si>
  <si>
    <t>QM455 S35 2010</t>
  </si>
  <si>
    <t>0                      QM 0455000S  35          2010</t>
  </si>
  <si>
    <t>Portraits of the mind : visualizing the brain from antiquity to the 21st century / Carl Schoonover ; foreword by Jonah Lehrer.</t>
  </si>
  <si>
    <t>Schoonover, Carl E.</t>
  </si>
  <si>
    <t>New York : Abrams, 2010.</t>
  </si>
  <si>
    <t>792123411:eng</t>
  </si>
  <si>
    <t>505419613</t>
  </si>
  <si>
    <t>ocn505419613</t>
  </si>
  <si>
    <t>3103313651I</t>
  </si>
  <si>
    <t>9780810990333</t>
  </si>
  <si>
    <t>794807090</t>
  </si>
  <si>
    <t>QM505 B68 2014</t>
  </si>
  <si>
    <t>0                      QM 0505000B  68          2014</t>
  </si>
  <si>
    <t>De nez à nez : histoire du nez / Vincent Bouton.</t>
  </si>
  <si>
    <t>Bouton, Vincent, author.</t>
  </si>
  <si>
    <t>Paris : L'Harmattan, [2014]</t>
  </si>
  <si>
    <t>Médecine à travers les siècles</t>
  </si>
  <si>
    <t>2242038858:fre</t>
  </si>
  <si>
    <t>893942220</t>
  </si>
  <si>
    <t>ocn893942220</t>
  </si>
  <si>
    <t>3103562454S</t>
  </si>
  <si>
    <t>9782343044293</t>
  </si>
  <si>
    <t>794982200</t>
  </si>
  <si>
    <t>QM556 T48 1982</t>
  </si>
  <si>
    <t>0                      QM 0556000T  48          1982</t>
  </si>
  <si>
    <t>Theory and practice of histological techniques / editors, John D. Bancroft, Alan Stevens ; foreword by I.M.P. Dawson.</t>
  </si>
  <si>
    <t>Edinburgh ; New York : Churchill Livingstone, 1982.</t>
  </si>
  <si>
    <t>495554555:eng</t>
  </si>
  <si>
    <t>8112909</t>
  </si>
  <si>
    <t>ocm08112909</t>
  </si>
  <si>
    <t>3001029954O</t>
  </si>
  <si>
    <t>9780443020063</t>
  </si>
  <si>
    <t>792599347</t>
  </si>
  <si>
    <t>QM601 D34</t>
  </si>
  <si>
    <t>0                      QM 0601000D  34</t>
  </si>
  <si>
    <t>How we came by our bodies, by Charles B. Davenport.</t>
  </si>
  <si>
    <t>Davenport, Charles Benedict, 1866-1944.</t>
  </si>
  <si>
    <t>New York, H. Holt and Company [©1936]</t>
  </si>
  <si>
    <t>5322603:eng</t>
  </si>
  <si>
    <t>2566507</t>
  </si>
  <si>
    <t>ocm02566507</t>
  </si>
  <si>
    <t>3001052674A</t>
  </si>
  <si>
    <t>792144303</t>
  </si>
  <si>
    <t>QM601 M768 1992</t>
  </si>
  <si>
    <t>0                      QM 0601000M  768         1992</t>
  </si>
  <si>
    <t>The facts of life : science and the abortion controversy / Harold J. Morowitz and James S. Trefil.</t>
  </si>
  <si>
    <t>20603099:eng</t>
  </si>
  <si>
    <t>25832386</t>
  </si>
  <si>
    <t>ocm25832386</t>
  </si>
  <si>
    <t>31012354084</t>
  </si>
  <si>
    <t>9780195079272</t>
  </si>
  <si>
    <t>793231008</t>
  </si>
  <si>
    <t>QM611 H48</t>
  </si>
  <si>
    <t>0                      QM 0611000H  48</t>
  </si>
  <si>
    <t>Giles of Rome and the medieval theory of conception : a study of the De formatione corporis humani in utero / by M. Anthony Hewson.</t>
  </si>
  <si>
    <t>Hewson, M. Anthony.</t>
  </si>
  <si>
    <t>London : Athlone Press, 1975.</t>
  </si>
  <si>
    <t>University of London historical studies ; 38</t>
  </si>
  <si>
    <t>197506553:eng</t>
  </si>
  <si>
    <t>1924067</t>
  </si>
  <si>
    <t>ocm01924067</t>
  </si>
  <si>
    <t>3000410349Z</t>
  </si>
  <si>
    <t>9780485131383</t>
  </si>
  <si>
    <t>792012228</t>
  </si>
  <si>
    <t>QM691.B86 H83 2018</t>
  </si>
  <si>
    <t>0                      QM 0691000B  86                 H  83          2018</t>
  </si>
  <si>
    <t>Inseparable : the original Siamese twins and their rendezvous with American history / Yunte Huang.</t>
  </si>
  <si>
    <t>Huang, Yunte, author.</t>
  </si>
  <si>
    <t>New York, NY : Liveright Publishing Corporation, a Division of W.W. Norton &amp; Company, [2018]</t>
  </si>
  <si>
    <t>4227820729:eng</t>
  </si>
  <si>
    <t>988285730</t>
  </si>
  <si>
    <t>ocn988285730</t>
  </si>
  <si>
    <t>3103811947M</t>
  </si>
  <si>
    <t>9780871404473</t>
  </si>
  <si>
    <t>795036685</t>
  </si>
  <si>
    <t>QP1 P37 v.25</t>
  </si>
  <si>
    <t>0                      QP 0001000P  37                                                      v.25</t>
  </si>
  <si>
    <t>Biogeography and ecology in Tasmania / ed. by W.D. Williams.</t>
  </si>
  <si>
    <t>The Hague : Junk, 1974.</t>
  </si>
  <si>
    <t>Monographiae biologicae ; v. 25</t>
  </si>
  <si>
    <t xml:space="preserve">QP </t>
  </si>
  <si>
    <t>146962397:eng</t>
  </si>
  <si>
    <t>3070517</t>
  </si>
  <si>
    <t>ocm03070517</t>
  </si>
  <si>
    <t>3001060889U</t>
  </si>
  <si>
    <t>9789061930778</t>
  </si>
  <si>
    <t>792213411</t>
  </si>
  <si>
    <t>QP6 H25</t>
  </si>
  <si>
    <t>0                      QP 0006000H  25</t>
  </si>
  <si>
    <t>Handbook of physiology : a critical, comprehensive presentation of physiological knowledge and concepts / editor-in-chief: John Field.</t>
  </si>
  <si>
    <t>sect. 6, V. 1 (1967)</t>
  </si>
  <si>
    <t>Handbook of physiology (1959 ed.)</t>
  </si>
  <si>
    <t>Washington : American Physiological Society : [Distributed by Williams &amp; Wilkins, Baltimore], 1959-&lt;1977&gt;</t>
  </si>
  <si>
    <t>Handbook of physiology; a critical, comprehensive presentation of physiological knowledge and concepts ; Section 6</t>
  </si>
  <si>
    <t>3902690824:eng</t>
  </si>
  <si>
    <t>327093</t>
  </si>
  <si>
    <t>ocm00327093</t>
  </si>
  <si>
    <t>3100495095V</t>
  </si>
  <si>
    <t>9780683068054</t>
  </si>
  <si>
    <t>791338276</t>
  </si>
  <si>
    <t>sect. 1, V. 3 (1960)</t>
  </si>
  <si>
    <t>3100641198K</t>
  </si>
  <si>
    <t>791338284</t>
  </si>
  <si>
    <t>sect. 6, V. 4 (1968)</t>
  </si>
  <si>
    <t>3100495098P</t>
  </si>
  <si>
    <t>791338273</t>
  </si>
  <si>
    <t>sect. 3, V. 2 (1965)</t>
  </si>
  <si>
    <t>2002-10-30</t>
  </si>
  <si>
    <t>31004950920</t>
  </si>
  <si>
    <t>791338279</t>
  </si>
  <si>
    <t>sect. 6, V. 2 (1967)</t>
  </si>
  <si>
    <t>3100495096T</t>
  </si>
  <si>
    <t>791338275</t>
  </si>
  <si>
    <t>sect. 1, V. 1 (1959)</t>
  </si>
  <si>
    <t>3001052158S</t>
  </si>
  <si>
    <t>791338286</t>
  </si>
  <si>
    <t>sect. 2, V. 1 (1962)</t>
  </si>
  <si>
    <t>3100641199I</t>
  </si>
  <si>
    <t>791338283</t>
  </si>
  <si>
    <t>sect. 2, V. 2 (1963)</t>
  </si>
  <si>
    <t>3100495089Q</t>
  </si>
  <si>
    <t>791338282</t>
  </si>
  <si>
    <t>sect. 6, V. 3 (1968)</t>
  </si>
  <si>
    <t>3100495097R</t>
  </si>
  <si>
    <t>791338274</t>
  </si>
  <si>
    <t>sect. 3, V. 1 (1964)</t>
  </si>
  <si>
    <t>2001-12-05</t>
  </si>
  <si>
    <t>31004950912</t>
  </si>
  <si>
    <t>791338280</t>
  </si>
  <si>
    <t>sect. 6, V. 5 (1968)</t>
  </si>
  <si>
    <t>3100495099N</t>
  </si>
  <si>
    <t>791338272</t>
  </si>
  <si>
    <t>sect. 2, V. 3 (1965)</t>
  </si>
  <si>
    <t>2002-10-29</t>
  </si>
  <si>
    <t>31004950904</t>
  </si>
  <si>
    <t>791338281</t>
  </si>
  <si>
    <t>sect. 4 (1964)</t>
  </si>
  <si>
    <t>3100495093Z</t>
  </si>
  <si>
    <t>791338278</t>
  </si>
  <si>
    <t>sect. 1, V. 2 (1960)</t>
  </si>
  <si>
    <t>3100641189L</t>
  </si>
  <si>
    <t>791338285</t>
  </si>
  <si>
    <t>sect. 5 (1965)</t>
  </si>
  <si>
    <t>3100495094X</t>
  </si>
  <si>
    <t>791338277</t>
  </si>
  <si>
    <t>QP21 D378 2001</t>
  </si>
  <si>
    <t>0                      QP 0021000D  378         2001</t>
  </si>
  <si>
    <t>Spirits and clocks : machine and organism in Descartes / Dennis Des Chene.</t>
  </si>
  <si>
    <t>Ithaca : Cornell University Press, 2001.</t>
  </si>
  <si>
    <t>198829588:eng</t>
  </si>
  <si>
    <t>44446518</t>
  </si>
  <si>
    <t>ocm44446518</t>
  </si>
  <si>
    <t>31020597075</t>
  </si>
  <si>
    <t>9780801437649</t>
  </si>
  <si>
    <t>793646357</t>
  </si>
  <si>
    <t>QP21 F76</t>
  </si>
  <si>
    <t>0                      QP 0021000F  76</t>
  </si>
  <si>
    <t>Harvey and the Oxford physiologists : scientific ideas and social interaction / by Robert G. Frank, Jr.</t>
  </si>
  <si>
    <t>Frank, Robert Gregg, 1943-</t>
  </si>
  <si>
    <t>999255763:eng</t>
  </si>
  <si>
    <t>5939562</t>
  </si>
  <si>
    <t>ocm05939562</t>
  </si>
  <si>
    <t>3103643439R</t>
  </si>
  <si>
    <t>9780520039063</t>
  </si>
  <si>
    <t>792464886</t>
  </si>
  <si>
    <t>QP21 I58 1988</t>
  </si>
  <si>
    <t>0                      QP 0021000I  58          1988</t>
  </si>
  <si>
    <t>The Investigative enterprise : experimental physiology in nineteenth-century medicine / edited by William Coleman and Frederic L. Holmes.</t>
  </si>
  <si>
    <t>Berkeley : University of California Press, [1988]</t>
  </si>
  <si>
    <t>890201750:eng</t>
  </si>
  <si>
    <t>16578354</t>
  </si>
  <si>
    <t>ocm16578354</t>
  </si>
  <si>
    <t>3000586764I</t>
  </si>
  <si>
    <t>9780520060487</t>
  </si>
  <si>
    <t>792965824</t>
  </si>
  <si>
    <t>QP26 B5 H64</t>
  </si>
  <si>
    <t>0                      QP 0026000B  5                  H  64</t>
  </si>
  <si>
    <t>Claude Bernard and animal chemistry : the emergence of a scientist / Frederic Lawrence Holmes.</t>
  </si>
  <si>
    <t>Holmes, Frederic Lawrence.</t>
  </si>
  <si>
    <t>Cambridge : Harvard University Press, 1974.</t>
  </si>
  <si>
    <t>A Commonwealth Fund book</t>
  </si>
  <si>
    <t>889414486:eng</t>
  </si>
  <si>
    <t>1092520</t>
  </si>
  <si>
    <t>ocm01092520</t>
  </si>
  <si>
    <t>3000399120I</t>
  </si>
  <si>
    <t>9780674134850</t>
  </si>
  <si>
    <t>791544787</t>
  </si>
  <si>
    <t>QP26 H3 W46</t>
  </si>
  <si>
    <t>0                      QP 0026000H  3                  W  46</t>
  </si>
  <si>
    <t>William Harvey and the circulation of the blood.</t>
  </si>
  <si>
    <t>Whitteridge, Gweneth.</t>
  </si>
  <si>
    <t>London, Macdonald; New York, American Elsevier [1971]</t>
  </si>
  <si>
    <t>History of science library</t>
  </si>
  <si>
    <t>1332090:eng</t>
  </si>
  <si>
    <t>147940</t>
  </si>
  <si>
    <t>ocm00147940</t>
  </si>
  <si>
    <t>31036356785</t>
  </si>
  <si>
    <t>9780444196637</t>
  </si>
  <si>
    <t>791272194</t>
  </si>
  <si>
    <t>QP26 P35 B3</t>
  </si>
  <si>
    <t>0                      QP 0026000P  35                 B  3</t>
  </si>
  <si>
    <t>Pavlov : a biography.</t>
  </si>
  <si>
    <t>Babkin, B. P. (Boris Petrovich), 1877-1950.</t>
  </si>
  <si>
    <t>[Chicago] : University of Chicago Press, [1949]</t>
  </si>
  <si>
    <t>2010-01-07</t>
  </si>
  <si>
    <t>117757743:eng</t>
  </si>
  <si>
    <t>14646076</t>
  </si>
  <si>
    <t>ocm14646076</t>
  </si>
  <si>
    <t>3000302702B</t>
  </si>
  <si>
    <t>9780226033723</t>
  </si>
  <si>
    <t>792897135</t>
  </si>
  <si>
    <t>3001024571S</t>
  </si>
  <si>
    <t>792897136</t>
  </si>
  <si>
    <t>QP26 R68 M62</t>
  </si>
  <si>
    <t>0                      QP 0026000R  68                 M  62</t>
  </si>
  <si>
    <t>Wilhelm Roux, Hans Driesch : zur Geschichte der Entwicklungsphysiologie der Tiere (Entwicklungsmechanik) / von Reinhard Mocek.</t>
  </si>
  <si>
    <t>Mocek, Reinhard.</t>
  </si>
  <si>
    <t>Jena : Fischer, 1974.</t>
  </si>
  <si>
    <t>Biographien bedeutender Biologen ; Bd. 1</t>
  </si>
  <si>
    <t>2016-02-29</t>
  </si>
  <si>
    <t>272043163:ger</t>
  </si>
  <si>
    <t>5584871</t>
  </si>
  <si>
    <t>ocm05584871</t>
  </si>
  <si>
    <t>3001033024J</t>
  </si>
  <si>
    <t>792440765</t>
  </si>
  <si>
    <t>QP29 D5 2004</t>
  </si>
  <si>
    <t>0                      QP 0029000D  5           2004</t>
  </si>
  <si>
    <t>Eléments de physiologie / Denis Diderot ; texte établi, présenté et commenté par Paolo Quintili.</t>
  </si>
  <si>
    <t>Diderot, Denis, 1713-1784.</t>
  </si>
  <si>
    <t>Paris : H. Champion, 2004.</t>
  </si>
  <si>
    <t>L'âge des lumières, 1278-3862 ; 27</t>
  </si>
  <si>
    <t>9622268520:fre</t>
  </si>
  <si>
    <t>56574006</t>
  </si>
  <si>
    <t>ocm56574006</t>
  </si>
  <si>
    <t>31024231120</t>
  </si>
  <si>
    <t>9782745309952</t>
  </si>
  <si>
    <t>793896182</t>
  </si>
  <si>
    <t>QP31 H25 1925</t>
  </si>
  <si>
    <t>0                      QP 0031000H  25          1925</t>
  </si>
  <si>
    <t>Handbuch der normalen und pathologischen Physiologie : mit Berücksicchtigung der experimentellen Pharmakologie / Hrsg. von A. Bethe, G. v. Bergmann, G. Embden [und] A. Ellinger.</t>
  </si>
  <si>
    <t>Berlin, Julius Springer, 1925-1932.</t>
  </si>
  <si>
    <t>4920209783:ger</t>
  </si>
  <si>
    <t>82297234</t>
  </si>
  <si>
    <t>ocm82297234</t>
  </si>
  <si>
    <t>3102925545I</t>
  </si>
  <si>
    <t>794205543</t>
  </si>
  <si>
    <t>3102925539K</t>
  </si>
  <si>
    <t>794205546</t>
  </si>
  <si>
    <t>3102925577C</t>
  </si>
  <si>
    <t>794205539</t>
  </si>
  <si>
    <t>V. 16, pt. 1</t>
  </si>
  <si>
    <t>3102925579C</t>
  </si>
  <si>
    <t>794205530</t>
  </si>
  <si>
    <t>3102925540I</t>
  </si>
  <si>
    <t>794205538</t>
  </si>
  <si>
    <t>V. 17</t>
  </si>
  <si>
    <t>3102925557G</t>
  </si>
  <si>
    <t>794205528</t>
  </si>
  <si>
    <t>V. 15, pt. 1</t>
  </si>
  <si>
    <t>3102925546I</t>
  </si>
  <si>
    <t>794205532</t>
  </si>
  <si>
    <t>V. 14, pt. 1</t>
  </si>
  <si>
    <t>3102925562E</t>
  </si>
  <si>
    <t>794205534</t>
  </si>
  <si>
    <t>3102925572C</t>
  </si>
  <si>
    <t>794205540</t>
  </si>
  <si>
    <t>3102925543I</t>
  </si>
  <si>
    <t>794205547</t>
  </si>
  <si>
    <t>V. 14, pt. 2</t>
  </si>
  <si>
    <t>3102925548I</t>
  </si>
  <si>
    <t>794205533</t>
  </si>
  <si>
    <t>V. 12, pt. 1</t>
  </si>
  <si>
    <t>3102925544I</t>
  </si>
  <si>
    <t>794205537</t>
  </si>
  <si>
    <t>V. 6, pt. 2</t>
  </si>
  <si>
    <t>3102925578C</t>
  </si>
  <si>
    <t>794205541</t>
  </si>
  <si>
    <t>V. 12, pt. 2</t>
  </si>
  <si>
    <t>3102925541I</t>
  </si>
  <si>
    <t>794205536</t>
  </si>
  <si>
    <t>V. 16, pt. 2</t>
  </si>
  <si>
    <t>3102925553G</t>
  </si>
  <si>
    <t>794205529</t>
  </si>
  <si>
    <t>3102925573C</t>
  </si>
  <si>
    <t>794205544</t>
  </si>
  <si>
    <t>V. 6, pt. 1</t>
  </si>
  <si>
    <t>3102925547I</t>
  </si>
  <si>
    <t>794205542</t>
  </si>
  <si>
    <t>3102925567E</t>
  </si>
  <si>
    <t>794205545</t>
  </si>
  <si>
    <t>V. 18</t>
  </si>
  <si>
    <t>3102925551G</t>
  </si>
  <si>
    <t>794205527</t>
  </si>
  <si>
    <t>3102925542I</t>
  </si>
  <si>
    <t>794205535</t>
  </si>
  <si>
    <t>V. 15, pt. 2</t>
  </si>
  <si>
    <t>3102925552G</t>
  </si>
  <si>
    <t>794205531</t>
  </si>
  <si>
    <t>QP31.2 M69 2008</t>
  </si>
  <si>
    <t>0                      QP 0031200M  69          2008</t>
  </si>
  <si>
    <t>Principles of animal physiology / Christopher D. Moyes, Patricia M. Schulte.</t>
  </si>
  <si>
    <t>Moyes, Christopher D.</t>
  </si>
  <si>
    <t>San Francisco, CA : Pearson/Benjamin Cummings, ©2008.</t>
  </si>
  <si>
    <t>1348499:eng</t>
  </si>
  <si>
    <t>123968326</t>
  </si>
  <si>
    <t>ocn123968326</t>
  </si>
  <si>
    <t>3103586576W</t>
  </si>
  <si>
    <t>9780321501554</t>
  </si>
  <si>
    <t>794228926</t>
  </si>
  <si>
    <t>QP31.2 R36 2002</t>
  </si>
  <si>
    <t>0                      QP 0031200R  36          2002</t>
  </si>
  <si>
    <t>Eckert animal physiology : mechanisms and adaptations / David Randall, Warren Burggren, Kathleen French.</t>
  </si>
  <si>
    <t>Randall, David J., 1938-</t>
  </si>
  <si>
    <t>New York : W.H. Freeman and Co., ©2002.</t>
  </si>
  <si>
    <t>Ed. 5.</t>
  </si>
  <si>
    <t>3901380969:eng</t>
  </si>
  <si>
    <t>47081417</t>
  </si>
  <si>
    <t>ocm47081417</t>
  </si>
  <si>
    <t>3103305273N</t>
  </si>
  <si>
    <t>9780716738633</t>
  </si>
  <si>
    <t>793697951</t>
  </si>
  <si>
    <t>31032131376</t>
  </si>
  <si>
    <t>793697950</t>
  </si>
  <si>
    <t>2009-03-18</t>
  </si>
  <si>
    <t>31033059536</t>
  </si>
  <si>
    <t>793697953</t>
  </si>
  <si>
    <t>31033059488</t>
  </si>
  <si>
    <t>793697954</t>
  </si>
  <si>
    <t>3103212670O</t>
  </si>
  <si>
    <t>793697952</t>
  </si>
  <si>
    <t>QP33 C65 1987</t>
  </si>
  <si>
    <t>0                      QP 0033000C  65          1987</t>
  </si>
  <si>
    <t>Comparative physiology : life in water and on land / edited by Pierre Dejours [and others].</t>
  </si>
  <si>
    <t>Padova : Liviana ; Berlin ; New York : Springer, ©1987.</t>
  </si>
  <si>
    <t>FIDIA research series ; v. 9</t>
  </si>
  <si>
    <t>365119564:eng</t>
  </si>
  <si>
    <t>18781452</t>
  </si>
  <si>
    <t>ocm18781452</t>
  </si>
  <si>
    <t>3001051379H</t>
  </si>
  <si>
    <t>9788876754289</t>
  </si>
  <si>
    <t>793037125</t>
  </si>
  <si>
    <t>QP33.5 H49 2004</t>
  </si>
  <si>
    <t>0                      QP 0033500H  49          2004</t>
  </si>
  <si>
    <t>Applied body composition assessment / Vivian H. Heyward, Dale R. Wagner.</t>
  </si>
  <si>
    <t>Heyward, Vivian H.</t>
  </si>
  <si>
    <t>Champaign, IL : Human Kinetics, ©2004.</t>
  </si>
  <si>
    <t>17691:eng</t>
  </si>
  <si>
    <t>53014020</t>
  </si>
  <si>
    <t>ocm53014020</t>
  </si>
  <si>
    <t>3102504509R</t>
  </si>
  <si>
    <t>9780736046305</t>
  </si>
  <si>
    <t>793819252</t>
  </si>
  <si>
    <t>QP33.5 H6513</t>
  </si>
  <si>
    <t>0                      QP 0033500H  6513</t>
  </si>
  <si>
    <t>The behavioural physiology of animals and man; the selected papers of Erich von Holst. Translated by Robert Martin.</t>
  </si>
  <si>
    <t>Holst, Erich von, 1908-1962.</t>
  </si>
  <si>
    <t>London, Methuen, 1973-</t>
  </si>
  <si>
    <t>3902070154:eng</t>
  </si>
  <si>
    <t>811194</t>
  </si>
  <si>
    <t>ocm00811194</t>
  </si>
  <si>
    <t>3103706470Z</t>
  </si>
  <si>
    <t>9780416160109</t>
  </si>
  <si>
    <t>791475966</t>
  </si>
  <si>
    <t>QP34.5 M265 2007</t>
  </si>
  <si>
    <t>0                      QP 0034500M  265         2007</t>
  </si>
  <si>
    <t>Human anatomy &amp; physiology / Elaine N. Marieb, Katja Hoehn.</t>
  </si>
  <si>
    <t>Marieb, Elaine Nicpon, 1936-</t>
  </si>
  <si>
    <t>San Francisco : Pearson Benjamin Cummings, 2007.</t>
  </si>
  <si>
    <t>2012-09-16</t>
  </si>
  <si>
    <t>4663569463:eng</t>
  </si>
  <si>
    <t>61362865</t>
  </si>
  <si>
    <t>ocm61362865</t>
  </si>
  <si>
    <t>3102819270G</t>
  </si>
  <si>
    <t>9780805359107</t>
  </si>
  <si>
    <t>793951896</t>
  </si>
  <si>
    <t>QP34.5 M454 2011</t>
  </si>
  <si>
    <t>0                      QP 0034500M  454         2011</t>
  </si>
  <si>
    <t>Anatomy &amp; physiology / Elaine N. Marieb, Katja Hoehn.</t>
  </si>
  <si>
    <t>Text</t>
  </si>
  <si>
    <t>Upper Saddle River, NJ : Pearson/Benjamin Cummings, [2011]</t>
  </si>
  <si>
    <t>4th edition</t>
  </si>
  <si>
    <t>2014-04-14</t>
  </si>
  <si>
    <t>3806294918:eng</t>
  </si>
  <si>
    <t>439902532</t>
  </si>
  <si>
    <t>ocn439902532</t>
  </si>
  <si>
    <t>3103290145D</t>
  </si>
  <si>
    <t>9780321616401</t>
  </si>
  <si>
    <t>794786285</t>
  </si>
  <si>
    <t>QP38 A54 1999</t>
  </si>
  <si>
    <t>0                      QP 0038000A  54          1999</t>
  </si>
  <si>
    <t>Woman : an intimate geography / Natalie Angier.</t>
  </si>
  <si>
    <t>Angier, Natalie.</t>
  </si>
  <si>
    <t>Boston : Houghton Mifflin Co., 1999.</t>
  </si>
  <si>
    <t>1011372:eng</t>
  </si>
  <si>
    <t>40163506</t>
  </si>
  <si>
    <t>ocm40163506</t>
  </si>
  <si>
    <t>3101972471D</t>
  </si>
  <si>
    <t>9780395691304</t>
  </si>
  <si>
    <t>793560983</t>
  </si>
  <si>
    <t>QP39 M54</t>
  </si>
  <si>
    <t>0                      QP 0039000M  54</t>
  </si>
  <si>
    <t>The body in question / Jonathan Miller.</t>
  </si>
  <si>
    <t>Miller, Jonathan, 1934-2019.</t>
  </si>
  <si>
    <t>New York : Random House, ©1978.</t>
  </si>
  <si>
    <t>3234217:eng</t>
  </si>
  <si>
    <t>4492644</t>
  </si>
  <si>
    <t>ocm04492644</t>
  </si>
  <si>
    <t>3103634900Z</t>
  </si>
  <si>
    <t>9780394502809</t>
  </si>
  <si>
    <t>792354545</t>
  </si>
  <si>
    <t>QP40 G7 1972</t>
  </si>
  <si>
    <t>0                      QP 0040000G  7           1972</t>
  </si>
  <si>
    <t>Physiology review; 1500 multiple choice questions and answers, referenced to textbooks. Edited by Kalman Greenspan and John A. Giddings.</t>
  </si>
  <si>
    <t>Greenspan, Kalman.</t>
  </si>
  <si>
    <t>Flushing, N.Y., Medical Examination Pub. Co. [1972]</t>
  </si>
  <si>
    <t>Basic science review series</t>
  </si>
  <si>
    <t>359441690:eng</t>
  </si>
  <si>
    <t>585028</t>
  </si>
  <si>
    <t>ocm00585028</t>
  </si>
  <si>
    <t>3001026217$</t>
  </si>
  <si>
    <t>9780874882063</t>
  </si>
  <si>
    <t>791421537</t>
  </si>
  <si>
    <t>QP81 R45 2003</t>
  </si>
  <si>
    <t>0                      QP 0081000R  45          2003</t>
  </si>
  <si>
    <t>Remaking life &amp; death : toward an anthropology of the biosciences / edited by Sarah Franklin and Margaret Lock.</t>
  </si>
  <si>
    <t>Santa Fe : School of American Research Press ; Oxford : James Currey, 2003.</t>
  </si>
  <si>
    <t>School of American Research advanced seminar series</t>
  </si>
  <si>
    <t>837618475:eng</t>
  </si>
  <si>
    <t>51613865</t>
  </si>
  <si>
    <t>ocm51613865</t>
  </si>
  <si>
    <t>3102275960J</t>
  </si>
  <si>
    <t>9781930618190</t>
  </si>
  <si>
    <t>793787837</t>
  </si>
  <si>
    <t>QP81.5 B63 1990</t>
  </si>
  <si>
    <t>0                      QP 0081500B  63          1990</t>
  </si>
  <si>
    <t>Body/politics : women and the discourses of science / edited by Mary Jacobus, Evelyn Fox Keller, Sally Shuttleworth.</t>
  </si>
  <si>
    <t>New York : Routledge, 1990.</t>
  </si>
  <si>
    <t>836904597:eng</t>
  </si>
  <si>
    <t>19722716</t>
  </si>
  <si>
    <t>ocm19722716</t>
  </si>
  <si>
    <t>3102799700I</t>
  </si>
  <si>
    <t>9780415901307</t>
  </si>
  <si>
    <t>793066874</t>
  </si>
  <si>
    <t>QP81.5 F38 1985</t>
  </si>
  <si>
    <t>0                      QP 0081500F  38          1985</t>
  </si>
  <si>
    <t>Myths of gender : biological theories about women and men / Anne Fausto-Sterling.</t>
  </si>
  <si>
    <t>Fausto-Sterling, Anne, 1944-</t>
  </si>
  <si>
    <t>New York : Basic Books, ©1985.</t>
  </si>
  <si>
    <t>2015-11-18</t>
  </si>
  <si>
    <t>4839622:eng</t>
  </si>
  <si>
    <t>12550351</t>
  </si>
  <si>
    <t>ocm12550351</t>
  </si>
  <si>
    <t>30004730438</t>
  </si>
  <si>
    <t>9780465047901</t>
  </si>
  <si>
    <t>792818263</t>
  </si>
  <si>
    <t>3100021444B</t>
  </si>
  <si>
    <t>792818262</t>
  </si>
  <si>
    <t>QP81.5 F38 1992</t>
  </si>
  <si>
    <t>0                      QP 0081500F  38          1992</t>
  </si>
  <si>
    <t>New York, NY : BasicBooks, 1992.</t>
  </si>
  <si>
    <t>2018-07-12</t>
  </si>
  <si>
    <t>25748011</t>
  </si>
  <si>
    <t>ocm25748011</t>
  </si>
  <si>
    <t>3103218061K</t>
  </si>
  <si>
    <t>9780465047925</t>
  </si>
  <si>
    <t>793229310</t>
  </si>
  <si>
    <t>QP81.5 G43 2010</t>
  </si>
  <si>
    <t>0                      QP 0081500G  43          2010</t>
  </si>
  <si>
    <t>Male, female : the evolution of human sex differences / David C. Geary.</t>
  </si>
  <si>
    <t>Geary, David C.</t>
  </si>
  <si>
    <t>Washington, DC : American Psychological Association, ©2010.</t>
  </si>
  <si>
    <t>2012-11-27</t>
  </si>
  <si>
    <t>836950240:eng</t>
  </si>
  <si>
    <t>417445425</t>
  </si>
  <si>
    <t>ocn417445425</t>
  </si>
  <si>
    <t>3103156742Y</t>
  </si>
  <si>
    <t>9781433806827</t>
  </si>
  <si>
    <t>794502989</t>
  </si>
  <si>
    <t>QP81.5 S35 1993</t>
  </si>
  <si>
    <t>0                      QP 0081500S  35          1993</t>
  </si>
  <si>
    <t>Nature's body : gender in the making of modern science / Londa Schiebinger.</t>
  </si>
  <si>
    <t>Boston, Mass. : Beacon Press, ©1993.</t>
  </si>
  <si>
    <t>291591703:eng</t>
  </si>
  <si>
    <t>27186489</t>
  </si>
  <si>
    <t>ocm27186489</t>
  </si>
  <si>
    <t>3103145450D</t>
  </si>
  <si>
    <t>9780807089002</t>
  </si>
  <si>
    <t>793261110</t>
  </si>
  <si>
    <t>QP81.5 W55 1997</t>
  </si>
  <si>
    <t>0                      QP 0081500W  55          1997</t>
  </si>
  <si>
    <t>Reinventing the sexes : the biomedical construction of femininity and masculinity / Marianne van den Wijngaard.</t>
  </si>
  <si>
    <t>Wijngaard, Marianne van den.</t>
  </si>
  <si>
    <t>Bloomington : Indiana University Press, ©1997.</t>
  </si>
  <si>
    <t>992713:eng</t>
  </si>
  <si>
    <t>35298646</t>
  </si>
  <si>
    <t>ocm35298646</t>
  </si>
  <si>
    <t>3101749674X</t>
  </si>
  <si>
    <t>9780253332509</t>
  </si>
  <si>
    <t>793449011</t>
  </si>
  <si>
    <t>QP81.5 W557 2004</t>
  </si>
  <si>
    <t>0                      QP 0081500W  557         2004</t>
  </si>
  <si>
    <t>Psychosomatic : feminism and the neurological body / Elizabeth A. Wilson.</t>
  </si>
  <si>
    <t>Wilson, Elizabeth A. (Elizabeth Ann), 1964-</t>
  </si>
  <si>
    <t>Durham : Duke University Press, ©2004.</t>
  </si>
  <si>
    <t>2018-02-08</t>
  </si>
  <si>
    <t>863695797:eng</t>
  </si>
  <si>
    <t>54425403</t>
  </si>
  <si>
    <t>ocm54425403</t>
  </si>
  <si>
    <t>31032840259</t>
  </si>
  <si>
    <t>9780822333562</t>
  </si>
  <si>
    <t>793861587</t>
  </si>
  <si>
    <t>QP82 A75 2000</t>
  </si>
  <si>
    <t>0                      QP 0082000A  75          2000</t>
  </si>
  <si>
    <t>Life at the extremes / Frances Ashcroft.</t>
  </si>
  <si>
    <t>Ashcroft, Frances M.</t>
  </si>
  <si>
    <t>Berkeley : University of California Press, ©2000.</t>
  </si>
  <si>
    <t>35760175:eng</t>
  </si>
  <si>
    <t>43657034</t>
  </si>
  <si>
    <t>ocm43657034</t>
  </si>
  <si>
    <t>31020941112</t>
  </si>
  <si>
    <t>9780520222342</t>
  </si>
  <si>
    <t>793631951</t>
  </si>
  <si>
    <t>QP82 K296 2004</t>
  </si>
  <si>
    <t>0                      QP 0082000K  296         2004</t>
  </si>
  <si>
    <t>Surviving the extremes : a doctor's journey to the limits of human endurance / Kenneth Kamler.</t>
  </si>
  <si>
    <t>Kamler, Kenneth.</t>
  </si>
  <si>
    <t>New York : St. Martin's Press, 2004.</t>
  </si>
  <si>
    <t>674748:eng</t>
  </si>
  <si>
    <t>53231824</t>
  </si>
  <si>
    <t>ocm53231824</t>
  </si>
  <si>
    <t>3102326180H</t>
  </si>
  <si>
    <t>9780312280772</t>
  </si>
  <si>
    <t>793824317</t>
  </si>
  <si>
    <t>QP82.2 A4 W54 2004</t>
  </si>
  <si>
    <t>0                      QP 0082200A  4                  W  54          2004</t>
  </si>
  <si>
    <t>Altitude training and athletic performance / Randall L. Wilber.</t>
  </si>
  <si>
    <t>Wilber, Randall L., 1954-</t>
  </si>
  <si>
    <t>733463:eng</t>
  </si>
  <si>
    <t>52514367</t>
  </si>
  <si>
    <t>ocm52514367</t>
  </si>
  <si>
    <t>31025095037</t>
  </si>
  <si>
    <t>9780736001571</t>
  </si>
  <si>
    <t>793808304</t>
  </si>
  <si>
    <t>QP82.2 S8 M38 2002</t>
  </si>
  <si>
    <t>0                      QP 0082200S  8                  M  38          2002</t>
  </si>
  <si>
    <t>The end of stress as we know it / Bruce S. McEwen, with Elizabeth Norton Lasley.</t>
  </si>
  <si>
    <t>McEwen, Bruce S.</t>
  </si>
  <si>
    <t>Washington, D.C. : Joseph Henry Press, ©2002.</t>
  </si>
  <si>
    <t>1065044:eng</t>
  </si>
  <si>
    <t>49639058</t>
  </si>
  <si>
    <t>ocm49639058</t>
  </si>
  <si>
    <t>3102937073E</t>
  </si>
  <si>
    <t>9780309076401</t>
  </si>
  <si>
    <t>793744607</t>
  </si>
  <si>
    <t>QP82.2 V5 E93 1997</t>
  </si>
  <si>
    <t>0                      QP 0082200V  5                  E  93          1997</t>
  </si>
  <si>
    <t>Mechanical vibration and shock - Evaluation of human exposure to whole-body vibration - Part 1 : General requirements / International Organization for Standardization.</t>
  </si>
  <si>
    <t>[Geneva] : The Organization, 1997.</t>
  </si>
  <si>
    <t>International standard ; ISO 2631-1:1997</t>
  </si>
  <si>
    <t>2288232196:eng</t>
  </si>
  <si>
    <t>39736353</t>
  </si>
  <si>
    <t>ocm39736353</t>
  </si>
  <si>
    <t>31031044384</t>
  </si>
  <si>
    <t>793552134</t>
  </si>
  <si>
    <t>QP82.2 V5 M4334 1998</t>
  </si>
  <si>
    <t>0                      QP 0082200V  5                  M  4334        1998</t>
  </si>
  <si>
    <t>Mechanical vibration and shock : guidance on safety aspects of tests and experiments with people. part 1, Exposure to whole-body mechanical vibration and repeated shock / International Organization for Standardization.</t>
  </si>
  <si>
    <t>[Geneva] : The Organization, 1998.</t>
  </si>
  <si>
    <t>1st ed., 1998-06-15.</t>
  </si>
  <si>
    <t>International standard ; ISO 13090</t>
  </si>
  <si>
    <t>51446075:eng</t>
  </si>
  <si>
    <t>68045664</t>
  </si>
  <si>
    <t>ocm68045664</t>
  </si>
  <si>
    <t>31031044432</t>
  </si>
  <si>
    <t>794142180</t>
  </si>
  <si>
    <t>QP84 S46 1985</t>
  </si>
  <si>
    <t>0                      QP 0084000S  46          1985</t>
  </si>
  <si>
    <t>Human growth after birth / David Sinclair.</t>
  </si>
  <si>
    <t>Sinclair, David Cecil.</t>
  </si>
  <si>
    <t>Oxford ; New York : Oxford University Press, 1985.</t>
  </si>
  <si>
    <t>Oxford medical publications</t>
  </si>
  <si>
    <t>1254009:eng</t>
  </si>
  <si>
    <t>13665442</t>
  </si>
  <si>
    <t>ocm13665442</t>
  </si>
  <si>
    <t>3000816200B</t>
  </si>
  <si>
    <t>9780192614940</t>
  </si>
  <si>
    <t>792862119</t>
  </si>
  <si>
    <t>QP86 C57 1964</t>
  </si>
  <si>
    <t>0                      QP 0086000C  57          1964</t>
  </si>
  <si>
    <t>Ageing, the biology of senescence, by Alex Comfort.</t>
  </si>
  <si>
    <t>Comfort, Alex, 1920-2000.</t>
  </si>
  <si>
    <t>New York, Holt, Rinehart and Winston [1964]</t>
  </si>
  <si>
    <t>[Rev. and reset ed.].</t>
  </si>
  <si>
    <t>3901114271:eng</t>
  </si>
  <si>
    <t>1563395</t>
  </si>
  <si>
    <t>ocm01563395</t>
  </si>
  <si>
    <t>30010609289</t>
  </si>
  <si>
    <t>791724099</t>
  </si>
  <si>
    <t>QP86 S478 1997</t>
  </si>
  <si>
    <t>0                      QP 0086000S  478         1997</t>
  </si>
  <si>
    <t>Aging, physical activity, and health / Roy J. Shephard.</t>
  </si>
  <si>
    <t>Shephard, Roy J.</t>
  </si>
  <si>
    <t>Champaign, IL : Human Kinetics, ©1997.</t>
  </si>
  <si>
    <t>3901575644:eng</t>
  </si>
  <si>
    <t>35593580</t>
  </si>
  <si>
    <t>ocm35593580</t>
  </si>
  <si>
    <t>3101800439V</t>
  </si>
  <si>
    <t>9780873228893</t>
  </si>
  <si>
    <t>793453031</t>
  </si>
  <si>
    <t>QP86 W56 2014</t>
  </si>
  <si>
    <t>0                      QP 0086000W  56          2014</t>
  </si>
  <si>
    <t>Optimal aging : a guide to your first 100 years / by Jerrold Winter.</t>
  </si>
  <si>
    <t>Winter, Jerrold, author.</t>
  </si>
  <si>
    <t>Charleston, South Carolina : Create Space, 2014</t>
  </si>
  <si>
    <t>2536364489:eng</t>
  </si>
  <si>
    <t>910560748</t>
  </si>
  <si>
    <t>ocn910560748</t>
  </si>
  <si>
    <t>31038802758</t>
  </si>
  <si>
    <t>9781505524062</t>
  </si>
  <si>
    <t>794996313</t>
  </si>
  <si>
    <t>QP88 C31</t>
  </si>
  <si>
    <t>0                      QP 0088000C  31</t>
  </si>
  <si>
    <t>The culture of organs / by Alexis Carrel and Charles A. Lindbergh ; with 111 illustrations.</t>
  </si>
  <si>
    <t>Carrel, Alexis, 1873-1944.</t>
  </si>
  <si>
    <t>New York : P.B. Hoeber, Inc., 1938.</t>
  </si>
  <si>
    <t>1965096:eng</t>
  </si>
  <si>
    <t>988393</t>
  </si>
  <si>
    <t>ocm00988393</t>
  </si>
  <si>
    <t>30010650599</t>
  </si>
  <si>
    <t>791519361</t>
  </si>
  <si>
    <t>QP88 U6 1957</t>
  </si>
  <si>
    <t>0                      QP 0088000U  6           1957</t>
  </si>
  <si>
    <t>Homeostatic mechanisms; report of symposium held June 12 to 14, 1957.</t>
  </si>
  <si>
    <t>Brookhaven National Laboratory.</t>
  </si>
  <si>
    <t>Upton, Biology Dept., Brookhaven National Laboratory [1958]</t>
  </si>
  <si>
    <t>Its Brookhaven symposia in biology, no. 10</t>
  </si>
  <si>
    <t>17297348:eng</t>
  </si>
  <si>
    <t>976273</t>
  </si>
  <si>
    <t>ocm00976273</t>
  </si>
  <si>
    <t>3001046568W</t>
  </si>
  <si>
    <t>791516255</t>
  </si>
  <si>
    <t>QP88.2 S45 1985</t>
  </si>
  <si>
    <t>0                      QP 0088200S  45          1985</t>
  </si>
  <si>
    <t>The human skeleton / Pat Shipman, Alan Walker, David Bichell.</t>
  </si>
  <si>
    <t>Shipman, Pat, 1949-</t>
  </si>
  <si>
    <t>Cambridge, Mass. : Harvard University Press, 1985.</t>
  </si>
  <si>
    <t>2680827:eng</t>
  </si>
  <si>
    <t>11842847</t>
  </si>
  <si>
    <t>ocm11842847</t>
  </si>
  <si>
    <t>30010392476</t>
  </si>
  <si>
    <t>9780674416109</t>
  </si>
  <si>
    <t>792790660</t>
  </si>
  <si>
    <t>QP89 L63 2001</t>
  </si>
  <si>
    <t>0                      QP 0089000L  63          2001</t>
  </si>
  <si>
    <t>Twice dead : organ transplants and the reinvention of death / Margaret Lock.</t>
  </si>
  <si>
    <t>Lock, Margaret M.</t>
  </si>
  <si>
    <t>Berkeley : University of California Press, ©2002.</t>
  </si>
  <si>
    <t>California series in public anthropology ; 1</t>
  </si>
  <si>
    <t>793910734:eng</t>
  </si>
  <si>
    <t>47272032</t>
  </si>
  <si>
    <t>ocm47272032</t>
  </si>
  <si>
    <t>3102679845N</t>
  </si>
  <si>
    <t>9780520226050</t>
  </si>
  <si>
    <t>793702385</t>
  </si>
  <si>
    <t>QP89 V57</t>
  </si>
  <si>
    <t>0                      QP 0089000V  57</t>
  </si>
  <si>
    <t>The conquest of life, tr. by G. Gibier Rambaud.</t>
  </si>
  <si>
    <t>Voronoff, Serge, 1866-1951.</t>
  </si>
  <si>
    <t>New York, Brentano, 1928.</t>
  </si>
  <si>
    <t>3943454373:eng</t>
  </si>
  <si>
    <t>2400049</t>
  </si>
  <si>
    <t>ocm02400049</t>
  </si>
  <si>
    <t>30010670913</t>
  </si>
  <si>
    <t>792116831</t>
  </si>
  <si>
    <t>QP90.5 B63 1996</t>
  </si>
  <si>
    <t>0                      QP 0090500B  63          1996</t>
  </si>
  <si>
    <t>Body fluid balance : exercise and sport / edited by Elsworth R. Buskirk, Susan M. Puhl.</t>
  </si>
  <si>
    <t>Boca Raton : CRC Press, ©1996.</t>
  </si>
  <si>
    <t>Nitrition in exercise and sport</t>
  </si>
  <si>
    <t>355904456:eng</t>
  </si>
  <si>
    <t>34024909</t>
  </si>
  <si>
    <t>ocm34024909</t>
  </si>
  <si>
    <t>3102092056V</t>
  </si>
  <si>
    <t>9780849379185</t>
  </si>
  <si>
    <t>793416647</t>
  </si>
  <si>
    <t>QP91 R3 1950</t>
  </si>
  <si>
    <t>0                      QP 0091000R  3           1950</t>
  </si>
  <si>
    <t>Blood groups in man, by R.R. Race and Ruth Sanger ; with a foreword by R.A. Fisher.</t>
  </si>
  <si>
    <t>Race, R. R. (Robert Russell)</t>
  </si>
  <si>
    <t>Springfield, Ill. : [publisher not identified], 1950.</t>
  </si>
  <si>
    <t>856972:eng</t>
  </si>
  <si>
    <t>427306720</t>
  </si>
  <si>
    <t>ocn427306720</t>
  </si>
  <si>
    <t>3001067107E</t>
  </si>
  <si>
    <t>794577531</t>
  </si>
  <si>
    <t>QP91 T67 2013</t>
  </si>
  <si>
    <t>0                      QP 0091000T  67          2013</t>
  </si>
  <si>
    <t>Histoires du sang / Gérard Tobelem.</t>
  </si>
  <si>
    <t>Tobelem, Gérard.</t>
  </si>
  <si>
    <t>Paris : Perrin, [2013]</t>
  </si>
  <si>
    <t>1416204094:fre</t>
  </si>
  <si>
    <t>863312239</t>
  </si>
  <si>
    <t>ocn863312239</t>
  </si>
  <si>
    <t>31035165145</t>
  </si>
  <si>
    <t>9782262035341</t>
  </si>
  <si>
    <t>794961154</t>
  </si>
  <si>
    <t>QP91 W65 1935</t>
  </si>
  <si>
    <t>0                      QP 0091000W  65          1935</t>
  </si>
  <si>
    <t>Blood groups and blood transfusion.</t>
  </si>
  <si>
    <t>Wiener, Alexander S. (Alexander Solomon), 1907-1976.</t>
  </si>
  <si>
    <t>Springfield, Ill., C.C. Thomas [©1935]</t>
  </si>
  <si>
    <t>367520913:eng</t>
  </si>
  <si>
    <t>3545625</t>
  </si>
  <si>
    <t>ocm03545625</t>
  </si>
  <si>
    <t>30010670832</t>
  </si>
  <si>
    <t>792266965</t>
  </si>
  <si>
    <t>QP111.4 H69 2012</t>
  </si>
  <si>
    <t>0                      QP 0111400H  69          2012</t>
  </si>
  <si>
    <t>How motivation affects cardiovascular response : mechanisms and applications / edited by Rex A. Wright and Guido H.E. Gendolla.</t>
  </si>
  <si>
    <t>Washington, DC : American Psychological Association, 2012.</t>
  </si>
  <si>
    <t>793211766:eng</t>
  </si>
  <si>
    <t>704243764</t>
  </si>
  <si>
    <t>ocn704243764</t>
  </si>
  <si>
    <t>3103383489K</t>
  </si>
  <si>
    <t>9781433810275</t>
  </si>
  <si>
    <t>794865322</t>
  </si>
  <si>
    <t>QP111.4 Y68 2003</t>
  </si>
  <si>
    <t>0                      QP 0111400Y  68          2003</t>
  </si>
  <si>
    <t>The book of the heart / Louisa Young.</t>
  </si>
  <si>
    <t>Young, Louisa.</t>
  </si>
  <si>
    <t>New York : Doubleday, 2003.</t>
  </si>
  <si>
    <t>11451916:eng</t>
  </si>
  <si>
    <t>49356050</t>
  </si>
  <si>
    <t>ocm49356050</t>
  </si>
  <si>
    <t>31029984901</t>
  </si>
  <si>
    <t>9780385501736</t>
  </si>
  <si>
    <t>793738422</t>
  </si>
  <si>
    <t>QP113 C3 2008</t>
  </si>
  <si>
    <t>0                      QP 0113000C  3           2008</t>
  </si>
  <si>
    <t>Cardiac monitors, heart rate meters, and alarms / developed by Association for the Advancement of Medical Instrumentation ; approved 6 May 2002 by American National Standards Institute, Inc.</t>
  </si>
  <si>
    <t>Arlington, Va. : Association for the Advancement of Medical Instrumentation, 2008.</t>
  </si>
  <si>
    <t>3859498183:eng</t>
  </si>
  <si>
    <t>1023810971</t>
  </si>
  <si>
    <t>on1023810971</t>
  </si>
  <si>
    <t>3103769306Y</t>
  </si>
  <si>
    <t>795051934</t>
  </si>
  <si>
    <t>QP135 M45</t>
  </si>
  <si>
    <t>0                      QP 0135000M  45</t>
  </si>
  <si>
    <t>Heat and life; the development of the theory of animal heat.</t>
  </si>
  <si>
    <t>Mendelsohn, Everett.</t>
  </si>
  <si>
    <t>Cambridge, Harvard University Press, 1964.</t>
  </si>
  <si>
    <t>2003-06-06</t>
  </si>
  <si>
    <t>2120561:eng</t>
  </si>
  <si>
    <t>1175495</t>
  </si>
  <si>
    <t>ocm01175495</t>
  </si>
  <si>
    <t>3001052436Q</t>
  </si>
  <si>
    <t>791565278</t>
  </si>
  <si>
    <t>QP136 A678 1994</t>
  </si>
  <si>
    <t>0                      QP 0136000A  678         1994</t>
  </si>
  <si>
    <t>Appetite : neural and behavioural bases / edited by Charles R. Legg and David Booth.</t>
  </si>
  <si>
    <t>Oxford ; New York : Oxford University Press, 1994.</t>
  </si>
  <si>
    <t>836820366:eng</t>
  </si>
  <si>
    <t>30075383</t>
  </si>
  <si>
    <t>ocm30075383</t>
  </si>
  <si>
    <t>3103023859P</t>
  </si>
  <si>
    <t>9780198547877</t>
  </si>
  <si>
    <t>793328885</t>
  </si>
  <si>
    <t>QP141 A1 W59 v.86</t>
  </si>
  <si>
    <t>0                      QP 0141000A  1                  W  59                                v.86</t>
  </si>
  <si>
    <t>Street foods / volume editor, A.P. Simopoulos, R.V. Bhat.</t>
  </si>
  <si>
    <t>v.86*</t>
  </si>
  <si>
    <t>Basel ; New York : Karger, ©2000.</t>
  </si>
  <si>
    <t>World review of nutrition and dietetics, 0084-2230 ; vol. 86</t>
  </si>
  <si>
    <t>647581186:eng</t>
  </si>
  <si>
    <t>41711932</t>
  </si>
  <si>
    <t>ocm41711932</t>
  </si>
  <si>
    <t>3102947978J</t>
  </si>
  <si>
    <t>9783805569279</t>
  </si>
  <si>
    <t>793596972</t>
  </si>
  <si>
    <t>QP141 A63</t>
  </si>
  <si>
    <t>0                      QP 0141000A  63</t>
  </si>
  <si>
    <t>Metabolism. Compiled and edited by Philip L. Altman and Dorothy S. Dittmer.</t>
  </si>
  <si>
    <t>Bethesda, Md., Federation of American Societies for Experimental Biology [1968]</t>
  </si>
  <si>
    <t>Biological handbooks</t>
  </si>
  <si>
    <t>2019-07-16</t>
  </si>
  <si>
    <t>347056888:eng</t>
  </si>
  <si>
    <t>38231026</t>
  </si>
  <si>
    <t>ocm38231026</t>
  </si>
  <si>
    <t>3001048482W</t>
  </si>
  <si>
    <t>793519441</t>
  </si>
  <si>
    <t>QP141 H34 2000 Guide</t>
  </si>
  <si>
    <t>0                      QP 0141000H  34          2000                                        Guide</t>
  </si>
  <si>
    <t>Study guide for Sizer &amp; Whitney's nutrition, concepts and controversies / Jana Kicklighter.</t>
  </si>
  <si>
    <t>Kicklighter, Jana R.</t>
  </si>
  <si>
    <t>Belmont, CA : Wadsworth Thomson Learning, ©2000.</t>
  </si>
  <si>
    <t>3769832308:eng</t>
  </si>
  <si>
    <t>43550328</t>
  </si>
  <si>
    <t>ocm43550328</t>
  </si>
  <si>
    <t>3102087021V</t>
  </si>
  <si>
    <t>9780534564681</t>
  </si>
  <si>
    <t>793629199</t>
  </si>
  <si>
    <t>QP141 S5365 2006</t>
  </si>
  <si>
    <t>0                      QP 0141000S  5365        2006</t>
  </si>
  <si>
    <t>Nutrition : concepts and controversies / Frances Sienkiewicz Sizer, Ellie Whitney.</t>
  </si>
  <si>
    <t>Webb, Frances Sizer.</t>
  </si>
  <si>
    <t>Australia ; Belmont, CA : Thomson Wadsworth, ©2006.</t>
  </si>
  <si>
    <t>8465713:eng</t>
  </si>
  <si>
    <t>61446986</t>
  </si>
  <si>
    <t>ocm61446986</t>
  </si>
  <si>
    <t>31026749335</t>
  </si>
  <si>
    <t>9780534645069</t>
  </si>
  <si>
    <t>793952922</t>
  </si>
  <si>
    <t>QP141 S5365 2009</t>
  </si>
  <si>
    <t>0                      QP 0141000S  5365        2009</t>
  </si>
  <si>
    <t>Nutrition : concepts and controversies / Frances Sienkiewicz Sizer, Ellie Whitney, Leonard A. Piché.</t>
  </si>
  <si>
    <t>Sizer, Frances Sienkiewicz.</t>
  </si>
  <si>
    <t>Toronto : Nelson Education, [2008], c2009.</t>
  </si>
  <si>
    <t>165870710</t>
  </si>
  <si>
    <t>ocn165870710</t>
  </si>
  <si>
    <t>3103063431L</t>
  </si>
  <si>
    <t>9780176104467</t>
  </si>
  <si>
    <t>794259394</t>
  </si>
  <si>
    <t>QP141 S5365 2012</t>
  </si>
  <si>
    <t>0                      QP 0141000S  5365        2012</t>
  </si>
  <si>
    <t>Toronto : Nelson Education, c2012.</t>
  </si>
  <si>
    <t>670421192</t>
  </si>
  <si>
    <t>ocn670421192</t>
  </si>
  <si>
    <t>31033057728</t>
  </si>
  <si>
    <t>9780176502584</t>
  </si>
  <si>
    <t>794847739</t>
  </si>
  <si>
    <t>31034784437</t>
  </si>
  <si>
    <t>794847738</t>
  </si>
  <si>
    <t>QP141 W514 2002</t>
  </si>
  <si>
    <t>0                      QP 0141000W  514         2002</t>
  </si>
  <si>
    <t>Nutrition for health, fitness &amp; sport / Melvin H. Williams.</t>
  </si>
  <si>
    <t>Williams, Melvin H.</t>
  </si>
  <si>
    <t>Boston : McGraw-Hill, ©2002.</t>
  </si>
  <si>
    <t>340157:eng</t>
  </si>
  <si>
    <t>46508048</t>
  </si>
  <si>
    <t>ocm46508048</t>
  </si>
  <si>
    <t>3102405579F</t>
  </si>
  <si>
    <t>9780072288049</t>
  </si>
  <si>
    <t>793686172</t>
  </si>
  <si>
    <t>QP145 R53 2013</t>
  </si>
  <si>
    <t>0                      QP 0145000R  53          2013</t>
  </si>
  <si>
    <t>Gulp : adventures on the alimentary canal / Mary Roach.</t>
  </si>
  <si>
    <t>Roach, Mary.</t>
  </si>
  <si>
    <t>New York : W.W. Norton &amp; Company, [2013]</t>
  </si>
  <si>
    <t>1403215223:eng</t>
  </si>
  <si>
    <t>811599508</t>
  </si>
  <si>
    <t>ocn811599508</t>
  </si>
  <si>
    <t>3103498038B</t>
  </si>
  <si>
    <t>9780393081572</t>
  </si>
  <si>
    <t>794930252</t>
  </si>
  <si>
    <t>QP176 S93 1997</t>
  </si>
  <si>
    <t>0                      QP 0176000S  93          1997</t>
  </si>
  <si>
    <t>Metabolic calculations, simplified / David P. Swain, Br ian C. Leutholtz.</t>
  </si>
  <si>
    <t>Swain, David P.</t>
  </si>
  <si>
    <t>Baltimore, MD : Williams &amp; Wilkins, ©1997.</t>
  </si>
  <si>
    <t>571867:eng</t>
  </si>
  <si>
    <t>36977129</t>
  </si>
  <si>
    <t>ocm36977129</t>
  </si>
  <si>
    <t>31023276378</t>
  </si>
  <si>
    <t>9780683301373</t>
  </si>
  <si>
    <t>793488898</t>
  </si>
  <si>
    <t>QP187 H17 1984</t>
  </si>
  <si>
    <t>0                      QP 0187000H  17          1984</t>
  </si>
  <si>
    <t>Endocrinology / Mac E. Hadley.</t>
  </si>
  <si>
    <t>Hadley, Mac E.</t>
  </si>
  <si>
    <t>2006-11-14</t>
  </si>
  <si>
    <t>2015-01-20</t>
  </si>
  <si>
    <t>12839556:eng</t>
  </si>
  <si>
    <t>9465699</t>
  </si>
  <si>
    <t>ocm09465699</t>
  </si>
  <si>
    <t>3100020489V</t>
  </si>
  <si>
    <t>9780132771375</t>
  </si>
  <si>
    <t>792677680</t>
  </si>
  <si>
    <t>31000204909</t>
  </si>
  <si>
    <t>792677683</t>
  </si>
  <si>
    <t>QP187 H78</t>
  </si>
  <si>
    <t>0                      QP 0187000H  78</t>
  </si>
  <si>
    <t>Humors, hormones, and neurosecretions; the origins and development of man's present knowledge of the humoral control of body function, by Chandler McC. Brooks [and others.</t>
  </si>
  <si>
    <t>Albany] State University of New York [1962]</t>
  </si>
  <si>
    <t>53982088:eng</t>
  </si>
  <si>
    <t>542255</t>
  </si>
  <si>
    <t>ocm00542255</t>
  </si>
  <si>
    <t>3001050031P</t>
  </si>
  <si>
    <t>791408820</t>
  </si>
  <si>
    <t>QP187.3 E93 B67 2003</t>
  </si>
  <si>
    <t>0                      QP 0187300E  93                 B  67          2003</t>
  </si>
  <si>
    <t>Exercise endocrinology / Katarina T. Borer.</t>
  </si>
  <si>
    <t>Borer, Katarina T.</t>
  </si>
  <si>
    <t>19617:eng</t>
  </si>
  <si>
    <t>51336858</t>
  </si>
  <si>
    <t>ocm51336858</t>
  </si>
  <si>
    <t>3102469085J</t>
  </si>
  <si>
    <t>9780880115667</t>
  </si>
  <si>
    <t>793783513</t>
  </si>
  <si>
    <t>QP221 T45213 2002</t>
  </si>
  <si>
    <t>0                      QP 0221000T  45213       2002</t>
  </si>
  <si>
    <t>On sweat ; On dizziness ; and, On fatigue / Theophrastus of Eresus ; edited by William W. Fortenbaugh, Robert W. Sharples, and Michael G. Sollenberger.</t>
  </si>
  <si>
    <t>Leiden ; Boston : Brill, 2003.</t>
  </si>
  <si>
    <t>Philosophia antiqua, 0079-1687 ; v. 93</t>
  </si>
  <si>
    <t>3901704833:eng</t>
  </si>
  <si>
    <t>51210459</t>
  </si>
  <si>
    <t>ocm51210459</t>
  </si>
  <si>
    <t>3102267947K</t>
  </si>
  <si>
    <t>9789004128903</t>
  </si>
  <si>
    <t>793780441</t>
  </si>
  <si>
    <t>QP231 F74 1985</t>
  </si>
  <si>
    <t>0                      QP 0231000F  74          1985</t>
  </si>
  <si>
    <t>Crying : the mystery of tears / William H. Frey II, with Muriel Langseth.</t>
  </si>
  <si>
    <t>Frey, William H., 1947-</t>
  </si>
  <si>
    <t>Minneapolis, Minn. : Winston Press, ©1985.</t>
  </si>
  <si>
    <t>5489584:eng</t>
  </si>
  <si>
    <t>12864514</t>
  </si>
  <si>
    <t>ocm12864514</t>
  </si>
  <si>
    <t>3103019089O</t>
  </si>
  <si>
    <t>9780866838290</t>
  </si>
  <si>
    <t>792830898</t>
  </si>
  <si>
    <t>QP249 K68 1986</t>
  </si>
  <si>
    <t>0                      QP 0249000K  68          1986</t>
  </si>
  <si>
    <t>Renal physiology : principles, structure, and function / E. Koushanpour, W. Kriz.</t>
  </si>
  <si>
    <t>Koushanpour, Esmail.</t>
  </si>
  <si>
    <t>2003-02-24</t>
  </si>
  <si>
    <t>7879522:eng</t>
  </si>
  <si>
    <t>13793388</t>
  </si>
  <si>
    <t>ocm13793388</t>
  </si>
  <si>
    <t>3100020498U</t>
  </si>
  <si>
    <t>9780387963044</t>
  </si>
  <si>
    <t>792866663</t>
  </si>
  <si>
    <t>QP251 B249 1996</t>
  </si>
  <si>
    <t>0                      QP 0251000B  249         1996</t>
  </si>
  <si>
    <t>Sperm wars : infidelity, sexual conflict and other bedroom battles / Robin Baker.</t>
  </si>
  <si>
    <t>Baker, Robin, 1944-</t>
  </si>
  <si>
    <t>London : Fourth Estate, 1996.</t>
  </si>
  <si>
    <t>906539072:eng</t>
  </si>
  <si>
    <t>34884285</t>
  </si>
  <si>
    <t>ocm34884285</t>
  </si>
  <si>
    <t>3101872981Y</t>
  </si>
  <si>
    <t>9781857023565</t>
  </si>
  <si>
    <t>793437906</t>
  </si>
  <si>
    <t>QP251 D56 2017</t>
  </si>
  <si>
    <t>0                      QP 0251000D  56          2017</t>
  </si>
  <si>
    <t>Boucar Disait ... Pour Une Raison X Ou Y.</t>
  </si>
  <si>
    <t>Diouf, Boucar.</t>
  </si>
  <si>
    <t>La Presse, 2017.</t>
  </si>
  <si>
    <t>4178267970:fre</t>
  </si>
  <si>
    <t>999374863</t>
  </si>
  <si>
    <t>ocn999374863</t>
  </si>
  <si>
    <t>31037307237</t>
  </si>
  <si>
    <t>9782897055714</t>
  </si>
  <si>
    <t>795039886</t>
  </si>
  <si>
    <t>QP251 E42 2004</t>
  </si>
  <si>
    <t>0                      QP 0251000E  42          2004</t>
  </si>
  <si>
    <t>Why we do it : rethinking sex and the selfish gene / Niles Eldredge.</t>
  </si>
  <si>
    <t>Eldredge, Niles.</t>
  </si>
  <si>
    <t>New York : Norton, ©2004.</t>
  </si>
  <si>
    <t>1010525:eng</t>
  </si>
  <si>
    <t>53970701</t>
  </si>
  <si>
    <t>ocm53970701</t>
  </si>
  <si>
    <t>31023879512</t>
  </si>
  <si>
    <t>9780393050820</t>
  </si>
  <si>
    <t>793854341</t>
  </si>
  <si>
    <t>QP251 L56 2005</t>
  </si>
  <si>
    <t>0                      QP 0251000L  56          2005</t>
  </si>
  <si>
    <t>The case of the female orgasm : bias in the science of evolution / Elisabeth A. Lloyd.</t>
  </si>
  <si>
    <t>Lloyd, Elisabeth Anne.</t>
  </si>
  <si>
    <t>801719137:eng</t>
  </si>
  <si>
    <t>56671859</t>
  </si>
  <si>
    <t>ocm56671859</t>
  </si>
  <si>
    <t>3102937949U</t>
  </si>
  <si>
    <t>9780674017061</t>
  </si>
  <si>
    <t>793898756</t>
  </si>
  <si>
    <t>QP251 M24 1987</t>
  </si>
  <si>
    <t>0                      QP 0251000M  24          1987</t>
  </si>
  <si>
    <t>The Making of the modern body : sexuality and society in the nineteenth century / edited by Catherine Gallagher and Thomas Laqueur.</t>
  </si>
  <si>
    <t>Berkeley : University of California Press, ©1987.</t>
  </si>
  <si>
    <t>836670544:eng</t>
  </si>
  <si>
    <t>14188031</t>
  </si>
  <si>
    <t>ocm14188031</t>
  </si>
  <si>
    <t>3103007903Q</t>
  </si>
  <si>
    <t>9780520059603</t>
  </si>
  <si>
    <t>792881176</t>
  </si>
  <si>
    <t>QP251 M35</t>
  </si>
  <si>
    <t>0                      QP 0251000M  35</t>
  </si>
  <si>
    <t>Human sexual response / William H. Masters, research director [and] Virginia E. Johnson, research associate, the Reproductive Biology Research Foundation, St. Louis, Missouri.</t>
  </si>
  <si>
    <t>Masters, William H.</t>
  </si>
  <si>
    <t>Boston : Little, Brown, [1966]</t>
  </si>
  <si>
    <t>2013-11-18</t>
  </si>
  <si>
    <t>448402:eng</t>
  </si>
  <si>
    <t>191468</t>
  </si>
  <si>
    <t>ocm00191468</t>
  </si>
  <si>
    <t>30011452871</t>
  </si>
  <si>
    <t>9780316549875</t>
  </si>
  <si>
    <t>791288872</t>
  </si>
  <si>
    <t>3000816327O</t>
  </si>
  <si>
    <t>791288874</t>
  </si>
  <si>
    <t>3101885861N</t>
  </si>
  <si>
    <t>791288876</t>
  </si>
  <si>
    <t>QP251 M6 1972</t>
  </si>
  <si>
    <t>0                      QP 0251000M  6           1972</t>
  </si>
  <si>
    <t>Man &amp; woman, boy &amp; girl: the differentiation and dimorphism of gender identity from conception to maturity / by John Money and Anke A. Ehrhardt.</t>
  </si>
  <si>
    <t>Money, John, 1921-2006.</t>
  </si>
  <si>
    <t>Baltimore [Md.] : Johns Hopkins University Press, 1972.</t>
  </si>
  <si>
    <t>132989559:eng</t>
  </si>
  <si>
    <t>447288</t>
  </si>
  <si>
    <t>ocm00447288</t>
  </si>
  <si>
    <t>30011601164</t>
  </si>
  <si>
    <t>9780801814068</t>
  </si>
  <si>
    <t>791381192</t>
  </si>
  <si>
    <t>QP251 O83 1987</t>
  </si>
  <si>
    <t>0                      QP 0251000O  83          1987</t>
  </si>
  <si>
    <t>Ethics and human reproduction : a feminist analysis / Christine Overall.</t>
  </si>
  <si>
    <t>Overall, Christine, 1949-</t>
  </si>
  <si>
    <t>Boston : Allen &amp; Unwin, ©1987.</t>
  </si>
  <si>
    <t>2011-12-19</t>
  </si>
  <si>
    <t>836682648:eng</t>
  </si>
  <si>
    <t>15316629</t>
  </si>
  <si>
    <t>ocm15316629</t>
  </si>
  <si>
    <t>3102997614F</t>
  </si>
  <si>
    <t>9780044970095</t>
  </si>
  <si>
    <t>792927856</t>
  </si>
  <si>
    <t>3000528618I</t>
  </si>
  <si>
    <t>792927855</t>
  </si>
  <si>
    <t>QP251 R4413 1973</t>
  </si>
  <si>
    <t>0                      QP 0251000R  4413        1973</t>
  </si>
  <si>
    <t>The function of the orgasm : sex-economic problems of biological energy / Wilhelm Reich ; translated by Vincent R. Carfagno.</t>
  </si>
  <si>
    <t>Reich, Wilhelm, 1897-1957.</t>
  </si>
  <si>
    <t>New York : Noonday Press, 1973.</t>
  </si>
  <si>
    <t>1st Noonday pbk ed.</t>
  </si>
  <si>
    <t>His The discovery of the orgone ; v.1</t>
  </si>
  <si>
    <t>4797787468:eng</t>
  </si>
  <si>
    <t>44188476</t>
  </si>
  <si>
    <t>ocm44188476</t>
  </si>
  <si>
    <t>31035573968</t>
  </si>
  <si>
    <t>9780374502041</t>
  </si>
  <si>
    <t>793644328</t>
  </si>
  <si>
    <t>QP251 S48283 1995</t>
  </si>
  <si>
    <t>0                      QP 0251000S  48283       1995</t>
  </si>
  <si>
    <t>Sexual nature, sexual culture / edited by Paul R. Abramson, Steven D. Pinkerton.</t>
  </si>
  <si>
    <t>Chicago series on sexuality, history, and society</t>
  </si>
  <si>
    <t>2012-10-23</t>
  </si>
  <si>
    <t>350472394:eng</t>
  </si>
  <si>
    <t>31166637</t>
  </si>
  <si>
    <t>ocm31166637</t>
  </si>
  <si>
    <t>3102253523K</t>
  </si>
  <si>
    <t>9780226001814</t>
  </si>
  <si>
    <t>793354649</t>
  </si>
  <si>
    <t>3101514831Q</t>
  </si>
  <si>
    <t>793354648</t>
  </si>
  <si>
    <t>QP 251 S819s 1940</t>
  </si>
  <si>
    <t>0                      QP 0251000S  819s        1940</t>
  </si>
  <si>
    <t>Sex and life; forty years of biological and medical experiments, by Eugen Steinach ... The scientific values adapted to the lay reader by Josef Loebel ...</t>
  </si>
  <si>
    <t>Steinach, Eugen, 1861-1944.</t>
  </si>
  <si>
    <t>New York, The Viking Press, 1940.</t>
  </si>
  <si>
    <t>377172921:eng</t>
  </si>
  <si>
    <t>1172347</t>
  </si>
  <si>
    <t>ocm01172347</t>
  </si>
  <si>
    <t>30002555507</t>
  </si>
  <si>
    <t>791564522</t>
  </si>
  <si>
    <t>QP255 A93 2007</t>
  </si>
  <si>
    <t>0                      QP 0255000A  93          2007</t>
  </si>
  <si>
    <t>Images of bliss : ejaculation, masculinity, meaning / Murat Aydemir.</t>
  </si>
  <si>
    <t>Aydemir, Murat.</t>
  </si>
  <si>
    <t>Minneapolis : University of Minnesota Press, ©2007.</t>
  </si>
  <si>
    <t>802946368:eng</t>
  </si>
  <si>
    <t>70045796</t>
  </si>
  <si>
    <t>ocm70045796</t>
  </si>
  <si>
    <t>3102642014M</t>
  </si>
  <si>
    <t>9780816648665</t>
  </si>
  <si>
    <t>794147632</t>
  </si>
  <si>
    <t>QP259 B7614 2018</t>
  </si>
  <si>
    <t>0                      QP 0259000B  7614        2018</t>
  </si>
  <si>
    <t>Les joies d'en bas : tout sur le sexe féminin / Nina Brochmann &amp; Ellen Støkken ; illustré par Tegnehanne ; traduit du norvégien par Céline Romand-Monnier.</t>
  </si>
  <si>
    <t>Brochmann, Nina, 1987- author.</t>
  </si>
  <si>
    <t>Paris : Actes Sud, [2018]</t>
  </si>
  <si>
    <t>Questions de santé</t>
  </si>
  <si>
    <t>5068619749:fre</t>
  </si>
  <si>
    <t>1089932787</t>
  </si>
  <si>
    <t>on1089932787</t>
  </si>
  <si>
    <t>3103859511W</t>
  </si>
  <si>
    <t>9782330090531</t>
  </si>
  <si>
    <t>795079708</t>
  </si>
  <si>
    <t>QP259 C66 2016</t>
  </si>
  <si>
    <t>0                      QP 0259000C  66          2016</t>
  </si>
  <si>
    <t>Aristotle on female animals : a study of the generation of animals / Sophia M. Connell, University of Cambridge.</t>
  </si>
  <si>
    <t>Connell, Sophia M., author.</t>
  </si>
  <si>
    <t>Cambridge, United Kingdom : Cambridge University Press, 2016.</t>
  </si>
  <si>
    <t>Cambridge classical studies</t>
  </si>
  <si>
    <t>2597300990:eng</t>
  </si>
  <si>
    <t>918594162</t>
  </si>
  <si>
    <t>ocn918594162</t>
  </si>
  <si>
    <t>31036587302</t>
  </si>
  <si>
    <t>9781107136304</t>
  </si>
  <si>
    <t>795001101</t>
  </si>
  <si>
    <t>QP259 S532 1973</t>
  </si>
  <si>
    <t>0                      QP 0259000S  532         1973</t>
  </si>
  <si>
    <t>The nature and evolution of female sexuality.</t>
  </si>
  <si>
    <t>Sherfey, Mary Jane, 1933-</t>
  </si>
  <si>
    <t>New York, Vintage Books [1973, ©1972]</t>
  </si>
  <si>
    <t>1323752:eng</t>
  </si>
  <si>
    <t>402410</t>
  </si>
  <si>
    <t>ocm00402410</t>
  </si>
  <si>
    <t>3000827876H</t>
  </si>
  <si>
    <t>9780394718064</t>
  </si>
  <si>
    <t>791367008</t>
  </si>
  <si>
    <t>3001141222C</t>
  </si>
  <si>
    <t>791367007</t>
  </si>
  <si>
    <t>QP263 K57 2006</t>
  </si>
  <si>
    <t>0                      QP 0263000K  57          2006</t>
  </si>
  <si>
    <t>Capitalizing on the curse : the business of menstruation / Elizabeth Arveda Kissling.</t>
  </si>
  <si>
    <t>Kissling, Elizabeth Arveda.</t>
  </si>
  <si>
    <t>Boulder, Colo. : Lynne Rienner Publishers, 2006.</t>
  </si>
  <si>
    <t>297042287:eng</t>
  </si>
  <si>
    <t>62161220</t>
  </si>
  <si>
    <t>ocm62161220</t>
  </si>
  <si>
    <t>3102584069R</t>
  </si>
  <si>
    <t>9781588263100</t>
  </si>
  <si>
    <t>794101552</t>
  </si>
  <si>
    <t>QP263 R67 2012</t>
  </si>
  <si>
    <t>0                      QP 0263000R  67          2012</t>
  </si>
  <si>
    <t>Periods in pop culture : menstruation in film and television / Lauren Rosewarne.</t>
  </si>
  <si>
    <t>Rosewarne, Lauren.</t>
  </si>
  <si>
    <t>Lanham, Md. : Lexington Books, ©2012.</t>
  </si>
  <si>
    <t>1126313949:eng</t>
  </si>
  <si>
    <t>781681099</t>
  </si>
  <si>
    <t>ocn781681099</t>
  </si>
  <si>
    <t>3103455473N</t>
  </si>
  <si>
    <t>9780739170007</t>
  </si>
  <si>
    <t>794913149</t>
  </si>
  <si>
    <t>QP263 S263 2016</t>
  </si>
  <si>
    <t>0                      QP 0263000S  263         2016</t>
  </si>
  <si>
    <t>Plastic bodies : sex hormones and menstrual suppression in Brazil / Emilia Sanabria.</t>
  </si>
  <si>
    <t>Sanabria, Emilia, 1979- author.</t>
  </si>
  <si>
    <t>Durham : Duke University Press, [2016]</t>
  </si>
  <si>
    <t>2593919484:eng</t>
  </si>
  <si>
    <t>917359214</t>
  </si>
  <si>
    <t>ocn917359214</t>
  </si>
  <si>
    <t>3103759562M</t>
  </si>
  <si>
    <t>9780822361428</t>
  </si>
  <si>
    <t>795000863</t>
  </si>
  <si>
    <t>QP301 A244 2014</t>
  </si>
  <si>
    <t>0                      QP 0301000A  244         2014</t>
  </si>
  <si>
    <t>Exercise physiology laboratory manual / William C. Beam, Gene M. Adams.</t>
  </si>
  <si>
    <t>Beam, William C.</t>
  </si>
  <si>
    <t>New York, NY : McGraw-Hill, [2014]</t>
  </si>
  <si>
    <t>22771276:eng</t>
  </si>
  <si>
    <t>823927484</t>
  </si>
  <si>
    <t>ocn823927484</t>
  </si>
  <si>
    <t>3103629302$</t>
  </si>
  <si>
    <t>9780078022654</t>
  </si>
  <si>
    <t>794937498</t>
  </si>
  <si>
    <t>QP301 B478 1999</t>
  </si>
  <si>
    <t>0                      QP 0301000B  478         1999</t>
  </si>
  <si>
    <t>Biomechanics of the musculo-skeletal system / Benno M. Nigg, Walter Herzog, editors.</t>
  </si>
  <si>
    <t>Chichester ; New York : Wiley, ©1999.</t>
  </si>
  <si>
    <t>502235891:eng</t>
  </si>
  <si>
    <t>39951673</t>
  </si>
  <si>
    <t>ocm39951673</t>
  </si>
  <si>
    <t>31020193094</t>
  </si>
  <si>
    <t>9780471978183</t>
  </si>
  <si>
    <t>793557650</t>
  </si>
  <si>
    <t>QP301 B64 2011</t>
  </si>
  <si>
    <t>0                      QP 0301000B  64          2011</t>
  </si>
  <si>
    <t>The business of exercise physiology : thinking like an entrepreneur / Tommy Boone ; with a foreword by Aaron Fulkerson ; and a preface by Desiree Ahrens.</t>
  </si>
  <si>
    <t>Boone, Tommy.</t>
  </si>
  <si>
    <t>Lewiston, N.Y. : Edwin Mellen Press, ©2011.</t>
  </si>
  <si>
    <t>1082425376:eng</t>
  </si>
  <si>
    <t>745981029</t>
  </si>
  <si>
    <t>ocn745981029</t>
  </si>
  <si>
    <t>31034110591</t>
  </si>
  <si>
    <t>9780773415751</t>
  </si>
  <si>
    <t>794886873</t>
  </si>
  <si>
    <t>QP301 C43 2012</t>
  </si>
  <si>
    <t>0                      QP 0301000C  43          2012</t>
  </si>
  <si>
    <t>Functional movement development across the life span / Donna J. Cech, Suzanne "Tink" Martin.</t>
  </si>
  <si>
    <t>Cech, Donna.</t>
  </si>
  <si>
    <t>St. Louis, Mo. : Elsevier, ©2012.</t>
  </si>
  <si>
    <t>2012-01-20</t>
  </si>
  <si>
    <t>2400489:eng</t>
  </si>
  <si>
    <t>751716886</t>
  </si>
  <si>
    <t>ocn751716886</t>
  </si>
  <si>
    <t>31033831244</t>
  </si>
  <si>
    <t>9781416049784</t>
  </si>
  <si>
    <t>794890604</t>
  </si>
  <si>
    <t>QP301 E38 2018</t>
  </si>
  <si>
    <t>0                      QP 0301000E  38          2018</t>
  </si>
  <si>
    <t>Advanced exercise physiology : essential concepts and applications / Jonathan K. Ehrman, PhD, Dennis J. Kerrigan, PhD, Steven J. Keteyian, PhD, Henry Ford Health System.</t>
  </si>
  <si>
    <t>Ehrman, Jonathan K., 1962- author.</t>
  </si>
  <si>
    <t>Champaign, IL : Human Kinetics, [2018]</t>
  </si>
  <si>
    <t>4656813492:eng</t>
  </si>
  <si>
    <t>973499104</t>
  </si>
  <si>
    <t>ocn973499104</t>
  </si>
  <si>
    <t>3103740209F</t>
  </si>
  <si>
    <t>9781492505716</t>
  </si>
  <si>
    <t>795029172</t>
  </si>
  <si>
    <t>QP301 E967 2006</t>
  </si>
  <si>
    <t>0                      QP 0301000E  967         2006</t>
  </si>
  <si>
    <t>Exercise metabolism / Mark Hargreaves, Lawrence Spriet, editors.</t>
  </si>
  <si>
    <t>55900595:eng</t>
  </si>
  <si>
    <t>61211272</t>
  </si>
  <si>
    <t>ocm61211272</t>
  </si>
  <si>
    <t>3102547690B</t>
  </si>
  <si>
    <t>9780736041034</t>
  </si>
  <si>
    <t>793948769</t>
  </si>
  <si>
    <t>QP301 G24 2012</t>
  </si>
  <si>
    <t>0                      QP 0301000G  24          2012</t>
  </si>
  <si>
    <t>Lifelong motor development / Carl P. Gabbard.</t>
  </si>
  <si>
    <t>Gabbard, Carl, 1948-</t>
  </si>
  <si>
    <t>San Francisco : Pearson Benjamin Cummings, ©2012.</t>
  </si>
  <si>
    <t>2013-12-11</t>
  </si>
  <si>
    <t>783834:eng</t>
  </si>
  <si>
    <t>663953379</t>
  </si>
  <si>
    <t>ocn663953379</t>
  </si>
  <si>
    <t>3103492467H</t>
  </si>
  <si>
    <t>9780321734945</t>
  </si>
  <si>
    <t>794843055</t>
  </si>
  <si>
    <t>2014-09-03</t>
  </si>
  <si>
    <t>3103528464M</t>
  </si>
  <si>
    <t>794843056</t>
  </si>
  <si>
    <t>3103533063C</t>
  </si>
  <si>
    <t>794843057</t>
  </si>
  <si>
    <t>QP301 H634 2006</t>
  </si>
  <si>
    <t>0                      QP 0301000H  634         2006</t>
  </si>
  <si>
    <t>Norms for fitness, performance, and health / Jay Hoffman.</t>
  </si>
  <si>
    <t>Hoffman, Jay, 1961-</t>
  </si>
  <si>
    <t>48502471:eng</t>
  </si>
  <si>
    <t>61513011</t>
  </si>
  <si>
    <t>ocm61513011</t>
  </si>
  <si>
    <t>31026351612</t>
  </si>
  <si>
    <t>9780736054836</t>
  </si>
  <si>
    <t>793960855</t>
  </si>
  <si>
    <t>QP301 H75 2006</t>
  </si>
  <si>
    <t>0                      QP 0301000H  75          2006</t>
  </si>
  <si>
    <t>Applied exercise &amp; sport physiology / Terry J. Housh, Dona J. Housh, Herbert A. deVries.</t>
  </si>
  <si>
    <t>Housh, Terry J.</t>
  </si>
  <si>
    <t>Scottsdale, Ariz. : Holcomb Hathaway, ©2006.</t>
  </si>
  <si>
    <t>6466264:eng</t>
  </si>
  <si>
    <t>64487092</t>
  </si>
  <si>
    <t>ocm64487092</t>
  </si>
  <si>
    <t>3103382716T</t>
  </si>
  <si>
    <t>9781890871710</t>
  </si>
  <si>
    <t>794129657</t>
  </si>
  <si>
    <t>QP301 K654 2012</t>
  </si>
  <si>
    <t>0                      QP 0301000K  654         2012</t>
  </si>
  <si>
    <t>Exercise physiology : integrated from theory to practical applications / William J. Kraemer, Steven J. Fleck, Michael R. Deschenes.</t>
  </si>
  <si>
    <t>Kraemer, William J., 1953-</t>
  </si>
  <si>
    <t>Philadelphia : Wolters Kluwer/Lippincott Williams &amp; Wilkins Health, ©2012.</t>
  </si>
  <si>
    <t>2014-11-04</t>
  </si>
  <si>
    <t>4162411183:eng</t>
  </si>
  <si>
    <t>671541078</t>
  </si>
  <si>
    <t>ocn671541078</t>
  </si>
  <si>
    <t>3103345157A</t>
  </si>
  <si>
    <t>9780781783514</t>
  </si>
  <si>
    <t>794848807</t>
  </si>
  <si>
    <t>QP301 K654 2016</t>
  </si>
  <si>
    <t>0                      QP 0301000K  654         2016</t>
  </si>
  <si>
    <t>Exercise physiology : integrating theory and application / William J. Kraemer, PhD, Professor, Department of Human Services, College of Education and Human Ecology, the Ohio State University, Columbus, Steven J. Fleck, PhD, Professor and Chair, Department of Kinesiology, University of Wisconsin-Eau Claire, Eau Claire, Wisconsin, Michael R. Deschenes, PhD, Professor and Chair, Department of Kinesiology and Health Sciences, the College of William &amp; Mary, Williamsburg, Virginia.</t>
  </si>
  <si>
    <t>Kraemer, William J., 1953- author.</t>
  </si>
  <si>
    <t>Philadelphia : Wolters Kluwer, [2016]</t>
  </si>
  <si>
    <t>890436618</t>
  </si>
  <si>
    <t>ocn890436618</t>
  </si>
  <si>
    <t>3103910273A</t>
  </si>
  <si>
    <t>9781451193190</t>
  </si>
  <si>
    <t>794979223</t>
  </si>
  <si>
    <t>3103610518R</t>
  </si>
  <si>
    <t>794979224</t>
  </si>
  <si>
    <t>QP301 M1149 2011</t>
  </si>
  <si>
    <t>0                      QP 0301000M  1149        2011</t>
  </si>
  <si>
    <t>Essentials of exercise physiology / Victor L. Katch, William D. McArdle, Frank I. Katch.</t>
  </si>
  <si>
    <t>Katch, Victor L.</t>
  </si>
  <si>
    <t>Philadelphia : Wolters Kluwer/Lippincott Williams &amp; Wilkins Health, ©2011.</t>
  </si>
  <si>
    <t>4923507575:eng</t>
  </si>
  <si>
    <t>639161214</t>
  </si>
  <si>
    <t>ocn639161214</t>
  </si>
  <si>
    <t>31033229588</t>
  </si>
  <si>
    <t>9781608312672</t>
  </si>
  <si>
    <t>794826569</t>
  </si>
  <si>
    <t>QP301 M375 2007</t>
  </si>
  <si>
    <t>0                      QP 0301000M  375         2007</t>
  </si>
  <si>
    <t>Exercise physiology : energy, nutrition, and human performance / William D. McArdle, Frank I. Katch, Victor L. Katch.</t>
  </si>
  <si>
    <t>McArdle, William D.</t>
  </si>
  <si>
    <t>Philadelphia : Lippincott Williams &amp; Wilkins, ©2007.</t>
  </si>
  <si>
    <t>951478:eng</t>
  </si>
  <si>
    <t>62078267</t>
  </si>
  <si>
    <t>ocm62078267</t>
  </si>
  <si>
    <t>3102260733J</t>
  </si>
  <si>
    <t>9780781749909</t>
  </si>
  <si>
    <t>794099554</t>
  </si>
  <si>
    <t>QP301 M375 2010</t>
  </si>
  <si>
    <t>0                      QP 0301000M  375         2010</t>
  </si>
  <si>
    <t>Exercise physiology : nutrition, energy, and human performance / William D. McArdle, Frank I. Katch, Victor L. Katch.</t>
  </si>
  <si>
    <t>Baltimore, MD : Lippincott Williams &amp; Wilkins, ©2010.</t>
  </si>
  <si>
    <t>427608809</t>
  </si>
  <si>
    <t>ocn427608809</t>
  </si>
  <si>
    <t>3103229205H</t>
  </si>
  <si>
    <t>9780781797818</t>
  </si>
  <si>
    <t>794693242</t>
  </si>
  <si>
    <t>QP301 M375 2015</t>
  </si>
  <si>
    <t>0                      QP 0301000M  375         2015</t>
  </si>
  <si>
    <t>Exercise physiology : nutrition, energy, and human performance / William D. McArdle, Professor Emeritus, Department of Family, Nutrition and Exercise Science, Queens College of the City University of New York, Flushing, New York, Exercise Physiologist, Weight Watchers International, Frank I. Katch, Instructor and Board Member, Certificate Program in Fitness Instruction, UCLA Extension, Los Angeles, California, former Professor and Chair of Exercise Science, University of Massachusetts, Amherst, Massachusetts, Victor L. Katch, Professor of Movement Science, School of Kinesiology, Associate Professor, Pediatrics, School of Medicine, University of Michigan, Ann Arbor, Michigan.</t>
  </si>
  <si>
    <t>McArdle, William D., author.</t>
  </si>
  <si>
    <t>Philadelphia : Wolters Kluwer, 2014.</t>
  </si>
  <si>
    <t>861470594</t>
  </si>
  <si>
    <t>ocn861470594</t>
  </si>
  <si>
    <t>3103794418U</t>
  </si>
  <si>
    <t>9781451191554</t>
  </si>
  <si>
    <t>794959168</t>
  </si>
  <si>
    <t>QP301 M3755 2011</t>
  </si>
  <si>
    <t>0                      QP 0301000M  3755        2011</t>
  </si>
  <si>
    <t>Measurement and evaluation in human performance / James R. Morrow Jr. [and others].</t>
  </si>
  <si>
    <t>Champaign, IL : Human Kinetics, ©2011.</t>
  </si>
  <si>
    <t>364328375:eng</t>
  </si>
  <si>
    <t>614396821</t>
  </si>
  <si>
    <t>ocn614396821</t>
  </si>
  <si>
    <t>31033249118</t>
  </si>
  <si>
    <t>9780736090391</t>
  </si>
  <si>
    <t>794822542</t>
  </si>
  <si>
    <t>QP301 M376 1996</t>
  </si>
  <si>
    <t>0                      QP 0301000M  376         1996</t>
  </si>
  <si>
    <t>Measuring physical activity and energy expenditure / Henry J. Montoye [and others].</t>
  </si>
  <si>
    <t>Champaign, IL : Human Kinetics, ©1996.</t>
  </si>
  <si>
    <t>33350925:eng</t>
  </si>
  <si>
    <t>31374102</t>
  </si>
  <si>
    <t>ocm31374102</t>
  </si>
  <si>
    <t>3101544552C</t>
  </si>
  <si>
    <t>9780873225007</t>
  </si>
  <si>
    <t>793359696</t>
  </si>
  <si>
    <t>QP301 M575 2010</t>
  </si>
  <si>
    <t>0                      QP 0301000M  575         2010</t>
  </si>
  <si>
    <t>Molecular and integrative physiology of the musculoskeletal system / issue editors, Jeffrey I. Mechanick, Li Sun, and Mone Zaidi.</t>
  </si>
  <si>
    <t>Boston, Mass. : Published by Blackwell Pub. on behalf of the New York Academy Of Sciences, 2010.</t>
  </si>
  <si>
    <t>Annals of the New York Academy of Sciences, 0077-8923 ; v. 1211</t>
  </si>
  <si>
    <t>795489530:eng</t>
  </si>
  <si>
    <t>696296696</t>
  </si>
  <si>
    <t>ocn696296696</t>
  </si>
  <si>
    <t>3103345205H</t>
  </si>
  <si>
    <t>9781573318310</t>
  </si>
  <si>
    <t>794859097</t>
  </si>
  <si>
    <t>QP301 M83 1957</t>
  </si>
  <si>
    <t>0                      QP 0301000M  83          1957</t>
  </si>
  <si>
    <t>Animals in motion / Eadweard Muybridge ;Edited by Lewis S. Brown.</t>
  </si>
  <si>
    <t>Muybridge, Eadweard, 1830-1904.</t>
  </si>
  <si>
    <t>Dover Pictorial Archive series</t>
  </si>
  <si>
    <t>491285:eng</t>
  </si>
  <si>
    <t>850428</t>
  </si>
  <si>
    <t>ocm00850428</t>
  </si>
  <si>
    <t>31029644631</t>
  </si>
  <si>
    <t>9780486202037</t>
  </si>
  <si>
    <t>791486389</t>
  </si>
  <si>
    <t>QP301 M85 1955</t>
  </si>
  <si>
    <t>0                      QP 0301000M  85          1955</t>
  </si>
  <si>
    <t>The human figure in motion / Eadweard Muybridge ; introduction by Professor Robert Taft, University of Kansas.</t>
  </si>
  <si>
    <t>Muybridge, Eadweard, 1830-1904, photographer.</t>
  </si>
  <si>
    <t>New York : Dover Publications, Inc., [1955]</t>
  </si>
  <si>
    <t>864262:eng</t>
  </si>
  <si>
    <t>242951</t>
  </si>
  <si>
    <t>ocm00242951</t>
  </si>
  <si>
    <t>3000829570V</t>
  </si>
  <si>
    <t>9780486202044</t>
  </si>
  <si>
    <t>791306690</t>
  </si>
  <si>
    <t>QP301 N38 2012</t>
  </si>
  <si>
    <t>0                      QP 0301000N  38          2012</t>
  </si>
  <si>
    <t>NSCA's guide to tests and assessments / National Strength and Conditioning Association ; Todd Miller, editor.</t>
  </si>
  <si>
    <t>National Strength &amp; Conditioning Association (U.S.)</t>
  </si>
  <si>
    <t>Champaign, IL : Human Kinetics, ©2012.</t>
  </si>
  <si>
    <t>Science of strength and conditioning series</t>
  </si>
  <si>
    <t>1067740934:eng</t>
  </si>
  <si>
    <t>754105691</t>
  </si>
  <si>
    <t>ocn754105691</t>
  </si>
  <si>
    <t>3103411003B</t>
  </si>
  <si>
    <t>9780736083683</t>
  </si>
  <si>
    <t>794892507</t>
  </si>
  <si>
    <t>QP301 P336 2016</t>
  </si>
  <si>
    <t>0                      QP 0301000P  336         2016</t>
  </si>
  <si>
    <t>Rest : why you get more done when you work less / Alex Soojung-Kim Pang.</t>
  </si>
  <si>
    <t>Pang, Alex Soojung-Kim, author.</t>
  </si>
  <si>
    <t>New York : Basic Books, [2016]</t>
  </si>
  <si>
    <t>2018-08-12</t>
  </si>
  <si>
    <t>3964045374:eng</t>
  </si>
  <si>
    <t>945232268</t>
  </si>
  <si>
    <t>ocn945232268</t>
  </si>
  <si>
    <t>31036974970</t>
  </si>
  <si>
    <t>9780465074877</t>
  </si>
  <si>
    <t>795013412</t>
  </si>
  <si>
    <t>QP301 P553 2002</t>
  </si>
  <si>
    <t>0                      QP 0301000P  553         2002</t>
  </si>
  <si>
    <t>Physical activity assessments for health-related research / Gregory J. Welk, editor.</t>
  </si>
  <si>
    <t>Champaign, IL : Human Kinetics, ©2002.</t>
  </si>
  <si>
    <t>1037839:eng</t>
  </si>
  <si>
    <t>49376240</t>
  </si>
  <si>
    <t>ocm49376240</t>
  </si>
  <si>
    <t>3103400765O</t>
  </si>
  <si>
    <t>9780736037488</t>
  </si>
  <si>
    <t>793738856</t>
  </si>
  <si>
    <t>QP301 P56 2014</t>
  </si>
  <si>
    <t>0                      QP 0301000P  56          2014</t>
  </si>
  <si>
    <t>Exercise physiology for health, fitness, and performance / Sharon A. Plowman, Denise L. Smith.</t>
  </si>
  <si>
    <t>Plowman, Sharon A.</t>
  </si>
  <si>
    <t>Philadelphia : Wolters Kluwer/Lippincott Williams &amp; Wilkins Health, ©2014.</t>
  </si>
  <si>
    <t>37776319:eng</t>
  </si>
  <si>
    <t>806020052</t>
  </si>
  <si>
    <t>ocn806020052</t>
  </si>
  <si>
    <t>3103499599H</t>
  </si>
  <si>
    <t>9781451176117</t>
  </si>
  <si>
    <t>794926704</t>
  </si>
  <si>
    <t>QP301 P57 1995</t>
  </si>
  <si>
    <t>0                      QP 0301000P  57          1995</t>
  </si>
  <si>
    <t>Physiological assessment of human fitness / [edited by] Peter J. Maud, Carl Foster.</t>
  </si>
  <si>
    <t>Champaign, IL : Human Kinetics, ©1995.</t>
  </si>
  <si>
    <t>353955343:eng</t>
  </si>
  <si>
    <t>31375570</t>
  </si>
  <si>
    <t>ocm31375570</t>
  </si>
  <si>
    <t>31014893680</t>
  </si>
  <si>
    <t>9780873227766</t>
  </si>
  <si>
    <t>793359831</t>
  </si>
  <si>
    <t>QP301 P57 2006</t>
  </si>
  <si>
    <t>0                      QP 0301000P  57          2006</t>
  </si>
  <si>
    <t>Physiological assessment of human fitness / Peter J. Maud, Carl Foster, editors.</t>
  </si>
  <si>
    <t>60414562</t>
  </si>
  <si>
    <t>ocm60414562</t>
  </si>
  <si>
    <t>3102575976$</t>
  </si>
  <si>
    <t>9780736046336</t>
  </si>
  <si>
    <t>793937360</t>
  </si>
  <si>
    <t>QP301 P585 2003</t>
  </si>
  <si>
    <t>0                      QP 0301000P  585         2003</t>
  </si>
  <si>
    <t>San Francisco : Benjamin Cummings, 2003.</t>
  </si>
  <si>
    <t>48711435</t>
  </si>
  <si>
    <t>ocm48711435</t>
  </si>
  <si>
    <t>3102273358A</t>
  </si>
  <si>
    <t>9780805353259</t>
  </si>
  <si>
    <t>793726792</t>
  </si>
  <si>
    <t>QP301 P585 2011</t>
  </si>
  <si>
    <t>0                      QP 0301000P  585         2011</t>
  </si>
  <si>
    <t>Philadelphia : Wolters Kluwer Health/Lippincott Williams &amp; Wilkins, ©2011.</t>
  </si>
  <si>
    <t>461256188</t>
  </si>
  <si>
    <t>ocn461256188</t>
  </si>
  <si>
    <t>3103285169V</t>
  </si>
  <si>
    <t>9780781779760</t>
  </si>
  <si>
    <t>794791365</t>
  </si>
  <si>
    <t>QP301 P64 2009</t>
  </si>
  <si>
    <t>0                      QP 0301000P  64          2009</t>
  </si>
  <si>
    <t>Exercise physiology : theory and application to fitness and performance / Scott Powers, Edward Howley.</t>
  </si>
  <si>
    <t>Powers, Scott K. (Scott Kline), 1950-</t>
  </si>
  <si>
    <t>New York, NY : McGraw-Hill Higher Education, 2009.</t>
  </si>
  <si>
    <t>843190:eng</t>
  </si>
  <si>
    <t>226356725</t>
  </si>
  <si>
    <t>ocn226356725</t>
  </si>
  <si>
    <t>3103083127M</t>
  </si>
  <si>
    <t>9780073376479</t>
  </si>
  <si>
    <t>794345123</t>
  </si>
  <si>
    <t>QP301 P64 2012</t>
  </si>
  <si>
    <t>0                      QP 0301000P  64          2012</t>
  </si>
  <si>
    <t>Exercise physiology : theory and application to fitness and performance / Scott K. Powers.</t>
  </si>
  <si>
    <t>New York : McGraw-Hill Humanities/Social Sciences/Languages, ©2012.</t>
  </si>
  <si>
    <t>751731746</t>
  </si>
  <si>
    <t>ocn751731746</t>
  </si>
  <si>
    <t>3103553738O</t>
  </si>
  <si>
    <t>9780078022531</t>
  </si>
  <si>
    <t>794890712</t>
  </si>
  <si>
    <t>QP301 P64 2015</t>
  </si>
  <si>
    <t>0                      QP 0301000P  64          2015</t>
  </si>
  <si>
    <t>Exercise physiology : theory and application to fitness and performance / Scott K. Powers, University of Florida, Edward T. Howley, University of Tennessee, Knoxville.</t>
  </si>
  <si>
    <t>Powers, Scott K. (Scott Kline), 1950- author.</t>
  </si>
  <si>
    <t>New York, NY : McGraw-Hill Education, [2015]</t>
  </si>
  <si>
    <t>882738851</t>
  </si>
  <si>
    <t>ocn882738851</t>
  </si>
  <si>
    <t>3103583362F</t>
  </si>
  <si>
    <t>9780073523538</t>
  </si>
  <si>
    <t>794975237</t>
  </si>
  <si>
    <t>QP301 R693 2013</t>
  </si>
  <si>
    <t>0                      QP 0301000R  693         2013</t>
  </si>
  <si>
    <t>Routledge handbook of physical activity and mental health / editor-in-chief, Panteleimon Ekkekakis ; section editors, Dane B. Cook [and others].</t>
  </si>
  <si>
    <t>Routledge handbooks</t>
  </si>
  <si>
    <t>1171949007:eng</t>
  </si>
  <si>
    <t>817736603</t>
  </si>
  <si>
    <t>ocn817736603</t>
  </si>
  <si>
    <t>3103500912M</t>
  </si>
  <si>
    <t>9780415782999</t>
  </si>
  <si>
    <t>794933626</t>
  </si>
  <si>
    <t>QP301 T6 1968</t>
  </si>
  <si>
    <t>0                      QP 0301000T  6           1968</t>
  </si>
  <si>
    <t>The thinking body : a study of the balancing forces of dynamic man / by Mabel E. Todd ; foreword by E.G. Brackett.</t>
  </si>
  <si>
    <t>Todd, Mabel Elsworth.</t>
  </si>
  <si>
    <t>Princeton, N.J. : Princeton Book Co., [1968?], ©1937.</t>
  </si>
  <si>
    <t>582338:eng</t>
  </si>
  <si>
    <t>17778798</t>
  </si>
  <si>
    <t>ocm17778798</t>
  </si>
  <si>
    <t>3103552824R</t>
  </si>
  <si>
    <t>9780871270146</t>
  </si>
  <si>
    <t>793003141</t>
  </si>
  <si>
    <t>QP301 W34 1999</t>
  </si>
  <si>
    <t>0                      QP 0301000W  34          1999</t>
  </si>
  <si>
    <t>Structure and function of the musculoskeletal system / James Watkins.</t>
  </si>
  <si>
    <t>Watkins, James, 1946-</t>
  </si>
  <si>
    <t>Champaign, IL : Human Kinetics, ©1999.</t>
  </si>
  <si>
    <t>2008-04-01</t>
  </si>
  <si>
    <t>42640490:eng</t>
  </si>
  <si>
    <t>39546476</t>
  </si>
  <si>
    <t>ocm39546476</t>
  </si>
  <si>
    <t>31020606089</t>
  </si>
  <si>
    <t>9780880116862</t>
  </si>
  <si>
    <t>793548460</t>
  </si>
  <si>
    <t>3101948871M</t>
  </si>
  <si>
    <t>793548459</t>
  </si>
  <si>
    <t>QP301 W6749 2012</t>
  </si>
  <si>
    <t>0                      QP 0301000W  6749        2012</t>
  </si>
  <si>
    <t>Physiology of sport and exercise / W. Larry Kenney, Jack H. Wilmore, David L. Costill.</t>
  </si>
  <si>
    <t>Kenney, W. Larry.</t>
  </si>
  <si>
    <t>733557:eng</t>
  </si>
  <si>
    <t>747903364</t>
  </si>
  <si>
    <t>ocn747903364</t>
  </si>
  <si>
    <t>3103411466O</t>
  </si>
  <si>
    <t>9780736094092</t>
  </si>
  <si>
    <t>794888637</t>
  </si>
  <si>
    <t>QP301 Z32 1988</t>
  </si>
  <si>
    <t>0                      QP 0301000Z  32          1988</t>
  </si>
  <si>
    <t>Posture : sitting, standing, chair design, and exercise / by Dennis Zacharkow.</t>
  </si>
  <si>
    <t>Zacharkow, Dennis.</t>
  </si>
  <si>
    <t>Springfield, Ill., U.S.A. : Thomas, ©1988.</t>
  </si>
  <si>
    <t>2017-12-06</t>
  </si>
  <si>
    <t>308970727:eng</t>
  </si>
  <si>
    <t>16805419</t>
  </si>
  <si>
    <t>ocm16805419</t>
  </si>
  <si>
    <t>30008418475</t>
  </si>
  <si>
    <t>9780398054182</t>
  </si>
  <si>
    <t>792973146</t>
  </si>
  <si>
    <t>QP303 A327 1995</t>
  </si>
  <si>
    <t>0                      QP 0303000A  327         1995</t>
  </si>
  <si>
    <t>Biomechanics of human movement / Marlene J. Adrian, John M. Cooper.</t>
  </si>
  <si>
    <t>Adrian, Marlene, 1933-</t>
  </si>
  <si>
    <t>Madison, Wis. : Brown &amp; Benchmark, ©1995.</t>
  </si>
  <si>
    <t>8303046:eng</t>
  </si>
  <si>
    <t>31431382</t>
  </si>
  <si>
    <t>ocm31431382</t>
  </si>
  <si>
    <t>3101885682N</t>
  </si>
  <si>
    <t>9780697162427</t>
  </si>
  <si>
    <t>793361024</t>
  </si>
  <si>
    <t>QP 303 A377 1968</t>
  </si>
  <si>
    <t>0                      QP 0303000A  377         1968</t>
  </si>
  <si>
    <t>Animal mechanics, by R. McNeill Alexander.</t>
  </si>
  <si>
    <t>Alexander, R. McNeill.</t>
  </si>
  <si>
    <t>Seattle, University of Washington Press [©1968]</t>
  </si>
  <si>
    <t>Biology series</t>
  </si>
  <si>
    <t>1127494:eng</t>
  </si>
  <si>
    <t>3983</t>
  </si>
  <si>
    <t>ocm00003983</t>
  </si>
  <si>
    <t>30001133559</t>
  </si>
  <si>
    <t>791225155</t>
  </si>
  <si>
    <t>QP303 B38</t>
  </si>
  <si>
    <t>0                      QP 0303000B  38</t>
  </si>
  <si>
    <t>Body movement : coping with the environment / by Irmgard Bartenieff with Dori Lewis.</t>
  </si>
  <si>
    <t>Bartenieff, Irmgard.</t>
  </si>
  <si>
    <t>New York : Gordon and Breach Science Publishers, ©1980</t>
  </si>
  <si>
    <t>431429:eng</t>
  </si>
  <si>
    <t>6887469</t>
  </si>
  <si>
    <t>ocm06887469</t>
  </si>
  <si>
    <t>30008213365</t>
  </si>
  <si>
    <t>9780677055008</t>
  </si>
  <si>
    <t>792528721</t>
  </si>
  <si>
    <t>QP303 B383 1989</t>
  </si>
  <si>
    <t>0                      QP 0303000B  383         1989</t>
  </si>
  <si>
    <t>Basic biomechanics of the musculoskeletal system / Margareta Nordin, Victor H. Frankel ; Kajsa Forssén and Hugh Nachamie, illustrators ; Laurie Yelle, editorial associate.</t>
  </si>
  <si>
    <t>Nordin, Margareta.</t>
  </si>
  <si>
    <t>Philadelphia : Lea &amp; Febiger, 1989.</t>
  </si>
  <si>
    <t>2007-05-13</t>
  </si>
  <si>
    <t>364141939:eng</t>
  </si>
  <si>
    <t>19391953</t>
  </si>
  <si>
    <t>ocm19391953</t>
  </si>
  <si>
    <t>3101969376F</t>
  </si>
  <si>
    <t>9780812112276</t>
  </si>
  <si>
    <t>793056193</t>
  </si>
  <si>
    <t>QP303 B87 1998</t>
  </si>
  <si>
    <t>0                      QP 0303000B  87          1998</t>
  </si>
  <si>
    <t>Movement skill assessment / Allen W. Burton with Daryl E. Miller.</t>
  </si>
  <si>
    <t>Burton, Allen William, 1953-</t>
  </si>
  <si>
    <t>Champaign, IL : Human Kinetics, ©1998.</t>
  </si>
  <si>
    <t>640640:eng</t>
  </si>
  <si>
    <t>37011311</t>
  </si>
  <si>
    <t>ocm37011311</t>
  </si>
  <si>
    <t>31018691551</t>
  </si>
  <si>
    <t>9780873229753</t>
  </si>
  <si>
    <t>793489856</t>
  </si>
  <si>
    <t>QP303 C44 2006</t>
  </si>
  <si>
    <t>0                      QP 0303000C  44          2006</t>
  </si>
  <si>
    <t>Occupational biomechanics / Don B. Chaffin, Gunnar B.J. Andersson, Bernard J. Martin.</t>
  </si>
  <si>
    <t>Chaffin, Don B.</t>
  </si>
  <si>
    <t>2879864:eng</t>
  </si>
  <si>
    <t>62493369</t>
  </si>
  <si>
    <t>ocm62493369</t>
  </si>
  <si>
    <t>31025787195</t>
  </si>
  <si>
    <t>9780471723431</t>
  </si>
  <si>
    <t>794108576</t>
  </si>
  <si>
    <t>QP303 C57 2015</t>
  </si>
  <si>
    <t>0                      QP 0303000C  57          2015</t>
  </si>
  <si>
    <t>Digital movement : essays in motion technology and performance / edited by Nicolas Salazar Sutil, University of Surrey, UK, Sita Popat, University of Leeds, UK.</t>
  </si>
  <si>
    <t>Corporeal Computing (Conference) (2013 : Surrey, England)</t>
  </si>
  <si>
    <t>Houndmills, Basingstoke Hampshire ; New York, NY : Palgrave Macmillan, 2015.</t>
  </si>
  <si>
    <t>Palgrave studies in performance and technology</t>
  </si>
  <si>
    <t>2506042277:eng</t>
  </si>
  <si>
    <t>908090946</t>
  </si>
  <si>
    <t>ocn908090946</t>
  </si>
  <si>
    <t>3103698804C</t>
  </si>
  <si>
    <t>9781137430403</t>
  </si>
  <si>
    <t>794994197</t>
  </si>
  <si>
    <t>QP303 C87 1993</t>
  </si>
  <si>
    <t>0                      QP 0303000C  87          1993</t>
  </si>
  <si>
    <t>Current issues in biomechanics / Mark D. Grabiner, editor.</t>
  </si>
  <si>
    <t>Champaign, IL : Human Kinetics Books, ©1993.</t>
  </si>
  <si>
    <t>28780358:eng</t>
  </si>
  <si>
    <t>26129539</t>
  </si>
  <si>
    <t>ocm26129539</t>
  </si>
  <si>
    <t>31012111099</t>
  </si>
  <si>
    <t>9780873223874</t>
  </si>
  <si>
    <t>793238136</t>
  </si>
  <si>
    <t>QP303 D5x</t>
  </si>
  <si>
    <t>0                      QP 0303000D  5x</t>
  </si>
  <si>
    <t>Proprioceptive control of human movement : by John Dickinson.</t>
  </si>
  <si>
    <t>Dickinson, John, 1943-</t>
  </si>
  <si>
    <t>London : Lepus Books, 1974.</t>
  </si>
  <si>
    <t>The Human movement series</t>
  </si>
  <si>
    <t>155210886:eng</t>
  </si>
  <si>
    <t>364803466</t>
  </si>
  <si>
    <t>ocn364803466</t>
  </si>
  <si>
    <t>3000411981A</t>
  </si>
  <si>
    <t>9780860190028</t>
  </si>
  <si>
    <t>794492634</t>
  </si>
  <si>
    <t>QP303 H35 1999</t>
  </si>
  <si>
    <t>0                      QP 0303000H  35          1999</t>
  </si>
  <si>
    <t>Basic biomechanics / Susan J. Hall.</t>
  </si>
  <si>
    <t>Hall, Susan J. (Susan Jean), 1953-</t>
  </si>
  <si>
    <t>Boston : WCB/McGraw-Hill, ©1999.</t>
  </si>
  <si>
    <t>2070266842:eng</t>
  </si>
  <si>
    <t>39478075</t>
  </si>
  <si>
    <t>ocm39478075</t>
  </si>
  <si>
    <t>31019877377</t>
  </si>
  <si>
    <t>9780070921184</t>
  </si>
  <si>
    <t>793546662</t>
  </si>
  <si>
    <t>QP303 H86 1984</t>
  </si>
  <si>
    <t>0                      QP 0303000H  86          1984</t>
  </si>
  <si>
    <t>Human motor actions : Bernstein reassessed / edited by H.T.A. Whiting.</t>
  </si>
  <si>
    <t>Amsterdam ; New York : North-Holland : Sole distributors for the U.S.A. and Canada, Elsevier Science Pub. Co., 1984.</t>
  </si>
  <si>
    <t>Advances in psychology ; 17</t>
  </si>
  <si>
    <t>2018-11-18</t>
  </si>
  <si>
    <t>1011503784:eng</t>
  </si>
  <si>
    <t>10022670</t>
  </si>
  <si>
    <t>ocm10022670</t>
  </si>
  <si>
    <t>3000373649G</t>
  </si>
  <si>
    <t>9780444868138</t>
  </si>
  <si>
    <t>792705633</t>
  </si>
  <si>
    <t>QP303 K58 2009</t>
  </si>
  <si>
    <t>0                      QP 0303000K  58          2009</t>
  </si>
  <si>
    <t>Introduction to kinesiology : a biophysical perspective / P. Klavora.</t>
  </si>
  <si>
    <t>Klavora, Peter.</t>
  </si>
  <si>
    <t>Toronto : Sport Books Publisher, [2008], c2009.</t>
  </si>
  <si>
    <t>2939670741:eng</t>
  </si>
  <si>
    <t>232711818</t>
  </si>
  <si>
    <t>ocn232711818</t>
  </si>
  <si>
    <t>3102707648T</t>
  </si>
  <si>
    <t>9780920905272</t>
  </si>
  <si>
    <t>794364297</t>
  </si>
  <si>
    <t>QP303 K582 2010</t>
  </si>
  <si>
    <t>0                      QP 0303000K  582         2010</t>
  </si>
  <si>
    <t>Introduction to kinesiology : a sociocultural and behavioral perspective / P. Klavora.</t>
  </si>
  <si>
    <t>Toronto : Kinesiology Books Publisher, c2010.</t>
  </si>
  <si>
    <t>308868030:eng</t>
  </si>
  <si>
    <t>421753576</t>
  </si>
  <si>
    <t>ocn421753576</t>
  </si>
  <si>
    <t>3103283911P</t>
  </si>
  <si>
    <t>9780920905319</t>
  </si>
  <si>
    <t>794504783</t>
  </si>
  <si>
    <t>QP303 K59 2002</t>
  </si>
  <si>
    <t>0                      QP 0303000K  59          2002</t>
  </si>
  <si>
    <t>Qualitative analysis of human movement / Duane V. Knudson, Craig S. Morrison.</t>
  </si>
  <si>
    <t>Knudson, Duane V., 1961- author.</t>
  </si>
  <si>
    <t>7741292:eng</t>
  </si>
  <si>
    <t>48435439</t>
  </si>
  <si>
    <t>ocm48435439</t>
  </si>
  <si>
    <t>3102313651P</t>
  </si>
  <si>
    <t>9780736034623</t>
  </si>
  <si>
    <t>793720972</t>
  </si>
  <si>
    <t>QP303 L53 2011</t>
  </si>
  <si>
    <t>0                      QP 0303000L  53          2011</t>
  </si>
  <si>
    <t>Laboratory manual for clinical kinesiology and anatomy / Lynn S. Lippert, Mary Alice Duesterhaus Minor.</t>
  </si>
  <si>
    <t>Lippert, Lynn, 1942-</t>
  </si>
  <si>
    <t>Philadelphia : F.A. Davis Co., ©2011.</t>
  </si>
  <si>
    <t>3901957516:eng</t>
  </si>
  <si>
    <t>650960029</t>
  </si>
  <si>
    <t>ocn650960029</t>
  </si>
  <si>
    <t>3103320591K</t>
  </si>
  <si>
    <t>9780803623903</t>
  </si>
  <si>
    <t>794832683</t>
  </si>
  <si>
    <t>Clinical kinesiology and anatomy / Lynn S. Lippert.</t>
  </si>
  <si>
    <t>Philadelphia, PA : F.A. Davis, ©2011.</t>
  </si>
  <si>
    <t>47778501:eng</t>
  </si>
  <si>
    <t>660161980</t>
  </si>
  <si>
    <t>ocn660161980</t>
  </si>
  <si>
    <t>3103320805T</t>
  </si>
  <si>
    <t>9780803623637</t>
  </si>
  <si>
    <t>794836792</t>
  </si>
  <si>
    <t>QP303 M36 2005</t>
  </si>
  <si>
    <t>0                      QP 0303000M  36          2005</t>
  </si>
  <si>
    <t>Biomechanics of sport and exercise / Peter M. McGinnis.</t>
  </si>
  <si>
    <t>McGinnis, Peter Merton, 1954-</t>
  </si>
  <si>
    <t>Champaign, IL : Human Kinetics, ©2005.</t>
  </si>
  <si>
    <t>869282:eng</t>
  </si>
  <si>
    <t>55586997</t>
  </si>
  <si>
    <t>ocm55586997</t>
  </si>
  <si>
    <t>31034012442</t>
  </si>
  <si>
    <t>9780736051019</t>
  </si>
  <si>
    <t>793878763</t>
  </si>
  <si>
    <t>QP303 M64 2016</t>
  </si>
  <si>
    <t>0                      QP 0303000M  64          2016</t>
  </si>
  <si>
    <t>Strength and conditioning : a biomechanical approach / Gavin Moir, PhD, Associate Professor, Excercise Science Department, East Stroudsburg University.</t>
  </si>
  <si>
    <t>Moir, Gavin, author.</t>
  </si>
  <si>
    <t>Burlington, MA : Jones &amp; Bartlett Learning, [2016]</t>
  </si>
  <si>
    <t>2529213818:eng</t>
  </si>
  <si>
    <t>891354057</t>
  </si>
  <si>
    <t>ocn891354057</t>
  </si>
  <si>
    <t>31036100392</t>
  </si>
  <si>
    <t>9781284034844</t>
  </si>
  <si>
    <t>794980080</t>
  </si>
  <si>
    <t>QP303 O38 2004</t>
  </si>
  <si>
    <t>0                      QP 0303000O  38          2004</t>
  </si>
  <si>
    <t>Kinesiology : the mechanics and pathomechanics of human movement / Carol A. Oatis.</t>
  </si>
  <si>
    <t>Oatis, Carol A.</t>
  </si>
  <si>
    <t>Philadelphia : Lippincott Williams &amp; Wilkins, ©2004.</t>
  </si>
  <si>
    <t>796615012:eng</t>
  </si>
  <si>
    <t>51478054</t>
  </si>
  <si>
    <t>ocm51478054</t>
  </si>
  <si>
    <t>3102671789D</t>
  </si>
  <si>
    <t>9780781719827</t>
  </si>
  <si>
    <t>793785173</t>
  </si>
  <si>
    <t>QP303 O38 2009</t>
  </si>
  <si>
    <t>0                      QP 0303000O  38          2009</t>
  </si>
  <si>
    <t>Kinesiology : the mechanics and pathomechanics of human movement / Carol A. Oatis, with contributors.</t>
  </si>
  <si>
    <t>(text + DVD)</t>
  </si>
  <si>
    <t>Baltimore : Lippincott Williams &amp; Wilkins, ©2009.</t>
  </si>
  <si>
    <t>171258238</t>
  </si>
  <si>
    <t>ocn171258238</t>
  </si>
  <si>
    <t>31034103242</t>
  </si>
  <si>
    <t>9780781774222</t>
  </si>
  <si>
    <t>794264318</t>
  </si>
  <si>
    <t>QP303 S487 2005</t>
  </si>
  <si>
    <t>0                      QP 0303000S  487         2005</t>
  </si>
  <si>
    <t>The computational neurobiology of reaching and pointing : a foundation for motor learning / Reza Shadmehr and Steven P. Wise.</t>
  </si>
  <si>
    <t>Shadmehr, Reza.</t>
  </si>
  <si>
    <t>Computational neuroscience</t>
  </si>
  <si>
    <t>49003:eng</t>
  </si>
  <si>
    <t>54529569</t>
  </si>
  <si>
    <t>ocm54529569</t>
  </si>
  <si>
    <t>31024219837</t>
  </si>
  <si>
    <t>9780262195089</t>
  </si>
  <si>
    <t>793863882</t>
  </si>
  <si>
    <t>QP303 T44 2015</t>
  </si>
  <si>
    <t>0                      QP 0303000T  44          2015</t>
  </si>
  <si>
    <t>Kinesiology : an introduction to exercise science / Ted Temertzoglou (lead author, health and physical education consultant, Toronto) ; contributing authors, James Mandigo (Brock University), Paul Challen (sports writer and author), Lori Livingston (Lakehead University), Brian Roy (Brock University).</t>
  </si>
  <si>
    <t>Temertzoglou, Ted, 1964- author.</t>
  </si>
  <si>
    <t>Toronto, Ontario : Thompson Educational Publishing, Inc., [2015]</t>
  </si>
  <si>
    <t>9020864273:eng</t>
  </si>
  <si>
    <t>904184965</t>
  </si>
  <si>
    <t>ocn904184965</t>
  </si>
  <si>
    <t>3103759253Z</t>
  </si>
  <si>
    <t>9781550772333</t>
  </si>
  <si>
    <t>794990121</t>
  </si>
  <si>
    <t>QP303 T56 2004</t>
  </si>
  <si>
    <t>0                      QP 0303000T  56          2004</t>
  </si>
  <si>
    <t>Manual of structural kinesiology / R.T. Floyd, Clem W. Thompson.</t>
  </si>
  <si>
    <t>Floyd, R. T.</t>
  </si>
  <si>
    <t>Boston : McGraw-Hill, ©2004.</t>
  </si>
  <si>
    <t>843221:eng</t>
  </si>
  <si>
    <t>51305691</t>
  </si>
  <si>
    <t>ocm51305691</t>
  </si>
  <si>
    <t>3102536303A</t>
  </si>
  <si>
    <t>9780072558913</t>
  </si>
  <si>
    <t>793782684</t>
  </si>
  <si>
    <t>QP303 V38 1993</t>
  </si>
  <si>
    <t>0                      QP 0303000V  38          1993</t>
  </si>
  <si>
    <t>Variability and motor control / Karl M. Newell, Daniel M. Corcos, editors.</t>
  </si>
  <si>
    <t>Champaign IL : Human Kinetics Publishers, ©1993.</t>
  </si>
  <si>
    <t>363856232:eng</t>
  </si>
  <si>
    <t>26720298</t>
  </si>
  <si>
    <t>ocm26720298</t>
  </si>
  <si>
    <t>3101221956$</t>
  </si>
  <si>
    <t>9780873224246</t>
  </si>
  <si>
    <t>793250171</t>
  </si>
  <si>
    <t>QP303 V53 2005</t>
  </si>
  <si>
    <t>0                      QP 0303000V  53          2005</t>
  </si>
  <si>
    <t>Statistics in kinesiology / William J. Vincent.</t>
  </si>
  <si>
    <t>Vincent, William J.</t>
  </si>
  <si>
    <t>8208093:eng</t>
  </si>
  <si>
    <t>56729737</t>
  </si>
  <si>
    <t>ocm56729737</t>
  </si>
  <si>
    <t>3102477794$</t>
  </si>
  <si>
    <t>9780736057929</t>
  </si>
  <si>
    <t>793899690</t>
  </si>
  <si>
    <t>QP306 C68 1999</t>
  </si>
  <si>
    <t>0                      QP 0306000C  68          1999</t>
  </si>
  <si>
    <t>Coarticulation : theory, data, and techniques / edited by William J. Hardcastle and Nigel Hewlett.</t>
  </si>
  <si>
    <t>Cambridge, UK ; New York, NY, USA : Cambridge University Press, 1999.</t>
  </si>
  <si>
    <t>Cambridge studies in speech science and communication</t>
  </si>
  <si>
    <t>2015-02-08</t>
  </si>
  <si>
    <t>863764180:eng</t>
  </si>
  <si>
    <t>39981852</t>
  </si>
  <si>
    <t>ocm39981852</t>
  </si>
  <si>
    <t>3102071269V</t>
  </si>
  <si>
    <t>9780521440271</t>
  </si>
  <si>
    <t>793558275</t>
  </si>
  <si>
    <t>QP306 L4</t>
  </si>
  <si>
    <t>0                      QP 0306000L  4</t>
  </si>
  <si>
    <t>Biological foundations of language / Eric H. Lenneberg ; With appendices by Noam Chomsky and Otto Marx.</t>
  </si>
  <si>
    <t>Lenneberg, Eric H.</t>
  </si>
  <si>
    <t>New York : Wiley, [1967]</t>
  </si>
  <si>
    <t>1621656:eng</t>
  </si>
  <si>
    <t>557223</t>
  </si>
  <si>
    <t>ocm00557223</t>
  </si>
  <si>
    <t>3103400711Y</t>
  </si>
  <si>
    <t>9780471526261</t>
  </si>
  <si>
    <t>791413684</t>
  </si>
  <si>
    <t>3102916176P</t>
  </si>
  <si>
    <t>791413685</t>
  </si>
  <si>
    <t>3000967648$</t>
  </si>
  <si>
    <t>791413687</t>
  </si>
  <si>
    <t>QP310 D35 L388 2002</t>
  </si>
  <si>
    <t>0                      QP 0310000D  35                 L  388         2002</t>
  </si>
  <si>
    <t>Physics and the art of dance : understanding movement / Kenneth Laws ; photographs by Martha Swope.</t>
  </si>
  <si>
    <t>Laws, Kenneth.</t>
  </si>
  <si>
    <t>116907622:eng</t>
  </si>
  <si>
    <t>46703102</t>
  </si>
  <si>
    <t>ocm46703102</t>
  </si>
  <si>
    <t>31030188706</t>
  </si>
  <si>
    <t>9780195144826</t>
  </si>
  <si>
    <t>793689904</t>
  </si>
  <si>
    <t>QP310 D35 L388 2008</t>
  </si>
  <si>
    <t>0                      QP 0310000D  35                 L  388         2008</t>
  </si>
  <si>
    <t>Physics and the art of dance : understanding movement / Kenneth Laws with Arleen Sugano ; photographs by Martha Swope &amp; Gene Schiavone.</t>
  </si>
  <si>
    <t>Laws, Kenneth, author.</t>
  </si>
  <si>
    <t>Oxford ; New York : Oxford University Press, 2008.</t>
  </si>
  <si>
    <t>228676732</t>
  </si>
  <si>
    <t>ocn228676732</t>
  </si>
  <si>
    <t>3102977683B</t>
  </si>
  <si>
    <t>9780195341010</t>
  </si>
  <si>
    <t>794350687</t>
  </si>
  <si>
    <t>QP310 R85 B56 1990</t>
  </si>
  <si>
    <t>0                      QP 0310000R  85                 B  56          1990</t>
  </si>
  <si>
    <t>Biomechanics of distance running / Peter R. Cavanagh, [editor].</t>
  </si>
  <si>
    <t>Champaign, IL : Human Kinetics Books, ©1990.</t>
  </si>
  <si>
    <t>22590399:eng</t>
  </si>
  <si>
    <t>20635511</t>
  </si>
  <si>
    <t>ocm20635511</t>
  </si>
  <si>
    <t>31010189124</t>
  </si>
  <si>
    <t>9780873222686</t>
  </si>
  <si>
    <t>793093708</t>
  </si>
  <si>
    <t>QP310 W3 H85 2006</t>
  </si>
  <si>
    <t>0                      QP 0310000W  3                  H  85          2006</t>
  </si>
  <si>
    <t>Human walking / edited by Jessica Rose, James G. Gamble.</t>
  </si>
  <si>
    <t>Philadelphia : Lippincott Williams &amp; Wilkins, ©2006.</t>
  </si>
  <si>
    <t>2010-04-28</t>
  </si>
  <si>
    <t>364639285:eng</t>
  </si>
  <si>
    <t>61247244</t>
  </si>
  <si>
    <t>ocm61247244</t>
  </si>
  <si>
    <t>3103029607H</t>
  </si>
  <si>
    <t>9780781759540</t>
  </si>
  <si>
    <t>793949687</t>
  </si>
  <si>
    <t>QP321 B33 1967</t>
  </si>
  <si>
    <t>0                      QP 0321000B  33          1967</t>
  </si>
  <si>
    <t>Muscles alive: their functions revealed by electromyography [by] J.V. Basmajian.</t>
  </si>
  <si>
    <t>Basmajian, John V., 1921-</t>
  </si>
  <si>
    <t>Baltimore, Williams &amp; Wilkins, 1967.</t>
  </si>
  <si>
    <t>1678411:eng</t>
  </si>
  <si>
    <t>1175660</t>
  </si>
  <si>
    <t>ocm01175660</t>
  </si>
  <si>
    <t>3000829588C</t>
  </si>
  <si>
    <t>791565455</t>
  </si>
  <si>
    <t>QP321 S885 2011</t>
  </si>
  <si>
    <t>0                      QP 0321000S  885         2011</t>
  </si>
  <si>
    <t>Strength and conditioning : biological principles and practical applications / edited by Marco Cardinale, Rob Newton, and Kazunori Nosaka.</t>
  </si>
  <si>
    <t>Chichester, West Sussex, UK : John Wiley &amp; Sons, 2011.</t>
  </si>
  <si>
    <t>2014-01-08</t>
  </si>
  <si>
    <t>794361355:eng</t>
  </si>
  <si>
    <t>648080321</t>
  </si>
  <si>
    <t>ocn648080321</t>
  </si>
  <si>
    <t>3103231901N</t>
  </si>
  <si>
    <t>9780470019184</t>
  </si>
  <si>
    <t>794831040</t>
  </si>
  <si>
    <t>QP321 V36 2012</t>
  </si>
  <si>
    <t>0                      QP 0321000V  36          2012</t>
  </si>
  <si>
    <t>Cram session in manual muscle testing : a handbook for students &amp; clinicians / Lynn Van Ost.</t>
  </si>
  <si>
    <t>Van Ost, Lynn.</t>
  </si>
  <si>
    <t>Thorofare, NJ : SLACK, ©2012.</t>
  </si>
  <si>
    <t>549300924:eng</t>
  </si>
  <si>
    <t>650214447</t>
  </si>
  <si>
    <t>ocn650214447</t>
  </si>
  <si>
    <t>3103410528X</t>
  </si>
  <si>
    <t>9781556429972</t>
  </si>
  <si>
    <t>794832334</t>
  </si>
  <si>
    <t>QP331 B67</t>
  </si>
  <si>
    <t>0                      QP 0331000B  67</t>
  </si>
  <si>
    <t>The structure and function of nervous tissue / edited by Geoffrey H. Bourne.</t>
  </si>
  <si>
    <t>Bourne, Geoffrey H. (Geoffrey Howard), 1909-1988.</t>
  </si>
  <si>
    <t>New York : Academic Press, 1968-</t>
  </si>
  <si>
    <t>2015-08-19</t>
  </si>
  <si>
    <t>4061811311:eng</t>
  </si>
  <si>
    <t>516070</t>
  </si>
  <si>
    <t>ocm00516070</t>
  </si>
  <si>
    <t>3100542509V</t>
  </si>
  <si>
    <t>9780121192846</t>
  </si>
  <si>
    <t>791400523</t>
  </si>
  <si>
    <t>31005425141</t>
  </si>
  <si>
    <t>791400520</t>
  </si>
  <si>
    <t>3100542516Y</t>
  </si>
  <si>
    <t>791400519</t>
  </si>
  <si>
    <t>31005425133</t>
  </si>
  <si>
    <t>791400521</t>
  </si>
  <si>
    <t>31005425109</t>
  </si>
  <si>
    <t>791400522</t>
  </si>
  <si>
    <t>3001048397N</t>
  </si>
  <si>
    <t>791400524</t>
  </si>
  <si>
    <t>QP334 W53 1999</t>
  </si>
  <si>
    <t>0                      QP 0334000W  53          1999</t>
  </si>
  <si>
    <t>The hand : how its use shapes the brain, language, and human culture / Frank R. Wilson.</t>
  </si>
  <si>
    <t>Wilson, Frank R., author.</t>
  </si>
  <si>
    <t>New York : Vintage Books, [1999]</t>
  </si>
  <si>
    <t>First Vintage books edition.</t>
  </si>
  <si>
    <t>2019-09-22</t>
  </si>
  <si>
    <t>569940:eng</t>
  </si>
  <si>
    <t>42639508</t>
  </si>
  <si>
    <t>ocm42639508</t>
  </si>
  <si>
    <t>3103237054G</t>
  </si>
  <si>
    <t>9780679740476</t>
  </si>
  <si>
    <t>793610365</t>
  </si>
  <si>
    <t>QP351 Z6 Bd. 6</t>
  </si>
  <si>
    <t>0                      QP 0351000Z  6                                                       Bd. 6</t>
  </si>
  <si>
    <t>Über die wahrnehmung des raumes. Eine experimentell-psychologische untersuchung nebst anwendung auf ästhetik und erkenntnislehre / Von dr. E.R. Jaensch.</t>
  </si>
  <si>
    <t>Bd. 6*</t>
  </si>
  <si>
    <t>Jaensch, E. R. (Erich Rudolf), 1883-1940.</t>
  </si>
  <si>
    <t>Leipzig : J.A. Barth, 1911.</t>
  </si>
  <si>
    <t>Zeitschrift für psychologie und physiologie der sinnesorgane ... I.abt. Zeitschrift für psychologie ... Ergänzungsband 6</t>
  </si>
  <si>
    <t>196981673:ger</t>
  </si>
  <si>
    <t>1367715</t>
  </si>
  <si>
    <t>ocm01367715</t>
  </si>
  <si>
    <t>31036360622</t>
  </si>
  <si>
    <t>791610896</t>
  </si>
  <si>
    <t>QP353 A53 2015</t>
  </si>
  <si>
    <t>0                      QP 0353000A  53          2015</t>
  </si>
  <si>
    <t>Dawn of the neuron : the early struggles to trace the origin of nervous systems / Michel Anctil.</t>
  </si>
  <si>
    <t>Montreal : McGill-Queen's University Press, [2015]</t>
  </si>
  <si>
    <t>2518319640:eng</t>
  </si>
  <si>
    <t>908628855</t>
  </si>
  <si>
    <t>ocn908628855</t>
  </si>
  <si>
    <t>31036445893</t>
  </si>
  <si>
    <t>9780773545717</t>
  </si>
  <si>
    <t>794994840</t>
  </si>
  <si>
    <t>QP353 G76 1998</t>
  </si>
  <si>
    <t>0                      QP 0353000G  76          1998</t>
  </si>
  <si>
    <t>Brain, vision, memory : tales in the history of neuroscience / Charles G. Gross.</t>
  </si>
  <si>
    <t>Gross, Charles G.</t>
  </si>
  <si>
    <t>799356847:eng</t>
  </si>
  <si>
    <t>36877412</t>
  </si>
  <si>
    <t>ocm36877412</t>
  </si>
  <si>
    <t>31018766128</t>
  </si>
  <si>
    <t>9780262071864</t>
  </si>
  <si>
    <t>793486398</t>
  </si>
  <si>
    <t>QP353.3 S44 2014</t>
  </si>
  <si>
    <t>0                      QP 0353300S  44          2014</t>
  </si>
  <si>
    <t>Headhunters : the search for a science of the mind / Ben Shephard.</t>
  </si>
  <si>
    <t>Shephard, Ben, 1948- author.</t>
  </si>
  <si>
    <t>London : The Bodley Head, 2014.</t>
  </si>
  <si>
    <t>1916385803:eng</t>
  </si>
  <si>
    <t>876292233</t>
  </si>
  <si>
    <t>ocn876292233</t>
  </si>
  <si>
    <t>3103565483A</t>
  </si>
  <si>
    <t>9781847921888</t>
  </si>
  <si>
    <t>794969934</t>
  </si>
  <si>
    <t>QP353.4 B37 A3 2018</t>
  </si>
  <si>
    <t>0                      QP 0353400B  37                 A  3           2018</t>
  </si>
  <si>
    <t>The autobiography of a transgender scientist / Ben Barres ; foreword by Nancy Hopkins.</t>
  </si>
  <si>
    <t>Barres, Ben, author.</t>
  </si>
  <si>
    <t>Cambridge, Massachusetts : The MIT Press, [2018]</t>
  </si>
  <si>
    <t>4951200645:eng</t>
  </si>
  <si>
    <t>1031041198</t>
  </si>
  <si>
    <t>on1031041198</t>
  </si>
  <si>
    <t>3103812405G</t>
  </si>
  <si>
    <t>9780262039116</t>
  </si>
  <si>
    <t>795055054</t>
  </si>
  <si>
    <t>QP355.2 A65 2005</t>
  </si>
  <si>
    <t>0                      QP 0355200A  65          2005</t>
  </si>
  <si>
    <t>Neurobiology for clinical social work : theory and practice / Jeffrey S. Applegate, Janet R. Shapiro.</t>
  </si>
  <si>
    <t>Applegate, Jeffrey S.</t>
  </si>
  <si>
    <t>New York : W.W. Norton, 2005.</t>
  </si>
  <si>
    <t>14448039:eng</t>
  </si>
  <si>
    <t>58422773</t>
  </si>
  <si>
    <t>ocm58422773</t>
  </si>
  <si>
    <t>3102491019D</t>
  </si>
  <si>
    <t>9780393704204</t>
  </si>
  <si>
    <t>793920657</t>
  </si>
  <si>
    <t>QP355.2 N487 2004</t>
  </si>
  <si>
    <t>0                      QP 0355200N  487         2004</t>
  </si>
  <si>
    <t>Neuroscience / edited by Dale Purves [and others].</t>
  </si>
  <si>
    <t>Sunderland, Mass. : Sinauer Associates, Publishers, ©2004.</t>
  </si>
  <si>
    <t>1060836638:eng</t>
  </si>
  <si>
    <t>54487447</t>
  </si>
  <si>
    <t>ocm54487447</t>
  </si>
  <si>
    <t>3102510644R</t>
  </si>
  <si>
    <t>9780878937257</t>
  </si>
  <si>
    <t>793862752</t>
  </si>
  <si>
    <t>2011-11-29</t>
  </si>
  <si>
    <t>3102510640R</t>
  </si>
  <si>
    <t>793862754</t>
  </si>
  <si>
    <t>2011-09-20</t>
  </si>
  <si>
    <t>3102510649R</t>
  </si>
  <si>
    <t>793862753</t>
  </si>
  <si>
    <t>QP355.2 N487 2008</t>
  </si>
  <si>
    <t>0                      QP 0355200N  487         2008</t>
  </si>
  <si>
    <t>Sunderland, Mass. : Sinauer, ©2008.</t>
  </si>
  <si>
    <t>144771764</t>
  </si>
  <si>
    <t>ocn144771764</t>
  </si>
  <si>
    <t>31026417077</t>
  </si>
  <si>
    <t>9780878936977</t>
  </si>
  <si>
    <t>794237017</t>
  </si>
  <si>
    <t>3103144121W</t>
  </si>
  <si>
    <t>794237015</t>
  </si>
  <si>
    <t>3102798385I</t>
  </si>
  <si>
    <t>794237018</t>
  </si>
  <si>
    <t>3103119214Q</t>
  </si>
  <si>
    <t>794237014</t>
  </si>
  <si>
    <t>QP355.2 N487 2012</t>
  </si>
  <si>
    <t>0                      QP 0355200N  487         2012</t>
  </si>
  <si>
    <t>Neuroscience / editors, Dale Purves [and others].</t>
  </si>
  <si>
    <t>754389847</t>
  </si>
  <si>
    <t>ocn754389847</t>
  </si>
  <si>
    <t>3103699314O</t>
  </si>
  <si>
    <t>9780878936953</t>
  </si>
  <si>
    <t>794892790</t>
  </si>
  <si>
    <t>3103699310W</t>
  </si>
  <si>
    <t>794892794</t>
  </si>
  <si>
    <t>QP355.2 N487 2018</t>
  </si>
  <si>
    <t>0                      QP 0355200N  487         2018</t>
  </si>
  <si>
    <t>Neuroscience / editors, Dale Purves, George J. Augustine, David Fitzpatrick, William C. Hall, Anthony-Samuel LaMantia, Richard D. Mooney, Michael L. Platt, Leonard E. White.</t>
  </si>
  <si>
    <t>New York : Oxford University Press, [2018]</t>
  </si>
  <si>
    <t>990257568</t>
  </si>
  <si>
    <t>ocn990257568</t>
  </si>
  <si>
    <t>3103879894F</t>
  </si>
  <si>
    <t>9781605353807</t>
  </si>
  <si>
    <t>795037637</t>
  </si>
  <si>
    <t>31038799033</t>
  </si>
  <si>
    <t>795037640</t>
  </si>
  <si>
    <t>31038798995</t>
  </si>
  <si>
    <t>795037638</t>
  </si>
  <si>
    <t>QP355.2 P53 2016</t>
  </si>
  <si>
    <t>0                      QP 0355200P  53          2016</t>
  </si>
  <si>
    <t>Plasticity and pathology : on the formation of the neural subject / edited by David Bates and Nima Bassiri.</t>
  </si>
  <si>
    <t>Plasticity and Pathology: History and Theory of Neural Subjects (Workshop) (2014 : Berkley, Calif.), author.</t>
  </si>
  <si>
    <t>Berkeley : Townsend Center for the Humanities University of Carlifornia ; New York : Fordham University Press, [2016]</t>
  </si>
  <si>
    <t>Berkeley forum in the humanities</t>
  </si>
  <si>
    <t>2573261402:eng</t>
  </si>
  <si>
    <t>913890484</t>
  </si>
  <si>
    <t>ocn913890484</t>
  </si>
  <si>
    <t>31036530900</t>
  </si>
  <si>
    <t>9780823266135</t>
  </si>
  <si>
    <t>794999723</t>
  </si>
  <si>
    <t>QP355.2 P76 1985</t>
  </si>
  <si>
    <t>0                      QP 0355200P  76          1985</t>
  </si>
  <si>
    <t>Principles of neural science / edited by Eric R. Kandel and James H. Schwartz ; art rendered by Jonathan Dimes.</t>
  </si>
  <si>
    <t>New York : Elsevier, ©1985.</t>
  </si>
  <si>
    <t>2012-09-05</t>
  </si>
  <si>
    <t>501790322:eng</t>
  </si>
  <si>
    <t>11865921</t>
  </si>
  <si>
    <t>ocm11865921</t>
  </si>
  <si>
    <t>3001028309L</t>
  </si>
  <si>
    <t>9780444009449</t>
  </si>
  <si>
    <t>792791528</t>
  </si>
  <si>
    <t>QP355.2 P76 2013</t>
  </si>
  <si>
    <t>0                      QP 0355200P  76          2013</t>
  </si>
  <si>
    <t>Principles of neural science / edited by Eric R. Kandel [and others] ; art editor, Sarah Mack.</t>
  </si>
  <si>
    <t>New York : McGraw-Hill, [2013]</t>
  </si>
  <si>
    <t>795553723</t>
  </si>
  <si>
    <t>ocn795553723</t>
  </si>
  <si>
    <t>3103629252P</t>
  </si>
  <si>
    <t>9780071390118</t>
  </si>
  <si>
    <t>794921318</t>
  </si>
  <si>
    <t>QP355.2 V47 2014</t>
  </si>
  <si>
    <t>0                      QP 0355200V  47          2014</t>
  </si>
  <si>
    <t>Do zombies dream of undead sheep? : a neuroscientific view of the zombie brain / Timothy Verstynen &amp; Bradley Voytek.</t>
  </si>
  <si>
    <t>Verstynen, Timothy, 1978-</t>
  </si>
  <si>
    <t>Princeton ; Oxford : Princeton University Press, [2014]</t>
  </si>
  <si>
    <t>2082808984:eng</t>
  </si>
  <si>
    <t>877364364</t>
  </si>
  <si>
    <t>ocn877364364</t>
  </si>
  <si>
    <t>31036972125</t>
  </si>
  <si>
    <t>9780691157283</t>
  </si>
  <si>
    <t>794970826</t>
  </si>
  <si>
    <t>QP356 B74 1984</t>
  </si>
  <si>
    <t>0                      QP 0356000B  74          1984</t>
  </si>
  <si>
    <t>Vehicles, experiments in synthetic psychology / Valentino Braitenberg.</t>
  </si>
  <si>
    <t>Braitenberg, Valentino.</t>
  </si>
  <si>
    <t>Cambridge, Mass. : MIT Press, ©1984.</t>
  </si>
  <si>
    <t>Bradford books</t>
  </si>
  <si>
    <t>293395422:eng</t>
  </si>
  <si>
    <t>10753133</t>
  </si>
  <si>
    <t>ocm10753133</t>
  </si>
  <si>
    <t>3103643917H</t>
  </si>
  <si>
    <t>9780262022088</t>
  </si>
  <si>
    <t>792741088</t>
  </si>
  <si>
    <t>QP356 C4713 2012</t>
  </si>
  <si>
    <t>0                      QP 0356000C  4713        2012</t>
  </si>
  <si>
    <t>The good, the true, &amp; the beautiful : a neuronal approach / Jean-Pierre Changeux ; translated and revised by Laurence Garey.</t>
  </si>
  <si>
    <t>Changeux, Jean-Pierre.</t>
  </si>
  <si>
    <t>New Haven ; London : Yale University Press ; Paris : Odile Jacob, 2012.</t>
  </si>
  <si>
    <t>2014-01-04</t>
  </si>
  <si>
    <t>2973809489:eng</t>
  </si>
  <si>
    <t>759174111</t>
  </si>
  <si>
    <t>ocn759174111</t>
  </si>
  <si>
    <t>31034149029</t>
  </si>
  <si>
    <t>9780300161397</t>
  </si>
  <si>
    <t>794897091</t>
  </si>
  <si>
    <t>QP356 C48 1992</t>
  </si>
  <si>
    <t>0                      QP 0356000C  48          1992</t>
  </si>
  <si>
    <t>The computational brain / Patricia S. Churchland and Terrence J. Sejnowski.</t>
  </si>
  <si>
    <t>Churchland, Patricia Smith.</t>
  </si>
  <si>
    <t>2019-09-01</t>
  </si>
  <si>
    <t>874786:eng</t>
  </si>
  <si>
    <t>24110588</t>
  </si>
  <si>
    <t>ocm24110588</t>
  </si>
  <si>
    <t>3102149025U</t>
  </si>
  <si>
    <t>9780262031882</t>
  </si>
  <si>
    <t>793190136</t>
  </si>
  <si>
    <t>QP356 G25</t>
  </si>
  <si>
    <t>0                      QP 0356000G  25</t>
  </si>
  <si>
    <t>Macromolecules and behavior / edited by John Gaito.</t>
  </si>
  <si>
    <t>New York : Appleton-Century-Crofts, 1966.</t>
  </si>
  <si>
    <t>1121971237:eng</t>
  </si>
  <si>
    <t>556740</t>
  </si>
  <si>
    <t>ocm00556740</t>
  </si>
  <si>
    <t>30004970726</t>
  </si>
  <si>
    <t>791413508</t>
  </si>
  <si>
    <t>QP356 L9 1985</t>
  </si>
  <si>
    <t>0                      QP 0356000L  9           1985</t>
  </si>
  <si>
    <t>Art and artifact in laboratory science : a study of shop work and shop talk in a research laboratory / Michael Lynch.</t>
  </si>
  <si>
    <t>London ; Boston : Routledge &amp; Kegan Paul, 1985.</t>
  </si>
  <si>
    <t>Studies in ethnomethodology</t>
  </si>
  <si>
    <t>365375115:eng</t>
  </si>
  <si>
    <t>10753409</t>
  </si>
  <si>
    <t>ocm10753409</t>
  </si>
  <si>
    <t>3102964924V</t>
  </si>
  <si>
    <t>9780710097538</t>
  </si>
  <si>
    <t>792741177</t>
  </si>
  <si>
    <t>QP356 S44</t>
  </si>
  <si>
    <t>0                      QP 0356000S  44</t>
  </si>
  <si>
    <t>The stress of life.</t>
  </si>
  <si>
    <t>New York, McGraw-Hill [©1956]</t>
  </si>
  <si>
    <t>2010-05-12</t>
  </si>
  <si>
    <t>406399:eng</t>
  </si>
  <si>
    <t>525839</t>
  </si>
  <si>
    <t>ocm00525839</t>
  </si>
  <si>
    <t>3103601763F</t>
  </si>
  <si>
    <t>9780070562066</t>
  </si>
  <si>
    <t>791403626</t>
  </si>
  <si>
    <t>2014-03-09</t>
  </si>
  <si>
    <t>30008172786</t>
  </si>
  <si>
    <t>791403628</t>
  </si>
  <si>
    <t>2011-03-15</t>
  </si>
  <si>
    <t>3000968847P</t>
  </si>
  <si>
    <t>791403629</t>
  </si>
  <si>
    <t>3000330072A</t>
  </si>
  <si>
    <t>791403625</t>
  </si>
  <si>
    <t>QP356 S44 1976</t>
  </si>
  <si>
    <t>0                      QP 0356000S  44          1976</t>
  </si>
  <si>
    <t>The stress of life / by Hans Selye.</t>
  </si>
  <si>
    <t>New York : McGraw-Hill, ©1976.</t>
  </si>
  <si>
    <t>2011-10-18</t>
  </si>
  <si>
    <t>2101821</t>
  </si>
  <si>
    <t>ocm02101821</t>
  </si>
  <si>
    <t>30004657629</t>
  </si>
  <si>
    <t>9780070562080</t>
  </si>
  <si>
    <t>792046095</t>
  </si>
  <si>
    <t>3000812784G</t>
  </si>
  <si>
    <t>792046094</t>
  </si>
  <si>
    <t>QP356.2 L48 1997</t>
  </si>
  <si>
    <t>0                      QP 0356200L  48          1997</t>
  </si>
  <si>
    <t>The neuron : cell and molecular biology / Irwin B. Levitan, Leonard K. Kaczmarek.</t>
  </si>
  <si>
    <t>Levitan, Irwin B.</t>
  </si>
  <si>
    <t>2007-04-26</t>
  </si>
  <si>
    <t>2015-12-19</t>
  </si>
  <si>
    <t>20397133:eng</t>
  </si>
  <si>
    <t>34851315</t>
  </si>
  <si>
    <t>ocm34851315</t>
  </si>
  <si>
    <t>31018937305</t>
  </si>
  <si>
    <t>9780195100204</t>
  </si>
  <si>
    <t>793437436</t>
  </si>
  <si>
    <t>QP356.25 K65 1995</t>
  </si>
  <si>
    <t>0                      QP 0356250K  65          1995</t>
  </si>
  <si>
    <t>Brain plasticity and behavior / Bryan Kolb.</t>
  </si>
  <si>
    <t>Kolb, Bryan, 1947-</t>
  </si>
  <si>
    <t>Mahwah, N.J. : Lawrence Erlbaum Associates, 1995.</t>
  </si>
  <si>
    <t>33724219:eng</t>
  </si>
  <si>
    <t>31710175</t>
  </si>
  <si>
    <t>ocm31710175</t>
  </si>
  <si>
    <t>3101514922N</t>
  </si>
  <si>
    <t>9780805815207</t>
  </si>
  <si>
    <t>793366272</t>
  </si>
  <si>
    <t>QP356.4 B76 1994</t>
  </si>
  <si>
    <t>0                      QP 0356400B  76          1994</t>
  </si>
  <si>
    <t>An introduction to neuroendocrinology / Richard E. Brown.</t>
  </si>
  <si>
    <t>Brown, Richard E.</t>
  </si>
  <si>
    <t>Cambridge ; New York : Cambridge University Press, ©1994.</t>
  </si>
  <si>
    <t>342847:eng</t>
  </si>
  <si>
    <t>27729242</t>
  </si>
  <si>
    <t>ocm27729242</t>
  </si>
  <si>
    <t>3102941770C</t>
  </si>
  <si>
    <t>9780521416450</t>
  </si>
  <si>
    <t>793270992</t>
  </si>
  <si>
    <t>2014-01-16</t>
  </si>
  <si>
    <t>3102941765E</t>
  </si>
  <si>
    <t>793270990</t>
  </si>
  <si>
    <t>3103149654S</t>
  </si>
  <si>
    <t>793270993</t>
  </si>
  <si>
    <t>QP356.45 N43 2008</t>
  </si>
  <si>
    <t>0                      QP 0356450N  43          2008</t>
  </si>
  <si>
    <t>Hormones and behaviour : a psychological approach / Nick Neave.</t>
  </si>
  <si>
    <t>Neave, Nick, 1964-</t>
  </si>
  <si>
    <t>Cambridge ; New York : Cambridge University Press, 2008.</t>
  </si>
  <si>
    <t>863062891:eng</t>
  </si>
  <si>
    <t>166357546</t>
  </si>
  <si>
    <t>ocn166357546</t>
  </si>
  <si>
    <t>31030592514</t>
  </si>
  <si>
    <t>9780521871457</t>
  </si>
  <si>
    <t>794260418</t>
  </si>
  <si>
    <t>QP356.45 N45 2005</t>
  </si>
  <si>
    <t>0                      QP 0356450N  45          2005</t>
  </si>
  <si>
    <t>An introduction to behavioral endocrinology / Randy J. Nelson.</t>
  </si>
  <si>
    <t>Nelson, Randy Joe.</t>
  </si>
  <si>
    <t>Sunderland, Mass. : Sinauer Associates, ©2005.</t>
  </si>
  <si>
    <t>101014:eng</t>
  </si>
  <si>
    <t>61027174</t>
  </si>
  <si>
    <t>ocm61027174</t>
  </si>
  <si>
    <t>3103216644E</t>
  </si>
  <si>
    <t>9780878936175</t>
  </si>
  <si>
    <t>793946021</t>
  </si>
  <si>
    <t>QP356.47 L56 2002</t>
  </si>
  <si>
    <t>0                      QP 0356470L  56          2002</t>
  </si>
  <si>
    <t>The link between religion and health : psychoneuroimmunology and the faith factor / edited by Harold G. Koenig, Harvey Jay Cohen.</t>
  </si>
  <si>
    <t>1074665443:eng</t>
  </si>
  <si>
    <t>45556186</t>
  </si>
  <si>
    <t>ocm45556186</t>
  </si>
  <si>
    <t>3103014054D</t>
  </si>
  <si>
    <t>9780195143607</t>
  </si>
  <si>
    <t>793673746</t>
  </si>
  <si>
    <t>QP357.5 K69 2016</t>
  </si>
  <si>
    <t>0                      QP 0357500K  69          2016</t>
  </si>
  <si>
    <t>Case studies in neural data analysis : a guide for the practicing neuroscientist / Mark A. Kramer and Uri T. Eden.</t>
  </si>
  <si>
    <t>Kramer, Mark A., author.</t>
  </si>
  <si>
    <t>2974768032:eng</t>
  </si>
  <si>
    <t>946160404</t>
  </si>
  <si>
    <t>ocn946160404</t>
  </si>
  <si>
    <t>3103657710D</t>
  </si>
  <si>
    <t>9780262529372</t>
  </si>
  <si>
    <t>795014320</t>
  </si>
  <si>
    <t>QP360 A53 2001</t>
  </si>
  <si>
    <t>0                      QP 0360000A  53          2001</t>
  </si>
  <si>
    <t>Neuropsychology : from theory to practice / David G. Andrewes.</t>
  </si>
  <si>
    <t>Andrewes, David G., 1946-</t>
  </si>
  <si>
    <t>Hove, East Sussex : Psychology Press, 2001.</t>
  </si>
  <si>
    <t>837051996:eng</t>
  </si>
  <si>
    <t>46401884</t>
  </si>
  <si>
    <t>ocm46401884</t>
  </si>
  <si>
    <t>3102180007G</t>
  </si>
  <si>
    <t>9781841692913</t>
  </si>
  <si>
    <t>793684083</t>
  </si>
  <si>
    <t>QP360 B44 2011</t>
  </si>
  <si>
    <t>0                      QP 0360000B  44          2011</t>
  </si>
  <si>
    <t>Neuroanatomy of social behaviour : an evolutionary and psychoanalytic perspective / Ralf-Peter Behrendt.</t>
  </si>
  <si>
    <t>Behrendt, Ralf-Peter.</t>
  </si>
  <si>
    <t>London : Karnac Books, ©2011.</t>
  </si>
  <si>
    <t>764605030:eng</t>
  </si>
  <si>
    <t>692290750</t>
  </si>
  <si>
    <t>ocn692290750</t>
  </si>
  <si>
    <t>3103364868I</t>
  </si>
  <si>
    <t>9781855758803</t>
  </si>
  <si>
    <t>794856133</t>
  </si>
  <si>
    <t>QP360 B563 1986</t>
  </si>
  <si>
    <t>0                      QP 0360000B  563         1986</t>
  </si>
  <si>
    <t>The Biological foundations of gestures : motor and semiotic aspects / edited by Jean-Luc Nespoulous, Paul Perron, André Roch Lecours.</t>
  </si>
  <si>
    <t>Hillsdale, N.J. : L. Erlbaum Associates, 1986.</t>
  </si>
  <si>
    <t>Neuropsychology and neurolinguistics</t>
  </si>
  <si>
    <t>889415934:eng</t>
  </si>
  <si>
    <t>13185813</t>
  </si>
  <si>
    <t>ocm13185813</t>
  </si>
  <si>
    <t>3000473637G</t>
  </si>
  <si>
    <t>9780898596458</t>
  </si>
  <si>
    <t>792844133</t>
  </si>
  <si>
    <t>QP360 B585 1988</t>
  </si>
  <si>
    <t>0                      QP 0360000B  585         1988</t>
  </si>
  <si>
    <t>Brain, mind, and behavior / Floyd E. Bloom, Arlyne Lazerson.</t>
  </si>
  <si>
    <t>Bloom, Floyd E.</t>
  </si>
  <si>
    <t>New York : Freeman, ©1988.</t>
  </si>
  <si>
    <t>2009-01-17</t>
  </si>
  <si>
    <t>2018-02-07</t>
  </si>
  <si>
    <t>640407:eng</t>
  </si>
  <si>
    <t>17258720</t>
  </si>
  <si>
    <t>ocm17258720</t>
  </si>
  <si>
    <t>3103007973C</t>
  </si>
  <si>
    <t>9780716718635</t>
  </si>
  <si>
    <t>792985591</t>
  </si>
  <si>
    <t>QP360 C35 1986</t>
  </si>
  <si>
    <t>0                      QP 0360000C  35          1986</t>
  </si>
  <si>
    <t>Physiology of behavior / Neil R. Carlson.</t>
  </si>
  <si>
    <t>Carlson, Neil R., 1942-</t>
  </si>
  <si>
    <t>Boston : Allyn &amp; Bacon, ©1986.</t>
  </si>
  <si>
    <t>666131:eng</t>
  </si>
  <si>
    <t>12189376</t>
  </si>
  <si>
    <t>ocm12189376</t>
  </si>
  <si>
    <t>3100021459Z</t>
  </si>
  <si>
    <t>9780205085019</t>
  </si>
  <si>
    <t>792805429</t>
  </si>
  <si>
    <t>QP360 C35 2001</t>
  </si>
  <si>
    <t>0                      QP 0360000C  35          2001</t>
  </si>
  <si>
    <t>Boston : Allyn and Bacon, ©2001.</t>
  </si>
  <si>
    <t>2017-02-18</t>
  </si>
  <si>
    <t>43801027</t>
  </si>
  <si>
    <t>ocm43801027</t>
  </si>
  <si>
    <t>31020438402</t>
  </si>
  <si>
    <t>9780205308408</t>
  </si>
  <si>
    <t>793634983</t>
  </si>
  <si>
    <t>(text+ CD-ROM)</t>
  </si>
  <si>
    <t>3101125212Y</t>
  </si>
  <si>
    <t>793634984</t>
  </si>
  <si>
    <t>QP360 C35 2004</t>
  </si>
  <si>
    <t>0                      QP 0360000C  35          2004</t>
  </si>
  <si>
    <t>51892543</t>
  </si>
  <si>
    <t>ocm51892543</t>
  </si>
  <si>
    <t>3102309195D</t>
  </si>
  <si>
    <t>9780205381753</t>
  </si>
  <si>
    <t>793793559</t>
  </si>
  <si>
    <t>QP360 C35 2007</t>
  </si>
  <si>
    <t>0                      QP 0360000C  35          2007</t>
  </si>
  <si>
    <t>Boston : Pearson Allyn &amp; Bacon, ©2007.</t>
  </si>
  <si>
    <t>63297953</t>
  </si>
  <si>
    <t>ocm63297953</t>
  </si>
  <si>
    <t>31029421033</t>
  </si>
  <si>
    <t>9780205467242</t>
  </si>
  <si>
    <t>794121030</t>
  </si>
  <si>
    <t>3102579121H</t>
  </si>
  <si>
    <t>794121028</t>
  </si>
  <si>
    <t>3103526681K</t>
  </si>
  <si>
    <t>794121027</t>
  </si>
  <si>
    <t>31031439782</t>
  </si>
  <si>
    <t>794121031</t>
  </si>
  <si>
    <t>QP360 C35 2010</t>
  </si>
  <si>
    <t>0                      QP 0360000C  35          2010</t>
  </si>
  <si>
    <t>263605380</t>
  </si>
  <si>
    <t>ocn263605380</t>
  </si>
  <si>
    <t>31033497965</t>
  </si>
  <si>
    <t>9780205666270</t>
  </si>
  <si>
    <t>794404031</t>
  </si>
  <si>
    <t>31031008700</t>
  </si>
  <si>
    <t>794404028</t>
  </si>
  <si>
    <t>2015-03-05</t>
  </si>
  <si>
    <t>3103149646U</t>
  </si>
  <si>
    <t>794404030</t>
  </si>
  <si>
    <t>QP360 C35 2013</t>
  </si>
  <si>
    <t>0                      QP 0360000C  35          2013</t>
  </si>
  <si>
    <t>Carlson, Neil R., 1942- author.</t>
  </si>
  <si>
    <t>769818904</t>
  </si>
  <si>
    <t>ocn769818904</t>
  </si>
  <si>
    <t>3103586067C</t>
  </si>
  <si>
    <t>9780205239399</t>
  </si>
  <si>
    <t>794903651</t>
  </si>
  <si>
    <t>3103586068C</t>
  </si>
  <si>
    <t>794903654</t>
  </si>
  <si>
    <t>3103586069C</t>
  </si>
  <si>
    <t>794903653</t>
  </si>
  <si>
    <t>3103550904$</t>
  </si>
  <si>
    <t>794903652</t>
  </si>
  <si>
    <t>QP360 C37 2014</t>
  </si>
  <si>
    <t>0                      QP 0360000C  37          2014</t>
  </si>
  <si>
    <t>Foundations of behavioral neuroscience.</t>
  </si>
  <si>
    <t>Carlson, Neil R.</t>
  </si>
  <si>
    <t>Upper Saddle River : Pearson, 2013.</t>
  </si>
  <si>
    <t>365124871:eng</t>
  </si>
  <si>
    <t>846786519</t>
  </si>
  <si>
    <t>ocn846786519</t>
  </si>
  <si>
    <t>3103637766Z</t>
  </si>
  <si>
    <t>9780205962099</t>
  </si>
  <si>
    <t>794949278</t>
  </si>
  <si>
    <t>31036377618</t>
  </si>
  <si>
    <t>794949276</t>
  </si>
  <si>
    <t>31036377561</t>
  </si>
  <si>
    <t>794949274</t>
  </si>
  <si>
    <t>3103637233X</t>
  </si>
  <si>
    <t>794949275</t>
  </si>
  <si>
    <t>QP360 C455 1983</t>
  </si>
  <si>
    <t>0                      QP 0360000C  455         1983</t>
  </si>
  <si>
    <t>L'homme neuronal / Jean-Pierre Changeux.</t>
  </si>
  <si>
    <t>Paris : Fayard, ©1983.</t>
  </si>
  <si>
    <t>Le Temps des sciences</t>
  </si>
  <si>
    <t>63016:fre</t>
  </si>
  <si>
    <t>10290393</t>
  </si>
  <si>
    <t>ocm10290393</t>
  </si>
  <si>
    <t>3103300131H</t>
  </si>
  <si>
    <t>9782213012476</t>
  </si>
  <si>
    <t>792718404</t>
  </si>
  <si>
    <t>QP360 C45513 1985</t>
  </si>
  <si>
    <t>0                      QP 0360000C  45513       1985</t>
  </si>
  <si>
    <t>Neuronal man : the biology of mind / by Jean-Pierre Changeux ; translated by Laurence Garey.</t>
  </si>
  <si>
    <t>New York : Pantheon Books, ©1985.</t>
  </si>
  <si>
    <t>63016:eng</t>
  </si>
  <si>
    <t>11518580</t>
  </si>
  <si>
    <t>ocm11518580</t>
  </si>
  <si>
    <t>31031368464</t>
  </si>
  <si>
    <t>9780394536927</t>
  </si>
  <si>
    <t>792776387</t>
  </si>
  <si>
    <t>QP360 C49 1986</t>
  </si>
  <si>
    <t>0                      QP 0360000C  49          1986</t>
  </si>
  <si>
    <t>Neurophilosophy : toward a unified science of the mind-brain / Patricia Smith Churchland.</t>
  </si>
  <si>
    <t>Cambridge, Mass. : MIT Press, 1989.</t>
  </si>
  <si>
    <t>Computational models of cognition and perception</t>
  </si>
  <si>
    <t>874785:eng</t>
  </si>
  <si>
    <t>24537014</t>
  </si>
  <si>
    <t>ocm24537014</t>
  </si>
  <si>
    <t>3103710796T</t>
  </si>
  <si>
    <t>9780262530859</t>
  </si>
  <si>
    <t>793200355</t>
  </si>
  <si>
    <t>QP360 G375 2015</t>
  </si>
  <si>
    <t>0                      QP 0360000G  375         2015</t>
  </si>
  <si>
    <t>Brain &amp; behavior : an introduction to biological psychology / Bob Garrett, Visiting Scholar, California Polytechnic State University, San Luis Obispo ; contributions by Gerald Hough, Rowan University, John Agnew, University of Colorado Boulder.</t>
  </si>
  <si>
    <t>Garrett, Bob.</t>
  </si>
  <si>
    <t>Los Angeles : SAGE, [2015]</t>
  </si>
  <si>
    <t>4th edition.</t>
  </si>
  <si>
    <t>792437266:eng</t>
  </si>
  <si>
    <t>876833285</t>
  </si>
  <si>
    <t>ocn876833285</t>
  </si>
  <si>
    <t>31036415362</t>
  </si>
  <si>
    <t>9781452260952</t>
  </si>
  <si>
    <t>794970328</t>
  </si>
  <si>
    <t>QP360 G392 1998</t>
  </si>
  <si>
    <t>0                      QP 0360000G  392         1998</t>
  </si>
  <si>
    <t>The mind's past / Michael S. Gazzaniga.</t>
  </si>
  <si>
    <t>Gazzaniga, Michael S.</t>
  </si>
  <si>
    <t>Berkeley, Calif. : University of California Press, ©1998.</t>
  </si>
  <si>
    <t>46946:eng</t>
  </si>
  <si>
    <t>37890322</t>
  </si>
  <si>
    <t>ocm37890322</t>
  </si>
  <si>
    <t>31032931215</t>
  </si>
  <si>
    <t>9780520213203</t>
  </si>
  <si>
    <t>793509430</t>
  </si>
  <si>
    <t>QP360 H435 2005</t>
  </si>
  <si>
    <t>0                      QP 0360000H  435         2005</t>
  </si>
  <si>
    <t>Creativity and the brain / Kenneth M. Heilman.</t>
  </si>
  <si>
    <t>Heilman, Kenneth M., 1938-</t>
  </si>
  <si>
    <t>New York, N.Y. : Psychology Press, 2005.</t>
  </si>
  <si>
    <t>921247:eng</t>
  </si>
  <si>
    <t>55085878</t>
  </si>
  <si>
    <t>ocm55085878</t>
  </si>
  <si>
    <t>31025795295</t>
  </si>
  <si>
    <t>9781841694252</t>
  </si>
  <si>
    <t>793874096</t>
  </si>
  <si>
    <t>QP360 H56 2004</t>
  </si>
  <si>
    <t>0                      QP 0360000H  56          2004</t>
  </si>
  <si>
    <t>Brain gender / Melissa Hines.</t>
  </si>
  <si>
    <t>Hines, Melissa.</t>
  </si>
  <si>
    <t>661269:eng</t>
  </si>
  <si>
    <t>51804960</t>
  </si>
  <si>
    <t>ocm51804960</t>
  </si>
  <si>
    <t>3102339445$</t>
  </si>
  <si>
    <t>9780195084108</t>
  </si>
  <si>
    <t>793791463</t>
  </si>
  <si>
    <t>QP360 K454 1995</t>
  </si>
  <si>
    <t>0                      QP 0360000K  454         1995</t>
  </si>
  <si>
    <t>Dynamic patterns : the self-organization of brain and behavior / J.A. Scott Kelso.</t>
  </si>
  <si>
    <t>Kelso, J. A. Scott.</t>
  </si>
  <si>
    <t>Cambridge, Mass. : MIT Press, ©1995.</t>
  </si>
  <si>
    <t>799925484:eng</t>
  </si>
  <si>
    <t>30974863</t>
  </si>
  <si>
    <t>ocm30974863</t>
  </si>
  <si>
    <t>3101469290N</t>
  </si>
  <si>
    <t>9780262112000</t>
  </si>
  <si>
    <t>793350338</t>
  </si>
  <si>
    <t>QP360 M328 2003</t>
  </si>
  <si>
    <t>0                      QP 0360000M  328         2003</t>
  </si>
  <si>
    <t>Essential biological psychology / G. Neil Martin.</t>
  </si>
  <si>
    <t>Martin, G. Neil.</t>
  </si>
  <si>
    <t>London : Arnold ; New York : Oxford University Press, 2003.</t>
  </si>
  <si>
    <t>Essential psychology series</t>
  </si>
  <si>
    <t>2015-05-12</t>
  </si>
  <si>
    <t>682792:eng</t>
  </si>
  <si>
    <t>51568685</t>
  </si>
  <si>
    <t>ocm51568685</t>
  </si>
  <si>
    <t>3102314846H</t>
  </si>
  <si>
    <t>9780340808979</t>
  </si>
  <si>
    <t>793787084</t>
  </si>
  <si>
    <t>QP360 N4925 2009</t>
  </si>
  <si>
    <t>0                      QP 0360000N  4925        2009</t>
  </si>
  <si>
    <t>Neurobiology of "Umwelt" : how living beings perceive the world / A. Berthoz, Y. Christen, editors.</t>
  </si>
  <si>
    <t>Berlin : Springer, 2009.</t>
  </si>
  <si>
    <t>Research and perspectives in neurosciences</t>
  </si>
  <si>
    <t>1074504598:eng</t>
  </si>
  <si>
    <t>299239001</t>
  </si>
  <si>
    <t>ocn299239001</t>
  </si>
  <si>
    <t>3103056116R</t>
  </si>
  <si>
    <t>9783540858966</t>
  </si>
  <si>
    <t>794428959</t>
  </si>
  <si>
    <t>QP360 O8413 2016</t>
  </si>
  <si>
    <t>0                      QP 0360000O  8413        2016</t>
  </si>
  <si>
    <t>The mimetic brain / Jean-Michel Oughourlian ; translated by Trevor Cribben Merrill.</t>
  </si>
  <si>
    <t>Oughourlian, Jean-Michel.</t>
  </si>
  <si>
    <t>East Lansing : Michigan State University Press, [2016]</t>
  </si>
  <si>
    <t>Studies in violence, mimesis, and culture</t>
  </si>
  <si>
    <t>2616045161:eng</t>
  </si>
  <si>
    <t>920469566</t>
  </si>
  <si>
    <t>ocn920469566</t>
  </si>
  <si>
    <t>3103653219Z</t>
  </si>
  <si>
    <t>9781611861891</t>
  </si>
  <si>
    <t>795002286</t>
  </si>
  <si>
    <t>QP360 P43 2009</t>
  </si>
  <si>
    <t>0                      QP 0360000P  43          2009</t>
  </si>
  <si>
    <t>The playful brain : venturing to the limits of neuroscience / Sergio Pellis and Vivien Pellis.</t>
  </si>
  <si>
    <t>Pellis, Sergio.</t>
  </si>
  <si>
    <t>Oxford : Oneworld, 2009.</t>
  </si>
  <si>
    <t>867258943:eng</t>
  </si>
  <si>
    <t>302077933</t>
  </si>
  <si>
    <t>ocn302077933</t>
  </si>
  <si>
    <t>3103085026H</t>
  </si>
  <si>
    <t>9781851686322</t>
  </si>
  <si>
    <t>794433297</t>
  </si>
  <si>
    <t>QP360 P462 1991</t>
  </si>
  <si>
    <t>0                      QP 0360000P  462         1991</t>
  </si>
  <si>
    <t>Perspectives on cognitive neuroscience / edited by Richard G. Lister, Herbert J. Weingartner.</t>
  </si>
  <si>
    <t>New York : Oxford University Press, 1991.</t>
  </si>
  <si>
    <t>355779397:eng</t>
  </si>
  <si>
    <t>23015314</t>
  </si>
  <si>
    <t>ocm23015314</t>
  </si>
  <si>
    <t>3101209276U</t>
  </si>
  <si>
    <t>9780195061512</t>
  </si>
  <si>
    <t>793159391</t>
  </si>
  <si>
    <t>QP360 P463 2011</t>
  </si>
  <si>
    <t>0                      QP 0360000P  463         2011</t>
  </si>
  <si>
    <t>Biopsychology / John P.J. Pinel.</t>
  </si>
  <si>
    <t>Boston : Allyn &amp; Bacon, ©2011.</t>
  </si>
  <si>
    <t>2017-10-16</t>
  </si>
  <si>
    <t>990560:eng</t>
  </si>
  <si>
    <t>665064394</t>
  </si>
  <si>
    <t>ocn665064394</t>
  </si>
  <si>
    <t>3103237979M</t>
  </si>
  <si>
    <t>9780205832569</t>
  </si>
  <si>
    <t>794844505</t>
  </si>
  <si>
    <t>3103237984K</t>
  </si>
  <si>
    <t>794844506</t>
  </si>
  <si>
    <t>QP360 P483 2003</t>
  </si>
  <si>
    <t>0                      QP 0360000P  483         2003</t>
  </si>
  <si>
    <t>2012-01-25</t>
  </si>
  <si>
    <t>48920566</t>
  </si>
  <si>
    <t>ocm48920566</t>
  </si>
  <si>
    <t>3102226435O</t>
  </si>
  <si>
    <t>9780205349845</t>
  </si>
  <si>
    <t>793730467</t>
  </si>
  <si>
    <t>2012-01-27</t>
  </si>
  <si>
    <t>3102226445M</t>
  </si>
  <si>
    <t>793730468</t>
  </si>
  <si>
    <t>2013-01-07</t>
  </si>
  <si>
    <t>3102400992J</t>
  </si>
  <si>
    <t>793730470</t>
  </si>
  <si>
    <t>31029815650</t>
  </si>
  <si>
    <t>793730469</t>
  </si>
  <si>
    <t>QP360 P7515 2000</t>
  </si>
  <si>
    <t>0                      QP 0360000P  7515        2000</t>
  </si>
  <si>
    <t>Handbook of psychophysiology / edited by John T. Cacioppo, Louis G. Tassinary, Gary G. Berntson.</t>
  </si>
  <si>
    <t>Cambridge, UK ; New York, NY, USA : Cambridge University Press, 2000.</t>
  </si>
  <si>
    <t>2014-07-14</t>
  </si>
  <si>
    <t>766941846:eng</t>
  </si>
  <si>
    <t>41606510</t>
  </si>
  <si>
    <t>ocm41606510</t>
  </si>
  <si>
    <t>3102110365W</t>
  </si>
  <si>
    <t>9780521626347</t>
  </si>
  <si>
    <t>793595078</t>
  </si>
  <si>
    <t>QP360 R658 2007</t>
  </si>
  <si>
    <t>0                      QP 0360000R  658         2007</t>
  </si>
  <si>
    <t>Biological psychology : an introduction to behavioral, cognitive, and clinical neuroscience / S. Marc Breedlove, Mark R. Rosenzweig, Neil V. Watson.</t>
  </si>
  <si>
    <t>Breedlove, S. Marc.</t>
  </si>
  <si>
    <t>15396790:eng</t>
  </si>
  <si>
    <t>85814094</t>
  </si>
  <si>
    <t>ocm85814094</t>
  </si>
  <si>
    <t>31028447982</t>
  </si>
  <si>
    <t>9780878937059</t>
  </si>
  <si>
    <t>794216395</t>
  </si>
  <si>
    <t>2011-04-27</t>
  </si>
  <si>
    <t>3102641680V</t>
  </si>
  <si>
    <t>794216396</t>
  </si>
  <si>
    <t>QP360 S377 2002</t>
  </si>
  <si>
    <t>0                      QP 0360000S  377         2002</t>
  </si>
  <si>
    <t>The mind and the brain : neuroplasticity and the power of mental force / Jeffrey M. Schwartz and Sharon Begley.</t>
  </si>
  <si>
    <t>Schwartz, Jeffrey, 1951-</t>
  </si>
  <si>
    <t>New York : Regan Books/HarperCollins Publ., ©2002.</t>
  </si>
  <si>
    <t>650961:eng</t>
  </si>
  <si>
    <t>49681471</t>
  </si>
  <si>
    <t>ocm49681471</t>
  </si>
  <si>
    <t>3102225221$</t>
  </si>
  <si>
    <t>9780060393557</t>
  </si>
  <si>
    <t>793745550</t>
  </si>
  <si>
    <t>QP360 S595 2005</t>
  </si>
  <si>
    <t>0                      QP 0360000S  595         2005</t>
  </si>
  <si>
    <t>Social neuroscience : key readings / edited by John T. Cacioppo, Gary G. Berntson.</t>
  </si>
  <si>
    <t>New York : Ohio State University Psychology Press, 2004.</t>
  </si>
  <si>
    <t>Key readings in social psychology</t>
  </si>
  <si>
    <t>3943313630:eng</t>
  </si>
  <si>
    <t>55106421</t>
  </si>
  <si>
    <t>ocm55106421</t>
  </si>
  <si>
    <t>3102650147G</t>
  </si>
  <si>
    <t>9781841690988</t>
  </si>
  <si>
    <t>793874548</t>
  </si>
  <si>
    <t>QP360 S6225 1988</t>
  </si>
  <si>
    <t>0                      QP 0360000S  6225        1988</t>
  </si>
  <si>
    <t>Social psychophysiology and emotion : theory and clinical applications / edited by Hugh L. Wagner.</t>
  </si>
  <si>
    <t>Chichester ; New York : Wiley, ©1988.</t>
  </si>
  <si>
    <t>2019-10-11</t>
  </si>
  <si>
    <t>836741440:eng</t>
  </si>
  <si>
    <t>16924375</t>
  </si>
  <si>
    <t>ocm16924375</t>
  </si>
  <si>
    <t>3100653313U</t>
  </si>
  <si>
    <t>9780471912668</t>
  </si>
  <si>
    <t>792977670</t>
  </si>
  <si>
    <t>QP360 S6226 2011</t>
  </si>
  <si>
    <t>0                      QP 0360000S  6226        2011</t>
  </si>
  <si>
    <t>Social psychophysiology for social and personality psychology / Jim Blascovich [and others].</t>
  </si>
  <si>
    <t>Los Angeles : SAGE, 2011.</t>
  </si>
  <si>
    <t>The SAGE library of methods in social and personality psychology</t>
  </si>
  <si>
    <t>1149487641:eng</t>
  </si>
  <si>
    <t>818367151</t>
  </si>
  <si>
    <t>ocn818367151</t>
  </si>
  <si>
    <t>3103383098U</t>
  </si>
  <si>
    <t>9780857024053</t>
  </si>
  <si>
    <t>794933861</t>
  </si>
  <si>
    <t>QP360 T39 1979b</t>
  </si>
  <si>
    <t>0                      QP 0360000T  39          1979b</t>
  </si>
  <si>
    <t>The natural history of the mind : an exploration / Gordon Rattray Taylor.</t>
  </si>
  <si>
    <t>Taylor, Gordon Rattray, author.</t>
  </si>
  <si>
    <t>London : Secker &amp; Warburg, 1979.</t>
  </si>
  <si>
    <t>412866:eng</t>
  </si>
  <si>
    <t>6085317</t>
  </si>
  <si>
    <t>ocm06085317</t>
  </si>
  <si>
    <t>3000971227A</t>
  </si>
  <si>
    <t>9780436516344</t>
  </si>
  <si>
    <t>792474505</t>
  </si>
  <si>
    <t>QP360 V65 1999</t>
  </si>
  <si>
    <t>0                      QP 0360000V  65          1999</t>
  </si>
  <si>
    <t>The volitional brain : towards a neuroscience of free will / edited by Benjamin Libet, Anthony Freeman and Keith Sutherland.</t>
  </si>
  <si>
    <t>Thorverton : Imprint Academic, 1999.</t>
  </si>
  <si>
    <t>Journal of consciousness studies, 1355-8250 ; 6, no. 8-9</t>
  </si>
  <si>
    <t>796327174:eng</t>
  </si>
  <si>
    <t>42744854</t>
  </si>
  <si>
    <t>ocm42744854</t>
  </si>
  <si>
    <t>31026880723</t>
  </si>
  <si>
    <t>9780907845508</t>
  </si>
  <si>
    <t>793613352</t>
  </si>
  <si>
    <t>QP360 W34</t>
  </si>
  <si>
    <t>0                      QP 0360000W  34</t>
  </si>
  <si>
    <t>Neuropsychology : a clinical approach / Kevin W. Walsh.</t>
  </si>
  <si>
    <t>Walsh, Kevin W.</t>
  </si>
  <si>
    <t>Edinburgh ; New York : Churchill Livingstone, 1978.</t>
  </si>
  <si>
    <t>2010-10-15</t>
  </si>
  <si>
    <t>6234194:eng</t>
  </si>
  <si>
    <t>2818720</t>
  </si>
  <si>
    <t>ocm02818720</t>
  </si>
  <si>
    <t>31000215455</t>
  </si>
  <si>
    <t>9780443015694</t>
  </si>
  <si>
    <t>792180764</t>
  </si>
  <si>
    <t>3101445997D</t>
  </si>
  <si>
    <t>792180763</t>
  </si>
  <si>
    <t>QP360 W48 1999</t>
  </si>
  <si>
    <t>0                      QP 0360000W  48          1999</t>
  </si>
  <si>
    <t>Where biology meets psychology : philosophical essays / edited by Valerie Gray Hardcastle.</t>
  </si>
  <si>
    <t>799451760:eng</t>
  </si>
  <si>
    <t>40595285</t>
  </si>
  <si>
    <t>ocm40595285</t>
  </si>
  <si>
    <t>3102091538I</t>
  </si>
  <si>
    <t>9780262082761</t>
  </si>
  <si>
    <t>793570764</t>
  </si>
  <si>
    <t>QP360 Y68 1987</t>
  </si>
  <si>
    <t>0                      QP 0360000Y  68          1987</t>
  </si>
  <si>
    <t>Philosophy and the brain / J.Z. Young.</t>
  </si>
  <si>
    <t>Young, J. Z. (John Zachary), 1907-1997.</t>
  </si>
  <si>
    <t>Oxford [Oxfordshire] ; New York : Oxford University Press, 1987.</t>
  </si>
  <si>
    <t>Opus.</t>
  </si>
  <si>
    <t>2013-08-15</t>
  </si>
  <si>
    <t>61146772:eng</t>
  </si>
  <si>
    <t>13760742</t>
  </si>
  <si>
    <t>ocm13760742</t>
  </si>
  <si>
    <t>3102286368S</t>
  </si>
  <si>
    <t>9780192192158</t>
  </si>
  <si>
    <t>792865505</t>
  </si>
  <si>
    <t>QP360.5 B463 2008</t>
  </si>
  <si>
    <t>0                      QP 0360500B  463         2008</t>
  </si>
  <si>
    <t>History of cognitive neuroscience / M.R. Bennett and P.M.S. Hacker.</t>
  </si>
  <si>
    <t>Bennett, M. R.</t>
  </si>
  <si>
    <t>Chichester, U.K. ; Malden, MA : Wiley-Blackwell, 2008.</t>
  </si>
  <si>
    <t>4922263248:eng</t>
  </si>
  <si>
    <t>226911668</t>
  </si>
  <si>
    <t>ocn226911668</t>
  </si>
  <si>
    <t>3103073898T</t>
  </si>
  <si>
    <t>9781405181822</t>
  </si>
  <si>
    <t>794346043</t>
  </si>
  <si>
    <t>QP360.5 C348 2004</t>
  </si>
  <si>
    <t>0                      QP 0360500C  348         2004</t>
  </si>
  <si>
    <t>A brief history of the mind : from apes to intellect and beyond / William H. Calvin.</t>
  </si>
  <si>
    <t>Calvin, William H., 1939-</t>
  </si>
  <si>
    <t>59199838:eng</t>
  </si>
  <si>
    <t>234174734</t>
  </si>
  <si>
    <t>ocn234174734</t>
  </si>
  <si>
    <t>3102355923V</t>
  </si>
  <si>
    <t>9780195159073</t>
  </si>
  <si>
    <t>794368920</t>
  </si>
  <si>
    <t>QP360.5 C639 2000</t>
  </si>
  <si>
    <t>0                      QP 0360500C  639         2000</t>
  </si>
  <si>
    <t>Cognitive neuroscience : a reader / edited by Michael S. Gazzaniga.</t>
  </si>
  <si>
    <t>Malden, Mass. : Blackwell, 2000.</t>
  </si>
  <si>
    <t>4776388450:eng</t>
  </si>
  <si>
    <t>41580377</t>
  </si>
  <si>
    <t>ocm41580377</t>
  </si>
  <si>
    <t>3102044981G</t>
  </si>
  <si>
    <t>9780631216599</t>
  </si>
  <si>
    <t>793594523</t>
  </si>
  <si>
    <t>QP360.5 C6395 2005</t>
  </si>
  <si>
    <t>0                      QP 0360500C  6395        2005</t>
  </si>
  <si>
    <t>The cognitive neuroscience of social behaviour / edited by Alexander Easton and Nathan J. Emery.</t>
  </si>
  <si>
    <t>Hove ; New York : Psychology Press, 2005.</t>
  </si>
  <si>
    <t>766935609:eng</t>
  </si>
  <si>
    <t>55665752</t>
  </si>
  <si>
    <t>ocm55665752</t>
  </si>
  <si>
    <t>31024958532</t>
  </si>
  <si>
    <t>9781841693491</t>
  </si>
  <si>
    <t>793880500</t>
  </si>
  <si>
    <t>QP360.5 D423 2002</t>
  </si>
  <si>
    <t>0                      QP 0360500D  423         2002</t>
  </si>
  <si>
    <t>The cognitive neuroscience of development / [edited by] Michelle de Haan &amp; Mark H. Johnson.</t>
  </si>
  <si>
    <t>Hove, East Sussex ; New York : Psychology Press, 2003.</t>
  </si>
  <si>
    <t>Studies in developmental psychology</t>
  </si>
  <si>
    <t>2013-02-04</t>
  </si>
  <si>
    <t>3901579395:eng</t>
  </si>
  <si>
    <t>52893893</t>
  </si>
  <si>
    <t>ocm52893893</t>
  </si>
  <si>
    <t>3102255899Q</t>
  </si>
  <si>
    <t>9781841692142</t>
  </si>
  <si>
    <t>793816685</t>
  </si>
  <si>
    <t>3102250763I</t>
  </si>
  <si>
    <t>793816684</t>
  </si>
  <si>
    <t>QP360.5 D48 2010</t>
  </si>
  <si>
    <t>0                      QP 0360500D  48          2010</t>
  </si>
  <si>
    <t>The developmental relations among mind, brain and education : essays in honor of Robbie Case / Michel Ferrari, Ljiljana Vuletic, editors.</t>
  </si>
  <si>
    <t>Dordrecht [the Netherlands] ; New York : Springer, ©2010.</t>
  </si>
  <si>
    <t>796478265:eng</t>
  </si>
  <si>
    <t>465370718</t>
  </si>
  <si>
    <t>ocn465370718</t>
  </si>
  <si>
    <t>31033238753</t>
  </si>
  <si>
    <t>9789048136650</t>
  </si>
  <si>
    <t>794793911</t>
  </si>
  <si>
    <t>QP360.5 G393 2005</t>
  </si>
  <si>
    <t>0                      QP 0360500G  393         2005</t>
  </si>
  <si>
    <t>The ethical brain / Michael S. Gazzaniga.</t>
  </si>
  <si>
    <t>New York : Dana Press, ©2005.</t>
  </si>
  <si>
    <t>990294:eng</t>
  </si>
  <si>
    <t>56982463</t>
  </si>
  <si>
    <t>ocm56982463</t>
  </si>
  <si>
    <t>31025059541</t>
  </si>
  <si>
    <t>9781932594010</t>
  </si>
  <si>
    <t>793905260</t>
  </si>
  <si>
    <t>QP360.5 G395 2008</t>
  </si>
  <si>
    <t>0                      QP 0360500G  395         2008</t>
  </si>
  <si>
    <t>Human : the science behind what makes us unique / Michael S. Gazzaniga.</t>
  </si>
  <si>
    <t>New York : HarperCollins, ©2008.</t>
  </si>
  <si>
    <t>793035390:eng</t>
  </si>
  <si>
    <t>726857585</t>
  </si>
  <si>
    <t>ocn726857585</t>
  </si>
  <si>
    <t>31033436553</t>
  </si>
  <si>
    <t>9780060892883</t>
  </si>
  <si>
    <t>794877560</t>
  </si>
  <si>
    <t>QP360.5 G43 2005</t>
  </si>
  <si>
    <t>0                      QP 0360500G  43          2005</t>
  </si>
  <si>
    <t>The origin of mind : evolution of brain, cognition, and general intelligence / David C. Geary.</t>
  </si>
  <si>
    <t>13654067:eng</t>
  </si>
  <si>
    <t>54906982</t>
  </si>
  <si>
    <t>ocm54906982</t>
  </si>
  <si>
    <t>3102422559L</t>
  </si>
  <si>
    <t>9781591471813</t>
  </si>
  <si>
    <t>793870243</t>
  </si>
  <si>
    <t>QP360.5 G565 2003</t>
  </si>
  <si>
    <t>0                      QP 0360500G  565         2003</t>
  </si>
  <si>
    <t>Decisions, uncertainty, and the brain : the science of neuroeconomics / Paul W. Glimcher.</t>
  </si>
  <si>
    <t>Glimcher, Paul W.</t>
  </si>
  <si>
    <t>Cambridge, Mass. : MIT Press, ©2003.</t>
  </si>
  <si>
    <t>A Bradford book</t>
  </si>
  <si>
    <t>800392224:eng</t>
  </si>
  <si>
    <t>50072554</t>
  </si>
  <si>
    <t>ocm50072554</t>
  </si>
  <si>
    <t>3102767696Q</t>
  </si>
  <si>
    <t>9780262072441</t>
  </si>
  <si>
    <t>793754968</t>
  </si>
  <si>
    <t>QP360.5 H36 2001</t>
  </si>
  <si>
    <t>0                      QP 0360500H  36          2001</t>
  </si>
  <si>
    <t>Handbook of functional neuroimaging of cognition / edited by Roberto Cabeza and Alan Kingstone.</t>
  </si>
  <si>
    <t>714496843:eng</t>
  </si>
  <si>
    <t>43365863</t>
  </si>
  <si>
    <t>ocm43365863</t>
  </si>
  <si>
    <t>3102155262U</t>
  </si>
  <si>
    <t>9780262032803</t>
  </si>
  <si>
    <t>793625282</t>
  </si>
  <si>
    <t>QP360.5 H37 2016</t>
  </si>
  <si>
    <t>0                      QP 0360500H  37          2016</t>
  </si>
  <si>
    <t>The neurobiology of cognition and behavior / John Hart, Jr., MD, Jan and Bud Smith Distinguished Chair, Center for BrainHealth, Professor of Behavioral and Brain Sciences, University of Texas at Dallas, Professor of Neurology and Neurotherapeutics, University of Texas Southwestern Medical Center.</t>
  </si>
  <si>
    <t>Hart, John, Jr., 1957- author.</t>
  </si>
  <si>
    <t>Oxford ; New York : Oxford University Press, [2016]</t>
  </si>
  <si>
    <t>2748471073:eng</t>
  </si>
  <si>
    <t>895272455</t>
  </si>
  <si>
    <t>ocn895272455</t>
  </si>
  <si>
    <t>31036575606</t>
  </si>
  <si>
    <t>9780190219031</t>
  </si>
  <si>
    <t>794983440</t>
  </si>
  <si>
    <t>QP360.5 I58 2008</t>
  </si>
  <si>
    <t>0                      QP 0360500I  58          2008</t>
  </si>
  <si>
    <t>Brain inspired cognitive systems 2008 / Amir Hussain [and others], editors.</t>
  </si>
  <si>
    <t>New York : Springer, ©2010.</t>
  </si>
  <si>
    <t>Advances in experimental medicine and biology, 0065-2598 ; v. 657</t>
  </si>
  <si>
    <t>773652165:eng</t>
  </si>
  <si>
    <t>428029538</t>
  </si>
  <si>
    <t>ocn428029538</t>
  </si>
  <si>
    <t>3103344002R</t>
  </si>
  <si>
    <t>9780387790992</t>
  </si>
  <si>
    <t>794756048</t>
  </si>
  <si>
    <t>QP360.5 K67 1992</t>
  </si>
  <si>
    <t>0                      QP 0360500K  67          1992</t>
  </si>
  <si>
    <t>Wet mind : the new cognitive neuroscience / Stephen M. Kosslyn and Olivier Koenig.</t>
  </si>
  <si>
    <t>Kosslyn, Stephen Michael, 1948-</t>
  </si>
  <si>
    <t>New York : Free Press ; Toronto : Maxwell Macmillan Canada ; New York : Maxwell Macmillan International, ©1992.</t>
  </si>
  <si>
    <t>2012-03-08</t>
  </si>
  <si>
    <t>889773698:eng</t>
  </si>
  <si>
    <t>24695944</t>
  </si>
  <si>
    <t>ocm24695944</t>
  </si>
  <si>
    <t>3101164757A</t>
  </si>
  <si>
    <t>9780029175958</t>
  </si>
  <si>
    <t>793203811</t>
  </si>
  <si>
    <t>QP360.5 M35 2010</t>
  </si>
  <si>
    <t>0                      QP 0360500M  35          2010</t>
  </si>
  <si>
    <t>The architect's brain : neuroscience, creativity, and architecture / Harry Francis Mallgrave.</t>
  </si>
  <si>
    <t>Mallgrave, Harry Francis.</t>
  </si>
  <si>
    <t>Chichester, West Sussex, U.K. ; Malden, MA : Wiley-Blackwell, 2010.</t>
  </si>
  <si>
    <t>793220237:eng</t>
  </si>
  <si>
    <t>437053987</t>
  </si>
  <si>
    <t>ocn437053987</t>
  </si>
  <si>
    <t>3103323925A</t>
  </si>
  <si>
    <t>9781405195850</t>
  </si>
  <si>
    <t>794785328</t>
  </si>
  <si>
    <t>QP360.5 M56 1995</t>
  </si>
  <si>
    <t>0                      QP 0360500M  56          1995</t>
  </si>
  <si>
    <t>The mind, the brain, and complex adaptive systems / editors, Harold Morowitz, Jerome L. Singer.</t>
  </si>
  <si>
    <t>Reading, Mass. : Addison-Wesley Pub. Co., ©1995.</t>
  </si>
  <si>
    <t>Proceedings volume ... Santa Fe Institute Studies in the sciences of complexity ; v. 22</t>
  </si>
  <si>
    <t>369486780:eng</t>
  </si>
  <si>
    <t>31606815</t>
  </si>
  <si>
    <t>ocm31606815</t>
  </si>
  <si>
    <t>3102193325I</t>
  </si>
  <si>
    <t>9780201409888</t>
  </si>
  <si>
    <t>793364159</t>
  </si>
  <si>
    <t>QP360.5 M67 2010</t>
  </si>
  <si>
    <t>0                      QP 0360500M  67          2010</t>
  </si>
  <si>
    <t>Reading minds : a guide to the cognitive neuroscience revolution / Michael Moskowitz.</t>
  </si>
  <si>
    <t>Moskowitz, Michael.</t>
  </si>
  <si>
    <t>London : Karnac Books, 2010.</t>
  </si>
  <si>
    <t>2013-05-24</t>
  </si>
  <si>
    <t>865791736:eng</t>
  </si>
  <si>
    <t>609529158</t>
  </si>
  <si>
    <t>ocn609529158</t>
  </si>
  <si>
    <t>31032310563</t>
  </si>
  <si>
    <t>9781855757141</t>
  </si>
  <si>
    <t>794819995</t>
  </si>
  <si>
    <t>QP360.5 N4986 2000</t>
  </si>
  <si>
    <t>0                      QP 0360500N  4986        2000</t>
  </si>
  <si>
    <t>The new cognitive neurosciences / Michael S. Gazzaniga, editor-in chief.</t>
  </si>
  <si>
    <t>Cambridge, Mass. : MIT Press, 2000.</t>
  </si>
  <si>
    <t>5447193817:eng</t>
  </si>
  <si>
    <t>40453003</t>
  </si>
  <si>
    <t>ocm40453003</t>
  </si>
  <si>
    <t>3102170364Z</t>
  </si>
  <si>
    <t>9780262071956</t>
  </si>
  <si>
    <t>793567533</t>
  </si>
  <si>
    <t>QP360.5 N4986 2009</t>
  </si>
  <si>
    <t>0                      QP 0360500N  4986        2009</t>
  </si>
  <si>
    <t>The cognitive neurosciences / Michael S. Gazzaniga, editor-in-chief ; section editors, Emilio Bizzi [and others].</t>
  </si>
  <si>
    <t>Cambridge, Mass. : MIT Press, ©2009.</t>
  </si>
  <si>
    <t>364291308:eng</t>
  </si>
  <si>
    <t>297494728</t>
  </si>
  <si>
    <t>ocn297494728</t>
  </si>
  <si>
    <t>3103238755S</t>
  </si>
  <si>
    <t>9780262013413</t>
  </si>
  <si>
    <t>794427176</t>
  </si>
  <si>
    <t>QP360.5 O94 2014</t>
  </si>
  <si>
    <t>0                      QP 0360500O  94          2014</t>
  </si>
  <si>
    <t>The Oxford handbook of cognitive neuroscience / edited by Kevin N. Ochsner, Stephen M. Kosslyn.</t>
  </si>
  <si>
    <t>Oxford library of psychology</t>
  </si>
  <si>
    <t>1755370121:eng</t>
  </si>
  <si>
    <t>870248261</t>
  </si>
  <si>
    <t>ocn870248261</t>
  </si>
  <si>
    <t>31035658378</t>
  </si>
  <si>
    <t>9780199988693</t>
  </si>
  <si>
    <t>794966230</t>
  </si>
  <si>
    <t>31035658466</t>
  </si>
  <si>
    <t>794966229</t>
  </si>
  <si>
    <t>QP360.5 P36 2016</t>
  </si>
  <si>
    <t>0                      QP 0360500P  36          2016</t>
  </si>
  <si>
    <t>Cognitive neuroscience : a very short introduction / Richard Passingham.</t>
  </si>
  <si>
    <t>Passingham, R. E., 1943- author.</t>
  </si>
  <si>
    <t>Very short introductions ; 489</t>
  </si>
  <si>
    <t>3891307394:eng</t>
  </si>
  <si>
    <t>938360675</t>
  </si>
  <si>
    <t>ocn938360675</t>
  </si>
  <si>
    <t>3103657759K</t>
  </si>
  <si>
    <t>9780198786221</t>
  </si>
  <si>
    <t>795011297</t>
  </si>
  <si>
    <t>QP360.5 P56 1997</t>
  </si>
  <si>
    <t>0                      QP 0360500P  56          1997</t>
  </si>
  <si>
    <t>How the mind works / Steven Pinker.</t>
  </si>
  <si>
    <t>Pinker, Steven, 1954-</t>
  </si>
  <si>
    <t>New York : Norton, ©1997.</t>
  </si>
  <si>
    <t>537006:eng</t>
  </si>
  <si>
    <t>36379708</t>
  </si>
  <si>
    <t>ocm36379708</t>
  </si>
  <si>
    <t>3102734346Z</t>
  </si>
  <si>
    <t>9780393045352</t>
  </si>
  <si>
    <t>793473880</t>
  </si>
  <si>
    <t>31027997714</t>
  </si>
  <si>
    <t>793473881</t>
  </si>
  <si>
    <t>QP360.5 S63 2007</t>
  </si>
  <si>
    <t>0                      QP 0360500S  63          2007</t>
  </si>
  <si>
    <t>Social brain matters : stances on the neurobiology of social cognition / edited by Oscar Vilarroya and Francesc Forn i Argimon.</t>
  </si>
  <si>
    <t>Amsterdam ; New York : Rodopi, 2007.</t>
  </si>
  <si>
    <t>Value inquiry book series ; 190</t>
  </si>
  <si>
    <t>802814892:eng</t>
  </si>
  <si>
    <t>145554677</t>
  </si>
  <si>
    <t>ocn145554677</t>
  </si>
  <si>
    <t>3103053538N</t>
  </si>
  <si>
    <t>9789042022164</t>
  </si>
  <si>
    <t>794239949</t>
  </si>
  <si>
    <t>QP360.5 S68 2005</t>
  </si>
  <si>
    <t>0                      QP 0360500S  68          2005</t>
  </si>
  <si>
    <t>Soul, psyche, brain : new directions in the study of religion and brain-mind science / edited by Kelly Bulkeley.</t>
  </si>
  <si>
    <t>New York : Palgrave Macmillan, 2005.</t>
  </si>
  <si>
    <t>1007829797:eng</t>
  </si>
  <si>
    <t>57754096</t>
  </si>
  <si>
    <t>ocm57754096</t>
  </si>
  <si>
    <t>3102493710L</t>
  </si>
  <si>
    <t>9781403965080</t>
  </si>
  <si>
    <t>793918981</t>
  </si>
  <si>
    <t>QP360.5 U87 2005</t>
  </si>
  <si>
    <t>0                      QP 0360500U  87          2005</t>
  </si>
  <si>
    <t>Neural theories of mind : why the mind-brain problem may never be solved / William R. Uttal.</t>
  </si>
  <si>
    <t>Uttal, William R.</t>
  </si>
  <si>
    <t>Mahwah, N.J. : Lawrence Erlbaum Associates, 2005.</t>
  </si>
  <si>
    <t>795511320:eng</t>
  </si>
  <si>
    <t>57391684</t>
  </si>
  <si>
    <t>ocm57391684</t>
  </si>
  <si>
    <t>3102490204D</t>
  </si>
  <si>
    <t>9780805854848</t>
  </si>
  <si>
    <t>793911972</t>
  </si>
  <si>
    <t>QP361 S22</t>
  </si>
  <si>
    <t>0                      QP 0361000S  22</t>
  </si>
  <si>
    <t>Evolution of the nervous system [by] Harvey B. Sarnat [and] Martin G. Netsky.</t>
  </si>
  <si>
    <t>Sarnat, Harvey B.</t>
  </si>
  <si>
    <t>New York, Oxford University Press, 1974.</t>
  </si>
  <si>
    <t>415118:eng</t>
  </si>
  <si>
    <t>979056</t>
  </si>
  <si>
    <t>ocm00979056</t>
  </si>
  <si>
    <t>3001033665I</t>
  </si>
  <si>
    <t>9780195017779</t>
  </si>
  <si>
    <t>791517007</t>
  </si>
  <si>
    <t>QP363.3 D65 2007</t>
  </si>
  <si>
    <t>0                      QP 0363300D  65          2007</t>
  </si>
  <si>
    <t>The brain that changes itself : stories of personal triumph from the frontiers of brain science / Norman Doidge.</t>
  </si>
  <si>
    <t>Doidge, Norman.</t>
  </si>
  <si>
    <t>New York : Penguin, 2007.</t>
  </si>
  <si>
    <t>793212142:eng</t>
  </si>
  <si>
    <t>213837492</t>
  </si>
  <si>
    <t>ocn213837492</t>
  </si>
  <si>
    <t>3103710513U</t>
  </si>
  <si>
    <t>9780143113102</t>
  </si>
  <si>
    <t>794312597</t>
  </si>
  <si>
    <t>QP363.3 D955 2011</t>
  </si>
  <si>
    <t>0                      QP 0363300D  955         2011</t>
  </si>
  <si>
    <t>The dynamic brain : an exploration of neuronal variability and its functional significance / edited by Mingzhou Ding, Dennis L. Glanzman.</t>
  </si>
  <si>
    <t>New York : Oxford University Press, 2011.</t>
  </si>
  <si>
    <t>443477979:eng</t>
  </si>
  <si>
    <t>572716979</t>
  </si>
  <si>
    <t>ocn572716979</t>
  </si>
  <si>
    <t>31033238841</t>
  </si>
  <si>
    <t>9780195393798</t>
  </si>
  <si>
    <t>794813832</t>
  </si>
  <si>
    <t>QP363.3 F86 1998</t>
  </si>
  <si>
    <t>0                      QP 0363300F  86          1998</t>
  </si>
  <si>
    <t>Fundamentals of neural network modeling : neuropsychology and cognitive neuroscience / edited by Randolph W. Parks, Daniel S. Levine, and Debra L. Long.</t>
  </si>
  <si>
    <t>864036546:eng</t>
  </si>
  <si>
    <t>37553788</t>
  </si>
  <si>
    <t>ocm37553788</t>
  </si>
  <si>
    <t>3101917778Z</t>
  </si>
  <si>
    <t>9780262161756</t>
  </si>
  <si>
    <t>793501406</t>
  </si>
  <si>
    <t>QP363.3 M46 1998</t>
  </si>
  <si>
    <t>0                      QP 0363300M  46          1998</t>
  </si>
  <si>
    <t>Methods in neuronal modeling : from ions to networks / edited by Christof Koch and Idan Segev.</t>
  </si>
  <si>
    <t>2019-08-10</t>
  </si>
  <si>
    <t>795495692:eng</t>
  </si>
  <si>
    <t>36877410</t>
  </si>
  <si>
    <t>ocm36877410</t>
  </si>
  <si>
    <t>3101874675V</t>
  </si>
  <si>
    <t>9780262112314</t>
  </si>
  <si>
    <t>793486396</t>
  </si>
  <si>
    <t>QP363.3 M57 2002</t>
  </si>
  <si>
    <t>0                      QP 0363300M  57          2002</t>
  </si>
  <si>
    <t>Mirror neurons and the evolution of brain and language / edited by Maxim I. Stamenov, Vittorio Gallese.</t>
  </si>
  <si>
    <t>Amsterdam ; Philadelphia, Pa. : John Benjamins Pub., ©2002.</t>
  </si>
  <si>
    <t>Advances in consciousness research, 1381-589X ; 42</t>
  </si>
  <si>
    <t>2018-02-17</t>
  </si>
  <si>
    <t>1044411388:eng</t>
  </si>
  <si>
    <t>49959413</t>
  </si>
  <si>
    <t>ocm49959413</t>
  </si>
  <si>
    <t>31022554617</t>
  </si>
  <si>
    <t>9781588112422</t>
  </si>
  <si>
    <t>793752379</t>
  </si>
  <si>
    <t>QP363.3 N395 2010</t>
  </si>
  <si>
    <t>0                      QP 0363300N  395         2010</t>
  </si>
  <si>
    <t>Connectionist models of neurocognition and emergent behavior : from theory to applications : proceedings of the 12th Neural Computation and Psychology Workshop / editor, Eddy J. Davelaar.</t>
  </si>
  <si>
    <t>Neural Computation and Psychology Workshop (12th : 2010 : London, England)</t>
  </si>
  <si>
    <t>Singapore ; Hackensack, N.J. : World Scientific, ©2012.</t>
  </si>
  <si>
    <t>Progress in neural processing ; v. 20</t>
  </si>
  <si>
    <t>1082314240:eng</t>
  </si>
  <si>
    <t>697260701</t>
  </si>
  <si>
    <t>ocn697260701</t>
  </si>
  <si>
    <t>3103383479M</t>
  </si>
  <si>
    <t>9789814340342</t>
  </si>
  <si>
    <t>794859709</t>
  </si>
  <si>
    <t>QP363.3 R65 1998</t>
  </si>
  <si>
    <t>0                      QP 0363300R  65          1998</t>
  </si>
  <si>
    <t>Neural networks and brain function / Edmund T. Rolls and Alessandro Treves.</t>
  </si>
  <si>
    <t>Rolls, Edmund T.</t>
  </si>
  <si>
    <t>Oxford ; New York : Oxford University Press, 1998.</t>
  </si>
  <si>
    <t>2008-05-13</t>
  </si>
  <si>
    <t>599407:eng</t>
  </si>
  <si>
    <t>37705338</t>
  </si>
  <si>
    <t>ocm37705338</t>
  </si>
  <si>
    <t>3101909156S</t>
  </si>
  <si>
    <t>9780198524335</t>
  </si>
  <si>
    <t>793505164</t>
  </si>
  <si>
    <t>QP363.3 T69 2001</t>
  </si>
  <si>
    <t>0                      QP 0363300T  69          2001</t>
  </si>
  <si>
    <t>Toward a theory of neuroplasticity / [edited by] Christopher A. Shaw, Jill C. McEachern.</t>
  </si>
  <si>
    <t>Philadelphia : Psychology Press, ©2001.</t>
  </si>
  <si>
    <t>351228672:eng</t>
  </si>
  <si>
    <t>44678485</t>
  </si>
  <si>
    <t>ocm44678485</t>
  </si>
  <si>
    <t>3102093550I</t>
  </si>
  <si>
    <t>9781841690216</t>
  </si>
  <si>
    <t>793655674</t>
  </si>
  <si>
    <t>QP363.3 V35 1994</t>
  </si>
  <si>
    <t>0                      QP 0363300V  35          1994</t>
  </si>
  <si>
    <t>Circuits of the mind / Leslie G. Valiant.</t>
  </si>
  <si>
    <t>Valiant, Leslie.</t>
  </si>
  <si>
    <t>43050:eng</t>
  </si>
  <si>
    <t>30624551</t>
  </si>
  <si>
    <t>ocm30624551</t>
  </si>
  <si>
    <t>3101447698D</t>
  </si>
  <si>
    <t>9780195089264</t>
  </si>
  <si>
    <t>793340516</t>
  </si>
  <si>
    <t>QP363.5 B44 2008</t>
  </si>
  <si>
    <t>0                      QP 0363500B  44          2008</t>
  </si>
  <si>
    <t>Train your mind, change your brain : how a new science reveals our extraordinary potential to transform ourselves / Sharon Begley.</t>
  </si>
  <si>
    <t>Begley, Sharon, 1956-</t>
  </si>
  <si>
    <t>New York : Ballantine Books, 2008.</t>
  </si>
  <si>
    <t>Trade pbk. ed.</t>
  </si>
  <si>
    <t>152008650:eng</t>
  </si>
  <si>
    <t>182721424</t>
  </si>
  <si>
    <t>ocn182721424</t>
  </si>
  <si>
    <t>3103058776Q</t>
  </si>
  <si>
    <t>9780345479891</t>
  </si>
  <si>
    <t>794285163</t>
  </si>
  <si>
    <t>QP363.5 J3</t>
  </si>
  <si>
    <t>0                      QP 0363500J  3</t>
  </si>
  <si>
    <t>Developmental neurobiology.</t>
  </si>
  <si>
    <t>Jacobson, Marcus, 1930-2001.</t>
  </si>
  <si>
    <t>New York, Holt, Rinehart and Winston [1970]</t>
  </si>
  <si>
    <t>Holt, Rinehart and Winston developmental biology series</t>
  </si>
  <si>
    <t>2015-04-24</t>
  </si>
  <si>
    <t>477140434:eng</t>
  </si>
  <si>
    <t>109291</t>
  </si>
  <si>
    <t>ocm00109291</t>
  </si>
  <si>
    <t>3001024340A</t>
  </si>
  <si>
    <t>9780030779909</t>
  </si>
  <si>
    <t>791259893</t>
  </si>
  <si>
    <t>QP363.5 J3 1991</t>
  </si>
  <si>
    <t>0                      QP 0363500J  3           1991</t>
  </si>
  <si>
    <t>Developmental neurobiology / Marcus Jacobson.</t>
  </si>
  <si>
    <t>New York : Plenum Press, ©1991.</t>
  </si>
  <si>
    <t>23731744</t>
  </si>
  <si>
    <t>ocm23731744</t>
  </si>
  <si>
    <t>31012195788</t>
  </si>
  <si>
    <t>9780306437977</t>
  </si>
  <si>
    <t>793181153</t>
  </si>
  <si>
    <t>QP363.5 O5 2007</t>
  </si>
  <si>
    <t>0                      QP 0363500O  5           2007</t>
  </si>
  <si>
    <t>On being moved : from mirror neurons to empathy / edited by Stein Bråten.</t>
  </si>
  <si>
    <t>Amsterdam ; Philadelphia : John Benjamins Pub., ©2007.</t>
  </si>
  <si>
    <t>Advances in consciousness research, 1381-589X ; v. 68</t>
  </si>
  <si>
    <t>796519816:eng</t>
  </si>
  <si>
    <t>77572590</t>
  </si>
  <si>
    <t>ocm77572590</t>
  </si>
  <si>
    <t>3103323908E</t>
  </si>
  <si>
    <t>9789027252043</t>
  </si>
  <si>
    <t>794192337</t>
  </si>
  <si>
    <t>QP364 S969 1987</t>
  </si>
  <si>
    <t>0                      QP 0364000S  969         1987</t>
  </si>
  <si>
    <t>Synaptic function / edited by Gerald M. Edelman, W. Einar Gall, W. Maxwell Cowan.</t>
  </si>
  <si>
    <t>The Neurosciences Institute publication series</t>
  </si>
  <si>
    <t>906397541:eng</t>
  </si>
  <si>
    <t>14358847</t>
  </si>
  <si>
    <t>ocm14358847</t>
  </si>
  <si>
    <t>3001052870A</t>
  </si>
  <si>
    <t>9780471855576</t>
  </si>
  <si>
    <t>792887182</t>
  </si>
  <si>
    <t>QP364.5 B57 2005</t>
  </si>
  <si>
    <t>0                      QP 0364500B  57          2005</t>
  </si>
  <si>
    <t>Bursting : the genesis of rhythm in the nervous system / editors, Stephen Coombes, Paul C. Bressloff.</t>
  </si>
  <si>
    <t>Hackensack, NJ : World Scientific Pub., ©2005.</t>
  </si>
  <si>
    <t>794149985:eng</t>
  </si>
  <si>
    <t>61130877</t>
  </si>
  <si>
    <t>ocm61130877</t>
  </si>
  <si>
    <t>3102497112N</t>
  </si>
  <si>
    <t>9789812565068</t>
  </si>
  <si>
    <t>793946975</t>
  </si>
  <si>
    <t>QP368.5 P48 1994</t>
  </si>
  <si>
    <t>0                      QP 0368500P  48          1994</t>
  </si>
  <si>
    <t>Phylogeny and development of catecholamine systems in the CNS of vertebrates / edited by Wilhelmus J.A.J. Smeets and Anton Reiner.</t>
  </si>
  <si>
    <t>Cambridge ; New York : University of Cambridge Press, 1994.</t>
  </si>
  <si>
    <t>350614133:eng</t>
  </si>
  <si>
    <t>29952121</t>
  </si>
  <si>
    <t>ocm29952121</t>
  </si>
  <si>
    <t>3101573719Q</t>
  </si>
  <si>
    <t>9780521442510</t>
  </si>
  <si>
    <t>793324872</t>
  </si>
  <si>
    <t>QP370.5 P48</t>
  </si>
  <si>
    <t>0                      QP 0370500P  48</t>
  </si>
  <si>
    <t>Corticospinal neurones : their role in movement / C.G. Phillips, R. Porter.</t>
  </si>
  <si>
    <t>Phillips, C. G. (Charles Garrett), 1916-</t>
  </si>
  <si>
    <t>London ; New York : Academic Press, 1977.</t>
  </si>
  <si>
    <t>Monographs of the Physiological Society ; no. 34</t>
  </si>
  <si>
    <t>309291440:eng</t>
  </si>
  <si>
    <t>3882712</t>
  </si>
  <si>
    <t>ocm03882712</t>
  </si>
  <si>
    <t>30010366475</t>
  </si>
  <si>
    <t>9780125539500</t>
  </si>
  <si>
    <t>792301565</t>
  </si>
  <si>
    <t>QP372.6 S73 1999</t>
  </si>
  <si>
    <t>0                      QP 0372600S  73          1999</t>
  </si>
  <si>
    <t>Startle modification : implications for neuroscience, cognitive science, and clinical science / edited by Michael E. Dawson, Anne M. Schell, Andreas H. Bohmelt.</t>
  </si>
  <si>
    <t>Cambridge, UK ; New York : Cambridge University Press, ©1999.</t>
  </si>
  <si>
    <t>917504065:eng</t>
  </si>
  <si>
    <t>39655883</t>
  </si>
  <si>
    <t>ocm39655883</t>
  </si>
  <si>
    <t>3101950774H</t>
  </si>
  <si>
    <t>9780521580465</t>
  </si>
  <si>
    <t>793550190</t>
  </si>
  <si>
    <t>QP372.9 B68 1992</t>
  </si>
  <si>
    <t>0                      QP 0372900B  68          1992</t>
  </si>
  <si>
    <t>Electrodermal activity / Wolfram Boucsein.</t>
  </si>
  <si>
    <t>Boucsein, Wolfram.</t>
  </si>
  <si>
    <t>New York : Plenum Press, ©1992.</t>
  </si>
  <si>
    <t>The Plenum series in behavioral psychophysiology and medicine</t>
  </si>
  <si>
    <t>2017-08-23</t>
  </si>
  <si>
    <t>28758915:eng</t>
  </si>
  <si>
    <t>26314127</t>
  </si>
  <si>
    <t>ocm26314127</t>
  </si>
  <si>
    <t>3103143336S</t>
  </si>
  <si>
    <t>9780306442148</t>
  </si>
  <si>
    <t>793242372</t>
  </si>
  <si>
    <t>QP376 A427 1989</t>
  </si>
  <si>
    <t>0                      QP 0376000A  427         1989</t>
  </si>
  <si>
    <t>Modeling brain function : the world of attractor neural networks / Daniel J. Amit.</t>
  </si>
  <si>
    <t>Amit, D. J., 1938-2007.</t>
  </si>
  <si>
    <t>21480168:eng</t>
  </si>
  <si>
    <t>19922497</t>
  </si>
  <si>
    <t>ocm19922497</t>
  </si>
  <si>
    <t>3100749509J</t>
  </si>
  <si>
    <t>9780521361002</t>
  </si>
  <si>
    <t>793072371</t>
  </si>
  <si>
    <t>QP376 C37 2012</t>
  </si>
  <si>
    <t>0                      QP 0376000C  37          2012</t>
  </si>
  <si>
    <t>Lire le cerveau : neuro, science, fiction / Pierre Cassou-Noguès.</t>
  </si>
  <si>
    <t>Cassou-Noguès, Pierre.</t>
  </si>
  <si>
    <t>Paris : Seuil, ©2012.</t>
  </si>
  <si>
    <t>La couleur des idées</t>
  </si>
  <si>
    <t>1088013730:fre</t>
  </si>
  <si>
    <t>779875742</t>
  </si>
  <si>
    <t>ocn779875742</t>
  </si>
  <si>
    <t>3103449107Z</t>
  </si>
  <si>
    <t>9782021050547</t>
  </si>
  <si>
    <t>794911524</t>
  </si>
  <si>
    <t>QP376 C496 1995</t>
  </si>
  <si>
    <t>0                      QP 0376000C  496         1995</t>
  </si>
  <si>
    <t>The engine of reason, the seat of the soul : a philosophical journey into the brain / Paul M. Churchland.</t>
  </si>
  <si>
    <t>4095664156:eng</t>
  </si>
  <si>
    <t>30971698</t>
  </si>
  <si>
    <t>ocm30971698</t>
  </si>
  <si>
    <t>3101419715A</t>
  </si>
  <si>
    <t>9780262032247</t>
  </si>
  <si>
    <t>793350078</t>
  </si>
  <si>
    <t>QP376 D356 2012</t>
  </si>
  <si>
    <t>0                      QP 0376000D  356         2012</t>
  </si>
  <si>
    <t>Self comes to mind : constructing the conscious brain / Antonio Damasio.</t>
  </si>
  <si>
    <t>Damasio, Antonio R.</t>
  </si>
  <si>
    <t>New York : Vintage Books, 2012.</t>
  </si>
  <si>
    <t>1st Vintage ed.</t>
  </si>
  <si>
    <t>794274482:eng</t>
  </si>
  <si>
    <t>785405127</t>
  </si>
  <si>
    <t>ocn785405127</t>
  </si>
  <si>
    <t>3103688419L</t>
  </si>
  <si>
    <t>9780307474957</t>
  </si>
  <si>
    <t>794914844</t>
  </si>
  <si>
    <t>QP376 E25 2017</t>
  </si>
  <si>
    <t>0                      QP 0376000E  25          2017</t>
  </si>
  <si>
    <t>The brain : the story of you / David Eagleman.</t>
  </si>
  <si>
    <t>Eagleman, David, author.</t>
  </si>
  <si>
    <t>New York : Vintage Books, 2017.</t>
  </si>
  <si>
    <t>First Vintage Books edition.</t>
  </si>
  <si>
    <t>2765137964:eng</t>
  </si>
  <si>
    <t>955007002</t>
  </si>
  <si>
    <t>ocn955007002</t>
  </si>
  <si>
    <t>3103670581L</t>
  </si>
  <si>
    <t>9780525433446</t>
  </si>
  <si>
    <t>795019919</t>
  </si>
  <si>
    <t>QP376 E258 1989</t>
  </si>
  <si>
    <t>0                      QP 0376000E  258         1989</t>
  </si>
  <si>
    <t>Evolution of the brain : creation of the self / John C. Eccles.</t>
  </si>
  <si>
    <t>Eccles, John C. (John Carew), 1903-1997.</t>
  </si>
  <si>
    <t>London ; New York : Routledge, 1989.</t>
  </si>
  <si>
    <t>2013-11-04</t>
  </si>
  <si>
    <t>4916211055:eng</t>
  </si>
  <si>
    <t>18417579</t>
  </si>
  <si>
    <t>ocm18417579</t>
  </si>
  <si>
    <t>3103018916F</t>
  </si>
  <si>
    <t>9780415026000</t>
  </si>
  <si>
    <t>793025001</t>
  </si>
  <si>
    <t>QP376 E27</t>
  </si>
  <si>
    <t>0                      QP 0376000E  27</t>
  </si>
  <si>
    <t>The understanding of the brain [by] John C. Eccles.</t>
  </si>
  <si>
    <t>New York, McGraw-Hill [1973]</t>
  </si>
  <si>
    <t>Patten lectures ; 1972</t>
  </si>
  <si>
    <t>4929346430:eng</t>
  </si>
  <si>
    <t>554130</t>
  </si>
  <si>
    <t>ocm00554130</t>
  </si>
  <si>
    <t>30004394598</t>
  </si>
  <si>
    <t>9780070188631</t>
  </si>
  <si>
    <t>791412710</t>
  </si>
  <si>
    <t>QP376 E27 1977</t>
  </si>
  <si>
    <t>0                      QP 0376000E  27          1977</t>
  </si>
  <si>
    <t>The understanding of the brain / John C. Eccles.</t>
  </si>
  <si>
    <t>New York : McGraw-Hill, ©1977.</t>
  </si>
  <si>
    <t>Patten Foundation Lectures ; 33 : 1972</t>
  </si>
  <si>
    <t>2202459</t>
  </si>
  <si>
    <t>ocm02202459</t>
  </si>
  <si>
    <t>3001038127L</t>
  </si>
  <si>
    <t>9780070188655</t>
  </si>
  <si>
    <t>792066265</t>
  </si>
  <si>
    <t>QP376 F7413 2018</t>
  </si>
  <si>
    <t>0                      QP 0376000F  7413        2018</t>
  </si>
  <si>
    <t>Ecology of the brain : the phenomenology and biology of the embodied mind / Thomas Fuchs, Karl Jaspers Professor of Philosophical Foundations of Psychiatry, Psychiatric Clinic, University of Heidelberg, Germany.</t>
  </si>
  <si>
    <t>Fuchs, Thomas, 1958- author.</t>
  </si>
  <si>
    <t>Oxford, United Kingdom : Oxford University Press, 2018.</t>
  </si>
  <si>
    <t>3862442038:eng</t>
  </si>
  <si>
    <t>1003833852</t>
  </si>
  <si>
    <t>on1003833852</t>
  </si>
  <si>
    <t>31036695893</t>
  </si>
  <si>
    <t>9780199646883</t>
  </si>
  <si>
    <t>795041679</t>
  </si>
  <si>
    <t>QP376 F785 1985</t>
  </si>
  <si>
    <t>0                      QP 0376000F  785         1985</t>
  </si>
  <si>
    <t>Functions of the brain / edited by Clive Warwick Coen.</t>
  </si>
  <si>
    <t>Oxford ; New York : Clarendon Press ; New York : Oxford University Press, 1985.</t>
  </si>
  <si>
    <t>3943302612:eng</t>
  </si>
  <si>
    <t>11969966</t>
  </si>
  <si>
    <t>ocm11969966</t>
  </si>
  <si>
    <t>30010391747</t>
  </si>
  <si>
    <t>9780198572121</t>
  </si>
  <si>
    <t>792795173</t>
  </si>
  <si>
    <t>QP376 G386 2018</t>
  </si>
  <si>
    <t>0                      QP 0376000G  386         2018</t>
  </si>
  <si>
    <t>The consciousness instinct : unraveling the mystery of how the brain makes the mind / Michael S. Gazzaniga.</t>
  </si>
  <si>
    <t>Gazzaniga, Michael S., author.</t>
  </si>
  <si>
    <t>New York : Farrar, Straus and Giroux, 2018.</t>
  </si>
  <si>
    <t>4905565015:eng</t>
  </si>
  <si>
    <t>988048434</t>
  </si>
  <si>
    <t>ocn988048434</t>
  </si>
  <si>
    <t>3103703479W</t>
  </si>
  <si>
    <t>9780374715502</t>
  </si>
  <si>
    <t>795036544</t>
  </si>
  <si>
    <t>QP376 H29</t>
  </si>
  <si>
    <t>0                      QP 0376000H  29</t>
  </si>
  <si>
    <t>How the brain works : a new understanding of human learning, emotion, and thinking / Leslie A. Hart.</t>
  </si>
  <si>
    <t>Hart, Leslie A.</t>
  </si>
  <si>
    <t>New York : Basic Books, [1975]</t>
  </si>
  <si>
    <t>208269292:eng</t>
  </si>
  <si>
    <t>1272617</t>
  </si>
  <si>
    <t>ocm01272617</t>
  </si>
  <si>
    <t>3000985685S</t>
  </si>
  <si>
    <t>9780465031023</t>
  </si>
  <si>
    <t>791589164</t>
  </si>
  <si>
    <t>QP376 H294 2004</t>
  </si>
  <si>
    <t>0                      QP 0376000H  294         2004</t>
  </si>
  <si>
    <t>On intelligence / Jeff Hawkins with Sandra Blakeslee.</t>
  </si>
  <si>
    <t>Hawkins, Jeff, 1957-</t>
  </si>
  <si>
    <t>New York : Times Books, 2004.</t>
  </si>
  <si>
    <t>4917711586:eng</t>
  </si>
  <si>
    <t>55510125</t>
  </si>
  <si>
    <t>ocm55510125</t>
  </si>
  <si>
    <t>3102413253V</t>
  </si>
  <si>
    <t>9780805074567</t>
  </si>
  <si>
    <t>793877481</t>
  </si>
  <si>
    <t>QP376 H317 2010</t>
  </si>
  <si>
    <t>0                      QP 0376000H  317         2010</t>
  </si>
  <si>
    <t>Get smart : Samantha Heller's nutrition prescription for boosting brain power and optimizing total body health / Samantha Heller.</t>
  </si>
  <si>
    <t>Heller, Samantha.</t>
  </si>
  <si>
    <t>797260070:eng</t>
  </si>
  <si>
    <t>311074860</t>
  </si>
  <si>
    <t>ocn311074860</t>
  </si>
  <si>
    <t>3103128690Y</t>
  </si>
  <si>
    <t>9780801893759</t>
  </si>
  <si>
    <t>794435945</t>
  </si>
  <si>
    <t>QP376 I5</t>
  </si>
  <si>
    <t>0                      QP 0376000I  5</t>
  </si>
  <si>
    <t>Information processing in the nervous system; proceedings of a symposium held at the State University of New York at Buffalo, 21st-24th October, 1968. Edited by K.N. Leibovic.</t>
  </si>
  <si>
    <t>New York, Springer-Verlag, 1969.</t>
  </si>
  <si>
    <t>866259413:eng</t>
  </si>
  <si>
    <t>59883</t>
  </si>
  <si>
    <t>ocm00059883</t>
  </si>
  <si>
    <t>3100241276H</t>
  </si>
  <si>
    <t>791242508</t>
  </si>
  <si>
    <t>QP376 K5 1982</t>
  </si>
  <si>
    <t>0                      QP 0376000K  5           1982</t>
  </si>
  <si>
    <t>The hedonistic neuron : a theory of memory, learning, and intelligence / A. Harry Klopf.</t>
  </si>
  <si>
    <t>Klopf, A. Harry, 1941-</t>
  </si>
  <si>
    <t>Washington : Hemisphere Pub. Corp., ©1982.</t>
  </si>
  <si>
    <t>547840:eng</t>
  </si>
  <si>
    <t>6305139</t>
  </si>
  <si>
    <t>ocm06305139</t>
  </si>
  <si>
    <t>30010285386</t>
  </si>
  <si>
    <t>9780891162025</t>
  </si>
  <si>
    <t>792490029</t>
  </si>
  <si>
    <t>QP376 K85 2005</t>
  </si>
  <si>
    <t>0                      QP 0376000K  85          2005</t>
  </si>
  <si>
    <t>The singularity is near : when humans transcend biology / Ray Kurzweil.</t>
  </si>
  <si>
    <t>New York : Viking, 2005.</t>
  </si>
  <si>
    <t>793277018:eng</t>
  </si>
  <si>
    <t>57201348</t>
  </si>
  <si>
    <t>ocm57201348</t>
  </si>
  <si>
    <t>31024910791</t>
  </si>
  <si>
    <t>9780670033843</t>
  </si>
  <si>
    <t>793908733</t>
  </si>
  <si>
    <t>QP376 K85 2006</t>
  </si>
  <si>
    <t>0                      QP 0376000K  85          2006</t>
  </si>
  <si>
    <t>Kurzweil, Ray, author.</t>
  </si>
  <si>
    <t>New York : Penguin Books, 2006.</t>
  </si>
  <si>
    <t>71826177</t>
  </si>
  <si>
    <t>ocm71826177</t>
  </si>
  <si>
    <t>31034251868</t>
  </si>
  <si>
    <t>9780143037880</t>
  </si>
  <si>
    <t>794168953</t>
  </si>
  <si>
    <t>QP376 L25 2002</t>
  </si>
  <si>
    <t>0                      QP 0376000L  25          2002</t>
  </si>
  <si>
    <t>The origin of minds : evolution, uniqueness, and the new science of the self / Peggy La Cerra &amp; Roger Bingham.</t>
  </si>
  <si>
    <t>La Cerra, Peggy.</t>
  </si>
  <si>
    <t>New York : Harmony Books, ©2002.</t>
  </si>
  <si>
    <t>912964:eng</t>
  </si>
  <si>
    <t>51212883</t>
  </si>
  <si>
    <t>ocm51212883</t>
  </si>
  <si>
    <t>3102255887S</t>
  </si>
  <si>
    <t>9780609605585</t>
  </si>
  <si>
    <t>793780506</t>
  </si>
  <si>
    <t>QP376 L94</t>
  </si>
  <si>
    <t>0                      QP 0376000L  94</t>
  </si>
  <si>
    <t>The brain and its functions. By J. Luys ...</t>
  </si>
  <si>
    <t>Luys, Jules Bernard, 1828-1897.</t>
  </si>
  <si>
    <t>New York, D. Appleton and Company, 1882.</t>
  </si>
  <si>
    <t>International scientific series. [American ed.] ; Vol. XXXIX</t>
  </si>
  <si>
    <t>2016-06-20</t>
  </si>
  <si>
    <t>5219002262:eng</t>
  </si>
  <si>
    <t>1608829</t>
  </si>
  <si>
    <t>ocm01608829</t>
  </si>
  <si>
    <t>30006579874</t>
  </si>
  <si>
    <t>791791369</t>
  </si>
  <si>
    <t>QP376 M495 2008</t>
  </si>
  <si>
    <t>0                      QP 0376000M  495         2008</t>
  </si>
  <si>
    <t>Brain rules : 12 principles for surviving and thriving at work, home, and school / John Medina.</t>
  </si>
  <si>
    <t>(Text &amp; 1 DVD)</t>
  </si>
  <si>
    <t>Medina, John, 1956-</t>
  </si>
  <si>
    <t>Seattle, WA : Pear Press, ©2008.</t>
  </si>
  <si>
    <t>477203558:eng</t>
  </si>
  <si>
    <t>184871778</t>
  </si>
  <si>
    <t>ocn184871778</t>
  </si>
  <si>
    <t>31030839120</t>
  </si>
  <si>
    <t>9780979777707</t>
  </si>
  <si>
    <t>794291312</t>
  </si>
  <si>
    <t>(Text&amp;1 DVD)</t>
  </si>
  <si>
    <t>3103212543X</t>
  </si>
  <si>
    <t>794291313</t>
  </si>
  <si>
    <t>QP376 M57 2009</t>
  </si>
  <si>
    <t>0                      QP 0376000M  57          2009</t>
  </si>
  <si>
    <t>Mirror neuron systems : the role of mirroring processes in social cognition / Jaime A. Pineda, editor.</t>
  </si>
  <si>
    <t>New York : Humana, ©2009.</t>
  </si>
  <si>
    <t>Contemporary neuroscience</t>
  </si>
  <si>
    <t>2017-02-25</t>
  </si>
  <si>
    <t>1073522097:eng</t>
  </si>
  <si>
    <t>221154131</t>
  </si>
  <si>
    <t>ocn221154131</t>
  </si>
  <si>
    <t>3103062220X</t>
  </si>
  <si>
    <t>9781934115343</t>
  </si>
  <si>
    <t>794324477</t>
  </si>
  <si>
    <t>QP376 O84 2005</t>
  </si>
  <si>
    <t>0                      QP 0376000O  84          2005</t>
  </si>
  <si>
    <t>The brain : a very short introduction / Michael O'Shea.</t>
  </si>
  <si>
    <t>O'Shea, Michael, 1947-</t>
  </si>
  <si>
    <t>Oxford ; New York : Oxford University Press, 2005.</t>
  </si>
  <si>
    <t>Very short introductions ; 144</t>
  </si>
  <si>
    <t>2014-04-03</t>
  </si>
  <si>
    <t>797228562:eng</t>
  </si>
  <si>
    <t>61704761</t>
  </si>
  <si>
    <t>ocm61704761</t>
  </si>
  <si>
    <t>31024888211</t>
  </si>
  <si>
    <t>9780192853929</t>
  </si>
  <si>
    <t>794091569</t>
  </si>
  <si>
    <t>QP376 P39</t>
  </si>
  <si>
    <t>0                      QP 0376000P  39</t>
  </si>
  <si>
    <t>The mystery of the mind : a critical study of consciousness and the human brain / by Wilder Penfield, with discussions by William Feindel, Charles Hendel, and Charles Symonds.</t>
  </si>
  <si>
    <t>Penfield, Wilder, 1891-1976.</t>
  </si>
  <si>
    <t>Princeton, N.J. : Princeton University Press, [1975]</t>
  </si>
  <si>
    <t>225976188:eng</t>
  </si>
  <si>
    <t>1363569</t>
  </si>
  <si>
    <t>ocm01363569</t>
  </si>
  <si>
    <t>3102815291S</t>
  </si>
  <si>
    <t>9780691081595</t>
  </si>
  <si>
    <t>791609842</t>
  </si>
  <si>
    <t>QP376 P677 2002</t>
  </si>
  <si>
    <t>0                      QP 0376000P  677         2002</t>
  </si>
  <si>
    <t>Probabilistic models of the brain : perception and neural function / edited by Rajesh P.N. Rao, Bruno A. Olshausen, Michael S. Lewicki.</t>
  </si>
  <si>
    <t>Neural information processing series</t>
  </si>
  <si>
    <t>902427740:eng</t>
  </si>
  <si>
    <t>47177754</t>
  </si>
  <si>
    <t>ocm47177754</t>
  </si>
  <si>
    <t>31022714819</t>
  </si>
  <si>
    <t>9780262182249</t>
  </si>
  <si>
    <t>793700225</t>
  </si>
  <si>
    <t>QP376 R6</t>
  </si>
  <si>
    <t>0                      QP 0376000R  6</t>
  </si>
  <si>
    <t>Principles of neurodynamics; perceptrons and the theory of brain mechanisms.</t>
  </si>
  <si>
    <t>Rosenblatt, Frank, 1928-</t>
  </si>
  <si>
    <t>Washingotn, D.C., Spartan Books [©1962]</t>
  </si>
  <si>
    <t>1619789:eng</t>
  </si>
  <si>
    <t>556780</t>
  </si>
  <si>
    <t>ocm00556780</t>
  </si>
  <si>
    <t>3001046631E</t>
  </si>
  <si>
    <t>791413536</t>
  </si>
  <si>
    <t>QP376 S44 2012</t>
  </si>
  <si>
    <t>0                      QP 0376000S  44          2012</t>
  </si>
  <si>
    <t>Your brain on nature : the science of nature's influence on your health, happiness and vitality / Eva M. Selhub, Alan C. Logan.</t>
  </si>
  <si>
    <t>ENVR 490</t>
  </si>
  <si>
    <t>Selhub, Eva M.</t>
  </si>
  <si>
    <t>Mississauga, Ont. : John Wiley &amp; Sons Canada, ©2012.</t>
  </si>
  <si>
    <t>1020223131:eng</t>
  </si>
  <si>
    <t>775060830</t>
  </si>
  <si>
    <t>ocn775060830</t>
  </si>
  <si>
    <t>31034839447</t>
  </si>
  <si>
    <t>9781118106747</t>
  </si>
  <si>
    <t>794907220</t>
  </si>
  <si>
    <t>QP376 S637 2002</t>
  </si>
  <si>
    <t>0                      QP 0376000S  637         2002</t>
  </si>
  <si>
    <t>The memory bible : an innovative strategy for keeping your brain young / Gary Small.</t>
  </si>
  <si>
    <t>Small, Gary W.</t>
  </si>
  <si>
    <t>New York : Hyperion, ©2002.</t>
  </si>
  <si>
    <t>772444:eng</t>
  </si>
  <si>
    <t>54347149</t>
  </si>
  <si>
    <t>ocm54347149</t>
  </si>
  <si>
    <t>3103058810Z</t>
  </si>
  <si>
    <t>9780786887118</t>
  </si>
  <si>
    <t>793859702</t>
  </si>
  <si>
    <t>QP376 W235 1953</t>
  </si>
  <si>
    <t>0                      QP 0376000W  235         1953</t>
  </si>
  <si>
    <t>The living brain.</t>
  </si>
  <si>
    <t>Walter, William Grey, 1910-</t>
  </si>
  <si>
    <t>New York : Norton, 1953.</t>
  </si>
  <si>
    <t>1325554:eng</t>
  </si>
  <si>
    <t>559647</t>
  </si>
  <si>
    <t>ocm00559647</t>
  </si>
  <si>
    <t>3100179228E</t>
  </si>
  <si>
    <t>791414503</t>
  </si>
  <si>
    <t>QP376 W8</t>
  </si>
  <si>
    <t>0                      QP 0376000W  8</t>
  </si>
  <si>
    <t>The machinery of the brain / Dean E. Woodridge.</t>
  </si>
  <si>
    <t>Wooldridge, Dean E.</t>
  </si>
  <si>
    <t>New York : McGraw-Hill, 1963.</t>
  </si>
  <si>
    <t>[McGraw-Hill Paperbacks. no. 71841.]</t>
  </si>
  <si>
    <t>1361876:eng</t>
  </si>
  <si>
    <t>233687</t>
  </si>
  <si>
    <t>ocm00233687</t>
  </si>
  <si>
    <t>30003245595</t>
  </si>
  <si>
    <t>9780070718418</t>
  </si>
  <si>
    <t>791303208</t>
  </si>
  <si>
    <t>3000324561I</t>
  </si>
  <si>
    <t>791303204</t>
  </si>
  <si>
    <t>3000968319D</t>
  </si>
  <si>
    <t>791303205</t>
  </si>
  <si>
    <t>QP376.5 E44 1995</t>
  </si>
  <si>
    <t>0                      QP 0376500E  44          1995</t>
  </si>
  <si>
    <t>Electrophysiology of mind : event-related brain potentials and cognition / edited by Michael D. Rugg and Michael G.H. Coles.</t>
  </si>
  <si>
    <t>Oxford psychology series ; no. 25</t>
  </si>
  <si>
    <t>807292142:eng</t>
  </si>
  <si>
    <t>31738772</t>
  </si>
  <si>
    <t>ocm31738772</t>
  </si>
  <si>
    <t>3102741687P</t>
  </si>
  <si>
    <t>9780198521358</t>
  </si>
  <si>
    <t>793366832</t>
  </si>
  <si>
    <t>QP376.6 S58 2013</t>
  </si>
  <si>
    <t>0                      QP 0376600S  58          2013</t>
  </si>
  <si>
    <t>Brain imaging : what it can (and cannot) tell us about consciousness / Robert G. Shulman.</t>
  </si>
  <si>
    <t>Shulman, R. G. (Robert Gerson)</t>
  </si>
  <si>
    <t>Oxford : Oxford University Press, [2013]</t>
  </si>
  <si>
    <t>1303424226:eng</t>
  </si>
  <si>
    <t>822971480</t>
  </si>
  <si>
    <t>ocn822971480</t>
  </si>
  <si>
    <t>3103524675U</t>
  </si>
  <si>
    <t>9780199838721</t>
  </si>
  <si>
    <t>794936773</t>
  </si>
  <si>
    <t>2014-08-30</t>
  </si>
  <si>
    <t>3103524679U</t>
  </si>
  <si>
    <t>794936772</t>
  </si>
  <si>
    <t>QP381 C63</t>
  </si>
  <si>
    <t>0                      QP 0381000C  63</t>
  </si>
  <si>
    <t>Comparative neurology of the telencephalon / edited by Sven O.E. Ebbesson.</t>
  </si>
  <si>
    <t>New York : Plenum Press, ©1980.</t>
  </si>
  <si>
    <t>2018-08-13</t>
  </si>
  <si>
    <t>437206:eng</t>
  </si>
  <si>
    <t>4857486</t>
  </si>
  <si>
    <t>ocm04857486</t>
  </si>
  <si>
    <t>31005440361</t>
  </si>
  <si>
    <t>9780306402371</t>
  </si>
  <si>
    <t>792388823</t>
  </si>
  <si>
    <t>QP381 P313 1960</t>
  </si>
  <si>
    <t>0                      QP 0381000P  313         1960</t>
  </si>
  <si>
    <t>Conditioned reflexes : an investigation of the physiological activity of the cerebral cortex / Translated and edited by G.V. Anrep.</t>
  </si>
  <si>
    <t>Pavlov, Ivan Petrovich, 1849-1936.</t>
  </si>
  <si>
    <t>New York : Dover Publications, [1960]</t>
  </si>
  <si>
    <t>2003-12-24</t>
  </si>
  <si>
    <t>3901087697:eng</t>
  </si>
  <si>
    <t>249196</t>
  </si>
  <si>
    <t>ocm00249196</t>
  </si>
  <si>
    <t>31018874125</t>
  </si>
  <si>
    <t>9780486606149</t>
  </si>
  <si>
    <t>791308917</t>
  </si>
  <si>
    <t>3000354464Z</t>
  </si>
  <si>
    <t>791308918</t>
  </si>
  <si>
    <t>2000-10-28</t>
  </si>
  <si>
    <t>3000971129A</t>
  </si>
  <si>
    <t>791308915</t>
  </si>
  <si>
    <t>3001029031Z</t>
  </si>
  <si>
    <t>791308920</t>
  </si>
  <si>
    <t>3000354465X</t>
  </si>
  <si>
    <t>791308916</t>
  </si>
  <si>
    <t>QP383 H83 1988</t>
  </si>
  <si>
    <t>0                      QP 0383000H  83          1988</t>
  </si>
  <si>
    <t>Eye, brain, and vision / David H. Hubel.</t>
  </si>
  <si>
    <t>Hubel, David H., author.</t>
  </si>
  <si>
    <t>New York : Scientific American Library : Distributed by W.H. Freeman, [1988]</t>
  </si>
  <si>
    <t>Scientific American Library series ; no. 22</t>
  </si>
  <si>
    <t>30851:eng</t>
  </si>
  <si>
    <t>16649224</t>
  </si>
  <si>
    <t>ocm16649224</t>
  </si>
  <si>
    <t>3100010687X</t>
  </si>
  <si>
    <t>9780716750208</t>
  </si>
  <si>
    <t>792967804</t>
  </si>
  <si>
    <t>QP383 W45 1989</t>
  </si>
  <si>
    <t>0                      QP 0383000W  45          1989</t>
  </si>
  <si>
    <t>Cortical circuits : synaptic organization of the cerebral cortex--structure, function, and theory / Edward L. White with Asaf Keller ; introduction by Thomas A. Woolsey.</t>
  </si>
  <si>
    <t>White, Edward L.</t>
  </si>
  <si>
    <t>Boston : Birkhäuser, ©1989.</t>
  </si>
  <si>
    <t>889340880:eng</t>
  </si>
  <si>
    <t>18948282</t>
  </si>
  <si>
    <t>ocm18948282</t>
  </si>
  <si>
    <t>3101010550F</t>
  </si>
  <si>
    <t>9780817634025</t>
  </si>
  <si>
    <t>793042076</t>
  </si>
  <si>
    <t>QP383.15 C65 2005</t>
  </si>
  <si>
    <t>0                      QP 0383150C  65          2005</t>
  </si>
  <si>
    <t>Computational maps in the visual cortex / Risto Miikkulainen [and others].</t>
  </si>
  <si>
    <t>New York : Springer, 2005.</t>
  </si>
  <si>
    <t>866289570:eng</t>
  </si>
  <si>
    <t>55738117</t>
  </si>
  <si>
    <t>ocm55738117</t>
  </si>
  <si>
    <t>3102562393U</t>
  </si>
  <si>
    <t>9780387220246</t>
  </si>
  <si>
    <t>793881777</t>
  </si>
  <si>
    <t>QP383.2 S95 1977</t>
  </si>
  <si>
    <t>0                      QP 0383200S  95          1977</t>
  </si>
  <si>
    <t>Functions of the septo-hippocampal system.</t>
  </si>
  <si>
    <t>Symposium on Functions of the Septo-Hippocampal System (1977 : London, England)</t>
  </si>
  <si>
    <t>Amsterdam ; New York : Elsevier/Excerpta Medica/North-Holland, 1978.</t>
  </si>
  <si>
    <t>Ciba Foundation symposium ; 58 (new ser.)</t>
  </si>
  <si>
    <t>5618158187:eng</t>
  </si>
  <si>
    <t>3915494</t>
  </si>
  <si>
    <t>ocm03915494</t>
  </si>
  <si>
    <t>30004496196</t>
  </si>
  <si>
    <t>9780444900326</t>
  </si>
  <si>
    <t>792304757</t>
  </si>
  <si>
    <t>QP383.25 G58 2001</t>
  </si>
  <si>
    <t>0                      QP 0383250G  58          2001</t>
  </si>
  <si>
    <t>Gateway to memory : an introduction to neural network modeling of the hippocampus and learning / Mark A. Gluck and Catherine E. Myers.</t>
  </si>
  <si>
    <t>Gluck, Mark A.</t>
  </si>
  <si>
    <t>Issues in clinical and cognitive neuropsychology</t>
  </si>
  <si>
    <t>6035762:eng</t>
  </si>
  <si>
    <t>44613156</t>
  </si>
  <si>
    <t>ocm44613156</t>
  </si>
  <si>
    <t>3102110606$</t>
  </si>
  <si>
    <t>9780262072113</t>
  </si>
  <si>
    <t>793654254</t>
  </si>
  <si>
    <t>3102944067N</t>
  </si>
  <si>
    <t>793654253</t>
  </si>
  <si>
    <t>QP383.25 R43 1999</t>
  </si>
  <si>
    <t>0                      QP 0383250R  43          1999</t>
  </si>
  <si>
    <t>Beyond the cognitive map : from place cells to episodic memory / A. David Redish.</t>
  </si>
  <si>
    <t>Redish, A. David.</t>
  </si>
  <si>
    <t>799428763:eng</t>
  </si>
  <si>
    <t>39800626</t>
  </si>
  <si>
    <t>ocm39800626</t>
  </si>
  <si>
    <t>31021691725</t>
  </si>
  <si>
    <t>9780262181945</t>
  </si>
  <si>
    <t>793553686</t>
  </si>
  <si>
    <t>QP383.3 P37 1986</t>
  </si>
  <si>
    <t>0                      QP 0383300P  37          1986</t>
  </si>
  <si>
    <t>Comparative neurobiology of the basal ganglia / André Parent.</t>
  </si>
  <si>
    <t>Parent, André, 1944-</t>
  </si>
  <si>
    <t>New York : J. Wiley, ©1986.</t>
  </si>
  <si>
    <t>Wiley series in neurobiology</t>
  </si>
  <si>
    <t>2017-07-11</t>
  </si>
  <si>
    <t>7094806:eng</t>
  </si>
  <si>
    <t>13666088</t>
  </si>
  <si>
    <t>ocm13666088</t>
  </si>
  <si>
    <t>30010393634</t>
  </si>
  <si>
    <t>9780471803485</t>
  </si>
  <si>
    <t>792862179</t>
  </si>
  <si>
    <t>QP385 G394 1985</t>
  </si>
  <si>
    <t>0                      QP 0385000G  394         1985</t>
  </si>
  <si>
    <t>The social brain : discovering the networks of the mind / Michael S. Gazzaniga.</t>
  </si>
  <si>
    <t>37244944:eng</t>
  </si>
  <si>
    <t>12344199</t>
  </si>
  <si>
    <t>ocm12344199</t>
  </si>
  <si>
    <t>3000374818E</t>
  </si>
  <si>
    <t>9780465078509</t>
  </si>
  <si>
    <t>792811355</t>
  </si>
  <si>
    <t>QP385 P38</t>
  </si>
  <si>
    <t>0                      QP 0385000P  38</t>
  </si>
  <si>
    <t>Speech and brain-mechanisms, by Wilder Penfield and Lamar Roberts.</t>
  </si>
  <si>
    <t>Princeton, N.J., Princeton Univ. Press, 1959.</t>
  </si>
  <si>
    <t>2005-01-28</t>
  </si>
  <si>
    <t>68801947:eng</t>
  </si>
  <si>
    <t>506005</t>
  </si>
  <si>
    <t>ocm00506005</t>
  </si>
  <si>
    <t>30003303508</t>
  </si>
  <si>
    <t>9780691080390</t>
  </si>
  <si>
    <t>791397301</t>
  </si>
  <si>
    <t>3103400706$</t>
  </si>
  <si>
    <t>791397300</t>
  </si>
  <si>
    <t>QP385 U86 2001</t>
  </si>
  <si>
    <t>0                      QP 0385000U  86          2001</t>
  </si>
  <si>
    <t>The new phrenology : the limits of localizing cognitive processes in the brain / William R. Uttal.</t>
  </si>
  <si>
    <t>Life and mind: philosophical issues in biology and psychology</t>
  </si>
  <si>
    <t>836945784:eng</t>
  </si>
  <si>
    <t>45248325</t>
  </si>
  <si>
    <t>ocm45248325</t>
  </si>
  <si>
    <t>3103001257O</t>
  </si>
  <si>
    <t>9780262210171</t>
  </si>
  <si>
    <t>793667856</t>
  </si>
  <si>
    <t>QP385.5 C68 1993</t>
  </si>
  <si>
    <t>0                      QP 0385500C  68          1993</t>
  </si>
  <si>
    <t>The left-hander syndrome : the causes and consequences of left-handedness / Stanley Coren.</t>
  </si>
  <si>
    <t>Coren, Stanley.</t>
  </si>
  <si>
    <t>New York : Vintage Books, 1993.</t>
  </si>
  <si>
    <t>346913:eng</t>
  </si>
  <si>
    <t>27012814</t>
  </si>
  <si>
    <t>ocm27012814</t>
  </si>
  <si>
    <t>31027500895</t>
  </si>
  <si>
    <t>9780679744689</t>
  </si>
  <si>
    <t>793256923</t>
  </si>
  <si>
    <t>QP385.5 H37 1987</t>
  </si>
  <si>
    <t>0                      QP 0385500H  37          1987</t>
  </si>
  <si>
    <t>Medicine, mind, and the double brain : a study in nineteenth-century thought / Anne Harrington.</t>
  </si>
  <si>
    <t>221543403:eng</t>
  </si>
  <si>
    <t>15317398</t>
  </si>
  <si>
    <t>ocm15317398</t>
  </si>
  <si>
    <t>3000528531U</t>
  </si>
  <si>
    <t>9780691084657</t>
  </si>
  <si>
    <t>792927944</t>
  </si>
  <si>
    <t>QP385.5 I886 1998</t>
  </si>
  <si>
    <t>0                      QP 0385500I  886         1998</t>
  </si>
  <si>
    <t>The two sides of perception / Richard B. Ivry and Lynn C. Robertson.</t>
  </si>
  <si>
    <t>Ivry, Richard B.</t>
  </si>
  <si>
    <t>Cognitive neuroscience</t>
  </si>
  <si>
    <t>638808:eng</t>
  </si>
  <si>
    <t>36051982</t>
  </si>
  <si>
    <t>ocm36051982</t>
  </si>
  <si>
    <t>3101836814K</t>
  </si>
  <si>
    <t>9780262090346</t>
  </si>
  <si>
    <t>793465192</t>
  </si>
  <si>
    <t>QP385.5 M36 2009</t>
  </si>
  <si>
    <t>0                      QP 0385500M  36          2009</t>
  </si>
  <si>
    <t>The master and his emissary : the divided brain and the making of the Western world / Iain McGilchrist.</t>
  </si>
  <si>
    <t>McGilchrist, Iain.</t>
  </si>
  <si>
    <t>New Haven : Yale University Press, ©2009.</t>
  </si>
  <si>
    <t>2019-03-30</t>
  </si>
  <si>
    <t>889261677:eng</t>
  </si>
  <si>
    <t>317249497</t>
  </si>
  <si>
    <t>ocn317249497</t>
  </si>
  <si>
    <t>3103214095U</t>
  </si>
  <si>
    <t>9780300148787</t>
  </si>
  <si>
    <t>794451754</t>
  </si>
  <si>
    <t>QP385.5 M38 2002</t>
  </si>
  <si>
    <t>0                      QP 0385500M  38          2002</t>
  </si>
  <si>
    <t>Right hand, left hand : the origins of asymmetry in brains, bodies, atoms, and cultures / Chris McManus.</t>
  </si>
  <si>
    <t>McManus, I. C.</t>
  </si>
  <si>
    <t>Cambridge, Mass. : Harvard University Press, ©2002.</t>
  </si>
  <si>
    <t>1033933:eng</t>
  </si>
  <si>
    <t>49283836</t>
  </si>
  <si>
    <t>ocm49283836</t>
  </si>
  <si>
    <t>31022042517</t>
  </si>
  <si>
    <t>9780674009530</t>
  </si>
  <si>
    <t>793736636</t>
  </si>
  <si>
    <t>QP395 M3813 1998</t>
  </si>
  <si>
    <t>0                      QP 0395000M  3813        1998</t>
  </si>
  <si>
    <t>The tree of knowledge : the biological roots of human understanding / Humberto R. Maturana &amp; Francisco J. Varela ; translated by Robert Paolucci ; foreword by J.Z. Young.</t>
  </si>
  <si>
    <t>Boston : Shambhala ; New York : Distributed in the U.S. by Random House, 1998.</t>
  </si>
  <si>
    <t>4494894662:eng</t>
  </si>
  <si>
    <t>39694004</t>
  </si>
  <si>
    <t>ocm39694004</t>
  </si>
  <si>
    <t>3103353392$</t>
  </si>
  <si>
    <t>9780877736424</t>
  </si>
  <si>
    <t>793551121</t>
  </si>
  <si>
    <t>QP395 S65 2002</t>
  </si>
  <si>
    <t>0                      QP 0395000S  65          2002</t>
  </si>
  <si>
    <t>The brain and the inner world : an introduction to the neuroscience of subjective experience / Mark Solms and Oliver Turnbull ; foreword, Oliver Sacks.</t>
  </si>
  <si>
    <t>Solms, Mark.</t>
  </si>
  <si>
    <t>New York : Other Press, ©2002.</t>
  </si>
  <si>
    <t>1059355:eng</t>
  </si>
  <si>
    <t>48761737</t>
  </si>
  <si>
    <t>ocm48761737</t>
  </si>
  <si>
    <t>3102200073P</t>
  </si>
  <si>
    <t>9781590510353</t>
  </si>
  <si>
    <t>793727291</t>
  </si>
  <si>
    <t>QP395 T68 1995</t>
  </si>
  <si>
    <t>0                      QP 0395000T  68          1995</t>
  </si>
  <si>
    <t>Brain and mind : for better understanding of the dynamic function of mind and its supporting brain mechanism / edited by M. Ito.</t>
  </si>
  <si>
    <t>Toyota Conference (9th : 1995 : Shizuoka-shi, Japan)</t>
  </si>
  <si>
    <t>Amsterdam ; New York : Elsevier, 1997.</t>
  </si>
  <si>
    <t>796608143:eng</t>
  </si>
  <si>
    <t>36219340</t>
  </si>
  <si>
    <t>ocm36219340</t>
  </si>
  <si>
    <t>3101853464O</t>
  </si>
  <si>
    <t>9780444825537</t>
  </si>
  <si>
    <t>793469466</t>
  </si>
  <si>
    <t>QP398 H524 2016</t>
  </si>
  <si>
    <t>0                      QP 0398000H  524         2016</t>
  </si>
  <si>
    <t>The human advantage : a new understanding of how our brain became remarkable / Suzana Herculano-Houzel.</t>
  </si>
  <si>
    <t>Herculano-Houzel, Suzana, 1972-</t>
  </si>
  <si>
    <t>Cambridge, MA : The MIT Press, [2016]</t>
  </si>
  <si>
    <t>2826346400:eng</t>
  </si>
  <si>
    <t>931476612</t>
  </si>
  <si>
    <t>ocn931476612</t>
  </si>
  <si>
    <t>31036968563</t>
  </si>
  <si>
    <t>9780262034258</t>
  </si>
  <si>
    <t>795007576</t>
  </si>
  <si>
    <t>QP399 A38 2002</t>
  </si>
  <si>
    <t>0                      QP 0399000A  38          2002</t>
  </si>
  <si>
    <t>Advances in the neurolinguistics of bilingualism : essays in honor of Michel Paradis / edited by Franco Fabbro.</t>
  </si>
  <si>
    <t>Udine : Forum, 2002.</t>
  </si>
  <si>
    <t>10633834:eng</t>
  </si>
  <si>
    <t>52963190</t>
  </si>
  <si>
    <t>ocm52963190</t>
  </si>
  <si>
    <t>3102907329U</t>
  </si>
  <si>
    <t>9788884200747</t>
  </si>
  <si>
    <t>793818209</t>
  </si>
  <si>
    <t>QP399 A39 2006</t>
  </si>
  <si>
    <t>0                      QP 0399000A  39          2006</t>
  </si>
  <si>
    <t>Introduction to neurolinguistics / Elisabeth Ahlsén.</t>
  </si>
  <si>
    <t>Ahlsén, Elisabeth.</t>
  </si>
  <si>
    <t>Amsterdam ; Philadelphia, PA : John Benjamins, ©2006.</t>
  </si>
  <si>
    <t>52369578:eng</t>
  </si>
  <si>
    <t>69028470</t>
  </si>
  <si>
    <t>ocm69028470</t>
  </si>
  <si>
    <t>3103082278D</t>
  </si>
  <si>
    <t>9789027232335</t>
  </si>
  <si>
    <t>794145221</t>
  </si>
  <si>
    <t>QP399 E37 2010</t>
  </si>
  <si>
    <t>0                      QP 0399000E  37          2010</t>
  </si>
  <si>
    <t>The earliest stages of language learning / Marianne Gullberg and Peter Indefrey, editors.</t>
  </si>
  <si>
    <t>Chichester, West Sussex, United Kingdom : Wiley-Blackwell, [2010]</t>
  </si>
  <si>
    <t>Language Learning-Max Planck Institute for Psycholinguistics cognitive neuroscience series, 0023-8333</t>
  </si>
  <si>
    <t>551848577:eng</t>
  </si>
  <si>
    <t>651075149</t>
  </si>
  <si>
    <t>ocn651075149</t>
  </si>
  <si>
    <t>3103323912C</t>
  </si>
  <si>
    <t>9781444338768</t>
  </si>
  <si>
    <t>794832786</t>
  </si>
  <si>
    <t>QP399 F33 1999</t>
  </si>
  <si>
    <t>0                      QP 0399000F  33          1999</t>
  </si>
  <si>
    <t>The neurolinguistics of bilingualism : an introduction / Franco Fabbro.</t>
  </si>
  <si>
    <t>Fabbro, F.</t>
  </si>
  <si>
    <t>Hove : Psychology Press, ©1999.</t>
  </si>
  <si>
    <t>795196526:eng</t>
  </si>
  <si>
    <t>40798284</t>
  </si>
  <si>
    <t>ocm40798284</t>
  </si>
  <si>
    <t>3101966871K</t>
  </si>
  <si>
    <t>9780863777554</t>
  </si>
  <si>
    <t>793575840</t>
  </si>
  <si>
    <t>QP399 K56 1993</t>
  </si>
  <si>
    <t>0                      QP 0399000K  56          1993</t>
  </si>
  <si>
    <t>Neuromotor mechanisms in human communication / Doreen Kimura.</t>
  </si>
  <si>
    <t>Kimura, Doreen.</t>
  </si>
  <si>
    <t>New York : Oxford University Press ; Oxford [England] : Clarendon Press, 1993.</t>
  </si>
  <si>
    <t>Oxford psychology series ; no. 20</t>
  </si>
  <si>
    <t>21044918:eng</t>
  </si>
  <si>
    <t>26396505</t>
  </si>
  <si>
    <t>ocm26396505</t>
  </si>
  <si>
    <t>3101335518R</t>
  </si>
  <si>
    <t>9780195054927</t>
  </si>
  <si>
    <t>793243755</t>
  </si>
  <si>
    <t>QP399 L375 2002</t>
  </si>
  <si>
    <t>0                      QP 0399000L  375         2002</t>
  </si>
  <si>
    <t>The languages of the brain / edited by Albert M. Galaburda, Stephen M. Kosslyn, Yves Christen.</t>
  </si>
  <si>
    <t>Mind/brain/behavior initiative</t>
  </si>
  <si>
    <t>5614913244:eng</t>
  </si>
  <si>
    <t>49942945</t>
  </si>
  <si>
    <t>ocm49942945</t>
  </si>
  <si>
    <t>31022323037</t>
  </si>
  <si>
    <t>9780674007727</t>
  </si>
  <si>
    <t>793751219</t>
  </si>
  <si>
    <t>QP399 M63 1991</t>
  </si>
  <si>
    <t>0                      QP 0399000M  63          1991</t>
  </si>
  <si>
    <t>Modularity and the motor theory of speech perception : proceedings of a conference to honor Alvin M. Liberman / edited by Ignatius G. Mattingly, Michael Studdert-Kennedy.</t>
  </si>
  <si>
    <t>Hillsdale, N.J. : Lawrence Erlbaum Associates, 1991.</t>
  </si>
  <si>
    <t>795589724:eng</t>
  </si>
  <si>
    <t>22206488</t>
  </si>
  <si>
    <t>ocm22206488</t>
  </si>
  <si>
    <t>3103004093A</t>
  </si>
  <si>
    <t>9780805803310</t>
  </si>
  <si>
    <t>793137078</t>
  </si>
  <si>
    <t>QP399 N483 1999</t>
  </si>
  <si>
    <t>0                      QP 0399000N  483         1999</t>
  </si>
  <si>
    <t>The neurocognition of language / edited by Colin M. Brown and Peter Hagoort.</t>
  </si>
  <si>
    <t>Oxford [England] ; New York : Oxford University Press, ©1999.</t>
  </si>
  <si>
    <t>350240072:eng</t>
  </si>
  <si>
    <t>40417663</t>
  </si>
  <si>
    <t>ocm40417663</t>
  </si>
  <si>
    <t>3102245004$</t>
  </si>
  <si>
    <t>9780198524489</t>
  </si>
  <si>
    <t>793566141</t>
  </si>
  <si>
    <t>QP399 T39 2012</t>
  </si>
  <si>
    <t>0                      QP 0399000T  39          2012</t>
  </si>
  <si>
    <t>The mental corpus : how language is represented in the mind / John R. Taylor.</t>
  </si>
  <si>
    <t>Taylor, John R., 1944-</t>
  </si>
  <si>
    <t>Oxford linguistics</t>
  </si>
  <si>
    <t>1117595197:eng</t>
  </si>
  <si>
    <t>759153172</t>
  </si>
  <si>
    <t>ocn759153172</t>
  </si>
  <si>
    <t>3103422433L</t>
  </si>
  <si>
    <t>9780199290802</t>
  </si>
  <si>
    <t>794897040</t>
  </si>
  <si>
    <t>QP401 D2 2005</t>
  </si>
  <si>
    <t>0                      QP 0401000D  2           2005</t>
  </si>
  <si>
    <t>Descartes' error : emotion, reason, and the human brain / Antonio R. Damasio.</t>
  </si>
  <si>
    <t>New York : Penguin Books, 2005.</t>
  </si>
  <si>
    <t>24103016:eng</t>
  </si>
  <si>
    <t>61690994</t>
  </si>
  <si>
    <t>ocm61690994</t>
  </si>
  <si>
    <t>3103644164Z</t>
  </si>
  <si>
    <t>9780143036227</t>
  </si>
  <si>
    <t>794091018</t>
  </si>
  <si>
    <t>3102845723C</t>
  </si>
  <si>
    <t>794091019</t>
  </si>
  <si>
    <t>31037108269</t>
  </si>
  <si>
    <t>794091021</t>
  </si>
  <si>
    <t>3102492447S</t>
  </si>
  <si>
    <t>794091020</t>
  </si>
  <si>
    <t>QP401 D203 2003</t>
  </si>
  <si>
    <t>0                      QP 0401000D  203         2003</t>
  </si>
  <si>
    <t>Looking for Spinoza : joy, sorrow, and the feeling brain / Antonio Damasio.</t>
  </si>
  <si>
    <t>Orlando, Fla. : Harcourt, ©2003.</t>
  </si>
  <si>
    <t>660529:eng</t>
  </si>
  <si>
    <t>50203846</t>
  </si>
  <si>
    <t>ocm50203846</t>
  </si>
  <si>
    <t>31022446718</t>
  </si>
  <si>
    <t>9780151005574</t>
  </si>
  <si>
    <t>793757803</t>
  </si>
  <si>
    <t>QP401 D3 1872</t>
  </si>
  <si>
    <t>0                      QP 0401000D  3           1872</t>
  </si>
  <si>
    <t>The expression of the emotions in man and animals / by Charles Darwin ; with photographic and other illustrations.</t>
  </si>
  <si>
    <t>London : John Murray, 1872.</t>
  </si>
  <si>
    <t>1872</t>
  </si>
  <si>
    <t>293100641:eng</t>
  </si>
  <si>
    <t>1102785</t>
  </si>
  <si>
    <t>ocm01102785</t>
  </si>
  <si>
    <t>31034660161</t>
  </si>
  <si>
    <t>791547069</t>
  </si>
  <si>
    <t>QP401 H36 1989</t>
  </si>
  <si>
    <t>0                      QP 0401000H  36          1989</t>
  </si>
  <si>
    <t>Handbook of social psychophysiology / edited by Hugh Wagner and Antony Manstead.</t>
  </si>
  <si>
    <t>Chichester ; New York : Wiley, ©1989.</t>
  </si>
  <si>
    <t>Wiley psychophysiology handbooks</t>
  </si>
  <si>
    <t>365979000:eng</t>
  </si>
  <si>
    <t>18291288</t>
  </si>
  <si>
    <t>ocm18291288</t>
  </si>
  <si>
    <t>3101014368L</t>
  </si>
  <si>
    <t>9780471911562</t>
  </si>
  <si>
    <t>793019972</t>
  </si>
  <si>
    <t>QP401 L43 1996</t>
  </si>
  <si>
    <t>0                      QP 0401000L  43          1996</t>
  </si>
  <si>
    <t>The emotional brain : the mysterious underpinnings of emotional life / Joseph LeDoux.</t>
  </si>
  <si>
    <t>LeDoux, Joseph E.</t>
  </si>
  <si>
    <t>New York : Simon &amp; Schuster, ©1996.</t>
  </si>
  <si>
    <t>46226711:eng</t>
  </si>
  <si>
    <t>34849729</t>
  </si>
  <si>
    <t>ocm34849729</t>
  </si>
  <si>
    <t>3103592160U</t>
  </si>
  <si>
    <t>9780684803821</t>
  </si>
  <si>
    <t>793437281</t>
  </si>
  <si>
    <t>QP401 S63 2011</t>
  </si>
  <si>
    <t>0                      QP 0401000S  63          2011</t>
  </si>
  <si>
    <t>Social pain : neuropsychological and health implications of loss and exclusion / edited by Geoff MacDonald and Lauri A. Jensen-Campbell.</t>
  </si>
  <si>
    <t>Washington, DC : American Psychological Association, ©2011.</t>
  </si>
  <si>
    <t>796663945:eng</t>
  </si>
  <si>
    <t>559648854</t>
  </si>
  <si>
    <t>ocn559648854</t>
  </si>
  <si>
    <t>3103228592V</t>
  </si>
  <si>
    <t>9781433808746</t>
  </si>
  <si>
    <t>794812645</t>
  </si>
  <si>
    <t>QP401 S77 1968</t>
  </si>
  <si>
    <t>0                      QP 0401000S  77          1968</t>
  </si>
  <si>
    <t>Pain; a psychophysiological analysis [by] Richard A. Sternbach.</t>
  </si>
  <si>
    <t>Sternbach, Richard A.</t>
  </si>
  <si>
    <t>1561302:eng</t>
  </si>
  <si>
    <t>438500</t>
  </si>
  <si>
    <t>ocm00438500</t>
  </si>
  <si>
    <t>30008165941</t>
  </si>
  <si>
    <t>791378559</t>
  </si>
  <si>
    <t>QP402 L43 2002</t>
  </si>
  <si>
    <t>0                      QP 0402000L  43          2002</t>
  </si>
  <si>
    <t>Synaptic self : how our brains become who we are / Joseph LeDoux.</t>
  </si>
  <si>
    <t>New York : Viking, 2002.</t>
  </si>
  <si>
    <t>8604375:eng</t>
  </si>
  <si>
    <t>47282876</t>
  </si>
  <si>
    <t>ocm47282876</t>
  </si>
  <si>
    <t>3102167520I</t>
  </si>
  <si>
    <t>9780670030286</t>
  </si>
  <si>
    <t>793702560</t>
  </si>
  <si>
    <t>QP405 A85 1997</t>
  </si>
  <si>
    <t>0                      QP 0405000A  85          1997</t>
  </si>
  <si>
    <t>Attention and orienting : sensory and motivational processes / edited by Peter J. Lang, Robert F. Simons, Marie T. Balaban.</t>
  </si>
  <si>
    <t>Mahwah, N.J. : Lawrence Erlbaum Associates, 1997.</t>
  </si>
  <si>
    <t>341664000:eng</t>
  </si>
  <si>
    <t>35110325</t>
  </si>
  <si>
    <t>ocm35110325</t>
  </si>
  <si>
    <t>3101748685X</t>
  </si>
  <si>
    <t>9780805820898</t>
  </si>
  <si>
    <t>793444278</t>
  </si>
  <si>
    <t>QP405 A86 1996</t>
  </si>
  <si>
    <t>0                      QP 0405000A  86          1996</t>
  </si>
  <si>
    <t>Attention, memory, and executive function / edited by G. Reid Lyon and Norman A. Krasnegor.</t>
  </si>
  <si>
    <t>Baltimore : P.H. Brookes Pub. Co., ©1996.</t>
  </si>
  <si>
    <t>355903705:eng</t>
  </si>
  <si>
    <t>31866931</t>
  </si>
  <si>
    <t>ocm31866931</t>
  </si>
  <si>
    <t>3101547128A</t>
  </si>
  <si>
    <t>9781557668561</t>
  </si>
  <si>
    <t>793369874</t>
  </si>
  <si>
    <t>QP405 A876 1998</t>
  </si>
  <si>
    <t>0                      QP 0405000A  876         1998</t>
  </si>
  <si>
    <t>The attentive brain / edited by Raja Parasuraman.</t>
  </si>
  <si>
    <t>416754771:eng</t>
  </si>
  <si>
    <t>37031259</t>
  </si>
  <si>
    <t>ocm37031259</t>
  </si>
  <si>
    <t>3101886036C</t>
  </si>
  <si>
    <t>9780262161725</t>
  </si>
  <si>
    <t>793490353</t>
  </si>
  <si>
    <t>QP405 B86 2008</t>
  </si>
  <si>
    <t>0                      QP 0405000B  86          2008</t>
  </si>
  <si>
    <t>Principles of visual attention : linking mind and brain / Claus Bundesen and Thomas Habekost.</t>
  </si>
  <si>
    <t>Bundesen, Claus.</t>
  </si>
  <si>
    <t>Oxford psychology series ; no. 48</t>
  </si>
  <si>
    <t>2018-01-07</t>
  </si>
  <si>
    <t>131850842:eng</t>
  </si>
  <si>
    <t>216938550</t>
  </si>
  <si>
    <t>ocn216938550</t>
  </si>
  <si>
    <t>31030738334</t>
  </si>
  <si>
    <t>9780198570707</t>
  </si>
  <si>
    <t>794316006</t>
  </si>
  <si>
    <t>QP405 C7125 2004</t>
  </si>
  <si>
    <t>0                      QP 0405000C  7125        2004</t>
  </si>
  <si>
    <t>Cognitive neuroscience of attention / edited by Michael I. Posner.</t>
  </si>
  <si>
    <t>766549712:eng</t>
  </si>
  <si>
    <t>54767622</t>
  </si>
  <si>
    <t>ocm54767622</t>
  </si>
  <si>
    <t>3102930771L</t>
  </si>
  <si>
    <t>9781593850487</t>
  </si>
  <si>
    <t>793867351</t>
  </si>
  <si>
    <t>QP405 C7125 2012</t>
  </si>
  <si>
    <t>0                      QP 0405000C  7125        2012</t>
  </si>
  <si>
    <t>New York : Guilford Press, ©2012.</t>
  </si>
  <si>
    <t>726821241</t>
  </si>
  <si>
    <t>ocn726821241</t>
  </si>
  <si>
    <t>3103405437J</t>
  </si>
  <si>
    <t>9781609189853</t>
  </si>
  <si>
    <t>794877465</t>
  </si>
  <si>
    <t>QP405 L33 1995</t>
  </si>
  <si>
    <t>0                      QP 0405000L  33          1995</t>
  </si>
  <si>
    <t>Attentional processing : the brain's art of mindfulness / David LaBerge.</t>
  </si>
  <si>
    <t>LaBerge, David.</t>
  </si>
  <si>
    <t>Cambridge, Mass. : Harvard University Press, 1995.</t>
  </si>
  <si>
    <t>Perspectives in cognitive neuroscience</t>
  </si>
  <si>
    <t>2678059:eng</t>
  </si>
  <si>
    <t>31240662</t>
  </si>
  <si>
    <t>ocm31240662</t>
  </si>
  <si>
    <t>3101488331S</t>
  </si>
  <si>
    <t>9780674052680</t>
  </si>
  <si>
    <t>793356709</t>
  </si>
  <si>
    <t>QP406 A74 1984</t>
  </si>
  <si>
    <t>0                      QP 0406000A  74          1984</t>
  </si>
  <si>
    <t>Memory and the brain / Magda B. Arnold.</t>
  </si>
  <si>
    <t>Arnold, Magda B.</t>
  </si>
  <si>
    <t>Hillsdale, N.J. : L. Erlbaum Associates, 1984.</t>
  </si>
  <si>
    <t>3348910:eng</t>
  </si>
  <si>
    <t>10275461</t>
  </si>
  <si>
    <t>ocm10275461</t>
  </si>
  <si>
    <t>3000356900V</t>
  </si>
  <si>
    <t>9780898592900</t>
  </si>
  <si>
    <t>792717524</t>
  </si>
  <si>
    <t>QP406 B33 1982</t>
  </si>
  <si>
    <t>0                      QP 0406000B  33          1982</t>
  </si>
  <si>
    <t>Your memory, a user's guide / Alan Baddeley.</t>
  </si>
  <si>
    <t>Baddeley, Alan D., 1934-</t>
  </si>
  <si>
    <t>New York : Macmillan, 1982.</t>
  </si>
  <si>
    <t>875200:eng</t>
  </si>
  <si>
    <t>8410437</t>
  </si>
  <si>
    <t>ocm08410437</t>
  </si>
  <si>
    <t>31030896838</t>
  </si>
  <si>
    <t>9780025046603</t>
  </si>
  <si>
    <t>792617900</t>
  </si>
  <si>
    <t>QP406 C635 2002</t>
  </si>
  <si>
    <t>0                      QP 0406000C  635         2002</t>
  </si>
  <si>
    <t>The cognitive neuroscience of memory : encoding and retrieval / edited by Amanda Parker, Edward L. Wilding, and Timothy J. Bussey.</t>
  </si>
  <si>
    <t>Hove ; New York : Psychology Press, 2002.</t>
  </si>
  <si>
    <t>Studies in cognition series</t>
  </si>
  <si>
    <t>1044412422:eng</t>
  </si>
  <si>
    <t>50143387</t>
  </si>
  <si>
    <t>ocm50143387</t>
  </si>
  <si>
    <t>31027951545</t>
  </si>
  <si>
    <t>9781841692463</t>
  </si>
  <si>
    <t>793756604</t>
  </si>
  <si>
    <t>QP406 F87 1995</t>
  </si>
  <si>
    <t>0                      QP 0406000F  87          1995</t>
  </si>
  <si>
    <t>Memory in the cerebral cortex : an empirical approach to neural networks in the human and nonhuman primate / Joaquín M. Fuster.</t>
  </si>
  <si>
    <t>Fuster, Joaquin M.</t>
  </si>
  <si>
    <t>2016-04-04</t>
  </si>
  <si>
    <t>837013095:eng</t>
  </si>
  <si>
    <t>29952177</t>
  </si>
  <si>
    <t>ocm29952177</t>
  </si>
  <si>
    <t>3102418139I</t>
  </si>
  <si>
    <t>9780262061711</t>
  </si>
  <si>
    <t>793324882</t>
  </si>
  <si>
    <t>QP406 K36 1988</t>
  </si>
  <si>
    <t>0                      QP 0406000K  36          1988</t>
  </si>
  <si>
    <t>Sparse distributed memory / Pentti Kanerva.</t>
  </si>
  <si>
    <t>Kanerva, Pentti.</t>
  </si>
  <si>
    <t>Cambridge, Mass. : MIT Press, ©1988.</t>
  </si>
  <si>
    <t>15416413:eng</t>
  </si>
  <si>
    <t>17551966</t>
  </si>
  <si>
    <t>ocm17551966</t>
  </si>
  <si>
    <t>30006412905</t>
  </si>
  <si>
    <t>9780262111324</t>
  </si>
  <si>
    <t>792995535</t>
  </si>
  <si>
    <t>QP406 N486 2001</t>
  </si>
  <si>
    <t>0                      QP 0406000N  486         2001</t>
  </si>
  <si>
    <t>Neuronal mechanisms of memory formation : concepts of long-term potentiation and beyond / edited by Christian Hölscher.</t>
  </si>
  <si>
    <t>896285669:eng</t>
  </si>
  <si>
    <t>43751783</t>
  </si>
  <si>
    <t>ocm43751783</t>
  </si>
  <si>
    <t>3102207097U</t>
  </si>
  <si>
    <t>9780521770675</t>
  </si>
  <si>
    <t>793634014</t>
  </si>
  <si>
    <t>QP406 P37</t>
  </si>
  <si>
    <t>0                      QP 0406000P  37</t>
  </si>
  <si>
    <t>The pathology of memory / edited by George A. Talland and Nancy C. Waugh. Contributors: Raymond D. Adams [and others].</t>
  </si>
  <si>
    <t>New York : Academic Press, 1969.</t>
  </si>
  <si>
    <t>353954535:eng</t>
  </si>
  <si>
    <t>27297</t>
  </si>
  <si>
    <t>ocm00027297</t>
  </si>
  <si>
    <t>30005147191</t>
  </si>
  <si>
    <t>9780126831603</t>
  </si>
  <si>
    <t>791233059</t>
  </si>
  <si>
    <t>QP408 N57 2012</t>
  </si>
  <si>
    <t>0                      QP 0408000N  57          2012</t>
  </si>
  <si>
    <t>Neuroscience in education : the good, the bad and the ugly / edited by Sergio Della Sala and Mike Anderson.</t>
  </si>
  <si>
    <t>1117343231:eng</t>
  </si>
  <si>
    <t>783148828</t>
  </si>
  <si>
    <t>ocn783148828</t>
  </si>
  <si>
    <t>3103396857Y</t>
  </si>
  <si>
    <t>9780199600496</t>
  </si>
  <si>
    <t>794913910</t>
  </si>
  <si>
    <t>QP408 .P47 2002</t>
  </si>
  <si>
    <t>0                      QP 0408000P  47          2002</t>
  </si>
  <si>
    <t>Perceptual learning / edited by Manfred Fahle and Tomaso Poggio.</t>
  </si>
  <si>
    <t>2007-05-24</t>
  </si>
  <si>
    <t>414301939:eng</t>
  </si>
  <si>
    <t>47659408</t>
  </si>
  <si>
    <t>ocm47659408</t>
  </si>
  <si>
    <t>3102256206L</t>
  </si>
  <si>
    <t>9780262062213</t>
  </si>
  <si>
    <t>793704766</t>
  </si>
  <si>
    <t>QP408 P47 2002</t>
  </si>
  <si>
    <t>3102446205E</t>
  </si>
  <si>
    <t>793704765</t>
  </si>
  <si>
    <t>QP408 W64 2007</t>
  </si>
  <si>
    <t>0                      QP 0408000W  64          2007</t>
  </si>
  <si>
    <t>Proust and the squid : the story and science of the reading brain / Maryanne Wolf ; illustrations by Catherine Stoodley.</t>
  </si>
  <si>
    <t>Wolf, Maryanne.</t>
  </si>
  <si>
    <t>New York, NY : HarperCollins, ©2007.</t>
  </si>
  <si>
    <t>407674483:eng</t>
  </si>
  <si>
    <t>148887403</t>
  </si>
  <si>
    <t>ocn148887403</t>
  </si>
  <si>
    <t>31026395847</t>
  </si>
  <si>
    <t>9780060186395</t>
  </si>
  <si>
    <t>794241134</t>
  </si>
  <si>
    <t>QP409 F73 2001</t>
  </si>
  <si>
    <t>0                      QP 0409000F  73          2001</t>
  </si>
  <si>
    <t>How brains make up their minds / Walter J. Freeman.</t>
  </si>
  <si>
    <t>Freeman, Walter J.</t>
  </si>
  <si>
    <t>New York : Columbia University Press, [2001], ©2000.</t>
  </si>
  <si>
    <t>Maps of the mind</t>
  </si>
  <si>
    <t>1063835:eng</t>
  </si>
  <si>
    <t>222752784</t>
  </si>
  <si>
    <t>ocn222752784</t>
  </si>
  <si>
    <t>31020858421</t>
  </si>
  <si>
    <t>9780231120081</t>
  </si>
  <si>
    <t>794332663</t>
  </si>
  <si>
    <t>QP411 B56 2017</t>
  </si>
  <si>
    <t>0                      QP 0411000B  56          2017</t>
  </si>
  <si>
    <t>Biophysics of consciousness : a foundational approach / editors, Roman R. Poznanski, the Rockefeller University, USA, and Universiti Teknologi Malaysia, Jack A. Tuszynski, University of Alberta, Canada, Todd E. Feinberg, Icahn School of Medicine at Mount Sinai and Mount Sinai Beth Israel Medical Center, USA.</t>
  </si>
  <si>
    <t>New Jersey : World Scientific, [2016]</t>
  </si>
  <si>
    <t>3841838720:eng</t>
  </si>
  <si>
    <t>898164477</t>
  </si>
  <si>
    <t>ocn898164477</t>
  </si>
  <si>
    <t>3103696858$</t>
  </si>
  <si>
    <t>9789814644259</t>
  </si>
  <si>
    <t>794986028</t>
  </si>
  <si>
    <t>QP411 B74 2004</t>
  </si>
  <si>
    <t>0                      QP 0411000B  74          2004</t>
  </si>
  <si>
    <t>Brain and being : at the boundary between science, philosophy, language and arts / edited by Gordon G. Globus, Karl H. Pribram, Giuseppe Vitello.</t>
  </si>
  <si>
    <t>Philadelphia : John Benjamins Pub., ©2004.</t>
  </si>
  <si>
    <t>Advances in consciousness research, 1381-589X ; v. 58</t>
  </si>
  <si>
    <t>2015-07-05</t>
  </si>
  <si>
    <t>793926295:eng</t>
  </si>
  <si>
    <t>55518175</t>
  </si>
  <si>
    <t>ocm55518175</t>
  </si>
  <si>
    <t>31027950696</t>
  </si>
  <si>
    <t>9781588115508</t>
  </si>
  <si>
    <t>793877883</t>
  </si>
  <si>
    <t>QP411 E345 2000</t>
  </si>
  <si>
    <t>0                      QP 0411000E  345         2000</t>
  </si>
  <si>
    <t>A universe of consciousness : how matter becomes imagination / Gerald M. Edelman and Giulio Tononi.</t>
  </si>
  <si>
    <t>2016-12-19</t>
  </si>
  <si>
    <t>14452029:eng</t>
  </si>
  <si>
    <t>43732396</t>
  </si>
  <si>
    <t>ocm43732396</t>
  </si>
  <si>
    <t>31021212080</t>
  </si>
  <si>
    <t>9780465013760</t>
  </si>
  <si>
    <t>793633738</t>
  </si>
  <si>
    <t>QP411 E85 2003</t>
  </si>
  <si>
    <t>0                      QP 0411000E  85          2003</t>
  </si>
  <si>
    <t>Essential sources in the scientific study of consciousness / edited by Bernard J. Baars, William P. Banks, and James B. Newman.</t>
  </si>
  <si>
    <t>56590402:eng</t>
  </si>
  <si>
    <t>50155496</t>
  </si>
  <si>
    <t>ocm50155496</t>
  </si>
  <si>
    <t>3102987181L</t>
  </si>
  <si>
    <t>9780262024969</t>
  </si>
  <si>
    <t>793756884</t>
  </si>
  <si>
    <t>QP411 F76 1998</t>
  </si>
  <si>
    <t>0                      QP 0411000F  76          1998</t>
  </si>
  <si>
    <t>From brains to consciousness? : essays on the new sciences of the mind / edited by Steven Rose.</t>
  </si>
  <si>
    <t>Princeton, NJ : Princeton University Press, 1998.</t>
  </si>
  <si>
    <t>836919651:eng</t>
  </si>
  <si>
    <t>39130442</t>
  </si>
  <si>
    <t>ocm39130442</t>
  </si>
  <si>
    <t>3101954415P</t>
  </si>
  <si>
    <t>9780691004693</t>
  </si>
  <si>
    <t>793538764</t>
  </si>
  <si>
    <t>QP411 G69 1995</t>
  </si>
  <si>
    <t>0                      QP 0411000G  69          1995</t>
  </si>
  <si>
    <t>Journey to the centers of the mind : toward a science of consciousness / Susan A. Greenfield.</t>
  </si>
  <si>
    <t>Greenfield, Susan.</t>
  </si>
  <si>
    <t>889666808:eng</t>
  </si>
  <si>
    <t>31868009</t>
  </si>
  <si>
    <t>ocm31868009</t>
  </si>
  <si>
    <t>3101537563Z</t>
  </si>
  <si>
    <t>9780716727231</t>
  </si>
  <si>
    <t>793369996</t>
  </si>
  <si>
    <t>QP411 L56 2001</t>
  </si>
  <si>
    <t>0                      QP 0411000L  56          2001</t>
  </si>
  <si>
    <t>I of the vortex : from neurons to self / Rodolfo R. Llinás.</t>
  </si>
  <si>
    <t>Llinás, Rodolfo R. (Rodolfo Riascos), 1934-</t>
  </si>
  <si>
    <t>6035478:eng</t>
  </si>
  <si>
    <t>44167659</t>
  </si>
  <si>
    <t>ocm44167659</t>
  </si>
  <si>
    <t>3102104777W</t>
  </si>
  <si>
    <t>9780262122337</t>
  </si>
  <si>
    <t>793643846</t>
  </si>
  <si>
    <t>QP411 M485 2003</t>
  </si>
  <si>
    <t>0                      QP 0411000M  485         2003</t>
  </si>
  <si>
    <t>Being no one : the self-model theory of subjectivity / Thomas Metzinger.</t>
  </si>
  <si>
    <t>Metzinger, Thomas, 1958-</t>
  </si>
  <si>
    <t>797210966:eng</t>
  </si>
  <si>
    <t>49892529</t>
  </si>
  <si>
    <t>ocm49892529</t>
  </si>
  <si>
    <t>3102267029E</t>
  </si>
  <si>
    <t>9780262134170</t>
  </si>
  <si>
    <t>793750059</t>
  </si>
  <si>
    <t>QP411 N48 2000</t>
  </si>
  <si>
    <t>0                      QP 0411000N  48          2000</t>
  </si>
  <si>
    <t>Neural correlates of consciousness : empirical and conceptual questions / edited by Thomas Metzinger.</t>
  </si>
  <si>
    <t>Cambridge, Mass. : MIT Press, ©2000.</t>
  </si>
  <si>
    <t>802181141:eng</t>
  </si>
  <si>
    <t>43324292</t>
  </si>
  <si>
    <t>ocm43324292</t>
  </si>
  <si>
    <t>3102091438M</t>
  </si>
  <si>
    <t>9780262133708</t>
  </si>
  <si>
    <t>793624551</t>
  </si>
  <si>
    <t>QP411 N485 2002</t>
  </si>
  <si>
    <t>0                      QP 0411000N  485         2002</t>
  </si>
  <si>
    <t>Neurochemistry of consciousness : neurotransmitters in mind / edited by Elaine Perry, Heather Ashton, and Allan Young ; with a foreword by Susan Greenfield.</t>
  </si>
  <si>
    <t>Amsterdam ; Philadelphia : J. Benjamins Pub. Co., ©2002.</t>
  </si>
  <si>
    <t>Advances in consciousness research, 1381-589X ; v. 36</t>
  </si>
  <si>
    <t>919085007:eng</t>
  </si>
  <si>
    <t>48475105</t>
  </si>
  <si>
    <t>ocm48475105</t>
  </si>
  <si>
    <t>31021991060</t>
  </si>
  <si>
    <t>9789027251565</t>
  </si>
  <si>
    <t>793721945</t>
  </si>
  <si>
    <t>QP411 N49 2010</t>
  </si>
  <si>
    <t>0                      QP 0411000N  49          2010</t>
  </si>
  <si>
    <t>New horizons in the neuroscience of consciousness / edited by Elaine Perry [and others].</t>
  </si>
  <si>
    <t>Amsterdam ; Philadelphia : John Benjamins Pub., ©2010.</t>
  </si>
  <si>
    <t>Advances in consciousness research ; v. 79</t>
  </si>
  <si>
    <t>489594237:eng</t>
  </si>
  <si>
    <t>624030961</t>
  </si>
  <si>
    <t>ocn624030961</t>
  </si>
  <si>
    <t>3103323907E</t>
  </si>
  <si>
    <t>9789027252159</t>
  </si>
  <si>
    <t>794823752</t>
  </si>
  <si>
    <t>QP411 S23 2017</t>
  </si>
  <si>
    <t>0                      QP 0411000S  23          2017</t>
  </si>
  <si>
    <t>The river of consciousness / Oliver Sacks.</t>
  </si>
  <si>
    <t>Sacks, Oliver, 1933-2015, author.</t>
  </si>
  <si>
    <t>New York : Alfred A. Knopf, 2017.</t>
  </si>
  <si>
    <t>4034380935:eng</t>
  </si>
  <si>
    <t>968690646</t>
  </si>
  <si>
    <t>ocn968690646</t>
  </si>
  <si>
    <t>3103880241P</t>
  </si>
  <si>
    <t>9780385352567</t>
  </si>
  <si>
    <t>795027184</t>
  </si>
  <si>
    <t>QP411 T66 2012</t>
  </si>
  <si>
    <t>0                      QP 0411000T  66          2012</t>
  </si>
  <si>
    <t>Phi : a voyage from the brain to the soul / Giulio Tononi.</t>
  </si>
  <si>
    <t>Tononi, Giulio.</t>
  </si>
  <si>
    <t>New York : Pantheon, ©2012.</t>
  </si>
  <si>
    <t>1106527033:eng</t>
  </si>
  <si>
    <t>755697723</t>
  </si>
  <si>
    <t>ocn755697723</t>
  </si>
  <si>
    <t>3103457035Z</t>
  </si>
  <si>
    <t>9780307907219</t>
  </si>
  <si>
    <t>794893829</t>
  </si>
  <si>
    <t>QP411 T68 1996</t>
  </si>
  <si>
    <t>0                      QP 0411000T  68          1996</t>
  </si>
  <si>
    <t>Toward a science of consciousness : the first Tucson discussions and debates / edited by Stuart R. Hameroff, Alfred W. Kaszniak, Alwyn C. Scott.</t>
  </si>
  <si>
    <t>864036597:eng</t>
  </si>
  <si>
    <t>33899977</t>
  </si>
  <si>
    <t>ocm33899977</t>
  </si>
  <si>
    <t>3101748992O</t>
  </si>
  <si>
    <t>9780262082495</t>
  </si>
  <si>
    <t>793413599</t>
  </si>
  <si>
    <t>QP411 U53 2003</t>
  </si>
  <si>
    <t>0                      QP 0411000U  53          2003</t>
  </si>
  <si>
    <t>The unity of consciousness : binding, integration, and dissociation / edited by Axel Cleeremans.</t>
  </si>
  <si>
    <t>Oxford : Oxford University Press, ©2003.</t>
  </si>
  <si>
    <t>838941018:eng</t>
  </si>
  <si>
    <t>50747505</t>
  </si>
  <si>
    <t>ocm50747505</t>
  </si>
  <si>
    <t>3102321448$</t>
  </si>
  <si>
    <t>9780198508571</t>
  </si>
  <si>
    <t>793772157</t>
  </si>
  <si>
    <t>QP411 W455 2011</t>
  </si>
  <si>
    <t>0                      QP 0411000W  455         2011</t>
  </si>
  <si>
    <t>Philosophy, neuroscience and consciousness / Rex Welshon.</t>
  </si>
  <si>
    <t>Welshon, Rex, 1955-</t>
  </si>
  <si>
    <t>Durham : Acumen, 2010.</t>
  </si>
  <si>
    <t>2013-04-13</t>
  </si>
  <si>
    <t>485860871:eng</t>
  </si>
  <si>
    <t>620165038</t>
  </si>
  <si>
    <t>ocn620165038</t>
  </si>
  <si>
    <t>3103232688C</t>
  </si>
  <si>
    <t>9781844651580</t>
  </si>
  <si>
    <t>794823573</t>
  </si>
  <si>
    <t>QP425 F74</t>
  </si>
  <si>
    <t>0                      QP 0425000F  74</t>
  </si>
  <si>
    <t>Sleep research; a critical review, by Frank R. Freemon.</t>
  </si>
  <si>
    <t>Freemon, Frank R., 1938-</t>
  </si>
  <si>
    <t>1487972:eng</t>
  </si>
  <si>
    <t>514665</t>
  </si>
  <si>
    <t>ocm00514665</t>
  </si>
  <si>
    <t>3000461719U</t>
  </si>
  <si>
    <t>9780398025403</t>
  </si>
  <si>
    <t>791400147</t>
  </si>
  <si>
    <t>QP425 H25</t>
  </si>
  <si>
    <t>0                      QP 0425000H  25</t>
  </si>
  <si>
    <t>The functions of sleep / Ernest L. Hartmann.</t>
  </si>
  <si>
    <t>Hartmann, Ernest, 1934-</t>
  </si>
  <si>
    <t>New Haven : Yale University Press, 1973.</t>
  </si>
  <si>
    <t>Yale fastback ; 13</t>
  </si>
  <si>
    <t>571872:eng</t>
  </si>
  <si>
    <t>839107</t>
  </si>
  <si>
    <t>ocm00839107</t>
  </si>
  <si>
    <t>3001138756K</t>
  </si>
  <si>
    <t>9780300017007</t>
  </si>
  <si>
    <t>791483578</t>
  </si>
  <si>
    <t>QP425 K3713 1982</t>
  </si>
  <si>
    <t>0                      QP 0425000K  3713        1982</t>
  </si>
  <si>
    <t>Evolution of sleep : stages of the formation of the 'wakefulness-sleep' cycle in vertebrates / Ida Gavrilovna Karmanova ; translation from Russian by A.I. Koryushkin and O.P. Uchastkin with editorial assistance by Werner P. Koella.</t>
  </si>
  <si>
    <t>Karmanova, I. G. (Ida Gavrilovna)</t>
  </si>
  <si>
    <t>Basel ; New York : Karger, ©1982.</t>
  </si>
  <si>
    <t>3019246:eng</t>
  </si>
  <si>
    <t>10364660</t>
  </si>
  <si>
    <t>ocm10364660</t>
  </si>
  <si>
    <t>3001028055Q</t>
  </si>
  <si>
    <t>9783805535304</t>
  </si>
  <si>
    <t>792722686</t>
  </si>
  <si>
    <t>QP425 L82 1966</t>
  </si>
  <si>
    <t>0                      QP 0425000L  82          1966</t>
  </si>
  <si>
    <t>Sleep, by Gay Gaer Luce and Julius Segal.</t>
  </si>
  <si>
    <t>New York, Coward-McCann [1966]</t>
  </si>
  <si>
    <t>1334460:eng</t>
  </si>
  <si>
    <t>224654</t>
  </si>
  <si>
    <t>ocm00224654</t>
  </si>
  <si>
    <t>3000836317F</t>
  </si>
  <si>
    <t>9780698103436</t>
  </si>
  <si>
    <t>791299431</t>
  </si>
  <si>
    <t>QP425 M38 1987</t>
  </si>
  <si>
    <t>0                      QP 0425000M  38          1987</t>
  </si>
  <si>
    <t>Hypnagogia : the unique state of consciousness between wakefulness and sleep / Andreas Mavromatis.</t>
  </si>
  <si>
    <t>Mavromatis, Andreas.</t>
  </si>
  <si>
    <t>London ; New York : Routledge &amp; Kegan Paul, 1987.</t>
  </si>
  <si>
    <t>7797125:eng</t>
  </si>
  <si>
    <t>13395683</t>
  </si>
  <si>
    <t>ocm13395683</t>
  </si>
  <si>
    <t>31028483506</t>
  </si>
  <si>
    <t>9780710202826</t>
  </si>
  <si>
    <t>792851856</t>
  </si>
  <si>
    <t>QP425 M396 2004</t>
  </si>
  <si>
    <t>0                      QP 0425000M  396         2004</t>
  </si>
  <si>
    <t>An evolutionary psychology of sleep and dreams / Patrick McNamara.</t>
  </si>
  <si>
    <t>McNamara, Patrick, 1956-</t>
  </si>
  <si>
    <t>Westport, Conn. : Praeger Publishers, 2004.</t>
  </si>
  <si>
    <t>524395:eng</t>
  </si>
  <si>
    <t>56097010</t>
  </si>
  <si>
    <t>ocm56097010</t>
  </si>
  <si>
    <t>3102485574C</t>
  </si>
  <si>
    <t>9780275978754</t>
  </si>
  <si>
    <t>793887725</t>
  </si>
  <si>
    <t>QP425 N48 2009</t>
  </si>
  <si>
    <t>0                      QP 0425000N  48          2009</t>
  </si>
  <si>
    <t>The neuroscience of sleep / editors-in-chief, Robert Stickgold, Matthew P. Walker.</t>
  </si>
  <si>
    <t>Amsterdam ; Boston : Academic Press/Elsevier, ©2009.</t>
  </si>
  <si>
    <t>888562039:eng</t>
  </si>
  <si>
    <t>435734747</t>
  </si>
  <si>
    <t>ocn435734747</t>
  </si>
  <si>
    <t>3103336320B</t>
  </si>
  <si>
    <t>9780123750730</t>
  </si>
  <si>
    <t>794783801</t>
  </si>
  <si>
    <t>QP425 W44 2017</t>
  </si>
  <si>
    <t>0                      QP 0425000W  44          2017</t>
  </si>
  <si>
    <t>Why we sleep : unlocking the power of sleep and dreams / Matthew Walker.</t>
  </si>
  <si>
    <t>Walker, Matthew P., author.</t>
  </si>
  <si>
    <t>New York, NY : Scribner, an imprint of Simon &amp; Schuster, Inc., 2017.</t>
  </si>
  <si>
    <t>First Scribner hardcover edition.</t>
  </si>
  <si>
    <t>4472762025:eng</t>
  </si>
  <si>
    <t>975365716</t>
  </si>
  <si>
    <t>ocn975365716</t>
  </si>
  <si>
    <t>3103794177Q</t>
  </si>
  <si>
    <t>9781501144318</t>
  </si>
  <si>
    <t>795030119</t>
  </si>
  <si>
    <t>QP426 H627 2002</t>
  </si>
  <si>
    <t>0                      QP 0426000H  627         2002</t>
  </si>
  <si>
    <t>Dreaming : an introduction to the science of sleep / J. Allan Hobson.</t>
  </si>
  <si>
    <t>Hobson, J. Allan, 1933-</t>
  </si>
  <si>
    <t>3372961554:eng</t>
  </si>
  <si>
    <t>50018114</t>
  </si>
  <si>
    <t>ocm50018114</t>
  </si>
  <si>
    <t>3102240720V</t>
  </si>
  <si>
    <t>9780192803047</t>
  </si>
  <si>
    <t>793753664</t>
  </si>
  <si>
    <t>QP426 J68313 1999</t>
  </si>
  <si>
    <t>0                      QP 0426000J  68313       1999</t>
  </si>
  <si>
    <t>The paradox of sleep : the story of dreaming / Michael Jouvet ; translated by Laurence Garey.</t>
  </si>
  <si>
    <t>Jouvet, Michel.</t>
  </si>
  <si>
    <t>8908862805:eng</t>
  </si>
  <si>
    <t>40395483</t>
  </si>
  <si>
    <t>ocm40395483</t>
  </si>
  <si>
    <t>3101998288$</t>
  </si>
  <si>
    <t>9780262100809</t>
  </si>
  <si>
    <t>793565570</t>
  </si>
  <si>
    <t>QP426 R63 2004</t>
  </si>
  <si>
    <t>0                      QP 0426000R  63          2004</t>
  </si>
  <si>
    <t>The mind at night : the new science of how and why we dream / Andrea Rock.</t>
  </si>
  <si>
    <t>Rock, Andrea.</t>
  </si>
  <si>
    <t>New York : Basic Books, ©2004.</t>
  </si>
  <si>
    <t>119707053:eng</t>
  </si>
  <si>
    <t>64586850</t>
  </si>
  <si>
    <t>ocm64586850</t>
  </si>
  <si>
    <t>31023461837</t>
  </si>
  <si>
    <t>9780738207551</t>
  </si>
  <si>
    <t>794130425</t>
  </si>
  <si>
    <t>QP426 S63 2003</t>
  </si>
  <si>
    <t>0                      QP 0426000S  63          2003</t>
  </si>
  <si>
    <t>Sleep and dreaming : scientific advances and reconsiderations / edited by Edward F. Pace-Schott [and others].</t>
  </si>
  <si>
    <t>793931045:eng</t>
  </si>
  <si>
    <t>50006609</t>
  </si>
  <si>
    <t>ocm50006609</t>
  </si>
  <si>
    <t>3102800800G</t>
  </si>
  <si>
    <t>9780521810449</t>
  </si>
  <si>
    <t>793753495</t>
  </si>
  <si>
    <t>QP430 N49 2010</t>
  </si>
  <si>
    <t>0                      QP 0430000N  49          2010</t>
  </si>
  <si>
    <t>How God changes your brain : breakthrough findings from a leading neuroscientist / Andrew Newberg and Mark Robert Waldman.</t>
  </si>
  <si>
    <t>Newberg, Andrew B., 1966- author.</t>
  </si>
  <si>
    <t>New York : Ballantine Books Trade Paperbacks, 2010, ©2009.</t>
  </si>
  <si>
    <t>Ballantine books trade paperback edition.</t>
  </si>
  <si>
    <t>139995294:eng</t>
  </si>
  <si>
    <t>422760402</t>
  </si>
  <si>
    <t>ocn422760402</t>
  </si>
  <si>
    <t>31034569940</t>
  </si>
  <si>
    <t>9780345503428</t>
  </si>
  <si>
    <t>794505801</t>
  </si>
  <si>
    <t>QP430 Z35 2005</t>
  </si>
  <si>
    <t>0                      QP 0430000Z  35          2005</t>
  </si>
  <si>
    <t>Neuropsychology of art : neurological, cognitive, and evolutionary perspectives / Dahlia W. Zaidel.</t>
  </si>
  <si>
    <t>Zaidel, Dahlia W.</t>
  </si>
  <si>
    <t>Hove [England] ; New York : Psychology Press, ©2005.</t>
  </si>
  <si>
    <t>Brain damage, behaviour, and cognition</t>
  </si>
  <si>
    <t>1313858:eng</t>
  </si>
  <si>
    <t>59818333</t>
  </si>
  <si>
    <t>ocm59818333</t>
  </si>
  <si>
    <t>3102488041L</t>
  </si>
  <si>
    <t>9781841693637</t>
  </si>
  <si>
    <t>793932003</t>
  </si>
  <si>
    <t>QP431 C54 2011</t>
  </si>
  <si>
    <t>0                      QP 0431000C  54          2011</t>
  </si>
  <si>
    <t>Fundamentals of sensory perception / Avi Chaudhuri.</t>
  </si>
  <si>
    <t>Chaudhuri, Avijit.</t>
  </si>
  <si>
    <t>Don Mills, Ont. : Oxford University Press, 2011.</t>
  </si>
  <si>
    <t>2019-05-02</t>
  </si>
  <si>
    <t>687382310:eng</t>
  </si>
  <si>
    <t>642441172</t>
  </si>
  <si>
    <t>ocn642441172</t>
  </si>
  <si>
    <t>3103289265C</t>
  </si>
  <si>
    <t>9780195433753</t>
  </si>
  <si>
    <t>794828229</t>
  </si>
  <si>
    <t>3103387414I</t>
  </si>
  <si>
    <t>794828227</t>
  </si>
  <si>
    <t>2019-05-04</t>
  </si>
  <si>
    <t>3103605499N</t>
  </si>
  <si>
    <t>794828230</t>
  </si>
  <si>
    <t>QP431 C767 2004</t>
  </si>
  <si>
    <t>0                      QP 0431000C  767         2004</t>
  </si>
  <si>
    <t>Crossmodal space and crossmodal attention / edited by Charles Spence and Jon Driver.</t>
  </si>
  <si>
    <t>351659159:eng</t>
  </si>
  <si>
    <t>50747322</t>
  </si>
  <si>
    <t>ocm50747322</t>
  </si>
  <si>
    <t>31024632624</t>
  </si>
  <si>
    <t>9780198524878</t>
  </si>
  <si>
    <t>793772154</t>
  </si>
  <si>
    <t>QP431 G47</t>
  </si>
  <si>
    <t>0                      QP 0431000G  47</t>
  </si>
  <si>
    <t>Psychophysics : method and theory / George A. Gescheider.</t>
  </si>
  <si>
    <t>Gescheider, George A., author.</t>
  </si>
  <si>
    <t>Hillside, N.J. : L. Erlbaum Associates ; New York : Distributed by Halsted Press, 1976.</t>
  </si>
  <si>
    <t>3377230852:eng</t>
  </si>
  <si>
    <t>1584006</t>
  </si>
  <si>
    <t>ocm01584006</t>
  </si>
  <si>
    <t>3100013042R</t>
  </si>
  <si>
    <t>9780470297124</t>
  </si>
  <si>
    <t>791756778</t>
  </si>
  <si>
    <t>QP431 G473 1997</t>
  </si>
  <si>
    <t>0                      QP 0431000G  473         1997</t>
  </si>
  <si>
    <t>Psychophysics : the fundamentals / George A. Gescheider.</t>
  </si>
  <si>
    <t>Gescheider, George A.</t>
  </si>
  <si>
    <t>Mahwah, N.J. : L. Erlbaum Associates, 1997.</t>
  </si>
  <si>
    <t>2019-03-23</t>
  </si>
  <si>
    <t>3910907927:eng</t>
  </si>
  <si>
    <t>35559116</t>
  </si>
  <si>
    <t>ocm35559116</t>
  </si>
  <si>
    <t>3103304413X</t>
  </si>
  <si>
    <t>9780805822816</t>
  </si>
  <si>
    <t>793452117</t>
  </si>
  <si>
    <t>QP431 .G473 1997</t>
  </si>
  <si>
    <t>2004-02-06</t>
  </si>
  <si>
    <t>3101800110U</t>
  </si>
  <si>
    <t>793452118</t>
  </si>
  <si>
    <t>QP431 G64 2007</t>
  </si>
  <si>
    <t>0                      QP 0431000G  64          2007</t>
  </si>
  <si>
    <t>Sensation and perception / E. Bruce Goldstein.</t>
  </si>
  <si>
    <t>Goldstein, E. Bruce, 1941-</t>
  </si>
  <si>
    <t>Belmont, CA : Thomson Wadsworth, ©2007.</t>
  </si>
  <si>
    <t>714054:eng</t>
  </si>
  <si>
    <t>66914093</t>
  </si>
  <si>
    <t>ocm66914093</t>
  </si>
  <si>
    <t>3102607749W</t>
  </si>
  <si>
    <t>9780534558109</t>
  </si>
  <si>
    <t>794139689</t>
  </si>
  <si>
    <t>2012-06-04</t>
  </si>
  <si>
    <t>3102718800M</t>
  </si>
  <si>
    <t>794139691</t>
  </si>
  <si>
    <t>3102682828D</t>
  </si>
  <si>
    <t>794139690</t>
  </si>
  <si>
    <t>2012-01-17</t>
  </si>
  <si>
    <t>31027187957</t>
  </si>
  <si>
    <t>794139688</t>
  </si>
  <si>
    <t>QP431 G64 2010</t>
  </si>
  <si>
    <t>0                      QP 0431000G  64          2010</t>
  </si>
  <si>
    <t>Text + ( booklet + CD-ROM)</t>
  </si>
  <si>
    <t>Belmont, CA : Wadsworth, Cengage Learning, ©2010.</t>
  </si>
  <si>
    <t>697153038</t>
  </si>
  <si>
    <t>ocn697153038</t>
  </si>
  <si>
    <t>3103371241A</t>
  </si>
  <si>
    <t>9780495601494</t>
  </si>
  <si>
    <t>794859681</t>
  </si>
  <si>
    <t>(Text +CD-ROM (MISSING booklet)</t>
  </si>
  <si>
    <t>3103371246A</t>
  </si>
  <si>
    <t>794859682</t>
  </si>
  <si>
    <t>(Text (Missing Booklet + CD-ROM )</t>
  </si>
  <si>
    <t>3103371226E</t>
  </si>
  <si>
    <t>794859680</t>
  </si>
  <si>
    <t>QP431 H286 2004</t>
  </si>
  <si>
    <t>0                      QP 0431000H  286         2004</t>
  </si>
  <si>
    <t>The handbook of multisensory processes / edited by Gemma Calvert, Charles Spence, Barry E. Stein.</t>
  </si>
  <si>
    <t>Cambridge, Mass. : MIT Press, ©2004.</t>
  </si>
  <si>
    <t>5453952223:eng</t>
  </si>
  <si>
    <t>54677752</t>
  </si>
  <si>
    <t>ocm54677752</t>
  </si>
  <si>
    <t>3102739682Z</t>
  </si>
  <si>
    <t>9780262033213</t>
  </si>
  <si>
    <t>793865327</t>
  </si>
  <si>
    <t>QP431 M295 2005</t>
  </si>
  <si>
    <t>0                      QP 0431000M  295         2005</t>
  </si>
  <si>
    <t>Seeing, doing, and knowing : a philosophical theory of sense perception / Mohan Matthen.</t>
  </si>
  <si>
    <t>Matthen, Mohan.</t>
  </si>
  <si>
    <t>801745866:eng</t>
  </si>
  <si>
    <t>56942596</t>
  </si>
  <si>
    <t>ocm56942596</t>
  </si>
  <si>
    <t>3102490456Y</t>
  </si>
  <si>
    <t>9780199268504</t>
  </si>
  <si>
    <t>793904496</t>
  </si>
  <si>
    <t>3102483386O</t>
  </si>
  <si>
    <t>793904497</t>
  </si>
  <si>
    <t>QP431 S445 2015</t>
  </si>
  <si>
    <t>0                      QP 0431000S  445         2015</t>
  </si>
  <si>
    <t>Sensation &amp; perception / Jeremy M. Wolfe, Harvard University Medical School, Keith R. Kluender, Purdue University, Dennis M. Levi, University of California, Berkeley, Linda M. Bartoshuk, University of Florida, Rachel S. Herz, Brown University, Roberta Klatzky, Carnegie Mellon University, Susan J. Lederman, Queen's University, Daniel M. Merfeld, Harvard University Medical School.</t>
  </si>
  <si>
    <t>Wolfe, Jeremy M., author.</t>
  </si>
  <si>
    <t>Sunderland, Massachusetts, U.S.A. : Sinauer Associates, Inc., Publishers, [2015]</t>
  </si>
  <si>
    <t>46343965:eng</t>
  </si>
  <si>
    <t>885148353</t>
  </si>
  <si>
    <t>ocn885148353</t>
  </si>
  <si>
    <t>3103714467S</t>
  </si>
  <si>
    <t>9781605352114</t>
  </si>
  <si>
    <t>794977051</t>
  </si>
  <si>
    <t>3103714482W</t>
  </si>
  <si>
    <t>794977049</t>
  </si>
  <si>
    <t>3103714472Z</t>
  </si>
  <si>
    <t>794977050</t>
  </si>
  <si>
    <t>31037144621</t>
  </si>
  <si>
    <t>794977052</t>
  </si>
  <si>
    <t>3103714477P</t>
  </si>
  <si>
    <t>794977053</t>
  </si>
  <si>
    <t>QP431 S445 2018</t>
  </si>
  <si>
    <t>0                      QP 0431000S  445         2018</t>
  </si>
  <si>
    <t>Sensation &amp; perception / Jeremy M. Wolfe, Brigham &amp; Women's Hospital/Harvard University Medical School ; Keith R. Kluender, Purdue University ; Dennis M. Levi, University of California, Berkeley ; Linda M. Bartoshuk, University of Florida ; Rachel S. Herz, Brown University ; Roberta Klatzky, Carnegie Mellon University ; Daniel M. Merfeld, The Ohio State University.</t>
  </si>
  <si>
    <t>New York, NY : Sinauer Associates, [2018]</t>
  </si>
  <si>
    <t>Fifth Edition.</t>
  </si>
  <si>
    <t>1007494975</t>
  </si>
  <si>
    <t>on1007494975</t>
  </si>
  <si>
    <t>31037408878</t>
  </si>
  <si>
    <t>9781605356419</t>
  </si>
  <si>
    <t>795044119</t>
  </si>
  <si>
    <t>QP435 C97 1988</t>
  </si>
  <si>
    <t>0                      QP 0435000C  97          1988</t>
  </si>
  <si>
    <t>Synesthesia : a union of the senses / Richard E. Cytowic ; with a foreword by Ayub K. Ommaya.</t>
  </si>
  <si>
    <t>Cytowic, Richard E.</t>
  </si>
  <si>
    <t>Springer series in neuropsychology</t>
  </si>
  <si>
    <t>794203105:eng</t>
  </si>
  <si>
    <t>18105817</t>
  </si>
  <si>
    <t>ocm18105817</t>
  </si>
  <si>
    <t>3103679058S</t>
  </si>
  <si>
    <t>9780387968070</t>
  </si>
  <si>
    <t>793013914</t>
  </si>
  <si>
    <t>QP435 E26 2001</t>
  </si>
  <si>
    <t>0                      QP 0435000E  26          2001</t>
  </si>
  <si>
    <t>Ecology of sensing / Friedrich G. Barth, Axel Schmid (eds.).</t>
  </si>
  <si>
    <t>Berlin ; New York : Springer, ©2001.</t>
  </si>
  <si>
    <t>350556093:eng</t>
  </si>
  <si>
    <t>45556227</t>
  </si>
  <si>
    <t>ocm45556227</t>
  </si>
  <si>
    <t>3102280458E</t>
  </si>
  <si>
    <t>9783540669012</t>
  </si>
  <si>
    <t>793673764</t>
  </si>
  <si>
    <t>QP435 M13 1922</t>
  </si>
  <si>
    <t>0                      QP 0435000M  13          1922</t>
  </si>
  <si>
    <t>Die Analyse der Empfindungen und das Verhältnis des Physischen zum Psychischen / von E. Mach.</t>
  </si>
  <si>
    <t>Jena : G. Fischer, 1922.</t>
  </si>
  <si>
    <t>9. Aufl.</t>
  </si>
  <si>
    <t>353846773:ger</t>
  </si>
  <si>
    <t>10703932</t>
  </si>
  <si>
    <t>ocm10703932</t>
  </si>
  <si>
    <t>31035921221</t>
  </si>
  <si>
    <t>792738433</t>
  </si>
  <si>
    <t>QP435 M1313 1914</t>
  </si>
  <si>
    <t>0                      QP 0435000M  1313        1914</t>
  </si>
  <si>
    <t>The analysis of sensations and the relation of the physical to the psychical. Tr. from the 1st German ed. by C.M. Williams. Rev. and supplemented from the 5th German ed. by Sydney Waterlow.</t>
  </si>
  <si>
    <t>Chicago, Open Court Pub. Co., 1914.</t>
  </si>
  <si>
    <t>4916134293:eng</t>
  </si>
  <si>
    <t>1096988</t>
  </si>
  <si>
    <t>ocm01096988</t>
  </si>
  <si>
    <t>3000555458B</t>
  </si>
  <si>
    <t>791545777</t>
  </si>
  <si>
    <t>QP435 M16</t>
  </si>
  <si>
    <t>0                      QP 0435000M  16</t>
  </si>
  <si>
    <t>Contributions to the analysis of the sensations, by Dr. Ernst Mach ... Tr. by C.M. Williams. With thirty-seven cuts.</t>
  </si>
  <si>
    <t>Chicago The Open court Publishing Company, 1897.</t>
  </si>
  <si>
    <t>2015-03-29</t>
  </si>
  <si>
    <t>877264</t>
  </si>
  <si>
    <t>ocm00877264</t>
  </si>
  <si>
    <t>3000658544X</t>
  </si>
  <si>
    <t>9780875484211</t>
  </si>
  <si>
    <t>791492899</t>
  </si>
  <si>
    <t>QP441 M56 1996</t>
  </si>
  <si>
    <t>0                      QP 0441000M  56          1996</t>
  </si>
  <si>
    <t>The mind-brain continuum : sensory processes / edited by Rodolfo Llinás and Patricia S. Churchland.</t>
  </si>
  <si>
    <t>799919860:eng</t>
  </si>
  <si>
    <t>33403278</t>
  </si>
  <si>
    <t>ocm33403278</t>
  </si>
  <si>
    <t>3101711997U</t>
  </si>
  <si>
    <t>9780262121989</t>
  </si>
  <si>
    <t>793408502</t>
  </si>
  <si>
    <t>QP441 M87</t>
  </si>
  <si>
    <t>0                      QP 0441000M  87</t>
  </si>
  <si>
    <t>Visual and auditory perception [by] Gerald M. Murch.</t>
  </si>
  <si>
    <t>Murch, Gerald M., 1940-</t>
  </si>
  <si>
    <t>Indianapolis, Bobbs-Merrill [1973]</t>
  </si>
  <si>
    <t>180119419:eng</t>
  </si>
  <si>
    <t>417854</t>
  </si>
  <si>
    <t>ocm00417854</t>
  </si>
  <si>
    <t>3000419615W</t>
  </si>
  <si>
    <t>9780672613333</t>
  </si>
  <si>
    <t>791372667</t>
  </si>
  <si>
    <t>QP443 B585 2007</t>
  </si>
  <si>
    <t>0                      QP 0443000B  585         2007</t>
  </si>
  <si>
    <t>Spaces speak, are you listening? : experiencing aural architecture / Barry Blesser and Linda-Ruth Salter.</t>
  </si>
  <si>
    <t>Blesser, Barry.</t>
  </si>
  <si>
    <t>196092957:eng</t>
  </si>
  <si>
    <t>67392973</t>
  </si>
  <si>
    <t>ocm67392973</t>
  </si>
  <si>
    <t>31031447714</t>
  </si>
  <si>
    <t>9780262026055</t>
  </si>
  <si>
    <t>794140655</t>
  </si>
  <si>
    <t>QP454 M67 1995</t>
  </si>
  <si>
    <t>0                      QP 0454000M  67          1995</t>
  </si>
  <si>
    <t>Motor control and sensory motor integration : issues and directions / edited by Denis J. Glencross and Jan P. Piek.</t>
  </si>
  <si>
    <t>Amsterdam ; New York : Elsevier, 1995.</t>
  </si>
  <si>
    <t>Advances in psychology ; 111</t>
  </si>
  <si>
    <t>802793228:eng</t>
  </si>
  <si>
    <t>33206798</t>
  </si>
  <si>
    <t>ocm33206798</t>
  </si>
  <si>
    <t>3101712770G</t>
  </si>
  <si>
    <t>9780444819215</t>
  </si>
  <si>
    <t>793404203</t>
  </si>
  <si>
    <t>QP455 A34 v. 1</t>
  </si>
  <si>
    <t>0                      QP 0455000A  34                                                      v. 1</t>
  </si>
  <si>
    <t>Communication by chemical signals. Edited by James W. Johnston, Jr., David G. Moulton [and] Amos Turk.</t>
  </si>
  <si>
    <t>New York, Appleton-Century-Crofts [©1970]</t>
  </si>
  <si>
    <t>Advances in chemoreception ; v. 1</t>
  </si>
  <si>
    <t>917832169:eng</t>
  </si>
  <si>
    <t>124767</t>
  </si>
  <si>
    <t>ocm00124767</t>
  </si>
  <si>
    <t>3000539124W</t>
  </si>
  <si>
    <t>9780390483508</t>
  </si>
  <si>
    <t>791264421</t>
  </si>
  <si>
    <t>QP458 L4413 1992</t>
  </si>
  <si>
    <t>0                      QP 0458000L  4413        1992</t>
  </si>
  <si>
    <t>Scent : the mysterious and essential powers of smell / Annick Le Guérer ; translated from the French by Richard Miller.</t>
  </si>
  <si>
    <t>Le Guérer, Annick, author.</t>
  </si>
  <si>
    <t>New York : Turtle Bay Books, a division of Random House, 1992.</t>
  </si>
  <si>
    <t>2010-03-03</t>
  </si>
  <si>
    <t>4495029005:eng</t>
  </si>
  <si>
    <t>25634430</t>
  </si>
  <si>
    <t>ocm25634430</t>
  </si>
  <si>
    <t>3101314191D</t>
  </si>
  <si>
    <t>9780394585260</t>
  </si>
  <si>
    <t>793226823</t>
  </si>
  <si>
    <t>QP458 M83 2017</t>
  </si>
  <si>
    <t>0                      QP 0458000M  83          2017</t>
  </si>
  <si>
    <t>La civilisation des odeurs (XVIe-début XIXe siècle) / Robert Muchembled.</t>
  </si>
  <si>
    <t>Muchembled, Robert, 1944- author.</t>
  </si>
  <si>
    <t>Paris : Les Belles Lettres, 2017.</t>
  </si>
  <si>
    <t>Histoire ; 139</t>
  </si>
  <si>
    <t>4559591157:fre</t>
  </si>
  <si>
    <t>1021063659</t>
  </si>
  <si>
    <t>on1021063659</t>
  </si>
  <si>
    <t>3103759281U</t>
  </si>
  <si>
    <t>9782251447094</t>
  </si>
  <si>
    <t>795050613</t>
  </si>
  <si>
    <t>QP458 S77 1990</t>
  </si>
  <si>
    <t>0                      QP 0458000S  77          1990</t>
  </si>
  <si>
    <t>The scented ape : the biology and culture of human odour / D. Michael Stoddart.</t>
  </si>
  <si>
    <t>Stoddart, D. Michael (David Michael)</t>
  </si>
  <si>
    <t>836758745:eng</t>
  </si>
  <si>
    <t>20757912</t>
  </si>
  <si>
    <t>ocm20757912</t>
  </si>
  <si>
    <t>3100960867C</t>
  </si>
  <si>
    <t>9780521375115</t>
  </si>
  <si>
    <t>793097816</t>
  </si>
  <si>
    <t>QP461 R813 1991</t>
  </si>
  <si>
    <t>0                      QP 0461000R  813         1991</t>
  </si>
  <si>
    <t>Signals and systems for speech and hearing / by Stuart Rosen and Peter Howell.</t>
  </si>
  <si>
    <t>Rosen, Stuart, author.</t>
  </si>
  <si>
    <t>London ; San Diego : Academic Press, ©1991.</t>
  </si>
  <si>
    <t>30412588:eng</t>
  </si>
  <si>
    <t>28022497</t>
  </si>
  <si>
    <t>ocm28022497</t>
  </si>
  <si>
    <t>31034882694</t>
  </si>
  <si>
    <t>9780125972307</t>
  </si>
  <si>
    <t>793277910</t>
  </si>
  <si>
    <t>QP461 T64</t>
  </si>
  <si>
    <t>0                      QP 0461000T  64</t>
  </si>
  <si>
    <t>Vers l'écoute humaine [par] A.A. Tomatis.</t>
  </si>
  <si>
    <t>Tomatis, Alfred.</t>
  </si>
  <si>
    <t>Paris, Éditions ESF [1974]</t>
  </si>
  <si>
    <t>Collection Science de l'éducation</t>
  </si>
  <si>
    <t>2091931:fre</t>
  </si>
  <si>
    <t>1206368</t>
  </si>
  <si>
    <t>ocm01206368</t>
  </si>
  <si>
    <t>31037413347</t>
  </si>
  <si>
    <t>791573455</t>
  </si>
  <si>
    <t>31037413290</t>
  </si>
  <si>
    <t>791573454</t>
  </si>
  <si>
    <t>QP461 V3</t>
  </si>
  <si>
    <t>0                      QP 0461000V  3</t>
  </si>
  <si>
    <t>Waves and the ear [by] Willem A. van Bergeijk, John R. Pierce, and Edward E. David, Jr.</t>
  </si>
  <si>
    <t>Van Bergeijk, Willem André Maria, 1929-</t>
  </si>
  <si>
    <t>Garden City, N.Y., Anchor Books, 1960.</t>
  </si>
  <si>
    <t>Science study series, S9</t>
  </si>
  <si>
    <t>18635216:eng</t>
  </si>
  <si>
    <t>221097</t>
  </si>
  <si>
    <t>ocm00221097</t>
  </si>
  <si>
    <t>3100546328F</t>
  </si>
  <si>
    <t>9780385094450</t>
  </si>
  <si>
    <t>791297924</t>
  </si>
  <si>
    <t>3000991390O</t>
  </si>
  <si>
    <t>791297925</t>
  </si>
  <si>
    <t>QP461 V64</t>
  </si>
  <si>
    <t>0                      QP 0461000V  64</t>
  </si>
  <si>
    <t>Experiments in hearing. Tr. and ed. by E.G. Wever.</t>
  </si>
  <si>
    <t>Békésy, Georg von.</t>
  </si>
  <si>
    <t>New York, McGraw-Hill, 1960.</t>
  </si>
  <si>
    <t>377682:eng</t>
  </si>
  <si>
    <t>14607524</t>
  </si>
  <si>
    <t>ocm14607524</t>
  </si>
  <si>
    <t>30004985859</t>
  </si>
  <si>
    <t>9780070043244</t>
  </si>
  <si>
    <t>792895488</t>
  </si>
  <si>
    <t>3103873136D</t>
  </si>
  <si>
    <t>792895486</t>
  </si>
  <si>
    <t>QP465 B74 1990</t>
  </si>
  <si>
    <t>0                      QP 0465000B  74          1990</t>
  </si>
  <si>
    <t>Auditory scene analysis : the perceptual organization of sound / Albert S. Bregman.</t>
  </si>
  <si>
    <t>Bregman, Albert S.</t>
  </si>
  <si>
    <t>799376617:eng</t>
  </si>
  <si>
    <t>20392047</t>
  </si>
  <si>
    <t>ocm20392047</t>
  </si>
  <si>
    <t>3102679188$</t>
  </si>
  <si>
    <t>9780262022972</t>
  </si>
  <si>
    <t>793086583</t>
  </si>
  <si>
    <t>3101140185O</t>
  </si>
  <si>
    <t>793086585</t>
  </si>
  <si>
    <t>3103143926C</t>
  </si>
  <si>
    <t>793086582</t>
  </si>
  <si>
    <t>3103143276N</t>
  </si>
  <si>
    <t>793086586</t>
  </si>
  <si>
    <t>3103101549B</t>
  </si>
  <si>
    <t>793086587</t>
  </si>
  <si>
    <t>3102944787Z</t>
  </si>
  <si>
    <t>793086584</t>
  </si>
  <si>
    <t>QP465 G7 1988</t>
  </si>
  <si>
    <t>0                      QP 0465000G  7           1988</t>
  </si>
  <si>
    <t>Profile analysis : auditory intensity discrimination / David M. Green.</t>
  </si>
  <si>
    <t>Green, David Marvin, 1932-</t>
  </si>
  <si>
    <t>New York : Oxford University Press, 1988.</t>
  </si>
  <si>
    <t>Oxford psychology series ; no. 13</t>
  </si>
  <si>
    <t>793958172:eng</t>
  </si>
  <si>
    <t>14097332</t>
  </si>
  <si>
    <t>ocm14097332</t>
  </si>
  <si>
    <t>3103089099O</t>
  </si>
  <si>
    <t>9780195049480</t>
  </si>
  <si>
    <t>792877688</t>
  </si>
  <si>
    <t>QP465 P545 2005</t>
  </si>
  <si>
    <t>0                      QP 0465000P  545         2005</t>
  </si>
  <si>
    <t>Pitch : neural coding and perception / [edited by] Christopher J. Plack, Andrew J. Oxenham, Richard R. Fay.</t>
  </si>
  <si>
    <t>Springer handbook of auditory research ; v. 24</t>
  </si>
  <si>
    <t>857926167:eng</t>
  </si>
  <si>
    <t>56967229</t>
  </si>
  <si>
    <t>ocm56967229</t>
  </si>
  <si>
    <t>3102490459Y</t>
  </si>
  <si>
    <t>9780387234724</t>
  </si>
  <si>
    <t>793905074</t>
  </si>
  <si>
    <t>QP465 P56</t>
  </si>
  <si>
    <t>0                      QP 0465000P  56</t>
  </si>
  <si>
    <t>Aspects of tone sensation : a psychophysical study / Reinier Plomp.</t>
  </si>
  <si>
    <t>Plomp, Reinier.</t>
  </si>
  <si>
    <t>London ; New York : Academic Press, 1976.</t>
  </si>
  <si>
    <t>Series in cognition and perception</t>
  </si>
  <si>
    <t>198563511:eng</t>
  </si>
  <si>
    <t>2936249</t>
  </si>
  <si>
    <t>ocm02936249</t>
  </si>
  <si>
    <t>3103602275N</t>
  </si>
  <si>
    <t>9780125583503</t>
  </si>
  <si>
    <t>792195928</t>
  </si>
  <si>
    <t>QP469 S68 2005</t>
  </si>
  <si>
    <t>0                      QP 0469000S  68          2005</t>
  </si>
  <si>
    <t>Sound source localization / Arthur N. Popper, Richard R. Fay, editors.</t>
  </si>
  <si>
    <t>Springer handbook of auditory research ; v. 25</t>
  </si>
  <si>
    <t>905801320:eng</t>
  </si>
  <si>
    <t>61434419</t>
  </si>
  <si>
    <t>ocm61434419</t>
  </si>
  <si>
    <t>3102495635C</t>
  </si>
  <si>
    <t>9780387241852</t>
  </si>
  <si>
    <t>793952668</t>
  </si>
  <si>
    <t>QP471 W54</t>
  </si>
  <si>
    <t>0                      QP 0471000W  54</t>
  </si>
  <si>
    <t>Mammalian vestibular physiology / Victor J. Wilson and Geoffrey Melvill Jones.</t>
  </si>
  <si>
    <t>Wilson, Victor J. (Victor Joseph), 1928-</t>
  </si>
  <si>
    <t>New York : Plenum Press, ©1979.</t>
  </si>
  <si>
    <t>2003-08-14</t>
  </si>
  <si>
    <t>14761945:eng</t>
  </si>
  <si>
    <t>4492611</t>
  </si>
  <si>
    <t>ocm04492611</t>
  </si>
  <si>
    <t>3001037772Y</t>
  </si>
  <si>
    <t>9780306401343</t>
  </si>
  <si>
    <t>792354531</t>
  </si>
  <si>
    <t>QP475 B334 2014</t>
  </si>
  <si>
    <t>0                      QP 0475000B  334         2014</t>
  </si>
  <si>
    <t>Visual masking : studying perception, attention, and consciousness / Talis Bachmann, Gregory Francis.</t>
  </si>
  <si>
    <t>Bachmann, Talis, author.</t>
  </si>
  <si>
    <t>Oxford : Academic Press, 2014.</t>
  </si>
  <si>
    <t>1428932061:eng</t>
  </si>
  <si>
    <t>870896276</t>
  </si>
  <si>
    <t>ocn870896276</t>
  </si>
  <si>
    <t>3103532870R</t>
  </si>
  <si>
    <t>9780128002506</t>
  </si>
  <si>
    <t>794966951</t>
  </si>
  <si>
    <t>QP475 H815 2005</t>
  </si>
  <si>
    <t>0                      QP 0475000H  815         2005</t>
  </si>
  <si>
    <t>Brain and visual perception : the story of a 25-year collaboration / David H. Hubel, Torsten N. Wiesel.</t>
  </si>
  <si>
    <t>Hubel, David H.</t>
  </si>
  <si>
    <t>New York, N.Y. : Oxford University Press, 2005.</t>
  </si>
  <si>
    <t>2012-01-15</t>
  </si>
  <si>
    <t>801989616:eng</t>
  </si>
  <si>
    <t>55055487</t>
  </si>
  <si>
    <t>ocm55055487</t>
  </si>
  <si>
    <t>31024546291</t>
  </si>
  <si>
    <t>9780195176186</t>
  </si>
  <si>
    <t>793873471</t>
  </si>
  <si>
    <t>QP475 L66</t>
  </si>
  <si>
    <t>0                      QP 0475000L  66</t>
  </si>
  <si>
    <t>Theories of vision from al-Kindi to Kepler / David C. Lindberg.</t>
  </si>
  <si>
    <t>Lindberg, David C., author.</t>
  </si>
  <si>
    <t>Chicago : University of Chicago Press, 1976.</t>
  </si>
  <si>
    <t>University of Chicago history of science and medicine</t>
  </si>
  <si>
    <t>418762:eng</t>
  </si>
  <si>
    <t>1676198</t>
  </si>
  <si>
    <t>ocm01676198</t>
  </si>
  <si>
    <t>30004055951</t>
  </si>
  <si>
    <t>9780226482347</t>
  </si>
  <si>
    <t>791827949</t>
  </si>
  <si>
    <t>QP475 P24 1999</t>
  </si>
  <si>
    <t>0                      QP 0475000P  24          1999</t>
  </si>
  <si>
    <t>Vision science : photons to phenomenology / Stephen E. Palmer.</t>
  </si>
  <si>
    <t>Palmer, Stephen E. (Stephen Embry), 1948-</t>
  </si>
  <si>
    <t>2016-08-02</t>
  </si>
  <si>
    <t>799802508:eng</t>
  </si>
  <si>
    <t>40610519</t>
  </si>
  <si>
    <t>ocm40610519</t>
  </si>
  <si>
    <t>31028096887</t>
  </si>
  <si>
    <t>9780262161831</t>
  </si>
  <si>
    <t>793571133</t>
  </si>
  <si>
    <t>QP475 R498 2002</t>
  </si>
  <si>
    <t>0                      QP 0475000R  498         2002</t>
  </si>
  <si>
    <t>Computational neuroscience of vision / Edmund T. Rolls and Gustavo Deco.</t>
  </si>
  <si>
    <t>Oxford [England] ; New York : Oxford University Press, 2002.</t>
  </si>
  <si>
    <t>1081988:eng</t>
  </si>
  <si>
    <t>48065474</t>
  </si>
  <si>
    <t>ocm48065474</t>
  </si>
  <si>
    <t>31021987709</t>
  </si>
  <si>
    <t>9780198524892</t>
  </si>
  <si>
    <t>793715012</t>
  </si>
  <si>
    <t>QP475 S593 2006</t>
  </si>
  <si>
    <t>0                      QP 0475000S  593         2006</t>
  </si>
  <si>
    <t>Basic vision : an introduction to visual perception / Robert Snowden, Peter Thompson, Tom Troscianko.</t>
  </si>
  <si>
    <t>Snowden, Robert J.</t>
  </si>
  <si>
    <t>Oxford ; New York : Oxford University Press, 2006.</t>
  </si>
  <si>
    <t>866181438:eng</t>
  </si>
  <si>
    <t>66463542</t>
  </si>
  <si>
    <t>ocm66463542</t>
  </si>
  <si>
    <t>31031495084</t>
  </si>
  <si>
    <t>9780199286706</t>
  </si>
  <si>
    <t>794139120</t>
  </si>
  <si>
    <t>QP475 S593 2012</t>
  </si>
  <si>
    <t>0                      QP 0475000S  593         2012</t>
  </si>
  <si>
    <t>Oxford : Oxford University Press, ©2012.</t>
  </si>
  <si>
    <t>777146618</t>
  </si>
  <si>
    <t>ocn777146618</t>
  </si>
  <si>
    <t>3103445867I</t>
  </si>
  <si>
    <t>9780199572021</t>
  </si>
  <si>
    <t>794908573</t>
  </si>
  <si>
    <t>QP475 T68 2008</t>
  </si>
  <si>
    <t>0                      QP 0475000T  68          2008</t>
  </si>
  <si>
    <t>An introduction to the visual system / Martin J. Tovée.</t>
  </si>
  <si>
    <t>Tovée, Martin J. (Martin James)</t>
  </si>
  <si>
    <t>Cambridge, UK ; New York : Cambridge University Press, 2008.</t>
  </si>
  <si>
    <t>2014-06-03</t>
  </si>
  <si>
    <t>39934476:eng</t>
  </si>
  <si>
    <t>185026571</t>
  </si>
  <si>
    <t>ocn185026571</t>
  </si>
  <si>
    <t>3103065323I</t>
  </si>
  <si>
    <t>9780521883191</t>
  </si>
  <si>
    <t>794291837</t>
  </si>
  <si>
    <t>QP475 V58 1990</t>
  </si>
  <si>
    <t>0                      QP 0475000V  58          1990</t>
  </si>
  <si>
    <t>Visual perception : the neurophysiological foundations / edited by Lothar Spillmann and John S. Werner.</t>
  </si>
  <si>
    <t>San Diego : Academic Press, ©1990.</t>
  </si>
  <si>
    <t>890242942:eng</t>
  </si>
  <si>
    <t>19631231</t>
  </si>
  <si>
    <t>ocm19631231</t>
  </si>
  <si>
    <t>31028096985</t>
  </si>
  <si>
    <t>9780126576757</t>
  </si>
  <si>
    <t>793064776</t>
  </si>
  <si>
    <t>QP475.5 W7 1968</t>
  </si>
  <si>
    <t>0                      QP 0475500W  7           1968</t>
  </si>
  <si>
    <t>The rays are not coloured; essays on the science of vision and colour, by W.D. Wright.</t>
  </si>
  <si>
    <t>New York, American Elsevier Pub. Co. [1968]</t>
  </si>
  <si>
    <t>376656801:eng</t>
  </si>
  <si>
    <t>1423570</t>
  </si>
  <si>
    <t>ocm01423570</t>
  </si>
  <si>
    <t>3001048529W</t>
  </si>
  <si>
    <t>791622796</t>
  </si>
  <si>
    <t>QP477.5 E943 1992</t>
  </si>
  <si>
    <t>0                      QP 0477500E  943         1992</t>
  </si>
  <si>
    <t>Eye movements and visual cognition : scene perception and reading / Keith Rayner, editor.</t>
  </si>
  <si>
    <t>New York : Springer-Verlag, ©1992.</t>
  </si>
  <si>
    <t>897455290:eng</t>
  </si>
  <si>
    <t>24468038</t>
  </si>
  <si>
    <t>ocm24468038</t>
  </si>
  <si>
    <t>3101229421Z</t>
  </si>
  <si>
    <t>9780387977119</t>
  </si>
  <si>
    <t>793198850</t>
  </si>
  <si>
    <t>QP481 F7</t>
  </si>
  <si>
    <t>0                      QP 0481000F  7</t>
  </si>
  <si>
    <t>Colour and colour theories / by Christine Ladd-Franklin.</t>
  </si>
  <si>
    <t>Ladd-Franklin, Christine, 1847-1930, author.</t>
  </si>
  <si>
    <t>New York : Harcourt, Brace &amp; Company ; London : Kegan Paul, Trench, Trubner &amp; Co., 1929.</t>
  </si>
  <si>
    <t>60180:eng</t>
  </si>
  <si>
    <t>2716253</t>
  </si>
  <si>
    <t>ocm02716253</t>
  </si>
  <si>
    <t>30006586052</t>
  </si>
  <si>
    <t>792166749</t>
  </si>
  <si>
    <t>QP483 T48 1995</t>
  </si>
  <si>
    <t>0                      QP 0483000T  48          1995</t>
  </si>
  <si>
    <t>Colour vision : a study in cognitive science and philosophy of science / Evan Thompson.</t>
  </si>
  <si>
    <t>Thompson, Evan.</t>
  </si>
  <si>
    <t>Philosophical issues in science</t>
  </si>
  <si>
    <t>801356764:eng</t>
  </si>
  <si>
    <t>427977596</t>
  </si>
  <si>
    <t>ocn427977596</t>
  </si>
  <si>
    <t>31014662529</t>
  </si>
  <si>
    <t>9780415117968</t>
  </si>
  <si>
    <t>794731515</t>
  </si>
  <si>
    <t>QP491 C54 1999</t>
  </si>
  <si>
    <t>0                      QP 0491000C  54          1999</t>
  </si>
  <si>
    <t>Cognitive contributions to the perception of spatial and temporal events / edited by Gisa Aschersleben, Talis Bachmann, Jochen Müsseler.</t>
  </si>
  <si>
    <t>Amsterdam ; New York : Elsevier, 1999.</t>
  </si>
  <si>
    <t>Advances in psychology ; 129</t>
  </si>
  <si>
    <t>399607992:eng</t>
  </si>
  <si>
    <t>42603292</t>
  </si>
  <si>
    <t>ocm42603292</t>
  </si>
  <si>
    <t>3102980784V</t>
  </si>
  <si>
    <t>9780444503251</t>
  </si>
  <si>
    <t>793609630</t>
  </si>
  <si>
    <t>QP491 G5</t>
  </si>
  <si>
    <t>0                      QP 0491000G  5</t>
  </si>
  <si>
    <t>The perception of the visual world.</t>
  </si>
  <si>
    <t>Gibson, James J. (James Jerome), 1904-1979.</t>
  </si>
  <si>
    <t>Boston, Houghton Mifflin ©1950.</t>
  </si>
  <si>
    <t>2014-03-14</t>
  </si>
  <si>
    <t>53108244:eng</t>
  </si>
  <si>
    <t>560396</t>
  </si>
  <si>
    <t>ocm00560396</t>
  </si>
  <si>
    <t>3103386700F</t>
  </si>
  <si>
    <t>791414776</t>
  </si>
  <si>
    <t>2011-04-11</t>
  </si>
  <si>
    <t>3100241637B</t>
  </si>
  <si>
    <t>791414774</t>
  </si>
  <si>
    <t>3102964483Y</t>
  </si>
  <si>
    <t>791414778</t>
  </si>
  <si>
    <t>3000993001E</t>
  </si>
  <si>
    <t>791414775</t>
  </si>
  <si>
    <t>2011-10-25</t>
  </si>
  <si>
    <t>3000514755Y</t>
  </si>
  <si>
    <t>791414777</t>
  </si>
  <si>
    <t>QP491 G5 1974</t>
  </si>
  <si>
    <t>0                      QP 0491000G  5           1974</t>
  </si>
  <si>
    <t>The perception of the visual world / by James J. Gibson.</t>
  </si>
  <si>
    <t>Westport, Conn. : Greenwood Press, 1974, ©1950.</t>
  </si>
  <si>
    <t>2011-05-05</t>
  </si>
  <si>
    <t>1054192</t>
  </si>
  <si>
    <t>ocm01054192</t>
  </si>
  <si>
    <t>3001037412R</t>
  </si>
  <si>
    <t>9780837178363</t>
  </si>
  <si>
    <t>791534895</t>
  </si>
  <si>
    <t>QP491 V577 2001</t>
  </si>
  <si>
    <t>0                      QP 0491000V  577         2001</t>
  </si>
  <si>
    <t>Visual perception : essential readings / edited by Steven Yantis.</t>
  </si>
  <si>
    <t>Philadelphia, PA : Psychology Press, ©2001.</t>
  </si>
  <si>
    <t>Key readings in cognition</t>
  </si>
  <si>
    <t>836978693:eng</t>
  </si>
  <si>
    <t>44268013</t>
  </si>
  <si>
    <t>ocm44268013</t>
  </si>
  <si>
    <t>31021112612</t>
  </si>
  <si>
    <t>9780863775970</t>
  </si>
  <si>
    <t>793644765</t>
  </si>
  <si>
    <t>QP495 L8 1965</t>
  </si>
  <si>
    <t>0                      QP 0495000L  8           1965</t>
  </si>
  <si>
    <t>Visual illusions : their causes, characteristics, and applications / by M. Luckiesh ; with a new introduction by William H. Ittelson.</t>
  </si>
  <si>
    <t>Luckiesh, Matthew, 1883-1967, author.</t>
  </si>
  <si>
    <t>New York : Dover Publications, Inc., [1965]</t>
  </si>
  <si>
    <t>491890:eng</t>
  </si>
  <si>
    <t>1175564</t>
  </si>
  <si>
    <t>ocm01175564</t>
  </si>
  <si>
    <t>3102964478$</t>
  </si>
  <si>
    <t>9780486215303</t>
  </si>
  <si>
    <t>791565352</t>
  </si>
  <si>
    <t>2002-11-25</t>
  </si>
  <si>
    <t>31004975951</t>
  </si>
  <si>
    <t>791565351</t>
  </si>
  <si>
    <t>QP495 S47 1990</t>
  </si>
  <si>
    <t>0                      QP 0495000S  47          1990</t>
  </si>
  <si>
    <t>Mind sights : original visual illusions, ambiguities, and other anomalies, with a commentary on the play of mind in perception and art / Roger N. Shepard.</t>
  </si>
  <si>
    <t>Shepard, Roger N.</t>
  </si>
  <si>
    <t>New York : W.H. Freeman and Co., ©1990.</t>
  </si>
  <si>
    <t>28946298:eng</t>
  </si>
  <si>
    <t>21153243</t>
  </si>
  <si>
    <t>ocm21153243</t>
  </si>
  <si>
    <t>31011898592</t>
  </si>
  <si>
    <t>9780716721345</t>
  </si>
  <si>
    <t>793110705</t>
  </si>
  <si>
    <t>QP495 S57</t>
  </si>
  <si>
    <t>0                      QP 0495000S  57</t>
  </si>
  <si>
    <t>The optical illusion book / by Seymour Simon ; drawings by Constance Ftera.</t>
  </si>
  <si>
    <t>Simon, Seymour.</t>
  </si>
  <si>
    <t>New York : Four Winds Press, 1976.</t>
  </si>
  <si>
    <t>3518322:eng</t>
  </si>
  <si>
    <t>10496414</t>
  </si>
  <si>
    <t>ocm10496414</t>
  </si>
  <si>
    <t>3103008249Z</t>
  </si>
  <si>
    <t>9780590074032</t>
  </si>
  <si>
    <t>792729076</t>
  </si>
  <si>
    <t>QP495 S73 1994</t>
  </si>
  <si>
    <t>0                      QP 0495000S  73          1994</t>
  </si>
  <si>
    <t>Artful science : enlightenment, entertainment, and the eclipse of visual education / Barbara Maria Stafford.</t>
  </si>
  <si>
    <t>Stafford, Barbara Maria, 1941-</t>
  </si>
  <si>
    <t>836899538:eng</t>
  </si>
  <si>
    <t>28800284</t>
  </si>
  <si>
    <t>ocm28800284</t>
  </si>
  <si>
    <t>3102518917T</t>
  </si>
  <si>
    <t>9780262193429</t>
  </si>
  <si>
    <t>793296656</t>
  </si>
  <si>
    <t>QP509 S45 v.9</t>
  </si>
  <si>
    <t>0                      QP 0509000S  45                                                      v.9</t>
  </si>
  <si>
    <t>Active transport / edited by Makoto Nakao.</t>
  </si>
  <si>
    <t>v.9*</t>
  </si>
  <si>
    <t>Tokyo : University of Tokyo Press, ©1972.</t>
  </si>
  <si>
    <t>Selected papers in biochemistry ; v. 9</t>
  </si>
  <si>
    <t>8909522405:eng</t>
  </si>
  <si>
    <t>14087006</t>
  </si>
  <si>
    <t>ocm14087006</t>
  </si>
  <si>
    <t>3101830355J</t>
  </si>
  <si>
    <t>792877079</t>
  </si>
  <si>
    <t>QP511.8 S35 2014</t>
  </si>
  <si>
    <t>0                      QP 0511800S  35          2014</t>
  </si>
  <si>
    <t>Out of Nazi Germany in time, a gift to American science : Gerhard Schmidt, biochemist / B. David Stollar.</t>
  </si>
  <si>
    <t>Stollar, B. David, 1936-</t>
  </si>
  <si>
    <t>Philadelphia : American Philosophical Society Press, 2014.</t>
  </si>
  <si>
    <t>Transactions of the American Philosophical Society, 0065-9746 ; volume 104, part 1</t>
  </si>
  <si>
    <t>2166866196:eng</t>
  </si>
  <si>
    <t>892697509</t>
  </si>
  <si>
    <t>ocn892697509</t>
  </si>
  <si>
    <t>3103495439B</t>
  </si>
  <si>
    <t>9781606180419</t>
  </si>
  <si>
    <t>794980987</t>
  </si>
  <si>
    <t>QP514.2 G55 1984</t>
  </si>
  <si>
    <t>0                      QP 0514200G  55          1984</t>
  </si>
  <si>
    <t>Opening Pandora's box : a sociological analysis of scientists' discourse / G. Nigel Gilbert and Michael Mulkay.</t>
  </si>
  <si>
    <t>Gilbert, G. Nigel, author.</t>
  </si>
  <si>
    <t>347675569:eng</t>
  </si>
  <si>
    <t>9413560</t>
  </si>
  <si>
    <t>ocm09413560</t>
  </si>
  <si>
    <t>31000214831</t>
  </si>
  <si>
    <t>9780521254182</t>
  </si>
  <si>
    <t>792675269</t>
  </si>
  <si>
    <t>31000214823</t>
  </si>
  <si>
    <t>792675268</t>
  </si>
  <si>
    <t>QP514.2 V64 1990</t>
  </si>
  <si>
    <t>0                      QP 0514200V  64          1990</t>
  </si>
  <si>
    <t>Biochemistry / Donald Voet, Judith G. Voet ; illustrators, Irving Geis, John and Bette Woolsey.</t>
  </si>
  <si>
    <t>Voet, Donald.</t>
  </si>
  <si>
    <t>4495104813:eng</t>
  </si>
  <si>
    <t>20132827</t>
  </si>
  <si>
    <t>ocm20132827</t>
  </si>
  <si>
    <t>3101546090E</t>
  </si>
  <si>
    <t>9780471617693</t>
  </si>
  <si>
    <t>793078598</t>
  </si>
  <si>
    <t>2006-09-11</t>
  </si>
  <si>
    <t>31010933889</t>
  </si>
  <si>
    <t>793078597</t>
  </si>
  <si>
    <t>QP514.2 V64 2011</t>
  </si>
  <si>
    <t>0                      QP 0514200V  64          2011</t>
  </si>
  <si>
    <t>Biochemistry / Donald Voet, Judith G. Voet.</t>
  </si>
  <si>
    <t>Voet, Donald, author.</t>
  </si>
  <si>
    <t>Hoboken, NJ : John Wiley &amp; Sons, ©2011.</t>
  </si>
  <si>
    <t>690489261</t>
  </si>
  <si>
    <t>ocn690489261</t>
  </si>
  <si>
    <t>3103328312A</t>
  </si>
  <si>
    <t>9780470570951</t>
  </si>
  <si>
    <t>794855447</t>
  </si>
  <si>
    <t>3103303175Y</t>
  </si>
  <si>
    <t>794855446</t>
  </si>
  <si>
    <t>QP514.2 Z83 1993b</t>
  </si>
  <si>
    <t>0                      QP 0514200Z  83          1993b</t>
  </si>
  <si>
    <t>Biochemistry / Geoffrey Zubay.</t>
  </si>
  <si>
    <t>Zubay, Geoffrey L.</t>
  </si>
  <si>
    <t>Dubuque, Iowa : Wm. C. Brown Communications, ©1993.</t>
  </si>
  <si>
    <t>347999:eng</t>
  </si>
  <si>
    <t>27606103</t>
  </si>
  <si>
    <t>ocm27606103</t>
  </si>
  <si>
    <t>31012301505</t>
  </si>
  <si>
    <t>9780697142672</t>
  </si>
  <si>
    <t>793267955</t>
  </si>
  <si>
    <t>3101970050A</t>
  </si>
  <si>
    <t>793267954</t>
  </si>
  <si>
    <t>3101230149R</t>
  </si>
  <si>
    <t>793267957</t>
  </si>
  <si>
    <t>2006-12-05</t>
  </si>
  <si>
    <t>3101230148T</t>
  </si>
  <si>
    <t>793267956</t>
  </si>
  <si>
    <t>31012301602</t>
  </si>
  <si>
    <t>793267953</t>
  </si>
  <si>
    <t>2004-01-11</t>
  </si>
  <si>
    <t>3101230159O</t>
  </si>
  <si>
    <t>793267952</t>
  </si>
  <si>
    <t>QP517 T48 A42 2003</t>
  </si>
  <si>
    <t>0                      QP 0517000T  48                 A  42          2003</t>
  </si>
  <si>
    <t>Thermodynamics of biochemical reactions / Robert A. Alberty.</t>
  </si>
  <si>
    <t>Alberty, Robert A.</t>
  </si>
  <si>
    <t>Hoboken, N.J. : Wiley-Interscience, ©2003.</t>
  </si>
  <si>
    <t>703079:eng</t>
  </si>
  <si>
    <t>51242181</t>
  </si>
  <si>
    <t>ocm51242181</t>
  </si>
  <si>
    <t>31023481673</t>
  </si>
  <si>
    <t>9780471228516</t>
  </si>
  <si>
    <t>793781258</t>
  </si>
  <si>
    <t>QP521 R57</t>
  </si>
  <si>
    <t>0                      QP 0521000R  57</t>
  </si>
  <si>
    <t>Protons, electrons, phosphorylation and active transport, by R.N. Robertson.</t>
  </si>
  <si>
    <t>Robertson, R. N. (Richard Neal), 1940-</t>
  </si>
  <si>
    <t>London, Cambridge U.P., 1968.</t>
  </si>
  <si>
    <t>Cambridge monographs in experimental biology, no. 15</t>
  </si>
  <si>
    <t>9622592576:eng</t>
  </si>
  <si>
    <t>448403</t>
  </si>
  <si>
    <t>ocm00448403</t>
  </si>
  <si>
    <t>30010467174</t>
  </si>
  <si>
    <t>9780521073240</t>
  </si>
  <si>
    <t>791381607</t>
  </si>
  <si>
    <t>QP534 I94 1989</t>
  </si>
  <si>
    <t>0                      QP 0534000I  94          1989</t>
  </si>
  <si>
    <t>Elemental analysis of biological systems / G. Venkatesh Iyengar.</t>
  </si>
  <si>
    <t>Iyengar, G. V. (Govindaraja V.)</t>
  </si>
  <si>
    <t>Boca Raton, Fla. : CRC Press, ©1989-</t>
  </si>
  <si>
    <t>17067661:eng</t>
  </si>
  <si>
    <t>18190793</t>
  </si>
  <si>
    <t>ocm18190793</t>
  </si>
  <si>
    <t>31009766242</t>
  </si>
  <si>
    <t>9780849354236</t>
  </si>
  <si>
    <t>793017053</t>
  </si>
  <si>
    <t>QP535 C5 C525 1990</t>
  </si>
  <si>
    <t>0                      QP 0535000C  5                  C  525         1990</t>
  </si>
  <si>
    <t>Chloride channels and carriers in nerve, muscle, and glial cells / edited by F.J. Alvarez-Leefmans and John M. Russell.</t>
  </si>
  <si>
    <t>New York : Plenum Press, ©1990.</t>
  </si>
  <si>
    <t>365228912:eng</t>
  </si>
  <si>
    <t>20994464</t>
  </si>
  <si>
    <t>ocm20994464</t>
  </si>
  <si>
    <t>3101114300B</t>
  </si>
  <si>
    <t>9780306434266</t>
  </si>
  <si>
    <t>793105527</t>
  </si>
  <si>
    <t>QP535 C5 C53 1984</t>
  </si>
  <si>
    <t>0                      QP 0535000C  5                  C  53          1984</t>
  </si>
  <si>
    <t>Chloride transport coupling in biological membranes and epithelia / edited by George A. Gerencser.</t>
  </si>
  <si>
    <t>Amsterdam ; New York : Elsevier ; New York, N.Y. : Sole distributors for the USA and Canada, Elsevier Science Pub. Co., 1984.</t>
  </si>
  <si>
    <t>2906520:eng</t>
  </si>
  <si>
    <t>10558980</t>
  </si>
  <si>
    <t>ocm10558980</t>
  </si>
  <si>
    <t>3001029842Z</t>
  </si>
  <si>
    <t>9780444805225</t>
  </si>
  <si>
    <t>792732034</t>
  </si>
  <si>
    <t>QP535 N2 S38 1991</t>
  </si>
  <si>
    <t>0                      QP 0535000N  2                  S  38          1991</t>
  </si>
  <si>
    <t>Sodium hunger : the search for a salty taste / Jay Schulkin.</t>
  </si>
  <si>
    <t>Schulkin, Jay.</t>
  </si>
  <si>
    <t>887808:eng</t>
  </si>
  <si>
    <t>23356083</t>
  </si>
  <si>
    <t>ocm23356083</t>
  </si>
  <si>
    <t>3101334933K</t>
  </si>
  <si>
    <t>9780521353687</t>
  </si>
  <si>
    <t>793168248</t>
  </si>
  <si>
    <t>QP551 D35 1957</t>
  </si>
  <si>
    <t>0                      QP 0551000D  35          1957</t>
  </si>
  <si>
    <t>The biochemistry of nucleic acids.</t>
  </si>
  <si>
    <t>Davidson, J. N. (James Norman)</t>
  </si>
  <si>
    <t>London : Methuen, 1957.</t>
  </si>
  <si>
    <t>3901111315:eng</t>
  </si>
  <si>
    <t>61628291</t>
  </si>
  <si>
    <t>ocm61628291</t>
  </si>
  <si>
    <t>3001055667T</t>
  </si>
  <si>
    <t>794065586</t>
  </si>
  <si>
    <t>QP551 M99 2015</t>
  </si>
  <si>
    <t>0                      QP 0551000M  99          2015</t>
  </si>
  <si>
    <t>Rendering life molecular : models, modelers, and excitable matter / Natasha Myers.</t>
  </si>
  <si>
    <t>Myers, Natasha, 1974-</t>
  </si>
  <si>
    <t>Durham : Duke University Press, [2015]</t>
  </si>
  <si>
    <t>Experimental futures : technological lives, scientific arts, anthropological voices</t>
  </si>
  <si>
    <t>2581290227:eng</t>
  </si>
  <si>
    <t>892162549</t>
  </si>
  <si>
    <t>ocn892162549</t>
  </si>
  <si>
    <t>3103608299G</t>
  </si>
  <si>
    <t>9780822358664</t>
  </si>
  <si>
    <t>794980654</t>
  </si>
  <si>
    <t>QP552 A27 N48 2011</t>
  </si>
  <si>
    <t>0                      QP 0552000A  27                 N  48          2011</t>
  </si>
  <si>
    <t>Neurobiology of actin : from neurulation to synaptic function / Gianluca Gallo, Lorene M. Lanier, editors.</t>
  </si>
  <si>
    <t>New York : Springer, ©2011.</t>
  </si>
  <si>
    <t>Advances in neurobiology, 2190-5215 ; v. 5</t>
  </si>
  <si>
    <t>796119459:eng</t>
  </si>
  <si>
    <t>648933257</t>
  </si>
  <si>
    <t>ocn648933257</t>
  </si>
  <si>
    <t>3103313635M</t>
  </si>
  <si>
    <t>9781441973672</t>
  </si>
  <si>
    <t>794831463</t>
  </si>
  <si>
    <t>QP552 C34 M46 2000</t>
  </si>
  <si>
    <t>0                      QP 0552000C  34                 M  46          2000</t>
  </si>
  <si>
    <t>Membrane transport : a practical approach / edited by Stephen A. Baldwin.</t>
  </si>
  <si>
    <t>The practical approach series ; 230</t>
  </si>
  <si>
    <t>793878303:eng</t>
  </si>
  <si>
    <t>43708599</t>
  </si>
  <si>
    <t>ocm43708599</t>
  </si>
  <si>
    <t>31022924355</t>
  </si>
  <si>
    <t>9780199637058</t>
  </si>
  <si>
    <t>793633212</t>
  </si>
  <si>
    <t>QP552 E53 L48 1988</t>
  </si>
  <si>
    <t>0                      QP 0552000E  53                 L  48          1988</t>
  </si>
  <si>
    <t>Messengers of paradise : opiates and the brain : the struggle over pain, rage, uncertainty, and addiction / Charles F. Levinthal.</t>
  </si>
  <si>
    <t>Levinthal, Charles F., 1945-</t>
  </si>
  <si>
    <t>New York : Anchor Press/Doubleday, 1988.</t>
  </si>
  <si>
    <t>232151505:eng</t>
  </si>
  <si>
    <t>16682884</t>
  </si>
  <si>
    <t>ocm16682884</t>
  </si>
  <si>
    <t>3000536094U</t>
  </si>
  <si>
    <t>9780385240673</t>
  </si>
  <si>
    <t>792968714</t>
  </si>
  <si>
    <t>QP572 I5 B58 2007</t>
  </si>
  <si>
    <t>0                      QP 0572000I  5                  B  58          2007</t>
  </si>
  <si>
    <t>The discovery of insulin / Michael Bliss ; with a new preface.</t>
  </si>
  <si>
    <t>Bliss, Michael, 1941-2017.</t>
  </si>
  <si>
    <t>Chicago : University of Chicago Press, 2007.</t>
  </si>
  <si>
    <t>25th anniversary ed.</t>
  </si>
  <si>
    <t>9879864:eng</t>
  </si>
  <si>
    <t>74987867</t>
  </si>
  <si>
    <t>ocm74987867</t>
  </si>
  <si>
    <t>3103867020I</t>
  </si>
  <si>
    <t>9780226058993</t>
  </si>
  <si>
    <t>794174266</t>
  </si>
  <si>
    <t>QP601 B845</t>
  </si>
  <si>
    <t>0                      QP 0601000B  845</t>
  </si>
  <si>
    <t>Bioorganic mechanisms / Thomas C. Bruice, Stephen J. Benkovic.</t>
  </si>
  <si>
    <t>Bruice, Thomas C.</t>
  </si>
  <si>
    <t>New York : W.A. Benjamin, 1966-</t>
  </si>
  <si>
    <t>Frontiers in chemistry</t>
  </si>
  <si>
    <t>1636305:eng</t>
  </si>
  <si>
    <t>561193</t>
  </si>
  <si>
    <t>ocm00561193</t>
  </si>
  <si>
    <t>31006387107</t>
  </si>
  <si>
    <t>791415008</t>
  </si>
  <si>
    <t>3001050330F</t>
  </si>
  <si>
    <t>791415009</t>
  </si>
  <si>
    <t>QP601 C48</t>
  </si>
  <si>
    <t>0                      QP 0601000C  48</t>
  </si>
  <si>
    <t>Enzyme kinetics : a learning program for students of the biological and medical sciences / Halvor N. Christensen and Graham A. Palmer.</t>
  </si>
  <si>
    <t>Christensen, Halvor N.</t>
  </si>
  <si>
    <t>Philadelphia : Saunders, 1967.</t>
  </si>
  <si>
    <t>2018-07-09</t>
  </si>
  <si>
    <t>1443332:eng</t>
  </si>
  <si>
    <t>408502</t>
  </si>
  <si>
    <t>ocm00408502</t>
  </si>
  <si>
    <t>3001046728$</t>
  </si>
  <si>
    <t>9780721625904</t>
  </si>
  <si>
    <t>791369209</t>
  </si>
  <si>
    <t>31004936308</t>
  </si>
  <si>
    <t>791369210</t>
  </si>
  <si>
    <t>QP601 C48 1974</t>
  </si>
  <si>
    <t>0                      QP 0601000C  48          1974</t>
  </si>
  <si>
    <t>Philadelphia : Saunders, ©1974.</t>
  </si>
  <si>
    <t>981400</t>
  </si>
  <si>
    <t>ocm00981400</t>
  </si>
  <si>
    <t>3103559923X</t>
  </si>
  <si>
    <t>9780721625911</t>
  </si>
  <si>
    <t>791517715</t>
  </si>
  <si>
    <t>QP601 F78 2006</t>
  </si>
  <si>
    <t>0                      QP 0601000F  78          2006</t>
  </si>
  <si>
    <t>Fermentation : vital or chemical process? / by Joseph S. Fruton.</t>
  </si>
  <si>
    <t>Leiden ; Boston : Brill, 2006.</t>
  </si>
  <si>
    <t>History of science and medicine library, 1872-0684 ; v. 1</t>
  </si>
  <si>
    <t>793058224:eng</t>
  </si>
  <si>
    <t>76904126</t>
  </si>
  <si>
    <t>ocm76904126</t>
  </si>
  <si>
    <t>31025953993</t>
  </si>
  <si>
    <t>9789004152687</t>
  </si>
  <si>
    <t>794178944</t>
  </si>
  <si>
    <t>QP941 N8</t>
  </si>
  <si>
    <t>0                      QP 0941000N  8</t>
  </si>
  <si>
    <t>Snake venoms; an investigation of venomous snakes, with special reference to the phenomena of their venoms.</t>
  </si>
  <si>
    <t>Noguchi, Hideyo, 1876-1928.</t>
  </si>
  <si>
    <t>Washington, Carnegie Institution of Washington, 1909.</t>
  </si>
  <si>
    <t>Carnegie institution of Washington publication ; no. 111</t>
  </si>
  <si>
    <t>4552892:eng</t>
  </si>
  <si>
    <t>14796920</t>
  </si>
  <si>
    <t>ocm14796920</t>
  </si>
  <si>
    <t>3000805534U</t>
  </si>
  <si>
    <t>792906041</t>
  </si>
  <si>
    <t>QR31 A1 D4 1930</t>
  </si>
  <si>
    <t>0                      QR 0031000A  1                  D  4           1930</t>
  </si>
  <si>
    <t>Microbe hunters, by Paul de Kruif ...</t>
  </si>
  <si>
    <t>De Kruif, Paul, 1890-1971.</t>
  </si>
  <si>
    <t>New York, Blue ribbon Books [1930]</t>
  </si>
  <si>
    <t xml:space="preserve">QR </t>
  </si>
  <si>
    <t>570830:eng</t>
  </si>
  <si>
    <t>3026831</t>
  </si>
  <si>
    <t>ocm03026831</t>
  </si>
  <si>
    <t>3001015763K</t>
  </si>
  <si>
    <t>792208155</t>
  </si>
  <si>
    <t>QR41.2 B58 2018</t>
  </si>
  <si>
    <t>0                      QR 0041200B  58          2018</t>
  </si>
  <si>
    <t>Microbiology : principles and explorations.</t>
  </si>
  <si>
    <t>Black, Jacquelyn G., author.</t>
  </si>
  <si>
    <t>Hoboken, NJ : Wiley, [2018]</t>
  </si>
  <si>
    <t>10th edition / Jacquelyn G. Black, Marymount University, Arlington, Virginia ; Laura Black.</t>
  </si>
  <si>
    <t>77986:eng</t>
  </si>
  <si>
    <t>1111580121</t>
  </si>
  <si>
    <t>on1111580121</t>
  </si>
  <si>
    <t>3103903858A</t>
  </si>
  <si>
    <t>9781119390152</t>
  </si>
  <si>
    <t>795083758</t>
  </si>
  <si>
    <t>QR41.2 B77 2015</t>
  </si>
  <si>
    <t>0                      QR 0041200B  77          2015</t>
  </si>
  <si>
    <t>Brock biology of microorganisms / Michael T. Madigan, Southern Illinois University Carbondale ; John M. Martinko, Southern Illinois University Carbondale ; Kelly S. Bender, Southern Illinois University Carbondale ; Daniel H. Buckley, Cornell University ; David A. Stahl, University of Washington Seattle.</t>
  </si>
  <si>
    <t>Madigan, Michael T., 1949-</t>
  </si>
  <si>
    <t>Fourteenth edition.</t>
  </si>
  <si>
    <t>1090355:eng</t>
  </si>
  <si>
    <t>857863493</t>
  </si>
  <si>
    <t>ocn857863493</t>
  </si>
  <si>
    <t>3103591869Q</t>
  </si>
  <si>
    <t>9780321897398</t>
  </si>
  <si>
    <t>794955502</t>
  </si>
  <si>
    <t>31036290071</t>
  </si>
  <si>
    <t>794955500</t>
  </si>
  <si>
    <t>QR41.2 L3813 1988</t>
  </si>
  <si>
    <t>0                      QR 0041200L  3813        1988</t>
  </si>
  <si>
    <t>The pasteurization of France / Bruno Latour ; translated by Alan Sheridan and John Law.</t>
  </si>
  <si>
    <t>Cambridge, Mass. : Harvard University Press, 1988.</t>
  </si>
  <si>
    <t>2682860:eng</t>
  </si>
  <si>
    <t>17413333</t>
  </si>
  <si>
    <t>ocm17413333</t>
  </si>
  <si>
    <t>31027398098</t>
  </si>
  <si>
    <t>9780674657601</t>
  </si>
  <si>
    <t>792990701</t>
  </si>
  <si>
    <t>QR41.2 S775 1963</t>
  </si>
  <si>
    <t>0                      QR 0041200S  775         1963</t>
  </si>
  <si>
    <t>The microbial world [by] Roger Y. Stanier, Michael Doudoroff [and] Edward A. Adelberg.</t>
  </si>
  <si>
    <t>Stanier, Roger Y.</t>
  </si>
  <si>
    <t>Englewood Cliffs, N.J., Prentice-Hall, 1963.</t>
  </si>
  <si>
    <t>1302145:eng</t>
  </si>
  <si>
    <t>560185</t>
  </si>
  <si>
    <t>ocm00560185</t>
  </si>
  <si>
    <t>3001046253K</t>
  </si>
  <si>
    <t>791414690</t>
  </si>
  <si>
    <t>3100724669Y</t>
  </si>
  <si>
    <t>791414691</t>
  </si>
  <si>
    <t>QR75 P36 2016</t>
  </si>
  <si>
    <t>0                      QR 0075000P  36          2016</t>
  </si>
  <si>
    <t>Have bacteria won? / Hugh Pennington.</t>
  </si>
  <si>
    <t>Pennington, T. H. (Thomas Hugh), author.</t>
  </si>
  <si>
    <t>Cambridge, UK ; Malden, MA : Polity Press, 2016.</t>
  </si>
  <si>
    <t>New human frontiers series</t>
  </si>
  <si>
    <t>2810140296:eng</t>
  </si>
  <si>
    <t>931147276</t>
  </si>
  <si>
    <t>ocn931147276</t>
  </si>
  <si>
    <t>3103655461I</t>
  </si>
  <si>
    <t>9780745690797</t>
  </si>
  <si>
    <t>795007436</t>
  </si>
  <si>
    <t>QR81 S6</t>
  </si>
  <si>
    <t>0                      QR 0081000S  6</t>
  </si>
  <si>
    <t>Bergey's manual of determinative bacteriology / arr. by a committee of the Society of American Bacteriologists.</t>
  </si>
  <si>
    <t>American Society for Microbiology.</t>
  </si>
  <si>
    <t>Baltimore : Williams &amp; Wilkins Co., 1923.</t>
  </si>
  <si>
    <t>1081787565:eng</t>
  </si>
  <si>
    <t>61582384</t>
  </si>
  <si>
    <t>ocm61582384</t>
  </si>
  <si>
    <t>30010523313</t>
  </si>
  <si>
    <t>794019451</t>
  </si>
  <si>
    <t>QR84 M26 1973</t>
  </si>
  <si>
    <t>0                      QR 0084000M  26          1973</t>
  </si>
  <si>
    <t>Biochemistry of bacterial growth. Edited by Joel Mandelstam [and] Kenneth McQuillen.</t>
  </si>
  <si>
    <t>Mandelstam, Joel.</t>
  </si>
  <si>
    <t>Halsted Press book</t>
  </si>
  <si>
    <t>150370402:eng</t>
  </si>
  <si>
    <t>693365</t>
  </si>
  <si>
    <t>ocm00693365</t>
  </si>
  <si>
    <t>3001032668H</t>
  </si>
  <si>
    <t>9780470566558</t>
  </si>
  <si>
    <t>791447695</t>
  </si>
  <si>
    <t>2006-02-07</t>
  </si>
  <si>
    <t>3001032669F</t>
  </si>
  <si>
    <t>791447694</t>
  </si>
  <si>
    <t>QR89.5 B56 1988</t>
  </si>
  <si>
    <t>0                      QR 0089500B  56          1988</t>
  </si>
  <si>
    <t>Biology of anaerobic microorganisms / edited by Alexander J.B. Zehnder.</t>
  </si>
  <si>
    <t>Wiley series in ecological and applied microbiology</t>
  </si>
  <si>
    <t>13442352:eng</t>
  </si>
  <si>
    <t>16866940</t>
  </si>
  <si>
    <t>ocm16866940</t>
  </si>
  <si>
    <t>31011391318</t>
  </si>
  <si>
    <t>9780471882268</t>
  </si>
  <si>
    <t>792975373</t>
  </si>
  <si>
    <t>QR100 C63 2003</t>
  </si>
  <si>
    <t>0                      QR 0100000C  63          2003</t>
  </si>
  <si>
    <t>Impossible extinction : natural catastrophes and the supremacy of the microbial world / Charles S. Cockell.</t>
  </si>
  <si>
    <t>Cockell, Charles.</t>
  </si>
  <si>
    <t>890931281:eng</t>
  </si>
  <si>
    <t>50203912</t>
  </si>
  <si>
    <t>ocm50203912</t>
  </si>
  <si>
    <t>31022637563</t>
  </si>
  <si>
    <t>9780521817363</t>
  </si>
  <si>
    <t>793757813</t>
  </si>
  <si>
    <t>QR100 M67 1997</t>
  </si>
  <si>
    <t>0                      QR 0100000M  67          1997</t>
  </si>
  <si>
    <t>Bacteria in oligotrophic environments : starvation-survival lifestyle / Richard Y. Morita.</t>
  </si>
  <si>
    <t>Morita, R. Y. (Richard Y.)</t>
  </si>
  <si>
    <t>Chapman &amp; Hall microbiology series</t>
  </si>
  <si>
    <t>837040178:eng</t>
  </si>
  <si>
    <t>36011671</t>
  </si>
  <si>
    <t>ocm36011671</t>
  </si>
  <si>
    <t>3101939547W</t>
  </si>
  <si>
    <t>9780412106613</t>
  </si>
  <si>
    <t>793463918</t>
  </si>
  <si>
    <t>QR100 P76</t>
  </si>
  <si>
    <t>0                      QR 0100000P  76</t>
  </si>
  <si>
    <t>The Prokaryotes : a handbook on habitats, isolation, and identification of bacteria / edited by Mortimer P. Starr [and others].</t>
  </si>
  <si>
    <t>Berlin ; New York : Springer-Verlag, ©1981.</t>
  </si>
  <si>
    <t>3857046784:eng</t>
  </si>
  <si>
    <t>7597782</t>
  </si>
  <si>
    <t>ocm07597782</t>
  </si>
  <si>
    <t>3100666321A</t>
  </si>
  <si>
    <t>9780387088716</t>
  </si>
  <si>
    <t>792568858</t>
  </si>
  <si>
    <t>3001027831D</t>
  </si>
  <si>
    <t>792568859</t>
  </si>
  <si>
    <t>QR105 H26 1993</t>
  </si>
  <si>
    <t>0                      QR 0105000H  26          1993</t>
  </si>
  <si>
    <t>Handbook of methods in aquatic microbial ecology / edited by Paul F. Kemp [and others].</t>
  </si>
  <si>
    <t>Boca Raton : Lewis Publishers, ©1993.</t>
  </si>
  <si>
    <t>375646:eng</t>
  </si>
  <si>
    <t>27768277</t>
  </si>
  <si>
    <t>ocm27768277</t>
  </si>
  <si>
    <t>3101426540S</t>
  </si>
  <si>
    <t>9780873715645</t>
  </si>
  <si>
    <t>793271532</t>
  </si>
  <si>
    <t>QR105.5 M53 1985</t>
  </si>
  <si>
    <t>0                      QR 0105500M  53          1985</t>
  </si>
  <si>
    <t>Microbial processes in reservoirs / edited by Douglas Gunnison.</t>
  </si>
  <si>
    <t>Dordrecht ; Boston : W. Junk ; Hingham, MA : Distributors for the United States and Canada Kluwer Academic, 1985.</t>
  </si>
  <si>
    <t>Developments in hydrobiology ; 27</t>
  </si>
  <si>
    <t>2015-06-04</t>
  </si>
  <si>
    <t>54698350:eng</t>
  </si>
  <si>
    <t>11784028</t>
  </si>
  <si>
    <t>ocm11784028</t>
  </si>
  <si>
    <t>3001038784M</t>
  </si>
  <si>
    <t>9789061935254</t>
  </si>
  <si>
    <t>792787590</t>
  </si>
  <si>
    <t>QR135 C85 2010</t>
  </si>
  <si>
    <t>0                      QR 0135000C  85          2010</t>
  </si>
  <si>
    <t>Cultural heritage microbiology : fundamental studies in conservation science / edited by Ralph Mitchell, Christopher J. McNamara.</t>
  </si>
  <si>
    <t>Washington, DC : ASM Press, ©2010.</t>
  </si>
  <si>
    <t>808140431:eng</t>
  </si>
  <si>
    <t>574940242</t>
  </si>
  <si>
    <t>ocn574940242</t>
  </si>
  <si>
    <t>3103228975N</t>
  </si>
  <si>
    <t>9781555814762</t>
  </si>
  <si>
    <t>794814012</t>
  </si>
  <si>
    <t>QR171 G29 S66 2015</t>
  </si>
  <si>
    <t>0                      QR 0171000G  29                 S  66          2015</t>
  </si>
  <si>
    <t>The good gut : taking control of your weight, your mood, and your long-term health / Justin Sonnenburg, PhD, and Erica Sonnenburg, PhD.</t>
  </si>
  <si>
    <t>Sonnenburg, Justin, 1973- author.</t>
  </si>
  <si>
    <t>New York, New York : Penguin Press, 2015.</t>
  </si>
  <si>
    <t>2489426507:eng</t>
  </si>
  <si>
    <t>894026165</t>
  </si>
  <si>
    <t>ocn894026165</t>
  </si>
  <si>
    <t>31036102239</t>
  </si>
  <si>
    <t>9781594206283</t>
  </si>
  <si>
    <t>794982273</t>
  </si>
  <si>
    <t>QR180.72 M43 A36 1986</t>
  </si>
  <si>
    <t>0                      QR 0180720M  43                 A  36          1986</t>
  </si>
  <si>
    <t>Memoir of a thinking radish : an autobiography / Peter Medawar.</t>
  </si>
  <si>
    <t>Oxford ; New York : Oxford University Press, 1986.</t>
  </si>
  <si>
    <t>836647893:eng</t>
  </si>
  <si>
    <t>12804275</t>
  </si>
  <si>
    <t>ocm12804275</t>
  </si>
  <si>
    <t>3001032151H</t>
  </si>
  <si>
    <t>9780192177377</t>
  </si>
  <si>
    <t>792828524</t>
  </si>
  <si>
    <t>QR183 I46</t>
  </si>
  <si>
    <t>0                      QR 0183000I  46</t>
  </si>
  <si>
    <t>In vitro methods in cell mediated and tumor immunity / edited by Barry R. Bloom and John R. David ; with editorial assistance of Roberta David and Lenore Grollman.</t>
  </si>
  <si>
    <t>New York : Academic Press, 1976.</t>
  </si>
  <si>
    <t>3855555178:eng</t>
  </si>
  <si>
    <t>2388435</t>
  </si>
  <si>
    <t>ocm02388435</t>
  </si>
  <si>
    <t>3001035976S</t>
  </si>
  <si>
    <t>9780121077600</t>
  </si>
  <si>
    <t>792114664</t>
  </si>
  <si>
    <t>QR185 B4 A3</t>
  </si>
  <si>
    <t>0                      QR 0185000B  4                  A  3</t>
  </si>
  <si>
    <t>Bacteriophages. With chapters by E.S. Anderson [and others] Electron micrographs by E. Kellenberger.</t>
  </si>
  <si>
    <t>Adams, Mark Hancock, 1912-1956.</t>
  </si>
  <si>
    <t>New York, Interscience Publishers, 1959.</t>
  </si>
  <si>
    <t>2007-05-15</t>
  </si>
  <si>
    <t>2018-08-14</t>
  </si>
  <si>
    <t>1416668:eng</t>
  </si>
  <si>
    <t>326505</t>
  </si>
  <si>
    <t>ocm00326505</t>
  </si>
  <si>
    <t>3001047245E</t>
  </si>
  <si>
    <t>791338011</t>
  </si>
  <si>
    <t>QR201 A37 Q36 2015</t>
  </si>
  <si>
    <t>0                      QR 0201000A  37                 Q  36          2015</t>
  </si>
  <si>
    <t>The chimp and the river : how AIDS emerged from an African forest / David Quammen.</t>
  </si>
  <si>
    <t>Quammen, David, 1948- author.</t>
  </si>
  <si>
    <t>New York : W.W. Norton &amp; Company, [2015]</t>
  </si>
  <si>
    <t>1894792781:eng</t>
  </si>
  <si>
    <t>880566230</t>
  </si>
  <si>
    <t>ocn880566230</t>
  </si>
  <si>
    <t>3103903694E</t>
  </si>
  <si>
    <t>9780393350845</t>
  </si>
  <si>
    <t>794973213</t>
  </si>
  <si>
    <t>QR342 P7 1986</t>
  </si>
  <si>
    <t>0                      QR 0342000P  7           1986</t>
  </si>
  <si>
    <t>A genetic switch : gene control and phage [lambda] / by Mark Ptashne.</t>
  </si>
  <si>
    <t>Ptashne, Mark.</t>
  </si>
  <si>
    <t>Cambridge, Mass. : Cell Press ; Palo Alto, Calif. : Blackwell Scientific Publications, ©1986.</t>
  </si>
  <si>
    <t>365829421:eng</t>
  </si>
  <si>
    <t>14719427</t>
  </si>
  <si>
    <t>ocm14719427</t>
  </si>
  <si>
    <t>3001031956H</t>
  </si>
  <si>
    <t>9780865423152</t>
  </si>
  <si>
    <t>792900239</t>
  </si>
  <si>
    <t>QR482 V57</t>
  </si>
  <si>
    <t>0                      QR 0482000V  57</t>
  </si>
  <si>
    <t>Virus infection and the cell surface / edited by George Poste and Garth L. Nicolson.</t>
  </si>
  <si>
    <t>Amsterdam ; New York : North-Holland Pub. Co. ; New York : Sole distributors for the U.S.A. and Canada, Elsevier/North-Holland, 1977.</t>
  </si>
  <si>
    <t>Cell surface reviews ; v. 2</t>
  </si>
  <si>
    <t>346948717:eng</t>
  </si>
  <si>
    <t>2595460</t>
  </si>
  <si>
    <t>ocm02595460</t>
  </si>
  <si>
    <t>3001038049F</t>
  </si>
  <si>
    <t>9780720405989</t>
  </si>
  <si>
    <t>792149371</t>
  </si>
  <si>
    <t>QS 4 M822c 2018</t>
  </si>
  <si>
    <t>0                      QS 0004000M  822c        2018</t>
  </si>
  <si>
    <t>Clinically oriented anatomy / Keith L. Moore, Arthur F. Dalley II, Anne M.R. Agur.</t>
  </si>
  <si>
    <t>Moore, Keith L., author.</t>
  </si>
  <si>
    <t>Philadelphia : Wolters Kluwer, [2018]</t>
  </si>
  <si>
    <t xml:space="preserve">QS </t>
  </si>
  <si>
    <t>978362025</t>
  </si>
  <si>
    <t>ocn978362025</t>
  </si>
  <si>
    <t>3103758889W</t>
  </si>
  <si>
    <t>9781496347213</t>
  </si>
  <si>
    <t>795033285</t>
  </si>
  <si>
    <t>QS 4 S671c 1981</t>
  </si>
  <si>
    <t>0                      QS 0004000S  671c        1981</t>
  </si>
  <si>
    <t>Clinical anatomy for medical students / Richard S. Snell.</t>
  </si>
  <si>
    <t>Snell, Richard S.</t>
  </si>
  <si>
    <t>Boston : Little, Brown, ©1981.</t>
  </si>
  <si>
    <t>57770316:eng</t>
  </si>
  <si>
    <t>7837047</t>
  </si>
  <si>
    <t>ocm07837047</t>
  </si>
  <si>
    <t>31021783166</t>
  </si>
  <si>
    <t>792582632</t>
  </si>
  <si>
    <t>QS 17 N474a 2014</t>
  </si>
  <si>
    <t>0                      QS 0017000N  474a        2014</t>
  </si>
  <si>
    <t>Atlas of human anatomy / Frank H. Netter, MD.</t>
  </si>
  <si>
    <t>Netter, Frank H. (Frank Henry), 1906-1991, author.</t>
  </si>
  <si>
    <t>Philadelphia, PA : Saunders/Elsevier, [2014]</t>
  </si>
  <si>
    <t>827098:eng</t>
  </si>
  <si>
    <t>895083443</t>
  </si>
  <si>
    <t>ocn895083443</t>
  </si>
  <si>
    <t>3103608320E</t>
  </si>
  <si>
    <t>9781455704187</t>
  </si>
  <si>
    <t>794983338</t>
  </si>
  <si>
    <t>QS 17 R737c 2016</t>
  </si>
  <si>
    <t>0                      QS 0017000R  737c        2016</t>
  </si>
  <si>
    <t>Anatomy : a photographic atlas / Johannes W. Rohen, Chihiro Yokochi, Elke Lütjen-Drecoll.</t>
  </si>
  <si>
    <t>Rohen, Johannes W. (Johannes Wilhelm), author.</t>
  </si>
  <si>
    <t>[Philadelphia] : Wolters Kluwer Health/Lippincott Williams &amp; Wilkins : Schattauer, [2016]</t>
  </si>
  <si>
    <t>2463278577:eng</t>
  </si>
  <si>
    <t>930014482</t>
  </si>
  <si>
    <t>ocn930014482</t>
  </si>
  <si>
    <t>3103612685Z</t>
  </si>
  <si>
    <t>9781451193183</t>
  </si>
  <si>
    <t>795006800</t>
  </si>
  <si>
    <t>3103752328S</t>
  </si>
  <si>
    <t>795006799</t>
  </si>
  <si>
    <t>3103752333Z</t>
  </si>
  <si>
    <t>795006801</t>
  </si>
  <si>
    <t>3103752368G</t>
  </si>
  <si>
    <t>795006802</t>
  </si>
  <si>
    <t>QS 18.2 G489a 2013</t>
  </si>
  <si>
    <t>0                      QS 0018200G  489a        2013</t>
  </si>
  <si>
    <t>Anatomy : an essential textbook / Anne M Gilroy ; illustrations by Markus Voll, Karl Wesker.</t>
  </si>
  <si>
    <t>Gilroy, Anne M.</t>
  </si>
  <si>
    <t>New York : Thieme, ©2013.</t>
  </si>
  <si>
    <t>1370382426:eng</t>
  </si>
  <si>
    <t>726820608</t>
  </si>
  <si>
    <t>ocn726820608</t>
  </si>
  <si>
    <t>3103670369J</t>
  </si>
  <si>
    <t>9781604062076</t>
  </si>
  <si>
    <t>794877460</t>
  </si>
  <si>
    <t>QS 18.2 G489a 2017</t>
  </si>
  <si>
    <t>0                      QS 0018200G  489a        2017</t>
  </si>
  <si>
    <t>Anatomy : an essential textbook / Anne M. Gilroy ; illustrations by Markus Voll, Karl Wesker.</t>
  </si>
  <si>
    <t>Gilroy, Anne M., author.</t>
  </si>
  <si>
    <t>New York, NY : Thieme Medical Publishers, Inc., [2017]</t>
  </si>
  <si>
    <t>Thieme's illustrated review series.</t>
  </si>
  <si>
    <t>972778503</t>
  </si>
  <si>
    <t>ocn972778503</t>
  </si>
  <si>
    <t>3103737255G</t>
  </si>
  <si>
    <t>9781626234390</t>
  </si>
  <si>
    <t>795028796</t>
  </si>
  <si>
    <t>QS 525 P993 1972</t>
  </si>
  <si>
    <t>0                      QS 0525000P  993         1972</t>
  </si>
  <si>
    <t>Manual of histopathological staining methods [by] Frederick A. Putt.</t>
  </si>
  <si>
    <t>Putt, Frederick A.</t>
  </si>
  <si>
    <t>New York, Wiley [1972]</t>
  </si>
  <si>
    <t>A Wiley-Interscience publication</t>
  </si>
  <si>
    <t>2018-11-11</t>
  </si>
  <si>
    <t>1402271:eng</t>
  </si>
  <si>
    <t>357073</t>
  </si>
  <si>
    <t>ocm00357073</t>
  </si>
  <si>
    <t>3000113426C</t>
  </si>
  <si>
    <t>9780471702467</t>
  </si>
  <si>
    <t>791349512</t>
  </si>
  <si>
    <t>QS 525 S542 1973</t>
  </si>
  <si>
    <t>0                      QS 0525000S  542         1973</t>
  </si>
  <si>
    <t>Theory and practice of histotechnology [by] Dezna C. Sheehan [and] Barbara B. Hrapchak.</t>
  </si>
  <si>
    <t>Sheehan, Dezna C., 1911-</t>
  </si>
  <si>
    <t>Saint Louis, C.V. Mosby Co., 1973.</t>
  </si>
  <si>
    <t>1717795:eng</t>
  </si>
  <si>
    <t>578780</t>
  </si>
  <si>
    <t>ocm00578780</t>
  </si>
  <si>
    <t>30001134288</t>
  </si>
  <si>
    <t>9780801645723</t>
  </si>
  <si>
    <t>791419927</t>
  </si>
  <si>
    <t>QS 525 T412 1982</t>
  </si>
  <si>
    <t>0                      QS 0525000T  412         1982</t>
  </si>
  <si>
    <t>3000101210E</t>
  </si>
  <si>
    <t>792599348</t>
  </si>
  <si>
    <t>QS 526 M167</t>
  </si>
  <si>
    <t>0                      QS 0526000M  167</t>
  </si>
  <si>
    <t>Staining methods; histologic and histochemical [by] J.F.A. McManus [and] Robert W. Mowry.</t>
  </si>
  <si>
    <t>McManus, John Forde Anthony, 1911-</t>
  </si>
  <si>
    <t>[New York] Hoeber [©1960]</t>
  </si>
  <si>
    <t>1594931:eng</t>
  </si>
  <si>
    <t>14624098</t>
  </si>
  <si>
    <t>ocm14624098</t>
  </si>
  <si>
    <t>31033977006</t>
  </si>
  <si>
    <t>792896361</t>
  </si>
  <si>
    <t>QS 532.5 A3 I615 1962f</t>
  </si>
  <si>
    <t>0                      QS 0532500A  3                  I  615         1962f</t>
  </si>
  <si>
    <t>Fat as a tissue. editor: Kaare Rodahl, Coeditor: Bela Issekutz. Editorial assistants: Carolyn Nicosia, Barbara Russell.</t>
  </si>
  <si>
    <t>International Research Conference (3rd : 1962 : Lankenau Hospital, Philadelphia)</t>
  </si>
  <si>
    <t>New York, McGraw-Hill [©1964]</t>
  </si>
  <si>
    <t>502760538:eng</t>
  </si>
  <si>
    <t>38230261</t>
  </si>
  <si>
    <t>ocm38230261</t>
  </si>
  <si>
    <t>3000287794P</t>
  </si>
  <si>
    <t>793519386</t>
  </si>
  <si>
    <t>QS 604 H322 1969</t>
  </si>
  <si>
    <t>0                      QS 0604000H  322         1969</t>
  </si>
  <si>
    <t>Organization and development of the embryo. Edited by Sally Wilens.</t>
  </si>
  <si>
    <t>Harrison, Ross G. (Ross Granville), 1870-1959.</t>
  </si>
  <si>
    <t>Yale University. Mrs. Hepsa Ely Silliman memorial lectures</t>
  </si>
  <si>
    <t>909225:eng</t>
  </si>
  <si>
    <t>23073</t>
  </si>
  <si>
    <t>ocm00023073</t>
  </si>
  <si>
    <t>3000113521I</t>
  </si>
  <si>
    <t>9780300011555</t>
  </si>
  <si>
    <t>791231594</t>
  </si>
  <si>
    <t>QS 617 E534 v.2 1972</t>
  </si>
  <si>
    <t>0                      QS 0617000E  534                                                     v.2 1972</t>
  </si>
  <si>
    <t>Organogenesis / by H. Tuchmann-Duplessis [and] P. Haegel ; translated from the French by L.S. Hurley.</t>
  </si>
  <si>
    <t>v.2 1972*</t>
  </si>
  <si>
    <t>Tuchmann-Duplessis, Herbert.</t>
  </si>
  <si>
    <t>New York : Springer-Verlag, 1972.</t>
  </si>
  <si>
    <t>Illustrated human embryoloby ; vol. 2</t>
  </si>
  <si>
    <t>4405641:eng</t>
  </si>
  <si>
    <t>12054350</t>
  </si>
  <si>
    <t>ocm12054350</t>
  </si>
  <si>
    <t>3103636097K</t>
  </si>
  <si>
    <t>792799128</t>
  </si>
  <si>
    <t>QS 675 T365 1973</t>
  </si>
  <si>
    <t>0                      QS 0675000T  365         1973</t>
  </si>
  <si>
    <t>The Thalidomide children and the law : a report / by the Sunday times.</t>
  </si>
  <si>
    <t>London : Deutsch, 1973.</t>
  </si>
  <si>
    <t>2376269:eng</t>
  </si>
  <si>
    <t>1600468</t>
  </si>
  <si>
    <t>ocm01600468</t>
  </si>
  <si>
    <t>3000113637$</t>
  </si>
  <si>
    <t>9780233965383</t>
  </si>
  <si>
    <t>791775355</t>
  </si>
  <si>
    <t>QT 4 D2675</t>
  </si>
  <si>
    <t>0                      QT 0004000D  2675</t>
  </si>
  <si>
    <t>Introduction to physiology / Hugh Davson, M.B. Segal.</t>
  </si>
  <si>
    <t>v.2 (1975)</t>
  </si>
  <si>
    <t>Davson, Hugh, 1909-1996.</t>
  </si>
  <si>
    <t>New York : Grune &amp; Stratton, ©1975-</t>
  </si>
  <si>
    <t xml:space="preserve">QT </t>
  </si>
  <si>
    <t>4095446200:eng</t>
  </si>
  <si>
    <t>1650452</t>
  </si>
  <si>
    <t>ocm01650452</t>
  </si>
  <si>
    <t>3100342990K</t>
  </si>
  <si>
    <t>9780808908968</t>
  </si>
  <si>
    <t>791823823</t>
  </si>
  <si>
    <t>v.1 (1975)</t>
  </si>
  <si>
    <t>3000113675S</t>
  </si>
  <si>
    <t>791823824</t>
  </si>
  <si>
    <t>v.5 (1980)</t>
  </si>
  <si>
    <t>3100342982J</t>
  </si>
  <si>
    <t>791823820</t>
  </si>
  <si>
    <t>v.4 (1978)</t>
  </si>
  <si>
    <t>3100342981L</t>
  </si>
  <si>
    <t>791823821</t>
  </si>
  <si>
    <t>v.3 (1976)</t>
  </si>
  <si>
    <t>3100342980N</t>
  </si>
  <si>
    <t>791823822</t>
  </si>
  <si>
    <t>QT 4 F818a 2016</t>
  </si>
  <si>
    <t>0                      QT 0004000F  818a        2016</t>
  </si>
  <si>
    <t>Adventures in human being : a grand tour from the cranium to the calcaneum / Gavin Francis.</t>
  </si>
  <si>
    <t>Francis, Gavin.</t>
  </si>
  <si>
    <t>New York : Basic Books, 2016.</t>
  </si>
  <si>
    <t>Papberback edition.</t>
  </si>
  <si>
    <t>2506030385:eng</t>
  </si>
  <si>
    <t>945232388</t>
  </si>
  <si>
    <t>ocn945232388</t>
  </si>
  <si>
    <t>3103698614H</t>
  </si>
  <si>
    <t>9780465096824</t>
  </si>
  <si>
    <t>795013423</t>
  </si>
  <si>
    <t>QT 4 H236h 1925</t>
  </si>
  <si>
    <t>0                      QT 0004000H  236h        1925</t>
  </si>
  <si>
    <t>15 pt.1 (1930)</t>
  </si>
  <si>
    <t>3100343005V</t>
  </si>
  <si>
    <t>794205553</t>
  </si>
  <si>
    <t>16 pt.1 (1930)</t>
  </si>
  <si>
    <t>3100343003Z</t>
  </si>
  <si>
    <t>794205551</t>
  </si>
  <si>
    <t>15 pt.2 (1931)</t>
  </si>
  <si>
    <t>3100343004X</t>
  </si>
  <si>
    <t>794205526</t>
  </si>
  <si>
    <t>10 (1927)</t>
  </si>
  <si>
    <t>3100342973K</t>
  </si>
  <si>
    <t>794205560</t>
  </si>
  <si>
    <t>4 (1929)</t>
  </si>
  <si>
    <t>3100342948J</t>
  </si>
  <si>
    <t>794205569</t>
  </si>
  <si>
    <t>6 pt.1 (1928)</t>
  </si>
  <si>
    <t>3100342952S</t>
  </si>
  <si>
    <t>794205567</t>
  </si>
  <si>
    <t>1 (1927)</t>
  </si>
  <si>
    <t>3000265037D</t>
  </si>
  <si>
    <t>794205572</t>
  </si>
  <si>
    <t>3 (1927)</t>
  </si>
  <si>
    <t>3100342985D</t>
  </si>
  <si>
    <t>794205570</t>
  </si>
  <si>
    <t>CVB543223-210</t>
  </si>
  <si>
    <t>794205552</t>
  </si>
  <si>
    <t>5 (1928)</t>
  </si>
  <si>
    <t>3100342949H</t>
  </si>
  <si>
    <t>794205568</t>
  </si>
  <si>
    <t>13 (1929)</t>
  </si>
  <si>
    <t>3100342978A</t>
  </si>
  <si>
    <t>794205556</t>
  </si>
  <si>
    <t>7 pt.1 (1926)</t>
  </si>
  <si>
    <t>31003429887</t>
  </si>
  <si>
    <t>794205565</t>
  </si>
  <si>
    <t>8 pt.2 (1928)</t>
  </si>
  <si>
    <t>3100342972M</t>
  </si>
  <si>
    <t>794205562</t>
  </si>
  <si>
    <t>18 (1932)</t>
  </si>
  <si>
    <t>31003430004</t>
  </si>
  <si>
    <t>794205548</t>
  </si>
  <si>
    <t>17 (1926)</t>
  </si>
  <si>
    <t>31003430012</t>
  </si>
  <si>
    <t>794205549</t>
  </si>
  <si>
    <t>7 pt.2 (1927)</t>
  </si>
  <si>
    <t>31003429895</t>
  </si>
  <si>
    <t>794205564</t>
  </si>
  <si>
    <t>12 pt.1 (1929)</t>
  </si>
  <si>
    <t>3100342976E</t>
  </si>
  <si>
    <t>794205558</t>
  </si>
  <si>
    <t>11 (1926)</t>
  </si>
  <si>
    <t>3100342974I</t>
  </si>
  <si>
    <t>794205559</t>
  </si>
  <si>
    <t>8 pt.1 (1925)</t>
  </si>
  <si>
    <t>3100342971O</t>
  </si>
  <si>
    <t>794205563</t>
  </si>
  <si>
    <t>16 pt.2 (1931)</t>
  </si>
  <si>
    <t>31003430020</t>
  </si>
  <si>
    <t>794205550</t>
  </si>
  <si>
    <t>2 (1925)</t>
  </si>
  <si>
    <t>3100342984F</t>
  </si>
  <si>
    <t>794205571</t>
  </si>
  <si>
    <t>14 pt.2 (1927)</t>
  </si>
  <si>
    <t>3100343006T</t>
  </si>
  <si>
    <t>794205554</t>
  </si>
  <si>
    <t>9 (1929)</t>
  </si>
  <si>
    <t>3100342970Q</t>
  </si>
  <si>
    <t>794205561</t>
  </si>
  <si>
    <t>14 pt.1 (1926)</t>
  </si>
  <si>
    <t>3100342977C</t>
  </si>
  <si>
    <t>794205555</t>
  </si>
  <si>
    <t>6 pt.2 (1928)</t>
  </si>
  <si>
    <t>31003429879</t>
  </si>
  <si>
    <t>794205566</t>
  </si>
  <si>
    <t>12 pt.2 (1931)</t>
  </si>
  <si>
    <t>3100342975G</t>
  </si>
  <si>
    <t>794205557</t>
  </si>
  <si>
    <t>QT 18.2 L427p 2004</t>
  </si>
  <si>
    <t>0                      QT 0018200L  427p        2004</t>
  </si>
  <si>
    <t>Physiology demystified / Dale Pierre Layman.</t>
  </si>
  <si>
    <t>Layman, Dale Pierre.</t>
  </si>
  <si>
    <t>New York : McGraw-Hill, ©2004.</t>
  </si>
  <si>
    <t>Demystified series</t>
  </si>
  <si>
    <t>1026624:eng</t>
  </si>
  <si>
    <t>55983652</t>
  </si>
  <si>
    <t>ocm55983652</t>
  </si>
  <si>
    <t>3102463865N</t>
  </si>
  <si>
    <t>9780071438285</t>
  </si>
  <si>
    <t>793885338</t>
  </si>
  <si>
    <t>QT 25 B995 1972</t>
  </si>
  <si>
    <t>0                      QT 0025000B  995         1972</t>
  </si>
  <si>
    <t>A laboratory manual for exercise physiology, by Ronald James Byrd and Freddie Melton Browning.</t>
  </si>
  <si>
    <t>Byrd, Ronald James.</t>
  </si>
  <si>
    <t>Springfield, Ill., Thomas [©1972]</t>
  </si>
  <si>
    <t>586744085:eng</t>
  </si>
  <si>
    <t>681056</t>
  </si>
  <si>
    <t>ocm00681056</t>
  </si>
  <si>
    <t>3000113720C</t>
  </si>
  <si>
    <t>9780398024598</t>
  </si>
  <si>
    <t>791444800</t>
  </si>
  <si>
    <t>QT 34 B881 1971</t>
  </si>
  <si>
    <t>0                      QT 0034000B  881         1971</t>
  </si>
  <si>
    <t>Biomedical engineering [edited by] J.H.U. Brown, John E. Jacobs [and] Lawrence Stark.</t>
  </si>
  <si>
    <t>Philadelphia, F.A. Davis Co. [1970, ©1971]</t>
  </si>
  <si>
    <t>364257041:eng</t>
  </si>
  <si>
    <t>106421</t>
  </si>
  <si>
    <t>ocm00106421</t>
  </si>
  <si>
    <t>3100995751P</t>
  </si>
  <si>
    <t>9780803612907</t>
  </si>
  <si>
    <t>791259013</t>
  </si>
  <si>
    <t>QT 34 L856 1969</t>
  </si>
  <si>
    <t>0                      QT 0034000L  856         1969</t>
  </si>
  <si>
    <t>Machines in medicine : the medical practice of the future / Donald Longmore ; edited and illustrated by M. Ross-Macdonald.</t>
  </si>
  <si>
    <t>Longmore, Donald.</t>
  </si>
  <si>
    <t>Garden City, N.Y. : Doubleday &amp; Company, Inc., 1970.</t>
  </si>
  <si>
    <t>Doubleday science series, SD 15</t>
  </si>
  <si>
    <t>1243871:eng</t>
  </si>
  <si>
    <t>80721</t>
  </si>
  <si>
    <t>ocm00080721</t>
  </si>
  <si>
    <t>3000113842Z</t>
  </si>
  <si>
    <t>791248810</t>
  </si>
  <si>
    <t>QT 104 G992t 2006</t>
  </si>
  <si>
    <t>0                      QT 0104000G  992t        2006</t>
  </si>
  <si>
    <t>Textbook of medical physiology / Arthur C. Guyton, John E. Hall.</t>
  </si>
  <si>
    <t>Guyton, Arthur C.</t>
  </si>
  <si>
    <t>Philadelphia : Elsevier Saunders, ©2006.</t>
  </si>
  <si>
    <t>11th ed.</t>
  </si>
  <si>
    <t>3901005111:eng</t>
  </si>
  <si>
    <t>56661571</t>
  </si>
  <si>
    <t>ocm56661571</t>
  </si>
  <si>
    <t>3102501667O</t>
  </si>
  <si>
    <t>9780721602400</t>
  </si>
  <si>
    <t>793898648</t>
  </si>
  <si>
    <t>3102544145B</t>
  </si>
  <si>
    <t>793898649</t>
  </si>
  <si>
    <t>QT 104 H1767g 2011</t>
  </si>
  <si>
    <t>0                      QT 0104000H  1767g       2011</t>
  </si>
  <si>
    <t>Guyton and Hall textbook of medical physiology / John Hall.</t>
  </si>
  <si>
    <t>Hall, John E. (John Edward), 1946-</t>
  </si>
  <si>
    <t>Philadelphia, Pa. : Saunders/Elsevier, [2011]</t>
  </si>
  <si>
    <t>Twelfth edition.</t>
  </si>
  <si>
    <t>434319356</t>
  </si>
  <si>
    <t>ocn434319356</t>
  </si>
  <si>
    <t>3103285353R</t>
  </si>
  <si>
    <t>9781416045748</t>
  </si>
  <si>
    <t>794782848</t>
  </si>
  <si>
    <t>QT 104 M4894 2012</t>
  </si>
  <si>
    <t>0                      QT 0104000M  4894        2012</t>
  </si>
  <si>
    <t>Medical physiology : a cellular and molecular approach / [edited by] Walter F. Boron, MD, PhD, professor, David N. and Inez Myers/Antonio Scarpa Chairman, Department of Physiology and Biophysics, Case Western Reserve University, Cleveland, Ohio, Emile L. Boulpaep, MD, professor, Department of Cellular and Molecular Physiology, Yale University School of Medicine, New Haven, Connecticut.</t>
  </si>
  <si>
    <t>Philadelphia, PA : Saunders/Elsevier, [2012]</t>
  </si>
  <si>
    <t>Updated second edition.</t>
  </si>
  <si>
    <t>3864848902:eng</t>
  </si>
  <si>
    <t>756281854</t>
  </si>
  <si>
    <t>ocn756281854</t>
  </si>
  <si>
    <t>3103438265T</t>
  </si>
  <si>
    <t>9781437717532</t>
  </si>
  <si>
    <t>794894437</t>
  </si>
  <si>
    <t>QT 104 W641v 2011</t>
  </si>
  <si>
    <t>0                      QT 0104000W  641v        2011</t>
  </si>
  <si>
    <t>Vander's human physiology : the mechanisms of body function / Eric P. Widmaier, Hershel Raff, Kevin T. Strang.</t>
  </si>
  <si>
    <t>Widmaier, Eric P.</t>
  </si>
  <si>
    <t>12th ed. / Eric P. Widmaier, Hershel Raff, Kevin T. Strang.</t>
  </si>
  <si>
    <t>3798713733:eng</t>
  </si>
  <si>
    <t>496955848</t>
  </si>
  <si>
    <t>ocn496955848</t>
  </si>
  <si>
    <t>31033802625</t>
  </si>
  <si>
    <t>9780073378107</t>
  </si>
  <si>
    <t>794802763</t>
  </si>
  <si>
    <t>3103336868P</t>
  </si>
  <si>
    <t>794802764</t>
  </si>
  <si>
    <t>QT 104 W641v 2016</t>
  </si>
  <si>
    <t>0                      QT 0104000W  641v        2016</t>
  </si>
  <si>
    <t>Vander's human physiology : the mechanisms of body function / Eric P. Widmaier, Boston University, Hershel Raff, Medical College of Wisconsin, Aurora St. Luke's Medical Center, Kevin T. Strang, University of Wisconsin-Madison.</t>
  </si>
  <si>
    <t>New York, NY : McGraw-Hill, [2016]</t>
  </si>
  <si>
    <t>914339346</t>
  </si>
  <si>
    <t>ocn914339346</t>
  </si>
  <si>
    <t>3103654525N</t>
  </si>
  <si>
    <t>9781259294099</t>
  </si>
  <si>
    <t>795000135</t>
  </si>
  <si>
    <t>31037371024</t>
  </si>
  <si>
    <t>795000133</t>
  </si>
  <si>
    <t>3103737134S</t>
  </si>
  <si>
    <t>795000134</t>
  </si>
  <si>
    <t>3103737091K</t>
  </si>
  <si>
    <t>795000132</t>
  </si>
  <si>
    <t>31037371202</t>
  </si>
  <si>
    <t>795000136</t>
  </si>
  <si>
    <t>QT 235 B827t 2017</t>
  </si>
  <si>
    <t>0                      QT 0235000B  827t        2017</t>
  </si>
  <si>
    <t>Thrive : the plant-based whole foods way to stay healthy for life / Brendan Brazier.</t>
  </si>
  <si>
    <t>Brazier, Brendan, author.</t>
  </si>
  <si>
    <t>Boston, MA : Da Capo Lifelong, 2017.</t>
  </si>
  <si>
    <t>10th anniversary edition, second Da Capo Press edition.</t>
  </si>
  <si>
    <t>2018-11-17</t>
  </si>
  <si>
    <t>4146168758:eng</t>
  </si>
  <si>
    <t>972326710</t>
  </si>
  <si>
    <t>ocn972326710</t>
  </si>
  <si>
    <t>31036709645</t>
  </si>
  <si>
    <t>9780738219516</t>
  </si>
  <si>
    <t>795028608</t>
  </si>
  <si>
    <t>QT 235 C191w 2014</t>
  </si>
  <si>
    <t>0                      QT 0235000C  191w        2014</t>
  </si>
  <si>
    <t>Whole : rethinking the science of nutrition / T. Colin Campbell ; with Howard Jacobson.</t>
  </si>
  <si>
    <t>Campbell, T. Colin, 1934- author.</t>
  </si>
  <si>
    <t>Dallas, Tex. : Benbella Books, 2014.</t>
  </si>
  <si>
    <t>1517852069:eng</t>
  </si>
  <si>
    <t>854612980</t>
  </si>
  <si>
    <t>ocn854612980</t>
  </si>
  <si>
    <t>3103698609A</t>
  </si>
  <si>
    <t>9781939529848</t>
  </si>
  <si>
    <t>794952598</t>
  </si>
  <si>
    <t>QT 235 H413h 1932</t>
  </si>
  <si>
    <t>0                      QT 0235000H  413h        1932</t>
  </si>
  <si>
    <t>Health via food / by William Howard Hay.</t>
  </si>
  <si>
    <t>Hay, William Howard, 1866-1940.</t>
  </si>
  <si>
    <t>East Aurora, New York : [publisher not identified], [1932], ©1929</t>
  </si>
  <si>
    <t>432204887:eng</t>
  </si>
  <si>
    <t>14747577</t>
  </si>
  <si>
    <t>ocm14747577</t>
  </si>
  <si>
    <t>3000144208$</t>
  </si>
  <si>
    <t>792902209</t>
  </si>
  <si>
    <t>QT 235 M397 2017</t>
  </si>
  <si>
    <t>0                      QT 0235000M  397         2017</t>
  </si>
  <si>
    <t>Smart fat.</t>
  </si>
  <si>
    <t>Masley, Steven, M. D.</t>
  </si>
  <si>
    <t>[Place of publication not identified] : Harperone, 2017.</t>
  </si>
  <si>
    <t>2017-09-27</t>
  </si>
  <si>
    <t>2548037979:eng</t>
  </si>
  <si>
    <t>948336093</t>
  </si>
  <si>
    <t>ocn948336093</t>
  </si>
  <si>
    <t>31036709653</t>
  </si>
  <si>
    <t>9780062392329</t>
  </si>
  <si>
    <t>795015433</t>
  </si>
  <si>
    <t>QT 240 F511L 2016</t>
  </si>
  <si>
    <t>0                      QT 0240000F  511L        2016</t>
  </si>
  <si>
    <t>Let them eat dirt : saving your child from an oversanitized world / B. Brett Finlay, PhD, Marie-Claire Arrieta, PhD.</t>
  </si>
  <si>
    <t>Finlay, B. Brett, 1959- author.</t>
  </si>
  <si>
    <t>Vancouver ; Berkeley : Greystone Books, [2016]</t>
  </si>
  <si>
    <t>2959718162:eng</t>
  </si>
  <si>
    <t>965149584</t>
  </si>
  <si>
    <t>ocn965149584</t>
  </si>
  <si>
    <t>3103670976Z</t>
  </si>
  <si>
    <t>9781771642545</t>
  </si>
  <si>
    <t>795025556</t>
  </si>
  <si>
    <t>QT 255 D587 2005</t>
  </si>
  <si>
    <t>0                      QT 0255000D  587         2005</t>
  </si>
  <si>
    <t>Framework : your 7-step program for healthy muscles, bones, and joints / Nicholas A. DiNubile, with William Patrick.</t>
  </si>
  <si>
    <t>DiNubile, Nicholas A.</t>
  </si>
  <si>
    <t>[Emmaus, Penn.] : Rodale, ©2005.</t>
  </si>
  <si>
    <t>3890074754:eng</t>
  </si>
  <si>
    <t>58604591</t>
  </si>
  <si>
    <t>ocm58604591</t>
  </si>
  <si>
    <t>3103242235T</t>
  </si>
  <si>
    <t>9781594860577</t>
  </si>
  <si>
    <t>793923168</t>
  </si>
  <si>
    <t>QT 255 I97y 2001</t>
  </si>
  <si>
    <t>0                      QT 0255000I  97y         2001</t>
  </si>
  <si>
    <t>Yoga : the path to holistic health / B.K.S. Iyengar.</t>
  </si>
  <si>
    <t>Iyengar, B. K. S., 1918-2014.</t>
  </si>
  <si>
    <t>London ; New York : Dorling Kindersley Pub., 2001.</t>
  </si>
  <si>
    <t>134843503:eng</t>
  </si>
  <si>
    <t>44952250</t>
  </si>
  <si>
    <t>ocm44952250</t>
  </si>
  <si>
    <t>3102125657P</t>
  </si>
  <si>
    <t>9780789471659</t>
  </si>
  <si>
    <t>793661248</t>
  </si>
  <si>
    <t>QT 255 K15y 2012</t>
  </si>
  <si>
    <t>0                      QT 0255000K  15y         2012</t>
  </si>
  <si>
    <t>Yoga anatomy / Leslie Kaminoff, Amy Matthews ; illustrated by Sharon Ellis.</t>
  </si>
  <si>
    <t>Kaminoff, Leslie, 1958-</t>
  </si>
  <si>
    <t>Champaign, IL : Human Kinetics, 2012.</t>
  </si>
  <si>
    <t>103537829:eng</t>
  </si>
  <si>
    <t>764509982</t>
  </si>
  <si>
    <t>ocn764509982</t>
  </si>
  <si>
    <t>3103698796M</t>
  </si>
  <si>
    <t>9781450400244</t>
  </si>
  <si>
    <t>794900495</t>
  </si>
  <si>
    <t>QT 255 L716a 2014</t>
  </si>
  <si>
    <t>0                      QT 0255000L  716a        2014</t>
  </si>
  <si>
    <t>Anatomy of strength &amp; conditioning / Hollis Lance Liebman.</t>
  </si>
  <si>
    <t>Liebman, Hollis Lance, author.</t>
  </si>
  <si>
    <t>Richmond Hill, Ontario : Firefly Books, 2014.</t>
  </si>
  <si>
    <t>1822021060:eng</t>
  </si>
  <si>
    <t>862010177</t>
  </si>
  <si>
    <t>ocn862010177</t>
  </si>
  <si>
    <t>3103567352B</t>
  </si>
  <si>
    <t>9781770853034</t>
  </si>
  <si>
    <t>794959815</t>
  </si>
  <si>
    <t>QT 255 R233s 2008</t>
  </si>
  <si>
    <t>0                      QT 0255000R  233s        2008</t>
  </si>
  <si>
    <t>Spark : the revolutionary new science of exercise and the brain / John J. Ratey, with Eric Hagerman.</t>
  </si>
  <si>
    <t>Ratey, John J., 1948-</t>
  </si>
  <si>
    <t>New York : Little, Brown, 2008.</t>
  </si>
  <si>
    <t>792144532:eng</t>
  </si>
  <si>
    <t>154694455</t>
  </si>
  <si>
    <t>ocn154694455</t>
  </si>
  <si>
    <t>3102647922A</t>
  </si>
  <si>
    <t>9780316113502</t>
  </si>
  <si>
    <t>794252332</t>
  </si>
  <si>
    <t>QT 255 T549f 2005</t>
  </si>
  <si>
    <t>0                      QT 0255000T  549f        2005</t>
  </si>
  <si>
    <t>Fit to be well : essential concepts / Alton L. Thygerson.</t>
  </si>
  <si>
    <t>Thygerson, Alton L.</t>
  </si>
  <si>
    <t>Sudbury, Mass. : Jones and Bartlett, ©2005.</t>
  </si>
  <si>
    <t>17229668:eng</t>
  </si>
  <si>
    <t>56615670</t>
  </si>
  <si>
    <t>ocm56615670</t>
  </si>
  <si>
    <t>3102421174X</t>
  </si>
  <si>
    <t>9780763724504</t>
  </si>
  <si>
    <t>793897136</t>
  </si>
  <si>
    <t>QT 260 R9 M596d 2015</t>
  </si>
  <si>
    <t>0                      QT 0260000R  9                  M  596d        2015</t>
  </si>
  <si>
    <t>Dr. Jordan Metzl's running strong : the sports doctor's complete guide to staying healthy and injury-free for life / Jordan D. Metzl, MD ; with Claire Kowalchik.</t>
  </si>
  <si>
    <t>Metzl, Jordan D., 1966-</t>
  </si>
  <si>
    <t>[Emmaus, Pennsylvania] : Rodale, 2015.</t>
  </si>
  <si>
    <t>2484612567:eng</t>
  </si>
  <si>
    <t>881092971</t>
  </si>
  <si>
    <t>ocn881092971</t>
  </si>
  <si>
    <t>3103609719F</t>
  </si>
  <si>
    <t>9781623364595</t>
  </si>
  <si>
    <t>794973781</t>
  </si>
  <si>
    <t>QT260.5 W2 R896b 2015</t>
  </si>
  <si>
    <t>0                      QT 0260500W  2                  R  896b        2015</t>
  </si>
  <si>
    <t>Born to walk : the transformative power of a pedestrian act / Dan Rubinstein ; foreword by Kevin Patterson.</t>
  </si>
  <si>
    <t>Rubinstein, Dan, 1973- author.</t>
  </si>
  <si>
    <t>Toronto, Ontario : ECW Press, [2015]</t>
  </si>
  <si>
    <t>2238766738:eng</t>
  </si>
  <si>
    <t>897352600</t>
  </si>
  <si>
    <t>ocn897352600</t>
  </si>
  <si>
    <t>3103670733O</t>
  </si>
  <si>
    <t>9781770411890</t>
  </si>
  <si>
    <t>794985042</t>
  </si>
  <si>
    <t>QT 260.5 Y7 C321r 2016</t>
  </si>
  <si>
    <t>0                      QT 0260500Y  7                  C  321r        2016</t>
  </si>
  <si>
    <t>Relax into yoga for seniors : a six-week program for strength, balance, flexibility, and pain relief / Kimberly Carson, MPH, E-RYT ; Carol Krucoff, E-RYT ; [foreword by Mitchell W. Krucoff, MD ; afterword by Jim Carson, PhD.].</t>
  </si>
  <si>
    <t>Carson, Kimberly, author.</t>
  </si>
  <si>
    <t>Oakland, CA : New Harbinger Publications, Inc., [2016]</t>
  </si>
  <si>
    <t>2758877811:eng</t>
  </si>
  <si>
    <t>923795441</t>
  </si>
  <si>
    <t>ocn923795441</t>
  </si>
  <si>
    <t>3103670763F</t>
  </si>
  <si>
    <t>9781626253643</t>
  </si>
  <si>
    <t>795004662</t>
  </si>
  <si>
    <t>QT 260.5 Y7 C973y 2017</t>
  </si>
  <si>
    <t>0                      QT 0260500Y  7                  C  973y        2017</t>
  </si>
  <si>
    <t>Yoga for athletes / Ryanne Cunningham.</t>
  </si>
  <si>
    <t>Cunningham, Ryanne, author.</t>
  </si>
  <si>
    <t>Champaign, IL : Human Kinetics, [2017]</t>
  </si>
  <si>
    <t>3469876536:eng</t>
  </si>
  <si>
    <t>953525325</t>
  </si>
  <si>
    <t>ocn953525325</t>
  </si>
  <si>
    <t>3103670762H</t>
  </si>
  <si>
    <t>9781492522614</t>
  </si>
  <si>
    <t>795018797</t>
  </si>
  <si>
    <t>QT 260.5 Y7 G936c 2017</t>
  </si>
  <si>
    <t>0                      QT 0260500Y  7                  G  936c        2017</t>
  </si>
  <si>
    <t>Curvy yoga : love yourself &amp; your body a little more each day / Anna Guest-Jelley.</t>
  </si>
  <si>
    <t>Guest-Jelley, Anna, author.</t>
  </si>
  <si>
    <t>New York : Sterling, [2017]</t>
  </si>
  <si>
    <t>2901940382:eng</t>
  </si>
  <si>
    <t>936351012</t>
  </si>
  <si>
    <t>ocn936351012</t>
  </si>
  <si>
    <t>31036986189</t>
  </si>
  <si>
    <t>9781454920663</t>
  </si>
  <si>
    <t>795010723</t>
  </si>
  <si>
    <t>QT 265 S464c 2015</t>
  </si>
  <si>
    <t>0                      QT 0265000S  464c        2015</t>
  </si>
  <si>
    <t>Chilling out : the psychology of relaxation / Christine L.B. Selby.</t>
  </si>
  <si>
    <t>Selby, Christine L. B., author.</t>
  </si>
  <si>
    <t>Santa Barbara, California : Greenwood, an Imprint of ABC-CLIO, LLC, [2015]</t>
  </si>
  <si>
    <t>The psychology of everyday life</t>
  </si>
  <si>
    <t>2574377162:eng</t>
  </si>
  <si>
    <t>900016651</t>
  </si>
  <si>
    <t>ocn900016651</t>
  </si>
  <si>
    <t>31036537658</t>
  </si>
  <si>
    <t>9781610697699</t>
  </si>
  <si>
    <t>794987080</t>
  </si>
  <si>
    <t xml:space="preserve">QU </t>
  </si>
  <si>
    <t>v.1 (1962)</t>
  </si>
  <si>
    <t>QU 4 H4 1947</t>
  </si>
  <si>
    <t>0                      QU 0004000H  4           1947</t>
  </si>
  <si>
    <t>Practical physiological chemistry / by Philip B. Hawk, Bernard L. Oser, and William H. Summerson.</t>
  </si>
  <si>
    <t>Hawk, Philip B. (Philip Bovier), 1874-1966, author.</t>
  </si>
  <si>
    <t>Philadelphia ; Toronto : Blakiston Company, [1947]</t>
  </si>
  <si>
    <t>4916929830:eng</t>
  </si>
  <si>
    <t>616125</t>
  </si>
  <si>
    <t>ocm00616125</t>
  </si>
  <si>
    <t>3000252893T</t>
  </si>
  <si>
    <t>791429147</t>
  </si>
  <si>
    <t>QU 4 L524.2 1975</t>
  </si>
  <si>
    <t>0                      QU 0004000L  524                                                     .2 1975</t>
  </si>
  <si>
    <t>Biochemistry : the molecular basis of cell structure and function / Albert L. Lehninger.</t>
  </si>
  <si>
    <t>New York : Worth Publishers, 1975.</t>
  </si>
  <si>
    <t>1318048:eng</t>
  </si>
  <si>
    <t>1576119</t>
  </si>
  <si>
    <t>ocm01576119</t>
  </si>
  <si>
    <t>3101567193O</t>
  </si>
  <si>
    <t>9780879010478</t>
  </si>
  <si>
    <t>791754841</t>
  </si>
  <si>
    <t>30001135276</t>
  </si>
  <si>
    <t>791754840</t>
  </si>
  <si>
    <t>QU 13 K89a 2016</t>
  </si>
  <si>
    <t>0                      QU 0013000K  89a         2016</t>
  </si>
  <si>
    <t>The A-Z guide to food as medicine / Diane Kraft, Ara DerMarderosian.</t>
  </si>
  <si>
    <t>Kraft, Diane, 1963-</t>
  </si>
  <si>
    <t>Boca Raton : CRC Press, Taylor &amp; Francis Group, [2016]</t>
  </si>
  <si>
    <t>2863388377:eng</t>
  </si>
  <si>
    <t>912377294</t>
  </si>
  <si>
    <t>ocn912377294</t>
  </si>
  <si>
    <t>3103670619M</t>
  </si>
  <si>
    <t>9781498735230</t>
  </si>
  <si>
    <t>794998851</t>
  </si>
  <si>
    <t>QU 39 M938s 2014</t>
  </si>
  <si>
    <t>0                      QU 0039000M  938s        2014</t>
  </si>
  <si>
    <t>The supplement handbook : a trusted expert's guide to what works &amp; what's worthless for more than 100 conditions / Mark Moyad, MD, MPH, Jenkins/Pokempner Director of Complementary and Alternative Medicine at the University of Michigan Medical Center ; with Janet Lee, LAc.</t>
  </si>
  <si>
    <t>Moyad, Mark A., 1965- author.</t>
  </si>
  <si>
    <t>Emmaus, Pennsylvania : Rodale, [2014]</t>
  </si>
  <si>
    <t>2076639394:eng</t>
  </si>
  <si>
    <t>890799188</t>
  </si>
  <si>
    <t>ocn890799188</t>
  </si>
  <si>
    <t>3103582700J</t>
  </si>
  <si>
    <t>9781623360351</t>
  </si>
  <si>
    <t>794979619</t>
  </si>
  <si>
    <t>QU 55 M968</t>
  </si>
  <si>
    <t>0                      QU 0055000M  968</t>
  </si>
  <si>
    <t>Mammalian protein metabolism. Ed. by H.N. Munro and J.B. Allison.</t>
  </si>
  <si>
    <t>v.2 (1964)</t>
  </si>
  <si>
    <t>Munro, Hamish N. (Hamish Nisbet)</t>
  </si>
  <si>
    <t>New York, Academic Press, 1964-</t>
  </si>
  <si>
    <t>9093869416:eng</t>
  </si>
  <si>
    <t>224849</t>
  </si>
  <si>
    <t>ocm00224849</t>
  </si>
  <si>
    <t>3100287905W</t>
  </si>
  <si>
    <t>9780125106047</t>
  </si>
  <si>
    <t>791299531</t>
  </si>
  <si>
    <t>v.3 (1969)</t>
  </si>
  <si>
    <t>3100287906U</t>
  </si>
  <si>
    <t>791299530</t>
  </si>
  <si>
    <t>v.4 (1970)</t>
  </si>
  <si>
    <t>3100287907S</t>
  </si>
  <si>
    <t>791299529</t>
  </si>
  <si>
    <t>v.1 (1964)</t>
  </si>
  <si>
    <t>3000113773S</t>
  </si>
  <si>
    <t>791299532</t>
  </si>
  <si>
    <t>QU 58.5 H468d 2017</t>
  </si>
  <si>
    <t>0                      QU 0058500H  468d        2017</t>
  </si>
  <si>
    <t>DNA is not destiny : the remarkable, completely misunderstood relationship between you and your genes / Steven J. Heine.</t>
  </si>
  <si>
    <t>Heine, Steven J., author.</t>
  </si>
  <si>
    <t>New York : W.W . Norton &amp; Company, [2017]</t>
  </si>
  <si>
    <t>4146892217:eng</t>
  </si>
  <si>
    <t>951070198</t>
  </si>
  <si>
    <t>ocn951070198</t>
  </si>
  <si>
    <t>3103671020J</t>
  </si>
  <si>
    <t>9780393244083</t>
  </si>
  <si>
    <t>795017072</t>
  </si>
  <si>
    <t>QU 75 M592</t>
  </si>
  <si>
    <t>0                      QU 0075000M  592</t>
  </si>
  <si>
    <t>Methods in carbohydrate chemistry / editors: Roy L. Whistler [and] M.L. Wolfrom. Assistant editors: James N. BeMiller [and] F. Shafizadeh.</t>
  </si>
  <si>
    <t>v.3 (1963)</t>
  </si>
  <si>
    <t>Whistler, Roy Lester.</t>
  </si>
  <si>
    <t>New York, Academic Press, 1962-1994.</t>
  </si>
  <si>
    <t>4663489626:eng</t>
  </si>
  <si>
    <t>544461</t>
  </si>
  <si>
    <t>ocm00544461</t>
  </si>
  <si>
    <t>3100287975B</t>
  </si>
  <si>
    <t>9780127462066</t>
  </si>
  <si>
    <t>791409575</t>
  </si>
  <si>
    <t>v.5 (1965)</t>
  </si>
  <si>
    <t>31002879777</t>
  </si>
  <si>
    <t>791409573</t>
  </si>
  <si>
    <t>2014-08-16</t>
  </si>
  <si>
    <t>3000266277P</t>
  </si>
  <si>
    <t>791409577</t>
  </si>
  <si>
    <t>v.7 (1976)</t>
  </si>
  <si>
    <t>3101508361N</t>
  </si>
  <si>
    <t>791409572</t>
  </si>
  <si>
    <t>v.4 (1964)</t>
  </si>
  <si>
    <t>31002879769</t>
  </si>
  <si>
    <t>791409574</t>
  </si>
  <si>
    <t>v.2 (1963)</t>
  </si>
  <si>
    <t>3100287974D</t>
  </si>
  <si>
    <t>791409576</t>
  </si>
  <si>
    <t>QU 135 F293m 1969</t>
  </si>
  <si>
    <t>0                      QU 0135000F  293m        1969</t>
  </si>
  <si>
    <t>Metabolic regulation and enzyme action. Edited by A. Sols [and] S. Grisolía.</t>
  </si>
  <si>
    <t>London, New York, Academic Press, 1970.</t>
  </si>
  <si>
    <t>Federation of European Biochemical Societies. [Proceedings of the] sixth meeting, [v. 1]</t>
  </si>
  <si>
    <t>573110139:eng</t>
  </si>
  <si>
    <t>93304</t>
  </si>
  <si>
    <t>ocm00093304</t>
  </si>
  <si>
    <t>30000930882</t>
  </si>
  <si>
    <t>9780126545500</t>
  </si>
  <si>
    <t>791253536</t>
  </si>
  <si>
    <t>QU 145 B233p 2004</t>
  </si>
  <si>
    <t>0                      QU 0145000B  233p        2004</t>
  </si>
  <si>
    <t>Politically incorrect nutrition : finding reality in the mire of food industry propaganda / by Michael Barbee.</t>
  </si>
  <si>
    <t>Barbee, Michael.</t>
  </si>
  <si>
    <t>Ridgefield, CT : Vital Health Pub., ©2004.</t>
  </si>
  <si>
    <t>295156979:eng</t>
  </si>
  <si>
    <t>55803425</t>
  </si>
  <si>
    <t>ocm55803425</t>
  </si>
  <si>
    <t>31025477968</t>
  </si>
  <si>
    <t>9781890612344</t>
  </si>
  <si>
    <t>793882844</t>
  </si>
  <si>
    <t>QU 145 B393c 2010</t>
  </si>
  <si>
    <t>0                      QU 0145000B  393c        2010</t>
  </si>
  <si>
    <t>The complete A-Z nutrition encyclopedia : a guide to natural health / Leslie Beck ; associate researcher, Anne Von Rosenbach.</t>
  </si>
  <si>
    <t>Beck, Leslie (Leslie C.)</t>
  </si>
  <si>
    <t>Toronto : Penguin Canada, 2010.</t>
  </si>
  <si>
    <t>2014-09-17</t>
  </si>
  <si>
    <t>2452661878:eng</t>
  </si>
  <si>
    <t>436336610</t>
  </si>
  <si>
    <t>ocn436336610</t>
  </si>
  <si>
    <t>3103072220S</t>
  </si>
  <si>
    <t>9780143169437</t>
  </si>
  <si>
    <t>794784661</t>
  </si>
  <si>
    <t>QU 145 B411r 2017</t>
  </si>
  <si>
    <t>0                      QU 0145000B  411r        2017</t>
  </si>
  <si>
    <t>Read this before you diet : the science of weight loss explained / Kirsten Bédard ; illustrations by Bjoern Arthurs.</t>
  </si>
  <si>
    <t>Bédard, Kirsten, author.</t>
  </si>
  <si>
    <t>Toronto, Ontario : Cormorant Books, [2017]</t>
  </si>
  <si>
    <t>3954321926:eng</t>
  </si>
  <si>
    <t>963394067</t>
  </si>
  <si>
    <t>ocn963394067</t>
  </si>
  <si>
    <t>3103729272C</t>
  </si>
  <si>
    <t>9781770864962</t>
  </si>
  <si>
    <t>795024883</t>
  </si>
  <si>
    <t>QU 145 D988a 2006</t>
  </si>
  <si>
    <t>0                      QU 0145000D  988a        2006</t>
  </si>
  <si>
    <t>American Dietetic Association complete food and nutrition guide / Roberta Larson Duyff.</t>
  </si>
  <si>
    <t>Duyff, Roberta Larson.</t>
  </si>
  <si>
    <t>Hoboken, N.J. : John Wiley &amp; Sons, ©2006.</t>
  </si>
  <si>
    <t>3rd ed., rev. and updated.</t>
  </si>
  <si>
    <t>2019-08-31</t>
  </si>
  <si>
    <t>3769741484:eng</t>
  </si>
  <si>
    <t>64208392</t>
  </si>
  <si>
    <t>ocm64208392</t>
  </si>
  <si>
    <t>3103052917J</t>
  </si>
  <si>
    <t>9780470041154</t>
  </si>
  <si>
    <t>794125793</t>
  </si>
  <si>
    <t>QU 145 F6895 2004</t>
  </si>
  <si>
    <t>0                      QU 0145000F  6895        2004</t>
  </si>
  <si>
    <t>Foods that harm, foods that heal : an A-Z guide to safe and healthy eating / Reader's Digest ; chief consultants, Joe Schwarcz and Fran Berkoff.</t>
  </si>
  <si>
    <t>Pleasantville, N.Y. : Reader's Digest Association, ©2004.</t>
  </si>
  <si>
    <t>4757763361:eng</t>
  </si>
  <si>
    <t>54022434</t>
  </si>
  <si>
    <t>ocm54022434</t>
  </si>
  <si>
    <t>3102637077W</t>
  </si>
  <si>
    <t>9780762105052</t>
  </si>
  <si>
    <t>793855572</t>
  </si>
  <si>
    <t>QU 145 H14s 2006</t>
  </si>
  <si>
    <t>0                      QU 0145000H  14s         2006</t>
  </si>
  <si>
    <t>Staying healthy with nutrition : the complete guide to diet and nutritional medicine / Elson M. Haas with Buck Levin.</t>
  </si>
  <si>
    <t>Haas, Elson M., 1947-</t>
  </si>
  <si>
    <t>Berkeley : Celestial Arts, ©2006.</t>
  </si>
  <si>
    <t>21st-century ed.</t>
  </si>
  <si>
    <t>2017-01-15</t>
  </si>
  <si>
    <t>975002542:eng</t>
  </si>
  <si>
    <t>62755545</t>
  </si>
  <si>
    <t>ocm62755545</t>
  </si>
  <si>
    <t>3102632973P</t>
  </si>
  <si>
    <t>9781587611797</t>
  </si>
  <si>
    <t>794112027</t>
  </si>
  <si>
    <t>QU 145 M122e 1946</t>
  </si>
  <si>
    <t>0                      QU 0145000M  122e        1946</t>
  </si>
  <si>
    <t>An experimental study of rationing / by R.A. McCance and E.M. Widdowson ...</t>
  </si>
  <si>
    <t>McCance, R. A. (Robert Alexander), 1898-1993.</t>
  </si>
  <si>
    <t>London, H.M. Stationery Off., 1946.</t>
  </si>
  <si>
    <t>Medical Research Council (Great Britain). Special report series, no. 254</t>
  </si>
  <si>
    <t>8784769:eng</t>
  </si>
  <si>
    <t>14728001</t>
  </si>
  <si>
    <t>ocm14728001</t>
  </si>
  <si>
    <t>3000095529P</t>
  </si>
  <si>
    <t>792900920</t>
  </si>
  <si>
    <t>QU 145 O75f 1937</t>
  </si>
  <si>
    <t>0                      QU 0145000O  75f         1937</t>
  </si>
  <si>
    <t>Food, health and income; a report on a survey of adequacy of diet in relation to income.</t>
  </si>
  <si>
    <t>Boyd-Orr, John Boyd Orr, Baron, 1880-1971.</t>
  </si>
  <si>
    <t>London, Macmillan, 1937.</t>
  </si>
  <si>
    <t>19599568:eng</t>
  </si>
  <si>
    <t>14754139</t>
  </si>
  <si>
    <t>ocm14754139</t>
  </si>
  <si>
    <t>31001632770</t>
  </si>
  <si>
    <t>792902666</t>
  </si>
  <si>
    <t>QU 145 P526 1975</t>
  </si>
  <si>
    <t>0                      QU 0145000P  526         1975</t>
  </si>
  <si>
    <t>Mental and elemental nutrients : a physician's guide to nutrition and health care / Carl C. Pfeiffer and the Publications Committee of the Brain Bio Center.</t>
  </si>
  <si>
    <t>Pfeiffer, Carl Curt.</t>
  </si>
  <si>
    <t>New Canaan, Conn. : Keats Pub., ©1975.</t>
  </si>
  <si>
    <t>Brain bio book</t>
  </si>
  <si>
    <t>540479:eng</t>
  </si>
  <si>
    <t>2123144</t>
  </si>
  <si>
    <t>ocm02123144</t>
  </si>
  <si>
    <t>3000114590V</t>
  </si>
  <si>
    <t>9780879831141</t>
  </si>
  <si>
    <t>792051441</t>
  </si>
  <si>
    <t>QU 145 P7714d 2008</t>
  </si>
  <si>
    <t>0                      QU 0145000P  7714d       2008</t>
  </si>
  <si>
    <t>In defense of food : an eater's manifesto / Michael Pollan.</t>
  </si>
  <si>
    <t>Pollan, Michael, author.</t>
  </si>
  <si>
    <t>New York : Penguin Press, 2008.</t>
  </si>
  <si>
    <t>114134709:eng</t>
  </si>
  <si>
    <t>173243755</t>
  </si>
  <si>
    <t>ocn173243755</t>
  </si>
  <si>
    <t>31026484869</t>
  </si>
  <si>
    <t>9781594201455</t>
  </si>
  <si>
    <t>794265853</t>
  </si>
  <si>
    <t>QU 145 R321 2017</t>
  </si>
  <si>
    <t>0                      QU 0145000R  321         2017</t>
  </si>
  <si>
    <t>The reducetarian solution : how the surprisingly simple act of reducing the amount of meat in your diet can transform your health and the planet / edited by Brian Kateman ; foreword by Mark Bittman ; recipes by Pat Crocker.</t>
  </si>
  <si>
    <t>New York, New York : TarcherPerigee, an imprint of Penguin Random House LLC, [2017]</t>
  </si>
  <si>
    <t>3258328433:eng</t>
  </si>
  <si>
    <t>952384504</t>
  </si>
  <si>
    <t>ocn952384504</t>
  </si>
  <si>
    <t>31036709718</t>
  </si>
  <si>
    <t>9780143129714</t>
  </si>
  <si>
    <t>795018210</t>
  </si>
  <si>
    <t>QU 145 W422 2000</t>
  </si>
  <si>
    <t>0                      QU 0145000W  422         2000</t>
  </si>
  <si>
    <t>Eating well for optimum health : the essential guide to food, diet, and nutrition / Andrew Weil.</t>
  </si>
  <si>
    <t>Weil, Andrew.</t>
  </si>
  <si>
    <t>New York : Knopf, 2000.</t>
  </si>
  <si>
    <t>19868418:eng</t>
  </si>
  <si>
    <t>42708044</t>
  </si>
  <si>
    <t>ocm42708044</t>
  </si>
  <si>
    <t>3102081409Z</t>
  </si>
  <si>
    <t>9780375407543</t>
  </si>
  <si>
    <t>793612290</t>
  </si>
  <si>
    <t>QU 145 W713e 2001</t>
  </si>
  <si>
    <t>0                      QU 0145000W  713e        2001</t>
  </si>
  <si>
    <t>Eat, drink, and be healthy : the Harvard Medical School guide to healthy eating / Walter C. Willett with P.J. Skerrett ; contributions by Edward L. Giovannucci ; recipes by Maureen Callahan.</t>
  </si>
  <si>
    <t>Willett, Walter.</t>
  </si>
  <si>
    <t>New York : Simon &amp; Schuster Source, 2001.</t>
  </si>
  <si>
    <t>792269020:eng</t>
  </si>
  <si>
    <t>46364683</t>
  </si>
  <si>
    <t>ocm46364683</t>
  </si>
  <si>
    <t>3103559791P</t>
  </si>
  <si>
    <t>9780684863375</t>
  </si>
  <si>
    <t>793683345</t>
  </si>
  <si>
    <t>QU 300 A334e 2014</t>
  </si>
  <si>
    <t>0                      QU 0300000A  334e        2014</t>
  </si>
  <si>
    <t>Essential cell biology / Bruce Alberts [and seven others].</t>
  </si>
  <si>
    <t>Alberts, Bruce.</t>
  </si>
  <si>
    <t>New York, NY : Garland Science, [2014].</t>
  </si>
  <si>
    <t>724340885:eng</t>
  </si>
  <si>
    <t>852218989</t>
  </si>
  <si>
    <t>ocn852218989</t>
  </si>
  <si>
    <t>3103586324B</t>
  </si>
  <si>
    <t>9780815344544</t>
  </si>
  <si>
    <t>794951190</t>
  </si>
  <si>
    <t>3103586325B</t>
  </si>
  <si>
    <t>794951189</t>
  </si>
  <si>
    <t>QU 470 S894h 2011</t>
  </si>
  <si>
    <t>0                      QU 0470000S  894h        2011</t>
  </si>
  <si>
    <t>Human molecular genetics / Tom Strachan and Andrew Read.</t>
  </si>
  <si>
    <t>Strachan, T.</t>
  </si>
  <si>
    <t>New York : Garland Science, ©2011.</t>
  </si>
  <si>
    <t>9251988:eng</t>
  </si>
  <si>
    <t>477270509</t>
  </si>
  <si>
    <t>ocn477270509</t>
  </si>
  <si>
    <t>31032687905</t>
  </si>
  <si>
    <t>9780815341499</t>
  </si>
  <si>
    <t>794798940</t>
  </si>
  <si>
    <t>QU 475 M953g 2017</t>
  </si>
  <si>
    <t>0                      QU 0475000M  953g        2017</t>
  </si>
  <si>
    <t>The gene : an intimate history / Siddhartha Mukherjee.</t>
  </si>
  <si>
    <t>Mukherjee, Siddhartha, author.</t>
  </si>
  <si>
    <t>New York : Scribner, 2017.</t>
  </si>
  <si>
    <t>First Scribner trade paperback edition.</t>
  </si>
  <si>
    <t>2860511035:eng</t>
  </si>
  <si>
    <t>953598434</t>
  </si>
  <si>
    <t>ocn953598434</t>
  </si>
  <si>
    <t>3103704224N</t>
  </si>
  <si>
    <t>9781476733524</t>
  </si>
  <si>
    <t>795018908</t>
  </si>
  <si>
    <t>QV 4 B763 2019</t>
  </si>
  <si>
    <t>0                      QV 0004000B  763         2019</t>
  </si>
  <si>
    <t>Brody's human pharmacology : mechanism-based therapeutics / [edited by] Lynn Wecker with David A. Taylor, Robert J. Theobald, Jr.</t>
  </si>
  <si>
    <t>Philadelphia, PA : Elsevier, [2019]</t>
  </si>
  <si>
    <t xml:space="preserve">QV </t>
  </si>
  <si>
    <t>5437702534:eng</t>
  </si>
  <si>
    <t>1021066375</t>
  </si>
  <si>
    <t>on1021066375</t>
  </si>
  <si>
    <t>3103768342Z</t>
  </si>
  <si>
    <t>9780323476522</t>
  </si>
  <si>
    <t>795050616</t>
  </si>
  <si>
    <t>3103768382N</t>
  </si>
  <si>
    <t>795050617</t>
  </si>
  <si>
    <t>3103768347P</t>
  </si>
  <si>
    <t>795050615</t>
  </si>
  <si>
    <t>3103768352W</t>
  </si>
  <si>
    <t>795050618</t>
  </si>
  <si>
    <t>3103768377G</t>
  </si>
  <si>
    <t>795050619</t>
  </si>
  <si>
    <t>QV 4 B947 2018</t>
  </si>
  <si>
    <t>0                      QV 0004000B  947         2018</t>
  </si>
  <si>
    <t>Lehne's pharmacology for nursing care / Jacqueline Rosenjack Burchum, Laura D. Rosenthal.</t>
  </si>
  <si>
    <t>Burchum, Jacqueline Rosenjack, author.</t>
  </si>
  <si>
    <t>St. Louis, Missouri : Elsevier/Saunders, [2018]</t>
  </si>
  <si>
    <t>10th edition.</t>
  </si>
  <si>
    <t>3813573340:eng</t>
  </si>
  <si>
    <t>1035014974</t>
  </si>
  <si>
    <t>on1035014974</t>
  </si>
  <si>
    <t>31038986062</t>
  </si>
  <si>
    <t>9780323512275</t>
  </si>
  <si>
    <t>795057300</t>
  </si>
  <si>
    <t>31038543477</t>
  </si>
  <si>
    <t>795057301</t>
  </si>
  <si>
    <t>QV 4 G653.3</t>
  </si>
  <si>
    <t>0                      QV 0004000G  653                                                     .3</t>
  </si>
  <si>
    <t>The Pharmacological basis of therapeutics; a textbook of pharmacology, toxicology, and therapeutics for physicians and medical students. Edited by Louis S. Goodman &amp; Alfred Gilman.</t>
  </si>
  <si>
    <t>4535624371:eng</t>
  </si>
  <si>
    <t>416656</t>
  </si>
  <si>
    <t>ocm00416656</t>
  </si>
  <si>
    <t>3101357701E</t>
  </si>
  <si>
    <t>791372398</t>
  </si>
  <si>
    <t>QV 4 G653p 1955</t>
  </si>
  <si>
    <t>0                      QV 0004000G  653p        1955</t>
  </si>
  <si>
    <t>The pharmacological basis of therapeutics; a textbook of pharmacology, toxicology and therapeutics for physicians and medical students, by Louis S. Goodman and Alfred Gilman.</t>
  </si>
  <si>
    <t>Goodman, Louis S. (Louis Sanford), 1906-2000.</t>
  </si>
  <si>
    <t>New York, Macmillan, 1955.</t>
  </si>
  <si>
    <t>1261572</t>
  </si>
  <si>
    <t>ocm01261572</t>
  </si>
  <si>
    <t>3000266304B</t>
  </si>
  <si>
    <t>791586836</t>
  </si>
  <si>
    <t>QV 4 I61 sec.51</t>
  </si>
  <si>
    <t>0                      QV 0004000I  61                                                      sec.51</t>
  </si>
  <si>
    <t>Pharmacology of the endocrine system and related drugs: parathyroid hormone, thyrocalcitonin, and related drugs. Contributors: C.D. Arnaud [and others.</t>
  </si>
  <si>
    <t>Oxford, New York, Pergamon Press [1970]-</t>
  </si>
  <si>
    <t>International encyclopedia of pharmacology and therapeutics, section 51, v. 1</t>
  </si>
  <si>
    <t>1405722:eng</t>
  </si>
  <si>
    <t>247527</t>
  </si>
  <si>
    <t>ocm00247527</t>
  </si>
  <si>
    <t>3000110609J</t>
  </si>
  <si>
    <t>9780080065847</t>
  </si>
  <si>
    <t>791308237</t>
  </si>
  <si>
    <t>QV 4 R667.3</t>
  </si>
  <si>
    <t>0                      QV 0004000R  667                                                     .3</t>
  </si>
  <si>
    <t>Recent advances in pharmacology, by J.M. Robson and R.S. Stacey.</t>
  </si>
  <si>
    <t>Robson, J. M. (John Michael)</t>
  </si>
  <si>
    <t>London, Churchill, 1962.</t>
  </si>
  <si>
    <t>1125364:eng</t>
  </si>
  <si>
    <t>14601513</t>
  </si>
  <si>
    <t>ocm14601513</t>
  </si>
  <si>
    <t>3000129488S</t>
  </si>
  <si>
    <t>792895253</t>
  </si>
  <si>
    <t>- Reserves (ASK AT THE SERVICE DESK) - 2 Day Loan</t>
  </si>
  <si>
    <t>QV 18.2 B265L 2018</t>
  </si>
  <si>
    <t>0                      QV 0018200B  265L        2018</t>
  </si>
  <si>
    <t>Lange pharmacology flashcards / Suzanne J. Baron ; Christoph I. Lee.</t>
  </si>
  <si>
    <t>Baron, Suzanne J., author.</t>
  </si>
  <si>
    <t>New York, N.Y. McGraw Hill Medical, [2018]</t>
  </si>
  <si>
    <t>1147699870:eng</t>
  </si>
  <si>
    <t>1011688604</t>
  </si>
  <si>
    <t>on1011688604</t>
  </si>
  <si>
    <t>3103760396F</t>
  </si>
  <si>
    <t>9781259837241</t>
  </si>
  <si>
    <t>795045721</t>
  </si>
  <si>
    <t>QV 34 W827</t>
  </si>
  <si>
    <t>0                      QV 0034000W  827</t>
  </si>
  <si>
    <t>A spider's web; problems in regulatory biology [by] Peter N. Witt, Charles F. Reed [and] David B. Peakall.</t>
  </si>
  <si>
    <t>Witt, Peter Nikolaus.</t>
  </si>
  <si>
    <t>Berlin, New York, Springer, 1968.</t>
  </si>
  <si>
    <t>365525154:eng</t>
  </si>
  <si>
    <t>752147</t>
  </si>
  <si>
    <t>ocm00752147</t>
  </si>
  <si>
    <t>3000110680D</t>
  </si>
  <si>
    <t>791461761</t>
  </si>
  <si>
    <t>QV 38 L665 1973</t>
  </si>
  <si>
    <t>0                      QV 0038000L  665         1973</t>
  </si>
  <si>
    <t>Pharmacology: drug actions and reactions [by] Ruth R. Levine. Foreword by Byron B. Clark.</t>
  </si>
  <si>
    <t>Levine, Ruth R.</t>
  </si>
  <si>
    <t>Boston, Little, Brown [1973]</t>
  </si>
  <si>
    <t>1652529:eng</t>
  </si>
  <si>
    <t>662039</t>
  </si>
  <si>
    <t>ocm00662039</t>
  </si>
  <si>
    <t>3100859085A</t>
  </si>
  <si>
    <t>9780031652225</t>
  </si>
  <si>
    <t>791440440</t>
  </si>
  <si>
    <t>QV 39 W676s 2016</t>
  </si>
  <si>
    <t>0                      QV 0039000W  676s        2016</t>
  </si>
  <si>
    <t>Straight talk about psychiatric medications for kids / Timothy E. Wilens, MD, Paul G. Hammerness, MD.</t>
  </si>
  <si>
    <t>Wilens, Timothy E., author.</t>
  </si>
  <si>
    <t>New York : The Guilford Press, [2016]</t>
  </si>
  <si>
    <t>487140:eng</t>
  </si>
  <si>
    <t>921167856</t>
  </si>
  <si>
    <t>ocn921167856</t>
  </si>
  <si>
    <t>3103698505M</t>
  </si>
  <si>
    <t>9781462519859</t>
  </si>
  <si>
    <t>795003011</t>
  </si>
  <si>
    <t>QV 55 S587 1974</t>
  </si>
  <si>
    <t>0                      QV 0055000S  587         1974</t>
  </si>
  <si>
    <t>Pills, profits, and politics [by] Milton Silverman and Philip R. Lee.</t>
  </si>
  <si>
    <t>Silverman, Milton, 1910-</t>
  </si>
  <si>
    <t>[Berkeley] [University of California Press], [1974]</t>
  </si>
  <si>
    <t>500878:eng</t>
  </si>
  <si>
    <t>1112482</t>
  </si>
  <si>
    <t>ocm01112482</t>
  </si>
  <si>
    <t>3000110768$</t>
  </si>
  <si>
    <t>9780520026162</t>
  </si>
  <si>
    <t>791549106</t>
  </si>
  <si>
    <t>QV 77 W422f 2004</t>
  </si>
  <si>
    <t>0                      QV 0077000W  422f        2004</t>
  </si>
  <si>
    <t>From chocolate to morphine : everything you need to know about mind-altering drugs / Andrew Weil and Winifred Rosen.</t>
  </si>
  <si>
    <t>Boston : Houghton Mifflin Co., ©2004.</t>
  </si>
  <si>
    <t>793983657:eng</t>
  </si>
  <si>
    <t>56140349</t>
  </si>
  <si>
    <t>ocm56140349</t>
  </si>
  <si>
    <t>3102500454$</t>
  </si>
  <si>
    <t>9780618483792</t>
  </si>
  <si>
    <t>793888633</t>
  </si>
  <si>
    <t>QV 77.5 D993a 2006</t>
  </si>
  <si>
    <t>0                      QV 0077500D  993a        2006</t>
  </si>
  <si>
    <t>Artificial happiness : the dark side of the new happy class / Ronald W. Dworkin.</t>
  </si>
  <si>
    <t>Dworkin, Ronald William.</t>
  </si>
  <si>
    <t>New York : Carroll &amp; Graf, ©2006.</t>
  </si>
  <si>
    <t>198183261:eng</t>
  </si>
  <si>
    <t>68111252</t>
  </si>
  <si>
    <t>ocm68111252</t>
  </si>
  <si>
    <t>31025849572</t>
  </si>
  <si>
    <t>9780786717149</t>
  </si>
  <si>
    <t>794142300</t>
  </si>
  <si>
    <t>QV 77.5 K89o 2016</t>
  </si>
  <si>
    <t>0                      QV 0077500K  89o         2016</t>
  </si>
  <si>
    <t>Ordinarily well : the case for antidepressants / Peter D. Kramer.</t>
  </si>
  <si>
    <t>Kramer, Peter D., author.</t>
  </si>
  <si>
    <t>New York : Farrar, Straus and Giroux, 2016.</t>
  </si>
  <si>
    <t>4163998959:eng</t>
  </si>
  <si>
    <t>918995058</t>
  </si>
  <si>
    <t>ocn918995058</t>
  </si>
  <si>
    <t>3103698617B</t>
  </si>
  <si>
    <t>9780374280673</t>
  </si>
  <si>
    <t>795001362</t>
  </si>
  <si>
    <t>QV 77.5 S532c 2012</t>
  </si>
  <si>
    <t>0                      QV 0077500S  532c        2012</t>
  </si>
  <si>
    <t>Coming of age on Zoloft : how antidepressants cheered us up, let us down, and changed who we are / Katherine Sharpe.</t>
  </si>
  <si>
    <t>Sharpe, Katherine, 1979-</t>
  </si>
  <si>
    <t>New York : HarperPerennial, ©2012.</t>
  </si>
  <si>
    <t>1098075214:eng</t>
  </si>
  <si>
    <t>782988221</t>
  </si>
  <si>
    <t>ocn782988221</t>
  </si>
  <si>
    <t>3103471494P</t>
  </si>
  <si>
    <t>9780062059734</t>
  </si>
  <si>
    <t>794913719</t>
  </si>
  <si>
    <t>QV 109 L105</t>
  </si>
  <si>
    <t>0                      QV 0109000L  105</t>
  </si>
  <si>
    <t>LSD, man &amp; society / Frank Barron [and others] Edited by Richard C. DeBold and Russell C. Leaf.</t>
  </si>
  <si>
    <t>Middletown, Conn. : Wesleyan University Press, [1967]</t>
  </si>
  <si>
    <t>373830927:eng</t>
  </si>
  <si>
    <t>224935</t>
  </si>
  <si>
    <t>ocm00224935</t>
  </si>
  <si>
    <t>30001109089</t>
  </si>
  <si>
    <t>791299589</t>
  </si>
  <si>
    <t>QV 129 S989 1972</t>
  </si>
  <si>
    <t>0                      QV 0129000S  989         1972</t>
  </si>
  <si>
    <t>Serotonin and behavior. Edited by Jack Barchas and Earl Usdin.</t>
  </si>
  <si>
    <t>New York, Academic Press, 1973.</t>
  </si>
  <si>
    <t>765180824:eng</t>
  </si>
  <si>
    <t>588992</t>
  </si>
  <si>
    <t>ocm00588992</t>
  </si>
  <si>
    <t>30001109542</t>
  </si>
  <si>
    <t>9780120781508</t>
  </si>
  <si>
    <t>791422535</t>
  </si>
  <si>
    <t>QV 250 L849a 1948</t>
  </si>
  <si>
    <t>0                      QV 0250000L  849a        1948</t>
  </si>
  <si>
    <t>A-B-C's of sulfonamide and antibiotic therapy / Perrin H. Long.</t>
  </si>
  <si>
    <t>Long, Perrin H. (Perrin Hamilton), 1899-1965, author.</t>
  </si>
  <si>
    <t>Philadelphia : W.B. Saunders, 1948.</t>
  </si>
  <si>
    <t>2016-03-27</t>
  </si>
  <si>
    <t>60069377:eng</t>
  </si>
  <si>
    <t>9748947</t>
  </si>
  <si>
    <t>ocm09748947</t>
  </si>
  <si>
    <t>3000261490D</t>
  </si>
  <si>
    <t>792691566</t>
  </si>
  <si>
    <t>QV 265 D955t 1940</t>
  </si>
  <si>
    <t>0                      QV 0265000D  955t        1940</t>
  </si>
  <si>
    <t>La thérapeutique sulfamidée, par le dr Pierre Durel ...</t>
  </si>
  <si>
    <t>*HSSL REPAIRS SHELF*</t>
  </si>
  <si>
    <t>Durel, Pierre, 1903-</t>
  </si>
  <si>
    <t>Paris, J.B. Baillière et fils, 1940.</t>
  </si>
  <si>
    <t>Les Thérapeutiques nouvelles; clinique thérapeutique médicale de la pitié</t>
  </si>
  <si>
    <t>366165288:fre</t>
  </si>
  <si>
    <t>12012246</t>
  </si>
  <si>
    <t>ocm12012246</t>
  </si>
  <si>
    <t>30002614686</t>
  </si>
  <si>
    <t>792796964</t>
  </si>
  <si>
    <t>QV 265 L849c 1939</t>
  </si>
  <si>
    <t>0                      QV 0265000L  849c        1939</t>
  </si>
  <si>
    <t>The clinical and experimental use of sulfanilamide, sulfapyridine and allied compounds, by Perrin H. Long ... and Eleanor A. Bliss ...</t>
  </si>
  <si>
    <t>Long, Perrin H. (Perrin Hamilton), 1899-1965.</t>
  </si>
  <si>
    <t>New York, The Macmillan Company, 1939.</t>
  </si>
  <si>
    <t>The Macmillan medical monographs</t>
  </si>
  <si>
    <t>131801489:eng</t>
  </si>
  <si>
    <t>14734756</t>
  </si>
  <si>
    <t>ocm14734756</t>
  </si>
  <si>
    <t>30002614872</t>
  </si>
  <si>
    <t>792901421</t>
  </si>
  <si>
    <t>QV 265 M527s 1938</t>
  </si>
  <si>
    <t>0                      QV 0265000M  527s        1938</t>
  </si>
  <si>
    <t>Sulfanilamide therapy of bacterial infections, with special reference to diseases caused by hemolytic streptococci, pneumococci, meningococci and gonococci, by Ralph R. Mellon [and others].</t>
  </si>
  <si>
    <t>Mellon, Ralph Robertson, 1883-</t>
  </si>
  <si>
    <t>Springfield, Ill., Thomas [1938]</t>
  </si>
  <si>
    <t>8506927:eng</t>
  </si>
  <si>
    <t>3208131</t>
  </si>
  <si>
    <t>ocm03208131</t>
  </si>
  <si>
    <t>30002614945</t>
  </si>
  <si>
    <t>792229998</t>
  </si>
  <si>
    <t>QV 265 S757s 1941</t>
  </si>
  <si>
    <t>0                      QV 0265000S  757s        1941</t>
  </si>
  <si>
    <t>Sulfanilamide and related compounds in general practice.</t>
  </si>
  <si>
    <t>Spink, Wesley W. (Wesley William), 1904-1988.</t>
  </si>
  <si>
    <t>Chicago, Year Book Pub. [©1941]</t>
  </si>
  <si>
    <t>[The general practice manuals]</t>
  </si>
  <si>
    <t>202971981:eng</t>
  </si>
  <si>
    <t>1574824</t>
  </si>
  <si>
    <t>ocm01574824</t>
  </si>
  <si>
    <t>3000094751T</t>
  </si>
  <si>
    <t>791754675</t>
  </si>
  <si>
    <t>QV 350 H972</t>
  </si>
  <si>
    <t>0                      QV 0350000H  972</t>
  </si>
  <si>
    <t>Antibiotics and antibiotic therapy, a clinical manual [by] Allen E. Hussar [and] Howard L. Holley.</t>
  </si>
  <si>
    <t>Hussar, Allen Elemer, 1900-</t>
  </si>
  <si>
    <t>New York, Macmillan, 1954.</t>
  </si>
  <si>
    <t>8416654:eng</t>
  </si>
  <si>
    <t>3668648</t>
  </si>
  <si>
    <t>ocm03668648</t>
  </si>
  <si>
    <t>30001292774</t>
  </si>
  <si>
    <t>792278938</t>
  </si>
  <si>
    <t>QV 350 S989 1971</t>
  </si>
  <si>
    <t>0                      QV 0350000S  989         1971</t>
  </si>
  <si>
    <t>Molecular mechanisms of antibiotic action on protein biosynthesis and membranes. Proceedings of a symposium held at the University of Granada (Spain) June 1st-4th, 1971. Ed. by E. Muñoz, F. García-Ferrandiz and D. Vazquez.</t>
  </si>
  <si>
    <t>Symposium on Molecular Mechanisms of Antibiotic Action on Protein Biosynthesis and Membranes (1971 : Granada, Spain)</t>
  </si>
  <si>
    <t>Amsterdam, New York, Elsevier Publ. Co., 1972.</t>
  </si>
  <si>
    <t>1728423:eng</t>
  </si>
  <si>
    <t>675529</t>
  </si>
  <si>
    <t>ocm00675529</t>
  </si>
  <si>
    <t>3000128208S</t>
  </si>
  <si>
    <t>9780444410429</t>
  </si>
  <si>
    <t>791443617</t>
  </si>
  <si>
    <t>QV 350 W439a</t>
  </si>
  <si>
    <t>0                      QV 0350000W  439a</t>
  </si>
  <si>
    <t>The antibiotic saga, by Henry Welch and Félix Martí-Ibáñez.</t>
  </si>
  <si>
    <t>Welch, Henry.</t>
  </si>
  <si>
    <t>New York, Medical Encyclopedia, 1960.</t>
  </si>
  <si>
    <t>307254495:eng</t>
  </si>
  <si>
    <t>1495972</t>
  </si>
  <si>
    <t>ocm01495972</t>
  </si>
  <si>
    <t>3000131394Y</t>
  </si>
  <si>
    <t>791674579</t>
  </si>
  <si>
    <t>QV 354 S849</t>
  </si>
  <si>
    <t>0                      QV 0354000S  849</t>
  </si>
  <si>
    <t>The penicillin group of drugs, by Gordon T. Stewart.</t>
  </si>
  <si>
    <t>Stewart, Gordon T. (Gordon Thallon)</t>
  </si>
  <si>
    <t>Amsterdam, New York, Elsevier Pub. Co., 1965.</t>
  </si>
  <si>
    <t>2189983:eng</t>
  </si>
  <si>
    <t>1264773</t>
  </si>
  <si>
    <t>ocm01264773</t>
  </si>
  <si>
    <t>3000114693L</t>
  </si>
  <si>
    <t>791587495</t>
  </si>
  <si>
    <t>QV 628 A415</t>
  </si>
  <si>
    <t>0                      QV 0628000A  415</t>
  </si>
  <si>
    <t>The alkaloids : chemistry and physiology / edited by R.H.F. Manske, H.L. Holmes.</t>
  </si>
  <si>
    <t>v.20 (1981)</t>
  </si>
  <si>
    <t>New York : Academic Press, 1950-&lt;c1998&gt;</t>
  </si>
  <si>
    <t>3857408357:eng</t>
  </si>
  <si>
    <t>219796213</t>
  </si>
  <si>
    <t>ocn219796213</t>
  </si>
  <si>
    <t>3100379995V</t>
  </si>
  <si>
    <t>9780124695511</t>
  </si>
  <si>
    <t>794317217</t>
  </si>
  <si>
    <t>v.32 (1988)</t>
  </si>
  <si>
    <t>3100379970A</t>
  </si>
  <si>
    <t>794317205</t>
  </si>
  <si>
    <t>v.39 (1990)</t>
  </si>
  <si>
    <t>3100858849O</t>
  </si>
  <si>
    <t>794317198</t>
  </si>
  <si>
    <t>v.12 (1970)</t>
  </si>
  <si>
    <t>3100379984$</t>
  </si>
  <si>
    <t>794317225</t>
  </si>
  <si>
    <t>v.3 (1953)</t>
  </si>
  <si>
    <t>31003799750</t>
  </si>
  <si>
    <t>794317232</t>
  </si>
  <si>
    <t>v.37 (1990)</t>
  </si>
  <si>
    <t>3100163599F</t>
  </si>
  <si>
    <t>794317200</t>
  </si>
  <si>
    <t>v.28 (1986)</t>
  </si>
  <si>
    <t>31003799920</t>
  </si>
  <si>
    <t>794317209</t>
  </si>
  <si>
    <t>v.26 (1985)</t>
  </si>
  <si>
    <t>31003799718</t>
  </si>
  <si>
    <t>794317211</t>
  </si>
  <si>
    <t>v.22 (1983)</t>
  </si>
  <si>
    <t>3100379997R</t>
  </si>
  <si>
    <t>794317215</t>
  </si>
  <si>
    <t>31003799831</t>
  </si>
  <si>
    <t>794317224</t>
  </si>
  <si>
    <t>v.48 (1996)</t>
  </si>
  <si>
    <t>31015296402</t>
  </si>
  <si>
    <t>794317189</t>
  </si>
  <si>
    <t>v.30 (1987)</t>
  </si>
  <si>
    <t>31003799637</t>
  </si>
  <si>
    <t>794317207</t>
  </si>
  <si>
    <t>3100379986W</t>
  </si>
  <si>
    <t>794317227</t>
  </si>
  <si>
    <t>v.16 (1977)</t>
  </si>
  <si>
    <t>3100379979T</t>
  </si>
  <si>
    <t>794317221</t>
  </si>
  <si>
    <t>v.46 (1995)</t>
  </si>
  <si>
    <t>31014802211</t>
  </si>
  <si>
    <t>794317191</t>
  </si>
  <si>
    <t>v.14 (1973)</t>
  </si>
  <si>
    <t>31003799823</t>
  </si>
  <si>
    <t>794317223</t>
  </si>
  <si>
    <t>v.45 (1994)</t>
  </si>
  <si>
    <t>3101357577Q</t>
  </si>
  <si>
    <t>794317192</t>
  </si>
  <si>
    <t>v.4 (1954)</t>
  </si>
  <si>
    <t>31003799742</t>
  </si>
  <si>
    <t>794317231</t>
  </si>
  <si>
    <t>v.18 (1981)</t>
  </si>
  <si>
    <t>3100379993Z</t>
  </si>
  <si>
    <t>794317219</t>
  </si>
  <si>
    <t>v.40 (1991)</t>
  </si>
  <si>
    <t>3101072277Z</t>
  </si>
  <si>
    <t>794317197</t>
  </si>
  <si>
    <t>v.34 (1988)</t>
  </si>
  <si>
    <t>3100378186W</t>
  </si>
  <si>
    <t>794317203</t>
  </si>
  <si>
    <t>v.42 (1992)</t>
  </si>
  <si>
    <t>3101151051Y</t>
  </si>
  <si>
    <t>794317195</t>
  </si>
  <si>
    <t>v.36 (1989)</t>
  </si>
  <si>
    <t>3100162015Z</t>
  </si>
  <si>
    <t>794317201</t>
  </si>
  <si>
    <t>v.41 (1992)</t>
  </si>
  <si>
    <t>3101076390J</t>
  </si>
  <si>
    <t>794317196</t>
  </si>
  <si>
    <t>v.27 (1986)</t>
  </si>
  <si>
    <t>31003799912</t>
  </si>
  <si>
    <t>794317210</t>
  </si>
  <si>
    <t>v.23 (1984)</t>
  </si>
  <si>
    <t>3100379999N</t>
  </si>
  <si>
    <t>794317214</t>
  </si>
  <si>
    <t>v.29 (1986)</t>
  </si>
  <si>
    <t>31003799645</t>
  </si>
  <si>
    <t>794317208</t>
  </si>
  <si>
    <t>v.44 (1994)</t>
  </si>
  <si>
    <t>3101366411M</t>
  </si>
  <si>
    <t>794317193</t>
  </si>
  <si>
    <t>v.11 (1968)</t>
  </si>
  <si>
    <t>3100379985Y</t>
  </si>
  <si>
    <t>794317226</t>
  </si>
  <si>
    <t>v.47 (1995)</t>
  </si>
  <si>
    <t>31014802009</t>
  </si>
  <si>
    <t>794317190</t>
  </si>
  <si>
    <t>v.38 (1990)</t>
  </si>
  <si>
    <t>3100854642T</t>
  </si>
  <si>
    <t>794317199</t>
  </si>
  <si>
    <t>v.15 (1975)</t>
  </si>
  <si>
    <t>31003799815</t>
  </si>
  <si>
    <t>794317222</t>
  </si>
  <si>
    <t>v.31 (1987)</t>
  </si>
  <si>
    <t>3100379961B</t>
  </si>
  <si>
    <t>794317206</t>
  </si>
  <si>
    <t>v.33 (1988)</t>
  </si>
  <si>
    <t>3100379960D</t>
  </si>
  <si>
    <t>794317204</t>
  </si>
  <si>
    <t>v.24 (1985)</t>
  </si>
  <si>
    <t>31003799726</t>
  </si>
  <si>
    <t>794317213</t>
  </si>
  <si>
    <t>v.21 (1983)</t>
  </si>
  <si>
    <t>3100379998P</t>
  </si>
  <si>
    <t>794317216</t>
  </si>
  <si>
    <t>v.5 (1955)</t>
  </si>
  <si>
    <t>3100379967$</t>
  </si>
  <si>
    <t>794317230</t>
  </si>
  <si>
    <t>v.25 (1985)</t>
  </si>
  <si>
    <t>31003799807</t>
  </si>
  <si>
    <t>794317212</t>
  </si>
  <si>
    <t>v.17 (1979)</t>
  </si>
  <si>
    <t>31003799904</t>
  </si>
  <si>
    <t>794317220</t>
  </si>
  <si>
    <t>v.2 (1952)</t>
  </si>
  <si>
    <t>3100379976Z</t>
  </si>
  <si>
    <t>794317233</t>
  </si>
  <si>
    <t>v.6 (1960)</t>
  </si>
  <si>
    <t>31003799734</t>
  </si>
  <si>
    <t>794317229</t>
  </si>
  <si>
    <t>v.35 (1989)</t>
  </si>
  <si>
    <t>3100159631L</t>
  </si>
  <si>
    <t>794317202</t>
  </si>
  <si>
    <t>v.7 (1960)</t>
  </si>
  <si>
    <t>3100379989Q</t>
  </si>
  <si>
    <t>794317228</t>
  </si>
  <si>
    <t>v.43 (1993)</t>
  </si>
  <si>
    <t>31009941680</t>
  </si>
  <si>
    <t>794317194</t>
  </si>
  <si>
    <t>v.1 (1950)</t>
  </si>
  <si>
    <t>3100379977X</t>
  </si>
  <si>
    <t>794317234</t>
  </si>
  <si>
    <t>v.19 (1981)</t>
  </si>
  <si>
    <t>3100379994X</t>
  </si>
  <si>
    <t>794317218</t>
  </si>
  <si>
    <t>QV 735 P986h 2015</t>
  </si>
  <si>
    <t>0                      QV 0735000P  986h        2015</t>
  </si>
  <si>
    <t>The herbal apothecary : 100 medicinal herbs and how to use them / JJ Pursell ; with photos by Shawn Linehan.</t>
  </si>
  <si>
    <t>Pursell, J. J., 1973- author.</t>
  </si>
  <si>
    <t>Portland, Oregon : Timber Press, 2015.</t>
  </si>
  <si>
    <t>2476220200:eng</t>
  </si>
  <si>
    <t>905450262</t>
  </si>
  <si>
    <t>ocn905450262</t>
  </si>
  <si>
    <t>3103653719F</t>
  </si>
  <si>
    <t>9781604696622</t>
  </si>
  <si>
    <t>794991355</t>
  </si>
  <si>
    <t>QV 736 E46w 2010</t>
  </si>
  <si>
    <t>0                      QV 0736000E  46w         2010</t>
  </si>
  <si>
    <t>White coat, black hat : adventures on the dark side of medicine / Carl Elliott.</t>
  </si>
  <si>
    <t>Elliott, Carl, 1961-</t>
  </si>
  <si>
    <t>Boston : Beacon Press, ©2010.</t>
  </si>
  <si>
    <t>2016-01-20</t>
  </si>
  <si>
    <t>867548529:eng</t>
  </si>
  <si>
    <t>520440993</t>
  </si>
  <si>
    <t>ocn520440993</t>
  </si>
  <si>
    <t>3103227151I</t>
  </si>
  <si>
    <t>9780807061428</t>
  </si>
  <si>
    <t>794808635</t>
  </si>
  <si>
    <t>QV 736 M938se 2010</t>
  </si>
  <si>
    <t>0                      QV 0736000M  938se       2010</t>
  </si>
  <si>
    <t>Sex, lies, + pharmaceuticals : how drug companies plan to profit from female sexual dysfunction / Ray Moynihan &amp; Barbara Mintzes.</t>
  </si>
  <si>
    <t>Moynihan, Ray.</t>
  </si>
  <si>
    <t>Vancouver ; Berkeley [Calif.] : Greystone Books, ©2010.</t>
  </si>
  <si>
    <t>2012-04-16</t>
  </si>
  <si>
    <t>695158736:eng</t>
  </si>
  <si>
    <t>555627797</t>
  </si>
  <si>
    <t>ocn555627797</t>
  </si>
  <si>
    <t>31033042182</t>
  </si>
  <si>
    <t>9781553655084</t>
  </si>
  <si>
    <t>794811978</t>
  </si>
  <si>
    <t>QV 766 N277 2010</t>
  </si>
  <si>
    <t>0                      QV 0766000N  277         2010</t>
  </si>
  <si>
    <t>National Geographic guide to medicinal herbs : the world's most effective healing plants / Rebecca L. Johnson [and others] ; photography by Steven Foster ; foreword by Andrew Weil.</t>
  </si>
  <si>
    <t>Washington, D.C. : National Geographic, ©2010.</t>
  </si>
  <si>
    <t>433634047:eng</t>
  </si>
  <si>
    <t>562769059</t>
  </si>
  <si>
    <t>ocn562769059</t>
  </si>
  <si>
    <t>3103455199S</t>
  </si>
  <si>
    <t>9781426207006</t>
  </si>
  <si>
    <t>794812950</t>
  </si>
  <si>
    <t>QV 767 D252h 2000</t>
  </si>
  <si>
    <t>0                      QV 0767000D  252h        2000</t>
  </si>
  <si>
    <t>Herbs for the mind : what science tells us about nature's remedies for depression, stress, memory loss, and insomnia / Jonathan R.T. Davidson, Kathryn M. Connor.</t>
  </si>
  <si>
    <t>Davidson, Jonathan R. T., 1943-</t>
  </si>
  <si>
    <t>New York : Guilford Press, ©2000.</t>
  </si>
  <si>
    <t>33921896:eng</t>
  </si>
  <si>
    <t>43599028</t>
  </si>
  <si>
    <t>ocm43599028</t>
  </si>
  <si>
    <t>3102170340C</t>
  </si>
  <si>
    <t>9781572305724</t>
  </si>
  <si>
    <t>793630504</t>
  </si>
  <si>
    <t>QV 771 O55c 2010</t>
  </si>
  <si>
    <t>0                      QV 0771000O  55c         2010</t>
  </si>
  <si>
    <t>Chasing medical miracles : the promise and perils of clinical trials / Alex O'Meara ; [with a new preface by the author].</t>
  </si>
  <si>
    <t>O'Meara, Alex.</t>
  </si>
  <si>
    <t>New York : Walker &amp; Co., 2010, ©2009.</t>
  </si>
  <si>
    <t>195319424:eng</t>
  </si>
  <si>
    <t>462908139</t>
  </si>
  <si>
    <t>ocn462908139</t>
  </si>
  <si>
    <t>3103226453D</t>
  </si>
  <si>
    <t>9780802719904</t>
  </si>
  <si>
    <t>794792115</t>
  </si>
  <si>
    <t>QV 771 S742c 2010</t>
  </si>
  <si>
    <t>0                      QV 0771000S  742c        2010</t>
  </si>
  <si>
    <t>Clinical trials : what patients and healthy volunteers need to know / Lorna Speid.</t>
  </si>
  <si>
    <t>Speid, Lorna.</t>
  </si>
  <si>
    <t>Includes bibliographical references and index.</t>
  </si>
  <si>
    <t>349144642:eng</t>
  </si>
  <si>
    <t>466361848</t>
  </si>
  <si>
    <t>ocn466361848</t>
  </si>
  <si>
    <t>3103314210Y</t>
  </si>
  <si>
    <t>9780199734160</t>
  </si>
  <si>
    <t>794794583</t>
  </si>
  <si>
    <t>QV 772 M555 2013</t>
  </si>
  <si>
    <t>0                      QV 0772000M  555         2013</t>
  </si>
  <si>
    <t>The Merck index : an encyclopedia of chemicals, drugs, and biologicals.</t>
  </si>
  <si>
    <t>Cambridge, UK : Royal Society of Chemistry, 2013.</t>
  </si>
  <si>
    <t>Fifteenth edition / Maryadele J. O'Neil, editor-in-chief [and others].</t>
  </si>
  <si>
    <t>4921574357:eng</t>
  </si>
  <si>
    <t>824530529</t>
  </si>
  <si>
    <t>ocn824530529</t>
  </si>
  <si>
    <t>3103738894E</t>
  </si>
  <si>
    <t>9781849736701</t>
  </si>
  <si>
    <t>794937882</t>
  </si>
  <si>
    <t>QW 4 I615 1936r</t>
  </si>
  <si>
    <t>0                      QW 0004000I  615         1936r</t>
  </si>
  <si>
    <t>Report of proceedings : International Society for Microbiology, Second International Congress for Microbiology, London, 25 July - 1 August, 1936 / edited for the Executive Committee by R. St. John-Brooks.</t>
  </si>
  <si>
    <t>International Congress for Microbiology (2nd : 1936 : London)</t>
  </si>
  <si>
    <t>London : The Congress, 1937.</t>
  </si>
  <si>
    <t xml:space="preserve">QW </t>
  </si>
  <si>
    <t>10141869578:eng</t>
  </si>
  <si>
    <t>61592903</t>
  </si>
  <si>
    <t>ocm61592903</t>
  </si>
  <si>
    <t>3103577904Z</t>
  </si>
  <si>
    <t>794032167</t>
  </si>
  <si>
    <t>QW 4 S6338m 2017</t>
  </si>
  <si>
    <t>0                      QW 0004000S  6338m       2017</t>
  </si>
  <si>
    <t>Microbiology : an evolving science / Joan L. Slonczewski, Kenyon College, John W. Foster, University of South Alabama.</t>
  </si>
  <si>
    <t>Slonczewski, Joan, author.</t>
  </si>
  <si>
    <t>New York ; London : W.W. Norton &amp; Company, [2017]</t>
  </si>
  <si>
    <t>2950268281:eng</t>
  </si>
  <si>
    <t>951925510</t>
  </si>
  <si>
    <t>ocn951925510</t>
  </si>
  <si>
    <t>31037384626</t>
  </si>
  <si>
    <t>9780393614039</t>
  </si>
  <si>
    <t>795017834</t>
  </si>
  <si>
    <t>QW 39 G542 2016</t>
  </si>
  <si>
    <t>0                      QW 0039000G  542         2016</t>
  </si>
  <si>
    <t>Clinical microbiology made ridiculously simple / Mark Gladwin, M.D., William Trattler, M.D., C. Scott Mahan, M.D.</t>
  </si>
  <si>
    <t>Gladwin, Mark, author.</t>
  </si>
  <si>
    <t>Miami : MedMaster, Inc., [2016]</t>
  </si>
  <si>
    <t>Edition 6.</t>
  </si>
  <si>
    <t>658760:eng</t>
  </si>
  <si>
    <t>929024724</t>
  </si>
  <si>
    <t>ocn929024724</t>
  </si>
  <si>
    <t>3103741011V</t>
  </si>
  <si>
    <t>9781935660156</t>
  </si>
  <si>
    <t>795006452</t>
  </si>
  <si>
    <t>QW 45 B644m 2015</t>
  </si>
  <si>
    <t>0                      QW 0045000B  644m        2015</t>
  </si>
  <si>
    <t>Missing microbes : how the overuse of antibiotics is fueling our modern plagues / Martin J. Blaser, MD.</t>
  </si>
  <si>
    <t>Blaser, Martin J., author.</t>
  </si>
  <si>
    <t>New York : Picador, 2015.</t>
  </si>
  <si>
    <t>First Picador edition.</t>
  </si>
  <si>
    <t>2017-07-08</t>
  </si>
  <si>
    <t>1855338094:eng</t>
  </si>
  <si>
    <t>883367088</t>
  </si>
  <si>
    <t>ocn883367088</t>
  </si>
  <si>
    <t>3103698570B</t>
  </si>
  <si>
    <t>9781250069276</t>
  </si>
  <si>
    <t>794975510</t>
  </si>
  <si>
    <t>QW 45 S558k 2002</t>
  </si>
  <si>
    <t>0                      QW 0045000S  558k        2002</t>
  </si>
  <si>
    <t>The killers within : the deadly rise of drug-resistant bacteria / Michael Shnayerson, Mark J. Plotkin.</t>
  </si>
  <si>
    <t>Shnayerson, Michael.</t>
  </si>
  <si>
    <t>Boston : Little, Brown and Co., ©2002.</t>
  </si>
  <si>
    <t>837833941:eng</t>
  </si>
  <si>
    <t>49260511</t>
  </si>
  <si>
    <t>ocm49260511</t>
  </si>
  <si>
    <t>3102319513C</t>
  </si>
  <si>
    <t>9780316713313</t>
  </si>
  <si>
    <t>793736118</t>
  </si>
  <si>
    <t>QW 50 S121g 2007</t>
  </si>
  <si>
    <t>0                      QW 0050000S  121g        2007</t>
  </si>
  <si>
    <t>Good germs, bad germs : health and survival in a bacterial world / Jessica Snyder Sachs.</t>
  </si>
  <si>
    <t>Sachs, Jessica Snyder.</t>
  </si>
  <si>
    <t>New York : Hill and Wang, 2007.</t>
  </si>
  <si>
    <t>196008874:eng</t>
  </si>
  <si>
    <t>85814003</t>
  </si>
  <si>
    <t>ocm85814003</t>
  </si>
  <si>
    <t>3102646498F</t>
  </si>
  <si>
    <t>9780809050635</t>
  </si>
  <si>
    <t>794216370</t>
  </si>
  <si>
    <t>QW 52 S678 1969m</t>
  </si>
  <si>
    <t>0                      QW 0052000S  678         1969m</t>
  </si>
  <si>
    <t>Microbial growth / [edited by Pauline M. Meadow and S.J. Pirt].</t>
  </si>
  <si>
    <t>Society for General Microbiology. Symposium (19th : 1969 : Imperial College, London)</t>
  </si>
  <si>
    <t>Cambridge [England] Published for the Society for General Microbiology at the University Press, 1969.</t>
  </si>
  <si>
    <t>Symposium of the Society for General Microbiology ; 19th, 1969</t>
  </si>
  <si>
    <t>5612367044:eng</t>
  </si>
  <si>
    <t>38231707</t>
  </si>
  <si>
    <t>ocm38231707</t>
  </si>
  <si>
    <t>30000996461</t>
  </si>
  <si>
    <t>9780521075091</t>
  </si>
  <si>
    <t>793519466</t>
  </si>
  <si>
    <t>QW 148 G328 1975</t>
  </si>
  <si>
    <t>0                      QW 0148000G  328         1975</t>
  </si>
  <si>
    <t>Genetics and biochemistry of Pseudomonas. Edited by P.H. Clarke and M.H. Richmond.</t>
  </si>
  <si>
    <t>Clarke, P. H. (Pat H.)</t>
  </si>
  <si>
    <t>London, New York, Wiley [1974, ©1975]</t>
  </si>
  <si>
    <t>Wiley-Interscience publication</t>
  </si>
  <si>
    <t>505613253:eng</t>
  </si>
  <si>
    <t>796917</t>
  </si>
  <si>
    <t>ocm00796917</t>
  </si>
  <si>
    <t>3000115102S</t>
  </si>
  <si>
    <t>9780471158967</t>
  </si>
  <si>
    <t>791472005</t>
  </si>
  <si>
    <t>QW 160 R486 1975</t>
  </si>
  <si>
    <t>0                      QW 0160000R  486         1975</t>
  </si>
  <si>
    <t>RNA phages / edited by Norton D. Zinder.</t>
  </si>
  <si>
    <t>[Cold Spring Harbor, N.Y.] : Cold Spring Harbor Laboratory, [1975]</t>
  </si>
  <si>
    <t>Cold Spring Harbor monograph series</t>
  </si>
  <si>
    <t>2462001:eng</t>
  </si>
  <si>
    <t>1582488</t>
  </si>
  <si>
    <t>ocm01582488</t>
  </si>
  <si>
    <t>3000115159$</t>
  </si>
  <si>
    <t>9780879691097</t>
  </si>
  <si>
    <t>791756360</t>
  </si>
  <si>
    <t>QW 168 Q1e 2014</t>
  </si>
  <si>
    <t>0                      QW 0168000Q  1e          2014</t>
  </si>
  <si>
    <t>Ebola : the natural and human history of a deadly virus / David Quammen.</t>
  </si>
  <si>
    <t>New York, New York : W W Norton &amp; Company, [2014]</t>
  </si>
  <si>
    <t>2082440261:eng</t>
  </si>
  <si>
    <t>891494844</t>
  </si>
  <si>
    <t>ocn891494844</t>
  </si>
  <si>
    <t>3103582664A</t>
  </si>
  <si>
    <t>9780393351552</t>
  </si>
  <si>
    <t>794980151</t>
  </si>
  <si>
    <t>QW 504 A376 1970</t>
  </si>
  <si>
    <t>0                      QW 0504000A  376         1970</t>
  </si>
  <si>
    <t>Immunobiology for surgeons [by] J. Wesley Alexander [and] Robert A. Good.</t>
  </si>
  <si>
    <t>Alexander, J. Wesley, 1934-</t>
  </si>
  <si>
    <t>Philadelphia, Saunders, 1970.</t>
  </si>
  <si>
    <t>1226594:eng</t>
  </si>
  <si>
    <t>112203</t>
  </si>
  <si>
    <t>ocm00112203</t>
  </si>
  <si>
    <t>3000115222I</t>
  </si>
  <si>
    <t>791260741</t>
  </si>
  <si>
    <t>QW 504 B2741 1976</t>
  </si>
  <si>
    <t>0                      QW 0504000B  2741        1976</t>
  </si>
  <si>
    <t>Basic immunology and its medical application / James T. Barrett.</t>
  </si>
  <si>
    <t>Barrett, James T., 1927-</t>
  </si>
  <si>
    <t>Saint Louis : Mosby, 1976.</t>
  </si>
  <si>
    <t>2724104:eng</t>
  </si>
  <si>
    <t>1974168</t>
  </si>
  <si>
    <t>ocm01974168</t>
  </si>
  <si>
    <t>3000100788$</t>
  </si>
  <si>
    <t>9780801604966</t>
  </si>
  <si>
    <t>792021177</t>
  </si>
  <si>
    <t>QW 504 K51k 2007</t>
  </si>
  <si>
    <t>0                      QW 0504000K  51k         2007</t>
  </si>
  <si>
    <t>Kuby immunology.</t>
  </si>
  <si>
    <t>Kindt, Thomas J., 1939-</t>
  </si>
  <si>
    <t>New York : W.H. Freeman, ©2007.</t>
  </si>
  <si>
    <t>6th ed. / Thomas J. Kindt, Richard A. Goldsby, Barbara A. Osborne.</t>
  </si>
  <si>
    <t>2830243278:eng</t>
  </si>
  <si>
    <t>68207318</t>
  </si>
  <si>
    <t>ocm68207318</t>
  </si>
  <si>
    <t>3102606117N</t>
  </si>
  <si>
    <t>9780716785903</t>
  </si>
  <si>
    <t>794142823</t>
  </si>
  <si>
    <t>3102606046K</t>
  </si>
  <si>
    <t>794142821</t>
  </si>
  <si>
    <t>QW 504 M662w 2000</t>
  </si>
  <si>
    <t>0                      QW 0504000M  662w        2000</t>
  </si>
  <si>
    <t>The war within us : everyman's guide to infection and immunity / Cedric Mims.</t>
  </si>
  <si>
    <t>Mims, Cedric A.</t>
  </si>
  <si>
    <t>San Diego, CA. : Academic Press, ©2000.</t>
  </si>
  <si>
    <t>801446100:eng</t>
  </si>
  <si>
    <t>44603902</t>
  </si>
  <si>
    <t>ocm44603902</t>
  </si>
  <si>
    <t>3102169446V</t>
  </si>
  <si>
    <t>9780124982512</t>
  </si>
  <si>
    <t>793654088</t>
  </si>
  <si>
    <t>QW 504 M978J 2017</t>
  </si>
  <si>
    <t>0                      QW 0504000M  978J        2017</t>
  </si>
  <si>
    <t>Janeway's immunobiology / Kenneth Murphy, Casey Weaver ; with contributions by Allan Mowat, Leslie Berg, David Chaplin ; with acknowledgment to Charles A. Janeway Jr., Paul Travers, Mark Walport.</t>
  </si>
  <si>
    <t>Murphy, Kenneth (Kenneth M.), author.</t>
  </si>
  <si>
    <t>New York, NY, USA : Garland Science, Taylor &amp; Francis Group, LLC, [2017]</t>
  </si>
  <si>
    <t>353925563:eng</t>
  </si>
  <si>
    <t>933586700</t>
  </si>
  <si>
    <t>ocn933586700</t>
  </si>
  <si>
    <t>3103687630U</t>
  </si>
  <si>
    <t>9780815345053</t>
  </si>
  <si>
    <t>795009278</t>
  </si>
  <si>
    <t>31036875980</t>
  </si>
  <si>
    <t>795009277</t>
  </si>
  <si>
    <t>3103714520D</t>
  </si>
  <si>
    <t>795009281</t>
  </si>
  <si>
    <t>3103687634M</t>
  </si>
  <si>
    <t>795009280</t>
  </si>
  <si>
    <t>3103687629F</t>
  </si>
  <si>
    <t>795009282</t>
  </si>
  <si>
    <t>31037145156</t>
  </si>
  <si>
    <t>795009276</t>
  </si>
  <si>
    <t>QW 504 V233h 2001</t>
  </si>
  <si>
    <t>0                      QW 0504000V  233h        2001</t>
  </si>
  <si>
    <t>Healthy immunity : scientifically proven natural treatments for conditions from A-Z : allergies, autoimmunity, cancer, heart disease, menopause, thyroid and more / Lorna Vanderhaeghe.</t>
  </si>
  <si>
    <t>Vanderhaeghe, Lorna R.</t>
  </si>
  <si>
    <t>Toronto : Macmillan Canada, 2001.</t>
  </si>
  <si>
    <t>8241509:eng</t>
  </si>
  <si>
    <t>47161592</t>
  </si>
  <si>
    <t>ocm47161592</t>
  </si>
  <si>
    <t>3102271811B</t>
  </si>
  <si>
    <t>9781553350101</t>
  </si>
  <si>
    <t>793699806</t>
  </si>
  <si>
    <t>QW 540 B623o 2014</t>
  </si>
  <si>
    <t>0                      QW 0540000B  623o        2014</t>
  </si>
  <si>
    <t>On immunity : an inoculation / Eula Biss.</t>
  </si>
  <si>
    <t>Biss, Eula, author.</t>
  </si>
  <si>
    <t>Minneapolis, Minnesota : Graywolf Press, [2014]</t>
  </si>
  <si>
    <t>1781472899:eng</t>
  </si>
  <si>
    <t>877914128</t>
  </si>
  <si>
    <t>ocn877914128</t>
  </si>
  <si>
    <t>3103581725J</t>
  </si>
  <si>
    <t>9781555976897</t>
  </si>
  <si>
    <t>794971137</t>
  </si>
  <si>
    <t>QW 700 C156i 2006</t>
  </si>
  <si>
    <t>0                      QW 0700000C  156i        2006</t>
  </si>
  <si>
    <t>Infection : the uninvited universe / Gerald N. Callahan.</t>
  </si>
  <si>
    <t>Callahan, Gerald N., 1946-</t>
  </si>
  <si>
    <t>New York : St. Martin's Press, 2006.</t>
  </si>
  <si>
    <t>198139109:eng</t>
  </si>
  <si>
    <t>70230742</t>
  </si>
  <si>
    <t>ocm70230742</t>
  </si>
  <si>
    <t>3102690637K</t>
  </si>
  <si>
    <t>9780312348465</t>
  </si>
  <si>
    <t>794151181</t>
  </si>
  <si>
    <t>QW 700 C437i 2003</t>
  </si>
  <si>
    <t>0                      QW 0700000C  437i        2003</t>
  </si>
  <si>
    <t>The inflammation syndrome : the complete nutritional program to prevent and reverse heart disease, arthritis, diabetes, allergies and asthma / Jack Challem.</t>
  </si>
  <si>
    <t>Challem, Jack.</t>
  </si>
  <si>
    <t>Hoboken, N.J. : J. Wiley, ©2003.</t>
  </si>
  <si>
    <t>116905654:eng</t>
  </si>
  <si>
    <t>50560554</t>
  </si>
  <si>
    <t>ocm50560554</t>
  </si>
  <si>
    <t>3103397405F</t>
  </si>
  <si>
    <t>9780471202714</t>
  </si>
  <si>
    <t>793767538</t>
  </si>
  <si>
    <t>QW 700 S293 2013</t>
  </si>
  <si>
    <t>0                      QW 0700000S  293         2013</t>
  </si>
  <si>
    <t>Schaechter's mechanisms of microbial disease / N. Cary Engleberg, Victor J. DiRita, Terence S. Dermody.</t>
  </si>
  <si>
    <t>Philadelphia : Wolters Kluwer Health/Lippincott Williams &amp; Wilkins, ©2013.</t>
  </si>
  <si>
    <t>3901442118:eng</t>
  </si>
  <si>
    <t>769141612</t>
  </si>
  <si>
    <t>ocn769141612</t>
  </si>
  <si>
    <t>3103412323V</t>
  </si>
  <si>
    <t>9780781787444</t>
  </si>
  <si>
    <t>794903060</t>
  </si>
  <si>
    <t>QW 900 M466m 2006</t>
  </si>
  <si>
    <t>0                      QW 0900000M  466m        2006</t>
  </si>
  <si>
    <t>My office is killing me! : the sick building survival guide / Jeffrey C. May.</t>
  </si>
  <si>
    <t>May, Jeffrey C.</t>
  </si>
  <si>
    <t>198186514:eng</t>
  </si>
  <si>
    <t>61757990</t>
  </si>
  <si>
    <t>ocm61757990</t>
  </si>
  <si>
    <t>3102584297F</t>
  </si>
  <si>
    <t>9780801883415</t>
  </si>
  <si>
    <t>794098054</t>
  </si>
  <si>
    <t>QX 505 W518</t>
  </si>
  <si>
    <t>0                      QX 0505000W  518</t>
  </si>
  <si>
    <t>The housefly : its natural history, medical importance, and control / Luther S. West.</t>
  </si>
  <si>
    <t>West, Luther S. (Luther Shirley), 1899-</t>
  </si>
  <si>
    <t>Ithaca, N.Y. : Comstock Pub. Co., 1951.</t>
  </si>
  <si>
    <t xml:space="preserve">QX </t>
  </si>
  <si>
    <t>2017-01-18</t>
  </si>
  <si>
    <t>1304009:eng</t>
  </si>
  <si>
    <t>173722</t>
  </si>
  <si>
    <t>ocm00173722</t>
  </si>
  <si>
    <t>3000128778O</t>
  </si>
  <si>
    <t>791281199</t>
  </si>
  <si>
    <t>QX 510 M444 1969</t>
  </si>
  <si>
    <t>0                      QX 0510000M  444         1969</t>
  </si>
  <si>
    <t>The biology of mosquito-borne disease / P.F. Mattingly.</t>
  </si>
  <si>
    <t>Mattingly, P. F. (Peter Frederick), author.</t>
  </si>
  <si>
    <t>London : George Allen &amp; Unwin, 1969.</t>
  </si>
  <si>
    <t>Science of biology series ; 1</t>
  </si>
  <si>
    <t>1251645:eng</t>
  </si>
  <si>
    <t>77101</t>
  </si>
  <si>
    <t>ocm00077101</t>
  </si>
  <si>
    <t>30001157202</t>
  </si>
  <si>
    <t>9780045700073</t>
  </si>
  <si>
    <t>791247652</t>
  </si>
  <si>
    <t>QY 185 L766.2</t>
  </si>
  <si>
    <t>0                      QY 0185000L  766                                                     .2</t>
  </si>
  <si>
    <t>Urine and the urinary sediment; a practical manual and atlas.</t>
  </si>
  <si>
    <t>Lippman, Richard William, 1916-</t>
  </si>
  <si>
    <t>Springfield, Ill., Thomas [1957]</t>
  </si>
  <si>
    <t xml:space="preserve">QY </t>
  </si>
  <si>
    <t>46785882:eng</t>
  </si>
  <si>
    <t>1723545</t>
  </si>
  <si>
    <t>ocm01723545</t>
  </si>
  <si>
    <t>3000115391W</t>
  </si>
  <si>
    <t>791854377</t>
  </si>
  <si>
    <t>QZ 4 P3027 2014</t>
  </si>
  <si>
    <t>0                      QZ 0004000P  3027        2014</t>
  </si>
  <si>
    <t>Pathophysiology : the biologic basis for disease in adults and children / [edited by] Kathryn L. McCance, RN, PhD, Professor Emeritus, College of Nursing, University of Utah, Salt Lake City, Utah, Sue E. Huether, RN, PhD, Professor Emeritus, College of Nursing, University of Utah, Salt Lake City, Utah ; section editors, Valentina L. Brashers, MD, Professor of Nursing and Woodard Clinical Scholar, Attending Physician in Internal Medicine, University of Virginia Health System, Charlottesville, Virginia, Neal S. Rote, PhD, Academic Vice-Chair and Director of Research, Department of Obstetrics and Gynecology, University Hospitals, Case Medical Center, William H. Weir, MD, Professor of Reproductive Biology and Pathology, Case Western Reserve, University School of Medicine, Cleveland, Ohio.</t>
  </si>
  <si>
    <t>St. Louis, Missouri : Elsevier, [2014]</t>
  </si>
  <si>
    <t xml:space="preserve">QZ </t>
  </si>
  <si>
    <t>2018-04-22</t>
  </si>
  <si>
    <t>22629172:eng</t>
  </si>
  <si>
    <t>856076266</t>
  </si>
  <si>
    <t>ocn856076266</t>
  </si>
  <si>
    <t>3103752337R</t>
  </si>
  <si>
    <t>9780323088541</t>
  </si>
  <si>
    <t>794954141</t>
  </si>
  <si>
    <t>3103752342Y</t>
  </si>
  <si>
    <t>794954140</t>
  </si>
  <si>
    <t>QZ 4 R6355 2018</t>
  </si>
  <si>
    <t>0                      QZ 0004000R  6355        2018</t>
  </si>
  <si>
    <t>Robbins basic pathology / [edited by] Vinay Kumar, Abul K. Abbas, Jon C. Aster ; artist, James A. Perkins.</t>
  </si>
  <si>
    <t>Philadelphia, Pennsylvania : Elsevier, [2018]</t>
  </si>
  <si>
    <t>1070668948:eng</t>
  </si>
  <si>
    <t>960844656</t>
  </si>
  <si>
    <t>ocn960844656</t>
  </si>
  <si>
    <t>31037023875</t>
  </si>
  <si>
    <t>9780323353175</t>
  </si>
  <si>
    <t>795023347</t>
  </si>
  <si>
    <t>QZ 4 U155 2018</t>
  </si>
  <si>
    <t>0                      QZ 0004000U  155         2018</t>
  </si>
  <si>
    <t>Understanding pathophysiology / Sue Huether, Kelly Power-Kean, Mohamed El-Hussein, Kathryn McCance, Stephanie Zettel.</t>
  </si>
  <si>
    <t>Huether, Sue E, author.</t>
  </si>
  <si>
    <t>Milton, Ontario : Elsevier Canada, 2018.</t>
  </si>
  <si>
    <t>679677:eng</t>
  </si>
  <si>
    <t>1055210656</t>
  </si>
  <si>
    <t>on1055210656</t>
  </si>
  <si>
    <t>3103862236K</t>
  </si>
  <si>
    <t>9781771721172</t>
  </si>
  <si>
    <t>795063274</t>
  </si>
  <si>
    <t>3103862190I</t>
  </si>
  <si>
    <t>795063275</t>
  </si>
  <si>
    <t>3103862231U</t>
  </si>
  <si>
    <t>795063276</t>
  </si>
  <si>
    <t>3103862240T</t>
  </si>
  <si>
    <t>795063273</t>
  </si>
  <si>
    <t>31038621958</t>
  </si>
  <si>
    <t>795063277</t>
  </si>
  <si>
    <t>QZ 11.1 D496d 2015</t>
  </si>
  <si>
    <t>0                      QZ 0011100D  496d        2015</t>
  </si>
  <si>
    <t>The death of cancer : after fifty years on the front lines of medicine, a pioneering oncologist reveals why the war on cancer is winnable--and how we can get there / Vincent T. DeVita, Jr., M.D., Elizabeth DeVita-Raeburn.</t>
  </si>
  <si>
    <t>DeVita, Vincent T., Jr., 1935-</t>
  </si>
  <si>
    <t>New York : Sarah Crichton Books/Farrar, Straus and Giroux, 2015.</t>
  </si>
  <si>
    <t>2751834223:eng</t>
  </si>
  <si>
    <t>907295398</t>
  </si>
  <si>
    <t>ocn907295398</t>
  </si>
  <si>
    <t>31036536589</t>
  </si>
  <si>
    <t>9780374135607</t>
  </si>
  <si>
    <t>794993216</t>
  </si>
  <si>
    <t>QZ 35 R628s 2003</t>
  </si>
  <si>
    <t>0                      QZ 0035000R  628s        2003</t>
  </si>
  <si>
    <t>Stiff : the curious lives of human cadavers / Mary Roach.</t>
  </si>
  <si>
    <t>New York : W.W. Norton &amp; Co., ©2003.</t>
  </si>
  <si>
    <t>Medical Humanities collection PAH.</t>
  </si>
  <si>
    <t>19915481:eng</t>
  </si>
  <si>
    <t>50912705</t>
  </si>
  <si>
    <t>ocm50912705</t>
  </si>
  <si>
    <t>3102294027B</t>
  </si>
  <si>
    <t>9780393050936</t>
  </si>
  <si>
    <t>793775047</t>
  </si>
  <si>
    <t>QZ 42 V126s 2005</t>
  </si>
  <si>
    <t>0                      QZ 0042000V  126s        2005</t>
  </si>
  <si>
    <t>The side effects bible : the dietary solution to unwanted side effects of common medications / Frederic Vagnini and Barry Fox.</t>
  </si>
  <si>
    <t>Vagnini, Frederic J.</t>
  </si>
  <si>
    <t>New York : Broadway Books, 2005.</t>
  </si>
  <si>
    <t>2016-01-14</t>
  </si>
  <si>
    <t>314913831:eng</t>
  </si>
  <si>
    <t>55845648</t>
  </si>
  <si>
    <t>ocm55845648</t>
  </si>
  <si>
    <t>3102615259B</t>
  </si>
  <si>
    <t>9780767918831</t>
  </si>
  <si>
    <t>793882994</t>
  </si>
  <si>
    <t>QZ 50 G328 1977</t>
  </si>
  <si>
    <t>0                      QZ 0050000G  328         1977</t>
  </si>
  <si>
    <t>Genetic counseling / editors, Herbert A. Lubs, Felix de la Cruz.</t>
  </si>
  <si>
    <t>New York : Raven Press, 1977.</t>
  </si>
  <si>
    <t>A monograph of the National Institute of Child Health and Human Development.</t>
  </si>
  <si>
    <t>54167595:eng</t>
  </si>
  <si>
    <t>2982988</t>
  </si>
  <si>
    <t>ocm02982988</t>
  </si>
  <si>
    <t>3000131524A</t>
  </si>
  <si>
    <t>9780890041505</t>
  </si>
  <si>
    <t>792202450</t>
  </si>
  <si>
    <t>QZ 50 R362i 2004</t>
  </si>
  <si>
    <t>0                      QZ 0050000R  362i        2004</t>
  </si>
  <si>
    <t>Is it in your genes? : the influence of genes on common disorders and diseases that affect you and your family / Philip R. Reilly.</t>
  </si>
  <si>
    <t>Reilly, Philip, 1947-</t>
  </si>
  <si>
    <t>Cold Spring Harbor, N.Y. : Cold Spring Harbor Laboratory Press, ©2004.</t>
  </si>
  <si>
    <t>905504109:eng</t>
  </si>
  <si>
    <t>54392591</t>
  </si>
  <si>
    <t>ocm54392591</t>
  </si>
  <si>
    <t>3102379250K</t>
  </si>
  <si>
    <t>9780879697198</t>
  </si>
  <si>
    <t>793860831</t>
  </si>
  <si>
    <t>QZ 150 W938</t>
  </si>
  <si>
    <t>0                      QZ 0150000W  938</t>
  </si>
  <si>
    <t>Wound healing; a symposium based upon the Lister Centenary Scientific Meeting, held in Glasgow September 1965. Ed. by Sir Charles Illingworth.</t>
  </si>
  <si>
    <t>Lister Centenary Scientific Meeting (1965 : Glasgow)</t>
  </si>
  <si>
    <t>London, Churchill, 1966.</t>
  </si>
  <si>
    <t>1036935627:eng</t>
  </si>
  <si>
    <t>9918018</t>
  </si>
  <si>
    <t>ocm09918018</t>
  </si>
  <si>
    <t>31037315086</t>
  </si>
  <si>
    <t>792699957</t>
  </si>
  <si>
    <t>QZ 160 S479L</t>
  </si>
  <si>
    <t>0                      QZ 0160000S  479L</t>
  </si>
  <si>
    <t>30001342166</t>
  </si>
  <si>
    <t>791403631</t>
  </si>
  <si>
    <t>QZ 200 B790 1966</t>
  </si>
  <si>
    <t>0                      QZ 0200000B  790         1966</t>
  </si>
  <si>
    <t>The spontaneous regression of cancer.</t>
  </si>
  <si>
    <t>Boyd, William, 1885-1979.</t>
  </si>
  <si>
    <t>Springfield, Ill., Thomas [©1966]</t>
  </si>
  <si>
    <t>Carl Vernon Weller lecture series</t>
  </si>
  <si>
    <t>144760110:eng</t>
  </si>
  <si>
    <t>2668338</t>
  </si>
  <si>
    <t>ocm02668338</t>
  </si>
  <si>
    <t>3000111001H</t>
  </si>
  <si>
    <t>792160436</t>
  </si>
  <si>
    <t>QZ 200 G756s 2001</t>
  </si>
  <si>
    <t>0                      QZ 0200000G  756s        2001</t>
  </si>
  <si>
    <t>Surviving cancer emotionally : learning how to heal / Roger Granet.</t>
  </si>
  <si>
    <t>Granet, Roger.</t>
  </si>
  <si>
    <t>New York : J. Wiley, 2001.</t>
  </si>
  <si>
    <t>235092005:eng</t>
  </si>
  <si>
    <t>46952226</t>
  </si>
  <si>
    <t>ocm46952226</t>
  </si>
  <si>
    <t>31022581586</t>
  </si>
  <si>
    <t>9780471387411</t>
  </si>
  <si>
    <t>793695337</t>
  </si>
  <si>
    <t>QZ 200 N625 1950</t>
  </si>
  <si>
    <t>0                      QZ 0200000N  625         1950</t>
  </si>
  <si>
    <t>Studies on tumour formation.</t>
  </si>
  <si>
    <t>Nicholson, Gilbert William de Poulton.</t>
  </si>
  <si>
    <t>London : Butterworth, 1950.</t>
  </si>
  <si>
    <t>22601331:eng</t>
  </si>
  <si>
    <t>216760598</t>
  </si>
  <si>
    <t>ocn216760598</t>
  </si>
  <si>
    <t>31036795839</t>
  </si>
  <si>
    <t>794315615</t>
  </si>
  <si>
    <t>QZ 200 Y74i 1926</t>
  </si>
  <si>
    <t>0                      QZ 0200000Y  74i         1926</t>
  </si>
  <si>
    <t>An investigation into the statistics of cancer in different trades and professions / by Matthew Young ... and W.T. Russell, with the collaboration of John Brownlee ... and E.L. Collis ...</t>
  </si>
  <si>
    <t>Young, Matthew.</t>
  </si>
  <si>
    <t>London, H.M. Stationery Off. [printed by J. Johnson at the University Press, Oxford] 1926.</t>
  </si>
  <si>
    <t>Medical Research Council (Great Britain). Special report series, no. 99</t>
  </si>
  <si>
    <t>8852700:eng</t>
  </si>
  <si>
    <t>14730901</t>
  </si>
  <si>
    <t>ocm14730901</t>
  </si>
  <si>
    <t>3103577930T</t>
  </si>
  <si>
    <t>792901118</t>
  </si>
  <si>
    <t>QZ 201 B431f 2006</t>
  </si>
  <si>
    <t>0                      QZ 0201000B  431f        2006</t>
  </si>
  <si>
    <t>Foods that fight cancer : preventing cancer through diet / Richard Béliveau, Denis Gingras; translated by Milena Stojanac.</t>
  </si>
  <si>
    <t>Béliveau, Richard, 1953-</t>
  </si>
  <si>
    <t>Toronto : McClelland &amp; Stewart, 2006.</t>
  </si>
  <si>
    <t>1403131404:eng</t>
  </si>
  <si>
    <t>63705516</t>
  </si>
  <si>
    <t>ocm63705516</t>
  </si>
  <si>
    <t>3102533959V</t>
  </si>
  <si>
    <t>9780771011351</t>
  </si>
  <si>
    <t>794122868</t>
  </si>
  <si>
    <t>QZ 201 B915s 2007</t>
  </si>
  <si>
    <t>0                      QZ 0201000B  915s        2007</t>
  </si>
  <si>
    <t>Singing the life : the story of a family in the shadow of cancer / Elizabeth Bryan.</t>
  </si>
  <si>
    <t>Bryan, Elizabeth M.</t>
  </si>
  <si>
    <t>London : Vermilion, 2007.</t>
  </si>
  <si>
    <t>2287003687:eng</t>
  </si>
  <si>
    <t>191751686</t>
  </si>
  <si>
    <t>ocn191751686</t>
  </si>
  <si>
    <t>3102852711L</t>
  </si>
  <si>
    <t>9780091917159</t>
  </si>
  <si>
    <t>794300859</t>
  </si>
  <si>
    <t>QZ 201 B919L 2001</t>
  </si>
  <si>
    <t>0                      QZ 0201000B  919L        2001</t>
  </si>
  <si>
    <t>Live longer, live larger : a holistic approach for cancer patients and their families / William M. Buchholz and Susan W. Buchholz.</t>
  </si>
  <si>
    <t>Buchholz, William M., 1945-</t>
  </si>
  <si>
    <t>Sebastopol, CA : O'Reilly, ©2001.</t>
  </si>
  <si>
    <t>Patient-centered guides</t>
  </si>
  <si>
    <t>5163755361:eng</t>
  </si>
  <si>
    <t>46319644</t>
  </si>
  <si>
    <t>ocm46319644</t>
  </si>
  <si>
    <t>3102162003Q</t>
  </si>
  <si>
    <t>9781565928459</t>
  </si>
  <si>
    <t>793682313</t>
  </si>
  <si>
    <t>QZ 201 C454u 2007</t>
  </si>
  <si>
    <t>0                      QZ 0201000C  454u        2007</t>
  </si>
  <si>
    <t>Understanding cancer therapies / Helen S.L. Chan.</t>
  </si>
  <si>
    <t>Chan, Helen S. L.</t>
  </si>
  <si>
    <t>Jackson : University Press of Mississippi, 2007.</t>
  </si>
  <si>
    <t>Understanding health and sickness series</t>
  </si>
  <si>
    <t>53314968:eng</t>
  </si>
  <si>
    <t>69732899</t>
  </si>
  <si>
    <t>ocm69732899</t>
  </si>
  <si>
    <t>3102598114D</t>
  </si>
  <si>
    <t>9781578066889</t>
  </si>
  <si>
    <t>794146939</t>
  </si>
  <si>
    <t>QZ 201 F141 2004</t>
  </si>
  <si>
    <t>0                      QZ 0201000F  141         2004</t>
  </si>
  <si>
    <t>Facing cancer : a complete guide for people with cancer, their families, and caregivers / Theodore A. Stern, Mikkael A. Sekeres, editors.</t>
  </si>
  <si>
    <t>New York : McGraw-Hill Medical Publishing Division, [2004]</t>
  </si>
  <si>
    <t>2016-07-18</t>
  </si>
  <si>
    <t>13706946:eng</t>
  </si>
  <si>
    <t>54398413</t>
  </si>
  <si>
    <t>ocm54398413</t>
  </si>
  <si>
    <t>3102463869N</t>
  </si>
  <si>
    <t>9780071414913</t>
  </si>
  <si>
    <t>793860933</t>
  </si>
  <si>
    <t>QZ 201 F596L 2011</t>
  </si>
  <si>
    <t>0                      QZ 0201000F  596L        2011</t>
  </si>
  <si>
    <t>Learn to live through cancer : what you need to know and do / Stewart B. Fleishman.</t>
  </si>
  <si>
    <t>Fleishman, Stewart B.</t>
  </si>
  <si>
    <t>New York : Demos Health, ©2011.</t>
  </si>
  <si>
    <t>1059125468:eng</t>
  </si>
  <si>
    <t>681499902</t>
  </si>
  <si>
    <t>ocn681499902</t>
  </si>
  <si>
    <t>3103363553X</t>
  </si>
  <si>
    <t>9781936303083</t>
  </si>
  <si>
    <t>794852146</t>
  </si>
  <si>
    <t>QZ 201 F965 2015</t>
  </si>
  <si>
    <t>0                      QZ 0201000F  965         2015</t>
  </si>
  <si>
    <t>How to help your friend with cancer / Colleen Dolan Fullbright.</t>
  </si>
  <si>
    <t>Fullbright, Colleen Dolan.</t>
  </si>
  <si>
    <t>Atlanta, Georgia : American Cancer Society/Health Promotion, [2015]</t>
  </si>
  <si>
    <t>2427262737:eng</t>
  </si>
  <si>
    <t>887605828</t>
  </si>
  <si>
    <t>ocn887605828</t>
  </si>
  <si>
    <t>3103698589R</t>
  </si>
  <si>
    <t>9781604432244</t>
  </si>
  <si>
    <t>794977747</t>
  </si>
  <si>
    <t>QZ 201 G327e 2013</t>
  </si>
  <si>
    <t>0                      QZ 0201000G  327e        2013</t>
  </si>
  <si>
    <t>Échec au cancer : guide des aliments protecteurs / Lyse Genest.</t>
  </si>
  <si>
    <t>Genest, Lyse, 1939-</t>
  </si>
  <si>
    <t>[Québec, Qué.] : Presses de l'Université Laval, 2013.</t>
  </si>
  <si>
    <t>1235803496:fre</t>
  </si>
  <si>
    <t>839661160</t>
  </si>
  <si>
    <t>ocn839661160</t>
  </si>
  <si>
    <t>31034238355</t>
  </si>
  <si>
    <t>9782763717289</t>
  </si>
  <si>
    <t>794945730</t>
  </si>
  <si>
    <t>QZ 201 K19t 1996a</t>
  </si>
  <si>
    <t>0                      QZ 0201000K  19t         1996a</t>
  </si>
  <si>
    <t>The cancer prevention good health diet : a complete program for a longer, healthier life / Martin Katahn.</t>
  </si>
  <si>
    <t>Katahn, Martin.</t>
  </si>
  <si>
    <t>New York : Norton, [2000], ©1996.</t>
  </si>
  <si>
    <t>33654973:eng</t>
  </si>
  <si>
    <t>43936828</t>
  </si>
  <si>
    <t>ocm43936828</t>
  </si>
  <si>
    <t>3102183501U</t>
  </si>
  <si>
    <t>9780393320589</t>
  </si>
  <si>
    <t>793639197</t>
  </si>
  <si>
    <t>QZ 201 K292c 2003</t>
  </si>
  <si>
    <t>0                      QZ 0201000K  292c        2003</t>
  </si>
  <si>
    <t>Cancer action plan : useful, innovative, alternative cancer therapies / Simon Kelly.</t>
  </si>
  <si>
    <t>Kelly, Simon.</t>
  </si>
  <si>
    <t>London : London Press, 2003.</t>
  </si>
  <si>
    <t>2016-01-06</t>
  </si>
  <si>
    <t>10445432:eng</t>
  </si>
  <si>
    <t>52807803</t>
  </si>
  <si>
    <t>ocm52807803</t>
  </si>
  <si>
    <t>3102672749H</t>
  </si>
  <si>
    <t>9780954463601</t>
  </si>
  <si>
    <t>793814545</t>
  </si>
  <si>
    <t>QZ 201 K75 2008</t>
  </si>
  <si>
    <t>0                      QZ 0201000K  75          2008</t>
  </si>
  <si>
    <t>Everyone's guide to cancer therapy : how cancer is diagnosed, treated, and managed day to day / Andrew H. Ko, Malin Dollinger, Ernest H. Rosenbaum.</t>
  </si>
  <si>
    <t>Ko, Andrew H.</t>
  </si>
  <si>
    <t>Kansas City : Andrews McMeel Pub., ©2008.</t>
  </si>
  <si>
    <t>Rev. 5th ed.</t>
  </si>
  <si>
    <t>631283:eng</t>
  </si>
  <si>
    <t>134991818</t>
  </si>
  <si>
    <t>ocn134991818</t>
  </si>
  <si>
    <t>31030529669</t>
  </si>
  <si>
    <t>9780740768576</t>
  </si>
  <si>
    <t>794232534</t>
  </si>
  <si>
    <t>QZ 201 L555a 2015</t>
  </si>
  <si>
    <t>0                      QZ 0201000L  555a        2015</t>
  </si>
  <si>
    <t>After cancer care : the definitive self-care guide to getting and staying well for patients after cancer / Gerald M. Lemole, MD, Pallav K. Mehta, MD, Dwight L. McKee, MD ; foreword by Mehmet C. Oz, MD.</t>
  </si>
  <si>
    <t>Lemole, Gerald M.</t>
  </si>
  <si>
    <t>New York, NY : Rodale, [2015]</t>
  </si>
  <si>
    <t>2058704317:eng</t>
  </si>
  <si>
    <t>889164479</t>
  </si>
  <si>
    <t>ocn889164479</t>
  </si>
  <si>
    <t>3103653731P</t>
  </si>
  <si>
    <t>9781623365028</t>
  </si>
  <si>
    <t>794978234</t>
  </si>
  <si>
    <t>QZ 201 M681m 2015</t>
  </si>
  <si>
    <t>0                      QZ 0201000M  681m        2015</t>
  </si>
  <si>
    <t>Malignant metaphor : confronting cancer myths / Alanna Mitchell.</t>
  </si>
  <si>
    <t>Mitchell, Alanna, author.</t>
  </si>
  <si>
    <t>Toronto, Ontario, Canada : ECW Press, [2015]</t>
  </si>
  <si>
    <t>2747405954:eng</t>
  </si>
  <si>
    <t>909085293</t>
  </si>
  <si>
    <t>ocn909085293</t>
  </si>
  <si>
    <t>31036536953</t>
  </si>
  <si>
    <t>9781770412682</t>
  </si>
  <si>
    <t>794995280</t>
  </si>
  <si>
    <t>QZ 201 R815 2009</t>
  </si>
  <si>
    <t>0                      QZ 0201000R  815         2009</t>
  </si>
  <si>
    <t>Everything changes : the insider's guide to cancer in your 20s and 30s / Kairol Rosenthal.</t>
  </si>
  <si>
    <t>Rosenthal, Kairol, 1972-</t>
  </si>
  <si>
    <t>Hoboken, N.J. : Wiley, ©2009.</t>
  </si>
  <si>
    <t>801197584:eng</t>
  </si>
  <si>
    <t>244060882</t>
  </si>
  <si>
    <t>ocn244060882</t>
  </si>
  <si>
    <t>3103155184B</t>
  </si>
  <si>
    <t>9780470294024</t>
  </si>
  <si>
    <t>794380703</t>
  </si>
  <si>
    <t>QZ 201 S571L 1986</t>
  </si>
  <si>
    <t>0                      QZ 0201000S  571L        1986</t>
  </si>
  <si>
    <t>Love, medicine &amp; miracles : lessons learned about self-healing from a surgeon's experience with exceptional patients / Bernie S. Siegel.</t>
  </si>
  <si>
    <t>Siegel, Bernie S., author.</t>
  </si>
  <si>
    <t>New York : Harper &amp; Row Publishers, [1986]</t>
  </si>
  <si>
    <t>2013-04-16</t>
  </si>
  <si>
    <t>2452584452:eng</t>
  </si>
  <si>
    <t>12724795</t>
  </si>
  <si>
    <t>ocm12724795</t>
  </si>
  <si>
    <t>3102229601C</t>
  </si>
  <si>
    <t>9780060154967</t>
  </si>
  <si>
    <t>792825918</t>
  </si>
  <si>
    <t>QZ 201 S611 1980</t>
  </si>
  <si>
    <t>0                      QZ 0201000S  611         1980</t>
  </si>
  <si>
    <t>Getting well again : a step-by-step, self-help guide to overcoming cancer for patients and their families / O. Carl Simonton, Stephanie Matthews-Simonton, James L. Creighton.</t>
  </si>
  <si>
    <t>Simonton, Oscar Carl.</t>
  </si>
  <si>
    <t>Toronto ; New York : Bantam Books, 1980, ©1978.</t>
  </si>
  <si>
    <t>4020060076:eng</t>
  </si>
  <si>
    <t>13556884</t>
  </si>
  <si>
    <t>ocm13556884</t>
  </si>
  <si>
    <t>31010745043</t>
  </si>
  <si>
    <t>9780553204421</t>
  </si>
  <si>
    <t>792857487</t>
  </si>
  <si>
    <t>QZ 202 G875.2 1970</t>
  </si>
  <si>
    <t>0                      QZ 0202000G  875                                                     .2 1970</t>
  </si>
  <si>
    <t>Oncogenic viruses.</t>
  </si>
  <si>
    <t>Gross, Ludwik.</t>
  </si>
  <si>
    <t>Oxford, New York, Pergamon Press [1970]</t>
  </si>
  <si>
    <t>2d ed. completely rev. and enl.</t>
  </si>
  <si>
    <t>2863525356:eng</t>
  </si>
  <si>
    <t>118030</t>
  </si>
  <si>
    <t>ocm00118030</t>
  </si>
  <si>
    <t>3000111183M</t>
  </si>
  <si>
    <t>9780080132365</t>
  </si>
  <si>
    <t>791262306</t>
  </si>
  <si>
    <t>QZ 202 W423b 2014</t>
  </si>
  <si>
    <t>0                      QZ 0202000W  423b        2014</t>
  </si>
  <si>
    <t>The biology of cancer / Robert A. Weinberg.</t>
  </si>
  <si>
    <t>Weinberg, Robert A. (Robert Allan), 1942-</t>
  </si>
  <si>
    <t>New York : Garland Science, Taylor &amp; Francis Group, [2014]</t>
  </si>
  <si>
    <t>47316244:eng</t>
  </si>
  <si>
    <t>841051175</t>
  </si>
  <si>
    <t>ocn841051175</t>
  </si>
  <si>
    <t>3103907903B</t>
  </si>
  <si>
    <t>9780815342199</t>
  </si>
  <si>
    <t>794946475</t>
  </si>
  <si>
    <t>31039079049</t>
  </si>
  <si>
    <t>794946476</t>
  </si>
  <si>
    <t>QZ 266 B6156 2009</t>
  </si>
  <si>
    <t>0                      QZ 0266000B  6156        2009</t>
  </si>
  <si>
    <t>The biology and treatment of cancer : understanding cancer / [edited by] Arthur B. Pardee, Gary S. Stein.</t>
  </si>
  <si>
    <t>Hoboken, N.J. : Wiley-Blackwell, ©2009.</t>
  </si>
  <si>
    <t>1077435022:eng</t>
  </si>
  <si>
    <t>191010116</t>
  </si>
  <si>
    <t>ocn191010116</t>
  </si>
  <si>
    <t>3103314221W</t>
  </si>
  <si>
    <t>9780470009581</t>
  </si>
  <si>
    <t>794296677</t>
  </si>
  <si>
    <t>QZ 267 M478c 2009</t>
  </si>
  <si>
    <t>0                      QZ 0267000M  478c        2009</t>
  </si>
  <si>
    <t>The chemotherapy survival guide : everything you need to know to get through treatment / Judith McKay, Tamera Schacher.</t>
  </si>
  <si>
    <t>McKay, Judith.</t>
  </si>
  <si>
    <t>Oakland, Calif. : New Harbinger Publications, ©2009.</t>
  </si>
  <si>
    <t>1029452734:eng</t>
  </si>
  <si>
    <t>237879849</t>
  </si>
  <si>
    <t>ocn237879849</t>
  </si>
  <si>
    <t>3103081990T</t>
  </si>
  <si>
    <t>9781572246218</t>
  </si>
  <si>
    <t>794373636</t>
  </si>
  <si>
    <t>QZ 350 I61 1975</t>
  </si>
  <si>
    <t>0                      QZ 0350000I  61          1975</t>
  </si>
  <si>
    <t>Comparative leukemia research 1975 : proceedings of the 7th International Symposium on Comparative Leukemia Research, Copenhagen, October 1975 / editors: Johannes Clemmesen and David S. Yohn.</t>
  </si>
  <si>
    <t>International Symposium on Comparative Leukemia Research (7th : 1975 : Copenhagen, Denmark)</t>
  </si>
  <si>
    <t>Basel ; New York : Karger, ©1976.</t>
  </si>
  <si>
    <t>Bibliotheca haematologica ; no. 43</t>
  </si>
  <si>
    <t>352677358:eng</t>
  </si>
  <si>
    <t>2315063</t>
  </si>
  <si>
    <t>ocm02315063</t>
  </si>
  <si>
    <t>3000111355J</t>
  </si>
  <si>
    <t>9783805523165</t>
  </si>
  <si>
    <t>792102283</t>
  </si>
  <si>
    <t>QZ 350 S669 1953</t>
  </si>
  <si>
    <t>0                      QZ 0350000S  669         1953</t>
  </si>
  <si>
    <t>Multiple myeloma [by] I. Snapper [and others].</t>
  </si>
  <si>
    <t>Snapper, I. (Isidore), 1889-1973.</t>
  </si>
  <si>
    <t>New York, Grune and Stratton, 1953.</t>
  </si>
  <si>
    <t>1846387:eng</t>
  </si>
  <si>
    <t>908728</t>
  </si>
  <si>
    <t>ocm00908728</t>
  </si>
  <si>
    <t>3000129241P</t>
  </si>
  <si>
    <t>791499657</t>
  </si>
  <si>
    <t>folio Q11 P612 v.104</t>
  </si>
  <si>
    <t>0folio                 Q  0011000P  612                                                     v.104</t>
  </si>
  <si>
    <t>Studies in pre-Vesalian anatomy : biography, translations, documents / L.R. Lind.</t>
  </si>
  <si>
    <t>v.104*</t>
  </si>
  <si>
    <t>Memoirs of the American Philosophical Society ; v. 104, 0065-9738</t>
  </si>
  <si>
    <t>2007-11-13</t>
  </si>
  <si>
    <t>912031755:eng</t>
  </si>
  <si>
    <t>1301158</t>
  </si>
  <si>
    <t>ocm01301158</t>
  </si>
  <si>
    <t>30003920179</t>
  </si>
  <si>
    <t>9780871691040</t>
  </si>
  <si>
    <t>791594601</t>
  </si>
  <si>
    <t>folio Q11 P612 v.185</t>
  </si>
  <si>
    <t>0folio                 Q  0011000P  612                                                     v.185</t>
  </si>
  <si>
    <t>Native writings in Massachusett / Ives Goddard and Kathleen J. Bragdon.</t>
  </si>
  <si>
    <t>Goddard, Ives, 1941-</t>
  </si>
  <si>
    <t>Memoirs of the American Philosophical Society, 0065-9738 ; v. 185</t>
  </si>
  <si>
    <t>9738335298:eng</t>
  </si>
  <si>
    <t>19572765</t>
  </si>
  <si>
    <t>ocm19572765</t>
  </si>
  <si>
    <t>3103599699M</t>
  </si>
  <si>
    <t>9780871691859</t>
  </si>
  <si>
    <t>793062685</t>
  </si>
  <si>
    <t>3103599704I</t>
  </si>
  <si>
    <t>793062684</t>
  </si>
  <si>
    <t>folio Q11 P612 v.40</t>
  </si>
  <si>
    <t>0folio                 Q  0011000P  612                                                     v.40</t>
  </si>
  <si>
    <t>The slave systems of Greek and Roman antiquity / William L. Westermann.</t>
  </si>
  <si>
    <t>v.40*</t>
  </si>
  <si>
    <t>Westermann, William Linn, 1873-1954.</t>
  </si>
  <si>
    <t>Philadelphia : American Philosophical Society, 1955.</t>
  </si>
  <si>
    <t>Memoirs of the American Philosophical Society ; v. 40</t>
  </si>
  <si>
    <t>518023:eng</t>
  </si>
  <si>
    <t>266270</t>
  </si>
  <si>
    <t>ocm00266270</t>
  </si>
  <si>
    <t>3000229647R</t>
  </si>
  <si>
    <t>791316432</t>
  </si>
  <si>
    <t>folio Q11 P612 v.74</t>
  </si>
  <si>
    <t>0folio                 Q  0011000P  612                                                     v.74</t>
  </si>
  <si>
    <t>William Bartram : botanical and zoological drawings, 1756-1788 / reproduced from the Fothergill album in the British Museum (Natural History) ; edited with an introduction and commentary, by Joseph Ewan.</t>
  </si>
  <si>
    <t>v.74*</t>
  </si>
  <si>
    <t>Bartram, William, 1739-1823.</t>
  </si>
  <si>
    <t>Philadelphia : American Philosophical Society, 1968.</t>
  </si>
  <si>
    <t>Memoirs of the American Philosophical Society ; v. 74</t>
  </si>
  <si>
    <t>3882216813:eng</t>
  </si>
  <si>
    <t>435418</t>
  </si>
  <si>
    <t>ocm00435418</t>
  </si>
  <si>
    <t>3103741818M</t>
  </si>
  <si>
    <t>791377540</t>
  </si>
  <si>
    <t>folio QA276 P33 1966</t>
  </si>
  <si>
    <t>0folio                 QA 0276000P  33          1966</t>
  </si>
  <si>
    <t>Biometrika tables for statisticians / edited by E.S. Pearson and H.O. Hartley.</t>
  </si>
  <si>
    <t>Pearson, E. S. (Egon Sharpe), 1895-1980.</t>
  </si>
  <si>
    <t>Cambridge [England] : Published for the Biometrika Trustees at the University Press, 1966-</t>
  </si>
  <si>
    <t>[3rd ed.].</t>
  </si>
  <si>
    <t>2487807548:eng</t>
  </si>
  <si>
    <t>653540</t>
  </si>
  <si>
    <t>ocm00653540</t>
  </si>
  <si>
    <t>30006993492</t>
  </si>
  <si>
    <t>9780904653113</t>
  </si>
  <si>
    <t>791438387</t>
  </si>
  <si>
    <t>folio QA464 D8 1977</t>
  </si>
  <si>
    <t>0folio                 QA 0464000D  8           1977</t>
  </si>
  <si>
    <t>The painter's manual : a manual of measurement of lines, areas, and solids by means of compass and ruler assembled by Albrecht Dürer for the use of all lovers of art with appropriate illustrations arranged to be printed in the year MDXXV / by Albrecht Dürer ; translated and with a commentary by Walter L. Strauss.</t>
  </si>
  <si>
    <t>Dürer, Albrecht, 1471-1528.</t>
  </si>
  <si>
    <t>New York : Abaris Books, 1977.</t>
  </si>
  <si>
    <t>2868866255:eng</t>
  </si>
  <si>
    <t>4725790</t>
  </si>
  <si>
    <t>ocm04725790</t>
  </si>
  <si>
    <t>3000919497E</t>
  </si>
  <si>
    <t>9780913870525</t>
  </si>
  <si>
    <t>792378252</t>
  </si>
  <si>
    <t>folio QB85 A88 2005</t>
  </si>
  <si>
    <t>0folio                 QB 0085000A  88          2005</t>
  </si>
  <si>
    <t>Astrolabes at Greenwich : a catalogue of the astrolabes in the National Maritime Museum, Greenwich / [edited by] Koenraad van Cleempoel ; with contributions from Silke Ackermann [and others].</t>
  </si>
  <si>
    <t>Oxford : Oxford University Press and the National Maritime Museum, 2005.</t>
  </si>
  <si>
    <t>865032886:eng</t>
  </si>
  <si>
    <t>56649396</t>
  </si>
  <si>
    <t>ocm56649396</t>
  </si>
  <si>
    <t>3102489965N</t>
  </si>
  <si>
    <t>9780198530695</t>
  </si>
  <si>
    <t>793898125</t>
  </si>
  <si>
    <t>folio QC3 W5</t>
  </si>
  <si>
    <t>0folio                 QC 0003000W  5</t>
  </si>
  <si>
    <t>Neuere probleme der theoretischen physik : six lectures delivered in Columbia University in April, 1913.</t>
  </si>
  <si>
    <t>Wien, W. (Wilhelm), 1864-1928.</t>
  </si>
  <si>
    <t>Leipzig And Berlin, B.G. Teubner, 1913.</t>
  </si>
  <si>
    <t>Columbia University. Publication no. 7 of the Ernest Kepton Adams Fund for Physical Research</t>
  </si>
  <si>
    <t>3901336157:ger</t>
  </si>
  <si>
    <t>2306253</t>
  </si>
  <si>
    <t>ocm02306253</t>
  </si>
  <si>
    <t>3103599599Q</t>
  </si>
  <si>
    <t>792101116</t>
  </si>
  <si>
    <t>folio QC47 F7 M8713 2002</t>
  </si>
  <si>
    <t>0folio                 QC 0047000F  7                  M  8713        2002</t>
  </si>
  <si>
    <t>The art of teaching physics : the eighteenth-century demonstration apparatus of Jean Antoine Nollet / Lewis Pyenson and Jean-François Gauvin, editors.</t>
  </si>
  <si>
    <t>David M. Stewart Museum.</t>
  </si>
  <si>
    <t>Sillery, Québec : Septentrion, 2002.</t>
  </si>
  <si>
    <t>891350481:eng</t>
  </si>
  <si>
    <t>50940496</t>
  </si>
  <si>
    <t>ocm50940496</t>
  </si>
  <si>
    <t>3102359616Q</t>
  </si>
  <si>
    <t>9782894483206</t>
  </si>
  <si>
    <t>793775692</t>
  </si>
  <si>
    <t>folio QC71 P463</t>
  </si>
  <si>
    <t>0folio                 QC 0071000P  463</t>
  </si>
  <si>
    <t>Eight lectures on theoretical physics : delivered at Columbia university in 1909 / by Max Planck. tr. by A.P. Wills.</t>
  </si>
  <si>
    <t>New York : Columbia University Press, 1915.</t>
  </si>
  <si>
    <t>Ernest Kempton Adams Fund for Physical Research. Publication ; 3</t>
  </si>
  <si>
    <t>5090746428:eng</t>
  </si>
  <si>
    <t>3393318</t>
  </si>
  <si>
    <t>ocm03393318</t>
  </si>
  <si>
    <t>3103599598S</t>
  </si>
  <si>
    <t>792249775</t>
  </si>
  <si>
    <t>folio QC803 C35 1939</t>
  </si>
  <si>
    <t>0folio                 QC 0803000C  35          1939</t>
  </si>
  <si>
    <t>Canadian polar year expeditions. 1932-33.</t>
  </si>
  <si>
    <t>Canada. Meteorological Branch.</t>
  </si>
  <si>
    <t>Ottawa, J.O. Paternaude, printer to the King, 1940, 39.</t>
  </si>
  <si>
    <t>2017-11-12</t>
  </si>
  <si>
    <t>29481843:eng</t>
  </si>
  <si>
    <t>7720224</t>
  </si>
  <si>
    <t>ocm07720224</t>
  </si>
  <si>
    <t>3100987051C</t>
  </si>
  <si>
    <t>792575793</t>
  </si>
  <si>
    <t>3000499369A</t>
  </si>
  <si>
    <t>792575794</t>
  </si>
  <si>
    <t>folio QD26 F3</t>
  </si>
  <si>
    <t>0folio                 QD 0026000F  3</t>
  </si>
  <si>
    <t>Alchemy : the medieval alchemists and their royal art / by Johannes Fabricius.</t>
  </si>
  <si>
    <t>Fabricius, Johannes.</t>
  </si>
  <si>
    <t>Copenhagen : Rosenkilde and Bagger, 1976.</t>
  </si>
  <si>
    <t>6703819:eng</t>
  </si>
  <si>
    <t>2896768</t>
  </si>
  <si>
    <t>ocm02896768</t>
  </si>
  <si>
    <t>31029448423</t>
  </si>
  <si>
    <t>9788742301654</t>
  </si>
  <si>
    <t>792190692</t>
  </si>
  <si>
    <t>folio QE185 A12</t>
  </si>
  <si>
    <t>0folio                 QE 0185000A  12</t>
  </si>
  <si>
    <t>Plans of various lakes and rivers between Lake Huron and the river Ottawa, to accompany the Geological reports for 1853-54-55-56.</t>
  </si>
  <si>
    <t>Toronto : Printed by J. Lovell, 1857.</t>
  </si>
  <si>
    <t>2015-11-02</t>
  </si>
  <si>
    <t>117506414:eng</t>
  </si>
  <si>
    <t>184747931</t>
  </si>
  <si>
    <t>ocn184747931</t>
  </si>
  <si>
    <t>3000685578D</t>
  </si>
  <si>
    <t>794289681</t>
  </si>
  <si>
    <t>folio QE194 S3 P49x</t>
  </si>
  <si>
    <t>0folio                 QE 0194000S  3                  P  49x</t>
  </si>
  <si>
    <t>Physical environment of Saskatoon, Canada. Editor: E.A. Christiansen; associate and cartographic editor: S.H. Whitaker; associate editor: W.A. Meneley; cartographer: C.G. Elias.</t>
  </si>
  <si>
    <t>Ottawa, Saskatchewan Research Council in co-operation with the National Research Council of Canada, 1970.</t>
  </si>
  <si>
    <t>NRC publication ; no. 11378</t>
  </si>
  <si>
    <t>1265986:eng</t>
  </si>
  <si>
    <t>205352</t>
  </si>
  <si>
    <t>ocm00205352</t>
  </si>
  <si>
    <t>3000302809U</t>
  </si>
  <si>
    <t>791293234</t>
  </si>
  <si>
    <t>folio QE196 N7 F7</t>
  </si>
  <si>
    <t>0folio                 QE 0196000N  7                  F  7</t>
  </si>
  <si>
    <t>Geology of the expedition area western central Axel Heiberg Island, Canadian Arctic Archipelago / P.E. Fricker.</t>
  </si>
  <si>
    <t>Fricker, P. E.</t>
  </si>
  <si>
    <t>Montreal : [publisher not identified] 1963.</t>
  </si>
  <si>
    <t>Axel Heiberg Island research reports. Geology ; no. 1</t>
  </si>
  <si>
    <t>31425867:eng</t>
  </si>
  <si>
    <t>427293239</t>
  </si>
  <si>
    <t>ocn427293239</t>
  </si>
  <si>
    <t>3001061128$</t>
  </si>
  <si>
    <t>794568589</t>
  </si>
  <si>
    <t>folio QE696 B67 1961</t>
  </si>
  <si>
    <t>0folio                 QE 0696000B  67          1961</t>
  </si>
  <si>
    <t>Le bassin du Rhône au Quaternaire : géologie et préhistoire / Franck Bourdier.</t>
  </si>
  <si>
    <t>Bourdier, Franck.</t>
  </si>
  <si>
    <t>Paris : Éditions du Centre National de la Recherche Scientifique, 1961-1962.</t>
  </si>
  <si>
    <t>365265892:fre</t>
  </si>
  <si>
    <t>2380958</t>
  </si>
  <si>
    <t>ocm02380958</t>
  </si>
  <si>
    <t>3100795847Q</t>
  </si>
  <si>
    <t>792113462</t>
  </si>
  <si>
    <t>3000721231Q</t>
  </si>
  <si>
    <t>792113463</t>
  </si>
  <si>
    <t>folio QH26 L56 2007</t>
  </si>
  <si>
    <t>0folio                 QH 0026000L  56          2007</t>
  </si>
  <si>
    <t>The Linnaeus Apostles : global science and adventure / editor-in-chief, Lars Hansen ; transcribed by Viveka Hansen.</t>
  </si>
  <si>
    <t>Whitby : IK Foundation, 2007-</t>
  </si>
  <si>
    <t>4918199215:eng</t>
  </si>
  <si>
    <t>182582221</t>
  </si>
  <si>
    <t>ocn182582221</t>
  </si>
  <si>
    <t>31031333110</t>
  </si>
  <si>
    <t>9781904145264</t>
  </si>
  <si>
    <t>794284759</t>
  </si>
  <si>
    <t>v.3:bk.2</t>
  </si>
  <si>
    <t>2010-06-15</t>
  </si>
  <si>
    <t>31028571659</t>
  </si>
  <si>
    <t>794284764</t>
  </si>
  <si>
    <t>v.3:bk.3</t>
  </si>
  <si>
    <t>31028571707</t>
  </si>
  <si>
    <t>794284763</t>
  </si>
  <si>
    <t>3102873438C</t>
  </si>
  <si>
    <t>794284761</t>
  </si>
  <si>
    <t>v.2:bk.2</t>
  </si>
  <si>
    <t>31028734676</t>
  </si>
  <si>
    <t>794284766</t>
  </si>
  <si>
    <t>v.3:bk.1</t>
  </si>
  <si>
    <t>31028571609</t>
  </si>
  <si>
    <t>794284765</t>
  </si>
  <si>
    <t>3103457540I</t>
  </si>
  <si>
    <t>794284758</t>
  </si>
  <si>
    <t>31031333120</t>
  </si>
  <si>
    <t>794284762</t>
  </si>
  <si>
    <t>v.2:bk.1</t>
  </si>
  <si>
    <t>3102873428E</t>
  </si>
  <si>
    <t>794284767</t>
  </si>
  <si>
    <t>2015-04-03</t>
  </si>
  <si>
    <t>31032349463</t>
  </si>
  <si>
    <t>794284768</t>
  </si>
  <si>
    <t>3102873433C</t>
  </si>
  <si>
    <t>794284760</t>
  </si>
  <si>
    <t>folio QH75 S45</t>
  </si>
  <si>
    <t>0folio                 QH 0075000S  45</t>
  </si>
  <si>
    <t>Shaping tomorrow's landscape. Editors: Sylvia Crowe and Zvi Miller. Editorial board: F.C. Cabral [and others].</t>
  </si>
  <si>
    <t>Crowe, Sylvia, editor.</t>
  </si>
  <si>
    <t>Amsterdam, Djambatan, 1964.</t>
  </si>
  <si>
    <t>355410888:eng</t>
  </si>
  <si>
    <t>505542</t>
  </si>
  <si>
    <t>ocm00505542</t>
  </si>
  <si>
    <t>3000927883D</t>
  </si>
  <si>
    <t>791397056</t>
  </si>
  <si>
    <t>3100897475K</t>
  </si>
  <si>
    <t>791397055</t>
  </si>
  <si>
    <t>folio QH88 O43 2004</t>
  </si>
  <si>
    <t>0folio                 QH 0088000O  43          2004</t>
  </si>
  <si>
    <t>Deserts : the living drylands / Sara Oldfield ; photography by Bruce Coleman Collection ; foreword by Mark Rose.</t>
  </si>
  <si>
    <t>Oldfield, Sara, 1955-</t>
  </si>
  <si>
    <t>12518163:eng</t>
  </si>
  <si>
    <t>54407726</t>
  </si>
  <si>
    <t>ocm54407726</t>
  </si>
  <si>
    <t>3102384849J</t>
  </si>
  <si>
    <t>9780262151122</t>
  </si>
  <si>
    <t>793861125</t>
  </si>
  <si>
    <t>folio QH91 A1 Y3 no. 2</t>
  </si>
  <si>
    <t>0folio                 QH 0091000A  1                  Y  3                                 no. 2</t>
  </si>
  <si>
    <t>The elementary chemical composition of marine organisms / A.P. Vinogradov.</t>
  </si>
  <si>
    <t>no. 2*</t>
  </si>
  <si>
    <t>Vinogradov, A. P. (Aleksandr Pavlovich), 1895-1975.</t>
  </si>
  <si>
    <t>New Haven, Sears Foundation for Marine Research, Yale University, 1953.</t>
  </si>
  <si>
    <t>Yale University Sears Foundation for Marine Research. Memoir no. 2</t>
  </si>
  <si>
    <t>3876543:eng</t>
  </si>
  <si>
    <t>2206892</t>
  </si>
  <si>
    <t>ocm02206892</t>
  </si>
  <si>
    <t>3101847191J</t>
  </si>
  <si>
    <t>792066837</t>
  </si>
  <si>
    <t>folio QH212 E4 E342</t>
  </si>
  <si>
    <t>0folio                 QH 0212000E  4                  E  342</t>
  </si>
  <si>
    <t>Electron diffraction in the electron microscope / J.W. Edington.</t>
  </si>
  <si>
    <t>Edington, Jeffrey William.</t>
  </si>
  <si>
    <t>Monographs in practical electron microscopy in materials science ; 2</t>
  </si>
  <si>
    <t>326931340:eng</t>
  </si>
  <si>
    <t>2649816</t>
  </si>
  <si>
    <t>ocm02649816</t>
  </si>
  <si>
    <t>3103735938Z</t>
  </si>
  <si>
    <t>9780333182925</t>
  </si>
  <si>
    <t>792158043</t>
  </si>
  <si>
    <t>folio QH310 S6</t>
  </si>
  <si>
    <t>0folio                 QH 0310000S  6</t>
  </si>
  <si>
    <t>Handbook of biological data. Prepared under the direction of the Committee on the Handbook of Biological Data, Division of Biology and Agriculture, the National Academy of Sciences, the National Research Council.</t>
  </si>
  <si>
    <t>Spector, William S., editor.</t>
  </si>
  <si>
    <t>Philadelphia, Saunders [1956]</t>
  </si>
  <si>
    <t>Prepared under the Direction of the Committee on the Handbook of Biological</t>
  </si>
  <si>
    <t>144909001:eng</t>
  </si>
  <si>
    <t>550135</t>
  </si>
  <si>
    <t>ocm00550135</t>
  </si>
  <si>
    <t>3001051560U</t>
  </si>
  <si>
    <t>791411447</t>
  </si>
  <si>
    <t>folio QH325 M298 1995</t>
  </si>
  <si>
    <t>0folio                 QH 0325000M  298         1995</t>
  </si>
  <si>
    <t>What is life? / Lynn Margulis and Dorion Sagan ; foreword by Niles Eldredge.</t>
  </si>
  <si>
    <t>14429586:eng</t>
  </si>
  <si>
    <t>31606625</t>
  </si>
  <si>
    <t>ocm31606625</t>
  </si>
  <si>
    <t>31015414223</t>
  </si>
  <si>
    <t>9780684813264</t>
  </si>
  <si>
    <t>793364137</t>
  </si>
  <si>
    <t>folio QH541.5 E8 W38</t>
  </si>
  <si>
    <t>0folio                 QH 0541500E  8                  W  38</t>
  </si>
  <si>
    <t>Edge of life; the world of the estuary. Photos. by Dennis Stock. With an introd. by Paul Brooks. Designed by Charles Curtis.</t>
  </si>
  <si>
    <t>Wayburn, Peggy.</t>
  </si>
  <si>
    <t>San Francisco, Sierra Club [1972]</t>
  </si>
  <si>
    <t>A Landform book</t>
  </si>
  <si>
    <t>2533357998:eng</t>
  </si>
  <si>
    <t>2213405</t>
  </si>
  <si>
    <t>ocm02213405</t>
  </si>
  <si>
    <t>30010563718</t>
  </si>
  <si>
    <t>9780871560575</t>
  </si>
  <si>
    <t>792068251</t>
  </si>
  <si>
    <t>folio QH605 C6</t>
  </si>
  <si>
    <t>0folio                 QH 0605000C  6</t>
  </si>
  <si>
    <t>Experimental studies on nuclear and cell division in the eggs of crepidula / by Edwin Grant Conklin ... : plates XLIII-LIX.</t>
  </si>
  <si>
    <t>Conklin, Edwin Grant, 1863-1952.</t>
  </si>
  <si>
    <t>Philadelphia : [publisher not identified], 1912.</t>
  </si>
  <si>
    <t>29871089:eng</t>
  </si>
  <si>
    <t>27277835</t>
  </si>
  <si>
    <t>ocm27277835</t>
  </si>
  <si>
    <t>3001024851M</t>
  </si>
  <si>
    <t>793263502</t>
  </si>
  <si>
    <t>folio QH605 C65</t>
  </si>
  <si>
    <t>0folio                 QH 0605000C  65</t>
  </si>
  <si>
    <t>Karyokinesis and cytokinesis in the maturation, fertilization and cleavage of Crepidula and other Gasteropoda. By Edwin G. Conklin, PH. D.</t>
  </si>
  <si>
    <t>2596711:eng</t>
  </si>
  <si>
    <t>44158523</t>
  </si>
  <si>
    <t>ocm44158523</t>
  </si>
  <si>
    <t>31006393603</t>
  </si>
  <si>
    <t>793643625</t>
  </si>
  <si>
    <t>folio QK31 E33 C34</t>
  </si>
  <si>
    <t>0folio                 QK 0031000E  33                 C  34</t>
  </si>
  <si>
    <t>Ehret : flower painter extraordinary : an illustrated biography / Gerta Calmann.</t>
  </si>
  <si>
    <t>Calmann, Gerta.</t>
  </si>
  <si>
    <t>Oxford : Phaidon, 1977.</t>
  </si>
  <si>
    <t>796036643:eng</t>
  </si>
  <si>
    <t>3482421</t>
  </si>
  <si>
    <t>ocm03482421</t>
  </si>
  <si>
    <t>3000919633W</t>
  </si>
  <si>
    <t>9780714817767</t>
  </si>
  <si>
    <t>792259972</t>
  </si>
  <si>
    <t>folio QK98.16 G7 A78 1991</t>
  </si>
  <si>
    <t>0folio                 QK 0098160G  7                  A  78          1991</t>
  </si>
  <si>
    <t>Art in nature : classic botanical prints from the eighteenth to the twentieth century / introduction by Martyn Rix.</t>
  </si>
  <si>
    <t>New York : Rizzoli, 1991.</t>
  </si>
  <si>
    <t>43711484:eng</t>
  </si>
  <si>
    <t>24696436</t>
  </si>
  <si>
    <t>ocm24696436</t>
  </si>
  <si>
    <t>3103773818V</t>
  </si>
  <si>
    <t>9780847814015</t>
  </si>
  <si>
    <t>793203832</t>
  </si>
  <si>
    <t>folio QK98.2 B38</t>
  </si>
  <si>
    <t>0folio                 QK 0098200B  38</t>
  </si>
  <si>
    <t>Das Erbario carrarese und die Bildtradition des Tractatus de herbis : ein Beitrag zur Geschichte der Pflanzendarstellung im Übergang von Spätmittelalter zur Frührenaissance / Felix Andreas Baumann.</t>
  </si>
  <si>
    <t>Baumann, Felix Andreas.</t>
  </si>
  <si>
    <t>Bern : Benteli, 1974.</t>
  </si>
  <si>
    <t>Berner Schriften zur Kunst ; Bd. 12</t>
  </si>
  <si>
    <t>365917644:ger</t>
  </si>
  <si>
    <t>1579759</t>
  </si>
  <si>
    <t>ocm01579759</t>
  </si>
  <si>
    <t>3000916667U</t>
  </si>
  <si>
    <t>791755736</t>
  </si>
  <si>
    <t>folio QK115 R5</t>
  </si>
  <si>
    <t>0folio                 QK 0115000R  5</t>
  </si>
  <si>
    <t>Wild flowers of the United States / General editor, William C. Steere ; collaborators: Rogers McVaugh [and others].</t>
  </si>
  <si>
    <t>Index</t>
  </si>
  <si>
    <t>Rickett, Harold William, 1896-1989.</t>
  </si>
  <si>
    <t>New York : McGraw-Hill Book Company, [1966-73].</t>
  </si>
  <si>
    <t>4915167227:eng</t>
  </si>
  <si>
    <t>169439</t>
  </si>
  <si>
    <t>ocm00169439</t>
  </si>
  <si>
    <t>3100639398F</t>
  </si>
  <si>
    <t>9780070526471</t>
  </si>
  <si>
    <t>791279499</t>
  </si>
  <si>
    <t>V. 5, pt. 1</t>
  </si>
  <si>
    <t>3100639385O</t>
  </si>
  <si>
    <t>791279489</t>
  </si>
  <si>
    <t>V. 3, pt. 2</t>
  </si>
  <si>
    <t>3100639394N</t>
  </si>
  <si>
    <t>791279493</t>
  </si>
  <si>
    <t>3100639382U</t>
  </si>
  <si>
    <t>791279486</t>
  </si>
  <si>
    <t>V. 4, pt. 2</t>
  </si>
  <si>
    <t>3100639396J</t>
  </si>
  <si>
    <t>791279491</t>
  </si>
  <si>
    <t>V. 1, pt. 1</t>
  </si>
  <si>
    <t>3001030506G</t>
  </si>
  <si>
    <t>791279498</t>
  </si>
  <si>
    <t>V. 4, pt. 1</t>
  </si>
  <si>
    <t>3100639397H</t>
  </si>
  <si>
    <t>791279492</t>
  </si>
  <si>
    <t>V. 6, pt. 3</t>
  </si>
  <si>
    <t>3100639383S</t>
  </si>
  <si>
    <t>791279485</t>
  </si>
  <si>
    <t>V. 5, pt. 2</t>
  </si>
  <si>
    <t>3100639384Q</t>
  </si>
  <si>
    <t>791279488</t>
  </si>
  <si>
    <t>V. 2, pt. 1</t>
  </si>
  <si>
    <t>3100639391T</t>
  </si>
  <si>
    <t>791279496</t>
  </si>
  <si>
    <t>V. 1, pt. 2</t>
  </si>
  <si>
    <t>3100494320I</t>
  </si>
  <si>
    <t>791279497</t>
  </si>
  <si>
    <t>3100639381W</t>
  </si>
  <si>
    <t>791279487</t>
  </si>
  <si>
    <t>V. 2, pt. 2</t>
  </si>
  <si>
    <t>3100639392R</t>
  </si>
  <si>
    <t>791279495</t>
  </si>
  <si>
    <t>V. 3, pt. 1</t>
  </si>
  <si>
    <t>3100639399D</t>
  </si>
  <si>
    <t>791279494</t>
  </si>
  <si>
    <t>V. 4, pt. 3</t>
  </si>
  <si>
    <t>3100639395L</t>
  </si>
  <si>
    <t>791279490</t>
  </si>
  <si>
    <t>folio QL49 B7464 2014</t>
  </si>
  <si>
    <t>0folio                 QL 0049000B  7464        2014</t>
  </si>
  <si>
    <t>Animalium / illustrated [and curated] by Katie Scott ; written by Jenny Broom.</t>
  </si>
  <si>
    <t>Broom, Jenny, author.</t>
  </si>
  <si>
    <t>Somerville, Massachusetts : Big Picture Press, an imprint of Candlewick Press, 2014.</t>
  </si>
  <si>
    <t>First U.S. edition. Reinforced trade edition.</t>
  </si>
  <si>
    <t>Welcome to the museum</t>
  </si>
  <si>
    <t>2210757256:eng</t>
  </si>
  <si>
    <t>869527107</t>
  </si>
  <si>
    <t>ocn869527107</t>
  </si>
  <si>
    <t>3103582271K</t>
  </si>
  <si>
    <t>9780763675080</t>
  </si>
  <si>
    <t>794965561</t>
  </si>
  <si>
    <t>folio QL336 S25 2003</t>
  </si>
  <si>
    <t>0folio                 QL 0336000S  25          2003</t>
  </si>
  <si>
    <t>The circle of life : wildlife on the African savannah / by Anup and Manoj Shah ; text by Anup Shah.</t>
  </si>
  <si>
    <t>Sah, Anup.</t>
  </si>
  <si>
    <t>New York : H.N. Abrams, 2003.</t>
  </si>
  <si>
    <t>219131588:eng</t>
  </si>
  <si>
    <t>52038194</t>
  </si>
  <si>
    <t>ocm52038194</t>
  </si>
  <si>
    <t>31023484272</t>
  </si>
  <si>
    <t>9780810945333</t>
  </si>
  <si>
    <t>793796872</t>
  </si>
  <si>
    <t>folio QL337 E25 L38 1986</t>
  </si>
  <si>
    <t>0folio                 QL 0337000E  25                 L  38          1986</t>
  </si>
  <si>
    <t>Among predators and prey / Hugo van Lawick.</t>
  </si>
  <si>
    <t>Lawick, Hugo van, 1937-</t>
  </si>
  <si>
    <t>San Francisco : Sierra Club Books, ©1986.</t>
  </si>
  <si>
    <t>7091607:eng</t>
  </si>
  <si>
    <t>13792430</t>
  </si>
  <si>
    <t>ocm13792430</t>
  </si>
  <si>
    <t>3001039498I</t>
  </si>
  <si>
    <t>9780871567741</t>
  </si>
  <si>
    <t>792866531</t>
  </si>
  <si>
    <t>folio QL362 G3</t>
  </si>
  <si>
    <t>0folio                 QL 0362000G  3</t>
  </si>
  <si>
    <t>The life of animals without backbones; foundations of invertebrate zoology [by] Michael Gabb [and] Michael Chinery.</t>
  </si>
  <si>
    <t>Gabb, Michael H.</t>
  </si>
  <si>
    <t>London, S. Low; distributed in the U.S.A. by Ginn, Boston [1966]</t>
  </si>
  <si>
    <t>Foundations of science library. Biological sciences series, 'Understanding Science'. Reprints</t>
  </si>
  <si>
    <t>1875838562:eng</t>
  </si>
  <si>
    <t>712024</t>
  </si>
  <si>
    <t>ocm00712024</t>
  </si>
  <si>
    <t>3001058435Z</t>
  </si>
  <si>
    <t>791452856</t>
  </si>
  <si>
    <t>folio QL614.7 W47 1975</t>
  </si>
  <si>
    <t>0folio                 QL 0614700W  47          1975</t>
  </si>
  <si>
    <t>Fishes of the world : an illustrated dictionary / Alwyne Wheeler ; line drawings by Annabel Milne and Peter Stebbing ; photographs supplied by Photo Aquatics ; American consultant editor, Thomas H. Fraser.</t>
  </si>
  <si>
    <t>Wheeler, Alwyne C.</t>
  </si>
  <si>
    <t>New York : Macmillan Publishing Company, Inc., 1975.</t>
  </si>
  <si>
    <t>2200566:eng</t>
  </si>
  <si>
    <t>1273384</t>
  </si>
  <si>
    <t>ocm01273384</t>
  </si>
  <si>
    <t>30010337696</t>
  </si>
  <si>
    <t>9780026261807</t>
  </si>
  <si>
    <t>791589297</t>
  </si>
  <si>
    <t>folio QL639.1 H37 2017</t>
  </si>
  <si>
    <t>0folio                 QL 0639100H  37          2017</t>
  </si>
  <si>
    <t>Les poissons électriques / Erik Harvey-Girard ; illustrations, Stéphane Poirier.</t>
  </si>
  <si>
    <t>Harvey-Girard, Erik, 1966- author.</t>
  </si>
  <si>
    <t>Montréal : Éditions de la Pastèque, [2017]</t>
  </si>
  <si>
    <t>5207539823:fre</t>
  </si>
  <si>
    <t>1038458076</t>
  </si>
  <si>
    <t>on1038458076</t>
  </si>
  <si>
    <t>3103730408F</t>
  </si>
  <si>
    <t>9782897770174</t>
  </si>
  <si>
    <t>795058649</t>
  </si>
  <si>
    <t>folio QL673 A88</t>
  </si>
  <si>
    <t>0folio                 QL 0673000A  88</t>
  </si>
  <si>
    <t>Birds of the world : a survey of the twenty-seven orders and one hundred and fifty-five families / by Oliver L. Austin, Jr. ; illustrated by Arthur Singer ; edited by Herbert S. Zim.</t>
  </si>
  <si>
    <t>Austin, Oliver Luther, 1903-1988, author.</t>
  </si>
  <si>
    <t>New York : Golden Press, 1961.</t>
  </si>
  <si>
    <t>148032461:eng</t>
  </si>
  <si>
    <t>1269637</t>
  </si>
  <si>
    <t>ocm01269637</t>
  </si>
  <si>
    <t>3001052347P</t>
  </si>
  <si>
    <t>791589034</t>
  </si>
  <si>
    <t>folio QL692 A1 B76</t>
  </si>
  <si>
    <t>0folio                 QL 0692000A  1                  B  76</t>
  </si>
  <si>
    <t>The birds of Africa / Leslie H. Brown, Emil K. Urban, Kenneth Newman ; illustrated by Martin Woodcock and Peter Hayman.</t>
  </si>
  <si>
    <t>Brown, Leslie, 1917-1980.</t>
  </si>
  <si>
    <t>London ; New York : Academic Press, 1982-&lt;c1997&gt;</t>
  </si>
  <si>
    <t>10178009237:eng</t>
  </si>
  <si>
    <t>8982298</t>
  </si>
  <si>
    <t>ocm08982298</t>
  </si>
  <si>
    <t>3101811560P</t>
  </si>
  <si>
    <t>9780121373016</t>
  </si>
  <si>
    <t>792651231</t>
  </si>
  <si>
    <t>2003-04-28</t>
  </si>
  <si>
    <t>31011862748</t>
  </si>
  <si>
    <t>792651232</t>
  </si>
  <si>
    <t>3100489955U</t>
  </si>
  <si>
    <t>792651234</t>
  </si>
  <si>
    <t>3102385375O</t>
  </si>
  <si>
    <t>792651229</t>
  </si>
  <si>
    <t>3001027362M</t>
  </si>
  <si>
    <t>792651235</t>
  </si>
  <si>
    <t>3100489956S</t>
  </si>
  <si>
    <t>792651233</t>
  </si>
  <si>
    <t>31020702681</t>
  </si>
  <si>
    <t>792651230</t>
  </si>
  <si>
    <t>folio QL699 M6 1988</t>
  </si>
  <si>
    <t>0folio                 QL 0699000M  6           1988</t>
  </si>
  <si>
    <t>Un bestiario barocco : quadri di piume del Seicento milanese : catalogo della mostra / a cura di Carlo Violani, con cenni storici di Eleanor MacLean e di Gianvittorio Signorotto.</t>
  </si>
  <si>
    <t>[Milano] : Museo civico di storia naturale di Milano, [1988]</t>
  </si>
  <si>
    <t>473024037:ita</t>
  </si>
  <si>
    <t>19678229</t>
  </si>
  <si>
    <t>ocm19678229</t>
  </si>
  <si>
    <t>30010535846</t>
  </si>
  <si>
    <t>793065840</t>
  </si>
  <si>
    <t>folio QL713.2 E97 2005</t>
  </si>
  <si>
    <t>0folio                 QL 0713200E  97          2005</t>
  </si>
  <si>
    <t>The exploitation and cultural importance of sea mammals / edited by Gregory G. Monks.</t>
  </si>
  <si>
    <t>International Council for Archaeozoology. Conference (9th : 2002 : Durham, England)</t>
  </si>
  <si>
    <t>Oxford : Oxbow Books ; Oakville, CT : Available from David Brown Book Co., ©2005.</t>
  </si>
  <si>
    <t>Proceedings of the 9th Conference of the International Council of Archaeozoology, Durham, August 2002</t>
  </si>
  <si>
    <t>1147738881:eng</t>
  </si>
  <si>
    <t>56759036</t>
  </si>
  <si>
    <t>ocm56759036</t>
  </si>
  <si>
    <t>3102529902M</t>
  </si>
  <si>
    <t>9781842171264</t>
  </si>
  <si>
    <t>793901432</t>
  </si>
  <si>
    <t>folio QL731 M3 1966</t>
  </si>
  <si>
    <t>0folio                 QL 0731000M  3           1966</t>
  </si>
  <si>
    <t>Treasure of Kenya, by Malcolm MacDonald. Illustrated with photos. by Christina Loke.</t>
  </si>
  <si>
    <t>MacDonald, Malcolm, 1901-1981.</t>
  </si>
  <si>
    <t>New York, Putnam [1966, ©1965]</t>
  </si>
  <si>
    <t>365372540:eng</t>
  </si>
  <si>
    <t>556560</t>
  </si>
  <si>
    <t>ocm00556560</t>
  </si>
  <si>
    <t>3000555532P</t>
  </si>
  <si>
    <t>791413463</t>
  </si>
  <si>
    <t>folio QL737 C23 D4613 2002</t>
  </si>
  <si>
    <t>0folio                 QL 0737000C  23                 D  4613        2002</t>
  </si>
  <si>
    <t>The art of being a lion / [texts and photographs, Christine &amp; Michel Denis-Huot ; translation, Kevin Maciel and Amy Ezrin].</t>
  </si>
  <si>
    <t>Denis-Huot, Christine.</t>
  </si>
  <si>
    <t>New York : Friedman/Fairfax, 2002.</t>
  </si>
  <si>
    <t>753697:eng</t>
  </si>
  <si>
    <t>51165077</t>
  </si>
  <si>
    <t>ocm51165077</t>
  </si>
  <si>
    <t>3102290615B</t>
  </si>
  <si>
    <t>9781586637071</t>
  </si>
  <si>
    <t>793779558</t>
  </si>
  <si>
    <t>folio QL737 C23 L552 1985</t>
  </si>
  <si>
    <t>0folio                 QL 0737000C  23                 L  552         1985</t>
  </si>
  <si>
    <t>The Audubon Society book of wild cats / by Les Line and Edward R. Ricciuti.</t>
  </si>
  <si>
    <t>Line, Les.</t>
  </si>
  <si>
    <t>New York : Abrams, 1985.</t>
  </si>
  <si>
    <t>4471864541:eng</t>
  </si>
  <si>
    <t>11090561</t>
  </si>
  <si>
    <t>ocm11090561</t>
  </si>
  <si>
    <t>3001031269$</t>
  </si>
  <si>
    <t>9780810918283</t>
  </si>
  <si>
    <t>792757581</t>
  </si>
  <si>
    <t>folio QL737 C23 T43 2011</t>
  </si>
  <si>
    <t>0folio                 QL 0737000C  23                 T  43          2011</t>
  </si>
  <si>
    <t>The tiger : soul of India / Valmik Thapar.</t>
  </si>
  <si>
    <t>Thapar, Valmik.</t>
  </si>
  <si>
    <t>3771055370:eng</t>
  </si>
  <si>
    <t>690102975</t>
  </si>
  <si>
    <t>ocn690102975</t>
  </si>
  <si>
    <t>3103416980M</t>
  </si>
  <si>
    <t>9780198069690</t>
  </si>
  <si>
    <t>794855348</t>
  </si>
  <si>
    <t>folio QL737 C433 B78 1993</t>
  </si>
  <si>
    <t>0folio                 QL 0737000C  433                B  78          1993</t>
  </si>
  <si>
    <t>The narwhal : unicorn of the sea / Fred Bruemmer.</t>
  </si>
  <si>
    <t>Bruemmer, Fred.</t>
  </si>
  <si>
    <t>Toronto : Key Porter Books, c1993.</t>
  </si>
  <si>
    <t>385850:eng</t>
  </si>
  <si>
    <t>22509834</t>
  </si>
  <si>
    <t>ocm22509834</t>
  </si>
  <si>
    <t>31017007153</t>
  </si>
  <si>
    <t>9781550131871</t>
  </si>
  <si>
    <t>793146638</t>
  </si>
  <si>
    <t>folio QL937 P33 1986</t>
  </si>
  <si>
    <t>0folio                 QL 0937000P  33          1986</t>
  </si>
  <si>
    <t>The rat brain in stereotaxic coordinates / George Paxinos, Charles Watson.</t>
  </si>
  <si>
    <t>Paxinos, George, 1944-</t>
  </si>
  <si>
    <t>Sydney ; Orlando : Academic Press, ©1986.</t>
  </si>
  <si>
    <t>2019-03-10</t>
  </si>
  <si>
    <t>5453847443:eng</t>
  </si>
  <si>
    <t>15029297</t>
  </si>
  <si>
    <t>ocm15029297</t>
  </si>
  <si>
    <t>30010507024</t>
  </si>
  <si>
    <t>9780125476218</t>
  </si>
  <si>
    <t>792917540</t>
  </si>
  <si>
    <t>folio QM27 W35 1994</t>
  </si>
  <si>
    <t>0folio                 QM 0027000W  35          1994</t>
  </si>
  <si>
    <t>The children's atlas of the human body : actual size bones, muscles, and organs in full color / Richard Walker.</t>
  </si>
  <si>
    <t>Walker, Richard, 1951-</t>
  </si>
  <si>
    <t>Brookfield, Ct. : Millbrook Press, 1994.</t>
  </si>
  <si>
    <t>37638358:eng</t>
  </si>
  <si>
    <t>29358341</t>
  </si>
  <si>
    <t>ocm29358341</t>
  </si>
  <si>
    <t>3103644050D</t>
  </si>
  <si>
    <t>9781562945039</t>
  </si>
  <si>
    <t>793308888</t>
  </si>
  <si>
    <t>folio QP351 S5</t>
  </si>
  <si>
    <t>0folio                 QP 0351000S  5</t>
  </si>
  <si>
    <t>Electrical stimulation of the brain, an interdisciplinary survey of neurobehavioral integrative systems.</t>
  </si>
  <si>
    <t>Sheer, Daniel Elvin, 1922-</t>
  </si>
  <si>
    <t>Austin, Univ. of Texas Press [©1961]</t>
  </si>
  <si>
    <t>Hogg Foundation research series</t>
  </si>
  <si>
    <t>2015-12-28</t>
  </si>
  <si>
    <t>1612792:eng</t>
  </si>
  <si>
    <t>554809</t>
  </si>
  <si>
    <t>ocm00554809</t>
  </si>
  <si>
    <t>30006581395</t>
  </si>
  <si>
    <t>791412884</t>
  </si>
  <si>
    <t>folio QP461 S72</t>
  </si>
  <si>
    <t>0folio                 QP 0461000S  72</t>
  </si>
  <si>
    <t>Sound and hearing; by S.S. Stevens, Fred Warshofsky and the editors of Life.</t>
  </si>
  <si>
    <t>Stevens, S. S. (Stanley Smith), 1906-1973.</t>
  </si>
  <si>
    <t>New York, Time, Inc. [©1965]</t>
  </si>
  <si>
    <t>2007-04-05</t>
  </si>
  <si>
    <t>2016-09-15</t>
  </si>
  <si>
    <t>1448530:eng</t>
  </si>
  <si>
    <t>505471</t>
  </si>
  <si>
    <t>ocm00505471</t>
  </si>
  <si>
    <t>3001049379K</t>
  </si>
  <si>
    <t>791397044</t>
  </si>
  <si>
    <t>folio QR31 C356 H47 2013</t>
  </si>
  <si>
    <t>0folio                 QR 0031000C  356                H  47          2013</t>
  </si>
  <si>
    <t>La passion d'épauler : Albert Calmette, codécouvreur du BCG / Marie-José Hermant, Philippe Scherpereel ; photographies, Sam Bellet.</t>
  </si>
  <si>
    <t>Hermant, Marie-José.</t>
  </si>
  <si>
    <t>Lille : Du Quesne, [2013]</t>
  </si>
  <si>
    <t>1745785403:fre</t>
  </si>
  <si>
    <t>866574360</t>
  </si>
  <si>
    <t>ocn866574360</t>
  </si>
  <si>
    <t>3103516496T</t>
  </si>
  <si>
    <t>9782909989389</t>
  </si>
  <si>
    <t>794963404</t>
  </si>
  <si>
    <t>10051</t>
  </si>
  <si>
    <t>810051</t>
  </si>
  <si>
    <t>Bestiaire / FunFilm Distribution ; Metafilms, Nihilproductions en collaboration avec Le Fresnoy, studio national des arts contemporains ; conception / production / réalisation, Denis Côté ; production, Sylvain Corbeil.</t>
  </si>
  <si>
    <t>Brooklyn, NY : KimStim, Inc. : Zeitgeist Films, [2013]</t>
  </si>
  <si>
    <t>The KimStim collection</t>
  </si>
  <si>
    <t>1781851754:fre</t>
  </si>
  <si>
    <t>826869815</t>
  </si>
  <si>
    <t>ocn826869815</t>
  </si>
  <si>
    <t>3103523135K</t>
  </si>
  <si>
    <t>794939497</t>
  </si>
  <si>
    <t>10436</t>
  </si>
  <si>
    <t>810436</t>
  </si>
  <si>
    <t>Revolution / Sharkwater Productions [and others] ; written, directed and produced by Rob Stewart ; co-produced by Warren Needler.</t>
  </si>
  <si>
    <t>Blu-ray</t>
  </si>
  <si>
    <t>Toronto, Ont. : Universal Studios Home Entertainment : Distributed by Universal Studios Canada, ©2013.</t>
  </si>
  <si>
    <t>3771701904:eng</t>
  </si>
  <si>
    <t>865767466</t>
  </si>
  <si>
    <t>ocn865767466</t>
  </si>
  <si>
    <t>31035504544</t>
  </si>
  <si>
    <t>Video_Bluray</t>
  </si>
  <si>
    <t>794963304</t>
  </si>
  <si>
    <t>10436a</t>
  </si>
  <si>
    <t>810436A</t>
  </si>
  <si>
    <t>DVD</t>
  </si>
  <si>
    <t>3103033384T</t>
  </si>
  <si>
    <t>794963303</t>
  </si>
  <si>
    <t>10578</t>
  </si>
  <si>
    <t>810578</t>
  </si>
  <si>
    <t>Greedy lying bastards / 1 Earth Productions ; produced and directed by Craig Scott Rosebraugh ; written by Craig Scott Rosebraugh, Patrick Gambuti, Jr. ; produced by Jeremy Chilvers, Patrick Gambuti, Jr., Marianna Yarovskaya.</t>
  </si>
  <si>
    <t>[New York] : Disinformation, [2013]</t>
  </si>
  <si>
    <t>1783225745:eng</t>
  </si>
  <si>
    <t>857859265</t>
  </si>
  <si>
    <t>ocn857859265</t>
  </si>
  <si>
    <t>3103009143Y</t>
  </si>
  <si>
    <t>9781939517159</t>
  </si>
  <si>
    <t>794955476</t>
  </si>
  <si>
    <t>3103539124U</t>
  </si>
  <si>
    <t>794955477</t>
  </si>
  <si>
    <t>10582</t>
  </si>
  <si>
    <t>810582</t>
  </si>
  <si>
    <t>Chimpanzee / Disneynature ; directed by Alastair Fothergill and Mark Linfield ; produced by Alastair Fothergill, Mark Linfield and Alix Tidmarsh ; executive producer, Don Hahn ; written by Mark Linfield, Alastair Fothergill, Don Hahn ; Disney Enterprises, Inc. ; distributed by Walt Disney Studios Motion Pictures.</t>
  </si>
  <si>
    <t>Burbank, Calif. : Distributed by Buena Vista Home Entertainment, ©2012.</t>
  </si>
  <si>
    <t>[Blu-ray + DVD; 2-disc combo pack].</t>
  </si>
  <si>
    <t>Disney Blu-ray</t>
  </si>
  <si>
    <t>2019-06-29</t>
  </si>
  <si>
    <t>2852376976:eng</t>
  </si>
  <si>
    <t>810089197</t>
  </si>
  <si>
    <t>ocn810089197</t>
  </si>
  <si>
    <t>3103551236A</t>
  </si>
  <si>
    <t>794929068</t>
  </si>
  <si>
    <t>10582a</t>
  </si>
  <si>
    <t>810582A</t>
  </si>
  <si>
    <t>2018-03-25</t>
  </si>
  <si>
    <t>31030334085</t>
  </si>
  <si>
    <t>794929067</t>
  </si>
  <si>
    <t>10691</t>
  </si>
  <si>
    <t>810691</t>
  </si>
  <si>
    <t>Down to the Earth's core / National Geographic ; produced by Pioneer Productions for National Geographic Channel ; writer, Billie Pink ; producer/director, Yavar Abbas.</t>
  </si>
  <si>
    <t>[Washington, D.C.] : National Geographic, ©2012.</t>
  </si>
  <si>
    <t>1216813537:eng</t>
  </si>
  <si>
    <t>833460058</t>
  </si>
  <si>
    <t>ocn833460058</t>
  </si>
  <si>
    <t>3103551755S</t>
  </si>
  <si>
    <t>9781426344442</t>
  </si>
  <si>
    <t>794944194</t>
  </si>
  <si>
    <t>10737</t>
  </si>
  <si>
    <t>810737</t>
  </si>
  <si>
    <t>Metamorphosis : the science of change.</t>
  </si>
  <si>
    <t>Mississauga, Ont. : Licensed by BBC, exclusively available in Canada from McNabb Connolly, ©2013.</t>
  </si>
  <si>
    <t>1885665728:eng</t>
  </si>
  <si>
    <t>875301552</t>
  </si>
  <si>
    <t>ocn875301552</t>
  </si>
  <si>
    <t>3103552564S</t>
  </si>
  <si>
    <t>794969389</t>
  </si>
  <si>
    <t>10800</t>
  </si>
  <si>
    <t>810800</t>
  </si>
  <si>
    <t>The day the universe changed / written and presented by James Burke ; a BBC-TV production in association with RKO Pictures Inc., Canale 5, Italy, FR3, France, YLE, Finland ; series producer, Richard Reisz ; producer, John Lynch.</t>
  </si>
  <si>
    <t>Disc 4</t>
  </si>
  <si>
    <t>Day the universe changed.</t>
  </si>
  <si>
    <t>New York, N.Y. : Ambrose Video Publishing, Inc., [2009]</t>
  </si>
  <si>
    <t>8908297118:eng</t>
  </si>
  <si>
    <t>316604487</t>
  </si>
  <si>
    <t>ocn316604487</t>
  </si>
  <si>
    <t>3103557101W</t>
  </si>
  <si>
    <t>794449200</t>
  </si>
  <si>
    <t>Disc 1</t>
  </si>
  <si>
    <t>3103557098H</t>
  </si>
  <si>
    <t>794449203</t>
  </si>
  <si>
    <t>Disc 2</t>
  </si>
  <si>
    <t>3103557099H</t>
  </si>
  <si>
    <t>794449202</t>
  </si>
  <si>
    <t>Disc 3</t>
  </si>
  <si>
    <t>3103557100W</t>
  </si>
  <si>
    <t>794449201</t>
  </si>
  <si>
    <t>Disc 5</t>
  </si>
  <si>
    <t>3103557102W</t>
  </si>
  <si>
    <t>794449199</t>
  </si>
  <si>
    <t>10833</t>
  </si>
  <si>
    <t>810833</t>
  </si>
  <si>
    <t>To the Arctic / Warner Bros. Pictures ; IMAX Filmed Entertainment ; produced by Shaun MacGillivray ; written by Stephen Judson ; directed by Greg MacGillivray.</t>
  </si>
  <si>
    <t>Burbank, CA : Warner Home Video, [2013]</t>
  </si>
  <si>
    <t>[Blu-ray/Blu-ray 3D/DVD combo].</t>
  </si>
  <si>
    <t>1341390761:eng</t>
  </si>
  <si>
    <t>832432377</t>
  </si>
  <si>
    <t>ocn832432377</t>
  </si>
  <si>
    <t>3103543697K</t>
  </si>
  <si>
    <t>794943920</t>
  </si>
  <si>
    <t>10833a</t>
  </si>
  <si>
    <t>810833A</t>
  </si>
  <si>
    <t>3102721158J</t>
  </si>
  <si>
    <t>794943921</t>
  </si>
  <si>
    <t>10843</t>
  </si>
  <si>
    <t>810843</t>
  </si>
  <si>
    <t>Dinotasia / Discovery Channel and Creative Differences ; produced by Erik Nelson ; directed by David Krentz and Erik Nelson.</t>
  </si>
  <si>
    <t>[Place of publication not identified] : Flatiron Film Company, [2012]</t>
  </si>
  <si>
    <t>1185086791:eng</t>
  </si>
  <si>
    <t>815660297</t>
  </si>
  <si>
    <t>ocn815660297</t>
  </si>
  <si>
    <t>3103543698K</t>
  </si>
  <si>
    <t>9781422922514</t>
  </si>
  <si>
    <t>794932646</t>
  </si>
  <si>
    <t>10861</t>
  </si>
  <si>
    <t>810861</t>
  </si>
  <si>
    <t>Turtle : the incredible journey / Sola Media presents, in association with MTN-Movies, the Save Our Seas Foundation, in co-production with Allegro Film, Tradewind Pictures ; a Sarah Cunliffe, Mike Downey, Sam Taylor, Big Wave and Film and Music Entertainment production ; SeaWorld Pictures presents, in assocation with Eric Parkinson, Fred Shefte and Hannover House ; script, Melanie Finn ; producers, Sarah Cunliffe, Mike Downey, Sam Taylor ; director, Nick Stringer.</t>
  </si>
  <si>
    <t>Fayetteville, AR : Hannover House, [2011]</t>
  </si>
  <si>
    <t>1392887031:eng</t>
  </si>
  <si>
    <t>755112689</t>
  </si>
  <si>
    <t>ocn755112689</t>
  </si>
  <si>
    <t>3103554153Y</t>
  </si>
  <si>
    <t>9786314520250</t>
  </si>
  <si>
    <t>794893652</t>
  </si>
  <si>
    <t>10861b</t>
  </si>
  <si>
    <t>810861B</t>
  </si>
  <si>
    <t>Turtle : the incredible journey / Sola Media presents, in association with MTN-Movies, The Save Our Seas Foundation, in co-production with Allegro Film, Tradewind Pictures ; a Sarah Cunliffe, Mike Downey, Sam Taylor, Big Wave and Film and Music Entertainment production ; SeaWorld Pictures presents, in assocation with Eric Parkinson, Fred Shefte and Hannover House ; script, Melanie Finn ; producers, Sarah Cunliffe, Mike Downey, Sam Taylor ; director, Nick Stringer.</t>
  </si>
  <si>
    <t>Fayetteville AR : Hannover House, 2011.</t>
  </si>
  <si>
    <t>Triple combo pack.</t>
  </si>
  <si>
    <t>2019-05-08</t>
  </si>
  <si>
    <t>1100474125</t>
  </si>
  <si>
    <t>on1100474125</t>
  </si>
  <si>
    <t>3103892920Q</t>
  </si>
  <si>
    <t>795081778</t>
  </si>
  <si>
    <t>10931</t>
  </si>
  <si>
    <t>810931</t>
  </si>
  <si>
    <t>Vanishing point = Point de fuite = Katinngat / the National Film Board of Canada presents ; directed by Stephen A. Smith &amp; Julia Szucs ; documentary script written by Stephen A. Smith &amp; Julia Szucs ; narration written by Marina Endicott.</t>
  </si>
  <si>
    <t>[Montréal, Québec] : National Film Board of Canada, [2013]</t>
  </si>
  <si>
    <t>iku</t>
  </si>
  <si>
    <t>3945319280:iku</t>
  </si>
  <si>
    <t>864036311</t>
  </si>
  <si>
    <t>ocn864036311</t>
  </si>
  <si>
    <t>3103573818F</t>
  </si>
  <si>
    <t>794961639</t>
  </si>
  <si>
    <t>10973</t>
  </si>
  <si>
    <t>810973</t>
  </si>
  <si>
    <t>Green fire : Aldo Leopold and a land ethic for our time / Aldo Leopold Foundation, U.S. Forest Service, Center for Humans and Nature present ; a film by Ann Dunsky, Steve Dunsky, Dave Steinke ; executive producer, Buddy Huffaker ; writer, Stephen Most.</t>
  </si>
  <si>
    <t>Green fire (Motion picture : 2011)</t>
  </si>
  <si>
    <t>[Baraboo, WI] : Aldo Leopold Foundation, [2011]</t>
  </si>
  <si>
    <t>Two-disc collector's edition.</t>
  </si>
  <si>
    <t>1041905927:eng</t>
  </si>
  <si>
    <t>809865605</t>
  </si>
  <si>
    <t>ocn809865605</t>
  </si>
  <si>
    <t>3103398385Z</t>
  </si>
  <si>
    <t>794928798</t>
  </si>
  <si>
    <t>10998</t>
  </si>
  <si>
    <t>810998</t>
  </si>
  <si>
    <t>Baboon tales / director, Gillian Darling Kovanic ; narration written by Amanda McConnell and Bruce Martin ; produced by Tamarin Productions Inc. in association with the Discovery Channel, USA ... [et al.].</t>
  </si>
  <si>
    <t>Oley, PA : Bullfrog Films, [1998]</t>
  </si>
  <si>
    <t>25781777:eng</t>
  </si>
  <si>
    <t>76946114</t>
  </si>
  <si>
    <t>ocm76946114</t>
  </si>
  <si>
    <t>3103588628V</t>
  </si>
  <si>
    <t>9781594584367</t>
  </si>
  <si>
    <t>794179667</t>
  </si>
  <si>
    <t>11236</t>
  </si>
  <si>
    <t>811236</t>
  </si>
  <si>
    <t>Deadliest volcanoes / a Nova production by Pioneer Productions for WGBH ; written and directed by Nathan Williams.</t>
  </si>
  <si>
    <t>[United States] : PBS Home Video, [2012]</t>
  </si>
  <si>
    <t>1044569703:eng</t>
  </si>
  <si>
    <t>761328933</t>
  </si>
  <si>
    <t>ocn761328933</t>
  </si>
  <si>
    <t>3103589415Z</t>
  </si>
  <si>
    <t>9781608835928</t>
  </si>
  <si>
    <t>794899147</t>
  </si>
  <si>
    <t>11237</t>
  </si>
  <si>
    <t>811237</t>
  </si>
  <si>
    <t>Island of lemurs, Madagascar / Warner Bros. Pictures and IMAX Entertainment present ; produced by Drew Fellman ; written by Drew Fellman ; directed by David Douglas.</t>
  </si>
  <si>
    <t>[United States] : Warner Bros. Entertainment Inc., [2015]</t>
  </si>
  <si>
    <t>Blu-ray + DVD + Digital HD</t>
  </si>
  <si>
    <t>2019-05-11</t>
  </si>
  <si>
    <t>2472798917:eng</t>
  </si>
  <si>
    <t>905917626</t>
  </si>
  <si>
    <t>ocn905917626</t>
  </si>
  <si>
    <t>3103625742S</t>
  </si>
  <si>
    <t>794992006</t>
  </si>
  <si>
    <t>11237a</t>
  </si>
  <si>
    <t>811237A</t>
  </si>
  <si>
    <t>3103600995$</t>
  </si>
  <si>
    <t>794992005</t>
  </si>
  <si>
    <t>11448</t>
  </si>
  <si>
    <t>811448</t>
  </si>
  <si>
    <t>Brave new world with Stephen Hawking / produced by IWC Media Limited/Handel Productions.</t>
  </si>
  <si>
    <t>[Silver Spring, Md.] : Athena, 2012.</t>
  </si>
  <si>
    <t>2017-09-02</t>
  </si>
  <si>
    <t>2085670646:eng</t>
  </si>
  <si>
    <t>808745672</t>
  </si>
  <si>
    <t>ocn808745672</t>
  </si>
  <si>
    <t>3103634150F</t>
  </si>
  <si>
    <t>9781598288506</t>
  </si>
  <si>
    <t>794927844</t>
  </si>
  <si>
    <t>11456</t>
  </si>
  <si>
    <t>811456</t>
  </si>
  <si>
    <t>Ape to man / directed by Nic Young ; produced by Anna Thomson ; executive producer, Bill Locke ; produced by Lion Television.</t>
  </si>
  <si>
    <t>[New York?] : A &amp; E Television Networks : Distributed by New Video, [2005]</t>
  </si>
  <si>
    <t>46225704:eng</t>
  </si>
  <si>
    <t>61679772</t>
  </si>
  <si>
    <t>ocm61679772</t>
  </si>
  <si>
    <t>31036341814</t>
  </si>
  <si>
    <t>9780767087506</t>
  </si>
  <si>
    <t>794090775</t>
  </si>
  <si>
    <t>11593</t>
  </si>
  <si>
    <t>811593</t>
  </si>
  <si>
    <t>The Hellstrom chronicle / a David L. Wolper production in association with Nils Hellstrom ; written by David Seltzer ; directed by Walon Green ; produced by Walon Green ; Wolper Pictures Ltd.</t>
  </si>
  <si>
    <t>[St. Charles, Ill.] : Olive Films, [2011]</t>
  </si>
  <si>
    <t>Full screen.</t>
  </si>
  <si>
    <t>427963202:eng</t>
  </si>
  <si>
    <t>762865911</t>
  </si>
  <si>
    <t>ocn762865911</t>
  </si>
  <si>
    <t>3103554437T</t>
  </si>
  <si>
    <t>794900044</t>
  </si>
  <si>
    <t>11628</t>
  </si>
  <si>
    <t>811628</t>
  </si>
  <si>
    <t>Racing extinction / an Oceanic Preservation Society Film ; Okeanos-Foundation for the Sea and Discovery and Abramorama present ; in association with Vulcan Productions ; in association with the Li Ka Shing Foundation ; in association with Earth Day Texas ; in association with JP's Peace Love &amp; Happiness Foundation ; in association with Diamond Docs and Insurgent Docs ; directed by Louie Psihoyos ; produced by Olivia Ahnemann, Fisher Stevens ; executive producer, Dieter Paulmann ; written by Mark Monroe.</t>
  </si>
  <si>
    <t>Santa Monica, CA : Lionsgate, [2016]</t>
  </si>
  <si>
    <t>Widescreen.</t>
  </si>
  <si>
    <t>2877772830:eng</t>
  </si>
  <si>
    <t>934533851</t>
  </si>
  <si>
    <t>ocn934533851</t>
  </si>
  <si>
    <t>3103643804U</t>
  </si>
  <si>
    <t>9786316343680</t>
  </si>
  <si>
    <t>795009692</t>
  </si>
  <si>
    <t>11684</t>
  </si>
  <si>
    <t>811684</t>
  </si>
  <si>
    <t>Letters from an Indian clerk / produced &amp; directed by Christopher Sykes.</t>
  </si>
  <si>
    <t>[United States] : Independent Communications Associates Production for Channel 4 in association with WGBH/Boston ; Dorset, England : Moving Picture Archive Ltd. [distributor], [©1987?]</t>
  </si>
  <si>
    <t>3944523705:eng</t>
  </si>
  <si>
    <t>47017489</t>
  </si>
  <si>
    <t>ocm47017489</t>
  </si>
  <si>
    <t>3103683282A</t>
  </si>
  <si>
    <t>Video_VHS</t>
  </si>
  <si>
    <t>793696642</t>
  </si>
  <si>
    <t>11811</t>
  </si>
  <si>
    <t>811811</t>
  </si>
  <si>
    <t>Code : debugging the gender gap / presented by Citi Ventures ; a Finish Line Features Production ; a film by Robin Hauser Reynolds ; directed by Robin Hauser Reynolds ; produced by Staci Hartman, Robin Hauser Reynolds and Christie Herring.</t>
  </si>
  <si>
    <t>[Sausalito, CA] : Distributed by Ro*Co Films Educational, [2014]</t>
  </si>
  <si>
    <t>Educational edition.</t>
  </si>
  <si>
    <t>2988608177:eng</t>
  </si>
  <si>
    <t>945077735</t>
  </si>
  <si>
    <t>ocn945077735</t>
  </si>
  <si>
    <t>3103683802A</t>
  </si>
  <si>
    <t>795013255</t>
  </si>
  <si>
    <t>11947</t>
  </si>
  <si>
    <t>811947</t>
  </si>
  <si>
    <t>My life as a turkey / a production of Passion Pictures, Thirteen and the BBC in association with WNET New York Public Media ; produced by David Allen.</t>
  </si>
  <si>
    <t>Includes PPR</t>
  </si>
  <si>
    <t>[Arlington, Va.] : PBS : PBS Distribution, [2011]</t>
  </si>
  <si>
    <t>WGBY DVD Collection</t>
  </si>
  <si>
    <t>1076627339:eng</t>
  </si>
  <si>
    <t>752327032</t>
  </si>
  <si>
    <t>ocn752327032</t>
  </si>
  <si>
    <t>31036843376</t>
  </si>
  <si>
    <t>9781608835690</t>
  </si>
  <si>
    <t>794891657</t>
  </si>
  <si>
    <t>12046</t>
  </si>
  <si>
    <t>812046</t>
  </si>
  <si>
    <t>Before the flood / National Geographic presents with RatPac Documentary Films an Appian Way production in association with Insurgent Docs and Diamond Docs ; a film by Leonardo DiCaprio and Fisher Stevens ; directed by Fisher Stevens ; produced by Leonardo DiCaprio, Fisher Stevens, Trevor Davidoski, Jennifer Davisson, Brett Ratner, James Packer ; written by Mark Monroe.</t>
  </si>
  <si>
    <t>Beverly Hills, CA : Twentieth Century Fox Home Entertainment : National Geographic, [2017]</t>
  </si>
  <si>
    <t>4017010784:eng</t>
  </si>
  <si>
    <t>979423194</t>
  </si>
  <si>
    <t>ocn979423194</t>
  </si>
  <si>
    <t>3103683565Z</t>
  </si>
  <si>
    <t>795033475</t>
  </si>
  <si>
    <t>12174</t>
  </si>
  <si>
    <t>812174</t>
  </si>
  <si>
    <t>How to let go of the world : and love all the things climate can't change / a film by Josh Fox ; an International Wow production ; in association with HBO Documentary Films ; written and directed by Josh Fox ; produced by Deia Schlosberg, Josh Fox.</t>
  </si>
  <si>
    <t>[New York, New York] : HBO Home Entertainment, [2017]</t>
  </si>
  <si>
    <t>4223651671:eng</t>
  </si>
  <si>
    <t>988033258</t>
  </si>
  <si>
    <t>ocn988033258</t>
  </si>
  <si>
    <t>3103750525$</t>
  </si>
  <si>
    <t>795036536</t>
  </si>
  <si>
    <t>12303</t>
  </si>
  <si>
    <t>812303</t>
  </si>
  <si>
    <t>Owning the weather / a 4th Row Films production ; Prewar Cinema Productions ; produced by Douglas Tirola ; produced and directed by Robert Greene.</t>
  </si>
  <si>
    <t>[Los Angeles, CA?] : Distributed by Seventh Art Releasing, ©2009.</t>
  </si>
  <si>
    <t>1878363699:eng</t>
  </si>
  <si>
    <t>610620462</t>
  </si>
  <si>
    <t>ocn610620462</t>
  </si>
  <si>
    <t>3103722905Y</t>
  </si>
  <si>
    <t>794820725</t>
  </si>
  <si>
    <t>12370</t>
  </si>
  <si>
    <t>812370</t>
  </si>
  <si>
    <t>The age of consequences / PF Pictures ; produced by Kelly Nyks, Jared P. Scott ; written and directed by Jared P. Scott.</t>
  </si>
  <si>
    <t>[El Segundo, CA] : Gravitas Ventures, LLC, [2017]</t>
  </si>
  <si>
    <t>4075350276:eng</t>
  </si>
  <si>
    <t>973233965</t>
  </si>
  <si>
    <t>ocn973233965</t>
  </si>
  <si>
    <t>3103787537D</t>
  </si>
  <si>
    <t>795029012</t>
  </si>
  <si>
    <t>12528</t>
  </si>
  <si>
    <t>812528</t>
  </si>
  <si>
    <t>La Terre vue du coeur = Earth : seen from the heart / a film by Iolande Cadrin-Rossignol, with Hubert Reeves, Frederic Lenoir ; [produced by] Marie-Dominique Michaud, Chantale Pagé, Jacques Blain.</t>
  </si>
  <si>
    <t>Montréal, Québec : Jane Losa Firms : Maison 4:3, [2018]</t>
  </si>
  <si>
    <t>5517276631:fre</t>
  </si>
  <si>
    <t>1052783623</t>
  </si>
  <si>
    <t>on1052783623</t>
  </si>
  <si>
    <t>31037683988</t>
  </si>
  <si>
    <t>795062355</t>
  </si>
  <si>
    <t>12543</t>
  </si>
  <si>
    <t>812543</t>
  </si>
  <si>
    <t>Witness : disaster in Japan / National Geographic Channel ; produced by NGHT, Inc. ; Siskel/Jacobs Productions ; series producer Greg Jacobs, Jon Siskel ; producers Stacy Wolff, Sarah Pagura ; writer, Greg Jacobs ; editors, John Farbrother, Angela Hutchinson, Karla Svatos.</t>
  </si>
  <si>
    <t>PROF'S COPY : ATOC-185/EPSC-185</t>
  </si>
  <si>
    <t>[Washington, D.C.] : NGHT, Inc., ©2011.</t>
  </si>
  <si>
    <t>1101707569:eng</t>
  </si>
  <si>
    <t>728130329</t>
  </si>
  <si>
    <t>ocn728130329</t>
  </si>
  <si>
    <t>3103858879S</t>
  </si>
  <si>
    <t>794878812</t>
  </si>
  <si>
    <t>12702</t>
  </si>
  <si>
    <t>812702</t>
  </si>
  <si>
    <t>Physics : the elegant universe and beyond.</t>
  </si>
  <si>
    <t>pt.1: disc 1-2</t>
  </si>
  <si>
    <t>[Boston, MA] : WGBH Boston Video, 2006.</t>
  </si>
  <si>
    <t>47776089:eng</t>
  </si>
  <si>
    <t>63657943</t>
  </si>
  <si>
    <t>ocm63657943</t>
  </si>
  <si>
    <t>31026163318</t>
  </si>
  <si>
    <t>9781593755577</t>
  </si>
  <si>
    <t>794122051</t>
  </si>
  <si>
    <t>pt.3</t>
  </si>
  <si>
    <t>3102616320A</t>
  </si>
  <si>
    <t>794122049</t>
  </si>
  <si>
    <t>3102616326A</t>
  </si>
  <si>
    <t>794122050</t>
  </si>
  <si>
    <t>12710</t>
  </si>
  <si>
    <t>812710</t>
  </si>
  <si>
    <t>Beyond the tipping point? : conversations on climate, action and the future.</t>
  </si>
  <si>
    <t>[Manchester, England?] : [publisher not identified], [2010]</t>
  </si>
  <si>
    <t>650111948:eng</t>
  </si>
  <si>
    <t>664271875</t>
  </si>
  <si>
    <t>ocn664271875</t>
  </si>
  <si>
    <t>3103286130X</t>
  </si>
  <si>
    <t>794843291</t>
  </si>
  <si>
    <t>12720</t>
  </si>
  <si>
    <t>812720</t>
  </si>
  <si>
    <t>Geologic journey / CBC Learning ; series producer, Michael Allder ; narrated by David Suzuki.</t>
  </si>
  <si>
    <t>Pt.5</t>
  </si>
  <si>
    <t>[Toronto, Ont.] : CBC, ©2007.</t>
  </si>
  <si>
    <t>2012-04-09</t>
  </si>
  <si>
    <t>3372731465:eng</t>
  </si>
  <si>
    <t>226314215</t>
  </si>
  <si>
    <t>ocn226314215</t>
  </si>
  <si>
    <t>3102806960E</t>
  </si>
  <si>
    <t>9780660197685</t>
  </si>
  <si>
    <t>794344914</t>
  </si>
  <si>
    <t>Pt.1</t>
  </si>
  <si>
    <t>2013-08-05</t>
  </si>
  <si>
    <t>3102806950G</t>
  </si>
  <si>
    <t>794344918</t>
  </si>
  <si>
    <t>Pt.3</t>
  </si>
  <si>
    <t>3102806961E</t>
  </si>
  <si>
    <t>794344916</t>
  </si>
  <si>
    <t>Pt.4</t>
  </si>
  <si>
    <t>3102806956G</t>
  </si>
  <si>
    <t>794344915</t>
  </si>
  <si>
    <t>Pt.2</t>
  </si>
  <si>
    <t>3102806955G</t>
  </si>
  <si>
    <t>794344917</t>
  </si>
  <si>
    <t>12726</t>
  </si>
  <si>
    <t>812726</t>
  </si>
  <si>
    <t>Bears / National Wildlife Federation ; Science North/Science Nord ; Primesco ; [directed by David Lickley ; producer, Goulam Amarsy.</t>
  </si>
  <si>
    <t>trying to re-order: June 16/09;23.09.09</t>
  </si>
  <si>
    <t>Burbank, CA : Slingshot Entertainment, ©2001.</t>
  </si>
  <si>
    <t>9381592381:eng</t>
  </si>
  <si>
    <t>49886545</t>
  </si>
  <si>
    <t>ocm49886545</t>
  </si>
  <si>
    <t>31024642248</t>
  </si>
  <si>
    <t>9781584482345</t>
  </si>
  <si>
    <t>793749928</t>
  </si>
  <si>
    <t>12790</t>
  </si>
  <si>
    <t>812790</t>
  </si>
  <si>
    <t>The need to grow / Earth Conscious Films presents a film by Rob Herring and Ryan Wirick.</t>
  </si>
  <si>
    <t>[Portland, OR : distributed by Collective Eye Films, 2019</t>
  </si>
  <si>
    <t>10040351945:eng</t>
  </si>
  <si>
    <t>1120935951</t>
  </si>
  <si>
    <t>on1120935951</t>
  </si>
  <si>
    <t>3103877217U</t>
  </si>
  <si>
    <t>795085058</t>
  </si>
  <si>
    <t>81959</t>
  </si>
  <si>
    <t>The brain that changes itself.</t>
  </si>
  <si>
    <t>Toronto : CBC Learning, ©2008.</t>
  </si>
  <si>
    <t>The nature of things</t>
  </si>
  <si>
    <t>685826611:eng</t>
  </si>
  <si>
    <t>431212682</t>
  </si>
  <si>
    <t>ocn431212682</t>
  </si>
  <si>
    <t>3103433843Z</t>
  </si>
  <si>
    <t>794781480</t>
  </si>
  <si>
    <t>81960</t>
  </si>
  <si>
    <t>Playing God with planet earth / Canadian Broadcasting Corporation ; written, directed and narrated by Jerry Thompson ; producer, Bette Thompson ; produced by Lightship Entertainment Inc, in association with CBC for the CBC Documentary Unit ; senior producer, Linda Laughlin.</t>
  </si>
  <si>
    <t>Toronto, ON : Lightship Entertainment Inc. : CBC Learning [distributor], 2010.</t>
  </si>
  <si>
    <t>897893473:eng</t>
  </si>
  <si>
    <t>722246475</t>
  </si>
  <si>
    <t>ocn722246475</t>
  </si>
  <si>
    <t>3103436528$</t>
  </si>
  <si>
    <t>794875570</t>
  </si>
  <si>
    <t>2090</t>
  </si>
  <si>
    <t>82090</t>
  </si>
  <si>
    <t>Judgment day : intelligent design on trial / produced by Joseph McMaster, Gary Johnstone, Vanessa Tovell ; directed by Gary Johnstone, Joseph McMaster ; written by Joseph McMaster ; a production by NOVA and Vulcan Productions, Inc. in association with the Big Table Film Company.</t>
  </si>
  <si>
    <t>[Boston, Mass.] : WGBH Boston Video, ©2008.</t>
  </si>
  <si>
    <t>Widescreen ed.</t>
  </si>
  <si>
    <t>897815084:eng</t>
  </si>
  <si>
    <t>226279418</t>
  </si>
  <si>
    <t>ocn226279418</t>
  </si>
  <si>
    <t>3102850961D</t>
  </si>
  <si>
    <t>9781593757199</t>
  </si>
  <si>
    <t>794344474</t>
  </si>
  <si>
    <t>228</t>
  </si>
  <si>
    <t>8228</t>
  </si>
  <si>
    <t>The white diamond / produced by Werner Herzog, Annette Scheurich, Lucki Stipetic ; directed by Werner Herzog.</t>
  </si>
  <si>
    <t>New York, NY : Fox Lorber Home Video, 2005.</t>
  </si>
  <si>
    <t>378619225:eng</t>
  </si>
  <si>
    <t>123092541</t>
  </si>
  <si>
    <t>ocn123092541</t>
  </si>
  <si>
    <t>3103404434N</t>
  </si>
  <si>
    <t>9780794205904</t>
  </si>
  <si>
    <t>794222535</t>
  </si>
  <si>
    <t>22873</t>
  </si>
  <si>
    <t>822873</t>
  </si>
  <si>
    <t>Submission to the Royal Commission on Canada's Economic Prospects / Toronto. University. Computation Centre.</t>
  </si>
  <si>
    <t>University of Toronto. Computer Centre.</t>
  </si>
  <si>
    <t>[Toronto] : [publisher not identified], 1955.</t>
  </si>
  <si>
    <t>Canadian federal royal commission papers</t>
  </si>
  <si>
    <t>1122353967:eng</t>
  </si>
  <si>
    <t>797170936</t>
  </si>
  <si>
    <t>ocn797170936</t>
  </si>
  <si>
    <t>3103683970Q</t>
  </si>
  <si>
    <t>794922775</t>
  </si>
  <si>
    <t>572</t>
  </si>
  <si>
    <t>8572</t>
  </si>
  <si>
    <t>Nostalgia de la luz = Nostalgia for the light / Atacama Productions presenta ; un filme de Patricio Guzmán ; producido por Renate Sachse ; guión y dirección, Patricio Guzmán.</t>
  </si>
  <si>
    <t>[New York, NY] : Icarus Films, [2011]</t>
  </si>
  <si>
    <t>9621928806:spa</t>
  </si>
  <si>
    <t>747616089</t>
  </si>
  <si>
    <t>ocn747616089</t>
  </si>
  <si>
    <t>3103394320Q</t>
  </si>
  <si>
    <t>794888333</t>
  </si>
  <si>
    <t>667</t>
  </si>
  <si>
    <t>8667</t>
  </si>
  <si>
    <t>Sun come up / produced in association with Fork Films [and others] ; Big Red Barn Films presents ; a film by Jennifer Redfearn &amp; Tim Metzger ; directed by Jennifer Redfearn ; produced by Jennifer Redfearn &amp; Tim Metzger ; produced in association with Chicken &amp; Egg Pictures.</t>
  </si>
  <si>
    <t>[New York, NY] : [Sun Come Up, LLC], [2011]</t>
  </si>
  <si>
    <t>860462874:eng</t>
  </si>
  <si>
    <t>709805049</t>
  </si>
  <si>
    <t>ocn709805049</t>
  </si>
  <si>
    <t>3103290903Y</t>
  </si>
  <si>
    <t>794869883</t>
  </si>
  <si>
    <t>7182</t>
  </si>
  <si>
    <t>87182</t>
  </si>
  <si>
    <t>The core / Paramount Pictures presents a David Foster/Cooper Layne/Sean Bailey production, a Jon Amiel film ; producers, David Foster, Cooper Layne, Sean Bailey ; writers, Cooper Layne, John Rogers ; director, Jon Amiel.</t>
  </si>
  <si>
    <t>Hollywood, CA : Paramount, ©2003.</t>
  </si>
  <si>
    <t>Widescreen DVD collection</t>
  </si>
  <si>
    <t>503537267:eng</t>
  </si>
  <si>
    <t>52605948</t>
  </si>
  <si>
    <t>ocm52605948</t>
  </si>
  <si>
    <t>31022957919</t>
  </si>
  <si>
    <t>9780792183570</t>
  </si>
  <si>
    <t>793810849</t>
  </si>
  <si>
    <t>7716</t>
  </si>
  <si>
    <t>87716</t>
  </si>
  <si>
    <t>Polar bear alert / a National Geographic special ; produced by the National Geographic Society and WQED Pittsburgh ; written and directed by James Lipscomb.</t>
  </si>
  <si>
    <t>[Washington, D.C.] : NGHT, Inc. ; Lexington, KY : Manufactured by Amazon.com, 2010, ©1987.</t>
  </si>
  <si>
    <t>National Geographic Society special.</t>
  </si>
  <si>
    <t>428204896:eng</t>
  </si>
  <si>
    <t>758500775</t>
  </si>
  <si>
    <t>ocn758500775</t>
  </si>
  <si>
    <t>3103441528E</t>
  </si>
  <si>
    <t>794896493</t>
  </si>
  <si>
    <t>7719</t>
  </si>
  <si>
    <t>87719</t>
  </si>
  <si>
    <t>White wolf / National Geographic.</t>
  </si>
  <si>
    <t>[Washington, D.C.] : NGHT, Inc., [2010]</t>
  </si>
  <si>
    <t>501815195:eng</t>
  </si>
  <si>
    <t>709917831</t>
  </si>
  <si>
    <t>ocn709917831</t>
  </si>
  <si>
    <t>3103441533C</t>
  </si>
  <si>
    <t>794869998</t>
  </si>
  <si>
    <t>7764</t>
  </si>
  <si>
    <t>87764</t>
  </si>
  <si>
    <t>Realm of the alligator / NGHT ; National Geographic.</t>
  </si>
  <si>
    <t>[Place of publication not identified] : National Geographic Society : NGHT, Inc., ©2010.</t>
  </si>
  <si>
    <t>2014-04-08</t>
  </si>
  <si>
    <t>496590478:eng</t>
  </si>
  <si>
    <t>741957299</t>
  </si>
  <si>
    <t>ocn741957299</t>
  </si>
  <si>
    <t>3103441509I</t>
  </si>
  <si>
    <t>794884559</t>
  </si>
  <si>
    <t>7770</t>
  </si>
  <si>
    <t>87770</t>
  </si>
  <si>
    <t>Rain forest / producers, writers, David Hughes, Carol Hughes ; produced by the National Geographic Society and WQED Pittsburgh.</t>
  </si>
  <si>
    <t>Washington, D.C. : National Geographic Society, Educational Services, 1983.</t>
  </si>
  <si>
    <t>4916869973:eng</t>
  </si>
  <si>
    <t>720070160</t>
  </si>
  <si>
    <t>ocn720070160</t>
  </si>
  <si>
    <t>3103441514G</t>
  </si>
  <si>
    <t>794874879</t>
  </si>
  <si>
    <t>7794</t>
  </si>
  <si>
    <t>87794</t>
  </si>
  <si>
    <t>Avalanche : the white death / National Geographic Society ; Night, Inc.</t>
  </si>
  <si>
    <t>Avalanche (Television program : 1999)</t>
  </si>
  <si>
    <t>[Place of publication not identified] : National Geographic Television, [2011]</t>
  </si>
  <si>
    <t>69913749:eng</t>
  </si>
  <si>
    <t>794292414</t>
  </si>
  <si>
    <t>ocn794292414</t>
  </si>
  <si>
    <t>3103441519G</t>
  </si>
  <si>
    <t>794919521</t>
  </si>
  <si>
    <t>7813</t>
  </si>
  <si>
    <t>87813</t>
  </si>
  <si>
    <t>Asteroids : deadly impact / written and directed by Eitan Weinreich ; produced by Nina Parmee.</t>
  </si>
  <si>
    <t>[Washington, D.C.] : National Geographic : Distributed by Warner Home Video, 2003.</t>
  </si>
  <si>
    <t>Restless Earth</t>
  </si>
  <si>
    <t>4924198245:eng</t>
  </si>
  <si>
    <t>52624656</t>
  </si>
  <si>
    <t>ocm52624656</t>
  </si>
  <si>
    <t>3103441538C</t>
  </si>
  <si>
    <t>9780792232315</t>
  </si>
  <si>
    <t>793811342</t>
  </si>
  <si>
    <t>8173</t>
  </si>
  <si>
    <t>88173</t>
  </si>
  <si>
    <t>Journey to the edge of the universe / produced by Pioneer Productions and Handel Productions (Ontario) Inc. ; in association with National Geographic, France 5 and Discovery Channel.</t>
  </si>
  <si>
    <t>[United States] : National Geographic ; Universal City, Calif. : Distributed by Vivendi Entertainment, [2008]</t>
  </si>
  <si>
    <t>National Geographic</t>
  </si>
  <si>
    <t>767457069:eng</t>
  </si>
  <si>
    <t>285597661</t>
  </si>
  <si>
    <t>ocn285597661</t>
  </si>
  <si>
    <t>3103332734D</t>
  </si>
  <si>
    <t>9781426294136</t>
  </si>
  <si>
    <t>794420772</t>
  </si>
  <si>
    <t>8177</t>
  </si>
  <si>
    <t>88177</t>
  </si>
  <si>
    <t>The universe. The complete season five / produced by Flight 33 Productions for History Television Network productions ; director, Douglas J. Cohen ; producer, Samuel K. Dolan.</t>
  </si>
  <si>
    <t>Season 5:disc 1</t>
  </si>
  <si>
    <t>Universe (Television program). Season 5.</t>
  </si>
  <si>
    <t>[New York] : A &amp; E Home Video : Distributed by New Video, ©2010.</t>
  </si>
  <si>
    <t>367174250:eng</t>
  </si>
  <si>
    <t>671816139</t>
  </si>
  <si>
    <t>ocn671816139</t>
  </si>
  <si>
    <t>3103333186H</t>
  </si>
  <si>
    <t>9781422910429</t>
  </si>
  <si>
    <t>794849226</t>
  </si>
  <si>
    <t>The universe. The complete season four / produced by Flight 33 Productions, LLC for History Television Network Productions ; executive producers, Louis C. Tarantino, Douglas J. Cohen ; episode directors, Rob Beemer, Douglas J. Cohen, Frank Kosa, Louis C. Tarantino, Jim Hense, Laura Verklan, Darryl Rehr, Colin Campbell ; episode writers, Rob Beemer, Frank Kosa, Jim Hense, Adrian Maher, Laura Verklan, Darryl Rehr, Savas Georgalis, Colin Campbell.</t>
  </si>
  <si>
    <t>Season 4:disc 4</t>
  </si>
  <si>
    <t>Universe (Television program). Season 4.</t>
  </si>
  <si>
    <t>[New York, NY] : A &amp; E Television Network, [2009]</t>
  </si>
  <si>
    <t>3902377273:eng</t>
  </si>
  <si>
    <t>492438262</t>
  </si>
  <si>
    <t>ocn492438262</t>
  </si>
  <si>
    <t>3103333171J</t>
  </si>
  <si>
    <t>9781422971918</t>
  </si>
  <si>
    <t>794801138</t>
  </si>
  <si>
    <t>Season 4:disc 2</t>
  </si>
  <si>
    <t>3103333166L</t>
  </si>
  <si>
    <t>794801140</t>
  </si>
  <si>
    <t>Season 4:disc 1</t>
  </si>
  <si>
    <t>3103333161L</t>
  </si>
  <si>
    <t>794801141</t>
  </si>
  <si>
    <t>Season 4:disc 3</t>
  </si>
  <si>
    <t>3103333156N</t>
  </si>
  <si>
    <t>794801139</t>
  </si>
  <si>
    <t>Season 5:disc 2</t>
  </si>
  <si>
    <t>3103333191F</t>
  </si>
  <si>
    <t>794849225</t>
  </si>
  <si>
    <t>The universe. The complete season three / created by Tony Long.</t>
  </si>
  <si>
    <t>Season 3:disc 4</t>
  </si>
  <si>
    <t>Universe (Television program). Season 3.</t>
  </si>
  <si>
    <t>New York, NY : A &amp; E Home Video, 2008.</t>
  </si>
  <si>
    <t>3943961803:eng</t>
  </si>
  <si>
    <t>489181351</t>
  </si>
  <si>
    <t>ocn489181351</t>
  </si>
  <si>
    <t>3103333170J</t>
  </si>
  <si>
    <t>9781422930984</t>
  </si>
  <si>
    <t>794799552</t>
  </si>
  <si>
    <t>The universe : an exploration of our solar system and beyond / the History Channel.</t>
  </si>
  <si>
    <t>Suppl.1: Planets</t>
  </si>
  <si>
    <t>New York, NY : A &amp; E Home Video, [2009]</t>
  </si>
  <si>
    <t>Collector's set.</t>
  </si>
  <si>
    <t>2013-09-27</t>
  </si>
  <si>
    <t>4049656192:eng</t>
  </si>
  <si>
    <t>670439727</t>
  </si>
  <si>
    <t>ocn670439727</t>
  </si>
  <si>
    <t>3103333184H</t>
  </si>
  <si>
    <t>9781422926727</t>
  </si>
  <si>
    <t>794847784</t>
  </si>
  <si>
    <t>Season 2:disc 4-5</t>
  </si>
  <si>
    <t>3103333159N</t>
  </si>
  <si>
    <t>794847782</t>
  </si>
  <si>
    <t>Season 2:discs 1-3</t>
  </si>
  <si>
    <t>3103333164L</t>
  </si>
  <si>
    <t>794847783</t>
  </si>
  <si>
    <t>Season 1</t>
  </si>
  <si>
    <t>3103333174J</t>
  </si>
  <si>
    <t>794847785</t>
  </si>
  <si>
    <t>Suppl.2 - How the Earth was Made / Volcanoes</t>
  </si>
  <si>
    <t>3103333189H</t>
  </si>
  <si>
    <t>794847781</t>
  </si>
  <si>
    <t>Season 3:disc 2</t>
  </si>
  <si>
    <t>3103333160L</t>
  </si>
  <si>
    <t>794799554</t>
  </si>
  <si>
    <t>Season 3:disc 3</t>
  </si>
  <si>
    <t>3103333165L</t>
  </si>
  <si>
    <t>794799553</t>
  </si>
  <si>
    <t>Season 3:disc 1</t>
  </si>
  <si>
    <t>3103333151N</t>
  </si>
  <si>
    <t>794799555</t>
  </si>
  <si>
    <t>8178</t>
  </si>
  <si>
    <t>88178</t>
  </si>
  <si>
    <t>Einstein and the stars / directed by Catherine Fol.</t>
  </si>
  <si>
    <t>disc 3 - Toutatis</t>
  </si>
  <si>
    <t>[Montreal] : National Film Board of Canada, ©2004.</t>
  </si>
  <si>
    <t>3372232484:eng</t>
  </si>
  <si>
    <t>60610682</t>
  </si>
  <si>
    <t>ocm60610682</t>
  </si>
  <si>
    <t>3103093395Y</t>
  </si>
  <si>
    <t>793940918</t>
  </si>
  <si>
    <t>disc 1 - This is not Einstein</t>
  </si>
  <si>
    <t>3103093390Y</t>
  </si>
  <si>
    <t>793940920</t>
  </si>
  <si>
    <t>disc 2 - Cosmic Link</t>
  </si>
  <si>
    <t>31030934218</t>
  </si>
  <si>
    <t>793940919</t>
  </si>
  <si>
    <t>8179</t>
  </si>
  <si>
    <t>88179</t>
  </si>
  <si>
    <t>The universe. The complete season one / History Channel ; produced by Flight 33 Productions for History Television Network Productions ; producer, Samuel K. Dolan ; director, Douglas J. Cohen.</t>
  </si>
  <si>
    <t>disc 2</t>
  </si>
  <si>
    <t>Universe (Television program). Season 1.</t>
  </si>
  <si>
    <t>[New York, N.Y.] : A &amp; E Television Networks : Distributed by New Video, [2007]</t>
  </si>
  <si>
    <t>History Channel (Television network)</t>
  </si>
  <si>
    <t>2018-01-13</t>
  </si>
  <si>
    <t>3856094633:eng</t>
  </si>
  <si>
    <t>181264843</t>
  </si>
  <si>
    <t>ocn181264843</t>
  </si>
  <si>
    <t>3102920641Z</t>
  </si>
  <si>
    <t>9781422900277</t>
  </si>
  <si>
    <t>794282090</t>
  </si>
  <si>
    <t>disc 3</t>
  </si>
  <si>
    <t>31029206360</t>
  </si>
  <si>
    <t>794282089</t>
  </si>
  <si>
    <t>disc 1</t>
  </si>
  <si>
    <t>3102920670T</t>
  </si>
  <si>
    <t>794282091</t>
  </si>
  <si>
    <t>disc 4</t>
  </si>
  <si>
    <t>3102920675T</t>
  </si>
  <si>
    <t>794282088</t>
  </si>
  <si>
    <t>8183</t>
  </si>
  <si>
    <t>88183</t>
  </si>
  <si>
    <t>Science and the swastika / series producer, Dunja Noack ; producers, Saskia Baron, Paul Sen ; directors, Saskia Baron, Fisher Dilke, Paul Sen ; writer, Fisher Dilke.</t>
  </si>
  <si>
    <t>[London] : Channel 4 Television ; Richmond Hill, Ont. : Distributed by American Home Treasures, 2001.</t>
  </si>
  <si>
    <t>9093825381:eng</t>
  </si>
  <si>
    <t>50158296</t>
  </si>
  <si>
    <t>ocm50158296</t>
  </si>
  <si>
    <t>31026786014</t>
  </si>
  <si>
    <t>9780779252558</t>
  </si>
  <si>
    <t>793756950</t>
  </si>
  <si>
    <t>31026786064</t>
  </si>
  <si>
    <t>793756949</t>
  </si>
  <si>
    <t>8184</t>
  </si>
  <si>
    <t>88184</t>
  </si>
  <si>
    <t>Asking different questions : women and science / Artemis Films in co-production with Studio D of the National Film Board of Canada presents ; producer, Merit Jensen Carr ; written and directed by Gwynne Basen, Erna Buffie.</t>
  </si>
  <si>
    <t>Montreal, Quebec : National Film Board of Canada, [2000?]</t>
  </si>
  <si>
    <t>801288082:eng</t>
  </si>
  <si>
    <t>57712829</t>
  </si>
  <si>
    <t>ocm57712829</t>
  </si>
  <si>
    <t>3103039965S</t>
  </si>
  <si>
    <t>793918262</t>
  </si>
  <si>
    <t>8185</t>
  </si>
  <si>
    <t>88185</t>
  </si>
  <si>
    <t>The scientific method.</t>
  </si>
  <si>
    <t>Chicago, Ill. : CLEARVUE/eav, ©2000.</t>
  </si>
  <si>
    <t>School ed.</t>
  </si>
  <si>
    <t>761141634:eng</t>
  </si>
  <si>
    <t>48652470</t>
  </si>
  <si>
    <t>ocm48652470</t>
  </si>
  <si>
    <t>3102441359L</t>
  </si>
  <si>
    <t>793725679</t>
  </si>
  <si>
    <t>8186</t>
  </si>
  <si>
    <t>88186</t>
  </si>
  <si>
    <t>Origins : fourteen billion years of cosmic evolution / a Pioneer Film &amp; TV production for NOVA/WGBH and Channel 4 ; a Thomas Levenson Productions and Unicorn Projects, Inc. production for WGBH/Boston.</t>
  </si>
  <si>
    <t>[Mass.] : WGBH Boston Video, ©2004.</t>
  </si>
  <si>
    <t>4160770919:eng</t>
  </si>
  <si>
    <t>56990697</t>
  </si>
  <si>
    <t>ocm56990697</t>
  </si>
  <si>
    <t>3102782069N</t>
  </si>
  <si>
    <t>9781593751753</t>
  </si>
  <si>
    <t>793905472</t>
  </si>
  <si>
    <t>8187</t>
  </si>
  <si>
    <t>88187</t>
  </si>
  <si>
    <t>The scientific method : understanding scientific reasoning / produced, directed and edited by Robert Willgoos ; writers, Don Hall, Charlotte Angel, Jim Wolfe.</t>
  </si>
  <si>
    <t>Charleston, WV : Cambridge Educational, ©2003.</t>
  </si>
  <si>
    <t>5617090416:eng</t>
  </si>
  <si>
    <t>61736906</t>
  </si>
  <si>
    <t>ocm61736906</t>
  </si>
  <si>
    <t>3102441364J</t>
  </si>
  <si>
    <t>794093152</t>
  </si>
  <si>
    <t>8188</t>
  </si>
  <si>
    <t>88188</t>
  </si>
  <si>
    <t>Science at the crossroads : the end of the Galilean break? / Isabelle Stengers.</t>
  </si>
  <si>
    <t>[Montreal] : [Instructional Multimedia Services, McGill University], [2006]</t>
  </si>
  <si>
    <t>503073600:eng</t>
  </si>
  <si>
    <t>252511193</t>
  </si>
  <si>
    <t>ocn252511193</t>
  </si>
  <si>
    <t>3102689793B</t>
  </si>
  <si>
    <t>794388074</t>
  </si>
  <si>
    <t>8189</t>
  </si>
  <si>
    <t>88189</t>
  </si>
  <si>
    <t>A brief history of time / an Anglia Television &amp; Gordon Freedman production ; Produced in association with NBC, Tokyo Broadcasting System, &amp; Channel Four, U.K. ; An Errol Morris film ; executive producer, Gordon Freedman ; produced by David Hickman ; directed by Errol Morris.</t>
  </si>
  <si>
    <t>[Place of publication not identified] : Science Channel, [1999?]</t>
  </si>
  <si>
    <t>553286836:eng</t>
  </si>
  <si>
    <t>427796449</t>
  </si>
  <si>
    <t>ocn427796449</t>
  </si>
  <si>
    <t>3103030855W</t>
  </si>
  <si>
    <t>794698565</t>
  </si>
  <si>
    <t>8190</t>
  </si>
  <si>
    <t>88190</t>
  </si>
  <si>
    <t>The lost colony / Zeppers Film presents in coproduction with NPS a film by Astrid Bussink.</t>
  </si>
  <si>
    <t>[Amsterdam] : Zeppers Film ; New York : Distributed by the Cinema Guild, 2008.</t>
  </si>
  <si>
    <t>2261019613:rus</t>
  </si>
  <si>
    <t>316161717</t>
  </si>
  <si>
    <t>ocn316161717</t>
  </si>
  <si>
    <t>31030431127</t>
  </si>
  <si>
    <t>9780781512626</t>
  </si>
  <si>
    <t>794445687</t>
  </si>
  <si>
    <t>8192</t>
  </si>
  <si>
    <t>88192</t>
  </si>
  <si>
    <t>Whiz kids / Sandbar Pictures ; directed by Tom Shepard.</t>
  </si>
  <si>
    <t>[Los Angeles, Calif.] : Sandbar Pictures, ©2009.</t>
  </si>
  <si>
    <t>Preview ed.</t>
  </si>
  <si>
    <t>57064077:eng</t>
  </si>
  <si>
    <t>535817506</t>
  </si>
  <si>
    <t>ocn535817506</t>
  </si>
  <si>
    <t>3103346288Y</t>
  </si>
  <si>
    <t>794810230</t>
  </si>
  <si>
    <t>8194</t>
  </si>
  <si>
    <t>88194</t>
  </si>
  <si>
    <t>The story of 1 : how a single digit created math and changed the world / [produced by Impossible Pictures for the BBC].</t>
  </si>
  <si>
    <t>Lawrence, NJ : Cambridge Educational, a division of Films Media Group, 2006.</t>
  </si>
  <si>
    <t>61770324:eng</t>
  </si>
  <si>
    <t>70781950</t>
  </si>
  <si>
    <t>ocm70781950</t>
  </si>
  <si>
    <t>3102910849Y</t>
  </si>
  <si>
    <t>794159123</t>
  </si>
  <si>
    <t>8195</t>
  </si>
  <si>
    <t>88195</t>
  </si>
  <si>
    <t>Statistics / the Standard Deviants.</t>
  </si>
  <si>
    <t>disc 8 - Statistics Tricks</t>
  </si>
  <si>
    <t>Camarillo, CA : Goldhil Educational, ©2005.</t>
  </si>
  <si>
    <t>Classroom ed.</t>
  </si>
  <si>
    <t>Standard Deviants school DVD</t>
  </si>
  <si>
    <t>2009-03-06</t>
  </si>
  <si>
    <t>3943338937:eng</t>
  </si>
  <si>
    <t>68187480</t>
  </si>
  <si>
    <t>ocm68187480</t>
  </si>
  <si>
    <t>3102655717L</t>
  </si>
  <si>
    <t>9781596261785</t>
  </si>
  <si>
    <t>794142597</t>
  </si>
  <si>
    <t>disc 9 - Statistic Error</t>
  </si>
  <si>
    <t>2007-05-22</t>
  </si>
  <si>
    <t>3102655743F</t>
  </si>
  <si>
    <t>794142596</t>
  </si>
  <si>
    <t>disc 1 - The Basics</t>
  </si>
  <si>
    <t>3102655723J</t>
  </si>
  <si>
    <t>794142604</t>
  </si>
  <si>
    <t>disc 2 - Distribution Curves</t>
  </si>
  <si>
    <t>3102655738H</t>
  </si>
  <si>
    <t>794142603</t>
  </si>
  <si>
    <t>disc 5 - Random Variables</t>
  </si>
  <si>
    <t>3102655732H</t>
  </si>
  <si>
    <t>794142600</t>
  </si>
  <si>
    <t>disc 7 - Working with Distributions</t>
  </si>
  <si>
    <t>2007-10-30</t>
  </si>
  <si>
    <t>3102655722J</t>
  </si>
  <si>
    <t>794142598</t>
  </si>
  <si>
    <t>disc 3 - Variability &amp; Standard Deviation</t>
  </si>
  <si>
    <t>3102655733H</t>
  </si>
  <si>
    <t>794142602</t>
  </si>
  <si>
    <t>disc 4 - Probability</t>
  </si>
  <si>
    <t>3102655737H</t>
  </si>
  <si>
    <t>794142601</t>
  </si>
  <si>
    <t>disc 6 - Binomial Formula</t>
  </si>
  <si>
    <t>3102655727J</t>
  </si>
  <si>
    <t>794142599</t>
  </si>
  <si>
    <t>8199</t>
  </si>
  <si>
    <t>88199</t>
  </si>
  <si>
    <t>Fractals : hunting the hidden dimension / a Quest Productions and Kikim Media production for Nova ; in association with the Catticus Corporation ; WGBH Educational Foundation ; senior series producer, Melanie Wallace ; produced and directed by Michael Schwarz and Bill Jersey.</t>
  </si>
  <si>
    <t>Nova (Television program). Fractals, hunting the hidden dimension.</t>
  </si>
  <si>
    <t>Boston, MA : WGBH Educational Foundation, [2009]</t>
  </si>
  <si>
    <t>NOVA</t>
  </si>
  <si>
    <t>858228915:eng</t>
  </si>
  <si>
    <t>271271934</t>
  </si>
  <si>
    <t>ocn271271934</t>
  </si>
  <si>
    <t>3103300850T</t>
  </si>
  <si>
    <t>9781593758523</t>
  </si>
  <si>
    <t>794413820</t>
  </si>
  <si>
    <t>8200</t>
  </si>
  <si>
    <t>88200</t>
  </si>
  <si>
    <t>Galileo's battle for the heavens / a Nova production by Green Umbrella, Ltd for WGBH/Boston in association with Channel 4 ; written and produced by David Axelrod ; directed by Peter Jones.</t>
  </si>
  <si>
    <t>[Boston] : WGBH Boston Video, ©2006.</t>
  </si>
  <si>
    <t>Genius: the science of Einstein, Newton, Darwin and Galileo.</t>
  </si>
  <si>
    <t>763506132:eng</t>
  </si>
  <si>
    <t>64386527</t>
  </si>
  <si>
    <t>ocm64386527</t>
  </si>
  <si>
    <t>3102940942G</t>
  </si>
  <si>
    <t>9781593755737</t>
  </si>
  <si>
    <t>794128716</t>
  </si>
  <si>
    <t>8201</t>
  </si>
  <si>
    <t>88201</t>
  </si>
  <si>
    <t>Universe / National Film Board of Canada.</t>
  </si>
  <si>
    <t>[Montreal] : National Film Board of Canada, [2000?]</t>
  </si>
  <si>
    <t>3769607955:eng</t>
  </si>
  <si>
    <t>60594608</t>
  </si>
  <si>
    <t>ocm60594608</t>
  </si>
  <si>
    <t>31029108045</t>
  </si>
  <si>
    <t>793940490</t>
  </si>
  <si>
    <t>8205</t>
  </si>
  <si>
    <t>88205</t>
  </si>
  <si>
    <t>Absolute zero / produced and directed by David Dugan ; written by Tom Shachtman ; co-produced by Meredith Burch ; a production of Windfall Films and Meridian Productions for TPT/Twin Cities Public Television and WGBH/Nova in association with the BBC.</t>
  </si>
  <si>
    <t>2019-09-14</t>
  </si>
  <si>
    <t>325541264:eng</t>
  </si>
  <si>
    <t>226435001</t>
  </si>
  <si>
    <t>ocn226435001</t>
  </si>
  <si>
    <t>3103393166S</t>
  </si>
  <si>
    <t>9781593758196</t>
  </si>
  <si>
    <t>794345632</t>
  </si>
  <si>
    <t>8206</t>
  </si>
  <si>
    <t>88206</t>
  </si>
  <si>
    <t>Hurricane! / written, produced and directed by Larry Engel &amp; Thomas Lucas ; executive producer, Paula S. Apsell ; a Nova production by Cineworks Inc. in association with WGBH/Boston and BBC TV.</t>
  </si>
  <si>
    <t>[Boston] : WGBH Boston Video, ©2004.</t>
  </si>
  <si>
    <t>NOVA (local)386335</t>
  </si>
  <si>
    <t>495734671:eng</t>
  </si>
  <si>
    <t>55648302</t>
  </si>
  <si>
    <t>ocm55648302</t>
  </si>
  <si>
    <t>3102658157J</t>
  </si>
  <si>
    <t>9781593751722</t>
  </si>
  <si>
    <t>793880154</t>
  </si>
  <si>
    <t>8207</t>
  </si>
  <si>
    <t>88207</t>
  </si>
  <si>
    <t>Arctic mission.</t>
  </si>
  <si>
    <t>People of the Ice/ Le peuple de la glace</t>
  </si>
  <si>
    <t>[Montreal, Quebec] : NFB, ©2003.</t>
  </si>
  <si>
    <t>3944556838:eng</t>
  </si>
  <si>
    <t>61660523</t>
  </si>
  <si>
    <t>ocm61660523</t>
  </si>
  <si>
    <t>3102824699F</t>
  </si>
  <si>
    <t>9780778622741</t>
  </si>
  <si>
    <t>794090480</t>
  </si>
  <si>
    <t>Lords of the Arctic/ Les seigneurs de l'Arctique</t>
  </si>
  <si>
    <t>2012-11-13</t>
  </si>
  <si>
    <t>3102824713S</t>
  </si>
  <si>
    <t>794090481</t>
  </si>
  <si>
    <t>The Great Adventure/ La grande raversee</t>
  </si>
  <si>
    <t>3102824692F</t>
  </si>
  <si>
    <t>794090479</t>
  </si>
  <si>
    <t>Climate on the Edge/ Menaces sur le toit du monde</t>
  </si>
  <si>
    <t>3102824717S</t>
  </si>
  <si>
    <t>794090482</t>
  </si>
  <si>
    <t>Washed Away/ A la derive</t>
  </si>
  <si>
    <t>3102824718S</t>
  </si>
  <si>
    <t>794090478</t>
  </si>
  <si>
    <t>8210</t>
  </si>
  <si>
    <t>88210</t>
  </si>
  <si>
    <t>Dimming the sun / directed by Duncan Copp ; produced by David Sington ; a DOX production for Nova/WGBH and BBC ; additional material, WGBH Educational Foundation.</t>
  </si>
  <si>
    <t>[S. Burlington, Vt.] : WGBH Video, ©2006.</t>
  </si>
  <si>
    <t>Widescreen format.</t>
  </si>
  <si>
    <t>325422187:eng</t>
  </si>
  <si>
    <t>65519760</t>
  </si>
  <si>
    <t>ocm65519760</t>
  </si>
  <si>
    <t>3103379877S</t>
  </si>
  <si>
    <t>9781593755676</t>
  </si>
  <si>
    <t>794134943</t>
  </si>
  <si>
    <t>8211</t>
  </si>
  <si>
    <t>88211</t>
  </si>
  <si>
    <t>An Inconvenient Truth / Paramount Classics and Participant Productions present ; directed by Davis Guggenheim ; produced by Laurie David, Lawrence Bender, Scott Z. Burns ; executive producers, Jeff Skoll, Davis Guggenheim [and others] ; co-producer, Leslie Chilcott ; a Lawrence Bender/Laurie David production.</t>
  </si>
  <si>
    <t>Hollywood, Calif. : Paramount, ©2006.</t>
  </si>
  <si>
    <t>1039907295:eng</t>
  </si>
  <si>
    <t>71259343</t>
  </si>
  <si>
    <t>ocm71259343</t>
  </si>
  <si>
    <t>3102659994K</t>
  </si>
  <si>
    <t>9781415724781</t>
  </si>
  <si>
    <t>794164416</t>
  </si>
  <si>
    <t>3103379872S</t>
  </si>
  <si>
    <t>794164415</t>
  </si>
  <si>
    <t>31027494437</t>
  </si>
  <si>
    <t>794164414</t>
  </si>
  <si>
    <t>3102658158J</t>
  </si>
  <si>
    <t>794164413</t>
  </si>
  <si>
    <t>8213</t>
  </si>
  <si>
    <t>88213</t>
  </si>
  <si>
    <t>Arctic rush / produced, directed, and written by Craig Duff.</t>
  </si>
  <si>
    <t>Toronto, ON : CBC Educational Sales, 2006.</t>
  </si>
  <si>
    <t>365212710:eng</t>
  </si>
  <si>
    <t>234150206</t>
  </si>
  <si>
    <t>ocn234150206</t>
  </si>
  <si>
    <t>31031130913</t>
  </si>
  <si>
    <t>794368685</t>
  </si>
  <si>
    <t>8214</t>
  </si>
  <si>
    <t>88214</t>
  </si>
  <si>
    <t>Out of balance : ExxonMobil's impact on climate change / Cinequest presents ; A production of Joe Public Films ; in association with Coruway Film Institute ; produced by Tom Jackson and Peter Vandermark ; written and directed by Tom Jackson.</t>
  </si>
  <si>
    <t>[San Jose, CA] : Cinequest Films, Inc., [2007?]</t>
  </si>
  <si>
    <t>862860192:eng</t>
  </si>
  <si>
    <t>163952538</t>
  </si>
  <si>
    <t>ocn163952538</t>
  </si>
  <si>
    <t>3102942354O</t>
  </si>
  <si>
    <t>794258700</t>
  </si>
  <si>
    <t>8216</t>
  </si>
  <si>
    <t>88216</t>
  </si>
  <si>
    <t>Six degrees could change the world / producer/director, Ron Bowman ; writer, Ed Fields, Ron Bowman ; produced by National Geographic Television.</t>
  </si>
  <si>
    <t>[Washington, D.C.] : National Geographic ; Burbank, CA : Distributed by Warner Home Video, ©2008.</t>
  </si>
  <si>
    <t>369712051:eng</t>
  </si>
  <si>
    <t>190864815</t>
  </si>
  <si>
    <t>ocn190864815</t>
  </si>
  <si>
    <t>3103001522L</t>
  </si>
  <si>
    <t>9781426293023</t>
  </si>
  <si>
    <t>794296339</t>
  </si>
  <si>
    <t>8218</t>
  </si>
  <si>
    <t>88218</t>
  </si>
  <si>
    <t>Earth : the biography / a 2 Entertain ; produced by the BBC for the National Geographic Channel ; series producer, Jonathan Renouf.</t>
  </si>
  <si>
    <t>[New York, NY] : Distributed by BBC Worldwide Americas ; Burbank, CA : Distributed by Warner Home Video, [2008]</t>
  </si>
  <si>
    <t>3769105273:eng</t>
  </si>
  <si>
    <t>226433935</t>
  </si>
  <si>
    <t>ocn226433935</t>
  </si>
  <si>
    <t>3103254254C</t>
  </si>
  <si>
    <t>9781419869921</t>
  </si>
  <si>
    <t>794345631</t>
  </si>
  <si>
    <t>8219</t>
  </si>
  <si>
    <t>88219</t>
  </si>
  <si>
    <t>Volcano under the city / a Nova production by Bonne Pioche and Greenspace for WGBH/Boston ; produced for Nova by Providence Pictures, Inc. for WGBH/Boston ; producer, Gary Glassman ; writer, Antoine de Maximy ; writer and director, Caroline Wrinch ; directed by Antoine de Maximy.</t>
  </si>
  <si>
    <t>479775911:eng</t>
  </si>
  <si>
    <t>71805251</t>
  </si>
  <si>
    <t>ocm71805251</t>
  </si>
  <si>
    <t>3102683566A</t>
  </si>
  <si>
    <t>9781593752484</t>
  </si>
  <si>
    <t>794168420</t>
  </si>
  <si>
    <t>8220</t>
  </si>
  <si>
    <t>88220</t>
  </si>
  <si>
    <t>Zalzala : the Pakistan earthquake / Hickory Dickory Documentary Films ; written and directed by Jason Watt ; producers, Jason Watt and Michelle Skanes ; associate producer, Kristy Giles.</t>
  </si>
  <si>
    <t>Montreal : Cine Fête, 2007.</t>
  </si>
  <si>
    <t>694989718:eng</t>
  </si>
  <si>
    <t>316179165</t>
  </si>
  <si>
    <t>ocn316179165</t>
  </si>
  <si>
    <t>3103039855X</t>
  </si>
  <si>
    <t>794446275</t>
  </si>
  <si>
    <t>8221</t>
  </si>
  <si>
    <t>88221</t>
  </si>
  <si>
    <t>The cross and bones / Amérimage-Spectra presents a film by Paul Carrière.</t>
  </si>
  <si>
    <t>Montreal : Amérimage-Spectra, ©2005.</t>
  </si>
  <si>
    <t>"Version festivals" -- disc label.</t>
  </si>
  <si>
    <t>147404546:eng</t>
  </si>
  <si>
    <t>252493179</t>
  </si>
  <si>
    <t>ocn252493179</t>
  </si>
  <si>
    <t>31026084048</t>
  </si>
  <si>
    <t>794387813</t>
  </si>
  <si>
    <t>8222</t>
  </si>
  <si>
    <t>88222</t>
  </si>
  <si>
    <t>Sea monsters : a prehistoric adventure / National Geographic Television ; producers, Lisa Truitt, Jini Durr ; director, Sean McLeod [i.e. MacLeod] Phillips ; writer, Mose Richards.</t>
  </si>
  <si>
    <t>[Washington, D.C.?] : National Geographic ; [Place of publication not identified] : Distributed in the U.S.A. and Canada by Warner Home Video, ©2008.</t>
  </si>
  <si>
    <t>Widescreen version.</t>
  </si>
  <si>
    <t>864245901:eng</t>
  </si>
  <si>
    <t>432086368</t>
  </si>
  <si>
    <t>ocn432086368</t>
  </si>
  <si>
    <t>31033706168</t>
  </si>
  <si>
    <t>9781426294815</t>
  </si>
  <si>
    <t>794781598</t>
  </si>
  <si>
    <t>8224</t>
  </si>
  <si>
    <t>88224</t>
  </si>
  <si>
    <t>Dinosaur hunters / producer, Lisa Truitt ; writer, Kage Glantz ; animation, 4:2:2 Videographics ; a production of National Geographic Television.</t>
  </si>
  <si>
    <t>[Washington, D.C.] : National Geographic ; [Burbank, CA] : Distributed in the U.S.A. and Canada by Warner Home Video, [2003]</t>
  </si>
  <si>
    <t>Standard version.</t>
  </si>
  <si>
    <t>56762965:eng</t>
  </si>
  <si>
    <t>52112954</t>
  </si>
  <si>
    <t>ocm52112954</t>
  </si>
  <si>
    <t>3102518018J</t>
  </si>
  <si>
    <t>9780792293842</t>
  </si>
  <si>
    <t>793798688</t>
  </si>
  <si>
    <t>8225</t>
  </si>
  <si>
    <t>88225</t>
  </si>
  <si>
    <t>Dinosaur planet / Discovery Channel.</t>
  </si>
  <si>
    <t>Bethesda, MD : Discovery Channel Video, [2004]</t>
  </si>
  <si>
    <t>478757195:eng</t>
  </si>
  <si>
    <t>61737240</t>
  </si>
  <si>
    <t>ocm61737240</t>
  </si>
  <si>
    <t>3102399664X</t>
  </si>
  <si>
    <t>794093345</t>
  </si>
  <si>
    <t>8227</t>
  </si>
  <si>
    <t>88227</t>
  </si>
  <si>
    <t>What really killed the dinosaurs?.</t>
  </si>
  <si>
    <t>Mississauga ON : McNabb Connolly, [2006]</t>
  </si>
  <si>
    <t>479318043:eng</t>
  </si>
  <si>
    <t>316058980</t>
  </si>
  <si>
    <t>ocn316058980</t>
  </si>
  <si>
    <t>31028707639</t>
  </si>
  <si>
    <t>794441760</t>
  </si>
  <si>
    <t>88228</t>
  </si>
  <si>
    <t>Arctic dinosaurs / produced for Nova by Zerkalo Inc. ; a Nova production by Big Island Pictures Pty Ltd. for WGBH in association with the Film Finance Corporation Australia and the Pacific Film and Television Corporation ; produced and directed for Nova by Jackie Mow, Chris Schmidt ; produced and directed for Big Island Pictures by Ruth Berry.</t>
  </si>
  <si>
    <t>[Boston] : WGBH, [2009]</t>
  </si>
  <si>
    <t>325609463:eng</t>
  </si>
  <si>
    <t>264802003</t>
  </si>
  <si>
    <t>ocn264802003</t>
  </si>
  <si>
    <t>3103274629X</t>
  </si>
  <si>
    <t>9781593758660</t>
  </si>
  <si>
    <t>794404955</t>
  </si>
  <si>
    <t>8233</t>
  </si>
  <si>
    <t>88233</t>
  </si>
  <si>
    <t>BBC atlas of the natural world. Africa and Europe / 2 Entertain ; a BBC/Discovery Channel co-production.</t>
  </si>
  <si>
    <t>Los Angeles, CA : Warner Home Video, ©2007.</t>
  </si>
  <si>
    <t>BBC atlas of the natural world</t>
  </si>
  <si>
    <t>889628893:eng</t>
  </si>
  <si>
    <t>179650067</t>
  </si>
  <si>
    <t>ocn179650067</t>
  </si>
  <si>
    <t>3103388317H</t>
  </si>
  <si>
    <t>9781419849039</t>
  </si>
  <si>
    <t>794278926</t>
  </si>
  <si>
    <t>8238</t>
  </si>
  <si>
    <t>88238</t>
  </si>
  <si>
    <t>Rivers of the sun. Amazonia / NHNZ ; NHK ; France 5 ; ORF ; ZDF ; Discovery HD Theater ; Animal Planet International ; produced by Andrew Sampson ; written by Peter Hayden ; produced and directed by Satoshi Okabe.</t>
  </si>
  <si>
    <t>[Santa Clarita, CA] : MagicPlay Entertainment ; [Menlo Park, CA] : Distributed by Razor Digital Entertainment, 2009.</t>
  </si>
  <si>
    <t>Equator collection</t>
  </si>
  <si>
    <t>121769679:eng</t>
  </si>
  <si>
    <t>387771852</t>
  </si>
  <si>
    <t>ocn387771852</t>
  </si>
  <si>
    <t>3103007700W</t>
  </si>
  <si>
    <t>9781595525215</t>
  </si>
  <si>
    <t>794495602</t>
  </si>
  <si>
    <t>8240</t>
  </si>
  <si>
    <t>88240</t>
  </si>
  <si>
    <t>Cuba : wild island of the Caribbean / an ORF Universum, Thirteen/WNET New York and Devillier Donegan Enterprises co-production ; written and produced by Paul Reddish.</t>
  </si>
  <si>
    <t>New York, NY : Thirteen WNET New York, 2005, ©2004.</t>
  </si>
  <si>
    <t>Nature video library</t>
  </si>
  <si>
    <t>4918865100:eng</t>
  </si>
  <si>
    <t>59712845</t>
  </si>
  <si>
    <t>ocm59712845</t>
  </si>
  <si>
    <t>3102693205Q</t>
  </si>
  <si>
    <t>793931199</t>
  </si>
  <si>
    <t>8243</t>
  </si>
  <si>
    <t>88243</t>
  </si>
  <si>
    <t>BBC atlas of the natural world : Western Hemisphere and Antarctica / BBC Video.</t>
  </si>
  <si>
    <t>Burbank, CA : Warner Home Video, 2006.</t>
  </si>
  <si>
    <t>3945349713:eng</t>
  </si>
  <si>
    <t>76955305</t>
  </si>
  <si>
    <t>ocm76955305</t>
  </si>
  <si>
    <t>31028899571</t>
  </si>
  <si>
    <t>9781419840180</t>
  </si>
  <si>
    <t>794179809</t>
  </si>
  <si>
    <t>8244</t>
  </si>
  <si>
    <t>88244</t>
  </si>
  <si>
    <t>Extreme weather. Pt. 1 Wind &amp; water / CBC.</t>
  </si>
  <si>
    <t>Toronto : CBC, 2005.</t>
  </si>
  <si>
    <t>4160386550:eng</t>
  </si>
  <si>
    <t>253946408</t>
  </si>
  <si>
    <t>ocn253946408</t>
  </si>
  <si>
    <t>3102834377N</t>
  </si>
  <si>
    <t>794397676</t>
  </si>
  <si>
    <t>8245</t>
  </si>
  <si>
    <t>88245</t>
  </si>
  <si>
    <t>Extreme weather. Pt. 2 Fire &amp; Ice / CBC ; producee, written and directed by Jane Mingay.</t>
  </si>
  <si>
    <t>2912172424:eng</t>
  </si>
  <si>
    <t>253945221</t>
  </si>
  <si>
    <t>ocn253945221</t>
  </si>
  <si>
    <t>3102834368P</t>
  </si>
  <si>
    <t>794397641</t>
  </si>
  <si>
    <t>8246</t>
  </si>
  <si>
    <t>88246</t>
  </si>
  <si>
    <t>Supervolcanoes / written and produced by Mark Hedgecoe.</t>
  </si>
  <si>
    <t>[London] : BBC, ©2000.</t>
  </si>
  <si>
    <t>499384338:eng</t>
  </si>
  <si>
    <t>166306985</t>
  </si>
  <si>
    <t>ocn166306985</t>
  </si>
  <si>
    <t>3103349399H</t>
  </si>
  <si>
    <t>794260013</t>
  </si>
  <si>
    <t>8247</t>
  </si>
  <si>
    <t>88247</t>
  </si>
  <si>
    <t>Sila Alangotok : Inuit observations on climate change = observations des Inuit sur le changement climatique / directors, Bonnie Dickie, Terry Woolf ; producers, Neil Ford, Graham Ashford ; an IISD Production.</t>
  </si>
  <si>
    <t>Winnipeg, Man. : International Institute for Sustainable Development, [2000?]</t>
  </si>
  <si>
    <t>[Full-length version].</t>
  </si>
  <si>
    <t>2016-11-08</t>
  </si>
  <si>
    <t>5617314074:eng</t>
  </si>
  <si>
    <t>66408009</t>
  </si>
  <si>
    <t>ocm66408009</t>
  </si>
  <si>
    <t>31030495442</t>
  </si>
  <si>
    <t>794139045</t>
  </si>
  <si>
    <t>8248</t>
  </si>
  <si>
    <t>88248</t>
  </si>
  <si>
    <t>Life after people / written, produced and directed by David de Vries ; produced by Vincent Lopez ; produced by Flight 33 Productions for History Television Network Productions.</t>
  </si>
  <si>
    <t>[New York, N.Y.] : A &amp; E Television Networks : Distributed in the U.S. by New Video, [2008]</t>
  </si>
  <si>
    <t>505886211:eng</t>
  </si>
  <si>
    <t>191886930</t>
  </si>
  <si>
    <t>ocn191886930</t>
  </si>
  <si>
    <t>3102873500F</t>
  </si>
  <si>
    <t>9781422909393</t>
  </si>
  <si>
    <t>794301799</t>
  </si>
  <si>
    <t>8251</t>
  </si>
  <si>
    <t>88251</t>
  </si>
  <si>
    <t>Charles Darwin : evolution's voice / written and produced by Noah Morowitz ; a presentation of Hearst Entertainment ; produced by Actuality Productions, Inc. for A &amp; E Network.</t>
  </si>
  <si>
    <t>[United States] : A &amp; E Home Video ; New York : Distributed by New Video, [2005]</t>
  </si>
  <si>
    <t>Biography</t>
  </si>
  <si>
    <t>902978548:eng</t>
  </si>
  <si>
    <t>61347136</t>
  </si>
  <si>
    <t>ocm61347136</t>
  </si>
  <si>
    <t>31030395319</t>
  </si>
  <si>
    <t>9780767083607</t>
  </si>
  <si>
    <t>793951402</t>
  </si>
  <si>
    <t>8252</t>
  </si>
  <si>
    <t>88252</t>
  </si>
  <si>
    <t>Charles Darwin / Cromwell Productions, Ltd. ; produced in association with English Heritage ; producer, Vanessa Tovell ; director, Chris Gormlie ; written by Pauline Rush.</t>
  </si>
  <si>
    <t>West Long Branch, NJ : Kultur, [2005]</t>
  </si>
  <si>
    <t>Genius</t>
  </si>
  <si>
    <t>4926587455:eng</t>
  </si>
  <si>
    <t>69679556</t>
  </si>
  <si>
    <t>ocm69679556</t>
  </si>
  <si>
    <t>3103039679Z</t>
  </si>
  <si>
    <t>9780769781372</t>
  </si>
  <si>
    <t>794146793</t>
  </si>
  <si>
    <t>8256</t>
  </si>
  <si>
    <t>88256</t>
  </si>
  <si>
    <t>Miracle planet / a National Film Board of Canada and NHK Japan co-production with Tele Images International, Telepool International, NHK Enterprises 21 Inc.</t>
  </si>
  <si>
    <t>episode 1</t>
  </si>
  <si>
    <t>Montreal : National Film Board of Canada, ©2005.</t>
  </si>
  <si>
    <t>56397898:eng</t>
  </si>
  <si>
    <t>70294395</t>
  </si>
  <si>
    <t>ocm70294395</t>
  </si>
  <si>
    <t>3102522164P</t>
  </si>
  <si>
    <t>794152672</t>
  </si>
  <si>
    <t>episode 5</t>
  </si>
  <si>
    <t>3102522169P</t>
  </si>
  <si>
    <t>794152668</t>
  </si>
  <si>
    <t>episode 3</t>
  </si>
  <si>
    <t>3102522170N</t>
  </si>
  <si>
    <t>794152670</t>
  </si>
  <si>
    <t>episode 4</t>
  </si>
  <si>
    <t>3102522175N</t>
  </si>
  <si>
    <t>794152669</t>
  </si>
  <si>
    <t>episode 2</t>
  </si>
  <si>
    <t>3102522158R</t>
  </si>
  <si>
    <t>794152671</t>
  </si>
  <si>
    <t>8257</t>
  </si>
  <si>
    <t>88257</t>
  </si>
  <si>
    <t>Bioinformatics, genomics, and proteomics.</t>
  </si>
  <si>
    <t>Hamilton, NJ : Films for the Humanities &amp; Sciences, ©2009.</t>
  </si>
  <si>
    <t>Biotechnology in the 21st century</t>
  </si>
  <si>
    <t>610732951:eng</t>
  </si>
  <si>
    <t>319620887</t>
  </si>
  <si>
    <t>ocn319620887</t>
  </si>
  <si>
    <t>3103129596X</t>
  </si>
  <si>
    <t>9781608250738</t>
  </si>
  <si>
    <t>794484197</t>
  </si>
  <si>
    <t>8258</t>
  </si>
  <si>
    <t>88258</t>
  </si>
  <si>
    <t>The living planet / BBC Worldwide.</t>
  </si>
  <si>
    <t>Alexandria, VA : Time-Life Video, ©2003.</t>
  </si>
  <si>
    <t>1073180170:eng</t>
  </si>
  <si>
    <t>308862285</t>
  </si>
  <si>
    <t>ocn308862285</t>
  </si>
  <si>
    <t>3103103332B</t>
  </si>
  <si>
    <t>794434681</t>
  </si>
  <si>
    <t>8265</t>
  </si>
  <si>
    <t>88265</t>
  </si>
  <si>
    <t>Five billion years / co-produced by the National Film Board of Canada and the National Museum of Natural Sciences of Canada.</t>
  </si>
  <si>
    <t>Montreal : National Film Board of Canada, [2007]</t>
  </si>
  <si>
    <t>427562348:eng</t>
  </si>
  <si>
    <t>316096891</t>
  </si>
  <si>
    <t>ocn316096891</t>
  </si>
  <si>
    <t>3102942325U</t>
  </si>
  <si>
    <t>794444060</t>
  </si>
  <si>
    <t>8266</t>
  </si>
  <si>
    <t>88266</t>
  </si>
  <si>
    <t>Origin of the species: creationism and evolution [videorecording] ; The story of evolution: Charles Darwin explains the diversity of life / Hawkhill Video Associates, Inc.</t>
  </si>
  <si>
    <t>Madison, WI : Hawkhill Associates, 2002.</t>
  </si>
  <si>
    <t>Evolution</t>
  </si>
  <si>
    <t>1812034171:eng</t>
  </si>
  <si>
    <t>51064568</t>
  </si>
  <si>
    <t>ocm51064568</t>
  </si>
  <si>
    <t>3102833884A</t>
  </si>
  <si>
    <t>793778122</t>
  </si>
  <si>
    <t>8267</t>
  </si>
  <si>
    <t>88267</t>
  </si>
  <si>
    <t>Evolution / a co-production of the WGBH/NOVA Science Unit and Clear Blue Sky Productions.</t>
  </si>
  <si>
    <t>disc 3-The Evolutionary Arms Race &amp; Why Sex?</t>
  </si>
  <si>
    <t>South Burlington, Vt. : WGBH Boston Video, ©2001.</t>
  </si>
  <si>
    <t>[Widescreen].</t>
  </si>
  <si>
    <t>8909639297:eng</t>
  </si>
  <si>
    <t>48491143</t>
  </si>
  <si>
    <t>ocm48491143</t>
  </si>
  <si>
    <t>3102804776Q</t>
  </si>
  <si>
    <t>9781578078561</t>
  </si>
  <si>
    <t>793722299</t>
  </si>
  <si>
    <t>disc 1-Darwin's Dangerous Idea</t>
  </si>
  <si>
    <t>2015-08-08</t>
  </si>
  <si>
    <t>3102804781O</t>
  </si>
  <si>
    <t>793722301</t>
  </si>
  <si>
    <t>disc 4-The Mind's Big Bang &amp; What About God?</t>
  </si>
  <si>
    <t>3102804791M</t>
  </si>
  <si>
    <t>793722298</t>
  </si>
  <si>
    <t>disc 2-Great Transformations &amp; Extinction</t>
  </si>
  <si>
    <t>3102804786O</t>
  </si>
  <si>
    <t>793722300</t>
  </si>
  <si>
    <t>8282</t>
  </si>
  <si>
    <t>88282</t>
  </si>
  <si>
    <t>Ghost in your genes / a Nova production by Holt Productions LLC and the BBC.</t>
  </si>
  <si>
    <t>[South Burlington, Vt.] : WGBH Boston Video, ©2008.</t>
  </si>
  <si>
    <t>685506112:eng</t>
  </si>
  <si>
    <t>181040139</t>
  </si>
  <si>
    <t>ocn181040139</t>
  </si>
  <si>
    <t>3103214493I</t>
  </si>
  <si>
    <t>9781593757939</t>
  </si>
  <si>
    <t>794281055</t>
  </si>
  <si>
    <t>8285</t>
  </si>
  <si>
    <t>88285</t>
  </si>
  <si>
    <t>Crude / a Red Envelope Entertainment presentation of an Entendre Films production ; in association with @radical.media and Third Eye Motion Picture Company ; directed and produced by Joe Berlinger ; producer and 2nd unit director, Michael Bonfiglio ; produced by J.R. DeLeon, Richard Stratton.</t>
  </si>
  <si>
    <t>New York : First Run Features, ©2009.</t>
  </si>
  <si>
    <t>369720808:eng</t>
  </si>
  <si>
    <t>451521098</t>
  </si>
  <si>
    <t>ocn451521098</t>
  </si>
  <si>
    <t>3103289798S</t>
  </si>
  <si>
    <t>794787687</t>
  </si>
  <si>
    <t>8287</t>
  </si>
  <si>
    <t>88287</t>
  </si>
  <si>
    <t>Deep blue / BBC Worldwide and Greenlight Media present a BBC Natural History Unit film ; producers, Sophokles Tasioulis, Alix Tidmarsh ; script writer, Tim Ecott ; directors, Alastair Fothergill, Andy Byatt.</t>
  </si>
  <si>
    <t>Burbank, CA : Miramax Home Entertainment : Distributed by Buena Vista Home Entertainment, [2006]</t>
  </si>
  <si>
    <t>927015593:eng</t>
  </si>
  <si>
    <t>63211857</t>
  </si>
  <si>
    <t>ocm63211857</t>
  </si>
  <si>
    <t>3103269538J</t>
  </si>
  <si>
    <t>9780788870125</t>
  </si>
  <si>
    <t>794120355</t>
  </si>
  <si>
    <t>8290</t>
  </si>
  <si>
    <t>88290</t>
  </si>
  <si>
    <t>David Attenborough wildlife specials.</t>
  </si>
  <si>
    <t>[London?] : BBC Video : Distributed by BBC Worldwide Americas [for] 2 Entertain Video Ltd. ; Burbank, CA : Distributed in the USA and Canada by Warner Home Video, ©2008.</t>
  </si>
  <si>
    <t>119476916:eng</t>
  </si>
  <si>
    <t>191078258</t>
  </si>
  <si>
    <t>ocn191078258</t>
  </si>
  <si>
    <t>3103074078G</t>
  </si>
  <si>
    <t>9781419865473</t>
  </si>
  <si>
    <t>794296981</t>
  </si>
  <si>
    <t>2014-01-23</t>
  </si>
  <si>
    <t>3103074079G</t>
  </si>
  <si>
    <t>794296983</t>
  </si>
  <si>
    <t>2014-05-21</t>
  </si>
  <si>
    <t>3103074073G</t>
  </si>
  <si>
    <t>794296982</t>
  </si>
  <si>
    <t>8291</t>
  </si>
  <si>
    <t>88291</t>
  </si>
  <si>
    <t>Numen : the nature of plants / a production of Brook Hollow Productions in association with United Plant Savers ; producers, Ann Armbrecht, Terrence Youk ; director, Terrence Youk.</t>
  </si>
  <si>
    <t>[Montpelier, VT] : Brook Hollow Productions, ©2009.</t>
  </si>
  <si>
    <t>428693969:eng</t>
  </si>
  <si>
    <t>557374394</t>
  </si>
  <si>
    <t>ocn557374394</t>
  </si>
  <si>
    <t>3103269244Q</t>
  </si>
  <si>
    <t>794812392</t>
  </si>
  <si>
    <t>8292</t>
  </si>
  <si>
    <t>88292</t>
  </si>
  <si>
    <t>Death by design / ITVS &amp; ZDF/ARTE present ; a Strange Attractions &amp; Les Films du Bouc production ; a film by Peter Friedman, Jean-François Brunet ; produced by Emmanuel Laurent, Peter Friedman ; written &amp; directed by Peter Friedman &amp; Jean-François Brunet. The life &amp; times of life &amp; times / La Sept Arte, Films à Trois, RTBF, Escapade present ; in association with BBC [and others] ; a film by Peter Friedman and Jean-François Brunet ; produced by Emmanuel Laurent ; written and directed by Peter Friedman and Jean-François Brunet.</t>
  </si>
  <si>
    <t>New York, NY : First Run Features, [2005?]</t>
  </si>
  <si>
    <t>922671080:eng</t>
  </si>
  <si>
    <t>60692509</t>
  </si>
  <si>
    <t>ocm60692509</t>
  </si>
  <si>
    <t>3102608013I</t>
  </si>
  <si>
    <t>793942289</t>
  </si>
  <si>
    <t>8293</t>
  </si>
  <si>
    <t>88293</t>
  </si>
  <si>
    <t>Earth / Disneynature ; a BBC, Greenlight Media, Discovery Channel co-production, a BBC Natural History Unit film ; Disneynature Films presents ; directors, Alastair Fothergill, Mark Linfield ; producers, Sophokles Tasioulis, Alix Tidmarsh ; narration script, Leslie Megahey ; a BBC Worldwide and Greenlight Media AG co-production.</t>
  </si>
  <si>
    <t>Earth (Motion picture : 2007)</t>
  </si>
  <si>
    <t>London : BBC Worldwide Ltd. ; Elk Grove Village, IL : Disney Educational Productions, ©2009.</t>
  </si>
  <si>
    <t>1160083694:eng</t>
  </si>
  <si>
    <t>436221793</t>
  </si>
  <si>
    <t>ocn436221793</t>
  </si>
  <si>
    <t>3103254249E</t>
  </si>
  <si>
    <t>9781597532389</t>
  </si>
  <si>
    <t>794784436</t>
  </si>
  <si>
    <t>8296</t>
  </si>
  <si>
    <t>88296</t>
  </si>
  <si>
    <t>Know your mushrooms / Sphinx Productions presents in association with Bravo! ; screenplay, Ron Mann ; produced and directed by Ron Mann.</t>
  </si>
  <si>
    <t>Toronto : Sphinx Productions : Distributed by filmswelike, 2009.</t>
  </si>
  <si>
    <t>349778149:eng</t>
  </si>
  <si>
    <t>430964775</t>
  </si>
  <si>
    <t>ocn430964775</t>
  </si>
  <si>
    <t>3103149841O</t>
  </si>
  <si>
    <t>794781410</t>
  </si>
  <si>
    <t>8298</t>
  </si>
  <si>
    <t>88298</t>
  </si>
  <si>
    <t>disc 3- Fresh Water</t>
  </si>
  <si>
    <t>3102816264U</t>
  </si>
  <si>
    <t>794396220</t>
  </si>
  <si>
    <t>disc 6- Ice Worlds</t>
  </si>
  <si>
    <t>3102816240Y</t>
  </si>
  <si>
    <t>794396217</t>
  </si>
  <si>
    <t>disc 10- Seasonal Forests</t>
  </si>
  <si>
    <t>2015-03-02</t>
  </si>
  <si>
    <t>3102816260U</t>
  </si>
  <si>
    <t>794396213</t>
  </si>
  <si>
    <t>disc 8- Jungles</t>
  </si>
  <si>
    <t>3102816250W</t>
  </si>
  <si>
    <t>794396215</t>
  </si>
  <si>
    <t>3103217079M</t>
  </si>
  <si>
    <t>794396221</t>
  </si>
  <si>
    <t>3103217084K</t>
  </si>
  <si>
    <t>794396222</t>
  </si>
  <si>
    <t>disc 4- Caves</t>
  </si>
  <si>
    <t>3102816269U</t>
  </si>
  <si>
    <t>794396219</t>
  </si>
  <si>
    <t>disc 11- Ocean Deep</t>
  </si>
  <si>
    <t>3102816265U</t>
  </si>
  <si>
    <t>794396212</t>
  </si>
  <si>
    <t>disc 5- Deserts</t>
  </si>
  <si>
    <t>3102816235$</t>
  </si>
  <si>
    <t>794396218</t>
  </si>
  <si>
    <t>disc 7- Great Plains</t>
  </si>
  <si>
    <t>3102816245Y</t>
  </si>
  <si>
    <t>794396216</t>
  </si>
  <si>
    <t>disc 9- Shallow Seas</t>
  </si>
  <si>
    <t>3102816255W</t>
  </si>
  <si>
    <t>794396214</t>
  </si>
  <si>
    <t>8300</t>
  </si>
  <si>
    <t>88300</t>
  </si>
  <si>
    <t>Planet earth : as you've never seen it before and The Blue planet : seas of life.</t>
  </si>
  <si>
    <t>pt.1, disc 3 - Great Plains/ Jungles/ Shallow Seas</t>
  </si>
  <si>
    <t>London : BBC and Warner, ©2007.</t>
  </si>
  <si>
    <t>Collecter's set.</t>
  </si>
  <si>
    <t>3945664035:eng</t>
  </si>
  <si>
    <t>177017848</t>
  </si>
  <si>
    <t>ocn177017848</t>
  </si>
  <si>
    <t>3103292569Q</t>
  </si>
  <si>
    <t>9781419860362</t>
  </si>
  <si>
    <t>794278159</t>
  </si>
  <si>
    <t>pt.2, disc 5 - All New Bonus Material</t>
  </si>
  <si>
    <t>31032921347</t>
  </si>
  <si>
    <t>794278152</t>
  </si>
  <si>
    <t>pt.1, disc 1 - From Pole to Pole/ Mountains/ Fresh Water</t>
  </si>
  <si>
    <t>3103292574O</t>
  </si>
  <si>
    <t>794278161</t>
  </si>
  <si>
    <t>pt.1, disc 5 - Planet Earth - The Future</t>
  </si>
  <si>
    <t>3103292559S</t>
  </si>
  <si>
    <t>794278157</t>
  </si>
  <si>
    <t>pt.2, disc 3 - Seasonal Seas/ Coral Seas</t>
  </si>
  <si>
    <t>31032921299</t>
  </si>
  <si>
    <t>794278154</t>
  </si>
  <si>
    <t>pt.1, disc 2 - Caves/ Deserts/ Ice Worlds</t>
  </si>
  <si>
    <t>3103292579O</t>
  </si>
  <si>
    <t>794278160</t>
  </si>
  <si>
    <t>pt.2, disc 2 - Open Ocean/ The Deep</t>
  </si>
  <si>
    <t>31032921435</t>
  </si>
  <si>
    <t>794278155</t>
  </si>
  <si>
    <t>pt.2, disc 1 - Ocean World/ Frozen Seas</t>
  </si>
  <si>
    <t>2018-02-06</t>
  </si>
  <si>
    <t>31032921249</t>
  </si>
  <si>
    <t>794278156</t>
  </si>
  <si>
    <t>pt.1, disc 4 - Seasonal Forests/ Ocean Deep</t>
  </si>
  <si>
    <t>3103292564Q</t>
  </si>
  <si>
    <t>794278158</t>
  </si>
  <si>
    <t>pt.2, disc 4 - Tidal Seas/ Coasts</t>
  </si>
  <si>
    <t>31032921485</t>
  </si>
  <si>
    <t>794278153</t>
  </si>
  <si>
    <t>8301</t>
  </si>
  <si>
    <t>88301</t>
  </si>
  <si>
    <t>Africa the Serengeti / written by George Casey and Mose Richards.</t>
  </si>
  <si>
    <t>Sherman Oaks, Calif. : SlingShot Entertainment, ©1999.</t>
  </si>
  <si>
    <t>378044976:eng</t>
  </si>
  <si>
    <t>44054936</t>
  </si>
  <si>
    <t>ocm44054936</t>
  </si>
  <si>
    <t>3102451375C</t>
  </si>
  <si>
    <t>9781584480129</t>
  </si>
  <si>
    <t>793641475</t>
  </si>
  <si>
    <t>8302</t>
  </si>
  <si>
    <t>88302</t>
  </si>
  <si>
    <t>Life in the undergrowth / British Broadcasting Corporation ; producers, Peter Bassett [and others].</t>
  </si>
  <si>
    <t>Episode 5</t>
  </si>
  <si>
    <t>Life in the undergrowth (Television program)</t>
  </si>
  <si>
    <t>Mississauga ON : McNabb Connolly (Canadian distributor), [2006], ©2005.</t>
  </si>
  <si>
    <t>57276606:eng</t>
  </si>
  <si>
    <t>253712559</t>
  </si>
  <si>
    <t>ocn253712559</t>
  </si>
  <si>
    <t>3102666079L</t>
  </si>
  <si>
    <t>794391747</t>
  </si>
  <si>
    <t>Episode 3</t>
  </si>
  <si>
    <t>3102666069N</t>
  </si>
  <si>
    <t>794391749</t>
  </si>
  <si>
    <t>Episode 2</t>
  </si>
  <si>
    <t>3102666073L</t>
  </si>
  <si>
    <t>794391750</t>
  </si>
  <si>
    <t>Episode 4</t>
  </si>
  <si>
    <t>3102666074L</t>
  </si>
  <si>
    <t>794391748</t>
  </si>
  <si>
    <t>Episode 1</t>
  </si>
  <si>
    <t>3102666068N</t>
  </si>
  <si>
    <t>794391751</t>
  </si>
  <si>
    <t>8303</t>
  </si>
  <si>
    <t>88303</t>
  </si>
  <si>
    <t>Life in the undergrowth / by David Attenborough ; a BBC/Animal Planet co-production ; series producer, Mike Salisbury.</t>
  </si>
  <si>
    <t>[London] : 2/entertain : BBC Video ; Burbank, Calif. : Distributed in the USA and Canada by Warner Bros. Video, [2006]</t>
  </si>
  <si>
    <t>10178131481:eng</t>
  </si>
  <si>
    <t>68045728</t>
  </si>
  <si>
    <t>ocm68045728</t>
  </si>
  <si>
    <t>3103050565T</t>
  </si>
  <si>
    <t>9781419829192</t>
  </si>
  <si>
    <t>794142186</t>
  </si>
  <si>
    <t>8307</t>
  </si>
  <si>
    <t>88307</t>
  </si>
  <si>
    <t>Microcosmos : le peuple de l'herbe / written and directed by Claude Nuridsany, Marie Pérennou ; presented by Jacques Perrin ; Galatée Films-France 2 Cinéma, CANAL+.</t>
  </si>
  <si>
    <t>[Place of publication not identified] : Miramax Home Entertainment ; Burbank, Calif. : Distributed by Buena Vista Home Entertainment, [2005?]</t>
  </si>
  <si>
    <t>5612361028:eng</t>
  </si>
  <si>
    <t>60316878</t>
  </si>
  <si>
    <t>ocm60316878</t>
  </si>
  <si>
    <t>3103472970A</t>
  </si>
  <si>
    <t>9780788850912</t>
  </si>
  <si>
    <t>793934890</t>
  </si>
  <si>
    <t>8308</t>
  </si>
  <si>
    <t>88308</t>
  </si>
  <si>
    <t>The chameleons of Madagascar / Bella NaTura Productions ; produced by Ardith Abate and Edward Abate ; written by Todd Risley and Ardith Abate ; directed and photographed by Todd Risley.</t>
  </si>
  <si>
    <t>[United States?] : Bella NaTura Productions : Chameleon Information Network, ©2004.</t>
  </si>
  <si>
    <t>148024271:eng</t>
  </si>
  <si>
    <t>253649829</t>
  </si>
  <si>
    <t>ocn253649829</t>
  </si>
  <si>
    <t>31026100256</t>
  </si>
  <si>
    <t>794390724</t>
  </si>
  <si>
    <t>8310</t>
  </si>
  <si>
    <t>88310</t>
  </si>
  <si>
    <t>Cane toads : an unnatural history / written and directed by Mark Lewis ; Film Australia.</t>
  </si>
  <si>
    <t>New York : First Run Features, [2001]</t>
  </si>
  <si>
    <t>194828840:eng</t>
  </si>
  <si>
    <t>47827573</t>
  </si>
  <si>
    <t>ocm47827573</t>
  </si>
  <si>
    <t>3102398773W</t>
  </si>
  <si>
    <t>793708854</t>
  </si>
  <si>
    <t>8311</t>
  </si>
  <si>
    <t>88311</t>
  </si>
  <si>
    <t>National Audubon Society videoguide to the birds of North America / a Godfrey-Stadin production, a partnership of Mastervision, Inc. and Nature Science Network, Inc. ; directed, written and narrated by Michael Godfrey.</t>
  </si>
  <si>
    <t>Carrboro, NC : Godfrey-Stadin Productions ; New York, N.Y. : MasterVision [distributor], ©2004.</t>
  </si>
  <si>
    <t>Fullscreen.</t>
  </si>
  <si>
    <t>3859667503:eng</t>
  </si>
  <si>
    <t>56343104</t>
  </si>
  <si>
    <t>ocm56343104</t>
  </si>
  <si>
    <t>3102441369J</t>
  </si>
  <si>
    <t>9781559190831</t>
  </si>
  <si>
    <t>793891169</t>
  </si>
  <si>
    <t>8312</t>
  </si>
  <si>
    <t>88312</t>
  </si>
  <si>
    <t>Ghost bird / Small Change Productions presents ; a film by Scott Crocker ; written and directed by Scott Crocker.</t>
  </si>
  <si>
    <t>[United States] : Matson Films, [2010]</t>
  </si>
  <si>
    <t>908896184:eng</t>
  </si>
  <si>
    <t>680082477</t>
  </si>
  <si>
    <t>ocn680082477</t>
  </si>
  <si>
    <t>31033172976</t>
  </si>
  <si>
    <t>794851034</t>
  </si>
  <si>
    <t>8313</t>
  </si>
  <si>
    <t>88313</t>
  </si>
  <si>
    <t>March of the penguins / Christal Films and National Geographic Feature Films present a Bonne Pioche production in association with Wild Bunch ; cinematography, Laurent Chalet, Jérôme Maison ; produced by Yves Darondeau, Christophe Lioud, Emmanuel Priou ; based upon the story by Luc Jacquet ; narration written by Jordan Roberts ; directed by Luc Jacquet.</t>
  </si>
  <si>
    <t>[Place of publication not identified] : Christal Films : Distributed by Maple Pictures, ©2005.</t>
  </si>
  <si>
    <t>4762105242:eng</t>
  </si>
  <si>
    <t>67400553</t>
  </si>
  <si>
    <t>ocm67400553</t>
  </si>
  <si>
    <t>31027214834</t>
  </si>
  <si>
    <t>794140714</t>
  </si>
  <si>
    <t>8318</t>
  </si>
  <si>
    <t>88318</t>
  </si>
  <si>
    <t>Four wings and a prayer / Primitive Entertainment and Films à Trois present a co-production with the National Film Board of Canada, a Documentary Channel original production.</t>
  </si>
  <si>
    <t>[Canada] : National Film Board of Canada, ©2007.</t>
  </si>
  <si>
    <t>194018227:eng</t>
  </si>
  <si>
    <t>316183087</t>
  </si>
  <si>
    <t>ocn316183087</t>
  </si>
  <si>
    <t>3103069383R</t>
  </si>
  <si>
    <t>794446288</t>
  </si>
  <si>
    <t>8321</t>
  </si>
  <si>
    <t>88321</t>
  </si>
  <si>
    <t>Dive to shark volcano / a BBC / Discovery Channel co-production.</t>
  </si>
  <si>
    <t>[London] : BBC Learning ; Mississauga, Ont. : McNabb Connolly, Canadian distributor, ©2004.</t>
  </si>
  <si>
    <t>315285975:eng</t>
  </si>
  <si>
    <t>427852169</t>
  </si>
  <si>
    <t>ocn427852169</t>
  </si>
  <si>
    <t>3103093401C</t>
  </si>
  <si>
    <t>794703039</t>
  </si>
  <si>
    <t>8322</t>
  </si>
  <si>
    <t>88322</t>
  </si>
  <si>
    <t>Return of the peregrine.</t>
  </si>
  <si>
    <t>Edmonton : Reel Girls Media, 2001.</t>
  </si>
  <si>
    <t>2256870333:eng</t>
  </si>
  <si>
    <t>528476775</t>
  </si>
  <si>
    <t>ocn528476775</t>
  </si>
  <si>
    <t>3103214547P</t>
  </si>
  <si>
    <t>794809615</t>
  </si>
  <si>
    <t>8324</t>
  </si>
  <si>
    <t>88324</t>
  </si>
  <si>
    <t>Sharks, stewards of the reef / director, Holiday Johnson ; executive producers, Christopher Johnson, Holiday Johnson ; producer, David McGuire ; script, David McGuire.</t>
  </si>
  <si>
    <t>[Sausalito, Calif.] : Trillium Films, ©2007.</t>
  </si>
  <si>
    <t>102968808:eng</t>
  </si>
  <si>
    <t>135588039</t>
  </si>
  <si>
    <t>ocn135588039</t>
  </si>
  <si>
    <t>3103214483K</t>
  </si>
  <si>
    <t>794232611</t>
  </si>
  <si>
    <t>8325</t>
  </si>
  <si>
    <t>88325</t>
  </si>
  <si>
    <t>Sharkwater / Sharkwater Productions presents a Diatribe picture ; written, directed and produced by Rob Stewart.</t>
  </si>
  <si>
    <t>Montréal : Alliance Films, ©2008.</t>
  </si>
  <si>
    <t>2018-07-21</t>
  </si>
  <si>
    <t>4916315255:eng</t>
  </si>
  <si>
    <t>233681234</t>
  </si>
  <si>
    <t>ocn233681234</t>
  </si>
  <si>
    <t>3103346033D</t>
  </si>
  <si>
    <t>9781419868016</t>
  </si>
  <si>
    <t>794366857</t>
  </si>
  <si>
    <t>8326</t>
  </si>
  <si>
    <t>88326</t>
  </si>
  <si>
    <t>Life in cold blood / 2 Entertain ; a BBC/Animal Planet co-production ; BBC Bristol ; series producer, Miles Barton ; executive producer, Sara Ford ; senior producer, Hilary Jeffkins ; written by David Attenborough.</t>
  </si>
  <si>
    <t>[England] : BBC Video ; [New York, NY] : Distributed by BBC Worldwide Americas ; Burbank, CA : Distributed by Warner Home Video, 2008.</t>
  </si>
  <si>
    <t>BBC natural history collection ; 2</t>
  </si>
  <si>
    <t>9989106841:eng</t>
  </si>
  <si>
    <t>226866514</t>
  </si>
  <si>
    <t>ocn226866514</t>
  </si>
  <si>
    <t>3103065315K</t>
  </si>
  <si>
    <t>9781419868276</t>
  </si>
  <si>
    <t>794346021</t>
  </si>
  <si>
    <t>8328</t>
  </si>
  <si>
    <t>88328</t>
  </si>
  <si>
    <t>Voyage of the lonely turtle / a co-production of Thirteen/WNET New York and BBC.</t>
  </si>
  <si>
    <t>[New York] : Thirteen/WNET, ©2007.</t>
  </si>
  <si>
    <t>418879808:eng</t>
  </si>
  <si>
    <t>133177213</t>
  </si>
  <si>
    <t>ocn133177213</t>
  </si>
  <si>
    <t>3102798407V</t>
  </si>
  <si>
    <t>794232268</t>
  </si>
  <si>
    <t>8331</t>
  </si>
  <si>
    <t>88331</t>
  </si>
  <si>
    <t>Bermuda's treasure island / editor, Paul Mullen ; director, Éamon de Buitléar ; producer, Deirdre Brennan.</t>
  </si>
  <si>
    <t>[Place of publication not identified] : Castletown Productions in association with the Bermuda Audubon Society, 2006.</t>
  </si>
  <si>
    <t>4077140791:eng</t>
  </si>
  <si>
    <t>70797837</t>
  </si>
  <si>
    <t>ocm70797837</t>
  </si>
  <si>
    <t>3103214557N</t>
  </si>
  <si>
    <t>794159317</t>
  </si>
  <si>
    <t>8333</t>
  </si>
  <si>
    <t>88333</t>
  </si>
  <si>
    <t>The life of mammals / by David Attenborough ; a BBC/Discovery Channel co-production ; series producer, Mike Salisburg.</t>
  </si>
  <si>
    <t>pt.7</t>
  </si>
  <si>
    <t>Mississauga ON : McNabb Connolly, [2007], ©2002-2003.</t>
  </si>
  <si>
    <t>477178148:eng</t>
  </si>
  <si>
    <t>253777432</t>
  </si>
  <si>
    <t>ocn253777432</t>
  </si>
  <si>
    <t>3102686313E</t>
  </si>
  <si>
    <t>794392539</t>
  </si>
  <si>
    <t>31026862883</t>
  </si>
  <si>
    <t>794392545</t>
  </si>
  <si>
    <t>pt.9 - Social Climbers</t>
  </si>
  <si>
    <t>3102686309G</t>
  </si>
  <si>
    <t>794392538</t>
  </si>
  <si>
    <t>pt.10</t>
  </si>
  <si>
    <t>31026862991</t>
  </si>
  <si>
    <t>794392537</t>
  </si>
  <si>
    <t>pt.4</t>
  </si>
  <si>
    <t>3102686303G</t>
  </si>
  <si>
    <t>794392542</t>
  </si>
  <si>
    <t>pt.6</t>
  </si>
  <si>
    <t>3102686308G</t>
  </si>
  <si>
    <t>794392540</t>
  </si>
  <si>
    <t>31026862981</t>
  </si>
  <si>
    <t>794392543</t>
  </si>
  <si>
    <t>31026862931</t>
  </si>
  <si>
    <t>794392544</t>
  </si>
  <si>
    <t>pt.5</t>
  </si>
  <si>
    <t>3102686304G</t>
  </si>
  <si>
    <t>794392541</t>
  </si>
  <si>
    <t>8334</t>
  </si>
  <si>
    <t>88334</t>
  </si>
  <si>
    <t>The life of mammals / by David Attenborough ; a BBC/Discovery Channel co-production ; series producer, Mike Salisbury.</t>
  </si>
  <si>
    <t>[Place of publication not identified] : BBC Video ; Burbank, CA : Distributed in the USA and Canada by Warner Home Video, 2003.</t>
  </si>
  <si>
    <t>2017-06-19</t>
  </si>
  <si>
    <t>51856499</t>
  </si>
  <si>
    <t>ocm51856499</t>
  </si>
  <si>
    <t>31023992776</t>
  </si>
  <si>
    <t>9780790779713</t>
  </si>
  <si>
    <t>793792766</t>
  </si>
  <si>
    <t>2014-01-14</t>
  </si>
  <si>
    <t>31023992796</t>
  </si>
  <si>
    <t>793792764</t>
  </si>
  <si>
    <t>31023992786</t>
  </si>
  <si>
    <t>793792765</t>
  </si>
  <si>
    <t>31023992824</t>
  </si>
  <si>
    <t>793792763</t>
  </si>
  <si>
    <t>8335</t>
  </si>
  <si>
    <t>88335</t>
  </si>
  <si>
    <t>Winged Migration / Galatée Films presents a co-production Galatée Films, France 2 Cinéma, France 3 Cinéma [and others] ; a Sony Pictures Classics release ; produced by Jacques Perrin, Christophe Barratier ; co-directed by Jacques Cluzaud, Michel Debats.</t>
  </si>
  <si>
    <t>Peuple migrateur (Motion picture). English.</t>
  </si>
  <si>
    <t>[Culver City, Calif.] : Columbia TriStar Home Entertainment, ©2003.</t>
  </si>
  <si>
    <t>Special ed.</t>
  </si>
  <si>
    <t>4927090924:eng</t>
  </si>
  <si>
    <t>52934365</t>
  </si>
  <si>
    <t>ocm52934365</t>
  </si>
  <si>
    <t>3102423700L</t>
  </si>
  <si>
    <t>9781404923096</t>
  </si>
  <si>
    <t>793817517</t>
  </si>
  <si>
    <t>8336</t>
  </si>
  <si>
    <t>88336</t>
  </si>
  <si>
    <t>The life of birds / written by David Attenborough ; executive producer, Mike Salisbury ; BBC produced in association with PBS.</t>
  </si>
  <si>
    <t>Mississauga ON : McNabb Connolly, [2007], ©1998.</t>
  </si>
  <si>
    <t>685995644:eng</t>
  </si>
  <si>
    <t>253777400</t>
  </si>
  <si>
    <t>ocn253777400</t>
  </si>
  <si>
    <t>31026862971</t>
  </si>
  <si>
    <t>794392534</t>
  </si>
  <si>
    <t>31026862833</t>
  </si>
  <si>
    <t>794392526</t>
  </si>
  <si>
    <t>31026862873</t>
  </si>
  <si>
    <t>794392530</t>
  </si>
  <si>
    <t>pt.8</t>
  </si>
  <si>
    <t>31026862785</t>
  </si>
  <si>
    <t>794392528</t>
  </si>
  <si>
    <t>pt.9</t>
  </si>
  <si>
    <t>31026862735</t>
  </si>
  <si>
    <t>794392527</t>
  </si>
  <si>
    <t>31026862823</t>
  </si>
  <si>
    <t>794392529</t>
  </si>
  <si>
    <t>31026862921</t>
  </si>
  <si>
    <t>794392531</t>
  </si>
  <si>
    <t>31026862725</t>
  </si>
  <si>
    <t>794392532</t>
  </si>
  <si>
    <t>31026862775</t>
  </si>
  <si>
    <t>794392533</t>
  </si>
  <si>
    <t>3102686302G</t>
  </si>
  <si>
    <t>794392535</t>
  </si>
  <si>
    <t>8338</t>
  </si>
  <si>
    <t>88338</t>
  </si>
  <si>
    <t>Grizzly Man / Lions Gate Films and Discovery Docs present a Werner Herzog film ; directed and narrated by Werner Herzog ; produced by Erik Nelson ; produced by Real Big Production, Inc.</t>
  </si>
  <si>
    <t>Santa Monica, CA : Lions Gate Home Entertainment, 2005.</t>
  </si>
  <si>
    <t>917067414:eng</t>
  </si>
  <si>
    <t>62083818</t>
  </si>
  <si>
    <t>ocm62083818</t>
  </si>
  <si>
    <t>31028196882</t>
  </si>
  <si>
    <t>794099628</t>
  </si>
  <si>
    <t>31028196832</t>
  </si>
  <si>
    <t>794099626</t>
  </si>
  <si>
    <t>3103679493A</t>
  </si>
  <si>
    <t>794099627</t>
  </si>
  <si>
    <t>2007-05-26</t>
  </si>
  <si>
    <t>3102559784Y</t>
  </si>
  <si>
    <t>794099625</t>
  </si>
  <si>
    <t>8340</t>
  </si>
  <si>
    <t>88340</t>
  </si>
  <si>
    <t>Tigers of the snow / the National Geographic Society.</t>
  </si>
  <si>
    <t>[Washington, D.C.?] : National Geographic Video, ©1996.</t>
  </si>
  <si>
    <t>A National Geographic Society television special</t>
  </si>
  <si>
    <t>364865315:eng</t>
  </si>
  <si>
    <t>43765601</t>
  </si>
  <si>
    <t>ocm43765601</t>
  </si>
  <si>
    <t>3102464209C</t>
  </si>
  <si>
    <t>9780792299974</t>
  </si>
  <si>
    <t>793634293</t>
  </si>
  <si>
    <t>8346</t>
  </si>
  <si>
    <t>88346</t>
  </si>
  <si>
    <t>A life among whales / written, produced and directed by Bill Haney ; co-produced by Eric Grunebaum ; Uncommon Productions, LLC.</t>
  </si>
  <si>
    <t>Oley, PA : Bullfrog Films, [2005]</t>
  </si>
  <si>
    <t>2017-08-15</t>
  </si>
  <si>
    <t>686259574:eng</t>
  </si>
  <si>
    <t>70160812</t>
  </si>
  <si>
    <t>ocm70160812</t>
  </si>
  <si>
    <t>3102658085G</t>
  </si>
  <si>
    <t>9781594583810</t>
  </si>
  <si>
    <t>794149760</t>
  </si>
  <si>
    <t>8347</t>
  </si>
  <si>
    <t>88347</t>
  </si>
  <si>
    <t>Project Grizzly / producer, Michael Allder ; executive producers, Louise Lore, Gerry Flahive ; director, Peter Lynch.</t>
  </si>
  <si>
    <t>[Montréal] : Microfilms, ©2004.</t>
  </si>
  <si>
    <t>Document collection</t>
  </si>
  <si>
    <t>2015-01-10</t>
  </si>
  <si>
    <t>502185246:eng</t>
  </si>
  <si>
    <t>85217491</t>
  </si>
  <si>
    <t>ocm85217491</t>
  </si>
  <si>
    <t>3102874080A</t>
  </si>
  <si>
    <t>794213182</t>
  </si>
  <si>
    <t>8349</t>
  </si>
  <si>
    <t>88349</t>
  </si>
  <si>
    <t>On thin ice : climate change special / Flashback Entertainment/Echelon Studios ; producer, Greg Grainger.</t>
  </si>
  <si>
    <t>Camarillo, CA : Goldhil Entertainment, 2007.</t>
  </si>
  <si>
    <t>2999308923:eng</t>
  </si>
  <si>
    <t>232612661</t>
  </si>
  <si>
    <t>ocn232612661</t>
  </si>
  <si>
    <t>3103214542P</t>
  </si>
  <si>
    <t>9781594438981</t>
  </si>
  <si>
    <t>794364018</t>
  </si>
  <si>
    <t>8350</t>
  </si>
  <si>
    <t>88350</t>
  </si>
  <si>
    <t>The cove / Oceanic Preservation Society presents ; a Jim Clark production ; in association with Diamond Docs and Skyfish Films ; written by Mark Monroe ; producer, Paula Dupré Pesmen ; producer, Fisher Stevens ; directed by Louie Psihoyos.</t>
  </si>
  <si>
    <t>Santa Monica, California : Lions Gate Entertainment, 2009.</t>
  </si>
  <si>
    <t>776640401:eng</t>
  </si>
  <si>
    <t>443502895</t>
  </si>
  <si>
    <t>ocn443502895</t>
  </si>
  <si>
    <t>31032690083</t>
  </si>
  <si>
    <t>9786313249930</t>
  </si>
  <si>
    <t>794786967</t>
  </si>
  <si>
    <t>8358</t>
  </si>
  <si>
    <t>88358</t>
  </si>
  <si>
    <t>The Trials of life / written and hosted by David Attenborough ; production, BBC Television in association with Turner Broadcasting System.</t>
  </si>
  <si>
    <t>episode 6 - Homemaking</t>
  </si>
  <si>
    <t>Mississauga, ON : McNabb Connolly, 1990.</t>
  </si>
  <si>
    <t>4925459894:eng</t>
  </si>
  <si>
    <t>62608679</t>
  </si>
  <si>
    <t>ocm62608679</t>
  </si>
  <si>
    <t>31033016074</t>
  </si>
  <si>
    <t>794110300</t>
  </si>
  <si>
    <t>episode 1 - Arriving</t>
  </si>
  <si>
    <t>2013-10-06</t>
  </si>
  <si>
    <t>31033016270</t>
  </si>
  <si>
    <t>794110305</t>
  </si>
  <si>
    <t>episode 9 - Friends and Rivals</t>
  </si>
  <si>
    <t>2013-09-30</t>
  </si>
  <si>
    <t>3103301672R</t>
  </si>
  <si>
    <t>794110297</t>
  </si>
  <si>
    <t>episode 2 - Growing Up</t>
  </si>
  <si>
    <t>31033016220</t>
  </si>
  <si>
    <t>794110304</t>
  </si>
  <si>
    <t>episode 11 - Courting</t>
  </si>
  <si>
    <t>3103301662T</t>
  </si>
  <si>
    <t>794110295</t>
  </si>
  <si>
    <t>episode 3 - Finding Food</t>
  </si>
  <si>
    <t>2013-08-29</t>
  </si>
  <si>
    <t>31033016172</t>
  </si>
  <si>
    <t>794110303</t>
  </si>
  <si>
    <t>episode 12 - Continuing the Line</t>
  </si>
  <si>
    <t>3103301657V</t>
  </si>
  <si>
    <t>794110294</t>
  </si>
  <si>
    <t>episode 5 - Finding the Way</t>
  </si>
  <si>
    <t>31033016122</t>
  </si>
  <si>
    <t>794110301</t>
  </si>
  <si>
    <t>episode 4 - Hunting and Escaping</t>
  </si>
  <si>
    <t>2013-09-08</t>
  </si>
  <si>
    <t>3103301683P</t>
  </si>
  <si>
    <t>794110302</t>
  </si>
  <si>
    <t>episode 7 - Living Together</t>
  </si>
  <si>
    <t>3103301687P</t>
  </si>
  <si>
    <t>794110299</t>
  </si>
  <si>
    <t>episode 10 - Talking to Rivals</t>
  </si>
  <si>
    <t>3103301667T</t>
  </si>
  <si>
    <t>794110296</t>
  </si>
  <si>
    <t>episode 8 - Trials of Life</t>
  </si>
  <si>
    <t>2013-09-22</t>
  </si>
  <si>
    <t>3103301677R</t>
  </si>
  <si>
    <t>794110298</t>
  </si>
  <si>
    <t>8366</t>
  </si>
  <si>
    <t>88366</t>
  </si>
  <si>
    <t>A man among wolves / National Geographic ; produced by Aqua Vita Films for National Geographic Channel ; written by Petra Regent ; produced &amp; directed by Bernard Walton.</t>
  </si>
  <si>
    <t>[Burbank, Calif.] : Distributed by Warner Home Video, ©2007.</t>
  </si>
  <si>
    <t>10054165837:eng</t>
  </si>
  <si>
    <t>122272972</t>
  </si>
  <si>
    <t>ocn122272972</t>
  </si>
  <si>
    <t>31028510345</t>
  </si>
  <si>
    <t>9781426291074</t>
  </si>
  <si>
    <t>794219827</t>
  </si>
  <si>
    <t>8369</t>
  </si>
  <si>
    <t>88369</t>
  </si>
  <si>
    <t>Les animaux amoureux = Animals in love / Jean-Pierre Bailly présente une coproduction MC4, TF1 International, France 3 Cinéma, Les Productions Jean-Marc Henchoz.</t>
  </si>
  <si>
    <t>[Montreal] : Distributed by Séville Pictures, ©2007.</t>
  </si>
  <si>
    <t>3857654440:eng</t>
  </si>
  <si>
    <t>316183343</t>
  </si>
  <si>
    <t>ocn316183343</t>
  </si>
  <si>
    <t>3103543706Z</t>
  </si>
  <si>
    <t>794446302</t>
  </si>
  <si>
    <t>3103051344Z</t>
  </si>
  <si>
    <t>794446301</t>
  </si>
  <si>
    <t>8374</t>
  </si>
  <si>
    <t>88374</t>
  </si>
  <si>
    <t>Understanding the brain / producer, Alisha Reay ; director, Jon Leven.</t>
  </si>
  <si>
    <t>pt.3:nos.5 &amp; 6</t>
  </si>
  <si>
    <t>Norden, Jeanette.</t>
  </si>
  <si>
    <t>Chantilly, VA : Teaching Co., ©2007.</t>
  </si>
  <si>
    <t>Standard format.</t>
  </si>
  <si>
    <t>Great courses. Science &amp; mathematics. Biology</t>
  </si>
  <si>
    <t>2864016445:eng</t>
  </si>
  <si>
    <t>179833507</t>
  </si>
  <si>
    <t>ocn179833507</t>
  </si>
  <si>
    <t>3103388338D</t>
  </si>
  <si>
    <t>9781598033625</t>
  </si>
  <si>
    <t>794279241</t>
  </si>
  <si>
    <t>pt.1:nos.1 &amp; 2</t>
  </si>
  <si>
    <t>3103388329F</t>
  </si>
  <si>
    <t>794279243</t>
  </si>
  <si>
    <t>pt.2:nos.3 &amp; 4</t>
  </si>
  <si>
    <t>3103388333D</t>
  </si>
  <si>
    <t>794279242</t>
  </si>
  <si>
    <t>Guide</t>
  </si>
  <si>
    <t>31030512099</t>
  </si>
  <si>
    <t>794279244</t>
  </si>
  <si>
    <t>8375</t>
  </si>
  <si>
    <t>88375</t>
  </si>
  <si>
    <t>The grizzlies / produced by the National Geographic Society and WQED, Pittsburgh ; executive producers, Dennis B. Kane, Thomas Skinner ; written and produced by Theodore Thomas.</t>
  </si>
  <si>
    <t>2012-11-02</t>
  </si>
  <si>
    <t>981199489:eng</t>
  </si>
  <si>
    <t>711692765</t>
  </si>
  <si>
    <t>ocn711692765</t>
  </si>
  <si>
    <t>31034415862</t>
  </si>
  <si>
    <t>794871115</t>
  </si>
  <si>
    <t>847</t>
  </si>
  <si>
    <t>8847</t>
  </si>
  <si>
    <t>What's up with the weather? / a Frontline/Nova co-production with the Palfreman Film Group, Inc. ; written, produced and directed by Jon Palfreman ; executive producers, Paula S. Apsell, David Fanning, Michael Sullivan.</t>
  </si>
  <si>
    <t>[Boston, MA] : WGBH Boston Video, ©2007.</t>
  </si>
  <si>
    <t>Full screen (4 x 3) presentation.</t>
  </si>
  <si>
    <t>388800848:eng</t>
  </si>
  <si>
    <t>82372309</t>
  </si>
  <si>
    <t>ocm82372309</t>
  </si>
  <si>
    <t>3103394309U</t>
  </si>
  <si>
    <t>9781593757298</t>
  </si>
  <si>
    <t>794205786</t>
  </si>
  <si>
    <t>8670</t>
  </si>
  <si>
    <t>88670</t>
  </si>
  <si>
    <t>Among the wild chimpanzees / a production of the National Geographic Society and WQED Pittsburgh ; written and produced by Barbara Jampel.</t>
  </si>
  <si>
    <t>[Washington, D.C.] : National Geographic, [2008]</t>
  </si>
  <si>
    <t>A National Geographic Society special.</t>
  </si>
  <si>
    <t>553537665:eng</t>
  </si>
  <si>
    <t>269782832</t>
  </si>
  <si>
    <t>ocn269782832</t>
  </si>
  <si>
    <t>31034415774</t>
  </si>
  <si>
    <t>9781426293740</t>
  </si>
  <si>
    <t>794409776</t>
  </si>
  <si>
    <t>8671</t>
  </si>
  <si>
    <t>88671</t>
  </si>
  <si>
    <t>Born of fire / National Geographic Society and WQED/Pittsburgh.</t>
  </si>
  <si>
    <t>[Washington, D.C.] : National Geographic Video, ©2011.</t>
  </si>
  <si>
    <t>2014-04-10</t>
  </si>
  <si>
    <t>54614617:eng</t>
  </si>
  <si>
    <t>769470501</t>
  </si>
  <si>
    <t>ocn769470501</t>
  </si>
  <si>
    <t>31034415872</t>
  </si>
  <si>
    <t>794903426</t>
  </si>
  <si>
    <t>8672</t>
  </si>
  <si>
    <t>88672</t>
  </si>
  <si>
    <t>The great whales / National Geographic Society and WQED/Pittsburgh ; written, produced and directed by Nicolas Noxon.</t>
  </si>
  <si>
    <t>Washington D.C. : National Geographic, ©2010.</t>
  </si>
  <si>
    <t>2015-07-27</t>
  </si>
  <si>
    <t>5092818345:eng</t>
  </si>
  <si>
    <t>755069324</t>
  </si>
  <si>
    <t>ocn755069324</t>
  </si>
  <si>
    <t>31034415734</t>
  </si>
  <si>
    <t>794893538</t>
  </si>
  <si>
    <t>8677</t>
  </si>
  <si>
    <t>88677</t>
  </si>
  <si>
    <t>Rocky Mountain beaver pond / National Geographic Channel ; a production of the National Geographic Society ; produced by Jim Dutcher ; written by Nancy Le Brun.</t>
  </si>
  <si>
    <t>[U.S.] : NGHT, Inc., [2010]</t>
  </si>
  <si>
    <t>2014-08-28</t>
  </si>
  <si>
    <t>370253990:eng</t>
  </si>
  <si>
    <t>712592474</t>
  </si>
  <si>
    <t>ocn712592474</t>
  </si>
  <si>
    <t>31034415626</t>
  </si>
  <si>
    <t>794871993</t>
  </si>
  <si>
    <t>8678</t>
  </si>
  <si>
    <t>88678</t>
  </si>
  <si>
    <t>Mystery gorillas ; Search for the great apes.</t>
  </si>
  <si>
    <t>[Washington, D.C.] : National Geographic ; Universal City, Calif. : Distributed by Vivendi Entertainment, [2010]</t>
  </si>
  <si>
    <t>Widescreen and full screen.</t>
  </si>
  <si>
    <t>10141811997:eng</t>
  </si>
  <si>
    <t>639929331</t>
  </si>
  <si>
    <t>ocn639929331</t>
  </si>
  <si>
    <t>31034415676</t>
  </si>
  <si>
    <t>9781426299735</t>
  </si>
  <si>
    <t>794827086</t>
  </si>
  <si>
    <t>8694</t>
  </si>
  <si>
    <t>88694</t>
  </si>
  <si>
    <t>The miracle of life ; Life's first feelings / directors and producers, Bo G. Erikson, Carl O. Lofman ; for Nova, written and produced by Bebe Nixon.</t>
  </si>
  <si>
    <t>Boston : WGBH Boston Video, ©2006.</t>
  </si>
  <si>
    <t>PBS</t>
  </si>
  <si>
    <t>4446013310:eng</t>
  </si>
  <si>
    <t>74279133</t>
  </si>
  <si>
    <t>ocm74279133</t>
  </si>
  <si>
    <t>31034416309</t>
  </si>
  <si>
    <t>9781593756444</t>
  </si>
  <si>
    <t>794172172</t>
  </si>
  <si>
    <t>8748</t>
  </si>
  <si>
    <t>88748</t>
  </si>
  <si>
    <t>Arctic tale / a National Geographic Films production ; [presented by] Paramount Classics ; produced in association with Visionbox Pictures ; co-producers, Kattie Evans, Chris Miller ; produced by Adam Leipzig, Keenan Smart ; narration written by Linda Wolverton and Mose Richards and Kristin Gore ; directed by Adam Ravetch &amp; Sarah Robertson.</t>
  </si>
  <si>
    <t>Hollywood, California : Paramount Pictures, [2007]</t>
  </si>
  <si>
    <t>760569958:eng</t>
  </si>
  <si>
    <t>173650464</t>
  </si>
  <si>
    <t>ocn173650464</t>
  </si>
  <si>
    <t>31033706118</t>
  </si>
  <si>
    <t>9781415735473</t>
  </si>
  <si>
    <t>794269198</t>
  </si>
  <si>
    <t>8777</t>
  </si>
  <si>
    <t>88777</t>
  </si>
  <si>
    <t>Cosmos.</t>
  </si>
  <si>
    <t>Studio City, CA : Cosmos Studios, ©2000.</t>
  </si>
  <si>
    <t>Collector's ed.</t>
  </si>
  <si>
    <t>343300600:eng</t>
  </si>
  <si>
    <t>700287601</t>
  </si>
  <si>
    <t>ocn700287601</t>
  </si>
  <si>
    <t>31034470215</t>
  </si>
  <si>
    <t>9780970351111</t>
  </si>
  <si>
    <t>794861955</t>
  </si>
  <si>
    <t>880</t>
  </si>
  <si>
    <t>8880</t>
  </si>
  <si>
    <t>Project Nim / Roadside Attractions, HBO Documentary Films, BBC Films and UK Film Council present a Red Box Films production in association with Passion Pictures ; produced by Simon Chinn ; directed by James Marsh.</t>
  </si>
  <si>
    <t>[Toronto] : Mongrel Media ; [Montreal] : Métropole Film Distribution, [2011]</t>
  </si>
  <si>
    <t>1078066762:eng</t>
  </si>
  <si>
    <t>777254116</t>
  </si>
  <si>
    <t>ocn777254116</t>
  </si>
  <si>
    <t>3103426306E</t>
  </si>
  <si>
    <t>794908627</t>
  </si>
  <si>
    <t>8829</t>
  </si>
  <si>
    <t>88829</t>
  </si>
  <si>
    <t>Jane's journey.</t>
  </si>
  <si>
    <t>Toronto : Mongrel Media, 2011.</t>
  </si>
  <si>
    <t>3771014613:eng</t>
  </si>
  <si>
    <t>770860276</t>
  </si>
  <si>
    <t>ocn770860276</t>
  </si>
  <si>
    <t>3103441993P</t>
  </si>
  <si>
    <t>794904034</t>
  </si>
  <si>
    <t>9273</t>
  </si>
  <si>
    <t>89273</t>
  </si>
  <si>
    <t>Kingdom of the seahorse / a BBC/Nova/WGBH co-production ; produced by Andrew Thompson and Susan Kopman Lewis.</t>
  </si>
  <si>
    <t>[Boston] : WGBH Boston Video, 2006.</t>
  </si>
  <si>
    <t>Nova series [DVD]</t>
  </si>
  <si>
    <t>2016-10-29</t>
  </si>
  <si>
    <t>760203661:eng</t>
  </si>
  <si>
    <t>65664111</t>
  </si>
  <si>
    <t>ocm65664111</t>
  </si>
  <si>
    <t>3103467058Q</t>
  </si>
  <si>
    <t>9781593756024</t>
  </si>
  <si>
    <t>794136268</t>
  </si>
  <si>
    <t>9277</t>
  </si>
  <si>
    <t>89277</t>
  </si>
  <si>
    <t>Rachel Carson's Silent spring / writer and producer, Neil Goodwin ; a Peace River Films production for the American Experience ; WGBH Educational Foundation, WNET/Thirteen and Peace River Films.</t>
  </si>
  <si>
    <t>Boston : WGBH Boston Video, [2007]</t>
  </si>
  <si>
    <t>American experience (Television program)</t>
  </si>
  <si>
    <t>502608371:eng</t>
  </si>
  <si>
    <t>144513883</t>
  </si>
  <si>
    <t>ocn144513883</t>
  </si>
  <si>
    <t>3103467221Q</t>
  </si>
  <si>
    <t>9781593757632</t>
  </si>
  <si>
    <t>794235831</t>
  </si>
  <si>
    <t>9282</t>
  </si>
  <si>
    <t>89282</t>
  </si>
  <si>
    <t>Orphans in space : forgotten films from the final frontier / [produced by the Orphan Film Project with New York University Libraries, Colorlab, American Paper Optics, and NYU Tisch School of the Arts].</t>
  </si>
  <si>
    <t>[New York] : [Orphan Film Project], [2012]</t>
  </si>
  <si>
    <t>1119710464:eng</t>
  </si>
  <si>
    <t>792819161</t>
  </si>
  <si>
    <t>ocn792819161</t>
  </si>
  <si>
    <t>3103467220Q</t>
  </si>
  <si>
    <t>794917100</t>
  </si>
  <si>
    <t>9341</t>
  </si>
  <si>
    <t>89341</t>
  </si>
  <si>
    <t>The Whale.</t>
  </si>
  <si>
    <t>[Sidney, BC] : Mountainside Films Ltd., 2010 ; [Canada] : Distributed exclusively in Canada by Kinosmith Inc. [distributor], [2012] ; [Sidney, BC] : Mountainside Films Ltd. [distributor]</t>
  </si>
  <si>
    <t>1171715523:eng</t>
  </si>
  <si>
    <t>800809333</t>
  </si>
  <si>
    <t>ocn800809333</t>
  </si>
  <si>
    <t>3103472703U</t>
  </si>
  <si>
    <t>794924681</t>
  </si>
  <si>
    <t>9358</t>
  </si>
  <si>
    <t>89358</t>
  </si>
  <si>
    <t>The ascent of man : a personal view by J. Bronowski / written and narrated by J. Bronowski ; producers, Adrian Malone, Dick Gilling ; a BBC Television and Time-Life Films co-production.</t>
  </si>
  <si>
    <t>Disc 5: vol.12 - Generation upon Generation/ vol.13 - Long Childhood</t>
  </si>
  <si>
    <t>Ascent of man (Television program)</t>
  </si>
  <si>
    <t>New York, NY : Ambrose Video, [2007]</t>
  </si>
  <si>
    <t>9657372509:eng</t>
  </si>
  <si>
    <t>226969114</t>
  </si>
  <si>
    <t>ocn226969114</t>
  </si>
  <si>
    <t>3103472962C</t>
  </si>
  <si>
    <t>794346172</t>
  </si>
  <si>
    <t>Disc 3: vol.6 - Starry Messenger/ vol.7 - Majestic Clockwork/ vol.8 - Drive for Power</t>
  </si>
  <si>
    <t>3103472963C</t>
  </si>
  <si>
    <t>794346174</t>
  </si>
  <si>
    <t>Disc 2: vol.3 - Grain in the Stone/ vol.4 - Hidden Structure/ vol.5 - Music of the Spheres</t>
  </si>
  <si>
    <t>3103472968C</t>
  </si>
  <si>
    <t>794346175</t>
  </si>
  <si>
    <t>Disc 4: vol.9 - Ladder of Creation/ vol.10 - World witihin World/ vol.11 - Knowledge or Certainty</t>
  </si>
  <si>
    <t>3103472967C</t>
  </si>
  <si>
    <t>794346173</t>
  </si>
  <si>
    <t>Disc 1: vol.1 - Lower than Angels/ vol.2- Harvest of the Seasons</t>
  </si>
  <si>
    <t>3103472973A</t>
  </si>
  <si>
    <t>794346176</t>
  </si>
  <si>
    <t>9485</t>
  </si>
  <si>
    <t>89485</t>
  </si>
  <si>
    <t>The curious Mister Catesby / executive producer, David J. Elliott ; producer &amp; director, Cynthia P. Neal ; Catesby Commemorative Trust ; a production of Marsh Elder Productions LLC.</t>
  </si>
  <si>
    <t>[Kiawah Island, SC?] : Catesby Commemorative Trust, ©2007.</t>
  </si>
  <si>
    <t>142138307:eng</t>
  </si>
  <si>
    <t>244301149</t>
  </si>
  <si>
    <t>ocn244301149</t>
  </si>
  <si>
    <t>31034800439</t>
  </si>
  <si>
    <t>9780615206479</t>
  </si>
  <si>
    <t>794381240</t>
  </si>
  <si>
    <t>9566</t>
  </si>
  <si>
    <t>89566</t>
  </si>
  <si>
    <t>Why zebras don't get ulcers / director, Gordon Gurley.</t>
  </si>
  <si>
    <t>[Stanford, CA] : Stanford Video : The Board of Trustees of the Leland Stanford Junior University ©2009 ; Mill Valley, CA : Kantola Productions [distributor], ©2010.</t>
  </si>
  <si>
    <t>Stanford executive briefings</t>
  </si>
  <si>
    <t>552231583:eng</t>
  </si>
  <si>
    <t>651616227</t>
  </si>
  <si>
    <t>ocn651616227</t>
  </si>
  <si>
    <t>3103478678W</t>
  </si>
  <si>
    <t>794833012</t>
  </si>
  <si>
    <t>9611</t>
  </si>
  <si>
    <t>89611</t>
  </si>
  <si>
    <t>Against all odds : inside statistics / Consortium for Mathematics and its Applications, Inc.</t>
  </si>
  <si>
    <t>Disc 11</t>
  </si>
  <si>
    <t>[S. Burlington, VT] : Annenberg Media ; Toronto : Visual Education Centre [distributor], ©2007.</t>
  </si>
  <si>
    <t>Annenberg/CPB collection</t>
  </si>
  <si>
    <t>2014-02-24</t>
  </si>
  <si>
    <t>521733208:eng</t>
  </si>
  <si>
    <t>426461906</t>
  </si>
  <si>
    <t>ocn426461906</t>
  </si>
  <si>
    <t>3103478848W</t>
  </si>
  <si>
    <t>794515783</t>
  </si>
  <si>
    <t>3103478822$</t>
  </si>
  <si>
    <t>794515791</t>
  </si>
  <si>
    <t>31034788171</t>
  </si>
  <si>
    <t>794515793</t>
  </si>
  <si>
    <t>Disc 19</t>
  </si>
  <si>
    <t>3103478844W</t>
  </si>
  <si>
    <t>794515775</t>
  </si>
  <si>
    <t>3103478827$</t>
  </si>
  <si>
    <t>794515790</t>
  </si>
  <si>
    <t>Disc 14</t>
  </si>
  <si>
    <t>31034788141</t>
  </si>
  <si>
    <t>794515780</t>
  </si>
  <si>
    <t>Disc 7</t>
  </si>
  <si>
    <t>3103478828$</t>
  </si>
  <si>
    <t>794515787</t>
  </si>
  <si>
    <t>Disc 13</t>
  </si>
  <si>
    <t>31034788191</t>
  </si>
  <si>
    <t>794515781</t>
  </si>
  <si>
    <t>Disc 22</t>
  </si>
  <si>
    <t>31034788151</t>
  </si>
  <si>
    <t>794515772</t>
  </si>
  <si>
    <t>Disc 24</t>
  </si>
  <si>
    <t>3103478825$</t>
  </si>
  <si>
    <t>794515770</t>
  </si>
  <si>
    <t>Disc 18</t>
  </si>
  <si>
    <t>3103478839Y</t>
  </si>
  <si>
    <t>794515776</t>
  </si>
  <si>
    <t>Disc 25</t>
  </si>
  <si>
    <t>3103478830Y</t>
  </si>
  <si>
    <t>794515769</t>
  </si>
  <si>
    <t>Disc 9</t>
  </si>
  <si>
    <t>3103478838Y</t>
  </si>
  <si>
    <t>794515785</t>
  </si>
  <si>
    <t>Disc 12</t>
  </si>
  <si>
    <t>3103478853U</t>
  </si>
  <si>
    <t>794515782</t>
  </si>
  <si>
    <t>Disc 8</t>
  </si>
  <si>
    <t>3103478833Y</t>
  </si>
  <si>
    <t>794515786</t>
  </si>
  <si>
    <t>31034788121</t>
  </si>
  <si>
    <t>794515792</t>
  </si>
  <si>
    <t>Disc 15</t>
  </si>
  <si>
    <t>3103478824$</t>
  </si>
  <si>
    <t>794515779</t>
  </si>
  <si>
    <t>Disc 17</t>
  </si>
  <si>
    <t>3103478834Y</t>
  </si>
  <si>
    <t>794515777</t>
  </si>
  <si>
    <t>Disc 10</t>
  </si>
  <si>
    <t>3103478843W</t>
  </si>
  <si>
    <t>794515784</t>
  </si>
  <si>
    <t>Disc 20</t>
  </si>
  <si>
    <t>3103478849W</t>
  </si>
  <si>
    <t>794515774</t>
  </si>
  <si>
    <t>Disc 23</t>
  </si>
  <si>
    <t>3103478820$</t>
  </si>
  <si>
    <t>794515771</t>
  </si>
  <si>
    <t>Disc 26</t>
  </si>
  <si>
    <t>3103478835Y</t>
  </si>
  <si>
    <t>794515768</t>
  </si>
  <si>
    <t>Disc 6</t>
  </si>
  <si>
    <t>3103478823$</t>
  </si>
  <si>
    <t>794515788</t>
  </si>
  <si>
    <t>31034788131</t>
  </si>
  <si>
    <t>794515789</t>
  </si>
  <si>
    <t>Disc 16</t>
  </si>
  <si>
    <t>3103478829$</t>
  </si>
  <si>
    <t>794515778</t>
  </si>
  <si>
    <t>Disc 21</t>
  </si>
  <si>
    <t>3103478854U</t>
  </si>
  <si>
    <t>794515773</t>
  </si>
  <si>
    <t>9619</t>
  </si>
  <si>
    <t>89619</t>
  </si>
  <si>
    <t>Ants : little creatures who run the world / a Nova production by Green Umbrella Ltd. for WGBH Boston in association with BBC-TV, NDR International, Hamburg and Wild Media ; written and directed by Nick Upton ; producers, Peter Jones and Nick Upton.</t>
  </si>
  <si>
    <t>[Boston] : WGBH Boston Video, [2007]</t>
  </si>
  <si>
    <t>902992822:eng</t>
  </si>
  <si>
    <t>83278625</t>
  </si>
  <si>
    <t>ocm83278625</t>
  </si>
  <si>
    <t>3103478940T</t>
  </si>
  <si>
    <t>9781593757410</t>
  </si>
  <si>
    <t>794208189</t>
  </si>
  <si>
    <t>9620</t>
  </si>
  <si>
    <t>89620</t>
  </si>
  <si>
    <t>Walking with monsters : life before dinosaurs / executive producer, Tim Haines ; produced and directed by Chloe Leland ; [An] Impossible Pictures production for BBC/Discovery Channel/ProSieben, in association with France 3.</t>
  </si>
  <si>
    <t>[Place of publication not identified] : BBC Video ; Burbank, CA : Distributed in the USA by Warner Home Video, ©2005.</t>
  </si>
  <si>
    <t>Walking with series [DVD]</t>
  </si>
  <si>
    <t>4241250580:eng</t>
  </si>
  <si>
    <t>62876609</t>
  </si>
  <si>
    <t>ocm62876609</t>
  </si>
  <si>
    <t>3103478915Z</t>
  </si>
  <si>
    <t>9781419819056</t>
  </si>
  <si>
    <t>794113313</t>
  </si>
  <si>
    <t>9704</t>
  </si>
  <si>
    <t>89704</t>
  </si>
  <si>
    <t>Why dogs smile &amp; chimpanzees cry / produced by fleisherfilm, inc. in association with Devillier Donegan Enterprises for Discovery Channel ; directed by Carol L. Fleisher ; written by Paula Deats &amp; Carol L. Fleisher.</t>
  </si>
  <si>
    <t>Bethesda, MD : Discovery Communications ; Santa Monica, Cal. : Distributed by Artisan Home Entertainment, ©2000.</t>
  </si>
  <si>
    <t>502196999:eng</t>
  </si>
  <si>
    <t>44481228</t>
  </si>
  <si>
    <t>ocm44481228</t>
  </si>
  <si>
    <t>31034871749</t>
  </si>
  <si>
    <t>9780784014356</t>
  </si>
  <si>
    <t>793651436</t>
  </si>
  <si>
    <t>9744</t>
  </si>
  <si>
    <t>89744</t>
  </si>
  <si>
    <t>The city dark / Bullfrog Films presents ; Rooftop Films + Edgeworx Studios present ; a Wicked Delicate production ; a film by Ian Cheney ; written, produced + directed by Ian Cheney.</t>
  </si>
  <si>
    <t>Oley, PA : Bullfrog Films, ©2011.</t>
  </si>
  <si>
    <t>1078230769:eng</t>
  </si>
  <si>
    <t>781311016</t>
  </si>
  <si>
    <t>ocn781311016</t>
  </si>
  <si>
    <t>3103451759Y</t>
  </si>
  <si>
    <t>9781937772079</t>
  </si>
  <si>
    <t>794912585</t>
  </si>
  <si>
    <t>9764</t>
  </si>
  <si>
    <t>89764</t>
  </si>
  <si>
    <t>31034518192</t>
  </si>
  <si>
    <t>794119431</t>
  </si>
  <si>
    <t>9828</t>
  </si>
  <si>
    <t>89828</t>
  </si>
  <si>
    <t>Qapirangajuq : Inuit knowledge and climate change / Igloolik Isuma Productions &amp; Kunuk Cohn Productions present a film by Zacharias Kunuk and Ian Mauro.</t>
  </si>
  <si>
    <t>Toronto, ON : Vtape, 2010.</t>
  </si>
  <si>
    <t>862939123:iku</t>
  </si>
  <si>
    <t>710026147</t>
  </si>
  <si>
    <t>ocn710026147</t>
  </si>
  <si>
    <t>3103506068F</t>
  </si>
  <si>
    <t>794870056</t>
  </si>
  <si>
    <t>CA1 EV26 1996 S72</t>
  </si>
  <si>
    <t>8CA1 EV26 1996 S72</t>
  </si>
  <si>
    <t>State of the Environment Report on the St. Lawrence River.</t>
  </si>
  <si>
    <t>Sainte-Foy, Quebec, Canada : Editions Multi-Mondes ; Montreal, Quebec, Canada : Environment Canada, ©1996-</t>
  </si>
  <si>
    <t>St. Lawrence update</t>
  </si>
  <si>
    <t>8908603231:eng</t>
  </si>
  <si>
    <t>36417528</t>
  </si>
  <si>
    <t>ocm36417528</t>
  </si>
  <si>
    <t>3101562127P</t>
  </si>
  <si>
    <t>9782921146340</t>
  </si>
  <si>
    <t>793474723</t>
  </si>
  <si>
    <t>3101562157G</t>
  </si>
  <si>
    <t>793474722</t>
  </si>
  <si>
    <t>CA1 EVC121 1989 I58</t>
  </si>
  <si>
    <t>8CA1 EVC121 1989 I58</t>
  </si>
  <si>
    <t>The importance of wildlife to Canadians in 1987 : highlights of a national survey / prepared by Federal-Provincial Task Force for the 1987 National Survey on the Importance of Wildlife to Canadians.</t>
  </si>
  <si>
    <t>Federal-Provincial Task Force for the 1987 National Survey on the Importance of Wildlife to Canadians.</t>
  </si>
  <si>
    <t>[Ottawa] : Canadian Wildlife Service, ©1989.</t>
  </si>
  <si>
    <t>143791361:eng</t>
  </si>
  <si>
    <t>28634762</t>
  </si>
  <si>
    <t>ocm28634762</t>
  </si>
  <si>
    <t>3101209846F</t>
  </si>
  <si>
    <t>9780662170747</t>
  </si>
  <si>
    <t>793292615</t>
  </si>
  <si>
    <t>CA1 PC1 1992 G27</t>
  </si>
  <si>
    <t>8CA1 PC1 1992 G27</t>
  </si>
  <si>
    <t>Genetic testing and privacy.</t>
  </si>
  <si>
    <t>Ottawa : Privacy Commissioner of Canada, ©1992.</t>
  </si>
  <si>
    <t>5469305623:eng</t>
  </si>
  <si>
    <t>1029382650</t>
  </si>
  <si>
    <t>on1029382650</t>
  </si>
  <si>
    <t>3100966917U</t>
  </si>
  <si>
    <t>9780662589662</t>
  </si>
  <si>
    <t>795054045</t>
  </si>
  <si>
    <t>CA1 ST 82-566</t>
  </si>
  <si>
    <t>8CA1 ST 82-566</t>
  </si>
  <si>
    <t>Cancer incidence in Canada, 1969-1993 / Leslie A. Gaudette and Judy Lee = L'incidence du cancer au Canada, 1969-1993 / Leslie A. Gaudette et Judy Lee.</t>
  </si>
  <si>
    <t>Gaudette, Leslie A.</t>
  </si>
  <si>
    <t>Ottawa, Ont. : Statistics Canada, Health Statistics Division, ©1997.</t>
  </si>
  <si>
    <t>5612798870:eng</t>
  </si>
  <si>
    <t>37770284</t>
  </si>
  <si>
    <t>ocm37770284</t>
  </si>
  <si>
    <t>31020160889</t>
  </si>
  <si>
    <t>9780660589220</t>
  </si>
  <si>
    <t>793506666</t>
  </si>
  <si>
    <t>CA1 XC50 2012 S77</t>
  </si>
  <si>
    <t>8CA1 XC50 2012 S77</t>
  </si>
  <si>
    <t>Study to provide recommendations regarding the development of a National Conservation Plan : report of the Standing Committee on Environment and Sustainable Development / Mark Warawa, chair.</t>
  </si>
  <si>
    <t>Canada. Parliament. House of Commons. Standing Committee on Environment and Sustainable Development.</t>
  </si>
  <si>
    <t>[Ottawa] : Standing Committee on Environment and Sustainable Development, 2012.</t>
  </si>
  <si>
    <t>1146917683:eng</t>
  </si>
  <si>
    <t>803304393</t>
  </si>
  <si>
    <t>ocn803304393</t>
  </si>
  <si>
    <t>31034793514</t>
  </si>
  <si>
    <t>9780660674315</t>
  </si>
  <si>
    <t>794925804</t>
  </si>
  <si>
    <t>CA1 YC2 1968 S17</t>
  </si>
  <si>
    <t>8CA1 YC2 1968 S17</t>
  </si>
  <si>
    <t>3101729435Q</t>
  </si>
  <si>
    <t>791408228</t>
  </si>
  <si>
    <t>8GUIDE</t>
  </si>
  <si>
    <t>Getting started with Raspberry Pi / Matt Richardson and Shawn Wallace.</t>
  </si>
  <si>
    <t>Richardson, Matt (Technologist), author.</t>
  </si>
  <si>
    <t>Sebastopol, CA : Maker Media, 2014.</t>
  </si>
  <si>
    <t>1411669096:eng</t>
  </si>
  <si>
    <t>883366387</t>
  </si>
  <si>
    <t>ocn883366387</t>
  </si>
  <si>
    <t>3103545284Q</t>
  </si>
  <si>
    <t>9781457186127</t>
  </si>
  <si>
    <t>794975508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</si>
</sst>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theme="1"/>
      <name val="Calibri"/>
      <family val="2"/>
      <scheme val="minor"/>
    </font>
    <font>
      <b/>
      <sz val="11"/>
      <color theme="1"/>
      <name val="Calibri"/>
      <family val="2"/>
      <scheme val="minor"/>
    </font>
    <font>
      <u/>
      <sz val="11"/>
      <color rgb="FF0000FF"/>
      <name val="Calibri"/>
      <family val="2"/>
      <scheme val="minor"/>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7">
    <xf numFmtId="0" fontId="0" fillId="0" borderId="0" xfId="0"/>
    <xf numFmtId="0" fontId="1" fillId="2" borderId="0" xfId="0" applyFont="1" applyFill="1" applyAlignment="1">
      <alignment horizontal="center" vertical="center" wrapText="1"/>
    </xf>
    <xf numFmtId="0" fontId="0" fillId="0" borderId="0" xfId="0" applyAlignment="1">
      <alignment vertical="center" wrapText="1"/>
    </xf>
    <xf numFmtId="49" fontId="0" fillId="0" borderId="0" xfId="0" applyNumberFormat="1" applyAlignment="1">
      <alignment horizontal="center" vertical="center"/>
    </xf>
    <xf numFmtId="3" fontId="0" fillId="0" borderId="0" xfId="0" applyNumberFormat="1" applyAlignment="1">
      <alignment horizontal="center" vertical="center"/>
    </xf>
    <xf numFmtId="164" fontId="0" fillId="0" borderId="0" xfId="0" applyNumberFormat="1" applyAlignment="1">
      <alignment horizontal="center" vertical="center"/>
    </xf>
    <xf numFmtId="0" fontId="2"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125"/>
  <sheetViews>
    <sheetView tabSelected="1" workbookViewId="0">
      <pane ySplit="1" topLeftCell="A2" activePane="bottomLeft" state="frozen"/>
      <selection pane="bottomLeft" activeCell="A2" sqref="A2"/>
    </sheetView>
  </sheetViews>
  <sheetFormatPr defaultRowHeight="14.5" x14ac:dyDescent="0.35"/>
  <cols>
    <col min="1" max="1" width="12.7265625" customWidth="1"/>
    <col min="2" max="3" width="10.7265625" customWidth="1"/>
    <col min="4" max="4" width="12.7265625" hidden="1" customWidth="1"/>
    <col min="5" max="5" width="41.90625" customWidth="1"/>
    <col min="6" max="6" width="13.7265625" customWidth="1"/>
    <col min="7" max="7" width="10.7265625" hidden="1" customWidth="1"/>
    <col min="8" max="8" width="8.7265625" hidden="1" customWidth="1"/>
    <col min="9" max="9" width="11.7265625" hidden="1" customWidth="1"/>
    <col min="10" max="10" width="9.7265625" hidden="1" customWidth="1"/>
    <col min="11" max="11" width="10.7265625" customWidth="1"/>
    <col min="12" max="13" width="35.7265625" customWidth="1"/>
    <col min="14" max="14" width="13.7265625" customWidth="1"/>
    <col min="15" max="15" width="9.7265625" customWidth="1"/>
    <col min="16" max="16" width="10.7265625" customWidth="1"/>
    <col min="17" max="17" width="35.7265625" customWidth="1"/>
    <col min="18" max="18" width="10.7265625" customWidth="1"/>
    <col min="19" max="29" width="10.7265625" hidden="1" customWidth="1"/>
    <col min="30" max="31" width="12.7265625" hidden="1" customWidth="1"/>
    <col min="32" max="33" width="9.7265625" hidden="1" customWidth="1"/>
    <col min="34" max="35" width="11.7265625" hidden="1" customWidth="1"/>
    <col min="36" max="39" width="9.7265625" hidden="1" customWidth="1"/>
    <col min="40" max="41" width="13.7265625" hidden="1" customWidth="1"/>
    <col min="42" max="43" width="9.7265625" hidden="1" customWidth="1"/>
    <col min="44" max="44" width="11.7265625" hidden="1" customWidth="1"/>
    <col min="45" max="47" width="12.7265625" hidden="1" customWidth="1"/>
    <col min="48" max="48" width="10.7265625" customWidth="1"/>
    <col min="49" max="49" width="10.7265625" hidden="1" customWidth="1"/>
    <col min="50" max="50" width="15.7265625" hidden="1" customWidth="1"/>
    <col min="51" max="54" width="20.7265625" hidden="1" customWidth="1"/>
    <col min="55" max="55" width="15.7265625" customWidth="1"/>
    <col min="56" max="57" width="15.7265625" hidden="1" customWidth="1"/>
    <col min="58" max="58" width="25.7265625" customWidth="1"/>
    <col min="59" max="59" width="10.7265625" hidden="1" customWidth="1"/>
  </cols>
  <sheetData>
    <row r="1" spans="1:59" ht="72.5"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row>
    <row r="2" spans="1:59" ht="58" x14ac:dyDescent="0.35">
      <c r="A2" s="2" t="s">
        <v>89</v>
      </c>
      <c r="B2" s="2" t="s">
        <v>90</v>
      </c>
      <c r="C2" s="2" t="s">
        <v>91</v>
      </c>
      <c r="D2" s="2" t="s">
        <v>92</v>
      </c>
      <c r="E2" s="2" t="s">
        <v>93</v>
      </c>
      <c r="G2" s="3" t="s">
        <v>62</v>
      </c>
      <c r="I2" s="3" t="s">
        <v>62</v>
      </c>
      <c r="J2" s="3" t="s">
        <v>62</v>
      </c>
      <c r="K2" s="3" t="s">
        <v>63</v>
      </c>
      <c r="M2" s="2" t="s">
        <v>94</v>
      </c>
      <c r="N2" s="3" t="s">
        <v>95</v>
      </c>
      <c r="P2" s="3" t="s">
        <v>64</v>
      </c>
      <c r="Q2" s="2" t="s">
        <v>96</v>
      </c>
      <c r="R2" s="3" t="s">
        <v>65</v>
      </c>
      <c r="S2" s="4">
        <v>6</v>
      </c>
      <c r="T2" s="4">
        <v>6</v>
      </c>
      <c r="U2" s="5" t="s">
        <v>97</v>
      </c>
      <c r="V2" s="5" t="s">
        <v>97</v>
      </c>
      <c r="W2" s="5" t="s">
        <v>67</v>
      </c>
      <c r="X2" s="5" t="s">
        <v>67</v>
      </c>
      <c r="Y2" s="4">
        <v>296</v>
      </c>
      <c r="Z2" s="4">
        <v>16</v>
      </c>
      <c r="AA2" s="4">
        <v>18</v>
      </c>
      <c r="AB2" s="4">
        <v>3</v>
      </c>
      <c r="AC2" s="4">
        <v>5</v>
      </c>
      <c r="AD2" s="4">
        <v>90</v>
      </c>
      <c r="AE2" s="4">
        <v>92</v>
      </c>
      <c r="AF2" s="4">
        <v>1</v>
      </c>
      <c r="AG2" s="4">
        <v>3</v>
      </c>
      <c r="AH2" s="4">
        <v>82</v>
      </c>
      <c r="AI2" s="4">
        <v>83</v>
      </c>
      <c r="AJ2" s="4">
        <v>11</v>
      </c>
      <c r="AK2" s="4">
        <v>13</v>
      </c>
      <c r="AL2" s="4">
        <v>46</v>
      </c>
      <c r="AM2" s="4">
        <v>46</v>
      </c>
      <c r="AN2" s="4">
        <v>0</v>
      </c>
      <c r="AO2" s="4">
        <v>0</v>
      </c>
      <c r="AP2" s="4">
        <v>12</v>
      </c>
      <c r="AQ2" s="4">
        <v>13</v>
      </c>
      <c r="AR2" s="3" t="s">
        <v>62</v>
      </c>
      <c r="AS2" s="3" t="s">
        <v>62</v>
      </c>
      <c r="AT2" s="3" t="s">
        <v>61</v>
      </c>
      <c r="AU2" s="6" t="str">
        <f>HYPERLINK("http://catalog.hathitrust.org/Record/000766111","HathiTrust Record")</f>
        <v>HathiTrust Record</v>
      </c>
      <c r="AV2" s="6" t="str">
        <f>HYPERLINK("http://mcgill.on.worldcat.org/oclc/7555968","Catalog Record")</f>
        <v>Catalog Record</v>
      </c>
      <c r="AW2" s="6" t="str">
        <f>HYPERLINK("http://www.worldcat.org/oclc/7555968","WorldCat Record")</f>
        <v>WorldCat Record</v>
      </c>
      <c r="AX2" s="3" t="s">
        <v>98</v>
      </c>
      <c r="AY2" s="3" t="s">
        <v>99</v>
      </c>
      <c r="AZ2" s="3" t="s">
        <v>100</v>
      </c>
      <c r="BA2" s="3" t="s">
        <v>100</v>
      </c>
      <c r="BB2" s="3" t="s">
        <v>101</v>
      </c>
      <c r="BC2" s="3" t="s">
        <v>102</v>
      </c>
      <c r="BD2" s="3" t="s">
        <v>68</v>
      </c>
      <c r="BE2" s="3" t="s">
        <v>103</v>
      </c>
      <c r="BF2" s="3" t="s">
        <v>101</v>
      </c>
      <c r="BG2" s="3" t="s">
        <v>104</v>
      </c>
    </row>
    <row r="3" spans="1:59" ht="72.5" x14ac:dyDescent="0.35">
      <c r="A3" s="2" t="s">
        <v>89</v>
      </c>
      <c r="B3" s="2" t="s">
        <v>90</v>
      </c>
      <c r="C3" s="2" t="s">
        <v>110</v>
      </c>
      <c r="D3" s="2" t="s">
        <v>111</v>
      </c>
      <c r="E3" s="2" t="s">
        <v>112</v>
      </c>
      <c r="F3" s="3" t="s">
        <v>113</v>
      </c>
      <c r="G3" s="3" t="s">
        <v>62</v>
      </c>
      <c r="I3" s="3" t="s">
        <v>62</v>
      </c>
      <c r="J3" s="3" t="s">
        <v>62</v>
      </c>
      <c r="K3" s="3" t="s">
        <v>63</v>
      </c>
      <c r="M3" s="2" t="s">
        <v>114</v>
      </c>
      <c r="N3" s="3" t="s">
        <v>115</v>
      </c>
      <c r="P3" s="3" t="s">
        <v>64</v>
      </c>
      <c r="Q3" s="2" t="s">
        <v>116</v>
      </c>
      <c r="R3" s="3" t="s">
        <v>65</v>
      </c>
      <c r="S3" s="4">
        <v>6</v>
      </c>
      <c r="T3" s="4">
        <v>6</v>
      </c>
      <c r="U3" s="5" t="s">
        <v>117</v>
      </c>
      <c r="V3" s="5" t="s">
        <v>117</v>
      </c>
      <c r="W3" s="5" t="s">
        <v>67</v>
      </c>
      <c r="X3" s="5" t="s">
        <v>67</v>
      </c>
      <c r="Y3" s="4">
        <v>239</v>
      </c>
      <c r="Z3" s="4">
        <v>12</v>
      </c>
      <c r="AA3" s="4">
        <v>15</v>
      </c>
      <c r="AB3" s="4">
        <v>1</v>
      </c>
      <c r="AC3" s="4">
        <v>3</v>
      </c>
      <c r="AD3" s="4">
        <v>82</v>
      </c>
      <c r="AE3" s="4">
        <v>87</v>
      </c>
      <c r="AF3" s="4">
        <v>0</v>
      </c>
      <c r="AG3" s="4">
        <v>2</v>
      </c>
      <c r="AH3" s="4">
        <v>74</v>
      </c>
      <c r="AI3" s="4">
        <v>77</v>
      </c>
      <c r="AJ3" s="4">
        <v>9</v>
      </c>
      <c r="AK3" s="4">
        <v>12</v>
      </c>
      <c r="AL3" s="4">
        <v>41</v>
      </c>
      <c r="AM3" s="4">
        <v>43</v>
      </c>
      <c r="AN3" s="4">
        <v>0</v>
      </c>
      <c r="AO3" s="4">
        <v>0</v>
      </c>
      <c r="AP3" s="4">
        <v>10</v>
      </c>
      <c r="AQ3" s="4">
        <v>13</v>
      </c>
      <c r="AR3" s="3" t="s">
        <v>62</v>
      </c>
      <c r="AS3" s="3" t="s">
        <v>62</v>
      </c>
      <c r="AT3" s="3" t="s">
        <v>61</v>
      </c>
      <c r="AU3" s="6" t="str">
        <f>HYPERLINK("http://catalog.hathitrust.org/Record/009921611","HathiTrust Record")</f>
        <v>HathiTrust Record</v>
      </c>
      <c r="AV3" s="6" t="str">
        <f>HYPERLINK("http://mcgill.on.worldcat.org/oclc/20823899","Catalog Record")</f>
        <v>Catalog Record</v>
      </c>
      <c r="AW3" s="6" t="str">
        <f>HYPERLINK("http://www.worldcat.org/oclc/20823899","WorldCat Record")</f>
        <v>WorldCat Record</v>
      </c>
      <c r="AX3" s="3" t="s">
        <v>118</v>
      </c>
      <c r="AY3" s="3" t="s">
        <v>119</v>
      </c>
      <c r="AZ3" s="3" t="s">
        <v>120</v>
      </c>
      <c r="BA3" s="3" t="s">
        <v>120</v>
      </c>
      <c r="BB3" s="3" t="s">
        <v>121</v>
      </c>
      <c r="BC3" s="3" t="s">
        <v>102</v>
      </c>
      <c r="BD3" s="3" t="s">
        <v>68</v>
      </c>
      <c r="BE3" s="3" t="s">
        <v>122</v>
      </c>
      <c r="BF3" s="3" t="s">
        <v>121</v>
      </c>
      <c r="BG3" s="3" t="s">
        <v>123</v>
      </c>
    </row>
    <row r="4" spans="1:59" ht="72.5" x14ac:dyDescent="0.35">
      <c r="A4" s="2" t="s">
        <v>89</v>
      </c>
      <c r="B4" s="2" t="s">
        <v>90</v>
      </c>
      <c r="C4" s="2" t="s">
        <v>124</v>
      </c>
      <c r="D4" s="2" t="s">
        <v>125</v>
      </c>
      <c r="E4" s="2" t="s">
        <v>126</v>
      </c>
      <c r="F4" s="3" t="s">
        <v>127</v>
      </c>
      <c r="G4" s="3" t="s">
        <v>62</v>
      </c>
      <c r="I4" s="3" t="s">
        <v>62</v>
      </c>
      <c r="J4" s="3" t="s">
        <v>62</v>
      </c>
      <c r="K4" s="3" t="s">
        <v>63</v>
      </c>
      <c r="M4" s="2" t="s">
        <v>128</v>
      </c>
      <c r="N4" s="3" t="s">
        <v>129</v>
      </c>
      <c r="P4" s="3" t="s">
        <v>64</v>
      </c>
      <c r="Q4" s="2" t="s">
        <v>130</v>
      </c>
      <c r="R4" s="3" t="s">
        <v>65</v>
      </c>
      <c r="S4" s="4">
        <v>3</v>
      </c>
      <c r="T4" s="4">
        <v>3</v>
      </c>
      <c r="U4" s="5" t="s">
        <v>131</v>
      </c>
      <c r="V4" s="5" t="s">
        <v>131</v>
      </c>
      <c r="W4" s="5" t="s">
        <v>67</v>
      </c>
      <c r="X4" s="5" t="s">
        <v>67</v>
      </c>
      <c r="Y4" s="4">
        <v>166</v>
      </c>
      <c r="Z4" s="4">
        <v>8</v>
      </c>
      <c r="AA4" s="4">
        <v>9</v>
      </c>
      <c r="AB4" s="4">
        <v>1</v>
      </c>
      <c r="AC4" s="4">
        <v>2</v>
      </c>
      <c r="AD4" s="4">
        <v>78</v>
      </c>
      <c r="AE4" s="4">
        <v>79</v>
      </c>
      <c r="AF4" s="4">
        <v>0</v>
      </c>
      <c r="AG4" s="4">
        <v>1</v>
      </c>
      <c r="AH4" s="4">
        <v>74</v>
      </c>
      <c r="AI4" s="4">
        <v>74</v>
      </c>
      <c r="AJ4" s="4">
        <v>7</v>
      </c>
      <c r="AK4" s="4">
        <v>8</v>
      </c>
      <c r="AL4" s="4">
        <v>43</v>
      </c>
      <c r="AM4" s="4">
        <v>43</v>
      </c>
      <c r="AN4" s="4">
        <v>0</v>
      </c>
      <c r="AO4" s="4">
        <v>0</v>
      </c>
      <c r="AP4" s="4">
        <v>7</v>
      </c>
      <c r="AQ4" s="4">
        <v>8</v>
      </c>
      <c r="AR4" s="3" t="s">
        <v>62</v>
      </c>
      <c r="AS4" s="3" t="s">
        <v>62</v>
      </c>
      <c r="AT4" s="3" t="s">
        <v>62</v>
      </c>
      <c r="AV4" s="6" t="str">
        <f>HYPERLINK("http://mcgill.on.worldcat.org/oclc/842323000","Catalog Record")</f>
        <v>Catalog Record</v>
      </c>
      <c r="AW4" s="6" t="str">
        <f>HYPERLINK("http://www.worldcat.org/oclc/842323000","WorldCat Record")</f>
        <v>WorldCat Record</v>
      </c>
      <c r="AX4" s="3" t="s">
        <v>132</v>
      </c>
      <c r="AY4" s="3" t="s">
        <v>133</v>
      </c>
      <c r="AZ4" s="3" t="s">
        <v>134</v>
      </c>
      <c r="BA4" s="3" t="s">
        <v>134</v>
      </c>
      <c r="BB4" s="3" t="s">
        <v>135</v>
      </c>
      <c r="BC4" s="3" t="s">
        <v>102</v>
      </c>
      <c r="BD4" s="3" t="s">
        <v>68</v>
      </c>
      <c r="BE4" s="3" t="s">
        <v>136</v>
      </c>
      <c r="BF4" s="3" t="s">
        <v>135</v>
      </c>
      <c r="BG4" s="3" t="s">
        <v>137</v>
      </c>
    </row>
    <row r="5" spans="1:59" ht="72.5" x14ac:dyDescent="0.35">
      <c r="A5" s="2" t="s">
        <v>89</v>
      </c>
      <c r="B5" s="2" t="s">
        <v>90</v>
      </c>
      <c r="C5" s="2" t="s">
        <v>138</v>
      </c>
      <c r="D5" s="2" t="s">
        <v>139</v>
      </c>
      <c r="E5" s="2" t="s">
        <v>140</v>
      </c>
      <c r="F5" s="3" t="s">
        <v>141</v>
      </c>
      <c r="G5" s="3" t="s">
        <v>62</v>
      </c>
      <c r="I5" s="3" t="s">
        <v>62</v>
      </c>
      <c r="J5" s="3" t="s">
        <v>62</v>
      </c>
      <c r="K5" s="3" t="s">
        <v>63</v>
      </c>
      <c r="L5" s="2" t="s">
        <v>142</v>
      </c>
      <c r="M5" s="2" t="s">
        <v>143</v>
      </c>
      <c r="N5" s="3" t="s">
        <v>129</v>
      </c>
      <c r="P5" s="3" t="s">
        <v>64</v>
      </c>
      <c r="Q5" s="2" t="s">
        <v>144</v>
      </c>
      <c r="R5" s="3" t="s">
        <v>65</v>
      </c>
      <c r="S5" s="4">
        <v>0</v>
      </c>
      <c r="T5" s="4">
        <v>0</v>
      </c>
      <c r="W5" s="5" t="s">
        <v>67</v>
      </c>
      <c r="X5" s="5" t="s">
        <v>67</v>
      </c>
      <c r="Y5" s="4">
        <v>146</v>
      </c>
      <c r="Z5" s="4">
        <v>8</v>
      </c>
      <c r="AA5" s="4">
        <v>8</v>
      </c>
      <c r="AB5" s="4">
        <v>1</v>
      </c>
      <c r="AC5" s="4">
        <v>1</v>
      </c>
      <c r="AD5" s="4">
        <v>74</v>
      </c>
      <c r="AE5" s="4">
        <v>74</v>
      </c>
      <c r="AF5" s="4">
        <v>0</v>
      </c>
      <c r="AG5" s="4">
        <v>0</v>
      </c>
      <c r="AH5" s="4">
        <v>70</v>
      </c>
      <c r="AI5" s="4">
        <v>70</v>
      </c>
      <c r="AJ5" s="4">
        <v>7</v>
      </c>
      <c r="AK5" s="4">
        <v>7</v>
      </c>
      <c r="AL5" s="4">
        <v>43</v>
      </c>
      <c r="AM5" s="4">
        <v>43</v>
      </c>
      <c r="AN5" s="4">
        <v>0</v>
      </c>
      <c r="AO5" s="4">
        <v>0</v>
      </c>
      <c r="AP5" s="4">
        <v>7</v>
      </c>
      <c r="AQ5" s="4">
        <v>7</v>
      </c>
      <c r="AR5" s="3" t="s">
        <v>62</v>
      </c>
      <c r="AS5" s="3" t="s">
        <v>62</v>
      </c>
      <c r="AT5" s="3" t="s">
        <v>62</v>
      </c>
      <c r="AV5" s="6" t="str">
        <f>HYPERLINK("http://mcgill.on.worldcat.org/oclc/842316356","Catalog Record")</f>
        <v>Catalog Record</v>
      </c>
      <c r="AW5" s="6" t="str">
        <f>HYPERLINK("http://www.worldcat.org/oclc/842316356","WorldCat Record")</f>
        <v>WorldCat Record</v>
      </c>
      <c r="AX5" s="3" t="s">
        <v>145</v>
      </c>
      <c r="AY5" s="3" t="s">
        <v>146</v>
      </c>
      <c r="AZ5" s="3" t="s">
        <v>147</v>
      </c>
      <c r="BA5" s="3" t="s">
        <v>147</v>
      </c>
      <c r="BB5" s="3" t="s">
        <v>148</v>
      </c>
      <c r="BC5" s="3" t="s">
        <v>102</v>
      </c>
      <c r="BD5" s="3" t="s">
        <v>68</v>
      </c>
      <c r="BE5" s="3" t="s">
        <v>149</v>
      </c>
      <c r="BF5" s="3" t="s">
        <v>148</v>
      </c>
      <c r="BG5" s="3" t="s">
        <v>150</v>
      </c>
    </row>
    <row r="6" spans="1:59" ht="72.5" x14ac:dyDescent="0.35">
      <c r="A6" s="2" t="s">
        <v>89</v>
      </c>
      <c r="B6" s="2" t="s">
        <v>90</v>
      </c>
      <c r="C6" s="2" t="s">
        <v>151</v>
      </c>
      <c r="D6" s="2" t="s">
        <v>152</v>
      </c>
      <c r="E6" s="2" t="s">
        <v>153</v>
      </c>
      <c r="F6" s="3" t="s">
        <v>154</v>
      </c>
      <c r="G6" s="3" t="s">
        <v>62</v>
      </c>
      <c r="I6" s="3" t="s">
        <v>62</v>
      </c>
      <c r="J6" s="3" t="s">
        <v>62</v>
      </c>
      <c r="K6" s="3" t="s">
        <v>63</v>
      </c>
      <c r="L6" s="2" t="s">
        <v>155</v>
      </c>
      <c r="M6" s="2" t="s">
        <v>156</v>
      </c>
      <c r="N6" s="3" t="s">
        <v>157</v>
      </c>
      <c r="P6" s="3" t="s">
        <v>64</v>
      </c>
      <c r="Q6" s="2" t="s">
        <v>158</v>
      </c>
      <c r="R6" s="3" t="s">
        <v>65</v>
      </c>
      <c r="S6" s="4">
        <v>4</v>
      </c>
      <c r="T6" s="4">
        <v>4</v>
      </c>
      <c r="U6" s="5" t="s">
        <v>159</v>
      </c>
      <c r="V6" s="5" t="s">
        <v>159</v>
      </c>
      <c r="W6" s="5" t="s">
        <v>67</v>
      </c>
      <c r="X6" s="5" t="s">
        <v>67</v>
      </c>
      <c r="Y6" s="4">
        <v>405</v>
      </c>
      <c r="Z6" s="4">
        <v>25</v>
      </c>
      <c r="AA6" s="4">
        <v>25</v>
      </c>
      <c r="AB6" s="4">
        <v>2</v>
      </c>
      <c r="AC6" s="4">
        <v>2</v>
      </c>
      <c r="AD6" s="4">
        <v>112</v>
      </c>
      <c r="AE6" s="4">
        <v>112</v>
      </c>
      <c r="AF6" s="4">
        <v>1</v>
      </c>
      <c r="AG6" s="4">
        <v>1</v>
      </c>
      <c r="AH6" s="4">
        <v>99</v>
      </c>
      <c r="AI6" s="4">
        <v>99</v>
      </c>
      <c r="AJ6" s="4">
        <v>17</v>
      </c>
      <c r="AK6" s="4">
        <v>17</v>
      </c>
      <c r="AL6" s="4">
        <v>53</v>
      </c>
      <c r="AM6" s="4">
        <v>53</v>
      </c>
      <c r="AN6" s="4">
        <v>0</v>
      </c>
      <c r="AO6" s="4">
        <v>0</v>
      </c>
      <c r="AP6" s="4">
        <v>21</v>
      </c>
      <c r="AQ6" s="4">
        <v>21</v>
      </c>
      <c r="AR6" s="3" t="s">
        <v>62</v>
      </c>
      <c r="AS6" s="3" t="s">
        <v>62</v>
      </c>
      <c r="AT6" s="3" t="s">
        <v>61</v>
      </c>
      <c r="AU6" s="6" t="str">
        <f>HYPERLINK("http://catalog.hathitrust.org/Record/000016339","HathiTrust Record")</f>
        <v>HathiTrust Record</v>
      </c>
      <c r="AV6" s="6" t="str">
        <f>HYPERLINK("http://mcgill.on.worldcat.org/oclc/1001048","Catalog Record")</f>
        <v>Catalog Record</v>
      </c>
      <c r="AW6" s="6" t="str">
        <f>HYPERLINK("http://www.worldcat.org/oclc/1001048","WorldCat Record")</f>
        <v>WorldCat Record</v>
      </c>
      <c r="AX6" s="3" t="s">
        <v>160</v>
      </c>
      <c r="AY6" s="3" t="s">
        <v>161</v>
      </c>
      <c r="AZ6" s="3" t="s">
        <v>162</v>
      </c>
      <c r="BA6" s="3" t="s">
        <v>162</v>
      </c>
      <c r="BB6" s="3" t="s">
        <v>163</v>
      </c>
      <c r="BC6" s="3" t="s">
        <v>102</v>
      </c>
      <c r="BD6" s="3" t="s">
        <v>68</v>
      </c>
      <c r="BE6" s="3" t="s">
        <v>164</v>
      </c>
      <c r="BF6" s="3" t="s">
        <v>163</v>
      </c>
      <c r="BG6" s="3" t="s">
        <v>165</v>
      </c>
    </row>
    <row r="7" spans="1:59" ht="72.5" x14ac:dyDescent="0.35">
      <c r="A7" s="2" t="s">
        <v>89</v>
      </c>
      <c r="B7" s="2" t="s">
        <v>90</v>
      </c>
      <c r="C7" s="2" t="s">
        <v>166</v>
      </c>
      <c r="D7" s="2" t="s">
        <v>167</v>
      </c>
      <c r="E7" s="2" t="s">
        <v>168</v>
      </c>
      <c r="F7" s="3" t="s">
        <v>169</v>
      </c>
      <c r="G7" s="3" t="s">
        <v>62</v>
      </c>
      <c r="I7" s="3" t="s">
        <v>62</v>
      </c>
      <c r="J7" s="3" t="s">
        <v>62</v>
      </c>
      <c r="K7" s="3" t="s">
        <v>63</v>
      </c>
      <c r="L7" s="2" t="s">
        <v>170</v>
      </c>
      <c r="M7" s="2" t="s">
        <v>171</v>
      </c>
      <c r="N7" s="3" t="s">
        <v>157</v>
      </c>
      <c r="P7" s="3" t="s">
        <v>64</v>
      </c>
      <c r="Q7" s="2" t="s">
        <v>172</v>
      </c>
      <c r="R7" s="3" t="s">
        <v>65</v>
      </c>
      <c r="S7" s="4">
        <v>4</v>
      </c>
      <c r="T7" s="4">
        <v>4</v>
      </c>
      <c r="U7" s="5" t="s">
        <v>173</v>
      </c>
      <c r="V7" s="5" t="s">
        <v>173</v>
      </c>
      <c r="W7" s="5" t="s">
        <v>67</v>
      </c>
      <c r="X7" s="5" t="s">
        <v>67</v>
      </c>
      <c r="Y7" s="4">
        <v>473</v>
      </c>
      <c r="Z7" s="4">
        <v>30</v>
      </c>
      <c r="AA7" s="4">
        <v>33</v>
      </c>
      <c r="AB7" s="4">
        <v>3</v>
      </c>
      <c r="AC7" s="4">
        <v>6</v>
      </c>
      <c r="AD7" s="4">
        <v>122</v>
      </c>
      <c r="AE7" s="4">
        <v>124</v>
      </c>
      <c r="AF7" s="4">
        <v>2</v>
      </c>
      <c r="AG7" s="4">
        <v>4</v>
      </c>
      <c r="AH7" s="4">
        <v>102</v>
      </c>
      <c r="AI7" s="4">
        <v>103</v>
      </c>
      <c r="AJ7" s="4">
        <v>18</v>
      </c>
      <c r="AK7" s="4">
        <v>20</v>
      </c>
      <c r="AL7" s="4">
        <v>55</v>
      </c>
      <c r="AM7" s="4">
        <v>55</v>
      </c>
      <c r="AN7" s="4">
        <v>0</v>
      </c>
      <c r="AO7" s="4">
        <v>0</v>
      </c>
      <c r="AP7" s="4">
        <v>24</v>
      </c>
      <c r="AQ7" s="4">
        <v>25</v>
      </c>
      <c r="AR7" s="3" t="s">
        <v>62</v>
      </c>
      <c r="AS7" s="3" t="s">
        <v>62</v>
      </c>
      <c r="AT7" s="3" t="s">
        <v>62</v>
      </c>
      <c r="AV7" s="6" t="str">
        <f>HYPERLINK("http://mcgill.on.worldcat.org/oclc/1227155","Catalog Record")</f>
        <v>Catalog Record</v>
      </c>
      <c r="AW7" s="6" t="str">
        <f>HYPERLINK("http://www.worldcat.org/oclc/1227155","WorldCat Record")</f>
        <v>WorldCat Record</v>
      </c>
      <c r="AX7" s="3" t="s">
        <v>174</v>
      </c>
      <c r="AY7" s="3" t="s">
        <v>175</v>
      </c>
      <c r="AZ7" s="3" t="s">
        <v>176</v>
      </c>
      <c r="BA7" s="3" t="s">
        <v>176</v>
      </c>
      <c r="BB7" s="3" t="s">
        <v>177</v>
      </c>
      <c r="BC7" s="3" t="s">
        <v>102</v>
      </c>
      <c r="BD7" s="3" t="s">
        <v>68</v>
      </c>
      <c r="BE7" s="3" t="s">
        <v>178</v>
      </c>
      <c r="BF7" s="3" t="s">
        <v>177</v>
      </c>
      <c r="BG7" s="3" t="s">
        <v>179</v>
      </c>
    </row>
    <row r="8" spans="1:59" ht="72.5" x14ac:dyDescent="0.35">
      <c r="A8" s="2" t="s">
        <v>89</v>
      </c>
      <c r="B8" s="2" t="s">
        <v>90</v>
      </c>
      <c r="C8" s="2" t="s">
        <v>180</v>
      </c>
      <c r="D8" s="2" t="s">
        <v>181</v>
      </c>
      <c r="E8" s="2" t="s">
        <v>182</v>
      </c>
      <c r="F8" s="3" t="s">
        <v>183</v>
      </c>
      <c r="G8" s="3" t="s">
        <v>62</v>
      </c>
      <c r="I8" s="3" t="s">
        <v>62</v>
      </c>
      <c r="J8" s="3" t="s">
        <v>62</v>
      </c>
      <c r="K8" s="3" t="s">
        <v>63</v>
      </c>
      <c r="L8" s="2" t="s">
        <v>184</v>
      </c>
      <c r="M8" s="2" t="s">
        <v>185</v>
      </c>
      <c r="N8" s="3" t="s">
        <v>186</v>
      </c>
      <c r="P8" s="3" t="s">
        <v>64</v>
      </c>
      <c r="Q8" s="2" t="s">
        <v>187</v>
      </c>
      <c r="R8" s="3" t="s">
        <v>65</v>
      </c>
      <c r="S8" s="4">
        <v>3</v>
      </c>
      <c r="T8" s="4">
        <v>3</v>
      </c>
      <c r="U8" s="5" t="s">
        <v>188</v>
      </c>
      <c r="V8" s="5" t="s">
        <v>188</v>
      </c>
      <c r="W8" s="5" t="s">
        <v>67</v>
      </c>
      <c r="X8" s="5" t="s">
        <v>67</v>
      </c>
      <c r="Y8" s="4">
        <v>366</v>
      </c>
      <c r="Z8" s="4">
        <v>23</v>
      </c>
      <c r="AA8" s="4">
        <v>24</v>
      </c>
      <c r="AB8" s="4">
        <v>2</v>
      </c>
      <c r="AC8" s="4">
        <v>3</v>
      </c>
      <c r="AD8" s="4">
        <v>120</v>
      </c>
      <c r="AE8" s="4">
        <v>121</v>
      </c>
      <c r="AF8" s="4">
        <v>1</v>
      </c>
      <c r="AG8" s="4">
        <v>2</v>
      </c>
      <c r="AH8" s="4">
        <v>105</v>
      </c>
      <c r="AI8" s="4">
        <v>105</v>
      </c>
      <c r="AJ8" s="4">
        <v>17</v>
      </c>
      <c r="AK8" s="4">
        <v>18</v>
      </c>
      <c r="AL8" s="4">
        <v>55</v>
      </c>
      <c r="AM8" s="4">
        <v>55</v>
      </c>
      <c r="AN8" s="4">
        <v>0</v>
      </c>
      <c r="AO8" s="4">
        <v>0</v>
      </c>
      <c r="AP8" s="4">
        <v>20</v>
      </c>
      <c r="AQ8" s="4">
        <v>20</v>
      </c>
      <c r="AR8" s="3" t="s">
        <v>62</v>
      </c>
      <c r="AS8" s="3" t="s">
        <v>62</v>
      </c>
      <c r="AT8" s="3" t="s">
        <v>61</v>
      </c>
      <c r="AU8" s="6" t="str">
        <f>HYPERLINK("http://catalog.hathitrust.org/Record/000709517","HathiTrust Record")</f>
        <v>HathiTrust Record</v>
      </c>
      <c r="AV8" s="6" t="str">
        <f>HYPERLINK("http://mcgill.on.worldcat.org/oclc/1903088","Catalog Record")</f>
        <v>Catalog Record</v>
      </c>
      <c r="AW8" s="6" t="str">
        <f>HYPERLINK("http://www.worldcat.org/oclc/1903088","WorldCat Record")</f>
        <v>WorldCat Record</v>
      </c>
      <c r="AX8" s="3" t="s">
        <v>189</v>
      </c>
      <c r="AY8" s="3" t="s">
        <v>190</v>
      </c>
      <c r="AZ8" s="3" t="s">
        <v>191</v>
      </c>
      <c r="BA8" s="3" t="s">
        <v>191</v>
      </c>
      <c r="BB8" s="3" t="s">
        <v>192</v>
      </c>
      <c r="BC8" s="3" t="s">
        <v>102</v>
      </c>
      <c r="BD8" s="3" t="s">
        <v>68</v>
      </c>
      <c r="BE8" s="3" t="s">
        <v>193</v>
      </c>
      <c r="BF8" s="3" t="s">
        <v>192</v>
      </c>
      <c r="BG8" s="3" t="s">
        <v>194</v>
      </c>
    </row>
    <row r="9" spans="1:59" ht="72.5" x14ac:dyDescent="0.35">
      <c r="A9" s="2" t="s">
        <v>89</v>
      </c>
      <c r="B9" s="2" t="s">
        <v>90</v>
      </c>
      <c r="C9" s="2" t="s">
        <v>195</v>
      </c>
      <c r="D9" s="2" t="s">
        <v>196</v>
      </c>
      <c r="E9" s="2" t="s">
        <v>197</v>
      </c>
      <c r="F9" s="3" t="s">
        <v>198</v>
      </c>
      <c r="G9" s="3" t="s">
        <v>61</v>
      </c>
      <c r="I9" s="3" t="s">
        <v>62</v>
      </c>
      <c r="J9" s="3" t="s">
        <v>62</v>
      </c>
      <c r="K9" s="3" t="s">
        <v>63</v>
      </c>
      <c r="L9" s="2" t="s">
        <v>199</v>
      </c>
      <c r="M9" s="2" t="s">
        <v>200</v>
      </c>
      <c r="N9" s="3" t="s">
        <v>201</v>
      </c>
      <c r="P9" s="3" t="s">
        <v>64</v>
      </c>
      <c r="Q9" s="2" t="s">
        <v>202</v>
      </c>
      <c r="R9" s="3" t="s">
        <v>65</v>
      </c>
      <c r="S9" s="4">
        <v>10</v>
      </c>
      <c r="T9" s="4">
        <v>17</v>
      </c>
      <c r="U9" s="5" t="s">
        <v>203</v>
      </c>
      <c r="V9" s="5" t="s">
        <v>203</v>
      </c>
      <c r="W9" s="5" t="s">
        <v>67</v>
      </c>
      <c r="X9" s="5" t="s">
        <v>67</v>
      </c>
      <c r="Y9" s="4">
        <v>595</v>
      </c>
      <c r="Z9" s="4">
        <v>38</v>
      </c>
      <c r="AA9" s="4">
        <v>51</v>
      </c>
      <c r="AB9" s="4">
        <v>2</v>
      </c>
      <c r="AC9" s="4">
        <v>7</v>
      </c>
      <c r="AD9" s="4">
        <v>123</v>
      </c>
      <c r="AE9" s="4">
        <v>135</v>
      </c>
      <c r="AF9" s="4">
        <v>1</v>
      </c>
      <c r="AG9" s="4">
        <v>3</v>
      </c>
      <c r="AH9" s="4">
        <v>105</v>
      </c>
      <c r="AI9" s="4">
        <v>111</v>
      </c>
      <c r="AJ9" s="4">
        <v>18</v>
      </c>
      <c r="AK9" s="4">
        <v>23</v>
      </c>
      <c r="AL9" s="4">
        <v>55</v>
      </c>
      <c r="AM9" s="4">
        <v>59</v>
      </c>
      <c r="AN9" s="4">
        <v>0</v>
      </c>
      <c r="AO9" s="4">
        <v>0</v>
      </c>
      <c r="AP9" s="4">
        <v>25</v>
      </c>
      <c r="AQ9" s="4">
        <v>32</v>
      </c>
      <c r="AR9" s="3" t="s">
        <v>62</v>
      </c>
      <c r="AS9" s="3" t="s">
        <v>62</v>
      </c>
      <c r="AT9" s="3" t="s">
        <v>61</v>
      </c>
      <c r="AU9" s="6" t="str">
        <f>HYPERLINK("http://catalog.hathitrust.org/Record/000170979","HathiTrust Record")</f>
        <v>HathiTrust Record</v>
      </c>
      <c r="AV9" s="6" t="str">
        <f>HYPERLINK("http://mcgill.on.worldcat.org/oclc/2698253","Catalog Record")</f>
        <v>Catalog Record</v>
      </c>
      <c r="AW9" s="6" t="str">
        <f>HYPERLINK("http://www.worldcat.org/oclc/2698253","WorldCat Record")</f>
        <v>WorldCat Record</v>
      </c>
      <c r="AX9" s="3" t="s">
        <v>204</v>
      </c>
      <c r="AY9" s="3" t="s">
        <v>205</v>
      </c>
      <c r="AZ9" s="3" t="s">
        <v>206</v>
      </c>
      <c r="BA9" s="3" t="s">
        <v>206</v>
      </c>
      <c r="BB9" s="3" t="s">
        <v>207</v>
      </c>
      <c r="BC9" s="3" t="s">
        <v>102</v>
      </c>
      <c r="BD9" s="3" t="s">
        <v>68</v>
      </c>
      <c r="BE9" s="3" t="s">
        <v>208</v>
      </c>
      <c r="BF9" s="3" t="s">
        <v>207</v>
      </c>
      <c r="BG9" s="3" t="s">
        <v>209</v>
      </c>
    </row>
    <row r="10" spans="1:59" ht="72.5" x14ac:dyDescent="0.35">
      <c r="A10" s="2" t="s">
        <v>89</v>
      </c>
      <c r="B10" s="2" t="s">
        <v>90</v>
      </c>
      <c r="C10" s="2" t="s">
        <v>195</v>
      </c>
      <c r="D10" s="2" t="s">
        <v>196</v>
      </c>
      <c r="E10" s="2" t="s">
        <v>197</v>
      </c>
      <c r="F10" s="3" t="s">
        <v>210</v>
      </c>
      <c r="G10" s="3" t="s">
        <v>61</v>
      </c>
      <c r="I10" s="3" t="s">
        <v>62</v>
      </c>
      <c r="J10" s="3" t="s">
        <v>62</v>
      </c>
      <c r="K10" s="3" t="s">
        <v>63</v>
      </c>
      <c r="L10" s="2" t="s">
        <v>199</v>
      </c>
      <c r="M10" s="2" t="s">
        <v>200</v>
      </c>
      <c r="N10" s="3" t="s">
        <v>201</v>
      </c>
      <c r="P10" s="3" t="s">
        <v>64</v>
      </c>
      <c r="Q10" s="2" t="s">
        <v>202</v>
      </c>
      <c r="R10" s="3" t="s">
        <v>65</v>
      </c>
      <c r="S10" s="4">
        <v>1</v>
      </c>
      <c r="T10" s="4">
        <v>17</v>
      </c>
      <c r="U10" s="5" t="s">
        <v>211</v>
      </c>
      <c r="V10" s="5" t="s">
        <v>203</v>
      </c>
      <c r="W10" s="5" t="s">
        <v>67</v>
      </c>
      <c r="X10" s="5" t="s">
        <v>67</v>
      </c>
      <c r="Y10" s="4">
        <v>595</v>
      </c>
      <c r="Z10" s="4">
        <v>38</v>
      </c>
      <c r="AA10" s="4">
        <v>51</v>
      </c>
      <c r="AB10" s="4">
        <v>2</v>
      </c>
      <c r="AC10" s="4">
        <v>7</v>
      </c>
      <c r="AD10" s="4">
        <v>123</v>
      </c>
      <c r="AE10" s="4">
        <v>135</v>
      </c>
      <c r="AF10" s="4">
        <v>1</v>
      </c>
      <c r="AG10" s="4">
        <v>3</v>
      </c>
      <c r="AH10" s="4">
        <v>105</v>
      </c>
      <c r="AI10" s="4">
        <v>111</v>
      </c>
      <c r="AJ10" s="4">
        <v>18</v>
      </c>
      <c r="AK10" s="4">
        <v>23</v>
      </c>
      <c r="AL10" s="4">
        <v>55</v>
      </c>
      <c r="AM10" s="4">
        <v>59</v>
      </c>
      <c r="AN10" s="4">
        <v>0</v>
      </c>
      <c r="AO10" s="4">
        <v>0</v>
      </c>
      <c r="AP10" s="4">
        <v>25</v>
      </c>
      <c r="AQ10" s="4">
        <v>32</v>
      </c>
      <c r="AR10" s="3" t="s">
        <v>62</v>
      </c>
      <c r="AS10" s="3" t="s">
        <v>62</v>
      </c>
      <c r="AT10" s="3" t="s">
        <v>61</v>
      </c>
      <c r="AU10" s="6" t="str">
        <f>HYPERLINK("http://catalog.hathitrust.org/Record/000170979","HathiTrust Record")</f>
        <v>HathiTrust Record</v>
      </c>
      <c r="AV10" s="6" t="str">
        <f>HYPERLINK("http://mcgill.on.worldcat.org/oclc/2698253","Catalog Record")</f>
        <v>Catalog Record</v>
      </c>
      <c r="AW10" s="6" t="str">
        <f>HYPERLINK("http://www.worldcat.org/oclc/2698253","WorldCat Record")</f>
        <v>WorldCat Record</v>
      </c>
      <c r="AX10" s="3" t="s">
        <v>204</v>
      </c>
      <c r="AY10" s="3" t="s">
        <v>205</v>
      </c>
      <c r="AZ10" s="3" t="s">
        <v>206</v>
      </c>
      <c r="BA10" s="3" t="s">
        <v>206</v>
      </c>
      <c r="BB10" s="3" t="s">
        <v>212</v>
      </c>
      <c r="BC10" s="3" t="s">
        <v>102</v>
      </c>
      <c r="BD10" s="3" t="s">
        <v>68</v>
      </c>
      <c r="BE10" s="3" t="s">
        <v>208</v>
      </c>
      <c r="BF10" s="3" t="s">
        <v>212</v>
      </c>
      <c r="BG10" s="3" t="s">
        <v>213</v>
      </c>
    </row>
    <row r="11" spans="1:59" ht="72.5" x14ac:dyDescent="0.35">
      <c r="A11" s="2" t="s">
        <v>89</v>
      </c>
      <c r="B11" s="2" t="s">
        <v>90</v>
      </c>
      <c r="C11" s="2" t="s">
        <v>195</v>
      </c>
      <c r="D11" s="2" t="s">
        <v>196</v>
      </c>
      <c r="E11" s="2" t="s">
        <v>197</v>
      </c>
      <c r="F11" s="3" t="s">
        <v>214</v>
      </c>
      <c r="G11" s="3" t="s">
        <v>61</v>
      </c>
      <c r="I11" s="3" t="s">
        <v>62</v>
      </c>
      <c r="J11" s="3" t="s">
        <v>62</v>
      </c>
      <c r="K11" s="3" t="s">
        <v>63</v>
      </c>
      <c r="L11" s="2" t="s">
        <v>199</v>
      </c>
      <c r="M11" s="2" t="s">
        <v>200</v>
      </c>
      <c r="N11" s="3" t="s">
        <v>201</v>
      </c>
      <c r="P11" s="3" t="s">
        <v>64</v>
      </c>
      <c r="Q11" s="2" t="s">
        <v>202</v>
      </c>
      <c r="R11" s="3" t="s">
        <v>65</v>
      </c>
      <c r="S11" s="4">
        <v>6</v>
      </c>
      <c r="T11" s="4">
        <v>17</v>
      </c>
      <c r="U11" s="5" t="s">
        <v>215</v>
      </c>
      <c r="V11" s="5" t="s">
        <v>203</v>
      </c>
      <c r="W11" s="5" t="s">
        <v>67</v>
      </c>
      <c r="X11" s="5" t="s">
        <v>67</v>
      </c>
      <c r="Y11" s="4">
        <v>595</v>
      </c>
      <c r="Z11" s="4">
        <v>38</v>
      </c>
      <c r="AA11" s="4">
        <v>51</v>
      </c>
      <c r="AB11" s="4">
        <v>2</v>
      </c>
      <c r="AC11" s="4">
        <v>7</v>
      </c>
      <c r="AD11" s="4">
        <v>123</v>
      </c>
      <c r="AE11" s="4">
        <v>135</v>
      </c>
      <c r="AF11" s="4">
        <v>1</v>
      </c>
      <c r="AG11" s="4">
        <v>3</v>
      </c>
      <c r="AH11" s="4">
        <v>105</v>
      </c>
      <c r="AI11" s="4">
        <v>111</v>
      </c>
      <c r="AJ11" s="4">
        <v>18</v>
      </c>
      <c r="AK11" s="4">
        <v>23</v>
      </c>
      <c r="AL11" s="4">
        <v>55</v>
      </c>
      <c r="AM11" s="4">
        <v>59</v>
      </c>
      <c r="AN11" s="4">
        <v>0</v>
      </c>
      <c r="AO11" s="4">
        <v>0</v>
      </c>
      <c r="AP11" s="4">
        <v>25</v>
      </c>
      <c r="AQ11" s="4">
        <v>32</v>
      </c>
      <c r="AR11" s="3" t="s">
        <v>62</v>
      </c>
      <c r="AS11" s="3" t="s">
        <v>62</v>
      </c>
      <c r="AT11" s="3" t="s">
        <v>61</v>
      </c>
      <c r="AU11" s="6" t="str">
        <f>HYPERLINK("http://catalog.hathitrust.org/Record/000170979","HathiTrust Record")</f>
        <v>HathiTrust Record</v>
      </c>
      <c r="AV11" s="6" t="str">
        <f>HYPERLINK("http://mcgill.on.worldcat.org/oclc/2698253","Catalog Record")</f>
        <v>Catalog Record</v>
      </c>
      <c r="AW11" s="6" t="str">
        <f>HYPERLINK("http://www.worldcat.org/oclc/2698253","WorldCat Record")</f>
        <v>WorldCat Record</v>
      </c>
      <c r="AX11" s="3" t="s">
        <v>204</v>
      </c>
      <c r="AY11" s="3" t="s">
        <v>205</v>
      </c>
      <c r="AZ11" s="3" t="s">
        <v>206</v>
      </c>
      <c r="BA11" s="3" t="s">
        <v>206</v>
      </c>
      <c r="BB11" s="3" t="s">
        <v>216</v>
      </c>
      <c r="BC11" s="3" t="s">
        <v>102</v>
      </c>
      <c r="BD11" s="3" t="s">
        <v>68</v>
      </c>
      <c r="BE11" s="3" t="s">
        <v>208</v>
      </c>
      <c r="BF11" s="3" t="s">
        <v>216</v>
      </c>
      <c r="BG11" s="3" t="s">
        <v>217</v>
      </c>
    </row>
    <row r="12" spans="1:59" ht="116" x14ac:dyDescent="0.35">
      <c r="A12" s="2" t="s">
        <v>89</v>
      </c>
      <c r="B12" s="2" t="s">
        <v>90</v>
      </c>
      <c r="C12" s="2" t="s">
        <v>218</v>
      </c>
      <c r="D12" s="2" t="s">
        <v>219</v>
      </c>
      <c r="E12" s="2" t="s">
        <v>220</v>
      </c>
      <c r="F12" s="3" t="s">
        <v>221</v>
      </c>
      <c r="G12" s="3" t="s">
        <v>62</v>
      </c>
      <c r="I12" s="3" t="s">
        <v>62</v>
      </c>
      <c r="J12" s="3" t="s">
        <v>62</v>
      </c>
      <c r="K12" s="3" t="s">
        <v>63</v>
      </c>
      <c r="L12" s="2" t="s">
        <v>222</v>
      </c>
      <c r="M12" s="2" t="s">
        <v>223</v>
      </c>
      <c r="N12" s="3" t="s">
        <v>201</v>
      </c>
      <c r="O12" s="2" t="s">
        <v>224</v>
      </c>
      <c r="P12" s="3" t="s">
        <v>64</v>
      </c>
      <c r="Q12" s="2" t="s">
        <v>225</v>
      </c>
      <c r="R12" s="3" t="s">
        <v>65</v>
      </c>
      <c r="S12" s="4">
        <v>16</v>
      </c>
      <c r="T12" s="4">
        <v>16</v>
      </c>
      <c r="U12" s="5" t="s">
        <v>226</v>
      </c>
      <c r="V12" s="5" t="s">
        <v>226</v>
      </c>
      <c r="W12" s="5" t="s">
        <v>67</v>
      </c>
      <c r="X12" s="5" t="s">
        <v>67</v>
      </c>
      <c r="Y12" s="4">
        <v>485</v>
      </c>
      <c r="Z12" s="4">
        <v>16</v>
      </c>
      <c r="AA12" s="4">
        <v>27</v>
      </c>
      <c r="AB12" s="4">
        <v>2</v>
      </c>
      <c r="AC12" s="4">
        <v>2</v>
      </c>
      <c r="AD12" s="4">
        <v>107</v>
      </c>
      <c r="AE12" s="4">
        <v>123</v>
      </c>
      <c r="AF12" s="4">
        <v>1</v>
      </c>
      <c r="AG12" s="4">
        <v>1</v>
      </c>
      <c r="AH12" s="4">
        <v>97</v>
      </c>
      <c r="AI12" s="4">
        <v>107</v>
      </c>
      <c r="AJ12" s="4">
        <v>10</v>
      </c>
      <c r="AK12" s="4">
        <v>18</v>
      </c>
      <c r="AL12" s="4">
        <v>55</v>
      </c>
      <c r="AM12" s="4">
        <v>59</v>
      </c>
      <c r="AN12" s="4">
        <v>0</v>
      </c>
      <c r="AO12" s="4">
        <v>0</v>
      </c>
      <c r="AP12" s="4">
        <v>12</v>
      </c>
      <c r="AQ12" s="4">
        <v>21</v>
      </c>
      <c r="AR12" s="3" t="s">
        <v>62</v>
      </c>
      <c r="AS12" s="3" t="s">
        <v>62</v>
      </c>
      <c r="AT12" s="3" t="s">
        <v>61</v>
      </c>
      <c r="AU12" s="6" t="str">
        <f>HYPERLINK("http://catalog.hathitrust.org/Record/000128599","HathiTrust Record")</f>
        <v>HathiTrust Record</v>
      </c>
      <c r="AV12" s="6" t="str">
        <f>HYPERLINK("http://mcgill.on.worldcat.org/oclc/2625164","Catalog Record")</f>
        <v>Catalog Record</v>
      </c>
      <c r="AW12" s="6" t="str">
        <f>HYPERLINK("http://www.worldcat.org/oclc/2625164","WorldCat Record")</f>
        <v>WorldCat Record</v>
      </c>
      <c r="AX12" s="3" t="s">
        <v>227</v>
      </c>
      <c r="AY12" s="3" t="s">
        <v>228</v>
      </c>
      <c r="AZ12" s="3" t="s">
        <v>229</v>
      </c>
      <c r="BA12" s="3" t="s">
        <v>229</v>
      </c>
      <c r="BB12" s="3" t="s">
        <v>230</v>
      </c>
      <c r="BC12" s="3" t="s">
        <v>102</v>
      </c>
      <c r="BD12" s="3" t="s">
        <v>231</v>
      </c>
      <c r="BE12" s="3" t="s">
        <v>232</v>
      </c>
      <c r="BF12" s="3" t="s">
        <v>230</v>
      </c>
      <c r="BG12" s="3" t="s">
        <v>233</v>
      </c>
    </row>
    <row r="13" spans="1:59" ht="72.5" x14ac:dyDescent="0.35">
      <c r="A13" s="2" t="s">
        <v>89</v>
      </c>
      <c r="B13" s="2" t="s">
        <v>90</v>
      </c>
      <c r="C13" s="2" t="s">
        <v>234</v>
      </c>
      <c r="D13" s="2" t="s">
        <v>235</v>
      </c>
      <c r="E13" s="2" t="s">
        <v>236</v>
      </c>
      <c r="F13" s="3" t="s">
        <v>237</v>
      </c>
      <c r="G13" s="3" t="s">
        <v>61</v>
      </c>
      <c r="I13" s="3" t="s">
        <v>62</v>
      </c>
      <c r="J13" s="3" t="s">
        <v>62</v>
      </c>
      <c r="K13" s="3" t="s">
        <v>63</v>
      </c>
      <c r="M13" s="2" t="s">
        <v>238</v>
      </c>
      <c r="N13" s="3" t="s">
        <v>239</v>
      </c>
      <c r="P13" s="3" t="s">
        <v>64</v>
      </c>
      <c r="Q13" s="2" t="s">
        <v>240</v>
      </c>
      <c r="R13" s="3" t="s">
        <v>65</v>
      </c>
      <c r="S13" s="4">
        <v>3</v>
      </c>
      <c r="T13" s="4">
        <v>9</v>
      </c>
      <c r="U13" s="5" t="s">
        <v>241</v>
      </c>
      <c r="V13" s="5" t="s">
        <v>242</v>
      </c>
      <c r="W13" s="5" t="s">
        <v>67</v>
      </c>
      <c r="X13" s="5" t="s">
        <v>67</v>
      </c>
      <c r="Y13" s="4">
        <v>302</v>
      </c>
      <c r="Z13" s="4">
        <v>14</v>
      </c>
      <c r="AA13" s="4">
        <v>15</v>
      </c>
      <c r="AB13" s="4">
        <v>2</v>
      </c>
      <c r="AC13" s="4">
        <v>3</v>
      </c>
      <c r="AD13" s="4">
        <v>102</v>
      </c>
      <c r="AE13" s="4">
        <v>107</v>
      </c>
      <c r="AF13" s="4">
        <v>1</v>
      </c>
      <c r="AG13" s="4">
        <v>2</v>
      </c>
      <c r="AH13" s="4">
        <v>92</v>
      </c>
      <c r="AI13" s="4">
        <v>95</v>
      </c>
      <c r="AJ13" s="4">
        <v>11</v>
      </c>
      <c r="AK13" s="4">
        <v>12</v>
      </c>
      <c r="AL13" s="4">
        <v>54</v>
      </c>
      <c r="AM13" s="4">
        <v>56</v>
      </c>
      <c r="AN13" s="4">
        <v>0</v>
      </c>
      <c r="AO13" s="4">
        <v>0</v>
      </c>
      <c r="AP13" s="4">
        <v>13</v>
      </c>
      <c r="AQ13" s="4">
        <v>14</v>
      </c>
      <c r="AR13" s="3" t="s">
        <v>62</v>
      </c>
      <c r="AS13" s="3" t="s">
        <v>61</v>
      </c>
      <c r="AT13" s="3" t="s">
        <v>62</v>
      </c>
      <c r="AU13" s="6" t="str">
        <f>HYPERLINK("http://catalog.hathitrust.org/Record/001632436","HathiTrust Record")</f>
        <v>HathiTrust Record</v>
      </c>
      <c r="AV13" s="6" t="str">
        <f>HYPERLINK("http://mcgill.on.worldcat.org/oclc/1426981","Catalog Record")</f>
        <v>Catalog Record</v>
      </c>
      <c r="AW13" s="6" t="str">
        <f>HYPERLINK("http://www.worldcat.org/oclc/1426981","WorldCat Record")</f>
        <v>WorldCat Record</v>
      </c>
      <c r="AX13" s="3" t="s">
        <v>243</v>
      </c>
      <c r="AY13" s="3" t="s">
        <v>244</v>
      </c>
      <c r="AZ13" s="3" t="s">
        <v>245</v>
      </c>
      <c r="BA13" s="3" t="s">
        <v>245</v>
      </c>
      <c r="BB13" s="3" t="s">
        <v>246</v>
      </c>
      <c r="BC13" s="3" t="s">
        <v>102</v>
      </c>
      <c r="BD13" s="3" t="s">
        <v>68</v>
      </c>
      <c r="BF13" s="3" t="s">
        <v>246</v>
      </c>
      <c r="BG13" s="3" t="s">
        <v>247</v>
      </c>
    </row>
    <row r="14" spans="1:59" ht="72.5" x14ac:dyDescent="0.35">
      <c r="A14" s="2" t="s">
        <v>89</v>
      </c>
      <c r="B14" s="2" t="s">
        <v>90</v>
      </c>
      <c r="C14" s="2" t="s">
        <v>234</v>
      </c>
      <c r="D14" s="2" t="s">
        <v>235</v>
      </c>
      <c r="E14" s="2" t="s">
        <v>236</v>
      </c>
      <c r="F14" s="3" t="s">
        <v>248</v>
      </c>
      <c r="G14" s="3" t="s">
        <v>61</v>
      </c>
      <c r="I14" s="3" t="s">
        <v>62</v>
      </c>
      <c r="J14" s="3" t="s">
        <v>62</v>
      </c>
      <c r="K14" s="3" t="s">
        <v>63</v>
      </c>
      <c r="M14" s="2" t="s">
        <v>238</v>
      </c>
      <c r="N14" s="3" t="s">
        <v>239</v>
      </c>
      <c r="P14" s="3" t="s">
        <v>64</v>
      </c>
      <c r="Q14" s="2" t="s">
        <v>240</v>
      </c>
      <c r="R14" s="3" t="s">
        <v>65</v>
      </c>
      <c r="S14" s="4">
        <v>6</v>
      </c>
      <c r="T14" s="4">
        <v>9</v>
      </c>
      <c r="U14" s="5" t="s">
        <v>242</v>
      </c>
      <c r="V14" s="5" t="s">
        <v>242</v>
      </c>
      <c r="W14" s="5" t="s">
        <v>67</v>
      </c>
      <c r="X14" s="5" t="s">
        <v>67</v>
      </c>
      <c r="Y14" s="4">
        <v>302</v>
      </c>
      <c r="Z14" s="4">
        <v>14</v>
      </c>
      <c r="AA14" s="4">
        <v>15</v>
      </c>
      <c r="AB14" s="4">
        <v>2</v>
      </c>
      <c r="AC14" s="4">
        <v>3</v>
      </c>
      <c r="AD14" s="4">
        <v>102</v>
      </c>
      <c r="AE14" s="4">
        <v>107</v>
      </c>
      <c r="AF14" s="4">
        <v>1</v>
      </c>
      <c r="AG14" s="4">
        <v>2</v>
      </c>
      <c r="AH14" s="4">
        <v>92</v>
      </c>
      <c r="AI14" s="4">
        <v>95</v>
      </c>
      <c r="AJ14" s="4">
        <v>11</v>
      </c>
      <c r="AK14" s="4">
        <v>12</v>
      </c>
      <c r="AL14" s="4">
        <v>54</v>
      </c>
      <c r="AM14" s="4">
        <v>56</v>
      </c>
      <c r="AN14" s="4">
        <v>0</v>
      </c>
      <c r="AO14" s="4">
        <v>0</v>
      </c>
      <c r="AP14" s="4">
        <v>13</v>
      </c>
      <c r="AQ14" s="4">
        <v>14</v>
      </c>
      <c r="AR14" s="3" t="s">
        <v>62</v>
      </c>
      <c r="AS14" s="3" t="s">
        <v>61</v>
      </c>
      <c r="AT14" s="3" t="s">
        <v>62</v>
      </c>
      <c r="AU14" s="6" t="str">
        <f>HYPERLINK("http://catalog.hathitrust.org/Record/001632436","HathiTrust Record")</f>
        <v>HathiTrust Record</v>
      </c>
      <c r="AV14" s="6" t="str">
        <f>HYPERLINK("http://mcgill.on.worldcat.org/oclc/1426981","Catalog Record")</f>
        <v>Catalog Record</v>
      </c>
      <c r="AW14" s="6" t="str">
        <f>HYPERLINK("http://www.worldcat.org/oclc/1426981","WorldCat Record")</f>
        <v>WorldCat Record</v>
      </c>
      <c r="AX14" s="3" t="s">
        <v>243</v>
      </c>
      <c r="AY14" s="3" t="s">
        <v>244</v>
      </c>
      <c r="AZ14" s="3" t="s">
        <v>245</v>
      </c>
      <c r="BA14" s="3" t="s">
        <v>245</v>
      </c>
      <c r="BB14" s="3" t="s">
        <v>249</v>
      </c>
      <c r="BC14" s="3" t="s">
        <v>102</v>
      </c>
      <c r="BD14" s="3" t="s">
        <v>68</v>
      </c>
      <c r="BF14" s="3" t="s">
        <v>249</v>
      </c>
      <c r="BG14" s="3" t="s">
        <v>250</v>
      </c>
    </row>
    <row r="15" spans="1:59" ht="72.5" x14ac:dyDescent="0.35">
      <c r="A15" s="2" t="s">
        <v>89</v>
      </c>
      <c r="B15" s="2" t="s">
        <v>90</v>
      </c>
      <c r="C15" s="2" t="s">
        <v>251</v>
      </c>
      <c r="D15" s="2" t="s">
        <v>252</v>
      </c>
      <c r="E15" s="2" t="s">
        <v>253</v>
      </c>
      <c r="F15" s="3" t="s">
        <v>254</v>
      </c>
      <c r="G15" s="3" t="s">
        <v>62</v>
      </c>
      <c r="I15" s="3" t="s">
        <v>61</v>
      </c>
      <c r="J15" s="3" t="s">
        <v>62</v>
      </c>
      <c r="K15" s="3" t="s">
        <v>63</v>
      </c>
      <c r="L15" s="2" t="s">
        <v>255</v>
      </c>
      <c r="M15" s="2" t="s">
        <v>256</v>
      </c>
      <c r="N15" s="3" t="s">
        <v>87</v>
      </c>
      <c r="P15" s="3" t="s">
        <v>64</v>
      </c>
      <c r="Q15" s="2" t="s">
        <v>257</v>
      </c>
      <c r="R15" s="3" t="s">
        <v>65</v>
      </c>
      <c r="S15" s="4">
        <v>1</v>
      </c>
      <c r="T15" s="4">
        <v>3</v>
      </c>
      <c r="U15" s="5" t="s">
        <v>258</v>
      </c>
      <c r="V15" s="5" t="s">
        <v>258</v>
      </c>
      <c r="W15" s="5" t="s">
        <v>67</v>
      </c>
      <c r="X15" s="5" t="s">
        <v>67</v>
      </c>
      <c r="Y15" s="4">
        <v>264</v>
      </c>
      <c r="Z15" s="4">
        <v>12</v>
      </c>
      <c r="AA15" s="4">
        <v>12</v>
      </c>
      <c r="AB15" s="4">
        <v>1</v>
      </c>
      <c r="AC15" s="4">
        <v>1</v>
      </c>
      <c r="AD15" s="4">
        <v>102</v>
      </c>
      <c r="AE15" s="4">
        <v>102</v>
      </c>
      <c r="AF15" s="4">
        <v>0</v>
      </c>
      <c r="AG15" s="4">
        <v>0</v>
      </c>
      <c r="AH15" s="4">
        <v>93</v>
      </c>
      <c r="AI15" s="4">
        <v>93</v>
      </c>
      <c r="AJ15" s="4">
        <v>10</v>
      </c>
      <c r="AK15" s="4">
        <v>10</v>
      </c>
      <c r="AL15" s="4">
        <v>53</v>
      </c>
      <c r="AM15" s="4">
        <v>53</v>
      </c>
      <c r="AN15" s="4">
        <v>0</v>
      </c>
      <c r="AO15" s="4">
        <v>0</v>
      </c>
      <c r="AP15" s="4">
        <v>11</v>
      </c>
      <c r="AQ15" s="4">
        <v>11</v>
      </c>
      <c r="AR15" s="3" t="s">
        <v>62</v>
      </c>
      <c r="AS15" s="3" t="s">
        <v>62</v>
      </c>
      <c r="AT15" s="3" t="s">
        <v>61</v>
      </c>
      <c r="AU15" s="6" t="str">
        <f>HYPERLINK("http://catalog.hathitrust.org/Record/000708391","HathiTrust Record")</f>
        <v>HathiTrust Record</v>
      </c>
      <c r="AV15" s="6" t="str">
        <f>HYPERLINK("http://mcgill.on.worldcat.org/oclc/5007356","Catalog Record")</f>
        <v>Catalog Record</v>
      </c>
      <c r="AW15" s="6" t="str">
        <f>HYPERLINK("http://www.worldcat.org/oclc/5007356","WorldCat Record")</f>
        <v>WorldCat Record</v>
      </c>
      <c r="AX15" s="3" t="s">
        <v>259</v>
      </c>
      <c r="AY15" s="3" t="s">
        <v>260</v>
      </c>
      <c r="AZ15" s="3" t="s">
        <v>261</v>
      </c>
      <c r="BA15" s="3" t="s">
        <v>261</v>
      </c>
      <c r="BB15" s="3" t="s">
        <v>262</v>
      </c>
      <c r="BC15" s="3" t="s">
        <v>102</v>
      </c>
      <c r="BD15" s="3" t="s">
        <v>68</v>
      </c>
      <c r="BE15" s="3" t="s">
        <v>263</v>
      </c>
      <c r="BF15" s="3" t="s">
        <v>262</v>
      </c>
      <c r="BG15" s="3" t="s">
        <v>264</v>
      </c>
    </row>
    <row r="16" spans="1:59" ht="72.5" x14ac:dyDescent="0.35">
      <c r="A16" s="2" t="s">
        <v>89</v>
      </c>
      <c r="B16" s="2" t="s">
        <v>90</v>
      </c>
      <c r="C16" s="2" t="s">
        <v>265</v>
      </c>
      <c r="D16" s="2" t="s">
        <v>266</v>
      </c>
      <c r="E16" s="2" t="s">
        <v>267</v>
      </c>
      <c r="F16" s="3" t="s">
        <v>268</v>
      </c>
      <c r="G16" s="3" t="s">
        <v>62</v>
      </c>
      <c r="I16" s="3" t="s">
        <v>62</v>
      </c>
      <c r="J16" s="3" t="s">
        <v>62</v>
      </c>
      <c r="K16" s="3" t="s">
        <v>63</v>
      </c>
      <c r="L16" s="2" t="s">
        <v>269</v>
      </c>
      <c r="M16" s="2" t="s">
        <v>270</v>
      </c>
      <c r="N16" s="3" t="s">
        <v>87</v>
      </c>
      <c r="P16" s="3" t="s">
        <v>64</v>
      </c>
      <c r="Q16" s="2" t="s">
        <v>271</v>
      </c>
      <c r="R16" s="3" t="s">
        <v>65</v>
      </c>
      <c r="S16" s="4">
        <v>3</v>
      </c>
      <c r="T16" s="4">
        <v>3</v>
      </c>
      <c r="U16" s="5" t="s">
        <v>272</v>
      </c>
      <c r="V16" s="5" t="s">
        <v>272</v>
      </c>
      <c r="W16" s="5" t="s">
        <v>67</v>
      </c>
      <c r="X16" s="5" t="s">
        <v>67</v>
      </c>
      <c r="Y16" s="4">
        <v>296</v>
      </c>
      <c r="Z16" s="4">
        <v>18</v>
      </c>
      <c r="AA16" s="4">
        <v>18</v>
      </c>
      <c r="AB16" s="4">
        <v>1</v>
      </c>
      <c r="AC16" s="4">
        <v>1</v>
      </c>
      <c r="AD16" s="4">
        <v>109</v>
      </c>
      <c r="AE16" s="4">
        <v>109</v>
      </c>
      <c r="AF16" s="4">
        <v>0</v>
      </c>
      <c r="AG16" s="4">
        <v>0</v>
      </c>
      <c r="AH16" s="4">
        <v>98</v>
      </c>
      <c r="AI16" s="4">
        <v>98</v>
      </c>
      <c r="AJ16" s="4">
        <v>15</v>
      </c>
      <c r="AK16" s="4">
        <v>15</v>
      </c>
      <c r="AL16" s="4">
        <v>53</v>
      </c>
      <c r="AM16" s="4">
        <v>53</v>
      </c>
      <c r="AN16" s="4">
        <v>0</v>
      </c>
      <c r="AO16" s="4">
        <v>0</v>
      </c>
      <c r="AP16" s="4">
        <v>17</v>
      </c>
      <c r="AQ16" s="4">
        <v>17</v>
      </c>
      <c r="AR16" s="3" t="s">
        <v>62</v>
      </c>
      <c r="AS16" s="3" t="s">
        <v>62</v>
      </c>
      <c r="AT16" s="3" t="s">
        <v>62</v>
      </c>
      <c r="AV16" s="6" t="str">
        <f>HYPERLINK("http://mcgill.on.worldcat.org/oclc/5948603","Catalog Record")</f>
        <v>Catalog Record</v>
      </c>
      <c r="AW16" s="6" t="str">
        <f>HYPERLINK("http://www.worldcat.org/oclc/5948603","WorldCat Record")</f>
        <v>WorldCat Record</v>
      </c>
      <c r="AX16" s="3" t="s">
        <v>273</v>
      </c>
      <c r="AY16" s="3" t="s">
        <v>274</v>
      </c>
      <c r="AZ16" s="3" t="s">
        <v>275</v>
      </c>
      <c r="BA16" s="3" t="s">
        <v>275</v>
      </c>
      <c r="BB16" s="3" t="s">
        <v>276</v>
      </c>
      <c r="BC16" s="3" t="s">
        <v>102</v>
      </c>
      <c r="BD16" s="3" t="s">
        <v>68</v>
      </c>
      <c r="BE16" s="3" t="s">
        <v>277</v>
      </c>
      <c r="BF16" s="3" t="s">
        <v>276</v>
      </c>
      <c r="BG16" s="3" t="s">
        <v>278</v>
      </c>
    </row>
    <row r="17" spans="1:59" ht="72.5" x14ac:dyDescent="0.35">
      <c r="A17" s="2" t="s">
        <v>89</v>
      </c>
      <c r="B17" s="2" t="s">
        <v>90</v>
      </c>
      <c r="C17" s="2" t="s">
        <v>279</v>
      </c>
      <c r="D17" s="2" t="s">
        <v>280</v>
      </c>
      <c r="E17" s="2" t="s">
        <v>281</v>
      </c>
      <c r="F17" s="3" t="s">
        <v>282</v>
      </c>
      <c r="G17" s="3" t="s">
        <v>62</v>
      </c>
      <c r="I17" s="3" t="s">
        <v>62</v>
      </c>
      <c r="J17" s="3" t="s">
        <v>62</v>
      </c>
      <c r="K17" s="3" t="s">
        <v>63</v>
      </c>
      <c r="L17" s="2" t="s">
        <v>283</v>
      </c>
      <c r="M17" s="2" t="s">
        <v>284</v>
      </c>
      <c r="N17" s="3" t="s">
        <v>285</v>
      </c>
      <c r="P17" s="3" t="s">
        <v>64</v>
      </c>
      <c r="Q17" s="2" t="s">
        <v>286</v>
      </c>
      <c r="R17" s="3" t="s">
        <v>65</v>
      </c>
      <c r="S17" s="4">
        <v>1</v>
      </c>
      <c r="T17" s="4">
        <v>1</v>
      </c>
      <c r="U17" s="5" t="s">
        <v>287</v>
      </c>
      <c r="V17" s="5" t="s">
        <v>287</v>
      </c>
      <c r="W17" s="5" t="s">
        <v>67</v>
      </c>
      <c r="X17" s="5" t="s">
        <v>67</v>
      </c>
      <c r="Y17" s="4">
        <v>340</v>
      </c>
      <c r="Z17" s="4">
        <v>26</v>
      </c>
      <c r="AA17" s="4">
        <v>26</v>
      </c>
      <c r="AB17" s="4">
        <v>2</v>
      </c>
      <c r="AC17" s="4">
        <v>2</v>
      </c>
      <c r="AD17" s="4">
        <v>117</v>
      </c>
      <c r="AE17" s="4">
        <v>118</v>
      </c>
      <c r="AF17" s="4">
        <v>1</v>
      </c>
      <c r="AG17" s="4">
        <v>1</v>
      </c>
      <c r="AH17" s="4">
        <v>97</v>
      </c>
      <c r="AI17" s="4">
        <v>98</v>
      </c>
      <c r="AJ17" s="4">
        <v>16</v>
      </c>
      <c r="AK17" s="4">
        <v>16</v>
      </c>
      <c r="AL17" s="4">
        <v>55</v>
      </c>
      <c r="AM17" s="4">
        <v>56</v>
      </c>
      <c r="AN17" s="4">
        <v>0</v>
      </c>
      <c r="AO17" s="4">
        <v>0</v>
      </c>
      <c r="AP17" s="4">
        <v>23</v>
      </c>
      <c r="AQ17" s="4">
        <v>23</v>
      </c>
      <c r="AR17" s="3" t="s">
        <v>62</v>
      </c>
      <c r="AS17" s="3" t="s">
        <v>62</v>
      </c>
      <c r="AT17" s="3" t="s">
        <v>62</v>
      </c>
      <c r="AV17" s="6" t="str">
        <f>HYPERLINK("http://mcgill.on.worldcat.org/oclc/7272323","Catalog Record")</f>
        <v>Catalog Record</v>
      </c>
      <c r="AW17" s="6" t="str">
        <f>HYPERLINK("http://www.worldcat.org/oclc/7272323","WorldCat Record")</f>
        <v>WorldCat Record</v>
      </c>
      <c r="AX17" s="3" t="s">
        <v>288</v>
      </c>
      <c r="AY17" s="3" t="s">
        <v>289</v>
      </c>
      <c r="AZ17" s="3" t="s">
        <v>290</v>
      </c>
      <c r="BA17" s="3" t="s">
        <v>290</v>
      </c>
      <c r="BB17" s="3" t="s">
        <v>291</v>
      </c>
      <c r="BC17" s="3" t="s">
        <v>102</v>
      </c>
      <c r="BD17" s="3" t="s">
        <v>68</v>
      </c>
      <c r="BE17" s="3" t="s">
        <v>292</v>
      </c>
      <c r="BF17" s="3" t="s">
        <v>291</v>
      </c>
      <c r="BG17" s="3" t="s">
        <v>293</v>
      </c>
    </row>
    <row r="18" spans="1:59" ht="72.5" x14ac:dyDescent="0.35">
      <c r="A18" s="2" t="s">
        <v>89</v>
      </c>
      <c r="B18" s="2" t="s">
        <v>90</v>
      </c>
      <c r="C18" s="2" t="s">
        <v>294</v>
      </c>
      <c r="D18" s="2" t="s">
        <v>295</v>
      </c>
      <c r="E18" s="2" t="s">
        <v>296</v>
      </c>
      <c r="F18" s="3" t="s">
        <v>297</v>
      </c>
      <c r="G18" s="3" t="s">
        <v>62</v>
      </c>
      <c r="I18" s="3" t="s">
        <v>62</v>
      </c>
      <c r="J18" s="3" t="s">
        <v>62</v>
      </c>
      <c r="K18" s="3" t="s">
        <v>63</v>
      </c>
      <c r="L18" s="2" t="s">
        <v>298</v>
      </c>
      <c r="M18" s="2" t="s">
        <v>299</v>
      </c>
      <c r="N18" s="3" t="s">
        <v>95</v>
      </c>
      <c r="P18" s="3" t="s">
        <v>64</v>
      </c>
      <c r="Q18" s="2" t="s">
        <v>300</v>
      </c>
      <c r="R18" s="3" t="s">
        <v>65</v>
      </c>
      <c r="S18" s="4">
        <v>2</v>
      </c>
      <c r="T18" s="4">
        <v>2</v>
      </c>
      <c r="U18" s="5" t="s">
        <v>301</v>
      </c>
      <c r="V18" s="5" t="s">
        <v>301</v>
      </c>
      <c r="W18" s="5" t="s">
        <v>67</v>
      </c>
      <c r="X18" s="5" t="s">
        <v>67</v>
      </c>
      <c r="Y18" s="4">
        <v>320</v>
      </c>
      <c r="Z18" s="4">
        <v>15</v>
      </c>
      <c r="AA18" s="4">
        <v>16</v>
      </c>
      <c r="AB18" s="4">
        <v>3</v>
      </c>
      <c r="AC18" s="4">
        <v>3</v>
      </c>
      <c r="AD18" s="4">
        <v>103</v>
      </c>
      <c r="AE18" s="4">
        <v>104</v>
      </c>
      <c r="AF18" s="4">
        <v>1</v>
      </c>
      <c r="AG18" s="4">
        <v>1</v>
      </c>
      <c r="AH18" s="4">
        <v>95</v>
      </c>
      <c r="AI18" s="4">
        <v>95</v>
      </c>
      <c r="AJ18" s="4">
        <v>13</v>
      </c>
      <c r="AK18" s="4">
        <v>13</v>
      </c>
      <c r="AL18" s="4">
        <v>55</v>
      </c>
      <c r="AM18" s="4">
        <v>55</v>
      </c>
      <c r="AN18" s="4">
        <v>0</v>
      </c>
      <c r="AO18" s="4">
        <v>0</v>
      </c>
      <c r="AP18" s="4">
        <v>13</v>
      </c>
      <c r="AQ18" s="4">
        <v>14</v>
      </c>
      <c r="AR18" s="3" t="s">
        <v>62</v>
      </c>
      <c r="AS18" s="3" t="s">
        <v>62</v>
      </c>
      <c r="AT18" s="3" t="s">
        <v>62</v>
      </c>
      <c r="AV18" s="6" t="str">
        <f>HYPERLINK("http://mcgill.on.worldcat.org/oclc/10244122","Catalog Record")</f>
        <v>Catalog Record</v>
      </c>
      <c r="AW18" s="6" t="str">
        <f>HYPERLINK("http://www.worldcat.org/oclc/10244122","WorldCat Record")</f>
        <v>WorldCat Record</v>
      </c>
      <c r="AX18" s="3" t="s">
        <v>302</v>
      </c>
      <c r="AY18" s="3" t="s">
        <v>303</v>
      </c>
      <c r="AZ18" s="3" t="s">
        <v>304</v>
      </c>
      <c r="BA18" s="3" t="s">
        <v>304</v>
      </c>
      <c r="BB18" s="3" t="s">
        <v>305</v>
      </c>
      <c r="BC18" s="3" t="s">
        <v>102</v>
      </c>
      <c r="BD18" s="3" t="s">
        <v>68</v>
      </c>
      <c r="BE18" s="3" t="s">
        <v>306</v>
      </c>
      <c r="BF18" s="3" t="s">
        <v>305</v>
      </c>
      <c r="BG18" s="3" t="s">
        <v>307</v>
      </c>
    </row>
    <row r="19" spans="1:59" ht="72.5" x14ac:dyDescent="0.35">
      <c r="A19" s="2" t="s">
        <v>89</v>
      </c>
      <c r="B19" s="2" t="s">
        <v>90</v>
      </c>
      <c r="C19" s="2" t="s">
        <v>308</v>
      </c>
      <c r="D19" s="2" t="s">
        <v>309</v>
      </c>
      <c r="E19" s="2" t="s">
        <v>310</v>
      </c>
      <c r="F19" s="3" t="s">
        <v>311</v>
      </c>
      <c r="G19" s="3" t="s">
        <v>62</v>
      </c>
      <c r="I19" s="3" t="s">
        <v>61</v>
      </c>
      <c r="J19" s="3" t="s">
        <v>62</v>
      </c>
      <c r="K19" s="3" t="s">
        <v>63</v>
      </c>
      <c r="L19" s="2" t="s">
        <v>312</v>
      </c>
      <c r="M19" s="2" t="s">
        <v>299</v>
      </c>
      <c r="N19" s="3" t="s">
        <v>95</v>
      </c>
      <c r="P19" s="3" t="s">
        <v>64</v>
      </c>
      <c r="Q19" s="2" t="s">
        <v>313</v>
      </c>
      <c r="R19" s="3" t="s">
        <v>65</v>
      </c>
      <c r="S19" s="4">
        <v>2</v>
      </c>
      <c r="T19" s="4">
        <v>2</v>
      </c>
      <c r="U19" s="5" t="s">
        <v>314</v>
      </c>
      <c r="V19" s="5" t="s">
        <v>314</v>
      </c>
      <c r="W19" s="5" t="s">
        <v>67</v>
      </c>
      <c r="X19" s="5" t="s">
        <v>67</v>
      </c>
      <c r="Y19" s="4">
        <v>298</v>
      </c>
      <c r="Z19" s="4">
        <v>14</v>
      </c>
      <c r="AA19" s="4">
        <v>14</v>
      </c>
      <c r="AB19" s="4">
        <v>1</v>
      </c>
      <c r="AC19" s="4">
        <v>1</v>
      </c>
      <c r="AD19" s="4">
        <v>100</v>
      </c>
      <c r="AE19" s="4">
        <v>100</v>
      </c>
      <c r="AF19" s="4">
        <v>0</v>
      </c>
      <c r="AG19" s="4">
        <v>0</v>
      </c>
      <c r="AH19" s="4">
        <v>93</v>
      </c>
      <c r="AI19" s="4">
        <v>93</v>
      </c>
      <c r="AJ19" s="4">
        <v>11</v>
      </c>
      <c r="AK19" s="4">
        <v>11</v>
      </c>
      <c r="AL19" s="4">
        <v>52</v>
      </c>
      <c r="AM19" s="4">
        <v>52</v>
      </c>
      <c r="AN19" s="4">
        <v>0</v>
      </c>
      <c r="AO19" s="4">
        <v>0</v>
      </c>
      <c r="AP19" s="4">
        <v>12</v>
      </c>
      <c r="AQ19" s="4">
        <v>12</v>
      </c>
      <c r="AR19" s="3" t="s">
        <v>62</v>
      </c>
      <c r="AS19" s="3" t="s">
        <v>62</v>
      </c>
      <c r="AT19" s="3" t="s">
        <v>62</v>
      </c>
      <c r="AV19" s="6" t="str">
        <f>HYPERLINK("http://mcgill.on.worldcat.org/oclc/7435190","Catalog Record")</f>
        <v>Catalog Record</v>
      </c>
      <c r="AW19" s="6" t="str">
        <f>HYPERLINK("http://www.worldcat.org/oclc/7435190","WorldCat Record")</f>
        <v>WorldCat Record</v>
      </c>
      <c r="AX19" s="3" t="s">
        <v>315</v>
      </c>
      <c r="AY19" s="3" t="s">
        <v>316</v>
      </c>
      <c r="AZ19" s="3" t="s">
        <v>317</v>
      </c>
      <c r="BA19" s="3" t="s">
        <v>317</v>
      </c>
      <c r="BB19" s="3" t="s">
        <v>318</v>
      </c>
      <c r="BC19" s="3" t="s">
        <v>102</v>
      </c>
      <c r="BD19" s="3" t="s">
        <v>68</v>
      </c>
      <c r="BE19" s="3" t="s">
        <v>319</v>
      </c>
      <c r="BF19" s="3" t="s">
        <v>318</v>
      </c>
      <c r="BG19" s="3" t="s">
        <v>320</v>
      </c>
    </row>
    <row r="20" spans="1:59" ht="72.5" x14ac:dyDescent="0.35">
      <c r="A20" s="2" t="s">
        <v>89</v>
      </c>
      <c r="B20" s="2" t="s">
        <v>90</v>
      </c>
      <c r="C20" s="2" t="s">
        <v>321</v>
      </c>
      <c r="D20" s="2" t="s">
        <v>322</v>
      </c>
      <c r="E20" s="2" t="s">
        <v>323</v>
      </c>
      <c r="F20" s="3" t="s">
        <v>324</v>
      </c>
      <c r="G20" s="3" t="s">
        <v>62</v>
      </c>
      <c r="I20" s="3" t="s">
        <v>62</v>
      </c>
      <c r="J20" s="3" t="s">
        <v>62</v>
      </c>
      <c r="K20" s="3" t="s">
        <v>63</v>
      </c>
      <c r="L20" s="2" t="s">
        <v>325</v>
      </c>
      <c r="M20" s="2" t="s">
        <v>326</v>
      </c>
      <c r="N20" s="3" t="s">
        <v>327</v>
      </c>
      <c r="P20" s="3" t="s">
        <v>64</v>
      </c>
      <c r="Q20" s="2" t="s">
        <v>328</v>
      </c>
      <c r="R20" s="3" t="s">
        <v>65</v>
      </c>
      <c r="S20" s="4">
        <v>10</v>
      </c>
      <c r="T20" s="4">
        <v>10</v>
      </c>
      <c r="U20" s="5" t="s">
        <v>329</v>
      </c>
      <c r="V20" s="5" t="s">
        <v>329</v>
      </c>
      <c r="W20" s="5" t="s">
        <v>67</v>
      </c>
      <c r="X20" s="5" t="s">
        <v>67</v>
      </c>
      <c r="Y20" s="4">
        <v>277</v>
      </c>
      <c r="Z20" s="4">
        <v>19</v>
      </c>
      <c r="AA20" s="4">
        <v>19</v>
      </c>
      <c r="AB20" s="4">
        <v>2</v>
      </c>
      <c r="AC20" s="4">
        <v>2</v>
      </c>
      <c r="AD20" s="4">
        <v>104</v>
      </c>
      <c r="AE20" s="4">
        <v>104</v>
      </c>
      <c r="AF20" s="4">
        <v>1</v>
      </c>
      <c r="AG20" s="4">
        <v>1</v>
      </c>
      <c r="AH20" s="4">
        <v>94</v>
      </c>
      <c r="AI20" s="4">
        <v>94</v>
      </c>
      <c r="AJ20" s="4">
        <v>13</v>
      </c>
      <c r="AK20" s="4">
        <v>13</v>
      </c>
      <c r="AL20" s="4">
        <v>52</v>
      </c>
      <c r="AM20" s="4">
        <v>52</v>
      </c>
      <c r="AN20" s="4">
        <v>0</v>
      </c>
      <c r="AO20" s="4">
        <v>0</v>
      </c>
      <c r="AP20" s="4">
        <v>16</v>
      </c>
      <c r="AQ20" s="4">
        <v>16</v>
      </c>
      <c r="AR20" s="3" t="s">
        <v>62</v>
      </c>
      <c r="AS20" s="3" t="s">
        <v>62</v>
      </c>
      <c r="AT20" s="3" t="s">
        <v>62</v>
      </c>
      <c r="AV20" s="6" t="str">
        <f>HYPERLINK("http://mcgill.on.worldcat.org/oclc/10486417","Catalog Record")</f>
        <v>Catalog Record</v>
      </c>
      <c r="AW20" s="6" t="str">
        <f>HYPERLINK("http://www.worldcat.org/oclc/10486417","WorldCat Record")</f>
        <v>WorldCat Record</v>
      </c>
      <c r="AX20" s="3" t="s">
        <v>330</v>
      </c>
      <c r="AY20" s="3" t="s">
        <v>331</v>
      </c>
      <c r="AZ20" s="3" t="s">
        <v>332</v>
      </c>
      <c r="BA20" s="3" t="s">
        <v>332</v>
      </c>
      <c r="BB20" s="3" t="s">
        <v>333</v>
      </c>
      <c r="BC20" s="3" t="s">
        <v>102</v>
      </c>
      <c r="BD20" s="3" t="s">
        <v>68</v>
      </c>
      <c r="BE20" s="3" t="s">
        <v>334</v>
      </c>
      <c r="BF20" s="3" t="s">
        <v>333</v>
      </c>
      <c r="BG20" s="3" t="s">
        <v>335</v>
      </c>
    </row>
    <row r="21" spans="1:59" ht="72.5" x14ac:dyDescent="0.35">
      <c r="A21" s="2" t="s">
        <v>89</v>
      </c>
      <c r="B21" s="2" t="s">
        <v>90</v>
      </c>
      <c r="C21" s="2" t="s">
        <v>336</v>
      </c>
      <c r="D21" s="2" t="s">
        <v>337</v>
      </c>
      <c r="E21" s="2" t="s">
        <v>338</v>
      </c>
      <c r="F21" s="3" t="s">
        <v>339</v>
      </c>
      <c r="G21" s="3" t="s">
        <v>62</v>
      </c>
      <c r="I21" s="3" t="s">
        <v>62</v>
      </c>
      <c r="J21" s="3" t="s">
        <v>62</v>
      </c>
      <c r="K21" s="3" t="s">
        <v>63</v>
      </c>
      <c r="L21" s="2" t="s">
        <v>340</v>
      </c>
      <c r="M21" s="2" t="s">
        <v>326</v>
      </c>
      <c r="N21" s="3" t="s">
        <v>327</v>
      </c>
      <c r="P21" s="3" t="s">
        <v>64</v>
      </c>
      <c r="Q21" s="2" t="s">
        <v>341</v>
      </c>
      <c r="R21" s="3" t="s">
        <v>65</v>
      </c>
      <c r="S21" s="4">
        <v>14</v>
      </c>
      <c r="T21" s="4">
        <v>14</v>
      </c>
      <c r="U21" s="5" t="s">
        <v>342</v>
      </c>
      <c r="V21" s="5" t="s">
        <v>342</v>
      </c>
      <c r="W21" s="5" t="s">
        <v>67</v>
      </c>
      <c r="X21" s="5" t="s">
        <v>67</v>
      </c>
      <c r="Y21" s="4">
        <v>506</v>
      </c>
      <c r="Z21" s="4">
        <v>52</v>
      </c>
      <c r="AA21" s="4">
        <v>54</v>
      </c>
      <c r="AB21" s="4">
        <v>4</v>
      </c>
      <c r="AC21" s="4">
        <v>5</v>
      </c>
      <c r="AD21" s="4">
        <v>129</v>
      </c>
      <c r="AE21" s="4">
        <v>132</v>
      </c>
      <c r="AF21" s="4">
        <v>2</v>
      </c>
      <c r="AG21" s="4">
        <v>3</v>
      </c>
      <c r="AH21" s="4">
        <v>105</v>
      </c>
      <c r="AI21" s="4">
        <v>107</v>
      </c>
      <c r="AJ21" s="4">
        <v>19</v>
      </c>
      <c r="AK21" s="4">
        <v>21</v>
      </c>
      <c r="AL21" s="4">
        <v>55</v>
      </c>
      <c r="AM21" s="4">
        <v>56</v>
      </c>
      <c r="AN21" s="4">
        <v>0</v>
      </c>
      <c r="AO21" s="4">
        <v>0</v>
      </c>
      <c r="AP21" s="4">
        <v>32</v>
      </c>
      <c r="AQ21" s="4">
        <v>34</v>
      </c>
      <c r="AR21" s="3" t="s">
        <v>62</v>
      </c>
      <c r="AS21" s="3" t="s">
        <v>62</v>
      </c>
      <c r="AT21" s="3" t="s">
        <v>62</v>
      </c>
      <c r="AV21" s="6" t="str">
        <f>HYPERLINK("http://mcgill.on.worldcat.org/oclc/10061919","Catalog Record")</f>
        <v>Catalog Record</v>
      </c>
      <c r="AW21" s="6" t="str">
        <f>HYPERLINK("http://www.worldcat.org/oclc/10061919","WorldCat Record")</f>
        <v>WorldCat Record</v>
      </c>
      <c r="AX21" s="3" t="s">
        <v>343</v>
      </c>
      <c r="AY21" s="3" t="s">
        <v>344</v>
      </c>
      <c r="AZ21" s="3" t="s">
        <v>345</v>
      </c>
      <c r="BA21" s="3" t="s">
        <v>345</v>
      </c>
      <c r="BB21" s="3" t="s">
        <v>346</v>
      </c>
      <c r="BC21" s="3" t="s">
        <v>102</v>
      </c>
      <c r="BD21" s="3" t="s">
        <v>231</v>
      </c>
      <c r="BE21" s="3" t="s">
        <v>347</v>
      </c>
      <c r="BF21" s="3" t="s">
        <v>346</v>
      </c>
      <c r="BG21" s="3" t="s">
        <v>348</v>
      </c>
    </row>
    <row r="22" spans="1:59" ht="72.5" x14ac:dyDescent="0.35">
      <c r="A22" s="2" t="s">
        <v>89</v>
      </c>
      <c r="B22" s="2" t="s">
        <v>90</v>
      </c>
      <c r="C22" s="2" t="s">
        <v>349</v>
      </c>
      <c r="D22" s="2" t="s">
        <v>350</v>
      </c>
      <c r="E22" s="2" t="s">
        <v>351</v>
      </c>
      <c r="F22" s="3" t="s">
        <v>352</v>
      </c>
      <c r="G22" s="3" t="s">
        <v>62</v>
      </c>
      <c r="I22" s="3" t="s">
        <v>62</v>
      </c>
      <c r="J22" s="3" t="s">
        <v>62</v>
      </c>
      <c r="K22" s="3" t="s">
        <v>63</v>
      </c>
      <c r="L22" s="2" t="s">
        <v>353</v>
      </c>
      <c r="M22" s="2" t="s">
        <v>354</v>
      </c>
      <c r="N22" s="3" t="s">
        <v>355</v>
      </c>
      <c r="P22" s="3" t="s">
        <v>64</v>
      </c>
      <c r="Q22" s="2" t="s">
        <v>356</v>
      </c>
      <c r="R22" s="3" t="s">
        <v>65</v>
      </c>
      <c r="S22" s="4">
        <v>2</v>
      </c>
      <c r="T22" s="4">
        <v>2</v>
      </c>
      <c r="U22" s="5" t="s">
        <v>357</v>
      </c>
      <c r="V22" s="5" t="s">
        <v>357</v>
      </c>
      <c r="W22" s="5" t="s">
        <v>67</v>
      </c>
      <c r="X22" s="5" t="s">
        <v>67</v>
      </c>
      <c r="Y22" s="4">
        <v>324</v>
      </c>
      <c r="Z22" s="4">
        <v>15</v>
      </c>
      <c r="AA22" s="4">
        <v>16</v>
      </c>
      <c r="AB22" s="4">
        <v>2</v>
      </c>
      <c r="AC22" s="4">
        <v>3</v>
      </c>
      <c r="AD22" s="4">
        <v>108</v>
      </c>
      <c r="AE22" s="4">
        <v>109</v>
      </c>
      <c r="AF22" s="4">
        <v>0</v>
      </c>
      <c r="AG22" s="4">
        <v>1</v>
      </c>
      <c r="AH22" s="4">
        <v>99</v>
      </c>
      <c r="AI22" s="4">
        <v>99</v>
      </c>
      <c r="AJ22" s="4">
        <v>12</v>
      </c>
      <c r="AK22" s="4">
        <v>13</v>
      </c>
      <c r="AL22" s="4">
        <v>56</v>
      </c>
      <c r="AM22" s="4">
        <v>56</v>
      </c>
      <c r="AN22" s="4">
        <v>0</v>
      </c>
      <c r="AO22" s="4">
        <v>0</v>
      </c>
      <c r="AP22" s="4">
        <v>13</v>
      </c>
      <c r="AQ22" s="4">
        <v>13</v>
      </c>
      <c r="AR22" s="3" t="s">
        <v>62</v>
      </c>
      <c r="AS22" s="3" t="s">
        <v>62</v>
      </c>
      <c r="AT22" s="3" t="s">
        <v>61</v>
      </c>
      <c r="AU22" s="6" t="str">
        <f>HYPERLINK("http://catalog.hathitrust.org/Record/101348697","HathiTrust Record")</f>
        <v>HathiTrust Record</v>
      </c>
      <c r="AV22" s="6" t="str">
        <f>HYPERLINK("http://mcgill.on.worldcat.org/oclc/10717855","Catalog Record")</f>
        <v>Catalog Record</v>
      </c>
      <c r="AW22" s="6" t="str">
        <f>HYPERLINK("http://www.worldcat.org/oclc/10717855","WorldCat Record")</f>
        <v>WorldCat Record</v>
      </c>
      <c r="AX22" s="3" t="s">
        <v>358</v>
      </c>
      <c r="AY22" s="3" t="s">
        <v>359</v>
      </c>
      <c r="AZ22" s="3" t="s">
        <v>360</v>
      </c>
      <c r="BA22" s="3" t="s">
        <v>360</v>
      </c>
      <c r="BB22" s="3" t="s">
        <v>361</v>
      </c>
      <c r="BC22" s="3" t="s">
        <v>102</v>
      </c>
      <c r="BD22" s="3" t="s">
        <v>68</v>
      </c>
      <c r="BE22" s="3" t="s">
        <v>362</v>
      </c>
      <c r="BF22" s="3" t="s">
        <v>361</v>
      </c>
      <c r="BG22" s="3" t="s">
        <v>363</v>
      </c>
    </row>
    <row r="23" spans="1:59" ht="72.5" x14ac:dyDescent="0.35">
      <c r="A23" s="2" t="s">
        <v>89</v>
      </c>
      <c r="B23" s="2" t="s">
        <v>90</v>
      </c>
      <c r="C23" s="2" t="s">
        <v>364</v>
      </c>
      <c r="D23" s="2" t="s">
        <v>365</v>
      </c>
      <c r="E23" s="2" t="s">
        <v>366</v>
      </c>
      <c r="F23" s="3" t="s">
        <v>367</v>
      </c>
      <c r="G23" s="3" t="s">
        <v>62</v>
      </c>
      <c r="I23" s="3" t="s">
        <v>62</v>
      </c>
      <c r="J23" s="3" t="s">
        <v>62</v>
      </c>
      <c r="K23" s="3" t="s">
        <v>63</v>
      </c>
      <c r="L23" s="2" t="s">
        <v>368</v>
      </c>
      <c r="M23" s="2" t="s">
        <v>354</v>
      </c>
      <c r="N23" s="3" t="s">
        <v>355</v>
      </c>
      <c r="P23" s="3" t="s">
        <v>64</v>
      </c>
      <c r="Q23" s="2" t="s">
        <v>369</v>
      </c>
      <c r="R23" s="3" t="s">
        <v>65</v>
      </c>
      <c r="S23" s="4">
        <v>8</v>
      </c>
      <c r="T23" s="4">
        <v>8</v>
      </c>
      <c r="U23" s="5" t="s">
        <v>370</v>
      </c>
      <c r="V23" s="5" t="s">
        <v>370</v>
      </c>
      <c r="W23" s="5" t="s">
        <v>67</v>
      </c>
      <c r="X23" s="5" t="s">
        <v>67</v>
      </c>
      <c r="Y23" s="4">
        <v>426</v>
      </c>
      <c r="Z23" s="4">
        <v>25</v>
      </c>
      <c r="AA23" s="4">
        <v>25</v>
      </c>
      <c r="AB23" s="4">
        <v>2</v>
      </c>
      <c r="AC23" s="4">
        <v>2</v>
      </c>
      <c r="AD23" s="4">
        <v>111</v>
      </c>
      <c r="AE23" s="4">
        <v>112</v>
      </c>
      <c r="AF23" s="4">
        <v>1</v>
      </c>
      <c r="AG23" s="4">
        <v>1</v>
      </c>
      <c r="AH23" s="4">
        <v>98</v>
      </c>
      <c r="AI23" s="4">
        <v>99</v>
      </c>
      <c r="AJ23" s="4">
        <v>17</v>
      </c>
      <c r="AK23" s="4">
        <v>17</v>
      </c>
      <c r="AL23" s="4">
        <v>52</v>
      </c>
      <c r="AM23" s="4">
        <v>53</v>
      </c>
      <c r="AN23" s="4">
        <v>0</v>
      </c>
      <c r="AO23" s="4">
        <v>0</v>
      </c>
      <c r="AP23" s="4">
        <v>21</v>
      </c>
      <c r="AQ23" s="4">
        <v>21</v>
      </c>
      <c r="AR23" s="3" t="s">
        <v>62</v>
      </c>
      <c r="AS23" s="3" t="s">
        <v>62</v>
      </c>
      <c r="AT23" s="3" t="s">
        <v>62</v>
      </c>
      <c r="AV23" s="6" t="str">
        <f>HYPERLINK("http://mcgill.on.worldcat.org/oclc/11222054","Catalog Record")</f>
        <v>Catalog Record</v>
      </c>
      <c r="AW23" s="6" t="str">
        <f>HYPERLINK("http://www.worldcat.org/oclc/11222054","WorldCat Record")</f>
        <v>WorldCat Record</v>
      </c>
      <c r="AX23" s="3" t="s">
        <v>371</v>
      </c>
      <c r="AY23" s="3" t="s">
        <v>372</v>
      </c>
      <c r="AZ23" s="3" t="s">
        <v>373</v>
      </c>
      <c r="BA23" s="3" t="s">
        <v>373</v>
      </c>
      <c r="BB23" s="3" t="s">
        <v>374</v>
      </c>
      <c r="BC23" s="3" t="s">
        <v>102</v>
      </c>
      <c r="BD23" s="3" t="s">
        <v>68</v>
      </c>
      <c r="BE23" s="3" t="s">
        <v>375</v>
      </c>
      <c r="BF23" s="3" t="s">
        <v>374</v>
      </c>
      <c r="BG23" s="3" t="s">
        <v>376</v>
      </c>
    </row>
    <row r="24" spans="1:59" ht="72.5" x14ac:dyDescent="0.35">
      <c r="A24" s="2" t="s">
        <v>89</v>
      </c>
      <c r="B24" s="2" t="s">
        <v>90</v>
      </c>
      <c r="C24" s="2" t="s">
        <v>377</v>
      </c>
      <c r="D24" s="2" t="s">
        <v>378</v>
      </c>
      <c r="E24" s="2" t="s">
        <v>379</v>
      </c>
      <c r="F24" s="3" t="s">
        <v>380</v>
      </c>
      <c r="G24" s="3" t="s">
        <v>62</v>
      </c>
      <c r="I24" s="3" t="s">
        <v>62</v>
      </c>
      <c r="J24" s="3" t="s">
        <v>62</v>
      </c>
      <c r="K24" s="3" t="s">
        <v>63</v>
      </c>
      <c r="L24" s="2" t="s">
        <v>381</v>
      </c>
      <c r="M24" s="2" t="s">
        <v>354</v>
      </c>
      <c r="N24" s="3" t="s">
        <v>355</v>
      </c>
      <c r="P24" s="3" t="s">
        <v>64</v>
      </c>
      <c r="Q24" s="2" t="s">
        <v>382</v>
      </c>
      <c r="R24" s="3" t="s">
        <v>65</v>
      </c>
      <c r="S24" s="4">
        <v>3</v>
      </c>
      <c r="T24" s="4">
        <v>3</v>
      </c>
      <c r="U24" s="5" t="s">
        <v>383</v>
      </c>
      <c r="V24" s="5" t="s">
        <v>383</v>
      </c>
      <c r="W24" s="5" t="s">
        <v>67</v>
      </c>
      <c r="X24" s="5" t="s">
        <v>67</v>
      </c>
      <c r="Y24" s="4">
        <v>291</v>
      </c>
      <c r="Z24" s="4">
        <v>19</v>
      </c>
      <c r="AA24" s="4">
        <v>19</v>
      </c>
      <c r="AB24" s="4">
        <v>1</v>
      </c>
      <c r="AC24" s="4">
        <v>1</v>
      </c>
      <c r="AD24" s="4">
        <v>110</v>
      </c>
      <c r="AE24" s="4">
        <v>110</v>
      </c>
      <c r="AF24" s="4">
        <v>0</v>
      </c>
      <c r="AG24" s="4">
        <v>0</v>
      </c>
      <c r="AH24" s="4">
        <v>99</v>
      </c>
      <c r="AI24" s="4">
        <v>99</v>
      </c>
      <c r="AJ24" s="4">
        <v>16</v>
      </c>
      <c r="AK24" s="4">
        <v>16</v>
      </c>
      <c r="AL24" s="4">
        <v>54</v>
      </c>
      <c r="AM24" s="4">
        <v>54</v>
      </c>
      <c r="AN24" s="4">
        <v>0</v>
      </c>
      <c r="AO24" s="4">
        <v>0</v>
      </c>
      <c r="AP24" s="4">
        <v>18</v>
      </c>
      <c r="AQ24" s="4">
        <v>18</v>
      </c>
      <c r="AR24" s="3" t="s">
        <v>62</v>
      </c>
      <c r="AS24" s="3" t="s">
        <v>62</v>
      </c>
      <c r="AT24" s="3" t="s">
        <v>62</v>
      </c>
      <c r="AV24" s="6" t="str">
        <f>HYPERLINK("http://mcgill.on.worldcat.org/oclc/11409834","Catalog Record")</f>
        <v>Catalog Record</v>
      </c>
      <c r="AW24" s="6" t="str">
        <f>HYPERLINK("http://www.worldcat.org/oclc/11409834","WorldCat Record")</f>
        <v>WorldCat Record</v>
      </c>
      <c r="AX24" s="3" t="s">
        <v>384</v>
      </c>
      <c r="AY24" s="3" t="s">
        <v>385</v>
      </c>
      <c r="AZ24" s="3" t="s">
        <v>386</v>
      </c>
      <c r="BA24" s="3" t="s">
        <v>386</v>
      </c>
      <c r="BB24" s="3" t="s">
        <v>387</v>
      </c>
      <c r="BC24" s="3" t="s">
        <v>102</v>
      </c>
      <c r="BD24" s="3" t="s">
        <v>68</v>
      </c>
      <c r="BE24" s="3" t="s">
        <v>388</v>
      </c>
      <c r="BF24" s="3" t="s">
        <v>387</v>
      </c>
      <c r="BG24" s="3" t="s">
        <v>389</v>
      </c>
    </row>
    <row r="25" spans="1:59" ht="72.5" x14ac:dyDescent="0.35">
      <c r="A25" s="2" t="s">
        <v>89</v>
      </c>
      <c r="B25" s="2" t="s">
        <v>90</v>
      </c>
      <c r="C25" s="2" t="s">
        <v>390</v>
      </c>
      <c r="D25" s="2" t="s">
        <v>391</v>
      </c>
      <c r="E25" s="2" t="s">
        <v>392</v>
      </c>
      <c r="F25" s="3" t="s">
        <v>393</v>
      </c>
      <c r="G25" s="3" t="s">
        <v>62</v>
      </c>
      <c r="I25" s="3" t="s">
        <v>62</v>
      </c>
      <c r="J25" s="3" t="s">
        <v>62</v>
      </c>
      <c r="K25" s="3" t="s">
        <v>63</v>
      </c>
      <c r="L25" s="2" t="s">
        <v>394</v>
      </c>
      <c r="M25" s="2" t="s">
        <v>395</v>
      </c>
      <c r="N25" s="3" t="s">
        <v>396</v>
      </c>
      <c r="P25" s="3" t="s">
        <v>64</v>
      </c>
      <c r="Q25" s="2" t="s">
        <v>397</v>
      </c>
      <c r="R25" s="3" t="s">
        <v>65</v>
      </c>
      <c r="S25" s="4">
        <v>3</v>
      </c>
      <c r="T25" s="4">
        <v>3</v>
      </c>
      <c r="U25" s="5" t="s">
        <v>398</v>
      </c>
      <c r="V25" s="5" t="s">
        <v>398</v>
      </c>
      <c r="W25" s="5" t="s">
        <v>67</v>
      </c>
      <c r="X25" s="5" t="s">
        <v>67</v>
      </c>
      <c r="Y25" s="4">
        <v>306</v>
      </c>
      <c r="Z25" s="4">
        <v>17</v>
      </c>
      <c r="AA25" s="4">
        <v>18</v>
      </c>
      <c r="AB25" s="4">
        <v>1</v>
      </c>
      <c r="AC25" s="4">
        <v>2</v>
      </c>
      <c r="AD25" s="4">
        <v>110</v>
      </c>
      <c r="AE25" s="4">
        <v>111</v>
      </c>
      <c r="AF25" s="4">
        <v>0</v>
      </c>
      <c r="AG25" s="4">
        <v>1</v>
      </c>
      <c r="AH25" s="4">
        <v>98</v>
      </c>
      <c r="AI25" s="4">
        <v>98</v>
      </c>
      <c r="AJ25" s="4">
        <v>11</v>
      </c>
      <c r="AK25" s="4">
        <v>12</v>
      </c>
      <c r="AL25" s="4">
        <v>54</v>
      </c>
      <c r="AM25" s="4">
        <v>54</v>
      </c>
      <c r="AN25" s="4">
        <v>0</v>
      </c>
      <c r="AO25" s="4">
        <v>0</v>
      </c>
      <c r="AP25" s="4">
        <v>15</v>
      </c>
      <c r="AQ25" s="4">
        <v>15</v>
      </c>
      <c r="AR25" s="3" t="s">
        <v>62</v>
      </c>
      <c r="AS25" s="3" t="s">
        <v>62</v>
      </c>
      <c r="AT25" s="3" t="s">
        <v>62</v>
      </c>
      <c r="AV25" s="6" t="str">
        <f>HYPERLINK("http://mcgill.on.worldcat.org/oclc/11989316","Catalog Record")</f>
        <v>Catalog Record</v>
      </c>
      <c r="AW25" s="6" t="str">
        <f>HYPERLINK("http://www.worldcat.org/oclc/11989316","WorldCat Record")</f>
        <v>WorldCat Record</v>
      </c>
      <c r="AX25" s="3" t="s">
        <v>399</v>
      </c>
      <c r="AY25" s="3" t="s">
        <v>400</v>
      </c>
      <c r="AZ25" s="3" t="s">
        <v>401</v>
      </c>
      <c r="BA25" s="3" t="s">
        <v>401</v>
      </c>
      <c r="BB25" s="3" t="s">
        <v>402</v>
      </c>
      <c r="BC25" s="3" t="s">
        <v>102</v>
      </c>
      <c r="BD25" s="3" t="s">
        <v>68</v>
      </c>
      <c r="BE25" s="3" t="s">
        <v>403</v>
      </c>
      <c r="BF25" s="3" t="s">
        <v>402</v>
      </c>
      <c r="BG25" s="3" t="s">
        <v>404</v>
      </c>
    </row>
    <row r="26" spans="1:59" ht="72.5" x14ac:dyDescent="0.35">
      <c r="A26" s="2" t="s">
        <v>89</v>
      </c>
      <c r="B26" s="2" t="s">
        <v>90</v>
      </c>
      <c r="C26" s="2" t="s">
        <v>405</v>
      </c>
      <c r="D26" s="2" t="s">
        <v>406</v>
      </c>
      <c r="E26" s="2" t="s">
        <v>407</v>
      </c>
      <c r="F26" s="3" t="s">
        <v>408</v>
      </c>
      <c r="G26" s="3" t="s">
        <v>62</v>
      </c>
      <c r="I26" s="3" t="s">
        <v>62</v>
      </c>
      <c r="J26" s="3" t="s">
        <v>62</v>
      </c>
      <c r="K26" s="3" t="s">
        <v>63</v>
      </c>
      <c r="L26" s="2" t="s">
        <v>409</v>
      </c>
      <c r="M26" s="2" t="s">
        <v>395</v>
      </c>
      <c r="N26" s="3" t="s">
        <v>396</v>
      </c>
      <c r="P26" s="3" t="s">
        <v>64</v>
      </c>
      <c r="Q26" s="2" t="s">
        <v>410</v>
      </c>
      <c r="R26" s="3" t="s">
        <v>65</v>
      </c>
      <c r="S26" s="4">
        <v>1</v>
      </c>
      <c r="T26" s="4">
        <v>1</v>
      </c>
      <c r="U26" s="5" t="s">
        <v>411</v>
      </c>
      <c r="V26" s="5" t="s">
        <v>411</v>
      </c>
      <c r="W26" s="5" t="s">
        <v>67</v>
      </c>
      <c r="X26" s="5" t="s">
        <v>67</v>
      </c>
      <c r="Y26" s="4">
        <v>294</v>
      </c>
      <c r="Z26" s="4">
        <v>13</v>
      </c>
      <c r="AA26" s="4">
        <v>13</v>
      </c>
      <c r="AB26" s="4">
        <v>1</v>
      </c>
      <c r="AC26" s="4">
        <v>1</v>
      </c>
      <c r="AD26" s="4">
        <v>104</v>
      </c>
      <c r="AE26" s="4">
        <v>104</v>
      </c>
      <c r="AF26" s="4">
        <v>0</v>
      </c>
      <c r="AG26" s="4">
        <v>0</v>
      </c>
      <c r="AH26" s="4">
        <v>95</v>
      </c>
      <c r="AI26" s="4">
        <v>95</v>
      </c>
      <c r="AJ26" s="4">
        <v>10</v>
      </c>
      <c r="AK26" s="4">
        <v>10</v>
      </c>
      <c r="AL26" s="4">
        <v>53</v>
      </c>
      <c r="AM26" s="4">
        <v>53</v>
      </c>
      <c r="AN26" s="4">
        <v>0</v>
      </c>
      <c r="AO26" s="4">
        <v>0</v>
      </c>
      <c r="AP26" s="4">
        <v>12</v>
      </c>
      <c r="AQ26" s="4">
        <v>12</v>
      </c>
      <c r="AR26" s="3" t="s">
        <v>62</v>
      </c>
      <c r="AS26" s="3" t="s">
        <v>62</v>
      </c>
      <c r="AT26" s="3" t="s">
        <v>62</v>
      </c>
      <c r="AV26" s="6" t="str">
        <f>HYPERLINK("http://mcgill.on.worldcat.org/oclc/13363287","Catalog Record")</f>
        <v>Catalog Record</v>
      </c>
      <c r="AW26" s="6" t="str">
        <f>HYPERLINK("http://www.worldcat.org/oclc/13363287","WorldCat Record")</f>
        <v>WorldCat Record</v>
      </c>
      <c r="AX26" s="3" t="s">
        <v>412</v>
      </c>
      <c r="AY26" s="3" t="s">
        <v>413</v>
      </c>
      <c r="AZ26" s="3" t="s">
        <v>414</v>
      </c>
      <c r="BA26" s="3" t="s">
        <v>414</v>
      </c>
      <c r="BB26" s="3" t="s">
        <v>415</v>
      </c>
      <c r="BC26" s="3" t="s">
        <v>102</v>
      </c>
      <c r="BD26" s="3" t="s">
        <v>68</v>
      </c>
      <c r="BE26" s="3" t="s">
        <v>416</v>
      </c>
      <c r="BF26" s="3" t="s">
        <v>415</v>
      </c>
      <c r="BG26" s="3" t="s">
        <v>417</v>
      </c>
    </row>
    <row r="27" spans="1:59" ht="72.5" x14ac:dyDescent="0.35">
      <c r="A27" s="2" t="s">
        <v>89</v>
      </c>
      <c r="B27" s="2" t="s">
        <v>90</v>
      </c>
      <c r="C27" s="2" t="s">
        <v>418</v>
      </c>
      <c r="D27" s="2" t="s">
        <v>419</v>
      </c>
      <c r="E27" s="2" t="s">
        <v>420</v>
      </c>
      <c r="F27" s="3" t="s">
        <v>421</v>
      </c>
      <c r="G27" s="3" t="s">
        <v>62</v>
      </c>
      <c r="I27" s="3" t="s">
        <v>61</v>
      </c>
      <c r="J27" s="3" t="s">
        <v>62</v>
      </c>
      <c r="K27" s="3" t="s">
        <v>63</v>
      </c>
      <c r="L27" s="2" t="s">
        <v>422</v>
      </c>
      <c r="M27" s="2" t="s">
        <v>423</v>
      </c>
      <c r="N27" s="3" t="s">
        <v>424</v>
      </c>
      <c r="P27" s="3" t="s">
        <v>64</v>
      </c>
      <c r="Q27" s="2" t="s">
        <v>425</v>
      </c>
      <c r="R27" s="3" t="s">
        <v>65</v>
      </c>
      <c r="S27" s="4">
        <v>1</v>
      </c>
      <c r="T27" s="4">
        <v>1</v>
      </c>
      <c r="U27" s="5" t="s">
        <v>426</v>
      </c>
      <c r="V27" s="5" t="s">
        <v>426</v>
      </c>
      <c r="W27" s="5" t="s">
        <v>67</v>
      </c>
      <c r="X27" s="5" t="s">
        <v>67</v>
      </c>
      <c r="Y27" s="4">
        <v>190</v>
      </c>
      <c r="Z27" s="4">
        <v>11</v>
      </c>
      <c r="AA27" s="4">
        <v>15</v>
      </c>
      <c r="AB27" s="4">
        <v>1</v>
      </c>
      <c r="AC27" s="4">
        <v>1</v>
      </c>
      <c r="AD27" s="4">
        <v>79</v>
      </c>
      <c r="AE27" s="4">
        <v>107</v>
      </c>
      <c r="AF27" s="4">
        <v>0</v>
      </c>
      <c r="AG27" s="4">
        <v>0</v>
      </c>
      <c r="AH27" s="4">
        <v>76</v>
      </c>
      <c r="AI27" s="4">
        <v>102</v>
      </c>
      <c r="AJ27" s="4">
        <v>9</v>
      </c>
      <c r="AK27" s="4">
        <v>13</v>
      </c>
      <c r="AL27" s="4">
        <v>40</v>
      </c>
      <c r="AM27" s="4">
        <v>54</v>
      </c>
      <c r="AN27" s="4">
        <v>5</v>
      </c>
      <c r="AO27" s="4">
        <v>5</v>
      </c>
      <c r="AP27" s="4">
        <v>9</v>
      </c>
      <c r="AQ27" s="4">
        <v>13</v>
      </c>
      <c r="AR27" s="3" t="s">
        <v>62</v>
      </c>
      <c r="AS27" s="3" t="s">
        <v>62</v>
      </c>
      <c r="AT27" s="3" t="s">
        <v>61</v>
      </c>
      <c r="AU27" s="6" t="str">
        <f>HYPERLINK("http://catalog.hathitrust.org/Record/001071233","HathiTrust Record")</f>
        <v>HathiTrust Record</v>
      </c>
      <c r="AV27" s="6" t="str">
        <f>HYPERLINK("http://mcgill.on.worldcat.org/oclc/18763544","Catalog Record")</f>
        <v>Catalog Record</v>
      </c>
      <c r="AW27" s="6" t="str">
        <f>HYPERLINK("http://www.worldcat.org/oclc/18763544","WorldCat Record")</f>
        <v>WorldCat Record</v>
      </c>
      <c r="AX27" s="3" t="s">
        <v>427</v>
      </c>
      <c r="AY27" s="3" t="s">
        <v>428</v>
      </c>
      <c r="AZ27" s="3" t="s">
        <v>429</v>
      </c>
      <c r="BA27" s="3" t="s">
        <v>429</v>
      </c>
      <c r="BB27" s="3" t="s">
        <v>430</v>
      </c>
      <c r="BC27" s="3" t="s">
        <v>102</v>
      </c>
      <c r="BD27" s="3" t="s">
        <v>68</v>
      </c>
      <c r="BE27" s="3" t="s">
        <v>431</v>
      </c>
      <c r="BF27" s="3" t="s">
        <v>430</v>
      </c>
      <c r="BG27" s="3" t="s">
        <v>432</v>
      </c>
    </row>
    <row r="28" spans="1:59" ht="72.5" x14ac:dyDescent="0.35">
      <c r="A28" s="2" t="s">
        <v>89</v>
      </c>
      <c r="B28" s="2" t="s">
        <v>90</v>
      </c>
      <c r="C28" s="2" t="s">
        <v>433</v>
      </c>
      <c r="D28" s="2" t="s">
        <v>434</v>
      </c>
      <c r="E28" s="2" t="s">
        <v>435</v>
      </c>
      <c r="F28" s="3" t="s">
        <v>436</v>
      </c>
      <c r="G28" s="3" t="s">
        <v>62</v>
      </c>
      <c r="I28" s="3" t="s">
        <v>62</v>
      </c>
      <c r="J28" s="3" t="s">
        <v>62</v>
      </c>
      <c r="K28" s="3" t="s">
        <v>63</v>
      </c>
      <c r="M28" s="2" t="s">
        <v>437</v>
      </c>
      <c r="N28" s="3" t="s">
        <v>438</v>
      </c>
      <c r="P28" s="3" t="s">
        <v>64</v>
      </c>
      <c r="Q28" s="2" t="s">
        <v>439</v>
      </c>
      <c r="R28" s="3" t="s">
        <v>65</v>
      </c>
      <c r="S28" s="4">
        <v>27</v>
      </c>
      <c r="T28" s="4">
        <v>27</v>
      </c>
      <c r="U28" s="5" t="s">
        <v>440</v>
      </c>
      <c r="V28" s="5" t="s">
        <v>440</v>
      </c>
      <c r="W28" s="5" t="s">
        <v>67</v>
      </c>
      <c r="X28" s="5" t="s">
        <v>67</v>
      </c>
      <c r="Y28" s="4">
        <v>334</v>
      </c>
      <c r="Z28" s="4">
        <v>18</v>
      </c>
      <c r="AA28" s="4">
        <v>19</v>
      </c>
      <c r="AB28" s="4">
        <v>2</v>
      </c>
      <c r="AC28" s="4">
        <v>3</v>
      </c>
      <c r="AD28" s="4">
        <v>114</v>
      </c>
      <c r="AE28" s="4">
        <v>115</v>
      </c>
      <c r="AF28" s="4">
        <v>0</v>
      </c>
      <c r="AG28" s="4">
        <v>1</v>
      </c>
      <c r="AH28" s="4">
        <v>104</v>
      </c>
      <c r="AI28" s="4">
        <v>104</v>
      </c>
      <c r="AJ28" s="4">
        <v>13</v>
      </c>
      <c r="AK28" s="4">
        <v>14</v>
      </c>
      <c r="AL28" s="4">
        <v>57</v>
      </c>
      <c r="AM28" s="4">
        <v>57</v>
      </c>
      <c r="AN28" s="4">
        <v>5</v>
      </c>
      <c r="AO28" s="4">
        <v>5</v>
      </c>
      <c r="AP28" s="4">
        <v>13</v>
      </c>
      <c r="AQ28" s="4">
        <v>13</v>
      </c>
      <c r="AR28" s="3" t="s">
        <v>62</v>
      </c>
      <c r="AS28" s="3" t="s">
        <v>62</v>
      </c>
      <c r="AT28" s="3" t="s">
        <v>61</v>
      </c>
      <c r="AU28" s="6" t="str">
        <f>HYPERLINK("http://catalog.hathitrust.org/Record/002602234","HathiTrust Record")</f>
        <v>HathiTrust Record</v>
      </c>
      <c r="AV28" s="6" t="str">
        <f>HYPERLINK("http://mcgill.on.worldcat.org/oclc/22746801","Catalog Record")</f>
        <v>Catalog Record</v>
      </c>
      <c r="AW28" s="6" t="str">
        <f>HYPERLINK("http://www.worldcat.org/oclc/22746801","WorldCat Record")</f>
        <v>WorldCat Record</v>
      </c>
      <c r="AX28" s="3" t="s">
        <v>441</v>
      </c>
      <c r="AY28" s="3" t="s">
        <v>442</v>
      </c>
      <c r="AZ28" s="3" t="s">
        <v>443</v>
      </c>
      <c r="BA28" s="3" t="s">
        <v>443</v>
      </c>
      <c r="BB28" s="3" t="s">
        <v>444</v>
      </c>
      <c r="BC28" s="3" t="s">
        <v>102</v>
      </c>
      <c r="BD28" s="3" t="s">
        <v>68</v>
      </c>
      <c r="BE28" s="3" t="s">
        <v>445</v>
      </c>
      <c r="BF28" s="3" t="s">
        <v>444</v>
      </c>
      <c r="BG28" s="3" t="s">
        <v>446</v>
      </c>
    </row>
    <row r="29" spans="1:59" ht="72.5" x14ac:dyDescent="0.35">
      <c r="A29" s="2" t="s">
        <v>89</v>
      </c>
      <c r="B29" s="2" t="s">
        <v>90</v>
      </c>
      <c r="C29" s="2" t="s">
        <v>447</v>
      </c>
      <c r="D29" s="2" t="s">
        <v>448</v>
      </c>
      <c r="E29" s="2" t="s">
        <v>449</v>
      </c>
      <c r="F29" s="3" t="s">
        <v>450</v>
      </c>
      <c r="G29" s="3" t="s">
        <v>62</v>
      </c>
      <c r="I29" s="3" t="s">
        <v>62</v>
      </c>
      <c r="J29" s="3" t="s">
        <v>62</v>
      </c>
      <c r="K29" s="3" t="s">
        <v>63</v>
      </c>
      <c r="L29" s="2" t="s">
        <v>451</v>
      </c>
      <c r="M29" s="2" t="s">
        <v>452</v>
      </c>
      <c r="N29" s="3" t="s">
        <v>438</v>
      </c>
      <c r="P29" s="3" t="s">
        <v>64</v>
      </c>
      <c r="Q29" s="2" t="s">
        <v>453</v>
      </c>
      <c r="R29" s="3" t="s">
        <v>65</v>
      </c>
      <c r="S29" s="4">
        <v>1</v>
      </c>
      <c r="T29" s="4">
        <v>1</v>
      </c>
      <c r="U29" s="5" t="s">
        <v>454</v>
      </c>
      <c r="V29" s="5" t="s">
        <v>454</v>
      </c>
      <c r="W29" s="5" t="s">
        <v>67</v>
      </c>
      <c r="X29" s="5" t="s">
        <v>67</v>
      </c>
      <c r="Y29" s="4">
        <v>256</v>
      </c>
      <c r="Z29" s="4">
        <v>10</v>
      </c>
      <c r="AA29" s="4">
        <v>10</v>
      </c>
      <c r="AB29" s="4">
        <v>1</v>
      </c>
      <c r="AC29" s="4">
        <v>1</v>
      </c>
      <c r="AD29" s="4">
        <v>98</v>
      </c>
      <c r="AE29" s="4">
        <v>98</v>
      </c>
      <c r="AF29" s="4">
        <v>0</v>
      </c>
      <c r="AG29" s="4">
        <v>0</v>
      </c>
      <c r="AH29" s="4">
        <v>90</v>
      </c>
      <c r="AI29" s="4">
        <v>90</v>
      </c>
      <c r="AJ29" s="4">
        <v>8</v>
      </c>
      <c r="AK29" s="4">
        <v>8</v>
      </c>
      <c r="AL29" s="4">
        <v>53</v>
      </c>
      <c r="AM29" s="4">
        <v>53</v>
      </c>
      <c r="AN29" s="4">
        <v>0</v>
      </c>
      <c r="AO29" s="4">
        <v>0</v>
      </c>
      <c r="AP29" s="4">
        <v>9</v>
      </c>
      <c r="AQ29" s="4">
        <v>9</v>
      </c>
      <c r="AR29" s="3" t="s">
        <v>62</v>
      </c>
      <c r="AS29" s="3" t="s">
        <v>62</v>
      </c>
      <c r="AT29" s="3" t="s">
        <v>62</v>
      </c>
      <c r="AV29" s="6" t="str">
        <f>HYPERLINK("http://mcgill.on.worldcat.org/oclc/21732121","Catalog Record")</f>
        <v>Catalog Record</v>
      </c>
      <c r="AW29" s="6" t="str">
        <f>HYPERLINK("http://www.worldcat.org/oclc/21732121","WorldCat Record")</f>
        <v>WorldCat Record</v>
      </c>
      <c r="AX29" s="3" t="s">
        <v>455</v>
      </c>
      <c r="AY29" s="3" t="s">
        <v>456</v>
      </c>
      <c r="AZ29" s="3" t="s">
        <v>457</v>
      </c>
      <c r="BA29" s="3" t="s">
        <v>457</v>
      </c>
      <c r="BB29" s="3" t="s">
        <v>458</v>
      </c>
      <c r="BC29" s="3" t="s">
        <v>102</v>
      </c>
      <c r="BD29" s="3" t="s">
        <v>68</v>
      </c>
      <c r="BE29" s="3" t="s">
        <v>459</v>
      </c>
      <c r="BF29" s="3" t="s">
        <v>458</v>
      </c>
      <c r="BG29" s="3" t="s">
        <v>460</v>
      </c>
    </row>
    <row r="30" spans="1:59" ht="72.5" x14ac:dyDescent="0.35">
      <c r="A30" s="2" t="s">
        <v>89</v>
      </c>
      <c r="B30" s="2" t="s">
        <v>90</v>
      </c>
      <c r="C30" s="2" t="s">
        <v>461</v>
      </c>
      <c r="D30" s="2" t="s">
        <v>462</v>
      </c>
      <c r="E30" s="2" t="s">
        <v>463</v>
      </c>
      <c r="F30" s="3" t="s">
        <v>464</v>
      </c>
      <c r="G30" s="3" t="s">
        <v>62</v>
      </c>
      <c r="I30" s="3" t="s">
        <v>62</v>
      </c>
      <c r="J30" s="3" t="s">
        <v>62</v>
      </c>
      <c r="K30" s="3" t="s">
        <v>63</v>
      </c>
      <c r="L30" s="2" t="s">
        <v>199</v>
      </c>
      <c r="M30" s="2" t="s">
        <v>465</v>
      </c>
      <c r="N30" s="3" t="s">
        <v>466</v>
      </c>
      <c r="P30" s="3" t="s">
        <v>64</v>
      </c>
      <c r="Q30" s="2" t="s">
        <v>467</v>
      </c>
      <c r="R30" s="3" t="s">
        <v>65</v>
      </c>
      <c r="S30" s="4">
        <v>8</v>
      </c>
      <c r="T30" s="4">
        <v>8</v>
      </c>
      <c r="U30" s="5" t="s">
        <v>468</v>
      </c>
      <c r="V30" s="5" t="s">
        <v>468</v>
      </c>
      <c r="W30" s="5" t="s">
        <v>67</v>
      </c>
      <c r="X30" s="5" t="s">
        <v>67</v>
      </c>
      <c r="Y30" s="4">
        <v>282</v>
      </c>
      <c r="Z30" s="4">
        <v>15</v>
      </c>
      <c r="AA30" s="4">
        <v>15</v>
      </c>
      <c r="AB30" s="4">
        <v>1</v>
      </c>
      <c r="AC30" s="4">
        <v>1</v>
      </c>
      <c r="AD30" s="4">
        <v>98</v>
      </c>
      <c r="AE30" s="4">
        <v>98</v>
      </c>
      <c r="AF30" s="4">
        <v>0</v>
      </c>
      <c r="AG30" s="4">
        <v>0</v>
      </c>
      <c r="AH30" s="4">
        <v>92</v>
      </c>
      <c r="AI30" s="4">
        <v>92</v>
      </c>
      <c r="AJ30" s="4">
        <v>13</v>
      </c>
      <c r="AK30" s="4">
        <v>13</v>
      </c>
      <c r="AL30" s="4">
        <v>53</v>
      </c>
      <c r="AM30" s="4">
        <v>53</v>
      </c>
      <c r="AN30" s="4">
        <v>0</v>
      </c>
      <c r="AO30" s="4">
        <v>0</v>
      </c>
      <c r="AP30" s="4">
        <v>13</v>
      </c>
      <c r="AQ30" s="4">
        <v>13</v>
      </c>
      <c r="AR30" s="3" t="s">
        <v>62</v>
      </c>
      <c r="AS30" s="3" t="s">
        <v>62</v>
      </c>
      <c r="AT30" s="3" t="s">
        <v>62</v>
      </c>
      <c r="AV30" s="6" t="str">
        <f>HYPERLINK("http://mcgill.on.worldcat.org/oclc/25921109","Catalog Record")</f>
        <v>Catalog Record</v>
      </c>
      <c r="AW30" s="6" t="str">
        <f>HYPERLINK("http://www.worldcat.org/oclc/25921109","WorldCat Record")</f>
        <v>WorldCat Record</v>
      </c>
      <c r="AX30" s="3" t="s">
        <v>469</v>
      </c>
      <c r="AY30" s="3" t="s">
        <v>470</v>
      </c>
      <c r="AZ30" s="3" t="s">
        <v>471</v>
      </c>
      <c r="BA30" s="3" t="s">
        <v>471</v>
      </c>
      <c r="BB30" s="3" t="s">
        <v>472</v>
      </c>
      <c r="BC30" s="3" t="s">
        <v>102</v>
      </c>
      <c r="BD30" s="3" t="s">
        <v>68</v>
      </c>
      <c r="BE30" s="3" t="s">
        <v>473</v>
      </c>
      <c r="BF30" s="3" t="s">
        <v>472</v>
      </c>
      <c r="BG30" s="3" t="s">
        <v>474</v>
      </c>
    </row>
    <row r="31" spans="1:59" ht="72.5" x14ac:dyDescent="0.35">
      <c r="A31" s="2" t="s">
        <v>89</v>
      </c>
      <c r="B31" s="2" t="s">
        <v>90</v>
      </c>
      <c r="C31" s="2" t="s">
        <v>475</v>
      </c>
      <c r="D31" s="2" t="s">
        <v>476</v>
      </c>
      <c r="E31" s="2" t="s">
        <v>477</v>
      </c>
      <c r="F31" s="3" t="s">
        <v>478</v>
      </c>
      <c r="G31" s="3" t="s">
        <v>62</v>
      </c>
      <c r="I31" s="3" t="s">
        <v>62</v>
      </c>
      <c r="J31" s="3" t="s">
        <v>62</v>
      </c>
      <c r="K31" s="3" t="s">
        <v>63</v>
      </c>
      <c r="L31" s="2" t="s">
        <v>479</v>
      </c>
      <c r="M31" s="2" t="s">
        <v>480</v>
      </c>
      <c r="N31" s="3" t="s">
        <v>481</v>
      </c>
      <c r="P31" s="3" t="s">
        <v>64</v>
      </c>
      <c r="Q31" s="2" t="s">
        <v>482</v>
      </c>
      <c r="R31" s="3" t="s">
        <v>65</v>
      </c>
      <c r="S31" s="4">
        <v>34</v>
      </c>
      <c r="T31" s="4">
        <v>34</v>
      </c>
      <c r="U31" s="5" t="s">
        <v>483</v>
      </c>
      <c r="V31" s="5" t="s">
        <v>483</v>
      </c>
      <c r="W31" s="5" t="s">
        <v>67</v>
      </c>
      <c r="X31" s="5" t="s">
        <v>67</v>
      </c>
      <c r="Y31" s="4">
        <v>290</v>
      </c>
      <c r="Z31" s="4">
        <v>22</v>
      </c>
      <c r="AA31" s="4">
        <v>25</v>
      </c>
      <c r="AB31" s="4">
        <v>1</v>
      </c>
      <c r="AC31" s="4">
        <v>4</v>
      </c>
      <c r="AD31" s="4">
        <v>102</v>
      </c>
      <c r="AE31" s="4">
        <v>104</v>
      </c>
      <c r="AF31" s="4">
        <v>0</v>
      </c>
      <c r="AG31" s="4">
        <v>2</v>
      </c>
      <c r="AH31" s="4">
        <v>91</v>
      </c>
      <c r="AI31" s="4">
        <v>92</v>
      </c>
      <c r="AJ31" s="4">
        <v>11</v>
      </c>
      <c r="AK31" s="4">
        <v>13</v>
      </c>
      <c r="AL31" s="4">
        <v>54</v>
      </c>
      <c r="AM31" s="4">
        <v>54</v>
      </c>
      <c r="AN31" s="4">
        <v>0</v>
      </c>
      <c r="AO31" s="4">
        <v>0</v>
      </c>
      <c r="AP31" s="4">
        <v>14</v>
      </c>
      <c r="AQ31" s="4">
        <v>16</v>
      </c>
      <c r="AR31" s="3" t="s">
        <v>62</v>
      </c>
      <c r="AS31" s="3" t="s">
        <v>62</v>
      </c>
      <c r="AT31" s="3" t="s">
        <v>62</v>
      </c>
      <c r="AV31" s="6" t="str">
        <f>HYPERLINK("http://mcgill.on.worldcat.org/oclc/36826094","Catalog Record")</f>
        <v>Catalog Record</v>
      </c>
      <c r="AW31" s="6" t="str">
        <f>HYPERLINK("http://www.worldcat.org/oclc/36826094","WorldCat Record")</f>
        <v>WorldCat Record</v>
      </c>
      <c r="AX31" s="3" t="s">
        <v>484</v>
      </c>
      <c r="AY31" s="3" t="s">
        <v>485</v>
      </c>
      <c r="AZ31" s="3" t="s">
        <v>486</v>
      </c>
      <c r="BA31" s="3" t="s">
        <v>486</v>
      </c>
      <c r="BB31" s="3" t="s">
        <v>487</v>
      </c>
      <c r="BC31" s="3" t="s">
        <v>102</v>
      </c>
      <c r="BD31" s="3" t="s">
        <v>68</v>
      </c>
      <c r="BE31" s="3" t="s">
        <v>488</v>
      </c>
      <c r="BF31" s="3" t="s">
        <v>487</v>
      </c>
      <c r="BG31" s="3" t="s">
        <v>489</v>
      </c>
    </row>
    <row r="32" spans="1:59" ht="72.5" x14ac:dyDescent="0.35">
      <c r="A32" s="2" t="s">
        <v>89</v>
      </c>
      <c r="B32" s="2" t="s">
        <v>90</v>
      </c>
      <c r="C32" s="2" t="s">
        <v>490</v>
      </c>
      <c r="D32" s="2" t="s">
        <v>491</v>
      </c>
      <c r="E32" s="2" t="s">
        <v>492</v>
      </c>
      <c r="F32" s="3" t="s">
        <v>493</v>
      </c>
      <c r="G32" s="3" t="s">
        <v>62</v>
      </c>
      <c r="I32" s="3" t="s">
        <v>62</v>
      </c>
      <c r="J32" s="3" t="s">
        <v>62</v>
      </c>
      <c r="K32" s="3" t="s">
        <v>63</v>
      </c>
      <c r="L32" s="2" t="s">
        <v>494</v>
      </c>
      <c r="M32" s="2" t="s">
        <v>495</v>
      </c>
      <c r="N32" s="3" t="s">
        <v>496</v>
      </c>
      <c r="P32" s="3" t="s">
        <v>64</v>
      </c>
      <c r="Q32" s="2" t="s">
        <v>497</v>
      </c>
      <c r="R32" s="3" t="s">
        <v>65</v>
      </c>
      <c r="S32" s="4">
        <v>14</v>
      </c>
      <c r="T32" s="4">
        <v>14</v>
      </c>
      <c r="U32" s="5" t="s">
        <v>498</v>
      </c>
      <c r="V32" s="5" t="s">
        <v>498</v>
      </c>
      <c r="W32" s="5" t="s">
        <v>67</v>
      </c>
      <c r="X32" s="5" t="s">
        <v>67</v>
      </c>
      <c r="Y32" s="4">
        <v>293</v>
      </c>
      <c r="Z32" s="4">
        <v>9</v>
      </c>
      <c r="AA32" s="4">
        <v>14</v>
      </c>
      <c r="AB32" s="4">
        <v>1</v>
      </c>
      <c r="AC32" s="4">
        <v>4</v>
      </c>
      <c r="AD32" s="4">
        <v>80</v>
      </c>
      <c r="AE32" s="4">
        <v>86</v>
      </c>
      <c r="AF32" s="4">
        <v>0</v>
      </c>
      <c r="AG32" s="4">
        <v>2</v>
      </c>
      <c r="AH32" s="4">
        <v>73</v>
      </c>
      <c r="AI32" s="4">
        <v>78</v>
      </c>
      <c r="AJ32" s="4">
        <v>6</v>
      </c>
      <c r="AK32" s="4">
        <v>10</v>
      </c>
      <c r="AL32" s="4">
        <v>50</v>
      </c>
      <c r="AM32" s="4">
        <v>50</v>
      </c>
      <c r="AN32" s="4">
        <v>0</v>
      </c>
      <c r="AO32" s="4">
        <v>0</v>
      </c>
      <c r="AP32" s="4">
        <v>7</v>
      </c>
      <c r="AQ32" s="4">
        <v>10</v>
      </c>
      <c r="AR32" s="3" t="s">
        <v>62</v>
      </c>
      <c r="AS32" s="3" t="s">
        <v>61</v>
      </c>
      <c r="AT32" s="3" t="s">
        <v>61</v>
      </c>
      <c r="AU32" s="6" t="str">
        <f>HYPERLINK("http://catalog.hathitrust.org/Record/000981985","HathiTrust Record")</f>
        <v>HathiTrust Record</v>
      </c>
      <c r="AV32" s="6" t="str">
        <f>HYPERLINK("http://mcgill.on.worldcat.org/oclc/523018","Catalog Record")</f>
        <v>Catalog Record</v>
      </c>
      <c r="AW32" s="6" t="str">
        <f>HYPERLINK("http://www.worldcat.org/oclc/523018","WorldCat Record")</f>
        <v>WorldCat Record</v>
      </c>
      <c r="AX32" s="3" t="s">
        <v>499</v>
      </c>
      <c r="AY32" s="3" t="s">
        <v>500</v>
      </c>
      <c r="AZ32" s="3" t="s">
        <v>501</v>
      </c>
      <c r="BA32" s="3" t="s">
        <v>501</v>
      </c>
      <c r="BB32" s="3" t="s">
        <v>502</v>
      </c>
      <c r="BC32" s="3" t="s">
        <v>102</v>
      </c>
      <c r="BD32" s="3" t="s">
        <v>68</v>
      </c>
      <c r="BF32" s="3" t="s">
        <v>502</v>
      </c>
      <c r="BG32" s="3" t="s">
        <v>503</v>
      </c>
    </row>
    <row r="33" spans="1:59" ht="72.5" x14ac:dyDescent="0.35">
      <c r="A33" s="2" t="s">
        <v>89</v>
      </c>
      <c r="B33" s="2" t="s">
        <v>90</v>
      </c>
      <c r="C33" s="2" t="s">
        <v>504</v>
      </c>
      <c r="D33" s="2" t="s">
        <v>505</v>
      </c>
      <c r="E33" s="2" t="s">
        <v>506</v>
      </c>
      <c r="F33" s="3" t="s">
        <v>507</v>
      </c>
      <c r="G33" s="3" t="s">
        <v>62</v>
      </c>
      <c r="I33" s="3" t="s">
        <v>62</v>
      </c>
      <c r="J33" s="3" t="s">
        <v>62</v>
      </c>
      <c r="K33" s="3" t="s">
        <v>63</v>
      </c>
      <c r="M33" s="2" t="s">
        <v>508</v>
      </c>
      <c r="N33" s="3" t="s">
        <v>509</v>
      </c>
      <c r="P33" s="3" t="s">
        <v>64</v>
      </c>
      <c r="Q33" s="2" t="s">
        <v>510</v>
      </c>
      <c r="R33" s="3" t="s">
        <v>65</v>
      </c>
      <c r="S33" s="4">
        <v>2</v>
      </c>
      <c r="T33" s="4">
        <v>2</v>
      </c>
      <c r="U33" s="5" t="s">
        <v>511</v>
      </c>
      <c r="V33" s="5" t="s">
        <v>511</v>
      </c>
      <c r="W33" s="5" t="s">
        <v>67</v>
      </c>
      <c r="X33" s="5" t="s">
        <v>67</v>
      </c>
      <c r="Y33" s="4">
        <v>264</v>
      </c>
      <c r="Z33" s="4">
        <v>14</v>
      </c>
      <c r="AA33" s="4">
        <v>14</v>
      </c>
      <c r="AB33" s="4">
        <v>1</v>
      </c>
      <c r="AC33" s="4">
        <v>1</v>
      </c>
      <c r="AD33" s="4">
        <v>102</v>
      </c>
      <c r="AE33" s="4">
        <v>102</v>
      </c>
      <c r="AF33" s="4">
        <v>0</v>
      </c>
      <c r="AG33" s="4">
        <v>0</v>
      </c>
      <c r="AH33" s="4">
        <v>93</v>
      </c>
      <c r="AI33" s="4">
        <v>93</v>
      </c>
      <c r="AJ33" s="4">
        <v>11</v>
      </c>
      <c r="AK33" s="4">
        <v>11</v>
      </c>
      <c r="AL33" s="4">
        <v>54</v>
      </c>
      <c r="AM33" s="4">
        <v>54</v>
      </c>
      <c r="AN33" s="4">
        <v>0</v>
      </c>
      <c r="AO33" s="4">
        <v>0</v>
      </c>
      <c r="AP33" s="4">
        <v>13</v>
      </c>
      <c r="AQ33" s="4">
        <v>13</v>
      </c>
      <c r="AR33" s="3" t="s">
        <v>62</v>
      </c>
      <c r="AS33" s="3" t="s">
        <v>62</v>
      </c>
      <c r="AT33" s="3" t="s">
        <v>62</v>
      </c>
      <c r="AV33" s="6" t="str">
        <f>HYPERLINK("http://mcgill.on.worldcat.org/oclc/30846171","Catalog Record")</f>
        <v>Catalog Record</v>
      </c>
      <c r="AW33" s="6" t="str">
        <f>HYPERLINK("http://www.worldcat.org/oclc/30846171","WorldCat Record")</f>
        <v>WorldCat Record</v>
      </c>
      <c r="AX33" s="3" t="s">
        <v>512</v>
      </c>
      <c r="AY33" s="3" t="s">
        <v>513</v>
      </c>
      <c r="AZ33" s="3" t="s">
        <v>514</v>
      </c>
      <c r="BA33" s="3" t="s">
        <v>514</v>
      </c>
      <c r="BB33" s="3" t="s">
        <v>515</v>
      </c>
      <c r="BC33" s="3" t="s">
        <v>102</v>
      </c>
      <c r="BD33" s="3" t="s">
        <v>68</v>
      </c>
      <c r="BE33" s="3" t="s">
        <v>516</v>
      </c>
      <c r="BF33" s="3" t="s">
        <v>515</v>
      </c>
      <c r="BG33" s="3" t="s">
        <v>517</v>
      </c>
    </row>
    <row r="34" spans="1:59" ht="72.5" x14ac:dyDescent="0.35">
      <c r="A34" s="2" t="s">
        <v>89</v>
      </c>
      <c r="B34" s="2" t="s">
        <v>90</v>
      </c>
      <c r="C34" s="2" t="s">
        <v>518</v>
      </c>
      <c r="D34" s="2" t="s">
        <v>519</v>
      </c>
      <c r="E34" s="2" t="s">
        <v>520</v>
      </c>
      <c r="F34" s="3" t="s">
        <v>521</v>
      </c>
      <c r="G34" s="3" t="s">
        <v>62</v>
      </c>
      <c r="I34" s="3" t="s">
        <v>62</v>
      </c>
      <c r="J34" s="3" t="s">
        <v>62</v>
      </c>
      <c r="K34" s="3" t="s">
        <v>63</v>
      </c>
      <c r="L34" s="2" t="s">
        <v>522</v>
      </c>
      <c r="M34" s="2" t="s">
        <v>523</v>
      </c>
      <c r="N34" s="3" t="s">
        <v>524</v>
      </c>
      <c r="P34" s="3" t="s">
        <v>64</v>
      </c>
      <c r="Q34" s="2" t="s">
        <v>525</v>
      </c>
      <c r="R34" s="3" t="s">
        <v>65</v>
      </c>
      <c r="S34" s="4">
        <v>4</v>
      </c>
      <c r="T34" s="4">
        <v>4</v>
      </c>
      <c r="U34" s="5" t="s">
        <v>526</v>
      </c>
      <c r="V34" s="5" t="s">
        <v>526</v>
      </c>
      <c r="W34" s="5" t="s">
        <v>67</v>
      </c>
      <c r="X34" s="5" t="s">
        <v>67</v>
      </c>
      <c r="Y34" s="4">
        <v>261</v>
      </c>
      <c r="Z34" s="4">
        <v>14</v>
      </c>
      <c r="AA34" s="4">
        <v>14</v>
      </c>
      <c r="AB34" s="4">
        <v>1</v>
      </c>
      <c r="AC34" s="4">
        <v>1</v>
      </c>
      <c r="AD34" s="4">
        <v>101</v>
      </c>
      <c r="AE34" s="4">
        <v>101</v>
      </c>
      <c r="AF34" s="4">
        <v>0</v>
      </c>
      <c r="AG34" s="4">
        <v>0</v>
      </c>
      <c r="AH34" s="4">
        <v>90</v>
      </c>
      <c r="AI34" s="4">
        <v>90</v>
      </c>
      <c r="AJ34" s="4">
        <v>13</v>
      </c>
      <c r="AK34" s="4">
        <v>13</v>
      </c>
      <c r="AL34" s="4">
        <v>54</v>
      </c>
      <c r="AM34" s="4">
        <v>54</v>
      </c>
      <c r="AN34" s="4">
        <v>0</v>
      </c>
      <c r="AO34" s="4">
        <v>0</v>
      </c>
      <c r="AP34" s="4">
        <v>12</v>
      </c>
      <c r="AQ34" s="4">
        <v>12</v>
      </c>
      <c r="AR34" s="3" t="s">
        <v>62</v>
      </c>
      <c r="AS34" s="3" t="s">
        <v>62</v>
      </c>
      <c r="AT34" s="3" t="s">
        <v>62</v>
      </c>
      <c r="AV34" s="6" t="str">
        <f>HYPERLINK("http://mcgill.on.worldcat.org/oclc/33230972","Catalog Record")</f>
        <v>Catalog Record</v>
      </c>
      <c r="AW34" s="6" t="str">
        <f>HYPERLINK("http://www.worldcat.org/oclc/33230972","WorldCat Record")</f>
        <v>WorldCat Record</v>
      </c>
      <c r="AX34" s="3" t="s">
        <v>527</v>
      </c>
      <c r="AY34" s="3" t="s">
        <v>528</v>
      </c>
      <c r="AZ34" s="3" t="s">
        <v>529</v>
      </c>
      <c r="BA34" s="3" t="s">
        <v>529</v>
      </c>
      <c r="BB34" s="3" t="s">
        <v>530</v>
      </c>
      <c r="BC34" s="3" t="s">
        <v>102</v>
      </c>
      <c r="BD34" s="3" t="s">
        <v>68</v>
      </c>
      <c r="BE34" s="3" t="s">
        <v>531</v>
      </c>
      <c r="BF34" s="3" t="s">
        <v>530</v>
      </c>
      <c r="BG34" s="3" t="s">
        <v>532</v>
      </c>
    </row>
    <row r="35" spans="1:59" ht="72.5" x14ac:dyDescent="0.35">
      <c r="A35" s="2" t="s">
        <v>89</v>
      </c>
      <c r="B35" s="2" t="s">
        <v>90</v>
      </c>
      <c r="C35" s="2" t="s">
        <v>533</v>
      </c>
      <c r="D35" s="2" t="s">
        <v>534</v>
      </c>
      <c r="E35" s="2" t="s">
        <v>535</v>
      </c>
      <c r="F35" s="3" t="s">
        <v>536</v>
      </c>
      <c r="G35" s="3" t="s">
        <v>62</v>
      </c>
      <c r="I35" s="3" t="s">
        <v>62</v>
      </c>
      <c r="J35" s="3" t="s">
        <v>62</v>
      </c>
      <c r="K35" s="3" t="s">
        <v>63</v>
      </c>
      <c r="L35" s="2" t="s">
        <v>537</v>
      </c>
      <c r="M35" s="2" t="s">
        <v>538</v>
      </c>
      <c r="N35" s="3" t="s">
        <v>539</v>
      </c>
      <c r="P35" s="3" t="s">
        <v>64</v>
      </c>
      <c r="Q35" s="2" t="s">
        <v>540</v>
      </c>
      <c r="R35" s="3" t="s">
        <v>65</v>
      </c>
      <c r="S35" s="4">
        <v>11</v>
      </c>
      <c r="T35" s="4">
        <v>11</v>
      </c>
      <c r="U35" s="5" t="s">
        <v>541</v>
      </c>
      <c r="V35" s="5" t="s">
        <v>541</v>
      </c>
      <c r="W35" s="5" t="s">
        <v>67</v>
      </c>
      <c r="X35" s="5" t="s">
        <v>67</v>
      </c>
      <c r="Y35" s="4">
        <v>222</v>
      </c>
      <c r="Z35" s="4">
        <v>11</v>
      </c>
      <c r="AA35" s="4">
        <v>11</v>
      </c>
      <c r="AB35" s="4">
        <v>1</v>
      </c>
      <c r="AC35" s="4">
        <v>1</v>
      </c>
      <c r="AD35" s="4">
        <v>93</v>
      </c>
      <c r="AE35" s="4">
        <v>93</v>
      </c>
      <c r="AF35" s="4">
        <v>0</v>
      </c>
      <c r="AG35" s="4">
        <v>0</v>
      </c>
      <c r="AH35" s="4">
        <v>86</v>
      </c>
      <c r="AI35" s="4">
        <v>86</v>
      </c>
      <c r="AJ35" s="4">
        <v>7</v>
      </c>
      <c r="AK35" s="4">
        <v>7</v>
      </c>
      <c r="AL35" s="4">
        <v>54</v>
      </c>
      <c r="AM35" s="4">
        <v>54</v>
      </c>
      <c r="AN35" s="4">
        <v>0</v>
      </c>
      <c r="AO35" s="4">
        <v>0</v>
      </c>
      <c r="AP35" s="4">
        <v>8</v>
      </c>
      <c r="AQ35" s="4">
        <v>8</v>
      </c>
      <c r="AR35" s="3" t="s">
        <v>62</v>
      </c>
      <c r="AS35" s="3" t="s">
        <v>62</v>
      </c>
      <c r="AT35" s="3" t="s">
        <v>62</v>
      </c>
      <c r="AV35" s="6" t="str">
        <f>HYPERLINK("http://mcgill.on.worldcat.org/oclc/39135753","Catalog Record")</f>
        <v>Catalog Record</v>
      </c>
      <c r="AW35" s="6" t="str">
        <f>HYPERLINK("http://www.worldcat.org/oclc/39135753","WorldCat Record")</f>
        <v>WorldCat Record</v>
      </c>
      <c r="AX35" s="3" t="s">
        <v>542</v>
      </c>
      <c r="AY35" s="3" t="s">
        <v>543</v>
      </c>
      <c r="AZ35" s="3" t="s">
        <v>544</v>
      </c>
      <c r="BA35" s="3" t="s">
        <v>544</v>
      </c>
      <c r="BB35" s="3" t="s">
        <v>545</v>
      </c>
      <c r="BC35" s="3" t="s">
        <v>102</v>
      </c>
      <c r="BD35" s="3" t="s">
        <v>68</v>
      </c>
      <c r="BE35" s="3" t="s">
        <v>546</v>
      </c>
      <c r="BF35" s="3" t="s">
        <v>545</v>
      </c>
      <c r="BG35" s="3" t="s">
        <v>547</v>
      </c>
    </row>
    <row r="36" spans="1:59" ht="72.5" x14ac:dyDescent="0.35">
      <c r="A36" s="2" t="s">
        <v>89</v>
      </c>
      <c r="B36" s="2" t="s">
        <v>90</v>
      </c>
      <c r="C36" s="2" t="s">
        <v>548</v>
      </c>
      <c r="D36" s="2" t="s">
        <v>549</v>
      </c>
      <c r="E36" s="2" t="s">
        <v>550</v>
      </c>
      <c r="F36" s="3" t="s">
        <v>551</v>
      </c>
      <c r="G36" s="3" t="s">
        <v>62</v>
      </c>
      <c r="I36" s="3" t="s">
        <v>62</v>
      </c>
      <c r="J36" s="3" t="s">
        <v>62</v>
      </c>
      <c r="K36" s="3" t="s">
        <v>63</v>
      </c>
      <c r="M36" s="2" t="s">
        <v>552</v>
      </c>
      <c r="N36" s="3" t="s">
        <v>553</v>
      </c>
      <c r="P36" s="3" t="s">
        <v>64</v>
      </c>
      <c r="Q36" s="2" t="s">
        <v>554</v>
      </c>
      <c r="R36" s="3" t="s">
        <v>65</v>
      </c>
      <c r="S36" s="4">
        <v>2</v>
      </c>
      <c r="T36" s="4">
        <v>2</v>
      </c>
      <c r="U36" s="5" t="s">
        <v>555</v>
      </c>
      <c r="V36" s="5" t="s">
        <v>555</v>
      </c>
      <c r="W36" s="5" t="s">
        <v>67</v>
      </c>
      <c r="X36" s="5" t="s">
        <v>67</v>
      </c>
      <c r="Y36" s="4">
        <v>248</v>
      </c>
      <c r="Z36" s="4">
        <v>14</v>
      </c>
      <c r="AA36" s="4">
        <v>14</v>
      </c>
      <c r="AB36" s="4">
        <v>2</v>
      </c>
      <c r="AC36" s="4">
        <v>2</v>
      </c>
      <c r="AD36" s="4">
        <v>98</v>
      </c>
      <c r="AE36" s="4">
        <v>98</v>
      </c>
      <c r="AF36" s="4">
        <v>0</v>
      </c>
      <c r="AG36" s="4">
        <v>0</v>
      </c>
      <c r="AH36" s="4">
        <v>89</v>
      </c>
      <c r="AI36" s="4">
        <v>89</v>
      </c>
      <c r="AJ36" s="4">
        <v>12</v>
      </c>
      <c r="AK36" s="4">
        <v>12</v>
      </c>
      <c r="AL36" s="4">
        <v>53</v>
      </c>
      <c r="AM36" s="4">
        <v>53</v>
      </c>
      <c r="AN36" s="4">
        <v>0</v>
      </c>
      <c r="AO36" s="4">
        <v>0</v>
      </c>
      <c r="AP36" s="4">
        <v>12</v>
      </c>
      <c r="AQ36" s="4">
        <v>12</v>
      </c>
      <c r="AR36" s="3" t="s">
        <v>62</v>
      </c>
      <c r="AS36" s="3" t="s">
        <v>62</v>
      </c>
      <c r="AT36" s="3" t="s">
        <v>62</v>
      </c>
      <c r="AV36" s="6" t="str">
        <f>HYPERLINK("http://mcgill.on.worldcat.org/oclc/40417657","Catalog Record")</f>
        <v>Catalog Record</v>
      </c>
      <c r="AW36" s="6" t="str">
        <f>HYPERLINK("http://www.worldcat.org/oclc/40417657","WorldCat Record")</f>
        <v>WorldCat Record</v>
      </c>
      <c r="AX36" s="3" t="s">
        <v>556</v>
      </c>
      <c r="AY36" s="3" t="s">
        <v>557</v>
      </c>
      <c r="AZ36" s="3" t="s">
        <v>558</v>
      </c>
      <c r="BA36" s="3" t="s">
        <v>558</v>
      </c>
      <c r="BB36" s="3" t="s">
        <v>559</v>
      </c>
      <c r="BC36" s="3" t="s">
        <v>102</v>
      </c>
      <c r="BD36" s="3" t="s">
        <v>68</v>
      </c>
      <c r="BE36" s="3" t="s">
        <v>560</v>
      </c>
      <c r="BF36" s="3" t="s">
        <v>559</v>
      </c>
      <c r="BG36" s="3" t="s">
        <v>561</v>
      </c>
    </row>
    <row r="37" spans="1:59" ht="72.5" x14ac:dyDescent="0.35">
      <c r="A37" s="2" t="s">
        <v>89</v>
      </c>
      <c r="B37" s="2" t="s">
        <v>90</v>
      </c>
      <c r="C37" s="2" t="s">
        <v>562</v>
      </c>
      <c r="D37" s="2" t="s">
        <v>563</v>
      </c>
      <c r="E37" s="2" t="s">
        <v>564</v>
      </c>
      <c r="F37" s="3" t="s">
        <v>565</v>
      </c>
      <c r="G37" s="3" t="s">
        <v>62</v>
      </c>
      <c r="I37" s="3" t="s">
        <v>62</v>
      </c>
      <c r="J37" s="3" t="s">
        <v>62</v>
      </c>
      <c r="K37" s="3" t="s">
        <v>63</v>
      </c>
      <c r="L37" s="2" t="s">
        <v>566</v>
      </c>
      <c r="M37" s="2" t="s">
        <v>567</v>
      </c>
      <c r="N37" s="3" t="s">
        <v>568</v>
      </c>
      <c r="P37" s="3" t="s">
        <v>64</v>
      </c>
      <c r="Q37" s="2" t="s">
        <v>569</v>
      </c>
      <c r="R37" s="3" t="s">
        <v>65</v>
      </c>
      <c r="S37" s="4">
        <v>10</v>
      </c>
      <c r="T37" s="4">
        <v>10</v>
      </c>
      <c r="U37" s="5" t="s">
        <v>570</v>
      </c>
      <c r="V37" s="5" t="s">
        <v>570</v>
      </c>
      <c r="W37" s="5" t="s">
        <v>67</v>
      </c>
      <c r="X37" s="5" t="s">
        <v>67</v>
      </c>
      <c r="Y37" s="4">
        <v>249</v>
      </c>
      <c r="Z37" s="4">
        <v>14</v>
      </c>
      <c r="AA37" s="4">
        <v>14</v>
      </c>
      <c r="AB37" s="4">
        <v>1</v>
      </c>
      <c r="AC37" s="4">
        <v>1</v>
      </c>
      <c r="AD37" s="4">
        <v>93</v>
      </c>
      <c r="AE37" s="4">
        <v>93</v>
      </c>
      <c r="AF37" s="4">
        <v>0</v>
      </c>
      <c r="AG37" s="4">
        <v>0</v>
      </c>
      <c r="AH37" s="4">
        <v>82</v>
      </c>
      <c r="AI37" s="4">
        <v>82</v>
      </c>
      <c r="AJ37" s="4">
        <v>10</v>
      </c>
      <c r="AK37" s="4">
        <v>10</v>
      </c>
      <c r="AL37" s="4">
        <v>50</v>
      </c>
      <c r="AM37" s="4">
        <v>50</v>
      </c>
      <c r="AN37" s="4">
        <v>0</v>
      </c>
      <c r="AO37" s="4">
        <v>0</v>
      </c>
      <c r="AP37" s="4">
        <v>13</v>
      </c>
      <c r="AQ37" s="4">
        <v>13</v>
      </c>
      <c r="AR37" s="3" t="s">
        <v>62</v>
      </c>
      <c r="AS37" s="3" t="s">
        <v>62</v>
      </c>
      <c r="AT37" s="3" t="s">
        <v>62</v>
      </c>
      <c r="AV37" s="6" t="str">
        <f>HYPERLINK("http://mcgill.on.worldcat.org/oclc/41662577","Catalog Record")</f>
        <v>Catalog Record</v>
      </c>
      <c r="AW37" s="6" t="str">
        <f>HYPERLINK("http://www.worldcat.org/oclc/41662577","WorldCat Record")</f>
        <v>WorldCat Record</v>
      </c>
      <c r="AX37" s="3" t="s">
        <v>571</v>
      </c>
      <c r="AY37" s="3" t="s">
        <v>572</v>
      </c>
      <c r="AZ37" s="3" t="s">
        <v>573</v>
      </c>
      <c r="BA37" s="3" t="s">
        <v>573</v>
      </c>
      <c r="BB37" s="3" t="s">
        <v>574</v>
      </c>
      <c r="BC37" s="3" t="s">
        <v>102</v>
      </c>
      <c r="BD37" s="3" t="s">
        <v>68</v>
      </c>
      <c r="BE37" s="3" t="s">
        <v>575</v>
      </c>
      <c r="BF37" s="3" t="s">
        <v>574</v>
      </c>
      <c r="BG37" s="3" t="s">
        <v>576</v>
      </c>
    </row>
    <row r="38" spans="1:59" ht="72.5" x14ac:dyDescent="0.35">
      <c r="A38" s="2" t="s">
        <v>89</v>
      </c>
      <c r="B38" s="2" t="s">
        <v>90</v>
      </c>
      <c r="C38" s="2" t="s">
        <v>577</v>
      </c>
      <c r="D38" s="2" t="s">
        <v>578</v>
      </c>
      <c r="E38" s="2" t="s">
        <v>579</v>
      </c>
      <c r="F38" s="3" t="s">
        <v>580</v>
      </c>
      <c r="G38" s="3" t="s">
        <v>62</v>
      </c>
      <c r="I38" s="3" t="s">
        <v>62</v>
      </c>
      <c r="J38" s="3" t="s">
        <v>62</v>
      </c>
      <c r="K38" s="3" t="s">
        <v>63</v>
      </c>
      <c r="L38" s="2" t="s">
        <v>581</v>
      </c>
      <c r="M38" s="2" t="s">
        <v>582</v>
      </c>
      <c r="N38" s="3" t="s">
        <v>568</v>
      </c>
      <c r="P38" s="3" t="s">
        <v>64</v>
      </c>
      <c r="Q38" s="2" t="s">
        <v>583</v>
      </c>
      <c r="R38" s="3" t="s">
        <v>65</v>
      </c>
      <c r="S38" s="4">
        <v>3</v>
      </c>
      <c r="T38" s="4">
        <v>3</v>
      </c>
      <c r="U38" s="5" t="s">
        <v>541</v>
      </c>
      <c r="V38" s="5" t="s">
        <v>541</v>
      </c>
      <c r="W38" s="5" t="s">
        <v>67</v>
      </c>
      <c r="X38" s="5" t="s">
        <v>67</v>
      </c>
      <c r="Y38" s="4">
        <v>261</v>
      </c>
      <c r="Z38" s="4">
        <v>11</v>
      </c>
      <c r="AA38" s="4">
        <v>11</v>
      </c>
      <c r="AB38" s="4">
        <v>1</v>
      </c>
      <c r="AC38" s="4">
        <v>1</v>
      </c>
      <c r="AD38" s="4">
        <v>90</v>
      </c>
      <c r="AE38" s="4">
        <v>90</v>
      </c>
      <c r="AF38" s="4">
        <v>0</v>
      </c>
      <c r="AG38" s="4">
        <v>0</v>
      </c>
      <c r="AH38" s="4">
        <v>82</v>
      </c>
      <c r="AI38" s="4">
        <v>82</v>
      </c>
      <c r="AJ38" s="4">
        <v>8</v>
      </c>
      <c r="AK38" s="4">
        <v>8</v>
      </c>
      <c r="AL38" s="4">
        <v>48</v>
      </c>
      <c r="AM38" s="4">
        <v>48</v>
      </c>
      <c r="AN38" s="4">
        <v>0</v>
      </c>
      <c r="AO38" s="4">
        <v>0</v>
      </c>
      <c r="AP38" s="4">
        <v>10</v>
      </c>
      <c r="AQ38" s="4">
        <v>10</v>
      </c>
      <c r="AR38" s="3" t="s">
        <v>62</v>
      </c>
      <c r="AS38" s="3" t="s">
        <v>62</v>
      </c>
      <c r="AT38" s="3" t="s">
        <v>62</v>
      </c>
      <c r="AV38" s="6" t="str">
        <f>HYPERLINK("http://mcgill.on.worldcat.org/oclc/43607492","Catalog Record")</f>
        <v>Catalog Record</v>
      </c>
      <c r="AW38" s="6" t="str">
        <f>HYPERLINK("http://www.worldcat.org/oclc/43607492","WorldCat Record")</f>
        <v>WorldCat Record</v>
      </c>
      <c r="AX38" s="3" t="s">
        <v>584</v>
      </c>
      <c r="AY38" s="3" t="s">
        <v>585</v>
      </c>
      <c r="AZ38" s="3" t="s">
        <v>586</v>
      </c>
      <c r="BA38" s="3" t="s">
        <v>586</v>
      </c>
      <c r="BB38" s="3" t="s">
        <v>587</v>
      </c>
      <c r="BC38" s="3" t="s">
        <v>102</v>
      </c>
      <c r="BD38" s="3" t="s">
        <v>68</v>
      </c>
      <c r="BE38" s="3" t="s">
        <v>588</v>
      </c>
      <c r="BF38" s="3" t="s">
        <v>587</v>
      </c>
      <c r="BG38" s="3" t="s">
        <v>589</v>
      </c>
    </row>
    <row r="39" spans="1:59" ht="72.5" x14ac:dyDescent="0.35">
      <c r="A39" s="2" t="s">
        <v>89</v>
      </c>
      <c r="B39" s="2" t="s">
        <v>90</v>
      </c>
      <c r="C39" s="2" t="s">
        <v>590</v>
      </c>
      <c r="D39" s="2" t="s">
        <v>591</v>
      </c>
      <c r="E39" s="2" t="s">
        <v>592</v>
      </c>
      <c r="F39" s="3" t="s">
        <v>593</v>
      </c>
      <c r="G39" s="3" t="s">
        <v>62</v>
      </c>
      <c r="I39" s="3" t="s">
        <v>62</v>
      </c>
      <c r="J39" s="3" t="s">
        <v>62</v>
      </c>
      <c r="K39" s="3" t="s">
        <v>63</v>
      </c>
      <c r="L39" s="2" t="s">
        <v>594</v>
      </c>
      <c r="M39" s="2" t="s">
        <v>595</v>
      </c>
      <c r="N39" s="3" t="s">
        <v>596</v>
      </c>
      <c r="P39" s="3" t="s">
        <v>64</v>
      </c>
      <c r="Q39" s="2" t="s">
        <v>597</v>
      </c>
      <c r="R39" s="3" t="s">
        <v>65</v>
      </c>
      <c r="S39" s="4">
        <v>3</v>
      </c>
      <c r="T39" s="4">
        <v>3</v>
      </c>
      <c r="U39" s="5" t="s">
        <v>598</v>
      </c>
      <c r="V39" s="5" t="s">
        <v>598</v>
      </c>
      <c r="W39" s="5" t="s">
        <v>67</v>
      </c>
      <c r="X39" s="5" t="s">
        <v>67</v>
      </c>
      <c r="Y39" s="4">
        <v>217</v>
      </c>
      <c r="Z39" s="4">
        <v>10</v>
      </c>
      <c r="AA39" s="4">
        <v>13</v>
      </c>
      <c r="AB39" s="4">
        <v>2</v>
      </c>
      <c r="AC39" s="4">
        <v>2</v>
      </c>
      <c r="AD39" s="4">
        <v>77</v>
      </c>
      <c r="AE39" s="4">
        <v>84</v>
      </c>
      <c r="AF39" s="4">
        <v>0</v>
      </c>
      <c r="AG39" s="4">
        <v>0</v>
      </c>
      <c r="AH39" s="4">
        <v>73</v>
      </c>
      <c r="AI39" s="4">
        <v>79</v>
      </c>
      <c r="AJ39" s="4">
        <v>6</v>
      </c>
      <c r="AK39" s="4">
        <v>8</v>
      </c>
      <c r="AL39" s="4">
        <v>46</v>
      </c>
      <c r="AM39" s="4">
        <v>49</v>
      </c>
      <c r="AN39" s="4">
        <v>0</v>
      </c>
      <c r="AO39" s="4">
        <v>0</v>
      </c>
      <c r="AP39" s="4">
        <v>6</v>
      </c>
      <c r="AQ39" s="4">
        <v>8</v>
      </c>
      <c r="AR39" s="3" t="s">
        <v>62</v>
      </c>
      <c r="AS39" s="3" t="s">
        <v>62</v>
      </c>
      <c r="AT39" s="3" t="s">
        <v>62</v>
      </c>
      <c r="AV39" s="6" t="str">
        <f>HYPERLINK("http://mcgill.on.worldcat.org/oclc/45890446","Catalog Record")</f>
        <v>Catalog Record</v>
      </c>
      <c r="AW39" s="6" t="str">
        <f>HYPERLINK("http://www.worldcat.org/oclc/45890446","WorldCat Record")</f>
        <v>WorldCat Record</v>
      </c>
      <c r="AX39" s="3" t="s">
        <v>599</v>
      </c>
      <c r="AY39" s="3" t="s">
        <v>600</v>
      </c>
      <c r="AZ39" s="3" t="s">
        <v>601</v>
      </c>
      <c r="BA39" s="3" t="s">
        <v>601</v>
      </c>
      <c r="BB39" s="3" t="s">
        <v>602</v>
      </c>
      <c r="BC39" s="3" t="s">
        <v>102</v>
      </c>
      <c r="BD39" s="3" t="s">
        <v>68</v>
      </c>
      <c r="BE39" s="3" t="s">
        <v>603</v>
      </c>
      <c r="BF39" s="3" t="s">
        <v>602</v>
      </c>
      <c r="BG39" s="3" t="s">
        <v>604</v>
      </c>
    </row>
    <row r="40" spans="1:59" ht="72.5" x14ac:dyDescent="0.35">
      <c r="A40" s="2" t="s">
        <v>89</v>
      </c>
      <c r="B40" s="2" t="s">
        <v>90</v>
      </c>
      <c r="C40" s="2" t="s">
        <v>605</v>
      </c>
      <c r="D40" s="2" t="s">
        <v>606</v>
      </c>
      <c r="E40" s="2" t="s">
        <v>607</v>
      </c>
      <c r="F40" s="3" t="s">
        <v>608</v>
      </c>
      <c r="G40" s="3" t="s">
        <v>62</v>
      </c>
      <c r="I40" s="3" t="s">
        <v>61</v>
      </c>
      <c r="J40" s="3" t="s">
        <v>62</v>
      </c>
      <c r="K40" s="3" t="s">
        <v>63</v>
      </c>
      <c r="L40" s="2" t="s">
        <v>609</v>
      </c>
      <c r="M40" s="2" t="s">
        <v>610</v>
      </c>
      <c r="N40" s="3" t="s">
        <v>611</v>
      </c>
      <c r="P40" s="3" t="s">
        <v>64</v>
      </c>
      <c r="Q40" s="2" t="s">
        <v>612</v>
      </c>
      <c r="R40" s="3" t="s">
        <v>65</v>
      </c>
      <c r="S40" s="4">
        <v>8</v>
      </c>
      <c r="T40" s="4">
        <v>10</v>
      </c>
      <c r="U40" s="5" t="s">
        <v>613</v>
      </c>
      <c r="V40" s="5" t="s">
        <v>613</v>
      </c>
      <c r="W40" s="5" t="s">
        <v>67</v>
      </c>
      <c r="X40" s="5" t="s">
        <v>67</v>
      </c>
      <c r="Y40" s="4">
        <v>724</v>
      </c>
      <c r="Z40" s="4">
        <v>16</v>
      </c>
      <c r="AA40" s="4">
        <v>22</v>
      </c>
      <c r="AB40" s="4">
        <v>1</v>
      </c>
      <c r="AC40" s="4">
        <v>2</v>
      </c>
      <c r="AD40" s="4">
        <v>110</v>
      </c>
      <c r="AE40" s="4">
        <v>118</v>
      </c>
      <c r="AF40" s="4">
        <v>0</v>
      </c>
      <c r="AG40" s="4">
        <v>1</v>
      </c>
      <c r="AH40" s="4">
        <v>99</v>
      </c>
      <c r="AI40" s="4">
        <v>106</v>
      </c>
      <c r="AJ40" s="4">
        <v>11</v>
      </c>
      <c r="AK40" s="4">
        <v>16</v>
      </c>
      <c r="AL40" s="4">
        <v>57</v>
      </c>
      <c r="AM40" s="4">
        <v>58</v>
      </c>
      <c r="AN40" s="4">
        <v>0</v>
      </c>
      <c r="AO40" s="4">
        <v>0</v>
      </c>
      <c r="AP40" s="4">
        <v>12</v>
      </c>
      <c r="AQ40" s="4">
        <v>17</v>
      </c>
      <c r="AR40" s="3" t="s">
        <v>62</v>
      </c>
      <c r="AS40" s="3" t="s">
        <v>62</v>
      </c>
      <c r="AT40" s="3" t="s">
        <v>61</v>
      </c>
      <c r="AU40" s="6" t="str">
        <f>HYPERLINK("http://catalog.hathitrust.org/Record/000366286","HathiTrust Record")</f>
        <v>HathiTrust Record</v>
      </c>
      <c r="AV40" s="6" t="str">
        <f>HYPERLINK("http://mcgill.on.worldcat.org/oclc/14648049","Catalog Record")</f>
        <v>Catalog Record</v>
      </c>
      <c r="AW40" s="6" t="str">
        <f>HYPERLINK("http://www.worldcat.org/oclc/14648049","WorldCat Record")</f>
        <v>WorldCat Record</v>
      </c>
      <c r="AX40" s="3" t="s">
        <v>614</v>
      </c>
      <c r="AY40" s="3" t="s">
        <v>615</v>
      </c>
      <c r="AZ40" s="3" t="s">
        <v>616</v>
      </c>
      <c r="BA40" s="3" t="s">
        <v>616</v>
      </c>
      <c r="BB40" s="3" t="s">
        <v>617</v>
      </c>
      <c r="BC40" s="3" t="s">
        <v>102</v>
      </c>
      <c r="BD40" s="3" t="s">
        <v>68</v>
      </c>
      <c r="BF40" s="3" t="s">
        <v>617</v>
      </c>
      <c r="BG40" s="3" t="s">
        <v>618</v>
      </c>
    </row>
    <row r="41" spans="1:59" ht="72.5" x14ac:dyDescent="0.35">
      <c r="A41" s="2" t="s">
        <v>89</v>
      </c>
      <c r="B41" s="2" t="s">
        <v>90</v>
      </c>
      <c r="C41" s="2" t="s">
        <v>619</v>
      </c>
      <c r="D41" s="2" t="s">
        <v>620</v>
      </c>
      <c r="E41" s="2" t="s">
        <v>621</v>
      </c>
      <c r="F41" s="3" t="s">
        <v>622</v>
      </c>
      <c r="G41" s="3" t="s">
        <v>62</v>
      </c>
      <c r="I41" s="3" t="s">
        <v>62</v>
      </c>
      <c r="J41" s="3" t="s">
        <v>62</v>
      </c>
      <c r="K41" s="3" t="s">
        <v>63</v>
      </c>
      <c r="L41" s="2" t="s">
        <v>623</v>
      </c>
      <c r="M41" s="2" t="s">
        <v>624</v>
      </c>
      <c r="N41" s="3" t="s">
        <v>625</v>
      </c>
      <c r="P41" s="3" t="s">
        <v>64</v>
      </c>
      <c r="Q41" s="2" t="s">
        <v>626</v>
      </c>
      <c r="R41" s="3" t="s">
        <v>65</v>
      </c>
      <c r="S41" s="4">
        <v>1</v>
      </c>
      <c r="T41" s="4">
        <v>1</v>
      </c>
      <c r="U41" s="5" t="s">
        <v>627</v>
      </c>
      <c r="V41" s="5" t="s">
        <v>627</v>
      </c>
      <c r="W41" s="5" t="s">
        <v>67</v>
      </c>
      <c r="X41" s="5" t="s">
        <v>67</v>
      </c>
      <c r="Y41" s="4">
        <v>178</v>
      </c>
      <c r="Z41" s="4">
        <v>8</v>
      </c>
      <c r="AA41" s="4">
        <v>8</v>
      </c>
      <c r="AB41" s="4">
        <v>1</v>
      </c>
      <c r="AC41" s="4">
        <v>1</v>
      </c>
      <c r="AD41" s="4">
        <v>84</v>
      </c>
      <c r="AE41" s="4">
        <v>84</v>
      </c>
      <c r="AF41" s="4">
        <v>0</v>
      </c>
      <c r="AG41" s="4">
        <v>0</v>
      </c>
      <c r="AH41" s="4">
        <v>78</v>
      </c>
      <c r="AI41" s="4">
        <v>78</v>
      </c>
      <c r="AJ41" s="4">
        <v>7</v>
      </c>
      <c r="AK41" s="4">
        <v>7</v>
      </c>
      <c r="AL41" s="4">
        <v>50</v>
      </c>
      <c r="AM41" s="4">
        <v>50</v>
      </c>
      <c r="AN41" s="4">
        <v>0</v>
      </c>
      <c r="AO41" s="4">
        <v>0</v>
      </c>
      <c r="AP41" s="4">
        <v>7</v>
      </c>
      <c r="AQ41" s="4">
        <v>7</v>
      </c>
      <c r="AR41" s="3" t="s">
        <v>62</v>
      </c>
      <c r="AS41" s="3" t="s">
        <v>62</v>
      </c>
      <c r="AT41" s="3" t="s">
        <v>62</v>
      </c>
      <c r="AV41" s="6" t="str">
        <f>HYPERLINK("http://mcgill.on.worldcat.org/oclc/52930105","Catalog Record")</f>
        <v>Catalog Record</v>
      </c>
      <c r="AW41" s="6" t="str">
        <f>HYPERLINK("http://www.worldcat.org/oclc/52930105","WorldCat Record")</f>
        <v>WorldCat Record</v>
      </c>
      <c r="AX41" s="3" t="s">
        <v>628</v>
      </c>
      <c r="AY41" s="3" t="s">
        <v>629</v>
      </c>
      <c r="AZ41" s="3" t="s">
        <v>630</v>
      </c>
      <c r="BA41" s="3" t="s">
        <v>630</v>
      </c>
      <c r="BB41" s="3" t="s">
        <v>631</v>
      </c>
      <c r="BC41" s="3" t="s">
        <v>102</v>
      </c>
      <c r="BD41" s="3" t="s">
        <v>68</v>
      </c>
      <c r="BE41" s="3" t="s">
        <v>632</v>
      </c>
      <c r="BF41" s="3" t="s">
        <v>631</v>
      </c>
      <c r="BG41" s="3" t="s">
        <v>633</v>
      </c>
    </row>
    <row r="42" spans="1:59" ht="72.5" x14ac:dyDescent="0.35">
      <c r="A42" s="2" t="s">
        <v>89</v>
      </c>
      <c r="B42" s="2" t="s">
        <v>90</v>
      </c>
      <c r="C42" s="2" t="s">
        <v>634</v>
      </c>
      <c r="D42" s="2" t="s">
        <v>635</v>
      </c>
      <c r="E42" s="2" t="s">
        <v>636</v>
      </c>
      <c r="F42" s="3" t="s">
        <v>637</v>
      </c>
      <c r="G42" s="3" t="s">
        <v>62</v>
      </c>
      <c r="I42" s="3" t="s">
        <v>62</v>
      </c>
      <c r="J42" s="3" t="s">
        <v>62</v>
      </c>
      <c r="K42" s="3" t="s">
        <v>63</v>
      </c>
      <c r="L42" s="2" t="s">
        <v>638</v>
      </c>
      <c r="M42" s="2" t="s">
        <v>639</v>
      </c>
      <c r="N42" s="3" t="s">
        <v>640</v>
      </c>
      <c r="P42" s="3" t="s">
        <v>64</v>
      </c>
      <c r="Q42" s="2" t="s">
        <v>641</v>
      </c>
      <c r="R42" s="3" t="s">
        <v>65</v>
      </c>
      <c r="S42" s="4">
        <v>27</v>
      </c>
      <c r="T42" s="4">
        <v>27</v>
      </c>
      <c r="U42" s="5" t="s">
        <v>642</v>
      </c>
      <c r="V42" s="5" t="s">
        <v>642</v>
      </c>
      <c r="W42" s="5" t="s">
        <v>67</v>
      </c>
      <c r="X42" s="5" t="s">
        <v>67</v>
      </c>
      <c r="Y42" s="4">
        <v>275</v>
      </c>
      <c r="Z42" s="4">
        <v>15</v>
      </c>
      <c r="AA42" s="4">
        <v>16</v>
      </c>
      <c r="AB42" s="4">
        <v>1</v>
      </c>
      <c r="AC42" s="4">
        <v>2</v>
      </c>
      <c r="AD42" s="4">
        <v>90</v>
      </c>
      <c r="AE42" s="4">
        <v>91</v>
      </c>
      <c r="AF42" s="4">
        <v>0</v>
      </c>
      <c r="AG42" s="4">
        <v>1</v>
      </c>
      <c r="AH42" s="4">
        <v>82</v>
      </c>
      <c r="AI42" s="4">
        <v>83</v>
      </c>
      <c r="AJ42" s="4">
        <v>11</v>
      </c>
      <c r="AK42" s="4">
        <v>12</v>
      </c>
      <c r="AL42" s="4">
        <v>49</v>
      </c>
      <c r="AM42" s="4">
        <v>49</v>
      </c>
      <c r="AN42" s="4">
        <v>0</v>
      </c>
      <c r="AO42" s="4">
        <v>0</v>
      </c>
      <c r="AP42" s="4">
        <v>12</v>
      </c>
      <c r="AQ42" s="4">
        <v>13</v>
      </c>
      <c r="AR42" s="3" t="s">
        <v>62</v>
      </c>
      <c r="AS42" s="3" t="s">
        <v>62</v>
      </c>
      <c r="AT42" s="3" t="s">
        <v>62</v>
      </c>
      <c r="AV42" s="6" t="str">
        <f>HYPERLINK("http://mcgill.on.worldcat.org/oclc/55800930","Catalog Record")</f>
        <v>Catalog Record</v>
      </c>
      <c r="AW42" s="6" t="str">
        <f>HYPERLINK("http://www.worldcat.org/oclc/55800930","WorldCat Record")</f>
        <v>WorldCat Record</v>
      </c>
      <c r="AX42" s="3" t="s">
        <v>643</v>
      </c>
      <c r="AY42" s="3" t="s">
        <v>644</v>
      </c>
      <c r="AZ42" s="3" t="s">
        <v>645</v>
      </c>
      <c r="BA42" s="3" t="s">
        <v>645</v>
      </c>
      <c r="BB42" s="3" t="s">
        <v>646</v>
      </c>
      <c r="BC42" s="3" t="s">
        <v>102</v>
      </c>
      <c r="BD42" s="3" t="s">
        <v>68</v>
      </c>
      <c r="BE42" s="3" t="s">
        <v>647</v>
      </c>
      <c r="BF42" s="3" t="s">
        <v>646</v>
      </c>
      <c r="BG42" s="3" t="s">
        <v>648</v>
      </c>
    </row>
    <row r="43" spans="1:59" ht="72.5" x14ac:dyDescent="0.35">
      <c r="A43" s="2" t="s">
        <v>89</v>
      </c>
      <c r="B43" s="2" t="s">
        <v>90</v>
      </c>
      <c r="C43" s="2" t="s">
        <v>649</v>
      </c>
      <c r="D43" s="2" t="s">
        <v>650</v>
      </c>
      <c r="E43" s="2" t="s">
        <v>651</v>
      </c>
      <c r="F43" s="3" t="s">
        <v>652</v>
      </c>
      <c r="G43" s="3" t="s">
        <v>62</v>
      </c>
      <c r="I43" s="3" t="s">
        <v>62</v>
      </c>
      <c r="J43" s="3" t="s">
        <v>62</v>
      </c>
      <c r="K43" s="3" t="s">
        <v>63</v>
      </c>
      <c r="L43" s="2" t="s">
        <v>653</v>
      </c>
      <c r="M43" s="2" t="s">
        <v>654</v>
      </c>
      <c r="N43" s="3" t="s">
        <v>655</v>
      </c>
      <c r="P43" s="3" t="s">
        <v>64</v>
      </c>
      <c r="Q43" s="2" t="s">
        <v>656</v>
      </c>
      <c r="R43" s="3" t="s">
        <v>65</v>
      </c>
      <c r="S43" s="4">
        <v>8</v>
      </c>
      <c r="T43" s="4">
        <v>8</v>
      </c>
      <c r="U43" s="5" t="s">
        <v>657</v>
      </c>
      <c r="V43" s="5" t="s">
        <v>657</v>
      </c>
      <c r="W43" s="5" t="s">
        <v>67</v>
      </c>
      <c r="X43" s="5" t="s">
        <v>67</v>
      </c>
      <c r="Y43" s="4">
        <v>221</v>
      </c>
      <c r="Z43" s="4">
        <v>12</v>
      </c>
      <c r="AA43" s="4">
        <v>12</v>
      </c>
      <c r="AB43" s="4">
        <v>1</v>
      </c>
      <c r="AC43" s="4">
        <v>1</v>
      </c>
      <c r="AD43" s="4">
        <v>84</v>
      </c>
      <c r="AE43" s="4">
        <v>85</v>
      </c>
      <c r="AF43" s="4">
        <v>0</v>
      </c>
      <c r="AG43" s="4">
        <v>0</v>
      </c>
      <c r="AH43" s="4">
        <v>78</v>
      </c>
      <c r="AI43" s="4">
        <v>78</v>
      </c>
      <c r="AJ43" s="4">
        <v>9</v>
      </c>
      <c r="AK43" s="4">
        <v>9</v>
      </c>
      <c r="AL43" s="4">
        <v>47</v>
      </c>
      <c r="AM43" s="4">
        <v>48</v>
      </c>
      <c r="AN43" s="4">
        <v>0</v>
      </c>
      <c r="AO43" s="4">
        <v>0</v>
      </c>
      <c r="AP43" s="4">
        <v>10</v>
      </c>
      <c r="AQ43" s="4">
        <v>10</v>
      </c>
      <c r="AR43" s="3" t="s">
        <v>62</v>
      </c>
      <c r="AS43" s="3" t="s">
        <v>62</v>
      </c>
      <c r="AT43" s="3" t="s">
        <v>62</v>
      </c>
      <c r="AV43" s="6" t="str">
        <f>HYPERLINK("http://mcgill.on.worldcat.org/oclc/74966726","Catalog Record")</f>
        <v>Catalog Record</v>
      </c>
      <c r="AW43" s="6" t="str">
        <f>HYPERLINK("http://www.worldcat.org/oclc/74966726","WorldCat Record")</f>
        <v>WorldCat Record</v>
      </c>
      <c r="AX43" s="3" t="s">
        <v>658</v>
      </c>
      <c r="AY43" s="3" t="s">
        <v>659</v>
      </c>
      <c r="AZ43" s="3" t="s">
        <v>660</v>
      </c>
      <c r="BA43" s="3" t="s">
        <v>660</v>
      </c>
      <c r="BB43" s="3" t="s">
        <v>661</v>
      </c>
      <c r="BC43" s="3" t="s">
        <v>102</v>
      </c>
      <c r="BD43" s="3" t="s">
        <v>68</v>
      </c>
      <c r="BE43" s="3" t="s">
        <v>662</v>
      </c>
      <c r="BF43" s="3" t="s">
        <v>661</v>
      </c>
      <c r="BG43" s="3" t="s">
        <v>663</v>
      </c>
    </row>
    <row r="44" spans="1:59" ht="72.5" x14ac:dyDescent="0.35">
      <c r="A44" s="2" t="s">
        <v>89</v>
      </c>
      <c r="B44" s="2" t="s">
        <v>90</v>
      </c>
      <c r="C44" s="2" t="s">
        <v>664</v>
      </c>
      <c r="D44" s="2" t="s">
        <v>665</v>
      </c>
      <c r="E44" s="2" t="s">
        <v>666</v>
      </c>
      <c r="F44" s="3" t="s">
        <v>667</v>
      </c>
      <c r="G44" s="3" t="s">
        <v>62</v>
      </c>
      <c r="I44" s="3" t="s">
        <v>62</v>
      </c>
      <c r="J44" s="3" t="s">
        <v>62</v>
      </c>
      <c r="K44" s="3" t="s">
        <v>63</v>
      </c>
      <c r="L44" s="2" t="s">
        <v>668</v>
      </c>
      <c r="M44" s="2" t="s">
        <v>669</v>
      </c>
      <c r="N44" s="3" t="s">
        <v>655</v>
      </c>
      <c r="P44" s="3" t="s">
        <v>64</v>
      </c>
      <c r="Q44" s="2" t="s">
        <v>670</v>
      </c>
      <c r="R44" s="3" t="s">
        <v>65</v>
      </c>
      <c r="S44" s="4">
        <v>4</v>
      </c>
      <c r="T44" s="4">
        <v>4</v>
      </c>
      <c r="U44" s="5" t="s">
        <v>671</v>
      </c>
      <c r="V44" s="5" t="s">
        <v>671</v>
      </c>
      <c r="W44" s="5" t="s">
        <v>67</v>
      </c>
      <c r="X44" s="5" t="s">
        <v>67</v>
      </c>
      <c r="Y44" s="4">
        <v>184</v>
      </c>
      <c r="Z44" s="4">
        <v>10</v>
      </c>
      <c r="AA44" s="4">
        <v>10</v>
      </c>
      <c r="AB44" s="4">
        <v>1</v>
      </c>
      <c r="AC44" s="4">
        <v>1</v>
      </c>
      <c r="AD44" s="4">
        <v>82</v>
      </c>
      <c r="AE44" s="4">
        <v>82</v>
      </c>
      <c r="AF44" s="4">
        <v>0</v>
      </c>
      <c r="AG44" s="4">
        <v>0</v>
      </c>
      <c r="AH44" s="4">
        <v>76</v>
      </c>
      <c r="AI44" s="4">
        <v>76</v>
      </c>
      <c r="AJ44" s="4">
        <v>8</v>
      </c>
      <c r="AK44" s="4">
        <v>8</v>
      </c>
      <c r="AL44" s="4">
        <v>47</v>
      </c>
      <c r="AM44" s="4">
        <v>47</v>
      </c>
      <c r="AN44" s="4">
        <v>0</v>
      </c>
      <c r="AO44" s="4">
        <v>0</v>
      </c>
      <c r="AP44" s="4">
        <v>8</v>
      </c>
      <c r="AQ44" s="4">
        <v>8</v>
      </c>
      <c r="AR44" s="3" t="s">
        <v>62</v>
      </c>
      <c r="AS44" s="3" t="s">
        <v>62</v>
      </c>
      <c r="AT44" s="3" t="s">
        <v>62</v>
      </c>
      <c r="AV44" s="6" t="str">
        <f>HYPERLINK("http://mcgill.on.worldcat.org/oclc/191865850","Catalog Record")</f>
        <v>Catalog Record</v>
      </c>
      <c r="AW44" s="6" t="str">
        <f>HYPERLINK("http://www.worldcat.org/oclc/191865850","WorldCat Record")</f>
        <v>WorldCat Record</v>
      </c>
      <c r="AX44" s="3" t="s">
        <v>672</v>
      </c>
      <c r="AY44" s="3" t="s">
        <v>673</v>
      </c>
      <c r="AZ44" s="3" t="s">
        <v>674</v>
      </c>
      <c r="BA44" s="3" t="s">
        <v>674</v>
      </c>
      <c r="BB44" s="3" t="s">
        <v>675</v>
      </c>
      <c r="BC44" s="3" t="s">
        <v>102</v>
      </c>
      <c r="BD44" s="3" t="s">
        <v>68</v>
      </c>
      <c r="BE44" s="3" t="s">
        <v>676</v>
      </c>
      <c r="BF44" s="3" t="s">
        <v>675</v>
      </c>
      <c r="BG44" s="3" t="s">
        <v>677</v>
      </c>
    </row>
    <row r="45" spans="1:59" ht="72.5" x14ac:dyDescent="0.35">
      <c r="A45" s="2" t="s">
        <v>89</v>
      </c>
      <c r="B45" s="2" t="s">
        <v>90</v>
      </c>
      <c r="C45" s="2" t="s">
        <v>678</v>
      </c>
      <c r="D45" s="2" t="s">
        <v>679</v>
      </c>
      <c r="E45" s="2" t="s">
        <v>680</v>
      </c>
      <c r="F45" s="3" t="s">
        <v>681</v>
      </c>
      <c r="G45" s="3" t="s">
        <v>62</v>
      </c>
      <c r="I45" s="3" t="s">
        <v>62</v>
      </c>
      <c r="J45" s="3" t="s">
        <v>62</v>
      </c>
      <c r="K45" s="3" t="s">
        <v>63</v>
      </c>
      <c r="L45" s="2" t="s">
        <v>682</v>
      </c>
      <c r="M45" s="2" t="s">
        <v>683</v>
      </c>
      <c r="N45" s="3" t="s">
        <v>684</v>
      </c>
      <c r="P45" s="3" t="s">
        <v>64</v>
      </c>
      <c r="Q45" s="2" t="s">
        <v>685</v>
      </c>
      <c r="R45" s="3" t="s">
        <v>65</v>
      </c>
      <c r="S45" s="4">
        <v>0</v>
      </c>
      <c r="T45" s="4">
        <v>0</v>
      </c>
      <c r="W45" s="5" t="s">
        <v>67</v>
      </c>
      <c r="X45" s="5" t="s">
        <v>67</v>
      </c>
      <c r="Y45" s="4">
        <v>168</v>
      </c>
      <c r="Z45" s="4">
        <v>11</v>
      </c>
      <c r="AA45" s="4">
        <v>12</v>
      </c>
      <c r="AB45" s="4">
        <v>1</v>
      </c>
      <c r="AC45" s="4">
        <v>1</v>
      </c>
      <c r="AD45" s="4">
        <v>84</v>
      </c>
      <c r="AE45" s="4">
        <v>85</v>
      </c>
      <c r="AF45" s="4">
        <v>0</v>
      </c>
      <c r="AG45" s="4">
        <v>0</v>
      </c>
      <c r="AH45" s="4">
        <v>78</v>
      </c>
      <c r="AI45" s="4">
        <v>79</v>
      </c>
      <c r="AJ45" s="4">
        <v>8</v>
      </c>
      <c r="AK45" s="4">
        <v>9</v>
      </c>
      <c r="AL45" s="4">
        <v>47</v>
      </c>
      <c r="AM45" s="4">
        <v>47</v>
      </c>
      <c r="AN45" s="4">
        <v>0</v>
      </c>
      <c r="AO45" s="4">
        <v>0</v>
      </c>
      <c r="AP45" s="4">
        <v>9</v>
      </c>
      <c r="AQ45" s="4">
        <v>10</v>
      </c>
      <c r="AR45" s="3" t="s">
        <v>62</v>
      </c>
      <c r="AS45" s="3" t="s">
        <v>62</v>
      </c>
      <c r="AT45" s="3" t="s">
        <v>62</v>
      </c>
      <c r="AV45" s="6" t="str">
        <f>HYPERLINK("http://mcgill.on.worldcat.org/oclc/727658536","Catalog Record")</f>
        <v>Catalog Record</v>
      </c>
      <c r="AW45" s="6" t="str">
        <f>HYPERLINK("http://www.worldcat.org/oclc/727658536","WorldCat Record")</f>
        <v>WorldCat Record</v>
      </c>
      <c r="AX45" s="3" t="s">
        <v>686</v>
      </c>
      <c r="AY45" s="3" t="s">
        <v>687</v>
      </c>
      <c r="AZ45" s="3" t="s">
        <v>688</v>
      </c>
      <c r="BA45" s="3" t="s">
        <v>688</v>
      </c>
      <c r="BB45" s="3" t="s">
        <v>689</v>
      </c>
      <c r="BC45" s="3" t="s">
        <v>102</v>
      </c>
      <c r="BD45" s="3" t="s">
        <v>68</v>
      </c>
      <c r="BE45" s="3" t="s">
        <v>690</v>
      </c>
      <c r="BF45" s="3" t="s">
        <v>689</v>
      </c>
      <c r="BG45" s="3" t="s">
        <v>691</v>
      </c>
    </row>
    <row r="46" spans="1:59" ht="72.5" x14ac:dyDescent="0.35">
      <c r="A46" s="2" t="s">
        <v>89</v>
      </c>
      <c r="B46" s="2" t="s">
        <v>90</v>
      </c>
      <c r="C46" s="2" t="s">
        <v>692</v>
      </c>
      <c r="D46" s="2" t="s">
        <v>693</v>
      </c>
      <c r="E46" s="2" t="s">
        <v>694</v>
      </c>
      <c r="F46" s="3" t="s">
        <v>695</v>
      </c>
      <c r="G46" s="3" t="s">
        <v>62</v>
      </c>
      <c r="I46" s="3" t="s">
        <v>62</v>
      </c>
      <c r="J46" s="3" t="s">
        <v>62</v>
      </c>
      <c r="K46" s="3" t="s">
        <v>63</v>
      </c>
      <c r="L46" s="2" t="s">
        <v>696</v>
      </c>
      <c r="M46" s="2" t="s">
        <v>697</v>
      </c>
      <c r="N46" s="3" t="s">
        <v>698</v>
      </c>
      <c r="P46" s="3" t="s">
        <v>64</v>
      </c>
      <c r="Q46" s="2" t="s">
        <v>699</v>
      </c>
      <c r="R46" s="3" t="s">
        <v>65</v>
      </c>
      <c r="S46" s="4">
        <v>0</v>
      </c>
      <c r="T46" s="4">
        <v>0</v>
      </c>
      <c r="W46" s="5" t="s">
        <v>67</v>
      </c>
      <c r="X46" s="5" t="s">
        <v>67</v>
      </c>
      <c r="Y46" s="4">
        <v>180</v>
      </c>
      <c r="Z46" s="4">
        <v>12</v>
      </c>
      <c r="AA46" s="4">
        <v>12</v>
      </c>
      <c r="AB46" s="4">
        <v>1</v>
      </c>
      <c r="AC46" s="4">
        <v>1</v>
      </c>
      <c r="AD46" s="4">
        <v>80</v>
      </c>
      <c r="AE46" s="4">
        <v>80</v>
      </c>
      <c r="AF46" s="4">
        <v>0</v>
      </c>
      <c r="AG46" s="4">
        <v>0</v>
      </c>
      <c r="AH46" s="4">
        <v>74</v>
      </c>
      <c r="AI46" s="4">
        <v>74</v>
      </c>
      <c r="AJ46" s="4">
        <v>9</v>
      </c>
      <c r="AK46" s="4">
        <v>9</v>
      </c>
      <c r="AL46" s="4">
        <v>44</v>
      </c>
      <c r="AM46" s="4">
        <v>44</v>
      </c>
      <c r="AN46" s="4">
        <v>0</v>
      </c>
      <c r="AO46" s="4">
        <v>0</v>
      </c>
      <c r="AP46" s="4">
        <v>10</v>
      </c>
      <c r="AQ46" s="4">
        <v>10</v>
      </c>
      <c r="AR46" s="3" t="s">
        <v>62</v>
      </c>
      <c r="AS46" s="3" t="s">
        <v>62</v>
      </c>
      <c r="AT46" s="3" t="s">
        <v>62</v>
      </c>
      <c r="AV46" s="6" t="str">
        <f>HYPERLINK("http://mcgill.on.worldcat.org/oclc/811137271","Catalog Record")</f>
        <v>Catalog Record</v>
      </c>
      <c r="AW46" s="6" t="str">
        <f>HYPERLINK("http://www.worldcat.org/oclc/811137271","WorldCat Record")</f>
        <v>WorldCat Record</v>
      </c>
      <c r="AX46" s="3" t="s">
        <v>700</v>
      </c>
      <c r="AY46" s="3" t="s">
        <v>701</v>
      </c>
      <c r="AZ46" s="3" t="s">
        <v>702</v>
      </c>
      <c r="BA46" s="3" t="s">
        <v>702</v>
      </c>
      <c r="BB46" s="3" t="s">
        <v>703</v>
      </c>
      <c r="BC46" s="3" t="s">
        <v>102</v>
      </c>
      <c r="BD46" s="3" t="s">
        <v>68</v>
      </c>
      <c r="BE46" s="3" t="s">
        <v>704</v>
      </c>
      <c r="BF46" s="3" t="s">
        <v>703</v>
      </c>
      <c r="BG46" s="3" t="s">
        <v>705</v>
      </c>
    </row>
    <row r="47" spans="1:59" ht="72.5" x14ac:dyDescent="0.35">
      <c r="A47" s="2" t="s">
        <v>89</v>
      </c>
      <c r="B47" s="2" t="s">
        <v>90</v>
      </c>
      <c r="C47" s="2" t="s">
        <v>706</v>
      </c>
      <c r="D47" s="2" t="s">
        <v>707</v>
      </c>
      <c r="E47" s="2" t="s">
        <v>708</v>
      </c>
      <c r="F47" s="3" t="s">
        <v>709</v>
      </c>
      <c r="G47" s="3" t="s">
        <v>62</v>
      </c>
      <c r="I47" s="3" t="s">
        <v>62</v>
      </c>
      <c r="J47" s="3" t="s">
        <v>62</v>
      </c>
      <c r="K47" s="3" t="s">
        <v>63</v>
      </c>
      <c r="L47" s="2" t="s">
        <v>710</v>
      </c>
      <c r="M47" s="2" t="s">
        <v>711</v>
      </c>
      <c r="N47" s="3" t="s">
        <v>712</v>
      </c>
      <c r="P47" s="3" t="s">
        <v>64</v>
      </c>
      <c r="Q47" s="2" t="s">
        <v>713</v>
      </c>
      <c r="R47" s="3" t="s">
        <v>65</v>
      </c>
      <c r="S47" s="4">
        <v>1</v>
      </c>
      <c r="T47" s="4">
        <v>1</v>
      </c>
      <c r="U47" s="5" t="s">
        <v>211</v>
      </c>
      <c r="V47" s="5" t="s">
        <v>211</v>
      </c>
      <c r="W47" s="5" t="s">
        <v>67</v>
      </c>
      <c r="X47" s="5" t="s">
        <v>67</v>
      </c>
      <c r="Y47" s="4">
        <v>152</v>
      </c>
      <c r="Z47" s="4">
        <v>8</v>
      </c>
      <c r="AA47" s="4">
        <v>9</v>
      </c>
      <c r="AB47" s="4">
        <v>1</v>
      </c>
      <c r="AC47" s="4">
        <v>1</v>
      </c>
      <c r="AD47" s="4">
        <v>75</v>
      </c>
      <c r="AE47" s="4">
        <v>75</v>
      </c>
      <c r="AF47" s="4">
        <v>0</v>
      </c>
      <c r="AG47" s="4">
        <v>0</v>
      </c>
      <c r="AH47" s="4">
        <v>72</v>
      </c>
      <c r="AI47" s="4">
        <v>72</v>
      </c>
      <c r="AJ47" s="4">
        <v>6</v>
      </c>
      <c r="AK47" s="4">
        <v>6</v>
      </c>
      <c r="AL47" s="4">
        <v>42</v>
      </c>
      <c r="AM47" s="4">
        <v>42</v>
      </c>
      <c r="AN47" s="4">
        <v>0</v>
      </c>
      <c r="AO47" s="4">
        <v>0</v>
      </c>
      <c r="AP47" s="4">
        <v>6</v>
      </c>
      <c r="AQ47" s="4">
        <v>6</v>
      </c>
      <c r="AR47" s="3" t="s">
        <v>62</v>
      </c>
      <c r="AS47" s="3" t="s">
        <v>62</v>
      </c>
      <c r="AT47" s="3" t="s">
        <v>62</v>
      </c>
      <c r="AV47" s="6" t="str">
        <f>HYPERLINK("http://mcgill.on.worldcat.org/oclc/871200098","Catalog Record")</f>
        <v>Catalog Record</v>
      </c>
      <c r="AW47" s="6" t="str">
        <f>HYPERLINK("http://www.worldcat.org/oclc/871200098","WorldCat Record")</f>
        <v>WorldCat Record</v>
      </c>
      <c r="AX47" s="3" t="s">
        <v>714</v>
      </c>
      <c r="AY47" s="3" t="s">
        <v>715</v>
      </c>
      <c r="AZ47" s="3" t="s">
        <v>716</v>
      </c>
      <c r="BA47" s="3" t="s">
        <v>716</v>
      </c>
      <c r="BB47" s="3" t="s">
        <v>717</v>
      </c>
      <c r="BC47" s="3" t="s">
        <v>102</v>
      </c>
      <c r="BD47" s="3" t="s">
        <v>68</v>
      </c>
      <c r="BE47" s="3" t="s">
        <v>718</v>
      </c>
      <c r="BF47" s="3" t="s">
        <v>717</v>
      </c>
      <c r="BG47" s="3" t="s">
        <v>719</v>
      </c>
    </row>
    <row r="48" spans="1:59" ht="72.5" x14ac:dyDescent="0.35">
      <c r="A48" s="2" t="s">
        <v>89</v>
      </c>
      <c r="B48" s="2" t="s">
        <v>90</v>
      </c>
      <c r="C48" s="2" t="s">
        <v>720</v>
      </c>
      <c r="D48" s="2" t="s">
        <v>721</v>
      </c>
      <c r="E48" s="2" t="s">
        <v>722</v>
      </c>
      <c r="F48" s="3" t="s">
        <v>723</v>
      </c>
      <c r="G48" s="3" t="s">
        <v>62</v>
      </c>
      <c r="I48" s="3" t="s">
        <v>62</v>
      </c>
      <c r="J48" s="3" t="s">
        <v>62</v>
      </c>
      <c r="K48" s="3" t="s">
        <v>63</v>
      </c>
      <c r="L48" s="2" t="s">
        <v>724</v>
      </c>
      <c r="M48" s="2" t="s">
        <v>725</v>
      </c>
      <c r="N48" s="3" t="s">
        <v>726</v>
      </c>
      <c r="P48" s="3" t="s">
        <v>64</v>
      </c>
      <c r="Q48" s="2" t="s">
        <v>727</v>
      </c>
      <c r="R48" s="3" t="s">
        <v>65</v>
      </c>
      <c r="S48" s="4">
        <v>1</v>
      </c>
      <c r="T48" s="4">
        <v>1</v>
      </c>
      <c r="U48" s="5" t="s">
        <v>728</v>
      </c>
      <c r="V48" s="5" t="s">
        <v>728</v>
      </c>
      <c r="W48" s="5" t="s">
        <v>67</v>
      </c>
      <c r="X48" s="5" t="s">
        <v>67</v>
      </c>
      <c r="Y48" s="4">
        <v>126</v>
      </c>
      <c r="Z48" s="4">
        <v>7</v>
      </c>
      <c r="AA48" s="4">
        <v>7</v>
      </c>
      <c r="AB48" s="4">
        <v>1</v>
      </c>
      <c r="AC48" s="4">
        <v>1</v>
      </c>
      <c r="AD48" s="4">
        <v>65</v>
      </c>
      <c r="AE48" s="4">
        <v>65</v>
      </c>
      <c r="AF48" s="4">
        <v>0</v>
      </c>
      <c r="AG48" s="4">
        <v>0</v>
      </c>
      <c r="AH48" s="4">
        <v>61</v>
      </c>
      <c r="AI48" s="4">
        <v>61</v>
      </c>
      <c r="AJ48" s="4">
        <v>6</v>
      </c>
      <c r="AK48" s="4">
        <v>6</v>
      </c>
      <c r="AL48" s="4">
        <v>39</v>
      </c>
      <c r="AM48" s="4">
        <v>39</v>
      </c>
      <c r="AN48" s="4">
        <v>0</v>
      </c>
      <c r="AO48" s="4">
        <v>0</v>
      </c>
      <c r="AP48" s="4">
        <v>6</v>
      </c>
      <c r="AQ48" s="4">
        <v>6</v>
      </c>
      <c r="AR48" s="3" t="s">
        <v>62</v>
      </c>
      <c r="AS48" s="3" t="s">
        <v>62</v>
      </c>
      <c r="AT48" s="3" t="s">
        <v>62</v>
      </c>
      <c r="AV48" s="6" t="str">
        <f>HYPERLINK("http://mcgill.on.worldcat.org/oclc/989811442","Catalog Record")</f>
        <v>Catalog Record</v>
      </c>
      <c r="AW48" s="6" t="str">
        <f>HYPERLINK("http://www.worldcat.org/oclc/989811442","WorldCat Record")</f>
        <v>WorldCat Record</v>
      </c>
      <c r="AX48" s="3" t="s">
        <v>729</v>
      </c>
      <c r="AY48" s="3" t="s">
        <v>730</v>
      </c>
      <c r="AZ48" s="3" t="s">
        <v>731</v>
      </c>
      <c r="BA48" s="3" t="s">
        <v>731</v>
      </c>
      <c r="BB48" s="3" t="s">
        <v>732</v>
      </c>
      <c r="BC48" s="3" t="s">
        <v>102</v>
      </c>
      <c r="BD48" s="3" t="s">
        <v>68</v>
      </c>
      <c r="BE48" s="3" t="s">
        <v>733</v>
      </c>
      <c r="BF48" s="3" t="s">
        <v>732</v>
      </c>
      <c r="BG48" s="3" t="s">
        <v>734</v>
      </c>
    </row>
    <row r="49" spans="1:59" ht="72.5" x14ac:dyDescent="0.35">
      <c r="A49" s="2" t="s">
        <v>89</v>
      </c>
      <c r="B49" s="2" t="s">
        <v>90</v>
      </c>
      <c r="C49" s="2" t="s">
        <v>735</v>
      </c>
      <c r="D49" s="2" t="s">
        <v>736</v>
      </c>
      <c r="E49" s="2" t="s">
        <v>737</v>
      </c>
      <c r="F49" s="3" t="s">
        <v>738</v>
      </c>
      <c r="G49" s="3" t="s">
        <v>62</v>
      </c>
      <c r="I49" s="3" t="s">
        <v>62</v>
      </c>
      <c r="J49" s="3" t="s">
        <v>62</v>
      </c>
      <c r="K49" s="3" t="s">
        <v>63</v>
      </c>
      <c r="L49" s="2" t="s">
        <v>739</v>
      </c>
      <c r="M49" s="2" t="s">
        <v>740</v>
      </c>
      <c r="N49" s="3" t="s">
        <v>741</v>
      </c>
      <c r="P49" s="3" t="s">
        <v>64</v>
      </c>
      <c r="Q49" s="2" t="s">
        <v>742</v>
      </c>
      <c r="R49" s="3" t="s">
        <v>65</v>
      </c>
      <c r="S49" s="4">
        <v>0</v>
      </c>
      <c r="T49" s="4">
        <v>0</v>
      </c>
      <c r="W49" s="5" t="s">
        <v>526</v>
      </c>
      <c r="X49" s="5" t="s">
        <v>526</v>
      </c>
      <c r="Y49" s="4">
        <v>103</v>
      </c>
      <c r="Z49" s="4">
        <v>3</v>
      </c>
      <c r="AA49" s="4">
        <v>3</v>
      </c>
      <c r="AB49" s="4">
        <v>1</v>
      </c>
      <c r="AC49" s="4">
        <v>1</v>
      </c>
      <c r="AD49" s="4">
        <v>44</v>
      </c>
      <c r="AE49" s="4">
        <v>44</v>
      </c>
      <c r="AF49" s="4">
        <v>0</v>
      </c>
      <c r="AG49" s="4">
        <v>0</v>
      </c>
      <c r="AH49" s="4">
        <v>42</v>
      </c>
      <c r="AI49" s="4">
        <v>42</v>
      </c>
      <c r="AJ49" s="4">
        <v>2</v>
      </c>
      <c r="AK49" s="4">
        <v>2</v>
      </c>
      <c r="AL49" s="4">
        <v>29</v>
      </c>
      <c r="AM49" s="4">
        <v>29</v>
      </c>
      <c r="AN49" s="4">
        <v>0</v>
      </c>
      <c r="AO49" s="4">
        <v>0</v>
      </c>
      <c r="AP49" s="4">
        <v>2</v>
      </c>
      <c r="AQ49" s="4">
        <v>2</v>
      </c>
      <c r="AR49" s="3" t="s">
        <v>62</v>
      </c>
      <c r="AS49" s="3" t="s">
        <v>62</v>
      </c>
      <c r="AT49" s="3" t="s">
        <v>62</v>
      </c>
      <c r="AV49" s="6" t="str">
        <f>HYPERLINK("http://mcgill.on.worldcat.org/oclc/1013495070","Catalog Record")</f>
        <v>Catalog Record</v>
      </c>
      <c r="AW49" s="6" t="str">
        <f>HYPERLINK("http://www.worldcat.org/oclc/1013495070","WorldCat Record")</f>
        <v>WorldCat Record</v>
      </c>
      <c r="AX49" s="3" t="s">
        <v>743</v>
      </c>
      <c r="AY49" s="3" t="s">
        <v>744</v>
      </c>
      <c r="AZ49" s="3" t="s">
        <v>745</v>
      </c>
      <c r="BA49" s="3" t="s">
        <v>745</v>
      </c>
      <c r="BB49" s="3" t="s">
        <v>746</v>
      </c>
      <c r="BC49" s="3" t="s">
        <v>102</v>
      </c>
      <c r="BD49" s="3" t="s">
        <v>68</v>
      </c>
      <c r="BE49" s="3" t="s">
        <v>747</v>
      </c>
      <c r="BF49" s="3" t="s">
        <v>746</v>
      </c>
      <c r="BG49" s="3" t="s">
        <v>748</v>
      </c>
    </row>
    <row r="50" spans="1:59" ht="72.5" x14ac:dyDescent="0.35">
      <c r="A50" s="2" t="s">
        <v>89</v>
      </c>
      <c r="B50" s="2" t="s">
        <v>90</v>
      </c>
      <c r="C50" s="2" t="s">
        <v>749</v>
      </c>
      <c r="D50" s="2" t="s">
        <v>750</v>
      </c>
      <c r="E50" s="2" t="s">
        <v>751</v>
      </c>
      <c r="F50" s="3" t="s">
        <v>752</v>
      </c>
      <c r="G50" s="3" t="s">
        <v>62</v>
      </c>
      <c r="I50" s="3" t="s">
        <v>62</v>
      </c>
      <c r="J50" s="3" t="s">
        <v>62</v>
      </c>
      <c r="K50" s="3" t="s">
        <v>63</v>
      </c>
      <c r="L50" s="2" t="s">
        <v>753</v>
      </c>
      <c r="M50" s="2" t="s">
        <v>754</v>
      </c>
      <c r="N50" s="3" t="s">
        <v>755</v>
      </c>
      <c r="P50" s="3" t="s">
        <v>64</v>
      </c>
      <c r="Q50" s="2" t="s">
        <v>756</v>
      </c>
      <c r="R50" s="3" t="s">
        <v>65</v>
      </c>
      <c r="S50" s="4">
        <v>7</v>
      </c>
      <c r="T50" s="4">
        <v>7</v>
      </c>
      <c r="U50" s="5" t="s">
        <v>757</v>
      </c>
      <c r="V50" s="5" t="s">
        <v>757</v>
      </c>
      <c r="W50" s="5" t="s">
        <v>67</v>
      </c>
      <c r="X50" s="5" t="s">
        <v>67</v>
      </c>
      <c r="Y50" s="4">
        <v>554</v>
      </c>
      <c r="Z50" s="4">
        <v>31</v>
      </c>
      <c r="AA50" s="4">
        <v>34</v>
      </c>
      <c r="AB50" s="4">
        <v>2</v>
      </c>
      <c r="AC50" s="4">
        <v>4</v>
      </c>
      <c r="AD50" s="4">
        <v>115</v>
      </c>
      <c r="AE50" s="4">
        <v>118</v>
      </c>
      <c r="AF50" s="4">
        <v>1</v>
      </c>
      <c r="AG50" s="4">
        <v>3</v>
      </c>
      <c r="AH50" s="4">
        <v>96</v>
      </c>
      <c r="AI50" s="4">
        <v>97</v>
      </c>
      <c r="AJ50" s="4">
        <v>18</v>
      </c>
      <c r="AK50" s="4">
        <v>20</v>
      </c>
      <c r="AL50" s="4">
        <v>55</v>
      </c>
      <c r="AM50" s="4">
        <v>56</v>
      </c>
      <c r="AN50" s="4">
        <v>0</v>
      </c>
      <c r="AO50" s="4">
        <v>0</v>
      </c>
      <c r="AP50" s="4">
        <v>24</v>
      </c>
      <c r="AQ50" s="4">
        <v>25</v>
      </c>
      <c r="AR50" s="3" t="s">
        <v>62</v>
      </c>
      <c r="AS50" s="3" t="s">
        <v>62</v>
      </c>
      <c r="AT50" s="3" t="s">
        <v>61</v>
      </c>
      <c r="AU50" s="6" t="str">
        <f>HYPERLINK("http://catalog.hathitrust.org/Record/000007037","HathiTrust Record")</f>
        <v>HathiTrust Record</v>
      </c>
      <c r="AV50" s="6" t="str">
        <f>HYPERLINK("http://mcgill.on.worldcat.org/oclc/522293","Catalog Record")</f>
        <v>Catalog Record</v>
      </c>
      <c r="AW50" s="6" t="str">
        <f>HYPERLINK("http://www.worldcat.org/oclc/522293","WorldCat Record")</f>
        <v>WorldCat Record</v>
      </c>
      <c r="AX50" s="3" t="s">
        <v>758</v>
      </c>
      <c r="AY50" s="3" t="s">
        <v>759</v>
      </c>
      <c r="AZ50" s="3" t="s">
        <v>760</v>
      </c>
      <c r="BA50" s="3" t="s">
        <v>760</v>
      </c>
      <c r="BB50" s="3" t="s">
        <v>761</v>
      </c>
      <c r="BC50" s="3" t="s">
        <v>102</v>
      </c>
      <c r="BD50" s="3" t="s">
        <v>68</v>
      </c>
      <c r="BF50" s="3" t="s">
        <v>761</v>
      </c>
      <c r="BG50" s="3" t="s">
        <v>762</v>
      </c>
    </row>
    <row r="51" spans="1:59" ht="72.5" x14ac:dyDescent="0.35">
      <c r="A51" s="2" t="s">
        <v>89</v>
      </c>
      <c r="B51" s="2" t="s">
        <v>90</v>
      </c>
      <c r="C51" s="2" t="s">
        <v>763</v>
      </c>
      <c r="D51" s="2" t="s">
        <v>764</v>
      </c>
      <c r="E51" s="2" t="s">
        <v>765</v>
      </c>
      <c r="F51" s="3" t="s">
        <v>766</v>
      </c>
      <c r="G51" s="3" t="s">
        <v>62</v>
      </c>
      <c r="I51" s="3" t="s">
        <v>61</v>
      </c>
      <c r="J51" s="3" t="s">
        <v>62</v>
      </c>
      <c r="K51" s="3" t="s">
        <v>63</v>
      </c>
      <c r="L51" s="2" t="s">
        <v>767</v>
      </c>
      <c r="M51" s="2" t="s">
        <v>768</v>
      </c>
      <c r="N51" s="3" t="s">
        <v>755</v>
      </c>
      <c r="P51" s="3" t="s">
        <v>64</v>
      </c>
      <c r="Q51" s="2" t="s">
        <v>769</v>
      </c>
      <c r="R51" s="3" t="s">
        <v>65</v>
      </c>
      <c r="S51" s="4">
        <v>3</v>
      </c>
      <c r="T51" s="4">
        <v>6</v>
      </c>
      <c r="U51" s="5" t="s">
        <v>770</v>
      </c>
      <c r="V51" s="5" t="s">
        <v>770</v>
      </c>
      <c r="W51" s="5" t="s">
        <v>67</v>
      </c>
      <c r="X51" s="5" t="s">
        <v>67</v>
      </c>
      <c r="Y51" s="4">
        <v>378</v>
      </c>
      <c r="Z51" s="4">
        <v>17</v>
      </c>
      <c r="AA51" s="4">
        <v>21</v>
      </c>
      <c r="AB51" s="4">
        <v>1</v>
      </c>
      <c r="AC51" s="4">
        <v>2</v>
      </c>
      <c r="AD51" s="4">
        <v>95</v>
      </c>
      <c r="AE51" s="4">
        <v>103</v>
      </c>
      <c r="AF51" s="4">
        <v>0</v>
      </c>
      <c r="AG51" s="4">
        <v>1</v>
      </c>
      <c r="AH51" s="4">
        <v>87</v>
      </c>
      <c r="AI51" s="4">
        <v>94</v>
      </c>
      <c r="AJ51" s="4">
        <v>12</v>
      </c>
      <c r="AK51" s="4">
        <v>15</v>
      </c>
      <c r="AL51" s="4">
        <v>51</v>
      </c>
      <c r="AM51" s="4">
        <v>53</v>
      </c>
      <c r="AN51" s="4">
        <v>0</v>
      </c>
      <c r="AO51" s="4">
        <v>0</v>
      </c>
      <c r="AP51" s="4">
        <v>12</v>
      </c>
      <c r="AQ51" s="4">
        <v>15</v>
      </c>
      <c r="AR51" s="3" t="s">
        <v>62</v>
      </c>
      <c r="AS51" s="3" t="s">
        <v>61</v>
      </c>
      <c r="AT51" s="3" t="s">
        <v>62</v>
      </c>
      <c r="AU51" s="6" t="str">
        <f>HYPERLINK("http://catalog.hathitrust.org/Record/001575720","HathiTrust Record")</f>
        <v>HathiTrust Record</v>
      </c>
      <c r="AV51" s="6" t="str">
        <f>HYPERLINK("http://mcgill.on.worldcat.org/oclc/869786","Catalog Record")</f>
        <v>Catalog Record</v>
      </c>
      <c r="AW51" s="6" t="str">
        <f>HYPERLINK("http://www.worldcat.org/oclc/869786","WorldCat Record")</f>
        <v>WorldCat Record</v>
      </c>
      <c r="AX51" s="3" t="s">
        <v>771</v>
      </c>
      <c r="AY51" s="3" t="s">
        <v>772</v>
      </c>
      <c r="AZ51" s="3" t="s">
        <v>773</v>
      </c>
      <c r="BA51" s="3" t="s">
        <v>773</v>
      </c>
      <c r="BB51" s="3" t="s">
        <v>774</v>
      </c>
      <c r="BC51" s="3" t="s">
        <v>102</v>
      </c>
      <c r="BD51" s="3" t="s">
        <v>68</v>
      </c>
      <c r="BF51" s="3" t="s">
        <v>774</v>
      </c>
      <c r="BG51" s="3" t="s">
        <v>775</v>
      </c>
    </row>
    <row r="52" spans="1:59" ht="72.5" x14ac:dyDescent="0.35">
      <c r="A52" s="2" t="s">
        <v>89</v>
      </c>
      <c r="B52" s="2" t="s">
        <v>90</v>
      </c>
      <c r="C52" s="2" t="s">
        <v>776</v>
      </c>
      <c r="D52" s="2" t="s">
        <v>777</v>
      </c>
      <c r="E52" s="2" t="s">
        <v>778</v>
      </c>
      <c r="F52" s="3" t="s">
        <v>779</v>
      </c>
      <c r="G52" s="3" t="s">
        <v>62</v>
      </c>
      <c r="I52" s="3" t="s">
        <v>62</v>
      </c>
      <c r="J52" s="3" t="s">
        <v>62</v>
      </c>
      <c r="K52" s="3" t="s">
        <v>63</v>
      </c>
      <c r="L52" s="2" t="s">
        <v>780</v>
      </c>
      <c r="M52" s="2" t="s">
        <v>781</v>
      </c>
      <c r="N52" s="3" t="s">
        <v>755</v>
      </c>
      <c r="P52" s="3" t="s">
        <v>64</v>
      </c>
      <c r="Q52" s="2" t="s">
        <v>782</v>
      </c>
      <c r="R52" s="3" t="s">
        <v>65</v>
      </c>
      <c r="S52" s="4">
        <v>3</v>
      </c>
      <c r="T52" s="4">
        <v>3</v>
      </c>
      <c r="U52" s="5" t="s">
        <v>783</v>
      </c>
      <c r="V52" s="5" t="s">
        <v>783</v>
      </c>
      <c r="W52" s="5" t="s">
        <v>67</v>
      </c>
      <c r="X52" s="5" t="s">
        <v>67</v>
      </c>
      <c r="Y52" s="4">
        <v>363</v>
      </c>
      <c r="Z52" s="4">
        <v>7</v>
      </c>
      <c r="AA52" s="4">
        <v>17</v>
      </c>
      <c r="AB52" s="4">
        <v>1</v>
      </c>
      <c r="AC52" s="4">
        <v>4</v>
      </c>
      <c r="AD52" s="4">
        <v>90</v>
      </c>
      <c r="AE52" s="4">
        <v>112</v>
      </c>
      <c r="AF52" s="4">
        <v>0</v>
      </c>
      <c r="AG52" s="4">
        <v>2</v>
      </c>
      <c r="AH52" s="4">
        <v>84</v>
      </c>
      <c r="AI52" s="4">
        <v>100</v>
      </c>
      <c r="AJ52" s="4">
        <v>4</v>
      </c>
      <c r="AK52" s="4">
        <v>12</v>
      </c>
      <c r="AL52" s="4">
        <v>53</v>
      </c>
      <c r="AM52" s="4">
        <v>56</v>
      </c>
      <c r="AN52" s="4">
        <v>0</v>
      </c>
      <c r="AO52" s="4">
        <v>0</v>
      </c>
      <c r="AP52" s="4">
        <v>3</v>
      </c>
      <c r="AQ52" s="4">
        <v>11</v>
      </c>
      <c r="AR52" s="3" t="s">
        <v>62</v>
      </c>
      <c r="AS52" s="3" t="s">
        <v>62</v>
      </c>
      <c r="AT52" s="3" t="s">
        <v>62</v>
      </c>
      <c r="AV52" s="6" t="str">
        <f>HYPERLINK("http://mcgill.on.worldcat.org/oclc/1518075","Catalog Record")</f>
        <v>Catalog Record</v>
      </c>
      <c r="AW52" s="6" t="str">
        <f>HYPERLINK("http://www.worldcat.org/oclc/1518075","WorldCat Record")</f>
        <v>WorldCat Record</v>
      </c>
      <c r="AX52" s="3" t="s">
        <v>784</v>
      </c>
      <c r="AY52" s="3" t="s">
        <v>785</v>
      </c>
      <c r="AZ52" s="3" t="s">
        <v>786</v>
      </c>
      <c r="BA52" s="3" t="s">
        <v>786</v>
      </c>
      <c r="BB52" s="3" t="s">
        <v>787</v>
      </c>
      <c r="BC52" s="3" t="s">
        <v>102</v>
      </c>
      <c r="BD52" s="3" t="s">
        <v>68</v>
      </c>
      <c r="BF52" s="3" t="s">
        <v>787</v>
      </c>
      <c r="BG52" s="3" t="s">
        <v>788</v>
      </c>
    </row>
    <row r="53" spans="1:59" ht="72.5" x14ac:dyDescent="0.35">
      <c r="A53" s="2" t="s">
        <v>89</v>
      </c>
      <c r="B53" s="2" t="s">
        <v>90</v>
      </c>
      <c r="C53" s="2" t="s">
        <v>789</v>
      </c>
      <c r="D53" s="2" t="s">
        <v>790</v>
      </c>
      <c r="E53" s="2" t="s">
        <v>791</v>
      </c>
      <c r="F53" s="3" t="s">
        <v>792</v>
      </c>
      <c r="G53" s="3" t="s">
        <v>62</v>
      </c>
      <c r="I53" s="3" t="s">
        <v>62</v>
      </c>
      <c r="J53" s="3" t="s">
        <v>62</v>
      </c>
      <c r="K53" s="3" t="s">
        <v>63</v>
      </c>
      <c r="L53" s="2" t="s">
        <v>793</v>
      </c>
      <c r="M53" s="2" t="s">
        <v>794</v>
      </c>
      <c r="N53" s="3" t="s">
        <v>795</v>
      </c>
      <c r="P53" s="3" t="s">
        <v>64</v>
      </c>
      <c r="Q53" s="2" t="s">
        <v>796</v>
      </c>
      <c r="R53" s="3" t="s">
        <v>65</v>
      </c>
      <c r="S53" s="4">
        <v>9</v>
      </c>
      <c r="T53" s="4">
        <v>9</v>
      </c>
      <c r="U53" s="5" t="s">
        <v>797</v>
      </c>
      <c r="V53" s="5" t="s">
        <v>797</v>
      </c>
      <c r="W53" s="5" t="s">
        <v>67</v>
      </c>
      <c r="X53" s="5" t="s">
        <v>67</v>
      </c>
      <c r="Y53" s="4">
        <v>333</v>
      </c>
      <c r="Z53" s="4">
        <v>14</v>
      </c>
      <c r="AA53" s="4">
        <v>25</v>
      </c>
      <c r="AB53" s="4">
        <v>1</v>
      </c>
      <c r="AC53" s="4">
        <v>5</v>
      </c>
      <c r="AD53" s="4">
        <v>93</v>
      </c>
      <c r="AE53" s="4">
        <v>108</v>
      </c>
      <c r="AF53" s="4">
        <v>0</v>
      </c>
      <c r="AG53" s="4">
        <v>4</v>
      </c>
      <c r="AH53" s="4">
        <v>88</v>
      </c>
      <c r="AI53" s="4">
        <v>96</v>
      </c>
      <c r="AJ53" s="4">
        <v>8</v>
      </c>
      <c r="AK53" s="4">
        <v>17</v>
      </c>
      <c r="AL53" s="4">
        <v>50</v>
      </c>
      <c r="AM53" s="4">
        <v>52</v>
      </c>
      <c r="AN53" s="4">
        <v>0</v>
      </c>
      <c r="AO53" s="4">
        <v>0</v>
      </c>
      <c r="AP53" s="4">
        <v>9</v>
      </c>
      <c r="AQ53" s="4">
        <v>18</v>
      </c>
      <c r="AR53" s="3" t="s">
        <v>62</v>
      </c>
      <c r="AS53" s="3" t="s">
        <v>62</v>
      </c>
      <c r="AT53" s="3" t="s">
        <v>62</v>
      </c>
      <c r="AV53" s="6" t="str">
        <f>HYPERLINK("http://mcgill.on.worldcat.org/oclc/1875138","Catalog Record")</f>
        <v>Catalog Record</v>
      </c>
      <c r="AW53" s="6" t="str">
        <f>HYPERLINK("http://www.worldcat.org/oclc/1875138","WorldCat Record")</f>
        <v>WorldCat Record</v>
      </c>
      <c r="AX53" s="3" t="s">
        <v>798</v>
      </c>
      <c r="AY53" s="3" t="s">
        <v>799</v>
      </c>
      <c r="AZ53" s="3" t="s">
        <v>800</v>
      </c>
      <c r="BA53" s="3" t="s">
        <v>800</v>
      </c>
      <c r="BB53" s="3" t="s">
        <v>801</v>
      </c>
      <c r="BC53" s="3" t="s">
        <v>102</v>
      </c>
      <c r="BD53" s="3" t="s">
        <v>68</v>
      </c>
      <c r="BF53" s="3" t="s">
        <v>801</v>
      </c>
      <c r="BG53" s="3" t="s">
        <v>802</v>
      </c>
    </row>
    <row r="54" spans="1:59" ht="72.5" x14ac:dyDescent="0.35">
      <c r="A54" s="2" t="s">
        <v>89</v>
      </c>
      <c r="B54" s="2" t="s">
        <v>90</v>
      </c>
      <c r="C54" s="2" t="s">
        <v>803</v>
      </c>
      <c r="D54" s="2" t="s">
        <v>804</v>
      </c>
      <c r="E54" s="2" t="s">
        <v>805</v>
      </c>
      <c r="F54" s="3" t="s">
        <v>806</v>
      </c>
      <c r="G54" s="3" t="s">
        <v>62</v>
      </c>
      <c r="I54" s="3" t="s">
        <v>61</v>
      </c>
      <c r="J54" s="3" t="s">
        <v>62</v>
      </c>
      <c r="K54" s="3" t="s">
        <v>63</v>
      </c>
      <c r="L54" s="2" t="s">
        <v>807</v>
      </c>
      <c r="M54" s="2" t="s">
        <v>808</v>
      </c>
      <c r="N54" s="3" t="s">
        <v>809</v>
      </c>
      <c r="P54" s="3" t="s">
        <v>64</v>
      </c>
      <c r="Q54" s="2" t="s">
        <v>810</v>
      </c>
      <c r="R54" s="3" t="s">
        <v>65</v>
      </c>
      <c r="S54" s="4">
        <v>8</v>
      </c>
      <c r="T54" s="4">
        <v>16</v>
      </c>
      <c r="U54" s="5" t="s">
        <v>811</v>
      </c>
      <c r="V54" s="5" t="s">
        <v>812</v>
      </c>
      <c r="W54" s="5" t="s">
        <v>67</v>
      </c>
      <c r="X54" s="5" t="s">
        <v>67</v>
      </c>
      <c r="Y54" s="4">
        <v>666</v>
      </c>
      <c r="Z54" s="4">
        <v>31</v>
      </c>
      <c r="AA54" s="4">
        <v>54</v>
      </c>
      <c r="AB54" s="4">
        <v>2</v>
      </c>
      <c r="AC54" s="4">
        <v>7</v>
      </c>
      <c r="AD54" s="4">
        <v>120</v>
      </c>
      <c r="AE54" s="4">
        <v>146</v>
      </c>
      <c r="AF54" s="4">
        <v>1</v>
      </c>
      <c r="AG54" s="4">
        <v>4</v>
      </c>
      <c r="AH54" s="4">
        <v>99</v>
      </c>
      <c r="AI54" s="4">
        <v>110</v>
      </c>
      <c r="AJ54" s="4">
        <v>21</v>
      </c>
      <c r="AK54" s="4">
        <v>26</v>
      </c>
      <c r="AL54" s="4">
        <v>54</v>
      </c>
      <c r="AM54" s="4">
        <v>60</v>
      </c>
      <c r="AN54" s="4">
        <v>0</v>
      </c>
      <c r="AO54" s="4">
        <v>0</v>
      </c>
      <c r="AP54" s="4">
        <v>25</v>
      </c>
      <c r="AQ54" s="4">
        <v>41</v>
      </c>
      <c r="AR54" s="3" t="s">
        <v>62</v>
      </c>
      <c r="AS54" s="3" t="s">
        <v>62</v>
      </c>
      <c r="AT54" s="3" t="s">
        <v>62</v>
      </c>
      <c r="AV54" s="6" t="str">
        <f>HYPERLINK("http://mcgill.on.worldcat.org/oclc/522391","Catalog Record")</f>
        <v>Catalog Record</v>
      </c>
      <c r="AW54" s="6" t="str">
        <f>HYPERLINK("http://www.worldcat.org/oclc/522391","WorldCat Record")</f>
        <v>WorldCat Record</v>
      </c>
      <c r="AX54" s="3" t="s">
        <v>813</v>
      </c>
      <c r="AY54" s="3" t="s">
        <v>814</v>
      </c>
      <c r="AZ54" s="3" t="s">
        <v>815</v>
      </c>
      <c r="BA54" s="3" t="s">
        <v>815</v>
      </c>
      <c r="BB54" s="3" t="s">
        <v>816</v>
      </c>
      <c r="BC54" s="3" t="s">
        <v>102</v>
      </c>
      <c r="BD54" s="3" t="s">
        <v>68</v>
      </c>
      <c r="BF54" s="3" t="s">
        <v>816</v>
      </c>
      <c r="BG54" s="3" t="s">
        <v>817</v>
      </c>
    </row>
    <row r="55" spans="1:59" ht="72.5" x14ac:dyDescent="0.35">
      <c r="A55" s="2" t="s">
        <v>89</v>
      </c>
      <c r="B55" s="2" t="s">
        <v>90</v>
      </c>
      <c r="C55" s="2" t="s">
        <v>818</v>
      </c>
      <c r="D55" s="2" t="s">
        <v>819</v>
      </c>
      <c r="E55" s="2" t="s">
        <v>820</v>
      </c>
      <c r="F55" s="3" t="s">
        <v>821</v>
      </c>
      <c r="G55" s="3" t="s">
        <v>62</v>
      </c>
      <c r="I55" s="3" t="s">
        <v>61</v>
      </c>
      <c r="J55" s="3" t="s">
        <v>62</v>
      </c>
      <c r="K55" s="3" t="s">
        <v>63</v>
      </c>
      <c r="L55" s="2" t="s">
        <v>822</v>
      </c>
      <c r="M55" s="2" t="s">
        <v>823</v>
      </c>
      <c r="N55" s="3" t="s">
        <v>824</v>
      </c>
      <c r="P55" s="3" t="s">
        <v>64</v>
      </c>
      <c r="Q55" s="2" t="s">
        <v>825</v>
      </c>
      <c r="R55" s="3" t="s">
        <v>65</v>
      </c>
      <c r="S55" s="4">
        <v>0</v>
      </c>
      <c r="T55" s="4">
        <v>3</v>
      </c>
      <c r="V55" s="5" t="s">
        <v>826</v>
      </c>
      <c r="W55" s="5" t="s">
        <v>67</v>
      </c>
      <c r="X55" s="5" t="s">
        <v>67</v>
      </c>
      <c r="Y55" s="4">
        <v>466</v>
      </c>
      <c r="Z55" s="4">
        <v>24</v>
      </c>
      <c r="AA55" s="4">
        <v>28</v>
      </c>
      <c r="AB55" s="4">
        <v>1</v>
      </c>
      <c r="AC55" s="4">
        <v>3</v>
      </c>
      <c r="AD55" s="4">
        <v>107</v>
      </c>
      <c r="AE55" s="4">
        <v>111</v>
      </c>
      <c r="AF55" s="4">
        <v>0</v>
      </c>
      <c r="AG55" s="4">
        <v>1</v>
      </c>
      <c r="AH55" s="4">
        <v>97</v>
      </c>
      <c r="AI55" s="4">
        <v>99</v>
      </c>
      <c r="AJ55" s="4">
        <v>15</v>
      </c>
      <c r="AK55" s="4">
        <v>18</v>
      </c>
      <c r="AL55" s="4">
        <v>57</v>
      </c>
      <c r="AM55" s="4">
        <v>57</v>
      </c>
      <c r="AN55" s="4">
        <v>0</v>
      </c>
      <c r="AO55" s="4">
        <v>0</v>
      </c>
      <c r="AP55" s="4">
        <v>15</v>
      </c>
      <c r="AQ55" s="4">
        <v>18</v>
      </c>
      <c r="AR55" s="3" t="s">
        <v>62</v>
      </c>
      <c r="AS55" s="3" t="s">
        <v>61</v>
      </c>
      <c r="AT55" s="3" t="s">
        <v>62</v>
      </c>
      <c r="AU55" s="6" t="str">
        <f>HYPERLINK("http://catalog.hathitrust.org/Record/001481152","HathiTrust Record")</f>
        <v>HathiTrust Record</v>
      </c>
      <c r="AV55" s="6" t="str">
        <f>HYPERLINK("http://mcgill.on.worldcat.org/oclc/1042083521","Catalog Record")</f>
        <v>Catalog Record</v>
      </c>
      <c r="AW55" s="6" t="str">
        <f>HYPERLINK("http://www.worldcat.org/oclc/1042083521","WorldCat Record")</f>
        <v>WorldCat Record</v>
      </c>
      <c r="AX55" s="3" t="s">
        <v>827</v>
      </c>
      <c r="AY55" s="3" t="s">
        <v>828</v>
      </c>
      <c r="AZ55" s="3" t="s">
        <v>829</v>
      </c>
      <c r="BA55" s="3" t="s">
        <v>829</v>
      </c>
      <c r="BB55" s="3" t="s">
        <v>830</v>
      </c>
      <c r="BC55" s="3" t="s">
        <v>102</v>
      </c>
      <c r="BD55" s="3" t="s">
        <v>68</v>
      </c>
      <c r="BF55" s="3" t="s">
        <v>830</v>
      </c>
      <c r="BG55" s="3" t="s">
        <v>831</v>
      </c>
    </row>
    <row r="56" spans="1:59" ht="72.5" x14ac:dyDescent="0.35">
      <c r="A56" s="2" t="s">
        <v>89</v>
      </c>
      <c r="B56" s="2" t="s">
        <v>90</v>
      </c>
      <c r="C56" s="2" t="s">
        <v>832</v>
      </c>
      <c r="D56" s="2" t="s">
        <v>833</v>
      </c>
      <c r="E56" s="2" t="s">
        <v>834</v>
      </c>
      <c r="F56" s="3" t="s">
        <v>835</v>
      </c>
      <c r="G56" s="3" t="s">
        <v>62</v>
      </c>
      <c r="I56" s="3" t="s">
        <v>61</v>
      </c>
      <c r="J56" s="3" t="s">
        <v>62</v>
      </c>
      <c r="K56" s="3" t="s">
        <v>63</v>
      </c>
      <c r="L56" s="2" t="s">
        <v>836</v>
      </c>
      <c r="M56" s="2" t="s">
        <v>837</v>
      </c>
      <c r="N56" s="3" t="s">
        <v>838</v>
      </c>
      <c r="P56" s="3" t="s">
        <v>64</v>
      </c>
      <c r="Q56" s="2" t="s">
        <v>839</v>
      </c>
      <c r="R56" s="3" t="s">
        <v>65</v>
      </c>
      <c r="S56" s="4">
        <v>6</v>
      </c>
      <c r="T56" s="4">
        <v>9</v>
      </c>
      <c r="U56" s="5" t="s">
        <v>840</v>
      </c>
      <c r="V56" s="5" t="s">
        <v>840</v>
      </c>
      <c r="W56" s="5" t="s">
        <v>67</v>
      </c>
      <c r="X56" s="5" t="s">
        <v>67</v>
      </c>
      <c r="Y56" s="4">
        <v>741</v>
      </c>
      <c r="Z56" s="4">
        <v>34</v>
      </c>
      <c r="AA56" s="4">
        <v>49</v>
      </c>
      <c r="AB56" s="4">
        <v>1</v>
      </c>
      <c r="AC56" s="4">
        <v>4</v>
      </c>
      <c r="AD56" s="4">
        <v>130</v>
      </c>
      <c r="AE56" s="4">
        <v>140</v>
      </c>
      <c r="AF56" s="4">
        <v>0</v>
      </c>
      <c r="AG56" s="4">
        <v>3</v>
      </c>
      <c r="AH56" s="4">
        <v>108</v>
      </c>
      <c r="AI56" s="4">
        <v>111</v>
      </c>
      <c r="AJ56" s="4">
        <v>17</v>
      </c>
      <c r="AK56" s="4">
        <v>23</v>
      </c>
      <c r="AL56" s="4">
        <v>64</v>
      </c>
      <c r="AM56" s="4">
        <v>64</v>
      </c>
      <c r="AN56" s="4">
        <v>2</v>
      </c>
      <c r="AO56" s="4">
        <v>2</v>
      </c>
      <c r="AP56" s="4">
        <v>25</v>
      </c>
      <c r="AQ56" s="4">
        <v>33</v>
      </c>
      <c r="AR56" s="3" t="s">
        <v>62</v>
      </c>
      <c r="AS56" s="3" t="s">
        <v>62</v>
      </c>
      <c r="AT56" s="3" t="s">
        <v>61</v>
      </c>
      <c r="AU56" s="6" t="str">
        <f>HYPERLINK("http://catalog.hathitrust.org/Record/004428079","HathiTrust Record")</f>
        <v>HathiTrust Record</v>
      </c>
      <c r="AV56" s="6" t="str">
        <f>HYPERLINK("http://mcgill.on.worldcat.org/oclc/1136146","Catalog Record")</f>
        <v>Catalog Record</v>
      </c>
      <c r="AW56" s="6" t="str">
        <f>HYPERLINK("http://www.worldcat.org/oclc/1136146","WorldCat Record")</f>
        <v>WorldCat Record</v>
      </c>
      <c r="AX56" s="3" t="s">
        <v>841</v>
      </c>
      <c r="AY56" s="3" t="s">
        <v>842</v>
      </c>
      <c r="AZ56" s="3" t="s">
        <v>843</v>
      </c>
      <c r="BA56" s="3" t="s">
        <v>843</v>
      </c>
      <c r="BB56" s="3" t="s">
        <v>844</v>
      </c>
      <c r="BC56" s="3" t="s">
        <v>102</v>
      </c>
      <c r="BD56" s="3" t="s">
        <v>68</v>
      </c>
      <c r="BF56" s="3" t="s">
        <v>844</v>
      </c>
      <c r="BG56" s="3" t="s">
        <v>845</v>
      </c>
    </row>
    <row r="57" spans="1:59" ht="72.5" x14ac:dyDescent="0.35">
      <c r="A57" s="2" t="s">
        <v>89</v>
      </c>
      <c r="B57" s="2" t="s">
        <v>90</v>
      </c>
      <c r="C57" s="2" t="s">
        <v>846</v>
      </c>
      <c r="D57" s="2" t="s">
        <v>847</v>
      </c>
      <c r="E57" s="2" t="s">
        <v>848</v>
      </c>
      <c r="F57" s="3" t="s">
        <v>849</v>
      </c>
      <c r="G57" s="3" t="s">
        <v>62</v>
      </c>
      <c r="I57" s="3" t="s">
        <v>62</v>
      </c>
      <c r="J57" s="3" t="s">
        <v>61</v>
      </c>
      <c r="K57" s="3" t="s">
        <v>63</v>
      </c>
      <c r="L57" s="2" t="s">
        <v>850</v>
      </c>
      <c r="M57" s="2" t="s">
        <v>851</v>
      </c>
      <c r="N57" s="3" t="s">
        <v>852</v>
      </c>
      <c r="P57" s="3" t="s">
        <v>64</v>
      </c>
      <c r="Q57" s="2" t="s">
        <v>853</v>
      </c>
      <c r="R57" s="3" t="s">
        <v>65</v>
      </c>
      <c r="S57" s="4">
        <v>10</v>
      </c>
      <c r="T57" s="4">
        <v>10</v>
      </c>
      <c r="U57" s="5" t="s">
        <v>854</v>
      </c>
      <c r="V57" s="5" t="s">
        <v>854</v>
      </c>
      <c r="W57" s="5" t="s">
        <v>67</v>
      </c>
      <c r="X57" s="5" t="s">
        <v>67</v>
      </c>
      <c r="Y57" s="4">
        <v>511</v>
      </c>
      <c r="Z57" s="4">
        <v>44</v>
      </c>
      <c r="AA57" s="4">
        <v>59</v>
      </c>
      <c r="AB57" s="4">
        <v>1</v>
      </c>
      <c r="AC57" s="4">
        <v>8</v>
      </c>
      <c r="AD57" s="4">
        <v>123</v>
      </c>
      <c r="AE57" s="4">
        <v>133</v>
      </c>
      <c r="AF57" s="4">
        <v>0</v>
      </c>
      <c r="AG57" s="4">
        <v>4</v>
      </c>
      <c r="AH57" s="4">
        <v>102</v>
      </c>
      <c r="AI57" s="4">
        <v>104</v>
      </c>
      <c r="AJ57" s="4">
        <v>20</v>
      </c>
      <c r="AK57" s="4">
        <v>24</v>
      </c>
      <c r="AL57" s="4">
        <v>52</v>
      </c>
      <c r="AM57" s="4">
        <v>54</v>
      </c>
      <c r="AN57" s="4">
        <v>0</v>
      </c>
      <c r="AO57" s="4">
        <v>4</v>
      </c>
      <c r="AP57" s="4">
        <v>31</v>
      </c>
      <c r="AQ57" s="4">
        <v>38</v>
      </c>
      <c r="AR57" s="3" t="s">
        <v>62</v>
      </c>
      <c r="AS57" s="3" t="s">
        <v>62</v>
      </c>
      <c r="AT57" s="3" t="s">
        <v>61</v>
      </c>
      <c r="AU57" s="6" t="str">
        <f>HYPERLINK("http://catalog.hathitrust.org/Record/001632469","HathiTrust Record")</f>
        <v>HathiTrust Record</v>
      </c>
      <c r="AV57" s="6" t="str">
        <f>HYPERLINK("http://mcgill.on.worldcat.org/oclc/12725","Catalog Record")</f>
        <v>Catalog Record</v>
      </c>
      <c r="AW57" s="6" t="str">
        <f>HYPERLINK("http://www.worldcat.org/oclc/12725","WorldCat Record")</f>
        <v>WorldCat Record</v>
      </c>
      <c r="AX57" s="3" t="s">
        <v>855</v>
      </c>
      <c r="AY57" s="3" t="s">
        <v>856</v>
      </c>
      <c r="AZ57" s="3" t="s">
        <v>857</v>
      </c>
      <c r="BA57" s="3" t="s">
        <v>857</v>
      </c>
      <c r="BB57" s="3" t="s">
        <v>858</v>
      </c>
      <c r="BC57" s="3" t="s">
        <v>102</v>
      </c>
      <c r="BD57" s="3" t="s">
        <v>68</v>
      </c>
      <c r="BF57" s="3" t="s">
        <v>858</v>
      </c>
      <c r="BG57" s="3" t="s">
        <v>859</v>
      </c>
    </row>
    <row r="58" spans="1:59" ht="72.5" x14ac:dyDescent="0.35">
      <c r="A58" s="2" t="s">
        <v>89</v>
      </c>
      <c r="B58" s="2" t="s">
        <v>90</v>
      </c>
      <c r="C58" s="2" t="s">
        <v>860</v>
      </c>
      <c r="D58" s="2" t="s">
        <v>861</v>
      </c>
      <c r="E58" s="2" t="s">
        <v>862</v>
      </c>
      <c r="F58" s="3" t="s">
        <v>863</v>
      </c>
      <c r="G58" s="3" t="s">
        <v>62</v>
      </c>
      <c r="I58" s="3" t="s">
        <v>62</v>
      </c>
      <c r="J58" s="3" t="s">
        <v>61</v>
      </c>
      <c r="K58" s="3" t="s">
        <v>63</v>
      </c>
      <c r="L58" s="2" t="s">
        <v>864</v>
      </c>
      <c r="M58" s="2" t="s">
        <v>865</v>
      </c>
      <c r="N58" s="3" t="s">
        <v>866</v>
      </c>
      <c r="P58" s="3" t="s">
        <v>64</v>
      </c>
      <c r="Q58" s="2" t="s">
        <v>867</v>
      </c>
      <c r="R58" s="3" t="s">
        <v>65</v>
      </c>
      <c r="S58" s="4">
        <v>7</v>
      </c>
      <c r="T58" s="4">
        <v>7</v>
      </c>
      <c r="U58" s="5" t="s">
        <v>868</v>
      </c>
      <c r="V58" s="5" t="s">
        <v>868</v>
      </c>
      <c r="W58" s="5" t="s">
        <v>67</v>
      </c>
      <c r="X58" s="5" t="s">
        <v>67</v>
      </c>
      <c r="Y58" s="4">
        <v>476</v>
      </c>
      <c r="Z58" s="4">
        <v>34</v>
      </c>
      <c r="AA58" s="4">
        <v>90</v>
      </c>
      <c r="AB58" s="4">
        <v>1</v>
      </c>
      <c r="AC58" s="4">
        <v>15</v>
      </c>
      <c r="AD58" s="4">
        <v>119</v>
      </c>
      <c r="AE58" s="4">
        <v>151</v>
      </c>
      <c r="AF58" s="4">
        <v>0</v>
      </c>
      <c r="AG58" s="4">
        <v>8</v>
      </c>
      <c r="AH58" s="4">
        <v>99</v>
      </c>
      <c r="AI58" s="4">
        <v>108</v>
      </c>
      <c r="AJ58" s="4">
        <v>19</v>
      </c>
      <c r="AK58" s="4">
        <v>25</v>
      </c>
      <c r="AL58" s="4">
        <v>56</v>
      </c>
      <c r="AM58" s="4">
        <v>60</v>
      </c>
      <c r="AN58" s="4">
        <v>0</v>
      </c>
      <c r="AO58" s="4">
        <v>0</v>
      </c>
      <c r="AP58" s="4">
        <v>26</v>
      </c>
      <c r="AQ58" s="4">
        <v>49</v>
      </c>
      <c r="AR58" s="3" t="s">
        <v>62</v>
      </c>
      <c r="AS58" s="3" t="s">
        <v>62</v>
      </c>
      <c r="AT58" s="3" t="s">
        <v>62</v>
      </c>
      <c r="AV58" s="6" t="str">
        <f>HYPERLINK("http://mcgill.on.worldcat.org/oclc/324075","Catalog Record")</f>
        <v>Catalog Record</v>
      </c>
      <c r="AW58" s="6" t="str">
        <f>HYPERLINK("http://www.worldcat.org/oclc/324075","WorldCat Record")</f>
        <v>WorldCat Record</v>
      </c>
      <c r="AX58" s="3" t="s">
        <v>869</v>
      </c>
      <c r="AY58" s="3" t="s">
        <v>870</v>
      </c>
      <c r="AZ58" s="3" t="s">
        <v>871</v>
      </c>
      <c r="BA58" s="3" t="s">
        <v>871</v>
      </c>
      <c r="BB58" s="3" t="s">
        <v>872</v>
      </c>
      <c r="BC58" s="3" t="s">
        <v>102</v>
      </c>
      <c r="BD58" s="3" t="s">
        <v>68</v>
      </c>
      <c r="BE58" s="3" t="s">
        <v>873</v>
      </c>
      <c r="BF58" s="3" t="s">
        <v>872</v>
      </c>
      <c r="BG58" s="3" t="s">
        <v>874</v>
      </c>
    </row>
    <row r="59" spans="1:59" ht="72.5" x14ac:dyDescent="0.35">
      <c r="A59" s="2" t="s">
        <v>89</v>
      </c>
      <c r="B59" s="2" t="s">
        <v>90</v>
      </c>
      <c r="C59" s="2" t="s">
        <v>875</v>
      </c>
      <c r="D59" s="2" t="s">
        <v>876</v>
      </c>
      <c r="E59" s="2" t="s">
        <v>877</v>
      </c>
      <c r="G59" s="3" t="s">
        <v>62</v>
      </c>
      <c r="I59" s="3" t="s">
        <v>62</v>
      </c>
      <c r="J59" s="3" t="s">
        <v>62</v>
      </c>
      <c r="K59" s="3" t="s">
        <v>63</v>
      </c>
      <c r="L59" s="2" t="s">
        <v>878</v>
      </c>
      <c r="M59" s="2" t="s">
        <v>879</v>
      </c>
      <c r="N59" s="3" t="s">
        <v>880</v>
      </c>
      <c r="P59" s="3" t="s">
        <v>64</v>
      </c>
      <c r="R59" s="3" t="s">
        <v>65</v>
      </c>
      <c r="S59" s="4">
        <v>2</v>
      </c>
      <c r="T59" s="4">
        <v>2</v>
      </c>
      <c r="U59" s="5" t="s">
        <v>881</v>
      </c>
      <c r="V59" s="5" t="s">
        <v>881</v>
      </c>
      <c r="W59" s="5" t="s">
        <v>67</v>
      </c>
      <c r="X59" s="5" t="s">
        <v>67</v>
      </c>
      <c r="Y59" s="4">
        <v>146</v>
      </c>
      <c r="Z59" s="4">
        <v>17</v>
      </c>
      <c r="AA59" s="4">
        <v>19</v>
      </c>
      <c r="AB59" s="4">
        <v>1</v>
      </c>
      <c r="AC59" s="4">
        <v>2</v>
      </c>
      <c r="AD59" s="4">
        <v>65</v>
      </c>
      <c r="AE59" s="4">
        <v>67</v>
      </c>
      <c r="AF59" s="4">
        <v>0</v>
      </c>
      <c r="AG59" s="4">
        <v>1</v>
      </c>
      <c r="AH59" s="4">
        <v>58</v>
      </c>
      <c r="AI59" s="4">
        <v>59</v>
      </c>
      <c r="AJ59" s="4">
        <v>14</v>
      </c>
      <c r="AK59" s="4">
        <v>16</v>
      </c>
      <c r="AL59" s="4">
        <v>36</v>
      </c>
      <c r="AM59" s="4">
        <v>36</v>
      </c>
      <c r="AN59" s="4">
        <v>0</v>
      </c>
      <c r="AO59" s="4">
        <v>0</v>
      </c>
      <c r="AP59" s="4">
        <v>15</v>
      </c>
      <c r="AQ59" s="4">
        <v>17</v>
      </c>
      <c r="AR59" s="3" t="s">
        <v>62</v>
      </c>
      <c r="AS59" s="3" t="s">
        <v>62</v>
      </c>
      <c r="AT59" s="3" t="s">
        <v>62</v>
      </c>
      <c r="AV59" s="6" t="str">
        <f>HYPERLINK("http://mcgill.on.worldcat.org/oclc/660559760","Catalog Record")</f>
        <v>Catalog Record</v>
      </c>
      <c r="AW59" s="6" t="str">
        <f>HYPERLINK("http://www.worldcat.org/oclc/660559760","WorldCat Record")</f>
        <v>WorldCat Record</v>
      </c>
      <c r="AX59" s="3" t="s">
        <v>882</v>
      </c>
      <c r="AY59" s="3" t="s">
        <v>883</v>
      </c>
      <c r="AZ59" s="3" t="s">
        <v>884</v>
      </c>
      <c r="BA59" s="3" t="s">
        <v>884</v>
      </c>
      <c r="BB59" s="3" t="s">
        <v>885</v>
      </c>
      <c r="BC59" s="3" t="s">
        <v>102</v>
      </c>
      <c r="BD59" s="3" t="s">
        <v>68</v>
      </c>
      <c r="BE59" s="3" t="s">
        <v>886</v>
      </c>
      <c r="BF59" s="3" t="s">
        <v>885</v>
      </c>
      <c r="BG59" s="3" t="s">
        <v>887</v>
      </c>
    </row>
    <row r="60" spans="1:59" ht="58" x14ac:dyDescent="0.35">
      <c r="A60" s="2" t="s">
        <v>89</v>
      </c>
      <c r="B60" s="2" t="s">
        <v>90</v>
      </c>
      <c r="C60" s="2" t="s">
        <v>888</v>
      </c>
      <c r="D60" s="2" t="s">
        <v>889</v>
      </c>
      <c r="E60" s="2" t="s">
        <v>890</v>
      </c>
      <c r="G60" s="3" t="s">
        <v>62</v>
      </c>
      <c r="I60" s="3" t="s">
        <v>62</v>
      </c>
      <c r="J60" s="3" t="s">
        <v>62</v>
      </c>
      <c r="K60" s="3" t="s">
        <v>63</v>
      </c>
      <c r="L60" s="2" t="s">
        <v>891</v>
      </c>
      <c r="M60" s="2" t="s">
        <v>892</v>
      </c>
      <c r="N60" s="3" t="s">
        <v>893</v>
      </c>
      <c r="P60" s="3" t="s">
        <v>64</v>
      </c>
      <c r="Q60" s="2" t="s">
        <v>894</v>
      </c>
      <c r="R60" s="3" t="s">
        <v>65</v>
      </c>
      <c r="S60" s="4">
        <v>17</v>
      </c>
      <c r="T60" s="4">
        <v>17</v>
      </c>
      <c r="U60" s="5" t="s">
        <v>895</v>
      </c>
      <c r="V60" s="5" t="s">
        <v>895</v>
      </c>
      <c r="W60" s="5" t="s">
        <v>67</v>
      </c>
      <c r="X60" s="5" t="s">
        <v>67</v>
      </c>
      <c r="Y60" s="4">
        <v>170</v>
      </c>
      <c r="Z60" s="4">
        <v>11</v>
      </c>
      <c r="AA60" s="4">
        <v>16</v>
      </c>
      <c r="AB60" s="4">
        <v>1</v>
      </c>
      <c r="AC60" s="4">
        <v>2</v>
      </c>
      <c r="AD60" s="4">
        <v>55</v>
      </c>
      <c r="AE60" s="4">
        <v>73</v>
      </c>
      <c r="AF60" s="4">
        <v>0</v>
      </c>
      <c r="AG60" s="4">
        <v>1</v>
      </c>
      <c r="AH60" s="4">
        <v>49</v>
      </c>
      <c r="AI60" s="4">
        <v>65</v>
      </c>
      <c r="AJ60" s="4">
        <v>10</v>
      </c>
      <c r="AK60" s="4">
        <v>14</v>
      </c>
      <c r="AL60" s="4">
        <v>34</v>
      </c>
      <c r="AM60" s="4">
        <v>44</v>
      </c>
      <c r="AN60" s="4">
        <v>0</v>
      </c>
      <c r="AO60" s="4">
        <v>0</v>
      </c>
      <c r="AP60" s="4">
        <v>10</v>
      </c>
      <c r="AQ60" s="4">
        <v>13</v>
      </c>
      <c r="AR60" s="3" t="s">
        <v>62</v>
      </c>
      <c r="AS60" s="3" t="s">
        <v>62</v>
      </c>
      <c r="AT60" s="3" t="s">
        <v>62</v>
      </c>
      <c r="AV60" s="6" t="str">
        <f>HYPERLINK("http://mcgill.on.worldcat.org/oclc/9520863","Catalog Record")</f>
        <v>Catalog Record</v>
      </c>
      <c r="AW60" s="6" t="str">
        <f>HYPERLINK("http://www.worldcat.org/oclc/9520863","WorldCat Record")</f>
        <v>WorldCat Record</v>
      </c>
      <c r="AX60" s="3" t="s">
        <v>896</v>
      </c>
      <c r="AY60" s="3" t="s">
        <v>897</v>
      </c>
      <c r="AZ60" s="3" t="s">
        <v>898</v>
      </c>
      <c r="BA60" s="3" t="s">
        <v>898</v>
      </c>
      <c r="BB60" s="3" t="s">
        <v>899</v>
      </c>
      <c r="BC60" s="3" t="s">
        <v>102</v>
      </c>
      <c r="BD60" s="3" t="s">
        <v>68</v>
      </c>
      <c r="BE60" s="3" t="s">
        <v>900</v>
      </c>
      <c r="BF60" s="3" t="s">
        <v>899</v>
      </c>
      <c r="BG60" s="3" t="s">
        <v>901</v>
      </c>
    </row>
    <row r="61" spans="1:59" ht="58" x14ac:dyDescent="0.35">
      <c r="A61" s="2" t="s">
        <v>89</v>
      </c>
      <c r="B61" s="2" t="s">
        <v>90</v>
      </c>
      <c r="C61" s="2" t="s">
        <v>902</v>
      </c>
      <c r="D61" s="2" t="s">
        <v>903</v>
      </c>
      <c r="E61" s="2" t="s">
        <v>904</v>
      </c>
      <c r="G61" s="3" t="s">
        <v>62</v>
      </c>
      <c r="I61" s="3" t="s">
        <v>62</v>
      </c>
      <c r="J61" s="3" t="s">
        <v>62</v>
      </c>
      <c r="K61" s="3" t="s">
        <v>63</v>
      </c>
      <c r="M61" s="2" t="s">
        <v>905</v>
      </c>
      <c r="N61" s="3" t="s">
        <v>496</v>
      </c>
      <c r="P61" s="3" t="s">
        <v>64</v>
      </c>
      <c r="R61" s="3" t="s">
        <v>65</v>
      </c>
      <c r="S61" s="4">
        <v>13</v>
      </c>
      <c r="T61" s="4">
        <v>13</v>
      </c>
      <c r="U61" s="5" t="s">
        <v>906</v>
      </c>
      <c r="V61" s="5" t="s">
        <v>906</v>
      </c>
      <c r="W61" s="5" t="s">
        <v>67</v>
      </c>
      <c r="X61" s="5" t="s">
        <v>67</v>
      </c>
      <c r="Y61" s="4">
        <v>221</v>
      </c>
      <c r="Z61" s="4">
        <v>15</v>
      </c>
      <c r="AA61" s="4">
        <v>29</v>
      </c>
      <c r="AB61" s="4">
        <v>1</v>
      </c>
      <c r="AC61" s="4">
        <v>2</v>
      </c>
      <c r="AD61" s="4">
        <v>82</v>
      </c>
      <c r="AE61" s="4">
        <v>122</v>
      </c>
      <c r="AF61" s="4">
        <v>0</v>
      </c>
      <c r="AG61" s="4">
        <v>1</v>
      </c>
      <c r="AH61" s="4">
        <v>77</v>
      </c>
      <c r="AI61" s="4">
        <v>106</v>
      </c>
      <c r="AJ61" s="4">
        <v>9</v>
      </c>
      <c r="AK61" s="4">
        <v>22</v>
      </c>
      <c r="AL61" s="4">
        <v>44</v>
      </c>
      <c r="AM61" s="4">
        <v>58</v>
      </c>
      <c r="AN61" s="4">
        <v>0</v>
      </c>
      <c r="AO61" s="4">
        <v>0</v>
      </c>
      <c r="AP61" s="4">
        <v>10</v>
      </c>
      <c r="AQ61" s="4">
        <v>24</v>
      </c>
      <c r="AR61" s="3" t="s">
        <v>62</v>
      </c>
      <c r="AS61" s="3" t="s">
        <v>62</v>
      </c>
      <c r="AT61" s="3" t="s">
        <v>61</v>
      </c>
      <c r="AU61" s="6" t="str">
        <f>HYPERLINK("http://catalog.hathitrust.org/Record/001473115","HathiTrust Record")</f>
        <v>HathiTrust Record</v>
      </c>
      <c r="AV61" s="6" t="str">
        <f>HYPERLINK("http://mcgill.on.worldcat.org/oclc/2339958","Catalog Record")</f>
        <v>Catalog Record</v>
      </c>
      <c r="AW61" s="6" t="str">
        <f>HYPERLINK("http://www.worldcat.org/oclc/2339958","WorldCat Record")</f>
        <v>WorldCat Record</v>
      </c>
      <c r="AX61" s="3" t="s">
        <v>907</v>
      </c>
      <c r="AY61" s="3" t="s">
        <v>908</v>
      </c>
      <c r="AZ61" s="3" t="s">
        <v>909</v>
      </c>
      <c r="BA61" s="3" t="s">
        <v>909</v>
      </c>
      <c r="BB61" s="3" t="s">
        <v>910</v>
      </c>
      <c r="BC61" s="3" t="s">
        <v>102</v>
      </c>
      <c r="BD61" s="3" t="s">
        <v>68</v>
      </c>
      <c r="BE61" s="3" t="s">
        <v>911</v>
      </c>
      <c r="BF61" s="3" t="s">
        <v>910</v>
      </c>
      <c r="BG61" s="3" t="s">
        <v>912</v>
      </c>
    </row>
    <row r="62" spans="1:59" ht="58" x14ac:dyDescent="0.35">
      <c r="A62" s="2" t="s">
        <v>89</v>
      </c>
      <c r="B62" s="2" t="s">
        <v>90</v>
      </c>
      <c r="C62" s="2" t="s">
        <v>913</v>
      </c>
      <c r="D62" s="2" t="s">
        <v>914</v>
      </c>
      <c r="E62" s="2" t="s">
        <v>915</v>
      </c>
      <c r="G62" s="3" t="s">
        <v>62</v>
      </c>
      <c r="I62" s="3" t="s">
        <v>61</v>
      </c>
      <c r="J62" s="3" t="s">
        <v>61</v>
      </c>
      <c r="K62" s="3" t="s">
        <v>916</v>
      </c>
      <c r="L62" s="2" t="s">
        <v>917</v>
      </c>
      <c r="M62" s="2" t="s">
        <v>918</v>
      </c>
      <c r="N62" s="3" t="s">
        <v>919</v>
      </c>
      <c r="P62" s="3" t="s">
        <v>64</v>
      </c>
      <c r="R62" s="3" t="s">
        <v>65</v>
      </c>
      <c r="S62" s="4">
        <v>16</v>
      </c>
      <c r="T62" s="4">
        <v>17</v>
      </c>
      <c r="U62" s="5" t="s">
        <v>906</v>
      </c>
      <c r="V62" s="5" t="s">
        <v>906</v>
      </c>
      <c r="W62" s="5" t="s">
        <v>67</v>
      </c>
      <c r="X62" s="5" t="s">
        <v>67</v>
      </c>
      <c r="Y62" s="4">
        <v>70</v>
      </c>
      <c r="Z62" s="4">
        <v>6</v>
      </c>
      <c r="AA62" s="4">
        <v>44</v>
      </c>
      <c r="AB62" s="4">
        <v>1</v>
      </c>
      <c r="AC62" s="4">
        <v>5</v>
      </c>
      <c r="AD62" s="4">
        <v>13</v>
      </c>
      <c r="AE62" s="4">
        <v>139</v>
      </c>
      <c r="AF62" s="4">
        <v>0</v>
      </c>
      <c r="AG62" s="4">
        <v>3</v>
      </c>
      <c r="AH62" s="4">
        <v>11</v>
      </c>
      <c r="AI62" s="4">
        <v>115</v>
      </c>
      <c r="AJ62" s="4">
        <v>4</v>
      </c>
      <c r="AK62" s="4">
        <v>26</v>
      </c>
      <c r="AL62" s="4">
        <v>6</v>
      </c>
      <c r="AM62" s="4">
        <v>60</v>
      </c>
      <c r="AN62" s="4">
        <v>0</v>
      </c>
      <c r="AO62" s="4">
        <v>0</v>
      </c>
      <c r="AP62" s="4">
        <v>3</v>
      </c>
      <c r="AQ62" s="4">
        <v>31</v>
      </c>
      <c r="AR62" s="3" t="s">
        <v>62</v>
      </c>
      <c r="AS62" s="3" t="s">
        <v>62</v>
      </c>
      <c r="AT62" s="3" t="s">
        <v>62</v>
      </c>
      <c r="AV62" s="6" t="str">
        <f>HYPERLINK("http://mcgill.on.worldcat.org/oclc/2340030","Catalog Record")</f>
        <v>Catalog Record</v>
      </c>
      <c r="AW62" s="6" t="str">
        <f>HYPERLINK("http://www.worldcat.org/oclc/2340030","WorldCat Record")</f>
        <v>WorldCat Record</v>
      </c>
      <c r="AX62" s="3" t="s">
        <v>920</v>
      </c>
      <c r="AY62" s="3" t="s">
        <v>921</v>
      </c>
      <c r="AZ62" s="3" t="s">
        <v>922</v>
      </c>
      <c r="BA62" s="3" t="s">
        <v>922</v>
      </c>
      <c r="BB62" s="3" t="s">
        <v>923</v>
      </c>
      <c r="BC62" s="3" t="s">
        <v>102</v>
      </c>
      <c r="BD62" s="3" t="s">
        <v>68</v>
      </c>
      <c r="BF62" s="3" t="s">
        <v>923</v>
      </c>
      <c r="BG62" s="3" t="s">
        <v>924</v>
      </c>
    </row>
    <row r="63" spans="1:59" ht="58" x14ac:dyDescent="0.35">
      <c r="A63" s="2" t="s">
        <v>89</v>
      </c>
      <c r="B63" s="2" t="s">
        <v>90</v>
      </c>
      <c r="C63" s="2" t="s">
        <v>925</v>
      </c>
      <c r="D63" s="2" t="s">
        <v>926</v>
      </c>
      <c r="E63" s="2" t="s">
        <v>927</v>
      </c>
      <c r="G63" s="3" t="s">
        <v>62</v>
      </c>
      <c r="I63" s="3" t="s">
        <v>61</v>
      </c>
      <c r="J63" s="3" t="s">
        <v>62</v>
      </c>
      <c r="K63" s="3" t="s">
        <v>63</v>
      </c>
      <c r="L63" s="2" t="s">
        <v>928</v>
      </c>
      <c r="M63" s="2" t="s">
        <v>929</v>
      </c>
      <c r="N63" s="3" t="s">
        <v>930</v>
      </c>
      <c r="P63" s="3" t="s">
        <v>64</v>
      </c>
      <c r="R63" s="3" t="s">
        <v>65</v>
      </c>
      <c r="S63" s="4">
        <v>13</v>
      </c>
      <c r="T63" s="4">
        <v>16</v>
      </c>
      <c r="U63" s="5" t="s">
        <v>931</v>
      </c>
      <c r="V63" s="5" t="s">
        <v>931</v>
      </c>
      <c r="W63" s="5" t="s">
        <v>67</v>
      </c>
      <c r="X63" s="5" t="s">
        <v>67</v>
      </c>
      <c r="Y63" s="4">
        <v>360</v>
      </c>
      <c r="Z63" s="4">
        <v>33</v>
      </c>
      <c r="AA63" s="4">
        <v>35</v>
      </c>
      <c r="AB63" s="4">
        <v>2</v>
      </c>
      <c r="AC63" s="4">
        <v>3</v>
      </c>
      <c r="AD63" s="4">
        <v>111</v>
      </c>
      <c r="AE63" s="4">
        <v>113</v>
      </c>
      <c r="AF63" s="4">
        <v>1</v>
      </c>
      <c r="AG63" s="4">
        <v>2</v>
      </c>
      <c r="AH63" s="4">
        <v>95</v>
      </c>
      <c r="AI63" s="4">
        <v>96</v>
      </c>
      <c r="AJ63" s="4">
        <v>21</v>
      </c>
      <c r="AK63" s="4">
        <v>23</v>
      </c>
      <c r="AL63" s="4">
        <v>52</v>
      </c>
      <c r="AM63" s="4">
        <v>52</v>
      </c>
      <c r="AN63" s="4">
        <v>0</v>
      </c>
      <c r="AO63" s="4">
        <v>0</v>
      </c>
      <c r="AP63" s="4">
        <v>25</v>
      </c>
      <c r="AQ63" s="4">
        <v>27</v>
      </c>
      <c r="AR63" s="3" t="s">
        <v>62</v>
      </c>
      <c r="AS63" s="3" t="s">
        <v>62</v>
      </c>
      <c r="AT63" s="3" t="s">
        <v>61</v>
      </c>
      <c r="AU63" s="6" t="str">
        <f>HYPERLINK("http://catalog.hathitrust.org/Record/001983356","HathiTrust Record")</f>
        <v>HathiTrust Record</v>
      </c>
      <c r="AV63" s="6" t="str">
        <f>HYPERLINK("http://mcgill.on.worldcat.org/oclc/813245","Catalog Record")</f>
        <v>Catalog Record</v>
      </c>
      <c r="AW63" s="6" t="str">
        <f>HYPERLINK("http://www.worldcat.org/oclc/813245","WorldCat Record")</f>
        <v>WorldCat Record</v>
      </c>
      <c r="AX63" s="3" t="s">
        <v>932</v>
      </c>
      <c r="AY63" s="3" t="s">
        <v>933</v>
      </c>
      <c r="AZ63" s="3" t="s">
        <v>934</v>
      </c>
      <c r="BA63" s="3" t="s">
        <v>934</v>
      </c>
      <c r="BB63" s="3" t="s">
        <v>935</v>
      </c>
      <c r="BC63" s="3" t="s">
        <v>102</v>
      </c>
      <c r="BD63" s="3" t="s">
        <v>68</v>
      </c>
      <c r="BF63" s="3" t="s">
        <v>935</v>
      </c>
      <c r="BG63" s="3" t="s">
        <v>936</v>
      </c>
    </row>
    <row r="64" spans="1:59" ht="58" x14ac:dyDescent="0.35">
      <c r="A64" s="2" t="s">
        <v>89</v>
      </c>
      <c r="B64" s="2" t="s">
        <v>90</v>
      </c>
      <c r="C64" s="2" t="s">
        <v>937</v>
      </c>
      <c r="D64" s="2" t="s">
        <v>938</v>
      </c>
      <c r="E64" s="2" t="s">
        <v>939</v>
      </c>
      <c r="G64" s="3" t="s">
        <v>62</v>
      </c>
      <c r="I64" s="3" t="s">
        <v>62</v>
      </c>
      <c r="J64" s="3" t="s">
        <v>62</v>
      </c>
      <c r="K64" s="3" t="s">
        <v>63</v>
      </c>
      <c r="L64" s="2" t="s">
        <v>940</v>
      </c>
      <c r="M64" s="2" t="s">
        <v>941</v>
      </c>
      <c r="N64" s="3" t="s">
        <v>129</v>
      </c>
      <c r="P64" s="3" t="s">
        <v>64</v>
      </c>
      <c r="Q64" s="2" t="s">
        <v>942</v>
      </c>
      <c r="R64" s="3" t="s">
        <v>65</v>
      </c>
      <c r="S64" s="4">
        <v>1</v>
      </c>
      <c r="T64" s="4">
        <v>1</v>
      </c>
      <c r="W64" s="5" t="s">
        <v>67</v>
      </c>
      <c r="X64" s="5" t="s">
        <v>67</v>
      </c>
      <c r="Y64" s="4">
        <v>94</v>
      </c>
      <c r="Z64" s="4">
        <v>8</v>
      </c>
      <c r="AA64" s="4">
        <v>40</v>
      </c>
      <c r="AB64" s="4">
        <v>1</v>
      </c>
      <c r="AC64" s="4">
        <v>7</v>
      </c>
      <c r="AD64" s="4">
        <v>39</v>
      </c>
      <c r="AE64" s="4">
        <v>53</v>
      </c>
      <c r="AF64" s="4">
        <v>0</v>
      </c>
      <c r="AG64" s="4">
        <v>0</v>
      </c>
      <c r="AH64" s="4">
        <v>38</v>
      </c>
      <c r="AI64" s="4">
        <v>48</v>
      </c>
      <c r="AJ64" s="4">
        <v>6</v>
      </c>
      <c r="AK64" s="4">
        <v>7</v>
      </c>
      <c r="AL64" s="4">
        <v>27</v>
      </c>
      <c r="AM64" s="4">
        <v>33</v>
      </c>
      <c r="AN64" s="4">
        <v>0</v>
      </c>
      <c r="AO64" s="4">
        <v>0</v>
      </c>
      <c r="AP64" s="4">
        <v>6</v>
      </c>
      <c r="AQ64" s="4">
        <v>10</v>
      </c>
      <c r="AR64" s="3" t="s">
        <v>62</v>
      </c>
      <c r="AS64" s="3" t="s">
        <v>62</v>
      </c>
      <c r="AT64" s="3" t="s">
        <v>62</v>
      </c>
      <c r="AV64" s="6" t="str">
        <f>HYPERLINK("http://mcgill.on.worldcat.org/oclc/834441563","Catalog Record")</f>
        <v>Catalog Record</v>
      </c>
      <c r="AW64" s="6" t="str">
        <f>HYPERLINK("http://www.worldcat.org/oclc/834441563","WorldCat Record")</f>
        <v>WorldCat Record</v>
      </c>
      <c r="AX64" s="3" t="s">
        <v>943</v>
      </c>
      <c r="AY64" s="3" t="s">
        <v>944</v>
      </c>
      <c r="AZ64" s="3" t="s">
        <v>945</v>
      </c>
      <c r="BA64" s="3" t="s">
        <v>945</v>
      </c>
      <c r="BB64" s="3" t="s">
        <v>946</v>
      </c>
      <c r="BC64" s="3" t="s">
        <v>102</v>
      </c>
      <c r="BD64" s="3" t="s">
        <v>231</v>
      </c>
      <c r="BE64" s="3" t="s">
        <v>947</v>
      </c>
      <c r="BF64" s="3" t="s">
        <v>946</v>
      </c>
      <c r="BG64" s="3" t="s">
        <v>948</v>
      </c>
    </row>
    <row r="65" spans="1:59" ht="58" x14ac:dyDescent="0.35">
      <c r="A65" s="2" t="s">
        <v>89</v>
      </c>
      <c r="B65" s="2" t="s">
        <v>90</v>
      </c>
      <c r="C65" s="2" t="s">
        <v>949</v>
      </c>
      <c r="D65" s="2" t="s">
        <v>950</v>
      </c>
      <c r="E65" s="2" t="s">
        <v>951</v>
      </c>
      <c r="G65" s="3" t="s">
        <v>62</v>
      </c>
      <c r="I65" s="3" t="s">
        <v>61</v>
      </c>
      <c r="J65" s="3" t="s">
        <v>61</v>
      </c>
      <c r="K65" s="3" t="s">
        <v>63</v>
      </c>
      <c r="L65" s="2" t="s">
        <v>952</v>
      </c>
      <c r="M65" s="2" t="s">
        <v>953</v>
      </c>
      <c r="N65" s="3" t="s">
        <v>954</v>
      </c>
      <c r="P65" s="3" t="s">
        <v>64</v>
      </c>
      <c r="R65" s="3" t="s">
        <v>65</v>
      </c>
      <c r="S65" s="4">
        <v>16</v>
      </c>
      <c r="T65" s="4">
        <v>20</v>
      </c>
      <c r="U65" s="5" t="s">
        <v>906</v>
      </c>
      <c r="V65" s="5" t="s">
        <v>906</v>
      </c>
      <c r="W65" s="5" t="s">
        <v>67</v>
      </c>
      <c r="X65" s="5" t="s">
        <v>67</v>
      </c>
      <c r="Y65" s="4">
        <v>522</v>
      </c>
      <c r="Z65" s="4">
        <v>23</v>
      </c>
      <c r="AA65" s="4">
        <v>55</v>
      </c>
      <c r="AB65" s="4">
        <v>3</v>
      </c>
      <c r="AC65" s="4">
        <v>7</v>
      </c>
      <c r="AD65" s="4">
        <v>97</v>
      </c>
      <c r="AE65" s="4">
        <v>134</v>
      </c>
      <c r="AF65" s="4">
        <v>1</v>
      </c>
      <c r="AG65" s="4">
        <v>3</v>
      </c>
      <c r="AH65" s="4">
        <v>82</v>
      </c>
      <c r="AI65" s="4">
        <v>106</v>
      </c>
      <c r="AJ65" s="4">
        <v>14</v>
      </c>
      <c r="AK65" s="4">
        <v>25</v>
      </c>
      <c r="AL65" s="4">
        <v>45</v>
      </c>
      <c r="AM65" s="4">
        <v>59</v>
      </c>
      <c r="AN65" s="4">
        <v>0</v>
      </c>
      <c r="AO65" s="4">
        <v>0</v>
      </c>
      <c r="AP65" s="4">
        <v>17</v>
      </c>
      <c r="AQ65" s="4">
        <v>33</v>
      </c>
      <c r="AR65" s="3" t="s">
        <v>62</v>
      </c>
      <c r="AS65" s="3" t="s">
        <v>62</v>
      </c>
      <c r="AT65" s="3" t="s">
        <v>61</v>
      </c>
      <c r="AU65" s="6" t="str">
        <f>HYPERLINK("http://catalog.hathitrust.org/Record/001473117","HathiTrust Record")</f>
        <v>HathiTrust Record</v>
      </c>
      <c r="AV65" s="6" t="str">
        <f>HYPERLINK("http://mcgill.on.worldcat.org/oclc/238033","Catalog Record")</f>
        <v>Catalog Record</v>
      </c>
      <c r="AW65" s="6" t="str">
        <f>HYPERLINK("http://www.worldcat.org/oclc/238033","WorldCat Record")</f>
        <v>WorldCat Record</v>
      </c>
      <c r="AX65" s="3" t="s">
        <v>955</v>
      </c>
      <c r="AY65" s="3" t="s">
        <v>956</v>
      </c>
      <c r="AZ65" s="3" t="s">
        <v>957</v>
      </c>
      <c r="BA65" s="3" t="s">
        <v>957</v>
      </c>
      <c r="BB65" s="3" t="s">
        <v>958</v>
      </c>
      <c r="BC65" s="3" t="s">
        <v>102</v>
      </c>
      <c r="BD65" s="3" t="s">
        <v>68</v>
      </c>
      <c r="BF65" s="3" t="s">
        <v>958</v>
      </c>
      <c r="BG65" s="3" t="s">
        <v>959</v>
      </c>
    </row>
    <row r="66" spans="1:59" ht="72.5" x14ac:dyDescent="0.35">
      <c r="A66" s="2" t="s">
        <v>89</v>
      </c>
      <c r="B66" s="2" t="s">
        <v>90</v>
      </c>
      <c r="C66" s="2" t="s">
        <v>960</v>
      </c>
      <c r="D66" s="2" t="s">
        <v>961</v>
      </c>
      <c r="E66" s="2" t="s">
        <v>962</v>
      </c>
      <c r="G66" s="3" t="s">
        <v>62</v>
      </c>
      <c r="I66" s="3" t="s">
        <v>62</v>
      </c>
      <c r="J66" s="3" t="s">
        <v>62</v>
      </c>
      <c r="K66" s="3" t="s">
        <v>63</v>
      </c>
      <c r="L66" s="2" t="s">
        <v>963</v>
      </c>
      <c r="M66" s="2" t="s">
        <v>964</v>
      </c>
      <c r="N66" s="3" t="s">
        <v>186</v>
      </c>
      <c r="P66" s="3" t="s">
        <v>64</v>
      </c>
      <c r="R66" s="3" t="s">
        <v>65</v>
      </c>
      <c r="S66" s="4">
        <v>2</v>
      </c>
      <c r="T66" s="4">
        <v>2</v>
      </c>
      <c r="U66" s="5" t="s">
        <v>931</v>
      </c>
      <c r="V66" s="5" t="s">
        <v>931</v>
      </c>
      <c r="W66" s="5" t="s">
        <v>67</v>
      </c>
      <c r="X66" s="5" t="s">
        <v>67</v>
      </c>
      <c r="Y66" s="4">
        <v>166</v>
      </c>
      <c r="Z66" s="4">
        <v>15</v>
      </c>
      <c r="AA66" s="4">
        <v>16</v>
      </c>
      <c r="AB66" s="4">
        <v>1</v>
      </c>
      <c r="AC66" s="4">
        <v>2</v>
      </c>
      <c r="AD66" s="4">
        <v>68</v>
      </c>
      <c r="AE66" s="4">
        <v>69</v>
      </c>
      <c r="AF66" s="4">
        <v>0</v>
      </c>
      <c r="AG66" s="4">
        <v>1</v>
      </c>
      <c r="AH66" s="4">
        <v>62</v>
      </c>
      <c r="AI66" s="4">
        <v>62</v>
      </c>
      <c r="AJ66" s="4">
        <v>12</v>
      </c>
      <c r="AK66" s="4">
        <v>13</v>
      </c>
      <c r="AL66" s="4">
        <v>35</v>
      </c>
      <c r="AM66" s="4">
        <v>35</v>
      </c>
      <c r="AN66" s="4">
        <v>0</v>
      </c>
      <c r="AO66" s="4">
        <v>0</v>
      </c>
      <c r="AP66" s="4">
        <v>12</v>
      </c>
      <c r="AQ66" s="4">
        <v>12</v>
      </c>
      <c r="AR66" s="3" t="s">
        <v>62</v>
      </c>
      <c r="AS66" s="3" t="s">
        <v>62</v>
      </c>
      <c r="AT66" s="3" t="s">
        <v>61</v>
      </c>
      <c r="AU66" s="6" t="str">
        <f>HYPERLINK("http://catalog.hathitrust.org/Record/001473123","HathiTrust Record")</f>
        <v>HathiTrust Record</v>
      </c>
      <c r="AV66" s="6" t="str">
        <f>HYPERLINK("http://mcgill.on.worldcat.org/oclc/1527348","Catalog Record")</f>
        <v>Catalog Record</v>
      </c>
      <c r="AW66" s="6" t="str">
        <f>HYPERLINK("http://www.worldcat.org/oclc/1527348","WorldCat Record")</f>
        <v>WorldCat Record</v>
      </c>
      <c r="AX66" s="3" t="s">
        <v>965</v>
      </c>
      <c r="AY66" s="3" t="s">
        <v>966</v>
      </c>
      <c r="AZ66" s="3" t="s">
        <v>967</v>
      </c>
      <c r="BA66" s="3" t="s">
        <v>967</v>
      </c>
      <c r="BB66" s="3" t="s">
        <v>968</v>
      </c>
      <c r="BC66" s="3" t="s">
        <v>102</v>
      </c>
      <c r="BD66" s="3" t="s">
        <v>68</v>
      </c>
      <c r="BE66" s="3" t="s">
        <v>969</v>
      </c>
      <c r="BF66" s="3" t="s">
        <v>968</v>
      </c>
      <c r="BG66" s="3" t="s">
        <v>970</v>
      </c>
    </row>
    <row r="67" spans="1:59" ht="58" x14ac:dyDescent="0.35">
      <c r="A67" s="2" t="s">
        <v>89</v>
      </c>
      <c r="B67" s="2" t="s">
        <v>90</v>
      </c>
      <c r="C67" s="2" t="s">
        <v>971</v>
      </c>
      <c r="D67" s="2" t="s">
        <v>972</v>
      </c>
      <c r="E67" s="2" t="s">
        <v>973</v>
      </c>
      <c r="G67" s="3" t="s">
        <v>62</v>
      </c>
      <c r="I67" s="3" t="s">
        <v>62</v>
      </c>
      <c r="J67" s="3" t="s">
        <v>62</v>
      </c>
      <c r="K67" s="3" t="s">
        <v>63</v>
      </c>
      <c r="L67" s="2" t="s">
        <v>974</v>
      </c>
      <c r="M67" s="2" t="s">
        <v>975</v>
      </c>
      <c r="N67" s="3" t="s">
        <v>976</v>
      </c>
      <c r="P67" s="3" t="s">
        <v>64</v>
      </c>
      <c r="R67" s="3" t="s">
        <v>65</v>
      </c>
      <c r="S67" s="4">
        <v>4</v>
      </c>
      <c r="T67" s="4">
        <v>4</v>
      </c>
      <c r="U67" s="5" t="s">
        <v>895</v>
      </c>
      <c r="V67" s="5" t="s">
        <v>895</v>
      </c>
      <c r="W67" s="5" t="s">
        <v>67</v>
      </c>
      <c r="X67" s="5" t="s">
        <v>67</v>
      </c>
      <c r="Y67" s="4">
        <v>61</v>
      </c>
      <c r="Z67" s="4">
        <v>8</v>
      </c>
      <c r="AA67" s="4">
        <v>24</v>
      </c>
      <c r="AB67" s="4">
        <v>1</v>
      </c>
      <c r="AC67" s="4">
        <v>1</v>
      </c>
      <c r="AD67" s="4">
        <v>18</v>
      </c>
      <c r="AE67" s="4">
        <v>59</v>
      </c>
      <c r="AF67" s="4">
        <v>0</v>
      </c>
      <c r="AG67" s="4">
        <v>0</v>
      </c>
      <c r="AH67" s="4">
        <v>16</v>
      </c>
      <c r="AI67" s="4">
        <v>48</v>
      </c>
      <c r="AJ67" s="4">
        <v>6</v>
      </c>
      <c r="AK67" s="4">
        <v>11</v>
      </c>
      <c r="AL67" s="4">
        <v>11</v>
      </c>
      <c r="AM67" s="4">
        <v>32</v>
      </c>
      <c r="AN67" s="4">
        <v>0</v>
      </c>
      <c r="AO67" s="4">
        <v>0</v>
      </c>
      <c r="AP67" s="4">
        <v>5</v>
      </c>
      <c r="AQ67" s="4">
        <v>14</v>
      </c>
      <c r="AR67" s="3" t="s">
        <v>62</v>
      </c>
      <c r="AS67" s="3" t="s">
        <v>62</v>
      </c>
      <c r="AT67" s="3" t="s">
        <v>62</v>
      </c>
      <c r="AU67" s="6" t="str">
        <f>HYPERLINK("http://catalog.hathitrust.org/Record/001983359","HathiTrust Record")</f>
        <v>HathiTrust Record</v>
      </c>
      <c r="AV67" s="6" t="str">
        <f>HYPERLINK("http://mcgill.on.worldcat.org/oclc/23131075","Catalog Record")</f>
        <v>Catalog Record</v>
      </c>
      <c r="AW67" s="6" t="str">
        <f>HYPERLINK("http://www.worldcat.org/oclc/23131075","WorldCat Record")</f>
        <v>WorldCat Record</v>
      </c>
      <c r="AX67" s="3" t="s">
        <v>977</v>
      </c>
      <c r="AY67" s="3" t="s">
        <v>978</v>
      </c>
      <c r="AZ67" s="3" t="s">
        <v>979</v>
      </c>
      <c r="BA67" s="3" t="s">
        <v>979</v>
      </c>
      <c r="BB67" s="3" t="s">
        <v>980</v>
      </c>
      <c r="BC67" s="3" t="s">
        <v>102</v>
      </c>
      <c r="BD67" s="3" t="s">
        <v>68</v>
      </c>
      <c r="BF67" s="3" t="s">
        <v>980</v>
      </c>
      <c r="BG67" s="3" t="s">
        <v>981</v>
      </c>
    </row>
    <row r="68" spans="1:59" ht="58" x14ac:dyDescent="0.35">
      <c r="A68" s="2" t="s">
        <v>89</v>
      </c>
      <c r="B68" s="2" t="s">
        <v>90</v>
      </c>
      <c r="C68" s="2" t="s">
        <v>982</v>
      </c>
      <c r="D68" s="2" t="s">
        <v>983</v>
      </c>
      <c r="E68" s="2" t="s">
        <v>984</v>
      </c>
      <c r="G68" s="3" t="s">
        <v>62</v>
      </c>
      <c r="I68" s="3" t="s">
        <v>62</v>
      </c>
      <c r="J68" s="3" t="s">
        <v>61</v>
      </c>
      <c r="K68" s="3" t="s">
        <v>63</v>
      </c>
      <c r="M68" s="2" t="s">
        <v>985</v>
      </c>
      <c r="N68" s="3" t="s">
        <v>880</v>
      </c>
      <c r="O68" s="2" t="s">
        <v>986</v>
      </c>
      <c r="P68" s="3" t="s">
        <v>64</v>
      </c>
      <c r="R68" s="3" t="s">
        <v>65</v>
      </c>
      <c r="S68" s="4">
        <v>5</v>
      </c>
      <c r="T68" s="4">
        <v>5</v>
      </c>
      <c r="U68" s="5" t="s">
        <v>987</v>
      </c>
      <c r="V68" s="5" t="s">
        <v>987</v>
      </c>
      <c r="W68" s="5" t="s">
        <v>67</v>
      </c>
      <c r="X68" s="5" t="s">
        <v>67</v>
      </c>
      <c r="Y68" s="4">
        <v>898</v>
      </c>
      <c r="Z68" s="4">
        <v>20</v>
      </c>
      <c r="AA68" s="4">
        <v>79</v>
      </c>
      <c r="AB68" s="4">
        <v>2</v>
      </c>
      <c r="AC68" s="4">
        <v>6</v>
      </c>
      <c r="AD68" s="4">
        <v>59</v>
      </c>
      <c r="AE68" s="4">
        <v>106</v>
      </c>
      <c r="AF68" s="4">
        <v>0</v>
      </c>
      <c r="AG68" s="4">
        <v>1</v>
      </c>
      <c r="AH68" s="4">
        <v>48</v>
      </c>
      <c r="AI68" s="4">
        <v>85</v>
      </c>
      <c r="AJ68" s="4">
        <v>7</v>
      </c>
      <c r="AK68" s="4">
        <v>20</v>
      </c>
      <c r="AL68" s="4">
        <v>26</v>
      </c>
      <c r="AM68" s="4">
        <v>48</v>
      </c>
      <c r="AN68" s="4">
        <v>0</v>
      </c>
      <c r="AO68" s="4">
        <v>0</v>
      </c>
      <c r="AP68" s="4">
        <v>11</v>
      </c>
      <c r="AQ68" s="4">
        <v>27</v>
      </c>
      <c r="AR68" s="3" t="s">
        <v>62</v>
      </c>
      <c r="AS68" s="3" t="s">
        <v>62</v>
      </c>
      <c r="AT68" s="3" t="s">
        <v>62</v>
      </c>
      <c r="AV68" s="6" t="str">
        <f>HYPERLINK("http://mcgill.on.worldcat.org/oclc/548626444","Catalog Record")</f>
        <v>Catalog Record</v>
      </c>
      <c r="AW68" s="6" t="str">
        <f>HYPERLINK("http://www.worldcat.org/oclc/548626444","WorldCat Record")</f>
        <v>WorldCat Record</v>
      </c>
      <c r="AX68" s="3" t="s">
        <v>988</v>
      </c>
      <c r="AY68" s="3" t="s">
        <v>989</v>
      </c>
      <c r="AZ68" s="3" t="s">
        <v>990</v>
      </c>
      <c r="BA68" s="3" t="s">
        <v>990</v>
      </c>
      <c r="BB68" s="3" t="s">
        <v>991</v>
      </c>
      <c r="BC68" s="3" t="s">
        <v>102</v>
      </c>
      <c r="BD68" s="3" t="s">
        <v>68</v>
      </c>
      <c r="BE68" s="3" t="s">
        <v>992</v>
      </c>
      <c r="BF68" s="3" t="s">
        <v>991</v>
      </c>
      <c r="BG68" s="3" t="s">
        <v>993</v>
      </c>
    </row>
    <row r="69" spans="1:59" ht="58" x14ac:dyDescent="0.35">
      <c r="A69" s="2" t="s">
        <v>89</v>
      </c>
      <c r="B69" s="2" t="s">
        <v>90</v>
      </c>
      <c r="C69" s="2" t="s">
        <v>994</v>
      </c>
      <c r="D69" s="2" t="s">
        <v>995</v>
      </c>
      <c r="E69" s="2" t="s">
        <v>996</v>
      </c>
      <c r="G69" s="3" t="s">
        <v>62</v>
      </c>
      <c r="I69" s="3" t="s">
        <v>62</v>
      </c>
      <c r="J69" s="3" t="s">
        <v>62</v>
      </c>
      <c r="K69" s="3" t="s">
        <v>63</v>
      </c>
      <c r="L69" s="2" t="s">
        <v>997</v>
      </c>
      <c r="M69" s="2" t="s">
        <v>624</v>
      </c>
      <c r="N69" s="3" t="s">
        <v>625</v>
      </c>
      <c r="P69" s="3" t="s">
        <v>64</v>
      </c>
      <c r="Q69" s="2" t="s">
        <v>998</v>
      </c>
      <c r="R69" s="3" t="s">
        <v>65</v>
      </c>
      <c r="S69" s="4">
        <v>6</v>
      </c>
      <c r="T69" s="4">
        <v>6</v>
      </c>
      <c r="U69" s="5" t="s">
        <v>999</v>
      </c>
      <c r="V69" s="5" t="s">
        <v>999</v>
      </c>
      <c r="W69" s="5" t="s">
        <v>67</v>
      </c>
      <c r="X69" s="5" t="s">
        <v>67</v>
      </c>
      <c r="Y69" s="4">
        <v>188</v>
      </c>
      <c r="Z69" s="4">
        <v>11</v>
      </c>
      <c r="AA69" s="4">
        <v>11</v>
      </c>
      <c r="AB69" s="4">
        <v>1</v>
      </c>
      <c r="AC69" s="4">
        <v>1</v>
      </c>
      <c r="AD69" s="4">
        <v>74</v>
      </c>
      <c r="AE69" s="4">
        <v>75</v>
      </c>
      <c r="AF69" s="4">
        <v>0</v>
      </c>
      <c r="AG69" s="4">
        <v>0</v>
      </c>
      <c r="AH69" s="4">
        <v>67</v>
      </c>
      <c r="AI69" s="4">
        <v>68</v>
      </c>
      <c r="AJ69" s="4">
        <v>8</v>
      </c>
      <c r="AK69" s="4">
        <v>8</v>
      </c>
      <c r="AL69" s="4">
        <v>39</v>
      </c>
      <c r="AM69" s="4">
        <v>39</v>
      </c>
      <c r="AN69" s="4">
        <v>0</v>
      </c>
      <c r="AO69" s="4">
        <v>0</v>
      </c>
      <c r="AP69" s="4">
        <v>10</v>
      </c>
      <c r="AQ69" s="4">
        <v>10</v>
      </c>
      <c r="AR69" s="3" t="s">
        <v>62</v>
      </c>
      <c r="AS69" s="3" t="s">
        <v>62</v>
      </c>
      <c r="AT69" s="3" t="s">
        <v>62</v>
      </c>
      <c r="AV69" s="6" t="str">
        <f>HYPERLINK("http://mcgill.on.worldcat.org/oclc/52030347","Catalog Record")</f>
        <v>Catalog Record</v>
      </c>
      <c r="AW69" s="6" t="str">
        <f>HYPERLINK("http://www.worldcat.org/oclc/52030347","WorldCat Record")</f>
        <v>WorldCat Record</v>
      </c>
      <c r="AX69" s="3" t="s">
        <v>1000</v>
      </c>
      <c r="AY69" s="3" t="s">
        <v>1001</v>
      </c>
      <c r="AZ69" s="3" t="s">
        <v>1002</v>
      </c>
      <c r="BA69" s="3" t="s">
        <v>1002</v>
      </c>
      <c r="BB69" s="3" t="s">
        <v>1003</v>
      </c>
      <c r="BC69" s="3" t="s">
        <v>102</v>
      </c>
      <c r="BD69" s="3" t="s">
        <v>68</v>
      </c>
      <c r="BE69" s="3" t="s">
        <v>1004</v>
      </c>
      <c r="BF69" s="3" t="s">
        <v>1003</v>
      </c>
      <c r="BG69" s="3" t="s">
        <v>1005</v>
      </c>
    </row>
    <row r="70" spans="1:59" ht="87" x14ac:dyDescent="0.35">
      <c r="A70" s="2" t="s">
        <v>89</v>
      </c>
      <c r="B70" s="2" t="s">
        <v>90</v>
      </c>
      <c r="C70" s="2" t="s">
        <v>1006</v>
      </c>
      <c r="D70" s="2" t="s">
        <v>1007</v>
      </c>
      <c r="E70" s="2" t="s">
        <v>1008</v>
      </c>
      <c r="F70" s="3" t="s">
        <v>1009</v>
      </c>
      <c r="G70" s="3" t="s">
        <v>61</v>
      </c>
      <c r="I70" s="3" t="s">
        <v>62</v>
      </c>
      <c r="J70" s="3" t="s">
        <v>62</v>
      </c>
      <c r="K70" s="3" t="s">
        <v>63</v>
      </c>
      <c r="L70" s="2" t="s">
        <v>1010</v>
      </c>
      <c r="M70" s="2" t="s">
        <v>1011</v>
      </c>
      <c r="N70" s="3" t="s">
        <v>1012</v>
      </c>
      <c r="P70" s="3" t="s">
        <v>85</v>
      </c>
      <c r="R70" s="3" t="s">
        <v>65</v>
      </c>
      <c r="S70" s="4">
        <v>2</v>
      </c>
      <c r="T70" s="4">
        <v>2</v>
      </c>
      <c r="U70" s="5" t="s">
        <v>1013</v>
      </c>
      <c r="V70" s="5" t="s">
        <v>1013</v>
      </c>
      <c r="W70" s="5" t="s">
        <v>67</v>
      </c>
      <c r="X70" s="5" t="s">
        <v>67</v>
      </c>
      <c r="Y70" s="4">
        <v>6</v>
      </c>
      <c r="Z70" s="4">
        <v>2</v>
      </c>
      <c r="AA70" s="4">
        <v>2</v>
      </c>
      <c r="AB70" s="4">
        <v>1</v>
      </c>
      <c r="AC70" s="4">
        <v>1</v>
      </c>
      <c r="AD70" s="4">
        <v>1</v>
      </c>
      <c r="AE70" s="4">
        <v>13</v>
      </c>
      <c r="AF70" s="4">
        <v>0</v>
      </c>
      <c r="AG70" s="4">
        <v>0</v>
      </c>
      <c r="AH70" s="4">
        <v>1</v>
      </c>
      <c r="AI70" s="4">
        <v>13</v>
      </c>
      <c r="AJ70" s="4">
        <v>1</v>
      </c>
      <c r="AK70" s="4">
        <v>1</v>
      </c>
      <c r="AL70" s="4">
        <v>0</v>
      </c>
      <c r="AM70" s="4">
        <v>11</v>
      </c>
      <c r="AN70" s="4">
        <v>0</v>
      </c>
      <c r="AO70" s="4">
        <v>0</v>
      </c>
      <c r="AP70" s="4">
        <v>1</v>
      </c>
      <c r="AQ70" s="4">
        <v>1</v>
      </c>
      <c r="AR70" s="3" t="s">
        <v>62</v>
      </c>
      <c r="AS70" s="3" t="s">
        <v>62</v>
      </c>
      <c r="AT70" s="3" t="s">
        <v>62</v>
      </c>
      <c r="AV70" s="6" t="str">
        <f>HYPERLINK("http://mcgill.on.worldcat.org/oclc/70795955","Catalog Record")</f>
        <v>Catalog Record</v>
      </c>
      <c r="AW70" s="6" t="str">
        <f>HYPERLINK("http://www.worldcat.org/oclc/70795955","WorldCat Record")</f>
        <v>WorldCat Record</v>
      </c>
      <c r="AX70" s="3" t="s">
        <v>1014</v>
      </c>
      <c r="AY70" s="3" t="s">
        <v>1015</v>
      </c>
      <c r="AZ70" s="3" t="s">
        <v>1016</v>
      </c>
      <c r="BA70" s="3" t="s">
        <v>1016</v>
      </c>
      <c r="BB70" s="3" t="s">
        <v>1017</v>
      </c>
      <c r="BC70" s="3" t="s">
        <v>102</v>
      </c>
      <c r="BD70" s="3" t="s">
        <v>68</v>
      </c>
      <c r="BF70" s="3" t="s">
        <v>1017</v>
      </c>
      <c r="BG70" s="3" t="s">
        <v>1018</v>
      </c>
    </row>
    <row r="71" spans="1:59" ht="87" x14ac:dyDescent="0.35">
      <c r="A71" s="2" t="s">
        <v>89</v>
      </c>
      <c r="B71" s="2" t="s">
        <v>90</v>
      </c>
      <c r="C71" s="2" t="s">
        <v>1006</v>
      </c>
      <c r="D71" s="2" t="s">
        <v>1007</v>
      </c>
      <c r="E71" s="2" t="s">
        <v>1008</v>
      </c>
      <c r="F71" s="3" t="s">
        <v>1019</v>
      </c>
      <c r="G71" s="3" t="s">
        <v>61</v>
      </c>
      <c r="I71" s="3" t="s">
        <v>62</v>
      </c>
      <c r="J71" s="3" t="s">
        <v>62</v>
      </c>
      <c r="K71" s="3" t="s">
        <v>63</v>
      </c>
      <c r="L71" s="2" t="s">
        <v>1010</v>
      </c>
      <c r="M71" s="2" t="s">
        <v>1011</v>
      </c>
      <c r="N71" s="3" t="s">
        <v>1012</v>
      </c>
      <c r="P71" s="3" t="s">
        <v>85</v>
      </c>
      <c r="R71" s="3" t="s">
        <v>65</v>
      </c>
      <c r="S71" s="4">
        <v>0</v>
      </c>
      <c r="T71" s="4">
        <v>2</v>
      </c>
      <c r="V71" s="5" t="s">
        <v>1013</v>
      </c>
      <c r="W71" s="5" t="s">
        <v>67</v>
      </c>
      <c r="X71" s="5" t="s">
        <v>67</v>
      </c>
      <c r="Y71" s="4">
        <v>6</v>
      </c>
      <c r="Z71" s="4">
        <v>2</v>
      </c>
      <c r="AA71" s="4">
        <v>2</v>
      </c>
      <c r="AB71" s="4">
        <v>1</v>
      </c>
      <c r="AC71" s="4">
        <v>1</v>
      </c>
      <c r="AD71" s="4">
        <v>1</v>
      </c>
      <c r="AE71" s="4">
        <v>13</v>
      </c>
      <c r="AF71" s="4">
        <v>0</v>
      </c>
      <c r="AG71" s="4">
        <v>0</v>
      </c>
      <c r="AH71" s="4">
        <v>1</v>
      </c>
      <c r="AI71" s="4">
        <v>13</v>
      </c>
      <c r="AJ71" s="4">
        <v>1</v>
      </c>
      <c r="AK71" s="4">
        <v>1</v>
      </c>
      <c r="AL71" s="4">
        <v>0</v>
      </c>
      <c r="AM71" s="4">
        <v>11</v>
      </c>
      <c r="AN71" s="4">
        <v>0</v>
      </c>
      <c r="AO71" s="4">
        <v>0</v>
      </c>
      <c r="AP71" s="4">
        <v>1</v>
      </c>
      <c r="AQ71" s="4">
        <v>1</v>
      </c>
      <c r="AR71" s="3" t="s">
        <v>62</v>
      </c>
      <c r="AS71" s="3" t="s">
        <v>62</v>
      </c>
      <c r="AT71" s="3" t="s">
        <v>62</v>
      </c>
      <c r="AV71" s="6" t="str">
        <f>HYPERLINK("http://mcgill.on.worldcat.org/oclc/70795955","Catalog Record")</f>
        <v>Catalog Record</v>
      </c>
      <c r="AW71" s="6" t="str">
        <f>HYPERLINK("http://www.worldcat.org/oclc/70795955","WorldCat Record")</f>
        <v>WorldCat Record</v>
      </c>
      <c r="AX71" s="3" t="s">
        <v>1014</v>
      </c>
      <c r="AY71" s="3" t="s">
        <v>1015</v>
      </c>
      <c r="AZ71" s="3" t="s">
        <v>1016</v>
      </c>
      <c r="BA71" s="3" t="s">
        <v>1016</v>
      </c>
      <c r="BB71" s="3" t="s">
        <v>1020</v>
      </c>
      <c r="BC71" s="3" t="s">
        <v>102</v>
      </c>
      <c r="BD71" s="3" t="s">
        <v>68</v>
      </c>
      <c r="BF71" s="3" t="s">
        <v>1020</v>
      </c>
      <c r="BG71" s="3" t="s">
        <v>1021</v>
      </c>
    </row>
    <row r="72" spans="1:59" ht="58" x14ac:dyDescent="0.35">
      <c r="A72" s="2" t="s">
        <v>89</v>
      </c>
      <c r="B72" s="2" t="s">
        <v>90</v>
      </c>
      <c r="C72" s="2" t="s">
        <v>1022</v>
      </c>
      <c r="D72" s="2" t="s">
        <v>1023</v>
      </c>
      <c r="E72" s="2" t="s">
        <v>1024</v>
      </c>
      <c r="G72" s="3" t="s">
        <v>62</v>
      </c>
      <c r="I72" s="3" t="s">
        <v>62</v>
      </c>
      <c r="J72" s="3" t="s">
        <v>62</v>
      </c>
      <c r="K72" s="3" t="s">
        <v>63</v>
      </c>
      <c r="L72" s="2" t="s">
        <v>1025</v>
      </c>
      <c r="M72" s="2" t="s">
        <v>1026</v>
      </c>
      <c r="N72" s="3" t="s">
        <v>115</v>
      </c>
      <c r="P72" s="3" t="s">
        <v>64</v>
      </c>
      <c r="R72" s="3" t="s">
        <v>65</v>
      </c>
      <c r="S72" s="4">
        <v>11</v>
      </c>
      <c r="T72" s="4">
        <v>11</v>
      </c>
      <c r="U72" s="5" t="s">
        <v>627</v>
      </c>
      <c r="V72" s="5" t="s">
        <v>627</v>
      </c>
      <c r="W72" s="5" t="s">
        <v>67</v>
      </c>
      <c r="X72" s="5" t="s">
        <v>67</v>
      </c>
      <c r="Y72" s="4">
        <v>281</v>
      </c>
      <c r="Z72" s="4">
        <v>21</v>
      </c>
      <c r="AA72" s="4">
        <v>26</v>
      </c>
      <c r="AB72" s="4">
        <v>3</v>
      </c>
      <c r="AC72" s="4">
        <v>5</v>
      </c>
      <c r="AD72" s="4">
        <v>100</v>
      </c>
      <c r="AE72" s="4">
        <v>104</v>
      </c>
      <c r="AF72" s="4">
        <v>1</v>
      </c>
      <c r="AG72" s="4">
        <v>2</v>
      </c>
      <c r="AH72" s="4">
        <v>88</v>
      </c>
      <c r="AI72" s="4">
        <v>91</v>
      </c>
      <c r="AJ72" s="4">
        <v>13</v>
      </c>
      <c r="AK72" s="4">
        <v>15</v>
      </c>
      <c r="AL72" s="4">
        <v>50</v>
      </c>
      <c r="AM72" s="4">
        <v>50</v>
      </c>
      <c r="AN72" s="4">
        <v>0</v>
      </c>
      <c r="AO72" s="4">
        <v>0</v>
      </c>
      <c r="AP72" s="4">
        <v>17</v>
      </c>
      <c r="AQ72" s="4">
        <v>20</v>
      </c>
      <c r="AR72" s="3" t="s">
        <v>62</v>
      </c>
      <c r="AS72" s="3" t="s">
        <v>62</v>
      </c>
      <c r="AT72" s="3" t="s">
        <v>61</v>
      </c>
      <c r="AU72" s="6" t="str">
        <f>HYPERLINK("http://catalog.hathitrust.org/Record/001814236","HathiTrust Record")</f>
        <v>HathiTrust Record</v>
      </c>
      <c r="AV72" s="6" t="str">
        <f>HYPERLINK("http://mcgill.on.worldcat.org/oclc/19456287","Catalog Record")</f>
        <v>Catalog Record</v>
      </c>
      <c r="AW72" s="6" t="str">
        <f>HYPERLINK("http://www.worldcat.org/oclc/19456287","WorldCat Record")</f>
        <v>WorldCat Record</v>
      </c>
      <c r="AX72" s="3" t="s">
        <v>1027</v>
      </c>
      <c r="AY72" s="3" t="s">
        <v>1028</v>
      </c>
      <c r="AZ72" s="3" t="s">
        <v>1029</v>
      </c>
      <c r="BA72" s="3" t="s">
        <v>1029</v>
      </c>
      <c r="BB72" s="3" t="s">
        <v>1030</v>
      </c>
      <c r="BC72" s="3" t="s">
        <v>102</v>
      </c>
      <c r="BD72" s="3" t="s">
        <v>68</v>
      </c>
      <c r="BE72" s="3" t="s">
        <v>1031</v>
      </c>
      <c r="BF72" s="3" t="s">
        <v>1030</v>
      </c>
      <c r="BG72" s="3" t="s">
        <v>1032</v>
      </c>
    </row>
    <row r="73" spans="1:59" ht="58" x14ac:dyDescent="0.35">
      <c r="A73" s="2" t="s">
        <v>89</v>
      </c>
      <c r="B73" s="2" t="s">
        <v>90</v>
      </c>
      <c r="C73" s="2" t="s">
        <v>1033</v>
      </c>
      <c r="D73" s="2" t="s">
        <v>1034</v>
      </c>
      <c r="E73" s="2" t="s">
        <v>1035</v>
      </c>
      <c r="G73" s="3" t="s">
        <v>62</v>
      </c>
      <c r="I73" s="3" t="s">
        <v>62</v>
      </c>
      <c r="J73" s="3" t="s">
        <v>62</v>
      </c>
      <c r="K73" s="3" t="s">
        <v>63</v>
      </c>
      <c r="L73" s="2" t="s">
        <v>1036</v>
      </c>
      <c r="M73" s="2" t="s">
        <v>1037</v>
      </c>
      <c r="N73" s="3" t="s">
        <v>1038</v>
      </c>
      <c r="P73" s="3" t="s">
        <v>85</v>
      </c>
      <c r="Q73" s="2" t="s">
        <v>1039</v>
      </c>
      <c r="R73" s="3" t="s">
        <v>65</v>
      </c>
      <c r="S73" s="4">
        <v>1</v>
      </c>
      <c r="T73" s="4">
        <v>1</v>
      </c>
      <c r="W73" s="5" t="s">
        <v>67</v>
      </c>
      <c r="X73" s="5" t="s">
        <v>67</v>
      </c>
      <c r="Y73" s="4">
        <v>22</v>
      </c>
      <c r="Z73" s="4">
        <v>4</v>
      </c>
      <c r="AA73" s="4">
        <v>6</v>
      </c>
      <c r="AB73" s="4">
        <v>1</v>
      </c>
      <c r="AC73" s="4">
        <v>2</v>
      </c>
      <c r="AD73" s="4">
        <v>7</v>
      </c>
      <c r="AE73" s="4">
        <v>9</v>
      </c>
      <c r="AF73" s="4">
        <v>0</v>
      </c>
      <c r="AG73" s="4">
        <v>1</v>
      </c>
      <c r="AH73" s="4">
        <v>6</v>
      </c>
      <c r="AI73" s="4">
        <v>7</v>
      </c>
      <c r="AJ73" s="4">
        <v>2</v>
      </c>
      <c r="AK73" s="4">
        <v>4</v>
      </c>
      <c r="AL73" s="4">
        <v>6</v>
      </c>
      <c r="AM73" s="4">
        <v>6</v>
      </c>
      <c r="AN73" s="4">
        <v>0</v>
      </c>
      <c r="AO73" s="4">
        <v>0</v>
      </c>
      <c r="AP73" s="4">
        <v>2</v>
      </c>
      <c r="AQ73" s="4">
        <v>3</v>
      </c>
      <c r="AR73" s="3" t="s">
        <v>62</v>
      </c>
      <c r="AS73" s="3" t="s">
        <v>62</v>
      </c>
      <c r="AT73" s="3" t="s">
        <v>62</v>
      </c>
      <c r="AV73" s="6" t="str">
        <f>HYPERLINK("http://mcgill.on.worldcat.org/oclc/952060922","Catalog Record")</f>
        <v>Catalog Record</v>
      </c>
      <c r="AW73" s="6" t="str">
        <f>HYPERLINK("http://www.worldcat.org/oclc/952060922","WorldCat Record")</f>
        <v>WorldCat Record</v>
      </c>
      <c r="AX73" s="3" t="s">
        <v>1040</v>
      </c>
      <c r="AY73" s="3" t="s">
        <v>1041</v>
      </c>
      <c r="AZ73" s="3" t="s">
        <v>1042</v>
      </c>
      <c r="BA73" s="3" t="s">
        <v>1042</v>
      </c>
      <c r="BB73" s="3" t="s">
        <v>1043</v>
      </c>
      <c r="BC73" s="3" t="s">
        <v>102</v>
      </c>
      <c r="BD73" s="3" t="s">
        <v>231</v>
      </c>
      <c r="BE73" s="3" t="s">
        <v>1044</v>
      </c>
      <c r="BF73" s="3" t="s">
        <v>1043</v>
      </c>
      <c r="BG73" s="3" t="s">
        <v>1045</v>
      </c>
    </row>
    <row r="74" spans="1:59" ht="58" x14ac:dyDescent="0.35">
      <c r="A74" s="2" t="s">
        <v>89</v>
      </c>
      <c r="B74" s="2" t="s">
        <v>90</v>
      </c>
      <c r="C74" s="2" t="s">
        <v>1046</v>
      </c>
      <c r="D74" s="2" t="s">
        <v>1047</v>
      </c>
      <c r="E74" s="2" t="s">
        <v>1048</v>
      </c>
      <c r="G74" s="3" t="s">
        <v>62</v>
      </c>
      <c r="I74" s="3" t="s">
        <v>62</v>
      </c>
      <c r="J74" s="3" t="s">
        <v>62</v>
      </c>
      <c r="K74" s="3" t="s">
        <v>63</v>
      </c>
      <c r="L74" s="2" t="s">
        <v>1049</v>
      </c>
      <c r="M74" s="2" t="s">
        <v>1050</v>
      </c>
      <c r="N74" s="3" t="s">
        <v>655</v>
      </c>
      <c r="P74" s="3" t="s">
        <v>64</v>
      </c>
      <c r="Q74" s="2" t="s">
        <v>1051</v>
      </c>
      <c r="R74" s="3" t="s">
        <v>65</v>
      </c>
      <c r="S74" s="4">
        <v>3</v>
      </c>
      <c r="T74" s="4">
        <v>3</v>
      </c>
      <c r="U74" s="5" t="s">
        <v>1052</v>
      </c>
      <c r="V74" s="5" t="s">
        <v>1052</v>
      </c>
      <c r="W74" s="5" t="s">
        <v>67</v>
      </c>
      <c r="X74" s="5" t="s">
        <v>67</v>
      </c>
      <c r="Y74" s="4">
        <v>72</v>
      </c>
      <c r="Z74" s="4">
        <v>6</v>
      </c>
      <c r="AA74" s="4">
        <v>46</v>
      </c>
      <c r="AB74" s="4">
        <v>1</v>
      </c>
      <c r="AC74" s="4">
        <v>13</v>
      </c>
      <c r="AD74" s="4">
        <v>34</v>
      </c>
      <c r="AE74" s="4">
        <v>94</v>
      </c>
      <c r="AF74" s="4">
        <v>0</v>
      </c>
      <c r="AG74" s="4">
        <v>8</v>
      </c>
      <c r="AH74" s="4">
        <v>32</v>
      </c>
      <c r="AI74" s="4">
        <v>66</v>
      </c>
      <c r="AJ74" s="4">
        <v>3</v>
      </c>
      <c r="AK74" s="4">
        <v>21</v>
      </c>
      <c r="AL74" s="4">
        <v>23</v>
      </c>
      <c r="AM74" s="4">
        <v>35</v>
      </c>
      <c r="AN74" s="4">
        <v>0</v>
      </c>
      <c r="AO74" s="4">
        <v>0</v>
      </c>
      <c r="AP74" s="4">
        <v>3</v>
      </c>
      <c r="AQ74" s="4">
        <v>37</v>
      </c>
      <c r="AR74" s="3" t="s">
        <v>62</v>
      </c>
      <c r="AS74" s="3" t="s">
        <v>62</v>
      </c>
      <c r="AT74" s="3" t="s">
        <v>62</v>
      </c>
      <c r="AV74" s="6" t="str">
        <f>HYPERLINK("http://mcgill.on.worldcat.org/oclc/154712093","Catalog Record")</f>
        <v>Catalog Record</v>
      </c>
      <c r="AW74" s="6" t="str">
        <f>HYPERLINK("http://www.worldcat.org/oclc/154712093","WorldCat Record")</f>
        <v>WorldCat Record</v>
      </c>
      <c r="AX74" s="3" t="s">
        <v>1053</v>
      </c>
      <c r="AY74" s="3" t="s">
        <v>1054</v>
      </c>
      <c r="AZ74" s="3" t="s">
        <v>1055</v>
      </c>
      <c r="BA74" s="3" t="s">
        <v>1055</v>
      </c>
      <c r="BB74" s="3" t="s">
        <v>1056</v>
      </c>
      <c r="BC74" s="3" t="s">
        <v>102</v>
      </c>
      <c r="BD74" s="3" t="s">
        <v>68</v>
      </c>
      <c r="BE74" s="3" t="s">
        <v>1057</v>
      </c>
      <c r="BF74" s="3" t="s">
        <v>1056</v>
      </c>
      <c r="BG74" s="3" t="s">
        <v>1058</v>
      </c>
    </row>
    <row r="75" spans="1:59" ht="58" x14ac:dyDescent="0.35">
      <c r="A75" s="2" t="s">
        <v>89</v>
      </c>
      <c r="B75" s="2" t="s">
        <v>90</v>
      </c>
      <c r="C75" s="2" t="s">
        <v>1059</v>
      </c>
      <c r="D75" s="2" t="s">
        <v>1060</v>
      </c>
      <c r="E75" s="2" t="s">
        <v>1061</v>
      </c>
      <c r="G75" s="3" t="s">
        <v>62</v>
      </c>
      <c r="I75" s="3" t="s">
        <v>61</v>
      </c>
      <c r="J75" s="3" t="s">
        <v>62</v>
      </c>
      <c r="K75" s="3" t="s">
        <v>63</v>
      </c>
      <c r="L75" s="2" t="s">
        <v>1062</v>
      </c>
      <c r="M75" s="2" t="s">
        <v>1063</v>
      </c>
      <c r="N75" s="3" t="s">
        <v>1064</v>
      </c>
      <c r="P75" s="3" t="s">
        <v>64</v>
      </c>
      <c r="R75" s="3" t="s">
        <v>65</v>
      </c>
      <c r="S75" s="4">
        <v>7</v>
      </c>
      <c r="T75" s="4">
        <v>8</v>
      </c>
      <c r="U75" s="5" t="s">
        <v>1052</v>
      </c>
      <c r="V75" s="5" t="s">
        <v>1052</v>
      </c>
      <c r="W75" s="5" t="s">
        <v>67</v>
      </c>
      <c r="X75" s="5" t="s">
        <v>67</v>
      </c>
      <c r="Y75" s="4">
        <v>424</v>
      </c>
      <c r="Z75" s="4">
        <v>27</v>
      </c>
      <c r="AA75" s="4">
        <v>28</v>
      </c>
      <c r="AB75" s="4">
        <v>1</v>
      </c>
      <c r="AC75" s="4">
        <v>2</v>
      </c>
      <c r="AD75" s="4">
        <v>119</v>
      </c>
      <c r="AE75" s="4">
        <v>120</v>
      </c>
      <c r="AF75" s="4">
        <v>0</v>
      </c>
      <c r="AG75" s="4">
        <v>1</v>
      </c>
      <c r="AH75" s="4">
        <v>101</v>
      </c>
      <c r="AI75" s="4">
        <v>101</v>
      </c>
      <c r="AJ75" s="4">
        <v>16</v>
      </c>
      <c r="AK75" s="4">
        <v>17</v>
      </c>
      <c r="AL75" s="4">
        <v>59</v>
      </c>
      <c r="AM75" s="4">
        <v>59</v>
      </c>
      <c r="AN75" s="4">
        <v>0</v>
      </c>
      <c r="AO75" s="4">
        <v>0</v>
      </c>
      <c r="AP75" s="4">
        <v>21</v>
      </c>
      <c r="AQ75" s="4">
        <v>21</v>
      </c>
      <c r="AR75" s="3" t="s">
        <v>62</v>
      </c>
      <c r="AS75" s="3" t="s">
        <v>62</v>
      </c>
      <c r="AT75" s="3" t="s">
        <v>61</v>
      </c>
      <c r="AU75" s="6" t="str">
        <f>HYPERLINK("http://catalog.hathitrust.org/Record/001473138","HathiTrust Record")</f>
        <v>HathiTrust Record</v>
      </c>
      <c r="AV75" s="6" t="str">
        <f>HYPERLINK("http://mcgill.on.worldcat.org/oclc/247535","Catalog Record")</f>
        <v>Catalog Record</v>
      </c>
      <c r="AW75" s="6" t="str">
        <f>HYPERLINK("http://www.worldcat.org/oclc/247535","WorldCat Record")</f>
        <v>WorldCat Record</v>
      </c>
      <c r="AX75" s="3" t="s">
        <v>1065</v>
      </c>
      <c r="AY75" s="3" t="s">
        <v>1066</v>
      </c>
      <c r="AZ75" s="3" t="s">
        <v>1067</v>
      </c>
      <c r="BA75" s="3" t="s">
        <v>1067</v>
      </c>
      <c r="BB75" s="3" t="s">
        <v>1068</v>
      </c>
      <c r="BC75" s="3" t="s">
        <v>102</v>
      </c>
      <c r="BD75" s="3" t="s">
        <v>68</v>
      </c>
      <c r="BE75" s="3" t="s">
        <v>1069</v>
      </c>
      <c r="BF75" s="3" t="s">
        <v>1068</v>
      </c>
      <c r="BG75" s="3" t="s">
        <v>1070</v>
      </c>
    </row>
    <row r="76" spans="1:59" ht="72.5" x14ac:dyDescent="0.35">
      <c r="A76" s="2" t="s">
        <v>89</v>
      </c>
      <c r="B76" s="2" t="s">
        <v>90</v>
      </c>
      <c r="C76" s="2" t="s">
        <v>1072</v>
      </c>
      <c r="D76" s="2" t="s">
        <v>1073</v>
      </c>
      <c r="E76" s="2" t="s">
        <v>1074</v>
      </c>
      <c r="G76" s="3" t="s">
        <v>62</v>
      </c>
      <c r="I76" s="3" t="s">
        <v>62</v>
      </c>
      <c r="J76" s="3" t="s">
        <v>62</v>
      </c>
      <c r="K76" s="3" t="s">
        <v>63</v>
      </c>
      <c r="L76" s="2" t="s">
        <v>1075</v>
      </c>
      <c r="M76" s="2" t="s">
        <v>1076</v>
      </c>
      <c r="N76" s="3" t="s">
        <v>1077</v>
      </c>
      <c r="P76" s="3" t="s">
        <v>1078</v>
      </c>
      <c r="Q76" s="2" t="s">
        <v>1079</v>
      </c>
      <c r="R76" s="3" t="s">
        <v>65</v>
      </c>
      <c r="S76" s="4">
        <v>8</v>
      </c>
      <c r="T76" s="4">
        <v>8</v>
      </c>
      <c r="U76" s="5" t="s">
        <v>1080</v>
      </c>
      <c r="V76" s="5" t="s">
        <v>1080</v>
      </c>
      <c r="W76" s="5" t="s">
        <v>67</v>
      </c>
      <c r="X76" s="5" t="s">
        <v>67</v>
      </c>
      <c r="Y76" s="4">
        <v>53</v>
      </c>
      <c r="Z76" s="4">
        <v>4</v>
      </c>
      <c r="AA76" s="4">
        <v>4</v>
      </c>
      <c r="AB76" s="4">
        <v>1</v>
      </c>
      <c r="AC76" s="4">
        <v>1</v>
      </c>
      <c r="AD76" s="4">
        <v>26</v>
      </c>
      <c r="AE76" s="4">
        <v>26</v>
      </c>
      <c r="AF76" s="4">
        <v>0</v>
      </c>
      <c r="AG76" s="4">
        <v>0</v>
      </c>
      <c r="AH76" s="4">
        <v>25</v>
      </c>
      <c r="AI76" s="4">
        <v>25</v>
      </c>
      <c r="AJ76" s="4">
        <v>2</v>
      </c>
      <c r="AK76" s="4">
        <v>2</v>
      </c>
      <c r="AL76" s="4">
        <v>22</v>
      </c>
      <c r="AM76" s="4">
        <v>22</v>
      </c>
      <c r="AN76" s="4">
        <v>0</v>
      </c>
      <c r="AO76" s="4">
        <v>0</v>
      </c>
      <c r="AP76" s="4">
        <v>2</v>
      </c>
      <c r="AQ76" s="4">
        <v>2</v>
      </c>
      <c r="AR76" s="3" t="s">
        <v>62</v>
      </c>
      <c r="AS76" s="3" t="s">
        <v>62</v>
      </c>
      <c r="AT76" s="3" t="s">
        <v>62</v>
      </c>
      <c r="AV76" s="6" t="str">
        <f>HYPERLINK("http://mcgill.on.worldcat.org/oclc/28920582","Catalog Record")</f>
        <v>Catalog Record</v>
      </c>
      <c r="AW76" s="6" t="str">
        <f>HYPERLINK("http://www.worldcat.org/oclc/28920582","WorldCat Record")</f>
        <v>WorldCat Record</v>
      </c>
      <c r="AX76" s="3" t="s">
        <v>1081</v>
      </c>
      <c r="AY76" s="3" t="s">
        <v>1082</v>
      </c>
      <c r="AZ76" s="3" t="s">
        <v>1083</v>
      </c>
      <c r="BA76" s="3" t="s">
        <v>1083</v>
      </c>
      <c r="BB76" s="3" t="s">
        <v>1084</v>
      </c>
      <c r="BC76" s="3" t="s">
        <v>102</v>
      </c>
      <c r="BD76" s="3" t="s">
        <v>68</v>
      </c>
      <c r="BE76" s="3" t="s">
        <v>1085</v>
      </c>
      <c r="BF76" s="3" t="s">
        <v>1084</v>
      </c>
      <c r="BG76" s="3" t="s">
        <v>1086</v>
      </c>
    </row>
    <row r="77" spans="1:59" ht="72.5" x14ac:dyDescent="0.35">
      <c r="A77" s="2" t="s">
        <v>89</v>
      </c>
      <c r="B77" s="2" t="s">
        <v>90</v>
      </c>
      <c r="C77" s="2" t="s">
        <v>1087</v>
      </c>
      <c r="D77" s="2" t="s">
        <v>1088</v>
      </c>
      <c r="E77" s="2" t="s">
        <v>1089</v>
      </c>
      <c r="G77" s="3" t="s">
        <v>62</v>
      </c>
      <c r="I77" s="3" t="s">
        <v>62</v>
      </c>
      <c r="J77" s="3" t="s">
        <v>62</v>
      </c>
      <c r="K77" s="3" t="s">
        <v>63</v>
      </c>
      <c r="L77" s="2" t="s">
        <v>1090</v>
      </c>
      <c r="M77" s="2" t="s">
        <v>1091</v>
      </c>
      <c r="N77" s="3" t="s">
        <v>481</v>
      </c>
      <c r="P77" s="3" t="s">
        <v>64</v>
      </c>
      <c r="Q77" s="2" t="s">
        <v>1092</v>
      </c>
      <c r="R77" s="3" t="s">
        <v>65</v>
      </c>
      <c r="S77" s="4">
        <v>1</v>
      </c>
      <c r="T77" s="4">
        <v>1</v>
      </c>
      <c r="U77" s="5" t="s">
        <v>1093</v>
      </c>
      <c r="V77" s="5" t="s">
        <v>1093</v>
      </c>
      <c r="W77" s="5" t="s">
        <v>67</v>
      </c>
      <c r="X77" s="5" t="s">
        <v>67</v>
      </c>
      <c r="Y77" s="4">
        <v>77</v>
      </c>
      <c r="Z77" s="4">
        <v>4</v>
      </c>
      <c r="AA77" s="4">
        <v>4</v>
      </c>
      <c r="AB77" s="4">
        <v>1</v>
      </c>
      <c r="AC77" s="4">
        <v>1</v>
      </c>
      <c r="AD77" s="4">
        <v>27</v>
      </c>
      <c r="AE77" s="4">
        <v>27</v>
      </c>
      <c r="AF77" s="4">
        <v>0</v>
      </c>
      <c r="AG77" s="4">
        <v>0</v>
      </c>
      <c r="AH77" s="4">
        <v>25</v>
      </c>
      <c r="AI77" s="4">
        <v>25</v>
      </c>
      <c r="AJ77" s="4">
        <v>2</v>
      </c>
      <c r="AK77" s="4">
        <v>2</v>
      </c>
      <c r="AL77" s="4">
        <v>20</v>
      </c>
      <c r="AM77" s="4">
        <v>20</v>
      </c>
      <c r="AN77" s="4">
        <v>0</v>
      </c>
      <c r="AO77" s="4">
        <v>0</v>
      </c>
      <c r="AP77" s="4">
        <v>2</v>
      </c>
      <c r="AQ77" s="4">
        <v>2</v>
      </c>
      <c r="AR77" s="3" t="s">
        <v>62</v>
      </c>
      <c r="AS77" s="3" t="s">
        <v>62</v>
      </c>
      <c r="AT77" s="3" t="s">
        <v>62</v>
      </c>
      <c r="AV77" s="6" t="str">
        <f>HYPERLINK("http://mcgill.on.worldcat.org/oclc/37558081","Catalog Record")</f>
        <v>Catalog Record</v>
      </c>
      <c r="AW77" s="6" t="str">
        <f>HYPERLINK("http://www.worldcat.org/oclc/37558081","WorldCat Record")</f>
        <v>WorldCat Record</v>
      </c>
      <c r="AX77" s="3" t="s">
        <v>1094</v>
      </c>
      <c r="AY77" s="3" t="s">
        <v>1095</v>
      </c>
      <c r="AZ77" s="3" t="s">
        <v>1096</v>
      </c>
      <c r="BA77" s="3" t="s">
        <v>1096</v>
      </c>
      <c r="BB77" s="3" t="s">
        <v>1097</v>
      </c>
      <c r="BC77" s="3" t="s">
        <v>102</v>
      </c>
      <c r="BD77" s="3" t="s">
        <v>68</v>
      </c>
      <c r="BE77" s="3" t="s">
        <v>1098</v>
      </c>
      <c r="BF77" s="3" t="s">
        <v>1097</v>
      </c>
      <c r="BG77" s="3" t="s">
        <v>1099</v>
      </c>
    </row>
    <row r="78" spans="1:59" ht="72.5" x14ac:dyDescent="0.35">
      <c r="A78" s="2" t="s">
        <v>89</v>
      </c>
      <c r="B78" s="2" t="s">
        <v>90</v>
      </c>
      <c r="C78" s="2" t="s">
        <v>1100</v>
      </c>
      <c r="D78" s="2" t="s">
        <v>1101</v>
      </c>
      <c r="E78" s="2" t="s">
        <v>1102</v>
      </c>
      <c r="G78" s="3" t="s">
        <v>62</v>
      </c>
      <c r="I78" s="3" t="s">
        <v>62</v>
      </c>
      <c r="J78" s="3" t="s">
        <v>62</v>
      </c>
      <c r="K78" s="3" t="s">
        <v>63</v>
      </c>
      <c r="L78" s="2" t="s">
        <v>1103</v>
      </c>
      <c r="M78" s="2" t="s">
        <v>1104</v>
      </c>
      <c r="N78" s="3" t="s">
        <v>539</v>
      </c>
      <c r="P78" s="3" t="s">
        <v>64</v>
      </c>
      <c r="Q78" s="2" t="s">
        <v>1105</v>
      </c>
      <c r="R78" s="3" t="s">
        <v>65</v>
      </c>
      <c r="S78" s="4">
        <v>37</v>
      </c>
      <c r="T78" s="4">
        <v>37</v>
      </c>
      <c r="U78" s="5" t="s">
        <v>84</v>
      </c>
      <c r="V78" s="5" t="s">
        <v>84</v>
      </c>
      <c r="W78" s="5" t="s">
        <v>67</v>
      </c>
      <c r="X78" s="5" t="s">
        <v>67</v>
      </c>
      <c r="Y78" s="4">
        <v>53</v>
      </c>
      <c r="Z78" s="4">
        <v>4</v>
      </c>
      <c r="AA78" s="4">
        <v>4</v>
      </c>
      <c r="AB78" s="4">
        <v>1</v>
      </c>
      <c r="AC78" s="4">
        <v>1</v>
      </c>
      <c r="AD78" s="4">
        <v>27</v>
      </c>
      <c r="AE78" s="4">
        <v>27</v>
      </c>
      <c r="AF78" s="4">
        <v>0</v>
      </c>
      <c r="AG78" s="4">
        <v>0</v>
      </c>
      <c r="AH78" s="4">
        <v>25</v>
      </c>
      <c r="AI78" s="4">
        <v>25</v>
      </c>
      <c r="AJ78" s="4">
        <v>2</v>
      </c>
      <c r="AK78" s="4">
        <v>2</v>
      </c>
      <c r="AL78" s="4">
        <v>21</v>
      </c>
      <c r="AM78" s="4">
        <v>21</v>
      </c>
      <c r="AN78" s="4">
        <v>0</v>
      </c>
      <c r="AO78" s="4">
        <v>0</v>
      </c>
      <c r="AP78" s="4">
        <v>2</v>
      </c>
      <c r="AQ78" s="4">
        <v>2</v>
      </c>
      <c r="AR78" s="3" t="s">
        <v>62</v>
      </c>
      <c r="AS78" s="3" t="s">
        <v>62</v>
      </c>
      <c r="AT78" s="3" t="s">
        <v>62</v>
      </c>
      <c r="AV78" s="6" t="str">
        <f>HYPERLINK("http://mcgill.on.worldcat.org/oclc/40916363","Catalog Record")</f>
        <v>Catalog Record</v>
      </c>
      <c r="AW78" s="6" t="str">
        <f>HYPERLINK("http://www.worldcat.org/oclc/40916363","WorldCat Record")</f>
        <v>WorldCat Record</v>
      </c>
      <c r="AX78" s="3" t="s">
        <v>1106</v>
      </c>
      <c r="AY78" s="3" t="s">
        <v>1107</v>
      </c>
      <c r="AZ78" s="3" t="s">
        <v>1108</v>
      </c>
      <c r="BA78" s="3" t="s">
        <v>1108</v>
      </c>
      <c r="BB78" s="3" t="s">
        <v>1109</v>
      </c>
      <c r="BC78" s="3" t="s">
        <v>102</v>
      </c>
      <c r="BD78" s="3" t="s">
        <v>68</v>
      </c>
      <c r="BE78" s="3" t="s">
        <v>1110</v>
      </c>
      <c r="BF78" s="3" t="s">
        <v>1109</v>
      </c>
      <c r="BG78" s="3" t="s">
        <v>1111</v>
      </c>
    </row>
    <row r="79" spans="1:59" ht="72.5" x14ac:dyDescent="0.35">
      <c r="A79" s="2" t="s">
        <v>89</v>
      </c>
      <c r="B79" s="2" t="s">
        <v>90</v>
      </c>
      <c r="C79" s="2" t="s">
        <v>1112</v>
      </c>
      <c r="D79" s="2" t="s">
        <v>1113</v>
      </c>
      <c r="E79" s="2" t="s">
        <v>1114</v>
      </c>
      <c r="G79" s="3" t="s">
        <v>62</v>
      </c>
      <c r="I79" s="3" t="s">
        <v>62</v>
      </c>
      <c r="J79" s="3" t="s">
        <v>62</v>
      </c>
      <c r="K79" s="3" t="s">
        <v>63</v>
      </c>
      <c r="L79" s="2" t="s">
        <v>1115</v>
      </c>
      <c r="M79" s="2" t="s">
        <v>1116</v>
      </c>
      <c r="N79" s="3" t="s">
        <v>553</v>
      </c>
      <c r="P79" s="3" t="s">
        <v>64</v>
      </c>
      <c r="Q79" s="2" t="s">
        <v>1117</v>
      </c>
      <c r="R79" s="3" t="s">
        <v>65</v>
      </c>
      <c r="S79" s="4">
        <v>11</v>
      </c>
      <c r="T79" s="4">
        <v>11</v>
      </c>
      <c r="U79" s="5" t="s">
        <v>1118</v>
      </c>
      <c r="V79" s="5" t="s">
        <v>1118</v>
      </c>
      <c r="W79" s="5" t="s">
        <v>67</v>
      </c>
      <c r="X79" s="5" t="s">
        <v>67</v>
      </c>
      <c r="Y79" s="4">
        <v>75</v>
      </c>
      <c r="Z79" s="4">
        <v>3</v>
      </c>
      <c r="AA79" s="4">
        <v>3</v>
      </c>
      <c r="AB79" s="4">
        <v>1</v>
      </c>
      <c r="AC79" s="4">
        <v>1</v>
      </c>
      <c r="AD79" s="4">
        <v>30</v>
      </c>
      <c r="AE79" s="4">
        <v>30</v>
      </c>
      <c r="AF79" s="4">
        <v>0</v>
      </c>
      <c r="AG79" s="4">
        <v>0</v>
      </c>
      <c r="AH79" s="4">
        <v>29</v>
      </c>
      <c r="AI79" s="4">
        <v>29</v>
      </c>
      <c r="AJ79" s="4">
        <v>1</v>
      </c>
      <c r="AK79" s="4">
        <v>1</v>
      </c>
      <c r="AL79" s="4">
        <v>24</v>
      </c>
      <c r="AM79" s="4">
        <v>24</v>
      </c>
      <c r="AN79" s="4">
        <v>0</v>
      </c>
      <c r="AO79" s="4">
        <v>0</v>
      </c>
      <c r="AP79" s="4">
        <v>1</v>
      </c>
      <c r="AQ79" s="4">
        <v>1</v>
      </c>
      <c r="AR79" s="3" t="s">
        <v>62</v>
      </c>
      <c r="AS79" s="3" t="s">
        <v>62</v>
      </c>
      <c r="AT79" s="3" t="s">
        <v>62</v>
      </c>
      <c r="AV79" s="6" t="str">
        <f>HYPERLINK("http://mcgill.on.worldcat.org/oclc/41566318","Catalog Record")</f>
        <v>Catalog Record</v>
      </c>
      <c r="AW79" s="6" t="str">
        <f>HYPERLINK("http://www.worldcat.org/oclc/41566318","WorldCat Record")</f>
        <v>WorldCat Record</v>
      </c>
      <c r="AX79" s="3" t="s">
        <v>1119</v>
      </c>
      <c r="AY79" s="3" t="s">
        <v>1120</v>
      </c>
      <c r="AZ79" s="3" t="s">
        <v>1121</v>
      </c>
      <c r="BA79" s="3" t="s">
        <v>1121</v>
      </c>
      <c r="BB79" s="3" t="s">
        <v>1122</v>
      </c>
      <c r="BC79" s="3" t="s">
        <v>102</v>
      </c>
      <c r="BD79" s="3" t="s">
        <v>68</v>
      </c>
      <c r="BE79" s="3" t="s">
        <v>1123</v>
      </c>
      <c r="BF79" s="3" t="s">
        <v>1122</v>
      </c>
      <c r="BG79" s="3" t="s">
        <v>1124</v>
      </c>
    </row>
    <row r="80" spans="1:59" ht="72.5" x14ac:dyDescent="0.35">
      <c r="A80" s="2" t="s">
        <v>89</v>
      </c>
      <c r="B80" s="2" t="s">
        <v>90</v>
      </c>
      <c r="C80" s="2" t="s">
        <v>1125</v>
      </c>
      <c r="D80" s="2" t="s">
        <v>1126</v>
      </c>
      <c r="E80" s="2" t="s">
        <v>1127</v>
      </c>
      <c r="G80" s="3" t="s">
        <v>62</v>
      </c>
      <c r="I80" s="3" t="s">
        <v>62</v>
      </c>
      <c r="J80" s="3" t="s">
        <v>62</v>
      </c>
      <c r="K80" s="3" t="s">
        <v>63</v>
      </c>
      <c r="L80" s="2" t="s">
        <v>1128</v>
      </c>
      <c r="M80" s="2" t="s">
        <v>1129</v>
      </c>
      <c r="N80" s="3" t="s">
        <v>553</v>
      </c>
      <c r="P80" s="3" t="s">
        <v>64</v>
      </c>
      <c r="Q80" s="2" t="s">
        <v>1130</v>
      </c>
      <c r="R80" s="3" t="s">
        <v>65</v>
      </c>
      <c r="S80" s="4">
        <v>4</v>
      </c>
      <c r="T80" s="4">
        <v>4</v>
      </c>
      <c r="U80" s="5" t="s">
        <v>906</v>
      </c>
      <c r="V80" s="5" t="s">
        <v>906</v>
      </c>
      <c r="W80" s="5" t="s">
        <v>67</v>
      </c>
      <c r="X80" s="5" t="s">
        <v>67</v>
      </c>
      <c r="Y80" s="4">
        <v>67</v>
      </c>
      <c r="Z80" s="4">
        <v>5</v>
      </c>
      <c r="AA80" s="4">
        <v>5</v>
      </c>
      <c r="AB80" s="4">
        <v>1</v>
      </c>
      <c r="AC80" s="4">
        <v>1</v>
      </c>
      <c r="AD80" s="4">
        <v>32</v>
      </c>
      <c r="AE80" s="4">
        <v>34</v>
      </c>
      <c r="AF80" s="4">
        <v>0</v>
      </c>
      <c r="AG80" s="4">
        <v>0</v>
      </c>
      <c r="AH80" s="4">
        <v>30</v>
      </c>
      <c r="AI80" s="4">
        <v>32</v>
      </c>
      <c r="AJ80" s="4">
        <v>3</v>
      </c>
      <c r="AK80" s="4">
        <v>3</v>
      </c>
      <c r="AL80" s="4">
        <v>27</v>
      </c>
      <c r="AM80" s="4">
        <v>28</v>
      </c>
      <c r="AN80" s="4">
        <v>0</v>
      </c>
      <c r="AO80" s="4">
        <v>0</v>
      </c>
      <c r="AP80" s="4">
        <v>3</v>
      </c>
      <c r="AQ80" s="4">
        <v>3</v>
      </c>
      <c r="AR80" s="3" t="s">
        <v>62</v>
      </c>
      <c r="AS80" s="3" t="s">
        <v>62</v>
      </c>
      <c r="AT80" s="3" t="s">
        <v>62</v>
      </c>
      <c r="AV80" s="6" t="str">
        <f>HYPERLINK("http://mcgill.on.worldcat.org/oclc/42714761","Catalog Record")</f>
        <v>Catalog Record</v>
      </c>
      <c r="AW80" s="6" t="str">
        <f>HYPERLINK("http://www.worldcat.org/oclc/42714761","WorldCat Record")</f>
        <v>WorldCat Record</v>
      </c>
      <c r="AX80" s="3" t="s">
        <v>1131</v>
      </c>
      <c r="AY80" s="3" t="s">
        <v>1132</v>
      </c>
      <c r="AZ80" s="3" t="s">
        <v>1133</v>
      </c>
      <c r="BA80" s="3" t="s">
        <v>1133</v>
      </c>
      <c r="BB80" s="3" t="s">
        <v>1134</v>
      </c>
      <c r="BC80" s="3" t="s">
        <v>102</v>
      </c>
      <c r="BD80" s="3" t="s">
        <v>1135</v>
      </c>
      <c r="BE80" s="3" t="s">
        <v>1136</v>
      </c>
      <c r="BF80" s="3" t="s">
        <v>1134</v>
      </c>
      <c r="BG80" s="3" t="s">
        <v>1137</v>
      </c>
    </row>
    <row r="81" spans="1:59" ht="72.5" x14ac:dyDescent="0.35">
      <c r="A81" s="2" t="s">
        <v>89</v>
      </c>
      <c r="B81" s="2" t="s">
        <v>90</v>
      </c>
      <c r="C81" s="2" t="s">
        <v>1138</v>
      </c>
      <c r="D81" s="2" t="s">
        <v>1139</v>
      </c>
      <c r="E81" s="2" t="s">
        <v>1140</v>
      </c>
      <c r="G81" s="3" t="s">
        <v>62</v>
      </c>
      <c r="I81" s="3" t="s">
        <v>62</v>
      </c>
      <c r="J81" s="3" t="s">
        <v>62</v>
      </c>
      <c r="K81" s="3" t="s">
        <v>63</v>
      </c>
      <c r="L81" s="2" t="s">
        <v>1141</v>
      </c>
      <c r="M81" s="2" t="s">
        <v>1142</v>
      </c>
      <c r="N81" s="3" t="s">
        <v>568</v>
      </c>
      <c r="P81" s="3" t="s">
        <v>64</v>
      </c>
      <c r="Q81" s="2" t="s">
        <v>1143</v>
      </c>
      <c r="R81" s="3" t="s">
        <v>65</v>
      </c>
      <c r="S81" s="4">
        <v>5</v>
      </c>
      <c r="T81" s="4">
        <v>5</v>
      </c>
      <c r="U81" s="5" t="s">
        <v>1144</v>
      </c>
      <c r="V81" s="5" t="s">
        <v>1144</v>
      </c>
      <c r="W81" s="5" t="s">
        <v>67</v>
      </c>
      <c r="X81" s="5" t="s">
        <v>67</v>
      </c>
      <c r="Y81" s="4">
        <v>115</v>
      </c>
      <c r="Z81" s="4">
        <v>4</v>
      </c>
      <c r="AA81" s="4">
        <v>4</v>
      </c>
      <c r="AB81" s="4">
        <v>1</v>
      </c>
      <c r="AC81" s="4">
        <v>1</v>
      </c>
      <c r="AD81" s="4">
        <v>54</v>
      </c>
      <c r="AE81" s="4">
        <v>54</v>
      </c>
      <c r="AF81" s="4">
        <v>0</v>
      </c>
      <c r="AG81" s="4">
        <v>0</v>
      </c>
      <c r="AH81" s="4">
        <v>51</v>
      </c>
      <c r="AI81" s="4">
        <v>51</v>
      </c>
      <c r="AJ81" s="4">
        <v>3</v>
      </c>
      <c r="AK81" s="4">
        <v>3</v>
      </c>
      <c r="AL81" s="4">
        <v>32</v>
      </c>
      <c r="AM81" s="4">
        <v>32</v>
      </c>
      <c r="AN81" s="4">
        <v>0</v>
      </c>
      <c r="AO81" s="4">
        <v>0</v>
      </c>
      <c r="AP81" s="4">
        <v>3</v>
      </c>
      <c r="AQ81" s="4">
        <v>3</v>
      </c>
      <c r="AR81" s="3" t="s">
        <v>62</v>
      </c>
      <c r="AS81" s="3" t="s">
        <v>62</v>
      </c>
      <c r="AT81" s="3" t="s">
        <v>62</v>
      </c>
      <c r="AV81" s="6" t="str">
        <f>HYPERLINK("http://mcgill.on.worldcat.org/oclc/43806978","Catalog Record")</f>
        <v>Catalog Record</v>
      </c>
      <c r="AW81" s="6" t="str">
        <f>HYPERLINK("http://www.worldcat.org/oclc/43806978","WorldCat Record")</f>
        <v>WorldCat Record</v>
      </c>
      <c r="AX81" s="3" t="s">
        <v>1145</v>
      </c>
      <c r="AY81" s="3" t="s">
        <v>1146</v>
      </c>
      <c r="AZ81" s="3" t="s">
        <v>1147</v>
      </c>
      <c r="BA81" s="3" t="s">
        <v>1147</v>
      </c>
      <c r="BB81" s="3" t="s">
        <v>1148</v>
      </c>
      <c r="BC81" s="3" t="s">
        <v>102</v>
      </c>
      <c r="BD81" s="3" t="s">
        <v>68</v>
      </c>
      <c r="BE81" s="3" t="s">
        <v>1149</v>
      </c>
      <c r="BF81" s="3" t="s">
        <v>1148</v>
      </c>
      <c r="BG81" s="3" t="s">
        <v>1150</v>
      </c>
    </row>
    <row r="82" spans="1:59" ht="72.5" x14ac:dyDescent="0.35">
      <c r="A82" s="2" t="s">
        <v>89</v>
      </c>
      <c r="B82" s="2" t="s">
        <v>90</v>
      </c>
      <c r="C82" s="2" t="s">
        <v>1151</v>
      </c>
      <c r="D82" s="2" t="s">
        <v>1152</v>
      </c>
      <c r="E82" s="2" t="s">
        <v>1153</v>
      </c>
      <c r="G82" s="3" t="s">
        <v>62</v>
      </c>
      <c r="I82" s="3" t="s">
        <v>62</v>
      </c>
      <c r="J82" s="3" t="s">
        <v>62</v>
      </c>
      <c r="K82" s="3" t="s">
        <v>63</v>
      </c>
      <c r="L82" s="2" t="s">
        <v>1154</v>
      </c>
      <c r="M82" s="2" t="s">
        <v>1155</v>
      </c>
      <c r="N82" s="3" t="s">
        <v>596</v>
      </c>
      <c r="P82" s="3" t="s">
        <v>64</v>
      </c>
      <c r="Q82" s="2" t="s">
        <v>1156</v>
      </c>
      <c r="R82" s="3" t="s">
        <v>65</v>
      </c>
      <c r="S82" s="4">
        <v>7</v>
      </c>
      <c r="T82" s="4">
        <v>7</v>
      </c>
      <c r="U82" s="5" t="s">
        <v>1157</v>
      </c>
      <c r="V82" s="5" t="s">
        <v>1157</v>
      </c>
      <c r="W82" s="5" t="s">
        <v>67</v>
      </c>
      <c r="X82" s="5" t="s">
        <v>67</v>
      </c>
      <c r="Y82" s="4">
        <v>55</v>
      </c>
      <c r="Z82" s="4">
        <v>4</v>
      </c>
      <c r="AA82" s="4">
        <v>4</v>
      </c>
      <c r="AB82" s="4">
        <v>1</v>
      </c>
      <c r="AC82" s="4">
        <v>1</v>
      </c>
      <c r="AD82" s="4">
        <v>27</v>
      </c>
      <c r="AE82" s="4">
        <v>28</v>
      </c>
      <c r="AF82" s="4">
        <v>0</v>
      </c>
      <c r="AG82" s="4">
        <v>0</v>
      </c>
      <c r="AH82" s="4">
        <v>25</v>
      </c>
      <c r="AI82" s="4">
        <v>26</v>
      </c>
      <c r="AJ82" s="4">
        <v>2</v>
      </c>
      <c r="AK82" s="4">
        <v>2</v>
      </c>
      <c r="AL82" s="4">
        <v>21</v>
      </c>
      <c r="AM82" s="4">
        <v>22</v>
      </c>
      <c r="AN82" s="4">
        <v>0</v>
      </c>
      <c r="AO82" s="4">
        <v>0</v>
      </c>
      <c r="AP82" s="4">
        <v>2</v>
      </c>
      <c r="AQ82" s="4">
        <v>2</v>
      </c>
      <c r="AR82" s="3" t="s">
        <v>62</v>
      </c>
      <c r="AS82" s="3" t="s">
        <v>62</v>
      </c>
      <c r="AT82" s="3" t="s">
        <v>62</v>
      </c>
      <c r="AV82" s="6" t="str">
        <f>HYPERLINK("http://mcgill.on.worldcat.org/oclc/49903797","Catalog Record")</f>
        <v>Catalog Record</v>
      </c>
      <c r="AW82" s="6" t="str">
        <f>HYPERLINK("http://www.worldcat.org/oclc/49903797","WorldCat Record")</f>
        <v>WorldCat Record</v>
      </c>
      <c r="AX82" s="3" t="s">
        <v>1158</v>
      </c>
      <c r="AY82" s="3" t="s">
        <v>1159</v>
      </c>
      <c r="AZ82" s="3" t="s">
        <v>1160</v>
      </c>
      <c r="BA82" s="3" t="s">
        <v>1160</v>
      </c>
      <c r="BB82" s="3" t="s">
        <v>1161</v>
      </c>
      <c r="BC82" s="3" t="s">
        <v>102</v>
      </c>
      <c r="BD82" s="3" t="s">
        <v>68</v>
      </c>
      <c r="BE82" s="3" t="s">
        <v>1162</v>
      </c>
      <c r="BF82" s="3" t="s">
        <v>1161</v>
      </c>
      <c r="BG82" s="3" t="s">
        <v>1163</v>
      </c>
    </row>
    <row r="83" spans="1:59" ht="72.5" x14ac:dyDescent="0.35">
      <c r="A83" s="2" t="s">
        <v>89</v>
      </c>
      <c r="B83" s="2" t="s">
        <v>90</v>
      </c>
      <c r="C83" s="2" t="s">
        <v>1164</v>
      </c>
      <c r="D83" s="2" t="s">
        <v>1165</v>
      </c>
      <c r="E83" s="2" t="s">
        <v>1166</v>
      </c>
      <c r="G83" s="3" t="s">
        <v>62</v>
      </c>
      <c r="I83" s="3" t="s">
        <v>62</v>
      </c>
      <c r="J83" s="3" t="s">
        <v>62</v>
      </c>
      <c r="K83" s="3" t="s">
        <v>63</v>
      </c>
      <c r="L83" s="2" t="s">
        <v>1167</v>
      </c>
      <c r="M83" s="2" t="s">
        <v>1168</v>
      </c>
      <c r="N83" s="3" t="s">
        <v>625</v>
      </c>
      <c r="P83" s="3" t="s">
        <v>64</v>
      </c>
      <c r="Q83" s="2" t="s">
        <v>1169</v>
      </c>
      <c r="R83" s="3" t="s">
        <v>65</v>
      </c>
      <c r="S83" s="4">
        <v>2</v>
      </c>
      <c r="T83" s="4">
        <v>2</v>
      </c>
      <c r="U83" s="5" t="s">
        <v>1170</v>
      </c>
      <c r="V83" s="5" t="s">
        <v>1170</v>
      </c>
      <c r="W83" s="5" t="s">
        <v>67</v>
      </c>
      <c r="X83" s="5" t="s">
        <v>67</v>
      </c>
      <c r="Y83" s="4">
        <v>41</v>
      </c>
      <c r="Z83" s="4">
        <v>1</v>
      </c>
      <c r="AA83" s="4">
        <v>1</v>
      </c>
      <c r="AB83" s="4">
        <v>1</v>
      </c>
      <c r="AC83" s="4">
        <v>1</v>
      </c>
      <c r="AD83" s="4">
        <v>18</v>
      </c>
      <c r="AE83" s="4">
        <v>18</v>
      </c>
      <c r="AF83" s="4">
        <v>0</v>
      </c>
      <c r="AG83" s="4">
        <v>0</v>
      </c>
      <c r="AH83" s="4">
        <v>17</v>
      </c>
      <c r="AI83" s="4">
        <v>17</v>
      </c>
      <c r="AJ83" s="4">
        <v>0</v>
      </c>
      <c r="AK83" s="4">
        <v>0</v>
      </c>
      <c r="AL83" s="4">
        <v>15</v>
      </c>
      <c r="AM83" s="4">
        <v>15</v>
      </c>
      <c r="AN83" s="4">
        <v>0</v>
      </c>
      <c r="AO83" s="4">
        <v>0</v>
      </c>
      <c r="AP83" s="4">
        <v>0</v>
      </c>
      <c r="AQ83" s="4">
        <v>0</v>
      </c>
      <c r="AR83" s="3" t="s">
        <v>62</v>
      </c>
      <c r="AS83" s="3" t="s">
        <v>62</v>
      </c>
      <c r="AT83" s="3" t="s">
        <v>62</v>
      </c>
      <c r="AV83" s="6" t="str">
        <f>HYPERLINK("http://mcgill.on.worldcat.org/oclc/53057930","Catalog Record")</f>
        <v>Catalog Record</v>
      </c>
      <c r="AW83" s="6" t="str">
        <f>HYPERLINK("http://www.worldcat.org/oclc/53057930","WorldCat Record")</f>
        <v>WorldCat Record</v>
      </c>
      <c r="AX83" s="3" t="s">
        <v>1171</v>
      </c>
      <c r="AY83" s="3" t="s">
        <v>1172</v>
      </c>
      <c r="AZ83" s="3" t="s">
        <v>1173</v>
      </c>
      <c r="BA83" s="3" t="s">
        <v>1173</v>
      </c>
      <c r="BB83" s="3" t="s">
        <v>1174</v>
      </c>
      <c r="BC83" s="3" t="s">
        <v>102</v>
      </c>
      <c r="BD83" s="3" t="s">
        <v>68</v>
      </c>
      <c r="BE83" s="3" t="s">
        <v>1175</v>
      </c>
      <c r="BF83" s="3" t="s">
        <v>1174</v>
      </c>
      <c r="BG83" s="3" t="s">
        <v>1176</v>
      </c>
    </row>
    <row r="84" spans="1:59" ht="72.5" x14ac:dyDescent="0.35">
      <c r="A84" s="2" t="s">
        <v>89</v>
      </c>
      <c r="B84" s="2" t="s">
        <v>90</v>
      </c>
      <c r="C84" s="2" t="s">
        <v>1177</v>
      </c>
      <c r="D84" s="2" t="s">
        <v>1178</v>
      </c>
      <c r="E84" s="2" t="s">
        <v>1179</v>
      </c>
      <c r="G84" s="3" t="s">
        <v>62</v>
      </c>
      <c r="I84" s="3" t="s">
        <v>62</v>
      </c>
      <c r="J84" s="3" t="s">
        <v>62</v>
      </c>
      <c r="K84" s="3" t="s">
        <v>63</v>
      </c>
      <c r="L84" s="2" t="s">
        <v>1180</v>
      </c>
      <c r="M84" s="2" t="s">
        <v>1181</v>
      </c>
      <c r="N84" s="3" t="s">
        <v>640</v>
      </c>
      <c r="P84" s="3" t="s">
        <v>85</v>
      </c>
      <c r="Q84" s="2" t="s">
        <v>1182</v>
      </c>
      <c r="R84" s="3" t="s">
        <v>65</v>
      </c>
      <c r="S84" s="4">
        <v>4</v>
      </c>
      <c r="T84" s="4">
        <v>4</v>
      </c>
      <c r="U84" s="5" t="s">
        <v>1183</v>
      </c>
      <c r="V84" s="5" t="s">
        <v>1183</v>
      </c>
      <c r="W84" s="5" t="s">
        <v>67</v>
      </c>
      <c r="X84" s="5" t="s">
        <v>67</v>
      </c>
      <c r="Y84" s="4">
        <v>46</v>
      </c>
      <c r="Z84" s="4">
        <v>2</v>
      </c>
      <c r="AA84" s="4">
        <v>2</v>
      </c>
      <c r="AB84" s="4">
        <v>1</v>
      </c>
      <c r="AC84" s="4">
        <v>1</v>
      </c>
      <c r="AD84" s="4">
        <v>21</v>
      </c>
      <c r="AE84" s="4">
        <v>21</v>
      </c>
      <c r="AF84" s="4">
        <v>0</v>
      </c>
      <c r="AG84" s="4">
        <v>0</v>
      </c>
      <c r="AH84" s="4">
        <v>20</v>
      </c>
      <c r="AI84" s="4">
        <v>20</v>
      </c>
      <c r="AJ84" s="4">
        <v>1</v>
      </c>
      <c r="AK84" s="4">
        <v>1</v>
      </c>
      <c r="AL84" s="4">
        <v>18</v>
      </c>
      <c r="AM84" s="4">
        <v>18</v>
      </c>
      <c r="AN84" s="4">
        <v>0</v>
      </c>
      <c r="AO84" s="4">
        <v>0</v>
      </c>
      <c r="AP84" s="4">
        <v>1</v>
      </c>
      <c r="AQ84" s="4">
        <v>1</v>
      </c>
      <c r="AR84" s="3" t="s">
        <v>62</v>
      </c>
      <c r="AS84" s="3" t="s">
        <v>62</v>
      </c>
      <c r="AT84" s="3" t="s">
        <v>62</v>
      </c>
      <c r="AV84" s="6" t="str">
        <f>HYPERLINK("http://mcgill.on.worldcat.org/oclc/56956966","Catalog Record")</f>
        <v>Catalog Record</v>
      </c>
      <c r="AW84" s="6" t="str">
        <f>HYPERLINK("http://www.worldcat.org/oclc/56956966","WorldCat Record")</f>
        <v>WorldCat Record</v>
      </c>
      <c r="AX84" s="3" t="s">
        <v>1184</v>
      </c>
      <c r="AY84" s="3" t="s">
        <v>1185</v>
      </c>
      <c r="AZ84" s="3" t="s">
        <v>1186</v>
      </c>
      <c r="BA84" s="3" t="s">
        <v>1186</v>
      </c>
      <c r="BB84" s="3" t="s">
        <v>1187</v>
      </c>
      <c r="BC84" s="3" t="s">
        <v>102</v>
      </c>
      <c r="BD84" s="3" t="s">
        <v>68</v>
      </c>
      <c r="BE84" s="3" t="s">
        <v>1188</v>
      </c>
      <c r="BF84" s="3" t="s">
        <v>1187</v>
      </c>
      <c r="BG84" s="3" t="s">
        <v>1189</v>
      </c>
    </row>
    <row r="85" spans="1:59" ht="72.5" x14ac:dyDescent="0.35">
      <c r="A85" s="2" t="s">
        <v>89</v>
      </c>
      <c r="B85" s="2" t="s">
        <v>90</v>
      </c>
      <c r="C85" s="2" t="s">
        <v>1190</v>
      </c>
      <c r="D85" s="2" t="s">
        <v>1191</v>
      </c>
      <c r="E85" s="2" t="s">
        <v>1192</v>
      </c>
      <c r="G85" s="3" t="s">
        <v>62</v>
      </c>
      <c r="I85" s="3" t="s">
        <v>62</v>
      </c>
      <c r="J85" s="3" t="s">
        <v>62</v>
      </c>
      <c r="K85" s="3" t="s">
        <v>63</v>
      </c>
      <c r="L85" s="2" t="s">
        <v>1193</v>
      </c>
      <c r="M85" s="2" t="s">
        <v>1194</v>
      </c>
      <c r="N85" s="3" t="s">
        <v>1195</v>
      </c>
      <c r="P85" s="3" t="s">
        <v>64</v>
      </c>
      <c r="Q85" s="2" t="s">
        <v>1196</v>
      </c>
      <c r="R85" s="3" t="s">
        <v>65</v>
      </c>
      <c r="S85" s="4">
        <v>7</v>
      </c>
      <c r="T85" s="4">
        <v>7</v>
      </c>
      <c r="U85" s="5" t="s">
        <v>1170</v>
      </c>
      <c r="V85" s="5" t="s">
        <v>1170</v>
      </c>
      <c r="W85" s="5" t="s">
        <v>67</v>
      </c>
      <c r="X85" s="5" t="s">
        <v>67</v>
      </c>
      <c r="Y85" s="4">
        <v>73</v>
      </c>
      <c r="Z85" s="4">
        <v>8</v>
      </c>
      <c r="AA85" s="4">
        <v>9</v>
      </c>
      <c r="AB85" s="4">
        <v>2</v>
      </c>
      <c r="AC85" s="4">
        <v>3</v>
      </c>
      <c r="AD85" s="4">
        <v>37</v>
      </c>
      <c r="AE85" s="4">
        <v>38</v>
      </c>
      <c r="AF85" s="4">
        <v>0</v>
      </c>
      <c r="AG85" s="4">
        <v>1</v>
      </c>
      <c r="AH85" s="4">
        <v>34</v>
      </c>
      <c r="AI85" s="4">
        <v>34</v>
      </c>
      <c r="AJ85" s="4">
        <v>5</v>
      </c>
      <c r="AK85" s="4">
        <v>6</v>
      </c>
      <c r="AL85" s="4">
        <v>24</v>
      </c>
      <c r="AM85" s="4">
        <v>24</v>
      </c>
      <c r="AN85" s="4">
        <v>0</v>
      </c>
      <c r="AO85" s="4">
        <v>0</v>
      </c>
      <c r="AP85" s="4">
        <v>5</v>
      </c>
      <c r="AQ85" s="4">
        <v>5</v>
      </c>
      <c r="AR85" s="3" t="s">
        <v>62</v>
      </c>
      <c r="AS85" s="3" t="s">
        <v>62</v>
      </c>
      <c r="AT85" s="3" t="s">
        <v>62</v>
      </c>
      <c r="AV85" s="6" t="str">
        <f>HYPERLINK("http://mcgill.on.worldcat.org/oclc/62901097","Catalog Record")</f>
        <v>Catalog Record</v>
      </c>
      <c r="AW85" s="6" t="str">
        <f>HYPERLINK("http://www.worldcat.org/oclc/62901097","WorldCat Record")</f>
        <v>WorldCat Record</v>
      </c>
      <c r="AX85" s="3" t="s">
        <v>1197</v>
      </c>
      <c r="AY85" s="3" t="s">
        <v>1198</v>
      </c>
      <c r="AZ85" s="3" t="s">
        <v>1199</v>
      </c>
      <c r="BA85" s="3" t="s">
        <v>1199</v>
      </c>
      <c r="BB85" s="3" t="s">
        <v>1200</v>
      </c>
      <c r="BC85" s="3" t="s">
        <v>102</v>
      </c>
      <c r="BD85" s="3" t="s">
        <v>231</v>
      </c>
      <c r="BE85" s="3" t="s">
        <v>1201</v>
      </c>
      <c r="BF85" s="3" t="s">
        <v>1200</v>
      </c>
      <c r="BG85" s="3" t="s">
        <v>1202</v>
      </c>
    </row>
    <row r="86" spans="1:59" ht="58" x14ac:dyDescent="0.35">
      <c r="A86" s="2" t="s">
        <v>89</v>
      </c>
      <c r="B86" s="2" t="s">
        <v>90</v>
      </c>
      <c r="C86" s="2" t="s">
        <v>1204</v>
      </c>
      <c r="D86" s="2" t="s">
        <v>1205</v>
      </c>
      <c r="E86" s="2" t="s">
        <v>1206</v>
      </c>
      <c r="G86" s="3" t="s">
        <v>62</v>
      </c>
      <c r="I86" s="3" t="s">
        <v>62</v>
      </c>
      <c r="J86" s="3" t="s">
        <v>62</v>
      </c>
      <c r="K86" s="3" t="s">
        <v>63</v>
      </c>
      <c r="L86" s="2" t="s">
        <v>1207</v>
      </c>
      <c r="M86" s="2" t="s">
        <v>1208</v>
      </c>
      <c r="N86" s="3" t="s">
        <v>596</v>
      </c>
      <c r="P86" s="3" t="s">
        <v>64</v>
      </c>
      <c r="R86" s="3" t="s">
        <v>65</v>
      </c>
      <c r="S86" s="4">
        <v>29</v>
      </c>
      <c r="T86" s="4">
        <v>29</v>
      </c>
      <c r="U86" s="5" t="s">
        <v>1209</v>
      </c>
      <c r="V86" s="5" t="s">
        <v>1209</v>
      </c>
      <c r="W86" s="5" t="s">
        <v>67</v>
      </c>
      <c r="X86" s="5" t="s">
        <v>67</v>
      </c>
      <c r="Y86" s="4">
        <v>386</v>
      </c>
      <c r="Z86" s="4">
        <v>21</v>
      </c>
      <c r="AA86" s="4">
        <v>23</v>
      </c>
      <c r="AB86" s="4">
        <v>2</v>
      </c>
      <c r="AC86" s="4">
        <v>3</v>
      </c>
      <c r="AD86" s="4">
        <v>83</v>
      </c>
      <c r="AE86" s="4">
        <v>88</v>
      </c>
      <c r="AF86" s="4">
        <v>0</v>
      </c>
      <c r="AG86" s="4">
        <v>1</v>
      </c>
      <c r="AH86" s="4">
        <v>75</v>
      </c>
      <c r="AI86" s="4">
        <v>78</v>
      </c>
      <c r="AJ86" s="4">
        <v>8</v>
      </c>
      <c r="AK86" s="4">
        <v>10</v>
      </c>
      <c r="AL86" s="4">
        <v>45</v>
      </c>
      <c r="AM86" s="4">
        <v>48</v>
      </c>
      <c r="AN86" s="4">
        <v>0</v>
      </c>
      <c r="AO86" s="4">
        <v>0</v>
      </c>
      <c r="AP86" s="4">
        <v>11</v>
      </c>
      <c r="AQ86" s="4">
        <v>12</v>
      </c>
      <c r="AR86" s="3" t="s">
        <v>62</v>
      </c>
      <c r="AS86" s="3" t="s">
        <v>62</v>
      </c>
      <c r="AT86" s="3" t="s">
        <v>62</v>
      </c>
      <c r="AV86" s="6" t="str">
        <f>HYPERLINK("http://mcgill.on.worldcat.org/oclc/49906311","Catalog Record")</f>
        <v>Catalog Record</v>
      </c>
      <c r="AW86" s="6" t="str">
        <f>HYPERLINK("http://www.worldcat.org/oclc/49906311","WorldCat Record")</f>
        <v>WorldCat Record</v>
      </c>
      <c r="AX86" s="3" t="s">
        <v>1210</v>
      </c>
      <c r="AY86" s="3" t="s">
        <v>1211</v>
      </c>
      <c r="AZ86" s="3" t="s">
        <v>1212</v>
      </c>
      <c r="BA86" s="3" t="s">
        <v>1212</v>
      </c>
      <c r="BB86" s="3" t="s">
        <v>1213</v>
      </c>
      <c r="BC86" s="3" t="s">
        <v>102</v>
      </c>
      <c r="BD86" s="3" t="s">
        <v>68</v>
      </c>
      <c r="BE86" s="3" t="s">
        <v>1214</v>
      </c>
      <c r="BF86" s="3" t="s">
        <v>1213</v>
      </c>
      <c r="BG86" s="3" t="s">
        <v>1215</v>
      </c>
    </row>
    <row r="87" spans="1:59" ht="58" x14ac:dyDescent="0.35">
      <c r="A87" s="2" t="s">
        <v>89</v>
      </c>
      <c r="B87" s="2" t="s">
        <v>90</v>
      </c>
      <c r="C87" s="2" t="s">
        <v>1216</v>
      </c>
      <c r="D87" s="2" t="s">
        <v>1217</v>
      </c>
      <c r="E87" s="2" t="s">
        <v>1218</v>
      </c>
      <c r="G87" s="3" t="s">
        <v>62</v>
      </c>
      <c r="I87" s="3" t="s">
        <v>61</v>
      </c>
      <c r="J87" s="3" t="s">
        <v>62</v>
      </c>
      <c r="K87" s="3" t="s">
        <v>63</v>
      </c>
      <c r="L87" s="2" t="s">
        <v>1219</v>
      </c>
      <c r="M87" s="2" t="s">
        <v>1220</v>
      </c>
      <c r="N87" s="3" t="s">
        <v>438</v>
      </c>
      <c r="P87" s="3" t="s">
        <v>64</v>
      </c>
      <c r="R87" s="3" t="s">
        <v>65</v>
      </c>
      <c r="S87" s="4">
        <v>20</v>
      </c>
      <c r="T87" s="4">
        <v>87</v>
      </c>
      <c r="U87" s="5" t="s">
        <v>1221</v>
      </c>
      <c r="V87" s="5" t="s">
        <v>1221</v>
      </c>
      <c r="W87" s="5" t="s">
        <v>67</v>
      </c>
      <c r="X87" s="5" t="s">
        <v>67</v>
      </c>
      <c r="Y87" s="4">
        <v>221</v>
      </c>
      <c r="Z87" s="4">
        <v>22</v>
      </c>
      <c r="AA87" s="4">
        <v>128</v>
      </c>
      <c r="AB87" s="4">
        <v>2</v>
      </c>
      <c r="AC87" s="4">
        <v>23</v>
      </c>
      <c r="AD87" s="4">
        <v>86</v>
      </c>
      <c r="AE87" s="4">
        <v>151</v>
      </c>
      <c r="AF87" s="4">
        <v>1</v>
      </c>
      <c r="AG87" s="4">
        <v>9</v>
      </c>
      <c r="AH87" s="4">
        <v>73</v>
      </c>
      <c r="AI87" s="4">
        <v>103</v>
      </c>
      <c r="AJ87" s="4">
        <v>14</v>
      </c>
      <c r="AK87" s="4">
        <v>29</v>
      </c>
      <c r="AL87" s="4">
        <v>45</v>
      </c>
      <c r="AM87" s="4">
        <v>53</v>
      </c>
      <c r="AN87" s="4">
        <v>0</v>
      </c>
      <c r="AO87" s="4">
        <v>0</v>
      </c>
      <c r="AP87" s="4">
        <v>18</v>
      </c>
      <c r="AQ87" s="4">
        <v>56</v>
      </c>
      <c r="AR87" s="3" t="s">
        <v>61</v>
      </c>
      <c r="AS87" s="3" t="s">
        <v>62</v>
      </c>
      <c r="AT87" s="3" t="s">
        <v>62</v>
      </c>
      <c r="AV87" s="6" t="str">
        <f>HYPERLINK("http://mcgill.on.worldcat.org/oclc/23868226","Catalog Record")</f>
        <v>Catalog Record</v>
      </c>
      <c r="AW87" s="6" t="str">
        <f>HYPERLINK("http://www.worldcat.org/oclc/23868226","WorldCat Record")</f>
        <v>WorldCat Record</v>
      </c>
      <c r="AX87" s="3" t="s">
        <v>1222</v>
      </c>
      <c r="AY87" s="3" t="s">
        <v>1223</v>
      </c>
      <c r="AZ87" s="3" t="s">
        <v>1224</v>
      </c>
      <c r="BA87" s="3" t="s">
        <v>1224</v>
      </c>
      <c r="BB87" s="3" t="s">
        <v>1225</v>
      </c>
      <c r="BC87" s="3" t="s">
        <v>102</v>
      </c>
      <c r="BD87" s="3" t="s">
        <v>68</v>
      </c>
      <c r="BE87" s="3" t="s">
        <v>1226</v>
      </c>
      <c r="BF87" s="3" t="s">
        <v>1225</v>
      </c>
      <c r="BG87" s="3" t="s">
        <v>1227</v>
      </c>
    </row>
    <row r="88" spans="1:59" ht="58" x14ac:dyDescent="0.35">
      <c r="A88" s="2" t="s">
        <v>89</v>
      </c>
      <c r="B88" s="2" t="s">
        <v>90</v>
      </c>
      <c r="C88" s="2" t="s">
        <v>1216</v>
      </c>
      <c r="D88" s="2" t="s">
        <v>1217</v>
      </c>
      <c r="E88" s="2" t="s">
        <v>1218</v>
      </c>
      <c r="G88" s="3" t="s">
        <v>62</v>
      </c>
      <c r="I88" s="3" t="s">
        <v>61</v>
      </c>
      <c r="J88" s="3" t="s">
        <v>62</v>
      </c>
      <c r="K88" s="3" t="s">
        <v>63</v>
      </c>
      <c r="L88" s="2" t="s">
        <v>1219</v>
      </c>
      <c r="M88" s="2" t="s">
        <v>1220</v>
      </c>
      <c r="N88" s="3" t="s">
        <v>438</v>
      </c>
      <c r="P88" s="3" t="s">
        <v>64</v>
      </c>
      <c r="R88" s="3" t="s">
        <v>65</v>
      </c>
      <c r="S88" s="4">
        <v>40</v>
      </c>
      <c r="T88" s="4">
        <v>87</v>
      </c>
      <c r="U88" s="5" t="s">
        <v>1228</v>
      </c>
      <c r="V88" s="5" t="s">
        <v>1221</v>
      </c>
      <c r="W88" s="5" t="s">
        <v>67</v>
      </c>
      <c r="X88" s="5" t="s">
        <v>67</v>
      </c>
      <c r="Y88" s="4">
        <v>221</v>
      </c>
      <c r="Z88" s="4">
        <v>22</v>
      </c>
      <c r="AA88" s="4">
        <v>128</v>
      </c>
      <c r="AB88" s="4">
        <v>2</v>
      </c>
      <c r="AC88" s="4">
        <v>23</v>
      </c>
      <c r="AD88" s="4">
        <v>86</v>
      </c>
      <c r="AE88" s="4">
        <v>151</v>
      </c>
      <c r="AF88" s="4">
        <v>1</v>
      </c>
      <c r="AG88" s="4">
        <v>9</v>
      </c>
      <c r="AH88" s="4">
        <v>73</v>
      </c>
      <c r="AI88" s="4">
        <v>103</v>
      </c>
      <c r="AJ88" s="4">
        <v>14</v>
      </c>
      <c r="AK88" s="4">
        <v>29</v>
      </c>
      <c r="AL88" s="4">
        <v>45</v>
      </c>
      <c r="AM88" s="4">
        <v>53</v>
      </c>
      <c r="AN88" s="4">
        <v>0</v>
      </c>
      <c r="AO88" s="4">
        <v>0</v>
      </c>
      <c r="AP88" s="4">
        <v>18</v>
      </c>
      <c r="AQ88" s="4">
        <v>56</v>
      </c>
      <c r="AR88" s="3" t="s">
        <v>61</v>
      </c>
      <c r="AS88" s="3" t="s">
        <v>62</v>
      </c>
      <c r="AT88" s="3" t="s">
        <v>62</v>
      </c>
      <c r="AV88" s="6" t="str">
        <f>HYPERLINK("http://mcgill.on.worldcat.org/oclc/23868226","Catalog Record")</f>
        <v>Catalog Record</v>
      </c>
      <c r="AW88" s="6" t="str">
        <f>HYPERLINK("http://www.worldcat.org/oclc/23868226","WorldCat Record")</f>
        <v>WorldCat Record</v>
      </c>
      <c r="AX88" s="3" t="s">
        <v>1222</v>
      </c>
      <c r="AY88" s="3" t="s">
        <v>1223</v>
      </c>
      <c r="AZ88" s="3" t="s">
        <v>1224</v>
      </c>
      <c r="BA88" s="3" t="s">
        <v>1224</v>
      </c>
      <c r="BB88" s="3" t="s">
        <v>1229</v>
      </c>
      <c r="BC88" s="3" t="s">
        <v>102</v>
      </c>
      <c r="BD88" s="3" t="s">
        <v>68</v>
      </c>
      <c r="BE88" s="3" t="s">
        <v>1226</v>
      </c>
      <c r="BF88" s="3" t="s">
        <v>1229</v>
      </c>
      <c r="BG88" s="3" t="s">
        <v>1230</v>
      </c>
    </row>
    <row r="89" spans="1:59" ht="72.5" x14ac:dyDescent="0.35">
      <c r="A89" s="2" t="s">
        <v>89</v>
      </c>
      <c r="B89" s="2" t="s">
        <v>1231</v>
      </c>
      <c r="C89" s="2" t="s">
        <v>1232</v>
      </c>
      <c r="D89" s="2" t="s">
        <v>1233</v>
      </c>
      <c r="E89" s="2" t="s">
        <v>1234</v>
      </c>
      <c r="G89" s="3" t="s">
        <v>62</v>
      </c>
      <c r="I89" s="3" t="s">
        <v>62</v>
      </c>
      <c r="J89" s="3" t="s">
        <v>62</v>
      </c>
      <c r="K89" s="3" t="s">
        <v>63</v>
      </c>
      <c r="L89" s="2" t="s">
        <v>1235</v>
      </c>
      <c r="M89" s="2" t="s">
        <v>1236</v>
      </c>
      <c r="N89" s="3" t="s">
        <v>509</v>
      </c>
      <c r="P89" s="3" t="s">
        <v>64</v>
      </c>
      <c r="Q89" s="2" t="s">
        <v>1237</v>
      </c>
      <c r="R89" s="3" t="s">
        <v>65</v>
      </c>
      <c r="S89" s="4">
        <v>56</v>
      </c>
      <c r="T89" s="4">
        <v>56</v>
      </c>
      <c r="U89" s="5" t="s">
        <v>1238</v>
      </c>
      <c r="V89" s="5" t="s">
        <v>1238</v>
      </c>
      <c r="W89" s="5" t="s">
        <v>67</v>
      </c>
      <c r="X89" s="5" t="s">
        <v>67</v>
      </c>
      <c r="Y89" s="4">
        <v>414</v>
      </c>
      <c r="Z89" s="4">
        <v>29</v>
      </c>
      <c r="AA89" s="4">
        <v>104</v>
      </c>
      <c r="AB89" s="4">
        <v>3</v>
      </c>
      <c r="AC89" s="4">
        <v>21</v>
      </c>
      <c r="AD89" s="4">
        <v>113</v>
      </c>
      <c r="AE89" s="4">
        <v>151</v>
      </c>
      <c r="AF89" s="4">
        <v>1</v>
      </c>
      <c r="AG89" s="4">
        <v>8</v>
      </c>
      <c r="AH89" s="4">
        <v>98</v>
      </c>
      <c r="AI89" s="4">
        <v>112</v>
      </c>
      <c r="AJ89" s="4">
        <v>16</v>
      </c>
      <c r="AK89" s="4">
        <v>26</v>
      </c>
      <c r="AL89" s="4">
        <v>54</v>
      </c>
      <c r="AM89" s="4">
        <v>58</v>
      </c>
      <c r="AN89" s="4">
        <v>0</v>
      </c>
      <c r="AO89" s="4">
        <v>0</v>
      </c>
      <c r="AP89" s="4">
        <v>21</v>
      </c>
      <c r="AQ89" s="4">
        <v>49</v>
      </c>
      <c r="AR89" s="3" t="s">
        <v>62</v>
      </c>
      <c r="AS89" s="3" t="s">
        <v>62</v>
      </c>
      <c r="AT89" s="3" t="s">
        <v>62</v>
      </c>
      <c r="AV89" s="6" t="str">
        <f>HYPERLINK("http://mcgill.on.worldcat.org/oclc/27770300","Catalog Record")</f>
        <v>Catalog Record</v>
      </c>
      <c r="AW89" s="6" t="str">
        <f>HYPERLINK("http://www.worldcat.org/oclc/27770300","WorldCat Record")</f>
        <v>WorldCat Record</v>
      </c>
      <c r="AX89" s="3" t="s">
        <v>1239</v>
      </c>
      <c r="AY89" s="3" t="s">
        <v>1240</v>
      </c>
      <c r="AZ89" s="3" t="s">
        <v>1241</v>
      </c>
      <c r="BA89" s="3" t="s">
        <v>1241</v>
      </c>
      <c r="BB89" s="3" t="s">
        <v>1242</v>
      </c>
      <c r="BC89" s="3" t="s">
        <v>102</v>
      </c>
      <c r="BD89" s="3" t="s">
        <v>231</v>
      </c>
      <c r="BE89" s="3" t="s">
        <v>1243</v>
      </c>
      <c r="BF89" s="3" t="s">
        <v>1242</v>
      </c>
      <c r="BG89" s="3" t="s">
        <v>1244</v>
      </c>
    </row>
    <row r="90" spans="1:59" ht="72.5" x14ac:dyDescent="0.35">
      <c r="A90" s="2" t="s">
        <v>89</v>
      </c>
      <c r="B90" s="2" t="s">
        <v>90</v>
      </c>
      <c r="C90" s="2" t="s">
        <v>1245</v>
      </c>
      <c r="D90" s="2" t="s">
        <v>1246</v>
      </c>
      <c r="E90" s="2" t="s">
        <v>1247</v>
      </c>
      <c r="F90" s="3" t="s">
        <v>1248</v>
      </c>
      <c r="G90" s="3" t="s">
        <v>62</v>
      </c>
      <c r="I90" s="3" t="s">
        <v>62</v>
      </c>
      <c r="J90" s="3" t="s">
        <v>62</v>
      </c>
      <c r="K90" s="3" t="s">
        <v>63</v>
      </c>
      <c r="L90" s="2" t="s">
        <v>1249</v>
      </c>
      <c r="M90" s="2" t="s">
        <v>1250</v>
      </c>
      <c r="N90" s="3" t="s">
        <v>919</v>
      </c>
      <c r="P90" s="3" t="s">
        <v>85</v>
      </c>
      <c r="Q90" s="2" t="s">
        <v>1251</v>
      </c>
      <c r="R90" s="3" t="s">
        <v>65</v>
      </c>
      <c r="S90" s="4">
        <v>3</v>
      </c>
      <c r="T90" s="4">
        <v>3</v>
      </c>
      <c r="U90" s="5" t="s">
        <v>1252</v>
      </c>
      <c r="V90" s="5" t="s">
        <v>1252</v>
      </c>
      <c r="W90" s="5" t="s">
        <v>67</v>
      </c>
      <c r="X90" s="5" t="s">
        <v>67</v>
      </c>
      <c r="Y90" s="4">
        <v>74</v>
      </c>
      <c r="Z90" s="4">
        <v>3</v>
      </c>
      <c r="AA90" s="4">
        <v>6</v>
      </c>
      <c r="AB90" s="4">
        <v>2</v>
      </c>
      <c r="AC90" s="4">
        <v>4</v>
      </c>
      <c r="AD90" s="4">
        <v>34</v>
      </c>
      <c r="AE90" s="4">
        <v>37</v>
      </c>
      <c r="AF90" s="4">
        <v>0</v>
      </c>
      <c r="AG90" s="4">
        <v>2</v>
      </c>
      <c r="AH90" s="4">
        <v>32</v>
      </c>
      <c r="AI90" s="4">
        <v>33</v>
      </c>
      <c r="AJ90" s="4">
        <v>1</v>
      </c>
      <c r="AK90" s="4">
        <v>3</v>
      </c>
      <c r="AL90" s="4">
        <v>28</v>
      </c>
      <c r="AM90" s="4">
        <v>28</v>
      </c>
      <c r="AN90" s="4">
        <v>0</v>
      </c>
      <c r="AO90" s="4">
        <v>0</v>
      </c>
      <c r="AP90" s="4">
        <v>1</v>
      </c>
      <c r="AQ90" s="4">
        <v>4</v>
      </c>
      <c r="AR90" s="3" t="s">
        <v>62</v>
      </c>
      <c r="AS90" s="3" t="s">
        <v>62</v>
      </c>
      <c r="AT90" s="3" t="s">
        <v>61</v>
      </c>
      <c r="AU90" s="6" t="str">
        <f>HYPERLINK("http://catalog.hathitrust.org/Record/000327275","HathiTrust Record")</f>
        <v>HathiTrust Record</v>
      </c>
      <c r="AV90" s="6" t="str">
        <f>HYPERLINK("http://mcgill.on.worldcat.org/oclc/2457107","Catalog Record")</f>
        <v>Catalog Record</v>
      </c>
      <c r="AW90" s="6" t="str">
        <f>HYPERLINK("http://www.worldcat.org/oclc/2457107","WorldCat Record")</f>
        <v>WorldCat Record</v>
      </c>
      <c r="AX90" s="3" t="s">
        <v>1253</v>
      </c>
      <c r="AY90" s="3" t="s">
        <v>1254</v>
      </c>
      <c r="AZ90" s="3" t="s">
        <v>1255</v>
      </c>
      <c r="BA90" s="3" t="s">
        <v>1255</v>
      </c>
      <c r="BB90" s="3" t="s">
        <v>1256</v>
      </c>
      <c r="BC90" s="3" t="s">
        <v>102</v>
      </c>
      <c r="BD90" s="3" t="s">
        <v>68</v>
      </c>
      <c r="BF90" s="3" t="s">
        <v>1256</v>
      </c>
      <c r="BG90" s="3" t="s">
        <v>1257</v>
      </c>
    </row>
    <row r="91" spans="1:59" ht="72.5" x14ac:dyDescent="0.35">
      <c r="A91" s="2" t="s">
        <v>89</v>
      </c>
      <c r="B91" s="2" t="s">
        <v>90</v>
      </c>
      <c r="C91" s="2" t="s">
        <v>1258</v>
      </c>
      <c r="D91" s="2" t="s">
        <v>1259</v>
      </c>
      <c r="E91" s="2" t="s">
        <v>1260</v>
      </c>
      <c r="F91" s="3" t="s">
        <v>1261</v>
      </c>
      <c r="G91" s="3" t="s">
        <v>62</v>
      </c>
      <c r="I91" s="3" t="s">
        <v>62</v>
      </c>
      <c r="J91" s="3" t="s">
        <v>62</v>
      </c>
      <c r="K91" s="3" t="s">
        <v>63</v>
      </c>
      <c r="L91" s="2" t="s">
        <v>1262</v>
      </c>
      <c r="M91" s="2" t="s">
        <v>1263</v>
      </c>
      <c r="N91" s="3" t="s">
        <v>1264</v>
      </c>
      <c r="P91" s="3" t="s">
        <v>85</v>
      </c>
      <c r="Q91" s="2" t="s">
        <v>1265</v>
      </c>
      <c r="R91" s="3" t="s">
        <v>65</v>
      </c>
      <c r="S91" s="4">
        <v>1</v>
      </c>
      <c r="T91" s="4">
        <v>1</v>
      </c>
      <c r="U91" s="5" t="s">
        <v>1266</v>
      </c>
      <c r="V91" s="5" t="s">
        <v>1266</v>
      </c>
      <c r="W91" s="5" t="s">
        <v>67</v>
      </c>
      <c r="X91" s="5" t="s">
        <v>67</v>
      </c>
      <c r="Y91" s="4">
        <v>60</v>
      </c>
      <c r="Z91" s="4">
        <v>1</v>
      </c>
      <c r="AA91" s="4">
        <v>1</v>
      </c>
      <c r="AB91" s="4">
        <v>1</v>
      </c>
      <c r="AC91" s="4">
        <v>1</v>
      </c>
      <c r="AD91" s="4">
        <v>30</v>
      </c>
      <c r="AE91" s="4">
        <v>30</v>
      </c>
      <c r="AF91" s="4">
        <v>0</v>
      </c>
      <c r="AG91" s="4">
        <v>0</v>
      </c>
      <c r="AH91" s="4">
        <v>28</v>
      </c>
      <c r="AI91" s="4">
        <v>28</v>
      </c>
      <c r="AJ91" s="4">
        <v>0</v>
      </c>
      <c r="AK91" s="4">
        <v>0</v>
      </c>
      <c r="AL91" s="4">
        <v>23</v>
      </c>
      <c r="AM91" s="4">
        <v>23</v>
      </c>
      <c r="AN91" s="4">
        <v>0</v>
      </c>
      <c r="AO91" s="4">
        <v>0</v>
      </c>
      <c r="AP91" s="4">
        <v>0</v>
      </c>
      <c r="AQ91" s="4">
        <v>0</v>
      </c>
      <c r="AR91" s="3" t="s">
        <v>62</v>
      </c>
      <c r="AS91" s="3" t="s">
        <v>62</v>
      </c>
      <c r="AT91" s="3" t="s">
        <v>61</v>
      </c>
      <c r="AU91" s="6" t="str">
        <f>HYPERLINK("http://catalog.hathitrust.org/Record/000125567","HathiTrust Record")</f>
        <v>HathiTrust Record</v>
      </c>
      <c r="AV91" s="6" t="str">
        <f>HYPERLINK("http://mcgill.on.worldcat.org/oclc/1540608","Catalog Record")</f>
        <v>Catalog Record</v>
      </c>
      <c r="AW91" s="6" t="str">
        <f>HYPERLINK("http://www.worldcat.org/oclc/1540608","WorldCat Record")</f>
        <v>WorldCat Record</v>
      </c>
      <c r="AX91" s="3" t="s">
        <v>1267</v>
      </c>
      <c r="AY91" s="3" t="s">
        <v>1268</v>
      </c>
      <c r="AZ91" s="3" t="s">
        <v>1269</v>
      </c>
      <c r="BA91" s="3" t="s">
        <v>1269</v>
      </c>
      <c r="BB91" s="3" t="s">
        <v>1270</v>
      </c>
      <c r="BC91" s="3" t="s">
        <v>102</v>
      </c>
      <c r="BD91" s="3" t="s">
        <v>68</v>
      </c>
      <c r="BF91" s="3" t="s">
        <v>1270</v>
      </c>
      <c r="BG91" s="3" t="s">
        <v>1271</v>
      </c>
    </row>
    <row r="92" spans="1:59" ht="72.5" x14ac:dyDescent="0.35">
      <c r="A92" s="2" t="s">
        <v>89</v>
      </c>
      <c r="B92" s="2" t="s">
        <v>90</v>
      </c>
      <c r="C92" s="2" t="s">
        <v>1272</v>
      </c>
      <c r="D92" s="2" t="s">
        <v>1273</v>
      </c>
      <c r="E92" s="2" t="s">
        <v>1274</v>
      </c>
      <c r="F92" s="3" t="s">
        <v>1275</v>
      </c>
      <c r="G92" s="3" t="s">
        <v>62</v>
      </c>
      <c r="I92" s="3" t="s">
        <v>61</v>
      </c>
      <c r="J92" s="3" t="s">
        <v>62</v>
      </c>
      <c r="K92" s="3" t="s">
        <v>63</v>
      </c>
      <c r="L92" s="2" t="s">
        <v>1276</v>
      </c>
      <c r="M92" s="2" t="s">
        <v>1277</v>
      </c>
      <c r="N92" s="3" t="s">
        <v>755</v>
      </c>
      <c r="P92" s="3" t="s">
        <v>64</v>
      </c>
      <c r="Q92" s="2" t="s">
        <v>1278</v>
      </c>
      <c r="R92" s="3" t="s">
        <v>65</v>
      </c>
      <c r="S92" s="4">
        <v>1</v>
      </c>
      <c r="T92" s="4">
        <v>8</v>
      </c>
      <c r="U92" s="5" t="s">
        <v>1279</v>
      </c>
      <c r="V92" s="5" t="s">
        <v>1279</v>
      </c>
      <c r="W92" s="5" t="s">
        <v>67</v>
      </c>
      <c r="X92" s="5" t="s">
        <v>67</v>
      </c>
      <c r="Y92" s="4">
        <v>229</v>
      </c>
      <c r="Z92" s="4">
        <v>12</v>
      </c>
      <c r="AA92" s="4">
        <v>12</v>
      </c>
      <c r="AB92" s="4">
        <v>2</v>
      </c>
      <c r="AC92" s="4">
        <v>2</v>
      </c>
      <c r="AD92" s="4">
        <v>86</v>
      </c>
      <c r="AE92" s="4">
        <v>86</v>
      </c>
      <c r="AF92" s="4">
        <v>1</v>
      </c>
      <c r="AG92" s="4">
        <v>1</v>
      </c>
      <c r="AH92" s="4">
        <v>77</v>
      </c>
      <c r="AI92" s="4">
        <v>77</v>
      </c>
      <c r="AJ92" s="4">
        <v>10</v>
      </c>
      <c r="AK92" s="4">
        <v>10</v>
      </c>
      <c r="AL92" s="4">
        <v>50</v>
      </c>
      <c r="AM92" s="4">
        <v>50</v>
      </c>
      <c r="AN92" s="4">
        <v>0</v>
      </c>
      <c r="AO92" s="4">
        <v>0</v>
      </c>
      <c r="AP92" s="4">
        <v>10</v>
      </c>
      <c r="AQ92" s="4">
        <v>10</v>
      </c>
      <c r="AR92" s="3" t="s">
        <v>62</v>
      </c>
      <c r="AS92" s="3" t="s">
        <v>62</v>
      </c>
      <c r="AT92" s="3" t="s">
        <v>61</v>
      </c>
      <c r="AU92" s="6" t="str">
        <f>HYPERLINK("http://catalog.hathitrust.org/Record/000478286","HathiTrust Record")</f>
        <v>HathiTrust Record</v>
      </c>
      <c r="AV92" s="6" t="str">
        <f>HYPERLINK("http://mcgill.on.worldcat.org/oclc/786987","Catalog Record")</f>
        <v>Catalog Record</v>
      </c>
      <c r="AW92" s="6" t="str">
        <f>HYPERLINK("http://www.worldcat.org/oclc/786987","WorldCat Record")</f>
        <v>WorldCat Record</v>
      </c>
      <c r="AX92" s="3" t="s">
        <v>1280</v>
      </c>
      <c r="AY92" s="3" t="s">
        <v>1281</v>
      </c>
      <c r="AZ92" s="3" t="s">
        <v>1282</v>
      </c>
      <c r="BA92" s="3" t="s">
        <v>1282</v>
      </c>
      <c r="BB92" s="3" t="s">
        <v>1283</v>
      </c>
      <c r="BC92" s="3" t="s">
        <v>102</v>
      </c>
      <c r="BD92" s="3" t="s">
        <v>68</v>
      </c>
      <c r="BF92" s="3" t="s">
        <v>1283</v>
      </c>
      <c r="BG92" s="3" t="s">
        <v>1284</v>
      </c>
    </row>
    <row r="93" spans="1:59" ht="72.5" x14ac:dyDescent="0.35">
      <c r="A93" s="2" t="s">
        <v>89</v>
      </c>
      <c r="B93" s="2" t="s">
        <v>90</v>
      </c>
      <c r="C93" s="2" t="s">
        <v>1285</v>
      </c>
      <c r="D93" s="2" t="s">
        <v>1286</v>
      </c>
      <c r="E93" s="2" t="s">
        <v>1287</v>
      </c>
      <c r="F93" s="3" t="s">
        <v>1288</v>
      </c>
      <c r="G93" s="3" t="s">
        <v>62</v>
      </c>
      <c r="I93" s="3" t="s">
        <v>61</v>
      </c>
      <c r="J93" s="3" t="s">
        <v>62</v>
      </c>
      <c r="K93" s="3" t="s">
        <v>63</v>
      </c>
      <c r="L93" s="2" t="s">
        <v>1289</v>
      </c>
      <c r="M93" s="2" t="s">
        <v>1290</v>
      </c>
      <c r="N93" s="3" t="s">
        <v>1291</v>
      </c>
      <c r="P93" s="3" t="s">
        <v>85</v>
      </c>
      <c r="Q93" s="2" t="s">
        <v>1292</v>
      </c>
      <c r="R93" s="3" t="s">
        <v>65</v>
      </c>
      <c r="S93" s="4">
        <v>6</v>
      </c>
      <c r="T93" s="4">
        <v>6</v>
      </c>
      <c r="U93" s="5" t="s">
        <v>1293</v>
      </c>
      <c r="V93" s="5" t="s">
        <v>1293</v>
      </c>
      <c r="W93" s="5" t="s">
        <v>67</v>
      </c>
      <c r="X93" s="5" t="s">
        <v>67</v>
      </c>
      <c r="Y93" s="4">
        <v>237</v>
      </c>
      <c r="Z93" s="4">
        <v>15</v>
      </c>
      <c r="AA93" s="4">
        <v>15</v>
      </c>
      <c r="AB93" s="4">
        <v>2</v>
      </c>
      <c r="AC93" s="4">
        <v>2</v>
      </c>
      <c r="AD93" s="4">
        <v>83</v>
      </c>
      <c r="AE93" s="4">
        <v>83</v>
      </c>
      <c r="AF93" s="4">
        <v>1</v>
      </c>
      <c r="AG93" s="4">
        <v>1</v>
      </c>
      <c r="AH93" s="4">
        <v>77</v>
      </c>
      <c r="AI93" s="4">
        <v>77</v>
      </c>
      <c r="AJ93" s="4">
        <v>11</v>
      </c>
      <c r="AK93" s="4">
        <v>11</v>
      </c>
      <c r="AL93" s="4">
        <v>49</v>
      </c>
      <c r="AM93" s="4">
        <v>49</v>
      </c>
      <c r="AN93" s="4">
        <v>0</v>
      </c>
      <c r="AO93" s="4">
        <v>0</v>
      </c>
      <c r="AP93" s="4">
        <v>12</v>
      </c>
      <c r="AQ93" s="4">
        <v>12</v>
      </c>
      <c r="AR93" s="3" t="s">
        <v>62</v>
      </c>
      <c r="AS93" s="3" t="s">
        <v>62</v>
      </c>
      <c r="AT93" s="3" t="s">
        <v>62</v>
      </c>
      <c r="AV93" s="6" t="str">
        <f>HYPERLINK("http://mcgill.on.worldcat.org/oclc/1061519","Catalog Record")</f>
        <v>Catalog Record</v>
      </c>
      <c r="AW93" s="6" t="str">
        <f>HYPERLINK("http://www.worldcat.org/oclc/1061519","WorldCat Record")</f>
        <v>WorldCat Record</v>
      </c>
      <c r="AX93" s="3" t="s">
        <v>1294</v>
      </c>
      <c r="AY93" s="3" t="s">
        <v>1295</v>
      </c>
      <c r="AZ93" s="3" t="s">
        <v>1296</v>
      </c>
      <c r="BA93" s="3" t="s">
        <v>1296</v>
      </c>
      <c r="BB93" s="3" t="s">
        <v>1297</v>
      </c>
      <c r="BC93" s="3" t="s">
        <v>102</v>
      </c>
      <c r="BD93" s="3" t="s">
        <v>68</v>
      </c>
      <c r="BF93" s="3" t="s">
        <v>1297</v>
      </c>
      <c r="BG93" s="3" t="s">
        <v>1298</v>
      </c>
    </row>
    <row r="94" spans="1:59" ht="72.5" x14ac:dyDescent="0.35">
      <c r="A94" s="2" t="s">
        <v>89</v>
      </c>
      <c r="B94" s="2" t="s">
        <v>90</v>
      </c>
      <c r="C94" s="2" t="s">
        <v>1299</v>
      </c>
      <c r="D94" s="2" t="s">
        <v>1300</v>
      </c>
      <c r="E94" s="2" t="s">
        <v>1301</v>
      </c>
      <c r="F94" s="3" t="s">
        <v>1302</v>
      </c>
      <c r="G94" s="3" t="s">
        <v>61</v>
      </c>
      <c r="I94" s="3" t="s">
        <v>62</v>
      </c>
      <c r="J94" s="3" t="s">
        <v>62</v>
      </c>
      <c r="K94" s="3" t="s">
        <v>63</v>
      </c>
      <c r="L94" s="2" t="s">
        <v>1303</v>
      </c>
      <c r="M94" s="2" t="s">
        <v>1304</v>
      </c>
      <c r="N94" s="3" t="s">
        <v>1305</v>
      </c>
      <c r="P94" s="3" t="s">
        <v>85</v>
      </c>
      <c r="Q94" s="2" t="s">
        <v>1306</v>
      </c>
      <c r="R94" s="3" t="s">
        <v>65</v>
      </c>
      <c r="S94" s="4">
        <v>1</v>
      </c>
      <c r="T94" s="4">
        <v>3</v>
      </c>
      <c r="U94" s="5" t="s">
        <v>1307</v>
      </c>
      <c r="V94" s="5" t="s">
        <v>1307</v>
      </c>
      <c r="W94" s="5" t="s">
        <v>67</v>
      </c>
      <c r="X94" s="5" t="s">
        <v>67</v>
      </c>
      <c r="Y94" s="4">
        <v>61</v>
      </c>
      <c r="Z94" s="4">
        <v>1</v>
      </c>
      <c r="AA94" s="4">
        <v>8</v>
      </c>
      <c r="AB94" s="4">
        <v>1</v>
      </c>
      <c r="AC94" s="4">
        <v>1</v>
      </c>
      <c r="AD94" s="4">
        <v>31</v>
      </c>
      <c r="AE94" s="4">
        <v>41</v>
      </c>
      <c r="AF94" s="4">
        <v>0</v>
      </c>
      <c r="AG94" s="4">
        <v>0</v>
      </c>
      <c r="AH94" s="4">
        <v>30</v>
      </c>
      <c r="AI94" s="4">
        <v>39</v>
      </c>
      <c r="AJ94" s="4">
        <v>0</v>
      </c>
      <c r="AK94" s="4">
        <v>3</v>
      </c>
      <c r="AL94" s="4">
        <v>28</v>
      </c>
      <c r="AM94" s="4">
        <v>33</v>
      </c>
      <c r="AN94" s="4">
        <v>0</v>
      </c>
      <c r="AO94" s="4">
        <v>0</v>
      </c>
      <c r="AP94" s="4">
        <v>0</v>
      </c>
      <c r="AQ94" s="4">
        <v>3</v>
      </c>
      <c r="AR94" s="3" t="s">
        <v>62</v>
      </c>
      <c r="AS94" s="3" t="s">
        <v>62</v>
      </c>
      <c r="AT94" s="3" t="s">
        <v>61</v>
      </c>
      <c r="AU94" s="6" t="str">
        <f>HYPERLINK("http://catalog.hathitrust.org/Record/008569806","HathiTrust Record")</f>
        <v>HathiTrust Record</v>
      </c>
      <c r="AV94" s="6" t="str">
        <f>HYPERLINK("http://mcgill.on.worldcat.org/oclc/12302327","Catalog Record")</f>
        <v>Catalog Record</v>
      </c>
      <c r="AW94" s="6" t="str">
        <f>HYPERLINK("http://www.worldcat.org/oclc/12302327","WorldCat Record")</f>
        <v>WorldCat Record</v>
      </c>
      <c r="AX94" s="3" t="s">
        <v>1308</v>
      </c>
      <c r="AY94" s="3" t="s">
        <v>1309</v>
      </c>
      <c r="AZ94" s="3" t="s">
        <v>1310</v>
      </c>
      <c r="BA94" s="3" t="s">
        <v>1310</v>
      </c>
      <c r="BB94" s="3" t="s">
        <v>1311</v>
      </c>
      <c r="BC94" s="3" t="s">
        <v>102</v>
      </c>
      <c r="BD94" s="3" t="s">
        <v>68</v>
      </c>
      <c r="BF94" s="3" t="s">
        <v>1311</v>
      </c>
      <c r="BG94" s="3" t="s">
        <v>1312</v>
      </c>
    </row>
    <row r="95" spans="1:59" ht="72.5" x14ac:dyDescent="0.35">
      <c r="A95" s="2" t="s">
        <v>89</v>
      </c>
      <c r="B95" s="2" t="s">
        <v>90</v>
      </c>
      <c r="C95" s="2" t="s">
        <v>1299</v>
      </c>
      <c r="D95" s="2" t="s">
        <v>1300</v>
      </c>
      <c r="E95" s="2" t="s">
        <v>1301</v>
      </c>
      <c r="F95" s="3" t="s">
        <v>1313</v>
      </c>
      <c r="G95" s="3" t="s">
        <v>61</v>
      </c>
      <c r="I95" s="3" t="s">
        <v>62</v>
      </c>
      <c r="J95" s="3" t="s">
        <v>62</v>
      </c>
      <c r="K95" s="3" t="s">
        <v>63</v>
      </c>
      <c r="L95" s="2" t="s">
        <v>1303</v>
      </c>
      <c r="M95" s="2" t="s">
        <v>1304</v>
      </c>
      <c r="N95" s="3" t="s">
        <v>1305</v>
      </c>
      <c r="P95" s="3" t="s">
        <v>85</v>
      </c>
      <c r="Q95" s="2" t="s">
        <v>1306</v>
      </c>
      <c r="R95" s="3" t="s">
        <v>65</v>
      </c>
      <c r="S95" s="4">
        <v>1</v>
      </c>
      <c r="T95" s="4">
        <v>3</v>
      </c>
      <c r="U95" s="5" t="s">
        <v>1307</v>
      </c>
      <c r="V95" s="5" t="s">
        <v>1307</v>
      </c>
      <c r="W95" s="5" t="s">
        <v>67</v>
      </c>
      <c r="X95" s="5" t="s">
        <v>67</v>
      </c>
      <c r="Y95" s="4">
        <v>61</v>
      </c>
      <c r="Z95" s="4">
        <v>1</v>
      </c>
      <c r="AA95" s="4">
        <v>8</v>
      </c>
      <c r="AB95" s="4">
        <v>1</v>
      </c>
      <c r="AC95" s="4">
        <v>1</v>
      </c>
      <c r="AD95" s="4">
        <v>31</v>
      </c>
      <c r="AE95" s="4">
        <v>41</v>
      </c>
      <c r="AF95" s="4">
        <v>0</v>
      </c>
      <c r="AG95" s="4">
        <v>0</v>
      </c>
      <c r="AH95" s="4">
        <v>30</v>
      </c>
      <c r="AI95" s="4">
        <v>39</v>
      </c>
      <c r="AJ95" s="4">
        <v>0</v>
      </c>
      <c r="AK95" s="4">
        <v>3</v>
      </c>
      <c r="AL95" s="4">
        <v>28</v>
      </c>
      <c r="AM95" s="4">
        <v>33</v>
      </c>
      <c r="AN95" s="4">
        <v>0</v>
      </c>
      <c r="AO95" s="4">
        <v>0</v>
      </c>
      <c r="AP95" s="4">
        <v>0</v>
      </c>
      <c r="AQ95" s="4">
        <v>3</v>
      </c>
      <c r="AR95" s="3" t="s">
        <v>62</v>
      </c>
      <c r="AS95" s="3" t="s">
        <v>62</v>
      </c>
      <c r="AT95" s="3" t="s">
        <v>61</v>
      </c>
      <c r="AU95" s="6" t="str">
        <f>HYPERLINK("http://catalog.hathitrust.org/Record/008569806","HathiTrust Record")</f>
        <v>HathiTrust Record</v>
      </c>
      <c r="AV95" s="6" t="str">
        <f>HYPERLINK("http://mcgill.on.worldcat.org/oclc/12302327","Catalog Record")</f>
        <v>Catalog Record</v>
      </c>
      <c r="AW95" s="6" t="str">
        <f>HYPERLINK("http://www.worldcat.org/oclc/12302327","WorldCat Record")</f>
        <v>WorldCat Record</v>
      </c>
      <c r="AX95" s="3" t="s">
        <v>1308</v>
      </c>
      <c r="AY95" s="3" t="s">
        <v>1309</v>
      </c>
      <c r="AZ95" s="3" t="s">
        <v>1310</v>
      </c>
      <c r="BA95" s="3" t="s">
        <v>1310</v>
      </c>
      <c r="BB95" s="3" t="s">
        <v>1314</v>
      </c>
      <c r="BC95" s="3" t="s">
        <v>102</v>
      </c>
      <c r="BD95" s="3" t="s">
        <v>68</v>
      </c>
      <c r="BF95" s="3" t="s">
        <v>1314</v>
      </c>
      <c r="BG95" s="3" t="s">
        <v>1315</v>
      </c>
    </row>
    <row r="96" spans="1:59" ht="72.5" x14ac:dyDescent="0.35">
      <c r="A96" s="2" t="s">
        <v>89</v>
      </c>
      <c r="B96" s="2" t="s">
        <v>90</v>
      </c>
      <c r="C96" s="2" t="s">
        <v>1299</v>
      </c>
      <c r="D96" s="2" t="s">
        <v>1300</v>
      </c>
      <c r="E96" s="2" t="s">
        <v>1301</v>
      </c>
      <c r="F96" s="3" t="s">
        <v>1316</v>
      </c>
      <c r="G96" s="3" t="s">
        <v>61</v>
      </c>
      <c r="I96" s="3" t="s">
        <v>62</v>
      </c>
      <c r="J96" s="3" t="s">
        <v>62</v>
      </c>
      <c r="K96" s="3" t="s">
        <v>63</v>
      </c>
      <c r="L96" s="2" t="s">
        <v>1303</v>
      </c>
      <c r="M96" s="2" t="s">
        <v>1304</v>
      </c>
      <c r="N96" s="3" t="s">
        <v>1305</v>
      </c>
      <c r="P96" s="3" t="s">
        <v>85</v>
      </c>
      <c r="Q96" s="2" t="s">
        <v>1306</v>
      </c>
      <c r="R96" s="3" t="s">
        <v>65</v>
      </c>
      <c r="S96" s="4">
        <v>1</v>
      </c>
      <c r="T96" s="4">
        <v>3</v>
      </c>
      <c r="U96" s="5" t="s">
        <v>1307</v>
      </c>
      <c r="V96" s="5" t="s">
        <v>1307</v>
      </c>
      <c r="W96" s="5" t="s">
        <v>67</v>
      </c>
      <c r="X96" s="5" t="s">
        <v>67</v>
      </c>
      <c r="Y96" s="4">
        <v>61</v>
      </c>
      <c r="Z96" s="4">
        <v>1</v>
      </c>
      <c r="AA96" s="4">
        <v>8</v>
      </c>
      <c r="AB96" s="4">
        <v>1</v>
      </c>
      <c r="AC96" s="4">
        <v>1</v>
      </c>
      <c r="AD96" s="4">
        <v>31</v>
      </c>
      <c r="AE96" s="4">
        <v>41</v>
      </c>
      <c r="AF96" s="4">
        <v>0</v>
      </c>
      <c r="AG96" s="4">
        <v>0</v>
      </c>
      <c r="AH96" s="4">
        <v>30</v>
      </c>
      <c r="AI96" s="4">
        <v>39</v>
      </c>
      <c r="AJ96" s="4">
        <v>0</v>
      </c>
      <c r="AK96" s="4">
        <v>3</v>
      </c>
      <c r="AL96" s="4">
        <v>28</v>
      </c>
      <c r="AM96" s="4">
        <v>33</v>
      </c>
      <c r="AN96" s="4">
        <v>0</v>
      </c>
      <c r="AO96" s="4">
        <v>0</v>
      </c>
      <c r="AP96" s="4">
        <v>0</v>
      </c>
      <c r="AQ96" s="4">
        <v>3</v>
      </c>
      <c r="AR96" s="3" t="s">
        <v>62</v>
      </c>
      <c r="AS96" s="3" t="s">
        <v>62</v>
      </c>
      <c r="AT96" s="3" t="s">
        <v>61</v>
      </c>
      <c r="AU96" s="6" t="str">
        <f>HYPERLINK("http://catalog.hathitrust.org/Record/008569806","HathiTrust Record")</f>
        <v>HathiTrust Record</v>
      </c>
      <c r="AV96" s="6" t="str">
        <f>HYPERLINK("http://mcgill.on.worldcat.org/oclc/12302327","Catalog Record")</f>
        <v>Catalog Record</v>
      </c>
      <c r="AW96" s="6" t="str">
        <f>HYPERLINK("http://www.worldcat.org/oclc/12302327","WorldCat Record")</f>
        <v>WorldCat Record</v>
      </c>
      <c r="AX96" s="3" t="s">
        <v>1308</v>
      </c>
      <c r="AY96" s="3" t="s">
        <v>1309</v>
      </c>
      <c r="AZ96" s="3" t="s">
        <v>1310</v>
      </c>
      <c r="BA96" s="3" t="s">
        <v>1310</v>
      </c>
      <c r="BB96" s="3" t="s">
        <v>1317</v>
      </c>
      <c r="BC96" s="3" t="s">
        <v>102</v>
      </c>
      <c r="BD96" s="3" t="s">
        <v>68</v>
      </c>
      <c r="BF96" s="3" t="s">
        <v>1317</v>
      </c>
      <c r="BG96" s="3" t="s">
        <v>1318</v>
      </c>
    </row>
    <row r="97" spans="1:59" ht="72.5" x14ac:dyDescent="0.35">
      <c r="A97" s="2" t="s">
        <v>89</v>
      </c>
      <c r="B97" s="2" t="s">
        <v>90</v>
      </c>
      <c r="C97" s="2" t="s">
        <v>1319</v>
      </c>
      <c r="D97" s="2" t="s">
        <v>1320</v>
      </c>
      <c r="E97" s="2" t="s">
        <v>1321</v>
      </c>
      <c r="F97" s="3" t="s">
        <v>1322</v>
      </c>
      <c r="G97" s="3" t="s">
        <v>62</v>
      </c>
      <c r="I97" s="3" t="s">
        <v>62</v>
      </c>
      <c r="J97" s="3" t="s">
        <v>62</v>
      </c>
      <c r="K97" s="3" t="s">
        <v>63</v>
      </c>
      <c r="L97" s="2" t="s">
        <v>1262</v>
      </c>
      <c r="M97" s="2" t="s">
        <v>1323</v>
      </c>
      <c r="N97" s="3" t="s">
        <v>239</v>
      </c>
      <c r="P97" s="3" t="s">
        <v>85</v>
      </c>
      <c r="Q97" s="2" t="s">
        <v>1324</v>
      </c>
      <c r="R97" s="3" t="s">
        <v>65</v>
      </c>
      <c r="S97" s="4">
        <v>1</v>
      </c>
      <c r="T97" s="4">
        <v>1</v>
      </c>
      <c r="U97" s="5" t="s">
        <v>1325</v>
      </c>
      <c r="V97" s="5" t="s">
        <v>1325</v>
      </c>
      <c r="W97" s="5" t="s">
        <v>67</v>
      </c>
      <c r="X97" s="5" t="s">
        <v>67</v>
      </c>
      <c r="Y97" s="4">
        <v>57</v>
      </c>
      <c r="Z97" s="4">
        <v>1</v>
      </c>
      <c r="AA97" s="4">
        <v>1</v>
      </c>
      <c r="AB97" s="4">
        <v>1</v>
      </c>
      <c r="AC97" s="4">
        <v>1</v>
      </c>
      <c r="AD97" s="4">
        <v>27</v>
      </c>
      <c r="AE97" s="4">
        <v>28</v>
      </c>
      <c r="AF97" s="4">
        <v>0</v>
      </c>
      <c r="AG97" s="4">
        <v>0</v>
      </c>
      <c r="AH97" s="4">
        <v>27</v>
      </c>
      <c r="AI97" s="4">
        <v>28</v>
      </c>
      <c r="AJ97" s="4">
        <v>0</v>
      </c>
      <c r="AK97" s="4">
        <v>0</v>
      </c>
      <c r="AL97" s="4">
        <v>21</v>
      </c>
      <c r="AM97" s="4">
        <v>21</v>
      </c>
      <c r="AN97" s="4">
        <v>0</v>
      </c>
      <c r="AO97" s="4">
        <v>0</v>
      </c>
      <c r="AP97" s="4">
        <v>0</v>
      </c>
      <c r="AQ97" s="4">
        <v>0</v>
      </c>
      <c r="AR97" s="3" t="s">
        <v>62</v>
      </c>
      <c r="AS97" s="3" t="s">
        <v>62</v>
      </c>
      <c r="AT97" s="3" t="s">
        <v>61</v>
      </c>
      <c r="AU97" s="6" t="str">
        <f>HYPERLINK("http://catalog.hathitrust.org/Record/000125563","HathiTrust Record")</f>
        <v>HathiTrust Record</v>
      </c>
      <c r="AV97" s="6" t="str">
        <f>HYPERLINK("http://mcgill.on.worldcat.org/oclc/6118869","Catalog Record")</f>
        <v>Catalog Record</v>
      </c>
      <c r="AW97" s="6" t="str">
        <f>HYPERLINK("http://www.worldcat.org/oclc/6118869","WorldCat Record")</f>
        <v>WorldCat Record</v>
      </c>
      <c r="AX97" s="3" t="s">
        <v>1326</v>
      </c>
      <c r="AY97" s="3" t="s">
        <v>1327</v>
      </c>
      <c r="AZ97" s="3" t="s">
        <v>1328</v>
      </c>
      <c r="BA97" s="3" t="s">
        <v>1328</v>
      </c>
      <c r="BB97" s="3" t="s">
        <v>1329</v>
      </c>
      <c r="BC97" s="3" t="s">
        <v>102</v>
      </c>
      <c r="BD97" s="3" t="s">
        <v>68</v>
      </c>
      <c r="BF97" s="3" t="s">
        <v>1329</v>
      </c>
      <c r="BG97" s="3" t="s">
        <v>1330</v>
      </c>
    </row>
    <row r="98" spans="1:59" ht="58" x14ac:dyDescent="0.35">
      <c r="A98" s="2" t="s">
        <v>89</v>
      </c>
      <c r="B98" s="2" t="s">
        <v>90</v>
      </c>
      <c r="C98" s="2" t="s">
        <v>1331</v>
      </c>
      <c r="D98" s="2" t="s">
        <v>1332</v>
      </c>
      <c r="E98" s="2" t="s">
        <v>1333</v>
      </c>
      <c r="G98" s="3" t="s">
        <v>62</v>
      </c>
      <c r="I98" s="3" t="s">
        <v>61</v>
      </c>
      <c r="J98" s="3" t="s">
        <v>61</v>
      </c>
      <c r="K98" s="3" t="s">
        <v>63</v>
      </c>
      <c r="M98" s="2" t="s">
        <v>1334</v>
      </c>
      <c r="N98" s="3" t="s">
        <v>1335</v>
      </c>
      <c r="P98" s="3" t="s">
        <v>64</v>
      </c>
      <c r="Q98" s="2" t="s">
        <v>1336</v>
      </c>
      <c r="R98" s="3" t="s">
        <v>65</v>
      </c>
      <c r="S98" s="4">
        <v>1</v>
      </c>
      <c r="T98" s="4">
        <v>2</v>
      </c>
      <c r="U98" s="5" t="s">
        <v>1337</v>
      </c>
      <c r="V98" s="5" t="s">
        <v>1337</v>
      </c>
      <c r="W98" s="5" t="s">
        <v>67</v>
      </c>
      <c r="X98" s="5" t="s">
        <v>1338</v>
      </c>
      <c r="Y98" s="4">
        <v>520</v>
      </c>
      <c r="Z98" s="4">
        <v>18</v>
      </c>
      <c r="AA98" s="4">
        <v>43</v>
      </c>
      <c r="AB98" s="4">
        <v>2</v>
      </c>
      <c r="AC98" s="4">
        <v>5</v>
      </c>
      <c r="AD98" s="4">
        <v>93</v>
      </c>
      <c r="AE98" s="4">
        <v>129</v>
      </c>
      <c r="AF98" s="4">
        <v>1</v>
      </c>
      <c r="AG98" s="4">
        <v>2</v>
      </c>
      <c r="AH98" s="4">
        <v>78</v>
      </c>
      <c r="AI98" s="4">
        <v>103</v>
      </c>
      <c r="AJ98" s="4">
        <v>10</v>
      </c>
      <c r="AK98" s="4">
        <v>20</v>
      </c>
      <c r="AL98" s="4">
        <v>50</v>
      </c>
      <c r="AM98" s="4">
        <v>57</v>
      </c>
      <c r="AN98" s="4">
        <v>0</v>
      </c>
      <c r="AO98" s="4">
        <v>0</v>
      </c>
      <c r="AP98" s="4">
        <v>14</v>
      </c>
      <c r="AQ98" s="4">
        <v>30</v>
      </c>
      <c r="AR98" s="3" t="s">
        <v>62</v>
      </c>
      <c r="AS98" s="3" t="s">
        <v>62</v>
      </c>
      <c r="AT98" s="3" t="s">
        <v>61</v>
      </c>
      <c r="AU98" s="6" t="str">
        <f>HYPERLINK("http://catalog.hathitrust.org/Record/006772985","HathiTrust Record")</f>
        <v>HathiTrust Record</v>
      </c>
      <c r="AV98" s="6" t="str">
        <f>HYPERLINK("http://mcgill.on.worldcat.org/oclc/1190909","Catalog Record")</f>
        <v>Catalog Record</v>
      </c>
      <c r="AW98" s="6" t="str">
        <f>HYPERLINK("http://www.worldcat.org/oclc/1190909","WorldCat Record")</f>
        <v>WorldCat Record</v>
      </c>
      <c r="AX98" s="3" t="s">
        <v>1339</v>
      </c>
      <c r="AY98" s="3" t="s">
        <v>1340</v>
      </c>
      <c r="AZ98" s="3" t="s">
        <v>1341</v>
      </c>
      <c r="BA98" s="3" t="s">
        <v>1341</v>
      </c>
      <c r="BB98" s="3" t="s">
        <v>1342</v>
      </c>
      <c r="BC98" s="3" t="s">
        <v>102</v>
      </c>
      <c r="BD98" s="3" t="s">
        <v>68</v>
      </c>
      <c r="BF98" s="3" t="s">
        <v>1342</v>
      </c>
      <c r="BG98" s="3" t="s">
        <v>1343</v>
      </c>
    </row>
    <row r="99" spans="1:59" ht="58" x14ac:dyDescent="0.35">
      <c r="A99" s="2" t="s">
        <v>89</v>
      </c>
      <c r="B99" s="2" t="s">
        <v>90</v>
      </c>
      <c r="C99" s="2" t="s">
        <v>1344</v>
      </c>
      <c r="D99" s="2" t="s">
        <v>1345</v>
      </c>
      <c r="E99" s="2" t="s">
        <v>1346</v>
      </c>
      <c r="G99" s="3" t="s">
        <v>62</v>
      </c>
      <c r="I99" s="3" t="s">
        <v>61</v>
      </c>
      <c r="J99" s="3" t="s">
        <v>62</v>
      </c>
      <c r="K99" s="3" t="s">
        <v>63</v>
      </c>
      <c r="L99" s="2" t="s">
        <v>1347</v>
      </c>
      <c r="M99" s="2" t="s">
        <v>1348</v>
      </c>
      <c r="N99" s="3" t="s">
        <v>1349</v>
      </c>
      <c r="P99" s="3" t="s">
        <v>64</v>
      </c>
      <c r="R99" s="3" t="s">
        <v>65</v>
      </c>
      <c r="S99" s="4">
        <v>3</v>
      </c>
      <c r="T99" s="4">
        <v>3</v>
      </c>
      <c r="U99" s="5" t="s">
        <v>1350</v>
      </c>
      <c r="V99" s="5" t="s">
        <v>1350</v>
      </c>
      <c r="W99" s="5" t="s">
        <v>67</v>
      </c>
      <c r="X99" s="5" t="s">
        <v>67</v>
      </c>
      <c r="Y99" s="4">
        <v>66</v>
      </c>
      <c r="Z99" s="4">
        <v>4</v>
      </c>
      <c r="AA99" s="4">
        <v>12</v>
      </c>
      <c r="AB99" s="4">
        <v>1</v>
      </c>
      <c r="AC99" s="4">
        <v>2</v>
      </c>
      <c r="AD99" s="4">
        <v>23</v>
      </c>
      <c r="AE99" s="4">
        <v>61</v>
      </c>
      <c r="AF99" s="4">
        <v>0</v>
      </c>
      <c r="AG99" s="4">
        <v>0</v>
      </c>
      <c r="AH99" s="4">
        <v>22</v>
      </c>
      <c r="AI99" s="4">
        <v>59</v>
      </c>
      <c r="AJ99" s="4">
        <v>3</v>
      </c>
      <c r="AK99" s="4">
        <v>9</v>
      </c>
      <c r="AL99" s="4">
        <v>14</v>
      </c>
      <c r="AM99" s="4">
        <v>36</v>
      </c>
      <c r="AN99" s="4">
        <v>0</v>
      </c>
      <c r="AO99" s="4">
        <v>0</v>
      </c>
      <c r="AP99" s="4">
        <v>3</v>
      </c>
      <c r="AQ99" s="4">
        <v>9</v>
      </c>
      <c r="AR99" s="3" t="s">
        <v>62</v>
      </c>
      <c r="AS99" s="3" t="s">
        <v>62</v>
      </c>
      <c r="AT99" s="3" t="s">
        <v>62</v>
      </c>
      <c r="AU99" s="6" t="str">
        <f>HYPERLINK("http://catalog.hathitrust.org/Record/001381147","HathiTrust Record")</f>
        <v>HathiTrust Record</v>
      </c>
      <c r="AV99" s="6" t="str">
        <f>HYPERLINK("http://mcgill.on.worldcat.org/oclc/7567798","Catalog Record")</f>
        <v>Catalog Record</v>
      </c>
      <c r="AW99" s="6" t="str">
        <f>HYPERLINK("http://www.worldcat.org/oclc/7567798","WorldCat Record")</f>
        <v>WorldCat Record</v>
      </c>
      <c r="AX99" s="3" t="s">
        <v>1351</v>
      </c>
      <c r="AY99" s="3" t="s">
        <v>1352</v>
      </c>
      <c r="AZ99" s="3" t="s">
        <v>1353</v>
      </c>
      <c r="BA99" s="3" t="s">
        <v>1353</v>
      </c>
      <c r="BB99" s="3" t="s">
        <v>1354</v>
      </c>
      <c r="BC99" s="3" t="s">
        <v>102</v>
      </c>
      <c r="BD99" s="3" t="s">
        <v>68</v>
      </c>
      <c r="BF99" s="3" t="s">
        <v>1354</v>
      </c>
      <c r="BG99" s="3" t="s">
        <v>1355</v>
      </c>
    </row>
    <row r="100" spans="1:59" ht="58" x14ac:dyDescent="0.35">
      <c r="A100" s="2" t="s">
        <v>89</v>
      </c>
      <c r="B100" s="2" t="s">
        <v>90</v>
      </c>
      <c r="C100" s="2" t="s">
        <v>1356</v>
      </c>
      <c r="D100" s="2" t="s">
        <v>1357</v>
      </c>
      <c r="E100" s="2" t="s">
        <v>1358</v>
      </c>
      <c r="G100" s="3" t="s">
        <v>62</v>
      </c>
      <c r="I100" s="3" t="s">
        <v>62</v>
      </c>
      <c r="J100" s="3" t="s">
        <v>62</v>
      </c>
      <c r="K100" s="3" t="s">
        <v>63</v>
      </c>
      <c r="L100" s="2" t="s">
        <v>1359</v>
      </c>
      <c r="M100" s="2" t="s">
        <v>1360</v>
      </c>
      <c r="N100" s="3" t="s">
        <v>824</v>
      </c>
      <c r="P100" s="3" t="s">
        <v>85</v>
      </c>
      <c r="Q100" s="2" t="s">
        <v>1361</v>
      </c>
      <c r="R100" s="3" t="s">
        <v>65</v>
      </c>
      <c r="S100" s="4">
        <v>1</v>
      </c>
      <c r="T100" s="4">
        <v>1</v>
      </c>
      <c r="U100" s="5" t="s">
        <v>1362</v>
      </c>
      <c r="V100" s="5" t="s">
        <v>1362</v>
      </c>
      <c r="W100" s="5" t="s">
        <v>67</v>
      </c>
      <c r="X100" s="5" t="s">
        <v>67</v>
      </c>
      <c r="Y100" s="4">
        <v>1</v>
      </c>
      <c r="Z100" s="4">
        <v>1</v>
      </c>
      <c r="AA100" s="4">
        <v>3</v>
      </c>
      <c r="AB100" s="4">
        <v>1</v>
      </c>
      <c r="AC100" s="4">
        <v>2</v>
      </c>
      <c r="AD100" s="4">
        <v>0</v>
      </c>
      <c r="AE100" s="4">
        <v>11</v>
      </c>
      <c r="AF100" s="4">
        <v>0</v>
      </c>
      <c r="AG100" s="4">
        <v>1</v>
      </c>
      <c r="AH100" s="4">
        <v>0</v>
      </c>
      <c r="AI100" s="4">
        <v>8</v>
      </c>
      <c r="AJ100" s="4">
        <v>0</v>
      </c>
      <c r="AK100" s="4">
        <v>2</v>
      </c>
      <c r="AL100" s="4">
        <v>0</v>
      </c>
      <c r="AM100" s="4">
        <v>6</v>
      </c>
      <c r="AN100" s="4">
        <v>0</v>
      </c>
      <c r="AO100" s="4">
        <v>0</v>
      </c>
      <c r="AP100" s="4">
        <v>0</v>
      </c>
      <c r="AQ100" s="4">
        <v>2</v>
      </c>
      <c r="AR100" s="3" t="s">
        <v>62</v>
      </c>
      <c r="AS100" s="3" t="s">
        <v>62</v>
      </c>
      <c r="AT100" s="3" t="s">
        <v>62</v>
      </c>
      <c r="AV100" s="6" t="str">
        <f>HYPERLINK("http://mcgill.on.worldcat.org/oclc/427504302","Catalog Record")</f>
        <v>Catalog Record</v>
      </c>
      <c r="AW100" s="6" t="str">
        <f>HYPERLINK("http://www.worldcat.org/oclc/427504302","WorldCat Record")</f>
        <v>WorldCat Record</v>
      </c>
      <c r="AX100" s="3" t="s">
        <v>1363</v>
      </c>
      <c r="AY100" s="3" t="s">
        <v>1364</v>
      </c>
      <c r="AZ100" s="3" t="s">
        <v>1365</v>
      </c>
      <c r="BA100" s="3" t="s">
        <v>1365</v>
      </c>
      <c r="BB100" s="3" t="s">
        <v>1366</v>
      </c>
      <c r="BC100" s="3" t="s">
        <v>102</v>
      </c>
      <c r="BD100" s="3" t="s">
        <v>68</v>
      </c>
      <c r="BF100" s="3" t="s">
        <v>1366</v>
      </c>
      <c r="BG100" s="3" t="s">
        <v>1367</v>
      </c>
    </row>
    <row r="101" spans="1:59" ht="58" x14ac:dyDescent="0.35">
      <c r="A101" s="2" t="s">
        <v>59</v>
      </c>
      <c r="B101" s="2" t="s">
        <v>60</v>
      </c>
      <c r="C101" s="2" t="s">
        <v>1368</v>
      </c>
      <c r="D101" s="2" t="s">
        <v>1369</v>
      </c>
      <c r="E101" s="2" t="s">
        <v>1370</v>
      </c>
      <c r="F101" s="3" t="s">
        <v>1371</v>
      </c>
      <c r="G101" s="3" t="s">
        <v>61</v>
      </c>
      <c r="I101" s="3" t="s">
        <v>61</v>
      </c>
      <c r="J101" s="3" t="s">
        <v>62</v>
      </c>
      <c r="K101" s="3" t="s">
        <v>63</v>
      </c>
      <c r="L101" s="2" t="s">
        <v>1372</v>
      </c>
      <c r="M101" s="2" t="s">
        <v>1373</v>
      </c>
      <c r="N101" s="3" t="s">
        <v>1374</v>
      </c>
      <c r="P101" s="3" t="s">
        <v>85</v>
      </c>
      <c r="R101" s="3" t="s">
        <v>65</v>
      </c>
      <c r="S101" s="4">
        <v>0</v>
      </c>
      <c r="T101" s="4">
        <v>1</v>
      </c>
      <c r="V101" s="5" t="s">
        <v>1375</v>
      </c>
      <c r="W101" s="5" t="s">
        <v>67</v>
      </c>
      <c r="X101" s="5" t="s">
        <v>67</v>
      </c>
      <c r="Y101" s="4">
        <v>191</v>
      </c>
      <c r="Z101" s="4">
        <v>8</v>
      </c>
      <c r="AA101" s="4">
        <v>12</v>
      </c>
      <c r="AB101" s="4">
        <v>2</v>
      </c>
      <c r="AC101" s="4">
        <v>3</v>
      </c>
      <c r="AD101" s="4">
        <v>74</v>
      </c>
      <c r="AE101" s="4">
        <v>78</v>
      </c>
      <c r="AF101" s="4">
        <v>0</v>
      </c>
      <c r="AG101" s="4">
        <v>0</v>
      </c>
      <c r="AH101" s="4">
        <v>69</v>
      </c>
      <c r="AI101" s="4">
        <v>70</v>
      </c>
      <c r="AJ101" s="4">
        <v>5</v>
      </c>
      <c r="AK101" s="4">
        <v>6</v>
      </c>
      <c r="AL101" s="4">
        <v>46</v>
      </c>
      <c r="AM101" s="4">
        <v>46</v>
      </c>
      <c r="AN101" s="4">
        <v>0</v>
      </c>
      <c r="AO101" s="4">
        <v>0</v>
      </c>
      <c r="AP101" s="4">
        <v>4</v>
      </c>
      <c r="AQ101" s="4">
        <v>7</v>
      </c>
      <c r="AR101" s="3" t="s">
        <v>62</v>
      </c>
      <c r="AS101" s="3" t="s">
        <v>62</v>
      </c>
      <c r="AT101" s="3" t="s">
        <v>61</v>
      </c>
      <c r="AU101" s="6" t="str">
        <f t="shared" ref="AU101:AU107" si="0">HYPERLINK("http://catalog.hathitrust.org/Record/001575699","HathiTrust Record")</f>
        <v>HathiTrust Record</v>
      </c>
      <c r="AV101" s="6" t="str">
        <f t="shared" ref="AV101:AV107" si="1">HYPERLINK("http://mcgill.on.worldcat.org/oclc/34229480","Catalog Record")</f>
        <v>Catalog Record</v>
      </c>
      <c r="AW101" s="6" t="str">
        <f t="shared" ref="AW101:AW107" si="2">HYPERLINK("http://www.worldcat.org/oclc/34229480","WorldCat Record")</f>
        <v>WorldCat Record</v>
      </c>
      <c r="AX101" s="3" t="s">
        <v>1376</v>
      </c>
      <c r="AY101" s="3" t="s">
        <v>1377</v>
      </c>
      <c r="AZ101" s="3" t="s">
        <v>1378</v>
      </c>
      <c r="BA101" s="3" t="s">
        <v>1378</v>
      </c>
      <c r="BB101" s="3" t="s">
        <v>1379</v>
      </c>
      <c r="BC101" s="3" t="s">
        <v>102</v>
      </c>
      <c r="BD101" s="3" t="s">
        <v>68</v>
      </c>
      <c r="BF101" s="3" t="s">
        <v>1379</v>
      </c>
      <c r="BG101" s="3" t="s">
        <v>1380</v>
      </c>
    </row>
    <row r="102" spans="1:59" ht="58" x14ac:dyDescent="0.35">
      <c r="A102" s="2" t="s">
        <v>59</v>
      </c>
      <c r="B102" s="2" t="s">
        <v>60</v>
      </c>
      <c r="C102" s="2" t="s">
        <v>1368</v>
      </c>
      <c r="D102" s="2" t="s">
        <v>1369</v>
      </c>
      <c r="E102" s="2" t="s">
        <v>1370</v>
      </c>
      <c r="F102" s="3" t="s">
        <v>1381</v>
      </c>
      <c r="G102" s="3" t="s">
        <v>61</v>
      </c>
      <c r="I102" s="3" t="s">
        <v>61</v>
      </c>
      <c r="J102" s="3" t="s">
        <v>62</v>
      </c>
      <c r="K102" s="3" t="s">
        <v>63</v>
      </c>
      <c r="L102" s="2" t="s">
        <v>1372</v>
      </c>
      <c r="M102" s="2" t="s">
        <v>1373</v>
      </c>
      <c r="N102" s="3" t="s">
        <v>1374</v>
      </c>
      <c r="P102" s="3" t="s">
        <v>85</v>
      </c>
      <c r="R102" s="3" t="s">
        <v>65</v>
      </c>
      <c r="S102" s="4">
        <v>0</v>
      </c>
      <c r="T102" s="4">
        <v>1</v>
      </c>
      <c r="V102" s="5" t="s">
        <v>1375</v>
      </c>
      <c r="W102" s="5" t="s">
        <v>67</v>
      </c>
      <c r="X102" s="5" t="s">
        <v>67</v>
      </c>
      <c r="Y102" s="4">
        <v>191</v>
      </c>
      <c r="Z102" s="4">
        <v>8</v>
      </c>
      <c r="AA102" s="4">
        <v>12</v>
      </c>
      <c r="AB102" s="4">
        <v>2</v>
      </c>
      <c r="AC102" s="4">
        <v>3</v>
      </c>
      <c r="AD102" s="4">
        <v>74</v>
      </c>
      <c r="AE102" s="4">
        <v>78</v>
      </c>
      <c r="AF102" s="4">
        <v>0</v>
      </c>
      <c r="AG102" s="4">
        <v>0</v>
      </c>
      <c r="AH102" s="4">
        <v>69</v>
      </c>
      <c r="AI102" s="4">
        <v>70</v>
      </c>
      <c r="AJ102" s="4">
        <v>5</v>
      </c>
      <c r="AK102" s="4">
        <v>6</v>
      </c>
      <c r="AL102" s="4">
        <v>46</v>
      </c>
      <c r="AM102" s="4">
        <v>46</v>
      </c>
      <c r="AN102" s="4">
        <v>0</v>
      </c>
      <c r="AO102" s="4">
        <v>0</v>
      </c>
      <c r="AP102" s="4">
        <v>4</v>
      </c>
      <c r="AQ102" s="4">
        <v>7</v>
      </c>
      <c r="AR102" s="3" t="s">
        <v>62</v>
      </c>
      <c r="AS102" s="3" t="s">
        <v>62</v>
      </c>
      <c r="AT102" s="3" t="s">
        <v>61</v>
      </c>
      <c r="AU102" s="6" t="str">
        <f t="shared" si="0"/>
        <v>HathiTrust Record</v>
      </c>
      <c r="AV102" s="6" t="str">
        <f t="shared" si="1"/>
        <v>Catalog Record</v>
      </c>
      <c r="AW102" s="6" t="str">
        <f t="shared" si="2"/>
        <v>WorldCat Record</v>
      </c>
      <c r="AX102" s="3" t="s">
        <v>1376</v>
      </c>
      <c r="AY102" s="3" t="s">
        <v>1377</v>
      </c>
      <c r="AZ102" s="3" t="s">
        <v>1378</v>
      </c>
      <c r="BA102" s="3" t="s">
        <v>1378</v>
      </c>
      <c r="BB102" s="3" t="s">
        <v>1382</v>
      </c>
      <c r="BC102" s="3" t="s">
        <v>102</v>
      </c>
      <c r="BD102" s="3" t="s">
        <v>68</v>
      </c>
      <c r="BF102" s="3" t="s">
        <v>1382</v>
      </c>
      <c r="BG102" s="3" t="s">
        <v>1383</v>
      </c>
    </row>
    <row r="103" spans="1:59" ht="58" x14ac:dyDescent="0.35">
      <c r="A103" s="2" t="s">
        <v>59</v>
      </c>
      <c r="B103" s="2" t="s">
        <v>60</v>
      </c>
      <c r="C103" s="2" t="s">
        <v>1368</v>
      </c>
      <c r="D103" s="2" t="s">
        <v>1369</v>
      </c>
      <c r="E103" s="2" t="s">
        <v>1370</v>
      </c>
      <c r="F103" s="3" t="s">
        <v>1384</v>
      </c>
      <c r="G103" s="3" t="s">
        <v>61</v>
      </c>
      <c r="I103" s="3" t="s">
        <v>61</v>
      </c>
      <c r="J103" s="3" t="s">
        <v>62</v>
      </c>
      <c r="K103" s="3" t="s">
        <v>63</v>
      </c>
      <c r="L103" s="2" t="s">
        <v>1372</v>
      </c>
      <c r="M103" s="2" t="s">
        <v>1373</v>
      </c>
      <c r="N103" s="3" t="s">
        <v>1374</v>
      </c>
      <c r="P103" s="3" t="s">
        <v>85</v>
      </c>
      <c r="R103" s="3" t="s">
        <v>65</v>
      </c>
      <c r="S103" s="4">
        <v>1</v>
      </c>
      <c r="T103" s="4">
        <v>1</v>
      </c>
      <c r="U103" s="5" t="s">
        <v>1375</v>
      </c>
      <c r="V103" s="5" t="s">
        <v>1375</v>
      </c>
      <c r="W103" s="5" t="s">
        <v>67</v>
      </c>
      <c r="X103" s="5" t="s">
        <v>67</v>
      </c>
      <c r="Y103" s="4">
        <v>191</v>
      </c>
      <c r="Z103" s="4">
        <v>8</v>
      </c>
      <c r="AA103" s="4">
        <v>12</v>
      </c>
      <c r="AB103" s="4">
        <v>2</v>
      </c>
      <c r="AC103" s="4">
        <v>3</v>
      </c>
      <c r="AD103" s="4">
        <v>74</v>
      </c>
      <c r="AE103" s="4">
        <v>78</v>
      </c>
      <c r="AF103" s="4">
        <v>0</v>
      </c>
      <c r="AG103" s="4">
        <v>0</v>
      </c>
      <c r="AH103" s="4">
        <v>69</v>
      </c>
      <c r="AI103" s="4">
        <v>70</v>
      </c>
      <c r="AJ103" s="4">
        <v>5</v>
      </c>
      <c r="AK103" s="4">
        <v>6</v>
      </c>
      <c r="AL103" s="4">
        <v>46</v>
      </c>
      <c r="AM103" s="4">
        <v>46</v>
      </c>
      <c r="AN103" s="4">
        <v>0</v>
      </c>
      <c r="AO103" s="4">
        <v>0</v>
      </c>
      <c r="AP103" s="4">
        <v>4</v>
      </c>
      <c r="AQ103" s="4">
        <v>7</v>
      </c>
      <c r="AR103" s="3" t="s">
        <v>62</v>
      </c>
      <c r="AS103" s="3" t="s">
        <v>62</v>
      </c>
      <c r="AT103" s="3" t="s">
        <v>61</v>
      </c>
      <c r="AU103" s="6" t="str">
        <f t="shared" si="0"/>
        <v>HathiTrust Record</v>
      </c>
      <c r="AV103" s="6" t="str">
        <f t="shared" si="1"/>
        <v>Catalog Record</v>
      </c>
      <c r="AW103" s="6" t="str">
        <f t="shared" si="2"/>
        <v>WorldCat Record</v>
      </c>
      <c r="AX103" s="3" t="s">
        <v>1376</v>
      </c>
      <c r="AY103" s="3" t="s">
        <v>1377</v>
      </c>
      <c r="AZ103" s="3" t="s">
        <v>1378</v>
      </c>
      <c r="BA103" s="3" t="s">
        <v>1378</v>
      </c>
      <c r="BB103" s="3" t="s">
        <v>1385</v>
      </c>
      <c r="BC103" s="3" t="s">
        <v>102</v>
      </c>
      <c r="BD103" s="3" t="s">
        <v>68</v>
      </c>
      <c r="BF103" s="3" t="s">
        <v>1385</v>
      </c>
      <c r="BG103" s="3" t="s">
        <v>1386</v>
      </c>
    </row>
    <row r="104" spans="1:59" ht="58" x14ac:dyDescent="0.35">
      <c r="A104" s="2" t="s">
        <v>59</v>
      </c>
      <c r="B104" s="2" t="s">
        <v>60</v>
      </c>
      <c r="C104" s="2" t="s">
        <v>1368</v>
      </c>
      <c r="D104" s="2" t="s">
        <v>1369</v>
      </c>
      <c r="E104" s="2" t="s">
        <v>1370</v>
      </c>
      <c r="F104" s="3" t="s">
        <v>1387</v>
      </c>
      <c r="G104" s="3" t="s">
        <v>61</v>
      </c>
      <c r="I104" s="3" t="s">
        <v>61</v>
      </c>
      <c r="J104" s="3" t="s">
        <v>62</v>
      </c>
      <c r="K104" s="3" t="s">
        <v>63</v>
      </c>
      <c r="L104" s="2" t="s">
        <v>1372</v>
      </c>
      <c r="M104" s="2" t="s">
        <v>1373</v>
      </c>
      <c r="N104" s="3" t="s">
        <v>1374</v>
      </c>
      <c r="P104" s="3" t="s">
        <v>85</v>
      </c>
      <c r="R104" s="3" t="s">
        <v>65</v>
      </c>
      <c r="S104" s="4">
        <v>0</v>
      </c>
      <c r="T104" s="4">
        <v>1</v>
      </c>
      <c r="V104" s="5" t="s">
        <v>1375</v>
      </c>
      <c r="W104" s="5" t="s">
        <v>67</v>
      </c>
      <c r="X104" s="5" t="s">
        <v>67</v>
      </c>
      <c r="Y104" s="4">
        <v>191</v>
      </c>
      <c r="Z104" s="4">
        <v>8</v>
      </c>
      <c r="AA104" s="4">
        <v>12</v>
      </c>
      <c r="AB104" s="4">
        <v>2</v>
      </c>
      <c r="AC104" s="4">
        <v>3</v>
      </c>
      <c r="AD104" s="4">
        <v>74</v>
      </c>
      <c r="AE104" s="4">
        <v>78</v>
      </c>
      <c r="AF104" s="4">
        <v>0</v>
      </c>
      <c r="AG104" s="4">
        <v>0</v>
      </c>
      <c r="AH104" s="4">
        <v>69</v>
      </c>
      <c r="AI104" s="4">
        <v>70</v>
      </c>
      <c r="AJ104" s="4">
        <v>5</v>
      </c>
      <c r="AK104" s="4">
        <v>6</v>
      </c>
      <c r="AL104" s="4">
        <v>46</v>
      </c>
      <c r="AM104" s="4">
        <v>46</v>
      </c>
      <c r="AN104" s="4">
        <v>0</v>
      </c>
      <c r="AO104" s="4">
        <v>0</v>
      </c>
      <c r="AP104" s="4">
        <v>4</v>
      </c>
      <c r="AQ104" s="4">
        <v>7</v>
      </c>
      <c r="AR104" s="3" t="s">
        <v>62</v>
      </c>
      <c r="AS104" s="3" t="s">
        <v>62</v>
      </c>
      <c r="AT104" s="3" t="s">
        <v>61</v>
      </c>
      <c r="AU104" s="6" t="str">
        <f t="shared" si="0"/>
        <v>HathiTrust Record</v>
      </c>
      <c r="AV104" s="6" t="str">
        <f t="shared" si="1"/>
        <v>Catalog Record</v>
      </c>
      <c r="AW104" s="6" t="str">
        <f t="shared" si="2"/>
        <v>WorldCat Record</v>
      </c>
      <c r="AX104" s="3" t="s">
        <v>1376</v>
      </c>
      <c r="AY104" s="3" t="s">
        <v>1377</v>
      </c>
      <c r="AZ104" s="3" t="s">
        <v>1378</v>
      </c>
      <c r="BA104" s="3" t="s">
        <v>1378</v>
      </c>
      <c r="BB104" s="3" t="s">
        <v>1388</v>
      </c>
      <c r="BC104" s="3" t="s">
        <v>102</v>
      </c>
      <c r="BD104" s="3" t="s">
        <v>68</v>
      </c>
      <c r="BF104" s="3" t="s">
        <v>1388</v>
      </c>
      <c r="BG104" s="3" t="s">
        <v>1389</v>
      </c>
    </row>
    <row r="105" spans="1:59" ht="58" x14ac:dyDescent="0.35">
      <c r="A105" s="2" t="s">
        <v>59</v>
      </c>
      <c r="B105" s="2" t="s">
        <v>60</v>
      </c>
      <c r="C105" s="2" t="s">
        <v>1368</v>
      </c>
      <c r="D105" s="2" t="s">
        <v>1369</v>
      </c>
      <c r="E105" s="2" t="s">
        <v>1370</v>
      </c>
      <c r="F105" s="3" t="s">
        <v>1390</v>
      </c>
      <c r="G105" s="3" t="s">
        <v>61</v>
      </c>
      <c r="I105" s="3" t="s">
        <v>61</v>
      </c>
      <c r="J105" s="3" t="s">
        <v>62</v>
      </c>
      <c r="K105" s="3" t="s">
        <v>63</v>
      </c>
      <c r="L105" s="2" t="s">
        <v>1372</v>
      </c>
      <c r="M105" s="2" t="s">
        <v>1373</v>
      </c>
      <c r="N105" s="3" t="s">
        <v>1374</v>
      </c>
      <c r="P105" s="3" t="s">
        <v>85</v>
      </c>
      <c r="R105" s="3" t="s">
        <v>65</v>
      </c>
      <c r="S105" s="4">
        <v>0</v>
      </c>
      <c r="T105" s="4">
        <v>1</v>
      </c>
      <c r="V105" s="5" t="s">
        <v>1375</v>
      </c>
      <c r="W105" s="5" t="s">
        <v>67</v>
      </c>
      <c r="X105" s="5" t="s">
        <v>67</v>
      </c>
      <c r="Y105" s="4">
        <v>191</v>
      </c>
      <c r="Z105" s="4">
        <v>8</v>
      </c>
      <c r="AA105" s="4">
        <v>12</v>
      </c>
      <c r="AB105" s="4">
        <v>2</v>
      </c>
      <c r="AC105" s="4">
        <v>3</v>
      </c>
      <c r="AD105" s="4">
        <v>74</v>
      </c>
      <c r="AE105" s="4">
        <v>78</v>
      </c>
      <c r="AF105" s="4">
        <v>0</v>
      </c>
      <c r="AG105" s="4">
        <v>0</v>
      </c>
      <c r="AH105" s="4">
        <v>69</v>
      </c>
      <c r="AI105" s="4">
        <v>70</v>
      </c>
      <c r="AJ105" s="4">
        <v>5</v>
      </c>
      <c r="AK105" s="4">
        <v>6</v>
      </c>
      <c r="AL105" s="4">
        <v>46</v>
      </c>
      <c r="AM105" s="4">
        <v>46</v>
      </c>
      <c r="AN105" s="4">
        <v>0</v>
      </c>
      <c r="AO105" s="4">
        <v>0</v>
      </c>
      <c r="AP105" s="4">
        <v>4</v>
      </c>
      <c r="AQ105" s="4">
        <v>7</v>
      </c>
      <c r="AR105" s="3" t="s">
        <v>62</v>
      </c>
      <c r="AS105" s="3" t="s">
        <v>62</v>
      </c>
      <c r="AT105" s="3" t="s">
        <v>61</v>
      </c>
      <c r="AU105" s="6" t="str">
        <f t="shared" si="0"/>
        <v>HathiTrust Record</v>
      </c>
      <c r="AV105" s="6" t="str">
        <f t="shared" si="1"/>
        <v>Catalog Record</v>
      </c>
      <c r="AW105" s="6" t="str">
        <f t="shared" si="2"/>
        <v>WorldCat Record</v>
      </c>
      <c r="AX105" s="3" t="s">
        <v>1376</v>
      </c>
      <c r="AY105" s="3" t="s">
        <v>1377</v>
      </c>
      <c r="AZ105" s="3" t="s">
        <v>1378</v>
      </c>
      <c r="BA105" s="3" t="s">
        <v>1378</v>
      </c>
      <c r="BB105" s="3" t="s">
        <v>1391</v>
      </c>
      <c r="BC105" s="3" t="s">
        <v>102</v>
      </c>
      <c r="BD105" s="3" t="s">
        <v>68</v>
      </c>
      <c r="BF105" s="3" t="s">
        <v>1391</v>
      </c>
      <c r="BG105" s="3" t="s">
        <v>1392</v>
      </c>
    </row>
    <row r="106" spans="1:59" ht="58" x14ac:dyDescent="0.35">
      <c r="A106" s="2" t="s">
        <v>59</v>
      </c>
      <c r="B106" s="2" t="s">
        <v>60</v>
      </c>
      <c r="C106" s="2" t="s">
        <v>1368</v>
      </c>
      <c r="D106" s="2" t="s">
        <v>1369</v>
      </c>
      <c r="E106" s="2" t="s">
        <v>1370</v>
      </c>
      <c r="F106" s="3" t="s">
        <v>1393</v>
      </c>
      <c r="G106" s="3" t="s">
        <v>61</v>
      </c>
      <c r="I106" s="3" t="s">
        <v>61</v>
      </c>
      <c r="J106" s="3" t="s">
        <v>62</v>
      </c>
      <c r="K106" s="3" t="s">
        <v>63</v>
      </c>
      <c r="L106" s="2" t="s">
        <v>1372</v>
      </c>
      <c r="M106" s="2" t="s">
        <v>1373</v>
      </c>
      <c r="N106" s="3" t="s">
        <v>1374</v>
      </c>
      <c r="P106" s="3" t="s">
        <v>85</v>
      </c>
      <c r="R106" s="3" t="s">
        <v>65</v>
      </c>
      <c r="S106" s="4">
        <v>0</v>
      </c>
      <c r="T106" s="4">
        <v>1</v>
      </c>
      <c r="V106" s="5" t="s">
        <v>1375</v>
      </c>
      <c r="W106" s="5" t="s">
        <v>67</v>
      </c>
      <c r="X106" s="5" t="s">
        <v>67</v>
      </c>
      <c r="Y106" s="4">
        <v>191</v>
      </c>
      <c r="Z106" s="4">
        <v>8</v>
      </c>
      <c r="AA106" s="4">
        <v>12</v>
      </c>
      <c r="AB106" s="4">
        <v>2</v>
      </c>
      <c r="AC106" s="4">
        <v>3</v>
      </c>
      <c r="AD106" s="4">
        <v>74</v>
      </c>
      <c r="AE106" s="4">
        <v>78</v>
      </c>
      <c r="AF106" s="4">
        <v>0</v>
      </c>
      <c r="AG106" s="4">
        <v>0</v>
      </c>
      <c r="AH106" s="4">
        <v>69</v>
      </c>
      <c r="AI106" s="4">
        <v>70</v>
      </c>
      <c r="AJ106" s="4">
        <v>5</v>
      </c>
      <c r="AK106" s="4">
        <v>6</v>
      </c>
      <c r="AL106" s="4">
        <v>46</v>
      </c>
      <c r="AM106" s="4">
        <v>46</v>
      </c>
      <c r="AN106" s="4">
        <v>0</v>
      </c>
      <c r="AO106" s="4">
        <v>0</v>
      </c>
      <c r="AP106" s="4">
        <v>4</v>
      </c>
      <c r="AQ106" s="4">
        <v>7</v>
      </c>
      <c r="AR106" s="3" t="s">
        <v>62</v>
      </c>
      <c r="AS106" s="3" t="s">
        <v>62</v>
      </c>
      <c r="AT106" s="3" t="s">
        <v>61</v>
      </c>
      <c r="AU106" s="6" t="str">
        <f t="shared" si="0"/>
        <v>HathiTrust Record</v>
      </c>
      <c r="AV106" s="6" t="str">
        <f t="shared" si="1"/>
        <v>Catalog Record</v>
      </c>
      <c r="AW106" s="6" t="str">
        <f t="shared" si="2"/>
        <v>WorldCat Record</v>
      </c>
      <c r="AX106" s="3" t="s">
        <v>1376</v>
      </c>
      <c r="AY106" s="3" t="s">
        <v>1377</v>
      </c>
      <c r="AZ106" s="3" t="s">
        <v>1378</v>
      </c>
      <c r="BA106" s="3" t="s">
        <v>1378</v>
      </c>
      <c r="BB106" s="3" t="s">
        <v>1394</v>
      </c>
      <c r="BC106" s="3" t="s">
        <v>102</v>
      </c>
      <c r="BD106" s="3" t="s">
        <v>68</v>
      </c>
      <c r="BF106" s="3" t="s">
        <v>1394</v>
      </c>
      <c r="BG106" s="3" t="s">
        <v>1395</v>
      </c>
    </row>
    <row r="107" spans="1:59" ht="58" x14ac:dyDescent="0.35">
      <c r="A107" s="2" t="s">
        <v>59</v>
      </c>
      <c r="B107" s="2" t="s">
        <v>60</v>
      </c>
      <c r="C107" s="2" t="s">
        <v>1368</v>
      </c>
      <c r="D107" s="2" t="s">
        <v>1369</v>
      </c>
      <c r="E107" s="2" t="s">
        <v>1370</v>
      </c>
      <c r="F107" s="3" t="s">
        <v>1396</v>
      </c>
      <c r="G107" s="3" t="s">
        <v>61</v>
      </c>
      <c r="I107" s="3" t="s">
        <v>61</v>
      </c>
      <c r="J107" s="3" t="s">
        <v>62</v>
      </c>
      <c r="K107" s="3" t="s">
        <v>63</v>
      </c>
      <c r="L107" s="2" t="s">
        <v>1372</v>
      </c>
      <c r="M107" s="2" t="s">
        <v>1373</v>
      </c>
      <c r="N107" s="3" t="s">
        <v>1374</v>
      </c>
      <c r="P107" s="3" t="s">
        <v>85</v>
      </c>
      <c r="R107" s="3" t="s">
        <v>65</v>
      </c>
      <c r="S107" s="4">
        <v>0</v>
      </c>
      <c r="T107" s="4">
        <v>1</v>
      </c>
      <c r="V107" s="5" t="s">
        <v>1375</v>
      </c>
      <c r="W107" s="5" t="s">
        <v>67</v>
      </c>
      <c r="X107" s="5" t="s">
        <v>67</v>
      </c>
      <c r="Y107" s="4">
        <v>191</v>
      </c>
      <c r="Z107" s="4">
        <v>8</v>
      </c>
      <c r="AA107" s="4">
        <v>12</v>
      </c>
      <c r="AB107" s="4">
        <v>2</v>
      </c>
      <c r="AC107" s="4">
        <v>3</v>
      </c>
      <c r="AD107" s="4">
        <v>74</v>
      </c>
      <c r="AE107" s="4">
        <v>78</v>
      </c>
      <c r="AF107" s="4">
        <v>0</v>
      </c>
      <c r="AG107" s="4">
        <v>0</v>
      </c>
      <c r="AH107" s="4">
        <v>69</v>
      </c>
      <c r="AI107" s="4">
        <v>70</v>
      </c>
      <c r="AJ107" s="4">
        <v>5</v>
      </c>
      <c r="AK107" s="4">
        <v>6</v>
      </c>
      <c r="AL107" s="4">
        <v>46</v>
      </c>
      <c r="AM107" s="4">
        <v>46</v>
      </c>
      <c r="AN107" s="4">
        <v>0</v>
      </c>
      <c r="AO107" s="4">
        <v>0</v>
      </c>
      <c r="AP107" s="4">
        <v>4</v>
      </c>
      <c r="AQ107" s="4">
        <v>7</v>
      </c>
      <c r="AR107" s="3" t="s">
        <v>62</v>
      </c>
      <c r="AS107" s="3" t="s">
        <v>62</v>
      </c>
      <c r="AT107" s="3" t="s">
        <v>61</v>
      </c>
      <c r="AU107" s="6" t="str">
        <f t="shared" si="0"/>
        <v>HathiTrust Record</v>
      </c>
      <c r="AV107" s="6" t="str">
        <f t="shared" si="1"/>
        <v>Catalog Record</v>
      </c>
      <c r="AW107" s="6" t="str">
        <f t="shared" si="2"/>
        <v>WorldCat Record</v>
      </c>
      <c r="AX107" s="3" t="s">
        <v>1376</v>
      </c>
      <c r="AY107" s="3" t="s">
        <v>1377</v>
      </c>
      <c r="AZ107" s="3" t="s">
        <v>1378</v>
      </c>
      <c r="BA107" s="3" t="s">
        <v>1378</v>
      </c>
      <c r="BB107" s="3" t="s">
        <v>1397</v>
      </c>
      <c r="BC107" s="3" t="s">
        <v>102</v>
      </c>
      <c r="BD107" s="3" t="s">
        <v>68</v>
      </c>
      <c r="BF107" s="3" t="s">
        <v>1397</v>
      </c>
      <c r="BG107" s="3" t="s">
        <v>1398</v>
      </c>
    </row>
    <row r="108" spans="1:59" ht="58" x14ac:dyDescent="0.35">
      <c r="A108" s="2" t="s">
        <v>59</v>
      </c>
      <c r="B108" s="2" t="s">
        <v>60</v>
      </c>
      <c r="C108" s="2" t="s">
        <v>1399</v>
      </c>
      <c r="D108" s="2" t="s">
        <v>1400</v>
      </c>
      <c r="E108" s="2" t="s">
        <v>1401</v>
      </c>
      <c r="F108" s="3" t="s">
        <v>1402</v>
      </c>
      <c r="G108" s="3" t="s">
        <v>61</v>
      </c>
      <c r="I108" s="3" t="s">
        <v>61</v>
      </c>
      <c r="J108" s="3" t="s">
        <v>62</v>
      </c>
      <c r="K108" s="3" t="s">
        <v>63</v>
      </c>
      <c r="L108" s="2" t="s">
        <v>1403</v>
      </c>
      <c r="M108" s="2" t="s">
        <v>1404</v>
      </c>
      <c r="N108" s="3" t="s">
        <v>1405</v>
      </c>
      <c r="P108" s="3" t="s">
        <v>64</v>
      </c>
      <c r="Q108" s="2" t="s">
        <v>1406</v>
      </c>
      <c r="R108" s="3" t="s">
        <v>65</v>
      </c>
      <c r="S108" s="4">
        <v>0</v>
      </c>
      <c r="T108" s="4">
        <v>2</v>
      </c>
      <c r="V108" s="5" t="s">
        <v>1407</v>
      </c>
      <c r="W108" s="5" t="s">
        <v>67</v>
      </c>
      <c r="X108" s="5" t="s">
        <v>67</v>
      </c>
      <c r="Y108" s="4">
        <v>7</v>
      </c>
      <c r="Z108" s="4">
        <v>2</v>
      </c>
      <c r="AA108" s="4">
        <v>2</v>
      </c>
      <c r="AB108" s="4">
        <v>2</v>
      </c>
      <c r="AC108" s="4">
        <v>2</v>
      </c>
      <c r="AD108" s="4">
        <v>3</v>
      </c>
      <c r="AE108" s="4">
        <v>3</v>
      </c>
      <c r="AF108" s="4">
        <v>0</v>
      </c>
      <c r="AG108" s="4">
        <v>0</v>
      </c>
      <c r="AH108" s="4">
        <v>3</v>
      </c>
      <c r="AI108" s="4">
        <v>3</v>
      </c>
      <c r="AJ108" s="4">
        <v>0</v>
      </c>
      <c r="AK108" s="4">
        <v>0</v>
      </c>
      <c r="AL108" s="4">
        <v>2</v>
      </c>
      <c r="AM108" s="4">
        <v>2</v>
      </c>
      <c r="AN108" s="4">
        <v>0</v>
      </c>
      <c r="AO108" s="4">
        <v>0</v>
      </c>
      <c r="AP108" s="4">
        <v>0</v>
      </c>
      <c r="AQ108" s="4">
        <v>0</v>
      </c>
      <c r="AR108" s="3" t="s">
        <v>62</v>
      </c>
      <c r="AS108" s="3" t="s">
        <v>61</v>
      </c>
      <c r="AT108" s="3" t="s">
        <v>62</v>
      </c>
      <c r="AU108" s="6" t="str">
        <f t="shared" ref="AU108:AU120" si="3">HYPERLINK("http://catalog.hathitrust.org/Record/102361293","HathiTrust Record")</f>
        <v>HathiTrust Record</v>
      </c>
      <c r="AV108" s="6" t="str">
        <f t="shared" ref="AV108:AV120" si="4">HYPERLINK("http://mcgill.on.worldcat.org/oclc/427218498","Catalog Record")</f>
        <v>Catalog Record</v>
      </c>
      <c r="AW108" s="6" t="str">
        <f t="shared" ref="AW108:AW120" si="5">HYPERLINK("http://www.worldcat.org/oclc/427218498","WorldCat Record")</f>
        <v>WorldCat Record</v>
      </c>
      <c r="AX108" s="3" t="s">
        <v>1408</v>
      </c>
      <c r="AY108" s="3" t="s">
        <v>1409</v>
      </c>
      <c r="AZ108" s="3" t="s">
        <v>1410</v>
      </c>
      <c r="BA108" s="3" t="s">
        <v>1410</v>
      </c>
      <c r="BB108" s="3" t="s">
        <v>1411</v>
      </c>
      <c r="BC108" s="3" t="s">
        <v>102</v>
      </c>
      <c r="BD108" s="3" t="s">
        <v>68</v>
      </c>
      <c r="BF108" s="3" t="s">
        <v>1411</v>
      </c>
      <c r="BG108" s="3" t="s">
        <v>1412</v>
      </c>
    </row>
    <row r="109" spans="1:59" ht="58" x14ac:dyDescent="0.35">
      <c r="A109" s="2" t="s">
        <v>59</v>
      </c>
      <c r="B109" s="2" t="s">
        <v>60</v>
      </c>
      <c r="C109" s="2" t="s">
        <v>1399</v>
      </c>
      <c r="D109" s="2" t="s">
        <v>1400</v>
      </c>
      <c r="E109" s="2" t="s">
        <v>1401</v>
      </c>
      <c r="F109" s="3" t="s">
        <v>1413</v>
      </c>
      <c r="G109" s="3" t="s">
        <v>61</v>
      </c>
      <c r="I109" s="3" t="s">
        <v>61</v>
      </c>
      <c r="J109" s="3" t="s">
        <v>62</v>
      </c>
      <c r="K109" s="3" t="s">
        <v>63</v>
      </c>
      <c r="L109" s="2" t="s">
        <v>1403</v>
      </c>
      <c r="M109" s="2" t="s">
        <v>1404</v>
      </c>
      <c r="N109" s="3" t="s">
        <v>1405</v>
      </c>
      <c r="P109" s="3" t="s">
        <v>64</v>
      </c>
      <c r="Q109" s="2" t="s">
        <v>1406</v>
      </c>
      <c r="R109" s="3" t="s">
        <v>65</v>
      </c>
      <c r="S109" s="4">
        <v>0</v>
      </c>
      <c r="T109" s="4">
        <v>2</v>
      </c>
      <c r="V109" s="5" t="s">
        <v>1407</v>
      </c>
      <c r="W109" s="5" t="s">
        <v>67</v>
      </c>
      <c r="X109" s="5" t="s">
        <v>67</v>
      </c>
      <c r="Y109" s="4">
        <v>7</v>
      </c>
      <c r="Z109" s="4">
        <v>2</v>
      </c>
      <c r="AA109" s="4">
        <v>2</v>
      </c>
      <c r="AB109" s="4">
        <v>2</v>
      </c>
      <c r="AC109" s="4">
        <v>2</v>
      </c>
      <c r="AD109" s="4">
        <v>3</v>
      </c>
      <c r="AE109" s="4">
        <v>3</v>
      </c>
      <c r="AF109" s="4">
        <v>0</v>
      </c>
      <c r="AG109" s="4">
        <v>0</v>
      </c>
      <c r="AH109" s="4">
        <v>3</v>
      </c>
      <c r="AI109" s="4">
        <v>3</v>
      </c>
      <c r="AJ109" s="4">
        <v>0</v>
      </c>
      <c r="AK109" s="4">
        <v>0</v>
      </c>
      <c r="AL109" s="4">
        <v>2</v>
      </c>
      <c r="AM109" s="4">
        <v>2</v>
      </c>
      <c r="AN109" s="4">
        <v>0</v>
      </c>
      <c r="AO109" s="4">
        <v>0</v>
      </c>
      <c r="AP109" s="4">
        <v>0</v>
      </c>
      <c r="AQ109" s="4">
        <v>0</v>
      </c>
      <c r="AR109" s="3" t="s">
        <v>62</v>
      </c>
      <c r="AS109" s="3" t="s">
        <v>61</v>
      </c>
      <c r="AT109" s="3" t="s">
        <v>62</v>
      </c>
      <c r="AU109" s="6" t="str">
        <f t="shared" si="3"/>
        <v>HathiTrust Record</v>
      </c>
      <c r="AV109" s="6" t="str">
        <f t="shared" si="4"/>
        <v>Catalog Record</v>
      </c>
      <c r="AW109" s="6" t="str">
        <f t="shared" si="5"/>
        <v>WorldCat Record</v>
      </c>
      <c r="AX109" s="3" t="s">
        <v>1408</v>
      </c>
      <c r="AY109" s="3" t="s">
        <v>1409</v>
      </c>
      <c r="AZ109" s="3" t="s">
        <v>1410</v>
      </c>
      <c r="BA109" s="3" t="s">
        <v>1410</v>
      </c>
      <c r="BB109" s="3" t="s">
        <v>1414</v>
      </c>
      <c r="BC109" s="3" t="s">
        <v>102</v>
      </c>
      <c r="BD109" s="3" t="s">
        <v>68</v>
      </c>
      <c r="BF109" s="3" t="s">
        <v>1414</v>
      </c>
      <c r="BG109" s="3" t="s">
        <v>1415</v>
      </c>
    </row>
    <row r="110" spans="1:59" ht="58" x14ac:dyDescent="0.35">
      <c r="A110" s="2" t="s">
        <v>59</v>
      </c>
      <c r="B110" s="2" t="s">
        <v>60</v>
      </c>
      <c r="C110" s="2" t="s">
        <v>1399</v>
      </c>
      <c r="D110" s="2" t="s">
        <v>1400</v>
      </c>
      <c r="E110" s="2" t="s">
        <v>1401</v>
      </c>
      <c r="F110" s="3" t="s">
        <v>1416</v>
      </c>
      <c r="G110" s="3" t="s">
        <v>61</v>
      </c>
      <c r="I110" s="3" t="s">
        <v>61</v>
      </c>
      <c r="J110" s="3" t="s">
        <v>62</v>
      </c>
      <c r="K110" s="3" t="s">
        <v>63</v>
      </c>
      <c r="L110" s="2" t="s">
        <v>1403</v>
      </c>
      <c r="M110" s="2" t="s">
        <v>1404</v>
      </c>
      <c r="N110" s="3" t="s">
        <v>1405</v>
      </c>
      <c r="P110" s="3" t="s">
        <v>64</v>
      </c>
      <c r="Q110" s="2" t="s">
        <v>1406</v>
      </c>
      <c r="R110" s="3" t="s">
        <v>65</v>
      </c>
      <c r="S110" s="4">
        <v>0</v>
      </c>
      <c r="T110" s="4">
        <v>2</v>
      </c>
      <c r="V110" s="5" t="s">
        <v>1407</v>
      </c>
      <c r="W110" s="5" t="s">
        <v>67</v>
      </c>
      <c r="X110" s="5" t="s">
        <v>67</v>
      </c>
      <c r="Y110" s="4">
        <v>7</v>
      </c>
      <c r="Z110" s="4">
        <v>2</v>
      </c>
      <c r="AA110" s="4">
        <v>2</v>
      </c>
      <c r="AB110" s="4">
        <v>2</v>
      </c>
      <c r="AC110" s="4">
        <v>2</v>
      </c>
      <c r="AD110" s="4">
        <v>3</v>
      </c>
      <c r="AE110" s="4">
        <v>3</v>
      </c>
      <c r="AF110" s="4">
        <v>0</v>
      </c>
      <c r="AG110" s="4">
        <v>0</v>
      </c>
      <c r="AH110" s="4">
        <v>3</v>
      </c>
      <c r="AI110" s="4">
        <v>3</v>
      </c>
      <c r="AJ110" s="4">
        <v>0</v>
      </c>
      <c r="AK110" s="4">
        <v>0</v>
      </c>
      <c r="AL110" s="4">
        <v>2</v>
      </c>
      <c r="AM110" s="4">
        <v>2</v>
      </c>
      <c r="AN110" s="4">
        <v>0</v>
      </c>
      <c r="AO110" s="4">
        <v>0</v>
      </c>
      <c r="AP110" s="4">
        <v>0</v>
      </c>
      <c r="AQ110" s="4">
        <v>0</v>
      </c>
      <c r="AR110" s="3" t="s">
        <v>62</v>
      </c>
      <c r="AS110" s="3" t="s">
        <v>61</v>
      </c>
      <c r="AT110" s="3" t="s">
        <v>62</v>
      </c>
      <c r="AU110" s="6" t="str">
        <f t="shared" si="3"/>
        <v>HathiTrust Record</v>
      </c>
      <c r="AV110" s="6" t="str">
        <f t="shared" si="4"/>
        <v>Catalog Record</v>
      </c>
      <c r="AW110" s="6" t="str">
        <f t="shared" si="5"/>
        <v>WorldCat Record</v>
      </c>
      <c r="AX110" s="3" t="s">
        <v>1408</v>
      </c>
      <c r="AY110" s="3" t="s">
        <v>1409</v>
      </c>
      <c r="AZ110" s="3" t="s">
        <v>1410</v>
      </c>
      <c r="BA110" s="3" t="s">
        <v>1410</v>
      </c>
      <c r="BB110" s="3" t="s">
        <v>1417</v>
      </c>
      <c r="BC110" s="3" t="s">
        <v>102</v>
      </c>
      <c r="BD110" s="3" t="s">
        <v>68</v>
      </c>
      <c r="BF110" s="3" t="s">
        <v>1417</v>
      </c>
      <c r="BG110" s="3" t="s">
        <v>1418</v>
      </c>
    </row>
    <row r="111" spans="1:59" ht="58" x14ac:dyDescent="0.35">
      <c r="A111" s="2" t="s">
        <v>59</v>
      </c>
      <c r="B111" s="2" t="s">
        <v>60</v>
      </c>
      <c r="C111" s="2" t="s">
        <v>1399</v>
      </c>
      <c r="D111" s="2" t="s">
        <v>1400</v>
      </c>
      <c r="E111" s="2" t="s">
        <v>1401</v>
      </c>
      <c r="F111" s="3" t="s">
        <v>1419</v>
      </c>
      <c r="G111" s="3" t="s">
        <v>61</v>
      </c>
      <c r="I111" s="3" t="s">
        <v>61</v>
      </c>
      <c r="J111" s="3" t="s">
        <v>62</v>
      </c>
      <c r="K111" s="3" t="s">
        <v>63</v>
      </c>
      <c r="L111" s="2" t="s">
        <v>1403</v>
      </c>
      <c r="M111" s="2" t="s">
        <v>1404</v>
      </c>
      <c r="N111" s="3" t="s">
        <v>1405</v>
      </c>
      <c r="P111" s="3" t="s">
        <v>64</v>
      </c>
      <c r="Q111" s="2" t="s">
        <v>1406</v>
      </c>
      <c r="R111" s="3" t="s">
        <v>65</v>
      </c>
      <c r="S111" s="4">
        <v>0</v>
      </c>
      <c r="T111" s="4">
        <v>2</v>
      </c>
      <c r="V111" s="5" t="s">
        <v>1407</v>
      </c>
      <c r="W111" s="5" t="s">
        <v>67</v>
      </c>
      <c r="X111" s="5" t="s">
        <v>67</v>
      </c>
      <c r="Y111" s="4">
        <v>7</v>
      </c>
      <c r="Z111" s="4">
        <v>2</v>
      </c>
      <c r="AA111" s="4">
        <v>2</v>
      </c>
      <c r="AB111" s="4">
        <v>2</v>
      </c>
      <c r="AC111" s="4">
        <v>2</v>
      </c>
      <c r="AD111" s="4">
        <v>3</v>
      </c>
      <c r="AE111" s="4">
        <v>3</v>
      </c>
      <c r="AF111" s="4">
        <v>0</v>
      </c>
      <c r="AG111" s="4">
        <v>0</v>
      </c>
      <c r="AH111" s="4">
        <v>3</v>
      </c>
      <c r="AI111" s="4">
        <v>3</v>
      </c>
      <c r="AJ111" s="4">
        <v>0</v>
      </c>
      <c r="AK111" s="4">
        <v>0</v>
      </c>
      <c r="AL111" s="4">
        <v>2</v>
      </c>
      <c r="AM111" s="4">
        <v>2</v>
      </c>
      <c r="AN111" s="4">
        <v>0</v>
      </c>
      <c r="AO111" s="4">
        <v>0</v>
      </c>
      <c r="AP111" s="4">
        <v>0</v>
      </c>
      <c r="AQ111" s="4">
        <v>0</v>
      </c>
      <c r="AR111" s="3" t="s">
        <v>62</v>
      </c>
      <c r="AS111" s="3" t="s">
        <v>61</v>
      </c>
      <c r="AT111" s="3" t="s">
        <v>62</v>
      </c>
      <c r="AU111" s="6" t="str">
        <f t="shared" si="3"/>
        <v>HathiTrust Record</v>
      </c>
      <c r="AV111" s="6" t="str">
        <f t="shared" si="4"/>
        <v>Catalog Record</v>
      </c>
      <c r="AW111" s="6" t="str">
        <f t="shared" si="5"/>
        <v>WorldCat Record</v>
      </c>
      <c r="AX111" s="3" t="s">
        <v>1408</v>
      </c>
      <c r="AY111" s="3" t="s">
        <v>1409</v>
      </c>
      <c r="AZ111" s="3" t="s">
        <v>1410</v>
      </c>
      <c r="BA111" s="3" t="s">
        <v>1410</v>
      </c>
      <c r="BB111" s="3" t="s">
        <v>1420</v>
      </c>
      <c r="BC111" s="3" t="s">
        <v>102</v>
      </c>
      <c r="BD111" s="3" t="s">
        <v>68</v>
      </c>
      <c r="BF111" s="3" t="s">
        <v>1420</v>
      </c>
      <c r="BG111" s="3" t="s">
        <v>1421</v>
      </c>
    </row>
    <row r="112" spans="1:59" ht="58" x14ac:dyDescent="0.35">
      <c r="A112" s="2" t="s">
        <v>59</v>
      </c>
      <c r="B112" s="2" t="s">
        <v>60</v>
      </c>
      <c r="C112" s="2" t="s">
        <v>1399</v>
      </c>
      <c r="D112" s="2" t="s">
        <v>1400</v>
      </c>
      <c r="E112" s="2" t="s">
        <v>1401</v>
      </c>
      <c r="F112" s="3" t="s">
        <v>1422</v>
      </c>
      <c r="G112" s="3" t="s">
        <v>61</v>
      </c>
      <c r="I112" s="3" t="s">
        <v>61</v>
      </c>
      <c r="J112" s="3" t="s">
        <v>62</v>
      </c>
      <c r="K112" s="3" t="s">
        <v>63</v>
      </c>
      <c r="L112" s="2" t="s">
        <v>1403</v>
      </c>
      <c r="M112" s="2" t="s">
        <v>1404</v>
      </c>
      <c r="N112" s="3" t="s">
        <v>1405</v>
      </c>
      <c r="P112" s="3" t="s">
        <v>64</v>
      </c>
      <c r="Q112" s="2" t="s">
        <v>1406</v>
      </c>
      <c r="R112" s="3" t="s">
        <v>65</v>
      </c>
      <c r="S112" s="4">
        <v>0</v>
      </c>
      <c r="T112" s="4">
        <v>2</v>
      </c>
      <c r="V112" s="5" t="s">
        <v>1407</v>
      </c>
      <c r="W112" s="5" t="s">
        <v>67</v>
      </c>
      <c r="X112" s="5" t="s">
        <v>67</v>
      </c>
      <c r="Y112" s="4">
        <v>7</v>
      </c>
      <c r="Z112" s="4">
        <v>2</v>
      </c>
      <c r="AA112" s="4">
        <v>2</v>
      </c>
      <c r="AB112" s="4">
        <v>2</v>
      </c>
      <c r="AC112" s="4">
        <v>2</v>
      </c>
      <c r="AD112" s="4">
        <v>3</v>
      </c>
      <c r="AE112" s="4">
        <v>3</v>
      </c>
      <c r="AF112" s="4">
        <v>0</v>
      </c>
      <c r="AG112" s="4">
        <v>0</v>
      </c>
      <c r="AH112" s="4">
        <v>3</v>
      </c>
      <c r="AI112" s="4">
        <v>3</v>
      </c>
      <c r="AJ112" s="4">
        <v>0</v>
      </c>
      <c r="AK112" s="4">
        <v>0</v>
      </c>
      <c r="AL112" s="4">
        <v>2</v>
      </c>
      <c r="AM112" s="4">
        <v>2</v>
      </c>
      <c r="AN112" s="4">
        <v>0</v>
      </c>
      <c r="AO112" s="4">
        <v>0</v>
      </c>
      <c r="AP112" s="4">
        <v>0</v>
      </c>
      <c r="AQ112" s="4">
        <v>0</v>
      </c>
      <c r="AR112" s="3" t="s">
        <v>62</v>
      </c>
      <c r="AS112" s="3" t="s">
        <v>61</v>
      </c>
      <c r="AT112" s="3" t="s">
        <v>62</v>
      </c>
      <c r="AU112" s="6" t="str">
        <f t="shared" si="3"/>
        <v>HathiTrust Record</v>
      </c>
      <c r="AV112" s="6" t="str">
        <f t="shared" si="4"/>
        <v>Catalog Record</v>
      </c>
      <c r="AW112" s="6" t="str">
        <f t="shared" si="5"/>
        <v>WorldCat Record</v>
      </c>
      <c r="AX112" s="3" t="s">
        <v>1408</v>
      </c>
      <c r="AY112" s="3" t="s">
        <v>1409</v>
      </c>
      <c r="AZ112" s="3" t="s">
        <v>1410</v>
      </c>
      <c r="BA112" s="3" t="s">
        <v>1410</v>
      </c>
      <c r="BB112" s="3" t="s">
        <v>1423</v>
      </c>
      <c r="BC112" s="3" t="s">
        <v>102</v>
      </c>
      <c r="BD112" s="3" t="s">
        <v>68</v>
      </c>
      <c r="BF112" s="3" t="s">
        <v>1423</v>
      </c>
      <c r="BG112" s="3" t="s">
        <v>1424</v>
      </c>
    </row>
    <row r="113" spans="1:59" ht="58" x14ac:dyDescent="0.35">
      <c r="A113" s="2" t="s">
        <v>59</v>
      </c>
      <c r="B113" s="2" t="s">
        <v>60</v>
      </c>
      <c r="C113" s="2" t="s">
        <v>1399</v>
      </c>
      <c r="D113" s="2" t="s">
        <v>1400</v>
      </c>
      <c r="E113" s="2" t="s">
        <v>1401</v>
      </c>
      <c r="F113" s="3" t="s">
        <v>1425</v>
      </c>
      <c r="G113" s="3" t="s">
        <v>61</v>
      </c>
      <c r="I113" s="3" t="s">
        <v>61</v>
      </c>
      <c r="J113" s="3" t="s">
        <v>62</v>
      </c>
      <c r="K113" s="3" t="s">
        <v>63</v>
      </c>
      <c r="L113" s="2" t="s">
        <v>1403</v>
      </c>
      <c r="M113" s="2" t="s">
        <v>1404</v>
      </c>
      <c r="N113" s="3" t="s">
        <v>1405</v>
      </c>
      <c r="P113" s="3" t="s">
        <v>64</v>
      </c>
      <c r="Q113" s="2" t="s">
        <v>1406</v>
      </c>
      <c r="R113" s="3" t="s">
        <v>65</v>
      </c>
      <c r="S113" s="4">
        <v>0</v>
      </c>
      <c r="T113" s="4">
        <v>2</v>
      </c>
      <c r="V113" s="5" t="s">
        <v>1407</v>
      </c>
      <c r="W113" s="5" t="s">
        <v>67</v>
      </c>
      <c r="X113" s="5" t="s">
        <v>67</v>
      </c>
      <c r="Y113" s="4">
        <v>7</v>
      </c>
      <c r="Z113" s="4">
        <v>2</v>
      </c>
      <c r="AA113" s="4">
        <v>2</v>
      </c>
      <c r="AB113" s="4">
        <v>2</v>
      </c>
      <c r="AC113" s="4">
        <v>2</v>
      </c>
      <c r="AD113" s="4">
        <v>3</v>
      </c>
      <c r="AE113" s="4">
        <v>3</v>
      </c>
      <c r="AF113" s="4">
        <v>0</v>
      </c>
      <c r="AG113" s="4">
        <v>0</v>
      </c>
      <c r="AH113" s="4">
        <v>3</v>
      </c>
      <c r="AI113" s="4">
        <v>3</v>
      </c>
      <c r="AJ113" s="4">
        <v>0</v>
      </c>
      <c r="AK113" s="4">
        <v>0</v>
      </c>
      <c r="AL113" s="4">
        <v>2</v>
      </c>
      <c r="AM113" s="4">
        <v>2</v>
      </c>
      <c r="AN113" s="4">
        <v>0</v>
      </c>
      <c r="AO113" s="4">
        <v>0</v>
      </c>
      <c r="AP113" s="4">
        <v>0</v>
      </c>
      <c r="AQ113" s="4">
        <v>0</v>
      </c>
      <c r="AR113" s="3" t="s">
        <v>62</v>
      </c>
      <c r="AS113" s="3" t="s">
        <v>61</v>
      </c>
      <c r="AT113" s="3" t="s">
        <v>62</v>
      </c>
      <c r="AU113" s="6" t="str">
        <f t="shared" si="3"/>
        <v>HathiTrust Record</v>
      </c>
      <c r="AV113" s="6" t="str">
        <f t="shared" si="4"/>
        <v>Catalog Record</v>
      </c>
      <c r="AW113" s="6" t="str">
        <f t="shared" si="5"/>
        <v>WorldCat Record</v>
      </c>
      <c r="AX113" s="3" t="s">
        <v>1408</v>
      </c>
      <c r="AY113" s="3" t="s">
        <v>1409</v>
      </c>
      <c r="AZ113" s="3" t="s">
        <v>1410</v>
      </c>
      <c r="BA113" s="3" t="s">
        <v>1410</v>
      </c>
      <c r="BB113" s="3" t="s">
        <v>1426</v>
      </c>
      <c r="BC113" s="3" t="s">
        <v>102</v>
      </c>
      <c r="BD113" s="3" t="s">
        <v>68</v>
      </c>
      <c r="BF113" s="3" t="s">
        <v>1426</v>
      </c>
      <c r="BG113" s="3" t="s">
        <v>1427</v>
      </c>
    </row>
    <row r="114" spans="1:59" ht="58" x14ac:dyDescent="0.35">
      <c r="A114" s="2" t="s">
        <v>59</v>
      </c>
      <c r="B114" s="2" t="s">
        <v>60</v>
      </c>
      <c r="C114" s="2" t="s">
        <v>1399</v>
      </c>
      <c r="D114" s="2" t="s">
        <v>1400</v>
      </c>
      <c r="E114" s="2" t="s">
        <v>1401</v>
      </c>
      <c r="F114" s="3" t="s">
        <v>1428</v>
      </c>
      <c r="G114" s="3" t="s">
        <v>61</v>
      </c>
      <c r="I114" s="3" t="s">
        <v>61</v>
      </c>
      <c r="J114" s="3" t="s">
        <v>62</v>
      </c>
      <c r="K114" s="3" t="s">
        <v>63</v>
      </c>
      <c r="L114" s="2" t="s">
        <v>1403</v>
      </c>
      <c r="M114" s="2" t="s">
        <v>1404</v>
      </c>
      <c r="N114" s="3" t="s">
        <v>1405</v>
      </c>
      <c r="P114" s="3" t="s">
        <v>64</v>
      </c>
      <c r="Q114" s="2" t="s">
        <v>1406</v>
      </c>
      <c r="R114" s="3" t="s">
        <v>65</v>
      </c>
      <c r="S114" s="4">
        <v>0</v>
      </c>
      <c r="T114" s="4">
        <v>2</v>
      </c>
      <c r="V114" s="5" t="s">
        <v>1407</v>
      </c>
      <c r="W114" s="5" t="s">
        <v>67</v>
      </c>
      <c r="X114" s="5" t="s">
        <v>67</v>
      </c>
      <c r="Y114" s="4">
        <v>7</v>
      </c>
      <c r="Z114" s="4">
        <v>2</v>
      </c>
      <c r="AA114" s="4">
        <v>2</v>
      </c>
      <c r="AB114" s="4">
        <v>2</v>
      </c>
      <c r="AC114" s="4">
        <v>2</v>
      </c>
      <c r="AD114" s="4">
        <v>3</v>
      </c>
      <c r="AE114" s="4">
        <v>3</v>
      </c>
      <c r="AF114" s="4">
        <v>0</v>
      </c>
      <c r="AG114" s="4">
        <v>0</v>
      </c>
      <c r="AH114" s="4">
        <v>3</v>
      </c>
      <c r="AI114" s="4">
        <v>3</v>
      </c>
      <c r="AJ114" s="4">
        <v>0</v>
      </c>
      <c r="AK114" s="4">
        <v>0</v>
      </c>
      <c r="AL114" s="4">
        <v>2</v>
      </c>
      <c r="AM114" s="4">
        <v>2</v>
      </c>
      <c r="AN114" s="4">
        <v>0</v>
      </c>
      <c r="AO114" s="4">
        <v>0</v>
      </c>
      <c r="AP114" s="4">
        <v>0</v>
      </c>
      <c r="AQ114" s="4">
        <v>0</v>
      </c>
      <c r="AR114" s="3" t="s">
        <v>62</v>
      </c>
      <c r="AS114" s="3" t="s">
        <v>61</v>
      </c>
      <c r="AT114" s="3" t="s">
        <v>62</v>
      </c>
      <c r="AU114" s="6" t="str">
        <f t="shared" si="3"/>
        <v>HathiTrust Record</v>
      </c>
      <c r="AV114" s="6" t="str">
        <f t="shared" si="4"/>
        <v>Catalog Record</v>
      </c>
      <c r="AW114" s="6" t="str">
        <f t="shared" si="5"/>
        <v>WorldCat Record</v>
      </c>
      <c r="AX114" s="3" t="s">
        <v>1408</v>
      </c>
      <c r="AY114" s="3" t="s">
        <v>1409</v>
      </c>
      <c r="AZ114" s="3" t="s">
        <v>1410</v>
      </c>
      <c r="BA114" s="3" t="s">
        <v>1410</v>
      </c>
      <c r="BB114" s="3" t="s">
        <v>1429</v>
      </c>
      <c r="BC114" s="3" t="s">
        <v>102</v>
      </c>
      <c r="BD114" s="3" t="s">
        <v>68</v>
      </c>
      <c r="BF114" s="3" t="s">
        <v>1429</v>
      </c>
      <c r="BG114" s="3" t="s">
        <v>1430</v>
      </c>
    </row>
    <row r="115" spans="1:59" ht="58" x14ac:dyDescent="0.35">
      <c r="A115" s="2" t="s">
        <v>59</v>
      </c>
      <c r="B115" s="2" t="s">
        <v>60</v>
      </c>
      <c r="C115" s="2" t="s">
        <v>1399</v>
      </c>
      <c r="D115" s="2" t="s">
        <v>1400</v>
      </c>
      <c r="E115" s="2" t="s">
        <v>1401</v>
      </c>
      <c r="F115" s="3" t="s">
        <v>1431</v>
      </c>
      <c r="G115" s="3" t="s">
        <v>61</v>
      </c>
      <c r="I115" s="3" t="s">
        <v>61</v>
      </c>
      <c r="J115" s="3" t="s">
        <v>62</v>
      </c>
      <c r="K115" s="3" t="s">
        <v>63</v>
      </c>
      <c r="L115" s="2" t="s">
        <v>1403</v>
      </c>
      <c r="M115" s="2" t="s">
        <v>1404</v>
      </c>
      <c r="N115" s="3" t="s">
        <v>1405</v>
      </c>
      <c r="P115" s="3" t="s">
        <v>64</v>
      </c>
      <c r="Q115" s="2" t="s">
        <v>1406</v>
      </c>
      <c r="R115" s="3" t="s">
        <v>65</v>
      </c>
      <c r="S115" s="4">
        <v>0</v>
      </c>
      <c r="T115" s="4">
        <v>2</v>
      </c>
      <c r="V115" s="5" t="s">
        <v>1407</v>
      </c>
      <c r="W115" s="5" t="s">
        <v>67</v>
      </c>
      <c r="X115" s="5" t="s">
        <v>67</v>
      </c>
      <c r="Y115" s="4">
        <v>7</v>
      </c>
      <c r="Z115" s="4">
        <v>2</v>
      </c>
      <c r="AA115" s="4">
        <v>2</v>
      </c>
      <c r="AB115" s="4">
        <v>2</v>
      </c>
      <c r="AC115" s="4">
        <v>2</v>
      </c>
      <c r="AD115" s="4">
        <v>3</v>
      </c>
      <c r="AE115" s="4">
        <v>3</v>
      </c>
      <c r="AF115" s="4">
        <v>0</v>
      </c>
      <c r="AG115" s="4">
        <v>0</v>
      </c>
      <c r="AH115" s="4">
        <v>3</v>
      </c>
      <c r="AI115" s="4">
        <v>3</v>
      </c>
      <c r="AJ115" s="4">
        <v>0</v>
      </c>
      <c r="AK115" s="4">
        <v>0</v>
      </c>
      <c r="AL115" s="4">
        <v>2</v>
      </c>
      <c r="AM115" s="4">
        <v>2</v>
      </c>
      <c r="AN115" s="4">
        <v>0</v>
      </c>
      <c r="AO115" s="4">
        <v>0</v>
      </c>
      <c r="AP115" s="4">
        <v>0</v>
      </c>
      <c r="AQ115" s="4">
        <v>0</v>
      </c>
      <c r="AR115" s="3" t="s">
        <v>62</v>
      </c>
      <c r="AS115" s="3" t="s">
        <v>61</v>
      </c>
      <c r="AT115" s="3" t="s">
        <v>62</v>
      </c>
      <c r="AU115" s="6" t="str">
        <f t="shared" si="3"/>
        <v>HathiTrust Record</v>
      </c>
      <c r="AV115" s="6" t="str">
        <f t="shared" si="4"/>
        <v>Catalog Record</v>
      </c>
      <c r="AW115" s="6" t="str">
        <f t="shared" si="5"/>
        <v>WorldCat Record</v>
      </c>
      <c r="AX115" s="3" t="s">
        <v>1408</v>
      </c>
      <c r="AY115" s="3" t="s">
        <v>1409</v>
      </c>
      <c r="AZ115" s="3" t="s">
        <v>1410</v>
      </c>
      <c r="BA115" s="3" t="s">
        <v>1410</v>
      </c>
      <c r="BB115" s="3" t="s">
        <v>1432</v>
      </c>
      <c r="BC115" s="3" t="s">
        <v>102</v>
      </c>
      <c r="BD115" s="3" t="s">
        <v>68</v>
      </c>
      <c r="BF115" s="3" t="s">
        <v>1432</v>
      </c>
      <c r="BG115" s="3" t="s">
        <v>1433</v>
      </c>
    </row>
    <row r="116" spans="1:59" ht="58" x14ac:dyDescent="0.35">
      <c r="A116" s="2" t="s">
        <v>59</v>
      </c>
      <c r="B116" s="2" t="s">
        <v>60</v>
      </c>
      <c r="C116" s="2" t="s">
        <v>1399</v>
      </c>
      <c r="D116" s="2" t="s">
        <v>1400</v>
      </c>
      <c r="E116" s="2" t="s">
        <v>1401</v>
      </c>
      <c r="F116" s="3" t="s">
        <v>1434</v>
      </c>
      <c r="G116" s="3" t="s">
        <v>61</v>
      </c>
      <c r="I116" s="3" t="s">
        <v>61</v>
      </c>
      <c r="J116" s="3" t="s">
        <v>62</v>
      </c>
      <c r="K116" s="3" t="s">
        <v>63</v>
      </c>
      <c r="L116" s="2" t="s">
        <v>1403</v>
      </c>
      <c r="M116" s="2" t="s">
        <v>1404</v>
      </c>
      <c r="N116" s="3" t="s">
        <v>1405</v>
      </c>
      <c r="P116" s="3" t="s">
        <v>64</v>
      </c>
      <c r="Q116" s="2" t="s">
        <v>1406</v>
      </c>
      <c r="R116" s="3" t="s">
        <v>65</v>
      </c>
      <c r="S116" s="4">
        <v>0</v>
      </c>
      <c r="T116" s="4">
        <v>2</v>
      </c>
      <c r="V116" s="5" t="s">
        <v>1407</v>
      </c>
      <c r="W116" s="5" t="s">
        <v>67</v>
      </c>
      <c r="X116" s="5" t="s">
        <v>67</v>
      </c>
      <c r="Y116" s="4">
        <v>7</v>
      </c>
      <c r="Z116" s="4">
        <v>2</v>
      </c>
      <c r="AA116" s="4">
        <v>2</v>
      </c>
      <c r="AB116" s="4">
        <v>2</v>
      </c>
      <c r="AC116" s="4">
        <v>2</v>
      </c>
      <c r="AD116" s="4">
        <v>3</v>
      </c>
      <c r="AE116" s="4">
        <v>3</v>
      </c>
      <c r="AF116" s="4">
        <v>0</v>
      </c>
      <c r="AG116" s="4">
        <v>0</v>
      </c>
      <c r="AH116" s="4">
        <v>3</v>
      </c>
      <c r="AI116" s="4">
        <v>3</v>
      </c>
      <c r="AJ116" s="4">
        <v>0</v>
      </c>
      <c r="AK116" s="4">
        <v>0</v>
      </c>
      <c r="AL116" s="4">
        <v>2</v>
      </c>
      <c r="AM116" s="4">
        <v>2</v>
      </c>
      <c r="AN116" s="4">
        <v>0</v>
      </c>
      <c r="AO116" s="4">
        <v>0</v>
      </c>
      <c r="AP116" s="4">
        <v>0</v>
      </c>
      <c r="AQ116" s="4">
        <v>0</v>
      </c>
      <c r="AR116" s="3" t="s">
        <v>62</v>
      </c>
      <c r="AS116" s="3" t="s">
        <v>61</v>
      </c>
      <c r="AT116" s="3" t="s">
        <v>62</v>
      </c>
      <c r="AU116" s="6" t="str">
        <f t="shared" si="3"/>
        <v>HathiTrust Record</v>
      </c>
      <c r="AV116" s="6" t="str">
        <f t="shared" si="4"/>
        <v>Catalog Record</v>
      </c>
      <c r="AW116" s="6" t="str">
        <f t="shared" si="5"/>
        <v>WorldCat Record</v>
      </c>
      <c r="AX116" s="3" t="s">
        <v>1408</v>
      </c>
      <c r="AY116" s="3" t="s">
        <v>1409</v>
      </c>
      <c r="AZ116" s="3" t="s">
        <v>1410</v>
      </c>
      <c r="BA116" s="3" t="s">
        <v>1410</v>
      </c>
      <c r="BB116" s="3" t="s">
        <v>1435</v>
      </c>
      <c r="BC116" s="3" t="s">
        <v>102</v>
      </c>
      <c r="BD116" s="3" t="s">
        <v>68</v>
      </c>
      <c r="BF116" s="3" t="s">
        <v>1435</v>
      </c>
      <c r="BG116" s="3" t="s">
        <v>1436</v>
      </c>
    </row>
    <row r="117" spans="1:59" ht="58" x14ac:dyDescent="0.35">
      <c r="A117" s="2" t="s">
        <v>59</v>
      </c>
      <c r="B117" s="2" t="s">
        <v>60</v>
      </c>
      <c r="C117" s="2" t="s">
        <v>1399</v>
      </c>
      <c r="D117" s="2" t="s">
        <v>1400</v>
      </c>
      <c r="E117" s="2" t="s">
        <v>1401</v>
      </c>
      <c r="F117" s="3" t="s">
        <v>1437</v>
      </c>
      <c r="G117" s="3" t="s">
        <v>61</v>
      </c>
      <c r="I117" s="3" t="s">
        <v>61</v>
      </c>
      <c r="J117" s="3" t="s">
        <v>62</v>
      </c>
      <c r="K117" s="3" t="s">
        <v>63</v>
      </c>
      <c r="L117" s="2" t="s">
        <v>1403</v>
      </c>
      <c r="M117" s="2" t="s">
        <v>1404</v>
      </c>
      <c r="N117" s="3" t="s">
        <v>1405</v>
      </c>
      <c r="P117" s="3" t="s">
        <v>64</v>
      </c>
      <c r="Q117" s="2" t="s">
        <v>1406</v>
      </c>
      <c r="R117" s="3" t="s">
        <v>65</v>
      </c>
      <c r="S117" s="4">
        <v>1</v>
      </c>
      <c r="T117" s="4">
        <v>2</v>
      </c>
      <c r="U117" s="5" t="s">
        <v>1438</v>
      </c>
      <c r="V117" s="5" t="s">
        <v>1407</v>
      </c>
      <c r="W117" s="5" t="s">
        <v>67</v>
      </c>
      <c r="X117" s="5" t="s">
        <v>67</v>
      </c>
      <c r="Y117" s="4">
        <v>7</v>
      </c>
      <c r="Z117" s="4">
        <v>2</v>
      </c>
      <c r="AA117" s="4">
        <v>2</v>
      </c>
      <c r="AB117" s="4">
        <v>2</v>
      </c>
      <c r="AC117" s="4">
        <v>2</v>
      </c>
      <c r="AD117" s="4">
        <v>3</v>
      </c>
      <c r="AE117" s="4">
        <v>3</v>
      </c>
      <c r="AF117" s="4">
        <v>0</v>
      </c>
      <c r="AG117" s="4">
        <v>0</v>
      </c>
      <c r="AH117" s="4">
        <v>3</v>
      </c>
      <c r="AI117" s="4">
        <v>3</v>
      </c>
      <c r="AJ117" s="4">
        <v>0</v>
      </c>
      <c r="AK117" s="4">
        <v>0</v>
      </c>
      <c r="AL117" s="4">
        <v>2</v>
      </c>
      <c r="AM117" s="4">
        <v>2</v>
      </c>
      <c r="AN117" s="4">
        <v>0</v>
      </c>
      <c r="AO117" s="4">
        <v>0</v>
      </c>
      <c r="AP117" s="4">
        <v>0</v>
      </c>
      <c r="AQ117" s="4">
        <v>0</v>
      </c>
      <c r="AR117" s="3" t="s">
        <v>62</v>
      </c>
      <c r="AS117" s="3" t="s">
        <v>61</v>
      </c>
      <c r="AT117" s="3" t="s">
        <v>62</v>
      </c>
      <c r="AU117" s="6" t="str">
        <f t="shared" si="3"/>
        <v>HathiTrust Record</v>
      </c>
      <c r="AV117" s="6" t="str">
        <f t="shared" si="4"/>
        <v>Catalog Record</v>
      </c>
      <c r="AW117" s="6" t="str">
        <f t="shared" si="5"/>
        <v>WorldCat Record</v>
      </c>
      <c r="AX117" s="3" t="s">
        <v>1408</v>
      </c>
      <c r="AY117" s="3" t="s">
        <v>1409</v>
      </c>
      <c r="AZ117" s="3" t="s">
        <v>1410</v>
      </c>
      <c r="BA117" s="3" t="s">
        <v>1410</v>
      </c>
      <c r="BB117" s="3" t="s">
        <v>1439</v>
      </c>
      <c r="BC117" s="3" t="s">
        <v>102</v>
      </c>
      <c r="BD117" s="3" t="s">
        <v>68</v>
      </c>
      <c r="BF117" s="3" t="s">
        <v>1439</v>
      </c>
      <c r="BG117" s="3" t="s">
        <v>1440</v>
      </c>
    </row>
    <row r="118" spans="1:59" ht="58" x14ac:dyDescent="0.35">
      <c r="A118" s="2" t="s">
        <v>59</v>
      </c>
      <c r="B118" s="2" t="s">
        <v>60</v>
      </c>
      <c r="C118" s="2" t="s">
        <v>1399</v>
      </c>
      <c r="D118" s="2" t="s">
        <v>1400</v>
      </c>
      <c r="E118" s="2" t="s">
        <v>1401</v>
      </c>
      <c r="F118" s="3" t="s">
        <v>1441</v>
      </c>
      <c r="G118" s="3" t="s">
        <v>61</v>
      </c>
      <c r="I118" s="3" t="s">
        <v>61</v>
      </c>
      <c r="J118" s="3" t="s">
        <v>62</v>
      </c>
      <c r="K118" s="3" t="s">
        <v>63</v>
      </c>
      <c r="L118" s="2" t="s">
        <v>1403</v>
      </c>
      <c r="M118" s="2" t="s">
        <v>1404</v>
      </c>
      <c r="N118" s="3" t="s">
        <v>1405</v>
      </c>
      <c r="P118" s="3" t="s">
        <v>64</v>
      </c>
      <c r="Q118" s="2" t="s">
        <v>1406</v>
      </c>
      <c r="R118" s="3" t="s">
        <v>65</v>
      </c>
      <c r="S118" s="4">
        <v>0</v>
      </c>
      <c r="T118" s="4">
        <v>2</v>
      </c>
      <c r="V118" s="5" t="s">
        <v>1407</v>
      </c>
      <c r="W118" s="5" t="s">
        <v>67</v>
      </c>
      <c r="X118" s="5" t="s">
        <v>67</v>
      </c>
      <c r="Y118" s="4">
        <v>7</v>
      </c>
      <c r="Z118" s="4">
        <v>2</v>
      </c>
      <c r="AA118" s="4">
        <v>2</v>
      </c>
      <c r="AB118" s="4">
        <v>2</v>
      </c>
      <c r="AC118" s="4">
        <v>2</v>
      </c>
      <c r="AD118" s="4">
        <v>3</v>
      </c>
      <c r="AE118" s="4">
        <v>3</v>
      </c>
      <c r="AF118" s="4">
        <v>0</v>
      </c>
      <c r="AG118" s="4">
        <v>0</v>
      </c>
      <c r="AH118" s="4">
        <v>3</v>
      </c>
      <c r="AI118" s="4">
        <v>3</v>
      </c>
      <c r="AJ118" s="4">
        <v>0</v>
      </c>
      <c r="AK118" s="4">
        <v>0</v>
      </c>
      <c r="AL118" s="4">
        <v>2</v>
      </c>
      <c r="AM118" s="4">
        <v>2</v>
      </c>
      <c r="AN118" s="4">
        <v>0</v>
      </c>
      <c r="AO118" s="4">
        <v>0</v>
      </c>
      <c r="AP118" s="4">
        <v>0</v>
      </c>
      <c r="AQ118" s="4">
        <v>0</v>
      </c>
      <c r="AR118" s="3" t="s">
        <v>62</v>
      </c>
      <c r="AS118" s="3" t="s">
        <v>61</v>
      </c>
      <c r="AT118" s="3" t="s">
        <v>62</v>
      </c>
      <c r="AU118" s="6" t="str">
        <f t="shared" si="3"/>
        <v>HathiTrust Record</v>
      </c>
      <c r="AV118" s="6" t="str">
        <f t="shared" si="4"/>
        <v>Catalog Record</v>
      </c>
      <c r="AW118" s="6" t="str">
        <f t="shared" si="5"/>
        <v>WorldCat Record</v>
      </c>
      <c r="AX118" s="3" t="s">
        <v>1408</v>
      </c>
      <c r="AY118" s="3" t="s">
        <v>1409</v>
      </c>
      <c r="AZ118" s="3" t="s">
        <v>1410</v>
      </c>
      <c r="BA118" s="3" t="s">
        <v>1410</v>
      </c>
      <c r="BB118" s="3" t="s">
        <v>1442</v>
      </c>
      <c r="BC118" s="3" t="s">
        <v>102</v>
      </c>
      <c r="BD118" s="3" t="s">
        <v>68</v>
      </c>
      <c r="BF118" s="3" t="s">
        <v>1442</v>
      </c>
      <c r="BG118" s="3" t="s">
        <v>1443</v>
      </c>
    </row>
    <row r="119" spans="1:59" ht="58" x14ac:dyDescent="0.35">
      <c r="A119" s="2" t="s">
        <v>59</v>
      </c>
      <c r="B119" s="2" t="s">
        <v>60</v>
      </c>
      <c r="C119" s="2" t="s">
        <v>1399</v>
      </c>
      <c r="D119" s="2" t="s">
        <v>1400</v>
      </c>
      <c r="E119" s="2" t="s">
        <v>1401</v>
      </c>
      <c r="F119" s="3" t="s">
        <v>1444</v>
      </c>
      <c r="G119" s="3" t="s">
        <v>61</v>
      </c>
      <c r="I119" s="3" t="s">
        <v>61</v>
      </c>
      <c r="J119" s="3" t="s">
        <v>62</v>
      </c>
      <c r="K119" s="3" t="s">
        <v>63</v>
      </c>
      <c r="L119" s="2" t="s">
        <v>1403</v>
      </c>
      <c r="M119" s="2" t="s">
        <v>1404</v>
      </c>
      <c r="N119" s="3" t="s">
        <v>1405</v>
      </c>
      <c r="P119" s="3" t="s">
        <v>64</v>
      </c>
      <c r="Q119" s="2" t="s">
        <v>1406</v>
      </c>
      <c r="R119" s="3" t="s">
        <v>65</v>
      </c>
      <c r="S119" s="4">
        <v>0</v>
      </c>
      <c r="T119" s="4">
        <v>2</v>
      </c>
      <c r="V119" s="5" t="s">
        <v>1407</v>
      </c>
      <c r="W119" s="5" t="s">
        <v>67</v>
      </c>
      <c r="X119" s="5" t="s">
        <v>67</v>
      </c>
      <c r="Y119" s="4">
        <v>7</v>
      </c>
      <c r="Z119" s="4">
        <v>2</v>
      </c>
      <c r="AA119" s="4">
        <v>2</v>
      </c>
      <c r="AB119" s="4">
        <v>2</v>
      </c>
      <c r="AC119" s="4">
        <v>2</v>
      </c>
      <c r="AD119" s="4">
        <v>3</v>
      </c>
      <c r="AE119" s="4">
        <v>3</v>
      </c>
      <c r="AF119" s="4">
        <v>0</v>
      </c>
      <c r="AG119" s="4">
        <v>0</v>
      </c>
      <c r="AH119" s="4">
        <v>3</v>
      </c>
      <c r="AI119" s="4">
        <v>3</v>
      </c>
      <c r="AJ119" s="4">
        <v>0</v>
      </c>
      <c r="AK119" s="4">
        <v>0</v>
      </c>
      <c r="AL119" s="4">
        <v>2</v>
      </c>
      <c r="AM119" s="4">
        <v>2</v>
      </c>
      <c r="AN119" s="4">
        <v>0</v>
      </c>
      <c r="AO119" s="4">
        <v>0</v>
      </c>
      <c r="AP119" s="4">
        <v>0</v>
      </c>
      <c r="AQ119" s="4">
        <v>0</v>
      </c>
      <c r="AR119" s="3" t="s">
        <v>62</v>
      </c>
      <c r="AS119" s="3" t="s">
        <v>61</v>
      </c>
      <c r="AT119" s="3" t="s">
        <v>62</v>
      </c>
      <c r="AU119" s="6" t="str">
        <f t="shared" si="3"/>
        <v>HathiTrust Record</v>
      </c>
      <c r="AV119" s="6" t="str">
        <f t="shared" si="4"/>
        <v>Catalog Record</v>
      </c>
      <c r="AW119" s="6" t="str">
        <f t="shared" si="5"/>
        <v>WorldCat Record</v>
      </c>
      <c r="AX119" s="3" t="s">
        <v>1408</v>
      </c>
      <c r="AY119" s="3" t="s">
        <v>1409</v>
      </c>
      <c r="AZ119" s="3" t="s">
        <v>1410</v>
      </c>
      <c r="BA119" s="3" t="s">
        <v>1410</v>
      </c>
      <c r="BB119" s="3" t="s">
        <v>1445</v>
      </c>
      <c r="BC119" s="3" t="s">
        <v>102</v>
      </c>
      <c r="BD119" s="3" t="s">
        <v>68</v>
      </c>
      <c r="BF119" s="3" t="s">
        <v>1445</v>
      </c>
      <c r="BG119" s="3" t="s">
        <v>1446</v>
      </c>
    </row>
    <row r="120" spans="1:59" ht="58" x14ac:dyDescent="0.35">
      <c r="A120" s="2" t="s">
        <v>59</v>
      </c>
      <c r="B120" s="2" t="s">
        <v>60</v>
      </c>
      <c r="C120" s="2" t="s">
        <v>1399</v>
      </c>
      <c r="D120" s="2" t="s">
        <v>1400</v>
      </c>
      <c r="E120" s="2" t="s">
        <v>1401</v>
      </c>
      <c r="F120" s="3" t="s">
        <v>1447</v>
      </c>
      <c r="G120" s="3" t="s">
        <v>61</v>
      </c>
      <c r="I120" s="3" t="s">
        <v>61</v>
      </c>
      <c r="J120" s="3" t="s">
        <v>62</v>
      </c>
      <c r="K120" s="3" t="s">
        <v>63</v>
      </c>
      <c r="L120" s="2" t="s">
        <v>1403</v>
      </c>
      <c r="M120" s="2" t="s">
        <v>1404</v>
      </c>
      <c r="N120" s="3" t="s">
        <v>1405</v>
      </c>
      <c r="P120" s="3" t="s">
        <v>64</v>
      </c>
      <c r="Q120" s="2" t="s">
        <v>1406</v>
      </c>
      <c r="R120" s="3" t="s">
        <v>65</v>
      </c>
      <c r="S120" s="4">
        <v>0</v>
      </c>
      <c r="T120" s="4">
        <v>2</v>
      </c>
      <c r="V120" s="5" t="s">
        <v>1407</v>
      </c>
      <c r="W120" s="5" t="s">
        <v>67</v>
      </c>
      <c r="X120" s="5" t="s">
        <v>67</v>
      </c>
      <c r="Y120" s="4">
        <v>7</v>
      </c>
      <c r="Z120" s="4">
        <v>2</v>
      </c>
      <c r="AA120" s="4">
        <v>2</v>
      </c>
      <c r="AB120" s="4">
        <v>2</v>
      </c>
      <c r="AC120" s="4">
        <v>2</v>
      </c>
      <c r="AD120" s="4">
        <v>3</v>
      </c>
      <c r="AE120" s="4">
        <v>3</v>
      </c>
      <c r="AF120" s="4">
        <v>0</v>
      </c>
      <c r="AG120" s="4">
        <v>0</v>
      </c>
      <c r="AH120" s="4">
        <v>3</v>
      </c>
      <c r="AI120" s="4">
        <v>3</v>
      </c>
      <c r="AJ120" s="4">
        <v>0</v>
      </c>
      <c r="AK120" s="4">
        <v>0</v>
      </c>
      <c r="AL120" s="4">
        <v>2</v>
      </c>
      <c r="AM120" s="4">
        <v>2</v>
      </c>
      <c r="AN120" s="4">
        <v>0</v>
      </c>
      <c r="AO120" s="4">
        <v>0</v>
      </c>
      <c r="AP120" s="4">
        <v>0</v>
      </c>
      <c r="AQ120" s="4">
        <v>0</v>
      </c>
      <c r="AR120" s="3" t="s">
        <v>62</v>
      </c>
      <c r="AS120" s="3" t="s">
        <v>61</v>
      </c>
      <c r="AT120" s="3" t="s">
        <v>62</v>
      </c>
      <c r="AU120" s="6" t="str">
        <f t="shared" si="3"/>
        <v>HathiTrust Record</v>
      </c>
      <c r="AV120" s="6" t="str">
        <f t="shared" si="4"/>
        <v>Catalog Record</v>
      </c>
      <c r="AW120" s="6" t="str">
        <f t="shared" si="5"/>
        <v>WorldCat Record</v>
      </c>
      <c r="AX120" s="3" t="s">
        <v>1408</v>
      </c>
      <c r="AY120" s="3" t="s">
        <v>1409</v>
      </c>
      <c r="AZ120" s="3" t="s">
        <v>1410</v>
      </c>
      <c r="BA120" s="3" t="s">
        <v>1410</v>
      </c>
      <c r="BB120" s="3" t="s">
        <v>1448</v>
      </c>
      <c r="BC120" s="3" t="s">
        <v>102</v>
      </c>
      <c r="BD120" s="3" t="s">
        <v>68</v>
      </c>
      <c r="BF120" s="3" t="s">
        <v>1448</v>
      </c>
      <c r="BG120" s="3" t="s">
        <v>1449</v>
      </c>
    </row>
    <row r="121" spans="1:59" ht="58" x14ac:dyDescent="0.35">
      <c r="A121" s="2" t="s">
        <v>89</v>
      </c>
      <c r="B121" s="2" t="s">
        <v>90</v>
      </c>
      <c r="C121" s="2" t="s">
        <v>1450</v>
      </c>
      <c r="D121" s="2" t="s">
        <v>1451</v>
      </c>
      <c r="E121" s="2" t="s">
        <v>1452</v>
      </c>
      <c r="G121" s="3" t="s">
        <v>62</v>
      </c>
      <c r="I121" s="3" t="s">
        <v>62</v>
      </c>
      <c r="J121" s="3" t="s">
        <v>62</v>
      </c>
      <c r="K121" s="3" t="s">
        <v>63</v>
      </c>
      <c r="L121" s="2" t="s">
        <v>1453</v>
      </c>
      <c r="M121" s="2" t="s">
        <v>1454</v>
      </c>
      <c r="N121" s="3" t="s">
        <v>1455</v>
      </c>
      <c r="P121" s="3" t="s">
        <v>64</v>
      </c>
      <c r="R121" s="3" t="s">
        <v>65</v>
      </c>
      <c r="S121" s="4">
        <v>0</v>
      </c>
      <c r="T121" s="4">
        <v>0</v>
      </c>
      <c r="W121" s="5" t="s">
        <v>67</v>
      </c>
      <c r="X121" s="5" t="s">
        <v>67</v>
      </c>
      <c r="Y121" s="4">
        <v>316</v>
      </c>
      <c r="Z121" s="4">
        <v>16</v>
      </c>
      <c r="AA121" s="4">
        <v>17</v>
      </c>
      <c r="AB121" s="4">
        <v>3</v>
      </c>
      <c r="AC121" s="4">
        <v>4</v>
      </c>
      <c r="AD121" s="4">
        <v>74</v>
      </c>
      <c r="AE121" s="4">
        <v>74</v>
      </c>
      <c r="AF121" s="4">
        <v>1</v>
      </c>
      <c r="AG121" s="4">
        <v>1</v>
      </c>
      <c r="AH121" s="4">
        <v>69</v>
      </c>
      <c r="AI121" s="4">
        <v>69</v>
      </c>
      <c r="AJ121" s="4">
        <v>8</v>
      </c>
      <c r="AK121" s="4">
        <v>8</v>
      </c>
      <c r="AL121" s="4">
        <v>41</v>
      </c>
      <c r="AM121" s="4">
        <v>41</v>
      </c>
      <c r="AN121" s="4">
        <v>0</v>
      </c>
      <c r="AO121" s="4">
        <v>0</v>
      </c>
      <c r="AP121" s="4">
        <v>9</v>
      </c>
      <c r="AQ121" s="4">
        <v>9</v>
      </c>
      <c r="AR121" s="3" t="s">
        <v>62</v>
      </c>
      <c r="AS121" s="3" t="s">
        <v>62</v>
      </c>
      <c r="AT121" s="3" t="s">
        <v>62</v>
      </c>
      <c r="AV121" s="6" t="str">
        <f>HYPERLINK("http://mcgill.on.worldcat.org/oclc/881207926","Catalog Record")</f>
        <v>Catalog Record</v>
      </c>
      <c r="AW121" s="6" t="str">
        <f>HYPERLINK("http://www.worldcat.org/oclc/881207926","WorldCat Record")</f>
        <v>WorldCat Record</v>
      </c>
      <c r="AX121" s="3" t="s">
        <v>1456</v>
      </c>
      <c r="AY121" s="3" t="s">
        <v>1457</v>
      </c>
      <c r="AZ121" s="3" t="s">
        <v>1458</v>
      </c>
      <c r="BA121" s="3" t="s">
        <v>1458</v>
      </c>
      <c r="BB121" s="3" t="s">
        <v>1459</v>
      </c>
      <c r="BC121" s="3" t="s">
        <v>102</v>
      </c>
      <c r="BD121" s="3" t="s">
        <v>68</v>
      </c>
      <c r="BE121" s="3" t="s">
        <v>1460</v>
      </c>
      <c r="BF121" s="3" t="s">
        <v>1459</v>
      </c>
      <c r="BG121" s="3" t="s">
        <v>1461</v>
      </c>
    </row>
    <row r="122" spans="1:59" ht="58" x14ac:dyDescent="0.35">
      <c r="A122" s="2" t="s">
        <v>59</v>
      </c>
      <c r="B122" s="2" t="s">
        <v>60</v>
      </c>
      <c r="C122" s="2" t="s">
        <v>1462</v>
      </c>
      <c r="D122" s="2" t="s">
        <v>1463</v>
      </c>
      <c r="E122" s="2" t="s">
        <v>1464</v>
      </c>
      <c r="G122" s="3" t="s">
        <v>62</v>
      </c>
      <c r="I122" s="3" t="s">
        <v>61</v>
      </c>
      <c r="J122" s="3" t="s">
        <v>62</v>
      </c>
      <c r="K122" s="3" t="s">
        <v>63</v>
      </c>
      <c r="L122" s="2" t="s">
        <v>1465</v>
      </c>
      <c r="M122" s="2" t="s">
        <v>1466</v>
      </c>
      <c r="N122" s="3" t="s">
        <v>1467</v>
      </c>
      <c r="P122" s="3" t="s">
        <v>64</v>
      </c>
      <c r="Q122" s="2" t="s">
        <v>1468</v>
      </c>
      <c r="R122" s="3" t="s">
        <v>65</v>
      </c>
      <c r="S122" s="4">
        <v>0</v>
      </c>
      <c r="T122" s="4">
        <v>5</v>
      </c>
      <c r="V122" s="5" t="s">
        <v>1469</v>
      </c>
      <c r="W122" s="5" t="s">
        <v>67</v>
      </c>
      <c r="X122" s="5" t="s">
        <v>67</v>
      </c>
      <c r="Y122" s="4">
        <v>2</v>
      </c>
      <c r="Z122" s="4">
        <v>2</v>
      </c>
      <c r="AA122" s="4">
        <v>2</v>
      </c>
      <c r="AB122" s="4">
        <v>1</v>
      </c>
      <c r="AC122" s="4">
        <v>1</v>
      </c>
      <c r="AD122" s="4">
        <v>0</v>
      </c>
      <c r="AE122" s="4">
        <v>0</v>
      </c>
      <c r="AF122" s="4">
        <v>0</v>
      </c>
      <c r="AG122" s="4">
        <v>0</v>
      </c>
      <c r="AH122" s="4">
        <v>0</v>
      </c>
      <c r="AI122" s="4">
        <v>0</v>
      </c>
      <c r="AJ122" s="4">
        <v>0</v>
      </c>
      <c r="AK122" s="4">
        <v>0</v>
      </c>
      <c r="AL122" s="4">
        <v>0</v>
      </c>
      <c r="AM122" s="4">
        <v>0</v>
      </c>
      <c r="AN122" s="4">
        <v>0</v>
      </c>
      <c r="AO122" s="4">
        <v>0</v>
      </c>
      <c r="AP122" s="4">
        <v>0</v>
      </c>
      <c r="AQ122" s="4">
        <v>0</v>
      </c>
      <c r="AR122" s="3" t="s">
        <v>61</v>
      </c>
      <c r="AS122" s="3" t="s">
        <v>62</v>
      </c>
      <c r="AT122" s="3" t="s">
        <v>62</v>
      </c>
      <c r="AV122" s="6" t="str">
        <f>HYPERLINK("http://mcgill.on.worldcat.org/oclc/61630867","Catalog Record")</f>
        <v>Catalog Record</v>
      </c>
      <c r="AW122" s="6" t="str">
        <f>HYPERLINK("http://www.worldcat.org/oclc/61630867","WorldCat Record")</f>
        <v>WorldCat Record</v>
      </c>
      <c r="AX122" s="3" t="s">
        <v>1470</v>
      </c>
      <c r="AY122" s="3" t="s">
        <v>1471</v>
      </c>
      <c r="AZ122" s="3" t="s">
        <v>1472</v>
      </c>
      <c r="BA122" s="3" t="s">
        <v>1472</v>
      </c>
      <c r="BB122" s="3" t="s">
        <v>1473</v>
      </c>
      <c r="BC122" s="3" t="s">
        <v>102</v>
      </c>
      <c r="BD122" s="3" t="s">
        <v>68</v>
      </c>
      <c r="BF122" s="3" t="s">
        <v>1473</v>
      </c>
      <c r="BG122" s="3" t="s">
        <v>1474</v>
      </c>
    </row>
    <row r="123" spans="1:59" ht="58" x14ac:dyDescent="0.35">
      <c r="A123" s="2" t="s">
        <v>59</v>
      </c>
      <c r="B123" s="2" t="s">
        <v>60</v>
      </c>
      <c r="C123" s="2" t="s">
        <v>1462</v>
      </c>
      <c r="D123" s="2" t="s">
        <v>1463</v>
      </c>
      <c r="E123" s="2" t="s">
        <v>1464</v>
      </c>
      <c r="G123" s="3" t="s">
        <v>62</v>
      </c>
      <c r="I123" s="3" t="s">
        <v>61</v>
      </c>
      <c r="J123" s="3" t="s">
        <v>62</v>
      </c>
      <c r="K123" s="3" t="s">
        <v>63</v>
      </c>
      <c r="L123" s="2" t="s">
        <v>1465</v>
      </c>
      <c r="M123" s="2" t="s">
        <v>1466</v>
      </c>
      <c r="N123" s="3" t="s">
        <v>1467</v>
      </c>
      <c r="P123" s="3" t="s">
        <v>64</v>
      </c>
      <c r="Q123" s="2" t="s">
        <v>1468</v>
      </c>
      <c r="R123" s="3" t="s">
        <v>65</v>
      </c>
      <c r="S123" s="4">
        <v>0</v>
      </c>
      <c r="T123" s="4">
        <v>5</v>
      </c>
      <c r="V123" s="5" t="s">
        <v>1469</v>
      </c>
      <c r="W123" s="5" t="s">
        <v>67</v>
      </c>
      <c r="X123" s="5" t="s">
        <v>67</v>
      </c>
      <c r="Y123" s="4">
        <v>2</v>
      </c>
      <c r="Z123" s="4">
        <v>2</v>
      </c>
      <c r="AA123" s="4">
        <v>2</v>
      </c>
      <c r="AB123" s="4">
        <v>1</v>
      </c>
      <c r="AC123" s="4">
        <v>1</v>
      </c>
      <c r="AD123" s="4">
        <v>0</v>
      </c>
      <c r="AE123" s="4">
        <v>0</v>
      </c>
      <c r="AF123" s="4">
        <v>0</v>
      </c>
      <c r="AG123" s="4">
        <v>0</v>
      </c>
      <c r="AH123" s="4">
        <v>0</v>
      </c>
      <c r="AI123" s="4">
        <v>0</v>
      </c>
      <c r="AJ123" s="4">
        <v>0</v>
      </c>
      <c r="AK123" s="4">
        <v>0</v>
      </c>
      <c r="AL123" s="4">
        <v>0</v>
      </c>
      <c r="AM123" s="4">
        <v>0</v>
      </c>
      <c r="AN123" s="4">
        <v>0</v>
      </c>
      <c r="AO123" s="4">
        <v>0</v>
      </c>
      <c r="AP123" s="4">
        <v>0</v>
      </c>
      <c r="AQ123" s="4">
        <v>0</v>
      </c>
      <c r="AR123" s="3" t="s">
        <v>61</v>
      </c>
      <c r="AS123" s="3" t="s">
        <v>62</v>
      </c>
      <c r="AT123" s="3" t="s">
        <v>62</v>
      </c>
      <c r="AV123" s="6" t="str">
        <f>HYPERLINK("http://mcgill.on.worldcat.org/oclc/61630867","Catalog Record")</f>
        <v>Catalog Record</v>
      </c>
      <c r="AW123" s="6" t="str">
        <f>HYPERLINK("http://www.worldcat.org/oclc/61630867","WorldCat Record")</f>
        <v>WorldCat Record</v>
      </c>
      <c r="AX123" s="3" t="s">
        <v>1470</v>
      </c>
      <c r="AY123" s="3" t="s">
        <v>1471</v>
      </c>
      <c r="AZ123" s="3" t="s">
        <v>1472</v>
      </c>
      <c r="BA123" s="3" t="s">
        <v>1472</v>
      </c>
      <c r="BB123" s="3" t="s">
        <v>1475</v>
      </c>
      <c r="BC123" s="3" t="s">
        <v>102</v>
      </c>
      <c r="BD123" s="3" t="s">
        <v>68</v>
      </c>
      <c r="BF123" s="3" t="s">
        <v>1475</v>
      </c>
      <c r="BG123" s="3" t="s">
        <v>1476</v>
      </c>
    </row>
    <row r="124" spans="1:59" ht="72.5" x14ac:dyDescent="0.35">
      <c r="A124" s="2" t="s">
        <v>59</v>
      </c>
      <c r="B124" s="2" t="s">
        <v>60</v>
      </c>
      <c r="C124" s="2" t="s">
        <v>1477</v>
      </c>
      <c r="D124" s="2" t="s">
        <v>1478</v>
      </c>
      <c r="E124" s="2" t="s">
        <v>1479</v>
      </c>
      <c r="F124" s="3" t="s">
        <v>1480</v>
      </c>
      <c r="G124" s="3" t="s">
        <v>62</v>
      </c>
      <c r="I124" s="3" t="s">
        <v>62</v>
      </c>
      <c r="J124" s="3" t="s">
        <v>62</v>
      </c>
      <c r="K124" s="3" t="s">
        <v>63</v>
      </c>
      <c r="M124" s="2" t="s">
        <v>1481</v>
      </c>
      <c r="N124" s="3" t="s">
        <v>1482</v>
      </c>
      <c r="P124" s="3" t="s">
        <v>64</v>
      </c>
      <c r="Q124" s="2" t="s">
        <v>1483</v>
      </c>
      <c r="R124" s="3" t="s">
        <v>65</v>
      </c>
      <c r="S124" s="4">
        <v>1</v>
      </c>
      <c r="T124" s="4">
        <v>1</v>
      </c>
      <c r="U124" s="5" t="s">
        <v>1484</v>
      </c>
      <c r="V124" s="5" t="s">
        <v>1484</v>
      </c>
      <c r="W124" s="5" t="s">
        <v>67</v>
      </c>
      <c r="X124" s="5" t="s">
        <v>67</v>
      </c>
      <c r="Y124" s="4">
        <v>34</v>
      </c>
      <c r="Z124" s="4">
        <v>7</v>
      </c>
      <c r="AA124" s="4">
        <v>8</v>
      </c>
      <c r="AB124" s="4">
        <v>1</v>
      </c>
      <c r="AC124" s="4">
        <v>1</v>
      </c>
      <c r="AD124" s="4">
        <v>20</v>
      </c>
      <c r="AE124" s="4">
        <v>21</v>
      </c>
      <c r="AF124" s="4">
        <v>0</v>
      </c>
      <c r="AG124" s="4">
        <v>0</v>
      </c>
      <c r="AH124" s="4">
        <v>18</v>
      </c>
      <c r="AI124" s="4">
        <v>19</v>
      </c>
      <c r="AJ124" s="4">
        <v>6</v>
      </c>
      <c r="AK124" s="4">
        <v>7</v>
      </c>
      <c r="AL124" s="4">
        <v>10</v>
      </c>
      <c r="AM124" s="4">
        <v>10</v>
      </c>
      <c r="AN124" s="4">
        <v>0</v>
      </c>
      <c r="AO124" s="4">
        <v>0</v>
      </c>
      <c r="AP124" s="4">
        <v>6</v>
      </c>
      <c r="AQ124" s="4">
        <v>7</v>
      </c>
      <c r="AR124" s="3" t="s">
        <v>62</v>
      </c>
      <c r="AS124" s="3" t="s">
        <v>62</v>
      </c>
      <c r="AT124" s="3" t="s">
        <v>62</v>
      </c>
      <c r="AV124" s="6" t="str">
        <f>HYPERLINK("http://mcgill.on.worldcat.org/oclc/15139334","Catalog Record")</f>
        <v>Catalog Record</v>
      </c>
      <c r="AW124" s="6" t="str">
        <f>HYPERLINK("http://www.worldcat.org/oclc/15139334","WorldCat Record")</f>
        <v>WorldCat Record</v>
      </c>
      <c r="AX124" s="3" t="s">
        <v>1485</v>
      </c>
      <c r="AY124" s="3" t="s">
        <v>1486</v>
      </c>
      <c r="AZ124" s="3" t="s">
        <v>1487</v>
      </c>
      <c r="BA124" s="3" t="s">
        <v>1487</v>
      </c>
      <c r="BB124" s="3" t="s">
        <v>1488</v>
      </c>
      <c r="BC124" s="3" t="s">
        <v>102</v>
      </c>
      <c r="BD124" s="3" t="s">
        <v>68</v>
      </c>
      <c r="BE124" s="3" t="s">
        <v>1489</v>
      </c>
      <c r="BF124" s="3" t="s">
        <v>1488</v>
      </c>
      <c r="BG124" s="3" t="s">
        <v>1490</v>
      </c>
    </row>
    <row r="125" spans="1:59" ht="72.5" x14ac:dyDescent="0.35">
      <c r="A125" s="2" t="s">
        <v>89</v>
      </c>
      <c r="B125" s="2" t="s">
        <v>90</v>
      </c>
      <c r="C125" s="2" t="s">
        <v>1491</v>
      </c>
      <c r="D125" s="2" t="s">
        <v>1492</v>
      </c>
      <c r="E125" s="2" t="s">
        <v>1493</v>
      </c>
      <c r="F125" s="3" t="s">
        <v>1494</v>
      </c>
      <c r="G125" s="3" t="s">
        <v>62</v>
      </c>
      <c r="I125" s="3" t="s">
        <v>62</v>
      </c>
      <c r="J125" s="3" t="s">
        <v>62</v>
      </c>
      <c r="K125" s="3" t="s">
        <v>63</v>
      </c>
      <c r="L125" s="2" t="s">
        <v>1495</v>
      </c>
      <c r="M125" s="2" t="s">
        <v>1496</v>
      </c>
      <c r="N125" s="3" t="s">
        <v>1195</v>
      </c>
      <c r="P125" s="3" t="s">
        <v>64</v>
      </c>
      <c r="Q125" s="2" t="s">
        <v>1497</v>
      </c>
      <c r="R125" s="3" t="s">
        <v>65</v>
      </c>
      <c r="S125" s="4">
        <v>1</v>
      </c>
      <c r="T125" s="4">
        <v>1</v>
      </c>
      <c r="U125" s="5" t="s">
        <v>1498</v>
      </c>
      <c r="V125" s="5" t="s">
        <v>1498</v>
      </c>
      <c r="W125" s="5" t="s">
        <v>67</v>
      </c>
      <c r="X125" s="5" t="s">
        <v>67</v>
      </c>
      <c r="Y125" s="4">
        <v>29</v>
      </c>
      <c r="Z125" s="4">
        <v>5</v>
      </c>
      <c r="AA125" s="4">
        <v>7</v>
      </c>
      <c r="AB125" s="4">
        <v>2</v>
      </c>
      <c r="AC125" s="4">
        <v>2</v>
      </c>
      <c r="AD125" s="4">
        <v>14</v>
      </c>
      <c r="AE125" s="4">
        <v>22</v>
      </c>
      <c r="AF125" s="4">
        <v>0</v>
      </c>
      <c r="AG125" s="4">
        <v>0</v>
      </c>
      <c r="AH125" s="4">
        <v>13</v>
      </c>
      <c r="AI125" s="4">
        <v>19</v>
      </c>
      <c r="AJ125" s="4">
        <v>3</v>
      </c>
      <c r="AK125" s="4">
        <v>5</v>
      </c>
      <c r="AL125" s="4">
        <v>9</v>
      </c>
      <c r="AM125" s="4">
        <v>12</v>
      </c>
      <c r="AN125" s="4">
        <v>0</v>
      </c>
      <c r="AO125" s="4">
        <v>0</v>
      </c>
      <c r="AP125" s="4">
        <v>3</v>
      </c>
      <c r="AQ125" s="4">
        <v>5</v>
      </c>
      <c r="AR125" s="3" t="s">
        <v>62</v>
      </c>
      <c r="AS125" s="3" t="s">
        <v>62</v>
      </c>
      <c r="AT125" s="3" t="s">
        <v>62</v>
      </c>
      <c r="AV125" s="6" t="str">
        <f>HYPERLINK("http://mcgill.on.worldcat.org/oclc/79447667","Catalog Record")</f>
        <v>Catalog Record</v>
      </c>
      <c r="AW125" s="6" t="str">
        <f>HYPERLINK("http://www.worldcat.org/oclc/79447667","WorldCat Record")</f>
        <v>WorldCat Record</v>
      </c>
      <c r="AX125" s="3" t="s">
        <v>1499</v>
      </c>
      <c r="AY125" s="3" t="s">
        <v>1500</v>
      </c>
      <c r="AZ125" s="3" t="s">
        <v>1501</v>
      </c>
      <c r="BA125" s="3" t="s">
        <v>1501</v>
      </c>
      <c r="BB125" s="3" t="s">
        <v>1502</v>
      </c>
      <c r="BC125" s="3" t="s">
        <v>102</v>
      </c>
      <c r="BD125" s="3" t="s">
        <v>68</v>
      </c>
      <c r="BE125" s="3" t="s">
        <v>1503</v>
      </c>
      <c r="BF125" s="3" t="s">
        <v>1502</v>
      </c>
      <c r="BG125" s="3" t="s">
        <v>1504</v>
      </c>
    </row>
    <row r="126" spans="1:59" ht="72.5" x14ac:dyDescent="0.35">
      <c r="A126" s="2" t="s">
        <v>89</v>
      </c>
      <c r="B126" s="2" t="s">
        <v>90</v>
      </c>
      <c r="C126" s="2" t="s">
        <v>1505</v>
      </c>
      <c r="D126" s="2" t="s">
        <v>1506</v>
      </c>
      <c r="E126" s="2" t="s">
        <v>1507</v>
      </c>
      <c r="F126" s="3" t="s">
        <v>1508</v>
      </c>
      <c r="G126" s="3" t="s">
        <v>62</v>
      </c>
      <c r="I126" s="3" t="s">
        <v>62</v>
      </c>
      <c r="J126" s="3" t="s">
        <v>62</v>
      </c>
      <c r="K126" s="3" t="s">
        <v>63</v>
      </c>
      <c r="L126" s="2" t="s">
        <v>1509</v>
      </c>
      <c r="M126" s="2" t="s">
        <v>1510</v>
      </c>
      <c r="N126" s="3" t="s">
        <v>1195</v>
      </c>
      <c r="P126" s="3" t="s">
        <v>64</v>
      </c>
      <c r="Q126" s="2" t="s">
        <v>1511</v>
      </c>
      <c r="R126" s="3" t="s">
        <v>65</v>
      </c>
      <c r="S126" s="4">
        <v>2</v>
      </c>
      <c r="T126" s="4">
        <v>2</v>
      </c>
      <c r="U126" s="5" t="s">
        <v>1512</v>
      </c>
      <c r="V126" s="5" t="s">
        <v>1512</v>
      </c>
      <c r="W126" s="5" t="s">
        <v>67</v>
      </c>
      <c r="X126" s="5" t="s">
        <v>67</v>
      </c>
      <c r="Y126" s="4">
        <v>28</v>
      </c>
      <c r="Z126" s="4">
        <v>5</v>
      </c>
      <c r="AA126" s="4">
        <v>7</v>
      </c>
      <c r="AB126" s="4">
        <v>2</v>
      </c>
      <c r="AC126" s="4">
        <v>2</v>
      </c>
      <c r="AD126" s="4">
        <v>15</v>
      </c>
      <c r="AE126" s="4">
        <v>23</v>
      </c>
      <c r="AF126" s="4">
        <v>0</v>
      </c>
      <c r="AG126" s="4">
        <v>0</v>
      </c>
      <c r="AH126" s="4">
        <v>13</v>
      </c>
      <c r="AI126" s="4">
        <v>19</v>
      </c>
      <c r="AJ126" s="4">
        <v>3</v>
      </c>
      <c r="AK126" s="4">
        <v>5</v>
      </c>
      <c r="AL126" s="4">
        <v>8</v>
      </c>
      <c r="AM126" s="4">
        <v>11</v>
      </c>
      <c r="AN126" s="4">
        <v>0</v>
      </c>
      <c r="AO126" s="4">
        <v>0</v>
      </c>
      <c r="AP126" s="4">
        <v>3</v>
      </c>
      <c r="AQ126" s="4">
        <v>5</v>
      </c>
      <c r="AR126" s="3" t="s">
        <v>62</v>
      </c>
      <c r="AS126" s="3" t="s">
        <v>62</v>
      </c>
      <c r="AT126" s="3" t="s">
        <v>62</v>
      </c>
      <c r="AV126" s="6" t="str">
        <f>HYPERLINK("http://mcgill.on.worldcat.org/oclc/180751663","Catalog Record")</f>
        <v>Catalog Record</v>
      </c>
      <c r="AW126" s="6" t="str">
        <f>HYPERLINK("http://www.worldcat.org/oclc/180751663","WorldCat Record")</f>
        <v>WorldCat Record</v>
      </c>
      <c r="AX126" s="3" t="s">
        <v>1513</v>
      </c>
      <c r="AY126" s="3" t="s">
        <v>1514</v>
      </c>
      <c r="AZ126" s="3" t="s">
        <v>1515</v>
      </c>
      <c r="BA126" s="3" t="s">
        <v>1515</v>
      </c>
      <c r="BB126" s="3" t="s">
        <v>1516</v>
      </c>
      <c r="BC126" s="3" t="s">
        <v>102</v>
      </c>
      <c r="BD126" s="3" t="s">
        <v>68</v>
      </c>
      <c r="BE126" s="3" t="s">
        <v>1517</v>
      </c>
      <c r="BF126" s="3" t="s">
        <v>1516</v>
      </c>
      <c r="BG126" s="3" t="s">
        <v>1518</v>
      </c>
    </row>
    <row r="127" spans="1:59" ht="72.5" x14ac:dyDescent="0.35">
      <c r="A127" s="2" t="s">
        <v>89</v>
      </c>
      <c r="B127" s="2" t="s">
        <v>90</v>
      </c>
      <c r="C127" s="2" t="s">
        <v>1519</v>
      </c>
      <c r="D127" s="2" t="s">
        <v>1520</v>
      </c>
      <c r="E127" s="2" t="s">
        <v>1521</v>
      </c>
      <c r="F127" s="3" t="s">
        <v>1522</v>
      </c>
      <c r="G127" s="3" t="s">
        <v>62</v>
      </c>
      <c r="I127" s="3" t="s">
        <v>62</v>
      </c>
      <c r="J127" s="3" t="s">
        <v>62</v>
      </c>
      <c r="K127" s="3" t="s">
        <v>63</v>
      </c>
      <c r="L127" s="2" t="s">
        <v>1523</v>
      </c>
      <c r="M127" s="2" t="s">
        <v>1524</v>
      </c>
      <c r="N127" s="3" t="s">
        <v>684</v>
      </c>
      <c r="P127" s="3" t="s">
        <v>64</v>
      </c>
      <c r="Q127" s="2" t="s">
        <v>1525</v>
      </c>
      <c r="R127" s="3" t="s">
        <v>65</v>
      </c>
      <c r="S127" s="4">
        <v>2</v>
      </c>
      <c r="T127" s="4">
        <v>2</v>
      </c>
      <c r="U127" s="5" t="s">
        <v>1526</v>
      </c>
      <c r="V127" s="5" t="s">
        <v>1526</v>
      </c>
      <c r="W127" s="5" t="s">
        <v>67</v>
      </c>
      <c r="X127" s="5" t="s">
        <v>67</v>
      </c>
      <c r="Y127" s="4">
        <v>12</v>
      </c>
      <c r="Z127" s="4">
        <v>3</v>
      </c>
      <c r="AA127" s="4">
        <v>14</v>
      </c>
      <c r="AB127" s="4">
        <v>2</v>
      </c>
      <c r="AC127" s="4">
        <v>2</v>
      </c>
      <c r="AD127" s="4">
        <v>2</v>
      </c>
      <c r="AE127" s="4">
        <v>34</v>
      </c>
      <c r="AF127" s="4">
        <v>0</v>
      </c>
      <c r="AG127" s="4">
        <v>0</v>
      </c>
      <c r="AH127" s="4">
        <v>1</v>
      </c>
      <c r="AI127" s="4">
        <v>28</v>
      </c>
      <c r="AJ127" s="4">
        <v>0</v>
      </c>
      <c r="AK127" s="4">
        <v>6</v>
      </c>
      <c r="AL127" s="4">
        <v>0</v>
      </c>
      <c r="AM127" s="4">
        <v>17</v>
      </c>
      <c r="AN127" s="4">
        <v>0</v>
      </c>
      <c r="AO127" s="4">
        <v>0</v>
      </c>
      <c r="AP127" s="4">
        <v>1</v>
      </c>
      <c r="AQ127" s="4">
        <v>9</v>
      </c>
      <c r="AR127" s="3" t="s">
        <v>62</v>
      </c>
      <c r="AS127" s="3" t="s">
        <v>62</v>
      </c>
      <c r="AT127" s="3" t="s">
        <v>62</v>
      </c>
      <c r="AV127" s="6" t="str">
        <f>HYPERLINK("http://mcgill.on.worldcat.org/oclc/649804710","Catalog Record")</f>
        <v>Catalog Record</v>
      </c>
      <c r="AW127" s="6" t="str">
        <f>HYPERLINK("http://www.worldcat.org/oclc/649804710","WorldCat Record")</f>
        <v>WorldCat Record</v>
      </c>
      <c r="AX127" s="3" t="s">
        <v>1527</v>
      </c>
      <c r="AY127" s="3" t="s">
        <v>1528</v>
      </c>
      <c r="AZ127" s="3" t="s">
        <v>1529</v>
      </c>
      <c r="BA127" s="3" t="s">
        <v>1529</v>
      </c>
      <c r="BB127" s="3" t="s">
        <v>1530</v>
      </c>
      <c r="BC127" s="3" t="s">
        <v>102</v>
      </c>
      <c r="BD127" s="3" t="s">
        <v>68</v>
      </c>
      <c r="BE127" s="3" t="s">
        <v>1531</v>
      </c>
      <c r="BF127" s="3" t="s">
        <v>1530</v>
      </c>
      <c r="BG127" s="3" t="s">
        <v>1532</v>
      </c>
    </row>
    <row r="128" spans="1:59" ht="58" x14ac:dyDescent="0.35">
      <c r="A128" s="2" t="s">
        <v>89</v>
      </c>
      <c r="B128" s="2" t="s">
        <v>90</v>
      </c>
      <c r="C128" s="2" t="s">
        <v>1533</v>
      </c>
      <c r="D128" s="2" t="s">
        <v>1534</v>
      </c>
      <c r="E128" s="2" t="s">
        <v>1535</v>
      </c>
      <c r="G128" s="3" t="s">
        <v>62</v>
      </c>
      <c r="I128" s="3" t="s">
        <v>62</v>
      </c>
      <c r="J128" s="3" t="s">
        <v>62</v>
      </c>
      <c r="K128" s="3" t="s">
        <v>63</v>
      </c>
      <c r="M128" s="2" t="s">
        <v>1536</v>
      </c>
      <c r="N128" s="3" t="s">
        <v>698</v>
      </c>
      <c r="P128" s="3" t="s">
        <v>64</v>
      </c>
      <c r="R128" s="3" t="s">
        <v>65</v>
      </c>
      <c r="S128" s="4">
        <v>0</v>
      </c>
      <c r="T128" s="4">
        <v>0</v>
      </c>
      <c r="W128" s="5" t="s">
        <v>67</v>
      </c>
      <c r="X128" s="5" t="s">
        <v>67</v>
      </c>
      <c r="Y128" s="4">
        <v>86</v>
      </c>
      <c r="Z128" s="4">
        <v>9</v>
      </c>
      <c r="AA128" s="4">
        <v>9</v>
      </c>
      <c r="AB128" s="4">
        <v>1</v>
      </c>
      <c r="AC128" s="4">
        <v>1</v>
      </c>
      <c r="AD128" s="4">
        <v>39</v>
      </c>
      <c r="AE128" s="4">
        <v>39</v>
      </c>
      <c r="AF128" s="4">
        <v>0</v>
      </c>
      <c r="AG128" s="4">
        <v>0</v>
      </c>
      <c r="AH128" s="4">
        <v>37</v>
      </c>
      <c r="AI128" s="4">
        <v>37</v>
      </c>
      <c r="AJ128" s="4">
        <v>7</v>
      </c>
      <c r="AK128" s="4">
        <v>7</v>
      </c>
      <c r="AL128" s="4">
        <v>25</v>
      </c>
      <c r="AM128" s="4">
        <v>25</v>
      </c>
      <c r="AN128" s="4">
        <v>0</v>
      </c>
      <c r="AO128" s="4">
        <v>0</v>
      </c>
      <c r="AP128" s="4">
        <v>7</v>
      </c>
      <c r="AQ128" s="4">
        <v>7</v>
      </c>
      <c r="AR128" s="3" t="s">
        <v>62</v>
      </c>
      <c r="AS128" s="3" t="s">
        <v>62</v>
      </c>
      <c r="AT128" s="3" t="s">
        <v>62</v>
      </c>
      <c r="AV128" s="6" t="str">
        <f>HYPERLINK("http://mcgill.on.worldcat.org/oclc/785875433","Catalog Record")</f>
        <v>Catalog Record</v>
      </c>
      <c r="AW128" s="6" t="str">
        <f>HYPERLINK("http://www.worldcat.org/oclc/785875433","WorldCat Record")</f>
        <v>WorldCat Record</v>
      </c>
      <c r="AX128" s="3" t="s">
        <v>1537</v>
      </c>
      <c r="AY128" s="3" t="s">
        <v>1538</v>
      </c>
      <c r="AZ128" s="3" t="s">
        <v>1539</v>
      </c>
      <c r="BA128" s="3" t="s">
        <v>1539</v>
      </c>
      <c r="BB128" s="3" t="s">
        <v>1540</v>
      </c>
      <c r="BC128" s="3" t="s">
        <v>102</v>
      </c>
      <c r="BD128" s="3" t="s">
        <v>68</v>
      </c>
      <c r="BE128" s="3" t="s">
        <v>1541</v>
      </c>
      <c r="BF128" s="3" t="s">
        <v>1540</v>
      </c>
      <c r="BG128" s="3" t="s">
        <v>1542</v>
      </c>
    </row>
    <row r="129" spans="1:59" ht="72.5" x14ac:dyDescent="0.35">
      <c r="A129" s="2" t="s">
        <v>59</v>
      </c>
      <c r="B129" s="2" t="s">
        <v>60</v>
      </c>
      <c r="C129" s="2" t="s">
        <v>1543</v>
      </c>
      <c r="D129" s="2" t="s">
        <v>1544</v>
      </c>
      <c r="E129" s="2" t="s">
        <v>1545</v>
      </c>
      <c r="F129" s="3" t="s">
        <v>1546</v>
      </c>
      <c r="G129" s="3" t="s">
        <v>62</v>
      </c>
      <c r="I129" s="3" t="s">
        <v>62</v>
      </c>
      <c r="J129" s="3" t="s">
        <v>62</v>
      </c>
      <c r="K129" s="3" t="s">
        <v>63</v>
      </c>
      <c r="L129" s="2" t="s">
        <v>1547</v>
      </c>
      <c r="M129" s="2" t="s">
        <v>1548</v>
      </c>
      <c r="N129" s="3" t="s">
        <v>1549</v>
      </c>
      <c r="P129" s="3" t="s">
        <v>64</v>
      </c>
      <c r="Q129" s="2" t="s">
        <v>1550</v>
      </c>
      <c r="R129" s="3" t="s">
        <v>65</v>
      </c>
      <c r="S129" s="4">
        <v>2</v>
      </c>
      <c r="T129" s="4">
        <v>2</v>
      </c>
      <c r="U129" s="5" t="s">
        <v>1551</v>
      </c>
      <c r="V129" s="5" t="s">
        <v>1551</v>
      </c>
      <c r="W129" s="5" t="s">
        <v>67</v>
      </c>
      <c r="X129" s="5" t="s">
        <v>67</v>
      </c>
      <c r="Y129" s="4">
        <v>109</v>
      </c>
      <c r="Z129" s="4">
        <v>3</v>
      </c>
      <c r="AA129" s="4">
        <v>3</v>
      </c>
      <c r="AB129" s="4">
        <v>1</v>
      </c>
      <c r="AC129" s="4">
        <v>1</v>
      </c>
      <c r="AD129" s="4">
        <v>40</v>
      </c>
      <c r="AE129" s="4">
        <v>41</v>
      </c>
      <c r="AF129" s="4">
        <v>0</v>
      </c>
      <c r="AG129" s="4">
        <v>0</v>
      </c>
      <c r="AH129" s="4">
        <v>39</v>
      </c>
      <c r="AI129" s="4">
        <v>40</v>
      </c>
      <c r="AJ129" s="4">
        <v>0</v>
      </c>
      <c r="AK129" s="4">
        <v>0</v>
      </c>
      <c r="AL129" s="4">
        <v>26</v>
      </c>
      <c r="AM129" s="4">
        <v>27</v>
      </c>
      <c r="AN129" s="4">
        <v>0</v>
      </c>
      <c r="AO129" s="4">
        <v>0</v>
      </c>
      <c r="AP129" s="4">
        <v>0</v>
      </c>
      <c r="AQ129" s="4">
        <v>0</v>
      </c>
      <c r="AR129" s="3" t="s">
        <v>62</v>
      </c>
      <c r="AS129" s="3" t="s">
        <v>62</v>
      </c>
      <c r="AT129" s="3" t="s">
        <v>62</v>
      </c>
      <c r="AV129" s="6" t="str">
        <f>HYPERLINK("http://mcgill.on.worldcat.org/oclc/1420331","Catalog Record")</f>
        <v>Catalog Record</v>
      </c>
      <c r="AW129" s="6" t="str">
        <f>HYPERLINK("http://www.worldcat.org/oclc/1420331","WorldCat Record")</f>
        <v>WorldCat Record</v>
      </c>
      <c r="AX129" s="3" t="s">
        <v>1552</v>
      </c>
      <c r="AY129" s="3" t="s">
        <v>1553</v>
      </c>
      <c r="AZ129" s="3" t="s">
        <v>1554</v>
      </c>
      <c r="BA129" s="3" t="s">
        <v>1554</v>
      </c>
      <c r="BB129" s="3" t="s">
        <v>1555</v>
      </c>
      <c r="BC129" s="3" t="s">
        <v>102</v>
      </c>
      <c r="BD129" s="3" t="s">
        <v>68</v>
      </c>
      <c r="BF129" s="3" t="s">
        <v>1555</v>
      </c>
      <c r="BG129" s="3" t="s">
        <v>1556</v>
      </c>
    </row>
    <row r="130" spans="1:59" ht="72.5" x14ac:dyDescent="0.35">
      <c r="A130" s="2" t="s">
        <v>59</v>
      </c>
      <c r="B130" s="2" t="s">
        <v>60</v>
      </c>
      <c r="C130" s="2" t="s">
        <v>1557</v>
      </c>
      <c r="D130" s="2" t="s">
        <v>1558</v>
      </c>
      <c r="E130" s="2" t="s">
        <v>1559</v>
      </c>
      <c r="F130" s="3" t="s">
        <v>1560</v>
      </c>
      <c r="G130" s="3" t="s">
        <v>62</v>
      </c>
      <c r="I130" s="3" t="s">
        <v>62</v>
      </c>
      <c r="J130" s="3" t="s">
        <v>62</v>
      </c>
      <c r="K130" s="3" t="s">
        <v>63</v>
      </c>
      <c r="L130" s="2" t="s">
        <v>1561</v>
      </c>
      <c r="M130" s="2" t="s">
        <v>1562</v>
      </c>
      <c r="N130" s="3" t="s">
        <v>1549</v>
      </c>
      <c r="P130" s="3" t="s">
        <v>64</v>
      </c>
      <c r="Q130" s="2" t="s">
        <v>1563</v>
      </c>
      <c r="R130" s="3" t="s">
        <v>65</v>
      </c>
      <c r="S130" s="4">
        <v>1</v>
      </c>
      <c r="T130" s="4">
        <v>1</v>
      </c>
      <c r="U130" s="5" t="s">
        <v>1564</v>
      </c>
      <c r="V130" s="5" t="s">
        <v>1564</v>
      </c>
      <c r="W130" s="5" t="s">
        <v>67</v>
      </c>
      <c r="X130" s="5" t="s">
        <v>67</v>
      </c>
      <c r="Y130" s="4">
        <v>74</v>
      </c>
      <c r="Z130" s="4">
        <v>2</v>
      </c>
      <c r="AA130" s="4">
        <v>2</v>
      </c>
      <c r="AB130" s="4">
        <v>1</v>
      </c>
      <c r="AC130" s="4">
        <v>1</v>
      </c>
      <c r="AD130" s="4">
        <v>33</v>
      </c>
      <c r="AE130" s="4">
        <v>33</v>
      </c>
      <c r="AF130" s="4">
        <v>0</v>
      </c>
      <c r="AG130" s="4">
        <v>0</v>
      </c>
      <c r="AH130" s="4">
        <v>32</v>
      </c>
      <c r="AI130" s="4">
        <v>32</v>
      </c>
      <c r="AJ130" s="4">
        <v>1</v>
      </c>
      <c r="AK130" s="4">
        <v>1</v>
      </c>
      <c r="AL130" s="4">
        <v>22</v>
      </c>
      <c r="AM130" s="4">
        <v>22</v>
      </c>
      <c r="AN130" s="4">
        <v>0</v>
      </c>
      <c r="AO130" s="4">
        <v>0</v>
      </c>
      <c r="AP130" s="4">
        <v>1</v>
      </c>
      <c r="AQ130" s="4">
        <v>1</v>
      </c>
      <c r="AR130" s="3" t="s">
        <v>62</v>
      </c>
      <c r="AS130" s="3" t="s">
        <v>62</v>
      </c>
      <c r="AT130" s="3" t="s">
        <v>62</v>
      </c>
      <c r="AV130" s="6" t="str">
        <f>HYPERLINK("http://mcgill.on.worldcat.org/oclc/1421803","Catalog Record")</f>
        <v>Catalog Record</v>
      </c>
      <c r="AW130" s="6" t="str">
        <f>HYPERLINK("http://www.worldcat.org/oclc/1421803","WorldCat Record")</f>
        <v>WorldCat Record</v>
      </c>
      <c r="AX130" s="3" t="s">
        <v>1565</v>
      </c>
      <c r="AY130" s="3" t="s">
        <v>1566</v>
      </c>
      <c r="AZ130" s="3" t="s">
        <v>1567</v>
      </c>
      <c r="BA130" s="3" t="s">
        <v>1567</v>
      </c>
      <c r="BB130" s="3" t="s">
        <v>1568</v>
      </c>
      <c r="BC130" s="3" t="s">
        <v>102</v>
      </c>
      <c r="BD130" s="3" t="s">
        <v>68</v>
      </c>
      <c r="BF130" s="3" t="s">
        <v>1568</v>
      </c>
      <c r="BG130" s="3" t="s">
        <v>1569</v>
      </c>
    </row>
    <row r="131" spans="1:59" ht="72.5" x14ac:dyDescent="0.35">
      <c r="A131" s="2" t="s">
        <v>59</v>
      </c>
      <c r="B131" s="2" t="s">
        <v>60</v>
      </c>
      <c r="C131" s="2" t="s">
        <v>1570</v>
      </c>
      <c r="D131" s="2" t="s">
        <v>1571</v>
      </c>
      <c r="E131" s="2" t="s">
        <v>1572</v>
      </c>
      <c r="F131" s="3" t="s">
        <v>1573</v>
      </c>
      <c r="G131" s="3" t="s">
        <v>62</v>
      </c>
      <c r="I131" s="3" t="s">
        <v>61</v>
      </c>
      <c r="J131" s="3" t="s">
        <v>62</v>
      </c>
      <c r="K131" s="3" t="s">
        <v>63</v>
      </c>
      <c r="L131" s="2" t="s">
        <v>1574</v>
      </c>
      <c r="M131" s="2" t="s">
        <v>1575</v>
      </c>
      <c r="N131" s="3" t="s">
        <v>1576</v>
      </c>
      <c r="P131" s="3" t="s">
        <v>64</v>
      </c>
      <c r="Q131" s="2" t="s">
        <v>1577</v>
      </c>
      <c r="R131" s="3" t="s">
        <v>65</v>
      </c>
      <c r="S131" s="4">
        <v>1</v>
      </c>
      <c r="T131" s="4">
        <v>2</v>
      </c>
      <c r="U131" s="5" t="s">
        <v>1578</v>
      </c>
      <c r="V131" s="5" t="s">
        <v>1579</v>
      </c>
      <c r="W131" s="5" t="s">
        <v>67</v>
      </c>
      <c r="X131" s="5" t="s">
        <v>67</v>
      </c>
      <c r="Y131" s="4">
        <v>17</v>
      </c>
      <c r="Z131" s="4">
        <v>3</v>
      </c>
      <c r="AA131" s="4">
        <v>3</v>
      </c>
      <c r="AB131" s="4">
        <v>1</v>
      </c>
      <c r="AC131" s="4">
        <v>1</v>
      </c>
      <c r="AD131" s="4">
        <v>8</v>
      </c>
      <c r="AE131" s="4">
        <v>8</v>
      </c>
      <c r="AF131" s="4">
        <v>0</v>
      </c>
      <c r="AG131" s="4">
        <v>0</v>
      </c>
      <c r="AH131" s="4">
        <v>5</v>
      </c>
      <c r="AI131" s="4">
        <v>5</v>
      </c>
      <c r="AJ131" s="4">
        <v>0</v>
      </c>
      <c r="AK131" s="4">
        <v>0</v>
      </c>
      <c r="AL131" s="4">
        <v>4</v>
      </c>
      <c r="AM131" s="4">
        <v>4</v>
      </c>
      <c r="AN131" s="4">
        <v>0</v>
      </c>
      <c r="AO131" s="4">
        <v>0</v>
      </c>
      <c r="AP131" s="4">
        <v>2</v>
      </c>
      <c r="AQ131" s="4">
        <v>2</v>
      </c>
      <c r="AR131" s="3" t="s">
        <v>62</v>
      </c>
      <c r="AS131" s="3" t="s">
        <v>62</v>
      </c>
      <c r="AT131" s="3" t="s">
        <v>62</v>
      </c>
      <c r="AV131" s="6" t="str">
        <f>HYPERLINK("http://mcgill.on.worldcat.org/oclc/213799211","Catalog Record")</f>
        <v>Catalog Record</v>
      </c>
      <c r="AW131" s="6" t="str">
        <f>HYPERLINK("http://www.worldcat.org/oclc/213799211","WorldCat Record")</f>
        <v>WorldCat Record</v>
      </c>
      <c r="AX131" s="3" t="s">
        <v>1580</v>
      </c>
      <c r="AY131" s="3" t="s">
        <v>1581</v>
      </c>
      <c r="AZ131" s="3" t="s">
        <v>1582</v>
      </c>
      <c r="BA131" s="3" t="s">
        <v>1582</v>
      </c>
      <c r="BB131" s="3" t="s">
        <v>1583</v>
      </c>
      <c r="BC131" s="3" t="s">
        <v>102</v>
      </c>
      <c r="BD131" s="3" t="s">
        <v>68</v>
      </c>
      <c r="BF131" s="3" t="s">
        <v>1583</v>
      </c>
      <c r="BG131" s="3" t="s">
        <v>1584</v>
      </c>
    </row>
    <row r="132" spans="1:59" ht="72.5" x14ac:dyDescent="0.35">
      <c r="A132" s="2" t="s">
        <v>89</v>
      </c>
      <c r="B132" s="2" t="s">
        <v>90</v>
      </c>
      <c r="C132" s="2" t="s">
        <v>1585</v>
      </c>
      <c r="D132" s="2" t="s">
        <v>1586</v>
      </c>
      <c r="E132" s="2" t="s">
        <v>1587</v>
      </c>
      <c r="F132" s="3" t="s">
        <v>1588</v>
      </c>
      <c r="G132" s="3" t="s">
        <v>62</v>
      </c>
      <c r="I132" s="3" t="s">
        <v>61</v>
      </c>
      <c r="J132" s="3" t="s">
        <v>62</v>
      </c>
      <c r="K132" s="3" t="s">
        <v>63</v>
      </c>
      <c r="L132" s="2" t="s">
        <v>1589</v>
      </c>
      <c r="M132" s="2" t="s">
        <v>1590</v>
      </c>
      <c r="N132" s="3" t="s">
        <v>1305</v>
      </c>
      <c r="P132" s="3" t="s">
        <v>64</v>
      </c>
      <c r="Q132" s="2" t="s">
        <v>1591</v>
      </c>
      <c r="R132" s="3" t="s">
        <v>65</v>
      </c>
      <c r="S132" s="4">
        <v>3</v>
      </c>
      <c r="T132" s="4">
        <v>9</v>
      </c>
      <c r="U132" s="5" t="s">
        <v>1592</v>
      </c>
      <c r="V132" s="5" t="s">
        <v>1593</v>
      </c>
      <c r="W132" s="5" t="s">
        <v>67</v>
      </c>
      <c r="X132" s="5" t="s">
        <v>67</v>
      </c>
      <c r="Y132" s="4">
        <v>320</v>
      </c>
      <c r="Z132" s="4">
        <v>17</v>
      </c>
      <c r="AA132" s="4">
        <v>35</v>
      </c>
      <c r="AB132" s="4">
        <v>3</v>
      </c>
      <c r="AC132" s="4">
        <v>8</v>
      </c>
      <c r="AD132" s="4">
        <v>78</v>
      </c>
      <c r="AE132" s="4">
        <v>97</v>
      </c>
      <c r="AF132" s="4">
        <v>1</v>
      </c>
      <c r="AG132" s="4">
        <v>5</v>
      </c>
      <c r="AH132" s="4">
        <v>65</v>
      </c>
      <c r="AI132" s="4">
        <v>73</v>
      </c>
      <c r="AJ132" s="4">
        <v>9</v>
      </c>
      <c r="AK132" s="4">
        <v>19</v>
      </c>
      <c r="AL132" s="4">
        <v>43</v>
      </c>
      <c r="AM132" s="4">
        <v>48</v>
      </c>
      <c r="AN132" s="4">
        <v>0</v>
      </c>
      <c r="AO132" s="4">
        <v>0</v>
      </c>
      <c r="AP132" s="4">
        <v>14</v>
      </c>
      <c r="AQ132" s="4">
        <v>26</v>
      </c>
      <c r="AR132" s="3" t="s">
        <v>62</v>
      </c>
      <c r="AS132" s="3" t="s">
        <v>62</v>
      </c>
      <c r="AT132" s="3" t="s">
        <v>62</v>
      </c>
      <c r="AV132" s="6" t="str">
        <f>HYPERLINK("http://mcgill.on.worldcat.org/oclc/526270","Catalog Record")</f>
        <v>Catalog Record</v>
      </c>
      <c r="AW132" s="6" t="str">
        <f>HYPERLINK("http://www.worldcat.org/oclc/526270","WorldCat Record")</f>
        <v>WorldCat Record</v>
      </c>
      <c r="AX132" s="3" t="s">
        <v>1594</v>
      </c>
      <c r="AY132" s="3" t="s">
        <v>1595</v>
      </c>
      <c r="AZ132" s="3" t="s">
        <v>1596</v>
      </c>
      <c r="BA132" s="3" t="s">
        <v>1596</v>
      </c>
      <c r="BB132" s="3" t="s">
        <v>1597</v>
      </c>
      <c r="BC132" s="3" t="s">
        <v>102</v>
      </c>
      <c r="BD132" s="3" t="s">
        <v>68</v>
      </c>
      <c r="BF132" s="3" t="s">
        <v>1597</v>
      </c>
      <c r="BG132" s="3" t="s">
        <v>1598</v>
      </c>
    </row>
    <row r="133" spans="1:59" ht="72.5" x14ac:dyDescent="0.35">
      <c r="A133" s="2" t="s">
        <v>89</v>
      </c>
      <c r="B133" s="2" t="s">
        <v>90</v>
      </c>
      <c r="C133" s="2" t="s">
        <v>1585</v>
      </c>
      <c r="D133" s="2" t="s">
        <v>1586</v>
      </c>
      <c r="E133" s="2" t="s">
        <v>1587</v>
      </c>
      <c r="F133" s="3" t="s">
        <v>1588</v>
      </c>
      <c r="G133" s="3" t="s">
        <v>62</v>
      </c>
      <c r="I133" s="3" t="s">
        <v>61</v>
      </c>
      <c r="J133" s="3" t="s">
        <v>62</v>
      </c>
      <c r="K133" s="3" t="s">
        <v>63</v>
      </c>
      <c r="L133" s="2" t="s">
        <v>1589</v>
      </c>
      <c r="M133" s="2" t="s">
        <v>1590</v>
      </c>
      <c r="N133" s="3" t="s">
        <v>1305</v>
      </c>
      <c r="P133" s="3" t="s">
        <v>64</v>
      </c>
      <c r="Q133" s="2" t="s">
        <v>1591</v>
      </c>
      <c r="R133" s="3" t="s">
        <v>65</v>
      </c>
      <c r="S133" s="4">
        <v>6</v>
      </c>
      <c r="T133" s="4">
        <v>9</v>
      </c>
      <c r="U133" s="5" t="s">
        <v>1593</v>
      </c>
      <c r="V133" s="5" t="s">
        <v>1593</v>
      </c>
      <c r="W133" s="5" t="s">
        <v>67</v>
      </c>
      <c r="X133" s="5" t="s">
        <v>67</v>
      </c>
      <c r="Y133" s="4">
        <v>320</v>
      </c>
      <c r="Z133" s="4">
        <v>17</v>
      </c>
      <c r="AA133" s="4">
        <v>35</v>
      </c>
      <c r="AB133" s="4">
        <v>3</v>
      </c>
      <c r="AC133" s="4">
        <v>8</v>
      </c>
      <c r="AD133" s="4">
        <v>78</v>
      </c>
      <c r="AE133" s="4">
        <v>97</v>
      </c>
      <c r="AF133" s="4">
        <v>1</v>
      </c>
      <c r="AG133" s="4">
        <v>5</v>
      </c>
      <c r="AH133" s="4">
        <v>65</v>
      </c>
      <c r="AI133" s="4">
        <v>73</v>
      </c>
      <c r="AJ133" s="4">
        <v>9</v>
      </c>
      <c r="AK133" s="4">
        <v>19</v>
      </c>
      <c r="AL133" s="4">
        <v>43</v>
      </c>
      <c r="AM133" s="4">
        <v>48</v>
      </c>
      <c r="AN133" s="4">
        <v>0</v>
      </c>
      <c r="AO133" s="4">
        <v>0</v>
      </c>
      <c r="AP133" s="4">
        <v>14</v>
      </c>
      <c r="AQ133" s="4">
        <v>26</v>
      </c>
      <c r="AR133" s="3" t="s">
        <v>62</v>
      </c>
      <c r="AS133" s="3" t="s">
        <v>62</v>
      </c>
      <c r="AT133" s="3" t="s">
        <v>62</v>
      </c>
      <c r="AV133" s="6" t="str">
        <f>HYPERLINK("http://mcgill.on.worldcat.org/oclc/526270","Catalog Record")</f>
        <v>Catalog Record</v>
      </c>
      <c r="AW133" s="6" t="str">
        <f>HYPERLINK("http://www.worldcat.org/oclc/526270","WorldCat Record")</f>
        <v>WorldCat Record</v>
      </c>
      <c r="AX133" s="3" t="s">
        <v>1594</v>
      </c>
      <c r="AY133" s="3" t="s">
        <v>1595</v>
      </c>
      <c r="AZ133" s="3" t="s">
        <v>1596</v>
      </c>
      <c r="BA133" s="3" t="s">
        <v>1596</v>
      </c>
      <c r="BB133" s="3" t="s">
        <v>1599</v>
      </c>
      <c r="BC133" s="3" t="s">
        <v>102</v>
      </c>
      <c r="BD133" s="3" t="s">
        <v>68</v>
      </c>
      <c r="BF133" s="3" t="s">
        <v>1599</v>
      </c>
      <c r="BG133" s="3" t="s">
        <v>1600</v>
      </c>
    </row>
    <row r="134" spans="1:59" ht="72.5" x14ac:dyDescent="0.35">
      <c r="A134" s="2" t="s">
        <v>89</v>
      </c>
      <c r="B134" s="2" t="s">
        <v>90</v>
      </c>
      <c r="C134" s="2" t="s">
        <v>1601</v>
      </c>
      <c r="D134" s="2" t="s">
        <v>1602</v>
      </c>
      <c r="E134" s="2" t="s">
        <v>1603</v>
      </c>
      <c r="F134" s="3" t="s">
        <v>1604</v>
      </c>
      <c r="G134" s="3" t="s">
        <v>62</v>
      </c>
      <c r="I134" s="3" t="s">
        <v>62</v>
      </c>
      <c r="J134" s="3" t="s">
        <v>62</v>
      </c>
      <c r="K134" s="3" t="s">
        <v>63</v>
      </c>
      <c r="L134" s="2" t="s">
        <v>1605</v>
      </c>
      <c r="M134" s="2" t="s">
        <v>1606</v>
      </c>
      <c r="N134" s="3" t="s">
        <v>239</v>
      </c>
      <c r="P134" s="3" t="s">
        <v>64</v>
      </c>
      <c r="Q134" s="2" t="s">
        <v>1607</v>
      </c>
      <c r="R134" s="3" t="s">
        <v>65</v>
      </c>
      <c r="S134" s="4">
        <v>5</v>
      </c>
      <c r="T134" s="4">
        <v>5</v>
      </c>
      <c r="U134" s="5" t="s">
        <v>1608</v>
      </c>
      <c r="V134" s="5" t="s">
        <v>1608</v>
      </c>
      <c r="W134" s="5" t="s">
        <v>67</v>
      </c>
      <c r="X134" s="5" t="s">
        <v>67</v>
      </c>
      <c r="Y134" s="4">
        <v>335</v>
      </c>
      <c r="Z134" s="4">
        <v>18</v>
      </c>
      <c r="AA134" s="4">
        <v>35</v>
      </c>
      <c r="AB134" s="4">
        <v>3</v>
      </c>
      <c r="AC134" s="4">
        <v>6</v>
      </c>
      <c r="AD134" s="4">
        <v>79</v>
      </c>
      <c r="AE134" s="4">
        <v>98</v>
      </c>
      <c r="AF134" s="4">
        <v>1</v>
      </c>
      <c r="AG134" s="4">
        <v>4</v>
      </c>
      <c r="AH134" s="4">
        <v>66</v>
      </c>
      <c r="AI134" s="4">
        <v>80</v>
      </c>
      <c r="AJ134" s="4">
        <v>9</v>
      </c>
      <c r="AK134" s="4">
        <v>18</v>
      </c>
      <c r="AL134" s="4">
        <v>43</v>
      </c>
      <c r="AM134" s="4">
        <v>49</v>
      </c>
      <c r="AN134" s="4">
        <v>0</v>
      </c>
      <c r="AO134" s="4">
        <v>0</v>
      </c>
      <c r="AP134" s="4">
        <v>14</v>
      </c>
      <c r="AQ134" s="4">
        <v>24</v>
      </c>
      <c r="AR134" s="3" t="s">
        <v>62</v>
      </c>
      <c r="AS134" s="3" t="s">
        <v>62</v>
      </c>
      <c r="AT134" s="3" t="s">
        <v>62</v>
      </c>
      <c r="AV134" s="6" t="str">
        <f>HYPERLINK("http://mcgill.on.worldcat.org/oclc/525793","Catalog Record")</f>
        <v>Catalog Record</v>
      </c>
      <c r="AW134" s="6" t="str">
        <f>HYPERLINK("http://www.worldcat.org/oclc/525793","WorldCat Record")</f>
        <v>WorldCat Record</v>
      </c>
      <c r="AX134" s="3" t="s">
        <v>1609</v>
      </c>
      <c r="AY134" s="3" t="s">
        <v>1610</v>
      </c>
      <c r="AZ134" s="3" t="s">
        <v>1611</v>
      </c>
      <c r="BA134" s="3" t="s">
        <v>1611</v>
      </c>
      <c r="BB134" s="3" t="s">
        <v>1612</v>
      </c>
      <c r="BC134" s="3" t="s">
        <v>102</v>
      </c>
      <c r="BD134" s="3" t="s">
        <v>68</v>
      </c>
      <c r="BF134" s="3" t="s">
        <v>1612</v>
      </c>
      <c r="BG134" s="3" t="s">
        <v>1613</v>
      </c>
    </row>
    <row r="135" spans="1:59" ht="72.5" x14ac:dyDescent="0.35">
      <c r="A135" s="2" t="s">
        <v>89</v>
      </c>
      <c r="B135" s="2" t="s">
        <v>90</v>
      </c>
      <c r="C135" s="2" t="s">
        <v>1614</v>
      </c>
      <c r="D135" s="2" t="s">
        <v>1615</v>
      </c>
      <c r="E135" s="2" t="s">
        <v>1616</v>
      </c>
      <c r="F135" s="3" t="s">
        <v>1617</v>
      </c>
      <c r="G135" s="3" t="s">
        <v>62</v>
      </c>
      <c r="I135" s="3" t="s">
        <v>61</v>
      </c>
      <c r="J135" s="3" t="s">
        <v>61</v>
      </c>
      <c r="K135" s="3" t="s">
        <v>63</v>
      </c>
      <c r="L135" s="2" t="s">
        <v>1618</v>
      </c>
      <c r="M135" s="2" t="s">
        <v>1619</v>
      </c>
      <c r="N135" s="3" t="s">
        <v>1467</v>
      </c>
      <c r="P135" s="3" t="s">
        <v>64</v>
      </c>
      <c r="Q135" s="2" t="s">
        <v>1620</v>
      </c>
      <c r="R135" s="3" t="s">
        <v>65</v>
      </c>
      <c r="S135" s="4">
        <v>70</v>
      </c>
      <c r="T135" s="4">
        <v>211</v>
      </c>
      <c r="U135" s="5" t="s">
        <v>1621</v>
      </c>
      <c r="V135" s="5" t="s">
        <v>1621</v>
      </c>
      <c r="W135" s="5" t="s">
        <v>67</v>
      </c>
      <c r="X135" s="5" t="s">
        <v>67</v>
      </c>
      <c r="Y135" s="4">
        <v>16</v>
      </c>
      <c r="Z135" s="4">
        <v>3</v>
      </c>
      <c r="AA135" s="4">
        <v>166</v>
      </c>
      <c r="AB135" s="4">
        <v>1</v>
      </c>
      <c r="AC135" s="4">
        <v>18</v>
      </c>
      <c r="AD135" s="4">
        <v>7</v>
      </c>
      <c r="AE135" s="4">
        <v>180</v>
      </c>
      <c r="AF135" s="4">
        <v>0</v>
      </c>
      <c r="AG135" s="4">
        <v>8</v>
      </c>
      <c r="AH135" s="4">
        <v>5</v>
      </c>
      <c r="AI135" s="4">
        <v>120</v>
      </c>
      <c r="AJ135" s="4">
        <v>2</v>
      </c>
      <c r="AK135" s="4">
        <v>31</v>
      </c>
      <c r="AL135" s="4">
        <v>4</v>
      </c>
      <c r="AM135" s="4">
        <v>67</v>
      </c>
      <c r="AN135" s="4">
        <v>0</v>
      </c>
      <c r="AO135" s="4">
        <v>0</v>
      </c>
      <c r="AP135" s="4">
        <v>2</v>
      </c>
      <c r="AQ135" s="4">
        <v>60</v>
      </c>
      <c r="AR135" s="3" t="s">
        <v>62</v>
      </c>
      <c r="AS135" s="3" t="s">
        <v>62</v>
      </c>
      <c r="AT135" s="3" t="s">
        <v>61</v>
      </c>
      <c r="AU135" s="6" t="str">
        <f>HYPERLINK("http://catalog.hathitrust.org/Record/000474667","HathiTrust Record")</f>
        <v>HathiTrust Record</v>
      </c>
      <c r="AV135" s="6" t="str">
        <f>HYPERLINK("http://mcgill.on.worldcat.org/oclc/213816969","Catalog Record")</f>
        <v>Catalog Record</v>
      </c>
      <c r="AW135" s="6" t="str">
        <f>HYPERLINK("http://www.worldcat.org/oclc/213816969","WorldCat Record")</f>
        <v>WorldCat Record</v>
      </c>
      <c r="AX135" s="3" t="s">
        <v>1622</v>
      </c>
      <c r="AY135" s="3" t="s">
        <v>1623</v>
      </c>
      <c r="AZ135" s="3" t="s">
        <v>1624</v>
      </c>
      <c r="BA135" s="3" t="s">
        <v>1624</v>
      </c>
      <c r="BB135" s="3" t="s">
        <v>1625</v>
      </c>
      <c r="BC135" s="3" t="s">
        <v>102</v>
      </c>
      <c r="BD135" s="3" t="s">
        <v>68</v>
      </c>
      <c r="BF135" s="3" t="s">
        <v>1625</v>
      </c>
      <c r="BG135" s="3" t="s">
        <v>1626</v>
      </c>
    </row>
    <row r="136" spans="1:59" ht="72.5" x14ac:dyDescent="0.35">
      <c r="A136" s="2" t="s">
        <v>89</v>
      </c>
      <c r="B136" s="2" t="s">
        <v>90</v>
      </c>
      <c r="C136" s="2" t="s">
        <v>1614</v>
      </c>
      <c r="D136" s="2" t="s">
        <v>1615</v>
      </c>
      <c r="E136" s="2" t="s">
        <v>1616</v>
      </c>
      <c r="F136" s="3" t="s">
        <v>1617</v>
      </c>
      <c r="G136" s="3" t="s">
        <v>62</v>
      </c>
      <c r="I136" s="3" t="s">
        <v>61</v>
      </c>
      <c r="J136" s="3" t="s">
        <v>61</v>
      </c>
      <c r="K136" s="3" t="s">
        <v>63</v>
      </c>
      <c r="L136" s="2" t="s">
        <v>1618</v>
      </c>
      <c r="M136" s="2" t="s">
        <v>1619</v>
      </c>
      <c r="N136" s="3" t="s">
        <v>1467</v>
      </c>
      <c r="P136" s="3" t="s">
        <v>64</v>
      </c>
      <c r="Q136" s="2" t="s">
        <v>1620</v>
      </c>
      <c r="R136" s="3" t="s">
        <v>65</v>
      </c>
      <c r="S136" s="4">
        <v>54</v>
      </c>
      <c r="T136" s="4">
        <v>211</v>
      </c>
      <c r="U136" s="5" t="s">
        <v>1627</v>
      </c>
      <c r="V136" s="5" t="s">
        <v>1621</v>
      </c>
      <c r="W136" s="5" t="s">
        <v>67</v>
      </c>
      <c r="X136" s="5" t="s">
        <v>67</v>
      </c>
      <c r="Y136" s="4">
        <v>16</v>
      </c>
      <c r="Z136" s="4">
        <v>3</v>
      </c>
      <c r="AA136" s="4">
        <v>166</v>
      </c>
      <c r="AB136" s="4">
        <v>1</v>
      </c>
      <c r="AC136" s="4">
        <v>18</v>
      </c>
      <c r="AD136" s="4">
        <v>7</v>
      </c>
      <c r="AE136" s="4">
        <v>180</v>
      </c>
      <c r="AF136" s="4">
        <v>0</v>
      </c>
      <c r="AG136" s="4">
        <v>8</v>
      </c>
      <c r="AH136" s="4">
        <v>5</v>
      </c>
      <c r="AI136" s="4">
        <v>120</v>
      </c>
      <c r="AJ136" s="4">
        <v>2</v>
      </c>
      <c r="AK136" s="4">
        <v>31</v>
      </c>
      <c r="AL136" s="4">
        <v>4</v>
      </c>
      <c r="AM136" s="4">
        <v>67</v>
      </c>
      <c r="AN136" s="4">
        <v>0</v>
      </c>
      <c r="AO136" s="4">
        <v>0</v>
      </c>
      <c r="AP136" s="4">
        <v>2</v>
      </c>
      <c r="AQ136" s="4">
        <v>60</v>
      </c>
      <c r="AR136" s="3" t="s">
        <v>62</v>
      </c>
      <c r="AS136" s="3" t="s">
        <v>62</v>
      </c>
      <c r="AT136" s="3" t="s">
        <v>61</v>
      </c>
      <c r="AU136" s="6" t="str">
        <f>HYPERLINK("http://catalog.hathitrust.org/Record/000474667","HathiTrust Record")</f>
        <v>HathiTrust Record</v>
      </c>
      <c r="AV136" s="6" t="str">
        <f>HYPERLINK("http://mcgill.on.worldcat.org/oclc/213816969","Catalog Record")</f>
        <v>Catalog Record</v>
      </c>
      <c r="AW136" s="6" t="str">
        <f>HYPERLINK("http://www.worldcat.org/oclc/213816969","WorldCat Record")</f>
        <v>WorldCat Record</v>
      </c>
      <c r="AX136" s="3" t="s">
        <v>1622</v>
      </c>
      <c r="AY136" s="3" t="s">
        <v>1623</v>
      </c>
      <c r="AZ136" s="3" t="s">
        <v>1624</v>
      </c>
      <c r="BA136" s="3" t="s">
        <v>1624</v>
      </c>
      <c r="BB136" s="3" t="s">
        <v>1628</v>
      </c>
      <c r="BC136" s="3" t="s">
        <v>102</v>
      </c>
      <c r="BD136" s="3" t="s">
        <v>68</v>
      </c>
      <c r="BF136" s="3" t="s">
        <v>1628</v>
      </c>
      <c r="BG136" s="3" t="s">
        <v>1629</v>
      </c>
    </row>
    <row r="137" spans="1:59" ht="72.5" x14ac:dyDescent="0.35">
      <c r="A137" s="2" t="s">
        <v>89</v>
      </c>
      <c r="B137" s="2" t="s">
        <v>90</v>
      </c>
      <c r="C137" s="2" t="s">
        <v>1614</v>
      </c>
      <c r="D137" s="2" t="s">
        <v>1615</v>
      </c>
      <c r="E137" s="2" t="s">
        <v>1616</v>
      </c>
      <c r="F137" s="3" t="s">
        <v>1617</v>
      </c>
      <c r="G137" s="3" t="s">
        <v>62</v>
      </c>
      <c r="I137" s="3" t="s">
        <v>61</v>
      </c>
      <c r="J137" s="3" t="s">
        <v>61</v>
      </c>
      <c r="K137" s="3" t="s">
        <v>63</v>
      </c>
      <c r="L137" s="2" t="s">
        <v>1618</v>
      </c>
      <c r="M137" s="2" t="s">
        <v>1619</v>
      </c>
      <c r="N137" s="3" t="s">
        <v>1467</v>
      </c>
      <c r="P137" s="3" t="s">
        <v>64</v>
      </c>
      <c r="Q137" s="2" t="s">
        <v>1620</v>
      </c>
      <c r="R137" s="3" t="s">
        <v>65</v>
      </c>
      <c r="S137" s="4">
        <v>59</v>
      </c>
      <c r="T137" s="4">
        <v>211</v>
      </c>
      <c r="U137" s="5" t="s">
        <v>1630</v>
      </c>
      <c r="V137" s="5" t="s">
        <v>1621</v>
      </c>
      <c r="W137" s="5" t="s">
        <v>67</v>
      </c>
      <c r="X137" s="5" t="s">
        <v>67</v>
      </c>
      <c r="Y137" s="4">
        <v>16</v>
      </c>
      <c r="Z137" s="4">
        <v>3</v>
      </c>
      <c r="AA137" s="4">
        <v>166</v>
      </c>
      <c r="AB137" s="4">
        <v>1</v>
      </c>
      <c r="AC137" s="4">
        <v>18</v>
      </c>
      <c r="AD137" s="4">
        <v>7</v>
      </c>
      <c r="AE137" s="4">
        <v>180</v>
      </c>
      <c r="AF137" s="4">
        <v>0</v>
      </c>
      <c r="AG137" s="4">
        <v>8</v>
      </c>
      <c r="AH137" s="4">
        <v>5</v>
      </c>
      <c r="AI137" s="4">
        <v>120</v>
      </c>
      <c r="AJ137" s="4">
        <v>2</v>
      </c>
      <c r="AK137" s="4">
        <v>31</v>
      </c>
      <c r="AL137" s="4">
        <v>4</v>
      </c>
      <c r="AM137" s="4">
        <v>67</v>
      </c>
      <c r="AN137" s="4">
        <v>0</v>
      </c>
      <c r="AO137" s="4">
        <v>0</v>
      </c>
      <c r="AP137" s="4">
        <v>2</v>
      </c>
      <c r="AQ137" s="4">
        <v>60</v>
      </c>
      <c r="AR137" s="3" t="s">
        <v>62</v>
      </c>
      <c r="AS137" s="3" t="s">
        <v>62</v>
      </c>
      <c r="AT137" s="3" t="s">
        <v>61</v>
      </c>
      <c r="AU137" s="6" t="str">
        <f>HYPERLINK("http://catalog.hathitrust.org/Record/000474667","HathiTrust Record")</f>
        <v>HathiTrust Record</v>
      </c>
      <c r="AV137" s="6" t="str">
        <f>HYPERLINK("http://mcgill.on.worldcat.org/oclc/213816969","Catalog Record")</f>
        <v>Catalog Record</v>
      </c>
      <c r="AW137" s="6" t="str">
        <f>HYPERLINK("http://www.worldcat.org/oclc/213816969","WorldCat Record")</f>
        <v>WorldCat Record</v>
      </c>
      <c r="AX137" s="3" t="s">
        <v>1622</v>
      </c>
      <c r="AY137" s="3" t="s">
        <v>1623</v>
      </c>
      <c r="AZ137" s="3" t="s">
        <v>1624</v>
      </c>
      <c r="BA137" s="3" t="s">
        <v>1624</v>
      </c>
      <c r="BB137" s="3" t="s">
        <v>1631</v>
      </c>
      <c r="BC137" s="3" t="s">
        <v>102</v>
      </c>
      <c r="BD137" s="3" t="s">
        <v>68</v>
      </c>
      <c r="BF137" s="3" t="s">
        <v>1631</v>
      </c>
      <c r="BG137" s="3" t="s">
        <v>1632</v>
      </c>
    </row>
    <row r="138" spans="1:59" ht="87" x14ac:dyDescent="0.35">
      <c r="A138" s="2" t="s">
        <v>89</v>
      </c>
      <c r="B138" s="2" t="s">
        <v>90</v>
      </c>
      <c r="C138" s="2" t="s">
        <v>1633</v>
      </c>
      <c r="D138" s="2" t="s">
        <v>1634</v>
      </c>
      <c r="E138" s="2" t="s">
        <v>1635</v>
      </c>
      <c r="F138" s="3" t="s">
        <v>1636</v>
      </c>
      <c r="G138" s="3" t="s">
        <v>61</v>
      </c>
      <c r="I138" s="3" t="s">
        <v>61</v>
      </c>
      <c r="J138" s="3" t="s">
        <v>61</v>
      </c>
      <c r="K138" s="3" t="s">
        <v>63</v>
      </c>
      <c r="L138" s="2" t="s">
        <v>1637</v>
      </c>
      <c r="M138" s="2" t="s">
        <v>1638</v>
      </c>
      <c r="N138" s="3" t="s">
        <v>1639</v>
      </c>
      <c r="O138" s="2" t="s">
        <v>1640</v>
      </c>
      <c r="P138" s="3" t="s">
        <v>64</v>
      </c>
      <c r="Q138" s="2" t="s">
        <v>1641</v>
      </c>
      <c r="R138" s="3" t="s">
        <v>65</v>
      </c>
      <c r="S138" s="4">
        <v>6</v>
      </c>
      <c r="T138" s="4">
        <v>368</v>
      </c>
      <c r="U138" s="5" t="s">
        <v>1642</v>
      </c>
      <c r="V138" s="5" t="s">
        <v>1642</v>
      </c>
      <c r="W138" s="5" t="s">
        <v>67</v>
      </c>
      <c r="X138" s="5" t="s">
        <v>67</v>
      </c>
      <c r="Y138" s="4">
        <v>2100</v>
      </c>
      <c r="Z138" s="4">
        <v>82</v>
      </c>
      <c r="AA138" s="4">
        <v>166</v>
      </c>
      <c r="AB138" s="4">
        <v>4</v>
      </c>
      <c r="AC138" s="4">
        <v>18</v>
      </c>
      <c r="AD138" s="4">
        <v>151</v>
      </c>
      <c r="AE138" s="4">
        <v>180</v>
      </c>
      <c r="AF138" s="4">
        <v>2</v>
      </c>
      <c r="AG138" s="4">
        <v>8</v>
      </c>
      <c r="AH138" s="4">
        <v>111</v>
      </c>
      <c r="AI138" s="4">
        <v>120</v>
      </c>
      <c r="AJ138" s="4">
        <v>21</v>
      </c>
      <c r="AK138" s="4">
        <v>31</v>
      </c>
      <c r="AL138" s="4">
        <v>62</v>
      </c>
      <c r="AM138" s="4">
        <v>67</v>
      </c>
      <c r="AN138" s="4">
        <v>0</v>
      </c>
      <c r="AO138" s="4">
        <v>0</v>
      </c>
      <c r="AP138" s="4">
        <v>41</v>
      </c>
      <c r="AQ138" s="4">
        <v>60</v>
      </c>
      <c r="AR138" s="3" t="s">
        <v>62</v>
      </c>
      <c r="AS138" s="3" t="s">
        <v>62</v>
      </c>
      <c r="AT138" s="3" t="s">
        <v>61</v>
      </c>
      <c r="AU138" s="6" t="str">
        <f>HYPERLINK("http://catalog.hathitrust.org/Record/000711312","HathiTrust Record")</f>
        <v>HathiTrust Record</v>
      </c>
      <c r="AV138" s="6" t="str">
        <f>HYPERLINK("http://mcgill.on.worldcat.org/oclc/93075","Catalog Record")</f>
        <v>Catalog Record</v>
      </c>
      <c r="AW138" s="6" t="str">
        <f>HYPERLINK("http://www.worldcat.org/oclc/93075","WorldCat Record")</f>
        <v>WorldCat Record</v>
      </c>
      <c r="AX138" s="3" t="s">
        <v>1622</v>
      </c>
      <c r="AY138" s="3" t="s">
        <v>1643</v>
      </c>
      <c r="AZ138" s="3" t="s">
        <v>1644</v>
      </c>
      <c r="BA138" s="3" t="s">
        <v>1644</v>
      </c>
      <c r="BB138" s="3" t="s">
        <v>1645</v>
      </c>
      <c r="BC138" s="3" t="s">
        <v>102</v>
      </c>
      <c r="BD138" s="3" t="s">
        <v>68</v>
      </c>
      <c r="BE138" s="3" t="s">
        <v>1646</v>
      </c>
      <c r="BF138" s="3" t="s">
        <v>1645</v>
      </c>
      <c r="BG138" s="3" t="s">
        <v>1647</v>
      </c>
    </row>
    <row r="139" spans="1:59" ht="87" x14ac:dyDescent="0.35">
      <c r="A139" s="2" t="s">
        <v>89</v>
      </c>
      <c r="B139" s="2" t="s">
        <v>90</v>
      </c>
      <c r="C139" s="2" t="s">
        <v>1633</v>
      </c>
      <c r="D139" s="2" t="s">
        <v>1634</v>
      </c>
      <c r="E139" s="2" t="s">
        <v>1635</v>
      </c>
      <c r="F139" s="3" t="s">
        <v>1636</v>
      </c>
      <c r="G139" s="3" t="s">
        <v>61</v>
      </c>
      <c r="I139" s="3" t="s">
        <v>61</v>
      </c>
      <c r="J139" s="3" t="s">
        <v>61</v>
      </c>
      <c r="K139" s="3" t="s">
        <v>63</v>
      </c>
      <c r="L139" s="2" t="s">
        <v>1637</v>
      </c>
      <c r="M139" s="2" t="s">
        <v>1638</v>
      </c>
      <c r="N139" s="3" t="s">
        <v>1639</v>
      </c>
      <c r="O139" s="2" t="s">
        <v>1640</v>
      </c>
      <c r="P139" s="3" t="s">
        <v>64</v>
      </c>
      <c r="Q139" s="2" t="s">
        <v>1641</v>
      </c>
      <c r="R139" s="3" t="s">
        <v>65</v>
      </c>
      <c r="S139" s="4">
        <v>84</v>
      </c>
      <c r="T139" s="4">
        <v>368</v>
      </c>
      <c r="U139" s="5" t="s">
        <v>1648</v>
      </c>
      <c r="V139" s="5" t="s">
        <v>1642</v>
      </c>
      <c r="W139" s="5" t="s">
        <v>67</v>
      </c>
      <c r="X139" s="5" t="s">
        <v>67</v>
      </c>
      <c r="Y139" s="4">
        <v>2100</v>
      </c>
      <c r="Z139" s="4">
        <v>82</v>
      </c>
      <c r="AA139" s="4">
        <v>166</v>
      </c>
      <c r="AB139" s="4">
        <v>4</v>
      </c>
      <c r="AC139" s="4">
        <v>18</v>
      </c>
      <c r="AD139" s="4">
        <v>151</v>
      </c>
      <c r="AE139" s="4">
        <v>180</v>
      </c>
      <c r="AF139" s="4">
        <v>2</v>
      </c>
      <c r="AG139" s="4">
        <v>8</v>
      </c>
      <c r="AH139" s="4">
        <v>111</v>
      </c>
      <c r="AI139" s="4">
        <v>120</v>
      </c>
      <c r="AJ139" s="4">
        <v>21</v>
      </c>
      <c r="AK139" s="4">
        <v>31</v>
      </c>
      <c r="AL139" s="4">
        <v>62</v>
      </c>
      <c r="AM139" s="4">
        <v>67</v>
      </c>
      <c r="AN139" s="4">
        <v>0</v>
      </c>
      <c r="AO139" s="4">
        <v>0</v>
      </c>
      <c r="AP139" s="4">
        <v>41</v>
      </c>
      <c r="AQ139" s="4">
        <v>60</v>
      </c>
      <c r="AR139" s="3" t="s">
        <v>62</v>
      </c>
      <c r="AS139" s="3" t="s">
        <v>62</v>
      </c>
      <c r="AT139" s="3" t="s">
        <v>61</v>
      </c>
      <c r="AU139" s="6" t="str">
        <f>HYPERLINK("http://catalog.hathitrust.org/Record/000711312","HathiTrust Record")</f>
        <v>HathiTrust Record</v>
      </c>
      <c r="AV139" s="6" t="str">
        <f>HYPERLINK("http://mcgill.on.worldcat.org/oclc/93075","Catalog Record")</f>
        <v>Catalog Record</v>
      </c>
      <c r="AW139" s="6" t="str">
        <f>HYPERLINK("http://www.worldcat.org/oclc/93075","WorldCat Record")</f>
        <v>WorldCat Record</v>
      </c>
      <c r="AX139" s="3" t="s">
        <v>1622</v>
      </c>
      <c r="AY139" s="3" t="s">
        <v>1643</v>
      </c>
      <c r="AZ139" s="3" t="s">
        <v>1644</v>
      </c>
      <c r="BA139" s="3" t="s">
        <v>1644</v>
      </c>
      <c r="BB139" s="3" t="s">
        <v>1649</v>
      </c>
      <c r="BC139" s="3" t="s">
        <v>102</v>
      </c>
      <c r="BD139" s="3" t="s">
        <v>231</v>
      </c>
      <c r="BE139" s="3" t="s">
        <v>1646</v>
      </c>
      <c r="BF139" s="3" t="s">
        <v>1649</v>
      </c>
      <c r="BG139" s="3" t="s">
        <v>1650</v>
      </c>
    </row>
    <row r="140" spans="1:59" ht="87" x14ac:dyDescent="0.35">
      <c r="A140" s="2" t="s">
        <v>89</v>
      </c>
      <c r="B140" s="2" t="s">
        <v>90</v>
      </c>
      <c r="C140" s="2" t="s">
        <v>1633</v>
      </c>
      <c r="D140" s="2" t="s">
        <v>1634</v>
      </c>
      <c r="E140" s="2" t="s">
        <v>1635</v>
      </c>
      <c r="F140" s="3" t="s">
        <v>1636</v>
      </c>
      <c r="G140" s="3" t="s">
        <v>61</v>
      </c>
      <c r="I140" s="3" t="s">
        <v>61</v>
      </c>
      <c r="J140" s="3" t="s">
        <v>61</v>
      </c>
      <c r="K140" s="3" t="s">
        <v>63</v>
      </c>
      <c r="L140" s="2" t="s">
        <v>1637</v>
      </c>
      <c r="M140" s="2" t="s">
        <v>1638</v>
      </c>
      <c r="N140" s="3" t="s">
        <v>1639</v>
      </c>
      <c r="O140" s="2" t="s">
        <v>1640</v>
      </c>
      <c r="P140" s="3" t="s">
        <v>64</v>
      </c>
      <c r="Q140" s="2" t="s">
        <v>1641</v>
      </c>
      <c r="R140" s="3" t="s">
        <v>65</v>
      </c>
      <c r="S140" s="4">
        <v>97</v>
      </c>
      <c r="T140" s="4">
        <v>368</v>
      </c>
      <c r="U140" s="5" t="s">
        <v>1651</v>
      </c>
      <c r="V140" s="5" t="s">
        <v>1642</v>
      </c>
      <c r="W140" s="5" t="s">
        <v>67</v>
      </c>
      <c r="X140" s="5" t="s">
        <v>67</v>
      </c>
      <c r="Y140" s="4">
        <v>2100</v>
      </c>
      <c r="Z140" s="4">
        <v>82</v>
      </c>
      <c r="AA140" s="4">
        <v>166</v>
      </c>
      <c r="AB140" s="4">
        <v>4</v>
      </c>
      <c r="AC140" s="4">
        <v>18</v>
      </c>
      <c r="AD140" s="4">
        <v>151</v>
      </c>
      <c r="AE140" s="4">
        <v>180</v>
      </c>
      <c r="AF140" s="4">
        <v>2</v>
      </c>
      <c r="AG140" s="4">
        <v>8</v>
      </c>
      <c r="AH140" s="4">
        <v>111</v>
      </c>
      <c r="AI140" s="4">
        <v>120</v>
      </c>
      <c r="AJ140" s="4">
        <v>21</v>
      </c>
      <c r="AK140" s="4">
        <v>31</v>
      </c>
      <c r="AL140" s="4">
        <v>62</v>
      </c>
      <c r="AM140" s="4">
        <v>67</v>
      </c>
      <c r="AN140" s="4">
        <v>0</v>
      </c>
      <c r="AO140" s="4">
        <v>0</v>
      </c>
      <c r="AP140" s="4">
        <v>41</v>
      </c>
      <c r="AQ140" s="4">
        <v>60</v>
      </c>
      <c r="AR140" s="3" t="s">
        <v>62</v>
      </c>
      <c r="AS140" s="3" t="s">
        <v>62</v>
      </c>
      <c r="AT140" s="3" t="s">
        <v>61</v>
      </c>
      <c r="AU140" s="6" t="str">
        <f>HYPERLINK("http://catalog.hathitrust.org/Record/000711312","HathiTrust Record")</f>
        <v>HathiTrust Record</v>
      </c>
      <c r="AV140" s="6" t="str">
        <f>HYPERLINK("http://mcgill.on.worldcat.org/oclc/93075","Catalog Record")</f>
        <v>Catalog Record</v>
      </c>
      <c r="AW140" s="6" t="str">
        <f>HYPERLINK("http://www.worldcat.org/oclc/93075","WorldCat Record")</f>
        <v>WorldCat Record</v>
      </c>
      <c r="AX140" s="3" t="s">
        <v>1622</v>
      </c>
      <c r="AY140" s="3" t="s">
        <v>1643</v>
      </c>
      <c r="AZ140" s="3" t="s">
        <v>1644</v>
      </c>
      <c r="BA140" s="3" t="s">
        <v>1644</v>
      </c>
      <c r="BB140" s="3" t="s">
        <v>1652</v>
      </c>
      <c r="BC140" s="3" t="s">
        <v>102</v>
      </c>
      <c r="BD140" s="3" t="s">
        <v>68</v>
      </c>
      <c r="BE140" s="3" t="s">
        <v>1646</v>
      </c>
      <c r="BF140" s="3" t="s">
        <v>1652</v>
      </c>
      <c r="BG140" s="3" t="s">
        <v>1653</v>
      </c>
    </row>
    <row r="141" spans="1:59" ht="87" x14ac:dyDescent="0.35">
      <c r="A141" s="2" t="s">
        <v>89</v>
      </c>
      <c r="B141" s="2" t="s">
        <v>90</v>
      </c>
      <c r="C141" s="2" t="s">
        <v>1633</v>
      </c>
      <c r="D141" s="2" t="s">
        <v>1634</v>
      </c>
      <c r="E141" s="2" t="s">
        <v>1635</v>
      </c>
      <c r="F141" s="3" t="s">
        <v>1636</v>
      </c>
      <c r="G141" s="3" t="s">
        <v>61</v>
      </c>
      <c r="I141" s="3" t="s">
        <v>61</v>
      </c>
      <c r="J141" s="3" t="s">
        <v>61</v>
      </c>
      <c r="K141" s="3" t="s">
        <v>63</v>
      </c>
      <c r="L141" s="2" t="s">
        <v>1637</v>
      </c>
      <c r="M141" s="2" t="s">
        <v>1638</v>
      </c>
      <c r="N141" s="3" t="s">
        <v>1639</v>
      </c>
      <c r="O141" s="2" t="s">
        <v>1640</v>
      </c>
      <c r="P141" s="3" t="s">
        <v>64</v>
      </c>
      <c r="Q141" s="2" t="s">
        <v>1641</v>
      </c>
      <c r="R141" s="3" t="s">
        <v>65</v>
      </c>
      <c r="S141" s="4">
        <v>96</v>
      </c>
      <c r="T141" s="4">
        <v>368</v>
      </c>
      <c r="U141" s="5" t="s">
        <v>1654</v>
      </c>
      <c r="V141" s="5" t="s">
        <v>1642</v>
      </c>
      <c r="W141" s="5" t="s">
        <v>67</v>
      </c>
      <c r="X141" s="5" t="s">
        <v>67</v>
      </c>
      <c r="Y141" s="4">
        <v>2100</v>
      </c>
      <c r="Z141" s="4">
        <v>82</v>
      </c>
      <c r="AA141" s="4">
        <v>166</v>
      </c>
      <c r="AB141" s="4">
        <v>4</v>
      </c>
      <c r="AC141" s="4">
        <v>18</v>
      </c>
      <c r="AD141" s="4">
        <v>151</v>
      </c>
      <c r="AE141" s="4">
        <v>180</v>
      </c>
      <c r="AF141" s="4">
        <v>2</v>
      </c>
      <c r="AG141" s="4">
        <v>8</v>
      </c>
      <c r="AH141" s="4">
        <v>111</v>
      </c>
      <c r="AI141" s="4">
        <v>120</v>
      </c>
      <c r="AJ141" s="4">
        <v>21</v>
      </c>
      <c r="AK141" s="4">
        <v>31</v>
      </c>
      <c r="AL141" s="4">
        <v>62</v>
      </c>
      <c r="AM141" s="4">
        <v>67</v>
      </c>
      <c r="AN141" s="4">
        <v>0</v>
      </c>
      <c r="AO141" s="4">
        <v>0</v>
      </c>
      <c r="AP141" s="4">
        <v>41</v>
      </c>
      <c r="AQ141" s="4">
        <v>60</v>
      </c>
      <c r="AR141" s="3" t="s">
        <v>62</v>
      </c>
      <c r="AS141" s="3" t="s">
        <v>62</v>
      </c>
      <c r="AT141" s="3" t="s">
        <v>61</v>
      </c>
      <c r="AU141" s="6" t="str">
        <f>HYPERLINK("http://catalog.hathitrust.org/Record/000711312","HathiTrust Record")</f>
        <v>HathiTrust Record</v>
      </c>
      <c r="AV141" s="6" t="str">
        <f>HYPERLINK("http://mcgill.on.worldcat.org/oclc/93075","Catalog Record")</f>
        <v>Catalog Record</v>
      </c>
      <c r="AW141" s="6" t="str">
        <f>HYPERLINK("http://www.worldcat.org/oclc/93075","WorldCat Record")</f>
        <v>WorldCat Record</v>
      </c>
      <c r="AX141" s="3" t="s">
        <v>1622</v>
      </c>
      <c r="AY141" s="3" t="s">
        <v>1643</v>
      </c>
      <c r="AZ141" s="3" t="s">
        <v>1644</v>
      </c>
      <c r="BA141" s="3" t="s">
        <v>1644</v>
      </c>
      <c r="BB141" s="3" t="s">
        <v>1655</v>
      </c>
      <c r="BC141" s="3" t="s">
        <v>102</v>
      </c>
      <c r="BD141" s="3" t="s">
        <v>68</v>
      </c>
      <c r="BE141" s="3" t="s">
        <v>1646</v>
      </c>
      <c r="BF141" s="3" t="s">
        <v>1655</v>
      </c>
      <c r="BG141" s="3" t="s">
        <v>1656</v>
      </c>
    </row>
    <row r="142" spans="1:59" ht="58" x14ac:dyDescent="0.35">
      <c r="A142" s="2" t="s">
        <v>89</v>
      </c>
      <c r="B142" s="2" t="s">
        <v>90</v>
      </c>
      <c r="C142" s="2" t="s">
        <v>1657</v>
      </c>
      <c r="D142" s="2" t="s">
        <v>1658</v>
      </c>
      <c r="E142" s="2" t="s">
        <v>1659</v>
      </c>
      <c r="G142" s="3" t="s">
        <v>62</v>
      </c>
      <c r="I142" s="3" t="s">
        <v>61</v>
      </c>
      <c r="J142" s="3" t="s">
        <v>62</v>
      </c>
      <c r="K142" s="3" t="s">
        <v>63</v>
      </c>
      <c r="L142" s="2" t="s">
        <v>1660</v>
      </c>
      <c r="M142" s="2" t="s">
        <v>1661</v>
      </c>
      <c r="N142" s="3" t="s">
        <v>1662</v>
      </c>
      <c r="P142" s="3" t="s">
        <v>64</v>
      </c>
      <c r="R142" s="3" t="s">
        <v>65</v>
      </c>
      <c r="S142" s="4">
        <v>0</v>
      </c>
      <c r="T142" s="4">
        <v>1</v>
      </c>
      <c r="V142" s="5" t="s">
        <v>1663</v>
      </c>
      <c r="W142" s="5" t="s">
        <v>67</v>
      </c>
      <c r="X142" s="5" t="s">
        <v>67</v>
      </c>
      <c r="Y142" s="4">
        <v>4</v>
      </c>
      <c r="Z142" s="4">
        <v>1</v>
      </c>
      <c r="AA142" s="4">
        <v>14</v>
      </c>
      <c r="AB142" s="4">
        <v>1</v>
      </c>
      <c r="AC142" s="4">
        <v>1</v>
      </c>
      <c r="AD142" s="4">
        <v>1</v>
      </c>
      <c r="AE142" s="4">
        <v>84</v>
      </c>
      <c r="AF142" s="4">
        <v>0</v>
      </c>
      <c r="AG142" s="4">
        <v>0</v>
      </c>
      <c r="AH142" s="4">
        <v>1</v>
      </c>
      <c r="AI142" s="4">
        <v>76</v>
      </c>
      <c r="AJ142" s="4">
        <v>0</v>
      </c>
      <c r="AK142" s="4">
        <v>10</v>
      </c>
      <c r="AL142" s="4">
        <v>1</v>
      </c>
      <c r="AM142" s="4">
        <v>47</v>
      </c>
      <c r="AN142" s="4">
        <v>0</v>
      </c>
      <c r="AO142" s="4">
        <v>0</v>
      </c>
      <c r="AP142" s="4">
        <v>0</v>
      </c>
      <c r="AQ142" s="4">
        <v>11</v>
      </c>
      <c r="AR142" s="3" t="s">
        <v>62</v>
      </c>
      <c r="AS142" s="3" t="s">
        <v>62</v>
      </c>
      <c r="AT142" s="3" t="s">
        <v>62</v>
      </c>
      <c r="AU142" s="6" t="str">
        <f>HYPERLINK("http://catalog.hathitrust.org/Record/001110349","HathiTrust Record")</f>
        <v>HathiTrust Record</v>
      </c>
      <c r="AV142" s="6" t="str">
        <f>HYPERLINK("http://mcgill.on.worldcat.org/oclc/427381304","Catalog Record")</f>
        <v>Catalog Record</v>
      </c>
      <c r="AW142" s="6" t="str">
        <f>HYPERLINK("http://www.worldcat.org/oclc/427381304","WorldCat Record")</f>
        <v>WorldCat Record</v>
      </c>
      <c r="AX142" s="3" t="s">
        <v>1664</v>
      </c>
      <c r="AY142" s="3" t="s">
        <v>1665</v>
      </c>
      <c r="AZ142" s="3" t="s">
        <v>1666</v>
      </c>
      <c r="BA142" s="3" t="s">
        <v>1666</v>
      </c>
      <c r="BB142" s="3" t="s">
        <v>1667</v>
      </c>
      <c r="BC142" s="3" t="s">
        <v>102</v>
      </c>
      <c r="BD142" s="3" t="s">
        <v>68</v>
      </c>
      <c r="BF142" s="3" t="s">
        <v>1667</v>
      </c>
      <c r="BG142" s="3" t="s">
        <v>1668</v>
      </c>
    </row>
    <row r="143" spans="1:59" ht="116" x14ac:dyDescent="0.35">
      <c r="A143" s="2" t="s">
        <v>89</v>
      </c>
      <c r="B143" s="2" t="s">
        <v>1669</v>
      </c>
      <c r="C143" s="2" t="s">
        <v>1670</v>
      </c>
      <c r="D143" s="2" t="s">
        <v>1671</v>
      </c>
      <c r="E143" s="2" t="s">
        <v>1672</v>
      </c>
      <c r="G143" s="3" t="s">
        <v>62</v>
      </c>
      <c r="I143" s="3" t="s">
        <v>62</v>
      </c>
      <c r="J143" s="3" t="s">
        <v>62</v>
      </c>
      <c r="K143" s="3" t="s">
        <v>63</v>
      </c>
      <c r="M143" s="2" t="s">
        <v>1673</v>
      </c>
      <c r="N143" s="3" t="s">
        <v>893</v>
      </c>
      <c r="O143" s="2" t="s">
        <v>1674</v>
      </c>
      <c r="P143" s="3" t="s">
        <v>1675</v>
      </c>
      <c r="R143" s="3" t="s">
        <v>65</v>
      </c>
      <c r="S143" s="4">
        <v>1</v>
      </c>
      <c r="T143" s="4">
        <v>1</v>
      </c>
      <c r="U143" s="5" t="s">
        <v>1676</v>
      </c>
      <c r="V143" s="5" t="s">
        <v>1676</v>
      </c>
      <c r="W143" s="5" t="s">
        <v>67</v>
      </c>
      <c r="X143" s="5" t="s">
        <v>67</v>
      </c>
      <c r="Y143" s="4">
        <v>45</v>
      </c>
      <c r="Z143" s="4">
        <v>4</v>
      </c>
      <c r="AA143" s="4">
        <v>4</v>
      </c>
      <c r="AB143" s="4">
        <v>1</v>
      </c>
      <c r="AC143" s="4">
        <v>1</v>
      </c>
      <c r="AD143" s="4">
        <v>26</v>
      </c>
      <c r="AE143" s="4">
        <v>26</v>
      </c>
      <c r="AF143" s="4">
        <v>0</v>
      </c>
      <c r="AG143" s="4">
        <v>0</v>
      </c>
      <c r="AH143" s="4">
        <v>25</v>
      </c>
      <c r="AI143" s="4">
        <v>25</v>
      </c>
      <c r="AJ143" s="4">
        <v>2</v>
      </c>
      <c r="AK143" s="4">
        <v>2</v>
      </c>
      <c r="AL143" s="4">
        <v>21</v>
      </c>
      <c r="AM143" s="4">
        <v>21</v>
      </c>
      <c r="AN143" s="4">
        <v>0</v>
      </c>
      <c r="AO143" s="4">
        <v>0</v>
      </c>
      <c r="AP143" s="4">
        <v>2</v>
      </c>
      <c r="AQ143" s="4">
        <v>2</v>
      </c>
      <c r="AR143" s="3" t="s">
        <v>62</v>
      </c>
      <c r="AS143" s="3" t="s">
        <v>62</v>
      </c>
      <c r="AT143" s="3" t="s">
        <v>62</v>
      </c>
      <c r="AV143" s="6" t="str">
        <f>HYPERLINK("http://mcgill.on.worldcat.org/oclc/10122061","Catalog Record")</f>
        <v>Catalog Record</v>
      </c>
      <c r="AW143" s="6" t="str">
        <f>HYPERLINK("http://www.worldcat.org/oclc/10122061","WorldCat Record")</f>
        <v>WorldCat Record</v>
      </c>
      <c r="AX143" s="3" t="s">
        <v>1677</v>
      </c>
      <c r="AY143" s="3" t="s">
        <v>1678</v>
      </c>
      <c r="AZ143" s="3" t="s">
        <v>1679</v>
      </c>
      <c r="BA143" s="3" t="s">
        <v>1679</v>
      </c>
      <c r="BB143" s="3" t="s">
        <v>1680</v>
      </c>
      <c r="BC143" s="3" t="s">
        <v>102</v>
      </c>
      <c r="BD143" s="3" t="s">
        <v>68</v>
      </c>
      <c r="BF143" s="3" t="s">
        <v>1680</v>
      </c>
      <c r="BG143" s="3" t="s">
        <v>1681</v>
      </c>
    </row>
    <row r="144" spans="1:59" ht="116" x14ac:dyDescent="0.35">
      <c r="A144" s="2" t="s">
        <v>89</v>
      </c>
      <c r="B144" s="2" t="s">
        <v>1669</v>
      </c>
      <c r="C144" s="2" t="s">
        <v>1682</v>
      </c>
      <c r="D144" s="2" t="s">
        <v>1683</v>
      </c>
      <c r="E144" s="2" t="s">
        <v>1684</v>
      </c>
      <c r="G144" s="3" t="s">
        <v>62</v>
      </c>
      <c r="I144" s="3" t="s">
        <v>62</v>
      </c>
      <c r="J144" s="3" t="s">
        <v>62</v>
      </c>
      <c r="K144" s="3" t="s">
        <v>63</v>
      </c>
      <c r="M144" s="2" t="s">
        <v>1685</v>
      </c>
      <c r="N144" s="3" t="s">
        <v>539</v>
      </c>
      <c r="O144" s="2" t="s">
        <v>1674</v>
      </c>
      <c r="P144" s="3" t="s">
        <v>1675</v>
      </c>
      <c r="R144" s="3" t="s">
        <v>65</v>
      </c>
      <c r="S144" s="4">
        <v>2</v>
      </c>
      <c r="T144" s="4">
        <v>2</v>
      </c>
      <c r="U144" s="5" t="s">
        <v>1686</v>
      </c>
      <c r="V144" s="5" t="s">
        <v>1686</v>
      </c>
      <c r="W144" s="5" t="s">
        <v>67</v>
      </c>
      <c r="X144" s="5" t="s">
        <v>67</v>
      </c>
      <c r="Y144" s="4">
        <v>42</v>
      </c>
      <c r="Z144" s="4">
        <v>7</v>
      </c>
      <c r="AA144" s="4">
        <v>7</v>
      </c>
      <c r="AB144" s="4">
        <v>1</v>
      </c>
      <c r="AC144" s="4">
        <v>1</v>
      </c>
      <c r="AD144" s="4">
        <v>18</v>
      </c>
      <c r="AE144" s="4">
        <v>18</v>
      </c>
      <c r="AF144" s="4">
        <v>0</v>
      </c>
      <c r="AG144" s="4">
        <v>0</v>
      </c>
      <c r="AH144" s="4">
        <v>18</v>
      </c>
      <c r="AI144" s="4">
        <v>18</v>
      </c>
      <c r="AJ144" s="4">
        <v>4</v>
      </c>
      <c r="AK144" s="4">
        <v>4</v>
      </c>
      <c r="AL144" s="4">
        <v>14</v>
      </c>
      <c r="AM144" s="4">
        <v>14</v>
      </c>
      <c r="AN144" s="4">
        <v>0</v>
      </c>
      <c r="AO144" s="4">
        <v>0</v>
      </c>
      <c r="AP144" s="4">
        <v>4</v>
      </c>
      <c r="AQ144" s="4">
        <v>4</v>
      </c>
      <c r="AR144" s="3" t="s">
        <v>62</v>
      </c>
      <c r="AS144" s="3" t="s">
        <v>62</v>
      </c>
      <c r="AT144" s="3" t="s">
        <v>61</v>
      </c>
      <c r="AU144" s="6" t="str">
        <f>HYPERLINK("http://catalog.hathitrust.org/Record/102388420","HathiTrust Record")</f>
        <v>HathiTrust Record</v>
      </c>
      <c r="AV144" s="6" t="str">
        <f>HYPERLINK("http://mcgill.on.worldcat.org/oclc/42519188","Catalog Record")</f>
        <v>Catalog Record</v>
      </c>
      <c r="AW144" s="6" t="str">
        <f>HYPERLINK("http://www.worldcat.org/oclc/42519188","WorldCat Record")</f>
        <v>WorldCat Record</v>
      </c>
      <c r="AX144" s="3" t="s">
        <v>1687</v>
      </c>
      <c r="AY144" s="3" t="s">
        <v>1688</v>
      </c>
      <c r="AZ144" s="3" t="s">
        <v>1689</v>
      </c>
      <c r="BA144" s="3" t="s">
        <v>1689</v>
      </c>
      <c r="BB144" s="3" t="s">
        <v>1690</v>
      </c>
      <c r="BC144" s="3" t="s">
        <v>102</v>
      </c>
      <c r="BD144" s="3" t="s">
        <v>68</v>
      </c>
      <c r="BE144" s="3" t="s">
        <v>1691</v>
      </c>
      <c r="BF144" s="3" t="s">
        <v>1690</v>
      </c>
      <c r="BG144" s="3" t="s">
        <v>1692</v>
      </c>
    </row>
    <row r="145" spans="1:59" ht="58" x14ac:dyDescent="0.35">
      <c r="A145" s="2" t="s">
        <v>89</v>
      </c>
      <c r="B145" s="2" t="s">
        <v>90</v>
      </c>
      <c r="C145" s="2" t="s">
        <v>1693</v>
      </c>
      <c r="D145" s="2" t="s">
        <v>1694</v>
      </c>
      <c r="E145" s="2" t="s">
        <v>1695</v>
      </c>
      <c r="G145" s="3" t="s">
        <v>62</v>
      </c>
      <c r="I145" s="3" t="s">
        <v>62</v>
      </c>
      <c r="J145" s="3" t="s">
        <v>62</v>
      </c>
      <c r="K145" s="3" t="s">
        <v>63</v>
      </c>
      <c r="L145" s="2" t="s">
        <v>1696</v>
      </c>
      <c r="M145" s="2" t="s">
        <v>1697</v>
      </c>
      <c r="N145" s="3" t="s">
        <v>553</v>
      </c>
      <c r="P145" s="3" t="s">
        <v>64</v>
      </c>
      <c r="Q145" s="2" t="s">
        <v>1698</v>
      </c>
      <c r="R145" s="3" t="s">
        <v>65</v>
      </c>
      <c r="S145" s="4">
        <v>15</v>
      </c>
      <c r="T145" s="4">
        <v>15</v>
      </c>
      <c r="U145" s="5" t="s">
        <v>1699</v>
      </c>
      <c r="V145" s="5" t="s">
        <v>1699</v>
      </c>
      <c r="W145" s="5" t="s">
        <v>67</v>
      </c>
      <c r="X145" s="5" t="s">
        <v>67</v>
      </c>
      <c r="Y145" s="4">
        <v>5</v>
      </c>
      <c r="Z145" s="4">
        <v>1</v>
      </c>
      <c r="AA145" s="4">
        <v>12</v>
      </c>
      <c r="AB145" s="4">
        <v>1</v>
      </c>
      <c r="AC145" s="4">
        <v>1</v>
      </c>
      <c r="AD145" s="4">
        <v>1</v>
      </c>
      <c r="AE145" s="4">
        <v>68</v>
      </c>
      <c r="AF145" s="4">
        <v>0</v>
      </c>
      <c r="AG145" s="4">
        <v>0</v>
      </c>
      <c r="AH145" s="4">
        <v>1</v>
      </c>
      <c r="AI145" s="4">
        <v>62</v>
      </c>
      <c r="AJ145" s="4">
        <v>0</v>
      </c>
      <c r="AK145" s="4">
        <v>9</v>
      </c>
      <c r="AL145" s="4">
        <v>1</v>
      </c>
      <c r="AM145" s="4">
        <v>40</v>
      </c>
      <c r="AN145" s="4">
        <v>0</v>
      </c>
      <c r="AO145" s="4">
        <v>0</v>
      </c>
      <c r="AP145" s="4">
        <v>0</v>
      </c>
      <c r="AQ145" s="4">
        <v>9</v>
      </c>
      <c r="AR145" s="3" t="s">
        <v>62</v>
      </c>
      <c r="AS145" s="3" t="s">
        <v>62</v>
      </c>
      <c r="AT145" s="3" t="s">
        <v>61</v>
      </c>
      <c r="AU145" s="6" t="str">
        <f>HYPERLINK("http://catalog.hathitrust.org/Record/004071144","HathiTrust Record")</f>
        <v>HathiTrust Record</v>
      </c>
      <c r="AV145" s="6" t="str">
        <f>HYPERLINK("http://mcgill.on.worldcat.org/oclc/428073751","Catalog Record")</f>
        <v>Catalog Record</v>
      </c>
      <c r="AW145" s="6" t="str">
        <f>HYPERLINK("http://www.worldcat.org/oclc/428073751","WorldCat Record")</f>
        <v>WorldCat Record</v>
      </c>
      <c r="AX145" s="3" t="s">
        <v>1700</v>
      </c>
      <c r="AY145" s="3" t="s">
        <v>1701</v>
      </c>
      <c r="AZ145" s="3" t="s">
        <v>1702</v>
      </c>
      <c r="BA145" s="3" t="s">
        <v>1702</v>
      </c>
      <c r="BB145" s="3" t="s">
        <v>1703</v>
      </c>
      <c r="BC145" s="3" t="s">
        <v>102</v>
      </c>
      <c r="BD145" s="3" t="s">
        <v>68</v>
      </c>
      <c r="BE145" s="3" t="s">
        <v>1704</v>
      </c>
      <c r="BF145" s="3" t="s">
        <v>1703</v>
      </c>
      <c r="BG145" s="3" t="s">
        <v>1705</v>
      </c>
    </row>
    <row r="146" spans="1:59" ht="58" x14ac:dyDescent="0.35">
      <c r="A146" s="2" t="s">
        <v>89</v>
      </c>
      <c r="B146" s="2" t="s">
        <v>90</v>
      </c>
      <c r="C146" s="2" t="s">
        <v>1706</v>
      </c>
      <c r="D146" s="2" t="s">
        <v>1707</v>
      </c>
      <c r="E146" s="2" t="s">
        <v>1708</v>
      </c>
      <c r="G146" s="3" t="s">
        <v>62</v>
      </c>
      <c r="I146" s="3" t="s">
        <v>62</v>
      </c>
      <c r="J146" s="3" t="s">
        <v>62</v>
      </c>
      <c r="K146" s="3" t="s">
        <v>63</v>
      </c>
      <c r="L146" s="2" t="s">
        <v>1709</v>
      </c>
      <c r="M146" s="2" t="s">
        <v>1710</v>
      </c>
      <c r="N146" s="3" t="s">
        <v>568</v>
      </c>
      <c r="P146" s="3" t="s">
        <v>64</v>
      </c>
      <c r="R146" s="3" t="s">
        <v>65</v>
      </c>
      <c r="S146" s="4">
        <v>21</v>
      </c>
      <c r="T146" s="4">
        <v>21</v>
      </c>
      <c r="U146" s="5" t="s">
        <v>1711</v>
      </c>
      <c r="V146" s="5" t="s">
        <v>1711</v>
      </c>
      <c r="W146" s="5" t="s">
        <v>67</v>
      </c>
      <c r="X146" s="5" t="s">
        <v>67</v>
      </c>
      <c r="Y146" s="4">
        <v>675</v>
      </c>
      <c r="Z146" s="4">
        <v>30</v>
      </c>
      <c r="AA146" s="4">
        <v>36</v>
      </c>
      <c r="AB146" s="4">
        <v>3</v>
      </c>
      <c r="AC146" s="4">
        <v>8</v>
      </c>
      <c r="AD146" s="4">
        <v>121</v>
      </c>
      <c r="AE146" s="4">
        <v>125</v>
      </c>
      <c r="AF146" s="4">
        <v>2</v>
      </c>
      <c r="AG146" s="4">
        <v>6</v>
      </c>
      <c r="AH146" s="4">
        <v>103</v>
      </c>
      <c r="AI146" s="4">
        <v>104</v>
      </c>
      <c r="AJ146" s="4">
        <v>16</v>
      </c>
      <c r="AK146" s="4">
        <v>20</v>
      </c>
      <c r="AL146" s="4">
        <v>58</v>
      </c>
      <c r="AM146" s="4">
        <v>58</v>
      </c>
      <c r="AN146" s="4">
        <v>0</v>
      </c>
      <c r="AO146" s="4">
        <v>0</v>
      </c>
      <c r="AP146" s="4">
        <v>23</v>
      </c>
      <c r="AQ146" s="4">
        <v>26</v>
      </c>
      <c r="AR146" s="3" t="s">
        <v>62</v>
      </c>
      <c r="AS146" s="3" t="s">
        <v>62</v>
      </c>
      <c r="AT146" s="3" t="s">
        <v>62</v>
      </c>
      <c r="AV146" s="6" t="str">
        <f>HYPERLINK("http://mcgill.on.worldcat.org/oclc/42682849","Catalog Record")</f>
        <v>Catalog Record</v>
      </c>
      <c r="AW146" s="6" t="str">
        <f>HYPERLINK("http://www.worldcat.org/oclc/42682849","WorldCat Record")</f>
        <v>WorldCat Record</v>
      </c>
      <c r="AX146" s="3" t="s">
        <v>1712</v>
      </c>
      <c r="AY146" s="3" t="s">
        <v>1713</v>
      </c>
      <c r="AZ146" s="3" t="s">
        <v>1714</v>
      </c>
      <c r="BA146" s="3" t="s">
        <v>1714</v>
      </c>
      <c r="BB146" s="3" t="s">
        <v>1715</v>
      </c>
      <c r="BC146" s="3" t="s">
        <v>102</v>
      </c>
      <c r="BD146" s="3" t="s">
        <v>68</v>
      </c>
      <c r="BE146" s="3" t="s">
        <v>1716</v>
      </c>
      <c r="BF146" s="3" t="s">
        <v>1715</v>
      </c>
      <c r="BG146" s="3" t="s">
        <v>1717</v>
      </c>
    </row>
    <row r="147" spans="1:59" ht="58" x14ac:dyDescent="0.35">
      <c r="A147" s="2" t="s">
        <v>89</v>
      </c>
      <c r="B147" s="2" t="s">
        <v>90</v>
      </c>
      <c r="C147" s="2" t="s">
        <v>1718</v>
      </c>
      <c r="D147" s="2" t="s">
        <v>1719</v>
      </c>
      <c r="E147" s="2" t="s">
        <v>1720</v>
      </c>
      <c r="G147" s="3" t="s">
        <v>62</v>
      </c>
      <c r="I147" s="3" t="s">
        <v>62</v>
      </c>
      <c r="J147" s="3" t="s">
        <v>62</v>
      </c>
      <c r="K147" s="3" t="s">
        <v>63</v>
      </c>
      <c r="M147" s="2" t="s">
        <v>1721</v>
      </c>
      <c r="N147" s="3" t="s">
        <v>1722</v>
      </c>
      <c r="P147" s="3" t="s">
        <v>85</v>
      </c>
      <c r="R147" s="3" t="s">
        <v>65</v>
      </c>
      <c r="S147" s="4">
        <v>2</v>
      </c>
      <c r="T147" s="4">
        <v>2</v>
      </c>
      <c r="U147" s="5" t="s">
        <v>1723</v>
      </c>
      <c r="V147" s="5" t="s">
        <v>1723</v>
      </c>
      <c r="W147" s="5" t="s">
        <v>67</v>
      </c>
      <c r="X147" s="5" t="s">
        <v>67</v>
      </c>
      <c r="Y147" s="4">
        <v>20</v>
      </c>
      <c r="Z147" s="4">
        <v>5</v>
      </c>
      <c r="AA147" s="4">
        <v>12</v>
      </c>
      <c r="AB147" s="4">
        <v>2</v>
      </c>
      <c r="AC147" s="4">
        <v>6</v>
      </c>
      <c r="AD147" s="4">
        <v>8</v>
      </c>
      <c r="AE147" s="4">
        <v>14</v>
      </c>
      <c r="AF147" s="4">
        <v>1</v>
      </c>
      <c r="AG147" s="4">
        <v>4</v>
      </c>
      <c r="AH147" s="4">
        <v>6</v>
      </c>
      <c r="AI147" s="4">
        <v>9</v>
      </c>
      <c r="AJ147" s="4">
        <v>3</v>
      </c>
      <c r="AK147" s="4">
        <v>9</v>
      </c>
      <c r="AL147" s="4">
        <v>5</v>
      </c>
      <c r="AM147" s="4">
        <v>5</v>
      </c>
      <c r="AN147" s="4">
        <v>0</v>
      </c>
      <c r="AO147" s="4">
        <v>0</v>
      </c>
      <c r="AP147" s="4">
        <v>3</v>
      </c>
      <c r="AQ147" s="4">
        <v>8</v>
      </c>
      <c r="AR147" s="3" t="s">
        <v>62</v>
      </c>
      <c r="AS147" s="3" t="s">
        <v>62</v>
      </c>
      <c r="AT147" s="3" t="s">
        <v>62</v>
      </c>
      <c r="AV147" s="6" t="str">
        <f>HYPERLINK("http://mcgill.on.worldcat.org/oclc/243499149","Catalog Record")</f>
        <v>Catalog Record</v>
      </c>
      <c r="AW147" s="6" t="str">
        <f>HYPERLINK("http://www.worldcat.org/oclc/243499149","WorldCat Record")</f>
        <v>WorldCat Record</v>
      </c>
      <c r="AX147" s="3" t="s">
        <v>1724</v>
      </c>
      <c r="AY147" s="3" t="s">
        <v>1725</v>
      </c>
      <c r="AZ147" s="3" t="s">
        <v>1726</v>
      </c>
      <c r="BA147" s="3" t="s">
        <v>1726</v>
      </c>
      <c r="BB147" s="3" t="s">
        <v>1727</v>
      </c>
      <c r="BC147" s="3" t="s">
        <v>102</v>
      </c>
      <c r="BD147" s="3" t="s">
        <v>68</v>
      </c>
      <c r="BE147" s="3" t="s">
        <v>1728</v>
      </c>
      <c r="BF147" s="3" t="s">
        <v>1727</v>
      </c>
      <c r="BG147" s="3" t="s">
        <v>1729</v>
      </c>
    </row>
    <row r="148" spans="1:59" ht="101.5" x14ac:dyDescent="0.35">
      <c r="A148" s="2" t="s">
        <v>89</v>
      </c>
      <c r="B148" s="2" t="s">
        <v>90</v>
      </c>
      <c r="C148" s="2" t="s">
        <v>1730</v>
      </c>
      <c r="D148" s="2" t="s">
        <v>1731</v>
      </c>
      <c r="E148" s="2" t="s">
        <v>1732</v>
      </c>
      <c r="G148" s="3" t="s">
        <v>62</v>
      </c>
      <c r="I148" s="3" t="s">
        <v>62</v>
      </c>
      <c r="J148" s="3" t="s">
        <v>62</v>
      </c>
      <c r="K148" s="3" t="s">
        <v>63</v>
      </c>
      <c r="L148" s="2" t="s">
        <v>1733</v>
      </c>
      <c r="M148" s="2" t="s">
        <v>1734</v>
      </c>
      <c r="N148" s="3" t="s">
        <v>684</v>
      </c>
      <c r="P148" s="3" t="s">
        <v>85</v>
      </c>
      <c r="R148" s="3" t="s">
        <v>65</v>
      </c>
      <c r="S148" s="4">
        <v>0</v>
      </c>
      <c r="T148" s="4">
        <v>0</v>
      </c>
      <c r="W148" s="5" t="s">
        <v>67</v>
      </c>
      <c r="X148" s="5" t="s">
        <v>67</v>
      </c>
      <c r="Y148" s="4">
        <v>10</v>
      </c>
      <c r="Z148" s="4">
        <v>1</v>
      </c>
      <c r="AA148" s="4">
        <v>2</v>
      </c>
      <c r="AB148" s="4">
        <v>1</v>
      </c>
      <c r="AC148" s="4">
        <v>2</v>
      </c>
      <c r="AD148" s="4">
        <v>3</v>
      </c>
      <c r="AE148" s="4">
        <v>4</v>
      </c>
      <c r="AF148" s="4">
        <v>0</v>
      </c>
      <c r="AG148" s="4">
        <v>0</v>
      </c>
      <c r="AH148" s="4">
        <v>3</v>
      </c>
      <c r="AI148" s="4">
        <v>4</v>
      </c>
      <c r="AJ148" s="4">
        <v>0</v>
      </c>
      <c r="AK148" s="4">
        <v>0</v>
      </c>
      <c r="AL148" s="4">
        <v>2</v>
      </c>
      <c r="AM148" s="4">
        <v>3</v>
      </c>
      <c r="AN148" s="4">
        <v>0</v>
      </c>
      <c r="AO148" s="4">
        <v>0</v>
      </c>
      <c r="AP148" s="4">
        <v>0</v>
      </c>
      <c r="AQ148" s="4">
        <v>0</v>
      </c>
      <c r="AR148" s="3" t="s">
        <v>62</v>
      </c>
      <c r="AS148" s="3" t="s">
        <v>62</v>
      </c>
      <c r="AT148" s="3" t="s">
        <v>62</v>
      </c>
      <c r="AV148" s="6" t="str">
        <f>HYPERLINK("http://mcgill.on.worldcat.org/oclc/810124821","Catalog Record")</f>
        <v>Catalog Record</v>
      </c>
      <c r="AW148" s="6" t="str">
        <f>HYPERLINK("http://www.worldcat.org/oclc/810124821","WorldCat Record")</f>
        <v>WorldCat Record</v>
      </c>
      <c r="AX148" s="3" t="s">
        <v>1735</v>
      </c>
      <c r="AY148" s="3" t="s">
        <v>1736</v>
      </c>
      <c r="AZ148" s="3" t="s">
        <v>1737</v>
      </c>
      <c r="BA148" s="3" t="s">
        <v>1737</v>
      </c>
      <c r="BB148" s="3" t="s">
        <v>1738</v>
      </c>
      <c r="BC148" s="3" t="s">
        <v>102</v>
      </c>
      <c r="BD148" s="3" t="s">
        <v>68</v>
      </c>
      <c r="BE148" s="3" t="s">
        <v>1739</v>
      </c>
      <c r="BF148" s="3" t="s">
        <v>1738</v>
      </c>
      <c r="BG148" s="3" t="s">
        <v>1740</v>
      </c>
    </row>
    <row r="149" spans="1:59" ht="58" x14ac:dyDescent="0.35">
      <c r="A149" s="2" t="s">
        <v>89</v>
      </c>
      <c r="B149" s="2" t="s">
        <v>90</v>
      </c>
      <c r="C149" s="2" t="s">
        <v>1741</v>
      </c>
      <c r="D149" s="2" t="s">
        <v>1742</v>
      </c>
      <c r="E149" s="2" t="s">
        <v>1743</v>
      </c>
      <c r="G149" s="3" t="s">
        <v>62</v>
      </c>
      <c r="I149" s="3" t="s">
        <v>62</v>
      </c>
      <c r="J149" s="3" t="s">
        <v>62</v>
      </c>
      <c r="K149" s="3" t="s">
        <v>63</v>
      </c>
      <c r="M149" s="2" t="s">
        <v>1744</v>
      </c>
      <c r="N149" s="3" t="s">
        <v>95</v>
      </c>
      <c r="P149" s="3" t="s">
        <v>64</v>
      </c>
      <c r="Q149" s="2" t="s">
        <v>1745</v>
      </c>
      <c r="R149" s="3" t="s">
        <v>65</v>
      </c>
      <c r="S149" s="4">
        <v>1</v>
      </c>
      <c r="T149" s="4">
        <v>1</v>
      </c>
      <c r="U149" s="5" t="s">
        <v>1746</v>
      </c>
      <c r="V149" s="5" t="s">
        <v>1746</v>
      </c>
      <c r="W149" s="5" t="s">
        <v>67</v>
      </c>
      <c r="X149" s="5" t="s">
        <v>67</v>
      </c>
      <c r="Y149" s="4">
        <v>6</v>
      </c>
      <c r="Z149" s="4">
        <v>1</v>
      </c>
      <c r="AA149" s="4">
        <v>1</v>
      </c>
      <c r="AB149" s="4">
        <v>1</v>
      </c>
      <c r="AC149" s="4">
        <v>1</v>
      </c>
      <c r="AD149" s="4">
        <v>5</v>
      </c>
      <c r="AE149" s="4">
        <v>5</v>
      </c>
      <c r="AF149" s="4">
        <v>0</v>
      </c>
      <c r="AG149" s="4">
        <v>0</v>
      </c>
      <c r="AH149" s="4">
        <v>5</v>
      </c>
      <c r="AI149" s="4">
        <v>5</v>
      </c>
      <c r="AJ149" s="4">
        <v>0</v>
      </c>
      <c r="AK149" s="4">
        <v>0</v>
      </c>
      <c r="AL149" s="4">
        <v>3</v>
      </c>
      <c r="AM149" s="4">
        <v>3</v>
      </c>
      <c r="AN149" s="4">
        <v>0</v>
      </c>
      <c r="AO149" s="4">
        <v>0</v>
      </c>
      <c r="AP149" s="4">
        <v>0</v>
      </c>
      <c r="AQ149" s="4">
        <v>0</v>
      </c>
      <c r="AR149" s="3" t="s">
        <v>62</v>
      </c>
      <c r="AS149" s="3" t="s">
        <v>62</v>
      </c>
      <c r="AT149" s="3" t="s">
        <v>62</v>
      </c>
      <c r="AV149" s="6" t="str">
        <f>HYPERLINK("http://mcgill.on.worldcat.org/oclc/15520696","Catalog Record")</f>
        <v>Catalog Record</v>
      </c>
      <c r="AW149" s="6" t="str">
        <f>HYPERLINK("http://www.worldcat.org/oclc/15520696","WorldCat Record")</f>
        <v>WorldCat Record</v>
      </c>
      <c r="AX149" s="3" t="s">
        <v>1747</v>
      </c>
      <c r="AY149" s="3" t="s">
        <v>1748</v>
      </c>
      <c r="AZ149" s="3" t="s">
        <v>1749</v>
      </c>
      <c r="BA149" s="3" t="s">
        <v>1749</v>
      </c>
      <c r="BB149" s="3" t="s">
        <v>1750</v>
      </c>
      <c r="BC149" s="3" t="s">
        <v>102</v>
      </c>
      <c r="BD149" s="3" t="s">
        <v>68</v>
      </c>
      <c r="BF149" s="3" t="s">
        <v>1750</v>
      </c>
      <c r="BG149" s="3" t="s">
        <v>1751</v>
      </c>
    </row>
    <row r="150" spans="1:59" ht="130.5" x14ac:dyDescent="0.35">
      <c r="A150" s="2" t="s">
        <v>59</v>
      </c>
      <c r="B150" s="2" t="s">
        <v>77</v>
      </c>
      <c r="C150" s="2" t="s">
        <v>1754</v>
      </c>
      <c r="D150" s="2" t="s">
        <v>1755</v>
      </c>
      <c r="E150" s="2" t="s">
        <v>1756</v>
      </c>
      <c r="F150" s="3" t="s">
        <v>1757</v>
      </c>
      <c r="G150" s="3" t="s">
        <v>61</v>
      </c>
      <c r="I150" s="3" t="s">
        <v>62</v>
      </c>
      <c r="J150" s="3" t="s">
        <v>62</v>
      </c>
      <c r="K150" s="3" t="s">
        <v>63</v>
      </c>
      <c r="L150" s="2" t="s">
        <v>1758</v>
      </c>
      <c r="M150" s="2" t="s">
        <v>1759</v>
      </c>
      <c r="N150" s="3" t="s">
        <v>157</v>
      </c>
      <c r="P150" s="3" t="s">
        <v>1760</v>
      </c>
      <c r="R150" s="3" t="s">
        <v>65</v>
      </c>
      <c r="S150" s="4">
        <v>1</v>
      </c>
      <c r="T150" s="4">
        <v>1</v>
      </c>
      <c r="U150" s="5" t="s">
        <v>1761</v>
      </c>
      <c r="V150" s="5" t="s">
        <v>1761</v>
      </c>
      <c r="W150" s="5" t="s">
        <v>67</v>
      </c>
      <c r="X150" s="5" t="s">
        <v>67</v>
      </c>
      <c r="Y150" s="4">
        <v>30</v>
      </c>
      <c r="Z150" s="4">
        <v>2</v>
      </c>
      <c r="AA150" s="4">
        <v>3</v>
      </c>
      <c r="AB150" s="4">
        <v>1</v>
      </c>
      <c r="AC150" s="4">
        <v>1</v>
      </c>
      <c r="AD150" s="4">
        <v>22</v>
      </c>
      <c r="AE150" s="4">
        <v>23</v>
      </c>
      <c r="AF150" s="4">
        <v>0</v>
      </c>
      <c r="AG150" s="4">
        <v>0</v>
      </c>
      <c r="AH150" s="4">
        <v>20</v>
      </c>
      <c r="AI150" s="4">
        <v>21</v>
      </c>
      <c r="AJ150" s="4">
        <v>1</v>
      </c>
      <c r="AK150" s="4">
        <v>2</v>
      </c>
      <c r="AL150" s="4">
        <v>13</v>
      </c>
      <c r="AM150" s="4">
        <v>13</v>
      </c>
      <c r="AN150" s="4">
        <v>0</v>
      </c>
      <c r="AO150" s="4">
        <v>0</v>
      </c>
      <c r="AP150" s="4">
        <v>1</v>
      </c>
      <c r="AQ150" s="4">
        <v>2</v>
      </c>
      <c r="AR150" s="3" t="s">
        <v>62</v>
      </c>
      <c r="AS150" s="3" t="s">
        <v>62</v>
      </c>
      <c r="AT150" s="3" t="s">
        <v>61</v>
      </c>
      <c r="AU150" s="6" t="str">
        <f t="shared" ref="AU150:AU162" si="6">HYPERLINK("http://catalog.hathitrust.org/Record/001473360","HathiTrust Record")</f>
        <v>HathiTrust Record</v>
      </c>
      <c r="AV150" s="6" t="str">
        <f t="shared" ref="AV150:AV162" si="7">HYPERLINK("http://mcgill.on.worldcat.org/oclc/11519360","Catalog Record")</f>
        <v>Catalog Record</v>
      </c>
      <c r="AW150" s="6" t="str">
        <f t="shared" ref="AW150:AW162" si="8">HYPERLINK("http://www.worldcat.org/oclc/11519360","WorldCat Record")</f>
        <v>WorldCat Record</v>
      </c>
      <c r="AX150" s="3" t="s">
        <v>1762</v>
      </c>
      <c r="AY150" s="3" t="s">
        <v>1763</v>
      </c>
      <c r="AZ150" s="3" t="s">
        <v>1764</v>
      </c>
      <c r="BA150" s="3" t="s">
        <v>1764</v>
      </c>
      <c r="BB150" s="3" t="s">
        <v>1765</v>
      </c>
      <c r="BC150" s="3" t="s">
        <v>102</v>
      </c>
      <c r="BD150" s="3" t="s">
        <v>68</v>
      </c>
      <c r="BF150" s="3" t="s">
        <v>1765</v>
      </c>
      <c r="BG150" s="3" t="s">
        <v>1766</v>
      </c>
    </row>
    <row r="151" spans="1:59" ht="130.5" x14ac:dyDescent="0.35">
      <c r="A151" s="2" t="s">
        <v>59</v>
      </c>
      <c r="B151" s="2" t="s">
        <v>77</v>
      </c>
      <c r="C151" s="2" t="s">
        <v>1754</v>
      </c>
      <c r="D151" s="2" t="s">
        <v>1755</v>
      </c>
      <c r="E151" s="2" t="s">
        <v>1756</v>
      </c>
      <c r="F151" s="3" t="s">
        <v>1767</v>
      </c>
      <c r="G151" s="3" t="s">
        <v>61</v>
      </c>
      <c r="I151" s="3" t="s">
        <v>62</v>
      </c>
      <c r="J151" s="3" t="s">
        <v>62</v>
      </c>
      <c r="K151" s="3" t="s">
        <v>63</v>
      </c>
      <c r="L151" s="2" t="s">
        <v>1758</v>
      </c>
      <c r="M151" s="2" t="s">
        <v>1759</v>
      </c>
      <c r="N151" s="3" t="s">
        <v>157</v>
      </c>
      <c r="P151" s="3" t="s">
        <v>1760</v>
      </c>
      <c r="R151" s="3" t="s">
        <v>65</v>
      </c>
      <c r="S151" s="4">
        <v>0</v>
      </c>
      <c r="T151" s="4">
        <v>1</v>
      </c>
      <c r="V151" s="5" t="s">
        <v>1761</v>
      </c>
      <c r="W151" s="5" t="s">
        <v>67</v>
      </c>
      <c r="X151" s="5" t="s">
        <v>67</v>
      </c>
      <c r="Y151" s="4">
        <v>30</v>
      </c>
      <c r="Z151" s="4">
        <v>2</v>
      </c>
      <c r="AA151" s="4">
        <v>3</v>
      </c>
      <c r="AB151" s="4">
        <v>1</v>
      </c>
      <c r="AC151" s="4">
        <v>1</v>
      </c>
      <c r="AD151" s="4">
        <v>22</v>
      </c>
      <c r="AE151" s="4">
        <v>23</v>
      </c>
      <c r="AF151" s="4">
        <v>0</v>
      </c>
      <c r="AG151" s="4">
        <v>0</v>
      </c>
      <c r="AH151" s="4">
        <v>20</v>
      </c>
      <c r="AI151" s="4">
        <v>21</v>
      </c>
      <c r="AJ151" s="4">
        <v>1</v>
      </c>
      <c r="AK151" s="4">
        <v>2</v>
      </c>
      <c r="AL151" s="4">
        <v>13</v>
      </c>
      <c r="AM151" s="4">
        <v>13</v>
      </c>
      <c r="AN151" s="4">
        <v>0</v>
      </c>
      <c r="AO151" s="4">
        <v>0</v>
      </c>
      <c r="AP151" s="4">
        <v>1</v>
      </c>
      <c r="AQ151" s="4">
        <v>2</v>
      </c>
      <c r="AR151" s="3" t="s">
        <v>62</v>
      </c>
      <c r="AS151" s="3" t="s">
        <v>62</v>
      </c>
      <c r="AT151" s="3" t="s">
        <v>61</v>
      </c>
      <c r="AU151" s="6" t="str">
        <f t="shared" si="6"/>
        <v>HathiTrust Record</v>
      </c>
      <c r="AV151" s="6" t="str">
        <f t="shared" si="7"/>
        <v>Catalog Record</v>
      </c>
      <c r="AW151" s="6" t="str">
        <f t="shared" si="8"/>
        <v>WorldCat Record</v>
      </c>
      <c r="AX151" s="3" t="s">
        <v>1762</v>
      </c>
      <c r="AY151" s="3" t="s">
        <v>1763</v>
      </c>
      <c r="AZ151" s="3" t="s">
        <v>1764</v>
      </c>
      <c r="BA151" s="3" t="s">
        <v>1764</v>
      </c>
      <c r="BB151" s="3" t="s">
        <v>1768</v>
      </c>
      <c r="BC151" s="3" t="s">
        <v>102</v>
      </c>
      <c r="BD151" s="3" t="s">
        <v>68</v>
      </c>
      <c r="BF151" s="3" t="s">
        <v>1768</v>
      </c>
      <c r="BG151" s="3" t="s">
        <v>1769</v>
      </c>
    </row>
    <row r="152" spans="1:59" ht="130.5" x14ac:dyDescent="0.35">
      <c r="A152" s="2" t="s">
        <v>59</v>
      </c>
      <c r="B152" s="2" t="s">
        <v>77</v>
      </c>
      <c r="C152" s="2" t="s">
        <v>1754</v>
      </c>
      <c r="D152" s="2" t="s">
        <v>1755</v>
      </c>
      <c r="E152" s="2" t="s">
        <v>1756</v>
      </c>
      <c r="F152" s="3" t="s">
        <v>1770</v>
      </c>
      <c r="G152" s="3" t="s">
        <v>61</v>
      </c>
      <c r="I152" s="3" t="s">
        <v>62</v>
      </c>
      <c r="J152" s="3" t="s">
        <v>62</v>
      </c>
      <c r="K152" s="3" t="s">
        <v>63</v>
      </c>
      <c r="L152" s="2" t="s">
        <v>1758</v>
      </c>
      <c r="M152" s="2" t="s">
        <v>1759</v>
      </c>
      <c r="N152" s="3" t="s">
        <v>157</v>
      </c>
      <c r="P152" s="3" t="s">
        <v>1760</v>
      </c>
      <c r="R152" s="3" t="s">
        <v>65</v>
      </c>
      <c r="S152" s="4">
        <v>0</v>
      </c>
      <c r="T152" s="4">
        <v>1</v>
      </c>
      <c r="V152" s="5" t="s">
        <v>1761</v>
      </c>
      <c r="W152" s="5" t="s">
        <v>67</v>
      </c>
      <c r="X152" s="5" t="s">
        <v>67</v>
      </c>
      <c r="Y152" s="4">
        <v>30</v>
      </c>
      <c r="Z152" s="4">
        <v>2</v>
      </c>
      <c r="AA152" s="4">
        <v>3</v>
      </c>
      <c r="AB152" s="4">
        <v>1</v>
      </c>
      <c r="AC152" s="4">
        <v>1</v>
      </c>
      <c r="AD152" s="4">
        <v>22</v>
      </c>
      <c r="AE152" s="4">
        <v>23</v>
      </c>
      <c r="AF152" s="4">
        <v>0</v>
      </c>
      <c r="AG152" s="4">
        <v>0</v>
      </c>
      <c r="AH152" s="4">
        <v>20</v>
      </c>
      <c r="AI152" s="4">
        <v>21</v>
      </c>
      <c r="AJ152" s="4">
        <v>1</v>
      </c>
      <c r="AK152" s="4">
        <v>2</v>
      </c>
      <c r="AL152" s="4">
        <v>13</v>
      </c>
      <c r="AM152" s="4">
        <v>13</v>
      </c>
      <c r="AN152" s="4">
        <v>0</v>
      </c>
      <c r="AO152" s="4">
        <v>0</v>
      </c>
      <c r="AP152" s="4">
        <v>1</v>
      </c>
      <c r="AQ152" s="4">
        <v>2</v>
      </c>
      <c r="AR152" s="3" t="s">
        <v>62</v>
      </c>
      <c r="AS152" s="3" t="s">
        <v>62</v>
      </c>
      <c r="AT152" s="3" t="s">
        <v>61</v>
      </c>
      <c r="AU152" s="6" t="str">
        <f t="shared" si="6"/>
        <v>HathiTrust Record</v>
      </c>
      <c r="AV152" s="6" t="str">
        <f t="shared" si="7"/>
        <v>Catalog Record</v>
      </c>
      <c r="AW152" s="6" t="str">
        <f t="shared" si="8"/>
        <v>WorldCat Record</v>
      </c>
      <c r="AX152" s="3" t="s">
        <v>1762</v>
      </c>
      <c r="AY152" s="3" t="s">
        <v>1763</v>
      </c>
      <c r="AZ152" s="3" t="s">
        <v>1764</v>
      </c>
      <c r="BA152" s="3" t="s">
        <v>1764</v>
      </c>
      <c r="BB152" s="3" t="s">
        <v>1771</v>
      </c>
      <c r="BC152" s="3" t="s">
        <v>102</v>
      </c>
      <c r="BD152" s="3" t="s">
        <v>68</v>
      </c>
      <c r="BF152" s="3" t="s">
        <v>1771</v>
      </c>
      <c r="BG152" s="3" t="s">
        <v>1772</v>
      </c>
    </row>
    <row r="153" spans="1:59" ht="130.5" x14ac:dyDescent="0.35">
      <c r="A153" s="2" t="s">
        <v>59</v>
      </c>
      <c r="B153" s="2" t="s">
        <v>77</v>
      </c>
      <c r="C153" s="2" t="s">
        <v>1754</v>
      </c>
      <c r="D153" s="2" t="s">
        <v>1755</v>
      </c>
      <c r="E153" s="2" t="s">
        <v>1756</v>
      </c>
      <c r="F153" s="3" t="s">
        <v>1773</v>
      </c>
      <c r="G153" s="3" t="s">
        <v>61</v>
      </c>
      <c r="I153" s="3" t="s">
        <v>62</v>
      </c>
      <c r="J153" s="3" t="s">
        <v>62</v>
      </c>
      <c r="K153" s="3" t="s">
        <v>63</v>
      </c>
      <c r="L153" s="2" t="s">
        <v>1758</v>
      </c>
      <c r="M153" s="2" t="s">
        <v>1759</v>
      </c>
      <c r="N153" s="3" t="s">
        <v>157</v>
      </c>
      <c r="P153" s="3" t="s">
        <v>1760</v>
      </c>
      <c r="R153" s="3" t="s">
        <v>65</v>
      </c>
      <c r="S153" s="4">
        <v>0</v>
      </c>
      <c r="T153" s="4">
        <v>1</v>
      </c>
      <c r="V153" s="5" t="s">
        <v>1761</v>
      </c>
      <c r="W153" s="5" t="s">
        <v>67</v>
      </c>
      <c r="X153" s="5" t="s">
        <v>67</v>
      </c>
      <c r="Y153" s="4">
        <v>30</v>
      </c>
      <c r="Z153" s="4">
        <v>2</v>
      </c>
      <c r="AA153" s="4">
        <v>3</v>
      </c>
      <c r="AB153" s="4">
        <v>1</v>
      </c>
      <c r="AC153" s="4">
        <v>1</v>
      </c>
      <c r="AD153" s="4">
        <v>22</v>
      </c>
      <c r="AE153" s="4">
        <v>23</v>
      </c>
      <c r="AF153" s="4">
        <v>0</v>
      </c>
      <c r="AG153" s="4">
        <v>0</v>
      </c>
      <c r="AH153" s="4">
        <v>20</v>
      </c>
      <c r="AI153" s="4">
        <v>21</v>
      </c>
      <c r="AJ153" s="4">
        <v>1</v>
      </c>
      <c r="AK153" s="4">
        <v>2</v>
      </c>
      <c r="AL153" s="4">
        <v>13</v>
      </c>
      <c r="AM153" s="4">
        <v>13</v>
      </c>
      <c r="AN153" s="4">
        <v>0</v>
      </c>
      <c r="AO153" s="4">
        <v>0</v>
      </c>
      <c r="AP153" s="4">
        <v>1</v>
      </c>
      <c r="AQ153" s="4">
        <v>2</v>
      </c>
      <c r="AR153" s="3" t="s">
        <v>62</v>
      </c>
      <c r="AS153" s="3" t="s">
        <v>62</v>
      </c>
      <c r="AT153" s="3" t="s">
        <v>61</v>
      </c>
      <c r="AU153" s="6" t="str">
        <f t="shared" si="6"/>
        <v>HathiTrust Record</v>
      </c>
      <c r="AV153" s="6" t="str">
        <f t="shared" si="7"/>
        <v>Catalog Record</v>
      </c>
      <c r="AW153" s="6" t="str">
        <f t="shared" si="8"/>
        <v>WorldCat Record</v>
      </c>
      <c r="AX153" s="3" t="s">
        <v>1762</v>
      </c>
      <c r="AY153" s="3" t="s">
        <v>1763</v>
      </c>
      <c r="AZ153" s="3" t="s">
        <v>1764</v>
      </c>
      <c r="BA153" s="3" t="s">
        <v>1764</v>
      </c>
      <c r="BB153" s="3" t="s">
        <v>1774</v>
      </c>
      <c r="BC153" s="3" t="s">
        <v>102</v>
      </c>
      <c r="BD153" s="3" t="s">
        <v>68</v>
      </c>
      <c r="BF153" s="3" t="s">
        <v>1774</v>
      </c>
      <c r="BG153" s="3" t="s">
        <v>1775</v>
      </c>
    </row>
    <row r="154" spans="1:59" ht="130.5" x14ac:dyDescent="0.35">
      <c r="A154" s="2" t="s">
        <v>59</v>
      </c>
      <c r="B154" s="2" t="s">
        <v>77</v>
      </c>
      <c r="C154" s="2" t="s">
        <v>1754</v>
      </c>
      <c r="D154" s="2" t="s">
        <v>1755</v>
      </c>
      <c r="E154" s="2" t="s">
        <v>1756</v>
      </c>
      <c r="F154" s="3" t="s">
        <v>1776</v>
      </c>
      <c r="G154" s="3" t="s">
        <v>61</v>
      </c>
      <c r="I154" s="3" t="s">
        <v>62</v>
      </c>
      <c r="J154" s="3" t="s">
        <v>62</v>
      </c>
      <c r="K154" s="3" t="s">
        <v>63</v>
      </c>
      <c r="L154" s="2" t="s">
        <v>1758</v>
      </c>
      <c r="M154" s="2" t="s">
        <v>1759</v>
      </c>
      <c r="N154" s="3" t="s">
        <v>157</v>
      </c>
      <c r="P154" s="3" t="s">
        <v>1760</v>
      </c>
      <c r="R154" s="3" t="s">
        <v>65</v>
      </c>
      <c r="S154" s="4">
        <v>0</v>
      </c>
      <c r="T154" s="4">
        <v>1</v>
      </c>
      <c r="V154" s="5" t="s">
        <v>1761</v>
      </c>
      <c r="W154" s="5" t="s">
        <v>67</v>
      </c>
      <c r="X154" s="5" t="s">
        <v>67</v>
      </c>
      <c r="Y154" s="4">
        <v>30</v>
      </c>
      <c r="Z154" s="4">
        <v>2</v>
      </c>
      <c r="AA154" s="4">
        <v>3</v>
      </c>
      <c r="AB154" s="4">
        <v>1</v>
      </c>
      <c r="AC154" s="4">
        <v>1</v>
      </c>
      <c r="AD154" s="4">
        <v>22</v>
      </c>
      <c r="AE154" s="4">
        <v>23</v>
      </c>
      <c r="AF154" s="4">
        <v>0</v>
      </c>
      <c r="AG154" s="4">
        <v>0</v>
      </c>
      <c r="AH154" s="4">
        <v>20</v>
      </c>
      <c r="AI154" s="4">
        <v>21</v>
      </c>
      <c r="AJ154" s="4">
        <v>1</v>
      </c>
      <c r="AK154" s="4">
        <v>2</v>
      </c>
      <c r="AL154" s="4">
        <v>13</v>
      </c>
      <c r="AM154" s="4">
        <v>13</v>
      </c>
      <c r="AN154" s="4">
        <v>0</v>
      </c>
      <c r="AO154" s="4">
        <v>0</v>
      </c>
      <c r="AP154" s="4">
        <v>1</v>
      </c>
      <c r="AQ154" s="4">
        <v>2</v>
      </c>
      <c r="AR154" s="3" t="s">
        <v>62</v>
      </c>
      <c r="AS154" s="3" t="s">
        <v>62</v>
      </c>
      <c r="AT154" s="3" t="s">
        <v>61</v>
      </c>
      <c r="AU154" s="6" t="str">
        <f t="shared" si="6"/>
        <v>HathiTrust Record</v>
      </c>
      <c r="AV154" s="6" t="str">
        <f t="shared" si="7"/>
        <v>Catalog Record</v>
      </c>
      <c r="AW154" s="6" t="str">
        <f t="shared" si="8"/>
        <v>WorldCat Record</v>
      </c>
      <c r="AX154" s="3" t="s">
        <v>1762</v>
      </c>
      <c r="AY154" s="3" t="s">
        <v>1763</v>
      </c>
      <c r="AZ154" s="3" t="s">
        <v>1764</v>
      </c>
      <c r="BA154" s="3" t="s">
        <v>1764</v>
      </c>
      <c r="BB154" s="3" t="s">
        <v>1777</v>
      </c>
      <c r="BC154" s="3" t="s">
        <v>102</v>
      </c>
      <c r="BD154" s="3" t="s">
        <v>68</v>
      </c>
      <c r="BF154" s="3" t="s">
        <v>1777</v>
      </c>
      <c r="BG154" s="3" t="s">
        <v>1778</v>
      </c>
    </row>
    <row r="155" spans="1:59" ht="130.5" x14ac:dyDescent="0.35">
      <c r="A155" s="2" t="s">
        <v>59</v>
      </c>
      <c r="B155" s="2" t="s">
        <v>77</v>
      </c>
      <c r="C155" s="2" t="s">
        <v>1754</v>
      </c>
      <c r="D155" s="2" t="s">
        <v>1755</v>
      </c>
      <c r="E155" s="2" t="s">
        <v>1756</v>
      </c>
      <c r="F155" s="3" t="s">
        <v>1779</v>
      </c>
      <c r="G155" s="3" t="s">
        <v>61</v>
      </c>
      <c r="I155" s="3" t="s">
        <v>62</v>
      </c>
      <c r="J155" s="3" t="s">
        <v>62</v>
      </c>
      <c r="K155" s="3" t="s">
        <v>63</v>
      </c>
      <c r="L155" s="2" t="s">
        <v>1758</v>
      </c>
      <c r="M155" s="2" t="s">
        <v>1759</v>
      </c>
      <c r="N155" s="3" t="s">
        <v>157</v>
      </c>
      <c r="P155" s="3" t="s">
        <v>1760</v>
      </c>
      <c r="R155" s="3" t="s">
        <v>65</v>
      </c>
      <c r="S155" s="4">
        <v>0</v>
      </c>
      <c r="T155" s="4">
        <v>1</v>
      </c>
      <c r="V155" s="5" t="s">
        <v>1761</v>
      </c>
      <c r="W155" s="5" t="s">
        <v>67</v>
      </c>
      <c r="X155" s="5" t="s">
        <v>67</v>
      </c>
      <c r="Y155" s="4">
        <v>30</v>
      </c>
      <c r="Z155" s="4">
        <v>2</v>
      </c>
      <c r="AA155" s="4">
        <v>3</v>
      </c>
      <c r="AB155" s="4">
        <v>1</v>
      </c>
      <c r="AC155" s="4">
        <v>1</v>
      </c>
      <c r="AD155" s="4">
        <v>22</v>
      </c>
      <c r="AE155" s="4">
        <v>23</v>
      </c>
      <c r="AF155" s="4">
        <v>0</v>
      </c>
      <c r="AG155" s="4">
        <v>0</v>
      </c>
      <c r="AH155" s="4">
        <v>20</v>
      </c>
      <c r="AI155" s="4">
        <v>21</v>
      </c>
      <c r="AJ155" s="4">
        <v>1</v>
      </c>
      <c r="AK155" s="4">
        <v>2</v>
      </c>
      <c r="AL155" s="4">
        <v>13</v>
      </c>
      <c r="AM155" s="4">
        <v>13</v>
      </c>
      <c r="AN155" s="4">
        <v>0</v>
      </c>
      <c r="AO155" s="4">
        <v>0</v>
      </c>
      <c r="AP155" s="4">
        <v>1</v>
      </c>
      <c r="AQ155" s="4">
        <v>2</v>
      </c>
      <c r="AR155" s="3" t="s">
        <v>62</v>
      </c>
      <c r="AS155" s="3" t="s">
        <v>62</v>
      </c>
      <c r="AT155" s="3" t="s">
        <v>61</v>
      </c>
      <c r="AU155" s="6" t="str">
        <f t="shared" si="6"/>
        <v>HathiTrust Record</v>
      </c>
      <c r="AV155" s="6" t="str">
        <f t="shared" si="7"/>
        <v>Catalog Record</v>
      </c>
      <c r="AW155" s="6" t="str">
        <f t="shared" si="8"/>
        <v>WorldCat Record</v>
      </c>
      <c r="AX155" s="3" t="s">
        <v>1762</v>
      </c>
      <c r="AY155" s="3" t="s">
        <v>1763</v>
      </c>
      <c r="AZ155" s="3" t="s">
        <v>1764</v>
      </c>
      <c r="BA155" s="3" t="s">
        <v>1764</v>
      </c>
      <c r="BB155" s="3" t="s">
        <v>1780</v>
      </c>
      <c r="BC155" s="3" t="s">
        <v>102</v>
      </c>
      <c r="BD155" s="3" t="s">
        <v>68</v>
      </c>
      <c r="BF155" s="3" t="s">
        <v>1780</v>
      </c>
      <c r="BG155" s="3" t="s">
        <v>1781</v>
      </c>
    </row>
    <row r="156" spans="1:59" ht="130.5" x14ac:dyDescent="0.35">
      <c r="A156" s="2" t="s">
        <v>59</v>
      </c>
      <c r="B156" s="2" t="s">
        <v>77</v>
      </c>
      <c r="C156" s="2" t="s">
        <v>1754</v>
      </c>
      <c r="D156" s="2" t="s">
        <v>1755</v>
      </c>
      <c r="E156" s="2" t="s">
        <v>1756</v>
      </c>
      <c r="F156" s="3" t="s">
        <v>1782</v>
      </c>
      <c r="G156" s="3" t="s">
        <v>61</v>
      </c>
      <c r="I156" s="3" t="s">
        <v>62</v>
      </c>
      <c r="J156" s="3" t="s">
        <v>62</v>
      </c>
      <c r="K156" s="3" t="s">
        <v>63</v>
      </c>
      <c r="L156" s="2" t="s">
        <v>1758</v>
      </c>
      <c r="M156" s="2" t="s">
        <v>1759</v>
      </c>
      <c r="N156" s="3" t="s">
        <v>157</v>
      </c>
      <c r="P156" s="3" t="s">
        <v>1760</v>
      </c>
      <c r="R156" s="3" t="s">
        <v>65</v>
      </c>
      <c r="S156" s="4">
        <v>0</v>
      </c>
      <c r="T156" s="4">
        <v>1</v>
      </c>
      <c r="V156" s="5" t="s">
        <v>1761</v>
      </c>
      <c r="W156" s="5" t="s">
        <v>67</v>
      </c>
      <c r="X156" s="5" t="s">
        <v>67</v>
      </c>
      <c r="Y156" s="4">
        <v>30</v>
      </c>
      <c r="Z156" s="4">
        <v>2</v>
      </c>
      <c r="AA156" s="4">
        <v>3</v>
      </c>
      <c r="AB156" s="4">
        <v>1</v>
      </c>
      <c r="AC156" s="4">
        <v>1</v>
      </c>
      <c r="AD156" s="4">
        <v>22</v>
      </c>
      <c r="AE156" s="4">
        <v>23</v>
      </c>
      <c r="AF156" s="4">
        <v>0</v>
      </c>
      <c r="AG156" s="4">
        <v>0</v>
      </c>
      <c r="AH156" s="4">
        <v>20</v>
      </c>
      <c r="AI156" s="4">
        <v>21</v>
      </c>
      <c r="AJ156" s="4">
        <v>1</v>
      </c>
      <c r="AK156" s="4">
        <v>2</v>
      </c>
      <c r="AL156" s="4">
        <v>13</v>
      </c>
      <c r="AM156" s="4">
        <v>13</v>
      </c>
      <c r="AN156" s="4">
        <v>0</v>
      </c>
      <c r="AO156" s="4">
        <v>0</v>
      </c>
      <c r="AP156" s="4">
        <v>1</v>
      </c>
      <c r="AQ156" s="4">
        <v>2</v>
      </c>
      <c r="AR156" s="3" t="s">
        <v>62</v>
      </c>
      <c r="AS156" s="3" t="s">
        <v>62</v>
      </c>
      <c r="AT156" s="3" t="s">
        <v>61</v>
      </c>
      <c r="AU156" s="6" t="str">
        <f t="shared" si="6"/>
        <v>HathiTrust Record</v>
      </c>
      <c r="AV156" s="6" t="str">
        <f t="shared" si="7"/>
        <v>Catalog Record</v>
      </c>
      <c r="AW156" s="6" t="str">
        <f t="shared" si="8"/>
        <v>WorldCat Record</v>
      </c>
      <c r="AX156" s="3" t="s">
        <v>1762</v>
      </c>
      <c r="AY156" s="3" t="s">
        <v>1763</v>
      </c>
      <c r="AZ156" s="3" t="s">
        <v>1764</v>
      </c>
      <c r="BA156" s="3" t="s">
        <v>1764</v>
      </c>
      <c r="BB156" s="3" t="s">
        <v>1783</v>
      </c>
      <c r="BC156" s="3" t="s">
        <v>102</v>
      </c>
      <c r="BD156" s="3" t="s">
        <v>68</v>
      </c>
      <c r="BF156" s="3" t="s">
        <v>1783</v>
      </c>
      <c r="BG156" s="3" t="s">
        <v>1784</v>
      </c>
    </row>
    <row r="157" spans="1:59" ht="130.5" x14ac:dyDescent="0.35">
      <c r="A157" s="2" t="s">
        <v>59</v>
      </c>
      <c r="B157" s="2" t="s">
        <v>77</v>
      </c>
      <c r="C157" s="2" t="s">
        <v>1754</v>
      </c>
      <c r="D157" s="2" t="s">
        <v>1755</v>
      </c>
      <c r="E157" s="2" t="s">
        <v>1756</v>
      </c>
      <c r="F157" s="3" t="s">
        <v>1785</v>
      </c>
      <c r="G157" s="3" t="s">
        <v>61</v>
      </c>
      <c r="I157" s="3" t="s">
        <v>62</v>
      </c>
      <c r="J157" s="3" t="s">
        <v>62</v>
      </c>
      <c r="K157" s="3" t="s">
        <v>63</v>
      </c>
      <c r="L157" s="2" t="s">
        <v>1758</v>
      </c>
      <c r="M157" s="2" t="s">
        <v>1759</v>
      </c>
      <c r="N157" s="3" t="s">
        <v>157</v>
      </c>
      <c r="P157" s="3" t="s">
        <v>1760</v>
      </c>
      <c r="R157" s="3" t="s">
        <v>65</v>
      </c>
      <c r="S157" s="4">
        <v>0</v>
      </c>
      <c r="T157" s="4">
        <v>1</v>
      </c>
      <c r="V157" s="5" t="s">
        <v>1761</v>
      </c>
      <c r="W157" s="5" t="s">
        <v>67</v>
      </c>
      <c r="X157" s="5" t="s">
        <v>67</v>
      </c>
      <c r="Y157" s="4">
        <v>30</v>
      </c>
      <c r="Z157" s="4">
        <v>2</v>
      </c>
      <c r="AA157" s="4">
        <v>3</v>
      </c>
      <c r="AB157" s="4">
        <v>1</v>
      </c>
      <c r="AC157" s="4">
        <v>1</v>
      </c>
      <c r="AD157" s="4">
        <v>22</v>
      </c>
      <c r="AE157" s="4">
        <v>23</v>
      </c>
      <c r="AF157" s="4">
        <v>0</v>
      </c>
      <c r="AG157" s="4">
        <v>0</v>
      </c>
      <c r="AH157" s="4">
        <v>20</v>
      </c>
      <c r="AI157" s="4">
        <v>21</v>
      </c>
      <c r="AJ157" s="4">
        <v>1</v>
      </c>
      <c r="AK157" s="4">
        <v>2</v>
      </c>
      <c r="AL157" s="4">
        <v>13</v>
      </c>
      <c r="AM157" s="4">
        <v>13</v>
      </c>
      <c r="AN157" s="4">
        <v>0</v>
      </c>
      <c r="AO157" s="4">
        <v>0</v>
      </c>
      <c r="AP157" s="4">
        <v>1</v>
      </c>
      <c r="AQ157" s="4">
        <v>2</v>
      </c>
      <c r="AR157" s="3" t="s">
        <v>62</v>
      </c>
      <c r="AS157" s="3" t="s">
        <v>62</v>
      </c>
      <c r="AT157" s="3" t="s">
        <v>61</v>
      </c>
      <c r="AU157" s="6" t="str">
        <f t="shared" si="6"/>
        <v>HathiTrust Record</v>
      </c>
      <c r="AV157" s="6" t="str">
        <f t="shared" si="7"/>
        <v>Catalog Record</v>
      </c>
      <c r="AW157" s="6" t="str">
        <f t="shared" si="8"/>
        <v>WorldCat Record</v>
      </c>
      <c r="AX157" s="3" t="s">
        <v>1762</v>
      </c>
      <c r="AY157" s="3" t="s">
        <v>1763</v>
      </c>
      <c r="AZ157" s="3" t="s">
        <v>1764</v>
      </c>
      <c r="BA157" s="3" t="s">
        <v>1764</v>
      </c>
      <c r="BB157" s="3" t="s">
        <v>1786</v>
      </c>
      <c r="BC157" s="3" t="s">
        <v>102</v>
      </c>
      <c r="BD157" s="3" t="s">
        <v>68</v>
      </c>
      <c r="BF157" s="3" t="s">
        <v>1786</v>
      </c>
      <c r="BG157" s="3" t="s">
        <v>1787</v>
      </c>
    </row>
    <row r="158" spans="1:59" ht="130.5" x14ac:dyDescent="0.35">
      <c r="A158" s="2" t="s">
        <v>59</v>
      </c>
      <c r="B158" s="2" t="s">
        <v>77</v>
      </c>
      <c r="C158" s="2" t="s">
        <v>1754</v>
      </c>
      <c r="D158" s="2" t="s">
        <v>1755</v>
      </c>
      <c r="E158" s="2" t="s">
        <v>1756</v>
      </c>
      <c r="F158" s="3" t="s">
        <v>1788</v>
      </c>
      <c r="G158" s="3" t="s">
        <v>61</v>
      </c>
      <c r="I158" s="3" t="s">
        <v>62</v>
      </c>
      <c r="J158" s="3" t="s">
        <v>62</v>
      </c>
      <c r="K158" s="3" t="s">
        <v>63</v>
      </c>
      <c r="L158" s="2" t="s">
        <v>1758</v>
      </c>
      <c r="M158" s="2" t="s">
        <v>1759</v>
      </c>
      <c r="N158" s="3" t="s">
        <v>157</v>
      </c>
      <c r="P158" s="3" t="s">
        <v>1760</v>
      </c>
      <c r="R158" s="3" t="s">
        <v>65</v>
      </c>
      <c r="S158" s="4">
        <v>0</v>
      </c>
      <c r="T158" s="4">
        <v>1</v>
      </c>
      <c r="V158" s="5" t="s">
        <v>1761</v>
      </c>
      <c r="W158" s="5" t="s">
        <v>67</v>
      </c>
      <c r="X158" s="5" t="s">
        <v>67</v>
      </c>
      <c r="Y158" s="4">
        <v>30</v>
      </c>
      <c r="Z158" s="4">
        <v>2</v>
      </c>
      <c r="AA158" s="4">
        <v>3</v>
      </c>
      <c r="AB158" s="4">
        <v>1</v>
      </c>
      <c r="AC158" s="4">
        <v>1</v>
      </c>
      <c r="AD158" s="4">
        <v>22</v>
      </c>
      <c r="AE158" s="4">
        <v>23</v>
      </c>
      <c r="AF158" s="4">
        <v>0</v>
      </c>
      <c r="AG158" s="4">
        <v>0</v>
      </c>
      <c r="AH158" s="4">
        <v>20</v>
      </c>
      <c r="AI158" s="4">
        <v>21</v>
      </c>
      <c r="AJ158" s="4">
        <v>1</v>
      </c>
      <c r="AK158" s="4">
        <v>2</v>
      </c>
      <c r="AL158" s="4">
        <v>13</v>
      </c>
      <c r="AM158" s="4">
        <v>13</v>
      </c>
      <c r="AN158" s="4">
        <v>0</v>
      </c>
      <c r="AO158" s="4">
        <v>0</v>
      </c>
      <c r="AP158" s="4">
        <v>1</v>
      </c>
      <c r="AQ158" s="4">
        <v>2</v>
      </c>
      <c r="AR158" s="3" t="s">
        <v>62</v>
      </c>
      <c r="AS158" s="3" t="s">
        <v>62</v>
      </c>
      <c r="AT158" s="3" t="s">
        <v>61</v>
      </c>
      <c r="AU158" s="6" t="str">
        <f t="shared" si="6"/>
        <v>HathiTrust Record</v>
      </c>
      <c r="AV158" s="6" t="str">
        <f t="shared" si="7"/>
        <v>Catalog Record</v>
      </c>
      <c r="AW158" s="6" t="str">
        <f t="shared" si="8"/>
        <v>WorldCat Record</v>
      </c>
      <c r="AX158" s="3" t="s">
        <v>1762</v>
      </c>
      <c r="AY158" s="3" t="s">
        <v>1763</v>
      </c>
      <c r="AZ158" s="3" t="s">
        <v>1764</v>
      </c>
      <c r="BA158" s="3" t="s">
        <v>1764</v>
      </c>
      <c r="BB158" s="3" t="s">
        <v>1789</v>
      </c>
      <c r="BC158" s="3" t="s">
        <v>102</v>
      </c>
      <c r="BD158" s="3" t="s">
        <v>1790</v>
      </c>
      <c r="BF158" s="3" t="s">
        <v>1789</v>
      </c>
      <c r="BG158" s="3" t="s">
        <v>1791</v>
      </c>
    </row>
    <row r="159" spans="1:59" ht="130.5" x14ac:dyDescent="0.35">
      <c r="A159" s="2" t="s">
        <v>59</v>
      </c>
      <c r="B159" s="2" t="s">
        <v>77</v>
      </c>
      <c r="C159" s="2" t="s">
        <v>1754</v>
      </c>
      <c r="D159" s="2" t="s">
        <v>1755</v>
      </c>
      <c r="E159" s="2" t="s">
        <v>1756</v>
      </c>
      <c r="F159" s="3" t="s">
        <v>1792</v>
      </c>
      <c r="G159" s="3" t="s">
        <v>61</v>
      </c>
      <c r="I159" s="3" t="s">
        <v>62</v>
      </c>
      <c r="J159" s="3" t="s">
        <v>62</v>
      </c>
      <c r="K159" s="3" t="s">
        <v>63</v>
      </c>
      <c r="L159" s="2" t="s">
        <v>1758</v>
      </c>
      <c r="M159" s="2" t="s">
        <v>1759</v>
      </c>
      <c r="N159" s="3" t="s">
        <v>157</v>
      </c>
      <c r="P159" s="3" t="s">
        <v>1760</v>
      </c>
      <c r="R159" s="3" t="s">
        <v>65</v>
      </c>
      <c r="S159" s="4">
        <v>0</v>
      </c>
      <c r="T159" s="4">
        <v>1</v>
      </c>
      <c r="V159" s="5" t="s">
        <v>1761</v>
      </c>
      <c r="W159" s="5" t="s">
        <v>67</v>
      </c>
      <c r="X159" s="5" t="s">
        <v>67</v>
      </c>
      <c r="Y159" s="4">
        <v>30</v>
      </c>
      <c r="Z159" s="4">
        <v>2</v>
      </c>
      <c r="AA159" s="4">
        <v>3</v>
      </c>
      <c r="AB159" s="4">
        <v>1</v>
      </c>
      <c r="AC159" s="4">
        <v>1</v>
      </c>
      <c r="AD159" s="4">
        <v>22</v>
      </c>
      <c r="AE159" s="4">
        <v>23</v>
      </c>
      <c r="AF159" s="4">
        <v>0</v>
      </c>
      <c r="AG159" s="4">
        <v>0</v>
      </c>
      <c r="AH159" s="4">
        <v>20</v>
      </c>
      <c r="AI159" s="4">
        <v>21</v>
      </c>
      <c r="AJ159" s="4">
        <v>1</v>
      </c>
      <c r="AK159" s="4">
        <v>2</v>
      </c>
      <c r="AL159" s="4">
        <v>13</v>
      </c>
      <c r="AM159" s="4">
        <v>13</v>
      </c>
      <c r="AN159" s="4">
        <v>0</v>
      </c>
      <c r="AO159" s="4">
        <v>0</v>
      </c>
      <c r="AP159" s="4">
        <v>1</v>
      </c>
      <c r="AQ159" s="4">
        <v>2</v>
      </c>
      <c r="AR159" s="3" t="s">
        <v>62</v>
      </c>
      <c r="AS159" s="3" t="s">
        <v>62</v>
      </c>
      <c r="AT159" s="3" t="s">
        <v>61</v>
      </c>
      <c r="AU159" s="6" t="str">
        <f t="shared" si="6"/>
        <v>HathiTrust Record</v>
      </c>
      <c r="AV159" s="6" t="str">
        <f t="shared" si="7"/>
        <v>Catalog Record</v>
      </c>
      <c r="AW159" s="6" t="str">
        <f t="shared" si="8"/>
        <v>WorldCat Record</v>
      </c>
      <c r="AX159" s="3" t="s">
        <v>1762</v>
      </c>
      <c r="AY159" s="3" t="s">
        <v>1763</v>
      </c>
      <c r="AZ159" s="3" t="s">
        <v>1764</v>
      </c>
      <c r="BA159" s="3" t="s">
        <v>1764</v>
      </c>
      <c r="BB159" s="3" t="s">
        <v>1793</v>
      </c>
      <c r="BC159" s="3" t="s">
        <v>102</v>
      </c>
      <c r="BD159" s="3" t="s">
        <v>68</v>
      </c>
      <c r="BF159" s="3" t="s">
        <v>1793</v>
      </c>
      <c r="BG159" s="3" t="s">
        <v>1794</v>
      </c>
    </row>
    <row r="160" spans="1:59" ht="130.5" x14ac:dyDescent="0.35">
      <c r="A160" s="2" t="s">
        <v>59</v>
      </c>
      <c r="B160" s="2" t="s">
        <v>77</v>
      </c>
      <c r="C160" s="2" t="s">
        <v>1754</v>
      </c>
      <c r="D160" s="2" t="s">
        <v>1755</v>
      </c>
      <c r="E160" s="2" t="s">
        <v>1756</v>
      </c>
      <c r="F160" s="3" t="s">
        <v>1795</v>
      </c>
      <c r="G160" s="3" t="s">
        <v>61</v>
      </c>
      <c r="I160" s="3" t="s">
        <v>62</v>
      </c>
      <c r="J160" s="3" t="s">
        <v>62</v>
      </c>
      <c r="K160" s="3" t="s">
        <v>63</v>
      </c>
      <c r="L160" s="2" t="s">
        <v>1758</v>
      </c>
      <c r="M160" s="2" t="s">
        <v>1759</v>
      </c>
      <c r="N160" s="3" t="s">
        <v>157</v>
      </c>
      <c r="P160" s="3" t="s">
        <v>1760</v>
      </c>
      <c r="R160" s="3" t="s">
        <v>65</v>
      </c>
      <c r="S160" s="4">
        <v>0</v>
      </c>
      <c r="T160" s="4">
        <v>1</v>
      </c>
      <c r="V160" s="5" t="s">
        <v>1761</v>
      </c>
      <c r="W160" s="5" t="s">
        <v>67</v>
      </c>
      <c r="X160" s="5" t="s">
        <v>67</v>
      </c>
      <c r="Y160" s="4">
        <v>30</v>
      </c>
      <c r="Z160" s="4">
        <v>2</v>
      </c>
      <c r="AA160" s="4">
        <v>3</v>
      </c>
      <c r="AB160" s="4">
        <v>1</v>
      </c>
      <c r="AC160" s="4">
        <v>1</v>
      </c>
      <c r="AD160" s="4">
        <v>22</v>
      </c>
      <c r="AE160" s="4">
        <v>23</v>
      </c>
      <c r="AF160" s="4">
        <v>0</v>
      </c>
      <c r="AG160" s="4">
        <v>0</v>
      </c>
      <c r="AH160" s="4">
        <v>20</v>
      </c>
      <c r="AI160" s="4">
        <v>21</v>
      </c>
      <c r="AJ160" s="4">
        <v>1</v>
      </c>
      <c r="AK160" s="4">
        <v>2</v>
      </c>
      <c r="AL160" s="4">
        <v>13</v>
      </c>
      <c r="AM160" s="4">
        <v>13</v>
      </c>
      <c r="AN160" s="4">
        <v>0</v>
      </c>
      <c r="AO160" s="4">
        <v>0</v>
      </c>
      <c r="AP160" s="4">
        <v>1</v>
      </c>
      <c r="AQ160" s="4">
        <v>2</v>
      </c>
      <c r="AR160" s="3" t="s">
        <v>62</v>
      </c>
      <c r="AS160" s="3" t="s">
        <v>62</v>
      </c>
      <c r="AT160" s="3" t="s">
        <v>61</v>
      </c>
      <c r="AU160" s="6" t="str">
        <f t="shared" si="6"/>
        <v>HathiTrust Record</v>
      </c>
      <c r="AV160" s="6" t="str">
        <f t="shared" si="7"/>
        <v>Catalog Record</v>
      </c>
      <c r="AW160" s="6" t="str">
        <f t="shared" si="8"/>
        <v>WorldCat Record</v>
      </c>
      <c r="AX160" s="3" t="s">
        <v>1762</v>
      </c>
      <c r="AY160" s="3" t="s">
        <v>1763</v>
      </c>
      <c r="AZ160" s="3" t="s">
        <v>1764</v>
      </c>
      <c r="BA160" s="3" t="s">
        <v>1764</v>
      </c>
      <c r="BB160" s="3" t="s">
        <v>1796</v>
      </c>
      <c r="BC160" s="3" t="s">
        <v>102</v>
      </c>
      <c r="BD160" s="3" t="s">
        <v>68</v>
      </c>
      <c r="BF160" s="3" t="s">
        <v>1796</v>
      </c>
      <c r="BG160" s="3" t="s">
        <v>1797</v>
      </c>
    </row>
    <row r="161" spans="1:59" ht="130.5" x14ac:dyDescent="0.35">
      <c r="A161" s="2" t="s">
        <v>59</v>
      </c>
      <c r="B161" s="2" t="s">
        <v>77</v>
      </c>
      <c r="C161" s="2" t="s">
        <v>1754</v>
      </c>
      <c r="D161" s="2" t="s">
        <v>1755</v>
      </c>
      <c r="E161" s="2" t="s">
        <v>1756</v>
      </c>
      <c r="F161" s="3" t="s">
        <v>1798</v>
      </c>
      <c r="G161" s="3" t="s">
        <v>61</v>
      </c>
      <c r="I161" s="3" t="s">
        <v>62</v>
      </c>
      <c r="J161" s="3" t="s">
        <v>62</v>
      </c>
      <c r="K161" s="3" t="s">
        <v>63</v>
      </c>
      <c r="L161" s="2" t="s">
        <v>1758</v>
      </c>
      <c r="M161" s="2" t="s">
        <v>1759</v>
      </c>
      <c r="N161" s="3" t="s">
        <v>157</v>
      </c>
      <c r="P161" s="3" t="s">
        <v>1760</v>
      </c>
      <c r="R161" s="3" t="s">
        <v>65</v>
      </c>
      <c r="S161" s="4">
        <v>0</v>
      </c>
      <c r="T161" s="4">
        <v>1</v>
      </c>
      <c r="V161" s="5" t="s">
        <v>1761</v>
      </c>
      <c r="W161" s="5" t="s">
        <v>67</v>
      </c>
      <c r="X161" s="5" t="s">
        <v>67</v>
      </c>
      <c r="Y161" s="4">
        <v>30</v>
      </c>
      <c r="Z161" s="4">
        <v>2</v>
      </c>
      <c r="AA161" s="4">
        <v>3</v>
      </c>
      <c r="AB161" s="4">
        <v>1</v>
      </c>
      <c r="AC161" s="4">
        <v>1</v>
      </c>
      <c r="AD161" s="4">
        <v>22</v>
      </c>
      <c r="AE161" s="4">
        <v>23</v>
      </c>
      <c r="AF161" s="4">
        <v>0</v>
      </c>
      <c r="AG161" s="4">
        <v>0</v>
      </c>
      <c r="AH161" s="4">
        <v>20</v>
      </c>
      <c r="AI161" s="4">
        <v>21</v>
      </c>
      <c r="AJ161" s="4">
        <v>1</v>
      </c>
      <c r="AK161" s="4">
        <v>2</v>
      </c>
      <c r="AL161" s="4">
        <v>13</v>
      </c>
      <c r="AM161" s="4">
        <v>13</v>
      </c>
      <c r="AN161" s="4">
        <v>0</v>
      </c>
      <c r="AO161" s="4">
        <v>0</v>
      </c>
      <c r="AP161" s="4">
        <v>1</v>
      </c>
      <c r="AQ161" s="4">
        <v>2</v>
      </c>
      <c r="AR161" s="3" t="s">
        <v>62</v>
      </c>
      <c r="AS161" s="3" t="s">
        <v>62</v>
      </c>
      <c r="AT161" s="3" t="s">
        <v>61</v>
      </c>
      <c r="AU161" s="6" t="str">
        <f t="shared" si="6"/>
        <v>HathiTrust Record</v>
      </c>
      <c r="AV161" s="6" t="str">
        <f t="shared" si="7"/>
        <v>Catalog Record</v>
      </c>
      <c r="AW161" s="6" t="str">
        <f t="shared" si="8"/>
        <v>WorldCat Record</v>
      </c>
      <c r="AX161" s="3" t="s">
        <v>1762</v>
      </c>
      <c r="AY161" s="3" t="s">
        <v>1763</v>
      </c>
      <c r="AZ161" s="3" t="s">
        <v>1764</v>
      </c>
      <c r="BA161" s="3" t="s">
        <v>1764</v>
      </c>
      <c r="BB161" s="3" t="s">
        <v>1799</v>
      </c>
      <c r="BC161" s="3" t="s">
        <v>102</v>
      </c>
      <c r="BD161" s="3" t="s">
        <v>68</v>
      </c>
      <c r="BF161" s="3" t="s">
        <v>1799</v>
      </c>
      <c r="BG161" s="3" t="s">
        <v>1800</v>
      </c>
    </row>
    <row r="162" spans="1:59" ht="130.5" x14ac:dyDescent="0.35">
      <c r="A162" s="2" t="s">
        <v>59</v>
      </c>
      <c r="B162" s="2" t="s">
        <v>77</v>
      </c>
      <c r="C162" s="2" t="s">
        <v>1754</v>
      </c>
      <c r="D162" s="2" t="s">
        <v>1755</v>
      </c>
      <c r="E162" s="2" t="s">
        <v>1756</v>
      </c>
      <c r="F162" s="3" t="s">
        <v>1801</v>
      </c>
      <c r="G162" s="3" t="s">
        <v>61</v>
      </c>
      <c r="I162" s="3" t="s">
        <v>62</v>
      </c>
      <c r="J162" s="3" t="s">
        <v>62</v>
      </c>
      <c r="K162" s="3" t="s">
        <v>63</v>
      </c>
      <c r="L162" s="2" t="s">
        <v>1758</v>
      </c>
      <c r="M162" s="2" t="s">
        <v>1759</v>
      </c>
      <c r="N162" s="3" t="s">
        <v>157</v>
      </c>
      <c r="P162" s="3" t="s">
        <v>1760</v>
      </c>
      <c r="R162" s="3" t="s">
        <v>65</v>
      </c>
      <c r="S162" s="4">
        <v>0</v>
      </c>
      <c r="T162" s="4">
        <v>1</v>
      </c>
      <c r="V162" s="5" t="s">
        <v>1761</v>
      </c>
      <c r="W162" s="5" t="s">
        <v>67</v>
      </c>
      <c r="X162" s="5" t="s">
        <v>67</v>
      </c>
      <c r="Y162" s="4">
        <v>30</v>
      </c>
      <c r="Z162" s="4">
        <v>2</v>
      </c>
      <c r="AA162" s="4">
        <v>3</v>
      </c>
      <c r="AB162" s="4">
        <v>1</v>
      </c>
      <c r="AC162" s="4">
        <v>1</v>
      </c>
      <c r="AD162" s="4">
        <v>22</v>
      </c>
      <c r="AE162" s="4">
        <v>23</v>
      </c>
      <c r="AF162" s="4">
        <v>0</v>
      </c>
      <c r="AG162" s="4">
        <v>0</v>
      </c>
      <c r="AH162" s="4">
        <v>20</v>
      </c>
      <c r="AI162" s="4">
        <v>21</v>
      </c>
      <c r="AJ162" s="4">
        <v>1</v>
      </c>
      <c r="AK162" s="4">
        <v>2</v>
      </c>
      <c r="AL162" s="4">
        <v>13</v>
      </c>
      <c r="AM162" s="4">
        <v>13</v>
      </c>
      <c r="AN162" s="4">
        <v>0</v>
      </c>
      <c r="AO162" s="4">
        <v>0</v>
      </c>
      <c r="AP162" s="4">
        <v>1</v>
      </c>
      <c r="AQ162" s="4">
        <v>2</v>
      </c>
      <c r="AR162" s="3" t="s">
        <v>62</v>
      </c>
      <c r="AS162" s="3" t="s">
        <v>62</v>
      </c>
      <c r="AT162" s="3" t="s">
        <v>61</v>
      </c>
      <c r="AU162" s="6" t="str">
        <f t="shared" si="6"/>
        <v>HathiTrust Record</v>
      </c>
      <c r="AV162" s="6" t="str">
        <f t="shared" si="7"/>
        <v>Catalog Record</v>
      </c>
      <c r="AW162" s="6" t="str">
        <f t="shared" si="8"/>
        <v>WorldCat Record</v>
      </c>
      <c r="AX162" s="3" t="s">
        <v>1762</v>
      </c>
      <c r="AY162" s="3" t="s">
        <v>1763</v>
      </c>
      <c r="AZ162" s="3" t="s">
        <v>1764</v>
      </c>
      <c r="BA162" s="3" t="s">
        <v>1764</v>
      </c>
      <c r="BB162" s="3" t="s">
        <v>1802</v>
      </c>
      <c r="BC162" s="3" t="s">
        <v>102</v>
      </c>
      <c r="BD162" s="3" t="s">
        <v>68</v>
      </c>
      <c r="BF162" s="3" t="s">
        <v>1802</v>
      </c>
      <c r="BG162" s="3" t="s">
        <v>1803</v>
      </c>
    </row>
    <row r="163" spans="1:59" ht="58" x14ac:dyDescent="0.35">
      <c r="A163" s="2" t="s">
        <v>89</v>
      </c>
      <c r="B163" s="2" t="s">
        <v>90</v>
      </c>
      <c r="C163" s="2" t="s">
        <v>1804</v>
      </c>
      <c r="D163" s="2" t="s">
        <v>1805</v>
      </c>
      <c r="E163" s="2" t="s">
        <v>1806</v>
      </c>
      <c r="G163" s="3" t="s">
        <v>62</v>
      </c>
      <c r="I163" s="3" t="s">
        <v>62</v>
      </c>
      <c r="J163" s="3" t="s">
        <v>62</v>
      </c>
      <c r="K163" s="3" t="s">
        <v>63</v>
      </c>
      <c r="M163" s="2" t="s">
        <v>1807</v>
      </c>
      <c r="N163" s="3" t="s">
        <v>115</v>
      </c>
      <c r="P163" s="3" t="s">
        <v>64</v>
      </c>
      <c r="Q163" s="2" t="s">
        <v>1808</v>
      </c>
      <c r="R163" s="3" t="s">
        <v>65</v>
      </c>
      <c r="S163" s="4">
        <v>8</v>
      </c>
      <c r="T163" s="4">
        <v>8</v>
      </c>
      <c r="U163" s="5" t="s">
        <v>1809</v>
      </c>
      <c r="V163" s="5" t="s">
        <v>1809</v>
      </c>
      <c r="W163" s="5" t="s">
        <v>67</v>
      </c>
      <c r="X163" s="5" t="s">
        <v>67</v>
      </c>
      <c r="Y163" s="4">
        <v>92</v>
      </c>
      <c r="Z163" s="4">
        <v>7</v>
      </c>
      <c r="AA163" s="4">
        <v>8</v>
      </c>
      <c r="AB163" s="4">
        <v>1</v>
      </c>
      <c r="AC163" s="4">
        <v>2</v>
      </c>
      <c r="AD163" s="4">
        <v>41</v>
      </c>
      <c r="AE163" s="4">
        <v>42</v>
      </c>
      <c r="AF163" s="4">
        <v>0</v>
      </c>
      <c r="AG163" s="4">
        <v>1</v>
      </c>
      <c r="AH163" s="4">
        <v>39</v>
      </c>
      <c r="AI163" s="4">
        <v>39</v>
      </c>
      <c r="AJ163" s="4">
        <v>4</v>
      </c>
      <c r="AK163" s="4">
        <v>5</v>
      </c>
      <c r="AL163" s="4">
        <v>29</v>
      </c>
      <c r="AM163" s="4">
        <v>29</v>
      </c>
      <c r="AN163" s="4">
        <v>0</v>
      </c>
      <c r="AO163" s="4">
        <v>0</v>
      </c>
      <c r="AP163" s="4">
        <v>4</v>
      </c>
      <c r="AQ163" s="4">
        <v>4</v>
      </c>
      <c r="AR163" s="3" t="s">
        <v>62</v>
      </c>
      <c r="AS163" s="3" t="s">
        <v>62</v>
      </c>
      <c r="AT163" s="3" t="s">
        <v>61</v>
      </c>
      <c r="AU163" s="6" t="str">
        <f>HYPERLINK("http://catalog.hathitrust.org/Record/002581214","HathiTrust Record")</f>
        <v>HathiTrust Record</v>
      </c>
      <c r="AV163" s="6" t="str">
        <f>HYPERLINK("http://mcgill.on.worldcat.org/oclc/21697615","Catalog Record")</f>
        <v>Catalog Record</v>
      </c>
      <c r="AW163" s="6" t="str">
        <f>HYPERLINK("http://www.worldcat.org/oclc/21697615","WorldCat Record")</f>
        <v>WorldCat Record</v>
      </c>
      <c r="AX163" s="3" t="s">
        <v>1810</v>
      </c>
      <c r="AY163" s="3" t="s">
        <v>1811</v>
      </c>
      <c r="AZ163" s="3" t="s">
        <v>1812</v>
      </c>
      <c r="BA163" s="3" t="s">
        <v>1812</v>
      </c>
      <c r="BB163" s="3" t="s">
        <v>1813</v>
      </c>
      <c r="BC163" s="3" t="s">
        <v>102</v>
      </c>
      <c r="BD163" s="3" t="s">
        <v>68</v>
      </c>
      <c r="BE163" s="3" t="s">
        <v>1814</v>
      </c>
      <c r="BF163" s="3" t="s">
        <v>1813</v>
      </c>
      <c r="BG163" s="3" t="s">
        <v>1815</v>
      </c>
    </row>
    <row r="164" spans="1:59" ht="58" x14ac:dyDescent="0.35">
      <c r="A164" s="2" t="s">
        <v>89</v>
      </c>
      <c r="B164" s="2" t="s">
        <v>90</v>
      </c>
      <c r="C164" s="2" t="s">
        <v>1816</v>
      </c>
      <c r="D164" s="2" t="s">
        <v>1817</v>
      </c>
      <c r="E164" s="2" t="s">
        <v>1818</v>
      </c>
      <c r="G164" s="3" t="s">
        <v>62</v>
      </c>
      <c r="I164" s="3" t="s">
        <v>62</v>
      </c>
      <c r="J164" s="3" t="s">
        <v>62</v>
      </c>
      <c r="K164" s="3" t="s">
        <v>63</v>
      </c>
      <c r="L164" s="2" t="s">
        <v>1819</v>
      </c>
      <c r="M164" s="2" t="s">
        <v>1820</v>
      </c>
      <c r="N164" s="3" t="s">
        <v>698</v>
      </c>
      <c r="P164" s="3" t="s">
        <v>64</v>
      </c>
      <c r="R164" s="3" t="s">
        <v>65</v>
      </c>
      <c r="S164" s="4">
        <v>1</v>
      </c>
      <c r="T164" s="4">
        <v>1</v>
      </c>
      <c r="U164" s="5" t="s">
        <v>1821</v>
      </c>
      <c r="V164" s="5" t="s">
        <v>1821</v>
      </c>
      <c r="W164" s="5" t="s">
        <v>67</v>
      </c>
      <c r="X164" s="5" t="s">
        <v>67</v>
      </c>
      <c r="Y164" s="4">
        <v>336</v>
      </c>
      <c r="Z164" s="4">
        <v>25</v>
      </c>
      <c r="AA164" s="4">
        <v>26</v>
      </c>
      <c r="AB164" s="4">
        <v>1</v>
      </c>
      <c r="AC164" s="4">
        <v>2</v>
      </c>
      <c r="AD164" s="4">
        <v>81</v>
      </c>
      <c r="AE164" s="4">
        <v>82</v>
      </c>
      <c r="AF164" s="4">
        <v>0</v>
      </c>
      <c r="AG164" s="4">
        <v>1</v>
      </c>
      <c r="AH164" s="4">
        <v>69</v>
      </c>
      <c r="AI164" s="4">
        <v>70</v>
      </c>
      <c r="AJ164" s="4">
        <v>13</v>
      </c>
      <c r="AK164" s="4">
        <v>14</v>
      </c>
      <c r="AL164" s="4">
        <v>39</v>
      </c>
      <c r="AM164" s="4">
        <v>39</v>
      </c>
      <c r="AN164" s="4">
        <v>0</v>
      </c>
      <c r="AO164" s="4">
        <v>0</v>
      </c>
      <c r="AP164" s="4">
        <v>18</v>
      </c>
      <c r="AQ164" s="4">
        <v>19</v>
      </c>
      <c r="AR164" s="3" t="s">
        <v>62</v>
      </c>
      <c r="AS164" s="3" t="s">
        <v>62</v>
      </c>
      <c r="AT164" s="3" t="s">
        <v>62</v>
      </c>
      <c r="AV164" s="6" t="str">
        <f>HYPERLINK("http://mcgill.on.worldcat.org/oclc/761381232","Catalog Record")</f>
        <v>Catalog Record</v>
      </c>
      <c r="AW164" s="6" t="str">
        <f>HYPERLINK("http://www.worldcat.org/oclc/761381232","WorldCat Record")</f>
        <v>WorldCat Record</v>
      </c>
      <c r="AX164" s="3" t="s">
        <v>1822</v>
      </c>
      <c r="AY164" s="3" t="s">
        <v>1823</v>
      </c>
      <c r="AZ164" s="3" t="s">
        <v>1824</v>
      </c>
      <c r="BA164" s="3" t="s">
        <v>1824</v>
      </c>
      <c r="BB164" s="3" t="s">
        <v>1825</v>
      </c>
      <c r="BC164" s="3" t="s">
        <v>102</v>
      </c>
      <c r="BD164" s="3" t="s">
        <v>68</v>
      </c>
      <c r="BE164" s="3" t="s">
        <v>1826</v>
      </c>
      <c r="BF164" s="3" t="s">
        <v>1825</v>
      </c>
      <c r="BG164" s="3" t="s">
        <v>1827</v>
      </c>
    </row>
    <row r="165" spans="1:59" ht="58" x14ac:dyDescent="0.35">
      <c r="A165" s="2" t="s">
        <v>89</v>
      </c>
      <c r="B165" s="2" t="s">
        <v>90</v>
      </c>
      <c r="C165" s="2" t="s">
        <v>1828</v>
      </c>
      <c r="D165" s="2" t="s">
        <v>1829</v>
      </c>
      <c r="E165" s="2" t="s">
        <v>1830</v>
      </c>
      <c r="G165" s="3" t="s">
        <v>62</v>
      </c>
      <c r="I165" s="3" t="s">
        <v>62</v>
      </c>
      <c r="J165" s="3" t="s">
        <v>62</v>
      </c>
      <c r="K165" s="3" t="s">
        <v>63</v>
      </c>
      <c r="M165" s="2" t="s">
        <v>1831</v>
      </c>
      <c r="N165" s="3" t="s">
        <v>880</v>
      </c>
      <c r="P165" s="3" t="s">
        <v>64</v>
      </c>
      <c r="Q165" s="2" t="s">
        <v>1832</v>
      </c>
      <c r="R165" s="3" t="s">
        <v>65</v>
      </c>
      <c r="S165" s="4">
        <v>8</v>
      </c>
      <c r="T165" s="4">
        <v>8</v>
      </c>
      <c r="U165" s="5" t="s">
        <v>1833</v>
      </c>
      <c r="V165" s="5" t="s">
        <v>1833</v>
      </c>
      <c r="W165" s="5" t="s">
        <v>67</v>
      </c>
      <c r="X165" s="5" t="s">
        <v>67</v>
      </c>
      <c r="Y165" s="4">
        <v>59</v>
      </c>
      <c r="Z165" s="4">
        <v>2</v>
      </c>
      <c r="AA165" s="4">
        <v>34</v>
      </c>
      <c r="AB165" s="4">
        <v>1</v>
      </c>
      <c r="AC165" s="4">
        <v>10</v>
      </c>
      <c r="AD165" s="4">
        <v>19</v>
      </c>
      <c r="AE165" s="4">
        <v>81</v>
      </c>
      <c r="AF165" s="4">
        <v>0</v>
      </c>
      <c r="AG165" s="4">
        <v>6</v>
      </c>
      <c r="AH165" s="4">
        <v>18</v>
      </c>
      <c r="AI165" s="4">
        <v>57</v>
      </c>
      <c r="AJ165" s="4">
        <v>1</v>
      </c>
      <c r="AK165" s="4">
        <v>16</v>
      </c>
      <c r="AL165" s="4">
        <v>15</v>
      </c>
      <c r="AM165" s="4">
        <v>31</v>
      </c>
      <c r="AN165" s="4">
        <v>0</v>
      </c>
      <c r="AO165" s="4">
        <v>0</v>
      </c>
      <c r="AP165" s="4">
        <v>1</v>
      </c>
      <c r="AQ165" s="4">
        <v>28</v>
      </c>
      <c r="AR165" s="3" t="s">
        <v>62</v>
      </c>
      <c r="AS165" s="3" t="s">
        <v>62</v>
      </c>
      <c r="AT165" s="3" t="s">
        <v>62</v>
      </c>
      <c r="AV165" s="6" t="str">
        <f>HYPERLINK("http://mcgill.on.worldcat.org/oclc/401154038","Catalog Record")</f>
        <v>Catalog Record</v>
      </c>
      <c r="AW165" s="6" t="str">
        <f>HYPERLINK("http://www.worldcat.org/oclc/401154038","WorldCat Record")</f>
        <v>WorldCat Record</v>
      </c>
      <c r="AX165" s="3" t="s">
        <v>1834</v>
      </c>
      <c r="AY165" s="3" t="s">
        <v>1835</v>
      </c>
      <c r="AZ165" s="3" t="s">
        <v>1836</v>
      </c>
      <c r="BA165" s="3" t="s">
        <v>1836</v>
      </c>
      <c r="BB165" s="3" t="s">
        <v>1837</v>
      </c>
      <c r="BC165" s="3" t="s">
        <v>102</v>
      </c>
      <c r="BD165" s="3" t="s">
        <v>68</v>
      </c>
      <c r="BE165" s="3" t="s">
        <v>1838</v>
      </c>
      <c r="BF165" s="3" t="s">
        <v>1837</v>
      </c>
      <c r="BG165" s="3" t="s">
        <v>1839</v>
      </c>
    </row>
    <row r="166" spans="1:59" ht="58" x14ac:dyDescent="0.35">
      <c r="A166" s="2" t="s">
        <v>89</v>
      </c>
      <c r="B166" s="2" t="s">
        <v>90</v>
      </c>
      <c r="C166" s="2" t="s">
        <v>1840</v>
      </c>
      <c r="D166" s="2" t="s">
        <v>1841</v>
      </c>
      <c r="E166" s="2" t="s">
        <v>1842</v>
      </c>
      <c r="G166" s="3" t="s">
        <v>62</v>
      </c>
      <c r="I166" s="3" t="s">
        <v>61</v>
      </c>
      <c r="J166" s="3" t="s">
        <v>61</v>
      </c>
      <c r="K166" s="3" t="s">
        <v>63</v>
      </c>
      <c r="L166" s="2" t="s">
        <v>1843</v>
      </c>
      <c r="M166" s="2" t="s">
        <v>1844</v>
      </c>
      <c r="N166" s="3" t="s">
        <v>466</v>
      </c>
      <c r="P166" s="3" t="s">
        <v>64</v>
      </c>
      <c r="R166" s="3" t="s">
        <v>65</v>
      </c>
      <c r="S166" s="4">
        <v>27</v>
      </c>
      <c r="T166" s="4">
        <v>108</v>
      </c>
      <c r="U166" s="5" t="s">
        <v>1845</v>
      </c>
      <c r="V166" s="5" t="s">
        <v>1845</v>
      </c>
      <c r="W166" s="5" t="s">
        <v>67</v>
      </c>
      <c r="X166" s="5" t="s">
        <v>67</v>
      </c>
      <c r="Y166" s="4">
        <v>1659</v>
      </c>
      <c r="Z166" s="4">
        <v>78</v>
      </c>
      <c r="AA166" s="4">
        <v>98</v>
      </c>
      <c r="AB166" s="4">
        <v>4</v>
      </c>
      <c r="AC166" s="4">
        <v>11</v>
      </c>
      <c r="AD166" s="4">
        <v>140</v>
      </c>
      <c r="AE166" s="4">
        <v>155</v>
      </c>
      <c r="AF166" s="4">
        <v>1</v>
      </c>
      <c r="AG166" s="4">
        <v>4</v>
      </c>
      <c r="AH166" s="4">
        <v>108</v>
      </c>
      <c r="AI166" s="4">
        <v>115</v>
      </c>
      <c r="AJ166" s="4">
        <v>23</v>
      </c>
      <c r="AK166" s="4">
        <v>27</v>
      </c>
      <c r="AL166" s="4">
        <v>58</v>
      </c>
      <c r="AM166" s="4">
        <v>61</v>
      </c>
      <c r="AN166" s="4">
        <v>0</v>
      </c>
      <c r="AO166" s="4">
        <v>0</v>
      </c>
      <c r="AP166" s="4">
        <v>39</v>
      </c>
      <c r="AQ166" s="4">
        <v>47</v>
      </c>
      <c r="AR166" s="3" t="s">
        <v>62</v>
      </c>
      <c r="AS166" s="3" t="s">
        <v>62</v>
      </c>
      <c r="AT166" s="3" t="s">
        <v>62</v>
      </c>
      <c r="AV166" s="6" t="str">
        <f>HYPERLINK("http://mcgill.on.worldcat.org/oclc/24590464","Catalog Record")</f>
        <v>Catalog Record</v>
      </c>
      <c r="AW166" s="6" t="str">
        <f>HYPERLINK("http://www.worldcat.org/oclc/24590464","WorldCat Record")</f>
        <v>WorldCat Record</v>
      </c>
      <c r="AX166" s="3" t="s">
        <v>1846</v>
      </c>
      <c r="AY166" s="3" t="s">
        <v>1847</v>
      </c>
      <c r="AZ166" s="3" t="s">
        <v>1848</v>
      </c>
      <c r="BA166" s="3" t="s">
        <v>1848</v>
      </c>
      <c r="BB166" s="3" t="s">
        <v>1849</v>
      </c>
      <c r="BC166" s="3" t="s">
        <v>102</v>
      </c>
      <c r="BD166" s="3" t="s">
        <v>68</v>
      </c>
      <c r="BE166" s="3" t="s">
        <v>1850</v>
      </c>
      <c r="BF166" s="3" t="s">
        <v>1849</v>
      </c>
      <c r="BG166" s="3" t="s">
        <v>1851</v>
      </c>
    </row>
    <row r="167" spans="1:59" ht="58" x14ac:dyDescent="0.35">
      <c r="A167" s="2" t="s">
        <v>89</v>
      </c>
      <c r="B167" s="2" t="s">
        <v>90</v>
      </c>
      <c r="C167" s="2" t="s">
        <v>1840</v>
      </c>
      <c r="D167" s="2" t="s">
        <v>1841</v>
      </c>
      <c r="E167" s="2" t="s">
        <v>1842</v>
      </c>
      <c r="G167" s="3" t="s">
        <v>62</v>
      </c>
      <c r="I167" s="3" t="s">
        <v>61</v>
      </c>
      <c r="J167" s="3" t="s">
        <v>61</v>
      </c>
      <c r="K167" s="3" t="s">
        <v>63</v>
      </c>
      <c r="L167" s="2" t="s">
        <v>1843</v>
      </c>
      <c r="M167" s="2" t="s">
        <v>1844</v>
      </c>
      <c r="N167" s="3" t="s">
        <v>466</v>
      </c>
      <c r="P167" s="3" t="s">
        <v>64</v>
      </c>
      <c r="R167" s="3" t="s">
        <v>65</v>
      </c>
      <c r="S167" s="4">
        <v>81</v>
      </c>
      <c r="T167" s="4">
        <v>108</v>
      </c>
      <c r="U167" s="5" t="s">
        <v>117</v>
      </c>
      <c r="V167" s="5" t="s">
        <v>1845</v>
      </c>
      <c r="W167" s="5" t="s">
        <v>67</v>
      </c>
      <c r="X167" s="5" t="s">
        <v>67</v>
      </c>
      <c r="Y167" s="4">
        <v>1659</v>
      </c>
      <c r="Z167" s="4">
        <v>78</v>
      </c>
      <c r="AA167" s="4">
        <v>98</v>
      </c>
      <c r="AB167" s="4">
        <v>4</v>
      </c>
      <c r="AC167" s="4">
        <v>11</v>
      </c>
      <c r="AD167" s="4">
        <v>140</v>
      </c>
      <c r="AE167" s="4">
        <v>155</v>
      </c>
      <c r="AF167" s="4">
        <v>1</v>
      </c>
      <c r="AG167" s="4">
        <v>4</v>
      </c>
      <c r="AH167" s="4">
        <v>108</v>
      </c>
      <c r="AI167" s="4">
        <v>115</v>
      </c>
      <c r="AJ167" s="4">
        <v>23</v>
      </c>
      <c r="AK167" s="4">
        <v>27</v>
      </c>
      <c r="AL167" s="4">
        <v>58</v>
      </c>
      <c r="AM167" s="4">
        <v>61</v>
      </c>
      <c r="AN167" s="4">
        <v>0</v>
      </c>
      <c r="AO167" s="4">
        <v>0</v>
      </c>
      <c r="AP167" s="4">
        <v>39</v>
      </c>
      <c r="AQ167" s="4">
        <v>47</v>
      </c>
      <c r="AR167" s="3" t="s">
        <v>62</v>
      </c>
      <c r="AS167" s="3" t="s">
        <v>62</v>
      </c>
      <c r="AT167" s="3" t="s">
        <v>62</v>
      </c>
      <c r="AV167" s="6" t="str">
        <f>HYPERLINK("http://mcgill.on.worldcat.org/oclc/24590464","Catalog Record")</f>
        <v>Catalog Record</v>
      </c>
      <c r="AW167" s="6" t="str">
        <f>HYPERLINK("http://www.worldcat.org/oclc/24590464","WorldCat Record")</f>
        <v>WorldCat Record</v>
      </c>
      <c r="AX167" s="3" t="s">
        <v>1846</v>
      </c>
      <c r="AY167" s="3" t="s">
        <v>1847</v>
      </c>
      <c r="AZ167" s="3" t="s">
        <v>1848</v>
      </c>
      <c r="BA167" s="3" t="s">
        <v>1848</v>
      </c>
      <c r="BB167" s="3" t="s">
        <v>1852</v>
      </c>
      <c r="BC167" s="3" t="s">
        <v>102</v>
      </c>
      <c r="BD167" s="3" t="s">
        <v>68</v>
      </c>
      <c r="BE167" s="3" t="s">
        <v>1850</v>
      </c>
      <c r="BF167" s="3" t="s">
        <v>1852</v>
      </c>
      <c r="BG167" s="3" t="s">
        <v>1853</v>
      </c>
    </row>
    <row r="168" spans="1:59" ht="58" x14ac:dyDescent="0.35">
      <c r="A168" s="2" t="s">
        <v>89</v>
      </c>
      <c r="B168" s="2" t="s">
        <v>90</v>
      </c>
      <c r="C168" s="2" t="s">
        <v>1854</v>
      </c>
      <c r="D168" s="2" t="s">
        <v>1855</v>
      </c>
      <c r="E168" s="2" t="s">
        <v>1856</v>
      </c>
      <c r="G168" s="3" t="s">
        <v>62</v>
      </c>
      <c r="I168" s="3" t="s">
        <v>62</v>
      </c>
      <c r="J168" s="3" t="s">
        <v>62</v>
      </c>
      <c r="K168" s="3" t="s">
        <v>63</v>
      </c>
      <c r="L168" s="2" t="s">
        <v>1857</v>
      </c>
      <c r="M168" s="2" t="s">
        <v>1858</v>
      </c>
      <c r="N168" s="3" t="s">
        <v>596</v>
      </c>
      <c r="P168" s="3" t="s">
        <v>64</v>
      </c>
      <c r="Q168" s="2" t="s">
        <v>1859</v>
      </c>
      <c r="R168" s="3" t="s">
        <v>65</v>
      </c>
      <c r="S168" s="4">
        <v>10</v>
      </c>
      <c r="T168" s="4">
        <v>10</v>
      </c>
      <c r="U168" s="5" t="s">
        <v>1860</v>
      </c>
      <c r="V168" s="5" t="s">
        <v>1860</v>
      </c>
      <c r="W168" s="5" t="s">
        <v>67</v>
      </c>
      <c r="X168" s="5" t="s">
        <v>67</v>
      </c>
      <c r="Y168" s="4">
        <v>387</v>
      </c>
      <c r="Z168" s="4">
        <v>25</v>
      </c>
      <c r="AA168" s="4">
        <v>32</v>
      </c>
      <c r="AB168" s="4">
        <v>1</v>
      </c>
      <c r="AC168" s="4">
        <v>3</v>
      </c>
      <c r="AD168" s="4">
        <v>113</v>
      </c>
      <c r="AE168" s="4">
        <v>120</v>
      </c>
      <c r="AF168" s="4">
        <v>0</v>
      </c>
      <c r="AG168" s="4">
        <v>2</v>
      </c>
      <c r="AH168" s="4">
        <v>100</v>
      </c>
      <c r="AI168" s="4">
        <v>102</v>
      </c>
      <c r="AJ168" s="4">
        <v>17</v>
      </c>
      <c r="AK168" s="4">
        <v>20</v>
      </c>
      <c r="AL168" s="4">
        <v>54</v>
      </c>
      <c r="AM168" s="4">
        <v>56</v>
      </c>
      <c r="AN168" s="4">
        <v>0</v>
      </c>
      <c r="AO168" s="4">
        <v>0</v>
      </c>
      <c r="AP168" s="4">
        <v>21</v>
      </c>
      <c r="AQ168" s="4">
        <v>26</v>
      </c>
      <c r="AR168" s="3" t="s">
        <v>62</v>
      </c>
      <c r="AS168" s="3" t="s">
        <v>62</v>
      </c>
      <c r="AT168" s="3" t="s">
        <v>62</v>
      </c>
      <c r="AV168" s="6" t="str">
        <f>HYPERLINK("http://mcgill.on.worldcat.org/oclc/49513186","Catalog Record")</f>
        <v>Catalog Record</v>
      </c>
      <c r="AW168" s="6" t="str">
        <f>HYPERLINK("http://www.worldcat.org/oclc/49513186","WorldCat Record")</f>
        <v>WorldCat Record</v>
      </c>
      <c r="AX168" s="3" t="s">
        <v>1861</v>
      </c>
      <c r="AY168" s="3" t="s">
        <v>1862</v>
      </c>
      <c r="AZ168" s="3" t="s">
        <v>1863</v>
      </c>
      <c r="BA168" s="3" t="s">
        <v>1863</v>
      </c>
      <c r="BB168" s="3" t="s">
        <v>1864</v>
      </c>
      <c r="BC168" s="3" t="s">
        <v>102</v>
      </c>
      <c r="BD168" s="3" t="s">
        <v>68</v>
      </c>
      <c r="BE168" s="3" t="s">
        <v>1865</v>
      </c>
      <c r="BF168" s="3" t="s">
        <v>1864</v>
      </c>
      <c r="BG168" s="3" t="s">
        <v>1866</v>
      </c>
    </row>
    <row r="169" spans="1:59" ht="58" x14ac:dyDescent="0.35">
      <c r="A169" s="2" t="s">
        <v>89</v>
      </c>
      <c r="B169" s="2" t="s">
        <v>90</v>
      </c>
      <c r="C169" s="2" t="s">
        <v>1867</v>
      </c>
      <c r="D169" s="2" t="s">
        <v>1868</v>
      </c>
      <c r="E169" s="2" t="s">
        <v>1869</v>
      </c>
      <c r="G169" s="3" t="s">
        <v>62</v>
      </c>
      <c r="I169" s="3" t="s">
        <v>62</v>
      </c>
      <c r="J169" s="3" t="s">
        <v>62</v>
      </c>
      <c r="K169" s="3" t="s">
        <v>63</v>
      </c>
      <c r="L169" s="2" t="s">
        <v>1857</v>
      </c>
      <c r="M169" s="2" t="s">
        <v>1870</v>
      </c>
      <c r="N169" s="3" t="s">
        <v>640</v>
      </c>
      <c r="P169" s="3" t="s">
        <v>64</v>
      </c>
      <c r="R169" s="3" t="s">
        <v>65</v>
      </c>
      <c r="S169" s="4">
        <v>16</v>
      </c>
      <c r="T169" s="4">
        <v>16</v>
      </c>
      <c r="U169" s="5" t="s">
        <v>1860</v>
      </c>
      <c r="V169" s="5" t="s">
        <v>1860</v>
      </c>
      <c r="W169" s="5" t="s">
        <v>67</v>
      </c>
      <c r="X169" s="5" t="s">
        <v>67</v>
      </c>
      <c r="Y169" s="4">
        <v>382</v>
      </c>
      <c r="Z169" s="4">
        <v>24</v>
      </c>
      <c r="AA169" s="4">
        <v>101</v>
      </c>
      <c r="AB169" s="4">
        <v>2</v>
      </c>
      <c r="AC169" s="4">
        <v>18</v>
      </c>
      <c r="AD169" s="4">
        <v>110</v>
      </c>
      <c r="AE169" s="4">
        <v>153</v>
      </c>
      <c r="AF169" s="4">
        <v>1</v>
      </c>
      <c r="AG169" s="4">
        <v>8</v>
      </c>
      <c r="AH169" s="4">
        <v>97</v>
      </c>
      <c r="AI169" s="4">
        <v>111</v>
      </c>
      <c r="AJ169" s="4">
        <v>16</v>
      </c>
      <c r="AK169" s="4">
        <v>27</v>
      </c>
      <c r="AL169" s="4">
        <v>55</v>
      </c>
      <c r="AM169" s="4">
        <v>58</v>
      </c>
      <c r="AN169" s="4">
        <v>0</v>
      </c>
      <c r="AO169" s="4">
        <v>0</v>
      </c>
      <c r="AP169" s="4">
        <v>21</v>
      </c>
      <c r="AQ169" s="4">
        <v>53</v>
      </c>
      <c r="AR169" s="3" t="s">
        <v>62</v>
      </c>
      <c r="AS169" s="3" t="s">
        <v>62</v>
      </c>
      <c r="AT169" s="3" t="s">
        <v>62</v>
      </c>
      <c r="AV169" s="6" t="str">
        <f>HYPERLINK("http://mcgill.on.worldcat.org/oclc/53871556","Catalog Record")</f>
        <v>Catalog Record</v>
      </c>
      <c r="AW169" s="6" t="str">
        <f>HYPERLINK("http://www.worldcat.org/oclc/53871556","WorldCat Record")</f>
        <v>WorldCat Record</v>
      </c>
      <c r="AX169" s="3" t="s">
        <v>1871</v>
      </c>
      <c r="AY169" s="3" t="s">
        <v>1872</v>
      </c>
      <c r="AZ169" s="3" t="s">
        <v>1873</v>
      </c>
      <c r="BA169" s="3" t="s">
        <v>1873</v>
      </c>
      <c r="BB169" s="3" t="s">
        <v>1874</v>
      </c>
      <c r="BC169" s="3" t="s">
        <v>102</v>
      </c>
      <c r="BD169" s="3" t="s">
        <v>68</v>
      </c>
      <c r="BE169" s="3" t="s">
        <v>1875</v>
      </c>
      <c r="BF169" s="3" t="s">
        <v>1874</v>
      </c>
      <c r="BG169" s="3" t="s">
        <v>1876</v>
      </c>
    </row>
    <row r="170" spans="1:59" ht="58" x14ac:dyDescent="0.35">
      <c r="A170" s="2" t="s">
        <v>89</v>
      </c>
      <c r="B170" s="2" t="s">
        <v>90</v>
      </c>
      <c r="C170" s="2" t="s">
        <v>1877</v>
      </c>
      <c r="D170" s="2" t="s">
        <v>1878</v>
      </c>
      <c r="E170" s="2" t="s">
        <v>1879</v>
      </c>
      <c r="G170" s="3" t="s">
        <v>62</v>
      </c>
      <c r="I170" s="3" t="s">
        <v>62</v>
      </c>
      <c r="J170" s="3" t="s">
        <v>62</v>
      </c>
      <c r="K170" s="3" t="s">
        <v>63</v>
      </c>
      <c r="M170" s="2" t="s">
        <v>1880</v>
      </c>
      <c r="N170" s="3" t="s">
        <v>655</v>
      </c>
      <c r="P170" s="3" t="s">
        <v>1881</v>
      </c>
      <c r="Q170" s="2" t="s">
        <v>1882</v>
      </c>
      <c r="R170" s="3" t="s">
        <v>65</v>
      </c>
      <c r="S170" s="4">
        <v>1</v>
      </c>
      <c r="T170" s="4">
        <v>1</v>
      </c>
      <c r="U170" s="5" t="s">
        <v>1883</v>
      </c>
      <c r="V170" s="5" t="s">
        <v>1883</v>
      </c>
      <c r="W170" s="5" t="s">
        <v>67</v>
      </c>
      <c r="X170" s="5" t="s">
        <v>67</v>
      </c>
      <c r="Y170" s="4">
        <v>41</v>
      </c>
      <c r="Z170" s="4">
        <v>4</v>
      </c>
      <c r="AA170" s="4">
        <v>4</v>
      </c>
      <c r="AB170" s="4">
        <v>2</v>
      </c>
      <c r="AC170" s="4">
        <v>2</v>
      </c>
      <c r="AD170" s="4">
        <v>10</v>
      </c>
      <c r="AE170" s="4">
        <v>10</v>
      </c>
      <c r="AF170" s="4">
        <v>0</v>
      </c>
      <c r="AG170" s="4">
        <v>0</v>
      </c>
      <c r="AH170" s="4">
        <v>10</v>
      </c>
      <c r="AI170" s="4">
        <v>10</v>
      </c>
      <c r="AJ170" s="4">
        <v>2</v>
      </c>
      <c r="AK170" s="4">
        <v>2</v>
      </c>
      <c r="AL170" s="4">
        <v>6</v>
      </c>
      <c r="AM170" s="4">
        <v>6</v>
      </c>
      <c r="AN170" s="4">
        <v>0</v>
      </c>
      <c r="AO170" s="4">
        <v>0</v>
      </c>
      <c r="AP170" s="4">
        <v>2</v>
      </c>
      <c r="AQ170" s="4">
        <v>2</v>
      </c>
      <c r="AR170" s="3" t="s">
        <v>62</v>
      </c>
      <c r="AS170" s="3" t="s">
        <v>62</v>
      </c>
      <c r="AT170" s="3" t="s">
        <v>62</v>
      </c>
      <c r="AV170" s="6" t="str">
        <f>HYPERLINK("http://mcgill.on.worldcat.org/oclc/122934780","Catalog Record")</f>
        <v>Catalog Record</v>
      </c>
      <c r="AW170" s="6" t="str">
        <f>HYPERLINK("http://www.worldcat.org/oclc/122934780","WorldCat Record")</f>
        <v>WorldCat Record</v>
      </c>
      <c r="AX170" s="3" t="s">
        <v>1884</v>
      </c>
      <c r="AY170" s="3" t="s">
        <v>1885</v>
      </c>
      <c r="AZ170" s="3" t="s">
        <v>1886</v>
      </c>
      <c r="BA170" s="3" t="s">
        <v>1886</v>
      </c>
      <c r="BB170" s="3" t="s">
        <v>1887</v>
      </c>
      <c r="BC170" s="3" t="s">
        <v>102</v>
      </c>
      <c r="BD170" s="3" t="s">
        <v>68</v>
      </c>
      <c r="BE170" s="3" t="s">
        <v>1888</v>
      </c>
      <c r="BF170" s="3" t="s">
        <v>1887</v>
      </c>
      <c r="BG170" s="3" t="s">
        <v>1889</v>
      </c>
    </row>
    <row r="171" spans="1:59" ht="58" x14ac:dyDescent="0.35">
      <c r="A171" s="2" t="s">
        <v>89</v>
      </c>
      <c r="B171" s="2" t="s">
        <v>90</v>
      </c>
      <c r="C171" s="2" t="s">
        <v>1890</v>
      </c>
      <c r="D171" s="2" t="s">
        <v>1891</v>
      </c>
      <c r="E171" s="2" t="s">
        <v>1892</v>
      </c>
      <c r="G171" s="3" t="s">
        <v>62</v>
      </c>
      <c r="I171" s="3" t="s">
        <v>62</v>
      </c>
      <c r="J171" s="3" t="s">
        <v>62</v>
      </c>
      <c r="K171" s="3" t="s">
        <v>63</v>
      </c>
      <c r="M171" s="2" t="s">
        <v>1893</v>
      </c>
      <c r="N171" s="3" t="s">
        <v>327</v>
      </c>
      <c r="P171" s="3" t="s">
        <v>1760</v>
      </c>
      <c r="R171" s="3" t="s">
        <v>65</v>
      </c>
      <c r="S171" s="4">
        <v>2</v>
      </c>
      <c r="T171" s="4">
        <v>2</v>
      </c>
      <c r="U171" s="5" t="s">
        <v>1894</v>
      </c>
      <c r="V171" s="5" t="s">
        <v>1894</v>
      </c>
      <c r="W171" s="5" t="s">
        <v>67</v>
      </c>
      <c r="X171" s="5" t="s">
        <v>67</v>
      </c>
      <c r="Y171" s="4">
        <v>22</v>
      </c>
      <c r="Z171" s="4">
        <v>2</v>
      </c>
      <c r="AA171" s="4">
        <v>2</v>
      </c>
      <c r="AB171" s="4">
        <v>2</v>
      </c>
      <c r="AC171" s="4">
        <v>2</v>
      </c>
      <c r="AD171" s="4">
        <v>16</v>
      </c>
      <c r="AE171" s="4">
        <v>16</v>
      </c>
      <c r="AF171" s="4">
        <v>0</v>
      </c>
      <c r="AG171" s="4">
        <v>0</v>
      </c>
      <c r="AH171" s="4">
        <v>15</v>
      </c>
      <c r="AI171" s="4">
        <v>15</v>
      </c>
      <c r="AJ171" s="4">
        <v>0</v>
      </c>
      <c r="AK171" s="4">
        <v>0</v>
      </c>
      <c r="AL171" s="4">
        <v>14</v>
      </c>
      <c r="AM171" s="4">
        <v>14</v>
      </c>
      <c r="AN171" s="4">
        <v>1</v>
      </c>
      <c r="AO171" s="4">
        <v>1</v>
      </c>
      <c r="AP171" s="4">
        <v>0</v>
      </c>
      <c r="AQ171" s="4">
        <v>0</v>
      </c>
      <c r="AR171" s="3" t="s">
        <v>62</v>
      </c>
      <c r="AS171" s="3" t="s">
        <v>62</v>
      </c>
      <c r="AT171" s="3" t="s">
        <v>61</v>
      </c>
      <c r="AU171" s="6" t="str">
        <f>HYPERLINK("http://catalog.hathitrust.org/Record/006693622","HathiTrust Record")</f>
        <v>HathiTrust Record</v>
      </c>
      <c r="AV171" s="6" t="str">
        <f>HYPERLINK("http://mcgill.on.worldcat.org/oclc/21372931","Catalog Record")</f>
        <v>Catalog Record</v>
      </c>
      <c r="AW171" s="6" t="str">
        <f>HYPERLINK("http://www.worldcat.org/oclc/21372931","WorldCat Record")</f>
        <v>WorldCat Record</v>
      </c>
      <c r="AX171" s="3" t="s">
        <v>1895</v>
      </c>
      <c r="AY171" s="3" t="s">
        <v>1896</v>
      </c>
      <c r="AZ171" s="3" t="s">
        <v>1897</v>
      </c>
      <c r="BA171" s="3" t="s">
        <v>1897</v>
      </c>
      <c r="BB171" s="3" t="s">
        <v>1898</v>
      </c>
      <c r="BC171" s="3" t="s">
        <v>102</v>
      </c>
      <c r="BD171" s="3" t="s">
        <v>68</v>
      </c>
      <c r="BF171" s="3" t="s">
        <v>1898</v>
      </c>
      <c r="BG171" s="3" t="s">
        <v>1899</v>
      </c>
    </row>
    <row r="172" spans="1:59" ht="58" x14ac:dyDescent="0.35">
      <c r="A172" s="2" t="s">
        <v>89</v>
      </c>
      <c r="B172" s="2" t="s">
        <v>90</v>
      </c>
      <c r="C172" s="2" t="s">
        <v>1900</v>
      </c>
      <c r="D172" s="2" t="s">
        <v>1901</v>
      </c>
      <c r="E172" s="2" t="s">
        <v>1902</v>
      </c>
      <c r="G172" s="3" t="s">
        <v>62</v>
      </c>
      <c r="I172" s="3" t="s">
        <v>62</v>
      </c>
      <c r="J172" s="3" t="s">
        <v>61</v>
      </c>
      <c r="K172" s="3" t="s">
        <v>63</v>
      </c>
      <c r="L172" s="2" t="s">
        <v>1903</v>
      </c>
      <c r="M172" s="2" t="s">
        <v>1904</v>
      </c>
      <c r="N172" s="3" t="s">
        <v>1905</v>
      </c>
      <c r="P172" s="3" t="s">
        <v>64</v>
      </c>
      <c r="R172" s="3" t="s">
        <v>65</v>
      </c>
      <c r="S172" s="4">
        <v>26</v>
      </c>
      <c r="T172" s="4">
        <v>26</v>
      </c>
      <c r="U172" s="5" t="s">
        <v>1906</v>
      </c>
      <c r="V172" s="5" t="s">
        <v>1906</v>
      </c>
      <c r="W172" s="5" t="s">
        <v>67</v>
      </c>
      <c r="X172" s="5" t="s">
        <v>67</v>
      </c>
      <c r="Y172" s="4">
        <v>150</v>
      </c>
      <c r="Z172" s="4">
        <v>10</v>
      </c>
      <c r="AA172" s="4">
        <v>91</v>
      </c>
      <c r="AB172" s="4">
        <v>2</v>
      </c>
      <c r="AC172" s="4">
        <v>15</v>
      </c>
      <c r="AD172" s="4">
        <v>24</v>
      </c>
      <c r="AE172" s="4">
        <v>145</v>
      </c>
      <c r="AF172" s="4">
        <v>1</v>
      </c>
      <c r="AG172" s="4">
        <v>8</v>
      </c>
      <c r="AH172" s="4">
        <v>16</v>
      </c>
      <c r="AI172" s="4">
        <v>107</v>
      </c>
      <c r="AJ172" s="4">
        <v>5</v>
      </c>
      <c r="AK172" s="4">
        <v>25</v>
      </c>
      <c r="AL172" s="4">
        <v>5</v>
      </c>
      <c r="AM172" s="4">
        <v>59</v>
      </c>
      <c r="AN172" s="4">
        <v>0</v>
      </c>
      <c r="AO172" s="4">
        <v>0</v>
      </c>
      <c r="AP172" s="4">
        <v>9</v>
      </c>
      <c r="AQ172" s="4">
        <v>44</v>
      </c>
      <c r="AR172" s="3" t="s">
        <v>62</v>
      </c>
      <c r="AS172" s="3" t="s">
        <v>62</v>
      </c>
      <c r="AT172" s="3" t="s">
        <v>62</v>
      </c>
      <c r="AV172" s="6" t="str">
        <f>HYPERLINK("http://mcgill.on.worldcat.org/oclc/15550485","Catalog Record")</f>
        <v>Catalog Record</v>
      </c>
      <c r="AW172" s="6" t="str">
        <f>HYPERLINK("http://www.worldcat.org/oclc/15550485","WorldCat Record")</f>
        <v>WorldCat Record</v>
      </c>
      <c r="AX172" s="3" t="s">
        <v>1907</v>
      </c>
      <c r="AY172" s="3" t="s">
        <v>1908</v>
      </c>
      <c r="AZ172" s="3" t="s">
        <v>1909</v>
      </c>
      <c r="BA172" s="3" t="s">
        <v>1909</v>
      </c>
      <c r="BB172" s="3" t="s">
        <v>1910</v>
      </c>
      <c r="BC172" s="3" t="s">
        <v>102</v>
      </c>
      <c r="BD172" s="3" t="s">
        <v>68</v>
      </c>
      <c r="BE172" s="3" t="s">
        <v>1911</v>
      </c>
      <c r="BF172" s="3" t="s">
        <v>1910</v>
      </c>
      <c r="BG172" s="3" t="s">
        <v>1912</v>
      </c>
    </row>
    <row r="173" spans="1:59" ht="58" x14ac:dyDescent="0.35">
      <c r="A173" s="2" t="s">
        <v>89</v>
      </c>
      <c r="B173" s="2" t="s">
        <v>90</v>
      </c>
      <c r="C173" s="2" t="s">
        <v>1913</v>
      </c>
      <c r="D173" s="2" t="s">
        <v>1914</v>
      </c>
      <c r="E173" s="2" t="s">
        <v>1915</v>
      </c>
      <c r="G173" s="3" t="s">
        <v>62</v>
      </c>
      <c r="I173" s="3" t="s">
        <v>62</v>
      </c>
      <c r="J173" s="3" t="s">
        <v>62</v>
      </c>
      <c r="K173" s="3" t="s">
        <v>63</v>
      </c>
      <c r="L173" s="2" t="s">
        <v>1916</v>
      </c>
      <c r="M173" s="2" t="s">
        <v>1917</v>
      </c>
      <c r="N173" s="3" t="s">
        <v>596</v>
      </c>
      <c r="P173" s="3" t="s">
        <v>64</v>
      </c>
      <c r="R173" s="3" t="s">
        <v>65</v>
      </c>
      <c r="S173" s="4">
        <v>8</v>
      </c>
      <c r="T173" s="4">
        <v>8</v>
      </c>
      <c r="U173" s="5" t="s">
        <v>117</v>
      </c>
      <c r="V173" s="5" t="s">
        <v>117</v>
      </c>
      <c r="W173" s="5" t="s">
        <v>67</v>
      </c>
      <c r="X173" s="5" t="s">
        <v>67</v>
      </c>
      <c r="Y173" s="4">
        <v>1693</v>
      </c>
      <c r="Z173" s="4">
        <v>44</v>
      </c>
      <c r="AA173" s="4">
        <v>51</v>
      </c>
      <c r="AB173" s="4">
        <v>3</v>
      </c>
      <c r="AC173" s="4">
        <v>6</v>
      </c>
      <c r="AD173" s="4">
        <v>118</v>
      </c>
      <c r="AE173" s="4">
        <v>121</v>
      </c>
      <c r="AF173" s="4">
        <v>0</v>
      </c>
      <c r="AG173" s="4">
        <v>1</v>
      </c>
      <c r="AH173" s="4">
        <v>102</v>
      </c>
      <c r="AI173" s="4">
        <v>104</v>
      </c>
      <c r="AJ173" s="4">
        <v>10</v>
      </c>
      <c r="AK173" s="4">
        <v>12</v>
      </c>
      <c r="AL173" s="4">
        <v>57</v>
      </c>
      <c r="AM173" s="4">
        <v>57</v>
      </c>
      <c r="AN173" s="4">
        <v>0</v>
      </c>
      <c r="AO173" s="4">
        <v>0</v>
      </c>
      <c r="AP173" s="4">
        <v>17</v>
      </c>
      <c r="AQ173" s="4">
        <v>20</v>
      </c>
      <c r="AR173" s="3" t="s">
        <v>62</v>
      </c>
      <c r="AS173" s="3" t="s">
        <v>62</v>
      </c>
      <c r="AT173" s="3" t="s">
        <v>62</v>
      </c>
      <c r="AV173" s="6" t="str">
        <f>HYPERLINK("http://mcgill.on.worldcat.org/oclc/49991600","Catalog Record")</f>
        <v>Catalog Record</v>
      </c>
      <c r="AW173" s="6" t="str">
        <f>HYPERLINK("http://www.worldcat.org/oclc/49991600","WorldCat Record")</f>
        <v>WorldCat Record</v>
      </c>
      <c r="AX173" s="3" t="s">
        <v>1918</v>
      </c>
      <c r="AY173" s="3" t="s">
        <v>1919</v>
      </c>
      <c r="AZ173" s="3" t="s">
        <v>1920</v>
      </c>
      <c r="BA173" s="3" t="s">
        <v>1920</v>
      </c>
      <c r="BB173" s="3" t="s">
        <v>1921</v>
      </c>
      <c r="BC173" s="3" t="s">
        <v>102</v>
      </c>
      <c r="BD173" s="3" t="s">
        <v>68</v>
      </c>
      <c r="BE173" s="3" t="s">
        <v>1922</v>
      </c>
      <c r="BF173" s="3" t="s">
        <v>1921</v>
      </c>
      <c r="BG173" s="3" t="s">
        <v>1923</v>
      </c>
    </row>
    <row r="174" spans="1:59" ht="58" x14ac:dyDescent="0.35">
      <c r="A174" s="2" t="s">
        <v>89</v>
      </c>
      <c r="B174" s="2" t="s">
        <v>90</v>
      </c>
      <c r="C174" s="2" t="s">
        <v>1924</v>
      </c>
      <c r="D174" s="2" t="s">
        <v>1925</v>
      </c>
      <c r="E174" s="2" t="s">
        <v>1926</v>
      </c>
      <c r="G174" s="3" t="s">
        <v>62</v>
      </c>
      <c r="I174" s="3" t="s">
        <v>62</v>
      </c>
      <c r="J174" s="3" t="s">
        <v>62</v>
      </c>
      <c r="K174" s="3" t="s">
        <v>63</v>
      </c>
      <c r="M174" s="2" t="s">
        <v>1927</v>
      </c>
      <c r="N174" s="3" t="s">
        <v>481</v>
      </c>
      <c r="P174" s="3" t="s">
        <v>64</v>
      </c>
      <c r="Q174" s="2" t="s">
        <v>1928</v>
      </c>
      <c r="R174" s="3" t="s">
        <v>65</v>
      </c>
      <c r="S174" s="4">
        <v>13</v>
      </c>
      <c r="T174" s="4">
        <v>13</v>
      </c>
      <c r="U174" s="5" t="s">
        <v>1929</v>
      </c>
      <c r="V174" s="5" t="s">
        <v>1929</v>
      </c>
      <c r="W174" s="5" t="s">
        <v>67</v>
      </c>
      <c r="X174" s="5" t="s">
        <v>67</v>
      </c>
      <c r="Y174" s="4">
        <v>154</v>
      </c>
      <c r="Z174" s="4">
        <v>13</v>
      </c>
      <c r="AA174" s="4">
        <v>16</v>
      </c>
      <c r="AB174" s="4">
        <v>2</v>
      </c>
      <c r="AC174" s="4">
        <v>5</v>
      </c>
      <c r="AD174" s="4">
        <v>67</v>
      </c>
      <c r="AE174" s="4">
        <v>68</v>
      </c>
      <c r="AF174" s="4">
        <v>1</v>
      </c>
      <c r="AG174" s="4">
        <v>2</v>
      </c>
      <c r="AH174" s="4">
        <v>61</v>
      </c>
      <c r="AI174" s="4">
        <v>61</v>
      </c>
      <c r="AJ174" s="4">
        <v>9</v>
      </c>
      <c r="AK174" s="4">
        <v>10</v>
      </c>
      <c r="AL174" s="4">
        <v>41</v>
      </c>
      <c r="AM174" s="4">
        <v>41</v>
      </c>
      <c r="AN174" s="4">
        <v>0</v>
      </c>
      <c r="AO174" s="4">
        <v>0</v>
      </c>
      <c r="AP174" s="4">
        <v>9</v>
      </c>
      <c r="AQ174" s="4">
        <v>9</v>
      </c>
      <c r="AR174" s="3" t="s">
        <v>62</v>
      </c>
      <c r="AS174" s="3" t="s">
        <v>62</v>
      </c>
      <c r="AT174" s="3" t="s">
        <v>62</v>
      </c>
      <c r="AV174" s="6" t="str">
        <f>HYPERLINK("http://mcgill.on.worldcat.org/oclc/36817225","Catalog Record")</f>
        <v>Catalog Record</v>
      </c>
      <c r="AW174" s="6" t="str">
        <f>HYPERLINK("http://www.worldcat.org/oclc/36817225","WorldCat Record")</f>
        <v>WorldCat Record</v>
      </c>
      <c r="AX174" s="3" t="s">
        <v>1930</v>
      </c>
      <c r="AY174" s="3" t="s">
        <v>1931</v>
      </c>
      <c r="AZ174" s="3" t="s">
        <v>1932</v>
      </c>
      <c r="BA174" s="3" t="s">
        <v>1932</v>
      </c>
      <c r="BB174" s="3" t="s">
        <v>1933</v>
      </c>
      <c r="BC174" s="3" t="s">
        <v>102</v>
      </c>
      <c r="BD174" s="3" t="s">
        <v>68</v>
      </c>
      <c r="BE174" s="3" t="s">
        <v>1934</v>
      </c>
      <c r="BF174" s="3" t="s">
        <v>1933</v>
      </c>
      <c r="BG174" s="3" t="s">
        <v>1935</v>
      </c>
    </row>
    <row r="175" spans="1:59" ht="58" x14ac:dyDescent="0.35">
      <c r="A175" s="2" t="s">
        <v>89</v>
      </c>
      <c r="B175" s="2" t="s">
        <v>90</v>
      </c>
      <c r="C175" s="2" t="s">
        <v>1936</v>
      </c>
      <c r="D175" s="2" t="s">
        <v>1937</v>
      </c>
      <c r="E175" s="2" t="s">
        <v>1938</v>
      </c>
      <c r="G175" s="3" t="s">
        <v>62</v>
      </c>
      <c r="I175" s="3" t="s">
        <v>62</v>
      </c>
      <c r="J175" s="3" t="s">
        <v>62</v>
      </c>
      <c r="K175" s="3" t="s">
        <v>63</v>
      </c>
      <c r="L175" s="2" t="s">
        <v>1939</v>
      </c>
      <c r="M175" s="2" t="s">
        <v>1940</v>
      </c>
      <c r="N175" s="3" t="s">
        <v>1455</v>
      </c>
      <c r="O175" s="2" t="s">
        <v>1941</v>
      </c>
      <c r="P175" s="3" t="s">
        <v>64</v>
      </c>
      <c r="R175" s="3" t="s">
        <v>65</v>
      </c>
      <c r="S175" s="4">
        <v>7</v>
      </c>
      <c r="T175" s="4">
        <v>7</v>
      </c>
      <c r="U175" s="5" t="s">
        <v>1579</v>
      </c>
      <c r="V175" s="5" t="s">
        <v>1579</v>
      </c>
      <c r="W175" s="5" t="s">
        <v>67</v>
      </c>
      <c r="X175" s="5" t="s">
        <v>67</v>
      </c>
      <c r="Y175" s="4">
        <v>1212</v>
      </c>
      <c r="Z175" s="4">
        <v>43</v>
      </c>
      <c r="AA175" s="4">
        <v>49</v>
      </c>
      <c r="AB175" s="4">
        <v>3</v>
      </c>
      <c r="AC175" s="4">
        <v>6</v>
      </c>
      <c r="AD175" s="4">
        <v>102</v>
      </c>
      <c r="AE175" s="4">
        <v>104</v>
      </c>
      <c r="AF175" s="4">
        <v>1</v>
      </c>
      <c r="AG175" s="4">
        <v>2</v>
      </c>
      <c r="AH175" s="4">
        <v>92</v>
      </c>
      <c r="AI175" s="4">
        <v>92</v>
      </c>
      <c r="AJ175" s="4">
        <v>12</v>
      </c>
      <c r="AK175" s="4">
        <v>14</v>
      </c>
      <c r="AL175" s="4">
        <v>54</v>
      </c>
      <c r="AM175" s="4">
        <v>54</v>
      </c>
      <c r="AN175" s="4">
        <v>0</v>
      </c>
      <c r="AO175" s="4">
        <v>0</v>
      </c>
      <c r="AP175" s="4">
        <v>14</v>
      </c>
      <c r="AQ175" s="4">
        <v>16</v>
      </c>
      <c r="AR175" s="3" t="s">
        <v>62</v>
      </c>
      <c r="AS175" s="3" t="s">
        <v>62</v>
      </c>
      <c r="AT175" s="3" t="s">
        <v>62</v>
      </c>
      <c r="AV175" s="6" t="str">
        <f>HYPERLINK("http://mcgill.on.worldcat.org/oclc/885547475","Catalog Record")</f>
        <v>Catalog Record</v>
      </c>
      <c r="AW175" s="6" t="str">
        <f>HYPERLINK("http://www.worldcat.org/oclc/885547475","WorldCat Record")</f>
        <v>WorldCat Record</v>
      </c>
      <c r="AX175" s="3" t="s">
        <v>1942</v>
      </c>
      <c r="AY175" s="3" t="s">
        <v>1943</v>
      </c>
      <c r="AZ175" s="3" t="s">
        <v>1944</v>
      </c>
      <c r="BA175" s="3" t="s">
        <v>1944</v>
      </c>
      <c r="BB175" s="3" t="s">
        <v>1945</v>
      </c>
      <c r="BC175" s="3" t="s">
        <v>102</v>
      </c>
      <c r="BD175" s="3" t="s">
        <v>231</v>
      </c>
      <c r="BE175" s="3" t="s">
        <v>1946</v>
      </c>
      <c r="BF175" s="3" t="s">
        <v>1945</v>
      </c>
      <c r="BG175" s="3" t="s">
        <v>1947</v>
      </c>
    </row>
    <row r="176" spans="1:59" ht="58" x14ac:dyDescent="0.35">
      <c r="A176" s="2" t="s">
        <v>89</v>
      </c>
      <c r="B176" s="2" t="s">
        <v>90</v>
      </c>
      <c r="C176" s="2" t="s">
        <v>1948</v>
      </c>
      <c r="D176" s="2" t="s">
        <v>1949</v>
      </c>
      <c r="E176" s="2" t="s">
        <v>1950</v>
      </c>
      <c r="G176" s="3" t="s">
        <v>62</v>
      </c>
      <c r="I176" s="3" t="s">
        <v>62</v>
      </c>
      <c r="J176" s="3" t="s">
        <v>62</v>
      </c>
      <c r="K176" s="3" t="s">
        <v>63</v>
      </c>
      <c r="L176" s="2" t="s">
        <v>1951</v>
      </c>
      <c r="M176" s="2" t="s">
        <v>1952</v>
      </c>
      <c r="N176" s="3" t="s">
        <v>1195</v>
      </c>
      <c r="P176" s="3" t="s">
        <v>64</v>
      </c>
      <c r="Q176" s="2" t="s">
        <v>1953</v>
      </c>
      <c r="R176" s="3" t="s">
        <v>65</v>
      </c>
      <c r="S176" s="4">
        <v>8</v>
      </c>
      <c r="T176" s="4">
        <v>8</v>
      </c>
      <c r="U176" s="5" t="s">
        <v>1954</v>
      </c>
      <c r="V176" s="5" t="s">
        <v>1954</v>
      </c>
      <c r="W176" s="5" t="s">
        <v>67</v>
      </c>
      <c r="X176" s="5" t="s">
        <v>67</v>
      </c>
      <c r="Y176" s="4">
        <v>158</v>
      </c>
      <c r="Z176" s="4">
        <v>12</v>
      </c>
      <c r="AA176" s="4">
        <v>95</v>
      </c>
      <c r="AB176" s="4">
        <v>1</v>
      </c>
      <c r="AC176" s="4">
        <v>18</v>
      </c>
      <c r="AD176" s="4">
        <v>66</v>
      </c>
      <c r="AE176" s="4">
        <v>129</v>
      </c>
      <c r="AF176" s="4">
        <v>0</v>
      </c>
      <c r="AG176" s="4">
        <v>8</v>
      </c>
      <c r="AH176" s="4">
        <v>63</v>
      </c>
      <c r="AI176" s="4">
        <v>93</v>
      </c>
      <c r="AJ176" s="4">
        <v>7</v>
      </c>
      <c r="AK176" s="4">
        <v>22</v>
      </c>
      <c r="AL176" s="4">
        <v>44</v>
      </c>
      <c r="AM176" s="4">
        <v>51</v>
      </c>
      <c r="AN176" s="4">
        <v>0</v>
      </c>
      <c r="AO176" s="4">
        <v>0</v>
      </c>
      <c r="AP176" s="4">
        <v>8</v>
      </c>
      <c r="AQ176" s="4">
        <v>43</v>
      </c>
      <c r="AR176" s="3" t="s">
        <v>62</v>
      </c>
      <c r="AS176" s="3" t="s">
        <v>62</v>
      </c>
      <c r="AT176" s="3" t="s">
        <v>62</v>
      </c>
      <c r="AV176" s="6" t="str">
        <f>HYPERLINK("http://mcgill.on.worldcat.org/oclc/70840792","Catalog Record")</f>
        <v>Catalog Record</v>
      </c>
      <c r="AW176" s="6" t="str">
        <f>HYPERLINK("http://www.worldcat.org/oclc/70840792","WorldCat Record")</f>
        <v>WorldCat Record</v>
      </c>
      <c r="AX176" s="3" t="s">
        <v>1955</v>
      </c>
      <c r="AY176" s="3" t="s">
        <v>1956</v>
      </c>
      <c r="AZ176" s="3" t="s">
        <v>1957</v>
      </c>
      <c r="BA176" s="3" t="s">
        <v>1957</v>
      </c>
      <c r="BB176" s="3" t="s">
        <v>1958</v>
      </c>
      <c r="BC176" s="3" t="s">
        <v>102</v>
      </c>
      <c r="BD176" s="3" t="s">
        <v>68</v>
      </c>
      <c r="BE176" s="3" t="s">
        <v>1959</v>
      </c>
      <c r="BF176" s="3" t="s">
        <v>1958</v>
      </c>
      <c r="BG176" s="3" t="s">
        <v>1960</v>
      </c>
    </row>
    <row r="177" spans="1:59" ht="58" x14ac:dyDescent="0.35">
      <c r="A177" s="2" t="s">
        <v>89</v>
      </c>
      <c r="B177" s="2" t="s">
        <v>90</v>
      </c>
      <c r="C177" s="2" t="s">
        <v>1961</v>
      </c>
      <c r="D177" s="2" t="s">
        <v>1962</v>
      </c>
      <c r="E177" s="2" t="s">
        <v>1963</v>
      </c>
      <c r="G177" s="3" t="s">
        <v>62</v>
      </c>
      <c r="I177" s="3" t="s">
        <v>62</v>
      </c>
      <c r="J177" s="3" t="s">
        <v>62</v>
      </c>
      <c r="K177" s="3" t="s">
        <v>63</v>
      </c>
      <c r="L177" s="2" t="s">
        <v>1964</v>
      </c>
      <c r="M177" s="2" t="s">
        <v>1965</v>
      </c>
      <c r="N177" s="3" t="s">
        <v>698</v>
      </c>
      <c r="P177" s="3" t="s">
        <v>64</v>
      </c>
      <c r="R177" s="3" t="s">
        <v>65</v>
      </c>
      <c r="S177" s="4">
        <v>0</v>
      </c>
      <c r="T177" s="4">
        <v>0</v>
      </c>
      <c r="W177" s="5" t="s">
        <v>67</v>
      </c>
      <c r="X177" s="5" t="s">
        <v>67</v>
      </c>
      <c r="Y177" s="4">
        <v>290</v>
      </c>
      <c r="Z177" s="4">
        <v>18</v>
      </c>
      <c r="AA177" s="4">
        <v>84</v>
      </c>
      <c r="AB177" s="4">
        <v>1</v>
      </c>
      <c r="AC177" s="4">
        <v>16</v>
      </c>
      <c r="AD177" s="4">
        <v>81</v>
      </c>
      <c r="AE177" s="4">
        <v>135</v>
      </c>
      <c r="AF177" s="4">
        <v>0</v>
      </c>
      <c r="AG177" s="4">
        <v>8</v>
      </c>
      <c r="AH177" s="4">
        <v>73</v>
      </c>
      <c r="AI177" s="4">
        <v>101</v>
      </c>
      <c r="AJ177" s="4">
        <v>10</v>
      </c>
      <c r="AK177" s="4">
        <v>23</v>
      </c>
      <c r="AL177" s="4">
        <v>42</v>
      </c>
      <c r="AM177" s="4">
        <v>53</v>
      </c>
      <c r="AN177" s="4">
        <v>0</v>
      </c>
      <c r="AO177" s="4">
        <v>0</v>
      </c>
      <c r="AP177" s="4">
        <v>13</v>
      </c>
      <c r="AQ177" s="4">
        <v>43</v>
      </c>
      <c r="AR177" s="3" t="s">
        <v>62</v>
      </c>
      <c r="AS177" s="3" t="s">
        <v>62</v>
      </c>
      <c r="AT177" s="3" t="s">
        <v>62</v>
      </c>
      <c r="AV177" s="6" t="str">
        <f>HYPERLINK("http://mcgill.on.worldcat.org/oclc/774982531","Catalog Record")</f>
        <v>Catalog Record</v>
      </c>
      <c r="AW177" s="6" t="str">
        <f>HYPERLINK("http://www.worldcat.org/oclc/774982531","WorldCat Record")</f>
        <v>WorldCat Record</v>
      </c>
      <c r="AX177" s="3" t="s">
        <v>1966</v>
      </c>
      <c r="AY177" s="3" t="s">
        <v>1967</v>
      </c>
      <c r="AZ177" s="3" t="s">
        <v>1968</v>
      </c>
      <c r="BA177" s="3" t="s">
        <v>1968</v>
      </c>
      <c r="BB177" s="3" t="s">
        <v>1969</v>
      </c>
      <c r="BC177" s="3" t="s">
        <v>102</v>
      </c>
      <c r="BD177" s="3" t="s">
        <v>68</v>
      </c>
      <c r="BE177" s="3" t="s">
        <v>1970</v>
      </c>
      <c r="BF177" s="3" t="s">
        <v>1969</v>
      </c>
      <c r="BG177" s="3" t="s">
        <v>1971</v>
      </c>
    </row>
    <row r="178" spans="1:59" ht="58" x14ac:dyDescent="0.35">
      <c r="A178" s="2" t="s">
        <v>89</v>
      </c>
      <c r="B178" s="2" t="s">
        <v>90</v>
      </c>
      <c r="C178" s="2" t="s">
        <v>1972</v>
      </c>
      <c r="D178" s="2" t="s">
        <v>1973</v>
      </c>
      <c r="E178" s="2" t="s">
        <v>1974</v>
      </c>
      <c r="G178" s="3" t="s">
        <v>62</v>
      </c>
      <c r="I178" s="3" t="s">
        <v>62</v>
      </c>
      <c r="J178" s="3" t="s">
        <v>62</v>
      </c>
      <c r="K178" s="3" t="s">
        <v>63</v>
      </c>
      <c r="M178" s="2" t="s">
        <v>1975</v>
      </c>
      <c r="N178" s="3" t="s">
        <v>596</v>
      </c>
      <c r="P178" s="3" t="s">
        <v>64</v>
      </c>
      <c r="Q178" s="2" t="s">
        <v>1976</v>
      </c>
      <c r="R178" s="3" t="s">
        <v>65</v>
      </c>
      <c r="S178" s="4">
        <v>6</v>
      </c>
      <c r="T178" s="4">
        <v>6</v>
      </c>
      <c r="U178" s="5" t="s">
        <v>1977</v>
      </c>
      <c r="V178" s="5" t="s">
        <v>1977</v>
      </c>
      <c r="W178" s="5" t="s">
        <v>67</v>
      </c>
      <c r="X178" s="5" t="s">
        <v>67</v>
      </c>
      <c r="Y178" s="4">
        <v>126</v>
      </c>
      <c r="Z178" s="4">
        <v>7</v>
      </c>
      <c r="AA178" s="4">
        <v>8</v>
      </c>
      <c r="AB178" s="4">
        <v>1</v>
      </c>
      <c r="AC178" s="4">
        <v>2</v>
      </c>
      <c r="AD178" s="4">
        <v>61</v>
      </c>
      <c r="AE178" s="4">
        <v>62</v>
      </c>
      <c r="AF178" s="4">
        <v>0</v>
      </c>
      <c r="AG178" s="4">
        <v>1</v>
      </c>
      <c r="AH178" s="4">
        <v>59</v>
      </c>
      <c r="AI178" s="4">
        <v>60</v>
      </c>
      <c r="AJ178" s="4">
        <v>4</v>
      </c>
      <c r="AK178" s="4">
        <v>5</v>
      </c>
      <c r="AL178" s="4">
        <v>42</v>
      </c>
      <c r="AM178" s="4">
        <v>42</v>
      </c>
      <c r="AN178" s="4">
        <v>0</v>
      </c>
      <c r="AO178" s="4">
        <v>0</v>
      </c>
      <c r="AP178" s="4">
        <v>4</v>
      </c>
      <c r="AQ178" s="4">
        <v>5</v>
      </c>
      <c r="AR178" s="3" t="s">
        <v>62</v>
      </c>
      <c r="AS178" s="3" t="s">
        <v>62</v>
      </c>
      <c r="AT178" s="3" t="s">
        <v>62</v>
      </c>
      <c r="AV178" s="6" t="str">
        <f>HYPERLINK("http://mcgill.on.worldcat.org/oclc/51566381","Catalog Record")</f>
        <v>Catalog Record</v>
      </c>
      <c r="AW178" s="6" t="str">
        <f>HYPERLINK("http://www.worldcat.org/oclc/51566381","WorldCat Record")</f>
        <v>WorldCat Record</v>
      </c>
      <c r="AX178" s="3" t="s">
        <v>1978</v>
      </c>
      <c r="AY178" s="3" t="s">
        <v>1979</v>
      </c>
      <c r="AZ178" s="3" t="s">
        <v>1980</v>
      </c>
      <c r="BA178" s="3" t="s">
        <v>1980</v>
      </c>
      <c r="BB178" s="3" t="s">
        <v>1981</v>
      </c>
      <c r="BC178" s="3" t="s">
        <v>102</v>
      </c>
      <c r="BD178" s="3" t="s">
        <v>68</v>
      </c>
      <c r="BE178" s="3" t="s">
        <v>1982</v>
      </c>
      <c r="BF178" s="3" t="s">
        <v>1981</v>
      </c>
      <c r="BG178" s="3" t="s">
        <v>1983</v>
      </c>
    </row>
    <row r="179" spans="1:59" ht="58" x14ac:dyDescent="0.35">
      <c r="A179" s="2" t="s">
        <v>89</v>
      </c>
      <c r="B179" s="2" t="s">
        <v>90</v>
      </c>
      <c r="C179" s="2" t="s">
        <v>1984</v>
      </c>
      <c r="D179" s="2" t="s">
        <v>1985</v>
      </c>
      <c r="E179" s="2" t="s">
        <v>1986</v>
      </c>
      <c r="G179" s="3" t="s">
        <v>62</v>
      </c>
      <c r="I179" s="3" t="s">
        <v>62</v>
      </c>
      <c r="J179" s="3" t="s">
        <v>62</v>
      </c>
      <c r="K179" s="3" t="s">
        <v>63</v>
      </c>
      <c r="L179" s="2" t="s">
        <v>1819</v>
      </c>
      <c r="M179" s="2" t="s">
        <v>1987</v>
      </c>
      <c r="N179" s="3" t="s">
        <v>698</v>
      </c>
      <c r="P179" s="3" t="s">
        <v>64</v>
      </c>
      <c r="R179" s="3" t="s">
        <v>65</v>
      </c>
      <c r="S179" s="4">
        <v>1</v>
      </c>
      <c r="T179" s="4">
        <v>1</v>
      </c>
      <c r="U179" s="5" t="s">
        <v>1988</v>
      </c>
      <c r="V179" s="5" t="s">
        <v>1988</v>
      </c>
      <c r="W179" s="5" t="s">
        <v>67</v>
      </c>
      <c r="X179" s="5" t="s">
        <v>67</v>
      </c>
      <c r="Y179" s="4">
        <v>653</v>
      </c>
      <c r="Z179" s="4">
        <v>27</v>
      </c>
      <c r="AA179" s="4">
        <v>31</v>
      </c>
      <c r="AB179" s="4">
        <v>2</v>
      </c>
      <c r="AC179" s="4">
        <v>4</v>
      </c>
      <c r="AD179" s="4">
        <v>79</v>
      </c>
      <c r="AE179" s="4">
        <v>89</v>
      </c>
      <c r="AF179" s="4">
        <v>0</v>
      </c>
      <c r="AG179" s="4">
        <v>1</v>
      </c>
      <c r="AH179" s="4">
        <v>72</v>
      </c>
      <c r="AI179" s="4">
        <v>81</v>
      </c>
      <c r="AJ179" s="4">
        <v>10</v>
      </c>
      <c r="AK179" s="4">
        <v>11</v>
      </c>
      <c r="AL179" s="4">
        <v>43</v>
      </c>
      <c r="AM179" s="4">
        <v>47</v>
      </c>
      <c r="AN179" s="4">
        <v>0</v>
      </c>
      <c r="AO179" s="4">
        <v>0</v>
      </c>
      <c r="AP179" s="4">
        <v>13</v>
      </c>
      <c r="AQ179" s="4">
        <v>14</v>
      </c>
      <c r="AR179" s="3" t="s">
        <v>62</v>
      </c>
      <c r="AS179" s="3" t="s">
        <v>62</v>
      </c>
      <c r="AT179" s="3" t="s">
        <v>62</v>
      </c>
      <c r="AV179" s="6" t="str">
        <f>HYPERLINK("http://mcgill.on.worldcat.org/oclc/778419290","Catalog Record")</f>
        <v>Catalog Record</v>
      </c>
      <c r="AW179" s="6" t="str">
        <f>HYPERLINK("http://www.worldcat.org/oclc/778419290","WorldCat Record")</f>
        <v>WorldCat Record</v>
      </c>
      <c r="AX179" s="3" t="s">
        <v>1989</v>
      </c>
      <c r="AY179" s="3" t="s">
        <v>1990</v>
      </c>
      <c r="AZ179" s="3" t="s">
        <v>1991</v>
      </c>
      <c r="BA179" s="3" t="s">
        <v>1991</v>
      </c>
      <c r="BB179" s="3" t="s">
        <v>1992</v>
      </c>
      <c r="BC179" s="3" t="s">
        <v>102</v>
      </c>
      <c r="BD179" s="3" t="s">
        <v>68</v>
      </c>
      <c r="BE179" s="3" t="s">
        <v>1993</v>
      </c>
      <c r="BF179" s="3" t="s">
        <v>1992</v>
      </c>
      <c r="BG179" s="3" t="s">
        <v>1994</v>
      </c>
    </row>
    <row r="180" spans="1:59" ht="58" x14ac:dyDescent="0.35">
      <c r="A180" s="2" t="s">
        <v>89</v>
      </c>
      <c r="B180" s="2" t="s">
        <v>90</v>
      </c>
      <c r="C180" s="2" t="s">
        <v>1995</v>
      </c>
      <c r="D180" s="2" t="s">
        <v>1996</v>
      </c>
      <c r="E180" s="2" t="s">
        <v>1997</v>
      </c>
      <c r="G180" s="3" t="s">
        <v>62</v>
      </c>
      <c r="I180" s="3" t="s">
        <v>62</v>
      </c>
      <c r="J180" s="3" t="s">
        <v>61</v>
      </c>
      <c r="K180" s="3" t="s">
        <v>63</v>
      </c>
      <c r="L180" s="2" t="s">
        <v>1998</v>
      </c>
      <c r="M180" s="2" t="s">
        <v>1999</v>
      </c>
      <c r="N180" s="3" t="s">
        <v>2000</v>
      </c>
      <c r="P180" s="3" t="s">
        <v>64</v>
      </c>
      <c r="Q180" s="2" t="s">
        <v>2001</v>
      </c>
      <c r="R180" s="3" t="s">
        <v>65</v>
      </c>
      <c r="S180" s="4">
        <v>22</v>
      </c>
      <c r="T180" s="4">
        <v>22</v>
      </c>
      <c r="U180" s="5" t="s">
        <v>2002</v>
      </c>
      <c r="V180" s="5" t="s">
        <v>2002</v>
      </c>
      <c r="W180" s="5" t="s">
        <v>67</v>
      </c>
      <c r="X180" s="5" t="s">
        <v>67</v>
      </c>
      <c r="Y180" s="4">
        <v>658</v>
      </c>
      <c r="Z180" s="4">
        <v>45</v>
      </c>
      <c r="AA180" s="4">
        <v>51</v>
      </c>
      <c r="AB180" s="4">
        <v>3</v>
      </c>
      <c r="AC180" s="4">
        <v>5</v>
      </c>
      <c r="AD180" s="4">
        <v>122</v>
      </c>
      <c r="AE180" s="4">
        <v>130</v>
      </c>
      <c r="AF180" s="4">
        <v>1</v>
      </c>
      <c r="AG180" s="4">
        <v>2</v>
      </c>
      <c r="AH180" s="4">
        <v>99</v>
      </c>
      <c r="AI180" s="4">
        <v>104</v>
      </c>
      <c r="AJ180" s="4">
        <v>17</v>
      </c>
      <c r="AK180" s="4">
        <v>21</v>
      </c>
      <c r="AL180" s="4">
        <v>55</v>
      </c>
      <c r="AM180" s="4">
        <v>56</v>
      </c>
      <c r="AN180" s="4">
        <v>0</v>
      </c>
      <c r="AO180" s="4">
        <v>0</v>
      </c>
      <c r="AP180" s="4">
        <v>30</v>
      </c>
      <c r="AQ180" s="4">
        <v>34</v>
      </c>
      <c r="AR180" s="3" t="s">
        <v>62</v>
      </c>
      <c r="AS180" s="3" t="s">
        <v>62</v>
      </c>
      <c r="AT180" s="3" t="s">
        <v>62</v>
      </c>
      <c r="AV180" s="6" t="str">
        <f>HYPERLINK("http://mcgill.on.worldcat.org/oclc/33948732","Catalog Record")</f>
        <v>Catalog Record</v>
      </c>
      <c r="AW180" s="6" t="str">
        <f>HYPERLINK("http://www.worldcat.org/oclc/33948732","WorldCat Record")</f>
        <v>WorldCat Record</v>
      </c>
      <c r="AX180" s="3" t="s">
        <v>2003</v>
      </c>
      <c r="AY180" s="3" t="s">
        <v>2004</v>
      </c>
      <c r="AZ180" s="3" t="s">
        <v>2005</v>
      </c>
      <c r="BA180" s="3" t="s">
        <v>2005</v>
      </c>
      <c r="BB180" s="3" t="s">
        <v>2006</v>
      </c>
      <c r="BC180" s="3" t="s">
        <v>102</v>
      </c>
      <c r="BD180" s="3" t="s">
        <v>68</v>
      </c>
      <c r="BE180" s="3" t="s">
        <v>2007</v>
      </c>
      <c r="BF180" s="3" t="s">
        <v>2006</v>
      </c>
      <c r="BG180" s="3" t="s">
        <v>2008</v>
      </c>
    </row>
    <row r="181" spans="1:59" ht="58" x14ac:dyDescent="0.35">
      <c r="A181" s="2" t="s">
        <v>89</v>
      </c>
      <c r="B181" s="2" t="s">
        <v>90</v>
      </c>
      <c r="C181" s="2" t="s">
        <v>2009</v>
      </c>
      <c r="D181" s="2" t="s">
        <v>2010</v>
      </c>
      <c r="E181" s="2" t="s">
        <v>2011</v>
      </c>
      <c r="G181" s="3" t="s">
        <v>62</v>
      </c>
      <c r="I181" s="3" t="s">
        <v>61</v>
      </c>
      <c r="J181" s="3" t="s">
        <v>62</v>
      </c>
      <c r="K181" s="3" t="s">
        <v>63</v>
      </c>
      <c r="L181" s="2" t="s">
        <v>2012</v>
      </c>
      <c r="M181" s="2" t="s">
        <v>2013</v>
      </c>
      <c r="N181" s="3" t="s">
        <v>355</v>
      </c>
      <c r="P181" s="3" t="s">
        <v>64</v>
      </c>
      <c r="Q181" s="2" t="s">
        <v>2014</v>
      </c>
      <c r="R181" s="3" t="s">
        <v>65</v>
      </c>
      <c r="S181" s="4">
        <v>33</v>
      </c>
      <c r="T181" s="4">
        <v>60</v>
      </c>
      <c r="U181" s="5" t="s">
        <v>2015</v>
      </c>
      <c r="V181" s="5" t="s">
        <v>2015</v>
      </c>
      <c r="W181" s="5" t="s">
        <v>67</v>
      </c>
      <c r="X181" s="5" t="s">
        <v>67</v>
      </c>
      <c r="Y181" s="4">
        <v>279</v>
      </c>
      <c r="Z181" s="4">
        <v>22</v>
      </c>
      <c r="AA181" s="4">
        <v>24</v>
      </c>
      <c r="AB181" s="4">
        <v>2</v>
      </c>
      <c r="AC181" s="4">
        <v>3</v>
      </c>
      <c r="AD181" s="4">
        <v>97</v>
      </c>
      <c r="AE181" s="4">
        <v>101</v>
      </c>
      <c r="AF181" s="4">
        <v>1</v>
      </c>
      <c r="AG181" s="4">
        <v>2</v>
      </c>
      <c r="AH181" s="4">
        <v>85</v>
      </c>
      <c r="AI181" s="4">
        <v>88</v>
      </c>
      <c r="AJ181" s="4">
        <v>15</v>
      </c>
      <c r="AK181" s="4">
        <v>16</v>
      </c>
      <c r="AL181" s="4">
        <v>49</v>
      </c>
      <c r="AM181" s="4">
        <v>50</v>
      </c>
      <c r="AN181" s="4">
        <v>0</v>
      </c>
      <c r="AO181" s="4">
        <v>0</v>
      </c>
      <c r="AP181" s="4">
        <v>19</v>
      </c>
      <c r="AQ181" s="4">
        <v>20</v>
      </c>
      <c r="AR181" s="3" t="s">
        <v>62</v>
      </c>
      <c r="AS181" s="3" t="s">
        <v>62</v>
      </c>
      <c r="AT181" s="3" t="s">
        <v>61</v>
      </c>
      <c r="AU181" s="6" t="str">
        <f>HYPERLINK("http://catalog.hathitrust.org/Record/000601878","HathiTrust Record")</f>
        <v>HathiTrust Record</v>
      </c>
      <c r="AV181" s="6" t="str">
        <f>HYPERLINK("http://mcgill.on.worldcat.org/oclc/12054032","Catalog Record")</f>
        <v>Catalog Record</v>
      </c>
      <c r="AW181" s="6" t="str">
        <f>HYPERLINK("http://www.worldcat.org/oclc/12054032","WorldCat Record")</f>
        <v>WorldCat Record</v>
      </c>
      <c r="AX181" s="3" t="s">
        <v>2016</v>
      </c>
      <c r="AY181" s="3" t="s">
        <v>2017</v>
      </c>
      <c r="AZ181" s="3" t="s">
        <v>2018</v>
      </c>
      <c r="BA181" s="3" t="s">
        <v>2018</v>
      </c>
      <c r="BB181" s="3" t="s">
        <v>2019</v>
      </c>
      <c r="BC181" s="3" t="s">
        <v>102</v>
      </c>
      <c r="BD181" s="3" t="s">
        <v>68</v>
      </c>
      <c r="BE181" s="3" t="s">
        <v>2020</v>
      </c>
      <c r="BF181" s="3" t="s">
        <v>2019</v>
      </c>
      <c r="BG181" s="3" t="s">
        <v>2021</v>
      </c>
    </row>
    <row r="182" spans="1:59" ht="58" x14ac:dyDescent="0.35">
      <c r="A182" s="2" t="s">
        <v>89</v>
      </c>
      <c r="B182" s="2" t="s">
        <v>90</v>
      </c>
      <c r="C182" s="2" t="s">
        <v>2022</v>
      </c>
      <c r="D182" s="2" t="s">
        <v>2023</v>
      </c>
      <c r="E182" s="2" t="s">
        <v>2024</v>
      </c>
      <c r="G182" s="3" t="s">
        <v>62</v>
      </c>
      <c r="I182" s="3" t="s">
        <v>62</v>
      </c>
      <c r="J182" s="3" t="s">
        <v>62</v>
      </c>
      <c r="K182" s="3" t="s">
        <v>63</v>
      </c>
      <c r="M182" s="2" t="s">
        <v>2025</v>
      </c>
      <c r="N182" s="3" t="s">
        <v>1905</v>
      </c>
      <c r="P182" s="3" t="s">
        <v>64</v>
      </c>
      <c r="R182" s="3" t="s">
        <v>65</v>
      </c>
      <c r="S182" s="4">
        <v>25</v>
      </c>
      <c r="T182" s="4">
        <v>25</v>
      </c>
      <c r="U182" s="5" t="s">
        <v>2026</v>
      </c>
      <c r="V182" s="5" t="s">
        <v>2026</v>
      </c>
      <c r="W182" s="5" t="s">
        <v>67</v>
      </c>
      <c r="X182" s="5" t="s">
        <v>67</v>
      </c>
      <c r="Y182" s="4">
        <v>403</v>
      </c>
      <c r="Z182" s="4">
        <v>23</v>
      </c>
      <c r="AA182" s="4">
        <v>27</v>
      </c>
      <c r="AB182" s="4">
        <v>2</v>
      </c>
      <c r="AC182" s="4">
        <v>5</v>
      </c>
      <c r="AD182" s="4">
        <v>104</v>
      </c>
      <c r="AE182" s="4">
        <v>108</v>
      </c>
      <c r="AF182" s="4">
        <v>0</v>
      </c>
      <c r="AG182" s="4">
        <v>3</v>
      </c>
      <c r="AH182" s="4">
        <v>93</v>
      </c>
      <c r="AI182" s="4">
        <v>94</v>
      </c>
      <c r="AJ182" s="4">
        <v>12</v>
      </c>
      <c r="AK182" s="4">
        <v>16</v>
      </c>
      <c r="AL182" s="4">
        <v>53</v>
      </c>
      <c r="AM182" s="4">
        <v>53</v>
      </c>
      <c r="AN182" s="4">
        <v>0</v>
      </c>
      <c r="AO182" s="4">
        <v>0</v>
      </c>
      <c r="AP182" s="4">
        <v>16</v>
      </c>
      <c r="AQ182" s="4">
        <v>19</v>
      </c>
      <c r="AR182" s="3" t="s">
        <v>62</v>
      </c>
      <c r="AS182" s="3" t="s">
        <v>62</v>
      </c>
      <c r="AT182" s="3" t="s">
        <v>62</v>
      </c>
      <c r="AV182" s="6" t="str">
        <f>HYPERLINK("http://mcgill.on.worldcat.org/oclc/14215161","Catalog Record")</f>
        <v>Catalog Record</v>
      </c>
      <c r="AW182" s="6" t="str">
        <f>HYPERLINK("http://www.worldcat.org/oclc/14215161","WorldCat Record")</f>
        <v>WorldCat Record</v>
      </c>
      <c r="AX182" s="3" t="s">
        <v>2027</v>
      </c>
      <c r="AY182" s="3" t="s">
        <v>2028</v>
      </c>
      <c r="AZ182" s="3" t="s">
        <v>2029</v>
      </c>
      <c r="BA182" s="3" t="s">
        <v>2029</v>
      </c>
      <c r="BB182" s="3" t="s">
        <v>2030</v>
      </c>
      <c r="BC182" s="3" t="s">
        <v>102</v>
      </c>
      <c r="BD182" s="3" t="s">
        <v>68</v>
      </c>
      <c r="BE182" s="3" t="s">
        <v>2031</v>
      </c>
      <c r="BF182" s="3" t="s">
        <v>2030</v>
      </c>
      <c r="BG182" s="3" t="s">
        <v>2032</v>
      </c>
    </row>
    <row r="183" spans="1:59" ht="72.5" x14ac:dyDescent="0.35">
      <c r="A183" s="2" t="s">
        <v>89</v>
      </c>
      <c r="B183" s="2" t="s">
        <v>2033</v>
      </c>
      <c r="C183" s="2" t="s">
        <v>2034</v>
      </c>
      <c r="D183" s="2" t="s">
        <v>2035</v>
      </c>
      <c r="E183" s="2" t="s">
        <v>2036</v>
      </c>
      <c r="F183" s="3" t="s">
        <v>2037</v>
      </c>
      <c r="G183" s="3" t="s">
        <v>62</v>
      </c>
      <c r="I183" s="3" t="s">
        <v>62</v>
      </c>
      <c r="J183" s="3" t="s">
        <v>62</v>
      </c>
      <c r="K183" s="3" t="s">
        <v>63</v>
      </c>
      <c r="M183" s="2" t="s">
        <v>2038</v>
      </c>
      <c r="N183" s="3" t="s">
        <v>698</v>
      </c>
      <c r="P183" s="3" t="s">
        <v>64</v>
      </c>
      <c r="R183" s="3" t="s">
        <v>65</v>
      </c>
      <c r="S183" s="4">
        <v>0</v>
      </c>
      <c r="T183" s="4">
        <v>0</v>
      </c>
      <c r="W183" s="5" t="s">
        <v>67</v>
      </c>
      <c r="X183" s="5" t="s">
        <v>67</v>
      </c>
      <c r="Y183" s="4">
        <v>20</v>
      </c>
      <c r="Z183" s="4">
        <v>3</v>
      </c>
      <c r="AA183" s="4">
        <v>4</v>
      </c>
      <c r="AB183" s="4">
        <v>1</v>
      </c>
      <c r="AC183" s="4">
        <v>1</v>
      </c>
      <c r="AD183" s="4">
        <v>9</v>
      </c>
      <c r="AE183" s="4">
        <v>10</v>
      </c>
      <c r="AF183" s="4">
        <v>0</v>
      </c>
      <c r="AG183" s="4">
        <v>0</v>
      </c>
      <c r="AH183" s="4">
        <v>8</v>
      </c>
      <c r="AI183" s="4">
        <v>9</v>
      </c>
      <c r="AJ183" s="4">
        <v>1</v>
      </c>
      <c r="AK183" s="4">
        <v>2</v>
      </c>
      <c r="AL183" s="4">
        <v>7</v>
      </c>
      <c r="AM183" s="4">
        <v>7</v>
      </c>
      <c r="AN183" s="4">
        <v>0</v>
      </c>
      <c r="AO183" s="4">
        <v>0</v>
      </c>
      <c r="AP183" s="4">
        <v>1</v>
      </c>
      <c r="AQ183" s="4">
        <v>2</v>
      </c>
      <c r="AR183" s="3" t="s">
        <v>62</v>
      </c>
      <c r="AS183" s="3" t="s">
        <v>62</v>
      </c>
      <c r="AT183" s="3" t="s">
        <v>62</v>
      </c>
      <c r="AV183" s="6" t="str">
        <f>HYPERLINK("http://mcgill.on.worldcat.org/oclc/785863218","Catalog Record")</f>
        <v>Catalog Record</v>
      </c>
      <c r="AW183" s="6" t="str">
        <f>HYPERLINK("http://www.worldcat.org/oclc/785863218","WorldCat Record")</f>
        <v>WorldCat Record</v>
      </c>
      <c r="AX183" s="3" t="s">
        <v>2039</v>
      </c>
      <c r="AY183" s="3" t="s">
        <v>2040</v>
      </c>
      <c r="AZ183" s="3" t="s">
        <v>2041</v>
      </c>
      <c r="BA183" s="3" t="s">
        <v>2041</v>
      </c>
      <c r="BB183" s="3" t="s">
        <v>2042</v>
      </c>
      <c r="BC183" s="3" t="s">
        <v>102</v>
      </c>
      <c r="BD183" s="3" t="s">
        <v>68</v>
      </c>
      <c r="BE183" s="3" t="s">
        <v>2043</v>
      </c>
      <c r="BF183" s="3" t="s">
        <v>2042</v>
      </c>
      <c r="BG183" s="3" t="s">
        <v>2044</v>
      </c>
    </row>
    <row r="184" spans="1:59" ht="58" x14ac:dyDescent="0.35">
      <c r="A184" s="2" t="s">
        <v>89</v>
      </c>
      <c r="B184" s="2" t="s">
        <v>90</v>
      </c>
      <c r="C184" s="2" t="s">
        <v>2045</v>
      </c>
      <c r="D184" s="2" t="s">
        <v>2046</v>
      </c>
      <c r="E184" s="2" t="s">
        <v>2047</v>
      </c>
      <c r="G184" s="3" t="s">
        <v>62</v>
      </c>
      <c r="I184" s="3" t="s">
        <v>62</v>
      </c>
      <c r="J184" s="3" t="s">
        <v>61</v>
      </c>
      <c r="K184" s="3" t="s">
        <v>63</v>
      </c>
      <c r="L184" s="2" t="s">
        <v>2048</v>
      </c>
      <c r="M184" s="2" t="s">
        <v>2049</v>
      </c>
      <c r="N184" s="3" t="s">
        <v>625</v>
      </c>
      <c r="P184" s="3" t="s">
        <v>64</v>
      </c>
      <c r="R184" s="3" t="s">
        <v>65</v>
      </c>
      <c r="S184" s="4">
        <v>25</v>
      </c>
      <c r="T184" s="4">
        <v>25</v>
      </c>
      <c r="U184" s="5" t="s">
        <v>2050</v>
      </c>
      <c r="V184" s="5" t="s">
        <v>2050</v>
      </c>
      <c r="W184" s="5" t="s">
        <v>67</v>
      </c>
      <c r="X184" s="5" t="s">
        <v>67</v>
      </c>
      <c r="Y184" s="4">
        <v>74</v>
      </c>
      <c r="Z184" s="4">
        <v>2</v>
      </c>
      <c r="AA184" s="4">
        <v>59</v>
      </c>
      <c r="AB184" s="4">
        <v>1</v>
      </c>
      <c r="AC184" s="4">
        <v>6</v>
      </c>
      <c r="AD184" s="4">
        <v>20</v>
      </c>
      <c r="AE184" s="4">
        <v>147</v>
      </c>
      <c r="AF184" s="4">
        <v>0</v>
      </c>
      <c r="AG184" s="4">
        <v>2</v>
      </c>
      <c r="AH184" s="4">
        <v>19</v>
      </c>
      <c r="AI184" s="4">
        <v>116</v>
      </c>
      <c r="AJ184" s="4">
        <v>1</v>
      </c>
      <c r="AK184" s="4">
        <v>23</v>
      </c>
      <c r="AL184" s="4">
        <v>9</v>
      </c>
      <c r="AM184" s="4">
        <v>63</v>
      </c>
      <c r="AN184" s="4">
        <v>0</v>
      </c>
      <c r="AO184" s="4">
        <v>0</v>
      </c>
      <c r="AP184" s="4">
        <v>1</v>
      </c>
      <c r="AQ184" s="4">
        <v>38</v>
      </c>
      <c r="AR184" s="3" t="s">
        <v>62</v>
      </c>
      <c r="AS184" s="3" t="s">
        <v>62</v>
      </c>
      <c r="AT184" s="3" t="s">
        <v>62</v>
      </c>
      <c r="AV184" s="6" t="str">
        <f>HYPERLINK("http://mcgill.on.worldcat.org/oclc/54048600","Catalog Record")</f>
        <v>Catalog Record</v>
      </c>
      <c r="AW184" s="6" t="str">
        <f>HYPERLINK("http://www.worldcat.org/oclc/54048600","WorldCat Record")</f>
        <v>WorldCat Record</v>
      </c>
      <c r="AX184" s="3" t="s">
        <v>2051</v>
      </c>
      <c r="AY184" s="3" t="s">
        <v>2052</v>
      </c>
      <c r="AZ184" s="3" t="s">
        <v>2053</v>
      </c>
      <c r="BA184" s="3" t="s">
        <v>2053</v>
      </c>
      <c r="BB184" s="3" t="s">
        <v>2054</v>
      </c>
      <c r="BC184" s="3" t="s">
        <v>102</v>
      </c>
      <c r="BD184" s="3" t="s">
        <v>68</v>
      </c>
      <c r="BE184" s="3" t="s">
        <v>2055</v>
      </c>
      <c r="BF184" s="3" t="s">
        <v>2054</v>
      </c>
      <c r="BG184" s="3" t="s">
        <v>2056</v>
      </c>
    </row>
    <row r="185" spans="1:59" ht="58" x14ac:dyDescent="0.35">
      <c r="A185" s="2" t="s">
        <v>89</v>
      </c>
      <c r="B185" s="2" t="s">
        <v>90</v>
      </c>
      <c r="C185" s="2" t="s">
        <v>2057</v>
      </c>
      <c r="D185" s="2" t="s">
        <v>2058</v>
      </c>
      <c r="E185" s="2" t="s">
        <v>2059</v>
      </c>
      <c r="G185" s="3" t="s">
        <v>62</v>
      </c>
      <c r="I185" s="3" t="s">
        <v>62</v>
      </c>
      <c r="J185" s="3" t="s">
        <v>62</v>
      </c>
      <c r="K185" s="3" t="s">
        <v>63</v>
      </c>
      <c r="M185" s="2" t="s">
        <v>2060</v>
      </c>
      <c r="N185" s="3" t="s">
        <v>1722</v>
      </c>
      <c r="P185" s="3" t="s">
        <v>1078</v>
      </c>
      <c r="Q185" s="2" t="s">
        <v>2061</v>
      </c>
      <c r="R185" s="3" t="s">
        <v>65</v>
      </c>
      <c r="S185" s="4">
        <v>4</v>
      </c>
      <c r="T185" s="4">
        <v>4</v>
      </c>
      <c r="U185" s="5" t="s">
        <v>2062</v>
      </c>
      <c r="V185" s="5" t="s">
        <v>2062</v>
      </c>
      <c r="W185" s="5" t="s">
        <v>67</v>
      </c>
      <c r="X185" s="5" t="s">
        <v>67</v>
      </c>
      <c r="Y185" s="4">
        <v>41</v>
      </c>
      <c r="Z185" s="4">
        <v>6</v>
      </c>
      <c r="AA185" s="4">
        <v>7</v>
      </c>
      <c r="AB185" s="4">
        <v>2</v>
      </c>
      <c r="AC185" s="4">
        <v>3</v>
      </c>
      <c r="AD185" s="4">
        <v>15</v>
      </c>
      <c r="AE185" s="4">
        <v>16</v>
      </c>
      <c r="AF185" s="4">
        <v>0</v>
      </c>
      <c r="AG185" s="4">
        <v>1</v>
      </c>
      <c r="AH185" s="4">
        <v>14</v>
      </c>
      <c r="AI185" s="4">
        <v>15</v>
      </c>
      <c r="AJ185" s="4">
        <v>2</v>
      </c>
      <c r="AK185" s="4">
        <v>3</v>
      </c>
      <c r="AL185" s="4">
        <v>12</v>
      </c>
      <c r="AM185" s="4">
        <v>12</v>
      </c>
      <c r="AN185" s="4">
        <v>0</v>
      </c>
      <c r="AO185" s="4">
        <v>0</v>
      </c>
      <c r="AP185" s="4">
        <v>2</v>
      </c>
      <c r="AQ185" s="4">
        <v>3</v>
      </c>
      <c r="AR185" s="3" t="s">
        <v>62</v>
      </c>
      <c r="AS185" s="3" t="s">
        <v>62</v>
      </c>
      <c r="AT185" s="3" t="s">
        <v>61</v>
      </c>
      <c r="AU185" s="6" t="str">
        <f>HYPERLINK("http://catalog.hathitrust.org/Record/006781809","HathiTrust Record")</f>
        <v>HathiTrust Record</v>
      </c>
      <c r="AV185" s="6" t="str">
        <f>HYPERLINK("http://mcgill.on.worldcat.org/oclc/317921490","Catalog Record")</f>
        <v>Catalog Record</v>
      </c>
      <c r="AW185" s="6" t="str">
        <f>HYPERLINK("http://www.worldcat.org/oclc/317921490","WorldCat Record")</f>
        <v>WorldCat Record</v>
      </c>
      <c r="AX185" s="3" t="s">
        <v>2063</v>
      </c>
      <c r="AY185" s="3" t="s">
        <v>2064</v>
      </c>
      <c r="AZ185" s="3" t="s">
        <v>2065</v>
      </c>
      <c r="BA185" s="3" t="s">
        <v>2065</v>
      </c>
      <c r="BB185" s="3" t="s">
        <v>2066</v>
      </c>
      <c r="BC185" s="3" t="s">
        <v>102</v>
      </c>
      <c r="BD185" s="3" t="s">
        <v>231</v>
      </c>
      <c r="BE185" s="3" t="s">
        <v>2067</v>
      </c>
      <c r="BF185" s="3" t="s">
        <v>2066</v>
      </c>
      <c r="BG185" s="3" t="s">
        <v>2068</v>
      </c>
    </row>
    <row r="186" spans="1:59" ht="58" x14ac:dyDescent="0.35">
      <c r="A186" s="2" t="s">
        <v>89</v>
      </c>
      <c r="B186" s="2" t="s">
        <v>90</v>
      </c>
      <c r="C186" s="2" t="s">
        <v>2069</v>
      </c>
      <c r="D186" s="2" t="s">
        <v>2070</v>
      </c>
      <c r="E186" s="2" t="s">
        <v>2071</v>
      </c>
      <c r="G186" s="3" t="s">
        <v>62</v>
      </c>
      <c r="I186" s="3" t="s">
        <v>62</v>
      </c>
      <c r="J186" s="3" t="s">
        <v>62</v>
      </c>
      <c r="K186" s="3" t="s">
        <v>63</v>
      </c>
      <c r="M186" s="2" t="s">
        <v>2072</v>
      </c>
      <c r="N186" s="3" t="s">
        <v>712</v>
      </c>
      <c r="P186" s="3" t="s">
        <v>64</v>
      </c>
      <c r="Q186" s="2" t="s">
        <v>2073</v>
      </c>
      <c r="R186" s="3" t="s">
        <v>65</v>
      </c>
      <c r="S186" s="4">
        <v>1</v>
      </c>
      <c r="T186" s="4">
        <v>1</v>
      </c>
      <c r="U186" s="5" t="s">
        <v>2074</v>
      </c>
      <c r="V186" s="5" t="s">
        <v>2074</v>
      </c>
      <c r="W186" s="5" t="s">
        <v>67</v>
      </c>
      <c r="X186" s="5" t="s">
        <v>67</v>
      </c>
      <c r="Y186" s="4">
        <v>135</v>
      </c>
      <c r="Z186" s="4">
        <v>8</v>
      </c>
      <c r="AA186" s="4">
        <v>8</v>
      </c>
      <c r="AB186" s="4">
        <v>1</v>
      </c>
      <c r="AC186" s="4">
        <v>1</v>
      </c>
      <c r="AD186" s="4">
        <v>63</v>
      </c>
      <c r="AE186" s="4">
        <v>63</v>
      </c>
      <c r="AF186" s="4">
        <v>0</v>
      </c>
      <c r="AG186" s="4">
        <v>0</v>
      </c>
      <c r="AH186" s="4">
        <v>58</v>
      </c>
      <c r="AI186" s="4">
        <v>58</v>
      </c>
      <c r="AJ186" s="4">
        <v>7</v>
      </c>
      <c r="AK186" s="4">
        <v>7</v>
      </c>
      <c r="AL186" s="4">
        <v>38</v>
      </c>
      <c r="AM186" s="4">
        <v>38</v>
      </c>
      <c r="AN186" s="4">
        <v>0</v>
      </c>
      <c r="AO186" s="4">
        <v>0</v>
      </c>
      <c r="AP186" s="4">
        <v>7</v>
      </c>
      <c r="AQ186" s="4">
        <v>7</v>
      </c>
      <c r="AR186" s="3" t="s">
        <v>62</v>
      </c>
      <c r="AS186" s="3" t="s">
        <v>62</v>
      </c>
      <c r="AT186" s="3" t="s">
        <v>62</v>
      </c>
      <c r="AV186" s="6" t="str">
        <f>HYPERLINK("http://mcgill.on.worldcat.org/oclc/893099332","Catalog Record")</f>
        <v>Catalog Record</v>
      </c>
      <c r="AW186" s="6" t="str">
        <f>HYPERLINK("http://www.worldcat.org/oclc/893099332","WorldCat Record")</f>
        <v>WorldCat Record</v>
      </c>
      <c r="AX186" s="3" t="s">
        <v>2075</v>
      </c>
      <c r="AY186" s="3" t="s">
        <v>2076</v>
      </c>
      <c r="AZ186" s="3" t="s">
        <v>2077</v>
      </c>
      <c r="BA186" s="3" t="s">
        <v>2077</v>
      </c>
      <c r="BB186" s="3" t="s">
        <v>2078</v>
      </c>
      <c r="BC186" s="3" t="s">
        <v>102</v>
      </c>
      <c r="BD186" s="3" t="s">
        <v>68</v>
      </c>
      <c r="BE186" s="3" t="s">
        <v>2079</v>
      </c>
      <c r="BF186" s="3" t="s">
        <v>2078</v>
      </c>
      <c r="BG186" s="3" t="s">
        <v>2080</v>
      </c>
    </row>
    <row r="187" spans="1:59" ht="58" x14ac:dyDescent="0.35">
      <c r="A187" s="2" t="s">
        <v>89</v>
      </c>
      <c r="B187" s="2" t="s">
        <v>90</v>
      </c>
      <c r="C187" s="2" t="s">
        <v>2081</v>
      </c>
      <c r="D187" s="2" t="s">
        <v>2082</v>
      </c>
      <c r="E187" s="2" t="s">
        <v>2083</v>
      </c>
      <c r="G187" s="3" t="s">
        <v>62</v>
      </c>
      <c r="I187" s="3" t="s">
        <v>62</v>
      </c>
      <c r="J187" s="3" t="s">
        <v>62</v>
      </c>
      <c r="K187" s="3" t="s">
        <v>63</v>
      </c>
      <c r="M187" s="2" t="s">
        <v>2084</v>
      </c>
      <c r="N187" s="3" t="s">
        <v>2085</v>
      </c>
      <c r="P187" s="3" t="s">
        <v>85</v>
      </c>
      <c r="Q187" s="2" t="s">
        <v>2086</v>
      </c>
      <c r="R187" s="3" t="s">
        <v>65</v>
      </c>
      <c r="S187" s="4">
        <v>2</v>
      </c>
      <c r="T187" s="4">
        <v>2</v>
      </c>
      <c r="W187" s="5" t="s">
        <v>67</v>
      </c>
      <c r="X187" s="5" t="s">
        <v>67</v>
      </c>
      <c r="Y187" s="4">
        <v>22</v>
      </c>
      <c r="Z187" s="4">
        <v>2</v>
      </c>
      <c r="AA187" s="4">
        <v>2</v>
      </c>
      <c r="AB187" s="4">
        <v>1</v>
      </c>
      <c r="AC187" s="4">
        <v>1</v>
      </c>
      <c r="AD187" s="4">
        <v>15</v>
      </c>
      <c r="AE187" s="4">
        <v>15</v>
      </c>
      <c r="AF187" s="4">
        <v>0</v>
      </c>
      <c r="AG187" s="4">
        <v>0</v>
      </c>
      <c r="AH187" s="4">
        <v>14</v>
      </c>
      <c r="AI187" s="4">
        <v>14</v>
      </c>
      <c r="AJ187" s="4">
        <v>1</v>
      </c>
      <c r="AK187" s="4">
        <v>1</v>
      </c>
      <c r="AL187" s="4">
        <v>13</v>
      </c>
      <c r="AM187" s="4">
        <v>13</v>
      </c>
      <c r="AN187" s="4">
        <v>0</v>
      </c>
      <c r="AO187" s="4">
        <v>0</v>
      </c>
      <c r="AP187" s="4">
        <v>1</v>
      </c>
      <c r="AQ187" s="4">
        <v>1</v>
      </c>
      <c r="AR187" s="3" t="s">
        <v>62</v>
      </c>
      <c r="AS187" s="3" t="s">
        <v>62</v>
      </c>
      <c r="AT187" s="3" t="s">
        <v>62</v>
      </c>
      <c r="AV187" s="6" t="str">
        <f>HYPERLINK("http://mcgill.on.worldcat.org/oclc/1039820093","Catalog Record")</f>
        <v>Catalog Record</v>
      </c>
      <c r="AW187" s="6" t="str">
        <f>HYPERLINK("http://www.worldcat.org/oclc/1039820093","WorldCat Record")</f>
        <v>WorldCat Record</v>
      </c>
      <c r="AX187" s="3" t="s">
        <v>2087</v>
      </c>
      <c r="AY187" s="3" t="s">
        <v>2088</v>
      </c>
      <c r="AZ187" s="3" t="s">
        <v>2089</v>
      </c>
      <c r="BA187" s="3" t="s">
        <v>2089</v>
      </c>
      <c r="BB187" s="3" t="s">
        <v>2090</v>
      </c>
      <c r="BC187" s="3" t="s">
        <v>102</v>
      </c>
      <c r="BD187" s="3" t="s">
        <v>231</v>
      </c>
      <c r="BE187" s="3" t="s">
        <v>2091</v>
      </c>
      <c r="BF187" s="3" t="s">
        <v>2090</v>
      </c>
      <c r="BG187" s="3" t="s">
        <v>2092</v>
      </c>
    </row>
    <row r="188" spans="1:59" ht="58" x14ac:dyDescent="0.35">
      <c r="A188" s="2" t="s">
        <v>89</v>
      </c>
      <c r="B188" s="2" t="s">
        <v>90</v>
      </c>
      <c r="C188" s="2" t="s">
        <v>2093</v>
      </c>
      <c r="D188" s="2" t="s">
        <v>2094</v>
      </c>
      <c r="E188" s="2" t="s">
        <v>2095</v>
      </c>
      <c r="G188" s="3" t="s">
        <v>62</v>
      </c>
      <c r="I188" s="3" t="s">
        <v>61</v>
      </c>
      <c r="J188" s="3" t="s">
        <v>62</v>
      </c>
      <c r="K188" s="3" t="s">
        <v>63</v>
      </c>
      <c r="M188" s="2" t="s">
        <v>2096</v>
      </c>
      <c r="N188" s="3" t="s">
        <v>396</v>
      </c>
      <c r="P188" s="3" t="s">
        <v>64</v>
      </c>
      <c r="Q188" s="2" t="s">
        <v>2097</v>
      </c>
      <c r="R188" s="3" t="s">
        <v>65</v>
      </c>
      <c r="S188" s="4">
        <v>17</v>
      </c>
      <c r="T188" s="4">
        <v>30</v>
      </c>
      <c r="U188" s="5" t="s">
        <v>2098</v>
      </c>
      <c r="V188" s="5" t="s">
        <v>2099</v>
      </c>
      <c r="W188" s="5" t="s">
        <v>67</v>
      </c>
      <c r="X188" s="5" t="s">
        <v>67</v>
      </c>
      <c r="Y188" s="4">
        <v>419</v>
      </c>
      <c r="Z188" s="4">
        <v>28</v>
      </c>
      <c r="AA188" s="4">
        <v>34</v>
      </c>
      <c r="AB188" s="4">
        <v>1</v>
      </c>
      <c r="AC188" s="4">
        <v>5</v>
      </c>
      <c r="AD188" s="4">
        <v>93</v>
      </c>
      <c r="AE188" s="4">
        <v>99</v>
      </c>
      <c r="AF188" s="4">
        <v>0</v>
      </c>
      <c r="AG188" s="4">
        <v>4</v>
      </c>
      <c r="AH188" s="4">
        <v>79</v>
      </c>
      <c r="AI188" s="4">
        <v>81</v>
      </c>
      <c r="AJ188" s="4">
        <v>13</v>
      </c>
      <c r="AK188" s="4">
        <v>18</v>
      </c>
      <c r="AL188" s="4">
        <v>41</v>
      </c>
      <c r="AM188" s="4">
        <v>42</v>
      </c>
      <c r="AN188" s="4">
        <v>0</v>
      </c>
      <c r="AO188" s="4">
        <v>0</v>
      </c>
      <c r="AP188" s="4">
        <v>18</v>
      </c>
      <c r="AQ188" s="4">
        <v>22</v>
      </c>
      <c r="AR188" s="3" t="s">
        <v>62</v>
      </c>
      <c r="AS188" s="3" t="s">
        <v>62</v>
      </c>
      <c r="AT188" s="3" t="s">
        <v>62</v>
      </c>
      <c r="AV188" s="6" t="str">
        <f>HYPERLINK("http://mcgill.on.worldcat.org/oclc/11866456","Catalog Record")</f>
        <v>Catalog Record</v>
      </c>
      <c r="AW188" s="6" t="str">
        <f>HYPERLINK("http://www.worldcat.org/oclc/11866456","WorldCat Record")</f>
        <v>WorldCat Record</v>
      </c>
      <c r="AX188" s="3" t="s">
        <v>2100</v>
      </c>
      <c r="AY188" s="3" t="s">
        <v>2101</v>
      </c>
      <c r="AZ188" s="3" t="s">
        <v>2102</v>
      </c>
      <c r="BA188" s="3" t="s">
        <v>2102</v>
      </c>
      <c r="BB188" s="3" t="s">
        <v>2103</v>
      </c>
      <c r="BC188" s="3" t="s">
        <v>102</v>
      </c>
      <c r="BD188" s="3" t="s">
        <v>68</v>
      </c>
      <c r="BE188" s="3" t="s">
        <v>2104</v>
      </c>
      <c r="BF188" s="3" t="s">
        <v>2103</v>
      </c>
      <c r="BG188" s="3" t="s">
        <v>2105</v>
      </c>
    </row>
    <row r="189" spans="1:59" ht="58" x14ac:dyDescent="0.35">
      <c r="A189" s="2" t="s">
        <v>89</v>
      </c>
      <c r="B189" s="2" t="s">
        <v>90</v>
      </c>
      <c r="C189" s="2" t="s">
        <v>2106</v>
      </c>
      <c r="D189" s="2" t="s">
        <v>2107</v>
      </c>
      <c r="E189" s="2" t="s">
        <v>2108</v>
      </c>
      <c r="G189" s="3" t="s">
        <v>62</v>
      </c>
      <c r="I189" s="3" t="s">
        <v>61</v>
      </c>
      <c r="J189" s="3" t="s">
        <v>62</v>
      </c>
      <c r="K189" s="3" t="s">
        <v>63</v>
      </c>
      <c r="M189" s="2" t="s">
        <v>2109</v>
      </c>
      <c r="N189" s="3" t="s">
        <v>2110</v>
      </c>
      <c r="P189" s="3" t="s">
        <v>64</v>
      </c>
      <c r="Q189" s="2" t="s">
        <v>2111</v>
      </c>
      <c r="R189" s="3" t="s">
        <v>65</v>
      </c>
      <c r="S189" s="4">
        <v>42</v>
      </c>
      <c r="T189" s="4">
        <v>82</v>
      </c>
      <c r="U189" s="5" t="s">
        <v>2112</v>
      </c>
      <c r="V189" s="5" t="s">
        <v>2113</v>
      </c>
      <c r="W189" s="5" t="s">
        <v>67</v>
      </c>
      <c r="X189" s="5" t="s">
        <v>67</v>
      </c>
      <c r="Y189" s="4">
        <v>1156</v>
      </c>
      <c r="Z189" s="4">
        <v>57</v>
      </c>
      <c r="AA189" s="4">
        <v>60</v>
      </c>
      <c r="AB189" s="4">
        <v>3</v>
      </c>
      <c r="AC189" s="4">
        <v>6</v>
      </c>
      <c r="AD189" s="4">
        <v>147</v>
      </c>
      <c r="AE189" s="4">
        <v>150</v>
      </c>
      <c r="AF189" s="4">
        <v>1</v>
      </c>
      <c r="AG189" s="4">
        <v>4</v>
      </c>
      <c r="AH189" s="4">
        <v>116</v>
      </c>
      <c r="AI189" s="4">
        <v>117</v>
      </c>
      <c r="AJ189" s="4">
        <v>24</v>
      </c>
      <c r="AK189" s="4">
        <v>27</v>
      </c>
      <c r="AL189" s="4">
        <v>60</v>
      </c>
      <c r="AM189" s="4">
        <v>60</v>
      </c>
      <c r="AN189" s="4">
        <v>0</v>
      </c>
      <c r="AO189" s="4">
        <v>0</v>
      </c>
      <c r="AP189" s="4">
        <v>39</v>
      </c>
      <c r="AQ189" s="4">
        <v>41</v>
      </c>
      <c r="AR189" s="3" t="s">
        <v>62</v>
      </c>
      <c r="AS189" s="3" t="s">
        <v>62</v>
      </c>
      <c r="AT189" s="3" t="s">
        <v>62</v>
      </c>
      <c r="AU189" s="6" t="str">
        <f>HYPERLINK("http://catalog.hathitrust.org/Record/000506713","HathiTrust Record")</f>
        <v>HathiTrust Record</v>
      </c>
      <c r="AV189" s="6" t="str">
        <f>HYPERLINK("http://mcgill.on.worldcat.org/oclc/3770579","Catalog Record")</f>
        <v>Catalog Record</v>
      </c>
      <c r="AW189" s="6" t="str">
        <f>HYPERLINK("http://www.worldcat.org/oclc/3770579","WorldCat Record")</f>
        <v>WorldCat Record</v>
      </c>
      <c r="AX189" s="3" t="s">
        <v>2114</v>
      </c>
      <c r="AY189" s="3" t="s">
        <v>2115</v>
      </c>
      <c r="AZ189" s="3" t="s">
        <v>2116</v>
      </c>
      <c r="BA189" s="3" t="s">
        <v>2116</v>
      </c>
      <c r="BB189" s="3" t="s">
        <v>2117</v>
      </c>
      <c r="BC189" s="3" t="s">
        <v>102</v>
      </c>
      <c r="BD189" s="3" t="s">
        <v>68</v>
      </c>
      <c r="BE189" s="3" t="s">
        <v>2118</v>
      </c>
      <c r="BF189" s="3" t="s">
        <v>2117</v>
      </c>
      <c r="BG189" s="3" t="s">
        <v>2119</v>
      </c>
    </row>
    <row r="190" spans="1:59" ht="58" x14ac:dyDescent="0.35">
      <c r="A190" s="2" t="s">
        <v>89</v>
      </c>
      <c r="B190" s="2" t="s">
        <v>90</v>
      </c>
      <c r="C190" s="2" t="s">
        <v>2120</v>
      </c>
      <c r="D190" s="2" t="s">
        <v>2121</v>
      </c>
      <c r="E190" s="2" t="s">
        <v>2122</v>
      </c>
      <c r="G190" s="3" t="s">
        <v>62</v>
      </c>
      <c r="I190" s="3" t="s">
        <v>61</v>
      </c>
      <c r="J190" s="3" t="s">
        <v>62</v>
      </c>
      <c r="K190" s="3" t="s">
        <v>63</v>
      </c>
      <c r="M190" s="2" t="s">
        <v>2123</v>
      </c>
      <c r="N190" s="3" t="s">
        <v>1722</v>
      </c>
      <c r="P190" s="3" t="s">
        <v>64</v>
      </c>
      <c r="Q190" s="2" t="s">
        <v>2124</v>
      </c>
      <c r="R190" s="3" t="s">
        <v>65</v>
      </c>
      <c r="S190" s="4">
        <v>3</v>
      </c>
      <c r="T190" s="4">
        <v>11</v>
      </c>
      <c r="U190" s="5" t="s">
        <v>2125</v>
      </c>
      <c r="V190" s="5" t="s">
        <v>2125</v>
      </c>
      <c r="W190" s="5" t="s">
        <v>67</v>
      </c>
      <c r="X190" s="5" t="s">
        <v>67</v>
      </c>
      <c r="Y190" s="4">
        <v>138</v>
      </c>
      <c r="Z190" s="4">
        <v>8</v>
      </c>
      <c r="AA190" s="4">
        <v>98</v>
      </c>
      <c r="AB190" s="4">
        <v>1</v>
      </c>
      <c r="AC190" s="4">
        <v>18</v>
      </c>
      <c r="AD190" s="4">
        <v>61</v>
      </c>
      <c r="AE190" s="4">
        <v>131</v>
      </c>
      <c r="AF190" s="4">
        <v>0</v>
      </c>
      <c r="AG190" s="4">
        <v>8</v>
      </c>
      <c r="AH190" s="4">
        <v>59</v>
      </c>
      <c r="AI190" s="4">
        <v>96</v>
      </c>
      <c r="AJ190" s="4">
        <v>6</v>
      </c>
      <c r="AK190" s="4">
        <v>22</v>
      </c>
      <c r="AL190" s="4">
        <v>37</v>
      </c>
      <c r="AM190" s="4">
        <v>52</v>
      </c>
      <c r="AN190" s="4">
        <v>0</v>
      </c>
      <c r="AO190" s="4">
        <v>0</v>
      </c>
      <c r="AP190" s="4">
        <v>6</v>
      </c>
      <c r="AQ190" s="4">
        <v>43</v>
      </c>
      <c r="AR190" s="3" t="s">
        <v>62</v>
      </c>
      <c r="AS190" s="3" t="s">
        <v>62</v>
      </c>
      <c r="AT190" s="3" t="s">
        <v>62</v>
      </c>
      <c r="AV190" s="6" t="str">
        <f>HYPERLINK("http://mcgill.on.worldcat.org/oclc/270655554","Catalog Record")</f>
        <v>Catalog Record</v>
      </c>
      <c r="AW190" s="6" t="str">
        <f>HYPERLINK("http://www.worldcat.org/oclc/270655554","WorldCat Record")</f>
        <v>WorldCat Record</v>
      </c>
      <c r="AX190" s="3" t="s">
        <v>2126</v>
      </c>
      <c r="AY190" s="3" t="s">
        <v>2127</v>
      </c>
      <c r="AZ190" s="3" t="s">
        <v>2128</v>
      </c>
      <c r="BA190" s="3" t="s">
        <v>2128</v>
      </c>
      <c r="BB190" s="3" t="s">
        <v>2129</v>
      </c>
      <c r="BC190" s="3" t="s">
        <v>102</v>
      </c>
      <c r="BD190" s="3" t="s">
        <v>68</v>
      </c>
      <c r="BE190" s="3" t="s">
        <v>2130</v>
      </c>
      <c r="BF190" s="3" t="s">
        <v>2129</v>
      </c>
      <c r="BG190" s="3" t="s">
        <v>2131</v>
      </c>
    </row>
    <row r="191" spans="1:59" ht="58" x14ac:dyDescent="0.35">
      <c r="A191" s="2" t="s">
        <v>89</v>
      </c>
      <c r="B191" s="2" t="s">
        <v>90</v>
      </c>
      <c r="C191" s="2" t="s">
        <v>2132</v>
      </c>
      <c r="D191" s="2" t="s">
        <v>2133</v>
      </c>
      <c r="E191" s="2" t="s">
        <v>2134</v>
      </c>
      <c r="G191" s="3" t="s">
        <v>62</v>
      </c>
      <c r="I191" s="3" t="s">
        <v>62</v>
      </c>
      <c r="J191" s="3" t="s">
        <v>62</v>
      </c>
      <c r="K191" s="3" t="s">
        <v>63</v>
      </c>
      <c r="M191" s="2" t="s">
        <v>2135</v>
      </c>
      <c r="N191" s="3" t="s">
        <v>2136</v>
      </c>
      <c r="P191" s="3" t="s">
        <v>85</v>
      </c>
      <c r="Q191" s="2" t="s">
        <v>2137</v>
      </c>
      <c r="R191" s="3" t="s">
        <v>65</v>
      </c>
      <c r="S191" s="4">
        <v>6</v>
      </c>
      <c r="T191" s="4">
        <v>6</v>
      </c>
      <c r="U191" s="5" t="s">
        <v>2138</v>
      </c>
      <c r="V191" s="5" t="s">
        <v>2138</v>
      </c>
      <c r="W191" s="5" t="s">
        <v>67</v>
      </c>
      <c r="X191" s="5" t="s">
        <v>67</v>
      </c>
      <c r="Y191" s="4">
        <v>80</v>
      </c>
      <c r="Z191" s="4">
        <v>7</v>
      </c>
      <c r="AA191" s="4">
        <v>7</v>
      </c>
      <c r="AB191" s="4">
        <v>1</v>
      </c>
      <c r="AC191" s="4">
        <v>1</v>
      </c>
      <c r="AD191" s="4">
        <v>38</v>
      </c>
      <c r="AE191" s="4">
        <v>38</v>
      </c>
      <c r="AF191" s="4">
        <v>0</v>
      </c>
      <c r="AG191" s="4">
        <v>0</v>
      </c>
      <c r="AH191" s="4">
        <v>37</v>
      </c>
      <c r="AI191" s="4">
        <v>37</v>
      </c>
      <c r="AJ191" s="4">
        <v>4</v>
      </c>
      <c r="AK191" s="4">
        <v>4</v>
      </c>
      <c r="AL191" s="4">
        <v>29</v>
      </c>
      <c r="AM191" s="4">
        <v>29</v>
      </c>
      <c r="AN191" s="4">
        <v>0</v>
      </c>
      <c r="AO191" s="4">
        <v>0</v>
      </c>
      <c r="AP191" s="4">
        <v>4</v>
      </c>
      <c r="AQ191" s="4">
        <v>4</v>
      </c>
      <c r="AR191" s="3" t="s">
        <v>62</v>
      </c>
      <c r="AS191" s="3" t="s">
        <v>62</v>
      </c>
      <c r="AT191" s="3" t="s">
        <v>62</v>
      </c>
      <c r="AV191" s="6" t="str">
        <f>HYPERLINK("http://mcgill.on.worldcat.org/oclc/62092267","Catalog Record")</f>
        <v>Catalog Record</v>
      </c>
      <c r="AW191" s="6" t="str">
        <f>HYPERLINK("http://www.worldcat.org/oclc/62092267","WorldCat Record")</f>
        <v>WorldCat Record</v>
      </c>
      <c r="AX191" s="3" t="s">
        <v>2139</v>
      </c>
      <c r="AY191" s="3" t="s">
        <v>2140</v>
      </c>
      <c r="AZ191" s="3" t="s">
        <v>2141</v>
      </c>
      <c r="BA191" s="3" t="s">
        <v>2141</v>
      </c>
      <c r="BB191" s="3" t="s">
        <v>2142</v>
      </c>
      <c r="BC191" s="3" t="s">
        <v>102</v>
      </c>
      <c r="BD191" s="3" t="s">
        <v>68</v>
      </c>
      <c r="BE191" s="3" t="s">
        <v>2143</v>
      </c>
      <c r="BF191" s="3" t="s">
        <v>2142</v>
      </c>
      <c r="BG191" s="3" t="s">
        <v>2144</v>
      </c>
    </row>
    <row r="192" spans="1:59" ht="58" x14ac:dyDescent="0.35">
      <c r="A192" s="2" t="s">
        <v>89</v>
      </c>
      <c r="B192" s="2" t="s">
        <v>90</v>
      </c>
      <c r="C192" s="2" t="s">
        <v>2145</v>
      </c>
      <c r="D192" s="2" t="s">
        <v>2146</v>
      </c>
      <c r="E192" s="2" t="s">
        <v>2147</v>
      </c>
      <c r="G192" s="3" t="s">
        <v>62</v>
      </c>
      <c r="I192" s="3" t="s">
        <v>62</v>
      </c>
      <c r="J192" s="3" t="s">
        <v>62</v>
      </c>
      <c r="K192" s="3" t="s">
        <v>63</v>
      </c>
      <c r="L192" s="2" t="s">
        <v>2148</v>
      </c>
      <c r="M192" s="2" t="s">
        <v>2149</v>
      </c>
      <c r="N192" s="3" t="s">
        <v>640</v>
      </c>
      <c r="P192" s="3" t="s">
        <v>64</v>
      </c>
      <c r="Q192" s="2" t="s">
        <v>2150</v>
      </c>
      <c r="R192" s="3" t="s">
        <v>65</v>
      </c>
      <c r="S192" s="4">
        <v>27</v>
      </c>
      <c r="T192" s="4">
        <v>27</v>
      </c>
      <c r="U192" s="5" t="s">
        <v>2151</v>
      </c>
      <c r="V192" s="5" t="s">
        <v>2151</v>
      </c>
      <c r="W192" s="5" t="s">
        <v>67</v>
      </c>
      <c r="X192" s="5" t="s">
        <v>67</v>
      </c>
      <c r="Y192" s="4">
        <v>549</v>
      </c>
      <c r="Z192" s="4">
        <v>28</v>
      </c>
      <c r="AA192" s="4">
        <v>30</v>
      </c>
      <c r="AB192" s="4">
        <v>1</v>
      </c>
      <c r="AC192" s="4">
        <v>3</v>
      </c>
      <c r="AD192" s="4">
        <v>90</v>
      </c>
      <c r="AE192" s="4">
        <v>93</v>
      </c>
      <c r="AF192" s="4">
        <v>0</v>
      </c>
      <c r="AG192" s="4">
        <v>2</v>
      </c>
      <c r="AH192" s="4">
        <v>80</v>
      </c>
      <c r="AI192" s="4">
        <v>82</v>
      </c>
      <c r="AJ192" s="4">
        <v>12</v>
      </c>
      <c r="AK192" s="4">
        <v>13</v>
      </c>
      <c r="AL192" s="4">
        <v>45</v>
      </c>
      <c r="AM192" s="4">
        <v>46</v>
      </c>
      <c r="AN192" s="4">
        <v>0</v>
      </c>
      <c r="AO192" s="4">
        <v>0</v>
      </c>
      <c r="AP192" s="4">
        <v>17</v>
      </c>
      <c r="AQ192" s="4">
        <v>19</v>
      </c>
      <c r="AR192" s="3" t="s">
        <v>62</v>
      </c>
      <c r="AS192" s="3" t="s">
        <v>62</v>
      </c>
      <c r="AT192" s="3" t="s">
        <v>62</v>
      </c>
      <c r="AV192" s="6" t="str">
        <f>HYPERLINK("http://mcgill.on.worldcat.org/oclc/54487705","Catalog Record")</f>
        <v>Catalog Record</v>
      </c>
      <c r="AW192" s="6" t="str">
        <f>HYPERLINK("http://www.worldcat.org/oclc/54487705","WorldCat Record")</f>
        <v>WorldCat Record</v>
      </c>
      <c r="AX192" s="3" t="s">
        <v>2152</v>
      </c>
      <c r="AY192" s="3" t="s">
        <v>2153</v>
      </c>
      <c r="AZ192" s="3" t="s">
        <v>2154</v>
      </c>
      <c r="BA192" s="3" t="s">
        <v>2154</v>
      </c>
      <c r="BB192" s="3" t="s">
        <v>2155</v>
      </c>
      <c r="BC192" s="3" t="s">
        <v>102</v>
      </c>
      <c r="BD192" s="3" t="s">
        <v>68</v>
      </c>
      <c r="BE192" s="3" t="s">
        <v>2156</v>
      </c>
      <c r="BF192" s="3" t="s">
        <v>2155</v>
      </c>
      <c r="BG192" s="3" t="s">
        <v>2157</v>
      </c>
    </row>
    <row r="193" spans="1:59" ht="58" x14ac:dyDescent="0.35">
      <c r="A193" s="2" t="s">
        <v>89</v>
      </c>
      <c r="B193" s="2" t="s">
        <v>90</v>
      </c>
      <c r="C193" s="2" t="s">
        <v>2158</v>
      </c>
      <c r="D193" s="2" t="s">
        <v>2159</v>
      </c>
      <c r="E193" s="2" t="s">
        <v>2160</v>
      </c>
      <c r="G193" s="3" t="s">
        <v>62</v>
      </c>
      <c r="I193" s="3" t="s">
        <v>62</v>
      </c>
      <c r="J193" s="3" t="s">
        <v>62</v>
      </c>
      <c r="K193" s="3" t="s">
        <v>63</v>
      </c>
      <c r="L193" s="2" t="s">
        <v>2161</v>
      </c>
      <c r="M193" s="2" t="s">
        <v>2162</v>
      </c>
      <c r="N193" s="3" t="s">
        <v>1195</v>
      </c>
      <c r="O193" s="2" t="s">
        <v>2163</v>
      </c>
      <c r="P193" s="3" t="s">
        <v>64</v>
      </c>
      <c r="R193" s="3" t="s">
        <v>65</v>
      </c>
      <c r="S193" s="4">
        <v>7</v>
      </c>
      <c r="T193" s="4">
        <v>7</v>
      </c>
      <c r="U193" s="5" t="s">
        <v>2164</v>
      </c>
      <c r="V193" s="5" t="s">
        <v>2164</v>
      </c>
      <c r="W193" s="5" t="s">
        <v>67</v>
      </c>
      <c r="X193" s="5" t="s">
        <v>67</v>
      </c>
      <c r="Y193" s="4">
        <v>308</v>
      </c>
      <c r="Z193" s="4">
        <v>26</v>
      </c>
      <c r="AA193" s="4">
        <v>59</v>
      </c>
      <c r="AB193" s="4">
        <v>2</v>
      </c>
      <c r="AC193" s="4">
        <v>5</v>
      </c>
      <c r="AD193" s="4">
        <v>90</v>
      </c>
      <c r="AE193" s="4">
        <v>111</v>
      </c>
      <c r="AF193" s="4">
        <v>1</v>
      </c>
      <c r="AG193" s="4">
        <v>2</v>
      </c>
      <c r="AH193" s="4">
        <v>76</v>
      </c>
      <c r="AI193" s="4">
        <v>88</v>
      </c>
      <c r="AJ193" s="4">
        <v>16</v>
      </c>
      <c r="AK193" s="4">
        <v>17</v>
      </c>
      <c r="AL193" s="4">
        <v>40</v>
      </c>
      <c r="AM193" s="4">
        <v>47</v>
      </c>
      <c r="AN193" s="4">
        <v>0</v>
      </c>
      <c r="AO193" s="4">
        <v>0</v>
      </c>
      <c r="AP193" s="4">
        <v>19</v>
      </c>
      <c r="AQ193" s="4">
        <v>29</v>
      </c>
      <c r="AR193" s="3" t="s">
        <v>62</v>
      </c>
      <c r="AS193" s="3" t="s">
        <v>62</v>
      </c>
      <c r="AT193" s="3" t="s">
        <v>62</v>
      </c>
      <c r="AV193" s="6" t="str">
        <f>HYPERLINK("http://mcgill.on.worldcat.org/oclc/64592236","Catalog Record")</f>
        <v>Catalog Record</v>
      </c>
      <c r="AW193" s="6" t="str">
        <f>HYPERLINK("http://www.worldcat.org/oclc/64592236","WorldCat Record")</f>
        <v>WorldCat Record</v>
      </c>
      <c r="AX193" s="3" t="s">
        <v>2165</v>
      </c>
      <c r="AY193" s="3" t="s">
        <v>2166</v>
      </c>
      <c r="AZ193" s="3" t="s">
        <v>2167</v>
      </c>
      <c r="BA193" s="3" t="s">
        <v>2167</v>
      </c>
      <c r="BB193" s="3" t="s">
        <v>2168</v>
      </c>
      <c r="BC193" s="3" t="s">
        <v>102</v>
      </c>
      <c r="BD193" s="3" t="s">
        <v>68</v>
      </c>
      <c r="BE193" s="3" t="s">
        <v>2169</v>
      </c>
      <c r="BF193" s="3" t="s">
        <v>2168</v>
      </c>
      <c r="BG193" s="3" t="s">
        <v>2170</v>
      </c>
    </row>
    <row r="194" spans="1:59" ht="58" x14ac:dyDescent="0.35">
      <c r="A194" s="2" t="s">
        <v>89</v>
      </c>
      <c r="B194" s="2" t="s">
        <v>90</v>
      </c>
      <c r="C194" s="2" t="s">
        <v>2171</v>
      </c>
      <c r="D194" s="2" t="s">
        <v>2172</v>
      </c>
      <c r="E194" s="2" t="s">
        <v>2173</v>
      </c>
      <c r="G194" s="3" t="s">
        <v>62</v>
      </c>
      <c r="I194" s="3" t="s">
        <v>62</v>
      </c>
      <c r="J194" s="3" t="s">
        <v>62</v>
      </c>
      <c r="K194" s="3" t="s">
        <v>63</v>
      </c>
      <c r="M194" s="2" t="s">
        <v>2174</v>
      </c>
      <c r="N194" s="3" t="s">
        <v>568</v>
      </c>
      <c r="P194" s="3" t="s">
        <v>64</v>
      </c>
      <c r="R194" s="3" t="s">
        <v>65</v>
      </c>
      <c r="S194" s="4">
        <v>33</v>
      </c>
      <c r="T194" s="4">
        <v>33</v>
      </c>
      <c r="U194" s="5" t="s">
        <v>2175</v>
      </c>
      <c r="V194" s="5" t="s">
        <v>2175</v>
      </c>
      <c r="W194" s="5" t="s">
        <v>67</v>
      </c>
      <c r="X194" s="5" t="s">
        <v>67</v>
      </c>
      <c r="Y194" s="4">
        <v>381</v>
      </c>
      <c r="Z194" s="4">
        <v>25</v>
      </c>
      <c r="AA194" s="4">
        <v>26</v>
      </c>
      <c r="AB194" s="4">
        <v>1</v>
      </c>
      <c r="AC194" s="4">
        <v>2</v>
      </c>
      <c r="AD194" s="4">
        <v>108</v>
      </c>
      <c r="AE194" s="4">
        <v>109</v>
      </c>
      <c r="AF194" s="4">
        <v>0</v>
      </c>
      <c r="AG194" s="4">
        <v>1</v>
      </c>
      <c r="AH194" s="4">
        <v>94</v>
      </c>
      <c r="AI194" s="4">
        <v>94</v>
      </c>
      <c r="AJ194" s="4">
        <v>16</v>
      </c>
      <c r="AK194" s="4">
        <v>16</v>
      </c>
      <c r="AL194" s="4">
        <v>53</v>
      </c>
      <c r="AM194" s="4">
        <v>53</v>
      </c>
      <c r="AN194" s="4">
        <v>0</v>
      </c>
      <c r="AO194" s="4">
        <v>0</v>
      </c>
      <c r="AP194" s="4">
        <v>20</v>
      </c>
      <c r="AQ194" s="4">
        <v>21</v>
      </c>
      <c r="AR194" s="3" t="s">
        <v>62</v>
      </c>
      <c r="AS194" s="3" t="s">
        <v>62</v>
      </c>
      <c r="AT194" s="3" t="s">
        <v>62</v>
      </c>
      <c r="AV194" s="6" t="str">
        <f>HYPERLINK("http://mcgill.on.worldcat.org/oclc/43207345","Catalog Record")</f>
        <v>Catalog Record</v>
      </c>
      <c r="AW194" s="6" t="str">
        <f>HYPERLINK("http://www.worldcat.org/oclc/43207345","WorldCat Record")</f>
        <v>WorldCat Record</v>
      </c>
      <c r="AX194" s="3" t="s">
        <v>2176</v>
      </c>
      <c r="AY194" s="3" t="s">
        <v>2177</v>
      </c>
      <c r="AZ194" s="3" t="s">
        <v>2178</v>
      </c>
      <c r="BA194" s="3" t="s">
        <v>2178</v>
      </c>
      <c r="BB194" s="3" t="s">
        <v>2179</v>
      </c>
      <c r="BC194" s="3" t="s">
        <v>102</v>
      </c>
      <c r="BD194" s="3" t="s">
        <v>68</v>
      </c>
      <c r="BE194" s="3" t="s">
        <v>2180</v>
      </c>
      <c r="BF194" s="3" t="s">
        <v>2179</v>
      </c>
      <c r="BG194" s="3" t="s">
        <v>2181</v>
      </c>
    </row>
    <row r="195" spans="1:59" ht="58" x14ac:dyDescent="0.35">
      <c r="A195" s="2" t="s">
        <v>89</v>
      </c>
      <c r="B195" s="2" t="s">
        <v>90</v>
      </c>
      <c r="C195" s="2" t="s">
        <v>2182</v>
      </c>
      <c r="D195" s="2" t="s">
        <v>2183</v>
      </c>
      <c r="E195" s="2" t="s">
        <v>2184</v>
      </c>
      <c r="G195" s="3" t="s">
        <v>62</v>
      </c>
      <c r="I195" s="3" t="s">
        <v>61</v>
      </c>
      <c r="J195" s="3" t="s">
        <v>61</v>
      </c>
      <c r="K195" s="3" t="s">
        <v>63</v>
      </c>
      <c r="L195" s="2" t="s">
        <v>2185</v>
      </c>
      <c r="M195" s="2" t="s">
        <v>2186</v>
      </c>
      <c r="N195" s="3" t="s">
        <v>396</v>
      </c>
      <c r="O195" s="2" t="s">
        <v>2187</v>
      </c>
      <c r="P195" s="3" t="s">
        <v>64</v>
      </c>
      <c r="R195" s="3" t="s">
        <v>65</v>
      </c>
      <c r="S195" s="4">
        <v>21</v>
      </c>
      <c r="T195" s="4">
        <v>38</v>
      </c>
      <c r="U195" s="5" t="s">
        <v>2188</v>
      </c>
      <c r="V195" s="5" t="s">
        <v>2188</v>
      </c>
      <c r="W195" s="5" t="s">
        <v>67</v>
      </c>
      <c r="X195" s="5" t="s">
        <v>67</v>
      </c>
      <c r="Y195" s="4">
        <v>1471</v>
      </c>
      <c r="Z195" s="4">
        <v>32</v>
      </c>
      <c r="AA195" s="4">
        <v>74</v>
      </c>
      <c r="AB195" s="4">
        <v>5</v>
      </c>
      <c r="AC195" s="4">
        <v>8</v>
      </c>
      <c r="AD195" s="4">
        <v>92</v>
      </c>
      <c r="AE195" s="4">
        <v>129</v>
      </c>
      <c r="AF195" s="4">
        <v>2</v>
      </c>
      <c r="AG195" s="4">
        <v>3</v>
      </c>
      <c r="AH195" s="4">
        <v>78</v>
      </c>
      <c r="AI195" s="4">
        <v>102</v>
      </c>
      <c r="AJ195" s="4">
        <v>9</v>
      </c>
      <c r="AK195" s="4">
        <v>20</v>
      </c>
      <c r="AL195" s="4">
        <v>42</v>
      </c>
      <c r="AM195" s="4">
        <v>56</v>
      </c>
      <c r="AN195" s="4">
        <v>0</v>
      </c>
      <c r="AO195" s="4">
        <v>0</v>
      </c>
      <c r="AP195" s="4">
        <v>16</v>
      </c>
      <c r="AQ195" s="4">
        <v>34</v>
      </c>
      <c r="AR195" s="3" t="s">
        <v>62</v>
      </c>
      <c r="AS195" s="3" t="s">
        <v>62</v>
      </c>
      <c r="AT195" s="3" t="s">
        <v>62</v>
      </c>
      <c r="AV195" s="6" t="str">
        <f>HYPERLINK("http://mcgill.on.worldcat.org/oclc/12049817","Catalog Record")</f>
        <v>Catalog Record</v>
      </c>
      <c r="AW195" s="6" t="str">
        <f>HYPERLINK("http://www.worldcat.org/oclc/12049817","WorldCat Record")</f>
        <v>WorldCat Record</v>
      </c>
      <c r="AX195" s="3" t="s">
        <v>2189</v>
      </c>
      <c r="AY195" s="3" t="s">
        <v>2190</v>
      </c>
      <c r="AZ195" s="3" t="s">
        <v>2191</v>
      </c>
      <c r="BA195" s="3" t="s">
        <v>2191</v>
      </c>
      <c r="BB195" s="3" t="s">
        <v>2192</v>
      </c>
      <c r="BC195" s="3" t="s">
        <v>102</v>
      </c>
      <c r="BD195" s="3" t="s">
        <v>68</v>
      </c>
      <c r="BE195" s="3" t="s">
        <v>2193</v>
      </c>
      <c r="BF195" s="3" t="s">
        <v>2192</v>
      </c>
      <c r="BG195" s="3" t="s">
        <v>2194</v>
      </c>
    </row>
    <row r="196" spans="1:59" ht="58" x14ac:dyDescent="0.35">
      <c r="A196" s="2" t="s">
        <v>89</v>
      </c>
      <c r="B196" s="2" t="s">
        <v>90</v>
      </c>
      <c r="C196" s="2" t="s">
        <v>2182</v>
      </c>
      <c r="D196" s="2" t="s">
        <v>2183</v>
      </c>
      <c r="E196" s="2" t="s">
        <v>2184</v>
      </c>
      <c r="G196" s="3" t="s">
        <v>62</v>
      </c>
      <c r="I196" s="3" t="s">
        <v>61</v>
      </c>
      <c r="J196" s="3" t="s">
        <v>61</v>
      </c>
      <c r="K196" s="3" t="s">
        <v>63</v>
      </c>
      <c r="L196" s="2" t="s">
        <v>2185</v>
      </c>
      <c r="M196" s="2" t="s">
        <v>2186</v>
      </c>
      <c r="N196" s="3" t="s">
        <v>396</v>
      </c>
      <c r="O196" s="2" t="s">
        <v>2187</v>
      </c>
      <c r="P196" s="3" t="s">
        <v>64</v>
      </c>
      <c r="R196" s="3" t="s">
        <v>65</v>
      </c>
      <c r="S196" s="4">
        <v>14</v>
      </c>
      <c r="T196" s="4">
        <v>38</v>
      </c>
      <c r="U196" s="5" t="s">
        <v>2195</v>
      </c>
      <c r="V196" s="5" t="s">
        <v>2188</v>
      </c>
      <c r="W196" s="5" t="s">
        <v>67</v>
      </c>
      <c r="X196" s="5" t="s">
        <v>67</v>
      </c>
      <c r="Y196" s="4">
        <v>1471</v>
      </c>
      <c r="Z196" s="4">
        <v>32</v>
      </c>
      <c r="AA196" s="4">
        <v>74</v>
      </c>
      <c r="AB196" s="4">
        <v>5</v>
      </c>
      <c r="AC196" s="4">
        <v>8</v>
      </c>
      <c r="AD196" s="4">
        <v>92</v>
      </c>
      <c r="AE196" s="4">
        <v>129</v>
      </c>
      <c r="AF196" s="4">
        <v>2</v>
      </c>
      <c r="AG196" s="4">
        <v>3</v>
      </c>
      <c r="AH196" s="4">
        <v>78</v>
      </c>
      <c r="AI196" s="4">
        <v>102</v>
      </c>
      <c r="AJ196" s="4">
        <v>9</v>
      </c>
      <c r="AK196" s="4">
        <v>20</v>
      </c>
      <c r="AL196" s="4">
        <v>42</v>
      </c>
      <c r="AM196" s="4">
        <v>56</v>
      </c>
      <c r="AN196" s="4">
        <v>0</v>
      </c>
      <c r="AO196" s="4">
        <v>0</v>
      </c>
      <c r="AP196" s="4">
        <v>16</v>
      </c>
      <c r="AQ196" s="4">
        <v>34</v>
      </c>
      <c r="AR196" s="3" t="s">
        <v>62</v>
      </c>
      <c r="AS196" s="3" t="s">
        <v>62</v>
      </c>
      <c r="AT196" s="3" t="s">
        <v>62</v>
      </c>
      <c r="AV196" s="6" t="str">
        <f>HYPERLINK("http://mcgill.on.worldcat.org/oclc/12049817","Catalog Record")</f>
        <v>Catalog Record</v>
      </c>
      <c r="AW196" s="6" t="str">
        <f>HYPERLINK("http://www.worldcat.org/oclc/12049817","WorldCat Record")</f>
        <v>WorldCat Record</v>
      </c>
      <c r="AX196" s="3" t="s">
        <v>2189</v>
      </c>
      <c r="AY196" s="3" t="s">
        <v>2190</v>
      </c>
      <c r="AZ196" s="3" t="s">
        <v>2191</v>
      </c>
      <c r="BA196" s="3" t="s">
        <v>2191</v>
      </c>
      <c r="BB196" s="3" t="s">
        <v>2196</v>
      </c>
      <c r="BC196" s="3" t="s">
        <v>102</v>
      </c>
      <c r="BD196" s="3" t="s">
        <v>68</v>
      </c>
      <c r="BE196" s="3" t="s">
        <v>2193</v>
      </c>
      <c r="BF196" s="3" t="s">
        <v>2196</v>
      </c>
      <c r="BG196" s="3" t="s">
        <v>2197</v>
      </c>
    </row>
    <row r="197" spans="1:59" ht="72.5" x14ac:dyDescent="0.35">
      <c r="A197" s="2" t="s">
        <v>89</v>
      </c>
      <c r="B197" s="2" t="s">
        <v>1231</v>
      </c>
      <c r="C197" s="2" t="s">
        <v>2182</v>
      </c>
      <c r="D197" s="2" t="s">
        <v>2183</v>
      </c>
      <c r="E197" s="2" t="s">
        <v>2184</v>
      </c>
      <c r="G197" s="3" t="s">
        <v>62</v>
      </c>
      <c r="I197" s="3" t="s">
        <v>61</v>
      </c>
      <c r="J197" s="3" t="s">
        <v>61</v>
      </c>
      <c r="K197" s="3" t="s">
        <v>63</v>
      </c>
      <c r="L197" s="2" t="s">
        <v>2185</v>
      </c>
      <c r="M197" s="2" t="s">
        <v>2186</v>
      </c>
      <c r="N197" s="3" t="s">
        <v>396</v>
      </c>
      <c r="O197" s="2" t="s">
        <v>2187</v>
      </c>
      <c r="P197" s="3" t="s">
        <v>64</v>
      </c>
      <c r="R197" s="3" t="s">
        <v>65</v>
      </c>
      <c r="S197" s="4">
        <v>3</v>
      </c>
      <c r="T197" s="4">
        <v>38</v>
      </c>
      <c r="U197" s="5" t="s">
        <v>2198</v>
      </c>
      <c r="V197" s="5" t="s">
        <v>2188</v>
      </c>
      <c r="W197" s="5" t="s">
        <v>67</v>
      </c>
      <c r="X197" s="5" t="s">
        <v>67</v>
      </c>
      <c r="Y197" s="4">
        <v>1471</v>
      </c>
      <c r="Z197" s="4">
        <v>32</v>
      </c>
      <c r="AA197" s="4">
        <v>74</v>
      </c>
      <c r="AB197" s="4">
        <v>5</v>
      </c>
      <c r="AC197" s="4">
        <v>8</v>
      </c>
      <c r="AD197" s="4">
        <v>92</v>
      </c>
      <c r="AE197" s="4">
        <v>129</v>
      </c>
      <c r="AF197" s="4">
        <v>2</v>
      </c>
      <c r="AG197" s="4">
        <v>3</v>
      </c>
      <c r="AH197" s="4">
        <v>78</v>
      </c>
      <c r="AI197" s="4">
        <v>102</v>
      </c>
      <c r="AJ197" s="4">
        <v>9</v>
      </c>
      <c r="AK197" s="4">
        <v>20</v>
      </c>
      <c r="AL197" s="4">
        <v>42</v>
      </c>
      <c r="AM197" s="4">
        <v>56</v>
      </c>
      <c r="AN197" s="4">
        <v>0</v>
      </c>
      <c r="AO197" s="4">
        <v>0</v>
      </c>
      <c r="AP197" s="4">
        <v>16</v>
      </c>
      <c r="AQ197" s="4">
        <v>34</v>
      </c>
      <c r="AR197" s="3" t="s">
        <v>62</v>
      </c>
      <c r="AS197" s="3" t="s">
        <v>62</v>
      </c>
      <c r="AT197" s="3" t="s">
        <v>62</v>
      </c>
      <c r="AV197" s="6" t="str">
        <f>HYPERLINK("http://mcgill.on.worldcat.org/oclc/12049817","Catalog Record")</f>
        <v>Catalog Record</v>
      </c>
      <c r="AW197" s="6" t="str">
        <f>HYPERLINK("http://www.worldcat.org/oclc/12049817","WorldCat Record")</f>
        <v>WorldCat Record</v>
      </c>
      <c r="AX197" s="3" t="s">
        <v>2189</v>
      </c>
      <c r="AY197" s="3" t="s">
        <v>2190</v>
      </c>
      <c r="AZ197" s="3" t="s">
        <v>2191</v>
      </c>
      <c r="BA197" s="3" t="s">
        <v>2191</v>
      </c>
      <c r="BB197" s="3" t="s">
        <v>2199</v>
      </c>
      <c r="BC197" s="3" t="s">
        <v>102</v>
      </c>
      <c r="BD197" s="3" t="s">
        <v>68</v>
      </c>
      <c r="BE197" s="3" t="s">
        <v>2193</v>
      </c>
      <c r="BF197" s="3" t="s">
        <v>2199</v>
      </c>
      <c r="BG197" s="3" t="s">
        <v>2200</v>
      </c>
    </row>
    <row r="198" spans="1:59" ht="72.5" x14ac:dyDescent="0.35">
      <c r="A198" s="2" t="s">
        <v>89</v>
      </c>
      <c r="B198" s="2" t="s">
        <v>90</v>
      </c>
      <c r="C198" s="2" t="s">
        <v>2201</v>
      </c>
      <c r="D198" s="2" t="s">
        <v>2202</v>
      </c>
      <c r="E198" s="2" t="s">
        <v>2203</v>
      </c>
      <c r="F198" s="3" t="s">
        <v>2204</v>
      </c>
      <c r="G198" s="3" t="s">
        <v>61</v>
      </c>
      <c r="I198" s="3" t="s">
        <v>62</v>
      </c>
      <c r="J198" s="3" t="s">
        <v>62</v>
      </c>
      <c r="K198" s="3" t="s">
        <v>63</v>
      </c>
      <c r="L198" s="2" t="s">
        <v>2205</v>
      </c>
      <c r="M198" s="2" t="s">
        <v>2206</v>
      </c>
      <c r="N198" s="3" t="s">
        <v>684</v>
      </c>
      <c r="P198" s="3" t="s">
        <v>85</v>
      </c>
      <c r="Q198" s="2" t="s">
        <v>2207</v>
      </c>
      <c r="R198" s="3" t="s">
        <v>65</v>
      </c>
      <c r="S198" s="4">
        <v>0</v>
      </c>
      <c r="T198" s="4">
        <v>0</v>
      </c>
      <c r="W198" s="5" t="s">
        <v>67</v>
      </c>
      <c r="X198" s="5" t="s">
        <v>67</v>
      </c>
      <c r="Y198" s="4">
        <v>48</v>
      </c>
      <c r="Z198" s="4">
        <v>6</v>
      </c>
      <c r="AA198" s="4">
        <v>7</v>
      </c>
      <c r="AB198" s="4">
        <v>3</v>
      </c>
      <c r="AC198" s="4">
        <v>4</v>
      </c>
      <c r="AD198" s="4">
        <v>26</v>
      </c>
      <c r="AE198" s="4">
        <v>27</v>
      </c>
      <c r="AF198" s="4">
        <v>1</v>
      </c>
      <c r="AG198" s="4">
        <v>2</v>
      </c>
      <c r="AH198" s="4">
        <v>23</v>
      </c>
      <c r="AI198" s="4">
        <v>23</v>
      </c>
      <c r="AJ198" s="4">
        <v>3</v>
      </c>
      <c r="AK198" s="4">
        <v>4</v>
      </c>
      <c r="AL198" s="4">
        <v>21</v>
      </c>
      <c r="AM198" s="4">
        <v>21</v>
      </c>
      <c r="AN198" s="4">
        <v>0</v>
      </c>
      <c r="AO198" s="4">
        <v>0</v>
      </c>
      <c r="AP198" s="4">
        <v>2</v>
      </c>
      <c r="AQ198" s="4">
        <v>3</v>
      </c>
      <c r="AR198" s="3" t="s">
        <v>62</v>
      </c>
      <c r="AS198" s="3" t="s">
        <v>62</v>
      </c>
      <c r="AT198" s="3" t="s">
        <v>62</v>
      </c>
      <c r="AV198" s="6" t="str">
        <f>HYPERLINK("http://mcgill.on.worldcat.org/oclc/770966975","Catalog Record")</f>
        <v>Catalog Record</v>
      </c>
      <c r="AW198" s="6" t="str">
        <f>HYPERLINK("http://www.worldcat.org/oclc/770966975","WorldCat Record")</f>
        <v>WorldCat Record</v>
      </c>
      <c r="AX198" s="3" t="s">
        <v>2208</v>
      </c>
      <c r="AY198" s="3" t="s">
        <v>2209</v>
      </c>
      <c r="AZ198" s="3" t="s">
        <v>2210</v>
      </c>
      <c r="BA198" s="3" t="s">
        <v>2210</v>
      </c>
      <c r="BB198" s="3" t="s">
        <v>2211</v>
      </c>
      <c r="BC198" s="3" t="s">
        <v>102</v>
      </c>
      <c r="BD198" s="3" t="s">
        <v>68</v>
      </c>
      <c r="BE198" s="3" t="s">
        <v>2212</v>
      </c>
      <c r="BF198" s="3" t="s">
        <v>2211</v>
      </c>
      <c r="BG198" s="3" t="s">
        <v>2213</v>
      </c>
    </row>
    <row r="199" spans="1:59" ht="72.5" x14ac:dyDescent="0.35">
      <c r="A199" s="2" t="s">
        <v>89</v>
      </c>
      <c r="B199" s="2" t="s">
        <v>90</v>
      </c>
      <c r="C199" s="2" t="s">
        <v>2201</v>
      </c>
      <c r="D199" s="2" t="s">
        <v>2202</v>
      </c>
      <c r="E199" s="2" t="s">
        <v>2203</v>
      </c>
      <c r="F199" s="3" t="s">
        <v>2214</v>
      </c>
      <c r="G199" s="3" t="s">
        <v>61</v>
      </c>
      <c r="I199" s="3" t="s">
        <v>62</v>
      </c>
      <c r="J199" s="3" t="s">
        <v>62</v>
      </c>
      <c r="K199" s="3" t="s">
        <v>63</v>
      </c>
      <c r="L199" s="2" t="s">
        <v>2205</v>
      </c>
      <c r="M199" s="2" t="s">
        <v>2206</v>
      </c>
      <c r="N199" s="3" t="s">
        <v>684</v>
      </c>
      <c r="P199" s="3" t="s">
        <v>85</v>
      </c>
      <c r="Q199" s="2" t="s">
        <v>2207</v>
      </c>
      <c r="R199" s="3" t="s">
        <v>65</v>
      </c>
      <c r="S199" s="4">
        <v>0</v>
      </c>
      <c r="T199" s="4">
        <v>0</v>
      </c>
      <c r="W199" s="5" t="s">
        <v>67</v>
      </c>
      <c r="X199" s="5" t="s">
        <v>67</v>
      </c>
      <c r="Y199" s="4">
        <v>48</v>
      </c>
      <c r="Z199" s="4">
        <v>6</v>
      </c>
      <c r="AA199" s="4">
        <v>7</v>
      </c>
      <c r="AB199" s="4">
        <v>3</v>
      </c>
      <c r="AC199" s="4">
        <v>4</v>
      </c>
      <c r="AD199" s="4">
        <v>26</v>
      </c>
      <c r="AE199" s="4">
        <v>27</v>
      </c>
      <c r="AF199" s="4">
        <v>1</v>
      </c>
      <c r="AG199" s="4">
        <v>2</v>
      </c>
      <c r="AH199" s="4">
        <v>23</v>
      </c>
      <c r="AI199" s="4">
        <v>23</v>
      </c>
      <c r="AJ199" s="4">
        <v>3</v>
      </c>
      <c r="AK199" s="4">
        <v>4</v>
      </c>
      <c r="AL199" s="4">
        <v>21</v>
      </c>
      <c r="AM199" s="4">
        <v>21</v>
      </c>
      <c r="AN199" s="4">
        <v>0</v>
      </c>
      <c r="AO199" s="4">
        <v>0</v>
      </c>
      <c r="AP199" s="4">
        <v>2</v>
      </c>
      <c r="AQ199" s="4">
        <v>3</v>
      </c>
      <c r="AR199" s="3" t="s">
        <v>62</v>
      </c>
      <c r="AS199" s="3" t="s">
        <v>62</v>
      </c>
      <c r="AT199" s="3" t="s">
        <v>62</v>
      </c>
      <c r="AV199" s="6" t="str">
        <f>HYPERLINK("http://mcgill.on.worldcat.org/oclc/770966975","Catalog Record")</f>
        <v>Catalog Record</v>
      </c>
      <c r="AW199" s="6" t="str">
        <f>HYPERLINK("http://www.worldcat.org/oclc/770966975","WorldCat Record")</f>
        <v>WorldCat Record</v>
      </c>
      <c r="AX199" s="3" t="s">
        <v>2208</v>
      </c>
      <c r="AY199" s="3" t="s">
        <v>2209</v>
      </c>
      <c r="AZ199" s="3" t="s">
        <v>2210</v>
      </c>
      <c r="BA199" s="3" t="s">
        <v>2210</v>
      </c>
      <c r="BB199" s="3" t="s">
        <v>2215</v>
      </c>
      <c r="BC199" s="3" t="s">
        <v>102</v>
      </c>
      <c r="BD199" s="3" t="s">
        <v>68</v>
      </c>
      <c r="BE199" s="3" t="s">
        <v>2212</v>
      </c>
      <c r="BF199" s="3" t="s">
        <v>2215</v>
      </c>
      <c r="BG199" s="3" t="s">
        <v>2216</v>
      </c>
    </row>
    <row r="200" spans="1:59" ht="72.5" x14ac:dyDescent="0.35">
      <c r="A200" s="2" t="s">
        <v>89</v>
      </c>
      <c r="B200" s="2" t="s">
        <v>90</v>
      </c>
      <c r="C200" s="2" t="s">
        <v>2201</v>
      </c>
      <c r="D200" s="2" t="s">
        <v>2202</v>
      </c>
      <c r="E200" s="2" t="s">
        <v>2203</v>
      </c>
      <c r="F200" s="3" t="s">
        <v>2217</v>
      </c>
      <c r="G200" s="3" t="s">
        <v>61</v>
      </c>
      <c r="I200" s="3" t="s">
        <v>62</v>
      </c>
      <c r="J200" s="3" t="s">
        <v>62</v>
      </c>
      <c r="K200" s="3" t="s">
        <v>63</v>
      </c>
      <c r="L200" s="2" t="s">
        <v>2205</v>
      </c>
      <c r="M200" s="2" t="s">
        <v>2206</v>
      </c>
      <c r="N200" s="3" t="s">
        <v>684</v>
      </c>
      <c r="P200" s="3" t="s">
        <v>85</v>
      </c>
      <c r="Q200" s="2" t="s">
        <v>2207</v>
      </c>
      <c r="R200" s="3" t="s">
        <v>65</v>
      </c>
      <c r="S200" s="4">
        <v>0</v>
      </c>
      <c r="T200" s="4">
        <v>0</v>
      </c>
      <c r="W200" s="5" t="s">
        <v>67</v>
      </c>
      <c r="X200" s="5" t="s">
        <v>67</v>
      </c>
      <c r="Y200" s="4">
        <v>48</v>
      </c>
      <c r="Z200" s="4">
        <v>6</v>
      </c>
      <c r="AA200" s="4">
        <v>7</v>
      </c>
      <c r="AB200" s="4">
        <v>3</v>
      </c>
      <c r="AC200" s="4">
        <v>4</v>
      </c>
      <c r="AD200" s="4">
        <v>26</v>
      </c>
      <c r="AE200" s="4">
        <v>27</v>
      </c>
      <c r="AF200" s="4">
        <v>1</v>
      </c>
      <c r="AG200" s="4">
        <v>2</v>
      </c>
      <c r="AH200" s="4">
        <v>23</v>
      </c>
      <c r="AI200" s="4">
        <v>23</v>
      </c>
      <c r="AJ200" s="4">
        <v>3</v>
      </c>
      <c r="AK200" s="4">
        <v>4</v>
      </c>
      <c r="AL200" s="4">
        <v>21</v>
      </c>
      <c r="AM200" s="4">
        <v>21</v>
      </c>
      <c r="AN200" s="4">
        <v>0</v>
      </c>
      <c r="AO200" s="4">
        <v>0</v>
      </c>
      <c r="AP200" s="4">
        <v>2</v>
      </c>
      <c r="AQ200" s="4">
        <v>3</v>
      </c>
      <c r="AR200" s="3" t="s">
        <v>62</v>
      </c>
      <c r="AS200" s="3" t="s">
        <v>62</v>
      </c>
      <c r="AT200" s="3" t="s">
        <v>62</v>
      </c>
      <c r="AV200" s="6" t="str">
        <f>HYPERLINK("http://mcgill.on.worldcat.org/oclc/770966975","Catalog Record")</f>
        <v>Catalog Record</v>
      </c>
      <c r="AW200" s="6" t="str">
        <f>HYPERLINK("http://www.worldcat.org/oclc/770966975","WorldCat Record")</f>
        <v>WorldCat Record</v>
      </c>
      <c r="AX200" s="3" t="s">
        <v>2208</v>
      </c>
      <c r="AY200" s="3" t="s">
        <v>2209</v>
      </c>
      <c r="AZ200" s="3" t="s">
        <v>2210</v>
      </c>
      <c r="BA200" s="3" t="s">
        <v>2210</v>
      </c>
      <c r="BB200" s="3" t="s">
        <v>2218</v>
      </c>
      <c r="BC200" s="3" t="s">
        <v>102</v>
      </c>
      <c r="BD200" s="3" t="s">
        <v>68</v>
      </c>
      <c r="BE200" s="3" t="s">
        <v>2212</v>
      </c>
      <c r="BF200" s="3" t="s">
        <v>2218</v>
      </c>
      <c r="BG200" s="3" t="s">
        <v>2219</v>
      </c>
    </row>
    <row r="201" spans="1:59" ht="58" x14ac:dyDescent="0.35">
      <c r="A201" s="2" t="s">
        <v>89</v>
      </c>
      <c r="B201" s="2" t="s">
        <v>90</v>
      </c>
      <c r="C201" s="2" t="s">
        <v>2220</v>
      </c>
      <c r="D201" s="2" t="s">
        <v>2221</v>
      </c>
      <c r="E201" s="2" t="s">
        <v>2222</v>
      </c>
      <c r="F201" s="3" t="s">
        <v>2223</v>
      </c>
      <c r="G201" s="3" t="s">
        <v>61</v>
      </c>
      <c r="I201" s="3" t="s">
        <v>62</v>
      </c>
      <c r="J201" s="3" t="s">
        <v>62</v>
      </c>
      <c r="K201" s="3" t="s">
        <v>63</v>
      </c>
      <c r="M201" s="2" t="s">
        <v>2224</v>
      </c>
      <c r="N201" s="3" t="s">
        <v>625</v>
      </c>
      <c r="P201" s="3" t="s">
        <v>64</v>
      </c>
      <c r="R201" s="3" t="s">
        <v>65</v>
      </c>
      <c r="S201" s="4">
        <v>11</v>
      </c>
      <c r="T201" s="4">
        <v>81</v>
      </c>
      <c r="U201" s="5" t="s">
        <v>2225</v>
      </c>
      <c r="V201" s="5" t="s">
        <v>2226</v>
      </c>
      <c r="W201" s="5" t="s">
        <v>67</v>
      </c>
      <c r="X201" s="5" t="s">
        <v>67</v>
      </c>
      <c r="Y201" s="4">
        <v>541</v>
      </c>
      <c r="Z201" s="4">
        <v>35</v>
      </c>
      <c r="AA201" s="4">
        <v>50</v>
      </c>
      <c r="AB201" s="4">
        <v>2</v>
      </c>
      <c r="AC201" s="4">
        <v>5</v>
      </c>
      <c r="AD201" s="4">
        <v>120</v>
      </c>
      <c r="AE201" s="4">
        <v>131</v>
      </c>
      <c r="AF201" s="4">
        <v>1</v>
      </c>
      <c r="AG201" s="4">
        <v>3</v>
      </c>
      <c r="AH201" s="4">
        <v>98</v>
      </c>
      <c r="AI201" s="4">
        <v>103</v>
      </c>
      <c r="AJ201" s="4">
        <v>13</v>
      </c>
      <c r="AK201" s="4">
        <v>19</v>
      </c>
      <c r="AL201" s="4">
        <v>54</v>
      </c>
      <c r="AM201" s="4">
        <v>56</v>
      </c>
      <c r="AN201" s="4">
        <v>0</v>
      </c>
      <c r="AO201" s="4">
        <v>0</v>
      </c>
      <c r="AP201" s="4">
        <v>26</v>
      </c>
      <c r="AQ201" s="4">
        <v>35</v>
      </c>
      <c r="AR201" s="3" t="s">
        <v>62</v>
      </c>
      <c r="AS201" s="3" t="s">
        <v>62</v>
      </c>
      <c r="AT201" s="3" t="s">
        <v>61</v>
      </c>
      <c r="AU201" s="6" t="str">
        <f t="shared" ref="AU201:AU206" si="9">HYPERLINK("http://catalog.hathitrust.org/Record/003837935","HathiTrust Record")</f>
        <v>HathiTrust Record</v>
      </c>
      <c r="AV201" s="6" t="str">
        <f t="shared" ref="AV201:AV206" si="10">HYPERLINK("http://mcgill.on.worldcat.org/oclc/45958057","Catalog Record")</f>
        <v>Catalog Record</v>
      </c>
      <c r="AW201" s="6" t="str">
        <f t="shared" ref="AW201:AW206" si="11">HYPERLINK("http://www.worldcat.org/oclc/45958057","WorldCat Record")</f>
        <v>WorldCat Record</v>
      </c>
      <c r="AX201" s="3" t="s">
        <v>2227</v>
      </c>
      <c r="AY201" s="3" t="s">
        <v>2228</v>
      </c>
      <c r="AZ201" s="3" t="s">
        <v>2229</v>
      </c>
      <c r="BA201" s="3" t="s">
        <v>2229</v>
      </c>
      <c r="BB201" s="3" t="s">
        <v>2230</v>
      </c>
      <c r="BC201" s="3" t="s">
        <v>102</v>
      </c>
      <c r="BD201" s="3" t="s">
        <v>68</v>
      </c>
      <c r="BE201" s="3" t="s">
        <v>2231</v>
      </c>
      <c r="BF201" s="3" t="s">
        <v>2230</v>
      </c>
      <c r="BG201" s="3" t="s">
        <v>2232</v>
      </c>
    </row>
    <row r="202" spans="1:59" ht="58" x14ac:dyDescent="0.35">
      <c r="A202" s="2" t="s">
        <v>89</v>
      </c>
      <c r="B202" s="2" t="s">
        <v>90</v>
      </c>
      <c r="C202" s="2" t="s">
        <v>2220</v>
      </c>
      <c r="D202" s="2" t="s">
        <v>2221</v>
      </c>
      <c r="E202" s="2" t="s">
        <v>2222</v>
      </c>
      <c r="F202" s="3" t="s">
        <v>2233</v>
      </c>
      <c r="G202" s="3" t="s">
        <v>61</v>
      </c>
      <c r="I202" s="3" t="s">
        <v>62</v>
      </c>
      <c r="J202" s="3" t="s">
        <v>62</v>
      </c>
      <c r="K202" s="3" t="s">
        <v>63</v>
      </c>
      <c r="M202" s="2" t="s">
        <v>2224</v>
      </c>
      <c r="N202" s="3" t="s">
        <v>625</v>
      </c>
      <c r="P202" s="3" t="s">
        <v>64</v>
      </c>
      <c r="R202" s="3" t="s">
        <v>65</v>
      </c>
      <c r="S202" s="4">
        <v>3</v>
      </c>
      <c r="T202" s="4">
        <v>81</v>
      </c>
      <c r="U202" s="5" t="s">
        <v>2234</v>
      </c>
      <c r="V202" s="5" t="s">
        <v>2226</v>
      </c>
      <c r="W202" s="5" t="s">
        <v>67</v>
      </c>
      <c r="X202" s="5" t="s">
        <v>67</v>
      </c>
      <c r="Y202" s="4">
        <v>541</v>
      </c>
      <c r="Z202" s="4">
        <v>35</v>
      </c>
      <c r="AA202" s="4">
        <v>50</v>
      </c>
      <c r="AB202" s="4">
        <v>2</v>
      </c>
      <c r="AC202" s="4">
        <v>5</v>
      </c>
      <c r="AD202" s="4">
        <v>120</v>
      </c>
      <c r="AE202" s="4">
        <v>131</v>
      </c>
      <c r="AF202" s="4">
        <v>1</v>
      </c>
      <c r="AG202" s="4">
        <v>3</v>
      </c>
      <c r="AH202" s="4">
        <v>98</v>
      </c>
      <c r="AI202" s="4">
        <v>103</v>
      </c>
      <c r="AJ202" s="4">
        <v>13</v>
      </c>
      <c r="AK202" s="4">
        <v>19</v>
      </c>
      <c r="AL202" s="4">
        <v>54</v>
      </c>
      <c r="AM202" s="4">
        <v>56</v>
      </c>
      <c r="AN202" s="4">
        <v>0</v>
      </c>
      <c r="AO202" s="4">
        <v>0</v>
      </c>
      <c r="AP202" s="4">
        <v>26</v>
      </c>
      <c r="AQ202" s="4">
        <v>35</v>
      </c>
      <c r="AR202" s="3" t="s">
        <v>62</v>
      </c>
      <c r="AS202" s="3" t="s">
        <v>62</v>
      </c>
      <c r="AT202" s="3" t="s">
        <v>61</v>
      </c>
      <c r="AU202" s="6" t="str">
        <f t="shared" si="9"/>
        <v>HathiTrust Record</v>
      </c>
      <c r="AV202" s="6" t="str">
        <f t="shared" si="10"/>
        <v>Catalog Record</v>
      </c>
      <c r="AW202" s="6" t="str">
        <f t="shared" si="11"/>
        <v>WorldCat Record</v>
      </c>
      <c r="AX202" s="3" t="s">
        <v>2227</v>
      </c>
      <c r="AY202" s="3" t="s">
        <v>2228</v>
      </c>
      <c r="AZ202" s="3" t="s">
        <v>2229</v>
      </c>
      <c r="BA202" s="3" t="s">
        <v>2229</v>
      </c>
      <c r="BB202" s="3" t="s">
        <v>2235</v>
      </c>
      <c r="BC202" s="3" t="s">
        <v>102</v>
      </c>
      <c r="BD202" s="3" t="s">
        <v>68</v>
      </c>
      <c r="BE202" s="3" t="s">
        <v>2231</v>
      </c>
      <c r="BF202" s="3" t="s">
        <v>2235</v>
      </c>
      <c r="BG202" s="3" t="s">
        <v>2236</v>
      </c>
    </row>
    <row r="203" spans="1:59" ht="58" x14ac:dyDescent="0.35">
      <c r="A203" s="2" t="s">
        <v>89</v>
      </c>
      <c r="B203" s="2" t="s">
        <v>90</v>
      </c>
      <c r="C203" s="2" t="s">
        <v>2220</v>
      </c>
      <c r="D203" s="2" t="s">
        <v>2221</v>
      </c>
      <c r="E203" s="2" t="s">
        <v>2222</v>
      </c>
      <c r="F203" s="3" t="s">
        <v>2237</v>
      </c>
      <c r="G203" s="3" t="s">
        <v>61</v>
      </c>
      <c r="I203" s="3" t="s">
        <v>62</v>
      </c>
      <c r="J203" s="3" t="s">
        <v>62</v>
      </c>
      <c r="K203" s="3" t="s">
        <v>63</v>
      </c>
      <c r="M203" s="2" t="s">
        <v>2224</v>
      </c>
      <c r="N203" s="3" t="s">
        <v>625</v>
      </c>
      <c r="P203" s="3" t="s">
        <v>64</v>
      </c>
      <c r="R203" s="3" t="s">
        <v>65</v>
      </c>
      <c r="S203" s="4">
        <v>3</v>
      </c>
      <c r="T203" s="4">
        <v>81</v>
      </c>
      <c r="U203" s="5" t="s">
        <v>2238</v>
      </c>
      <c r="V203" s="5" t="s">
        <v>2226</v>
      </c>
      <c r="W203" s="5" t="s">
        <v>67</v>
      </c>
      <c r="X203" s="5" t="s">
        <v>67</v>
      </c>
      <c r="Y203" s="4">
        <v>541</v>
      </c>
      <c r="Z203" s="4">
        <v>35</v>
      </c>
      <c r="AA203" s="4">
        <v>50</v>
      </c>
      <c r="AB203" s="4">
        <v>2</v>
      </c>
      <c r="AC203" s="4">
        <v>5</v>
      </c>
      <c r="AD203" s="4">
        <v>120</v>
      </c>
      <c r="AE203" s="4">
        <v>131</v>
      </c>
      <c r="AF203" s="4">
        <v>1</v>
      </c>
      <c r="AG203" s="4">
        <v>3</v>
      </c>
      <c r="AH203" s="4">
        <v>98</v>
      </c>
      <c r="AI203" s="4">
        <v>103</v>
      </c>
      <c r="AJ203" s="4">
        <v>13</v>
      </c>
      <c r="AK203" s="4">
        <v>19</v>
      </c>
      <c r="AL203" s="4">
        <v>54</v>
      </c>
      <c r="AM203" s="4">
        <v>56</v>
      </c>
      <c r="AN203" s="4">
        <v>0</v>
      </c>
      <c r="AO203" s="4">
        <v>0</v>
      </c>
      <c r="AP203" s="4">
        <v>26</v>
      </c>
      <c r="AQ203" s="4">
        <v>35</v>
      </c>
      <c r="AR203" s="3" t="s">
        <v>62</v>
      </c>
      <c r="AS203" s="3" t="s">
        <v>62</v>
      </c>
      <c r="AT203" s="3" t="s">
        <v>61</v>
      </c>
      <c r="AU203" s="6" t="str">
        <f t="shared" si="9"/>
        <v>HathiTrust Record</v>
      </c>
      <c r="AV203" s="6" t="str">
        <f t="shared" si="10"/>
        <v>Catalog Record</v>
      </c>
      <c r="AW203" s="6" t="str">
        <f t="shared" si="11"/>
        <v>WorldCat Record</v>
      </c>
      <c r="AX203" s="3" t="s">
        <v>2227</v>
      </c>
      <c r="AY203" s="3" t="s">
        <v>2228</v>
      </c>
      <c r="AZ203" s="3" t="s">
        <v>2229</v>
      </c>
      <c r="BA203" s="3" t="s">
        <v>2229</v>
      </c>
      <c r="BB203" s="3" t="s">
        <v>2239</v>
      </c>
      <c r="BC203" s="3" t="s">
        <v>102</v>
      </c>
      <c r="BD203" s="3" t="s">
        <v>68</v>
      </c>
      <c r="BE203" s="3" t="s">
        <v>2231</v>
      </c>
      <c r="BF203" s="3" t="s">
        <v>2239</v>
      </c>
      <c r="BG203" s="3" t="s">
        <v>2240</v>
      </c>
    </row>
    <row r="204" spans="1:59" ht="58" x14ac:dyDescent="0.35">
      <c r="A204" s="2" t="s">
        <v>89</v>
      </c>
      <c r="B204" s="2" t="s">
        <v>90</v>
      </c>
      <c r="C204" s="2" t="s">
        <v>2220</v>
      </c>
      <c r="D204" s="2" t="s">
        <v>2221</v>
      </c>
      <c r="E204" s="2" t="s">
        <v>2222</v>
      </c>
      <c r="F204" s="3" t="s">
        <v>2241</v>
      </c>
      <c r="G204" s="3" t="s">
        <v>61</v>
      </c>
      <c r="I204" s="3" t="s">
        <v>62</v>
      </c>
      <c r="J204" s="3" t="s">
        <v>62</v>
      </c>
      <c r="K204" s="3" t="s">
        <v>63</v>
      </c>
      <c r="M204" s="2" t="s">
        <v>2224</v>
      </c>
      <c r="N204" s="3" t="s">
        <v>625</v>
      </c>
      <c r="P204" s="3" t="s">
        <v>64</v>
      </c>
      <c r="R204" s="3" t="s">
        <v>65</v>
      </c>
      <c r="S204" s="4">
        <v>27</v>
      </c>
      <c r="T204" s="4">
        <v>81</v>
      </c>
      <c r="U204" s="5" t="s">
        <v>2242</v>
      </c>
      <c r="V204" s="5" t="s">
        <v>2226</v>
      </c>
      <c r="W204" s="5" t="s">
        <v>67</v>
      </c>
      <c r="X204" s="5" t="s">
        <v>67</v>
      </c>
      <c r="Y204" s="4">
        <v>541</v>
      </c>
      <c r="Z204" s="4">
        <v>35</v>
      </c>
      <c r="AA204" s="4">
        <v>50</v>
      </c>
      <c r="AB204" s="4">
        <v>2</v>
      </c>
      <c r="AC204" s="4">
        <v>5</v>
      </c>
      <c r="AD204" s="4">
        <v>120</v>
      </c>
      <c r="AE204" s="4">
        <v>131</v>
      </c>
      <c r="AF204" s="4">
        <v>1</v>
      </c>
      <c r="AG204" s="4">
        <v>3</v>
      </c>
      <c r="AH204" s="4">
        <v>98</v>
      </c>
      <c r="AI204" s="4">
        <v>103</v>
      </c>
      <c r="AJ204" s="4">
        <v>13</v>
      </c>
      <c r="AK204" s="4">
        <v>19</v>
      </c>
      <c r="AL204" s="4">
        <v>54</v>
      </c>
      <c r="AM204" s="4">
        <v>56</v>
      </c>
      <c r="AN204" s="4">
        <v>0</v>
      </c>
      <c r="AO204" s="4">
        <v>0</v>
      </c>
      <c r="AP204" s="4">
        <v>26</v>
      </c>
      <c r="AQ204" s="4">
        <v>35</v>
      </c>
      <c r="AR204" s="3" t="s">
        <v>62</v>
      </c>
      <c r="AS204" s="3" t="s">
        <v>62</v>
      </c>
      <c r="AT204" s="3" t="s">
        <v>61</v>
      </c>
      <c r="AU204" s="6" t="str">
        <f t="shared" si="9"/>
        <v>HathiTrust Record</v>
      </c>
      <c r="AV204" s="6" t="str">
        <f t="shared" si="10"/>
        <v>Catalog Record</v>
      </c>
      <c r="AW204" s="6" t="str">
        <f t="shared" si="11"/>
        <v>WorldCat Record</v>
      </c>
      <c r="AX204" s="3" t="s">
        <v>2227</v>
      </c>
      <c r="AY204" s="3" t="s">
        <v>2228</v>
      </c>
      <c r="AZ204" s="3" t="s">
        <v>2229</v>
      </c>
      <c r="BA204" s="3" t="s">
        <v>2229</v>
      </c>
      <c r="BB204" s="3" t="s">
        <v>2243</v>
      </c>
      <c r="BC204" s="3" t="s">
        <v>102</v>
      </c>
      <c r="BD204" s="3" t="s">
        <v>68</v>
      </c>
      <c r="BE204" s="3" t="s">
        <v>2231</v>
      </c>
      <c r="BF204" s="3" t="s">
        <v>2243</v>
      </c>
      <c r="BG204" s="3" t="s">
        <v>2244</v>
      </c>
    </row>
    <row r="205" spans="1:59" ht="58" x14ac:dyDescent="0.35">
      <c r="A205" s="2" t="s">
        <v>89</v>
      </c>
      <c r="B205" s="2" t="s">
        <v>90</v>
      </c>
      <c r="C205" s="2" t="s">
        <v>2220</v>
      </c>
      <c r="D205" s="2" t="s">
        <v>2221</v>
      </c>
      <c r="E205" s="2" t="s">
        <v>2222</v>
      </c>
      <c r="F205" s="3" t="s">
        <v>2214</v>
      </c>
      <c r="G205" s="3" t="s">
        <v>61</v>
      </c>
      <c r="I205" s="3" t="s">
        <v>62</v>
      </c>
      <c r="J205" s="3" t="s">
        <v>62</v>
      </c>
      <c r="K205" s="3" t="s">
        <v>63</v>
      </c>
      <c r="M205" s="2" t="s">
        <v>2224</v>
      </c>
      <c r="N205" s="3" t="s">
        <v>625</v>
      </c>
      <c r="P205" s="3" t="s">
        <v>64</v>
      </c>
      <c r="R205" s="3" t="s">
        <v>65</v>
      </c>
      <c r="S205" s="4">
        <v>30</v>
      </c>
      <c r="T205" s="4">
        <v>81</v>
      </c>
      <c r="U205" s="5" t="s">
        <v>2245</v>
      </c>
      <c r="V205" s="5" t="s">
        <v>2226</v>
      </c>
      <c r="W205" s="5" t="s">
        <v>67</v>
      </c>
      <c r="X205" s="5" t="s">
        <v>67</v>
      </c>
      <c r="Y205" s="4">
        <v>541</v>
      </c>
      <c r="Z205" s="4">
        <v>35</v>
      </c>
      <c r="AA205" s="4">
        <v>50</v>
      </c>
      <c r="AB205" s="4">
        <v>2</v>
      </c>
      <c r="AC205" s="4">
        <v>5</v>
      </c>
      <c r="AD205" s="4">
        <v>120</v>
      </c>
      <c r="AE205" s="4">
        <v>131</v>
      </c>
      <c r="AF205" s="4">
        <v>1</v>
      </c>
      <c r="AG205" s="4">
        <v>3</v>
      </c>
      <c r="AH205" s="4">
        <v>98</v>
      </c>
      <c r="AI205" s="4">
        <v>103</v>
      </c>
      <c r="AJ205" s="4">
        <v>13</v>
      </c>
      <c r="AK205" s="4">
        <v>19</v>
      </c>
      <c r="AL205" s="4">
        <v>54</v>
      </c>
      <c r="AM205" s="4">
        <v>56</v>
      </c>
      <c r="AN205" s="4">
        <v>0</v>
      </c>
      <c r="AO205" s="4">
        <v>0</v>
      </c>
      <c r="AP205" s="4">
        <v>26</v>
      </c>
      <c r="AQ205" s="4">
        <v>35</v>
      </c>
      <c r="AR205" s="3" t="s">
        <v>62</v>
      </c>
      <c r="AS205" s="3" t="s">
        <v>62</v>
      </c>
      <c r="AT205" s="3" t="s">
        <v>61</v>
      </c>
      <c r="AU205" s="6" t="str">
        <f t="shared" si="9"/>
        <v>HathiTrust Record</v>
      </c>
      <c r="AV205" s="6" t="str">
        <f t="shared" si="10"/>
        <v>Catalog Record</v>
      </c>
      <c r="AW205" s="6" t="str">
        <f t="shared" si="11"/>
        <v>WorldCat Record</v>
      </c>
      <c r="AX205" s="3" t="s">
        <v>2227</v>
      </c>
      <c r="AY205" s="3" t="s">
        <v>2228</v>
      </c>
      <c r="AZ205" s="3" t="s">
        <v>2229</v>
      </c>
      <c r="BA205" s="3" t="s">
        <v>2229</v>
      </c>
      <c r="BB205" s="3" t="s">
        <v>2246</v>
      </c>
      <c r="BC205" s="3" t="s">
        <v>102</v>
      </c>
      <c r="BD205" s="3" t="s">
        <v>68</v>
      </c>
      <c r="BE205" s="3" t="s">
        <v>2231</v>
      </c>
      <c r="BF205" s="3" t="s">
        <v>2246</v>
      </c>
      <c r="BG205" s="3" t="s">
        <v>2247</v>
      </c>
    </row>
    <row r="206" spans="1:59" ht="58" x14ac:dyDescent="0.35">
      <c r="A206" s="2" t="s">
        <v>89</v>
      </c>
      <c r="B206" s="2" t="s">
        <v>90</v>
      </c>
      <c r="C206" s="2" t="s">
        <v>2220</v>
      </c>
      <c r="D206" s="2" t="s">
        <v>2221</v>
      </c>
      <c r="E206" s="2" t="s">
        <v>2222</v>
      </c>
      <c r="F206" s="3" t="s">
        <v>2248</v>
      </c>
      <c r="G206" s="3" t="s">
        <v>61</v>
      </c>
      <c r="I206" s="3" t="s">
        <v>62</v>
      </c>
      <c r="J206" s="3" t="s">
        <v>62</v>
      </c>
      <c r="K206" s="3" t="s">
        <v>63</v>
      </c>
      <c r="M206" s="2" t="s">
        <v>2224</v>
      </c>
      <c r="N206" s="3" t="s">
        <v>625</v>
      </c>
      <c r="P206" s="3" t="s">
        <v>64</v>
      </c>
      <c r="R206" s="3" t="s">
        <v>65</v>
      </c>
      <c r="S206" s="4">
        <v>7</v>
      </c>
      <c r="T206" s="4">
        <v>81</v>
      </c>
      <c r="U206" s="5" t="s">
        <v>2226</v>
      </c>
      <c r="V206" s="5" t="s">
        <v>2226</v>
      </c>
      <c r="W206" s="5" t="s">
        <v>67</v>
      </c>
      <c r="X206" s="5" t="s">
        <v>67</v>
      </c>
      <c r="Y206" s="4">
        <v>541</v>
      </c>
      <c r="Z206" s="4">
        <v>35</v>
      </c>
      <c r="AA206" s="4">
        <v>50</v>
      </c>
      <c r="AB206" s="4">
        <v>2</v>
      </c>
      <c r="AC206" s="4">
        <v>5</v>
      </c>
      <c r="AD206" s="4">
        <v>120</v>
      </c>
      <c r="AE206" s="4">
        <v>131</v>
      </c>
      <c r="AF206" s="4">
        <v>1</v>
      </c>
      <c r="AG206" s="4">
        <v>3</v>
      </c>
      <c r="AH206" s="4">
        <v>98</v>
      </c>
      <c r="AI206" s="4">
        <v>103</v>
      </c>
      <c r="AJ206" s="4">
        <v>13</v>
      </c>
      <c r="AK206" s="4">
        <v>19</v>
      </c>
      <c r="AL206" s="4">
        <v>54</v>
      </c>
      <c r="AM206" s="4">
        <v>56</v>
      </c>
      <c r="AN206" s="4">
        <v>0</v>
      </c>
      <c r="AO206" s="4">
        <v>0</v>
      </c>
      <c r="AP206" s="4">
        <v>26</v>
      </c>
      <c r="AQ206" s="4">
        <v>35</v>
      </c>
      <c r="AR206" s="3" t="s">
        <v>62</v>
      </c>
      <c r="AS206" s="3" t="s">
        <v>62</v>
      </c>
      <c r="AT206" s="3" t="s">
        <v>61</v>
      </c>
      <c r="AU206" s="6" t="str">
        <f t="shared" si="9"/>
        <v>HathiTrust Record</v>
      </c>
      <c r="AV206" s="6" t="str">
        <f t="shared" si="10"/>
        <v>Catalog Record</v>
      </c>
      <c r="AW206" s="6" t="str">
        <f t="shared" si="11"/>
        <v>WorldCat Record</v>
      </c>
      <c r="AX206" s="3" t="s">
        <v>2227</v>
      </c>
      <c r="AY206" s="3" t="s">
        <v>2228</v>
      </c>
      <c r="AZ206" s="3" t="s">
        <v>2229</v>
      </c>
      <c r="BA206" s="3" t="s">
        <v>2229</v>
      </c>
      <c r="BB206" s="3" t="s">
        <v>2249</v>
      </c>
      <c r="BC206" s="3" t="s">
        <v>102</v>
      </c>
      <c r="BD206" s="3" t="s">
        <v>68</v>
      </c>
      <c r="BE206" s="3" t="s">
        <v>2231</v>
      </c>
      <c r="BF206" s="3" t="s">
        <v>2249</v>
      </c>
      <c r="BG206" s="3" t="s">
        <v>2250</v>
      </c>
    </row>
    <row r="207" spans="1:59" ht="58" x14ac:dyDescent="0.35">
      <c r="A207" s="2" t="s">
        <v>89</v>
      </c>
      <c r="B207" s="2" t="s">
        <v>90</v>
      </c>
      <c r="C207" s="2" t="s">
        <v>2251</v>
      </c>
      <c r="D207" s="2" t="s">
        <v>2252</v>
      </c>
      <c r="E207" s="2" t="s">
        <v>2253</v>
      </c>
      <c r="G207" s="3" t="s">
        <v>62</v>
      </c>
      <c r="I207" s="3" t="s">
        <v>62</v>
      </c>
      <c r="J207" s="3" t="s">
        <v>61</v>
      </c>
      <c r="K207" s="3" t="s">
        <v>63</v>
      </c>
      <c r="L207" s="2" t="s">
        <v>2205</v>
      </c>
      <c r="M207" s="2" t="s">
        <v>2254</v>
      </c>
      <c r="N207" s="3" t="s">
        <v>1639</v>
      </c>
      <c r="P207" s="3" t="s">
        <v>85</v>
      </c>
      <c r="Q207" s="2" t="s">
        <v>2255</v>
      </c>
      <c r="R207" s="3" t="s">
        <v>65</v>
      </c>
      <c r="S207" s="4">
        <v>14</v>
      </c>
      <c r="T207" s="4">
        <v>14</v>
      </c>
      <c r="U207" s="5" t="s">
        <v>2256</v>
      </c>
      <c r="V207" s="5" t="s">
        <v>2256</v>
      </c>
      <c r="W207" s="5" t="s">
        <v>67</v>
      </c>
      <c r="X207" s="5" t="s">
        <v>67</v>
      </c>
      <c r="Y207" s="4">
        <v>4</v>
      </c>
      <c r="Z207" s="4">
        <v>2</v>
      </c>
      <c r="AA207" s="4">
        <v>34</v>
      </c>
      <c r="AB207" s="4">
        <v>1</v>
      </c>
      <c r="AC207" s="4">
        <v>12</v>
      </c>
      <c r="AD207" s="4">
        <v>2</v>
      </c>
      <c r="AE207" s="4">
        <v>85</v>
      </c>
      <c r="AF207" s="4">
        <v>0</v>
      </c>
      <c r="AG207" s="4">
        <v>7</v>
      </c>
      <c r="AH207" s="4">
        <v>1</v>
      </c>
      <c r="AI207" s="4">
        <v>69</v>
      </c>
      <c r="AJ207" s="4">
        <v>1</v>
      </c>
      <c r="AK207" s="4">
        <v>19</v>
      </c>
      <c r="AL207" s="4">
        <v>1</v>
      </c>
      <c r="AM207" s="4">
        <v>44</v>
      </c>
      <c r="AN207" s="4">
        <v>0</v>
      </c>
      <c r="AO207" s="4">
        <v>1</v>
      </c>
      <c r="AP207" s="4">
        <v>1</v>
      </c>
      <c r="AQ207" s="4">
        <v>23</v>
      </c>
      <c r="AR207" s="3" t="s">
        <v>62</v>
      </c>
      <c r="AS207" s="3" t="s">
        <v>62</v>
      </c>
      <c r="AT207" s="3" t="s">
        <v>61</v>
      </c>
      <c r="AU207" s="6" t="str">
        <f>HYPERLINK("http://catalog.hathitrust.org/Record/001473376","HathiTrust Record")</f>
        <v>HathiTrust Record</v>
      </c>
      <c r="AV207" s="6" t="str">
        <f>HYPERLINK("http://mcgill.on.worldcat.org/oclc/214545611","Catalog Record")</f>
        <v>Catalog Record</v>
      </c>
      <c r="AW207" s="6" t="str">
        <f>HYPERLINK("http://www.worldcat.org/oclc/214545611","WorldCat Record")</f>
        <v>WorldCat Record</v>
      </c>
      <c r="AX207" s="3" t="s">
        <v>2257</v>
      </c>
      <c r="AY207" s="3" t="s">
        <v>2258</v>
      </c>
      <c r="AZ207" s="3" t="s">
        <v>2259</v>
      </c>
      <c r="BA207" s="3" t="s">
        <v>2259</v>
      </c>
      <c r="BB207" s="3" t="s">
        <v>2260</v>
      </c>
      <c r="BC207" s="3" t="s">
        <v>102</v>
      </c>
      <c r="BD207" s="3" t="s">
        <v>68</v>
      </c>
      <c r="BF207" s="3" t="s">
        <v>2260</v>
      </c>
      <c r="BG207" s="3" t="s">
        <v>2261</v>
      </c>
    </row>
    <row r="208" spans="1:59" ht="58" x14ac:dyDescent="0.35">
      <c r="A208" s="2" t="s">
        <v>89</v>
      </c>
      <c r="B208" s="2" t="s">
        <v>90</v>
      </c>
      <c r="C208" s="2" t="s">
        <v>2262</v>
      </c>
      <c r="D208" s="2" t="s">
        <v>2263</v>
      </c>
      <c r="E208" s="2" t="s">
        <v>2264</v>
      </c>
      <c r="G208" s="3" t="s">
        <v>62</v>
      </c>
      <c r="I208" s="3" t="s">
        <v>62</v>
      </c>
      <c r="J208" s="3" t="s">
        <v>62</v>
      </c>
      <c r="K208" s="3" t="s">
        <v>63</v>
      </c>
      <c r="M208" s="2" t="s">
        <v>2265</v>
      </c>
      <c r="N208" s="3" t="s">
        <v>1455</v>
      </c>
      <c r="P208" s="3" t="s">
        <v>64</v>
      </c>
      <c r="Q208" s="2" t="s">
        <v>2266</v>
      </c>
      <c r="R208" s="3" t="s">
        <v>65</v>
      </c>
      <c r="S208" s="4">
        <v>1</v>
      </c>
      <c r="T208" s="4">
        <v>1</v>
      </c>
      <c r="U208" s="5" t="s">
        <v>2267</v>
      </c>
      <c r="V208" s="5" t="s">
        <v>2267</v>
      </c>
      <c r="W208" s="5" t="s">
        <v>67</v>
      </c>
      <c r="X208" s="5" t="s">
        <v>67</v>
      </c>
      <c r="Y208" s="4">
        <v>118</v>
      </c>
      <c r="Z208" s="4">
        <v>11</v>
      </c>
      <c r="AA208" s="4">
        <v>43</v>
      </c>
      <c r="AB208" s="4">
        <v>2</v>
      </c>
      <c r="AC208" s="4">
        <v>5</v>
      </c>
      <c r="AD208" s="4">
        <v>49</v>
      </c>
      <c r="AE208" s="4">
        <v>67</v>
      </c>
      <c r="AF208" s="4">
        <v>1</v>
      </c>
      <c r="AG208" s="4">
        <v>1</v>
      </c>
      <c r="AH208" s="4">
        <v>42</v>
      </c>
      <c r="AI208" s="4">
        <v>51</v>
      </c>
      <c r="AJ208" s="4">
        <v>8</v>
      </c>
      <c r="AK208" s="4">
        <v>12</v>
      </c>
      <c r="AL208" s="4">
        <v>29</v>
      </c>
      <c r="AM208" s="4">
        <v>34</v>
      </c>
      <c r="AN208" s="4">
        <v>0</v>
      </c>
      <c r="AO208" s="4">
        <v>0</v>
      </c>
      <c r="AP208" s="4">
        <v>9</v>
      </c>
      <c r="AQ208" s="4">
        <v>18</v>
      </c>
      <c r="AR208" s="3" t="s">
        <v>62</v>
      </c>
      <c r="AS208" s="3" t="s">
        <v>62</v>
      </c>
      <c r="AT208" s="3" t="s">
        <v>62</v>
      </c>
      <c r="AV208" s="6" t="str">
        <f>HYPERLINK("http://mcgill.on.worldcat.org/oclc/893784421","Catalog Record")</f>
        <v>Catalog Record</v>
      </c>
      <c r="AW208" s="6" t="str">
        <f>HYPERLINK("http://www.worldcat.org/oclc/893784421","WorldCat Record")</f>
        <v>WorldCat Record</v>
      </c>
      <c r="AX208" s="3" t="s">
        <v>2268</v>
      </c>
      <c r="AY208" s="3" t="s">
        <v>2269</v>
      </c>
      <c r="AZ208" s="3" t="s">
        <v>2270</v>
      </c>
      <c r="BA208" s="3" t="s">
        <v>2270</v>
      </c>
      <c r="BB208" s="3" t="s">
        <v>2271</v>
      </c>
      <c r="BC208" s="3" t="s">
        <v>102</v>
      </c>
      <c r="BD208" s="3" t="s">
        <v>68</v>
      </c>
      <c r="BE208" s="3" t="s">
        <v>2272</v>
      </c>
      <c r="BF208" s="3" t="s">
        <v>2271</v>
      </c>
      <c r="BG208" s="3" t="s">
        <v>2273</v>
      </c>
    </row>
    <row r="209" spans="1:59" ht="58" x14ac:dyDescent="0.35">
      <c r="A209" s="2" t="s">
        <v>89</v>
      </c>
      <c r="B209" s="2" t="s">
        <v>90</v>
      </c>
      <c r="C209" s="2" t="s">
        <v>2274</v>
      </c>
      <c r="D209" s="2" t="s">
        <v>2275</v>
      </c>
      <c r="E209" s="2" t="s">
        <v>2276</v>
      </c>
      <c r="G209" s="3" t="s">
        <v>62</v>
      </c>
      <c r="I209" s="3" t="s">
        <v>62</v>
      </c>
      <c r="J209" s="3" t="s">
        <v>62</v>
      </c>
      <c r="K209" s="3" t="s">
        <v>63</v>
      </c>
      <c r="L209" s="2" t="s">
        <v>2277</v>
      </c>
      <c r="M209" s="2" t="s">
        <v>2278</v>
      </c>
      <c r="N209" s="3" t="s">
        <v>1639</v>
      </c>
      <c r="P209" s="3" t="s">
        <v>85</v>
      </c>
      <c r="R209" s="3" t="s">
        <v>65</v>
      </c>
      <c r="S209" s="4">
        <v>1</v>
      </c>
      <c r="T209" s="4">
        <v>1</v>
      </c>
      <c r="U209" s="5" t="s">
        <v>2256</v>
      </c>
      <c r="V209" s="5" t="s">
        <v>2256</v>
      </c>
      <c r="W209" s="5" t="s">
        <v>67</v>
      </c>
      <c r="X209" s="5" t="s">
        <v>67</v>
      </c>
      <c r="Y209" s="4">
        <v>40</v>
      </c>
      <c r="Z209" s="4">
        <v>7</v>
      </c>
      <c r="AA209" s="4">
        <v>12</v>
      </c>
      <c r="AB209" s="4">
        <v>1</v>
      </c>
      <c r="AC209" s="4">
        <v>4</v>
      </c>
      <c r="AD209" s="4">
        <v>18</v>
      </c>
      <c r="AE209" s="4">
        <v>23</v>
      </c>
      <c r="AF209" s="4">
        <v>0</v>
      </c>
      <c r="AG209" s="4">
        <v>3</v>
      </c>
      <c r="AH209" s="4">
        <v>16</v>
      </c>
      <c r="AI209" s="4">
        <v>18</v>
      </c>
      <c r="AJ209" s="4">
        <v>5</v>
      </c>
      <c r="AK209" s="4">
        <v>9</v>
      </c>
      <c r="AL209" s="4">
        <v>10</v>
      </c>
      <c r="AM209" s="4">
        <v>10</v>
      </c>
      <c r="AN209" s="4">
        <v>0</v>
      </c>
      <c r="AO209" s="4">
        <v>0</v>
      </c>
      <c r="AP209" s="4">
        <v>5</v>
      </c>
      <c r="AQ209" s="4">
        <v>9</v>
      </c>
      <c r="AR209" s="3" t="s">
        <v>62</v>
      </c>
      <c r="AS209" s="3" t="s">
        <v>62</v>
      </c>
      <c r="AT209" s="3" t="s">
        <v>61</v>
      </c>
      <c r="AU209" s="6" t="str">
        <f>HYPERLINK("http://catalog.hathitrust.org/Record/007303423","HathiTrust Record")</f>
        <v>HathiTrust Record</v>
      </c>
      <c r="AV209" s="6" t="str">
        <f>HYPERLINK("http://mcgill.on.worldcat.org/oclc/8092879","Catalog Record")</f>
        <v>Catalog Record</v>
      </c>
      <c r="AW209" s="6" t="str">
        <f>HYPERLINK("http://www.worldcat.org/oclc/8092879","WorldCat Record")</f>
        <v>WorldCat Record</v>
      </c>
      <c r="AX209" s="3" t="s">
        <v>2279</v>
      </c>
      <c r="AY209" s="3" t="s">
        <v>2280</v>
      </c>
      <c r="AZ209" s="3" t="s">
        <v>2281</v>
      </c>
      <c r="BA209" s="3" t="s">
        <v>2281</v>
      </c>
      <c r="BB209" s="3" t="s">
        <v>2282</v>
      </c>
      <c r="BC209" s="3" t="s">
        <v>102</v>
      </c>
      <c r="BD209" s="3" t="s">
        <v>68</v>
      </c>
      <c r="BF209" s="3" t="s">
        <v>2282</v>
      </c>
      <c r="BG209" s="3" t="s">
        <v>2283</v>
      </c>
    </row>
    <row r="210" spans="1:59" ht="58" x14ac:dyDescent="0.35">
      <c r="A210" s="2" t="s">
        <v>89</v>
      </c>
      <c r="B210" s="2" t="s">
        <v>90</v>
      </c>
      <c r="C210" s="2" t="s">
        <v>2284</v>
      </c>
      <c r="D210" s="2" t="s">
        <v>2285</v>
      </c>
      <c r="E210" s="2" t="s">
        <v>2286</v>
      </c>
      <c r="F210" s="3" t="s">
        <v>2217</v>
      </c>
      <c r="G210" s="3" t="s">
        <v>61</v>
      </c>
      <c r="I210" s="3" t="s">
        <v>61</v>
      </c>
      <c r="J210" s="3" t="s">
        <v>62</v>
      </c>
      <c r="K210" s="3" t="s">
        <v>63</v>
      </c>
      <c r="L210" s="2" t="s">
        <v>2287</v>
      </c>
      <c r="M210" s="2" t="s">
        <v>2288</v>
      </c>
      <c r="N210" s="3" t="s">
        <v>1291</v>
      </c>
      <c r="O210" s="2" t="s">
        <v>2289</v>
      </c>
      <c r="P210" s="3" t="s">
        <v>64</v>
      </c>
      <c r="Q210" s="2" t="s">
        <v>2290</v>
      </c>
      <c r="R210" s="3" t="s">
        <v>65</v>
      </c>
      <c r="S210" s="4">
        <v>1</v>
      </c>
      <c r="T210" s="4">
        <v>11</v>
      </c>
      <c r="U210" s="5" t="s">
        <v>2291</v>
      </c>
      <c r="V210" s="5" t="s">
        <v>2292</v>
      </c>
      <c r="W210" s="5" t="s">
        <v>67</v>
      </c>
      <c r="X210" s="5" t="s">
        <v>67</v>
      </c>
      <c r="Y210" s="4">
        <v>578</v>
      </c>
      <c r="Z210" s="4">
        <v>22</v>
      </c>
      <c r="AA210" s="4">
        <v>53</v>
      </c>
      <c r="AB210" s="4">
        <v>1</v>
      </c>
      <c r="AC210" s="4">
        <v>3</v>
      </c>
      <c r="AD210" s="4">
        <v>95</v>
      </c>
      <c r="AE210" s="4">
        <v>134</v>
      </c>
      <c r="AF210" s="4">
        <v>0</v>
      </c>
      <c r="AG210" s="4">
        <v>1</v>
      </c>
      <c r="AH210" s="4">
        <v>81</v>
      </c>
      <c r="AI210" s="4">
        <v>106</v>
      </c>
      <c r="AJ210" s="4">
        <v>5</v>
      </c>
      <c r="AK210" s="4">
        <v>15</v>
      </c>
      <c r="AL210" s="4">
        <v>50</v>
      </c>
      <c r="AM210" s="4">
        <v>59</v>
      </c>
      <c r="AN210" s="4">
        <v>0</v>
      </c>
      <c r="AO210" s="4">
        <v>0</v>
      </c>
      <c r="AP210" s="4">
        <v>14</v>
      </c>
      <c r="AQ210" s="4">
        <v>32</v>
      </c>
      <c r="AR210" s="3" t="s">
        <v>62</v>
      </c>
      <c r="AS210" s="3" t="s">
        <v>62</v>
      </c>
      <c r="AT210" s="3" t="s">
        <v>61</v>
      </c>
      <c r="AU210" s="6" t="str">
        <f>HYPERLINK("http://catalog.hathitrust.org/Record/001473382","HathiTrust Record")</f>
        <v>HathiTrust Record</v>
      </c>
      <c r="AV210" s="6" t="str">
        <f>HYPERLINK("http://mcgill.on.worldcat.org/oclc/993202","Catalog Record")</f>
        <v>Catalog Record</v>
      </c>
      <c r="AW210" s="6" t="str">
        <f>HYPERLINK("http://www.worldcat.org/oclc/993202","WorldCat Record")</f>
        <v>WorldCat Record</v>
      </c>
      <c r="AX210" s="3" t="s">
        <v>2293</v>
      </c>
      <c r="AY210" s="3" t="s">
        <v>2294</v>
      </c>
      <c r="AZ210" s="3" t="s">
        <v>2295</v>
      </c>
      <c r="BA210" s="3" t="s">
        <v>2295</v>
      </c>
      <c r="BB210" s="3" t="s">
        <v>2296</v>
      </c>
      <c r="BC210" s="3" t="s">
        <v>102</v>
      </c>
      <c r="BD210" s="3" t="s">
        <v>68</v>
      </c>
      <c r="BF210" s="3" t="s">
        <v>2296</v>
      </c>
      <c r="BG210" s="3" t="s">
        <v>2297</v>
      </c>
    </row>
    <row r="211" spans="1:59" ht="58" x14ac:dyDescent="0.35">
      <c r="A211" s="2" t="s">
        <v>89</v>
      </c>
      <c r="B211" s="2" t="s">
        <v>90</v>
      </c>
      <c r="C211" s="2" t="s">
        <v>2284</v>
      </c>
      <c r="D211" s="2" t="s">
        <v>2285</v>
      </c>
      <c r="E211" s="2" t="s">
        <v>2286</v>
      </c>
      <c r="F211" s="3" t="s">
        <v>2233</v>
      </c>
      <c r="G211" s="3" t="s">
        <v>61</v>
      </c>
      <c r="I211" s="3" t="s">
        <v>61</v>
      </c>
      <c r="J211" s="3" t="s">
        <v>62</v>
      </c>
      <c r="K211" s="3" t="s">
        <v>63</v>
      </c>
      <c r="L211" s="2" t="s">
        <v>2287</v>
      </c>
      <c r="M211" s="2" t="s">
        <v>2288</v>
      </c>
      <c r="N211" s="3" t="s">
        <v>1291</v>
      </c>
      <c r="O211" s="2" t="s">
        <v>2289</v>
      </c>
      <c r="P211" s="3" t="s">
        <v>64</v>
      </c>
      <c r="Q211" s="2" t="s">
        <v>2290</v>
      </c>
      <c r="R211" s="3" t="s">
        <v>65</v>
      </c>
      <c r="S211" s="4">
        <v>3</v>
      </c>
      <c r="T211" s="4">
        <v>11</v>
      </c>
      <c r="U211" s="5" t="s">
        <v>2298</v>
      </c>
      <c r="V211" s="5" t="s">
        <v>2292</v>
      </c>
      <c r="W211" s="5" t="s">
        <v>67</v>
      </c>
      <c r="X211" s="5" t="s">
        <v>67</v>
      </c>
      <c r="Y211" s="4">
        <v>578</v>
      </c>
      <c r="Z211" s="4">
        <v>22</v>
      </c>
      <c r="AA211" s="4">
        <v>53</v>
      </c>
      <c r="AB211" s="4">
        <v>1</v>
      </c>
      <c r="AC211" s="4">
        <v>3</v>
      </c>
      <c r="AD211" s="4">
        <v>95</v>
      </c>
      <c r="AE211" s="4">
        <v>134</v>
      </c>
      <c r="AF211" s="4">
        <v>0</v>
      </c>
      <c r="AG211" s="4">
        <v>1</v>
      </c>
      <c r="AH211" s="4">
        <v>81</v>
      </c>
      <c r="AI211" s="4">
        <v>106</v>
      </c>
      <c r="AJ211" s="4">
        <v>5</v>
      </c>
      <c r="AK211" s="4">
        <v>15</v>
      </c>
      <c r="AL211" s="4">
        <v>50</v>
      </c>
      <c r="AM211" s="4">
        <v>59</v>
      </c>
      <c r="AN211" s="4">
        <v>0</v>
      </c>
      <c r="AO211" s="4">
        <v>0</v>
      </c>
      <c r="AP211" s="4">
        <v>14</v>
      </c>
      <c r="AQ211" s="4">
        <v>32</v>
      </c>
      <c r="AR211" s="3" t="s">
        <v>62</v>
      </c>
      <c r="AS211" s="3" t="s">
        <v>62</v>
      </c>
      <c r="AT211" s="3" t="s">
        <v>61</v>
      </c>
      <c r="AU211" s="6" t="str">
        <f>HYPERLINK("http://catalog.hathitrust.org/Record/001473382","HathiTrust Record")</f>
        <v>HathiTrust Record</v>
      </c>
      <c r="AV211" s="6" t="str">
        <f>HYPERLINK("http://mcgill.on.worldcat.org/oclc/993202","Catalog Record")</f>
        <v>Catalog Record</v>
      </c>
      <c r="AW211" s="6" t="str">
        <f>HYPERLINK("http://www.worldcat.org/oclc/993202","WorldCat Record")</f>
        <v>WorldCat Record</v>
      </c>
      <c r="AX211" s="3" t="s">
        <v>2293</v>
      </c>
      <c r="AY211" s="3" t="s">
        <v>2294</v>
      </c>
      <c r="AZ211" s="3" t="s">
        <v>2295</v>
      </c>
      <c r="BA211" s="3" t="s">
        <v>2295</v>
      </c>
      <c r="BB211" s="3" t="s">
        <v>2299</v>
      </c>
      <c r="BC211" s="3" t="s">
        <v>102</v>
      </c>
      <c r="BD211" s="3" t="s">
        <v>68</v>
      </c>
      <c r="BF211" s="3" t="s">
        <v>2299</v>
      </c>
      <c r="BG211" s="3" t="s">
        <v>2300</v>
      </c>
    </row>
    <row r="212" spans="1:59" ht="58" x14ac:dyDescent="0.35">
      <c r="A212" s="2" t="s">
        <v>89</v>
      </c>
      <c r="B212" s="2" t="s">
        <v>90</v>
      </c>
      <c r="C212" s="2" t="s">
        <v>2301</v>
      </c>
      <c r="D212" s="2" t="s">
        <v>2302</v>
      </c>
      <c r="E212" s="2" t="s">
        <v>2303</v>
      </c>
      <c r="G212" s="3" t="s">
        <v>61</v>
      </c>
      <c r="I212" s="3" t="s">
        <v>62</v>
      </c>
      <c r="J212" s="3" t="s">
        <v>61</v>
      </c>
      <c r="K212" s="3" t="s">
        <v>63</v>
      </c>
      <c r="L212" s="2" t="s">
        <v>2287</v>
      </c>
      <c r="M212" s="2" t="s">
        <v>2304</v>
      </c>
      <c r="N212" s="3" t="s">
        <v>2305</v>
      </c>
      <c r="O212" s="2" t="s">
        <v>2306</v>
      </c>
      <c r="P212" s="3" t="s">
        <v>64</v>
      </c>
      <c r="R212" s="3" t="s">
        <v>65</v>
      </c>
      <c r="S212" s="4">
        <v>24</v>
      </c>
      <c r="T212" s="4">
        <v>24</v>
      </c>
      <c r="U212" s="5" t="s">
        <v>2307</v>
      </c>
      <c r="V212" s="5" t="s">
        <v>2307</v>
      </c>
      <c r="W212" s="5" t="s">
        <v>67</v>
      </c>
      <c r="X212" s="5" t="s">
        <v>67</v>
      </c>
      <c r="Y212" s="4">
        <v>213</v>
      </c>
      <c r="Z212" s="4">
        <v>4</v>
      </c>
      <c r="AA212" s="4">
        <v>50</v>
      </c>
      <c r="AB212" s="4">
        <v>1</v>
      </c>
      <c r="AC212" s="4">
        <v>4</v>
      </c>
      <c r="AD212" s="4">
        <v>40</v>
      </c>
      <c r="AE212" s="4">
        <v>110</v>
      </c>
      <c r="AF212" s="4">
        <v>0</v>
      </c>
      <c r="AG212" s="4">
        <v>3</v>
      </c>
      <c r="AH212" s="4">
        <v>39</v>
      </c>
      <c r="AI212" s="4">
        <v>82</v>
      </c>
      <c r="AJ212" s="4">
        <v>2</v>
      </c>
      <c r="AK212" s="4">
        <v>25</v>
      </c>
      <c r="AL212" s="4">
        <v>19</v>
      </c>
      <c r="AM212" s="4">
        <v>48</v>
      </c>
      <c r="AN212" s="4">
        <v>0</v>
      </c>
      <c r="AO212" s="4">
        <v>0</v>
      </c>
      <c r="AP212" s="4">
        <v>2</v>
      </c>
      <c r="AQ212" s="4">
        <v>35</v>
      </c>
      <c r="AR212" s="3" t="s">
        <v>62</v>
      </c>
      <c r="AS212" s="3" t="s">
        <v>62</v>
      </c>
      <c r="AT212" s="3" t="s">
        <v>62</v>
      </c>
      <c r="AU212" s="6" t="str">
        <f>HYPERLINK("http://catalog.hathitrust.org/Record/102474241","HathiTrust Record")</f>
        <v>HathiTrust Record</v>
      </c>
      <c r="AV212" s="6" t="str">
        <f>HYPERLINK("http://mcgill.on.worldcat.org/oclc/1392282","Catalog Record")</f>
        <v>Catalog Record</v>
      </c>
      <c r="AW212" s="6" t="str">
        <f>HYPERLINK("http://www.worldcat.org/oclc/1392282","WorldCat Record")</f>
        <v>WorldCat Record</v>
      </c>
      <c r="AX212" s="3" t="s">
        <v>2308</v>
      </c>
      <c r="AY212" s="3" t="s">
        <v>2309</v>
      </c>
      <c r="AZ212" s="3" t="s">
        <v>2310</v>
      </c>
      <c r="BA212" s="3" t="s">
        <v>2310</v>
      </c>
      <c r="BB212" s="3" t="s">
        <v>2311</v>
      </c>
      <c r="BC212" s="3" t="s">
        <v>102</v>
      </c>
      <c r="BD212" s="3" t="s">
        <v>68</v>
      </c>
      <c r="BE212" s="3" t="s">
        <v>2312</v>
      </c>
      <c r="BF212" s="3" t="s">
        <v>2311</v>
      </c>
      <c r="BG212" s="3" t="s">
        <v>2313</v>
      </c>
    </row>
    <row r="213" spans="1:59" ht="58" x14ac:dyDescent="0.35">
      <c r="A213" s="2" t="s">
        <v>89</v>
      </c>
      <c r="B213" s="2" t="s">
        <v>90</v>
      </c>
      <c r="C213" s="2" t="s">
        <v>2314</v>
      </c>
      <c r="D213" s="2" t="s">
        <v>2315</v>
      </c>
      <c r="E213" s="2" t="s">
        <v>2316</v>
      </c>
      <c r="G213" s="3" t="s">
        <v>62</v>
      </c>
      <c r="I213" s="3" t="s">
        <v>61</v>
      </c>
      <c r="J213" s="3" t="s">
        <v>61</v>
      </c>
      <c r="K213" s="3" t="s">
        <v>63</v>
      </c>
      <c r="L213" s="2" t="s">
        <v>2317</v>
      </c>
      <c r="M213" s="2" t="s">
        <v>2318</v>
      </c>
      <c r="N213" s="3" t="s">
        <v>824</v>
      </c>
      <c r="P213" s="3" t="s">
        <v>64</v>
      </c>
      <c r="Q213" s="2" t="s">
        <v>2319</v>
      </c>
      <c r="R213" s="3" t="s">
        <v>65</v>
      </c>
      <c r="S213" s="4">
        <v>2</v>
      </c>
      <c r="T213" s="4">
        <v>6</v>
      </c>
      <c r="U213" s="5" t="s">
        <v>2320</v>
      </c>
      <c r="V213" s="5" t="s">
        <v>2320</v>
      </c>
      <c r="W213" s="5" t="s">
        <v>67</v>
      </c>
      <c r="X213" s="5" t="s">
        <v>67</v>
      </c>
      <c r="Y213" s="4">
        <v>251</v>
      </c>
      <c r="Z213" s="4">
        <v>18</v>
      </c>
      <c r="AA213" s="4">
        <v>41</v>
      </c>
      <c r="AB213" s="4">
        <v>2</v>
      </c>
      <c r="AC213" s="4">
        <v>4</v>
      </c>
      <c r="AD213" s="4">
        <v>50</v>
      </c>
      <c r="AE213" s="4">
        <v>117</v>
      </c>
      <c r="AF213" s="4">
        <v>1</v>
      </c>
      <c r="AG213" s="4">
        <v>2</v>
      </c>
      <c r="AH213" s="4">
        <v>42</v>
      </c>
      <c r="AI213" s="4">
        <v>96</v>
      </c>
      <c r="AJ213" s="4">
        <v>8</v>
      </c>
      <c r="AK213" s="4">
        <v>19</v>
      </c>
      <c r="AL213" s="4">
        <v>21</v>
      </c>
      <c r="AM213" s="4">
        <v>50</v>
      </c>
      <c r="AN213" s="4">
        <v>0</v>
      </c>
      <c r="AO213" s="4">
        <v>0</v>
      </c>
      <c r="AP213" s="4">
        <v>14</v>
      </c>
      <c r="AQ213" s="4">
        <v>29</v>
      </c>
      <c r="AR213" s="3" t="s">
        <v>62</v>
      </c>
      <c r="AS213" s="3" t="s">
        <v>62</v>
      </c>
      <c r="AT213" s="3" t="s">
        <v>62</v>
      </c>
      <c r="AU213" s="6" t="str">
        <f>HYPERLINK("http://catalog.hathitrust.org/Record/001483526","HathiTrust Record")</f>
        <v>HathiTrust Record</v>
      </c>
      <c r="AV213" s="6" t="str">
        <f>HYPERLINK("http://mcgill.on.worldcat.org/oclc/964640","Catalog Record")</f>
        <v>Catalog Record</v>
      </c>
      <c r="AW213" s="6" t="str">
        <f>HYPERLINK("http://www.worldcat.org/oclc/964640","WorldCat Record")</f>
        <v>WorldCat Record</v>
      </c>
      <c r="AX213" s="3" t="s">
        <v>2321</v>
      </c>
      <c r="AY213" s="3" t="s">
        <v>2322</v>
      </c>
      <c r="AZ213" s="3" t="s">
        <v>2323</v>
      </c>
      <c r="BA213" s="3" t="s">
        <v>2323</v>
      </c>
      <c r="BB213" s="3" t="s">
        <v>2324</v>
      </c>
      <c r="BC213" s="3" t="s">
        <v>102</v>
      </c>
      <c r="BD213" s="3" t="s">
        <v>68</v>
      </c>
      <c r="BF213" s="3" t="s">
        <v>2324</v>
      </c>
      <c r="BG213" s="3" t="s">
        <v>2325</v>
      </c>
    </row>
    <row r="214" spans="1:59" ht="58" x14ac:dyDescent="0.35">
      <c r="A214" s="2" t="s">
        <v>89</v>
      </c>
      <c r="B214" s="2" t="s">
        <v>90</v>
      </c>
      <c r="C214" s="2" t="s">
        <v>2326</v>
      </c>
      <c r="D214" s="2" t="s">
        <v>2327</v>
      </c>
      <c r="E214" s="2" t="s">
        <v>2328</v>
      </c>
      <c r="F214" s="3" t="s">
        <v>2248</v>
      </c>
      <c r="G214" s="3" t="s">
        <v>61</v>
      </c>
      <c r="I214" s="3" t="s">
        <v>62</v>
      </c>
      <c r="J214" s="3" t="s">
        <v>62</v>
      </c>
      <c r="K214" s="3" t="s">
        <v>63</v>
      </c>
      <c r="L214" s="2" t="s">
        <v>2329</v>
      </c>
      <c r="M214" s="2" t="s">
        <v>2330</v>
      </c>
      <c r="N214" s="3" t="s">
        <v>880</v>
      </c>
      <c r="P214" s="3" t="s">
        <v>64</v>
      </c>
      <c r="R214" s="3" t="s">
        <v>65</v>
      </c>
      <c r="S214" s="4">
        <v>0</v>
      </c>
      <c r="T214" s="4">
        <v>0</v>
      </c>
      <c r="W214" s="5" t="s">
        <v>67</v>
      </c>
      <c r="X214" s="5" t="s">
        <v>67</v>
      </c>
      <c r="Y214" s="4">
        <v>278</v>
      </c>
      <c r="Z214" s="4">
        <v>22</v>
      </c>
      <c r="AA214" s="4">
        <v>28</v>
      </c>
      <c r="AB214" s="4">
        <v>2</v>
      </c>
      <c r="AC214" s="4">
        <v>4</v>
      </c>
      <c r="AD214" s="4">
        <v>63</v>
      </c>
      <c r="AE214" s="4">
        <v>70</v>
      </c>
      <c r="AF214" s="4">
        <v>1</v>
      </c>
      <c r="AG214" s="4">
        <v>1</v>
      </c>
      <c r="AH214" s="4">
        <v>56</v>
      </c>
      <c r="AI214" s="4">
        <v>61</v>
      </c>
      <c r="AJ214" s="4">
        <v>10</v>
      </c>
      <c r="AK214" s="4">
        <v>12</v>
      </c>
      <c r="AL214" s="4">
        <v>31</v>
      </c>
      <c r="AM214" s="4">
        <v>34</v>
      </c>
      <c r="AN214" s="4">
        <v>0</v>
      </c>
      <c r="AO214" s="4">
        <v>0</v>
      </c>
      <c r="AP214" s="4">
        <v>14</v>
      </c>
      <c r="AQ214" s="4">
        <v>17</v>
      </c>
      <c r="AR214" s="3" t="s">
        <v>62</v>
      </c>
      <c r="AS214" s="3" t="s">
        <v>62</v>
      </c>
      <c r="AT214" s="3" t="s">
        <v>62</v>
      </c>
      <c r="AV214" s="6" t="str">
        <f>HYPERLINK("http://mcgill.on.worldcat.org/oclc/627685093","Catalog Record")</f>
        <v>Catalog Record</v>
      </c>
      <c r="AW214" s="6" t="str">
        <f>HYPERLINK("http://www.worldcat.org/oclc/627685093","WorldCat Record")</f>
        <v>WorldCat Record</v>
      </c>
      <c r="AX214" s="3" t="s">
        <v>2331</v>
      </c>
      <c r="AY214" s="3" t="s">
        <v>2332</v>
      </c>
      <c r="AZ214" s="3" t="s">
        <v>2333</v>
      </c>
      <c r="BA214" s="3" t="s">
        <v>2333</v>
      </c>
      <c r="BB214" s="3" t="s">
        <v>2334</v>
      </c>
      <c r="BC214" s="3" t="s">
        <v>102</v>
      </c>
      <c r="BD214" s="3" t="s">
        <v>68</v>
      </c>
      <c r="BE214" s="3" t="s">
        <v>2335</v>
      </c>
      <c r="BF214" s="3" t="s">
        <v>2334</v>
      </c>
      <c r="BG214" s="3" t="s">
        <v>2336</v>
      </c>
    </row>
    <row r="215" spans="1:59" ht="58" x14ac:dyDescent="0.35">
      <c r="A215" s="2" t="s">
        <v>89</v>
      </c>
      <c r="B215" s="2" t="s">
        <v>90</v>
      </c>
      <c r="C215" s="2" t="s">
        <v>2337</v>
      </c>
      <c r="D215" s="2" t="s">
        <v>2338</v>
      </c>
      <c r="E215" s="2" t="s">
        <v>2339</v>
      </c>
      <c r="G215" s="3" t="s">
        <v>62</v>
      </c>
      <c r="I215" s="3" t="s">
        <v>62</v>
      </c>
      <c r="J215" s="3" t="s">
        <v>62</v>
      </c>
      <c r="K215" s="3" t="s">
        <v>63</v>
      </c>
      <c r="L215" s="2" t="s">
        <v>2340</v>
      </c>
      <c r="M215" s="2" t="s">
        <v>2341</v>
      </c>
      <c r="N215" s="3" t="s">
        <v>640</v>
      </c>
      <c r="P215" s="3" t="s">
        <v>64</v>
      </c>
      <c r="R215" s="3" t="s">
        <v>65</v>
      </c>
      <c r="S215" s="4">
        <v>2</v>
      </c>
      <c r="T215" s="4">
        <v>2</v>
      </c>
      <c r="U215" s="5" t="s">
        <v>2342</v>
      </c>
      <c r="V215" s="5" t="s">
        <v>2342</v>
      </c>
      <c r="W215" s="5" t="s">
        <v>67</v>
      </c>
      <c r="X215" s="5" t="s">
        <v>67</v>
      </c>
      <c r="Y215" s="4">
        <v>513</v>
      </c>
      <c r="Z215" s="4">
        <v>25</v>
      </c>
      <c r="AA215" s="4">
        <v>55</v>
      </c>
      <c r="AB215" s="4">
        <v>1</v>
      </c>
      <c r="AC215" s="4">
        <v>8</v>
      </c>
      <c r="AD215" s="4">
        <v>56</v>
      </c>
      <c r="AE215" s="4">
        <v>99</v>
      </c>
      <c r="AF215" s="4">
        <v>0</v>
      </c>
      <c r="AG215" s="4">
        <v>2</v>
      </c>
      <c r="AH215" s="4">
        <v>46</v>
      </c>
      <c r="AI215" s="4">
        <v>75</v>
      </c>
      <c r="AJ215" s="4">
        <v>8</v>
      </c>
      <c r="AK215" s="4">
        <v>14</v>
      </c>
      <c r="AL215" s="4">
        <v>22</v>
      </c>
      <c r="AM215" s="4">
        <v>37</v>
      </c>
      <c r="AN215" s="4">
        <v>0</v>
      </c>
      <c r="AO215" s="4">
        <v>0</v>
      </c>
      <c r="AP215" s="4">
        <v>14</v>
      </c>
      <c r="AQ215" s="4">
        <v>30</v>
      </c>
      <c r="AR215" s="3" t="s">
        <v>62</v>
      </c>
      <c r="AS215" s="3" t="s">
        <v>62</v>
      </c>
      <c r="AT215" s="3" t="s">
        <v>62</v>
      </c>
      <c r="AV215" s="6" t="str">
        <f>HYPERLINK("http://mcgill.on.worldcat.org/oclc/52937852","Catalog Record")</f>
        <v>Catalog Record</v>
      </c>
      <c r="AW215" s="6" t="str">
        <f>HYPERLINK("http://www.worldcat.org/oclc/52937852","WorldCat Record")</f>
        <v>WorldCat Record</v>
      </c>
      <c r="AX215" s="3" t="s">
        <v>2343</v>
      </c>
      <c r="AY215" s="3" t="s">
        <v>2344</v>
      </c>
      <c r="AZ215" s="3" t="s">
        <v>2345</v>
      </c>
      <c r="BA215" s="3" t="s">
        <v>2345</v>
      </c>
      <c r="BB215" s="3" t="s">
        <v>2346</v>
      </c>
      <c r="BC215" s="3" t="s">
        <v>102</v>
      </c>
      <c r="BD215" s="3" t="s">
        <v>68</v>
      </c>
      <c r="BE215" s="3" t="s">
        <v>2347</v>
      </c>
      <c r="BF215" s="3" t="s">
        <v>2346</v>
      </c>
      <c r="BG215" s="3" t="s">
        <v>2348</v>
      </c>
    </row>
    <row r="216" spans="1:59" ht="58" x14ac:dyDescent="0.35">
      <c r="A216" s="2" t="s">
        <v>89</v>
      </c>
      <c r="B216" s="2" t="s">
        <v>90</v>
      </c>
      <c r="C216" s="2" t="s">
        <v>2349</v>
      </c>
      <c r="D216" s="2" t="s">
        <v>2350</v>
      </c>
      <c r="E216" s="2" t="s">
        <v>2351</v>
      </c>
      <c r="G216" s="3" t="s">
        <v>62</v>
      </c>
      <c r="I216" s="3" t="s">
        <v>62</v>
      </c>
      <c r="J216" s="3" t="s">
        <v>61</v>
      </c>
      <c r="K216" s="3" t="s">
        <v>63</v>
      </c>
      <c r="L216" s="2" t="s">
        <v>2352</v>
      </c>
      <c r="M216" s="2" t="s">
        <v>2353</v>
      </c>
      <c r="N216" s="3" t="s">
        <v>640</v>
      </c>
      <c r="P216" s="3" t="s">
        <v>64</v>
      </c>
      <c r="R216" s="3" t="s">
        <v>65</v>
      </c>
      <c r="S216" s="4">
        <v>23</v>
      </c>
      <c r="T216" s="4">
        <v>23</v>
      </c>
      <c r="U216" s="5" t="s">
        <v>895</v>
      </c>
      <c r="V216" s="5" t="s">
        <v>895</v>
      </c>
      <c r="W216" s="5" t="s">
        <v>67</v>
      </c>
      <c r="X216" s="5" t="s">
        <v>67</v>
      </c>
      <c r="Y216" s="4">
        <v>295</v>
      </c>
      <c r="Z216" s="4">
        <v>39</v>
      </c>
      <c r="AA216" s="4">
        <v>115</v>
      </c>
      <c r="AB216" s="4">
        <v>2</v>
      </c>
      <c r="AC216" s="4">
        <v>16</v>
      </c>
      <c r="AD216" s="4">
        <v>75</v>
      </c>
      <c r="AE216" s="4">
        <v>149</v>
      </c>
      <c r="AF216" s="4">
        <v>0</v>
      </c>
      <c r="AG216" s="4">
        <v>8</v>
      </c>
      <c r="AH216" s="4">
        <v>58</v>
      </c>
      <c r="AI216" s="4">
        <v>103</v>
      </c>
      <c r="AJ216" s="4">
        <v>12</v>
      </c>
      <c r="AK216" s="4">
        <v>28</v>
      </c>
      <c r="AL216" s="4">
        <v>37</v>
      </c>
      <c r="AM216" s="4">
        <v>54</v>
      </c>
      <c r="AN216" s="4">
        <v>0</v>
      </c>
      <c r="AO216" s="4">
        <v>0</v>
      </c>
      <c r="AP216" s="4">
        <v>21</v>
      </c>
      <c r="AQ216" s="4">
        <v>56</v>
      </c>
      <c r="AR216" s="3" t="s">
        <v>61</v>
      </c>
      <c r="AS216" s="3" t="s">
        <v>62</v>
      </c>
      <c r="AT216" s="3" t="s">
        <v>62</v>
      </c>
      <c r="AV216" s="6" t="str">
        <f>HYPERLINK("http://mcgill.on.worldcat.org/oclc/54692686","Catalog Record")</f>
        <v>Catalog Record</v>
      </c>
      <c r="AW216" s="6" t="str">
        <f>HYPERLINK("http://www.worldcat.org/oclc/54692686","WorldCat Record")</f>
        <v>WorldCat Record</v>
      </c>
      <c r="AX216" s="3" t="s">
        <v>2354</v>
      </c>
      <c r="AY216" s="3" t="s">
        <v>2355</v>
      </c>
      <c r="AZ216" s="3" t="s">
        <v>2356</v>
      </c>
      <c r="BA216" s="3" t="s">
        <v>2356</v>
      </c>
      <c r="BB216" s="3" t="s">
        <v>2357</v>
      </c>
      <c r="BC216" s="3" t="s">
        <v>102</v>
      </c>
      <c r="BD216" s="3" t="s">
        <v>68</v>
      </c>
      <c r="BE216" s="3" t="s">
        <v>2358</v>
      </c>
      <c r="BF216" s="3" t="s">
        <v>2357</v>
      </c>
      <c r="BG216" s="3" t="s">
        <v>2359</v>
      </c>
    </row>
    <row r="217" spans="1:59" ht="58" x14ac:dyDescent="0.35">
      <c r="A217" s="2" t="s">
        <v>89</v>
      </c>
      <c r="B217" s="2" t="s">
        <v>90</v>
      </c>
      <c r="C217" s="2" t="s">
        <v>2360</v>
      </c>
      <c r="D217" s="2" t="s">
        <v>2361</v>
      </c>
      <c r="E217" s="2" t="s">
        <v>2362</v>
      </c>
      <c r="G217" s="3" t="s">
        <v>62</v>
      </c>
      <c r="I217" s="3" t="s">
        <v>61</v>
      </c>
      <c r="J217" s="3" t="s">
        <v>62</v>
      </c>
      <c r="K217" s="3" t="s">
        <v>63</v>
      </c>
      <c r="L217" s="2" t="s">
        <v>2363</v>
      </c>
      <c r="M217" s="2" t="s">
        <v>2364</v>
      </c>
      <c r="N217" s="3" t="s">
        <v>524</v>
      </c>
      <c r="P217" s="3" t="s">
        <v>64</v>
      </c>
      <c r="R217" s="3" t="s">
        <v>65</v>
      </c>
      <c r="S217" s="4">
        <v>2</v>
      </c>
      <c r="T217" s="4">
        <v>23</v>
      </c>
      <c r="U217" s="5" t="s">
        <v>117</v>
      </c>
      <c r="V217" s="5" t="s">
        <v>117</v>
      </c>
      <c r="W217" s="5" t="s">
        <v>67</v>
      </c>
      <c r="X217" s="5" t="s">
        <v>67</v>
      </c>
      <c r="Y217" s="4">
        <v>265</v>
      </c>
      <c r="Z217" s="4">
        <v>11</v>
      </c>
      <c r="AA217" s="4">
        <v>22</v>
      </c>
      <c r="AB217" s="4">
        <v>1</v>
      </c>
      <c r="AC217" s="4">
        <v>1</v>
      </c>
      <c r="AD217" s="4">
        <v>75</v>
      </c>
      <c r="AE217" s="4">
        <v>86</v>
      </c>
      <c r="AF217" s="4">
        <v>0</v>
      </c>
      <c r="AG217" s="4">
        <v>0</v>
      </c>
      <c r="AH217" s="4">
        <v>64</v>
      </c>
      <c r="AI217" s="4">
        <v>70</v>
      </c>
      <c r="AJ217" s="4">
        <v>4</v>
      </c>
      <c r="AK217" s="4">
        <v>9</v>
      </c>
      <c r="AL217" s="4">
        <v>43</v>
      </c>
      <c r="AM217" s="4">
        <v>48</v>
      </c>
      <c r="AN217" s="4">
        <v>0</v>
      </c>
      <c r="AO217" s="4">
        <v>0</v>
      </c>
      <c r="AP217" s="4">
        <v>9</v>
      </c>
      <c r="AQ217" s="4">
        <v>15</v>
      </c>
      <c r="AR217" s="3" t="s">
        <v>62</v>
      </c>
      <c r="AS217" s="3" t="s">
        <v>62</v>
      </c>
      <c r="AT217" s="3" t="s">
        <v>62</v>
      </c>
      <c r="AV217" s="6" t="str">
        <f>HYPERLINK("http://mcgill.on.worldcat.org/oclc/30031758","Catalog Record")</f>
        <v>Catalog Record</v>
      </c>
      <c r="AW217" s="6" t="str">
        <f>HYPERLINK("http://www.worldcat.org/oclc/30031758","WorldCat Record")</f>
        <v>WorldCat Record</v>
      </c>
      <c r="AX217" s="3" t="s">
        <v>2365</v>
      </c>
      <c r="AY217" s="3" t="s">
        <v>2366</v>
      </c>
      <c r="AZ217" s="3" t="s">
        <v>2367</v>
      </c>
      <c r="BA217" s="3" t="s">
        <v>2367</v>
      </c>
      <c r="BB217" s="3" t="s">
        <v>2368</v>
      </c>
      <c r="BC217" s="3" t="s">
        <v>102</v>
      </c>
      <c r="BD217" s="3" t="s">
        <v>68</v>
      </c>
      <c r="BE217" s="3" t="s">
        <v>2369</v>
      </c>
      <c r="BF217" s="3" t="s">
        <v>2368</v>
      </c>
      <c r="BG217" s="3" t="s">
        <v>2370</v>
      </c>
    </row>
    <row r="218" spans="1:59" ht="58" x14ac:dyDescent="0.35">
      <c r="A218" s="2" t="s">
        <v>89</v>
      </c>
      <c r="B218" s="2" t="s">
        <v>90</v>
      </c>
      <c r="C218" s="2" t="s">
        <v>2371</v>
      </c>
      <c r="D218" s="2" t="s">
        <v>2372</v>
      </c>
      <c r="E218" s="2" t="s">
        <v>2373</v>
      </c>
      <c r="G218" s="3" t="s">
        <v>62</v>
      </c>
      <c r="I218" s="3" t="s">
        <v>61</v>
      </c>
      <c r="J218" s="3" t="s">
        <v>62</v>
      </c>
      <c r="K218" s="3" t="s">
        <v>63</v>
      </c>
      <c r="M218" s="2" t="s">
        <v>2374</v>
      </c>
      <c r="N218" s="3" t="s">
        <v>285</v>
      </c>
      <c r="P218" s="3" t="s">
        <v>64</v>
      </c>
      <c r="R218" s="3" t="s">
        <v>65</v>
      </c>
      <c r="S218" s="4">
        <v>21</v>
      </c>
      <c r="T218" s="4">
        <v>21</v>
      </c>
      <c r="U218" s="5" t="s">
        <v>2375</v>
      </c>
      <c r="V218" s="5" t="s">
        <v>2375</v>
      </c>
      <c r="W218" s="5" t="s">
        <v>67</v>
      </c>
      <c r="X218" s="5" t="s">
        <v>67</v>
      </c>
      <c r="Y218" s="4">
        <v>555</v>
      </c>
      <c r="Z218" s="4">
        <v>32</v>
      </c>
      <c r="AA218" s="4">
        <v>38</v>
      </c>
      <c r="AB218" s="4">
        <v>2</v>
      </c>
      <c r="AC218" s="4">
        <v>4</v>
      </c>
      <c r="AD218" s="4">
        <v>124</v>
      </c>
      <c r="AE218" s="4">
        <v>132</v>
      </c>
      <c r="AF218" s="4">
        <v>1</v>
      </c>
      <c r="AG218" s="4">
        <v>3</v>
      </c>
      <c r="AH218" s="4">
        <v>104</v>
      </c>
      <c r="AI218" s="4">
        <v>108</v>
      </c>
      <c r="AJ218" s="4">
        <v>16</v>
      </c>
      <c r="AK218" s="4">
        <v>22</v>
      </c>
      <c r="AL218" s="4">
        <v>56</v>
      </c>
      <c r="AM218" s="4">
        <v>57</v>
      </c>
      <c r="AN218" s="4">
        <v>0</v>
      </c>
      <c r="AO218" s="4">
        <v>0</v>
      </c>
      <c r="AP218" s="4">
        <v>25</v>
      </c>
      <c r="AQ218" s="4">
        <v>30</v>
      </c>
      <c r="AR218" s="3" t="s">
        <v>62</v>
      </c>
      <c r="AS218" s="3" t="s">
        <v>62</v>
      </c>
      <c r="AT218" s="3" t="s">
        <v>61</v>
      </c>
      <c r="AU218" s="6" t="str">
        <f>HYPERLINK("http://catalog.hathitrust.org/Record/000737521","HathiTrust Record")</f>
        <v>HathiTrust Record</v>
      </c>
      <c r="AV218" s="6" t="str">
        <f>HYPERLINK("http://mcgill.on.worldcat.org/oclc/6197049","Catalog Record")</f>
        <v>Catalog Record</v>
      </c>
      <c r="AW218" s="6" t="str">
        <f>HYPERLINK("http://www.worldcat.org/oclc/6197049","WorldCat Record")</f>
        <v>WorldCat Record</v>
      </c>
      <c r="AX218" s="3" t="s">
        <v>2376</v>
      </c>
      <c r="AY218" s="3" t="s">
        <v>2377</v>
      </c>
      <c r="AZ218" s="3" t="s">
        <v>2378</v>
      </c>
      <c r="BA218" s="3" t="s">
        <v>2378</v>
      </c>
      <c r="BB218" s="3" t="s">
        <v>2379</v>
      </c>
      <c r="BC218" s="3" t="s">
        <v>102</v>
      </c>
      <c r="BD218" s="3" t="s">
        <v>68</v>
      </c>
      <c r="BE218" s="3" t="s">
        <v>2380</v>
      </c>
      <c r="BF218" s="3" t="s">
        <v>2379</v>
      </c>
      <c r="BG218" s="3" t="s">
        <v>2381</v>
      </c>
    </row>
    <row r="219" spans="1:59" ht="58" x14ac:dyDescent="0.35">
      <c r="A219" s="2" t="s">
        <v>89</v>
      </c>
      <c r="B219" s="2" t="s">
        <v>90</v>
      </c>
      <c r="C219" s="2" t="s">
        <v>2382</v>
      </c>
      <c r="D219" s="2" t="s">
        <v>2383</v>
      </c>
      <c r="E219" s="2" t="s">
        <v>2384</v>
      </c>
      <c r="G219" s="3" t="s">
        <v>62</v>
      </c>
      <c r="I219" s="3" t="s">
        <v>61</v>
      </c>
      <c r="J219" s="3" t="s">
        <v>62</v>
      </c>
      <c r="K219" s="3" t="s">
        <v>63</v>
      </c>
      <c r="L219" s="2" t="s">
        <v>2385</v>
      </c>
      <c r="M219" s="2" t="s">
        <v>2386</v>
      </c>
      <c r="N219" s="3" t="s">
        <v>1064</v>
      </c>
      <c r="P219" s="3" t="s">
        <v>64</v>
      </c>
      <c r="R219" s="3" t="s">
        <v>65</v>
      </c>
      <c r="S219" s="4">
        <v>8</v>
      </c>
      <c r="T219" s="4">
        <v>11</v>
      </c>
      <c r="U219" s="5" t="s">
        <v>2387</v>
      </c>
      <c r="V219" s="5" t="s">
        <v>2388</v>
      </c>
      <c r="W219" s="5" t="s">
        <v>67</v>
      </c>
      <c r="X219" s="5" t="s">
        <v>67</v>
      </c>
      <c r="Y219" s="4">
        <v>545</v>
      </c>
      <c r="Z219" s="4">
        <v>27</v>
      </c>
      <c r="AA219" s="4">
        <v>34</v>
      </c>
      <c r="AB219" s="4">
        <v>1</v>
      </c>
      <c r="AC219" s="4">
        <v>3</v>
      </c>
      <c r="AD219" s="4">
        <v>93</v>
      </c>
      <c r="AE219" s="4">
        <v>115</v>
      </c>
      <c r="AF219" s="4">
        <v>0</v>
      </c>
      <c r="AG219" s="4">
        <v>2</v>
      </c>
      <c r="AH219" s="4">
        <v>80</v>
      </c>
      <c r="AI219" s="4">
        <v>97</v>
      </c>
      <c r="AJ219" s="4">
        <v>17</v>
      </c>
      <c r="AK219" s="4">
        <v>21</v>
      </c>
      <c r="AL219" s="4">
        <v>42</v>
      </c>
      <c r="AM219" s="4">
        <v>48</v>
      </c>
      <c r="AN219" s="4">
        <v>0</v>
      </c>
      <c r="AO219" s="4">
        <v>0</v>
      </c>
      <c r="AP219" s="4">
        <v>23</v>
      </c>
      <c r="AQ219" s="4">
        <v>29</v>
      </c>
      <c r="AR219" s="3" t="s">
        <v>62</v>
      </c>
      <c r="AS219" s="3" t="s">
        <v>62</v>
      </c>
      <c r="AT219" s="3" t="s">
        <v>61</v>
      </c>
      <c r="AU219" s="6" t="str">
        <f>HYPERLINK("http://catalog.hathitrust.org/Record/004447574","HathiTrust Record")</f>
        <v>HathiTrust Record</v>
      </c>
      <c r="AV219" s="6" t="str">
        <f>HYPERLINK("http://mcgill.on.worldcat.org/oclc/136650","Catalog Record")</f>
        <v>Catalog Record</v>
      </c>
      <c r="AW219" s="6" t="str">
        <f>HYPERLINK("http://www.worldcat.org/oclc/136650","WorldCat Record")</f>
        <v>WorldCat Record</v>
      </c>
      <c r="AX219" s="3" t="s">
        <v>2389</v>
      </c>
      <c r="AY219" s="3" t="s">
        <v>2390</v>
      </c>
      <c r="AZ219" s="3" t="s">
        <v>2391</v>
      </c>
      <c r="BA219" s="3" t="s">
        <v>2391</v>
      </c>
      <c r="BB219" s="3" t="s">
        <v>2392</v>
      </c>
      <c r="BC219" s="3" t="s">
        <v>102</v>
      </c>
      <c r="BD219" s="3" t="s">
        <v>68</v>
      </c>
      <c r="BE219" s="3" t="s">
        <v>2393</v>
      </c>
      <c r="BF219" s="3" t="s">
        <v>2392</v>
      </c>
      <c r="BG219" s="3" t="s">
        <v>2394</v>
      </c>
    </row>
    <row r="220" spans="1:59" ht="58" x14ac:dyDescent="0.35">
      <c r="A220" s="2" t="s">
        <v>89</v>
      </c>
      <c r="B220" s="2" t="s">
        <v>90</v>
      </c>
      <c r="C220" s="2" t="s">
        <v>2395</v>
      </c>
      <c r="D220" s="2" t="s">
        <v>2396</v>
      </c>
      <c r="E220" s="2" t="s">
        <v>2397</v>
      </c>
      <c r="G220" s="3" t="s">
        <v>62</v>
      </c>
      <c r="I220" s="3" t="s">
        <v>62</v>
      </c>
      <c r="J220" s="3" t="s">
        <v>62</v>
      </c>
      <c r="K220" s="3" t="s">
        <v>63</v>
      </c>
      <c r="L220" s="2" t="s">
        <v>2398</v>
      </c>
      <c r="M220" s="2" t="s">
        <v>2399</v>
      </c>
      <c r="N220" s="3" t="s">
        <v>438</v>
      </c>
      <c r="P220" s="3" t="s">
        <v>64</v>
      </c>
      <c r="Q220" s="2" t="s">
        <v>2400</v>
      </c>
      <c r="R220" s="3" t="s">
        <v>65</v>
      </c>
      <c r="S220" s="4">
        <v>17</v>
      </c>
      <c r="T220" s="4">
        <v>17</v>
      </c>
      <c r="U220" s="5" t="s">
        <v>2401</v>
      </c>
      <c r="V220" s="5" t="s">
        <v>2401</v>
      </c>
      <c r="W220" s="5" t="s">
        <v>67</v>
      </c>
      <c r="X220" s="5" t="s">
        <v>67</v>
      </c>
      <c r="Y220" s="4">
        <v>128</v>
      </c>
      <c r="Z220" s="4">
        <v>11</v>
      </c>
      <c r="AA220" s="4">
        <v>13</v>
      </c>
      <c r="AB220" s="4">
        <v>1</v>
      </c>
      <c r="AC220" s="4">
        <v>2</v>
      </c>
      <c r="AD220" s="4">
        <v>57</v>
      </c>
      <c r="AE220" s="4">
        <v>63</v>
      </c>
      <c r="AF220" s="4">
        <v>0</v>
      </c>
      <c r="AG220" s="4">
        <v>0</v>
      </c>
      <c r="AH220" s="4">
        <v>51</v>
      </c>
      <c r="AI220" s="4">
        <v>56</v>
      </c>
      <c r="AJ220" s="4">
        <v>7</v>
      </c>
      <c r="AK220" s="4">
        <v>7</v>
      </c>
      <c r="AL220" s="4">
        <v>33</v>
      </c>
      <c r="AM220" s="4">
        <v>36</v>
      </c>
      <c r="AN220" s="4">
        <v>0</v>
      </c>
      <c r="AO220" s="4">
        <v>0</v>
      </c>
      <c r="AP220" s="4">
        <v>9</v>
      </c>
      <c r="AQ220" s="4">
        <v>10</v>
      </c>
      <c r="AR220" s="3" t="s">
        <v>62</v>
      </c>
      <c r="AS220" s="3" t="s">
        <v>62</v>
      </c>
      <c r="AT220" s="3" t="s">
        <v>62</v>
      </c>
      <c r="AV220" s="6" t="str">
        <f>HYPERLINK("http://mcgill.on.worldcat.org/oclc/21676457","Catalog Record")</f>
        <v>Catalog Record</v>
      </c>
      <c r="AW220" s="6" t="str">
        <f>HYPERLINK("http://www.worldcat.org/oclc/21676457","WorldCat Record")</f>
        <v>WorldCat Record</v>
      </c>
      <c r="AX220" s="3" t="s">
        <v>2402</v>
      </c>
      <c r="AY220" s="3" t="s">
        <v>2403</v>
      </c>
      <c r="AZ220" s="3" t="s">
        <v>2404</v>
      </c>
      <c r="BA220" s="3" t="s">
        <v>2404</v>
      </c>
      <c r="BB220" s="3" t="s">
        <v>2405</v>
      </c>
      <c r="BC220" s="3" t="s">
        <v>102</v>
      </c>
      <c r="BD220" s="3" t="s">
        <v>68</v>
      </c>
      <c r="BE220" s="3" t="s">
        <v>2406</v>
      </c>
      <c r="BF220" s="3" t="s">
        <v>2405</v>
      </c>
      <c r="BG220" s="3" t="s">
        <v>2407</v>
      </c>
    </row>
    <row r="221" spans="1:59" ht="58" x14ac:dyDescent="0.35">
      <c r="A221" s="2" t="s">
        <v>89</v>
      </c>
      <c r="B221" s="2" t="s">
        <v>90</v>
      </c>
      <c r="C221" s="2" t="s">
        <v>2408</v>
      </c>
      <c r="D221" s="2" t="s">
        <v>2409</v>
      </c>
      <c r="E221" s="2" t="s">
        <v>2410</v>
      </c>
      <c r="G221" s="3" t="s">
        <v>62</v>
      </c>
      <c r="I221" s="3" t="s">
        <v>62</v>
      </c>
      <c r="J221" s="3" t="s">
        <v>61</v>
      </c>
      <c r="K221" s="3" t="s">
        <v>63</v>
      </c>
      <c r="L221" s="2" t="s">
        <v>2411</v>
      </c>
      <c r="M221" s="2" t="s">
        <v>2412</v>
      </c>
      <c r="N221" s="3" t="s">
        <v>1064</v>
      </c>
      <c r="P221" s="3" t="s">
        <v>64</v>
      </c>
      <c r="Q221" s="2" t="s">
        <v>2413</v>
      </c>
      <c r="R221" s="3" t="s">
        <v>65</v>
      </c>
      <c r="S221" s="4">
        <v>22</v>
      </c>
      <c r="T221" s="4">
        <v>22</v>
      </c>
      <c r="U221" s="5" t="s">
        <v>2050</v>
      </c>
      <c r="V221" s="5" t="s">
        <v>2050</v>
      </c>
      <c r="W221" s="5" t="s">
        <v>67</v>
      </c>
      <c r="X221" s="5" t="s">
        <v>67</v>
      </c>
      <c r="Y221" s="4">
        <v>566</v>
      </c>
      <c r="Z221" s="4">
        <v>40</v>
      </c>
      <c r="AA221" s="4">
        <v>62</v>
      </c>
      <c r="AB221" s="4">
        <v>1</v>
      </c>
      <c r="AC221" s="4">
        <v>6</v>
      </c>
      <c r="AD221" s="4">
        <v>120</v>
      </c>
      <c r="AE221" s="4">
        <v>145</v>
      </c>
      <c r="AF221" s="4">
        <v>0</v>
      </c>
      <c r="AG221" s="4">
        <v>4</v>
      </c>
      <c r="AH221" s="4">
        <v>100</v>
      </c>
      <c r="AI221" s="4">
        <v>110</v>
      </c>
      <c r="AJ221" s="4">
        <v>19</v>
      </c>
      <c r="AK221" s="4">
        <v>26</v>
      </c>
      <c r="AL221" s="4">
        <v>55</v>
      </c>
      <c r="AM221" s="4">
        <v>60</v>
      </c>
      <c r="AN221" s="4">
        <v>0</v>
      </c>
      <c r="AO221" s="4">
        <v>0</v>
      </c>
      <c r="AP221" s="4">
        <v>27</v>
      </c>
      <c r="AQ221" s="4">
        <v>41</v>
      </c>
      <c r="AR221" s="3" t="s">
        <v>62</v>
      </c>
      <c r="AS221" s="3" t="s">
        <v>62</v>
      </c>
      <c r="AT221" s="3" t="s">
        <v>61</v>
      </c>
      <c r="AU221" s="6" t="str">
        <f>HYPERLINK("http://catalog.hathitrust.org/Record/001473427","HathiTrust Record")</f>
        <v>HathiTrust Record</v>
      </c>
      <c r="AV221" s="6" t="str">
        <f>HYPERLINK("http://mcgill.on.worldcat.org/oclc/159083","Catalog Record")</f>
        <v>Catalog Record</v>
      </c>
      <c r="AW221" s="6" t="str">
        <f>HYPERLINK("http://www.worldcat.org/oclc/159083","WorldCat Record")</f>
        <v>WorldCat Record</v>
      </c>
      <c r="AX221" s="3" t="s">
        <v>2414</v>
      </c>
      <c r="AY221" s="3" t="s">
        <v>2415</v>
      </c>
      <c r="AZ221" s="3" t="s">
        <v>2416</v>
      </c>
      <c r="BA221" s="3" t="s">
        <v>2416</v>
      </c>
      <c r="BB221" s="3" t="s">
        <v>2417</v>
      </c>
      <c r="BC221" s="3" t="s">
        <v>102</v>
      </c>
      <c r="BD221" s="3" t="s">
        <v>68</v>
      </c>
      <c r="BE221" s="3" t="s">
        <v>2418</v>
      </c>
      <c r="BF221" s="3" t="s">
        <v>2417</v>
      </c>
      <c r="BG221" s="3" t="s">
        <v>2419</v>
      </c>
    </row>
    <row r="222" spans="1:59" ht="58" x14ac:dyDescent="0.35">
      <c r="A222" s="2" t="s">
        <v>89</v>
      </c>
      <c r="B222" s="2" t="s">
        <v>90</v>
      </c>
      <c r="C222" s="2" t="s">
        <v>2420</v>
      </c>
      <c r="D222" s="2" t="s">
        <v>2421</v>
      </c>
      <c r="E222" s="2" t="s">
        <v>2422</v>
      </c>
      <c r="G222" s="3" t="s">
        <v>62</v>
      </c>
      <c r="I222" s="3" t="s">
        <v>61</v>
      </c>
      <c r="J222" s="3" t="s">
        <v>62</v>
      </c>
      <c r="K222" s="3" t="s">
        <v>63</v>
      </c>
      <c r="L222" s="2" t="s">
        <v>2423</v>
      </c>
      <c r="M222" s="2" t="s">
        <v>2424</v>
      </c>
      <c r="N222" s="3" t="s">
        <v>95</v>
      </c>
      <c r="P222" s="3" t="s">
        <v>64</v>
      </c>
      <c r="R222" s="3" t="s">
        <v>65</v>
      </c>
      <c r="S222" s="4">
        <v>44</v>
      </c>
      <c r="T222" s="4">
        <v>70</v>
      </c>
      <c r="U222" s="5" t="s">
        <v>895</v>
      </c>
      <c r="V222" s="5" t="s">
        <v>895</v>
      </c>
      <c r="W222" s="5" t="s">
        <v>67</v>
      </c>
      <c r="X222" s="5" t="s">
        <v>67</v>
      </c>
      <c r="Y222" s="4">
        <v>286</v>
      </c>
      <c r="Z222" s="4">
        <v>14</v>
      </c>
      <c r="AA222" s="4">
        <v>19</v>
      </c>
      <c r="AB222" s="4">
        <v>1</v>
      </c>
      <c r="AC222" s="4">
        <v>4</v>
      </c>
      <c r="AD222" s="4">
        <v>34</v>
      </c>
      <c r="AE222" s="4">
        <v>40</v>
      </c>
      <c r="AF222" s="4">
        <v>0</v>
      </c>
      <c r="AG222" s="4">
        <v>2</v>
      </c>
      <c r="AH222" s="4">
        <v>28</v>
      </c>
      <c r="AI222" s="4">
        <v>30</v>
      </c>
      <c r="AJ222" s="4">
        <v>6</v>
      </c>
      <c r="AK222" s="4">
        <v>8</v>
      </c>
      <c r="AL222" s="4">
        <v>17</v>
      </c>
      <c r="AM222" s="4">
        <v>18</v>
      </c>
      <c r="AN222" s="4">
        <v>0</v>
      </c>
      <c r="AO222" s="4">
        <v>0</v>
      </c>
      <c r="AP222" s="4">
        <v>8</v>
      </c>
      <c r="AQ222" s="4">
        <v>12</v>
      </c>
      <c r="AR222" s="3" t="s">
        <v>62</v>
      </c>
      <c r="AS222" s="3" t="s">
        <v>62</v>
      </c>
      <c r="AT222" s="3" t="s">
        <v>62</v>
      </c>
      <c r="AV222" s="6" t="str">
        <f>HYPERLINK("http://mcgill.on.worldcat.org/oclc/8344911","Catalog Record")</f>
        <v>Catalog Record</v>
      </c>
      <c r="AW222" s="6" t="str">
        <f>HYPERLINK("http://www.worldcat.org/oclc/8344911","WorldCat Record")</f>
        <v>WorldCat Record</v>
      </c>
      <c r="AX222" s="3" t="s">
        <v>2425</v>
      </c>
      <c r="AY222" s="3" t="s">
        <v>2426</v>
      </c>
      <c r="AZ222" s="3" t="s">
        <v>2427</v>
      </c>
      <c r="BA222" s="3" t="s">
        <v>2427</v>
      </c>
      <c r="BB222" s="3" t="s">
        <v>2428</v>
      </c>
      <c r="BC222" s="3" t="s">
        <v>102</v>
      </c>
      <c r="BD222" s="3" t="s">
        <v>68</v>
      </c>
      <c r="BE222" s="3" t="s">
        <v>2429</v>
      </c>
      <c r="BF222" s="3" t="s">
        <v>2428</v>
      </c>
      <c r="BG222" s="3" t="s">
        <v>2430</v>
      </c>
    </row>
    <row r="223" spans="1:59" ht="72.5" x14ac:dyDescent="0.35">
      <c r="A223" s="2" t="s">
        <v>89</v>
      </c>
      <c r="B223" s="2" t="s">
        <v>90</v>
      </c>
      <c r="C223" s="2" t="s">
        <v>2431</v>
      </c>
      <c r="D223" s="2" t="s">
        <v>2432</v>
      </c>
      <c r="E223" s="2" t="s">
        <v>2433</v>
      </c>
      <c r="G223" s="3" t="s">
        <v>62</v>
      </c>
      <c r="I223" s="3" t="s">
        <v>61</v>
      </c>
      <c r="J223" s="3" t="s">
        <v>61</v>
      </c>
      <c r="K223" s="3" t="s">
        <v>63</v>
      </c>
      <c r="L223" s="2" t="s">
        <v>2423</v>
      </c>
      <c r="M223" s="2" t="s">
        <v>2434</v>
      </c>
      <c r="N223" s="3" t="s">
        <v>795</v>
      </c>
      <c r="P223" s="3" t="s">
        <v>64</v>
      </c>
      <c r="R223" s="3" t="s">
        <v>65</v>
      </c>
      <c r="S223" s="4">
        <v>25</v>
      </c>
      <c r="T223" s="4">
        <v>27</v>
      </c>
      <c r="U223" s="5" t="s">
        <v>895</v>
      </c>
      <c r="V223" s="5" t="s">
        <v>895</v>
      </c>
      <c r="W223" s="5" t="s">
        <v>67</v>
      </c>
      <c r="X223" s="5" t="s">
        <v>67</v>
      </c>
      <c r="Y223" s="4">
        <v>642</v>
      </c>
      <c r="Z223" s="4">
        <v>28</v>
      </c>
      <c r="AA223" s="4">
        <v>77</v>
      </c>
      <c r="AB223" s="4">
        <v>2</v>
      </c>
      <c r="AC223" s="4">
        <v>7</v>
      </c>
      <c r="AD223" s="4">
        <v>108</v>
      </c>
      <c r="AE223" s="4">
        <v>156</v>
      </c>
      <c r="AF223" s="4">
        <v>0</v>
      </c>
      <c r="AG223" s="4">
        <v>4</v>
      </c>
      <c r="AH223" s="4">
        <v>90</v>
      </c>
      <c r="AI223" s="4">
        <v>116</v>
      </c>
      <c r="AJ223" s="4">
        <v>15</v>
      </c>
      <c r="AK223" s="4">
        <v>27</v>
      </c>
      <c r="AL223" s="4">
        <v>55</v>
      </c>
      <c r="AM223" s="4">
        <v>63</v>
      </c>
      <c r="AN223" s="4">
        <v>0</v>
      </c>
      <c r="AO223" s="4">
        <v>0</v>
      </c>
      <c r="AP223" s="4">
        <v>21</v>
      </c>
      <c r="AQ223" s="4">
        <v>46</v>
      </c>
      <c r="AR223" s="3" t="s">
        <v>62</v>
      </c>
      <c r="AS223" s="3" t="s">
        <v>62</v>
      </c>
      <c r="AT223" s="3" t="s">
        <v>61</v>
      </c>
      <c r="AU223" s="6" t="str">
        <f>HYPERLINK("http://catalog.hathitrust.org/Record/001473434","HathiTrust Record")</f>
        <v>HathiTrust Record</v>
      </c>
      <c r="AV223" s="6" t="str">
        <f>HYPERLINK("http://mcgill.on.worldcat.org/oclc/1079167","Catalog Record")</f>
        <v>Catalog Record</v>
      </c>
      <c r="AW223" s="6" t="str">
        <f>HYPERLINK("http://www.worldcat.org/oclc/1079167","WorldCat Record")</f>
        <v>WorldCat Record</v>
      </c>
      <c r="AX223" s="3" t="s">
        <v>2435</v>
      </c>
      <c r="AY223" s="3" t="s">
        <v>2436</v>
      </c>
      <c r="AZ223" s="3" t="s">
        <v>2437</v>
      </c>
      <c r="BA223" s="3" t="s">
        <v>2437</v>
      </c>
      <c r="BB223" s="3" t="s">
        <v>2438</v>
      </c>
      <c r="BC223" s="3" t="s">
        <v>102</v>
      </c>
      <c r="BD223" s="3" t="s">
        <v>68</v>
      </c>
      <c r="BF223" s="3" t="s">
        <v>2438</v>
      </c>
      <c r="BG223" s="3" t="s">
        <v>2439</v>
      </c>
    </row>
    <row r="224" spans="1:59" ht="58" x14ac:dyDescent="0.35">
      <c r="A224" s="2" t="s">
        <v>89</v>
      </c>
      <c r="B224" s="2" t="s">
        <v>90</v>
      </c>
      <c r="C224" s="2" t="s">
        <v>2440</v>
      </c>
      <c r="D224" s="2" t="s">
        <v>2441</v>
      </c>
      <c r="E224" s="2" t="s">
        <v>2442</v>
      </c>
      <c r="G224" s="3" t="s">
        <v>62</v>
      </c>
      <c r="I224" s="3" t="s">
        <v>61</v>
      </c>
      <c r="J224" s="3" t="s">
        <v>61</v>
      </c>
      <c r="K224" s="3" t="s">
        <v>63</v>
      </c>
      <c r="L224" s="2" t="s">
        <v>2443</v>
      </c>
      <c r="M224" s="2" t="s">
        <v>2444</v>
      </c>
      <c r="N224" s="3" t="s">
        <v>2445</v>
      </c>
      <c r="O224" s="2" t="s">
        <v>2446</v>
      </c>
      <c r="P224" s="3" t="s">
        <v>64</v>
      </c>
      <c r="Q224" s="2" t="s">
        <v>2447</v>
      </c>
      <c r="R224" s="3" t="s">
        <v>65</v>
      </c>
      <c r="S224" s="4">
        <v>46</v>
      </c>
      <c r="T224" s="4">
        <v>69</v>
      </c>
      <c r="U224" s="5" t="s">
        <v>2448</v>
      </c>
      <c r="V224" s="5" t="s">
        <v>2448</v>
      </c>
      <c r="W224" s="5" t="s">
        <v>67</v>
      </c>
      <c r="X224" s="5" t="s">
        <v>67</v>
      </c>
      <c r="Y224" s="4">
        <v>283</v>
      </c>
      <c r="Z224" s="4">
        <v>32</v>
      </c>
      <c r="AA224" s="4">
        <v>77</v>
      </c>
      <c r="AB224" s="4">
        <v>2</v>
      </c>
      <c r="AC224" s="4">
        <v>7</v>
      </c>
      <c r="AD224" s="4">
        <v>61</v>
      </c>
      <c r="AE224" s="4">
        <v>156</v>
      </c>
      <c r="AF224" s="4">
        <v>1</v>
      </c>
      <c r="AG224" s="4">
        <v>4</v>
      </c>
      <c r="AH224" s="4">
        <v>44</v>
      </c>
      <c r="AI224" s="4">
        <v>116</v>
      </c>
      <c r="AJ224" s="4">
        <v>16</v>
      </c>
      <c r="AK224" s="4">
        <v>27</v>
      </c>
      <c r="AL224" s="4">
        <v>27</v>
      </c>
      <c r="AM224" s="4">
        <v>63</v>
      </c>
      <c r="AN224" s="4">
        <v>0</v>
      </c>
      <c r="AO224" s="4">
        <v>0</v>
      </c>
      <c r="AP224" s="4">
        <v>22</v>
      </c>
      <c r="AQ224" s="4">
        <v>46</v>
      </c>
      <c r="AR224" s="3" t="s">
        <v>62</v>
      </c>
      <c r="AS224" s="3" t="s">
        <v>62</v>
      </c>
      <c r="AT224" s="3" t="s">
        <v>61</v>
      </c>
      <c r="AU224" s="6" t="str">
        <f>HYPERLINK("http://catalog.hathitrust.org/Record/001473435","HathiTrust Record")</f>
        <v>HathiTrust Record</v>
      </c>
      <c r="AV224" s="6" t="str">
        <f>HYPERLINK("http://mcgill.on.worldcat.org/oclc/2377440","Catalog Record")</f>
        <v>Catalog Record</v>
      </c>
      <c r="AW224" s="6" t="str">
        <f>HYPERLINK("http://www.worldcat.org/oclc/2377440","WorldCat Record")</f>
        <v>WorldCat Record</v>
      </c>
      <c r="AX224" s="3" t="s">
        <v>2435</v>
      </c>
      <c r="AY224" s="3" t="s">
        <v>2449</v>
      </c>
      <c r="AZ224" s="3" t="s">
        <v>2450</v>
      </c>
      <c r="BA224" s="3" t="s">
        <v>2450</v>
      </c>
      <c r="BB224" s="3" t="s">
        <v>2451</v>
      </c>
      <c r="BC224" s="3" t="s">
        <v>102</v>
      </c>
      <c r="BD224" s="3" t="s">
        <v>68</v>
      </c>
      <c r="BE224" s="3" t="s">
        <v>2452</v>
      </c>
      <c r="BF224" s="3" t="s">
        <v>2451</v>
      </c>
      <c r="BG224" s="3" t="s">
        <v>2453</v>
      </c>
    </row>
    <row r="225" spans="1:59" ht="58" x14ac:dyDescent="0.35">
      <c r="A225" s="2" t="s">
        <v>89</v>
      </c>
      <c r="B225" s="2" t="s">
        <v>90</v>
      </c>
      <c r="C225" s="2" t="s">
        <v>2454</v>
      </c>
      <c r="D225" s="2" t="s">
        <v>2455</v>
      </c>
      <c r="E225" s="2" t="s">
        <v>2456</v>
      </c>
      <c r="G225" s="3" t="s">
        <v>62</v>
      </c>
      <c r="I225" s="3" t="s">
        <v>61</v>
      </c>
      <c r="J225" s="3" t="s">
        <v>62</v>
      </c>
      <c r="K225" s="3" t="s">
        <v>63</v>
      </c>
      <c r="L225" s="2" t="s">
        <v>2443</v>
      </c>
      <c r="M225" s="2" t="s">
        <v>2457</v>
      </c>
      <c r="N225" s="3" t="s">
        <v>327</v>
      </c>
      <c r="O225" s="2" t="s">
        <v>2458</v>
      </c>
      <c r="P225" s="3" t="s">
        <v>64</v>
      </c>
      <c r="R225" s="3" t="s">
        <v>65</v>
      </c>
      <c r="S225" s="4">
        <v>48</v>
      </c>
      <c r="T225" s="4">
        <v>92</v>
      </c>
      <c r="U225" s="5" t="s">
        <v>895</v>
      </c>
      <c r="V225" s="5" t="s">
        <v>2459</v>
      </c>
      <c r="W225" s="5" t="s">
        <v>67</v>
      </c>
      <c r="X225" s="5" t="s">
        <v>67</v>
      </c>
      <c r="Y225" s="4">
        <v>741</v>
      </c>
      <c r="Z225" s="4">
        <v>52</v>
      </c>
      <c r="AA225" s="4">
        <v>62</v>
      </c>
      <c r="AB225" s="4">
        <v>4</v>
      </c>
      <c r="AC225" s="4">
        <v>9</v>
      </c>
      <c r="AD225" s="4">
        <v>125</v>
      </c>
      <c r="AE225" s="4">
        <v>131</v>
      </c>
      <c r="AF225" s="4">
        <v>2</v>
      </c>
      <c r="AG225" s="4">
        <v>4</v>
      </c>
      <c r="AH225" s="4">
        <v>99</v>
      </c>
      <c r="AI225" s="4">
        <v>101</v>
      </c>
      <c r="AJ225" s="4">
        <v>18</v>
      </c>
      <c r="AK225" s="4">
        <v>22</v>
      </c>
      <c r="AL225" s="4">
        <v>52</v>
      </c>
      <c r="AM225" s="4">
        <v>53</v>
      </c>
      <c r="AN225" s="4">
        <v>0</v>
      </c>
      <c r="AO225" s="4">
        <v>0</v>
      </c>
      <c r="AP225" s="4">
        <v>36</v>
      </c>
      <c r="AQ225" s="4">
        <v>40</v>
      </c>
      <c r="AR225" s="3" t="s">
        <v>62</v>
      </c>
      <c r="AS225" s="3" t="s">
        <v>62</v>
      </c>
      <c r="AT225" s="3" t="s">
        <v>61</v>
      </c>
      <c r="AU225" s="6" t="str">
        <f>HYPERLINK("http://catalog.hathitrust.org/Record/000196771","HathiTrust Record")</f>
        <v>HathiTrust Record</v>
      </c>
      <c r="AV225" s="6" t="str">
        <f>HYPERLINK("http://mcgill.on.worldcat.org/oclc/8476747","Catalog Record")</f>
        <v>Catalog Record</v>
      </c>
      <c r="AW225" s="6" t="str">
        <f>HYPERLINK("http://www.worldcat.org/oclc/8476747","WorldCat Record")</f>
        <v>WorldCat Record</v>
      </c>
      <c r="AX225" s="3" t="s">
        <v>2460</v>
      </c>
      <c r="AY225" s="3" t="s">
        <v>2461</v>
      </c>
      <c r="AZ225" s="3" t="s">
        <v>2462</v>
      </c>
      <c r="BA225" s="3" t="s">
        <v>2462</v>
      </c>
      <c r="BB225" s="3" t="s">
        <v>2463</v>
      </c>
      <c r="BC225" s="3" t="s">
        <v>102</v>
      </c>
      <c r="BD225" s="3" t="s">
        <v>68</v>
      </c>
      <c r="BE225" s="3" t="s">
        <v>2464</v>
      </c>
      <c r="BF225" s="3" t="s">
        <v>2463</v>
      </c>
      <c r="BG225" s="3" t="s">
        <v>2465</v>
      </c>
    </row>
    <row r="226" spans="1:59" ht="58" x14ac:dyDescent="0.35">
      <c r="A226" s="2" t="s">
        <v>89</v>
      </c>
      <c r="B226" s="2" t="s">
        <v>90</v>
      </c>
      <c r="C226" s="2" t="s">
        <v>2454</v>
      </c>
      <c r="D226" s="2" t="s">
        <v>2455</v>
      </c>
      <c r="E226" s="2" t="s">
        <v>2456</v>
      </c>
      <c r="G226" s="3" t="s">
        <v>62</v>
      </c>
      <c r="I226" s="3" t="s">
        <v>61</v>
      </c>
      <c r="J226" s="3" t="s">
        <v>62</v>
      </c>
      <c r="K226" s="3" t="s">
        <v>63</v>
      </c>
      <c r="L226" s="2" t="s">
        <v>2443</v>
      </c>
      <c r="M226" s="2" t="s">
        <v>2457</v>
      </c>
      <c r="N226" s="3" t="s">
        <v>327</v>
      </c>
      <c r="O226" s="2" t="s">
        <v>2458</v>
      </c>
      <c r="P226" s="3" t="s">
        <v>64</v>
      </c>
      <c r="R226" s="3" t="s">
        <v>65</v>
      </c>
      <c r="S226" s="4">
        <v>44</v>
      </c>
      <c r="T226" s="4">
        <v>92</v>
      </c>
      <c r="U226" s="5" t="s">
        <v>2459</v>
      </c>
      <c r="V226" s="5" t="s">
        <v>2459</v>
      </c>
      <c r="W226" s="5" t="s">
        <v>67</v>
      </c>
      <c r="X226" s="5" t="s">
        <v>67</v>
      </c>
      <c r="Y226" s="4">
        <v>741</v>
      </c>
      <c r="Z226" s="4">
        <v>52</v>
      </c>
      <c r="AA226" s="4">
        <v>62</v>
      </c>
      <c r="AB226" s="4">
        <v>4</v>
      </c>
      <c r="AC226" s="4">
        <v>9</v>
      </c>
      <c r="AD226" s="4">
        <v>125</v>
      </c>
      <c r="AE226" s="4">
        <v>131</v>
      </c>
      <c r="AF226" s="4">
        <v>2</v>
      </c>
      <c r="AG226" s="4">
        <v>4</v>
      </c>
      <c r="AH226" s="4">
        <v>99</v>
      </c>
      <c r="AI226" s="4">
        <v>101</v>
      </c>
      <c r="AJ226" s="4">
        <v>18</v>
      </c>
      <c r="AK226" s="4">
        <v>22</v>
      </c>
      <c r="AL226" s="4">
        <v>52</v>
      </c>
      <c r="AM226" s="4">
        <v>53</v>
      </c>
      <c r="AN226" s="4">
        <v>0</v>
      </c>
      <c r="AO226" s="4">
        <v>0</v>
      </c>
      <c r="AP226" s="4">
        <v>36</v>
      </c>
      <c r="AQ226" s="4">
        <v>40</v>
      </c>
      <c r="AR226" s="3" t="s">
        <v>62</v>
      </c>
      <c r="AS226" s="3" t="s">
        <v>62</v>
      </c>
      <c r="AT226" s="3" t="s">
        <v>61</v>
      </c>
      <c r="AU226" s="6" t="str">
        <f>HYPERLINK("http://catalog.hathitrust.org/Record/000196771","HathiTrust Record")</f>
        <v>HathiTrust Record</v>
      </c>
      <c r="AV226" s="6" t="str">
        <f>HYPERLINK("http://mcgill.on.worldcat.org/oclc/8476747","Catalog Record")</f>
        <v>Catalog Record</v>
      </c>
      <c r="AW226" s="6" t="str">
        <f>HYPERLINK("http://www.worldcat.org/oclc/8476747","WorldCat Record")</f>
        <v>WorldCat Record</v>
      </c>
      <c r="AX226" s="3" t="s">
        <v>2460</v>
      </c>
      <c r="AY226" s="3" t="s">
        <v>2461</v>
      </c>
      <c r="AZ226" s="3" t="s">
        <v>2462</v>
      </c>
      <c r="BA226" s="3" t="s">
        <v>2462</v>
      </c>
      <c r="BB226" s="3" t="s">
        <v>2466</v>
      </c>
      <c r="BC226" s="3" t="s">
        <v>102</v>
      </c>
      <c r="BD226" s="3" t="s">
        <v>68</v>
      </c>
      <c r="BE226" s="3" t="s">
        <v>2464</v>
      </c>
      <c r="BF226" s="3" t="s">
        <v>2466</v>
      </c>
      <c r="BG226" s="3" t="s">
        <v>2467</v>
      </c>
    </row>
    <row r="227" spans="1:59" ht="58" x14ac:dyDescent="0.35">
      <c r="A227" s="2" t="s">
        <v>89</v>
      </c>
      <c r="B227" s="2" t="s">
        <v>90</v>
      </c>
      <c r="C227" s="2" t="s">
        <v>2468</v>
      </c>
      <c r="D227" s="2" t="s">
        <v>2469</v>
      </c>
      <c r="E227" s="2" t="s">
        <v>2470</v>
      </c>
      <c r="G227" s="3" t="s">
        <v>62</v>
      </c>
      <c r="I227" s="3" t="s">
        <v>61</v>
      </c>
      <c r="J227" s="3" t="s">
        <v>62</v>
      </c>
      <c r="K227" s="3" t="s">
        <v>63</v>
      </c>
      <c r="L227" s="2" t="s">
        <v>2471</v>
      </c>
      <c r="M227" s="2" t="s">
        <v>2472</v>
      </c>
      <c r="N227" s="3" t="s">
        <v>396</v>
      </c>
      <c r="P227" s="3" t="s">
        <v>64</v>
      </c>
      <c r="Q227" s="2" t="s">
        <v>2001</v>
      </c>
      <c r="R227" s="3" t="s">
        <v>65</v>
      </c>
      <c r="S227" s="4">
        <v>42</v>
      </c>
      <c r="T227" s="4">
        <v>61</v>
      </c>
      <c r="U227" s="5" t="s">
        <v>2473</v>
      </c>
      <c r="V227" s="5" t="s">
        <v>2474</v>
      </c>
      <c r="W227" s="5" t="s">
        <v>67</v>
      </c>
      <c r="X227" s="5" t="s">
        <v>67</v>
      </c>
      <c r="Y227" s="4">
        <v>857</v>
      </c>
      <c r="Z227" s="4">
        <v>52</v>
      </c>
      <c r="AA227" s="4">
        <v>99</v>
      </c>
      <c r="AB227" s="4">
        <v>2</v>
      </c>
      <c r="AC227" s="4">
        <v>14</v>
      </c>
      <c r="AD227" s="4">
        <v>137</v>
      </c>
      <c r="AE227" s="4">
        <v>158</v>
      </c>
      <c r="AF227" s="4">
        <v>1</v>
      </c>
      <c r="AG227" s="4">
        <v>8</v>
      </c>
      <c r="AH227" s="4">
        <v>111</v>
      </c>
      <c r="AI227" s="4">
        <v>116</v>
      </c>
      <c r="AJ227" s="4">
        <v>22</v>
      </c>
      <c r="AK227" s="4">
        <v>28</v>
      </c>
      <c r="AL227" s="4">
        <v>59</v>
      </c>
      <c r="AM227" s="4">
        <v>60</v>
      </c>
      <c r="AN227" s="4">
        <v>0</v>
      </c>
      <c r="AO227" s="4">
        <v>0</v>
      </c>
      <c r="AP227" s="4">
        <v>34</v>
      </c>
      <c r="AQ227" s="4">
        <v>50</v>
      </c>
      <c r="AR227" s="3" t="s">
        <v>62</v>
      </c>
      <c r="AS227" s="3" t="s">
        <v>62</v>
      </c>
      <c r="AT227" s="3" t="s">
        <v>62</v>
      </c>
      <c r="AV227" s="6" t="str">
        <f>HYPERLINK("http://mcgill.on.worldcat.org/oclc/11030787","Catalog Record")</f>
        <v>Catalog Record</v>
      </c>
      <c r="AW227" s="6" t="str">
        <f>HYPERLINK("http://www.worldcat.org/oclc/11030787","WorldCat Record")</f>
        <v>WorldCat Record</v>
      </c>
      <c r="AX227" s="3" t="s">
        <v>2475</v>
      </c>
      <c r="AY227" s="3" t="s">
        <v>2476</v>
      </c>
      <c r="AZ227" s="3" t="s">
        <v>2477</v>
      </c>
      <c r="BA227" s="3" t="s">
        <v>2477</v>
      </c>
      <c r="BB227" s="3" t="s">
        <v>2478</v>
      </c>
      <c r="BC227" s="3" t="s">
        <v>102</v>
      </c>
      <c r="BD227" s="3" t="s">
        <v>68</v>
      </c>
      <c r="BE227" s="3" t="s">
        <v>2479</v>
      </c>
      <c r="BF227" s="3" t="s">
        <v>2478</v>
      </c>
      <c r="BG227" s="3" t="s">
        <v>2480</v>
      </c>
    </row>
    <row r="228" spans="1:59" ht="72.5" x14ac:dyDescent="0.35">
      <c r="A228" s="2" t="s">
        <v>89</v>
      </c>
      <c r="B228" s="2" t="s">
        <v>1231</v>
      </c>
      <c r="C228" s="2" t="s">
        <v>2481</v>
      </c>
      <c r="D228" s="2" t="s">
        <v>2482</v>
      </c>
      <c r="E228" s="2" t="s">
        <v>2483</v>
      </c>
      <c r="G228" s="3" t="s">
        <v>62</v>
      </c>
      <c r="I228" s="3" t="s">
        <v>61</v>
      </c>
      <c r="J228" s="3" t="s">
        <v>61</v>
      </c>
      <c r="K228" s="3" t="s">
        <v>63</v>
      </c>
      <c r="L228" s="2" t="s">
        <v>2484</v>
      </c>
      <c r="M228" s="2" t="s">
        <v>2485</v>
      </c>
      <c r="N228" s="3" t="s">
        <v>1722</v>
      </c>
      <c r="O228" s="2" t="s">
        <v>2458</v>
      </c>
      <c r="P228" s="3" t="s">
        <v>64</v>
      </c>
      <c r="Q228" s="2" t="s">
        <v>2486</v>
      </c>
      <c r="R228" s="3" t="s">
        <v>65</v>
      </c>
      <c r="S228" s="4">
        <v>2</v>
      </c>
      <c r="T228" s="4">
        <v>14</v>
      </c>
      <c r="U228" s="5" t="s">
        <v>2487</v>
      </c>
      <c r="V228" s="5" t="s">
        <v>2488</v>
      </c>
      <c r="W228" s="5" t="s">
        <v>67</v>
      </c>
      <c r="X228" s="5" t="s">
        <v>67</v>
      </c>
      <c r="Y228" s="4">
        <v>251</v>
      </c>
      <c r="Z228" s="4">
        <v>23</v>
      </c>
      <c r="AA228" s="4">
        <v>80</v>
      </c>
      <c r="AB228" s="4">
        <v>3</v>
      </c>
      <c r="AC228" s="4">
        <v>12</v>
      </c>
      <c r="AD228" s="4">
        <v>68</v>
      </c>
      <c r="AE228" s="4">
        <v>146</v>
      </c>
      <c r="AF228" s="4">
        <v>1</v>
      </c>
      <c r="AG228" s="4">
        <v>5</v>
      </c>
      <c r="AH228" s="4">
        <v>58</v>
      </c>
      <c r="AI228" s="4">
        <v>111</v>
      </c>
      <c r="AJ228" s="4">
        <v>13</v>
      </c>
      <c r="AK228" s="4">
        <v>24</v>
      </c>
      <c r="AL228" s="4">
        <v>34</v>
      </c>
      <c r="AM228" s="4">
        <v>61</v>
      </c>
      <c r="AN228" s="4">
        <v>0</v>
      </c>
      <c r="AO228" s="4">
        <v>0</v>
      </c>
      <c r="AP228" s="4">
        <v>15</v>
      </c>
      <c r="AQ228" s="4">
        <v>41</v>
      </c>
      <c r="AR228" s="3" t="s">
        <v>62</v>
      </c>
      <c r="AS228" s="3" t="s">
        <v>62</v>
      </c>
      <c r="AT228" s="3" t="s">
        <v>61</v>
      </c>
      <c r="AU228" s="6" t="str">
        <f>HYPERLINK("http://catalog.hathitrust.org/Record/006778848","HathiTrust Record")</f>
        <v>HathiTrust Record</v>
      </c>
      <c r="AV228" s="6" t="str">
        <f>HYPERLINK("http://mcgill.on.worldcat.org/oclc/223107533","Catalog Record")</f>
        <v>Catalog Record</v>
      </c>
      <c r="AW228" s="6" t="str">
        <f>HYPERLINK("http://www.worldcat.org/oclc/223107533","WorldCat Record")</f>
        <v>WorldCat Record</v>
      </c>
      <c r="AX228" s="3" t="s">
        <v>2489</v>
      </c>
      <c r="AY228" s="3" t="s">
        <v>2490</v>
      </c>
      <c r="AZ228" s="3" t="s">
        <v>2491</v>
      </c>
      <c r="BA228" s="3" t="s">
        <v>2491</v>
      </c>
      <c r="BB228" s="3" t="s">
        <v>2492</v>
      </c>
      <c r="BC228" s="3" t="s">
        <v>102</v>
      </c>
      <c r="BD228" s="3" t="s">
        <v>68</v>
      </c>
      <c r="BE228" s="3" t="s">
        <v>2493</v>
      </c>
      <c r="BF228" s="3" t="s">
        <v>2492</v>
      </c>
      <c r="BG228" s="3" t="s">
        <v>2494</v>
      </c>
    </row>
    <row r="229" spans="1:59" ht="58" x14ac:dyDescent="0.35">
      <c r="A229" s="2" t="s">
        <v>89</v>
      </c>
      <c r="B229" s="2" t="s">
        <v>90</v>
      </c>
      <c r="C229" s="2" t="s">
        <v>2497</v>
      </c>
      <c r="D229" s="2" t="s">
        <v>2498</v>
      </c>
      <c r="E229" s="2" t="s">
        <v>2499</v>
      </c>
      <c r="G229" s="3" t="s">
        <v>62</v>
      </c>
      <c r="I229" s="3" t="s">
        <v>62</v>
      </c>
      <c r="J229" s="3" t="s">
        <v>62</v>
      </c>
      <c r="K229" s="3" t="s">
        <v>63</v>
      </c>
      <c r="M229" s="2" t="s">
        <v>2500</v>
      </c>
      <c r="N229" s="3" t="s">
        <v>640</v>
      </c>
      <c r="P229" s="3" t="s">
        <v>64</v>
      </c>
      <c r="Q229" s="2" t="s">
        <v>2501</v>
      </c>
      <c r="R229" s="3" t="s">
        <v>65</v>
      </c>
      <c r="S229" s="4">
        <v>3</v>
      </c>
      <c r="T229" s="4">
        <v>3</v>
      </c>
      <c r="U229" s="5" t="s">
        <v>2502</v>
      </c>
      <c r="V229" s="5" t="s">
        <v>2502</v>
      </c>
      <c r="W229" s="5" t="s">
        <v>67</v>
      </c>
      <c r="X229" s="5" t="s">
        <v>67</v>
      </c>
      <c r="Y229" s="4">
        <v>179</v>
      </c>
      <c r="Z229" s="4">
        <v>15</v>
      </c>
      <c r="AA229" s="4">
        <v>16</v>
      </c>
      <c r="AB229" s="4">
        <v>1</v>
      </c>
      <c r="AC229" s="4">
        <v>2</v>
      </c>
      <c r="AD229" s="4">
        <v>81</v>
      </c>
      <c r="AE229" s="4">
        <v>82</v>
      </c>
      <c r="AF229" s="4">
        <v>0</v>
      </c>
      <c r="AG229" s="4">
        <v>1</v>
      </c>
      <c r="AH229" s="4">
        <v>75</v>
      </c>
      <c r="AI229" s="4">
        <v>76</v>
      </c>
      <c r="AJ229" s="4">
        <v>11</v>
      </c>
      <c r="AK229" s="4">
        <v>12</v>
      </c>
      <c r="AL229" s="4">
        <v>42</v>
      </c>
      <c r="AM229" s="4">
        <v>42</v>
      </c>
      <c r="AN229" s="4">
        <v>0</v>
      </c>
      <c r="AO229" s="4">
        <v>0</v>
      </c>
      <c r="AP229" s="4">
        <v>12</v>
      </c>
      <c r="AQ229" s="4">
        <v>13</v>
      </c>
      <c r="AR229" s="3" t="s">
        <v>62</v>
      </c>
      <c r="AS229" s="3" t="s">
        <v>62</v>
      </c>
      <c r="AT229" s="3" t="s">
        <v>61</v>
      </c>
      <c r="AU229" s="6" t="str">
        <f>HYPERLINK("http://catalog.hathitrust.org/Record/004945035","HathiTrust Record")</f>
        <v>HathiTrust Record</v>
      </c>
      <c r="AV229" s="6" t="str">
        <f>HYPERLINK("http://mcgill.on.worldcat.org/oclc/51942423","Catalog Record")</f>
        <v>Catalog Record</v>
      </c>
      <c r="AW229" s="6" t="str">
        <f>HYPERLINK("http://www.worldcat.org/oclc/51942423","WorldCat Record")</f>
        <v>WorldCat Record</v>
      </c>
      <c r="AX229" s="3" t="s">
        <v>2503</v>
      </c>
      <c r="AY229" s="3" t="s">
        <v>2504</v>
      </c>
      <c r="AZ229" s="3" t="s">
        <v>2505</v>
      </c>
      <c r="BA229" s="3" t="s">
        <v>2505</v>
      </c>
      <c r="BB229" s="3" t="s">
        <v>2506</v>
      </c>
      <c r="BC229" s="3" t="s">
        <v>102</v>
      </c>
      <c r="BD229" s="3" t="s">
        <v>68</v>
      </c>
      <c r="BE229" s="3" t="s">
        <v>2507</v>
      </c>
      <c r="BF229" s="3" t="s">
        <v>2506</v>
      </c>
      <c r="BG229" s="3" t="s">
        <v>2508</v>
      </c>
    </row>
    <row r="230" spans="1:59" ht="58" x14ac:dyDescent="0.35">
      <c r="A230" s="2" t="s">
        <v>89</v>
      </c>
      <c r="B230" s="2" t="s">
        <v>90</v>
      </c>
      <c r="C230" s="2" t="s">
        <v>2509</v>
      </c>
      <c r="D230" s="2" t="s">
        <v>2510</v>
      </c>
      <c r="E230" s="2" t="s">
        <v>2511</v>
      </c>
      <c r="G230" s="3" t="s">
        <v>62</v>
      </c>
      <c r="I230" s="3" t="s">
        <v>62</v>
      </c>
      <c r="J230" s="3" t="s">
        <v>62</v>
      </c>
      <c r="K230" s="3" t="s">
        <v>63</v>
      </c>
      <c r="M230" s="2" t="s">
        <v>2512</v>
      </c>
      <c r="N230" s="3" t="s">
        <v>438</v>
      </c>
      <c r="P230" s="3" t="s">
        <v>64</v>
      </c>
      <c r="Q230" s="2" t="s">
        <v>2513</v>
      </c>
      <c r="R230" s="3" t="s">
        <v>65</v>
      </c>
      <c r="S230" s="4">
        <v>33</v>
      </c>
      <c r="T230" s="4">
        <v>33</v>
      </c>
      <c r="U230" s="5" t="s">
        <v>1170</v>
      </c>
      <c r="V230" s="5" t="s">
        <v>1170</v>
      </c>
      <c r="W230" s="5" t="s">
        <v>67</v>
      </c>
      <c r="X230" s="5" t="s">
        <v>67</v>
      </c>
      <c r="Y230" s="4">
        <v>245</v>
      </c>
      <c r="Z230" s="4">
        <v>22</v>
      </c>
      <c r="AA230" s="4">
        <v>22</v>
      </c>
      <c r="AB230" s="4">
        <v>1</v>
      </c>
      <c r="AC230" s="4">
        <v>1</v>
      </c>
      <c r="AD230" s="4">
        <v>96</v>
      </c>
      <c r="AE230" s="4">
        <v>96</v>
      </c>
      <c r="AF230" s="4">
        <v>0</v>
      </c>
      <c r="AG230" s="4">
        <v>0</v>
      </c>
      <c r="AH230" s="4">
        <v>85</v>
      </c>
      <c r="AI230" s="4">
        <v>85</v>
      </c>
      <c r="AJ230" s="4">
        <v>14</v>
      </c>
      <c r="AK230" s="4">
        <v>14</v>
      </c>
      <c r="AL230" s="4">
        <v>50</v>
      </c>
      <c r="AM230" s="4">
        <v>50</v>
      </c>
      <c r="AN230" s="4">
        <v>0</v>
      </c>
      <c r="AO230" s="4">
        <v>0</v>
      </c>
      <c r="AP230" s="4">
        <v>18</v>
      </c>
      <c r="AQ230" s="4">
        <v>18</v>
      </c>
      <c r="AR230" s="3" t="s">
        <v>62</v>
      </c>
      <c r="AS230" s="3" t="s">
        <v>62</v>
      </c>
      <c r="AT230" s="3" t="s">
        <v>62</v>
      </c>
      <c r="AV230" s="6" t="str">
        <f>HYPERLINK("http://mcgill.on.worldcat.org/oclc/20593764","Catalog Record")</f>
        <v>Catalog Record</v>
      </c>
      <c r="AW230" s="6" t="str">
        <f>HYPERLINK("http://www.worldcat.org/oclc/20593764","WorldCat Record")</f>
        <v>WorldCat Record</v>
      </c>
      <c r="AX230" s="3" t="s">
        <v>2514</v>
      </c>
      <c r="AY230" s="3" t="s">
        <v>2515</v>
      </c>
      <c r="AZ230" s="3" t="s">
        <v>2516</v>
      </c>
      <c r="BA230" s="3" t="s">
        <v>2516</v>
      </c>
      <c r="BB230" s="3" t="s">
        <v>2517</v>
      </c>
      <c r="BC230" s="3" t="s">
        <v>102</v>
      </c>
      <c r="BD230" s="3" t="s">
        <v>68</v>
      </c>
      <c r="BE230" s="3" t="s">
        <v>2518</v>
      </c>
      <c r="BF230" s="3" t="s">
        <v>2517</v>
      </c>
      <c r="BG230" s="3" t="s">
        <v>2519</v>
      </c>
    </row>
    <row r="231" spans="1:59" ht="58" x14ac:dyDescent="0.35">
      <c r="A231" s="2" t="s">
        <v>89</v>
      </c>
      <c r="B231" s="2" t="s">
        <v>90</v>
      </c>
      <c r="C231" s="2" t="s">
        <v>2523</v>
      </c>
      <c r="D231" s="2" t="s">
        <v>2524</v>
      </c>
      <c r="E231" s="2" t="s">
        <v>2525</v>
      </c>
      <c r="G231" s="3" t="s">
        <v>62</v>
      </c>
      <c r="I231" s="3" t="s">
        <v>62</v>
      </c>
      <c r="J231" s="3" t="s">
        <v>62</v>
      </c>
      <c r="K231" s="3" t="s">
        <v>63</v>
      </c>
      <c r="L231" s="2" t="s">
        <v>2526</v>
      </c>
      <c r="M231" s="2" t="s">
        <v>2527</v>
      </c>
      <c r="N231" s="3" t="s">
        <v>1722</v>
      </c>
      <c r="P231" s="3" t="s">
        <v>64</v>
      </c>
      <c r="Q231" s="2" t="s">
        <v>2528</v>
      </c>
      <c r="R231" s="3" t="s">
        <v>65</v>
      </c>
      <c r="S231" s="4">
        <v>12</v>
      </c>
      <c r="T231" s="4">
        <v>12</v>
      </c>
      <c r="U231" s="5" t="s">
        <v>2529</v>
      </c>
      <c r="V231" s="5" t="s">
        <v>2529</v>
      </c>
      <c r="W231" s="5" t="s">
        <v>67</v>
      </c>
      <c r="X231" s="5" t="s">
        <v>67</v>
      </c>
      <c r="Y231" s="4">
        <v>159</v>
      </c>
      <c r="Z231" s="4">
        <v>18</v>
      </c>
      <c r="AA231" s="4">
        <v>23</v>
      </c>
      <c r="AB231" s="4">
        <v>2</v>
      </c>
      <c r="AC231" s="4">
        <v>5</v>
      </c>
      <c r="AD231" s="4">
        <v>66</v>
      </c>
      <c r="AE231" s="4">
        <v>74</v>
      </c>
      <c r="AF231" s="4">
        <v>1</v>
      </c>
      <c r="AG231" s="4">
        <v>1</v>
      </c>
      <c r="AH231" s="4">
        <v>61</v>
      </c>
      <c r="AI231" s="4">
        <v>67</v>
      </c>
      <c r="AJ231" s="4">
        <v>11</v>
      </c>
      <c r="AK231" s="4">
        <v>11</v>
      </c>
      <c r="AL231" s="4">
        <v>38</v>
      </c>
      <c r="AM231" s="4">
        <v>41</v>
      </c>
      <c r="AN231" s="4">
        <v>0</v>
      </c>
      <c r="AO231" s="4">
        <v>0</v>
      </c>
      <c r="AP231" s="4">
        <v>12</v>
      </c>
      <c r="AQ231" s="4">
        <v>14</v>
      </c>
      <c r="AR231" s="3" t="s">
        <v>62</v>
      </c>
      <c r="AS231" s="3" t="s">
        <v>62</v>
      </c>
      <c r="AT231" s="3" t="s">
        <v>61</v>
      </c>
      <c r="AU231" s="6" t="str">
        <f>HYPERLINK("http://catalog.hathitrust.org/Record/005864708","HathiTrust Record")</f>
        <v>HathiTrust Record</v>
      </c>
      <c r="AV231" s="6" t="str">
        <f>HYPERLINK("http://mcgill.on.worldcat.org/oclc/171109788","Catalog Record")</f>
        <v>Catalog Record</v>
      </c>
      <c r="AW231" s="6" t="str">
        <f>HYPERLINK("http://www.worldcat.org/oclc/171109788","WorldCat Record")</f>
        <v>WorldCat Record</v>
      </c>
      <c r="AX231" s="3" t="s">
        <v>2530</v>
      </c>
      <c r="AY231" s="3" t="s">
        <v>2531</v>
      </c>
      <c r="AZ231" s="3" t="s">
        <v>2532</v>
      </c>
      <c r="BA231" s="3" t="s">
        <v>2532</v>
      </c>
      <c r="BB231" s="3" t="s">
        <v>2533</v>
      </c>
      <c r="BC231" s="3" t="s">
        <v>102</v>
      </c>
      <c r="BD231" s="3" t="s">
        <v>68</v>
      </c>
      <c r="BE231" s="3" t="s">
        <v>2534</v>
      </c>
      <c r="BF231" s="3" t="s">
        <v>2533</v>
      </c>
      <c r="BG231" s="3" t="s">
        <v>2535</v>
      </c>
    </row>
    <row r="232" spans="1:59" ht="58" x14ac:dyDescent="0.35">
      <c r="A232" s="2" t="s">
        <v>89</v>
      </c>
      <c r="B232" s="2" t="s">
        <v>90</v>
      </c>
      <c r="C232" s="2" t="s">
        <v>2536</v>
      </c>
      <c r="D232" s="2" t="s">
        <v>2537</v>
      </c>
      <c r="E232" s="2" t="s">
        <v>2538</v>
      </c>
      <c r="G232" s="3" t="s">
        <v>62</v>
      </c>
      <c r="I232" s="3" t="s">
        <v>61</v>
      </c>
      <c r="J232" s="3" t="s">
        <v>62</v>
      </c>
      <c r="K232" s="3" t="s">
        <v>63</v>
      </c>
      <c r="L232" s="2" t="s">
        <v>2539</v>
      </c>
      <c r="M232" s="2" t="s">
        <v>2540</v>
      </c>
      <c r="N232" s="3" t="s">
        <v>1064</v>
      </c>
      <c r="P232" s="3" t="s">
        <v>64</v>
      </c>
      <c r="Q232" s="2" t="s">
        <v>2541</v>
      </c>
      <c r="R232" s="3" t="s">
        <v>65</v>
      </c>
      <c r="S232" s="4">
        <v>24</v>
      </c>
      <c r="T232" s="4">
        <v>36</v>
      </c>
      <c r="U232" s="5" t="s">
        <v>2542</v>
      </c>
      <c r="V232" s="5" t="s">
        <v>2543</v>
      </c>
      <c r="W232" s="5" t="s">
        <v>67</v>
      </c>
      <c r="X232" s="5" t="s">
        <v>67</v>
      </c>
      <c r="Y232" s="4">
        <v>649</v>
      </c>
      <c r="Z232" s="4">
        <v>49</v>
      </c>
      <c r="AA232" s="4">
        <v>59</v>
      </c>
      <c r="AB232" s="4">
        <v>2</v>
      </c>
      <c r="AC232" s="4">
        <v>5</v>
      </c>
      <c r="AD232" s="4">
        <v>110</v>
      </c>
      <c r="AE232" s="4">
        <v>126</v>
      </c>
      <c r="AF232" s="4">
        <v>1</v>
      </c>
      <c r="AG232" s="4">
        <v>3</v>
      </c>
      <c r="AH232" s="4">
        <v>90</v>
      </c>
      <c r="AI232" s="4">
        <v>97</v>
      </c>
      <c r="AJ232" s="4">
        <v>18</v>
      </c>
      <c r="AK232" s="4">
        <v>23</v>
      </c>
      <c r="AL232" s="4">
        <v>46</v>
      </c>
      <c r="AM232" s="4">
        <v>50</v>
      </c>
      <c r="AN232" s="4">
        <v>0</v>
      </c>
      <c r="AO232" s="4">
        <v>0</v>
      </c>
      <c r="AP232" s="4">
        <v>29</v>
      </c>
      <c r="AQ232" s="4">
        <v>36</v>
      </c>
      <c r="AR232" s="3" t="s">
        <v>62</v>
      </c>
      <c r="AS232" s="3" t="s">
        <v>62</v>
      </c>
      <c r="AT232" s="3" t="s">
        <v>61</v>
      </c>
      <c r="AU232" s="6" t="str">
        <f>HYPERLINK("http://catalog.hathitrust.org/Record/005785158","HathiTrust Record")</f>
        <v>HathiTrust Record</v>
      </c>
      <c r="AV232" s="6" t="str">
        <f>HYPERLINK("http://mcgill.on.worldcat.org/oclc/139944","Catalog Record")</f>
        <v>Catalog Record</v>
      </c>
      <c r="AW232" s="6" t="str">
        <f>HYPERLINK("http://www.worldcat.org/oclc/139944","WorldCat Record")</f>
        <v>WorldCat Record</v>
      </c>
      <c r="AX232" s="3" t="s">
        <v>2544</v>
      </c>
      <c r="AY232" s="3" t="s">
        <v>2545</v>
      </c>
      <c r="AZ232" s="3" t="s">
        <v>2546</v>
      </c>
      <c r="BA232" s="3" t="s">
        <v>2546</v>
      </c>
      <c r="BB232" s="3" t="s">
        <v>2547</v>
      </c>
      <c r="BC232" s="3" t="s">
        <v>102</v>
      </c>
      <c r="BD232" s="3" t="s">
        <v>68</v>
      </c>
      <c r="BE232" s="3" t="s">
        <v>2548</v>
      </c>
      <c r="BF232" s="3" t="s">
        <v>2547</v>
      </c>
      <c r="BG232" s="3" t="s">
        <v>2549</v>
      </c>
    </row>
    <row r="233" spans="1:59" ht="58" x14ac:dyDescent="0.35">
      <c r="A233" s="2" t="s">
        <v>89</v>
      </c>
      <c r="B233" s="2" t="s">
        <v>90</v>
      </c>
      <c r="C233" s="2" t="s">
        <v>2550</v>
      </c>
      <c r="D233" s="2" t="s">
        <v>2551</v>
      </c>
      <c r="E233" s="2" t="s">
        <v>2552</v>
      </c>
      <c r="G233" s="3" t="s">
        <v>61</v>
      </c>
      <c r="I233" s="3" t="s">
        <v>61</v>
      </c>
      <c r="J233" s="3" t="s">
        <v>62</v>
      </c>
      <c r="K233" s="3" t="s">
        <v>63</v>
      </c>
      <c r="L233" s="2" t="s">
        <v>2553</v>
      </c>
      <c r="M233" s="2" t="s">
        <v>2554</v>
      </c>
      <c r="N233" s="3" t="s">
        <v>1576</v>
      </c>
      <c r="P233" s="3" t="s">
        <v>64</v>
      </c>
      <c r="R233" s="3" t="s">
        <v>65</v>
      </c>
      <c r="S233" s="4">
        <v>1</v>
      </c>
      <c r="T233" s="4">
        <v>3</v>
      </c>
      <c r="U233" s="5" t="s">
        <v>2555</v>
      </c>
      <c r="V233" s="5" t="s">
        <v>1407</v>
      </c>
      <c r="W233" s="5" t="s">
        <v>67</v>
      </c>
      <c r="X233" s="5" t="s">
        <v>67</v>
      </c>
      <c r="Y233" s="4">
        <v>480</v>
      </c>
      <c r="Z233" s="4">
        <v>24</v>
      </c>
      <c r="AA233" s="4">
        <v>31</v>
      </c>
      <c r="AB233" s="4">
        <v>2</v>
      </c>
      <c r="AC233" s="4">
        <v>5</v>
      </c>
      <c r="AD233" s="4">
        <v>101</v>
      </c>
      <c r="AE233" s="4">
        <v>108</v>
      </c>
      <c r="AF233" s="4">
        <v>1</v>
      </c>
      <c r="AG233" s="4">
        <v>3</v>
      </c>
      <c r="AH233" s="4">
        <v>87</v>
      </c>
      <c r="AI233" s="4">
        <v>90</v>
      </c>
      <c r="AJ233" s="4">
        <v>15</v>
      </c>
      <c r="AK233" s="4">
        <v>19</v>
      </c>
      <c r="AL233" s="4">
        <v>45</v>
      </c>
      <c r="AM233" s="4">
        <v>45</v>
      </c>
      <c r="AN233" s="4">
        <v>0</v>
      </c>
      <c r="AO233" s="4">
        <v>0</v>
      </c>
      <c r="AP233" s="4">
        <v>19</v>
      </c>
      <c r="AQ233" s="4">
        <v>25</v>
      </c>
      <c r="AR233" s="3" t="s">
        <v>62</v>
      </c>
      <c r="AS233" s="3" t="s">
        <v>62</v>
      </c>
      <c r="AT233" s="3" t="s">
        <v>61</v>
      </c>
      <c r="AU233" s="6" t="str">
        <f>HYPERLINK("http://catalog.hathitrust.org/Record/004447656","HathiTrust Record")</f>
        <v>HathiTrust Record</v>
      </c>
      <c r="AV233" s="6" t="str">
        <f>HYPERLINK("http://mcgill.on.worldcat.org/oclc/784833","Catalog Record")</f>
        <v>Catalog Record</v>
      </c>
      <c r="AW233" s="6" t="str">
        <f>HYPERLINK("http://www.worldcat.org/oclc/784833","WorldCat Record")</f>
        <v>WorldCat Record</v>
      </c>
      <c r="AX233" s="3" t="s">
        <v>2556</v>
      </c>
      <c r="AY233" s="3" t="s">
        <v>2557</v>
      </c>
      <c r="AZ233" s="3" t="s">
        <v>2558</v>
      </c>
      <c r="BA233" s="3" t="s">
        <v>2558</v>
      </c>
      <c r="BB233" s="3" t="s">
        <v>2559</v>
      </c>
      <c r="BC233" s="3" t="s">
        <v>102</v>
      </c>
      <c r="BD233" s="3" t="s">
        <v>68</v>
      </c>
      <c r="BF233" s="3" t="s">
        <v>2559</v>
      </c>
      <c r="BG233" s="3" t="s">
        <v>2560</v>
      </c>
    </row>
    <row r="234" spans="1:59" ht="58" x14ac:dyDescent="0.35">
      <c r="A234" s="2" t="s">
        <v>89</v>
      </c>
      <c r="B234" s="2" t="s">
        <v>90</v>
      </c>
      <c r="C234" s="2" t="s">
        <v>2561</v>
      </c>
      <c r="D234" s="2" t="s">
        <v>2562</v>
      </c>
      <c r="E234" s="2" t="s">
        <v>2563</v>
      </c>
      <c r="G234" s="3" t="s">
        <v>62</v>
      </c>
      <c r="I234" s="3" t="s">
        <v>62</v>
      </c>
      <c r="J234" s="3" t="s">
        <v>61</v>
      </c>
      <c r="K234" s="3" t="s">
        <v>63</v>
      </c>
      <c r="L234" s="2" t="s">
        <v>2564</v>
      </c>
      <c r="M234" s="2" t="s">
        <v>2565</v>
      </c>
      <c r="N234" s="3" t="s">
        <v>2566</v>
      </c>
      <c r="P234" s="3" t="s">
        <v>85</v>
      </c>
      <c r="Q234" s="2" t="s">
        <v>2567</v>
      </c>
      <c r="R234" s="3" t="s">
        <v>65</v>
      </c>
      <c r="S234" s="4">
        <v>17</v>
      </c>
      <c r="T234" s="4">
        <v>17</v>
      </c>
      <c r="U234" s="5" t="s">
        <v>2256</v>
      </c>
      <c r="V234" s="5" t="s">
        <v>2256</v>
      </c>
      <c r="W234" s="5" t="s">
        <v>67</v>
      </c>
      <c r="X234" s="5" t="s">
        <v>67</v>
      </c>
      <c r="Y234" s="4">
        <v>117</v>
      </c>
      <c r="Z234" s="4">
        <v>12</v>
      </c>
      <c r="AA234" s="4">
        <v>33</v>
      </c>
      <c r="AB234" s="4">
        <v>1</v>
      </c>
      <c r="AC234" s="4">
        <v>12</v>
      </c>
      <c r="AD234" s="4">
        <v>36</v>
      </c>
      <c r="AE234" s="4">
        <v>80</v>
      </c>
      <c r="AF234" s="4">
        <v>0</v>
      </c>
      <c r="AG234" s="4">
        <v>5</v>
      </c>
      <c r="AH234" s="4">
        <v>30</v>
      </c>
      <c r="AI234" s="4">
        <v>66</v>
      </c>
      <c r="AJ234" s="4">
        <v>9</v>
      </c>
      <c r="AK234" s="4">
        <v>17</v>
      </c>
      <c r="AL234" s="4">
        <v>18</v>
      </c>
      <c r="AM234" s="4">
        <v>39</v>
      </c>
      <c r="AN234" s="4">
        <v>0</v>
      </c>
      <c r="AO234" s="4">
        <v>0</v>
      </c>
      <c r="AP234" s="4">
        <v>9</v>
      </c>
      <c r="AQ234" s="4">
        <v>19</v>
      </c>
      <c r="AR234" s="3" t="s">
        <v>62</v>
      </c>
      <c r="AS234" s="3" t="s">
        <v>62</v>
      </c>
      <c r="AT234" s="3" t="s">
        <v>61</v>
      </c>
      <c r="AU234" s="6" t="str">
        <f>HYPERLINK("http://catalog.hathitrust.org/Record/000621089","HathiTrust Record")</f>
        <v>HathiTrust Record</v>
      </c>
      <c r="AV234" s="6" t="str">
        <f>HYPERLINK("http://mcgill.on.worldcat.org/oclc/699178","Catalog Record")</f>
        <v>Catalog Record</v>
      </c>
      <c r="AW234" s="6" t="str">
        <f>HYPERLINK("http://www.worldcat.org/oclc/699178","WorldCat Record")</f>
        <v>WorldCat Record</v>
      </c>
      <c r="AX234" s="3" t="s">
        <v>2568</v>
      </c>
      <c r="AY234" s="3" t="s">
        <v>2569</v>
      </c>
      <c r="AZ234" s="3" t="s">
        <v>2570</v>
      </c>
      <c r="BA234" s="3" t="s">
        <v>2570</v>
      </c>
      <c r="BB234" s="3" t="s">
        <v>2571</v>
      </c>
      <c r="BC234" s="3" t="s">
        <v>102</v>
      </c>
      <c r="BD234" s="3" t="s">
        <v>68</v>
      </c>
      <c r="BF234" s="3" t="s">
        <v>2571</v>
      </c>
      <c r="BG234" s="3" t="s">
        <v>2572</v>
      </c>
    </row>
    <row r="235" spans="1:59" ht="58" x14ac:dyDescent="0.35">
      <c r="A235" s="2" t="s">
        <v>89</v>
      </c>
      <c r="B235" s="2" t="s">
        <v>90</v>
      </c>
      <c r="C235" s="2" t="s">
        <v>2573</v>
      </c>
      <c r="D235" s="2" t="s">
        <v>2574</v>
      </c>
      <c r="E235" s="2" t="s">
        <v>2575</v>
      </c>
      <c r="G235" s="3" t="s">
        <v>62</v>
      </c>
      <c r="I235" s="3" t="s">
        <v>62</v>
      </c>
      <c r="J235" s="3" t="s">
        <v>62</v>
      </c>
      <c r="K235" s="3" t="s">
        <v>63</v>
      </c>
      <c r="L235" s="2" t="s">
        <v>2576</v>
      </c>
      <c r="M235" s="2" t="s">
        <v>2025</v>
      </c>
      <c r="N235" s="3" t="s">
        <v>1905</v>
      </c>
      <c r="P235" s="3" t="s">
        <v>64</v>
      </c>
      <c r="R235" s="3" t="s">
        <v>65</v>
      </c>
      <c r="S235" s="4">
        <v>10</v>
      </c>
      <c r="T235" s="4">
        <v>10</v>
      </c>
      <c r="U235" s="5" t="s">
        <v>2375</v>
      </c>
      <c r="V235" s="5" t="s">
        <v>2375</v>
      </c>
      <c r="W235" s="5" t="s">
        <v>67</v>
      </c>
      <c r="X235" s="5" t="s">
        <v>67</v>
      </c>
      <c r="Y235" s="4">
        <v>484</v>
      </c>
      <c r="Z235" s="4">
        <v>31</v>
      </c>
      <c r="AA235" s="4">
        <v>43</v>
      </c>
      <c r="AB235" s="4">
        <v>3</v>
      </c>
      <c r="AC235" s="4">
        <v>9</v>
      </c>
      <c r="AD235" s="4">
        <v>122</v>
      </c>
      <c r="AE235" s="4">
        <v>130</v>
      </c>
      <c r="AF235" s="4">
        <v>1</v>
      </c>
      <c r="AG235" s="4">
        <v>5</v>
      </c>
      <c r="AH235" s="4">
        <v>105</v>
      </c>
      <c r="AI235" s="4">
        <v>107</v>
      </c>
      <c r="AJ235" s="4">
        <v>20</v>
      </c>
      <c r="AK235" s="4">
        <v>25</v>
      </c>
      <c r="AL235" s="4">
        <v>58</v>
      </c>
      <c r="AM235" s="4">
        <v>58</v>
      </c>
      <c r="AN235" s="4">
        <v>0</v>
      </c>
      <c r="AO235" s="4">
        <v>0</v>
      </c>
      <c r="AP235" s="4">
        <v>23</v>
      </c>
      <c r="AQ235" s="4">
        <v>30</v>
      </c>
      <c r="AR235" s="3" t="s">
        <v>62</v>
      </c>
      <c r="AS235" s="3" t="s">
        <v>62</v>
      </c>
      <c r="AT235" s="3" t="s">
        <v>62</v>
      </c>
      <c r="AV235" s="6" t="str">
        <f>HYPERLINK("http://mcgill.on.worldcat.org/oclc/14692886","Catalog Record")</f>
        <v>Catalog Record</v>
      </c>
      <c r="AW235" s="6" t="str">
        <f>HYPERLINK("http://www.worldcat.org/oclc/14692886","WorldCat Record")</f>
        <v>WorldCat Record</v>
      </c>
      <c r="AX235" s="3" t="s">
        <v>2577</v>
      </c>
      <c r="AY235" s="3" t="s">
        <v>2578</v>
      </c>
      <c r="AZ235" s="3" t="s">
        <v>2579</v>
      </c>
      <c r="BA235" s="3" t="s">
        <v>2579</v>
      </c>
      <c r="BB235" s="3" t="s">
        <v>2580</v>
      </c>
      <c r="BC235" s="3" t="s">
        <v>102</v>
      </c>
      <c r="BD235" s="3" t="s">
        <v>68</v>
      </c>
      <c r="BE235" s="3" t="s">
        <v>2581</v>
      </c>
      <c r="BF235" s="3" t="s">
        <v>2580</v>
      </c>
      <c r="BG235" s="3" t="s">
        <v>2582</v>
      </c>
    </row>
    <row r="236" spans="1:59" ht="58" x14ac:dyDescent="0.35">
      <c r="A236" s="2" t="s">
        <v>89</v>
      </c>
      <c r="B236" s="2" t="s">
        <v>90</v>
      </c>
      <c r="C236" s="2" t="s">
        <v>2583</v>
      </c>
      <c r="D236" s="2" t="s">
        <v>2584</v>
      </c>
      <c r="E236" s="2" t="s">
        <v>2585</v>
      </c>
      <c r="G236" s="3" t="s">
        <v>62</v>
      </c>
      <c r="I236" s="3" t="s">
        <v>61</v>
      </c>
      <c r="J236" s="3" t="s">
        <v>62</v>
      </c>
      <c r="K236" s="3" t="s">
        <v>63</v>
      </c>
      <c r="L236" s="2" t="s">
        <v>2586</v>
      </c>
      <c r="M236" s="2" t="s">
        <v>2587</v>
      </c>
      <c r="N236" s="3" t="s">
        <v>2588</v>
      </c>
      <c r="P236" s="3" t="s">
        <v>64</v>
      </c>
      <c r="R236" s="3" t="s">
        <v>65</v>
      </c>
      <c r="S236" s="4">
        <v>21</v>
      </c>
      <c r="T236" s="4">
        <v>31</v>
      </c>
      <c r="U236" s="5" t="s">
        <v>2589</v>
      </c>
      <c r="V236" s="5" t="s">
        <v>2589</v>
      </c>
      <c r="W236" s="5" t="s">
        <v>67</v>
      </c>
      <c r="X236" s="5" t="s">
        <v>67</v>
      </c>
      <c r="Y236" s="4">
        <v>767</v>
      </c>
      <c r="Z236" s="4">
        <v>46</v>
      </c>
      <c r="AA236" s="4">
        <v>57</v>
      </c>
      <c r="AB236" s="4">
        <v>3</v>
      </c>
      <c r="AC236" s="4">
        <v>7</v>
      </c>
      <c r="AD236" s="4">
        <v>137</v>
      </c>
      <c r="AE236" s="4">
        <v>145</v>
      </c>
      <c r="AF236" s="4">
        <v>1</v>
      </c>
      <c r="AG236" s="4">
        <v>4</v>
      </c>
      <c r="AH236" s="4">
        <v>112</v>
      </c>
      <c r="AI236" s="4">
        <v>116</v>
      </c>
      <c r="AJ236" s="4">
        <v>18</v>
      </c>
      <c r="AK236" s="4">
        <v>24</v>
      </c>
      <c r="AL236" s="4">
        <v>59</v>
      </c>
      <c r="AM236" s="4">
        <v>59</v>
      </c>
      <c r="AN236" s="4">
        <v>0</v>
      </c>
      <c r="AO236" s="4">
        <v>0</v>
      </c>
      <c r="AP236" s="4">
        <v>31</v>
      </c>
      <c r="AQ236" s="4">
        <v>37</v>
      </c>
      <c r="AR236" s="3" t="s">
        <v>62</v>
      </c>
      <c r="AS236" s="3" t="s">
        <v>62</v>
      </c>
      <c r="AT236" s="3" t="s">
        <v>62</v>
      </c>
      <c r="AV236" s="6" t="str">
        <f>HYPERLINK("http://mcgill.on.worldcat.org/oclc/2945525","Catalog Record")</f>
        <v>Catalog Record</v>
      </c>
      <c r="AW236" s="6" t="str">
        <f>HYPERLINK("http://www.worldcat.org/oclc/2945525","WorldCat Record")</f>
        <v>WorldCat Record</v>
      </c>
      <c r="AX236" s="3" t="s">
        <v>2590</v>
      </c>
      <c r="AY236" s="3" t="s">
        <v>2591</v>
      </c>
      <c r="AZ236" s="3" t="s">
        <v>2592</v>
      </c>
      <c r="BA236" s="3" t="s">
        <v>2592</v>
      </c>
      <c r="BB236" s="3" t="s">
        <v>2593</v>
      </c>
      <c r="BC236" s="3" t="s">
        <v>102</v>
      </c>
      <c r="BD236" s="3" t="s">
        <v>68</v>
      </c>
      <c r="BE236" s="3" t="s">
        <v>2594</v>
      </c>
      <c r="BF236" s="3" t="s">
        <v>2593</v>
      </c>
      <c r="BG236" s="3" t="s">
        <v>2595</v>
      </c>
    </row>
    <row r="237" spans="1:59" ht="58" x14ac:dyDescent="0.35">
      <c r="A237" s="2" t="s">
        <v>89</v>
      </c>
      <c r="B237" s="2" t="s">
        <v>90</v>
      </c>
      <c r="C237" s="2" t="s">
        <v>2596</v>
      </c>
      <c r="D237" s="2" t="s">
        <v>2597</v>
      </c>
      <c r="E237" s="2" t="s">
        <v>2598</v>
      </c>
      <c r="G237" s="3" t="s">
        <v>62</v>
      </c>
      <c r="I237" s="3" t="s">
        <v>61</v>
      </c>
      <c r="J237" s="3" t="s">
        <v>62</v>
      </c>
      <c r="K237" s="3" t="s">
        <v>63</v>
      </c>
      <c r="L237" s="2" t="s">
        <v>2599</v>
      </c>
      <c r="M237" s="2" t="s">
        <v>2600</v>
      </c>
      <c r="N237" s="3" t="s">
        <v>1467</v>
      </c>
      <c r="P237" s="3" t="s">
        <v>2601</v>
      </c>
      <c r="R237" s="3" t="s">
        <v>65</v>
      </c>
      <c r="S237" s="4">
        <v>10</v>
      </c>
      <c r="T237" s="4">
        <v>22</v>
      </c>
      <c r="U237" s="5" t="s">
        <v>757</v>
      </c>
      <c r="V237" s="5" t="s">
        <v>757</v>
      </c>
      <c r="W237" s="5" t="s">
        <v>67</v>
      </c>
      <c r="X237" s="5" t="s">
        <v>67</v>
      </c>
      <c r="Y237" s="4">
        <v>258</v>
      </c>
      <c r="Z237" s="4">
        <v>16</v>
      </c>
      <c r="AA237" s="4">
        <v>16</v>
      </c>
      <c r="AB237" s="4">
        <v>1</v>
      </c>
      <c r="AC237" s="4">
        <v>1</v>
      </c>
      <c r="AD237" s="4">
        <v>84</v>
      </c>
      <c r="AE237" s="4">
        <v>84</v>
      </c>
      <c r="AF237" s="4">
        <v>0</v>
      </c>
      <c r="AG237" s="4">
        <v>0</v>
      </c>
      <c r="AH237" s="4">
        <v>75</v>
      </c>
      <c r="AI237" s="4">
        <v>75</v>
      </c>
      <c r="AJ237" s="4">
        <v>10</v>
      </c>
      <c r="AK237" s="4">
        <v>10</v>
      </c>
      <c r="AL237" s="4">
        <v>50</v>
      </c>
      <c r="AM237" s="4">
        <v>50</v>
      </c>
      <c r="AN237" s="4">
        <v>0</v>
      </c>
      <c r="AO237" s="4">
        <v>0</v>
      </c>
      <c r="AP237" s="4">
        <v>12</v>
      </c>
      <c r="AQ237" s="4">
        <v>12</v>
      </c>
      <c r="AR237" s="3" t="s">
        <v>62</v>
      </c>
      <c r="AS237" s="3" t="s">
        <v>62</v>
      </c>
      <c r="AT237" s="3" t="s">
        <v>62</v>
      </c>
      <c r="AV237" s="6" t="str">
        <f>HYPERLINK("http://mcgill.on.worldcat.org/oclc/2117737","Catalog Record")</f>
        <v>Catalog Record</v>
      </c>
      <c r="AW237" s="6" t="str">
        <f>HYPERLINK("http://www.worldcat.org/oclc/2117737","WorldCat Record")</f>
        <v>WorldCat Record</v>
      </c>
      <c r="AX237" s="3" t="s">
        <v>2602</v>
      </c>
      <c r="AY237" s="3" t="s">
        <v>2603</v>
      </c>
      <c r="AZ237" s="3" t="s">
        <v>2604</v>
      </c>
      <c r="BA237" s="3" t="s">
        <v>2604</v>
      </c>
      <c r="BB237" s="3" t="s">
        <v>2605</v>
      </c>
      <c r="BC237" s="3" t="s">
        <v>102</v>
      </c>
      <c r="BD237" s="3" t="s">
        <v>68</v>
      </c>
      <c r="BF237" s="3" t="s">
        <v>2605</v>
      </c>
      <c r="BG237" s="3" t="s">
        <v>2606</v>
      </c>
    </row>
    <row r="238" spans="1:59" ht="58" x14ac:dyDescent="0.35">
      <c r="A238" s="2" t="s">
        <v>89</v>
      </c>
      <c r="B238" s="2" t="s">
        <v>90</v>
      </c>
      <c r="C238" s="2" t="s">
        <v>2607</v>
      </c>
      <c r="D238" s="2" t="s">
        <v>2608</v>
      </c>
      <c r="E238" s="2" t="s">
        <v>2609</v>
      </c>
      <c r="G238" s="3" t="s">
        <v>62</v>
      </c>
      <c r="I238" s="3" t="s">
        <v>61</v>
      </c>
      <c r="J238" s="3" t="s">
        <v>62</v>
      </c>
      <c r="K238" s="3" t="s">
        <v>63</v>
      </c>
      <c r="L238" s="2" t="s">
        <v>2610</v>
      </c>
      <c r="M238" s="2" t="s">
        <v>2611</v>
      </c>
      <c r="N238" s="3" t="s">
        <v>2612</v>
      </c>
      <c r="P238" s="3" t="s">
        <v>64</v>
      </c>
      <c r="R238" s="3" t="s">
        <v>65</v>
      </c>
      <c r="S238" s="4">
        <v>8</v>
      </c>
      <c r="T238" s="4">
        <v>8</v>
      </c>
      <c r="U238" s="5" t="s">
        <v>2613</v>
      </c>
      <c r="V238" s="5" t="s">
        <v>2613</v>
      </c>
      <c r="W238" s="5" t="s">
        <v>67</v>
      </c>
      <c r="X238" s="5" t="s">
        <v>67</v>
      </c>
      <c r="Y238" s="4">
        <v>310</v>
      </c>
      <c r="Z238" s="4">
        <v>24</v>
      </c>
      <c r="AA238" s="4">
        <v>41</v>
      </c>
      <c r="AB238" s="4">
        <v>3</v>
      </c>
      <c r="AC238" s="4">
        <v>5</v>
      </c>
      <c r="AD238" s="4">
        <v>98</v>
      </c>
      <c r="AE238" s="4">
        <v>110</v>
      </c>
      <c r="AF238" s="4">
        <v>1</v>
      </c>
      <c r="AG238" s="4">
        <v>2</v>
      </c>
      <c r="AH238" s="4">
        <v>86</v>
      </c>
      <c r="AI238" s="4">
        <v>89</v>
      </c>
      <c r="AJ238" s="4">
        <v>12</v>
      </c>
      <c r="AK238" s="4">
        <v>17</v>
      </c>
      <c r="AL238" s="4">
        <v>52</v>
      </c>
      <c r="AM238" s="4">
        <v>54</v>
      </c>
      <c r="AN238" s="4">
        <v>0</v>
      </c>
      <c r="AO238" s="4">
        <v>0</v>
      </c>
      <c r="AP238" s="4">
        <v>16</v>
      </c>
      <c r="AQ238" s="4">
        <v>23</v>
      </c>
      <c r="AR238" s="3" t="s">
        <v>62</v>
      </c>
      <c r="AS238" s="3" t="s">
        <v>61</v>
      </c>
      <c r="AT238" s="3" t="s">
        <v>62</v>
      </c>
      <c r="AU238" s="6" t="str">
        <f>HYPERLINK("http://catalog.hathitrust.org/Record/001473461","HathiTrust Record")</f>
        <v>HathiTrust Record</v>
      </c>
      <c r="AV238" s="6" t="str">
        <f>HYPERLINK("http://mcgill.on.worldcat.org/oclc/602320","Catalog Record")</f>
        <v>Catalog Record</v>
      </c>
      <c r="AW238" s="6" t="str">
        <f>HYPERLINK("http://www.worldcat.org/oclc/602320","WorldCat Record")</f>
        <v>WorldCat Record</v>
      </c>
      <c r="AX238" s="3" t="s">
        <v>2614</v>
      </c>
      <c r="AY238" s="3" t="s">
        <v>2615</v>
      </c>
      <c r="AZ238" s="3" t="s">
        <v>2616</v>
      </c>
      <c r="BA238" s="3" t="s">
        <v>2616</v>
      </c>
      <c r="BB238" s="3" t="s">
        <v>2617</v>
      </c>
      <c r="BC238" s="3" t="s">
        <v>102</v>
      </c>
      <c r="BD238" s="3" t="s">
        <v>68</v>
      </c>
      <c r="BF238" s="3" t="s">
        <v>2617</v>
      </c>
      <c r="BG238" s="3" t="s">
        <v>2618</v>
      </c>
    </row>
    <row r="239" spans="1:59" ht="58" x14ac:dyDescent="0.35">
      <c r="A239" s="2" t="s">
        <v>89</v>
      </c>
      <c r="B239" s="2" t="s">
        <v>90</v>
      </c>
      <c r="C239" s="2" t="s">
        <v>2619</v>
      </c>
      <c r="D239" s="2" t="s">
        <v>2620</v>
      </c>
      <c r="E239" s="2" t="s">
        <v>2621</v>
      </c>
      <c r="G239" s="3" t="s">
        <v>62</v>
      </c>
      <c r="I239" s="3" t="s">
        <v>62</v>
      </c>
      <c r="J239" s="3" t="s">
        <v>62</v>
      </c>
      <c r="K239" s="3" t="s">
        <v>63</v>
      </c>
      <c r="M239" s="2" t="s">
        <v>2622</v>
      </c>
      <c r="N239" s="3" t="s">
        <v>396</v>
      </c>
      <c r="O239" s="2" t="s">
        <v>2163</v>
      </c>
      <c r="P239" s="3" t="s">
        <v>64</v>
      </c>
      <c r="Q239" s="2" t="s">
        <v>2623</v>
      </c>
      <c r="R239" s="3" t="s">
        <v>65</v>
      </c>
      <c r="S239" s="4">
        <v>12</v>
      </c>
      <c r="T239" s="4">
        <v>12</v>
      </c>
      <c r="U239" s="5" t="s">
        <v>2375</v>
      </c>
      <c r="V239" s="5" t="s">
        <v>2375</v>
      </c>
      <c r="W239" s="5" t="s">
        <v>67</v>
      </c>
      <c r="X239" s="5" t="s">
        <v>67</v>
      </c>
      <c r="Y239" s="4">
        <v>384</v>
      </c>
      <c r="Z239" s="4">
        <v>17</v>
      </c>
      <c r="AA239" s="4">
        <v>17</v>
      </c>
      <c r="AB239" s="4">
        <v>1</v>
      </c>
      <c r="AC239" s="4">
        <v>1</v>
      </c>
      <c r="AD239" s="4">
        <v>101</v>
      </c>
      <c r="AE239" s="4">
        <v>101</v>
      </c>
      <c r="AF239" s="4">
        <v>0</v>
      </c>
      <c r="AG239" s="4">
        <v>0</v>
      </c>
      <c r="AH239" s="4">
        <v>90</v>
      </c>
      <c r="AI239" s="4">
        <v>90</v>
      </c>
      <c r="AJ239" s="4">
        <v>11</v>
      </c>
      <c r="AK239" s="4">
        <v>11</v>
      </c>
      <c r="AL239" s="4">
        <v>52</v>
      </c>
      <c r="AM239" s="4">
        <v>52</v>
      </c>
      <c r="AN239" s="4">
        <v>0</v>
      </c>
      <c r="AO239" s="4">
        <v>0</v>
      </c>
      <c r="AP239" s="4">
        <v>15</v>
      </c>
      <c r="AQ239" s="4">
        <v>15</v>
      </c>
      <c r="AR239" s="3" t="s">
        <v>62</v>
      </c>
      <c r="AS239" s="3" t="s">
        <v>62</v>
      </c>
      <c r="AT239" s="3" t="s">
        <v>62</v>
      </c>
      <c r="AV239" s="6" t="str">
        <f>HYPERLINK("http://mcgill.on.worldcat.org/oclc/11841899","Catalog Record")</f>
        <v>Catalog Record</v>
      </c>
      <c r="AW239" s="6" t="str">
        <f>HYPERLINK("http://www.worldcat.org/oclc/11841899","WorldCat Record")</f>
        <v>WorldCat Record</v>
      </c>
      <c r="AX239" s="3" t="s">
        <v>2624</v>
      </c>
      <c r="AY239" s="3" t="s">
        <v>2625</v>
      </c>
      <c r="AZ239" s="3" t="s">
        <v>2626</v>
      </c>
      <c r="BA239" s="3" t="s">
        <v>2626</v>
      </c>
      <c r="BB239" s="3" t="s">
        <v>2627</v>
      </c>
      <c r="BC239" s="3" t="s">
        <v>102</v>
      </c>
      <c r="BD239" s="3" t="s">
        <v>68</v>
      </c>
      <c r="BE239" s="3" t="s">
        <v>2628</v>
      </c>
      <c r="BF239" s="3" t="s">
        <v>2627</v>
      </c>
      <c r="BG239" s="3" t="s">
        <v>2629</v>
      </c>
    </row>
    <row r="240" spans="1:59" ht="58" x14ac:dyDescent="0.35">
      <c r="A240" s="2" t="s">
        <v>89</v>
      </c>
      <c r="B240" s="2" t="s">
        <v>90</v>
      </c>
      <c r="C240" s="2" t="s">
        <v>2630</v>
      </c>
      <c r="D240" s="2" t="s">
        <v>2631</v>
      </c>
      <c r="E240" s="2" t="s">
        <v>2632</v>
      </c>
      <c r="G240" s="3" t="s">
        <v>62</v>
      </c>
      <c r="I240" s="3" t="s">
        <v>62</v>
      </c>
      <c r="J240" s="3" t="s">
        <v>62</v>
      </c>
      <c r="K240" s="3" t="s">
        <v>63</v>
      </c>
      <c r="L240" s="2" t="s">
        <v>2633</v>
      </c>
      <c r="M240" s="2" t="s">
        <v>2634</v>
      </c>
      <c r="N240" s="3" t="s">
        <v>755</v>
      </c>
      <c r="P240" s="3" t="s">
        <v>64</v>
      </c>
      <c r="R240" s="3" t="s">
        <v>65</v>
      </c>
      <c r="S240" s="4">
        <v>12</v>
      </c>
      <c r="T240" s="4">
        <v>12</v>
      </c>
      <c r="U240" s="5" t="s">
        <v>2613</v>
      </c>
      <c r="V240" s="5" t="s">
        <v>2613</v>
      </c>
      <c r="W240" s="5" t="s">
        <v>67</v>
      </c>
      <c r="X240" s="5" t="s">
        <v>67</v>
      </c>
      <c r="Y240" s="4">
        <v>156</v>
      </c>
      <c r="Z240" s="4">
        <v>8</v>
      </c>
      <c r="AA240" s="4">
        <v>8</v>
      </c>
      <c r="AB240" s="4">
        <v>1</v>
      </c>
      <c r="AC240" s="4">
        <v>1</v>
      </c>
      <c r="AD240" s="4">
        <v>41</v>
      </c>
      <c r="AE240" s="4">
        <v>41</v>
      </c>
      <c r="AF240" s="4">
        <v>0</v>
      </c>
      <c r="AG240" s="4">
        <v>0</v>
      </c>
      <c r="AH240" s="4">
        <v>35</v>
      </c>
      <c r="AI240" s="4">
        <v>35</v>
      </c>
      <c r="AJ240" s="4">
        <v>5</v>
      </c>
      <c r="AK240" s="4">
        <v>5</v>
      </c>
      <c r="AL240" s="4">
        <v>26</v>
      </c>
      <c r="AM240" s="4">
        <v>26</v>
      </c>
      <c r="AN240" s="4">
        <v>5</v>
      </c>
      <c r="AO240" s="4">
        <v>5</v>
      </c>
      <c r="AP240" s="4">
        <v>6</v>
      </c>
      <c r="AQ240" s="4">
        <v>6</v>
      </c>
      <c r="AR240" s="3" t="s">
        <v>62</v>
      </c>
      <c r="AS240" s="3" t="s">
        <v>62</v>
      </c>
      <c r="AT240" s="3" t="s">
        <v>61</v>
      </c>
      <c r="AU240" s="6" t="str">
        <f>HYPERLINK("http://catalog.hathitrust.org/Record/001473465","HathiTrust Record")</f>
        <v>HathiTrust Record</v>
      </c>
      <c r="AV240" s="6" t="str">
        <f>HYPERLINK("http://mcgill.on.worldcat.org/oclc/3553108","Catalog Record")</f>
        <v>Catalog Record</v>
      </c>
      <c r="AW240" s="6" t="str">
        <f>HYPERLINK("http://www.worldcat.org/oclc/3553108","WorldCat Record")</f>
        <v>WorldCat Record</v>
      </c>
      <c r="AX240" s="3" t="s">
        <v>2635</v>
      </c>
      <c r="AY240" s="3" t="s">
        <v>2636</v>
      </c>
      <c r="AZ240" s="3" t="s">
        <v>2637</v>
      </c>
      <c r="BA240" s="3" t="s">
        <v>2637</v>
      </c>
      <c r="BB240" s="3" t="s">
        <v>2638</v>
      </c>
      <c r="BC240" s="3" t="s">
        <v>102</v>
      </c>
      <c r="BD240" s="3" t="s">
        <v>68</v>
      </c>
      <c r="BF240" s="3" t="s">
        <v>2638</v>
      </c>
      <c r="BG240" s="3" t="s">
        <v>2639</v>
      </c>
    </row>
    <row r="241" spans="1:59" ht="58" x14ac:dyDescent="0.35">
      <c r="A241" s="2" t="s">
        <v>89</v>
      </c>
      <c r="B241" s="2" t="s">
        <v>90</v>
      </c>
      <c r="C241" s="2" t="s">
        <v>2640</v>
      </c>
      <c r="D241" s="2" t="s">
        <v>2641</v>
      </c>
      <c r="E241" s="2" t="s">
        <v>2642</v>
      </c>
      <c r="G241" s="3" t="s">
        <v>62</v>
      </c>
      <c r="I241" s="3" t="s">
        <v>62</v>
      </c>
      <c r="J241" s="3" t="s">
        <v>62</v>
      </c>
      <c r="K241" s="3" t="s">
        <v>63</v>
      </c>
      <c r="L241" s="2" t="s">
        <v>1303</v>
      </c>
      <c r="M241" s="2" t="s">
        <v>2643</v>
      </c>
      <c r="N241" s="3" t="s">
        <v>1905</v>
      </c>
      <c r="P241" s="3" t="s">
        <v>85</v>
      </c>
      <c r="Q241" s="2" t="s">
        <v>2644</v>
      </c>
      <c r="R241" s="3" t="s">
        <v>65</v>
      </c>
      <c r="S241" s="4">
        <v>2</v>
      </c>
      <c r="T241" s="4">
        <v>2</v>
      </c>
      <c r="U241" s="5" t="s">
        <v>2645</v>
      </c>
      <c r="V241" s="5" t="s">
        <v>2645</v>
      </c>
      <c r="W241" s="5" t="s">
        <v>67</v>
      </c>
      <c r="X241" s="5" t="s">
        <v>67</v>
      </c>
      <c r="Y241" s="4">
        <v>69</v>
      </c>
      <c r="Z241" s="4">
        <v>11</v>
      </c>
      <c r="AA241" s="4">
        <v>12</v>
      </c>
      <c r="AB241" s="4">
        <v>6</v>
      </c>
      <c r="AC241" s="4">
        <v>6</v>
      </c>
      <c r="AD241" s="4">
        <v>8</v>
      </c>
      <c r="AE241" s="4">
        <v>40</v>
      </c>
      <c r="AF241" s="4">
        <v>3</v>
      </c>
      <c r="AG241" s="4">
        <v>3</v>
      </c>
      <c r="AH241" s="4">
        <v>6</v>
      </c>
      <c r="AI241" s="4">
        <v>35</v>
      </c>
      <c r="AJ241" s="4">
        <v>7</v>
      </c>
      <c r="AK241" s="4">
        <v>7</v>
      </c>
      <c r="AL241" s="4">
        <v>2</v>
      </c>
      <c r="AM241" s="4">
        <v>28</v>
      </c>
      <c r="AN241" s="4">
        <v>0</v>
      </c>
      <c r="AO241" s="4">
        <v>0</v>
      </c>
      <c r="AP241" s="4">
        <v>6</v>
      </c>
      <c r="AQ241" s="4">
        <v>6</v>
      </c>
      <c r="AR241" s="3" t="s">
        <v>62</v>
      </c>
      <c r="AS241" s="3" t="s">
        <v>62</v>
      </c>
      <c r="AT241" s="3" t="s">
        <v>61</v>
      </c>
      <c r="AU241" s="6" t="str">
        <f>HYPERLINK("http://catalog.hathitrust.org/Record/006196978","HathiTrust Record")</f>
        <v>HathiTrust Record</v>
      </c>
      <c r="AV241" s="6" t="str">
        <f>HYPERLINK("http://mcgill.on.worldcat.org/oclc/213924538","Catalog Record")</f>
        <v>Catalog Record</v>
      </c>
      <c r="AW241" s="6" t="str">
        <f>HYPERLINK("http://www.worldcat.org/oclc/213924538","WorldCat Record")</f>
        <v>WorldCat Record</v>
      </c>
      <c r="AX241" s="3" t="s">
        <v>2646</v>
      </c>
      <c r="AY241" s="3" t="s">
        <v>2647</v>
      </c>
      <c r="AZ241" s="3" t="s">
        <v>2648</v>
      </c>
      <c r="BA241" s="3" t="s">
        <v>2648</v>
      </c>
      <c r="BB241" s="3" t="s">
        <v>2649</v>
      </c>
      <c r="BC241" s="3" t="s">
        <v>102</v>
      </c>
      <c r="BD241" s="3" t="s">
        <v>68</v>
      </c>
      <c r="BE241" s="3" t="s">
        <v>2650</v>
      </c>
      <c r="BF241" s="3" t="s">
        <v>2649</v>
      </c>
      <c r="BG241" s="3" t="s">
        <v>2651</v>
      </c>
    </row>
    <row r="242" spans="1:59" ht="72.5" x14ac:dyDescent="0.35">
      <c r="A242" s="2" t="s">
        <v>89</v>
      </c>
      <c r="B242" s="2" t="s">
        <v>90</v>
      </c>
      <c r="C242" s="2" t="s">
        <v>2652</v>
      </c>
      <c r="D242" s="2" t="s">
        <v>2653</v>
      </c>
      <c r="E242" s="2" t="s">
        <v>2654</v>
      </c>
      <c r="G242" s="3" t="s">
        <v>62</v>
      </c>
      <c r="I242" s="3" t="s">
        <v>61</v>
      </c>
      <c r="J242" s="3" t="s">
        <v>61</v>
      </c>
      <c r="K242" s="3" t="s">
        <v>63</v>
      </c>
      <c r="L242" s="2" t="s">
        <v>2655</v>
      </c>
      <c r="M242" s="2" t="s">
        <v>2656</v>
      </c>
      <c r="N242" s="3" t="s">
        <v>1305</v>
      </c>
      <c r="P242" s="3" t="s">
        <v>64</v>
      </c>
      <c r="Q242" s="2" t="s">
        <v>2657</v>
      </c>
      <c r="R242" s="3" t="s">
        <v>65</v>
      </c>
      <c r="S242" s="4">
        <v>5</v>
      </c>
      <c r="T242" s="4">
        <v>10</v>
      </c>
      <c r="U242" s="5" t="s">
        <v>2613</v>
      </c>
      <c r="V242" s="5" t="s">
        <v>2613</v>
      </c>
      <c r="W242" s="5" t="s">
        <v>67</v>
      </c>
      <c r="X242" s="5" t="s">
        <v>67</v>
      </c>
      <c r="Y242" s="4">
        <v>311</v>
      </c>
      <c r="Z242" s="4">
        <v>11</v>
      </c>
      <c r="AA242" s="4">
        <v>30</v>
      </c>
      <c r="AB242" s="4">
        <v>2</v>
      </c>
      <c r="AC242" s="4">
        <v>3</v>
      </c>
      <c r="AD242" s="4">
        <v>81</v>
      </c>
      <c r="AE242" s="4">
        <v>121</v>
      </c>
      <c r="AF242" s="4">
        <v>1</v>
      </c>
      <c r="AG242" s="4">
        <v>2</v>
      </c>
      <c r="AH242" s="4">
        <v>70</v>
      </c>
      <c r="AI242" s="4">
        <v>101</v>
      </c>
      <c r="AJ242" s="4">
        <v>5</v>
      </c>
      <c r="AK242" s="4">
        <v>17</v>
      </c>
      <c r="AL242" s="4">
        <v>41</v>
      </c>
      <c r="AM242" s="4">
        <v>57</v>
      </c>
      <c r="AN242" s="4">
        <v>0</v>
      </c>
      <c r="AO242" s="4">
        <v>0</v>
      </c>
      <c r="AP242" s="4">
        <v>9</v>
      </c>
      <c r="AQ242" s="4">
        <v>24</v>
      </c>
      <c r="AR242" s="3" t="s">
        <v>62</v>
      </c>
      <c r="AS242" s="3" t="s">
        <v>62</v>
      </c>
      <c r="AT242" s="3" t="s">
        <v>62</v>
      </c>
      <c r="AU242" s="6" t="str">
        <f>HYPERLINK("http://catalog.hathitrust.org/Record/001473474","HathiTrust Record")</f>
        <v>HathiTrust Record</v>
      </c>
      <c r="AV242" s="6" t="str">
        <f>HYPERLINK("http://mcgill.on.worldcat.org/oclc/1076606","Catalog Record")</f>
        <v>Catalog Record</v>
      </c>
      <c r="AW242" s="6" t="str">
        <f>HYPERLINK("http://www.worldcat.org/oclc/1076606","WorldCat Record")</f>
        <v>WorldCat Record</v>
      </c>
      <c r="AX242" s="3" t="s">
        <v>2658</v>
      </c>
      <c r="AY242" s="3" t="s">
        <v>2659</v>
      </c>
      <c r="AZ242" s="3" t="s">
        <v>2660</v>
      </c>
      <c r="BA242" s="3" t="s">
        <v>2660</v>
      </c>
      <c r="BB242" s="3" t="s">
        <v>2661</v>
      </c>
      <c r="BC242" s="3" t="s">
        <v>102</v>
      </c>
      <c r="BD242" s="3" t="s">
        <v>68</v>
      </c>
      <c r="BF242" s="3" t="s">
        <v>2661</v>
      </c>
      <c r="BG242" s="3" t="s">
        <v>2662</v>
      </c>
    </row>
    <row r="243" spans="1:59" ht="58" x14ac:dyDescent="0.35">
      <c r="A243" s="2" t="s">
        <v>89</v>
      </c>
      <c r="B243" s="2" t="s">
        <v>90</v>
      </c>
      <c r="C243" s="2" t="s">
        <v>2663</v>
      </c>
      <c r="D243" s="2" t="s">
        <v>2664</v>
      </c>
      <c r="E243" s="2" t="s">
        <v>2665</v>
      </c>
      <c r="G243" s="3" t="s">
        <v>62</v>
      </c>
      <c r="I243" s="3" t="s">
        <v>62</v>
      </c>
      <c r="J243" s="3" t="s">
        <v>62</v>
      </c>
      <c r="K243" s="3" t="s">
        <v>63</v>
      </c>
      <c r="M243" s="2" t="s">
        <v>2666</v>
      </c>
      <c r="N243" s="3" t="s">
        <v>438</v>
      </c>
      <c r="P243" s="3" t="s">
        <v>64</v>
      </c>
      <c r="R243" s="3" t="s">
        <v>65</v>
      </c>
      <c r="S243" s="4">
        <v>72</v>
      </c>
      <c r="T243" s="4">
        <v>72</v>
      </c>
      <c r="U243" s="5" t="s">
        <v>2667</v>
      </c>
      <c r="V243" s="5" t="s">
        <v>2667</v>
      </c>
      <c r="W243" s="5" t="s">
        <v>67</v>
      </c>
      <c r="X243" s="5" t="s">
        <v>67</v>
      </c>
      <c r="Y243" s="4">
        <v>676</v>
      </c>
      <c r="Z243" s="4">
        <v>45</v>
      </c>
      <c r="AA243" s="4">
        <v>50</v>
      </c>
      <c r="AB243" s="4">
        <v>2</v>
      </c>
      <c r="AC243" s="4">
        <v>4</v>
      </c>
      <c r="AD243" s="4">
        <v>131</v>
      </c>
      <c r="AE243" s="4">
        <v>136</v>
      </c>
      <c r="AF243" s="4">
        <v>1</v>
      </c>
      <c r="AG243" s="4">
        <v>3</v>
      </c>
      <c r="AH243" s="4">
        <v>104</v>
      </c>
      <c r="AI243" s="4">
        <v>107</v>
      </c>
      <c r="AJ243" s="4">
        <v>17</v>
      </c>
      <c r="AK243" s="4">
        <v>21</v>
      </c>
      <c r="AL243" s="4">
        <v>56</v>
      </c>
      <c r="AM243" s="4">
        <v>57</v>
      </c>
      <c r="AN243" s="4">
        <v>0</v>
      </c>
      <c r="AO243" s="4">
        <v>0</v>
      </c>
      <c r="AP243" s="4">
        <v>32</v>
      </c>
      <c r="AQ243" s="4">
        <v>35</v>
      </c>
      <c r="AR243" s="3" t="s">
        <v>62</v>
      </c>
      <c r="AS243" s="3" t="s">
        <v>62</v>
      </c>
      <c r="AT243" s="3" t="s">
        <v>62</v>
      </c>
      <c r="AV243" s="6" t="str">
        <f>HYPERLINK("http://mcgill.on.worldcat.org/oclc/20758238","Catalog Record")</f>
        <v>Catalog Record</v>
      </c>
      <c r="AW243" s="6" t="str">
        <f>HYPERLINK("http://www.worldcat.org/oclc/20758238","WorldCat Record")</f>
        <v>WorldCat Record</v>
      </c>
      <c r="AX243" s="3" t="s">
        <v>2668</v>
      </c>
      <c r="AY243" s="3" t="s">
        <v>2669</v>
      </c>
      <c r="AZ243" s="3" t="s">
        <v>2670</v>
      </c>
      <c r="BA243" s="3" t="s">
        <v>2670</v>
      </c>
      <c r="BB243" s="3" t="s">
        <v>2671</v>
      </c>
      <c r="BC243" s="3" t="s">
        <v>102</v>
      </c>
      <c r="BD243" s="3" t="s">
        <v>68</v>
      </c>
      <c r="BE243" s="3" t="s">
        <v>2672</v>
      </c>
      <c r="BF243" s="3" t="s">
        <v>2671</v>
      </c>
      <c r="BG243" s="3" t="s">
        <v>2673</v>
      </c>
    </row>
    <row r="244" spans="1:59" ht="58" x14ac:dyDescent="0.35">
      <c r="A244" s="2" t="s">
        <v>89</v>
      </c>
      <c r="B244" s="2" t="s">
        <v>90</v>
      </c>
      <c r="C244" s="2" t="s">
        <v>2674</v>
      </c>
      <c r="D244" s="2" t="s">
        <v>2675</v>
      </c>
      <c r="E244" s="2" t="s">
        <v>2676</v>
      </c>
      <c r="G244" s="3" t="s">
        <v>62</v>
      </c>
      <c r="I244" s="3" t="s">
        <v>61</v>
      </c>
      <c r="J244" s="3" t="s">
        <v>62</v>
      </c>
      <c r="K244" s="3" t="s">
        <v>63</v>
      </c>
      <c r="L244" s="2" t="s">
        <v>2677</v>
      </c>
      <c r="M244" s="2" t="s">
        <v>2678</v>
      </c>
      <c r="N244" s="3" t="s">
        <v>2679</v>
      </c>
      <c r="P244" s="3" t="s">
        <v>64</v>
      </c>
      <c r="R244" s="3" t="s">
        <v>65</v>
      </c>
      <c r="S244" s="4">
        <v>8</v>
      </c>
      <c r="T244" s="4">
        <v>8</v>
      </c>
      <c r="U244" s="5" t="s">
        <v>2680</v>
      </c>
      <c r="V244" s="5" t="s">
        <v>2680</v>
      </c>
      <c r="W244" s="5" t="s">
        <v>67</v>
      </c>
      <c r="X244" s="5" t="s">
        <v>67</v>
      </c>
      <c r="Y244" s="4">
        <v>235</v>
      </c>
      <c r="Z244" s="4">
        <v>11</v>
      </c>
      <c r="AA244" s="4">
        <v>11</v>
      </c>
      <c r="AB244" s="4">
        <v>1</v>
      </c>
      <c r="AC244" s="4">
        <v>1</v>
      </c>
      <c r="AD244" s="4">
        <v>85</v>
      </c>
      <c r="AE244" s="4">
        <v>86</v>
      </c>
      <c r="AF244" s="4">
        <v>0</v>
      </c>
      <c r="AG244" s="4">
        <v>0</v>
      </c>
      <c r="AH244" s="4">
        <v>80</v>
      </c>
      <c r="AI244" s="4">
        <v>81</v>
      </c>
      <c r="AJ244" s="4">
        <v>8</v>
      </c>
      <c r="AK244" s="4">
        <v>8</v>
      </c>
      <c r="AL244" s="4">
        <v>51</v>
      </c>
      <c r="AM244" s="4">
        <v>52</v>
      </c>
      <c r="AN244" s="4">
        <v>0</v>
      </c>
      <c r="AO244" s="4">
        <v>0</v>
      </c>
      <c r="AP244" s="4">
        <v>8</v>
      </c>
      <c r="AQ244" s="4">
        <v>8</v>
      </c>
      <c r="AR244" s="3" t="s">
        <v>62</v>
      </c>
      <c r="AS244" s="3" t="s">
        <v>62</v>
      </c>
      <c r="AT244" s="3" t="s">
        <v>61</v>
      </c>
      <c r="AU244" s="6" t="str">
        <f>HYPERLINK("http://catalog.hathitrust.org/Record/001483537","HathiTrust Record")</f>
        <v>HathiTrust Record</v>
      </c>
      <c r="AV244" s="6" t="str">
        <f>HYPERLINK("http://mcgill.on.worldcat.org/oclc/403555","Catalog Record")</f>
        <v>Catalog Record</v>
      </c>
      <c r="AW244" s="6" t="str">
        <f>HYPERLINK("http://www.worldcat.org/oclc/403555","WorldCat Record")</f>
        <v>WorldCat Record</v>
      </c>
      <c r="AX244" s="3" t="s">
        <v>2681</v>
      </c>
      <c r="AY244" s="3" t="s">
        <v>2682</v>
      </c>
      <c r="AZ244" s="3" t="s">
        <v>2683</v>
      </c>
      <c r="BA244" s="3" t="s">
        <v>2683</v>
      </c>
      <c r="BB244" s="3" t="s">
        <v>2684</v>
      </c>
      <c r="BC244" s="3" t="s">
        <v>102</v>
      </c>
      <c r="BD244" s="3" t="s">
        <v>68</v>
      </c>
      <c r="BF244" s="3" t="s">
        <v>2684</v>
      </c>
      <c r="BG244" s="3" t="s">
        <v>2685</v>
      </c>
    </row>
    <row r="245" spans="1:59" ht="58" x14ac:dyDescent="0.35">
      <c r="A245" s="2" t="s">
        <v>89</v>
      </c>
      <c r="B245" s="2" t="s">
        <v>90</v>
      </c>
      <c r="C245" s="2" t="s">
        <v>2686</v>
      </c>
      <c r="D245" s="2" t="s">
        <v>2687</v>
      </c>
      <c r="E245" s="2" t="s">
        <v>2688</v>
      </c>
      <c r="G245" s="3" t="s">
        <v>62</v>
      </c>
      <c r="I245" s="3" t="s">
        <v>61</v>
      </c>
      <c r="J245" s="3" t="s">
        <v>61</v>
      </c>
      <c r="K245" s="3" t="s">
        <v>63</v>
      </c>
      <c r="L245" s="2" t="s">
        <v>2689</v>
      </c>
      <c r="M245" s="2" t="s">
        <v>2690</v>
      </c>
      <c r="N245" s="3" t="s">
        <v>795</v>
      </c>
      <c r="P245" s="3" t="s">
        <v>64</v>
      </c>
      <c r="Q245" s="2" t="s">
        <v>2691</v>
      </c>
      <c r="R245" s="3" t="s">
        <v>65</v>
      </c>
      <c r="S245" s="4">
        <v>6</v>
      </c>
      <c r="T245" s="4">
        <v>7</v>
      </c>
      <c r="U245" s="5" t="s">
        <v>2680</v>
      </c>
      <c r="V245" s="5" t="s">
        <v>1663</v>
      </c>
      <c r="W245" s="5" t="s">
        <v>67</v>
      </c>
      <c r="X245" s="5" t="s">
        <v>67</v>
      </c>
      <c r="Y245" s="4">
        <v>1</v>
      </c>
      <c r="Z245" s="4">
        <v>1</v>
      </c>
      <c r="AA245" s="4">
        <v>39</v>
      </c>
      <c r="AB245" s="4">
        <v>1</v>
      </c>
      <c r="AC245" s="4">
        <v>6</v>
      </c>
      <c r="AD245" s="4">
        <v>0</v>
      </c>
      <c r="AE245" s="4">
        <v>133</v>
      </c>
      <c r="AF245" s="4">
        <v>0</v>
      </c>
      <c r="AG245" s="4">
        <v>3</v>
      </c>
      <c r="AH245" s="4">
        <v>0</v>
      </c>
      <c r="AI245" s="4">
        <v>111</v>
      </c>
      <c r="AJ245" s="4">
        <v>0</v>
      </c>
      <c r="AK245" s="4">
        <v>23</v>
      </c>
      <c r="AL245" s="4">
        <v>0</v>
      </c>
      <c r="AM245" s="4">
        <v>58</v>
      </c>
      <c r="AN245" s="4">
        <v>0</v>
      </c>
      <c r="AO245" s="4">
        <v>0</v>
      </c>
      <c r="AP245" s="4">
        <v>0</v>
      </c>
      <c r="AQ245" s="4">
        <v>28</v>
      </c>
      <c r="AR245" s="3" t="s">
        <v>62</v>
      </c>
      <c r="AS245" s="3" t="s">
        <v>62</v>
      </c>
      <c r="AT245" s="3" t="s">
        <v>61</v>
      </c>
      <c r="AU245" s="6" t="str">
        <f>HYPERLINK("http://catalog.hathitrust.org/Record/001473510","HathiTrust Record")</f>
        <v>HathiTrust Record</v>
      </c>
      <c r="AV245" s="6" t="str">
        <f>HYPERLINK("http://mcgill.on.worldcat.org/oclc/427081490","Catalog Record")</f>
        <v>Catalog Record</v>
      </c>
      <c r="AW245" s="6" t="str">
        <f>HYPERLINK("http://www.worldcat.org/oclc/427081490","WorldCat Record")</f>
        <v>WorldCat Record</v>
      </c>
      <c r="AX245" s="3" t="s">
        <v>2692</v>
      </c>
      <c r="AY245" s="3" t="s">
        <v>2693</v>
      </c>
      <c r="AZ245" s="3" t="s">
        <v>2694</v>
      </c>
      <c r="BA245" s="3" t="s">
        <v>2694</v>
      </c>
      <c r="BB245" s="3" t="s">
        <v>2695</v>
      </c>
      <c r="BC245" s="3" t="s">
        <v>102</v>
      </c>
      <c r="BD245" s="3" t="s">
        <v>68</v>
      </c>
      <c r="BF245" s="3" t="s">
        <v>2695</v>
      </c>
      <c r="BG245" s="3" t="s">
        <v>2696</v>
      </c>
    </row>
    <row r="246" spans="1:59" ht="58" x14ac:dyDescent="0.35">
      <c r="A246" s="2" t="s">
        <v>59</v>
      </c>
      <c r="B246" s="2" t="s">
        <v>60</v>
      </c>
      <c r="C246" s="2" t="s">
        <v>2697</v>
      </c>
      <c r="D246" s="2" t="s">
        <v>2698</v>
      </c>
      <c r="E246" s="2" t="s">
        <v>2699</v>
      </c>
      <c r="G246" s="3" t="s">
        <v>62</v>
      </c>
      <c r="I246" s="3" t="s">
        <v>61</v>
      </c>
      <c r="J246" s="3" t="s">
        <v>62</v>
      </c>
      <c r="K246" s="3" t="s">
        <v>63</v>
      </c>
      <c r="L246" s="2" t="s">
        <v>2700</v>
      </c>
      <c r="M246" s="2" t="s">
        <v>2701</v>
      </c>
      <c r="N246" s="3" t="s">
        <v>2702</v>
      </c>
      <c r="P246" s="3" t="s">
        <v>64</v>
      </c>
      <c r="R246" s="3" t="s">
        <v>65</v>
      </c>
      <c r="S246" s="4">
        <v>1</v>
      </c>
      <c r="T246" s="4">
        <v>5</v>
      </c>
      <c r="U246" s="5" t="s">
        <v>2703</v>
      </c>
      <c r="V246" s="5" t="s">
        <v>2704</v>
      </c>
      <c r="W246" s="5" t="s">
        <v>67</v>
      </c>
      <c r="X246" s="5" t="s">
        <v>67</v>
      </c>
      <c r="Y246" s="4">
        <v>554</v>
      </c>
      <c r="Z246" s="4">
        <v>22</v>
      </c>
      <c r="AA246" s="4">
        <v>39</v>
      </c>
      <c r="AB246" s="4">
        <v>2</v>
      </c>
      <c r="AC246" s="4">
        <v>7</v>
      </c>
      <c r="AD246" s="4">
        <v>109</v>
      </c>
      <c r="AE246" s="4">
        <v>127</v>
      </c>
      <c r="AF246" s="4">
        <v>0</v>
      </c>
      <c r="AG246" s="4">
        <v>3</v>
      </c>
      <c r="AH246" s="4">
        <v>97</v>
      </c>
      <c r="AI246" s="4">
        <v>108</v>
      </c>
      <c r="AJ246" s="4">
        <v>11</v>
      </c>
      <c r="AK246" s="4">
        <v>21</v>
      </c>
      <c r="AL246" s="4">
        <v>54</v>
      </c>
      <c r="AM246" s="4">
        <v>59</v>
      </c>
      <c r="AN246" s="4">
        <v>0</v>
      </c>
      <c r="AO246" s="4">
        <v>0</v>
      </c>
      <c r="AP246" s="4">
        <v>15</v>
      </c>
      <c r="AQ246" s="4">
        <v>26</v>
      </c>
      <c r="AR246" s="3" t="s">
        <v>62</v>
      </c>
      <c r="AS246" s="3" t="s">
        <v>62</v>
      </c>
      <c r="AT246" s="3" t="s">
        <v>61</v>
      </c>
      <c r="AU246" s="6" t="str">
        <f>HYPERLINK("http://catalog.hathitrust.org/Record/000026113","HathiTrust Record")</f>
        <v>HathiTrust Record</v>
      </c>
      <c r="AV246" s="6" t="str">
        <f>HYPERLINK("http://mcgill.on.worldcat.org/oclc/520357","Catalog Record")</f>
        <v>Catalog Record</v>
      </c>
      <c r="AW246" s="6" t="str">
        <f>HYPERLINK("http://www.worldcat.org/oclc/520357","WorldCat Record")</f>
        <v>WorldCat Record</v>
      </c>
      <c r="AX246" s="3" t="s">
        <v>2705</v>
      </c>
      <c r="AY246" s="3" t="s">
        <v>2706</v>
      </c>
      <c r="AZ246" s="3" t="s">
        <v>2707</v>
      </c>
      <c r="BA246" s="3" t="s">
        <v>2707</v>
      </c>
      <c r="BB246" s="3" t="s">
        <v>2708</v>
      </c>
      <c r="BC246" s="3" t="s">
        <v>102</v>
      </c>
      <c r="BD246" s="3" t="s">
        <v>68</v>
      </c>
      <c r="BF246" s="3" t="s">
        <v>2708</v>
      </c>
      <c r="BG246" s="3" t="s">
        <v>2709</v>
      </c>
    </row>
    <row r="247" spans="1:59" ht="58" x14ac:dyDescent="0.35">
      <c r="A247" s="2" t="s">
        <v>89</v>
      </c>
      <c r="B247" s="2" t="s">
        <v>90</v>
      </c>
      <c r="C247" s="2" t="s">
        <v>2710</v>
      </c>
      <c r="D247" s="2" t="s">
        <v>2711</v>
      </c>
      <c r="E247" s="2" t="s">
        <v>2712</v>
      </c>
      <c r="F247" s="3" t="s">
        <v>1413</v>
      </c>
      <c r="G247" s="3" t="s">
        <v>61</v>
      </c>
      <c r="I247" s="3" t="s">
        <v>61</v>
      </c>
      <c r="J247" s="3" t="s">
        <v>62</v>
      </c>
      <c r="K247" s="3" t="s">
        <v>63</v>
      </c>
      <c r="L247" s="2" t="s">
        <v>2689</v>
      </c>
      <c r="M247" s="2" t="s">
        <v>2713</v>
      </c>
      <c r="N247" s="3" t="s">
        <v>2702</v>
      </c>
      <c r="P247" s="3" t="s">
        <v>64</v>
      </c>
      <c r="R247" s="3" t="s">
        <v>65</v>
      </c>
      <c r="S247" s="4">
        <v>13</v>
      </c>
      <c r="T247" s="4">
        <v>32</v>
      </c>
      <c r="U247" s="5" t="s">
        <v>2714</v>
      </c>
      <c r="V247" s="5" t="s">
        <v>2714</v>
      </c>
      <c r="W247" s="5" t="s">
        <v>67</v>
      </c>
      <c r="X247" s="5" t="s">
        <v>67</v>
      </c>
      <c r="Y247" s="4">
        <v>1323</v>
      </c>
      <c r="Z247" s="4">
        <v>51</v>
      </c>
      <c r="AA247" s="4">
        <v>58</v>
      </c>
      <c r="AB247" s="4">
        <v>4</v>
      </c>
      <c r="AC247" s="4">
        <v>6</v>
      </c>
      <c r="AD247" s="4">
        <v>140</v>
      </c>
      <c r="AE247" s="4">
        <v>143</v>
      </c>
      <c r="AF247" s="4">
        <v>1</v>
      </c>
      <c r="AG247" s="4">
        <v>2</v>
      </c>
      <c r="AH247" s="4">
        <v>113</v>
      </c>
      <c r="AI247" s="4">
        <v>115</v>
      </c>
      <c r="AJ247" s="4">
        <v>21</v>
      </c>
      <c r="AK247" s="4">
        <v>24</v>
      </c>
      <c r="AL247" s="4">
        <v>61</v>
      </c>
      <c r="AM247" s="4">
        <v>61</v>
      </c>
      <c r="AN247" s="4">
        <v>0</v>
      </c>
      <c r="AO247" s="4">
        <v>0</v>
      </c>
      <c r="AP247" s="4">
        <v>32</v>
      </c>
      <c r="AQ247" s="4">
        <v>35</v>
      </c>
      <c r="AR247" s="3" t="s">
        <v>62</v>
      </c>
      <c r="AS247" s="3" t="s">
        <v>62</v>
      </c>
      <c r="AT247" s="3" t="s">
        <v>61</v>
      </c>
      <c r="AU247" s="6" t="str">
        <f>HYPERLINK("http://catalog.hathitrust.org/Record/001473511","HathiTrust Record")</f>
        <v>HathiTrust Record</v>
      </c>
      <c r="AV247" s="6" t="str">
        <f>HYPERLINK("http://mcgill.on.worldcat.org/oclc/684980","Catalog Record")</f>
        <v>Catalog Record</v>
      </c>
      <c r="AW247" s="6" t="str">
        <f>HYPERLINK("http://www.worldcat.org/oclc/684980","WorldCat Record")</f>
        <v>WorldCat Record</v>
      </c>
      <c r="AX247" s="3" t="s">
        <v>2715</v>
      </c>
      <c r="AY247" s="3" t="s">
        <v>2716</v>
      </c>
      <c r="AZ247" s="3" t="s">
        <v>2717</v>
      </c>
      <c r="BA247" s="3" t="s">
        <v>2717</v>
      </c>
      <c r="BB247" s="3" t="s">
        <v>2718</v>
      </c>
      <c r="BC247" s="3" t="s">
        <v>102</v>
      </c>
      <c r="BD247" s="3" t="s">
        <v>68</v>
      </c>
      <c r="BF247" s="3" t="s">
        <v>2718</v>
      </c>
      <c r="BG247" s="3" t="s">
        <v>2719</v>
      </c>
    </row>
    <row r="248" spans="1:59" ht="58" x14ac:dyDescent="0.35">
      <c r="A248" s="2" t="s">
        <v>89</v>
      </c>
      <c r="B248" s="2" t="s">
        <v>90</v>
      </c>
      <c r="C248" s="2" t="s">
        <v>2710</v>
      </c>
      <c r="D248" s="2" t="s">
        <v>2711</v>
      </c>
      <c r="E248" s="2" t="s">
        <v>2712</v>
      </c>
      <c r="F248" s="3" t="s">
        <v>1416</v>
      </c>
      <c r="G248" s="3" t="s">
        <v>61</v>
      </c>
      <c r="I248" s="3" t="s">
        <v>61</v>
      </c>
      <c r="J248" s="3" t="s">
        <v>62</v>
      </c>
      <c r="K248" s="3" t="s">
        <v>63</v>
      </c>
      <c r="L248" s="2" t="s">
        <v>2689</v>
      </c>
      <c r="M248" s="2" t="s">
        <v>2713</v>
      </c>
      <c r="N248" s="3" t="s">
        <v>2702</v>
      </c>
      <c r="P248" s="3" t="s">
        <v>64</v>
      </c>
      <c r="R248" s="3" t="s">
        <v>65</v>
      </c>
      <c r="S248" s="4">
        <v>12</v>
      </c>
      <c r="T248" s="4">
        <v>32</v>
      </c>
      <c r="U248" s="5" t="s">
        <v>2720</v>
      </c>
      <c r="V248" s="5" t="s">
        <v>2714</v>
      </c>
      <c r="W248" s="5" t="s">
        <v>67</v>
      </c>
      <c r="X248" s="5" t="s">
        <v>67</v>
      </c>
      <c r="Y248" s="4">
        <v>1323</v>
      </c>
      <c r="Z248" s="4">
        <v>51</v>
      </c>
      <c r="AA248" s="4">
        <v>58</v>
      </c>
      <c r="AB248" s="4">
        <v>4</v>
      </c>
      <c r="AC248" s="4">
        <v>6</v>
      </c>
      <c r="AD248" s="4">
        <v>140</v>
      </c>
      <c r="AE248" s="4">
        <v>143</v>
      </c>
      <c r="AF248" s="4">
        <v>1</v>
      </c>
      <c r="AG248" s="4">
        <v>2</v>
      </c>
      <c r="AH248" s="4">
        <v>113</v>
      </c>
      <c r="AI248" s="4">
        <v>115</v>
      </c>
      <c r="AJ248" s="4">
        <v>21</v>
      </c>
      <c r="AK248" s="4">
        <v>24</v>
      </c>
      <c r="AL248" s="4">
        <v>61</v>
      </c>
      <c r="AM248" s="4">
        <v>61</v>
      </c>
      <c r="AN248" s="4">
        <v>0</v>
      </c>
      <c r="AO248" s="4">
        <v>0</v>
      </c>
      <c r="AP248" s="4">
        <v>32</v>
      </c>
      <c r="AQ248" s="4">
        <v>35</v>
      </c>
      <c r="AR248" s="3" t="s">
        <v>62</v>
      </c>
      <c r="AS248" s="3" t="s">
        <v>62</v>
      </c>
      <c r="AT248" s="3" t="s">
        <v>61</v>
      </c>
      <c r="AU248" s="6" t="str">
        <f>HYPERLINK("http://catalog.hathitrust.org/Record/001473511","HathiTrust Record")</f>
        <v>HathiTrust Record</v>
      </c>
      <c r="AV248" s="6" t="str">
        <f>HYPERLINK("http://mcgill.on.worldcat.org/oclc/684980","Catalog Record")</f>
        <v>Catalog Record</v>
      </c>
      <c r="AW248" s="6" t="str">
        <f>HYPERLINK("http://www.worldcat.org/oclc/684980","WorldCat Record")</f>
        <v>WorldCat Record</v>
      </c>
      <c r="AX248" s="3" t="s">
        <v>2715</v>
      </c>
      <c r="AY248" s="3" t="s">
        <v>2716</v>
      </c>
      <c r="AZ248" s="3" t="s">
        <v>2717</v>
      </c>
      <c r="BA248" s="3" t="s">
        <v>2717</v>
      </c>
      <c r="BB248" s="3" t="s">
        <v>2721</v>
      </c>
      <c r="BC248" s="3" t="s">
        <v>102</v>
      </c>
      <c r="BD248" s="3" t="s">
        <v>68</v>
      </c>
      <c r="BF248" s="3" t="s">
        <v>2721</v>
      </c>
      <c r="BG248" s="3" t="s">
        <v>2722</v>
      </c>
    </row>
    <row r="249" spans="1:59" ht="58" x14ac:dyDescent="0.35">
      <c r="A249" s="2" t="s">
        <v>89</v>
      </c>
      <c r="B249" s="2" t="s">
        <v>90</v>
      </c>
      <c r="C249" s="2" t="s">
        <v>2723</v>
      </c>
      <c r="D249" s="2" t="s">
        <v>2724</v>
      </c>
      <c r="E249" s="2" t="s">
        <v>2725</v>
      </c>
      <c r="G249" s="3" t="s">
        <v>62</v>
      </c>
      <c r="I249" s="3" t="s">
        <v>62</v>
      </c>
      <c r="J249" s="3" t="s">
        <v>61</v>
      </c>
      <c r="K249" s="3" t="s">
        <v>63</v>
      </c>
      <c r="L249" s="2" t="s">
        <v>2689</v>
      </c>
      <c r="M249" s="2" t="s">
        <v>2726</v>
      </c>
      <c r="N249" s="3" t="s">
        <v>2727</v>
      </c>
      <c r="P249" s="3" t="s">
        <v>64</v>
      </c>
      <c r="Q249" s="2" t="s">
        <v>2728</v>
      </c>
      <c r="R249" s="3" t="s">
        <v>65</v>
      </c>
      <c r="S249" s="4">
        <v>2</v>
      </c>
      <c r="T249" s="4">
        <v>2</v>
      </c>
      <c r="U249" s="5" t="s">
        <v>2729</v>
      </c>
      <c r="V249" s="5" t="s">
        <v>2729</v>
      </c>
      <c r="W249" s="5" t="s">
        <v>67</v>
      </c>
      <c r="X249" s="5" t="s">
        <v>67</v>
      </c>
      <c r="Y249" s="4">
        <v>197</v>
      </c>
      <c r="Z249" s="4">
        <v>11</v>
      </c>
      <c r="AA249" s="4">
        <v>53</v>
      </c>
      <c r="AB249" s="4">
        <v>1</v>
      </c>
      <c r="AC249" s="4">
        <v>7</v>
      </c>
      <c r="AD249" s="4">
        <v>71</v>
      </c>
      <c r="AE249" s="4">
        <v>149</v>
      </c>
      <c r="AF249" s="4">
        <v>0</v>
      </c>
      <c r="AG249" s="4">
        <v>3</v>
      </c>
      <c r="AH249" s="4">
        <v>65</v>
      </c>
      <c r="AI249" s="4">
        <v>116</v>
      </c>
      <c r="AJ249" s="4">
        <v>7</v>
      </c>
      <c r="AK249" s="4">
        <v>26</v>
      </c>
      <c r="AL249" s="4">
        <v>43</v>
      </c>
      <c r="AM249" s="4">
        <v>62</v>
      </c>
      <c r="AN249" s="4">
        <v>0</v>
      </c>
      <c r="AO249" s="4">
        <v>0</v>
      </c>
      <c r="AP249" s="4">
        <v>8</v>
      </c>
      <c r="AQ249" s="4">
        <v>37</v>
      </c>
      <c r="AR249" s="3" t="s">
        <v>62</v>
      </c>
      <c r="AS249" s="3" t="s">
        <v>61</v>
      </c>
      <c r="AT249" s="3" t="s">
        <v>62</v>
      </c>
      <c r="AU249" s="6" t="str">
        <f>HYPERLINK("http://catalog.hathitrust.org/Record/000823324","HathiTrust Record")</f>
        <v>HathiTrust Record</v>
      </c>
      <c r="AV249" s="6" t="str">
        <f>HYPERLINK("http://mcgill.on.worldcat.org/oclc/645738","Catalog Record")</f>
        <v>Catalog Record</v>
      </c>
      <c r="AW249" s="6" t="str">
        <f>HYPERLINK("http://www.worldcat.org/oclc/645738","WorldCat Record")</f>
        <v>WorldCat Record</v>
      </c>
      <c r="AX249" s="3" t="s">
        <v>2730</v>
      </c>
      <c r="AY249" s="3" t="s">
        <v>2731</v>
      </c>
      <c r="AZ249" s="3" t="s">
        <v>2732</v>
      </c>
      <c r="BA249" s="3" t="s">
        <v>2732</v>
      </c>
      <c r="BB249" s="3" t="s">
        <v>2733</v>
      </c>
      <c r="BC249" s="3" t="s">
        <v>102</v>
      </c>
      <c r="BD249" s="3" t="s">
        <v>68</v>
      </c>
      <c r="BF249" s="3" t="s">
        <v>2733</v>
      </c>
      <c r="BG249" s="3" t="s">
        <v>2734</v>
      </c>
    </row>
    <row r="250" spans="1:59" ht="58" x14ac:dyDescent="0.35">
      <c r="A250" s="2" t="s">
        <v>89</v>
      </c>
      <c r="B250" s="2" t="s">
        <v>90</v>
      </c>
      <c r="C250" s="2" t="s">
        <v>2735</v>
      </c>
      <c r="D250" s="2" t="s">
        <v>2736</v>
      </c>
      <c r="E250" s="2" t="s">
        <v>2737</v>
      </c>
      <c r="F250" s="3" t="s">
        <v>2738</v>
      </c>
      <c r="G250" s="3" t="s">
        <v>61</v>
      </c>
      <c r="I250" s="3" t="s">
        <v>61</v>
      </c>
      <c r="J250" s="3" t="s">
        <v>62</v>
      </c>
      <c r="K250" s="3" t="s">
        <v>916</v>
      </c>
      <c r="L250" s="2" t="s">
        <v>2689</v>
      </c>
      <c r="M250" s="2" t="s">
        <v>2739</v>
      </c>
      <c r="N250" s="3" t="s">
        <v>2740</v>
      </c>
      <c r="P250" s="3" t="s">
        <v>64</v>
      </c>
      <c r="Q250" s="2" t="s">
        <v>2741</v>
      </c>
      <c r="R250" s="3" t="s">
        <v>65</v>
      </c>
      <c r="S250" s="4">
        <v>3</v>
      </c>
      <c r="T250" s="4">
        <v>36</v>
      </c>
      <c r="U250" s="5" t="s">
        <v>2742</v>
      </c>
      <c r="V250" s="5" t="s">
        <v>613</v>
      </c>
      <c r="W250" s="5" t="s">
        <v>67</v>
      </c>
      <c r="X250" s="5" t="s">
        <v>67</v>
      </c>
      <c r="Y250" s="4">
        <v>522</v>
      </c>
      <c r="Z250" s="4">
        <v>25</v>
      </c>
      <c r="AA250" s="4">
        <v>45</v>
      </c>
      <c r="AB250" s="4">
        <v>2</v>
      </c>
      <c r="AC250" s="4">
        <v>5</v>
      </c>
      <c r="AD250" s="4">
        <v>92</v>
      </c>
      <c r="AE250" s="4">
        <v>136</v>
      </c>
      <c r="AF250" s="4">
        <v>1</v>
      </c>
      <c r="AG250" s="4">
        <v>3</v>
      </c>
      <c r="AH250" s="4">
        <v>79</v>
      </c>
      <c r="AI250" s="4">
        <v>107</v>
      </c>
      <c r="AJ250" s="4">
        <v>11</v>
      </c>
      <c r="AK250" s="4">
        <v>18</v>
      </c>
      <c r="AL250" s="4">
        <v>47</v>
      </c>
      <c r="AM250" s="4">
        <v>60</v>
      </c>
      <c r="AN250" s="4">
        <v>0</v>
      </c>
      <c r="AO250" s="4">
        <v>0</v>
      </c>
      <c r="AP250" s="4">
        <v>15</v>
      </c>
      <c r="AQ250" s="4">
        <v>30</v>
      </c>
      <c r="AR250" s="3" t="s">
        <v>62</v>
      </c>
      <c r="AS250" s="3" t="s">
        <v>61</v>
      </c>
      <c r="AT250" s="3" t="s">
        <v>61</v>
      </c>
      <c r="AU250" s="6" t="str">
        <f t="shared" ref="AU250:AU257" si="12">HYPERLINK("http://catalog.hathitrust.org/Record/001473512","HathiTrust Record")</f>
        <v>HathiTrust Record</v>
      </c>
      <c r="AV250" s="6" t="str">
        <f t="shared" ref="AV250:AV257" si="13">HYPERLINK("http://mcgill.on.worldcat.org/oclc/880552","Catalog Record")</f>
        <v>Catalog Record</v>
      </c>
      <c r="AW250" s="6" t="str">
        <f t="shared" ref="AW250:AW257" si="14">HYPERLINK("http://www.worldcat.org/oclc/880552","WorldCat Record")</f>
        <v>WorldCat Record</v>
      </c>
      <c r="AX250" s="3" t="s">
        <v>2743</v>
      </c>
      <c r="AY250" s="3" t="s">
        <v>2744</v>
      </c>
      <c r="AZ250" s="3" t="s">
        <v>2745</v>
      </c>
      <c r="BA250" s="3" t="s">
        <v>2745</v>
      </c>
      <c r="BB250" s="3" t="s">
        <v>2746</v>
      </c>
      <c r="BC250" s="3" t="s">
        <v>102</v>
      </c>
      <c r="BD250" s="3" t="s">
        <v>68</v>
      </c>
      <c r="BF250" s="3" t="s">
        <v>2746</v>
      </c>
      <c r="BG250" s="3" t="s">
        <v>2747</v>
      </c>
    </row>
    <row r="251" spans="1:59" ht="58" x14ac:dyDescent="0.35">
      <c r="A251" s="2" t="s">
        <v>89</v>
      </c>
      <c r="B251" s="2" t="s">
        <v>90</v>
      </c>
      <c r="C251" s="2" t="s">
        <v>2735</v>
      </c>
      <c r="D251" s="2" t="s">
        <v>2736</v>
      </c>
      <c r="E251" s="2" t="s">
        <v>2737</v>
      </c>
      <c r="F251" s="3" t="s">
        <v>1413</v>
      </c>
      <c r="G251" s="3" t="s">
        <v>61</v>
      </c>
      <c r="I251" s="3" t="s">
        <v>61</v>
      </c>
      <c r="J251" s="3" t="s">
        <v>62</v>
      </c>
      <c r="K251" s="3" t="s">
        <v>916</v>
      </c>
      <c r="L251" s="2" t="s">
        <v>2689</v>
      </c>
      <c r="M251" s="2" t="s">
        <v>2739</v>
      </c>
      <c r="N251" s="3" t="s">
        <v>2740</v>
      </c>
      <c r="P251" s="3" t="s">
        <v>64</v>
      </c>
      <c r="Q251" s="2" t="s">
        <v>2741</v>
      </c>
      <c r="R251" s="3" t="s">
        <v>65</v>
      </c>
      <c r="S251" s="4">
        <v>0</v>
      </c>
      <c r="T251" s="4">
        <v>36</v>
      </c>
      <c r="V251" s="5" t="s">
        <v>613</v>
      </c>
      <c r="W251" s="5" t="s">
        <v>67</v>
      </c>
      <c r="X251" s="5" t="s">
        <v>67</v>
      </c>
      <c r="Y251" s="4">
        <v>522</v>
      </c>
      <c r="Z251" s="4">
        <v>25</v>
      </c>
      <c r="AA251" s="4">
        <v>45</v>
      </c>
      <c r="AB251" s="4">
        <v>2</v>
      </c>
      <c r="AC251" s="4">
        <v>5</v>
      </c>
      <c r="AD251" s="4">
        <v>92</v>
      </c>
      <c r="AE251" s="4">
        <v>136</v>
      </c>
      <c r="AF251" s="4">
        <v>1</v>
      </c>
      <c r="AG251" s="4">
        <v>3</v>
      </c>
      <c r="AH251" s="4">
        <v>79</v>
      </c>
      <c r="AI251" s="4">
        <v>107</v>
      </c>
      <c r="AJ251" s="4">
        <v>11</v>
      </c>
      <c r="AK251" s="4">
        <v>18</v>
      </c>
      <c r="AL251" s="4">
        <v>47</v>
      </c>
      <c r="AM251" s="4">
        <v>60</v>
      </c>
      <c r="AN251" s="4">
        <v>0</v>
      </c>
      <c r="AO251" s="4">
        <v>0</v>
      </c>
      <c r="AP251" s="4">
        <v>15</v>
      </c>
      <c r="AQ251" s="4">
        <v>30</v>
      </c>
      <c r="AR251" s="3" t="s">
        <v>62</v>
      </c>
      <c r="AS251" s="3" t="s">
        <v>61</v>
      </c>
      <c r="AT251" s="3" t="s">
        <v>61</v>
      </c>
      <c r="AU251" s="6" t="str">
        <f t="shared" si="12"/>
        <v>HathiTrust Record</v>
      </c>
      <c r="AV251" s="6" t="str">
        <f t="shared" si="13"/>
        <v>Catalog Record</v>
      </c>
      <c r="AW251" s="6" t="str">
        <f t="shared" si="14"/>
        <v>WorldCat Record</v>
      </c>
      <c r="AX251" s="3" t="s">
        <v>2743</v>
      </c>
      <c r="AY251" s="3" t="s">
        <v>2744</v>
      </c>
      <c r="AZ251" s="3" t="s">
        <v>2745</v>
      </c>
      <c r="BA251" s="3" t="s">
        <v>2745</v>
      </c>
      <c r="BB251" s="3" t="s">
        <v>2748</v>
      </c>
      <c r="BC251" s="3" t="s">
        <v>102</v>
      </c>
      <c r="BD251" s="3" t="s">
        <v>68</v>
      </c>
      <c r="BF251" s="3" t="s">
        <v>2748</v>
      </c>
      <c r="BG251" s="3" t="s">
        <v>2749</v>
      </c>
    </row>
    <row r="252" spans="1:59" ht="58" x14ac:dyDescent="0.35">
      <c r="A252" s="2" t="s">
        <v>89</v>
      </c>
      <c r="B252" s="2" t="s">
        <v>90</v>
      </c>
      <c r="C252" s="2" t="s">
        <v>2735</v>
      </c>
      <c r="D252" s="2" t="s">
        <v>2736</v>
      </c>
      <c r="E252" s="2" t="s">
        <v>2737</v>
      </c>
      <c r="F252" s="3" t="s">
        <v>1416</v>
      </c>
      <c r="G252" s="3" t="s">
        <v>61</v>
      </c>
      <c r="I252" s="3" t="s">
        <v>61</v>
      </c>
      <c r="J252" s="3" t="s">
        <v>62</v>
      </c>
      <c r="K252" s="3" t="s">
        <v>916</v>
      </c>
      <c r="L252" s="2" t="s">
        <v>2689</v>
      </c>
      <c r="M252" s="2" t="s">
        <v>2739</v>
      </c>
      <c r="N252" s="3" t="s">
        <v>2740</v>
      </c>
      <c r="P252" s="3" t="s">
        <v>64</v>
      </c>
      <c r="Q252" s="2" t="s">
        <v>2741</v>
      </c>
      <c r="R252" s="3" t="s">
        <v>65</v>
      </c>
      <c r="S252" s="4">
        <v>0</v>
      </c>
      <c r="T252" s="4">
        <v>36</v>
      </c>
      <c r="V252" s="5" t="s">
        <v>613</v>
      </c>
      <c r="W252" s="5" t="s">
        <v>67</v>
      </c>
      <c r="X252" s="5" t="s">
        <v>67</v>
      </c>
      <c r="Y252" s="4">
        <v>522</v>
      </c>
      <c r="Z252" s="4">
        <v>25</v>
      </c>
      <c r="AA252" s="4">
        <v>45</v>
      </c>
      <c r="AB252" s="4">
        <v>2</v>
      </c>
      <c r="AC252" s="4">
        <v>5</v>
      </c>
      <c r="AD252" s="4">
        <v>92</v>
      </c>
      <c r="AE252" s="4">
        <v>136</v>
      </c>
      <c r="AF252" s="4">
        <v>1</v>
      </c>
      <c r="AG252" s="4">
        <v>3</v>
      </c>
      <c r="AH252" s="4">
        <v>79</v>
      </c>
      <c r="AI252" s="4">
        <v>107</v>
      </c>
      <c r="AJ252" s="4">
        <v>11</v>
      </c>
      <c r="AK252" s="4">
        <v>18</v>
      </c>
      <c r="AL252" s="4">
        <v>47</v>
      </c>
      <c r="AM252" s="4">
        <v>60</v>
      </c>
      <c r="AN252" s="4">
        <v>0</v>
      </c>
      <c r="AO252" s="4">
        <v>0</v>
      </c>
      <c r="AP252" s="4">
        <v>15</v>
      </c>
      <c r="AQ252" s="4">
        <v>30</v>
      </c>
      <c r="AR252" s="3" t="s">
        <v>62</v>
      </c>
      <c r="AS252" s="3" t="s">
        <v>61</v>
      </c>
      <c r="AT252" s="3" t="s">
        <v>61</v>
      </c>
      <c r="AU252" s="6" t="str">
        <f t="shared" si="12"/>
        <v>HathiTrust Record</v>
      </c>
      <c r="AV252" s="6" t="str">
        <f t="shared" si="13"/>
        <v>Catalog Record</v>
      </c>
      <c r="AW252" s="6" t="str">
        <f t="shared" si="14"/>
        <v>WorldCat Record</v>
      </c>
      <c r="AX252" s="3" t="s">
        <v>2743</v>
      </c>
      <c r="AY252" s="3" t="s">
        <v>2744</v>
      </c>
      <c r="AZ252" s="3" t="s">
        <v>2745</v>
      </c>
      <c r="BA252" s="3" t="s">
        <v>2745</v>
      </c>
      <c r="BB252" s="3" t="s">
        <v>2750</v>
      </c>
      <c r="BC252" s="3" t="s">
        <v>102</v>
      </c>
      <c r="BD252" s="3" t="s">
        <v>68</v>
      </c>
      <c r="BF252" s="3" t="s">
        <v>2750</v>
      </c>
      <c r="BG252" s="3" t="s">
        <v>2751</v>
      </c>
    </row>
    <row r="253" spans="1:59" ht="58" x14ac:dyDescent="0.35">
      <c r="A253" s="2" t="s">
        <v>89</v>
      </c>
      <c r="B253" s="2" t="s">
        <v>90</v>
      </c>
      <c r="C253" s="2" t="s">
        <v>2735</v>
      </c>
      <c r="D253" s="2" t="s">
        <v>2736</v>
      </c>
      <c r="E253" s="2" t="s">
        <v>2737</v>
      </c>
      <c r="F253" s="3" t="s">
        <v>2752</v>
      </c>
      <c r="G253" s="3" t="s">
        <v>61</v>
      </c>
      <c r="I253" s="3" t="s">
        <v>61</v>
      </c>
      <c r="J253" s="3" t="s">
        <v>62</v>
      </c>
      <c r="K253" s="3" t="s">
        <v>916</v>
      </c>
      <c r="L253" s="2" t="s">
        <v>2689</v>
      </c>
      <c r="M253" s="2" t="s">
        <v>2739</v>
      </c>
      <c r="N253" s="3" t="s">
        <v>2740</v>
      </c>
      <c r="P253" s="3" t="s">
        <v>64</v>
      </c>
      <c r="Q253" s="2" t="s">
        <v>2741</v>
      </c>
      <c r="R253" s="3" t="s">
        <v>65</v>
      </c>
      <c r="S253" s="4">
        <v>2</v>
      </c>
      <c r="T253" s="4">
        <v>36</v>
      </c>
      <c r="U253" s="5" t="s">
        <v>2753</v>
      </c>
      <c r="V253" s="5" t="s">
        <v>613</v>
      </c>
      <c r="W253" s="5" t="s">
        <v>67</v>
      </c>
      <c r="X253" s="5" t="s">
        <v>67</v>
      </c>
      <c r="Y253" s="4">
        <v>522</v>
      </c>
      <c r="Z253" s="4">
        <v>25</v>
      </c>
      <c r="AA253" s="4">
        <v>45</v>
      </c>
      <c r="AB253" s="4">
        <v>2</v>
      </c>
      <c r="AC253" s="4">
        <v>5</v>
      </c>
      <c r="AD253" s="4">
        <v>92</v>
      </c>
      <c r="AE253" s="4">
        <v>136</v>
      </c>
      <c r="AF253" s="4">
        <v>1</v>
      </c>
      <c r="AG253" s="4">
        <v>3</v>
      </c>
      <c r="AH253" s="4">
        <v>79</v>
      </c>
      <c r="AI253" s="4">
        <v>107</v>
      </c>
      <c r="AJ253" s="4">
        <v>11</v>
      </c>
      <c r="AK253" s="4">
        <v>18</v>
      </c>
      <c r="AL253" s="4">
        <v>47</v>
      </c>
      <c r="AM253" s="4">
        <v>60</v>
      </c>
      <c r="AN253" s="4">
        <v>0</v>
      </c>
      <c r="AO253" s="4">
        <v>0</v>
      </c>
      <c r="AP253" s="4">
        <v>15</v>
      </c>
      <c r="AQ253" s="4">
        <v>30</v>
      </c>
      <c r="AR253" s="3" t="s">
        <v>62</v>
      </c>
      <c r="AS253" s="3" t="s">
        <v>61</v>
      </c>
      <c r="AT253" s="3" t="s">
        <v>61</v>
      </c>
      <c r="AU253" s="6" t="str">
        <f t="shared" si="12"/>
        <v>HathiTrust Record</v>
      </c>
      <c r="AV253" s="6" t="str">
        <f t="shared" si="13"/>
        <v>Catalog Record</v>
      </c>
      <c r="AW253" s="6" t="str">
        <f t="shared" si="14"/>
        <v>WorldCat Record</v>
      </c>
      <c r="AX253" s="3" t="s">
        <v>2743</v>
      </c>
      <c r="AY253" s="3" t="s">
        <v>2744</v>
      </c>
      <c r="AZ253" s="3" t="s">
        <v>2745</v>
      </c>
      <c r="BA253" s="3" t="s">
        <v>2745</v>
      </c>
      <c r="BB253" s="3" t="s">
        <v>2754</v>
      </c>
      <c r="BC253" s="3" t="s">
        <v>102</v>
      </c>
      <c r="BD253" s="3" t="s">
        <v>68</v>
      </c>
      <c r="BF253" s="3" t="s">
        <v>2754</v>
      </c>
      <c r="BG253" s="3" t="s">
        <v>2755</v>
      </c>
    </row>
    <row r="254" spans="1:59" ht="58" x14ac:dyDescent="0.35">
      <c r="A254" s="2" t="s">
        <v>89</v>
      </c>
      <c r="B254" s="2" t="s">
        <v>90</v>
      </c>
      <c r="C254" s="2" t="s">
        <v>2735</v>
      </c>
      <c r="D254" s="2" t="s">
        <v>2736</v>
      </c>
      <c r="E254" s="2" t="s">
        <v>2737</v>
      </c>
      <c r="F254" s="3" t="s">
        <v>2756</v>
      </c>
      <c r="G254" s="3" t="s">
        <v>61</v>
      </c>
      <c r="I254" s="3" t="s">
        <v>61</v>
      </c>
      <c r="J254" s="3" t="s">
        <v>62</v>
      </c>
      <c r="K254" s="3" t="s">
        <v>916</v>
      </c>
      <c r="L254" s="2" t="s">
        <v>2689</v>
      </c>
      <c r="M254" s="2" t="s">
        <v>2739</v>
      </c>
      <c r="N254" s="3" t="s">
        <v>2740</v>
      </c>
      <c r="P254" s="3" t="s">
        <v>64</v>
      </c>
      <c r="Q254" s="2" t="s">
        <v>2741</v>
      </c>
      <c r="R254" s="3" t="s">
        <v>65</v>
      </c>
      <c r="S254" s="4">
        <v>7</v>
      </c>
      <c r="T254" s="4">
        <v>36</v>
      </c>
      <c r="U254" s="5" t="s">
        <v>2742</v>
      </c>
      <c r="V254" s="5" t="s">
        <v>613</v>
      </c>
      <c r="W254" s="5" t="s">
        <v>67</v>
      </c>
      <c r="X254" s="5" t="s">
        <v>67</v>
      </c>
      <c r="Y254" s="4">
        <v>522</v>
      </c>
      <c r="Z254" s="4">
        <v>25</v>
      </c>
      <c r="AA254" s="4">
        <v>45</v>
      </c>
      <c r="AB254" s="4">
        <v>2</v>
      </c>
      <c r="AC254" s="4">
        <v>5</v>
      </c>
      <c r="AD254" s="4">
        <v>92</v>
      </c>
      <c r="AE254" s="4">
        <v>136</v>
      </c>
      <c r="AF254" s="4">
        <v>1</v>
      </c>
      <c r="AG254" s="4">
        <v>3</v>
      </c>
      <c r="AH254" s="4">
        <v>79</v>
      </c>
      <c r="AI254" s="4">
        <v>107</v>
      </c>
      <c r="AJ254" s="4">
        <v>11</v>
      </c>
      <c r="AK254" s="4">
        <v>18</v>
      </c>
      <c r="AL254" s="4">
        <v>47</v>
      </c>
      <c r="AM254" s="4">
        <v>60</v>
      </c>
      <c r="AN254" s="4">
        <v>0</v>
      </c>
      <c r="AO254" s="4">
        <v>0</v>
      </c>
      <c r="AP254" s="4">
        <v>15</v>
      </c>
      <c r="AQ254" s="4">
        <v>30</v>
      </c>
      <c r="AR254" s="3" t="s">
        <v>62</v>
      </c>
      <c r="AS254" s="3" t="s">
        <v>61</v>
      </c>
      <c r="AT254" s="3" t="s">
        <v>61</v>
      </c>
      <c r="AU254" s="6" t="str">
        <f t="shared" si="12"/>
        <v>HathiTrust Record</v>
      </c>
      <c r="AV254" s="6" t="str">
        <f t="shared" si="13"/>
        <v>Catalog Record</v>
      </c>
      <c r="AW254" s="6" t="str">
        <f t="shared" si="14"/>
        <v>WorldCat Record</v>
      </c>
      <c r="AX254" s="3" t="s">
        <v>2743</v>
      </c>
      <c r="AY254" s="3" t="s">
        <v>2744</v>
      </c>
      <c r="AZ254" s="3" t="s">
        <v>2745</v>
      </c>
      <c r="BA254" s="3" t="s">
        <v>2745</v>
      </c>
      <c r="BB254" s="3" t="s">
        <v>2757</v>
      </c>
      <c r="BC254" s="3" t="s">
        <v>102</v>
      </c>
      <c r="BD254" s="3" t="s">
        <v>68</v>
      </c>
      <c r="BF254" s="3" t="s">
        <v>2757</v>
      </c>
      <c r="BG254" s="3" t="s">
        <v>2758</v>
      </c>
    </row>
    <row r="255" spans="1:59" ht="58" x14ac:dyDescent="0.35">
      <c r="A255" s="2" t="s">
        <v>89</v>
      </c>
      <c r="B255" s="2" t="s">
        <v>90</v>
      </c>
      <c r="C255" s="2" t="s">
        <v>2735</v>
      </c>
      <c r="D255" s="2" t="s">
        <v>2736</v>
      </c>
      <c r="E255" s="2" t="s">
        <v>2737</v>
      </c>
      <c r="F255" s="3" t="s">
        <v>1428</v>
      </c>
      <c r="G255" s="3" t="s">
        <v>61</v>
      </c>
      <c r="I255" s="3" t="s">
        <v>61</v>
      </c>
      <c r="J255" s="3" t="s">
        <v>62</v>
      </c>
      <c r="K255" s="3" t="s">
        <v>916</v>
      </c>
      <c r="L255" s="2" t="s">
        <v>2689</v>
      </c>
      <c r="M255" s="2" t="s">
        <v>2739</v>
      </c>
      <c r="N255" s="3" t="s">
        <v>2740</v>
      </c>
      <c r="P255" s="3" t="s">
        <v>64</v>
      </c>
      <c r="Q255" s="2" t="s">
        <v>2741</v>
      </c>
      <c r="R255" s="3" t="s">
        <v>65</v>
      </c>
      <c r="S255" s="4">
        <v>0</v>
      </c>
      <c r="T255" s="4">
        <v>36</v>
      </c>
      <c r="V255" s="5" t="s">
        <v>613</v>
      </c>
      <c r="W255" s="5" t="s">
        <v>67</v>
      </c>
      <c r="X255" s="5" t="s">
        <v>67</v>
      </c>
      <c r="Y255" s="4">
        <v>522</v>
      </c>
      <c r="Z255" s="4">
        <v>25</v>
      </c>
      <c r="AA255" s="4">
        <v>45</v>
      </c>
      <c r="AB255" s="4">
        <v>2</v>
      </c>
      <c r="AC255" s="4">
        <v>5</v>
      </c>
      <c r="AD255" s="4">
        <v>92</v>
      </c>
      <c r="AE255" s="4">
        <v>136</v>
      </c>
      <c r="AF255" s="4">
        <v>1</v>
      </c>
      <c r="AG255" s="4">
        <v>3</v>
      </c>
      <c r="AH255" s="4">
        <v>79</v>
      </c>
      <c r="AI255" s="4">
        <v>107</v>
      </c>
      <c r="AJ255" s="4">
        <v>11</v>
      </c>
      <c r="AK255" s="4">
        <v>18</v>
      </c>
      <c r="AL255" s="4">
        <v>47</v>
      </c>
      <c r="AM255" s="4">
        <v>60</v>
      </c>
      <c r="AN255" s="4">
        <v>0</v>
      </c>
      <c r="AO255" s="4">
        <v>0</v>
      </c>
      <c r="AP255" s="4">
        <v>15</v>
      </c>
      <c r="AQ255" s="4">
        <v>30</v>
      </c>
      <c r="AR255" s="3" t="s">
        <v>62</v>
      </c>
      <c r="AS255" s="3" t="s">
        <v>61</v>
      </c>
      <c r="AT255" s="3" t="s">
        <v>61</v>
      </c>
      <c r="AU255" s="6" t="str">
        <f t="shared" si="12"/>
        <v>HathiTrust Record</v>
      </c>
      <c r="AV255" s="6" t="str">
        <f t="shared" si="13"/>
        <v>Catalog Record</v>
      </c>
      <c r="AW255" s="6" t="str">
        <f t="shared" si="14"/>
        <v>WorldCat Record</v>
      </c>
      <c r="AX255" s="3" t="s">
        <v>2743</v>
      </c>
      <c r="AY255" s="3" t="s">
        <v>2744</v>
      </c>
      <c r="AZ255" s="3" t="s">
        <v>2745</v>
      </c>
      <c r="BA255" s="3" t="s">
        <v>2745</v>
      </c>
      <c r="BB255" s="3" t="s">
        <v>2759</v>
      </c>
      <c r="BC255" s="3" t="s">
        <v>102</v>
      </c>
      <c r="BD255" s="3" t="s">
        <v>68</v>
      </c>
      <c r="BF255" s="3" t="s">
        <v>2759</v>
      </c>
      <c r="BG255" s="3" t="s">
        <v>2760</v>
      </c>
    </row>
    <row r="256" spans="1:59" ht="58" x14ac:dyDescent="0.35">
      <c r="A256" s="2" t="s">
        <v>89</v>
      </c>
      <c r="B256" s="2" t="s">
        <v>90</v>
      </c>
      <c r="C256" s="2" t="s">
        <v>2735</v>
      </c>
      <c r="D256" s="2" t="s">
        <v>2736</v>
      </c>
      <c r="E256" s="2" t="s">
        <v>2737</v>
      </c>
      <c r="F256" s="3" t="s">
        <v>1413</v>
      </c>
      <c r="G256" s="3" t="s">
        <v>61</v>
      </c>
      <c r="I256" s="3" t="s">
        <v>61</v>
      </c>
      <c r="J256" s="3" t="s">
        <v>62</v>
      </c>
      <c r="K256" s="3" t="s">
        <v>916</v>
      </c>
      <c r="L256" s="2" t="s">
        <v>2689</v>
      </c>
      <c r="M256" s="2" t="s">
        <v>2739</v>
      </c>
      <c r="N256" s="3" t="s">
        <v>2740</v>
      </c>
      <c r="P256" s="3" t="s">
        <v>64</v>
      </c>
      <c r="Q256" s="2" t="s">
        <v>2741</v>
      </c>
      <c r="R256" s="3" t="s">
        <v>65</v>
      </c>
      <c r="S256" s="4">
        <v>12</v>
      </c>
      <c r="T256" s="4">
        <v>36</v>
      </c>
      <c r="U256" s="5" t="s">
        <v>2761</v>
      </c>
      <c r="V256" s="5" t="s">
        <v>613</v>
      </c>
      <c r="W256" s="5" t="s">
        <v>67</v>
      </c>
      <c r="X256" s="5" t="s">
        <v>67</v>
      </c>
      <c r="Y256" s="4">
        <v>522</v>
      </c>
      <c r="Z256" s="4">
        <v>25</v>
      </c>
      <c r="AA256" s="4">
        <v>45</v>
      </c>
      <c r="AB256" s="4">
        <v>2</v>
      </c>
      <c r="AC256" s="4">
        <v>5</v>
      </c>
      <c r="AD256" s="4">
        <v>92</v>
      </c>
      <c r="AE256" s="4">
        <v>136</v>
      </c>
      <c r="AF256" s="4">
        <v>1</v>
      </c>
      <c r="AG256" s="4">
        <v>3</v>
      </c>
      <c r="AH256" s="4">
        <v>79</v>
      </c>
      <c r="AI256" s="4">
        <v>107</v>
      </c>
      <c r="AJ256" s="4">
        <v>11</v>
      </c>
      <c r="AK256" s="4">
        <v>18</v>
      </c>
      <c r="AL256" s="4">
        <v>47</v>
      </c>
      <c r="AM256" s="4">
        <v>60</v>
      </c>
      <c r="AN256" s="4">
        <v>0</v>
      </c>
      <c r="AO256" s="4">
        <v>0</v>
      </c>
      <c r="AP256" s="4">
        <v>15</v>
      </c>
      <c r="AQ256" s="4">
        <v>30</v>
      </c>
      <c r="AR256" s="3" t="s">
        <v>62</v>
      </c>
      <c r="AS256" s="3" t="s">
        <v>61</v>
      </c>
      <c r="AT256" s="3" t="s">
        <v>61</v>
      </c>
      <c r="AU256" s="6" t="str">
        <f t="shared" si="12"/>
        <v>HathiTrust Record</v>
      </c>
      <c r="AV256" s="6" t="str">
        <f t="shared" si="13"/>
        <v>Catalog Record</v>
      </c>
      <c r="AW256" s="6" t="str">
        <f t="shared" si="14"/>
        <v>WorldCat Record</v>
      </c>
      <c r="AX256" s="3" t="s">
        <v>2743</v>
      </c>
      <c r="AY256" s="3" t="s">
        <v>2744</v>
      </c>
      <c r="AZ256" s="3" t="s">
        <v>2745</v>
      </c>
      <c r="BA256" s="3" t="s">
        <v>2745</v>
      </c>
      <c r="BB256" s="3" t="s">
        <v>2762</v>
      </c>
      <c r="BC256" s="3" t="s">
        <v>102</v>
      </c>
      <c r="BD256" s="3" t="s">
        <v>68</v>
      </c>
      <c r="BF256" s="3" t="s">
        <v>2762</v>
      </c>
      <c r="BG256" s="3" t="s">
        <v>2763</v>
      </c>
    </row>
    <row r="257" spans="1:59" ht="58" x14ac:dyDescent="0.35">
      <c r="A257" s="2" t="s">
        <v>89</v>
      </c>
      <c r="B257" s="2" t="s">
        <v>90</v>
      </c>
      <c r="C257" s="2" t="s">
        <v>2735</v>
      </c>
      <c r="D257" s="2" t="s">
        <v>2736</v>
      </c>
      <c r="E257" s="2" t="s">
        <v>2737</v>
      </c>
      <c r="F257" s="3" t="s">
        <v>2764</v>
      </c>
      <c r="G257" s="3" t="s">
        <v>61</v>
      </c>
      <c r="I257" s="3" t="s">
        <v>61</v>
      </c>
      <c r="J257" s="3" t="s">
        <v>62</v>
      </c>
      <c r="K257" s="3" t="s">
        <v>916</v>
      </c>
      <c r="L257" s="2" t="s">
        <v>2689</v>
      </c>
      <c r="M257" s="2" t="s">
        <v>2739</v>
      </c>
      <c r="N257" s="3" t="s">
        <v>2740</v>
      </c>
      <c r="P257" s="3" t="s">
        <v>64</v>
      </c>
      <c r="Q257" s="2" t="s">
        <v>2741</v>
      </c>
      <c r="R257" s="3" t="s">
        <v>65</v>
      </c>
      <c r="S257" s="4">
        <v>2</v>
      </c>
      <c r="T257" s="4">
        <v>36</v>
      </c>
      <c r="U257" s="5" t="s">
        <v>2753</v>
      </c>
      <c r="V257" s="5" t="s">
        <v>613</v>
      </c>
      <c r="W257" s="5" t="s">
        <v>67</v>
      </c>
      <c r="X257" s="5" t="s">
        <v>67</v>
      </c>
      <c r="Y257" s="4">
        <v>522</v>
      </c>
      <c r="Z257" s="4">
        <v>25</v>
      </c>
      <c r="AA257" s="4">
        <v>45</v>
      </c>
      <c r="AB257" s="4">
        <v>2</v>
      </c>
      <c r="AC257" s="4">
        <v>5</v>
      </c>
      <c r="AD257" s="4">
        <v>92</v>
      </c>
      <c r="AE257" s="4">
        <v>136</v>
      </c>
      <c r="AF257" s="4">
        <v>1</v>
      </c>
      <c r="AG257" s="4">
        <v>3</v>
      </c>
      <c r="AH257" s="4">
        <v>79</v>
      </c>
      <c r="AI257" s="4">
        <v>107</v>
      </c>
      <c r="AJ257" s="4">
        <v>11</v>
      </c>
      <c r="AK257" s="4">
        <v>18</v>
      </c>
      <c r="AL257" s="4">
        <v>47</v>
      </c>
      <c r="AM257" s="4">
        <v>60</v>
      </c>
      <c r="AN257" s="4">
        <v>0</v>
      </c>
      <c r="AO257" s="4">
        <v>0</v>
      </c>
      <c r="AP257" s="4">
        <v>15</v>
      </c>
      <c r="AQ257" s="4">
        <v>30</v>
      </c>
      <c r="AR257" s="3" t="s">
        <v>62</v>
      </c>
      <c r="AS257" s="3" t="s">
        <v>61</v>
      </c>
      <c r="AT257" s="3" t="s">
        <v>61</v>
      </c>
      <c r="AU257" s="6" t="str">
        <f t="shared" si="12"/>
        <v>HathiTrust Record</v>
      </c>
      <c r="AV257" s="6" t="str">
        <f t="shared" si="13"/>
        <v>Catalog Record</v>
      </c>
      <c r="AW257" s="6" t="str">
        <f t="shared" si="14"/>
        <v>WorldCat Record</v>
      </c>
      <c r="AX257" s="3" t="s">
        <v>2743</v>
      </c>
      <c r="AY257" s="3" t="s">
        <v>2744</v>
      </c>
      <c r="AZ257" s="3" t="s">
        <v>2745</v>
      </c>
      <c r="BA257" s="3" t="s">
        <v>2745</v>
      </c>
      <c r="BB257" s="3" t="s">
        <v>2765</v>
      </c>
      <c r="BC257" s="3" t="s">
        <v>102</v>
      </c>
      <c r="BD257" s="3" t="s">
        <v>68</v>
      </c>
      <c r="BF257" s="3" t="s">
        <v>2765</v>
      </c>
      <c r="BG257" s="3" t="s">
        <v>2766</v>
      </c>
    </row>
    <row r="258" spans="1:59" ht="58" x14ac:dyDescent="0.35">
      <c r="A258" s="2" t="s">
        <v>89</v>
      </c>
      <c r="B258" s="2" t="s">
        <v>90</v>
      </c>
      <c r="C258" s="2" t="s">
        <v>2768</v>
      </c>
      <c r="D258" s="2" t="s">
        <v>2769</v>
      </c>
      <c r="E258" s="2" t="s">
        <v>2770</v>
      </c>
      <c r="G258" s="3" t="s">
        <v>62</v>
      </c>
      <c r="I258" s="3" t="s">
        <v>61</v>
      </c>
      <c r="J258" s="3" t="s">
        <v>62</v>
      </c>
      <c r="K258" s="3" t="s">
        <v>63</v>
      </c>
      <c r="M258" s="2" t="s">
        <v>2771</v>
      </c>
      <c r="N258" s="3" t="s">
        <v>866</v>
      </c>
      <c r="P258" s="3" t="s">
        <v>64</v>
      </c>
      <c r="R258" s="3" t="s">
        <v>65</v>
      </c>
      <c r="S258" s="4">
        <v>9</v>
      </c>
      <c r="T258" s="4">
        <v>9</v>
      </c>
      <c r="U258" s="5" t="s">
        <v>2448</v>
      </c>
      <c r="V258" s="5" t="s">
        <v>2448</v>
      </c>
      <c r="W258" s="5" t="s">
        <v>1338</v>
      </c>
      <c r="X258" s="5" t="s">
        <v>1338</v>
      </c>
      <c r="Y258" s="4">
        <v>739</v>
      </c>
      <c r="Z258" s="4">
        <v>45</v>
      </c>
      <c r="AA258" s="4">
        <v>51</v>
      </c>
      <c r="AB258" s="4">
        <v>3</v>
      </c>
      <c r="AC258" s="4">
        <v>8</v>
      </c>
      <c r="AD258" s="4">
        <v>133</v>
      </c>
      <c r="AE258" s="4">
        <v>138</v>
      </c>
      <c r="AF258" s="4">
        <v>1</v>
      </c>
      <c r="AG258" s="4">
        <v>4</v>
      </c>
      <c r="AH258" s="4">
        <v>106</v>
      </c>
      <c r="AI258" s="4">
        <v>108</v>
      </c>
      <c r="AJ258" s="4">
        <v>24</v>
      </c>
      <c r="AK258" s="4">
        <v>27</v>
      </c>
      <c r="AL258" s="4">
        <v>59</v>
      </c>
      <c r="AM258" s="4">
        <v>59</v>
      </c>
      <c r="AN258" s="4">
        <v>0</v>
      </c>
      <c r="AO258" s="4">
        <v>0</v>
      </c>
      <c r="AP258" s="4">
        <v>35</v>
      </c>
      <c r="AQ258" s="4">
        <v>38</v>
      </c>
      <c r="AR258" s="3" t="s">
        <v>62</v>
      </c>
      <c r="AS258" s="3" t="s">
        <v>62</v>
      </c>
      <c r="AT258" s="3" t="s">
        <v>61</v>
      </c>
      <c r="AU258" s="6" t="str">
        <f>HYPERLINK("http://catalog.hathitrust.org/Record/000324643","HathiTrust Record")</f>
        <v>HathiTrust Record</v>
      </c>
      <c r="AV258" s="6" t="str">
        <f>HYPERLINK("http://mcgill.on.worldcat.org/oclc/370312","Catalog Record")</f>
        <v>Catalog Record</v>
      </c>
      <c r="AW258" s="6" t="str">
        <f>HYPERLINK("http://www.worldcat.org/oclc/370312","WorldCat Record")</f>
        <v>WorldCat Record</v>
      </c>
      <c r="AX258" s="3" t="s">
        <v>2772</v>
      </c>
      <c r="AY258" s="3" t="s">
        <v>2773</v>
      </c>
      <c r="AZ258" s="3" t="s">
        <v>2774</v>
      </c>
      <c r="BA258" s="3" t="s">
        <v>2774</v>
      </c>
      <c r="BB258" s="3" t="s">
        <v>2775</v>
      </c>
      <c r="BC258" s="3" t="s">
        <v>102</v>
      </c>
      <c r="BD258" s="3" t="s">
        <v>68</v>
      </c>
      <c r="BE258" s="3" t="s">
        <v>2776</v>
      </c>
      <c r="BF258" s="3" t="s">
        <v>2775</v>
      </c>
      <c r="BG258" s="3" t="s">
        <v>2777</v>
      </c>
    </row>
    <row r="259" spans="1:59" ht="58" x14ac:dyDescent="0.35">
      <c r="A259" s="2" t="s">
        <v>89</v>
      </c>
      <c r="B259" s="2" t="s">
        <v>90</v>
      </c>
      <c r="C259" s="2" t="s">
        <v>2778</v>
      </c>
      <c r="D259" s="2" t="s">
        <v>2779</v>
      </c>
      <c r="E259" s="2" t="s">
        <v>2780</v>
      </c>
      <c r="G259" s="3" t="s">
        <v>62</v>
      </c>
      <c r="I259" s="3" t="s">
        <v>62</v>
      </c>
      <c r="J259" s="3" t="s">
        <v>62</v>
      </c>
      <c r="K259" s="3" t="s">
        <v>63</v>
      </c>
      <c r="M259" s="2" t="s">
        <v>2781</v>
      </c>
      <c r="N259" s="3" t="s">
        <v>596</v>
      </c>
      <c r="P259" s="3" t="s">
        <v>64</v>
      </c>
      <c r="Q259" s="2" t="s">
        <v>2782</v>
      </c>
      <c r="R259" s="3" t="s">
        <v>65</v>
      </c>
      <c r="S259" s="4">
        <v>23</v>
      </c>
      <c r="T259" s="4">
        <v>23</v>
      </c>
      <c r="U259" s="5" t="s">
        <v>2783</v>
      </c>
      <c r="V259" s="5" t="s">
        <v>2783</v>
      </c>
      <c r="W259" s="5" t="s">
        <v>67</v>
      </c>
      <c r="X259" s="5" t="s">
        <v>67</v>
      </c>
      <c r="Y259" s="4">
        <v>159</v>
      </c>
      <c r="Z259" s="4">
        <v>11</v>
      </c>
      <c r="AA259" s="4">
        <v>17</v>
      </c>
      <c r="AB259" s="4">
        <v>1</v>
      </c>
      <c r="AC259" s="4">
        <v>6</v>
      </c>
      <c r="AD259" s="4">
        <v>70</v>
      </c>
      <c r="AE259" s="4">
        <v>79</v>
      </c>
      <c r="AF259" s="4">
        <v>0</v>
      </c>
      <c r="AG259" s="4">
        <v>1</v>
      </c>
      <c r="AH259" s="4">
        <v>65</v>
      </c>
      <c r="AI259" s="4">
        <v>73</v>
      </c>
      <c r="AJ259" s="4">
        <v>7</v>
      </c>
      <c r="AK259" s="4">
        <v>8</v>
      </c>
      <c r="AL259" s="4">
        <v>44</v>
      </c>
      <c r="AM259" s="4">
        <v>47</v>
      </c>
      <c r="AN259" s="4">
        <v>0</v>
      </c>
      <c r="AO259" s="4">
        <v>0</v>
      </c>
      <c r="AP259" s="4">
        <v>8</v>
      </c>
      <c r="AQ259" s="4">
        <v>8</v>
      </c>
      <c r="AR259" s="3" t="s">
        <v>62</v>
      </c>
      <c r="AS259" s="3" t="s">
        <v>62</v>
      </c>
      <c r="AT259" s="3" t="s">
        <v>62</v>
      </c>
      <c r="AV259" s="6" t="str">
        <f>HYPERLINK("http://mcgill.on.worldcat.org/oclc/49558835","Catalog Record")</f>
        <v>Catalog Record</v>
      </c>
      <c r="AW259" s="6" t="str">
        <f>HYPERLINK("http://www.worldcat.org/oclc/49558835","WorldCat Record")</f>
        <v>WorldCat Record</v>
      </c>
      <c r="AX259" s="3" t="s">
        <v>2784</v>
      </c>
      <c r="AY259" s="3" t="s">
        <v>2785</v>
      </c>
      <c r="AZ259" s="3" t="s">
        <v>2786</v>
      </c>
      <c r="BA259" s="3" t="s">
        <v>2786</v>
      </c>
      <c r="BB259" s="3" t="s">
        <v>2787</v>
      </c>
      <c r="BC259" s="3" t="s">
        <v>102</v>
      </c>
      <c r="BD259" s="3" t="s">
        <v>68</v>
      </c>
      <c r="BE259" s="3" t="s">
        <v>2788</v>
      </c>
      <c r="BF259" s="3" t="s">
        <v>2787</v>
      </c>
      <c r="BG259" s="3" t="s">
        <v>2789</v>
      </c>
    </row>
    <row r="260" spans="1:59" ht="58" x14ac:dyDescent="0.35">
      <c r="A260" s="2" t="s">
        <v>89</v>
      </c>
      <c r="B260" s="2" t="s">
        <v>90</v>
      </c>
      <c r="C260" s="2" t="s">
        <v>2790</v>
      </c>
      <c r="D260" s="2" t="s">
        <v>2791</v>
      </c>
      <c r="E260" s="2" t="s">
        <v>2792</v>
      </c>
      <c r="G260" s="3" t="s">
        <v>62</v>
      </c>
      <c r="I260" s="3" t="s">
        <v>62</v>
      </c>
      <c r="J260" s="3" t="s">
        <v>62</v>
      </c>
      <c r="K260" s="3" t="s">
        <v>63</v>
      </c>
      <c r="L260" s="2" t="s">
        <v>2793</v>
      </c>
      <c r="M260" s="2" t="s">
        <v>2794</v>
      </c>
      <c r="N260" s="3" t="s">
        <v>568</v>
      </c>
      <c r="P260" s="3" t="s">
        <v>64</v>
      </c>
      <c r="R260" s="3" t="s">
        <v>65</v>
      </c>
      <c r="S260" s="4">
        <v>11</v>
      </c>
      <c r="T260" s="4">
        <v>11</v>
      </c>
      <c r="U260" s="5" t="s">
        <v>1118</v>
      </c>
      <c r="V260" s="5" t="s">
        <v>1118</v>
      </c>
      <c r="W260" s="5" t="s">
        <v>67</v>
      </c>
      <c r="X260" s="5" t="s">
        <v>67</v>
      </c>
      <c r="Y260" s="4">
        <v>161</v>
      </c>
      <c r="Z260" s="4">
        <v>13</v>
      </c>
      <c r="AA260" s="4">
        <v>18</v>
      </c>
      <c r="AB260" s="4">
        <v>1</v>
      </c>
      <c r="AC260" s="4">
        <v>3</v>
      </c>
      <c r="AD260" s="4">
        <v>64</v>
      </c>
      <c r="AE260" s="4">
        <v>81</v>
      </c>
      <c r="AF260" s="4">
        <v>0</v>
      </c>
      <c r="AG260" s="4">
        <v>0</v>
      </c>
      <c r="AH260" s="4">
        <v>56</v>
      </c>
      <c r="AI260" s="4">
        <v>71</v>
      </c>
      <c r="AJ260" s="4">
        <v>9</v>
      </c>
      <c r="AK260" s="4">
        <v>11</v>
      </c>
      <c r="AL260" s="4">
        <v>35</v>
      </c>
      <c r="AM260" s="4">
        <v>45</v>
      </c>
      <c r="AN260" s="4">
        <v>0</v>
      </c>
      <c r="AO260" s="4">
        <v>0</v>
      </c>
      <c r="AP260" s="4">
        <v>11</v>
      </c>
      <c r="AQ260" s="4">
        <v>14</v>
      </c>
      <c r="AR260" s="3" t="s">
        <v>62</v>
      </c>
      <c r="AS260" s="3" t="s">
        <v>62</v>
      </c>
      <c r="AT260" s="3" t="s">
        <v>62</v>
      </c>
      <c r="AV260" s="6" t="str">
        <f>HYPERLINK("http://mcgill.on.worldcat.org/oclc/42273521","Catalog Record")</f>
        <v>Catalog Record</v>
      </c>
      <c r="AW260" s="6" t="str">
        <f>HYPERLINK("http://www.worldcat.org/oclc/42273521","WorldCat Record")</f>
        <v>WorldCat Record</v>
      </c>
      <c r="AX260" s="3" t="s">
        <v>2795</v>
      </c>
      <c r="AY260" s="3" t="s">
        <v>2796</v>
      </c>
      <c r="AZ260" s="3" t="s">
        <v>2797</v>
      </c>
      <c r="BA260" s="3" t="s">
        <v>2797</v>
      </c>
      <c r="BB260" s="3" t="s">
        <v>2798</v>
      </c>
      <c r="BC260" s="3" t="s">
        <v>102</v>
      </c>
      <c r="BD260" s="3" t="s">
        <v>68</v>
      </c>
      <c r="BE260" s="3" t="s">
        <v>2799</v>
      </c>
      <c r="BF260" s="3" t="s">
        <v>2798</v>
      </c>
      <c r="BG260" s="3" t="s">
        <v>2800</v>
      </c>
    </row>
    <row r="261" spans="1:59" ht="58" x14ac:dyDescent="0.35">
      <c r="A261" s="2" t="s">
        <v>89</v>
      </c>
      <c r="B261" s="2" t="s">
        <v>90</v>
      </c>
      <c r="C261" s="2" t="s">
        <v>2801</v>
      </c>
      <c r="D261" s="2" t="s">
        <v>2802</v>
      </c>
      <c r="E261" s="2" t="s">
        <v>2803</v>
      </c>
      <c r="G261" s="3" t="s">
        <v>62</v>
      </c>
      <c r="I261" s="3" t="s">
        <v>61</v>
      </c>
      <c r="J261" s="3" t="s">
        <v>62</v>
      </c>
      <c r="K261" s="3" t="s">
        <v>63</v>
      </c>
      <c r="L261" s="2" t="s">
        <v>2804</v>
      </c>
      <c r="M261" s="2" t="s">
        <v>2805</v>
      </c>
      <c r="N261" s="3" t="s">
        <v>866</v>
      </c>
      <c r="O261" s="2" t="s">
        <v>2806</v>
      </c>
      <c r="P261" s="3" t="s">
        <v>64</v>
      </c>
      <c r="R261" s="3" t="s">
        <v>65</v>
      </c>
      <c r="S261" s="4">
        <v>21</v>
      </c>
      <c r="T261" s="4">
        <v>36</v>
      </c>
      <c r="U261" s="5" t="s">
        <v>2807</v>
      </c>
      <c r="V261" s="5" t="s">
        <v>2808</v>
      </c>
      <c r="W261" s="5" t="s">
        <v>67</v>
      </c>
      <c r="X261" s="5" t="s">
        <v>67</v>
      </c>
      <c r="Y261" s="4">
        <v>376</v>
      </c>
      <c r="Z261" s="4">
        <v>15</v>
      </c>
      <c r="AA261" s="4">
        <v>55</v>
      </c>
      <c r="AB261" s="4">
        <v>2</v>
      </c>
      <c r="AC261" s="4">
        <v>5</v>
      </c>
      <c r="AD261" s="4">
        <v>68</v>
      </c>
      <c r="AE261" s="4">
        <v>138</v>
      </c>
      <c r="AF261" s="4">
        <v>1</v>
      </c>
      <c r="AG261" s="4">
        <v>3</v>
      </c>
      <c r="AH261" s="4">
        <v>55</v>
      </c>
      <c r="AI261" s="4">
        <v>108</v>
      </c>
      <c r="AJ261" s="4">
        <v>8</v>
      </c>
      <c r="AK261" s="4">
        <v>24</v>
      </c>
      <c r="AL261" s="4">
        <v>32</v>
      </c>
      <c r="AM261" s="4">
        <v>58</v>
      </c>
      <c r="AN261" s="4">
        <v>0</v>
      </c>
      <c r="AO261" s="4">
        <v>0</v>
      </c>
      <c r="AP261" s="4">
        <v>11</v>
      </c>
      <c r="AQ261" s="4">
        <v>37</v>
      </c>
      <c r="AR261" s="3" t="s">
        <v>62</v>
      </c>
      <c r="AS261" s="3" t="s">
        <v>62</v>
      </c>
      <c r="AT261" s="3" t="s">
        <v>61</v>
      </c>
      <c r="AU261" s="6" t="str">
        <f>HYPERLINK("http://catalog.hathitrust.org/Record/001483540","HathiTrust Record")</f>
        <v>HathiTrust Record</v>
      </c>
      <c r="AV261" s="6" t="str">
        <f>HYPERLINK("http://mcgill.on.worldcat.org/oclc/521634","Catalog Record")</f>
        <v>Catalog Record</v>
      </c>
      <c r="AW261" s="6" t="str">
        <f>HYPERLINK("http://www.worldcat.org/oclc/521634","WorldCat Record")</f>
        <v>WorldCat Record</v>
      </c>
      <c r="AX261" s="3" t="s">
        <v>2809</v>
      </c>
      <c r="AY261" s="3" t="s">
        <v>2810</v>
      </c>
      <c r="AZ261" s="3" t="s">
        <v>2811</v>
      </c>
      <c r="BA261" s="3" t="s">
        <v>2811</v>
      </c>
      <c r="BB261" s="3" t="s">
        <v>2812</v>
      </c>
      <c r="BC261" s="3" t="s">
        <v>102</v>
      </c>
      <c r="BD261" s="3" t="s">
        <v>68</v>
      </c>
      <c r="BE261" s="3" t="s">
        <v>2813</v>
      </c>
      <c r="BF261" s="3" t="s">
        <v>2812</v>
      </c>
      <c r="BG261" s="3" t="s">
        <v>2814</v>
      </c>
    </row>
    <row r="262" spans="1:59" ht="87" x14ac:dyDescent="0.35">
      <c r="A262" s="2" t="s">
        <v>89</v>
      </c>
      <c r="B262" s="2" t="s">
        <v>90</v>
      </c>
      <c r="C262" s="2" t="s">
        <v>2815</v>
      </c>
      <c r="D262" s="2" t="s">
        <v>2816</v>
      </c>
      <c r="E262" s="2" t="s">
        <v>2817</v>
      </c>
      <c r="G262" s="3" t="s">
        <v>62</v>
      </c>
      <c r="I262" s="3" t="s">
        <v>62</v>
      </c>
      <c r="J262" s="3" t="s">
        <v>62</v>
      </c>
      <c r="K262" s="3" t="s">
        <v>63</v>
      </c>
      <c r="L262" s="2" t="s">
        <v>2818</v>
      </c>
      <c r="M262" s="2" t="s">
        <v>2819</v>
      </c>
      <c r="N262" s="3" t="s">
        <v>1467</v>
      </c>
      <c r="P262" s="3" t="s">
        <v>64</v>
      </c>
      <c r="R262" s="3" t="s">
        <v>65</v>
      </c>
      <c r="S262" s="4">
        <v>12</v>
      </c>
      <c r="T262" s="4">
        <v>12</v>
      </c>
      <c r="U262" s="5" t="s">
        <v>2820</v>
      </c>
      <c r="V262" s="5" t="s">
        <v>2820</v>
      </c>
      <c r="W262" s="5" t="s">
        <v>67</v>
      </c>
      <c r="X262" s="5" t="s">
        <v>67</v>
      </c>
      <c r="Y262" s="4">
        <v>132</v>
      </c>
      <c r="Z262" s="4">
        <v>20</v>
      </c>
      <c r="AA262" s="4">
        <v>48</v>
      </c>
      <c r="AB262" s="4">
        <v>1</v>
      </c>
      <c r="AC262" s="4">
        <v>5</v>
      </c>
      <c r="AD262" s="4">
        <v>38</v>
      </c>
      <c r="AE262" s="4">
        <v>139</v>
      </c>
      <c r="AF262" s="4">
        <v>0</v>
      </c>
      <c r="AG262" s="4">
        <v>4</v>
      </c>
      <c r="AH262" s="4">
        <v>30</v>
      </c>
      <c r="AI262" s="4">
        <v>109</v>
      </c>
      <c r="AJ262" s="4">
        <v>11</v>
      </c>
      <c r="AK262" s="4">
        <v>26</v>
      </c>
      <c r="AL262" s="4">
        <v>17</v>
      </c>
      <c r="AM262" s="4">
        <v>61</v>
      </c>
      <c r="AN262" s="4">
        <v>0</v>
      </c>
      <c r="AO262" s="4">
        <v>0</v>
      </c>
      <c r="AP262" s="4">
        <v>12</v>
      </c>
      <c r="AQ262" s="4">
        <v>35</v>
      </c>
      <c r="AR262" s="3" t="s">
        <v>62</v>
      </c>
      <c r="AS262" s="3" t="s">
        <v>62</v>
      </c>
      <c r="AT262" s="3" t="s">
        <v>62</v>
      </c>
      <c r="AU262" s="6" t="str">
        <f>HYPERLINK("http://catalog.hathitrust.org/Record/001984779","HathiTrust Record")</f>
        <v>HathiTrust Record</v>
      </c>
      <c r="AV262" s="6" t="str">
        <f>HYPERLINK("http://mcgill.on.worldcat.org/oclc/5788843","Catalog Record")</f>
        <v>Catalog Record</v>
      </c>
      <c r="AW262" s="6" t="str">
        <f>HYPERLINK("http://www.worldcat.org/oclc/5788843","WorldCat Record")</f>
        <v>WorldCat Record</v>
      </c>
      <c r="AX262" s="3" t="s">
        <v>2821</v>
      </c>
      <c r="AY262" s="3" t="s">
        <v>2822</v>
      </c>
      <c r="AZ262" s="3" t="s">
        <v>2823</v>
      </c>
      <c r="BA262" s="3" t="s">
        <v>2823</v>
      </c>
      <c r="BB262" s="3" t="s">
        <v>2824</v>
      </c>
      <c r="BC262" s="3" t="s">
        <v>102</v>
      </c>
      <c r="BD262" s="3" t="s">
        <v>68</v>
      </c>
      <c r="BF262" s="3" t="s">
        <v>2824</v>
      </c>
      <c r="BG262" s="3" t="s">
        <v>2825</v>
      </c>
    </row>
    <row r="263" spans="1:59" ht="58" x14ac:dyDescent="0.35">
      <c r="A263" s="2" t="s">
        <v>89</v>
      </c>
      <c r="B263" s="2" t="s">
        <v>90</v>
      </c>
      <c r="C263" s="2" t="s">
        <v>2826</v>
      </c>
      <c r="D263" s="2" t="s">
        <v>2827</v>
      </c>
      <c r="E263" s="2" t="s">
        <v>2828</v>
      </c>
      <c r="F263" s="3" t="s">
        <v>1422</v>
      </c>
      <c r="G263" s="3" t="s">
        <v>61</v>
      </c>
      <c r="I263" s="3" t="s">
        <v>61</v>
      </c>
      <c r="J263" s="3" t="s">
        <v>62</v>
      </c>
      <c r="K263" s="3" t="s">
        <v>63</v>
      </c>
      <c r="L263" s="2" t="s">
        <v>2829</v>
      </c>
      <c r="M263" s="2" t="s">
        <v>2830</v>
      </c>
      <c r="N263" s="3" t="s">
        <v>838</v>
      </c>
      <c r="P263" s="3" t="s">
        <v>64</v>
      </c>
      <c r="R263" s="3" t="s">
        <v>65</v>
      </c>
      <c r="S263" s="4">
        <v>0</v>
      </c>
      <c r="T263" s="4">
        <v>20</v>
      </c>
      <c r="V263" s="5" t="s">
        <v>2831</v>
      </c>
      <c r="W263" s="5" t="s">
        <v>67</v>
      </c>
      <c r="X263" s="5" t="s">
        <v>67</v>
      </c>
      <c r="Y263" s="4">
        <v>1240</v>
      </c>
      <c r="Z263" s="4">
        <v>50</v>
      </c>
      <c r="AA263" s="4">
        <v>61</v>
      </c>
      <c r="AB263" s="4">
        <v>3</v>
      </c>
      <c r="AC263" s="4">
        <v>4</v>
      </c>
      <c r="AD263" s="4">
        <v>127</v>
      </c>
      <c r="AE263" s="4">
        <v>137</v>
      </c>
      <c r="AF263" s="4">
        <v>2</v>
      </c>
      <c r="AG263" s="4">
        <v>3</v>
      </c>
      <c r="AH263" s="4">
        <v>102</v>
      </c>
      <c r="AI263" s="4">
        <v>106</v>
      </c>
      <c r="AJ263" s="4">
        <v>19</v>
      </c>
      <c r="AK263" s="4">
        <v>23</v>
      </c>
      <c r="AL263" s="4">
        <v>56</v>
      </c>
      <c r="AM263" s="4">
        <v>58</v>
      </c>
      <c r="AN263" s="4">
        <v>0</v>
      </c>
      <c r="AO263" s="4">
        <v>0</v>
      </c>
      <c r="AP263" s="4">
        <v>28</v>
      </c>
      <c r="AQ263" s="4">
        <v>34</v>
      </c>
      <c r="AR263" s="3" t="s">
        <v>62</v>
      </c>
      <c r="AS263" s="3" t="s">
        <v>62</v>
      </c>
      <c r="AT263" s="3" t="s">
        <v>61</v>
      </c>
      <c r="AU263" s="6" t="str">
        <f>HYPERLINK("http://catalog.hathitrust.org/Record/001473536","HathiTrust Record")</f>
        <v>HathiTrust Record</v>
      </c>
      <c r="AV263" s="6" t="str">
        <f>HYPERLINK("http://mcgill.on.worldcat.org/oclc/557328","Catalog Record")</f>
        <v>Catalog Record</v>
      </c>
      <c r="AW263" s="6" t="str">
        <f>HYPERLINK("http://www.worldcat.org/oclc/557328","WorldCat Record")</f>
        <v>WorldCat Record</v>
      </c>
      <c r="AX263" s="3" t="s">
        <v>2832</v>
      </c>
      <c r="AY263" s="3" t="s">
        <v>2833</v>
      </c>
      <c r="AZ263" s="3" t="s">
        <v>2834</v>
      </c>
      <c r="BA263" s="3" t="s">
        <v>2834</v>
      </c>
      <c r="BB263" s="3" t="s">
        <v>2835</v>
      </c>
      <c r="BC263" s="3" t="s">
        <v>102</v>
      </c>
      <c r="BD263" s="3" t="s">
        <v>68</v>
      </c>
      <c r="BF263" s="3" t="s">
        <v>2835</v>
      </c>
      <c r="BG263" s="3" t="s">
        <v>2836</v>
      </c>
    </row>
    <row r="264" spans="1:59" ht="58" x14ac:dyDescent="0.35">
      <c r="A264" s="2" t="s">
        <v>89</v>
      </c>
      <c r="B264" s="2" t="s">
        <v>90</v>
      </c>
      <c r="C264" s="2" t="s">
        <v>2826</v>
      </c>
      <c r="D264" s="2" t="s">
        <v>2827</v>
      </c>
      <c r="E264" s="2" t="s">
        <v>2828</v>
      </c>
      <c r="F264" s="3" t="s">
        <v>1416</v>
      </c>
      <c r="G264" s="3" t="s">
        <v>61</v>
      </c>
      <c r="I264" s="3" t="s">
        <v>61</v>
      </c>
      <c r="J264" s="3" t="s">
        <v>62</v>
      </c>
      <c r="K264" s="3" t="s">
        <v>63</v>
      </c>
      <c r="L264" s="2" t="s">
        <v>2829</v>
      </c>
      <c r="M264" s="2" t="s">
        <v>2830</v>
      </c>
      <c r="N264" s="3" t="s">
        <v>838</v>
      </c>
      <c r="P264" s="3" t="s">
        <v>64</v>
      </c>
      <c r="R264" s="3" t="s">
        <v>65</v>
      </c>
      <c r="S264" s="4">
        <v>11</v>
      </c>
      <c r="T264" s="4">
        <v>20</v>
      </c>
      <c r="U264" s="5" t="s">
        <v>2831</v>
      </c>
      <c r="V264" s="5" t="s">
        <v>2831</v>
      </c>
      <c r="W264" s="5" t="s">
        <v>67</v>
      </c>
      <c r="X264" s="5" t="s">
        <v>67</v>
      </c>
      <c r="Y264" s="4">
        <v>1240</v>
      </c>
      <c r="Z264" s="4">
        <v>50</v>
      </c>
      <c r="AA264" s="4">
        <v>61</v>
      </c>
      <c r="AB264" s="4">
        <v>3</v>
      </c>
      <c r="AC264" s="4">
        <v>4</v>
      </c>
      <c r="AD264" s="4">
        <v>127</v>
      </c>
      <c r="AE264" s="4">
        <v>137</v>
      </c>
      <c r="AF264" s="4">
        <v>2</v>
      </c>
      <c r="AG264" s="4">
        <v>3</v>
      </c>
      <c r="AH264" s="4">
        <v>102</v>
      </c>
      <c r="AI264" s="4">
        <v>106</v>
      </c>
      <c r="AJ264" s="4">
        <v>19</v>
      </c>
      <c r="AK264" s="4">
        <v>23</v>
      </c>
      <c r="AL264" s="4">
        <v>56</v>
      </c>
      <c r="AM264" s="4">
        <v>58</v>
      </c>
      <c r="AN264" s="4">
        <v>0</v>
      </c>
      <c r="AO264" s="4">
        <v>0</v>
      </c>
      <c r="AP264" s="4">
        <v>28</v>
      </c>
      <c r="AQ264" s="4">
        <v>34</v>
      </c>
      <c r="AR264" s="3" t="s">
        <v>62</v>
      </c>
      <c r="AS264" s="3" t="s">
        <v>62</v>
      </c>
      <c r="AT264" s="3" t="s">
        <v>61</v>
      </c>
      <c r="AU264" s="6" t="str">
        <f>HYPERLINK("http://catalog.hathitrust.org/Record/001473536","HathiTrust Record")</f>
        <v>HathiTrust Record</v>
      </c>
      <c r="AV264" s="6" t="str">
        <f>HYPERLINK("http://mcgill.on.worldcat.org/oclc/557328","Catalog Record")</f>
        <v>Catalog Record</v>
      </c>
      <c r="AW264" s="6" t="str">
        <f>HYPERLINK("http://www.worldcat.org/oclc/557328","WorldCat Record")</f>
        <v>WorldCat Record</v>
      </c>
      <c r="AX264" s="3" t="s">
        <v>2832</v>
      </c>
      <c r="AY264" s="3" t="s">
        <v>2833</v>
      </c>
      <c r="AZ264" s="3" t="s">
        <v>2834</v>
      </c>
      <c r="BA264" s="3" t="s">
        <v>2834</v>
      </c>
      <c r="BB264" s="3" t="s">
        <v>2837</v>
      </c>
      <c r="BC264" s="3" t="s">
        <v>102</v>
      </c>
      <c r="BD264" s="3" t="s">
        <v>68</v>
      </c>
      <c r="BF264" s="3" t="s">
        <v>2837</v>
      </c>
      <c r="BG264" s="3" t="s">
        <v>2838</v>
      </c>
    </row>
    <row r="265" spans="1:59" ht="58" x14ac:dyDescent="0.35">
      <c r="A265" s="2" t="s">
        <v>89</v>
      </c>
      <c r="B265" s="2" t="s">
        <v>90</v>
      </c>
      <c r="C265" s="2" t="s">
        <v>2826</v>
      </c>
      <c r="D265" s="2" t="s">
        <v>2827</v>
      </c>
      <c r="E265" s="2" t="s">
        <v>2828</v>
      </c>
      <c r="F265" s="3" t="s">
        <v>1428</v>
      </c>
      <c r="G265" s="3" t="s">
        <v>61</v>
      </c>
      <c r="I265" s="3" t="s">
        <v>61</v>
      </c>
      <c r="J265" s="3" t="s">
        <v>62</v>
      </c>
      <c r="K265" s="3" t="s">
        <v>63</v>
      </c>
      <c r="L265" s="2" t="s">
        <v>2829</v>
      </c>
      <c r="M265" s="2" t="s">
        <v>2830</v>
      </c>
      <c r="N265" s="3" t="s">
        <v>838</v>
      </c>
      <c r="P265" s="3" t="s">
        <v>64</v>
      </c>
      <c r="R265" s="3" t="s">
        <v>65</v>
      </c>
      <c r="S265" s="4">
        <v>0</v>
      </c>
      <c r="T265" s="4">
        <v>20</v>
      </c>
      <c r="V265" s="5" t="s">
        <v>2831</v>
      </c>
      <c r="W265" s="5" t="s">
        <v>67</v>
      </c>
      <c r="X265" s="5" t="s">
        <v>67</v>
      </c>
      <c r="Y265" s="4">
        <v>1240</v>
      </c>
      <c r="Z265" s="4">
        <v>50</v>
      </c>
      <c r="AA265" s="4">
        <v>61</v>
      </c>
      <c r="AB265" s="4">
        <v>3</v>
      </c>
      <c r="AC265" s="4">
        <v>4</v>
      </c>
      <c r="AD265" s="4">
        <v>127</v>
      </c>
      <c r="AE265" s="4">
        <v>137</v>
      </c>
      <c r="AF265" s="4">
        <v>2</v>
      </c>
      <c r="AG265" s="4">
        <v>3</v>
      </c>
      <c r="AH265" s="4">
        <v>102</v>
      </c>
      <c r="AI265" s="4">
        <v>106</v>
      </c>
      <c r="AJ265" s="4">
        <v>19</v>
      </c>
      <c r="AK265" s="4">
        <v>23</v>
      </c>
      <c r="AL265" s="4">
        <v>56</v>
      </c>
      <c r="AM265" s="4">
        <v>58</v>
      </c>
      <c r="AN265" s="4">
        <v>0</v>
      </c>
      <c r="AO265" s="4">
        <v>0</v>
      </c>
      <c r="AP265" s="4">
        <v>28</v>
      </c>
      <c r="AQ265" s="4">
        <v>34</v>
      </c>
      <c r="AR265" s="3" t="s">
        <v>62</v>
      </c>
      <c r="AS265" s="3" t="s">
        <v>62</v>
      </c>
      <c r="AT265" s="3" t="s">
        <v>61</v>
      </c>
      <c r="AU265" s="6" t="str">
        <f>HYPERLINK("http://catalog.hathitrust.org/Record/001473536","HathiTrust Record")</f>
        <v>HathiTrust Record</v>
      </c>
      <c r="AV265" s="6" t="str">
        <f>HYPERLINK("http://mcgill.on.worldcat.org/oclc/557328","Catalog Record")</f>
        <v>Catalog Record</v>
      </c>
      <c r="AW265" s="6" t="str">
        <f>HYPERLINK("http://www.worldcat.org/oclc/557328","WorldCat Record")</f>
        <v>WorldCat Record</v>
      </c>
      <c r="AX265" s="3" t="s">
        <v>2832</v>
      </c>
      <c r="AY265" s="3" t="s">
        <v>2833</v>
      </c>
      <c r="AZ265" s="3" t="s">
        <v>2834</v>
      </c>
      <c r="BA265" s="3" t="s">
        <v>2834</v>
      </c>
      <c r="BB265" s="3" t="s">
        <v>2839</v>
      </c>
      <c r="BC265" s="3" t="s">
        <v>102</v>
      </c>
      <c r="BD265" s="3" t="s">
        <v>68</v>
      </c>
      <c r="BF265" s="3" t="s">
        <v>2839</v>
      </c>
      <c r="BG265" s="3" t="s">
        <v>2840</v>
      </c>
    </row>
    <row r="266" spans="1:59" ht="58" x14ac:dyDescent="0.35">
      <c r="A266" s="2" t="s">
        <v>89</v>
      </c>
      <c r="B266" s="2" t="s">
        <v>90</v>
      </c>
      <c r="C266" s="2" t="s">
        <v>2826</v>
      </c>
      <c r="D266" s="2" t="s">
        <v>2827</v>
      </c>
      <c r="E266" s="2" t="s">
        <v>2828</v>
      </c>
      <c r="F266" s="3" t="s">
        <v>1413</v>
      </c>
      <c r="G266" s="3" t="s">
        <v>61</v>
      </c>
      <c r="I266" s="3" t="s">
        <v>61</v>
      </c>
      <c r="J266" s="3" t="s">
        <v>62</v>
      </c>
      <c r="K266" s="3" t="s">
        <v>63</v>
      </c>
      <c r="L266" s="2" t="s">
        <v>2829</v>
      </c>
      <c r="M266" s="2" t="s">
        <v>2830</v>
      </c>
      <c r="N266" s="3" t="s">
        <v>838</v>
      </c>
      <c r="P266" s="3" t="s">
        <v>64</v>
      </c>
      <c r="R266" s="3" t="s">
        <v>65</v>
      </c>
      <c r="S266" s="4">
        <v>6</v>
      </c>
      <c r="T266" s="4">
        <v>20</v>
      </c>
      <c r="U266" s="5" t="s">
        <v>2841</v>
      </c>
      <c r="V266" s="5" t="s">
        <v>2831</v>
      </c>
      <c r="W266" s="5" t="s">
        <v>67</v>
      </c>
      <c r="X266" s="5" t="s">
        <v>67</v>
      </c>
      <c r="Y266" s="4">
        <v>1240</v>
      </c>
      <c r="Z266" s="4">
        <v>50</v>
      </c>
      <c r="AA266" s="4">
        <v>61</v>
      </c>
      <c r="AB266" s="4">
        <v>3</v>
      </c>
      <c r="AC266" s="4">
        <v>4</v>
      </c>
      <c r="AD266" s="4">
        <v>127</v>
      </c>
      <c r="AE266" s="4">
        <v>137</v>
      </c>
      <c r="AF266" s="4">
        <v>2</v>
      </c>
      <c r="AG266" s="4">
        <v>3</v>
      </c>
      <c r="AH266" s="4">
        <v>102</v>
      </c>
      <c r="AI266" s="4">
        <v>106</v>
      </c>
      <c r="AJ266" s="4">
        <v>19</v>
      </c>
      <c r="AK266" s="4">
        <v>23</v>
      </c>
      <c r="AL266" s="4">
        <v>56</v>
      </c>
      <c r="AM266" s="4">
        <v>58</v>
      </c>
      <c r="AN266" s="4">
        <v>0</v>
      </c>
      <c r="AO266" s="4">
        <v>0</v>
      </c>
      <c r="AP266" s="4">
        <v>28</v>
      </c>
      <c r="AQ266" s="4">
        <v>34</v>
      </c>
      <c r="AR266" s="3" t="s">
        <v>62</v>
      </c>
      <c r="AS266" s="3" t="s">
        <v>62</v>
      </c>
      <c r="AT266" s="3" t="s">
        <v>61</v>
      </c>
      <c r="AU266" s="6" t="str">
        <f>HYPERLINK("http://catalog.hathitrust.org/Record/001473536","HathiTrust Record")</f>
        <v>HathiTrust Record</v>
      </c>
      <c r="AV266" s="6" t="str">
        <f>HYPERLINK("http://mcgill.on.worldcat.org/oclc/557328","Catalog Record")</f>
        <v>Catalog Record</v>
      </c>
      <c r="AW266" s="6" t="str">
        <f>HYPERLINK("http://www.worldcat.org/oclc/557328","WorldCat Record")</f>
        <v>WorldCat Record</v>
      </c>
      <c r="AX266" s="3" t="s">
        <v>2832</v>
      </c>
      <c r="AY266" s="3" t="s">
        <v>2833</v>
      </c>
      <c r="AZ266" s="3" t="s">
        <v>2834</v>
      </c>
      <c r="BA266" s="3" t="s">
        <v>2834</v>
      </c>
      <c r="BB266" s="3" t="s">
        <v>2842</v>
      </c>
      <c r="BC266" s="3" t="s">
        <v>102</v>
      </c>
      <c r="BD266" s="3" t="s">
        <v>68</v>
      </c>
      <c r="BF266" s="3" t="s">
        <v>2842</v>
      </c>
      <c r="BG266" s="3" t="s">
        <v>2843</v>
      </c>
    </row>
    <row r="267" spans="1:59" ht="58" x14ac:dyDescent="0.35">
      <c r="A267" s="2" t="s">
        <v>59</v>
      </c>
      <c r="B267" s="2" t="s">
        <v>60</v>
      </c>
      <c r="C267" s="2" t="s">
        <v>2844</v>
      </c>
      <c r="D267" s="2" t="s">
        <v>2845</v>
      </c>
      <c r="E267" s="2" t="s">
        <v>2846</v>
      </c>
      <c r="G267" s="3" t="s">
        <v>62</v>
      </c>
      <c r="I267" s="3" t="s">
        <v>61</v>
      </c>
      <c r="J267" s="3" t="s">
        <v>61</v>
      </c>
      <c r="K267" s="3" t="s">
        <v>63</v>
      </c>
      <c r="L267" s="2" t="s">
        <v>2847</v>
      </c>
      <c r="M267" s="2" t="s">
        <v>2848</v>
      </c>
      <c r="N267" s="3" t="s">
        <v>2445</v>
      </c>
      <c r="O267" s="2" t="s">
        <v>2849</v>
      </c>
      <c r="P267" s="3" t="s">
        <v>64</v>
      </c>
      <c r="R267" s="3" t="s">
        <v>65</v>
      </c>
      <c r="S267" s="4">
        <v>0</v>
      </c>
      <c r="T267" s="4">
        <v>5</v>
      </c>
      <c r="V267" s="5" t="s">
        <v>2850</v>
      </c>
      <c r="W267" s="5" t="s">
        <v>67</v>
      </c>
      <c r="X267" s="5" t="s">
        <v>67</v>
      </c>
      <c r="Y267" s="4">
        <v>702</v>
      </c>
      <c r="Z267" s="4">
        <v>22</v>
      </c>
      <c r="AA267" s="4">
        <v>55</v>
      </c>
      <c r="AB267" s="4">
        <v>2</v>
      </c>
      <c r="AC267" s="4">
        <v>6</v>
      </c>
      <c r="AD267" s="4">
        <v>96</v>
      </c>
      <c r="AE267" s="4">
        <v>135</v>
      </c>
      <c r="AF267" s="4">
        <v>1</v>
      </c>
      <c r="AG267" s="4">
        <v>4</v>
      </c>
      <c r="AH267" s="4">
        <v>84</v>
      </c>
      <c r="AI267" s="4">
        <v>105</v>
      </c>
      <c r="AJ267" s="4">
        <v>11</v>
      </c>
      <c r="AK267" s="4">
        <v>22</v>
      </c>
      <c r="AL267" s="4">
        <v>46</v>
      </c>
      <c r="AM267" s="4">
        <v>57</v>
      </c>
      <c r="AN267" s="4">
        <v>0</v>
      </c>
      <c r="AO267" s="4">
        <v>0</v>
      </c>
      <c r="AP267" s="4">
        <v>16</v>
      </c>
      <c r="AQ267" s="4">
        <v>36</v>
      </c>
      <c r="AR267" s="3" t="s">
        <v>62</v>
      </c>
      <c r="AS267" s="3" t="s">
        <v>62</v>
      </c>
      <c r="AT267" s="3" t="s">
        <v>61</v>
      </c>
      <c r="AU267" s="6" t="str">
        <f>HYPERLINK("http://catalog.hathitrust.org/Record/006057346","HathiTrust Record")</f>
        <v>HathiTrust Record</v>
      </c>
      <c r="AV267" s="6" t="str">
        <f>HYPERLINK("http://mcgill.on.worldcat.org/oclc/965142","Catalog Record")</f>
        <v>Catalog Record</v>
      </c>
      <c r="AW267" s="6" t="str">
        <f>HYPERLINK("http://www.worldcat.org/oclc/965142","WorldCat Record")</f>
        <v>WorldCat Record</v>
      </c>
      <c r="AX267" s="3" t="s">
        <v>2851</v>
      </c>
      <c r="AY267" s="3" t="s">
        <v>2852</v>
      </c>
      <c r="AZ267" s="3" t="s">
        <v>2853</v>
      </c>
      <c r="BA267" s="3" t="s">
        <v>2853</v>
      </c>
      <c r="BB267" s="3" t="s">
        <v>2854</v>
      </c>
      <c r="BC267" s="3" t="s">
        <v>102</v>
      </c>
      <c r="BD267" s="3" t="s">
        <v>68</v>
      </c>
      <c r="BF267" s="3" t="s">
        <v>2854</v>
      </c>
      <c r="BG267" s="3" t="s">
        <v>2855</v>
      </c>
    </row>
    <row r="268" spans="1:59" ht="58" x14ac:dyDescent="0.35">
      <c r="A268" s="2" t="s">
        <v>89</v>
      </c>
      <c r="B268" s="2" t="s">
        <v>90</v>
      </c>
      <c r="C268" s="2" t="s">
        <v>2856</v>
      </c>
      <c r="D268" s="2" t="s">
        <v>2857</v>
      </c>
      <c r="E268" s="2" t="s">
        <v>2858</v>
      </c>
      <c r="G268" s="3" t="s">
        <v>62</v>
      </c>
      <c r="I268" s="3" t="s">
        <v>62</v>
      </c>
      <c r="J268" s="3" t="s">
        <v>61</v>
      </c>
      <c r="K268" s="3" t="s">
        <v>63</v>
      </c>
      <c r="L268" s="2" t="s">
        <v>2847</v>
      </c>
      <c r="M268" s="2" t="s">
        <v>2859</v>
      </c>
      <c r="N268" s="3" t="s">
        <v>893</v>
      </c>
      <c r="O268" s="2" t="s">
        <v>2860</v>
      </c>
      <c r="P268" s="3" t="s">
        <v>64</v>
      </c>
      <c r="R268" s="3" t="s">
        <v>65</v>
      </c>
      <c r="S268" s="4">
        <v>7</v>
      </c>
      <c r="T268" s="4">
        <v>7</v>
      </c>
      <c r="U268" s="5" t="s">
        <v>2861</v>
      </c>
      <c r="V268" s="5" t="s">
        <v>2861</v>
      </c>
      <c r="W268" s="5" t="s">
        <v>67</v>
      </c>
      <c r="X268" s="5" t="s">
        <v>67</v>
      </c>
      <c r="Y268" s="4">
        <v>188</v>
      </c>
      <c r="Z268" s="4">
        <v>10</v>
      </c>
      <c r="AA268" s="4">
        <v>55</v>
      </c>
      <c r="AB268" s="4">
        <v>1</v>
      </c>
      <c r="AC268" s="4">
        <v>6</v>
      </c>
      <c r="AD268" s="4">
        <v>32</v>
      </c>
      <c r="AE268" s="4">
        <v>135</v>
      </c>
      <c r="AF268" s="4">
        <v>0</v>
      </c>
      <c r="AG268" s="4">
        <v>4</v>
      </c>
      <c r="AH268" s="4">
        <v>29</v>
      </c>
      <c r="AI268" s="4">
        <v>105</v>
      </c>
      <c r="AJ268" s="4">
        <v>3</v>
      </c>
      <c r="AK268" s="4">
        <v>22</v>
      </c>
      <c r="AL268" s="4">
        <v>12</v>
      </c>
      <c r="AM268" s="4">
        <v>57</v>
      </c>
      <c r="AN268" s="4">
        <v>0</v>
      </c>
      <c r="AO268" s="4">
        <v>0</v>
      </c>
      <c r="AP268" s="4">
        <v>5</v>
      </c>
      <c r="AQ268" s="4">
        <v>36</v>
      </c>
      <c r="AR268" s="3" t="s">
        <v>62</v>
      </c>
      <c r="AS268" s="3" t="s">
        <v>62</v>
      </c>
      <c r="AT268" s="3" t="s">
        <v>62</v>
      </c>
      <c r="AV268" s="6" t="str">
        <f>HYPERLINK("http://mcgill.on.worldcat.org/oclc/3520554","Catalog Record")</f>
        <v>Catalog Record</v>
      </c>
      <c r="AW268" s="6" t="str">
        <f>HYPERLINK("http://www.worldcat.org/oclc/3520554","WorldCat Record")</f>
        <v>WorldCat Record</v>
      </c>
      <c r="AX268" s="3" t="s">
        <v>2851</v>
      </c>
      <c r="AY268" s="3" t="s">
        <v>2862</v>
      </c>
      <c r="AZ268" s="3" t="s">
        <v>2863</v>
      </c>
      <c r="BA268" s="3" t="s">
        <v>2863</v>
      </c>
      <c r="BB268" s="3" t="s">
        <v>2864</v>
      </c>
      <c r="BC268" s="3" t="s">
        <v>102</v>
      </c>
      <c r="BD268" s="3" t="s">
        <v>68</v>
      </c>
      <c r="BE268" s="3" t="s">
        <v>2865</v>
      </c>
      <c r="BF268" s="3" t="s">
        <v>2864</v>
      </c>
      <c r="BG268" s="3" t="s">
        <v>2866</v>
      </c>
    </row>
    <row r="269" spans="1:59" ht="72.5" x14ac:dyDescent="0.35">
      <c r="A269" s="2" t="s">
        <v>89</v>
      </c>
      <c r="B269" s="2" t="s">
        <v>90</v>
      </c>
      <c r="C269" s="2" t="s">
        <v>2867</v>
      </c>
      <c r="D269" s="2" t="s">
        <v>2868</v>
      </c>
      <c r="E269" s="2" t="s">
        <v>2869</v>
      </c>
      <c r="G269" s="3" t="s">
        <v>62</v>
      </c>
      <c r="I269" s="3" t="s">
        <v>62</v>
      </c>
      <c r="J269" s="3" t="s">
        <v>62</v>
      </c>
      <c r="K269" s="3" t="s">
        <v>63</v>
      </c>
      <c r="M269" s="2" t="s">
        <v>2870</v>
      </c>
      <c r="N269" s="3" t="s">
        <v>2000</v>
      </c>
      <c r="P269" s="3" t="s">
        <v>64</v>
      </c>
      <c r="Q269" s="2" t="s">
        <v>2871</v>
      </c>
      <c r="R269" s="3" t="s">
        <v>65</v>
      </c>
      <c r="S269" s="4">
        <v>63</v>
      </c>
      <c r="T269" s="4">
        <v>63</v>
      </c>
      <c r="U269" s="5" t="s">
        <v>2872</v>
      </c>
      <c r="V269" s="5" t="s">
        <v>2872</v>
      </c>
      <c r="W269" s="5" t="s">
        <v>67</v>
      </c>
      <c r="X269" s="5" t="s">
        <v>67</v>
      </c>
      <c r="Y269" s="4">
        <v>97</v>
      </c>
      <c r="Z269" s="4">
        <v>5</v>
      </c>
      <c r="AA269" s="4">
        <v>5</v>
      </c>
      <c r="AB269" s="4">
        <v>2</v>
      </c>
      <c r="AC269" s="4">
        <v>2</v>
      </c>
      <c r="AD269" s="4">
        <v>44</v>
      </c>
      <c r="AE269" s="4">
        <v>44</v>
      </c>
      <c r="AF269" s="4">
        <v>0</v>
      </c>
      <c r="AG269" s="4">
        <v>0</v>
      </c>
      <c r="AH269" s="4">
        <v>44</v>
      </c>
      <c r="AI269" s="4">
        <v>44</v>
      </c>
      <c r="AJ269" s="4">
        <v>2</v>
      </c>
      <c r="AK269" s="4">
        <v>2</v>
      </c>
      <c r="AL269" s="4">
        <v>32</v>
      </c>
      <c r="AM269" s="4">
        <v>32</v>
      </c>
      <c r="AN269" s="4">
        <v>0</v>
      </c>
      <c r="AO269" s="4">
        <v>0</v>
      </c>
      <c r="AP269" s="4">
        <v>2</v>
      </c>
      <c r="AQ269" s="4">
        <v>2</v>
      </c>
      <c r="AR269" s="3" t="s">
        <v>62</v>
      </c>
      <c r="AS269" s="3" t="s">
        <v>62</v>
      </c>
      <c r="AT269" s="3" t="s">
        <v>62</v>
      </c>
      <c r="AV269" s="6" t="str">
        <f>HYPERLINK("http://mcgill.on.worldcat.org/oclc/34704856","Catalog Record")</f>
        <v>Catalog Record</v>
      </c>
      <c r="AW269" s="6" t="str">
        <f>HYPERLINK("http://www.worldcat.org/oclc/34704856","WorldCat Record")</f>
        <v>WorldCat Record</v>
      </c>
      <c r="AX269" s="3" t="s">
        <v>2873</v>
      </c>
      <c r="AY269" s="3" t="s">
        <v>2874</v>
      </c>
      <c r="AZ269" s="3" t="s">
        <v>2875</v>
      </c>
      <c r="BA269" s="3" t="s">
        <v>2875</v>
      </c>
      <c r="BB269" s="3" t="s">
        <v>2876</v>
      </c>
      <c r="BC269" s="3" t="s">
        <v>102</v>
      </c>
      <c r="BD269" s="3" t="s">
        <v>231</v>
      </c>
      <c r="BE269" s="3" t="s">
        <v>2877</v>
      </c>
      <c r="BF269" s="3" t="s">
        <v>2876</v>
      </c>
      <c r="BG269" s="3" t="s">
        <v>2878</v>
      </c>
    </row>
    <row r="270" spans="1:59" ht="58" x14ac:dyDescent="0.35">
      <c r="A270" s="2" t="s">
        <v>89</v>
      </c>
      <c r="B270" s="2" t="s">
        <v>90</v>
      </c>
      <c r="C270" s="2" t="s">
        <v>2879</v>
      </c>
      <c r="D270" s="2" t="s">
        <v>2880</v>
      </c>
      <c r="E270" s="2" t="s">
        <v>2881</v>
      </c>
      <c r="G270" s="3" t="s">
        <v>62</v>
      </c>
      <c r="I270" s="3" t="s">
        <v>62</v>
      </c>
      <c r="J270" s="3" t="s">
        <v>62</v>
      </c>
      <c r="K270" s="3" t="s">
        <v>63</v>
      </c>
      <c r="L270" s="2" t="s">
        <v>2882</v>
      </c>
      <c r="M270" s="2" t="s">
        <v>2883</v>
      </c>
      <c r="N270" s="3" t="s">
        <v>698</v>
      </c>
      <c r="P270" s="3" t="s">
        <v>64</v>
      </c>
      <c r="Q270" s="2" t="s">
        <v>2884</v>
      </c>
      <c r="R270" s="3" t="s">
        <v>65</v>
      </c>
      <c r="S270" s="4">
        <v>1</v>
      </c>
      <c r="T270" s="4">
        <v>1</v>
      </c>
      <c r="U270" s="5" t="s">
        <v>2885</v>
      </c>
      <c r="V270" s="5" t="s">
        <v>2885</v>
      </c>
      <c r="W270" s="5" t="s">
        <v>67</v>
      </c>
      <c r="X270" s="5" t="s">
        <v>67</v>
      </c>
      <c r="Y270" s="4">
        <v>345</v>
      </c>
      <c r="Z270" s="4">
        <v>22</v>
      </c>
      <c r="AA270" s="4">
        <v>29</v>
      </c>
      <c r="AB270" s="4">
        <v>1</v>
      </c>
      <c r="AC270" s="4">
        <v>5</v>
      </c>
      <c r="AD270" s="4">
        <v>70</v>
      </c>
      <c r="AE270" s="4">
        <v>76</v>
      </c>
      <c r="AF270" s="4">
        <v>0</v>
      </c>
      <c r="AG270" s="4">
        <v>1</v>
      </c>
      <c r="AH270" s="4">
        <v>61</v>
      </c>
      <c r="AI270" s="4">
        <v>66</v>
      </c>
      <c r="AJ270" s="4">
        <v>9</v>
      </c>
      <c r="AK270" s="4">
        <v>11</v>
      </c>
      <c r="AL270" s="4">
        <v>38</v>
      </c>
      <c r="AM270" s="4">
        <v>40</v>
      </c>
      <c r="AN270" s="4">
        <v>0</v>
      </c>
      <c r="AO270" s="4">
        <v>0</v>
      </c>
      <c r="AP270" s="4">
        <v>15</v>
      </c>
      <c r="AQ270" s="4">
        <v>17</v>
      </c>
      <c r="AR270" s="3" t="s">
        <v>62</v>
      </c>
      <c r="AS270" s="3" t="s">
        <v>62</v>
      </c>
      <c r="AT270" s="3" t="s">
        <v>62</v>
      </c>
      <c r="AV270" s="6" t="str">
        <f>HYPERLINK("http://mcgill.on.worldcat.org/oclc/706022623","Catalog Record")</f>
        <v>Catalog Record</v>
      </c>
      <c r="AW270" s="6" t="str">
        <f>HYPERLINK("http://www.worldcat.org/oclc/706022623","WorldCat Record")</f>
        <v>WorldCat Record</v>
      </c>
      <c r="AX270" s="3" t="s">
        <v>2886</v>
      </c>
      <c r="AY270" s="3" t="s">
        <v>2887</v>
      </c>
      <c r="AZ270" s="3" t="s">
        <v>2888</v>
      </c>
      <c r="BA270" s="3" t="s">
        <v>2888</v>
      </c>
      <c r="BB270" s="3" t="s">
        <v>2889</v>
      </c>
      <c r="BC270" s="3" t="s">
        <v>102</v>
      </c>
      <c r="BD270" s="3" t="s">
        <v>68</v>
      </c>
      <c r="BE270" s="3" t="s">
        <v>2890</v>
      </c>
      <c r="BF270" s="3" t="s">
        <v>2889</v>
      </c>
      <c r="BG270" s="3" t="s">
        <v>2891</v>
      </c>
    </row>
    <row r="271" spans="1:59" ht="72.5" x14ac:dyDescent="0.35">
      <c r="A271" s="2" t="s">
        <v>89</v>
      </c>
      <c r="B271" s="2" t="s">
        <v>90</v>
      </c>
      <c r="C271" s="2" t="s">
        <v>2892</v>
      </c>
      <c r="D271" s="2" t="s">
        <v>2893</v>
      </c>
      <c r="E271" s="2" t="s">
        <v>2894</v>
      </c>
      <c r="F271" s="3" t="s">
        <v>2895</v>
      </c>
      <c r="G271" s="3" t="s">
        <v>62</v>
      </c>
      <c r="I271" s="3" t="s">
        <v>62</v>
      </c>
      <c r="J271" s="3" t="s">
        <v>62</v>
      </c>
      <c r="K271" s="3" t="s">
        <v>63</v>
      </c>
      <c r="L271" s="2" t="s">
        <v>2896</v>
      </c>
      <c r="M271" s="2" t="s">
        <v>2897</v>
      </c>
      <c r="N271" s="3" t="s">
        <v>2588</v>
      </c>
      <c r="P271" s="3" t="s">
        <v>64</v>
      </c>
      <c r="Q271" s="2" t="s">
        <v>2898</v>
      </c>
      <c r="R271" s="3" t="s">
        <v>65</v>
      </c>
      <c r="S271" s="4">
        <v>1</v>
      </c>
      <c r="T271" s="4">
        <v>1</v>
      </c>
      <c r="U271" s="5" t="s">
        <v>2899</v>
      </c>
      <c r="V271" s="5" t="s">
        <v>2899</v>
      </c>
      <c r="W271" s="5" t="s">
        <v>67</v>
      </c>
      <c r="X271" s="5" t="s">
        <v>67</v>
      </c>
      <c r="Y271" s="4">
        <v>180</v>
      </c>
      <c r="Z271" s="4">
        <v>15</v>
      </c>
      <c r="AA271" s="4">
        <v>15</v>
      </c>
      <c r="AB271" s="4">
        <v>2</v>
      </c>
      <c r="AC271" s="4">
        <v>2</v>
      </c>
      <c r="AD271" s="4">
        <v>73</v>
      </c>
      <c r="AE271" s="4">
        <v>73</v>
      </c>
      <c r="AF271" s="4">
        <v>1</v>
      </c>
      <c r="AG271" s="4">
        <v>1</v>
      </c>
      <c r="AH271" s="4">
        <v>64</v>
      </c>
      <c r="AI271" s="4">
        <v>64</v>
      </c>
      <c r="AJ271" s="4">
        <v>10</v>
      </c>
      <c r="AK271" s="4">
        <v>10</v>
      </c>
      <c r="AL271" s="4">
        <v>38</v>
      </c>
      <c r="AM271" s="4">
        <v>38</v>
      </c>
      <c r="AN271" s="4">
        <v>0</v>
      </c>
      <c r="AO271" s="4">
        <v>0</v>
      </c>
      <c r="AP271" s="4">
        <v>11</v>
      </c>
      <c r="AQ271" s="4">
        <v>11</v>
      </c>
      <c r="AR271" s="3" t="s">
        <v>62</v>
      </c>
      <c r="AS271" s="3" t="s">
        <v>62</v>
      </c>
      <c r="AT271" s="3" t="s">
        <v>62</v>
      </c>
      <c r="AV271" s="6" t="str">
        <f>HYPERLINK("http://mcgill.on.worldcat.org/oclc/3305258","Catalog Record")</f>
        <v>Catalog Record</v>
      </c>
      <c r="AW271" s="6" t="str">
        <f>HYPERLINK("http://www.worldcat.org/oclc/3305258","WorldCat Record")</f>
        <v>WorldCat Record</v>
      </c>
      <c r="AX271" s="3" t="s">
        <v>2900</v>
      </c>
      <c r="AY271" s="3" t="s">
        <v>2901</v>
      </c>
      <c r="AZ271" s="3" t="s">
        <v>2902</v>
      </c>
      <c r="BA271" s="3" t="s">
        <v>2902</v>
      </c>
      <c r="BB271" s="3" t="s">
        <v>2903</v>
      </c>
      <c r="BC271" s="3" t="s">
        <v>102</v>
      </c>
      <c r="BD271" s="3" t="s">
        <v>68</v>
      </c>
      <c r="BE271" s="3" t="s">
        <v>2904</v>
      </c>
      <c r="BF271" s="3" t="s">
        <v>2903</v>
      </c>
      <c r="BG271" s="3" t="s">
        <v>2905</v>
      </c>
    </row>
    <row r="272" spans="1:59" ht="72.5" x14ac:dyDescent="0.35">
      <c r="A272" s="2" t="s">
        <v>89</v>
      </c>
      <c r="B272" s="2" t="s">
        <v>90</v>
      </c>
      <c r="C272" s="2" t="s">
        <v>2906</v>
      </c>
      <c r="D272" s="2" t="s">
        <v>2907</v>
      </c>
      <c r="E272" s="2" t="s">
        <v>2908</v>
      </c>
      <c r="F272" s="3" t="s">
        <v>2909</v>
      </c>
      <c r="G272" s="3" t="s">
        <v>62</v>
      </c>
      <c r="I272" s="3" t="s">
        <v>62</v>
      </c>
      <c r="J272" s="3" t="s">
        <v>62</v>
      </c>
      <c r="K272" s="3" t="s">
        <v>63</v>
      </c>
      <c r="M272" s="2" t="s">
        <v>2910</v>
      </c>
      <c r="N272" s="3" t="s">
        <v>396</v>
      </c>
      <c r="P272" s="3" t="s">
        <v>64</v>
      </c>
      <c r="Q272" s="2" t="s">
        <v>2911</v>
      </c>
      <c r="R272" s="3" t="s">
        <v>65</v>
      </c>
      <c r="S272" s="4">
        <v>2</v>
      </c>
      <c r="T272" s="4">
        <v>2</v>
      </c>
      <c r="U272" s="5" t="s">
        <v>2912</v>
      </c>
      <c r="V272" s="5" t="s">
        <v>2912</v>
      </c>
      <c r="W272" s="5" t="s">
        <v>67</v>
      </c>
      <c r="X272" s="5" t="s">
        <v>67</v>
      </c>
      <c r="Y272" s="4">
        <v>119</v>
      </c>
      <c r="Z272" s="4">
        <v>14</v>
      </c>
      <c r="AA272" s="4">
        <v>15</v>
      </c>
      <c r="AB272" s="4">
        <v>2</v>
      </c>
      <c r="AC272" s="4">
        <v>2</v>
      </c>
      <c r="AD272" s="4">
        <v>66</v>
      </c>
      <c r="AE272" s="4">
        <v>67</v>
      </c>
      <c r="AF272" s="4">
        <v>1</v>
      </c>
      <c r="AG272" s="4">
        <v>1</v>
      </c>
      <c r="AH272" s="4">
        <v>57</v>
      </c>
      <c r="AI272" s="4">
        <v>58</v>
      </c>
      <c r="AJ272" s="4">
        <v>12</v>
      </c>
      <c r="AK272" s="4">
        <v>12</v>
      </c>
      <c r="AL272" s="4">
        <v>34</v>
      </c>
      <c r="AM272" s="4">
        <v>34</v>
      </c>
      <c r="AN272" s="4">
        <v>0</v>
      </c>
      <c r="AO272" s="4">
        <v>0</v>
      </c>
      <c r="AP272" s="4">
        <v>11</v>
      </c>
      <c r="AQ272" s="4">
        <v>12</v>
      </c>
      <c r="AR272" s="3" t="s">
        <v>62</v>
      </c>
      <c r="AS272" s="3" t="s">
        <v>62</v>
      </c>
      <c r="AT272" s="3" t="s">
        <v>61</v>
      </c>
      <c r="AU272" s="6" t="str">
        <f>HYPERLINK("http://catalog.hathitrust.org/Record/102478619","HathiTrust Record")</f>
        <v>HathiTrust Record</v>
      </c>
      <c r="AV272" s="6" t="str">
        <f>HYPERLINK("http://mcgill.on.worldcat.org/oclc/16873832","Catalog Record")</f>
        <v>Catalog Record</v>
      </c>
      <c r="AW272" s="6" t="str">
        <f>HYPERLINK("http://www.worldcat.org/oclc/16873832","WorldCat Record")</f>
        <v>WorldCat Record</v>
      </c>
      <c r="AX272" s="3" t="s">
        <v>2913</v>
      </c>
      <c r="AY272" s="3" t="s">
        <v>2914</v>
      </c>
      <c r="AZ272" s="3" t="s">
        <v>2915</v>
      </c>
      <c r="BA272" s="3" t="s">
        <v>2915</v>
      </c>
      <c r="BB272" s="3" t="s">
        <v>2916</v>
      </c>
      <c r="BC272" s="3" t="s">
        <v>102</v>
      </c>
      <c r="BD272" s="3" t="s">
        <v>68</v>
      </c>
      <c r="BE272" s="3" t="s">
        <v>2917</v>
      </c>
      <c r="BF272" s="3" t="s">
        <v>2916</v>
      </c>
      <c r="BG272" s="3" t="s">
        <v>2918</v>
      </c>
    </row>
    <row r="273" spans="1:59" ht="58" x14ac:dyDescent="0.35">
      <c r="A273" s="2" t="s">
        <v>89</v>
      </c>
      <c r="B273" s="2" t="s">
        <v>90</v>
      </c>
      <c r="C273" s="2" t="s">
        <v>2919</v>
      </c>
      <c r="D273" s="2" t="s">
        <v>2920</v>
      </c>
      <c r="E273" s="2" t="s">
        <v>2921</v>
      </c>
      <c r="G273" s="3" t="s">
        <v>62</v>
      </c>
      <c r="I273" s="3" t="s">
        <v>62</v>
      </c>
      <c r="J273" s="3" t="s">
        <v>62</v>
      </c>
      <c r="K273" s="3" t="s">
        <v>63</v>
      </c>
      <c r="L273" s="2" t="s">
        <v>2922</v>
      </c>
      <c r="M273" s="2" t="s">
        <v>2923</v>
      </c>
      <c r="N273" s="3" t="s">
        <v>2924</v>
      </c>
      <c r="O273" s="2" t="s">
        <v>2163</v>
      </c>
      <c r="P273" s="3" t="s">
        <v>64</v>
      </c>
      <c r="R273" s="3" t="s">
        <v>65</v>
      </c>
      <c r="S273" s="4">
        <v>3</v>
      </c>
      <c r="T273" s="4">
        <v>3</v>
      </c>
      <c r="U273" s="5" t="s">
        <v>2925</v>
      </c>
      <c r="V273" s="5" t="s">
        <v>2925</v>
      </c>
      <c r="W273" s="5" t="s">
        <v>67</v>
      </c>
      <c r="X273" s="5" t="s">
        <v>67</v>
      </c>
      <c r="Y273" s="4">
        <v>326</v>
      </c>
      <c r="Z273" s="4">
        <v>14</v>
      </c>
      <c r="AA273" s="4">
        <v>14</v>
      </c>
      <c r="AB273" s="4">
        <v>1</v>
      </c>
      <c r="AC273" s="4">
        <v>1</v>
      </c>
      <c r="AD273" s="4">
        <v>55</v>
      </c>
      <c r="AE273" s="4">
        <v>55</v>
      </c>
      <c r="AF273" s="4">
        <v>0</v>
      </c>
      <c r="AG273" s="4">
        <v>0</v>
      </c>
      <c r="AH273" s="4">
        <v>48</v>
      </c>
      <c r="AI273" s="4">
        <v>48</v>
      </c>
      <c r="AJ273" s="4">
        <v>10</v>
      </c>
      <c r="AK273" s="4">
        <v>10</v>
      </c>
      <c r="AL273" s="4">
        <v>28</v>
      </c>
      <c r="AM273" s="4">
        <v>28</v>
      </c>
      <c r="AN273" s="4">
        <v>0</v>
      </c>
      <c r="AO273" s="4">
        <v>0</v>
      </c>
      <c r="AP273" s="4">
        <v>9</v>
      </c>
      <c r="AQ273" s="4">
        <v>9</v>
      </c>
      <c r="AR273" s="3" t="s">
        <v>62</v>
      </c>
      <c r="AS273" s="3" t="s">
        <v>62</v>
      </c>
      <c r="AT273" s="3" t="s">
        <v>62</v>
      </c>
      <c r="AV273" s="6" t="str">
        <f>HYPERLINK("http://mcgill.on.worldcat.org/oclc/10100960","Catalog Record")</f>
        <v>Catalog Record</v>
      </c>
      <c r="AW273" s="6" t="str">
        <f>HYPERLINK("http://www.worldcat.org/oclc/10100960","WorldCat Record")</f>
        <v>WorldCat Record</v>
      </c>
      <c r="AX273" s="3" t="s">
        <v>2926</v>
      </c>
      <c r="AY273" s="3" t="s">
        <v>2927</v>
      </c>
      <c r="AZ273" s="3" t="s">
        <v>2928</v>
      </c>
      <c r="BA273" s="3" t="s">
        <v>2928</v>
      </c>
      <c r="BB273" s="3" t="s">
        <v>2929</v>
      </c>
      <c r="BC273" s="3" t="s">
        <v>102</v>
      </c>
      <c r="BD273" s="3" t="s">
        <v>68</v>
      </c>
      <c r="BF273" s="3" t="s">
        <v>2929</v>
      </c>
      <c r="BG273" s="3" t="s">
        <v>2930</v>
      </c>
    </row>
    <row r="274" spans="1:59" ht="58" x14ac:dyDescent="0.35">
      <c r="A274" s="2" t="s">
        <v>89</v>
      </c>
      <c r="B274" s="2" t="s">
        <v>90</v>
      </c>
      <c r="C274" s="2" t="s">
        <v>2931</v>
      </c>
      <c r="D274" s="2" t="s">
        <v>2932</v>
      </c>
      <c r="E274" s="2" t="s">
        <v>2933</v>
      </c>
      <c r="G274" s="3" t="s">
        <v>62</v>
      </c>
      <c r="I274" s="3" t="s">
        <v>62</v>
      </c>
      <c r="J274" s="3" t="s">
        <v>62</v>
      </c>
      <c r="K274" s="3" t="s">
        <v>63</v>
      </c>
      <c r="L274" s="2" t="s">
        <v>2934</v>
      </c>
      <c r="M274" s="2" t="s">
        <v>2935</v>
      </c>
      <c r="N274" s="3" t="s">
        <v>355</v>
      </c>
      <c r="P274" s="3" t="s">
        <v>64</v>
      </c>
      <c r="Q274" s="2" t="s">
        <v>2936</v>
      </c>
      <c r="R274" s="3" t="s">
        <v>65</v>
      </c>
      <c r="S274" s="4">
        <v>4</v>
      </c>
      <c r="T274" s="4">
        <v>4</v>
      </c>
      <c r="U274" s="5" t="s">
        <v>2015</v>
      </c>
      <c r="V274" s="5" t="s">
        <v>2015</v>
      </c>
      <c r="W274" s="5" t="s">
        <v>67</v>
      </c>
      <c r="X274" s="5" t="s">
        <v>67</v>
      </c>
      <c r="Y274" s="4">
        <v>341</v>
      </c>
      <c r="Z274" s="4">
        <v>23</v>
      </c>
      <c r="AA274" s="4">
        <v>25</v>
      </c>
      <c r="AB274" s="4">
        <v>1</v>
      </c>
      <c r="AC274" s="4">
        <v>3</v>
      </c>
      <c r="AD274" s="4">
        <v>111</v>
      </c>
      <c r="AE274" s="4">
        <v>113</v>
      </c>
      <c r="AF274" s="4">
        <v>0</v>
      </c>
      <c r="AG274" s="4">
        <v>2</v>
      </c>
      <c r="AH274" s="4">
        <v>95</v>
      </c>
      <c r="AI274" s="4">
        <v>95</v>
      </c>
      <c r="AJ274" s="4">
        <v>14</v>
      </c>
      <c r="AK274" s="4">
        <v>16</v>
      </c>
      <c r="AL274" s="4">
        <v>55</v>
      </c>
      <c r="AM274" s="4">
        <v>55</v>
      </c>
      <c r="AN274" s="4">
        <v>0</v>
      </c>
      <c r="AO274" s="4">
        <v>0</v>
      </c>
      <c r="AP274" s="4">
        <v>18</v>
      </c>
      <c r="AQ274" s="4">
        <v>19</v>
      </c>
      <c r="AR274" s="3" t="s">
        <v>62</v>
      </c>
      <c r="AS274" s="3" t="s">
        <v>62</v>
      </c>
      <c r="AT274" s="3" t="s">
        <v>61</v>
      </c>
      <c r="AU274" s="6" t="str">
        <f>HYPERLINK("http://catalog.hathitrust.org/Record/000124954","HathiTrust Record")</f>
        <v>HathiTrust Record</v>
      </c>
      <c r="AV274" s="6" t="str">
        <f>HYPERLINK("http://mcgill.on.worldcat.org/oclc/9761532","Catalog Record")</f>
        <v>Catalog Record</v>
      </c>
      <c r="AW274" s="6" t="str">
        <f>HYPERLINK("http://www.worldcat.org/oclc/9761532","WorldCat Record")</f>
        <v>WorldCat Record</v>
      </c>
      <c r="AX274" s="3" t="s">
        <v>2937</v>
      </c>
      <c r="AY274" s="3" t="s">
        <v>2938</v>
      </c>
      <c r="AZ274" s="3" t="s">
        <v>2939</v>
      </c>
      <c r="BA274" s="3" t="s">
        <v>2939</v>
      </c>
      <c r="BB274" s="3" t="s">
        <v>2940</v>
      </c>
      <c r="BC274" s="3" t="s">
        <v>102</v>
      </c>
      <c r="BD274" s="3" t="s">
        <v>68</v>
      </c>
      <c r="BE274" s="3" t="s">
        <v>2941</v>
      </c>
      <c r="BF274" s="3" t="s">
        <v>2940</v>
      </c>
      <c r="BG274" s="3" t="s">
        <v>2942</v>
      </c>
    </row>
    <row r="275" spans="1:59" ht="58" x14ac:dyDescent="0.35">
      <c r="A275" s="2" t="s">
        <v>89</v>
      </c>
      <c r="B275" s="2" t="s">
        <v>90</v>
      </c>
      <c r="C275" s="2" t="s">
        <v>2943</v>
      </c>
      <c r="D275" s="2" t="s">
        <v>2944</v>
      </c>
      <c r="E275" s="2" t="s">
        <v>2945</v>
      </c>
      <c r="G275" s="3" t="s">
        <v>62</v>
      </c>
      <c r="I275" s="3" t="s">
        <v>62</v>
      </c>
      <c r="J275" s="3" t="s">
        <v>62</v>
      </c>
      <c r="K275" s="3" t="s">
        <v>63</v>
      </c>
      <c r="L275" s="2" t="s">
        <v>2946</v>
      </c>
      <c r="M275" s="2" t="s">
        <v>2947</v>
      </c>
      <c r="N275" s="3" t="s">
        <v>327</v>
      </c>
      <c r="P275" s="3" t="s">
        <v>2948</v>
      </c>
      <c r="Q275" s="2" t="s">
        <v>2949</v>
      </c>
      <c r="R275" s="3" t="s">
        <v>65</v>
      </c>
      <c r="S275" s="4">
        <v>1</v>
      </c>
      <c r="T275" s="4">
        <v>1</v>
      </c>
      <c r="U275" s="5" t="s">
        <v>2950</v>
      </c>
      <c r="V275" s="5" t="s">
        <v>2950</v>
      </c>
      <c r="W275" s="5" t="s">
        <v>67</v>
      </c>
      <c r="X275" s="5" t="s">
        <v>67</v>
      </c>
      <c r="Y275" s="4">
        <v>47</v>
      </c>
      <c r="Z275" s="4">
        <v>4</v>
      </c>
      <c r="AA275" s="4">
        <v>4</v>
      </c>
      <c r="AB275" s="4">
        <v>1</v>
      </c>
      <c r="AC275" s="4">
        <v>1</v>
      </c>
      <c r="AD275" s="4">
        <v>24</v>
      </c>
      <c r="AE275" s="4">
        <v>24</v>
      </c>
      <c r="AF275" s="4">
        <v>0</v>
      </c>
      <c r="AG275" s="4">
        <v>0</v>
      </c>
      <c r="AH275" s="4">
        <v>22</v>
      </c>
      <c r="AI275" s="4">
        <v>22</v>
      </c>
      <c r="AJ275" s="4">
        <v>2</v>
      </c>
      <c r="AK275" s="4">
        <v>2</v>
      </c>
      <c r="AL275" s="4">
        <v>18</v>
      </c>
      <c r="AM275" s="4">
        <v>18</v>
      </c>
      <c r="AN275" s="4">
        <v>0</v>
      </c>
      <c r="AO275" s="4">
        <v>0</v>
      </c>
      <c r="AP275" s="4">
        <v>2</v>
      </c>
      <c r="AQ275" s="4">
        <v>2</v>
      </c>
      <c r="AR275" s="3" t="s">
        <v>62</v>
      </c>
      <c r="AS275" s="3" t="s">
        <v>62</v>
      </c>
      <c r="AT275" s="3" t="s">
        <v>62</v>
      </c>
      <c r="AV275" s="6" t="str">
        <f>HYPERLINK("http://mcgill.on.worldcat.org/oclc/10277935","Catalog Record")</f>
        <v>Catalog Record</v>
      </c>
      <c r="AW275" s="6" t="str">
        <f>HYPERLINK("http://www.worldcat.org/oclc/10277935","WorldCat Record")</f>
        <v>WorldCat Record</v>
      </c>
      <c r="AX275" s="3" t="s">
        <v>2951</v>
      </c>
      <c r="AY275" s="3" t="s">
        <v>2952</v>
      </c>
      <c r="AZ275" s="3" t="s">
        <v>2953</v>
      </c>
      <c r="BA275" s="3" t="s">
        <v>2953</v>
      </c>
      <c r="BB275" s="3" t="s">
        <v>2954</v>
      </c>
      <c r="BC275" s="3" t="s">
        <v>102</v>
      </c>
      <c r="BD275" s="3" t="s">
        <v>68</v>
      </c>
      <c r="BE275" s="3" t="s">
        <v>2955</v>
      </c>
      <c r="BF275" s="3" t="s">
        <v>2954</v>
      </c>
      <c r="BG275" s="3" t="s">
        <v>2956</v>
      </c>
    </row>
    <row r="276" spans="1:59" ht="58" x14ac:dyDescent="0.35">
      <c r="A276" s="2" t="s">
        <v>89</v>
      </c>
      <c r="B276" s="2" t="s">
        <v>90</v>
      </c>
      <c r="C276" s="2" t="s">
        <v>2957</v>
      </c>
      <c r="D276" s="2" t="s">
        <v>2958</v>
      </c>
      <c r="E276" s="2" t="s">
        <v>2959</v>
      </c>
      <c r="G276" s="3" t="s">
        <v>61</v>
      </c>
      <c r="I276" s="3" t="s">
        <v>62</v>
      </c>
      <c r="J276" s="3" t="s">
        <v>62</v>
      </c>
      <c r="K276" s="3" t="s">
        <v>63</v>
      </c>
      <c r="L276" s="2" t="s">
        <v>2960</v>
      </c>
      <c r="M276" s="2" t="s">
        <v>2961</v>
      </c>
      <c r="N276" s="3" t="s">
        <v>524</v>
      </c>
      <c r="P276" s="3" t="s">
        <v>64</v>
      </c>
      <c r="Q276" s="2" t="s">
        <v>2962</v>
      </c>
      <c r="R276" s="3" t="s">
        <v>65</v>
      </c>
      <c r="S276" s="4">
        <v>8</v>
      </c>
      <c r="T276" s="4">
        <v>8</v>
      </c>
      <c r="U276" s="5" t="s">
        <v>2963</v>
      </c>
      <c r="V276" s="5" t="s">
        <v>2963</v>
      </c>
      <c r="W276" s="5" t="s">
        <v>67</v>
      </c>
      <c r="X276" s="5" t="s">
        <v>67</v>
      </c>
      <c r="Y276" s="4">
        <v>314</v>
      </c>
      <c r="Z276" s="4">
        <v>22</v>
      </c>
      <c r="AA276" s="4">
        <v>24</v>
      </c>
      <c r="AB276" s="4">
        <v>2</v>
      </c>
      <c r="AC276" s="4">
        <v>4</v>
      </c>
      <c r="AD276" s="4">
        <v>100</v>
      </c>
      <c r="AE276" s="4">
        <v>102</v>
      </c>
      <c r="AF276" s="4">
        <v>1</v>
      </c>
      <c r="AG276" s="4">
        <v>2</v>
      </c>
      <c r="AH276" s="4">
        <v>89</v>
      </c>
      <c r="AI276" s="4">
        <v>91</v>
      </c>
      <c r="AJ276" s="4">
        <v>14</v>
      </c>
      <c r="AK276" s="4">
        <v>15</v>
      </c>
      <c r="AL276" s="4">
        <v>48</v>
      </c>
      <c r="AM276" s="4">
        <v>49</v>
      </c>
      <c r="AN276" s="4">
        <v>0</v>
      </c>
      <c r="AO276" s="4">
        <v>0</v>
      </c>
      <c r="AP276" s="4">
        <v>17</v>
      </c>
      <c r="AQ276" s="4">
        <v>18</v>
      </c>
      <c r="AR276" s="3" t="s">
        <v>62</v>
      </c>
      <c r="AS276" s="3" t="s">
        <v>62</v>
      </c>
      <c r="AT276" s="3" t="s">
        <v>61</v>
      </c>
      <c r="AU276" s="6" t="str">
        <f>HYPERLINK("http://catalog.hathitrust.org/Record/003021114","HathiTrust Record")</f>
        <v>HathiTrust Record</v>
      </c>
      <c r="AV276" s="6" t="str">
        <f>HYPERLINK("http://mcgill.on.worldcat.org/oclc/32391023","Catalog Record")</f>
        <v>Catalog Record</v>
      </c>
      <c r="AW276" s="6" t="str">
        <f>HYPERLINK("http://www.worldcat.org/oclc/32391023","WorldCat Record")</f>
        <v>WorldCat Record</v>
      </c>
      <c r="AX276" s="3" t="s">
        <v>2964</v>
      </c>
      <c r="AY276" s="3" t="s">
        <v>2965</v>
      </c>
      <c r="AZ276" s="3" t="s">
        <v>2966</v>
      </c>
      <c r="BA276" s="3" t="s">
        <v>2966</v>
      </c>
      <c r="BB276" s="3" t="s">
        <v>2967</v>
      </c>
      <c r="BC276" s="3" t="s">
        <v>102</v>
      </c>
      <c r="BD276" s="3" t="s">
        <v>68</v>
      </c>
      <c r="BE276" s="3" t="s">
        <v>2968</v>
      </c>
      <c r="BF276" s="3" t="s">
        <v>2967</v>
      </c>
      <c r="BG276" s="3" t="s">
        <v>2969</v>
      </c>
    </row>
    <row r="277" spans="1:59" ht="58" x14ac:dyDescent="0.35">
      <c r="A277" s="2" t="s">
        <v>89</v>
      </c>
      <c r="B277" s="2" t="s">
        <v>90</v>
      </c>
      <c r="C277" s="2" t="s">
        <v>2970</v>
      </c>
      <c r="D277" s="2" t="s">
        <v>2971</v>
      </c>
      <c r="E277" s="2" t="s">
        <v>2972</v>
      </c>
      <c r="G277" s="3" t="s">
        <v>62</v>
      </c>
      <c r="I277" s="3" t="s">
        <v>62</v>
      </c>
      <c r="J277" s="3" t="s">
        <v>61</v>
      </c>
      <c r="K277" s="3" t="s">
        <v>63</v>
      </c>
      <c r="L277" s="2" t="s">
        <v>2973</v>
      </c>
      <c r="M277" s="2" t="s">
        <v>2974</v>
      </c>
      <c r="N277" s="3" t="s">
        <v>2975</v>
      </c>
      <c r="P277" s="3" t="s">
        <v>64</v>
      </c>
      <c r="R277" s="3" t="s">
        <v>65</v>
      </c>
      <c r="S277" s="4">
        <v>33</v>
      </c>
      <c r="T277" s="4">
        <v>33</v>
      </c>
      <c r="U277" s="5" t="s">
        <v>1325</v>
      </c>
      <c r="V277" s="5" t="s">
        <v>1325</v>
      </c>
      <c r="W277" s="5" t="s">
        <v>67</v>
      </c>
      <c r="X277" s="5" t="s">
        <v>67</v>
      </c>
      <c r="Y277" s="4">
        <v>410</v>
      </c>
      <c r="Z277" s="4">
        <v>31</v>
      </c>
      <c r="AA277" s="4">
        <v>60</v>
      </c>
      <c r="AB277" s="4">
        <v>3</v>
      </c>
      <c r="AC277" s="4">
        <v>11</v>
      </c>
      <c r="AD277" s="4">
        <v>90</v>
      </c>
      <c r="AE277" s="4">
        <v>129</v>
      </c>
      <c r="AF277" s="4">
        <v>1</v>
      </c>
      <c r="AG277" s="4">
        <v>3</v>
      </c>
      <c r="AH277" s="4">
        <v>73</v>
      </c>
      <c r="AI277" s="4">
        <v>100</v>
      </c>
      <c r="AJ277" s="4">
        <v>13</v>
      </c>
      <c r="AK277" s="4">
        <v>22</v>
      </c>
      <c r="AL277" s="4">
        <v>45</v>
      </c>
      <c r="AM277" s="4">
        <v>56</v>
      </c>
      <c r="AN277" s="4">
        <v>0</v>
      </c>
      <c r="AO277" s="4">
        <v>0</v>
      </c>
      <c r="AP277" s="4">
        <v>22</v>
      </c>
      <c r="AQ277" s="4">
        <v>37</v>
      </c>
      <c r="AR277" s="3" t="s">
        <v>62</v>
      </c>
      <c r="AS277" s="3" t="s">
        <v>62</v>
      </c>
      <c r="AT277" s="3" t="s">
        <v>62</v>
      </c>
      <c r="AV277" s="6" t="str">
        <f>HYPERLINK("http://mcgill.on.worldcat.org/oclc/46622656","Catalog Record")</f>
        <v>Catalog Record</v>
      </c>
      <c r="AW277" s="6" t="str">
        <f>HYPERLINK("http://www.worldcat.org/oclc/46622656","WorldCat Record")</f>
        <v>WorldCat Record</v>
      </c>
      <c r="AX277" s="3" t="s">
        <v>2976</v>
      </c>
      <c r="AY277" s="3" t="s">
        <v>2977</v>
      </c>
      <c r="AZ277" s="3" t="s">
        <v>2978</v>
      </c>
      <c r="BA277" s="3" t="s">
        <v>2978</v>
      </c>
      <c r="BB277" s="3" t="s">
        <v>2979</v>
      </c>
      <c r="BC277" s="3" t="s">
        <v>102</v>
      </c>
      <c r="BD277" s="3" t="s">
        <v>68</v>
      </c>
      <c r="BE277" s="3" t="s">
        <v>2980</v>
      </c>
      <c r="BF277" s="3" t="s">
        <v>2979</v>
      </c>
      <c r="BG277" s="3" t="s">
        <v>2981</v>
      </c>
    </row>
    <row r="278" spans="1:59" ht="58" x14ac:dyDescent="0.35">
      <c r="A278" s="2" t="s">
        <v>89</v>
      </c>
      <c r="B278" s="2" t="s">
        <v>90</v>
      </c>
      <c r="C278" s="2" t="s">
        <v>2982</v>
      </c>
      <c r="D278" s="2" t="s">
        <v>2983</v>
      </c>
      <c r="E278" s="2" t="s">
        <v>2972</v>
      </c>
      <c r="G278" s="3" t="s">
        <v>62</v>
      </c>
      <c r="I278" s="3" t="s">
        <v>62</v>
      </c>
      <c r="J278" s="3" t="s">
        <v>61</v>
      </c>
      <c r="K278" s="3" t="s">
        <v>63</v>
      </c>
      <c r="L278" s="2" t="s">
        <v>2973</v>
      </c>
      <c r="M278" s="2" t="s">
        <v>2984</v>
      </c>
      <c r="N278" s="3" t="s">
        <v>2985</v>
      </c>
      <c r="O278" s="2" t="s">
        <v>2986</v>
      </c>
      <c r="P278" s="3" t="s">
        <v>64</v>
      </c>
      <c r="R278" s="3" t="s">
        <v>65</v>
      </c>
      <c r="S278" s="4">
        <v>26</v>
      </c>
      <c r="T278" s="4">
        <v>26</v>
      </c>
      <c r="U278" s="5" t="s">
        <v>2987</v>
      </c>
      <c r="V278" s="5" t="s">
        <v>2987</v>
      </c>
      <c r="W278" s="5" t="s">
        <v>67</v>
      </c>
      <c r="X278" s="5" t="s">
        <v>67</v>
      </c>
      <c r="Y278" s="4">
        <v>65</v>
      </c>
      <c r="Z278" s="4">
        <v>5</v>
      </c>
      <c r="AA278" s="4">
        <v>60</v>
      </c>
      <c r="AB278" s="4">
        <v>1</v>
      </c>
      <c r="AC278" s="4">
        <v>11</v>
      </c>
      <c r="AD278" s="4">
        <v>15</v>
      </c>
      <c r="AE278" s="4">
        <v>129</v>
      </c>
      <c r="AF278" s="4">
        <v>0</v>
      </c>
      <c r="AG278" s="4">
        <v>3</v>
      </c>
      <c r="AH278" s="4">
        <v>14</v>
      </c>
      <c r="AI278" s="4">
        <v>100</v>
      </c>
      <c r="AJ278" s="4">
        <v>4</v>
      </c>
      <c r="AK278" s="4">
        <v>22</v>
      </c>
      <c r="AL278" s="4">
        <v>8</v>
      </c>
      <c r="AM278" s="4">
        <v>56</v>
      </c>
      <c r="AN278" s="4">
        <v>0</v>
      </c>
      <c r="AO278" s="4">
        <v>0</v>
      </c>
      <c r="AP278" s="4">
        <v>4</v>
      </c>
      <c r="AQ278" s="4">
        <v>37</v>
      </c>
      <c r="AR278" s="3" t="s">
        <v>62</v>
      </c>
      <c r="AS278" s="3" t="s">
        <v>62</v>
      </c>
      <c r="AT278" s="3" t="s">
        <v>61</v>
      </c>
      <c r="AU278" s="6" t="str">
        <f>HYPERLINK("http://catalog.hathitrust.org/Record/009239376","HathiTrust Record")</f>
        <v>HathiTrust Record</v>
      </c>
      <c r="AV278" s="6" t="str">
        <f>HYPERLINK("http://mcgill.on.worldcat.org/oclc/226357133","Catalog Record")</f>
        <v>Catalog Record</v>
      </c>
      <c r="AW278" s="6" t="str">
        <f>HYPERLINK("http://www.worldcat.org/oclc/226357133","WorldCat Record")</f>
        <v>WorldCat Record</v>
      </c>
      <c r="AX278" s="3" t="s">
        <v>2976</v>
      </c>
      <c r="AY278" s="3" t="s">
        <v>2988</v>
      </c>
      <c r="AZ278" s="3" t="s">
        <v>2989</v>
      </c>
      <c r="BA278" s="3" t="s">
        <v>2989</v>
      </c>
      <c r="BB278" s="3" t="s">
        <v>2990</v>
      </c>
      <c r="BC278" s="3" t="s">
        <v>102</v>
      </c>
      <c r="BD278" s="3" t="s">
        <v>68</v>
      </c>
      <c r="BE278" s="3" t="s">
        <v>2991</v>
      </c>
      <c r="BF278" s="3" t="s">
        <v>2990</v>
      </c>
      <c r="BG278" s="3" t="s">
        <v>2992</v>
      </c>
    </row>
    <row r="279" spans="1:59" ht="58" x14ac:dyDescent="0.35">
      <c r="A279" s="2" t="s">
        <v>89</v>
      </c>
      <c r="B279" s="2" t="s">
        <v>90</v>
      </c>
      <c r="C279" s="2" t="s">
        <v>2993</v>
      </c>
      <c r="D279" s="2" t="s">
        <v>2994</v>
      </c>
      <c r="E279" s="2" t="s">
        <v>2995</v>
      </c>
      <c r="G279" s="3" t="s">
        <v>62</v>
      </c>
      <c r="I279" s="3" t="s">
        <v>61</v>
      </c>
      <c r="J279" s="3" t="s">
        <v>62</v>
      </c>
      <c r="K279" s="3" t="s">
        <v>63</v>
      </c>
      <c r="L279" s="2" t="s">
        <v>2996</v>
      </c>
      <c r="M279" s="2" t="s">
        <v>2997</v>
      </c>
      <c r="N279" s="3" t="s">
        <v>2110</v>
      </c>
      <c r="P279" s="3" t="s">
        <v>64</v>
      </c>
      <c r="Q279" s="2" t="s">
        <v>2001</v>
      </c>
      <c r="R279" s="3" t="s">
        <v>65</v>
      </c>
      <c r="S279" s="4">
        <v>40</v>
      </c>
      <c r="T279" s="4">
        <v>57</v>
      </c>
      <c r="U279" s="5" t="s">
        <v>1337</v>
      </c>
      <c r="V279" s="5" t="s">
        <v>1337</v>
      </c>
      <c r="W279" s="5" t="s">
        <v>67</v>
      </c>
      <c r="X279" s="5" t="s">
        <v>67</v>
      </c>
      <c r="Y279" s="4">
        <v>965</v>
      </c>
      <c r="Z279" s="4">
        <v>56</v>
      </c>
      <c r="AA279" s="4">
        <v>63</v>
      </c>
      <c r="AB279" s="4">
        <v>2</v>
      </c>
      <c r="AC279" s="4">
        <v>6</v>
      </c>
      <c r="AD279" s="4">
        <v>141</v>
      </c>
      <c r="AE279" s="4">
        <v>145</v>
      </c>
      <c r="AF279" s="4">
        <v>1</v>
      </c>
      <c r="AG279" s="4">
        <v>4</v>
      </c>
      <c r="AH279" s="4">
        <v>112</v>
      </c>
      <c r="AI279" s="4">
        <v>112</v>
      </c>
      <c r="AJ279" s="4">
        <v>22</v>
      </c>
      <c r="AK279" s="4">
        <v>25</v>
      </c>
      <c r="AL279" s="4">
        <v>59</v>
      </c>
      <c r="AM279" s="4">
        <v>59</v>
      </c>
      <c r="AN279" s="4">
        <v>0</v>
      </c>
      <c r="AO279" s="4">
        <v>0</v>
      </c>
      <c r="AP279" s="4">
        <v>38</v>
      </c>
      <c r="AQ279" s="4">
        <v>41</v>
      </c>
      <c r="AR279" s="3" t="s">
        <v>62</v>
      </c>
      <c r="AS279" s="3" t="s">
        <v>62</v>
      </c>
      <c r="AT279" s="3" t="s">
        <v>62</v>
      </c>
      <c r="AV279" s="6" t="str">
        <f>HYPERLINK("http://mcgill.on.worldcat.org/oclc/3650675","Catalog Record")</f>
        <v>Catalog Record</v>
      </c>
      <c r="AW279" s="6" t="str">
        <f>HYPERLINK("http://www.worldcat.org/oclc/3650675","WorldCat Record")</f>
        <v>WorldCat Record</v>
      </c>
      <c r="AX279" s="3" t="s">
        <v>2998</v>
      </c>
      <c r="AY279" s="3" t="s">
        <v>2999</v>
      </c>
      <c r="AZ279" s="3" t="s">
        <v>3000</v>
      </c>
      <c r="BA279" s="3" t="s">
        <v>3000</v>
      </c>
      <c r="BB279" s="3" t="s">
        <v>3001</v>
      </c>
      <c r="BC279" s="3" t="s">
        <v>102</v>
      </c>
      <c r="BD279" s="3" t="s">
        <v>68</v>
      </c>
      <c r="BE279" s="3" t="s">
        <v>3002</v>
      </c>
      <c r="BF279" s="3" t="s">
        <v>3001</v>
      </c>
      <c r="BG279" s="3" t="s">
        <v>3003</v>
      </c>
    </row>
    <row r="280" spans="1:59" ht="58" x14ac:dyDescent="0.35">
      <c r="A280" s="2" t="s">
        <v>89</v>
      </c>
      <c r="B280" s="2" t="s">
        <v>90</v>
      </c>
      <c r="C280" s="2" t="s">
        <v>3004</v>
      </c>
      <c r="D280" s="2" t="s">
        <v>3005</v>
      </c>
      <c r="E280" s="2" t="s">
        <v>3006</v>
      </c>
      <c r="G280" s="3" t="s">
        <v>62</v>
      </c>
      <c r="I280" s="3" t="s">
        <v>62</v>
      </c>
      <c r="J280" s="3" t="s">
        <v>62</v>
      </c>
      <c r="K280" s="3" t="s">
        <v>63</v>
      </c>
      <c r="L280" s="2" t="s">
        <v>3007</v>
      </c>
      <c r="M280" s="2" t="s">
        <v>3008</v>
      </c>
      <c r="N280" s="3" t="s">
        <v>396</v>
      </c>
      <c r="P280" s="3" t="s">
        <v>64</v>
      </c>
      <c r="R280" s="3" t="s">
        <v>65</v>
      </c>
      <c r="S280" s="4">
        <v>30</v>
      </c>
      <c r="T280" s="4">
        <v>30</v>
      </c>
      <c r="U280" s="5" t="s">
        <v>1325</v>
      </c>
      <c r="V280" s="5" t="s">
        <v>1325</v>
      </c>
      <c r="W280" s="5" t="s">
        <v>67</v>
      </c>
      <c r="X280" s="5" t="s">
        <v>67</v>
      </c>
      <c r="Y280" s="4">
        <v>157</v>
      </c>
      <c r="Z280" s="4">
        <v>14</v>
      </c>
      <c r="AA280" s="4">
        <v>15</v>
      </c>
      <c r="AB280" s="4">
        <v>1</v>
      </c>
      <c r="AC280" s="4">
        <v>1</v>
      </c>
      <c r="AD280" s="4">
        <v>50</v>
      </c>
      <c r="AE280" s="4">
        <v>52</v>
      </c>
      <c r="AF280" s="4">
        <v>0</v>
      </c>
      <c r="AG280" s="4">
        <v>0</v>
      </c>
      <c r="AH280" s="4">
        <v>43</v>
      </c>
      <c r="AI280" s="4">
        <v>45</v>
      </c>
      <c r="AJ280" s="4">
        <v>8</v>
      </c>
      <c r="AK280" s="4">
        <v>9</v>
      </c>
      <c r="AL280" s="4">
        <v>34</v>
      </c>
      <c r="AM280" s="4">
        <v>34</v>
      </c>
      <c r="AN280" s="4">
        <v>0</v>
      </c>
      <c r="AO280" s="4">
        <v>0</v>
      </c>
      <c r="AP280" s="4">
        <v>8</v>
      </c>
      <c r="AQ280" s="4">
        <v>9</v>
      </c>
      <c r="AR280" s="3" t="s">
        <v>62</v>
      </c>
      <c r="AS280" s="3" t="s">
        <v>62</v>
      </c>
      <c r="AT280" s="3" t="s">
        <v>61</v>
      </c>
      <c r="AU280" s="6" t="str">
        <f>HYPERLINK("http://catalog.hathitrust.org/Record/003323383","HathiTrust Record")</f>
        <v>HathiTrust Record</v>
      </c>
      <c r="AV280" s="6" t="str">
        <f>HYPERLINK("http://mcgill.on.worldcat.org/oclc/16831024","Catalog Record")</f>
        <v>Catalog Record</v>
      </c>
      <c r="AW280" s="6" t="str">
        <f>HYPERLINK("http://www.worldcat.org/oclc/16831024","WorldCat Record")</f>
        <v>WorldCat Record</v>
      </c>
      <c r="AX280" s="3" t="s">
        <v>3009</v>
      </c>
      <c r="AY280" s="3" t="s">
        <v>3010</v>
      </c>
      <c r="AZ280" s="3" t="s">
        <v>3011</v>
      </c>
      <c r="BA280" s="3" t="s">
        <v>3011</v>
      </c>
      <c r="BB280" s="3" t="s">
        <v>3012</v>
      </c>
      <c r="BC280" s="3" t="s">
        <v>102</v>
      </c>
      <c r="BD280" s="3" t="s">
        <v>68</v>
      </c>
      <c r="BF280" s="3" t="s">
        <v>3012</v>
      </c>
      <c r="BG280" s="3" t="s">
        <v>3013</v>
      </c>
    </row>
    <row r="281" spans="1:59" ht="58" x14ac:dyDescent="0.35">
      <c r="A281" s="2" t="s">
        <v>89</v>
      </c>
      <c r="B281" s="2" t="s">
        <v>90</v>
      </c>
      <c r="C281" s="2" t="s">
        <v>3014</v>
      </c>
      <c r="D281" s="2" t="s">
        <v>3015</v>
      </c>
      <c r="E281" s="2" t="s">
        <v>3016</v>
      </c>
      <c r="G281" s="3" t="s">
        <v>62</v>
      </c>
      <c r="I281" s="3" t="s">
        <v>61</v>
      </c>
      <c r="J281" s="3" t="s">
        <v>62</v>
      </c>
      <c r="K281" s="3" t="s">
        <v>63</v>
      </c>
      <c r="L281" s="2" t="s">
        <v>3017</v>
      </c>
      <c r="M281" s="2" t="s">
        <v>3018</v>
      </c>
      <c r="N281" s="3" t="s">
        <v>285</v>
      </c>
      <c r="P281" s="3" t="s">
        <v>64</v>
      </c>
      <c r="R281" s="3" t="s">
        <v>65</v>
      </c>
      <c r="S281" s="4">
        <v>21</v>
      </c>
      <c r="T281" s="4">
        <v>31</v>
      </c>
      <c r="U281" s="5" t="s">
        <v>2298</v>
      </c>
      <c r="V281" s="5" t="s">
        <v>2298</v>
      </c>
      <c r="W281" s="5" t="s">
        <v>67</v>
      </c>
      <c r="X281" s="5" t="s">
        <v>67</v>
      </c>
      <c r="Y281" s="4">
        <v>1000</v>
      </c>
      <c r="Z281" s="4">
        <v>40</v>
      </c>
      <c r="AA281" s="4">
        <v>40</v>
      </c>
      <c r="AB281" s="4">
        <v>2</v>
      </c>
      <c r="AC281" s="4">
        <v>2</v>
      </c>
      <c r="AD281" s="4">
        <v>123</v>
      </c>
      <c r="AE281" s="4">
        <v>123</v>
      </c>
      <c r="AF281" s="4">
        <v>1</v>
      </c>
      <c r="AG281" s="4">
        <v>1</v>
      </c>
      <c r="AH281" s="4">
        <v>103</v>
      </c>
      <c r="AI281" s="4">
        <v>103</v>
      </c>
      <c r="AJ281" s="4">
        <v>17</v>
      </c>
      <c r="AK281" s="4">
        <v>17</v>
      </c>
      <c r="AL281" s="4">
        <v>53</v>
      </c>
      <c r="AM281" s="4">
        <v>53</v>
      </c>
      <c r="AN281" s="4">
        <v>0</v>
      </c>
      <c r="AO281" s="4">
        <v>0</v>
      </c>
      <c r="AP281" s="4">
        <v>29</v>
      </c>
      <c r="AQ281" s="4">
        <v>29</v>
      </c>
      <c r="AR281" s="3" t="s">
        <v>62</v>
      </c>
      <c r="AS281" s="3" t="s">
        <v>62</v>
      </c>
      <c r="AT281" s="3" t="s">
        <v>61</v>
      </c>
      <c r="AU281" s="6" t="str">
        <f>HYPERLINK("http://catalog.hathitrust.org/Record/000706903","HathiTrust Record")</f>
        <v>HathiTrust Record</v>
      </c>
      <c r="AV281" s="6" t="str">
        <f>HYPERLINK("http://mcgill.on.worldcat.org/oclc/5675633","Catalog Record")</f>
        <v>Catalog Record</v>
      </c>
      <c r="AW281" s="6" t="str">
        <f>HYPERLINK("http://www.worldcat.org/oclc/5675633","WorldCat Record")</f>
        <v>WorldCat Record</v>
      </c>
      <c r="AX281" s="3" t="s">
        <v>3019</v>
      </c>
      <c r="AY281" s="3" t="s">
        <v>3020</v>
      </c>
      <c r="AZ281" s="3" t="s">
        <v>3021</v>
      </c>
      <c r="BA281" s="3" t="s">
        <v>3021</v>
      </c>
      <c r="BB281" s="3" t="s">
        <v>3022</v>
      </c>
      <c r="BC281" s="3" t="s">
        <v>102</v>
      </c>
      <c r="BD281" s="3" t="s">
        <v>68</v>
      </c>
      <c r="BE281" s="3" t="s">
        <v>3023</v>
      </c>
      <c r="BF281" s="3" t="s">
        <v>3022</v>
      </c>
      <c r="BG281" s="3" t="s">
        <v>3024</v>
      </c>
    </row>
    <row r="282" spans="1:59" ht="58" x14ac:dyDescent="0.35">
      <c r="A282" s="2" t="s">
        <v>89</v>
      </c>
      <c r="B282" s="2" t="s">
        <v>90</v>
      </c>
      <c r="C282" s="2" t="s">
        <v>3025</v>
      </c>
      <c r="D282" s="2" t="s">
        <v>3026</v>
      </c>
      <c r="E282" s="2" t="s">
        <v>3027</v>
      </c>
      <c r="G282" s="3" t="s">
        <v>62</v>
      </c>
      <c r="I282" s="3" t="s">
        <v>62</v>
      </c>
      <c r="J282" s="3" t="s">
        <v>62</v>
      </c>
      <c r="K282" s="3" t="s">
        <v>63</v>
      </c>
      <c r="L282" s="2" t="s">
        <v>3028</v>
      </c>
      <c r="M282" s="2" t="s">
        <v>3029</v>
      </c>
      <c r="N282" s="3" t="s">
        <v>355</v>
      </c>
      <c r="P282" s="3" t="s">
        <v>64</v>
      </c>
      <c r="R282" s="3" t="s">
        <v>65</v>
      </c>
      <c r="S282" s="4">
        <v>19</v>
      </c>
      <c r="T282" s="4">
        <v>19</v>
      </c>
      <c r="U282" s="5" t="s">
        <v>3030</v>
      </c>
      <c r="V282" s="5" t="s">
        <v>3030</v>
      </c>
      <c r="W282" s="5" t="s">
        <v>67</v>
      </c>
      <c r="X282" s="5" t="s">
        <v>67</v>
      </c>
      <c r="Y282" s="4">
        <v>451</v>
      </c>
      <c r="Z282" s="4">
        <v>29</v>
      </c>
      <c r="AA282" s="4">
        <v>31</v>
      </c>
      <c r="AB282" s="4">
        <v>1</v>
      </c>
      <c r="AC282" s="4">
        <v>3</v>
      </c>
      <c r="AD282" s="4">
        <v>122</v>
      </c>
      <c r="AE282" s="4">
        <v>124</v>
      </c>
      <c r="AF282" s="4">
        <v>0</v>
      </c>
      <c r="AG282" s="4">
        <v>2</v>
      </c>
      <c r="AH282" s="4">
        <v>105</v>
      </c>
      <c r="AI282" s="4">
        <v>105</v>
      </c>
      <c r="AJ282" s="4">
        <v>17</v>
      </c>
      <c r="AK282" s="4">
        <v>19</v>
      </c>
      <c r="AL282" s="4">
        <v>60</v>
      </c>
      <c r="AM282" s="4">
        <v>60</v>
      </c>
      <c r="AN282" s="4">
        <v>0</v>
      </c>
      <c r="AO282" s="4">
        <v>0</v>
      </c>
      <c r="AP282" s="4">
        <v>23</v>
      </c>
      <c r="AQ282" s="4">
        <v>24</v>
      </c>
      <c r="AR282" s="3" t="s">
        <v>62</v>
      </c>
      <c r="AS282" s="3" t="s">
        <v>62</v>
      </c>
      <c r="AT282" s="3" t="s">
        <v>62</v>
      </c>
      <c r="AV282" s="6" t="str">
        <f>HYPERLINK("http://mcgill.on.worldcat.org/oclc/9784570","Catalog Record")</f>
        <v>Catalog Record</v>
      </c>
      <c r="AW282" s="6" t="str">
        <f>HYPERLINK("http://www.worldcat.org/oclc/9784570","WorldCat Record")</f>
        <v>WorldCat Record</v>
      </c>
      <c r="AX282" s="3" t="s">
        <v>3031</v>
      </c>
      <c r="AY282" s="3" t="s">
        <v>3032</v>
      </c>
      <c r="AZ282" s="3" t="s">
        <v>3033</v>
      </c>
      <c r="BA282" s="3" t="s">
        <v>3033</v>
      </c>
      <c r="BB282" s="3" t="s">
        <v>3034</v>
      </c>
      <c r="BC282" s="3" t="s">
        <v>102</v>
      </c>
      <c r="BD282" s="3" t="s">
        <v>68</v>
      </c>
      <c r="BE282" s="3" t="s">
        <v>3035</v>
      </c>
      <c r="BF282" s="3" t="s">
        <v>3034</v>
      </c>
      <c r="BG282" s="3" t="s">
        <v>3036</v>
      </c>
    </row>
    <row r="283" spans="1:59" ht="58" x14ac:dyDescent="0.35">
      <c r="A283" s="2" t="s">
        <v>89</v>
      </c>
      <c r="B283" s="2" t="s">
        <v>90</v>
      </c>
      <c r="C283" s="2" t="s">
        <v>3037</v>
      </c>
      <c r="D283" s="2" t="s">
        <v>3038</v>
      </c>
      <c r="E283" s="2" t="s">
        <v>3039</v>
      </c>
      <c r="G283" s="3" t="s">
        <v>62</v>
      </c>
      <c r="I283" s="3" t="s">
        <v>62</v>
      </c>
      <c r="J283" s="3" t="s">
        <v>62</v>
      </c>
      <c r="K283" s="3" t="s">
        <v>63</v>
      </c>
      <c r="L283" s="2" t="s">
        <v>3040</v>
      </c>
      <c r="M283" s="2" t="s">
        <v>3041</v>
      </c>
      <c r="N283" s="3" t="s">
        <v>1905</v>
      </c>
      <c r="P283" s="3" t="s">
        <v>64</v>
      </c>
      <c r="R283" s="3" t="s">
        <v>65</v>
      </c>
      <c r="S283" s="4">
        <v>40</v>
      </c>
      <c r="T283" s="4">
        <v>40</v>
      </c>
      <c r="U283" s="5" t="s">
        <v>1325</v>
      </c>
      <c r="V283" s="5" t="s">
        <v>1325</v>
      </c>
      <c r="W283" s="5" t="s">
        <v>67</v>
      </c>
      <c r="X283" s="5" t="s">
        <v>67</v>
      </c>
      <c r="Y283" s="4">
        <v>1540</v>
      </c>
      <c r="Z283" s="4">
        <v>74</v>
      </c>
      <c r="AA283" s="4">
        <v>82</v>
      </c>
      <c r="AB283" s="4">
        <v>5</v>
      </c>
      <c r="AC283" s="4">
        <v>8</v>
      </c>
      <c r="AD283" s="4">
        <v>143</v>
      </c>
      <c r="AE283" s="4">
        <v>149</v>
      </c>
      <c r="AF283" s="4">
        <v>2</v>
      </c>
      <c r="AG283" s="4">
        <v>4</v>
      </c>
      <c r="AH283" s="4">
        <v>111</v>
      </c>
      <c r="AI283" s="4">
        <v>113</v>
      </c>
      <c r="AJ283" s="4">
        <v>21</v>
      </c>
      <c r="AK283" s="4">
        <v>23</v>
      </c>
      <c r="AL283" s="4">
        <v>58</v>
      </c>
      <c r="AM283" s="4">
        <v>59</v>
      </c>
      <c r="AN283" s="4">
        <v>0</v>
      </c>
      <c r="AO283" s="4">
        <v>0</v>
      </c>
      <c r="AP283" s="4">
        <v>40</v>
      </c>
      <c r="AQ283" s="4">
        <v>43</v>
      </c>
      <c r="AR283" s="3" t="s">
        <v>62</v>
      </c>
      <c r="AS283" s="3" t="s">
        <v>62</v>
      </c>
      <c r="AT283" s="3" t="s">
        <v>62</v>
      </c>
      <c r="AV283" s="6" t="str">
        <f>HYPERLINK("http://mcgill.on.worldcat.org/oclc/15084584","Catalog Record")</f>
        <v>Catalog Record</v>
      </c>
      <c r="AW283" s="6" t="str">
        <f>HYPERLINK("http://www.worldcat.org/oclc/15084584","WorldCat Record")</f>
        <v>WorldCat Record</v>
      </c>
      <c r="AX283" s="3" t="s">
        <v>3042</v>
      </c>
      <c r="AY283" s="3" t="s">
        <v>3043</v>
      </c>
      <c r="AZ283" s="3" t="s">
        <v>3044</v>
      </c>
      <c r="BA283" s="3" t="s">
        <v>3044</v>
      </c>
      <c r="BB283" s="3" t="s">
        <v>3045</v>
      </c>
      <c r="BC283" s="3" t="s">
        <v>102</v>
      </c>
      <c r="BD283" s="3" t="s">
        <v>68</v>
      </c>
      <c r="BE283" s="3" t="s">
        <v>3046</v>
      </c>
      <c r="BF283" s="3" t="s">
        <v>3045</v>
      </c>
      <c r="BG283" s="3" t="s">
        <v>3047</v>
      </c>
    </row>
    <row r="284" spans="1:59" ht="58" x14ac:dyDescent="0.35">
      <c r="A284" s="2" t="s">
        <v>89</v>
      </c>
      <c r="B284" s="2" t="s">
        <v>90</v>
      </c>
      <c r="C284" s="2" t="s">
        <v>3048</v>
      </c>
      <c r="D284" s="2" t="s">
        <v>3049</v>
      </c>
      <c r="E284" s="2" t="s">
        <v>3050</v>
      </c>
      <c r="G284" s="3" t="s">
        <v>62</v>
      </c>
      <c r="I284" s="3" t="s">
        <v>62</v>
      </c>
      <c r="J284" s="3" t="s">
        <v>62</v>
      </c>
      <c r="K284" s="3" t="s">
        <v>63</v>
      </c>
      <c r="M284" s="2" t="s">
        <v>2174</v>
      </c>
      <c r="N284" s="3" t="s">
        <v>568</v>
      </c>
      <c r="P284" s="3" t="s">
        <v>64</v>
      </c>
      <c r="R284" s="3" t="s">
        <v>65</v>
      </c>
      <c r="S284" s="4">
        <v>45</v>
      </c>
      <c r="T284" s="4">
        <v>45</v>
      </c>
      <c r="U284" s="5" t="s">
        <v>3051</v>
      </c>
      <c r="V284" s="5" t="s">
        <v>3051</v>
      </c>
      <c r="W284" s="5" t="s">
        <v>67</v>
      </c>
      <c r="X284" s="5" t="s">
        <v>67</v>
      </c>
      <c r="Y284" s="4">
        <v>473</v>
      </c>
      <c r="Z284" s="4">
        <v>37</v>
      </c>
      <c r="AA284" s="4">
        <v>40</v>
      </c>
      <c r="AB284" s="4">
        <v>2</v>
      </c>
      <c r="AC284" s="4">
        <v>5</v>
      </c>
      <c r="AD284" s="4">
        <v>124</v>
      </c>
      <c r="AE284" s="4">
        <v>126</v>
      </c>
      <c r="AF284" s="4">
        <v>1</v>
      </c>
      <c r="AG284" s="4">
        <v>3</v>
      </c>
      <c r="AH284" s="4">
        <v>104</v>
      </c>
      <c r="AI284" s="4">
        <v>104</v>
      </c>
      <c r="AJ284" s="4">
        <v>19</v>
      </c>
      <c r="AK284" s="4">
        <v>20</v>
      </c>
      <c r="AL284" s="4">
        <v>58</v>
      </c>
      <c r="AM284" s="4">
        <v>58</v>
      </c>
      <c r="AN284" s="4">
        <v>0</v>
      </c>
      <c r="AO284" s="4">
        <v>0</v>
      </c>
      <c r="AP284" s="4">
        <v>26</v>
      </c>
      <c r="AQ284" s="4">
        <v>27</v>
      </c>
      <c r="AR284" s="3" t="s">
        <v>62</v>
      </c>
      <c r="AS284" s="3" t="s">
        <v>62</v>
      </c>
      <c r="AT284" s="3" t="s">
        <v>62</v>
      </c>
      <c r="AV284" s="6" t="str">
        <f>HYPERLINK("http://mcgill.on.worldcat.org/oclc/40990159","Catalog Record")</f>
        <v>Catalog Record</v>
      </c>
      <c r="AW284" s="6" t="str">
        <f>HYPERLINK("http://www.worldcat.org/oclc/40990159","WorldCat Record")</f>
        <v>WorldCat Record</v>
      </c>
      <c r="AX284" s="3" t="s">
        <v>3052</v>
      </c>
      <c r="AY284" s="3" t="s">
        <v>3053</v>
      </c>
      <c r="AZ284" s="3" t="s">
        <v>3054</v>
      </c>
      <c r="BA284" s="3" t="s">
        <v>3054</v>
      </c>
      <c r="BB284" s="3" t="s">
        <v>3055</v>
      </c>
      <c r="BC284" s="3" t="s">
        <v>102</v>
      </c>
      <c r="BD284" s="3" t="s">
        <v>68</v>
      </c>
      <c r="BE284" s="3" t="s">
        <v>3056</v>
      </c>
      <c r="BF284" s="3" t="s">
        <v>3055</v>
      </c>
      <c r="BG284" s="3" t="s">
        <v>3057</v>
      </c>
    </row>
    <row r="285" spans="1:59" ht="58" x14ac:dyDescent="0.35">
      <c r="A285" s="2" t="s">
        <v>89</v>
      </c>
      <c r="B285" s="2" t="s">
        <v>90</v>
      </c>
      <c r="C285" s="2" t="s">
        <v>3058</v>
      </c>
      <c r="D285" s="2" t="s">
        <v>3059</v>
      </c>
      <c r="E285" s="2" t="s">
        <v>3060</v>
      </c>
      <c r="G285" s="3" t="s">
        <v>62</v>
      </c>
      <c r="I285" s="3" t="s">
        <v>62</v>
      </c>
      <c r="J285" s="3" t="s">
        <v>62</v>
      </c>
      <c r="K285" s="3" t="s">
        <v>63</v>
      </c>
      <c r="M285" s="2" t="s">
        <v>3061</v>
      </c>
      <c r="N285" s="3" t="s">
        <v>3062</v>
      </c>
      <c r="P285" s="3" t="s">
        <v>64</v>
      </c>
      <c r="R285" s="3" t="s">
        <v>65</v>
      </c>
      <c r="S285" s="4">
        <v>47</v>
      </c>
      <c r="T285" s="4">
        <v>47</v>
      </c>
      <c r="U285" s="5" t="s">
        <v>2151</v>
      </c>
      <c r="V285" s="5" t="s">
        <v>2151</v>
      </c>
      <c r="W285" s="5" t="s">
        <v>67</v>
      </c>
      <c r="X285" s="5" t="s">
        <v>67</v>
      </c>
      <c r="Y285" s="4">
        <v>401</v>
      </c>
      <c r="Z285" s="4">
        <v>30</v>
      </c>
      <c r="AA285" s="4">
        <v>32</v>
      </c>
      <c r="AB285" s="4">
        <v>2</v>
      </c>
      <c r="AC285" s="4">
        <v>3</v>
      </c>
      <c r="AD285" s="4">
        <v>108</v>
      </c>
      <c r="AE285" s="4">
        <v>116</v>
      </c>
      <c r="AF285" s="4">
        <v>1</v>
      </c>
      <c r="AG285" s="4">
        <v>2</v>
      </c>
      <c r="AH285" s="4">
        <v>93</v>
      </c>
      <c r="AI285" s="4">
        <v>99</v>
      </c>
      <c r="AJ285" s="4">
        <v>18</v>
      </c>
      <c r="AK285" s="4">
        <v>19</v>
      </c>
      <c r="AL285" s="4">
        <v>54</v>
      </c>
      <c r="AM285" s="4">
        <v>58</v>
      </c>
      <c r="AN285" s="4">
        <v>0</v>
      </c>
      <c r="AO285" s="4">
        <v>0</v>
      </c>
      <c r="AP285" s="4">
        <v>24</v>
      </c>
      <c r="AQ285" s="4">
        <v>25</v>
      </c>
      <c r="AR285" s="3" t="s">
        <v>62</v>
      </c>
      <c r="AS285" s="3" t="s">
        <v>62</v>
      </c>
      <c r="AT285" s="3" t="s">
        <v>61</v>
      </c>
      <c r="AU285" s="6" t="str">
        <f>HYPERLINK("http://catalog.hathitrust.org/Record/002501497","HathiTrust Record")</f>
        <v>HathiTrust Record</v>
      </c>
      <c r="AV285" s="6" t="str">
        <f>HYPERLINK("http://mcgill.on.worldcat.org/oclc/24432656","Catalog Record")</f>
        <v>Catalog Record</v>
      </c>
      <c r="AW285" s="6" t="str">
        <f>HYPERLINK("http://www.worldcat.org/oclc/24432656","WorldCat Record")</f>
        <v>WorldCat Record</v>
      </c>
      <c r="AX285" s="3" t="s">
        <v>3063</v>
      </c>
      <c r="AY285" s="3" t="s">
        <v>3064</v>
      </c>
      <c r="AZ285" s="3" t="s">
        <v>3065</v>
      </c>
      <c r="BA285" s="3" t="s">
        <v>3065</v>
      </c>
      <c r="BB285" s="3" t="s">
        <v>3066</v>
      </c>
      <c r="BC285" s="3" t="s">
        <v>102</v>
      </c>
      <c r="BD285" s="3" t="s">
        <v>68</v>
      </c>
      <c r="BE285" s="3" t="s">
        <v>3067</v>
      </c>
      <c r="BF285" s="3" t="s">
        <v>3066</v>
      </c>
      <c r="BG285" s="3" t="s">
        <v>3068</v>
      </c>
    </row>
    <row r="286" spans="1:59" ht="58" x14ac:dyDescent="0.35">
      <c r="A286" s="2" t="s">
        <v>89</v>
      </c>
      <c r="B286" s="2" t="s">
        <v>90</v>
      </c>
      <c r="C286" s="2" t="s">
        <v>3069</v>
      </c>
      <c r="D286" s="2" t="s">
        <v>3070</v>
      </c>
      <c r="E286" s="2" t="s">
        <v>3071</v>
      </c>
      <c r="G286" s="3" t="s">
        <v>62</v>
      </c>
      <c r="I286" s="3" t="s">
        <v>61</v>
      </c>
      <c r="J286" s="3" t="s">
        <v>62</v>
      </c>
      <c r="K286" s="3" t="s">
        <v>63</v>
      </c>
      <c r="M286" s="2" t="s">
        <v>3072</v>
      </c>
      <c r="N286" s="3" t="s">
        <v>625</v>
      </c>
      <c r="P286" s="3" t="s">
        <v>64</v>
      </c>
      <c r="Q286" s="2" t="s">
        <v>3073</v>
      </c>
      <c r="R286" s="3" t="s">
        <v>65</v>
      </c>
      <c r="S286" s="4">
        <v>24</v>
      </c>
      <c r="T286" s="4">
        <v>50</v>
      </c>
      <c r="U286" s="5" t="s">
        <v>2015</v>
      </c>
      <c r="V286" s="5" t="s">
        <v>2015</v>
      </c>
      <c r="W286" s="5" t="s">
        <v>67</v>
      </c>
      <c r="X286" s="5" t="s">
        <v>67</v>
      </c>
      <c r="Y286" s="4">
        <v>261</v>
      </c>
      <c r="Z286" s="4">
        <v>23</v>
      </c>
      <c r="AA286" s="4">
        <v>54</v>
      </c>
      <c r="AB286" s="4">
        <v>2</v>
      </c>
      <c r="AC286" s="4">
        <v>10</v>
      </c>
      <c r="AD286" s="4">
        <v>57</v>
      </c>
      <c r="AE286" s="4">
        <v>88</v>
      </c>
      <c r="AF286" s="4">
        <v>1</v>
      </c>
      <c r="AG286" s="4">
        <v>5</v>
      </c>
      <c r="AH286" s="4">
        <v>45</v>
      </c>
      <c r="AI286" s="4">
        <v>64</v>
      </c>
      <c r="AJ286" s="4">
        <v>11</v>
      </c>
      <c r="AK286" s="4">
        <v>17</v>
      </c>
      <c r="AL286" s="4">
        <v>28</v>
      </c>
      <c r="AM286" s="4">
        <v>37</v>
      </c>
      <c r="AN286" s="4">
        <v>0</v>
      </c>
      <c r="AO286" s="4">
        <v>0</v>
      </c>
      <c r="AP286" s="4">
        <v>17</v>
      </c>
      <c r="AQ286" s="4">
        <v>29</v>
      </c>
      <c r="AR286" s="3" t="s">
        <v>62</v>
      </c>
      <c r="AS286" s="3" t="s">
        <v>62</v>
      </c>
      <c r="AT286" s="3" t="s">
        <v>62</v>
      </c>
      <c r="AV286" s="6" t="str">
        <f>HYPERLINK("http://mcgill.on.worldcat.org/oclc/50520438","Catalog Record")</f>
        <v>Catalog Record</v>
      </c>
      <c r="AW286" s="6" t="str">
        <f>HYPERLINK("http://www.worldcat.org/oclc/50520438","WorldCat Record")</f>
        <v>WorldCat Record</v>
      </c>
      <c r="AX286" s="3" t="s">
        <v>3074</v>
      </c>
      <c r="AY286" s="3" t="s">
        <v>3075</v>
      </c>
      <c r="AZ286" s="3" t="s">
        <v>3076</v>
      </c>
      <c r="BA286" s="3" t="s">
        <v>3076</v>
      </c>
      <c r="BB286" s="3" t="s">
        <v>3077</v>
      </c>
      <c r="BC286" s="3" t="s">
        <v>102</v>
      </c>
      <c r="BD286" s="3" t="s">
        <v>68</v>
      </c>
      <c r="BE286" s="3" t="s">
        <v>3078</v>
      </c>
      <c r="BF286" s="3" t="s">
        <v>3077</v>
      </c>
      <c r="BG286" s="3" t="s">
        <v>3079</v>
      </c>
    </row>
    <row r="287" spans="1:59" ht="58" x14ac:dyDescent="0.35">
      <c r="A287" s="2" t="s">
        <v>89</v>
      </c>
      <c r="B287" s="2" t="s">
        <v>90</v>
      </c>
      <c r="C287" s="2" t="s">
        <v>3069</v>
      </c>
      <c r="D287" s="2" t="s">
        <v>3070</v>
      </c>
      <c r="E287" s="2" t="s">
        <v>3071</v>
      </c>
      <c r="G287" s="3" t="s">
        <v>62</v>
      </c>
      <c r="I287" s="3" t="s">
        <v>61</v>
      </c>
      <c r="J287" s="3" t="s">
        <v>62</v>
      </c>
      <c r="K287" s="3" t="s">
        <v>63</v>
      </c>
      <c r="M287" s="2" t="s">
        <v>3072</v>
      </c>
      <c r="N287" s="3" t="s">
        <v>625</v>
      </c>
      <c r="P287" s="3" t="s">
        <v>64</v>
      </c>
      <c r="Q287" s="2" t="s">
        <v>3073</v>
      </c>
      <c r="R287" s="3" t="s">
        <v>65</v>
      </c>
      <c r="S287" s="4">
        <v>26</v>
      </c>
      <c r="T287" s="4">
        <v>50</v>
      </c>
      <c r="U287" s="5" t="s">
        <v>2015</v>
      </c>
      <c r="V287" s="5" t="s">
        <v>2015</v>
      </c>
      <c r="W287" s="5" t="s">
        <v>67</v>
      </c>
      <c r="X287" s="5" t="s">
        <v>67</v>
      </c>
      <c r="Y287" s="4">
        <v>261</v>
      </c>
      <c r="Z287" s="4">
        <v>23</v>
      </c>
      <c r="AA287" s="4">
        <v>54</v>
      </c>
      <c r="AB287" s="4">
        <v>2</v>
      </c>
      <c r="AC287" s="4">
        <v>10</v>
      </c>
      <c r="AD287" s="4">
        <v>57</v>
      </c>
      <c r="AE287" s="4">
        <v>88</v>
      </c>
      <c r="AF287" s="4">
        <v>1</v>
      </c>
      <c r="AG287" s="4">
        <v>5</v>
      </c>
      <c r="AH287" s="4">
        <v>45</v>
      </c>
      <c r="AI287" s="4">
        <v>64</v>
      </c>
      <c r="AJ287" s="4">
        <v>11</v>
      </c>
      <c r="AK287" s="4">
        <v>17</v>
      </c>
      <c r="AL287" s="4">
        <v>28</v>
      </c>
      <c r="AM287" s="4">
        <v>37</v>
      </c>
      <c r="AN287" s="4">
        <v>0</v>
      </c>
      <c r="AO287" s="4">
        <v>0</v>
      </c>
      <c r="AP287" s="4">
        <v>17</v>
      </c>
      <c r="AQ287" s="4">
        <v>29</v>
      </c>
      <c r="AR287" s="3" t="s">
        <v>62</v>
      </c>
      <c r="AS287" s="3" t="s">
        <v>62</v>
      </c>
      <c r="AT287" s="3" t="s">
        <v>62</v>
      </c>
      <c r="AV287" s="6" t="str">
        <f>HYPERLINK("http://mcgill.on.worldcat.org/oclc/50520438","Catalog Record")</f>
        <v>Catalog Record</v>
      </c>
      <c r="AW287" s="6" t="str">
        <f>HYPERLINK("http://www.worldcat.org/oclc/50520438","WorldCat Record")</f>
        <v>WorldCat Record</v>
      </c>
      <c r="AX287" s="3" t="s">
        <v>3074</v>
      </c>
      <c r="AY287" s="3" t="s">
        <v>3075</v>
      </c>
      <c r="AZ287" s="3" t="s">
        <v>3076</v>
      </c>
      <c r="BA287" s="3" t="s">
        <v>3076</v>
      </c>
      <c r="BB287" s="3" t="s">
        <v>3080</v>
      </c>
      <c r="BC287" s="3" t="s">
        <v>102</v>
      </c>
      <c r="BD287" s="3" t="s">
        <v>68</v>
      </c>
      <c r="BE287" s="3" t="s">
        <v>3078</v>
      </c>
      <c r="BF287" s="3" t="s">
        <v>3080</v>
      </c>
      <c r="BG287" s="3" t="s">
        <v>3081</v>
      </c>
    </row>
    <row r="288" spans="1:59" ht="58" x14ac:dyDescent="0.35">
      <c r="A288" s="2" t="s">
        <v>89</v>
      </c>
      <c r="B288" s="2" t="s">
        <v>90</v>
      </c>
      <c r="C288" s="2" t="s">
        <v>3082</v>
      </c>
      <c r="D288" s="2" t="s">
        <v>3083</v>
      </c>
      <c r="E288" s="2" t="s">
        <v>3084</v>
      </c>
      <c r="G288" s="3" t="s">
        <v>62</v>
      </c>
      <c r="I288" s="3" t="s">
        <v>62</v>
      </c>
      <c r="J288" s="3" t="s">
        <v>62</v>
      </c>
      <c r="K288" s="3" t="s">
        <v>63</v>
      </c>
      <c r="L288" s="2" t="s">
        <v>3085</v>
      </c>
      <c r="M288" s="2" t="s">
        <v>3086</v>
      </c>
      <c r="N288" s="3" t="s">
        <v>684</v>
      </c>
      <c r="P288" s="3" t="s">
        <v>64</v>
      </c>
      <c r="Q288" s="2" t="s">
        <v>3087</v>
      </c>
      <c r="R288" s="3" t="s">
        <v>65</v>
      </c>
      <c r="S288" s="4">
        <v>1</v>
      </c>
      <c r="T288" s="4">
        <v>1</v>
      </c>
      <c r="U288" s="5" t="s">
        <v>2015</v>
      </c>
      <c r="V288" s="5" t="s">
        <v>2015</v>
      </c>
      <c r="W288" s="5" t="s">
        <v>67</v>
      </c>
      <c r="X288" s="5" t="s">
        <v>67</v>
      </c>
      <c r="Y288" s="4">
        <v>85</v>
      </c>
      <c r="Z288" s="4">
        <v>10</v>
      </c>
      <c r="AA288" s="4">
        <v>10</v>
      </c>
      <c r="AB288" s="4">
        <v>1</v>
      </c>
      <c r="AC288" s="4">
        <v>1</v>
      </c>
      <c r="AD288" s="4">
        <v>44</v>
      </c>
      <c r="AE288" s="4">
        <v>44</v>
      </c>
      <c r="AF288" s="4">
        <v>0</v>
      </c>
      <c r="AG288" s="4">
        <v>0</v>
      </c>
      <c r="AH288" s="4">
        <v>41</v>
      </c>
      <c r="AI288" s="4">
        <v>41</v>
      </c>
      <c r="AJ288" s="4">
        <v>7</v>
      </c>
      <c r="AK288" s="4">
        <v>7</v>
      </c>
      <c r="AL288" s="4">
        <v>27</v>
      </c>
      <c r="AM288" s="4">
        <v>27</v>
      </c>
      <c r="AN288" s="4">
        <v>0</v>
      </c>
      <c r="AO288" s="4">
        <v>0</v>
      </c>
      <c r="AP288" s="4">
        <v>8</v>
      </c>
      <c r="AQ288" s="4">
        <v>8</v>
      </c>
      <c r="AR288" s="3" t="s">
        <v>62</v>
      </c>
      <c r="AS288" s="3" t="s">
        <v>62</v>
      </c>
      <c r="AT288" s="3" t="s">
        <v>62</v>
      </c>
      <c r="AV288" s="6" t="str">
        <f>HYPERLINK("http://mcgill.on.worldcat.org/oclc/692664076","Catalog Record")</f>
        <v>Catalog Record</v>
      </c>
      <c r="AW288" s="6" t="str">
        <f>HYPERLINK("http://www.worldcat.org/oclc/692664076","WorldCat Record")</f>
        <v>WorldCat Record</v>
      </c>
      <c r="AX288" s="3" t="s">
        <v>3088</v>
      </c>
      <c r="AY288" s="3" t="s">
        <v>3089</v>
      </c>
      <c r="AZ288" s="3" t="s">
        <v>3090</v>
      </c>
      <c r="BA288" s="3" t="s">
        <v>3090</v>
      </c>
      <c r="BB288" s="3" t="s">
        <v>3091</v>
      </c>
      <c r="BC288" s="3" t="s">
        <v>102</v>
      </c>
      <c r="BD288" s="3" t="s">
        <v>68</v>
      </c>
      <c r="BE288" s="3" t="s">
        <v>3092</v>
      </c>
      <c r="BF288" s="3" t="s">
        <v>3091</v>
      </c>
      <c r="BG288" s="3" t="s">
        <v>3093</v>
      </c>
    </row>
    <row r="289" spans="1:59" ht="58" x14ac:dyDescent="0.35">
      <c r="A289" s="2" t="s">
        <v>59</v>
      </c>
      <c r="B289" s="2" t="s">
        <v>60</v>
      </c>
      <c r="C289" s="2" t="s">
        <v>3094</v>
      </c>
      <c r="D289" s="2" t="s">
        <v>3095</v>
      </c>
      <c r="E289" s="2" t="s">
        <v>3096</v>
      </c>
      <c r="G289" s="3" t="s">
        <v>62</v>
      </c>
      <c r="I289" s="3" t="s">
        <v>62</v>
      </c>
      <c r="J289" s="3" t="s">
        <v>62</v>
      </c>
      <c r="K289" s="3" t="s">
        <v>63</v>
      </c>
      <c r="L289" s="2" t="s">
        <v>3097</v>
      </c>
      <c r="M289" s="2" t="s">
        <v>3098</v>
      </c>
      <c r="N289" s="3" t="s">
        <v>625</v>
      </c>
      <c r="P289" s="3" t="s">
        <v>64</v>
      </c>
      <c r="R289" s="3" t="s">
        <v>65</v>
      </c>
      <c r="S289" s="4">
        <v>4</v>
      </c>
      <c r="T289" s="4">
        <v>4</v>
      </c>
      <c r="U289" s="5" t="s">
        <v>3099</v>
      </c>
      <c r="V289" s="5" t="s">
        <v>3099</v>
      </c>
      <c r="W289" s="5" t="s">
        <v>67</v>
      </c>
      <c r="X289" s="5" t="s">
        <v>67</v>
      </c>
      <c r="Y289" s="4">
        <v>1049</v>
      </c>
      <c r="Z289" s="4">
        <v>59</v>
      </c>
      <c r="AA289" s="4">
        <v>72</v>
      </c>
      <c r="AB289" s="4">
        <v>4</v>
      </c>
      <c r="AC289" s="4">
        <v>11</v>
      </c>
      <c r="AD289" s="4">
        <v>111</v>
      </c>
      <c r="AE289" s="4">
        <v>123</v>
      </c>
      <c r="AF289" s="4">
        <v>2</v>
      </c>
      <c r="AG289" s="4">
        <v>5</v>
      </c>
      <c r="AH289" s="4">
        <v>85</v>
      </c>
      <c r="AI289" s="4">
        <v>93</v>
      </c>
      <c r="AJ289" s="4">
        <v>18</v>
      </c>
      <c r="AK289" s="4">
        <v>23</v>
      </c>
      <c r="AL289" s="4">
        <v>45</v>
      </c>
      <c r="AM289" s="4">
        <v>49</v>
      </c>
      <c r="AN289" s="4">
        <v>0</v>
      </c>
      <c r="AO289" s="4">
        <v>0</v>
      </c>
      <c r="AP289" s="4">
        <v>31</v>
      </c>
      <c r="AQ289" s="4">
        <v>36</v>
      </c>
      <c r="AR289" s="3" t="s">
        <v>62</v>
      </c>
      <c r="AS289" s="3" t="s">
        <v>62</v>
      </c>
      <c r="AT289" s="3" t="s">
        <v>62</v>
      </c>
      <c r="AV289" s="6" t="str">
        <f>HYPERLINK("http://mcgill.on.worldcat.org/oclc/61515698","Catalog Record")</f>
        <v>Catalog Record</v>
      </c>
      <c r="AW289" s="6" t="str">
        <f>HYPERLINK("http://www.worldcat.org/oclc/61515698","WorldCat Record")</f>
        <v>WorldCat Record</v>
      </c>
      <c r="AX289" s="3" t="s">
        <v>3100</v>
      </c>
      <c r="AY289" s="3" t="s">
        <v>3101</v>
      </c>
      <c r="AZ289" s="3" t="s">
        <v>3102</v>
      </c>
      <c r="BA289" s="3" t="s">
        <v>3102</v>
      </c>
      <c r="BB289" s="3" t="s">
        <v>3103</v>
      </c>
      <c r="BC289" s="3" t="s">
        <v>102</v>
      </c>
      <c r="BD289" s="3" t="s">
        <v>68</v>
      </c>
      <c r="BE289" s="3" t="s">
        <v>3104</v>
      </c>
      <c r="BF289" s="3" t="s">
        <v>3103</v>
      </c>
      <c r="BG289" s="3" t="s">
        <v>3105</v>
      </c>
    </row>
    <row r="290" spans="1:59" ht="58" x14ac:dyDescent="0.35">
      <c r="A290" s="2" t="s">
        <v>89</v>
      </c>
      <c r="B290" s="2" t="s">
        <v>90</v>
      </c>
      <c r="C290" s="2" t="s">
        <v>3106</v>
      </c>
      <c r="D290" s="2" t="s">
        <v>3107</v>
      </c>
      <c r="E290" s="2" t="s">
        <v>3108</v>
      </c>
      <c r="G290" s="3" t="s">
        <v>62</v>
      </c>
      <c r="I290" s="3" t="s">
        <v>62</v>
      </c>
      <c r="J290" s="3" t="s">
        <v>62</v>
      </c>
      <c r="K290" s="3" t="s">
        <v>63</v>
      </c>
      <c r="M290" s="2" t="s">
        <v>3109</v>
      </c>
      <c r="N290" s="3" t="s">
        <v>2566</v>
      </c>
      <c r="P290" s="3" t="s">
        <v>64</v>
      </c>
      <c r="R290" s="3" t="s">
        <v>65</v>
      </c>
      <c r="S290" s="4">
        <v>16</v>
      </c>
      <c r="T290" s="4">
        <v>16</v>
      </c>
      <c r="U290" s="5" t="s">
        <v>3110</v>
      </c>
      <c r="V290" s="5" t="s">
        <v>3110</v>
      </c>
      <c r="W290" s="5" t="s">
        <v>67</v>
      </c>
      <c r="X290" s="5" t="s">
        <v>67</v>
      </c>
      <c r="Y290" s="4">
        <v>339</v>
      </c>
      <c r="Z290" s="4">
        <v>32</v>
      </c>
      <c r="AA290" s="4">
        <v>38</v>
      </c>
      <c r="AB290" s="4">
        <v>2</v>
      </c>
      <c r="AC290" s="4">
        <v>4</v>
      </c>
      <c r="AD290" s="4">
        <v>101</v>
      </c>
      <c r="AE290" s="4">
        <v>128</v>
      </c>
      <c r="AF290" s="4">
        <v>1</v>
      </c>
      <c r="AG290" s="4">
        <v>3</v>
      </c>
      <c r="AH290" s="4">
        <v>83</v>
      </c>
      <c r="AI290" s="4">
        <v>105</v>
      </c>
      <c r="AJ290" s="4">
        <v>19</v>
      </c>
      <c r="AK290" s="4">
        <v>23</v>
      </c>
      <c r="AL290" s="4">
        <v>45</v>
      </c>
      <c r="AM290" s="4">
        <v>58</v>
      </c>
      <c r="AN290" s="4">
        <v>0</v>
      </c>
      <c r="AO290" s="4">
        <v>0</v>
      </c>
      <c r="AP290" s="4">
        <v>26</v>
      </c>
      <c r="AQ290" s="4">
        <v>31</v>
      </c>
      <c r="AR290" s="3" t="s">
        <v>62</v>
      </c>
      <c r="AS290" s="3" t="s">
        <v>62</v>
      </c>
      <c r="AT290" s="3" t="s">
        <v>61</v>
      </c>
      <c r="AU290" s="6" t="str">
        <f>HYPERLINK("http://catalog.hathitrust.org/Record/001984981","HathiTrust Record")</f>
        <v>HathiTrust Record</v>
      </c>
      <c r="AV290" s="6" t="str">
        <f>HYPERLINK("http://mcgill.on.worldcat.org/oclc/705354","Catalog Record")</f>
        <v>Catalog Record</v>
      </c>
      <c r="AW290" s="6" t="str">
        <f>HYPERLINK("http://www.worldcat.org/oclc/705354","WorldCat Record")</f>
        <v>WorldCat Record</v>
      </c>
      <c r="AX290" s="3" t="s">
        <v>3111</v>
      </c>
      <c r="AY290" s="3" t="s">
        <v>3112</v>
      </c>
      <c r="AZ290" s="3" t="s">
        <v>3113</v>
      </c>
      <c r="BA290" s="3" t="s">
        <v>3113</v>
      </c>
      <c r="BB290" s="3" t="s">
        <v>3114</v>
      </c>
      <c r="BC290" s="3" t="s">
        <v>102</v>
      </c>
      <c r="BD290" s="3" t="s">
        <v>68</v>
      </c>
      <c r="BE290" s="3" t="s">
        <v>3115</v>
      </c>
      <c r="BF290" s="3" t="s">
        <v>3114</v>
      </c>
      <c r="BG290" s="3" t="s">
        <v>3116</v>
      </c>
    </row>
    <row r="291" spans="1:59" ht="58" x14ac:dyDescent="0.35">
      <c r="A291" s="2" t="s">
        <v>89</v>
      </c>
      <c r="B291" s="2" t="s">
        <v>90</v>
      </c>
      <c r="C291" s="2" t="s">
        <v>3117</v>
      </c>
      <c r="D291" s="2" t="s">
        <v>3118</v>
      </c>
      <c r="E291" s="2" t="s">
        <v>3119</v>
      </c>
      <c r="G291" s="3" t="s">
        <v>62</v>
      </c>
      <c r="I291" s="3" t="s">
        <v>62</v>
      </c>
      <c r="J291" s="3" t="s">
        <v>62</v>
      </c>
      <c r="K291" s="3" t="s">
        <v>63</v>
      </c>
      <c r="L291" s="2" t="s">
        <v>3120</v>
      </c>
      <c r="M291" s="2" t="s">
        <v>3121</v>
      </c>
      <c r="N291" s="3" t="s">
        <v>655</v>
      </c>
      <c r="P291" s="3" t="s">
        <v>64</v>
      </c>
      <c r="Q291" s="2" t="s">
        <v>3122</v>
      </c>
      <c r="R291" s="3" t="s">
        <v>65</v>
      </c>
      <c r="S291" s="4">
        <v>6</v>
      </c>
      <c r="T291" s="4">
        <v>6</v>
      </c>
      <c r="U291" s="5" t="s">
        <v>2015</v>
      </c>
      <c r="V291" s="5" t="s">
        <v>2015</v>
      </c>
      <c r="W291" s="5" t="s">
        <v>67</v>
      </c>
      <c r="X291" s="5" t="s">
        <v>67</v>
      </c>
      <c r="Y291" s="4">
        <v>163</v>
      </c>
      <c r="Z291" s="4">
        <v>7</v>
      </c>
      <c r="AA291" s="4">
        <v>8</v>
      </c>
      <c r="AB291" s="4">
        <v>1</v>
      </c>
      <c r="AC291" s="4">
        <v>1</v>
      </c>
      <c r="AD291" s="4">
        <v>63</v>
      </c>
      <c r="AE291" s="4">
        <v>66</v>
      </c>
      <c r="AF291" s="4">
        <v>0</v>
      </c>
      <c r="AG291" s="4">
        <v>0</v>
      </c>
      <c r="AH291" s="4">
        <v>59</v>
      </c>
      <c r="AI291" s="4">
        <v>62</v>
      </c>
      <c r="AJ291" s="4">
        <v>5</v>
      </c>
      <c r="AK291" s="4">
        <v>6</v>
      </c>
      <c r="AL291" s="4">
        <v>37</v>
      </c>
      <c r="AM291" s="4">
        <v>37</v>
      </c>
      <c r="AN291" s="4">
        <v>5</v>
      </c>
      <c r="AO291" s="4">
        <v>5</v>
      </c>
      <c r="AP291" s="4">
        <v>6</v>
      </c>
      <c r="AQ291" s="4">
        <v>7</v>
      </c>
      <c r="AR291" s="3" t="s">
        <v>62</v>
      </c>
      <c r="AS291" s="3" t="s">
        <v>62</v>
      </c>
      <c r="AT291" s="3" t="s">
        <v>61</v>
      </c>
      <c r="AU291" s="6" t="str">
        <f>HYPERLINK("http://catalog.hathitrust.org/Record/102050264","HathiTrust Record")</f>
        <v>HathiTrust Record</v>
      </c>
      <c r="AV291" s="6" t="str">
        <f>HYPERLINK("http://mcgill.on.worldcat.org/oclc/74988574","Catalog Record")</f>
        <v>Catalog Record</v>
      </c>
      <c r="AW291" s="6" t="str">
        <f>HYPERLINK("http://www.worldcat.org/oclc/74988574","WorldCat Record")</f>
        <v>WorldCat Record</v>
      </c>
      <c r="AX291" s="3" t="s">
        <v>3123</v>
      </c>
      <c r="AY291" s="3" t="s">
        <v>3124</v>
      </c>
      <c r="AZ291" s="3" t="s">
        <v>3125</v>
      </c>
      <c r="BA291" s="3" t="s">
        <v>3125</v>
      </c>
      <c r="BB291" s="3" t="s">
        <v>3126</v>
      </c>
      <c r="BC291" s="3" t="s">
        <v>102</v>
      </c>
      <c r="BD291" s="3" t="s">
        <v>68</v>
      </c>
      <c r="BE291" s="3" t="s">
        <v>3127</v>
      </c>
      <c r="BF291" s="3" t="s">
        <v>3126</v>
      </c>
      <c r="BG291" s="3" t="s">
        <v>3128</v>
      </c>
    </row>
    <row r="292" spans="1:59" ht="58" x14ac:dyDescent="0.35">
      <c r="A292" s="2" t="s">
        <v>89</v>
      </c>
      <c r="B292" s="2" t="s">
        <v>90</v>
      </c>
      <c r="C292" s="2" t="s">
        <v>3129</v>
      </c>
      <c r="D292" s="2" t="s">
        <v>3130</v>
      </c>
      <c r="E292" s="2" t="s">
        <v>3131</v>
      </c>
      <c r="G292" s="3" t="s">
        <v>62</v>
      </c>
      <c r="I292" s="3" t="s">
        <v>62</v>
      </c>
      <c r="J292" s="3" t="s">
        <v>62</v>
      </c>
      <c r="K292" s="3" t="s">
        <v>63</v>
      </c>
      <c r="L292" s="2" t="s">
        <v>3132</v>
      </c>
      <c r="M292" s="2" t="s">
        <v>3133</v>
      </c>
      <c r="N292" s="3" t="s">
        <v>201</v>
      </c>
      <c r="P292" s="3" t="s">
        <v>64</v>
      </c>
      <c r="R292" s="3" t="s">
        <v>65</v>
      </c>
      <c r="S292" s="4">
        <v>1</v>
      </c>
      <c r="T292" s="4">
        <v>1</v>
      </c>
      <c r="U292" s="5" t="s">
        <v>3134</v>
      </c>
      <c r="V292" s="5" t="s">
        <v>3134</v>
      </c>
      <c r="W292" s="5" t="s">
        <v>67</v>
      </c>
      <c r="X292" s="5" t="s">
        <v>67</v>
      </c>
      <c r="Y292" s="4">
        <v>187</v>
      </c>
      <c r="Z292" s="4">
        <v>26</v>
      </c>
      <c r="AA292" s="4">
        <v>38</v>
      </c>
      <c r="AB292" s="4">
        <v>2</v>
      </c>
      <c r="AC292" s="4">
        <v>5</v>
      </c>
      <c r="AD292" s="4">
        <v>67</v>
      </c>
      <c r="AE292" s="4">
        <v>118</v>
      </c>
      <c r="AF292" s="4">
        <v>1</v>
      </c>
      <c r="AG292" s="4">
        <v>4</v>
      </c>
      <c r="AH292" s="4">
        <v>56</v>
      </c>
      <c r="AI292" s="4">
        <v>99</v>
      </c>
      <c r="AJ292" s="4">
        <v>17</v>
      </c>
      <c r="AK292" s="4">
        <v>24</v>
      </c>
      <c r="AL292" s="4">
        <v>33</v>
      </c>
      <c r="AM292" s="4">
        <v>54</v>
      </c>
      <c r="AN292" s="4">
        <v>0</v>
      </c>
      <c r="AO292" s="4">
        <v>0</v>
      </c>
      <c r="AP292" s="4">
        <v>22</v>
      </c>
      <c r="AQ292" s="4">
        <v>28</v>
      </c>
      <c r="AR292" s="3" t="s">
        <v>62</v>
      </c>
      <c r="AS292" s="3" t="s">
        <v>62</v>
      </c>
      <c r="AT292" s="3" t="s">
        <v>61</v>
      </c>
      <c r="AU292" s="6" t="str">
        <f>HYPERLINK("http://catalog.hathitrust.org/Record/000212613","HathiTrust Record")</f>
        <v>HathiTrust Record</v>
      </c>
      <c r="AV292" s="6" t="str">
        <f>HYPERLINK("http://mcgill.on.worldcat.org/oclc/2930648","Catalog Record")</f>
        <v>Catalog Record</v>
      </c>
      <c r="AW292" s="6" t="str">
        <f>HYPERLINK("http://www.worldcat.org/oclc/2930648","WorldCat Record")</f>
        <v>WorldCat Record</v>
      </c>
      <c r="AX292" s="3" t="s">
        <v>3135</v>
      </c>
      <c r="AY292" s="3" t="s">
        <v>3136</v>
      </c>
      <c r="AZ292" s="3" t="s">
        <v>3137</v>
      </c>
      <c r="BA292" s="3" t="s">
        <v>3137</v>
      </c>
      <c r="BB292" s="3" t="s">
        <v>3138</v>
      </c>
      <c r="BC292" s="3" t="s">
        <v>102</v>
      </c>
      <c r="BD292" s="3" t="s">
        <v>68</v>
      </c>
      <c r="BE292" s="3" t="s">
        <v>3139</v>
      </c>
      <c r="BF292" s="3" t="s">
        <v>3138</v>
      </c>
      <c r="BG292" s="3" t="s">
        <v>3140</v>
      </c>
    </row>
    <row r="293" spans="1:59" ht="58" x14ac:dyDescent="0.35">
      <c r="A293" s="2" t="s">
        <v>89</v>
      </c>
      <c r="B293" s="2" t="s">
        <v>90</v>
      </c>
      <c r="C293" s="2" t="s">
        <v>3141</v>
      </c>
      <c r="D293" s="2" t="s">
        <v>3142</v>
      </c>
      <c r="E293" s="2" t="s">
        <v>3143</v>
      </c>
      <c r="G293" s="3" t="s">
        <v>62</v>
      </c>
      <c r="I293" s="3" t="s">
        <v>62</v>
      </c>
      <c r="J293" s="3" t="s">
        <v>62</v>
      </c>
      <c r="K293" s="3" t="s">
        <v>63</v>
      </c>
      <c r="M293" s="2" t="s">
        <v>3144</v>
      </c>
      <c r="N293" s="3" t="s">
        <v>201</v>
      </c>
      <c r="P293" s="3" t="s">
        <v>64</v>
      </c>
      <c r="Q293" s="2" t="s">
        <v>3145</v>
      </c>
      <c r="R293" s="3" t="s">
        <v>65</v>
      </c>
      <c r="S293" s="4">
        <v>17</v>
      </c>
      <c r="T293" s="4">
        <v>17</v>
      </c>
      <c r="U293" s="5" t="s">
        <v>3146</v>
      </c>
      <c r="V293" s="5" t="s">
        <v>3146</v>
      </c>
      <c r="W293" s="5" t="s">
        <v>67</v>
      </c>
      <c r="X293" s="5" t="s">
        <v>67</v>
      </c>
      <c r="Y293" s="4">
        <v>159</v>
      </c>
      <c r="Z293" s="4">
        <v>17</v>
      </c>
      <c r="AA293" s="4">
        <v>19</v>
      </c>
      <c r="AB293" s="4">
        <v>2</v>
      </c>
      <c r="AC293" s="4">
        <v>2</v>
      </c>
      <c r="AD293" s="4">
        <v>70</v>
      </c>
      <c r="AE293" s="4">
        <v>72</v>
      </c>
      <c r="AF293" s="4">
        <v>1</v>
      </c>
      <c r="AG293" s="4">
        <v>1</v>
      </c>
      <c r="AH293" s="4">
        <v>59</v>
      </c>
      <c r="AI293" s="4">
        <v>61</v>
      </c>
      <c r="AJ293" s="4">
        <v>12</v>
      </c>
      <c r="AK293" s="4">
        <v>14</v>
      </c>
      <c r="AL293" s="4">
        <v>38</v>
      </c>
      <c r="AM293" s="4">
        <v>38</v>
      </c>
      <c r="AN293" s="4">
        <v>0</v>
      </c>
      <c r="AO293" s="4">
        <v>0</v>
      </c>
      <c r="AP293" s="4">
        <v>14</v>
      </c>
      <c r="AQ293" s="4">
        <v>16</v>
      </c>
      <c r="AR293" s="3" t="s">
        <v>62</v>
      </c>
      <c r="AS293" s="3" t="s">
        <v>62</v>
      </c>
      <c r="AT293" s="3" t="s">
        <v>62</v>
      </c>
      <c r="AV293" s="6" t="str">
        <f>HYPERLINK("http://mcgill.on.worldcat.org/oclc/5311556","Catalog Record")</f>
        <v>Catalog Record</v>
      </c>
      <c r="AW293" s="6" t="str">
        <f>HYPERLINK("http://www.worldcat.org/oclc/5311556","WorldCat Record")</f>
        <v>WorldCat Record</v>
      </c>
      <c r="AX293" s="3" t="s">
        <v>3147</v>
      </c>
      <c r="AY293" s="3" t="s">
        <v>3148</v>
      </c>
      <c r="AZ293" s="3" t="s">
        <v>3149</v>
      </c>
      <c r="BA293" s="3" t="s">
        <v>3149</v>
      </c>
      <c r="BB293" s="3" t="s">
        <v>3150</v>
      </c>
      <c r="BC293" s="3" t="s">
        <v>102</v>
      </c>
      <c r="BD293" s="3" t="s">
        <v>68</v>
      </c>
      <c r="BE293" s="3" t="s">
        <v>3151</v>
      </c>
      <c r="BF293" s="3" t="s">
        <v>3150</v>
      </c>
      <c r="BG293" s="3" t="s">
        <v>3152</v>
      </c>
    </row>
    <row r="294" spans="1:59" ht="58" x14ac:dyDescent="0.35">
      <c r="A294" s="2" t="s">
        <v>89</v>
      </c>
      <c r="B294" s="2" t="s">
        <v>90</v>
      </c>
      <c r="C294" s="2" t="s">
        <v>3153</v>
      </c>
      <c r="D294" s="2" t="s">
        <v>3154</v>
      </c>
      <c r="E294" s="2" t="s">
        <v>3155</v>
      </c>
      <c r="G294" s="3" t="s">
        <v>62</v>
      </c>
      <c r="I294" s="3" t="s">
        <v>62</v>
      </c>
      <c r="J294" s="3" t="s">
        <v>62</v>
      </c>
      <c r="K294" s="3" t="s">
        <v>63</v>
      </c>
      <c r="L294" s="2" t="s">
        <v>3156</v>
      </c>
      <c r="M294" s="2" t="s">
        <v>3157</v>
      </c>
      <c r="N294" s="3" t="s">
        <v>684</v>
      </c>
      <c r="P294" s="3" t="s">
        <v>64</v>
      </c>
      <c r="Q294" s="2" t="s">
        <v>3158</v>
      </c>
      <c r="R294" s="3" t="s">
        <v>65</v>
      </c>
      <c r="S294" s="4">
        <v>0</v>
      </c>
      <c r="T294" s="4">
        <v>0</v>
      </c>
      <c r="W294" s="5" t="s">
        <v>67</v>
      </c>
      <c r="X294" s="5" t="s">
        <v>67</v>
      </c>
      <c r="Y294" s="4">
        <v>54</v>
      </c>
      <c r="Z294" s="4">
        <v>9</v>
      </c>
      <c r="AA294" s="4">
        <v>43</v>
      </c>
      <c r="AB294" s="4">
        <v>1</v>
      </c>
      <c r="AC294" s="4">
        <v>8</v>
      </c>
      <c r="AD294" s="4">
        <v>22</v>
      </c>
      <c r="AE294" s="4">
        <v>80</v>
      </c>
      <c r="AF294" s="4">
        <v>0</v>
      </c>
      <c r="AG294" s="4">
        <v>4</v>
      </c>
      <c r="AH294" s="4">
        <v>19</v>
      </c>
      <c r="AI294" s="4">
        <v>53</v>
      </c>
      <c r="AJ294" s="4">
        <v>4</v>
      </c>
      <c r="AK294" s="4">
        <v>21</v>
      </c>
      <c r="AL294" s="4">
        <v>10</v>
      </c>
      <c r="AM294" s="4">
        <v>23</v>
      </c>
      <c r="AN294" s="4">
        <v>0</v>
      </c>
      <c r="AO294" s="4">
        <v>0</v>
      </c>
      <c r="AP294" s="4">
        <v>6</v>
      </c>
      <c r="AQ294" s="4">
        <v>36</v>
      </c>
      <c r="AR294" s="3" t="s">
        <v>62</v>
      </c>
      <c r="AS294" s="3" t="s">
        <v>62</v>
      </c>
      <c r="AT294" s="3" t="s">
        <v>62</v>
      </c>
      <c r="AV294" s="6" t="str">
        <f>HYPERLINK("http://mcgill.on.worldcat.org/oclc/732740698","Catalog Record")</f>
        <v>Catalog Record</v>
      </c>
      <c r="AW294" s="6" t="str">
        <f>HYPERLINK("http://www.worldcat.org/oclc/732740698","WorldCat Record")</f>
        <v>WorldCat Record</v>
      </c>
      <c r="AX294" s="3" t="s">
        <v>3159</v>
      </c>
      <c r="AY294" s="3" t="s">
        <v>3160</v>
      </c>
      <c r="AZ294" s="3" t="s">
        <v>3161</v>
      </c>
      <c r="BA294" s="3" t="s">
        <v>3161</v>
      </c>
      <c r="BB294" s="3" t="s">
        <v>3162</v>
      </c>
      <c r="BC294" s="3" t="s">
        <v>102</v>
      </c>
      <c r="BD294" s="3" t="s">
        <v>68</v>
      </c>
      <c r="BE294" s="3" t="s">
        <v>3163</v>
      </c>
      <c r="BF294" s="3" t="s">
        <v>3162</v>
      </c>
      <c r="BG294" s="3" t="s">
        <v>3164</v>
      </c>
    </row>
    <row r="295" spans="1:59" ht="58" x14ac:dyDescent="0.35">
      <c r="A295" s="2" t="s">
        <v>89</v>
      </c>
      <c r="B295" s="2" t="s">
        <v>90</v>
      </c>
      <c r="C295" s="2" t="s">
        <v>3165</v>
      </c>
      <c r="D295" s="2" t="s">
        <v>3166</v>
      </c>
      <c r="E295" s="2" t="s">
        <v>3167</v>
      </c>
      <c r="G295" s="3" t="s">
        <v>62</v>
      </c>
      <c r="I295" s="3" t="s">
        <v>62</v>
      </c>
      <c r="J295" s="3" t="s">
        <v>62</v>
      </c>
      <c r="K295" s="3" t="s">
        <v>63</v>
      </c>
      <c r="L295" s="2" t="s">
        <v>3168</v>
      </c>
      <c r="M295" s="2" t="s">
        <v>3169</v>
      </c>
      <c r="N295" s="3" t="s">
        <v>880</v>
      </c>
      <c r="P295" s="3" t="s">
        <v>64</v>
      </c>
      <c r="R295" s="3" t="s">
        <v>65</v>
      </c>
      <c r="S295" s="4">
        <v>0</v>
      </c>
      <c r="T295" s="4">
        <v>0</v>
      </c>
      <c r="W295" s="5" t="s">
        <v>67</v>
      </c>
      <c r="X295" s="5" t="s">
        <v>67</v>
      </c>
      <c r="Y295" s="4">
        <v>38</v>
      </c>
      <c r="Z295" s="4">
        <v>5</v>
      </c>
      <c r="AA295" s="4">
        <v>22</v>
      </c>
      <c r="AB295" s="4">
        <v>1</v>
      </c>
      <c r="AC295" s="4">
        <v>2</v>
      </c>
      <c r="AD295" s="4">
        <v>22</v>
      </c>
      <c r="AE295" s="4">
        <v>56</v>
      </c>
      <c r="AF295" s="4">
        <v>0</v>
      </c>
      <c r="AG295" s="4">
        <v>0</v>
      </c>
      <c r="AH295" s="4">
        <v>21</v>
      </c>
      <c r="AI295" s="4">
        <v>45</v>
      </c>
      <c r="AJ295" s="4">
        <v>4</v>
      </c>
      <c r="AK295" s="4">
        <v>8</v>
      </c>
      <c r="AL295" s="4">
        <v>16</v>
      </c>
      <c r="AM295" s="4">
        <v>29</v>
      </c>
      <c r="AN295" s="4">
        <v>0</v>
      </c>
      <c r="AO295" s="4">
        <v>0</v>
      </c>
      <c r="AP295" s="4">
        <v>4</v>
      </c>
      <c r="AQ295" s="4">
        <v>15</v>
      </c>
      <c r="AR295" s="3" t="s">
        <v>62</v>
      </c>
      <c r="AS295" s="3" t="s">
        <v>62</v>
      </c>
      <c r="AT295" s="3" t="s">
        <v>62</v>
      </c>
      <c r="AV295" s="6" t="str">
        <f>HYPERLINK("http://mcgill.on.worldcat.org/oclc/551377319","Catalog Record")</f>
        <v>Catalog Record</v>
      </c>
      <c r="AW295" s="6" t="str">
        <f>HYPERLINK("http://www.worldcat.org/oclc/551377319","WorldCat Record")</f>
        <v>WorldCat Record</v>
      </c>
      <c r="AX295" s="3" t="s">
        <v>3170</v>
      </c>
      <c r="AY295" s="3" t="s">
        <v>3171</v>
      </c>
      <c r="AZ295" s="3" t="s">
        <v>3172</v>
      </c>
      <c r="BA295" s="3" t="s">
        <v>3172</v>
      </c>
      <c r="BB295" s="3" t="s">
        <v>3173</v>
      </c>
      <c r="BC295" s="3" t="s">
        <v>102</v>
      </c>
      <c r="BD295" s="3" t="s">
        <v>68</v>
      </c>
      <c r="BE295" s="3" t="s">
        <v>3174</v>
      </c>
      <c r="BF295" s="3" t="s">
        <v>3173</v>
      </c>
      <c r="BG295" s="3" t="s">
        <v>3175</v>
      </c>
    </row>
    <row r="296" spans="1:59" ht="58" x14ac:dyDescent="0.35">
      <c r="A296" s="2" t="s">
        <v>89</v>
      </c>
      <c r="B296" s="2" t="s">
        <v>90</v>
      </c>
      <c r="C296" s="2" t="s">
        <v>3176</v>
      </c>
      <c r="D296" s="2" t="s">
        <v>3177</v>
      </c>
      <c r="E296" s="2" t="s">
        <v>3178</v>
      </c>
      <c r="G296" s="3" t="s">
        <v>62</v>
      </c>
      <c r="I296" s="3" t="s">
        <v>62</v>
      </c>
      <c r="J296" s="3" t="s">
        <v>61</v>
      </c>
      <c r="K296" s="3" t="s">
        <v>63</v>
      </c>
      <c r="L296" s="2" t="s">
        <v>3179</v>
      </c>
      <c r="M296" s="2" t="s">
        <v>3180</v>
      </c>
      <c r="N296" s="3" t="s">
        <v>524</v>
      </c>
      <c r="O296" s="2" t="s">
        <v>3181</v>
      </c>
      <c r="P296" s="3" t="s">
        <v>64</v>
      </c>
      <c r="R296" s="3" t="s">
        <v>65</v>
      </c>
      <c r="S296" s="4">
        <v>34</v>
      </c>
      <c r="T296" s="4">
        <v>34</v>
      </c>
      <c r="U296" s="5" t="s">
        <v>3182</v>
      </c>
      <c r="V296" s="5" t="s">
        <v>3182</v>
      </c>
      <c r="W296" s="5" t="s">
        <v>67</v>
      </c>
      <c r="X296" s="5" t="s">
        <v>67</v>
      </c>
      <c r="Y296" s="4">
        <v>138</v>
      </c>
      <c r="Z296" s="4">
        <v>6</v>
      </c>
      <c r="AA296" s="4">
        <v>62</v>
      </c>
      <c r="AB296" s="4">
        <v>2</v>
      </c>
      <c r="AC296" s="4">
        <v>6</v>
      </c>
      <c r="AD296" s="4">
        <v>14</v>
      </c>
      <c r="AE296" s="4">
        <v>145</v>
      </c>
      <c r="AF296" s="4">
        <v>1</v>
      </c>
      <c r="AG296" s="4">
        <v>4</v>
      </c>
      <c r="AH296" s="4">
        <v>11</v>
      </c>
      <c r="AI296" s="4">
        <v>112</v>
      </c>
      <c r="AJ296" s="4">
        <v>3</v>
      </c>
      <c r="AK296" s="4">
        <v>24</v>
      </c>
      <c r="AL296" s="4">
        <v>3</v>
      </c>
      <c r="AM296" s="4">
        <v>61</v>
      </c>
      <c r="AN296" s="4">
        <v>0</v>
      </c>
      <c r="AO296" s="4">
        <v>0</v>
      </c>
      <c r="AP296" s="4">
        <v>4</v>
      </c>
      <c r="AQ296" s="4">
        <v>40</v>
      </c>
      <c r="AR296" s="3" t="s">
        <v>62</v>
      </c>
      <c r="AS296" s="3" t="s">
        <v>62</v>
      </c>
      <c r="AT296" s="3" t="s">
        <v>62</v>
      </c>
      <c r="AV296" s="6" t="str">
        <f>HYPERLINK("http://mcgill.on.worldcat.org/oclc/33955364","Catalog Record")</f>
        <v>Catalog Record</v>
      </c>
      <c r="AW296" s="6" t="str">
        <f>HYPERLINK("http://www.worldcat.org/oclc/33955364","WorldCat Record")</f>
        <v>WorldCat Record</v>
      </c>
      <c r="AX296" s="3" t="s">
        <v>3183</v>
      </c>
      <c r="AY296" s="3" t="s">
        <v>3184</v>
      </c>
      <c r="AZ296" s="3" t="s">
        <v>3185</v>
      </c>
      <c r="BA296" s="3" t="s">
        <v>3185</v>
      </c>
      <c r="BB296" s="3" t="s">
        <v>3186</v>
      </c>
      <c r="BC296" s="3" t="s">
        <v>102</v>
      </c>
      <c r="BD296" s="3" t="s">
        <v>68</v>
      </c>
      <c r="BE296" s="3" t="s">
        <v>3187</v>
      </c>
      <c r="BF296" s="3" t="s">
        <v>3186</v>
      </c>
      <c r="BG296" s="3" t="s">
        <v>3188</v>
      </c>
    </row>
    <row r="297" spans="1:59" ht="58" x14ac:dyDescent="0.35">
      <c r="A297" s="2" t="s">
        <v>89</v>
      </c>
      <c r="B297" s="2" t="s">
        <v>90</v>
      </c>
      <c r="C297" s="2" t="s">
        <v>3189</v>
      </c>
      <c r="D297" s="2" t="s">
        <v>3190</v>
      </c>
      <c r="E297" s="2" t="s">
        <v>3178</v>
      </c>
      <c r="G297" s="3" t="s">
        <v>62</v>
      </c>
      <c r="I297" s="3" t="s">
        <v>62</v>
      </c>
      <c r="J297" s="3" t="s">
        <v>61</v>
      </c>
      <c r="K297" s="3" t="s">
        <v>63</v>
      </c>
      <c r="L297" s="2" t="s">
        <v>3179</v>
      </c>
      <c r="M297" s="2" t="s">
        <v>3191</v>
      </c>
      <c r="N297" s="3" t="s">
        <v>625</v>
      </c>
      <c r="O297" s="2" t="s">
        <v>2986</v>
      </c>
      <c r="P297" s="3" t="s">
        <v>64</v>
      </c>
      <c r="R297" s="3" t="s">
        <v>65</v>
      </c>
      <c r="S297" s="4">
        <v>27</v>
      </c>
      <c r="T297" s="4">
        <v>27</v>
      </c>
      <c r="U297" s="5" t="s">
        <v>1564</v>
      </c>
      <c r="V297" s="5" t="s">
        <v>1564</v>
      </c>
      <c r="W297" s="5" t="s">
        <v>67</v>
      </c>
      <c r="X297" s="5" t="s">
        <v>67</v>
      </c>
      <c r="Y297" s="4">
        <v>412</v>
      </c>
      <c r="Z297" s="4">
        <v>28</v>
      </c>
      <c r="AA297" s="4">
        <v>62</v>
      </c>
      <c r="AB297" s="4">
        <v>1</v>
      </c>
      <c r="AC297" s="4">
        <v>6</v>
      </c>
      <c r="AD297" s="4">
        <v>101</v>
      </c>
      <c r="AE297" s="4">
        <v>145</v>
      </c>
      <c r="AF297" s="4">
        <v>0</v>
      </c>
      <c r="AG297" s="4">
        <v>4</v>
      </c>
      <c r="AH297" s="4">
        <v>85</v>
      </c>
      <c r="AI297" s="4">
        <v>112</v>
      </c>
      <c r="AJ297" s="4">
        <v>13</v>
      </c>
      <c r="AK297" s="4">
        <v>24</v>
      </c>
      <c r="AL297" s="4">
        <v>47</v>
      </c>
      <c r="AM297" s="4">
        <v>61</v>
      </c>
      <c r="AN297" s="4">
        <v>0</v>
      </c>
      <c r="AO297" s="4">
        <v>0</v>
      </c>
      <c r="AP297" s="4">
        <v>20</v>
      </c>
      <c r="AQ297" s="4">
        <v>40</v>
      </c>
      <c r="AR297" s="3" t="s">
        <v>62</v>
      </c>
      <c r="AS297" s="3" t="s">
        <v>62</v>
      </c>
      <c r="AT297" s="3" t="s">
        <v>62</v>
      </c>
      <c r="AV297" s="6" t="str">
        <f>HYPERLINK("http://mcgill.on.worldcat.org/oclc/50730734","Catalog Record")</f>
        <v>Catalog Record</v>
      </c>
      <c r="AW297" s="6" t="str">
        <f>HYPERLINK("http://www.worldcat.org/oclc/50730734","WorldCat Record")</f>
        <v>WorldCat Record</v>
      </c>
      <c r="AX297" s="3" t="s">
        <v>3183</v>
      </c>
      <c r="AY297" s="3" t="s">
        <v>3192</v>
      </c>
      <c r="AZ297" s="3" t="s">
        <v>3193</v>
      </c>
      <c r="BA297" s="3" t="s">
        <v>3193</v>
      </c>
      <c r="BB297" s="3" t="s">
        <v>3194</v>
      </c>
      <c r="BC297" s="3" t="s">
        <v>102</v>
      </c>
      <c r="BD297" s="3" t="s">
        <v>68</v>
      </c>
      <c r="BE297" s="3" t="s">
        <v>3195</v>
      </c>
      <c r="BF297" s="3" t="s">
        <v>3194</v>
      </c>
      <c r="BG297" s="3" t="s">
        <v>3196</v>
      </c>
    </row>
    <row r="298" spans="1:59" ht="58" x14ac:dyDescent="0.35">
      <c r="A298" s="2" t="s">
        <v>89</v>
      </c>
      <c r="B298" s="2" t="s">
        <v>90</v>
      </c>
      <c r="C298" s="2" t="s">
        <v>3197</v>
      </c>
      <c r="D298" s="2" t="s">
        <v>3198</v>
      </c>
      <c r="E298" s="2" t="s">
        <v>3199</v>
      </c>
      <c r="G298" s="3" t="s">
        <v>62</v>
      </c>
      <c r="I298" s="3" t="s">
        <v>61</v>
      </c>
      <c r="J298" s="3" t="s">
        <v>62</v>
      </c>
      <c r="K298" s="3" t="s">
        <v>63</v>
      </c>
      <c r="L298" s="2" t="s">
        <v>3200</v>
      </c>
      <c r="M298" s="2" t="s">
        <v>3201</v>
      </c>
      <c r="N298" s="3" t="s">
        <v>285</v>
      </c>
      <c r="P298" s="3" t="s">
        <v>64</v>
      </c>
      <c r="R298" s="3" t="s">
        <v>65</v>
      </c>
      <c r="S298" s="4">
        <v>2</v>
      </c>
      <c r="T298" s="4">
        <v>7</v>
      </c>
      <c r="U298" s="5" t="s">
        <v>3202</v>
      </c>
      <c r="V298" s="5" t="s">
        <v>3203</v>
      </c>
      <c r="W298" s="5" t="s">
        <v>67</v>
      </c>
      <c r="X298" s="5" t="s">
        <v>67</v>
      </c>
      <c r="Y298" s="4">
        <v>124</v>
      </c>
      <c r="Z298" s="4">
        <v>5</v>
      </c>
      <c r="AA298" s="4">
        <v>17</v>
      </c>
      <c r="AB298" s="4">
        <v>1</v>
      </c>
      <c r="AC298" s="4">
        <v>4</v>
      </c>
      <c r="AD298" s="4">
        <v>53</v>
      </c>
      <c r="AE298" s="4">
        <v>80</v>
      </c>
      <c r="AF298" s="4">
        <v>0</v>
      </c>
      <c r="AG298" s="4">
        <v>2</v>
      </c>
      <c r="AH298" s="4">
        <v>52</v>
      </c>
      <c r="AI298" s="4">
        <v>73</v>
      </c>
      <c r="AJ298" s="4">
        <v>3</v>
      </c>
      <c r="AK298" s="4">
        <v>13</v>
      </c>
      <c r="AL298" s="4">
        <v>22</v>
      </c>
      <c r="AM298" s="4">
        <v>39</v>
      </c>
      <c r="AN298" s="4">
        <v>0</v>
      </c>
      <c r="AO298" s="4">
        <v>0</v>
      </c>
      <c r="AP298" s="4">
        <v>3</v>
      </c>
      <c r="AQ298" s="4">
        <v>12</v>
      </c>
      <c r="AR298" s="3" t="s">
        <v>62</v>
      </c>
      <c r="AS298" s="3" t="s">
        <v>62</v>
      </c>
      <c r="AT298" s="3" t="s">
        <v>62</v>
      </c>
      <c r="AV298" s="6" t="str">
        <f>HYPERLINK("http://mcgill.on.worldcat.org/oclc/5830046","Catalog Record")</f>
        <v>Catalog Record</v>
      </c>
      <c r="AW298" s="6" t="str">
        <f>HYPERLINK("http://www.worldcat.org/oclc/5830046","WorldCat Record")</f>
        <v>WorldCat Record</v>
      </c>
      <c r="AX298" s="3" t="s">
        <v>3204</v>
      </c>
      <c r="AY298" s="3" t="s">
        <v>3205</v>
      </c>
      <c r="AZ298" s="3" t="s">
        <v>3206</v>
      </c>
      <c r="BA298" s="3" t="s">
        <v>3206</v>
      </c>
      <c r="BB298" s="3" t="s">
        <v>3207</v>
      </c>
      <c r="BC298" s="3" t="s">
        <v>102</v>
      </c>
      <c r="BD298" s="3" t="s">
        <v>68</v>
      </c>
      <c r="BE298" s="3" t="s">
        <v>3208</v>
      </c>
      <c r="BF298" s="3" t="s">
        <v>3207</v>
      </c>
      <c r="BG298" s="3" t="s">
        <v>3209</v>
      </c>
    </row>
    <row r="299" spans="1:59" ht="58" x14ac:dyDescent="0.35">
      <c r="A299" s="2" t="s">
        <v>89</v>
      </c>
      <c r="B299" s="2" t="s">
        <v>90</v>
      </c>
      <c r="C299" s="2" t="s">
        <v>3210</v>
      </c>
      <c r="D299" s="2" t="s">
        <v>3211</v>
      </c>
      <c r="E299" s="2" t="s">
        <v>3212</v>
      </c>
      <c r="F299" s="3" t="s">
        <v>2233</v>
      </c>
      <c r="G299" s="3" t="s">
        <v>61</v>
      </c>
      <c r="I299" s="3" t="s">
        <v>61</v>
      </c>
      <c r="J299" s="3" t="s">
        <v>62</v>
      </c>
      <c r="K299" s="3" t="s">
        <v>63</v>
      </c>
      <c r="L299" s="2" t="s">
        <v>3213</v>
      </c>
      <c r="M299" s="2" t="s">
        <v>3214</v>
      </c>
      <c r="N299" s="3" t="s">
        <v>1639</v>
      </c>
      <c r="P299" s="3" t="s">
        <v>64</v>
      </c>
      <c r="R299" s="3" t="s">
        <v>65</v>
      </c>
      <c r="S299" s="4">
        <v>0</v>
      </c>
      <c r="T299" s="4">
        <v>11</v>
      </c>
      <c r="V299" s="5" t="s">
        <v>1325</v>
      </c>
      <c r="W299" s="5" t="s">
        <v>67</v>
      </c>
      <c r="X299" s="5" t="s">
        <v>67</v>
      </c>
      <c r="Y299" s="4">
        <v>116</v>
      </c>
      <c r="Z299" s="4">
        <v>52</v>
      </c>
      <c r="AA299" s="4">
        <v>57</v>
      </c>
      <c r="AB299" s="4">
        <v>3</v>
      </c>
      <c r="AC299" s="4">
        <v>5</v>
      </c>
      <c r="AD299" s="4">
        <v>61</v>
      </c>
      <c r="AE299" s="4">
        <v>63</v>
      </c>
      <c r="AF299" s="4">
        <v>1</v>
      </c>
      <c r="AG299" s="4">
        <v>2</v>
      </c>
      <c r="AH299" s="4">
        <v>41</v>
      </c>
      <c r="AI299" s="4">
        <v>41</v>
      </c>
      <c r="AJ299" s="4">
        <v>20</v>
      </c>
      <c r="AK299" s="4">
        <v>21</v>
      </c>
      <c r="AL299" s="4">
        <v>22</v>
      </c>
      <c r="AM299" s="4">
        <v>22</v>
      </c>
      <c r="AN299" s="4">
        <v>0</v>
      </c>
      <c r="AO299" s="4">
        <v>0</v>
      </c>
      <c r="AP299" s="4">
        <v>30</v>
      </c>
      <c r="AQ299" s="4">
        <v>32</v>
      </c>
      <c r="AR299" s="3" t="s">
        <v>61</v>
      </c>
      <c r="AS299" s="3" t="s">
        <v>62</v>
      </c>
      <c r="AT299" s="3" t="s">
        <v>61</v>
      </c>
      <c r="AU299" s="6" t="str">
        <f>HYPERLINK("http://catalog.hathitrust.org/Record/000237839","HathiTrust Record")</f>
        <v>HathiTrust Record</v>
      </c>
      <c r="AV299" s="6" t="str">
        <f>HYPERLINK("http://mcgill.on.worldcat.org/oclc/540241","Catalog Record")</f>
        <v>Catalog Record</v>
      </c>
      <c r="AW299" s="6" t="str">
        <f>HYPERLINK("http://www.worldcat.org/oclc/540241","WorldCat Record")</f>
        <v>WorldCat Record</v>
      </c>
      <c r="AX299" s="3" t="s">
        <v>3215</v>
      </c>
      <c r="AY299" s="3" t="s">
        <v>3216</v>
      </c>
      <c r="AZ299" s="3" t="s">
        <v>3217</v>
      </c>
      <c r="BA299" s="3" t="s">
        <v>3217</v>
      </c>
      <c r="BB299" s="3" t="s">
        <v>3218</v>
      </c>
      <c r="BC299" s="3" t="s">
        <v>102</v>
      </c>
      <c r="BD299" s="3" t="s">
        <v>68</v>
      </c>
      <c r="BF299" s="3" t="s">
        <v>3218</v>
      </c>
      <c r="BG299" s="3" t="s">
        <v>3219</v>
      </c>
    </row>
    <row r="300" spans="1:59" ht="58" x14ac:dyDescent="0.35">
      <c r="A300" s="2" t="s">
        <v>89</v>
      </c>
      <c r="B300" s="2" t="s">
        <v>90</v>
      </c>
      <c r="C300" s="2" t="s">
        <v>3210</v>
      </c>
      <c r="D300" s="2" t="s">
        <v>3211</v>
      </c>
      <c r="E300" s="2" t="s">
        <v>3212</v>
      </c>
      <c r="F300" s="3" t="s">
        <v>2217</v>
      </c>
      <c r="G300" s="3" t="s">
        <v>61</v>
      </c>
      <c r="I300" s="3" t="s">
        <v>61</v>
      </c>
      <c r="J300" s="3" t="s">
        <v>62</v>
      </c>
      <c r="K300" s="3" t="s">
        <v>63</v>
      </c>
      <c r="L300" s="2" t="s">
        <v>3213</v>
      </c>
      <c r="M300" s="2" t="s">
        <v>3214</v>
      </c>
      <c r="N300" s="3" t="s">
        <v>1639</v>
      </c>
      <c r="P300" s="3" t="s">
        <v>64</v>
      </c>
      <c r="R300" s="3" t="s">
        <v>65</v>
      </c>
      <c r="S300" s="4">
        <v>4</v>
      </c>
      <c r="T300" s="4">
        <v>11</v>
      </c>
      <c r="U300" s="5" t="s">
        <v>3220</v>
      </c>
      <c r="V300" s="5" t="s">
        <v>1325</v>
      </c>
      <c r="W300" s="5" t="s">
        <v>67</v>
      </c>
      <c r="X300" s="5" t="s">
        <v>67</v>
      </c>
      <c r="Y300" s="4">
        <v>116</v>
      </c>
      <c r="Z300" s="4">
        <v>52</v>
      </c>
      <c r="AA300" s="4">
        <v>57</v>
      </c>
      <c r="AB300" s="4">
        <v>3</v>
      </c>
      <c r="AC300" s="4">
        <v>5</v>
      </c>
      <c r="AD300" s="4">
        <v>61</v>
      </c>
      <c r="AE300" s="4">
        <v>63</v>
      </c>
      <c r="AF300" s="4">
        <v>1</v>
      </c>
      <c r="AG300" s="4">
        <v>2</v>
      </c>
      <c r="AH300" s="4">
        <v>41</v>
      </c>
      <c r="AI300" s="4">
        <v>41</v>
      </c>
      <c r="AJ300" s="4">
        <v>20</v>
      </c>
      <c r="AK300" s="4">
        <v>21</v>
      </c>
      <c r="AL300" s="4">
        <v>22</v>
      </c>
      <c r="AM300" s="4">
        <v>22</v>
      </c>
      <c r="AN300" s="4">
        <v>0</v>
      </c>
      <c r="AO300" s="4">
        <v>0</v>
      </c>
      <c r="AP300" s="4">
        <v>30</v>
      </c>
      <c r="AQ300" s="4">
        <v>32</v>
      </c>
      <c r="AR300" s="3" t="s">
        <v>61</v>
      </c>
      <c r="AS300" s="3" t="s">
        <v>62</v>
      </c>
      <c r="AT300" s="3" t="s">
        <v>61</v>
      </c>
      <c r="AU300" s="6" t="str">
        <f>HYPERLINK("http://catalog.hathitrust.org/Record/000237839","HathiTrust Record")</f>
        <v>HathiTrust Record</v>
      </c>
      <c r="AV300" s="6" t="str">
        <f>HYPERLINK("http://mcgill.on.worldcat.org/oclc/540241","Catalog Record")</f>
        <v>Catalog Record</v>
      </c>
      <c r="AW300" s="6" t="str">
        <f>HYPERLINK("http://www.worldcat.org/oclc/540241","WorldCat Record")</f>
        <v>WorldCat Record</v>
      </c>
      <c r="AX300" s="3" t="s">
        <v>3215</v>
      </c>
      <c r="AY300" s="3" t="s">
        <v>3216</v>
      </c>
      <c r="AZ300" s="3" t="s">
        <v>3217</v>
      </c>
      <c r="BA300" s="3" t="s">
        <v>3217</v>
      </c>
      <c r="BB300" s="3" t="s">
        <v>3221</v>
      </c>
      <c r="BC300" s="3" t="s">
        <v>102</v>
      </c>
      <c r="BD300" s="3" t="s">
        <v>68</v>
      </c>
      <c r="BF300" s="3" t="s">
        <v>3221</v>
      </c>
      <c r="BG300" s="3" t="s">
        <v>3222</v>
      </c>
    </row>
    <row r="301" spans="1:59" ht="58" x14ac:dyDescent="0.35">
      <c r="A301" s="2" t="s">
        <v>89</v>
      </c>
      <c r="B301" s="2" t="s">
        <v>90</v>
      </c>
      <c r="C301" s="2" t="s">
        <v>3210</v>
      </c>
      <c r="D301" s="2" t="s">
        <v>3211</v>
      </c>
      <c r="E301" s="2" t="s">
        <v>3212</v>
      </c>
      <c r="F301" s="3" t="s">
        <v>2214</v>
      </c>
      <c r="G301" s="3" t="s">
        <v>61</v>
      </c>
      <c r="I301" s="3" t="s">
        <v>61</v>
      </c>
      <c r="J301" s="3" t="s">
        <v>62</v>
      </c>
      <c r="K301" s="3" t="s">
        <v>63</v>
      </c>
      <c r="L301" s="2" t="s">
        <v>3213</v>
      </c>
      <c r="M301" s="2" t="s">
        <v>3214</v>
      </c>
      <c r="N301" s="3" t="s">
        <v>1639</v>
      </c>
      <c r="P301" s="3" t="s">
        <v>64</v>
      </c>
      <c r="R301" s="3" t="s">
        <v>65</v>
      </c>
      <c r="S301" s="4">
        <v>0</v>
      </c>
      <c r="T301" s="4">
        <v>11</v>
      </c>
      <c r="V301" s="5" t="s">
        <v>1325</v>
      </c>
      <c r="W301" s="5" t="s">
        <v>67</v>
      </c>
      <c r="X301" s="5" t="s">
        <v>67</v>
      </c>
      <c r="Y301" s="4">
        <v>116</v>
      </c>
      <c r="Z301" s="4">
        <v>52</v>
      </c>
      <c r="AA301" s="4">
        <v>57</v>
      </c>
      <c r="AB301" s="4">
        <v>3</v>
      </c>
      <c r="AC301" s="4">
        <v>5</v>
      </c>
      <c r="AD301" s="4">
        <v>61</v>
      </c>
      <c r="AE301" s="4">
        <v>63</v>
      </c>
      <c r="AF301" s="4">
        <v>1</v>
      </c>
      <c r="AG301" s="4">
        <v>2</v>
      </c>
      <c r="AH301" s="4">
        <v>41</v>
      </c>
      <c r="AI301" s="4">
        <v>41</v>
      </c>
      <c r="AJ301" s="4">
        <v>20</v>
      </c>
      <c r="AK301" s="4">
        <v>21</v>
      </c>
      <c r="AL301" s="4">
        <v>22</v>
      </c>
      <c r="AM301" s="4">
        <v>22</v>
      </c>
      <c r="AN301" s="4">
        <v>0</v>
      </c>
      <c r="AO301" s="4">
        <v>0</v>
      </c>
      <c r="AP301" s="4">
        <v>30</v>
      </c>
      <c r="AQ301" s="4">
        <v>32</v>
      </c>
      <c r="AR301" s="3" t="s">
        <v>61</v>
      </c>
      <c r="AS301" s="3" t="s">
        <v>62</v>
      </c>
      <c r="AT301" s="3" t="s">
        <v>61</v>
      </c>
      <c r="AU301" s="6" t="str">
        <f>HYPERLINK("http://catalog.hathitrust.org/Record/000237839","HathiTrust Record")</f>
        <v>HathiTrust Record</v>
      </c>
      <c r="AV301" s="6" t="str">
        <f>HYPERLINK("http://mcgill.on.worldcat.org/oclc/540241","Catalog Record")</f>
        <v>Catalog Record</v>
      </c>
      <c r="AW301" s="6" t="str">
        <f>HYPERLINK("http://www.worldcat.org/oclc/540241","WorldCat Record")</f>
        <v>WorldCat Record</v>
      </c>
      <c r="AX301" s="3" t="s">
        <v>3215</v>
      </c>
      <c r="AY301" s="3" t="s">
        <v>3216</v>
      </c>
      <c r="AZ301" s="3" t="s">
        <v>3217</v>
      </c>
      <c r="BA301" s="3" t="s">
        <v>3217</v>
      </c>
      <c r="BB301" s="3" t="s">
        <v>3223</v>
      </c>
      <c r="BC301" s="3" t="s">
        <v>102</v>
      </c>
      <c r="BD301" s="3" t="s">
        <v>68</v>
      </c>
      <c r="BF301" s="3" t="s">
        <v>3223</v>
      </c>
      <c r="BG301" s="3" t="s">
        <v>3224</v>
      </c>
    </row>
    <row r="302" spans="1:59" ht="58" x14ac:dyDescent="0.35">
      <c r="A302" s="2" t="s">
        <v>89</v>
      </c>
      <c r="B302" s="2" t="s">
        <v>90</v>
      </c>
      <c r="C302" s="2" t="s">
        <v>3210</v>
      </c>
      <c r="D302" s="2" t="s">
        <v>3211</v>
      </c>
      <c r="E302" s="2" t="s">
        <v>3212</v>
      </c>
      <c r="F302" s="3" t="s">
        <v>2248</v>
      </c>
      <c r="G302" s="3" t="s">
        <v>61</v>
      </c>
      <c r="I302" s="3" t="s">
        <v>61</v>
      </c>
      <c r="J302" s="3" t="s">
        <v>62</v>
      </c>
      <c r="K302" s="3" t="s">
        <v>63</v>
      </c>
      <c r="L302" s="2" t="s">
        <v>3213</v>
      </c>
      <c r="M302" s="2" t="s">
        <v>3214</v>
      </c>
      <c r="N302" s="3" t="s">
        <v>1639</v>
      </c>
      <c r="P302" s="3" t="s">
        <v>64</v>
      </c>
      <c r="R302" s="3" t="s">
        <v>65</v>
      </c>
      <c r="S302" s="4">
        <v>0</v>
      </c>
      <c r="T302" s="4">
        <v>11</v>
      </c>
      <c r="V302" s="5" t="s">
        <v>1325</v>
      </c>
      <c r="W302" s="5" t="s">
        <v>67</v>
      </c>
      <c r="X302" s="5" t="s">
        <v>67</v>
      </c>
      <c r="Y302" s="4">
        <v>116</v>
      </c>
      <c r="Z302" s="4">
        <v>52</v>
      </c>
      <c r="AA302" s="4">
        <v>57</v>
      </c>
      <c r="AB302" s="4">
        <v>3</v>
      </c>
      <c r="AC302" s="4">
        <v>5</v>
      </c>
      <c r="AD302" s="4">
        <v>61</v>
      </c>
      <c r="AE302" s="4">
        <v>63</v>
      </c>
      <c r="AF302" s="4">
        <v>1</v>
      </c>
      <c r="AG302" s="4">
        <v>2</v>
      </c>
      <c r="AH302" s="4">
        <v>41</v>
      </c>
      <c r="AI302" s="4">
        <v>41</v>
      </c>
      <c r="AJ302" s="4">
        <v>20</v>
      </c>
      <c r="AK302" s="4">
        <v>21</v>
      </c>
      <c r="AL302" s="4">
        <v>22</v>
      </c>
      <c r="AM302" s="4">
        <v>22</v>
      </c>
      <c r="AN302" s="4">
        <v>0</v>
      </c>
      <c r="AO302" s="4">
        <v>0</v>
      </c>
      <c r="AP302" s="4">
        <v>30</v>
      </c>
      <c r="AQ302" s="4">
        <v>32</v>
      </c>
      <c r="AR302" s="3" t="s">
        <v>61</v>
      </c>
      <c r="AS302" s="3" t="s">
        <v>62</v>
      </c>
      <c r="AT302" s="3" t="s">
        <v>61</v>
      </c>
      <c r="AU302" s="6" t="str">
        <f>HYPERLINK("http://catalog.hathitrust.org/Record/000237839","HathiTrust Record")</f>
        <v>HathiTrust Record</v>
      </c>
      <c r="AV302" s="6" t="str">
        <f>HYPERLINK("http://mcgill.on.worldcat.org/oclc/540241","Catalog Record")</f>
        <v>Catalog Record</v>
      </c>
      <c r="AW302" s="6" t="str">
        <f>HYPERLINK("http://www.worldcat.org/oclc/540241","WorldCat Record")</f>
        <v>WorldCat Record</v>
      </c>
      <c r="AX302" s="3" t="s">
        <v>3215</v>
      </c>
      <c r="AY302" s="3" t="s">
        <v>3216</v>
      </c>
      <c r="AZ302" s="3" t="s">
        <v>3217</v>
      </c>
      <c r="BA302" s="3" t="s">
        <v>3217</v>
      </c>
      <c r="BB302" s="3" t="s">
        <v>3225</v>
      </c>
      <c r="BC302" s="3" t="s">
        <v>102</v>
      </c>
      <c r="BD302" s="3" t="s">
        <v>68</v>
      </c>
      <c r="BF302" s="3" t="s">
        <v>3225</v>
      </c>
      <c r="BG302" s="3" t="s">
        <v>3226</v>
      </c>
    </row>
    <row r="303" spans="1:59" ht="58" x14ac:dyDescent="0.35">
      <c r="A303" s="2" t="s">
        <v>89</v>
      </c>
      <c r="B303" s="2" t="s">
        <v>90</v>
      </c>
      <c r="C303" s="2" t="s">
        <v>3227</v>
      </c>
      <c r="D303" s="2" t="s">
        <v>3228</v>
      </c>
      <c r="E303" s="2" t="s">
        <v>3229</v>
      </c>
      <c r="G303" s="3" t="s">
        <v>62</v>
      </c>
      <c r="I303" s="3" t="s">
        <v>62</v>
      </c>
      <c r="J303" s="3" t="s">
        <v>62</v>
      </c>
      <c r="K303" s="3" t="s">
        <v>63</v>
      </c>
      <c r="M303" s="2" t="s">
        <v>3230</v>
      </c>
      <c r="N303" s="3" t="s">
        <v>2085</v>
      </c>
      <c r="P303" s="3" t="s">
        <v>64</v>
      </c>
      <c r="R303" s="3" t="s">
        <v>65</v>
      </c>
      <c r="S303" s="4">
        <v>0</v>
      </c>
      <c r="T303" s="4">
        <v>0</v>
      </c>
      <c r="W303" s="5" t="s">
        <v>3231</v>
      </c>
      <c r="X303" s="5" t="s">
        <v>3231</v>
      </c>
      <c r="Y303" s="4">
        <v>20</v>
      </c>
      <c r="Z303" s="4">
        <v>8</v>
      </c>
      <c r="AA303" s="4">
        <v>8</v>
      </c>
      <c r="AB303" s="4">
        <v>1</v>
      </c>
      <c r="AC303" s="4">
        <v>1</v>
      </c>
      <c r="AD303" s="4">
        <v>15</v>
      </c>
      <c r="AE303" s="4">
        <v>15</v>
      </c>
      <c r="AF303" s="4">
        <v>0</v>
      </c>
      <c r="AG303" s="4">
        <v>0</v>
      </c>
      <c r="AH303" s="4">
        <v>12</v>
      </c>
      <c r="AI303" s="4">
        <v>12</v>
      </c>
      <c r="AJ303" s="4">
        <v>5</v>
      </c>
      <c r="AK303" s="4">
        <v>5</v>
      </c>
      <c r="AL303" s="4">
        <v>7</v>
      </c>
      <c r="AM303" s="4">
        <v>7</v>
      </c>
      <c r="AN303" s="4">
        <v>0</v>
      </c>
      <c r="AO303" s="4">
        <v>0</v>
      </c>
      <c r="AP303" s="4">
        <v>6</v>
      </c>
      <c r="AQ303" s="4">
        <v>6</v>
      </c>
      <c r="AR303" s="3" t="s">
        <v>61</v>
      </c>
      <c r="AS303" s="3" t="s">
        <v>62</v>
      </c>
      <c r="AT303" s="3" t="s">
        <v>62</v>
      </c>
      <c r="AV303" s="6" t="str">
        <f>HYPERLINK("http://mcgill.on.worldcat.org/oclc/1080210439","Catalog Record")</f>
        <v>Catalog Record</v>
      </c>
      <c r="AW303" s="6" t="str">
        <f>HYPERLINK("http://www.worldcat.org/oclc/1080210439","WorldCat Record")</f>
        <v>WorldCat Record</v>
      </c>
      <c r="AX303" s="3" t="s">
        <v>3232</v>
      </c>
      <c r="AY303" s="3" t="s">
        <v>3233</v>
      </c>
      <c r="AZ303" s="3" t="s">
        <v>3234</v>
      </c>
      <c r="BA303" s="3" t="s">
        <v>3234</v>
      </c>
      <c r="BB303" s="3" t="s">
        <v>3235</v>
      </c>
      <c r="BC303" s="3" t="s">
        <v>102</v>
      </c>
      <c r="BD303" s="3" t="s">
        <v>68</v>
      </c>
      <c r="BE303" s="3" t="s">
        <v>3236</v>
      </c>
      <c r="BF303" s="3" t="s">
        <v>3235</v>
      </c>
      <c r="BG303" s="3" t="s">
        <v>3237</v>
      </c>
    </row>
    <row r="304" spans="1:59" ht="58" x14ac:dyDescent="0.35">
      <c r="A304" s="2" t="s">
        <v>89</v>
      </c>
      <c r="B304" s="2" t="s">
        <v>90</v>
      </c>
      <c r="C304" s="2" t="s">
        <v>3238</v>
      </c>
      <c r="D304" s="2" t="s">
        <v>3239</v>
      </c>
      <c r="E304" s="2" t="s">
        <v>3240</v>
      </c>
      <c r="G304" s="3" t="s">
        <v>62</v>
      </c>
      <c r="I304" s="3" t="s">
        <v>61</v>
      </c>
      <c r="J304" s="3" t="s">
        <v>62</v>
      </c>
      <c r="K304" s="3" t="s">
        <v>63</v>
      </c>
      <c r="L304" s="2" t="s">
        <v>3241</v>
      </c>
      <c r="M304" s="2" t="s">
        <v>3242</v>
      </c>
      <c r="N304" s="3" t="s">
        <v>157</v>
      </c>
      <c r="P304" s="3" t="s">
        <v>64</v>
      </c>
      <c r="R304" s="3" t="s">
        <v>65</v>
      </c>
      <c r="S304" s="4">
        <v>15</v>
      </c>
      <c r="T304" s="4">
        <v>21</v>
      </c>
      <c r="U304" s="5" t="s">
        <v>3243</v>
      </c>
      <c r="V304" s="5" t="s">
        <v>3243</v>
      </c>
      <c r="W304" s="5" t="s">
        <v>67</v>
      </c>
      <c r="X304" s="5" t="s">
        <v>67</v>
      </c>
      <c r="Y304" s="4">
        <v>222</v>
      </c>
      <c r="Z304" s="4">
        <v>77</v>
      </c>
      <c r="AA304" s="4">
        <v>81</v>
      </c>
      <c r="AB304" s="4">
        <v>3</v>
      </c>
      <c r="AC304" s="4">
        <v>6</v>
      </c>
      <c r="AD304" s="4">
        <v>101</v>
      </c>
      <c r="AE304" s="4">
        <v>104</v>
      </c>
      <c r="AF304" s="4">
        <v>1</v>
      </c>
      <c r="AG304" s="4">
        <v>3</v>
      </c>
      <c r="AH304" s="4">
        <v>64</v>
      </c>
      <c r="AI304" s="4">
        <v>65</v>
      </c>
      <c r="AJ304" s="4">
        <v>25</v>
      </c>
      <c r="AK304" s="4">
        <v>28</v>
      </c>
      <c r="AL304" s="4">
        <v>28</v>
      </c>
      <c r="AM304" s="4">
        <v>28</v>
      </c>
      <c r="AN304" s="4">
        <v>0</v>
      </c>
      <c r="AO304" s="4">
        <v>0</v>
      </c>
      <c r="AP304" s="4">
        <v>44</v>
      </c>
      <c r="AQ304" s="4">
        <v>46</v>
      </c>
      <c r="AR304" s="3" t="s">
        <v>61</v>
      </c>
      <c r="AS304" s="3" t="s">
        <v>62</v>
      </c>
      <c r="AT304" s="3" t="s">
        <v>61</v>
      </c>
      <c r="AU304" s="6" t="str">
        <f>HYPERLINK("http://catalog.hathitrust.org/Record/006685442","HathiTrust Record")</f>
        <v>HathiTrust Record</v>
      </c>
      <c r="AV304" s="6" t="str">
        <f>HYPERLINK("http://mcgill.on.worldcat.org/oclc/1056336","Catalog Record")</f>
        <v>Catalog Record</v>
      </c>
      <c r="AW304" s="6" t="str">
        <f>HYPERLINK("http://www.worldcat.org/oclc/1056336","WorldCat Record")</f>
        <v>WorldCat Record</v>
      </c>
      <c r="AX304" s="3" t="s">
        <v>3244</v>
      </c>
      <c r="AY304" s="3" t="s">
        <v>3245</v>
      </c>
      <c r="AZ304" s="3" t="s">
        <v>3246</v>
      </c>
      <c r="BA304" s="3" t="s">
        <v>3246</v>
      </c>
      <c r="BB304" s="3" t="s">
        <v>3247</v>
      </c>
      <c r="BC304" s="3" t="s">
        <v>102</v>
      </c>
      <c r="BD304" s="3" t="s">
        <v>68</v>
      </c>
      <c r="BE304" s="3" t="s">
        <v>3248</v>
      </c>
      <c r="BF304" s="3" t="s">
        <v>3247</v>
      </c>
      <c r="BG304" s="3" t="s">
        <v>3249</v>
      </c>
    </row>
    <row r="305" spans="1:59" ht="58" x14ac:dyDescent="0.35">
      <c r="A305" s="2" t="s">
        <v>89</v>
      </c>
      <c r="B305" s="2" t="s">
        <v>90</v>
      </c>
      <c r="C305" s="2" t="s">
        <v>3250</v>
      </c>
      <c r="D305" s="2" t="s">
        <v>3251</v>
      </c>
      <c r="E305" s="2" t="s">
        <v>3252</v>
      </c>
      <c r="G305" s="3" t="s">
        <v>62</v>
      </c>
      <c r="I305" s="3" t="s">
        <v>61</v>
      </c>
      <c r="J305" s="3" t="s">
        <v>62</v>
      </c>
      <c r="K305" s="3" t="s">
        <v>63</v>
      </c>
      <c r="M305" s="2" t="s">
        <v>3253</v>
      </c>
      <c r="N305" s="3" t="s">
        <v>568</v>
      </c>
      <c r="P305" s="3" t="s">
        <v>64</v>
      </c>
      <c r="Q305" s="2" t="s">
        <v>3254</v>
      </c>
      <c r="R305" s="3" t="s">
        <v>65</v>
      </c>
      <c r="S305" s="4">
        <v>8</v>
      </c>
      <c r="T305" s="4">
        <v>19</v>
      </c>
      <c r="U305" s="5" t="s">
        <v>3255</v>
      </c>
      <c r="V305" s="5" t="s">
        <v>1845</v>
      </c>
      <c r="W305" s="5" t="s">
        <v>67</v>
      </c>
      <c r="X305" s="5" t="s">
        <v>67</v>
      </c>
      <c r="Y305" s="4">
        <v>178</v>
      </c>
      <c r="Z305" s="4">
        <v>59</v>
      </c>
      <c r="AA305" s="4">
        <v>117</v>
      </c>
      <c r="AB305" s="4">
        <v>3</v>
      </c>
      <c r="AC305" s="4">
        <v>22</v>
      </c>
      <c r="AD305" s="4">
        <v>91</v>
      </c>
      <c r="AE305" s="4">
        <v>136</v>
      </c>
      <c r="AF305" s="4">
        <v>1</v>
      </c>
      <c r="AG305" s="4">
        <v>9</v>
      </c>
      <c r="AH305" s="4">
        <v>66</v>
      </c>
      <c r="AI305" s="4">
        <v>83</v>
      </c>
      <c r="AJ305" s="4">
        <v>23</v>
      </c>
      <c r="AK305" s="4">
        <v>30</v>
      </c>
      <c r="AL305" s="4">
        <v>38</v>
      </c>
      <c r="AM305" s="4">
        <v>44</v>
      </c>
      <c r="AN305" s="4">
        <v>0</v>
      </c>
      <c r="AO305" s="4">
        <v>0</v>
      </c>
      <c r="AP305" s="4">
        <v>34</v>
      </c>
      <c r="AQ305" s="4">
        <v>60</v>
      </c>
      <c r="AR305" s="3" t="s">
        <v>61</v>
      </c>
      <c r="AS305" s="3" t="s">
        <v>62</v>
      </c>
      <c r="AT305" s="3" t="s">
        <v>62</v>
      </c>
      <c r="AV305" s="6" t="str">
        <f>HYPERLINK("http://mcgill.on.worldcat.org/oclc/43710636","Catalog Record")</f>
        <v>Catalog Record</v>
      </c>
      <c r="AW305" s="6" t="str">
        <f>HYPERLINK("http://www.worldcat.org/oclc/43710636","WorldCat Record")</f>
        <v>WorldCat Record</v>
      </c>
      <c r="AX305" s="3" t="s">
        <v>3256</v>
      </c>
      <c r="AY305" s="3" t="s">
        <v>3257</v>
      </c>
      <c r="AZ305" s="3" t="s">
        <v>3258</v>
      </c>
      <c r="BA305" s="3" t="s">
        <v>3258</v>
      </c>
      <c r="BB305" s="3" t="s">
        <v>3259</v>
      </c>
      <c r="BC305" s="3" t="s">
        <v>102</v>
      </c>
      <c r="BD305" s="3" t="s">
        <v>68</v>
      </c>
      <c r="BE305" s="3" t="s">
        <v>3260</v>
      </c>
      <c r="BF305" s="3" t="s">
        <v>3259</v>
      </c>
      <c r="BG305" s="3" t="s">
        <v>3261</v>
      </c>
    </row>
    <row r="306" spans="1:59" ht="58" x14ac:dyDescent="0.35">
      <c r="A306" s="2" t="s">
        <v>89</v>
      </c>
      <c r="B306" s="2" t="s">
        <v>90</v>
      </c>
      <c r="C306" s="2" t="s">
        <v>3250</v>
      </c>
      <c r="D306" s="2" t="s">
        <v>3251</v>
      </c>
      <c r="E306" s="2" t="s">
        <v>3252</v>
      </c>
      <c r="G306" s="3" t="s">
        <v>62</v>
      </c>
      <c r="I306" s="3" t="s">
        <v>61</v>
      </c>
      <c r="J306" s="3" t="s">
        <v>62</v>
      </c>
      <c r="K306" s="3" t="s">
        <v>63</v>
      </c>
      <c r="M306" s="2" t="s">
        <v>3253</v>
      </c>
      <c r="N306" s="3" t="s">
        <v>568</v>
      </c>
      <c r="P306" s="3" t="s">
        <v>64</v>
      </c>
      <c r="Q306" s="2" t="s">
        <v>3254</v>
      </c>
      <c r="R306" s="3" t="s">
        <v>65</v>
      </c>
      <c r="S306" s="4">
        <v>11</v>
      </c>
      <c r="T306" s="4">
        <v>19</v>
      </c>
      <c r="U306" s="5" t="s">
        <v>1845</v>
      </c>
      <c r="V306" s="5" t="s">
        <v>1845</v>
      </c>
      <c r="W306" s="5" t="s">
        <v>67</v>
      </c>
      <c r="X306" s="5" t="s">
        <v>67</v>
      </c>
      <c r="Y306" s="4">
        <v>178</v>
      </c>
      <c r="Z306" s="4">
        <v>59</v>
      </c>
      <c r="AA306" s="4">
        <v>117</v>
      </c>
      <c r="AB306" s="4">
        <v>3</v>
      </c>
      <c r="AC306" s="4">
        <v>22</v>
      </c>
      <c r="AD306" s="4">
        <v>91</v>
      </c>
      <c r="AE306" s="4">
        <v>136</v>
      </c>
      <c r="AF306" s="4">
        <v>1</v>
      </c>
      <c r="AG306" s="4">
        <v>9</v>
      </c>
      <c r="AH306" s="4">
        <v>66</v>
      </c>
      <c r="AI306" s="4">
        <v>83</v>
      </c>
      <c r="AJ306" s="4">
        <v>23</v>
      </c>
      <c r="AK306" s="4">
        <v>30</v>
      </c>
      <c r="AL306" s="4">
        <v>38</v>
      </c>
      <c r="AM306" s="4">
        <v>44</v>
      </c>
      <c r="AN306" s="4">
        <v>0</v>
      </c>
      <c r="AO306" s="4">
        <v>0</v>
      </c>
      <c r="AP306" s="4">
        <v>34</v>
      </c>
      <c r="AQ306" s="4">
        <v>60</v>
      </c>
      <c r="AR306" s="3" t="s">
        <v>61</v>
      </c>
      <c r="AS306" s="3" t="s">
        <v>62</v>
      </c>
      <c r="AT306" s="3" t="s">
        <v>62</v>
      </c>
      <c r="AV306" s="6" t="str">
        <f>HYPERLINK("http://mcgill.on.worldcat.org/oclc/43710636","Catalog Record")</f>
        <v>Catalog Record</v>
      </c>
      <c r="AW306" s="6" t="str">
        <f>HYPERLINK("http://www.worldcat.org/oclc/43710636","WorldCat Record")</f>
        <v>WorldCat Record</v>
      </c>
      <c r="AX306" s="3" t="s">
        <v>3256</v>
      </c>
      <c r="AY306" s="3" t="s">
        <v>3257</v>
      </c>
      <c r="AZ306" s="3" t="s">
        <v>3258</v>
      </c>
      <c r="BA306" s="3" t="s">
        <v>3258</v>
      </c>
      <c r="BB306" s="3" t="s">
        <v>3262</v>
      </c>
      <c r="BC306" s="3" t="s">
        <v>102</v>
      </c>
      <c r="BD306" s="3" t="s">
        <v>68</v>
      </c>
      <c r="BE306" s="3" t="s">
        <v>3260</v>
      </c>
      <c r="BF306" s="3" t="s">
        <v>3262</v>
      </c>
      <c r="BG306" s="3" t="s">
        <v>3263</v>
      </c>
    </row>
    <row r="307" spans="1:59" ht="72.5" x14ac:dyDescent="0.35">
      <c r="A307" s="2" t="s">
        <v>89</v>
      </c>
      <c r="B307" s="2" t="s">
        <v>90</v>
      </c>
      <c r="C307" s="2" t="s">
        <v>3264</v>
      </c>
      <c r="D307" s="2" t="s">
        <v>3265</v>
      </c>
      <c r="E307" s="2" t="s">
        <v>3266</v>
      </c>
      <c r="G307" s="3" t="s">
        <v>62</v>
      </c>
      <c r="I307" s="3" t="s">
        <v>61</v>
      </c>
      <c r="J307" s="3" t="s">
        <v>61</v>
      </c>
      <c r="K307" s="3" t="s">
        <v>63</v>
      </c>
      <c r="L307" s="2" t="s">
        <v>3267</v>
      </c>
      <c r="M307" s="2" t="s">
        <v>3268</v>
      </c>
      <c r="N307" s="3" t="s">
        <v>1576</v>
      </c>
      <c r="P307" s="3" t="s">
        <v>64</v>
      </c>
      <c r="Q307" s="2" t="s">
        <v>3269</v>
      </c>
      <c r="R307" s="3" t="s">
        <v>65</v>
      </c>
      <c r="S307" s="4">
        <v>13</v>
      </c>
      <c r="T307" s="4">
        <v>13</v>
      </c>
      <c r="U307" s="5" t="s">
        <v>3243</v>
      </c>
      <c r="V307" s="5" t="s">
        <v>3243</v>
      </c>
      <c r="W307" s="5" t="s">
        <v>67</v>
      </c>
      <c r="X307" s="5" t="s">
        <v>67</v>
      </c>
      <c r="Y307" s="4">
        <v>56</v>
      </c>
      <c r="Z307" s="4">
        <v>30</v>
      </c>
      <c r="AA307" s="4">
        <v>67</v>
      </c>
      <c r="AB307" s="4">
        <v>1</v>
      </c>
      <c r="AC307" s="4">
        <v>9</v>
      </c>
      <c r="AD307" s="4">
        <v>30</v>
      </c>
      <c r="AE307" s="4">
        <v>114</v>
      </c>
      <c r="AF307" s="4">
        <v>0</v>
      </c>
      <c r="AG307" s="4">
        <v>4</v>
      </c>
      <c r="AH307" s="4">
        <v>19</v>
      </c>
      <c r="AI307" s="4">
        <v>83</v>
      </c>
      <c r="AJ307" s="4">
        <v>10</v>
      </c>
      <c r="AK307" s="4">
        <v>22</v>
      </c>
      <c r="AL307" s="4">
        <v>6</v>
      </c>
      <c r="AM307" s="4">
        <v>47</v>
      </c>
      <c r="AN307" s="4">
        <v>0</v>
      </c>
      <c r="AO307" s="4">
        <v>0</v>
      </c>
      <c r="AP307" s="4">
        <v>18</v>
      </c>
      <c r="AQ307" s="4">
        <v>34</v>
      </c>
      <c r="AR307" s="3" t="s">
        <v>61</v>
      </c>
      <c r="AS307" s="3" t="s">
        <v>62</v>
      </c>
      <c r="AT307" s="3" t="s">
        <v>61</v>
      </c>
      <c r="AU307" s="6" t="str">
        <f>HYPERLINK("http://catalog.hathitrust.org/Record/006685443","HathiTrust Record")</f>
        <v>HathiTrust Record</v>
      </c>
      <c r="AV307" s="6" t="str">
        <f>HYPERLINK("http://mcgill.on.worldcat.org/oclc/187440349","Catalog Record")</f>
        <v>Catalog Record</v>
      </c>
      <c r="AW307" s="6" t="str">
        <f>HYPERLINK("http://www.worldcat.org/oclc/187440349","WorldCat Record")</f>
        <v>WorldCat Record</v>
      </c>
      <c r="AX307" s="3" t="s">
        <v>3270</v>
      </c>
      <c r="AY307" s="3" t="s">
        <v>3271</v>
      </c>
      <c r="AZ307" s="3" t="s">
        <v>3272</v>
      </c>
      <c r="BA307" s="3" t="s">
        <v>3272</v>
      </c>
      <c r="BB307" s="3" t="s">
        <v>3273</v>
      </c>
      <c r="BC307" s="3" t="s">
        <v>102</v>
      </c>
      <c r="BD307" s="3" t="s">
        <v>68</v>
      </c>
      <c r="BF307" s="3" t="s">
        <v>3273</v>
      </c>
      <c r="BG307" s="3" t="s">
        <v>3274</v>
      </c>
    </row>
    <row r="308" spans="1:59" ht="58" x14ac:dyDescent="0.35">
      <c r="A308" s="2" t="s">
        <v>89</v>
      </c>
      <c r="B308" s="2" t="s">
        <v>90</v>
      </c>
      <c r="C308" s="2" t="s">
        <v>3275</v>
      </c>
      <c r="D308" s="2" t="s">
        <v>3276</v>
      </c>
      <c r="E308" s="2" t="s">
        <v>3277</v>
      </c>
      <c r="G308" s="3" t="s">
        <v>62</v>
      </c>
      <c r="I308" s="3" t="s">
        <v>62</v>
      </c>
      <c r="J308" s="3" t="s">
        <v>62</v>
      </c>
      <c r="K308" s="3" t="s">
        <v>63</v>
      </c>
      <c r="L308" s="2" t="s">
        <v>3278</v>
      </c>
      <c r="M308" s="2" t="s">
        <v>3279</v>
      </c>
      <c r="N308" s="3" t="s">
        <v>1905</v>
      </c>
      <c r="P308" s="3" t="s">
        <v>64</v>
      </c>
      <c r="R308" s="3" t="s">
        <v>65</v>
      </c>
      <c r="S308" s="4">
        <v>88</v>
      </c>
      <c r="T308" s="4">
        <v>88</v>
      </c>
      <c r="U308" s="5" t="s">
        <v>2015</v>
      </c>
      <c r="V308" s="5" t="s">
        <v>2015</v>
      </c>
      <c r="W308" s="5" t="s">
        <v>67</v>
      </c>
      <c r="X308" s="5" t="s">
        <v>67</v>
      </c>
      <c r="Y308" s="4">
        <v>337</v>
      </c>
      <c r="Z308" s="4">
        <v>98</v>
      </c>
      <c r="AA308" s="4">
        <v>167</v>
      </c>
      <c r="AB308" s="4">
        <v>7</v>
      </c>
      <c r="AC308" s="4">
        <v>24</v>
      </c>
      <c r="AD308" s="4">
        <v>129</v>
      </c>
      <c r="AE308" s="4">
        <v>157</v>
      </c>
      <c r="AF308" s="4">
        <v>2</v>
      </c>
      <c r="AG308" s="4">
        <v>8</v>
      </c>
      <c r="AH308" s="4">
        <v>91</v>
      </c>
      <c r="AI308" s="4">
        <v>106</v>
      </c>
      <c r="AJ308" s="4">
        <v>26</v>
      </c>
      <c r="AK308" s="4">
        <v>30</v>
      </c>
      <c r="AL308" s="4">
        <v>44</v>
      </c>
      <c r="AM308" s="4">
        <v>51</v>
      </c>
      <c r="AN308" s="4">
        <v>5</v>
      </c>
      <c r="AO308" s="4">
        <v>5</v>
      </c>
      <c r="AP308" s="4">
        <v>46</v>
      </c>
      <c r="AQ308" s="4">
        <v>59</v>
      </c>
      <c r="AR308" s="3" t="s">
        <v>61</v>
      </c>
      <c r="AS308" s="3" t="s">
        <v>62</v>
      </c>
      <c r="AT308" s="3" t="s">
        <v>61</v>
      </c>
      <c r="AU308" s="6" t="str">
        <f>HYPERLINK("http://catalog.hathitrust.org/Record/000913667","HathiTrust Record")</f>
        <v>HathiTrust Record</v>
      </c>
      <c r="AV308" s="6" t="str">
        <f>HYPERLINK("http://mcgill.on.worldcat.org/oclc/18134197","Catalog Record")</f>
        <v>Catalog Record</v>
      </c>
      <c r="AW308" s="6" t="str">
        <f>HYPERLINK("http://www.worldcat.org/oclc/18134197","WorldCat Record")</f>
        <v>WorldCat Record</v>
      </c>
      <c r="AX308" s="3" t="s">
        <v>3280</v>
      </c>
      <c r="AY308" s="3" t="s">
        <v>3281</v>
      </c>
      <c r="AZ308" s="3" t="s">
        <v>3282</v>
      </c>
      <c r="BA308" s="3" t="s">
        <v>3282</v>
      </c>
      <c r="BB308" s="3" t="s">
        <v>3283</v>
      </c>
      <c r="BC308" s="3" t="s">
        <v>102</v>
      </c>
      <c r="BD308" s="3" t="s">
        <v>68</v>
      </c>
      <c r="BE308" s="3" t="s">
        <v>3284</v>
      </c>
      <c r="BF308" s="3" t="s">
        <v>3283</v>
      </c>
      <c r="BG308" s="3" t="s">
        <v>3285</v>
      </c>
    </row>
    <row r="309" spans="1:59" ht="58" x14ac:dyDescent="0.35">
      <c r="A309" s="2" t="s">
        <v>89</v>
      </c>
      <c r="B309" s="2" t="s">
        <v>90</v>
      </c>
      <c r="C309" s="2" t="s">
        <v>3286</v>
      </c>
      <c r="D309" s="2" t="s">
        <v>3287</v>
      </c>
      <c r="E309" s="2" t="s">
        <v>3288</v>
      </c>
      <c r="G309" s="3" t="s">
        <v>62</v>
      </c>
      <c r="I309" s="3" t="s">
        <v>62</v>
      </c>
      <c r="J309" s="3" t="s">
        <v>62</v>
      </c>
      <c r="K309" s="3" t="s">
        <v>63</v>
      </c>
      <c r="M309" s="2" t="s">
        <v>3289</v>
      </c>
      <c r="N309" s="3" t="s">
        <v>327</v>
      </c>
      <c r="O309" s="2" t="s">
        <v>2163</v>
      </c>
      <c r="P309" s="3" t="s">
        <v>64</v>
      </c>
      <c r="Q309" s="2" t="s">
        <v>3290</v>
      </c>
      <c r="R309" s="3" t="s">
        <v>65</v>
      </c>
      <c r="S309" s="4">
        <v>29</v>
      </c>
      <c r="T309" s="4">
        <v>29</v>
      </c>
      <c r="U309" s="5" t="s">
        <v>3291</v>
      </c>
      <c r="V309" s="5" t="s">
        <v>3291</v>
      </c>
      <c r="W309" s="5" t="s">
        <v>67</v>
      </c>
      <c r="X309" s="5" t="s">
        <v>67</v>
      </c>
      <c r="Y309" s="4">
        <v>253</v>
      </c>
      <c r="Z309" s="4">
        <v>19</v>
      </c>
      <c r="AA309" s="4">
        <v>19</v>
      </c>
      <c r="AB309" s="4">
        <v>3</v>
      </c>
      <c r="AC309" s="4">
        <v>3</v>
      </c>
      <c r="AD309" s="4">
        <v>77</v>
      </c>
      <c r="AE309" s="4">
        <v>79</v>
      </c>
      <c r="AF309" s="4">
        <v>1</v>
      </c>
      <c r="AG309" s="4">
        <v>1</v>
      </c>
      <c r="AH309" s="4">
        <v>68</v>
      </c>
      <c r="AI309" s="4">
        <v>70</v>
      </c>
      <c r="AJ309" s="4">
        <v>12</v>
      </c>
      <c r="AK309" s="4">
        <v>12</v>
      </c>
      <c r="AL309" s="4">
        <v>45</v>
      </c>
      <c r="AM309" s="4">
        <v>47</v>
      </c>
      <c r="AN309" s="4">
        <v>0</v>
      </c>
      <c r="AO309" s="4">
        <v>0</v>
      </c>
      <c r="AP309" s="4">
        <v>13</v>
      </c>
      <c r="AQ309" s="4">
        <v>13</v>
      </c>
      <c r="AR309" s="3" t="s">
        <v>62</v>
      </c>
      <c r="AS309" s="3" t="s">
        <v>62</v>
      </c>
      <c r="AT309" s="3" t="s">
        <v>62</v>
      </c>
      <c r="AV309" s="6" t="str">
        <f>HYPERLINK("http://mcgill.on.worldcat.org/oclc/10030929","Catalog Record")</f>
        <v>Catalog Record</v>
      </c>
      <c r="AW309" s="6" t="str">
        <f>HYPERLINK("http://www.worldcat.org/oclc/10030929","WorldCat Record")</f>
        <v>WorldCat Record</v>
      </c>
      <c r="AX309" s="3" t="s">
        <v>3292</v>
      </c>
      <c r="AY309" s="3" t="s">
        <v>3293</v>
      </c>
      <c r="AZ309" s="3" t="s">
        <v>3294</v>
      </c>
      <c r="BA309" s="3" t="s">
        <v>3294</v>
      </c>
      <c r="BB309" s="3" t="s">
        <v>3295</v>
      </c>
      <c r="BC309" s="3" t="s">
        <v>102</v>
      </c>
      <c r="BD309" s="3" t="s">
        <v>68</v>
      </c>
      <c r="BE309" s="3" t="s">
        <v>3296</v>
      </c>
      <c r="BF309" s="3" t="s">
        <v>3295</v>
      </c>
      <c r="BG309" s="3" t="s">
        <v>3297</v>
      </c>
    </row>
    <row r="310" spans="1:59" ht="58" x14ac:dyDescent="0.35">
      <c r="A310" s="2" t="s">
        <v>89</v>
      </c>
      <c r="B310" s="2" t="s">
        <v>90</v>
      </c>
      <c r="C310" s="2" t="s">
        <v>3298</v>
      </c>
      <c r="D310" s="2" t="s">
        <v>3299</v>
      </c>
      <c r="E310" s="2" t="s">
        <v>3300</v>
      </c>
      <c r="G310" s="3" t="s">
        <v>62</v>
      </c>
      <c r="I310" s="3" t="s">
        <v>62</v>
      </c>
      <c r="J310" s="3" t="s">
        <v>62</v>
      </c>
      <c r="K310" s="3" t="s">
        <v>63</v>
      </c>
      <c r="L310" s="2" t="s">
        <v>3301</v>
      </c>
      <c r="M310" s="2" t="s">
        <v>3302</v>
      </c>
      <c r="N310" s="3" t="s">
        <v>3062</v>
      </c>
      <c r="P310" s="3" t="s">
        <v>64</v>
      </c>
      <c r="R310" s="3" t="s">
        <v>65</v>
      </c>
      <c r="S310" s="4">
        <v>58</v>
      </c>
      <c r="T310" s="4">
        <v>58</v>
      </c>
      <c r="U310" s="5" t="s">
        <v>3303</v>
      </c>
      <c r="V310" s="5" t="s">
        <v>3303</v>
      </c>
      <c r="W310" s="5" t="s">
        <v>67</v>
      </c>
      <c r="X310" s="5" t="s">
        <v>67</v>
      </c>
      <c r="Y310" s="4">
        <v>550</v>
      </c>
      <c r="Z310" s="4">
        <v>30</v>
      </c>
      <c r="AA310" s="4">
        <v>103</v>
      </c>
      <c r="AB310" s="4">
        <v>1</v>
      </c>
      <c r="AC310" s="4">
        <v>17</v>
      </c>
      <c r="AD310" s="4">
        <v>117</v>
      </c>
      <c r="AE310" s="4">
        <v>148</v>
      </c>
      <c r="AF310" s="4">
        <v>0</v>
      </c>
      <c r="AG310" s="4">
        <v>8</v>
      </c>
      <c r="AH310" s="4">
        <v>101</v>
      </c>
      <c r="AI310" s="4">
        <v>110</v>
      </c>
      <c r="AJ310" s="4">
        <v>16</v>
      </c>
      <c r="AK310" s="4">
        <v>26</v>
      </c>
      <c r="AL310" s="4">
        <v>56</v>
      </c>
      <c r="AM310" s="4">
        <v>58</v>
      </c>
      <c r="AN310" s="4">
        <v>0</v>
      </c>
      <c r="AO310" s="4">
        <v>0</v>
      </c>
      <c r="AP310" s="4">
        <v>24</v>
      </c>
      <c r="AQ310" s="4">
        <v>48</v>
      </c>
      <c r="AR310" s="3" t="s">
        <v>62</v>
      </c>
      <c r="AS310" s="3" t="s">
        <v>62</v>
      </c>
      <c r="AT310" s="3" t="s">
        <v>61</v>
      </c>
      <c r="AU310" s="6" t="str">
        <f>HYPERLINK("http://catalog.hathitrust.org/Record/002485654","HathiTrust Record")</f>
        <v>HathiTrust Record</v>
      </c>
      <c r="AV310" s="6" t="str">
        <f>HYPERLINK("http://mcgill.on.worldcat.org/oclc/23015713","Catalog Record")</f>
        <v>Catalog Record</v>
      </c>
      <c r="AW310" s="6" t="str">
        <f>HYPERLINK("http://www.worldcat.org/oclc/23015713","WorldCat Record")</f>
        <v>WorldCat Record</v>
      </c>
      <c r="AX310" s="3" t="s">
        <v>3304</v>
      </c>
      <c r="AY310" s="3" t="s">
        <v>3305</v>
      </c>
      <c r="AZ310" s="3" t="s">
        <v>3306</v>
      </c>
      <c r="BA310" s="3" t="s">
        <v>3306</v>
      </c>
      <c r="BB310" s="3" t="s">
        <v>3307</v>
      </c>
      <c r="BC310" s="3" t="s">
        <v>102</v>
      </c>
      <c r="BD310" s="3" t="s">
        <v>68</v>
      </c>
      <c r="BE310" s="3" t="s">
        <v>3308</v>
      </c>
      <c r="BF310" s="3" t="s">
        <v>3307</v>
      </c>
      <c r="BG310" s="3" t="s">
        <v>3309</v>
      </c>
    </row>
    <row r="311" spans="1:59" ht="116" x14ac:dyDescent="0.35">
      <c r="A311" s="2" t="s">
        <v>89</v>
      </c>
      <c r="B311" s="2" t="s">
        <v>3312</v>
      </c>
      <c r="C311" s="2" t="s">
        <v>3313</v>
      </c>
      <c r="D311" s="2" t="s">
        <v>3314</v>
      </c>
      <c r="E311" s="2" t="s">
        <v>3315</v>
      </c>
      <c r="F311" s="3" t="s">
        <v>3316</v>
      </c>
      <c r="G311" s="3" t="s">
        <v>62</v>
      </c>
      <c r="I311" s="3" t="s">
        <v>62</v>
      </c>
      <c r="J311" s="3" t="s">
        <v>62</v>
      </c>
      <c r="K311" s="3" t="s">
        <v>63</v>
      </c>
      <c r="L311" s="2" t="s">
        <v>3317</v>
      </c>
      <c r="M311" s="2" t="s">
        <v>3318</v>
      </c>
      <c r="N311" s="3" t="s">
        <v>539</v>
      </c>
      <c r="O311" s="2" t="s">
        <v>1674</v>
      </c>
      <c r="P311" s="3" t="s">
        <v>1675</v>
      </c>
      <c r="R311" s="3" t="s">
        <v>65</v>
      </c>
      <c r="S311" s="4">
        <v>3</v>
      </c>
      <c r="T311" s="4">
        <v>3</v>
      </c>
      <c r="U311" s="5" t="s">
        <v>3319</v>
      </c>
      <c r="V311" s="5" t="s">
        <v>3319</v>
      </c>
      <c r="W311" s="5" t="s">
        <v>67</v>
      </c>
      <c r="X311" s="5" t="s">
        <v>67</v>
      </c>
      <c r="Y311" s="4">
        <v>34</v>
      </c>
      <c r="Z311" s="4">
        <v>2</v>
      </c>
      <c r="AA311" s="4">
        <v>2</v>
      </c>
      <c r="AB311" s="4">
        <v>1</v>
      </c>
      <c r="AC311" s="4">
        <v>1</v>
      </c>
      <c r="AD311" s="4">
        <v>16</v>
      </c>
      <c r="AE311" s="4">
        <v>16</v>
      </c>
      <c r="AF311" s="4">
        <v>0</v>
      </c>
      <c r="AG311" s="4">
        <v>0</v>
      </c>
      <c r="AH311" s="4">
        <v>16</v>
      </c>
      <c r="AI311" s="4">
        <v>16</v>
      </c>
      <c r="AJ311" s="4">
        <v>1</v>
      </c>
      <c r="AK311" s="4">
        <v>1</v>
      </c>
      <c r="AL311" s="4">
        <v>11</v>
      </c>
      <c r="AM311" s="4">
        <v>11</v>
      </c>
      <c r="AN311" s="4">
        <v>0</v>
      </c>
      <c r="AO311" s="4">
        <v>0</v>
      </c>
      <c r="AP311" s="4">
        <v>1</v>
      </c>
      <c r="AQ311" s="4">
        <v>1</v>
      </c>
      <c r="AR311" s="3" t="s">
        <v>62</v>
      </c>
      <c r="AS311" s="3" t="s">
        <v>62</v>
      </c>
      <c r="AT311" s="3" t="s">
        <v>62</v>
      </c>
      <c r="AV311" s="6" t="str">
        <f>HYPERLINK("http://mcgill.on.worldcat.org/oclc/41582822","Catalog Record")</f>
        <v>Catalog Record</v>
      </c>
      <c r="AW311" s="6" t="str">
        <f>HYPERLINK("http://www.worldcat.org/oclc/41582822","WorldCat Record")</f>
        <v>WorldCat Record</v>
      </c>
      <c r="AX311" s="3" t="s">
        <v>3320</v>
      </c>
      <c r="AY311" s="3" t="s">
        <v>3321</v>
      </c>
      <c r="AZ311" s="3" t="s">
        <v>3322</v>
      </c>
      <c r="BA311" s="3" t="s">
        <v>3322</v>
      </c>
      <c r="BB311" s="3" t="s">
        <v>3323</v>
      </c>
      <c r="BC311" s="3" t="s">
        <v>102</v>
      </c>
      <c r="BD311" s="3" t="s">
        <v>68</v>
      </c>
      <c r="BE311" s="3" t="s">
        <v>3324</v>
      </c>
      <c r="BF311" s="3" t="s">
        <v>3323</v>
      </c>
      <c r="BG311" s="3" t="s">
        <v>3325</v>
      </c>
    </row>
    <row r="312" spans="1:59" ht="116" x14ac:dyDescent="0.35">
      <c r="A312" s="2" t="s">
        <v>89</v>
      </c>
      <c r="B312" s="2" t="s">
        <v>3312</v>
      </c>
      <c r="C312" s="2" t="s">
        <v>3326</v>
      </c>
      <c r="D312" s="2" t="s">
        <v>3327</v>
      </c>
      <c r="E312" s="2" t="s">
        <v>3328</v>
      </c>
      <c r="F312" s="3" t="s">
        <v>3329</v>
      </c>
      <c r="G312" s="3" t="s">
        <v>62</v>
      </c>
      <c r="I312" s="3" t="s">
        <v>62</v>
      </c>
      <c r="J312" s="3" t="s">
        <v>62</v>
      </c>
      <c r="K312" s="3" t="s">
        <v>63</v>
      </c>
      <c r="L312" s="2" t="s">
        <v>3330</v>
      </c>
      <c r="M312" s="2" t="s">
        <v>3318</v>
      </c>
      <c r="N312" s="3" t="s">
        <v>539</v>
      </c>
      <c r="O312" s="2" t="s">
        <v>1674</v>
      </c>
      <c r="P312" s="3" t="s">
        <v>1675</v>
      </c>
      <c r="R312" s="3" t="s">
        <v>65</v>
      </c>
      <c r="S312" s="4">
        <v>7</v>
      </c>
      <c r="T312" s="4">
        <v>7</v>
      </c>
      <c r="U312" s="5" t="s">
        <v>3331</v>
      </c>
      <c r="V312" s="5" t="s">
        <v>3331</v>
      </c>
      <c r="W312" s="5" t="s">
        <v>67</v>
      </c>
      <c r="X312" s="5" t="s">
        <v>67</v>
      </c>
      <c r="Y312" s="4">
        <v>27</v>
      </c>
      <c r="Z312" s="4">
        <v>2</v>
      </c>
      <c r="AA312" s="4">
        <v>2</v>
      </c>
      <c r="AB312" s="4">
        <v>1</v>
      </c>
      <c r="AC312" s="4">
        <v>1</v>
      </c>
      <c r="AD312" s="4">
        <v>15</v>
      </c>
      <c r="AE312" s="4">
        <v>15</v>
      </c>
      <c r="AF312" s="4">
        <v>0</v>
      </c>
      <c r="AG312" s="4">
        <v>0</v>
      </c>
      <c r="AH312" s="4">
        <v>15</v>
      </c>
      <c r="AI312" s="4">
        <v>15</v>
      </c>
      <c r="AJ312" s="4">
        <v>1</v>
      </c>
      <c r="AK312" s="4">
        <v>1</v>
      </c>
      <c r="AL312" s="4">
        <v>10</v>
      </c>
      <c r="AM312" s="4">
        <v>10</v>
      </c>
      <c r="AN312" s="4">
        <v>0</v>
      </c>
      <c r="AO312" s="4">
        <v>0</v>
      </c>
      <c r="AP312" s="4">
        <v>1</v>
      </c>
      <c r="AQ312" s="4">
        <v>1</v>
      </c>
      <c r="AR312" s="3" t="s">
        <v>62</v>
      </c>
      <c r="AS312" s="3" t="s">
        <v>62</v>
      </c>
      <c r="AT312" s="3" t="s">
        <v>62</v>
      </c>
      <c r="AV312" s="6" t="str">
        <f>HYPERLINK("http://mcgill.on.worldcat.org/oclc/46855696","Catalog Record")</f>
        <v>Catalog Record</v>
      </c>
      <c r="AW312" s="6" t="str">
        <f>HYPERLINK("http://www.worldcat.org/oclc/46855696","WorldCat Record")</f>
        <v>WorldCat Record</v>
      </c>
      <c r="AX312" s="3" t="s">
        <v>3332</v>
      </c>
      <c r="AY312" s="3" t="s">
        <v>3333</v>
      </c>
      <c r="AZ312" s="3" t="s">
        <v>3334</v>
      </c>
      <c r="BA312" s="3" t="s">
        <v>3334</v>
      </c>
      <c r="BB312" s="3" t="s">
        <v>3335</v>
      </c>
      <c r="BC312" s="3" t="s">
        <v>102</v>
      </c>
      <c r="BD312" s="3" t="s">
        <v>68</v>
      </c>
      <c r="BE312" s="3" t="s">
        <v>3336</v>
      </c>
      <c r="BF312" s="3" t="s">
        <v>3335</v>
      </c>
      <c r="BG312" s="3" t="s">
        <v>3337</v>
      </c>
    </row>
    <row r="313" spans="1:59" ht="116" x14ac:dyDescent="0.35">
      <c r="A313" s="2" t="s">
        <v>89</v>
      </c>
      <c r="B313" s="2" t="s">
        <v>3312</v>
      </c>
      <c r="C313" s="2" t="s">
        <v>3338</v>
      </c>
      <c r="D313" s="2" t="s">
        <v>3339</v>
      </c>
      <c r="E313" s="2" t="s">
        <v>3340</v>
      </c>
      <c r="F313" s="3" t="s">
        <v>3341</v>
      </c>
      <c r="G313" s="3" t="s">
        <v>62</v>
      </c>
      <c r="I313" s="3" t="s">
        <v>62</v>
      </c>
      <c r="J313" s="3" t="s">
        <v>62</v>
      </c>
      <c r="K313" s="3" t="s">
        <v>63</v>
      </c>
      <c r="L313" s="2" t="s">
        <v>3342</v>
      </c>
      <c r="M313" s="2" t="s">
        <v>3318</v>
      </c>
      <c r="N313" s="3" t="s">
        <v>539</v>
      </c>
      <c r="O313" s="2" t="s">
        <v>1674</v>
      </c>
      <c r="P313" s="3" t="s">
        <v>1675</v>
      </c>
      <c r="R313" s="3" t="s">
        <v>65</v>
      </c>
      <c r="S313" s="4">
        <v>1</v>
      </c>
      <c r="T313" s="4">
        <v>1</v>
      </c>
      <c r="U313" s="5" t="s">
        <v>2520</v>
      </c>
      <c r="V313" s="5" t="s">
        <v>2520</v>
      </c>
      <c r="W313" s="5" t="s">
        <v>67</v>
      </c>
      <c r="X313" s="5" t="s">
        <v>67</v>
      </c>
      <c r="Y313" s="4">
        <v>29</v>
      </c>
      <c r="Z313" s="4">
        <v>2</v>
      </c>
      <c r="AA313" s="4">
        <v>2</v>
      </c>
      <c r="AB313" s="4">
        <v>1</v>
      </c>
      <c r="AC313" s="4">
        <v>1</v>
      </c>
      <c r="AD313" s="4">
        <v>15</v>
      </c>
      <c r="AE313" s="4">
        <v>15</v>
      </c>
      <c r="AF313" s="4">
        <v>0</v>
      </c>
      <c r="AG313" s="4">
        <v>0</v>
      </c>
      <c r="AH313" s="4">
        <v>15</v>
      </c>
      <c r="AI313" s="4">
        <v>15</v>
      </c>
      <c r="AJ313" s="4">
        <v>1</v>
      </c>
      <c r="AK313" s="4">
        <v>1</v>
      </c>
      <c r="AL313" s="4">
        <v>10</v>
      </c>
      <c r="AM313" s="4">
        <v>10</v>
      </c>
      <c r="AN313" s="4">
        <v>0</v>
      </c>
      <c r="AO313" s="4">
        <v>0</v>
      </c>
      <c r="AP313" s="4">
        <v>1</v>
      </c>
      <c r="AQ313" s="4">
        <v>1</v>
      </c>
      <c r="AR313" s="3" t="s">
        <v>62</v>
      </c>
      <c r="AS313" s="3" t="s">
        <v>62</v>
      </c>
      <c r="AT313" s="3" t="s">
        <v>62</v>
      </c>
      <c r="AV313" s="6" t="str">
        <f>HYPERLINK("http://mcgill.on.worldcat.org/oclc/46855737","Catalog Record")</f>
        <v>Catalog Record</v>
      </c>
      <c r="AW313" s="6" t="str">
        <f>HYPERLINK("http://www.worldcat.org/oclc/46855737","WorldCat Record")</f>
        <v>WorldCat Record</v>
      </c>
      <c r="AX313" s="3" t="s">
        <v>3343</v>
      </c>
      <c r="AY313" s="3" t="s">
        <v>3344</v>
      </c>
      <c r="AZ313" s="3" t="s">
        <v>3345</v>
      </c>
      <c r="BA313" s="3" t="s">
        <v>3345</v>
      </c>
      <c r="BB313" s="3" t="s">
        <v>3346</v>
      </c>
      <c r="BC313" s="3" t="s">
        <v>102</v>
      </c>
      <c r="BD313" s="3" t="s">
        <v>68</v>
      </c>
      <c r="BE313" s="3" t="s">
        <v>3347</v>
      </c>
      <c r="BF313" s="3" t="s">
        <v>3346</v>
      </c>
      <c r="BG313" s="3" t="s">
        <v>3348</v>
      </c>
    </row>
    <row r="314" spans="1:59" ht="58" x14ac:dyDescent="0.35">
      <c r="A314" s="2" t="s">
        <v>89</v>
      </c>
      <c r="B314" s="2" t="s">
        <v>90</v>
      </c>
      <c r="C314" s="2" t="s">
        <v>3349</v>
      </c>
      <c r="D314" s="2" t="s">
        <v>3350</v>
      </c>
      <c r="E314" s="2" t="s">
        <v>3351</v>
      </c>
      <c r="G314" s="3" t="s">
        <v>62</v>
      </c>
      <c r="I314" s="3" t="s">
        <v>61</v>
      </c>
      <c r="J314" s="3" t="s">
        <v>62</v>
      </c>
      <c r="K314" s="3" t="s">
        <v>63</v>
      </c>
      <c r="L314" s="2" t="s">
        <v>3352</v>
      </c>
      <c r="M314" s="2" t="s">
        <v>3353</v>
      </c>
      <c r="N314" s="3" t="s">
        <v>2136</v>
      </c>
      <c r="P314" s="3" t="s">
        <v>64</v>
      </c>
      <c r="R314" s="3" t="s">
        <v>65</v>
      </c>
      <c r="S314" s="4">
        <v>9</v>
      </c>
      <c r="T314" s="4">
        <v>18</v>
      </c>
      <c r="U314" s="5" t="s">
        <v>3354</v>
      </c>
      <c r="V314" s="5" t="s">
        <v>3355</v>
      </c>
      <c r="W314" s="5" t="s">
        <v>67</v>
      </c>
      <c r="X314" s="5" t="s">
        <v>67</v>
      </c>
      <c r="Y314" s="4">
        <v>500</v>
      </c>
      <c r="Z314" s="4">
        <v>29</v>
      </c>
      <c r="AA314" s="4">
        <v>112</v>
      </c>
      <c r="AB314" s="4">
        <v>2</v>
      </c>
      <c r="AC314" s="4">
        <v>19</v>
      </c>
      <c r="AD314" s="4">
        <v>124</v>
      </c>
      <c r="AE314" s="4">
        <v>156</v>
      </c>
      <c r="AF314" s="4">
        <v>1</v>
      </c>
      <c r="AG314" s="4">
        <v>9</v>
      </c>
      <c r="AH314" s="4">
        <v>107</v>
      </c>
      <c r="AI314" s="4">
        <v>113</v>
      </c>
      <c r="AJ314" s="4">
        <v>17</v>
      </c>
      <c r="AK314" s="4">
        <v>25</v>
      </c>
      <c r="AL314" s="4">
        <v>60</v>
      </c>
      <c r="AM314" s="4">
        <v>60</v>
      </c>
      <c r="AN314" s="4">
        <v>0</v>
      </c>
      <c r="AO314" s="4">
        <v>0</v>
      </c>
      <c r="AP314" s="4">
        <v>24</v>
      </c>
      <c r="AQ314" s="4">
        <v>50</v>
      </c>
      <c r="AR314" s="3" t="s">
        <v>62</v>
      </c>
      <c r="AS314" s="3" t="s">
        <v>62</v>
      </c>
      <c r="AT314" s="3" t="s">
        <v>62</v>
      </c>
      <c r="AV314" s="6" t="str">
        <f>HYPERLINK("http://mcgill.on.worldcat.org/oclc/56614356","Catalog Record")</f>
        <v>Catalog Record</v>
      </c>
      <c r="AW314" s="6" t="str">
        <f>HYPERLINK("http://www.worldcat.org/oclc/56614356","WorldCat Record")</f>
        <v>WorldCat Record</v>
      </c>
      <c r="AX314" s="3" t="s">
        <v>3356</v>
      </c>
      <c r="AY314" s="3" t="s">
        <v>3357</v>
      </c>
      <c r="AZ314" s="3" t="s">
        <v>3358</v>
      </c>
      <c r="BA314" s="3" t="s">
        <v>3358</v>
      </c>
      <c r="BB314" s="3" t="s">
        <v>3359</v>
      </c>
      <c r="BC314" s="3" t="s">
        <v>102</v>
      </c>
      <c r="BD314" s="3" t="s">
        <v>68</v>
      </c>
      <c r="BE314" s="3" t="s">
        <v>3360</v>
      </c>
      <c r="BF314" s="3" t="s">
        <v>3359</v>
      </c>
      <c r="BG314" s="3" t="s">
        <v>3361</v>
      </c>
    </row>
    <row r="315" spans="1:59" ht="58" x14ac:dyDescent="0.35">
      <c r="A315" s="2" t="s">
        <v>89</v>
      </c>
      <c r="B315" s="2" t="s">
        <v>90</v>
      </c>
      <c r="C315" s="2" t="s">
        <v>3362</v>
      </c>
      <c r="D315" s="2" t="s">
        <v>3363</v>
      </c>
      <c r="E315" s="2" t="s">
        <v>3364</v>
      </c>
      <c r="G315" s="3" t="s">
        <v>62</v>
      </c>
      <c r="I315" s="3" t="s">
        <v>62</v>
      </c>
      <c r="J315" s="3" t="s">
        <v>62</v>
      </c>
      <c r="K315" s="3" t="s">
        <v>63</v>
      </c>
      <c r="L315" s="2" t="s">
        <v>3365</v>
      </c>
      <c r="M315" s="2" t="s">
        <v>3366</v>
      </c>
      <c r="N315" s="3" t="s">
        <v>396</v>
      </c>
      <c r="P315" s="3" t="s">
        <v>64</v>
      </c>
      <c r="R315" s="3" t="s">
        <v>65</v>
      </c>
      <c r="S315" s="4">
        <v>47</v>
      </c>
      <c r="T315" s="4">
        <v>47</v>
      </c>
      <c r="U315" s="5" t="s">
        <v>3291</v>
      </c>
      <c r="V315" s="5" t="s">
        <v>3291</v>
      </c>
      <c r="W315" s="5" t="s">
        <v>67</v>
      </c>
      <c r="X315" s="5" t="s">
        <v>67</v>
      </c>
      <c r="Y315" s="4">
        <v>218</v>
      </c>
      <c r="Z315" s="4">
        <v>10</v>
      </c>
      <c r="AA315" s="4">
        <v>16</v>
      </c>
      <c r="AB315" s="4">
        <v>1</v>
      </c>
      <c r="AC315" s="4">
        <v>3</v>
      </c>
      <c r="AD315" s="4">
        <v>80</v>
      </c>
      <c r="AE315" s="4">
        <v>95</v>
      </c>
      <c r="AF315" s="4">
        <v>0</v>
      </c>
      <c r="AG315" s="4">
        <v>2</v>
      </c>
      <c r="AH315" s="4">
        <v>76</v>
      </c>
      <c r="AI315" s="4">
        <v>89</v>
      </c>
      <c r="AJ315" s="4">
        <v>8</v>
      </c>
      <c r="AK315" s="4">
        <v>12</v>
      </c>
      <c r="AL315" s="4">
        <v>45</v>
      </c>
      <c r="AM315" s="4">
        <v>52</v>
      </c>
      <c r="AN315" s="4">
        <v>0</v>
      </c>
      <c r="AO315" s="4">
        <v>0</v>
      </c>
      <c r="AP315" s="4">
        <v>7</v>
      </c>
      <c r="AQ315" s="4">
        <v>11</v>
      </c>
      <c r="AR315" s="3" t="s">
        <v>62</v>
      </c>
      <c r="AS315" s="3" t="s">
        <v>62</v>
      </c>
      <c r="AT315" s="3" t="s">
        <v>61</v>
      </c>
      <c r="AU315" s="6" t="str">
        <f>HYPERLINK("http://catalog.hathitrust.org/Record/000557040","HathiTrust Record")</f>
        <v>HathiTrust Record</v>
      </c>
      <c r="AV315" s="6" t="str">
        <f>HYPERLINK("http://mcgill.on.worldcat.org/oclc/13335180","Catalog Record")</f>
        <v>Catalog Record</v>
      </c>
      <c r="AW315" s="6" t="str">
        <f>HYPERLINK("http://www.worldcat.org/oclc/13335180","WorldCat Record")</f>
        <v>WorldCat Record</v>
      </c>
      <c r="AX315" s="3" t="s">
        <v>3367</v>
      </c>
      <c r="AY315" s="3" t="s">
        <v>3368</v>
      </c>
      <c r="AZ315" s="3" t="s">
        <v>3369</v>
      </c>
      <c r="BA315" s="3" t="s">
        <v>3369</v>
      </c>
      <c r="BB315" s="3" t="s">
        <v>3370</v>
      </c>
      <c r="BC315" s="3" t="s">
        <v>102</v>
      </c>
      <c r="BD315" s="3" t="s">
        <v>68</v>
      </c>
      <c r="BE315" s="3" t="s">
        <v>3371</v>
      </c>
      <c r="BF315" s="3" t="s">
        <v>3370</v>
      </c>
      <c r="BG315" s="3" t="s">
        <v>3372</v>
      </c>
    </row>
    <row r="316" spans="1:59" ht="58" x14ac:dyDescent="0.35">
      <c r="A316" s="2" t="s">
        <v>89</v>
      </c>
      <c r="B316" s="2" t="s">
        <v>90</v>
      </c>
      <c r="C316" s="2" t="s">
        <v>3373</v>
      </c>
      <c r="D316" s="2" t="s">
        <v>3374</v>
      </c>
      <c r="E316" s="2" t="s">
        <v>3375</v>
      </c>
      <c r="G316" s="3" t="s">
        <v>62</v>
      </c>
      <c r="I316" s="3" t="s">
        <v>61</v>
      </c>
      <c r="J316" s="3" t="s">
        <v>62</v>
      </c>
      <c r="K316" s="3" t="s">
        <v>63</v>
      </c>
      <c r="L316" s="2" t="s">
        <v>3132</v>
      </c>
      <c r="M316" s="2" t="s">
        <v>3376</v>
      </c>
      <c r="N316" s="3" t="s">
        <v>95</v>
      </c>
      <c r="P316" s="3" t="s">
        <v>64</v>
      </c>
      <c r="R316" s="3" t="s">
        <v>65</v>
      </c>
      <c r="S316" s="4">
        <v>41</v>
      </c>
      <c r="T316" s="4">
        <v>56</v>
      </c>
      <c r="U316" s="5" t="s">
        <v>3291</v>
      </c>
      <c r="V316" s="5" t="s">
        <v>3291</v>
      </c>
      <c r="W316" s="5" t="s">
        <v>67</v>
      </c>
      <c r="X316" s="5" t="s">
        <v>67</v>
      </c>
      <c r="Y316" s="4">
        <v>743</v>
      </c>
      <c r="Z316" s="4">
        <v>40</v>
      </c>
      <c r="AA316" s="4">
        <v>47</v>
      </c>
      <c r="AB316" s="4">
        <v>1</v>
      </c>
      <c r="AC316" s="4">
        <v>4</v>
      </c>
      <c r="AD316" s="4">
        <v>124</v>
      </c>
      <c r="AE316" s="4">
        <v>134</v>
      </c>
      <c r="AF316" s="4">
        <v>0</v>
      </c>
      <c r="AG316" s="4">
        <v>3</v>
      </c>
      <c r="AH316" s="4">
        <v>101</v>
      </c>
      <c r="AI316" s="4">
        <v>107</v>
      </c>
      <c r="AJ316" s="4">
        <v>18</v>
      </c>
      <c r="AK316" s="4">
        <v>21</v>
      </c>
      <c r="AL316" s="4">
        <v>54</v>
      </c>
      <c r="AM316" s="4">
        <v>59</v>
      </c>
      <c r="AN316" s="4">
        <v>0</v>
      </c>
      <c r="AO316" s="4">
        <v>0</v>
      </c>
      <c r="AP316" s="4">
        <v>28</v>
      </c>
      <c r="AQ316" s="4">
        <v>32</v>
      </c>
      <c r="AR316" s="3" t="s">
        <v>62</v>
      </c>
      <c r="AS316" s="3" t="s">
        <v>62</v>
      </c>
      <c r="AT316" s="3" t="s">
        <v>61</v>
      </c>
      <c r="AU316" s="6" t="str">
        <f>HYPERLINK("http://catalog.hathitrust.org/Record/000183370","HathiTrust Record")</f>
        <v>HathiTrust Record</v>
      </c>
      <c r="AV316" s="6" t="str">
        <f>HYPERLINK("http://mcgill.on.worldcat.org/oclc/7737781","Catalog Record")</f>
        <v>Catalog Record</v>
      </c>
      <c r="AW316" s="6" t="str">
        <f>HYPERLINK("http://www.worldcat.org/oclc/7737781","WorldCat Record")</f>
        <v>WorldCat Record</v>
      </c>
      <c r="AX316" s="3" t="s">
        <v>3377</v>
      </c>
      <c r="AY316" s="3" t="s">
        <v>3378</v>
      </c>
      <c r="AZ316" s="3" t="s">
        <v>3379</v>
      </c>
      <c r="BA316" s="3" t="s">
        <v>3379</v>
      </c>
      <c r="BB316" s="3" t="s">
        <v>3380</v>
      </c>
      <c r="BC316" s="3" t="s">
        <v>102</v>
      </c>
      <c r="BD316" s="3" t="s">
        <v>68</v>
      </c>
      <c r="BE316" s="3" t="s">
        <v>3381</v>
      </c>
      <c r="BF316" s="3" t="s">
        <v>3380</v>
      </c>
      <c r="BG316" s="3" t="s">
        <v>3382</v>
      </c>
    </row>
    <row r="317" spans="1:59" ht="58" x14ac:dyDescent="0.35">
      <c r="A317" s="2" t="s">
        <v>89</v>
      </c>
      <c r="B317" s="2" t="s">
        <v>90</v>
      </c>
      <c r="C317" s="2" t="s">
        <v>3383</v>
      </c>
      <c r="D317" s="2" t="s">
        <v>3384</v>
      </c>
      <c r="E317" s="2" t="s">
        <v>3385</v>
      </c>
      <c r="G317" s="3" t="s">
        <v>62</v>
      </c>
      <c r="I317" s="3" t="s">
        <v>62</v>
      </c>
      <c r="J317" s="3" t="s">
        <v>62</v>
      </c>
      <c r="K317" s="3" t="s">
        <v>63</v>
      </c>
      <c r="M317" s="2" t="s">
        <v>3386</v>
      </c>
      <c r="N317" s="3" t="s">
        <v>115</v>
      </c>
      <c r="P317" s="3" t="s">
        <v>64</v>
      </c>
      <c r="Q317" s="2" t="s">
        <v>3387</v>
      </c>
      <c r="R317" s="3" t="s">
        <v>65</v>
      </c>
      <c r="S317" s="4">
        <v>14</v>
      </c>
      <c r="T317" s="4">
        <v>14</v>
      </c>
      <c r="U317" s="5" t="s">
        <v>3388</v>
      </c>
      <c r="V317" s="5" t="s">
        <v>3388</v>
      </c>
      <c r="W317" s="5" t="s">
        <v>67</v>
      </c>
      <c r="X317" s="5" t="s">
        <v>67</v>
      </c>
      <c r="Y317" s="4">
        <v>429</v>
      </c>
      <c r="Z317" s="4">
        <v>24</v>
      </c>
      <c r="AA317" s="4">
        <v>27</v>
      </c>
      <c r="AB317" s="4">
        <v>2</v>
      </c>
      <c r="AC317" s="4">
        <v>4</v>
      </c>
      <c r="AD317" s="4">
        <v>106</v>
      </c>
      <c r="AE317" s="4">
        <v>108</v>
      </c>
      <c r="AF317" s="4">
        <v>1</v>
      </c>
      <c r="AG317" s="4">
        <v>2</v>
      </c>
      <c r="AH317" s="4">
        <v>92</v>
      </c>
      <c r="AI317" s="4">
        <v>93</v>
      </c>
      <c r="AJ317" s="4">
        <v>14</v>
      </c>
      <c r="AK317" s="4">
        <v>15</v>
      </c>
      <c r="AL317" s="4">
        <v>56</v>
      </c>
      <c r="AM317" s="4">
        <v>56</v>
      </c>
      <c r="AN317" s="4">
        <v>0</v>
      </c>
      <c r="AO317" s="4">
        <v>0</v>
      </c>
      <c r="AP317" s="4">
        <v>18</v>
      </c>
      <c r="AQ317" s="4">
        <v>20</v>
      </c>
      <c r="AR317" s="3" t="s">
        <v>62</v>
      </c>
      <c r="AS317" s="3" t="s">
        <v>62</v>
      </c>
      <c r="AT317" s="3" t="s">
        <v>62</v>
      </c>
      <c r="AV317" s="6" t="str">
        <f>HYPERLINK("http://mcgill.on.worldcat.org/oclc/18589443","Catalog Record")</f>
        <v>Catalog Record</v>
      </c>
      <c r="AW317" s="6" t="str">
        <f>HYPERLINK("http://www.worldcat.org/oclc/18589443","WorldCat Record")</f>
        <v>WorldCat Record</v>
      </c>
      <c r="AX317" s="3" t="s">
        <v>3389</v>
      </c>
      <c r="AY317" s="3" t="s">
        <v>3390</v>
      </c>
      <c r="AZ317" s="3" t="s">
        <v>3391</v>
      </c>
      <c r="BA317" s="3" t="s">
        <v>3391</v>
      </c>
      <c r="BB317" s="3" t="s">
        <v>3392</v>
      </c>
      <c r="BC317" s="3" t="s">
        <v>102</v>
      </c>
      <c r="BD317" s="3" t="s">
        <v>68</v>
      </c>
      <c r="BE317" s="3" t="s">
        <v>3393</v>
      </c>
      <c r="BF317" s="3" t="s">
        <v>3392</v>
      </c>
      <c r="BG317" s="3" t="s">
        <v>3394</v>
      </c>
    </row>
    <row r="318" spans="1:59" ht="58" x14ac:dyDescent="0.35">
      <c r="A318" s="2" t="s">
        <v>89</v>
      </c>
      <c r="B318" s="2" t="s">
        <v>90</v>
      </c>
      <c r="C318" s="2" t="s">
        <v>3395</v>
      </c>
      <c r="D318" s="2" t="s">
        <v>3396</v>
      </c>
      <c r="E318" s="2" t="s">
        <v>3397</v>
      </c>
      <c r="G318" s="3" t="s">
        <v>62</v>
      </c>
      <c r="I318" s="3" t="s">
        <v>62</v>
      </c>
      <c r="J318" s="3" t="s">
        <v>62</v>
      </c>
      <c r="K318" s="3" t="s">
        <v>63</v>
      </c>
      <c r="L318" s="2" t="s">
        <v>3398</v>
      </c>
      <c r="M318" s="2" t="s">
        <v>3399</v>
      </c>
      <c r="N318" s="3" t="s">
        <v>524</v>
      </c>
      <c r="P318" s="3" t="s">
        <v>64</v>
      </c>
      <c r="Q318" s="2" t="s">
        <v>3400</v>
      </c>
      <c r="R318" s="3" t="s">
        <v>65</v>
      </c>
      <c r="S318" s="4">
        <v>41</v>
      </c>
      <c r="T318" s="4">
        <v>41</v>
      </c>
      <c r="U318" s="5" t="s">
        <v>3291</v>
      </c>
      <c r="V318" s="5" t="s">
        <v>3291</v>
      </c>
      <c r="W318" s="5" t="s">
        <v>67</v>
      </c>
      <c r="X318" s="5" t="s">
        <v>67</v>
      </c>
      <c r="Y318" s="4">
        <v>243</v>
      </c>
      <c r="Z318" s="4">
        <v>10</v>
      </c>
      <c r="AA318" s="4">
        <v>10</v>
      </c>
      <c r="AB318" s="4">
        <v>1</v>
      </c>
      <c r="AC318" s="4">
        <v>1</v>
      </c>
      <c r="AD318" s="4">
        <v>74</v>
      </c>
      <c r="AE318" s="4">
        <v>74</v>
      </c>
      <c r="AF318" s="4">
        <v>0</v>
      </c>
      <c r="AG318" s="4">
        <v>0</v>
      </c>
      <c r="AH318" s="4">
        <v>68</v>
      </c>
      <c r="AI318" s="4">
        <v>68</v>
      </c>
      <c r="AJ318" s="4">
        <v>7</v>
      </c>
      <c r="AK318" s="4">
        <v>7</v>
      </c>
      <c r="AL318" s="4">
        <v>43</v>
      </c>
      <c r="AM318" s="4">
        <v>43</v>
      </c>
      <c r="AN318" s="4">
        <v>0</v>
      </c>
      <c r="AO318" s="4">
        <v>0</v>
      </c>
      <c r="AP318" s="4">
        <v>8</v>
      </c>
      <c r="AQ318" s="4">
        <v>8</v>
      </c>
      <c r="AR318" s="3" t="s">
        <v>62</v>
      </c>
      <c r="AS318" s="3" t="s">
        <v>62</v>
      </c>
      <c r="AT318" s="3" t="s">
        <v>61</v>
      </c>
      <c r="AU318" s="6" t="str">
        <f>HYPERLINK("http://catalog.hathitrust.org/Record/003032943","HathiTrust Record")</f>
        <v>HathiTrust Record</v>
      </c>
      <c r="AV318" s="6" t="str">
        <f>HYPERLINK("http://mcgill.on.worldcat.org/oclc/32738303","Catalog Record")</f>
        <v>Catalog Record</v>
      </c>
      <c r="AW318" s="6" t="str">
        <f>HYPERLINK("http://www.worldcat.org/oclc/32738303","WorldCat Record")</f>
        <v>WorldCat Record</v>
      </c>
      <c r="AX318" s="3" t="s">
        <v>3401</v>
      </c>
      <c r="AY318" s="3" t="s">
        <v>3402</v>
      </c>
      <c r="AZ318" s="3" t="s">
        <v>3403</v>
      </c>
      <c r="BA318" s="3" t="s">
        <v>3403</v>
      </c>
      <c r="BB318" s="3" t="s">
        <v>3404</v>
      </c>
      <c r="BC318" s="3" t="s">
        <v>102</v>
      </c>
      <c r="BD318" s="3" t="s">
        <v>68</v>
      </c>
      <c r="BE318" s="3" t="s">
        <v>3405</v>
      </c>
      <c r="BF318" s="3" t="s">
        <v>3404</v>
      </c>
      <c r="BG318" s="3" t="s">
        <v>3406</v>
      </c>
    </row>
    <row r="319" spans="1:59" ht="58" x14ac:dyDescent="0.35">
      <c r="A319" s="2" t="s">
        <v>89</v>
      </c>
      <c r="B319" s="2" t="s">
        <v>90</v>
      </c>
      <c r="C319" s="2" t="s">
        <v>3407</v>
      </c>
      <c r="D319" s="2" t="s">
        <v>3408</v>
      </c>
      <c r="E319" s="2" t="s">
        <v>3409</v>
      </c>
      <c r="F319" s="3" t="s">
        <v>2217</v>
      </c>
      <c r="G319" s="3" t="s">
        <v>61</v>
      </c>
      <c r="I319" s="3" t="s">
        <v>62</v>
      </c>
      <c r="J319" s="3" t="s">
        <v>62</v>
      </c>
      <c r="K319" s="3" t="s">
        <v>63</v>
      </c>
      <c r="L319" s="2" t="s">
        <v>3410</v>
      </c>
      <c r="M319" s="2" t="s">
        <v>3411</v>
      </c>
      <c r="N319" s="3" t="s">
        <v>1038</v>
      </c>
      <c r="O319" s="2" t="s">
        <v>1674</v>
      </c>
      <c r="P319" s="3" t="s">
        <v>1675</v>
      </c>
      <c r="Q319" s="2" t="s">
        <v>3412</v>
      </c>
      <c r="R319" s="3" t="s">
        <v>65</v>
      </c>
      <c r="S319" s="4">
        <v>0</v>
      </c>
      <c r="T319" s="4">
        <v>0</v>
      </c>
      <c r="W319" s="5" t="s">
        <v>3413</v>
      </c>
      <c r="X319" s="5" t="s">
        <v>3413</v>
      </c>
      <c r="Y319" s="4">
        <v>1</v>
      </c>
      <c r="Z319" s="4">
        <v>1</v>
      </c>
      <c r="AA319" s="4">
        <v>1</v>
      </c>
      <c r="AB319" s="4">
        <v>1</v>
      </c>
      <c r="AC319" s="4">
        <v>1</v>
      </c>
      <c r="AD319" s="4">
        <v>0</v>
      </c>
      <c r="AE319" s="4">
        <v>0</v>
      </c>
      <c r="AF319" s="4">
        <v>0</v>
      </c>
      <c r="AG319" s="4">
        <v>0</v>
      </c>
      <c r="AH319" s="4">
        <v>0</v>
      </c>
      <c r="AI319" s="4">
        <v>0</v>
      </c>
      <c r="AJ319" s="4">
        <v>0</v>
      </c>
      <c r="AK319" s="4">
        <v>0</v>
      </c>
      <c r="AL319" s="4">
        <v>0</v>
      </c>
      <c r="AM319" s="4">
        <v>0</v>
      </c>
      <c r="AN319" s="4">
        <v>0</v>
      </c>
      <c r="AO319" s="4">
        <v>0</v>
      </c>
      <c r="AP319" s="4">
        <v>0</v>
      </c>
      <c r="AQ319" s="4">
        <v>0</v>
      </c>
      <c r="AR319" s="3" t="s">
        <v>62</v>
      </c>
      <c r="AS319" s="3" t="s">
        <v>62</v>
      </c>
      <c r="AT319" s="3" t="s">
        <v>62</v>
      </c>
      <c r="AV319" s="6" t="str">
        <f>HYPERLINK("http://mcgill.on.worldcat.org/oclc/1089759671","Catalog Record")</f>
        <v>Catalog Record</v>
      </c>
      <c r="AW319" s="6" t="str">
        <f>HYPERLINK("http://www.worldcat.org/oclc/1089759671","WorldCat Record")</f>
        <v>WorldCat Record</v>
      </c>
      <c r="AX319" s="3" t="s">
        <v>3414</v>
      </c>
      <c r="AY319" s="3" t="s">
        <v>3415</v>
      </c>
      <c r="AZ319" s="3" t="s">
        <v>3416</v>
      </c>
      <c r="BA319" s="3" t="s">
        <v>3416</v>
      </c>
      <c r="BB319" s="3" t="s">
        <v>3417</v>
      </c>
      <c r="BC319" s="3" t="s">
        <v>102</v>
      </c>
      <c r="BD319" s="3" t="s">
        <v>68</v>
      </c>
      <c r="BE319" s="3" t="s">
        <v>3418</v>
      </c>
      <c r="BF319" s="3" t="s">
        <v>3417</v>
      </c>
      <c r="BG319" s="3" t="s">
        <v>3419</v>
      </c>
    </row>
    <row r="320" spans="1:59" ht="58" x14ac:dyDescent="0.35">
      <c r="A320" s="2" t="s">
        <v>89</v>
      </c>
      <c r="B320" s="2" t="s">
        <v>90</v>
      </c>
      <c r="C320" s="2" t="s">
        <v>3407</v>
      </c>
      <c r="D320" s="2" t="s">
        <v>3408</v>
      </c>
      <c r="E320" s="2" t="s">
        <v>3409</v>
      </c>
      <c r="F320" s="3" t="s">
        <v>2233</v>
      </c>
      <c r="G320" s="3" t="s">
        <v>61</v>
      </c>
      <c r="I320" s="3" t="s">
        <v>62</v>
      </c>
      <c r="J320" s="3" t="s">
        <v>62</v>
      </c>
      <c r="K320" s="3" t="s">
        <v>63</v>
      </c>
      <c r="L320" s="2" t="s">
        <v>3410</v>
      </c>
      <c r="M320" s="2" t="s">
        <v>3411</v>
      </c>
      <c r="N320" s="3" t="s">
        <v>1038</v>
      </c>
      <c r="O320" s="2" t="s">
        <v>1674</v>
      </c>
      <c r="P320" s="3" t="s">
        <v>1675</v>
      </c>
      <c r="Q320" s="2" t="s">
        <v>3412</v>
      </c>
      <c r="R320" s="3" t="s">
        <v>65</v>
      </c>
      <c r="S320" s="4">
        <v>0</v>
      </c>
      <c r="T320" s="4">
        <v>0</v>
      </c>
      <c r="W320" s="5" t="s">
        <v>3413</v>
      </c>
      <c r="X320" s="5" t="s">
        <v>3413</v>
      </c>
      <c r="Y320" s="4">
        <v>1</v>
      </c>
      <c r="Z320" s="4">
        <v>1</v>
      </c>
      <c r="AA320" s="4">
        <v>1</v>
      </c>
      <c r="AB320" s="4">
        <v>1</v>
      </c>
      <c r="AC320" s="4">
        <v>1</v>
      </c>
      <c r="AD320" s="4">
        <v>0</v>
      </c>
      <c r="AE320" s="4">
        <v>0</v>
      </c>
      <c r="AF320" s="4">
        <v>0</v>
      </c>
      <c r="AG320" s="4">
        <v>0</v>
      </c>
      <c r="AH320" s="4">
        <v>0</v>
      </c>
      <c r="AI320" s="4">
        <v>0</v>
      </c>
      <c r="AJ320" s="4">
        <v>0</v>
      </c>
      <c r="AK320" s="4">
        <v>0</v>
      </c>
      <c r="AL320" s="4">
        <v>0</v>
      </c>
      <c r="AM320" s="4">
        <v>0</v>
      </c>
      <c r="AN320" s="4">
        <v>0</v>
      </c>
      <c r="AO320" s="4">
        <v>0</v>
      </c>
      <c r="AP320" s="4">
        <v>0</v>
      </c>
      <c r="AQ320" s="4">
        <v>0</v>
      </c>
      <c r="AR320" s="3" t="s">
        <v>62</v>
      </c>
      <c r="AS320" s="3" t="s">
        <v>62</v>
      </c>
      <c r="AT320" s="3" t="s">
        <v>62</v>
      </c>
      <c r="AV320" s="6" t="str">
        <f>HYPERLINK("http://mcgill.on.worldcat.org/oclc/1089759671","Catalog Record")</f>
        <v>Catalog Record</v>
      </c>
      <c r="AW320" s="6" t="str">
        <f>HYPERLINK("http://www.worldcat.org/oclc/1089759671","WorldCat Record")</f>
        <v>WorldCat Record</v>
      </c>
      <c r="AX320" s="3" t="s">
        <v>3414</v>
      </c>
      <c r="AY320" s="3" t="s">
        <v>3415</v>
      </c>
      <c r="AZ320" s="3" t="s">
        <v>3416</v>
      </c>
      <c r="BA320" s="3" t="s">
        <v>3416</v>
      </c>
      <c r="BB320" s="3" t="s">
        <v>3420</v>
      </c>
      <c r="BC320" s="3" t="s">
        <v>102</v>
      </c>
      <c r="BD320" s="3" t="s">
        <v>68</v>
      </c>
      <c r="BE320" s="3" t="s">
        <v>3418</v>
      </c>
      <c r="BF320" s="3" t="s">
        <v>3420</v>
      </c>
      <c r="BG320" s="3" t="s">
        <v>3421</v>
      </c>
    </row>
    <row r="321" spans="1:59" ht="116" x14ac:dyDescent="0.35">
      <c r="A321" s="2" t="s">
        <v>89</v>
      </c>
      <c r="B321" s="2" t="s">
        <v>3312</v>
      </c>
      <c r="C321" s="2" t="s">
        <v>3422</v>
      </c>
      <c r="D321" s="2" t="s">
        <v>3423</v>
      </c>
      <c r="E321" s="2" t="s">
        <v>3424</v>
      </c>
      <c r="F321" s="3" t="s">
        <v>2233</v>
      </c>
      <c r="G321" s="3" t="s">
        <v>61</v>
      </c>
      <c r="I321" s="3" t="s">
        <v>62</v>
      </c>
      <c r="J321" s="3" t="s">
        <v>61</v>
      </c>
      <c r="K321" s="3" t="s">
        <v>63</v>
      </c>
      <c r="L321" s="2" t="s">
        <v>3425</v>
      </c>
      <c r="M321" s="2" t="s">
        <v>3411</v>
      </c>
      <c r="N321" s="3" t="s">
        <v>1038</v>
      </c>
      <c r="O321" s="2" t="s">
        <v>1674</v>
      </c>
      <c r="P321" s="3" t="s">
        <v>1675</v>
      </c>
      <c r="Q321" s="2" t="s">
        <v>3426</v>
      </c>
      <c r="R321" s="3" t="s">
        <v>65</v>
      </c>
      <c r="S321" s="4">
        <v>0</v>
      </c>
      <c r="T321" s="4">
        <v>0</v>
      </c>
      <c r="W321" s="5" t="s">
        <v>3427</v>
      </c>
      <c r="X321" s="5" t="s">
        <v>3427</v>
      </c>
      <c r="Y321" s="4">
        <v>4</v>
      </c>
      <c r="Z321" s="4">
        <v>1</v>
      </c>
      <c r="AA321" s="4">
        <v>11</v>
      </c>
      <c r="AB321" s="4">
        <v>1</v>
      </c>
      <c r="AC321" s="4">
        <v>1</v>
      </c>
      <c r="AD321" s="4">
        <v>1</v>
      </c>
      <c r="AE321" s="4">
        <v>62</v>
      </c>
      <c r="AF321" s="4">
        <v>0</v>
      </c>
      <c r="AG321" s="4">
        <v>0</v>
      </c>
      <c r="AH321" s="4">
        <v>1</v>
      </c>
      <c r="AI321" s="4">
        <v>59</v>
      </c>
      <c r="AJ321" s="4">
        <v>0</v>
      </c>
      <c r="AK321" s="4">
        <v>6</v>
      </c>
      <c r="AL321" s="4">
        <v>1</v>
      </c>
      <c r="AM321" s="4">
        <v>43</v>
      </c>
      <c r="AN321" s="4">
        <v>0</v>
      </c>
      <c r="AO321" s="4">
        <v>0</v>
      </c>
      <c r="AP321" s="4">
        <v>0</v>
      </c>
      <c r="AQ321" s="4">
        <v>6</v>
      </c>
      <c r="AR321" s="3" t="s">
        <v>62</v>
      </c>
      <c r="AS321" s="3" t="s">
        <v>62</v>
      </c>
      <c r="AT321" s="3" t="s">
        <v>62</v>
      </c>
      <c r="AV321" s="6" t="str">
        <f>HYPERLINK("http://mcgill.on.worldcat.org/oclc/1018482793","Catalog Record")</f>
        <v>Catalog Record</v>
      </c>
      <c r="AW321" s="6" t="str">
        <f>HYPERLINK("http://www.worldcat.org/oclc/1018482793","WorldCat Record")</f>
        <v>WorldCat Record</v>
      </c>
      <c r="AX321" s="3" t="s">
        <v>3428</v>
      </c>
      <c r="AY321" s="3" t="s">
        <v>3429</v>
      </c>
      <c r="AZ321" s="3" t="s">
        <v>3430</v>
      </c>
      <c r="BA321" s="3" t="s">
        <v>3430</v>
      </c>
      <c r="BB321" s="3" t="s">
        <v>3431</v>
      </c>
      <c r="BC321" s="3" t="s">
        <v>102</v>
      </c>
      <c r="BD321" s="3" t="s">
        <v>68</v>
      </c>
      <c r="BE321" s="3" t="s">
        <v>3432</v>
      </c>
      <c r="BF321" s="3" t="s">
        <v>3431</v>
      </c>
      <c r="BG321" s="3" t="s">
        <v>3433</v>
      </c>
    </row>
    <row r="322" spans="1:59" ht="116" x14ac:dyDescent="0.35">
      <c r="A322" s="2" t="s">
        <v>89</v>
      </c>
      <c r="B322" s="2" t="s">
        <v>3312</v>
      </c>
      <c r="C322" s="2" t="s">
        <v>3422</v>
      </c>
      <c r="D322" s="2" t="s">
        <v>3423</v>
      </c>
      <c r="E322" s="2" t="s">
        <v>3424</v>
      </c>
      <c r="F322" s="3" t="s">
        <v>2217</v>
      </c>
      <c r="G322" s="3" t="s">
        <v>61</v>
      </c>
      <c r="I322" s="3" t="s">
        <v>62</v>
      </c>
      <c r="J322" s="3" t="s">
        <v>61</v>
      </c>
      <c r="K322" s="3" t="s">
        <v>63</v>
      </c>
      <c r="L322" s="2" t="s">
        <v>3425</v>
      </c>
      <c r="M322" s="2" t="s">
        <v>3411</v>
      </c>
      <c r="N322" s="3" t="s">
        <v>1038</v>
      </c>
      <c r="O322" s="2" t="s">
        <v>1674</v>
      </c>
      <c r="P322" s="3" t="s">
        <v>1675</v>
      </c>
      <c r="Q322" s="2" t="s">
        <v>3426</v>
      </c>
      <c r="R322" s="3" t="s">
        <v>65</v>
      </c>
      <c r="S322" s="4">
        <v>0</v>
      </c>
      <c r="T322" s="4">
        <v>0</v>
      </c>
      <c r="W322" s="5" t="s">
        <v>3427</v>
      </c>
      <c r="X322" s="5" t="s">
        <v>3427</v>
      </c>
      <c r="Y322" s="4">
        <v>4</v>
      </c>
      <c r="Z322" s="4">
        <v>1</v>
      </c>
      <c r="AA322" s="4">
        <v>11</v>
      </c>
      <c r="AB322" s="4">
        <v>1</v>
      </c>
      <c r="AC322" s="4">
        <v>1</v>
      </c>
      <c r="AD322" s="4">
        <v>1</v>
      </c>
      <c r="AE322" s="4">
        <v>62</v>
      </c>
      <c r="AF322" s="4">
        <v>0</v>
      </c>
      <c r="AG322" s="4">
        <v>0</v>
      </c>
      <c r="AH322" s="4">
        <v>1</v>
      </c>
      <c r="AI322" s="4">
        <v>59</v>
      </c>
      <c r="AJ322" s="4">
        <v>0</v>
      </c>
      <c r="AK322" s="4">
        <v>6</v>
      </c>
      <c r="AL322" s="4">
        <v>1</v>
      </c>
      <c r="AM322" s="4">
        <v>43</v>
      </c>
      <c r="AN322" s="4">
        <v>0</v>
      </c>
      <c r="AO322" s="4">
        <v>0</v>
      </c>
      <c r="AP322" s="4">
        <v>0</v>
      </c>
      <c r="AQ322" s="4">
        <v>6</v>
      </c>
      <c r="AR322" s="3" t="s">
        <v>62</v>
      </c>
      <c r="AS322" s="3" t="s">
        <v>62</v>
      </c>
      <c r="AT322" s="3" t="s">
        <v>62</v>
      </c>
      <c r="AV322" s="6" t="str">
        <f>HYPERLINK("http://mcgill.on.worldcat.org/oclc/1018482793","Catalog Record")</f>
        <v>Catalog Record</v>
      </c>
      <c r="AW322" s="6" t="str">
        <f>HYPERLINK("http://www.worldcat.org/oclc/1018482793","WorldCat Record")</f>
        <v>WorldCat Record</v>
      </c>
      <c r="AX322" s="3" t="s">
        <v>3428</v>
      </c>
      <c r="AY322" s="3" t="s">
        <v>3429</v>
      </c>
      <c r="AZ322" s="3" t="s">
        <v>3430</v>
      </c>
      <c r="BA322" s="3" t="s">
        <v>3430</v>
      </c>
      <c r="BB322" s="3" t="s">
        <v>3434</v>
      </c>
      <c r="BC322" s="3" t="s">
        <v>102</v>
      </c>
      <c r="BD322" s="3" t="s">
        <v>68</v>
      </c>
      <c r="BE322" s="3" t="s">
        <v>3432</v>
      </c>
      <c r="BF322" s="3" t="s">
        <v>3434</v>
      </c>
      <c r="BG322" s="3" t="s">
        <v>3435</v>
      </c>
    </row>
    <row r="323" spans="1:59" ht="58" x14ac:dyDescent="0.35">
      <c r="A323" s="2" t="s">
        <v>89</v>
      </c>
      <c r="B323" s="2" t="s">
        <v>90</v>
      </c>
      <c r="C323" s="2" t="s">
        <v>3436</v>
      </c>
      <c r="D323" s="2" t="s">
        <v>3437</v>
      </c>
      <c r="E323" s="2" t="s">
        <v>3438</v>
      </c>
      <c r="G323" s="3" t="s">
        <v>62</v>
      </c>
      <c r="I323" s="3" t="s">
        <v>62</v>
      </c>
      <c r="J323" s="3" t="s">
        <v>62</v>
      </c>
      <c r="K323" s="3" t="s">
        <v>63</v>
      </c>
      <c r="L323" s="2" t="s">
        <v>3439</v>
      </c>
      <c r="M323" s="2" t="s">
        <v>3440</v>
      </c>
      <c r="N323" s="3" t="s">
        <v>684</v>
      </c>
      <c r="P323" s="3" t="s">
        <v>64</v>
      </c>
      <c r="R323" s="3" t="s">
        <v>65</v>
      </c>
      <c r="S323" s="4">
        <v>19</v>
      </c>
      <c r="T323" s="4">
        <v>19</v>
      </c>
      <c r="U323" s="5" t="s">
        <v>3441</v>
      </c>
      <c r="V323" s="5" t="s">
        <v>3441</v>
      </c>
      <c r="W323" s="5" t="s">
        <v>67</v>
      </c>
      <c r="X323" s="5" t="s">
        <v>67</v>
      </c>
      <c r="Y323" s="4">
        <v>271</v>
      </c>
      <c r="Z323" s="4">
        <v>12</v>
      </c>
      <c r="AA323" s="4">
        <v>84</v>
      </c>
      <c r="AB323" s="4">
        <v>1</v>
      </c>
      <c r="AC323" s="4">
        <v>14</v>
      </c>
      <c r="AD323" s="4">
        <v>81</v>
      </c>
      <c r="AE323" s="4">
        <v>134</v>
      </c>
      <c r="AF323" s="4">
        <v>0</v>
      </c>
      <c r="AG323" s="4">
        <v>8</v>
      </c>
      <c r="AH323" s="4">
        <v>77</v>
      </c>
      <c r="AI323" s="4">
        <v>98</v>
      </c>
      <c r="AJ323" s="4">
        <v>8</v>
      </c>
      <c r="AK323" s="4">
        <v>22</v>
      </c>
      <c r="AL323" s="4">
        <v>45</v>
      </c>
      <c r="AM323" s="4">
        <v>54</v>
      </c>
      <c r="AN323" s="4">
        <v>0</v>
      </c>
      <c r="AO323" s="4">
        <v>0</v>
      </c>
      <c r="AP323" s="4">
        <v>8</v>
      </c>
      <c r="AQ323" s="4">
        <v>43</v>
      </c>
      <c r="AR323" s="3" t="s">
        <v>62</v>
      </c>
      <c r="AS323" s="3" t="s">
        <v>62</v>
      </c>
      <c r="AT323" s="3" t="s">
        <v>62</v>
      </c>
      <c r="AV323" s="6" t="str">
        <f>HYPERLINK("http://mcgill.on.worldcat.org/oclc/636567536","Catalog Record")</f>
        <v>Catalog Record</v>
      </c>
      <c r="AW323" s="6" t="str">
        <f>HYPERLINK("http://www.worldcat.org/oclc/636567536","WorldCat Record")</f>
        <v>WorldCat Record</v>
      </c>
      <c r="AX323" s="3" t="s">
        <v>3442</v>
      </c>
      <c r="AY323" s="3" t="s">
        <v>3443</v>
      </c>
      <c r="AZ323" s="3" t="s">
        <v>3444</v>
      </c>
      <c r="BA323" s="3" t="s">
        <v>3444</v>
      </c>
      <c r="BB323" s="3" t="s">
        <v>3445</v>
      </c>
      <c r="BC323" s="3" t="s">
        <v>102</v>
      </c>
      <c r="BD323" s="3" t="s">
        <v>68</v>
      </c>
      <c r="BE323" s="3" t="s">
        <v>3446</v>
      </c>
      <c r="BF323" s="3" t="s">
        <v>3445</v>
      </c>
      <c r="BG323" s="3" t="s">
        <v>3447</v>
      </c>
    </row>
    <row r="324" spans="1:59" ht="116" x14ac:dyDescent="0.35">
      <c r="A324" s="2" t="s">
        <v>89</v>
      </c>
      <c r="B324" s="2" t="s">
        <v>3312</v>
      </c>
      <c r="C324" s="2" t="s">
        <v>3448</v>
      </c>
      <c r="D324" s="2" t="s">
        <v>3449</v>
      </c>
      <c r="E324" s="2" t="s">
        <v>3450</v>
      </c>
      <c r="G324" s="3" t="s">
        <v>62</v>
      </c>
      <c r="I324" s="3" t="s">
        <v>62</v>
      </c>
      <c r="J324" s="3" t="s">
        <v>62</v>
      </c>
      <c r="K324" s="3" t="s">
        <v>63</v>
      </c>
      <c r="M324" s="2" t="s">
        <v>3451</v>
      </c>
      <c r="N324" s="3" t="s">
        <v>129</v>
      </c>
      <c r="O324" s="2" t="s">
        <v>3452</v>
      </c>
      <c r="P324" s="3" t="s">
        <v>1675</v>
      </c>
      <c r="Q324" s="2" t="s">
        <v>3453</v>
      </c>
      <c r="R324" s="3" t="s">
        <v>65</v>
      </c>
      <c r="S324" s="4">
        <v>0</v>
      </c>
      <c r="T324" s="4">
        <v>0</v>
      </c>
      <c r="W324" s="5" t="s">
        <v>67</v>
      </c>
      <c r="X324" s="5" t="s">
        <v>67</v>
      </c>
      <c r="Y324" s="4">
        <v>14</v>
      </c>
      <c r="Z324" s="4">
        <v>3</v>
      </c>
      <c r="AA324" s="4">
        <v>3</v>
      </c>
      <c r="AB324" s="4">
        <v>1</v>
      </c>
      <c r="AC324" s="4">
        <v>1</v>
      </c>
      <c r="AD324" s="4">
        <v>6</v>
      </c>
      <c r="AE324" s="4">
        <v>6</v>
      </c>
      <c r="AF324" s="4">
        <v>0</v>
      </c>
      <c r="AG324" s="4">
        <v>0</v>
      </c>
      <c r="AH324" s="4">
        <v>6</v>
      </c>
      <c r="AI324" s="4">
        <v>6</v>
      </c>
      <c r="AJ324" s="4">
        <v>1</v>
      </c>
      <c r="AK324" s="4">
        <v>1</v>
      </c>
      <c r="AL324" s="4">
        <v>5</v>
      </c>
      <c r="AM324" s="4">
        <v>5</v>
      </c>
      <c r="AN324" s="4">
        <v>0</v>
      </c>
      <c r="AO324" s="4">
        <v>0</v>
      </c>
      <c r="AP324" s="4">
        <v>1</v>
      </c>
      <c r="AQ324" s="4">
        <v>1</v>
      </c>
      <c r="AR324" s="3" t="s">
        <v>62</v>
      </c>
      <c r="AS324" s="3" t="s">
        <v>62</v>
      </c>
      <c r="AT324" s="3" t="s">
        <v>62</v>
      </c>
      <c r="AV324" s="6" t="str">
        <f>HYPERLINK("http://mcgill.on.worldcat.org/oclc/849097494","Catalog Record")</f>
        <v>Catalog Record</v>
      </c>
      <c r="AW324" s="6" t="str">
        <f>HYPERLINK("http://www.worldcat.org/oclc/849097494","WorldCat Record")</f>
        <v>WorldCat Record</v>
      </c>
      <c r="AX324" s="3" t="s">
        <v>3454</v>
      </c>
      <c r="AY324" s="3" t="s">
        <v>3455</v>
      </c>
      <c r="AZ324" s="3" t="s">
        <v>3456</v>
      </c>
      <c r="BA324" s="3" t="s">
        <v>3456</v>
      </c>
      <c r="BB324" s="3" t="s">
        <v>3457</v>
      </c>
      <c r="BC324" s="3" t="s">
        <v>102</v>
      </c>
      <c r="BD324" s="3" t="s">
        <v>68</v>
      </c>
      <c r="BE324" s="3" t="s">
        <v>3458</v>
      </c>
      <c r="BF324" s="3" t="s">
        <v>3457</v>
      </c>
      <c r="BG324" s="3" t="s">
        <v>3459</v>
      </c>
    </row>
    <row r="325" spans="1:59" ht="116" x14ac:dyDescent="0.35">
      <c r="A325" s="2" t="s">
        <v>89</v>
      </c>
      <c r="B325" s="2" t="s">
        <v>3312</v>
      </c>
      <c r="C325" s="2" t="s">
        <v>3460</v>
      </c>
      <c r="D325" s="2" t="s">
        <v>3461</v>
      </c>
      <c r="E325" s="2" t="s">
        <v>3462</v>
      </c>
      <c r="F325" s="3" t="s">
        <v>2217</v>
      </c>
      <c r="G325" s="3" t="s">
        <v>61</v>
      </c>
      <c r="I325" s="3" t="s">
        <v>62</v>
      </c>
      <c r="J325" s="3" t="s">
        <v>62</v>
      </c>
      <c r="K325" s="3" t="s">
        <v>63</v>
      </c>
      <c r="M325" s="2" t="s">
        <v>3463</v>
      </c>
      <c r="N325" s="3" t="s">
        <v>726</v>
      </c>
      <c r="O325" s="2" t="s">
        <v>1674</v>
      </c>
      <c r="P325" s="3" t="s">
        <v>1675</v>
      </c>
      <c r="R325" s="3" t="s">
        <v>65</v>
      </c>
      <c r="S325" s="4">
        <v>0</v>
      </c>
      <c r="T325" s="4">
        <v>0</v>
      </c>
      <c r="W325" s="5" t="s">
        <v>67</v>
      </c>
      <c r="X325" s="5" t="s">
        <v>67</v>
      </c>
      <c r="Y325" s="4">
        <v>5</v>
      </c>
      <c r="Z325" s="4">
        <v>1</v>
      </c>
      <c r="AA325" s="4">
        <v>1</v>
      </c>
      <c r="AB325" s="4">
        <v>1</v>
      </c>
      <c r="AC325" s="4">
        <v>1</v>
      </c>
      <c r="AD325" s="4">
        <v>1</v>
      </c>
      <c r="AE325" s="4">
        <v>1</v>
      </c>
      <c r="AF325" s="4">
        <v>0</v>
      </c>
      <c r="AG325" s="4">
        <v>0</v>
      </c>
      <c r="AH325" s="4">
        <v>1</v>
      </c>
      <c r="AI325" s="4">
        <v>1</v>
      </c>
      <c r="AJ325" s="4">
        <v>0</v>
      </c>
      <c r="AK325" s="4">
        <v>0</v>
      </c>
      <c r="AL325" s="4">
        <v>1</v>
      </c>
      <c r="AM325" s="4">
        <v>1</v>
      </c>
      <c r="AN325" s="4">
        <v>0</v>
      </c>
      <c r="AO325" s="4">
        <v>0</v>
      </c>
      <c r="AP325" s="4">
        <v>0</v>
      </c>
      <c r="AQ325" s="4">
        <v>0</v>
      </c>
      <c r="AR325" s="3" t="s">
        <v>62</v>
      </c>
      <c r="AS325" s="3" t="s">
        <v>62</v>
      </c>
      <c r="AT325" s="3" t="s">
        <v>62</v>
      </c>
      <c r="AV325" s="6" t="str">
        <f>HYPERLINK("http://mcgill.on.worldcat.org/oclc/1029823010","Catalog Record")</f>
        <v>Catalog Record</v>
      </c>
      <c r="AW325" s="6" t="str">
        <f>HYPERLINK("http://www.worldcat.org/oclc/1029823010","WorldCat Record")</f>
        <v>WorldCat Record</v>
      </c>
      <c r="AX325" s="3" t="s">
        <v>3464</v>
      </c>
      <c r="AY325" s="3" t="s">
        <v>3465</v>
      </c>
      <c r="AZ325" s="3" t="s">
        <v>3466</v>
      </c>
      <c r="BA325" s="3" t="s">
        <v>3466</v>
      </c>
      <c r="BB325" s="3" t="s">
        <v>3467</v>
      </c>
      <c r="BC325" s="3" t="s">
        <v>102</v>
      </c>
      <c r="BD325" s="3" t="s">
        <v>68</v>
      </c>
      <c r="BE325" s="3" t="s">
        <v>3468</v>
      </c>
      <c r="BF325" s="3" t="s">
        <v>3467</v>
      </c>
      <c r="BG325" s="3" t="s">
        <v>3469</v>
      </c>
    </row>
    <row r="326" spans="1:59" ht="116" x14ac:dyDescent="0.35">
      <c r="A326" s="2" t="s">
        <v>89</v>
      </c>
      <c r="B326" s="2" t="s">
        <v>3312</v>
      </c>
      <c r="C326" s="2" t="s">
        <v>3460</v>
      </c>
      <c r="D326" s="2" t="s">
        <v>3461</v>
      </c>
      <c r="E326" s="2" t="s">
        <v>3462</v>
      </c>
      <c r="F326" s="3" t="s">
        <v>2233</v>
      </c>
      <c r="G326" s="3" t="s">
        <v>61</v>
      </c>
      <c r="I326" s="3" t="s">
        <v>62</v>
      </c>
      <c r="J326" s="3" t="s">
        <v>62</v>
      </c>
      <c r="K326" s="3" t="s">
        <v>63</v>
      </c>
      <c r="M326" s="2" t="s">
        <v>3463</v>
      </c>
      <c r="N326" s="3" t="s">
        <v>726</v>
      </c>
      <c r="O326" s="2" t="s">
        <v>1674</v>
      </c>
      <c r="P326" s="3" t="s">
        <v>1675</v>
      </c>
      <c r="R326" s="3" t="s">
        <v>65</v>
      </c>
      <c r="S326" s="4">
        <v>0</v>
      </c>
      <c r="T326" s="4">
        <v>0</v>
      </c>
      <c r="W326" s="5" t="s">
        <v>67</v>
      </c>
      <c r="X326" s="5" t="s">
        <v>67</v>
      </c>
      <c r="Y326" s="4">
        <v>5</v>
      </c>
      <c r="Z326" s="4">
        <v>1</v>
      </c>
      <c r="AA326" s="4">
        <v>1</v>
      </c>
      <c r="AB326" s="4">
        <v>1</v>
      </c>
      <c r="AC326" s="4">
        <v>1</v>
      </c>
      <c r="AD326" s="4">
        <v>1</v>
      </c>
      <c r="AE326" s="4">
        <v>1</v>
      </c>
      <c r="AF326" s="4">
        <v>0</v>
      </c>
      <c r="AG326" s="4">
        <v>0</v>
      </c>
      <c r="AH326" s="4">
        <v>1</v>
      </c>
      <c r="AI326" s="4">
        <v>1</v>
      </c>
      <c r="AJ326" s="4">
        <v>0</v>
      </c>
      <c r="AK326" s="4">
        <v>0</v>
      </c>
      <c r="AL326" s="4">
        <v>1</v>
      </c>
      <c r="AM326" s="4">
        <v>1</v>
      </c>
      <c r="AN326" s="4">
        <v>0</v>
      </c>
      <c r="AO326" s="4">
        <v>0</v>
      </c>
      <c r="AP326" s="4">
        <v>0</v>
      </c>
      <c r="AQ326" s="4">
        <v>0</v>
      </c>
      <c r="AR326" s="3" t="s">
        <v>62</v>
      </c>
      <c r="AS326" s="3" t="s">
        <v>62</v>
      </c>
      <c r="AT326" s="3" t="s">
        <v>62</v>
      </c>
      <c r="AV326" s="6" t="str">
        <f>HYPERLINK("http://mcgill.on.worldcat.org/oclc/1029823010","Catalog Record")</f>
        <v>Catalog Record</v>
      </c>
      <c r="AW326" s="6" t="str">
        <f>HYPERLINK("http://www.worldcat.org/oclc/1029823010","WorldCat Record")</f>
        <v>WorldCat Record</v>
      </c>
      <c r="AX326" s="3" t="s">
        <v>3464</v>
      </c>
      <c r="AY326" s="3" t="s">
        <v>3465</v>
      </c>
      <c r="AZ326" s="3" t="s">
        <v>3466</v>
      </c>
      <c r="BA326" s="3" t="s">
        <v>3466</v>
      </c>
      <c r="BB326" s="3" t="s">
        <v>3470</v>
      </c>
      <c r="BC326" s="3" t="s">
        <v>102</v>
      </c>
      <c r="BD326" s="3" t="s">
        <v>68</v>
      </c>
      <c r="BE326" s="3" t="s">
        <v>3468</v>
      </c>
      <c r="BF326" s="3" t="s">
        <v>3470</v>
      </c>
      <c r="BG326" s="3" t="s">
        <v>3471</v>
      </c>
    </row>
    <row r="327" spans="1:59" ht="58" x14ac:dyDescent="0.35">
      <c r="A327" s="2" t="s">
        <v>89</v>
      </c>
      <c r="B327" s="2" t="s">
        <v>90</v>
      </c>
      <c r="C327" s="2" t="s">
        <v>3472</v>
      </c>
      <c r="D327" s="2" t="s">
        <v>3473</v>
      </c>
      <c r="E327" s="2" t="s">
        <v>3474</v>
      </c>
      <c r="G327" s="3" t="s">
        <v>62</v>
      </c>
      <c r="I327" s="3" t="s">
        <v>61</v>
      </c>
      <c r="J327" s="3" t="s">
        <v>62</v>
      </c>
      <c r="K327" s="3" t="s">
        <v>63</v>
      </c>
      <c r="M327" s="2" t="s">
        <v>3475</v>
      </c>
      <c r="N327" s="3" t="s">
        <v>2588</v>
      </c>
      <c r="O327" s="2" t="s">
        <v>2163</v>
      </c>
      <c r="P327" s="3" t="s">
        <v>64</v>
      </c>
      <c r="Q327" s="2" t="s">
        <v>3476</v>
      </c>
      <c r="R327" s="3" t="s">
        <v>65</v>
      </c>
      <c r="S327" s="4">
        <v>13</v>
      </c>
      <c r="T327" s="4">
        <v>26</v>
      </c>
      <c r="U327" s="5" t="s">
        <v>3477</v>
      </c>
      <c r="V327" s="5" t="s">
        <v>3291</v>
      </c>
      <c r="W327" s="5" t="s">
        <v>67</v>
      </c>
      <c r="X327" s="5" t="s">
        <v>67</v>
      </c>
      <c r="Y327" s="4">
        <v>243</v>
      </c>
      <c r="Z327" s="4">
        <v>16</v>
      </c>
      <c r="AA327" s="4">
        <v>17</v>
      </c>
      <c r="AB327" s="4">
        <v>2</v>
      </c>
      <c r="AC327" s="4">
        <v>3</v>
      </c>
      <c r="AD327" s="4">
        <v>77</v>
      </c>
      <c r="AE327" s="4">
        <v>78</v>
      </c>
      <c r="AF327" s="4">
        <v>1</v>
      </c>
      <c r="AG327" s="4">
        <v>2</v>
      </c>
      <c r="AH327" s="4">
        <v>70</v>
      </c>
      <c r="AI327" s="4">
        <v>70</v>
      </c>
      <c r="AJ327" s="4">
        <v>13</v>
      </c>
      <c r="AK327" s="4">
        <v>14</v>
      </c>
      <c r="AL327" s="4">
        <v>41</v>
      </c>
      <c r="AM327" s="4">
        <v>41</v>
      </c>
      <c r="AN327" s="4">
        <v>0</v>
      </c>
      <c r="AO327" s="4">
        <v>0</v>
      </c>
      <c r="AP327" s="4">
        <v>14</v>
      </c>
      <c r="AQ327" s="4">
        <v>14</v>
      </c>
      <c r="AR327" s="3" t="s">
        <v>62</v>
      </c>
      <c r="AS327" s="3" t="s">
        <v>62</v>
      </c>
      <c r="AT327" s="3" t="s">
        <v>61</v>
      </c>
      <c r="AU327" s="6" t="str">
        <f>HYPERLINK("http://catalog.hathitrust.org/Record/009530049","HathiTrust Record")</f>
        <v>HathiTrust Record</v>
      </c>
      <c r="AV327" s="6" t="str">
        <f>HYPERLINK("http://mcgill.on.worldcat.org/oclc/3003765","Catalog Record")</f>
        <v>Catalog Record</v>
      </c>
      <c r="AW327" s="6" t="str">
        <f>HYPERLINK("http://www.worldcat.org/oclc/3003765","WorldCat Record")</f>
        <v>WorldCat Record</v>
      </c>
      <c r="AX327" s="3" t="s">
        <v>3478</v>
      </c>
      <c r="AY327" s="3" t="s">
        <v>3479</v>
      </c>
      <c r="AZ327" s="3" t="s">
        <v>3480</v>
      </c>
      <c r="BA327" s="3" t="s">
        <v>3480</v>
      </c>
      <c r="BB327" s="3" t="s">
        <v>3481</v>
      </c>
      <c r="BC327" s="3" t="s">
        <v>102</v>
      </c>
      <c r="BD327" s="3" t="s">
        <v>68</v>
      </c>
      <c r="BE327" s="3" t="s">
        <v>3482</v>
      </c>
      <c r="BF327" s="3" t="s">
        <v>3481</v>
      </c>
      <c r="BG327" s="3" t="s">
        <v>3483</v>
      </c>
    </row>
    <row r="328" spans="1:59" ht="58" x14ac:dyDescent="0.35">
      <c r="A328" s="2" t="s">
        <v>89</v>
      </c>
      <c r="B328" s="2" t="s">
        <v>90</v>
      </c>
      <c r="C328" s="2" t="s">
        <v>3484</v>
      </c>
      <c r="D328" s="2" t="s">
        <v>3485</v>
      </c>
      <c r="E328" s="2" t="s">
        <v>3486</v>
      </c>
      <c r="G328" s="3" t="s">
        <v>62</v>
      </c>
      <c r="I328" s="3" t="s">
        <v>62</v>
      </c>
      <c r="J328" s="3" t="s">
        <v>62</v>
      </c>
      <c r="K328" s="3" t="s">
        <v>63</v>
      </c>
      <c r="L328" s="2" t="s">
        <v>3487</v>
      </c>
      <c r="M328" s="2" t="s">
        <v>3488</v>
      </c>
      <c r="N328" s="3" t="s">
        <v>2975</v>
      </c>
      <c r="P328" s="3" t="s">
        <v>64</v>
      </c>
      <c r="R328" s="3" t="s">
        <v>65</v>
      </c>
      <c r="S328" s="4">
        <v>3</v>
      </c>
      <c r="T328" s="4">
        <v>3</v>
      </c>
      <c r="U328" s="5" t="s">
        <v>3489</v>
      </c>
      <c r="V328" s="5" t="s">
        <v>3489</v>
      </c>
      <c r="W328" s="5" t="s">
        <v>67</v>
      </c>
      <c r="X328" s="5" t="s">
        <v>67</v>
      </c>
      <c r="Y328" s="4">
        <v>433</v>
      </c>
      <c r="Z328" s="4">
        <v>13</v>
      </c>
      <c r="AA328" s="4">
        <v>46</v>
      </c>
      <c r="AB328" s="4">
        <v>2</v>
      </c>
      <c r="AC328" s="4">
        <v>9</v>
      </c>
      <c r="AD328" s="4">
        <v>83</v>
      </c>
      <c r="AE328" s="4">
        <v>92</v>
      </c>
      <c r="AF328" s="4">
        <v>1</v>
      </c>
      <c r="AG328" s="4">
        <v>2</v>
      </c>
      <c r="AH328" s="4">
        <v>78</v>
      </c>
      <c r="AI328" s="4">
        <v>83</v>
      </c>
      <c r="AJ328" s="4">
        <v>6</v>
      </c>
      <c r="AK328" s="4">
        <v>7</v>
      </c>
      <c r="AL328" s="4">
        <v>46</v>
      </c>
      <c r="AM328" s="4">
        <v>48</v>
      </c>
      <c r="AN328" s="4">
        <v>0</v>
      </c>
      <c r="AO328" s="4">
        <v>0</v>
      </c>
      <c r="AP328" s="4">
        <v>8</v>
      </c>
      <c r="AQ328" s="4">
        <v>13</v>
      </c>
      <c r="AR328" s="3" t="s">
        <v>62</v>
      </c>
      <c r="AS328" s="3" t="s">
        <v>62</v>
      </c>
      <c r="AT328" s="3" t="s">
        <v>62</v>
      </c>
      <c r="AV328" s="6" t="str">
        <f>HYPERLINK("http://mcgill.on.worldcat.org/oclc/47081226","Catalog Record")</f>
        <v>Catalog Record</v>
      </c>
      <c r="AW328" s="6" t="str">
        <f>HYPERLINK("http://www.worldcat.org/oclc/47081226","WorldCat Record")</f>
        <v>WorldCat Record</v>
      </c>
      <c r="AX328" s="3" t="s">
        <v>3490</v>
      </c>
      <c r="AY328" s="3" t="s">
        <v>3491</v>
      </c>
      <c r="AZ328" s="3" t="s">
        <v>3492</v>
      </c>
      <c r="BA328" s="3" t="s">
        <v>3492</v>
      </c>
      <c r="BB328" s="3" t="s">
        <v>3493</v>
      </c>
      <c r="BC328" s="3" t="s">
        <v>102</v>
      </c>
      <c r="BD328" s="3" t="s">
        <v>68</v>
      </c>
      <c r="BE328" s="3" t="s">
        <v>3494</v>
      </c>
      <c r="BF328" s="3" t="s">
        <v>3493</v>
      </c>
      <c r="BG328" s="3" t="s">
        <v>3495</v>
      </c>
    </row>
    <row r="329" spans="1:59" ht="58" x14ac:dyDescent="0.35">
      <c r="A329" s="2" t="s">
        <v>89</v>
      </c>
      <c r="B329" s="2" t="s">
        <v>90</v>
      </c>
      <c r="C329" s="2" t="s">
        <v>3496</v>
      </c>
      <c r="D329" s="2" t="s">
        <v>3497</v>
      </c>
      <c r="E329" s="2" t="s">
        <v>3498</v>
      </c>
      <c r="G329" s="3" t="s">
        <v>62</v>
      </c>
      <c r="I329" s="3" t="s">
        <v>62</v>
      </c>
      <c r="J329" s="3" t="s">
        <v>62</v>
      </c>
      <c r="K329" s="3" t="s">
        <v>63</v>
      </c>
      <c r="L329" s="2" t="s">
        <v>2973</v>
      </c>
      <c r="M329" s="2" t="s">
        <v>3499</v>
      </c>
      <c r="N329" s="3" t="s">
        <v>524</v>
      </c>
      <c r="P329" s="3" t="s">
        <v>64</v>
      </c>
      <c r="Q329" s="2" t="s">
        <v>3500</v>
      </c>
      <c r="R329" s="3" t="s">
        <v>65</v>
      </c>
      <c r="S329" s="4">
        <v>34</v>
      </c>
      <c r="T329" s="4">
        <v>34</v>
      </c>
      <c r="U329" s="5" t="s">
        <v>3501</v>
      </c>
      <c r="V329" s="5" t="s">
        <v>3501</v>
      </c>
      <c r="W329" s="5" t="s">
        <v>67</v>
      </c>
      <c r="X329" s="5" t="s">
        <v>67</v>
      </c>
      <c r="Y329" s="4">
        <v>400</v>
      </c>
      <c r="Z329" s="4">
        <v>23</v>
      </c>
      <c r="AA329" s="4">
        <v>108</v>
      </c>
      <c r="AB329" s="4">
        <v>2</v>
      </c>
      <c r="AC329" s="4">
        <v>17</v>
      </c>
      <c r="AD329" s="4">
        <v>111</v>
      </c>
      <c r="AE329" s="4">
        <v>145</v>
      </c>
      <c r="AF329" s="4">
        <v>1</v>
      </c>
      <c r="AG329" s="4">
        <v>8</v>
      </c>
      <c r="AH329" s="4">
        <v>101</v>
      </c>
      <c r="AI329" s="4">
        <v>107</v>
      </c>
      <c r="AJ329" s="4">
        <v>13</v>
      </c>
      <c r="AK329" s="4">
        <v>23</v>
      </c>
      <c r="AL329" s="4">
        <v>54</v>
      </c>
      <c r="AM329" s="4">
        <v>55</v>
      </c>
      <c r="AN329" s="4">
        <v>0</v>
      </c>
      <c r="AO329" s="4">
        <v>0</v>
      </c>
      <c r="AP329" s="4">
        <v>16</v>
      </c>
      <c r="AQ329" s="4">
        <v>45</v>
      </c>
      <c r="AR329" s="3" t="s">
        <v>62</v>
      </c>
      <c r="AS329" s="3" t="s">
        <v>62</v>
      </c>
      <c r="AT329" s="3" t="s">
        <v>62</v>
      </c>
      <c r="AV329" s="6" t="str">
        <f>HYPERLINK("http://mcgill.on.worldcat.org/oclc/32236425","Catalog Record")</f>
        <v>Catalog Record</v>
      </c>
      <c r="AW329" s="6" t="str">
        <f>HYPERLINK("http://www.worldcat.org/oclc/32236425","WorldCat Record")</f>
        <v>WorldCat Record</v>
      </c>
      <c r="AX329" s="3" t="s">
        <v>3502</v>
      </c>
      <c r="AY329" s="3" t="s">
        <v>3503</v>
      </c>
      <c r="AZ329" s="3" t="s">
        <v>3504</v>
      </c>
      <c r="BA329" s="3" t="s">
        <v>3504</v>
      </c>
      <c r="BB329" s="3" t="s">
        <v>3505</v>
      </c>
      <c r="BC329" s="3" t="s">
        <v>102</v>
      </c>
      <c r="BD329" s="3" t="s">
        <v>68</v>
      </c>
      <c r="BE329" s="3" t="s">
        <v>3506</v>
      </c>
      <c r="BF329" s="3" t="s">
        <v>3505</v>
      </c>
      <c r="BG329" s="3" t="s">
        <v>3507</v>
      </c>
    </row>
    <row r="330" spans="1:59" ht="58" x14ac:dyDescent="0.35">
      <c r="A330" s="2" t="s">
        <v>89</v>
      </c>
      <c r="B330" s="2" t="s">
        <v>90</v>
      </c>
      <c r="C330" s="2" t="s">
        <v>3508</v>
      </c>
      <c r="D330" s="2" t="s">
        <v>3509</v>
      </c>
      <c r="E330" s="2" t="s">
        <v>3510</v>
      </c>
      <c r="G330" s="3" t="s">
        <v>62</v>
      </c>
      <c r="I330" s="3" t="s">
        <v>62</v>
      </c>
      <c r="J330" s="3" t="s">
        <v>62</v>
      </c>
      <c r="K330" s="3" t="s">
        <v>63</v>
      </c>
      <c r="M330" s="2" t="s">
        <v>3511</v>
      </c>
      <c r="N330" s="3" t="s">
        <v>186</v>
      </c>
      <c r="P330" s="3" t="s">
        <v>64</v>
      </c>
      <c r="R330" s="3" t="s">
        <v>65</v>
      </c>
      <c r="S330" s="4">
        <v>12</v>
      </c>
      <c r="T330" s="4">
        <v>12</v>
      </c>
      <c r="U330" s="5" t="s">
        <v>3501</v>
      </c>
      <c r="V330" s="5" t="s">
        <v>3501</v>
      </c>
      <c r="W330" s="5" t="s">
        <v>67</v>
      </c>
      <c r="X330" s="5" t="s">
        <v>67</v>
      </c>
      <c r="Y330" s="4">
        <v>171</v>
      </c>
      <c r="Z330" s="4">
        <v>12</v>
      </c>
      <c r="AA330" s="4">
        <v>44</v>
      </c>
      <c r="AB330" s="4">
        <v>2</v>
      </c>
      <c r="AC330" s="4">
        <v>3</v>
      </c>
      <c r="AD330" s="4">
        <v>41</v>
      </c>
      <c r="AE330" s="4">
        <v>129</v>
      </c>
      <c r="AF330" s="4">
        <v>1</v>
      </c>
      <c r="AG330" s="4">
        <v>2</v>
      </c>
      <c r="AH330" s="4">
        <v>37</v>
      </c>
      <c r="AI330" s="4">
        <v>105</v>
      </c>
      <c r="AJ330" s="4">
        <v>9</v>
      </c>
      <c r="AK330" s="4">
        <v>23</v>
      </c>
      <c r="AL330" s="4">
        <v>18</v>
      </c>
      <c r="AM330" s="4">
        <v>55</v>
      </c>
      <c r="AN330" s="4">
        <v>0</v>
      </c>
      <c r="AO330" s="4">
        <v>0</v>
      </c>
      <c r="AP330" s="4">
        <v>10</v>
      </c>
      <c r="AQ330" s="4">
        <v>32</v>
      </c>
      <c r="AR330" s="3" t="s">
        <v>62</v>
      </c>
      <c r="AS330" s="3" t="s">
        <v>62</v>
      </c>
      <c r="AT330" s="3" t="s">
        <v>61</v>
      </c>
      <c r="AU330" s="6" t="str">
        <f>HYPERLINK("http://catalog.hathitrust.org/Record/006259469","HathiTrust Record")</f>
        <v>HathiTrust Record</v>
      </c>
      <c r="AV330" s="6" t="str">
        <f>HYPERLINK("http://mcgill.on.worldcat.org/oclc/1887770","Catalog Record")</f>
        <v>Catalog Record</v>
      </c>
      <c r="AW330" s="6" t="str">
        <f>HYPERLINK("http://www.worldcat.org/oclc/1887770","WorldCat Record")</f>
        <v>WorldCat Record</v>
      </c>
      <c r="AX330" s="3" t="s">
        <v>3512</v>
      </c>
      <c r="AY330" s="3" t="s">
        <v>3513</v>
      </c>
      <c r="AZ330" s="3" t="s">
        <v>3514</v>
      </c>
      <c r="BA330" s="3" t="s">
        <v>3514</v>
      </c>
      <c r="BB330" s="3" t="s">
        <v>3515</v>
      </c>
      <c r="BC330" s="3" t="s">
        <v>102</v>
      </c>
      <c r="BD330" s="3" t="s">
        <v>68</v>
      </c>
      <c r="BE330" s="3" t="s">
        <v>3516</v>
      </c>
      <c r="BF330" s="3" t="s">
        <v>3515</v>
      </c>
      <c r="BG330" s="3" t="s">
        <v>3517</v>
      </c>
    </row>
    <row r="331" spans="1:59" ht="58" x14ac:dyDescent="0.35">
      <c r="A331" s="2" t="s">
        <v>89</v>
      </c>
      <c r="B331" s="2" t="s">
        <v>90</v>
      </c>
      <c r="C331" s="2" t="s">
        <v>3518</v>
      </c>
      <c r="D331" s="2" t="s">
        <v>3519</v>
      </c>
      <c r="E331" s="2" t="s">
        <v>3520</v>
      </c>
      <c r="G331" s="3" t="s">
        <v>62</v>
      </c>
      <c r="I331" s="3" t="s">
        <v>62</v>
      </c>
      <c r="J331" s="3" t="s">
        <v>62</v>
      </c>
      <c r="K331" s="3" t="s">
        <v>63</v>
      </c>
      <c r="L331" s="2" t="s">
        <v>3521</v>
      </c>
      <c r="M331" s="2" t="s">
        <v>3522</v>
      </c>
      <c r="N331" s="3" t="s">
        <v>1038</v>
      </c>
      <c r="O331" s="2" t="s">
        <v>1941</v>
      </c>
      <c r="P331" s="3" t="s">
        <v>64</v>
      </c>
      <c r="R331" s="3" t="s">
        <v>65</v>
      </c>
      <c r="S331" s="4">
        <v>1</v>
      </c>
      <c r="T331" s="4">
        <v>1</v>
      </c>
      <c r="U331" s="5" t="s">
        <v>3523</v>
      </c>
      <c r="V331" s="5" t="s">
        <v>3523</v>
      </c>
      <c r="W331" s="5" t="s">
        <v>67</v>
      </c>
      <c r="X331" s="5" t="s">
        <v>67</v>
      </c>
      <c r="Y331" s="4">
        <v>133</v>
      </c>
      <c r="Z331" s="4">
        <v>13</v>
      </c>
      <c r="AA331" s="4">
        <v>24</v>
      </c>
      <c r="AB331" s="4">
        <v>2</v>
      </c>
      <c r="AC331" s="4">
        <v>5</v>
      </c>
      <c r="AD331" s="4">
        <v>49</v>
      </c>
      <c r="AE331" s="4">
        <v>65</v>
      </c>
      <c r="AF331" s="4">
        <v>1</v>
      </c>
      <c r="AG331" s="4">
        <v>1</v>
      </c>
      <c r="AH331" s="4">
        <v>44</v>
      </c>
      <c r="AI331" s="4">
        <v>57</v>
      </c>
      <c r="AJ331" s="4">
        <v>5</v>
      </c>
      <c r="AK331" s="4">
        <v>11</v>
      </c>
      <c r="AL331" s="4">
        <v>32</v>
      </c>
      <c r="AM331" s="4">
        <v>35</v>
      </c>
      <c r="AN331" s="4">
        <v>0</v>
      </c>
      <c r="AO331" s="4">
        <v>0</v>
      </c>
      <c r="AP331" s="4">
        <v>7</v>
      </c>
      <c r="AQ331" s="4">
        <v>15</v>
      </c>
      <c r="AR331" s="3" t="s">
        <v>62</v>
      </c>
      <c r="AS331" s="3" t="s">
        <v>62</v>
      </c>
      <c r="AT331" s="3" t="s">
        <v>62</v>
      </c>
      <c r="AV331" s="6" t="str">
        <f>HYPERLINK("http://mcgill.on.worldcat.org/oclc/917362552","Catalog Record")</f>
        <v>Catalog Record</v>
      </c>
      <c r="AW331" s="6" t="str">
        <f>HYPERLINK("http://www.worldcat.org/oclc/917362552","WorldCat Record")</f>
        <v>WorldCat Record</v>
      </c>
      <c r="AX331" s="3" t="s">
        <v>3524</v>
      </c>
      <c r="AY331" s="3" t="s">
        <v>3525</v>
      </c>
      <c r="AZ331" s="3" t="s">
        <v>3526</v>
      </c>
      <c r="BA331" s="3" t="s">
        <v>3526</v>
      </c>
      <c r="BB331" s="3" t="s">
        <v>3527</v>
      </c>
      <c r="BC331" s="3" t="s">
        <v>102</v>
      </c>
      <c r="BD331" s="3" t="s">
        <v>68</v>
      </c>
      <c r="BE331" s="3" t="s">
        <v>3528</v>
      </c>
      <c r="BF331" s="3" t="s">
        <v>3527</v>
      </c>
      <c r="BG331" s="3" t="s">
        <v>3529</v>
      </c>
    </row>
    <row r="332" spans="1:59" ht="58" x14ac:dyDescent="0.35">
      <c r="A332" s="2" t="s">
        <v>89</v>
      </c>
      <c r="B332" s="2" t="s">
        <v>90</v>
      </c>
      <c r="C332" s="2" t="s">
        <v>3530</v>
      </c>
      <c r="D332" s="2" t="s">
        <v>3531</v>
      </c>
      <c r="E332" s="2" t="s">
        <v>3532</v>
      </c>
      <c r="G332" s="3" t="s">
        <v>62</v>
      </c>
      <c r="I332" s="3" t="s">
        <v>61</v>
      </c>
      <c r="J332" s="3" t="s">
        <v>62</v>
      </c>
      <c r="K332" s="3" t="s">
        <v>63</v>
      </c>
      <c r="M332" s="2" t="s">
        <v>3533</v>
      </c>
      <c r="N332" s="3" t="s">
        <v>553</v>
      </c>
      <c r="P332" s="3" t="s">
        <v>64</v>
      </c>
      <c r="R332" s="3" t="s">
        <v>65</v>
      </c>
      <c r="S332" s="4">
        <v>71</v>
      </c>
      <c r="T332" s="4">
        <v>76</v>
      </c>
      <c r="U332" s="5" t="s">
        <v>3534</v>
      </c>
      <c r="V332" s="5" t="s">
        <v>3534</v>
      </c>
      <c r="W332" s="5" t="s">
        <v>67</v>
      </c>
      <c r="X332" s="5" t="s">
        <v>67</v>
      </c>
      <c r="Y332" s="4">
        <v>412</v>
      </c>
      <c r="Z332" s="4">
        <v>37</v>
      </c>
      <c r="AA332" s="4">
        <v>38</v>
      </c>
      <c r="AB332" s="4">
        <v>2</v>
      </c>
      <c r="AC332" s="4">
        <v>3</v>
      </c>
      <c r="AD332" s="4">
        <v>111</v>
      </c>
      <c r="AE332" s="4">
        <v>112</v>
      </c>
      <c r="AF332" s="4">
        <v>0</v>
      </c>
      <c r="AG332" s="4">
        <v>1</v>
      </c>
      <c r="AH332" s="4">
        <v>93</v>
      </c>
      <c r="AI332" s="4">
        <v>93</v>
      </c>
      <c r="AJ332" s="4">
        <v>19</v>
      </c>
      <c r="AK332" s="4">
        <v>20</v>
      </c>
      <c r="AL332" s="4">
        <v>53</v>
      </c>
      <c r="AM332" s="4">
        <v>53</v>
      </c>
      <c r="AN332" s="4">
        <v>0</v>
      </c>
      <c r="AO332" s="4">
        <v>0</v>
      </c>
      <c r="AP332" s="4">
        <v>27</v>
      </c>
      <c r="AQ332" s="4">
        <v>27</v>
      </c>
      <c r="AR332" s="3" t="s">
        <v>62</v>
      </c>
      <c r="AS332" s="3" t="s">
        <v>62</v>
      </c>
      <c r="AT332" s="3" t="s">
        <v>61</v>
      </c>
      <c r="AU332" s="6" t="str">
        <f>HYPERLINK("http://catalog.hathitrust.org/Record/004042157","HathiTrust Record")</f>
        <v>HathiTrust Record</v>
      </c>
      <c r="AV332" s="6" t="str">
        <f>HYPERLINK("http://mcgill.on.worldcat.org/oclc/40510462","Catalog Record")</f>
        <v>Catalog Record</v>
      </c>
      <c r="AW332" s="6" t="str">
        <f>HYPERLINK("http://www.worldcat.org/oclc/40510462","WorldCat Record")</f>
        <v>WorldCat Record</v>
      </c>
      <c r="AX332" s="3" t="s">
        <v>3535</v>
      </c>
      <c r="AY332" s="3" t="s">
        <v>3536</v>
      </c>
      <c r="AZ332" s="3" t="s">
        <v>3537</v>
      </c>
      <c r="BA332" s="3" t="s">
        <v>3537</v>
      </c>
      <c r="BB332" s="3" t="s">
        <v>3538</v>
      </c>
      <c r="BC332" s="3" t="s">
        <v>102</v>
      </c>
      <c r="BD332" s="3" t="s">
        <v>231</v>
      </c>
      <c r="BE332" s="3" t="s">
        <v>3539</v>
      </c>
      <c r="BF332" s="3" t="s">
        <v>3538</v>
      </c>
      <c r="BG332" s="3" t="s">
        <v>3540</v>
      </c>
    </row>
    <row r="333" spans="1:59" ht="58" x14ac:dyDescent="0.35">
      <c r="A333" s="2" t="s">
        <v>89</v>
      </c>
      <c r="B333" s="2" t="s">
        <v>90</v>
      </c>
      <c r="C333" s="2" t="s">
        <v>3530</v>
      </c>
      <c r="D333" s="2" t="s">
        <v>3531</v>
      </c>
      <c r="E333" s="2" t="s">
        <v>3532</v>
      </c>
      <c r="G333" s="3" t="s">
        <v>62</v>
      </c>
      <c r="I333" s="3" t="s">
        <v>61</v>
      </c>
      <c r="J333" s="3" t="s">
        <v>62</v>
      </c>
      <c r="K333" s="3" t="s">
        <v>63</v>
      </c>
      <c r="M333" s="2" t="s">
        <v>3533</v>
      </c>
      <c r="N333" s="3" t="s">
        <v>553</v>
      </c>
      <c r="P333" s="3" t="s">
        <v>64</v>
      </c>
      <c r="R333" s="3" t="s">
        <v>65</v>
      </c>
      <c r="S333" s="4">
        <v>5</v>
      </c>
      <c r="T333" s="4">
        <v>76</v>
      </c>
      <c r="U333" s="5" t="s">
        <v>3541</v>
      </c>
      <c r="V333" s="5" t="s">
        <v>3534</v>
      </c>
      <c r="W333" s="5" t="s">
        <v>67</v>
      </c>
      <c r="X333" s="5" t="s">
        <v>67</v>
      </c>
      <c r="Y333" s="4">
        <v>412</v>
      </c>
      <c r="Z333" s="4">
        <v>37</v>
      </c>
      <c r="AA333" s="4">
        <v>38</v>
      </c>
      <c r="AB333" s="4">
        <v>2</v>
      </c>
      <c r="AC333" s="4">
        <v>3</v>
      </c>
      <c r="AD333" s="4">
        <v>111</v>
      </c>
      <c r="AE333" s="4">
        <v>112</v>
      </c>
      <c r="AF333" s="4">
        <v>0</v>
      </c>
      <c r="AG333" s="4">
        <v>1</v>
      </c>
      <c r="AH333" s="4">
        <v>93</v>
      </c>
      <c r="AI333" s="4">
        <v>93</v>
      </c>
      <c r="AJ333" s="4">
        <v>19</v>
      </c>
      <c r="AK333" s="4">
        <v>20</v>
      </c>
      <c r="AL333" s="4">
        <v>53</v>
      </c>
      <c r="AM333" s="4">
        <v>53</v>
      </c>
      <c r="AN333" s="4">
        <v>0</v>
      </c>
      <c r="AO333" s="4">
        <v>0</v>
      </c>
      <c r="AP333" s="4">
        <v>27</v>
      </c>
      <c r="AQ333" s="4">
        <v>27</v>
      </c>
      <c r="AR333" s="3" t="s">
        <v>62</v>
      </c>
      <c r="AS333" s="3" t="s">
        <v>62</v>
      </c>
      <c r="AT333" s="3" t="s">
        <v>61</v>
      </c>
      <c r="AU333" s="6" t="str">
        <f>HYPERLINK("http://catalog.hathitrust.org/Record/004042157","HathiTrust Record")</f>
        <v>HathiTrust Record</v>
      </c>
      <c r="AV333" s="6" t="str">
        <f>HYPERLINK("http://mcgill.on.worldcat.org/oclc/40510462","Catalog Record")</f>
        <v>Catalog Record</v>
      </c>
      <c r="AW333" s="6" t="str">
        <f>HYPERLINK("http://www.worldcat.org/oclc/40510462","WorldCat Record")</f>
        <v>WorldCat Record</v>
      </c>
      <c r="AX333" s="3" t="s">
        <v>3535</v>
      </c>
      <c r="AY333" s="3" t="s">
        <v>3536</v>
      </c>
      <c r="AZ333" s="3" t="s">
        <v>3537</v>
      </c>
      <c r="BA333" s="3" t="s">
        <v>3537</v>
      </c>
      <c r="BB333" s="3" t="s">
        <v>3542</v>
      </c>
      <c r="BC333" s="3" t="s">
        <v>102</v>
      </c>
      <c r="BD333" s="3" t="s">
        <v>68</v>
      </c>
      <c r="BE333" s="3" t="s">
        <v>3539</v>
      </c>
      <c r="BF333" s="3" t="s">
        <v>3542</v>
      </c>
      <c r="BG333" s="3" t="s">
        <v>3543</v>
      </c>
    </row>
    <row r="334" spans="1:59" ht="58" x14ac:dyDescent="0.35">
      <c r="A334" s="2" t="s">
        <v>89</v>
      </c>
      <c r="B334" s="2" t="s">
        <v>90</v>
      </c>
      <c r="C334" s="2" t="s">
        <v>3544</v>
      </c>
      <c r="D334" s="2" t="s">
        <v>3545</v>
      </c>
      <c r="E334" s="2" t="s">
        <v>3546</v>
      </c>
      <c r="G334" s="3" t="s">
        <v>62</v>
      </c>
      <c r="I334" s="3" t="s">
        <v>62</v>
      </c>
      <c r="J334" s="3" t="s">
        <v>62</v>
      </c>
      <c r="K334" s="3" t="s">
        <v>63</v>
      </c>
      <c r="M334" s="2" t="s">
        <v>3547</v>
      </c>
      <c r="N334" s="3" t="s">
        <v>880</v>
      </c>
      <c r="P334" s="3" t="s">
        <v>1881</v>
      </c>
      <c r="Q334" s="2" t="s">
        <v>3548</v>
      </c>
      <c r="R334" s="3" t="s">
        <v>65</v>
      </c>
      <c r="S334" s="4">
        <v>0</v>
      </c>
      <c r="T334" s="4">
        <v>0</v>
      </c>
      <c r="W334" s="5" t="s">
        <v>67</v>
      </c>
      <c r="X334" s="5" t="s">
        <v>67</v>
      </c>
      <c r="Y334" s="4">
        <v>10</v>
      </c>
      <c r="Z334" s="4">
        <v>1</v>
      </c>
      <c r="AA334" s="4">
        <v>1</v>
      </c>
      <c r="AB334" s="4">
        <v>1</v>
      </c>
      <c r="AC334" s="4">
        <v>1</v>
      </c>
      <c r="AD334" s="4">
        <v>5</v>
      </c>
      <c r="AE334" s="4">
        <v>5</v>
      </c>
      <c r="AF334" s="4">
        <v>0</v>
      </c>
      <c r="AG334" s="4">
        <v>0</v>
      </c>
      <c r="AH334" s="4">
        <v>4</v>
      </c>
      <c r="AI334" s="4">
        <v>4</v>
      </c>
      <c r="AJ334" s="4">
        <v>0</v>
      </c>
      <c r="AK334" s="4">
        <v>0</v>
      </c>
      <c r="AL334" s="4">
        <v>4</v>
      </c>
      <c r="AM334" s="4">
        <v>4</v>
      </c>
      <c r="AN334" s="4">
        <v>0</v>
      </c>
      <c r="AO334" s="4">
        <v>0</v>
      </c>
      <c r="AP334" s="4">
        <v>0</v>
      </c>
      <c r="AQ334" s="4">
        <v>0</v>
      </c>
      <c r="AR334" s="3" t="s">
        <v>62</v>
      </c>
      <c r="AS334" s="3" t="s">
        <v>62</v>
      </c>
      <c r="AT334" s="3" t="s">
        <v>62</v>
      </c>
      <c r="AV334" s="6" t="str">
        <f>HYPERLINK("http://mcgill.on.worldcat.org/oclc/660034250","Catalog Record")</f>
        <v>Catalog Record</v>
      </c>
      <c r="AW334" s="6" t="str">
        <f>HYPERLINK("http://www.worldcat.org/oclc/660034250","WorldCat Record")</f>
        <v>WorldCat Record</v>
      </c>
      <c r="AX334" s="3" t="s">
        <v>3549</v>
      </c>
      <c r="AY334" s="3" t="s">
        <v>3550</v>
      </c>
      <c r="AZ334" s="3" t="s">
        <v>3551</v>
      </c>
      <c r="BA334" s="3" t="s">
        <v>3551</v>
      </c>
      <c r="BB334" s="3" t="s">
        <v>3552</v>
      </c>
      <c r="BC334" s="3" t="s">
        <v>102</v>
      </c>
      <c r="BD334" s="3" t="s">
        <v>68</v>
      </c>
      <c r="BE334" s="3" t="s">
        <v>3553</v>
      </c>
      <c r="BF334" s="3" t="s">
        <v>3552</v>
      </c>
      <c r="BG334" s="3" t="s">
        <v>3554</v>
      </c>
    </row>
    <row r="335" spans="1:59" ht="58" x14ac:dyDescent="0.35">
      <c r="A335" s="2" t="s">
        <v>89</v>
      </c>
      <c r="B335" s="2" t="s">
        <v>90</v>
      </c>
      <c r="C335" s="2" t="s">
        <v>3555</v>
      </c>
      <c r="D335" s="2" t="s">
        <v>3556</v>
      </c>
      <c r="E335" s="2" t="s">
        <v>3557</v>
      </c>
      <c r="G335" s="3" t="s">
        <v>62</v>
      </c>
      <c r="I335" s="3" t="s">
        <v>62</v>
      </c>
      <c r="J335" s="3" t="s">
        <v>62</v>
      </c>
      <c r="K335" s="3" t="s">
        <v>63</v>
      </c>
      <c r="M335" s="2" t="s">
        <v>3558</v>
      </c>
      <c r="N335" s="3" t="s">
        <v>129</v>
      </c>
      <c r="P335" s="3" t="s">
        <v>64</v>
      </c>
      <c r="Q335" s="2" t="s">
        <v>3559</v>
      </c>
      <c r="R335" s="3" t="s">
        <v>65</v>
      </c>
      <c r="S335" s="4">
        <v>2</v>
      </c>
      <c r="T335" s="4">
        <v>2</v>
      </c>
      <c r="U335" s="5" t="s">
        <v>3560</v>
      </c>
      <c r="V335" s="5" t="s">
        <v>3560</v>
      </c>
      <c r="W335" s="5" t="s">
        <v>67</v>
      </c>
      <c r="X335" s="5" t="s">
        <v>67</v>
      </c>
      <c r="Y335" s="4">
        <v>71</v>
      </c>
      <c r="Z335" s="4">
        <v>3</v>
      </c>
      <c r="AA335" s="4">
        <v>3</v>
      </c>
      <c r="AB335" s="4">
        <v>1</v>
      </c>
      <c r="AC335" s="4">
        <v>1</v>
      </c>
      <c r="AD335" s="4">
        <v>30</v>
      </c>
      <c r="AE335" s="4">
        <v>30</v>
      </c>
      <c r="AF335" s="4">
        <v>0</v>
      </c>
      <c r="AG335" s="4">
        <v>0</v>
      </c>
      <c r="AH335" s="4">
        <v>28</v>
      </c>
      <c r="AI335" s="4">
        <v>28</v>
      </c>
      <c r="AJ335" s="4">
        <v>2</v>
      </c>
      <c r="AK335" s="4">
        <v>2</v>
      </c>
      <c r="AL335" s="4">
        <v>21</v>
      </c>
      <c r="AM335" s="4">
        <v>21</v>
      </c>
      <c r="AN335" s="4">
        <v>0</v>
      </c>
      <c r="AO335" s="4">
        <v>0</v>
      </c>
      <c r="AP335" s="4">
        <v>2</v>
      </c>
      <c r="AQ335" s="4">
        <v>2</v>
      </c>
      <c r="AR335" s="3" t="s">
        <v>62</v>
      </c>
      <c r="AS335" s="3" t="s">
        <v>62</v>
      </c>
      <c r="AT335" s="3" t="s">
        <v>62</v>
      </c>
      <c r="AV335" s="6" t="str">
        <f>HYPERLINK("http://mcgill.on.worldcat.org/oclc/793570649","Catalog Record")</f>
        <v>Catalog Record</v>
      </c>
      <c r="AW335" s="6" t="str">
        <f>HYPERLINK("http://www.worldcat.org/oclc/793570649","WorldCat Record")</f>
        <v>WorldCat Record</v>
      </c>
      <c r="AX335" s="3" t="s">
        <v>3561</v>
      </c>
      <c r="AY335" s="3" t="s">
        <v>3562</v>
      </c>
      <c r="AZ335" s="3" t="s">
        <v>3563</v>
      </c>
      <c r="BA335" s="3" t="s">
        <v>3563</v>
      </c>
      <c r="BB335" s="3" t="s">
        <v>3564</v>
      </c>
      <c r="BC335" s="3" t="s">
        <v>102</v>
      </c>
      <c r="BD335" s="3" t="s">
        <v>68</v>
      </c>
      <c r="BE335" s="3" t="s">
        <v>3565</v>
      </c>
      <c r="BF335" s="3" t="s">
        <v>3564</v>
      </c>
      <c r="BG335" s="3" t="s">
        <v>3566</v>
      </c>
    </row>
    <row r="336" spans="1:59" ht="58" x14ac:dyDescent="0.35">
      <c r="A336" s="2" t="s">
        <v>89</v>
      </c>
      <c r="B336" s="2" t="s">
        <v>90</v>
      </c>
      <c r="C336" s="2" t="s">
        <v>3567</v>
      </c>
      <c r="D336" s="2" t="s">
        <v>3568</v>
      </c>
      <c r="E336" s="2" t="s">
        <v>3569</v>
      </c>
      <c r="G336" s="3" t="s">
        <v>62</v>
      </c>
      <c r="I336" s="3" t="s">
        <v>62</v>
      </c>
      <c r="J336" s="3" t="s">
        <v>62</v>
      </c>
      <c r="K336" s="3" t="s">
        <v>63</v>
      </c>
      <c r="L336" s="2" t="s">
        <v>3570</v>
      </c>
      <c r="M336" s="2" t="s">
        <v>3571</v>
      </c>
      <c r="N336" s="3" t="s">
        <v>712</v>
      </c>
      <c r="P336" s="3" t="s">
        <v>64</v>
      </c>
      <c r="R336" s="3" t="s">
        <v>65</v>
      </c>
      <c r="S336" s="4">
        <v>3</v>
      </c>
      <c r="T336" s="4">
        <v>3</v>
      </c>
      <c r="U336" s="5" t="s">
        <v>3572</v>
      </c>
      <c r="V336" s="5" t="s">
        <v>3572</v>
      </c>
      <c r="W336" s="5" t="s">
        <v>67</v>
      </c>
      <c r="X336" s="5" t="s">
        <v>67</v>
      </c>
      <c r="Y336" s="4">
        <v>115</v>
      </c>
      <c r="Z336" s="4">
        <v>9</v>
      </c>
      <c r="AA336" s="4">
        <v>14</v>
      </c>
      <c r="AB336" s="4">
        <v>1</v>
      </c>
      <c r="AC336" s="4">
        <v>3</v>
      </c>
      <c r="AD336" s="4">
        <v>51</v>
      </c>
      <c r="AE336" s="4">
        <v>57</v>
      </c>
      <c r="AF336" s="4">
        <v>0</v>
      </c>
      <c r="AG336" s="4">
        <v>0</v>
      </c>
      <c r="AH336" s="4">
        <v>47</v>
      </c>
      <c r="AI336" s="4">
        <v>51</v>
      </c>
      <c r="AJ336" s="4">
        <v>7</v>
      </c>
      <c r="AK336" s="4">
        <v>7</v>
      </c>
      <c r="AL336" s="4">
        <v>32</v>
      </c>
      <c r="AM336" s="4">
        <v>35</v>
      </c>
      <c r="AN336" s="4">
        <v>0</v>
      </c>
      <c r="AO336" s="4">
        <v>0</v>
      </c>
      <c r="AP336" s="4">
        <v>7</v>
      </c>
      <c r="AQ336" s="4">
        <v>9</v>
      </c>
      <c r="AR336" s="3" t="s">
        <v>62</v>
      </c>
      <c r="AS336" s="3" t="s">
        <v>62</v>
      </c>
      <c r="AT336" s="3" t="s">
        <v>62</v>
      </c>
      <c r="AV336" s="6" t="str">
        <f>HYPERLINK("http://mcgill.on.worldcat.org/oclc/852833494","Catalog Record")</f>
        <v>Catalog Record</v>
      </c>
      <c r="AW336" s="6" t="str">
        <f>HYPERLINK("http://www.worldcat.org/oclc/852833494","WorldCat Record")</f>
        <v>WorldCat Record</v>
      </c>
      <c r="AX336" s="3" t="s">
        <v>3573</v>
      </c>
      <c r="AY336" s="3" t="s">
        <v>3574</v>
      </c>
      <c r="AZ336" s="3" t="s">
        <v>3575</v>
      </c>
      <c r="BA336" s="3" t="s">
        <v>3575</v>
      </c>
      <c r="BB336" s="3" t="s">
        <v>3576</v>
      </c>
      <c r="BC336" s="3" t="s">
        <v>102</v>
      </c>
      <c r="BD336" s="3" t="s">
        <v>231</v>
      </c>
      <c r="BE336" s="3" t="s">
        <v>3577</v>
      </c>
      <c r="BF336" s="3" t="s">
        <v>3576</v>
      </c>
      <c r="BG336" s="3" t="s">
        <v>3578</v>
      </c>
    </row>
    <row r="337" spans="1:59" ht="58" x14ac:dyDescent="0.35">
      <c r="A337" s="2" t="s">
        <v>89</v>
      </c>
      <c r="B337" s="2" t="s">
        <v>90</v>
      </c>
      <c r="C337" s="2" t="s">
        <v>3579</v>
      </c>
      <c r="D337" s="2" t="s">
        <v>3580</v>
      </c>
      <c r="E337" s="2" t="s">
        <v>3581</v>
      </c>
      <c r="G337" s="3" t="s">
        <v>62</v>
      </c>
      <c r="I337" s="3" t="s">
        <v>62</v>
      </c>
      <c r="J337" s="3" t="s">
        <v>62</v>
      </c>
      <c r="K337" s="3" t="s">
        <v>63</v>
      </c>
      <c r="M337" s="2" t="s">
        <v>3582</v>
      </c>
      <c r="N337" s="3" t="s">
        <v>2136</v>
      </c>
      <c r="P337" s="3" t="s">
        <v>85</v>
      </c>
      <c r="R337" s="3" t="s">
        <v>65</v>
      </c>
      <c r="S337" s="4">
        <v>14</v>
      </c>
      <c r="T337" s="4">
        <v>14</v>
      </c>
      <c r="U337" s="5" t="s">
        <v>3583</v>
      </c>
      <c r="V337" s="5" t="s">
        <v>3583</v>
      </c>
      <c r="W337" s="5" t="s">
        <v>67</v>
      </c>
      <c r="X337" s="5" t="s">
        <v>67</v>
      </c>
      <c r="Y337" s="4">
        <v>13</v>
      </c>
      <c r="Z337" s="4">
        <v>5</v>
      </c>
      <c r="AA337" s="4">
        <v>20</v>
      </c>
      <c r="AB337" s="4">
        <v>1</v>
      </c>
      <c r="AC337" s="4">
        <v>8</v>
      </c>
      <c r="AD337" s="4">
        <v>9</v>
      </c>
      <c r="AE337" s="4">
        <v>33</v>
      </c>
      <c r="AF337" s="4">
        <v>0</v>
      </c>
      <c r="AG337" s="4">
        <v>3</v>
      </c>
      <c r="AH337" s="4">
        <v>8</v>
      </c>
      <c r="AI337" s="4">
        <v>27</v>
      </c>
      <c r="AJ337" s="4">
        <v>3</v>
      </c>
      <c r="AK337" s="4">
        <v>12</v>
      </c>
      <c r="AL337" s="4">
        <v>7</v>
      </c>
      <c r="AM337" s="4">
        <v>19</v>
      </c>
      <c r="AN337" s="4">
        <v>0</v>
      </c>
      <c r="AO337" s="4">
        <v>0</v>
      </c>
      <c r="AP337" s="4">
        <v>3</v>
      </c>
      <c r="AQ337" s="4">
        <v>11</v>
      </c>
      <c r="AR337" s="3" t="s">
        <v>61</v>
      </c>
      <c r="AS337" s="3" t="s">
        <v>62</v>
      </c>
      <c r="AT337" s="3" t="s">
        <v>62</v>
      </c>
      <c r="AV337" s="6" t="str">
        <f>HYPERLINK("http://mcgill.on.worldcat.org/oclc/62781227","Catalog Record")</f>
        <v>Catalog Record</v>
      </c>
      <c r="AW337" s="6" t="str">
        <f>HYPERLINK("http://www.worldcat.org/oclc/62781227","WorldCat Record")</f>
        <v>WorldCat Record</v>
      </c>
      <c r="AX337" s="3" t="s">
        <v>3584</v>
      </c>
      <c r="AY337" s="3" t="s">
        <v>3585</v>
      </c>
      <c r="AZ337" s="3" t="s">
        <v>3586</v>
      </c>
      <c r="BA337" s="3" t="s">
        <v>3586</v>
      </c>
      <c r="BB337" s="3" t="s">
        <v>3587</v>
      </c>
      <c r="BC337" s="3" t="s">
        <v>102</v>
      </c>
      <c r="BD337" s="3" t="s">
        <v>68</v>
      </c>
      <c r="BE337" s="3" t="s">
        <v>3588</v>
      </c>
      <c r="BF337" s="3" t="s">
        <v>3587</v>
      </c>
      <c r="BG337" s="3" t="s">
        <v>3589</v>
      </c>
    </row>
    <row r="338" spans="1:59" ht="58" x14ac:dyDescent="0.35">
      <c r="A338" s="2" t="s">
        <v>89</v>
      </c>
      <c r="B338" s="2" t="s">
        <v>90</v>
      </c>
      <c r="C338" s="2" t="s">
        <v>3590</v>
      </c>
      <c r="D338" s="2" t="s">
        <v>3591</v>
      </c>
      <c r="E338" s="2" t="s">
        <v>3592</v>
      </c>
      <c r="G338" s="3" t="s">
        <v>62</v>
      </c>
      <c r="I338" s="3" t="s">
        <v>62</v>
      </c>
      <c r="J338" s="3" t="s">
        <v>62</v>
      </c>
      <c r="K338" s="3" t="s">
        <v>63</v>
      </c>
      <c r="L338" s="2" t="s">
        <v>3593</v>
      </c>
      <c r="M338" s="2" t="s">
        <v>3594</v>
      </c>
      <c r="N338" s="3" t="s">
        <v>2702</v>
      </c>
      <c r="P338" s="3" t="s">
        <v>85</v>
      </c>
      <c r="R338" s="3" t="s">
        <v>65</v>
      </c>
      <c r="S338" s="4">
        <v>6</v>
      </c>
      <c r="T338" s="4">
        <v>6</v>
      </c>
      <c r="U338" s="5" t="s">
        <v>3595</v>
      </c>
      <c r="V338" s="5" t="s">
        <v>3595</v>
      </c>
      <c r="W338" s="5" t="s">
        <v>67</v>
      </c>
      <c r="X338" s="5" t="s">
        <v>67</v>
      </c>
      <c r="Y338" s="4">
        <v>57</v>
      </c>
      <c r="Z338" s="4">
        <v>7</v>
      </c>
      <c r="AA338" s="4">
        <v>11</v>
      </c>
      <c r="AB338" s="4">
        <v>1</v>
      </c>
      <c r="AC338" s="4">
        <v>4</v>
      </c>
      <c r="AD338" s="4">
        <v>21</v>
      </c>
      <c r="AE338" s="4">
        <v>24</v>
      </c>
      <c r="AF338" s="4">
        <v>0</v>
      </c>
      <c r="AG338" s="4">
        <v>2</v>
      </c>
      <c r="AH338" s="4">
        <v>20</v>
      </c>
      <c r="AI338" s="4">
        <v>22</v>
      </c>
      <c r="AJ338" s="4">
        <v>4</v>
      </c>
      <c r="AK338" s="4">
        <v>7</v>
      </c>
      <c r="AL338" s="4">
        <v>12</v>
      </c>
      <c r="AM338" s="4">
        <v>12</v>
      </c>
      <c r="AN338" s="4">
        <v>0</v>
      </c>
      <c r="AO338" s="4">
        <v>0</v>
      </c>
      <c r="AP338" s="4">
        <v>4</v>
      </c>
      <c r="AQ338" s="4">
        <v>6</v>
      </c>
      <c r="AR338" s="3" t="s">
        <v>62</v>
      </c>
      <c r="AS338" s="3" t="s">
        <v>62</v>
      </c>
      <c r="AT338" s="3" t="s">
        <v>62</v>
      </c>
      <c r="AV338" s="6" t="str">
        <f>HYPERLINK("http://mcgill.on.worldcat.org/oclc/11187319","Catalog Record")</f>
        <v>Catalog Record</v>
      </c>
      <c r="AW338" s="6" t="str">
        <f>HYPERLINK("http://www.worldcat.org/oclc/11187319","WorldCat Record")</f>
        <v>WorldCat Record</v>
      </c>
      <c r="AX338" s="3" t="s">
        <v>3596</v>
      </c>
      <c r="AY338" s="3" t="s">
        <v>3597</v>
      </c>
      <c r="AZ338" s="3" t="s">
        <v>3598</v>
      </c>
      <c r="BA338" s="3" t="s">
        <v>3598</v>
      </c>
      <c r="BB338" s="3" t="s">
        <v>3599</v>
      </c>
      <c r="BC338" s="3" t="s">
        <v>102</v>
      </c>
      <c r="BD338" s="3" t="s">
        <v>68</v>
      </c>
      <c r="BF338" s="3" t="s">
        <v>3599</v>
      </c>
      <c r="BG338" s="3" t="s">
        <v>3600</v>
      </c>
    </row>
    <row r="339" spans="1:59" ht="58" x14ac:dyDescent="0.35">
      <c r="A339" s="2" t="s">
        <v>89</v>
      </c>
      <c r="B339" s="2" t="s">
        <v>90</v>
      </c>
      <c r="C339" s="2" t="s">
        <v>3601</v>
      </c>
      <c r="D339" s="2" t="s">
        <v>3602</v>
      </c>
      <c r="E339" s="2" t="s">
        <v>3603</v>
      </c>
      <c r="G339" s="3" t="s">
        <v>62</v>
      </c>
      <c r="I339" s="3" t="s">
        <v>62</v>
      </c>
      <c r="J339" s="3" t="s">
        <v>62</v>
      </c>
      <c r="K339" s="3" t="s">
        <v>63</v>
      </c>
      <c r="M339" s="2" t="s">
        <v>3604</v>
      </c>
      <c r="N339" s="3" t="s">
        <v>1455</v>
      </c>
      <c r="P339" s="3" t="s">
        <v>85</v>
      </c>
      <c r="Q339" s="2" t="s">
        <v>3605</v>
      </c>
      <c r="R339" s="3" t="s">
        <v>65</v>
      </c>
      <c r="S339" s="4">
        <v>7</v>
      </c>
      <c r="T339" s="4">
        <v>7</v>
      </c>
      <c r="U339" s="5" t="s">
        <v>3583</v>
      </c>
      <c r="V339" s="5" t="s">
        <v>3583</v>
      </c>
      <c r="W339" s="5" t="s">
        <v>67</v>
      </c>
      <c r="X339" s="5" t="s">
        <v>67</v>
      </c>
      <c r="Y339" s="4">
        <v>152</v>
      </c>
      <c r="Z339" s="4">
        <v>16</v>
      </c>
      <c r="AA339" s="4">
        <v>22</v>
      </c>
      <c r="AB339" s="4">
        <v>1</v>
      </c>
      <c r="AC339" s="4">
        <v>6</v>
      </c>
      <c r="AD339" s="4">
        <v>76</v>
      </c>
      <c r="AE339" s="4">
        <v>80</v>
      </c>
      <c r="AF339" s="4">
        <v>0</v>
      </c>
      <c r="AG339" s="4">
        <v>3</v>
      </c>
      <c r="AH339" s="4">
        <v>72</v>
      </c>
      <c r="AI339" s="4">
        <v>74</v>
      </c>
      <c r="AJ339" s="4">
        <v>13</v>
      </c>
      <c r="AK339" s="4">
        <v>17</v>
      </c>
      <c r="AL339" s="4">
        <v>43</v>
      </c>
      <c r="AM339" s="4">
        <v>43</v>
      </c>
      <c r="AN339" s="4">
        <v>0</v>
      </c>
      <c r="AO339" s="4">
        <v>0</v>
      </c>
      <c r="AP339" s="4">
        <v>13</v>
      </c>
      <c r="AQ339" s="4">
        <v>16</v>
      </c>
      <c r="AR339" s="3" t="s">
        <v>62</v>
      </c>
      <c r="AS339" s="3" t="s">
        <v>62</v>
      </c>
      <c r="AT339" s="3" t="s">
        <v>62</v>
      </c>
      <c r="AV339" s="6" t="str">
        <f>HYPERLINK("http://mcgill.on.worldcat.org/oclc/899702818","Catalog Record")</f>
        <v>Catalog Record</v>
      </c>
      <c r="AW339" s="6" t="str">
        <f>HYPERLINK("http://www.worldcat.org/oclc/899702818","WorldCat Record")</f>
        <v>WorldCat Record</v>
      </c>
      <c r="AX339" s="3" t="s">
        <v>3606</v>
      </c>
      <c r="AY339" s="3" t="s">
        <v>3607</v>
      </c>
      <c r="AZ339" s="3" t="s">
        <v>3608</v>
      </c>
      <c r="BA339" s="3" t="s">
        <v>3608</v>
      </c>
      <c r="BB339" s="3" t="s">
        <v>3609</v>
      </c>
      <c r="BC339" s="3" t="s">
        <v>102</v>
      </c>
      <c r="BD339" s="3" t="s">
        <v>231</v>
      </c>
      <c r="BE339" s="3" t="s">
        <v>3610</v>
      </c>
      <c r="BF339" s="3" t="s">
        <v>3609</v>
      </c>
      <c r="BG339" s="3" t="s">
        <v>3611</v>
      </c>
    </row>
    <row r="340" spans="1:59" ht="58" x14ac:dyDescent="0.35">
      <c r="A340" s="2" t="s">
        <v>89</v>
      </c>
      <c r="B340" s="2" t="s">
        <v>90</v>
      </c>
      <c r="C340" s="2" t="s">
        <v>3612</v>
      </c>
      <c r="D340" s="2" t="s">
        <v>3613</v>
      </c>
      <c r="E340" s="2" t="s">
        <v>3614</v>
      </c>
      <c r="G340" s="3" t="s">
        <v>62</v>
      </c>
      <c r="I340" s="3" t="s">
        <v>62</v>
      </c>
      <c r="J340" s="3" t="s">
        <v>62</v>
      </c>
      <c r="K340" s="3" t="s">
        <v>63</v>
      </c>
      <c r="M340" s="2" t="s">
        <v>3615</v>
      </c>
      <c r="N340" s="3" t="s">
        <v>655</v>
      </c>
      <c r="P340" s="3" t="s">
        <v>64</v>
      </c>
      <c r="R340" s="3" t="s">
        <v>65</v>
      </c>
      <c r="S340" s="4">
        <v>7</v>
      </c>
      <c r="T340" s="4">
        <v>7</v>
      </c>
      <c r="U340" s="5" t="s">
        <v>3616</v>
      </c>
      <c r="V340" s="5" t="s">
        <v>3616</v>
      </c>
      <c r="W340" s="5" t="s">
        <v>67</v>
      </c>
      <c r="X340" s="5" t="s">
        <v>67</v>
      </c>
      <c r="Y340" s="4">
        <v>41</v>
      </c>
      <c r="Z340" s="4">
        <v>4</v>
      </c>
      <c r="AA340" s="4">
        <v>4</v>
      </c>
      <c r="AB340" s="4">
        <v>1</v>
      </c>
      <c r="AC340" s="4">
        <v>1</v>
      </c>
      <c r="AD340" s="4">
        <v>17</v>
      </c>
      <c r="AE340" s="4">
        <v>17</v>
      </c>
      <c r="AF340" s="4">
        <v>0</v>
      </c>
      <c r="AG340" s="4">
        <v>0</v>
      </c>
      <c r="AH340" s="4">
        <v>16</v>
      </c>
      <c r="AI340" s="4">
        <v>16</v>
      </c>
      <c r="AJ340" s="4">
        <v>2</v>
      </c>
      <c r="AK340" s="4">
        <v>2</v>
      </c>
      <c r="AL340" s="4">
        <v>14</v>
      </c>
      <c r="AM340" s="4">
        <v>14</v>
      </c>
      <c r="AN340" s="4">
        <v>0</v>
      </c>
      <c r="AO340" s="4">
        <v>0</v>
      </c>
      <c r="AP340" s="4">
        <v>2</v>
      </c>
      <c r="AQ340" s="4">
        <v>2</v>
      </c>
      <c r="AR340" s="3" t="s">
        <v>62</v>
      </c>
      <c r="AS340" s="3" t="s">
        <v>62</v>
      </c>
      <c r="AT340" s="3" t="s">
        <v>62</v>
      </c>
      <c r="AV340" s="6" t="str">
        <f>HYPERLINK("http://mcgill.on.worldcat.org/oclc/170954876","Catalog Record")</f>
        <v>Catalog Record</v>
      </c>
      <c r="AW340" s="6" t="str">
        <f>HYPERLINK("http://www.worldcat.org/oclc/170954876","WorldCat Record")</f>
        <v>WorldCat Record</v>
      </c>
      <c r="AX340" s="3" t="s">
        <v>3617</v>
      </c>
      <c r="AY340" s="3" t="s">
        <v>3618</v>
      </c>
      <c r="AZ340" s="3" t="s">
        <v>3619</v>
      </c>
      <c r="BA340" s="3" t="s">
        <v>3619</v>
      </c>
      <c r="BB340" s="3" t="s">
        <v>3620</v>
      </c>
      <c r="BC340" s="3" t="s">
        <v>102</v>
      </c>
      <c r="BD340" s="3" t="s">
        <v>231</v>
      </c>
      <c r="BE340" s="3" t="s">
        <v>3621</v>
      </c>
      <c r="BF340" s="3" t="s">
        <v>3620</v>
      </c>
      <c r="BG340" s="3" t="s">
        <v>3622</v>
      </c>
    </row>
    <row r="341" spans="1:59" ht="58" x14ac:dyDescent="0.35">
      <c r="A341" s="2" t="s">
        <v>89</v>
      </c>
      <c r="B341" s="2" t="s">
        <v>90</v>
      </c>
      <c r="C341" s="2" t="s">
        <v>3623</v>
      </c>
      <c r="D341" s="2" t="s">
        <v>3624</v>
      </c>
      <c r="E341" s="2" t="s">
        <v>3625</v>
      </c>
      <c r="G341" s="3" t="s">
        <v>62</v>
      </c>
      <c r="I341" s="3" t="s">
        <v>62</v>
      </c>
      <c r="J341" s="3" t="s">
        <v>62</v>
      </c>
      <c r="K341" s="3" t="s">
        <v>63</v>
      </c>
      <c r="L341" s="2" t="s">
        <v>3626</v>
      </c>
      <c r="M341" s="2" t="s">
        <v>3627</v>
      </c>
      <c r="N341" s="3" t="s">
        <v>698</v>
      </c>
      <c r="P341" s="3" t="s">
        <v>64</v>
      </c>
      <c r="Q341" s="2" t="s">
        <v>3628</v>
      </c>
      <c r="R341" s="3" t="s">
        <v>65</v>
      </c>
      <c r="S341" s="4">
        <v>2</v>
      </c>
      <c r="T341" s="4">
        <v>2</v>
      </c>
      <c r="U341" s="5" t="s">
        <v>3501</v>
      </c>
      <c r="V341" s="5" t="s">
        <v>3501</v>
      </c>
      <c r="W341" s="5" t="s">
        <v>67</v>
      </c>
      <c r="X341" s="5" t="s">
        <v>67</v>
      </c>
      <c r="Y341" s="4">
        <v>233</v>
      </c>
      <c r="Z341" s="4">
        <v>11</v>
      </c>
      <c r="AA341" s="4">
        <v>80</v>
      </c>
      <c r="AB341" s="4">
        <v>1</v>
      </c>
      <c r="AC341" s="4">
        <v>14</v>
      </c>
      <c r="AD341" s="4">
        <v>85</v>
      </c>
      <c r="AE341" s="4">
        <v>130</v>
      </c>
      <c r="AF341" s="4">
        <v>0</v>
      </c>
      <c r="AG341" s="4">
        <v>8</v>
      </c>
      <c r="AH341" s="4">
        <v>82</v>
      </c>
      <c r="AI341" s="4">
        <v>97</v>
      </c>
      <c r="AJ341" s="4">
        <v>7</v>
      </c>
      <c r="AK341" s="4">
        <v>20</v>
      </c>
      <c r="AL341" s="4">
        <v>49</v>
      </c>
      <c r="AM341" s="4">
        <v>54</v>
      </c>
      <c r="AN341" s="4">
        <v>0</v>
      </c>
      <c r="AO341" s="4">
        <v>0</v>
      </c>
      <c r="AP341" s="4">
        <v>7</v>
      </c>
      <c r="AQ341" s="4">
        <v>40</v>
      </c>
      <c r="AR341" s="3" t="s">
        <v>62</v>
      </c>
      <c r="AS341" s="3" t="s">
        <v>62</v>
      </c>
      <c r="AT341" s="3" t="s">
        <v>62</v>
      </c>
      <c r="AV341" s="6" t="str">
        <f>HYPERLINK("http://mcgill.on.worldcat.org/oclc/771425011","Catalog Record")</f>
        <v>Catalog Record</v>
      </c>
      <c r="AW341" s="6" t="str">
        <f>HYPERLINK("http://www.worldcat.org/oclc/771425011","WorldCat Record")</f>
        <v>WorldCat Record</v>
      </c>
      <c r="AX341" s="3" t="s">
        <v>3629</v>
      </c>
      <c r="AY341" s="3" t="s">
        <v>3630</v>
      </c>
      <c r="AZ341" s="3" t="s">
        <v>3631</v>
      </c>
      <c r="BA341" s="3" t="s">
        <v>3631</v>
      </c>
      <c r="BB341" s="3" t="s">
        <v>3632</v>
      </c>
      <c r="BC341" s="3" t="s">
        <v>102</v>
      </c>
      <c r="BD341" s="3" t="s">
        <v>68</v>
      </c>
      <c r="BE341" s="3" t="s">
        <v>3633</v>
      </c>
      <c r="BF341" s="3" t="s">
        <v>3632</v>
      </c>
      <c r="BG341" s="3" t="s">
        <v>3634</v>
      </c>
    </row>
    <row r="342" spans="1:59" ht="58" x14ac:dyDescent="0.35">
      <c r="A342" s="2" t="s">
        <v>89</v>
      </c>
      <c r="B342" s="2" t="s">
        <v>90</v>
      </c>
      <c r="C342" s="2" t="s">
        <v>3635</v>
      </c>
      <c r="D342" s="2" t="s">
        <v>3636</v>
      </c>
      <c r="E342" s="2" t="s">
        <v>3637</v>
      </c>
      <c r="G342" s="3" t="s">
        <v>62</v>
      </c>
      <c r="I342" s="3" t="s">
        <v>61</v>
      </c>
      <c r="J342" s="3" t="s">
        <v>62</v>
      </c>
      <c r="K342" s="3" t="s">
        <v>63</v>
      </c>
      <c r="L342" s="2" t="s">
        <v>3120</v>
      </c>
      <c r="M342" s="2" t="s">
        <v>3638</v>
      </c>
      <c r="N342" s="3" t="s">
        <v>285</v>
      </c>
      <c r="P342" s="3" t="s">
        <v>64</v>
      </c>
      <c r="R342" s="3" t="s">
        <v>65</v>
      </c>
      <c r="S342" s="4">
        <v>36</v>
      </c>
      <c r="T342" s="4">
        <v>42</v>
      </c>
      <c r="U342" s="5" t="s">
        <v>2050</v>
      </c>
      <c r="V342" s="5" t="s">
        <v>2050</v>
      </c>
      <c r="W342" s="5" t="s">
        <v>67</v>
      </c>
      <c r="X342" s="5" t="s">
        <v>67</v>
      </c>
      <c r="Y342" s="4">
        <v>485</v>
      </c>
      <c r="Z342" s="4">
        <v>31</v>
      </c>
      <c r="AA342" s="4">
        <v>35</v>
      </c>
      <c r="AB342" s="4">
        <v>4</v>
      </c>
      <c r="AC342" s="4">
        <v>7</v>
      </c>
      <c r="AD342" s="4">
        <v>128</v>
      </c>
      <c r="AE342" s="4">
        <v>132</v>
      </c>
      <c r="AF342" s="4">
        <v>2</v>
      </c>
      <c r="AG342" s="4">
        <v>5</v>
      </c>
      <c r="AH342" s="4">
        <v>108</v>
      </c>
      <c r="AI342" s="4">
        <v>109</v>
      </c>
      <c r="AJ342" s="4">
        <v>19</v>
      </c>
      <c r="AK342" s="4">
        <v>22</v>
      </c>
      <c r="AL342" s="4">
        <v>56</v>
      </c>
      <c r="AM342" s="4">
        <v>56</v>
      </c>
      <c r="AN342" s="4">
        <v>0</v>
      </c>
      <c r="AO342" s="4">
        <v>0</v>
      </c>
      <c r="AP342" s="4">
        <v>27</v>
      </c>
      <c r="AQ342" s="4">
        <v>30</v>
      </c>
      <c r="AR342" s="3" t="s">
        <v>62</v>
      </c>
      <c r="AS342" s="3" t="s">
        <v>62</v>
      </c>
      <c r="AT342" s="3" t="s">
        <v>62</v>
      </c>
      <c r="AV342" s="6" t="str">
        <f>HYPERLINK("http://mcgill.on.worldcat.org/oclc/6602758","Catalog Record")</f>
        <v>Catalog Record</v>
      </c>
      <c r="AW342" s="6" t="str">
        <f>HYPERLINK("http://www.worldcat.org/oclc/6602758","WorldCat Record")</f>
        <v>WorldCat Record</v>
      </c>
      <c r="AX342" s="3" t="s">
        <v>3639</v>
      </c>
      <c r="AY342" s="3" t="s">
        <v>3640</v>
      </c>
      <c r="AZ342" s="3" t="s">
        <v>3641</v>
      </c>
      <c r="BA342" s="3" t="s">
        <v>3641</v>
      </c>
      <c r="BB342" s="3" t="s">
        <v>3642</v>
      </c>
      <c r="BC342" s="3" t="s">
        <v>102</v>
      </c>
      <c r="BD342" s="3" t="s">
        <v>68</v>
      </c>
      <c r="BE342" s="3" t="s">
        <v>3643</v>
      </c>
      <c r="BF342" s="3" t="s">
        <v>3642</v>
      </c>
      <c r="BG342" s="3" t="s">
        <v>3644</v>
      </c>
    </row>
    <row r="343" spans="1:59" ht="58" x14ac:dyDescent="0.35">
      <c r="A343" s="2" t="s">
        <v>89</v>
      </c>
      <c r="B343" s="2" t="s">
        <v>90</v>
      </c>
      <c r="C343" s="2" t="s">
        <v>3645</v>
      </c>
      <c r="D343" s="2" t="s">
        <v>3646</v>
      </c>
      <c r="E343" s="2" t="s">
        <v>3647</v>
      </c>
      <c r="G343" s="3" t="s">
        <v>62</v>
      </c>
      <c r="I343" s="3" t="s">
        <v>61</v>
      </c>
      <c r="J343" s="3" t="s">
        <v>62</v>
      </c>
      <c r="K343" s="3" t="s">
        <v>63</v>
      </c>
      <c r="L343" s="2" t="s">
        <v>3648</v>
      </c>
      <c r="M343" s="2" t="s">
        <v>3649</v>
      </c>
      <c r="N343" s="3" t="s">
        <v>81</v>
      </c>
      <c r="P343" s="3" t="s">
        <v>64</v>
      </c>
      <c r="R343" s="3" t="s">
        <v>65</v>
      </c>
      <c r="S343" s="4">
        <v>4</v>
      </c>
      <c r="T343" s="4">
        <v>4</v>
      </c>
      <c r="U343" s="5" t="s">
        <v>3650</v>
      </c>
      <c r="V343" s="5" t="s">
        <v>3650</v>
      </c>
      <c r="W343" s="5" t="s">
        <v>67</v>
      </c>
      <c r="X343" s="5" t="s">
        <v>67</v>
      </c>
      <c r="Y343" s="4">
        <v>653</v>
      </c>
      <c r="Z343" s="4">
        <v>40</v>
      </c>
      <c r="AA343" s="4">
        <v>47</v>
      </c>
      <c r="AB343" s="4">
        <v>5</v>
      </c>
      <c r="AC343" s="4">
        <v>10</v>
      </c>
      <c r="AD343" s="4">
        <v>136</v>
      </c>
      <c r="AE343" s="4">
        <v>141</v>
      </c>
      <c r="AF343" s="4">
        <v>2</v>
      </c>
      <c r="AG343" s="4">
        <v>4</v>
      </c>
      <c r="AH343" s="4">
        <v>108</v>
      </c>
      <c r="AI343" s="4">
        <v>112</v>
      </c>
      <c r="AJ343" s="4">
        <v>22</v>
      </c>
      <c r="AK343" s="4">
        <v>24</v>
      </c>
      <c r="AL343" s="4">
        <v>60</v>
      </c>
      <c r="AM343" s="4">
        <v>60</v>
      </c>
      <c r="AN343" s="4">
        <v>0</v>
      </c>
      <c r="AO343" s="4">
        <v>0</v>
      </c>
      <c r="AP343" s="4">
        <v>32</v>
      </c>
      <c r="AQ343" s="4">
        <v>33</v>
      </c>
      <c r="AR343" s="3" t="s">
        <v>62</v>
      </c>
      <c r="AS343" s="3" t="s">
        <v>62</v>
      </c>
      <c r="AT343" s="3" t="s">
        <v>62</v>
      </c>
      <c r="AV343" s="6" t="str">
        <f>HYPERLINK("http://mcgill.on.worldcat.org/oclc/301279","Catalog Record")</f>
        <v>Catalog Record</v>
      </c>
      <c r="AW343" s="6" t="str">
        <f>HYPERLINK("http://www.worldcat.org/oclc/301279","WorldCat Record")</f>
        <v>WorldCat Record</v>
      </c>
      <c r="AX343" s="3" t="s">
        <v>3651</v>
      </c>
      <c r="AY343" s="3" t="s">
        <v>3652</v>
      </c>
      <c r="AZ343" s="3" t="s">
        <v>3653</v>
      </c>
      <c r="BA343" s="3" t="s">
        <v>3653</v>
      </c>
      <c r="BB343" s="3" t="s">
        <v>3654</v>
      </c>
      <c r="BC343" s="3" t="s">
        <v>102</v>
      </c>
      <c r="BD343" s="3" t="s">
        <v>68</v>
      </c>
      <c r="BE343" s="3" t="s">
        <v>3655</v>
      </c>
      <c r="BF343" s="3" t="s">
        <v>3654</v>
      </c>
      <c r="BG343" s="3" t="s">
        <v>3656</v>
      </c>
    </row>
    <row r="344" spans="1:59" ht="58" x14ac:dyDescent="0.35">
      <c r="A344" s="2" t="s">
        <v>89</v>
      </c>
      <c r="B344" s="2" t="s">
        <v>90</v>
      </c>
      <c r="C344" s="2" t="s">
        <v>3657</v>
      </c>
      <c r="D344" s="2" t="s">
        <v>3658</v>
      </c>
      <c r="E344" s="2" t="s">
        <v>3659</v>
      </c>
      <c r="G344" s="3" t="s">
        <v>62</v>
      </c>
      <c r="I344" s="3" t="s">
        <v>62</v>
      </c>
      <c r="J344" s="3" t="s">
        <v>62</v>
      </c>
      <c r="K344" s="3" t="s">
        <v>63</v>
      </c>
      <c r="L344" s="2" t="s">
        <v>3660</v>
      </c>
      <c r="M344" s="2" t="s">
        <v>3661</v>
      </c>
      <c r="N344" s="3" t="s">
        <v>1195</v>
      </c>
      <c r="P344" s="3" t="s">
        <v>64</v>
      </c>
      <c r="Q344" s="2" t="s">
        <v>3662</v>
      </c>
      <c r="R344" s="3" t="s">
        <v>65</v>
      </c>
      <c r="S344" s="4">
        <v>18</v>
      </c>
      <c r="T344" s="4">
        <v>18</v>
      </c>
      <c r="U344" s="5" t="s">
        <v>3501</v>
      </c>
      <c r="V344" s="5" t="s">
        <v>3501</v>
      </c>
      <c r="W344" s="5" t="s">
        <v>67</v>
      </c>
      <c r="X344" s="5" t="s">
        <v>67</v>
      </c>
      <c r="Y344" s="4">
        <v>178</v>
      </c>
      <c r="Z344" s="4">
        <v>18</v>
      </c>
      <c r="AA344" s="4">
        <v>85</v>
      </c>
      <c r="AB344" s="4">
        <v>1</v>
      </c>
      <c r="AC344" s="4">
        <v>16</v>
      </c>
      <c r="AD344" s="4">
        <v>76</v>
      </c>
      <c r="AE344" s="4">
        <v>118</v>
      </c>
      <c r="AF344" s="4">
        <v>0</v>
      </c>
      <c r="AG344" s="4">
        <v>8</v>
      </c>
      <c r="AH344" s="4">
        <v>67</v>
      </c>
      <c r="AI344" s="4">
        <v>83</v>
      </c>
      <c r="AJ344" s="4">
        <v>12</v>
      </c>
      <c r="AK344" s="4">
        <v>21</v>
      </c>
      <c r="AL344" s="4">
        <v>40</v>
      </c>
      <c r="AM344" s="4">
        <v>45</v>
      </c>
      <c r="AN344" s="4">
        <v>0</v>
      </c>
      <c r="AO344" s="4">
        <v>0</v>
      </c>
      <c r="AP344" s="4">
        <v>15</v>
      </c>
      <c r="AQ344" s="4">
        <v>42</v>
      </c>
      <c r="AR344" s="3" t="s">
        <v>62</v>
      </c>
      <c r="AS344" s="3" t="s">
        <v>62</v>
      </c>
      <c r="AT344" s="3" t="s">
        <v>62</v>
      </c>
      <c r="AV344" s="6" t="str">
        <f>HYPERLINK("http://mcgill.on.worldcat.org/oclc/65765552","Catalog Record")</f>
        <v>Catalog Record</v>
      </c>
      <c r="AW344" s="6" t="str">
        <f>HYPERLINK("http://www.worldcat.org/oclc/65765552","WorldCat Record")</f>
        <v>WorldCat Record</v>
      </c>
      <c r="AX344" s="3" t="s">
        <v>3663</v>
      </c>
      <c r="AY344" s="3" t="s">
        <v>3664</v>
      </c>
      <c r="AZ344" s="3" t="s">
        <v>3665</v>
      </c>
      <c r="BA344" s="3" t="s">
        <v>3665</v>
      </c>
      <c r="BB344" s="3" t="s">
        <v>3666</v>
      </c>
      <c r="BC344" s="3" t="s">
        <v>102</v>
      </c>
      <c r="BD344" s="3" t="s">
        <v>68</v>
      </c>
      <c r="BE344" s="3" t="s">
        <v>3667</v>
      </c>
      <c r="BF344" s="3" t="s">
        <v>3666</v>
      </c>
      <c r="BG344" s="3" t="s">
        <v>3668</v>
      </c>
    </row>
    <row r="345" spans="1:59" ht="58" x14ac:dyDescent="0.35">
      <c r="A345" s="2" t="s">
        <v>89</v>
      </c>
      <c r="B345" s="2" t="s">
        <v>90</v>
      </c>
      <c r="C345" s="2" t="s">
        <v>3669</v>
      </c>
      <c r="D345" s="2" t="s">
        <v>3670</v>
      </c>
      <c r="E345" s="2" t="s">
        <v>3671</v>
      </c>
      <c r="G345" s="3" t="s">
        <v>62</v>
      </c>
      <c r="I345" s="3" t="s">
        <v>62</v>
      </c>
      <c r="J345" s="3" t="s">
        <v>62</v>
      </c>
      <c r="K345" s="3" t="s">
        <v>63</v>
      </c>
      <c r="L345" s="2" t="s">
        <v>3672</v>
      </c>
      <c r="M345" s="2" t="s">
        <v>3673</v>
      </c>
      <c r="N345" s="3" t="s">
        <v>509</v>
      </c>
      <c r="P345" s="3" t="s">
        <v>64</v>
      </c>
      <c r="Q345" s="2" t="s">
        <v>3674</v>
      </c>
      <c r="R345" s="3" t="s">
        <v>65</v>
      </c>
      <c r="S345" s="4">
        <v>7</v>
      </c>
      <c r="T345" s="4">
        <v>7</v>
      </c>
      <c r="U345" s="5" t="s">
        <v>3675</v>
      </c>
      <c r="V345" s="5" t="s">
        <v>3675</v>
      </c>
      <c r="W345" s="5" t="s">
        <v>67</v>
      </c>
      <c r="X345" s="5" t="s">
        <v>67</v>
      </c>
      <c r="Y345" s="4">
        <v>269</v>
      </c>
      <c r="Z345" s="4">
        <v>17</v>
      </c>
      <c r="AA345" s="4">
        <v>21</v>
      </c>
      <c r="AB345" s="4">
        <v>1</v>
      </c>
      <c r="AC345" s="4">
        <v>5</v>
      </c>
      <c r="AD345" s="4">
        <v>97</v>
      </c>
      <c r="AE345" s="4">
        <v>100</v>
      </c>
      <c r="AF345" s="4">
        <v>0</v>
      </c>
      <c r="AG345" s="4">
        <v>3</v>
      </c>
      <c r="AH345" s="4">
        <v>89</v>
      </c>
      <c r="AI345" s="4">
        <v>90</v>
      </c>
      <c r="AJ345" s="4">
        <v>12</v>
      </c>
      <c r="AK345" s="4">
        <v>15</v>
      </c>
      <c r="AL345" s="4">
        <v>53</v>
      </c>
      <c r="AM345" s="4">
        <v>53</v>
      </c>
      <c r="AN345" s="4">
        <v>0</v>
      </c>
      <c r="AO345" s="4">
        <v>0</v>
      </c>
      <c r="AP345" s="4">
        <v>13</v>
      </c>
      <c r="AQ345" s="4">
        <v>15</v>
      </c>
      <c r="AR345" s="3" t="s">
        <v>62</v>
      </c>
      <c r="AS345" s="3" t="s">
        <v>62</v>
      </c>
      <c r="AT345" s="3" t="s">
        <v>61</v>
      </c>
      <c r="AU345" s="6" t="str">
        <f>HYPERLINK("http://catalog.hathitrust.org/Record/002882517","HathiTrust Record")</f>
        <v>HathiTrust Record</v>
      </c>
      <c r="AV345" s="6" t="str">
        <f>HYPERLINK("http://mcgill.on.worldcat.org/oclc/28379173","Catalog Record")</f>
        <v>Catalog Record</v>
      </c>
      <c r="AW345" s="6" t="str">
        <f>HYPERLINK("http://www.worldcat.org/oclc/28379173","WorldCat Record")</f>
        <v>WorldCat Record</v>
      </c>
      <c r="AX345" s="3" t="s">
        <v>3676</v>
      </c>
      <c r="AY345" s="3" t="s">
        <v>3677</v>
      </c>
      <c r="AZ345" s="3" t="s">
        <v>3678</v>
      </c>
      <c r="BA345" s="3" t="s">
        <v>3678</v>
      </c>
      <c r="BB345" s="3" t="s">
        <v>3679</v>
      </c>
      <c r="BC345" s="3" t="s">
        <v>102</v>
      </c>
      <c r="BD345" s="3" t="s">
        <v>68</v>
      </c>
      <c r="BE345" s="3" t="s">
        <v>3680</v>
      </c>
      <c r="BF345" s="3" t="s">
        <v>3679</v>
      </c>
      <c r="BG345" s="3" t="s">
        <v>3681</v>
      </c>
    </row>
    <row r="346" spans="1:59" ht="58" x14ac:dyDescent="0.35">
      <c r="A346" s="2" t="s">
        <v>89</v>
      </c>
      <c r="B346" s="2" t="s">
        <v>90</v>
      </c>
      <c r="C346" s="2" t="s">
        <v>3682</v>
      </c>
      <c r="D346" s="2" t="s">
        <v>3683</v>
      </c>
      <c r="E346" s="2" t="s">
        <v>3684</v>
      </c>
      <c r="G346" s="3" t="s">
        <v>62</v>
      </c>
      <c r="I346" s="3" t="s">
        <v>62</v>
      </c>
      <c r="J346" s="3" t="s">
        <v>62</v>
      </c>
      <c r="K346" s="3" t="s">
        <v>63</v>
      </c>
      <c r="L346" s="2" t="s">
        <v>3685</v>
      </c>
      <c r="M346" s="2" t="s">
        <v>3686</v>
      </c>
      <c r="N346" s="3" t="s">
        <v>866</v>
      </c>
      <c r="P346" s="3" t="s">
        <v>64</v>
      </c>
      <c r="Q346" s="2" t="s">
        <v>3687</v>
      </c>
      <c r="R346" s="3" t="s">
        <v>65</v>
      </c>
      <c r="S346" s="4">
        <v>9</v>
      </c>
      <c r="T346" s="4">
        <v>9</v>
      </c>
      <c r="U346" s="5" t="s">
        <v>3688</v>
      </c>
      <c r="V346" s="5" t="s">
        <v>3688</v>
      </c>
      <c r="W346" s="5" t="s">
        <v>67</v>
      </c>
      <c r="X346" s="5" t="s">
        <v>67</v>
      </c>
      <c r="Y346" s="4">
        <v>290</v>
      </c>
      <c r="Z346" s="4">
        <v>25</v>
      </c>
      <c r="AA346" s="4">
        <v>25</v>
      </c>
      <c r="AB346" s="4">
        <v>1</v>
      </c>
      <c r="AC346" s="4">
        <v>1</v>
      </c>
      <c r="AD346" s="4">
        <v>113</v>
      </c>
      <c r="AE346" s="4">
        <v>113</v>
      </c>
      <c r="AF346" s="4">
        <v>0</v>
      </c>
      <c r="AG346" s="4">
        <v>0</v>
      </c>
      <c r="AH346" s="4">
        <v>98</v>
      </c>
      <c r="AI346" s="4">
        <v>98</v>
      </c>
      <c r="AJ346" s="4">
        <v>18</v>
      </c>
      <c r="AK346" s="4">
        <v>18</v>
      </c>
      <c r="AL346" s="4">
        <v>54</v>
      </c>
      <c r="AM346" s="4">
        <v>54</v>
      </c>
      <c r="AN346" s="4">
        <v>0</v>
      </c>
      <c r="AO346" s="4">
        <v>0</v>
      </c>
      <c r="AP346" s="4">
        <v>23</v>
      </c>
      <c r="AQ346" s="4">
        <v>23</v>
      </c>
      <c r="AR346" s="3" t="s">
        <v>62</v>
      </c>
      <c r="AS346" s="3" t="s">
        <v>62</v>
      </c>
      <c r="AT346" s="3" t="s">
        <v>62</v>
      </c>
      <c r="AV346" s="6" t="str">
        <f>HYPERLINK("http://mcgill.on.worldcat.org/oclc/315403","Catalog Record")</f>
        <v>Catalog Record</v>
      </c>
      <c r="AW346" s="6" t="str">
        <f>HYPERLINK("http://www.worldcat.org/oclc/315403","WorldCat Record")</f>
        <v>WorldCat Record</v>
      </c>
      <c r="AX346" s="3" t="s">
        <v>3689</v>
      </c>
      <c r="AY346" s="3" t="s">
        <v>3690</v>
      </c>
      <c r="AZ346" s="3" t="s">
        <v>3691</v>
      </c>
      <c r="BA346" s="3" t="s">
        <v>3691</v>
      </c>
      <c r="BB346" s="3" t="s">
        <v>3692</v>
      </c>
      <c r="BC346" s="3" t="s">
        <v>102</v>
      </c>
      <c r="BD346" s="3" t="s">
        <v>231</v>
      </c>
      <c r="BE346" s="3" t="s">
        <v>3693</v>
      </c>
      <c r="BF346" s="3" t="s">
        <v>3692</v>
      </c>
      <c r="BG346" s="3" t="s">
        <v>3694</v>
      </c>
    </row>
    <row r="347" spans="1:59" ht="58" x14ac:dyDescent="0.35">
      <c r="A347" s="2" t="s">
        <v>89</v>
      </c>
      <c r="B347" s="2" t="s">
        <v>90</v>
      </c>
      <c r="C347" s="2" t="s">
        <v>3695</v>
      </c>
      <c r="D347" s="2" t="s">
        <v>3696</v>
      </c>
      <c r="E347" s="2" t="s">
        <v>3697</v>
      </c>
      <c r="G347" s="3" t="s">
        <v>62</v>
      </c>
      <c r="I347" s="3" t="s">
        <v>62</v>
      </c>
      <c r="J347" s="3" t="s">
        <v>62</v>
      </c>
      <c r="K347" s="3" t="s">
        <v>63</v>
      </c>
      <c r="L347" s="2" t="s">
        <v>3698</v>
      </c>
      <c r="M347" s="2" t="s">
        <v>3699</v>
      </c>
      <c r="N347" s="3" t="s">
        <v>1077</v>
      </c>
      <c r="P347" s="3" t="s">
        <v>64</v>
      </c>
      <c r="R347" s="3" t="s">
        <v>65</v>
      </c>
      <c r="S347" s="4">
        <v>13</v>
      </c>
      <c r="T347" s="4">
        <v>13</v>
      </c>
      <c r="U347" s="5" t="s">
        <v>3675</v>
      </c>
      <c r="V347" s="5" t="s">
        <v>3675</v>
      </c>
      <c r="W347" s="5" t="s">
        <v>67</v>
      </c>
      <c r="X347" s="5" t="s">
        <v>67</v>
      </c>
      <c r="Y347" s="4">
        <v>306</v>
      </c>
      <c r="Z347" s="4">
        <v>21</v>
      </c>
      <c r="AA347" s="4">
        <v>22</v>
      </c>
      <c r="AB347" s="4">
        <v>2</v>
      </c>
      <c r="AC347" s="4">
        <v>3</v>
      </c>
      <c r="AD347" s="4">
        <v>105</v>
      </c>
      <c r="AE347" s="4">
        <v>106</v>
      </c>
      <c r="AF347" s="4">
        <v>1</v>
      </c>
      <c r="AG347" s="4">
        <v>2</v>
      </c>
      <c r="AH347" s="4">
        <v>93</v>
      </c>
      <c r="AI347" s="4">
        <v>93</v>
      </c>
      <c r="AJ347" s="4">
        <v>15</v>
      </c>
      <c r="AK347" s="4">
        <v>16</v>
      </c>
      <c r="AL347" s="4">
        <v>55</v>
      </c>
      <c r="AM347" s="4">
        <v>55</v>
      </c>
      <c r="AN347" s="4">
        <v>0</v>
      </c>
      <c r="AO347" s="4">
        <v>0</v>
      </c>
      <c r="AP347" s="4">
        <v>18</v>
      </c>
      <c r="AQ347" s="4">
        <v>18</v>
      </c>
      <c r="AR347" s="3" t="s">
        <v>62</v>
      </c>
      <c r="AS347" s="3" t="s">
        <v>62</v>
      </c>
      <c r="AT347" s="3" t="s">
        <v>61</v>
      </c>
      <c r="AU347" s="6" t="str">
        <f>HYPERLINK("http://catalog.hathitrust.org/Record/002726027","HathiTrust Record")</f>
        <v>HathiTrust Record</v>
      </c>
      <c r="AV347" s="6" t="str">
        <f>HYPERLINK("http://mcgill.on.worldcat.org/oclc/26096216","Catalog Record")</f>
        <v>Catalog Record</v>
      </c>
      <c r="AW347" s="6" t="str">
        <f>HYPERLINK("http://www.worldcat.org/oclc/26096216","WorldCat Record")</f>
        <v>WorldCat Record</v>
      </c>
      <c r="AX347" s="3" t="s">
        <v>3700</v>
      </c>
      <c r="AY347" s="3" t="s">
        <v>3701</v>
      </c>
      <c r="AZ347" s="3" t="s">
        <v>3702</v>
      </c>
      <c r="BA347" s="3" t="s">
        <v>3702</v>
      </c>
      <c r="BB347" s="3" t="s">
        <v>3703</v>
      </c>
      <c r="BC347" s="3" t="s">
        <v>102</v>
      </c>
      <c r="BD347" s="3" t="s">
        <v>68</v>
      </c>
      <c r="BE347" s="3" t="s">
        <v>3704</v>
      </c>
      <c r="BF347" s="3" t="s">
        <v>3703</v>
      </c>
      <c r="BG347" s="3" t="s">
        <v>3705</v>
      </c>
    </row>
    <row r="348" spans="1:59" ht="58" x14ac:dyDescent="0.35">
      <c r="A348" s="2" t="s">
        <v>89</v>
      </c>
      <c r="B348" s="2" t="s">
        <v>90</v>
      </c>
      <c r="C348" s="2" t="s">
        <v>3706</v>
      </c>
      <c r="D348" s="2" t="s">
        <v>3707</v>
      </c>
      <c r="E348" s="2" t="s">
        <v>3708</v>
      </c>
      <c r="G348" s="3" t="s">
        <v>62</v>
      </c>
      <c r="I348" s="3" t="s">
        <v>61</v>
      </c>
      <c r="J348" s="3" t="s">
        <v>62</v>
      </c>
      <c r="K348" s="3" t="s">
        <v>63</v>
      </c>
      <c r="L348" s="2" t="s">
        <v>3709</v>
      </c>
      <c r="M348" s="2" t="s">
        <v>3710</v>
      </c>
      <c r="N348" s="3" t="s">
        <v>596</v>
      </c>
      <c r="P348" s="3" t="s">
        <v>64</v>
      </c>
      <c r="R348" s="3" t="s">
        <v>65</v>
      </c>
      <c r="S348" s="4">
        <v>12</v>
      </c>
      <c r="T348" s="4">
        <v>29</v>
      </c>
      <c r="U348" s="5" t="s">
        <v>1630</v>
      </c>
      <c r="V348" s="5" t="s">
        <v>1630</v>
      </c>
      <c r="W348" s="5" t="s">
        <v>67</v>
      </c>
      <c r="X348" s="5" t="s">
        <v>67</v>
      </c>
      <c r="Y348" s="4">
        <v>311</v>
      </c>
      <c r="Z348" s="4">
        <v>18</v>
      </c>
      <c r="AA348" s="4">
        <v>112</v>
      </c>
      <c r="AB348" s="4">
        <v>2</v>
      </c>
      <c r="AC348" s="4">
        <v>17</v>
      </c>
      <c r="AD348" s="4">
        <v>95</v>
      </c>
      <c r="AE348" s="4">
        <v>150</v>
      </c>
      <c r="AF348" s="4">
        <v>1</v>
      </c>
      <c r="AG348" s="4">
        <v>8</v>
      </c>
      <c r="AH348" s="4">
        <v>84</v>
      </c>
      <c r="AI348" s="4">
        <v>107</v>
      </c>
      <c r="AJ348" s="4">
        <v>13</v>
      </c>
      <c r="AK348" s="4">
        <v>26</v>
      </c>
      <c r="AL348" s="4">
        <v>48</v>
      </c>
      <c r="AM348" s="4">
        <v>55</v>
      </c>
      <c r="AN348" s="4">
        <v>0</v>
      </c>
      <c r="AO348" s="4">
        <v>0</v>
      </c>
      <c r="AP348" s="4">
        <v>15</v>
      </c>
      <c r="AQ348" s="4">
        <v>51</v>
      </c>
      <c r="AR348" s="3" t="s">
        <v>62</v>
      </c>
      <c r="AS348" s="3" t="s">
        <v>62</v>
      </c>
      <c r="AT348" s="3" t="s">
        <v>62</v>
      </c>
      <c r="AV348" s="6" t="str">
        <f>HYPERLINK("http://mcgill.on.worldcat.org/oclc/49610974","Catalog Record")</f>
        <v>Catalog Record</v>
      </c>
      <c r="AW348" s="6" t="str">
        <f>HYPERLINK("http://www.worldcat.org/oclc/49610974","WorldCat Record")</f>
        <v>WorldCat Record</v>
      </c>
      <c r="AX348" s="3" t="s">
        <v>3711</v>
      </c>
      <c r="AY348" s="3" t="s">
        <v>3712</v>
      </c>
      <c r="AZ348" s="3" t="s">
        <v>3713</v>
      </c>
      <c r="BA348" s="3" t="s">
        <v>3713</v>
      </c>
      <c r="BB348" s="3" t="s">
        <v>3714</v>
      </c>
      <c r="BC348" s="3" t="s">
        <v>102</v>
      </c>
      <c r="BD348" s="3" t="s">
        <v>68</v>
      </c>
      <c r="BE348" s="3" t="s">
        <v>3715</v>
      </c>
      <c r="BF348" s="3" t="s">
        <v>3714</v>
      </c>
      <c r="BG348" s="3" t="s">
        <v>3716</v>
      </c>
    </row>
    <row r="349" spans="1:59" ht="58" x14ac:dyDescent="0.35">
      <c r="A349" s="2" t="s">
        <v>89</v>
      </c>
      <c r="B349" s="2" t="s">
        <v>90</v>
      </c>
      <c r="C349" s="2" t="s">
        <v>3706</v>
      </c>
      <c r="D349" s="2" t="s">
        <v>3707</v>
      </c>
      <c r="E349" s="2" t="s">
        <v>3708</v>
      </c>
      <c r="G349" s="3" t="s">
        <v>62</v>
      </c>
      <c r="I349" s="3" t="s">
        <v>61</v>
      </c>
      <c r="J349" s="3" t="s">
        <v>62</v>
      </c>
      <c r="K349" s="3" t="s">
        <v>63</v>
      </c>
      <c r="L349" s="2" t="s">
        <v>3709</v>
      </c>
      <c r="M349" s="2" t="s">
        <v>3710</v>
      </c>
      <c r="N349" s="3" t="s">
        <v>596</v>
      </c>
      <c r="P349" s="3" t="s">
        <v>64</v>
      </c>
      <c r="R349" s="3" t="s">
        <v>65</v>
      </c>
      <c r="S349" s="4">
        <v>17</v>
      </c>
      <c r="T349" s="4">
        <v>29</v>
      </c>
      <c r="U349" s="5" t="s">
        <v>3717</v>
      </c>
      <c r="V349" s="5" t="s">
        <v>1630</v>
      </c>
      <c r="W349" s="5" t="s">
        <v>67</v>
      </c>
      <c r="X349" s="5" t="s">
        <v>67</v>
      </c>
      <c r="Y349" s="4">
        <v>311</v>
      </c>
      <c r="Z349" s="4">
        <v>18</v>
      </c>
      <c r="AA349" s="4">
        <v>112</v>
      </c>
      <c r="AB349" s="4">
        <v>2</v>
      </c>
      <c r="AC349" s="4">
        <v>17</v>
      </c>
      <c r="AD349" s="4">
        <v>95</v>
      </c>
      <c r="AE349" s="4">
        <v>150</v>
      </c>
      <c r="AF349" s="4">
        <v>1</v>
      </c>
      <c r="AG349" s="4">
        <v>8</v>
      </c>
      <c r="AH349" s="4">
        <v>84</v>
      </c>
      <c r="AI349" s="4">
        <v>107</v>
      </c>
      <c r="AJ349" s="4">
        <v>13</v>
      </c>
      <c r="AK349" s="4">
        <v>26</v>
      </c>
      <c r="AL349" s="4">
        <v>48</v>
      </c>
      <c r="AM349" s="4">
        <v>55</v>
      </c>
      <c r="AN349" s="4">
        <v>0</v>
      </c>
      <c r="AO349" s="4">
        <v>0</v>
      </c>
      <c r="AP349" s="4">
        <v>15</v>
      </c>
      <c r="AQ349" s="4">
        <v>51</v>
      </c>
      <c r="AR349" s="3" t="s">
        <v>62</v>
      </c>
      <c r="AS349" s="3" t="s">
        <v>62</v>
      </c>
      <c r="AT349" s="3" t="s">
        <v>62</v>
      </c>
      <c r="AV349" s="6" t="str">
        <f>HYPERLINK("http://mcgill.on.worldcat.org/oclc/49610974","Catalog Record")</f>
        <v>Catalog Record</v>
      </c>
      <c r="AW349" s="6" t="str">
        <f>HYPERLINK("http://www.worldcat.org/oclc/49610974","WorldCat Record")</f>
        <v>WorldCat Record</v>
      </c>
      <c r="AX349" s="3" t="s">
        <v>3711</v>
      </c>
      <c r="AY349" s="3" t="s">
        <v>3712</v>
      </c>
      <c r="AZ349" s="3" t="s">
        <v>3713</v>
      </c>
      <c r="BA349" s="3" t="s">
        <v>3713</v>
      </c>
      <c r="BB349" s="3" t="s">
        <v>3718</v>
      </c>
      <c r="BC349" s="3" t="s">
        <v>102</v>
      </c>
      <c r="BD349" s="3" t="s">
        <v>68</v>
      </c>
      <c r="BE349" s="3" t="s">
        <v>3715</v>
      </c>
      <c r="BF349" s="3" t="s">
        <v>3718</v>
      </c>
      <c r="BG349" s="3" t="s">
        <v>3719</v>
      </c>
    </row>
    <row r="350" spans="1:59" ht="58" x14ac:dyDescent="0.35">
      <c r="A350" s="2" t="s">
        <v>89</v>
      </c>
      <c r="B350" s="2" t="s">
        <v>90</v>
      </c>
      <c r="C350" s="2" t="s">
        <v>3720</v>
      </c>
      <c r="D350" s="2" t="s">
        <v>3721</v>
      </c>
      <c r="E350" s="2" t="s">
        <v>3722</v>
      </c>
      <c r="G350" s="3" t="s">
        <v>62</v>
      </c>
      <c r="I350" s="3" t="s">
        <v>62</v>
      </c>
      <c r="J350" s="3" t="s">
        <v>62</v>
      </c>
      <c r="K350" s="3" t="s">
        <v>63</v>
      </c>
      <c r="L350" s="2" t="s">
        <v>3723</v>
      </c>
      <c r="M350" s="2" t="s">
        <v>3724</v>
      </c>
      <c r="N350" s="3" t="s">
        <v>539</v>
      </c>
      <c r="P350" s="3" t="s">
        <v>64</v>
      </c>
      <c r="Q350" s="2" t="s">
        <v>3725</v>
      </c>
      <c r="R350" s="3" t="s">
        <v>65</v>
      </c>
      <c r="S350" s="4">
        <v>5</v>
      </c>
      <c r="T350" s="4">
        <v>5</v>
      </c>
      <c r="U350" s="5" t="s">
        <v>1642</v>
      </c>
      <c r="V350" s="5" t="s">
        <v>1642</v>
      </c>
      <c r="W350" s="5" t="s">
        <v>67</v>
      </c>
      <c r="X350" s="5" t="s">
        <v>67</v>
      </c>
      <c r="Y350" s="4">
        <v>215</v>
      </c>
      <c r="Z350" s="4">
        <v>23</v>
      </c>
      <c r="AA350" s="4">
        <v>24</v>
      </c>
      <c r="AB350" s="4">
        <v>1</v>
      </c>
      <c r="AC350" s="4">
        <v>2</v>
      </c>
      <c r="AD350" s="4">
        <v>77</v>
      </c>
      <c r="AE350" s="4">
        <v>78</v>
      </c>
      <c r="AF350" s="4">
        <v>0</v>
      </c>
      <c r="AG350" s="4">
        <v>1</v>
      </c>
      <c r="AH350" s="4">
        <v>70</v>
      </c>
      <c r="AI350" s="4">
        <v>70</v>
      </c>
      <c r="AJ350" s="4">
        <v>11</v>
      </c>
      <c r="AK350" s="4">
        <v>12</v>
      </c>
      <c r="AL350" s="4">
        <v>42</v>
      </c>
      <c r="AM350" s="4">
        <v>42</v>
      </c>
      <c r="AN350" s="4">
        <v>0</v>
      </c>
      <c r="AO350" s="4">
        <v>0</v>
      </c>
      <c r="AP350" s="4">
        <v>13</v>
      </c>
      <c r="AQ350" s="4">
        <v>13</v>
      </c>
      <c r="AR350" s="3" t="s">
        <v>62</v>
      </c>
      <c r="AS350" s="3" t="s">
        <v>62</v>
      </c>
      <c r="AT350" s="3" t="s">
        <v>61</v>
      </c>
      <c r="AU350" s="6" t="str">
        <f>HYPERLINK("http://catalog.hathitrust.org/Record/003978599","HathiTrust Record")</f>
        <v>HathiTrust Record</v>
      </c>
      <c r="AV350" s="6" t="str">
        <f>HYPERLINK("http://mcgill.on.worldcat.org/oclc/38573884","Catalog Record")</f>
        <v>Catalog Record</v>
      </c>
      <c r="AW350" s="6" t="str">
        <f>HYPERLINK("http://www.worldcat.org/oclc/38573884","WorldCat Record")</f>
        <v>WorldCat Record</v>
      </c>
      <c r="AX350" s="3" t="s">
        <v>3726</v>
      </c>
      <c r="AY350" s="3" t="s">
        <v>3727</v>
      </c>
      <c r="AZ350" s="3" t="s">
        <v>3728</v>
      </c>
      <c r="BA350" s="3" t="s">
        <v>3728</v>
      </c>
      <c r="BB350" s="3" t="s">
        <v>3729</v>
      </c>
      <c r="BC350" s="3" t="s">
        <v>102</v>
      </c>
      <c r="BD350" s="3" t="s">
        <v>68</v>
      </c>
      <c r="BE350" s="3" t="s">
        <v>3730</v>
      </c>
      <c r="BF350" s="3" t="s">
        <v>3729</v>
      </c>
      <c r="BG350" s="3" t="s">
        <v>3731</v>
      </c>
    </row>
    <row r="351" spans="1:59" ht="58" x14ac:dyDescent="0.35">
      <c r="A351" s="2" t="s">
        <v>89</v>
      </c>
      <c r="B351" s="2" t="s">
        <v>90</v>
      </c>
      <c r="C351" s="2" t="s">
        <v>3732</v>
      </c>
      <c r="D351" s="2" t="s">
        <v>3733</v>
      </c>
      <c r="E351" s="2" t="s">
        <v>3734</v>
      </c>
      <c r="G351" s="3" t="s">
        <v>62</v>
      </c>
      <c r="I351" s="3" t="s">
        <v>62</v>
      </c>
      <c r="J351" s="3" t="s">
        <v>62</v>
      </c>
      <c r="K351" s="3" t="s">
        <v>63</v>
      </c>
      <c r="L351" s="2" t="s">
        <v>3735</v>
      </c>
      <c r="M351" s="2" t="s">
        <v>3736</v>
      </c>
      <c r="N351" s="3" t="s">
        <v>2085</v>
      </c>
      <c r="P351" s="3" t="s">
        <v>64</v>
      </c>
      <c r="R351" s="3" t="s">
        <v>65</v>
      </c>
      <c r="S351" s="4">
        <v>0</v>
      </c>
      <c r="T351" s="4">
        <v>0</v>
      </c>
      <c r="W351" s="5" t="s">
        <v>67</v>
      </c>
      <c r="X351" s="5" t="s">
        <v>67</v>
      </c>
      <c r="Y351" s="4">
        <v>105</v>
      </c>
      <c r="Z351" s="4">
        <v>7</v>
      </c>
      <c r="AA351" s="4">
        <v>12</v>
      </c>
      <c r="AB351" s="4">
        <v>2</v>
      </c>
      <c r="AC351" s="4">
        <v>4</v>
      </c>
      <c r="AD351" s="4">
        <v>50</v>
      </c>
      <c r="AE351" s="4">
        <v>56</v>
      </c>
      <c r="AF351" s="4">
        <v>1</v>
      </c>
      <c r="AG351" s="4">
        <v>1</v>
      </c>
      <c r="AH351" s="4">
        <v>48</v>
      </c>
      <c r="AI351" s="4">
        <v>52</v>
      </c>
      <c r="AJ351" s="4">
        <v>4</v>
      </c>
      <c r="AK351" s="4">
        <v>5</v>
      </c>
      <c r="AL351" s="4">
        <v>32</v>
      </c>
      <c r="AM351" s="4">
        <v>34</v>
      </c>
      <c r="AN351" s="4">
        <v>0</v>
      </c>
      <c r="AO351" s="4">
        <v>0</v>
      </c>
      <c r="AP351" s="4">
        <v>4</v>
      </c>
      <c r="AQ351" s="4">
        <v>7</v>
      </c>
      <c r="AR351" s="3" t="s">
        <v>62</v>
      </c>
      <c r="AS351" s="3" t="s">
        <v>62</v>
      </c>
      <c r="AT351" s="3" t="s">
        <v>62</v>
      </c>
      <c r="AV351" s="6" t="str">
        <f>HYPERLINK("http://mcgill.on.worldcat.org/oclc/1001340510","Catalog Record")</f>
        <v>Catalog Record</v>
      </c>
      <c r="AW351" s="6" t="str">
        <f>HYPERLINK("http://www.worldcat.org/oclc/1001340510","WorldCat Record")</f>
        <v>WorldCat Record</v>
      </c>
      <c r="AX351" s="3" t="s">
        <v>3737</v>
      </c>
      <c r="AY351" s="3" t="s">
        <v>3738</v>
      </c>
      <c r="AZ351" s="3" t="s">
        <v>3739</v>
      </c>
      <c r="BA351" s="3" t="s">
        <v>3739</v>
      </c>
      <c r="BB351" s="3" t="s">
        <v>3740</v>
      </c>
      <c r="BC351" s="3" t="s">
        <v>102</v>
      </c>
      <c r="BD351" s="3" t="s">
        <v>68</v>
      </c>
      <c r="BE351" s="3" t="s">
        <v>3741</v>
      </c>
      <c r="BF351" s="3" t="s">
        <v>3740</v>
      </c>
      <c r="BG351" s="3" t="s">
        <v>3742</v>
      </c>
    </row>
    <row r="352" spans="1:59" ht="58" x14ac:dyDescent="0.35">
      <c r="A352" s="2" t="s">
        <v>89</v>
      </c>
      <c r="B352" s="2" t="s">
        <v>90</v>
      </c>
      <c r="C352" s="2" t="s">
        <v>3743</v>
      </c>
      <c r="D352" s="2" t="s">
        <v>3744</v>
      </c>
      <c r="E352" s="2" t="s">
        <v>3745</v>
      </c>
      <c r="G352" s="3" t="s">
        <v>62</v>
      </c>
      <c r="I352" s="3" t="s">
        <v>61</v>
      </c>
      <c r="J352" s="3" t="s">
        <v>62</v>
      </c>
      <c r="K352" s="3" t="s">
        <v>63</v>
      </c>
      <c r="L352" s="2" t="s">
        <v>3746</v>
      </c>
      <c r="M352" s="2" t="s">
        <v>3747</v>
      </c>
      <c r="N352" s="3" t="s">
        <v>2110</v>
      </c>
      <c r="P352" s="3" t="s">
        <v>64</v>
      </c>
      <c r="R352" s="3" t="s">
        <v>65</v>
      </c>
      <c r="S352" s="4">
        <v>14</v>
      </c>
      <c r="T352" s="4">
        <v>23</v>
      </c>
      <c r="U352" s="5" t="s">
        <v>3748</v>
      </c>
      <c r="V352" s="5" t="s">
        <v>3749</v>
      </c>
      <c r="W352" s="5" t="s">
        <v>67</v>
      </c>
      <c r="X352" s="5" t="s">
        <v>67</v>
      </c>
      <c r="Y352" s="4">
        <v>479</v>
      </c>
      <c r="Z352" s="4">
        <v>27</v>
      </c>
      <c r="AA352" s="4">
        <v>31</v>
      </c>
      <c r="AB352" s="4">
        <v>2</v>
      </c>
      <c r="AC352" s="4">
        <v>4</v>
      </c>
      <c r="AD352" s="4">
        <v>111</v>
      </c>
      <c r="AE352" s="4">
        <v>119</v>
      </c>
      <c r="AF352" s="4">
        <v>1</v>
      </c>
      <c r="AG352" s="4">
        <v>2</v>
      </c>
      <c r="AH352" s="4">
        <v>100</v>
      </c>
      <c r="AI352" s="4">
        <v>105</v>
      </c>
      <c r="AJ352" s="4">
        <v>14</v>
      </c>
      <c r="AK352" s="4">
        <v>17</v>
      </c>
      <c r="AL352" s="4">
        <v>55</v>
      </c>
      <c r="AM352" s="4">
        <v>56</v>
      </c>
      <c r="AN352" s="4">
        <v>0</v>
      </c>
      <c r="AO352" s="4">
        <v>0</v>
      </c>
      <c r="AP352" s="4">
        <v>19</v>
      </c>
      <c r="AQ352" s="4">
        <v>21</v>
      </c>
      <c r="AR352" s="3" t="s">
        <v>62</v>
      </c>
      <c r="AS352" s="3" t="s">
        <v>62</v>
      </c>
      <c r="AT352" s="3" t="s">
        <v>61</v>
      </c>
      <c r="AU352" s="6" t="str">
        <f>HYPERLINK("http://catalog.hathitrust.org/Record/000088677","HathiTrust Record")</f>
        <v>HathiTrust Record</v>
      </c>
      <c r="AV352" s="6" t="str">
        <f>HYPERLINK("http://mcgill.on.worldcat.org/oclc/3517070","Catalog Record")</f>
        <v>Catalog Record</v>
      </c>
      <c r="AW352" s="6" t="str">
        <f>HYPERLINK("http://www.worldcat.org/oclc/3517070","WorldCat Record")</f>
        <v>WorldCat Record</v>
      </c>
      <c r="AX352" s="3" t="s">
        <v>3750</v>
      </c>
      <c r="AY352" s="3" t="s">
        <v>3751</v>
      </c>
      <c r="AZ352" s="3" t="s">
        <v>3752</v>
      </c>
      <c r="BA352" s="3" t="s">
        <v>3752</v>
      </c>
      <c r="BB352" s="3" t="s">
        <v>3753</v>
      </c>
      <c r="BC352" s="3" t="s">
        <v>102</v>
      </c>
      <c r="BD352" s="3" t="s">
        <v>68</v>
      </c>
      <c r="BE352" s="3" t="s">
        <v>3754</v>
      </c>
      <c r="BF352" s="3" t="s">
        <v>3753</v>
      </c>
      <c r="BG352" s="3" t="s">
        <v>3755</v>
      </c>
    </row>
    <row r="353" spans="1:59" ht="58" x14ac:dyDescent="0.35">
      <c r="A353" s="2" t="s">
        <v>89</v>
      </c>
      <c r="B353" s="2" t="s">
        <v>90</v>
      </c>
      <c r="C353" s="2" t="s">
        <v>3756</v>
      </c>
      <c r="D353" s="2" t="s">
        <v>3757</v>
      </c>
      <c r="E353" s="2" t="s">
        <v>3758</v>
      </c>
      <c r="F353" s="3" t="s">
        <v>1384</v>
      </c>
      <c r="G353" s="3" t="s">
        <v>61</v>
      </c>
      <c r="I353" s="3" t="s">
        <v>61</v>
      </c>
      <c r="J353" s="3" t="s">
        <v>62</v>
      </c>
      <c r="K353" s="3" t="s">
        <v>63</v>
      </c>
      <c r="L353" s="2" t="s">
        <v>3759</v>
      </c>
      <c r="M353" s="2" t="s">
        <v>3760</v>
      </c>
      <c r="N353" s="3" t="s">
        <v>3761</v>
      </c>
      <c r="P353" s="3" t="s">
        <v>64</v>
      </c>
      <c r="R353" s="3" t="s">
        <v>65</v>
      </c>
      <c r="S353" s="4">
        <v>5</v>
      </c>
      <c r="T353" s="4">
        <v>32</v>
      </c>
      <c r="U353" s="5" t="s">
        <v>3762</v>
      </c>
      <c r="V353" s="5" t="s">
        <v>3763</v>
      </c>
      <c r="W353" s="5" t="s">
        <v>67</v>
      </c>
      <c r="X353" s="5" t="s">
        <v>67</v>
      </c>
      <c r="Y353" s="4">
        <v>8</v>
      </c>
      <c r="Z353" s="4">
        <v>2</v>
      </c>
      <c r="AA353" s="4">
        <v>2</v>
      </c>
      <c r="AB353" s="4">
        <v>1</v>
      </c>
      <c r="AC353" s="4">
        <v>1</v>
      </c>
      <c r="AD353" s="4">
        <v>3</v>
      </c>
      <c r="AE353" s="4">
        <v>3</v>
      </c>
      <c r="AF353" s="4">
        <v>0</v>
      </c>
      <c r="AG353" s="4">
        <v>0</v>
      </c>
      <c r="AH353" s="4">
        <v>2</v>
      </c>
      <c r="AI353" s="4">
        <v>2</v>
      </c>
      <c r="AJ353" s="4">
        <v>1</v>
      </c>
      <c r="AK353" s="4">
        <v>1</v>
      </c>
      <c r="AL353" s="4">
        <v>1</v>
      </c>
      <c r="AM353" s="4">
        <v>1</v>
      </c>
      <c r="AN353" s="4">
        <v>0</v>
      </c>
      <c r="AO353" s="4">
        <v>0</v>
      </c>
      <c r="AP353" s="4">
        <v>1</v>
      </c>
      <c r="AQ353" s="4">
        <v>1</v>
      </c>
      <c r="AR353" s="3" t="s">
        <v>62</v>
      </c>
      <c r="AS353" s="3" t="s">
        <v>62</v>
      </c>
      <c r="AT353" s="3" t="s">
        <v>62</v>
      </c>
      <c r="AV353" s="6" t="str">
        <f t="shared" ref="AV353:AV366" si="15">HYPERLINK("http://mcgill.on.worldcat.org/oclc/61593399","Catalog Record")</f>
        <v>Catalog Record</v>
      </c>
      <c r="AW353" s="6" t="str">
        <f t="shared" ref="AW353:AW366" si="16">HYPERLINK("http://www.worldcat.org/oclc/61593399","WorldCat Record")</f>
        <v>WorldCat Record</v>
      </c>
      <c r="AX353" s="3" t="s">
        <v>3764</v>
      </c>
      <c r="AY353" s="3" t="s">
        <v>3765</v>
      </c>
      <c r="AZ353" s="3" t="s">
        <v>3766</v>
      </c>
      <c r="BA353" s="3" t="s">
        <v>3766</v>
      </c>
      <c r="BB353" s="3" t="s">
        <v>3767</v>
      </c>
      <c r="BC353" s="3" t="s">
        <v>102</v>
      </c>
      <c r="BD353" s="3" t="s">
        <v>68</v>
      </c>
      <c r="BF353" s="3" t="s">
        <v>3767</v>
      </c>
      <c r="BG353" s="3" t="s">
        <v>3768</v>
      </c>
    </row>
    <row r="354" spans="1:59" ht="58" x14ac:dyDescent="0.35">
      <c r="A354" s="2" t="s">
        <v>89</v>
      </c>
      <c r="B354" s="2" t="s">
        <v>90</v>
      </c>
      <c r="C354" s="2" t="s">
        <v>3756</v>
      </c>
      <c r="D354" s="2" t="s">
        <v>3757</v>
      </c>
      <c r="E354" s="2" t="s">
        <v>3758</v>
      </c>
      <c r="F354" s="3" t="s">
        <v>1390</v>
      </c>
      <c r="G354" s="3" t="s">
        <v>61</v>
      </c>
      <c r="I354" s="3" t="s">
        <v>61</v>
      </c>
      <c r="J354" s="3" t="s">
        <v>62</v>
      </c>
      <c r="K354" s="3" t="s">
        <v>63</v>
      </c>
      <c r="L354" s="2" t="s">
        <v>3759</v>
      </c>
      <c r="M354" s="2" t="s">
        <v>3760</v>
      </c>
      <c r="N354" s="3" t="s">
        <v>3761</v>
      </c>
      <c r="P354" s="3" t="s">
        <v>64</v>
      </c>
      <c r="R354" s="3" t="s">
        <v>65</v>
      </c>
      <c r="S354" s="4">
        <v>0</v>
      </c>
      <c r="T354" s="4">
        <v>32</v>
      </c>
      <c r="V354" s="5" t="s">
        <v>3763</v>
      </c>
      <c r="W354" s="5" t="s">
        <v>67</v>
      </c>
      <c r="X354" s="5" t="s">
        <v>67</v>
      </c>
      <c r="Y354" s="4">
        <v>8</v>
      </c>
      <c r="Z354" s="4">
        <v>2</v>
      </c>
      <c r="AA354" s="4">
        <v>2</v>
      </c>
      <c r="AB354" s="4">
        <v>1</v>
      </c>
      <c r="AC354" s="4">
        <v>1</v>
      </c>
      <c r="AD354" s="4">
        <v>3</v>
      </c>
      <c r="AE354" s="4">
        <v>3</v>
      </c>
      <c r="AF354" s="4">
        <v>0</v>
      </c>
      <c r="AG354" s="4">
        <v>0</v>
      </c>
      <c r="AH354" s="4">
        <v>2</v>
      </c>
      <c r="AI354" s="4">
        <v>2</v>
      </c>
      <c r="AJ354" s="4">
        <v>1</v>
      </c>
      <c r="AK354" s="4">
        <v>1</v>
      </c>
      <c r="AL354" s="4">
        <v>1</v>
      </c>
      <c r="AM354" s="4">
        <v>1</v>
      </c>
      <c r="AN354" s="4">
        <v>0</v>
      </c>
      <c r="AO354" s="4">
        <v>0</v>
      </c>
      <c r="AP354" s="4">
        <v>1</v>
      </c>
      <c r="AQ354" s="4">
        <v>1</v>
      </c>
      <c r="AR354" s="3" t="s">
        <v>62</v>
      </c>
      <c r="AS354" s="3" t="s">
        <v>62</v>
      </c>
      <c r="AT354" s="3" t="s">
        <v>62</v>
      </c>
      <c r="AV354" s="6" t="str">
        <f t="shared" si="15"/>
        <v>Catalog Record</v>
      </c>
      <c r="AW354" s="6" t="str">
        <f t="shared" si="16"/>
        <v>WorldCat Record</v>
      </c>
      <c r="AX354" s="3" t="s">
        <v>3764</v>
      </c>
      <c r="AY354" s="3" t="s">
        <v>3765</v>
      </c>
      <c r="AZ354" s="3" t="s">
        <v>3766</v>
      </c>
      <c r="BA354" s="3" t="s">
        <v>3766</v>
      </c>
      <c r="BB354" s="3" t="s">
        <v>3769</v>
      </c>
      <c r="BC354" s="3" t="s">
        <v>102</v>
      </c>
      <c r="BD354" s="3" t="s">
        <v>68</v>
      </c>
      <c r="BF354" s="3" t="s">
        <v>3769</v>
      </c>
      <c r="BG354" s="3" t="s">
        <v>3770</v>
      </c>
    </row>
    <row r="355" spans="1:59" ht="58" x14ac:dyDescent="0.35">
      <c r="A355" s="2" t="s">
        <v>89</v>
      </c>
      <c r="B355" s="2" t="s">
        <v>90</v>
      </c>
      <c r="C355" s="2" t="s">
        <v>3756</v>
      </c>
      <c r="D355" s="2" t="s">
        <v>3757</v>
      </c>
      <c r="E355" s="2" t="s">
        <v>3758</v>
      </c>
      <c r="F355" s="3" t="s">
        <v>3771</v>
      </c>
      <c r="G355" s="3" t="s">
        <v>61</v>
      </c>
      <c r="I355" s="3" t="s">
        <v>61</v>
      </c>
      <c r="J355" s="3" t="s">
        <v>62</v>
      </c>
      <c r="K355" s="3" t="s">
        <v>63</v>
      </c>
      <c r="L355" s="2" t="s">
        <v>3759</v>
      </c>
      <c r="M355" s="2" t="s">
        <v>3760</v>
      </c>
      <c r="N355" s="3" t="s">
        <v>3761</v>
      </c>
      <c r="P355" s="3" t="s">
        <v>64</v>
      </c>
      <c r="R355" s="3" t="s">
        <v>65</v>
      </c>
      <c r="S355" s="4">
        <v>4</v>
      </c>
      <c r="T355" s="4">
        <v>32</v>
      </c>
      <c r="U355" s="5" t="s">
        <v>3762</v>
      </c>
      <c r="V355" s="5" t="s">
        <v>3763</v>
      </c>
      <c r="W355" s="5" t="s">
        <v>67</v>
      </c>
      <c r="X355" s="5" t="s">
        <v>67</v>
      </c>
      <c r="Y355" s="4">
        <v>8</v>
      </c>
      <c r="Z355" s="4">
        <v>2</v>
      </c>
      <c r="AA355" s="4">
        <v>2</v>
      </c>
      <c r="AB355" s="4">
        <v>1</v>
      </c>
      <c r="AC355" s="4">
        <v>1</v>
      </c>
      <c r="AD355" s="4">
        <v>3</v>
      </c>
      <c r="AE355" s="4">
        <v>3</v>
      </c>
      <c r="AF355" s="4">
        <v>0</v>
      </c>
      <c r="AG355" s="4">
        <v>0</v>
      </c>
      <c r="AH355" s="4">
        <v>2</v>
      </c>
      <c r="AI355" s="4">
        <v>2</v>
      </c>
      <c r="AJ355" s="4">
        <v>1</v>
      </c>
      <c r="AK355" s="4">
        <v>1</v>
      </c>
      <c r="AL355" s="4">
        <v>1</v>
      </c>
      <c r="AM355" s="4">
        <v>1</v>
      </c>
      <c r="AN355" s="4">
        <v>0</v>
      </c>
      <c r="AO355" s="4">
        <v>0</v>
      </c>
      <c r="AP355" s="4">
        <v>1</v>
      </c>
      <c r="AQ355" s="4">
        <v>1</v>
      </c>
      <c r="AR355" s="3" t="s">
        <v>62</v>
      </c>
      <c r="AS355" s="3" t="s">
        <v>62</v>
      </c>
      <c r="AT355" s="3" t="s">
        <v>62</v>
      </c>
      <c r="AV355" s="6" t="str">
        <f t="shared" si="15"/>
        <v>Catalog Record</v>
      </c>
      <c r="AW355" s="6" t="str">
        <f t="shared" si="16"/>
        <v>WorldCat Record</v>
      </c>
      <c r="AX355" s="3" t="s">
        <v>3764</v>
      </c>
      <c r="AY355" s="3" t="s">
        <v>3765</v>
      </c>
      <c r="AZ355" s="3" t="s">
        <v>3766</v>
      </c>
      <c r="BA355" s="3" t="s">
        <v>3766</v>
      </c>
      <c r="BB355" s="3" t="s">
        <v>3772</v>
      </c>
      <c r="BC355" s="3" t="s">
        <v>102</v>
      </c>
      <c r="BD355" s="3" t="s">
        <v>68</v>
      </c>
      <c r="BF355" s="3" t="s">
        <v>3772</v>
      </c>
      <c r="BG355" s="3" t="s">
        <v>3773</v>
      </c>
    </row>
    <row r="356" spans="1:59" ht="58" x14ac:dyDescent="0.35">
      <c r="A356" s="2" t="s">
        <v>89</v>
      </c>
      <c r="B356" s="2" t="s">
        <v>90</v>
      </c>
      <c r="C356" s="2" t="s">
        <v>3756</v>
      </c>
      <c r="D356" s="2" t="s">
        <v>3757</v>
      </c>
      <c r="E356" s="2" t="s">
        <v>3758</v>
      </c>
      <c r="F356" s="3" t="s">
        <v>3774</v>
      </c>
      <c r="G356" s="3" t="s">
        <v>61</v>
      </c>
      <c r="I356" s="3" t="s">
        <v>61</v>
      </c>
      <c r="J356" s="3" t="s">
        <v>62</v>
      </c>
      <c r="K356" s="3" t="s">
        <v>63</v>
      </c>
      <c r="L356" s="2" t="s">
        <v>3759</v>
      </c>
      <c r="M356" s="2" t="s">
        <v>3760</v>
      </c>
      <c r="N356" s="3" t="s">
        <v>3761</v>
      </c>
      <c r="P356" s="3" t="s">
        <v>64</v>
      </c>
      <c r="R356" s="3" t="s">
        <v>65</v>
      </c>
      <c r="S356" s="4">
        <v>7</v>
      </c>
      <c r="T356" s="4">
        <v>32</v>
      </c>
      <c r="U356" s="5" t="s">
        <v>3762</v>
      </c>
      <c r="V356" s="5" t="s">
        <v>3763</v>
      </c>
      <c r="W356" s="5" t="s">
        <v>67</v>
      </c>
      <c r="X356" s="5" t="s">
        <v>67</v>
      </c>
      <c r="Y356" s="4">
        <v>8</v>
      </c>
      <c r="Z356" s="4">
        <v>2</v>
      </c>
      <c r="AA356" s="4">
        <v>2</v>
      </c>
      <c r="AB356" s="4">
        <v>1</v>
      </c>
      <c r="AC356" s="4">
        <v>1</v>
      </c>
      <c r="AD356" s="4">
        <v>3</v>
      </c>
      <c r="AE356" s="4">
        <v>3</v>
      </c>
      <c r="AF356" s="4">
        <v>0</v>
      </c>
      <c r="AG356" s="4">
        <v>0</v>
      </c>
      <c r="AH356" s="4">
        <v>2</v>
      </c>
      <c r="AI356" s="4">
        <v>2</v>
      </c>
      <c r="AJ356" s="4">
        <v>1</v>
      </c>
      <c r="AK356" s="4">
        <v>1</v>
      </c>
      <c r="AL356" s="4">
        <v>1</v>
      </c>
      <c r="AM356" s="4">
        <v>1</v>
      </c>
      <c r="AN356" s="4">
        <v>0</v>
      </c>
      <c r="AO356" s="4">
        <v>0</v>
      </c>
      <c r="AP356" s="4">
        <v>1</v>
      </c>
      <c r="AQ356" s="4">
        <v>1</v>
      </c>
      <c r="AR356" s="3" t="s">
        <v>62</v>
      </c>
      <c r="AS356" s="3" t="s">
        <v>62</v>
      </c>
      <c r="AT356" s="3" t="s">
        <v>62</v>
      </c>
      <c r="AV356" s="6" t="str">
        <f t="shared" si="15"/>
        <v>Catalog Record</v>
      </c>
      <c r="AW356" s="6" t="str">
        <f t="shared" si="16"/>
        <v>WorldCat Record</v>
      </c>
      <c r="AX356" s="3" t="s">
        <v>3764</v>
      </c>
      <c r="AY356" s="3" t="s">
        <v>3765</v>
      </c>
      <c r="AZ356" s="3" t="s">
        <v>3766</v>
      </c>
      <c r="BA356" s="3" t="s">
        <v>3766</v>
      </c>
      <c r="BB356" s="3" t="s">
        <v>3775</v>
      </c>
      <c r="BC356" s="3" t="s">
        <v>102</v>
      </c>
      <c r="BD356" s="3" t="s">
        <v>68</v>
      </c>
      <c r="BF356" s="3" t="s">
        <v>3775</v>
      </c>
      <c r="BG356" s="3" t="s">
        <v>3776</v>
      </c>
    </row>
    <row r="357" spans="1:59" ht="58" x14ac:dyDescent="0.35">
      <c r="A357" s="2" t="s">
        <v>89</v>
      </c>
      <c r="B357" s="2" t="s">
        <v>90</v>
      </c>
      <c r="C357" s="2" t="s">
        <v>3756</v>
      </c>
      <c r="D357" s="2" t="s">
        <v>3757</v>
      </c>
      <c r="E357" s="2" t="s">
        <v>3758</v>
      </c>
      <c r="F357" s="3" t="s">
        <v>3777</v>
      </c>
      <c r="G357" s="3" t="s">
        <v>61</v>
      </c>
      <c r="I357" s="3" t="s">
        <v>61</v>
      </c>
      <c r="J357" s="3" t="s">
        <v>62</v>
      </c>
      <c r="K357" s="3" t="s">
        <v>63</v>
      </c>
      <c r="L357" s="2" t="s">
        <v>3759</v>
      </c>
      <c r="M357" s="2" t="s">
        <v>3760</v>
      </c>
      <c r="N357" s="3" t="s">
        <v>3761</v>
      </c>
      <c r="P357" s="3" t="s">
        <v>64</v>
      </c>
      <c r="R357" s="3" t="s">
        <v>65</v>
      </c>
      <c r="S357" s="4">
        <v>0</v>
      </c>
      <c r="T357" s="4">
        <v>32</v>
      </c>
      <c r="V357" s="5" t="s">
        <v>3763</v>
      </c>
      <c r="W357" s="5" t="s">
        <v>67</v>
      </c>
      <c r="X357" s="5" t="s">
        <v>67</v>
      </c>
      <c r="Y357" s="4">
        <v>8</v>
      </c>
      <c r="Z357" s="4">
        <v>2</v>
      </c>
      <c r="AA357" s="4">
        <v>2</v>
      </c>
      <c r="AB357" s="4">
        <v>1</v>
      </c>
      <c r="AC357" s="4">
        <v>1</v>
      </c>
      <c r="AD357" s="4">
        <v>3</v>
      </c>
      <c r="AE357" s="4">
        <v>3</v>
      </c>
      <c r="AF357" s="4">
        <v>0</v>
      </c>
      <c r="AG357" s="4">
        <v>0</v>
      </c>
      <c r="AH357" s="4">
        <v>2</v>
      </c>
      <c r="AI357" s="4">
        <v>2</v>
      </c>
      <c r="AJ357" s="4">
        <v>1</v>
      </c>
      <c r="AK357" s="4">
        <v>1</v>
      </c>
      <c r="AL357" s="4">
        <v>1</v>
      </c>
      <c r="AM357" s="4">
        <v>1</v>
      </c>
      <c r="AN357" s="4">
        <v>0</v>
      </c>
      <c r="AO357" s="4">
        <v>0</v>
      </c>
      <c r="AP357" s="4">
        <v>1</v>
      </c>
      <c r="AQ357" s="4">
        <v>1</v>
      </c>
      <c r="AR357" s="3" t="s">
        <v>62</v>
      </c>
      <c r="AS357" s="3" t="s">
        <v>62</v>
      </c>
      <c r="AT357" s="3" t="s">
        <v>62</v>
      </c>
      <c r="AV357" s="6" t="str">
        <f t="shared" si="15"/>
        <v>Catalog Record</v>
      </c>
      <c r="AW357" s="6" t="str">
        <f t="shared" si="16"/>
        <v>WorldCat Record</v>
      </c>
      <c r="AX357" s="3" t="s">
        <v>3764</v>
      </c>
      <c r="AY357" s="3" t="s">
        <v>3765</v>
      </c>
      <c r="AZ357" s="3" t="s">
        <v>3766</v>
      </c>
      <c r="BA357" s="3" t="s">
        <v>3766</v>
      </c>
      <c r="BB357" s="3" t="s">
        <v>3778</v>
      </c>
      <c r="BC357" s="3" t="s">
        <v>102</v>
      </c>
      <c r="BD357" s="3" t="s">
        <v>68</v>
      </c>
      <c r="BF357" s="3" t="s">
        <v>3778</v>
      </c>
      <c r="BG357" s="3" t="s">
        <v>3779</v>
      </c>
    </row>
    <row r="358" spans="1:59" ht="58" x14ac:dyDescent="0.35">
      <c r="A358" s="2" t="s">
        <v>89</v>
      </c>
      <c r="B358" s="2" t="s">
        <v>90</v>
      </c>
      <c r="C358" s="2" t="s">
        <v>3756</v>
      </c>
      <c r="D358" s="2" t="s">
        <v>3757</v>
      </c>
      <c r="E358" s="2" t="s">
        <v>3758</v>
      </c>
      <c r="F358" s="3" t="s">
        <v>1393</v>
      </c>
      <c r="G358" s="3" t="s">
        <v>61</v>
      </c>
      <c r="I358" s="3" t="s">
        <v>61</v>
      </c>
      <c r="J358" s="3" t="s">
        <v>62</v>
      </c>
      <c r="K358" s="3" t="s">
        <v>63</v>
      </c>
      <c r="L358" s="2" t="s">
        <v>3759</v>
      </c>
      <c r="M358" s="2" t="s">
        <v>3760</v>
      </c>
      <c r="N358" s="3" t="s">
        <v>3761</v>
      </c>
      <c r="P358" s="3" t="s">
        <v>64</v>
      </c>
      <c r="R358" s="3" t="s">
        <v>65</v>
      </c>
      <c r="S358" s="4">
        <v>0</v>
      </c>
      <c r="T358" s="4">
        <v>32</v>
      </c>
      <c r="V358" s="5" t="s">
        <v>3763</v>
      </c>
      <c r="W358" s="5" t="s">
        <v>67</v>
      </c>
      <c r="X358" s="5" t="s">
        <v>67</v>
      </c>
      <c r="Y358" s="4">
        <v>8</v>
      </c>
      <c r="Z358" s="4">
        <v>2</v>
      </c>
      <c r="AA358" s="4">
        <v>2</v>
      </c>
      <c r="AB358" s="4">
        <v>1</v>
      </c>
      <c r="AC358" s="4">
        <v>1</v>
      </c>
      <c r="AD358" s="4">
        <v>3</v>
      </c>
      <c r="AE358" s="4">
        <v>3</v>
      </c>
      <c r="AF358" s="4">
        <v>0</v>
      </c>
      <c r="AG358" s="4">
        <v>0</v>
      </c>
      <c r="AH358" s="4">
        <v>2</v>
      </c>
      <c r="AI358" s="4">
        <v>2</v>
      </c>
      <c r="AJ358" s="4">
        <v>1</v>
      </c>
      <c r="AK358" s="4">
        <v>1</v>
      </c>
      <c r="AL358" s="4">
        <v>1</v>
      </c>
      <c r="AM358" s="4">
        <v>1</v>
      </c>
      <c r="AN358" s="4">
        <v>0</v>
      </c>
      <c r="AO358" s="4">
        <v>0</v>
      </c>
      <c r="AP358" s="4">
        <v>1</v>
      </c>
      <c r="AQ358" s="4">
        <v>1</v>
      </c>
      <c r="AR358" s="3" t="s">
        <v>62</v>
      </c>
      <c r="AS358" s="3" t="s">
        <v>62</v>
      </c>
      <c r="AT358" s="3" t="s">
        <v>62</v>
      </c>
      <c r="AV358" s="6" t="str">
        <f t="shared" si="15"/>
        <v>Catalog Record</v>
      </c>
      <c r="AW358" s="6" t="str">
        <f t="shared" si="16"/>
        <v>WorldCat Record</v>
      </c>
      <c r="AX358" s="3" t="s">
        <v>3764</v>
      </c>
      <c r="AY358" s="3" t="s">
        <v>3765</v>
      </c>
      <c r="AZ358" s="3" t="s">
        <v>3766</v>
      </c>
      <c r="BA358" s="3" t="s">
        <v>3766</v>
      </c>
      <c r="BB358" s="3" t="s">
        <v>3780</v>
      </c>
      <c r="BC358" s="3" t="s">
        <v>102</v>
      </c>
      <c r="BD358" s="3" t="s">
        <v>68</v>
      </c>
      <c r="BF358" s="3" t="s">
        <v>3780</v>
      </c>
      <c r="BG358" s="3" t="s">
        <v>3781</v>
      </c>
    </row>
    <row r="359" spans="1:59" ht="58" x14ac:dyDescent="0.35">
      <c r="A359" s="2" t="s">
        <v>89</v>
      </c>
      <c r="B359" s="2" t="s">
        <v>90</v>
      </c>
      <c r="C359" s="2" t="s">
        <v>3756</v>
      </c>
      <c r="D359" s="2" t="s">
        <v>3757</v>
      </c>
      <c r="E359" s="2" t="s">
        <v>3758</v>
      </c>
      <c r="F359" s="3" t="s">
        <v>1387</v>
      </c>
      <c r="G359" s="3" t="s">
        <v>61</v>
      </c>
      <c r="I359" s="3" t="s">
        <v>61</v>
      </c>
      <c r="J359" s="3" t="s">
        <v>62</v>
      </c>
      <c r="K359" s="3" t="s">
        <v>63</v>
      </c>
      <c r="L359" s="2" t="s">
        <v>3759</v>
      </c>
      <c r="M359" s="2" t="s">
        <v>3760</v>
      </c>
      <c r="N359" s="3" t="s">
        <v>3761</v>
      </c>
      <c r="P359" s="3" t="s">
        <v>64</v>
      </c>
      <c r="R359" s="3" t="s">
        <v>65</v>
      </c>
      <c r="S359" s="4">
        <v>4</v>
      </c>
      <c r="T359" s="4">
        <v>32</v>
      </c>
      <c r="U359" s="5" t="s">
        <v>3762</v>
      </c>
      <c r="V359" s="5" t="s">
        <v>3763</v>
      </c>
      <c r="W359" s="5" t="s">
        <v>67</v>
      </c>
      <c r="X359" s="5" t="s">
        <v>67</v>
      </c>
      <c r="Y359" s="4">
        <v>8</v>
      </c>
      <c r="Z359" s="4">
        <v>2</v>
      </c>
      <c r="AA359" s="4">
        <v>2</v>
      </c>
      <c r="AB359" s="4">
        <v>1</v>
      </c>
      <c r="AC359" s="4">
        <v>1</v>
      </c>
      <c r="AD359" s="4">
        <v>3</v>
      </c>
      <c r="AE359" s="4">
        <v>3</v>
      </c>
      <c r="AF359" s="4">
        <v>0</v>
      </c>
      <c r="AG359" s="4">
        <v>0</v>
      </c>
      <c r="AH359" s="4">
        <v>2</v>
      </c>
      <c r="AI359" s="4">
        <v>2</v>
      </c>
      <c r="AJ359" s="4">
        <v>1</v>
      </c>
      <c r="AK359" s="4">
        <v>1</v>
      </c>
      <c r="AL359" s="4">
        <v>1</v>
      </c>
      <c r="AM359" s="4">
        <v>1</v>
      </c>
      <c r="AN359" s="4">
        <v>0</v>
      </c>
      <c r="AO359" s="4">
        <v>0</v>
      </c>
      <c r="AP359" s="4">
        <v>1</v>
      </c>
      <c r="AQ359" s="4">
        <v>1</v>
      </c>
      <c r="AR359" s="3" t="s">
        <v>62</v>
      </c>
      <c r="AS359" s="3" t="s">
        <v>62</v>
      </c>
      <c r="AT359" s="3" t="s">
        <v>62</v>
      </c>
      <c r="AV359" s="6" t="str">
        <f t="shared" si="15"/>
        <v>Catalog Record</v>
      </c>
      <c r="AW359" s="6" t="str">
        <f t="shared" si="16"/>
        <v>WorldCat Record</v>
      </c>
      <c r="AX359" s="3" t="s">
        <v>3764</v>
      </c>
      <c r="AY359" s="3" t="s">
        <v>3765</v>
      </c>
      <c r="AZ359" s="3" t="s">
        <v>3766</v>
      </c>
      <c r="BA359" s="3" t="s">
        <v>3766</v>
      </c>
      <c r="BB359" s="3" t="s">
        <v>3782</v>
      </c>
      <c r="BC359" s="3" t="s">
        <v>102</v>
      </c>
      <c r="BD359" s="3" t="s">
        <v>68</v>
      </c>
      <c r="BF359" s="3" t="s">
        <v>3782</v>
      </c>
      <c r="BG359" s="3" t="s">
        <v>3783</v>
      </c>
    </row>
    <row r="360" spans="1:59" ht="58" x14ac:dyDescent="0.35">
      <c r="A360" s="2" t="s">
        <v>89</v>
      </c>
      <c r="B360" s="2" t="s">
        <v>90</v>
      </c>
      <c r="C360" s="2" t="s">
        <v>3756</v>
      </c>
      <c r="D360" s="2" t="s">
        <v>3757</v>
      </c>
      <c r="E360" s="2" t="s">
        <v>3758</v>
      </c>
      <c r="F360" s="3" t="s">
        <v>1371</v>
      </c>
      <c r="G360" s="3" t="s">
        <v>61</v>
      </c>
      <c r="I360" s="3" t="s">
        <v>61</v>
      </c>
      <c r="J360" s="3" t="s">
        <v>62</v>
      </c>
      <c r="K360" s="3" t="s">
        <v>63</v>
      </c>
      <c r="L360" s="2" t="s">
        <v>3759</v>
      </c>
      <c r="M360" s="2" t="s">
        <v>3760</v>
      </c>
      <c r="N360" s="3" t="s">
        <v>3761</v>
      </c>
      <c r="P360" s="3" t="s">
        <v>64</v>
      </c>
      <c r="R360" s="3" t="s">
        <v>65</v>
      </c>
      <c r="S360" s="4">
        <v>2</v>
      </c>
      <c r="T360" s="4">
        <v>32</v>
      </c>
      <c r="U360" s="5" t="s">
        <v>3784</v>
      </c>
      <c r="V360" s="5" t="s">
        <v>3763</v>
      </c>
      <c r="W360" s="5" t="s">
        <v>67</v>
      </c>
      <c r="X360" s="5" t="s">
        <v>67</v>
      </c>
      <c r="Y360" s="4">
        <v>8</v>
      </c>
      <c r="Z360" s="4">
        <v>2</v>
      </c>
      <c r="AA360" s="4">
        <v>2</v>
      </c>
      <c r="AB360" s="4">
        <v>1</v>
      </c>
      <c r="AC360" s="4">
        <v>1</v>
      </c>
      <c r="AD360" s="4">
        <v>3</v>
      </c>
      <c r="AE360" s="4">
        <v>3</v>
      </c>
      <c r="AF360" s="4">
        <v>0</v>
      </c>
      <c r="AG360" s="4">
        <v>0</v>
      </c>
      <c r="AH360" s="4">
        <v>2</v>
      </c>
      <c r="AI360" s="4">
        <v>2</v>
      </c>
      <c r="AJ360" s="4">
        <v>1</v>
      </c>
      <c r="AK360" s="4">
        <v>1</v>
      </c>
      <c r="AL360" s="4">
        <v>1</v>
      </c>
      <c r="AM360" s="4">
        <v>1</v>
      </c>
      <c r="AN360" s="4">
        <v>0</v>
      </c>
      <c r="AO360" s="4">
        <v>0</v>
      </c>
      <c r="AP360" s="4">
        <v>1</v>
      </c>
      <c r="AQ360" s="4">
        <v>1</v>
      </c>
      <c r="AR360" s="3" t="s">
        <v>62</v>
      </c>
      <c r="AS360" s="3" t="s">
        <v>62</v>
      </c>
      <c r="AT360" s="3" t="s">
        <v>62</v>
      </c>
      <c r="AV360" s="6" t="str">
        <f t="shared" si="15"/>
        <v>Catalog Record</v>
      </c>
      <c r="AW360" s="6" t="str">
        <f t="shared" si="16"/>
        <v>WorldCat Record</v>
      </c>
      <c r="AX360" s="3" t="s">
        <v>3764</v>
      </c>
      <c r="AY360" s="3" t="s">
        <v>3765</v>
      </c>
      <c r="AZ360" s="3" t="s">
        <v>3766</v>
      </c>
      <c r="BA360" s="3" t="s">
        <v>3766</v>
      </c>
      <c r="BB360" s="3" t="s">
        <v>3785</v>
      </c>
      <c r="BC360" s="3" t="s">
        <v>102</v>
      </c>
      <c r="BD360" s="3" t="s">
        <v>68</v>
      </c>
      <c r="BF360" s="3" t="s">
        <v>3785</v>
      </c>
      <c r="BG360" s="3" t="s">
        <v>3786</v>
      </c>
    </row>
    <row r="361" spans="1:59" ht="58" x14ac:dyDescent="0.35">
      <c r="A361" s="2" t="s">
        <v>89</v>
      </c>
      <c r="B361" s="2" t="s">
        <v>90</v>
      </c>
      <c r="C361" s="2" t="s">
        <v>3756</v>
      </c>
      <c r="D361" s="2" t="s">
        <v>3757</v>
      </c>
      <c r="E361" s="2" t="s">
        <v>3758</v>
      </c>
      <c r="F361" s="3" t="s">
        <v>3787</v>
      </c>
      <c r="G361" s="3" t="s">
        <v>61</v>
      </c>
      <c r="I361" s="3" t="s">
        <v>61</v>
      </c>
      <c r="J361" s="3" t="s">
        <v>62</v>
      </c>
      <c r="K361" s="3" t="s">
        <v>63</v>
      </c>
      <c r="L361" s="2" t="s">
        <v>3759</v>
      </c>
      <c r="M361" s="2" t="s">
        <v>3760</v>
      </c>
      <c r="N361" s="3" t="s">
        <v>3761</v>
      </c>
      <c r="P361" s="3" t="s">
        <v>64</v>
      </c>
      <c r="R361" s="3" t="s">
        <v>65</v>
      </c>
      <c r="S361" s="4">
        <v>0</v>
      </c>
      <c r="T361" s="4">
        <v>32</v>
      </c>
      <c r="V361" s="5" t="s">
        <v>3763</v>
      </c>
      <c r="W361" s="5" t="s">
        <v>67</v>
      </c>
      <c r="X361" s="5" t="s">
        <v>67</v>
      </c>
      <c r="Y361" s="4">
        <v>8</v>
      </c>
      <c r="Z361" s="4">
        <v>2</v>
      </c>
      <c r="AA361" s="4">
        <v>2</v>
      </c>
      <c r="AB361" s="4">
        <v>1</v>
      </c>
      <c r="AC361" s="4">
        <v>1</v>
      </c>
      <c r="AD361" s="4">
        <v>3</v>
      </c>
      <c r="AE361" s="4">
        <v>3</v>
      </c>
      <c r="AF361" s="4">
        <v>0</v>
      </c>
      <c r="AG361" s="4">
        <v>0</v>
      </c>
      <c r="AH361" s="4">
        <v>2</v>
      </c>
      <c r="AI361" s="4">
        <v>2</v>
      </c>
      <c r="AJ361" s="4">
        <v>1</v>
      </c>
      <c r="AK361" s="4">
        <v>1</v>
      </c>
      <c r="AL361" s="4">
        <v>1</v>
      </c>
      <c r="AM361" s="4">
        <v>1</v>
      </c>
      <c r="AN361" s="4">
        <v>0</v>
      </c>
      <c r="AO361" s="4">
        <v>0</v>
      </c>
      <c r="AP361" s="4">
        <v>1</v>
      </c>
      <c r="AQ361" s="4">
        <v>1</v>
      </c>
      <c r="AR361" s="3" t="s">
        <v>62</v>
      </c>
      <c r="AS361" s="3" t="s">
        <v>62</v>
      </c>
      <c r="AT361" s="3" t="s">
        <v>62</v>
      </c>
      <c r="AV361" s="6" t="str">
        <f t="shared" si="15"/>
        <v>Catalog Record</v>
      </c>
      <c r="AW361" s="6" t="str">
        <f t="shared" si="16"/>
        <v>WorldCat Record</v>
      </c>
      <c r="AX361" s="3" t="s">
        <v>3764</v>
      </c>
      <c r="AY361" s="3" t="s">
        <v>3765</v>
      </c>
      <c r="AZ361" s="3" t="s">
        <v>3766</v>
      </c>
      <c r="BA361" s="3" t="s">
        <v>3766</v>
      </c>
      <c r="BB361" s="3" t="s">
        <v>3788</v>
      </c>
      <c r="BC361" s="3" t="s">
        <v>102</v>
      </c>
      <c r="BD361" s="3" t="s">
        <v>68</v>
      </c>
      <c r="BF361" s="3" t="s">
        <v>3788</v>
      </c>
      <c r="BG361" s="3" t="s">
        <v>3789</v>
      </c>
    </row>
    <row r="362" spans="1:59" ht="58" x14ac:dyDescent="0.35">
      <c r="A362" s="2" t="s">
        <v>89</v>
      </c>
      <c r="B362" s="2" t="s">
        <v>90</v>
      </c>
      <c r="C362" s="2" t="s">
        <v>3756</v>
      </c>
      <c r="D362" s="2" t="s">
        <v>3757</v>
      </c>
      <c r="E362" s="2" t="s">
        <v>3758</v>
      </c>
      <c r="F362" s="3" t="s">
        <v>3790</v>
      </c>
      <c r="G362" s="3" t="s">
        <v>61</v>
      </c>
      <c r="I362" s="3" t="s">
        <v>61</v>
      </c>
      <c r="J362" s="3" t="s">
        <v>62</v>
      </c>
      <c r="K362" s="3" t="s">
        <v>63</v>
      </c>
      <c r="L362" s="2" t="s">
        <v>3759</v>
      </c>
      <c r="M362" s="2" t="s">
        <v>3760</v>
      </c>
      <c r="N362" s="3" t="s">
        <v>3761</v>
      </c>
      <c r="P362" s="3" t="s">
        <v>64</v>
      </c>
      <c r="R362" s="3" t="s">
        <v>65</v>
      </c>
      <c r="S362" s="4">
        <v>0</v>
      </c>
      <c r="T362" s="4">
        <v>32</v>
      </c>
      <c r="V362" s="5" t="s">
        <v>3763</v>
      </c>
      <c r="W362" s="5" t="s">
        <v>67</v>
      </c>
      <c r="X362" s="5" t="s">
        <v>67</v>
      </c>
      <c r="Y362" s="4">
        <v>8</v>
      </c>
      <c r="Z362" s="4">
        <v>2</v>
      </c>
      <c r="AA362" s="4">
        <v>2</v>
      </c>
      <c r="AB362" s="4">
        <v>1</v>
      </c>
      <c r="AC362" s="4">
        <v>1</v>
      </c>
      <c r="AD362" s="4">
        <v>3</v>
      </c>
      <c r="AE362" s="4">
        <v>3</v>
      </c>
      <c r="AF362" s="4">
        <v>0</v>
      </c>
      <c r="AG362" s="4">
        <v>0</v>
      </c>
      <c r="AH362" s="4">
        <v>2</v>
      </c>
      <c r="AI362" s="4">
        <v>2</v>
      </c>
      <c r="AJ362" s="4">
        <v>1</v>
      </c>
      <c r="AK362" s="4">
        <v>1</v>
      </c>
      <c r="AL362" s="4">
        <v>1</v>
      </c>
      <c r="AM362" s="4">
        <v>1</v>
      </c>
      <c r="AN362" s="4">
        <v>0</v>
      </c>
      <c r="AO362" s="4">
        <v>0</v>
      </c>
      <c r="AP362" s="4">
        <v>1</v>
      </c>
      <c r="AQ362" s="4">
        <v>1</v>
      </c>
      <c r="AR362" s="3" t="s">
        <v>62</v>
      </c>
      <c r="AS362" s="3" t="s">
        <v>62</v>
      </c>
      <c r="AT362" s="3" t="s">
        <v>62</v>
      </c>
      <c r="AV362" s="6" t="str">
        <f t="shared" si="15"/>
        <v>Catalog Record</v>
      </c>
      <c r="AW362" s="6" t="str">
        <f t="shared" si="16"/>
        <v>WorldCat Record</v>
      </c>
      <c r="AX362" s="3" t="s">
        <v>3764</v>
      </c>
      <c r="AY362" s="3" t="s">
        <v>3765</v>
      </c>
      <c r="AZ362" s="3" t="s">
        <v>3766</v>
      </c>
      <c r="BA362" s="3" t="s">
        <v>3766</v>
      </c>
      <c r="BB362" s="3" t="s">
        <v>3791</v>
      </c>
      <c r="BC362" s="3" t="s">
        <v>102</v>
      </c>
      <c r="BD362" s="3" t="s">
        <v>68</v>
      </c>
      <c r="BF362" s="3" t="s">
        <v>3791</v>
      </c>
      <c r="BG362" s="3" t="s">
        <v>3792</v>
      </c>
    </row>
    <row r="363" spans="1:59" ht="58" x14ac:dyDescent="0.35">
      <c r="A363" s="2" t="s">
        <v>89</v>
      </c>
      <c r="B363" s="2" t="s">
        <v>90</v>
      </c>
      <c r="C363" s="2" t="s">
        <v>3756</v>
      </c>
      <c r="D363" s="2" t="s">
        <v>3757</v>
      </c>
      <c r="E363" s="2" t="s">
        <v>3758</v>
      </c>
      <c r="F363" s="3" t="s">
        <v>3793</v>
      </c>
      <c r="G363" s="3" t="s">
        <v>61</v>
      </c>
      <c r="I363" s="3" t="s">
        <v>61</v>
      </c>
      <c r="J363" s="3" t="s">
        <v>62</v>
      </c>
      <c r="K363" s="3" t="s">
        <v>63</v>
      </c>
      <c r="L363" s="2" t="s">
        <v>3759</v>
      </c>
      <c r="M363" s="2" t="s">
        <v>3760</v>
      </c>
      <c r="N363" s="3" t="s">
        <v>3761</v>
      </c>
      <c r="P363" s="3" t="s">
        <v>64</v>
      </c>
      <c r="R363" s="3" t="s">
        <v>65</v>
      </c>
      <c r="S363" s="4">
        <v>5</v>
      </c>
      <c r="T363" s="4">
        <v>32</v>
      </c>
      <c r="U363" s="5" t="s">
        <v>3762</v>
      </c>
      <c r="V363" s="5" t="s">
        <v>3763</v>
      </c>
      <c r="W363" s="5" t="s">
        <v>67</v>
      </c>
      <c r="X363" s="5" t="s">
        <v>67</v>
      </c>
      <c r="Y363" s="4">
        <v>8</v>
      </c>
      <c r="Z363" s="4">
        <v>2</v>
      </c>
      <c r="AA363" s="4">
        <v>2</v>
      </c>
      <c r="AB363" s="4">
        <v>1</v>
      </c>
      <c r="AC363" s="4">
        <v>1</v>
      </c>
      <c r="AD363" s="4">
        <v>3</v>
      </c>
      <c r="AE363" s="4">
        <v>3</v>
      </c>
      <c r="AF363" s="4">
        <v>0</v>
      </c>
      <c r="AG363" s="4">
        <v>0</v>
      </c>
      <c r="AH363" s="4">
        <v>2</v>
      </c>
      <c r="AI363" s="4">
        <v>2</v>
      </c>
      <c r="AJ363" s="4">
        <v>1</v>
      </c>
      <c r="AK363" s="4">
        <v>1</v>
      </c>
      <c r="AL363" s="4">
        <v>1</v>
      </c>
      <c r="AM363" s="4">
        <v>1</v>
      </c>
      <c r="AN363" s="4">
        <v>0</v>
      </c>
      <c r="AO363" s="4">
        <v>0</v>
      </c>
      <c r="AP363" s="4">
        <v>1</v>
      </c>
      <c r="AQ363" s="4">
        <v>1</v>
      </c>
      <c r="AR363" s="3" t="s">
        <v>62</v>
      </c>
      <c r="AS363" s="3" t="s">
        <v>62</v>
      </c>
      <c r="AT363" s="3" t="s">
        <v>62</v>
      </c>
      <c r="AV363" s="6" t="str">
        <f t="shared" si="15"/>
        <v>Catalog Record</v>
      </c>
      <c r="AW363" s="6" t="str">
        <f t="shared" si="16"/>
        <v>WorldCat Record</v>
      </c>
      <c r="AX363" s="3" t="s">
        <v>3764</v>
      </c>
      <c r="AY363" s="3" t="s">
        <v>3765</v>
      </c>
      <c r="AZ363" s="3" t="s">
        <v>3766</v>
      </c>
      <c r="BA363" s="3" t="s">
        <v>3766</v>
      </c>
      <c r="BB363" s="3" t="s">
        <v>3794</v>
      </c>
      <c r="BC363" s="3" t="s">
        <v>102</v>
      </c>
      <c r="BD363" s="3" t="s">
        <v>68</v>
      </c>
      <c r="BF363" s="3" t="s">
        <v>3794</v>
      </c>
      <c r="BG363" s="3" t="s">
        <v>3795</v>
      </c>
    </row>
    <row r="364" spans="1:59" ht="58" x14ac:dyDescent="0.35">
      <c r="A364" s="2" t="s">
        <v>89</v>
      </c>
      <c r="B364" s="2" t="s">
        <v>90</v>
      </c>
      <c r="C364" s="2" t="s">
        <v>3756</v>
      </c>
      <c r="D364" s="2" t="s">
        <v>3757</v>
      </c>
      <c r="E364" s="2" t="s">
        <v>3758</v>
      </c>
      <c r="F364" s="3" t="s">
        <v>1381</v>
      </c>
      <c r="G364" s="3" t="s">
        <v>61</v>
      </c>
      <c r="I364" s="3" t="s">
        <v>61</v>
      </c>
      <c r="J364" s="3" t="s">
        <v>62</v>
      </c>
      <c r="K364" s="3" t="s">
        <v>63</v>
      </c>
      <c r="L364" s="2" t="s">
        <v>3759</v>
      </c>
      <c r="M364" s="2" t="s">
        <v>3760</v>
      </c>
      <c r="N364" s="3" t="s">
        <v>3761</v>
      </c>
      <c r="P364" s="3" t="s">
        <v>64</v>
      </c>
      <c r="R364" s="3" t="s">
        <v>65</v>
      </c>
      <c r="S364" s="4">
        <v>0</v>
      </c>
      <c r="T364" s="4">
        <v>32</v>
      </c>
      <c r="V364" s="5" t="s">
        <v>3763</v>
      </c>
      <c r="W364" s="5" t="s">
        <v>67</v>
      </c>
      <c r="X364" s="5" t="s">
        <v>67</v>
      </c>
      <c r="Y364" s="4">
        <v>8</v>
      </c>
      <c r="Z364" s="4">
        <v>2</v>
      </c>
      <c r="AA364" s="4">
        <v>2</v>
      </c>
      <c r="AB364" s="4">
        <v>1</v>
      </c>
      <c r="AC364" s="4">
        <v>1</v>
      </c>
      <c r="AD364" s="4">
        <v>3</v>
      </c>
      <c r="AE364" s="4">
        <v>3</v>
      </c>
      <c r="AF364" s="4">
        <v>0</v>
      </c>
      <c r="AG364" s="4">
        <v>0</v>
      </c>
      <c r="AH364" s="4">
        <v>2</v>
      </c>
      <c r="AI364" s="4">
        <v>2</v>
      </c>
      <c r="AJ364" s="4">
        <v>1</v>
      </c>
      <c r="AK364" s="4">
        <v>1</v>
      </c>
      <c r="AL364" s="4">
        <v>1</v>
      </c>
      <c r="AM364" s="4">
        <v>1</v>
      </c>
      <c r="AN364" s="4">
        <v>0</v>
      </c>
      <c r="AO364" s="4">
        <v>0</v>
      </c>
      <c r="AP364" s="4">
        <v>1</v>
      </c>
      <c r="AQ364" s="4">
        <v>1</v>
      </c>
      <c r="AR364" s="3" t="s">
        <v>62</v>
      </c>
      <c r="AS364" s="3" t="s">
        <v>62</v>
      </c>
      <c r="AT364" s="3" t="s">
        <v>62</v>
      </c>
      <c r="AV364" s="6" t="str">
        <f t="shared" si="15"/>
        <v>Catalog Record</v>
      </c>
      <c r="AW364" s="6" t="str">
        <f t="shared" si="16"/>
        <v>WorldCat Record</v>
      </c>
      <c r="AX364" s="3" t="s">
        <v>3764</v>
      </c>
      <c r="AY364" s="3" t="s">
        <v>3765</v>
      </c>
      <c r="AZ364" s="3" t="s">
        <v>3766</v>
      </c>
      <c r="BA364" s="3" t="s">
        <v>3766</v>
      </c>
      <c r="BB364" s="3" t="s">
        <v>3796</v>
      </c>
      <c r="BC364" s="3" t="s">
        <v>102</v>
      </c>
      <c r="BD364" s="3" t="s">
        <v>68</v>
      </c>
      <c r="BF364" s="3" t="s">
        <v>3796</v>
      </c>
      <c r="BG364" s="3" t="s">
        <v>3797</v>
      </c>
    </row>
    <row r="365" spans="1:59" ht="58" x14ac:dyDescent="0.35">
      <c r="A365" s="2" t="s">
        <v>89</v>
      </c>
      <c r="B365" s="2" t="s">
        <v>90</v>
      </c>
      <c r="C365" s="2" t="s">
        <v>3756</v>
      </c>
      <c r="D365" s="2" t="s">
        <v>3757</v>
      </c>
      <c r="E365" s="2" t="s">
        <v>3758</v>
      </c>
      <c r="F365" s="3" t="s">
        <v>1396</v>
      </c>
      <c r="G365" s="3" t="s">
        <v>61</v>
      </c>
      <c r="I365" s="3" t="s">
        <v>61</v>
      </c>
      <c r="J365" s="3" t="s">
        <v>62</v>
      </c>
      <c r="K365" s="3" t="s">
        <v>63</v>
      </c>
      <c r="L365" s="2" t="s">
        <v>3759</v>
      </c>
      <c r="M365" s="2" t="s">
        <v>3760</v>
      </c>
      <c r="N365" s="3" t="s">
        <v>3761</v>
      </c>
      <c r="P365" s="3" t="s">
        <v>64</v>
      </c>
      <c r="R365" s="3" t="s">
        <v>65</v>
      </c>
      <c r="S365" s="4">
        <v>3</v>
      </c>
      <c r="T365" s="4">
        <v>32</v>
      </c>
      <c r="U365" s="5" t="s">
        <v>3763</v>
      </c>
      <c r="V365" s="5" t="s">
        <v>3763</v>
      </c>
      <c r="W365" s="5" t="s">
        <v>67</v>
      </c>
      <c r="X365" s="5" t="s">
        <v>67</v>
      </c>
      <c r="Y365" s="4">
        <v>8</v>
      </c>
      <c r="Z365" s="4">
        <v>2</v>
      </c>
      <c r="AA365" s="4">
        <v>2</v>
      </c>
      <c r="AB365" s="4">
        <v>1</v>
      </c>
      <c r="AC365" s="4">
        <v>1</v>
      </c>
      <c r="AD365" s="4">
        <v>3</v>
      </c>
      <c r="AE365" s="4">
        <v>3</v>
      </c>
      <c r="AF365" s="4">
        <v>0</v>
      </c>
      <c r="AG365" s="4">
        <v>0</v>
      </c>
      <c r="AH365" s="4">
        <v>2</v>
      </c>
      <c r="AI365" s="4">
        <v>2</v>
      </c>
      <c r="AJ365" s="4">
        <v>1</v>
      </c>
      <c r="AK365" s="4">
        <v>1</v>
      </c>
      <c r="AL365" s="4">
        <v>1</v>
      </c>
      <c r="AM365" s="4">
        <v>1</v>
      </c>
      <c r="AN365" s="4">
        <v>0</v>
      </c>
      <c r="AO365" s="4">
        <v>0</v>
      </c>
      <c r="AP365" s="4">
        <v>1</v>
      </c>
      <c r="AQ365" s="4">
        <v>1</v>
      </c>
      <c r="AR365" s="3" t="s">
        <v>62</v>
      </c>
      <c r="AS365" s="3" t="s">
        <v>62</v>
      </c>
      <c r="AT365" s="3" t="s">
        <v>62</v>
      </c>
      <c r="AV365" s="6" t="str">
        <f t="shared" si="15"/>
        <v>Catalog Record</v>
      </c>
      <c r="AW365" s="6" t="str">
        <f t="shared" si="16"/>
        <v>WorldCat Record</v>
      </c>
      <c r="AX365" s="3" t="s">
        <v>3764</v>
      </c>
      <c r="AY365" s="3" t="s">
        <v>3765</v>
      </c>
      <c r="AZ365" s="3" t="s">
        <v>3766</v>
      </c>
      <c r="BA365" s="3" t="s">
        <v>3766</v>
      </c>
      <c r="BB365" s="3" t="s">
        <v>3798</v>
      </c>
      <c r="BC365" s="3" t="s">
        <v>102</v>
      </c>
      <c r="BD365" s="3" t="s">
        <v>231</v>
      </c>
      <c r="BF365" s="3" t="s">
        <v>3798</v>
      </c>
      <c r="BG365" s="3" t="s">
        <v>3799</v>
      </c>
    </row>
    <row r="366" spans="1:59" ht="58" x14ac:dyDescent="0.35">
      <c r="A366" s="2" t="s">
        <v>89</v>
      </c>
      <c r="B366" s="2" t="s">
        <v>90</v>
      </c>
      <c r="C366" s="2" t="s">
        <v>3756</v>
      </c>
      <c r="D366" s="2" t="s">
        <v>3757</v>
      </c>
      <c r="E366" s="2" t="s">
        <v>3758</v>
      </c>
      <c r="F366" s="3" t="s">
        <v>3800</v>
      </c>
      <c r="G366" s="3" t="s">
        <v>61</v>
      </c>
      <c r="I366" s="3" t="s">
        <v>61</v>
      </c>
      <c r="J366" s="3" t="s">
        <v>62</v>
      </c>
      <c r="K366" s="3" t="s">
        <v>63</v>
      </c>
      <c r="L366" s="2" t="s">
        <v>3759</v>
      </c>
      <c r="M366" s="2" t="s">
        <v>3760</v>
      </c>
      <c r="N366" s="3" t="s">
        <v>3761</v>
      </c>
      <c r="P366" s="3" t="s">
        <v>64</v>
      </c>
      <c r="R366" s="3" t="s">
        <v>65</v>
      </c>
      <c r="S366" s="4">
        <v>0</v>
      </c>
      <c r="T366" s="4">
        <v>32</v>
      </c>
      <c r="V366" s="5" t="s">
        <v>3763</v>
      </c>
      <c r="W366" s="5" t="s">
        <v>67</v>
      </c>
      <c r="X366" s="5" t="s">
        <v>67</v>
      </c>
      <c r="Y366" s="4">
        <v>8</v>
      </c>
      <c r="Z366" s="4">
        <v>2</v>
      </c>
      <c r="AA366" s="4">
        <v>2</v>
      </c>
      <c r="AB366" s="4">
        <v>1</v>
      </c>
      <c r="AC366" s="4">
        <v>1</v>
      </c>
      <c r="AD366" s="4">
        <v>3</v>
      </c>
      <c r="AE366" s="4">
        <v>3</v>
      </c>
      <c r="AF366" s="4">
        <v>0</v>
      </c>
      <c r="AG366" s="4">
        <v>0</v>
      </c>
      <c r="AH366" s="4">
        <v>2</v>
      </c>
      <c r="AI366" s="4">
        <v>2</v>
      </c>
      <c r="AJ366" s="4">
        <v>1</v>
      </c>
      <c r="AK366" s="4">
        <v>1</v>
      </c>
      <c r="AL366" s="4">
        <v>1</v>
      </c>
      <c r="AM366" s="4">
        <v>1</v>
      </c>
      <c r="AN366" s="4">
        <v>0</v>
      </c>
      <c r="AO366" s="4">
        <v>0</v>
      </c>
      <c r="AP366" s="4">
        <v>1</v>
      </c>
      <c r="AQ366" s="4">
        <v>1</v>
      </c>
      <c r="AR366" s="3" t="s">
        <v>62</v>
      </c>
      <c r="AS366" s="3" t="s">
        <v>62</v>
      </c>
      <c r="AT366" s="3" t="s">
        <v>62</v>
      </c>
      <c r="AV366" s="6" t="str">
        <f t="shared" si="15"/>
        <v>Catalog Record</v>
      </c>
      <c r="AW366" s="6" t="str">
        <f t="shared" si="16"/>
        <v>WorldCat Record</v>
      </c>
      <c r="AX366" s="3" t="s">
        <v>3764</v>
      </c>
      <c r="AY366" s="3" t="s">
        <v>3765</v>
      </c>
      <c r="AZ366" s="3" t="s">
        <v>3766</v>
      </c>
      <c r="BA366" s="3" t="s">
        <v>3766</v>
      </c>
      <c r="BB366" s="3" t="s">
        <v>3801</v>
      </c>
      <c r="BC366" s="3" t="s">
        <v>102</v>
      </c>
      <c r="BD366" s="3" t="s">
        <v>68</v>
      </c>
      <c r="BF366" s="3" t="s">
        <v>3801</v>
      </c>
      <c r="BG366" s="3" t="s">
        <v>3802</v>
      </c>
    </row>
    <row r="367" spans="1:59" ht="58" x14ac:dyDescent="0.35">
      <c r="A367" s="2" t="s">
        <v>89</v>
      </c>
      <c r="B367" s="2" t="s">
        <v>90</v>
      </c>
      <c r="C367" s="2" t="s">
        <v>3803</v>
      </c>
      <c r="D367" s="2" t="s">
        <v>3804</v>
      </c>
      <c r="E367" s="2" t="s">
        <v>3805</v>
      </c>
      <c r="G367" s="3" t="s">
        <v>62</v>
      </c>
      <c r="I367" s="3" t="s">
        <v>62</v>
      </c>
      <c r="J367" s="3" t="s">
        <v>62</v>
      </c>
      <c r="K367" s="3" t="s">
        <v>63</v>
      </c>
      <c r="L367" s="2" t="s">
        <v>3806</v>
      </c>
      <c r="M367" s="2" t="s">
        <v>3807</v>
      </c>
      <c r="N367" s="3" t="s">
        <v>3808</v>
      </c>
      <c r="P367" s="3" t="s">
        <v>64</v>
      </c>
      <c r="Q367" s="2" t="s">
        <v>3809</v>
      </c>
      <c r="R367" s="3" t="s">
        <v>65</v>
      </c>
      <c r="S367" s="4">
        <v>1</v>
      </c>
      <c r="T367" s="4">
        <v>1</v>
      </c>
      <c r="U367" s="5" t="s">
        <v>2015</v>
      </c>
      <c r="V367" s="5" t="s">
        <v>2015</v>
      </c>
      <c r="W367" s="5" t="s">
        <v>67</v>
      </c>
      <c r="X367" s="5" t="s">
        <v>67</v>
      </c>
      <c r="Y367" s="4">
        <v>115</v>
      </c>
      <c r="Z367" s="4">
        <v>10</v>
      </c>
      <c r="AA367" s="4">
        <v>23</v>
      </c>
      <c r="AB367" s="4">
        <v>1</v>
      </c>
      <c r="AC367" s="4">
        <v>2</v>
      </c>
      <c r="AD367" s="4">
        <v>45</v>
      </c>
      <c r="AE367" s="4">
        <v>87</v>
      </c>
      <c r="AF367" s="4">
        <v>0</v>
      </c>
      <c r="AG367" s="4">
        <v>1</v>
      </c>
      <c r="AH367" s="4">
        <v>39</v>
      </c>
      <c r="AI367" s="4">
        <v>73</v>
      </c>
      <c r="AJ367" s="4">
        <v>5</v>
      </c>
      <c r="AK367" s="4">
        <v>14</v>
      </c>
      <c r="AL367" s="4">
        <v>27</v>
      </c>
      <c r="AM367" s="4">
        <v>44</v>
      </c>
      <c r="AN367" s="4">
        <v>0</v>
      </c>
      <c r="AO367" s="4">
        <v>0</v>
      </c>
      <c r="AP367" s="4">
        <v>7</v>
      </c>
      <c r="AQ367" s="4">
        <v>17</v>
      </c>
      <c r="AR367" s="3" t="s">
        <v>62</v>
      </c>
      <c r="AS367" s="3" t="s">
        <v>61</v>
      </c>
      <c r="AT367" s="3" t="s">
        <v>62</v>
      </c>
      <c r="AU367" s="6" t="str">
        <f>HYPERLINK("http://catalog.hathitrust.org/Record/001023781","HathiTrust Record")</f>
        <v>HathiTrust Record</v>
      </c>
      <c r="AV367" s="6" t="str">
        <f>HYPERLINK("http://mcgill.on.worldcat.org/oclc/3144091","Catalog Record")</f>
        <v>Catalog Record</v>
      </c>
      <c r="AW367" s="6" t="str">
        <f>HYPERLINK("http://www.worldcat.org/oclc/3144091","WorldCat Record")</f>
        <v>WorldCat Record</v>
      </c>
      <c r="AX367" s="3" t="s">
        <v>3810</v>
      </c>
      <c r="AY367" s="3" t="s">
        <v>3811</v>
      </c>
      <c r="AZ367" s="3" t="s">
        <v>3812</v>
      </c>
      <c r="BA367" s="3" t="s">
        <v>3812</v>
      </c>
      <c r="BB367" s="3" t="s">
        <v>3813</v>
      </c>
      <c r="BC367" s="3" t="s">
        <v>102</v>
      </c>
      <c r="BD367" s="3" t="s">
        <v>68</v>
      </c>
      <c r="BF367" s="3" t="s">
        <v>3813</v>
      </c>
      <c r="BG367" s="3" t="s">
        <v>3814</v>
      </c>
    </row>
    <row r="368" spans="1:59" ht="58" x14ac:dyDescent="0.35">
      <c r="A368" s="2" t="s">
        <v>89</v>
      </c>
      <c r="B368" s="2" t="s">
        <v>90</v>
      </c>
      <c r="C368" s="2" t="s">
        <v>3815</v>
      </c>
      <c r="D368" s="2" t="s">
        <v>3816</v>
      </c>
      <c r="E368" s="2" t="s">
        <v>3817</v>
      </c>
      <c r="G368" s="3" t="s">
        <v>62</v>
      </c>
      <c r="I368" s="3" t="s">
        <v>62</v>
      </c>
      <c r="J368" s="3" t="s">
        <v>62</v>
      </c>
      <c r="K368" s="3" t="s">
        <v>63</v>
      </c>
      <c r="L368" s="2" t="s">
        <v>3818</v>
      </c>
      <c r="M368" s="2" t="s">
        <v>3819</v>
      </c>
      <c r="N368" s="3" t="s">
        <v>95</v>
      </c>
      <c r="P368" s="3" t="s">
        <v>64</v>
      </c>
      <c r="R368" s="3" t="s">
        <v>65</v>
      </c>
      <c r="S368" s="4">
        <v>33</v>
      </c>
      <c r="T368" s="4">
        <v>33</v>
      </c>
      <c r="U368" s="5" t="s">
        <v>3820</v>
      </c>
      <c r="V368" s="5" t="s">
        <v>3820</v>
      </c>
      <c r="W368" s="5" t="s">
        <v>67</v>
      </c>
      <c r="X368" s="5" t="s">
        <v>67</v>
      </c>
      <c r="Y368" s="4">
        <v>586</v>
      </c>
      <c r="Z368" s="4">
        <v>42</v>
      </c>
      <c r="AA368" s="4">
        <v>43</v>
      </c>
      <c r="AB368" s="4">
        <v>3</v>
      </c>
      <c r="AC368" s="4">
        <v>4</v>
      </c>
      <c r="AD368" s="4">
        <v>133</v>
      </c>
      <c r="AE368" s="4">
        <v>136</v>
      </c>
      <c r="AF368" s="4">
        <v>1</v>
      </c>
      <c r="AG368" s="4">
        <v>2</v>
      </c>
      <c r="AH368" s="4">
        <v>111</v>
      </c>
      <c r="AI368" s="4">
        <v>112</v>
      </c>
      <c r="AJ368" s="4">
        <v>23</v>
      </c>
      <c r="AK368" s="4">
        <v>24</v>
      </c>
      <c r="AL368" s="4">
        <v>58</v>
      </c>
      <c r="AM368" s="4">
        <v>59</v>
      </c>
      <c r="AN368" s="4">
        <v>0</v>
      </c>
      <c r="AO368" s="4">
        <v>0</v>
      </c>
      <c r="AP368" s="4">
        <v>29</v>
      </c>
      <c r="AQ368" s="4">
        <v>29</v>
      </c>
      <c r="AR368" s="3" t="s">
        <v>62</v>
      </c>
      <c r="AS368" s="3" t="s">
        <v>62</v>
      </c>
      <c r="AT368" s="3" t="s">
        <v>62</v>
      </c>
      <c r="AV368" s="6" t="str">
        <f>HYPERLINK("http://mcgill.on.worldcat.org/oclc/7377293","Catalog Record")</f>
        <v>Catalog Record</v>
      </c>
      <c r="AW368" s="6" t="str">
        <f>HYPERLINK("http://www.worldcat.org/oclc/7377293","WorldCat Record")</f>
        <v>WorldCat Record</v>
      </c>
      <c r="AX368" s="3" t="s">
        <v>3821</v>
      </c>
      <c r="AY368" s="3" t="s">
        <v>3822</v>
      </c>
      <c r="AZ368" s="3" t="s">
        <v>3823</v>
      </c>
      <c r="BA368" s="3" t="s">
        <v>3823</v>
      </c>
      <c r="BB368" s="3" t="s">
        <v>3824</v>
      </c>
      <c r="BC368" s="3" t="s">
        <v>102</v>
      </c>
      <c r="BD368" s="3" t="s">
        <v>68</v>
      </c>
      <c r="BE368" s="3" t="s">
        <v>3825</v>
      </c>
      <c r="BF368" s="3" t="s">
        <v>3824</v>
      </c>
      <c r="BG368" s="3" t="s">
        <v>3826</v>
      </c>
    </row>
    <row r="369" spans="1:59" ht="58" x14ac:dyDescent="0.35">
      <c r="A369" s="2" t="s">
        <v>89</v>
      </c>
      <c r="B369" s="2" t="s">
        <v>90</v>
      </c>
      <c r="C369" s="2" t="s">
        <v>3827</v>
      </c>
      <c r="D369" s="2" t="s">
        <v>3828</v>
      </c>
      <c r="E369" s="2" t="s">
        <v>3829</v>
      </c>
      <c r="G369" s="3" t="s">
        <v>62</v>
      </c>
      <c r="I369" s="3" t="s">
        <v>62</v>
      </c>
      <c r="J369" s="3" t="s">
        <v>62</v>
      </c>
      <c r="K369" s="3" t="s">
        <v>63</v>
      </c>
      <c r="L369" s="2" t="s">
        <v>891</v>
      </c>
      <c r="M369" s="2" t="s">
        <v>3830</v>
      </c>
      <c r="N369" s="3" t="s">
        <v>524</v>
      </c>
      <c r="P369" s="3" t="s">
        <v>64</v>
      </c>
      <c r="R369" s="3" t="s">
        <v>65</v>
      </c>
      <c r="S369" s="4">
        <v>25</v>
      </c>
      <c r="T369" s="4">
        <v>25</v>
      </c>
      <c r="U369" s="5" t="s">
        <v>3820</v>
      </c>
      <c r="V369" s="5" t="s">
        <v>3820</v>
      </c>
      <c r="W369" s="5" t="s">
        <v>67</v>
      </c>
      <c r="X369" s="5" t="s">
        <v>67</v>
      </c>
      <c r="Y369" s="4">
        <v>248</v>
      </c>
      <c r="Z369" s="4">
        <v>16</v>
      </c>
      <c r="AA369" s="4">
        <v>16</v>
      </c>
      <c r="AB369" s="4">
        <v>1</v>
      </c>
      <c r="AC369" s="4">
        <v>1</v>
      </c>
      <c r="AD369" s="4">
        <v>88</v>
      </c>
      <c r="AE369" s="4">
        <v>88</v>
      </c>
      <c r="AF369" s="4">
        <v>0</v>
      </c>
      <c r="AG369" s="4">
        <v>0</v>
      </c>
      <c r="AH369" s="4">
        <v>81</v>
      </c>
      <c r="AI369" s="4">
        <v>81</v>
      </c>
      <c r="AJ369" s="4">
        <v>13</v>
      </c>
      <c r="AK369" s="4">
        <v>13</v>
      </c>
      <c r="AL369" s="4">
        <v>49</v>
      </c>
      <c r="AM369" s="4">
        <v>49</v>
      </c>
      <c r="AN369" s="4">
        <v>0</v>
      </c>
      <c r="AO369" s="4">
        <v>0</v>
      </c>
      <c r="AP369" s="4">
        <v>13</v>
      </c>
      <c r="AQ369" s="4">
        <v>13</v>
      </c>
      <c r="AR369" s="3" t="s">
        <v>62</v>
      </c>
      <c r="AS369" s="3" t="s">
        <v>62</v>
      </c>
      <c r="AT369" s="3" t="s">
        <v>62</v>
      </c>
      <c r="AV369" s="6" t="str">
        <f>HYPERLINK("http://mcgill.on.worldcat.org/oclc/31133373","Catalog Record")</f>
        <v>Catalog Record</v>
      </c>
      <c r="AW369" s="6" t="str">
        <f>HYPERLINK("http://www.worldcat.org/oclc/31133373","WorldCat Record")</f>
        <v>WorldCat Record</v>
      </c>
      <c r="AX369" s="3" t="s">
        <v>3831</v>
      </c>
      <c r="AY369" s="3" t="s">
        <v>3832</v>
      </c>
      <c r="AZ369" s="3" t="s">
        <v>3833</v>
      </c>
      <c r="BA369" s="3" t="s">
        <v>3833</v>
      </c>
      <c r="BB369" s="3" t="s">
        <v>3834</v>
      </c>
      <c r="BC369" s="3" t="s">
        <v>102</v>
      </c>
      <c r="BD369" s="3" t="s">
        <v>68</v>
      </c>
      <c r="BE369" s="3" t="s">
        <v>3835</v>
      </c>
      <c r="BF369" s="3" t="s">
        <v>3834</v>
      </c>
      <c r="BG369" s="3" t="s">
        <v>3836</v>
      </c>
    </row>
    <row r="370" spans="1:59" ht="58" x14ac:dyDescent="0.35">
      <c r="A370" s="2" t="s">
        <v>89</v>
      </c>
      <c r="B370" s="2" t="s">
        <v>90</v>
      </c>
      <c r="C370" s="2" t="s">
        <v>3837</v>
      </c>
      <c r="D370" s="2" t="s">
        <v>3838</v>
      </c>
      <c r="E370" s="2" t="s">
        <v>3839</v>
      </c>
      <c r="G370" s="3" t="s">
        <v>62</v>
      </c>
      <c r="I370" s="3" t="s">
        <v>61</v>
      </c>
      <c r="J370" s="3" t="s">
        <v>62</v>
      </c>
      <c r="K370" s="3" t="s">
        <v>63</v>
      </c>
      <c r="L370" s="2" t="s">
        <v>3840</v>
      </c>
      <c r="M370" s="2" t="s">
        <v>3841</v>
      </c>
      <c r="N370" s="3" t="s">
        <v>2924</v>
      </c>
      <c r="P370" s="3" t="s">
        <v>64</v>
      </c>
      <c r="R370" s="3" t="s">
        <v>65</v>
      </c>
      <c r="S370" s="4">
        <v>35</v>
      </c>
      <c r="T370" s="4">
        <v>44</v>
      </c>
      <c r="U370" s="5" t="s">
        <v>3842</v>
      </c>
      <c r="V370" s="5" t="s">
        <v>3842</v>
      </c>
      <c r="W370" s="5" t="s">
        <v>67</v>
      </c>
      <c r="X370" s="5" t="s">
        <v>67</v>
      </c>
      <c r="Y370" s="4">
        <v>14</v>
      </c>
      <c r="Z370" s="4">
        <v>8</v>
      </c>
      <c r="AA370" s="4">
        <v>51</v>
      </c>
      <c r="AB370" s="4">
        <v>3</v>
      </c>
      <c r="AC370" s="4">
        <v>5</v>
      </c>
      <c r="AD370" s="4">
        <v>7</v>
      </c>
      <c r="AE370" s="4">
        <v>143</v>
      </c>
      <c r="AF370" s="4">
        <v>1</v>
      </c>
      <c r="AG370" s="4">
        <v>3</v>
      </c>
      <c r="AH370" s="4">
        <v>0</v>
      </c>
      <c r="AI370" s="4">
        <v>109</v>
      </c>
      <c r="AJ370" s="4">
        <v>2</v>
      </c>
      <c r="AK370" s="4">
        <v>23</v>
      </c>
      <c r="AL370" s="4">
        <v>1</v>
      </c>
      <c r="AM370" s="4">
        <v>60</v>
      </c>
      <c r="AN370" s="4">
        <v>0</v>
      </c>
      <c r="AO370" s="4">
        <v>0</v>
      </c>
      <c r="AP370" s="4">
        <v>6</v>
      </c>
      <c r="AQ370" s="4">
        <v>37</v>
      </c>
      <c r="AR370" s="3" t="s">
        <v>62</v>
      </c>
      <c r="AS370" s="3" t="s">
        <v>62</v>
      </c>
      <c r="AT370" s="3" t="s">
        <v>62</v>
      </c>
      <c r="AV370" s="6" t="str">
        <f>HYPERLINK("http://mcgill.on.worldcat.org/oclc/56285212","Catalog Record")</f>
        <v>Catalog Record</v>
      </c>
      <c r="AW370" s="6" t="str">
        <f>HYPERLINK("http://www.worldcat.org/oclc/56285212","WorldCat Record")</f>
        <v>WorldCat Record</v>
      </c>
      <c r="AX370" s="3" t="s">
        <v>3843</v>
      </c>
      <c r="AY370" s="3" t="s">
        <v>3844</v>
      </c>
      <c r="AZ370" s="3" t="s">
        <v>3845</v>
      </c>
      <c r="BA370" s="3" t="s">
        <v>3845</v>
      </c>
      <c r="BB370" s="3" t="s">
        <v>3846</v>
      </c>
      <c r="BC370" s="3" t="s">
        <v>102</v>
      </c>
      <c r="BD370" s="3" t="s">
        <v>68</v>
      </c>
      <c r="BF370" s="3" t="s">
        <v>3846</v>
      </c>
      <c r="BG370" s="3" t="s">
        <v>3847</v>
      </c>
    </row>
    <row r="371" spans="1:59" ht="58" x14ac:dyDescent="0.35">
      <c r="A371" s="2" t="s">
        <v>89</v>
      </c>
      <c r="B371" s="2" t="s">
        <v>90</v>
      </c>
      <c r="C371" s="2" t="s">
        <v>3848</v>
      </c>
      <c r="D371" s="2" t="s">
        <v>3849</v>
      </c>
      <c r="E371" s="2" t="s">
        <v>3850</v>
      </c>
      <c r="G371" s="3" t="s">
        <v>62</v>
      </c>
      <c r="I371" s="3" t="s">
        <v>62</v>
      </c>
      <c r="J371" s="3" t="s">
        <v>62</v>
      </c>
      <c r="K371" s="3" t="s">
        <v>63</v>
      </c>
      <c r="M371" s="2" t="s">
        <v>3851</v>
      </c>
      <c r="N371" s="3" t="s">
        <v>327</v>
      </c>
      <c r="P371" s="3" t="s">
        <v>64</v>
      </c>
      <c r="R371" s="3" t="s">
        <v>65</v>
      </c>
      <c r="S371" s="4">
        <v>4</v>
      </c>
      <c r="T371" s="4">
        <v>4</v>
      </c>
      <c r="U371" s="5" t="s">
        <v>3203</v>
      </c>
      <c r="V371" s="5" t="s">
        <v>3203</v>
      </c>
      <c r="W371" s="5" t="s">
        <v>67</v>
      </c>
      <c r="X371" s="5" t="s">
        <v>67</v>
      </c>
      <c r="Y371" s="4">
        <v>257</v>
      </c>
      <c r="Z371" s="4">
        <v>16</v>
      </c>
      <c r="AA371" s="4">
        <v>33</v>
      </c>
      <c r="AB371" s="4">
        <v>1</v>
      </c>
      <c r="AC371" s="4">
        <v>6</v>
      </c>
      <c r="AD371" s="4">
        <v>86</v>
      </c>
      <c r="AE371" s="4">
        <v>120</v>
      </c>
      <c r="AF371" s="4">
        <v>0</v>
      </c>
      <c r="AG371" s="4">
        <v>2</v>
      </c>
      <c r="AH371" s="4">
        <v>73</v>
      </c>
      <c r="AI371" s="4">
        <v>101</v>
      </c>
      <c r="AJ371" s="4">
        <v>10</v>
      </c>
      <c r="AK371" s="4">
        <v>21</v>
      </c>
      <c r="AL371" s="4">
        <v>40</v>
      </c>
      <c r="AM371" s="4">
        <v>56</v>
      </c>
      <c r="AN371" s="4">
        <v>0</v>
      </c>
      <c r="AO371" s="4">
        <v>0</v>
      </c>
      <c r="AP371" s="4">
        <v>14</v>
      </c>
      <c r="AQ371" s="4">
        <v>25</v>
      </c>
      <c r="AR371" s="3" t="s">
        <v>62</v>
      </c>
      <c r="AS371" s="3" t="s">
        <v>62</v>
      </c>
      <c r="AT371" s="3" t="s">
        <v>61</v>
      </c>
      <c r="AU371" s="6" t="str">
        <f>HYPERLINK("http://catalog.hathitrust.org/Record/000234188","HathiTrust Record")</f>
        <v>HathiTrust Record</v>
      </c>
      <c r="AV371" s="6" t="str">
        <f>HYPERLINK("http://mcgill.on.worldcat.org/oclc/9575983","Catalog Record")</f>
        <v>Catalog Record</v>
      </c>
      <c r="AW371" s="6" t="str">
        <f>HYPERLINK("http://www.worldcat.org/oclc/9575983","WorldCat Record")</f>
        <v>WorldCat Record</v>
      </c>
      <c r="AX371" s="3" t="s">
        <v>3852</v>
      </c>
      <c r="AY371" s="3" t="s">
        <v>3853</v>
      </c>
      <c r="AZ371" s="3" t="s">
        <v>3854</v>
      </c>
      <c r="BA371" s="3" t="s">
        <v>3854</v>
      </c>
      <c r="BB371" s="3" t="s">
        <v>3855</v>
      </c>
      <c r="BC371" s="3" t="s">
        <v>102</v>
      </c>
      <c r="BD371" s="3" t="s">
        <v>68</v>
      </c>
      <c r="BE371" s="3" t="s">
        <v>3856</v>
      </c>
      <c r="BF371" s="3" t="s">
        <v>3855</v>
      </c>
      <c r="BG371" s="3" t="s">
        <v>3857</v>
      </c>
    </row>
    <row r="372" spans="1:59" ht="58" x14ac:dyDescent="0.35">
      <c r="A372" s="2" t="s">
        <v>89</v>
      </c>
      <c r="B372" s="2" t="s">
        <v>90</v>
      </c>
      <c r="C372" s="2" t="s">
        <v>3858</v>
      </c>
      <c r="D372" s="2" t="s">
        <v>3859</v>
      </c>
      <c r="E372" s="2" t="s">
        <v>3860</v>
      </c>
      <c r="G372" s="3" t="s">
        <v>62</v>
      </c>
      <c r="I372" s="3" t="s">
        <v>62</v>
      </c>
      <c r="J372" s="3" t="s">
        <v>62</v>
      </c>
      <c r="K372" s="3" t="s">
        <v>63</v>
      </c>
      <c r="M372" s="2" t="s">
        <v>3861</v>
      </c>
      <c r="N372" s="3" t="s">
        <v>640</v>
      </c>
      <c r="P372" s="3" t="s">
        <v>64</v>
      </c>
      <c r="Q372" s="2" t="s">
        <v>3862</v>
      </c>
      <c r="R372" s="3" t="s">
        <v>65</v>
      </c>
      <c r="S372" s="4">
        <v>9</v>
      </c>
      <c r="T372" s="4">
        <v>9</v>
      </c>
      <c r="U372" s="5" t="s">
        <v>3863</v>
      </c>
      <c r="V372" s="5" t="s">
        <v>3863</v>
      </c>
      <c r="W372" s="5" t="s">
        <v>67</v>
      </c>
      <c r="X372" s="5" t="s">
        <v>67</v>
      </c>
      <c r="Y372" s="4">
        <v>175</v>
      </c>
      <c r="Z372" s="4">
        <v>20</v>
      </c>
      <c r="AA372" s="4">
        <v>20</v>
      </c>
      <c r="AB372" s="4">
        <v>1</v>
      </c>
      <c r="AC372" s="4">
        <v>1</v>
      </c>
      <c r="AD372" s="4">
        <v>73</v>
      </c>
      <c r="AE372" s="4">
        <v>75</v>
      </c>
      <c r="AF372" s="4">
        <v>0</v>
      </c>
      <c r="AG372" s="4">
        <v>0</v>
      </c>
      <c r="AH372" s="4">
        <v>64</v>
      </c>
      <c r="AI372" s="4">
        <v>66</v>
      </c>
      <c r="AJ372" s="4">
        <v>12</v>
      </c>
      <c r="AK372" s="4">
        <v>12</v>
      </c>
      <c r="AL372" s="4">
        <v>42</v>
      </c>
      <c r="AM372" s="4">
        <v>44</v>
      </c>
      <c r="AN372" s="4">
        <v>0</v>
      </c>
      <c r="AO372" s="4">
        <v>0</v>
      </c>
      <c r="AP372" s="4">
        <v>15</v>
      </c>
      <c r="AQ372" s="4">
        <v>15</v>
      </c>
      <c r="AR372" s="3" t="s">
        <v>62</v>
      </c>
      <c r="AS372" s="3" t="s">
        <v>62</v>
      </c>
      <c r="AT372" s="3" t="s">
        <v>61</v>
      </c>
      <c r="AU372" s="6" t="str">
        <f>HYPERLINK("http://catalog.hathitrust.org/Record/004738187","HathiTrust Record")</f>
        <v>HathiTrust Record</v>
      </c>
      <c r="AV372" s="6" t="str">
        <f>HYPERLINK("http://mcgill.on.worldcat.org/oclc/52559257","Catalog Record")</f>
        <v>Catalog Record</v>
      </c>
      <c r="AW372" s="6" t="str">
        <f>HYPERLINK("http://www.worldcat.org/oclc/52559257","WorldCat Record")</f>
        <v>WorldCat Record</v>
      </c>
      <c r="AX372" s="3" t="s">
        <v>3864</v>
      </c>
      <c r="AY372" s="3" t="s">
        <v>3865</v>
      </c>
      <c r="AZ372" s="3" t="s">
        <v>3866</v>
      </c>
      <c r="BA372" s="3" t="s">
        <v>3866</v>
      </c>
      <c r="BB372" s="3" t="s">
        <v>3867</v>
      </c>
      <c r="BC372" s="3" t="s">
        <v>102</v>
      </c>
      <c r="BD372" s="3" t="s">
        <v>68</v>
      </c>
      <c r="BE372" s="3" t="s">
        <v>3868</v>
      </c>
      <c r="BF372" s="3" t="s">
        <v>3867</v>
      </c>
      <c r="BG372" s="3" t="s">
        <v>3869</v>
      </c>
    </row>
    <row r="373" spans="1:59" ht="58" x14ac:dyDescent="0.35">
      <c r="A373" s="2" t="s">
        <v>89</v>
      </c>
      <c r="B373" s="2" t="s">
        <v>90</v>
      </c>
      <c r="C373" s="2" t="s">
        <v>3870</v>
      </c>
      <c r="D373" s="2" t="s">
        <v>3871</v>
      </c>
      <c r="E373" s="2" t="s">
        <v>3872</v>
      </c>
      <c r="G373" s="3" t="s">
        <v>62</v>
      </c>
      <c r="I373" s="3" t="s">
        <v>62</v>
      </c>
      <c r="J373" s="3" t="s">
        <v>62</v>
      </c>
      <c r="K373" s="3" t="s">
        <v>63</v>
      </c>
      <c r="M373" s="2" t="s">
        <v>3873</v>
      </c>
      <c r="N373" s="3" t="s">
        <v>2566</v>
      </c>
      <c r="P373" s="3" t="s">
        <v>64</v>
      </c>
      <c r="Q373" s="2" t="s">
        <v>3874</v>
      </c>
      <c r="R373" s="3" t="s">
        <v>65</v>
      </c>
      <c r="S373" s="4">
        <v>6</v>
      </c>
      <c r="T373" s="4">
        <v>6</v>
      </c>
      <c r="U373" s="5" t="s">
        <v>3875</v>
      </c>
      <c r="V373" s="5" t="s">
        <v>3875</v>
      </c>
      <c r="W373" s="5" t="s">
        <v>67</v>
      </c>
      <c r="X373" s="5" t="s">
        <v>67</v>
      </c>
      <c r="Y373" s="4">
        <v>65</v>
      </c>
      <c r="Z373" s="4">
        <v>5</v>
      </c>
      <c r="AA373" s="4">
        <v>6</v>
      </c>
      <c r="AB373" s="4">
        <v>2</v>
      </c>
      <c r="AC373" s="4">
        <v>3</v>
      </c>
      <c r="AD373" s="4">
        <v>15</v>
      </c>
      <c r="AE373" s="4">
        <v>16</v>
      </c>
      <c r="AF373" s="4">
        <v>1</v>
      </c>
      <c r="AG373" s="4">
        <v>2</v>
      </c>
      <c r="AH373" s="4">
        <v>13</v>
      </c>
      <c r="AI373" s="4">
        <v>13</v>
      </c>
      <c r="AJ373" s="4">
        <v>3</v>
      </c>
      <c r="AK373" s="4">
        <v>4</v>
      </c>
      <c r="AL373" s="4">
        <v>8</v>
      </c>
      <c r="AM373" s="4">
        <v>8</v>
      </c>
      <c r="AN373" s="4">
        <v>0</v>
      </c>
      <c r="AO373" s="4">
        <v>0</v>
      </c>
      <c r="AP373" s="4">
        <v>3</v>
      </c>
      <c r="AQ373" s="4">
        <v>4</v>
      </c>
      <c r="AR373" s="3" t="s">
        <v>62</v>
      </c>
      <c r="AS373" s="3" t="s">
        <v>62</v>
      </c>
      <c r="AT373" s="3" t="s">
        <v>62</v>
      </c>
      <c r="AV373" s="6" t="str">
        <f>HYPERLINK("http://mcgill.on.worldcat.org/oclc/1008537","Catalog Record")</f>
        <v>Catalog Record</v>
      </c>
      <c r="AW373" s="6" t="str">
        <f>HYPERLINK("http://www.worldcat.org/oclc/1008537","WorldCat Record")</f>
        <v>WorldCat Record</v>
      </c>
      <c r="AX373" s="3" t="s">
        <v>3876</v>
      </c>
      <c r="AY373" s="3" t="s">
        <v>3877</v>
      </c>
      <c r="AZ373" s="3" t="s">
        <v>3878</v>
      </c>
      <c r="BA373" s="3" t="s">
        <v>3878</v>
      </c>
      <c r="BB373" s="3" t="s">
        <v>3879</v>
      </c>
      <c r="BC373" s="3" t="s">
        <v>102</v>
      </c>
      <c r="BD373" s="3" t="s">
        <v>68</v>
      </c>
      <c r="BE373" s="3" t="s">
        <v>3880</v>
      </c>
      <c r="BF373" s="3" t="s">
        <v>3879</v>
      </c>
      <c r="BG373" s="3" t="s">
        <v>3881</v>
      </c>
    </row>
    <row r="374" spans="1:59" ht="58" x14ac:dyDescent="0.35">
      <c r="A374" s="2" t="s">
        <v>89</v>
      </c>
      <c r="B374" s="2" t="s">
        <v>90</v>
      </c>
      <c r="C374" s="2" t="s">
        <v>3882</v>
      </c>
      <c r="D374" s="2" t="s">
        <v>3883</v>
      </c>
      <c r="E374" s="2" t="s">
        <v>3884</v>
      </c>
      <c r="G374" s="3" t="s">
        <v>62</v>
      </c>
      <c r="I374" s="3" t="s">
        <v>62</v>
      </c>
      <c r="J374" s="3" t="s">
        <v>62</v>
      </c>
      <c r="K374" s="3" t="s">
        <v>63</v>
      </c>
      <c r="L374" s="2" t="s">
        <v>3885</v>
      </c>
      <c r="M374" s="2" t="s">
        <v>3886</v>
      </c>
      <c r="N374" s="3" t="s">
        <v>712</v>
      </c>
      <c r="O374" s="2" t="s">
        <v>1941</v>
      </c>
      <c r="P374" s="3" t="s">
        <v>64</v>
      </c>
      <c r="R374" s="3" t="s">
        <v>65</v>
      </c>
      <c r="S374" s="4">
        <v>0</v>
      </c>
      <c r="T374" s="4">
        <v>0</v>
      </c>
      <c r="W374" s="5" t="s">
        <v>67</v>
      </c>
      <c r="X374" s="5" t="s">
        <v>67</v>
      </c>
      <c r="Y374" s="4">
        <v>142</v>
      </c>
      <c r="Z374" s="4">
        <v>10</v>
      </c>
      <c r="AA374" s="4">
        <v>33</v>
      </c>
      <c r="AB374" s="4">
        <v>1</v>
      </c>
      <c r="AC374" s="4">
        <v>7</v>
      </c>
      <c r="AD374" s="4">
        <v>40</v>
      </c>
      <c r="AE374" s="4">
        <v>96</v>
      </c>
      <c r="AF374" s="4">
        <v>0</v>
      </c>
      <c r="AG374" s="4">
        <v>3</v>
      </c>
      <c r="AH374" s="4">
        <v>36</v>
      </c>
      <c r="AI374" s="4">
        <v>82</v>
      </c>
      <c r="AJ374" s="4">
        <v>7</v>
      </c>
      <c r="AK374" s="4">
        <v>16</v>
      </c>
      <c r="AL374" s="4">
        <v>22</v>
      </c>
      <c r="AM374" s="4">
        <v>49</v>
      </c>
      <c r="AN374" s="4">
        <v>0</v>
      </c>
      <c r="AO374" s="4">
        <v>0</v>
      </c>
      <c r="AP374" s="4">
        <v>9</v>
      </c>
      <c r="AQ374" s="4">
        <v>21</v>
      </c>
      <c r="AR374" s="3" t="s">
        <v>62</v>
      </c>
      <c r="AS374" s="3" t="s">
        <v>62</v>
      </c>
      <c r="AT374" s="3" t="s">
        <v>62</v>
      </c>
      <c r="AV374" s="6" t="str">
        <f>HYPERLINK("http://mcgill.on.worldcat.org/oclc/868077588","Catalog Record")</f>
        <v>Catalog Record</v>
      </c>
      <c r="AW374" s="6" t="str">
        <f>HYPERLINK("http://www.worldcat.org/oclc/868077588","WorldCat Record")</f>
        <v>WorldCat Record</v>
      </c>
      <c r="AX374" s="3" t="s">
        <v>3887</v>
      </c>
      <c r="AY374" s="3" t="s">
        <v>3888</v>
      </c>
      <c r="AZ374" s="3" t="s">
        <v>3889</v>
      </c>
      <c r="BA374" s="3" t="s">
        <v>3889</v>
      </c>
      <c r="BB374" s="3" t="s">
        <v>3890</v>
      </c>
      <c r="BC374" s="3" t="s">
        <v>102</v>
      </c>
      <c r="BD374" s="3" t="s">
        <v>68</v>
      </c>
      <c r="BE374" s="3" t="s">
        <v>3891</v>
      </c>
      <c r="BF374" s="3" t="s">
        <v>3890</v>
      </c>
      <c r="BG374" s="3" t="s">
        <v>3892</v>
      </c>
    </row>
    <row r="375" spans="1:59" ht="58" x14ac:dyDescent="0.35">
      <c r="A375" s="2" t="s">
        <v>89</v>
      </c>
      <c r="B375" s="2" t="s">
        <v>90</v>
      </c>
      <c r="C375" s="2" t="s">
        <v>3893</v>
      </c>
      <c r="D375" s="2" t="s">
        <v>3894</v>
      </c>
      <c r="E375" s="2" t="s">
        <v>3895</v>
      </c>
      <c r="G375" s="3" t="s">
        <v>62</v>
      </c>
      <c r="I375" s="3" t="s">
        <v>61</v>
      </c>
      <c r="J375" s="3" t="s">
        <v>61</v>
      </c>
      <c r="K375" s="3" t="s">
        <v>63</v>
      </c>
      <c r="L375" s="2" t="s">
        <v>3896</v>
      </c>
      <c r="M375" s="2" t="s">
        <v>3897</v>
      </c>
      <c r="N375" s="3" t="s">
        <v>2305</v>
      </c>
      <c r="P375" s="3" t="s">
        <v>64</v>
      </c>
      <c r="R375" s="3" t="s">
        <v>65</v>
      </c>
      <c r="S375" s="4">
        <v>10</v>
      </c>
      <c r="T375" s="4">
        <v>10</v>
      </c>
      <c r="U375" s="5" t="s">
        <v>3898</v>
      </c>
      <c r="V375" s="5" t="s">
        <v>3898</v>
      </c>
      <c r="W375" s="5" t="s">
        <v>67</v>
      </c>
      <c r="X375" s="5" t="s">
        <v>67</v>
      </c>
      <c r="Y375" s="4">
        <v>1251</v>
      </c>
      <c r="Z375" s="4">
        <v>54</v>
      </c>
      <c r="AA375" s="4">
        <v>111</v>
      </c>
      <c r="AB375" s="4">
        <v>4</v>
      </c>
      <c r="AC375" s="4">
        <v>17</v>
      </c>
      <c r="AD375" s="4">
        <v>142</v>
      </c>
      <c r="AE375" s="4">
        <v>165</v>
      </c>
      <c r="AF375" s="4">
        <v>2</v>
      </c>
      <c r="AG375" s="4">
        <v>8</v>
      </c>
      <c r="AH375" s="4">
        <v>107</v>
      </c>
      <c r="AI375" s="4">
        <v>114</v>
      </c>
      <c r="AJ375" s="4">
        <v>21</v>
      </c>
      <c r="AK375" s="4">
        <v>30</v>
      </c>
      <c r="AL375" s="4">
        <v>57</v>
      </c>
      <c r="AM375" s="4">
        <v>59</v>
      </c>
      <c r="AN375" s="4">
        <v>0</v>
      </c>
      <c r="AO375" s="4">
        <v>0</v>
      </c>
      <c r="AP375" s="4">
        <v>37</v>
      </c>
      <c r="AQ375" s="4">
        <v>56</v>
      </c>
      <c r="AR375" s="3" t="s">
        <v>62</v>
      </c>
      <c r="AS375" s="3" t="s">
        <v>62</v>
      </c>
      <c r="AT375" s="3" t="s">
        <v>61</v>
      </c>
      <c r="AU375" s="6" t="str">
        <f>HYPERLINK("http://catalog.hathitrust.org/Record/001473635","HathiTrust Record")</f>
        <v>HathiTrust Record</v>
      </c>
      <c r="AV375" s="6" t="str">
        <f>HYPERLINK("http://mcgill.on.worldcat.org/oclc/877006","Catalog Record")</f>
        <v>Catalog Record</v>
      </c>
      <c r="AW375" s="6" t="str">
        <f>HYPERLINK("http://www.worldcat.org/oclc/877006","WorldCat Record")</f>
        <v>WorldCat Record</v>
      </c>
      <c r="AX375" s="3" t="s">
        <v>3899</v>
      </c>
      <c r="AY375" s="3" t="s">
        <v>3900</v>
      </c>
      <c r="AZ375" s="3" t="s">
        <v>3901</v>
      </c>
      <c r="BA375" s="3" t="s">
        <v>3901</v>
      </c>
      <c r="BB375" s="3" t="s">
        <v>3902</v>
      </c>
      <c r="BC375" s="3" t="s">
        <v>102</v>
      </c>
      <c r="BD375" s="3" t="s">
        <v>68</v>
      </c>
      <c r="BF375" s="3" t="s">
        <v>3902</v>
      </c>
      <c r="BG375" s="3" t="s">
        <v>3903</v>
      </c>
    </row>
    <row r="376" spans="1:59" ht="58" x14ac:dyDescent="0.35">
      <c r="A376" s="2" t="s">
        <v>89</v>
      </c>
      <c r="B376" s="2" t="s">
        <v>90</v>
      </c>
      <c r="C376" s="2" t="s">
        <v>3904</v>
      </c>
      <c r="D376" s="2" t="s">
        <v>3905</v>
      </c>
      <c r="E376" s="2" t="s">
        <v>3906</v>
      </c>
      <c r="G376" s="3" t="s">
        <v>62</v>
      </c>
      <c r="I376" s="3" t="s">
        <v>62</v>
      </c>
      <c r="J376" s="3" t="s">
        <v>61</v>
      </c>
      <c r="K376" s="3" t="s">
        <v>63</v>
      </c>
      <c r="L376" s="2" t="s">
        <v>3907</v>
      </c>
      <c r="M376" s="2" t="s">
        <v>3908</v>
      </c>
      <c r="N376" s="3" t="s">
        <v>201</v>
      </c>
      <c r="P376" s="3" t="s">
        <v>64</v>
      </c>
      <c r="R376" s="3" t="s">
        <v>65</v>
      </c>
      <c r="S376" s="4">
        <v>47</v>
      </c>
      <c r="T376" s="4">
        <v>47</v>
      </c>
      <c r="U376" s="5" t="s">
        <v>1362</v>
      </c>
      <c r="V376" s="5" t="s">
        <v>1362</v>
      </c>
      <c r="W376" s="5" t="s">
        <v>67</v>
      </c>
      <c r="X376" s="5" t="s">
        <v>67</v>
      </c>
      <c r="Y376" s="4">
        <v>366</v>
      </c>
      <c r="Z376" s="4">
        <v>19</v>
      </c>
      <c r="AA376" s="4">
        <v>46</v>
      </c>
      <c r="AB376" s="4">
        <v>2</v>
      </c>
      <c r="AC376" s="4">
        <v>6</v>
      </c>
      <c r="AD376" s="4">
        <v>86</v>
      </c>
      <c r="AE376" s="4">
        <v>142</v>
      </c>
      <c r="AF376" s="4">
        <v>1</v>
      </c>
      <c r="AG376" s="4">
        <v>4</v>
      </c>
      <c r="AH376" s="4">
        <v>70</v>
      </c>
      <c r="AI376" s="4">
        <v>115</v>
      </c>
      <c r="AJ376" s="4">
        <v>8</v>
      </c>
      <c r="AK376" s="4">
        <v>25</v>
      </c>
      <c r="AL376" s="4">
        <v>44</v>
      </c>
      <c r="AM376" s="4">
        <v>62</v>
      </c>
      <c r="AN376" s="4">
        <v>0</v>
      </c>
      <c r="AO376" s="4">
        <v>0</v>
      </c>
      <c r="AP376" s="4">
        <v>15</v>
      </c>
      <c r="AQ376" s="4">
        <v>34</v>
      </c>
      <c r="AR376" s="3" t="s">
        <v>62</v>
      </c>
      <c r="AS376" s="3" t="s">
        <v>62</v>
      </c>
      <c r="AT376" s="3" t="s">
        <v>62</v>
      </c>
      <c r="AV376" s="6" t="str">
        <f>HYPERLINK("http://mcgill.on.worldcat.org/oclc/2072786","Catalog Record")</f>
        <v>Catalog Record</v>
      </c>
      <c r="AW376" s="6" t="str">
        <f>HYPERLINK("http://www.worldcat.org/oclc/2072786","WorldCat Record")</f>
        <v>WorldCat Record</v>
      </c>
      <c r="AX376" s="3" t="s">
        <v>3909</v>
      </c>
      <c r="AY376" s="3" t="s">
        <v>3910</v>
      </c>
      <c r="AZ376" s="3" t="s">
        <v>3911</v>
      </c>
      <c r="BA376" s="3" t="s">
        <v>3911</v>
      </c>
      <c r="BB376" s="3" t="s">
        <v>3912</v>
      </c>
      <c r="BC376" s="3" t="s">
        <v>102</v>
      </c>
      <c r="BD376" s="3" t="s">
        <v>68</v>
      </c>
      <c r="BE376" s="3" t="s">
        <v>3913</v>
      </c>
      <c r="BF376" s="3" t="s">
        <v>3912</v>
      </c>
      <c r="BG376" s="3" t="s">
        <v>3914</v>
      </c>
    </row>
    <row r="377" spans="1:59" ht="58" x14ac:dyDescent="0.35">
      <c r="A377" s="2" t="s">
        <v>89</v>
      </c>
      <c r="B377" s="2" t="s">
        <v>90</v>
      </c>
      <c r="C377" s="2" t="s">
        <v>3915</v>
      </c>
      <c r="D377" s="2" t="s">
        <v>3916</v>
      </c>
      <c r="E377" s="2" t="s">
        <v>3917</v>
      </c>
      <c r="G377" s="3" t="s">
        <v>62</v>
      </c>
      <c r="I377" s="3" t="s">
        <v>62</v>
      </c>
      <c r="J377" s="3" t="s">
        <v>62</v>
      </c>
      <c r="K377" s="3" t="s">
        <v>63</v>
      </c>
      <c r="L377" s="2" t="s">
        <v>3918</v>
      </c>
      <c r="M377" s="2" t="s">
        <v>3919</v>
      </c>
      <c r="N377" s="3" t="s">
        <v>509</v>
      </c>
      <c r="P377" s="3" t="s">
        <v>64</v>
      </c>
      <c r="R377" s="3" t="s">
        <v>65</v>
      </c>
      <c r="S377" s="4">
        <v>20</v>
      </c>
      <c r="T377" s="4">
        <v>20</v>
      </c>
      <c r="U377" s="5" t="s">
        <v>3920</v>
      </c>
      <c r="V377" s="5" t="s">
        <v>3920</v>
      </c>
      <c r="W377" s="5" t="s">
        <v>67</v>
      </c>
      <c r="X377" s="5" t="s">
        <v>67</v>
      </c>
      <c r="Y377" s="4">
        <v>387</v>
      </c>
      <c r="Z377" s="4">
        <v>27</v>
      </c>
      <c r="AA377" s="4">
        <v>27</v>
      </c>
      <c r="AB377" s="4">
        <v>2</v>
      </c>
      <c r="AC377" s="4">
        <v>2</v>
      </c>
      <c r="AD377" s="4">
        <v>114</v>
      </c>
      <c r="AE377" s="4">
        <v>115</v>
      </c>
      <c r="AF377" s="4">
        <v>1</v>
      </c>
      <c r="AG377" s="4">
        <v>1</v>
      </c>
      <c r="AH377" s="4">
        <v>99</v>
      </c>
      <c r="AI377" s="4">
        <v>99</v>
      </c>
      <c r="AJ377" s="4">
        <v>17</v>
      </c>
      <c r="AK377" s="4">
        <v>17</v>
      </c>
      <c r="AL377" s="4">
        <v>57</v>
      </c>
      <c r="AM377" s="4">
        <v>58</v>
      </c>
      <c r="AN377" s="4">
        <v>0</v>
      </c>
      <c r="AO377" s="4">
        <v>0</v>
      </c>
      <c r="AP377" s="4">
        <v>22</v>
      </c>
      <c r="AQ377" s="4">
        <v>22</v>
      </c>
      <c r="AR377" s="3" t="s">
        <v>62</v>
      </c>
      <c r="AS377" s="3" t="s">
        <v>62</v>
      </c>
      <c r="AT377" s="3" t="s">
        <v>62</v>
      </c>
      <c r="AV377" s="6" t="str">
        <f>HYPERLINK("http://mcgill.on.worldcat.org/oclc/28723010","Catalog Record")</f>
        <v>Catalog Record</v>
      </c>
      <c r="AW377" s="6" t="str">
        <f>HYPERLINK("http://www.worldcat.org/oclc/28723010","WorldCat Record")</f>
        <v>WorldCat Record</v>
      </c>
      <c r="AX377" s="3" t="s">
        <v>3921</v>
      </c>
      <c r="AY377" s="3" t="s">
        <v>3922</v>
      </c>
      <c r="AZ377" s="3" t="s">
        <v>3923</v>
      </c>
      <c r="BA377" s="3" t="s">
        <v>3923</v>
      </c>
      <c r="BB377" s="3" t="s">
        <v>3924</v>
      </c>
      <c r="BC377" s="3" t="s">
        <v>102</v>
      </c>
      <c r="BD377" s="3" t="s">
        <v>68</v>
      </c>
      <c r="BE377" s="3" t="s">
        <v>3925</v>
      </c>
      <c r="BF377" s="3" t="s">
        <v>3924</v>
      </c>
      <c r="BG377" s="3" t="s">
        <v>3926</v>
      </c>
    </row>
    <row r="378" spans="1:59" ht="58" x14ac:dyDescent="0.35">
      <c r="A378" s="2" t="s">
        <v>89</v>
      </c>
      <c r="B378" s="2" t="s">
        <v>90</v>
      </c>
      <c r="C378" s="2" t="s">
        <v>3927</v>
      </c>
      <c r="D378" s="2" t="s">
        <v>3928</v>
      </c>
      <c r="E378" s="2" t="s">
        <v>3929</v>
      </c>
      <c r="G378" s="3" t="s">
        <v>62</v>
      </c>
      <c r="I378" s="3" t="s">
        <v>62</v>
      </c>
      <c r="J378" s="3" t="s">
        <v>62</v>
      </c>
      <c r="K378" s="3" t="s">
        <v>63</v>
      </c>
      <c r="L378" s="2" t="s">
        <v>3930</v>
      </c>
      <c r="M378" s="2" t="s">
        <v>3931</v>
      </c>
      <c r="N378" s="3" t="s">
        <v>539</v>
      </c>
      <c r="P378" s="3" t="s">
        <v>64</v>
      </c>
      <c r="R378" s="3" t="s">
        <v>65</v>
      </c>
      <c r="S378" s="4">
        <v>21</v>
      </c>
      <c r="T378" s="4">
        <v>21</v>
      </c>
      <c r="U378" s="5" t="s">
        <v>3920</v>
      </c>
      <c r="V378" s="5" t="s">
        <v>3920</v>
      </c>
      <c r="W378" s="5" t="s">
        <v>67</v>
      </c>
      <c r="X378" s="5" t="s">
        <v>67</v>
      </c>
      <c r="Y378" s="4">
        <v>410</v>
      </c>
      <c r="Z378" s="4">
        <v>27</v>
      </c>
      <c r="AA378" s="4">
        <v>27</v>
      </c>
      <c r="AB378" s="4">
        <v>2</v>
      </c>
      <c r="AC378" s="4">
        <v>2</v>
      </c>
      <c r="AD378" s="4">
        <v>113</v>
      </c>
      <c r="AE378" s="4">
        <v>113</v>
      </c>
      <c r="AF378" s="4">
        <v>1</v>
      </c>
      <c r="AG378" s="4">
        <v>1</v>
      </c>
      <c r="AH378" s="4">
        <v>100</v>
      </c>
      <c r="AI378" s="4">
        <v>100</v>
      </c>
      <c r="AJ378" s="4">
        <v>16</v>
      </c>
      <c r="AK378" s="4">
        <v>16</v>
      </c>
      <c r="AL378" s="4">
        <v>56</v>
      </c>
      <c r="AM378" s="4">
        <v>56</v>
      </c>
      <c r="AN378" s="4">
        <v>0</v>
      </c>
      <c r="AO378" s="4">
        <v>0</v>
      </c>
      <c r="AP378" s="4">
        <v>20</v>
      </c>
      <c r="AQ378" s="4">
        <v>20</v>
      </c>
      <c r="AR378" s="3" t="s">
        <v>62</v>
      </c>
      <c r="AS378" s="3" t="s">
        <v>62</v>
      </c>
      <c r="AT378" s="3" t="s">
        <v>62</v>
      </c>
      <c r="AV378" s="6" t="str">
        <f>HYPERLINK("http://mcgill.on.worldcat.org/oclc/39524807","Catalog Record")</f>
        <v>Catalog Record</v>
      </c>
      <c r="AW378" s="6" t="str">
        <f>HYPERLINK("http://www.worldcat.org/oclc/39524807","WorldCat Record")</f>
        <v>WorldCat Record</v>
      </c>
      <c r="AX378" s="3" t="s">
        <v>3932</v>
      </c>
      <c r="AY378" s="3" t="s">
        <v>3933</v>
      </c>
      <c r="AZ378" s="3" t="s">
        <v>3934</v>
      </c>
      <c r="BA378" s="3" t="s">
        <v>3934</v>
      </c>
      <c r="BB378" s="3" t="s">
        <v>3935</v>
      </c>
      <c r="BC378" s="3" t="s">
        <v>102</v>
      </c>
      <c r="BD378" s="3" t="s">
        <v>68</v>
      </c>
      <c r="BE378" s="3" t="s">
        <v>3936</v>
      </c>
      <c r="BF378" s="3" t="s">
        <v>3935</v>
      </c>
      <c r="BG378" s="3" t="s">
        <v>3937</v>
      </c>
    </row>
    <row r="379" spans="1:59" ht="58" x14ac:dyDescent="0.35">
      <c r="A379" s="2" t="s">
        <v>89</v>
      </c>
      <c r="B379" s="2" t="s">
        <v>90</v>
      </c>
      <c r="C379" s="2" t="s">
        <v>3938</v>
      </c>
      <c r="D379" s="2" t="s">
        <v>3939</v>
      </c>
      <c r="E379" s="2" t="s">
        <v>3940</v>
      </c>
      <c r="G379" s="3" t="s">
        <v>62</v>
      </c>
      <c r="I379" s="3" t="s">
        <v>62</v>
      </c>
      <c r="J379" s="3" t="s">
        <v>62</v>
      </c>
      <c r="K379" s="3" t="s">
        <v>63</v>
      </c>
      <c r="L379" s="2" t="s">
        <v>3941</v>
      </c>
      <c r="M379" s="2" t="s">
        <v>3942</v>
      </c>
      <c r="N379" s="3" t="s">
        <v>1195</v>
      </c>
      <c r="P379" s="3" t="s">
        <v>64</v>
      </c>
      <c r="R379" s="3" t="s">
        <v>65</v>
      </c>
      <c r="S379" s="4">
        <v>4</v>
      </c>
      <c r="T379" s="4">
        <v>4</v>
      </c>
      <c r="U379" s="5" t="s">
        <v>3943</v>
      </c>
      <c r="V379" s="5" t="s">
        <v>3943</v>
      </c>
      <c r="W379" s="5" t="s">
        <v>67</v>
      </c>
      <c r="X379" s="5" t="s">
        <v>67</v>
      </c>
      <c r="Y379" s="4">
        <v>468</v>
      </c>
      <c r="Z379" s="4">
        <v>29</v>
      </c>
      <c r="AA379" s="4">
        <v>100</v>
      </c>
      <c r="AB379" s="4">
        <v>1</v>
      </c>
      <c r="AC379" s="4">
        <v>17</v>
      </c>
      <c r="AD379" s="4">
        <v>117</v>
      </c>
      <c r="AE379" s="4">
        <v>152</v>
      </c>
      <c r="AF379" s="4">
        <v>0</v>
      </c>
      <c r="AG379" s="4">
        <v>8</v>
      </c>
      <c r="AH379" s="4">
        <v>102</v>
      </c>
      <c r="AI379" s="4">
        <v>111</v>
      </c>
      <c r="AJ379" s="4">
        <v>15</v>
      </c>
      <c r="AK379" s="4">
        <v>23</v>
      </c>
      <c r="AL379" s="4">
        <v>55</v>
      </c>
      <c r="AM379" s="4">
        <v>59</v>
      </c>
      <c r="AN379" s="4">
        <v>0</v>
      </c>
      <c r="AO379" s="4">
        <v>0</v>
      </c>
      <c r="AP379" s="4">
        <v>24</v>
      </c>
      <c r="AQ379" s="4">
        <v>49</v>
      </c>
      <c r="AR379" s="3" t="s">
        <v>62</v>
      </c>
      <c r="AS379" s="3" t="s">
        <v>62</v>
      </c>
      <c r="AT379" s="3" t="s">
        <v>62</v>
      </c>
      <c r="AV379" s="6" t="str">
        <f>HYPERLINK("http://mcgill.on.worldcat.org/oclc/71196490","Catalog Record")</f>
        <v>Catalog Record</v>
      </c>
      <c r="AW379" s="6" t="str">
        <f>HYPERLINK("http://www.worldcat.org/oclc/71196490","WorldCat Record")</f>
        <v>WorldCat Record</v>
      </c>
      <c r="AX379" s="3" t="s">
        <v>3944</v>
      </c>
      <c r="AY379" s="3" t="s">
        <v>3945</v>
      </c>
      <c r="AZ379" s="3" t="s">
        <v>3946</v>
      </c>
      <c r="BA379" s="3" t="s">
        <v>3946</v>
      </c>
      <c r="BB379" s="3" t="s">
        <v>3947</v>
      </c>
      <c r="BC379" s="3" t="s">
        <v>102</v>
      </c>
      <c r="BD379" s="3" t="s">
        <v>68</v>
      </c>
      <c r="BE379" s="3" t="s">
        <v>3948</v>
      </c>
      <c r="BF379" s="3" t="s">
        <v>3947</v>
      </c>
      <c r="BG379" s="3" t="s">
        <v>3949</v>
      </c>
    </row>
    <row r="380" spans="1:59" ht="58" x14ac:dyDescent="0.35">
      <c r="A380" s="2" t="s">
        <v>89</v>
      </c>
      <c r="B380" s="2" t="s">
        <v>90</v>
      </c>
      <c r="C380" s="2" t="s">
        <v>3950</v>
      </c>
      <c r="D380" s="2" t="s">
        <v>3951</v>
      </c>
      <c r="E380" s="2" t="s">
        <v>3952</v>
      </c>
      <c r="G380" s="3" t="s">
        <v>62</v>
      </c>
      <c r="I380" s="3" t="s">
        <v>61</v>
      </c>
      <c r="J380" s="3" t="s">
        <v>62</v>
      </c>
      <c r="K380" s="3" t="s">
        <v>63</v>
      </c>
      <c r="L380" s="2" t="s">
        <v>1857</v>
      </c>
      <c r="M380" s="2" t="s">
        <v>3953</v>
      </c>
      <c r="N380" s="3" t="s">
        <v>87</v>
      </c>
      <c r="P380" s="3" t="s">
        <v>64</v>
      </c>
      <c r="Q380" s="2" t="s">
        <v>3954</v>
      </c>
      <c r="R380" s="3" t="s">
        <v>65</v>
      </c>
      <c r="S380" s="4">
        <v>35</v>
      </c>
      <c r="T380" s="4">
        <v>62</v>
      </c>
      <c r="U380" s="5" t="s">
        <v>3955</v>
      </c>
      <c r="V380" s="5" t="s">
        <v>1663</v>
      </c>
      <c r="W380" s="5" t="s">
        <v>67</v>
      </c>
      <c r="X380" s="5" t="s">
        <v>67</v>
      </c>
      <c r="Y380" s="4">
        <v>629</v>
      </c>
      <c r="Z380" s="4">
        <v>42</v>
      </c>
      <c r="AA380" s="4">
        <v>52</v>
      </c>
      <c r="AB380" s="4">
        <v>3</v>
      </c>
      <c r="AC380" s="4">
        <v>4</v>
      </c>
      <c r="AD380" s="4">
        <v>129</v>
      </c>
      <c r="AE380" s="4">
        <v>139</v>
      </c>
      <c r="AF380" s="4">
        <v>1</v>
      </c>
      <c r="AG380" s="4">
        <v>1</v>
      </c>
      <c r="AH380" s="4">
        <v>110</v>
      </c>
      <c r="AI380" s="4">
        <v>112</v>
      </c>
      <c r="AJ380" s="4">
        <v>20</v>
      </c>
      <c r="AK380" s="4">
        <v>23</v>
      </c>
      <c r="AL380" s="4">
        <v>55</v>
      </c>
      <c r="AM380" s="4">
        <v>56</v>
      </c>
      <c r="AN380" s="4">
        <v>0</v>
      </c>
      <c r="AO380" s="4">
        <v>0</v>
      </c>
      <c r="AP380" s="4">
        <v>27</v>
      </c>
      <c r="AQ380" s="4">
        <v>35</v>
      </c>
      <c r="AR380" s="3" t="s">
        <v>62</v>
      </c>
      <c r="AS380" s="3" t="s">
        <v>62</v>
      </c>
      <c r="AT380" s="3" t="s">
        <v>61</v>
      </c>
      <c r="AU380" s="6" t="str">
        <f>HYPERLINK("http://catalog.hathitrust.org/Record/006210192","HathiTrust Record")</f>
        <v>HathiTrust Record</v>
      </c>
      <c r="AV380" s="6" t="str">
        <f>HYPERLINK("http://mcgill.on.worldcat.org/oclc/4493458","Catalog Record")</f>
        <v>Catalog Record</v>
      </c>
      <c r="AW380" s="6" t="str">
        <f>HYPERLINK("http://www.worldcat.org/oclc/4493458","WorldCat Record")</f>
        <v>WorldCat Record</v>
      </c>
      <c r="AX380" s="3" t="s">
        <v>3956</v>
      </c>
      <c r="AY380" s="3" t="s">
        <v>3957</v>
      </c>
      <c r="AZ380" s="3" t="s">
        <v>3958</v>
      </c>
      <c r="BA380" s="3" t="s">
        <v>3958</v>
      </c>
      <c r="BB380" s="3" t="s">
        <v>3959</v>
      </c>
      <c r="BC380" s="3" t="s">
        <v>102</v>
      </c>
      <c r="BD380" s="3" t="s">
        <v>68</v>
      </c>
      <c r="BE380" s="3" t="s">
        <v>3960</v>
      </c>
      <c r="BF380" s="3" t="s">
        <v>3959</v>
      </c>
      <c r="BG380" s="3" t="s">
        <v>3961</v>
      </c>
    </row>
    <row r="381" spans="1:59" ht="58" x14ac:dyDescent="0.35">
      <c r="A381" s="2" t="s">
        <v>89</v>
      </c>
      <c r="B381" s="2" t="s">
        <v>90</v>
      </c>
      <c r="C381" s="2" t="s">
        <v>3962</v>
      </c>
      <c r="D381" s="2" t="s">
        <v>3963</v>
      </c>
      <c r="E381" s="2" t="s">
        <v>3964</v>
      </c>
      <c r="G381" s="3" t="s">
        <v>62</v>
      </c>
      <c r="I381" s="3" t="s">
        <v>62</v>
      </c>
      <c r="J381" s="3" t="s">
        <v>62</v>
      </c>
      <c r="K381" s="3" t="s">
        <v>63</v>
      </c>
      <c r="L381" s="2" t="s">
        <v>1857</v>
      </c>
      <c r="M381" s="2" t="s">
        <v>3965</v>
      </c>
      <c r="N381" s="3" t="s">
        <v>1195</v>
      </c>
      <c r="P381" s="3" t="s">
        <v>64</v>
      </c>
      <c r="Q381" s="2" t="s">
        <v>3966</v>
      </c>
      <c r="R381" s="3" t="s">
        <v>65</v>
      </c>
      <c r="S381" s="4">
        <v>10</v>
      </c>
      <c r="T381" s="4">
        <v>10</v>
      </c>
      <c r="U381" s="5" t="s">
        <v>3875</v>
      </c>
      <c r="V381" s="5" t="s">
        <v>3875</v>
      </c>
      <c r="W381" s="5" t="s">
        <v>67</v>
      </c>
      <c r="X381" s="5" t="s">
        <v>67</v>
      </c>
      <c r="Y381" s="4">
        <v>146</v>
      </c>
      <c r="Z381" s="4">
        <v>15</v>
      </c>
      <c r="AA381" s="4">
        <v>15</v>
      </c>
      <c r="AB381" s="4">
        <v>1</v>
      </c>
      <c r="AC381" s="4">
        <v>1</v>
      </c>
      <c r="AD381" s="4">
        <v>58</v>
      </c>
      <c r="AE381" s="4">
        <v>58</v>
      </c>
      <c r="AF381" s="4">
        <v>0</v>
      </c>
      <c r="AG381" s="4">
        <v>0</v>
      </c>
      <c r="AH381" s="4">
        <v>54</v>
      </c>
      <c r="AI381" s="4">
        <v>54</v>
      </c>
      <c r="AJ381" s="4">
        <v>11</v>
      </c>
      <c r="AK381" s="4">
        <v>11</v>
      </c>
      <c r="AL381" s="4">
        <v>31</v>
      </c>
      <c r="AM381" s="4">
        <v>31</v>
      </c>
      <c r="AN381" s="4">
        <v>0</v>
      </c>
      <c r="AO381" s="4">
        <v>0</v>
      </c>
      <c r="AP381" s="4">
        <v>12</v>
      </c>
      <c r="AQ381" s="4">
        <v>12</v>
      </c>
      <c r="AR381" s="3" t="s">
        <v>62</v>
      </c>
      <c r="AS381" s="3" t="s">
        <v>62</v>
      </c>
      <c r="AT381" s="3" t="s">
        <v>62</v>
      </c>
      <c r="AV381" s="6" t="str">
        <f>HYPERLINK("http://mcgill.on.worldcat.org/oclc/69028173","Catalog Record")</f>
        <v>Catalog Record</v>
      </c>
      <c r="AW381" s="6" t="str">
        <f>HYPERLINK("http://www.worldcat.org/oclc/69028173","WorldCat Record")</f>
        <v>WorldCat Record</v>
      </c>
      <c r="AX381" s="3" t="s">
        <v>3967</v>
      </c>
      <c r="AY381" s="3" t="s">
        <v>3968</v>
      </c>
      <c r="AZ381" s="3" t="s">
        <v>3969</v>
      </c>
      <c r="BA381" s="3" t="s">
        <v>3969</v>
      </c>
      <c r="BB381" s="3" t="s">
        <v>3970</v>
      </c>
      <c r="BC381" s="3" t="s">
        <v>102</v>
      </c>
      <c r="BD381" s="3" t="s">
        <v>68</v>
      </c>
      <c r="BE381" s="3" t="s">
        <v>3971</v>
      </c>
      <c r="BF381" s="3" t="s">
        <v>3970</v>
      </c>
      <c r="BG381" s="3" t="s">
        <v>3972</v>
      </c>
    </row>
    <row r="382" spans="1:59" ht="58" x14ac:dyDescent="0.35">
      <c r="A382" s="2" t="s">
        <v>89</v>
      </c>
      <c r="B382" s="2" t="s">
        <v>90</v>
      </c>
      <c r="C382" s="2" t="s">
        <v>3973</v>
      </c>
      <c r="D382" s="2" t="s">
        <v>3974</v>
      </c>
      <c r="E382" s="2" t="s">
        <v>3975</v>
      </c>
      <c r="G382" s="3" t="s">
        <v>62</v>
      </c>
      <c r="I382" s="3" t="s">
        <v>62</v>
      </c>
      <c r="J382" s="3" t="s">
        <v>62</v>
      </c>
      <c r="K382" s="3" t="s">
        <v>63</v>
      </c>
      <c r="L382" s="2" t="s">
        <v>963</v>
      </c>
      <c r="M382" s="2" t="s">
        <v>3976</v>
      </c>
      <c r="N382" s="3" t="s">
        <v>568</v>
      </c>
      <c r="P382" s="3" t="s">
        <v>64</v>
      </c>
      <c r="Q382" s="2" t="s">
        <v>3977</v>
      </c>
      <c r="R382" s="3" t="s">
        <v>65</v>
      </c>
      <c r="S382" s="4">
        <v>10</v>
      </c>
      <c r="T382" s="4">
        <v>10</v>
      </c>
      <c r="U382" s="5" t="s">
        <v>3978</v>
      </c>
      <c r="V382" s="5" t="s">
        <v>3978</v>
      </c>
      <c r="W382" s="5" t="s">
        <v>67</v>
      </c>
      <c r="X382" s="5" t="s">
        <v>67</v>
      </c>
      <c r="Y382" s="4">
        <v>166</v>
      </c>
      <c r="Z382" s="4">
        <v>11</v>
      </c>
      <c r="AA382" s="4">
        <v>11</v>
      </c>
      <c r="AB382" s="4">
        <v>1</v>
      </c>
      <c r="AC382" s="4">
        <v>1</v>
      </c>
      <c r="AD382" s="4">
        <v>61</v>
      </c>
      <c r="AE382" s="4">
        <v>61</v>
      </c>
      <c r="AF382" s="4">
        <v>0</v>
      </c>
      <c r="AG382" s="4">
        <v>0</v>
      </c>
      <c r="AH382" s="4">
        <v>56</v>
      </c>
      <c r="AI382" s="4">
        <v>56</v>
      </c>
      <c r="AJ382" s="4">
        <v>5</v>
      </c>
      <c r="AK382" s="4">
        <v>5</v>
      </c>
      <c r="AL382" s="4">
        <v>35</v>
      </c>
      <c r="AM382" s="4">
        <v>35</v>
      </c>
      <c r="AN382" s="4">
        <v>0</v>
      </c>
      <c r="AO382" s="4">
        <v>0</v>
      </c>
      <c r="AP382" s="4">
        <v>8</v>
      </c>
      <c r="AQ382" s="4">
        <v>8</v>
      </c>
      <c r="AR382" s="3" t="s">
        <v>62</v>
      </c>
      <c r="AS382" s="3" t="s">
        <v>62</v>
      </c>
      <c r="AT382" s="3" t="s">
        <v>61</v>
      </c>
      <c r="AU382" s="6" t="str">
        <f>HYPERLINK("http://catalog.hathitrust.org/Record/004097191","HathiTrust Record")</f>
        <v>HathiTrust Record</v>
      </c>
      <c r="AV382" s="6" t="str">
        <f>HYPERLINK("http://mcgill.on.worldcat.org/oclc/44058440","Catalog Record")</f>
        <v>Catalog Record</v>
      </c>
      <c r="AW382" s="6" t="str">
        <f>HYPERLINK("http://www.worldcat.org/oclc/44058440","WorldCat Record")</f>
        <v>WorldCat Record</v>
      </c>
      <c r="AX382" s="3" t="s">
        <v>3979</v>
      </c>
      <c r="AY382" s="3" t="s">
        <v>3980</v>
      </c>
      <c r="AZ382" s="3" t="s">
        <v>3981</v>
      </c>
      <c r="BA382" s="3" t="s">
        <v>3981</v>
      </c>
      <c r="BB382" s="3" t="s">
        <v>3982</v>
      </c>
      <c r="BC382" s="3" t="s">
        <v>102</v>
      </c>
      <c r="BD382" s="3" t="s">
        <v>68</v>
      </c>
      <c r="BE382" s="3" t="s">
        <v>3983</v>
      </c>
      <c r="BF382" s="3" t="s">
        <v>3982</v>
      </c>
      <c r="BG382" s="3" t="s">
        <v>3984</v>
      </c>
    </row>
    <row r="383" spans="1:59" ht="58" x14ac:dyDescent="0.35">
      <c r="A383" s="2" t="s">
        <v>89</v>
      </c>
      <c r="B383" s="2" t="s">
        <v>90</v>
      </c>
      <c r="C383" s="2" t="s">
        <v>3985</v>
      </c>
      <c r="D383" s="2" t="s">
        <v>3986</v>
      </c>
      <c r="E383" s="2" t="s">
        <v>3987</v>
      </c>
      <c r="G383" s="3" t="s">
        <v>62</v>
      </c>
      <c r="I383" s="3" t="s">
        <v>61</v>
      </c>
      <c r="J383" s="3" t="s">
        <v>62</v>
      </c>
      <c r="K383" s="3" t="s">
        <v>63</v>
      </c>
      <c r="L383" s="2" t="s">
        <v>3988</v>
      </c>
      <c r="M383" s="2" t="s">
        <v>3989</v>
      </c>
      <c r="N383" s="3" t="s">
        <v>1639</v>
      </c>
      <c r="O383" s="2" t="s">
        <v>3990</v>
      </c>
      <c r="P383" s="3" t="s">
        <v>64</v>
      </c>
      <c r="R383" s="3" t="s">
        <v>65</v>
      </c>
      <c r="S383" s="4">
        <v>21</v>
      </c>
      <c r="T383" s="4">
        <v>28</v>
      </c>
      <c r="U383" s="5" t="s">
        <v>3427</v>
      </c>
      <c r="V383" s="5" t="s">
        <v>3427</v>
      </c>
      <c r="W383" s="5" t="s">
        <v>67</v>
      </c>
      <c r="X383" s="5" t="s">
        <v>67</v>
      </c>
      <c r="Y383" s="4">
        <v>708</v>
      </c>
      <c r="Z383" s="4">
        <v>45</v>
      </c>
      <c r="AA383" s="4">
        <v>58</v>
      </c>
      <c r="AB383" s="4">
        <v>3</v>
      </c>
      <c r="AC383" s="4">
        <v>6</v>
      </c>
      <c r="AD383" s="4">
        <v>120</v>
      </c>
      <c r="AE383" s="4">
        <v>142</v>
      </c>
      <c r="AF383" s="4">
        <v>2</v>
      </c>
      <c r="AG383" s="4">
        <v>4</v>
      </c>
      <c r="AH383" s="4">
        <v>92</v>
      </c>
      <c r="AI383" s="4">
        <v>107</v>
      </c>
      <c r="AJ383" s="4">
        <v>21</v>
      </c>
      <c r="AK383" s="4">
        <v>26</v>
      </c>
      <c r="AL383" s="4">
        <v>50</v>
      </c>
      <c r="AM383" s="4">
        <v>58</v>
      </c>
      <c r="AN383" s="4">
        <v>0</v>
      </c>
      <c r="AO383" s="4">
        <v>4</v>
      </c>
      <c r="AP383" s="4">
        <v>32</v>
      </c>
      <c r="AQ383" s="4">
        <v>41</v>
      </c>
      <c r="AR383" s="3" t="s">
        <v>62</v>
      </c>
      <c r="AS383" s="3" t="s">
        <v>62</v>
      </c>
      <c r="AT383" s="3" t="s">
        <v>62</v>
      </c>
      <c r="AV383" s="6" t="str">
        <f>HYPERLINK("http://mcgill.on.worldcat.org/oclc/81225","Catalog Record")</f>
        <v>Catalog Record</v>
      </c>
      <c r="AW383" s="6" t="str">
        <f>HYPERLINK("http://www.worldcat.org/oclc/81225","WorldCat Record")</f>
        <v>WorldCat Record</v>
      </c>
      <c r="AX383" s="3" t="s">
        <v>3991</v>
      </c>
      <c r="AY383" s="3" t="s">
        <v>3992</v>
      </c>
      <c r="AZ383" s="3" t="s">
        <v>3993</v>
      </c>
      <c r="BA383" s="3" t="s">
        <v>3993</v>
      </c>
      <c r="BB383" s="3" t="s">
        <v>3994</v>
      </c>
      <c r="BC383" s="3" t="s">
        <v>102</v>
      </c>
      <c r="BD383" s="3" t="s">
        <v>68</v>
      </c>
      <c r="BF383" s="3" t="s">
        <v>3994</v>
      </c>
      <c r="BG383" s="3" t="s">
        <v>3995</v>
      </c>
    </row>
    <row r="384" spans="1:59" ht="58" x14ac:dyDescent="0.35">
      <c r="A384" s="2" t="s">
        <v>89</v>
      </c>
      <c r="B384" s="2" t="s">
        <v>90</v>
      </c>
      <c r="C384" s="2" t="s">
        <v>3996</v>
      </c>
      <c r="D384" s="2" t="s">
        <v>3997</v>
      </c>
      <c r="E384" s="2" t="s">
        <v>3998</v>
      </c>
      <c r="G384" s="3" t="s">
        <v>62</v>
      </c>
      <c r="I384" s="3" t="s">
        <v>62</v>
      </c>
      <c r="J384" s="3" t="s">
        <v>62</v>
      </c>
      <c r="K384" s="3" t="s">
        <v>63</v>
      </c>
      <c r="L384" s="2" t="s">
        <v>3999</v>
      </c>
      <c r="M384" s="2" t="s">
        <v>4000</v>
      </c>
      <c r="N384" s="3" t="s">
        <v>640</v>
      </c>
      <c r="P384" s="3" t="s">
        <v>64</v>
      </c>
      <c r="R384" s="3" t="s">
        <v>65</v>
      </c>
      <c r="S384" s="4">
        <v>18</v>
      </c>
      <c r="T384" s="4">
        <v>18</v>
      </c>
      <c r="U384" s="5" t="s">
        <v>4001</v>
      </c>
      <c r="V384" s="5" t="s">
        <v>4001</v>
      </c>
      <c r="W384" s="5" t="s">
        <v>67</v>
      </c>
      <c r="X384" s="5" t="s">
        <v>67</v>
      </c>
      <c r="Y384" s="4">
        <v>371</v>
      </c>
      <c r="Z384" s="4">
        <v>14</v>
      </c>
      <c r="AA384" s="4">
        <v>22</v>
      </c>
      <c r="AB384" s="4">
        <v>1</v>
      </c>
      <c r="AC384" s="4">
        <v>6</v>
      </c>
      <c r="AD384" s="4">
        <v>78</v>
      </c>
      <c r="AE384" s="4">
        <v>86</v>
      </c>
      <c r="AF384" s="4">
        <v>0</v>
      </c>
      <c r="AG384" s="4">
        <v>4</v>
      </c>
      <c r="AH384" s="4">
        <v>71</v>
      </c>
      <c r="AI384" s="4">
        <v>74</v>
      </c>
      <c r="AJ384" s="4">
        <v>5</v>
      </c>
      <c r="AK384" s="4">
        <v>9</v>
      </c>
      <c r="AL384" s="4">
        <v>41</v>
      </c>
      <c r="AM384" s="4">
        <v>42</v>
      </c>
      <c r="AN384" s="4">
        <v>0</v>
      </c>
      <c r="AO384" s="4">
        <v>0</v>
      </c>
      <c r="AP384" s="4">
        <v>9</v>
      </c>
      <c r="AQ384" s="4">
        <v>16</v>
      </c>
      <c r="AR384" s="3" t="s">
        <v>62</v>
      </c>
      <c r="AS384" s="3" t="s">
        <v>62</v>
      </c>
      <c r="AT384" s="3" t="s">
        <v>62</v>
      </c>
      <c r="AV384" s="6" t="str">
        <f>HYPERLINK("http://mcgill.on.worldcat.org/oclc/52945835","Catalog Record")</f>
        <v>Catalog Record</v>
      </c>
      <c r="AW384" s="6" t="str">
        <f>HYPERLINK("http://www.worldcat.org/oclc/52945835","WorldCat Record")</f>
        <v>WorldCat Record</v>
      </c>
      <c r="AX384" s="3" t="s">
        <v>4002</v>
      </c>
      <c r="AY384" s="3" t="s">
        <v>4003</v>
      </c>
      <c r="AZ384" s="3" t="s">
        <v>4004</v>
      </c>
      <c r="BA384" s="3" t="s">
        <v>4004</v>
      </c>
      <c r="BB384" s="3" t="s">
        <v>4005</v>
      </c>
      <c r="BC384" s="3" t="s">
        <v>102</v>
      </c>
      <c r="BD384" s="3" t="s">
        <v>68</v>
      </c>
      <c r="BE384" s="3" t="s">
        <v>4006</v>
      </c>
      <c r="BF384" s="3" t="s">
        <v>4005</v>
      </c>
      <c r="BG384" s="3" t="s">
        <v>4007</v>
      </c>
    </row>
    <row r="385" spans="1:59" ht="58" x14ac:dyDescent="0.35">
      <c r="A385" s="2" t="s">
        <v>89</v>
      </c>
      <c r="B385" s="2" t="s">
        <v>90</v>
      </c>
      <c r="C385" s="2" t="s">
        <v>4008</v>
      </c>
      <c r="D385" s="2" t="s">
        <v>4009</v>
      </c>
      <c r="E385" s="2" t="s">
        <v>4010</v>
      </c>
      <c r="G385" s="3" t="s">
        <v>62</v>
      </c>
      <c r="I385" s="3" t="s">
        <v>62</v>
      </c>
      <c r="J385" s="3" t="s">
        <v>62</v>
      </c>
      <c r="K385" s="3" t="s">
        <v>63</v>
      </c>
      <c r="L385" s="2" t="s">
        <v>4011</v>
      </c>
      <c r="M385" s="2" t="s">
        <v>4012</v>
      </c>
      <c r="N385" s="3" t="s">
        <v>553</v>
      </c>
      <c r="P385" s="3" t="s">
        <v>64</v>
      </c>
      <c r="Q385" s="2" t="s">
        <v>4013</v>
      </c>
      <c r="R385" s="3" t="s">
        <v>65</v>
      </c>
      <c r="S385" s="4">
        <v>15</v>
      </c>
      <c r="T385" s="4">
        <v>15</v>
      </c>
      <c r="U385" s="5" t="s">
        <v>2543</v>
      </c>
      <c r="V385" s="5" t="s">
        <v>2543</v>
      </c>
      <c r="W385" s="5" t="s">
        <v>67</v>
      </c>
      <c r="X385" s="5" t="s">
        <v>67</v>
      </c>
      <c r="Y385" s="4">
        <v>474</v>
      </c>
      <c r="Z385" s="4">
        <v>37</v>
      </c>
      <c r="AA385" s="4">
        <v>39</v>
      </c>
      <c r="AB385" s="4">
        <v>3</v>
      </c>
      <c r="AC385" s="4">
        <v>5</v>
      </c>
      <c r="AD385" s="4">
        <v>122</v>
      </c>
      <c r="AE385" s="4">
        <v>124</v>
      </c>
      <c r="AF385" s="4">
        <v>2</v>
      </c>
      <c r="AG385" s="4">
        <v>4</v>
      </c>
      <c r="AH385" s="4">
        <v>104</v>
      </c>
      <c r="AI385" s="4">
        <v>105</v>
      </c>
      <c r="AJ385" s="4">
        <v>17</v>
      </c>
      <c r="AK385" s="4">
        <v>19</v>
      </c>
      <c r="AL385" s="4">
        <v>53</v>
      </c>
      <c r="AM385" s="4">
        <v>53</v>
      </c>
      <c r="AN385" s="4">
        <v>0</v>
      </c>
      <c r="AO385" s="4">
        <v>0</v>
      </c>
      <c r="AP385" s="4">
        <v>28</v>
      </c>
      <c r="AQ385" s="4">
        <v>29</v>
      </c>
      <c r="AR385" s="3" t="s">
        <v>62</v>
      </c>
      <c r="AS385" s="3" t="s">
        <v>62</v>
      </c>
      <c r="AT385" s="3" t="s">
        <v>62</v>
      </c>
      <c r="AV385" s="6" t="str">
        <f>HYPERLINK("http://mcgill.on.worldcat.org/oclc/42309943","Catalog Record")</f>
        <v>Catalog Record</v>
      </c>
      <c r="AW385" s="6" t="str">
        <f>HYPERLINK("http://www.worldcat.org/oclc/42309943","WorldCat Record")</f>
        <v>WorldCat Record</v>
      </c>
      <c r="AX385" s="3" t="s">
        <v>4014</v>
      </c>
      <c r="AY385" s="3" t="s">
        <v>4015</v>
      </c>
      <c r="AZ385" s="3" t="s">
        <v>4016</v>
      </c>
      <c r="BA385" s="3" t="s">
        <v>4016</v>
      </c>
      <c r="BB385" s="3" t="s">
        <v>4017</v>
      </c>
      <c r="BC385" s="3" t="s">
        <v>102</v>
      </c>
      <c r="BD385" s="3" t="s">
        <v>68</v>
      </c>
      <c r="BE385" s="3" t="s">
        <v>4018</v>
      </c>
      <c r="BF385" s="3" t="s">
        <v>4017</v>
      </c>
      <c r="BG385" s="3" t="s">
        <v>4019</v>
      </c>
    </row>
    <row r="386" spans="1:59" ht="58" x14ac:dyDescent="0.35">
      <c r="A386" s="2" t="s">
        <v>89</v>
      </c>
      <c r="B386" s="2" t="s">
        <v>90</v>
      </c>
      <c r="C386" s="2" t="s">
        <v>4020</v>
      </c>
      <c r="D386" s="2" t="s">
        <v>4021</v>
      </c>
      <c r="E386" s="2" t="s">
        <v>4022</v>
      </c>
      <c r="G386" s="3" t="s">
        <v>62</v>
      </c>
      <c r="I386" s="3" t="s">
        <v>62</v>
      </c>
      <c r="J386" s="3" t="s">
        <v>62</v>
      </c>
      <c r="K386" s="3" t="s">
        <v>63</v>
      </c>
      <c r="M386" s="2" t="s">
        <v>4023</v>
      </c>
      <c r="N386" s="3" t="s">
        <v>596</v>
      </c>
      <c r="P386" s="3" t="s">
        <v>64</v>
      </c>
      <c r="R386" s="3" t="s">
        <v>65</v>
      </c>
      <c r="S386" s="4">
        <v>13</v>
      </c>
      <c r="T386" s="4">
        <v>13</v>
      </c>
      <c r="U386" s="5" t="s">
        <v>2543</v>
      </c>
      <c r="V386" s="5" t="s">
        <v>2543</v>
      </c>
      <c r="W386" s="5" t="s">
        <v>67</v>
      </c>
      <c r="X386" s="5" t="s">
        <v>67</v>
      </c>
      <c r="Y386" s="4">
        <v>305</v>
      </c>
      <c r="Z386" s="4">
        <v>24</v>
      </c>
      <c r="AA386" s="4">
        <v>30</v>
      </c>
      <c r="AB386" s="4">
        <v>1</v>
      </c>
      <c r="AC386" s="4">
        <v>5</v>
      </c>
      <c r="AD386" s="4">
        <v>95</v>
      </c>
      <c r="AE386" s="4">
        <v>98</v>
      </c>
      <c r="AF386" s="4">
        <v>0</v>
      </c>
      <c r="AG386" s="4">
        <v>2</v>
      </c>
      <c r="AH386" s="4">
        <v>84</v>
      </c>
      <c r="AI386" s="4">
        <v>85</v>
      </c>
      <c r="AJ386" s="4">
        <v>15</v>
      </c>
      <c r="AK386" s="4">
        <v>17</v>
      </c>
      <c r="AL386" s="4">
        <v>47</v>
      </c>
      <c r="AM386" s="4">
        <v>47</v>
      </c>
      <c r="AN386" s="4">
        <v>0</v>
      </c>
      <c r="AO386" s="4">
        <v>0</v>
      </c>
      <c r="AP386" s="4">
        <v>20</v>
      </c>
      <c r="AQ386" s="4">
        <v>23</v>
      </c>
      <c r="AR386" s="3" t="s">
        <v>62</v>
      </c>
      <c r="AS386" s="3" t="s">
        <v>62</v>
      </c>
      <c r="AT386" s="3" t="s">
        <v>62</v>
      </c>
      <c r="AV386" s="6" t="str">
        <f>HYPERLINK("http://mcgill.on.worldcat.org/oclc/50175970","Catalog Record")</f>
        <v>Catalog Record</v>
      </c>
      <c r="AW386" s="6" t="str">
        <f>HYPERLINK("http://www.worldcat.org/oclc/50175970","WorldCat Record")</f>
        <v>WorldCat Record</v>
      </c>
      <c r="AX386" s="3" t="s">
        <v>4024</v>
      </c>
      <c r="AY386" s="3" t="s">
        <v>4025</v>
      </c>
      <c r="AZ386" s="3" t="s">
        <v>4026</v>
      </c>
      <c r="BA386" s="3" t="s">
        <v>4026</v>
      </c>
      <c r="BB386" s="3" t="s">
        <v>4027</v>
      </c>
      <c r="BC386" s="3" t="s">
        <v>102</v>
      </c>
      <c r="BD386" s="3" t="s">
        <v>68</v>
      </c>
      <c r="BE386" s="3" t="s">
        <v>4028</v>
      </c>
      <c r="BF386" s="3" t="s">
        <v>4027</v>
      </c>
      <c r="BG386" s="3" t="s">
        <v>4029</v>
      </c>
    </row>
    <row r="387" spans="1:59" ht="58" x14ac:dyDescent="0.35">
      <c r="A387" s="2" t="s">
        <v>89</v>
      </c>
      <c r="B387" s="2" t="s">
        <v>90</v>
      </c>
      <c r="C387" s="2" t="s">
        <v>4030</v>
      </c>
      <c r="D387" s="2" t="s">
        <v>4031</v>
      </c>
      <c r="E387" s="2" t="s">
        <v>4032</v>
      </c>
      <c r="G387" s="3" t="s">
        <v>62</v>
      </c>
      <c r="I387" s="3" t="s">
        <v>61</v>
      </c>
      <c r="J387" s="3" t="s">
        <v>62</v>
      </c>
      <c r="K387" s="3" t="s">
        <v>63</v>
      </c>
      <c r="L387" s="2" t="s">
        <v>997</v>
      </c>
      <c r="M387" s="2" t="s">
        <v>4033</v>
      </c>
      <c r="N387" s="3" t="s">
        <v>466</v>
      </c>
      <c r="P387" s="3" t="s">
        <v>64</v>
      </c>
      <c r="R387" s="3" t="s">
        <v>65</v>
      </c>
      <c r="S387" s="4">
        <v>11</v>
      </c>
      <c r="T387" s="4">
        <v>18</v>
      </c>
      <c r="U387" s="5" t="s">
        <v>1238</v>
      </c>
      <c r="V387" s="5" t="s">
        <v>1238</v>
      </c>
      <c r="W387" s="5" t="s">
        <v>67</v>
      </c>
      <c r="X387" s="5" t="s">
        <v>67</v>
      </c>
      <c r="Y387" s="4">
        <v>304</v>
      </c>
      <c r="Z387" s="4">
        <v>23</v>
      </c>
      <c r="AA387" s="4">
        <v>83</v>
      </c>
      <c r="AB387" s="4">
        <v>2</v>
      </c>
      <c r="AC387" s="4">
        <v>14</v>
      </c>
      <c r="AD387" s="4">
        <v>110</v>
      </c>
      <c r="AE387" s="4">
        <v>146</v>
      </c>
      <c r="AF387" s="4">
        <v>1</v>
      </c>
      <c r="AG387" s="4">
        <v>8</v>
      </c>
      <c r="AH387" s="4">
        <v>97</v>
      </c>
      <c r="AI387" s="4">
        <v>110</v>
      </c>
      <c r="AJ387" s="4">
        <v>19</v>
      </c>
      <c r="AK387" s="4">
        <v>23</v>
      </c>
      <c r="AL387" s="4">
        <v>53</v>
      </c>
      <c r="AM387" s="4">
        <v>59</v>
      </c>
      <c r="AN387" s="4">
        <v>0</v>
      </c>
      <c r="AO387" s="4">
        <v>0</v>
      </c>
      <c r="AP387" s="4">
        <v>21</v>
      </c>
      <c r="AQ387" s="4">
        <v>44</v>
      </c>
      <c r="AR387" s="3" t="s">
        <v>62</v>
      </c>
      <c r="AS387" s="3" t="s">
        <v>62</v>
      </c>
      <c r="AT387" s="3" t="s">
        <v>62</v>
      </c>
      <c r="AV387" s="6" t="str">
        <f>HYPERLINK("http://mcgill.on.worldcat.org/oclc/24143798","Catalog Record")</f>
        <v>Catalog Record</v>
      </c>
      <c r="AW387" s="6" t="str">
        <f>HYPERLINK("http://www.worldcat.org/oclc/24143798","WorldCat Record")</f>
        <v>WorldCat Record</v>
      </c>
      <c r="AX387" s="3" t="s">
        <v>4034</v>
      </c>
      <c r="AY387" s="3" t="s">
        <v>4035</v>
      </c>
      <c r="AZ387" s="3" t="s">
        <v>4036</v>
      </c>
      <c r="BA387" s="3" t="s">
        <v>4036</v>
      </c>
      <c r="BB387" s="3" t="s">
        <v>4037</v>
      </c>
      <c r="BC387" s="3" t="s">
        <v>102</v>
      </c>
      <c r="BD387" s="3" t="s">
        <v>68</v>
      </c>
      <c r="BE387" s="3" t="s">
        <v>4038</v>
      </c>
      <c r="BF387" s="3" t="s">
        <v>4037</v>
      </c>
      <c r="BG387" s="3" t="s">
        <v>4039</v>
      </c>
    </row>
    <row r="388" spans="1:59" ht="58" x14ac:dyDescent="0.35">
      <c r="A388" s="2" t="s">
        <v>89</v>
      </c>
      <c r="B388" s="2" t="s">
        <v>90</v>
      </c>
      <c r="C388" s="2" t="s">
        <v>4030</v>
      </c>
      <c r="D388" s="2" t="s">
        <v>4031</v>
      </c>
      <c r="E388" s="2" t="s">
        <v>4032</v>
      </c>
      <c r="G388" s="3" t="s">
        <v>62</v>
      </c>
      <c r="I388" s="3" t="s">
        <v>61</v>
      </c>
      <c r="J388" s="3" t="s">
        <v>62</v>
      </c>
      <c r="K388" s="3" t="s">
        <v>63</v>
      </c>
      <c r="L388" s="2" t="s">
        <v>997</v>
      </c>
      <c r="M388" s="2" t="s">
        <v>4033</v>
      </c>
      <c r="N388" s="3" t="s">
        <v>466</v>
      </c>
      <c r="P388" s="3" t="s">
        <v>64</v>
      </c>
      <c r="R388" s="3" t="s">
        <v>65</v>
      </c>
      <c r="S388" s="4">
        <v>7</v>
      </c>
      <c r="T388" s="4">
        <v>18</v>
      </c>
      <c r="U388" s="5" t="s">
        <v>4040</v>
      </c>
      <c r="V388" s="5" t="s">
        <v>1238</v>
      </c>
      <c r="W388" s="5" t="s">
        <v>67</v>
      </c>
      <c r="X388" s="5" t="s">
        <v>67</v>
      </c>
      <c r="Y388" s="4">
        <v>304</v>
      </c>
      <c r="Z388" s="4">
        <v>23</v>
      </c>
      <c r="AA388" s="4">
        <v>83</v>
      </c>
      <c r="AB388" s="4">
        <v>2</v>
      </c>
      <c r="AC388" s="4">
        <v>14</v>
      </c>
      <c r="AD388" s="4">
        <v>110</v>
      </c>
      <c r="AE388" s="4">
        <v>146</v>
      </c>
      <c r="AF388" s="4">
        <v>1</v>
      </c>
      <c r="AG388" s="4">
        <v>8</v>
      </c>
      <c r="AH388" s="4">
        <v>97</v>
      </c>
      <c r="AI388" s="4">
        <v>110</v>
      </c>
      <c r="AJ388" s="4">
        <v>19</v>
      </c>
      <c r="AK388" s="4">
        <v>23</v>
      </c>
      <c r="AL388" s="4">
        <v>53</v>
      </c>
      <c r="AM388" s="4">
        <v>59</v>
      </c>
      <c r="AN388" s="4">
        <v>0</v>
      </c>
      <c r="AO388" s="4">
        <v>0</v>
      </c>
      <c r="AP388" s="4">
        <v>21</v>
      </c>
      <c r="AQ388" s="4">
        <v>44</v>
      </c>
      <c r="AR388" s="3" t="s">
        <v>62</v>
      </c>
      <c r="AS388" s="3" t="s">
        <v>62</v>
      </c>
      <c r="AT388" s="3" t="s">
        <v>62</v>
      </c>
      <c r="AV388" s="6" t="str">
        <f>HYPERLINK("http://mcgill.on.worldcat.org/oclc/24143798","Catalog Record")</f>
        <v>Catalog Record</v>
      </c>
      <c r="AW388" s="6" t="str">
        <f>HYPERLINK("http://www.worldcat.org/oclc/24143798","WorldCat Record")</f>
        <v>WorldCat Record</v>
      </c>
      <c r="AX388" s="3" t="s">
        <v>4034</v>
      </c>
      <c r="AY388" s="3" t="s">
        <v>4035</v>
      </c>
      <c r="AZ388" s="3" t="s">
        <v>4036</v>
      </c>
      <c r="BA388" s="3" t="s">
        <v>4036</v>
      </c>
      <c r="BB388" s="3" t="s">
        <v>4041</v>
      </c>
      <c r="BC388" s="3" t="s">
        <v>102</v>
      </c>
      <c r="BD388" s="3" t="s">
        <v>68</v>
      </c>
      <c r="BE388" s="3" t="s">
        <v>4038</v>
      </c>
      <c r="BF388" s="3" t="s">
        <v>4041</v>
      </c>
      <c r="BG388" s="3" t="s">
        <v>4042</v>
      </c>
    </row>
    <row r="389" spans="1:59" ht="58" x14ac:dyDescent="0.35">
      <c r="A389" s="2" t="s">
        <v>89</v>
      </c>
      <c r="B389" s="2" t="s">
        <v>90</v>
      </c>
      <c r="C389" s="2" t="s">
        <v>4043</v>
      </c>
      <c r="D389" s="2" t="s">
        <v>4044</v>
      </c>
      <c r="E389" s="2" t="s">
        <v>4045</v>
      </c>
      <c r="F389" s="3" t="s">
        <v>2217</v>
      </c>
      <c r="G389" s="3" t="s">
        <v>61</v>
      </c>
      <c r="I389" s="3" t="s">
        <v>62</v>
      </c>
      <c r="J389" s="3" t="s">
        <v>62</v>
      </c>
      <c r="K389" s="3" t="s">
        <v>63</v>
      </c>
      <c r="L389" s="2" t="s">
        <v>4046</v>
      </c>
      <c r="M389" s="2" t="s">
        <v>4047</v>
      </c>
      <c r="N389" s="3" t="s">
        <v>1482</v>
      </c>
      <c r="O389" s="2" t="s">
        <v>2163</v>
      </c>
      <c r="P389" s="3" t="s">
        <v>64</v>
      </c>
      <c r="R389" s="3" t="s">
        <v>65</v>
      </c>
      <c r="S389" s="4">
        <v>5</v>
      </c>
      <c r="T389" s="4">
        <v>8</v>
      </c>
      <c r="U389" s="5" t="s">
        <v>4048</v>
      </c>
      <c r="V389" s="5" t="s">
        <v>4048</v>
      </c>
      <c r="W389" s="5" t="s">
        <v>67</v>
      </c>
      <c r="X389" s="5" t="s">
        <v>67</v>
      </c>
      <c r="Y389" s="4">
        <v>172</v>
      </c>
      <c r="Z389" s="4">
        <v>17</v>
      </c>
      <c r="AA389" s="4">
        <v>19</v>
      </c>
      <c r="AB389" s="4">
        <v>2</v>
      </c>
      <c r="AC389" s="4">
        <v>3</v>
      </c>
      <c r="AD389" s="4">
        <v>67</v>
      </c>
      <c r="AE389" s="4">
        <v>72</v>
      </c>
      <c r="AF389" s="4">
        <v>1</v>
      </c>
      <c r="AG389" s="4">
        <v>2</v>
      </c>
      <c r="AH389" s="4">
        <v>57</v>
      </c>
      <c r="AI389" s="4">
        <v>60</v>
      </c>
      <c r="AJ389" s="4">
        <v>11</v>
      </c>
      <c r="AK389" s="4">
        <v>13</v>
      </c>
      <c r="AL389" s="4">
        <v>38</v>
      </c>
      <c r="AM389" s="4">
        <v>39</v>
      </c>
      <c r="AN389" s="4">
        <v>0</v>
      </c>
      <c r="AO389" s="4">
        <v>0</v>
      </c>
      <c r="AP389" s="4">
        <v>12</v>
      </c>
      <c r="AQ389" s="4">
        <v>13</v>
      </c>
      <c r="AR389" s="3" t="s">
        <v>62</v>
      </c>
      <c r="AS389" s="3" t="s">
        <v>62</v>
      </c>
      <c r="AT389" s="3" t="s">
        <v>61</v>
      </c>
      <c r="AU389" s="6" t="str">
        <f>HYPERLINK("http://catalog.hathitrust.org/Record/000904218","HathiTrust Record")</f>
        <v>HathiTrust Record</v>
      </c>
      <c r="AV389" s="6" t="str">
        <f>HYPERLINK("http://mcgill.on.worldcat.org/oclc/16832972","Catalog Record")</f>
        <v>Catalog Record</v>
      </c>
      <c r="AW389" s="6" t="str">
        <f>HYPERLINK("http://www.worldcat.org/oclc/16832972","WorldCat Record")</f>
        <v>WorldCat Record</v>
      </c>
      <c r="AX389" s="3" t="s">
        <v>4049</v>
      </c>
      <c r="AY389" s="3" t="s">
        <v>4050</v>
      </c>
      <c r="AZ389" s="3" t="s">
        <v>4051</v>
      </c>
      <c r="BA389" s="3" t="s">
        <v>4051</v>
      </c>
      <c r="BB389" s="3" t="s">
        <v>4052</v>
      </c>
      <c r="BC389" s="3" t="s">
        <v>102</v>
      </c>
      <c r="BD389" s="3" t="s">
        <v>68</v>
      </c>
      <c r="BF389" s="3" t="s">
        <v>4052</v>
      </c>
      <c r="BG389" s="3" t="s">
        <v>4053</v>
      </c>
    </row>
    <row r="390" spans="1:59" ht="58" x14ac:dyDescent="0.35">
      <c r="A390" s="2" t="s">
        <v>89</v>
      </c>
      <c r="B390" s="2" t="s">
        <v>90</v>
      </c>
      <c r="C390" s="2" t="s">
        <v>4043</v>
      </c>
      <c r="D390" s="2" t="s">
        <v>4044</v>
      </c>
      <c r="E390" s="2" t="s">
        <v>4045</v>
      </c>
      <c r="F390" s="3" t="s">
        <v>2233</v>
      </c>
      <c r="G390" s="3" t="s">
        <v>61</v>
      </c>
      <c r="I390" s="3" t="s">
        <v>62</v>
      </c>
      <c r="J390" s="3" t="s">
        <v>62</v>
      </c>
      <c r="K390" s="3" t="s">
        <v>63</v>
      </c>
      <c r="L390" s="2" t="s">
        <v>4046</v>
      </c>
      <c r="M390" s="2" t="s">
        <v>4047</v>
      </c>
      <c r="N390" s="3" t="s">
        <v>1482</v>
      </c>
      <c r="O390" s="2" t="s">
        <v>2163</v>
      </c>
      <c r="P390" s="3" t="s">
        <v>64</v>
      </c>
      <c r="R390" s="3" t="s">
        <v>65</v>
      </c>
      <c r="S390" s="4">
        <v>3</v>
      </c>
      <c r="T390" s="4">
        <v>8</v>
      </c>
      <c r="U390" s="5" t="s">
        <v>4054</v>
      </c>
      <c r="V390" s="5" t="s">
        <v>4048</v>
      </c>
      <c r="W390" s="5" t="s">
        <v>67</v>
      </c>
      <c r="X390" s="5" t="s">
        <v>67</v>
      </c>
      <c r="Y390" s="4">
        <v>172</v>
      </c>
      <c r="Z390" s="4">
        <v>17</v>
      </c>
      <c r="AA390" s="4">
        <v>19</v>
      </c>
      <c r="AB390" s="4">
        <v>2</v>
      </c>
      <c r="AC390" s="4">
        <v>3</v>
      </c>
      <c r="AD390" s="4">
        <v>67</v>
      </c>
      <c r="AE390" s="4">
        <v>72</v>
      </c>
      <c r="AF390" s="4">
        <v>1</v>
      </c>
      <c r="AG390" s="4">
        <v>2</v>
      </c>
      <c r="AH390" s="4">
        <v>57</v>
      </c>
      <c r="AI390" s="4">
        <v>60</v>
      </c>
      <c r="AJ390" s="4">
        <v>11</v>
      </c>
      <c r="AK390" s="4">
        <v>13</v>
      </c>
      <c r="AL390" s="4">
        <v>38</v>
      </c>
      <c r="AM390" s="4">
        <v>39</v>
      </c>
      <c r="AN390" s="4">
        <v>0</v>
      </c>
      <c r="AO390" s="4">
        <v>0</v>
      </c>
      <c r="AP390" s="4">
        <v>12</v>
      </c>
      <c r="AQ390" s="4">
        <v>13</v>
      </c>
      <c r="AR390" s="3" t="s">
        <v>62</v>
      </c>
      <c r="AS390" s="3" t="s">
        <v>62</v>
      </c>
      <c r="AT390" s="3" t="s">
        <v>61</v>
      </c>
      <c r="AU390" s="6" t="str">
        <f>HYPERLINK("http://catalog.hathitrust.org/Record/000904218","HathiTrust Record")</f>
        <v>HathiTrust Record</v>
      </c>
      <c r="AV390" s="6" t="str">
        <f>HYPERLINK("http://mcgill.on.worldcat.org/oclc/16832972","Catalog Record")</f>
        <v>Catalog Record</v>
      </c>
      <c r="AW390" s="6" t="str">
        <f>HYPERLINK("http://www.worldcat.org/oclc/16832972","WorldCat Record")</f>
        <v>WorldCat Record</v>
      </c>
      <c r="AX390" s="3" t="s">
        <v>4049</v>
      </c>
      <c r="AY390" s="3" t="s">
        <v>4050</v>
      </c>
      <c r="AZ390" s="3" t="s">
        <v>4051</v>
      </c>
      <c r="BA390" s="3" t="s">
        <v>4051</v>
      </c>
      <c r="BB390" s="3" t="s">
        <v>4055</v>
      </c>
      <c r="BC390" s="3" t="s">
        <v>102</v>
      </c>
      <c r="BD390" s="3" t="s">
        <v>68</v>
      </c>
      <c r="BF390" s="3" t="s">
        <v>4055</v>
      </c>
      <c r="BG390" s="3" t="s">
        <v>4056</v>
      </c>
    </row>
    <row r="391" spans="1:59" ht="58" x14ac:dyDescent="0.35">
      <c r="A391" s="2" t="s">
        <v>89</v>
      </c>
      <c r="B391" s="2" t="s">
        <v>90</v>
      </c>
      <c r="C391" s="2" t="s">
        <v>4043</v>
      </c>
      <c r="D391" s="2" t="s">
        <v>4044</v>
      </c>
      <c r="E391" s="2" t="s">
        <v>4045</v>
      </c>
      <c r="F391" s="3" t="s">
        <v>2248</v>
      </c>
      <c r="G391" s="3" t="s">
        <v>61</v>
      </c>
      <c r="I391" s="3" t="s">
        <v>62</v>
      </c>
      <c r="J391" s="3" t="s">
        <v>62</v>
      </c>
      <c r="K391" s="3" t="s">
        <v>63</v>
      </c>
      <c r="L391" s="2" t="s">
        <v>4046</v>
      </c>
      <c r="M391" s="2" t="s">
        <v>4047</v>
      </c>
      <c r="N391" s="3" t="s">
        <v>1482</v>
      </c>
      <c r="O391" s="2" t="s">
        <v>2163</v>
      </c>
      <c r="P391" s="3" t="s">
        <v>64</v>
      </c>
      <c r="R391" s="3" t="s">
        <v>65</v>
      </c>
      <c r="S391" s="4">
        <v>0</v>
      </c>
      <c r="T391" s="4">
        <v>8</v>
      </c>
      <c r="V391" s="5" t="s">
        <v>4048</v>
      </c>
      <c r="W391" s="5" t="s">
        <v>67</v>
      </c>
      <c r="X391" s="5" t="s">
        <v>67</v>
      </c>
      <c r="Y391" s="4">
        <v>172</v>
      </c>
      <c r="Z391" s="4">
        <v>17</v>
      </c>
      <c r="AA391" s="4">
        <v>19</v>
      </c>
      <c r="AB391" s="4">
        <v>2</v>
      </c>
      <c r="AC391" s="4">
        <v>3</v>
      </c>
      <c r="AD391" s="4">
        <v>67</v>
      </c>
      <c r="AE391" s="4">
        <v>72</v>
      </c>
      <c r="AF391" s="4">
        <v>1</v>
      </c>
      <c r="AG391" s="4">
        <v>2</v>
      </c>
      <c r="AH391" s="4">
        <v>57</v>
      </c>
      <c r="AI391" s="4">
        <v>60</v>
      </c>
      <c r="AJ391" s="4">
        <v>11</v>
      </c>
      <c r="AK391" s="4">
        <v>13</v>
      </c>
      <c r="AL391" s="4">
        <v>38</v>
      </c>
      <c r="AM391" s="4">
        <v>39</v>
      </c>
      <c r="AN391" s="4">
        <v>0</v>
      </c>
      <c r="AO391" s="4">
        <v>0</v>
      </c>
      <c r="AP391" s="4">
        <v>12</v>
      </c>
      <c r="AQ391" s="4">
        <v>13</v>
      </c>
      <c r="AR391" s="3" t="s">
        <v>62</v>
      </c>
      <c r="AS391" s="3" t="s">
        <v>62</v>
      </c>
      <c r="AT391" s="3" t="s">
        <v>61</v>
      </c>
      <c r="AU391" s="6" t="str">
        <f>HYPERLINK("http://catalog.hathitrust.org/Record/000904218","HathiTrust Record")</f>
        <v>HathiTrust Record</v>
      </c>
      <c r="AV391" s="6" t="str">
        <f>HYPERLINK("http://mcgill.on.worldcat.org/oclc/16832972","Catalog Record")</f>
        <v>Catalog Record</v>
      </c>
      <c r="AW391" s="6" t="str">
        <f>HYPERLINK("http://www.worldcat.org/oclc/16832972","WorldCat Record")</f>
        <v>WorldCat Record</v>
      </c>
      <c r="AX391" s="3" t="s">
        <v>4049</v>
      </c>
      <c r="AY391" s="3" t="s">
        <v>4050</v>
      </c>
      <c r="AZ391" s="3" t="s">
        <v>4051</v>
      </c>
      <c r="BA391" s="3" t="s">
        <v>4051</v>
      </c>
      <c r="BB391" s="3" t="s">
        <v>4057</v>
      </c>
      <c r="BC391" s="3" t="s">
        <v>102</v>
      </c>
      <c r="BD391" s="3" t="s">
        <v>68</v>
      </c>
      <c r="BF391" s="3" t="s">
        <v>4057</v>
      </c>
      <c r="BG391" s="3" t="s">
        <v>4058</v>
      </c>
    </row>
    <row r="392" spans="1:59" ht="58" x14ac:dyDescent="0.35">
      <c r="A392" s="2" t="s">
        <v>89</v>
      </c>
      <c r="B392" s="2" t="s">
        <v>90</v>
      </c>
      <c r="C392" s="2" t="s">
        <v>4059</v>
      </c>
      <c r="D392" s="2" t="s">
        <v>4060</v>
      </c>
      <c r="E392" s="2" t="s">
        <v>4061</v>
      </c>
      <c r="G392" s="3" t="s">
        <v>62</v>
      </c>
      <c r="I392" s="3" t="s">
        <v>62</v>
      </c>
      <c r="J392" s="3" t="s">
        <v>62</v>
      </c>
      <c r="K392" s="3" t="s">
        <v>63</v>
      </c>
      <c r="L392" s="2" t="s">
        <v>4062</v>
      </c>
      <c r="M392" s="2" t="s">
        <v>4063</v>
      </c>
      <c r="N392" s="3" t="s">
        <v>524</v>
      </c>
      <c r="P392" s="3" t="s">
        <v>64</v>
      </c>
      <c r="R392" s="3" t="s">
        <v>65</v>
      </c>
      <c r="S392" s="4">
        <v>2</v>
      </c>
      <c r="T392" s="4">
        <v>2</v>
      </c>
      <c r="U392" s="5" t="s">
        <v>4064</v>
      </c>
      <c r="V392" s="5" t="s">
        <v>4064</v>
      </c>
      <c r="W392" s="5" t="s">
        <v>67</v>
      </c>
      <c r="X392" s="5" t="s">
        <v>67</v>
      </c>
      <c r="Y392" s="4">
        <v>176</v>
      </c>
      <c r="Z392" s="4">
        <v>15</v>
      </c>
      <c r="AA392" s="4">
        <v>20</v>
      </c>
      <c r="AB392" s="4">
        <v>2</v>
      </c>
      <c r="AC392" s="4">
        <v>2</v>
      </c>
      <c r="AD392" s="4">
        <v>81</v>
      </c>
      <c r="AE392" s="4">
        <v>91</v>
      </c>
      <c r="AF392" s="4">
        <v>1</v>
      </c>
      <c r="AG392" s="4">
        <v>1</v>
      </c>
      <c r="AH392" s="4">
        <v>73</v>
      </c>
      <c r="AI392" s="4">
        <v>79</v>
      </c>
      <c r="AJ392" s="4">
        <v>10</v>
      </c>
      <c r="AK392" s="4">
        <v>14</v>
      </c>
      <c r="AL392" s="4">
        <v>45</v>
      </c>
      <c r="AM392" s="4">
        <v>49</v>
      </c>
      <c r="AN392" s="4">
        <v>0</v>
      </c>
      <c r="AO392" s="4">
        <v>0</v>
      </c>
      <c r="AP392" s="4">
        <v>12</v>
      </c>
      <c r="AQ392" s="4">
        <v>17</v>
      </c>
      <c r="AR392" s="3" t="s">
        <v>62</v>
      </c>
      <c r="AS392" s="3" t="s">
        <v>62</v>
      </c>
      <c r="AT392" s="3" t="s">
        <v>61</v>
      </c>
      <c r="AU392" s="6" t="str">
        <f>HYPERLINK("http://catalog.hathitrust.org/Record/003043461","HathiTrust Record")</f>
        <v>HathiTrust Record</v>
      </c>
      <c r="AV392" s="6" t="str">
        <f>HYPERLINK("http://mcgill.on.worldcat.org/oclc/33085673","Catalog Record")</f>
        <v>Catalog Record</v>
      </c>
      <c r="AW392" s="6" t="str">
        <f>HYPERLINK("http://www.worldcat.org/oclc/33085673","WorldCat Record")</f>
        <v>WorldCat Record</v>
      </c>
      <c r="AX392" s="3" t="s">
        <v>4065</v>
      </c>
      <c r="AY392" s="3" t="s">
        <v>4066</v>
      </c>
      <c r="AZ392" s="3" t="s">
        <v>4067</v>
      </c>
      <c r="BA392" s="3" t="s">
        <v>4067</v>
      </c>
      <c r="BB392" s="3" t="s">
        <v>4068</v>
      </c>
      <c r="BC392" s="3" t="s">
        <v>102</v>
      </c>
      <c r="BD392" s="3" t="s">
        <v>68</v>
      </c>
      <c r="BE392" s="3" t="s">
        <v>4069</v>
      </c>
      <c r="BF392" s="3" t="s">
        <v>4068</v>
      </c>
      <c r="BG392" s="3" t="s">
        <v>4070</v>
      </c>
    </row>
    <row r="393" spans="1:59" ht="58" x14ac:dyDescent="0.35">
      <c r="A393" s="2" t="s">
        <v>89</v>
      </c>
      <c r="B393" s="2" t="s">
        <v>90</v>
      </c>
      <c r="C393" s="2" t="s">
        <v>4071</v>
      </c>
      <c r="D393" s="2" t="s">
        <v>4072</v>
      </c>
      <c r="E393" s="2" t="s">
        <v>4073</v>
      </c>
      <c r="G393" s="3" t="s">
        <v>62</v>
      </c>
      <c r="I393" s="3" t="s">
        <v>61</v>
      </c>
      <c r="J393" s="3" t="s">
        <v>62</v>
      </c>
      <c r="K393" s="3" t="s">
        <v>63</v>
      </c>
      <c r="M393" s="2" t="s">
        <v>4074</v>
      </c>
      <c r="N393" s="3" t="s">
        <v>880</v>
      </c>
      <c r="P393" s="3" t="s">
        <v>64</v>
      </c>
      <c r="Q393" s="2" t="s">
        <v>4075</v>
      </c>
      <c r="R393" s="3" t="s">
        <v>65</v>
      </c>
      <c r="S393" s="4">
        <v>0</v>
      </c>
      <c r="T393" s="4">
        <v>2</v>
      </c>
      <c r="V393" s="5" t="s">
        <v>4076</v>
      </c>
      <c r="W393" s="5" t="s">
        <v>67</v>
      </c>
      <c r="X393" s="5" t="s">
        <v>67</v>
      </c>
      <c r="Y393" s="4">
        <v>53</v>
      </c>
      <c r="Z393" s="4">
        <v>8</v>
      </c>
      <c r="AA393" s="4">
        <v>8</v>
      </c>
      <c r="AB393" s="4">
        <v>1</v>
      </c>
      <c r="AC393" s="4">
        <v>1</v>
      </c>
      <c r="AD393" s="4">
        <v>37</v>
      </c>
      <c r="AE393" s="4">
        <v>37</v>
      </c>
      <c r="AF393" s="4">
        <v>0</v>
      </c>
      <c r="AG393" s="4">
        <v>0</v>
      </c>
      <c r="AH393" s="4">
        <v>35</v>
      </c>
      <c r="AI393" s="4">
        <v>35</v>
      </c>
      <c r="AJ393" s="4">
        <v>5</v>
      </c>
      <c r="AK393" s="4">
        <v>5</v>
      </c>
      <c r="AL393" s="4">
        <v>26</v>
      </c>
      <c r="AM393" s="4">
        <v>26</v>
      </c>
      <c r="AN393" s="4">
        <v>0</v>
      </c>
      <c r="AO393" s="4">
        <v>0</v>
      </c>
      <c r="AP393" s="4">
        <v>6</v>
      </c>
      <c r="AQ393" s="4">
        <v>6</v>
      </c>
      <c r="AR393" s="3" t="s">
        <v>62</v>
      </c>
      <c r="AS393" s="3" t="s">
        <v>62</v>
      </c>
      <c r="AT393" s="3" t="s">
        <v>62</v>
      </c>
      <c r="AV393" s="6" t="str">
        <f>HYPERLINK("http://mcgill.on.worldcat.org/oclc/502268609","Catalog Record")</f>
        <v>Catalog Record</v>
      </c>
      <c r="AW393" s="6" t="str">
        <f>HYPERLINK("http://www.worldcat.org/oclc/502268609","WorldCat Record")</f>
        <v>WorldCat Record</v>
      </c>
      <c r="AX393" s="3" t="s">
        <v>4077</v>
      </c>
      <c r="AY393" s="3" t="s">
        <v>4078</v>
      </c>
      <c r="AZ393" s="3" t="s">
        <v>4079</v>
      </c>
      <c r="BA393" s="3" t="s">
        <v>4079</v>
      </c>
      <c r="BB393" s="3" t="s">
        <v>4080</v>
      </c>
      <c r="BC393" s="3" t="s">
        <v>102</v>
      </c>
      <c r="BD393" s="3" t="s">
        <v>68</v>
      </c>
      <c r="BE393" s="3" t="s">
        <v>4081</v>
      </c>
      <c r="BF393" s="3" t="s">
        <v>4080</v>
      </c>
      <c r="BG393" s="3" t="s">
        <v>4082</v>
      </c>
    </row>
    <row r="394" spans="1:59" ht="58" x14ac:dyDescent="0.35">
      <c r="A394" s="2" t="s">
        <v>89</v>
      </c>
      <c r="B394" s="2" t="s">
        <v>90</v>
      </c>
      <c r="C394" s="2" t="s">
        <v>4071</v>
      </c>
      <c r="D394" s="2" t="s">
        <v>4072</v>
      </c>
      <c r="E394" s="2" t="s">
        <v>4073</v>
      </c>
      <c r="G394" s="3" t="s">
        <v>62</v>
      </c>
      <c r="I394" s="3" t="s">
        <v>61</v>
      </c>
      <c r="J394" s="3" t="s">
        <v>62</v>
      </c>
      <c r="K394" s="3" t="s">
        <v>63</v>
      </c>
      <c r="M394" s="2" t="s">
        <v>4074</v>
      </c>
      <c r="N394" s="3" t="s">
        <v>880</v>
      </c>
      <c r="P394" s="3" t="s">
        <v>64</v>
      </c>
      <c r="Q394" s="2" t="s">
        <v>4075</v>
      </c>
      <c r="R394" s="3" t="s">
        <v>65</v>
      </c>
      <c r="S394" s="4">
        <v>2</v>
      </c>
      <c r="T394" s="4">
        <v>2</v>
      </c>
      <c r="U394" s="5" t="s">
        <v>4076</v>
      </c>
      <c r="V394" s="5" t="s">
        <v>4076</v>
      </c>
      <c r="W394" s="5" t="s">
        <v>67</v>
      </c>
      <c r="X394" s="5" t="s">
        <v>67</v>
      </c>
      <c r="Y394" s="4">
        <v>53</v>
      </c>
      <c r="Z394" s="4">
        <v>8</v>
      </c>
      <c r="AA394" s="4">
        <v>8</v>
      </c>
      <c r="AB394" s="4">
        <v>1</v>
      </c>
      <c r="AC394" s="4">
        <v>1</v>
      </c>
      <c r="AD394" s="4">
        <v>37</v>
      </c>
      <c r="AE394" s="4">
        <v>37</v>
      </c>
      <c r="AF394" s="4">
        <v>0</v>
      </c>
      <c r="AG394" s="4">
        <v>0</v>
      </c>
      <c r="AH394" s="4">
        <v>35</v>
      </c>
      <c r="AI394" s="4">
        <v>35</v>
      </c>
      <c r="AJ394" s="4">
        <v>5</v>
      </c>
      <c r="AK394" s="4">
        <v>5</v>
      </c>
      <c r="AL394" s="4">
        <v>26</v>
      </c>
      <c r="AM394" s="4">
        <v>26</v>
      </c>
      <c r="AN394" s="4">
        <v>0</v>
      </c>
      <c r="AO394" s="4">
        <v>0</v>
      </c>
      <c r="AP394" s="4">
        <v>6</v>
      </c>
      <c r="AQ394" s="4">
        <v>6</v>
      </c>
      <c r="AR394" s="3" t="s">
        <v>62</v>
      </c>
      <c r="AS394" s="3" t="s">
        <v>62</v>
      </c>
      <c r="AT394" s="3" t="s">
        <v>62</v>
      </c>
      <c r="AV394" s="6" t="str">
        <f>HYPERLINK("http://mcgill.on.worldcat.org/oclc/502268609","Catalog Record")</f>
        <v>Catalog Record</v>
      </c>
      <c r="AW394" s="6" t="str">
        <f>HYPERLINK("http://www.worldcat.org/oclc/502268609","WorldCat Record")</f>
        <v>WorldCat Record</v>
      </c>
      <c r="AX394" s="3" t="s">
        <v>4077</v>
      </c>
      <c r="AY394" s="3" t="s">
        <v>4078</v>
      </c>
      <c r="AZ394" s="3" t="s">
        <v>4079</v>
      </c>
      <c r="BA394" s="3" t="s">
        <v>4079</v>
      </c>
      <c r="BB394" s="3" t="s">
        <v>4083</v>
      </c>
      <c r="BC394" s="3" t="s">
        <v>102</v>
      </c>
      <c r="BD394" s="3" t="s">
        <v>68</v>
      </c>
      <c r="BE394" s="3" t="s">
        <v>4081</v>
      </c>
      <c r="BF394" s="3" t="s">
        <v>4083</v>
      </c>
      <c r="BG394" s="3" t="s">
        <v>4084</v>
      </c>
    </row>
    <row r="395" spans="1:59" ht="58" x14ac:dyDescent="0.35">
      <c r="A395" s="2" t="s">
        <v>89</v>
      </c>
      <c r="B395" s="2" t="s">
        <v>90</v>
      </c>
      <c r="C395" s="2" t="s">
        <v>4085</v>
      </c>
      <c r="D395" s="2" t="s">
        <v>4086</v>
      </c>
      <c r="E395" s="2" t="s">
        <v>4087</v>
      </c>
      <c r="G395" s="3" t="s">
        <v>62</v>
      </c>
      <c r="I395" s="3" t="s">
        <v>62</v>
      </c>
      <c r="J395" s="3" t="s">
        <v>62</v>
      </c>
      <c r="K395" s="3" t="s">
        <v>63</v>
      </c>
      <c r="L395" s="2" t="s">
        <v>4088</v>
      </c>
      <c r="M395" s="2" t="s">
        <v>4089</v>
      </c>
      <c r="N395" s="3" t="s">
        <v>3062</v>
      </c>
      <c r="P395" s="3" t="s">
        <v>64</v>
      </c>
      <c r="R395" s="3" t="s">
        <v>65</v>
      </c>
      <c r="S395" s="4">
        <v>5</v>
      </c>
      <c r="T395" s="4">
        <v>5</v>
      </c>
      <c r="U395" s="5" t="s">
        <v>4090</v>
      </c>
      <c r="V395" s="5" t="s">
        <v>4090</v>
      </c>
      <c r="W395" s="5" t="s">
        <v>67</v>
      </c>
      <c r="X395" s="5" t="s">
        <v>67</v>
      </c>
      <c r="Y395" s="4">
        <v>61</v>
      </c>
      <c r="Z395" s="4">
        <v>11</v>
      </c>
      <c r="AA395" s="4">
        <v>11</v>
      </c>
      <c r="AB395" s="4">
        <v>1</v>
      </c>
      <c r="AC395" s="4">
        <v>1</v>
      </c>
      <c r="AD395" s="4">
        <v>27</v>
      </c>
      <c r="AE395" s="4">
        <v>28</v>
      </c>
      <c r="AF395" s="4">
        <v>0</v>
      </c>
      <c r="AG395" s="4">
        <v>0</v>
      </c>
      <c r="AH395" s="4">
        <v>23</v>
      </c>
      <c r="AI395" s="4">
        <v>24</v>
      </c>
      <c r="AJ395" s="4">
        <v>9</v>
      </c>
      <c r="AK395" s="4">
        <v>9</v>
      </c>
      <c r="AL395" s="4">
        <v>17</v>
      </c>
      <c r="AM395" s="4">
        <v>18</v>
      </c>
      <c r="AN395" s="4">
        <v>0</v>
      </c>
      <c r="AO395" s="4">
        <v>0</v>
      </c>
      <c r="AP395" s="4">
        <v>9</v>
      </c>
      <c r="AQ395" s="4">
        <v>9</v>
      </c>
      <c r="AR395" s="3" t="s">
        <v>62</v>
      </c>
      <c r="AS395" s="3" t="s">
        <v>62</v>
      </c>
      <c r="AT395" s="3" t="s">
        <v>62</v>
      </c>
      <c r="AV395" s="6" t="str">
        <f>HYPERLINK("http://mcgill.on.worldcat.org/oclc/25962735","Catalog Record")</f>
        <v>Catalog Record</v>
      </c>
      <c r="AW395" s="6" t="str">
        <f>HYPERLINK("http://www.worldcat.org/oclc/25962735","WorldCat Record")</f>
        <v>WorldCat Record</v>
      </c>
      <c r="AX395" s="3" t="s">
        <v>4091</v>
      </c>
      <c r="AY395" s="3" t="s">
        <v>4092</v>
      </c>
      <c r="AZ395" s="3" t="s">
        <v>4093</v>
      </c>
      <c r="BA395" s="3" t="s">
        <v>4093</v>
      </c>
      <c r="BB395" s="3" t="s">
        <v>4094</v>
      </c>
      <c r="BC395" s="3" t="s">
        <v>102</v>
      </c>
      <c r="BD395" s="3" t="s">
        <v>68</v>
      </c>
      <c r="BF395" s="3" t="s">
        <v>4094</v>
      </c>
      <c r="BG395" s="3" t="s">
        <v>4095</v>
      </c>
    </row>
    <row r="396" spans="1:59" ht="58" x14ac:dyDescent="0.35">
      <c r="A396" s="2" t="s">
        <v>89</v>
      </c>
      <c r="B396" s="2" t="s">
        <v>90</v>
      </c>
      <c r="C396" s="2" t="s">
        <v>4096</v>
      </c>
      <c r="D396" s="2" t="s">
        <v>4097</v>
      </c>
      <c r="E396" s="2" t="s">
        <v>4098</v>
      </c>
      <c r="G396" s="3" t="s">
        <v>62</v>
      </c>
      <c r="I396" s="3" t="s">
        <v>62</v>
      </c>
      <c r="J396" s="3" t="s">
        <v>62</v>
      </c>
      <c r="K396" s="3" t="s">
        <v>63</v>
      </c>
      <c r="M396" s="2" t="s">
        <v>4089</v>
      </c>
      <c r="N396" s="3" t="s">
        <v>3062</v>
      </c>
      <c r="P396" s="3" t="s">
        <v>64</v>
      </c>
      <c r="R396" s="3" t="s">
        <v>65</v>
      </c>
      <c r="S396" s="4">
        <v>8</v>
      </c>
      <c r="T396" s="4">
        <v>8</v>
      </c>
      <c r="U396" s="5" t="s">
        <v>4090</v>
      </c>
      <c r="V396" s="5" t="s">
        <v>4090</v>
      </c>
      <c r="W396" s="5" t="s">
        <v>67</v>
      </c>
      <c r="X396" s="5" t="s">
        <v>67</v>
      </c>
      <c r="Y396" s="4">
        <v>73</v>
      </c>
      <c r="Z396" s="4">
        <v>8</v>
      </c>
      <c r="AA396" s="4">
        <v>9</v>
      </c>
      <c r="AB396" s="4">
        <v>1</v>
      </c>
      <c r="AC396" s="4">
        <v>2</v>
      </c>
      <c r="AD396" s="4">
        <v>32</v>
      </c>
      <c r="AE396" s="4">
        <v>33</v>
      </c>
      <c r="AF396" s="4">
        <v>0</v>
      </c>
      <c r="AG396" s="4">
        <v>1</v>
      </c>
      <c r="AH396" s="4">
        <v>29</v>
      </c>
      <c r="AI396" s="4">
        <v>29</v>
      </c>
      <c r="AJ396" s="4">
        <v>6</v>
      </c>
      <c r="AK396" s="4">
        <v>7</v>
      </c>
      <c r="AL396" s="4">
        <v>21</v>
      </c>
      <c r="AM396" s="4">
        <v>21</v>
      </c>
      <c r="AN396" s="4">
        <v>0</v>
      </c>
      <c r="AO396" s="4">
        <v>0</v>
      </c>
      <c r="AP396" s="4">
        <v>6</v>
      </c>
      <c r="AQ396" s="4">
        <v>7</v>
      </c>
      <c r="AR396" s="3" t="s">
        <v>62</v>
      </c>
      <c r="AS396" s="3" t="s">
        <v>62</v>
      </c>
      <c r="AT396" s="3" t="s">
        <v>61</v>
      </c>
      <c r="AU396" s="6" t="str">
        <f>HYPERLINK("http://catalog.hathitrust.org/Record/002934272","HathiTrust Record")</f>
        <v>HathiTrust Record</v>
      </c>
      <c r="AV396" s="6" t="str">
        <f>HYPERLINK("http://mcgill.on.worldcat.org/oclc/25631873","Catalog Record")</f>
        <v>Catalog Record</v>
      </c>
      <c r="AW396" s="6" t="str">
        <f>HYPERLINK("http://www.worldcat.org/oclc/25631873","WorldCat Record")</f>
        <v>WorldCat Record</v>
      </c>
      <c r="AX396" s="3" t="s">
        <v>4099</v>
      </c>
      <c r="AY396" s="3" t="s">
        <v>4100</v>
      </c>
      <c r="AZ396" s="3" t="s">
        <v>4101</v>
      </c>
      <c r="BA396" s="3" t="s">
        <v>4101</v>
      </c>
      <c r="BB396" s="3" t="s">
        <v>4102</v>
      </c>
      <c r="BC396" s="3" t="s">
        <v>102</v>
      </c>
      <c r="BD396" s="3" t="s">
        <v>68</v>
      </c>
      <c r="BE396" s="3" t="s">
        <v>4103</v>
      </c>
      <c r="BF396" s="3" t="s">
        <v>4102</v>
      </c>
      <c r="BG396" s="3" t="s">
        <v>4104</v>
      </c>
    </row>
    <row r="397" spans="1:59" ht="58" x14ac:dyDescent="0.35">
      <c r="A397" s="2" t="s">
        <v>89</v>
      </c>
      <c r="B397" s="2" t="s">
        <v>90</v>
      </c>
      <c r="C397" s="2" t="s">
        <v>4105</v>
      </c>
      <c r="D397" s="2" t="s">
        <v>4106</v>
      </c>
      <c r="E397" s="2" t="s">
        <v>4107</v>
      </c>
      <c r="G397" s="3" t="s">
        <v>62</v>
      </c>
      <c r="I397" s="3" t="s">
        <v>62</v>
      </c>
      <c r="J397" s="3" t="s">
        <v>62</v>
      </c>
      <c r="K397" s="3" t="s">
        <v>63</v>
      </c>
      <c r="M397" s="2" t="s">
        <v>4108</v>
      </c>
      <c r="N397" s="3" t="s">
        <v>524</v>
      </c>
      <c r="P397" s="3" t="s">
        <v>64</v>
      </c>
      <c r="Q397" s="2" t="s">
        <v>4109</v>
      </c>
      <c r="R397" s="3" t="s">
        <v>65</v>
      </c>
      <c r="S397" s="4">
        <v>1</v>
      </c>
      <c r="T397" s="4">
        <v>1</v>
      </c>
      <c r="U397" s="5" t="s">
        <v>627</v>
      </c>
      <c r="V397" s="5" t="s">
        <v>627</v>
      </c>
      <c r="W397" s="5" t="s">
        <v>67</v>
      </c>
      <c r="X397" s="5" t="s">
        <v>67</v>
      </c>
      <c r="Y397" s="4">
        <v>51</v>
      </c>
      <c r="Z397" s="4">
        <v>9</v>
      </c>
      <c r="AA397" s="4">
        <v>9</v>
      </c>
      <c r="AB397" s="4">
        <v>2</v>
      </c>
      <c r="AC397" s="4">
        <v>2</v>
      </c>
      <c r="AD397" s="4">
        <v>31</v>
      </c>
      <c r="AE397" s="4">
        <v>32</v>
      </c>
      <c r="AF397" s="4">
        <v>1</v>
      </c>
      <c r="AG397" s="4">
        <v>1</v>
      </c>
      <c r="AH397" s="4">
        <v>26</v>
      </c>
      <c r="AI397" s="4">
        <v>27</v>
      </c>
      <c r="AJ397" s="4">
        <v>7</v>
      </c>
      <c r="AK397" s="4">
        <v>7</v>
      </c>
      <c r="AL397" s="4">
        <v>21</v>
      </c>
      <c r="AM397" s="4">
        <v>22</v>
      </c>
      <c r="AN397" s="4">
        <v>0</v>
      </c>
      <c r="AO397" s="4">
        <v>0</v>
      </c>
      <c r="AP397" s="4">
        <v>7</v>
      </c>
      <c r="AQ397" s="4">
        <v>7</v>
      </c>
      <c r="AR397" s="3" t="s">
        <v>62</v>
      </c>
      <c r="AS397" s="3" t="s">
        <v>62</v>
      </c>
      <c r="AT397" s="3" t="s">
        <v>61</v>
      </c>
      <c r="AU397" s="6" t="str">
        <f>HYPERLINK("http://catalog.hathitrust.org/Record/003251366","HathiTrust Record")</f>
        <v>HathiTrust Record</v>
      </c>
      <c r="AV397" s="6" t="str">
        <f>HYPERLINK("http://mcgill.on.worldcat.org/oclc/34245844","Catalog Record")</f>
        <v>Catalog Record</v>
      </c>
      <c r="AW397" s="6" t="str">
        <f>HYPERLINK("http://www.worldcat.org/oclc/34245844","WorldCat Record")</f>
        <v>WorldCat Record</v>
      </c>
      <c r="AX397" s="3" t="s">
        <v>4110</v>
      </c>
      <c r="AY397" s="3" t="s">
        <v>4111</v>
      </c>
      <c r="AZ397" s="3" t="s">
        <v>4112</v>
      </c>
      <c r="BA397" s="3" t="s">
        <v>4112</v>
      </c>
      <c r="BB397" s="3" t="s">
        <v>4113</v>
      </c>
      <c r="BC397" s="3" t="s">
        <v>102</v>
      </c>
      <c r="BD397" s="3" t="s">
        <v>68</v>
      </c>
      <c r="BE397" s="3" t="s">
        <v>4114</v>
      </c>
      <c r="BF397" s="3" t="s">
        <v>4113</v>
      </c>
      <c r="BG397" s="3" t="s">
        <v>4115</v>
      </c>
    </row>
    <row r="398" spans="1:59" ht="58" x14ac:dyDescent="0.35">
      <c r="A398" s="2" t="s">
        <v>89</v>
      </c>
      <c r="B398" s="2" t="s">
        <v>90</v>
      </c>
      <c r="C398" s="2" t="s">
        <v>4116</v>
      </c>
      <c r="D398" s="2" t="s">
        <v>4117</v>
      </c>
      <c r="E398" s="2" t="s">
        <v>4118</v>
      </c>
      <c r="G398" s="3" t="s">
        <v>62</v>
      </c>
      <c r="I398" s="3" t="s">
        <v>62</v>
      </c>
      <c r="J398" s="3" t="s">
        <v>62</v>
      </c>
      <c r="K398" s="3" t="s">
        <v>63</v>
      </c>
      <c r="L398" s="2" t="s">
        <v>4119</v>
      </c>
      <c r="M398" s="2" t="s">
        <v>4120</v>
      </c>
      <c r="N398" s="3" t="s">
        <v>2085</v>
      </c>
      <c r="P398" s="3" t="s">
        <v>64</v>
      </c>
      <c r="Q398" s="2" t="s">
        <v>4121</v>
      </c>
      <c r="R398" s="3" t="s">
        <v>65</v>
      </c>
      <c r="S398" s="4">
        <v>0</v>
      </c>
      <c r="T398" s="4">
        <v>0</v>
      </c>
      <c r="W398" s="5" t="s">
        <v>906</v>
      </c>
      <c r="X398" s="5" t="s">
        <v>906</v>
      </c>
      <c r="Y398" s="4">
        <v>65</v>
      </c>
      <c r="Z398" s="4">
        <v>5</v>
      </c>
      <c r="AA398" s="4">
        <v>5</v>
      </c>
      <c r="AB398" s="4">
        <v>1</v>
      </c>
      <c r="AC398" s="4">
        <v>1</v>
      </c>
      <c r="AD398" s="4">
        <v>33</v>
      </c>
      <c r="AE398" s="4">
        <v>33</v>
      </c>
      <c r="AF398" s="4">
        <v>0</v>
      </c>
      <c r="AG398" s="4">
        <v>0</v>
      </c>
      <c r="AH398" s="4">
        <v>30</v>
      </c>
      <c r="AI398" s="4">
        <v>30</v>
      </c>
      <c r="AJ398" s="4">
        <v>3</v>
      </c>
      <c r="AK398" s="4">
        <v>3</v>
      </c>
      <c r="AL398" s="4">
        <v>21</v>
      </c>
      <c r="AM398" s="4">
        <v>21</v>
      </c>
      <c r="AN398" s="4">
        <v>0</v>
      </c>
      <c r="AO398" s="4">
        <v>0</v>
      </c>
      <c r="AP398" s="4">
        <v>4</v>
      </c>
      <c r="AQ398" s="4">
        <v>4</v>
      </c>
      <c r="AR398" s="3" t="s">
        <v>62</v>
      </c>
      <c r="AS398" s="3" t="s">
        <v>62</v>
      </c>
      <c r="AT398" s="3" t="s">
        <v>62</v>
      </c>
      <c r="AV398" s="6" t="str">
        <f>HYPERLINK("http://mcgill.on.worldcat.org/oclc/1021068551","Catalog Record")</f>
        <v>Catalog Record</v>
      </c>
      <c r="AW398" s="6" t="str">
        <f>HYPERLINK("http://www.worldcat.org/oclc/1021068551","WorldCat Record")</f>
        <v>WorldCat Record</v>
      </c>
      <c r="AX398" s="3" t="s">
        <v>4122</v>
      </c>
      <c r="AY398" s="3" t="s">
        <v>4123</v>
      </c>
      <c r="AZ398" s="3" t="s">
        <v>4124</v>
      </c>
      <c r="BA398" s="3" t="s">
        <v>4124</v>
      </c>
      <c r="BB398" s="3" t="s">
        <v>4125</v>
      </c>
      <c r="BC398" s="3" t="s">
        <v>102</v>
      </c>
      <c r="BD398" s="3" t="s">
        <v>68</v>
      </c>
      <c r="BE398" s="3" t="s">
        <v>4126</v>
      </c>
      <c r="BF398" s="3" t="s">
        <v>4125</v>
      </c>
      <c r="BG398" s="3" t="s">
        <v>4127</v>
      </c>
    </row>
    <row r="399" spans="1:59" ht="58" x14ac:dyDescent="0.35">
      <c r="A399" s="2" t="s">
        <v>89</v>
      </c>
      <c r="B399" s="2" t="s">
        <v>90</v>
      </c>
      <c r="C399" s="2" t="s">
        <v>4128</v>
      </c>
      <c r="D399" s="2" t="s">
        <v>4129</v>
      </c>
      <c r="E399" s="2" t="s">
        <v>4130</v>
      </c>
      <c r="G399" s="3" t="s">
        <v>62</v>
      </c>
      <c r="I399" s="3" t="s">
        <v>62</v>
      </c>
      <c r="J399" s="3" t="s">
        <v>62</v>
      </c>
      <c r="K399" s="3" t="s">
        <v>63</v>
      </c>
      <c r="L399" s="2" t="s">
        <v>4131</v>
      </c>
      <c r="M399" s="2" t="s">
        <v>4132</v>
      </c>
      <c r="N399" s="3" t="s">
        <v>1038</v>
      </c>
      <c r="O399" s="2" t="s">
        <v>1941</v>
      </c>
      <c r="P399" s="3" t="s">
        <v>64</v>
      </c>
      <c r="Q399" s="2" t="s">
        <v>4133</v>
      </c>
      <c r="R399" s="3" t="s">
        <v>65</v>
      </c>
      <c r="S399" s="4">
        <v>1</v>
      </c>
      <c r="T399" s="4">
        <v>1</v>
      </c>
      <c r="U399" s="5" t="s">
        <v>4134</v>
      </c>
      <c r="V399" s="5" t="s">
        <v>4134</v>
      </c>
      <c r="W399" s="5" t="s">
        <v>67</v>
      </c>
      <c r="X399" s="5" t="s">
        <v>67</v>
      </c>
      <c r="Y399" s="4">
        <v>355</v>
      </c>
      <c r="Z399" s="4">
        <v>22</v>
      </c>
      <c r="AA399" s="4">
        <v>25</v>
      </c>
      <c r="AB399" s="4">
        <v>2</v>
      </c>
      <c r="AC399" s="4">
        <v>5</v>
      </c>
      <c r="AD399" s="4">
        <v>98</v>
      </c>
      <c r="AE399" s="4">
        <v>99</v>
      </c>
      <c r="AF399" s="4">
        <v>1</v>
      </c>
      <c r="AG399" s="4">
        <v>2</v>
      </c>
      <c r="AH399" s="4">
        <v>84</v>
      </c>
      <c r="AI399" s="4">
        <v>84</v>
      </c>
      <c r="AJ399" s="4">
        <v>12</v>
      </c>
      <c r="AK399" s="4">
        <v>13</v>
      </c>
      <c r="AL399" s="4">
        <v>46</v>
      </c>
      <c r="AM399" s="4">
        <v>46</v>
      </c>
      <c r="AN399" s="4">
        <v>0</v>
      </c>
      <c r="AO399" s="4">
        <v>0</v>
      </c>
      <c r="AP399" s="4">
        <v>20</v>
      </c>
      <c r="AQ399" s="4">
        <v>20</v>
      </c>
      <c r="AR399" s="3" t="s">
        <v>62</v>
      </c>
      <c r="AS399" s="3" t="s">
        <v>62</v>
      </c>
      <c r="AT399" s="3" t="s">
        <v>62</v>
      </c>
      <c r="AV399" s="6" t="str">
        <f>HYPERLINK("http://mcgill.on.worldcat.org/oclc/945953035","Catalog Record")</f>
        <v>Catalog Record</v>
      </c>
      <c r="AW399" s="6" t="str">
        <f>HYPERLINK("http://www.worldcat.org/oclc/945953035","WorldCat Record")</f>
        <v>WorldCat Record</v>
      </c>
      <c r="AX399" s="3" t="s">
        <v>4135</v>
      </c>
      <c r="AY399" s="3" t="s">
        <v>4136</v>
      </c>
      <c r="AZ399" s="3" t="s">
        <v>4137</v>
      </c>
      <c r="BA399" s="3" t="s">
        <v>4137</v>
      </c>
      <c r="BB399" s="3" t="s">
        <v>4138</v>
      </c>
      <c r="BC399" s="3" t="s">
        <v>102</v>
      </c>
      <c r="BD399" s="3" t="s">
        <v>68</v>
      </c>
      <c r="BE399" s="3" t="s">
        <v>4139</v>
      </c>
      <c r="BF399" s="3" t="s">
        <v>4138</v>
      </c>
      <c r="BG399" s="3" t="s">
        <v>4140</v>
      </c>
    </row>
    <row r="400" spans="1:59" ht="58" x14ac:dyDescent="0.35">
      <c r="A400" s="2" t="s">
        <v>89</v>
      </c>
      <c r="B400" s="2" t="s">
        <v>90</v>
      </c>
      <c r="C400" s="2" t="s">
        <v>4141</v>
      </c>
      <c r="D400" s="2" t="s">
        <v>4142</v>
      </c>
      <c r="E400" s="2" t="s">
        <v>4143</v>
      </c>
      <c r="F400" s="3" t="s">
        <v>2248</v>
      </c>
      <c r="G400" s="3" t="s">
        <v>61</v>
      </c>
      <c r="I400" s="3" t="s">
        <v>62</v>
      </c>
      <c r="J400" s="3" t="s">
        <v>62</v>
      </c>
      <c r="K400" s="3" t="s">
        <v>63</v>
      </c>
      <c r="L400" s="2" t="s">
        <v>4144</v>
      </c>
      <c r="M400" s="2" t="s">
        <v>4145</v>
      </c>
      <c r="N400" s="3" t="s">
        <v>2975</v>
      </c>
      <c r="P400" s="3" t="s">
        <v>64</v>
      </c>
      <c r="Q400" s="2" t="s">
        <v>4146</v>
      </c>
      <c r="R400" s="3" t="s">
        <v>65</v>
      </c>
      <c r="S400" s="4">
        <v>2</v>
      </c>
      <c r="T400" s="4">
        <v>13</v>
      </c>
      <c r="U400" s="5" t="s">
        <v>4147</v>
      </c>
      <c r="V400" s="5" t="s">
        <v>4147</v>
      </c>
      <c r="W400" s="5" t="s">
        <v>67</v>
      </c>
      <c r="X400" s="5" t="s">
        <v>67</v>
      </c>
      <c r="Y400" s="4">
        <v>236</v>
      </c>
      <c r="Z400" s="4">
        <v>11</v>
      </c>
      <c r="AA400" s="4">
        <v>14</v>
      </c>
      <c r="AB400" s="4">
        <v>1</v>
      </c>
      <c r="AC400" s="4">
        <v>2</v>
      </c>
      <c r="AD400" s="4">
        <v>74</v>
      </c>
      <c r="AE400" s="4">
        <v>76</v>
      </c>
      <c r="AF400" s="4">
        <v>0</v>
      </c>
      <c r="AG400" s="4">
        <v>1</v>
      </c>
      <c r="AH400" s="4">
        <v>68</v>
      </c>
      <c r="AI400" s="4">
        <v>69</v>
      </c>
      <c r="AJ400" s="4">
        <v>8</v>
      </c>
      <c r="AK400" s="4">
        <v>10</v>
      </c>
      <c r="AL400" s="4">
        <v>42</v>
      </c>
      <c r="AM400" s="4">
        <v>43</v>
      </c>
      <c r="AN400" s="4">
        <v>0</v>
      </c>
      <c r="AO400" s="4">
        <v>0</v>
      </c>
      <c r="AP400" s="4">
        <v>10</v>
      </c>
      <c r="AQ400" s="4">
        <v>11</v>
      </c>
      <c r="AR400" s="3" t="s">
        <v>62</v>
      </c>
      <c r="AS400" s="3" t="s">
        <v>62</v>
      </c>
      <c r="AT400" s="3" t="s">
        <v>61</v>
      </c>
      <c r="AU400" s="6" t="str">
        <f>HYPERLINK("http://catalog.hathitrust.org/Record/005051040","HathiTrust Record")</f>
        <v>HathiTrust Record</v>
      </c>
      <c r="AV400" s="6" t="str">
        <f>HYPERLINK("http://mcgill.on.worldcat.org/oclc/55109140","Catalog Record")</f>
        <v>Catalog Record</v>
      </c>
      <c r="AW400" s="6" t="str">
        <f>HYPERLINK("http://www.worldcat.org/oclc/55109140","WorldCat Record")</f>
        <v>WorldCat Record</v>
      </c>
      <c r="AX400" s="3" t="s">
        <v>4148</v>
      </c>
      <c r="AY400" s="3" t="s">
        <v>4149</v>
      </c>
      <c r="AZ400" s="3" t="s">
        <v>4150</v>
      </c>
      <c r="BA400" s="3" t="s">
        <v>4150</v>
      </c>
      <c r="BB400" s="3" t="s">
        <v>4151</v>
      </c>
      <c r="BC400" s="3" t="s">
        <v>102</v>
      </c>
      <c r="BD400" s="3" t="s">
        <v>231</v>
      </c>
      <c r="BE400" s="3" t="s">
        <v>4152</v>
      </c>
      <c r="BF400" s="3" t="s">
        <v>4151</v>
      </c>
      <c r="BG400" s="3" t="s">
        <v>4153</v>
      </c>
    </row>
    <row r="401" spans="1:59" ht="58" x14ac:dyDescent="0.35">
      <c r="A401" s="2" t="s">
        <v>89</v>
      </c>
      <c r="B401" s="2" t="s">
        <v>90</v>
      </c>
      <c r="C401" s="2" t="s">
        <v>4141</v>
      </c>
      <c r="D401" s="2" t="s">
        <v>4142</v>
      </c>
      <c r="E401" s="2" t="s">
        <v>4143</v>
      </c>
      <c r="F401" s="3" t="s">
        <v>2233</v>
      </c>
      <c r="G401" s="3" t="s">
        <v>61</v>
      </c>
      <c r="I401" s="3" t="s">
        <v>62</v>
      </c>
      <c r="J401" s="3" t="s">
        <v>62</v>
      </c>
      <c r="K401" s="3" t="s">
        <v>63</v>
      </c>
      <c r="L401" s="2" t="s">
        <v>4144</v>
      </c>
      <c r="M401" s="2" t="s">
        <v>4145</v>
      </c>
      <c r="N401" s="3" t="s">
        <v>2975</v>
      </c>
      <c r="P401" s="3" t="s">
        <v>64</v>
      </c>
      <c r="Q401" s="2" t="s">
        <v>4146</v>
      </c>
      <c r="R401" s="3" t="s">
        <v>65</v>
      </c>
      <c r="S401" s="4">
        <v>6</v>
      </c>
      <c r="T401" s="4">
        <v>13</v>
      </c>
      <c r="U401" s="5" t="s">
        <v>4147</v>
      </c>
      <c r="V401" s="5" t="s">
        <v>4147</v>
      </c>
      <c r="W401" s="5" t="s">
        <v>67</v>
      </c>
      <c r="X401" s="5" t="s">
        <v>67</v>
      </c>
      <c r="Y401" s="4">
        <v>236</v>
      </c>
      <c r="Z401" s="4">
        <v>11</v>
      </c>
      <c r="AA401" s="4">
        <v>14</v>
      </c>
      <c r="AB401" s="4">
        <v>1</v>
      </c>
      <c r="AC401" s="4">
        <v>2</v>
      </c>
      <c r="AD401" s="4">
        <v>74</v>
      </c>
      <c r="AE401" s="4">
        <v>76</v>
      </c>
      <c r="AF401" s="4">
        <v>0</v>
      </c>
      <c r="AG401" s="4">
        <v>1</v>
      </c>
      <c r="AH401" s="4">
        <v>68</v>
      </c>
      <c r="AI401" s="4">
        <v>69</v>
      </c>
      <c r="AJ401" s="4">
        <v>8</v>
      </c>
      <c r="AK401" s="4">
        <v>10</v>
      </c>
      <c r="AL401" s="4">
        <v>42</v>
      </c>
      <c r="AM401" s="4">
        <v>43</v>
      </c>
      <c r="AN401" s="4">
        <v>0</v>
      </c>
      <c r="AO401" s="4">
        <v>0</v>
      </c>
      <c r="AP401" s="4">
        <v>10</v>
      </c>
      <c r="AQ401" s="4">
        <v>11</v>
      </c>
      <c r="AR401" s="3" t="s">
        <v>62</v>
      </c>
      <c r="AS401" s="3" t="s">
        <v>62</v>
      </c>
      <c r="AT401" s="3" t="s">
        <v>61</v>
      </c>
      <c r="AU401" s="6" t="str">
        <f>HYPERLINK("http://catalog.hathitrust.org/Record/005051040","HathiTrust Record")</f>
        <v>HathiTrust Record</v>
      </c>
      <c r="AV401" s="6" t="str">
        <f>HYPERLINK("http://mcgill.on.worldcat.org/oclc/55109140","Catalog Record")</f>
        <v>Catalog Record</v>
      </c>
      <c r="AW401" s="6" t="str">
        <f>HYPERLINK("http://www.worldcat.org/oclc/55109140","WorldCat Record")</f>
        <v>WorldCat Record</v>
      </c>
      <c r="AX401" s="3" t="s">
        <v>4148</v>
      </c>
      <c r="AY401" s="3" t="s">
        <v>4149</v>
      </c>
      <c r="AZ401" s="3" t="s">
        <v>4150</v>
      </c>
      <c r="BA401" s="3" t="s">
        <v>4150</v>
      </c>
      <c r="BB401" s="3" t="s">
        <v>4154</v>
      </c>
      <c r="BC401" s="3" t="s">
        <v>102</v>
      </c>
      <c r="BD401" s="3" t="s">
        <v>231</v>
      </c>
      <c r="BE401" s="3" t="s">
        <v>4152</v>
      </c>
      <c r="BF401" s="3" t="s">
        <v>4154</v>
      </c>
      <c r="BG401" s="3" t="s">
        <v>4155</v>
      </c>
    </row>
    <row r="402" spans="1:59" ht="58" x14ac:dyDescent="0.35">
      <c r="A402" s="2" t="s">
        <v>89</v>
      </c>
      <c r="B402" s="2" t="s">
        <v>90</v>
      </c>
      <c r="C402" s="2" t="s">
        <v>4141</v>
      </c>
      <c r="D402" s="2" t="s">
        <v>4142</v>
      </c>
      <c r="E402" s="2" t="s">
        <v>4143</v>
      </c>
      <c r="F402" s="3" t="s">
        <v>2217</v>
      </c>
      <c r="G402" s="3" t="s">
        <v>61</v>
      </c>
      <c r="I402" s="3" t="s">
        <v>62</v>
      </c>
      <c r="J402" s="3" t="s">
        <v>62</v>
      </c>
      <c r="K402" s="3" t="s">
        <v>63</v>
      </c>
      <c r="L402" s="2" t="s">
        <v>4144</v>
      </c>
      <c r="M402" s="2" t="s">
        <v>4145</v>
      </c>
      <c r="N402" s="3" t="s">
        <v>2975</v>
      </c>
      <c r="P402" s="3" t="s">
        <v>64</v>
      </c>
      <c r="Q402" s="2" t="s">
        <v>4146</v>
      </c>
      <c r="R402" s="3" t="s">
        <v>65</v>
      </c>
      <c r="S402" s="4">
        <v>5</v>
      </c>
      <c r="T402" s="4">
        <v>13</v>
      </c>
      <c r="U402" s="5" t="s">
        <v>4147</v>
      </c>
      <c r="V402" s="5" t="s">
        <v>4147</v>
      </c>
      <c r="W402" s="5" t="s">
        <v>67</v>
      </c>
      <c r="X402" s="5" t="s">
        <v>67</v>
      </c>
      <c r="Y402" s="4">
        <v>236</v>
      </c>
      <c r="Z402" s="4">
        <v>11</v>
      </c>
      <c r="AA402" s="4">
        <v>14</v>
      </c>
      <c r="AB402" s="4">
        <v>1</v>
      </c>
      <c r="AC402" s="4">
        <v>2</v>
      </c>
      <c r="AD402" s="4">
        <v>74</v>
      </c>
      <c r="AE402" s="4">
        <v>76</v>
      </c>
      <c r="AF402" s="4">
        <v>0</v>
      </c>
      <c r="AG402" s="4">
        <v>1</v>
      </c>
      <c r="AH402" s="4">
        <v>68</v>
      </c>
      <c r="AI402" s="4">
        <v>69</v>
      </c>
      <c r="AJ402" s="4">
        <v>8</v>
      </c>
      <c r="AK402" s="4">
        <v>10</v>
      </c>
      <c r="AL402" s="4">
        <v>42</v>
      </c>
      <c r="AM402" s="4">
        <v>43</v>
      </c>
      <c r="AN402" s="4">
        <v>0</v>
      </c>
      <c r="AO402" s="4">
        <v>0</v>
      </c>
      <c r="AP402" s="4">
        <v>10</v>
      </c>
      <c r="AQ402" s="4">
        <v>11</v>
      </c>
      <c r="AR402" s="3" t="s">
        <v>62</v>
      </c>
      <c r="AS402" s="3" t="s">
        <v>62</v>
      </c>
      <c r="AT402" s="3" t="s">
        <v>61</v>
      </c>
      <c r="AU402" s="6" t="str">
        <f>HYPERLINK("http://catalog.hathitrust.org/Record/005051040","HathiTrust Record")</f>
        <v>HathiTrust Record</v>
      </c>
      <c r="AV402" s="6" t="str">
        <f>HYPERLINK("http://mcgill.on.worldcat.org/oclc/55109140","Catalog Record")</f>
        <v>Catalog Record</v>
      </c>
      <c r="AW402" s="6" t="str">
        <f>HYPERLINK("http://www.worldcat.org/oclc/55109140","WorldCat Record")</f>
        <v>WorldCat Record</v>
      </c>
      <c r="AX402" s="3" t="s">
        <v>4148</v>
      </c>
      <c r="AY402" s="3" t="s">
        <v>4149</v>
      </c>
      <c r="AZ402" s="3" t="s">
        <v>4150</v>
      </c>
      <c r="BA402" s="3" t="s">
        <v>4150</v>
      </c>
      <c r="BB402" s="3" t="s">
        <v>4156</v>
      </c>
      <c r="BC402" s="3" t="s">
        <v>102</v>
      </c>
      <c r="BD402" s="3" t="s">
        <v>231</v>
      </c>
      <c r="BE402" s="3" t="s">
        <v>4152</v>
      </c>
      <c r="BF402" s="3" t="s">
        <v>4156</v>
      </c>
      <c r="BG402" s="3" t="s">
        <v>4157</v>
      </c>
    </row>
    <row r="403" spans="1:59" ht="58" x14ac:dyDescent="0.35">
      <c r="A403" s="2" t="s">
        <v>89</v>
      </c>
      <c r="B403" s="2" t="s">
        <v>90</v>
      </c>
      <c r="C403" s="2" t="s">
        <v>4158</v>
      </c>
      <c r="D403" s="2" t="s">
        <v>4159</v>
      </c>
      <c r="E403" s="2" t="s">
        <v>4160</v>
      </c>
      <c r="G403" s="3" t="s">
        <v>62</v>
      </c>
      <c r="I403" s="3" t="s">
        <v>61</v>
      </c>
      <c r="J403" s="3" t="s">
        <v>62</v>
      </c>
      <c r="K403" s="3" t="s">
        <v>63</v>
      </c>
      <c r="L403" s="2" t="s">
        <v>4161</v>
      </c>
      <c r="M403" s="2" t="s">
        <v>4162</v>
      </c>
      <c r="N403" s="3" t="s">
        <v>1639</v>
      </c>
      <c r="P403" s="3" t="s">
        <v>64</v>
      </c>
      <c r="R403" s="3" t="s">
        <v>65</v>
      </c>
      <c r="S403" s="4">
        <v>12</v>
      </c>
      <c r="T403" s="4">
        <v>21</v>
      </c>
      <c r="U403" s="5" t="s">
        <v>4163</v>
      </c>
      <c r="V403" s="5" t="s">
        <v>4163</v>
      </c>
      <c r="W403" s="5" t="s">
        <v>67</v>
      </c>
      <c r="X403" s="5" t="s">
        <v>67</v>
      </c>
      <c r="Y403" s="4">
        <v>898</v>
      </c>
      <c r="Z403" s="4">
        <v>29</v>
      </c>
      <c r="AA403" s="4">
        <v>35</v>
      </c>
      <c r="AB403" s="4">
        <v>2</v>
      </c>
      <c r="AC403" s="4">
        <v>4</v>
      </c>
      <c r="AD403" s="4">
        <v>122</v>
      </c>
      <c r="AE403" s="4">
        <v>134</v>
      </c>
      <c r="AF403" s="4">
        <v>1</v>
      </c>
      <c r="AG403" s="4">
        <v>3</v>
      </c>
      <c r="AH403" s="4">
        <v>102</v>
      </c>
      <c r="AI403" s="4">
        <v>109</v>
      </c>
      <c r="AJ403" s="4">
        <v>18</v>
      </c>
      <c r="AK403" s="4">
        <v>22</v>
      </c>
      <c r="AL403" s="4">
        <v>55</v>
      </c>
      <c r="AM403" s="4">
        <v>58</v>
      </c>
      <c r="AN403" s="4">
        <v>0</v>
      </c>
      <c r="AO403" s="4">
        <v>0</v>
      </c>
      <c r="AP403" s="4">
        <v>24</v>
      </c>
      <c r="AQ403" s="4">
        <v>29</v>
      </c>
      <c r="AR403" s="3" t="s">
        <v>62</v>
      </c>
      <c r="AS403" s="3" t="s">
        <v>62</v>
      </c>
      <c r="AT403" s="3" t="s">
        <v>62</v>
      </c>
      <c r="AV403" s="6" t="str">
        <f>HYPERLINK("http://mcgill.on.worldcat.org/oclc/109727","Catalog Record")</f>
        <v>Catalog Record</v>
      </c>
      <c r="AW403" s="6" t="str">
        <f>HYPERLINK("http://www.worldcat.org/oclc/109727","WorldCat Record")</f>
        <v>WorldCat Record</v>
      </c>
      <c r="AX403" s="3" t="s">
        <v>4164</v>
      </c>
      <c r="AY403" s="3" t="s">
        <v>4165</v>
      </c>
      <c r="AZ403" s="3" t="s">
        <v>4166</v>
      </c>
      <c r="BA403" s="3" t="s">
        <v>4166</v>
      </c>
      <c r="BB403" s="3" t="s">
        <v>4167</v>
      </c>
      <c r="BC403" s="3" t="s">
        <v>102</v>
      </c>
      <c r="BD403" s="3" t="s">
        <v>68</v>
      </c>
      <c r="BE403" s="3" t="s">
        <v>4168</v>
      </c>
      <c r="BF403" s="3" t="s">
        <v>4167</v>
      </c>
      <c r="BG403" s="3" t="s">
        <v>4169</v>
      </c>
    </row>
    <row r="404" spans="1:59" ht="58" x14ac:dyDescent="0.35">
      <c r="A404" s="2" t="s">
        <v>89</v>
      </c>
      <c r="B404" s="2" t="s">
        <v>90</v>
      </c>
      <c r="C404" s="2" t="s">
        <v>4170</v>
      </c>
      <c r="D404" s="2" t="s">
        <v>4171</v>
      </c>
      <c r="E404" s="2" t="s">
        <v>4172</v>
      </c>
      <c r="G404" s="3" t="s">
        <v>62</v>
      </c>
      <c r="I404" s="3" t="s">
        <v>62</v>
      </c>
      <c r="J404" s="3" t="s">
        <v>62</v>
      </c>
      <c r="K404" s="3" t="s">
        <v>63</v>
      </c>
      <c r="L404" s="2" t="s">
        <v>4173</v>
      </c>
      <c r="M404" s="2" t="s">
        <v>4174</v>
      </c>
      <c r="N404" s="3" t="s">
        <v>78</v>
      </c>
      <c r="P404" s="3" t="s">
        <v>64</v>
      </c>
      <c r="Q404" s="2" t="s">
        <v>4175</v>
      </c>
      <c r="R404" s="3" t="s">
        <v>65</v>
      </c>
      <c r="S404" s="4">
        <v>4</v>
      </c>
      <c r="T404" s="4">
        <v>4</v>
      </c>
      <c r="U404" s="5" t="s">
        <v>4176</v>
      </c>
      <c r="V404" s="5" t="s">
        <v>4176</v>
      </c>
      <c r="W404" s="5" t="s">
        <v>67</v>
      </c>
      <c r="X404" s="5" t="s">
        <v>67</v>
      </c>
      <c r="Y404" s="4">
        <v>179</v>
      </c>
      <c r="Z404" s="4">
        <v>13</v>
      </c>
      <c r="AA404" s="4">
        <v>13</v>
      </c>
      <c r="AB404" s="4">
        <v>1</v>
      </c>
      <c r="AC404" s="4">
        <v>1</v>
      </c>
      <c r="AD404" s="4">
        <v>62</v>
      </c>
      <c r="AE404" s="4">
        <v>63</v>
      </c>
      <c r="AF404" s="4">
        <v>0</v>
      </c>
      <c r="AG404" s="4">
        <v>0</v>
      </c>
      <c r="AH404" s="4">
        <v>55</v>
      </c>
      <c r="AI404" s="4">
        <v>56</v>
      </c>
      <c r="AJ404" s="4">
        <v>10</v>
      </c>
      <c r="AK404" s="4">
        <v>10</v>
      </c>
      <c r="AL404" s="4">
        <v>33</v>
      </c>
      <c r="AM404" s="4">
        <v>34</v>
      </c>
      <c r="AN404" s="4">
        <v>0</v>
      </c>
      <c r="AO404" s="4">
        <v>0</v>
      </c>
      <c r="AP404" s="4">
        <v>10</v>
      </c>
      <c r="AQ404" s="4">
        <v>10</v>
      </c>
      <c r="AR404" s="3" t="s">
        <v>62</v>
      </c>
      <c r="AS404" s="3" t="s">
        <v>62</v>
      </c>
      <c r="AT404" s="3" t="s">
        <v>61</v>
      </c>
      <c r="AU404" s="6" t="str">
        <f>HYPERLINK("http://catalog.hathitrust.org/Record/007939267","HathiTrust Record")</f>
        <v>HathiTrust Record</v>
      </c>
      <c r="AV404" s="6" t="str">
        <f>HYPERLINK("http://mcgill.on.worldcat.org/oclc/1704646","Catalog Record")</f>
        <v>Catalog Record</v>
      </c>
      <c r="AW404" s="6" t="str">
        <f>HYPERLINK("http://www.worldcat.org/oclc/1704646","WorldCat Record")</f>
        <v>WorldCat Record</v>
      </c>
      <c r="AX404" s="3" t="s">
        <v>4177</v>
      </c>
      <c r="AY404" s="3" t="s">
        <v>4178</v>
      </c>
      <c r="AZ404" s="3" t="s">
        <v>4179</v>
      </c>
      <c r="BA404" s="3" t="s">
        <v>4179</v>
      </c>
      <c r="BB404" s="3" t="s">
        <v>4180</v>
      </c>
      <c r="BC404" s="3" t="s">
        <v>102</v>
      </c>
      <c r="BD404" s="3" t="s">
        <v>68</v>
      </c>
      <c r="BF404" s="3" t="s">
        <v>4180</v>
      </c>
      <c r="BG404" s="3" t="s">
        <v>4181</v>
      </c>
    </row>
    <row r="405" spans="1:59" ht="58" x14ac:dyDescent="0.35">
      <c r="A405" s="2" t="s">
        <v>89</v>
      </c>
      <c r="B405" s="2" t="s">
        <v>90</v>
      </c>
      <c r="C405" s="2" t="s">
        <v>4182</v>
      </c>
      <c r="D405" s="2" t="s">
        <v>4183</v>
      </c>
      <c r="E405" s="2" t="s">
        <v>4184</v>
      </c>
      <c r="G405" s="3" t="s">
        <v>62</v>
      </c>
      <c r="I405" s="3" t="s">
        <v>62</v>
      </c>
      <c r="J405" s="3" t="s">
        <v>62</v>
      </c>
      <c r="K405" s="3" t="s">
        <v>63</v>
      </c>
      <c r="L405" s="2" t="s">
        <v>4185</v>
      </c>
      <c r="M405" s="2" t="s">
        <v>4186</v>
      </c>
      <c r="N405" s="3" t="s">
        <v>481</v>
      </c>
      <c r="P405" s="3" t="s">
        <v>64</v>
      </c>
      <c r="R405" s="3" t="s">
        <v>65</v>
      </c>
      <c r="S405" s="4">
        <v>5</v>
      </c>
      <c r="T405" s="4">
        <v>5</v>
      </c>
      <c r="U405" s="5" t="s">
        <v>4187</v>
      </c>
      <c r="V405" s="5" t="s">
        <v>4187</v>
      </c>
      <c r="W405" s="5" t="s">
        <v>67</v>
      </c>
      <c r="X405" s="5" t="s">
        <v>67</v>
      </c>
      <c r="Y405" s="4">
        <v>328</v>
      </c>
      <c r="Z405" s="4">
        <v>19</v>
      </c>
      <c r="AA405" s="4">
        <v>20</v>
      </c>
      <c r="AB405" s="4">
        <v>2</v>
      </c>
      <c r="AC405" s="4">
        <v>3</v>
      </c>
      <c r="AD405" s="4">
        <v>104</v>
      </c>
      <c r="AE405" s="4">
        <v>105</v>
      </c>
      <c r="AF405" s="4">
        <v>0</v>
      </c>
      <c r="AG405" s="4">
        <v>1</v>
      </c>
      <c r="AH405" s="4">
        <v>94</v>
      </c>
      <c r="AI405" s="4">
        <v>94</v>
      </c>
      <c r="AJ405" s="4">
        <v>12</v>
      </c>
      <c r="AK405" s="4">
        <v>13</v>
      </c>
      <c r="AL405" s="4">
        <v>54</v>
      </c>
      <c r="AM405" s="4">
        <v>54</v>
      </c>
      <c r="AN405" s="4">
        <v>0</v>
      </c>
      <c r="AO405" s="4">
        <v>0</v>
      </c>
      <c r="AP405" s="4">
        <v>15</v>
      </c>
      <c r="AQ405" s="4">
        <v>15</v>
      </c>
      <c r="AR405" s="3" t="s">
        <v>62</v>
      </c>
      <c r="AS405" s="3" t="s">
        <v>62</v>
      </c>
      <c r="AT405" s="3" t="s">
        <v>62</v>
      </c>
      <c r="AV405" s="6" t="str">
        <f>HYPERLINK("http://mcgill.on.worldcat.org/oclc/35911168","Catalog Record")</f>
        <v>Catalog Record</v>
      </c>
      <c r="AW405" s="6" t="str">
        <f>HYPERLINK("http://www.worldcat.org/oclc/35911168","WorldCat Record")</f>
        <v>WorldCat Record</v>
      </c>
      <c r="AX405" s="3" t="s">
        <v>4188</v>
      </c>
      <c r="AY405" s="3" t="s">
        <v>4189</v>
      </c>
      <c r="AZ405" s="3" t="s">
        <v>4190</v>
      </c>
      <c r="BA405" s="3" t="s">
        <v>4190</v>
      </c>
      <c r="BB405" s="3" t="s">
        <v>4191</v>
      </c>
      <c r="BC405" s="3" t="s">
        <v>102</v>
      </c>
      <c r="BD405" s="3" t="s">
        <v>68</v>
      </c>
      <c r="BE405" s="3" t="s">
        <v>4192</v>
      </c>
      <c r="BF405" s="3" t="s">
        <v>4191</v>
      </c>
      <c r="BG405" s="3" t="s">
        <v>4193</v>
      </c>
    </row>
    <row r="406" spans="1:59" ht="58" x14ac:dyDescent="0.35">
      <c r="A406" s="2" t="s">
        <v>89</v>
      </c>
      <c r="B406" s="2" t="s">
        <v>90</v>
      </c>
      <c r="C406" s="2" t="s">
        <v>4194</v>
      </c>
      <c r="D406" s="2" t="s">
        <v>4195</v>
      </c>
      <c r="E406" s="2" t="s">
        <v>4196</v>
      </c>
      <c r="G406" s="3" t="s">
        <v>62</v>
      </c>
      <c r="I406" s="3" t="s">
        <v>62</v>
      </c>
      <c r="J406" s="3" t="s">
        <v>62</v>
      </c>
      <c r="K406" s="3" t="s">
        <v>63</v>
      </c>
      <c r="L406" s="2" t="s">
        <v>4197</v>
      </c>
      <c r="M406" s="2" t="s">
        <v>4198</v>
      </c>
      <c r="N406" s="3" t="s">
        <v>539</v>
      </c>
      <c r="P406" s="3" t="s">
        <v>64</v>
      </c>
      <c r="R406" s="3" t="s">
        <v>65</v>
      </c>
      <c r="S406" s="4">
        <v>15</v>
      </c>
      <c r="T406" s="4">
        <v>15</v>
      </c>
      <c r="U406" s="5" t="s">
        <v>4199</v>
      </c>
      <c r="V406" s="5" t="s">
        <v>4199</v>
      </c>
      <c r="W406" s="5" t="s">
        <v>67</v>
      </c>
      <c r="X406" s="5" t="s">
        <v>67</v>
      </c>
      <c r="Y406" s="4">
        <v>183</v>
      </c>
      <c r="Z406" s="4">
        <v>12</v>
      </c>
      <c r="AA406" s="4">
        <v>15</v>
      </c>
      <c r="AB406" s="4">
        <v>1</v>
      </c>
      <c r="AC406" s="4">
        <v>4</v>
      </c>
      <c r="AD406" s="4">
        <v>82</v>
      </c>
      <c r="AE406" s="4">
        <v>84</v>
      </c>
      <c r="AF406" s="4">
        <v>0</v>
      </c>
      <c r="AG406" s="4">
        <v>1</v>
      </c>
      <c r="AH406" s="4">
        <v>77</v>
      </c>
      <c r="AI406" s="4">
        <v>78</v>
      </c>
      <c r="AJ406" s="4">
        <v>9</v>
      </c>
      <c r="AK406" s="4">
        <v>10</v>
      </c>
      <c r="AL406" s="4">
        <v>47</v>
      </c>
      <c r="AM406" s="4">
        <v>48</v>
      </c>
      <c r="AN406" s="4">
        <v>0</v>
      </c>
      <c r="AO406" s="4">
        <v>0</v>
      </c>
      <c r="AP406" s="4">
        <v>9</v>
      </c>
      <c r="AQ406" s="4">
        <v>9</v>
      </c>
      <c r="AR406" s="3" t="s">
        <v>62</v>
      </c>
      <c r="AS406" s="3" t="s">
        <v>62</v>
      </c>
      <c r="AT406" s="3" t="s">
        <v>62</v>
      </c>
      <c r="AV406" s="6" t="str">
        <f>HYPERLINK("http://mcgill.on.worldcat.org/oclc/37260947","Catalog Record")</f>
        <v>Catalog Record</v>
      </c>
      <c r="AW406" s="6" t="str">
        <f>HYPERLINK("http://www.worldcat.org/oclc/37260947","WorldCat Record")</f>
        <v>WorldCat Record</v>
      </c>
      <c r="AX406" s="3" t="s">
        <v>4200</v>
      </c>
      <c r="AY406" s="3" t="s">
        <v>4201</v>
      </c>
      <c r="AZ406" s="3" t="s">
        <v>4202</v>
      </c>
      <c r="BA406" s="3" t="s">
        <v>4202</v>
      </c>
      <c r="BB406" s="3" t="s">
        <v>4203</v>
      </c>
      <c r="BC406" s="3" t="s">
        <v>102</v>
      </c>
      <c r="BD406" s="3" t="s">
        <v>68</v>
      </c>
      <c r="BE406" s="3" t="s">
        <v>4204</v>
      </c>
      <c r="BF406" s="3" t="s">
        <v>4203</v>
      </c>
      <c r="BG406" s="3" t="s">
        <v>4205</v>
      </c>
    </row>
    <row r="407" spans="1:59" ht="58" x14ac:dyDescent="0.35">
      <c r="A407" s="2" t="s">
        <v>89</v>
      </c>
      <c r="B407" s="2" t="s">
        <v>90</v>
      </c>
      <c r="C407" s="2" t="s">
        <v>4206</v>
      </c>
      <c r="D407" s="2" t="s">
        <v>4207</v>
      </c>
      <c r="E407" s="2" t="s">
        <v>4208</v>
      </c>
      <c r="G407" s="3" t="s">
        <v>62</v>
      </c>
      <c r="I407" s="3" t="s">
        <v>61</v>
      </c>
      <c r="J407" s="3" t="s">
        <v>62</v>
      </c>
      <c r="K407" s="3" t="s">
        <v>63</v>
      </c>
      <c r="L407" s="2" t="s">
        <v>4209</v>
      </c>
      <c r="M407" s="2" t="s">
        <v>4210</v>
      </c>
      <c r="N407" s="3" t="s">
        <v>1639</v>
      </c>
      <c r="P407" s="3" t="s">
        <v>64</v>
      </c>
      <c r="R407" s="3" t="s">
        <v>65</v>
      </c>
      <c r="S407" s="4">
        <v>20</v>
      </c>
      <c r="T407" s="4">
        <v>27</v>
      </c>
      <c r="U407" s="5" t="s">
        <v>4211</v>
      </c>
      <c r="V407" s="5" t="s">
        <v>4211</v>
      </c>
      <c r="W407" s="5" t="s">
        <v>67</v>
      </c>
      <c r="X407" s="5" t="s">
        <v>67</v>
      </c>
      <c r="Y407" s="4">
        <v>110</v>
      </c>
      <c r="Z407" s="4">
        <v>7</v>
      </c>
      <c r="AA407" s="4">
        <v>12</v>
      </c>
      <c r="AB407" s="4">
        <v>1</v>
      </c>
      <c r="AC407" s="4">
        <v>3</v>
      </c>
      <c r="AD407" s="4">
        <v>12</v>
      </c>
      <c r="AE407" s="4">
        <v>15</v>
      </c>
      <c r="AF407" s="4">
        <v>0</v>
      </c>
      <c r="AG407" s="4">
        <v>2</v>
      </c>
      <c r="AH407" s="4">
        <v>6</v>
      </c>
      <c r="AI407" s="4">
        <v>7</v>
      </c>
      <c r="AJ407" s="4">
        <v>4</v>
      </c>
      <c r="AK407" s="4">
        <v>6</v>
      </c>
      <c r="AL407" s="4">
        <v>3</v>
      </c>
      <c r="AM407" s="4">
        <v>3</v>
      </c>
      <c r="AN407" s="4">
        <v>0</v>
      </c>
      <c r="AO407" s="4">
        <v>0</v>
      </c>
      <c r="AP407" s="4">
        <v>6</v>
      </c>
      <c r="AQ407" s="4">
        <v>8</v>
      </c>
      <c r="AR407" s="3" t="s">
        <v>62</v>
      </c>
      <c r="AS407" s="3" t="s">
        <v>62</v>
      </c>
      <c r="AT407" s="3" t="s">
        <v>62</v>
      </c>
      <c r="AV407" s="6" t="str">
        <f>HYPERLINK("http://mcgill.on.worldcat.org/oclc/6121695","Catalog Record")</f>
        <v>Catalog Record</v>
      </c>
      <c r="AW407" s="6" t="str">
        <f>HYPERLINK("http://www.worldcat.org/oclc/6121695","WorldCat Record")</f>
        <v>WorldCat Record</v>
      </c>
      <c r="AX407" s="3" t="s">
        <v>4212</v>
      </c>
      <c r="AY407" s="3" t="s">
        <v>4213</v>
      </c>
      <c r="AZ407" s="3" t="s">
        <v>4214</v>
      </c>
      <c r="BA407" s="3" t="s">
        <v>4214</v>
      </c>
      <c r="BB407" s="3" t="s">
        <v>4215</v>
      </c>
      <c r="BC407" s="3" t="s">
        <v>102</v>
      </c>
      <c r="BD407" s="3" t="s">
        <v>231</v>
      </c>
      <c r="BE407" s="3" t="s">
        <v>4216</v>
      </c>
      <c r="BF407" s="3" t="s">
        <v>4215</v>
      </c>
      <c r="BG407" s="3" t="s">
        <v>4217</v>
      </c>
    </row>
    <row r="408" spans="1:59" ht="58" x14ac:dyDescent="0.35">
      <c r="A408" s="2" t="s">
        <v>89</v>
      </c>
      <c r="B408" s="2" t="s">
        <v>90</v>
      </c>
      <c r="C408" s="2" t="s">
        <v>4218</v>
      </c>
      <c r="D408" s="2" t="s">
        <v>4219</v>
      </c>
      <c r="E408" s="2" t="s">
        <v>4220</v>
      </c>
      <c r="G408" s="3" t="s">
        <v>62</v>
      </c>
      <c r="I408" s="3" t="s">
        <v>62</v>
      </c>
      <c r="J408" s="3" t="s">
        <v>62</v>
      </c>
      <c r="K408" s="3" t="s">
        <v>63</v>
      </c>
      <c r="M408" s="2" t="s">
        <v>4221</v>
      </c>
      <c r="N408" s="3" t="s">
        <v>684</v>
      </c>
      <c r="P408" s="3" t="s">
        <v>1752</v>
      </c>
      <c r="Q408" s="2" t="s">
        <v>4222</v>
      </c>
      <c r="R408" s="3" t="s">
        <v>65</v>
      </c>
      <c r="S408" s="4">
        <v>0</v>
      </c>
      <c r="T408" s="4">
        <v>0</v>
      </c>
      <c r="W408" s="5" t="s">
        <v>67</v>
      </c>
      <c r="X408" s="5" t="s">
        <v>67</v>
      </c>
      <c r="Y408" s="4">
        <v>54</v>
      </c>
      <c r="Z408" s="4">
        <v>6</v>
      </c>
      <c r="AA408" s="4">
        <v>6</v>
      </c>
      <c r="AB408" s="4">
        <v>1</v>
      </c>
      <c r="AC408" s="4">
        <v>1</v>
      </c>
      <c r="AD408" s="4">
        <v>40</v>
      </c>
      <c r="AE408" s="4">
        <v>40</v>
      </c>
      <c r="AF408" s="4">
        <v>0</v>
      </c>
      <c r="AG408" s="4">
        <v>0</v>
      </c>
      <c r="AH408" s="4">
        <v>39</v>
      </c>
      <c r="AI408" s="4">
        <v>39</v>
      </c>
      <c r="AJ408" s="4">
        <v>4</v>
      </c>
      <c r="AK408" s="4">
        <v>4</v>
      </c>
      <c r="AL408" s="4">
        <v>30</v>
      </c>
      <c r="AM408" s="4">
        <v>30</v>
      </c>
      <c r="AN408" s="4">
        <v>0</v>
      </c>
      <c r="AO408" s="4">
        <v>0</v>
      </c>
      <c r="AP408" s="4">
        <v>4</v>
      </c>
      <c r="AQ408" s="4">
        <v>4</v>
      </c>
      <c r="AR408" s="3" t="s">
        <v>62</v>
      </c>
      <c r="AS408" s="3" t="s">
        <v>62</v>
      </c>
      <c r="AT408" s="3" t="s">
        <v>62</v>
      </c>
      <c r="AV408" s="6" t="str">
        <f>HYPERLINK("http://mcgill.on.worldcat.org/oclc/768397510","Catalog Record")</f>
        <v>Catalog Record</v>
      </c>
      <c r="AW408" s="6" t="str">
        <f>HYPERLINK("http://www.worldcat.org/oclc/768397510","WorldCat Record")</f>
        <v>WorldCat Record</v>
      </c>
      <c r="AX408" s="3" t="s">
        <v>4223</v>
      </c>
      <c r="AY408" s="3" t="s">
        <v>4224</v>
      </c>
      <c r="AZ408" s="3" t="s">
        <v>4225</v>
      </c>
      <c r="BA408" s="3" t="s">
        <v>4225</v>
      </c>
      <c r="BB408" s="3" t="s">
        <v>4226</v>
      </c>
      <c r="BC408" s="3" t="s">
        <v>102</v>
      </c>
      <c r="BD408" s="3" t="s">
        <v>68</v>
      </c>
      <c r="BE408" s="3" t="s">
        <v>4227</v>
      </c>
      <c r="BF408" s="3" t="s">
        <v>4226</v>
      </c>
      <c r="BG408" s="3" t="s">
        <v>4228</v>
      </c>
    </row>
    <row r="409" spans="1:59" ht="58" x14ac:dyDescent="0.35">
      <c r="A409" s="2" t="s">
        <v>89</v>
      </c>
      <c r="B409" s="2" t="s">
        <v>90</v>
      </c>
      <c r="C409" s="2" t="s">
        <v>4229</v>
      </c>
      <c r="D409" s="2" t="s">
        <v>4230</v>
      </c>
      <c r="E409" s="2" t="s">
        <v>4231</v>
      </c>
      <c r="G409" s="3" t="s">
        <v>62</v>
      </c>
      <c r="I409" s="3" t="s">
        <v>62</v>
      </c>
      <c r="J409" s="3" t="s">
        <v>62</v>
      </c>
      <c r="K409" s="3" t="s">
        <v>63</v>
      </c>
      <c r="L409" s="2" t="s">
        <v>4232</v>
      </c>
      <c r="M409" s="2" t="s">
        <v>4233</v>
      </c>
      <c r="N409" s="3" t="s">
        <v>655</v>
      </c>
      <c r="P409" s="3" t="s">
        <v>64</v>
      </c>
      <c r="R409" s="3" t="s">
        <v>65</v>
      </c>
      <c r="S409" s="4">
        <v>8</v>
      </c>
      <c r="T409" s="4">
        <v>8</v>
      </c>
      <c r="U409" s="5" t="s">
        <v>4234</v>
      </c>
      <c r="V409" s="5" t="s">
        <v>4234</v>
      </c>
      <c r="W409" s="5" t="s">
        <v>67</v>
      </c>
      <c r="X409" s="5" t="s">
        <v>67</v>
      </c>
      <c r="Y409" s="4">
        <v>228</v>
      </c>
      <c r="Z409" s="4">
        <v>19</v>
      </c>
      <c r="AA409" s="4">
        <v>26</v>
      </c>
      <c r="AB409" s="4">
        <v>2</v>
      </c>
      <c r="AC409" s="4">
        <v>4</v>
      </c>
      <c r="AD409" s="4">
        <v>86</v>
      </c>
      <c r="AE409" s="4">
        <v>94</v>
      </c>
      <c r="AF409" s="4">
        <v>1</v>
      </c>
      <c r="AG409" s="4">
        <v>1</v>
      </c>
      <c r="AH409" s="4">
        <v>76</v>
      </c>
      <c r="AI409" s="4">
        <v>81</v>
      </c>
      <c r="AJ409" s="4">
        <v>12</v>
      </c>
      <c r="AK409" s="4">
        <v>14</v>
      </c>
      <c r="AL409" s="4">
        <v>45</v>
      </c>
      <c r="AM409" s="4">
        <v>47</v>
      </c>
      <c r="AN409" s="4">
        <v>0</v>
      </c>
      <c r="AO409" s="4">
        <v>0</v>
      </c>
      <c r="AP409" s="4">
        <v>15</v>
      </c>
      <c r="AQ409" s="4">
        <v>19</v>
      </c>
      <c r="AR409" s="3" t="s">
        <v>62</v>
      </c>
      <c r="AS409" s="3" t="s">
        <v>62</v>
      </c>
      <c r="AT409" s="3" t="s">
        <v>62</v>
      </c>
      <c r="AV409" s="6" t="str">
        <f>HYPERLINK("http://mcgill.on.worldcat.org/oclc/71800748","Catalog Record")</f>
        <v>Catalog Record</v>
      </c>
      <c r="AW409" s="6" t="str">
        <f>HYPERLINK("http://www.worldcat.org/oclc/71800748","WorldCat Record")</f>
        <v>WorldCat Record</v>
      </c>
      <c r="AX409" s="3" t="s">
        <v>4235</v>
      </c>
      <c r="AY409" s="3" t="s">
        <v>4236</v>
      </c>
      <c r="AZ409" s="3" t="s">
        <v>4237</v>
      </c>
      <c r="BA409" s="3" t="s">
        <v>4237</v>
      </c>
      <c r="BB409" s="3" t="s">
        <v>4238</v>
      </c>
      <c r="BC409" s="3" t="s">
        <v>102</v>
      </c>
      <c r="BD409" s="3" t="s">
        <v>68</v>
      </c>
      <c r="BE409" s="3" t="s">
        <v>4239</v>
      </c>
      <c r="BF409" s="3" t="s">
        <v>4238</v>
      </c>
      <c r="BG409" s="3" t="s">
        <v>4240</v>
      </c>
    </row>
    <row r="410" spans="1:59" ht="58" x14ac:dyDescent="0.35">
      <c r="A410" s="2" t="s">
        <v>89</v>
      </c>
      <c r="B410" s="2" t="s">
        <v>90</v>
      </c>
      <c r="C410" s="2" t="s">
        <v>4241</v>
      </c>
      <c r="D410" s="2" t="s">
        <v>4242</v>
      </c>
      <c r="E410" s="2" t="s">
        <v>4243</v>
      </c>
      <c r="G410" s="3" t="s">
        <v>62</v>
      </c>
      <c r="I410" s="3" t="s">
        <v>62</v>
      </c>
      <c r="J410" s="3" t="s">
        <v>62</v>
      </c>
      <c r="K410" s="3" t="s">
        <v>63</v>
      </c>
      <c r="L410" s="2" t="s">
        <v>4244</v>
      </c>
      <c r="M410" s="2" t="s">
        <v>4245</v>
      </c>
      <c r="N410" s="3" t="s">
        <v>2975</v>
      </c>
      <c r="P410" s="3" t="s">
        <v>64</v>
      </c>
      <c r="R410" s="3" t="s">
        <v>65</v>
      </c>
      <c r="S410" s="4">
        <v>3</v>
      </c>
      <c r="T410" s="4">
        <v>3</v>
      </c>
      <c r="U410" s="5" t="s">
        <v>4246</v>
      </c>
      <c r="V410" s="5" t="s">
        <v>4246</v>
      </c>
      <c r="W410" s="5" t="s">
        <v>67</v>
      </c>
      <c r="X410" s="5" t="s">
        <v>67</v>
      </c>
      <c r="Y410" s="4">
        <v>480</v>
      </c>
      <c r="Z410" s="4">
        <v>20</v>
      </c>
      <c r="AA410" s="4">
        <v>27</v>
      </c>
      <c r="AB410" s="4">
        <v>2</v>
      </c>
      <c r="AC410" s="4">
        <v>5</v>
      </c>
      <c r="AD410" s="4">
        <v>95</v>
      </c>
      <c r="AE410" s="4">
        <v>102</v>
      </c>
      <c r="AF410" s="4">
        <v>0</v>
      </c>
      <c r="AG410" s="4">
        <v>1</v>
      </c>
      <c r="AH410" s="4">
        <v>87</v>
      </c>
      <c r="AI410" s="4">
        <v>94</v>
      </c>
      <c r="AJ410" s="4">
        <v>7</v>
      </c>
      <c r="AK410" s="4">
        <v>9</v>
      </c>
      <c r="AL410" s="4">
        <v>48</v>
      </c>
      <c r="AM410" s="4">
        <v>51</v>
      </c>
      <c r="AN410" s="4">
        <v>0</v>
      </c>
      <c r="AO410" s="4">
        <v>0</v>
      </c>
      <c r="AP410" s="4">
        <v>10</v>
      </c>
      <c r="AQ410" s="4">
        <v>13</v>
      </c>
      <c r="AR410" s="3" t="s">
        <v>62</v>
      </c>
      <c r="AS410" s="3" t="s">
        <v>62</v>
      </c>
      <c r="AT410" s="3" t="s">
        <v>61</v>
      </c>
      <c r="AU410" s="6" t="str">
        <f>HYPERLINK("http://catalog.hathitrust.org/Record/003594408","HathiTrust Record")</f>
        <v>HathiTrust Record</v>
      </c>
      <c r="AV410" s="6" t="str">
        <f>HYPERLINK("http://mcgill.on.worldcat.org/oclc/47867618","Catalog Record")</f>
        <v>Catalog Record</v>
      </c>
      <c r="AW410" s="6" t="str">
        <f>HYPERLINK("http://www.worldcat.org/oclc/47867618","WorldCat Record")</f>
        <v>WorldCat Record</v>
      </c>
      <c r="AX410" s="3" t="s">
        <v>4247</v>
      </c>
      <c r="AY410" s="3" t="s">
        <v>4248</v>
      </c>
      <c r="AZ410" s="3" t="s">
        <v>4249</v>
      </c>
      <c r="BA410" s="3" t="s">
        <v>4249</v>
      </c>
      <c r="BB410" s="3" t="s">
        <v>4250</v>
      </c>
      <c r="BC410" s="3" t="s">
        <v>102</v>
      </c>
      <c r="BD410" s="3" t="s">
        <v>68</v>
      </c>
      <c r="BE410" s="3" t="s">
        <v>4251</v>
      </c>
      <c r="BF410" s="3" t="s">
        <v>4250</v>
      </c>
      <c r="BG410" s="3" t="s">
        <v>4252</v>
      </c>
    </row>
    <row r="411" spans="1:59" ht="58" x14ac:dyDescent="0.35">
      <c r="A411" s="2" t="s">
        <v>89</v>
      </c>
      <c r="B411" s="2" t="s">
        <v>90</v>
      </c>
      <c r="C411" s="2" t="s">
        <v>4253</v>
      </c>
      <c r="D411" s="2" t="s">
        <v>4254</v>
      </c>
      <c r="E411" s="2" t="s">
        <v>4255</v>
      </c>
      <c r="G411" s="3" t="s">
        <v>62</v>
      </c>
      <c r="I411" s="3" t="s">
        <v>62</v>
      </c>
      <c r="J411" s="3" t="s">
        <v>62</v>
      </c>
      <c r="K411" s="3" t="s">
        <v>63</v>
      </c>
      <c r="L411" s="2" t="s">
        <v>4256</v>
      </c>
      <c r="M411" s="2" t="s">
        <v>4257</v>
      </c>
      <c r="N411" s="3" t="s">
        <v>625</v>
      </c>
      <c r="O411" s="2" t="s">
        <v>2163</v>
      </c>
      <c r="P411" s="3" t="s">
        <v>64</v>
      </c>
      <c r="Q411" s="2" t="s">
        <v>4258</v>
      </c>
      <c r="R411" s="3" t="s">
        <v>65</v>
      </c>
      <c r="S411" s="4">
        <v>4</v>
      </c>
      <c r="T411" s="4">
        <v>4</v>
      </c>
      <c r="U411" s="5" t="s">
        <v>4259</v>
      </c>
      <c r="V411" s="5" t="s">
        <v>4259</v>
      </c>
      <c r="W411" s="5" t="s">
        <v>67</v>
      </c>
      <c r="X411" s="5" t="s">
        <v>67</v>
      </c>
      <c r="Y411" s="4">
        <v>258</v>
      </c>
      <c r="Z411" s="4">
        <v>17</v>
      </c>
      <c r="AA411" s="4">
        <v>107</v>
      </c>
      <c r="AB411" s="4">
        <v>1</v>
      </c>
      <c r="AC411" s="4">
        <v>17</v>
      </c>
      <c r="AD411" s="4">
        <v>86</v>
      </c>
      <c r="AE411" s="4">
        <v>134</v>
      </c>
      <c r="AF411" s="4">
        <v>0</v>
      </c>
      <c r="AG411" s="4">
        <v>8</v>
      </c>
      <c r="AH411" s="4">
        <v>81</v>
      </c>
      <c r="AI411" s="4">
        <v>99</v>
      </c>
      <c r="AJ411" s="4">
        <v>11</v>
      </c>
      <c r="AK411" s="4">
        <v>24</v>
      </c>
      <c r="AL411" s="4">
        <v>46</v>
      </c>
      <c r="AM411" s="4">
        <v>49</v>
      </c>
      <c r="AN411" s="4">
        <v>5</v>
      </c>
      <c r="AO411" s="4">
        <v>5</v>
      </c>
      <c r="AP411" s="4">
        <v>13</v>
      </c>
      <c r="AQ411" s="4">
        <v>45</v>
      </c>
      <c r="AR411" s="3" t="s">
        <v>62</v>
      </c>
      <c r="AS411" s="3" t="s">
        <v>62</v>
      </c>
      <c r="AT411" s="3" t="s">
        <v>61</v>
      </c>
      <c r="AU411" s="6" t="str">
        <f>HYPERLINK("http://catalog.hathitrust.org/Record/004332992","HathiTrust Record")</f>
        <v>HathiTrust Record</v>
      </c>
      <c r="AV411" s="6" t="str">
        <f>HYPERLINK("http://mcgill.on.worldcat.org/oclc/51053478","Catalog Record")</f>
        <v>Catalog Record</v>
      </c>
      <c r="AW411" s="6" t="str">
        <f>HYPERLINK("http://www.worldcat.org/oclc/51053478","WorldCat Record")</f>
        <v>WorldCat Record</v>
      </c>
      <c r="AX411" s="3" t="s">
        <v>4260</v>
      </c>
      <c r="AY411" s="3" t="s">
        <v>4261</v>
      </c>
      <c r="AZ411" s="3" t="s">
        <v>4262</v>
      </c>
      <c r="BA411" s="3" t="s">
        <v>4262</v>
      </c>
      <c r="BB411" s="3" t="s">
        <v>4263</v>
      </c>
      <c r="BC411" s="3" t="s">
        <v>102</v>
      </c>
      <c r="BD411" s="3" t="s">
        <v>68</v>
      </c>
      <c r="BE411" s="3" t="s">
        <v>4264</v>
      </c>
      <c r="BF411" s="3" t="s">
        <v>4263</v>
      </c>
      <c r="BG411" s="3" t="s">
        <v>4265</v>
      </c>
    </row>
    <row r="412" spans="1:59" ht="58" x14ac:dyDescent="0.35">
      <c r="A412" s="2" t="s">
        <v>89</v>
      </c>
      <c r="B412" s="2" t="s">
        <v>90</v>
      </c>
      <c r="C412" s="2" t="s">
        <v>4266</v>
      </c>
      <c r="D412" s="2" t="s">
        <v>4267</v>
      </c>
      <c r="E412" s="2" t="s">
        <v>4268</v>
      </c>
      <c r="G412" s="3" t="s">
        <v>62</v>
      </c>
      <c r="I412" s="3" t="s">
        <v>61</v>
      </c>
      <c r="J412" s="3" t="s">
        <v>62</v>
      </c>
      <c r="K412" s="3" t="s">
        <v>63</v>
      </c>
      <c r="L412" s="2" t="s">
        <v>4269</v>
      </c>
      <c r="M412" s="2" t="s">
        <v>4270</v>
      </c>
      <c r="N412" s="3" t="s">
        <v>438</v>
      </c>
      <c r="P412" s="3" t="s">
        <v>64</v>
      </c>
      <c r="Q412" s="2" t="s">
        <v>4271</v>
      </c>
      <c r="R412" s="3" t="s">
        <v>65</v>
      </c>
      <c r="S412" s="4">
        <v>12</v>
      </c>
      <c r="T412" s="4">
        <v>12</v>
      </c>
      <c r="U412" s="5" t="s">
        <v>1183</v>
      </c>
      <c r="V412" s="5" t="s">
        <v>1183</v>
      </c>
      <c r="W412" s="5" t="s">
        <v>67</v>
      </c>
      <c r="X412" s="5" t="s">
        <v>67</v>
      </c>
      <c r="Y412" s="4">
        <v>295</v>
      </c>
      <c r="Z412" s="4">
        <v>22</v>
      </c>
      <c r="AA412" s="4">
        <v>24</v>
      </c>
      <c r="AB412" s="4">
        <v>3</v>
      </c>
      <c r="AC412" s="4">
        <v>5</v>
      </c>
      <c r="AD412" s="4">
        <v>105</v>
      </c>
      <c r="AE412" s="4">
        <v>107</v>
      </c>
      <c r="AF412" s="4">
        <v>1</v>
      </c>
      <c r="AG412" s="4">
        <v>3</v>
      </c>
      <c r="AH412" s="4">
        <v>96</v>
      </c>
      <c r="AI412" s="4">
        <v>97</v>
      </c>
      <c r="AJ412" s="4">
        <v>13</v>
      </c>
      <c r="AK412" s="4">
        <v>15</v>
      </c>
      <c r="AL412" s="4">
        <v>56</v>
      </c>
      <c r="AM412" s="4">
        <v>56</v>
      </c>
      <c r="AN412" s="4">
        <v>0</v>
      </c>
      <c r="AO412" s="4">
        <v>0</v>
      </c>
      <c r="AP412" s="4">
        <v>15</v>
      </c>
      <c r="AQ412" s="4">
        <v>16</v>
      </c>
      <c r="AR412" s="3" t="s">
        <v>62</v>
      </c>
      <c r="AS412" s="3" t="s">
        <v>62</v>
      </c>
      <c r="AT412" s="3" t="s">
        <v>62</v>
      </c>
      <c r="AV412" s="6" t="str">
        <f>HYPERLINK("http://mcgill.on.worldcat.org/oclc/20354211","Catalog Record")</f>
        <v>Catalog Record</v>
      </c>
      <c r="AW412" s="6" t="str">
        <f>HYPERLINK("http://www.worldcat.org/oclc/20354211","WorldCat Record")</f>
        <v>WorldCat Record</v>
      </c>
      <c r="AX412" s="3" t="s">
        <v>4272</v>
      </c>
      <c r="AY412" s="3" t="s">
        <v>4273</v>
      </c>
      <c r="AZ412" s="3" t="s">
        <v>4274</v>
      </c>
      <c r="BA412" s="3" t="s">
        <v>4274</v>
      </c>
      <c r="BB412" s="3" t="s">
        <v>4275</v>
      </c>
      <c r="BC412" s="3" t="s">
        <v>102</v>
      </c>
      <c r="BD412" s="3" t="s">
        <v>68</v>
      </c>
      <c r="BE412" s="3" t="s">
        <v>4276</v>
      </c>
      <c r="BF412" s="3" t="s">
        <v>4275</v>
      </c>
      <c r="BG412" s="3" t="s">
        <v>4277</v>
      </c>
    </row>
    <row r="413" spans="1:59" ht="58" x14ac:dyDescent="0.35">
      <c r="A413" s="2" t="s">
        <v>89</v>
      </c>
      <c r="B413" s="2" t="s">
        <v>90</v>
      </c>
      <c r="C413" s="2" t="s">
        <v>4278</v>
      </c>
      <c r="D413" s="2" t="s">
        <v>4279</v>
      </c>
      <c r="E413" s="2" t="s">
        <v>4280</v>
      </c>
      <c r="G413" s="3" t="s">
        <v>62</v>
      </c>
      <c r="I413" s="3" t="s">
        <v>62</v>
      </c>
      <c r="J413" s="3" t="s">
        <v>62</v>
      </c>
      <c r="K413" s="3" t="s">
        <v>63</v>
      </c>
      <c r="L413" s="2" t="s">
        <v>4281</v>
      </c>
      <c r="M413" s="2" t="s">
        <v>4282</v>
      </c>
      <c r="N413" s="3" t="s">
        <v>355</v>
      </c>
      <c r="O413" s="2" t="s">
        <v>2187</v>
      </c>
      <c r="P413" s="3" t="s">
        <v>64</v>
      </c>
      <c r="R413" s="3" t="s">
        <v>65</v>
      </c>
      <c r="S413" s="4">
        <v>15</v>
      </c>
      <c r="T413" s="4">
        <v>15</v>
      </c>
      <c r="U413" s="5" t="s">
        <v>2342</v>
      </c>
      <c r="V413" s="5" t="s">
        <v>2342</v>
      </c>
      <c r="W413" s="5" t="s">
        <v>67</v>
      </c>
      <c r="X413" s="5" t="s">
        <v>67</v>
      </c>
      <c r="Y413" s="4">
        <v>594</v>
      </c>
      <c r="Z413" s="4">
        <v>27</v>
      </c>
      <c r="AA413" s="4">
        <v>36</v>
      </c>
      <c r="AB413" s="4">
        <v>1</v>
      </c>
      <c r="AC413" s="4">
        <v>6</v>
      </c>
      <c r="AD413" s="4">
        <v>122</v>
      </c>
      <c r="AE413" s="4">
        <v>133</v>
      </c>
      <c r="AF413" s="4">
        <v>0</v>
      </c>
      <c r="AG413" s="4">
        <v>5</v>
      </c>
      <c r="AH413" s="4">
        <v>104</v>
      </c>
      <c r="AI413" s="4">
        <v>108</v>
      </c>
      <c r="AJ413" s="4">
        <v>18</v>
      </c>
      <c r="AK413" s="4">
        <v>23</v>
      </c>
      <c r="AL413" s="4">
        <v>59</v>
      </c>
      <c r="AM413" s="4">
        <v>62</v>
      </c>
      <c r="AN413" s="4">
        <v>0</v>
      </c>
      <c r="AO413" s="4">
        <v>0</v>
      </c>
      <c r="AP413" s="4">
        <v>18</v>
      </c>
      <c r="AQ413" s="4">
        <v>25</v>
      </c>
      <c r="AR413" s="3" t="s">
        <v>62</v>
      </c>
      <c r="AS413" s="3" t="s">
        <v>62</v>
      </c>
      <c r="AT413" s="3" t="s">
        <v>61</v>
      </c>
      <c r="AU413" s="6" t="str">
        <f>HYPERLINK("http://catalog.hathitrust.org/Record/000782126","HathiTrust Record")</f>
        <v>HathiTrust Record</v>
      </c>
      <c r="AV413" s="6" t="str">
        <f>HYPERLINK("http://mcgill.on.worldcat.org/oclc/10072849","Catalog Record")</f>
        <v>Catalog Record</v>
      </c>
      <c r="AW413" s="6" t="str">
        <f>HYPERLINK("http://www.worldcat.org/oclc/10072849","WorldCat Record")</f>
        <v>WorldCat Record</v>
      </c>
      <c r="AX413" s="3" t="s">
        <v>4283</v>
      </c>
      <c r="AY413" s="3" t="s">
        <v>4284</v>
      </c>
      <c r="AZ413" s="3" t="s">
        <v>4285</v>
      </c>
      <c r="BA413" s="3" t="s">
        <v>4285</v>
      </c>
      <c r="BB413" s="3" t="s">
        <v>4286</v>
      </c>
      <c r="BC413" s="3" t="s">
        <v>102</v>
      </c>
      <c r="BD413" s="3" t="s">
        <v>68</v>
      </c>
      <c r="BE413" s="3" t="s">
        <v>4287</v>
      </c>
      <c r="BF413" s="3" t="s">
        <v>4286</v>
      </c>
      <c r="BG413" s="3" t="s">
        <v>4288</v>
      </c>
    </row>
    <row r="414" spans="1:59" ht="58" x14ac:dyDescent="0.35">
      <c r="A414" s="2" t="s">
        <v>89</v>
      </c>
      <c r="B414" s="2" t="s">
        <v>90</v>
      </c>
      <c r="C414" s="2" t="s">
        <v>4289</v>
      </c>
      <c r="D414" s="2" t="s">
        <v>4290</v>
      </c>
      <c r="E414" s="2" t="s">
        <v>4291</v>
      </c>
      <c r="G414" s="3" t="s">
        <v>62</v>
      </c>
      <c r="I414" s="3" t="s">
        <v>61</v>
      </c>
      <c r="J414" s="3" t="s">
        <v>62</v>
      </c>
      <c r="K414" s="3" t="s">
        <v>63</v>
      </c>
      <c r="L414" s="2" t="s">
        <v>4292</v>
      </c>
      <c r="M414" s="2" t="s">
        <v>4293</v>
      </c>
      <c r="N414" s="3" t="s">
        <v>809</v>
      </c>
      <c r="P414" s="3" t="s">
        <v>64</v>
      </c>
      <c r="R414" s="3" t="s">
        <v>65</v>
      </c>
      <c r="S414" s="4">
        <v>10</v>
      </c>
      <c r="T414" s="4">
        <v>16</v>
      </c>
      <c r="U414" s="5" t="s">
        <v>4294</v>
      </c>
      <c r="V414" s="5" t="s">
        <v>4294</v>
      </c>
      <c r="W414" s="5" t="s">
        <v>67</v>
      </c>
      <c r="X414" s="5" t="s">
        <v>67</v>
      </c>
      <c r="Y414" s="4">
        <v>1164</v>
      </c>
      <c r="Z414" s="4">
        <v>37</v>
      </c>
      <c r="AA414" s="4">
        <v>39</v>
      </c>
      <c r="AB414" s="4">
        <v>3</v>
      </c>
      <c r="AC414" s="4">
        <v>3</v>
      </c>
      <c r="AD414" s="4">
        <v>138</v>
      </c>
      <c r="AE414" s="4">
        <v>139</v>
      </c>
      <c r="AF414" s="4">
        <v>1</v>
      </c>
      <c r="AG414" s="4">
        <v>1</v>
      </c>
      <c r="AH414" s="4">
        <v>113</v>
      </c>
      <c r="AI414" s="4">
        <v>113</v>
      </c>
      <c r="AJ414" s="4">
        <v>22</v>
      </c>
      <c r="AK414" s="4">
        <v>22</v>
      </c>
      <c r="AL414" s="4">
        <v>61</v>
      </c>
      <c r="AM414" s="4">
        <v>61</v>
      </c>
      <c r="AN414" s="4">
        <v>0</v>
      </c>
      <c r="AO414" s="4">
        <v>0</v>
      </c>
      <c r="AP414" s="4">
        <v>30</v>
      </c>
      <c r="AQ414" s="4">
        <v>31</v>
      </c>
      <c r="AR414" s="3" t="s">
        <v>62</v>
      </c>
      <c r="AS414" s="3" t="s">
        <v>62</v>
      </c>
      <c r="AT414" s="3" t="s">
        <v>61</v>
      </c>
      <c r="AU414" s="6" t="str">
        <f>HYPERLINK("http://catalog.hathitrust.org/Record/001473751","HathiTrust Record")</f>
        <v>HathiTrust Record</v>
      </c>
      <c r="AV414" s="6" t="str">
        <f>HYPERLINK("http://mcgill.on.worldcat.org/oclc/520276","Catalog Record")</f>
        <v>Catalog Record</v>
      </c>
      <c r="AW414" s="6" t="str">
        <f>HYPERLINK("http://www.worldcat.org/oclc/520276","WorldCat Record")</f>
        <v>WorldCat Record</v>
      </c>
      <c r="AX414" s="3" t="s">
        <v>4295</v>
      </c>
      <c r="AY414" s="3" t="s">
        <v>4296</v>
      </c>
      <c r="AZ414" s="3" t="s">
        <v>4297</v>
      </c>
      <c r="BA414" s="3" t="s">
        <v>4297</v>
      </c>
      <c r="BB414" s="3" t="s">
        <v>4298</v>
      </c>
      <c r="BC414" s="3" t="s">
        <v>102</v>
      </c>
      <c r="BD414" s="3" t="s">
        <v>68</v>
      </c>
      <c r="BF414" s="3" t="s">
        <v>4298</v>
      </c>
      <c r="BG414" s="3" t="s">
        <v>4299</v>
      </c>
    </row>
    <row r="415" spans="1:59" ht="58" x14ac:dyDescent="0.35">
      <c r="A415" s="2" t="s">
        <v>89</v>
      </c>
      <c r="B415" s="2" t="s">
        <v>90</v>
      </c>
      <c r="C415" s="2" t="s">
        <v>4300</v>
      </c>
      <c r="D415" s="2" t="s">
        <v>4301</v>
      </c>
      <c r="E415" s="2" t="s">
        <v>4302</v>
      </c>
      <c r="G415" s="3" t="s">
        <v>62</v>
      </c>
      <c r="I415" s="3" t="s">
        <v>62</v>
      </c>
      <c r="J415" s="3" t="s">
        <v>62</v>
      </c>
      <c r="K415" s="3" t="s">
        <v>63</v>
      </c>
      <c r="L415" s="2" t="s">
        <v>4303</v>
      </c>
      <c r="M415" s="2" t="s">
        <v>4304</v>
      </c>
      <c r="N415" s="3" t="s">
        <v>81</v>
      </c>
      <c r="P415" s="3" t="s">
        <v>64</v>
      </c>
      <c r="R415" s="3" t="s">
        <v>65</v>
      </c>
      <c r="S415" s="4">
        <v>4</v>
      </c>
      <c r="T415" s="4">
        <v>4</v>
      </c>
      <c r="U415" s="5" t="s">
        <v>2342</v>
      </c>
      <c r="V415" s="5" t="s">
        <v>2342</v>
      </c>
      <c r="W415" s="5" t="s">
        <v>67</v>
      </c>
      <c r="X415" s="5" t="s">
        <v>67</v>
      </c>
      <c r="Y415" s="4">
        <v>432</v>
      </c>
      <c r="Z415" s="4">
        <v>27</v>
      </c>
      <c r="AA415" s="4">
        <v>28</v>
      </c>
      <c r="AB415" s="4">
        <v>2</v>
      </c>
      <c r="AC415" s="4">
        <v>3</v>
      </c>
      <c r="AD415" s="4">
        <v>106</v>
      </c>
      <c r="AE415" s="4">
        <v>107</v>
      </c>
      <c r="AF415" s="4">
        <v>1</v>
      </c>
      <c r="AG415" s="4">
        <v>2</v>
      </c>
      <c r="AH415" s="4">
        <v>89</v>
      </c>
      <c r="AI415" s="4">
        <v>89</v>
      </c>
      <c r="AJ415" s="4">
        <v>17</v>
      </c>
      <c r="AK415" s="4">
        <v>18</v>
      </c>
      <c r="AL415" s="4">
        <v>50</v>
      </c>
      <c r="AM415" s="4">
        <v>50</v>
      </c>
      <c r="AN415" s="4">
        <v>0</v>
      </c>
      <c r="AO415" s="4">
        <v>0</v>
      </c>
      <c r="AP415" s="4">
        <v>22</v>
      </c>
      <c r="AQ415" s="4">
        <v>23</v>
      </c>
      <c r="AR415" s="3" t="s">
        <v>62</v>
      </c>
      <c r="AS415" s="3" t="s">
        <v>62</v>
      </c>
      <c r="AT415" s="3" t="s">
        <v>61</v>
      </c>
      <c r="AU415" s="6" t="str">
        <f>HYPERLINK("http://catalog.hathitrust.org/Record/001473761","HathiTrust Record")</f>
        <v>HathiTrust Record</v>
      </c>
      <c r="AV415" s="6" t="str">
        <f>HYPERLINK("http://mcgill.on.worldcat.org/oclc/391813","Catalog Record")</f>
        <v>Catalog Record</v>
      </c>
      <c r="AW415" s="6" t="str">
        <f>HYPERLINK("http://www.worldcat.org/oclc/391813","WorldCat Record")</f>
        <v>WorldCat Record</v>
      </c>
      <c r="AX415" s="3" t="s">
        <v>4305</v>
      </c>
      <c r="AY415" s="3" t="s">
        <v>4306</v>
      </c>
      <c r="AZ415" s="3" t="s">
        <v>4307</v>
      </c>
      <c r="BA415" s="3" t="s">
        <v>4307</v>
      </c>
      <c r="BB415" s="3" t="s">
        <v>4308</v>
      </c>
      <c r="BC415" s="3" t="s">
        <v>102</v>
      </c>
      <c r="BD415" s="3" t="s">
        <v>68</v>
      </c>
      <c r="BF415" s="3" t="s">
        <v>4308</v>
      </c>
      <c r="BG415" s="3" t="s">
        <v>4309</v>
      </c>
    </row>
    <row r="416" spans="1:59" ht="58" x14ac:dyDescent="0.35">
      <c r="A416" s="2" t="s">
        <v>89</v>
      </c>
      <c r="B416" s="2" t="s">
        <v>90</v>
      </c>
      <c r="C416" s="2" t="s">
        <v>4310</v>
      </c>
      <c r="D416" s="2" t="s">
        <v>4311</v>
      </c>
      <c r="E416" s="2" t="s">
        <v>4312</v>
      </c>
      <c r="G416" s="3" t="s">
        <v>62</v>
      </c>
      <c r="I416" s="3" t="s">
        <v>61</v>
      </c>
      <c r="J416" s="3" t="s">
        <v>62</v>
      </c>
      <c r="K416" s="3" t="s">
        <v>63</v>
      </c>
      <c r="L416" s="2" t="s">
        <v>4313</v>
      </c>
      <c r="M416" s="2" t="s">
        <v>4314</v>
      </c>
      <c r="N416" s="3" t="s">
        <v>1064</v>
      </c>
      <c r="P416" s="3" t="s">
        <v>64</v>
      </c>
      <c r="R416" s="3" t="s">
        <v>65</v>
      </c>
      <c r="S416" s="4">
        <v>1</v>
      </c>
      <c r="T416" s="4">
        <v>2</v>
      </c>
      <c r="U416" s="5" t="s">
        <v>4315</v>
      </c>
      <c r="V416" s="5" t="s">
        <v>4315</v>
      </c>
      <c r="W416" s="5" t="s">
        <v>67</v>
      </c>
      <c r="X416" s="5" t="s">
        <v>67</v>
      </c>
      <c r="Y416" s="4">
        <v>543</v>
      </c>
      <c r="Z416" s="4">
        <v>26</v>
      </c>
      <c r="AA416" s="4">
        <v>28</v>
      </c>
      <c r="AB416" s="4">
        <v>3</v>
      </c>
      <c r="AC416" s="4">
        <v>4</v>
      </c>
      <c r="AD416" s="4">
        <v>116</v>
      </c>
      <c r="AE416" s="4">
        <v>119</v>
      </c>
      <c r="AF416" s="4">
        <v>1</v>
      </c>
      <c r="AG416" s="4">
        <v>2</v>
      </c>
      <c r="AH416" s="4">
        <v>101</v>
      </c>
      <c r="AI416" s="4">
        <v>102</v>
      </c>
      <c r="AJ416" s="4">
        <v>18</v>
      </c>
      <c r="AK416" s="4">
        <v>19</v>
      </c>
      <c r="AL416" s="4">
        <v>56</v>
      </c>
      <c r="AM416" s="4">
        <v>56</v>
      </c>
      <c r="AN416" s="4">
        <v>0</v>
      </c>
      <c r="AO416" s="4">
        <v>0</v>
      </c>
      <c r="AP416" s="4">
        <v>20</v>
      </c>
      <c r="AQ416" s="4">
        <v>21</v>
      </c>
      <c r="AR416" s="3" t="s">
        <v>62</v>
      </c>
      <c r="AS416" s="3" t="s">
        <v>62</v>
      </c>
      <c r="AT416" s="3" t="s">
        <v>61</v>
      </c>
      <c r="AU416" s="6" t="str">
        <f>HYPERLINK("http://catalog.hathitrust.org/Record/001985673","HathiTrust Record")</f>
        <v>HathiTrust Record</v>
      </c>
      <c r="AV416" s="6" t="str">
        <f>HYPERLINK("http://mcgill.on.worldcat.org/oclc/118205","Catalog Record")</f>
        <v>Catalog Record</v>
      </c>
      <c r="AW416" s="6" t="str">
        <f>HYPERLINK("http://www.worldcat.org/oclc/118205","WorldCat Record")</f>
        <v>WorldCat Record</v>
      </c>
      <c r="AX416" s="3" t="s">
        <v>4316</v>
      </c>
      <c r="AY416" s="3" t="s">
        <v>4317</v>
      </c>
      <c r="AZ416" s="3" t="s">
        <v>4318</v>
      </c>
      <c r="BA416" s="3" t="s">
        <v>4318</v>
      </c>
      <c r="BB416" s="3" t="s">
        <v>4319</v>
      </c>
      <c r="BC416" s="3" t="s">
        <v>102</v>
      </c>
      <c r="BD416" s="3" t="s">
        <v>68</v>
      </c>
      <c r="BE416" s="3" t="s">
        <v>4320</v>
      </c>
      <c r="BF416" s="3" t="s">
        <v>4319</v>
      </c>
      <c r="BG416" s="3" t="s">
        <v>4321</v>
      </c>
    </row>
    <row r="417" spans="1:59" ht="58" x14ac:dyDescent="0.35">
      <c r="A417" s="2" t="s">
        <v>89</v>
      </c>
      <c r="B417" s="2" t="s">
        <v>90</v>
      </c>
      <c r="C417" s="2" t="s">
        <v>4322</v>
      </c>
      <c r="D417" s="2" t="s">
        <v>4323</v>
      </c>
      <c r="E417" s="2" t="s">
        <v>4324</v>
      </c>
      <c r="G417" s="3" t="s">
        <v>62</v>
      </c>
      <c r="I417" s="3" t="s">
        <v>62</v>
      </c>
      <c r="J417" s="3" t="s">
        <v>62</v>
      </c>
      <c r="K417" s="3" t="s">
        <v>63</v>
      </c>
      <c r="L417" s="2" t="s">
        <v>4325</v>
      </c>
      <c r="M417" s="2" t="s">
        <v>4326</v>
      </c>
      <c r="N417" s="3" t="s">
        <v>129</v>
      </c>
      <c r="P417" s="3" t="s">
        <v>64</v>
      </c>
      <c r="Q417" s="2" t="s">
        <v>4327</v>
      </c>
      <c r="R417" s="3" t="s">
        <v>65</v>
      </c>
      <c r="S417" s="4">
        <v>0</v>
      </c>
      <c r="T417" s="4">
        <v>0</v>
      </c>
      <c r="W417" s="5" t="s">
        <v>67</v>
      </c>
      <c r="X417" s="5" t="s">
        <v>67</v>
      </c>
      <c r="Y417" s="4">
        <v>81</v>
      </c>
      <c r="Z417" s="4">
        <v>8</v>
      </c>
      <c r="AA417" s="4">
        <v>79</v>
      </c>
      <c r="AB417" s="4">
        <v>1</v>
      </c>
      <c r="AC417" s="4">
        <v>15</v>
      </c>
      <c r="AD417" s="4">
        <v>40</v>
      </c>
      <c r="AE417" s="4">
        <v>99</v>
      </c>
      <c r="AF417" s="4">
        <v>0</v>
      </c>
      <c r="AG417" s="4">
        <v>8</v>
      </c>
      <c r="AH417" s="4">
        <v>38</v>
      </c>
      <c r="AI417" s="4">
        <v>69</v>
      </c>
      <c r="AJ417" s="4">
        <v>5</v>
      </c>
      <c r="AK417" s="4">
        <v>20</v>
      </c>
      <c r="AL417" s="4">
        <v>27</v>
      </c>
      <c r="AM417" s="4">
        <v>36</v>
      </c>
      <c r="AN417" s="4">
        <v>0</v>
      </c>
      <c r="AO417" s="4">
        <v>0</v>
      </c>
      <c r="AP417" s="4">
        <v>5</v>
      </c>
      <c r="AQ417" s="4">
        <v>39</v>
      </c>
      <c r="AR417" s="3" t="s">
        <v>62</v>
      </c>
      <c r="AS417" s="3" t="s">
        <v>62</v>
      </c>
      <c r="AT417" s="3" t="s">
        <v>62</v>
      </c>
      <c r="AV417" s="6" t="str">
        <f>HYPERLINK("http://mcgill.on.worldcat.org/oclc/837137409","Catalog Record")</f>
        <v>Catalog Record</v>
      </c>
      <c r="AW417" s="6" t="str">
        <f>HYPERLINK("http://www.worldcat.org/oclc/837137409","WorldCat Record")</f>
        <v>WorldCat Record</v>
      </c>
      <c r="AX417" s="3" t="s">
        <v>4328</v>
      </c>
      <c r="AY417" s="3" t="s">
        <v>4329</v>
      </c>
      <c r="AZ417" s="3" t="s">
        <v>4330</v>
      </c>
      <c r="BA417" s="3" t="s">
        <v>4330</v>
      </c>
      <c r="BB417" s="3" t="s">
        <v>4331</v>
      </c>
      <c r="BC417" s="3" t="s">
        <v>102</v>
      </c>
      <c r="BD417" s="3" t="s">
        <v>68</v>
      </c>
      <c r="BE417" s="3" t="s">
        <v>4332</v>
      </c>
      <c r="BF417" s="3" t="s">
        <v>4331</v>
      </c>
      <c r="BG417" s="3" t="s">
        <v>4333</v>
      </c>
    </row>
    <row r="418" spans="1:59" ht="58" x14ac:dyDescent="0.35">
      <c r="A418" s="2" t="s">
        <v>89</v>
      </c>
      <c r="B418" s="2" t="s">
        <v>90</v>
      </c>
      <c r="C418" s="2" t="s">
        <v>4334</v>
      </c>
      <c r="D418" s="2" t="s">
        <v>4335</v>
      </c>
      <c r="E418" s="2" t="s">
        <v>4336</v>
      </c>
      <c r="G418" s="3" t="s">
        <v>62</v>
      </c>
      <c r="I418" s="3" t="s">
        <v>62</v>
      </c>
      <c r="J418" s="3" t="s">
        <v>62</v>
      </c>
      <c r="K418" s="3" t="s">
        <v>63</v>
      </c>
      <c r="L418" s="2" t="s">
        <v>4337</v>
      </c>
      <c r="M418" s="2" t="s">
        <v>4338</v>
      </c>
      <c r="N418" s="3" t="s">
        <v>625</v>
      </c>
      <c r="P418" s="3" t="s">
        <v>64</v>
      </c>
      <c r="R418" s="3" t="s">
        <v>65</v>
      </c>
      <c r="S418" s="4">
        <v>15</v>
      </c>
      <c r="T418" s="4">
        <v>15</v>
      </c>
      <c r="U418" s="5" t="s">
        <v>2342</v>
      </c>
      <c r="V418" s="5" t="s">
        <v>2342</v>
      </c>
      <c r="W418" s="5" t="s">
        <v>67</v>
      </c>
      <c r="X418" s="5" t="s">
        <v>67</v>
      </c>
      <c r="Y418" s="4">
        <v>226</v>
      </c>
      <c r="Z418" s="4">
        <v>20</v>
      </c>
      <c r="AA418" s="4">
        <v>20</v>
      </c>
      <c r="AB418" s="4">
        <v>1</v>
      </c>
      <c r="AC418" s="4">
        <v>1</v>
      </c>
      <c r="AD418" s="4">
        <v>94</v>
      </c>
      <c r="AE418" s="4">
        <v>94</v>
      </c>
      <c r="AF418" s="4">
        <v>0</v>
      </c>
      <c r="AG418" s="4">
        <v>0</v>
      </c>
      <c r="AH418" s="4">
        <v>83</v>
      </c>
      <c r="AI418" s="4">
        <v>83</v>
      </c>
      <c r="AJ418" s="4">
        <v>15</v>
      </c>
      <c r="AK418" s="4">
        <v>15</v>
      </c>
      <c r="AL418" s="4">
        <v>46</v>
      </c>
      <c r="AM418" s="4">
        <v>46</v>
      </c>
      <c r="AN418" s="4">
        <v>0</v>
      </c>
      <c r="AO418" s="4">
        <v>0</v>
      </c>
      <c r="AP418" s="4">
        <v>17</v>
      </c>
      <c r="AQ418" s="4">
        <v>17</v>
      </c>
      <c r="AR418" s="3" t="s">
        <v>62</v>
      </c>
      <c r="AS418" s="3" t="s">
        <v>62</v>
      </c>
      <c r="AT418" s="3" t="s">
        <v>61</v>
      </c>
      <c r="AU418" s="6" t="str">
        <f>HYPERLINK("http://catalog.hathitrust.org/Record/004317054","HathiTrust Record")</f>
        <v>HathiTrust Record</v>
      </c>
      <c r="AV418" s="6" t="str">
        <f>HYPERLINK("http://mcgill.on.worldcat.org/oclc/50693070","Catalog Record")</f>
        <v>Catalog Record</v>
      </c>
      <c r="AW418" s="6" t="str">
        <f>HYPERLINK("http://www.worldcat.org/oclc/50693070","WorldCat Record")</f>
        <v>WorldCat Record</v>
      </c>
      <c r="AX418" s="3" t="s">
        <v>4339</v>
      </c>
      <c r="AY418" s="3" t="s">
        <v>4340</v>
      </c>
      <c r="AZ418" s="3" t="s">
        <v>4341</v>
      </c>
      <c r="BA418" s="3" t="s">
        <v>4341</v>
      </c>
      <c r="BB418" s="3" t="s">
        <v>4342</v>
      </c>
      <c r="BC418" s="3" t="s">
        <v>102</v>
      </c>
      <c r="BD418" s="3" t="s">
        <v>68</v>
      </c>
      <c r="BE418" s="3" t="s">
        <v>4343</v>
      </c>
      <c r="BF418" s="3" t="s">
        <v>4342</v>
      </c>
      <c r="BG418" s="3" t="s">
        <v>4344</v>
      </c>
    </row>
    <row r="419" spans="1:59" ht="58" x14ac:dyDescent="0.35">
      <c r="A419" s="2" t="s">
        <v>89</v>
      </c>
      <c r="B419" s="2" t="s">
        <v>90</v>
      </c>
      <c r="C419" s="2" t="s">
        <v>4345</v>
      </c>
      <c r="D419" s="2" t="s">
        <v>4346</v>
      </c>
      <c r="E419" s="2" t="s">
        <v>4347</v>
      </c>
      <c r="G419" s="3" t="s">
        <v>62</v>
      </c>
      <c r="I419" s="3" t="s">
        <v>61</v>
      </c>
      <c r="J419" s="3" t="s">
        <v>62</v>
      </c>
      <c r="K419" s="3" t="s">
        <v>63</v>
      </c>
      <c r="L419" s="2" t="s">
        <v>4348</v>
      </c>
      <c r="M419" s="2" t="s">
        <v>4349</v>
      </c>
      <c r="N419" s="3" t="s">
        <v>539</v>
      </c>
      <c r="P419" s="3" t="s">
        <v>64</v>
      </c>
      <c r="R419" s="3" t="s">
        <v>65</v>
      </c>
      <c r="S419" s="4">
        <v>21</v>
      </c>
      <c r="T419" s="4">
        <v>32</v>
      </c>
      <c r="U419" s="5" t="s">
        <v>4350</v>
      </c>
      <c r="V419" s="5" t="s">
        <v>4350</v>
      </c>
      <c r="W419" s="5" t="s">
        <v>67</v>
      </c>
      <c r="X419" s="5" t="s">
        <v>67</v>
      </c>
      <c r="Y419" s="4">
        <v>647</v>
      </c>
      <c r="Z419" s="4">
        <v>32</v>
      </c>
      <c r="AA419" s="4">
        <v>32</v>
      </c>
      <c r="AB419" s="4">
        <v>3</v>
      </c>
      <c r="AC419" s="4">
        <v>3</v>
      </c>
      <c r="AD419" s="4">
        <v>115</v>
      </c>
      <c r="AE419" s="4">
        <v>116</v>
      </c>
      <c r="AF419" s="4">
        <v>1</v>
      </c>
      <c r="AG419" s="4">
        <v>1</v>
      </c>
      <c r="AH419" s="4">
        <v>100</v>
      </c>
      <c r="AI419" s="4">
        <v>101</v>
      </c>
      <c r="AJ419" s="4">
        <v>19</v>
      </c>
      <c r="AK419" s="4">
        <v>19</v>
      </c>
      <c r="AL419" s="4">
        <v>54</v>
      </c>
      <c r="AM419" s="4">
        <v>54</v>
      </c>
      <c r="AN419" s="4">
        <v>0</v>
      </c>
      <c r="AO419" s="4">
        <v>0</v>
      </c>
      <c r="AP419" s="4">
        <v>22</v>
      </c>
      <c r="AQ419" s="4">
        <v>22</v>
      </c>
      <c r="AR419" s="3" t="s">
        <v>62</v>
      </c>
      <c r="AS419" s="3" t="s">
        <v>62</v>
      </c>
      <c r="AT419" s="3" t="s">
        <v>62</v>
      </c>
      <c r="AV419" s="6" t="str">
        <f>HYPERLINK("http://mcgill.on.worldcat.org/oclc/38856197","Catalog Record")</f>
        <v>Catalog Record</v>
      </c>
      <c r="AW419" s="6" t="str">
        <f>HYPERLINK("http://www.worldcat.org/oclc/38856197","WorldCat Record")</f>
        <v>WorldCat Record</v>
      </c>
      <c r="AX419" s="3" t="s">
        <v>4351</v>
      </c>
      <c r="AY419" s="3" t="s">
        <v>4352</v>
      </c>
      <c r="AZ419" s="3" t="s">
        <v>4353</v>
      </c>
      <c r="BA419" s="3" t="s">
        <v>4353</v>
      </c>
      <c r="BB419" s="3" t="s">
        <v>4354</v>
      </c>
      <c r="BC419" s="3" t="s">
        <v>102</v>
      </c>
      <c r="BD419" s="3" t="s">
        <v>68</v>
      </c>
      <c r="BE419" s="3" t="s">
        <v>4355</v>
      </c>
      <c r="BF419" s="3" t="s">
        <v>4354</v>
      </c>
      <c r="BG419" s="3" t="s">
        <v>4356</v>
      </c>
    </row>
    <row r="420" spans="1:59" ht="58" x14ac:dyDescent="0.35">
      <c r="A420" s="2" t="s">
        <v>89</v>
      </c>
      <c r="B420" s="2" t="s">
        <v>90</v>
      </c>
      <c r="C420" s="2" t="s">
        <v>4357</v>
      </c>
      <c r="D420" s="2" t="s">
        <v>4358</v>
      </c>
      <c r="E420" s="2" t="s">
        <v>4359</v>
      </c>
      <c r="G420" s="3" t="s">
        <v>62</v>
      </c>
      <c r="I420" s="3" t="s">
        <v>62</v>
      </c>
      <c r="J420" s="3" t="s">
        <v>62</v>
      </c>
      <c r="K420" s="3" t="s">
        <v>63</v>
      </c>
      <c r="L420" s="2" t="s">
        <v>4360</v>
      </c>
      <c r="M420" s="2" t="s">
        <v>4361</v>
      </c>
      <c r="N420" s="3" t="s">
        <v>640</v>
      </c>
      <c r="P420" s="3" t="s">
        <v>64</v>
      </c>
      <c r="Q420" s="2" t="s">
        <v>4362</v>
      </c>
      <c r="R420" s="3" t="s">
        <v>65</v>
      </c>
      <c r="S420" s="4">
        <v>20</v>
      </c>
      <c r="T420" s="4">
        <v>20</v>
      </c>
      <c r="U420" s="5" t="s">
        <v>4363</v>
      </c>
      <c r="V420" s="5" t="s">
        <v>4363</v>
      </c>
      <c r="W420" s="5" t="s">
        <v>67</v>
      </c>
      <c r="X420" s="5" t="s">
        <v>67</v>
      </c>
      <c r="Y420" s="4">
        <v>565</v>
      </c>
      <c r="Z420" s="4">
        <v>41</v>
      </c>
      <c r="AA420" s="4">
        <v>41</v>
      </c>
      <c r="AB420" s="4">
        <v>3</v>
      </c>
      <c r="AC420" s="4">
        <v>3</v>
      </c>
      <c r="AD420" s="4">
        <v>91</v>
      </c>
      <c r="AE420" s="4">
        <v>91</v>
      </c>
      <c r="AF420" s="4">
        <v>1</v>
      </c>
      <c r="AG420" s="4">
        <v>1</v>
      </c>
      <c r="AH420" s="4">
        <v>72</v>
      </c>
      <c r="AI420" s="4">
        <v>72</v>
      </c>
      <c r="AJ420" s="4">
        <v>15</v>
      </c>
      <c r="AK420" s="4">
        <v>15</v>
      </c>
      <c r="AL420" s="4">
        <v>45</v>
      </c>
      <c r="AM420" s="4">
        <v>45</v>
      </c>
      <c r="AN420" s="4">
        <v>5</v>
      </c>
      <c r="AO420" s="4">
        <v>5</v>
      </c>
      <c r="AP420" s="4">
        <v>24</v>
      </c>
      <c r="AQ420" s="4">
        <v>24</v>
      </c>
      <c r="AR420" s="3" t="s">
        <v>62</v>
      </c>
      <c r="AS420" s="3" t="s">
        <v>62</v>
      </c>
      <c r="AT420" s="3" t="s">
        <v>61</v>
      </c>
      <c r="AU420" s="6" t="str">
        <f>HYPERLINK("http://catalog.hathitrust.org/Record/004732317","HathiTrust Record")</f>
        <v>HathiTrust Record</v>
      </c>
      <c r="AV420" s="6" t="str">
        <f>HYPERLINK("http://mcgill.on.worldcat.org/oclc/53822763","Catalog Record")</f>
        <v>Catalog Record</v>
      </c>
      <c r="AW420" s="6" t="str">
        <f>HYPERLINK("http://www.worldcat.org/oclc/53822763","WorldCat Record")</f>
        <v>WorldCat Record</v>
      </c>
      <c r="AX420" s="3" t="s">
        <v>4364</v>
      </c>
      <c r="AY420" s="3" t="s">
        <v>4365</v>
      </c>
      <c r="AZ420" s="3" t="s">
        <v>4366</v>
      </c>
      <c r="BA420" s="3" t="s">
        <v>4366</v>
      </c>
      <c r="BB420" s="3" t="s">
        <v>4367</v>
      </c>
      <c r="BC420" s="3" t="s">
        <v>102</v>
      </c>
      <c r="BD420" s="3" t="s">
        <v>68</v>
      </c>
      <c r="BE420" s="3" t="s">
        <v>4368</v>
      </c>
      <c r="BF420" s="3" t="s">
        <v>4367</v>
      </c>
      <c r="BG420" s="3" t="s">
        <v>4369</v>
      </c>
    </row>
    <row r="421" spans="1:59" ht="58" x14ac:dyDescent="0.35">
      <c r="A421" s="2" t="s">
        <v>89</v>
      </c>
      <c r="B421" s="2" t="s">
        <v>90</v>
      </c>
      <c r="C421" s="2" t="s">
        <v>4370</v>
      </c>
      <c r="D421" s="2" t="s">
        <v>4371</v>
      </c>
      <c r="E421" s="2" t="s">
        <v>4372</v>
      </c>
      <c r="G421" s="3" t="s">
        <v>62</v>
      </c>
      <c r="I421" s="3" t="s">
        <v>62</v>
      </c>
      <c r="J421" s="3" t="s">
        <v>62</v>
      </c>
      <c r="K421" s="3" t="s">
        <v>63</v>
      </c>
      <c r="M421" s="2" t="s">
        <v>4373</v>
      </c>
      <c r="N421" s="3" t="s">
        <v>2975</v>
      </c>
      <c r="P421" s="3" t="s">
        <v>64</v>
      </c>
      <c r="Q421" s="2" t="s">
        <v>4374</v>
      </c>
      <c r="R421" s="3" t="s">
        <v>65</v>
      </c>
      <c r="S421" s="4">
        <v>24</v>
      </c>
      <c r="T421" s="4">
        <v>24</v>
      </c>
      <c r="U421" s="5" t="s">
        <v>4375</v>
      </c>
      <c r="V421" s="5" t="s">
        <v>4375</v>
      </c>
      <c r="W421" s="5" t="s">
        <v>67</v>
      </c>
      <c r="X421" s="5" t="s">
        <v>67</v>
      </c>
      <c r="Y421" s="4">
        <v>422</v>
      </c>
      <c r="Z421" s="4">
        <v>40</v>
      </c>
      <c r="AA421" s="4">
        <v>43</v>
      </c>
      <c r="AB421" s="4">
        <v>4</v>
      </c>
      <c r="AC421" s="4">
        <v>7</v>
      </c>
      <c r="AD421" s="4">
        <v>123</v>
      </c>
      <c r="AE421" s="4">
        <v>125</v>
      </c>
      <c r="AF421" s="4">
        <v>2</v>
      </c>
      <c r="AG421" s="4">
        <v>4</v>
      </c>
      <c r="AH421" s="4">
        <v>100</v>
      </c>
      <c r="AI421" s="4">
        <v>101</v>
      </c>
      <c r="AJ421" s="4">
        <v>21</v>
      </c>
      <c r="AK421" s="4">
        <v>22</v>
      </c>
      <c r="AL421" s="4">
        <v>53</v>
      </c>
      <c r="AM421" s="4">
        <v>53</v>
      </c>
      <c r="AN421" s="4">
        <v>0</v>
      </c>
      <c r="AO421" s="4">
        <v>0</v>
      </c>
      <c r="AP421" s="4">
        <v>31</v>
      </c>
      <c r="AQ421" s="4">
        <v>33</v>
      </c>
      <c r="AR421" s="3" t="s">
        <v>62</v>
      </c>
      <c r="AS421" s="3" t="s">
        <v>62</v>
      </c>
      <c r="AT421" s="3" t="s">
        <v>62</v>
      </c>
      <c r="AV421" s="6" t="str">
        <f>HYPERLINK("http://mcgill.on.worldcat.org/oclc/46577245","Catalog Record")</f>
        <v>Catalog Record</v>
      </c>
      <c r="AW421" s="6" t="str">
        <f>HYPERLINK("http://www.worldcat.org/oclc/46577245","WorldCat Record")</f>
        <v>WorldCat Record</v>
      </c>
      <c r="AX421" s="3" t="s">
        <v>4376</v>
      </c>
      <c r="AY421" s="3" t="s">
        <v>4377</v>
      </c>
      <c r="AZ421" s="3" t="s">
        <v>4378</v>
      </c>
      <c r="BA421" s="3" t="s">
        <v>4378</v>
      </c>
      <c r="BB421" s="3" t="s">
        <v>4379</v>
      </c>
      <c r="BC421" s="3" t="s">
        <v>102</v>
      </c>
      <c r="BD421" s="3" t="s">
        <v>68</v>
      </c>
      <c r="BE421" s="3" t="s">
        <v>4380</v>
      </c>
      <c r="BF421" s="3" t="s">
        <v>4379</v>
      </c>
      <c r="BG421" s="3" t="s">
        <v>4381</v>
      </c>
    </row>
    <row r="422" spans="1:59" ht="58" x14ac:dyDescent="0.35">
      <c r="A422" s="2" t="s">
        <v>89</v>
      </c>
      <c r="B422" s="2" t="s">
        <v>90</v>
      </c>
      <c r="C422" s="2" t="s">
        <v>4382</v>
      </c>
      <c r="D422" s="2" t="s">
        <v>4383</v>
      </c>
      <c r="E422" s="2" t="s">
        <v>4384</v>
      </c>
      <c r="G422" s="3" t="s">
        <v>62</v>
      </c>
      <c r="I422" s="3" t="s">
        <v>62</v>
      </c>
      <c r="J422" s="3" t="s">
        <v>62</v>
      </c>
      <c r="K422" s="3" t="s">
        <v>63</v>
      </c>
      <c r="M422" s="2" t="s">
        <v>4385</v>
      </c>
      <c r="N422" s="3" t="s">
        <v>2085</v>
      </c>
      <c r="P422" s="3" t="s">
        <v>64</v>
      </c>
      <c r="Q422" s="2" t="s">
        <v>4386</v>
      </c>
      <c r="R422" s="3" t="s">
        <v>65</v>
      </c>
      <c r="S422" s="4">
        <v>3</v>
      </c>
      <c r="T422" s="4">
        <v>3</v>
      </c>
      <c r="U422" s="5" t="s">
        <v>4387</v>
      </c>
      <c r="V422" s="5" t="s">
        <v>4387</v>
      </c>
      <c r="W422" s="5" t="s">
        <v>67</v>
      </c>
      <c r="X422" s="5" t="s">
        <v>67</v>
      </c>
      <c r="Y422" s="4">
        <v>119</v>
      </c>
      <c r="Z422" s="4">
        <v>11</v>
      </c>
      <c r="AA422" s="4">
        <v>11</v>
      </c>
      <c r="AB422" s="4">
        <v>1</v>
      </c>
      <c r="AC422" s="4">
        <v>1</v>
      </c>
      <c r="AD422" s="4">
        <v>56</v>
      </c>
      <c r="AE422" s="4">
        <v>56</v>
      </c>
      <c r="AF422" s="4">
        <v>0</v>
      </c>
      <c r="AG422" s="4">
        <v>0</v>
      </c>
      <c r="AH422" s="4">
        <v>51</v>
      </c>
      <c r="AI422" s="4">
        <v>51</v>
      </c>
      <c r="AJ422" s="4">
        <v>7</v>
      </c>
      <c r="AK422" s="4">
        <v>7</v>
      </c>
      <c r="AL422" s="4">
        <v>30</v>
      </c>
      <c r="AM422" s="4">
        <v>30</v>
      </c>
      <c r="AN422" s="4">
        <v>0</v>
      </c>
      <c r="AO422" s="4">
        <v>0</v>
      </c>
      <c r="AP422" s="4">
        <v>10</v>
      </c>
      <c r="AQ422" s="4">
        <v>10</v>
      </c>
      <c r="AR422" s="3" t="s">
        <v>62</v>
      </c>
      <c r="AS422" s="3" t="s">
        <v>62</v>
      </c>
      <c r="AT422" s="3" t="s">
        <v>62</v>
      </c>
      <c r="AV422" s="6" t="str">
        <f>HYPERLINK("http://mcgill.on.worldcat.org/oclc/1000150466","Catalog Record")</f>
        <v>Catalog Record</v>
      </c>
      <c r="AW422" s="6" t="str">
        <f>HYPERLINK("http://www.worldcat.org/oclc/1000150466","WorldCat Record")</f>
        <v>WorldCat Record</v>
      </c>
      <c r="AX422" s="3" t="s">
        <v>4388</v>
      </c>
      <c r="AY422" s="3" t="s">
        <v>4389</v>
      </c>
      <c r="AZ422" s="3" t="s">
        <v>4390</v>
      </c>
      <c r="BA422" s="3" t="s">
        <v>4390</v>
      </c>
      <c r="BB422" s="3" t="s">
        <v>4391</v>
      </c>
      <c r="BC422" s="3" t="s">
        <v>102</v>
      </c>
      <c r="BD422" s="3" t="s">
        <v>68</v>
      </c>
      <c r="BE422" s="3" t="s">
        <v>4392</v>
      </c>
      <c r="BF422" s="3" t="s">
        <v>4391</v>
      </c>
      <c r="BG422" s="3" t="s">
        <v>4393</v>
      </c>
    </row>
    <row r="423" spans="1:59" ht="58" x14ac:dyDescent="0.35">
      <c r="A423" s="2" t="s">
        <v>89</v>
      </c>
      <c r="B423" s="2" t="s">
        <v>90</v>
      </c>
      <c r="C423" s="2" t="s">
        <v>4394</v>
      </c>
      <c r="D423" s="2" t="s">
        <v>4395</v>
      </c>
      <c r="E423" s="2" t="s">
        <v>4396</v>
      </c>
      <c r="G423" s="3" t="s">
        <v>62</v>
      </c>
      <c r="I423" s="3" t="s">
        <v>62</v>
      </c>
      <c r="J423" s="3" t="s">
        <v>62</v>
      </c>
      <c r="K423" s="3" t="s">
        <v>63</v>
      </c>
      <c r="L423" s="2" t="s">
        <v>4397</v>
      </c>
      <c r="M423" s="2" t="s">
        <v>4398</v>
      </c>
      <c r="N423" s="3" t="s">
        <v>3062</v>
      </c>
      <c r="P423" s="3" t="s">
        <v>64</v>
      </c>
      <c r="Q423" s="2" t="s">
        <v>4399</v>
      </c>
      <c r="R423" s="3" t="s">
        <v>65</v>
      </c>
      <c r="S423" s="4">
        <v>87</v>
      </c>
      <c r="T423" s="4">
        <v>87</v>
      </c>
      <c r="U423" s="5" t="s">
        <v>4363</v>
      </c>
      <c r="V423" s="5" t="s">
        <v>4363</v>
      </c>
      <c r="W423" s="5" t="s">
        <v>67</v>
      </c>
      <c r="X423" s="5" t="s">
        <v>67</v>
      </c>
      <c r="Y423" s="4">
        <v>917</v>
      </c>
      <c r="Z423" s="4">
        <v>62</v>
      </c>
      <c r="AA423" s="4">
        <v>105</v>
      </c>
      <c r="AB423" s="4">
        <v>4</v>
      </c>
      <c r="AC423" s="4">
        <v>16</v>
      </c>
      <c r="AD423" s="4">
        <v>149</v>
      </c>
      <c r="AE423" s="4">
        <v>161</v>
      </c>
      <c r="AF423" s="4">
        <v>2</v>
      </c>
      <c r="AG423" s="4">
        <v>8</v>
      </c>
      <c r="AH423" s="4">
        <v>112</v>
      </c>
      <c r="AI423" s="4">
        <v>115</v>
      </c>
      <c r="AJ423" s="4">
        <v>22</v>
      </c>
      <c r="AK423" s="4">
        <v>27</v>
      </c>
      <c r="AL423" s="4">
        <v>60</v>
      </c>
      <c r="AM423" s="4">
        <v>60</v>
      </c>
      <c r="AN423" s="4">
        <v>0</v>
      </c>
      <c r="AO423" s="4">
        <v>0</v>
      </c>
      <c r="AP423" s="4">
        <v>45</v>
      </c>
      <c r="AQ423" s="4">
        <v>55</v>
      </c>
      <c r="AR423" s="3" t="s">
        <v>62</v>
      </c>
      <c r="AS423" s="3" t="s">
        <v>62</v>
      </c>
      <c r="AT423" s="3" t="s">
        <v>61</v>
      </c>
      <c r="AU423" s="6" t="str">
        <f>HYPERLINK("http://catalog.hathitrust.org/Record/002455201","HathiTrust Record")</f>
        <v>HathiTrust Record</v>
      </c>
      <c r="AV423" s="6" t="str">
        <f>HYPERLINK("http://mcgill.on.worldcat.org/oclc/22662471","Catalog Record")</f>
        <v>Catalog Record</v>
      </c>
      <c r="AW423" s="6" t="str">
        <f>HYPERLINK("http://www.worldcat.org/oclc/22662471","WorldCat Record")</f>
        <v>WorldCat Record</v>
      </c>
      <c r="AX423" s="3" t="s">
        <v>4400</v>
      </c>
      <c r="AY423" s="3" t="s">
        <v>4401</v>
      </c>
      <c r="AZ423" s="3" t="s">
        <v>4402</v>
      </c>
      <c r="BA423" s="3" t="s">
        <v>4402</v>
      </c>
      <c r="BB423" s="3" t="s">
        <v>4403</v>
      </c>
      <c r="BC423" s="3" t="s">
        <v>102</v>
      </c>
      <c r="BD423" s="3" t="s">
        <v>68</v>
      </c>
      <c r="BE423" s="3" t="s">
        <v>4404</v>
      </c>
      <c r="BF423" s="3" t="s">
        <v>4403</v>
      </c>
      <c r="BG423" s="3" t="s">
        <v>4405</v>
      </c>
    </row>
    <row r="424" spans="1:59" ht="58" x14ac:dyDescent="0.35">
      <c r="A424" s="2" t="s">
        <v>89</v>
      </c>
      <c r="B424" s="2" t="s">
        <v>90</v>
      </c>
      <c r="C424" s="2" t="s">
        <v>4406</v>
      </c>
      <c r="D424" s="2" t="s">
        <v>4407</v>
      </c>
      <c r="E424" s="2" t="s">
        <v>4408</v>
      </c>
      <c r="G424" s="3" t="s">
        <v>62</v>
      </c>
      <c r="I424" s="3" t="s">
        <v>62</v>
      </c>
      <c r="J424" s="3" t="s">
        <v>62</v>
      </c>
      <c r="K424" s="3" t="s">
        <v>63</v>
      </c>
      <c r="M424" s="2" t="s">
        <v>4409</v>
      </c>
      <c r="N424" s="3" t="s">
        <v>880</v>
      </c>
      <c r="P424" s="3" t="s">
        <v>64</v>
      </c>
      <c r="Q424" s="2" t="s">
        <v>4410</v>
      </c>
      <c r="R424" s="3" t="s">
        <v>65</v>
      </c>
      <c r="S424" s="4">
        <v>1</v>
      </c>
      <c r="T424" s="4">
        <v>1</v>
      </c>
      <c r="U424" s="5" t="s">
        <v>4411</v>
      </c>
      <c r="V424" s="5" t="s">
        <v>4411</v>
      </c>
      <c r="W424" s="5" t="s">
        <v>67</v>
      </c>
      <c r="X424" s="5" t="s">
        <v>67</v>
      </c>
      <c r="Y424" s="4">
        <v>90</v>
      </c>
      <c r="Z424" s="4">
        <v>13</v>
      </c>
      <c r="AA424" s="4">
        <v>41</v>
      </c>
      <c r="AB424" s="4">
        <v>1</v>
      </c>
      <c r="AC424" s="4">
        <v>11</v>
      </c>
      <c r="AD424" s="4">
        <v>38</v>
      </c>
      <c r="AE424" s="4">
        <v>61</v>
      </c>
      <c r="AF424" s="4">
        <v>0</v>
      </c>
      <c r="AG424" s="4">
        <v>5</v>
      </c>
      <c r="AH424" s="4">
        <v>31</v>
      </c>
      <c r="AI424" s="4">
        <v>44</v>
      </c>
      <c r="AJ424" s="4">
        <v>8</v>
      </c>
      <c r="AK424" s="4">
        <v>14</v>
      </c>
      <c r="AL424" s="4">
        <v>19</v>
      </c>
      <c r="AM424" s="4">
        <v>24</v>
      </c>
      <c r="AN424" s="4">
        <v>0</v>
      </c>
      <c r="AO424" s="4">
        <v>0</v>
      </c>
      <c r="AP424" s="4">
        <v>11</v>
      </c>
      <c r="AQ424" s="4">
        <v>24</v>
      </c>
      <c r="AR424" s="3" t="s">
        <v>62</v>
      </c>
      <c r="AS424" s="3" t="s">
        <v>62</v>
      </c>
      <c r="AT424" s="3" t="s">
        <v>62</v>
      </c>
      <c r="AV424" s="6" t="str">
        <f>HYPERLINK("http://mcgill.on.worldcat.org/oclc/656774113","Catalog Record")</f>
        <v>Catalog Record</v>
      </c>
      <c r="AW424" s="6" t="str">
        <f>HYPERLINK("http://www.worldcat.org/oclc/656774113","WorldCat Record")</f>
        <v>WorldCat Record</v>
      </c>
      <c r="AX424" s="3" t="s">
        <v>4412</v>
      </c>
      <c r="AY424" s="3" t="s">
        <v>4413</v>
      </c>
      <c r="AZ424" s="3" t="s">
        <v>4414</v>
      </c>
      <c r="BA424" s="3" t="s">
        <v>4414</v>
      </c>
      <c r="BB424" s="3" t="s">
        <v>4415</v>
      </c>
      <c r="BC424" s="3" t="s">
        <v>102</v>
      </c>
      <c r="BD424" s="3" t="s">
        <v>68</v>
      </c>
      <c r="BE424" s="3" t="s">
        <v>4416</v>
      </c>
      <c r="BF424" s="3" t="s">
        <v>4415</v>
      </c>
      <c r="BG424" s="3" t="s">
        <v>4417</v>
      </c>
    </row>
    <row r="425" spans="1:59" ht="58" x14ac:dyDescent="0.35">
      <c r="A425" s="2" t="s">
        <v>89</v>
      </c>
      <c r="B425" s="2" t="s">
        <v>90</v>
      </c>
      <c r="C425" s="2" t="s">
        <v>4418</v>
      </c>
      <c r="D425" s="2" t="s">
        <v>4419</v>
      </c>
      <c r="E425" s="2" t="s">
        <v>4420</v>
      </c>
      <c r="G425" s="3" t="s">
        <v>62</v>
      </c>
      <c r="I425" s="3" t="s">
        <v>62</v>
      </c>
      <c r="J425" s="3" t="s">
        <v>62</v>
      </c>
      <c r="K425" s="3" t="s">
        <v>63</v>
      </c>
      <c r="M425" s="2" t="s">
        <v>4421</v>
      </c>
      <c r="N425" s="3" t="s">
        <v>466</v>
      </c>
      <c r="P425" s="3" t="s">
        <v>64</v>
      </c>
      <c r="R425" s="3" t="s">
        <v>65</v>
      </c>
      <c r="S425" s="4">
        <v>41</v>
      </c>
      <c r="T425" s="4">
        <v>41</v>
      </c>
      <c r="U425" s="5" t="s">
        <v>4422</v>
      </c>
      <c r="V425" s="5" t="s">
        <v>4422</v>
      </c>
      <c r="W425" s="5" t="s">
        <v>67</v>
      </c>
      <c r="X425" s="5" t="s">
        <v>67</v>
      </c>
      <c r="Y425" s="4">
        <v>388</v>
      </c>
      <c r="Z425" s="4">
        <v>34</v>
      </c>
      <c r="AA425" s="4">
        <v>36</v>
      </c>
      <c r="AB425" s="4">
        <v>2</v>
      </c>
      <c r="AC425" s="4">
        <v>4</v>
      </c>
      <c r="AD425" s="4">
        <v>108</v>
      </c>
      <c r="AE425" s="4">
        <v>110</v>
      </c>
      <c r="AF425" s="4">
        <v>1</v>
      </c>
      <c r="AG425" s="4">
        <v>3</v>
      </c>
      <c r="AH425" s="4">
        <v>87</v>
      </c>
      <c r="AI425" s="4">
        <v>88</v>
      </c>
      <c r="AJ425" s="4">
        <v>16</v>
      </c>
      <c r="AK425" s="4">
        <v>18</v>
      </c>
      <c r="AL425" s="4">
        <v>49</v>
      </c>
      <c r="AM425" s="4">
        <v>49</v>
      </c>
      <c r="AN425" s="4">
        <v>0</v>
      </c>
      <c r="AO425" s="4">
        <v>0</v>
      </c>
      <c r="AP425" s="4">
        <v>28</v>
      </c>
      <c r="AQ425" s="4">
        <v>30</v>
      </c>
      <c r="AR425" s="3" t="s">
        <v>62</v>
      </c>
      <c r="AS425" s="3" t="s">
        <v>62</v>
      </c>
      <c r="AT425" s="3" t="s">
        <v>62</v>
      </c>
      <c r="AV425" s="6" t="str">
        <f>HYPERLINK("http://mcgill.on.worldcat.org/oclc/24954498","Catalog Record")</f>
        <v>Catalog Record</v>
      </c>
      <c r="AW425" s="6" t="str">
        <f>HYPERLINK("http://www.worldcat.org/oclc/24954498","WorldCat Record")</f>
        <v>WorldCat Record</v>
      </c>
      <c r="AX425" s="3" t="s">
        <v>4423</v>
      </c>
      <c r="AY425" s="3" t="s">
        <v>4424</v>
      </c>
      <c r="AZ425" s="3" t="s">
        <v>4425</v>
      </c>
      <c r="BA425" s="3" t="s">
        <v>4425</v>
      </c>
      <c r="BB425" s="3" t="s">
        <v>4426</v>
      </c>
      <c r="BC425" s="3" t="s">
        <v>102</v>
      </c>
      <c r="BD425" s="3" t="s">
        <v>68</v>
      </c>
      <c r="BE425" s="3" t="s">
        <v>4427</v>
      </c>
      <c r="BF425" s="3" t="s">
        <v>4426</v>
      </c>
      <c r="BG425" s="3" t="s">
        <v>4428</v>
      </c>
    </row>
    <row r="426" spans="1:59" ht="58" x14ac:dyDescent="0.35">
      <c r="A426" s="2" t="s">
        <v>89</v>
      </c>
      <c r="B426" s="2" t="s">
        <v>90</v>
      </c>
      <c r="C426" s="2" t="s">
        <v>4429</v>
      </c>
      <c r="D426" s="2" t="s">
        <v>4430</v>
      </c>
      <c r="E426" s="2" t="s">
        <v>4431</v>
      </c>
      <c r="G426" s="3" t="s">
        <v>62</v>
      </c>
      <c r="I426" s="3" t="s">
        <v>62</v>
      </c>
      <c r="J426" s="3" t="s">
        <v>62</v>
      </c>
      <c r="K426" s="3" t="s">
        <v>63</v>
      </c>
      <c r="L426" s="2" t="s">
        <v>4432</v>
      </c>
      <c r="M426" s="2" t="s">
        <v>4433</v>
      </c>
      <c r="N426" s="3" t="s">
        <v>568</v>
      </c>
      <c r="P426" s="3" t="s">
        <v>64</v>
      </c>
      <c r="Q426" s="2" t="s">
        <v>4434</v>
      </c>
      <c r="R426" s="3" t="s">
        <v>65</v>
      </c>
      <c r="S426" s="4">
        <v>3</v>
      </c>
      <c r="T426" s="4">
        <v>3</v>
      </c>
      <c r="U426" s="5" t="s">
        <v>4435</v>
      </c>
      <c r="V426" s="5" t="s">
        <v>4435</v>
      </c>
      <c r="W426" s="5" t="s">
        <v>67</v>
      </c>
      <c r="X426" s="5" t="s">
        <v>67</v>
      </c>
      <c r="Y426" s="4">
        <v>176</v>
      </c>
      <c r="Z426" s="4">
        <v>16</v>
      </c>
      <c r="AA426" s="4">
        <v>21</v>
      </c>
      <c r="AB426" s="4">
        <v>1</v>
      </c>
      <c r="AC426" s="4">
        <v>5</v>
      </c>
      <c r="AD426" s="4">
        <v>78</v>
      </c>
      <c r="AE426" s="4">
        <v>80</v>
      </c>
      <c r="AF426" s="4">
        <v>0</v>
      </c>
      <c r="AG426" s="4">
        <v>1</v>
      </c>
      <c r="AH426" s="4">
        <v>69</v>
      </c>
      <c r="AI426" s="4">
        <v>70</v>
      </c>
      <c r="AJ426" s="4">
        <v>10</v>
      </c>
      <c r="AK426" s="4">
        <v>12</v>
      </c>
      <c r="AL426" s="4">
        <v>39</v>
      </c>
      <c r="AM426" s="4">
        <v>39</v>
      </c>
      <c r="AN426" s="4">
        <v>0</v>
      </c>
      <c r="AO426" s="4">
        <v>0</v>
      </c>
      <c r="AP426" s="4">
        <v>12</v>
      </c>
      <c r="AQ426" s="4">
        <v>13</v>
      </c>
      <c r="AR426" s="3" t="s">
        <v>62</v>
      </c>
      <c r="AS426" s="3" t="s">
        <v>62</v>
      </c>
      <c r="AT426" s="3" t="s">
        <v>62</v>
      </c>
      <c r="AV426" s="6" t="str">
        <f>HYPERLINK("http://mcgill.on.worldcat.org/oclc/42875157","Catalog Record")</f>
        <v>Catalog Record</v>
      </c>
      <c r="AW426" s="6" t="str">
        <f>HYPERLINK("http://www.worldcat.org/oclc/42875157","WorldCat Record")</f>
        <v>WorldCat Record</v>
      </c>
      <c r="AX426" s="3" t="s">
        <v>4436</v>
      </c>
      <c r="AY426" s="3" t="s">
        <v>4437</v>
      </c>
      <c r="AZ426" s="3" t="s">
        <v>4438</v>
      </c>
      <c r="BA426" s="3" t="s">
        <v>4438</v>
      </c>
      <c r="BB426" s="3" t="s">
        <v>4439</v>
      </c>
      <c r="BC426" s="3" t="s">
        <v>102</v>
      </c>
      <c r="BD426" s="3" t="s">
        <v>68</v>
      </c>
      <c r="BE426" s="3" t="s">
        <v>4440</v>
      </c>
      <c r="BF426" s="3" t="s">
        <v>4439</v>
      </c>
      <c r="BG426" s="3" t="s">
        <v>4441</v>
      </c>
    </row>
    <row r="427" spans="1:59" ht="58" x14ac:dyDescent="0.35">
      <c r="A427" s="2" t="s">
        <v>89</v>
      </c>
      <c r="B427" s="2" t="s">
        <v>90</v>
      </c>
      <c r="C427" s="2" t="s">
        <v>4442</v>
      </c>
      <c r="D427" s="2" t="s">
        <v>4443</v>
      </c>
      <c r="E427" s="2" t="s">
        <v>4444</v>
      </c>
      <c r="G427" s="3" t="s">
        <v>62</v>
      </c>
      <c r="I427" s="3" t="s">
        <v>62</v>
      </c>
      <c r="J427" s="3" t="s">
        <v>62</v>
      </c>
      <c r="K427" s="3" t="s">
        <v>63</v>
      </c>
      <c r="M427" s="2" t="s">
        <v>4445</v>
      </c>
      <c r="N427" s="3" t="s">
        <v>2136</v>
      </c>
      <c r="P427" s="3" t="s">
        <v>64</v>
      </c>
      <c r="R427" s="3" t="s">
        <v>65</v>
      </c>
      <c r="S427" s="4">
        <v>19</v>
      </c>
      <c r="T427" s="4">
        <v>19</v>
      </c>
      <c r="U427" s="5" t="s">
        <v>4446</v>
      </c>
      <c r="V427" s="5" t="s">
        <v>4446</v>
      </c>
      <c r="W427" s="5" t="s">
        <v>67</v>
      </c>
      <c r="X427" s="5" t="s">
        <v>67</v>
      </c>
      <c r="Y427" s="4">
        <v>467</v>
      </c>
      <c r="Z427" s="4">
        <v>31</v>
      </c>
      <c r="AA427" s="4">
        <v>34</v>
      </c>
      <c r="AB427" s="4">
        <v>1</v>
      </c>
      <c r="AC427" s="4">
        <v>4</v>
      </c>
      <c r="AD427" s="4">
        <v>108</v>
      </c>
      <c r="AE427" s="4">
        <v>111</v>
      </c>
      <c r="AF427" s="4">
        <v>0</v>
      </c>
      <c r="AG427" s="4">
        <v>3</v>
      </c>
      <c r="AH427" s="4">
        <v>91</v>
      </c>
      <c r="AI427" s="4">
        <v>92</v>
      </c>
      <c r="AJ427" s="4">
        <v>15</v>
      </c>
      <c r="AK427" s="4">
        <v>17</v>
      </c>
      <c r="AL427" s="4">
        <v>49</v>
      </c>
      <c r="AM427" s="4">
        <v>49</v>
      </c>
      <c r="AN427" s="4">
        <v>0</v>
      </c>
      <c r="AO427" s="4">
        <v>0</v>
      </c>
      <c r="AP427" s="4">
        <v>24</v>
      </c>
      <c r="AQ427" s="4">
        <v>26</v>
      </c>
      <c r="AR427" s="3" t="s">
        <v>62</v>
      </c>
      <c r="AS427" s="3" t="s">
        <v>62</v>
      </c>
      <c r="AT427" s="3" t="s">
        <v>62</v>
      </c>
      <c r="AV427" s="6" t="str">
        <f>HYPERLINK("http://mcgill.on.worldcat.org/oclc/57392191","Catalog Record")</f>
        <v>Catalog Record</v>
      </c>
      <c r="AW427" s="6" t="str">
        <f>HYPERLINK("http://www.worldcat.org/oclc/57392191","WorldCat Record")</f>
        <v>WorldCat Record</v>
      </c>
      <c r="AX427" s="3" t="s">
        <v>4447</v>
      </c>
      <c r="AY427" s="3" t="s">
        <v>4448</v>
      </c>
      <c r="AZ427" s="3" t="s">
        <v>4449</v>
      </c>
      <c r="BA427" s="3" t="s">
        <v>4449</v>
      </c>
      <c r="BB427" s="3" t="s">
        <v>4450</v>
      </c>
      <c r="BC427" s="3" t="s">
        <v>102</v>
      </c>
      <c r="BD427" s="3" t="s">
        <v>68</v>
      </c>
      <c r="BE427" s="3" t="s">
        <v>4451</v>
      </c>
      <c r="BF427" s="3" t="s">
        <v>4450</v>
      </c>
      <c r="BG427" s="3" t="s">
        <v>4452</v>
      </c>
    </row>
    <row r="428" spans="1:59" ht="58" x14ac:dyDescent="0.35">
      <c r="A428" s="2" t="s">
        <v>89</v>
      </c>
      <c r="B428" s="2" t="s">
        <v>90</v>
      </c>
      <c r="C428" s="2" t="s">
        <v>4453</v>
      </c>
      <c r="D428" s="2" t="s">
        <v>4454</v>
      </c>
      <c r="E428" s="2" t="s">
        <v>4455</v>
      </c>
      <c r="G428" s="3" t="s">
        <v>62</v>
      </c>
      <c r="I428" s="3" t="s">
        <v>61</v>
      </c>
      <c r="J428" s="3" t="s">
        <v>61</v>
      </c>
      <c r="K428" s="3" t="s">
        <v>63</v>
      </c>
      <c r="L428" s="2" t="s">
        <v>4456</v>
      </c>
      <c r="M428" s="2" t="s">
        <v>4457</v>
      </c>
      <c r="N428" s="3" t="s">
        <v>285</v>
      </c>
      <c r="O428" s="2" t="s">
        <v>2163</v>
      </c>
      <c r="P428" s="3" t="s">
        <v>64</v>
      </c>
      <c r="R428" s="3" t="s">
        <v>65</v>
      </c>
      <c r="S428" s="4">
        <v>61</v>
      </c>
      <c r="T428" s="4">
        <v>62</v>
      </c>
      <c r="U428" s="5" t="s">
        <v>4458</v>
      </c>
      <c r="V428" s="5" t="s">
        <v>4458</v>
      </c>
      <c r="W428" s="5" t="s">
        <v>67</v>
      </c>
      <c r="X428" s="5" t="s">
        <v>67</v>
      </c>
      <c r="Y428" s="4">
        <v>615</v>
      </c>
      <c r="Z428" s="4">
        <v>36</v>
      </c>
      <c r="AA428" s="4">
        <v>81</v>
      </c>
      <c r="AB428" s="4">
        <v>4</v>
      </c>
      <c r="AC428" s="4">
        <v>10</v>
      </c>
      <c r="AD428" s="4">
        <v>114</v>
      </c>
      <c r="AE428" s="4">
        <v>160</v>
      </c>
      <c r="AF428" s="4">
        <v>2</v>
      </c>
      <c r="AG428" s="4">
        <v>6</v>
      </c>
      <c r="AH428" s="4">
        <v>94</v>
      </c>
      <c r="AI428" s="4">
        <v>116</v>
      </c>
      <c r="AJ428" s="4">
        <v>17</v>
      </c>
      <c r="AK428" s="4">
        <v>26</v>
      </c>
      <c r="AL428" s="4">
        <v>51</v>
      </c>
      <c r="AM428" s="4">
        <v>60</v>
      </c>
      <c r="AN428" s="4">
        <v>0</v>
      </c>
      <c r="AO428" s="4">
        <v>0</v>
      </c>
      <c r="AP428" s="4">
        <v>28</v>
      </c>
      <c r="AQ428" s="4">
        <v>53</v>
      </c>
      <c r="AR428" s="3" t="s">
        <v>62</v>
      </c>
      <c r="AS428" s="3" t="s">
        <v>62</v>
      </c>
      <c r="AT428" s="3" t="s">
        <v>61</v>
      </c>
      <c r="AU428" s="6" t="str">
        <f>HYPERLINK("http://catalog.hathitrust.org/Record/000041659","HathiTrust Record")</f>
        <v>HathiTrust Record</v>
      </c>
      <c r="AV428" s="6" t="str">
        <f>HYPERLINK("http://mcgill.on.worldcat.org/oclc/5413251","Catalog Record")</f>
        <v>Catalog Record</v>
      </c>
      <c r="AW428" s="6" t="str">
        <f>HYPERLINK("http://www.worldcat.org/oclc/5413251","WorldCat Record")</f>
        <v>WorldCat Record</v>
      </c>
      <c r="AX428" s="3" t="s">
        <v>4459</v>
      </c>
      <c r="AY428" s="3" t="s">
        <v>4460</v>
      </c>
      <c r="AZ428" s="3" t="s">
        <v>4461</v>
      </c>
      <c r="BA428" s="3" t="s">
        <v>4461</v>
      </c>
      <c r="BB428" s="3" t="s">
        <v>4462</v>
      </c>
      <c r="BC428" s="3" t="s">
        <v>102</v>
      </c>
      <c r="BD428" s="3" t="s">
        <v>68</v>
      </c>
      <c r="BE428" s="3" t="s">
        <v>4463</v>
      </c>
      <c r="BF428" s="3" t="s">
        <v>4462</v>
      </c>
      <c r="BG428" s="3" t="s">
        <v>4464</v>
      </c>
    </row>
    <row r="429" spans="1:59" ht="58" x14ac:dyDescent="0.35">
      <c r="A429" s="2" t="s">
        <v>89</v>
      </c>
      <c r="B429" s="2" t="s">
        <v>90</v>
      </c>
      <c r="C429" s="2" t="s">
        <v>4465</v>
      </c>
      <c r="D429" s="2" t="s">
        <v>4466</v>
      </c>
      <c r="E429" s="2" t="s">
        <v>4455</v>
      </c>
      <c r="G429" s="3" t="s">
        <v>62</v>
      </c>
      <c r="I429" s="3" t="s">
        <v>62</v>
      </c>
      <c r="J429" s="3" t="s">
        <v>61</v>
      </c>
      <c r="K429" s="3" t="s">
        <v>63</v>
      </c>
      <c r="L429" s="2" t="s">
        <v>4456</v>
      </c>
      <c r="M429" s="2" t="s">
        <v>4467</v>
      </c>
      <c r="N429" s="3" t="s">
        <v>893</v>
      </c>
      <c r="O429" s="2" t="s">
        <v>3181</v>
      </c>
      <c r="P429" s="3" t="s">
        <v>64</v>
      </c>
      <c r="R429" s="3" t="s">
        <v>65</v>
      </c>
      <c r="S429" s="4">
        <v>80</v>
      </c>
      <c r="T429" s="4">
        <v>80</v>
      </c>
      <c r="U429" s="5" t="s">
        <v>4468</v>
      </c>
      <c r="V429" s="5" t="s">
        <v>4468</v>
      </c>
      <c r="W429" s="5" t="s">
        <v>67</v>
      </c>
      <c r="X429" s="5" t="s">
        <v>67</v>
      </c>
      <c r="Y429" s="4">
        <v>31</v>
      </c>
      <c r="Z429" s="4">
        <v>7</v>
      </c>
      <c r="AA429" s="4">
        <v>81</v>
      </c>
      <c r="AB429" s="4">
        <v>2</v>
      </c>
      <c r="AC429" s="4">
        <v>10</v>
      </c>
      <c r="AD429" s="4">
        <v>9</v>
      </c>
      <c r="AE429" s="4">
        <v>160</v>
      </c>
      <c r="AF429" s="4">
        <v>0</v>
      </c>
      <c r="AG429" s="4">
        <v>6</v>
      </c>
      <c r="AH429" s="4">
        <v>9</v>
      </c>
      <c r="AI429" s="4">
        <v>116</v>
      </c>
      <c r="AJ429" s="4">
        <v>3</v>
      </c>
      <c r="AK429" s="4">
        <v>26</v>
      </c>
      <c r="AL429" s="4">
        <v>6</v>
      </c>
      <c r="AM429" s="4">
        <v>60</v>
      </c>
      <c r="AN429" s="4">
        <v>0</v>
      </c>
      <c r="AO429" s="4">
        <v>0</v>
      </c>
      <c r="AP429" s="4">
        <v>3</v>
      </c>
      <c r="AQ429" s="4">
        <v>53</v>
      </c>
      <c r="AR429" s="3" t="s">
        <v>62</v>
      </c>
      <c r="AS429" s="3" t="s">
        <v>62</v>
      </c>
      <c r="AT429" s="3" t="s">
        <v>62</v>
      </c>
      <c r="AV429" s="6" t="str">
        <f>HYPERLINK("http://mcgill.on.worldcat.org/oclc/13174179","Catalog Record")</f>
        <v>Catalog Record</v>
      </c>
      <c r="AW429" s="6" t="str">
        <f>HYPERLINK("http://www.worldcat.org/oclc/13174179","WorldCat Record")</f>
        <v>WorldCat Record</v>
      </c>
      <c r="AX429" s="3" t="s">
        <v>4459</v>
      </c>
      <c r="AY429" s="3" t="s">
        <v>4469</v>
      </c>
      <c r="AZ429" s="3" t="s">
        <v>4470</v>
      </c>
      <c r="BA429" s="3" t="s">
        <v>4470</v>
      </c>
      <c r="BB429" s="3" t="s">
        <v>4471</v>
      </c>
      <c r="BC429" s="3" t="s">
        <v>102</v>
      </c>
      <c r="BD429" s="3" t="s">
        <v>68</v>
      </c>
      <c r="BE429" s="3" t="s">
        <v>4472</v>
      </c>
      <c r="BF429" s="3" t="s">
        <v>4471</v>
      </c>
      <c r="BG429" s="3" t="s">
        <v>4473</v>
      </c>
    </row>
    <row r="430" spans="1:59" ht="58" x14ac:dyDescent="0.35">
      <c r="A430" s="2" t="s">
        <v>89</v>
      </c>
      <c r="B430" s="2" t="s">
        <v>90</v>
      </c>
      <c r="C430" s="2" t="s">
        <v>4474</v>
      </c>
      <c r="D430" s="2" t="s">
        <v>4475</v>
      </c>
      <c r="E430" s="2" t="s">
        <v>4476</v>
      </c>
      <c r="G430" s="3" t="s">
        <v>62</v>
      </c>
      <c r="I430" s="3" t="s">
        <v>62</v>
      </c>
      <c r="J430" s="3" t="s">
        <v>62</v>
      </c>
      <c r="K430" s="3" t="s">
        <v>63</v>
      </c>
      <c r="L430" s="2" t="s">
        <v>4477</v>
      </c>
      <c r="M430" s="2" t="s">
        <v>4478</v>
      </c>
      <c r="N430" s="3" t="s">
        <v>466</v>
      </c>
      <c r="O430" s="2" t="s">
        <v>2163</v>
      </c>
      <c r="P430" s="3" t="s">
        <v>64</v>
      </c>
      <c r="Q430" s="2" t="s">
        <v>4479</v>
      </c>
      <c r="R430" s="3" t="s">
        <v>65</v>
      </c>
      <c r="S430" s="4">
        <v>26</v>
      </c>
      <c r="T430" s="4">
        <v>26</v>
      </c>
      <c r="U430" s="5" t="s">
        <v>4363</v>
      </c>
      <c r="V430" s="5" t="s">
        <v>4363</v>
      </c>
      <c r="W430" s="5" t="s">
        <v>67</v>
      </c>
      <c r="X430" s="5" t="s">
        <v>67</v>
      </c>
      <c r="Y430" s="4">
        <v>678</v>
      </c>
      <c r="Z430" s="4">
        <v>45</v>
      </c>
      <c r="AA430" s="4">
        <v>63</v>
      </c>
      <c r="AB430" s="4">
        <v>4</v>
      </c>
      <c r="AC430" s="4">
        <v>8</v>
      </c>
      <c r="AD430" s="4">
        <v>133</v>
      </c>
      <c r="AE430" s="4">
        <v>146</v>
      </c>
      <c r="AF430" s="4">
        <v>2</v>
      </c>
      <c r="AG430" s="4">
        <v>5</v>
      </c>
      <c r="AH430" s="4">
        <v>104</v>
      </c>
      <c r="AI430" s="4">
        <v>107</v>
      </c>
      <c r="AJ430" s="4">
        <v>19</v>
      </c>
      <c r="AK430" s="4">
        <v>26</v>
      </c>
      <c r="AL430" s="4">
        <v>59</v>
      </c>
      <c r="AM430" s="4">
        <v>59</v>
      </c>
      <c r="AN430" s="4">
        <v>0</v>
      </c>
      <c r="AO430" s="4">
        <v>0</v>
      </c>
      <c r="AP430" s="4">
        <v>34</v>
      </c>
      <c r="AQ430" s="4">
        <v>44</v>
      </c>
      <c r="AR430" s="3" t="s">
        <v>62</v>
      </c>
      <c r="AS430" s="3" t="s">
        <v>62</v>
      </c>
      <c r="AT430" s="3" t="s">
        <v>61</v>
      </c>
      <c r="AU430" s="6" t="str">
        <f>HYPERLINK("http://catalog.hathitrust.org/Record/002545052","HathiTrust Record")</f>
        <v>HathiTrust Record</v>
      </c>
      <c r="AV430" s="6" t="str">
        <f>HYPERLINK("http://mcgill.on.worldcat.org/oclc/23976388","Catalog Record")</f>
        <v>Catalog Record</v>
      </c>
      <c r="AW430" s="6" t="str">
        <f>HYPERLINK("http://www.worldcat.org/oclc/23976388","WorldCat Record")</f>
        <v>WorldCat Record</v>
      </c>
      <c r="AX430" s="3" t="s">
        <v>4480</v>
      </c>
      <c r="AY430" s="3" t="s">
        <v>4481</v>
      </c>
      <c r="AZ430" s="3" t="s">
        <v>4482</v>
      </c>
      <c r="BA430" s="3" t="s">
        <v>4482</v>
      </c>
      <c r="BB430" s="3" t="s">
        <v>4483</v>
      </c>
      <c r="BC430" s="3" t="s">
        <v>102</v>
      </c>
      <c r="BD430" s="3" t="s">
        <v>68</v>
      </c>
      <c r="BE430" s="3" t="s">
        <v>4484</v>
      </c>
      <c r="BF430" s="3" t="s">
        <v>4483</v>
      </c>
      <c r="BG430" s="3" t="s">
        <v>4485</v>
      </c>
    </row>
    <row r="431" spans="1:59" ht="58" x14ac:dyDescent="0.35">
      <c r="A431" s="2" t="s">
        <v>89</v>
      </c>
      <c r="B431" s="2" t="s">
        <v>90</v>
      </c>
      <c r="C431" s="2" t="s">
        <v>4486</v>
      </c>
      <c r="D431" s="2" t="s">
        <v>4487</v>
      </c>
      <c r="E431" s="2" t="s">
        <v>4488</v>
      </c>
      <c r="G431" s="3" t="s">
        <v>62</v>
      </c>
      <c r="I431" s="3" t="s">
        <v>62</v>
      </c>
      <c r="J431" s="3" t="s">
        <v>62</v>
      </c>
      <c r="K431" s="3" t="s">
        <v>63</v>
      </c>
      <c r="M431" s="2" t="s">
        <v>4489</v>
      </c>
      <c r="N431" s="3" t="s">
        <v>1482</v>
      </c>
      <c r="P431" s="3" t="s">
        <v>64</v>
      </c>
      <c r="R431" s="3" t="s">
        <v>65</v>
      </c>
      <c r="S431" s="4">
        <v>27</v>
      </c>
      <c r="T431" s="4">
        <v>27</v>
      </c>
      <c r="U431" s="5" t="s">
        <v>4363</v>
      </c>
      <c r="V431" s="5" t="s">
        <v>4363</v>
      </c>
      <c r="W431" s="5" t="s">
        <v>67</v>
      </c>
      <c r="X431" s="5" t="s">
        <v>67</v>
      </c>
      <c r="Y431" s="4">
        <v>324</v>
      </c>
      <c r="Z431" s="4">
        <v>28</v>
      </c>
      <c r="AA431" s="4">
        <v>31</v>
      </c>
      <c r="AB431" s="4">
        <v>2</v>
      </c>
      <c r="AC431" s="4">
        <v>5</v>
      </c>
      <c r="AD431" s="4">
        <v>101</v>
      </c>
      <c r="AE431" s="4">
        <v>105</v>
      </c>
      <c r="AF431" s="4">
        <v>1</v>
      </c>
      <c r="AG431" s="4">
        <v>4</v>
      </c>
      <c r="AH431" s="4">
        <v>84</v>
      </c>
      <c r="AI431" s="4">
        <v>86</v>
      </c>
      <c r="AJ431" s="4">
        <v>18</v>
      </c>
      <c r="AK431" s="4">
        <v>21</v>
      </c>
      <c r="AL431" s="4">
        <v>44</v>
      </c>
      <c r="AM431" s="4">
        <v>44</v>
      </c>
      <c r="AN431" s="4">
        <v>0</v>
      </c>
      <c r="AO431" s="4">
        <v>0</v>
      </c>
      <c r="AP431" s="4">
        <v>25</v>
      </c>
      <c r="AQ431" s="4">
        <v>27</v>
      </c>
      <c r="AR431" s="3" t="s">
        <v>62</v>
      </c>
      <c r="AS431" s="3" t="s">
        <v>62</v>
      </c>
      <c r="AT431" s="3" t="s">
        <v>61</v>
      </c>
      <c r="AU431" s="6" t="str">
        <f>HYPERLINK("http://catalog.hathitrust.org/Record/000804347","HathiTrust Record")</f>
        <v>HathiTrust Record</v>
      </c>
      <c r="AV431" s="6" t="str">
        <f>HYPERLINK("http://mcgill.on.worldcat.org/oclc/14188301","Catalog Record")</f>
        <v>Catalog Record</v>
      </c>
      <c r="AW431" s="6" t="str">
        <f>HYPERLINK("http://www.worldcat.org/oclc/14188301","WorldCat Record")</f>
        <v>WorldCat Record</v>
      </c>
      <c r="AX431" s="3" t="s">
        <v>4490</v>
      </c>
      <c r="AY431" s="3" t="s">
        <v>4491</v>
      </c>
      <c r="AZ431" s="3" t="s">
        <v>4492</v>
      </c>
      <c r="BA431" s="3" t="s">
        <v>4492</v>
      </c>
      <c r="BB431" s="3" t="s">
        <v>4493</v>
      </c>
      <c r="BC431" s="3" t="s">
        <v>102</v>
      </c>
      <c r="BD431" s="3" t="s">
        <v>68</v>
      </c>
      <c r="BE431" s="3" t="s">
        <v>4494</v>
      </c>
      <c r="BF431" s="3" t="s">
        <v>4493</v>
      </c>
      <c r="BG431" s="3" t="s">
        <v>4495</v>
      </c>
    </row>
    <row r="432" spans="1:59" ht="58" x14ac:dyDescent="0.35">
      <c r="A432" s="2" t="s">
        <v>89</v>
      </c>
      <c r="B432" s="2" t="s">
        <v>90</v>
      </c>
      <c r="C432" s="2" t="s">
        <v>4496</v>
      </c>
      <c r="D432" s="2" t="s">
        <v>4497</v>
      </c>
      <c r="E432" s="2" t="s">
        <v>4498</v>
      </c>
      <c r="G432" s="3" t="s">
        <v>62</v>
      </c>
      <c r="I432" s="3" t="s">
        <v>61</v>
      </c>
      <c r="J432" s="3" t="s">
        <v>62</v>
      </c>
      <c r="K432" s="3" t="s">
        <v>63</v>
      </c>
      <c r="L432" s="2" t="s">
        <v>4499</v>
      </c>
      <c r="M432" s="2" t="s">
        <v>4500</v>
      </c>
      <c r="N432" s="3" t="s">
        <v>893</v>
      </c>
      <c r="P432" s="3" t="s">
        <v>64</v>
      </c>
      <c r="R432" s="3" t="s">
        <v>65</v>
      </c>
      <c r="S432" s="4">
        <v>27</v>
      </c>
      <c r="T432" s="4">
        <v>37</v>
      </c>
      <c r="U432" s="5" t="s">
        <v>4501</v>
      </c>
      <c r="V432" s="5" t="s">
        <v>4501</v>
      </c>
      <c r="W432" s="5" t="s">
        <v>67</v>
      </c>
      <c r="X432" s="5" t="s">
        <v>67</v>
      </c>
      <c r="Y432" s="4">
        <v>1264</v>
      </c>
      <c r="Z432" s="4">
        <v>44</v>
      </c>
      <c r="AA432" s="4">
        <v>54</v>
      </c>
      <c r="AB432" s="4">
        <v>3</v>
      </c>
      <c r="AC432" s="4">
        <v>8</v>
      </c>
      <c r="AD432" s="4">
        <v>141</v>
      </c>
      <c r="AE432" s="4">
        <v>149</v>
      </c>
      <c r="AF432" s="4">
        <v>1</v>
      </c>
      <c r="AG432" s="4">
        <v>5</v>
      </c>
      <c r="AH432" s="4">
        <v>115</v>
      </c>
      <c r="AI432" s="4">
        <v>118</v>
      </c>
      <c r="AJ432" s="4">
        <v>22</v>
      </c>
      <c r="AK432" s="4">
        <v>28</v>
      </c>
      <c r="AL432" s="4">
        <v>60</v>
      </c>
      <c r="AM432" s="4">
        <v>60</v>
      </c>
      <c r="AN432" s="4">
        <v>0</v>
      </c>
      <c r="AO432" s="4">
        <v>0</v>
      </c>
      <c r="AP432" s="4">
        <v>31</v>
      </c>
      <c r="AQ432" s="4">
        <v>38</v>
      </c>
      <c r="AR432" s="3" t="s">
        <v>62</v>
      </c>
      <c r="AS432" s="3" t="s">
        <v>62</v>
      </c>
      <c r="AT432" s="3" t="s">
        <v>61</v>
      </c>
      <c r="AU432" s="6" t="str">
        <f>HYPERLINK("http://catalog.hathitrust.org/Record/000271398","HathiTrust Record")</f>
        <v>HathiTrust Record</v>
      </c>
      <c r="AV432" s="6" t="str">
        <f>HYPERLINK("http://mcgill.on.worldcat.org/oclc/8052928","Catalog Record")</f>
        <v>Catalog Record</v>
      </c>
      <c r="AW432" s="6" t="str">
        <f>HYPERLINK("http://www.worldcat.org/oclc/8052928","WorldCat Record")</f>
        <v>WorldCat Record</v>
      </c>
      <c r="AX432" s="3" t="s">
        <v>4502</v>
      </c>
      <c r="AY432" s="3" t="s">
        <v>4503</v>
      </c>
      <c r="AZ432" s="3" t="s">
        <v>4504</v>
      </c>
      <c r="BA432" s="3" t="s">
        <v>4504</v>
      </c>
      <c r="BB432" s="3" t="s">
        <v>4505</v>
      </c>
      <c r="BC432" s="3" t="s">
        <v>102</v>
      </c>
      <c r="BD432" s="3" t="s">
        <v>68</v>
      </c>
      <c r="BE432" s="3" t="s">
        <v>4506</v>
      </c>
      <c r="BF432" s="3" t="s">
        <v>4505</v>
      </c>
      <c r="BG432" s="3" t="s">
        <v>4507</v>
      </c>
    </row>
    <row r="433" spans="1:59" ht="58" x14ac:dyDescent="0.35">
      <c r="A433" s="2" t="s">
        <v>89</v>
      </c>
      <c r="B433" s="2" t="s">
        <v>90</v>
      </c>
      <c r="C433" s="2" t="s">
        <v>4508</v>
      </c>
      <c r="D433" s="2" t="s">
        <v>4509</v>
      </c>
      <c r="E433" s="2" t="s">
        <v>4510</v>
      </c>
      <c r="G433" s="3" t="s">
        <v>62</v>
      </c>
      <c r="I433" s="3" t="s">
        <v>62</v>
      </c>
      <c r="J433" s="3" t="s">
        <v>62</v>
      </c>
      <c r="K433" s="3" t="s">
        <v>63</v>
      </c>
      <c r="L433" s="2" t="s">
        <v>4499</v>
      </c>
      <c r="M433" s="2" t="s">
        <v>4511</v>
      </c>
      <c r="N433" s="3" t="s">
        <v>524</v>
      </c>
      <c r="P433" s="3" t="s">
        <v>64</v>
      </c>
      <c r="R433" s="3" t="s">
        <v>65</v>
      </c>
      <c r="S433" s="4">
        <v>11</v>
      </c>
      <c r="T433" s="4">
        <v>11</v>
      </c>
      <c r="U433" s="5" t="s">
        <v>4501</v>
      </c>
      <c r="V433" s="5" t="s">
        <v>4501</v>
      </c>
      <c r="W433" s="5" t="s">
        <v>67</v>
      </c>
      <c r="X433" s="5" t="s">
        <v>67</v>
      </c>
      <c r="Y433" s="4">
        <v>938</v>
      </c>
      <c r="Z433" s="4">
        <v>36</v>
      </c>
      <c r="AA433" s="4">
        <v>47</v>
      </c>
      <c r="AB433" s="4">
        <v>1</v>
      </c>
      <c r="AC433" s="4">
        <v>5</v>
      </c>
      <c r="AD433" s="4">
        <v>125</v>
      </c>
      <c r="AE433" s="4">
        <v>135</v>
      </c>
      <c r="AF433" s="4">
        <v>0</v>
      </c>
      <c r="AG433" s="4">
        <v>2</v>
      </c>
      <c r="AH433" s="4">
        <v>105</v>
      </c>
      <c r="AI433" s="4">
        <v>109</v>
      </c>
      <c r="AJ433" s="4">
        <v>20</v>
      </c>
      <c r="AK433" s="4">
        <v>23</v>
      </c>
      <c r="AL433" s="4">
        <v>54</v>
      </c>
      <c r="AM433" s="4">
        <v>57</v>
      </c>
      <c r="AN433" s="4">
        <v>0</v>
      </c>
      <c r="AO433" s="4">
        <v>0</v>
      </c>
      <c r="AP433" s="4">
        <v>26</v>
      </c>
      <c r="AQ433" s="4">
        <v>32</v>
      </c>
      <c r="AR433" s="3" t="s">
        <v>62</v>
      </c>
      <c r="AS433" s="3" t="s">
        <v>62</v>
      </c>
      <c r="AT433" s="3" t="s">
        <v>61</v>
      </c>
      <c r="AU433" s="6" t="str">
        <f>HYPERLINK("http://catalog.hathitrust.org/Record/003017959","HathiTrust Record")</f>
        <v>HathiTrust Record</v>
      </c>
      <c r="AV433" s="6" t="str">
        <f>HYPERLINK("http://mcgill.on.worldcat.org/oclc/32014330","Catalog Record")</f>
        <v>Catalog Record</v>
      </c>
      <c r="AW433" s="6" t="str">
        <f>HYPERLINK("http://www.worldcat.org/oclc/32014330","WorldCat Record")</f>
        <v>WorldCat Record</v>
      </c>
      <c r="AX433" s="3" t="s">
        <v>4512</v>
      </c>
      <c r="AY433" s="3" t="s">
        <v>4513</v>
      </c>
      <c r="AZ433" s="3" t="s">
        <v>4514</v>
      </c>
      <c r="BA433" s="3" t="s">
        <v>4514</v>
      </c>
      <c r="BB433" s="3" t="s">
        <v>4515</v>
      </c>
      <c r="BC433" s="3" t="s">
        <v>102</v>
      </c>
      <c r="BD433" s="3" t="s">
        <v>231</v>
      </c>
      <c r="BE433" s="3" t="s">
        <v>4516</v>
      </c>
      <c r="BF433" s="3" t="s">
        <v>4515</v>
      </c>
      <c r="BG433" s="3" t="s">
        <v>4517</v>
      </c>
    </row>
    <row r="434" spans="1:59" ht="58" x14ac:dyDescent="0.35">
      <c r="A434" s="2" t="s">
        <v>89</v>
      </c>
      <c r="B434" s="2" t="s">
        <v>90</v>
      </c>
      <c r="C434" s="2" t="s">
        <v>4518</v>
      </c>
      <c r="D434" s="2" t="s">
        <v>4519</v>
      </c>
      <c r="E434" s="2" t="s">
        <v>4520</v>
      </c>
      <c r="G434" s="3" t="s">
        <v>62</v>
      </c>
      <c r="I434" s="3" t="s">
        <v>62</v>
      </c>
      <c r="J434" s="3" t="s">
        <v>62</v>
      </c>
      <c r="K434" s="3" t="s">
        <v>63</v>
      </c>
      <c r="L434" s="2" t="s">
        <v>4521</v>
      </c>
      <c r="M434" s="2" t="s">
        <v>4522</v>
      </c>
      <c r="N434" s="3" t="s">
        <v>880</v>
      </c>
      <c r="P434" s="3" t="s">
        <v>64</v>
      </c>
      <c r="Q434" s="2" t="s">
        <v>4523</v>
      </c>
      <c r="R434" s="3" t="s">
        <v>65</v>
      </c>
      <c r="S434" s="4">
        <v>5</v>
      </c>
      <c r="T434" s="4">
        <v>5</v>
      </c>
      <c r="U434" s="5" t="s">
        <v>4446</v>
      </c>
      <c r="V434" s="5" t="s">
        <v>4446</v>
      </c>
      <c r="W434" s="5" t="s">
        <v>67</v>
      </c>
      <c r="X434" s="5" t="s">
        <v>67</v>
      </c>
      <c r="Y434" s="4">
        <v>290</v>
      </c>
      <c r="Z434" s="4">
        <v>21</v>
      </c>
      <c r="AA434" s="4">
        <v>35</v>
      </c>
      <c r="AB434" s="4">
        <v>2</v>
      </c>
      <c r="AC434" s="4">
        <v>5</v>
      </c>
      <c r="AD434" s="4">
        <v>92</v>
      </c>
      <c r="AE434" s="4">
        <v>108</v>
      </c>
      <c r="AF434" s="4">
        <v>0</v>
      </c>
      <c r="AG434" s="4">
        <v>2</v>
      </c>
      <c r="AH434" s="4">
        <v>82</v>
      </c>
      <c r="AI434" s="4">
        <v>90</v>
      </c>
      <c r="AJ434" s="4">
        <v>10</v>
      </c>
      <c r="AK434" s="4">
        <v>14</v>
      </c>
      <c r="AL434" s="4">
        <v>46</v>
      </c>
      <c r="AM434" s="4">
        <v>49</v>
      </c>
      <c r="AN434" s="4">
        <v>0</v>
      </c>
      <c r="AO434" s="4">
        <v>0</v>
      </c>
      <c r="AP434" s="4">
        <v>15</v>
      </c>
      <c r="AQ434" s="4">
        <v>24</v>
      </c>
      <c r="AR434" s="3" t="s">
        <v>62</v>
      </c>
      <c r="AS434" s="3" t="s">
        <v>62</v>
      </c>
      <c r="AT434" s="3" t="s">
        <v>62</v>
      </c>
      <c r="AV434" s="6" t="str">
        <f>HYPERLINK("http://mcgill.on.worldcat.org/oclc/426065859","Catalog Record")</f>
        <v>Catalog Record</v>
      </c>
      <c r="AW434" s="6" t="str">
        <f>HYPERLINK("http://www.worldcat.org/oclc/426065859","WorldCat Record")</f>
        <v>WorldCat Record</v>
      </c>
      <c r="AX434" s="3" t="s">
        <v>4524</v>
      </c>
      <c r="AY434" s="3" t="s">
        <v>4525</v>
      </c>
      <c r="AZ434" s="3" t="s">
        <v>4526</v>
      </c>
      <c r="BA434" s="3" t="s">
        <v>4526</v>
      </c>
      <c r="BB434" s="3" t="s">
        <v>4527</v>
      </c>
      <c r="BC434" s="3" t="s">
        <v>102</v>
      </c>
      <c r="BD434" s="3" t="s">
        <v>68</v>
      </c>
      <c r="BE434" s="3" t="s">
        <v>4528</v>
      </c>
      <c r="BF434" s="3" t="s">
        <v>4527</v>
      </c>
      <c r="BG434" s="3" t="s">
        <v>4529</v>
      </c>
    </row>
    <row r="435" spans="1:59" ht="58" x14ac:dyDescent="0.35">
      <c r="A435" s="2" t="s">
        <v>89</v>
      </c>
      <c r="B435" s="2" t="s">
        <v>90</v>
      </c>
      <c r="C435" s="2" t="s">
        <v>4530</v>
      </c>
      <c r="D435" s="2" t="s">
        <v>4531</v>
      </c>
      <c r="E435" s="2" t="s">
        <v>4532</v>
      </c>
      <c r="G435" s="3" t="s">
        <v>62</v>
      </c>
      <c r="I435" s="3" t="s">
        <v>62</v>
      </c>
      <c r="J435" s="3" t="s">
        <v>62</v>
      </c>
      <c r="K435" s="3" t="s">
        <v>63</v>
      </c>
      <c r="L435" s="2" t="s">
        <v>4533</v>
      </c>
      <c r="M435" s="2" t="s">
        <v>4534</v>
      </c>
      <c r="N435" s="3" t="s">
        <v>115</v>
      </c>
      <c r="P435" s="3" t="s">
        <v>64</v>
      </c>
      <c r="R435" s="3" t="s">
        <v>65</v>
      </c>
      <c r="S435" s="4">
        <v>83</v>
      </c>
      <c r="T435" s="4">
        <v>83</v>
      </c>
      <c r="U435" s="5" t="s">
        <v>4535</v>
      </c>
      <c r="V435" s="5" t="s">
        <v>4535</v>
      </c>
      <c r="W435" s="5" t="s">
        <v>67</v>
      </c>
      <c r="X435" s="5" t="s">
        <v>67</v>
      </c>
      <c r="Y435" s="4">
        <v>1102</v>
      </c>
      <c r="Z435" s="4">
        <v>58</v>
      </c>
      <c r="AA435" s="4">
        <v>67</v>
      </c>
      <c r="AB435" s="4">
        <v>4</v>
      </c>
      <c r="AC435" s="4">
        <v>7</v>
      </c>
      <c r="AD435" s="4">
        <v>145</v>
      </c>
      <c r="AE435" s="4">
        <v>150</v>
      </c>
      <c r="AF435" s="4">
        <v>1</v>
      </c>
      <c r="AG435" s="4">
        <v>4</v>
      </c>
      <c r="AH435" s="4">
        <v>113</v>
      </c>
      <c r="AI435" s="4">
        <v>114</v>
      </c>
      <c r="AJ435" s="4">
        <v>22</v>
      </c>
      <c r="AK435" s="4">
        <v>25</v>
      </c>
      <c r="AL435" s="4">
        <v>59</v>
      </c>
      <c r="AM435" s="4">
        <v>59</v>
      </c>
      <c r="AN435" s="4">
        <v>0</v>
      </c>
      <c r="AO435" s="4">
        <v>0</v>
      </c>
      <c r="AP435" s="4">
        <v>40</v>
      </c>
      <c r="AQ435" s="4">
        <v>44</v>
      </c>
      <c r="AR435" s="3" t="s">
        <v>62</v>
      </c>
      <c r="AS435" s="3" t="s">
        <v>62</v>
      </c>
      <c r="AT435" s="3" t="s">
        <v>61</v>
      </c>
      <c r="AU435" s="6" t="str">
        <f>HYPERLINK("http://catalog.hathitrust.org/Record/001814703","HathiTrust Record")</f>
        <v>HathiTrust Record</v>
      </c>
      <c r="AV435" s="6" t="str">
        <f>HYPERLINK("http://mcgill.on.worldcat.org/oclc/18983299","Catalog Record")</f>
        <v>Catalog Record</v>
      </c>
      <c r="AW435" s="6" t="str">
        <f>HYPERLINK("http://www.worldcat.org/oclc/18983299","WorldCat Record")</f>
        <v>WorldCat Record</v>
      </c>
      <c r="AX435" s="3" t="s">
        <v>4536</v>
      </c>
      <c r="AY435" s="3" t="s">
        <v>4537</v>
      </c>
      <c r="AZ435" s="3" t="s">
        <v>4538</v>
      </c>
      <c r="BA435" s="3" t="s">
        <v>4538</v>
      </c>
      <c r="BB435" s="3" t="s">
        <v>4539</v>
      </c>
      <c r="BC435" s="3" t="s">
        <v>102</v>
      </c>
      <c r="BD435" s="3" t="s">
        <v>231</v>
      </c>
      <c r="BE435" s="3" t="s">
        <v>4540</v>
      </c>
      <c r="BF435" s="3" t="s">
        <v>4539</v>
      </c>
      <c r="BG435" s="3" t="s">
        <v>4541</v>
      </c>
    </row>
    <row r="436" spans="1:59" ht="58" x14ac:dyDescent="0.35">
      <c r="A436" s="2" t="s">
        <v>89</v>
      </c>
      <c r="B436" s="2" t="s">
        <v>90</v>
      </c>
      <c r="C436" s="2" t="s">
        <v>4542</v>
      </c>
      <c r="D436" s="2" t="s">
        <v>4543</v>
      </c>
      <c r="E436" s="2" t="s">
        <v>4544</v>
      </c>
      <c r="G436" s="3" t="s">
        <v>62</v>
      </c>
      <c r="I436" s="3" t="s">
        <v>62</v>
      </c>
      <c r="J436" s="3" t="s">
        <v>62</v>
      </c>
      <c r="K436" s="3" t="s">
        <v>63</v>
      </c>
      <c r="L436" s="2" t="s">
        <v>4545</v>
      </c>
      <c r="M436" s="2" t="s">
        <v>4546</v>
      </c>
      <c r="N436" s="3" t="s">
        <v>684</v>
      </c>
      <c r="P436" s="3" t="s">
        <v>64</v>
      </c>
      <c r="Q436" s="2" t="s">
        <v>4547</v>
      </c>
      <c r="R436" s="3" t="s">
        <v>65</v>
      </c>
      <c r="S436" s="4">
        <v>0</v>
      </c>
      <c r="T436" s="4">
        <v>0</v>
      </c>
      <c r="W436" s="5" t="s">
        <v>67</v>
      </c>
      <c r="X436" s="5" t="s">
        <v>67</v>
      </c>
      <c r="Y436" s="4">
        <v>21</v>
      </c>
      <c r="Z436" s="4">
        <v>4</v>
      </c>
      <c r="AA436" s="4">
        <v>4</v>
      </c>
      <c r="AB436" s="4">
        <v>1</v>
      </c>
      <c r="AC436" s="4">
        <v>1</v>
      </c>
      <c r="AD436" s="4">
        <v>11</v>
      </c>
      <c r="AE436" s="4">
        <v>11</v>
      </c>
      <c r="AF436" s="4">
        <v>0</v>
      </c>
      <c r="AG436" s="4">
        <v>0</v>
      </c>
      <c r="AH436" s="4">
        <v>9</v>
      </c>
      <c r="AI436" s="4">
        <v>9</v>
      </c>
      <c r="AJ436" s="4">
        <v>3</v>
      </c>
      <c r="AK436" s="4">
        <v>3</v>
      </c>
      <c r="AL436" s="4">
        <v>6</v>
      </c>
      <c r="AM436" s="4">
        <v>6</v>
      </c>
      <c r="AN436" s="4">
        <v>0</v>
      </c>
      <c r="AO436" s="4">
        <v>0</v>
      </c>
      <c r="AP436" s="4">
        <v>2</v>
      </c>
      <c r="AQ436" s="4">
        <v>2</v>
      </c>
      <c r="AR436" s="3" t="s">
        <v>62</v>
      </c>
      <c r="AS436" s="3" t="s">
        <v>62</v>
      </c>
      <c r="AT436" s="3" t="s">
        <v>62</v>
      </c>
      <c r="AV436" s="6" t="str">
        <f>HYPERLINK("http://mcgill.on.worldcat.org/oclc/779342414","Catalog Record")</f>
        <v>Catalog Record</v>
      </c>
      <c r="AW436" s="6" t="str">
        <f>HYPERLINK("http://www.worldcat.org/oclc/779342414","WorldCat Record")</f>
        <v>WorldCat Record</v>
      </c>
      <c r="AX436" s="3" t="s">
        <v>4548</v>
      </c>
      <c r="AY436" s="3" t="s">
        <v>4549</v>
      </c>
      <c r="AZ436" s="3" t="s">
        <v>4550</v>
      </c>
      <c r="BA436" s="3" t="s">
        <v>4550</v>
      </c>
      <c r="BB436" s="3" t="s">
        <v>4551</v>
      </c>
      <c r="BC436" s="3" t="s">
        <v>102</v>
      </c>
      <c r="BD436" s="3" t="s">
        <v>68</v>
      </c>
      <c r="BF436" s="3" t="s">
        <v>4551</v>
      </c>
      <c r="BG436" s="3" t="s">
        <v>4552</v>
      </c>
    </row>
    <row r="437" spans="1:59" ht="58" x14ac:dyDescent="0.35">
      <c r="A437" s="2" t="s">
        <v>89</v>
      </c>
      <c r="B437" s="2" t="s">
        <v>90</v>
      </c>
      <c r="C437" s="2" t="s">
        <v>4553</v>
      </c>
      <c r="D437" s="2" t="s">
        <v>4554</v>
      </c>
      <c r="E437" s="2" t="s">
        <v>4555</v>
      </c>
      <c r="G437" s="3" t="s">
        <v>62</v>
      </c>
      <c r="I437" s="3" t="s">
        <v>62</v>
      </c>
      <c r="J437" s="3" t="s">
        <v>62</v>
      </c>
      <c r="K437" s="3" t="s">
        <v>63</v>
      </c>
      <c r="M437" s="2" t="s">
        <v>4556</v>
      </c>
      <c r="N437" s="3" t="s">
        <v>655</v>
      </c>
      <c r="O437" s="2" t="s">
        <v>2163</v>
      </c>
      <c r="P437" s="3" t="s">
        <v>64</v>
      </c>
      <c r="R437" s="3" t="s">
        <v>65</v>
      </c>
      <c r="S437" s="4">
        <v>10</v>
      </c>
      <c r="T437" s="4">
        <v>10</v>
      </c>
      <c r="U437" s="5" t="s">
        <v>4557</v>
      </c>
      <c r="V437" s="5" t="s">
        <v>4557</v>
      </c>
      <c r="W437" s="5" t="s">
        <v>67</v>
      </c>
      <c r="X437" s="5" t="s">
        <v>67</v>
      </c>
      <c r="Y437" s="4">
        <v>819</v>
      </c>
      <c r="Z437" s="4">
        <v>41</v>
      </c>
      <c r="AA437" s="4">
        <v>52</v>
      </c>
      <c r="AB437" s="4">
        <v>3</v>
      </c>
      <c r="AC437" s="4">
        <v>7</v>
      </c>
      <c r="AD437" s="4">
        <v>124</v>
      </c>
      <c r="AE437" s="4">
        <v>134</v>
      </c>
      <c r="AF437" s="4">
        <v>2</v>
      </c>
      <c r="AG437" s="4">
        <v>6</v>
      </c>
      <c r="AH437" s="4">
        <v>102</v>
      </c>
      <c r="AI437" s="4">
        <v>104</v>
      </c>
      <c r="AJ437" s="4">
        <v>18</v>
      </c>
      <c r="AK437" s="4">
        <v>23</v>
      </c>
      <c r="AL437" s="4">
        <v>55</v>
      </c>
      <c r="AM437" s="4">
        <v>55</v>
      </c>
      <c r="AN437" s="4">
        <v>0</v>
      </c>
      <c r="AO437" s="4">
        <v>0</v>
      </c>
      <c r="AP437" s="4">
        <v>30</v>
      </c>
      <c r="AQ437" s="4">
        <v>38</v>
      </c>
      <c r="AR437" s="3" t="s">
        <v>62</v>
      </c>
      <c r="AS437" s="3" t="s">
        <v>62</v>
      </c>
      <c r="AT437" s="3" t="s">
        <v>61</v>
      </c>
      <c r="AU437" s="6" t="str">
        <f>HYPERLINK("http://catalog.hathitrust.org/Record/005418038","HathiTrust Record")</f>
        <v>HathiTrust Record</v>
      </c>
      <c r="AV437" s="6" t="str">
        <f>HYPERLINK("http://mcgill.on.worldcat.org/oclc/71004123","Catalog Record")</f>
        <v>Catalog Record</v>
      </c>
      <c r="AW437" s="6" t="str">
        <f>HYPERLINK("http://www.worldcat.org/oclc/71004123","WorldCat Record")</f>
        <v>WorldCat Record</v>
      </c>
      <c r="AX437" s="3" t="s">
        <v>4558</v>
      </c>
      <c r="AY437" s="3" t="s">
        <v>4559</v>
      </c>
      <c r="AZ437" s="3" t="s">
        <v>4560</v>
      </c>
      <c r="BA437" s="3" t="s">
        <v>4560</v>
      </c>
      <c r="BB437" s="3" t="s">
        <v>4561</v>
      </c>
      <c r="BC437" s="3" t="s">
        <v>102</v>
      </c>
      <c r="BD437" s="3" t="s">
        <v>68</v>
      </c>
      <c r="BE437" s="3" t="s">
        <v>4562</v>
      </c>
      <c r="BF437" s="3" t="s">
        <v>4561</v>
      </c>
      <c r="BG437" s="3" t="s">
        <v>4563</v>
      </c>
    </row>
    <row r="438" spans="1:59" ht="58" x14ac:dyDescent="0.35">
      <c r="A438" s="2" t="s">
        <v>89</v>
      </c>
      <c r="B438" s="2" t="s">
        <v>90</v>
      </c>
      <c r="C438" s="2" t="s">
        <v>4564</v>
      </c>
      <c r="D438" s="2" t="s">
        <v>4565</v>
      </c>
      <c r="E438" s="2" t="s">
        <v>4566</v>
      </c>
      <c r="G438" s="3" t="s">
        <v>62</v>
      </c>
      <c r="I438" s="3" t="s">
        <v>61</v>
      </c>
      <c r="J438" s="3" t="s">
        <v>62</v>
      </c>
      <c r="K438" s="3" t="s">
        <v>63</v>
      </c>
      <c r="L438" s="2" t="s">
        <v>4567</v>
      </c>
      <c r="M438" s="2" t="s">
        <v>4568</v>
      </c>
      <c r="N438" s="3" t="s">
        <v>95</v>
      </c>
      <c r="P438" s="3" t="s">
        <v>64</v>
      </c>
      <c r="Q438" s="2" t="s">
        <v>4569</v>
      </c>
      <c r="R438" s="3" t="s">
        <v>65</v>
      </c>
      <c r="S438" s="4">
        <v>0</v>
      </c>
      <c r="T438" s="4">
        <v>11</v>
      </c>
      <c r="V438" s="5" t="s">
        <v>4557</v>
      </c>
      <c r="W438" s="5" t="s">
        <v>67</v>
      </c>
      <c r="X438" s="5" t="s">
        <v>67</v>
      </c>
      <c r="Y438" s="4">
        <v>52</v>
      </c>
      <c r="Z438" s="4">
        <v>37</v>
      </c>
      <c r="AA438" s="4">
        <v>37</v>
      </c>
      <c r="AB438" s="4">
        <v>3</v>
      </c>
      <c r="AC438" s="4">
        <v>3</v>
      </c>
      <c r="AD438" s="4">
        <v>36</v>
      </c>
      <c r="AE438" s="4">
        <v>36</v>
      </c>
      <c r="AF438" s="4">
        <v>1</v>
      </c>
      <c r="AG438" s="4">
        <v>1</v>
      </c>
      <c r="AH438" s="4">
        <v>15</v>
      </c>
      <c r="AI438" s="4">
        <v>15</v>
      </c>
      <c r="AJ438" s="4">
        <v>14</v>
      </c>
      <c r="AK438" s="4">
        <v>14</v>
      </c>
      <c r="AL438" s="4">
        <v>8</v>
      </c>
      <c r="AM438" s="4">
        <v>8</v>
      </c>
      <c r="AN438" s="4">
        <v>0</v>
      </c>
      <c r="AO438" s="4">
        <v>0</v>
      </c>
      <c r="AP438" s="4">
        <v>23</v>
      </c>
      <c r="AQ438" s="4">
        <v>23</v>
      </c>
      <c r="AR438" s="3" t="s">
        <v>61</v>
      </c>
      <c r="AS438" s="3" t="s">
        <v>62</v>
      </c>
      <c r="AT438" s="3" t="s">
        <v>62</v>
      </c>
      <c r="AV438" s="6" t="str">
        <f>HYPERLINK("http://mcgill.on.worldcat.org/oclc/607258552","Catalog Record")</f>
        <v>Catalog Record</v>
      </c>
      <c r="AW438" s="6" t="str">
        <f>HYPERLINK("http://www.worldcat.org/oclc/607258552","WorldCat Record")</f>
        <v>WorldCat Record</v>
      </c>
      <c r="AX438" s="3" t="s">
        <v>4570</v>
      </c>
      <c r="AY438" s="3" t="s">
        <v>4571</v>
      </c>
      <c r="AZ438" s="3" t="s">
        <v>4572</v>
      </c>
      <c r="BA438" s="3" t="s">
        <v>4572</v>
      </c>
      <c r="BB438" s="3" t="s">
        <v>4573</v>
      </c>
      <c r="BC438" s="3" t="s">
        <v>102</v>
      </c>
      <c r="BD438" s="3" t="s">
        <v>68</v>
      </c>
      <c r="BE438" s="3" t="s">
        <v>4574</v>
      </c>
      <c r="BF438" s="3" t="s">
        <v>4573</v>
      </c>
      <c r="BG438" s="3" t="s">
        <v>4575</v>
      </c>
    </row>
    <row r="439" spans="1:59" ht="58" x14ac:dyDescent="0.35">
      <c r="A439" s="2" t="s">
        <v>89</v>
      </c>
      <c r="B439" s="2" t="s">
        <v>90</v>
      </c>
      <c r="C439" s="2" t="s">
        <v>4564</v>
      </c>
      <c r="D439" s="2" t="s">
        <v>4565</v>
      </c>
      <c r="E439" s="2" t="s">
        <v>4566</v>
      </c>
      <c r="G439" s="3" t="s">
        <v>62</v>
      </c>
      <c r="I439" s="3" t="s">
        <v>61</v>
      </c>
      <c r="J439" s="3" t="s">
        <v>62</v>
      </c>
      <c r="K439" s="3" t="s">
        <v>63</v>
      </c>
      <c r="L439" s="2" t="s">
        <v>4567</v>
      </c>
      <c r="M439" s="2" t="s">
        <v>4568</v>
      </c>
      <c r="N439" s="3" t="s">
        <v>95</v>
      </c>
      <c r="P439" s="3" t="s">
        <v>64</v>
      </c>
      <c r="Q439" s="2" t="s">
        <v>4569</v>
      </c>
      <c r="R439" s="3" t="s">
        <v>65</v>
      </c>
      <c r="S439" s="4">
        <v>4</v>
      </c>
      <c r="T439" s="4">
        <v>11</v>
      </c>
      <c r="U439" s="5" t="s">
        <v>4557</v>
      </c>
      <c r="V439" s="5" t="s">
        <v>4557</v>
      </c>
      <c r="W439" s="5" t="s">
        <v>67</v>
      </c>
      <c r="X439" s="5" t="s">
        <v>67</v>
      </c>
      <c r="Y439" s="4">
        <v>52</v>
      </c>
      <c r="Z439" s="4">
        <v>37</v>
      </c>
      <c r="AA439" s="4">
        <v>37</v>
      </c>
      <c r="AB439" s="4">
        <v>3</v>
      </c>
      <c r="AC439" s="4">
        <v>3</v>
      </c>
      <c r="AD439" s="4">
        <v>36</v>
      </c>
      <c r="AE439" s="4">
        <v>36</v>
      </c>
      <c r="AF439" s="4">
        <v>1</v>
      </c>
      <c r="AG439" s="4">
        <v>1</v>
      </c>
      <c r="AH439" s="4">
        <v>15</v>
      </c>
      <c r="AI439" s="4">
        <v>15</v>
      </c>
      <c r="AJ439" s="4">
        <v>14</v>
      </c>
      <c r="AK439" s="4">
        <v>14</v>
      </c>
      <c r="AL439" s="4">
        <v>8</v>
      </c>
      <c r="AM439" s="4">
        <v>8</v>
      </c>
      <c r="AN439" s="4">
        <v>0</v>
      </c>
      <c r="AO439" s="4">
        <v>0</v>
      </c>
      <c r="AP439" s="4">
        <v>23</v>
      </c>
      <c r="AQ439" s="4">
        <v>23</v>
      </c>
      <c r="AR439" s="3" t="s">
        <v>61</v>
      </c>
      <c r="AS439" s="3" t="s">
        <v>62</v>
      </c>
      <c r="AT439" s="3" t="s">
        <v>62</v>
      </c>
      <c r="AV439" s="6" t="str">
        <f>HYPERLINK("http://mcgill.on.worldcat.org/oclc/607258552","Catalog Record")</f>
        <v>Catalog Record</v>
      </c>
      <c r="AW439" s="6" t="str">
        <f>HYPERLINK("http://www.worldcat.org/oclc/607258552","WorldCat Record")</f>
        <v>WorldCat Record</v>
      </c>
      <c r="AX439" s="3" t="s">
        <v>4570</v>
      </c>
      <c r="AY439" s="3" t="s">
        <v>4571</v>
      </c>
      <c r="AZ439" s="3" t="s">
        <v>4572</v>
      </c>
      <c r="BA439" s="3" t="s">
        <v>4572</v>
      </c>
      <c r="BB439" s="3" t="s">
        <v>4576</v>
      </c>
      <c r="BC439" s="3" t="s">
        <v>102</v>
      </c>
      <c r="BD439" s="3" t="s">
        <v>68</v>
      </c>
      <c r="BE439" s="3" t="s">
        <v>4574</v>
      </c>
      <c r="BF439" s="3" t="s">
        <v>4576</v>
      </c>
      <c r="BG439" s="3" t="s">
        <v>4577</v>
      </c>
    </row>
    <row r="440" spans="1:59" ht="58" x14ac:dyDescent="0.35">
      <c r="A440" s="2" t="s">
        <v>89</v>
      </c>
      <c r="B440" s="2" t="s">
        <v>90</v>
      </c>
      <c r="C440" s="2" t="s">
        <v>4578</v>
      </c>
      <c r="D440" s="2" t="s">
        <v>4579</v>
      </c>
      <c r="E440" s="2" t="s">
        <v>4580</v>
      </c>
      <c r="G440" s="3" t="s">
        <v>62</v>
      </c>
      <c r="I440" s="3" t="s">
        <v>62</v>
      </c>
      <c r="J440" s="3" t="s">
        <v>62</v>
      </c>
      <c r="K440" s="3" t="s">
        <v>63</v>
      </c>
      <c r="L440" s="2" t="s">
        <v>4581</v>
      </c>
      <c r="M440" s="2" t="s">
        <v>4582</v>
      </c>
      <c r="N440" s="3" t="s">
        <v>625</v>
      </c>
      <c r="P440" s="3" t="s">
        <v>64</v>
      </c>
      <c r="R440" s="3" t="s">
        <v>65</v>
      </c>
      <c r="S440" s="4">
        <v>20</v>
      </c>
      <c r="T440" s="4">
        <v>20</v>
      </c>
      <c r="U440" s="5" t="s">
        <v>4583</v>
      </c>
      <c r="V440" s="5" t="s">
        <v>4583</v>
      </c>
      <c r="W440" s="5" t="s">
        <v>67</v>
      </c>
      <c r="X440" s="5" t="s">
        <v>67</v>
      </c>
      <c r="Y440" s="4">
        <v>669</v>
      </c>
      <c r="Z440" s="4">
        <v>35</v>
      </c>
      <c r="AA440" s="4">
        <v>37</v>
      </c>
      <c r="AB440" s="4">
        <v>1</v>
      </c>
      <c r="AC440" s="4">
        <v>2</v>
      </c>
      <c r="AD440" s="4">
        <v>124</v>
      </c>
      <c r="AE440" s="4">
        <v>129</v>
      </c>
      <c r="AF440" s="4">
        <v>0</v>
      </c>
      <c r="AG440" s="4">
        <v>1</v>
      </c>
      <c r="AH440" s="4">
        <v>100</v>
      </c>
      <c r="AI440" s="4">
        <v>105</v>
      </c>
      <c r="AJ440" s="4">
        <v>19</v>
      </c>
      <c r="AK440" s="4">
        <v>20</v>
      </c>
      <c r="AL440" s="4">
        <v>55</v>
      </c>
      <c r="AM440" s="4">
        <v>57</v>
      </c>
      <c r="AN440" s="4">
        <v>0</v>
      </c>
      <c r="AO440" s="4">
        <v>0</v>
      </c>
      <c r="AP440" s="4">
        <v>29</v>
      </c>
      <c r="AQ440" s="4">
        <v>30</v>
      </c>
      <c r="AR440" s="3" t="s">
        <v>62</v>
      </c>
      <c r="AS440" s="3" t="s">
        <v>62</v>
      </c>
      <c r="AT440" s="3" t="s">
        <v>61</v>
      </c>
      <c r="AU440" s="6" t="str">
        <f>HYPERLINK("http://catalog.hathitrust.org/Record/004343016","HathiTrust Record")</f>
        <v>HathiTrust Record</v>
      </c>
      <c r="AV440" s="6" t="str">
        <f>HYPERLINK("http://mcgill.on.worldcat.org/oclc/51848418","Catalog Record")</f>
        <v>Catalog Record</v>
      </c>
      <c r="AW440" s="6" t="str">
        <f>HYPERLINK("http://www.worldcat.org/oclc/51848418","WorldCat Record")</f>
        <v>WorldCat Record</v>
      </c>
      <c r="AX440" s="3" t="s">
        <v>4584</v>
      </c>
      <c r="AY440" s="3" t="s">
        <v>4585</v>
      </c>
      <c r="AZ440" s="3" t="s">
        <v>4586</v>
      </c>
      <c r="BA440" s="3" t="s">
        <v>4586</v>
      </c>
      <c r="BB440" s="3" t="s">
        <v>4587</v>
      </c>
      <c r="BC440" s="3" t="s">
        <v>102</v>
      </c>
      <c r="BD440" s="3" t="s">
        <v>68</v>
      </c>
      <c r="BE440" s="3" t="s">
        <v>4588</v>
      </c>
      <c r="BF440" s="3" t="s">
        <v>4587</v>
      </c>
      <c r="BG440" s="3" t="s">
        <v>4589</v>
      </c>
    </row>
    <row r="441" spans="1:59" ht="58" x14ac:dyDescent="0.35">
      <c r="A441" s="2" t="s">
        <v>59</v>
      </c>
      <c r="B441" s="2" t="s">
        <v>60</v>
      </c>
      <c r="C441" s="2" t="s">
        <v>4590</v>
      </c>
      <c r="D441" s="2" t="s">
        <v>4591</v>
      </c>
      <c r="E441" s="2" t="s">
        <v>4592</v>
      </c>
      <c r="G441" s="3" t="s">
        <v>62</v>
      </c>
      <c r="I441" s="3" t="s">
        <v>62</v>
      </c>
      <c r="J441" s="3" t="s">
        <v>62</v>
      </c>
      <c r="K441" s="3" t="s">
        <v>63</v>
      </c>
      <c r="M441" s="2" t="s">
        <v>4593</v>
      </c>
      <c r="N441" s="3" t="s">
        <v>640</v>
      </c>
      <c r="O441" s="2" t="s">
        <v>2163</v>
      </c>
      <c r="P441" s="3" t="s">
        <v>64</v>
      </c>
      <c r="R441" s="3" t="s">
        <v>65</v>
      </c>
      <c r="S441" s="4">
        <v>6</v>
      </c>
      <c r="T441" s="4">
        <v>6</v>
      </c>
      <c r="U441" s="5" t="s">
        <v>4594</v>
      </c>
      <c r="V441" s="5" t="s">
        <v>4594</v>
      </c>
      <c r="W441" s="5" t="s">
        <v>67</v>
      </c>
      <c r="X441" s="5" t="s">
        <v>67</v>
      </c>
      <c r="Y441" s="4">
        <v>562</v>
      </c>
      <c r="Z441" s="4">
        <v>12</v>
      </c>
      <c r="AA441" s="4">
        <v>37</v>
      </c>
      <c r="AB441" s="4">
        <v>2</v>
      </c>
      <c r="AC441" s="4">
        <v>5</v>
      </c>
      <c r="AD441" s="4">
        <v>59</v>
      </c>
      <c r="AE441" s="4">
        <v>82</v>
      </c>
      <c r="AF441" s="4">
        <v>0</v>
      </c>
      <c r="AG441" s="4">
        <v>1</v>
      </c>
      <c r="AH441" s="4">
        <v>55</v>
      </c>
      <c r="AI441" s="4">
        <v>72</v>
      </c>
      <c r="AJ441" s="4">
        <v>1</v>
      </c>
      <c r="AK441" s="4">
        <v>6</v>
      </c>
      <c r="AL441" s="4">
        <v>36</v>
      </c>
      <c r="AM441" s="4">
        <v>44</v>
      </c>
      <c r="AN441" s="4">
        <v>0</v>
      </c>
      <c r="AO441" s="4">
        <v>0</v>
      </c>
      <c r="AP441" s="4">
        <v>4</v>
      </c>
      <c r="AQ441" s="4">
        <v>14</v>
      </c>
      <c r="AR441" s="3" t="s">
        <v>62</v>
      </c>
      <c r="AS441" s="3" t="s">
        <v>62</v>
      </c>
      <c r="AT441" s="3" t="s">
        <v>62</v>
      </c>
      <c r="AV441" s="6" t="str">
        <f>HYPERLINK("http://mcgill.on.worldcat.org/oclc/54400221","Catalog Record")</f>
        <v>Catalog Record</v>
      </c>
      <c r="AW441" s="6" t="str">
        <f>HYPERLINK("http://www.worldcat.org/oclc/54400221","WorldCat Record")</f>
        <v>WorldCat Record</v>
      </c>
      <c r="AX441" s="3" t="s">
        <v>4595</v>
      </c>
      <c r="AY441" s="3" t="s">
        <v>4596</v>
      </c>
      <c r="AZ441" s="3" t="s">
        <v>4597</v>
      </c>
      <c r="BA441" s="3" t="s">
        <v>4597</v>
      </c>
      <c r="BB441" s="3" t="s">
        <v>4598</v>
      </c>
      <c r="BC441" s="3" t="s">
        <v>102</v>
      </c>
      <c r="BD441" s="3" t="s">
        <v>68</v>
      </c>
      <c r="BE441" s="3" t="s">
        <v>4599</v>
      </c>
      <c r="BF441" s="3" t="s">
        <v>4598</v>
      </c>
      <c r="BG441" s="3" t="s">
        <v>4600</v>
      </c>
    </row>
    <row r="442" spans="1:59" ht="58" x14ac:dyDescent="0.35">
      <c r="A442" s="2" t="s">
        <v>89</v>
      </c>
      <c r="B442" s="2" t="s">
        <v>90</v>
      </c>
      <c r="C442" s="2" t="s">
        <v>4601</v>
      </c>
      <c r="D442" s="2" t="s">
        <v>4602</v>
      </c>
      <c r="E442" s="2" t="s">
        <v>4603</v>
      </c>
      <c r="G442" s="3" t="s">
        <v>62</v>
      </c>
      <c r="I442" s="3" t="s">
        <v>62</v>
      </c>
      <c r="J442" s="3" t="s">
        <v>62</v>
      </c>
      <c r="K442" s="3" t="s">
        <v>63</v>
      </c>
      <c r="L442" s="2" t="s">
        <v>4604</v>
      </c>
      <c r="M442" s="2" t="s">
        <v>4605</v>
      </c>
      <c r="N442" s="3" t="s">
        <v>880</v>
      </c>
      <c r="P442" s="3" t="s">
        <v>64</v>
      </c>
      <c r="Q442" s="2" t="s">
        <v>4606</v>
      </c>
      <c r="R442" s="3" t="s">
        <v>65</v>
      </c>
      <c r="S442" s="4">
        <v>3</v>
      </c>
      <c r="T442" s="4">
        <v>3</v>
      </c>
      <c r="U442" s="5" t="s">
        <v>4607</v>
      </c>
      <c r="V442" s="5" t="s">
        <v>4607</v>
      </c>
      <c r="W442" s="5" t="s">
        <v>67</v>
      </c>
      <c r="X442" s="5" t="s">
        <v>67</v>
      </c>
      <c r="Y442" s="4">
        <v>983</v>
      </c>
      <c r="Z442" s="4">
        <v>42</v>
      </c>
      <c r="AA442" s="4">
        <v>67</v>
      </c>
      <c r="AB442" s="4">
        <v>4</v>
      </c>
      <c r="AC442" s="4">
        <v>6</v>
      </c>
      <c r="AD442" s="4">
        <v>116</v>
      </c>
      <c r="AE442" s="4">
        <v>129</v>
      </c>
      <c r="AF442" s="4">
        <v>2</v>
      </c>
      <c r="AG442" s="4">
        <v>2</v>
      </c>
      <c r="AH442" s="4">
        <v>96</v>
      </c>
      <c r="AI442" s="4">
        <v>104</v>
      </c>
      <c r="AJ442" s="4">
        <v>18</v>
      </c>
      <c r="AK442" s="4">
        <v>19</v>
      </c>
      <c r="AL442" s="4">
        <v>53</v>
      </c>
      <c r="AM442" s="4">
        <v>56</v>
      </c>
      <c r="AN442" s="4">
        <v>0</v>
      </c>
      <c r="AO442" s="4">
        <v>0</v>
      </c>
      <c r="AP442" s="4">
        <v>26</v>
      </c>
      <c r="AQ442" s="4">
        <v>32</v>
      </c>
      <c r="AR442" s="3" t="s">
        <v>62</v>
      </c>
      <c r="AS442" s="3" t="s">
        <v>62</v>
      </c>
      <c r="AT442" s="3" t="s">
        <v>62</v>
      </c>
      <c r="AV442" s="6" t="str">
        <f>HYPERLINK("http://mcgill.on.worldcat.org/oclc/318876946","Catalog Record")</f>
        <v>Catalog Record</v>
      </c>
      <c r="AW442" s="6" t="str">
        <f>HYPERLINK("http://www.worldcat.org/oclc/318876946","WorldCat Record")</f>
        <v>WorldCat Record</v>
      </c>
      <c r="AX442" s="3" t="s">
        <v>4608</v>
      </c>
      <c r="AY442" s="3" t="s">
        <v>4609</v>
      </c>
      <c r="AZ442" s="3" t="s">
        <v>4610</v>
      </c>
      <c r="BA442" s="3" t="s">
        <v>4610</v>
      </c>
      <c r="BB442" s="3" t="s">
        <v>4611</v>
      </c>
      <c r="BC442" s="3" t="s">
        <v>102</v>
      </c>
      <c r="BD442" s="3" t="s">
        <v>68</v>
      </c>
      <c r="BE442" s="3" t="s">
        <v>4612</v>
      </c>
      <c r="BF442" s="3" t="s">
        <v>4611</v>
      </c>
      <c r="BG442" s="3" t="s">
        <v>4613</v>
      </c>
    </row>
    <row r="443" spans="1:59" ht="58" x14ac:dyDescent="0.35">
      <c r="A443" s="2" t="s">
        <v>89</v>
      </c>
      <c r="B443" s="2" t="s">
        <v>90</v>
      </c>
      <c r="C443" s="2" t="s">
        <v>4614</v>
      </c>
      <c r="D443" s="2" t="s">
        <v>4615</v>
      </c>
      <c r="E443" s="2" t="s">
        <v>4616</v>
      </c>
      <c r="G443" s="3" t="s">
        <v>62</v>
      </c>
      <c r="I443" s="3" t="s">
        <v>62</v>
      </c>
      <c r="J443" s="3" t="s">
        <v>62</v>
      </c>
      <c r="K443" s="3" t="s">
        <v>63</v>
      </c>
      <c r="L443" s="2" t="s">
        <v>4617</v>
      </c>
      <c r="M443" s="2" t="s">
        <v>4618</v>
      </c>
      <c r="N443" s="3" t="s">
        <v>1639</v>
      </c>
      <c r="P443" s="3" t="s">
        <v>64</v>
      </c>
      <c r="Q443" s="2" t="s">
        <v>4619</v>
      </c>
      <c r="R443" s="3" t="s">
        <v>65</v>
      </c>
      <c r="S443" s="4">
        <v>2</v>
      </c>
      <c r="T443" s="4">
        <v>2</v>
      </c>
      <c r="U443" s="5" t="s">
        <v>2298</v>
      </c>
      <c r="V443" s="5" t="s">
        <v>2298</v>
      </c>
      <c r="W443" s="5" t="s">
        <v>67</v>
      </c>
      <c r="X443" s="5" t="s">
        <v>67</v>
      </c>
      <c r="Y443" s="4">
        <v>144</v>
      </c>
      <c r="Z443" s="4">
        <v>6</v>
      </c>
      <c r="AA443" s="4">
        <v>8</v>
      </c>
      <c r="AB443" s="4">
        <v>1</v>
      </c>
      <c r="AC443" s="4">
        <v>1</v>
      </c>
      <c r="AD443" s="4">
        <v>28</v>
      </c>
      <c r="AE443" s="4">
        <v>55</v>
      </c>
      <c r="AF443" s="4">
        <v>0</v>
      </c>
      <c r="AG443" s="4">
        <v>0</v>
      </c>
      <c r="AH443" s="4">
        <v>26</v>
      </c>
      <c r="AI443" s="4">
        <v>53</v>
      </c>
      <c r="AJ443" s="4">
        <v>4</v>
      </c>
      <c r="AK443" s="4">
        <v>6</v>
      </c>
      <c r="AL443" s="4">
        <v>13</v>
      </c>
      <c r="AM443" s="4">
        <v>29</v>
      </c>
      <c r="AN443" s="4">
        <v>0</v>
      </c>
      <c r="AO443" s="4">
        <v>5</v>
      </c>
      <c r="AP443" s="4">
        <v>4</v>
      </c>
      <c r="AQ443" s="4">
        <v>6</v>
      </c>
      <c r="AR443" s="3" t="s">
        <v>62</v>
      </c>
      <c r="AS443" s="3" t="s">
        <v>62</v>
      </c>
      <c r="AT443" s="3" t="s">
        <v>62</v>
      </c>
      <c r="AV443" s="6" t="str">
        <f>HYPERLINK("http://mcgill.on.worldcat.org/oclc/520498","Catalog Record")</f>
        <v>Catalog Record</v>
      </c>
      <c r="AW443" s="6" t="str">
        <f>HYPERLINK("http://www.worldcat.org/oclc/520498","WorldCat Record")</f>
        <v>WorldCat Record</v>
      </c>
      <c r="AX443" s="3" t="s">
        <v>4620</v>
      </c>
      <c r="AY443" s="3" t="s">
        <v>4621</v>
      </c>
      <c r="AZ443" s="3" t="s">
        <v>4622</v>
      </c>
      <c r="BA443" s="3" t="s">
        <v>4622</v>
      </c>
      <c r="BB443" s="3" t="s">
        <v>4623</v>
      </c>
      <c r="BC443" s="3" t="s">
        <v>102</v>
      </c>
      <c r="BD443" s="3" t="s">
        <v>68</v>
      </c>
      <c r="BE443" s="3" t="s">
        <v>4624</v>
      </c>
      <c r="BF443" s="3" t="s">
        <v>4623</v>
      </c>
      <c r="BG443" s="3" t="s">
        <v>4625</v>
      </c>
    </row>
    <row r="444" spans="1:59" ht="58" x14ac:dyDescent="0.35">
      <c r="A444" s="2" t="s">
        <v>89</v>
      </c>
      <c r="B444" s="2" t="s">
        <v>90</v>
      </c>
      <c r="C444" s="2" t="s">
        <v>4626</v>
      </c>
      <c r="D444" s="2" t="s">
        <v>4627</v>
      </c>
      <c r="E444" s="2" t="s">
        <v>4628</v>
      </c>
      <c r="G444" s="3" t="s">
        <v>62</v>
      </c>
      <c r="I444" s="3" t="s">
        <v>62</v>
      </c>
      <c r="J444" s="3" t="s">
        <v>62</v>
      </c>
      <c r="K444" s="3" t="s">
        <v>63</v>
      </c>
      <c r="L444" s="2" t="s">
        <v>4629</v>
      </c>
      <c r="M444" s="2" t="s">
        <v>4630</v>
      </c>
      <c r="N444" s="3" t="s">
        <v>1482</v>
      </c>
      <c r="P444" s="3" t="s">
        <v>64</v>
      </c>
      <c r="R444" s="3" t="s">
        <v>65</v>
      </c>
      <c r="S444" s="4">
        <v>3</v>
      </c>
      <c r="T444" s="4">
        <v>3</v>
      </c>
      <c r="U444" s="5" t="s">
        <v>4631</v>
      </c>
      <c r="V444" s="5" t="s">
        <v>4631</v>
      </c>
      <c r="W444" s="5" t="s">
        <v>67</v>
      </c>
      <c r="X444" s="5" t="s">
        <v>67</v>
      </c>
      <c r="Y444" s="4">
        <v>1350</v>
      </c>
      <c r="Z444" s="4">
        <v>63</v>
      </c>
      <c r="AA444" s="4">
        <v>133</v>
      </c>
      <c r="AB444" s="4">
        <v>3</v>
      </c>
      <c r="AC444" s="4">
        <v>18</v>
      </c>
      <c r="AD444" s="4">
        <v>140</v>
      </c>
      <c r="AE444" s="4">
        <v>161</v>
      </c>
      <c r="AF444" s="4">
        <v>2</v>
      </c>
      <c r="AG444" s="4">
        <v>8</v>
      </c>
      <c r="AH444" s="4">
        <v>114</v>
      </c>
      <c r="AI444" s="4">
        <v>117</v>
      </c>
      <c r="AJ444" s="4">
        <v>20</v>
      </c>
      <c r="AK444" s="4">
        <v>27</v>
      </c>
      <c r="AL444" s="4">
        <v>60</v>
      </c>
      <c r="AM444" s="4">
        <v>61</v>
      </c>
      <c r="AN444" s="4">
        <v>0</v>
      </c>
      <c r="AO444" s="4">
        <v>0</v>
      </c>
      <c r="AP444" s="4">
        <v>32</v>
      </c>
      <c r="AQ444" s="4">
        <v>50</v>
      </c>
      <c r="AR444" s="3" t="s">
        <v>62</v>
      </c>
      <c r="AS444" s="3" t="s">
        <v>62</v>
      </c>
      <c r="AT444" s="3" t="s">
        <v>62</v>
      </c>
      <c r="AV444" s="6" t="str">
        <f>HYPERLINK("http://mcgill.on.worldcat.org/oclc/13457002","Catalog Record")</f>
        <v>Catalog Record</v>
      </c>
      <c r="AW444" s="6" t="str">
        <f>HYPERLINK("http://www.worldcat.org/oclc/13457002","WorldCat Record")</f>
        <v>WorldCat Record</v>
      </c>
      <c r="AX444" s="3" t="s">
        <v>4632</v>
      </c>
      <c r="AY444" s="3" t="s">
        <v>4633</v>
      </c>
      <c r="AZ444" s="3" t="s">
        <v>4634</v>
      </c>
      <c r="BA444" s="3" t="s">
        <v>4634</v>
      </c>
      <c r="BB444" s="3" t="s">
        <v>4635</v>
      </c>
      <c r="BC444" s="3" t="s">
        <v>102</v>
      </c>
      <c r="BD444" s="3" t="s">
        <v>68</v>
      </c>
      <c r="BE444" s="3" t="s">
        <v>4636</v>
      </c>
      <c r="BF444" s="3" t="s">
        <v>4635</v>
      </c>
      <c r="BG444" s="3" t="s">
        <v>4637</v>
      </c>
    </row>
    <row r="445" spans="1:59" ht="58" x14ac:dyDescent="0.35">
      <c r="A445" s="2" t="s">
        <v>89</v>
      </c>
      <c r="B445" s="2" t="s">
        <v>90</v>
      </c>
      <c r="C445" s="2" t="s">
        <v>4638</v>
      </c>
      <c r="D445" s="2" t="s">
        <v>4639</v>
      </c>
      <c r="E445" s="2" t="s">
        <v>4640</v>
      </c>
      <c r="G445" s="3" t="s">
        <v>62</v>
      </c>
      <c r="I445" s="3" t="s">
        <v>62</v>
      </c>
      <c r="J445" s="3" t="s">
        <v>62</v>
      </c>
      <c r="K445" s="3" t="s">
        <v>63</v>
      </c>
      <c r="L445" s="2" t="s">
        <v>4641</v>
      </c>
      <c r="M445" s="2" t="s">
        <v>4642</v>
      </c>
      <c r="N445" s="3" t="s">
        <v>285</v>
      </c>
      <c r="P445" s="3" t="s">
        <v>64</v>
      </c>
      <c r="R445" s="3" t="s">
        <v>65</v>
      </c>
      <c r="S445" s="4">
        <v>9</v>
      </c>
      <c r="T445" s="4">
        <v>9</v>
      </c>
      <c r="U445" s="5" t="s">
        <v>999</v>
      </c>
      <c r="V445" s="5" t="s">
        <v>999</v>
      </c>
      <c r="W445" s="5" t="s">
        <v>67</v>
      </c>
      <c r="X445" s="5" t="s">
        <v>67</v>
      </c>
      <c r="Y445" s="4">
        <v>324</v>
      </c>
      <c r="Z445" s="4">
        <v>28</v>
      </c>
      <c r="AA445" s="4">
        <v>28</v>
      </c>
      <c r="AB445" s="4">
        <v>3</v>
      </c>
      <c r="AC445" s="4">
        <v>3</v>
      </c>
      <c r="AD445" s="4">
        <v>116</v>
      </c>
      <c r="AE445" s="4">
        <v>116</v>
      </c>
      <c r="AF445" s="4">
        <v>1</v>
      </c>
      <c r="AG445" s="4">
        <v>1</v>
      </c>
      <c r="AH445" s="4">
        <v>101</v>
      </c>
      <c r="AI445" s="4">
        <v>101</v>
      </c>
      <c r="AJ445" s="4">
        <v>20</v>
      </c>
      <c r="AK445" s="4">
        <v>20</v>
      </c>
      <c r="AL445" s="4">
        <v>55</v>
      </c>
      <c r="AM445" s="4">
        <v>55</v>
      </c>
      <c r="AN445" s="4">
        <v>0</v>
      </c>
      <c r="AO445" s="4">
        <v>0</v>
      </c>
      <c r="AP445" s="4">
        <v>22</v>
      </c>
      <c r="AQ445" s="4">
        <v>22</v>
      </c>
      <c r="AR445" s="3" t="s">
        <v>62</v>
      </c>
      <c r="AS445" s="3" t="s">
        <v>62</v>
      </c>
      <c r="AT445" s="3" t="s">
        <v>62</v>
      </c>
      <c r="AV445" s="6" t="str">
        <f>HYPERLINK("http://mcgill.on.worldcat.org/oclc/6421699","Catalog Record")</f>
        <v>Catalog Record</v>
      </c>
      <c r="AW445" s="6" t="str">
        <f>HYPERLINK("http://www.worldcat.org/oclc/6421699","WorldCat Record")</f>
        <v>WorldCat Record</v>
      </c>
      <c r="AX445" s="3" t="s">
        <v>4643</v>
      </c>
      <c r="AY445" s="3" t="s">
        <v>4644</v>
      </c>
      <c r="AZ445" s="3" t="s">
        <v>4645</v>
      </c>
      <c r="BA445" s="3" t="s">
        <v>4645</v>
      </c>
      <c r="BB445" s="3" t="s">
        <v>4646</v>
      </c>
      <c r="BC445" s="3" t="s">
        <v>102</v>
      </c>
      <c r="BD445" s="3" t="s">
        <v>68</v>
      </c>
      <c r="BE445" s="3" t="s">
        <v>4647</v>
      </c>
      <c r="BF445" s="3" t="s">
        <v>4646</v>
      </c>
      <c r="BG445" s="3" t="s">
        <v>4648</v>
      </c>
    </row>
    <row r="446" spans="1:59" ht="58" x14ac:dyDescent="0.35">
      <c r="A446" s="2" t="s">
        <v>89</v>
      </c>
      <c r="B446" s="2" t="s">
        <v>90</v>
      </c>
      <c r="C446" s="2" t="s">
        <v>4649</v>
      </c>
      <c r="D446" s="2" t="s">
        <v>4650</v>
      </c>
      <c r="E446" s="2" t="s">
        <v>4651</v>
      </c>
      <c r="G446" s="3" t="s">
        <v>62</v>
      </c>
      <c r="I446" s="3" t="s">
        <v>62</v>
      </c>
      <c r="J446" s="3" t="s">
        <v>62</v>
      </c>
      <c r="K446" s="3" t="s">
        <v>63</v>
      </c>
      <c r="M446" s="2" t="s">
        <v>4652</v>
      </c>
      <c r="N446" s="3" t="s">
        <v>698</v>
      </c>
      <c r="P446" s="3" t="s">
        <v>64</v>
      </c>
      <c r="R446" s="3" t="s">
        <v>65</v>
      </c>
      <c r="S446" s="4">
        <v>3</v>
      </c>
      <c r="T446" s="4">
        <v>3</v>
      </c>
      <c r="U446" s="5" t="s">
        <v>4653</v>
      </c>
      <c r="V446" s="5" t="s">
        <v>4653</v>
      </c>
      <c r="W446" s="5" t="s">
        <v>67</v>
      </c>
      <c r="X446" s="5" t="s">
        <v>67</v>
      </c>
      <c r="Y446" s="4">
        <v>299</v>
      </c>
      <c r="Z446" s="4">
        <v>11</v>
      </c>
      <c r="AA446" s="4">
        <v>16</v>
      </c>
      <c r="AB446" s="4">
        <v>1</v>
      </c>
      <c r="AC446" s="4">
        <v>4</v>
      </c>
      <c r="AD446" s="4">
        <v>49</v>
      </c>
      <c r="AE446" s="4">
        <v>50</v>
      </c>
      <c r="AF446" s="4">
        <v>0</v>
      </c>
      <c r="AG446" s="4">
        <v>0</v>
      </c>
      <c r="AH446" s="4">
        <v>43</v>
      </c>
      <c r="AI446" s="4">
        <v>43</v>
      </c>
      <c r="AJ446" s="4">
        <v>3</v>
      </c>
      <c r="AK446" s="4">
        <v>4</v>
      </c>
      <c r="AL446" s="4">
        <v>30</v>
      </c>
      <c r="AM446" s="4">
        <v>30</v>
      </c>
      <c r="AN446" s="4">
        <v>0</v>
      </c>
      <c r="AO446" s="4">
        <v>0</v>
      </c>
      <c r="AP446" s="4">
        <v>5</v>
      </c>
      <c r="AQ446" s="4">
        <v>6</v>
      </c>
      <c r="AR446" s="3" t="s">
        <v>62</v>
      </c>
      <c r="AS446" s="3" t="s">
        <v>62</v>
      </c>
      <c r="AT446" s="3" t="s">
        <v>62</v>
      </c>
      <c r="AV446" s="6" t="str">
        <f>HYPERLINK("http://mcgill.on.worldcat.org/oclc/783161000","Catalog Record")</f>
        <v>Catalog Record</v>
      </c>
      <c r="AW446" s="6" t="str">
        <f>HYPERLINK("http://www.worldcat.org/oclc/783161000","WorldCat Record")</f>
        <v>WorldCat Record</v>
      </c>
      <c r="AX446" s="3" t="s">
        <v>4654</v>
      </c>
      <c r="AY446" s="3" t="s">
        <v>4655</v>
      </c>
      <c r="AZ446" s="3" t="s">
        <v>4656</v>
      </c>
      <c r="BA446" s="3" t="s">
        <v>4656</v>
      </c>
      <c r="BB446" s="3" t="s">
        <v>4657</v>
      </c>
      <c r="BC446" s="3" t="s">
        <v>102</v>
      </c>
      <c r="BD446" s="3" t="s">
        <v>68</v>
      </c>
      <c r="BE446" s="3" t="s">
        <v>4658</v>
      </c>
      <c r="BF446" s="3" t="s">
        <v>4657</v>
      </c>
      <c r="BG446" s="3" t="s">
        <v>4659</v>
      </c>
    </row>
    <row r="447" spans="1:59" ht="58" x14ac:dyDescent="0.35">
      <c r="A447" s="2" t="s">
        <v>89</v>
      </c>
      <c r="B447" s="2" t="s">
        <v>90</v>
      </c>
      <c r="C447" s="2" t="s">
        <v>4660</v>
      </c>
      <c r="D447" s="2" t="s">
        <v>4661</v>
      </c>
      <c r="E447" s="2" t="s">
        <v>4662</v>
      </c>
      <c r="G447" s="3" t="s">
        <v>62</v>
      </c>
      <c r="I447" s="3" t="s">
        <v>62</v>
      </c>
      <c r="J447" s="3" t="s">
        <v>62</v>
      </c>
      <c r="K447" s="3" t="s">
        <v>63</v>
      </c>
      <c r="L447" s="2" t="s">
        <v>4663</v>
      </c>
      <c r="M447" s="2" t="s">
        <v>4664</v>
      </c>
      <c r="N447" s="3" t="s">
        <v>880</v>
      </c>
      <c r="O447" s="2" t="s">
        <v>2163</v>
      </c>
      <c r="P447" s="3" t="s">
        <v>64</v>
      </c>
      <c r="R447" s="3" t="s">
        <v>65</v>
      </c>
      <c r="S447" s="4">
        <v>1</v>
      </c>
      <c r="T447" s="4">
        <v>1</v>
      </c>
      <c r="U447" s="5" t="s">
        <v>4665</v>
      </c>
      <c r="V447" s="5" t="s">
        <v>4665</v>
      </c>
      <c r="W447" s="5" t="s">
        <v>67</v>
      </c>
      <c r="X447" s="5" t="s">
        <v>67</v>
      </c>
      <c r="Y447" s="4">
        <v>16</v>
      </c>
      <c r="Z447" s="4">
        <v>3</v>
      </c>
      <c r="AA447" s="4">
        <v>52</v>
      </c>
      <c r="AB447" s="4">
        <v>1</v>
      </c>
      <c r="AC447" s="4">
        <v>8</v>
      </c>
      <c r="AD447" s="4">
        <v>2</v>
      </c>
      <c r="AE447" s="4">
        <v>82</v>
      </c>
      <c r="AF447" s="4">
        <v>0</v>
      </c>
      <c r="AG447" s="4">
        <v>1</v>
      </c>
      <c r="AH447" s="4">
        <v>1</v>
      </c>
      <c r="AI447" s="4">
        <v>71</v>
      </c>
      <c r="AJ447" s="4">
        <v>1</v>
      </c>
      <c r="AK447" s="4">
        <v>12</v>
      </c>
      <c r="AL447" s="4">
        <v>0</v>
      </c>
      <c r="AM447" s="4">
        <v>40</v>
      </c>
      <c r="AN447" s="4">
        <v>0</v>
      </c>
      <c r="AO447" s="4">
        <v>0</v>
      </c>
      <c r="AP447" s="4">
        <v>2</v>
      </c>
      <c r="AQ447" s="4">
        <v>18</v>
      </c>
      <c r="AR447" s="3" t="s">
        <v>62</v>
      </c>
      <c r="AS447" s="3" t="s">
        <v>62</v>
      </c>
      <c r="AT447" s="3" t="s">
        <v>62</v>
      </c>
      <c r="AV447" s="6" t="str">
        <f>HYPERLINK("http://mcgill.on.worldcat.org/oclc/711985128","Catalog Record")</f>
        <v>Catalog Record</v>
      </c>
      <c r="AW447" s="6" t="str">
        <f>HYPERLINK("http://www.worldcat.org/oclc/711985128","WorldCat Record")</f>
        <v>WorldCat Record</v>
      </c>
      <c r="AX447" s="3" t="s">
        <v>4666</v>
      </c>
      <c r="AY447" s="3" t="s">
        <v>4667</v>
      </c>
      <c r="AZ447" s="3" t="s">
        <v>4668</v>
      </c>
      <c r="BA447" s="3" t="s">
        <v>4668</v>
      </c>
      <c r="BB447" s="3" t="s">
        <v>4669</v>
      </c>
      <c r="BC447" s="3" t="s">
        <v>102</v>
      </c>
      <c r="BD447" s="3" t="s">
        <v>68</v>
      </c>
      <c r="BF447" s="3" t="s">
        <v>4669</v>
      </c>
      <c r="BG447" s="3" t="s">
        <v>4670</v>
      </c>
    </row>
    <row r="448" spans="1:59" ht="58" x14ac:dyDescent="0.35">
      <c r="A448" s="2" t="s">
        <v>89</v>
      </c>
      <c r="B448" s="2" t="s">
        <v>90</v>
      </c>
      <c r="C448" s="2" t="s">
        <v>4671</v>
      </c>
      <c r="D448" s="2" t="s">
        <v>4672</v>
      </c>
      <c r="E448" s="2" t="s">
        <v>4673</v>
      </c>
      <c r="G448" s="3" t="s">
        <v>62</v>
      </c>
      <c r="I448" s="3" t="s">
        <v>62</v>
      </c>
      <c r="J448" s="3" t="s">
        <v>62</v>
      </c>
      <c r="K448" s="3" t="s">
        <v>63</v>
      </c>
      <c r="M448" s="2" t="s">
        <v>4674</v>
      </c>
      <c r="N448" s="3" t="s">
        <v>698</v>
      </c>
      <c r="P448" s="3" t="s">
        <v>85</v>
      </c>
      <c r="Q448" s="2" t="s">
        <v>4675</v>
      </c>
      <c r="R448" s="3" t="s">
        <v>65</v>
      </c>
      <c r="S448" s="4">
        <v>3</v>
      </c>
      <c r="T448" s="4">
        <v>3</v>
      </c>
      <c r="U448" s="5" t="s">
        <v>4676</v>
      </c>
      <c r="V448" s="5" t="s">
        <v>4676</v>
      </c>
      <c r="W448" s="5" t="s">
        <v>67</v>
      </c>
      <c r="X448" s="5" t="s">
        <v>67</v>
      </c>
      <c r="Y448" s="4">
        <v>8</v>
      </c>
      <c r="Z448" s="4">
        <v>1</v>
      </c>
      <c r="AA448" s="4">
        <v>4</v>
      </c>
      <c r="AB448" s="4">
        <v>1</v>
      </c>
      <c r="AC448" s="4">
        <v>4</v>
      </c>
      <c r="AD448" s="4">
        <v>5</v>
      </c>
      <c r="AE448" s="4">
        <v>7</v>
      </c>
      <c r="AF448" s="4">
        <v>0</v>
      </c>
      <c r="AG448" s="4">
        <v>2</v>
      </c>
      <c r="AH448" s="4">
        <v>4</v>
      </c>
      <c r="AI448" s="4">
        <v>5</v>
      </c>
      <c r="AJ448" s="4">
        <v>0</v>
      </c>
      <c r="AK448" s="4">
        <v>2</v>
      </c>
      <c r="AL448" s="4">
        <v>4</v>
      </c>
      <c r="AM448" s="4">
        <v>4</v>
      </c>
      <c r="AN448" s="4">
        <v>0</v>
      </c>
      <c r="AO448" s="4">
        <v>0</v>
      </c>
      <c r="AP448" s="4">
        <v>0</v>
      </c>
      <c r="AQ448" s="4">
        <v>2</v>
      </c>
      <c r="AR448" s="3" t="s">
        <v>62</v>
      </c>
      <c r="AS448" s="3" t="s">
        <v>62</v>
      </c>
      <c r="AT448" s="3" t="s">
        <v>62</v>
      </c>
      <c r="AV448" s="6" t="str">
        <f>HYPERLINK("http://mcgill.on.worldcat.org/oclc/847520832","Catalog Record")</f>
        <v>Catalog Record</v>
      </c>
      <c r="AW448" s="6" t="str">
        <f>HYPERLINK("http://www.worldcat.org/oclc/847520832","WorldCat Record")</f>
        <v>WorldCat Record</v>
      </c>
      <c r="AX448" s="3" t="s">
        <v>4677</v>
      </c>
      <c r="AY448" s="3" t="s">
        <v>4678</v>
      </c>
      <c r="AZ448" s="3" t="s">
        <v>4679</v>
      </c>
      <c r="BA448" s="3" t="s">
        <v>4679</v>
      </c>
      <c r="BB448" s="3" t="s">
        <v>4680</v>
      </c>
      <c r="BC448" s="3" t="s">
        <v>102</v>
      </c>
      <c r="BD448" s="3" t="s">
        <v>68</v>
      </c>
      <c r="BE448" s="3" t="s">
        <v>4681</v>
      </c>
      <c r="BF448" s="3" t="s">
        <v>4680</v>
      </c>
      <c r="BG448" s="3" t="s">
        <v>4682</v>
      </c>
    </row>
    <row r="449" spans="1:59" ht="58" x14ac:dyDescent="0.35">
      <c r="A449" s="2" t="s">
        <v>89</v>
      </c>
      <c r="B449" s="2" t="s">
        <v>90</v>
      </c>
      <c r="C449" s="2" t="s">
        <v>4683</v>
      </c>
      <c r="D449" s="2" t="s">
        <v>4684</v>
      </c>
      <c r="E449" s="2" t="s">
        <v>4685</v>
      </c>
      <c r="G449" s="3" t="s">
        <v>62</v>
      </c>
      <c r="I449" s="3" t="s">
        <v>62</v>
      </c>
      <c r="J449" s="3" t="s">
        <v>62</v>
      </c>
      <c r="K449" s="3" t="s">
        <v>63</v>
      </c>
      <c r="L449" s="2" t="s">
        <v>4686</v>
      </c>
      <c r="M449" s="2" t="s">
        <v>4687</v>
      </c>
      <c r="N449" s="3" t="s">
        <v>1549</v>
      </c>
      <c r="P449" s="3" t="s">
        <v>64</v>
      </c>
      <c r="R449" s="3" t="s">
        <v>65</v>
      </c>
      <c r="S449" s="4">
        <v>2</v>
      </c>
      <c r="T449" s="4">
        <v>2</v>
      </c>
      <c r="U449" s="5" t="s">
        <v>4688</v>
      </c>
      <c r="V449" s="5" t="s">
        <v>4688</v>
      </c>
      <c r="W449" s="5" t="s">
        <v>67</v>
      </c>
      <c r="X449" s="5" t="s">
        <v>67</v>
      </c>
      <c r="Y449" s="4">
        <v>121</v>
      </c>
      <c r="Z449" s="4">
        <v>1</v>
      </c>
      <c r="AA449" s="4">
        <v>2</v>
      </c>
      <c r="AB449" s="4">
        <v>1</v>
      </c>
      <c r="AC449" s="4">
        <v>1</v>
      </c>
      <c r="AD449" s="4">
        <v>37</v>
      </c>
      <c r="AE449" s="4">
        <v>44</v>
      </c>
      <c r="AF449" s="4">
        <v>0</v>
      </c>
      <c r="AG449" s="4">
        <v>0</v>
      </c>
      <c r="AH449" s="4">
        <v>36</v>
      </c>
      <c r="AI449" s="4">
        <v>41</v>
      </c>
      <c r="AJ449" s="4">
        <v>0</v>
      </c>
      <c r="AK449" s="4">
        <v>1</v>
      </c>
      <c r="AL449" s="4">
        <v>21</v>
      </c>
      <c r="AM449" s="4">
        <v>25</v>
      </c>
      <c r="AN449" s="4">
        <v>0</v>
      </c>
      <c r="AO449" s="4">
        <v>0</v>
      </c>
      <c r="AP449" s="4">
        <v>0</v>
      </c>
      <c r="AQ449" s="4">
        <v>1</v>
      </c>
      <c r="AR449" s="3" t="s">
        <v>62</v>
      </c>
      <c r="AS449" s="3" t="s">
        <v>62</v>
      </c>
      <c r="AT449" s="3" t="s">
        <v>61</v>
      </c>
      <c r="AU449" s="6" t="str">
        <f>HYPERLINK("http://catalog.hathitrust.org/Record/001473854","HathiTrust Record")</f>
        <v>HathiTrust Record</v>
      </c>
      <c r="AV449" s="6" t="str">
        <f>HYPERLINK("http://mcgill.on.worldcat.org/oclc/1539393","Catalog Record")</f>
        <v>Catalog Record</v>
      </c>
      <c r="AW449" s="6" t="str">
        <f>HYPERLINK("http://www.worldcat.org/oclc/1539393","WorldCat Record")</f>
        <v>WorldCat Record</v>
      </c>
      <c r="AX449" s="3" t="s">
        <v>4689</v>
      </c>
      <c r="AY449" s="3" t="s">
        <v>4690</v>
      </c>
      <c r="AZ449" s="3" t="s">
        <v>4691</v>
      </c>
      <c r="BA449" s="3" t="s">
        <v>4691</v>
      </c>
      <c r="BB449" s="3" t="s">
        <v>4692</v>
      </c>
      <c r="BC449" s="3" t="s">
        <v>102</v>
      </c>
      <c r="BD449" s="3" t="s">
        <v>68</v>
      </c>
      <c r="BF449" s="3" t="s">
        <v>4692</v>
      </c>
      <c r="BG449" s="3" t="s">
        <v>4693</v>
      </c>
    </row>
    <row r="450" spans="1:59" ht="58" x14ac:dyDescent="0.35">
      <c r="A450" s="2" t="s">
        <v>89</v>
      </c>
      <c r="B450" s="2" t="s">
        <v>90</v>
      </c>
      <c r="C450" s="2" t="s">
        <v>4694</v>
      </c>
      <c r="D450" s="2" t="s">
        <v>4695</v>
      </c>
      <c r="E450" s="2" t="s">
        <v>4696</v>
      </c>
      <c r="G450" s="3" t="s">
        <v>62</v>
      </c>
      <c r="I450" s="3" t="s">
        <v>62</v>
      </c>
      <c r="J450" s="3" t="s">
        <v>62</v>
      </c>
      <c r="K450" s="3" t="s">
        <v>63</v>
      </c>
      <c r="L450" s="2" t="s">
        <v>4697</v>
      </c>
      <c r="M450" s="2" t="s">
        <v>4698</v>
      </c>
      <c r="N450" s="3" t="s">
        <v>2110</v>
      </c>
      <c r="O450" s="2" t="s">
        <v>4699</v>
      </c>
      <c r="P450" s="3" t="s">
        <v>1078</v>
      </c>
      <c r="Q450" s="2" t="s">
        <v>4700</v>
      </c>
      <c r="R450" s="3" t="s">
        <v>65</v>
      </c>
      <c r="S450" s="4">
        <v>3</v>
      </c>
      <c r="T450" s="4">
        <v>3</v>
      </c>
      <c r="U450" s="5" t="s">
        <v>4701</v>
      </c>
      <c r="V450" s="5" t="s">
        <v>4701</v>
      </c>
      <c r="W450" s="5" t="s">
        <v>67</v>
      </c>
      <c r="X450" s="5" t="s">
        <v>67</v>
      </c>
      <c r="Y450" s="4">
        <v>50</v>
      </c>
      <c r="Z450" s="4">
        <v>7</v>
      </c>
      <c r="AA450" s="4">
        <v>7</v>
      </c>
      <c r="AB450" s="4">
        <v>1</v>
      </c>
      <c r="AC450" s="4">
        <v>1</v>
      </c>
      <c r="AD450" s="4">
        <v>25</v>
      </c>
      <c r="AE450" s="4">
        <v>25</v>
      </c>
      <c r="AF450" s="4">
        <v>0</v>
      </c>
      <c r="AG450" s="4">
        <v>0</v>
      </c>
      <c r="AH450" s="4">
        <v>21</v>
      </c>
      <c r="AI450" s="4">
        <v>21</v>
      </c>
      <c r="AJ450" s="4">
        <v>5</v>
      </c>
      <c r="AK450" s="4">
        <v>5</v>
      </c>
      <c r="AL450" s="4">
        <v>17</v>
      </c>
      <c r="AM450" s="4">
        <v>17</v>
      </c>
      <c r="AN450" s="4">
        <v>0</v>
      </c>
      <c r="AO450" s="4">
        <v>0</v>
      </c>
      <c r="AP450" s="4">
        <v>5</v>
      </c>
      <c r="AQ450" s="4">
        <v>5</v>
      </c>
      <c r="AR450" s="3" t="s">
        <v>62</v>
      </c>
      <c r="AS450" s="3" t="s">
        <v>62</v>
      </c>
      <c r="AT450" s="3" t="s">
        <v>62</v>
      </c>
      <c r="AV450" s="6" t="str">
        <f>HYPERLINK("http://mcgill.on.worldcat.org/oclc/5075244","Catalog Record")</f>
        <v>Catalog Record</v>
      </c>
      <c r="AW450" s="6" t="str">
        <f>HYPERLINK("http://www.worldcat.org/oclc/5075244","WorldCat Record")</f>
        <v>WorldCat Record</v>
      </c>
      <c r="AX450" s="3" t="s">
        <v>4702</v>
      </c>
      <c r="AY450" s="3" t="s">
        <v>4703</v>
      </c>
      <c r="AZ450" s="3" t="s">
        <v>4704</v>
      </c>
      <c r="BA450" s="3" t="s">
        <v>4704</v>
      </c>
      <c r="BB450" s="3" t="s">
        <v>4705</v>
      </c>
      <c r="BC450" s="3" t="s">
        <v>102</v>
      </c>
      <c r="BD450" s="3" t="s">
        <v>68</v>
      </c>
      <c r="BF450" s="3" t="s">
        <v>4705</v>
      </c>
      <c r="BG450" s="3" t="s">
        <v>4706</v>
      </c>
    </row>
    <row r="451" spans="1:59" ht="58" x14ac:dyDescent="0.35">
      <c r="A451" s="2" t="s">
        <v>89</v>
      </c>
      <c r="B451" s="2" t="s">
        <v>90</v>
      </c>
      <c r="C451" s="2" t="s">
        <v>4707</v>
      </c>
      <c r="D451" s="2" t="s">
        <v>4708</v>
      </c>
      <c r="E451" s="2" t="s">
        <v>4709</v>
      </c>
      <c r="G451" s="3" t="s">
        <v>62</v>
      </c>
      <c r="I451" s="3" t="s">
        <v>62</v>
      </c>
      <c r="J451" s="3" t="s">
        <v>62</v>
      </c>
      <c r="K451" s="3" t="s">
        <v>63</v>
      </c>
      <c r="L451" s="2" t="s">
        <v>4710</v>
      </c>
      <c r="M451" s="2" t="s">
        <v>4711</v>
      </c>
      <c r="N451" s="3" t="s">
        <v>553</v>
      </c>
      <c r="P451" s="3" t="s">
        <v>64</v>
      </c>
      <c r="R451" s="3" t="s">
        <v>65</v>
      </c>
      <c r="S451" s="4">
        <v>8</v>
      </c>
      <c r="T451" s="4">
        <v>8</v>
      </c>
      <c r="U451" s="5" t="s">
        <v>4712</v>
      </c>
      <c r="V451" s="5" t="s">
        <v>4712</v>
      </c>
      <c r="W451" s="5" t="s">
        <v>67</v>
      </c>
      <c r="X451" s="5" t="s">
        <v>67</v>
      </c>
      <c r="Y451" s="4">
        <v>130</v>
      </c>
      <c r="Z451" s="4">
        <v>14</v>
      </c>
      <c r="AA451" s="4">
        <v>15</v>
      </c>
      <c r="AB451" s="4">
        <v>1</v>
      </c>
      <c r="AC451" s="4">
        <v>2</v>
      </c>
      <c r="AD451" s="4">
        <v>36</v>
      </c>
      <c r="AE451" s="4">
        <v>37</v>
      </c>
      <c r="AF451" s="4">
        <v>0</v>
      </c>
      <c r="AG451" s="4">
        <v>1</v>
      </c>
      <c r="AH451" s="4">
        <v>31</v>
      </c>
      <c r="AI451" s="4">
        <v>32</v>
      </c>
      <c r="AJ451" s="4">
        <v>7</v>
      </c>
      <c r="AK451" s="4">
        <v>8</v>
      </c>
      <c r="AL451" s="4">
        <v>20</v>
      </c>
      <c r="AM451" s="4">
        <v>20</v>
      </c>
      <c r="AN451" s="4">
        <v>0</v>
      </c>
      <c r="AO451" s="4">
        <v>0</v>
      </c>
      <c r="AP451" s="4">
        <v>8</v>
      </c>
      <c r="AQ451" s="4">
        <v>9</v>
      </c>
      <c r="AR451" s="3" t="s">
        <v>62</v>
      </c>
      <c r="AS451" s="3" t="s">
        <v>62</v>
      </c>
      <c r="AT451" s="3" t="s">
        <v>62</v>
      </c>
      <c r="AV451" s="6" t="str">
        <f>HYPERLINK("http://mcgill.on.worldcat.org/oclc/41326410","Catalog Record")</f>
        <v>Catalog Record</v>
      </c>
      <c r="AW451" s="6" t="str">
        <f>HYPERLINK("http://www.worldcat.org/oclc/41326410","WorldCat Record")</f>
        <v>WorldCat Record</v>
      </c>
      <c r="AX451" s="3" t="s">
        <v>4713</v>
      </c>
      <c r="AY451" s="3" t="s">
        <v>4714</v>
      </c>
      <c r="AZ451" s="3" t="s">
        <v>4715</v>
      </c>
      <c r="BA451" s="3" t="s">
        <v>4715</v>
      </c>
      <c r="BB451" s="3" t="s">
        <v>4716</v>
      </c>
      <c r="BC451" s="3" t="s">
        <v>102</v>
      </c>
      <c r="BD451" s="3" t="s">
        <v>68</v>
      </c>
      <c r="BE451" s="3" t="s">
        <v>4717</v>
      </c>
      <c r="BF451" s="3" t="s">
        <v>4716</v>
      </c>
      <c r="BG451" s="3" t="s">
        <v>4718</v>
      </c>
    </row>
    <row r="452" spans="1:59" ht="58" x14ac:dyDescent="0.35">
      <c r="A452" s="2" t="s">
        <v>89</v>
      </c>
      <c r="B452" s="2" t="s">
        <v>90</v>
      </c>
      <c r="C452" s="2" t="s">
        <v>4719</v>
      </c>
      <c r="D452" s="2" t="s">
        <v>4720</v>
      </c>
      <c r="E452" s="2" t="s">
        <v>4721</v>
      </c>
      <c r="G452" s="3" t="s">
        <v>62</v>
      </c>
      <c r="I452" s="3" t="s">
        <v>62</v>
      </c>
      <c r="J452" s="3" t="s">
        <v>62</v>
      </c>
      <c r="K452" s="3" t="s">
        <v>63</v>
      </c>
      <c r="L452" s="2" t="s">
        <v>4722</v>
      </c>
      <c r="M452" s="2" t="s">
        <v>4723</v>
      </c>
      <c r="N452" s="3" t="s">
        <v>201</v>
      </c>
      <c r="P452" s="3" t="s">
        <v>1078</v>
      </c>
      <c r="Q452" s="2" t="s">
        <v>4724</v>
      </c>
      <c r="R452" s="3" t="s">
        <v>65</v>
      </c>
      <c r="S452" s="4">
        <v>4</v>
      </c>
      <c r="T452" s="4">
        <v>4</v>
      </c>
      <c r="U452" s="5" t="s">
        <v>97</v>
      </c>
      <c r="V452" s="5" t="s">
        <v>97</v>
      </c>
      <c r="W452" s="5" t="s">
        <v>67</v>
      </c>
      <c r="X452" s="5" t="s">
        <v>67</v>
      </c>
      <c r="Y452" s="4">
        <v>9</v>
      </c>
      <c r="Z452" s="4">
        <v>1</v>
      </c>
      <c r="AA452" s="4">
        <v>1</v>
      </c>
      <c r="AB452" s="4">
        <v>1</v>
      </c>
      <c r="AC452" s="4">
        <v>1</v>
      </c>
      <c r="AD452" s="4">
        <v>6</v>
      </c>
      <c r="AE452" s="4">
        <v>12</v>
      </c>
      <c r="AF452" s="4">
        <v>0</v>
      </c>
      <c r="AG452" s="4">
        <v>0</v>
      </c>
      <c r="AH452" s="4">
        <v>5</v>
      </c>
      <c r="AI452" s="4">
        <v>11</v>
      </c>
      <c r="AJ452" s="4">
        <v>0</v>
      </c>
      <c r="AK452" s="4">
        <v>0</v>
      </c>
      <c r="AL452" s="4">
        <v>4</v>
      </c>
      <c r="AM452" s="4">
        <v>9</v>
      </c>
      <c r="AN452" s="4">
        <v>0</v>
      </c>
      <c r="AO452" s="4">
        <v>0</v>
      </c>
      <c r="AP452" s="4">
        <v>0</v>
      </c>
      <c r="AQ452" s="4">
        <v>0</v>
      </c>
      <c r="AR452" s="3" t="s">
        <v>62</v>
      </c>
      <c r="AS452" s="3" t="s">
        <v>62</v>
      </c>
      <c r="AT452" s="3" t="s">
        <v>62</v>
      </c>
      <c r="AV452" s="6" t="str">
        <f>HYPERLINK("http://mcgill.on.worldcat.org/oclc/4033814","Catalog Record")</f>
        <v>Catalog Record</v>
      </c>
      <c r="AW452" s="6" t="str">
        <f>HYPERLINK("http://www.worldcat.org/oclc/4033814","WorldCat Record")</f>
        <v>WorldCat Record</v>
      </c>
      <c r="AX452" s="3" t="s">
        <v>4725</v>
      </c>
      <c r="AY452" s="3" t="s">
        <v>4726</v>
      </c>
      <c r="AZ452" s="3" t="s">
        <v>4727</v>
      </c>
      <c r="BA452" s="3" t="s">
        <v>4727</v>
      </c>
      <c r="BB452" s="3" t="s">
        <v>4728</v>
      </c>
      <c r="BC452" s="3" t="s">
        <v>102</v>
      </c>
      <c r="BD452" s="3" t="s">
        <v>68</v>
      </c>
      <c r="BF452" s="3" t="s">
        <v>4728</v>
      </c>
      <c r="BG452" s="3" t="s">
        <v>4729</v>
      </c>
    </row>
    <row r="453" spans="1:59" ht="58" x14ac:dyDescent="0.35">
      <c r="A453" s="2" t="s">
        <v>89</v>
      </c>
      <c r="B453" s="2" t="s">
        <v>90</v>
      </c>
      <c r="C453" s="2" t="s">
        <v>4730</v>
      </c>
      <c r="D453" s="2" t="s">
        <v>4731</v>
      </c>
      <c r="E453" s="2" t="s">
        <v>4732</v>
      </c>
      <c r="G453" s="3" t="s">
        <v>62</v>
      </c>
      <c r="I453" s="3" t="s">
        <v>61</v>
      </c>
      <c r="J453" s="3" t="s">
        <v>62</v>
      </c>
      <c r="K453" s="3" t="s">
        <v>63</v>
      </c>
      <c r="M453" s="2" t="s">
        <v>4733</v>
      </c>
      <c r="N453" s="3" t="s">
        <v>466</v>
      </c>
      <c r="P453" s="3" t="s">
        <v>1078</v>
      </c>
      <c r="Q453" s="2" t="s">
        <v>4734</v>
      </c>
      <c r="R453" s="3" t="s">
        <v>65</v>
      </c>
      <c r="S453" s="4">
        <v>3</v>
      </c>
      <c r="T453" s="4">
        <v>3</v>
      </c>
      <c r="U453" s="5" t="s">
        <v>4735</v>
      </c>
      <c r="V453" s="5" t="s">
        <v>4735</v>
      </c>
      <c r="W453" s="5" t="s">
        <v>67</v>
      </c>
      <c r="X453" s="5" t="s">
        <v>67</v>
      </c>
      <c r="Y453" s="4">
        <v>42</v>
      </c>
      <c r="Z453" s="4">
        <v>4</v>
      </c>
      <c r="AA453" s="4">
        <v>4</v>
      </c>
      <c r="AB453" s="4">
        <v>1</v>
      </c>
      <c r="AC453" s="4">
        <v>1</v>
      </c>
      <c r="AD453" s="4">
        <v>19</v>
      </c>
      <c r="AE453" s="4">
        <v>24</v>
      </c>
      <c r="AF453" s="4">
        <v>0</v>
      </c>
      <c r="AG453" s="4">
        <v>0</v>
      </c>
      <c r="AH453" s="4">
        <v>17</v>
      </c>
      <c r="AI453" s="4">
        <v>22</v>
      </c>
      <c r="AJ453" s="4">
        <v>2</v>
      </c>
      <c r="AK453" s="4">
        <v>2</v>
      </c>
      <c r="AL453" s="4">
        <v>13</v>
      </c>
      <c r="AM453" s="4">
        <v>18</v>
      </c>
      <c r="AN453" s="4">
        <v>0</v>
      </c>
      <c r="AO453" s="4">
        <v>0</v>
      </c>
      <c r="AP453" s="4">
        <v>2</v>
      </c>
      <c r="AQ453" s="4">
        <v>2</v>
      </c>
      <c r="AR453" s="3" t="s">
        <v>62</v>
      </c>
      <c r="AS453" s="3" t="s">
        <v>62</v>
      </c>
      <c r="AT453" s="3" t="s">
        <v>62</v>
      </c>
      <c r="AV453" s="6" t="str">
        <f>HYPERLINK("http://mcgill.on.worldcat.org/oclc/29390545","Catalog Record")</f>
        <v>Catalog Record</v>
      </c>
      <c r="AW453" s="6" t="str">
        <f>HYPERLINK("http://www.worldcat.org/oclc/29390545","WorldCat Record")</f>
        <v>WorldCat Record</v>
      </c>
      <c r="AX453" s="3" t="s">
        <v>4736</v>
      </c>
      <c r="AY453" s="3" t="s">
        <v>4737</v>
      </c>
      <c r="AZ453" s="3" t="s">
        <v>4738</v>
      </c>
      <c r="BA453" s="3" t="s">
        <v>4738</v>
      </c>
      <c r="BB453" s="3" t="s">
        <v>4739</v>
      </c>
      <c r="BC453" s="3" t="s">
        <v>102</v>
      </c>
      <c r="BD453" s="3" t="s">
        <v>68</v>
      </c>
      <c r="BE453" s="3" t="s">
        <v>4740</v>
      </c>
      <c r="BF453" s="3" t="s">
        <v>4739</v>
      </c>
      <c r="BG453" s="3" t="s">
        <v>4741</v>
      </c>
    </row>
    <row r="454" spans="1:59" ht="58" x14ac:dyDescent="0.35">
      <c r="A454" s="2" t="s">
        <v>89</v>
      </c>
      <c r="B454" s="2" t="s">
        <v>90</v>
      </c>
      <c r="C454" s="2" t="s">
        <v>4742</v>
      </c>
      <c r="D454" s="2" t="s">
        <v>4743</v>
      </c>
      <c r="E454" s="2" t="s">
        <v>4744</v>
      </c>
      <c r="G454" s="3" t="s">
        <v>62</v>
      </c>
      <c r="I454" s="3" t="s">
        <v>62</v>
      </c>
      <c r="J454" s="3" t="s">
        <v>62</v>
      </c>
      <c r="K454" s="3" t="s">
        <v>63</v>
      </c>
      <c r="L454" s="2" t="s">
        <v>4745</v>
      </c>
      <c r="M454" s="2" t="s">
        <v>4746</v>
      </c>
      <c r="N454" s="3" t="s">
        <v>2566</v>
      </c>
      <c r="P454" s="3" t="s">
        <v>64</v>
      </c>
      <c r="Q454" s="2" t="s">
        <v>4747</v>
      </c>
      <c r="R454" s="3" t="s">
        <v>65</v>
      </c>
      <c r="S454" s="4">
        <v>4</v>
      </c>
      <c r="T454" s="4">
        <v>4</v>
      </c>
      <c r="U454" s="5" t="s">
        <v>4748</v>
      </c>
      <c r="V454" s="5" t="s">
        <v>4748</v>
      </c>
      <c r="W454" s="5" t="s">
        <v>67</v>
      </c>
      <c r="X454" s="5" t="s">
        <v>67</v>
      </c>
      <c r="Y454" s="4">
        <v>222</v>
      </c>
      <c r="Z454" s="4">
        <v>15</v>
      </c>
      <c r="AA454" s="4">
        <v>29</v>
      </c>
      <c r="AB454" s="4">
        <v>2</v>
      </c>
      <c r="AC454" s="4">
        <v>5</v>
      </c>
      <c r="AD454" s="4">
        <v>74</v>
      </c>
      <c r="AE454" s="4">
        <v>96</v>
      </c>
      <c r="AF454" s="4">
        <v>1</v>
      </c>
      <c r="AG454" s="4">
        <v>4</v>
      </c>
      <c r="AH454" s="4">
        <v>62</v>
      </c>
      <c r="AI454" s="4">
        <v>79</v>
      </c>
      <c r="AJ454" s="4">
        <v>9</v>
      </c>
      <c r="AK454" s="4">
        <v>21</v>
      </c>
      <c r="AL454" s="4">
        <v>34</v>
      </c>
      <c r="AM454" s="4">
        <v>41</v>
      </c>
      <c r="AN454" s="4">
        <v>0</v>
      </c>
      <c r="AO454" s="4">
        <v>0</v>
      </c>
      <c r="AP454" s="4">
        <v>14</v>
      </c>
      <c r="AQ454" s="4">
        <v>24</v>
      </c>
      <c r="AR454" s="3" t="s">
        <v>62</v>
      </c>
      <c r="AS454" s="3" t="s">
        <v>62</v>
      </c>
      <c r="AT454" s="3" t="s">
        <v>61</v>
      </c>
      <c r="AU454" s="6" t="str">
        <f>HYPERLINK("http://catalog.hathitrust.org/Record/001473857","HathiTrust Record")</f>
        <v>HathiTrust Record</v>
      </c>
      <c r="AV454" s="6" t="str">
        <f>HYPERLINK("http://mcgill.on.worldcat.org/oclc/668997","Catalog Record")</f>
        <v>Catalog Record</v>
      </c>
      <c r="AW454" s="6" t="str">
        <f>HYPERLINK("http://www.worldcat.org/oclc/668997","WorldCat Record")</f>
        <v>WorldCat Record</v>
      </c>
      <c r="AX454" s="3" t="s">
        <v>4749</v>
      </c>
      <c r="AY454" s="3" t="s">
        <v>4750</v>
      </c>
      <c r="AZ454" s="3" t="s">
        <v>4751</v>
      </c>
      <c r="BA454" s="3" t="s">
        <v>4751</v>
      </c>
      <c r="BB454" s="3" t="s">
        <v>4752</v>
      </c>
      <c r="BC454" s="3" t="s">
        <v>4753</v>
      </c>
      <c r="BD454" s="3" t="s">
        <v>68</v>
      </c>
      <c r="BE454" s="3" t="s">
        <v>4754</v>
      </c>
      <c r="BF454" s="3" t="s">
        <v>4752</v>
      </c>
      <c r="BG454" s="3" t="s">
        <v>4755</v>
      </c>
    </row>
    <row r="455" spans="1:59" ht="58" x14ac:dyDescent="0.35">
      <c r="A455" s="2" t="s">
        <v>89</v>
      </c>
      <c r="B455" s="2" t="s">
        <v>90</v>
      </c>
      <c r="C455" s="2" t="s">
        <v>4756</v>
      </c>
      <c r="D455" s="2" t="s">
        <v>4757</v>
      </c>
      <c r="E455" s="2" t="s">
        <v>4758</v>
      </c>
      <c r="G455" s="3" t="s">
        <v>62</v>
      </c>
      <c r="I455" s="3" t="s">
        <v>62</v>
      </c>
      <c r="J455" s="3" t="s">
        <v>62</v>
      </c>
      <c r="K455" s="3" t="s">
        <v>63</v>
      </c>
      <c r="L455" s="2" t="s">
        <v>4759</v>
      </c>
      <c r="M455" s="2" t="s">
        <v>4760</v>
      </c>
      <c r="N455" s="3" t="s">
        <v>838</v>
      </c>
      <c r="O455" s="2" t="s">
        <v>2849</v>
      </c>
      <c r="P455" s="3" t="s">
        <v>64</v>
      </c>
      <c r="Q455" s="2" t="s">
        <v>4761</v>
      </c>
      <c r="R455" s="3" t="s">
        <v>65</v>
      </c>
      <c r="S455" s="4">
        <v>4</v>
      </c>
      <c r="T455" s="4">
        <v>4</v>
      </c>
      <c r="U455" s="5" t="s">
        <v>4748</v>
      </c>
      <c r="V455" s="5" t="s">
        <v>4748</v>
      </c>
      <c r="W455" s="5" t="s">
        <v>67</v>
      </c>
      <c r="X455" s="5" t="s">
        <v>67</v>
      </c>
      <c r="Y455" s="4">
        <v>282</v>
      </c>
      <c r="Z455" s="4">
        <v>23</v>
      </c>
      <c r="AA455" s="4">
        <v>28</v>
      </c>
      <c r="AB455" s="4">
        <v>1</v>
      </c>
      <c r="AC455" s="4">
        <v>4</v>
      </c>
      <c r="AD455" s="4">
        <v>90</v>
      </c>
      <c r="AE455" s="4">
        <v>94</v>
      </c>
      <c r="AF455" s="4">
        <v>0</v>
      </c>
      <c r="AG455" s="4">
        <v>3</v>
      </c>
      <c r="AH455" s="4">
        <v>78</v>
      </c>
      <c r="AI455" s="4">
        <v>79</v>
      </c>
      <c r="AJ455" s="4">
        <v>16</v>
      </c>
      <c r="AK455" s="4">
        <v>20</v>
      </c>
      <c r="AL455" s="4">
        <v>41</v>
      </c>
      <c r="AM455" s="4">
        <v>41</v>
      </c>
      <c r="AN455" s="4">
        <v>0</v>
      </c>
      <c r="AO455" s="4">
        <v>0</v>
      </c>
      <c r="AP455" s="4">
        <v>18</v>
      </c>
      <c r="AQ455" s="4">
        <v>21</v>
      </c>
      <c r="AR455" s="3" t="s">
        <v>62</v>
      </c>
      <c r="AS455" s="3" t="s">
        <v>62</v>
      </c>
      <c r="AT455" s="3" t="s">
        <v>61</v>
      </c>
      <c r="AU455" s="6" t="str">
        <f>HYPERLINK("http://catalog.hathitrust.org/Record/001473858","HathiTrust Record")</f>
        <v>HathiTrust Record</v>
      </c>
      <c r="AV455" s="6" t="str">
        <f>HYPERLINK("http://mcgill.on.worldcat.org/oclc/559908","Catalog Record")</f>
        <v>Catalog Record</v>
      </c>
      <c r="AW455" s="6" t="str">
        <f>HYPERLINK("http://www.worldcat.org/oclc/559908","WorldCat Record")</f>
        <v>WorldCat Record</v>
      </c>
      <c r="AX455" s="3" t="s">
        <v>4762</v>
      </c>
      <c r="AY455" s="3" t="s">
        <v>4763</v>
      </c>
      <c r="AZ455" s="3" t="s">
        <v>4764</v>
      </c>
      <c r="BA455" s="3" t="s">
        <v>4764</v>
      </c>
      <c r="BB455" s="3" t="s">
        <v>4765</v>
      </c>
      <c r="BC455" s="3" t="s">
        <v>102</v>
      </c>
      <c r="BD455" s="3" t="s">
        <v>68</v>
      </c>
      <c r="BF455" s="3" t="s">
        <v>4765</v>
      </c>
      <c r="BG455" s="3" t="s">
        <v>4766</v>
      </c>
    </row>
    <row r="456" spans="1:59" ht="72.5" x14ac:dyDescent="0.35">
      <c r="A456" s="2" t="s">
        <v>89</v>
      </c>
      <c r="B456" s="2" t="s">
        <v>90</v>
      </c>
      <c r="C456" s="2" t="s">
        <v>4767</v>
      </c>
      <c r="D456" s="2" t="s">
        <v>4768</v>
      </c>
      <c r="E456" s="2" t="s">
        <v>4769</v>
      </c>
      <c r="G456" s="3" t="s">
        <v>62</v>
      </c>
      <c r="I456" s="3" t="s">
        <v>62</v>
      </c>
      <c r="J456" s="3" t="s">
        <v>62</v>
      </c>
      <c r="K456" s="3" t="s">
        <v>63</v>
      </c>
      <c r="L456" s="2" t="s">
        <v>2484</v>
      </c>
      <c r="M456" s="2" t="s">
        <v>4770</v>
      </c>
      <c r="N456" s="3" t="s">
        <v>625</v>
      </c>
      <c r="P456" s="3" t="s">
        <v>64</v>
      </c>
      <c r="R456" s="3" t="s">
        <v>65</v>
      </c>
      <c r="S456" s="4">
        <v>8</v>
      </c>
      <c r="T456" s="4">
        <v>8</v>
      </c>
      <c r="U456" s="5" t="s">
        <v>4771</v>
      </c>
      <c r="V456" s="5" t="s">
        <v>4771</v>
      </c>
      <c r="W456" s="5" t="s">
        <v>67</v>
      </c>
      <c r="X456" s="5" t="s">
        <v>67</v>
      </c>
      <c r="Y456" s="4">
        <v>103</v>
      </c>
      <c r="Z456" s="4">
        <v>8</v>
      </c>
      <c r="AA456" s="4">
        <v>11</v>
      </c>
      <c r="AB456" s="4">
        <v>1</v>
      </c>
      <c r="AC456" s="4">
        <v>3</v>
      </c>
      <c r="AD456" s="4">
        <v>29</v>
      </c>
      <c r="AE456" s="4">
        <v>29</v>
      </c>
      <c r="AF456" s="4">
        <v>0</v>
      </c>
      <c r="AG456" s="4">
        <v>0</v>
      </c>
      <c r="AH456" s="4">
        <v>27</v>
      </c>
      <c r="AI456" s="4">
        <v>27</v>
      </c>
      <c r="AJ456" s="4">
        <v>3</v>
      </c>
      <c r="AK456" s="4">
        <v>3</v>
      </c>
      <c r="AL456" s="4">
        <v>14</v>
      </c>
      <c r="AM456" s="4">
        <v>14</v>
      </c>
      <c r="AN456" s="4">
        <v>3</v>
      </c>
      <c r="AO456" s="4">
        <v>3</v>
      </c>
      <c r="AP456" s="4">
        <v>3</v>
      </c>
      <c r="AQ456" s="4">
        <v>3</v>
      </c>
      <c r="AR456" s="3" t="s">
        <v>62</v>
      </c>
      <c r="AS456" s="3" t="s">
        <v>62</v>
      </c>
      <c r="AT456" s="3" t="s">
        <v>61</v>
      </c>
      <c r="AU456" s="6" t="str">
        <f>HYPERLINK("http://catalog.hathitrust.org/Record/007977052","HathiTrust Record")</f>
        <v>HathiTrust Record</v>
      </c>
      <c r="AV456" s="6" t="str">
        <f>HYPERLINK("http://mcgill.on.worldcat.org/oclc/54697375","Catalog Record")</f>
        <v>Catalog Record</v>
      </c>
      <c r="AW456" s="6" t="str">
        <f>HYPERLINK("http://www.worldcat.org/oclc/54697375","WorldCat Record")</f>
        <v>WorldCat Record</v>
      </c>
      <c r="AX456" s="3" t="s">
        <v>4772</v>
      </c>
      <c r="AY456" s="3" t="s">
        <v>4773</v>
      </c>
      <c r="AZ456" s="3" t="s">
        <v>4774</v>
      </c>
      <c r="BA456" s="3" t="s">
        <v>4774</v>
      </c>
      <c r="BB456" s="3" t="s">
        <v>4775</v>
      </c>
      <c r="BC456" s="3" t="s">
        <v>102</v>
      </c>
      <c r="BD456" s="3" t="s">
        <v>68</v>
      </c>
      <c r="BE456" s="3" t="s">
        <v>4776</v>
      </c>
      <c r="BF456" s="3" t="s">
        <v>4775</v>
      </c>
      <c r="BG456" s="3" t="s">
        <v>4777</v>
      </c>
    </row>
    <row r="457" spans="1:59" ht="72.5" x14ac:dyDescent="0.35">
      <c r="A457" s="2" t="s">
        <v>89</v>
      </c>
      <c r="B457" s="2" t="s">
        <v>90</v>
      </c>
      <c r="C457" s="2" t="s">
        <v>4778</v>
      </c>
      <c r="D457" s="2" t="s">
        <v>4779</v>
      </c>
      <c r="E457" s="2" t="s">
        <v>4780</v>
      </c>
      <c r="G457" s="3" t="s">
        <v>62</v>
      </c>
      <c r="I457" s="3" t="s">
        <v>62</v>
      </c>
      <c r="J457" s="3" t="s">
        <v>62</v>
      </c>
      <c r="K457" s="3" t="s">
        <v>63</v>
      </c>
      <c r="L457" s="2" t="s">
        <v>4781</v>
      </c>
      <c r="M457" s="2" t="s">
        <v>4782</v>
      </c>
      <c r="N457" s="3" t="s">
        <v>1905</v>
      </c>
      <c r="P457" s="3" t="s">
        <v>64</v>
      </c>
      <c r="R457" s="3" t="s">
        <v>65</v>
      </c>
      <c r="S457" s="4">
        <v>18</v>
      </c>
      <c r="T457" s="4">
        <v>18</v>
      </c>
      <c r="U457" s="5" t="s">
        <v>4783</v>
      </c>
      <c r="V457" s="5" t="s">
        <v>4783</v>
      </c>
      <c r="W457" s="5" t="s">
        <v>67</v>
      </c>
      <c r="X457" s="5" t="s">
        <v>67</v>
      </c>
      <c r="Y457" s="4">
        <v>584</v>
      </c>
      <c r="Z457" s="4">
        <v>32</v>
      </c>
      <c r="AA457" s="4">
        <v>33</v>
      </c>
      <c r="AB457" s="4">
        <v>2</v>
      </c>
      <c r="AC457" s="4">
        <v>3</v>
      </c>
      <c r="AD457" s="4">
        <v>110</v>
      </c>
      <c r="AE457" s="4">
        <v>111</v>
      </c>
      <c r="AF457" s="4">
        <v>0</v>
      </c>
      <c r="AG457" s="4">
        <v>1</v>
      </c>
      <c r="AH457" s="4">
        <v>95</v>
      </c>
      <c r="AI457" s="4">
        <v>95</v>
      </c>
      <c r="AJ457" s="4">
        <v>14</v>
      </c>
      <c r="AK457" s="4">
        <v>15</v>
      </c>
      <c r="AL457" s="4">
        <v>50</v>
      </c>
      <c r="AM457" s="4">
        <v>50</v>
      </c>
      <c r="AN457" s="4">
        <v>0</v>
      </c>
      <c r="AO457" s="4">
        <v>0</v>
      </c>
      <c r="AP457" s="4">
        <v>22</v>
      </c>
      <c r="AQ457" s="4">
        <v>22</v>
      </c>
      <c r="AR457" s="3" t="s">
        <v>62</v>
      </c>
      <c r="AS457" s="3" t="s">
        <v>62</v>
      </c>
      <c r="AT457" s="3" t="s">
        <v>61</v>
      </c>
      <c r="AU457" s="6" t="str">
        <f>HYPERLINK("http://catalog.hathitrust.org/Record/000881508","HathiTrust Record")</f>
        <v>HathiTrust Record</v>
      </c>
      <c r="AV457" s="6" t="str">
        <f>HYPERLINK("http://mcgill.on.worldcat.org/oclc/12811354","Catalog Record")</f>
        <v>Catalog Record</v>
      </c>
      <c r="AW457" s="6" t="str">
        <f>HYPERLINK("http://www.worldcat.org/oclc/12811354","WorldCat Record")</f>
        <v>WorldCat Record</v>
      </c>
      <c r="AX457" s="3" t="s">
        <v>4784</v>
      </c>
      <c r="AY457" s="3" t="s">
        <v>4785</v>
      </c>
      <c r="AZ457" s="3" t="s">
        <v>4786</v>
      </c>
      <c r="BA457" s="3" t="s">
        <v>4786</v>
      </c>
      <c r="BB457" s="3" t="s">
        <v>4787</v>
      </c>
      <c r="BC457" s="3" t="s">
        <v>102</v>
      </c>
      <c r="BD457" s="3" t="s">
        <v>68</v>
      </c>
      <c r="BE457" s="3" t="s">
        <v>4788</v>
      </c>
      <c r="BF457" s="3" t="s">
        <v>4787</v>
      </c>
      <c r="BG457" s="3" t="s">
        <v>4789</v>
      </c>
    </row>
    <row r="458" spans="1:59" ht="58" x14ac:dyDescent="0.35">
      <c r="A458" s="2" t="s">
        <v>89</v>
      </c>
      <c r="B458" s="2" t="s">
        <v>90</v>
      </c>
      <c r="C458" s="2" t="s">
        <v>4790</v>
      </c>
      <c r="D458" s="2" t="s">
        <v>4791</v>
      </c>
      <c r="E458" s="2" t="s">
        <v>4792</v>
      </c>
      <c r="G458" s="3" t="s">
        <v>62</v>
      </c>
      <c r="I458" s="3" t="s">
        <v>62</v>
      </c>
      <c r="J458" s="3" t="s">
        <v>62</v>
      </c>
      <c r="K458" s="3" t="s">
        <v>63</v>
      </c>
      <c r="M458" s="2" t="s">
        <v>1927</v>
      </c>
      <c r="N458" s="3" t="s">
        <v>481</v>
      </c>
      <c r="P458" s="3" t="s">
        <v>64</v>
      </c>
      <c r="Q458" s="2" t="s">
        <v>4793</v>
      </c>
      <c r="R458" s="3" t="s">
        <v>65</v>
      </c>
      <c r="S458" s="4">
        <v>6</v>
      </c>
      <c r="T458" s="4">
        <v>6</v>
      </c>
      <c r="U458" s="5" t="s">
        <v>906</v>
      </c>
      <c r="V458" s="5" t="s">
        <v>906</v>
      </c>
      <c r="W458" s="5" t="s">
        <v>67</v>
      </c>
      <c r="X458" s="5" t="s">
        <v>67</v>
      </c>
      <c r="Y458" s="4">
        <v>174</v>
      </c>
      <c r="Z458" s="4">
        <v>6</v>
      </c>
      <c r="AA458" s="4">
        <v>11</v>
      </c>
      <c r="AB458" s="4">
        <v>1</v>
      </c>
      <c r="AC458" s="4">
        <v>3</v>
      </c>
      <c r="AD458" s="4">
        <v>63</v>
      </c>
      <c r="AE458" s="4">
        <v>68</v>
      </c>
      <c r="AF458" s="4">
        <v>0</v>
      </c>
      <c r="AG458" s="4">
        <v>2</v>
      </c>
      <c r="AH458" s="4">
        <v>60</v>
      </c>
      <c r="AI458" s="4">
        <v>64</v>
      </c>
      <c r="AJ458" s="4">
        <v>4</v>
      </c>
      <c r="AK458" s="4">
        <v>7</v>
      </c>
      <c r="AL458" s="4">
        <v>40</v>
      </c>
      <c r="AM458" s="4">
        <v>42</v>
      </c>
      <c r="AN458" s="4">
        <v>0</v>
      </c>
      <c r="AO458" s="4">
        <v>0</v>
      </c>
      <c r="AP458" s="4">
        <v>4</v>
      </c>
      <c r="AQ458" s="4">
        <v>6</v>
      </c>
      <c r="AR458" s="3" t="s">
        <v>62</v>
      </c>
      <c r="AS458" s="3" t="s">
        <v>62</v>
      </c>
      <c r="AT458" s="3" t="s">
        <v>62</v>
      </c>
      <c r="AV458" s="6" t="str">
        <f>HYPERLINK("http://mcgill.on.worldcat.org/oclc/37373677","Catalog Record")</f>
        <v>Catalog Record</v>
      </c>
      <c r="AW458" s="6" t="str">
        <f>HYPERLINK("http://www.worldcat.org/oclc/37373677","WorldCat Record")</f>
        <v>WorldCat Record</v>
      </c>
      <c r="AX458" s="3" t="s">
        <v>4794</v>
      </c>
      <c r="AY458" s="3" t="s">
        <v>4795</v>
      </c>
      <c r="AZ458" s="3" t="s">
        <v>4796</v>
      </c>
      <c r="BA458" s="3" t="s">
        <v>4796</v>
      </c>
      <c r="BB458" s="3" t="s">
        <v>4797</v>
      </c>
      <c r="BC458" s="3" t="s">
        <v>102</v>
      </c>
      <c r="BD458" s="3" t="s">
        <v>68</v>
      </c>
      <c r="BE458" s="3" t="s">
        <v>4798</v>
      </c>
      <c r="BF458" s="3" t="s">
        <v>4797</v>
      </c>
      <c r="BG458" s="3" t="s">
        <v>4799</v>
      </c>
    </row>
    <row r="459" spans="1:59" ht="58" x14ac:dyDescent="0.35">
      <c r="A459" s="2" t="s">
        <v>89</v>
      </c>
      <c r="B459" s="2" t="s">
        <v>90</v>
      </c>
      <c r="C459" s="2" t="s">
        <v>4800</v>
      </c>
      <c r="D459" s="2" t="s">
        <v>4801</v>
      </c>
      <c r="E459" s="2" t="s">
        <v>4802</v>
      </c>
      <c r="G459" s="3" t="s">
        <v>62</v>
      </c>
      <c r="I459" s="3" t="s">
        <v>61</v>
      </c>
      <c r="J459" s="3" t="s">
        <v>62</v>
      </c>
      <c r="K459" s="3" t="s">
        <v>63</v>
      </c>
      <c r="L459" s="2" t="s">
        <v>4803</v>
      </c>
      <c r="M459" s="2" t="s">
        <v>4804</v>
      </c>
      <c r="N459" s="3" t="s">
        <v>509</v>
      </c>
      <c r="P459" s="3" t="s">
        <v>64</v>
      </c>
      <c r="R459" s="3" t="s">
        <v>65</v>
      </c>
      <c r="S459" s="4">
        <v>7</v>
      </c>
      <c r="T459" s="4">
        <v>11</v>
      </c>
      <c r="U459" s="5" t="s">
        <v>4805</v>
      </c>
      <c r="V459" s="5" t="s">
        <v>4805</v>
      </c>
      <c r="W459" s="5" t="s">
        <v>67</v>
      </c>
      <c r="X459" s="5" t="s">
        <v>67</v>
      </c>
      <c r="Y459" s="4">
        <v>146</v>
      </c>
      <c r="Z459" s="4">
        <v>10</v>
      </c>
      <c r="AA459" s="4">
        <v>10</v>
      </c>
      <c r="AB459" s="4">
        <v>2</v>
      </c>
      <c r="AC459" s="4">
        <v>2</v>
      </c>
      <c r="AD459" s="4">
        <v>57</v>
      </c>
      <c r="AE459" s="4">
        <v>57</v>
      </c>
      <c r="AF459" s="4">
        <v>1</v>
      </c>
      <c r="AG459" s="4">
        <v>1</v>
      </c>
      <c r="AH459" s="4">
        <v>54</v>
      </c>
      <c r="AI459" s="4">
        <v>54</v>
      </c>
      <c r="AJ459" s="4">
        <v>7</v>
      </c>
      <c r="AK459" s="4">
        <v>7</v>
      </c>
      <c r="AL459" s="4">
        <v>33</v>
      </c>
      <c r="AM459" s="4">
        <v>33</v>
      </c>
      <c r="AN459" s="4">
        <v>0</v>
      </c>
      <c r="AO459" s="4">
        <v>0</v>
      </c>
      <c r="AP459" s="4">
        <v>7</v>
      </c>
      <c r="AQ459" s="4">
        <v>7</v>
      </c>
      <c r="AR459" s="3" t="s">
        <v>62</v>
      </c>
      <c r="AS459" s="3" t="s">
        <v>62</v>
      </c>
      <c r="AT459" s="3" t="s">
        <v>62</v>
      </c>
      <c r="AV459" s="6" t="str">
        <f>HYPERLINK("http://mcgill.on.worldcat.org/oclc/31295187","Catalog Record")</f>
        <v>Catalog Record</v>
      </c>
      <c r="AW459" s="6" t="str">
        <f>HYPERLINK("http://www.worldcat.org/oclc/31295187","WorldCat Record")</f>
        <v>WorldCat Record</v>
      </c>
      <c r="AX459" s="3" t="s">
        <v>4806</v>
      </c>
      <c r="AY459" s="3" t="s">
        <v>4807</v>
      </c>
      <c r="AZ459" s="3" t="s">
        <v>4808</v>
      </c>
      <c r="BA459" s="3" t="s">
        <v>4808</v>
      </c>
      <c r="BB459" s="3" t="s">
        <v>4809</v>
      </c>
      <c r="BC459" s="3" t="s">
        <v>102</v>
      </c>
      <c r="BD459" s="3" t="s">
        <v>68</v>
      </c>
      <c r="BE459" s="3" t="s">
        <v>4810</v>
      </c>
      <c r="BF459" s="3" t="s">
        <v>4809</v>
      </c>
      <c r="BG459" s="3" t="s">
        <v>4811</v>
      </c>
    </row>
    <row r="460" spans="1:59" ht="58" x14ac:dyDescent="0.35">
      <c r="A460" s="2" t="s">
        <v>89</v>
      </c>
      <c r="B460" s="2" t="s">
        <v>90</v>
      </c>
      <c r="C460" s="2" t="s">
        <v>4812</v>
      </c>
      <c r="D460" s="2" t="s">
        <v>4813</v>
      </c>
      <c r="E460" s="2" t="s">
        <v>4814</v>
      </c>
      <c r="G460" s="3" t="s">
        <v>62</v>
      </c>
      <c r="I460" s="3" t="s">
        <v>62</v>
      </c>
      <c r="J460" s="3" t="s">
        <v>62</v>
      </c>
      <c r="K460" s="3" t="s">
        <v>63</v>
      </c>
      <c r="L460" s="2" t="s">
        <v>4815</v>
      </c>
      <c r="M460" s="2" t="s">
        <v>3499</v>
      </c>
      <c r="N460" s="3" t="s">
        <v>524</v>
      </c>
      <c r="P460" s="3" t="s">
        <v>64</v>
      </c>
      <c r="Q460" s="2" t="s">
        <v>3500</v>
      </c>
      <c r="R460" s="3" t="s">
        <v>65</v>
      </c>
      <c r="S460" s="4">
        <v>16</v>
      </c>
      <c r="T460" s="4">
        <v>16</v>
      </c>
      <c r="U460" s="5" t="s">
        <v>4816</v>
      </c>
      <c r="V460" s="5" t="s">
        <v>4816</v>
      </c>
      <c r="W460" s="5" t="s">
        <v>67</v>
      </c>
      <c r="X460" s="5" t="s">
        <v>67</v>
      </c>
      <c r="Y460" s="4">
        <v>351</v>
      </c>
      <c r="Z460" s="4">
        <v>23</v>
      </c>
      <c r="AA460" s="4">
        <v>108</v>
      </c>
      <c r="AB460" s="4">
        <v>1</v>
      </c>
      <c r="AC460" s="4">
        <v>17</v>
      </c>
      <c r="AD460" s="4">
        <v>101</v>
      </c>
      <c r="AE460" s="4">
        <v>140</v>
      </c>
      <c r="AF460" s="4">
        <v>0</v>
      </c>
      <c r="AG460" s="4">
        <v>8</v>
      </c>
      <c r="AH460" s="4">
        <v>93</v>
      </c>
      <c r="AI460" s="4">
        <v>102</v>
      </c>
      <c r="AJ460" s="4">
        <v>15</v>
      </c>
      <c r="AK460" s="4">
        <v>26</v>
      </c>
      <c r="AL460" s="4">
        <v>49</v>
      </c>
      <c r="AM460" s="4">
        <v>51</v>
      </c>
      <c r="AN460" s="4">
        <v>0</v>
      </c>
      <c r="AO460" s="4">
        <v>0</v>
      </c>
      <c r="AP460" s="4">
        <v>17</v>
      </c>
      <c r="AQ460" s="4">
        <v>49</v>
      </c>
      <c r="AR460" s="3" t="s">
        <v>62</v>
      </c>
      <c r="AS460" s="3" t="s">
        <v>62</v>
      </c>
      <c r="AT460" s="3" t="s">
        <v>62</v>
      </c>
      <c r="AV460" s="6" t="str">
        <f>HYPERLINK("http://mcgill.on.worldcat.org/oclc/30546045","Catalog Record")</f>
        <v>Catalog Record</v>
      </c>
      <c r="AW460" s="6" t="str">
        <f>HYPERLINK("http://www.worldcat.org/oclc/30546045","WorldCat Record")</f>
        <v>WorldCat Record</v>
      </c>
      <c r="AX460" s="3" t="s">
        <v>4817</v>
      </c>
      <c r="AY460" s="3" t="s">
        <v>4818</v>
      </c>
      <c r="AZ460" s="3" t="s">
        <v>4819</v>
      </c>
      <c r="BA460" s="3" t="s">
        <v>4819</v>
      </c>
      <c r="BB460" s="3" t="s">
        <v>4820</v>
      </c>
      <c r="BC460" s="3" t="s">
        <v>102</v>
      </c>
      <c r="BD460" s="3" t="s">
        <v>68</v>
      </c>
      <c r="BE460" s="3" t="s">
        <v>4821</v>
      </c>
      <c r="BF460" s="3" t="s">
        <v>4820</v>
      </c>
      <c r="BG460" s="3" t="s">
        <v>4822</v>
      </c>
    </row>
    <row r="461" spans="1:59" ht="72.5" x14ac:dyDescent="0.35">
      <c r="A461" s="2" t="s">
        <v>89</v>
      </c>
      <c r="B461" s="2" t="s">
        <v>90</v>
      </c>
      <c r="C461" s="2" t="s">
        <v>4823</v>
      </c>
      <c r="D461" s="2" t="s">
        <v>4824</v>
      </c>
      <c r="E461" s="2" t="s">
        <v>4825</v>
      </c>
      <c r="G461" s="3" t="s">
        <v>62</v>
      </c>
      <c r="I461" s="3" t="s">
        <v>62</v>
      </c>
      <c r="J461" s="3" t="s">
        <v>62</v>
      </c>
      <c r="K461" s="3" t="s">
        <v>63</v>
      </c>
      <c r="L461" s="2" t="s">
        <v>4826</v>
      </c>
      <c r="M461" s="2" t="s">
        <v>4827</v>
      </c>
      <c r="N461" s="3" t="s">
        <v>553</v>
      </c>
      <c r="P461" s="3" t="s">
        <v>64</v>
      </c>
      <c r="R461" s="3" t="s">
        <v>65</v>
      </c>
      <c r="S461" s="4">
        <v>14</v>
      </c>
      <c r="T461" s="4">
        <v>14</v>
      </c>
      <c r="U461" s="5" t="s">
        <v>2151</v>
      </c>
      <c r="V461" s="5" t="s">
        <v>2151</v>
      </c>
      <c r="W461" s="5" t="s">
        <v>67</v>
      </c>
      <c r="X461" s="5" t="s">
        <v>67</v>
      </c>
      <c r="Y461" s="4">
        <v>394</v>
      </c>
      <c r="Z461" s="4">
        <v>23</v>
      </c>
      <c r="AA461" s="4">
        <v>27</v>
      </c>
      <c r="AB461" s="4">
        <v>1</v>
      </c>
      <c r="AC461" s="4">
        <v>2</v>
      </c>
      <c r="AD461" s="4">
        <v>110</v>
      </c>
      <c r="AE461" s="4">
        <v>114</v>
      </c>
      <c r="AF461" s="4">
        <v>0</v>
      </c>
      <c r="AG461" s="4">
        <v>1</v>
      </c>
      <c r="AH461" s="4">
        <v>96</v>
      </c>
      <c r="AI461" s="4">
        <v>99</v>
      </c>
      <c r="AJ461" s="4">
        <v>11</v>
      </c>
      <c r="AK461" s="4">
        <v>14</v>
      </c>
      <c r="AL461" s="4">
        <v>56</v>
      </c>
      <c r="AM461" s="4">
        <v>56</v>
      </c>
      <c r="AN461" s="4">
        <v>0</v>
      </c>
      <c r="AO461" s="4">
        <v>0</v>
      </c>
      <c r="AP461" s="4">
        <v>15</v>
      </c>
      <c r="AQ461" s="4">
        <v>18</v>
      </c>
      <c r="AR461" s="3" t="s">
        <v>62</v>
      </c>
      <c r="AS461" s="3" t="s">
        <v>62</v>
      </c>
      <c r="AT461" s="3" t="s">
        <v>61</v>
      </c>
      <c r="AU461" s="6" t="str">
        <f>HYPERLINK("http://catalog.hathitrust.org/Record/004012207","HathiTrust Record")</f>
        <v>HathiTrust Record</v>
      </c>
      <c r="AV461" s="6" t="str">
        <f>HYPERLINK("http://mcgill.on.worldcat.org/oclc/39379892","Catalog Record")</f>
        <v>Catalog Record</v>
      </c>
      <c r="AW461" s="6" t="str">
        <f>HYPERLINK("http://www.worldcat.org/oclc/39379892","WorldCat Record")</f>
        <v>WorldCat Record</v>
      </c>
      <c r="AX461" s="3" t="s">
        <v>4828</v>
      </c>
      <c r="AY461" s="3" t="s">
        <v>4829</v>
      </c>
      <c r="AZ461" s="3" t="s">
        <v>4830</v>
      </c>
      <c r="BA461" s="3" t="s">
        <v>4830</v>
      </c>
      <c r="BB461" s="3" t="s">
        <v>4831</v>
      </c>
      <c r="BC461" s="3" t="s">
        <v>102</v>
      </c>
      <c r="BD461" s="3" t="s">
        <v>68</v>
      </c>
      <c r="BE461" s="3" t="s">
        <v>4832</v>
      </c>
      <c r="BF461" s="3" t="s">
        <v>4831</v>
      </c>
      <c r="BG461" s="3" t="s">
        <v>4833</v>
      </c>
    </row>
    <row r="462" spans="1:59" ht="58" x14ac:dyDescent="0.35">
      <c r="A462" s="2" t="s">
        <v>89</v>
      </c>
      <c r="B462" s="2" t="s">
        <v>90</v>
      </c>
      <c r="C462" s="2" t="s">
        <v>4834</v>
      </c>
      <c r="D462" s="2" t="s">
        <v>4835</v>
      </c>
      <c r="E462" s="2" t="s">
        <v>4836</v>
      </c>
      <c r="F462" s="3" t="s">
        <v>1413</v>
      </c>
      <c r="G462" s="3" t="s">
        <v>61</v>
      </c>
      <c r="I462" s="3" t="s">
        <v>62</v>
      </c>
      <c r="J462" s="3" t="s">
        <v>62</v>
      </c>
      <c r="K462" s="3" t="s">
        <v>63</v>
      </c>
      <c r="L462" s="2" t="s">
        <v>4837</v>
      </c>
      <c r="M462" s="2" t="s">
        <v>4838</v>
      </c>
      <c r="N462" s="3" t="s">
        <v>1064</v>
      </c>
      <c r="P462" s="3" t="s">
        <v>85</v>
      </c>
      <c r="R462" s="3" t="s">
        <v>65</v>
      </c>
      <c r="S462" s="4">
        <v>3</v>
      </c>
      <c r="T462" s="4">
        <v>3</v>
      </c>
      <c r="U462" s="5" t="s">
        <v>4839</v>
      </c>
      <c r="V462" s="5" t="s">
        <v>4839</v>
      </c>
      <c r="W462" s="5" t="s">
        <v>67</v>
      </c>
      <c r="X462" s="5" t="s">
        <v>67</v>
      </c>
      <c r="Y462" s="4">
        <v>104</v>
      </c>
      <c r="Z462" s="4">
        <v>13</v>
      </c>
      <c r="AA462" s="4">
        <v>20</v>
      </c>
      <c r="AB462" s="4">
        <v>1</v>
      </c>
      <c r="AC462" s="4">
        <v>7</v>
      </c>
      <c r="AD462" s="4">
        <v>49</v>
      </c>
      <c r="AE462" s="4">
        <v>53</v>
      </c>
      <c r="AF462" s="4">
        <v>0</v>
      </c>
      <c r="AG462" s="4">
        <v>3</v>
      </c>
      <c r="AH462" s="4">
        <v>42</v>
      </c>
      <c r="AI462" s="4">
        <v>44</v>
      </c>
      <c r="AJ462" s="4">
        <v>8</v>
      </c>
      <c r="AK462" s="4">
        <v>12</v>
      </c>
      <c r="AL462" s="4">
        <v>28</v>
      </c>
      <c r="AM462" s="4">
        <v>28</v>
      </c>
      <c r="AN462" s="4">
        <v>0</v>
      </c>
      <c r="AO462" s="4">
        <v>0</v>
      </c>
      <c r="AP462" s="4">
        <v>10</v>
      </c>
      <c r="AQ462" s="4">
        <v>13</v>
      </c>
      <c r="AR462" s="3" t="s">
        <v>62</v>
      </c>
      <c r="AS462" s="3" t="s">
        <v>62</v>
      </c>
      <c r="AT462" s="3" t="s">
        <v>61</v>
      </c>
      <c r="AU462" s="6" t="str">
        <f>HYPERLINK("http://catalog.hathitrust.org/Record/000276046","HathiTrust Record")</f>
        <v>HathiTrust Record</v>
      </c>
      <c r="AV462" s="6" t="str">
        <f>HYPERLINK("http://mcgill.on.worldcat.org/oclc/544830","Catalog Record")</f>
        <v>Catalog Record</v>
      </c>
      <c r="AW462" s="6" t="str">
        <f>HYPERLINK("http://www.worldcat.org/oclc/544830","WorldCat Record")</f>
        <v>WorldCat Record</v>
      </c>
      <c r="AX462" s="3" t="s">
        <v>4840</v>
      </c>
      <c r="AY462" s="3" t="s">
        <v>4841</v>
      </c>
      <c r="AZ462" s="3" t="s">
        <v>4842</v>
      </c>
      <c r="BA462" s="3" t="s">
        <v>4842</v>
      </c>
      <c r="BB462" s="3" t="s">
        <v>4843</v>
      </c>
      <c r="BC462" s="3" t="s">
        <v>102</v>
      </c>
      <c r="BD462" s="3" t="s">
        <v>68</v>
      </c>
      <c r="BF462" s="3" t="s">
        <v>4843</v>
      </c>
      <c r="BG462" s="3" t="s">
        <v>4844</v>
      </c>
    </row>
    <row r="463" spans="1:59" ht="58" x14ac:dyDescent="0.35">
      <c r="A463" s="2" t="s">
        <v>89</v>
      </c>
      <c r="B463" s="2" t="s">
        <v>90</v>
      </c>
      <c r="C463" s="2" t="s">
        <v>4834</v>
      </c>
      <c r="D463" s="2" t="s">
        <v>4835</v>
      </c>
      <c r="E463" s="2" t="s">
        <v>4836</v>
      </c>
      <c r="F463" s="3" t="s">
        <v>1416</v>
      </c>
      <c r="G463" s="3" t="s">
        <v>61</v>
      </c>
      <c r="I463" s="3" t="s">
        <v>62</v>
      </c>
      <c r="J463" s="3" t="s">
        <v>62</v>
      </c>
      <c r="K463" s="3" t="s">
        <v>63</v>
      </c>
      <c r="L463" s="2" t="s">
        <v>4837</v>
      </c>
      <c r="M463" s="2" t="s">
        <v>4838</v>
      </c>
      <c r="N463" s="3" t="s">
        <v>1064</v>
      </c>
      <c r="P463" s="3" t="s">
        <v>85</v>
      </c>
      <c r="R463" s="3" t="s">
        <v>65</v>
      </c>
      <c r="S463" s="4">
        <v>0</v>
      </c>
      <c r="T463" s="4">
        <v>3</v>
      </c>
      <c r="V463" s="5" t="s">
        <v>4839</v>
      </c>
      <c r="W463" s="5" t="s">
        <v>67</v>
      </c>
      <c r="X463" s="5" t="s">
        <v>67</v>
      </c>
      <c r="Y463" s="4">
        <v>104</v>
      </c>
      <c r="Z463" s="4">
        <v>13</v>
      </c>
      <c r="AA463" s="4">
        <v>20</v>
      </c>
      <c r="AB463" s="4">
        <v>1</v>
      </c>
      <c r="AC463" s="4">
        <v>7</v>
      </c>
      <c r="AD463" s="4">
        <v>49</v>
      </c>
      <c r="AE463" s="4">
        <v>53</v>
      </c>
      <c r="AF463" s="4">
        <v>0</v>
      </c>
      <c r="AG463" s="4">
        <v>3</v>
      </c>
      <c r="AH463" s="4">
        <v>42</v>
      </c>
      <c r="AI463" s="4">
        <v>44</v>
      </c>
      <c r="AJ463" s="4">
        <v>8</v>
      </c>
      <c r="AK463" s="4">
        <v>12</v>
      </c>
      <c r="AL463" s="4">
        <v>28</v>
      </c>
      <c r="AM463" s="4">
        <v>28</v>
      </c>
      <c r="AN463" s="4">
        <v>0</v>
      </c>
      <c r="AO463" s="4">
        <v>0</v>
      </c>
      <c r="AP463" s="4">
        <v>10</v>
      </c>
      <c r="AQ463" s="4">
        <v>13</v>
      </c>
      <c r="AR463" s="3" t="s">
        <v>62</v>
      </c>
      <c r="AS463" s="3" t="s">
        <v>62</v>
      </c>
      <c r="AT463" s="3" t="s">
        <v>61</v>
      </c>
      <c r="AU463" s="6" t="str">
        <f>HYPERLINK("http://catalog.hathitrust.org/Record/000276046","HathiTrust Record")</f>
        <v>HathiTrust Record</v>
      </c>
      <c r="AV463" s="6" t="str">
        <f>HYPERLINK("http://mcgill.on.worldcat.org/oclc/544830","Catalog Record")</f>
        <v>Catalog Record</v>
      </c>
      <c r="AW463" s="6" t="str">
        <f>HYPERLINK("http://www.worldcat.org/oclc/544830","WorldCat Record")</f>
        <v>WorldCat Record</v>
      </c>
      <c r="AX463" s="3" t="s">
        <v>4840</v>
      </c>
      <c r="AY463" s="3" t="s">
        <v>4841</v>
      </c>
      <c r="AZ463" s="3" t="s">
        <v>4842</v>
      </c>
      <c r="BA463" s="3" t="s">
        <v>4842</v>
      </c>
      <c r="BB463" s="3" t="s">
        <v>4845</v>
      </c>
      <c r="BC463" s="3" t="s">
        <v>102</v>
      </c>
      <c r="BD463" s="3" t="s">
        <v>68</v>
      </c>
      <c r="BF463" s="3" t="s">
        <v>4845</v>
      </c>
      <c r="BG463" s="3" t="s">
        <v>4846</v>
      </c>
    </row>
    <row r="464" spans="1:59" ht="58" x14ac:dyDescent="0.35">
      <c r="A464" s="2" t="s">
        <v>89</v>
      </c>
      <c r="B464" s="2" t="s">
        <v>90</v>
      </c>
      <c r="C464" s="2" t="s">
        <v>4847</v>
      </c>
      <c r="D464" s="2" t="s">
        <v>4848</v>
      </c>
      <c r="E464" s="2" t="s">
        <v>4849</v>
      </c>
      <c r="G464" s="3" t="s">
        <v>62</v>
      </c>
      <c r="I464" s="3" t="s">
        <v>61</v>
      </c>
      <c r="J464" s="3" t="s">
        <v>62</v>
      </c>
      <c r="K464" s="3" t="s">
        <v>63</v>
      </c>
      <c r="L464" s="2" t="s">
        <v>4850</v>
      </c>
      <c r="M464" s="2" t="s">
        <v>4851</v>
      </c>
      <c r="N464" s="3" t="s">
        <v>81</v>
      </c>
      <c r="P464" s="3" t="s">
        <v>64</v>
      </c>
      <c r="R464" s="3" t="s">
        <v>65</v>
      </c>
      <c r="S464" s="4">
        <v>3</v>
      </c>
      <c r="T464" s="4">
        <v>5</v>
      </c>
      <c r="U464" s="5" t="s">
        <v>4852</v>
      </c>
      <c r="V464" s="5" t="s">
        <v>4853</v>
      </c>
      <c r="W464" s="5" t="s">
        <v>67</v>
      </c>
      <c r="X464" s="5" t="s">
        <v>67</v>
      </c>
      <c r="Y464" s="4">
        <v>327</v>
      </c>
      <c r="Z464" s="4">
        <v>29</v>
      </c>
      <c r="AA464" s="4">
        <v>30</v>
      </c>
      <c r="AB464" s="4">
        <v>1</v>
      </c>
      <c r="AC464" s="4">
        <v>1</v>
      </c>
      <c r="AD464" s="4">
        <v>95</v>
      </c>
      <c r="AE464" s="4">
        <v>96</v>
      </c>
      <c r="AF464" s="4">
        <v>0</v>
      </c>
      <c r="AG464" s="4">
        <v>0</v>
      </c>
      <c r="AH464" s="4">
        <v>81</v>
      </c>
      <c r="AI464" s="4">
        <v>81</v>
      </c>
      <c r="AJ464" s="4">
        <v>19</v>
      </c>
      <c r="AK464" s="4">
        <v>19</v>
      </c>
      <c r="AL464" s="4">
        <v>44</v>
      </c>
      <c r="AM464" s="4">
        <v>44</v>
      </c>
      <c r="AN464" s="4">
        <v>0</v>
      </c>
      <c r="AO464" s="4">
        <v>0</v>
      </c>
      <c r="AP464" s="4">
        <v>20</v>
      </c>
      <c r="AQ464" s="4">
        <v>21</v>
      </c>
      <c r="AR464" s="3" t="s">
        <v>62</v>
      </c>
      <c r="AS464" s="3" t="s">
        <v>62</v>
      </c>
      <c r="AT464" s="3" t="s">
        <v>62</v>
      </c>
      <c r="AV464" s="6" t="str">
        <f>HYPERLINK("http://mcgill.on.worldcat.org/oclc/462163","Catalog Record")</f>
        <v>Catalog Record</v>
      </c>
      <c r="AW464" s="6" t="str">
        <f>HYPERLINK("http://www.worldcat.org/oclc/462163","WorldCat Record")</f>
        <v>WorldCat Record</v>
      </c>
      <c r="AX464" s="3" t="s">
        <v>4854</v>
      </c>
      <c r="AY464" s="3" t="s">
        <v>4855</v>
      </c>
      <c r="AZ464" s="3" t="s">
        <v>4856</v>
      </c>
      <c r="BA464" s="3" t="s">
        <v>4856</v>
      </c>
      <c r="BB464" s="3" t="s">
        <v>4857</v>
      </c>
      <c r="BC464" s="3" t="s">
        <v>102</v>
      </c>
      <c r="BD464" s="3" t="s">
        <v>68</v>
      </c>
      <c r="BE464" s="3" t="s">
        <v>4858</v>
      </c>
      <c r="BF464" s="3" t="s">
        <v>4857</v>
      </c>
      <c r="BG464" s="3" t="s">
        <v>4859</v>
      </c>
    </row>
    <row r="465" spans="1:59" ht="58" x14ac:dyDescent="0.35">
      <c r="A465" s="2" t="s">
        <v>89</v>
      </c>
      <c r="B465" s="2" t="s">
        <v>90</v>
      </c>
      <c r="C465" s="2" t="s">
        <v>4860</v>
      </c>
      <c r="D465" s="2" t="s">
        <v>4861</v>
      </c>
      <c r="E465" s="2" t="s">
        <v>4862</v>
      </c>
      <c r="G465" s="3" t="s">
        <v>62</v>
      </c>
      <c r="I465" s="3" t="s">
        <v>62</v>
      </c>
      <c r="J465" s="3" t="s">
        <v>62</v>
      </c>
      <c r="K465" s="3" t="s">
        <v>63</v>
      </c>
      <c r="L465" s="2" t="s">
        <v>4863</v>
      </c>
      <c r="M465" s="2" t="s">
        <v>4864</v>
      </c>
      <c r="N465" s="3" t="s">
        <v>4865</v>
      </c>
      <c r="P465" s="3" t="s">
        <v>64</v>
      </c>
      <c r="R465" s="3" t="s">
        <v>65</v>
      </c>
      <c r="S465" s="4">
        <v>3</v>
      </c>
      <c r="T465" s="4">
        <v>3</v>
      </c>
      <c r="U465" s="5" t="s">
        <v>2320</v>
      </c>
      <c r="V465" s="5" t="s">
        <v>2320</v>
      </c>
      <c r="W465" s="5" t="s">
        <v>67</v>
      </c>
      <c r="X465" s="5" t="s">
        <v>67</v>
      </c>
      <c r="Y465" s="4">
        <v>101</v>
      </c>
      <c r="Z465" s="4">
        <v>7</v>
      </c>
      <c r="AA465" s="4">
        <v>13</v>
      </c>
      <c r="AB465" s="4">
        <v>1</v>
      </c>
      <c r="AC465" s="4">
        <v>2</v>
      </c>
      <c r="AD465" s="4">
        <v>40</v>
      </c>
      <c r="AE465" s="4">
        <v>74</v>
      </c>
      <c r="AF465" s="4">
        <v>0</v>
      </c>
      <c r="AG465" s="4">
        <v>1</v>
      </c>
      <c r="AH465" s="4">
        <v>37</v>
      </c>
      <c r="AI465" s="4">
        <v>67</v>
      </c>
      <c r="AJ465" s="4">
        <v>5</v>
      </c>
      <c r="AK465" s="4">
        <v>10</v>
      </c>
      <c r="AL465" s="4">
        <v>21</v>
      </c>
      <c r="AM465" s="4">
        <v>45</v>
      </c>
      <c r="AN465" s="4">
        <v>0</v>
      </c>
      <c r="AO465" s="4">
        <v>0</v>
      </c>
      <c r="AP465" s="4">
        <v>6</v>
      </c>
      <c r="AQ465" s="4">
        <v>9</v>
      </c>
      <c r="AR465" s="3" t="s">
        <v>62</v>
      </c>
      <c r="AS465" s="3" t="s">
        <v>62</v>
      </c>
      <c r="AT465" s="3" t="s">
        <v>62</v>
      </c>
      <c r="AV465" s="6" t="str">
        <f>HYPERLINK("http://mcgill.on.worldcat.org/oclc/544107","Catalog Record")</f>
        <v>Catalog Record</v>
      </c>
      <c r="AW465" s="6" t="str">
        <f>HYPERLINK("http://www.worldcat.org/oclc/544107","WorldCat Record")</f>
        <v>WorldCat Record</v>
      </c>
      <c r="AX465" s="3" t="s">
        <v>4866</v>
      </c>
      <c r="AY465" s="3" t="s">
        <v>4867</v>
      </c>
      <c r="AZ465" s="3" t="s">
        <v>4868</v>
      </c>
      <c r="BA465" s="3" t="s">
        <v>4868</v>
      </c>
      <c r="BB465" s="3" t="s">
        <v>4869</v>
      </c>
      <c r="BC465" s="3" t="s">
        <v>102</v>
      </c>
      <c r="BD465" s="3" t="s">
        <v>68</v>
      </c>
      <c r="BF465" s="3" t="s">
        <v>4869</v>
      </c>
      <c r="BG465" s="3" t="s">
        <v>4870</v>
      </c>
    </row>
    <row r="466" spans="1:59" ht="58" x14ac:dyDescent="0.35">
      <c r="A466" s="2" t="s">
        <v>89</v>
      </c>
      <c r="B466" s="2" t="s">
        <v>90</v>
      </c>
      <c r="C466" s="2" t="s">
        <v>4871</v>
      </c>
      <c r="D466" s="2" t="s">
        <v>4872</v>
      </c>
      <c r="E466" s="2" t="s">
        <v>4873</v>
      </c>
      <c r="G466" s="3" t="s">
        <v>62</v>
      </c>
      <c r="I466" s="3" t="s">
        <v>62</v>
      </c>
      <c r="J466" s="3" t="s">
        <v>62</v>
      </c>
      <c r="K466" s="3" t="s">
        <v>63</v>
      </c>
      <c r="L466" s="2" t="s">
        <v>4874</v>
      </c>
      <c r="M466" s="2" t="s">
        <v>4875</v>
      </c>
      <c r="N466" s="3" t="s">
        <v>3062</v>
      </c>
      <c r="P466" s="3" t="s">
        <v>64</v>
      </c>
      <c r="R466" s="3" t="s">
        <v>65</v>
      </c>
      <c r="S466" s="4">
        <v>9</v>
      </c>
      <c r="T466" s="4">
        <v>9</v>
      </c>
      <c r="U466" s="5" t="s">
        <v>4876</v>
      </c>
      <c r="V466" s="5" t="s">
        <v>4876</v>
      </c>
      <c r="W466" s="5" t="s">
        <v>67</v>
      </c>
      <c r="X466" s="5" t="s">
        <v>67</v>
      </c>
      <c r="Y466" s="4">
        <v>392</v>
      </c>
      <c r="Z466" s="4">
        <v>28</v>
      </c>
      <c r="AA466" s="4">
        <v>29</v>
      </c>
      <c r="AB466" s="4">
        <v>2</v>
      </c>
      <c r="AC466" s="4">
        <v>3</v>
      </c>
      <c r="AD466" s="4">
        <v>104</v>
      </c>
      <c r="AE466" s="4">
        <v>105</v>
      </c>
      <c r="AF466" s="4">
        <v>1</v>
      </c>
      <c r="AG466" s="4">
        <v>2</v>
      </c>
      <c r="AH466" s="4">
        <v>88</v>
      </c>
      <c r="AI466" s="4">
        <v>89</v>
      </c>
      <c r="AJ466" s="4">
        <v>16</v>
      </c>
      <c r="AK466" s="4">
        <v>17</v>
      </c>
      <c r="AL466" s="4">
        <v>55</v>
      </c>
      <c r="AM466" s="4">
        <v>55</v>
      </c>
      <c r="AN466" s="4">
        <v>0</v>
      </c>
      <c r="AO466" s="4">
        <v>0</v>
      </c>
      <c r="AP466" s="4">
        <v>21</v>
      </c>
      <c r="AQ466" s="4">
        <v>22</v>
      </c>
      <c r="AR466" s="3" t="s">
        <v>62</v>
      </c>
      <c r="AS466" s="3" t="s">
        <v>62</v>
      </c>
      <c r="AT466" s="3" t="s">
        <v>62</v>
      </c>
      <c r="AV466" s="6" t="str">
        <f>HYPERLINK("http://mcgill.on.worldcat.org/oclc/23180092","Catalog Record")</f>
        <v>Catalog Record</v>
      </c>
      <c r="AW466" s="6" t="str">
        <f>HYPERLINK("http://www.worldcat.org/oclc/23180092","WorldCat Record")</f>
        <v>WorldCat Record</v>
      </c>
      <c r="AX466" s="3" t="s">
        <v>4877</v>
      </c>
      <c r="AY466" s="3" t="s">
        <v>4878</v>
      </c>
      <c r="AZ466" s="3" t="s">
        <v>4879</v>
      </c>
      <c r="BA466" s="3" t="s">
        <v>4879</v>
      </c>
      <c r="BB466" s="3" t="s">
        <v>4880</v>
      </c>
      <c r="BC466" s="3" t="s">
        <v>102</v>
      </c>
      <c r="BD466" s="3" t="s">
        <v>68</v>
      </c>
      <c r="BE466" s="3" t="s">
        <v>4881</v>
      </c>
      <c r="BF466" s="3" t="s">
        <v>4880</v>
      </c>
      <c r="BG466" s="3" t="s">
        <v>4882</v>
      </c>
    </row>
    <row r="467" spans="1:59" ht="58" x14ac:dyDescent="0.35">
      <c r="A467" s="2" t="s">
        <v>89</v>
      </c>
      <c r="B467" s="2" t="s">
        <v>90</v>
      </c>
      <c r="C467" s="2" t="s">
        <v>4883</v>
      </c>
      <c r="D467" s="2" t="s">
        <v>4884</v>
      </c>
      <c r="E467" s="2" t="s">
        <v>4885</v>
      </c>
      <c r="G467" s="3" t="s">
        <v>62</v>
      </c>
      <c r="I467" s="3" t="s">
        <v>62</v>
      </c>
      <c r="J467" s="3" t="s">
        <v>62</v>
      </c>
      <c r="K467" s="3" t="s">
        <v>63</v>
      </c>
      <c r="M467" s="2" t="s">
        <v>4886</v>
      </c>
      <c r="N467" s="3" t="s">
        <v>698</v>
      </c>
      <c r="P467" s="3" t="s">
        <v>64</v>
      </c>
      <c r="R467" s="3" t="s">
        <v>65</v>
      </c>
      <c r="S467" s="4">
        <v>0</v>
      </c>
      <c r="T467" s="4">
        <v>0</v>
      </c>
      <c r="W467" s="5" t="s">
        <v>67</v>
      </c>
      <c r="X467" s="5" t="s">
        <v>67</v>
      </c>
      <c r="Y467" s="4">
        <v>103</v>
      </c>
      <c r="Z467" s="4">
        <v>9</v>
      </c>
      <c r="AA467" s="4">
        <v>12</v>
      </c>
      <c r="AB467" s="4">
        <v>1</v>
      </c>
      <c r="AC467" s="4">
        <v>4</v>
      </c>
      <c r="AD467" s="4">
        <v>49</v>
      </c>
      <c r="AE467" s="4">
        <v>51</v>
      </c>
      <c r="AF467" s="4">
        <v>0</v>
      </c>
      <c r="AG467" s="4">
        <v>0</v>
      </c>
      <c r="AH467" s="4">
        <v>48</v>
      </c>
      <c r="AI467" s="4">
        <v>50</v>
      </c>
      <c r="AJ467" s="4">
        <v>7</v>
      </c>
      <c r="AK467" s="4">
        <v>7</v>
      </c>
      <c r="AL467" s="4">
        <v>30</v>
      </c>
      <c r="AM467" s="4">
        <v>31</v>
      </c>
      <c r="AN467" s="4">
        <v>0</v>
      </c>
      <c r="AO467" s="4">
        <v>0</v>
      </c>
      <c r="AP467" s="4">
        <v>7</v>
      </c>
      <c r="AQ467" s="4">
        <v>7</v>
      </c>
      <c r="AR467" s="3" t="s">
        <v>62</v>
      </c>
      <c r="AS467" s="3" t="s">
        <v>62</v>
      </c>
      <c r="AT467" s="3" t="s">
        <v>62</v>
      </c>
      <c r="AV467" s="6" t="str">
        <f>HYPERLINK("http://mcgill.on.worldcat.org/oclc/768335643","Catalog Record")</f>
        <v>Catalog Record</v>
      </c>
      <c r="AW467" s="6" t="str">
        <f>HYPERLINK("http://www.worldcat.org/oclc/768335643","WorldCat Record")</f>
        <v>WorldCat Record</v>
      </c>
      <c r="AX467" s="3" t="s">
        <v>4887</v>
      </c>
      <c r="AY467" s="3" t="s">
        <v>4888</v>
      </c>
      <c r="AZ467" s="3" t="s">
        <v>4889</v>
      </c>
      <c r="BA467" s="3" t="s">
        <v>4889</v>
      </c>
      <c r="BB467" s="3" t="s">
        <v>4890</v>
      </c>
      <c r="BC467" s="3" t="s">
        <v>102</v>
      </c>
      <c r="BD467" s="3" t="s">
        <v>68</v>
      </c>
      <c r="BE467" s="3" t="s">
        <v>4891</v>
      </c>
      <c r="BF467" s="3" t="s">
        <v>4890</v>
      </c>
      <c r="BG467" s="3" t="s">
        <v>4892</v>
      </c>
    </row>
    <row r="468" spans="1:59" ht="58" x14ac:dyDescent="0.35">
      <c r="A468" s="2" t="s">
        <v>89</v>
      </c>
      <c r="B468" s="2" t="s">
        <v>90</v>
      </c>
      <c r="C468" s="2" t="s">
        <v>4893</v>
      </c>
      <c r="D468" s="2" t="s">
        <v>4894</v>
      </c>
      <c r="E468" s="2" t="s">
        <v>4895</v>
      </c>
      <c r="G468" s="3" t="s">
        <v>62</v>
      </c>
      <c r="I468" s="3" t="s">
        <v>62</v>
      </c>
      <c r="J468" s="3" t="s">
        <v>62</v>
      </c>
      <c r="K468" s="3" t="s">
        <v>63</v>
      </c>
      <c r="L468" s="2" t="s">
        <v>4896</v>
      </c>
      <c r="M468" s="2" t="s">
        <v>4897</v>
      </c>
      <c r="N468" s="3" t="s">
        <v>2085</v>
      </c>
      <c r="P468" s="3" t="s">
        <v>64</v>
      </c>
      <c r="R468" s="3" t="s">
        <v>65</v>
      </c>
      <c r="S468" s="4">
        <v>8</v>
      </c>
      <c r="T468" s="4">
        <v>8</v>
      </c>
      <c r="U468" s="5" t="s">
        <v>4898</v>
      </c>
      <c r="V468" s="5" t="s">
        <v>4898</v>
      </c>
      <c r="W468" s="5" t="s">
        <v>67</v>
      </c>
      <c r="X468" s="5" t="s">
        <v>67</v>
      </c>
      <c r="Y468" s="4">
        <v>147</v>
      </c>
      <c r="Z468" s="4">
        <v>6</v>
      </c>
      <c r="AA468" s="4">
        <v>14</v>
      </c>
      <c r="AB468" s="4">
        <v>2</v>
      </c>
      <c r="AC468" s="4">
        <v>5</v>
      </c>
      <c r="AD468" s="4">
        <v>48</v>
      </c>
      <c r="AE468" s="4">
        <v>58</v>
      </c>
      <c r="AF468" s="4">
        <v>1</v>
      </c>
      <c r="AG468" s="4">
        <v>2</v>
      </c>
      <c r="AH468" s="4">
        <v>45</v>
      </c>
      <c r="AI468" s="4">
        <v>51</v>
      </c>
      <c r="AJ468" s="4">
        <v>2</v>
      </c>
      <c r="AK468" s="4">
        <v>4</v>
      </c>
      <c r="AL468" s="4">
        <v>31</v>
      </c>
      <c r="AM468" s="4">
        <v>32</v>
      </c>
      <c r="AN468" s="4">
        <v>0</v>
      </c>
      <c r="AO468" s="4">
        <v>0</v>
      </c>
      <c r="AP468" s="4">
        <v>3</v>
      </c>
      <c r="AQ468" s="4">
        <v>9</v>
      </c>
      <c r="AR468" s="3" t="s">
        <v>62</v>
      </c>
      <c r="AS468" s="3" t="s">
        <v>62</v>
      </c>
      <c r="AT468" s="3" t="s">
        <v>62</v>
      </c>
      <c r="AV468" s="6" t="str">
        <f>HYPERLINK("http://mcgill.on.worldcat.org/oclc/1004267771","Catalog Record")</f>
        <v>Catalog Record</v>
      </c>
      <c r="AW468" s="6" t="str">
        <f>HYPERLINK("http://www.worldcat.org/oclc/1004267771","WorldCat Record")</f>
        <v>WorldCat Record</v>
      </c>
      <c r="AX468" s="3" t="s">
        <v>4899</v>
      </c>
      <c r="AY468" s="3" t="s">
        <v>4900</v>
      </c>
      <c r="AZ468" s="3" t="s">
        <v>4901</v>
      </c>
      <c r="BA468" s="3" t="s">
        <v>4901</v>
      </c>
      <c r="BB468" s="3" t="s">
        <v>4902</v>
      </c>
      <c r="BC468" s="3" t="s">
        <v>102</v>
      </c>
      <c r="BD468" s="3" t="s">
        <v>68</v>
      </c>
      <c r="BE468" s="3" t="s">
        <v>4903</v>
      </c>
      <c r="BF468" s="3" t="s">
        <v>4902</v>
      </c>
      <c r="BG468" s="3" t="s">
        <v>4904</v>
      </c>
    </row>
    <row r="469" spans="1:59" ht="58" x14ac:dyDescent="0.35">
      <c r="A469" s="2" t="s">
        <v>89</v>
      </c>
      <c r="B469" s="2" t="s">
        <v>90</v>
      </c>
      <c r="C469" s="2" t="s">
        <v>4905</v>
      </c>
      <c r="D469" s="2" t="s">
        <v>4906</v>
      </c>
      <c r="E469" s="2" t="s">
        <v>4907</v>
      </c>
      <c r="G469" s="3" t="s">
        <v>62</v>
      </c>
      <c r="I469" s="3" t="s">
        <v>62</v>
      </c>
      <c r="J469" s="3" t="s">
        <v>62</v>
      </c>
      <c r="K469" s="3" t="s">
        <v>63</v>
      </c>
      <c r="M469" s="2" t="s">
        <v>4908</v>
      </c>
      <c r="N469" s="3" t="s">
        <v>1195</v>
      </c>
      <c r="P469" s="3" t="s">
        <v>64</v>
      </c>
      <c r="R469" s="3" t="s">
        <v>65</v>
      </c>
      <c r="S469" s="4">
        <v>10</v>
      </c>
      <c r="T469" s="4">
        <v>10</v>
      </c>
      <c r="U469" s="5" t="s">
        <v>4909</v>
      </c>
      <c r="V469" s="5" t="s">
        <v>4909</v>
      </c>
      <c r="W469" s="5" t="s">
        <v>67</v>
      </c>
      <c r="X469" s="5" t="s">
        <v>67</v>
      </c>
      <c r="Y469" s="4">
        <v>145</v>
      </c>
      <c r="Z469" s="4">
        <v>15</v>
      </c>
      <c r="AA469" s="4">
        <v>20</v>
      </c>
      <c r="AB469" s="4">
        <v>1</v>
      </c>
      <c r="AC469" s="4">
        <v>4</v>
      </c>
      <c r="AD469" s="4">
        <v>65</v>
      </c>
      <c r="AE469" s="4">
        <v>69</v>
      </c>
      <c r="AF469" s="4">
        <v>0</v>
      </c>
      <c r="AG469" s="4">
        <v>0</v>
      </c>
      <c r="AH469" s="4">
        <v>57</v>
      </c>
      <c r="AI469" s="4">
        <v>61</v>
      </c>
      <c r="AJ469" s="4">
        <v>9</v>
      </c>
      <c r="AK469" s="4">
        <v>11</v>
      </c>
      <c r="AL469" s="4">
        <v>38</v>
      </c>
      <c r="AM469" s="4">
        <v>39</v>
      </c>
      <c r="AN469" s="4">
        <v>0</v>
      </c>
      <c r="AO469" s="4">
        <v>0</v>
      </c>
      <c r="AP469" s="4">
        <v>12</v>
      </c>
      <c r="AQ469" s="4">
        <v>14</v>
      </c>
      <c r="AR469" s="3" t="s">
        <v>62</v>
      </c>
      <c r="AS469" s="3" t="s">
        <v>62</v>
      </c>
      <c r="AT469" s="3" t="s">
        <v>62</v>
      </c>
      <c r="AV469" s="6" t="str">
        <f>HYPERLINK("http://mcgill.on.worldcat.org/oclc/60669092","Catalog Record")</f>
        <v>Catalog Record</v>
      </c>
      <c r="AW469" s="6" t="str">
        <f>HYPERLINK("http://www.worldcat.org/oclc/60669092","WorldCat Record")</f>
        <v>WorldCat Record</v>
      </c>
      <c r="AX469" s="3" t="s">
        <v>4910</v>
      </c>
      <c r="AY469" s="3" t="s">
        <v>4911</v>
      </c>
      <c r="AZ469" s="3" t="s">
        <v>4912</v>
      </c>
      <c r="BA469" s="3" t="s">
        <v>4912</v>
      </c>
      <c r="BB469" s="3" t="s">
        <v>4913</v>
      </c>
      <c r="BC469" s="3" t="s">
        <v>102</v>
      </c>
      <c r="BD469" s="3" t="s">
        <v>68</v>
      </c>
      <c r="BE469" s="3" t="s">
        <v>4914</v>
      </c>
      <c r="BF469" s="3" t="s">
        <v>4913</v>
      </c>
      <c r="BG469" s="3" t="s">
        <v>4915</v>
      </c>
    </row>
    <row r="470" spans="1:59" ht="58" x14ac:dyDescent="0.35">
      <c r="A470" s="2" t="s">
        <v>89</v>
      </c>
      <c r="B470" s="2" t="s">
        <v>90</v>
      </c>
      <c r="C470" s="2" t="s">
        <v>4916</v>
      </c>
      <c r="D470" s="2" t="s">
        <v>4917</v>
      </c>
      <c r="E470" s="2" t="s">
        <v>4918</v>
      </c>
      <c r="G470" s="3" t="s">
        <v>62</v>
      </c>
      <c r="I470" s="3" t="s">
        <v>61</v>
      </c>
      <c r="J470" s="3" t="s">
        <v>62</v>
      </c>
      <c r="K470" s="3" t="s">
        <v>63</v>
      </c>
      <c r="M470" s="2" t="s">
        <v>4919</v>
      </c>
      <c r="N470" s="3" t="s">
        <v>852</v>
      </c>
      <c r="P470" s="3" t="s">
        <v>1881</v>
      </c>
      <c r="R470" s="3" t="s">
        <v>65</v>
      </c>
      <c r="S470" s="4">
        <v>8</v>
      </c>
      <c r="T470" s="4">
        <v>8</v>
      </c>
      <c r="U470" s="5" t="s">
        <v>4920</v>
      </c>
      <c r="V470" s="5" t="s">
        <v>4920</v>
      </c>
      <c r="W470" s="5" t="s">
        <v>67</v>
      </c>
      <c r="X470" s="5" t="s">
        <v>67</v>
      </c>
      <c r="Y470" s="4">
        <v>180</v>
      </c>
      <c r="Z470" s="4">
        <v>16</v>
      </c>
      <c r="AA470" s="4">
        <v>18</v>
      </c>
      <c r="AB470" s="4">
        <v>2</v>
      </c>
      <c r="AC470" s="4">
        <v>3</v>
      </c>
      <c r="AD470" s="4">
        <v>68</v>
      </c>
      <c r="AE470" s="4">
        <v>70</v>
      </c>
      <c r="AF470" s="4">
        <v>1</v>
      </c>
      <c r="AG470" s="4">
        <v>2</v>
      </c>
      <c r="AH470" s="4">
        <v>58</v>
      </c>
      <c r="AI470" s="4">
        <v>58</v>
      </c>
      <c r="AJ470" s="4">
        <v>12</v>
      </c>
      <c r="AK470" s="4">
        <v>14</v>
      </c>
      <c r="AL470" s="4">
        <v>40</v>
      </c>
      <c r="AM470" s="4">
        <v>40</v>
      </c>
      <c r="AN470" s="4">
        <v>0</v>
      </c>
      <c r="AO470" s="4">
        <v>0</v>
      </c>
      <c r="AP470" s="4">
        <v>13</v>
      </c>
      <c r="AQ470" s="4">
        <v>14</v>
      </c>
      <c r="AR470" s="3" t="s">
        <v>62</v>
      </c>
      <c r="AS470" s="3" t="s">
        <v>62</v>
      </c>
      <c r="AT470" s="3" t="s">
        <v>61</v>
      </c>
      <c r="AU470" s="6" t="str">
        <f>HYPERLINK("http://catalog.hathitrust.org/Record/001984406","HathiTrust Record")</f>
        <v>HathiTrust Record</v>
      </c>
      <c r="AV470" s="6" t="str">
        <f>HYPERLINK("http://mcgill.on.worldcat.org/oclc/297136","Catalog Record")</f>
        <v>Catalog Record</v>
      </c>
      <c r="AW470" s="6" t="str">
        <f>HYPERLINK("http://www.worldcat.org/oclc/297136","WorldCat Record")</f>
        <v>WorldCat Record</v>
      </c>
      <c r="AX470" s="3" t="s">
        <v>4921</v>
      </c>
      <c r="AY470" s="3" t="s">
        <v>4922</v>
      </c>
      <c r="AZ470" s="3" t="s">
        <v>4923</v>
      </c>
      <c r="BA470" s="3" t="s">
        <v>4923</v>
      </c>
      <c r="BB470" s="3" t="s">
        <v>4924</v>
      </c>
      <c r="BC470" s="3" t="s">
        <v>102</v>
      </c>
      <c r="BD470" s="3" t="s">
        <v>231</v>
      </c>
      <c r="BF470" s="3" t="s">
        <v>4924</v>
      </c>
      <c r="BG470" s="3" t="s">
        <v>4925</v>
      </c>
    </row>
    <row r="471" spans="1:59" ht="58" x14ac:dyDescent="0.35">
      <c r="A471" s="2" t="s">
        <v>89</v>
      </c>
      <c r="B471" s="2" t="s">
        <v>90</v>
      </c>
      <c r="C471" s="2" t="s">
        <v>4926</v>
      </c>
      <c r="D471" s="2" t="s">
        <v>4927</v>
      </c>
      <c r="E471" s="2" t="s">
        <v>4928</v>
      </c>
      <c r="G471" s="3" t="s">
        <v>62</v>
      </c>
      <c r="I471" s="3" t="s">
        <v>62</v>
      </c>
      <c r="J471" s="3" t="s">
        <v>62</v>
      </c>
      <c r="K471" s="3" t="s">
        <v>63</v>
      </c>
      <c r="M471" s="2" t="s">
        <v>4929</v>
      </c>
      <c r="N471" s="3" t="s">
        <v>698</v>
      </c>
      <c r="P471" s="3" t="s">
        <v>64</v>
      </c>
      <c r="R471" s="3" t="s">
        <v>65</v>
      </c>
      <c r="S471" s="4">
        <v>2</v>
      </c>
      <c r="T471" s="4">
        <v>2</v>
      </c>
      <c r="U471" s="5" t="s">
        <v>2050</v>
      </c>
      <c r="V471" s="5" t="s">
        <v>2050</v>
      </c>
      <c r="W471" s="5" t="s">
        <v>67</v>
      </c>
      <c r="X471" s="5" t="s">
        <v>67</v>
      </c>
      <c r="Y471" s="4">
        <v>104</v>
      </c>
      <c r="Z471" s="4">
        <v>7</v>
      </c>
      <c r="AA471" s="4">
        <v>7</v>
      </c>
      <c r="AB471" s="4">
        <v>1</v>
      </c>
      <c r="AC471" s="4">
        <v>1</v>
      </c>
      <c r="AD471" s="4">
        <v>47</v>
      </c>
      <c r="AE471" s="4">
        <v>47</v>
      </c>
      <c r="AF471" s="4">
        <v>0</v>
      </c>
      <c r="AG471" s="4">
        <v>0</v>
      </c>
      <c r="AH471" s="4">
        <v>44</v>
      </c>
      <c r="AI471" s="4">
        <v>44</v>
      </c>
      <c r="AJ471" s="4">
        <v>5</v>
      </c>
      <c r="AK471" s="4">
        <v>5</v>
      </c>
      <c r="AL471" s="4">
        <v>30</v>
      </c>
      <c r="AM471" s="4">
        <v>30</v>
      </c>
      <c r="AN471" s="4">
        <v>0</v>
      </c>
      <c r="AO471" s="4">
        <v>0</v>
      </c>
      <c r="AP471" s="4">
        <v>5</v>
      </c>
      <c r="AQ471" s="4">
        <v>5</v>
      </c>
      <c r="AR471" s="3" t="s">
        <v>62</v>
      </c>
      <c r="AS471" s="3" t="s">
        <v>62</v>
      </c>
      <c r="AT471" s="3" t="s">
        <v>62</v>
      </c>
      <c r="AV471" s="6" t="str">
        <f>HYPERLINK("http://mcgill.on.worldcat.org/oclc/744303308","Catalog Record")</f>
        <v>Catalog Record</v>
      </c>
      <c r="AW471" s="6" t="str">
        <f>HYPERLINK("http://www.worldcat.org/oclc/744303308","WorldCat Record")</f>
        <v>WorldCat Record</v>
      </c>
      <c r="AX471" s="3" t="s">
        <v>4930</v>
      </c>
      <c r="AY471" s="3" t="s">
        <v>4931</v>
      </c>
      <c r="AZ471" s="3" t="s">
        <v>4932</v>
      </c>
      <c r="BA471" s="3" t="s">
        <v>4932</v>
      </c>
      <c r="BB471" s="3" t="s">
        <v>4933</v>
      </c>
      <c r="BC471" s="3" t="s">
        <v>102</v>
      </c>
      <c r="BD471" s="3" t="s">
        <v>68</v>
      </c>
      <c r="BE471" s="3" t="s">
        <v>4934</v>
      </c>
      <c r="BF471" s="3" t="s">
        <v>4933</v>
      </c>
      <c r="BG471" s="3" t="s">
        <v>4935</v>
      </c>
    </row>
    <row r="472" spans="1:59" ht="58" x14ac:dyDescent="0.35">
      <c r="A472" s="2" t="s">
        <v>59</v>
      </c>
      <c r="B472" s="2" t="s">
        <v>60</v>
      </c>
      <c r="C472" s="2" t="s">
        <v>4936</v>
      </c>
      <c r="D472" s="2" t="s">
        <v>4937</v>
      </c>
      <c r="E472" s="2" t="s">
        <v>4938</v>
      </c>
      <c r="G472" s="3" t="s">
        <v>62</v>
      </c>
      <c r="I472" s="3" t="s">
        <v>61</v>
      </c>
      <c r="J472" s="3" t="s">
        <v>62</v>
      </c>
      <c r="K472" s="3" t="s">
        <v>63</v>
      </c>
      <c r="L472" s="2" t="s">
        <v>4939</v>
      </c>
      <c r="M472" s="2" t="s">
        <v>4940</v>
      </c>
      <c r="N472" s="3" t="s">
        <v>106</v>
      </c>
      <c r="O472" s="2" t="s">
        <v>2849</v>
      </c>
      <c r="P472" s="3" t="s">
        <v>64</v>
      </c>
      <c r="R472" s="3" t="s">
        <v>65</v>
      </c>
      <c r="S472" s="4">
        <v>0</v>
      </c>
      <c r="T472" s="4">
        <v>12</v>
      </c>
      <c r="V472" s="5" t="s">
        <v>4435</v>
      </c>
      <c r="W472" s="5" t="s">
        <v>67</v>
      </c>
      <c r="X472" s="5" t="s">
        <v>67</v>
      </c>
      <c r="Y472" s="4">
        <v>602</v>
      </c>
      <c r="Z472" s="4">
        <v>23</v>
      </c>
      <c r="AA472" s="4">
        <v>29</v>
      </c>
      <c r="AB472" s="4">
        <v>2</v>
      </c>
      <c r="AC472" s="4">
        <v>4</v>
      </c>
      <c r="AD472" s="4">
        <v>115</v>
      </c>
      <c r="AE472" s="4">
        <v>123</v>
      </c>
      <c r="AF472" s="4">
        <v>1</v>
      </c>
      <c r="AG472" s="4">
        <v>3</v>
      </c>
      <c r="AH472" s="4">
        <v>106</v>
      </c>
      <c r="AI472" s="4">
        <v>109</v>
      </c>
      <c r="AJ472" s="4">
        <v>14</v>
      </c>
      <c r="AK472" s="4">
        <v>17</v>
      </c>
      <c r="AL472" s="4">
        <v>55</v>
      </c>
      <c r="AM472" s="4">
        <v>57</v>
      </c>
      <c r="AN472" s="4">
        <v>0</v>
      </c>
      <c r="AO472" s="4">
        <v>0</v>
      </c>
      <c r="AP472" s="4">
        <v>15</v>
      </c>
      <c r="AQ472" s="4">
        <v>19</v>
      </c>
      <c r="AR472" s="3" t="s">
        <v>62</v>
      </c>
      <c r="AS472" s="3" t="s">
        <v>62</v>
      </c>
      <c r="AT472" s="3" t="s">
        <v>61</v>
      </c>
      <c r="AU472" s="6" t="str">
        <f>HYPERLINK("http://catalog.hathitrust.org/Record/001473902","HathiTrust Record")</f>
        <v>HathiTrust Record</v>
      </c>
      <c r="AV472" s="6" t="str">
        <f>HYPERLINK("http://mcgill.on.worldcat.org/oclc/491628","Catalog Record")</f>
        <v>Catalog Record</v>
      </c>
      <c r="AW472" s="6" t="str">
        <f>HYPERLINK("http://www.worldcat.org/oclc/491628","WorldCat Record")</f>
        <v>WorldCat Record</v>
      </c>
      <c r="AX472" s="3" t="s">
        <v>4941</v>
      </c>
      <c r="AY472" s="3" t="s">
        <v>4942</v>
      </c>
      <c r="AZ472" s="3" t="s">
        <v>4943</v>
      </c>
      <c r="BA472" s="3" t="s">
        <v>4943</v>
      </c>
      <c r="BB472" s="3" t="s">
        <v>4944</v>
      </c>
      <c r="BC472" s="3" t="s">
        <v>102</v>
      </c>
      <c r="BD472" s="3" t="s">
        <v>68</v>
      </c>
      <c r="BF472" s="3" t="s">
        <v>4944</v>
      </c>
      <c r="BG472" s="3" t="s">
        <v>4945</v>
      </c>
    </row>
    <row r="473" spans="1:59" ht="58" x14ac:dyDescent="0.35">
      <c r="A473" s="2" t="s">
        <v>89</v>
      </c>
      <c r="B473" s="2" t="s">
        <v>90</v>
      </c>
      <c r="C473" s="2" t="s">
        <v>4936</v>
      </c>
      <c r="D473" s="2" t="s">
        <v>4937</v>
      </c>
      <c r="E473" s="2" t="s">
        <v>4938</v>
      </c>
      <c r="G473" s="3" t="s">
        <v>62</v>
      </c>
      <c r="I473" s="3" t="s">
        <v>61</v>
      </c>
      <c r="J473" s="3" t="s">
        <v>62</v>
      </c>
      <c r="K473" s="3" t="s">
        <v>63</v>
      </c>
      <c r="L473" s="2" t="s">
        <v>4939</v>
      </c>
      <c r="M473" s="2" t="s">
        <v>4940</v>
      </c>
      <c r="N473" s="3" t="s">
        <v>106</v>
      </c>
      <c r="O473" s="2" t="s">
        <v>2849</v>
      </c>
      <c r="P473" s="3" t="s">
        <v>64</v>
      </c>
      <c r="R473" s="3" t="s">
        <v>65</v>
      </c>
      <c r="S473" s="4">
        <v>8</v>
      </c>
      <c r="T473" s="4">
        <v>12</v>
      </c>
      <c r="U473" s="5" t="s">
        <v>4946</v>
      </c>
      <c r="V473" s="5" t="s">
        <v>4435</v>
      </c>
      <c r="W473" s="5" t="s">
        <v>67</v>
      </c>
      <c r="X473" s="5" t="s">
        <v>67</v>
      </c>
      <c r="Y473" s="4">
        <v>602</v>
      </c>
      <c r="Z473" s="4">
        <v>23</v>
      </c>
      <c r="AA473" s="4">
        <v>29</v>
      </c>
      <c r="AB473" s="4">
        <v>2</v>
      </c>
      <c r="AC473" s="4">
        <v>4</v>
      </c>
      <c r="AD473" s="4">
        <v>115</v>
      </c>
      <c r="AE473" s="4">
        <v>123</v>
      </c>
      <c r="AF473" s="4">
        <v>1</v>
      </c>
      <c r="AG473" s="4">
        <v>3</v>
      </c>
      <c r="AH473" s="4">
        <v>106</v>
      </c>
      <c r="AI473" s="4">
        <v>109</v>
      </c>
      <c r="AJ473" s="4">
        <v>14</v>
      </c>
      <c r="AK473" s="4">
        <v>17</v>
      </c>
      <c r="AL473" s="4">
        <v>55</v>
      </c>
      <c r="AM473" s="4">
        <v>57</v>
      </c>
      <c r="AN473" s="4">
        <v>0</v>
      </c>
      <c r="AO473" s="4">
        <v>0</v>
      </c>
      <c r="AP473" s="4">
        <v>15</v>
      </c>
      <c r="AQ473" s="4">
        <v>19</v>
      </c>
      <c r="AR473" s="3" t="s">
        <v>62</v>
      </c>
      <c r="AS473" s="3" t="s">
        <v>62</v>
      </c>
      <c r="AT473" s="3" t="s">
        <v>61</v>
      </c>
      <c r="AU473" s="6" t="str">
        <f>HYPERLINK("http://catalog.hathitrust.org/Record/001473902","HathiTrust Record")</f>
        <v>HathiTrust Record</v>
      </c>
      <c r="AV473" s="6" t="str">
        <f>HYPERLINK("http://mcgill.on.worldcat.org/oclc/491628","Catalog Record")</f>
        <v>Catalog Record</v>
      </c>
      <c r="AW473" s="6" t="str">
        <f>HYPERLINK("http://www.worldcat.org/oclc/491628","WorldCat Record")</f>
        <v>WorldCat Record</v>
      </c>
      <c r="AX473" s="3" t="s">
        <v>4941</v>
      </c>
      <c r="AY473" s="3" t="s">
        <v>4942</v>
      </c>
      <c r="AZ473" s="3" t="s">
        <v>4943</v>
      </c>
      <c r="BA473" s="3" t="s">
        <v>4943</v>
      </c>
      <c r="BB473" s="3" t="s">
        <v>4947</v>
      </c>
      <c r="BC473" s="3" t="s">
        <v>102</v>
      </c>
      <c r="BD473" s="3" t="s">
        <v>68</v>
      </c>
      <c r="BF473" s="3" t="s">
        <v>4947</v>
      </c>
      <c r="BG473" s="3" t="s">
        <v>4948</v>
      </c>
    </row>
    <row r="474" spans="1:59" ht="58" x14ac:dyDescent="0.35">
      <c r="A474" s="2" t="s">
        <v>89</v>
      </c>
      <c r="B474" s="2" t="s">
        <v>90</v>
      </c>
      <c r="C474" s="2" t="s">
        <v>4949</v>
      </c>
      <c r="D474" s="2" t="s">
        <v>4950</v>
      </c>
      <c r="E474" s="2" t="s">
        <v>4951</v>
      </c>
      <c r="G474" s="3" t="s">
        <v>62</v>
      </c>
      <c r="I474" s="3" t="s">
        <v>62</v>
      </c>
      <c r="J474" s="3" t="s">
        <v>62</v>
      </c>
      <c r="K474" s="3" t="s">
        <v>63</v>
      </c>
      <c r="L474" s="2" t="s">
        <v>4952</v>
      </c>
      <c r="M474" s="2" t="s">
        <v>4953</v>
      </c>
      <c r="N474" s="3" t="s">
        <v>726</v>
      </c>
      <c r="P474" s="3" t="s">
        <v>64</v>
      </c>
      <c r="R474" s="3" t="s">
        <v>65</v>
      </c>
      <c r="S474" s="4">
        <v>0</v>
      </c>
      <c r="T474" s="4">
        <v>0</v>
      </c>
      <c r="W474" s="5" t="s">
        <v>67</v>
      </c>
      <c r="X474" s="5" t="s">
        <v>67</v>
      </c>
      <c r="Y474" s="4">
        <v>103</v>
      </c>
      <c r="Z474" s="4">
        <v>12</v>
      </c>
      <c r="AA474" s="4">
        <v>84</v>
      </c>
      <c r="AB474" s="4">
        <v>4</v>
      </c>
      <c r="AC474" s="4">
        <v>19</v>
      </c>
      <c r="AD474" s="4">
        <v>46</v>
      </c>
      <c r="AE474" s="4">
        <v>110</v>
      </c>
      <c r="AF474" s="4">
        <v>1</v>
      </c>
      <c r="AG474" s="4">
        <v>8</v>
      </c>
      <c r="AH474" s="4">
        <v>39</v>
      </c>
      <c r="AI474" s="4">
        <v>74</v>
      </c>
      <c r="AJ474" s="4">
        <v>6</v>
      </c>
      <c r="AK474" s="4">
        <v>22</v>
      </c>
      <c r="AL474" s="4">
        <v>28</v>
      </c>
      <c r="AM474" s="4">
        <v>40</v>
      </c>
      <c r="AN474" s="4">
        <v>0</v>
      </c>
      <c r="AO474" s="4">
        <v>0</v>
      </c>
      <c r="AP474" s="4">
        <v>6</v>
      </c>
      <c r="AQ474" s="4">
        <v>42</v>
      </c>
      <c r="AR474" s="3" t="s">
        <v>61</v>
      </c>
      <c r="AS474" s="3" t="s">
        <v>62</v>
      </c>
      <c r="AT474" s="3" t="s">
        <v>62</v>
      </c>
      <c r="AV474" s="6" t="str">
        <f>HYPERLINK("http://mcgill.on.worldcat.org/oclc/964328973","Catalog Record")</f>
        <v>Catalog Record</v>
      </c>
      <c r="AW474" s="6" t="str">
        <f>HYPERLINK("http://www.worldcat.org/oclc/964328973","WorldCat Record")</f>
        <v>WorldCat Record</v>
      </c>
      <c r="AX474" s="3" t="s">
        <v>4954</v>
      </c>
      <c r="AY474" s="3" t="s">
        <v>4955</v>
      </c>
      <c r="AZ474" s="3" t="s">
        <v>4956</v>
      </c>
      <c r="BA474" s="3" t="s">
        <v>4956</v>
      </c>
      <c r="BB474" s="3" t="s">
        <v>4957</v>
      </c>
      <c r="BC474" s="3" t="s">
        <v>102</v>
      </c>
      <c r="BD474" s="3" t="s">
        <v>68</v>
      </c>
      <c r="BE474" s="3" t="s">
        <v>4958</v>
      </c>
      <c r="BF474" s="3" t="s">
        <v>4957</v>
      </c>
      <c r="BG474" s="3" t="s">
        <v>4959</v>
      </c>
    </row>
    <row r="475" spans="1:59" ht="58" x14ac:dyDescent="0.35">
      <c r="A475" s="2" t="s">
        <v>89</v>
      </c>
      <c r="B475" s="2" t="s">
        <v>90</v>
      </c>
      <c r="C475" s="2" t="s">
        <v>4960</v>
      </c>
      <c r="D475" s="2" t="s">
        <v>4961</v>
      </c>
      <c r="E475" s="2" t="s">
        <v>4962</v>
      </c>
      <c r="G475" s="3" t="s">
        <v>62</v>
      </c>
      <c r="I475" s="3" t="s">
        <v>62</v>
      </c>
      <c r="J475" s="3" t="s">
        <v>62</v>
      </c>
      <c r="K475" s="3" t="s">
        <v>63</v>
      </c>
      <c r="L475" s="2" t="s">
        <v>4963</v>
      </c>
      <c r="M475" s="2" t="s">
        <v>4964</v>
      </c>
      <c r="N475" s="3" t="s">
        <v>655</v>
      </c>
      <c r="P475" s="3" t="s">
        <v>1881</v>
      </c>
      <c r="Q475" s="2" t="s">
        <v>4965</v>
      </c>
      <c r="R475" s="3" t="s">
        <v>65</v>
      </c>
      <c r="S475" s="4">
        <v>8</v>
      </c>
      <c r="T475" s="4">
        <v>8</v>
      </c>
      <c r="U475" s="5" t="s">
        <v>4966</v>
      </c>
      <c r="V475" s="5" t="s">
        <v>4966</v>
      </c>
      <c r="W475" s="5" t="s">
        <v>67</v>
      </c>
      <c r="X475" s="5" t="s">
        <v>67</v>
      </c>
      <c r="Y475" s="4">
        <v>102</v>
      </c>
      <c r="Z475" s="4">
        <v>3</v>
      </c>
      <c r="AA475" s="4">
        <v>6</v>
      </c>
      <c r="AB475" s="4">
        <v>1</v>
      </c>
      <c r="AC475" s="4">
        <v>4</v>
      </c>
      <c r="AD475" s="4">
        <v>49</v>
      </c>
      <c r="AE475" s="4">
        <v>51</v>
      </c>
      <c r="AF475" s="4">
        <v>0</v>
      </c>
      <c r="AG475" s="4">
        <v>1</v>
      </c>
      <c r="AH475" s="4">
        <v>47</v>
      </c>
      <c r="AI475" s="4">
        <v>48</v>
      </c>
      <c r="AJ475" s="4">
        <v>1</v>
      </c>
      <c r="AK475" s="4">
        <v>2</v>
      </c>
      <c r="AL475" s="4">
        <v>37</v>
      </c>
      <c r="AM475" s="4">
        <v>37</v>
      </c>
      <c r="AN475" s="4">
        <v>0</v>
      </c>
      <c r="AO475" s="4">
        <v>0</v>
      </c>
      <c r="AP475" s="4">
        <v>1</v>
      </c>
      <c r="AQ475" s="4">
        <v>1</v>
      </c>
      <c r="AR475" s="3" t="s">
        <v>62</v>
      </c>
      <c r="AS475" s="3" t="s">
        <v>62</v>
      </c>
      <c r="AT475" s="3" t="s">
        <v>62</v>
      </c>
      <c r="AV475" s="6" t="str">
        <f>HYPERLINK("http://mcgill.on.worldcat.org/oclc/176628351","Catalog Record")</f>
        <v>Catalog Record</v>
      </c>
      <c r="AW475" s="6" t="str">
        <f>HYPERLINK("http://www.worldcat.org/oclc/176628351","WorldCat Record")</f>
        <v>WorldCat Record</v>
      </c>
      <c r="AX475" s="3" t="s">
        <v>4967</v>
      </c>
      <c r="AY475" s="3" t="s">
        <v>4968</v>
      </c>
      <c r="AZ475" s="3" t="s">
        <v>4969</v>
      </c>
      <c r="BA475" s="3" t="s">
        <v>4969</v>
      </c>
      <c r="BB475" s="3" t="s">
        <v>4970</v>
      </c>
      <c r="BC475" s="3" t="s">
        <v>102</v>
      </c>
      <c r="BD475" s="3" t="s">
        <v>68</v>
      </c>
      <c r="BE475" s="3" t="s">
        <v>4971</v>
      </c>
      <c r="BF475" s="3" t="s">
        <v>4970</v>
      </c>
      <c r="BG475" s="3" t="s">
        <v>4972</v>
      </c>
    </row>
    <row r="476" spans="1:59" ht="58" x14ac:dyDescent="0.35">
      <c r="A476" s="2" t="s">
        <v>89</v>
      </c>
      <c r="B476" s="2" t="s">
        <v>90</v>
      </c>
      <c r="C476" s="2" t="s">
        <v>4973</v>
      </c>
      <c r="D476" s="2" t="s">
        <v>4974</v>
      </c>
      <c r="E476" s="2" t="s">
        <v>4975</v>
      </c>
      <c r="G476" s="3" t="s">
        <v>62</v>
      </c>
      <c r="I476" s="3" t="s">
        <v>62</v>
      </c>
      <c r="J476" s="3" t="s">
        <v>62</v>
      </c>
      <c r="K476" s="3" t="s">
        <v>63</v>
      </c>
      <c r="L476" s="2" t="s">
        <v>4976</v>
      </c>
      <c r="M476" s="2" t="s">
        <v>4977</v>
      </c>
      <c r="N476" s="3" t="s">
        <v>2085</v>
      </c>
      <c r="P476" s="3" t="s">
        <v>64</v>
      </c>
      <c r="R476" s="3" t="s">
        <v>65</v>
      </c>
      <c r="S476" s="4">
        <v>0</v>
      </c>
      <c r="T476" s="4">
        <v>0</v>
      </c>
      <c r="W476" s="5" t="s">
        <v>67</v>
      </c>
      <c r="X476" s="5" t="s">
        <v>67</v>
      </c>
      <c r="Y476" s="4">
        <v>67</v>
      </c>
      <c r="Z476" s="4">
        <v>5</v>
      </c>
      <c r="AA476" s="4">
        <v>5</v>
      </c>
      <c r="AB476" s="4">
        <v>1</v>
      </c>
      <c r="AC476" s="4">
        <v>1</v>
      </c>
      <c r="AD476" s="4">
        <v>31</v>
      </c>
      <c r="AE476" s="4">
        <v>31</v>
      </c>
      <c r="AF476" s="4">
        <v>0</v>
      </c>
      <c r="AG476" s="4">
        <v>0</v>
      </c>
      <c r="AH476" s="4">
        <v>28</v>
      </c>
      <c r="AI476" s="4">
        <v>28</v>
      </c>
      <c r="AJ476" s="4">
        <v>4</v>
      </c>
      <c r="AK476" s="4">
        <v>4</v>
      </c>
      <c r="AL476" s="4">
        <v>23</v>
      </c>
      <c r="AM476" s="4">
        <v>23</v>
      </c>
      <c r="AN476" s="4">
        <v>0</v>
      </c>
      <c r="AO476" s="4">
        <v>0</v>
      </c>
      <c r="AP476" s="4">
        <v>4</v>
      </c>
      <c r="AQ476" s="4">
        <v>4</v>
      </c>
      <c r="AR476" s="3" t="s">
        <v>62</v>
      </c>
      <c r="AS476" s="3" t="s">
        <v>62</v>
      </c>
      <c r="AT476" s="3" t="s">
        <v>62</v>
      </c>
      <c r="AV476" s="6" t="str">
        <f>HYPERLINK("http://mcgill.on.worldcat.org/oclc/982931213","Catalog Record")</f>
        <v>Catalog Record</v>
      </c>
      <c r="AW476" s="6" t="str">
        <f>HYPERLINK("http://www.worldcat.org/oclc/982931213","WorldCat Record")</f>
        <v>WorldCat Record</v>
      </c>
      <c r="AX476" s="3" t="s">
        <v>4978</v>
      </c>
      <c r="AY476" s="3" t="s">
        <v>4979</v>
      </c>
      <c r="AZ476" s="3" t="s">
        <v>4980</v>
      </c>
      <c r="BA476" s="3" t="s">
        <v>4980</v>
      </c>
      <c r="BB476" s="3" t="s">
        <v>4981</v>
      </c>
      <c r="BC476" s="3" t="s">
        <v>102</v>
      </c>
      <c r="BD476" s="3" t="s">
        <v>68</v>
      </c>
      <c r="BE476" s="3" t="s">
        <v>4982</v>
      </c>
      <c r="BF476" s="3" t="s">
        <v>4981</v>
      </c>
      <c r="BG476" s="3" t="s">
        <v>4983</v>
      </c>
    </row>
    <row r="477" spans="1:59" ht="58" x14ac:dyDescent="0.35">
      <c r="A477" s="2" t="s">
        <v>89</v>
      </c>
      <c r="B477" s="2" t="s">
        <v>90</v>
      </c>
      <c r="C477" s="2" t="s">
        <v>4984</v>
      </c>
      <c r="D477" s="2" t="s">
        <v>4985</v>
      </c>
      <c r="E477" s="2" t="s">
        <v>4986</v>
      </c>
      <c r="G477" s="3" t="s">
        <v>62</v>
      </c>
      <c r="I477" s="3" t="s">
        <v>62</v>
      </c>
      <c r="J477" s="3" t="s">
        <v>62</v>
      </c>
      <c r="K477" s="3" t="s">
        <v>63</v>
      </c>
      <c r="L477" s="2" t="s">
        <v>4987</v>
      </c>
      <c r="M477" s="2" t="s">
        <v>4988</v>
      </c>
      <c r="N477" s="3" t="s">
        <v>1195</v>
      </c>
      <c r="P477" s="3" t="s">
        <v>64</v>
      </c>
      <c r="R477" s="3" t="s">
        <v>65</v>
      </c>
      <c r="S477" s="4">
        <v>5</v>
      </c>
      <c r="T477" s="4">
        <v>5</v>
      </c>
      <c r="U477" s="5" t="s">
        <v>4989</v>
      </c>
      <c r="V477" s="5" t="s">
        <v>4989</v>
      </c>
      <c r="W477" s="5" t="s">
        <v>67</v>
      </c>
      <c r="X477" s="5" t="s">
        <v>67</v>
      </c>
      <c r="Y477" s="4">
        <v>755</v>
      </c>
      <c r="Z477" s="4">
        <v>22</v>
      </c>
      <c r="AA477" s="4">
        <v>30</v>
      </c>
      <c r="AB477" s="4">
        <v>1</v>
      </c>
      <c r="AC477" s="4">
        <v>2</v>
      </c>
      <c r="AD477" s="4">
        <v>99</v>
      </c>
      <c r="AE477" s="4">
        <v>114</v>
      </c>
      <c r="AF477" s="4">
        <v>0</v>
      </c>
      <c r="AG477" s="4">
        <v>0</v>
      </c>
      <c r="AH477" s="4">
        <v>87</v>
      </c>
      <c r="AI477" s="4">
        <v>101</v>
      </c>
      <c r="AJ477" s="4">
        <v>9</v>
      </c>
      <c r="AK477" s="4">
        <v>14</v>
      </c>
      <c r="AL477" s="4">
        <v>46</v>
      </c>
      <c r="AM477" s="4">
        <v>52</v>
      </c>
      <c r="AN477" s="4">
        <v>5</v>
      </c>
      <c r="AO477" s="4">
        <v>5</v>
      </c>
      <c r="AP477" s="4">
        <v>14</v>
      </c>
      <c r="AQ477" s="4">
        <v>20</v>
      </c>
      <c r="AR477" s="3" t="s">
        <v>62</v>
      </c>
      <c r="AS477" s="3" t="s">
        <v>62</v>
      </c>
      <c r="AT477" s="3" t="s">
        <v>61</v>
      </c>
      <c r="AU477" s="6" t="str">
        <f>HYPERLINK("http://catalog.hathitrust.org/Record/005262873","HathiTrust Record")</f>
        <v>HathiTrust Record</v>
      </c>
      <c r="AV477" s="6" t="str">
        <f>HYPERLINK("http://mcgill.on.worldcat.org/oclc/62325168","Catalog Record")</f>
        <v>Catalog Record</v>
      </c>
      <c r="AW477" s="6" t="str">
        <f>HYPERLINK("http://www.worldcat.org/oclc/62325168","WorldCat Record")</f>
        <v>WorldCat Record</v>
      </c>
      <c r="AX477" s="3" t="s">
        <v>4990</v>
      </c>
      <c r="AY477" s="3" t="s">
        <v>4991</v>
      </c>
      <c r="AZ477" s="3" t="s">
        <v>4992</v>
      </c>
      <c r="BA477" s="3" t="s">
        <v>4992</v>
      </c>
      <c r="BB477" s="3" t="s">
        <v>4993</v>
      </c>
      <c r="BC477" s="3" t="s">
        <v>102</v>
      </c>
      <c r="BD477" s="3" t="s">
        <v>68</v>
      </c>
      <c r="BE477" s="3" t="s">
        <v>4994</v>
      </c>
      <c r="BF477" s="3" t="s">
        <v>4993</v>
      </c>
      <c r="BG477" s="3" t="s">
        <v>4995</v>
      </c>
    </row>
    <row r="478" spans="1:59" ht="58" x14ac:dyDescent="0.35">
      <c r="A478" s="2" t="s">
        <v>89</v>
      </c>
      <c r="B478" s="2" t="s">
        <v>90</v>
      </c>
      <c r="C478" s="2" t="s">
        <v>4996</v>
      </c>
      <c r="D478" s="2" t="s">
        <v>4997</v>
      </c>
      <c r="E478" s="2" t="s">
        <v>4998</v>
      </c>
      <c r="G478" s="3" t="s">
        <v>62</v>
      </c>
      <c r="I478" s="3" t="s">
        <v>62</v>
      </c>
      <c r="J478" s="3" t="s">
        <v>62</v>
      </c>
      <c r="K478" s="3" t="s">
        <v>63</v>
      </c>
      <c r="M478" s="2" t="s">
        <v>4929</v>
      </c>
      <c r="N478" s="3" t="s">
        <v>698</v>
      </c>
      <c r="P478" s="3" t="s">
        <v>64</v>
      </c>
      <c r="R478" s="3" t="s">
        <v>65</v>
      </c>
      <c r="S478" s="4">
        <v>1</v>
      </c>
      <c r="T478" s="4">
        <v>1</v>
      </c>
      <c r="U478" s="5" t="s">
        <v>4999</v>
      </c>
      <c r="V478" s="5" t="s">
        <v>4999</v>
      </c>
      <c r="W478" s="5" t="s">
        <v>67</v>
      </c>
      <c r="X478" s="5" t="s">
        <v>67</v>
      </c>
      <c r="Y478" s="4">
        <v>58</v>
      </c>
      <c r="Z478" s="4">
        <v>3</v>
      </c>
      <c r="AA478" s="4">
        <v>3</v>
      </c>
      <c r="AB478" s="4">
        <v>1</v>
      </c>
      <c r="AC478" s="4">
        <v>1</v>
      </c>
      <c r="AD478" s="4">
        <v>25</v>
      </c>
      <c r="AE478" s="4">
        <v>25</v>
      </c>
      <c r="AF478" s="4">
        <v>0</v>
      </c>
      <c r="AG478" s="4">
        <v>0</v>
      </c>
      <c r="AH478" s="4">
        <v>24</v>
      </c>
      <c r="AI478" s="4">
        <v>24</v>
      </c>
      <c r="AJ478" s="4">
        <v>2</v>
      </c>
      <c r="AK478" s="4">
        <v>2</v>
      </c>
      <c r="AL478" s="4">
        <v>17</v>
      </c>
      <c r="AM478" s="4">
        <v>17</v>
      </c>
      <c r="AN478" s="4">
        <v>0</v>
      </c>
      <c r="AO478" s="4">
        <v>0</v>
      </c>
      <c r="AP478" s="4">
        <v>2</v>
      </c>
      <c r="AQ478" s="4">
        <v>2</v>
      </c>
      <c r="AR478" s="3" t="s">
        <v>62</v>
      </c>
      <c r="AS478" s="3" t="s">
        <v>62</v>
      </c>
      <c r="AT478" s="3" t="s">
        <v>62</v>
      </c>
      <c r="AV478" s="6" t="str">
        <f>HYPERLINK("http://mcgill.on.worldcat.org/oclc/744303306","Catalog Record")</f>
        <v>Catalog Record</v>
      </c>
      <c r="AW478" s="6" t="str">
        <f>HYPERLINK("http://www.worldcat.org/oclc/744303306","WorldCat Record")</f>
        <v>WorldCat Record</v>
      </c>
      <c r="AX478" s="3" t="s">
        <v>5000</v>
      </c>
      <c r="AY478" s="3" t="s">
        <v>5001</v>
      </c>
      <c r="AZ478" s="3" t="s">
        <v>5002</v>
      </c>
      <c r="BA478" s="3" t="s">
        <v>5002</v>
      </c>
      <c r="BB478" s="3" t="s">
        <v>5003</v>
      </c>
      <c r="BC478" s="3" t="s">
        <v>102</v>
      </c>
      <c r="BD478" s="3" t="s">
        <v>68</v>
      </c>
      <c r="BE478" s="3" t="s">
        <v>5004</v>
      </c>
      <c r="BF478" s="3" t="s">
        <v>5003</v>
      </c>
      <c r="BG478" s="3" t="s">
        <v>5005</v>
      </c>
    </row>
    <row r="479" spans="1:59" ht="58" x14ac:dyDescent="0.35">
      <c r="A479" s="2" t="s">
        <v>89</v>
      </c>
      <c r="B479" s="2" t="s">
        <v>90</v>
      </c>
      <c r="C479" s="2" t="s">
        <v>5006</v>
      </c>
      <c r="D479" s="2" t="s">
        <v>5007</v>
      </c>
      <c r="E479" s="2" t="s">
        <v>5008</v>
      </c>
      <c r="G479" s="3" t="s">
        <v>62</v>
      </c>
      <c r="I479" s="3" t="s">
        <v>62</v>
      </c>
      <c r="J479" s="3" t="s">
        <v>62</v>
      </c>
      <c r="K479" s="3" t="s">
        <v>63</v>
      </c>
      <c r="L479" s="2" t="s">
        <v>5009</v>
      </c>
      <c r="M479" s="2" t="s">
        <v>5010</v>
      </c>
      <c r="N479" s="3" t="s">
        <v>1639</v>
      </c>
      <c r="P479" s="3" t="s">
        <v>1881</v>
      </c>
      <c r="Q479" s="2" t="s">
        <v>5011</v>
      </c>
      <c r="R479" s="3" t="s">
        <v>65</v>
      </c>
      <c r="S479" s="4">
        <v>4</v>
      </c>
      <c r="T479" s="4">
        <v>4</v>
      </c>
      <c r="U479" s="5" t="s">
        <v>3583</v>
      </c>
      <c r="V479" s="5" t="s">
        <v>3583</v>
      </c>
      <c r="W479" s="5" t="s">
        <v>67</v>
      </c>
      <c r="X479" s="5" t="s">
        <v>67</v>
      </c>
      <c r="Y479" s="4">
        <v>114</v>
      </c>
      <c r="Z479" s="4">
        <v>9</v>
      </c>
      <c r="AA479" s="4">
        <v>9</v>
      </c>
      <c r="AB479" s="4">
        <v>1</v>
      </c>
      <c r="AC479" s="4">
        <v>1</v>
      </c>
      <c r="AD479" s="4">
        <v>39</v>
      </c>
      <c r="AE479" s="4">
        <v>39</v>
      </c>
      <c r="AF479" s="4">
        <v>0</v>
      </c>
      <c r="AG479" s="4">
        <v>0</v>
      </c>
      <c r="AH479" s="4">
        <v>36</v>
      </c>
      <c r="AI479" s="4">
        <v>36</v>
      </c>
      <c r="AJ479" s="4">
        <v>7</v>
      </c>
      <c r="AK479" s="4">
        <v>7</v>
      </c>
      <c r="AL479" s="4">
        <v>24</v>
      </c>
      <c r="AM479" s="4">
        <v>24</v>
      </c>
      <c r="AN479" s="4">
        <v>0</v>
      </c>
      <c r="AO479" s="4">
        <v>0</v>
      </c>
      <c r="AP479" s="4">
        <v>7</v>
      </c>
      <c r="AQ479" s="4">
        <v>7</v>
      </c>
      <c r="AR479" s="3" t="s">
        <v>62</v>
      </c>
      <c r="AS479" s="3" t="s">
        <v>62</v>
      </c>
      <c r="AT479" s="3" t="s">
        <v>61</v>
      </c>
      <c r="AU479" s="6" t="str">
        <f>HYPERLINK("http://catalog.hathitrust.org/Record/001647982","HathiTrust Record")</f>
        <v>HathiTrust Record</v>
      </c>
      <c r="AV479" s="6" t="str">
        <f>HYPERLINK("http://mcgill.on.worldcat.org/oclc/275209","Catalog Record")</f>
        <v>Catalog Record</v>
      </c>
      <c r="AW479" s="6" t="str">
        <f>HYPERLINK("http://www.worldcat.org/oclc/275209","WorldCat Record")</f>
        <v>WorldCat Record</v>
      </c>
      <c r="AX479" s="3" t="s">
        <v>5012</v>
      </c>
      <c r="AY479" s="3" t="s">
        <v>5013</v>
      </c>
      <c r="AZ479" s="3" t="s">
        <v>5014</v>
      </c>
      <c r="BA479" s="3" t="s">
        <v>5014</v>
      </c>
      <c r="BB479" s="3" t="s">
        <v>5015</v>
      </c>
      <c r="BC479" s="3" t="s">
        <v>102</v>
      </c>
      <c r="BD479" s="3" t="s">
        <v>68</v>
      </c>
      <c r="BF479" s="3" t="s">
        <v>5015</v>
      </c>
      <c r="BG479" s="3" t="s">
        <v>5016</v>
      </c>
    </row>
    <row r="480" spans="1:59" ht="58" x14ac:dyDescent="0.35">
      <c r="A480" s="2" t="s">
        <v>89</v>
      </c>
      <c r="B480" s="2" t="s">
        <v>90</v>
      </c>
      <c r="C480" s="2" t="s">
        <v>5017</v>
      </c>
      <c r="D480" s="2" t="s">
        <v>5018</v>
      </c>
      <c r="E480" s="2" t="s">
        <v>5019</v>
      </c>
      <c r="G480" s="3" t="s">
        <v>62</v>
      </c>
      <c r="I480" s="3" t="s">
        <v>61</v>
      </c>
      <c r="J480" s="3" t="s">
        <v>62</v>
      </c>
      <c r="K480" s="3" t="s">
        <v>63</v>
      </c>
      <c r="L480" s="2" t="s">
        <v>5020</v>
      </c>
      <c r="M480" s="2" t="s">
        <v>5021</v>
      </c>
      <c r="N480" s="3" t="s">
        <v>1455</v>
      </c>
      <c r="O480" s="2" t="s">
        <v>5022</v>
      </c>
      <c r="P480" s="3" t="s">
        <v>64</v>
      </c>
      <c r="R480" s="3" t="s">
        <v>65</v>
      </c>
      <c r="S480" s="4">
        <v>17</v>
      </c>
      <c r="T480" s="4">
        <v>24</v>
      </c>
      <c r="U480" s="5" t="s">
        <v>5023</v>
      </c>
      <c r="V480" s="5" t="s">
        <v>5023</v>
      </c>
      <c r="W480" s="5" t="s">
        <v>67</v>
      </c>
      <c r="X480" s="5" t="s">
        <v>67</v>
      </c>
      <c r="Y480" s="4">
        <v>1856</v>
      </c>
      <c r="Z480" s="4">
        <v>44</v>
      </c>
      <c r="AA480" s="4">
        <v>61</v>
      </c>
      <c r="AB480" s="4">
        <v>3</v>
      </c>
      <c r="AC480" s="4">
        <v>7</v>
      </c>
      <c r="AD480" s="4">
        <v>108</v>
      </c>
      <c r="AE480" s="4">
        <v>113</v>
      </c>
      <c r="AF480" s="4">
        <v>0</v>
      </c>
      <c r="AG480" s="4">
        <v>0</v>
      </c>
      <c r="AH480" s="4">
        <v>95</v>
      </c>
      <c r="AI480" s="4">
        <v>97</v>
      </c>
      <c r="AJ480" s="4">
        <v>12</v>
      </c>
      <c r="AK480" s="4">
        <v>14</v>
      </c>
      <c r="AL480" s="4">
        <v>53</v>
      </c>
      <c r="AM480" s="4">
        <v>53</v>
      </c>
      <c r="AN480" s="4">
        <v>0</v>
      </c>
      <c r="AO480" s="4">
        <v>0</v>
      </c>
      <c r="AP480" s="4">
        <v>18</v>
      </c>
      <c r="AQ480" s="4">
        <v>20</v>
      </c>
      <c r="AR480" s="3" t="s">
        <v>62</v>
      </c>
      <c r="AS480" s="3" t="s">
        <v>62</v>
      </c>
      <c r="AT480" s="3" t="s">
        <v>62</v>
      </c>
      <c r="AV480" s="6" t="str">
        <f>HYPERLINK("http://mcgill.on.worldcat.org/oclc/911240481","Catalog Record")</f>
        <v>Catalog Record</v>
      </c>
      <c r="AW480" s="6" t="str">
        <f>HYPERLINK("http://www.worldcat.org/oclc/911240481","WorldCat Record")</f>
        <v>WorldCat Record</v>
      </c>
      <c r="AX480" s="3" t="s">
        <v>5024</v>
      </c>
      <c r="AY480" s="3" t="s">
        <v>5025</v>
      </c>
      <c r="AZ480" s="3" t="s">
        <v>5026</v>
      </c>
      <c r="BA480" s="3" t="s">
        <v>5026</v>
      </c>
      <c r="BB480" s="3" t="s">
        <v>5027</v>
      </c>
      <c r="BC480" s="3" t="s">
        <v>102</v>
      </c>
      <c r="BD480" s="3" t="s">
        <v>231</v>
      </c>
      <c r="BE480" s="3" t="s">
        <v>5028</v>
      </c>
      <c r="BF480" s="3" t="s">
        <v>5027</v>
      </c>
      <c r="BG480" s="3" t="s">
        <v>5029</v>
      </c>
    </row>
    <row r="481" spans="1:59" ht="58" x14ac:dyDescent="0.35">
      <c r="A481" s="2" t="s">
        <v>89</v>
      </c>
      <c r="B481" s="2" t="s">
        <v>90</v>
      </c>
      <c r="C481" s="2" t="s">
        <v>5017</v>
      </c>
      <c r="D481" s="2" t="s">
        <v>5018</v>
      </c>
      <c r="E481" s="2" t="s">
        <v>5019</v>
      </c>
      <c r="G481" s="3" t="s">
        <v>62</v>
      </c>
      <c r="I481" s="3" t="s">
        <v>61</v>
      </c>
      <c r="J481" s="3" t="s">
        <v>62</v>
      </c>
      <c r="K481" s="3" t="s">
        <v>63</v>
      </c>
      <c r="L481" s="2" t="s">
        <v>5020</v>
      </c>
      <c r="M481" s="2" t="s">
        <v>5021</v>
      </c>
      <c r="N481" s="3" t="s">
        <v>1455</v>
      </c>
      <c r="O481" s="2" t="s">
        <v>5022</v>
      </c>
      <c r="P481" s="3" t="s">
        <v>64</v>
      </c>
      <c r="R481" s="3" t="s">
        <v>65</v>
      </c>
      <c r="S481" s="4">
        <v>7</v>
      </c>
      <c r="T481" s="4">
        <v>24</v>
      </c>
      <c r="U481" s="5" t="s">
        <v>5030</v>
      </c>
      <c r="V481" s="5" t="s">
        <v>5023</v>
      </c>
      <c r="W481" s="5" t="s">
        <v>67</v>
      </c>
      <c r="X481" s="5" t="s">
        <v>67</v>
      </c>
      <c r="Y481" s="4">
        <v>1856</v>
      </c>
      <c r="Z481" s="4">
        <v>44</v>
      </c>
      <c r="AA481" s="4">
        <v>61</v>
      </c>
      <c r="AB481" s="4">
        <v>3</v>
      </c>
      <c r="AC481" s="4">
        <v>7</v>
      </c>
      <c r="AD481" s="4">
        <v>108</v>
      </c>
      <c r="AE481" s="4">
        <v>113</v>
      </c>
      <c r="AF481" s="4">
        <v>0</v>
      </c>
      <c r="AG481" s="4">
        <v>0</v>
      </c>
      <c r="AH481" s="4">
        <v>95</v>
      </c>
      <c r="AI481" s="4">
        <v>97</v>
      </c>
      <c r="AJ481" s="4">
        <v>12</v>
      </c>
      <c r="AK481" s="4">
        <v>14</v>
      </c>
      <c r="AL481" s="4">
        <v>53</v>
      </c>
      <c r="AM481" s="4">
        <v>53</v>
      </c>
      <c r="AN481" s="4">
        <v>0</v>
      </c>
      <c r="AO481" s="4">
        <v>0</v>
      </c>
      <c r="AP481" s="4">
        <v>18</v>
      </c>
      <c r="AQ481" s="4">
        <v>20</v>
      </c>
      <c r="AR481" s="3" t="s">
        <v>62</v>
      </c>
      <c r="AS481" s="3" t="s">
        <v>62</v>
      </c>
      <c r="AT481" s="3" t="s">
        <v>62</v>
      </c>
      <c r="AV481" s="6" t="str">
        <f>HYPERLINK("http://mcgill.on.worldcat.org/oclc/911240481","Catalog Record")</f>
        <v>Catalog Record</v>
      </c>
      <c r="AW481" s="6" t="str">
        <f>HYPERLINK("http://www.worldcat.org/oclc/911240481","WorldCat Record")</f>
        <v>WorldCat Record</v>
      </c>
      <c r="AX481" s="3" t="s">
        <v>5024</v>
      </c>
      <c r="AY481" s="3" t="s">
        <v>5025</v>
      </c>
      <c r="AZ481" s="3" t="s">
        <v>5026</v>
      </c>
      <c r="BA481" s="3" t="s">
        <v>5026</v>
      </c>
      <c r="BB481" s="3" t="s">
        <v>5031</v>
      </c>
      <c r="BC481" s="3" t="s">
        <v>102</v>
      </c>
      <c r="BD481" s="3" t="s">
        <v>68</v>
      </c>
      <c r="BE481" s="3" t="s">
        <v>5028</v>
      </c>
      <c r="BF481" s="3" t="s">
        <v>5031</v>
      </c>
      <c r="BG481" s="3" t="s">
        <v>5032</v>
      </c>
    </row>
    <row r="482" spans="1:59" ht="58" x14ac:dyDescent="0.35">
      <c r="A482" s="2" t="s">
        <v>89</v>
      </c>
      <c r="B482" s="2" t="s">
        <v>90</v>
      </c>
      <c r="C482" s="2" t="s">
        <v>5033</v>
      </c>
      <c r="D482" s="2" t="s">
        <v>5034</v>
      </c>
      <c r="E482" s="2" t="s">
        <v>5035</v>
      </c>
      <c r="G482" s="3" t="s">
        <v>62</v>
      </c>
      <c r="I482" s="3" t="s">
        <v>61</v>
      </c>
      <c r="J482" s="3" t="s">
        <v>62</v>
      </c>
      <c r="K482" s="3" t="s">
        <v>63</v>
      </c>
      <c r="L482" s="2" t="s">
        <v>5036</v>
      </c>
      <c r="M482" s="2" t="s">
        <v>5037</v>
      </c>
      <c r="N482" s="3" t="s">
        <v>5038</v>
      </c>
      <c r="P482" s="3" t="s">
        <v>64</v>
      </c>
      <c r="Q482" s="2" t="s">
        <v>5039</v>
      </c>
      <c r="R482" s="3" t="s">
        <v>65</v>
      </c>
      <c r="S482" s="4">
        <v>2</v>
      </c>
      <c r="T482" s="4">
        <v>2</v>
      </c>
      <c r="U482" s="5" t="s">
        <v>5040</v>
      </c>
      <c r="V482" s="5" t="s">
        <v>5040</v>
      </c>
      <c r="W482" s="5" t="s">
        <v>67</v>
      </c>
      <c r="X482" s="5" t="s">
        <v>67</v>
      </c>
      <c r="Y482" s="4">
        <v>25</v>
      </c>
      <c r="Z482" s="4">
        <v>3</v>
      </c>
      <c r="AA482" s="4">
        <v>4</v>
      </c>
      <c r="AB482" s="4">
        <v>1</v>
      </c>
      <c r="AC482" s="4">
        <v>2</v>
      </c>
      <c r="AD482" s="4">
        <v>15</v>
      </c>
      <c r="AE482" s="4">
        <v>16</v>
      </c>
      <c r="AF482" s="4">
        <v>0</v>
      </c>
      <c r="AG482" s="4">
        <v>1</v>
      </c>
      <c r="AH482" s="4">
        <v>14</v>
      </c>
      <c r="AI482" s="4">
        <v>14</v>
      </c>
      <c r="AJ482" s="4">
        <v>2</v>
      </c>
      <c r="AK482" s="4">
        <v>3</v>
      </c>
      <c r="AL482" s="4">
        <v>8</v>
      </c>
      <c r="AM482" s="4">
        <v>8</v>
      </c>
      <c r="AN482" s="4">
        <v>0</v>
      </c>
      <c r="AO482" s="4">
        <v>0</v>
      </c>
      <c r="AP482" s="4">
        <v>1</v>
      </c>
      <c r="AQ482" s="4">
        <v>1</v>
      </c>
      <c r="AR482" s="3" t="s">
        <v>62</v>
      </c>
      <c r="AS482" s="3" t="s">
        <v>62</v>
      </c>
      <c r="AT482" s="3" t="s">
        <v>62</v>
      </c>
      <c r="AV482" s="6" t="str">
        <f>HYPERLINK("http://mcgill.on.worldcat.org/oclc/11766584","Catalog Record")</f>
        <v>Catalog Record</v>
      </c>
      <c r="AW482" s="6" t="str">
        <f>HYPERLINK("http://www.worldcat.org/oclc/11766584","WorldCat Record")</f>
        <v>WorldCat Record</v>
      </c>
      <c r="AX482" s="3" t="s">
        <v>5041</v>
      </c>
      <c r="AY482" s="3" t="s">
        <v>5042</v>
      </c>
      <c r="AZ482" s="3" t="s">
        <v>5043</v>
      </c>
      <c r="BA482" s="3" t="s">
        <v>5043</v>
      </c>
      <c r="BB482" s="3" t="s">
        <v>5044</v>
      </c>
      <c r="BC482" s="3" t="s">
        <v>102</v>
      </c>
      <c r="BD482" s="3" t="s">
        <v>68</v>
      </c>
      <c r="BF482" s="3" t="s">
        <v>5044</v>
      </c>
      <c r="BG482" s="3" t="s">
        <v>5045</v>
      </c>
    </row>
    <row r="483" spans="1:59" ht="58" x14ac:dyDescent="0.35">
      <c r="A483" s="2" t="s">
        <v>89</v>
      </c>
      <c r="B483" s="2" t="s">
        <v>90</v>
      </c>
      <c r="C483" s="2" t="s">
        <v>5046</v>
      </c>
      <c r="D483" s="2" t="s">
        <v>5047</v>
      </c>
      <c r="E483" s="2" t="s">
        <v>5048</v>
      </c>
      <c r="G483" s="3" t="s">
        <v>62</v>
      </c>
      <c r="I483" s="3" t="s">
        <v>62</v>
      </c>
      <c r="J483" s="3" t="s">
        <v>61</v>
      </c>
      <c r="K483" s="3" t="s">
        <v>916</v>
      </c>
      <c r="L483" s="2" t="s">
        <v>5049</v>
      </c>
      <c r="M483" s="2" t="s">
        <v>5050</v>
      </c>
      <c r="N483" s="3" t="s">
        <v>5051</v>
      </c>
      <c r="P483" s="3" t="s">
        <v>64</v>
      </c>
      <c r="R483" s="3" t="s">
        <v>65</v>
      </c>
      <c r="S483" s="4">
        <v>2</v>
      </c>
      <c r="T483" s="4">
        <v>2</v>
      </c>
      <c r="U483" s="5" t="s">
        <v>5040</v>
      </c>
      <c r="V483" s="5" t="s">
        <v>5040</v>
      </c>
      <c r="W483" s="5" t="s">
        <v>67</v>
      </c>
      <c r="X483" s="5" t="s">
        <v>67</v>
      </c>
      <c r="Y483" s="4">
        <v>3</v>
      </c>
      <c r="Z483" s="4">
        <v>3</v>
      </c>
      <c r="AA483" s="4">
        <v>43</v>
      </c>
      <c r="AB483" s="4">
        <v>1</v>
      </c>
      <c r="AC483" s="4">
        <v>5</v>
      </c>
      <c r="AD483" s="4">
        <v>1</v>
      </c>
      <c r="AE483" s="4">
        <v>43</v>
      </c>
      <c r="AF483" s="4">
        <v>0</v>
      </c>
      <c r="AG483" s="4">
        <v>3</v>
      </c>
      <c r="AH483" s="4">
        <v>1</v>
      </c>
      <c r="AI483" s="4">
        <v>26</v>
      </c>
      <c r="AJ483" s="4">
        <v>1</v>
      </c>
      <c r="AK483" s="4">
        <v>20</v>
      </c>
      <c r="AL483" s="4">
        <v>1</v>
      </c>
      <c r="AM483" s="4">
        <v>9</v>
      </c>
      <c r="AN483" s="4">
        <v>0</v>
      </c>
      <c r="AO483" s="4">
        <v>5</v>
      </c>
      <c r="AP483" s="4">
        <v>1</v>
      </c>
      <c r="AQ483" s="4">
        <v>27</v>
      </c>
      <c r="AR483" s="3" t="s">
        <v>62</v>
      </c>
      <c r="AS483" s="3" t="s">
        <v>62</v>
      </c>
      <c r="AT483" s="3" t="s">
        <v>62</v>
      </c>
      <c r="AV483" s="6" t="str">
        <f>HYPERLINK("http://mcgill.on.worldcat.org/oclc/977408626","Catalog Record")</f>
        <v>Catalog Record</v>
      </c>
      <c r="AW483" s="6" t="str">
        <f>HYPERLINK("http://www.worldcat.org/oclc/977408626","WorldCat Record")</f>
        <v>WorldCat Record</v>
      </c>
      <c r="AX483" s="3" t="s">
        <v>5052</v>
      </c>
      <c r="AY483" s="3" t="s">
        <v>5053</v>
      </c>
      <c r="AZ483" s="3" t="s">
        <v>5054</v>
      </c>
      <c r="BA483" s="3" t="s">
        <v>5054</v>
      </c>
      <c r="BB483" s="3" t="s">
        <v>5055</v>
      </c>
      <c r="BC483" s="3" t="s">
        <v>102</v>
      </c>
      <c r="BD483" s="3" t="s">
        <v>68</v>
      </c>
      <c r="BF483" s="3" t="s">
        <v>5055</v>
      </c>
      <c r="BG483" s="3" t="s">
        <v>5056</v>
      </c>
    </row>
    <row r="484" spans="1:59" ht="58" x14ac:dyDescent="0.35">
      <c r="A484" s="2" t="s">
        <v>89</v>
      </c>
      <c r="B484" s="2" t="s">
        <v>90</v>
      </c>
      <c r="C484" s="2" t="s">
        <v>5057</v>
      </c>
      <c r="D484" s="2" t="s">
        <v>5058</v>
      </c>
      <c r="E484" s="2" t="s">
        <v>5059</v>
      </c>
      <c r="G484" s="3" t="s">
        <v>62</v>
      </c>
      <c r="I484" s="3" t="s">
        <v>62</v>
      </c>
      <c r="J484" s="3" t="s">
        <v>62</v>
      </c>
      <c r="K484" s="3" t="s">
        <v>63</v>
      </c>
      <c r="L484" s="2" t="s">
        <v>5060</v>
      </c>
      <c r="M484" s="2" t="s">
        <v>5061</v>
      </c>
      <c r="N484" s="3" t="s">
        <v>2588</v>
      </c>
      <c r="P484" s="3" t="s">
        <v>64</v>
      </c>
      <c r="R484" s="3" t="s">
        <v>65</v>
      </c>
      <c r="S484" s="4">
        <v>6</v>
      </c>
      <c r="T484" s="4">
        <v>6</v>
      </c>
      <c r="U484" s="5" t="s">
        <v>1203</v>
      </c>
      <c r="V484" s="5" t="s">
        <v>1203</v>
      </c>
      <c r="W484" s="5" t="s">
        <v>67</v>
      </c>
      <c r="X484" s="5" t="s">
        <v>67</v>
      </c>
      <c r="Y484" s="4">
        <v>632</v>
      </c>
      <c r="Z484" s="4">
        <v>23</v>
      </c>
      <c r="AA484" s="4">
        <v>24</v>
      </c>
      <c r="AB484" s="4">
        <v>2</v>
      </c>
      <c r="AC484" s="4">
        <v>3</v>
      </c>
      <c r="AD484" s="4">
        <v>123</v>
      </c>
      <c r="AE484" s="4">
        <v>124</v>
      </c>
      <c r="AF484" s="4">
        <v>1</v>
      </c>
      <c r="AG484" s="4">
        <v>2</v>
      </c>
      <c r="AH484" s="4">
        <v>106</v>
      </c>
      <c r="AI484" s="4">
        <v>106</v>
      </c>
      <c r="AJ484" s="4">
        <v>16</v>
      </c>
      <c r="AK484" s="4">
        <v>17</v>
      </c>
      <c r="AL484" s="4">
        <v>59</v>
      </c>
      <c r="AM484" s="4">
        <v>59</v>
      </c>
      <c r="AN484" s="4">
        <v>0</v>
      </c>
      <c r="AO484" s="4">
        <v>0</v>
      </c>
      <c r="AP484" s="4">
        <v>19</v>
      </c>
      <c r="AQ484" s="4">
        <v>19</v>
      </c>
      <c r="AR484" s="3" t="s">
        <v>62</v>
      </c>
      <c r="AS484" s="3" t="s">
        <v>62</v>
      </c>
      <c r="AT484" s="3" t="s">
        <v>61</v>
      </c>
      <c r="AU484" s="6" t="str">
        <f>HYPERLINK("http://catalog.hathitrust.org/Record/000295067","HathiTrust Record")</f>
        <v>HathiTrust Record</v>
      </c>
      <c r="AV484" s="6" t="str">
        <f>HYPERLINK("http://mcgill.on.worldcat.org/oclc/3205572","Catalog Record")</f>
        <v>Catalog Record</v>
      </c>
      <c r="AW484" s="6" t="str">
        <f>HYPERLINK("http://www.worldcat.org/oclc/3205572","WorldCat Record")</f>
        <v>WorldCat Record</v>
      </c>
      <c r="AX484" s="3" t="s">
        <v>5062</v>
      </c>
      <c r="AY484" s="3" t="s">
        <v>5063</v>
      </c>
      <c r="AZ484" s="3" t="s">
        <v>5064</v>
      </c>
      <c r="BA484" s="3" t="s">
        <v>5064</v>
      </c>
      <c r="BB484" s="3" t="s">
        <v>5065</v>
      </c>
      <c r="BC484" s="3" t="s">
        <v>102</v>
      </c>
      <c r="BD484" s="3" t="s">
        <v>68</v>
      </c>
      <c r="BE484" s="3" t="s">
        <v>5066</v>
      </c>
      <c r="BF484" s="3" t="s">
        <v>5065</v>
      </c>
      <c r="BG484" s="3" t="s">
        <v>5067</v>
      </c>
    </row>
    <row r="485" spans="1:59" ht="72.5" x14ac:dyDescent="0.35">
      <c r="A485" s="2" t="s">
        <v>89</v>
      </c>
      <c r="B485" s="2" t="s">
        <v>1231</v>
      </c>
      <c r="C485" s="2" t="s">
        <v>5068</v>
      </c>
      <c r="D485" s="2" t="s">
        <v>5069</v>
      </c>
      <c r="E485" s="2" t="s">
        <v>5070</v>
      </c>
      <c r="G485" s="3" t="s">
        <v>62</v>
      </c>
      <c r="I485" s="3" t="s">
        <v>61</v>
      </c>
      <c r="J485" s="3" t="s">
        <v>62</v>
      </c>
      <c r="K485" s="3" t="s">
        <v>63</v>
      </c>
      <c r="L485" s="2" t="s">
        <v>5071</v>
      </c>
      <c r="M485" s="2" t="s">
        <v>5072</v>
      </c>
      <c r="N485" s="3" t="s">
        <v>755</v>
      </c>
      <c r="P485" s="3" t="s">
        <v>85</v>
      </c>
      <c r="Q485" s="2" t="s">
        <v>5073</v>
      </c>
      <c r="R485" s="3" t="s">
        <v>65</v>
      </c>
      <c r="S485" s="4">
        <v>10</v>
      </c>
      <c r="T485" s="4">
        <v>10</v>
      </c>
      <c r="U485" s="5" t="s">
        <v>5074</v>
      </c>
      <c r="V485" s="5" t="s">
        <v>5074</v>
      </c>
      <c r="W485" s="5" t="s">
        <v>67</v>
      </c>
      <c r="X485" s="5" t="s">
        <v>67</v>
      </c>
      <c r="Y485" s="4">
        <v>3</v>
      </c>
      <c r="Z485" s="4">
        <v>1</v>
      </c>
      <c r="AA485" s="4">
        <v>1</v>
      </c>
      <c r="AB485" s="4">
        <v>1</v>
      </c>
      <c r="AC485" s="4">
        <v>1</v>
      </c>
      <c r="AD485" s="4">
        <v>0</v>
      </c>
      <c r="AE485" s="4">
        <v>0</v>
      </c>
      <c r="AF485" s="4">
        <v>0</v>
      </c>
      <c r="AG485" s="4">
        <v>0</v>
      </c>
      <c r="AH485" s="4">
        <v>0</v>
      </c>
      <c r="AI485" s="4">
        <v>0</v>
      </c>
      <c r="AJ485" s="4">
        <v>0</v>
      </c>
      <c r="AK485" s="4">
        <v>0</v>
      </c>
      <c r="AL485" s="4">
        <v>0</v>
      </c>
      <c r="AM485" s="4">
        <v>0</v>
      </c>
      <c r="AN485" s="4">
        <v>0</v>
      </c>
      <c r="AO485" s="4">
        <v>0</v>
      </c>
      <c r="AP485" s="4">
        <v>0</v>
      </c>
      <c r="AQ485" s="4">
        <v>0</v>
      </c>
      <c r="AR485" s="3" t="s">
        <v>62</v>
      </c>
      <c r="AS485" s="3" t="s">
        <v>62</v>
      </c>
      <c r="AT485" s="3" t="s">
        <v>62</v>
      </c>
      <c r="AV485" s="6" t="str">
        <f>HYPERLINK("http://mcgill.on.worldcat.org/oclc/81297640","Catalog Record")</f>
        <v>Catalog Record</v>
      </c>
      <c r="AW485" s="6" t="str">
        <f>HYPERLINK("http://www.worldcat.org/oclc/81297640","WorldCat Record")</f>
        <v>WorldCat Record</v>
      </c>
      <c r="AX485" s="3" t="s">
        <v>5075</v>
      </c>
      <c r="AY485" s="3" t="s">
        <v>5076</v>
      </c>
      <c r="AZ485" s="3" t="s">
        <v>5077</v>
      </c>
      <c r="BA485" s="3" t="s">
        <v>5077</v>
      </c>
      <c r="BB485" s="3" t="s">
        <v>5078</v>
      </c>
      <c r="BC485" s="3" t="s">
        <v>102</v>
      </c>
      <c r="BD485" s="3" t="s">
        <v>68</v>
      </c>
      <c r="BF485" s="3" t="s">
        <v>5078</v>
      </c>
      <c r="BG485" s="3" t="s">
        <v>5079</v>
      </c>
    </row>
    <row r="486" spans="1:59" ht="58" x14ac:dyDescent="0.35">
      <c r="A486" s="2" t="s">
        <v>89</v>
      </c>
      <c r="B486" s="2" t="s">
        <v>90</v>
      </c>
      <c r="C486" s="2" t="s">
        <v>5080</v>
      </c>
      <c r="D486" s="2" t="s">
        <v>5081</v>
      </c>
      <c r="E486" s="2" t="s">
        <v>5082</v>
      </c>
      <c r="G486" s="3" t="s">
        <v>62</v>
      </c>
      <c r="I486" s="3" t="s">
        <v>62</v>
      </c>
      <c r="J486" s="3" t="s">
        <v>62</v>
      </c>
      <c r="K486" s="3" t="s">
        <v>63</v>
      </c>
      <c r="L486" s="2" t="s">
        <v>5083</v>
      </c>
      <c r="M486" s="2" t="s">
        <v>5084</v>
      </c>
      <c r="N486" s="3" t="s">
        <v>568</v>
      </c>
      <c r="O486" s="2" t="s">
        <v>986</v>
      </c>
      <c r="P486" s="3" t="s">
        <v>64</v>
      </c>
      <c r="R486" s="3" t="s">
        <v>65</v>
      </c>
      <c r="S486" s="4">
        <v>25</v>
      </c>
      <c r="T486" s="4">
        <v>25</v>
      </c>
      <c r="U486" s="5" t="s">
        <v>5085</v>
      </c>
      <c r="V486" s="5" t="s">
        <v>5085</v>
      </c>
      <c r="W486" s="5" t="s">
        <v>67</v>
      </c>
      <c r="X486" s="5" t="s">
        <v>67</v>
      </c>
      <c r="Y486" s="4">
        <v>1093</v>
      </c>
      <c r="Z486" s="4">
        <v>20</v>
      </c>
      <c r="AA486" s="4">
        <v>32</v>
      </c>
      <c r="AB486" s="4">
        <v>2</v>
      </c>
      <c r="AC486" s="4">
        <v>5</v>
      </c>
      <c r="AD486" s="4">
        <v>74</v>
      </c>
      <c r="AE486" s="4">
        <v>91</v>
      </c>
      <c r="AF486" s="4">
        <v>0</v>
      </c>
      <c r="AG486" s="4">
        <v>1</v>
      </c>
      <c r="AH486" s="4">
        <v>69</v>
      </c>
      <c r="AI486" s="4">
        <v>83</v>
      </c>
      <c r="AJ486" s="4">
        <v>4</v>
      </c>
      <c r="AK486" s="4">
        <v>9</v>
      </c>
      <c r="AL486" s="4">
        <v>38</v>
      </c>
      <c r="AM486" s="4">
        <v>46</v>
      </c>
      <c r="AN486" s="4">
        <v>0</v>
      </c>
      <c r="AO486" s="4">
        <v>0</v>
      </c>
      <c r="AP486" s="4">
        <v>5</v>
      </c>
      <c r="AQ486" s="4">
        <v>12</v>
      </c>
      <c r="AR486" s="3" t="s">
        <v>62</v>
      </c>
      <c r="AS486" s="3" t="s">
        <v>62</v>
      </c>
      <c r="AT486" s="3" t="s">
        <v>62</v>
      </c>
      <c r="AV486" s="6" t="str">
        <f>HYPERLINK("http://mcgill.on.worldcat.org/oclc/44686511","Catalog Record")</f>
        <v>Catalog Record</v>
      </c>
      <c r="AW486" s="6" t="str">
        <f>HYPERLINK("http://www.worldcat.org/oclc/44686511","WorldCat Record")</f>
        <v>WorldCat Record</v>
      </c>
      <c r="AX486" s="3" t="s">
        <v>5086</v>
      </c>
      <c r="AY486" s="3" t="s">
        <v>5087</v>
      </c>
      <c r="AZ486" s="3" t="s">
        <v>5088</v>
      </c>
      <c r="BA486" s="3" t="s">
        <v>5088</v>
      </c>
      <c r="BB486" s="3" t="s">
        <v>5089</v>
      </c>
      <c r="BC486" s="3" t="s">
        <v>102</v>
      </c>
      <c r="BD486" s="3" t="s">
        <v>68</v>
      </c>
      <c r="BE486" s="3" t="s">
        <v>5090</v>
      </c>
      <c r="BF486" s="3" t="s">
        <v>5089</v>
      </c>
      <c r="BG486" s="3" t="s">
        <v>5091</v>
      </c>
    </row>
    <row r="487" spans="1:59" ht="58" x14ac:dyDescent="0.35">
      <c r="A487" s="2" t="s">
        <v>89</v>
      </c>
      <c r="B487" s="2" t="s">
        <v>90</v>
      </c>
      <c r="C487" s="2" t="s">
        <v>5092</v>
      </c>
      <c r="D487" s="2" t="s">
        <v>5093</v>
      </c>
      <c r="E487" s="2" t="s">
        <v>5094</v>
      </c>
      <c r="G487" s="3" t="s">
        <v>62</v>
      </c>
      <c r="I487" s="3" t="s">
        <v>61</v>
      </c>
      <c r="J487" s="3" t="s">
        <v>62</v>
      </c>
      <c r="K487" s="3" t="s">
        <v>63</v>
      </c>
      <c r="L487" s="2" t="s">
        <v>5095</v>
      </c>
      <c r="M487" s="2" t="s">
        <v>5096</v>
      </c>
      <c r="N487" s="3" t="s">
        <v>838</v>
      </c>
      <c r="P487" s="3" t="s">
        <v>85</v>
      </c>
      <c r="Q487" s="2" t="s">
        <v>5097</v>
      </c>
      <c r="R487" s="3" t="s">
        <v>65</v>
      </c>
      <c r="S487" s="4">
        <v>5</v>
      </c>
      <c r="T487" s="4">
        <v>5</v>
      </c>
      <c r="U487" s="5" t="s">
        <v>5098</v>
      </c>
      <c r="V487" s="5" t="s">
        <v>5098</v>
      </c>
      <c r="W487" s="5" t="s">
        <v>67</v>
      </c>
      <c r="X487" s="5" t="s">
        <v>67</v>
      </c>
      <c r="Y487" s="4">
        <v>102</v>
      </c>
      <c r="Z487" s="4">
        <v>6</v>
      </c>
      <c r="AA487" s="4">
        <v>6</v>
      </c>
      <c r="AB487" s="4">
        <v>1</v>
      </c>
      <c r="AC487" s="4">
        <v>1</v>
      </c>
      <c r="AD487" s="4">
        <v>54</v>
      </c>
      <c r="AE487" s="4">
        <v>54</v>
      </c>
      <c r="AF487" s="4">
        <v>0</v>
      </c>
      <c r="AG487" s="4">
        <v>0</v>
      </c>
      <c r="AH487" s="4">
        <v>49</v>
      </c>
      <c r="AI487" s="4">
        <v>49</v>
      </c>
      <c r="AJ487" s="4">
        <v>5</v>
      </c>
      <c r="AK487" s="4">
        <v>5</v>
      </c>
      <c r="AL487" s="4">
        <v>35</v>
      </c>
      <c r="AM487" s="4">
        <v>35</v>
      </c>
      <c r="AN487" s="4">
        <v>0</v>
      </c>
      <c r="AO487" s="4">
        <v>0</v>
      </c>
      <c r="AP487" s="4">
        <v>5</v>
      </c>
      <c r="AQ487" s="4">
        <v>5</v>
      </c>
      <c r="AR487" s="3" t="s">
        <v>62</v>
      </c>
      <c r="AS487" s="3" t="s">
        <v>62</v>
      </c>
      <c r="AT487" s="3" t="s">
        <v>62</v>
      </c>
      <c r="AV487" s="6" t="str">
        <f>HYPERLINK("http://mcgill.on.worldcat.org/oclc/3744525","Catalog Record")</f>
        <v>Catalog Record</v>
      </c>
      <c r="AW487" s="6" t="str">
        <f>HYPERLINK("http://www.worldcat.org/oclc/3744525","WorldCat Record")</f>
        <v>WorldCat Record</v>
      </c>
      <c r="AX487" s="3" t="s">
        <v>5099</v>
      </c>
      <c r="AY487" s="3" t="s">
        <v>5100</v>
      </c>
      <c r="AZ487" s="3" t="s">
        <v>5101</v>
      </c>
      <c r="BA487" s="3" t="s">
        <v>5101</v>
      </c>
      <c r="BB487" s="3" t="s">
        <v>5102</v>
      </c>
      <c r="BC487" s="3" t="s">
        <v>102</v>
      </c>
      <c r="BD487" s="3" t="s">
        <v>68</v>
      </c>
      <c r="BF487" s="3" t="s">
        <v>5102</v>
      </c>
      <c r="BG487" s="3" t="s">
        <v>5103</v>
      </c>
    </row>
    <row r="488" spans="1:59" ht="58" x14ac:dyDescent="0.35">
      <c r="A488" s="2" t="s">
        <v>89</v>
      </c>
      <c r="B488" s="2" t="s">
        <v>90</v>
      </c>
      <c r="C488" s="2" t="s">
        <v>5104</v>
      </c>
      <c r="D488" s="2" t="s">
        <v>5105</v>
      </c>
      <c r="E488" s="2" t="s">
        <v>5106</v>
      </c>
      <c r="G488" s="3" t="s">
        <v>62</v>
      </c>
      <c r="I488" s="3" t="s">
        <v>62</v>
      </c>
      <c r="J488" s="3" t="s">
        <v>62</v>
      </c>
      <c r="K488" s="3" t="s">
        <v>63</v>
      </c>
      <c r="L488" s="2" t="s">
        <v>5107</v>
      </c>
      <c r="M488" s="2" t="s">
        <v>5108</v>
      </c>
      <c r="N488" s="3" t="s">
        <v>596</v>
      </c>
      <c r="P488" s="3" t="s">
        <v>64</v>
      </c>
      <c r="R488" s="3" t="s">
        <v>65</v>
      </c>
      <c r="S488" s="4">
        <v>15</v>
      </c>
      <c r="T488" s="4">
        <v>15</v>
      </c>
      <c r="U488" s="5" t="s">
        <v>5098</v>
      </c>
      <c r="V488" s="5" t="s">
        <v>5098</v>
      </c>
      <c r="W488" s="5" t="s">
        <v>67</v>
      </c>
      <c r="X488" s="5" t="s">
        <v>67</v>
      </c>
      <c r="Y488" s="4">
        <v>428</v>
      </c>
      <c r="Z488" s="4">
        <v>23</v>
      </c>
      <c r="AA488" s="4">
        <v>109</v>
      </c>
      <c r="AB488" s="4">
        <v>1</v>
      </c>
      <c r="AC488" s="4">
        <v>17</v>
      </c>
      <c r="AD488" s="4">
        <v>109</v>
      </c>
      <c r="AE488" s="4">
        <v>149</v>
      </c>
      <c r="AF488" s="4">
        <v>0</v>
      </c>
      <c r="AG488" s="4">
        <v>8</v>
      </c>
      <c r="AH488" s="4">
        <v>95</v>
      </c>
      <c r="AI488" s="4">
        <v>108</v>
      </c>
      <c r="AJ488" s="4">
        <v>16</v>
      </c>
      <c r="AK488" s="4">
        <v>25</v>
      </c>
      <c r="AL488" s="4">
        <v>51</v>
      </c>
      <c r="AM488" s="4">
        <v>55</v>
      </c>
      <c r="AN488" s="4">
        <v>0</v>
      </c>
      <c r="AO488" s="4">
        <v>0</v>
      </c>
      <c r="AP488" s="4">
        <v>19</v>
      </c>
      <c r="AQ488" s="4">
        <v>49</v>
      </c>
      <c r="AR488" s="3" t="s">
        <v>62</v>
      </c>
      <c r="AS488" s="3" t="s">
        <v>62</v>
      </c>
      <c r="AT488" s="3" t="s">
        <v>62</v>
      </c>
      <c r="AV488" s="6" t="str">
        <f>HYPERLINK("http://mcgill.on.worldcat.org/oclc/49719072","Catalog Record")</f>
        <v>Catalog Record</v>
      </c>
      <c r="AW488" s="6" t="str">
        <f>HYPERLINK("http://www.worldcat.org/oclc/49719072","WorldCat Record")</f>
        <v>WorldCat Record</v>
      </c>
      <c r="AX488" s="3" t="s">
        <v>5109</v>
      </c>
      <c r="AY488" s="3" t="s">
        <v>5110</v>
      </c>
      <c r="AZ488" s="3" t="s">
        <v>5111</v>
      </c>
      <c r="BA488" s="3" t="s">
        <v>5111</v>
      </c>
      <c r="BB488" s="3" t="s">
        <v>5112</v>
      </c>
      <c r="BC488" s="3" t="s">
        <v>102</v>
      </c>
      <c r="BD488" s="3" t="s">
        <v>68</v>
      </c>
      <c r="BE488" s="3" t="s">
        <v>5113</v>
      </c>
      <c r="BF488" s="3" t="s">
        <v>5112</v>
      </c>
      <c r="BG488" s="3" t="s">
        <v>5114</v>
      </c>
    </row>
    <row r="489" spans="1:59" ht="58" x14ac:dyDescent="0.35">
      <c r="A489" s="2" t="s">
        <v>89</v>
      </c>
      <c r="B489" s="2" t="s">
        <v>90</v>
      </c>
      <c r="C489" s="2" t="s">
        <v>5115</v>
      </c>
      <c r="D489" s="2" t="s">
        <v>5116</v>
      </c>
      <c r="E489" s="2" t="s">
        <v>5117</v>
      </c>
      <c r="G489" s="3" t="s">
        <v>62</v>
      </c>
      <c r="I489" s="3" t="s">
        <v>61</v>
      </c>
      <c r="J489" s="3" t="s">
        <v>62</v>
      </c>
      <c r="K489" s="3" t="s">
        <v>63</v>
      </c>
      <c r="L489" s="2" t="s">
        <v>5118</v>
      </c>
      <c r="M489" s="2" t="s">
        <v>5119</v>
      </c>
      <c r="N489" s="3" t="s">
        <v>852</v>
      </c>
      <c r="P489" s="3" t="s">
        <v>85</v>
      </c>
      <c r="R489" s="3" t="s">
        <v>65</v>
      </c>
      <c r="S489" s="4">
        <v>5</v>
      </c>
      <c r="T489" s="4">
        <v>5</v>
      </c>
      <c r="U489" s="5" t="s">
        <v>5098</v>
      </c>
      <c r="V489" s="5" t="s">
        <v>5098</v>
      </c>
      <c r="W489" s="5" t="s">
        <v>67</v>
      </c>
      <c r="X489" s="5" t="s">
        <v>67</v>
      </c>
      <c r="Y489" s="4">
        <v>134</v>
      </c>
      <c r="Z489" s="4">
        <v>13</v>
      </c>
      <c r="AA489" s="4">
        <v>14</v>
      </c>
      <c r="AB489" s="4">
        <v>1</v>
      </c>
      <c r="AC489" s="4">
        <v>1</v>
      </c>
      <c r="AD489" s="4">
        <v>51</v>
      </c>
      <c r="AE489" s="4">
        <v>52</v>
      </c>
      <c r="AF489" s="4">
        <v>0</v>
      </c>
      <c r="AG489" s="4">
        <v>0</v>
      </c>
      <c r="AH489" s="4">
        <v>46</v>
      </c>
      <c r="AI489" s="4">
        <v>46</v>
      </c>
      <c r="AJ489" s="4">
        <v>10</v>
      </c>
      <c r="AK489" s="4">
        <v>10</v>
      </c>
      <c r="AL489" s="4">
        <v>32</v>
      </c>
      <c r="AM489" s="4">
        <v>32</v>
      </c>
      <c r="AN489" s="4">
        <v>0</v>
      </c>
      <c r="AO489" s="4">
        <v>0</v>
      </c>
      <c r="AP489" s="4">
        <v>10</v>
      </c>
      <c r="AQ489" s="4">
        <v>11</v>
      </c>
      <c r="AR489" s="3" t="s">
        <v>62</v>
      </c>
      <c r="AS489" s="3" t="s">
        <v>62</v>
      </c>
      <c r="AT489" s="3" t="s">
        <v>61</v>
      </c>
      <c r="AU489" s="6" t="str">
        <f>HYPERLINK("http://catalog.hathitrust.org/Record/001473924","HathiTrust Record")</f>
        <v>HathiTrust Record</v>
      </c>
      <c r="AV489" s="6" t="str">
        <f>HYPERLINK("http://mcgill.on.worldcat.org/oclc/2541874","Catalog Record")</f>
        <v>Catalog Record</v>
      </c>
      <c r="AW489" s="6" t="str">
        <f>HYPERLINK("http://www.worldcat.org/oclc/2541874","WorldCat Record")</f>
        <v>WorldCat Record</v>
      </c>
      <c r="AX489" s="3" t="s">
        <v>5120</v>
      </c>
      <c r="AY489" s="3" t="s">
        <v>5121</v>
      </c>
      <c r="AZ489" s="3" t="s">
        <v>5122</v>
      </c>
      <c r="BA489" s="3" t="s">
        <v>5122</v>
      </c>
      <c r="BB489" s="3" t="s">
        <v>5123</v>
      </c>
      <c r="BC489" s="3" t="s">
        <v>102</v>
      </c>
      <c r="BD489" s="3" t="s">
        <v>68</v>
      </c>
      <c r="BF489" s="3" t="s">
        <v>5123</v>
      </c>
      <c r="BG489" s="3" t="s">
        <v>5124</v>
      </c>
    </row>
    <row r="490" spans="1:59" ht="72.5" x14ac:dyDescent="0.35">
      <c r="A490" s="2" t="s">
        <v>89</v>
      </c>
      <c r="B490" s="2" t="s">
        <v>90</v>
      </c>
      <c r="C490" s="2" t="s">
        <v>5125</v>
      </c>
      <c r="D490" s="2" t="s">
        <v>5126</v>
      </c>
      <c r="E490" s="2" t="s">
        <v>5127</v>
      </c>
      <c r="G490" s="3" t="s">
        <v>62</v>
      </c>
      <c r="I490" s="3" t="s">
        <v>61</v>
      </c>
      <c r="J490" s="3" t="s">
        <v>62</v>
      </c>
      <c r="K490" s="3" t="s">
        <v>63</v>
      </c>
      <c r="L490" s="2" t="s">
        <v>5128</v>
      </c>
      <c r="M490" s="2" t="s">
        <v>5129</v>
      </c>
      <c r="N490" s="3" t="s">
        <v>1722</v>
      </c>
      <c r="O490" s="2" t="s">
        <v>2163</v>
      </c>
      <c r="P490" s="3" t="s">
        <v>64</v>
      </c>
      <c r="Q490" s="2" t="s">
        <v>5130</v>
      </c>
      <c r="R490" s="3" t="s">
        <v>65</v>
      </c>
      <c r="S490" s="4">
        <v>7</v>
      </c>
      <c r="T490" s="4">
        <v>20</v>
      </c>
      <c r="U490" s="5" t="s">
        <v>5131</v>
      </c>
      <c r="V490" s="5" t="s">
        <v>5131</v>
      </c>
      <c r="W490" s="5" t="s">
        <v>67</v>
      </c>
      <c r="X490" s="5" t="s">
        <v>67</v>
      </c>
      <c r="Y490" s="4">
        <v>1688</v>
      </c>
      <c r="Z490" s="4">
        <v>72</v>
      </c>
      <c r="AA490" s="4">
        <v>94</v>
      </c>
      <c r="AB490" s="4">
        <v>6</v>
      </c>
      <c r="AC490" s="4">
        <v>10</v>
      </c>
      <c r="AD490" s="4">
        <v>109</v>
      </c>
      <c r="AE490" s="4">
        <v>119</v>
      </c>
      <c r="AF490" s="4">
        <v>1</v>
      </c>
      <c r="AG490" s="4">
        <v>3</v>
      </c>
      <c r="AH490" s="4">
        <v>93</v>
      </c>
      <c r="AI490" s="4">
        <v>99</v>
      </c>
      <c r="AJ490" s="4">
        <v>17</v>
      </c>
      <c r="AK490" s="4">
        <v>22</v>
      </c>
      <c r="AL490" s="4">
        <v>51</v>
      </c>
      <c r="AM490" s="4">
        <v>52</v>
      </c>
      <c r="AN490" s="4">
        <v>0</v>
      </c>
      <c r="AO490" s="4">
        <v>0</v>
      </c>
      <c r="AP490" s="4">
        <v>21</v>
      </c>
      <c r="AQ490" s="4">
        <v>27</v>
      </c>
      <c r="AR490" s="3" t="s">
        <v>62</v>
      </c>
      <c r="AS490" s="3" t="s">
        <v>62</v>
      </c>
      <c r="AT490" s="3" t="s">
        <v>62</v>
      </c>
      <c r="AV490" s="6" t="str">
        <f>HYPERLINK("http://mcgill.on.worldcat.org/oclc/173748716","Catalog Record")</f>
        <v>Catalog Record</v>
      </c>
      <c r="AW490" s="6" t="str">
        <f>HYPERLINK("http://www.worldcat.org/oclc/173748716","WorldCat Record")</f>
        <v>WorldCat Record</v>
      </c>
      <c r="AX490" s="3" t="s">
        <v>5132</v>
      </c>
      <c r="AY490" s="3" t="s">
        <v>5133</v>
      </c>
      <c r="AZ490" s="3" t="s">
        <v>5134</v>
      </c>
      <c r="BA490" s="3" t="s">
        <v>5134</v>
      </c>
      <c r="BB490" s="3" t="s">
        <v>5135</v>
      </c>
      <c r="BC490" s="3" t="s">
        <v>102</v>
      </c>
      <c r="BD490" s="3" t="s">
        <v>68</v>
      </c>
      <c r="BE490" s="3" t="s">
        <v>5136</v>
      </c>
      <c r="BF490" s="3" t="s">
        <v>5135</v>
      </c>
      <c r="BG490" s="3" t="s">
        <v>5137</v>
      </c>
    </row>
    <row r="491" spans="1:59" ht="72.5" x14ac:dyDescent="0.35">
      <c r="A491" s="2" t="s">
        <v>89</v>
      </c>
      <c r="B491" s="2" t="s">
        <v>90</v>
      </c>
      <c r="C491" s="2" t="s">
        <v>5125</v>
      </c>
      <c r="D491" s="2" t="s">
        <v>5126</v>
      </c>
      <c r="E491" s="2" t="s">
        <v>5127</v>
      </c>
      <c r="G491" s="3" t="s">
        <v>62</v>
      </c>
      <c r="I491" s="3" t="s">
        <v>61</v>
      </c>
      <c r="J491" s="3" t="s">
        <v>62</v>
      </c>
      <c r="K491" s="3" t="s">
        <v>63</v>
      </c>
      <c r="L491" s="2" t="s">
        <v>5128</v>
      </c>
      <c r="M491" s="2" t="s">
        <v>5129</v>
      </c>
      <c r="N491" s="3" t="s">
        <v>1722</v>
      </c>
      <c r="O491" s="2" t="s">
        <v>2163</v>
      </c>
      <c r="P491" s="3" t="s">
        <v>64</v>
      </c>
      <c r="Q491" s="2" t="s">
        <v>5130</v>
      </c>
      <c r="R491" s="3" t="s">
        <v>65</v>
      </c>
      <c r="S491" s="4">
        <v>13</v>
      </c>
      <c r="T491" s="4">
        <v>20</v>
      </c>
      <c r="U491" s="5" t="s">
        <v>5138</v>
      </c>
      <c r="V491" s="5" t="s">
        <v>5131</v>
      </c>
      <c r="W491" s="5" t="s">
        <v>67</v>
      </c>
      <c r="X491" s="5" t="s">
        <v>67</v>
      </c>
      <c r="Y491" s="4">
        <v>1688</v>
      </c>
      <c r="Z491" s="4">
        <v>72</v>
      </c>
      <c r="AA491" s="4">
        <v>94</v>
      </c>
      <c r="AB491" s="4">
        <v>6</v>
      </c>
      <c r="AC491" s="4">
        <v>10</v>
      </c>
      <c r="AD491" s="4">
        <v>109</v>
      </c>
      <c r="AE491" s="4">
        <v>119</v>
      </c>
      <c r="AF491" s="4">
        <v>1</v>
      </c>
      <c r="AG491" s="4">
        <v>3</v>
      </c>
      <c r="AH491" s="4">
        <v>93</v>
      </c>
      <c r="AI491" s="4">
        <v>99</v>
      </c>
      <c r="AJ491" s="4">
        <v>17</v>
      </c>
      <c r="AK491" s="4">
        <v>22</v>
      </c>
      <c r="AL491" s="4">
        <v>51</v>
      </c>
      <c r="AM491" s="4">
        <v>52</v>
      </c>
      <c r="AN491" s="4">
        <v>0</v>
      </c>
      <c r="AO491" s="4">
        <v>0</v>
      </c>
      <c r="AP491" s="4">
        <v>21</v>
      </c>
      <c r="AQ491" s="4">
        <v>27</v>
      </c>
      <c r="AR491" s="3" t="s">
        <v>62</v>
      </c>
      <c r="AS491" s="3" t="s">
        <v>62</v>
      </c>
      <c r="AT491" s="3" t="s">
        <v>62</v>
      </c>
      <c r="AV491" s="6" t="str">
        <f>HYPERLINK("http://mcgill.on.worldcat.org/oclc/173748716","Catalog Record")</f>
        <v>Catalog Record</v>
      </c>
      <c r="AW491" s="6" t="str">
        <f>HYPERLINK("http://www.worldcat.org/oclc/173748716","WorldCat Record")</f>
        <v>WorldCat Record</v>
      </c>
      <c r="AX491" s="3" t="s">
        <v>5132</v>
      </c>
      <c r="AY491" s="3" t="s">
        <v>5133</v>
      </c>
      <c r="AZ491" s="3" t="s">
        <v>5134</v>
      </c>
      <c r="BA491" s="3" t="s">
        <v>5134</v>
      </c>
      <c r="BB491" s="3" t="s">
        <v>5139</v>
      </c>
      <c r="BC491" s="3" t="s">
        <v>102</v>
      </c>
      <c r="BD491" s="3" t="s">
        <v>68</v>
      </c>
      <c r="BE491" s="3" t="s">
        <v>5136</v>
      </c>
      <c r="BF491" s="3" t="s">
        <v>5139</v>
      </c>
      <c r="BG491" s="3" t="s">
        <v>5140</v>
      </c>
    </row>
    <row r="492" spans="1:59" ht="58" x14ac:dyDescent="0.35">
      <c r="A492" s="2" t="s">
        <v>89</v>
      </c>
      <c r="B492" s="2" t="s">
        <v>90</v>
      </c>
      <c r="C492" s="2" t="s">
        <v>5141</v>
      </c>
      <c r="D492" s="2" t="s">
        <v>5142</v>
      </c>
      <c r="E492" s="2" t="s">
        <v>5143</v>
      </c>
      <c r="G492" s="3" t="s">
        <v>62</v>
      </c>
      <c r="I492" s="3" t="s">
        <v>62</v>
      </c>
      <c r="J492" s="3" t="s">
        <v>62</v>
      </c>
      <c r="K492" s="3" t="s">
        <v>63</v>
      </c>
      <c r="M492" s="2" t="s">
        <v>5144</v>
      </c>
      <c r="N492" s="3" t="s">
        <v>2975</v>
      </c>
      <c r="P492" s="3" t="s">
        <v>64</v>
      </c>
      <c r="Q492" s="2" t="s">
        <v>5145</v>
      </c>
      <c r="R492" s="3" t="s">
        <v>65</v>
      </c>
      <c r="S492" s="4">
        <v>5</v>
      </c>
      <c r="T492" s="4">
        <v>5</v>
      </c>
      <c r="U492" s="5" t="s">
        <v>5146</v>
      </c>
      <c r="V492" s="5" t="s">
        <v>5146</v>
      </c>
      <c r="W492" s="5" t="s">
        <v>67</v>
      </c>
      <c r="X492" s="5" t="s">
        <v>67</v>
      </c>
      <c r="Y492" s="4">
        <v>362</v>
      </c>
      <c r="Z492" s="4">
        <v>23</v>
      </c>
      <c r="AA492" s="4">
        <v>95</v>
      </c>
      <c r="AB492" s="4">
        <v>2</v>
      </c>
      <c r="AC492" s="4">
        <v>17</v>
      </c>
      <c r="AD492" s="4">
        <v>108</v>
      </c>
      <c r="AE492" s="4">
        <v>146</v>
      </c>
      <c r="AF492" s="4">
        <v>1</v>
      </c>
      <c r="AG492" s="4">
        <v>8</v>
      </c>
      <c r="AH492" s="4">
        <v>96</v>
      </c>
      <c r="AI492" s="4">
        <v>107</v>
      </c>
      <c r="AJ492" s="4">
        <v>14</v>
      </c>
      <c r="AK492" s="4">
        <v>24</v>
      </c>
      <c r="AL492" s="4">
        <v>53</v>
      </c>
      <c r="AM492" s="4">
        <v>55</v>
      </c>
      <c r="AN492" s="4">
        <v>0</v>
      </c>
      <c r="AO492" s="4">
        <v>0</v>
      </c>
      <c r="AP492" s="4">
        <v>18</v>
      </c>
      <c r="AQ492" s="4">
        <v>47</v>
      </c>
      <c r="AR492" s="3" t="s">
        <v>62</v>
      </c>
      <c r="AS492" s="3" t="s">
        <v>62</v>
      </c>
      <c r="AT492" s="3" t="s">
        <v>62</v>
      </c>
      <c r="AV492" s="6" t="str">
        <f>HYPERLINK("http://mcgill.on.worldcat.org/oclc/42296284","Catalog Record")</f>
        <v>Catalog Record</v>
      </c>
      <c r="AW492" s="6" t="str">
        <f>HYPERLINK("http://www.worldcat.org/oclc/42296284","WorldCat Record")</f>
        <v>WorldCat Record</v>
      </c>
      <c r="AX492" s="3" t="s">
        <v>5147</v>
      </c>
      <c r="AY492" s="3" t="s">
        <v>5148</v>
      </c>
      <c r="AZ492" s="3" t="s">
        <v>5149</v>
      </c>
      <c r="BA492" s="3" t="s">
        <v>5149</v>
      </c>
      <c r="BB492" s="3" t="s">
        <v>5150</v>
      </c>
      <c r="BC492" s="3" t="s">
        <v>102</v>
      </c>
      <c r="BD492" s="3" t="s">
        <v>68</v>
      </c>
      <c r="BE492" s="3" t="s">
        <v>5151</v>
      </c>
      <c r="BF492" s="3" t="s">
        <v>5150</v>
      </c>
      <c r="BG492" s="3" t="s">
        <v>5152</v>
      </c>
    </row>
    <row r="493" spans="1:59" ht="58" x14ac:dyDescent="0.35">
      <c r="A493" s="2" t="s">
        <v>89</v>
      </c>
      <c r="B493" s="2" t="s">
        <v>90</v>
      </c>
      <c r="C493" s="2" t="s">
        <v>5153</v>
      </c>
      <c r="D493" s="2" t="s">
        <v>5154</v>
      </c>
      <c r="E493" s="2" t="s">
        <v>5155</v>
      </c>
      <c r="F493" s="3" t="s">
        <v>5156</v>
      </c>
      <c r="G493" s="3" t="s">
        <v>61</v>
      </c>
      <c r="I493" s="3" t="s">
        <v>61</v>
      </c>
      <c r="J493" s="3" t="s">
        <v>62</v>
      </c>
      <c r="K493" s="3" t="s">
        <v>63</v>
      </c>
      <c r="L493" s="2" t="s">
        <v>5157</v>
      </c>
      <c r="M493" s="2" t="s">
        <v>5158</v>
      </c>
      <c r="N493" s="3" t="s">
        <v>2924</v>
      </c>
      <c r="P493" s="3" t="s">
        <v>64</v>
      </c>
      <c r="R493" s="3" t="s">
        <v>65</v>
      </c>
      <c r="S493" s="4">
        <v>2</v>
      </c>
      <c r="T493" s="4">
        <v>40</v>
      </c>
      <c r="U493" s="5" t="s">
        <v>5159</v>
      </c>
      <c r="V493" s="5" t="s">
        <v>5160</v>
      </c>
      <c r="W493" s="5" t="s">
        <v>67</v>
      </c>
      <c r="X493" s="5" t="s">
        <v>67</v>
      </c>
      <c r="Y493" s="4">
        <v>433</v>
      </c>
      <c r="Z493" s="4">
        <v>22</v>
      </c>
      <c r="AA493" s="4">
        <v>22</v>
      </c>
      <c r="AB493" s="4">
        <v>2</v>
      </c>
      <c r="AC493" s="4">
        <v>2</v>
      </c>
      <c r="AD493" s="4">
        <v>112</v>
      </c>
      <c r="AE493" s="4">
        <v>112</v>
      </c>
      <c r="AF493" s="4">
        <v>0</v>
      </c>
      <c r="AG493" s="4">
        <v>0</v>
      </c>
      <c r="AH493" s="4">
        <v>99</v>
      </c>
      <c r="AI493" s="4">
        <v>99</v>
      </c>
      <c r="AJ493" s="4">
        <v>16</v>
      </c>
      <c r="AK493" s="4">
        <v>16</v>
      </c>
      <c r="AL493" s="4">
        <v>56</v>
      </c>
      <c r="AM493" s="4">
        <v>56</v>
      </c>
      <c r="AN493" s="4">
        <v>0</v>
      </c>
      <c r="AO493" s="4">
        <v>0</v>
      </c>
      <c r="AP493" s="4">
        <v>15</v>
      </c>
      <c r="AQ493" s="4">
        <v>15</v>
      </c>
      <c r="AR493" s="3" t="s">
        <v>62</v>
      </c>
      <c r="AS493" s="3" t="s">
        <v>62</v>
      </c>
      <c r="AT493" s="3" t="s">
        <v>61</v>
      </c>
      <c r="AU493" s="6" t="str">
        <f t="shared" ref="AU493:AU508" si="17">HYPERLINK("http://catalog.hathitrust.org/Record/000671738","HathiTrust Record")</f>
        <v>HathiTrust Record</v>
      </c>
      <c r="AV493" s="6" t="str">
        <f t="shared" ref="AV493:AV508" si="18">HYPERLINK("http://mcgill.on.worldcat.org/oclc/42643415","Catalog Record")</f>
        <v>Catalog Record</v>
      </c>
      <c r="AW493" s="6" t="str">
        <f t="shared" ref="AW493:AW508" si="19">HYPERLINK("http://www.worldcat.org/oclc/42643415","WorldCat Record")</f>
        <v>WorldCat Record</v>
      </c>
      <c r="AX493" s="3" t="s">
        <v>5161</v>
      </c>
      <c r="AY493" s="3" t="s">
        <v>5162</v>
      </c>
      <c r="AZ493" s="3" t="s">
        <v>5163</v>
      </c>
      <c r="BA493" s="3" t="s">
        <v>5163</v>
      </c>
      <c r="BB493" s="3" t="s">
        <v>5164</v>
      </c>
      <c r="BC493" s="3" t="s">
        <v>102</v>
      </c>
      <c r="BD493" s="3" t="s">
        <v>68</v>
      </c>
      <c r="BE493" s="3" t="s">
        <v>5165</v>
      </c>
      <c r="BF493" s="3" t="s">
        <v>5164</v>
      </c>
      <c r="BG493" s="3" t="s">
        <v>5166</v>
      </c>
    </row>
    <row r="494" spans="1:59" ht="58" x14ac:dyDescent="0.35">
      <c r="A494" s="2" t="s">
        <v>89</v>
      </c>
      <c r="B494" s="2" t="s">
        <v>90</v>
      </c>
      <c r="C494" s="2" t="s">
        <v>5153</v>
      </c>
      <c r="D494" s="2" t="s">
        <v>5154</v>
      </c>
      <c r="E494" s="2" t="s">
        <v>5155</v>
      </c>
      <c r="F494" s="3" t="s">
        <v>5167</v>
      </c>
      <c r="G494" s="3" t="s">
        <v>61</v>
      </c>
      <c r="I494" s="3" t="s">
        <v>61</v>
      </c>
      <c r="J494" s="3" t="s">
        <v>62</v>
      </c>
      <c r="K494" s="3" t="s">
        <v>63</v>
      </c>
      <c r="L494" s="2" t="s">
        <v>5157</v>
      </c>
      <c r="M494" s="2" t="s">
        <v>5158</v>
      </c>
      <c r="N494" s="3" t="s">
        <v>2924</v>
      </c>
      <c r="P494" s="3" t="s">
        <v>64</v>
      </c>
      <c r="R494" s="3" t="s">
        <v>65</v>
      </c>
      <c r="S494" s="4">
        <v>0</v>
      </c>
      <c r="T494" s="4">
        <v>40</v>
      </c>
      <c r="V494" s="5" t="s">
        <v>5160</v>
      </c>
      <c r="W494" s="5" t="s">
        <v>67</v>
      </c>
      <c r="X494" s="5" t="s">
        <v>67</v>
      </c>
      <c r="Y494" s="4">
        <v>433</v>
      </c>
      <c r="Z494" s="4">
        <v>22</v>
      </c>
      <c r="AA494" s="4">
        <v>22</v>
      </c>
      <c r="AB494" s="4">
        <v>2</v>
      </c>
      <c r="AC494" s="4">
        <v>2</v>
      </c>
      <c r="AD494" s="4">
        <v>112</v>
      </c>
      <c r="AE494" s="4">
        <v>112</v>
      </c>
      <c r="AF494" s="4">
        <v>0</v>
      </c>
      <c r="AG494" s="4">
        <v>0</v>
      </c>
      <c r="AH494" s="4">
        <v>99</v>
      </c>
      <c r="AI494" s="4">
        <v>99</v>
      </c>
      <c r="AJ494" s="4">
        <v>16</v>
      </c>
      <c r="AK494" s="4">
        <v>16</v>
      </c>
      <c r="AL494" s="4">
        <v>56</v>
      </c>
      <c r="AM494" s="4">
        <v>56</v>
      </c>
      <c r="AN494" s="4">
        <v>0</v>
      </c>
      <c r="AO494" s="4">
        <v>0</v>
      </c>
      <c r="AP494" s="4">
        <v>15</v>
      </c>
      <c r="AQ494" s="4">
        <v>15</v>
      </c>
      <c r="AR494" s="3" t="s">
        <v>62</v>
      </c>
      <c r="AS494" s="3" t="s">
        <v>62</v>
      </c>
      <c r="AT494" s="3" t="s">
        <v>61</v>
      </c>
      <c r="AU494" s="6" t="str">
        <f t="shared" si="17"/>
        <v>HathiTrust Record</v>
      </c>
      <c r="AV494" s="6" t="str">
        <f t="shared" si="18"/>
        <v>Catalog Record</v>
      </c>
      <c r="AW494" s="6" t="str">
        <f t="shared" si="19"/>
        <v>WorldCat Record</v>
      </c>
      <c r="AX494" s="3" t="s">
        <v>5161</v>
      </c>
      <c r="AY494" s="3" t="s">
        <v>5162</v>
      </c>
      <c r="AZ494" s="3" t="s">
        <v>5163</v>
      </c>
      <c r="BA494" s="3" t="s">
        <v>5163</v>
      </c>
      <c r="BB494" s="3" t="s">
        <v>5168</v>
      </c>
      <c r="BC494" s="3" t="s">
        <v>102</v>
      </c>
      <c r="BD494" s="3" t="s">
        <v>68</v>
      </c>
      <c r="BE494" s="3" t="s">
        <v>5165</v>
      </c>
      <c r="BF494" s="3" t="s">
        <v>5168</v>
      </c>
      <c r="BG494" s="3" t="s">
        <v>5169</v>
      </c>
    </row>
    <row r="495" spans="1:59" ht="58" x14ac:dyDescent="0.35">
      <c r="A495" s="2" t="s">
        <v>89</v>
      </c>
      <c r="B495" s="2" t="s">
        <v>90</v>
      </c>
      <c r="C495" s="2" t="s">
        <v>5153</v>
      </c>
      <c r="D495" s="2" t="s">
        <v>5154</v>
      </c>
      <c r="E495" s="2" t="s">
        <v>5155</v>
      </c>
      <c r="F495" s="3" t="s">
        <v>5170</v>
      </c>
      <c r="G495" s="3" t="s">
        <v>61</v>
      </c>
      <c r="I495" s="3" t="s">
        <v>61</v>
      </c>
      <c r="J495" s="3" t="s">
        <v>62</v>
      </c>
      <c r="K495" s="3" t="s">
        <v>63</v>
      </c>
      <c r="L495" s="2" t="s">
        <v>5157</v>
      </c>
      <c r="M495" s="2" t="s">
        <v>5158</v>
      </c>
      <c r="N495" s="3" t="s">
        <v>2924</v>
      </c>
      <c r="P495" s="3" t="s">
        <v>64</v>
      </c>
      <c r="R495" s="3" t="s">
        <v>65</v>
      </c>
      <c r="S495" s="4">
        <v>0</v>
      </c>
      <c r="T495" s="4">
        <v>40</v>
      </c>
      <c r="V495" s="5" t="s">
        <v>5160</v>
      </c>
      <c r="W495" s="5" t="s">
        <v>67</v>
      </c>
      <c r="X495" s="5" t="s">
        <v>67</v>
      </c>
      <c r="Y495" s="4">
        <v>433</v>
      </c>
      <c r="Z495" s="4">
        <v>22</v>
      </c>
      <c r="AA495" s="4">
        <v>22</v>
      </c>
      <c r="AB495" s="4">
        <v>2</v>
      </c>
      <c r="AC495" s="4">
        <v>2</v>
      </c>
      <c r="AD495" s="4">
        <v>112</v>
      </c>
      <c r="AE495" s="4">
        <v>112</v>
      </c>
      <c r="AF495" s="4">
        <v>0</v>
      </c>
      <c r="AG495" s="4">
        <v>0</v>
      </c>
      <c r="AH495" s="4">
        <v>99</v>
      </c>
      <c r="AI495" s="4">
        <v>99</v>
      </c>
      <c r="AJ495" s="4">
        <v>16</v>
      </c>
      <c r="AK495" s="4">
        <v>16</v>
      </c>
      <c r="AL495" s="4">
        <v>56</v>
      </c>
      <c r="AM495" s="4">
        <v>56</v>
      </c>
      <c r="AN495" s="4">
        <v>0</v>
      </c>
      <c r="AO495" s="4">
        <v>0</v>
      </c>
      <c r="AP495" s="4">
        <v>15</v>
      </c>
      <c r="AQ495" s="4">
        <v>15</v>
      </c>
      <c r="AR495" s="3" t="s">
        <v>62</v>
      </c>
      <c r="AS495" s="3" t="s">
        <v>62</v>
      </c>
      <c r="AT495" s="3" t="s">
        <v>61</v>
      </c>
      <c r="AU495" s="6" t="str">
        <f t="shared" si="17"/>
        <v>HathiTrust Record</v>
      </c>
      <c r="AV495" s="6" t="str">
        <f t="shared" si="18"/>
        <v>Catalog Record</v>
      </c>
      <c r="AW495" s="6" t="str">
        <f t="shared" si="19"/>
        <v>WorldCat Record</v>
      </c>
      <c r="AX495" s="3" t="s">
        <v>5161</v>
      </c>
      <c r="AY495" s="3" t="s">
        <v>5162</v>
      </c>
      <c r="AZ495" s="3" t="s">
        <v>5163</v>
      </c>
      <c r="BA495" s="3" t="s">
        <v>5163</v>
      </c>
      <c r="BB495" s="3" t="s">
        <v>5171</v>
      </c>
      <c r="BC495" s="3" t="s">
        <v>102</v>
      </c>
      <c r="BD495" s="3" t="s">
        <v>68</v>
      </c>
      <c r="BE495" s="3" t="s">
        <v>5165</v>
      </c>
      <c r="BF495" s="3" t="s">
        <v>5171</v>
      </c>
      <c r="BG495" s="3" t="s">
        <v>5172</v>
      </c>
    </row>
    <row r="496" spans="1:59" ht="58" x14ac:dyDescent="0.35">
      <c r="A496" s="2" t="s">
        <v>89</v>
      </c>
      <c r="B496" s="2" t="s">
        <v>90</v>
      </c>
      <c r="C496" s="2" t="s">
        <v>5153</v>
      </c>
      <c r="D496" s="2" t="s">
        <v>5154</v>
      </c>
      <c r="E496" s="2" t="s">
        <v>5155</v>
      </c>
      <c r="F496" s="3" t="s">
        <v>5173</v>
      </c>
      <c r="G496" s="3" t="s">
        <v>61</v>
      </c>
      <c r="I496" s="3" t="s">
        <v>61</v>
      </c>
      <c r="J496" s="3" t="s">
        <v>62</v>
      </c>
      <c r="K496" s="3" t="s">
        <v>63</v>
      </c>
      <c r="L496" s="2" t="s">
        <v>5157</v>
      </c>
      <c r="M496" s="2" t="s">
        <v>5158</v>
      </c>
      <c r="N496" s="3" t="s">
        <v>2924</v>
      </c>
      <c r="P496" s="3" t="s">
        <v>64</v>
      </c>
      <c r="R496" s="3" t="s">
        <v>65</v>
      </c>
      <c r="S496" s="4">
        <v>3</v>
      </c>
      <c r="T496" s="4">
        <v>40</v>
      </c>
      <c r="U496" s="5" t="s">
        <v>5160</v>
      </c>
      <c r="V496" s="5" t="s">
        <v>5160</v>
      </c>
      <c r="W496" s="5" t="s">
        <v>67</v>
      </c>
      <c r="X496" s="5" t="s">
        <v>67</v>
      </c>
      <c r="Y496" s="4">
        <v>433</v>
      </c>
      <c r="Z496" s="4">
        <v>22</v>
      </c>
      <c r="AA496" s="4">
        <v>22</v>
      </c>
      <c r="AB496" s="4">
        <v>2</v>
      </c>
      <c r="AC496" s="4">
        <v>2</v>
      </c>
      <c r="AD496" s="4">
        <v>112</v>
      </c>
      <c r="AE496" s="4">
        <v>112</v>
      </c>
      <c r="AF496" s="4">
        <v>0</v>
      </c>
      <c r="AG496" s="4">
        <v>0</v>
      </c>
      <c r="AH496" s="4">
        <v>99</v>
      </c>
      <c r="AI496" s="4">
        <v>99</v>
      </c>
      <c r="AJ496" s="4">
        <v>16</v>
      </c>
      <c r="AK496" s="4">
        <v>16</v>
      </c>
      <c r="AL496" s="4">
        <v>56</v>
      </c>
      <c r="AM496" s="4">
        <v>56</v>
      </c>
      <c r="AN496" s="4">
        <v>0</v>
      </c>
      <c r="AO496" s="4">
        <v>0</v>
      </c>
      <c r="AP496" s="4">
        <v>15</v>
      </c>
      <c r="AQ496" s="4">
        <v>15</v>
      </c>
      <c r="AR496" s="3" t="s">
        <v>62</v>
      </c>
      <c r="AS496" s="3" t="s">
        <v>62</v>
      </c>
      <c r="AT496" s="3" t="s">
        <v>61</v>
      </c>
      <c r="AU496" s="6" t="str">
        <f t="shared" si="17"/>
        <v>HathiTrust Record</v>
      </c>
      <c r="AV496" s="6" t="str">
        <f t="shared" si="18"/>
        <v>Catalog Record</v>
      </c>
      <c r="AW496" s="6" t="str">
        <f t="shared" si="19"/>
        <v>WorldCat Record</v>
      </c>
      <c r="AX496" s="3" t="s">
        <v>5161</v>
      </c>
      <c r="AY496" s="3" t="s">
        <v>5162</v>
      </c>
      <c r="AZ496" s="3" t="s">
        <v>5163</v>
      </c>
      <c r="BA496" s="3" t="s">
        <v>5163</v>
      </c>
      <c r="BB496" s="3" t="s">
        <v>5174</v>
      </c>
      <c r="BC496" s="3" t="s">
        <v>102</v>
      </c>
      <c r="BD496" s="3" t="s">
        <v>68</v>
      </c>
      <c r="BE496" s="3" t="s">
        <v>5165</v>
      </c>
      <c r="BF496" s="3" t="s">
        <v>5174</v>
      </c>
      <c r="BG496" s="3" t="s">
        <v>5175</v>
      </c>
    </row>
    <row r="497" spans="1:59" ht="58" x14ac:dyDescent="0.35">
      <c r="A497" s="2" t="s">
        <v>89</v>
      </c>
      <c r="B497" s="2" t="s">
        <v>90</v>
      </c>
      <c r="C497" s="2" t="s">
        <v>5153</v>
      </c>
      <c r="D497" s="2" t="s">
        <v>5154</v>
      </c>
      <c r="E497" s="2" t="s">
        <v>5155</v>
      </c>
      <c r="F497" s="3" t="s">
        <v>5176</v>
      </c>
      <c r="G497" s="3" t="s">
        <v>61</v>
      </c>
      <c r="I497" s="3" t="s">
        <v>61</v>
      </c>
      <c r="J497" s="3" t="s">
        <v>62</v>
      </c>
      <c r="K497" s="3" t="s">
        <v>63</v>
      </c>
      <c r="L497" s="2" t="s">
        <v>5157</v>
      </c>
      <c r="M497" s="2" t="s">
        <v>5158</v>
      </c>
      <c r="N497" s="3" t="s">
        <v>2924</v>
      </c>
      <c r="P497" s="3" t="s">
        <v>64</v>
      </c>
      <c r="R497" s="3" t="s">
        <v>65</v>
      </c>
      <c r="S497" s="4">
        <v>3</v>
      </c>
      <c r="T497" s="4">
        <v>40</v>
      </c>
      <c r="U497" s="5" t="s">
        <v>5177</v>
      </c>
      <c r="V497" s="5" t="s">
        <v>5160</v>
      </c>
      <c r="W497" s="5" t="s">
        <v>67</v>
      </c>
      <c r="X497" s="5" t="s">
        <v>67</v>
      </c>
      <c r="Y497" s="4">
        <v>433</v>
      </c>
      <c r="Z497" s="4">
        <v>22</v>
      </c>
      <c r="AA497" s="4">
        <v>22</v>
      </c>
      <c r="AB497" s="4">
        <v>2</v>
      </c>
      <c r="AC497" s="4">
        <v>2</v>
      </c>
      <c r="AD497" s="4">
        <v>112</v>
      </c>
      <c r="AE497" s="4">
        <v>112</v>
      </c>
      <c r="AF497" s="4">
        <v>0</v>
      </c>
      <c r="AG497" s="4">
        <v>0</v>
      </c>
      <c r="AH497" s="4">
        <v>99</v>
      </c>
      <c r="AI497" s="4">
        <v>99</v>
      </c>
      <c r="AJ497" s="4">
        <v>16</v>
      </c>
      <c r="AK497" s="4">
        <v>16</v>
      </c>
      <c r="AL497" s="4">
        <v>56</v>
      </c>
      <c r="AM497" s="4">
        <v>56</v>
      </c>
      <c r="AN497" s="4">
        <v>0</v>
      </c>
      <c r="AO497" s="4">
        <v>0</v>
      </c>
      <c r="AP497" s="4">
        <v>15</v>
      </c>
      <c r="AQ497" s="4">
        <v>15</v>
      </c>
      <c r="AR497" s="3" t="s">
        <v>62</v>
      </c>
      <c r="AS497" s="3" t="s">
        <v>62</v>
      </c>
      <c r="AT497" s="3" t="s">
        <v>61</v>
      </c>
      <c r="AU497" s="6" t="str">
        <f t="shared" si="17"/>
        <v>HathiTrust Record</v>
      </c>
      <c r="AV497" s="6" t="str">
        <f t="shared" si="18"/>
        <v>Catalog Record</v>
      </c>
      <c r="AW497" s="6" t="str">
        <f t="shared" si="19"/>
        <v>WorldCat Record</v>
      </c>
      <c r="AX497" s="3" t="s">
        <v>5161</v>
      </c>
      <c r="AY497" s="3" t="s">
        <v>5162</v>
      </c>
      <c r="AZ497" s="3" t="s">
        <v>5163</v>
      </c>
      <c r="BA497" s="3" t="s">
        <v>5163</v>
      </c>
      <c r="BB497" s="3" t="s">
        <v>5178</v>
      </c>
      <c r="BC497" s="3" t="s">
        <v>102</v>
      </c>
      <c r="BD497" s="3" t="s">
        <v>68</v>
      </c>
      <c r="BE497" s="3" t="s">
        <v>5165</v>
      </c>
      <c r="BF497" s="3" t="s">
        <v>5178</v>
      </c>
      <c r="BG497" s="3" t="s">
        <v>5179</v>
      </c>
    </row>
    <row r="498" spans="1:59" ht="58" x14ac:dyDescent="0.35">
      <c r="A498" s="2" t="s">
        <v>89</v>
      </c>
      <c r="B498" s="2" t="s">
        <v>90</v>
      </c>
      <c r="C498" s="2" t="s">
        <v>5153</v>
      </c>
      <c r="D498" s="2" t="s">
        <v>5154</v>
      </c>
      <c r="E498" s="2" t="s">
        <v>5155</v>
      </c>
      <c r="F498" s="3" t="s">
        <v>5180</v>
      </c>
      <c r="G498" s="3" t="s">
        <v>61</v>
      </c>
      <c r="I498" s="3" t="s">
        <v>61</v>
      </c>
      <c r="J498" s="3" t="s">
        <v>62</v>
      </c>
      <c r="K498" s="3" t="s">
        <v>63</v>
      </c>
      <c r="L498" s="2" t="s">
        <v>5157</v>
      </c>
      <c r="M498" s="2" t="s">
        <v>5158</v>
      </c>
      <c r="N498" s="3" t="s">
        <v>2924</v>
      </c>
      <c r="P498" s="3" t="s">
        <v>64</v>
      </c>
      <c r="R498" s="3" t="s">
        <v>65</v>
      </c>
      <c r="S498" s="4">
        <v>3</v>
      </c>
      <c r="T498" s="4">
        <v>40</v>
      </c>
      <c r="U498" s="5" t="s">
        <v>5160</v>
      </c>
      <c r="V498" s="5" t="s">
        <v>5160</v>
      </c>
      <c r="W498" s="5" t="s">
        <v>67</v>
      </c>
      <c r="X498" s="5" t="s">
        <v>67</v>
      </c>
      <c r="Y498" s="4">
        <v>433</v>
      </c>
      <c r="Z498" s="4">
        <v>22</v>
      </c>
      <c r="AA498" s="4">
        <v>22</v>
      </c>
      <c r="AB498" s="4">
        <v>2</v>
      </c>
      <c r="AC498" s="4">
        <v>2</v>
      </c>
      <c r="AD498" s="4">
        <v>112</v>
      </c>
      <c r="AE498" s="4">
        <v>112</v>
      </c>
      <c r="AF498" s="4">
        <v>0</v>
      </c>
      <c r="AG498" s="4">
        <v>0</v>
      </c>
      <c r="AH498" s="4">
        <v>99</v>
      </c>
      <c r="AI498" s="4">
        <v>99</v>
      </c>
      <c r="AJ498" s="4">
        <v>16</v>
      </c>
      <c r="AK498" s="4">
        <v>16</v>
      </c>
      <c r="AL498" s="4">
        <v>56</v>
      </c>
      <c r="AM498" s="4">
        <v>56</v>
      </c>
      <c r="AN498" s="4">
        <v>0</v>
      </c>
      <c r="AO498" s="4">
        <v>0</v>
      </c>
      <c r="AP498" s="4">
        <v>15</v>
      </c>
      <c r="AQ498" s="4">
        <v>15</v>
      </c>
      <c r="AR498" s="3" t="s">
        <v>62</v>
      </c>
      <c r="AS498" s="3" t="s">
        <v>62</v>
      </c>
      <c r="AT498" s="3" t="s">
        <v>61</v>
      </c>
      <c r="AU498" s="6" t="str">
        <f t="shared" si="17"/>
        <v>HathiTrust Record</v>
      </c>
      <c r="AV498" s="6" t="str">
        <f t="shared" si="18"/>
        <v>Catalog Record</v>
      </c>
      <c r="AW498" s="6" t="str">
        <f t="shared" si="19"/>
        <v>WorldCat Record</v>
      </c>
      <c r="AX498" s="3" t="s">
        <v>5161</v>
      </c>
      <c r="AY498" s="3" t="s">
        <v>5162</v>
      </c>
      <c r="AZ498" s="3" t="s">
        <v>5163</v>
      </c>
      <c r="BA498" s="3" t="s">
        <v>5163</v>
      </c>
      <c r="BB498" s="3" t="s">
        <v>5181</v>
      </c>
      <c r="BC498" s="3" t="s">
        <v>102</v>
      </c>
      <c r="BD498" s="3" t="s">
        <v>68</v>
      </c>
      <c r="BE498" s="3" t="s">
        <v>5165</v>
      </c>
      <c r="BF498" s="3" t="s">
        <v>5181</v>
      </c>
      <c r="BG498" s="3" t="s">
        <v>5182</v>
      </c>
    </row>
    <row r="499" spans="1:59" ht="58" x14ac:dyDescent="0.35">
      <c r="A499" s="2" t="s">
        <v>89</v>
      </c>
      <c r="B499" s="2" t="s">
        <v>90</v>
      </c>
      <c r="C499" s="2" t="s">
        <v>5153</v>
      </c>
      <c r="D499" s="2" t="s">
        <v>5154</v>
      </c>
      <c r="E499" s="2" t="s">
        <v>5155</v>
      </c>
      <c r="F499" s="3" t="s">
        <v>1381</v>
      </c>
      <c r="G499" s="3" t="s">
        <v>61</v>
      </c>
      <c r="I499" s="3" t="s">
        <v>61</v>
      </c>
      <c r="J499" s="3" t="s">
        <v>62</v>
      </c>
      <c r="K499" s="3" t="s">
        <v>63</v>
      </c>
      <c r="L499" s="2" t="s">
        <v>5157</v>
      </c>
      <c r="M499" s="2" t="s">
        <v>5158</v>
      </c>
      <c r="N499" s="3" t="s">
        <v>2924</v>
      </c>
      <c r="P499" s="3" t="s">
        <v>64</v>
      </c>
      <c r="R499" s="3" t="s">
        <v>65</v>
      </c>
      <c r="S499" s="4">
        <v>2</v>
      </c>
      <c r="T499" s="4">
        <v>40</v>
      </c>
      <c r="U499" s="5" t="s">
        <v>5160</v>
      </c>
      <c r="V499" s="5" t="s">
        <v>5160</v>
      </c>
      <c r="W499" s="5" t="s">
        <v>67</v>
      </c>
      <c r="X499" s="5" t="s">
        <v>67</v>
      </c>
      <c r="Y499" s="4">
        <v>433</v>
      </c>
      <c r="Z499" s="4">
        <v>22</v>
      </c>
      <c r="AA499" s="4">
        <v>22</v>
      </c>
      <c r="AB499" s="4">
        <v>2</v>
      </c>
      <c r="AC499" s="4">
        <v>2</v>
      </c>
      <c r="AD499" s="4">
        <v>112</v>
      </c>
      <c r="AE499" s="4">
        <v>112</v>
      </c>
      <c r="AF499" s="4">
        <v>0</v>
      </c>
      <c r="AG499" s="4">
        <v>0</v>
      </c>
      <c r="AH499" s="4">
        <v>99</v>
      </c>
      <c r="AI499" s="4">
        <v>99</v>
      </c>
      <c r="AJ499" s="4">
        <v>16</v>
      </c>
      <c r="AK499" s="4">
        <v>16</v>
      </c>
      <c r="AL499" s="4">
        <v>56</v>
      </c>
      <c r="AM499" s="4">
        <v>56</v>
      </c>
      <c r="AN499" s="4">
        <v>0</v>
      </c>
      <c r="AO499" s="4">
        <v>0</v>
      </c>
      <c r="AP499" s="4">
        <v>15</v>
      </c>
      <c r="AQ499" s="4">
        <v>15</v>
      </c>
      <c r="AR499" s="3" t="s">
        <v>62</v>
      </c>
      <c r="AS499" s="3" t="s">
        <v>62</v>
      </c>
      <c r="AT499" s="3" t="s">
        <v>61</v>
      </c>
      <c r="AU499" s="6" t="str">
        <f t="shared" si="17"/>
        <v>HathiTrust Record</v>
      </c>
      <c r="AV499" s="6" t="str">
        <f t="shared" si="18"/>
        <v>Catalog Record</v>
      </c>
      <c r="AW499" s="6" t="str">
        <f t="shared" si="19"/>
        <v>WorldCat Record</v>
      </c>
      <c r="AX499" s="3" t="s">
        <v>5161</v>
      </c>
      <c r="AY499" s="3" t="s">
        <v>5162</v>
      </c>
      <c r="AZ499" s="3" t="s">
        <v>5163</v>
      </c>
      <c r="BA499" s="3" t="s">
        <v>5163</v>
      </c>
      <c r="BB499" s="3" t="s">
        <v>5183</v>
      </c>
      <c r="BC499" s="3" t="s">
        <v>102</v>
      </c>
      <c r="BD499" s="3" t="s">
        <v>68</v>
      </c>
      <c r="BE499" s="3" t="s">
        <v>5165</v>
      </c>
      <c r="BF499" s="3" t="s">
        <v>5183</v>
      </c>
      <c r="BG499" s="3" t="s">
        <v>5184</v>
      </c>
    </row>
    <row r="500" spans="1:59" ht="58" x14ac:dyDescent="0.35">
      <c r="A500" s="2" t="s">
        <v>89</v>
      </c>
      <c r="B500" s="2" t="s">
        <v>90</v>
      </c>
      <c r="C500" s="2" t="s">
        <v>5153</v>
      </c>
      <c r="D500" s="2" t="s">
        <v>5154</v>
      </c>
      <c r="E500" s="2" t="s">
        <v>5155</v>
      </c>
      <c r="F500" s="3" t="s">
        <v>5185</v>
      </c>
      <c r="G500" s="3" t="s">
        <v>61</v>
      </c>
      <c r="I500" s="3" t="s">
        <v>61</v>
      </c>
      <c r="J500" s="3" t="s">
        <v>62</v>
      </c>
      <c r="K500" s="3" t="s">
        <v>63</v>
      </c>
      <c r="L500" s="2" t="s">
        <v>5157</v>
      </c>
      <c r="M500" s="2" t="s">
        <v>5158</v>
      </c>
      <c r="N500" s="3" t="s">
        <v>2924</v>
      </c>
      <c r="P500" s="3" t="s">
        <v>64</v>
      </c>
      <c r="R500" s="3" t="s">
        <v>65</v>
      </c>
      <c r="S500" s="4">
        <v>1</v>
      </c>
      <c r="T500" s="4">
        <v>40</v>
      </c>
      <c r="U500" s="5" t="s">
        <v>5160</v>
      </c>
      <c r="V500" s="5" t="s">
        <v>5160</v>
      </c>
      <c r="W500" s="5" t="s">
        <v>67</v>
      </c>
      <c r="X500" s="5" t="s">
        <v>67</v>
      </c>
      <c r="Y500" s="4">
        <v>433</v>
      </c>
      <c r="Z500" s="4">
        <v>22</v>
      </c>
      <c r="AA500" s="4">
        <v>22</v>
      </c>
      <c r="AB500" s="4">
        <v>2</v>
      </c>
      <c r="AC500" s="4">
        <v>2</v>
      </c>
      <c r="AD500" s="4">
        <v>112</v>
      </c>
      <c r="AE500" s="4">
        <v>112</v>
      </c>
      <c r="AF500" s="4">
        <v>0</v>
      </c>
      <c r="AG500" s="4">
        <v>0</v>
      </c>
      <c r="AH500" s="4">
        <v>99</v>
      </c>
      <c r="AI500" s="4">
        <v>99</v>
      </c>
      <c r="AJ500" s="4">
        <v>16</v>
      </c>
      <c r="AK500" s="4">
        <v>16</v>
      </c>
      <c r="AL500" s="4">
        <v>56</v>
      </c>
      <c r="AM500" s="4">
        <v>56</v>
      </c>
      <c r="AN500" s="4">
        <v>0</v>
      </c>
      <c r="AO500" s="4">
        <v>0</v>
      </c>
      <c r="AP500" s="4">
        <v>15</v>
      </c>
      <c r="AQ500" s="4">
        <v>15</v>
      </c>
      <c r="AR500" s="3" t="s">
        <v>62</v>
      </c>
      <c r="AS500" s="3" t="s">
        <v>62</v>
      </c>
      <c r="AT500" s="3" t="s">
        <v>61</v>
      </c>
      <c r="AU500" s="6" t="str">
        <f t="shared" si="17"/>
        <v>HathiTrust Record</v>
      </c>
      <c r="AV500" s="6" t="str">
        <f t="shared" si="18"/>
        <v>Catalog Record</v>
      </c>
      <c r="AW500" s="6" t="str">
        <f t="shared" si="19"/>
        <v>WorldCat Record</v>
      </c>
      <c r="AX500" s="3" t="s">
        <v>5161</v>
      </c>
      <c r="AY500" s="3" t="s">
        <v>5162</v>
      </c>
      <c r="AZ500" s="3" t="s">
        <v>5163</v>
      </c>
      <c r="BA500" s="3" t="s">
        <v>5163</v>
      </c>
      <c r="BB500" s="3" t="s">
        <v>5186</v>
      </c>
      <c r="BC500" s="3" t="s">
        <v>102</v>
      </c>
      <c r="BD500" s="3" t="s">
        <v>68</v>
      </c>
      <c r="BE500" s="3" t="s">
        <v>5165</v>
      </c>
      <c r="BF500" s="3" t="s">
        <v>5186</v>
      </c>
      <c r="BG500" s="3" t="s">
        <v>5187</v>
      </c>
    </row>
    <row r="501" spans="1:59" ht="58" x14ac:dyDescent="0.35">
      <c r="A501" s="2" t="s">
        <v>89</v>
      </c>
      <c r="B501" s="2" t="s">
        <v>90</v>
      </c>
      <c r="C501" s="2" t="s">
        <v>5153</v>
      </c>
      <c r="D501" s="2" t="s">
        <v>5154</v>
      </c>
      <c r="E501" s="2" t="s">
        <v>5155</v>
      </c>
      <c r="F501" s="3" t="s">
        <v>5188</v>
      </c>
      <c r="G501" s="3" t="s">
        <v>61</v>
      </c>
      <c r="I501" s="3" t="s">
        <v>61</v>
      </c>
      <c r="J501" s="3" t="s">
        <v>62</v>
      </c>
      <c r="K501" s="3" t="s">
        <v>63</v>
      </c>
      <c r="L501" s="2" t="s">
        <v>5157</v>
      </c>
      <c r="M501" s="2" t="s">
        <v>5158</v>
      </c>
      <c r="N501" s="3" t="s">
        <v>2924</v>
      </c>
      <c r="P501" s="3" t="s">
        <v>64</v>
      </c>
      <c r="R501" s="3" t="s">
        <v>65</v>
      </c>
      <c r="S501" s="4">
        <v>1</v>
      </c>
      <c r="T501" s="4">
        <v>40</v>
      </c>
      <c r="U501" s="5" t="s">
        <v>5160</v>
      </c>
      <c r="V501" s="5" t="s">
        <v>5160</v>
      </c>
      <c r="W501" s="5" t="s">
        <v>67</v>
      </c>
      <c r="X501" s="5" t="s">
        <v>67</v>
      </c>
      <c r="Y501" s="4">
        <v>433</v>
      </c>
      <c r="Z501" s="4">
        <v>22</v>
      </c>
      <c r="AA501" s="4">
        <v>22</v>
      </c>
      <c r="AB501" s="4">
        <v>2</v>
      </c>
      <c r="AC501" s="4">
        <v>2</v>
      </c>
      <c r="AD501" s="4">
        <v>112</v>
      </c>
      <c r="AE501" s="4">
        <v>112</v>
      </c>
      <c r="AF501" s="4">
        <v>0</v>
      </c>
      <c r="AG501" s="4">
        <v>0</v>
      </c>
      <c r="AH501" s="4">
        <v>99</v>
      </c>
      <c r="AI501" s="4">
        <v>99</v>
      </c>
      <c r="AJ501" s="4">
        <v>16</v>
      </c>
      <c r="AK501" s="4">
        <v>16</v>
      </c>
      <c r="AL501" s="4">
        <v>56</v>
      </c>
      <c r="AM501" s="4">
        <v>56</v>
      </c>
      <c r="AN501" s="4">
        <v>0</v>
      </c>
      <c r="AO501" s="4">
        <v>0</v>
      </c>
      <c r="AP501" s="4">
        <v>15</v>
      </c>
      <c r="AQ501" s="4">
        <v>15</v>
      </c>
      <c r="AR501" s="3" t="s">
        <v>62</v>
      </c>
      <c r="AS501" s="3" t="s">
        <v>62</v>
      </c>
      <c r="AT501" s="3" t="s">
        <v>61</v>
      </c>
      <c r="AU501" s="6" t="str">
        <f t="shared" si="17"/>
        <v>HathiTrust Record</v>
      </c>
      <c r="AV501" s="6" t="str">
        <f t="shared" si="18"/>
        <v>Catalog Record</v>
      </c>
      <c r="AW501" s="6" t="str">
        <f t="shared" si="19"/>
        <v>WorldCat Record</v>
      </c>
      <c r="AX501" s="3" t="s">
        <v>5161</v>
      </c>
      <c r="AY501" s="3" t="s">
        <v>5162</v>
      </c>
      <c r="AZ501" s="3" t="s">
        <v>5163</v>
      </c>
      <c r="BA501" s="3" t="s">
        <v>5163</v>
      </c>
      <c r="BB501" s="3" t="s">
        <v>5189</v>
      </c>
      <c r="BC501" s="3" t="s">
        <v>102</v>
      </c>
      <c r="BD501" s="3" t="s">
        <v>68</v>
      </c>
      <c r="BE501" s="3" t="s">
        <v>5165</v>
      </c>
      <c r="BF501" s="3" t="s">
        <v>5189</v>
      </c>
      <c r="BG501" s="3" t="s">
        <v>5190</v>
      </c>
    </row>
    <row r="502" spans="1:59" ht="58" x14ac:dyDescent="0.35">
      <c r="A502" s="2" t="s">
        <v>89</v>
      </c>
      <c r="B502" s="2" t="s">
        <v>90</v>
      </c>
      <c r="C502" s="2" t="s">
        <v>5153</v>
      </c>
      <c r="D502" s="2" t="s">
        <v>5154</v>
      </c>
      <c r="E502" s="2" t="s">
        <v>5155</v>
      </c>
      <c r="F502" s="3" t="s">
        <v>1390</v>
      </c>
      <c r="G502" s="3" t="s">
        <v>61</v>
      </c>
      <c r="I502" s="3" t="s">
        <v>61</v>
      </c>
      <c r="J502" s="3" t="s">
        <v>62</v>
      </c>
      <c r="K502" s="3" t="s">
        <v>63</v>
      </c>
      <c r="L502" s="2" t="s">
        <v>5157</v>
      </c>
      <c r="M502" s="2" t="s">
        <v>5158</v>
      </c>
      <c r="N502" s="3" t="s">
        <v>2924</v>
      </c>
      <c r="P502" s="3" t="s">
        <v>64</v>
      </c>
      <c r="R502" s="3" t="s">
        <v>65</v>
      </c>
      <c r="S502" s="4">
        <v>0</v>
      </c>
      <c r="T502" s="4">
        <v>40</v>
      </c>
      <c r="V502" s="5" t="s">
        <v>5160</v>
      </c>
      <c r="W502" s="5" t="s">
        <v>67</v>
      </c>
      <c r="X502" s="5" t="s">
        <v>67</v>
      </c>
      <c r="Y502" s="4">
        <v>433</v>
      </c>
      <c r="Z502" s="4">
        <v>22</v>
      </c>
      <c r="AA502" s="4">
        <v>22</v>
      </c>
      <c r="AB502" s="4">
        <v>2</v>
      </c>
      <c r="AC502" s="4">
        <v>2</v>
      </c>
      <c r="AD502" s="4">
        <v>112</v>
      </c>
      <c r="AE502" s="4">
        <v>112</v>
      </c>
      <c r="AF502" s="4">
        <v>0</v>
      </c>
      <c r="AG502" s="4">
        <v>0</v>
      </c>
      <c r="AH502" s="4">
        <v>99</v>
      </c>
      <c r="AI502" s="4">
        <v>99</v>
      </c>
      <c r="AJ502" s="4">
        <v>16</v>
      </c>
      <c r="AK502" s="4">
        <v>16</v>
      </c>
      <c r="AL502" s="4">
        <v>56</v>
      </c>
      <c r="AM502" s="4">
        <v>56</v>
      </c>
      <c r="AN502" s="4">
        <v>0</v>
      </c>
      <c r="AO502" s="4">
        <v>0</v>
      </c>
      <c r="AP502" s="4">
        <v>15</v>
      </c>
      <c r="AQ502" s="4">
        <v>15</v>
      </c>
      <c r="AR502" s="3" t="s">
        <v>62</v>
      </c>
      <c r="AS502" s="3" t="s">
        <v>62</v>
      </c>
      <c r="AT502" s="3" t="s">
        <v>61</v>
      </c>
      <c r="AU502" s="6" t="str">
        <f t="shared" si="17"/>
        <v>HathiTrust Record</v>
      </c>
      <c r="AV502" s="6" t="str">
        <f t="shared" si="18"/>
        <v>Catalog Record</v>
      </c>
      <c r="AW502" s="6" t="str">
        <f t="shared" si="19"/>
        <v>WorldCat Record</v>
      </c>
      <c r="AX502" s="3" t="s">
        <v>5161</v>
      </c>
      <c r="AY502" s="3" t="s">
        <v>5162</v>
      </c>
      <c r="AZ502" s="3" t="s">
        <v>5163</v>
      </c>
      <c r="BA502" s="3" t="s">
        <v>5163</v>
      </c>
      <c r="BB502" s="3" t="s">
        <v>5191</v>
      </c>
      <c r="BC502" s="3" t="s">
        <v>102</v>
      </c>
      <c r="BD502" s="3" t="s">
        <v>68</v>
      </c>
      <c r="BE502" s="3" t="s">
        <v>5165</v>
      </c>
      <c r="BF502" s="3" t="s">
        <v>5191</v>
      </c>
      <c r="BG502" s="3" t="s">
        <v>5192</v>
      </c>
    </row>
    <row r="503" spans="1:59" ht="58" x14ac:dyDescent="0.35">
      <c r="A503" s="2" t="s">
        <v>89</v>
      </c>
      <c r="B503" s="2" t="s">
        <v>90</v>
      </c>
      <c r="C503" s="2" t="s">
        <v>5153</v>
      </c>
      <c r="D503" s="2" t="s">
        <v>5154</v>
      </c>
      <c r="E503" s="2" t="s">
        <v>5155</v>
      </c>
      <c r="F503" s="3" t="s">
        <v>5193</v>
      </c>
      <c r="G503" s="3" t="s">
        <v>61</v>
      </c>
      <c r="I503" s="3" t="s">
        <v>61</v>
      </c>
      <c r="J503" s="3" t="s">
        <v>62</v>
      </c>
      <c r="K503" s="3" t="s">
        <v>63</v>
      </c>
      <c r="L503" s="2" t="s">
        <v>5157</v>
      </c>
      <c r="M503" s="2" t="s">
        <v>5158</v>
      </c>
      <c r="N503" s="3" t="s">
        <v>2924</v>
      </c>
      <c r="P503" s="3" t="s">
        <v>64</v>
      </c>
      <c r="R503" s="3" t="s">
        <v>65</v>
      </c>
      <c r="S503" s="4">
        <v>1</v>
      </c>
      <c r="T503" s="4">
        <v>40</v>
      </c>
      <c r="U503" s="5" t="s">
        <v>5160</v>
      </c>
      <c r="V503" s="5" t="s">
        <v>5160</v>
      </c>
      <c r="W503" s="5" t="s">
        <v>67</v>
      </c>
      <c r="X503" s="5" t="s">
        <v>67</v>
      </c>
      <c r="Y503" s="4">
        <v>433</v>
      </c>
      <c r="Z503" s="4">
        <v>22</v>
      </c>
      <c r="AA503" s="4">
        <v>22</v>
      </c>
      <c r="AB503" s="4">
        <v>2</v>
      </c>
      <c r="AC503" s="4">
        <v>2</v>
      </c>
      <c r="AD503" s="4">
        <v>112</v>
      </c>
      <c r="AE503" s="4">
        <v>112</v>
      </c>
      <c r="AF503" s="4">
        <v>0</v>
      </c>
      <c r="AG503" s="4">
        <v>0</v>
      </c>
      <c r="AH503" s="4">
        <v>99</v>
      </c>
      <c r="AI503" s="4">
        <v>99</v>
      </c>
      <c r="AJ503" s="4">
        <v>16</v>
      </c>
      <c r="AK503" s="4">
        <v>16</v>
      </c>
      <c r="AL503" s="4">
        <v>56</v>
      </c>
      <c r="AM503" s="4">
        <v>56</v>
      </c>
      <c r="AN503" s="4">
        <v>0</v>
      </c>
      <c r="AO503" s="4">
        <v>0</v>
      </c>
      <c r="AP503" s="4">
        <v>15</v>
      </c>
      <c r="AQ503" s="4">
        <v>15</v>
      </c>
      <c r="AR503" s="3" t="s">
        <v>62</v>
      </c>
      <c r="AS503" s="3" t="s">
        <v>62</v>
      </c>
      <c r="AT503" s="3" t="s">
        <v>61</v>
      </c>
      <c r="AU503" s="6" t="str">
        <f t="shared" si="17"/>
        <v>HathiTrust Record</v>
      </c>
      <c r="AV503" s="6" t="str">
        <f t="shared" si="18"/>
        <v>Catalog Record</v>
      </c>
      <c r="AW503" s="6" t="str">
        <f t="shared" si="19"/>
        <v>WorldCat Record</v>
      </c>
      <c r="AX503" s="3" t="s">
        <v>5161</v>
      </c>
      <c r="AY503" s="3" t="s">
        <v>5162</v>
      </c>
      <c r="AZ503" s="3" t="s">
        <v>5163</v>
      </c>
      <c r="BA503" s="3" t="s">
        <v>5163</v>
      </c>
      <c r="BB503" s="3" t="s">
        <v>5194</v>
      </c>
      <c r="BC503" s="3" t="s">
        <v>102</v>
      </c>
      <c r="BD503" s="3" t="s">
        <v>68</v>
      </c>
      <c r="BE503" s="3" t="s">
        <v>5165</v>
      </c>
      <c r="BF503" s="3" t="s">
        <v>5194</v>
      </c>
      <c r="BG503" s="3" t="s">
        <v>5195</v>
      </c>
    </row>
    <row r="504" spans="1:59" ht="58" x14ac:dyDescent="0.35">
      <c r="A504" s="2" t="s">
        <v>89</v>
      </c>
      <c r="B504" s="2" t="s">
        <v>90</v>
      </c>
      <c r="C504" s="2" t="s">
        <v>5153</v>
      </c>
      <c r="D504" s="2" t="s">
        <v>5154</v>
      </c>
      <c r="E504" s="2" t="s">
        <v>5155</v>
      </c>
      <c r="F504" s="3" t="s">
        <v>5196</v>
      </c>
      <c r="G504" s="3" t="s">
        <v>61</v>
      </c>
      <c r="I504" s="3" t="s">
        <v>61</v>
      </c>
      <c r="J504" s="3" t="s">
        <v>62</v>
      </c>
      <c r="K504" s="3" t="s">
        <v>63</v>
      </c>
      <c r="L504" s="2" t="s">
        <v>5157</v>
      </c>
      <c r="M504" s="2" t="s">
        <v>5158</v>
      </c>
      <c r="N504" s="3" t="s">
        <v>2924</v>
      </c>
      <c r="P504" s="3" t="s">
        <v>64</v>
      </c>
      <c r="R504" s="3" t="s">
        <v>65</v>
      </c>
      <c r="S504" s="4">
        <v>2</v>
      </c>
      <c r="T504" s="4">
        <v>40</v>
      </c>
      <c r="U504" s="5" t="s">
        <v>5160</v>
      </c>
      <c r="V504" s="5" t="s">
        <v>5160</v>
      </c>
      <c r="W504" s="5" t="s">
        <v>67</v>
      </c>
      <c r="X504" s="5" t="s">
        <v>67</v>
      </c>
      <c r="Y504" s="4">
        <v>433</v>
      </c>
      <c r="Z504" s="4">
        <v>22</v>
      </c>
      <c r="AA504" s="4">
        <v>22</v>
      </c>
      <c r="AB504" s="4">
        <v>2</v>
      </c>
      <c r="AC504" s="4">
        <v>2</v>
      </c>
      <c r="AD504" s="4">
        <v>112</v>
      </c>
      <c r="AE504" s="4">
        <v>112</v>
      </c>
      <c r="AF504" s="4">
        <v>0</v>
      </c>
      <c r="AG504" s="4">
        <v>0</v>
      </c>
      <c r="AH504" s="4">
        <v>99</v>
      </c>
      <c r="AI504" s="4">
        <v>99</v>
      </c>
      <c r="AJ504" s="4">
        <v>16</v>
      </c>
      <c r="AK504" s="4">
        <v>16</v>
      </c>
      <c r="AL504" s="4">
        <v>56</v>
      </c>
      <c r="AM504" s="4">
        <v>56</v>
      </c>
      <c r="AN504" s="4">
        <v>0</v>
      </c>
      <c r="AO504" s="4">
        <v>0</v>
      </c>
      <c r="AP504" s="4">
        <v>15</v>
      </c>
      <c r="AQ504" s="4">
        <v>15</v>
      </c>
      <c r="AR504" s="3" t="s">
        <v>62</v>
      </c>
      <c r="AS504" s="3" t="s">
        <v>62</v>
      </c>
      <c r="AT504" s="3" t="s">
        <v>61</v>
      </c>
      <c r="AU504" s="6" t="str">
        <f t="shared" si="17"/>
        <v>HathiTrust Record</v>
      </c>
      <c r="AV504" s="6" t="str">
        <f t="shared" si="18"/>
        <v>Catalog Record</v>
      </c>
      <c r="AW504" s="6" t="str">
        <f t="shared" si="19"/>
        <v>WorldCat Record</v>
      </c>
      <c r="AX504" s="3" t="s">
        <v>5161</v>
      </c>
      <c r="AY504" s="3" t="s">
        <v>5162</v>
      </c>
      <c r="AZ504" s="3" t="s">
        <v>5163</v>
      </c>
      <c r="BA504" s="3" t="s">
        <v>5163</v>
      </c>
      <c r="BB504" s="3" t="s">
        <v>5197</v>
      </c>
      <c r="BC504" s="3" t="s">
        <v>102</v>
      </c>
      <c r="BD504" s="3" t="s">
        <v>68</v>
      </c>
      <c r="BE504" s="3" t="s">
        <v>5165</v>
      </c>
      <c r="BF504" s="3" t="s">
        <v>5197</v>
      </c>
      <c r="BG504" s="3" t="s">
        <v>5198</v>
      </c>
    </row>
    <row r="505" spans="1:59" ht="58" x14ac:dyDescent="0.35">
      <c r="A505" s="2" t="s">
        <v>89</v>
      </c>
      <c r="B505" s="2" t="s">
        <v>90</v>
      </c>
      <c r="C505" s="2" t="s">
        <v>5153</v>
      </c>
      <c r="D505" s="2" t="s">
        <v>5154</v>
      </c>
      <c r="E505" s="2" t="s">
        <v>5155</v>
      </c>
      <c r="F505" s="3" t="s">
        <v>5199</v>
      </c>
      <c r="G505" s="3" t="s">
        <v>61</v>
      </c>
      <c r="I505" s="3" t="s">
        <v>61</v>
      </c>
      <c r="J505" s="3" t="s">
        <v>62</v>
      </c>
      <c r="K505" s="3" t="s">
        <v>63</v>
      </c>
      <c r="L505" s="2" t="s">
        <v>5157</v>
      </c>
      <c r="M505" s="2" t="s">
        <v>5158</v>
      </c>
      <c r="N505" s="3" t="s">
        <v>2924</v>
      </c>
      <c r="P505" s="3" t="s">
        <v>64</v>
      </c>
      <c r="R505" s="3" t="s">
        <v>65</v>
      </c>
      <c r="S505" s="4">
        <v>1</v>
      </c>
      <c r="T505" s="4">
        <v>40</v>
      </c>
      <c r="U505" s="5" t="s">
        <v>5160</v>
      </c>
      <c r="V505" s="5" t="s">
        <v>5160</v>
      </c>
      <c r="W505" s="5" t="s">
        <v>67</v>
      </c>
      <c r="X505" s="5" t="s">
        <v>67</v>
      </c>
      <c r="Y505" s="4">
        <v>433</v>
      </c>
      <c r="Z505" s="4">
        <v>22</v>
      </c>
      <c r="AA505" s="4">
        <v>22</v>
      </c>
      <c r="AB505" s="4">
        <v>2</v>
      </c>
      <c r="AC505" s="4">
        <v>2</v>
      </c>
      <c r="AD505" s="4">
        <v>112</v>
      </c>
      <c r="AE505" s="4">
        <v>112</v>
      </c>
      <c r="AF505" s="4">
        <v>0</v>
      </c>
      <c r="AG505" s="4">
        <v>0</v>
      </c>
      <c r="AH505" s="4">
        <v>99</v>
      </c>
      <c r="AI505" s="4">
        <v>99</v>
      </c>
      <c r="AJ505" s="4">
        <v>16</v>
      </c>
      <c r="AK505" s="4">
        <v>16</v>
      </c>
      <c r="AL505" s="4">
        <v>56</v>
      </c>
      <c r="AM505" s="4">
        <v>56</v>
      </c>
      <c r="AN505" s="4">
        <v>0</v>
      </c>
      <c r="AO505" s="4">
        <v>0</v>
      </c>
      <c r="AP505" s="4">
        <v>15</v>
      </c>
      <c r="AQ505" s="4">
        <v>15</v>
      </c>
      <c r="AR505" s="3" t="s">
        <v>62</v>
      </c>
      <c r="AS505" s="3" t="s">
        <v>62</v>
      </c>
      <c r="AT505" s="3" t="s">
        <v>61</v>
      </c>
      <c r="AU505" s="6" t="str">
        <f t="shared" si="17"/>
        <v>HathiTrust Record</v>
      </c>
      <c r="AV505" s="6" t="str">
        <f t="shared" si="18"/>
        <v>Catalog Record</v>
      </c>
      <c r="AW505" s="6" t="str">
        <f t="shared" si="19"/>
        <v>WorldCat Record</v>
      </c>
      <c r="AX505" s="3" t="s">
        <v>5161</v>
      </c>
      <c r="AY505" s="3" t="s">
        <v>5162</v>
      </c>
      <c r="AZ505" s="3" t="s">
        <v>5163</v>
      </c>
      <c r="BA505" s="3" t="s">
        <v>5163</v>
      </c>
      <c r="BB505" s="3" t="s">
        <v>5200</v>
      </c>
      <c r="BC505" s="3" t="s">
        <v>102</v>
      </c>
      <c r="BD505" s="3" t="s">
        <v>68</v>
      </c>
      <c r="BE505" s="3" t="s">
        <v>5165</v>
      </c>
      <c r="BF505" s="3" t="s">
        <v>5200</v>
      </c>
      <c r="BG505" s="3" t="s">
        <v>5201</v>
      </c>
    </row>
    <row r="506" spans="1:59" ht="58" x14ac:dyDescent="0.35">
      <c r="A506" s="2" t="s">
        <v>89</v>
      </c>
      <c r="B506" s="2" t="s">
        <v>90</v>
      </c>
      <c r="C506" s="2" t="s">
        <v>5153</v>
      </c>
      <c r="D506" s="2" t="s">
        <v>5154</v>
      </c>
      <c r="E506" s="2" t="s">
        <v>5155</v>
      </c>
      <c r="F506" s="3" t="s">
        <v>5202</v>
      </c>
      <c r="G506" s="3" t="s">
        <v>61</v>
      </c>
      <c r="I506" s="3" t="s">
        <v>61</v>
      </c>
      <c r="J506" s="3" t="s">
        <v>62</v>
      </c>
      <c r="K506" s="3" t="s">
        <v>63</v>
      </c>
      <c r="L506" s="2" t="s">
        <v>5157</v>
      </c>
      <c r="M506" s="2" t="s">
        <v>5158</v>
      </c>
      <c r="N506" s="3" t="s">
        <v>2924</v>
      </c>
      <c r="P506" s="3" t="s">
        <v>64</v>
      </c>
      <c r="R506" s="3" t="s">
        <v>65</v>
      </c>
      <c r="S506" s="4">
        <v>3</v>
      </c>
      <c r="T506" s="4">
        <v>40</v>
      </c>
      <c r="U506" s="5" t="s">
        <v>5160</v>
      </c>
      <c r="V506" s="5" t="s">
        <v>5160</v>
      </c>
      <c r="W506" s="5" t="s">
        <v>67</v>
      </c>
      <c r="X506" s="5" t="s">
        <v>67</v>
      </c>
      <c r="Y506" s="4">
        <v>433</v>
      </c>
      <c r="Z506" s="4">
        <v>22</v>
      </c>
      <c r="AA506" s="4">
        <v>22</v>
      </c>
      <c r="AB506" s="4">
        <v>2</v>
      </c>
      <c r="AC506" s="4">
        <v>2</v>
      </c>
      <c r="AD506" s="4">
        <v>112</v>
      </c>
      <c r="AE506" s="4">
        <v>112</v>
      </c>
      <c r="AF506" s="4">
        <v>0</v>
      </c>
      <c r="AG506" s="4">
        <v>0</v>
      </c>
      <c r="AH506" s="4">
        <v>99</v>
      </c>
      <c r="AI506" s="4">
        <v>99</v>
      </c>
      <c r="AJ506" s="4">
        <v>16</v>
      </c>
      <c r="AK506" s="4">
        <v>16</v>
      </c>
      <c r="AL506" s="4">
        <v>56</v>
      </c>
      <c r="AM506" s="4">
        <v>56</v>
      </c>
      <c r="AN506" s="4">
        <v>0</v>
      </c>
      <c r="AO506" s="4">
        <v>0</v>
      </c>
      <c r="AP506" s="4">
        <v>15</v>
      </c>
      <c r="AQ506" s="4">
        <v>15</v>
      </c>
      <c r="AR506" s="3" t="s">
        <v>62</v>
      </c>
      <c r="AS506" s="3" t="s">
        <v>62</v>
      </c>
      <c r="AT506" s="3" t="s">
        <v>61</v>
      </c>
      <c r="AU506" s="6" t="str">
        <f t="shared" si="17"/>
        <v>HathiTrust Record</v>
      </c>
      <c r="AV506" s="6" t="str">
        <f t="shared" si="18"/>
        <v>Catalog Record</v>
      </c>
      <c r="AW506" s="6" t="str">
        <f t="shared" si="19"/>
        <v>WorldCat Record</v>
      </c>
      <c r="AX506" s="3" t="s">
        <v>5161</v>
      </c>
      <c r="AY506" s="3" t="s">
        <v>5162</v>
      </c>
      <c r="AZ506" s="3" t="s">
        <v>5163</v>
      </c>
      <c r="BA506" s="3" t="s">
        <v>5163</v>
      </c>
      <c r="BB506" s="3" t="s">
        <v>5203</v>
      </c>
      <c r="BC506" s="3" t="s">
        <v>102</v>
      </c>
      <c r="BD506" s="3" t="s">
        <v>68</v>
      </c>
      <c r="BE506" s="3" t="s">
        <v>5165</v>
      </c>
      <c r="BF506" s="3" t="s">
        <v>5203</v>
      </c>
      <c r="BG506" s="3" t="s">
        <v>5204</v>
      </c>
    </row>
    <row r="507" spans="1:59" ht="58" x14ac:dyDescent="0.35">
      <c r="A507" s="2" t="s">
        <v>89</v>
      </c>
      <c r="B507" s="2" t="s">
        <v>90</v>
      </c>
      <c r="C507" s="2" t="s">
        <v>5153</v>
      </c>
      <c r="D507" s="2" t="s">
        <v>5154</v>
      </c>
      <c r="E507" s="2" t="s">
        <v>5155</v>
      </c>
      <c r="F507" s="3" t="s">
        <v>5205</v>
      </c>
      <c r="G507" s="3" t="s">
        <v>61</v>
      </c>
      <c r="I507" s="3" t="s">
        <v>61</v>
      </c>
      <c r="J507" s="3" t="s">
        <v>62</v>
      </c>
      <c r="K507" s="3" t="s">
        <v>63</v>
      </c>
      <c r="L507" s="2" t="s">
        <v>5157</v>
      </c>
      <c r="M507" s="2" t="s">
        <v>5158</v>
      </c>
      <c r="N507" s="3" t="s">
        <v>2924</v>
      </c>
      <c r="P507" s="3" t="s">
        <v>64</v>
      </c>
      <c r="R507" s="3" t="s">
        <v>65</v>
      </c>
      <c r="S507" s="4">
        <v>2</v>
      </c>
      <c r="T507" s="4">
        <v>40</v>
      </c>
      <c r="U507" s="5" t="s">
        <v>5160</v>
      </c>
      <c r="V507" s="5" t="s">
        <v>5160</v>
      </c>
      <c r="W507" s="5" t="s">
        <v>67</v>
      </c>
      <c r="X507" s="5" t="s">
        <v>67</v>
      </c>
      <c r="Y507" s="4">
        <v>433</v>
      </c>
      <c r="Z507" s="4">
        <v>22</v>
      </c>
      <c r="AA507" s="4">
        <v>22</v>
      </c>
      <c r="AB507" s="4">
        <v>2</v>
      </c>
      <c r="AC507" s="4">
        <v>2</v>
      </c>
      <c r="AD507" s="4">
        <v>112</v>
      </c>
      <c r="AE507" s="4">
        <v>112</v>
      </c>
      <c r="AF507" s="4">
        <v>0</v>
      </c>
      <c r="AG507" s="4">
        <v>0</v>
      </c>
      <c r="AH507" s="4">
        <v>99</v>
      </c>
      <c r="AI507" s="4">
        <v>99</v>
      </c>
      <c r="AJ507" s="4">
        <v>16</v>
      </c>
      <c r="AK507" s="4">
        <v>16</v>
      </c>
      <c r="AL507" s="4">
        <v>56</v>
      </c>
      <c r="AM507" s="4">
        <v>56</v>
      </c>
      <c r="AN507" s="4">
        <v>0</v>
      </c>
      <c r="AO507" s="4">
        <v>0</v>
      </c>
      <c r="AP507" s="4">
        <v>15</v>
      </c>
      <c r="AQ507" s="4">
        <v>15</v>
      </c>
      <c r="AR507" s="3" t="s">
        <v>62</v>
      </c>
      <c r="AS507" s="3" t="s">
        <v>62</v>
      </c>
      <c r="AT507" s="3" t="s">
        <v>61</v>
      </c>
      <c r="AU507" s="6" t="str">
        <f t="shared" si="17"/>
        <v>HathiTrust Record</v>
      </c>
      <c r="AV507" s="6" t="str">
        <f t="shared" si="18"/>
        <v>Catalog Record</v>
      </c>
      <c r="AW507" s="6" t="str">
        <f t="shared" si="19"/>
        <v>WorldCat Record</v>
      </c>
      <c r="AX507" s="3" t="s">
        <v>5161</v>
      </c>
      <c r="AY507" s="3" t="s">
        <v>5162</v>
      </c>
      <c r="AZ507" s="3" t="s">
        <v>5163</v>
      </c>
      <c r="BA507" s="3" t="s">
        <v>5163</v>
      </c>
      <c r="BB507" s="3" t="s">
        <v>5206</v>
      </c>
      <c r="BC507" s="3" t="s">
        <v>102</v>
      </c>
      <c r="BD507" s="3" t="s">
        <v>68</v>
      </c>
      <c r="BE507" s="3" t="s">
        <v>5165</v>
      </c>
      <c r="BF507" s="3" t="s">
        <v>5206</v>
      </c>
      <c r="BG507" s="3" t="s">
        <v>5207</v>
      </c>
    </row>
    <row r="508" spans="1:59" ht="58" x14ac:dyDescent="0.35">
      <c r="A508" s="2" t="s">
        <v>89</v>
      </c>
      <c r="B508" s="2" t="s">
        <v>90</v>
      </c>
      <c r="C508" s="2" t="s">
        <v>5153</v>
      </c>
      <c r="D508" s="2" t="s">
        <v>5154</v>
      </c>
      <c r="E508" s="2" t="s">
        <v>5155</v>
      </c>
      <c r="F508" s="3" t="s">
        <v>1371</v>
      </c>
      <c r="G508" s="3" t="s">
        <v>61</v>
      </c>
      <c r="I508" s="3" t="s">
        <v>61</v>
      </c>
      <c r="J508" s="3" t="s">
        <v>62</v>
      </c>
      <c r="K508" s="3" t="s">
        <v>63</v>
      </c>
      <c r="L508" s="2" t="s">
        <v>5157</v>
      </c>
      <c r="M508" s="2" t="s">
        <v>5158</v>
      </c>
      <c r="N508" s="3" t="s">
        <v>2924</v>
      </c>
      <c r="P508" s="3" t="s">
        <v>64</v>
      </c>
      <c r="R508" s="3" t="s">
        <v>65</v>
      </c>
      <c r="S508" s="4">
        <v>0</v>
      </c>
      <c r="T508" s="4">
        <v>40</v>
      </c>
      <c r="V508" s="5" t="s">
        <v>5160</v>
      </c>
      <c r="W508" s="5" t="s">
        <v>67</v>
      </c>
      <c r="X508" s="5" t="s">
        <v>67</v>
      </c>
      <c r="Y508" s="4">
        <v>433</v>
      </c>
      <c r="Z508" s="4">
        <v>22</v>
      </c>
      <c r="AA508" s="4">
        <v>22</v>
      </c>
      <c r="AB508" s="4">
        <v>2</v>
      </c>
      <c r="AC508" s="4">
        <v>2</v>
      </c>
      <c r="AD508" s="4">
        <v>112</v>
      </c>
      <c r="AE508" s="4">
        <v>112</v>
      </c>
      <c r="AF508" s="4">
        <v>0</v>
      </c>
      <c r="AG508" s="4">
        <v>0</v>
      </c>
      <c r="AH508" s="4">
        <v>99</v>
      </c>
      <c r="AI508" s="4">
        <v>99</v>
      </c>
      <c r="AJ508" s="4">
        <v>16</v>
      </c>
      <c r="AK508" s="4">
        <v>16</v>
      </c>
      <c r="AL508" s="4">
        <v>56</v>
      </c>
      <c r="AM508" s="4">
        <v>56</v>
      </c>
      <c r="AN508" s="4">
        <v>0</v>
      </c>
      <c r="AO508" s="4">
        <v>0</v>
      </c>
      <c r="AP508" s="4">
        <v>15</v>
      </c>
      <c r="AQ508" s="4">
        <v>15</v>
      </c>
      <c r="AR508" s="3" t="s">
        <v>62</v>
      </c>
      <c r="AS508" s="3" t="s">
        <v>62</v>
      </c>
      <c r="AT508" s="3" t="s">
        <v>61</v>
      </c>
      <c r="AU508" s="6" t="str">
        <f t="shared" si="17"/>
        <v>HathiTrust Record</v>
      </c>
      <c r="AV508" s="6" t="str">
        <f t="shared" si="18"/>
        <v>Catalog Record</v>
      </c>
      <c r="AW508" s="6" t="str">
        <f t="shared" si="19"/>
        <v>WorldCat Record</v>
      </c>
      <c r="AX508" s="3" t="s">
        <v>5161</v>
      </c>
      <c r="AY508" s="3" t="s">
        <v>5162</v>
      </c>
      <c r="AZ508" s="3" t="s">
        <v>5163</v>
      </c>
      <c r="BA508" s="3" t="s">
        <v>5163</v>
      </c>
      <c r="BB508" s="3" t="s">
        <v>5208</v>
      </c>
      <c r="BC508" s="3" t="s">
        <v>102</v>
      </c>
      <c r="BD508" s="3" t="s">
        <v>68</v>
      </c>
      <c r="BE508" s="3" t="s">
        <v>5165</v>
      </c>
      <c r="BF508" s="3" t="s">
        <v>5208</v>
      </c>
      <c r="BG508" s="3" t="s">
        <v>5209</v>
      </c>
    </row>
    <row r="509" spans="1:59" ht="58" x14ac:dyDescent="0.35">
      <c r="A509" s="2" t="s">
        <v>89</v>
      </c>
      <c r="B509" s="2" t="s">
        <v>90</v>
      </c>
      <c r="C509" s="2" t="s">
        <v>5210</v>
      </c>
      <c r="D509" s="2" t="s">
        <v>5211</v>
      </c>
      <c r="E509" s="2" t="s">
        <v>5212</v>
      </c>
      <c r="G509" s="3" t="s">
        <v>62</v>
      </c>
      <c r="I509" s="3" t="s">
        <v>62</v>
      </c>
      <c r="J509" s="3" t="s">
        <v>62</v>
      </c>
      <c r="K509" s="3" t="s">
        <v>63</v>
      </c>
      <c r="L509" s="2" t="s">
        <v>5213</v>
      </c>
      <c r="M509" s="2" t="s">
        <v>5214</v>
      </c>
      <c r="N509" s="3" t="s">
        <v>466</v>
      </c>
      <c r="P509" s="3" t="s">
        <v>64</v>
      </c>
      <c r="Q509" s="2" t="s">
        <v>5215</v>
      </c>
      <c r="R509" s="3" t="s">
        <v>65</v>
      </c>
      <c r="S509" s="4">
        <v>3</v>
      </c>
      <c r="T509" s="4">
        <v>3</v>
      </c>
      <c r="U509" s="5" t="s">
        <v>5216</v>
      </c>
      <c r="V509" s="5" t="s">
        <v>5216</v>
      </c>
      <c r="W509" s="5" t="s">
        <v>67</v>
      </c>
      <c r="X509" s="5" t="s">
        <v>67</v>
      </c>
      <c r="Y509" s="4">
        <v>338</v>
      </c>
      <c r="Z509" s="4">
        <v>25</v>
      </c>
      <c r="AA509" s="4">
        <v>26</v>
      </c>
      <c r="AB509" s="4">
        <v>1</v>
      </c>
      <c r="AC509" s="4">
        <v>2</v>
      </c>
      <c r="AD509" s="4">
        <v>111</v>
      </c>
      <c r="AE509" s="4">
        <v>111</v>
      </c>
      <c r="AF509" s="4">
        <v>0</v>
      </c>
      <c r="AG509" s="4">
        <v>0</v>
      </c>
      <c r="AH509" s="4">
        <v>101</v>
      </c>
      <c r="AI509" s="4">
        <v>101</v>
      </c>
      <c r="AJ509" s="4">
        <v>15</v>
      </c>
      <c r="AK509" s="4">
        <v>15</v>
      </c>
      <c r="AL509" s="4">
        <v>56</v>
      </c>
      <c r="AM509" s="4">
        <v>56</v>
      </c>
      <c r="AN509" s="4">
        <v>0</v>
      </c>
      <c r="AO509" s="4">
        <v>0</v>
      </c>
      <c r="AP509" s="4">
        <v>20</v>
      </c>
      <c r="AQ509" s="4">
        <v>20</v>
      </c>
      <c r="AR509" s="3" t="s">
        <v>62</v>
      </c>
      <c r="AS509" s="3" t="s">
        <v>62</v>
      </c>
      <c r="AT509" s="3" t="s">
        <v>62</v>
      </c>
      <c r="AV509" s="6" t="str">
        <f>HYPERLINK("http://mcgill.on.worldcat.org/oclc/24543902","Catalog Record")</f>
        <v>Catalog Record</v>
      </c>
      <c r="AW509" s="6" t="str">
        <f>HYPERLINK("http://www.worldcat.org/oclc/24543902","WorldCat Record")</f>
        <v>WorldCat Record</v>
      </c>
      <c r="AX509" s="3" t="s">
        <v>5217</v>
      </c>
      <c r="AY509" s="3" t="s">
        <v>5218</v>
      </c>
      <c r="AZ509" s="3" t="s">
        <v>5219</v>
      </c>
      <c r="BA509" s="3" t="s">
        <v>5219</v>
      </c>
      <c r="BB509" s="3" t="s">
        <v>5220</v>
      </c>
      <c r="BC509" s="3" t="s">
        <v>102</v>
      </c>
      <c r="BD509" s="3" t="s">
        <v>68</v>
      </c>
      <c r="BE509" s="3" t="s">
        <v>5221</v>
      </c>
      <c r="BF509" s="3" t="s">
        <v>5220</v>
      </c>
      <c r="BG509" s="3" t="s">
        <v>5222</v>
      </c>
    </row>
    <row r="510" spans="1:59" ht="58" x14ac:dyDescent="0.35">
      <c r="A510" s="2" t="s">
        <v>89</v>
      </c>
      <c r="B510" s="2" t="s">
        <v>90</v>
      </c>
      <c r="C510" s="2" t="s">
        <v>5223</v>
      </c>
      <c r="D510" s="2" t="s">
        <v>5224</v>
      </c>
      <c r="E510" s="2" t="s">
        <v>5225</v>
      </c>
      <c r="G510" s="3" t="s">
        <v>62</v>
      </c>
      <c r="I510" s="3" t="s">
        <v>62</v>
      </c>
      <c r="J510" s="3" t="s">
        <v>62</v>
      </c>
      <c r="K510" s="3" t="s">
        <v>63</v>
      </c>
      <c r="L510" s="2" t="s">
        <v>5226</v>
      </c>
      <c r="M510" s="2" t="s">
        <v>5227</v>
      </c>
      <c r="N510" s="3" t="s">
        <v>726</v>
      </c>
      <c r="P510" s="3" t="s">
        <v>64</v>
      </c>
      <c r="R510" s="3" t="s">
        <v>65</v>
      </c>
      <c r="S510" s="4">
        <v>0</v>
      </c>
      <c r="T510" s="4">
        <v>0</v>
      </c>
      <c r="W510" s="5" t="s">
        <v>67</v>
      </c>
      <c r="X510" s="5" t="s">
        <v>67</v>
      </c>
      <c r="Y510" s="4">
        <v>9</v>
      </c>
      <c r="Z510" s="4">
        <v>1</v>
      </c>
      <c r="AA510" s="4">
        <v>1</v>
      </c>
      <c r="AB510" s="4">
        <v>1</v>
      </c>
      <c r="AC510" s="4">
        <v>1</v>
      </c>
      <c r="AD510" s="4">
        <v>4</v>
      </c>
      <c r="AE510" s="4">
        <v>4</v>
      </c>
      <c r="AF510" s="4">
        <v>0</v>
      </c>
      <c r="AG510" s="4">
        <v>0</v>
      </c>
      <c r="AH510" s="4">
        <v>4</v>
      </c>
      <c r="AI510" s="4">
        <v>4</v>
      </c>
      <c r="AJ510" s="4">
        <v>0</v>
      </c>
      <c r="AK510" s="4">
        <v>0</v>
      </c>
      <c r="AL510" s="4">
        <v>2</v>
      </c>
      <c r="AM510" s="4">
        <v>2</v>
      </c>
      <c r="AN510" s="4">
        <v>0</v>
      </c>
      <c r="AO510" s="4">
        <v>0</v>
      </c>
      <c r="AP510" s="4">
        <v>0</v>
      </c>
      <c r="AQ510" s="4">
        <v>0</v>
      </c>
      <c r="AR510" s="3" t="s">
        <v>62</v>
      </c>
      <c r="AS510" s="3" t="s">
        <v>62</v>
      </c>
      <c r="AT510" s="3" t="s">
        <v>62</v>
      </c>
      <c r="AV510" s="6" t="str">
        <f>HYPERLINK("http://mcgill.on.worldcat.org/oclc/1007851524","Catalog Record")</f>
        <v>Catalog Record</v>
      </c>
      <c r="AW510" s="6" t="str">
        <f>HYPERLINK("http://www.worldcat.org/oclc/1007851524","WorldCat Record")</f>
        <v>WorldCat Record</v>
      </c>
      <c r="AX510" s="3" t="s">
        <v>5228</v>
      </c>
      <c r="AY510" s="3" t="s">
        <v>5229</v>
      </c>
      <c r="AZ510" s="3" t="s">
        <v>5230</v>
      </c>
      <c r="BA510" s="3" t="s">
        <v>5230</v>
      </c>
      <c r="BB510" s="3" t="s">
        <v>5231</v>
      </c>
      <c r="BC510" s="3" t="s">
        <v>102</v>
      </c>
      <c r="BD510" s="3" t="s">
        <v>68</v>
      </c>
      <c r="BE510" s="3" t="s">
        <v>5232</v>
      </c>
      <c r="BF510" s="3" t="s">
        <v>5231</v>
      </c>
      <c r="BG510" s="3" t="s">
        <v>5233</v>
      </c>
    </row>
    <row r="511" spans="1:59" ht="58" x14ac:dyDescent="0.35">
      <c r="A511" s="2" t="s">
        <v>89</v>
      </c>
      <c r="B511" s="2" t="s">
        <v>90</v>
      </c>
      <c r="C511" s="2" t="s">
        <v>5234</v>
      </c>
      <c r="D511" s="2" t="s">
        <v>5235</v>
      </c>
      <c r="E511" s="2" t="s">
        <v>5236</v>
      </c>
      <c r="G511" s="3" t="s">
        <v>62</v>
      </c>
      <c r="I511" s="3" t="s">
        <v>62</v>
      </c>
      <c r="J511" s="3" t="s">
        <v>62</v>
      </c>
      <c r="K511" s="3" t="s">
        <v>63</v>
      </c>
      <c r="L511" s="2" t="s">
        <v>5237</v>
      </c>
      <c r="M511" s="2" t="s">
        <v>5238</v>
      </c>
      <c r="N511" s="3" t="s">
        <v>726</v>
      </c>
      <c r="O511" s="2" t="s">
        <v>5239</v>
      </c>
      <c r="P511" s="3" t="s">
        <v>64</v>
      </c>
      <c r="R511" s="3" t="s">
        <v>65</v>
      </c>
      <c r="S511" s="4">
        <v>0</v>
      </c>
      <c r="T511" s="4">
        <v>0</v>
      </c>
      <c r="W511" s="5" t="s">
        <v>67</v>
      </c>
      <c r="X511" s="5" t="s">
        <v>67</v>
      </c>
      <c r="Y511" s="4">
        <v>51</v>
      </c>
      <c r="Z511" s="4">
        <v>4</v>
      </c>
      <c r="AA511" s="4">
        <v>12</v>
      </c>
      <c r="AB511" s="4">
        <v>1</v>
      </c>
      <c r="AC511" s="4">
        <v>2</v>
      </c>
      <c r="AD511" s="4">
        <v>26</v>
      </c>
      <c r="AE511" s="4">
        <v>39</v>
      </c>
      <c r="AF511" s="4">
        <v>0</v>
      </c>
      <c r="AG511" s="4">
        <v>0</v>
      </c>
      <c r="AH511" s="4">
        <v>25</v>
      </c>
      <c r="AI511" s="4">
        <v>33</v>
      </c>
      <c r="AJ511" s="4">
        <v>2</v>
      </c>
      <c r="AK511" s="4">
        <v>7</v>
      </c>
      <c r="AL511" s="4">
        <v>20</v>
      </c>
      <c r="AM511" s="4">
        <v>24</v>
      </c>
      <c r="AN511" s="4">
        <v>0</v>
      </c>
      <c r="AO511" s="4">
        <v>0</v>
      </c>
      <c r="AP511" s="4">
        <v>2</v>
      </c>
      <c r="AQ511" s="4">
        <v>9</v>
      </c>
      <c r="AR511" s="3" t="s">
        <v>62</v>
      </c>
      <c r="AS511" s="3" t="s">
        <v>62</v>
      </c>
      <c r="AT511" s="3" t="s">
        <v>62</v>
      </c>
      <c r="AV511" s="6" t="str">
        <f>HYPERLINK("http://mcgill.on.worldcat.org/oclc/966908405","Catalog Record")</f>
        <v>Catalog Record</v>
      </c>
      <c r="AW511" s="6" t="str">
        <f>HYPERLINK("http://www.worldcat.org/oclc/966908405","WorldCat Record")</f>
        <v>WorldCat Record</v>
      </c>
      <c r="AX511" s="3" t="s">
        <v>5240</v>
      </c>
      <c r="AY511" s="3" t="s">
        <v>5241</v>
      </c>
      <c r="AZ511" s="3" t="s">
        <v>5242</v>
      </c>
      <c r="BA511" s="3" t="s">
        <v>5242</v>
      </c>
      <c r="BB511" s="3" t="s">
        <v>5243</v>
      </c>
      <c r="BC511" s="3" t="s">
        <v>102</v>
      </c>
      <c r="BD511" s="3" t="s">
        <v>68</v>
      </c>
      <c r="BE511" s="3" t="s">
        <v>5244</v>
      </c>
      <c r="BF511" s="3" t="s">
        <v>5243</v>
      </c>
      <c r="BG511" s="3" t="s">
        <v>5245</v>
      </c>
    </row>
    <row r="512" spans="1:59" ht="58" x14ac:dyDescent="0.35">
      <c r="A512" s="2" t="s">
        <v>89</v>
      </c>
      <c r="B512" s="2" t="s">
        <v>90</v>
      </c>
      <c r="C512" s="2" t="s">
        <v>5246</v>
      </c>
      <c r="D512" s="2" t="s">
        <v>5247</v>
      </c>
      <c r="E512" s="2" t="s">
        <v>5248</v>
      </c>
      <c r="G512" s="3" t="s">
        <v>62</v>
      </c>
      <c r="I512" s="3" t="s">
        <v>62</v>
      </c>
      <c r="J512" s="3" t="s">
        <v>62</v>
      </c>
      <c r="K512" s="3" t="s">
        <v>63</v>
      </c>
      <c r="L512" s="2" t="s">
        <v>5249</v>
      </c>
      <c r="M512" s="2" t="s">
        <v>5250</v>
      </c>
      <c r="N512" s="3" t="s">
        <v>5251</v>
      </c>
      <c r="P512" s="3" t="s">
        <v>64</v>
      </c>
      <c r="R512" s="3" t="s">
        <v>65</v>
      </c>
      <c r="S512" s="4">
        <v>6</v>
      </c>
      <c r="T512" s="4">
        <v>6</v>
      </c>
      <c r="U512" s="5" t="s">
        <v>5252</v>
      </c>
      <c r="V512" s="5" t="s">
        <v>5252</v>
      </c>
      <c r="W512" s="5" t="s">
        <v>67</v>
      </c>
      <c r="X512" s="5" t="s">
        <v>67</v>
      </c>
      <c r="Y512" s="4">
        <v>86</v>
      </c>
      <c r="Z512" s="4">
        <v>3</v>
      </c>
      <c r="AA512" s="4">
        <v>5</v>
      </c>
      <c r="AB512" s="4">
        <v>1</v>
      </c>
      <c r="AC512" s="4">
        <v>1</v>
      </c>
      <c r="AD512" s="4">
        <v>32</v>
      </c>
      <c r="AE512" s="4">
        <v>35</v>
      </c>
      <c r="AF512" s="4">
        <v>0</v>
      </c>
      <c r="AG512" s="4">
        <v>0</v>
      </c>
      <c r="AH512" s="4">
        <v>31</v>
      </c>
      <c r="AI512" s="4">
        <v>32</v>
      </c>
      <c r="AJ512" s="4">
        <v>2</v>
      </c>
      <c r="AK512" s="4">
        <v>3</v>
      </c>
      <c r="AL512" s="4">
        <v>23</v>
      </c>
      <c r="AM512" s="4">
        <v>23</v>
      </c>
      <c r="AN512" s="4">
        <v>0</v>
      </c>
      <c r="AO512" s="4">
        <v>0</v>
      </c>
      <c r="AP512" s="4">
        <v>2</v>
      </c>
      <c r="AQ512" s="4">
        <v>4</v>
      </c>
      <c r="AR512" s="3" t="s">
        <v>62</v>
      </c>
      <c r="AS512" s="3" t="s">
        <v>62</v>
      </c>
      <c r="AT512" s="3" t="s">
        <v>62</v>
      </c>
      <c r="AU512" s="6" t="str">
        <f>HYPERLINK("http://catalog.hathitrust.org/Record/001473953","HathiTrust Record")</f>
        <v>HathiTrust Record</v>
      </c>
      <c r="AV512" s="6" t="str">
        <f>HYPERLINK("http://mcgill.on.worldcat.org/oclc/1661969","Catalog Record")</f>
        <v>Catalog Record</v>
      </c>
      <c r="AW512" s="6" t="str">
        <f>HYPERLINK("http://www.worldcat.org/oclc/1661969","WorldCat Record")</f>
        <v>WorldCat Record</v>
      </c>
      <c r="AX512" s="3" t="s">
        <v>5253</v>
      </c>
      <c r="AY512" s="3" t="s">
        <v>5254</v>
      </c>
      <c r="AZ512" s="3" t="s">
        <v>5255</v>
      </c>
      <c r="BA512" s="3" t="s">
        <v>5255</v>
      </c>
      <c r="BB512" s="3" t="s">
        <v>5256</v>
      </c>
      <c r="BC512" s="3" t="s">
        <v>102</v>
      </c>
      <c r="BD512" s="3" t="s">
        <v>68</v>
      </c>
      <c r="BF512" s="3" t="s">
        <v>5256</v>
      </c>
      <c r="BG512" s="3" t="s">
        <v>5257</v>
      </c>
    </row>
    <row r="513" spans="1:59" ht="116" x14ac:dyDescent="0.35">
      <c r="A513" s="2" t="s">
        <v>89</v>
      </c>
      <c r="B513" s="2" t="s">
        <v>3312</v>
      </c>
      <c r="C513" s="2" t="s">
        <v>5258</v>
      </c>
      <c r="D513" s="2" t="s">
        <v>5259</v>
      </c>
      <c r="E513" s="2" t="s">
        <v>5260</v>
      </c>
      <c r="G513" s="3" t="s">
        <v>62</v>
      </c>
      <c r="I513" s="3" t="s">
        <v>62</v>
      </c>
      <c r="J513" s="3" t="s">
        <v>62</v>
      </c>
      <c r="K513" s="3" t="s">
        <v>63</v>
      </c>
      <c r="L513" s="2" t="s">
        <v>5261</v>
      </c>
      <c r="M513" s="2" t="s">
        <v>5262</v>
      </c>
      <c r="N513" s="3" t="s">
        <v>684</v>
      </c>
      <c r="O513" s="2" t="s">
        <v>1674</v>
      </c>
      <c r="P513" s="3" t="s">
        <v>1675</v>
      </c>
      <c r="Q513" s="2" t="s">
        <v>5263</v>
      </c>
      <c r="R513" s="3" t="s">
        <v>65</v>
      </c>
      <c r="S513" s="4">
        <v>0</v>
      </c>
      <c r="T513" s="4">
        <v>0</v>
      </c>
      <c r="W513" s="5" t="s">
        <v>67</v>
      </c>
      <c r="X513" s="5" t="s">
        <v>67</v>
      </c>
      <c r="Y513" s="4">
        <v>17</v>
      </c>
      <c r="Z513" s="4">
        <v>1</v>
      </c>
      <c r="AA513" s="4">
        <v>3</v>
      </c>
      <c r="AB513" s="4">
        <v>1</v>
      </c>
      <c r="AC513" s="4">
        <v>1</v>
      </c>
      <c r="AD513" s="4">
        <v>10</v>
      </c>
      <c r="AE513" s="4">
        <v>11</v>
      </c>
      <c r="AF513" s="4">
        <v>0</v>
      </c>
      <c r="AG513" s="4">
        <v>0</v>
      </c>
      <c r="AH513" s="4">
        <v>10</v>
      </c>
      <c r="AI513" s="4">
        <v>11</v>
      </c>
      <c r="AJ513" s="4">
        <v>0</v>
      </c>
      <c r="AK513" s="4">
        <v>1</v>
      </c>
      <c r="AL513" s="4">
        <v>8</v>
      </c>
      <c r="AM513" s="4">
        <v>9</v>
      </c>
      <c r="AN513" s="4">
        <v>0</v>
      </c>
      <c r="AO513" s="4">
        <v>0</v>
      </c>
      <c r="AP513" s="4">
        <v>0</v>
      </c>
      <c r="AQ513" s="4">
        <v>1</v>
      </c>
      <c r="AR513" s="3" t="s">
        <v>62</v>
      </c>
      <c r="AS513" s="3" t="s">
        <v>62</v>
      </c>
      <c r="AT513" s="3" t="s">
        <v>62</v>
      </c>
      <c r="AV513" s="6" t="str">
        <f>HYPERLINK("http://mcgill.on.worldcat.org/oclc/768570055","Catalog Record")</f>
        <v>Catalog Record</v>
      </c>
      <c r="AW513" s="6" t="str">
        <f>HYPERLINK("http://www.worldcat.org/oclc/768570055","WorldCat Record")</f>
        <v>WorldCat Record</v>
      </c>
      <c r="AX513" s="3" t="s">
        <v>5264</v>
      </c>
      <c r="AY513" s="3" t="s">
        <v>5265</v>
      </c>
      <c r="AZ513" s="3" t="s">
        <v>5266</v>
      </c>
      <c r="BA513" s="3" t="s">
        <v>5266</v>
      </c>
      <c r="BB513" s="3" t="s">
        <v>5267</v>
      </c>
      <c r="BC513" s="3" t="s">
        <v>102</v>
      </c>
      <c r="BD513" s="3" t="s">
        <v>68</v>
      </c>
      <c r="BE513" s="3" t="s">
        <v>5268</v>
      </c>
      <c r="BF513" s="3" t="s">
        <v>5267</v>
      </c>
      <c r="BG513" s="3" t="s">
        <v>5269</v>
      </c>
    </row>
    <row r="514" spans="1:59" ht="58" x14ac:dyDescent="0.35">
      <c r="A514" s="2" t="s">
        <v>89</v>
      </c>
      <c r="B514" s="2" t="s">
        <v>90</v>
      </c>
      <c r="C514" s="2" t="s">
        <v>5270</v>
      </c>
      <c r="D514" s="2" t="s">
        <v>5271</v>
      </c>
      <c r="E514" s="2" t="s">
        <v>5272</v>
      </c>
      <c r="G514" s="3" t="s">
        <v>62</v>
      </c>
      <c r="I514" s="3" t="s">
        <v>62</v>
      </c>
      <c r="J514" s="3" t="s">
        <v>62</v>
      </c>
      <c r="K514" s="3" t="s">
        <v>63</v>
      </c>
      <c r="L514" s="2" t="s">
        <v>5273</v>
      </c>
      <c r="M514" s="2" t="s">
        <v>5274</v>
      </c>
      <c r="N514" s="3" t="s">
        <v>2975</v>
      </c>
      <c r="P514" s="3" t="s">
        <v>64</v>
      </c>
      <c r="Q514" s="2" t="s">
        <v>5275</v>
      </c>
      <c r="R514" s="3" t="s">
        <v>65</v>
      </c>
      <c r="S514" s="4">
        <v>3</v>
      </c>
      <c r="T514" s="4">
        <v>3</v>
      </c>
      <c r="U514" s="5" t="s">
        <v>5276</v>
      </c>
      <c r="V514" s="5" t="s">
        <v>5276</v>
      </c>
      <c r="W514" s="5" t="s">
        <v>67</v>
      </c>
      <c r="X514" s="5" t="s">
        <v>67</v>
      </c>
      <c r="Y514" s="4">
        <v>508</v>
      </c>
      <c r="Z514" s="4">
        <v>26</v>
      </c>
      <c r="AA514" s="4">
        <v>114</v>
      </c>
      <c r="AB514" s="4">
        <v>3</v>
      </c>
      <c r="AC514" s="4">
        <v>19</v>
      </c>
      <c r="AD514" s="4">
        <v>111</v>
      </c>
      <c r="AE514" s="4">
        <v>150</v>
      </c>
      <c r="AF514" s="4">
        <v>1</v>
      </c>
      <c r="AG514" s="4">
        <v>8</v>
      </c>
      <c r="AH514" s="4">
        <v>94</v>
      </c>
      <c r="AI514" s="4">
        <v>107</v>
      </c>
      <c r="AJ514" s="4">
        <v>14</v>
      </c>
      <c r="AK514" s="4">
        <v>24</v>
      </c>
      <c r="AL514" s="4">
        <v>52</v>
      </c>
      <c r="AM514" s="4">
        <v>57</v>
      </c>
      <c r="AN514" s="4">
        <v>0</v>
      </c>
      <c r="AO514" s="4">
        <v>0</v>
      </c>
      <c r="AP514" s="4">
        <v>20</v>
      </c>
      <c r="AQ514" s="4">
        <v>47</v>
      </c>
      <c r="AR514" s="3" t="s">
        <v>62</v>
      </c>
      <c r="AS514" s="3" t="s">
        <v>62</v>
      </c>
      <c r="AT514" s="3" t="s">
        <v>62</v>
      </c>
      <c r="AV514" s="6" t="str">
        <f>HYPERLINK("http://mcgill.on.worldcat.org/oclc/45087243","Catalog Record")</f>
        <v>Catalog Record</v>
      </c>
      <c r="AW514" s="6" t="str">
        <f>HYPERLINK("http://www.worldcat.org/oclc/45087243","WorldCat Record")</f>
        <v>WorldCat Record</v>
      </c>
      <c r="AX514" s="3" t="s">
        <v>5277</v>
      </c>
      <c r="AY514" s="3" t="s">
        <v>5278</v>
      </c>
      <c r="AZ514" s="3" t="s">
        <v>5279</v>
      </c>
      <c r="BA514" s="3" t="s">
        <v>5279</v>
      </c>
      <c r="BB514" s="3" t="s">
        <v>5280</v>
      </c>
      <c r="BC514" s="3" t="s">
        <v>102</v>
      </c>
      <c r="BD514" s="3" t="s">
        <v>68</v>
      </c>
      <c r="BE514" s="3" t="s">
        <v>5281</v>
      </c>
      <c r="BF514" s="3" t="s">
        <v>5280</v>
      </c>
      <c r="BG514" s="3" t="s">
        <v>5282</v>
      </c>
    </row>
    <row r="515" spans="1:59" ht="58" x14ac:dyDescent="0.35">
      <c r="A515" s="2" t="s">
        <v>89</v>
      </c>
      <c r="B515" s="2" t="s">
        <v>90</v>
      </c>
      <c r="C515" s="2" t="s">
        <v>5283</v>
      </c>
      <c r="D515" s="2" t="s">
        <v>5284</v>
      </c>
      <c r="E515" s="2" t="s">
        <v>5285</v>
      </c>
      <c r="G515" s="3" t="s">
        <v>62</v>
      </c>
      <c r="I515" s="3" t="s">
        <v>62</v>
      </c>
      <c r="J515" s="3" t="s">
        <v>62</v>
      </c>
      <c r="K515" s="3" t="s">
        <v>63</v>
      </c>
      <c r="M515" s="2" t="s">
        <v>5286</v>
      </c>
      <c r="N515" s="3" t="s">
        <v>466</v>
      </c>
      <c r="P515" s="3" t="s">
        <v>64</v>
      </c>
      <c r="Q515" s="2" t="s">
        <v>5287</v>
      </c>
      <c r="R515" s="3" t="s">
        <v>65</v>
      </c>
      <c r="S515" s="4">
        <v>13</v>
      </c>
      <c r="T515" s="4">
        <v>13</v>
      </c>
      <c r="U515" s="5" t="s">
        <v>3030</v>
      </c>
      <c r="V515" s="5" t="s">
        <v>3030</v>
      </c>
      <c r="W515" s="5" t="s">
        <v>67</v>
      </c>
      <c r="X515" s="5" t="s">
        <v>67</v>
      </c>
      <c r="Y515" s="4">
        <v>224</v>
      </c>
      <c r="Z515" s="4">
        <v>17</v>
      </c>
      <c r="AA515" s="4">
        <v>19</v>
      </c>
      <c r="AB515" s="4">
        <v>1</v>
      </c>
      <c r="AC515" s="4">
        <v>3</v>
      </c>
      <c r="AD515" s="4">
        <v>86</v>
      </c>
      <c r="AE515" s="4">
        <v>89</v>
      </c>
      <c r="AF515" s="4">
        <v>0</v>
      </c>
      <c r="AG515" s="4">
        <v>2</v>
      </c>
      <c r="AH515" s="4">
        <v>77</v>
      </c>
      <c r="AI515" s="4">
        <v>78</v>
      </c>
      <c r="AJ515" s="4">
        <v>13</v>
      </c>
      <c r="AK515" s="4">
        <v>15</v>
      </c>
      <c r="AL515" s="4">
        <v>48</v>
      </c>
      <c r="AM515" s="4">
        <v>49</v>
      </c>
      <c r="AN515" s="4">
        <v>0</v>
      </c>
      <c r="AO515" s="4">
        <v>0</v>
      </c>
      <c r="AP515" s="4">
        <v>15</v>
      </c>
      <c r="AQ515" s="4">
        <v>16</v>
      </c>
      <c r="AR515" s="3" t="s">
        <v>62</v>
      </c>
      <c r="AS515" s="3" t="s">
        <v>62</v>
      </c>
      <c r="AT515" s="3" t="s">
        <v>62</v>
      </c>
      <c r="AV515" s="6" t="str">
        <f>HYPERLINK("http://mcgill.on.worldcat.org/oclc/24142054","Catalog Record")</f>
        <v>Catalog Record</v>
      </c>
      <c r="AW515" s="6" t="str">
        <f>HYPERLINK("http://www.worldcat.org/oclc/24142054","WorldCat Record")</f>
        <v>WorldCat Record</v>
      </c>
      <c r="AX515" s="3" t="s">
        <v>5288</v>
      </c>
      <c r="AY515" s="3" t="s">
        <v>5289</v>
      </c>
      <c r="AZ515" s="3" t="s">
        <v>5290</v>
      </c>
      <c r="BA515" s="3" t="s">
        <v>5290</v>
      </c>
      <c r="BB515" s="3" t="s">
        <v>5291</v>
      </c>
      <c r="BC515" s="3" t="s">
        <v>102</v>
      </c>
      <c r="BD515" s="3" t="s">
        <v>68</v>
      </c>
      <c r="BE515" s="3" t="s">
        <v>5292</v>
      </c>
      <c r="BF515" s="3" t="s">
        <v>5291</v>
      </c>
      <c r="BG515" s="3" t="s">
        <v>5293</v>
      </c>
    </row>
    <row r="516" spans="1:59" ht="72.5" x14ac:dyDescent="0.35">
      <c r="A516" s="2" t="s">
        <v>89</v>
      </c>
      <c r="B516" s="2" t="s">
        <v>1231</v>
      </c>
      <c r="C516" s="2" t="s">
        <v>5294</v>
      </c>
      <c r="D516" s="2" t="s">
        <v>5295</v>
      </c>
      <c r="E516" s="2" t="s">
        <v>5296</v>
      </c>
      <c r="G516" s="3" t="s">
        <v>62</v>
      </c>
      <c r="I516" s="3" t="s">
        <v>61</v>
      </c>
      <c r="J516" s="3" t="s">
        <v>62</v>
      </c>
      <c r="K516" s="3" t="s">
        <v>63</v>
      </c>
      <c r="L516" s="2" t="s">
        <v>5297</v>
      </c>
      <c r="M516" s="2" t="s">
        <v>5298</v>
      </c>
      <c r="N516" s="3" t="s">
        <v>893</v>
      </c>
      <c r="P516" s="3" t="s">
        <v>64</v>
      </c>
      <c r="R516" s="3" t="s">
        <v>65</v>
      </c>
      <c r="S516" s="4">
        <v>11</v>
      </c>
      <c r="T516" s="4">
        <v>14</v>
      </c>
      <c r="U516" s="5" t="s">
        <v>5299</v>
      </c>
      <c r="V516" s="5" t="s">
        <v>5299</v>
      </c>
      <c r="W516" s="5" t="s">
        <v>67</v>
      </c>
      <c r="X516" s="5" t="s">
        <v>67</v>
      </c>
      <c r="Y516" s="4">
        <v>440</v>
      </c>
      <c r="Z516" s="4">
        <v>25</v>
      </c>
      <c r="AA516" s="4">
        <v>30</v>
      </c>
      <c r="AB516" s="4">
        <v>2</v>
      </c>
      <c r="AC516" s="4">
        <v>6</v>
      </c>
      <c r="AD516" s="4">
        <v>115</v>
      </c>
      <c r="AE516" s="4">
        <v>118</v>
      </c>
      <c r="AF516" s="4">
        <v>0</v>
      </c>
      <c r="AG516" s="4">
        <v>2</v>
      </c>
      <c r="AH516" s="4">
        <v>103</v>
      </c>
      <c r="AI516" s="4">
        <v>104</v>
      </c>
      <c r="AJ516" s="4">
        <v>15</v>
      </c>
      <c r="AK516" s="4">
        <v>18</v>
      </c>
      <c r="AL516" s="4">
        <v>57</v>
      </c>
      <c r="AM516" s="4">
        <v>57</v>
      </c>
      <c r="AN516" s="4">
        <v>0</v>
      </c>
      <c r="AO516" s="4">
        <v>0</v>
      </c>
      <c r="AP516" s="4">
        <v>19</v>
      </c>
      <c r="AQ516" s="4">
        <v>21</v>
      </c>
      <c r="AR516" s="3" t="s">
        <v>62</v>
      </c>
      <c r="AS516" s="3" t="s">
        <v>62</v>
      </c>
      <c r="AT516" s="3" t="s">
        <v>61</v>
      </c>
      <c r="AU516" s="6" t="str">
        <f>HYPERLINK("http://catalog.hathitrust.org/Record/000766904","HathiTrust Record")</f>
        <v>HathiTrust Record</v>
      </c>
      <c r="AV516" s="6" t="str">
        <f>HYPERLINK("http://mcgill.on.worldcat.org/oclc/7998009","Catalog Record")</f>
        <v>Catalog Record</v>
      </c>
      <c r="AW516" s="6" t="str">
        <f>HYPERLINK("http://www.worldcat.org/oclc/7998009","WorldCat Record")</f>
        <v>WorldCat Record</v>
      </c>
      <c r="AX516" s="3" t="s">
        <v>5300</v>
      </c>
      <c r="AY516" s="3" t="s">
        <v>5301</v>
      </c>
      <c r="AZ516" s="3" t="s">
        <v>5302</v>
      </c>
      <c r="BA516" s="3" t="s">
        <v>5302</v>
      </c>
      <c r="BB516" s="3" t="s">
        <v>5303</v>
      </c>
      <c r="BC516" s="3" t="s">
        <v>102</v>
      </c>
      <c r="BD516" s="3" t="s">
        <v>231</v>
      </c>
      <c r="BE516" s="3" t="s">
        <v>5304</v>
      </c>
      <c r="BF516" s="3" t="s">
        <v>5303</v>
      </c>
      <c r="BG516" s="3" t="s">
        <v>5305</v>
      </c>
    </row>
    <row r="517" spans="1:59" ht="58" x14ac:dyDescent="0.35">
      <c r="A517" s="2" t="s">
        <v>89</v>
      </c>
      <c r="B517" s="2" t="s">
        <v>90</v>
      </c>
      <c r="C517" s="2" t="s">
        <v>5306</v>
      </c>
      <c r="D517" s="2" t="s">
        <v>5307</v>
      </c>
      <c r="E517" s="2" t="s">
        <v>5308</v>
      </c>
      <c r="G517" s="3" t="s">
        <v>62</v>
      </c>
      <c r="I517" s="3" t="s">
        <v>62</v>
      </c>
      <c r="J517" s="3" t="s">
        <v>62</v>
      </c>
      <c r="K517" s="3" t="s">
        <v>63</v>
      </c>
      <c r="L517" s="2" t="s">
        <v>5309</v>
      </c>
      <c r="M517" s="2" t="s">
        <v>2935</v>
      </c>
      <c r="N517" s="3" t="s">
        <v>355</v>
      </c>
      <c r="P517" s="3" t="s">
        <v>64</v>
      </c>
      <c r="R517" s="3" t="s">
        <v>65</v>
      </c>
      <c r="S517" s="4">
        <v>19</v>
      </c>
      <c r="T517" s="4">
        <v>19</v>
      </c>
      <c r="U517" s="5" t="s">
        <v>5310</v>
      </c>
      <c r="V517" s="5" t="s">
        <v>5310</v>
      </c>
      <c r="W517" s="5" t="s">
        <v>67</v>
      </c>
      <c r="X517" s="5" t="s">
        <v>67</v>
      </c>
      <c r="Y517" s="4">
        <v>199</v>
      </c>
      <c r="Z517" s="4">
        <v>13</v>
      </c>
      <c r="AA517" s="4">
        <v>17</v>
      </c>
      <c r="AB517" s="4">
        <v>1</v>
      </c>
      <c r="AC517" s="4">
        <v>5</v>
      </c>
      <c r="AD517" s="4">
        <v>50</v>
      </c>
      <c r="AE517" s="4">
        <v>53</v>
      </c>
      <c r="AF517" s="4">
        <v>0</v>
      </c>
      <c r="AG517" s="4">
        <v>3</v>
      </c>
      <c r="AH517" s="4">
        <v>46</v>
      </c>
      <c r="AI517" s="4">
        <v>47</v>
      </c>
      <c r="AJ517" s="4">
        <v>5</v>
      </c>
      <c r="AK517" s="4">
        <v>7</v>
      </c>
      <c r="AL517" s="4">
        <v>24</v>
      </c>
      <c r="AM517" s="4">
        <v>24</v>
      </c>
      <c r="AN517" s="4">
        <v>0</v>
      </c>
      <c r="AO517" s="4">
        <v>0</v>
      </c>
      <c r="AP517" s="4">
        <v>7</v>
      </c>
      <c r="AQ517" s="4">
        <v>9</v>
      </c>
      <c r="AR517" s="3" t="s">
        <v>62</v>
      </c>
      <c r="AS517" s="3" t="s">
        <v>62</v>
      </c>
      <c r="AT517" s="3" t="s">
        <v>62</v>
      </c>
      <c r="AV517" s="6" t="str">
        <f>HYPERLINK("http://mcgill.on.worldcat.org/oclc/10754103","Catalog Record")</f>
        <v>Catalog Record</v>
      </c>
      <c r="AW517" s="6" t="str">
        <f>HYPERLINK("http://www.worldcat.org/oclc/10754103","WorldCat Record")</f>
        <v>WorldCat Record</v>
      </c>
      <c r="AX517" s="3" t="s">
        <v>5311</v>
      </c>
      <c r="AY517" s="3" t="s">
        <v>5312</v>
      </c>
      <c r="AZ517" s="3" t="s">
        <v>5313</v>
      </c>
      <c r="BA517" s="3" t="s">
        <v>5313</v>
      </c>
      <c r="BB517" s="3" t="s">
        <v>5314</v>
      </c>
      <c r="BC517" s="3" t="s">
        <v>102</v>
      </c>
      <c r="BD517" s="3" t="s">
        <v>68</v>
      </c>
      <c r="BE517" s="3" t="s">
        <v>5315</v>
      </c>
      <c r="BF517" s="3" t="s">
        <v>5314</v>
      </c>
      <c r="BG517" s="3" t="s">
        <v>5316</v>
      </c>
    </row>
    <row r="518" spans="1:59" ht="58" x14ac:dyDescent="0.35">
      <c r="A518" s="2" t="s">
        <v>89</v>
      </c>
      <c r="B518" s="2" t="s">
        <v>90</v>
      </c>
      <c r="C518" s="2" t="s">
        <v>5317</v>
      </c>
      <c r="D518" s="2" t="s">
        <v>5318</v>
      </c>
      <c r="E518" s="2" t="s">
        <v>5319</v>
      </c>
      <c r="G518" s="3" t="s">
        <v>62</v>
      </c>
      <c r="I518" s="3" t="s">
        <v>61</v>
      </c>
      <c r="J518" s="3" t="s">
        <v>62</v>
      </c>
      <c r="K518" s="3" t="s">
        <v>63</v>
      </c>
      <c r="L518" s="2" t="s">
        <v>5320</v>
      </c>
      <c r="M518" s="2" t="s">
        <v>5321</v>
      </c>
      <c r="N518" s="3" t="s">
        <v>201</v>
      </c>
      <c r="P518" s="3" t="s">
        <v>64</v>
      </c>
      <c r="R518" s="3" t="s">
        <v>65</v>
      </c>
      <c r="S518" s="4">
        <v>20</v>
      </c>
      <c r="T518" s="4">
        <v>20</v>
      </c>
      <c r="U518" s="5" t="s">
        <v>5322</v>
      </c>
      <c r="V518" s="5" t="s">
        <v>5322</v>
      </c>
      <c r="W518" s="5" t="s">
        <v>67</v>
      </c>
      <c r="X518" s="5" t="s">
        <v>67</v>
      </c>
      <c r="Y518" s="4">
        <v>365</v>
      </c>
      <c r="Z518" s="4">
        <v>30</v>
      </c>
      <c r="AA518" s="4">
        <v>31</v>
      </c>
      <c r="AB518" s="4">
        <v>2</v>
      </c>
      <c r="AC518" s="4">
        <v>3</v>
      </c>
      <c r="AD518" s="4">
        <v>106</v>
      </c>
      <c r="AE518" s="4">
        <v>108</v>
      </c>
      <c r="AF518" s="4">
        <v>1</v>
      </c>
      <c r="AG518" s="4">
        <v>2</v>
      </c>
      <c r="AH518" s="4">
        <v>90</v>
      </c>
      <c r="AI518" s="4">
        <v>92</v>
      </c>
      <c r="AJ518" s="4">
        <v>19</v>
      </c>
      <c r="AK518" s="4">
        <v>20</v>
      </c>
      <c r="AL518" s="4">
        <v>49</v>
      </c>
      <c r="AM518" s="4">
        <v>49</v>
      </c>
      <c r="AN518" s="4">
        <v>0</v>
      </c>
      <c r="AO518" s="4">
        <v>0</v>
      </c>
      <c r="AP518" s="4">
        <v>25</v>
      </c>
      <c r="AQ518" s="4">
        <v>26</v>
      </c>
      <c r="AR518" s="3" t="s">
        <v>62</v>
      </c>
      <c r="AS518" s="3" t="s">
        <v>62</v>
      </c>
      <c r="AT518" s="3" t="s">
        <v>61</v>
      </c>
      <c r="AU518" s="6" t="str">
        <f>HYPERLINK("http://catalog.hathitrust.org/Record/009239501","HathiTrust Record")</f>
        <v>HathiTrust Record</v>
      </c>
      <c r="AV518" s="6" t="str">
        <f>HYPERLINK("http://mcgill.on.worldcat.org/oclc/2074379","Catalog Record")</f>
        <v>Catalog Record</v>
      </c>
      <c r="AW518" s="6" t="str">
        <f>HYPERLINK("http://www.worldcat.org/oclc/2074379","WorldCat Record")</f>
        <v>WorldCat Record</v>
      </c>
      <c r="AX518" s="3" t="s">
        <v>5323</v>
      </c>
      <c r="AY518" s="3" t="s">
        <v>5324</v>
      </c>
      <c r="AZ518" s="3" t="s">
        <v>5325</v>
      </c>
      <c r="BA518" s="3" t="s">
        <v>5325</v>
      </c>
      <c r="BB518" s="3" t="s">
        <v>5326</v>
      </c>
      <c r="BC518" s="3" t="s">
        <v>102</v>
      </c>
      <c r="BD518" s="3" t="s">
        <v>68</v>
      </c>
      <c r="BE518" s="3" t="s">
        <v>5327</v>
      </c>
      <c r="BF518" s="3" t="s">
        <v>5326</v>
      </c>
      <c r="BG518" s="3" t="s">
        <v>5328</v>
      </c>
    </row>
    <row r="519" spans="1:59" ht="58" x14ac:dyDescent="0.35">
      <c r="A519" s="2" t="s">
        <v>89</v>
      </c>
      <c r="B519" s="2" t="s">
        <v>90</v>
      </c>
      <c r="C519" s="2" t="s">
        <v>5329</v>
      </c>
      <c r="D519" s="2" t="s">
        <v>5330</v>
      </c>
      <c r="E519" s="2" t="s">
        <v>5331</v>
      </c>
      <c r="G519" s="3" t="s">
        <v>62</v>
      </c>
      <c r="I519" s="3" t="s">
        <v>61</v>
      </c>
      <c r="J519" s="3" t="s">
        <v>62</v>
      </c>
      <c r="K519" s="3" t="s">
        <v>63</v>
      </c>
      <c r="L519" s="2" t="s">
        <v>5332</v>
      </c>
      <c r="M519" s="2" t="s">
        <v>5333</v>
      </c>
      <c r="N519" s="3" t="s">
        <v>838</v>
      </c>
      <c r="O519" s="2" t="s">
        <v>2849</v>
      </c>
      <c r="P519" s="3" t="s">
        <v>64</v>
      </c>
      <c r="R519" s="3" t="s">
        <v>65</v>
      </c>
      <c r="S519" s="4">
        <v>8</v>
      </c>
      <c r="T519" s="4">
        <v>10</v>
      </c>
      <c r="U519" s="5" t="s">
        <v>5334</v>
      </c>
      <c r="V519" s="5" t="s">
        <v>5334</v>
      </c>
      <c r="W519" s="5" t="s">
        <v>67</v>
      </c>
      <c r="X519" s="5" t="s">
        <v>67</v>
      </c>
      <c r="Y519" s="4">
        <v>752</v>
      </c>
      <c r="Z519" s="4">
        <v>44</v>
      </c>
      <c r="AA519" s="4">
        <v>55</v>
      </c>
      <c r="AB519" s="4">
        <v>2</v>
      </c>
      <c r="AC519" s="4">
        <v>7</v>
      </c>
      <c r="AD519" s="4">
        <v>123</v>
      </c>
      <c r="AE519" s="4">
        <v>137</v>
      </c>
      <c r="AF519" s="4">
        <v>1</v>
      </c>
      <c r="AG519" s="4">
        <v>5</v>
      </c>
      <c r="AH519" s="4">
        <v>94</v>
      </c>
      <c r="AI519" s="4">
        <v>101</v>
      </c>
      <c r="AJ519" s="4">
        <v>22</v>
      </c>
      <c r="AK519" s="4">
        <v>28</v>
      </c>
      <c r="AL519" s="4">
        <v>52</v>
      </c>
      <c r="AM519" s="4">
        <v>54</v>
      </c>
      <c r="AN519" s="4">
        <v>0</v>
      </c>
      <c r="AO519" s="4">
        <v>0</v>
      </c>
      <c r="AP519" s="4">
        <v>35</v>
      </c>
      <c r="AQ519" s="4">
        <v>42</v>
      </c>
      <c r="AR519" s="3" t="s">
        <v>62</v>
      </c>
      <c r="AS519" s="3" t="s">
        <v>62</v>
      </c>
      <c r="AT519" s="3" t="s">
        <v>61</v>
      </c>
      <c r="AU519" s="6" t="str">
        <f>HYPERLINK("http://catalog.hathitrust.org/Record/001473977","HathiTrust Record")</f>
        <v>HathiTrust Record</v>
      </c>
      <c r="AV519" s="6" t="str">
        <f>HYPERLINK("http://mcgill.on.worldcat.org/oclc/1110045","Catalog Record")</f>
        <v>Catalog Record</v>
      </c>
      <c r="AW519" s="6" t="str">
        <f>HYPERLINK("http://www.worldcat.org/oclc/1110045","WorldCat Record")</f>
        <v>WorldCat Record</v>
      </c>
      <c r="AX519" s="3" t="s">
        <v>5335</v>
      </c>
      <c r="AY519" s="3" t="s">
        <v>5336</v>
      </c>
      <c r="AZ519" s="3" t="s">
        <v>5337</v>
      </c>
      <c r="BA519" s="3" t="s">
        <v>5337</v>
      </c>
      <c r="BB519" s="3" t="s">
        <v>5338</v>
      </c>
      <c r="BC519" s="3" t="s">
        <v>102</v>
      </c>
      <c r="BD519" s="3" t="s">
        <v>68</v>
      </c>
      <c r="BF519" s="3" t="s">
        <v>5338</v>
      </c>
      <c r="BG519" s="3" t="s">
        <v>5339</v>
      </c>
    </row>
    <row r="520" spans="1:59" ht="58" x14ac:dyDescent="0.35">
      <c r="A520" s="2" t="s">
        <v>89</v>
      </c>
      <c r="B520" s="2" t="s">
        <v>90</v>
      </c>
      <c r="C520" s="2" t="s">
        <v>5340</v>
      </c>
      <c r="D520" s="2" t="s">
        <v>5341</v>
      </c>
      <c r="E520" s="2" t="s">
        <v>5342</v>
      </c>
      <c r="G520" s="3" t="s">
        <v>62</v>
      </c>
      <c r="I520" s="3" t="s">
        <v>62</v>
      </c>
      <c r="J520" s="3" t="s">
        <v>62</v>
      </c>
      <c r="K520" s="3" t="s">
        <v>63</v>
      </c>
      <c r="L520" s="2" t="s">
        <v>5343</v>
      </c>
      <c r="M520" s="2" t="s">
        <v>5344</v>
      </c>
      <c r="N520" s="3" t="s">
        <v>640</v>
      </c>
      <c r="P520" s="3" t="s">
        <v>64</v>
      </c>
      <c r="R520" s="3" t="s">
        <v>65</v>
      </c>
      <c r="S520" s="4">
        <v>29</v>
      </c>
      <c r="T520" s="4">
        <v>29</v>
      </c>
      <c r="U520" s="5" t="s">
        <v>3616</v>
      </c>
      <c r="V520" s="5" t="s">
        <v>3616</v>
      </c>
      <c r="W520" s="5" t="s">
        <v>67</v>
      </c>
      <c r="X520" s="5" t="s">
        <v>67</v>
      </c>
      <c r="Y520" s="4">
        <v>189</v>
      </c>
      <c r="Z520" s="4">
        <v>20</v>
      </c>
      <c r="AA520" s="4">
        <v>22</v>
      </c>
      <c r="AB520" s="4">
        <v>2</v>
      </c>
      <c r="AC520" s="4">
        <v>3</v>
      </c>
      <c r="AD520" s="4">
        <v>57</v>
      </c>
      <c r="AE520" s="4">
        <v>58</v>
      </c>
      <c r="AF520" s="4">
        <v>1</v>
      </c>
      <c r="AG520" s="4">
        <v>2</v>
      </c>
      <c r="AH520" s="4">
        <v>49</v>
      </c>
      <c r="AI520" s="4">
        <v>49</v>
      </c>
      <c r="AJ520" s="4">
        <v>8</v>
      </c>
      <c r="AK520" s="4">
        <v>9</v>
      </c>
      <c r="AL520" s="4">
        <v>30</v>
      </c>
      <c r="AM520" s="4">
        <v>30</v>
      </c>
      <c r="AN520" s="4">
        <v>0</v>
      </c>
      <c r="AO520" s="4">
        <v>0</v>
      </c>
      <c r="AP520" s="4">
        <v>12</v>
      </c>
      <c r="AQ520" s="4">
        <v>12</v>
      </c>
      <c r="AR520" s="3" t="s">
        <v>62</v>
      </c>
      <c r="AS520" s="3" t="s">
        <v>62</v>
      </c>
      <c r="AT520" s="3" t="s">
        <v>62</v>
      </c>
      <c r="AV520" s="6" t="str">
        <f>HYPERLINK("http://mcgill.on.worldcat.org/oclc/53019391","Catalog Record")</f>
        <v>Catalog Record</v>
      </c>
      <c r="AW520" s="6" t="str">
        <f>HYPERLINK("http://www.worldcat.org/oclc/53019391","WorldCat Record")</f>
        <v>WorldCat Record</v>
      </c>
      <c r="AX520" s="3" t="s">
        <v>5345</v>
      </c>
      <c r="AY520" s="3" t="s">
        <v>5346</v>
      </c>
      <c r="AZ520" s="3" t="s">
        <v>5347</v>
      </c>
      <c r="BA520" s="3" t="s">
        <v>5347</v>
      </c>
      <c r="BB520" s="3" t="s">
        <v>5348</v>
      </c>
      <c r="BC520" s="3" t="s">
        <v>102</v>
      </c>
      <c r="BD520" s="3" t="s">
        <v>1135</v>
      </c>
      <c r="BE520" s="3" t="s">
        <v>5349</v>
      </c>
      <c r="BF520" s="3" t="s">
        <v>5348</v>
      </c>
      <c r="BG520" s="3" t="s">
        <v>5350</v>
      </c>
    </row>
    <row r="521" spans="1:59" ht="58" x14ac:dyDescent="0.35">
      <c r="A521" s="2" t="s">
        <v>89</v>
      </c>
      <c r="B521" s="2" t="s">
        <v>90</v>
      </c>
      <c r="C521" s="2" t="s">
        <v>5351</v>
      </c>
      <c r="D521" s="2" t="s">
        <v>5352</v>
      </c>
      <c r="E521" s="2" t="s">
        <v>5353</v>
      </c>
      <c r="G521" s="3" t="s">
        <v>62</v>
      </c>
      <c r="I521" s="3" t="s">
        <v>62</v>
      </c>
      <c r="J521" s="3" t="s">
        <v>62</v>
      </c>
      <c r="K521" s="3" t="s">
        <v>63</v>
      </c>
      <c r="L521" s="2" t="s">
        <v>5354</v>
      </c>
      <c r="M521" s="2" t="s">
        <v>5355</v>
      </c>
      <c r="N521" s="3" t="s">
        <v>712</v>
      </c>
      <c r="P521" s="3" t="s">
        <v>64</v>
      </c>
      <c r="R521" s="3" t="s">
        <v>65</v>
      </c>
      <c r="S521" s="4">
        <v>1</v>
      </c>
      <c r="T521" s="4">
        <v>1</v>
      </c>
      <c r="W521" s="5" t="s">
        <v>5356</v>
      </c>
      <c r="X521" s="5" t="s">
        <v>5356</v>
      </c>
      <c r="Y521" s="4">
        <v>261</v>
      </c>
      <c r="Z521" s="4">
        <v>9</v>
      </c>
      <c r="AA521" s="4">
        <v>21</v>
      </c>
      <c r="AB521" s="4">
        <v>2</v>
      </c>
      <c r="AC521" s="4">
        <v>7</v>
      </c>
      <c r="AD521" s="4">
        <v>61</v>
      </c>
      <c r="AE521" s="4">
        <v>92</v>
      </c>
      <c r="AF521" s="4">
        <v>1</v>
      </c>
      <c r="AG521" s="4">
        <v>3</v>
      </c>
      <c r="AH521" s="4">
        <v>55</v>
      </c>
      <c r="AI521" s="4">
        <v>79</v>
      </c>
      <c r="AJ521" s="4">
        <v>6</v>
      </c>
      <c r="AK521" s="4">
        <v>12</v>
      </c>
      <c r="AL521" s="4">
        <v>36</v>
      </c>
      <c r="AM521" s="4">
        <v>50</v>
      </c>
      <c r="AN521" s="4">
        <v>0</v>
      </c>
      <c r="AO521" s="4">
        <v>0</v>
      </c>
      <c r="AP521" s="4">
        <v>6</v>
      </c>
      <c r="AQ521" s="4">
        <v>14</v>
      </c>
      <c r="AR521" s="3" t="s">
        <v>62</v>
      </c>
      <c r="AS521" s="3" t="s">
        <v>62</v>
      </c>
      <c r="AT521" s="3" t="s">
        <v>62</v>
      </c>
      <c r="AV521" s="6" t="str">
        <f>HYPERLINK("http://mcgill.on.worldcat.org/oclc/861542573","Catalog Record")</f>
        <v>Catalog Record</v>
      </c>
      <c r="AW521" s="6" t="str">
        <f>HYPERLINK("http://www.worldcat.org/oclc/861542573","WorldCat Record")</f>
        <v>WorldCat Record</v>
      </c>
      <c r="AX521" s="3" t="s">
        <v>5357</v>
      </c>
      <c r="AY521" s="3" t="s">
        <v>5358</v>
      </c>
      <c r="AZ521" s="3" t="s">
        <v>5359</v>
      </c>
      <c r="BA521" s="3" t="s">
        <v>5359</v>
      </c>
      <c r="BB521" s="3" t="s">
        <v>5360</v>
      </c>
      <c r="BC521" s="3" t="s">
        <v>102</v>
      </c>
      <c r="BD521" s="3" t="s">
        <v>231</v>
      </c>
      <c r="BE521" s="3" t="s">
        <v>5361</v>
      </c>
      <c r="BF521" s="3" t="s">
        <v>5360</v>
      </c>
      <c r="BG521" s="3" t="s">
        <v>5362</v>
      </c>
    </row>
    <row r="522" spans="1:59" ht="58" x14ac:dyDescent="0.35">
      <c r="A522" s="2" t="s">
        <v>89</v>
      </c>
      <c r="B522" s="2" t="s">
        <v>90</v>
      </c>
      <c r="C522" s="2" t="s">
        <v>5363</v>
      </c>
      <c r="D522" s="2" t="s">
        <v>5364</v>
      </c>
      <c r="E522" s="2" t="s">
        <v>5365</v>
      </c>
      <c r="G522" s="3" t="s">
        <v>62</v>
      </c>
      <c r="I522" s="3" t="s">
        <v>61</v>
      </c>
      <c r="J522" s="3" t="s">
        <v>62</v>
      </c>
      <c r="K522" s="3" t="s">
        <v>63</v>
      </c>
      <c r="L522" s="2" t="s">
        <v>5366</v>
      </c>
      <c r="M522" s="2" t="s">
        <v>5367</v>
      </c>
      <c r="N522" s="3" t="s">
        <v>2588</v>
      </c>
      <c r="P522" s="3" t="s">
        <v>64</v>
      </c>
      <c r="R522" s="3" t="s">
        <v>65</v>
      </c>
      <c r="S522" s="4">
        <v>10</v>
      </c>
      <c r="T522" s="4">
        <v>10</v>
      </c>
      <c r="U522" s="5" t="s">
        <v>5368</v>
      </c>
      <c r="V522" s="5" t="s">
        <v>5368</v>
      </c>
      <c r="W522" s="5" t="s">
        <v>67</v>
      </c>
      <c r="X522" s="5" t="s">
        <v>67</v>
      </c>
      <c r="Y522" s="4">
        <v>972</v>
      </c>
      <c r="Z522" s="4">
        <v>30</v>
      </c>
      <c r="AA522" s="4">
        <v>37</v>
      </c>
      <c r="AB522" s="4">
        <v>2</v>
      </c>
      <c r="AC522" s="4">
        <v>7</v>
      </c>
      <c r="AD522" s="4">
        <v>127</v>
      </c>
      <c r="AE522" s="4">
        <v>135</v>
      </c>
      <c r="AF522" s="4">
        <v>1</v>
      </c>
      <c r="AG522" s="4">
        <v>4</v>
      </c>
      <c r="AH522" s="4">
        <v>108</v>
      </c>
      <c r="AI522" s="4">
        <v>113</v>
      </c>
      <c r="AJ522" s="4">
        <v>18</v>
      </c>
      <c r="AK522" s="4">
        <v>20</v>
      </c>
      <c r="AL522" s="4">
        <v>59</v>
      </c>
      <c r="AM522" s="4">
        <v>59</v>
      </c>
      <c r="AN522" s="4">
        <v>0</v>
      </c>
      <c r="AO522" s="4">
        <v>0</v>
      </c>
      <c r="AP522" s="4">
        <v>24</v>
      </c>
      <c r="AQ522" s="4">
        <v>27</v>
      </c>
      <c r="AR522" s="3" t="s">
        <v>62</v>
      </c>
      <c r="AS522" s="3" t="s">
        <v>62</v>
      </c>
      <c r="AT522" s="3" t="s">
        <v>61</v>
      </c>
      <c r="AU522" s="6" t="str">
        <f>HYPERLINK("http://catalog.hathitrust.org/Record/000129642","HathiTrust Record")</f>
        <v>HathiTrust Record</v>
      </c>
      <c r="AV522" s="6" t="str">
        <f>HYPERLINK("http://mcgill.on.worldcat.org/oclc/2644194","Catalog Record")</f>
        <v>Catalog Record</v>
      </c>
      <c r="AW522" s="6" t="str">
        <f>HYPERLINK("http://www.worldcat.org/oclc/2644194","WorldCat Record")</f>
        <v>WorldCat Record</v>
      </c>
      <c r="AX522" s="3" t="s">
        <v>5369</v>
      </c>
      <c r="AY522" s="3" t="s">
        <v>5370</v>
      </c>
      <c r="AZ522" s="3" t="s">
        <v>5371</v>
      </c>
      <c r="BA522" s="3" t="s">
        <v>5371</v>
      </c>
      <c r="BB522" s="3" t="s">
        <v>5372</v>
      </c>
      <c r="BC522" s="3" t="s">
        <v>102</v>
      </c>
      <c r="BD522" s="3" t="s">
        <v>231</v>
      </c>
      <c r="BE522" s="3" t="s">
        <v>5373</v>
      </c>
      <c r="BF522" s="3" t="s">
        <v>5372</v>
      </c>
      <c r="BG522" s="3" t="s">
        <v>5374</v>
      </c>
    </row>
    <row r="523" spans="1:59" ht="72.5" x14ac:dyDescent="0.35">
      <c r="A523" s="2" t="s">
        <v>89</v>
      </c>
      <c r="B523" s="2" t="s">
        <v>90</v>
      </c>
      <c r="C523" s="2" t="s">
        <v>5375</v>
      </c>
      <c r="D523" s="2" t="s">
        <v>5376</v>
      </c>
      <c r="E523" s="2" t="s">
        <v>5377</v>
      </c>
      <c r="G523" s="3" t="s">
        <v>62</v>
      </c>
      <c r="I523" s="3" t="s">
        <v>62</v>
      </c>
      <c r="J523" s="3" t="s">
        <v>62</v>
      </c>
      <c r="K523" s="3" t="s">
        <v>63</v>
      </c>
      <c r="M523" s="2" t="s">
        <v>5378</v>
      </c>
      <c r="N523" s="3" t="s">
        <v>596</v>
      </c>
      <c r="P523" s="3" t="s">
        <v>64</v>
      </c>
      <c r="Q523" s="2" t="s">
        <v>5379</v>
      </c>
      <c r="R523" s="3" t="s">
        <v>65</v>
      </c>
      <c r="S523" s="4">
        <v>7</v>
      </c>
      <c r="T523" s="4">
        <v>7</v>
      </c>
      <c r="U523" s="5" t="s">
        <v>5380</v>
      </c>
      <c r="V523" s="5" t="s">
        <v>5380</v>
      </c>
      <c r="W523" s="5" t="s">
        <v>67</v>
      </c>
      <c r="X523" s="5" t="s">
        <v>67</v>
      </c>
      <c r="Y523" s="4">
        <v>112</v>
      </c>
      <c r="Z523" s="4">
        <v>12</v>
      </c>
      <c r="AA523" s="4">
        <v>13</v>
      </c>
      <c r="AB523" s="4">
        <v>1</v>
      </c>
      <c r="AC523" s="4">
        <v>2</v>
      </c>
      <c r="AD523" s="4">
        <v>43</v>
      </c>
      <c r="AE523" s="4">
        <v>44</v>
      </c>
      <c r="AF523" s="4">
        <v>0</v>
      </c>
      <c r="AG523" s="4">
        <v>1</v>
      </c>
      <c r="AH523" s="4">
        <v>38</v>
      </c>
      <c r="AI523" s="4">
        <v>38</v>
      </c>
      <c r="AJ523" s="4">
        <v>9</v>
      </c>
      <c r="AK523" s="4">
        <v>10</v>
      </c>
      <c r="AL523" s="4">
        <v>25</v>
      </c>
      <c r="AM523" s="4">
        <v>25</v>
      </c>
      <c r="AN523" s="4">
        <v>0</v>
      </c>
      <c r="AO523" s="4">
        <v>0</v>
      </c>
      <c r="AP523" s="4">
        <v>10</v>
      </c>
      <c r="AQ523" s="4">
        <v>10</v>
      </c>
      <c r="AR523" s="3" t="s">
        <v>62</v>
      </c>
      <c r="AS523" s="3" t="s">
        <v>62</v>
      </c>
      <c r="AT523" s="3" t="s">
        <v>61</v>
      </c>
      <c r="AU523" s="6" t="str">
        <f>HYPERLINK("http://catalog.hathitrust.org/Record/004290355","HathiTrust Record")</f>
        <v>HathiTrust Record</v>
      </c>
      <c r="AV523" s="6" t="str">
        <f>HYPERLINK("http://mcgill.on.worldcat.org/oclc/50771998","Catalog Record")</f>
        <v>Catalog Record</v>
      </c>
      <c r="AW523" s="6" t="str">
        <f>HYPERLINK("http://www.worldcat.org/oclc/50771998","WorldCat Record")</f>
        <v>WorldCat Record</v>
      </c>
      <c r="AX523" s="3" t="s">
        <v>5381</v>
      </c>
      <c r="AY523" s="3" t="s">
        <v>5382</v>
      </c>
      <c r="AZ523" s="3" t="s">
        <v>5383</v>
      </c>
      <c r="BA523" s="3" t="s">
        <v>5383</v>
      </c>
      <c r="BB523" s="3" t="s">
        <v>5384</v>
      </c>
      <c r="BC523" s="3" t="s">
        <v>102</v>
      </c>
      <c r="BD523" s="3" t="s">
        <v>68</v>
      </c>
      <c r="BE523" s="3" t="s">
        <v>5385</v>
      </c>
      <c r="BF523" s="3" t="s">
        <v>5384</v>
      </c>
      <c r="BG523" s="3" t="s">
        <v>5386</v>
      </c>
    </row>
    <row r="524" spans="1:59" ht="58" x14ac:dyDescent="0.35">
      <c r="A524" s="2" t="s">
        <v>89</v>
      </c>
      <c r="B524" s="2" t="s">
        <v>90</v>
      </c>
      <c r="C524" s="2" t="s">
        <v>5387</v>
      </c>
      <c r="D524" s="2" t="s">
        <v>5388</v>
      </c>
      <c r="E524" s="2" t="s">
        <v>5389</v>
      </c>
      <c r="G524" s="3" t="s">
        <v>62</v>
      </c>
      <c r="I524" s="3" t="s">
        <v>62</v>
      </c>
      <c r="J524" s="3" t="s">
        <v>62</v>
      </c>
      <c r="K524" s="3" t="s">
        <v>63</v>
      </c>
      <c r="L524" s="2" t="s">
        <v>5390</v>
      </c>
      <c r="M524" s="2" t="s">
        <v>5391</v>
      </c>
      <c r="N524" s="3" t="s">
        <v>893</v>
      </c>
      <c r="P524" s="3" t="s">
        <v>64</v>
      </c>
      <c r="Q524" s="2" t="s">
        <v>5392</v>
      </c>
      <c r="R524" s="3" t="s">
        <v>65</v>
      </c>
      <c r="S524" s="4">
        <v>22</v>
      </c>
      <c r="T524" s="4">
        <v>22</v>
      </c>
      <c r="U524" s="5" t="s">
        <v>411</v>
      </c>
      <c r="V524" s="5" t="s">
        <v>411</v>
      </c>
      <c r="W524" s="5" t="s">
        <v>67</v>
      </c>
      <c r="X524" s="5" t="s">
        <v>67</v>
      </c>
      <c r="Y524" s="4">
        <v>505</v>
      </c>
      <c r="Z524" s="4">
        <v>41</v>
      </c>
      <c r="AA524" s="4">
        <v>43</v>
      </c>
      <c r="AB524" s="4">
        <v>3</v>
      </c>
      <c r="AC524" s="4">
        <v>5</v>
      </c>
      <c r="AD524" s="4">
        <v>123</v>
      </c>
      <c r="AE524" s="4">
        <v>125</v>
      </c>
      <c r="AF524" s="4">
        <v>1</v>
      </c>
      <c r="AG524" s="4">
        <v>3</v>
      </c>
      <c r="AH524" s="4">
        <v>103</v>
      </c>
      <c r="AI524" s="4">
        <v>104</v>
      </c>
      <c r="AJ524" s="4">
        <v>19</v>
      </c>
      <c r="AK524" s="4">
        <v>21</v>
      </c>
      <c r="AL524" s="4">
        <v>56</v>
      </c>
      <c r="AM524" s="4">
        <v>56</v>
      </c>
      <c r="AN524" s="4">
        <v>0</v>
      </c>
      <c r="AO524" s="4">
        <v>0</v>
      </c>
      <c r="AP524" s="4">
        <v>29</v>
      </c>
      <c r="AQ524" s="4">
        <v>30</v>
      </c>
      <c r="AR524" s="3" t="s">
        <v>62</v>
      </c>
      <c r="AS524" s="3" t="s">
        <v>62</v>
      </c>
      <c r="AT524" s="3" t="s">
        <v>61</v>
      </c>
      <c r="AU524" s="6" t="str">
        <f>HYPERLINK("http://catalog.hathitrust.org/Record/000147648","HathiTrust Record")</f>
        <v>HathiTrust Record</v>
      </c>
      <c r="AV524" s="6" t="str">
        <f>HYPERLINK("http://mcgill.on.worldcat.org/oclc/8169296","Catalog Record")</f>
        <v>Catalog Record</v>
      </c>
      <c r="AW524" s="6" t="str">
        <f>HYPERLINK("http://www.worldcat.org/oclc/8169296","WorldCat Record")</f>
        <v>WorldCat Record</v>
      </c>
      <c r="AX524" s="3" t="s">
        <v>5393</v>
      </c>
      <c r="AY524" s="3" t="s">
        <v>5394</v>
      </c>
      <c r="AZ524" s="3" t="s">
        <v>5395</v>
      </c>
      <c r="BA524" s="3" t="s">
        <v>5395</v>
      </c>
      <c r="BB524" s="3" t="s">
        <v>5396</v>
      </c>
      <c r="BC524" s="3" t="s">
        <v>102</v>
      </c>
      <c r="BD524" s="3" t="s">
        <v>68</v>
      </c>
      <c r="BE524" s="3" t="s">
        <v>5397</v>
      </c>
      <c r="BF524" s="3" t="s">
        <v>5396</v>
      </c>
      <c r="BG524" s="3" t="s">
        <v>5398</v>
      </c>
    </row>
    <row r="525" spans="1:59" ht="58" x14ac:dyDescent="0.35">
      <c r="A525" s="2" t="s">
        <v>89</v>
      </c>
      <c r="B525" s="2" t="s">
        <v>90</v>
      </c>
      <c r="C525" s="2" t="s">
        <v>5399</v>
      </c>
      <c r="D525" s="2" t="s">
        <v>5400</v>
      </c>
      <c r="E525" s="2" t="s">
        <v>5401</v>
      </c>
      <c r="G525" s="3" t="s">
        <v>62</v>
      </c>
      <c r="I525" s="3" t="s">
        <v>62</v>
      </c>
      <c r="J525" s="3" t="s">
        <v>62</v>
      </c>
      <c r="K525" s="3" t="s">
        <v>63</v>
      </c>
      <c r="L525" s="2" t="s">
        <v>5402</v>
      </c>
      <c r="M525" s="2" t="s">
        <v>5403</v>
      </c>
      <c r="N525" s="3" t="s">
        <v>1722</v>
      </c>
      <c r="P525" s="3" t="s">
        <v>85</v>
      </c>
      <c r="Q525" s="2" t="s">
        <v>5404</v>
      </c>
      <c r="R525" s="3" t="s">
        <v>65</v>
      </c>
      <c r="S525" s="4">
        <v>6</v>
      </c>
      <c r="T525" s="4">
        <v>6</v>
      </c>
      <c r="U525" s="5" t="s">
        <v>5405</v>
      </c>
      <c r="V525" s="5" t="s">
        <v>5405</v>
      </c>
      <c r="W525" s="5" t="s">
        <v>67</v>
      </c>
      <c r="X525" s="5" t="s">
        <v>67</v>
      </c>
      <c r="Y525" s="4">
        <v>58</v>
      </c>
      <c r="Z525" s="4">
        <v>6</v>
      </c>
      <c r="AA525" s="4">
        <v>84</v>
      </c>
      <c r="AB525" s="4">
        <v>2</v>
      </c>
      <c r="AC525" s="4">
        <v>18</v>
      </c>
      <c r="AD525" s="4">
        <v>20</v>
      </c>
      <c r="AE525" s="4">
        <v>89</v>
      </c>
      <c r="AF525" s="4">
        <v>0</v>
      </c>
      <c r="AG525" s="4">
        <v>8</v>
      </c>
      <c r="AH525" s="4">
        <v>18</v>
      </c>
      <c r="AI525" s="4">
        <v>56</v>
      </c>
      <c r="AJ525" s="4">
        <v>2</v>
      </c>
      <c r="AK525" s="4">
        <v>17</v>
      </c>
      <c r="AL525" s="4">
        <v>16</v>
      </c>
      <c r="AM525" s="4">
        <v>32</v>
      </c>
      <c r="AN525" s="4">
        <v>0</v>
      </c>
      <c r="AO525" s="4">
        <v>0</v>
      </c>
      <c r="AP525" s="4">
        <v>2</v>
      </c>
      <c r="AQ525" s="4">
        <v>38</v>
      </c>
      <c r="AR525" s="3" t="s">
        <v>62</v>
      </c>
      <c r="AS525" s="3" t="s">
        <v>62</v>
      </c>
      <c r="AT525" s="3" t="s">
        <v>62</v>
      </c>
      <c r="AV525" s="6" t="str">
        <f>HYPERLINK("http://mcgill.on.worldcat.org/oclc/232237095","Catalog Record")</f>
        <v>Catalog Record</v>
      </c>
      <c r="AW525" s="6" t="str">
        <f>HYPERLINK("http://www.worldcat.org/oclc/232237095","WorldCat Record")</f>
        <v>WorldCat Record</v>
      </c>
      <c r="AX525" s="3" t="s">
        <v>5406</v>
      </c>
      <c r="AY525" s="3" t="s">
        <v>5407</v>
      </c>
      <c r="AZ525" s="3" t="s">
        <v>5408</v>
      </c>
      <c r="BA525" s="3" t="s">
        <v>5408</v>
      </c>
      <c r="BB525" s="3" t="s">
        <v>5409</v>
      </c>
      <c r="BC525" s="3" t="s">
        <v>102</v>
      </c>
      <c r="BD525" s="3" t="s">
        <v>68</v>
      </c>
      <c r="BE525" s="3" t="s">
        <v>5410</v>
      </c>
      <c r="BF525" s="3" t="s">
        <v>5409</v>
      </c>
      <c r="BG525" s="3" t="s">
        <v>5411</v>
      </c>
    </row>
    <row r="526" spans="1:59" ht="58" x14ac:dyDescent="0.35">
      <c r="A526" s="2" t="s">
        <v>89</v>
      </c>
      <c r="B526" s="2" t="s">
        <v>90</v>
      </c>
      <c r="C526" s="2" t="s">
        <v>5412</v>
      </c>
      <c r="D526" s="2" t="s">
        <v>5413</v>
      </c>
      <c r="E526" s="2" t="s">
        <v>5414</v>
      </c>
      <c r="G526" s="3" t="s">
        <v>62</v>
      </c>
      <c r="I526" s="3" t="s">
        <v>62</v>
      </c>
      <c r="J526" s="3" t="s">
        <v>62</v>
      </c>
      <c r="K526" s="3" t="s">
        <v>63</v>
      </c>
      <c r="L526" s="2" t="s">
        <v>5415</v>
      </c>
      <c r="M526" s="2" t="s">
        <v>5416</v>
      </c>
      <c r="N526" s="3" t="s">
        <v>640</v>
      </c>
      <c r="P526" s="3" t="s">
        <v>64</v>
      </c>
      <c r="R526" s="3" t="s">
        <v>65</v>
      </c>
      <c r="S526" s="4">
        <v>13</v>
      </c>
      <c r="T526" s="4">
        <v>13</v>
      </c>
      <c r="U526" s="5" t="s">
        <v>411</v>
      </c>
      <c r="V526" s="5" t="s">
        <v>411</v>
      </c>
      <c r="W526" s="5" t="s">
        <v>67</v>
      </c>
      <c r="X526" s="5" t="s">
        <v>67</v>
      </c>
      <c r="Y526" s="4">
        <v>192</v>
      </c>
      <c r="Z526" s="4">
        <v>13</v>
      </c>
      <c r="AA526" s="4">
        <v>101</v>
      </c>
      <c r="AB526" s="4">
        <v>1</v>
      </c>
      <c r="AC526" s="4">
        <v>18</v>
      </c>
      <c r="AD526" s="4">
        <v>84</v>
      </c>
      <c r="AE526" s="4">
        <v>137</v>
      </c>
      <c r="AF526" s="4">
        <v>0</v>
      </c>
      <c r="AG526" s="4">
        <v>9</v>
      </c>
      <c r="AH526" s="4">
        <v>78</v>
      </c>
      <c r="AI526" s="4">
        <v>93</v>
      </c>
      <c r="AJ526" s="4">
        <v>11</v>
      </c>
      <c r="AK526" s="4">
        <v>25</v>
      </c>
      <c r="AL526" s="4">
        <v>49</v>
      </c>
      <c r="AM526" s="4">
        <v>52</v>
      </c>
      <c r="AN526" s="4">
        <v>0</v>
      </c>
      <c r="AO526" s="4">
        <v>0</v>
      </c>
      <c r="AP526" s="4">
        <v>11</v>
      </c>
      <c r="AQ526" s="4">
        <v>52</v>
      </c>
      <c r="AR526" s="3" t="s">
        <v>62</v>
      </c>
      <c r="AS526" s="3" t="s">
        <v>62</v>
      </c>
      <c r="AT526" s="3" t="s">
        <v>62</v>
      </c>
      <c r="AV526" s="6" t="str">
        <f>HYPERLINK("http://mcgill.on.worldcat.org/oclc/64855356","Catalog Record")</f>
        <v>Catalog Record</v>
      </c>
      <c r="AW526" s="6" t="str">
        <f>HYPERLINK("http://www.worldcat.org/oclc/64855356","WorldCat Record")</f>
        <v>WorldCat Record</v>
      </c>
      <c r="AX526" s="3" t="s">
        <v>5417</v>
      </c>
      <c r="AY526" s="3" t="s">
        <v>5418</v>
      </c>
      <c r="AZ526" s="3" t="s">
        <v>5419</v>
      </c>
      <c r="BA526" s="3" t="s">
        <v>5419</v>
      </c>
      <c r="BB526" s="3" t="s">
        <v>5420</v>
      </c>
      <c r="BC526" s="3" t="s">
        <v>102</v>
      </c>
      <c r="BD526" s="3" t="s">
        <v>68</v>
      </c>
      <c r="BE526" s="3" t="s">
        <v>5421</v>
      </c>
      <c r="BF526" s="3" t="s">
        <v>5420</v>
      </c>
      <c r="BG526" s="3" t="s">
        <v>5422</v>
      </c>
    </row>
    <row r="527" spans="1:59" ht="58" x14ac:dyDescent="0.35">
      <c r="A527" s="2" t="s">
        <v>89</v>
      </c>
      <c r="B527" s="2" t="s">
        <v>90</v>
      </c>
      <c r="C527" s="2" t="s">
        <v>5423</v>
      </c>
      <c r="D527" s="2" t="s">
        <v>5424</v>
      </c>
      <c r="E527" s="2" t="s">
        <v>5425</v>
      </c>
      <c r="G527" s="3" t="s">
        <v>62</v>
      </c>
      <c r="I527" s="3" t="s">
        <v>62</v>
      </c>
      <c r="J527" s="3" t="s">
        <v>62</v>
      </c>
      <c r="K527" s="3" t="s">
        <v>63</v>
      </c>
      <c r="L527" s="2" t="s">
        <v>5390</v>
      </c>
      <c r="M527" s="2" t="s">
        <v>5426</v>
      </c>
      <c r="N527" s="3" t="s">
        <v>1576</v>
      </c>
      <c r="O527" s="2" t="s">
        <v>5427</v>
      </c>
      <c r="P527" s="3" t="s">
        <v>85</v>
      </c>
      <c r="Q527" s="2" t="s">
        <v>5428</v>
      </c>
      <c r="R527" s="3" t="s">
        <v>65</v>
      </c>
      <c r="S527" s="4">
        <v>13</v>
      </c>
      <c r="T527" s="4">
        <v>13</v>
      </c>
      <c r="U527" s="5" t="s">
        <v>5429</v>
      </c>
      <c r="V527" s="5" t="s">
        <v>5429</v>
      </c>
      <c r="W527" s="5" t="s">
        <v>67</v>
      </c>
      <c r="X527" s="5" t="s">
        <v>67</v>
      </c>
      <c r="Y527" s="4">
        <v>4</v>
      </c>
      <c r="Z527" s="4">
        <v>4</v>
      </c>
      <c r="AA527" s="4">
        <v>12</v>
      </c>
      <c r="AB527" s="4">
        <v>1</v>
      </c>
      <c r="AC527" s="4">
        <v>6</v>
      </c>
      <c r="AD527" s="4">
        <v>2</v>
      </c>
      <c r="AE527" s="4">
        <v>11</v>
      </c>
      <c r="AF527" s="4">
        <v>0</v>
      </c>
      <c r="AG527" s="4">
        <v>3</v>
      </c>
      <c r="AH527" s="4">
        <v>1</v>
      </c>
      <c r="AI527" s="4">
        <v>7</v>
      </c>
      <c r="AJ527" s="4">
        <v>2</v>
      </c>
      <c r="AK527" s="4">
        <v>8</v>
      </c>
      <c r="AL527" s="4">
        <v>1</v>
      </c>
      <c r="AM527" s="4">
        <v>2</v>
      </c>
      <c r="AN527" s="4">
        <v>0</v>
      </c>
      <c r="AO527" s="4">
        <v>0</v>
      </c>
      <c r="AP527" s="4">
        <v>2</v>
      </c>
      <c r="AQ527" s="4">
        <v>7</v>
      </c>
      <c r="AR527" s="3" t="s">
        <v>62</v>
      </c>
      <c r="AS527" s="3" t="s">
        <v>62</v>
      </c>
      <c r="AT527" s="3" t="s">
        <v>62</v>
      </c>
      <c r="AV527" s="6" t="str">
        <f>HYPERLINK("http://mcgill.on.worldcat.org/oclc/427530255","Catalog Record")</f>
        <v>Catalog Record</v>
      </c>
      <c r="AW527" s="6" t="str">
        <f>HYPERLINK("http://www.worldcat.org/oclc/427530255","WorldCat Record")</f>
        <v>WorldCat Record</v>
      </c>
      <c r="AX527" s="3" t="s">
        <v>5430</v>
      </c>
      <c r="AY527" s="3" t="s">
        <v>5431</v>
      </c>
      <c r="AZ527" s="3" t="s">
        <v>5432</v>
      </c>
      <c r="BA527" s="3" t="s">
        <v>5432</v>
      </c>
      <c r="BB527" s="3" t="s">
        <v>5433</v>
      </c>
      <c r="BC527" s="3" t="s">
        <v>102</v>
      </c>
      <c r="BD527" s="3" t="s">
        <v>231</v>
      </c>
      <c r="BF527" s="3" t="s">
        <v>5433</v>
      </c>
      <c r="BG527" s="3" t="s">
        <v>5434</v>
      </c>
    </row>
    <row r="528" spans="1:59" ht="58" x14ac:dyDescent="0.35">
      <c r="A528" s="2" t="s">
        <v>89</v>
      </c>
      <c r="B528" s="2" t="s">
        <v>90</v>
      </c>
      <c r="C528" s="2" t="s">
        <v>5435</v>
      </c>
      <c r="D528" s="2" t="s">
        <v>5436</v>
      </c>
      <c r="E528" s="2" t="s">
        <v>5437</v>
      </c>
      <c r="G528" s="3" t="s">
        <v>62</v>
      </c>
      <c r="I528" s="3" t="s">
        <v>62</v>
      </c>
      <c r="J528" s="3" t="s">
        <v>61</v>
      </c>
      <c r="K528" s="3" t="s">
        <v>916</v>
      </c>
      <c r="L528" s="2" t="s">
        <v>5390</v>
      </c>
      <c r="M528" s="2" t="s">
        <v>5438</v>
      </c>
      <c r="N528" s="3" t="s">
        <v>852</v>
      </c>
      <c r="P528" s="3" t="s">
        <v>64</v>
      </c>
      <c r="R528" s="3" t="s">
        <v>65</v>
      </c>
      <c r="S528" s="4">
        <v>51</v>
      </c>
      <c r="T528" s="4">
        <v>51</v>
      </c>
      <c r="U528" s="5" t="s">
        <v>5429</v>
      </c>
      <c r="V528" s="5" t="s">
        <v>5429</v>
      </c>
      <c r="W528" s="5" t="s">
        <v>67</v>
      </c>
      <c r="X528" s="5" t="s">
        <v>67</v>
      </c>
      <c r="Y528" s="4">
        <v>436</v>
      </c>
      <c r="Z528" s="4">
        <v>20</v>
      </c>
      <c r="AA528" s="4">
        <v>141</v>
      </c>
      <c r="AB528" s="4">
        <v>1</v>
      </c>
      <c r="AC528" s="4">
        <v>17</v>
      </c>
      <c r="AD528" s="4">
        <v>93</v>
      </c>
      <c r="AE528" s="4">
        <v>164</v>
      </c>
      <c r="AF528" s="4">
        <v>0</v>
      </c>
      <c r="AG528" s="4">
        <v>7</v>
      </c>
      <c r="AH528" s="4">
        <v>82</v>
      </c>
      <c r="AI528" s="4">
        <v>116</v>
      </c>
      <c r="AJ528" s="4">
        <v>7</v>
      </c>
      <c r="AK528" s="4">
        <v>28</v>
      </c>
      <c r="AL528" s="4">
        <v>48</v>
      </c>
      <c r="AM528" s="4">
        <v>62</v>
      </c>
      <c r="AN528" s="4">
        <v>0</v>
      </c>
      <c r="AO528" s="4">
        <v>3</v>
      </c>
      <c r="AP528" s="4">
        <v>12</v>
      </c>
      <c r="AQ528" s="4">
        <v>55</v>
      </c>
      <c r="AR528" s="3" t="s">
        <v>62</v>
      </c>
      <c r="AS528" s="3" t="s">
        <v>62</v>
      </c>
      <c r="AT528" s="3" t="s">
        <v>61</v>
      </c>
      <c r="AU528" s="6" t="str">
        <f>HYPERLINK("http://catalog.hathitrust.org/Record/001222602","HathiTrust Record")</f>
        <v>HathiTrust Record</v>
      </c>
      <c r="AV528" s="6" t="str">
        <f>HYPERLINK("http://mcgill.on.worldcat.org/oclc/33514","Catalog Record")</f>
        <v>Catalog Record</v>
      </c>
      <c r="AW528" s="6" t="str">
        <f>HYPERLINK("http://www.worldcat.org/oclc/33514","WorldCat Record")</f>
        <v>WorldCat Record</v>
      </c>
      <c r="AX528" s="3" t="s">
        <v>5439</v>
      </c>
      <c r="AY528" s="3" t="s">
        <v>5440</v>
      </c>
      <c r="AZ528" s="3" t="s">
        <v>5441</v>
      </c>
      <c r="BA528" s="3" t="s">
        <v>5441</v>
      </c>
      <c r="BB528" s="3" t="s">
        <v>5442</v>
      </c>
      <c r="BC528" s="3" t="s">
        <v>102</v>
      </c>
      <c r="BD528" s="3" t="s">
        <v>68</v>
      </c>
      <c r="BE528" s="3" t="s">
        <v>5443</v>
      </c>
      <c r="BF528" s="3" t="s">
        <v>5442</v>
      </c>
      <c r="BG528" s="3" t="s">
        <v>5444</v>
      </c>
    </row>
    <row r="529" spans="1:59" ht="58" x14ac:dyDescent="0.35">
      <c r="A529" s="2" t="s">
        <v>89</v>
      </c>
      <c r="B529" s="2" t="s">
        <v>90</v>
      </c>
      <c r="C529" s="2" t="s">
        <v>5445</v>
      </c>
      <c r="D529" s="2" t="s">
        <v>5446</v>
      </c>
      <c r="E529" s="2" t="s">
        <v>5447</v>
      </c>
      <c r="G529" s="3" t="s">
        <v>62</v>
      </c>
      <c r="I529" s="3" t="s">
        <v>62</v>
      </c>
      <c r="J529" s="3" t="s">
        <v>62</v>
      </c>
      <c r="K529" s="3" t="s">
        <v>63</v>
      </c>
      <c r="L529" s="2" t="s">
        <v>5390</v>
      </c>
      <c r="M529" s="2" t="s">
        <v>5448</v>
      </c>
      <c r="N529" s="3" t="s">
        <v>1639</v>
      </c>
      <c r="P529" s="3" t="s">
        <v>64</v>
      </c>
      <c r="Q529" s="2" t="s">
        <v>5392</v>
      </c>
      <c r="R529" s="3" t="s">
        <v>65</v>
      </c>
      <c r="S529" s="4">
        <v>45</v>
      </c>
      <c r="T529" s="4">
        <v>45</v>
      </c>
      <c r="U529" s="5" t="s">
        <v>1630</v>
      </c>
      <c r="V529" s="5" t="s">
        <v>1630</v>
      </c>
      <c r="W529" s="5" t="s">
        <v>67</v>
      </c>
      <c r="X529" s="5" t="s">
        <v>67</v>
      </c>
      <c r="Y529" s="4">
        <v>446</v>
      </c>
      <c r="Z529" s="4">
        <v>37</v>
      </c>
      <c r="AA529" s="4">
        <v>46</v>
      </c>
      <c r="AB529" s="4">
        <v>2</v>
      </c>
      <c r="AC529" s="4">
        <v>3</v>
      </c>
      <c r="AD529" s="4">
        <v>113</v>
      </c>
      <c r="AE529" s="4">
        <v>126</v>
      </c>
      <c r="AF529" s="4">
        <v>1</v>
      </c>
      <c r="AG529" s="4">
        <v>2</v>
      </c>
      <c r="AH529" s="4">
        <v>98</v>
      </c>
      <c r="AI529" s="4">
        <v>104</v>
      </c>
      <c r="AJ529" s="4">
        <v>11</v>
      </c>
      <c r="AK529" s="4">
        <v>17</v>
      </c>
      <c r="AL529" s="4">
        <v>54</v>
      </c>
      <c r="AM529" s="4">
        <v>58</v>
      </c>
      <c r="AN529" s="4">
        <v>0</v>
      </c>
      <c r="AO529" s="4">
        <v>0</v>
      </c>
      <c r="AP529" s="4">
        <v>20</v>
      </c>
      <c r="AQ529" s="4">
        <v>28</v>
      </c>
      <c r="AR529" s="3" t="s">
        <v>62</v>
      </c>
      <c r="AS529" s="3" t="s">
        <v>62</v>
      </c>
      <c r="AT529" s="3" t="s">
        <v>61</v>
      </c>
      <c r="AU529" s="6" t="str">
        <f>HYPERLINK("http://catalog.hathitrust.org/Record/000001235","HathiTrust Record")</f>
        <v>HathiTrust Record</v>
      </c>
      <c r="AV529" s="6" t="str">
        <f>HYPERLINK("http://mcgill.on.worldcat.org/oclc/91670","Catalog Record")</f>
        <v>Catalog Record</v>
      </c>
      <c r="AW529" s="6" t="str">
        <f>HYPERLINK("http://www.worldcat.org/oclc/91670","WorldCat Record")</f>
        <v>WorldCat Record</v>
      </c>
      <c r="AX529" s="3" t="s">
        <v>5449</v>
      </c>
      <c r="AY529" s="3" t="s">
        <v>5450</v>
      </c>
      <c r="AZ529" s="3" t="s">
        <v>5451</v>
      </c>
      <c r="BA529" s="3" t="s">
        <v>5451</v>
      </c>
      <c r="BB529" s="3" t="s">
        <v>5452</v>
      </c>
      <c r="BC529" s="3" t="s">
        <v>102</v>
      </c>
      <c r="BD529" s="3" t="s">
        <v>68</v>
      </c>
      <c r="BE529" s="3" t="s">
        <v>5453</v>
      </c>
      <c r="BF529" s="3" t="s">
        <v>5452</v>
      </c>
      <c r="BG529" s="3" t="s">
        <v>5454</v>
      </c>
    </row>
    <row r="530" spans="1:59" ht="58" x14ac:dyDescent="0.35">
      <c r="A530" s="2" t="s">
        <v>89</v>
      </c>
      <c r="B530" s="2" t="s">
        <v>90</v>
      </c>
      <c r="C530" s="2" t="s">
        <v>5455</v>
      </c>
      <c r="D530" s="2" t="s">
        <v>5456</v>
      </c>
      <c r="E530" s="2" t="s">
        <v>5457</v>
      </c>
      <c r="G530" s="3" t="s">
        <v>62</v>
      </c>
      <c r="I530" s="3" t="s">
        <v>62</v>
      </c>
      <c r="J530" s="3" t="s">
        <v>62</v>
      </c>
      <c r="K530" s="3" t="s">
        <v>63</v>
      </c>
      <c r="L530" s="2" t="s">
        <v>5390</v>
      </c>
      <c r="M530" s="2" t="s">
        <v>5458</v>
      </c>
      <c r="N530" s="3" t="s">
        <v>327</v>
      </c>
      <c r="P530" s="3" t="s">
        <v>64</v>
      </c>
      <c r="Q530" s="2" t="s">
        <v>5392</v>
      </c>
      <c r="R530" s="3" t="s">
        <v>65</v>
      </c>
      <c r="S530" s="4">
        <v>33</v>
      </c>
      <c r="T530" s="4">
        <v>33</v>
      </c>
      <c r="U530" s="5" t="s">
        <v>5459</v>
      </c>
      <c r="V530" s="5" t="s">
        <v>5459</v>
      </c>
      <c r="W530" s="5" t="s">
        <v>67</v>
      </c>
      <c r="X530" s="5" t="s">
        <v>67</v>
      </c>
      <c r="Y530" s="4">
        <v>445</v>
      </c>
      <c r="Z530" s="4">
        <v>37</v>
      </c>
      <c r="AA530" s="4">
        <v>37</v>
      </c>
      <c r="AB530" s="4">
        <v>1</v>
      </c>
      <c r="AC530" s="4">
        <v>1</v>
      </c>
      <c r="AD530" s="4">
        <v>119</v>
      </c>
      <c r="AE530" s="4">
        <v>119</v>
      </c>
      <c r="AF530" s="4">
        <v>0</v>
      </c>
      <c r="AG530" s="4">
        <v>0</v>
      </c>
      <c r="AH530" s="4">
        <v>103</v>
      </c>
      <c r="AI530" s="4">
        <v>103</v>
      </c>
      <c r="AJ530" s="4">
        <v>19</v>
      </c>
      <c r="AK530" s="4">
        <v>19</v>
      </c>
      <c r="AL530" s="4">
        <v>54</v>
      </c>
      <c r="AM530" s="4">
        <v>54</v>
      </c>
      <c r="AN530" s="4">
        <v>5</v>
      </c>
      <c r="AO530" s="4">
        <v>5</v>
      </c>
      <c r="AP530" s="4">
        <v>26</v>
      </c>
      <c r="AQ530" s="4">
        <v>26</v>
      </c>
      <c r="AR530" s="3" t="s">
        <v>62</v>
      </c>
      <c r="AS530" s="3" t="s">
        <v>62</v>
      </c>
      <c r="AT530" s="3" t="s">
        <v>61</v>
      </c>
      <c r="AU530" s="6" t="str">
        <f>HYPERLINK("http://catalog.hathitrust.org/Record/000198111","HathiTrust Record")</f>
        <v>HathiTrust Record</v>
      </c>
      <c r="AV530" s="6" t="str">
        <f>HYPERLINK("http://mcgill.on.worldcat.org/oclc/10023148","Catalog Record")</f>
        <v>Catalog Record</v>
      </c>
      <c r="AW530" s="6" t="str">
        <f>HYPERLINK("http://www.worldcat.org/oclc/10023148","WorldCat Record")</f>
        <v>WorldCat Record</v>
      </c>
      <c r="AX530" s="3" t="s">
        <v>5460</v>
      </c>
      <c r="AY530" s="3" t="s">
        <v>5461</v>
      </c>
      <c r="AZ530" s="3" t="s">
        <v>5462</v>
      </c>
      <c r="BA530" s="3" t="s">
        <v>5462</v>
      </c>
      <c r="BB530" s="3" t="s">
        <v>5463</v>
      </c>
      <c r="BC530" s="3" t="s">
        <v>102</v>
      </c>
      <c r="BD530" s="3" t="s">
        <v>68</v>
      </c>
      <c r="BE530" s="3" t="s">
        <v>5464</v>
      </c>
      <c r="BF530" s="3" t="s">
        <v>5463</v>
      </c>
      <c r="BG530" s="3" t="s">
        <v>5465</v>
      </c>
    </row>
    <row r="531" spans="1:59" ht="58" x14ac:dyDescent="0.35">
      <c r="A531" s="2" t="s">
        <v>89</v>
      </c>
      <c r="B531" s="2" t="s">
        <v>90</v>
      </c>
      <c r="C531" s="2" t="s">
        <v>5466</v>
      </c>
      <c r="D531" s="2" t="s">
        <v>5467</v>
      </c>
      <c r="E531" s="2" t="s">
        <v>5468</v>
      </c>
      <c r="G531" s="3" t="s">
        <v>62</v>
      </c>
      <c r="I531" s="3" t="s">
        <v>62</v>
      </c>
      <c r="J531" s="3" t="s">
        <v>61</v>
      </c>
      <c r="K531" s="3" t="s">
        <v>916</v>
      </c>
      <c r="L531" s="2" t="s">
        <v>5390</v>
      </c>
      <c r="M531" s="2" t="s">
        <v>5469</v>
      </c>
      <c r="N531" s="3" t="s">
        <v>2000</v>
      </c>
      <c r="P531" s="3" t="s">
        <v>64</v>
      </c>
      <c r="Q531" s="2" t="s">
        <v>5470</v>
      </c>
      <c r="R531" s="3" t="s">
        <v>65</v>
      </c>
      <c r="S531" s="4">
        <v>69</v>
      </c>
      <c r="T531" s="4">
        <v>69</v>
      </c>
      <c r="U531" s="5" t="s">
        <v>5471</v>
      </c>
      <c r="V531" s="5" t="s">
        <v>5471</v>
      </c>
      <c r="W531" s="5" t="s">
        <v>67</v>
      </c>
      <c r="X531" s="5" t="s">
        <v>67</v>
      </c>
      <c r="Y531" s="4">
        <v>236</v>
      </c>
      <c r="Z531" s="4">
        <v>12</v>
      </c>
      <c r="AA531" s="4">
        <v>141</v>
      </c>
      <c r="AB531" s="4">
        <v>1</v>
      </c>
      <c r="AC531" s="4">
        <v>17</v>
      </c>
      <c r="AD531" s="4">
        <v>65</v>
      </c>
      <c r="AE531" s="4">
        <v>164</v>
      </c>
      <c r="AF531" s="4">
        <v>0</v>
      </c>
      <c r="AG531" s="4">
        <v>7</v>
      </c>
      <c r="AH531" s="4">
        <v>63</v>
      </c>
      <c r="AI531" s="4">
        <v>116</v>
      </c>
      <c r="AJ531" s="4">
        <v>7</v>
      </c>
      <c r="AK531" s="4">
        <v>28</v>
      </c>
      <c r="AL531" s="4">
        <v>37</v>
      </c>
      <c r="AM531" s="4">
        <v>62</v>
      </c>
      <c r="AN531" s="4">
        <v>0</v>
      </c>
      <c r="AO531" s="4">
        <v>3</v>
      </c>
      <c r="AP531" s="4">
        <v>7</v>
      </c>
      <c r="AQ531" s="4">
        <v>55</v>
      </c>
      <c r="AR531" s="3" t="s">
        <v>62</v>
      </c>
      <c r="AS531" s="3" t="s">
        <v>62</v>
      </c>
      <c r="AT531" s="3" t="s">
        <v>61</v>
      </c>
      <c r="AU531" s="6" t="str">
        <f>HYPERLINK("http://catalog.hathitrust.org/Record/003141693","HathiTrust Record")</f>
        <v>HathiTrust Record</v>
      </c>
      <c r="AV531" s="6" t="str">
        <f>HYPERLINK("http://mcgill.on.worldcat.org/oclc/32511873","Catalog Record")</f>
        <v>Catalog Record</v>
      </c>
      <c r="AW531" s="6" t="str">
        <f>HYPERLINK("http://www.worldcat.org/oclc/32511873","WorldCat Record")</f>
        <v>WorldCat Record</v>
      </c>
      <c r="AX531" s="3" t="s">
        <v>5439</v>
      </c>
      <c r="AY531" s="3" t="s">
        <v>5472</v>
      </c>
      <c r="AZ531" s="3" t="s">
        <v>5473</v>
      </c>
      <c r="BA531" s="3" t="s">
        <v>5473</v>
      </c>
      <c r="BB531" s="3" t="s">
        <v>5474</v>
      </c>
      <c r="BC531" s="3" t="s">
        <v>102</v>
      </c>
      <c r="BD531" s="3" t="s">
        <v>68</v>
      </c>
      <c r="BE531" s="3" t="s">
        <v>5475</v>
      </c>
      <c r="BF531" s="3" t="s">
        <v>5474</v>
      </c>
      <c r="BG531" s="3" t="s">
        <v>5476</v>
      </c>
    </row>
    <row r="532" spans="1:59" ht="58" x14ac:dyDescent="0.35">
      <c r="A532" s="2" t="s">
        <v>89</v>
      </c>
      <c r="B532" s="2" t="s">
        <v>90</v>
      </c>
      <c r="C532" s="2" t="s">
        <v>5477</v>
      </c>
      <c r="D532" s="2" t="s">
        <v>5478</v>
      </c>
      <c r="E532" s="2" t="s">
        <v>5479</v>
      </c>
      <c r="G532" s="3" t="s">
        <v>62</v>
      </c>
      <c r="I532" s="3" t="s">
        <v>62</v>
      </c>
      <c r="J532" s="3" t="s">
        <v>62</v>
      </c>
      <c r="K532" s="3" t="s">
        <v>63</v>
      </c>
      <c r="L532" s="2" t="s">
        <v>5390</v>
      </c>
      <c r="M532" s="2" t="s">
        <v>5480</v>
      </c>
      <c r="N532" s="3" t="s">
        <v>568</v>
      </c>
      <c r="P532" s="3" t="s">
        <v>64</v>
      </c>
      <c r="Q532" s="2" t="s">
        <v>5481</v>
      </c>
      <c r="R532" s="3" t="s">
        <v>65</v>
      </c>
      <c r="S532" s="4">
        <v>11</v>
      </c>
      <c r="T532" s="4">
        <v>11</v>
      </c>
      <c r="U532" s="5" t="s">
        <v>1238</v>
      </c>
      <c r="V532" s="5" t="s">
        <v>1238</v>
      </c>
      <c r="W532" s="5" t="s">
        <v>67</v>
      </c>
      <c r="X532" s="5" t="s">
        <v>67</v>
      </c>
      <c r="Y532" s="4">
        <v>17</v>
      </c>
      <c r="Z532" s="4">
        <v>5</v>
      </c>
      <c r="AA532" s="4">
        <v>5</v>
      </c>
      <c r="AB532" s="4">
        <v>2</v>
      </c>
      <c r="AC532" s="4">
        <v>2</v>
      </c>
      <c r="AD532" s="4">
        <v>6</v>
      </c>
      <c r="AE532" s="4">
        <v>6</v>
      </c>
      <c r="AF532" s="4">
        <v>0</v>
      </c>
      <c r="AG532" s="4">
        <v>0</v>
      </c>
      <c r="AH532" s="4">
        <v>5</v>
      </c>
      <c r="AI532" s="4">
        <v>5</v>
      </c>
      <c r="AJ532" s="4">
        <v>2</v>
      </c>
      <c r="AK532" s="4">
        <v>2</v>
      </c>
      <c r="AL532" s="4">
        <v>4</v>
      </c>
      <c r="AM532" s="4">
        <v>4</v>
      </c>
      <c r="AN532" s="4">
        <v>0</v>
      </c>
      <c r="AO532" s="4">
        <v>0</v>
      </c>
      <c r="AP532" s="4">
        <v>2</v>
      </c>
      <c r="AQ532" s="4">
        <v>2</v>
      </c>
      <c r="AR532" s="3" t="s">
        <v>62</v>
      </c>
      <c r="AS532" s="3" t="s">
        <v>62</v>
      </c>
      <c r="AT532" s="3" t="s">
        <v>62</v>
      </c>
      <c r="AV532" s="6" t="str">
        <f>HYPERLINK("http://mcgill.on.worldcat.org/oclc/52398953","Catalog Record")</f>
        <v>Catalog Record</v>
      </c>
      <c r="AW532" s="6" t="str">
        <f>HYPERLINK("http://www.worldcat.org/oclc/52398953","WorldCat Record")</f>
        <v>WorldCat Record</v>
      </c>
      <c r="AX532" s="3" t="s">
        <v>5482</v>
      </c>
      <c r="AY532" s="3" t="s">
        <v>5483</v>
      </c>
      <c r="AZ532" s="3" t="s">
        <v>5484</v>
      </c>
      <c r="BA532" s="3" t="s">
        <v>5484</v>
      </c>
      <c r="BB532" s="3" t="s">
        <v>5485</v>
      </c>
      <c r="BC532" s="3" t="s">
        <v>102</v>
      </c>
      <c r="BD532" s="3" t="s">
        <v>68</v>
      </c>
      <c r="BE532" s="3" t="s">
        <v>5486</v>
      </c>
      <c r="BF532" s="3" t="s">
        <v>5485</v>
      </c>
      <c r="BG532" s="3" t="s">
        <v>5487</v>
      </c>
    </row>
    <row r="533" spans="1:59" ht="58" x14ac:dyDescent="0.35">
      <c r="A533" s="2" t="s">
        <v>89</v>
      </c>
      <c r="B533" s="2" t="s">
        <v>90</v>
      </c>
      <c r="C533" s="2" t="s">
        <v>5488</v>
      </c>
      <c r="D533" s="2" t="s">
        <v>5489</v>
      </c>
      <c r="E533" s="2" t="s">
        <v>5490</v>
      </c>
      <c r="G533" s="3" t="s">
        <v>62</v>
      </c>
      <c r="I533" s="3" t="s">
        <v>62</v>
      </c>
      <c r="J533" s="3" t="s">
        <v>62</v>
      </c>
      <c r="K533" s="3" t="s">
        <v>63</v>
      </c>
      <c r="L533" s="2" t="s">
        <v>5491</v>
      </c>
      <c r="M533" s="2" t="s">
        <v>5492</v>
      </c>
      <c r="N533" s="3" t="s">
        <v>698</v>
      </c>
      <c r="P533" s="3" t="s">
        <v>64</v>
      </c>
      <c r="Q533" s="2" t="s">
        <v>5493</v>
      </c>
      <c r="R533" s="3" t="s">
        <v>65</v>
      </c>
      <c r="S533" s="4">
        <v>1</v>
      </c>
      <c r="T533" s="4">
        <v>1</v>
      </c>
      <c r="U533" s="5" t="s">
        <v>5494</v>
      </c>
      <c r="V533" s="5" t="s">
        <v>5494</v>
      </c>
      <c r="W533" s="5" t="s">
        <v>67</v>
      </c>
      <c r="X533" s="5" t="s">
        <v>67</v>
      </c>
      <c r="Y533" s="4">
        <v>78</v>
      </c>
      <c r="Z533" s="4">
        <v>5</v>
      </c>
      <c r="AA533" s="4">
        <v>70</v>
      </c>
      <c r="AB533" s="4">
        <v>1</v>
      </c>
      <c r="AC533" s="4">
        <v>14</v>
      </c>
      <c r="AD533" s="4">
        <v>39</v>
      </c>
      <c r="AE533" s="4">
        <v>97</v>
      </c>
      <c r="AF533" s="4">
        <v>0</v>
      </c>
      <c r="AG533" s="4">
        <v>8</v>
      </c>
      <c r="AH533" s="4">
        <v>36</v>
      </c>
      <c r="AI533" s="4">
        <v>69</v>
      </c>
      <c r="AJ533" s="4">
        <v>4</v>
      </c>
      <c r="AK533" s="4">
        <v>17</v>
      </c>
      <c r="AL533" s="4">
        <v>25</v>
      </c>
      <c r="AM533" s="4">
        <v>37</v>
      </c>
      <c r="AN533" s="4">
        <v>0</v>
      </c>
      <c r="AO533" s="4">
        <v>0</v>
      </c>
      <c r="AP533" s="4">
        <v>4</v>
      </c>
      <c r="AQ533" s="4">
        <v>34</v>
      </c>
      <c r="AR533" s="3" t="s">
        <v>62</v>
      </c>
      <c r="AS533" s="3" t="s">
        <v>62</v>
      </c>
      <c r="AT533" s="3" t="s">
        <v>62</v>
      </c>
      <c r="AV533" s="6" t="str">
        <f>HYPERLINK("http://mcgill.on.worldcat.org/oclc/819077608","Catalog Record")</f>
        <v>Catalog Record</v>
      </c>
      <c r="AW533" s="6" t="str">
        <f>HYPERLINK("http://www.worldcat.org/oclc/819077608","WorldCat Record")</f>
        <v>WorldCat Record</v>
      </c>
      <c r="AX533" s="3" t="s">
        <v>5495</v>
      </c>
      <c r="AY533" s="3" t="s">
        <v>5496</v>
      </c>
      <c r="AZ533" s="3" t="s">
        <v>5497</v>
      </c>
      <c r="BA533" s="3" t="s">
        <v>5497</v>
      </c>
      <c r="BB533" s="3" t="s">
        <v>5498</v>
      </c>
      <c r="BC533" s="3" t="s">
        <v>102</v>
      </c>
      <c r="BD533" s="3" t="s">
        <v>68</v>
      </c>
      <c r="BE533" s="3" t="s">
        <v>5499</v>
      </c>
      <c r="BF533" s="3" t="s">
        <v>5498</v>
      </c>
      <c r="BG533" s="3" t="s">
        <v>5500</v>
      </c>
    </row>
    <row r="534" spans="1:59" ht="58" x14ac:dyDescent="0.35">
      <c r="A534" s="2" t="s">
        <v>89</v>
      </c>
      <c r="B534" s="2" t="s">
        <v>90</v>
      </c>
      <c r="C534" s="2" t="s">
        <v>5501</v>
      </c>
      <c r="D534" s="2" t="s">
        <v>5502</v>
      </c>
      <c r="E534" s="2" t="s">
        <v>5503</v>
      </c>
      <c r="G534" s="3" t="s">
        <v>62</v>
      </c>
      <c r="I534" s="3" t="s">
        <v>62</v>
      </c>
      <c r="J534" s="3" t="s">
        <v>62</v>
      </c>
      <c r="K534" s="3" t="s">
        <v>63</v>
      </c>
      <c r="L534" s="2" t="s">
        <v>5390</v>
      </c>
      <c r="M534" s="2" t="s">
        <v>5504</v>
      </c>
      <c r="N534" s="3" t="s">
        <v>2136</v>
      </c>
      <c r="O534" s="2" t="s">
        <v>5505</v>
      </c>
      <c r="P534" s="3" t="s">
        <v>85</v>
      </c>
      <c r="Q534" s="2" t="s">
        <v>5506</v>
      </c>
      <c r="R534" s="3" t="s">
        <v>65</v>
      </c>
      <c r="S534" s="4">
        <v>16</v>
      </c>
      <c r="T534" s="4">
        <v>16</v>
      </c>
      <c r="U534" s="5" t="s">
        <v>2226</v>
      </c>
      <c r="V534" s="5" t="s">
        <v>2226</v>
      </c>
      <c r="W534" s="5" t="s">
        <v>67</v>
      </c>
      <c r="X534" s="5" t="s">
        <v>67</v>
      </c>
      <c r="Y534" s="4">
        <v>87</v>
      </c>
      <c r="Z534" s="4">
        <v>7</v>
      </c>
      <c r="AA534" s="4">
        <v>10</v>
      </c>
      <c r="AB534" s="4">
        <v>2</v>
      </c>
      <c r="AC534" s="4">
        <v>3</v>
      </c>
      <c r="AD534" s="4">
        <v>44</v>
      </c>
      <c r="AE534" s="4">
        <v>49</v>
      </c>
      <c r="AF534" s="4">
        <v>1</v>
      </c>
      <c r="AG534" s="4">
        <v>2</v>
      </c>
      <c r="AH534" s="4">
        <v>41</v>
      </c>
      <c r="AI534" s="4">
        <v>44</v>
      </c>
      <c r="AJ534" s="4">
        <v>5</v>
      </c>
      <c r="AK534" s="4">
        <v>8</v>
      </c>
      <c r="AL534" s="4">
        <v>30</v>
      </c>
      <c r="AM534" s="4">
        <v>31</v>
      </c>
      <c r="AN534" s="4">
        <v>5</v>
      </c>
      <c r="AO534" s="4">
        <v>5</v>
      </c>
      <c r="AP534" s="4">
        <v>5</v>
      </c>
      <c r="AQ534" s="4">
        <v>7</v>
      </c>
      <c r="AR534" s="3" t="s">
        <v>62</v>
      </c>
      <c r="AS534" s="3" t="s">
        <v>62</v>
      </c>
      <c r="AT534" s="3" t="s">
        <v>61</v>
      </c>
      <c r="AU534" s="6" t="str">
        <f>HYPERLINK("http://catalog.hathitrust.org/Record/005548103","HathiTrust Record")</f>
        <v>HathiTrust Record</v>
      </c>
      <c r="AV534" s="6" t="str">
        <f>HYPERLINK("http://mcgill.on.worldcat.org/oclc/62293173","Catalog Record")</f>
        <v>Catalog Record</v>
      </c>
      <c r="AW534" s="6" t="str">
        <f>HYPERLINK("http://www.worldcat.org/oclc/62293173","WorldCat Record")</f>
        <v>WorldCat Record</v>
      </c>
      <c r="AX534" s="3" t="s">
        <v>5507</v>
      </c>
      <c r="AY534" s="3" t="s">
        <v>5508</v>
      </c>
      <c r="AZ534" s="3" t="s">
        <v>5509</v>
      </c>
      <c r="BA534" s="3" t="s">
        <v>5509</v>
      </c>
      <c r="BB534" s="3" t="s">
        <v>5510</v>
      </c>
      <c r="BC534" s="3" t="s">
        <v>102</v>
      </c>
      <c r="BD534" s="3" t="s">
        <v>68</v>
      </c>
      <c r="BE534" s="3" t="s">
        <v>5511</v>
      </c>
      <c r="BF534" s="3" t="s">
        <v>5510</v>
      </c>
      <c r="BG534" s="3" t="s">
        <v>5512</v>
      </c>
    </row>
    <row r="535" spans="1:59" ht="58" x14ac:dyDescent="0.35">
      <c r="A535" s="2" t="s">
        <v>89</v>
      </c>
      <c r="B535" s="2" t="s">
        <v>90</v>
      </c>
      <c r="C535" s="2" t="s">
        <v>5513</v>
      </c>
      <c r="D535" s="2" t="s">
        <v>5514</v>
      </c>
      <c r="E535" s="2" t="s">
        <v>5515</v>
      </c>
      <c r="G535" s="3" t="s">
        <v>62</v>
      </c>
      <c r="I535" s="3" t="s">
        <v>62</v>
      </c>
      <c r="J535" s="3" t="s">
        <v>62</v>
      </c>
      <c r="K535" s="3" t="s">
        <v>63</v>
      </c>
      <c r="L535" s="2" t="s">
        <v>5390</v>
      </c>
      <c r="M535" s="2" t="s">
        <v>5516</v>
      </c>
      <c r="N535" s="3" t="s">
        <v>553</v>
      </c>
      <c r="P535" s="3" t="s">
        <v>64</v>
      </c>
      <c r="Q535" s="2" t="s">
        <v>5392</v>
      </c>
      <c r="R535" s="3" t="s">
        <v>65</v>
      </c>
      <c r="S535" s="4">
        <v>21</v>
      </c>
      <c r="T535" s="4">
        <v>21</v>
      </c>
      <c r="U535" s="5" t="s">
        <v>5517</v>
      </c>
      <c r="V535" s="5" t="s">
        <v>5517</v>
      </c>
      <c r="W535" s="5" t="s">
        <v>67</v>
      </c>
      <c r="X535" s="5" t="s">
        <v>67</v>
      </c>
      <c r="Y535" s="4">
        <v>272</v>
      </c>
      <c r="Z535" s="4">
        <v>13</v>
      </c>
      <c r="AA535" s="4">
        <v>13</v>
      </c>
      <c r="AB535" s="4">
        <v>2</v>
      </c>
      <c r="AC535" s="4">
        <v>2</v>
      </c>
      <c r="AD535" s="4">
        <v>92</v>
      </c>
      <c r="AE535" s="4">
        <v>92</v>
      </c>
      <c r="AF535" s="4">
        <v>1</v>
      </c>
      <c r="AG535" s="4">
        <v>1</v>
      </c>
      <c r="AH535" s="4">
        <v>83</v>
      </c>
      <c r="AI535" s="4">
        <v>83</v>
      </c>
      <c r="AJ535" s="4">
        <v>8</v>
      </c>
      <c r="AK535" s="4">
        <v>8</v>
      </c>
      <c r="AL535" s="4">
        <v>51</v>
      </c>
      <c r="AM535" s="4">
        <v>51</v>
      </c>
      <c r="AN535" s="4">
        <v>0</v>
      </c>
      <c r="AO535" s="4">
        <v>0</v>
      </c>
      <c r="AP535" s="4">
        <v>10</v>
      </c>
      <c r="AQ535" s="4">
        <v>10</v>
      </c>
      <c r="AR535" s="3" t="s">
        <v>62</v>
      </c>
      <c r="AS535" s="3" t="s">
        <v>62</v>
      </c>
      <c r="AT535" s="3" t="s">
        <v>62</v>
      </c>
      <c r="AV535" s="6" t="str">
        <f>HYPERLINK("http://mcgill.on.worldcat.org/oclc/40200178","Catalog Record")</f>
        <v>Catalog Record</v>
      </c>
      <c r="AW535" s="6" t="str">
        <f>HYPERLINK("http://www.worldcat.org/oclc/40200178","WorldCat Record")</f>
        <v>WorldCat Record</v>
      </c>
      <c r="AX535" s="3" t="s">
        <v>5518</v>
      </c>
      <c r="AY535" s="3" t="s">
        <v>5519</v>
      </c>
      <c r="AZ535" s="3" t="s">
        <v>5520</v>
      </c>
      <c r="BA535" s="3" t="s">
        <v>5520</v>
      </c>
      <c r="BB535" s="3" t="s">
        <v>5521</v>
      </c>
      <c r="BC535" s="3" t="s">
        <v>102</v>
      </c>
      <c r="BD535" s="3" t="s">
        <v>68</v>
      </c>
      <c r="BE535" s="3" t="s">
        <v>5522</v>
      </c>
      <c r="BF535" s="3" t="s">
        <v>5521</v>
      </c>
      <c r="BG535" s="3" t="s">
        <v>5523</v>
      </c>
    </row>
    <row r="536" spans="1:59" ht="58" x14ac:dyDescent="0.35">
      <c r="A536" s="2" t="s">
        <v>89</v>
      </c>
      <c r="B536" s="2" t="s">
        <v>90</v>
      </c>
      <c r="C536" s="2" t="s">
        <v>5524</v>
      </c>
      <c r="D536" s="2" t="s">
        <v>5525</v>
      </c>
      <c r="E536" s="2" t="s">
        <v>5526</v>
      </c>
      <c r="G536" s="3" t="s">
        <v>62</v>
      </c>
      <c r="I536" s="3" t="s">
        <v>62</v>
      </c>
      <c r="J536" s="3" t="s">
        <v>62</v>
      </c>
      <c r="K536" s="3" t="s">
        <v>63</v>
      </c>
      <c r="L536" s="2" t="s">
        <v>5527</v>
      </c>
      <c r="M536" s="2" t="s">
        <v>5528</v>
      </c>
      <c r="N536" s="3" t="s">
        <v>684</v>
      </c>
      <c r="P536" s="3" t="s">
        <v>85</v>
      </c>
      <c r="Q536" s="2" t="s">
        <v>5529</v>
      </c>
      <c r="R536" s="3" t="s">
        <v>65</v>
      </c>
      <c r="S536" s="4">
        <v>5</v>
      </c>
      <c r="T536" s="4">
        <v>5</v>
      </c>
      <c r="U536" s="5" t="s">
        <v>4422</v>
      </c>
      <c r="V536" s="5" t="s">
        <v>4422</v>
      </c>
      <c r="W536" s="5" t="s">
        <v>67</v>
      </c>
      <c r="X536" s="5" t="s">
        <v>67</v>
      </c>
      <c r="Y536" s="4">
        <v>46</v>
      </c>
      <c r="Z536" s="4">
        <v>4</v>
      </c>
      <c r="AA536" s="4">
        <v>88</v>
      </c>
      <c r="AB536" s="4">
        <v>2</v>
      </c>
      <c r="AC536" s="4">
        <v>19</v>
      </c>
      <c r="AD536" s="4">
        <v>21</v>
      </c>
      <c r="AE536" s="4">
        <v>104</v>
      </c>
      <c r="AF536" s="4">
        <v>0</v>
      </c>
      <c r="AG536" s="4">
        <v>8</v>
      </c>
      <c r="AH536" s="4">
        <v>21</v>
      </c>
      <c r="AI536" s="4">
        <v>70</v>
      </c>
      <c r="AJ536" s="4">
        <v>1</v>
      </c>
      <c r="AK536" s="4">
        <v>19</v>
      </c>
      <c r="AL536" s="4">
        <v>15</v>
      </c>
      <c r="AM536" s="4">
        <v>37</v>
      </c>
      <c r="AN536" s="4">
        <v>0</v>
      </c>
      <c r="AO536" s="4">
        <v>0</v>
      </c>
      <c r="AP536" s="4">
        <v>1</v>
      </c>
      <c r="AQ536" s="4">
        <v>40</v>
      </c>
      <c r="AR536" s="3" t="s">
        <v>62</v>
      </c>
      <c r="AS536" s="3" t="s">
        <v>62</v>
      </c>
      <c r="AT536" s="3" t="s">
        <v>62</v>
      </c>
      <c r="AV536" s="6" t="str">
        <f>HYPERLINK("http://mcgill.on.worldcat.org/oclc/704556935","Catalog Record")</f>
        <v>Catalog Record</v>
      </c>
      <c r="AW536" s="6" t="str">
        <f>HYPERLINK("http://www.worldcat.org/oclc/704556935","WorldCat Record")</f>
        <v>WorldCat Record</v>
      </c>
      <c r="AX536" s="3" t="s">
        <v>5530</v>
      </c>
      <c r="AY536" s="3" t="s">
        <v>5531</v>
      </c>
      <c r="AZ536" s="3" t="s">
        <v>5532</v>
      </c>
      <c r="BA536" s="3" t="s">
        <v>5532</v>
      </c>
      <c r="BB536" s="3" t="s">
        <v>5533</v>
      </c>
      <c r="BC536" s="3" t="s">
        <v>102</v>
      </c>
      <c r="BD536" s="3" t="s">
        <v>68</v>
      </c>
      <c r="BE536" s="3" t="s">
        <v>5534</v>
      </c>
      <c r="BF536" s="3" t="s">
        <v>5533</v>
      </c>
      <c r="BG536" s="3" t="s">
        <v>5535</v>
      </c>
    </row>
    <row r="537" spans="1:59" ht="58" x14ac:dyDescent="0.35">
      <c r="A537" s="2" t="s">
        <v>89</v>
      </c>
      <c r="B537" s="2" t="s">
        <v>90</v>
      </c>
      <c r="C537" s="2" t="s">
        <v>5536</v>
      </c>
      <c r="D537" s="2" t="s">
        <v>5537</v>
      </c>
      <c r="E537" s="2" t="s">
        <v>5538</v>
      </c>
      <c r="G537" s="3" t="s">
        <v>62</v>
      </c>
      <c r="I537" s="3" t="s">
        <v>62</v>
      </c>
      <c r="J537" s="3" t="s">
        <v>62</v>
      </c>
      <c r="K537" s="3" t="s">
        <v>63</v>
      </c>
      <c r="M537" s="2" t="s">
        <v>5539</v>
      </c>
      <c r="N537" s="3" t="s">
        <v>3062</v>
      </c>
      <c r="P537" s="3" t="s">
        <v>64</v>
      </c>
      <c r="R537" s="3" t="s">
        <v>65</v>
      </c>
      <c r="S537" s="4">
        <v>12</v>
      </c>
      <c r="T537" s="4">
        <v>12</v>
      </c>
      <c r="U537" s="5" t="s">
        <v>5517</v>
      </c>
      <c r="V537" s="5" t="s">
        <v>5517</v>
      </c>
      <c r="W537" s="5" t="s">
        <v>67</v>
      </c>
      <c r="X537" s="5" t="s">
        <v>67</v>
      </c>
      <c r="Y537" s="4">
        <v>405</v>
      </c>
      <c r="Z537" s="4">
        <v>27</v>
      </c>
      <c r="AA537" s="4">
        <v>31</v>
      </c>
      <c r="AB537" s="4">
        <v>1</v>
      </c>
      <c r="AC537" s="4">
        <v>4</v>
      </c>
      <c r="AD537" s="4">
        <v>111</v>
      </c>
      <c r="AE537" s="4">
        <v>119</v>
      </c>
      <c r="AF537" s="4">
        <v>0</v>
      </c>
      <c r="AG537" s="4">
        <v>3</v>
      </c>
      <c r="AH537" s="4">
        <v>96</v>
      </c>
      <c r="AI537" s="4">
        <v>102</v>
      </c>
      <c r="AJ537" s="4">
        <v>14</v>
      </c>
      <c r="AK537" s="4">
        <v>18</v>
      </c>
      <c r="AL537" s="4">
        <v>52</v>
      </c>
      <c r="AM537" s="4">
        <v>53</v>
      </c>
      <c r="AN537" s="4">
        <v>0</v>
      </c>
      <c r="AO537" s="4">
        <v>0</v>
      </c>
      <c r="AP537" s="4">
        <v>21</v>
      </c>
      <c r="AQ537" s="4">
        <v>24</v>
      </c>
      <c r="AR537" s="3" t="s">
        <v>62</v>
      </c>
      <c r="AS537" s="3" t="s">
        <v>62</v>
      </c>
      <c r="AT537" s="3" t="s">
        <v>61</v>
      </c>
      <c r="AU537" s="6" t="str">
        <f>HYPERLINK("http://catalog.hathitrust.org/Record/002516258","HathiTrust Record")</f>
        <v>HathiTrust Record</v>
      </c>
      <c r="AV537" s="6" t="str">
        <f>HYPERLINK("http://mcgill.on.worldcat.org/oclc/23766490","Catalog Record")</f>
        <v>Catalog Record</v>
      </c>
      <c r="AW537" s="6" t="str">
        <f>HYPERLINK("http://www.worldcat.org/oclc/23766490","WorldCat Record")</f>
        <v>WorldCat Record</v>
      </c>
      <c r="AX537" s="3" t="s">
        <v>5540</v>
      </c>
      <c r="AY537" s="3" t="s">
        <v>5541</v>
      </c>
      <c r="AZ537" s="3" t="s">
        <v>5542</v>
      </c>
      <c r="BA537" s="3" t="s">
        <v>5542</v>
      </c>
      <c r="BB537" s="3" t="s">
        <v>5543</v>
      </c>
      <c r="BC537" s="3" t="s">
        <v>102</v>
      </c>
      <c r="BD537" s="3" t="s">
        <v>231</v>
      </c>
      <c r="BE537" s="3" t="s">
        <v>5544</v>
      </c>
      <c r="BF537" s="3" t="s">
        <v>5543</v>
      </c>
      <c r="BG537" s="3" t="s">
        <v>5545</v>
      </c>
    </row>
    <row r="538" spans="1:59" ht="58" x14ac:dyDescent="0.35">
      <c r="A538" s="2" t="s">
        <v>89</v>
      </c>
      <c r="B538" s="2" t="s">
        <v>90</v>
      </c>
      <c r="C538" s="2" t="s">
        <v>5546</v>
      </c>
      <c r="D538" s="2" t="s">
        <v>5547</v>
      </c>
      <c r="E538" s="2" t="s">
        <v>5548</v>
      </c>
      <c r="G538" s="3" t="s">
        <v>62</v>
      </c>
      <c r="I538" s="3" t="s">
        <v>62</v>
      </c>
      <c r="J538" s="3" t="s">
        <v>62</v>
      </c>
      <c r="K538" s="3" t="s">
        <v>63</v>
      </c>
      <c r="L538" s="2" t="s">
        <v>5549</v>
      </c>
      <c r="M538" s="2" t="s">
        <v>5550</v>
      </c>
      <c r="N538" s="3" t="s">
        <v>1722</v>
      </c>
      <c r="P538" s="3" t="s">
        <v>64</v>
      </c>
      <c r="Q538" s="2" t="s">
        <v>5551</v>
      </c>
      <c r="R538" s="3" t="s">
        <v>65</v>
      </c>
      <c r="S538" s="4">
        <v>7</v>
      </c>
      <c r="T538" s="4">
        <v>7</v>
      </c>
      <c r="U538" s="5" t="s">
        <v>1699</v>
      </c>
      <c r="V538" s="5" t="s">
        <v>1699</v>
      </c>
      <c r="W538" s="5" t="s">
        <v>67</v>
      </c>
      <c r="X538" s="5" t="s">
        <v>67</v>
      </c>
      <c r="Y538" s="4">
        <v>20</v>
      </c>
      <c r="Z538" s="4">
        <v>2</v>
      </c>
      <c r="AA538" s="4">
        <v>29</v>
      </c>
      <c r="AB538" s="4">
        <v>1</v>
      </c>
      <c r="AC538" s="4">
        <v>7</v>
      </c>
      <c r="AD538" s="4">
        <v>2</v>
      </c>
      <c r="AE538" s="4">
        <v>94</v>
      </c>
      <c r="AF538" s="4">
        <v>0</v>
      </c>
      <c r="AG538" s="4">
        <v>3</v>
      </c>
      <c r="AH538" s="4">
        <v>2</v>
      </c>
      <c r="AI538" s="4">
        <v>81</v>
      </c>
      <c r="AJ538" s="4">
        <v>0</v>
      </c>
      <c r="AK538" s="4">
        <v>16</v>
      </c>
      <c r="AL538" s="4">
        <v>0</v>
      </c>
      <c r="AM538" s="4">
        <v>44</v>
      </c>
      <c r="AN538" s="4">
        <v>0</v>
      </c>
      <c r="AO538" s="4">
        <v>0</v>
      </c>
      <c r="AP538" s="4">
        <v>0</v>
      </c>
      <c r="AQ538" s="4">
        <v>21</v>
      </c>
      <c r="AR538" s="3" t="s">
        <v>62</v>
      </c>
      <c r="AS538" s="3" t="s">
        <v>62</v>
      </c>
      <c r="AT538" s="3" t="s">
        <v>62</v>
      </c>
      <c r="AV538" s="6" t="str">
        <f>HYPERLINK("http://mcgill.on.worldcat.org/oclc/243820439","Catalog Record")</f>
        <v>Catalog Record</v>
      </c>
      <c r="AW538" s="6" t="str">
        <f>HYPERLINK("http://www.worldcat.org/oclc/243820439","WorldCat Record")</f>
        <v>WorldCat Record</v>
      </c>
      <c r="AX538" s="3" t="s">
        <v>5552</v>
      </c>
      <c r="AY538" s="3" t="s">
        <v>5553</v>
      </c>
      <c r="AZ538" s="3" t="s">
        <v>5554</v>
      </c>
      <c r="BA538" s="3" t="s">
        <v>5554</v>
      </c>
      <c r="BB538" s="3" t="s">
        <v>5555</v>
      </c>
      <c r="BC538" s="3" t="s">
        <v>102</v>
      </c>
      <c r="BD538" s="3" t="s">
        <v>68</v>
      </c>
      <c r="BE538" s="3" t="s">
        <v>5556</v>
      </c>
      <c r="BF538" s="3" t="s">
        <v>5555</v>
      </c>
      <c r="BG538" s="3" t="s">
        <v>5557</v>
      </c>
    </row>
    <row r="539" spans="1:59" ht="58" x14ac:dyDescent="0.35">
      <c r="A539" s="2" t="s">
        <v>89</v>
      </c>
      <c r="B539" s="2" t="s">
        <v>90</v>
      </c>
      <c r="C539" s="2" t="s">
        <v>5558</v>
      </c>
      <c r="D539" s="2" t="s">
        <v>5559</v>
      </c>
      <c r="E539" s="2" t="s">
        <v>5560</v>
      </c>
      <c r="G539" s="3" t="s">
        <v>62</v>
      </c>
      <c r="I539" s="3" t="s">
        <v>62</v>
      </c>
      <c r="J539" s="3" t="s">
        <v>62</v>
      </c>
      <c r="K539" s="3" t="s">
        <v>63</v>
      </c>
      <c r="L539" s="2" t="s">
        <v>5561</v>
      </c>
      <c r="M539" s="2" t="s">
        <v>5562</v>
      </c>
      <c r="N539" s="3" t="s">
        <v>466</v>
      </c>
      <c r="P539" s="3" t="s">
        <v>64</v>
      </c>
      <c r="Q539" s="2" t="s">
        <v>5563</v>
      </c>
      <c r="R539" s="3" t="s">
        <v>65</v>
      </c>
      <c r="S539" s="4">
        <v>20</v>
      </c>
      <c r="T539" s="4">
        <v>20</v>
      </c>
      <c r="U539" s="5" t="s">
        <v>5564</v>
      </c>
      <c r="V539" s="5" t="s">
        <v>5564</v>
      </c>
      <c r="W539" s="5" t="s">
        <v>67</v>
      </c>
      <c r="X539" s="5" t="s">
        <v>67</v>
      </c>
      <c r="Y539" s="4">
        <v>460</v>
      </c>
      <c r="Z539" s="4">
        <v>25</v>
      </c>
      <c r="AA539" s="4">
        <v>29</v>
      </c>
      <c r="AB539" s="4">
        <v>2</v>
      </c>
      <c r="AC539" s="4">
        <v>6</v>
      </c>
      <c r="AD539" s="4">
        <v>106</v>
      </c>
      <c r="AE539" s="4">
        <v>109</v>
      </c>
      <c r="AF539" s="4">
        <v>1</v>
      </c>
      <c r="AG539" s="4">
        <v>4</v>
      </c>
      <c r="AH539" s="4">
        <v>92</v>
      </c>
      <c r="AI539" s="4">
        <v>93</v>
      </c>
      <c r="AJ539" s="4">
        <v>16</v>
      </c>
      <c r="AK539" s="4">
        <v>19</v>
      </c>
      <c r="AL539" s="4">
        <v>54</v>
      </c>
      <c r="AM539" s="4">
        <v>54</v>
      </c>
      <c r="AN539" s="4">
        <v>0</v>
      </c>
      <c r="AO539" s="4">
        <v>0</v>
      </c>
      <c r="AP539" s="4">
        <v>21</v>
      </c>
      <c r="AQ539" s="4">
        <v>23</v>
      </c>
      <c r="AR539" s="3" t="s">
        <v>62</v>
      </c>
      <c r="AS539" s="3" t="s">
        <v>62</v>
      </c>
      <c r="AT539" s="3" t="s">
        <v>62</v>
      </c>
      <c r="AV539" s="6" t="str">
        <f>HYPERLINK("http://mcgill.on.worldcat.org/oclc/24542903","Catalog Record")</f>
        <v>Catalog Record</v>
      </c>
      <c r="AW539" s="6" t="str">
        <f>HYPERLINK("http://www.worldcat.org/oclc/24542903","WorldCat Record")</f>
        <v>WorldCat Record</v>
      </c>
      <c r="AX539" s="3" t="s">
        <v>5565</v>
      </c>
      <c r="AY539" s="3" t="s">
        <v>5566</v>
      </c>
      <c r="AZ539" s="3" t="s">
        <v>5567</v>
      </c>
      <c r="BA539" s="3" t="s">
        <v>5567</v>
      </c>
      <c r="BB539" s="3" t="s">
        <v>5568</v>
      </c>
      <c r="BC539" s="3" t="s">
        <v>102</v>
      </c>
      <c r="BD539" s="3" t="s">
        <v>68</v>
      </c>
      <c r="BE539" s="3" t="s">
        <v>5569</v>
      </c>
      <c r="BF539" s="3" t="s">
        <v>5568</v>
      </c>
      <c r="BG539" s="3" t="s">
        <v>5570</v>
      </c>
    </row>
    <row r="540" spans="1:59" ht="58" x14ac:dyDescent="0.35">
      <c r="A540" s="2" t="s">
        <v>89</v>
      </c>
      <c r="B540" s="2" t="s">
        <v>90</v>
      </c>
      <c r="C540" s="2" t="s">
        <v>5571</v>
      </c>
      <c r="D540" s="2" t="s">
        <v>5572</v>
      </c>
      <c r="E540" s="2" t="s">
        <v>5573</v>
      </c>
      <c r="G540" s="3" t="s">
        <v>62</v>
      </c>
      <c r="I540" s="3" t="s">
        <v>61</v>
      </c>
      <c r="J540" s="3" t="s">
        <v>62</v>
      </c>
      <c r="K540" s="3" t="s">
        <v>63</v>
      </c>
      <c r="L540" s="2" t="s">
        <v>5491</v>
      </c>
      <c r="M540" s="2" t="s">
        <v>5492</v>
      </c>
      <c r="N540" s="3" t="s">
        <v>698</v>
      </c>
      <c r="P540" s="3" t="s">
        <v>64</v>
      </c>
      <c r="Q540" s="2" t="s">
        <v>5493</v>
      </c>
      <c r="R540" s="3" t="s">
        <v>65</v>
      </c>
      <c r="S540" s="4">
        <v>0</v>
      </c>
      <c r="T540" s="4">
        <v>1</v>
      </c>
      <c r="V540" s="5" t="s">
        <v>5494</v>
      </c>
      <c r="W540" s="5" t="s">
        <v>67</v>
      </c>
      <c r="X540" s="5" t="s">
        <v>67</v>
      </c>
      <c r="Y540" s="4">
        <v>73</v>
      </c>
      <c r="Z540" s="4">
        <v>6</v>
      </c>
      <c r="AA540" s="4">
        <v>73</v>
      </c>
      <c r="AB540" s="4">
        <v>1</v>
      </c>
      <c r="AC540" s="4">
        <v>14</v>
      </c>
      <c r="AD540" s="4">
        <v>35</v>
      </c>
      <c r="AE540" s="4">
        <v>112</v>
      </c>
      <c r="AF540" s="4">
        <v>0</v>
      </c>
      <c r="AG540" s="4">
        <v>8</v>
      </c>
      <c r="AH540" s="4">
        <v>32</v>
      </c>
      <c r="AI540" s="4">
        <v>82</v>
      </c>
      <c r="AJ540" s="4">
        <v>5</v>
      </c>
      <c r="AK540" s="4">
        <v>20</v>
      </c>
      <c r="AL540" s="4">
        <v>23</v>
      </c>
      <c r="AM540" s="4">
        <v>43</v>
      </c>
      <c r="AN540" s="4">
        <v>0</v>
      </c>
      <c r="AO540" s="4">
        <v>0</v>
      </c>
      <c r="AP540" s="4">
        <v>5</v>
      </c>
      <c r="AQ540" s="4">
        <v>37</v>
      </c>
      <c r="AR540" s="3" t="s">
        <v>62</v>
      </c>
      <c r="AS540" s="3" t="s">
        <v>62</v>
      </c>
      <c r="AT540" s="3" t="s">
        <v>62</v>
      </c>
      <c r="AV540" s="6" t="str">
        <f>HYPERLINK("http://mcgill.on.worldcat.org/oclc/793214033","Catalog Record")</f>
        <v>Catalog Record</v>
      </c>
      <c r="AW540" s="6" t="str">
        <f>HYPERLINK("http://www.worldcat.org/oclc/793214033","WorldCat Record")</f>
        <v>WorldCat Record</v>
      </c>
      <c r="AX540" s="3" t="s">
        <v>5574</v>
      </c>
      <c r="AY540" s="3" t="s">
        <v>5575</v>
      </c>
      <c r="AZ540" s="3" t="s">
        <v>5576</v>
      </c>
      <c r="BA540" s="3" t="s">
        <v>5576</v>
      </c>
      <c r="BB540" s="3" t="s">
        <v>5577</v>
      </c>
      <c r="BC540" s="3" t="s">
        <v>102</v>
      </c>
      <c r="BD540" s="3" t="s">
        <v>68</v>
      </c>
      <c r="BE540" s="3" t="s">
        <v>5578</v>
      </c>
      <c r="BF540" s="3" t="s">
        <v>5577</v>
      </c>
      <c r="BG540" s="3" t="s">
        <v>5579</v>
      </c>
    </row>
    <row r="541" spans="1:59" ht="58" x14ac:dyDescent="0.35">
      <c r="A541" s="2" t="s">
        <v>89</v>
      </c>
      <c r="B541" s="2" t="s">
        <v>90</v>
      </c>
      <c r="C541" s="2" t="s">
        <v>5571</v>
      </c>
      <c r="D541" s="2" t="s">
        <v>5572</v>
      </c>
      <c r="E541" s="2" t="s">
        <v>5573</v>
      </c>
      <c r="G541" s="3" t="s">
        <v>62</v>
      </c>
      <c r="I541" s="3" t="s">
        <v>61</v>
      </c>
      <c r="J541" s="3" t="s">
        <v>62</v>
      </c>
      <c r="K541" s="3" t="s">
        <v>63</v>
      </c>
      <c r="L541" s="2" t="s">
        <v>5491</v>
      </c>
      <c r="M541" s="2" t="s">
        <v>5492</v>
      </c>
      <c r="N541" s="3" t="s">
        <v>698</v>
      </c>
      <c r="P541" s="3" t="s">
        <v>64</v>
      </c>
      <c r="Q541" s="2" t="s">
        <v>5493</v>
      </c>
      <c r="R541" s="3" t="s">
        <v>65</v>
      </c>
      <c r="S541" s="4">
        <v>1</v>
      </c>
      <c r="T541" s="4">
        <v>1</v>
      </c>
      <c r="U541" s="5" t="s">
        <v>5494</v>
      </c>
      <c r="V541" s="5" t="s">
        <v>5494</v>
      </c>
      <c r="W541" s="5" t="s">
        <v>67</v>
      </c>
      <c r="X541" s="5" t="s">
        <v>67</v>
      </c>
      <c r="Y541" s="4">
        <v>73</v>
      </c>
      <c r="Z541" s="4">
        <v>6</v>
      </c>
      <c r="AA541" s="4">
        <v>73</v>
      </c>
      <c r="AB541" s="4">
        <v>1</v>
      </c>
      <c r="AC541" s="4">
        <v>14</v>
      </c>
      <c r="AD541" s="4">
        <v>35</v>
      </c>
      <c r="AE541" s="4">
        <v>112</v>
      </c>
      <c r="AF541" s="4">
        <v>0</v>
      </c>
      <c r="AG541" s="4">
        <v>8</v>
      </c>
      <c r="AH541" s="4">
        <v>32</v>
      </c>
      <c r="AI541" s="4">
        <v>82</v>
      </c>
      <c r="AJ541" s="4">
        <v>5</v>
      </c>
      <c r="AK541" s="4">
        <v>20</v>
      </c>
      <c r="AL541" s="4">
        <v>23</v>
      </c>
      <c r="AM541" s="4">
        <v>43</v>
      </c>
      <c r="AN541" s="4">
        <v>0</v>
      </c>
      <c r="AO541" s="4">
        <v>0</v>
      </c>
      <c r="AP541" s="4">
        <v>5</v>
      </c>
      <c r="AQ541" s="4">
        <v>37</v>
      </c>
      <c r="AR541" s="3" t="s">
        <v>62</v>
      </c>
      <c r="AS541" s="3" t="s">
        <v>62</v>
      </c>
      <c r="AT541" s="3" t="s">
        <v>62</v>
      </c>
      <c r="AV541" s="6" t="str">
        <f>HYPERLINK("http://mcgill.on.worldcat.org/oclc/793214033","Catalog Record")</f>
        <v>Catalog Record</v>
      </c>
      <c r="AW541" s="6" t="str">
        <f>HYPERLINK("http://www.worldcat.org/oclc/793214033","WorldCat Record")</f>
        <v>WorldCat Record</v>
      </c>
      <c r="AX541" s="3" t="s">
        <v>5574</v>
      </c>
      <c r="AY541" s="3" t="s">
        <v>5575</v>
      </c>
      <c r="AZ541" s="3" t="s">
        <v>5576</v>
      </c>
      <c r="BA541" s="3" t="s">
        <v>5576</v>
      </c>
      <c r="BB541" s="3" t="s">
        <v>5580</v>
      </c>
      <c r="BC541" s="3" t="s">
        <v>102</v>
      </c>
      <c r="BD541" s="3" t="s">
        <v>68</v>
      </c>
      <c r="BE541" s="3" t="s">
        <v>5578</v>
      </c>
      <c r="BF541" s="3" t="s">
        <v>5580</v>
      </c>
      <c r="BG541" s="3" t="s">
        <v>5581</v>
      </c>
    </row>
    <row r="542" spans="1:59" ht="58" x14ac:dyDescent="0.35">
      <c r="A542" s="2" t="s">
        <v>89</v>
      </c>
      <c r="B542" s="2" t="s">
        <v>90</v>
      </c>
      <c r="C542" s="2" t="s">
        <v>5582</v>
      </c>
      <c r="D542" s="2" t="s">
        <v>5583</v>
      </c>
      <c r="E542" s="2" t="s">
        <v>5584</v>
      </c>
      <c r="G542" s="3" t="s">
        <v>62</v>
      </c>
      <c r="I542" s="3" t="s">
        <v>62</v>
      </c>
      <c r="J542" s="3" t="s">
        <v>62</v>
      </c>
      <c r="K542" s="3" t="s">
        <v>63</v>
      </c>
      <c r="L542" s="2" t="s">
        <v>5491</v>
      </c>
      <c r="M542" s="2" t="s">
        <v>5585</v>
      </c>
      <c r="N542" s="3" t="s">
        <v>1077</v>
      </c>
      <c r="P542" s="3" t="s">
        <v>64</v>
      </c>
      <c r="Q542" s="2" t="s">
        <v>5493</v>
      </c>
      <c r="R542" s="3" t="s">
        <v>65</v>
      </c>
      <c r="S542" s="4">
        <v>16</v>
      </c>
      <c r="T542" s="4">
        <v>16</v>
      </c>
      <c r="U542" s="5" t="s">
        <v>5586</v>
      </c>
      <c r="V542" s="5" t="s">
        <v>5586</v>
      </c>
      <c r="W542" s="5" t="s">
        <v>67</v>
      </c>
      <c r="X542" s="5" t="s">
        <v>67</v>
      </c>
      <c r="Y542" s="4">
        <v>225</v>
      </c>
      <c r="Z542" s="4">
        <v>14</v>
      </c>
      <c r="AA542" s="4">
        <v>31</v>
      </c>
      <c r="AB542" s="4">
        <v>1</v>
      </c>
      <c r="AC542" s="4">
        <v>4</v>
      </c>
      <c r="AD542" s="4">
        <v>75</v>
      </c>
      <c r="AE542" s="4">
        <v>98</v>
      </c>
      <c r="AF542" s="4">
        <v>0</v>
      </c>
      <c r="AG542" s="4">
        <v>2</v>
      </c>
      <c r="AH542" s="4">
        <v>68</v>
      </c>
      <c r="AI542" s="4">
        <v>87</v>
      </c>
      <c r="AJ542" s="4">
        <v>9</v>
      </c>
      <c r="AK542" s="4">
        <v>15</v>
      </c>
      <c r="AL542" s="4">
        <v>39</v>
      </c>
      <c r="AM542" s="4">
        <v>49</v>
      </c>
      <c r="AN542" s="4">
        <v>0</v>
      </c>
      <c r="AO542" s="4">
        <v>0</v>
      </c>
      <c r="AP542" s="4">
        <v>10</v>
      </c>
      <c r="AQ542" s="4">
        <v>17</v>
      </c>
      <c r="AR542" s="3" t="s">
        <v>62</v>
      </c>
      <c r="AS542" s="3" t="s">
        <v>62</v>
      </c>
      <c r="AT542" s="3" t="s">
        <v>62</v>
      </c>
      <c r="AV542" s="6" t="str">
        <f>HYPERLINK("http://mcgill.on.worldcat.org/oclc/26854520","Catalog Record")</f>
        <v>Catalog Record</v>
      </c>
      <c r="AW542" s="6" t="str">
        <f>HYPERLINK("http://www.worldcat.org/oclc/26854520","WorldCat Record")</f>
        <v>WorldCat Record</v>
      </c>
      <c r="AX542" s="3" t="s">
        <v>5587</v>
      </c>
      <c r="AY542" s="3" t="s">
        <v>5588</v>
      </c>
      <c r="AZ542" s="3" t="s">
        <v>5589</v>
      </c>
      <c r="BA542" s="3" t="s">
        <v>5589</v>
      </c>
      <c r="BB542" s="3" t="s">
        <v>5590</v>
      </c>
      <c r="BC542" s="3" t="s">
        <v>102</v>
      </c>
      <c r="BD542" s="3" t="s">
        <v>68</v>
      </c>
      <c r="BE542" s="3" t="s">
        <v>5591</v>
      </c>
      <c r="BF542" s="3" t="s">
        <v>5590</v>
      </c>
      <c r="BG542" s="3" t="s">
        <v>5592</v>
      </c>
    </row>
    <row r="543" spans="1:59" ht="72.5" x14ac:dyDescent="0.35">
      <c r="A543" s="2" t="s">
        <v>89</v>
      </c>
      <c r="B543" s="2" t="s">
        <v>90</v>
      </c>
      <c r="C543" s="2" t="s">
        <v>5593</v>
      </c>
      <c r="D543" s="2" t="s">
        <v>5594</v>
      </c>
      <c r="E543" s="2" t="s">
        <v>5595</v>
      </c>
      <c r="G543" s="3" t="s">
        <v>62</v>
      </c>
      <c r="I543" s="3" t="s">
        <v>62</v>
      </c>
      <c r="J543" s="3" t="s">
        <v>61</v>
      </c>
      <c r="K543" s="3" t="s">
        <v>63</v>
      </c>
      <c r="L543" s="2" t="s">
        <v>5491</v>
      </c>
      <c r="M543" s="2" t="s">
        <v>5596</v>
      </c>
      <c r="N543" s="3" t="s">
        <v>1195</v>
      </c>
      <c r="P543" s="3" t="s">
        <v>64</v>
      </c>
      <c r="Q543" s="2" t="s">
        <v>5493</v>
      </c>
      <c r="R543" s="3" t="s">
        <v>65</v>
      </c>
      <c r="S543" s="4">
        <v>3</v>
      </c>
      <c r="T543" s="4">
        <v>3</v>
      </c>
      <c r="U543" s="5" t="s">
        <v>5597</v>
      </c>
      <c r="V543" s="5" t="s">
        <v>5597</v>
      </c>
      <c r="W543" s="5" t="s">
        <v>67</v>
      </c>
      <c r="X543" s="5" t="s">
        <v>67</v>
      </c>
      <c r="Y543" s="4">
        <v>41</v>
      </c>
      <c r="Z543" s="4">
        <v>3</v>
      </c>
      <c r="AA543" s="4">
        <v>24</v>
      </c>
      <c r="AB543" s="4">
        <v>1</v>
      </c>
      <c r="AC543" s="4">
        <v>2</v>
      </c>
      <c r="AD543" s="4">
        <v>10</v>
      </c>
      <c r="AE543" s="4">
        <v>78</v>
      </c>
      <c r="AF543" s="4">
        <v>0</v>
      </c>
      <c r="AG543" s="4">
        <v>0</v>
      </c>
      <c r="AH543" s="4">
        <v>10</v>
      </c>
      <c r="AI543" s="4">
        <v>68</v>
      </c>
      <c r="AJ543" s="4">
        <v>1</v>
      </c>
      <c r="AK543" s="4">
        <v>12</v>
      </c>
      <c r="AL543" s="4">
        <v>8</v>
      </c>
      <c r="AM543" s="4">
        <v>41</v>
      </c>
      <c r="AN543" s="4">
        <v>0</v>
      </c>
      <c r="AO543" s="4">
        <v>5</v>
      </c>
      <c r="AP543" s="4">
        <v>1</v>
      </c>
      <c r="AQ543" s="4">
        <v>14</v>
      </c>
      <c r="AR543" s="3" t="s">
        <v>62</v>
      </c>
      <c r="AS543" s="3" t="s">
        <v>62</v>
      </c>
      <c r="AT543" s="3" t="s">
        <v>61</v>
      </c>
      <c r="AU543" s="6" t="str">
        <f>HYPERLINK("http://catalog.hathitrust.org/Record/009239558","HathiTrust Record")</f>
        <v>HathiTrust Record</v>
      </c>
      <c r="AV543" s="6" t="str">
        <f>HYPERLINK("http://mcgill.on.worldcat.org/oclc/68621800","Catalog Record")</f>
        <v>Catalog Record</v>
      </c>
      <c r="AW543" s="6" t="str">
        <f>HYPERLINK("http://www.worldcat.org/oclc/68621800","WorldCat Record")</f>
        <v>WorldCat Record</v>
      </c>
      <c r="AX543" s="3" t="s">
        <v>5598</v>
      </c>
      <c r="AY543" s="3" t="s">
        <v>5599</v>
      </c>
      <c r="AZ543" s="3" t="s">
        <v>5600</v>
      </c>
      <c r="BA543" s="3" t="s">
        <v>5600</v>
      </c>
      <c r="BB543" s="3" t="s">
        <v>5601</v>
      </c>
      <c r="BC543" s="3" t="s">
        <v>102</v>
      </c>
      <c r="BD543" s="3" t="s">
        <v>68</v>
      </c>
      <c r="BE543" s="3" t="s">
        <v>5602</v>
      </c>
      <c r="BF543" s="3" t="s">
        <v>5601</v>
      </c>
      <c r="BG543" s="3" t="s">
        <v>5603</v>
      </c>
    </row>
    <row r="544" spans="1:59" ht="58" x14ac:dyDescent="0.35">
      <c r="A544" s="2" t="s">
        <v>89</v>
      </c>
      <c r="B544" s="2" t="s">
        <v>90</v>
      </c>
      <c r="C544" s="2" t="s">
        <v>5604</v>
      </c>
      <c r="D544" s="2" t="s">
        <v>5605</v>
      </c>
      <c r="E544" s="2" t="s">
        <v>5606</v>
      </c>
      <c r="G544" s="3" t="s">
        <v>62</v>
      </c>
      <c r="I544" s="3" t="s">
        <v>62</v>
      </c>
      <c r="J544" s="3" t="s">
        <v>62</v>
      </c>
      <c r="K544" s="3" t="s">
        <v>63</v>
      </c>
      <c r="L544" s="2" t="s">
        <v>5607</v>
      </c>
      <c r="M544" s="2" t="s">
        <v>5608</v>
      </c>
      <c r="N544" s="3" t="s">
        <v>625</v>
      </c>
      <c r="P544" s="3" t="s">
        <v>5609</v>
      </c>
      <c r="Q544" s="2" t="s">
        <v>5610</v>
      </c>
      <c r="R544" s="3" t="s">
        <v>65</v>
      </c>
      <c r="S544" s="4">
        <v>1</v>
      </c>
      <c r="T544" s="4">
        <v>1</v>
      </c>
      <c r="U544" s="5" t="s">
        <v>1144</v>
      </c>
      <c r="V544" s="5" t="s">
        <v>1144</v>
      </c>
      <c r="W544" s="5" t="s">
        <v>67</v>
      </c>
      <c r="X544" s="5" t="s">
        <v>67</v>
      </c>
      <c r="Y544" s="4">
        <v>141</v>
      </c>
      <c r="Z544" s="4">
        <v>9</v>
      </c>
      <c r="AA544" s="4">
        <v>13</v>
      </c>
      <c r="AB544" s="4">
        <v>1</v>
      </c>
      <c r="AC544" s="4">
        <v>2</v>
      </c>
      <c r="AD544" s="4">
        <v>63</v>
      </c>
      <c r="AE544" s="4">
        <v>65</v>
      </c>
      <c r="AF544" s="4">
        <v>0</v>
      </c>
      <c r="AG544" s="4">
        <v>1</v>
      </c>
      <c r="AH544" s="4">
        <v>57</v>
      </c>
      <c r="AI544" s="4">
        <v>59</v>
      </c>
      <c r="AJ544" s="4">
        <v>6</v>
      </c>
      <c r="AK544" s="4">
        <v>8</v>
      </c>
      <c r="AL544" s="4">
        <v>36</v>
      </c>
      <c r="AM544" s="4">
        <v>37</v>
      </c>
      <c r="AN544" s="4">
        <v>0</v>
      </c>
      <c r="AO544" s="4">
        <v>0</v>
      </c>
      <c r="AP544" s="4">
        <v>7</v>
      </c>
      <c r="AQ544" s="4">
        <v>9</v>
      </c>
      <c r="AR544" s="3" t="s">
        <v>62</v>
      </c>
      <c r="AS544" s="3" t="s">
        <v>62</v>
      </c>
      <c r="AT544" s="3" t="s">
        <v>62</v>
      </c>
      <c r="AV544" s="6" t="str">
        <f>HYPERLINK("http://mcgill.on.worldcat.org/oclc/50494693","Catalog Record")</f>
        <v>Catalog Record</v>
      </c>
      <c r="AW544" s="6" t="str">
        <f>HYPERLINK("http://www.worldcat.org/oclc/50494693","WorldCat Record")</f>
        <v>WorldCat Record</v>
      </c>
      <c r="AX544" s="3" t="s">
        <v>5611</v>
      </c>
      <c r="AY544" s="3" t="s">
        <v>5612</v>
      </c>
      <c r="AZ544" s="3" t="s">
        <v>5613</v>
      </c>
      <c r="BA544" s="3" t="s">
        <v>5613</v>
      </c>
      <c r="BB544" s="3" t="s">
        <v>5614</v>
      </c>
      <c r="BC544" s="3" t="s">
        <v>102</v>
      </c>
      <c r="BD544" s="3" t="s">
        <v>68</v>
      </c>
      <c r="BE544" s="3" t="s">
        <v>5615</v>
      </c>
      <c r="BF544" s="3" t="s">
        <v>5614</v>
      </c>
      <c r="BG544" s="3" t="s">
        <v>5616</v>
      </c>
    </row>
    <row r="545" spans="1:59" ht="58" x14ac:dyDescent="0.35">
      <c r="A545" s="2" t="s">
        <v>89</v>
      </c>
      <c r="B545" s="2" t="s">
        <v>90</v>
      </c>
      <c r="C545" s="2" t="s">
        <v>5617</v>
      </c>
      <c r="D545" s="2" t="s">
        <v>5618</v>
      </c>
      <c r="E545" s="2" t="s">
        <v>5619</v>
      </c>
      <c r="G545" s="3" t="s">
        <v>62</v>
      </c>
      <c r="I545" s="3" t="s">
        <v>62</v>
      </c>
      <c r="J545" s="3" t="s">
        <v>62</v>
      </c>
      <c r="K545" s="3" t="s">
        <v>63</v>
      </c>
      <c r="L545" s="2" t="s">
        <v>5620</v>
      </c>
      <c r="M545" s="2" t="s">
        <v>5621</v>
      </c>
      <c r="N545" s="3" t="s">
        <v>524</v>
      </c>
      <c r="P545" s="3" t="s">
        <v>64</v>
      </c>
      <c r="Q545" s="2" t="s">
        <v>5622</v>
      </c>
      <c r="R545" s="3" t="s">
        <v>65</v>
      </c>
      <c r="S545" s="4">
        <v>50</v>
      </c>
      <c r="T545" s="4">
        <v>50</v>
      </c>
      <c r="U545" s="5" t="s">
        <v>5623</v>
      </c>
      <c r="V545" s="5" t="s">
        <v>5623</v>
      </c>
      <c r="W545" s="5" t="s">
        <v>67</v>
      </c>
      <c r="X545" s="5" t="s">
        <v>67</v>
      </c>
      <c r="Y545" s="4">
        <v>384</v>
      </c>
      <c r="Z545" s="4">
        <v>21</v>
      </c>
      <c r="AA545" s="4">
        <v>98</v>
      </c>
      <c r="AB545" s="4">
        <v>2</v>
      </c>
      <c r="AC545" s="4">
        <v>17</v>
      </c>
      <c r="AD545" s="4">
        <v>93</v>
      </c>
      <c r="AE545" s="4">
        <v>135</v>
      </c>
      <c r="AF545" s="4">
        <v>1</v>
      </c>
      <c r="AG545" s="4">
        <v>8</v>
      </c>
      <c r="AH545" s="4">
        <v>83</v>
      </c>
      <c r="AI545" s="4">
        <v>99</v>
      </c>
      <c r="AJ545" s="4">
        <v>12</v>
      </c>
      <c r="AK545" s="4">
        <v>21</v>
      </c>
      <c r="AL545" s="4">
        <v>47</v>
      </c>
      <c r="AM545" s="4">
        <v>53</v>
      </c>
      <c r="AN545" s="4">
        <v>0</v>
      </c>
      <c r="AO545" s="4">
        <v>0</v>
      </c>
      <c r="AP545" s="4">
        <v>15</v>
      </c>
      <c r="AQ545" s="4">
        <v>43</v>
      </c>
      <c r="AR545" s="3" t="s">
        <v>62</v>
      </c>
      <c r="AS545" s="3" t="s">
        <v>62</v>
      </c>
      <c r="AT545" s="3" t="s">
        <v>61</v>
      </c>
      <c r="AU545" s="6" t="str">
        <f>HYPERLINK("http://catalog.hathitrust.org/Record/002999402","HathiTrust Record")</f>
        <v>HathiTrust Record</v>
      </c>
      <c r="AV545" s="6" t="str">
        <f>HYPERLINK("http://mcgill.on.worldcat.org/oclc/31754562","Catalog Record")</f>
        <v>Catalog Record</v>
      </c>
      <c r="AW545" s="6" t="str">
        <f>HYPERLINK("http://www.worldcat.org/oclc/31754562","WorldCat Record")</f>
        <v>WorldCat Record</v>
      </c>
      <c r="AX545" s="3" t="s">
        <v>5624</v>
      </c>
      <c r="AY545" s="3" t="s">
        <v>5625</v>
      </c>
      <c r="AZ545" s="3" t="s">
        <v>5626</v>
      </c>
      <c r="BA545" s="3" t="s">
        <v>5626</v>
      </c>
      <c r="BB545" s="3" t="s">
        <v>5627</v>
      </c>
      <c r="BC545" s="3" t="s">
        <v>102</v>
      </c>
      <c r="BD545" s="3" t="s">
        <v>231</v>
      </c>
      <c r="BE545" s="3" t="s">
        <v>5628</v>
      </c>
      <c r="BF545" s="3" t="s">
        <v>5627</v>
      </c>
      <c r="BG545" s="3" t="s">
        <v>5629</v>
      </c>
    </row>
    <row r="546" spans="1:59" ht="58" x14ac:dyDescent="0.35">
      <c r="A546" s="2" t="s">
        <v>89</v>
      </c>
      <c r="B546" s="2" t="s">
        <v>90</v>
      </c>
      <c r="C546" s="2" t="s">
        <v>5630</v>
      </c>
      <c r="D546" s="2" t="s">
        <v>5631</v>
      </c>
      <c r="E546" s="2" t="s">
        <v>5632</v>
      </c>
      <c r="G546" s="3" t="s">
        <v>62</v>
      </c>
      <c r="I546" s="3" t="s">
        <v>62</v>
      </c>
      <c r="J546" s="3" t="s">
        <v>62</v>
      </c>
      <c r="K546" s="3" t="s">
        <v>63</v>
      </c>
      <c r="L546" s="2" t="s">
        <v>5633</v>
      </c>
      <c r="M546" s="2" t="s">
        <v>5634</v>
      </c>
      <c r="N546" s="3" t="s">
        <v>1549</v>
      </c>
      <c r="P546" s="3" t="s">
        <v>85</v>
      </c>
      <c r="Q546" s="2" t="s">
        <v>5635</v>
      </c>
      <c r="R546" s="3" t="s">
        <v>65</v>
      </c>
      <c r="S546" s="4">
        <v>2</v>
      </c>
      <c r="T546" s="4">
        <v>2</v>
      </c>
      <c r="U546" s="5" t="s">
        <v>5636</v>
      </c>
      <c r="V546" s="5" t="s">
        <v>5636</v>
      </c>
      <c r="W546" s="5" t="s">
        <v>67</v>
      </c>
      <c r="X546" s="5" t="s">
        <v>67</v>
      </c>
      <c r="Y546" s="4">
        <v>71</v>
      </c>
      <c r="Z546" s="4">
        <v>9</v>
      </c>
      <c r="AA546" s="4">
        <v>11</v>
      </c>
      <c r="AB546" s="4">
        <v>1</v>
      </c>
      <c r="AC546" s="4">
        <v>3</v>
      </c>
      <c r="AD546" s="4">
        <v>30</v>
      </c>
      <c r="AE546" s="4">
        <v>32</v>
      </c>
      <c r="AF546" s="4">
        <v>0</v>
      </c>
      <c r="AG546" s="4">
        <v>2</v>
      </c>
      <c r="AH546" s="4">
        <v>27</v>
      </c>
      <c r="AI546" s="4">
        <v>27</v>
      </c>
      <c r="AJ546" s="4">
        <v>4</v>
      </c>
      <c r="AK546" s="4">
        <v>6</v>
      </c>
      <c r="AL546" s="4">
        <v>26</v>
      </c>
      <c r="AM546" s="4">
        <v>26</v>
      </c>
      <c r="AN546" s="4">
        <v>0</v>
      </c>
      <c r="AO546" s="4">
        <v>0</v>
      </c>
      <c r="AP546" s="4">
        <v>5</v>
      </c>
      <c r="AQ546" s="4">
        <v>7</v>
      </c>
      <c r="AR546" s="3" t="s">
        <v>62</v>
      </c>
      <c r="AS546" s="3" t="s">
        <v>62</v>
      </c>
      <c r="AT546" s="3" t="s">
        <v>62</v>
      </c>
      <c r="AV546" s="6" t="str">
        <f>HYPERLINK("http://mcgill.on.worldcat.org/oclc/15624615","Catalog Record")</f>
        <v>Catalog Record</v>
      </c>
      <c r="AW546" s="6" t="str">
        <f>HYPERLINK("http://www.worldcat.org/oclc/15624615","WorldCat Record")</f>
        <v>WorldCat Record</v>
      </c>
      <c r="AX546" s="3" t="s">
        <v>5637</v>
      </c>
      <c r="AY546" s="3" t="s">
        <v>5638</v>
      </c>
      <c r="AZ546" s="3" t="s">
        <v>5639</v>
      </c>
      <c r="BA546" s="3" t="s">
        <v>5639</v>
      </c>
      <c r="BB546" s="3" t="s">
        <v>5640</v>
      </c>
      <c r="BC546" s="3" t="s">
        <v>102</v>
      </c>
      <c r="BD546" s="3" t="s">
        <v>68</v>
      </c>
      <c r="BF546" s="3" t="s">
        <v>5640</v>
      </c>
      <c r="BG546" s="3" t="s">
        <v>5641</v>
      </c>
    </row>
    <row r="547" spans="1:59" ht="58" x14ac:dyDescent="0.35">
      <c r="A547" s="2" t="s">
        <v>89</v>
      </c>
      <c r="B547" s="2" t="s">
        <v>90</v>
      </c>
      <c r="C547" s="2" t="s">
        <v>5642</v>
      </c>
      <c r="D547" s="2" t="s">
        <v>5643</v>
      </c>
      <c r="E547" s="2" t="s">
        <v>5644</v>
      </c>
      <c r="G547" s="3" t="s">
        <v>62</v>
      </c>
      <c r="I547" s="3" t="s">
        <v>62</v>
      </c>
      <c r="J547" s="3" t="s">
        <v>62</v>
      </c>
      <c r="K547" s="3" t="s">
        <v>63</v>
      </c>
      <c r="L547" s="2" t="s">
        <v>5645</v>
      </c>
      <c r="M547" s="2" t="s">
        <v>5646</v>
      </c>
      <c r="N547" s="3" t="s">
        <v>684</v>
      </c>
      <c r="P547" s="3" t="s">
        <v>64</v>
      </c>
      <c r="Q547" s="2" t="s">
        <v>5493</v>
      </c>
      <c r="R547" s="3" t="s">
        <v>65</v>
      </c>
      <c r="S547" s="4">
        <v>2</v>
      </c>
      <c r="T547" s="4">
        <v>2</v>
      </c>
      <c r="U547" s="5" t="s">
        <v>5647</v>
      </c>
      <c r="V547" s="5" t="s">
        <v>5647</v>
      </c>
      <c r="W547" s="5" t="s">
        <v>67</v>
      </c>
      <c r="X547" s="5" t="s">
        <v>67</v>
      </c>
      <c r="Y547" s="4">
        <v>86</v>
      </c>
      <c r="Z547" s="4">
        <v>13</v>
      </c>
      <c r="AA547" s="4">
        <v>81</v>
      </c>
      <c r="AB547" s="4">
        <v>1</v>
      </c>
      <c r="AC547" s="4">
        <v>14</v>
      </c>
      <c r="AD547" s="4">
        <v>49</v>
      </c>
      <c r="AE547" s="4">
        <v>113</v>
      </c>
      <c r="AF547" s="4">
        <v>0</v>
      </c>
      <c r="AG547" s="4">
        <v>8</v>
      </c>
      <c r="AH547" s="4">
        <v>45</v>
      </c>
      <c r="AI547" s="4">
        <v>79</v>
      </c>
      <c r="AJ547" s="4">
        <v>11</v>
      </c>
      <c r="AK547" s="4">
        <v>23</v>
      </c>
      <c r="AL547" s="4">
        <v>26</v>
      </c>
      <c r="AM547" s="4">
        <v>39</v>
      </c>
      <c r="AN547" s="4">
        <v>0</v>
      </c>
      <c r="AO547" s="4">
        <v>0</v>
      </c>
      <c r="AP547" s="4">
        <v>11</v>
      </c>
      <c r="AQ547" s="4">
        <v>43</v>
      </c>
      <c r="AR547" s="3" t="s">
        <v>62</v>
      </c>
      <c r="AS547" s="3" t="s">
        <v>62</v>
      </c>
      <c r="AT547" s="3" t="s">
        <v>62</v>
      </c>
      <c r="AV547" s="6" t="str">
        <f>HYPERLINK("http://mcgill.on.worldcat.org/oclc/708578900","Catalog Record")</f>
        <v>Catalog Record</v>
      </c>
      <c r="AW547" s="6" t="str">
        <f>HYPERLINK("http://www.worldcat.org/oclc/708578900","WorldCat Record")</f>
        <v>WorldCat Record</v>
      </c>
      <c r="AX547" s="3" t="s">
        <v>5648</v>
      </c>
      <c r="AY547" s="3" t="s">
        <v>5649</v>
      </c>
      <c r="AZ547" s="3" t="s">
        <v>5650</v>
      </c>
      <c r="BA547" s="3" t="s">
        <v>5650</v>
      </c>
      <c r="BB547" s="3" t="s">
        <v>5651</v>
      </c>
      <c r="BC547" s="3" t="s">
        <v>102</v>
      </c>
      <c r="BD547" s="3" t="s">
        <v>68</v>
      </c>
      <c r="BE547" s="3" t="s">
        <v>5652</v>
      </c>
      <c r="BF547" s="3" t="s">
        <v>5651</v>
      </c>
      <c r="BG547" s="3" t="s">
        <v>5653</v>
      </c>
    </row>
    <row r="548" spans="1:59" ht="58" x14ac:dyDescent="0.35">
      <c r="A548" s="2" t="s">
        <v>89</v>
      </c>
      <c r="B548" s="2" t="s">
        <v>90</v>
      </c>
      <c r="C548" s="2" t="s">
        <v>5654</v>
      </c>
      <c r="D548" s="2" t="s">
        <v>5655</v>
      </c>
      <c r="E548" s="2" t="s">
        <v>5656</v>
      </c>
      <c r="G548" s="3" t="s">
        <v>62</v>
      </c>
      <c r="I548" s="3" t="s">
        <v>62</v>
      </c>
      <c r="J548" s="3" t="s">
        <v>62</v>
      </c>
      <c r="K548" s="3" t="s">
        <v>63</v>
      </c>
      <c r="L548" s="2" t="s">
        <v>5657</v>
      </c>
      <c r="M548" s="2" t="s">
        <v>5658</v>
      </c>
      <c r="N548" s="3" t="s">
        <v>481</v>
      </c>
      <c r="P548" s="3" t="s">
        <v>64</v>
      </c>
      <c r="Q548" s="2" t="s">
        <v>5659</v>
      </c>
      <c r="R548" s="3" t="s">
        <v>65</v>
      </c>
      <c r="S548" s="4">
        <v>18</v>
      </c>
      <c r="T548" s="4">
        <v>18</v>
      </c>
      <c r="U548" s="5" t="s">
        <v>1526</v>
      </c>
      <c r="V548" s="5" t="s">
        <v>1526</v>
      </c>
      <c r="W548" s="5" t="s">
        <v>67</v>
      </c>
      <c r="X548" s="5" t="s">
        <v>67</v>
      </c>
      <c r="Y548" s="4">
        <v>74</v>
      </c>
      <c r="Z548" s="4">
        <v>8</v>
      </c>
      <c r="AA548" s="4">
        <v>30</v>
      </c>
      <c r="AB548" s="4">
        <v>1</v>
      </c>
      <c r="AC548" s="4">
        <v>4</v>
      </c>
      <c r="AD548" s="4">
        <v>27</v>
      </c>
      <c r="AE548" s="4">
        <v>89</v>
      </c>
      <c r="AF548" s="4">
        <v>0</v>
      </c>
      <c r="AG548" s="4">
        <v>2</v>
      </c>
      <c r="AH548" s="4">
        <v>24</v>
      </c>
      <c r="AI548" s="4">
        <v>80</v>
      </c>
      <c r="AJ548" s="4">
        <v>6</v>
      </c>
      <c r="AK548" s="4">
        <v>15</v>
      </c>
      <c r="AL548" s="4">
        <v>18</v>
      </c>
      <c r="AM548" s="4">
        <v>48</v>
      </c>
      <c r="AN548" s="4">
        <v>0</v>
      </c>
      <c r="AO548" s="4">
        <v>0</v>
      </c>
      <c r="AP548" s="4">
        <v>6</v>
      </c>
      <c r="AQ548" s="4">
        <v>16</v>
      </c>
      <c r="AR548" s="3" t="s">
        <v>62</v>
      </c>
      <c r="AS548" s="3" t="s">
        <v>62</v>
      </c>
      <c r="AT548" s="3" t="s">
        <v>61</v>
      </c>
      <c r="AU548" s="6" t="str">
        <f>HYPERLINK("http://catalog.hathitrust.org/Record/003156583","HathiTrust Record")</f>
        <v>HathiTrust Record</v>
      </c>
      <c r="AV548" s="6" t="str">
        <f>HYPERLINK("http://mcgill.on.worldcat.org/oclc/36900310","Catalog Record")</f>
        <v>Catalog Record</v>
      </c>
      <c r="AW548" s="6" t="str">
        <f>HYPERLINK("http://www.worldcat.org/oclc/36900310","WorldCat Record")</f>
        <v>WorldCat Record</v>
      </c>
      <c r="AX548" s="3" t="s">
        <v>5660</v>
      </c>
      <c r="AY548" s="3" t="s">
        <v>5661</v>
      </c>
      <c r="AZ548" s="3" t="s">
        <v>5662</v>
      </c>
      <c r="BA548" s="3" t="s">
        <v>5662</v>
      </c>
      <c r="BB548" s="3" t="s">
        <v>5663</v>
      </c>
      <c r="BC548" s="3" t="s">
        <v>102</v>
      </c>
      <c r="BD548" s="3" t="s">
        <v>68</v>
      </c>
      <c r="BE548" s="3" t="s">
        <v>5664</v>
      </c>
      <c r="BF548" s="3" t="s">
        <v>5663</v>
      </c>
      <c r="BG548" s="3" t="s">
        <v>5665</v>
      </c>
    </row>
    <row r="549" spans="1:59" ht="58" x14ac:dyDescent="0.35">
      <c r="A549" s="2" t="s">
        <v>89</v>
      </c>
      <c r="B549" s="2" t="s">
        <v>90</v>
      </c>
      <c r="C549" s="2" t="s">
        <v>5666</v>
      </c>
      <c r="D549" s="2" t="s">
        <v>5667</v>
      </c>
      <c r="E549" s="2" t="s">
        <v>5668</v>
      </c>
      <c r="G549" s="3" t="s">
        <v>62</v>
      </c>
      <c r="I549" s="3" t="s">
        <v>62</v>
      </c>
      <c r="J549" s="3" t="s">
        <v>62</v>
      </c>
      <c r="K549" s="3" t="s">
        <v>63</v>
      </c>
      <c r="L549" s="2" t="s">
        <v>5657</v>
      </c>
      <c r="M549" s="2" t="s">
        <v>5669</v>
      </c>
      <c r="N549" s="3" t="s">
        <v>481</v>
      </c>
      <c r="P549" s="3" t="s">
        <v>64</v>
      </c>
      <c r="Q549" s="2" t="s">
        <v>5659</v>
      </c>
      <c r="R549" s="3" t="s">
        <v>65</v>
      </c>
      <c r="S549" s="4">
        <v>3</v>
      </c>
      <c r="T549" s="4">
        <v>3</v>
      </c>
      <c r="U549" s="5" t="s">
        <v>4535</v>
      </c>
      <c r="V549" s="5" t="s">
        <v>4535</v>
      </c>
      <c r="W549" s="5" t="s">
        <v>67</v>
      </c>
      <c r="X549" s="5" t="s">
        <v>67</v>
      </c>
      <c r="Y549" s="4">
        <v>192</v>
      </c>
      <c r="Z549" s="4">
        <v>11</v>
      </c>
      <c r="AA549" s="4">
        <v>24</v>
      </c>
      <c r="AB549" s="4">
        <v>1</v>
      </c>
      <c r="AC549" s="4">
        <v>2</v>
      </c>
      <c r="AD549" s="4">
        <v>67</v>
      </c>
      <c r="AE549" s="4">
        <v>88</v>
      </c>
      <c r="AF549" s="4">
        <v>0</v>
      </c>
      <c r="AG549" s="4">
        <v>0</v>
      </c>
      <c r="AH549" s="4">
        <v>63</v>
      </c>
      <c r="AI549" s="4">
        <v>81</v>
      </c>
      <c r="AJ549" s="4">
        <v>7</v>
      </c>
      <c r="AK549" s="4">
        <v>9</v>
      </c>
      <c r="AL549" s="4">
        <v>36</v>
      </c>
      <c r="AM549" s="4">
        <v>49</v>
      </c>
      <c r="AN549" s="4">
        <v>0</v>
      </c>
      <c r="AO549" s="4">
        <v>5</v>
      </c>
      <c r="AP549" s="4">
        <v>7</v>
      </c>
      <c r="AQ549" s="4">
        <v>11</v>
      </c>
      <c r="AR549" s="3" t="s">
        <v>62</v>
      </c>
      <c r="AS549" s="3" t="s">
        <v>62</v>
      </c>
      <c r="AT549" s="3" t="s">
        <v>61</v>
      </c>
      <c r="AU549" s="6" t="str">
        <f>HYPERLINK("http://catalog.hathitrust.org/Record/003172723","HathiTrust Record")</f>
        <v>HathiTrust Record</v>
      </c>
      <c r="AV549" s="6" t="str">
        <f>HYPERLINK("http://mcgill.on.worldcat.org/oclc/36543322","Catalog Record")</f>
        <v>Catalog Record</v>
      </c>
      <c r="AW549" s="6" t="str">
        <f>HYPERLINK("http://www.worldcat.org/oclc/36543322","WorldCat Record")</f>
        <v>WorldCat Record</v>
      </c>
      <c r="AX549" s="3" t="s">
        <v>5670</v>
      </c>
      <c r="AY549" s="3" t="s">
        <v>5671</v>
      </c>
      <c r="AZ549" s="3" t="s">
        <v>5672</v>
      </c>
      <c r="BA549" s="3" t="s">
        <v>5672</v>
      </c>
      <c r="BB549" s="3" t="s">
        <v>5673</v>
      </c>
      <c r="BC549" s="3" t="s">
        <v>102</v>
      </c>
      <c r="BD549" s="3" t="s">
        <v>68</v>
      </c>
      <c r="BE549" s="3" t="s">
        <v>5674</v>
      </c>
      <c r="BF549" s="3" t="s">
        <v>5673</v>
      </c>
      <c r="BG549" s="3" t="s">
        <v>5675</v>
      </c>
    </row>
    <row r="550" spans="1:59" ht="58" x14ac:dyDescent="0.35">
      <c r="A550" s="2" t="s">
        <v>89</v>
      </c>
      <c r="B550" s="2" t="s">
        <v>90</v>
      </c>
      <c r="C550" s="2" t="s">
        <v>5676</v>
      </c>
      <c r="D550" s="2" t="s">
        <v>5677</v>
      </c>
      <c r="E550" s="2" t="s">
        <v>5678</v>
      </c>
      <c r="G550" s="3" t="s">
        <v>62</v>
      </c>
      <c r="I550" s="3" t="s">
        <v>62</v>
      </c>
      <c r="J550" s="3" t="s">
        <v>62</v>
      </c>
      <c r="K550" s="3" t="s">
        <v>63</v>
      </c>
      <c r="L550" s="2" t="s">
        <v>5645</v>
      </c>
      <c r="M550" s="2" t="s">
        <v>5679</v>
      </c>
      <c r="N550" s="3" t="s">
        <v>596</v>
      </c>
      <c r="P550" s="3" t="s">
        <v>64</v>
      </c>
      <c r="Q550" s="2" t="s">
        <v>5680</v>
      </c>
      <c r="R550" s="3" t="s">
        <v>65</v>
      </c>
      <c r="S550" s="4">
        <v>8</v>
      </c>
      <c r="T550" s="4">
        <v>8</v>
      </c>
      <c r="U550" s="5" t="s">
        <v>5681</v>
      </c>
      <c r="V550" s="5" t="s">
        <v>5681</v>
      </c>
      <c r="W550" s="5" t="s">
        <v>67</v>
      </c>
      <c r="X550" s="5" t="s">
        <v>67</v>
      </c>
      <c r="Y550" s="4">
        <v>168</v>
      </c>
      <c r="Z550" s="4">
        <v>10</v>
      </c>
      <c r="AA550" s="4">
        <v>25</v>
      </c>
      <c r="AB550" s="4">
        <v>2</v>
      </c>
      <c r="AC550" s="4">
        <v>4</v>
      </c>
      <c r="AD550" s="4">
        <v>70</v>
      </c>
      <c r="AE550" s="4">
        <v>88</v>
      </c>
      <c r="AF550" s="4">
        <v>0</v>
      </c>
      <c r="AG550" s="4">
        <v>1</v>
      </c>
      <c r="AH550" s="4">
        <v>65</v>
      </c>
      <c r="AI550" s="4">
        <v>80</v>
      </c>
      <c r="AJ550" s="4">
        <v>7</v>
      </c>
      <c r="AK550" s="4">
        <v>11</v>
      </c>
      <c r="AL550" s="4">
        <v>38</v>
      </c>
      <c r="AM550" s="4">
        <v>48</v>
      </c>
      <c r="AN550" s="4">
        <v>0</v>
      </c>
      <c r="AO550" s="4">
        <v>0</v>
      </c>
      <c r="AP550" s="4">
        <v>7</v>
      </c>
      <c r="AQ550" s="4">
        <v>13</v>
      </c>
      <c r="AR550" s="3" t="s">
        <v>62</v>
      </c>
      <c r="AS550" s="3" t="s">
        <v>62</v>
      </c>
      <c r="AT550" s="3" t="s">
        <v>62</v>
      </c>
      <c r="AV550" s="6" t="str">
        <f>HYPERLINK("http://mcgill.on.worldcat.org/oclc/49310216","Catalog Record")</f>
        <v>Catalog Record</v>
      </c>
      <c r="AW550" s="6" t="str">
        <f>HYPERLINK("http://www.worldcat.org/oclc/49310216","WorldCat Record")</f>
        <v>WorldCat Record</v>
      </c>
      <c r="AX550" s="3" t="s">
        <v>5682</v>
      </c>
      <c r="AY550" s="3" t="s">
        <v>5683</v>
      </c>
      <c r="AZ550" s="3" t="s">
        <v>5684</v>
      </c>
      <c r="BA550" s="3" t="s">
        <v>5684</v>
      </c>
      <c r="BB550" s="3" t="s">
        <v>5685</v>
      </c>
      <c r="BC550" s="3" t="s">
        <v>102</v>
      </c>
      <c r="BD550" s="3" t="s">
        <v>68</v>
      </c>
      <c r="BE550" s="3" t="s">
        <v>5686</v>
      </c>
      <c r="BF550" s="3" t="s">
        <v>5685</v>
      </c>
      <c r="BG550" s="3" t="s">
        <v>5687</v>
      </c>
    </row>
    <row r="551" spans="1:59" ht="58" x14ac:dyDescent="0.35">
      <c r="A551" s="2" t="s">
        <v>89</v>
      </c>
      <c r="B551" s="2" t="s">
        <v>90</v>
      </c>
      <c r="C551" s="2" t="s">
        <v>5688</v>
      </c>
      <c r="D551" s="2" t="s">
        <v>5689</v>
      </c>
      <c r="E551" s="2" t="s">
        <v>5690</v>
      </c>
      <c r="G551" s="3" t="s">
        <v>62</v>
      </c>
      <c r="I551" s="3" t="s">
        <v>62</v>
      </c>
      <c r="J551" s="3" t="s">
        <v>62</v>
      </c>
      <c r="K551" s="3" t="s">
        <v>63</v>
      </c>
      <c r="L551" s="2" t="s">
        <v>5657</v>
      </c>
      <c r="M551" s="2" t="s">
        <v>5691</v>
      </c>
      <c r="N551" s="3" t="s">
        <v>115</v>
      </c>
      <c r="P551" s="3" t="s">
        <v>64</v>
      </c>
      <c r="Q551" s="2" t="s">
        <v>5659</v>
      </c>
      <c r="R551" s="3" t="s">
        <v>65</v>
      </c>
      <c r="S551" s="4">
        <v>15</v>
      </c>
      <c r="T551" s="4">
        <v>15</v>
      </c>
      <c r="U551" s="5" t="s">
        <v>4535</v>
      </c>
      <c r="V551" s="5" t="s">
        <v>4535</v>
      </c>
      <c r="W551" s="5" t="s">
        <v>67</v>
      </c>
      <c r="X551" s="5" t="s">
        <v>67</v>
      </c>
      <c r="Y551" s="4">
        <v>352</v>
      </c>
      <c r="Z551" s="4">
        <v>21</v>
      </c>
      <c r="AA551" s="4">
        <v>37</v>
      </c>
      <c r="AB551" s="4">
        <v>2</v>
      </c>
      <c r="AC551" s="4">
        <v>5</v>
      </c>
      <c r="AD551" s="4">
        <v>98</v>
      </c>
      <c r="AE551" s="4">
        <v>119</v>
      </c>
      <c r="AF551" s="4">
        <v>1</v>
      </c>
      <c r="AG551" s="4">
        <v>2</v>
      </c>
      <c r="AH551" s="4">
        <v>87</v>
      </c>
      <c r="AI551" s="4">
        <v>103</v>
      </c>
      <c r="AJ551" s="4">
        <v>12</v>
      </c>
      <c r="AK551" s="4">
        <v>18</v>
      </c>
      <c r="AL551" s="4">
        <v>47</v>
      </c>
      <c r="AM551" s="4">
        <v>56</v>
      </c>
      <c r="AN551" s="4">
        <v>0</v>
      </c>
      <c r="AO551" s="4">
        <v>1</v>
      </c>
      <c r="AP551" s="4">
        <v>15</v>
      </c>
      <c r="AQ551" s="4">
        <v>23</v>
      </c>
      <c r="AR551" s="3" t="s">
        <v>62</v>
      </c>
      <c r="AS551" s="3" t="s">
        <v>62</v>
      </c>
      <c r="AT551" s="3" t="s">
        <v>62</v>
      </c>
      <c r="AV551" s="6" t="str">
        <f>HYPERLINK("http://mcgill.on.worldcat.org/oclc/17768788","Catalog Record")</f>
        <v>Catalog Record</v>
      </c>
      <c r="AW551" s="6" t="str">
        <f>HYPERLINK("http://www.worldcat.org/oclc/17768788","WorldCat Record")</f>
        <v>WorldCat Record</v>
      </c>
      <c r="AX551" s="3" t="s">
        <v>5692</v>
      </c>
      <c r="AY551" s="3" t="s">
        <v>5693</v>
      </c>
      <c r="AZ551" s="3" t="s">
        <v>5694</v>
      </c>
      <c r="BA551" s="3" t="s">
        <v>5694</v>
      </c>
      <c r="BB551" s="3" t="s">
        <v>5695</v>
      </c>
      <c r="BC551" s="3" t="s">
        <v>102</v>
      </c>
      <c r="BD551" s="3" t="s">
        <v>68</v>
      </c>
      <c r="BE551" s="3" t="s">
        <v>5696</v>
      </c>
      <c r="BF551" s="3" t="s">
        <v>5695</v>
      </c>
      <c r="BG551" s="3" t="s">
        <v>5697</v>
      </c>
    </row>
    <row r="552" spans="1:59" ht="58" x14ac:dyDescent="0.35">
      <c r="A552" s="2" t="s">
        <v>89</v>
      </c>
      <c r="B552" s="2" t="s">
        <v>90</v>
      </c>
      <c r="C552" s="2" t="s">
        <v>5698</v>
      </c>
      <c r="D552" s="2" t="s">
        <v>5699</v>
      </c>
      <c r="E552" s="2" t="s">
        <v>5700</v>
      </c>
      <c r="G552" s="3" t="s">
        <v>62</v>
      </c>
      <c r="I552" s="3" t="s">
        <v>62</v>
      </c>
      <c r="J552" s="3" t="s">
        <v>62</v>
      </c>
      <c r="K552" s="3" t="s">
        <v>63</v>
      </c>
      <c r="L552" s="2" t="s">
        <v>5645</v>
      </c>
      <c r="M552" s="2" t="s">
        <v>5492</v>
      </c>
      <c r="N552" s="3" t="s">
        <v>698</v>
      </c>
      <c r="P552" s="3" t="s">
        <v>64</v>
      </c>
      <c r="Q552" s="2" t="s">
        <v>5493</v>
      </c>
      <c r="R552" s="3" t="s">
        <v>65</v>
      </c>
      <c r="S552" s="4">
        <v>0</v>
      </c>
      <c r="T552" s="4">
        <v>0</v>
      </c>
      <c r="W552" s="5" t="s">
        <v>67</v>
      </c>
      <c r="X552" s="5" t="s">
        <v>67</v>
      </c>
      <c r="Y552" s="4">
        <v>56</v>
      </c>
      <c r="Z552" s="4">
        <v>4</v>
      </c>
      <c r="AA552" s="4">
        <v>71</v>
      </c>
      <c r="AB552" s="4">
        <v>1</v>
      </c>
      <c r="AC552" s="4">
        <v>14</v>
      </c>
      <c r="AD552" s="4">
        <v>23</v>
      </c>
      <c r="AE552" s="4">
        <v>90</v>
      </c>
      <c r="AF552" s="4">
        <v>0</v>
      </c>
      <c r="AG552" s="4">
        <v>8</v>
      </c>
      <c r="AH552" s="4">
        <v>20</v>
      </c>
      <c r="AI552" s="4">
        <v>60</v>
      </c>
      <c r="AJ552" s="4">
        <v>3</v>
      </c>
      <c r="AK552" s="4">
        <v>19</v>
      </c>
      <c r="AL552" s="4">
        <v>14</v>
      </c>
      <c r="AM552" s="4">
        <v>30</v>
      </c>
      <c r="AN552" s="4">
        <v>0</v>
      </c>
      <c r="AO552" s="4">
        <v>0</v>
      </c>
      <c r="AP552" s="4">
        <v>3</v>
      </c>
      <c r="AQ552" s="4">
        <v>36</v>
      </c>
      <c r="AR552" s="3" t="s">
        <v>62</v>
      </c>
      <c r="AS552" s="3" t="s">
        <v>62</v>
      </c>
      <c r="AT552" s="3" t="s">
        <v>62</v>
      </c>
      <c r="AV552" s="6" t="str">
        <f>HYPERLINK("http://mcgill.on.worldcat.org/oclc/795182292","Catalog Record")</f>
        <v>Catalog Record</v>
      </c>
      <c r="AW552" s="6" t="str">
        <f>HYPERLINK("http://www.worldcat.org/oclc/795182292","WorldCat Record")</f>
        <v>WorldCat Record</v>
      </c>
      <c r="AX552" s="3" t="s">
        <v>5701</v>
      </c>
      <c r="AY552" s="3" t="s">
        <v>5702</v>
      </c>
      <c r="AZ552" s="3" t="s">
        <v>5703</v>
      </c>
      <c r="BA552" s="3" t="s">
        <v>5703</v>
      </c>
      <c r="BB552" s="3" t="s">
        <v>5704</v>
      </c>
      <c r="BC552" s="3" t="s">
        <v>102</v>
      </c>
      <c r="BD552" s="3" t="s">
        <v>68</v>
      </c>
      <c r="BE552" s="3" t="s">
        <v>5705</v>
      </c>
      <c r="BF552" s="3" t="s">
        <v>5704</v>
      </c>
      <c r="BG552" s="3" t="s">
        <v>5706</v>
      </c>
    </row>
    <row r="553" spans="1:59" ht="58" x14ac:dyDescent="0.35">
      <c r="A553" s="2" t="s">
        <v>89</v>
      </c>
      <c r="B553" s="2" t="s">
        <v>90</v>
      </c>
      <c r="C553" s="2" t="s">
        <v>5707</v>
      </c>
      <c r="D553" s="2" t="s">
        <v>5708</v>
      </c>
      <c r="E553" s="2" t="s">
        <v>5709</v>
      </c>
      <c r="G553" s="3" t="s">
        <v>62</v>
      </c>
      <c r="I553" s="3" t="s">
        <v>62</v>
      </c>
      <c r="J553" s="3" t="s">
        <v>62</v>
      </c>
      <c r="K553" s="3" t="s">
        <v>63</v>
      </c>
      <c r="L553" s="2" t="s">
        <v>5645</v>
      </c>
      <c r="M553" s="2" t="s">
        <v>5492</v>
      </c>
      <c r="N553" s="3" t="s">
        <v>698</v>
      </c>
      <c r="P553" s="3" t="s">
        <v>64</v>
      </c>
      <c r="Q553" s="2" t="s">
        <v>5493</v>
      </c>
      <c r="R553" s="3" t="s">
        <v>65</v>
      </c>
      <c r="S553" s="4">
        <v>2</v>
      </c>
      <c r="T553" s="4">
        <v>2</v>
      </c>
      <c r="U553" s="5" t="s">
        <v>5647</v>
      </c>
      <c r="V553" s="5" t="s">
        <v>5647</v>
      </c>
      <c r="W553" s="5" t="s">
        <v>67</v>
      </c>
      <c r="X553" s="5" t="s">
        <v>67</v>
      </c>
      <c r="Y553" s="4">
        <v>76</v>
      </c>
      <c r="Z553" s="4">
        <v>7</v>
      </c>
      <c r="AA553" s="4">
        <v>71</v>
      </c>
      <c r="AB553" s="4">
        <v>1</v>
      </c>
      <c r="AC553" s="4">
        <v>14</v>
      </c>
      <c r="AD553" s="4">
        <v>41</v>
      </c>
      <c r="AE553" s="4">
        <v>94</v>
      </c>
      <c r="AF553" s="4">
        <v>0</v>
      </c>
      <c r="AG553" s="4">
        <v>8</v>
      </c>
      <c r="AH553" s="4">
        <v>37</v>
      </c>
      <c r="AI553" s="4">
        <v>65</v>
      </c>
      <c r="AJ553" s="4">
        <v>6</v>
      </c>
      <c r="AK553" s="4">
        <v>19</v>
      </c>
      <c r="AL553" s="4">
        <v>27</v>
      </c>
      <c r="AM553" s="4">
        <v>36</v>
      </c>
      <c r="AN553" s="4">
        <v>0</v>
      </c>
      <c r="AO553" s="4">
        <v>0</v>
      </c>
      <c r="AP553" s="4">
        <v>6</v>
      </c>
      <c r="AQ553" s="4">
        <v>36</v>
      </c>
      <c r="AR553" s="3" t="s">
        <v>62</v>
      </c>
      <c r="AS553" s="3" t="s">
        <v>62</v>
      </c>
      <c r="AT553" s="3" t="s">
        <v>62</v>
      </c>
      <c r="AV553" s="6" t="str">
        <f>HYPERLINK("http://mcgill.on.worldcat.org/oclc/809076842","Catalog Record")</f>
        <v>Catalog Record</v>
      </c>
      <c r="AW553" s="6" t="str">
        <f>HYPERLINK("http://www.worldcat.org/oclc/809076842","WorldCat Record")</f>
        <v>WorldCat Record</v>
      </c>
      <c r="AX553" s="3" t="s">
        <v>5710</v>
      </c>
      <c r="AY553" s="3" t="s">
        <v>5711</v>
      </c>
      <c r="AZ553" s="3" t="s">
        <v>5712</v>
      </c>
      <c r="BA553" s="3" t="s">
        <v>5712</v>
      </c>
      <c r="BB553" s="3" t="s">
        <v>5713</v>
      </c>
      <c r="BC553" s="3" t="s">
        <v>102</v>
      </c>
      <c r="BD553" s="3" t="s">
        <v>68</v>
      </c>
      <c r="BE553" s="3" t="s">
        <v>5714</v>
      </c>
      <c r="BF553" s="3" t="s">
        <v>5713</v>
      </c>
      <c r="BG553" s="3" t="s">
        <v>5715</v>
      </c>
    </row>
    <row r="554" spans="1:59" ht="58" x14ac:dyDescent="0.35">
      <c r="A554" s="2" t="s">
        <v>89</v>
      </c>
      <c r="B554" s="2" t="s">
        <v>90</v>
      </c>
      <c r="C554" s="2" t="s">
        <v>5716</v>
      </c>
      <c r="D554" s="2" t="s">
        <v>5717</v>
      </c>
      <c r="E554" s="2" t="s">
        <v>5718</v>
      </c>
      <c r="G554" s="3" t="s">
        <v>62</v>
      </c>
      <c r="I554" s="3" t="s">
        <v>62</v>
      </c>
      <c r="J554" s="3" t="s">
        <v>62</v>
      </c>
      <c r="K554" s="3" t="s">
        <v>63</v>
      </c>
      <c r="L554" s="2" t="s">
        <v>5657</v>
      </c>
      <c r="M554" s="2" t="s">
        <v>5719</v>
      </c>
      <c r="N554" s="3" t="s">
        <v>509</v>
      </c>
      <c r="P554" s="3" t="s">
        <v>64</v>
      </c>
      <c r="Q554" s="2" t="s">
        <v>5659</v>
      </c>
      <c r="R554" s="3" t="s">
        <v>65</v>
      </c>
      <c r="S554" s="4">
        <v>5</v>
      </c>
      <c r="T554" s="4">
        <v>5</v>
      </c>
      <c r="U554" s="5" t="s">
        <v>4535</v>
      </c>
      <c r="V554" s="5" t="s">
        <v>4535</v>
      </c>
      <c r="W554" s="5" t="s">
        <v>67</v>
      </c>
      <c r="X554" s="5" t="s">
        <v>67</v>
      </c>
      <c r="Y554" s="4">
        <v>260</v>
      </c>
      <c r="Z554" s="4">
        <v>18</v>
      </c>
      <c r="AA554" s="4">
        <v>35</v>
      </c>
      <c r="AB554" s="4">
        <v>1</v>
      </c>
      <c r="AC554" s="4">
        <v>4</v>
      </c>
      <c r="AD554" s="4">
        <v>90</v>
      </c>
      <c r="AE554" s="4">
        <v>110</v>
      </c>
      <c r="AF554" s="4">
        <v>0</v>
      </c>
      <c r="AG554" s="4">
        <v>2</v>
      </c>
      <c r="AH554" s="4">
        <v>79</v>
      </c>
      <c r="AI554" s="4">
        <v>95</v>
      </c>
      <c r="AJ554" s="4">
        <v>13</v>
      </c>
      <c r="AK554" s="4">
        <v>18</v>
      </c>
      <c r="AL554" s="4">
        <v>48</v>
      </c>
      <c r="AM554" s="4">
        <v>56</v>
      </c>
      <c r="AN554" s="4">
        <v>0</v>
      </c>
      <c r="AO554" s="4">
        <v>0</v>
      </c>
      <c r="AP554" s="4">
        <v>15</v>
      </c>
      <c r="AQ554" s="4">
        <v>21</v>
      </c>
      <c r="AR554" s="3" t="s">
        <v>62</v>
      </c>
      <c r="AS554" s="3" t="s">
        <v>62</v>
      </c>
      <c r="AT554" s="3" t="s">
        <v>62</v>
      </c>
      <c r="AV554" s="6" t="str">
        <f>HYPERLINK("http://mcgill.on.worldcat.org/oclc/28674540","Catalog Record")</f>
        <v>Catalog Record</v>
      </c>
      <c r="AW554" s="6" t="str">
        <f>HYPERLINK("http://www.worldcat.org/oclc/28674540","WorldCat Record")</f>
        <v>WorldCat Record</v>
      </c>
      <c r="AX554" s="3" t="s">
        <v>5720</v>
      </c>
      <c r="AY554" s="3" t="s">
        <v>5721</v>
      </c>
      <c r="AZ554" s="3" t="s">
        <v>5722</v>
      </c>
      <c r="BA554" s="3" t="s">
        <v>5722</v>
      </c>
      <c r="BB554" s="3" t="s">
        <v>5723</v>
      </c>
      <c r="BC554" s="3" t="s">
        <v>102</v>
      </c>
      <c r="BD554" s="3" t="s">
        <v>68</v>
      </c>
      <c r="BE554" s="3" t="s">
        <v>5724</v>
      </c>
      <c r="BF554" s="3" t="s">
        <v>5723</v>
      </c>
      <c r="BG554" s="3" t="s">
        <v>5725</v>
      </c>
    </row>
    <row r="555" spans="1:59" ht="58" x14ac:dyDescent="0.35">
      <c r="A555" s="2" t="s">
        <v>89</v>
      </c>
      <c r="B555" s="2" t="s">
        <v>90</v>
      </c>
      <c r="C555" s="2" t="s">
        <v>5726</v>
      </c>
      <c r="D555" s="2" t="s">
        <v>5727</v>
      </c>
      <c r="E555" s="2" t="s">
        <v>5728</v>
      </c>
      <c r="G555" s="3" t="s">
        <v>62</v>
      </c>
      <c r="I555" s="3" t="s">
        <v>62</v>
      </c>
      <c r="J555" s="3" t="s">
        <v>62</v>
      </c>
      <c r="K555" s="3" t="s">
        <v>63</v>
      </c>
      <c r="L555" s="2" t="s">
        <v>5657</v>
      </c>
      <c r="M555" s="2" t="s">
        <v>5729</v>
      </c>
      <c r="N555" s="3" t="s">
        <v>129</v>
      </c>
      <c r="P555" s="3" t="s">
        <v>64</v>
      </c>
      <c r="Q555" s="2" t="s">
        <v>5730</v>
      </c>
      <c r="R555" s="3" t="s">
        <v>65</v>
      </c>
      <c r="S555" s="4">
        <v>2</v>
      </c>
      <c r="T555" s="4">
        <v>2</v>
      </c>
      <c r="U555" s="5" t="s">
        <v>5647</v>
      </c>
      <c r="V555" s="5" t="s">
        <v>5647</v>
      </c>
      <c r="W555" s="5" t="s">
        <v>67</v>
      </c>
      <c r="X555" s="5" t="s">
        <v>67</v>
      </c>
      <c r="Y555" s="4">
        <v>99</v>
      </c>
      <c r="Z555" s="4">
        <v>9</v>
      </c>
      <c r="AA555" s="4">
        <v>78</v>
      </c>
      <c r="AB555" s="4">
        <v>1</v>
      </c>
      <c r="AC555" s="4">
        <v>14</v>
      </c>
      <c r="AD555" s="4">
        <v>55</v>
      </c>
      <c r="AE555" s="4">
        <v>118</v>
      </c>
      <c r="AF555" s="4">
        <v>0</v>
      </c>
      <c r="AG555" s="4">
        <v>8</v>
      </c>
      <c r="AH555" s="4">
        <v>54</v>
      </c>
      <c r="AI555" s="4">
        <v>88</v>
      </c>
      <c r="AJ555" s="4">
        <v>6</v>
      </c>
      <c r="AK555" s="4">
        <v>23</v>
      </c>
      <c r="AL555" s="4">
        <v>33</v>
      </c>
      <c r="AM555" s="4">
        <v>46</v>
      </c>
      <c r="AN555" s="4">
        <v>0</v>
      </c>
      <c r="AO555" s="4">
        <v>0</v>
      </c>
      <c r="AP555" s="4">
        <v>6</v>
      </c>
      <c r="AQ555" s="4">
        <v>40</v>
      </c>
      <c r="AR555" s="3" t="s">
        <v>62</v>
      </c>
      <c r="AS555" s="3" t="s">
        <v>62</v>
      </c>
      <c r="AT555" s="3" t="s">
        <v>62</v>
      </c>
      <c r="AV555" s="6" t="str">
        <f>HYPERLINK("http://mcgill.on.worldcat.org/oclc/808810919","Catalog Record")</f>
        <v>Catalog Record</v>
      </c>
      <c r="AW555" s="6" t="str">
        <f>HYPERLINK("http://www.worldcat.org/oclc/808810919","WorldCat Record")</f>
        <v>WorldCat Record</v>
      </c>
      <c r="AX555" s="3" t="s">
        <v>5731</v>
      </c>
      <c r="AY555" s="3" t="s">
        <v>5732</v>
      </c>
      <c r="AZ555" s="3" t="s">
        <v>5733</v>
      </c>
      <c r="BA555" s="3" t="s">
        <v>5733</v>
      </c>
      <c r="BB555" s="3" t="s">
        <v>5734</v>
      </c>
      <c r="BC555" s="3" t="s">
        <v>102</v>
      </c>
      <c r="BD555" s="3" t="s">
        <v>68</v>
      </c>
      <c r="BE555" s="3" t="s">
        <v>5735</v>
      </c>
      <c r="BF555" s="3" t="s">
        <v>5734</v>
      </c>
      <c r="BG555" s="3" t="s">
        <v>5736</v>
      </c>
    </row>
    <row r="556" spans="1:59" ht="58" x14ac:dyDescent="0.35">
      <c r="A556" s="2" t="s">
        <v>89</v>
      </c>
      <c r="B556" s="2" t="s">
        <v>90</v>
      </c>
      <c r="C556" s="2" t="s">
        <v>5737</v>
      </c>
      <c r="D556" s="2" t="s">
        <v>5738</v>
      </c>
      <c r="E556" s="2" t="s">
        <v>5739</v>
      </c>
      <c r="G556" s="3" t="s">
        <v>62</v>
      </c>
      <c r="I556" s="3" t="s">
        <v>61</v>
      </c>
      <c r="J556" s="3" t="s">
        <v>62</v>
      </c>
      <c r="K556" s="3" t="s">
        <v>63</v>
      </c>
      <c r="L556" s="2" t="s">
        <v>5740</v>
      </c>
      <c r="M556" s="2" t="s">
        <v>5741</v>
      </c>
      <c r="N556" s="3" t="s">
        <v>930</v>
      </c>
      <c r="P556" s="3" t="s">
        <v>64</v>
      </c>
      <c r="Q556" s="2" t="s">
        <v>5742</v>
      </c>
      <c r="R556" s="3" t="s">
        <v>65</v>
      </c>
      <c r="S556" s="4">
        <v>31</v>
      </c>
      <c r="T556" s="4">
        <v>40</v>
      </c>
      <c r="U556" s="5" t="s">
        <v>5743</v>
      </c>
      <c r="V556" s="5" t="s">
        <v>5743</v>
      </c>
      <c r="W556" s="5" t="s">
        <v>67</v>
      </c>
      <c r="X556" s="5" t="s">
        <v>67</v>
      </c>
      <c r="Y556" s="4">
        <v>587</v>
      </c>
      <c r="Z556" s="4">
        <v>39</v>
      </c>
      <c r="AA556" s="4">
        <v>52</v>
      </c>
      <c r="AB556" s="4">
        <v>4</v>
      </c>
      <c r="AC556" s="4">
        <v>8</v>
      </c>
      <c r="AD556" s="4">
        <v>116</v>
      </c>
      <c r="AE556" s="4">
        <v>134</v>
      </c>
      <c r="AF556" s="4">
        <v>2</v>
      </c>
      <c r="AG556" s="4">
        <v>5</v>
      </c>
      <c r="AH556" s="4">
        <v>94</v>
      </c>
      <c r="AI556" s="4">
        <v>104</v>
      </c>
      <c r="AJ556" s="4">
        <v>19</v>
      </c>
      <c r="AK556" s="4">
        <v>25</v>
      </c>
      <c r="AL556" s="4">
        <v>56</v>
      </c>
      <c r="AM556" s="4">
        <v>57</v>
      </c>
      <c r="AN556" s="4">
        <v>0</v>
      </c>
      <c r="AO556" s="4">
        <v>0</v>
      </c>
      <c r="AP556" s="4">
        <v>28</v>
      </c>
      <c r="AQ556" s="4">
        <v>38</v>
      </c>
      <c r="AR556" s="3" t="s">
        <v>62</v>
      </c>
      <c r="AS556" s="3" t="s">
        <v>62</v>
      </c>
      <c r="AT556" s="3" t="s">
        <v>61</v>
      </c>
      <c r="AU556" s="6" t="str">
        <f>HYPERLINK("http://catalog.hathitrust.org/Record/001380885","HathiTrust Record")</f>
        <v>HathiTrust Record</v>
      </c>
      <c r="AV556" s="6" t="str">
        <f>HYPERLINK("http://mcgill.on.worldcat.org/oclc/312683","Catalog Record")</f>
        <v>Catalog Record</v>
      </c>
      <c r="AW556" s="6" t="str">
        <f>HYPERLINK("http://www.worldcat.org/oclc/312683","WorldCat Record")</f>
        <v>WorldCat Record</v>
      </c>
      <c r="AX556" s="3" t="s">
        <v>5744</v>
      </c>
      <c r="AY556" s="3" t="s">
        <v>5745</v>
      </c>
      <c r="AZ556" s="3" t="s">
        <v>5746</v>
      </c>
      <c r="BA556" s="3" t="s">
        <v>5746</v>
      </c>
      <c r="BB556" s="3" t="s">
        <v>5747</v>
      </c>
      <c r="BC556" s="3" t="s">
        <v>102</v>
      </c>
      <c r="BD556" s="3" t="s">
        <v>68</v>
      </c>
      <c r="BF556" s="3" t="s">
        <v>5747</v>
      </c>
      <c r="BG556" s="3" t="s">
        <v>5748</v>
      </c>
    </row>
    <row r="557" spans="1:59" ht="58" x14ac:dyDescent="0.35">
      <c r="A557" s="2" t="s">
        <v>89</v>
      </c>
      <c r="B557" s="2" t="s">
        <v>90</v>
      </c>
      <c r="C557" s="2" t="s">
        <v>5749</v>
      </c>
      <c r="D557" s="2" t="s">
        <v>5750</v>
      </c>
      <c r="E557" s="2" t="s">
        <v>5751</v>
      </c>
      <c r="G557" s="3" t="s">
        <v>62</v>
      </c>
      <c r="I557" s="3" t="s">
        <v>62</v>
      </c>
      <c r="J557" s="3" t="s">
        <v>62</v>
      </c>
      <c r="K557" s="3" t="s">
        <v>63</v>
      </c>
      <c r="L557" s="2" t="s">
        <v>5752</v>
      </c>
      <c r="M557" s="2" t="s">
        <v>5753</v>
      </c>
      <c r="N557" s="3" t="s">
        <v>880</v>
      </c>
      <c r="P557" s="3" t="s">
        <v>64</v>
      </c>
      <c r="Q557" s="2" t="s">
        <v>5493</v>
      </c>
      <c r="R557" s="3" t="s">
        <v>65</v>
      </c>
      <c r="S557" s="4">
        <v>2</v>
      </c>
      <c r="T557" s="4">
        <v>2</v>
      </c>
      <c r="U557" s="5" t="s">
        <v>5647</v>
      </c>
      <c r="V557" s="5" t="s">
        <v>5647</v>
      </c>
      <c r="W557" s="5" t="s">
        <v>67</v>
      </c>
      <c r="X557" s="5" t="s">
        <v>67</v>
      </c>
      <c r="Y557" s="4">
        <v>23</v>
      </c>
      <c r="Z557" s="4">
        <v>1</v>
      </c>
      <c r="AA557" s="4">
        <v>71</v>
      </c>
      <c r="AB557" s="4">
        <v>1</v>
      </c>
      <c r="AC557" s="4">
        <v>15</v>
      </c>
      <c r="AD557" s="4">
        <v>5</v>
      </c>
      <c r="AE557" s="4">
        <v>98</v>
      </c>
      <c r="AF557" s="4">
        <v>0</v>
      </c>
      <c r="AG557" s="4">
        <v>8</v>
      </c>
      <c r="AH557" s="4">
        <v>5</v>
      </c>
      <c r="AI557" s="4">
        <v>70</v>
      </c>
      <c r="AJ557" s="4">
        <v>0</v>
      </c>
      <c r="AK557" s="4">
        <v>18</v>
      </c>
      <c r="AL557" s="4">
        <v>4</v>
      </c>
      <c r="AM557" s="4">
        <v>37</v>
      </c>
      <c r="AN557" s="4">
        <v>0</v>
      </c>
      <c r="AO557" s="4">
        <v>0</v>
      </c>
      <c r="AP557" s="4">
        <v>0</v>
      </c>
      <c r="AQ557" s="4">
        <v>35</v>
      </c>
      <c r="AR557" s="3" t="s">
        <v>62</v>
      </c>
      <c r="AS557" s="3" t="s">
        <v>62</v>
      </c>
      <c r="AT557" s="3" t="s">
        <v>62</v>
      </c>
      <c r="AV557" s="6" t="str">
        <f>HYPERLINK("http://mcgill.on.worldcat.org/oclc/645701658","Catalog Record")</f>
        <v>Catalog Record</v>
      </c>
      <c r="AW557" s="6" t="str">
        <f>HYPERLINK("http://www.worldcat.org/oclc/645701658","WorldCat Record")</f>
        <v>WorldCat Record</v>
      </c>
      <c r="AX557" s="3" t="s">
        <v>5754</v>
      </c>
      <c r="AY557" s="3" t="s">
        <v>5755</v>
      </c>
      <c r="AZ557" s="3" t="s">
        <v>5756</v>
      </c>
      <c r="BA557" s="3" t="s">
        <v>5756</v>
      </c>
      <c r="BB557" s="3" t="s">
        <v>5757</v>
      </c>
      <c r="BC557" s="3" t="s">
        <v>102</v>
      </c>
      <c r="BD557" s="3" t="s">
        <v>68</v>
      </c>
      <c r="BE557" s="3" t="s">
        <v>5758</v>
      </c>
      <c r="BF557" s="3" t="s">
        <v>5757</v>
      </c>
      <c r="BG557" s="3" t="s">
        <v>5759</v>
      </c>
    </row>
    <row r="558" spans="1:59" ht="58" x14ac:dyDescent="0.35">
      <c r="A558" s="2" t="s">
        <v>89</v>
      </c>
      <c r="B558" s="2" t="s">
        <v>90</v>
      </c>
      <c r="C558" s="2" t="s">
        <v>5760</v>
      </c>
      <c r="D558" s="2" t="s">
        <v>5761</v>
      </c>
      <c r="E558" s="2" t="s">
        <v>5762</v>
      </c>
      <c r="G558" s="3" t="s">
        <v>62</v>
      </c>
      <c r="I558" s="3" t="s">
        <v>61</v>
      </c>
      <c r="J558" s="3" t="s">
        <v>61</v>
      </c>
      <c r="K558" s="3" t="s">
        <v>63</v>
      </c>
      <c r="L558" s="2" t="s">
        <v>5763</v>
      </c>
      <c r="M558" s="2" t="s">
        <v>5764</v>
      </c>
      <c r="N558" s="3" t="s">
        <v>611</v>
      </c>
      <c r="O558" s="2" t="s">
        <v>2163</v>
      </c>
      <c r="P558" s="3" t="s">
        <v>64</v>
      </c>
      <c r="Q558" s="2" t="s">
        <v>5765</v>
      </c>
      <c r="R558" s="3" t="s">
        <v>65</v>
      </c>
      <c r="S558" s="4">
        <v>0</v>
      </c>
      <c r="T558" s="4">
        <v>15</v>
      </c>
      <c r="V558" s="5" t="s">
        <v>5766</v>
      </c>
      <c r="W558" s="5" t="s">
        <v>67</v>
      </c>
      <c r="X558" s="5" t="s">
        <v>67</v>
      </c>
      <c r="Y558" s="4">
        <v>512</v>
      </c>
      <c r="Z558" s="4">
        <v>18</v>
      </c>
      <c r="AA558" s="4">
        <v>59</v>
      </c>
      <c r="AB558" s="4">
        <v>2</v>
      </c>
      <c r="AC558" s="4">
        <v>6</v>
      </c>
      <c r="AD558" s="4">
        <v>104</v>
      </c>
      <c r="AE558" s="4">
        <v>146</v>
      </c>
      <c r="AF558" s="4">
        <v>0</v>
      </c>
      <c r="AG558" s="4">
        <v>4</v>
      </c>
      <c r="AH558" s="4">
        <v>91</v>
      </c>
      <c r="AI558" s="4">
        <v>111</v>
      </c>
      <c r="AJ558" s="4">
        <v>10</v>
      </c>
      <c r="AK558" s="4">
        <v>26</v>
      </c>
      <c r="AL558" s="4">
        <v>57</v>
      </c>
      <c r="AM558" s="4">
        <v>61</v>
      </c>
      <c r="AN558" s="4">
        <v>0</v>
      </c>
      <c r="AO558" s="4">
        <v>0</v>
      </c>
      <c r="AP558" s="4">
        <v>14</v>
      </c>
      <c r="AQ558" s="4">
        <v>39</v>
      </c>
      <c r="AR558" s="3" t="s">
        <v>62</v>
      </c>
      <c r="AS558" s="3" t="s">
        <v>62</v>
      </c>
      <c r="AT558" s="3" t="s">
        <v>62</v>
      </c>
      <c r="AU558" s="6" t="str">
        <f>HYPERLINK("http://catalog.hathitrust.org/Record/001474011","HathiTrust Record")</f>
        <v>HathiTrust Record</v>
      </c>
      <c r="AV558" s="6" t="str">
        <f>HYPERLINK("http://mcgill.on.worldcat.org/oclc/666157","Catalog Record")</f>
        <v>Catalog Record</v>
      </c>
      <c r="AW558" s="6" t="str">
        <f>HYPERLINK("http://www.worldcat.org/oclc/666157","WorldCat Record")</f>
        <v>WorldCat Record</v>
      </c>
      <c r="AX558" s="3" t="s">
        <v>5767</v>
      </c>
      <c r="AY558" s="3" t="s">
        <v>5768</v>
      </c>
      <c r="AZ558" s="3" t="s">
        <v>5769</v>
      </c>
      <c r="BA558" s="3" t="s">
        <v>5769</v>
      </c>
      <c r="BB558" s="3" t="s">
        <v>5770</v>
      </c>
      <c r="BC558" s="3" t="s">
        <v>102</v>
      </c>
      <c r="BD558" s="3" t="s">
        <v>68</v>
      </c>
      <c r="BF558" s="3" t="s">
        <v>5770</v>
      </c>
      <c r="BG558" s="3" t="s">
        <v>5771</v>
      </c>
    </row>
    <row r="559" spans="1:59" ht="58" x14ac:dyDescent="0.35">
      <c r="A559" s="2" t="s">
        <v>89</v>
      </c>
      <c r="B559" s="2" t="s">
        <v>90</v>
      </c>
      <c r="C559" s="2" t="s">
        <v>5760</v>
      </c>
      <c r="D559" s="2" t="s">
        <v>5761</v>
      </c>
      <c r="E559" s="2" t="s">
        <v>5762</v>
      </c>
      <c r="G559" s="3" t="s">
        <v>62</v>
      </c>
      <c r="I559" s="3" t="s">
        <v>61</v>
      </c>
      <c r="J559" s="3" t="s">
        <v>61</v>
      </c>
      <c r="K559" s="3" t="s">
        <v>63</v>
      </c>
      <c r="L559" s="2" t="s">
        <v>5763</v>
      </c>
      <c r="M559" s="2" t="s">
        <v>5764</v>
      </c>
      <c r="N559" s="3" t="s">
        <v>611</v>
      </c>
      <c r="O559" s="2" t="s">
        <v>2163</v>
      </c>
      <c r="P559" s="3" t="s">
        <v>64</v>
      </c>
      <c r="Q559" s="2" t="s">
        <v>5765</v>
      </c>
      <c r="R559" s="3" t="s">
        <v>65</v>
      </c>
      <c r="S559" s="4">
        <v>10</v>
      </c>
      <c r="T559" s="4">
        <v>15</v>
      </c>
      <c r="U559" s="5" t="s">
        <v>5766</v>
      </c>
      <c r="V559" s="5" t="s">
        <v>5766</v>
      </c>
      <c r="W559" s="5" t="s">
        <v>67</v>
      </c>
      <c r="X559" s="5" t="s">
        <v>67</v>
      </c>
      <c r="Y559" s="4">
        <v>512</v>
      </c>
      <c r="Z559" s="4">
        <v>18</v>
      </c>
      <c r="AA559" s="4">
        <v>59</v>
      </c>
      <c r="AB559" s="4">
        <v>2</v>
      </c>
      <c r="AC559" s="4">
        <v>6</v>
      </c>
      <c r="AD559" s="4">
        <v>104</v>
      </c>
      <c r="AE559" s="4">
        <v>146</v>
      </c>
      <c r="AF559" s="4">
        <v>0</v>
      </c>
      <c r="AG559" s="4">
        <v>4</v>
      </c>
      <c r="AH559" s="4">
        <v>91</v>
      </c>
      <c r="AI559" s="4">
        <v>111</v>
      </c>
      <c r="AJ559" s="4">
        <v>10</v>
      </c>
      <c r="AK559" s="4">
        <v>26</v>
      </c>
      <c r="AL559" s="4">
        <v>57</v>
      </c>
      <c r="AM559" s="4">
        <v>61</v>
      </c>
      <c r="AN559" s="4">
        <v>0</v>
      </c>
      <c r="AO559" s="4">
        <v>0</v>
      </c>
      <c r="AP559" s="4">
        <v>14</v>
      </c>
      <c r="AQ559" s="4">
        <v>39</v>
      </c>
      <c r="AR559" s="3" t="s">
        <v>62</v>
      </c>
      <c r="AS559" s="3" t="s">
        <v>62</v>
      </c>
      <c r="AT559" s="3" t="s">
        <v>62</v>
      </c>
      <c r="AU559" s="6" t="str">
        <f>HYPERLINK("http://catalog.hathitrust.org/Record/001474011","HathiTrust Record")</f>
        <v>HathiTrust Record</v>
      </c>
      <c r="AV559" s="6" t="str">
        <f>HYPERLINK("http://mcgill.on.worldcat.org/oclc/666157","Catalog Record")</f>
        <v>Catalog Record</v>
      </c>
      <c r="AW559" s="6" t="str">
        <f>HYPERLINK("http://www.worldcat.org/oclc/666157","WorldCat Record")</f>
        <v>WorldCat Record</v>
      </c>
      <c r="AX559" s="3" t="s">
        <v>5767</v>
      </c>
      <c r="AY559" s="3" t="s">
        <v>5768</v>
      </c>
      <c r="AZ559" s="3" t="s">
        <v>5769</v>
      </c>
      <c r="BA559" s="3" t="s">
        <v>5769</v>
      </c>
      <c r="BB559" s="3" t="s">
        <v>5772</v>
      </c>
      <c r="BC559" s="3" t="s">
        <v>102</v>
      </c>
      <c r="BD559" s="3" t="s">
        <v>68</v>
      </c>
      <c r="BF559" s="3" t="s">
        <v>5772</v>
      </c>
      <c r="BG559" s="3" t="s">
        <v>5773</v>
      </c>
    </row>
    <row r="560" spans="1:59" ht="58" x14ac:dyDescent="0.35">
      <c r="A560" s="2" t="s">
        <v>89</v>
      </c>
      <c r="B560" s="2" t="s">
        <v>90</v>
      </c>
      <c r="C560" s="2" t="s">
        <v>5774</v>
      </c>
      <c r="D560" s="2" t="s">
        <v>5775</v>
      </c>
      <c r="E560" s="2" t="s">
        <v>5776</v>
      </c>
      <c r="G560" s="3" t="s">
        <v>62</v>
      </c>
      <c r="I560" s="3" t="s">
        <v>62</v>
      </c>
      <c r="J560" s="3" t="s">
        <v>62</v>
      </c>
      <c r="K560" s="3" t="s">
        <v>63</v>
      </c>
      <c r="L560" s="2" t="s">
        <v>5777</v>
      </c>
      <c r="M560" s="2" t="s">
        <v>5778</v>
      </c>
      <c r="N560" s="3" t="s">
        <v>596</v>
      </c>
      <c r="P560" s="3" t="s">
        <v>64</v>
      </c>
      <c r="Q560" s="2" t="s">
        <v>5551</v>
      </c>
      <c r="R560" s="3" t="s">
        <v>65</v>
      </c>
      <c r="S560" s="4">
        <v>18</v>
      </c>
      <c r="T560" s="4">
        <v>18</v>
      </c>
      <c r="U560" s="5" t="s">
        <v>84</v>
      </c>
      <c r="V560" s="5" t="s">
        <v>84</v>
      </c>
      <c r="W560" s="5" t="s">
        <v>67</v>
      </c>
      <c r="X560" s="5" t="s">
        <v>67</v>
      </c>
      <c r="Y560" s="4">
        <v>190</v>
      </c>
      <c r="Z560" s="4">
        <v>15</v>
      </c>
      <c r="AA560" s="4">
        <v>28</v>
      </c>
      <c r="AB560" s="4">
        <v>1</v>
      </c>
      <c r="AC560" s="4">
        <v>5</v>
      </c>
      <c r="AD560" s="4">
        <v>77</v>
      </c>
      <c r="AE560" s="4">
        <v>97</v>
      </c>
      <c r="AF560" s="4">
        <v>0</v>
      </c>
      <c r="AG560" s="4">
        <v>1</v>
      </c>
      <c r="AH560" s="4">
        <v>68</v>
      </c>
      <c r="AI560" s="4">
        <v>83</v>
      </c>
      <c r="AJ560" s="4">
        <v>10</v>
      </c>
      <c r="AK560" s="4">
        <v>16</v>
      </c>
      <c r="AL560" s="4">
        <v>43</v>
      </c>
      <c r="AM560" s="4">
        <v>49</v>
      </c>
      <c r="AN560" s="4">
        <v>0</v>
      </c>
      <c r="AO560" s="4">
        <v>0</v>
      </c>
      <c r="AP560" s="4">
        <v>13</v>
      </c>
      <c r="AQ560" s="4">
        <v>21</v>
      </c>
      <c r="AR560" s="3" t="s">
        <v>62</v>
      </c>
      <c r="AS560" s="3" t="s">
        <v>62</v>
      </c>
      <c r="AT560" s="3" t="s">
        <v>62</v>
      </c>
      <c r="AV560" s="6" t="str">
        <f>HYPERLINK("http://mcgill.on.worldcat.org/oclc/48221453","Catalog Record")</f>
        <v>Catalog Record</v>
      </c>
      <c r="AW560" s="6" t="str">
        <f>HYPERLINK("http://www.worldcat.org/oclc/48221453","WorldCat Record")</f>
        <v>WorldCat Record</v>
      </c>
      <c r="AX560" s="3" t="s">
        <v>5779</v>
      </c>
      <c r="AY560" s="3" t="s">
        <v>5780</v>
      </c>
      <c r="AZ560" s="3" t="s">
        <v>5781</v>
      </c>
      <c r="BA560" s="3" t="s">
        <v>5781</v>
      </c>
      <c r="BB560" s="3" t="s">
        <v>5782</v>
      </c>
      <c r="BC560" s="3" t="s">
        <v>102</v>
      </c>
      <c r="BD560" s="3" t="s">
        <v>68</v>
      </c>
      <c r="BE560" s="3" t="s">
        <v>5783</v>
      </c>
      <c r="BF560" s="3" t="s">
        <v>5782</v>
      </c>
      <c r="BG560" s="3" t="s">
        <v>5784</v>
      </c>
    </row>
    <row r="561" spans="1:59" ht="58" x14ac:dyDescent="0.35">
      <c r="A561" s="2" t="s">
        <v>89</v>
      </c>
      <c r="B561" s="2" t="s">
        <v>90</v>
      </c>
      <c r="C561" s="2" t="s">
        <v>5785</v>
      </c>
      <c r="D561" s="2" t="s">
        <v>5786</v>
      </c>
      <c r="E561" s="2" t="s">
        <v>5787</v>
      </c>
      <c r="G561" s="3" t="s">
        <v>62</v>
      </c>
      <c r="I561" s="3" t="s">
        <v>62</v>
      </c>
      <c r="J561" s="3" t="s">
        <v>62</v>
      </c>
      <c r="K561" s="3" t="s">
        <v>63</v>
      </c>
      <c r="L561" s="2" t="s">
        <v>5491</v>
      </c>
      <c r="M561" s="2" t="s">
        <v>5788</v>
      </c>
      <c r="N561" s="3" t="s">
        <v>553</v>
      </c>
      <c r="P561" s="3" t="s">
        <v>64</v>
      </c>
      <c r="Q561" s="2" t="s">
        <v>5680</v>
      </c>
      <c r="R561" s="3" t="s">
        <v>65</v>
      </c>
      <c r="S561" s="4">
        <v>6</v>
      </c>
      <c r="T561" s="4">
        <v>6</v>
      </c>
      <c r="U561" s="5" t="s">
        <v>5789</v>
      </c>
      <c r="V561" s="5" t="s">
        <v>5789</v>
      </c>
      <c r="W561" s="5" t="s">
        <v>67</v>
      </c>
      <c r="X561" s="5" t="s">
        <v>67</v>
      </c>
      <c r="Y561" s="4">
        <v>153</v>
      </c>
      <c r="Z561" s="4">
        <v>9</v>
      </c>
      <c r="AA561" s="4">
        <v>9</v>
      </c>
      <c r="AB561" s="4">
        <v>1</v>
      </c>
      <c r="AC561" s="4">
        <v>1</v>
      </c>
      <c r="AD561" s="4">
        <v>64</v>
      </c>
      <c r="AE561" s="4">
        <v>64</v>
      </c>
      <c r="AF561" s="4">
        <v>0</v>
      </c>
      <c r="AG561" s="4">
        <v>0</v>
      </c>
      <c r="AH561" s="4">
        <v>59</v>
      </c>
      <c r="AI561" s="4">
        <v>59</v>
      </c>
      <c r="AJ561" s="4">
        <v>4</v>
      </c>
      <c r="AK561" s="4">
        <v>4</v>
      </c>
      <c r="AL561" s="4">
        <v>31</v>
      </c>
      <c r="AM561" s="4">
        <v>31</v>
      </c>
      <c r="AN561" s="4">
        <v>0</v>
      </c>
      <c r="AO561" s="4">
        <v>0</v>
      </c>
      <c r="AP561" s="4">
        <v>5</v>
      </c>
      <c r="AQ561" s="4">
        <v>5</v>
      </c>
      <c r="AR561" s="3" t="s">
        <v>62</v>
      </c>
      <c r="AS561" s="3" t="s">
        <v>62</v>
      </c>
      <c r="AT561" s="3" t="s">
        <v>61</v>
      </c>
      <c r="AU561" s="6" t="str">
        <f>HYPERLINK("http://catalog.hathitrust.org/Record/004054568","HathiTrust Record")</f>
        <v>HathiTrust Record</v>
      </c>
      <c r="AV561" s="6" t="str">
        <f>HYPERLINK("http://mcgill.on.worldcat.org/oclc/41387515","Catalog Record")</f>
        <v>Catalog Record</v>
      </c>
      <c r="AW561" s="6" t="str">
        <f>HYPERLINK("http://www.worldcat.org/oclc/41387515","WorldCat Record")</f>
        <v>WorldCat Record</v>
      </c>
      <c r="AX561" s="3" t="s">
        <v>5790</v>
      </c>
      <c r="AY561" s="3" t="s">
        <v>5791</v>
      </c>
      <c r="AZ561" s="3" t="s">
        <v>5792</v>
      </c>
      <c r="BA561" s="3" t="s">
        <v>5792</v>
      </c>
      <c r="BB561" s="3" t="s">
        <v>5793</v>
      </c>
      <c r="BC561" s="3" t="s">
        <v>102</v>
      </c>
      <c r="BD561" s="3" t="s">
        <v>68</v>
      </c>
      <c r="BE561" s="3" t="s">
        <v>5794</v>
      </c>
      <c r="BF561" s="3" t="s">
        <v>5793</v>
      </c>
      <c r="BG561" s="3" t="s">
        <v>5795</v>
      </c>
    </row>
    <row r="562" spans="1:59" ht="58" x14ac:dyDescent="0.35">
      <c r="A562" s="2" t="s">
        <v>89</v>
      </c>
      <c r="B562" s="2" t="s">
        <v>90</v>
      </c>
      <c r="C562" s="2" t="s">
        <v>5796</v>
      </c>
      <c r="D562" s="2" t="s">
        <v>5797</v>
      </c>
      <c r="E562" s="2" t="s">
        <v>5798</v>
      </c>
      <c r="G562" s="3" t="s">
        <v>62</v>
      </c>
      <c r="I562" s="3" t="s">
        <v>62</v>
      </c>
      <c r="J562" s="3" t="s">
        <v>62</v>
      </c>
      <c r="K562" s="3" t="s">
        <v>63</v>
      </c>
      <c r="L562" s="2" t="s">
        <v>5491</v>
      </c>
      <c r="M562" s="2" t="s">
        <v>5719</v>
      </c>
      <c r="N562" s="3" t="s">
        <v>509</v>
      </c>
      <c r="P562" s="3" t="s">
        <v>64</v>
      </c>
      <c r="Q562" s="2" t="s">
        <v>5493</v>
      </c>
      <c r="R562" s="3" t="s">
        <v>65</v>
      </c>
      <c r="S562" s="4">
        <v>17</v>
      </c>
      <c r="T562" s="4">
        <v>17</v>
      </c>
      <c r="U562" s="5" t="s">
        <v>5799</v>
      </c>
      <c r="V562" s="5" t="s">
        <v>5799</v>
      </c>
      <c r="W562" s="5" t="s">
        <v>67</v>
      </c>
      <c r="X562" s="5" t="s">
        <v>67</v>
      </c>
      <c r="Y562" s="4">
        <v>270</v>
      </c>
      <c r="Z562" s="4">
        <v>14</v>
      </c>
      <c r="AA562" s="4">
        <v>32</v>
      </c>
      <c r="AB562" s="4">
        <v>1</v>
      </c>
      <c r="AC562" s="4">
        <v>4</v>
      </c>
      <c r="AD562" s="4">
        <v>83</v>
      </c>
      <c r="AE562" s="4">
        <v>103</v>
      </c>
      <c r="AF562" s="4">
        <v>0</v>
      </c>
      <c r="AG562" s="4">
        <v>2</v>
      </c>
      <c r="AH562" s="4">
        <v>74</v>
      </c>
      <c r="AI562" s="4">
        <v>90</v>
      </c>
      <c r="AJ562" s="4">
        <v>9</v>
      </c>
      <c r="AK562" s="4">
        <v>14</v>
      </c>
      <c r="AL562" s="4">
        <v>45</v>
      </c>
      <c r="AM562" s="4">
        <v>55</v>
      </c>
      <c r="AN562" s="4">
        <v>0</v>
      </c>
      <c r="AO562" s="4">
        <v>0</v>
      </c>
      <c r="AP562" s="4">
        <v>12</v>
      </c>
      <c r="AQ562" s="4">
        <v>18</v>
      </c>
      <c r="AR562" s="3" t="s">
        <v>62</v>
      </c>
      <c r="AS562" s="3" t="s">
        <v>62</v>
      </c>
      <c r="AT562" s="3" t="s">
        <v>61</v>
      </c>
      <c r="AU562" s="6" t="str">
        <f>HYPERLINK("http://catalog.hathitrust.org/Record/002808364","HathiTrust Record")</f>
        <v>HathiTrust Record</v>
      </c>
      <c r="AV562" s="6" t="str">
        <f>HYPERLINK("http://mcgill.on.worldcat.org/oclc/28853700","Catalog Record")</f>
        <v>Catalog Record</v>
      </c>
      <c r="AW562" s="6" t="str">
        <f>HYPERLINK("http://www.worldcat.org/oclc/28853700","WorldCat Record")</f>
        <v>WorldCat Record</v>
      </c>
      <c r="AX562" s="3" t="s">
        <v>5800</v>
      </c>
      <c r="AY562" s="3" t="s">
        <v>5801</v>
      </c>
      <c r="AZ562" s="3" t="s">
        <v>5802</v>
      </c>
      <c r="BA562" s="3" t="s">
        <v>5802</v>
      </c>
      <c r="BB562" s="3" t="s">
        <v>5803</v>
      </c>
      <c r="BC562" s="3" t="s">
        <v>102</v>
      </c>
      <c r="BD562" s="3" t="s">
        <v>231</v>
      </c>
      <c r="BE562" s="3" t="s">
        <v>5804</v>
      </c>
      <c r="BF562" s="3" t="s">
        <v>5803</v>
      </c>
      <c r="BG562" s="3" t="s">
        <v>5805</v>
      </c>
    </row>
    <row r="563" spans="1:59" ht="101.5" x14ac:dyDescent="0.35">
      <c r="A563" s="2" t="s">
        <v>89</v>
      </c>
      <c r="B563" s="2" t="s">
        <v>90</v>
      </c>
      <c r="C563" s="2" t="s">
        <v>5806</v>
      </c>
      <c r="D563" s="2" t="s">
        <v>5807</v>
      </c>
      <c r="E563" s="2" t="s">
        <v>5808</v>
      </c>
      <c r="G563" s="3" t="s">
        <v>62</v>
      </c>
      <c r="I563" s="3" t="s">
        <v>62</v>
      </c>
      <c r="J563" s="3" t="s">
        <v>62</v>
      </c>
      <c r="K563" s="3" t="s">
        <v>63</v>
      </c>
      <c r="M563" s="2" t="s">
        <v>5809</v>
      </c>
      <c r="N563" s="3" t="s">
        <v>698</v>
      </c>
      <c r="P563" s="3" t="s">
        <v>64</v>
      </c>
      <c r="R563" s="3" t="s">
        <v>65</v>
      </c>
      <c r="S563" s="4">
        <v>0</v>
      </c>
      <c r="T563" s="4">
        <v>0</v>
      </c>
      <c r="W563" s="5" t="s">
        <v>67</v>
      </c>
      <c r="X563" s="5" t="s">
        <v>67</v>
      </c>
      <c r="Y563" s="4">
        <v>65</v>
      </c>
      <c r="Z563" s="4">
        <v>6</v>
      </c>
      <c r="AA563" s="4">
        <v>90</v>
      </c>
      <c r="AB563" s="4">
        <v>1</v>
      </c>
      <c r="AC563" s="4">
        <v>16</v>
      </c>
      <c r="AD563" s="4">
        <v>33</v>
      </c>
      <c r="AE563" s="4">
        <v>115</v>
      </c>
      <c r="AF563" s="4">
        <v>0</v>
      </c>
      <c r="AG563" s="4">
        <v>8</v>
      </c>
      <c r="AH563" s="4">
        <v>31</v>
      </c>
      <c r="AI563" s="4">
        <v>79</v>
      </c>
      <c r="AJ563" s="4">
        <v>4</v>
      </c>
      <c r="AK563" s="4">
        <v>21</v>
      </c>
      <c r="AL563" s="4">
        <v>23</v>
      </c>
      <c r="AM563" s="4">
        <v>43</v>
      </c>
      <c r="AN563" s="4">
        <v>0</v>
      </c>
      <c r="AO563" s="4">
        <v>0</v>
      </c>
      <c r="AP563" s="4">
        <v>4</v>
      </c>
      <c r="AQ563" s="4">
        <v>43</v>
      </c>
      <c r="AR563" s="3" t="s">
        <v>62</v>
      </c>
      <c r="AS563" s="3" t="s">
        <v>62</v>
      </c>
      <c r="AT563" s="3" t="s">
        <v>62</v>
      </c>
      <c r="AV563" s="6" t="str">
        <f>HYPERLINK("http://mcgill.on.worldcat.org/oclc/768800613","Catalog Record")</f>
        <v>Catalog Record</v>
      </c>
      <c r="AW563" s="6" t="str">
        <f>HYPERLINK("http://www.worldcat.org/oclc/768800613","WorldCat Record")</f>
        <v>WorldCat Record</v>
      </c>
      <c r="AX563" s="3" t="s">
        <v>5810</v>
      </c>
      <c r="AY563" s="3" t="s">
        <v>5811</v>
      </c>
      <c r="AZ563" s="3" t="s">
        <v>5812</v>
      </c>
      <c r="BA563" s="3" t="s">
        <v>5812</v>
      </c>
      <c r="BB563" s="3" t="s">
        <v>5813</v>
      </c>
      <c r="BC563" s="3" t="s">
        <v>102</v>
      </c>
      <c r="BD563" s="3" t="s">
        <v>68</v>
      </c>
      <c r="BE563" s="3" t="s">
        <v>5814</v>
      </c>
      <c r="BF563" s="3" t="s">
        <v>5813</v>
      </c>
      <c r="BG563" s="3" t="s">
        <v>5815</v>
      </c>
    </row>
    <row r="564" spans="1:59" ht="58" x14ac:dyDescent="0.35">
      <c r="A564" s="2" t="s">
        <v>89</v>
      </c>
      <c r="B564" s="2" t="s">
        <v>90</v>
      </c>
      <c r="C564" s="2" t="s">
        <v>5816</v>
      </c>
      <c r="D564" s="2" t="s">
        <v>5817</v>
      </c>
      <c r="E564" s="2" t="s">
        <v>5818</v>
      </c>
      <c r="G564" s="3" t="s">
        <v>62</v>
      </c>
      <c r="I564" s="3" t="s">
        <v>62</v>
      </c>
      <c r="J564" s="3" t="s">
        <v>61</v>
      </c>
      <c r="K564" s="3" t="s">
        <v>63</v>
      </c>
      <c r="L564" s="2" t="s">
        <v>5657</v>
      </c>
      <c r="M564" s="2" t="s">
        <v>5819</v>
      </c>
      <c r="N564" s="3" t="s">
        <v>640</v>
      </c>
      <c r="P564" s="3" t="s">
        <v>64</v>
      </c>
      <c r="Q564" s="2" t="s">
        <v>5820</v>
      </c>
      <c r="R564" s="3" t="s">
        <v>65</v>
      </c>
      <c r="S564" s="4">
        <v>6</v>
      </c>
      <c r="T564" s="4">
        <v>6</v>
      </c>
      <c r="U564" s="5" t="s">
        <v>5821</v>
      </c>
      <c r="V564" s="5" t="s">
        <v>5821</v>
      </c>
      <c r="W564" s="5" t="s">
        <v>67</v>
      </c>
      <c r="X564" s="5" t="s">
        <v>67</v>
      </c>
      <c r="Y564" s="4">
        <v>34</v>
      </c>
      <c r="Z564" s="4">
        <v>5</v>
      </c>
      <c r="AA564" s="4">
        <v>25</v>
      </c>
      <c r="AB564" s="4">
        <v>1</v>
      </c>
      <c r="AC564" s="4">
        <v>3</v>
      </c>
      <c r="AD564" s="4">
        <v>17</v>
      </c>
      <c r="AE564" s="4">
        <v>80</v>
      </c>
      <c r="AF564" s="4">
        <v>0</v>
      </c>
      <c r="AG564" s="4">
        <v>1</v>
      </c>
      <c r="AH564" s="4">
        <v>17</v>
      </c>
      <c r="AI564" s="4">
        <v>71</v>
      </c>
      <c r="AJ564" s="4">
        <v>3</v>
      </c>
      <c r="AK564" s="4">
        <v>12</v>
      </c>
      <c r="AL564" s="4">
        <v>13</v>
      </c>
      <c r="AM564" s="4">
        <v>43</v>
      </c>
      <c r="AN564" s="4">
        <v>0</v>
      </c>
      <c r="AO564" s="4">
        <v>0</v>
      </c>
      <c r="AP564" s="4">
        <v>3</v>
      </c>
      <c r="AQ564" s="4">
        <v>14</v>
      </c>
      <c r="AR564" s="3" t="s">
        <v>62</v>
      </c>
      <c r="AS564" s="3" t="s">
        <v>62</v>
      </c>
      <c r="AT564" s="3" t="s">
        <v>61</v>
      </c>
      <c r="AU564" s="6" t="str">
        <f>HYPERLINK("http://catalog.hathitrust.org/Record/004912746","HathiTrust Record")</f>
        <v>HathiTrust Record</v>
      </c>
      <c r="AV564" s="6" t="str">
        <f>HYPERLINK("http://mcgill.on.worldcat.org/oclc/50582433","Catalog Record")</f>
        <v>Catalog Record</v>
      </c>
      <c r="AW564" s="6" t="str">
        <f>HYPERLINK("http://www.worldcat.org/oclc/50582433","WorldCat Record")</f>
        <v>WorldCat Record</v>
      </c>
      <c r="AX564" s="3" t="s">
        <v>5822</v>
      </c>
      <c r="AY564" s="3" t="s">
        <v>5823</v>
      </c>
      <c r="AZ564" s="3" t="s">
        <v>5824</v>
      </c>
      <c r="BA564" s="3" t="s">
        <v>5824</v>
      </c>
      <c r="BB564" s="3" t="s">
        <v>5825</v>
      </c>
      <c r="BC564" s="3" t="s">
        <v>102</v>
      </c>
      <c r="BD564" s="3" t="s">
        <v>68</v>
      </c>
      <c r="BE564" s="3" t="s">
        <v>5826</v>
      </c>
      <c r="BF564" s="3" t="s">
        <v>5825</v>
      </c>
      <c r="BG564" s="3" t="s">
        <v>5827</v>
      </c>
    </row>
    <row r="565" spans="1:59" ht="58" x14ac:dyDescent="0.35">
      <c r="A565" s="2" t="s">
        <v>89</v>
      </c>
      <c r="B565" s="2" t="s">
        <v>90</v>
      </c>
      <c r="C565" s="2" t="s">
        <v>5828</v>
      </c>
      <c r="D565" s="2" t="s">
        <v>5829</v>
      </c>
      <c r="E565" s="2" t="s">
        <v>5830</v>
      </c>
      <c r="G565" s="3" t="s">
        <v>62</v>
      </c>
      <c r="I565" s="3" t="s">
        <v>62</v>
      </c>
      <c r="J565" s="3" t="s">
        <v>62</v>
      </c>
      <c r="K565" s="3" t="s">
        <v>63</v>
      </c>
      <c r="L565" s="2" t="s">
        <v>5831</v>
      </c>
      <c r="M565" s="2" t="s">
        <v>5832</v>
      </c>
      <c r="N565" s="3" t="s">
        <v>893</v>
      </c>
      <c r="P565" s="3" t="s">
        <v>64</v>
      </c>
      <c r="R565" s="3" t="s">
        <v>65</v>
      </c>
      <c r="S565" s="4">
        <v>28</v>
      </c>
      <c r="T565" s="4">
        <v>28</v>
      </c>
      <c r="U565" s="5" t="s">
        <v>314</v>
      </c>
      <c r="V565" s="5" t="s">
        <v>314</v>
      </c>
      <c r="W565" s="5" t="s">
        <v>67</v>
      </c>
      <c r="X565" s="5" t="s">
        <v>67</v>
      </c>
      <c r="Y565" s="4">
        <v>447</v>
      </c>
      <c r="Z565" s="4">
        <v>27</v>
      </c>
      <c r="AA565" s="4">
        <v>29</v>
      </c>
      <c r="AB565" s="4">
        <v>1</v>
      </c>
      <c r="AC565" s="4">
        <v>2</v>
      </c>
      <c r="AD565" s="4">
        <v>118</v>
      </c>
      <c r="AE565" s="4">
        <v>119</v>
      </c>
      <c r="AF565" s="4">
        <v>0</v>
      </c>
      <c r="AG565" s="4">
        <v>0</v>
      </c>
      <c r="AH565" s="4">
        <v>106</v>
      </c>
      <c r="AI565" s="4">
        <v>106</v>
      </c>
      <c r="AJ565" s="4">
        <v>14</v>
      </c>
      <c r="AK565" s="4">
        <v>14</v>
      </c>
      <c r="AL565" s="4">
        <v>58</v>
      </c>
      <c r="AM565" s="4">
        <v>58</v>
      </c>
      <c r="AN565" s="4">
        <v>0</v>
      </c>
      <c r="AO565" s="4">
        <v>0</v>
      </c>
      <c r="AP565" s="4">
        <v>20</v>
      </c>
      <c r="AQ565" s="4">
        <v>21</v>
      </c>
      <c r="AR565" s="3" t="s">
        <v>62</v>
      </c>
      <c r="AS565" s="3" t="s">
        <v>62</v>
      </c>
      <c r="AT565" s="3" t="s">
        <v>61</v>
      </c>
      <c r="AU565" s="6" t="str">
        <f>HYPERLINK("http://catalog.hathitrust.org/Record/000765385","HathiTrust Record")</f>
        <v>HathiTrust Record</v>
      </c>
      <c r="AV565" s="6" t="str">
        <f>HYPERLINK("http://mcgill.on.worldcat.org/oclc/7946356","Catalog Record")</f>
        <v>Catalog Record</v>
      </c>
      <c r="AW565" s="6" t="str">
        <f>HYPERLINK("http://www.worldcat.org/oclc/7946356","WorldCat Record")</f>
        <v>WorldCat Record</v>
      </c>
      <c r="AX565" s="3" t="s">
        <v>5833</v>
      </c>
      <c r="AY565" s="3" t="s">
        <v>5834</v>
      </c>
      <c r="AZ565" s="3" t="s">
        <v>5835</v>
      </c>
      <c r="BA565" s="3" t="s">
        <v>5835</v>
      </c>
      <c r="BB565" s="3" t="s">
        <v>5836</v>
      </c>
      <c r="BC565" s="3" t="s">
        <v>102</v>
      </c>
      <c r="BD565" s="3" t="s">
        <v>68</v>
      </c>
      <c r="BE565" s="3" t="s">
        <v>5837</v>
      </c>
      <c r="BF565" s="3" t="s">
        <v>5836</v>
      </c>
      <c r="BG565" s="3" t="s">
        <v>5838</v>
      </c>
    </row>
    <row r="566" spans="1:59" ht="58" x14ac:dyDescent="0.35">
      <c r="A566" s="2" t="s">
        <v>89</v>
      </c>
      <c r="B566" s="2" t="s">
        <v>90</v>
      </c>
      <c r="C566" s="2" t="s">
        <v>5839</v>
      </c>
      <c r="D566" s="2" t="s">
        <v>5840</v>
      </c>
      <c r="E566" s="2" t="s">
        <v>5841</v>
      </c>
      <c r="G566" s="3" t="s">
        <v>62</v>
      </c>
      <c r="I566" s="3" t="s">
        <v>61</v>
      </c>
      <c r="J566" s="3" t="s">
        <v>62</v>
      </c>
      <c r="K566" s="3" t="s">
        <v>63</v>
      </c>
      <c r="M566" s="2" t="s">
        <v>5842</v>
      </c>
      <c r="N566" s="3" t="s">
        <v>285</v>
      </c>
      <c r="P566" s="3" t="s">
        <v>64</v>
      </c>
      <c r="Q566" s="2" t="s">
        <v>5843</v>
      </c>
      <c r="R566" s="3" t="s">
        <v>65</v>
      </c>
      <c r="S566" s="4">
        <v>21</v>
      </c>
      <c r="T566" s="4">
        <v>30</v>
      </c>
      <c r="U566" s="5" t="s">
        <v>5844</v>
      </c>
      <c r="V566" s="5" t="s">
        <v>5844</v>
      </c>
      <c r="W566" s="5" t="s">
        <v>67</v>
      </c>
      <c r="X566" s="5" t="s">
        <v>67</v>
      </c>
      <c r="Y566" s="4">
        <v>338</v>
      </c>
      <c r="Z566" s="4">
        <v>25</v>
      </c>
      <c r="AA566" s="4">
        <v>67</v>
      </c>
      <c r="AB566" s="4">
        <v>3</v>
      </c>
      <c r="AC566" s="4">
        <v>11</v>
      </c>
      <c r="AD566" s="4">
        <v>107</v>
      </c>
      <c r="AE566" s="4">
        <v>143</v>
      </c>
      <c r="AF566" s="4">
        <v>1</v>
      </c>
      <c r="AG566" s="4">
        <v>7</v>
      </c>
      <c r="AH566" s="4">
        <v>94</v>
      </c>
      <c r="AI566" s="4">
        <v>102</v>
      </c>
      <c r="AJ566" s="4">
        <v>14</v>
      </c>
      <c r="AK566" s="4">
        <v>25</v>
      </c>
      <c r="AL566" s="4">
        <v>51</v>
      </c>
      <c r="AM566" s="4">
        <v>54</v>
      </c>
      <c r="AN566" s="4">
        <v>0</v>
      </c>
      <c r="AO566" s="4">
        <v>0</v>
      </c>
      <c r="AP566" s="4">
        <v>20</v>
      </c>
      <c r="AQ566" s="4">
        <v>51</v>
      </c>
      <c r="AR566" s="3" t="s">
        <v>61</v>
      </c>
      <c r="AS566" s="3" t="s">
        <v>62</v>
      </c>
      <c r="AT566" s="3" t="s">
        <v>61</v>
      </c>
      <c r="AU566" s="6" t="str">
        <f>HYPERLINK("http://catalog.hathitrust.org/Record/000774559","HathiTrust Record")</f>
        <v>HathiTrust Record</v>
      </c>
      <c r="AV566" s="6" t="str">
        <f>HYPERLINK("http://mcgill.on.worldcat.org/oclc/6167464","Catalog Record")</f>
        <v>Catalog Record</v>
      </c>
      <c r="AW566" s="6" t="str">
        <f>HYPERLINK("http://www.worldcat.org/oclc/6167464","WorldCat Record")</f>
        <v>WorldCat Record</v>
      </c>
      <c r="AX566" s="3" t="s">
        <v>5845</v>
      </c>
      <c r="AY566" s="3" t="s">
        <v>5846</v>
      </c>
      <c r="AZ566" s="3" t="s">
        <v>5847</v>
      </c>
      <c r="BA566" s="3" t="s">
        <v>5847</v>
      </c>
      <c r="BB566" s="3" t="s">
        <v>5848</v>
      </c>
      <c r="BC566" s="3" t="s">
        <v>102</v>
      </c>
      <c r="BD566" s="3" t="s">
        <v>68</v>
      </c>
      <c r="BE566" s="3" t="s">
        <v>5849</v>
      </c>
      <c r="BF566" s="3" t="s">
        <v>5848</v>
      </c>
      <c r="BG566" s="3" t="s">
        <v>5850</v>
      </c>
    </row>
    <row r="567" spans="1:59" ht="58" x14ac:dyDescent="0.35">
      <c r="A567" s="2" t="s">
        <v>89</v>
      </c>
      <c r="B567" s="2" t="s">
        <v>90</v>
      </c>
      <c r="C567" s="2" t="s">
        <v>5851</v>
      </c>
      <c r="D567" s="2" t="s">
        <v>5852</v>
      </c>
      <c r="E567" s="2" t="s">
        <v>5853</v>
      </c>
      <c r="G567" s="3" t="s">
        <v>62</v>
      </c>
      <c r="I567" s="3" t="s">
        <v>61</v>
      </c>
      <c r="J567" s="3" t="s">
        <v>62</v>
      </c>
      <c r="K567" s="3" t="s">
        <v>63</v>
      </c>
      <c r="L567" s="2" t="s">
        <v>5854</v>
      </c>
      <c r="M567" s="2" t="s">
        <v>5855</v>
      </c>
      <c r="N567" s="3" t="s">
        <v>157</v>
      </c>
      <c r="P567" s="3" t="s">
        <v>64</v>
      </c>
      <c r="Q567" s="2" t="s">
        <v>5765</v>
      </c>
      <c r="R567" s="3" t="s">
        <v>65</v>
      </c>
      <c r="S567" s="4">
        <v>48</v>
      </c>
      <c r="T567" s="4">
        <v>77</v>
      </c>
      <c r="U567" s="5" t="s">
        <v>5844</v>
      </c>
      <c r="V567" s="5" t="s">
        <v>5844</v>
      </c>
      <c r="W567" s="5" t="s">
        <v>67</v>
      </c>
      <c r="X567" s="5" t="s">
        <v>67</v>
      </c>
      <c r="Y567" s="4">
        <v>760</v>
      </c>
      <c r="Z567" s="4">
        <v>48</v>
      </c>
      <c r="AA567" s="4">
        <v>54</v>
      </c>
      <c r="AB567" s="4">
        <v>2</v>
      </c>
      <c r="AC567" s="4">
        <v>5</v>
      </c>
      <c r="AD567" s="4">
        <v>135</v>
      </c>
      <c r="AE567" s="4">
        <v>140</v>
      </c>
      <c r="AF567" s="4">
        <v>1</v>
      </c>
      <c r="AG567" s="4">
        <v>4</v>
      </c>
      <c r="AH567" s="4">
        <v>109</v>
      </c>
      <c r="AI567" s="4">
        <v>111</v>
      </c>
      <c r="AJ567" s="4">
        <v>22</v>
      </c>
      <c r="AK567" s="4">
        <v>26</v>
      </c>
      <c r="AL567" s="4">
        <v>57</v>
      </c>
      <c r="AM567" s="4">
        <v>57</v>
      </c>
      <c r="AN567" s="4">
        <v>0</v>
      </c>
      <c r="AO567" s="4">
        <v>0</v>
      </c>
      <c r="AP567" s="4">
        <v>33</v>
      </c>
      <c r="AQ567" s="4">
        <v>37</v>
      </c>
      <c r="AR567" s="3" t="s">
        <v>62</v>
      </c>
      <c r="AS567" s="3" t="s">
        <v>62</v>
      </c>
      <c r="AT567" s="3" t="s">
        <v>61</v>
      </c>
      <c r="AU567" s="6" t="str">
        <f>HYPERLINK("http://catalog.hathitrust.org/Record/000025294","HathiTrust Record")</f>
        <v>HathiTrust Record</v>
      </c>
      <c r="AV567" s="6" t="str">
        <f>HYPERLINK("http://mcgill.on.worldcat.org/oclc/1066603","Catalog Record")</f>
        <v>Catalog Record</v>
      </c>
      <c r="AW567" s="6" t="str">
        <f>HYPERLINK("http://www.worldcat.org/oclc/1066603","WorldCat Record")</f>
        <v>WorldCat Record</v>
      </c>
      <c r="AX567" s="3" t="s">
        <v>5856</v>
      </c>
      <c r="AY567" s="3" t="s">
        <v>5857</v>
      </c>
      <c r="AZ567" s="3" t="s">
        <v>5858</v>
      </c>
      <c r="BA567" s="3" t="s">
        <v>5858</v>
      </c>
      <c r="BB567" s="3" t="s">
        <v>5859</v>
      </c>
      <c r="BC567" s="3" t="s">
        <v>102</v>
      </c>
      <c r="BD567" s="3" t="s">
        <v>68</v>
      </c>
      <c r="BE567" s="3" t="s">
        <v>5860</v>
      </c>
      <c r="BF567" s="3" t="s">
        <v>5859</v>
      </c>
      <c r="BG567" s="3" t="s">
        <v>5861</v>
      </c>
    </row>
    <row r="568" spans="1:59" ht="58" x14ac:dyDescent="0.35">
      <c r="A568" s="2" t="s">
        <v>89</v>
      </c>
      <c r="B568" s="2" t="s">
        <v>90</v>
      </c>
      <c r="C568" s="2" t="s">
        <v>5862</v>
      </c>
      <c r="D568" s="2" t="s">
        <v>5863</v>
      </c>
      <c r="E568" s="2" t="s">
        <v>5864</v>
      </c>
      <c r="G568" s="3" t="s">
        <v>62</v>
      </c>
      <c r="I568" s="3" t="s">
        <v>62</v>
      </c>
      <c r="J568" s="3" t="s">
        <v>62</v>
      </c>
      <c r="K568" s="3" t="s">
        <v>63</v>
      </c>
      <c r="L568" s="2" t="s">
        <v>5865</v>
      </c>
      <c r="M568" s="2" t="s">
        <v>5866</v>
      </c>
      <c r="N568" s="3" t="s">
        <v>893</v>
      </c>
      <c r="P568" s="3" t="s">
        <v>64</v>
      </c>
      <c r="Q568" s="2" t="s">
        <v>5867</v>
      </c>
      <c r="R568" s="3" t="s">
        <v>65</v>
      </c>
      <c r="S568" s="4">
        <v>7</v>
      </c>
      <c r="T568" s="4">
        <v>7</v>
      </c>
      <c r="U568" s="5" t="s">
        <v>5868</v>
      </c>
      <c r="V568" s="5" t="s">
        <v>5868</v>
      </c>
      <c r="W568" s="5" t="s">
        <v>67</v>
      </c>
      <c r="X568" s="5" t="s">
        <v>67</v>
      </c>
      <c r="Y568" s="4">
        <v>134</v>
      </c>
      <c r="Z568" s="4">
        <v>12</v>
      </c>
      <c r="AA568" s="4">
        <v>13</v>
      </c>
      <c r="AB568" s="4">
        <v>1</v>
      </c>
      <c r="AC568" s="4">
        <v>2</v>
      </c>
      <c r="AD568" s="4">
        <v>55</v>
      </c>
      <c r="AE568" s="4">
        <v>56</v>
      </c>
      <c r="AF568" s="4">
        <v>0</v>
      </c>
      <c r="AG568" s="4">
        <v>1</v>
      </c>
      <c r="AH568" s="4">
        <v>50</v>
      </c>
      <c r="AI568" s="4">
        <v>51</v>
      </c>
      <c r="AJ568" s="4">
        <v>7</v>
      </c>
      <c r="AK568" s="4">
        <v>8</v>
      </c>
      <c r="AL568" s="4">
        <v>34</v>
      </c>
      <c r="AM568" s="4">
        <v>34</v>
      </c>
      <c r="AN568" s="4">
        <v>0</v>
      </c>
      <c r="AO568" s="4">
        <v>0</v>
      </c>
      <c r="AP568" s="4">
        <v>7</v>
      </c>
      <c r="AQ568" s="4">
        <v>8</v>
      </c>
      <c r="AR568" s="3" t="s">
        <v>62</v>
      </c>
      <c r="AS568" s="3" t="s">
        <v>62</v>
      </c>
      <c r="AT568" s="3" t="s">
        <v>61</v>
      </c>
      <c r="AU568" s="6" t="str">
        <f>HYPERLINK("http://catalog.hathitrust.org/Record/002717534","HathiTrust Record")</f>
        <v>HathiTrust Record</v>
      </c>
      <c r="AV568" s="6" t="str">
        <f>HYPERLINK("http://mcgill.on.worldcat.org/oclc/9251530","Catalog Record")</f>
        <v>Catalog Record</v>
      </c>
      <c r="AW568" s="6" t="str">
        <f>HYPERLINK("http://www.worldcat.org/oclc/9251530","WorldCat Record")</f>
        <v>WorldCat Record</v>
      </c>
      <c r="AX568" s="3" t="s">
        <v>5869</v>
      </c>
      <c r="AY568" s="3" t="s">
        <v>5870</v>
      </c>
      <c r="AZ568" s="3" t="s">
        <v>5871</v>
      </c>
      <c r="BA568" s="3" t="s">
        <v>5871</v>
      </c>
      <c r="BB568" s="3" t="s">
        <v>5872</v>
      </c>
      <c r="BC568" s="3" t="s">
        <v>102</v>
      </c>
      <c r="BD568" s="3" t="s">
        <v>231</v>
      </c>
      <c r="BE568" s="3" t="s">
        <v>5873</v>
      </c>
      <c r="BF568" s="3" t="s">
        <v>5872</v>
      </c>
      <c r="BG568" s="3" t="s">
        <v>5874</v>
      </c>
    </row>
    <row r="569" spans="1:59" ht="58" x14ac:dyDescent="0.35">
      <c r="A569" s="2" t="s">
        <v>89</v>
      </c>
      <c r="B569" s="2" t="s">
        <v>90</v>
      </c>
      <c r="C569" s="2" t="s">
        <v>5875</v>
      </c>
      <c r="D569" s="2" t="s">
        <v>5876</v>
      </c>
      <c r="E569" s="2" t="s">
        <v>5877</v>
      </c>
      <c r="G569" s="3" t="s">
        <v>62</v>
      </c>
      <c r="I569" s="3" t="s">
        <v>62</v>
      </c>
      <c r="J569" s="3" t="s">
        <v>62</v>
      </c>
      <c r="K569" s="3" t="s">
        <v>63</v>
      </c>
      <c r="L569" s="2" t="s">
        <v>5878</v>
      </c>
      <c r="M569" s="2" t="s">
        <v>5879</v>
      </c>
      <c r="N569" s="3" t="s">
        <v>741</v>
      </c>
      <c r="P569" s="3" t="s">
        <v>85</v>
      </c>
      <c r="Q569" s="2" t="s">
        <v>5880</v>
      </c>
      <c r="R569" s="3" t="s">
        <v>65</v>
      </c>
      <c r="S569" s="4">
        <v>0</v>
      </c>
      <c r="T569" s="4">
        <v>0</v>
      </c>
      <c r="W569" s="5" t="s">
        <v>5881</v>
      </c>
      <c r="X569" s="5" t="s">
        <v>5881</v>
      </c>
      <c r="Y569" s="4">
        <v>7</v>
      </c>
      <c r="Z569" s="4">
        <v>3</v>
      </c>
      <c r="AA569" s="4">
        <v>4</v>
      </c>
      <c r="AB569" s="4">
        <v>2</v>
      </c>
      <c r="AC569" s="4">
        <v>2</v>
      </c>
      <c r="AD569" s="4">
        <v>2</v>
      </c>
      <c r="AE569" s="4">
        <v>8</v>
      </c>
      <c r="AF569" s="4">
        <v>1</v>
      </c>
      <c r="AG569" s="4">
        <v>1</v>
      </c>
      <c r="AH569" s="4">
        <v>2</v>
      </c>
      <c r="AI569" s="4">
        <v>7</v>
      </c>
      <c r="AJ569" s="4">
        <v>2</v>
      </c>
      <c r="AK569" s="4">
        <v>3</v>
      </c>
      <c r="AL569" s="4">
        <v>0</v>
      </c>
      <c r="AM569" s="4">
        <v>5</v>
      </c>
      <c r="AN569" s="4">
        <v>0</v>
      </c>
      <c r="AO569" s="4">
        <v>0</v>
      </c>
      <c r="AP569" s="4">
        <v>2</v>
      </c>
      <c r="AQ569" s="4">
        <v>3</v>
      </c>
      <c r="AR569" s="3" t="s">
        <v>62</v>
      </c>
      <c r="AS569" s="3" t="s">
        <v>62</v>
      </c>
      <c r="AT569" s="3" t="s">
        <v>62</v>
      </c>
      <c r="AV569" s="6" t="str">
        <f>HYPERLINK("http://mcgill.on.worldcat.org/oclc/1107517572","Catalog Record")</f>
        <v>Catalog Record</v>
      </c>
      <c r="AW569" s="6" t="str">
        <f>HYPERLINK("http://www.worldcat.org/oclc/1107517572","WorldCat Record")</f>
        <v>WorldCat Record</v>
      </c>
      <c r="AX569" s="3" t="s">
        <v>5882</v>
      </c>
      <c r="AY569" s="3" t="s">
        <v>5883</v>
      </c>
      <c r="AZ569" s="3" t="s">
        <v>5884</v>
      </c>
      <c r="BA569" s="3" t="s">
        <v>5884</v>
      </c>
      <c r="BB569" s="3" t="s">
        <v>5885</v>
      </c>
      <c r="BC569" s="3" t="s">
        <v>102</v>
      </c>
      <c r="BD569" s="3" t="s">
        <v>68</v>
      </c>
      <c r="BE569" s="3" t="s">
        <v>5886</v>
      </c>
      <c r="BF569" s="3" t="s">
        <v>5885</v>
      </c>
      <c r="BG569" s="3" t="s">
        <v>5887</v>
      </c>
    </row>
    <row r="570" spans="1:59" ht="58" x14ac:dyDescent="0.35">
      <c r="A570" s="2" t="s">
        <v>89</v>
      </c>
      <c r="B570" s="2" t="s">
        <v>90</v>
      </c>
      <c r="C570" s="2" t="s">
        <v>5888</v>
      </c>
      <c r="D570" s="2" t="s">
        <v>5889</v>
      </c>
      <c r="E570" s="2" t="s">
        <v>5890</v>
      </c>
      <c r="F570" s="3" t="s">
        <v>2233</v>
      </c>
      <c r="G570" s="3" t="s">
        <v>61</v>
      </c>
      <c r="I570" s="3" t="s">
        <v>62</v>
      </c>
      <c r="J570" s="3" t="s">
        <v>62</v>
      </c>
      <c r="K570" s="3" t="s">
        <v>63</v>
      </c>
      <c r="L570" s="2" t="s">
        <v>5891</v>
      </c>
      <c r="M570" s="2" t="s">
        <v>5892</v>
      </c>
      <c r="N570" s="3" t="s">
        <v>129</v>
      </c>
      <c r="P570" s="3" t="s">
        <v>64</v>
      </c>
      <c r="Q570" s="2" t="s">
        <v>5893</v>
      </c>
      <c r="R570" s="3" t="s">
        <v>65</v>
      </c>
      <c r="S570" s="4">
        <v>1</v>
      </c>
      <c r="T570" s="4">
        <v>2</v>
      </c>
      <c r="U570" s="5" t="s">
        <v>5894</v>
      </c>
      <c r="V570" s="5" t="s">
        <v>5894</v>
      </c>
      <c r="W570" s="5" t="s">
        <v>67</v>
      </c>
      <c r="X570" s="5" t="s">
        <v>67</v>
      </c>
      <c r="Y570" s="4">
        <v>85</v>
      </c>
      <c r="Z570" s="4">
        <v>4</v>
      </c>
      <c r="AA570" s="4">
        <v>4</v>
      </c>
      <c r="AB570" s="4">
        <v>1</v>
      </c>
      <c r="AC570" s="4">
        <v>1</v>
      </c>
      <c r="AD570" s="4">
        <v>44</v>
      </c>
      <c r="AE570" s="4">
        <v>44</v>
      </c>
      <c r="AF570" s="4">
        <v>0</v>
      </c>
      <c r="AG570" s="4">
        <v>0</v>
      </c>
      <c r="AH570" s="4">
        <v>43</v>
      </c>
      <c r="AI570" s="4">
        <v>43</v>
      </c>
      <c r="AJ570" s="4">
        <v>2</v>
      </c>
      <c r="AK570" s="4">
        <v>2</v>
      </c>
      <c r="AL570" s="4">
        <v>28</v>
      </c>
      <c r="AM570" s="4">
        <v>28</v>
      </c>
      <c r="AN570" s="4">
        <v>0</v>
      </c>
      <c r="AO570" s="4">
        <v>0</v>
      </c>
      <c r="AP570" s="4">
        <v>2</v>
      </c>
      <c r="AQ570" s="4">
        <v>2</v>
      </c>
      <c r="AR570" s="3" t="s">
        <v>62</v>
      </c>
      <c r="AS570" s="3" t="s">
        <v>62</v>
      </c>
      <c r="AT570" s="3" t="s">
        <v>62</v>
      </c>
      <c r="AV570" s="6" t="str">
        <f>HYPERLINK("http://mcgill.on.worldcat.org/oclc/858610769","Catalog Record")</f>
        <v>Catalog Record</v>
      </c>
      <c r="AW570" s="6" t="str">
        <f>HYPERLINK("http://www.worldcat.org/oclc/858610769","WorldCat Record")</f>
        <v>WorldCat Record</v>
      </c>
      <c r="AX570" s="3" t="s">
        <v>5895</v>
      </c>
      <c r="AY570" s="3" t="s">
        <v>5896</v>
      </c>
      <c r="AZ570" s="3" t="s">
        <v>5897</v>
      </c>
      <c r="BA570" s="3" t="s">
        <v>5897</v>
      </c>
      <c r="BB570" s="3" t="s">
        <v>5898</v>
      </c>
      <c r="BC570" s="3" t="s">
        <v>102</v>
      </c>
      <c r="BD570" s="3" t="s">
        <v>68</v>
      </c>
      <c r="BE570" s="3" t="s">
        <v>5899</v>
      </c>
      <c r="BF570" s="3" t="s">
        <v>5898</v>
      </c>
      <c r="BG570" s="3" t="s">
        <v>5900</v>
      </c>
    </row>
    <row r="571" spans="1:59" ht="58" x14ac:dyDescent="0.35">
      <c r="A571" s="2" t="s">
        <v>89</v>
      </c>
      <c r="B571" s="2" t="s">
        <v>90</v>
      </c>
      <c r="C571" s="2" t="s">
        <v>5888</v>
      </c>
      <c r="D571" s="2" t="s">
        <v>5889</v>
      </c>
      <c r="E571" s="2" t="s">
        <v>5890</v>
      </c>
      <c r="F571" s="3" t="s">
        <v>2217</v>
      </c>
      <c r="G571" s="3" t="s">
        <v>61</v>
      </c>
      <c r="I571" s="3" t="s">
        <v>62</v>
      </c>
      <c r="J571" s="3" t="s">
        <v>62</v>
      </c>
      <c r="K571" s="3" t="s">
        <v>63</v>
      </c>
      <c r="L571" s="2" t="s">
        <v>5891</v>
      </c>
      <c r="M571" s="2" t="s">
        <v>5892</v>
      </c>
      <c r="N571" s="3" t="s">
        <v>129</v>
      </c>
      <c r="P571" s="3" t="s">
        <v>64</v>
      </c>
      <c r="Q571" s="2" t="s">
        <v>5893</v>
      </c>
      <c r="R571" s="3" t="s">
        <v>65</v>
      </c>
      <c r="S571" s="4">
        <v>1</v>
      </c>
      <c r="T571" s="4">
        <v>2</v>
      </c>
      <c r="U571" s="5" t="s">
        <v>5894</v>
      </c>
      <c r="V571" s="5" t="s">
        <v>5894</v>
      </c>
      <c r="W571" s="5" t="s">
        <v>67</v>
      </c>
      <c r="X571" s="5" t="s">
        <v>67</v>
      </c>
      <c r="Y571" s="4">
        <v>85</v>
      </c>
      <c r="Z571" s="4">
        <v>4</v>
      </c>
      <c r="AA571" s="4">
        <v>4</v>
      </c>
      <c r="AB571" s="4">
        <v>1</v>
      </c>
      <c r="AC571" s="4">
        <v>1</v>
      </c>
      <c r="AD571" s="4">
        <v>44</v>
      </c>
      <c r="AE571" s="4">
        <v>44</v>
      </c>
      <c r="AF571" s="4">
        <v>0</v>
      </c>
      <c r="AG571" s="4">
        <v>0</v>
      </c>
      <c r="AH571" s="4">
        <v>43</v>
      </c>
      <c r="AI571" s="4">
        <v>43</v>
      </c>
      <c r="AJ571" s="4">
        <v>2</v>
      </c>
      <c r="AK571" s="4">
        <v>2</v>
      </c>
      <c r="AL571" s="4">
        <v>28</v>
      </c>
      <c r="AM571" s="4">
        <v>28</v>
      </c>
      <c r="AN571" s="4">
        <v>0</v>
      </c>
      <c r="AO571" s="4">
        <v>0</v>
      </c>
      <c r="AP571" s="4">
        <v>2</v>
      </c>
      <c r="AQ571" s="4">
        <v>2</v>
      </c>
      <c r="AR571" s="3" t="s">
        <v>62</v>
      </c>
      <c r="AS571" s="3" t="s">
        <v>62</v>
      </c>
      <c r="AT571" s="3" t="s">
        <v>62</v>
      </c>
      <c r="AV571" s="6" t="str">
        <f>HYPERLINK("http://mcgill.on.worldcat.org/oclc/858610769","Catalog Record")</f>
        <v>Catalog Record</v>
      </c>
      <c r="AW571" s="6" t="str">
        <f>HYPERLINK("http://www.worldcat.org/oclc/858610769","WorldCat Record")</f>
        <v>WorldCat Record</v>
      </c>
      <c r="AX571" s="3" t="s">
        <v>5895</v>
      </c>
      <c r="AY571" s="3" t="s">
        <v>5896</v>
      </c>
      <c r="AZ571" s="3" t="s">
        <v>5897</v>
      </c>
      <c r="BA571" s="3" t="s">
        <v>5897</v>
      </c>
      <c r="BB571" s="3" t="s">
        <v>5901</v>
      </c>
      <c r="BC571" s="3" t="s">
        <v>102</v>
      </c>
      <c r="BD571" s="3" t="s">
        <v>68</v>
      </c>
      <c r="BE571" s="3" t="s">
        <v>5899</v>
      </c>
      <c r="BF571" s="3" t="s">
        <v>5901</v>
      </c>
      <c r="BG571" s="3" t="s">
        <v>5902</v>
      </c>
    </row>
    <row r="572" spans="1:59" ht="58" x14ac:dyDescent="0.35">
      <c r="A572" s="2" t="s">
        <v>89</v>
      </c>
      <c r="B572" s="2" t="s">
        <v>90</v>
      </c>
      <c r="C572" s="2" t="s">
        <v>5903</v>
      </c>
      <c r="D572" s="2" t="s">
        <v>5904</v>
      </c>
      <c r="E572" s="2" t="s">
        <v>5905</v>
      </c>
      <c r="G572" s="3" t="s">
        <v>62</v>
      </c>
      <c r="I572" s="3" t="s">
        <v>61</v>
      </c>
      <c r="J572" s="3" t="s">
        <v>62</v>
      </c>
      <c r="K572" s="3" t="s">
        <v>63</v>
      </c>
      <c r="L572" s="2" t="s">
        <v>5906</v>
      </c>
      <c r="M572" s="2" t="s">
        <v>5907</v>
      </c>
      <c r="N572" s="3" t="s">
        <v>2924</v>
      </c>
      <c r="P572" s="3" t="s">
        <v>64</v>
      </c>
      <c r="Q572" s="2" t="s">
        <v>5908</v>
      </c>
      <c r="R572" s="3" t="s">
        <v>65</v>
      </c>
      <c r="S572" s="4">
        <v>16</v>
      </c>
      <c r="T572" s="4">
        <v>40</v>
      </c>
      <c r="U572" s="5" t="s">
        <v>5909</v>
      </c>
      <c r="V572" s="5" t="s">
        <v>5909</v>
      </c>
      <c r="W572" s="5" t="s">
        <v>67</v>
      </c>
      <c r="X572" s="5" t="s">
        <v>67</v>
      </c>
      <c r="Y572" s="4">
        <v>413</v>
      </c>
      <c r="Z572" s="4">
        <v>34</v>
      </c>
      <c r="AA572" s="4">
        <v>38</v>
      </c>
      <c r="AB572" s="4">
        <v>1</v>
      </c>
      <c r="AC572" s="4">
        <v>1</v>
      </c>
      <c r="AD572" s="4">
        <v>90</v>
      </c>
      <c r="AE572" s="4">
        <v>109</v>
      </c>
      <c r="AF572" s="4">
        <v>0</v>
      </c>
      <c r="AG572" s="4">
        <v>0</v>
      </c>
      <c r="AH572" s="4">
        <v>75</v>
      </c>
      <c r="AI572" s="4">
        <v>91</v>
      </c>
      <c r="AJ572" s="4">
        <v>16</v>
      </c>
      <c r="AK572" s="4">
        <v>18</v>
      </c>
      <c r="AL572" s="4">
        <v>38</v>
      </c>
      <c r="AM572" s="4">
        <v>47</v>
      </c>
      <c r="AN572" s="4">
        <v>0</v>
      </c>
      <c r="AO572" s="4">
        <v>0</v>
      </c>
      <c r="AP572" s="4">
        <v>23</v>
      </c>
      <c r="AQ572" s="4">
        <v>26</v>
      </c>
      <c r="AR572" s="3" t="s">
        <v>62</v>
      </c>
      <c r="AS572" s="3" t="s">
        <v>62</v>
      </c>
      <c r="AT572" s="3" t="s">
        <v>61</v>
      </c>
      <c r="AU572" s="6" t="str">
        <f>HYPERLINK("http://catalog.hathitrust.org/Record/004412527","HathiTrust Record")</f>
        <v>HathiTrust Record</v>
      </c>
      <c r="AV572" s="6" t="str">
        <f>HYPERLINK("http://mcgill.on.worldcat.org/oclc/526285","Catalog Record")</f>
        <v>Catalog Record</v>
      </c>
      <c r="AW572" s="6" t="str">
        <f>HYPERLINK("http://www.worldcat.org/oclc/526285","WorldCat Record")</f>
        <v>WorldCat Record</v>
      </c>
      <c r="AX572" s="3" t="s">
        <v>5910</v>
      </c>
      <c r="AY572" s="3" t="s">
        <v>5911</v>
      </c>
      <c r="AZ572" s="3" t="s">
        <v>5912</v>
      </c>
      <c r="BA572" s="3" t="s">
        <v>5912</v>
      </c>
      <c r="BB572" s="3" t="s">
        <v>5913</v>
      </c>
      <c r="BC572" s="3" t="s">
        <v>102</v>
      </c>
      <c r="BD572" s="3" t="s">
        <v>68</v>
      </c>
      <c r="BF572" s="3" t="s">
        <v>5913</v>
      </c>
      <c r="BG572" s="3" t="s">
        <v>5914</v>
      </c>
    </row>
    <row r="573" spans="1:59" ht="58" x14ac:dyDescent="0.35">
      <c r="A573" s="2" t="s">
        <v>89</v>
      </c>
      <c r="B573" s="2" t="s">
        <v>90</v>
      </c>
      <c r="C573" s="2" t="s">
        <v>5903</v>
      </c>
      <c r="D573" s="2" t="s">
        <v>5904</v>
      </c>
      <c r="E573" s="2" t="s">
        <v>5905</v>
      </c>
      <c r="G573" s="3" t="s">
        <v>62</v>
      </c>
      <c r="I573" s="3" t="s">
        <v>61</v>
      </c>
      <c r="J573" s="3" t="s">
        <v>62</v>
      </c>
      <c r="K573" s="3" t="s">
        <v>63</v>
      </c>
      <c r="L573" s="2" t="s">
        <v>5906</v>
      </c>
      <c r="M573" s="2" t="s">
        <v>5907</v>
      </c>
      <c r="N573" s="3" t="s">
        <v>2924</v>
      </c>
      <c r="P573" s="3" t="s">
        <v>64</v>
      </c>
      <c r="Q573" s="2" t="s">
        <v>5908</v>
      </c>
      <c r="R573" s="3" t="s">
        <v>65</v>
      </c>
      <c r="S573" s="4">
        <v>24</v>
      </c>
      <c r="T573" s="4">
        <v>40</v>
      </c>
      <c r="U573" s="5" t="s">
        <v>5915</v>
      </c>
      <c r="V573" s="5" t="s">
        <v>5909</v>
      </c>
      <c r="W573" s="5" t="s">
        <v>67</v>
      </c>
      <c r="X573" s="5" t="s">
        <v>67</v>
      </c>
      <c r="Y573" s="4">
        <v>413</v>
      </c>
      <c r="Z573" s="4">
        <v>34</v>
      </c>
      <c r="AA573" s="4">
        <v>38</v>
      </c>
      <c r="AB573" s="4">
        <v>1</v>
      </c>
      <c r="AC573" s="4">
        <v>1</v>
      </c>
      <c r="AD573" s="4">
        <v>90</v>
      </c>
      <c r="AE573" s="4">
        <v>109</v>
      </c>
      <c r="AF573" s="4">
        <v>0</v>
      </c>
      <c r="AG573" s="4">
        <v>0</v>
      </c>
      <c r="AH573" s="4">
        <v>75</v>
      </c>
      <c r="AI573" s="4">
        <v>91</v>
      </c>
      <c r="AJ573" s="4">
        <v>16</v>
      </c>
      <c r="AK573" s="4">
        <v>18</v>
      </c>
      <c r="AL573" s="4">
        <v>38</v>
      </c>
      <c r="AM573" s="4">
        <v>47</v>
      </c>
      <c r="AN573" s="4">
        <v>0</v>
      </c>
      <c r="AO573" s="4">
        <v>0</v>
      </c>
      <c r="AP573" s="4">
        <v>23</v>
      </c>
      <c r="AQ573" s="4">
        <v>26</v>
      </c>
      <c r="AR573" s="3" t="s">
        <v>62</v>
      </c>
      <c r="AS573" s="3" t="s">
        <v>62</v>
      </c>
      <c r="AT573" s="3" t="s">
        <v>61</v>
      </c>
      <c r="AU573" s="6" t="str">
        <f>HYPERLINK("http://catalog.hathitrust.org/Record/004412527","HathiTrust Record")</f>
        <v>HathiTrust Record</v>
      </c>
      <c r="AV573" s="6" t="str">
        <f>HYPERLINK("http://mcgill.on.worldcat.org/oclc/526285","Catalog Record")</f>
        <v>Catalog Record</v>
      </c>
      <c r="AW573" s="6" t="str">
        <f>HYPERLINK("http://www.worldcat.org/oclc/526285","WorldCat Record")</f>
        <v>WorldCat Record</v>
      </c>
      <c r="AX573" s="3" t="s">
        <v>5910</v>
      </c>
      <c r="AY573" s="3" t="s">
        <v>5911</v>
      </c>
      <c r="AZ573" s="3" t="s">
        <v>5912</v>
      </c>
      <c r="BA573" s="3" t="s">
        <v>5912</v>
      </c>
      <c r="BB573" s="3" t="s">
        <v>5916</v>
      </c>
      <c r="BC573" s="3" t="s">
        <v>102</v>
      </c>
      <c r="BD573" s="3" t="s">
        <v>68</v>
      </c>
      <c r="BF573" s="3" t="s">
        <v>5916</v>
      </c>
      <c r="BG573" s="3" t="s">
        <v>5917</v>
      </c>
    </row>
    <row r="574" spans="1:59" ht="58" x14ac:dyDescent="0.35">
      <c r="A574" s="2" t="s">
        <v>89</v>
      </c>
      <c r="B574" s="2" t="s">
        <v>90</v>
      </c>
      <c r="C574" s="2" t="s">
        <v>5918</v>
      </c>
      <c r="D574" s="2" t="s">
        <v>5919</v>
      </c>
      <c r="E574" s="2" t="s">
        <v>5920</v>
      </c>
      <c r="G574" s="3" t="s">
        <v>62</v>
      </c>
      <c r="I574" s="3" t="s">
        <v>62</v>
      </c>
      <c r="J574" s="3" t="s">
        <v>62</v>
      </c>
      <c r="K574" s="3" t="s">
        <v>63</v>
      </c>
      <c r="L574" s="2" t="s">
        <v>5906</v>
      </c>
      <c r="M574" s="2" t="s">
        <v>5921</v>
      </c>
      <c r="N574" s="3" t="s">
        <v>87</v>
      </c>
      <c r="P574" s="3" t="s">
        <v>85</v>
      </c>
      <c r="Q574" s="2" t="s">
        <v>5922</v>
      </c>
      <c r="R574" s="3" t="s">
        <v>65</v>
      </c>
      <c r="S574" s="4">
        <v>10</v>
      </c>
      <c r="T574" s="4">
        <v>10</v>
      </c>
      <c r="U574" s="5" t="s">
        <v>5909</v>
      </c>
      <c r="V574" s="5" t="s">
        <v>5909</v>
      </c>
      <c r="W574" s="5" t="s">
        <v>67</v>
      </c>
      <c r="X574" s="5" t="s">
        <v>67</v>
      </c>
      <c r="Y574" s="4">
        <v>2</v>
      </c>
      <c r="Z574" s="4">
        <v>2</v>
      </c>
      <c r="AA574" s="4">
        <v>8</v>
      </c>
      <c r="AB574" s="4">
        <v>1</v>
      </c>
      <c r="AC574" s="4">
        <v>2</v>
      </c>
      <c r="AD574" s="4">
        <v>1</v>
      </c>
      <c r="AE574" s="4">
        <v>7</v>
      </c>
      <c r="AF574" s="4">
        <v>0</v>
      </c>
      <c r="AG574" s="4">
        <v>1</v>
      </c>
      <c r="AH574" s="4">
        <v>1</v>
      </c>
      <c r="AI574" s="4">
        <v>6</v>
      </c>
      <c r="AJ574" s="4">
        <v>1</v>
      </c>
      <c r="AK574" s="4">
        <v>4</v>
      </c>
      <c r="AL574" s="4">
        <v>0</v>
      </c>
      <c r="AM574" s="4">
        <v>3</v>
      </c>
      <c r="AN574" s="4">
        <v>0</v>
      </c>
      <c r="AO574" s="4">
        <v>0</v>
      </c>
      <c r="AP574" s="4">
        <v>1</v>
      </c>
      <c r="AQ574" s="4">
        <v>4</v>
      </c>
      <c r="AR574" s="3" t="s">
        <v>62</v>
      </c>
      <c r="AS574" s="3" t="s">
        <v>62</v>
      </c>
      <c r="AT574" s="3" t="s">
        <v>61</v>
      </c>
      <c r="AU574" s="6" t="str">
        <f>HYPERLINK("http://catalog.hathitrust.org/Record/000301701","HathiTrust Record")</f>
        <v>HathiTrust Record</v>
      </c>
      <c r="AV574" s="6" t="str">
        <f>HYPERLINK("http://mcgill.on.worldcat.org/oclc/427038331","Catalog Record")</f>
        <v>Catalog Record</v>
      </c>
      <c r="AW574" s="6" t="str">
        <f>HYPERLINK("http://www.worldcat.org/oclc/427038331","WorldCat Record")</f>
        <v>WorldCat Record</v>
      </c>
      <c r="AX574" s="3" t="s">
        <v>5923</v>
      </c>
      <c r="AY574" s="3" t="s">
        <v>5924</v>
      </c>
      <c r="AZ574" s="3" t="s">
        <v>5925</v>
      </c>
      <c r="BA574" s="3" t="s">
        <v>5925</v>
      </c>
      <c r="BB574" s="3" t="s">
        <v>5926</v>
      </c>
      <c r="BC574" s="3" t="s">
        <v>102</v>
      </c>
      <c r="BD574" s="3" t="s">
        <v>68</v>
      </c>
      <c r="BE574" s="3" t="s">
        <v>5927</v>
      </c>
      <c r="BF574" s="3" t="s">
        <v>5926</v>
      </c>
      <c r="BG574" s="3" t="s">
        <v>5928</v>
      </c>
    </row>
    <row r="575" spans="1:59" ht="130.5" x14ac:dyDescent="0.35">
      <c r="A575" s="2" t="s">
        <v>89</v>
      </c>
      <c r="B575" s="2" t="s">
        <v>90</v>
      </c>
      <c r="C575" s="2" t="s">
        <v>5929</v>
      </c>
      <c r="D575" s="2" t="s">
        <v>5930</v>
      </c>
      <c r="E575" s="2" t="s">
        <v>5931</v>
      </c>
      <c r="F575" s="3" t="s">
        <v>5932</v>
      </c>
      <c r="G575" s="3" t="s">
        <v>62</v>
      </c>
      <c r="I575" s="3" t="s">
        <v>61</v>
      </c>
      <c r="J575" s="3" t="s">
        <v>62</v>
      </c>
      <c r="K575" s="3" t="s">
        <v>63</v>
      </c>
      <c r="L575" s="2" t="s">
        <v>5933</v>
      </c>
      <c r="M575" s="2" t="s">
        <v>5934</v>
      </c>
      <c r="N575" s="3" t="s">
        <v>712</v>
      </c>
      <c r="P575" s="3" t="s">
        <v>1752</v>
      </c>
      <c r="R575" s="3" t="s">
        <v>65</v>
      </c>
      <c r="S575" s="4">
        <v>0</v>
      </c>
      <c r="T575" s="4">
        <v>0</v>
      </c>
      <c r="W575" s="5" t="s">
        <v>67</v>
      </c>
      <c r="X575" s="5" t="s">
        <v>67</v>
      </c>
      <c r="Y575" s="4">
        <v>6</v>
      </c>
      <c r="Z575" s="4">
        <v>1</v>
      </c>
      <c r="AA575" s="4">
        <v>1</v>
      </c>
      <c r="AB575" s="4">
        <v>1</v>
      </c>
      <c r="AC575" s="4">
        <v>1</v>
      </c>
      <c r="AD575" s="4">
        <v>3</v>
      </c>
      <c r="AE575" s="4">
        <v>3</v>
      </c>
      <c r="AF575" s="4">
        <v>0</v>
      </c>
      <c r="AG575" s="4">
        <v>0</v>
      </c>
      <c r="AH575" s="4">
        <v>2</v>
      </c>
      <c r="AI575" s="4">
        <v>2</v>
      </c>
      <c r="AJ575" s="4">
        <v>0</v>
      </c>
      <c r="AK575" s="4">
        <v>0</v>
      </c>
      <c r="AL575" s="4">
        <v>3</v>
      </c>
      <c r="AM575" s="4">
        <v>3</v>
      </c>
      <c r="AN575" s="4">
        <v>0</v>
      </c>
      <c r="AO575" s="4">
        <v>0</v>
      </c>
      <c r="AP575" s="4">
        <v>0</v>
      </c>
      <c r="AQ575" s="4">
        <v>0</v>
      </c>
      <c r="AR575" s="3" t="s">
        <v>62</v>
      </c>
      <c r="AS575" s="3" t="s">
        <v>62</v>
      </c>
      <c r="AT575" s="3" t="s">
        <v>62</v>
      </c>
      <c r="AV575" s="6" t="str">
        <f>HYPERLINK("http://mcgill.on.worldcat.org/oclc/902812093","Catalog Record")</f>
        <v>Catalog Record</v>
      </c>
      <c r="AW575" s="6" t="str">
        <f>HYPERLINK("http://www.worldcat.org/oclc/902812093","WorldCat Record")</f>
        <v>WorldCat Record</v>
      </c>
      <c r="AX575" s="3" t="s">
        <v>5935</v>
      </c>
      <c r="AY575" s="3" t="s">
        <v>5936</v>
      </c>
      <c r="AZ575" s="3" t="s">
        <v>5937</v>
      </c>
      <c r="BA575" s="3" t="s">
        <v>5937</v>
      </c>
      <c r="BB575" s="3" t="s">
        <v>5938</v>
      </c>
      <c r="BC575" s="3" t="s">
        <v>102</v>
      </c>
      <c r="BD575" s="3" t="s">
        <v>68</v>
      </c>
      <c r="BF575" s="3" t="s">
        <v>5938</v>
      </c>
      <c r="BG575" s="3" t="s">
        <v>5939</v>
      </c>
    </row>
    <row r="576" spans="1:59" ht="130.5" x14ac:dyDescent="0.35">
      <c r="A576" s="2" t="s">
        <v>89</v>
      </c>
      <c r="B576" s="2" t="s">
        <v>90</v>
      </c>
      <c r="C576" s="2" t="s">
        <v>5929</v>
      </c>
      <c r="D576" s="2" t="s">
        <v>5930</v>
      </c>
      <c r="E576" s="2" t="s">
        <v>5931</v>
      </c>
      <c r="G576" s="3" t="s">
        <v>62</v>
      </c>
      <c r="I576" s="3" t="s">
        <v>61</v>
      </c>
      <c r="J576" s="3" t="s">
        <v>62</v>
      </c>
      <c r="K576" s="3" t="s">
        <v>63</v>
      </c>
      <c r="L576" s="2" t="s">
        <v>5933</v>
      </c>
      <c r="M576" s="2" t="s">
        <v>5934</v>
      </c>
      <c r="N576" s="3" t="s">
        <v>712</v>
      </c>
      <c r="P576" s="3" t="s">
        <v>1752</v>
      </c>
      <c r="R576" s="3" t="s">
        <v>65</v>
      </c>
      <c r="S576" s="4">
        <v>0</v>
      </c>
      <c r="T576" s="4">
        <v>0</v>
      </c>
      <c r="W576" s="5" t="s">
        <v>67</v>
      </c>
      <c r="X576" s="5" t="s">
        <v>67</v>
      </c>
      <c r="Y576" s="4">
        <v>6</v>
      </c>
      <c r="Z576" s="4">
        <v>1</v>
      </c>
      <c r="AA576" s="4">
        <v>1</v>
      </c>
      <c r="AB576" s="4">
        <v>1</v>
      </c>
      <c r="AC576" s="4">
        <v>1</v>
      </c>
      <c r="AD576" s="4">
        <v>3</v>
      </c>
      <c r="AE576" s="4">
        <v>3</v>
      </c>
      <c r="AF576" s="4">
        <v>0</v>
      </c>
      <c r="AG576" s="4">
        <v>0</v>
      </c>
      <c r="AH576" s="4">
        <v>2</v>
      </c>
      <c r="AI576" s="4">
        <v>2</v>
      </c>
      <c r="AJ576" s="4">
        <v>0</v>
      </c>
      <c r="AK576" s="4">
        <v>0</v>
      </c>
      <c r="AL576" s="4">
        <v>3</v>
      </c>
      <c r="AM576" s="4">
        <v>3</v>
      </c>
      <c r="AN576" s="4">
        <v>0</v>
      </c>
      <c r="AO576" s="4">
        <v>0</v>
      </c>
      <c r="AP576" s="4">
        <v>0</v>
      </c>
      <c r="AQ576" s="4">
        <v>0</v>
      </c>
      <c r="AR576" s="3" t="s">
        <v>62</v>
      </c>
      <c r="AS576" s="3" t="s">
        <v>62</v>
      </c>
      <c r="AT576" s="3" t="s">
        <v>62</v>
      </c>
      <c r="AV576" s="6" t="str">
        <f>HYPERLINK("http://mcgill.on.worldcat.org/oclc/902812093","Catalog Record")</f>
        <v>Catalog Record</v>
      </c>
      <c r="AW576" s="6" t="str">
        <f>HYPERLINK("http://www.worldcat.org/oclc/902812093","WorldCat Record")</f>
        <v>WorldCat Record</v>
      </c>
      <c r="AX576" s="3" t="s">
        <v>5935</v>
      </c>
      <c r="AY576" s="3" t="s">
        <v>5936</v>
      </c>
      <c r="AZ576" s="3" t="s">
        <v>5937</v>
      </c>
      <c r="BA576" s="3" t="s">
        <v>5937</v>
      </c>
      <c r="BB576" s="3" t="s">
        <v>5940</v>
      </c>
      <c r="BC576" s="3" t="s">
        <v>102</v>
      </c>
      <c r="BD576" s="3" t="s">
        <v>68</v>
      </c>
      <c r="BF576" s="3" t="s">
        <v>5940</v>
      </c>
      <c r="BG576" s="3" t="s">
        <v>5941</v>
      </c>
    </row>
    <row r="577" spans="1:59" ht="58" x14ac:dyDescent="0.35">
      <c r="A577" s="2" t="s">
        <v>89</v>
      </c>
      <c r="B577" s="2" t="s">
        <v>90</v>
      </c>
      <c r="C577" s="2" t="s">
        <v>5942</v>
      </c>
      <c r="D577" s="2" t="s">
        <v>5943</v>
      </c>
      <c r="E577" s="2" t="s">
        <v>5944</v>
      </c>
      <c r="G577" s="3" t="s">
        <v>62</v>
      </c>
      <c r="I577" s="3" t="s">
        <v>62</v>
      </c>
      <c r="J577" s="3" t="s">
        <v>62</v>
      </c>
      <c r="K577" s="3" t="s">
        <v>63</v>
      </c>
      <c r="L577" s="2" t="s">
        <v>5945</v>
      </c>
      <c r="M577" s="2" t="s">
        <v>5946</v>
      </c>
      <c r="N577" s="3" t="s">
        <v>824</v>
      </c>
      <c r="P577" s="3" t="s">
        <v>64</v>
      </c>
      <c r="R577" s="3" t="s">
        <v>65</v>
      </c>
      <c r="S577" s="4">
        <v>18</v>
      </c>
      <c r="T577" s="4">
        <v>18</v>
      </c>
      <c r="U577" s="5" t="s">
        <v>5947</v>
      </c>
      <c r="V577" s="5" t="s">
        <v>5947</v>
      </c>
      <c r="W577" s="5" t="s">
        <v>67</v>
      </c>
      <c r="X577" s="5" t="s">
        <v>67</v>
      </c>
      <c r="Y577" s="4">
        <v>255</v>
      </c>
      <c r="Z577" s="4">
        <v>16</v>
      </c>
      <c r="AA577" s="4">
        <v>16</v>
      </c>
      <c r="AB577" s="4">
        <v>2</v>
      </c>
      <c r="AC577" s="4">
        <v>2</v>
      </c>
      <c r="AD577" s="4">
        <v>87</v>
      </c>
      <c r="AE577" s="4">
        <v>87</v>
      </c>
      <c r="AF577" s="4">
        <v>0</v>
      </c>
      <c r="AG577" s="4">
        <v>0</v>
      </c>
      <c r="AH577" s="4">
        <v>75</v>
      </c>
      <c r="AI577" s="4">
        <v>75</v>
      </c>
      <c r="AJ577" s="4">
        <v>9</v>
      </c>
      <c r="AK577" s="4">
        <v>9</v>
      </c>
      <c r="AL577" s="4">
        <v>48</v>
      </c>
      <c r="AM577" s="4">
        <v>48</v>
      </c>
      <c r="AN577" s="4">
        <v>0</v>
      </c>
      <c r="AO577" s="4">
        <v>0</v>
      </c>
      <c r="AP577" s="4">
        <v>11</v>
      </c>
      <c r="AQ577" s="4">
        <v>11</v>
      </c>
      <c r="AR577" s="3" t="s">
        <v>62</v>
      </c>
      <c r="AS577" s="3" t="s">
        <v>62</v>
      </c>
      <c r="AT577" s="3" t="s">
        <v>61</v>
      </c>
      <c r="AU577" s="6" t="str">
        <f>HYPERLINK("http://catalog.hathitrust.org/Record/001474037","HathiTrust Record")</f>
        <v>HathiTrust Record</v>
      </c>
      <c r="AV577" s="6" t="str">
        <f>HYPERLINK("http://mcgill.on.worldcat.org/oclc/597632","Catalog Record")</f>
        <v>Catalog Record</v>
      </c>
      <c r="AW577" s="6" t="str">
        <f>HYPERLINK("http://www.worldcat.org/oclc/597632","WorldCat Record")</f>
        <v>WorldCat Record</v>
      </c>
      <c r="AX577" s="3" t="s">
        <v>5948</v>
      </c>
      <c r="AY577" s="3" t="s">
        <v>5949</v>
      </c>
      <c r="AZ577" s="3" t="s">
        <v>5950</v>
      </c>
      <c r="BA577" s="3" t="s">
        <v>5950</v>
      </c>
      <c r="BB577" s="3" t="s">
        <v>5951</v>
      </c>
      <c r="BC577" s="3" t="s">
        <v>102</v>
      </c>
      <c r="BD577" s="3" t="s">
        <v>68</v>
      </c>
      <c r="BF577" s="3" t="s">
        <v>5951</v>
      </c>
      <c r="BG577" s="3" t="s">
        <v>5952</v>
      </c>
    </row>
    <row r="578" spans="1:59" ht="58" x14ac:dyDescent="0.35">
      <c r="A578" s="2" t="s">
        <v>89</v>
      </c>
      <c r="B578" s="2" t="s">
        <v>90</v>
      </c>
      <c r="C578" s="2" t="s">
        <v>5953</v>
      </c>
      <c r="D578" s="2" t="s">
        <v>5954</v>
      </c>
      <c r="E578" s="2" t="s">
        <v>5955</v>
      </c>
      <c r="F578" s="3" t="s">
        <v>1416</v>
      </c>
      <c r="G578" s="3" t="s">
        <v>61</v>
      </c>
      <c r="I578" s="3" t="s">
        <v>62</v>
      </c>
      <c r="J578" s="3" t="s">
        <v>62</v>
      </c>
      <c r="K578" s="3" t="s">
        <v>916</v>
      </c>
      <c r="L578" s="2" t="s">
        <v>5956</v>
      </c>
      <c r="M578" s="2" t="s">
        <v>5957</v>
      </c>
      <c r="N578" s="3" t="s">
        <v>5958</v>
      </c>
      <c r="P578" s="3" t="s">
        <v>64</v>
      </c>
      <c r="Q578" s="2" t="s">
        <v>5959</v>
      </c>
      <c r="R578" s="3" t="s">
        <v>65</v>
      </c>
      <c r="S578" s="4">
        <v>6</v>
      </c>
      <c r="T578" s="4">
        <v>20</v>
      </c>
      <c r="U578" s="5" t="s">
        <v>5960</v>
      </c>
      <c r="V578" s="5" t="s">
        <v>5961</v>
      </c>
      <c r="W578" s="5" t="s">
        <v>67</v>
      </c>
      <c r="X578" s="5" t="s">
        <v>67</v>
      </c>
      <c r="Y578" s="4">
        <v>248</v>
      </c>
      <c r="Z578" s="4">
        <v>19</v>
      </c>
      <c r="AA578" s="4">
        <v>51</v>
      </c>
      <c r="AB578" s="4">
        <v>1</v>
      </c>
      <c r="AC578" s="4">
        <v>7</v>
      </c>
      <c r="AD578" s="4">
        <v>69</v>
      </c>
      <c r="AE578" s="4">
        <v>129</v>
      </c>
      <c r="AF578" s="4">
        <v>0</v>
      </c>
      <c r="AG578" s="4">
        <v>3</v>
      </c>
      <c r="AH578" s="4">
        <v>62</v>
      </c>
      <c r="AI578" s="4">
        <v>104</v>
      </c>
      <c r="AJ578" s="4">
        <v>10</v>
      </c>
      <c r="AK578" s="4">
        <v>18</v>
      </c>
      <c r="AL578" s="4">
        <v>36</v>
      </c>
      <c r="AM578" s="4">
        <v>60</v>
      </c>
      <c r="AN578" s="4">
        <v>0</v>
      </c>
      <c r="AO578" s="4">
        <v>1</v>
      </c>
      <c r="AP578" s="4">
        <v>11</v>
      </c>
      <c r="AQ578" s="4">
        <v>27</v>
      </c>
      <c r="AR578" s="3" t="s">
        <v>62</v>
      </c>
      <c r="AS578" s="3" t="s">
        <v>61</v>
      </c>
      <c r="AT578" s="3" t="s">
        <v>62</v>
      </c>
      <c r="AU578" s="6" t="str">
        <f>HYPERLINK("http://catalog.hathitrust.org/Record/000402364","HathiTrust Record")</f>
        <v>HathiTrust Record</v>
      </c>
      <c r="AV578" s="6" t="str">
        <f>HYPERLINK("http://mcgill.on.worldcat.org/oclc/1122558","Catalog Record")</f>
        <v>Catalog Record</v>
      </c>
      <c r="AW578" s="6" t="str">
        <f>HYPERLINK("http://www.worldcat.org/oclc/1122558","WorldCat Record")</f>
        <v>WorldCat Record</v>
      </c>
      <c r="AX578" s="3" t="s">
        <v>5962</v>
      </c>
      <c r="AY578" s="3" t="s">
        <v>5963</v>
      </c>
      <c r="AZ578" s="3" t="s">
        <v>5964</v>
      </c>
      <c r="BA578" s="3" t="s">
        <v>5964</v>
      </c>
      <c r="BB578" s="3" t="s">
        <v>5965</v>
      </c>
      <c r="BC578" s="3" t="s">
        <v>102</v>
      </c>
      <c r="BD578" s="3" t="s">
        <v>68</v>
      </c>
      <c r="BF578" s="3" t="s">
        <v>5965</v>
      </c>
      <c r="BG578" s="3" t="s">
        <v>5966</v>
      </c>
    </row>
    <row r="579" spans="1:59" ht="58" x14ac:dyDescent="0.35">
      <c r="A579" s="2" t="s">
        <v>89</v>
      </c>
      <c r="B579" s="2" t="s">
        <v>90</v>
      </c>
      <c r="C579" s="2" t="s">
        <v>5953</v>
      </c>
      <c r="D579" s="2" t="s">
        <v>5954</v>
      </c>
      <c r="E579" s="2" t="s">
        <v>5955</v>
      </c>
      <c r="F579" s="3" t="s">
        <v>1422</v>
      </c>
      <c r="G579" s="3" t="s">
        <v>61</v>
      </c>
      <c r="I579" s="3" t="s">
        <v>62</v>
      </c>
      <c r="J579" s="3" t="s">
        <v>62</v>
      </c>
      <c r="K579" s="3" t="s">
        <v>916</v>
      </c>
      <c r="L579" s="2" t="s">
        <v>5956</v>
      </c>
      <c r="M579" s="2" t="s">
        <v>5957</v>
      </c>
      <c r="N579" s="3" t="s">
        <v>5958</v>
      </c>
      <c r="P579" s="3" t="s">
        <v>64</v>
      </c>
      <c r="Q579" s="2" t="s">
        <v>5959</v>
      </c>
      <c r="R579" s="3" t="s">
        <v>65</v>
      </c>
      <c r="S579" s="4">
        <v>3</v>
      </c>
      <c r="T579" s="4">
        <v>20</v>
      </c>
      <c r="U579" s="5" t="s">
        <v>5960</v>
      </c>
      <c r="V579" s="5" t="s">
        <v>5961</v>
      </c>
      <c r="W579" s="5" t="s">
        <v>67</v>
      </c>
      <c r="X579" s="5" t="s">
        <v>67</v>
      </c>
      <c r="Y579" s="4">
        <v>248</v>
      </c>
      <c r="Z579" s="4">
        <v>19</v>
      </c>
      <c r="AA579" s="4">
        <v>51</v>
      </c>
      <c r="AB579" s="4">
        <v>1</v>
      </c>
      <c r="AC579" s="4">
        <v>7</v>
      </c>
      <c r="AD579" s="4">
        <v>69</v>
      </c>
      <c r="AE579" s="4">
        <v>129</v>
      </c>
      <c r="AF579" s="4">
        <v>0</v>
      </c>
      <c r="AG579" s="4">
        <v>3</v>
      </c>
      <c r="AH579" s="4">
        <v>62</v>
      </c>
      <c r="AI579" s="4">
        <v>104</v>
      </c>
      <c r="AJ579" s="4">
        <v>10</v>
      </c>
      <c r="AK579" s="4">
        <v>18</v>
      </c>
      <c r="AL579" s="4">
        <v>36</v>
      </c>
      <c r="AM579" s="4">
        <v>60</v>
      </c>
      <c r="AN579" s="4">
        <v>0</v>
      </c>
      <c r="AO579" s="4">
        <v>1</v>
      </c>
      <c r="AP579" s="4">
        <v>11</v>
      </c>
      <c r="AQ579" s="4">
        <v>27</v>
      </c>
      <c r="AR579" s="3" t="s">
        <v>62</v>
      </c>
      <c r="AS579" s="3" t="s">
        <v>61</v>
      </c>
      <c r="AT579" s="3" t="s">
        <v>62</v>
      </c>
      <c r="AU579" s="6" t="str">
        <f>HYPERLINK("http://catalog.hathitrust.org/Record/000402364","HathiTrust Record")</f>
        <v>HathiTrust Record</v>
      </c>
      <c r="AV579" s="6" t="str">
        <f>HYPERLINK("http://mcgill.on.worldcat.org/oclc/1122558","Catalog Record")</f>
        <v>Catalog Record</v>
      </c>
      <c r="AW579" s="6" t="str">
        <f>HYPERLINK("http://www.worldcat.org/oclc/1122558","WorldCat Record")</f>
        <v>WorldCat Record</v>
      </c>
      <c r="AX579" s="3" t="s">
        <v>5962</v>
      </c>
      <c r="AY579" s="3" t="s">
        <v>5963</v>
      </c>
      <c r="AZ579" s="3" t="s">
        <v>5964</v>
      </c>
      <c r="BA579" s="3" t="s">
        <v>5964</v>
      </c>
      <c r="BB579" s="3" t="s">
        <v>5967</v>
      </c>
      <c r="BC579" s="3" t="s">
        <v>102</v>
      </c>
      <c r="BD579" s="3" t="s">
        <v>68</v>
      </c>
      <c r="BF579" s="3" t="s">
        <v>5967</v>
      </c>
      <c r="BG579" s="3" t="s">
        <v>5968</v>
      </c>
    </row>
    <row r="580" spans="1:59" ht="58" x14ac:dyDescent="0.35">
      <c r="A580" s="2" t="s">
        <v>89</v>
      </c>
      <c r="B580" s="2" t="s">
        <v>90</v>
      </c>
      <c r="C580" s="2" t="s">
        <v>5953</v>
      </c>
      <c r="D580" s="2" t="s">
        <v>5954</v>
      </c>
      <c r="E580" s="2" t="s">
        <v>5955</v>
      </c>
      <c r="F580" s="3" t="s">
        <v>1428</v>
      </c>
      <c r="G580" s="3" t="s">
        <v>61</v>
      </c>
      <c r="I580" s="3" t="s">
        <v>62</v>
      </c>
      <c r="J580" s="3" t="s">
        <v>62</v>
      </c>
      <c r="K580" s="3" t="s">
        <v>916</v>
      </c>
      <c r="L580" s="2" t="s">
        <v>5956</v>
      </c>
      <c r="M580" s="2" t="s">
        <v>5957</v>
      </c>
      <c r="N580" s="3" t="s">
        <v>5958</v>
      </c>
      <c r="P580" s="3" t="s">
        <v>64</v>
      </c>
      <c r="Q580" s="2" t="s">
        <v>5959</v>
      </c>
      <c r="R580" s="3" t="s">
        <v>65</v>
      </c>
      <c r="S580" s="4">
        <v>4</v>
      </c>
      <c r="T580" s="4">
        <v>20</v>
      </c>
      <c r="U580" s="5" t="s">
        <v>5960</v>
      </c>
      <c r="V580" s="5" t="s">
        <v>5961</v>
      </c>
      <c r="W580" s="5" t="s">
        <v>67</v>
      </c>
      <c r="X580" s="5" t="s">
        <v>67</v>
      </c>
      <c r="Y580" s="4">
        <v>248</v>
      </c>
      <c r="Z580" s="4">
        <v>19</v>
      </c>
      <c r="AA580" s="4">
        <v>51</v>
      </c>
      <c r="AB580" s="4">
        <v>1</v>
      </c>
      <c r="AC580" s="4">
        <v>7</v>
      </c>
      <c r="AD580" s="4">
        <v>69</v>
      </c>
      <c r="AE580" s="4">
        <v>129</v>
      </c>
      <c r="AF580" s="4">
        <v>0</v>
      </c>
      <c r="AG580" s="4">
        <v>3</v>
      </c>
      <c r="AH580" s="4">
        <v>62</v>
      </c>
      <c r="AI580" s="4">
        <v>104</v>
      </c>
      <c r="AJ580" s="4">
        <v>10</v>
      </c>
      <c r="AK580" s="4">
        <v>18</v>
      </c>
      <c r="AL580" s="4">
        <v>36</v>
      </c>
      <c r="AM580" s="4">
        <v>60</v>
      </c>
      <c r="AN580" s="4">
        <v>0</v>
      </c>
      <c r="AO580" s="4">
        <v>1</v>
      </c>
      <c r="AP580" s="4">
        <v>11</v>
      </c>
      <c r="AQ580" s="4">
        <v>27</v>
      </c>
      <c r="AR580" s="3" t="s">
        <v>62</v>
      </c>
      <c r="AS580" s="3" t="s">
        <v>61</v>
      </c>
      <c r="AT580" s="3" t="s">
        <v>62</v>
      </c>
      <c r="AU580" s="6" t="str">
        <f>HYPERLINK("http://catalog.hathitrust.org/Record/000402364","HathiTrust Record")</f>
        <v>HathiTrust Record</v>
      </c>
      <c r="AV580" s="6" t="str">
        <f>HYPERLINK("http://mcgill.on.worldcat.org/oclc/1122558","Catalog Record")</f>
        <v>Catalog Record</v>
      </c>
      <c r="AW580" s="6" t="str">
        <f>HYPERLINK("http://www.worldcat.org/oclc/1122558","WorldCat Record")</f>
        <v>WorldCat Record</v>
      </c>
      <c r="AX580" s="3" t="s">
        <v>5962</v>
      </c>
      <c r="AY580" s="3" t="s">
        <v>5963</v>
      </c>
      <c r="AZ580" s="3" t="s">
        <v>5964</v>
      </c>
      <c r="BA580" s="3" t="s">
        <v>5964</v>
      </c>
      <c r="BB580" s="3" t="s">
        <v>5969</v>
      </c>
      <c r="BC580" s="3" t="s">
        <v>102</v>
      </c>
      <c r="BD580" s="3" t="s">
        <v>68</v>
      </c>
      <c r="BF580" s="3" t="s">
        <v>5969</v>
      </c>
      <c r="BG580" s="3" t="s">
        <v>5970</v>
      </c>
    </row>
    <row r="581" spans="1:59" ht="58" x14ac:dyDescent="0.35">
      <c r="A581" s="2" t="s">
        <v>89</v>
      </c>
      <c r="B581" s="2" t="s">
        <v>90</v>
      </c>
      <c r="C581" s="2" t="s">
        <v>5953</v>
      </c>
      <c r="D581" s="2" t="s">
        <v>5954</v>
      </c>
      <c r="E581" s="2" t="s">
        <v>5955</v>
      </c>
      <c r="F581" s="3" t="s">
        <v>1413</v>
      </c>
      <c r="G581" s="3" t="s">
        <v>61</v>
      </c>
      <c r="I581" s="3" t="s">
        <v>62</v>
      </c>
      <c r="J581" s="3" t="s">
        <v>62</v>
      </c>
      <c r="K581" s="3" t="s">
        <v>916</v>
      </c>
      <c r="L581" s="2" t="s">
        <v>5956</v>
      </c>
      <c r="M581" s="2" t="s">
        <v>5957</v>
      </c>
      <c r="N581" s="3" t="s">
        <v>5958</v>
      </c>
      <c r="P581" s="3" t="s">
        <v>64</v>
      </c>
      <c r="Q581" s="2" t="s">
        <v>5959</v>
      </c>
      <c r="R581" s="3" t="s">
        <v>65</v>
      </c>
      <c r="S581" s="4">
        <v>7</v>
      </c>
      <c r="T581" s="4">
        <v>20</v>
      </c>
      <c r="U581" s="5" t="s">
        <v>5961</v>
      </c>
      <c r="V581" s="5" t="s">
        <v>5961</v>
      </c>
      <c r="W581" s="5" t="s">
        <v>67</v>
      </c>
      <c r="X581" s="5" t="s">
        <v>67</v>
      </c>
      <c r="Y581" s="4">
        <v>248</v>
      </c>
      <c r="Z581" s="4">
        <v>19</v>
      </c>
      <c r="AA581" s="4">
        <v>51</v>
      </c>
      <c r="AB581" s="4">
        <v>1</v>
      </c>
      <c r="AC581" s="4">
        <v>7</v>
      </c>
      <c r="AD581" s="4">
        <v>69</v>
      </c>
      <c r="AE581" s="4">
        <v>129</v>
      </c>
      <c r="AF581" s="4">
        <v>0</v>
      </c>
      <c r="AG581" s="4">
        <v>3</v>
      </c>
      <c r="AH581" s="4">
        <v>62</v>
      </c>
      <c r="AI581" s="4">
        <v>104</v>
      </c>
      <c r="AJ581" s="4">
        <v>10</v>
      </c>
      <c r="AK581" s="4">
        <v>18</v>
      </c>
      <c r="AL581" s="4">
        <v>36</v>
      </c>
      <c r="AM581" s="4">
        <v>60</v>
      </c>
      <c r="AN581" s="4">
        <v>0</v>
      </c>
      <c r="AO581" s="4">
        <v>1</v>
      </c>
      <c r="AP581" s="4">
        <v>11</v>
      </c>
      <c r="AQ581" s="4">
        <v>27</v>
      </c>
      <c r="AR581" s="3" t="s">
        <v>62</v>
      </c>
      <c r="AS581" s="3" t="s">
        <v>61</v>
      </c>
      <c r="AT581" s="3" t="s">
        <v>62</v>
      </c>
      <c r="AU581" s="6" t="str">
        <f>HYPERLINK("http://catalog.hathitrust.org/Record/000402364","HathiTrust Record")</f>
        <v>HathiTrust Record</v>
      </c>
      <c r="AV581" s="6" t="str">
        <f>HYPERLINK("http://mcgill.on.worldcat.org/oclc/1122558","Catalog Record")</f>
        <v>Catalog Record</v>
      </c>
      <c r="AW581" s="6" t="str">
        <f>HYPERLINK("http://www.worldcat.org/oclc/1122558","WorldCat Record")</f>
        <v>WorldCat Record</v>
      </c>
      <c r="AX581" s="3" t="s">
        <v>5962</v>
      </c>
      <c r="AY581" s="3" t="s">
        <v>5963</v>
      </c>
      <c r="AZ581" s="3" t="s">
        <v>5964</v>
      </c>
      <c r="BA581" s="3" t="s">
        <v>5964</v>
      </c>
      <c r="BB581" s="3" t="s">
        <v>5971</v>
      </c>
      <c r="BC581" s="3" t="s">
        <v>102</v>
      </c>
      <c r="BD581" s="3" t="s">
        <v>68</v>
      </c>
      <c r="BF581" s="3" t="s">
        <v>5971</v>
      </c>
      <c r="BG581" s="3" t="s">
        <v>5972</v>
      </c>
    </row>
    <row r="582" spans="1:59" ht="116" x14ac:dyDescent="0.35">
      <c r="A582" s="2" t="s">
        <v>89</v>
      </c>
      <c r="B582" s="2" t="s">
        <v>90</v>
      </c>
      <c r="C582" s="2" t="s">
        <v>5973</v>
      </c>
      <c r="D582" s="2" t="s">
        <v>5974</v>
      </c>
      <c r="E582" s="2" t="s">
        <v>5975</v>
      </c>
      <c r="G582" s="3" t="s">
        <v>62</v>
      </c>
      <c r="I582" s="3" t="s">
        <v>61</v>
      </c>
      <c r="J582" s="3" t="s">
        <v>62</v>
      </c>
      <c r="K582" s="3" t="s">
        <v>63</v>
      </c>
      <c r="L582" s="2" t="s">
        <v>5976</v>
      </c>
      <c r="M582" s="2" t="s">
        <v>5977</v>
      </c>
      <c r="N582" s="3" t="s">
        <v>1549</v>
      </c>
      <c r="O582" s="2" t="s">
        <v>5978</v>
      </c>
      <c r="P582" s="3" t="s">
        <v>64</v>
      </c>
      <c r="Q582" s="2" t="s">
        <v>5979</v>
      </c>
      <c r="R582" s="3" t="s">
        <v>65</v>
      </c>
      <c r="S582" s="4">
        <v>22</v>
      </c>
      <c r="T582" s="4">
        <v>22</v>
      </c>
      <c r="U582" s="5" t="s">
        <v>5980</v>
      </c>
      <c r="V582" s="5" t="s">
        <v>5980</v>
      </c>
      <c r="W582" s="5" t="s">
        <v>67</v>
      </c>
      <c r="X582" s="5" t="s">
        <v>67</v>
      </c>
      <c r="Y582" s="4">
        <v>159</v>
      </c>
      <c r="Z582" s="4">
        <v>8</v>
      </c>
      <c r="AA582" s="4">
        <v>55</v>
      </c>
      <c r="AB582" s="4">
        <v>2</v>
      </c>
      <c r="AC582" s="4">
        <v>11</v>
      </c>
      <c r="AD582" s="4">
        <v>43</v>
      </c>
      <c r="AE582" s="4">
        <v>145</v>
      </c>
      <c r="AF582" s="4">
        <v>0</v>
      </c>
      <c r="AG582" s="4">
        <v>5</v>
      </c>
      <c r="AH582" s="4">
        <v>39</v>
      </c>
      <c r="AI582" s="4">
        <v>117</v>
      </c>
      <c r="AJ582" s="4">
        <v>4</v>
      </c>
      <c r="AK582" s="4">
        <v>24</v>
      </c>
      <c r="AL582" s="4">
        <v>27</v>
      </c>
      <c r="AM582" s="4">
        <v>61</v>
      </c>
      <c r="AN582" s="4">
        <v>0</v>
      </c>
      <c r="AO582" s="4">
        <v>0</v>
      </c>
      <c r="AP582" s="4">
        <v>4</v>
      </c>
      <c r="AQ582" s="4">
        <v>36</v>
      </c>
      <c r="AR582" s="3" t="s">
        <v>62</v>
      </c>
      <c r="AS582" s="3" t="s">
        <v>62</v>
      </c>
      <c r="AT582" s="3" t="s">
        <v>62</v>
      </c>
      <c r="AU582" s="6" t="str">
        <f>HYPERLINK("http://catalog.hathitrust.org/Record/000386087","HathiTrust Record")</f>
        <v>HathiTrust Record</v>
      </c>
      <c r="AV582" s="6" t="str">
        <f>HYPERLINK("http://mcgill.on.worldcat.org/oclc/419693","Catalog Record")</f>
        <v>Catalog Record</v>
      </c>
      <c r="AW582" s="6" t="str">
        <f>HYPERLINK("http://www.worldcat.org/oclc/419693","WorldCat Record")</f>
        <v>WorldCat Record</v>
      </c>
      <c r="AX582" s="3" t="s">
        <v>5981</v>
      </c>
      <c r="AY582" s="3" t="s">
        <v>5982</v>
      </c>
      <c r="AZ582" s="3" t="s">
        <v>5983</v>
      </c>
      <c r="BA582" s="3" t="s">
        <v>5983</v>
      </c>
      <c r="BB582" s="3" t="s">
        <v>5984</v>
      </c>
      <c r="BC582" s="3" t="s">
        <v>102</v>
      </c>
      <c r="BD582" s="3" t="s">
        <v>68</v>
      </c>
      <c r="BF582" s="3" t="s">
        <v>5984</v>
      </c>
      <c r="BG582" s="3" t="s">
        <v>5985</v>
      </c>
    </row>
    <row r="583" spans="1:59" ht="58" x14ac:dyDescent="0.35">
      <c r="A583" s="2" t="s">
        <v>89</v>
      </c>
      <c r="B583" s="2" t="s">
        <v>90</v>
      </c>
      <c r="C583" s="2" t="s">
        <v>5986</v>
      </c>
      <c r="D583" s="2" t="s">
        <v>5987</v>
      </c>
      <c r="E583" s="2" t="s">
        <v>5988</v>
      </c>
      <c r="G583" s="3" t="s">
        <v>62</v>
      </c>
      <c r="I583" s="3" t="s">
        <v>61</v>
      </c>
      <c r="J583" s="3" t="s">
        <v>61</v>
      </c>
      <c r="K583" s="3" t="s">
        <v>63</v>
      </c>
      <c r="L583" s="2" t="s">
        <v>5989</v>
      </c>
      <c r="M583" s="2" t="s">
        <v>5990</v>
      </c>
      <c r="N583" s="3" t="s">
        <v>2727</v>
      </c>
      <c r="P583" s="3" t="s">
        <v>64</v>
      </c>
      <c r="R583" s="3" t="s">
        <v>65</v>
      </c>
      <c r="S583" s="4">
        <v>5</v>
      </c>
      <c r="T583" s="4">
        <v>5</v>
      </c>
      <c r="U583" s="5" t="s">
        <v>5991</v>
      </c>
      <c r="V583" s="5" t="s">
        <v>5991</v>
      </c>
      <c r="W583" s="5" t="s">
        <v>67</v>
      </c>
      <c r="X583" s="5" t="s">
        <v>67</v>
      </c>
      <c r="Y583" s="4">
        <v>175</v>
      </c>
      <c r="Z583" s="4">
        <v>21</v>
      </c>
      <c r="AA583" s="4">
        <v>64</v>
      </c>
      <c r="AB583" s="4">
        <v>2</v>
      </c>
      <c r="AC583" s="4">
        <v>10</v>
      </c>
      <c r="AD583" s="4">
        <v>38</v>
      </c>
      <c r="AE583" s="4">
        <v>149</v>
      </c>
      <c r="AF583" s="4">
        <v>1</v>
      </c>
      <c r="AG583" s="4">
        <v>5</v>
      </c>
      <c r="AH583" s="4">
        <v>29</v>
      </c>
      <c r="AI583" s="4">
        <v>115</v>
      </c>
      <c r="AJ583" s="4">
        <v>12</v>
      </c>
      <c r="AK583" s="4">
        <v>27</v>
      </c>
      <c r="AL583" s="4">
        <v>18</v>
      </c>
      <c r="AM583" s="4">
        <v>61</v>
      </c>
      <c r="AN583" s="4">
        <v>0</v>
      </c>
      <c r="AO583" s="4">
        <v>3</v>
      </c>
      <c r="AP583" s="4">
        <v>15</v>
      </c>
      <c r="AQ583" s="4">
        <v>38</v>
      </c>
      <c r="AR583" s="3" t="s">
        <v>62</v>
      </c>
      <c r="AS583" s="3" t="s">
        <v>62</v>
      </c>
      <c r="AT583" s="3" t="s">
        <v>61</v>
      </c>
      <c r="AU583" s="6" t="str">
        <f>HYPERLINK("http://catalog.hathitrust.org/Record/001986717","HathiTrust Record")</f>
        <v>HathiTrust Record</v>
      </c>
      <c r="AV583" s="6" t="str">
        <f>HYPERLINK("http://mcgill.on.worldcat.org/oclc/917813","Catalog Record")</f>
        <v>Catalog Record</v>
      </c>
      <c r="AW583" s="6" t="str">
        <f>HYPERLINK("http://www.worldcat.org/oclc/917813","WorldCat Record")</f>
        <v>WorldCat Record</v>
      </c>
      <c r="AX583" s="3" t="s">
        <v>5992</v>
      </c>
      <c r="AY583" s="3" t="s">
        <v>5993</v>
      </c>
      <c r="AZ583" s="3" t="s">
        <v>5994</v>
      </c>
      <c r="BA583" s="3" t="s">
        <v>5994</v>
      </c>
      <c r="BB583" s="3" t="s">
        <v>5995</v>
      </c>
      <c r="BC583" s="3" t="s">
        <v>102</v>
      </c>
      <c r="BD583" s="3" t="s">
        <v>68</v>
      </c>
      <c r="BF583" s="3" t="s">
        <v>5995</v>
      </c>
      <c r="BG583" s="3" t="s">
        <v>5996</v>
      </c>
    </row>
    <row r="584" spans="1:59" ht="58" x14ac:dyDescent="0.35">
      <c r="A584" s="2" t="s">
        <v>89</v>
      </c>
      <c r="B584" s="2" t="s">
        <v>90</v>
      </c>
      <c r="C584" s="2" t="s">
        <v>5997</v>
      </c>
      <c r="D584" s="2" t="s">
        <v>5998</v>
      </c>
      <c r="E584" s="2" t="s">
        <v>5999</v>
      </c>
      <c r="G584" s="3" t="s">
        <v>62</v>
      </c>
      <c r="I584" s="3" t="s">
        <v>62</v>
      </c>
      <c r="J584" s="3" t="s">
        <v>62</v>
      </c>
      <c r="K584" s="3" t="s">
        <v>63</v>
      </c>
      <c r="M584" s="2" t="s">
        <v>6000</v>
      </c>
      <c r="N584" s="3" t="s">
        <v>2000</v>
      </c>
      <c r="P584" s="3" t="s">
        <v>64</v>
      </c>
      <c r="R584" s="3" t="s">
        <v>65</v>
      </c>
      <c r="S584" s="4">
        <v>26</v>
      </c>
      <c r="T584" s="4">
        <v>26</v>
      </c>
      <c r="U584" s="5" t="s">
        <v>2899</v>
      </c>
      <c r="V584" s="5" t="s">
        <v>2899</v>
      </c>
      <c r="W584" s="5" t="s">
        <v>67</v>
      </c>
      <c r="X584" s="5" t="s">
        <v>67</v>
      </c>
      <c r="Y584" s="4">
        <v>370</v>
      </c>
      <c r="Z584" s="4">
        <v>33</v>
      </c>
      <c r="AA584" s="4">
        <v>34</v>
      </c>
      <c r="AB584" s="4">
        <v>3</v>
      </c>
      <c r="AC584" s="4">
        <v>4</v>
      </c>
      <c r="AD584" s="4">
        <v>110</v>
      </c>
      <c r="AE584" s="4">
        <v>111</v>
      </c>
      <c r="AF584" s="4">
        <v>2</v>
      </c>
      <c r="AG584" s="4">
        <v>3</v>
      </c>
      <c r="AH584" s="4">
        <v>90</v>
      </c>
      <c r="AI584" s="4">
        <v>91</v>
      </c>
      <c r="AJ584" s="4">
        <v>18</v>
      </c>
      <c r="AK584" s="4">
        <v>19</v>
      </c>
      <c r="AL584" s="4">
        <v>50</v>
      </c>
      <c r="AM584" s="4">
        <v>50</v>
      </c>
      <c r="AN584" s="4">
        <v>0</v>
      </c>
      <c r="AO584" s="4">
        <v>0</v>
      </c>
      <c r="AP584" s="4">
        <v>29</v>
      </c>
      <c r="AQ584" s="4">
        <v>30</v>
      </c>
      <c r="AR584" s="3" t="s">
        <v>62</v>
      </c>
      <c r="AS584" s="3" t="s">
        <v>62</v>
      </c>
      <c r="AT584" s="3" t="s">
        <v>61</v>
      </c>
      <c r="AU584" s="6" t="str">
        <f>HYPERLINK("http://catalog.hathitrust.org/Record/003076016","HathiTrust Record")</f>
        <v>HathiTrust Record</v>
      </c>
      <c r="AV584" s="6" t="str">
        <f>HYPERLINK("http://mcgill.on.worldcat.org/oclc/34077860","Catalog Record")</f>
        <v>Catalog Record</v>
      </c>
      <c r="AW584" s="6" t="str">
        <f>HYPERLINK("http://www.worldcat.org/oclc/34077860","WorldCat Record")</f>
        <v>WorldCat Record</v>
      </c>
      <c r="AX584" s="3" t="s">
        <v>6001</v>
      </c>
      <c r="AY584" s="3" t="s">
        <v>6002</v>
      </c>
      <c r="AZ584" s="3" t="s">
        <v>6003</v>
      </c>
      <c r="BA584" s="3" t="s">
        <v>6003</v>
      </c>
      <c r="BB584" s="3" t="s">
        <v>6004</v>
      </c>
      <c r="BC584" s="3" t="s">
        <v>102</v>
      </c>
      <c r="BD584" s="3" t="s">
        <v>68</v>
      </c>
      <c r="BE584" s="3" t="s">
        <v>6005</v>
      </c>
      <c r="BF584" s="3" t="s">
        <v>6004</v>
      </c>
      <c r="BG584" s="3" t="s">
        <v>6006</v>
      </c>
    </row>
    <row r="585" spans="1:59" ht="58" x14ac:dyDescent="0.35">
      <c r="A585" s="2" t="s">
        <v>89</v>
      </c>
      <c r="B585" s="2" t="s">
        <v>90</v>
      </c>
      <c r="C585" s="2" t="s">
        <v>6007</v>
      </c>
      <c r="D585" s="2" t="s">
        <v>6008</v>
      </c>
      <c r="E585" s="2" t="s">
        <v>6009</v>
      </c>
      <c r="G585" s="3" t="s">
        <v>62</v>
      </c>
      <c r="I585" s="3" t="s">
        <v>62</v>
      </c>
      <c r="J585" s="3" t="s">
        <v>61</v>
      </c>
      <c r="K585" s="3" t="s">
        <v>63</v>
      </c>
      <c r="M585" s="2" t="s">
        <v>6010</v>
      </c>
      <c r="N585" s="3" t="s">
        <v>524</v>
      </c>
      <c r="P585" s="3" t="s">
        <v>64</v>
      </c>
      <c r="R585" s="3" t="s">
        <v>65</v>
      </c>
      <c r="S585" s="4">
        <v>75</v>
      </c>
      <c r="T585" s="4">
        <v>75</v>
      </c>
      <c r="U585" s="5" t="s">
        <v>6011</v>
      </c>
      <c r="V585" s="5" t="s">
        <v>6011</v>
      </c>
      <c r="W585" s="5" t="s">
        <v>67</v>
      </c>
      <c r="X585" s="5" t="s">
        <v>67</v>
      </c>
      <c r="Y585" s="4">
        <v>472</v>
      </c>
      <c r="Z585" s="4">
        <v>28</v>
      </c>
      <c r="AA585" s="4">
        <v>109</v>
      </c>
      <c r="AB585" s="4">
        <v>2</v>
      </c>
      <c r="AC585" s="4">
        <v>20</v>
      </c>
      <c r="AD585" s="4">
        <v>100</v>
      </c>
      <c r="AE585" s="4">
        <v>150</v>
      </c>
      <c r="AF585" s="4">
        <v>1</v>
      </c>
      <c r="AG585" s="4">
        <v>8</v>
      </c>
      <c r="AH585" s="4">
        <v>87</v>
      </c>
      <c r="AI585" s="4">
        <v>106</v>
      </c>
      <c r="AJ585" s="4">
        <v>15</v>
      </c>
      <c r="AK585" s="4">
        <v>26</v>
      </c>
      <c r="AL585" s="4">
        <v>46</v>
      </c>
      <c r="AM585" s="4">
        <v>56</v>
      </c>
      <c r="AN585" s="4">
        <v>0</v>
      </c>
      <c r="AO585" s="4">
        <v>0</v>
      </c>
      <c r="AP585" s="4">
        <v>20</v>
      </c>
      <c r="AQ585" s="4">
        <v>53</v>
      </c>
      <c r="AR585" s="3" t="s">
        <v>62</v>
      </c>
      <c r="AS585" s="3" t="s">
        <v>62</v>
      </c>
      <c r="AT585" s="3" t="s">
        <v>61</v>
      </c>
      <c r="AU585" s="6" t="str">
        <f>HYPERLINK("http://catalog.hathitrust.org/Record/002892117","HathiTrust Record")</f>
        <v>HathiTrust Record</v>
      </c>
      <c r="AV585" s="6" t="str">
        <f>HYPERLINK("http://mcgill.on.worldcat.org/oclc/30517819","Catalog Record")</f>
        <v>Catalog Record</v>
      </c>
      <c r="AW585" s="6" t="str">
        <f>HYPERLINK("http://www.worldcat.org/oclc/30517819","WorldCat Record")</f>
        <v>WorldCat Record</v>
      </c>
      <c r="AX585" s="3" t="s">
        <v>6012</v>
      </c>
      <c r="AY585" s="3" t="s">
        <v>6013</v>
      </c>
      <c r="AZ585" s="3" t="s">
        <v>6014</v>
      </c>
      <c r="BA585" s="3" t="s">
        <v>6014</v>
      </c>
      <c r="BB585" s="3" t="s">
        <v>6015</v>
      </c>
      <c r="BC585" s="3" t="s">
        <v>102</v>
      </c>
      <c r="BD585" s="3" t="s">
        <v>231</v>
      </c>
      <c r="BE585" s="3" t="s">
        <v>6016</v>
      </c>
      <c r="BF585" s="3" t="s">
        <v>6015</v>
      </c>
      <c r="BG585" s="3" t="s">
        <v>6017</v>
      </c>
    </row>
    <row r="586" spans="1:59" ht="58" x14ac:dyDescent="0.35">
      <c r="A586" s="2" t="s">
        <v>89</v>
      </c>
      <c r="B586" s="2" t="s">
        <v>90</v>
      </c>
      <c r="C586" s="2" t="s">
        <v>6018</v>
      </c>
      <c r="D586" s="2" t="s">
        <v>6019</v>
      </c>
      <c r="E586" s="2" t="s">
        <v>6020</v>
      </c>
      <c r="G586" s="3" t="s">
        <v>62</v>
      </c>
      <c r="I586" s="3" t="s">
        <v>61</v>
      </c>
      <c r="J586" s="3" t="s">
        <v>62</v>
      </c>
      <c r="K586" s="3" t="s">
        <v>63</v>
      </c>
      <c r="L586" s="2" t="s">
        <v>6021</v>
      </c>
      <c r="M586" s="2" t="s">
        <v>6022</v>
      </c>
      <c r="N586" s="3" t="s">
        <v>355</v>
      </c>
      <c r="P586" s="3" t="s">
        <v>64</v>
      </c>
      <c r="R586" s="3" t="s">
        <v>65</v>
      </c>
      <c r="S586" s="4">
        <v>3</v>
      </c>
      <c r="T586" s="4">
        <v>6</v>
      </c>
      <c r="U586" s="5" t="s">
        <v>6023</v>
      </c>
      <c r="V586" s="5" t="s">
        <v>1663</v>
      </c>
      <c r="W586" s="5" t="s">
        <v>67</v>
      </c>
      <c r="X586" s="5" t="s">
        <v>67</v>
      </c>
      <c r="Y586" s="4">
        <v>408</v>
      </c>
      <c r="Z586" s="4">
        <v>28</v>
      </c>
      <c r="AA586" s="4">
        <v>33</v>
      </c>
      <c r="AB586" s="4">
        <v>2</v>
      </c>
      <c r="AC586" s="4">
        <v>5</v>
      </c>
      <c r="AD586" s="4">
        <v>85</v>
      </c>
      <c r="AE586" s="4">
        <v>90</v>
      </c>
      <c r="AF586" s="4">
        <v>1</v>
      </c>
      <c r="AG586" s="4">
        <v>3</v>
      </c>
      <c r="AH586" s="4">
        <v>68</v>
      </c>
      <c r="AI586" s="4">
        <v>71</v>
      </c>
      <c r="AJ586" s="4">
        <v>15</v>
      </c>
      <c r="AK586" s="4">
        <v>17</v>
      </c>
      <c r="AL586" s="4">
        <v>37</v>
      </c>
      <c r="AM586" s="4">
        <v>39</v>
      </c>
      <c r="AN586" s="4">
        <v>0</v>
      </c>
      <c r="AO586" s="4">
        <v>0</v>
      </c>
      <c r="AP586" s="4">
        <v>20</v>
      </c>
      <c r="AQ586" s="4">
        <v>23</v>
      </c>
      <c r="AR586" s="3" t="s">
        <v>62</v>
      </c>
      <c r="AS586" s="3" t="s">
        <v>62</v>
      </c>
      <c r="AT586" s="3" t="s">
        <v>62</v>
      </c>
      <c r="AV586" s="6" t="str">
        <f>HYPERLINK("http://mcgill.on.worldcat.org/oclc/10506360","Catalog Record")</f>
        <v>Catalog Record</v>
      </c>
      <c r="AW586" s="6" t="str">
        <f>HYPERLINK("http://www.worldcat.org/oclc/10506360","WorldCat Record")</f>
        <v>WorldCat Record</v>
      </c>
      <c r="AX586" s="3" t="s">
        <v>6024</v>
      </c>
      <c r="AY586" s="3" t="s">
        <v>6025</v>
      </c>
      <c r="AZ586" s="3" t="s">
        <v>6026</v>
      </c>
      <c r="BA586" s="3" t="s">
        <v>6026</v>
      </c>
      <c r="BB586" s="3" t="s">
        <v>6027</v>
      </c>
      <c r="BC586" s="3" t="s">
        <v>102</v>
      </c>
      <c r="BD586" s="3" t="s">
        <v>68</v>
      </c>
      <c r="BE586" s="3" t="s">
        <v>6028</v>
      </c>
      <c r="BF586" s="3" t="s">
        <v>6027</v>
      </c>
      <c r="BG586" s="3" t="s">
        <v>6029</v>
      </c>
    </row>
    <row r="587" spans="1:59" ht="72.5" x14ac:dyDescent="0.35">
      <c r="A587" s="2" t="s">
        <v>89</v>
      </c>
      <c r="B587" s="2" t="s">
        <v>90</v>
      </c>
      <c r="C587" s="2" t="s">
        <v>6030</v>
      </c>
      <c r="D587" s="2" t="s">
        <v>6031</v>
      </c>
      <c r="E587" s="2" t="s">
        <v>6032</v>
      </c>
      <c r="G587" s="3" t="s">
        <v>62</v>
      </c>
      <c r="I587" s="3" t="s">
        <v>62</v>
      </c>
      <c r="J587" s="3" t="s">
        <v>62</v>
      </c>
      <c r="K587" s="3" t="s">
        <v>63</v>
      </c>
      <c r="L587" s="2" t="s">
        <v>6033</v>
      </c>
      <c r="M587" s="2" t="s">
        <v>6034</v>
      </c>
      <c r="N587" s="3" t="s">
        <v>880</v>
      </c>
      <c r="O587" s="2" t="s">
        <v>6035</v>
      </c>
      <c r="P587" s="3" t="s">
        <v>85</v>
      </c>
      <c r="Q587" s="2" t="s">
        <v>6036</v>
      </c>
      <c r="R587" s="3" t="s">
        <v>65</v>
      </c>
      <c r="S587" s="4">
        <v>0</v>
      </c>
      <c r="T587" s="4">
        <v>0</v>
      </c>
      <c r="W587" s="5" t="s">
        <v>67</v>
      </c>
      <c r="X587" s="5" t="s">
        <v>67</v>
      </c>
      <c r="Y587" s="4">
        <v>7</v>
      </c>
      <c r="Z587" s="4">
        <v>1</v>
      </c>
      <c r="AA587" s="4">
        <v>16</v>
      </c>
      <c r="AB587" s="4">
        <v>1</v>
      </c>
      <c r="AC587" s="4">
        <v>11</v>
      </c>
      <c r="AD587" s="4">
        <v>0</v>
      </c>
      <c r="AE587" s="4">
        <v>5</v>
      </c>
      <c r="AF587" s="4">
        <v>0</v>
      </c>
      <c r="AG587" s="4">
        <v>4</v>
      </c>
      <c r="AH587" s="4">
        <v>0</v>
      </c>
      <c r="AI587" s="4">
        <v>1</v>
      </c>
      <c r="AJ587" s="4">
        <v>0</v>
      </c>
      <c r="AK587" s="4">
        <v>4</v>
      </c>
      <c r="AL587" s="4">
        <v>0</v>
      </c>
      <c r="AM587" s="4">
        <v>0</v>
      </c>
      <c r="AN587" s="4">
        <v>0</v>
      </c>
      <c r="AO587" s="4">
        <v>0</v>
      </c>
      <c r="AP587" s="4">
        <v>0</v>
      </c>
      <c r="AQ587" s="4">
        <v>4</v>
      </c>
      <c r="AR587" s="3" t="s">
        <v>61</v>
      </c>
      <c r="AS587" s="3" t="s">
        <v>62</v>
      </c>
      <c r="AT587" s="3" t="s">
        <v>62</v>
      </c>
      <c r="AV587" s="6" t="str">
        <f>HYPERLINK("http://mcgill.on.worldcat.org/oclc/667227188","Catalog Record")</f>
        <v>Catalog Record</v>
      </c>
      <c r="AW587" s="6" t="str">
        <f>HYPERLINK("http://www.worldcat.org/oclc/667227188","WorldCat Record")</f>
        <v>WorldCat Record</v>
      </c>
      <c r="AX587" s="3" t="s">
        <v>6037</v>
      </c>
      <c r="AY587" s="3" t="s">
        <v>6038</v>
      </c>
      <c r="AZ587" s="3" t="s">
        <v>6039</v>
      </c>
      <c r="BA587" s="3" t="s">
        <v>6039</v>
      </c>
      <c r="BB587" s="3" t="s">
        <v>6040</v>
      </c>
      <c r="BC587" s="3" t="s">
        <v>102</v>
      </c>
      <c r="BD587" s="3" t="s">
        <v>68</v>
      </c>
      <c r="BE587" s="3" t="s">
        <v>6041</v>
      </c>
      <c r="BF587" s="3" t="s">
        <v>6040</v>
      </c>
      <c r="BG587" s="3" t="s">
        <v>6042</v>
      </c>
    </row>
    <row r="588" spans="1:59" ht="58" x14ac:dyDescent="0.35">
      <c r="A588" s="2" t="s">
        <v>89</v>
      </c>
      <c r="B588" s="2" t="s">
        <v>90</v>
      </c>
      <c r="C588" s="2" t="s">
        <v>6043</v>
      </c>
      <c r="D588" s="2" t="s">
        <v>6044</v>
      </c>
      <c r="E588" s="2" t="s">
        <v>6045</v>
      </c>
      <c r="G588" s="3" t="s">
        <v>62</v>
      </c>
      <c r="I588" s="3" t="s">
        <v>62</v>
      </c>
      <c r="J588" s="3" t="s">
        <v>62</v>
      </c>
      <c r="K588" s="3" t="s">
        <v>63</v>
      </c>
      <c r="L588" s="2" t="s">
        <v>6046</v>
      </c>
      <c r="M588" s="2" t="s">
        <v>6047</v>
      </c>
      <c r="N588" s="3" t="s">
        <v>6048</v>
      </c>
      <c r="P588" s="3" t="s">
        <v>64</v>
      </c>
      <c r="R588" s="3" t="s">
        <v>65</v>
      </c>
      <c r="S588" s="4">
        <v>2</v>
      </c>
      <c r="T588" s="4">
        <v>2</v>
      </c>
      <c r="U588" s="5" t="s">
        <v>454</v>
      </c>
      <c r="V588" s="5" t="s">
        <v>454</v>
      </c>
      <c r="W588" s="5" t="s">
        <v>67</v>
      </c>
      <c r="X588" s="5" t="s">
        <v>67</v>
      </c>
      <c r="Y588" s="4">
        <v>35</v>
      </c>
      <c r="Z588" s="4">
        <v>6</v>
      </c>
      <c r="AA588" s="4">
        <v>11</v>
      </c>
      <c r="AB588" s="4">
        <v>1</v>
      </c>
      <c r="AC588" s="4">
        <v>1</v>
      </c>
      <c r="AD588" s="4">
        <v>13</v>
      </c>
      <c r="AE588" s="4">
        <v>19</v>
      </c>
      <c r="AF588" s="4">
        <v>0</v>
      </c>
      <c r="AG588" s="4">
        <v>0</v>
      </c>
      <c r="AH588" s="4">
        <v>10</v>
      </c>
      <c r="AI588" s="4">
        <v>14</v>
      </c>
      <c r="AJ588" s="4">
        <v>4</v>
      </c>
      <c r="AK588" s="4">
        <v>7</v>
      </c>
      <c r="AL588" s="4">
        <v>5</v>
      </c>
      <c r="AM588" s="4">
        <v>8</v>
      </c>
      <c r="AN588" s="4">
        <v>0</v>
      </c>
      <c r="AO588" s="4">
        <v>0</v>
      </c>
      <c r="AP588" s="4">
        <v>3</v>
      </c>
      <c r="AQ588" s="4">
        <v>7</v>
      </c>
      <c r="AR588" s="3" t="s">
        <v>62</v>
      </c>
      <c r="AS588" s="3" t="s">
        <v>62</v>
      </c>
      <c r="AT588" s="3" t="s">
        <v>62</v>
      </c>
      <c r="AV588" s="6" t="str">
        <f>HYPERLINK("http://mcgill.on.worldcat.org/oclc/3280261","Catalog Record")</f>
        <v>Catalog Record</v>
      </c>
      <c r="AW588" s="6" t="str">
        <f>HYPERLINK("http://www.worldcat.org/oclc/3280261","WorldCat Record")</f>
        <v>WorldCat Record</v>
      </c>
      <c r="AX588" s="3" t="s">
        <v>6049</v>
      </c>
      <c r="AY588" s="3" t="s">
        <v>6050</v>
      </c>
      <c r="AZ588" s="3" t="s">
        <v>6051</v>
      </c>
      <c r="BA588" s="3" t="s">
        <v>6051</v>
      </c>
      <c r="BB588" s="3" t="s">
        <v>6052</v>
      </c>
      <c r="BC588" s="3" t="s">
        <v>102</v>
      </c>
      <c r="BD588" s="3" t="s">
        <v>68</v>
      </c>
      <c r="BF588" s="3" t="s">
        <v>6052</v>
      </c>
      <c r="BG588" s="3" t="s">
        <v>6053</v>
      </c>
    </row>
    <row r="589" spans="1:59" ht="58" x14ac:dyDescent="0.35">
      <c r="A589" s="2" t="s">
        <v>89</v>
      </c>
      <c r="B589" s="2" t="s">
        <v>90</v>
      </c>
      <c r="C589" s="2" t="s">
        <v>6054</v>
      </c>
      <c r="D589" s="2" t="s">
        <v>6055</v>
      </c>
      <c r="E589" s="2" t="s">
        <v>6056</v>
      </c>
      <c r="G589" s="3" t="s">
        <v>62</v>
      </c>
      <c r="I589" s="3" t="s">
        <v>62</v>
      </c>
      <c r="J589" s="3" t="s">
        <v>61</v>
      </c>
      <c r="K589" s="3" t="s">
        <v>63</v>
      </c>
      <c r="L589" s="2" t="s">
        <v>6057</v>
      </c>
      <c r="M589" s="2" t="s">
        <v>6058</v>
      </c>
      <c r="N589" s="3" t="s">
        <v>2305</v>
      </c>
      <c r="P589" s="3" t="s">
        <v>64</v>
      </c>
      <c r="Q589" s="2" t="s">
        <v>6059</v>
      </c>
      <c r="R589" s="3" t="s">
        <v>65</v>
      </c>
      <c r="S589" s="4">
        <v>19</v>
      </c>
      <c r="T589" s="4">
        <v>19</v>
      </c>
      <c r="U589" s="5" t="s">
        <v>4771</v>
      </c>
      <c r="V589" s="5" t="s">
        <v>4771</v>
      </c>
      <c r="W589" s="5" t="s">
        <v>67</v>
      </c>
      <c r="X589" s="5" t="s">
        <v>67</v>
      </c>
      <c r="Y589" s="4">
        <v>590</v>
      </c>
      <c r="Z589" s="4">
        <v>16</v>
      </c>
      <c r="AA589" s="4">
        <v>61</v>
      </c>
      <c r="AB589" s="4">
        <v>1</v>
      </c>
      <c r="AC589" s="4">
        <v>9</v>
      </c>
      <c r="AD589" s="4">
        <v>60</v>
      </c>
      <c r="AE589" s="4">
        <v>142</v>
      </c>
      <c r="AF589" s="4">
        <v>0</v>
      </c>
      <c r="AG589" s="4">
        <v>2</v>
      </c>
      <c r="AH589" s="4">
        <v>50</v>
      </c>
      <c r="AI589" s="4">
        <v>113</v>
      </c>
      <c r="AJ589" s="4">
        <v>5</v>
      </c>
      <c r="AK589" s="4">
        <v>22</v>
      </c>
      <c r="AL589" s="4">
        <v>30</v>
      </c>
      <c r="AM589" s="4">
        <v>63</v>
      </c>
      <c r="AN589" s="4">
        <v>0</v>
      </c>
      <c r="AO589" s="4">
        <v>0</v>
      </c>
      <c r="AP589" s="4">
        <v>11</v>
      </c>
      <c r="AQ589" s="4">
        <v>33</v>
      </c>
      <c r="AR589" s="3" t="s">
        <v>62</v>
      </c>
      <c r="AS589" s="3" t="s">
        <v>62</v>
      </c>
      <c r="AT589" s="3" t="s">
        <v>62</v>
      </c>
      <c r="AU589" s="6" t="str">
        <f>HYPERLINK("http://catalog.hathitrust.org/Record/001474126","HathiTrust Record")</f>
        <v>HathiTrust Record</v>
      </c>
      <c r="AV589" s="6" t="str">
        <f>HYPERLINK("http://mcgill.on.worldcat.org/oclc/1483850","Catalog Record")</f>
        <v>Catalog Record</v>
      </c>
      <c r="AW589" s="6" t="str">
        <f>HYPERLINK("http://www.worldcat.org/oclc/1483850","WorldCat Record")</f>
        <v>WorldCat Record</v>
      </c>
      <c r="AX589" s="3" t="s">
        <v>6060</v>
      </c>
      <c r="AY589" s="3" t="s">
        <v>6061</v>
      </c>
      <c r="AZ589" s="3" t="s">
        <v>6062</v>
      </c>
      <c r="BA589" s="3" t="s">
        <v>6062</v>
      </c>
      <c r="BB589" s="3" t="s">
        <v>6063</v>
      </c>
      <c r="BC589" s="3" t="s">
        <v>102</v>
      </c>
      <c r="BD589" s="3" t="s">
        <v>68</v>
      </c>
      <c r="BF589" s="3" t="s">
        <v>6063</v>
      </c>
      <c r="BG589" s="3" t="s">
        <v>6064</v>
      </c>
    </row>
    <row r="590" spans="1:59" ht="58" x14ac:dyDescent="0.35">
      <c r="A590" s="2" t="s">
        <v>89</v>
      </c>
      <c r="B590" s="2" t="s">
        <v>90</v>
      </c>
      <c r="C590" s="2" t="s">
        <v>6065</v>
      </c>
      <c r="D590" s="2" t="s">
        <v>6066</v>
      </c>
      <c r="E590" s="2" t="s">
        <v>6067</v>
      </c>
      <c r="G590" s="3" t="s">
        <v>62</v>
      </c>
      <c r="I590" s="3" t="s">
        <v>62</v>
      </c>
      <c r="J590" s="3" t="s">
        <v>62</v>
      </c>
      <c r="K590" s="3" t="s">
        <v>63</v>
      </c>
      <c r="L590" s="2" t="s">
        <v>6068</v>
      </c>
      <c r="M590" s="2" t="s">
        <v>6069</v>
      </c>
      <c r="N590" s="3" t="s">
        <v>327</v>
      </c>
      <c r="O590" s="2" t="s">
        <v>2163</v>
      </c>
      <c r="P590" s="3" t="s">
        <v>64</v>
      </c>
      <c r="R590" s="3" t="s">
        <v>65</v>
      </c>
      <c r="S590" s="4">
        <v>2</v>
      </c>
      <c r="T590" s="4">
        <v>2</v>
      </c>
      <c r="U590" s="5" t="s">
        <v>6070</v>
      </c>
      <c r="V590" s="5" t="s">
        <v>6070</v>
      </c>
      <c r="W590" s="5" t="s">
        <v>67</v>
      </c>
      <c r="X590" s="5" t="s">
        <v>67</v>
      </c>
      <c r="Y590" s="4">
        <v>889</v>
      </c>
      <c r="Z590" s="4">
        <v>35</v>
      </c>
      <c r="AA590" s="4">
        <v>36</v>
      </c>
      <c r="AB590" s="4">
        <v>1</v>
      </c>
      <c r="AC590" s="4">
        <v>2</v>
      </c>
      <c r="AD590" s="4">
        <v>110</v>
      </c>
      <c r="AE590" s="4">
        <v>111</v>
      </c>
      <c r="AF590" s="4">
        <v>0</v>
      </c>
      <c r="AG590" s="4">
        <v>1</v>
      </c>
      <c r="AH590" s="4">
        <v>94</v>
      </c>
      <c r="AI590" s="4">
        <v>95</v>
      </c>
      <c r="AJ590" s="4">
        <v>14</v>
      </c>
      <c r="AK590" s="4">
        <v>15</v>
      </c>
      <c r="AL590" s="4">
        <v>54</v>
      </c>
      <c r="AM590" s="4">
        <v>54</v>
      </c>
      <c r="AN590" s="4">
        <v>0</v>
      </c>
      <c r="AO590" s="4">
        <v>0</v>
      </c>
      <c r="AP590" s="4">
        <v>22</v>
      </c>
      <c r="AQ590" s="4">
        <v>23</v>
      </c>
      <c r="AR590" s="3" t="s">
        <v>62</v>
      </c>
      <c r="AS590" s="3" t="s">
        <v>62</v>
      </c>
      <c r="AT590" s="3" t="s">
        <v>61</v>
      </c>
      <c r="AU590" s="6" t="str">
        <f>HYPERLINK("http://catalog.hathitrust.org/Record/004412543","HathiTrust Record")</f>
        <v>HathiTrust Record</v>
      </c>
      <c r="AV590" s="6" t="str">
        <f>HYPERLINK("http://mcgill.on.worldcat.org/oclc/9045081","Catalog Record")</f>
        <v>Catalog Record</v>
      </c>
      <c r="AW590" s="6" t="str">
        <f>HYPERLINK("http://www.worldcat.org/oclc/9045081","WorldCat Record")</f>
        <v>WorldCat Record</v>
      </c>
      <c r="AX590" s="3" t="s">
        <v>6071</v>
      </c>
      <c r="AY590" s="3" t="s">
        <v>6072</v>
      </c>
      <c r="AZ590" s="3" t="s">
        <v>6073</v>
      </c>
      <c r="BA590" s="3" t="s">
        <v>6073</v>
      </c>
      <c r="BB590" s="3" t="s">
        <v>6074</v>
      </c>
      <c r="BC590" s="3" t="s">
        <v>102</v>
      </c>
      <c r="BD590" s="3" t="s">
        <v>68</v>
      </c>
      <c r="BE590" s="3" t="s">
        <v>6075</v>
      </c>
      <c r="BF590" s="3" t="s">
        <v>6074</v>
      </c>
      <c r="BG590" s="3" t="s">
        <v>6076</v>
      </c>
    </row>
    <row r="591" spans="1:59" ht="58" x14ac:dyDescent="0.35">
      <c r="A591" s="2" t="s">
        <v>89</v>
      </c>
      <c r="B591" s="2" t="s">
        <v>90</v>
      </c>
      <c r="C591" s="2" t="s">
        <v>6077</v>
      </c>
      <c r="D591" s="2" t="s">
        <v>6078</v>
      </c>
      <c r="E591" s="2" t="s">
        <v>6079</v>
      </c>
      <c r="G591" s="3" t="s">
        <v>62</v>
      </c>
      <c r="I591" s="3" t="s">
        <v>62</v>
      </c>
      <c r="J591" s="3" t="s">
        <v>62</v>
      </c>
      <c r="K591" s="3" t="s">
        <v>63</v>
      </c>
      <c r="L591" s="2" t="s">
        <v>6080</v>
      </c>
      <c r="M591" s="2" t="s">
        <v>6081</v>
      </c>
      <c r="N591" s="3" t="s">
        <v>466</v>
      </c>
      <c r="O591" s="2" t="s">
        <v>2163</v>
      </c>
      <c r="P591" s="3" t="s">
        <v>64</v>
      </c>
      <c r="R591" s="3" t="s">
        <v>65</v>
      </c>
      <c r="S591" s="4">
        <v>4</v>
      </c>
      <c r="T591" s="4">
        <v>4</v>
      </c>
      <c r="U591" s="5" t="s">
        <v>1593</v>
      </c>
      <c r="V591" s="5" t="s">
        <v>1593</v>
      </c>
      <c r="W591" s="5" t="s">
        <v>67</v>
      </c>
      <c r="X591" s="5" t="s">
        <v>67</v>
      </c>
      <c r="Y591" s="4">
        <v>564</v>
      </c>
      <c r="Z591" s="4">
        <v>28</v>
      </c>
      <c r="AA591" s="4">
        <v>31</v>
      </c>
      <c r="AB591" s="4">
        <v>1</v>
      </c>
      <c r="AC591" s="4">
        <v>3</v>
      </c>
      <c r="AD591" s="4">
        <v>87</v>
      </c>
      <c r="AE591" s="4">
        <v>90</v>
      </c>
      <c r="AF591" s="4">
        <v>0</v>
      </c>
      <c r="AG591" s="4">
        <v>1</v>
      </c>
      <c r="AH591" s="4">
        <v>73</v>
      </c>
      <c r="AI591" s="4">
        <v>75</v>
      </c>
      <c r="AJ591" s="4">
        <v>11</v>
      </c>
      <c r="AK591" s="4">
        <v>13</v>
      </c>
      <c r="AL591" s="4">
        <v>44</v>
      </c>
      <c r="AM591" s="4">
        <v>44</v>
      </c>
      <c r="AN591" s="4">
        <v>0</v>
      </c>
      <c r="AO591" s="4">
        <v>0</v>
      </c>
      <c r="AP591" s="4">
        <v>18</v>
      </c>
      <c r="AQ591" s="4">
        <v>20</v>
      </c>
      <c r="AR591" s="3" t="s">
        <v>62</v>
      </c>
      <c r="AS591" s="3" t="s">
        <v>62</v>
      </c>
      <c r="AT591" s="3" t="s">
        <v>61</v>
      </c>
      <c r="AU591" s="6" t="str">
        <f>HYPERLINK("http://catalog.hathitrust.org/Record/009239494","HathiTrust Record")</f>
        <v>HathiTrust Record</v>
      </c>
      <c r="AV591" s="6" t="str">
        <f>HYPERLINK("http://mcgill.on.worldcat.org/oclc/23652327","Catalog Record")</f>
        <v>Catalog Record</v>
      </c>
      <c r="AW591" s="6" t="str">
        <f>HYPERLINK("http://www.worldcat.org/oclc/23652327","WorldCat Record")</f>
        <v>WorldCat Record</v>
      </c>
      <c r="AX591" s="3" t="s">
        <v>6082</v>
      </c>
      <c r="AY591" s="3" t="s">
        <v>6083</v>
      </c>
      <c r="AZ591" s="3" t="s">
        <v>6084</v>
      </c>
      <c r="BA591" s="3" t="s">
        <v>6084</v>
      </c>
      <c r="BB591" s="3" t="s">
        <v>6085</v>
      </c>
      <c r="BC591" s="3" t="s">
        <v>102</v>
      </c>
      <c r="BD591" s="3" t="s">
        <v>68</v>
      </c>
      <c r="BE591" s="3" t="s">
        <v>6086</v>
      </c>
      <c r="BF591" s="3" t="s">
        <v>6085</v>
      </c>
      <c r="BG591" s="3" t="s">
        <v>6087</v>
      </c>
    </row>
    <row r="592" spans="1:59" ht="58" x14ac:dyDescent="0.35">
      <c r="A592" s="2" t="s">
        <v>89</v>
      </c>
      <c r="B592" s="2" t="s">
        <v>90</v>
      </c>
      <c r="C592" s="2" t="s">
        <v>6088</v>
      </c>
      <c r="D592" s="2" t="s">
        <v>6089</v>
      </c>
      <c r="E592" s="2" t="s">
        <v>6090</v>
      </c>
      <c r="G592" s="3" t="s">
        <v>62</v>
      </c>
      <c r="I592" s="3" t="s">
        <v>62</v>
      </c>
      <c r="J592" s="3" t="s">
        <v>62</v>
      </c>
      <c r="K592" s="3" t="s">
        <v>63</v>
      </c>
      <c r="L592" s="2" t="s">
        <v>6091</v>
      </c>
      <c r="M592" s="2" t="s">
        <v>6092</v>
      </c>
      <c r="N592" s="3" t="s">
        <v>481</v>
      </c>
      <c r="O592" s="2" t="s">
        <v>2163</v>
      </c>
      <c r="P592" s="3" t="s">
        <v>64</v>
      </c>
      <c r="R592" s="3" t="s">
        <v>65</v>
      </c>
      <c r="S592" s="4">
        <v>5</v>
      </c>
      <c r="T592" s="4">
        <v>5</v>
      </c>
      <c r="U592" s="5" t="s">
        <v>6093</v>
      </c>
      <c r="V592" s="5" t="s">
        <v>6093</v>
      </c>
      <c r="W592" s="5" t="s">
        <v>67</v>
      </c>
      <c r="X592" s="5" t="s">
        <v>67</v>
      </c>
      <c r="Y592" s="4">
        <v>267</v>
      </c>
      <c r="Z592" s="4">
        <v>9</v>
      </c>
      <c r="AA592" s="4">
        <v>9</v>
      </c>
      <c r="AB592" s="4">
        <v>2</v>
      </c>
      <c r="AC592" s="4">
        <v>2</v>
      </c>
      <c r="AD592" s="4">
        <v>64</v>
      </c>
      <c r="AE592" s="4">
        <v>64</v>
      </c>
      <c r="AF592" s="4">
        <v>1</v>
      </c>
      <c r="AG592" s="4">
        <v>1</v>
      </c>
      <c r="AH592" s="4">
        <v>61</v>
      </c>
      <c r="AI592" s="4">
        <v>61</v>
      </c>
      <c r="AJ592" s="4">
        <v>4</v>
      </c>
      <c r="AK592" s="4">
        <v>4</v>
      </c>
      <c r="AL592" s="4">
        <v>34</v>
      </c>
      <c r="AM592" s="4">
        <v>34</v>
      </c>
      <c r="AN592" s="4">
        <v>0</v>
      </c>
      <c r="AO592" s="4">
        <v>0</v>
      </c>
      <c r="AP592" s="4">
        <v>5</v>
      </c>
      <c r="AQ592" s="4">
        <v>5</v>
      </c>
      <c r="AR592" s="3" t="s">
        <v>62</v>
      </c>
      <c r="AS592" s="3" t="s">
        <v>62</v>
      </c>
      <c r="AT592" s="3" t="s">
        <v>61</v>
      </c>
      <c r="AU592" s="6" t="str">
        <f>HYPERLINK("http://catalog.hathitrust.org/Record/003965387","HathiTrust Record")</f>
        <v>HathiTrust Record</v>
      </c>
      <c r="AV592" s="6" t="str">
        <f>HYPERLINK("http://mcgill.on.worldcat.org/oclc/36675987","Catalog Record")</f>
        <v>Catalog Record</v>
      </c>
      <c r="AW592" s="6" t="str">
        <f>HYPERLINK("http://www.worldcat.org/oclc/36675987","WorldCat Record")</f>
        <v>WorldCat Record</v>
      </c>
      <c r="AX592" s="3" t="s">
        <v>6094</v>
      </c>
      <c r="AY592" s="3" t="s">
        <v>6095</v>
      </c>
      <c r="AZ592" s="3" t="s">
        <v>6096</v>
      </c>
      <c r="BA592" s="3" t="s">
        <v>6096</v>
      </c>
      <c r="BB592" s="3" t="s">
        <v>6097</v>
      </c>
      <c r="BC592" s="3" t="s">
        <v>102</v>
      </c>
      <c r="BD592" s="3" t="s">
        <v>68</v>
      </c>
      <c r="BE592" s="3" t="s">
        <v>6098</v>
      </c>
      <c r="BF592" s="3" t="s">
        <v>6097</v>
      </c>
      <c r="BG592" s="3" t="s">
        <v>6099</v>
      </c>
    </row>
    <row r="593" spans="1:59" ht="58" x14ac:dyDescent="0.35">
      <c r="A593" s="2" t="s">
        <v>89</v>
      </c>
      <c r="B593" s="2" t="s">
        <v>90</v>
      </c>
      <c r="C593" s="2" t="s">
        <v>6100</v>
      </c>
      <c r="D593" s="2" t="s">
        <v>6101</v>
      </c>
      <c r="E593" s="2" t="s">
        <v>6102</v>
      </c>
      <c r="G593" s="3" t="s">
        <v>62</v>
      </c>
      <c r="I593" s="3" t="s">
        <v>61</v>
      </c>
      <c r="J593" s="3" t="s">
        <v>62</v>
      </c>
      <c r="K593" s="3" t="s">
        <v>63</v>
      </c>
      <c r="L593" s="2" t="s">
        <v>6103</v>
      </c>
      <c r="M593" s="2" t="s">
        <v>6104</v>
      </c>
      <c r="N593" s="3" t="s">
        <v>852</v>
      </c>
      <c r="P593" s="3" t="s">
        <v>64</v>
      </c>
      <c r="R593" s="3" t="s">
        <v>65</v>
      </c>
      <c r="S593" s="4">
        <v>0</v>
      </c>
      <c r="T593" s="4">
        <v>7</v>
      </c>
      <c r="V593" s="5" t="s">
        <v>1325</v>
      </c>
      <c r="W593" s="5" t="s">
        <v>67</v>
      </c>
      <c r="X593" s="5" t="s">
        <v>67</v>
      </c>
      <c r="Y593" s="4">
        <v>329</v>
      </c>
      <c r="Z593" s="4">
        <v>24</v>
      </c>
      <c r="AA593" s="4">
        <v>47</v>
      </c>
      <c r="AB593" s="4">
        <v>3</v>
      </c>
      <c r="AC593" s="4">
        <v>5</v>
      </c>
      <c r="AD593" s="4">
        <v>82</v>
      </c>
      <c r="AE593" s="4">
        <v>134</v>
      </c>
      <c r="AF593" s="4">
        <v>1</v>
      </c>
      <c r="AG593" s="4">
        <v>3</v>
      </c>
      <c r="AH593" s="4">
        <v>69</v>
      </c>
      <c r="AI593" s="4">
        <v>107</v>
      </c>
      <c r="AJ593" s="4">
        <v>11</v>
      </c>
      <c r="AK593" s="4">
        <v>23</v>
      </c>
      <c r="AL593" s="4">
        <v>37</v>
      </c>
      <c r="AM593" s="4">
        <v>56</v>
      </c>
      <c r="AN593" s="4">
        <v>0</v>
      </c>
      <c r="AO593" s="4">
        <v>0</v>
      </c>
      <c r="AP593" s="4">
        <v>19</v>
      </c>
      <c r="AQ593" s="4">
        <v>37</v>
      </c>
      <c r="AR593" s="3" t="s">
        <v>62</v>
      </c>
      <c r="AS593" s="3" t="s">
        <v>62</v>
      </c>
      <c r="AT593" s="3" t="s">
        <v>61</v>
      </c>
      <c r="AU593" s="6" t="str">
        <f>HYPERLINK("http://catalog.hathitrust.org/Record/009914555","HathiTrust Record")</f>
        <v>HathiTrust Record</v>
      </c>
      <c r="AV593" s="6" t="str">
        <f>HYPERLINK("http://mcgill.on.worldcat.org/oclc/4294","Catalog Record")</f>
        <v>Catalog Record</v>
      </c>
      <c r="AW593" s="6" t="str">
        <f>HYPERLINK("http://www.worldcat.org/oclc/4294","WorldCat Record")</f>
        <v>WorldCat Record</v>
      </c>
      <c r="AX593" s="3" t="s">
        <v>6105</v>
      </c>
      <c r="AY593" s="3" t="s">
        <v>6106</v>
      </c>
      <c r="AZ593" s="3" t="s">
        <v>6107</v>
      </c>
      <c r="BA593" s="3" t="s">
        <v>6107</v>
      </c>
      <c r="BB593" s="3" t="s">
        <v>6108</v>
      </c>
      <c r="BC593" s="3" t="s">
        <v>102</v>
      </c>
      <c r="BD593" s="3" t="s">
        <v>68</v>
      </c>
      <c r="BF593" s="3" t="s">
        <v>6108</v>
      </c>
      <c r="BG593" s="3" t="s">
        <v>6109</v>
      </c>
    </row>
    <row r="594" spans="1:59" ht="72.5" x14ac:dyDescent="0.35">
      <c r="A594" s="2" t="s">
        <v>89</v>
      </c>
      <c r="B594" s="2" t="s">
        <v>1231</v>
      </c>
      <c r="C594" s="2" t="s">
        <v>6110</v>
      </c>
      <c r="D594" s="2" t="s">
        <v>6111</v>
      </c>
      <c r="E594" s="2" t="s">
        <v>6112</v>
      </c>
      <c r="G594" s="3" t="s">
        <v>62</v>
      </c>
      <c r="I594" s="3" t="s">
        <v>61</v>
      </c>
      <c r="J594" s="3" t="s">
        <v>62</v>
      </c>
      <c r="K594" s="3" t="s">
        <v>63</v>
      </c>
      <c r="L594" s="2" t="s">
        <v>6113</v>
      </c>
      <c r="M594" s="2" t="s">
        <v>6114</v>
      </c>
      <c r="N594" s="3" t="s">
        <v>838</v>
      </c>
      <c r="P594" s="3" t="s">
        <v>64</v>
      </c>
      <c r="Q594" s="2" t="s">
        <v>6115</v>
      </c>
      <c r="R594" s="3" t="s">
        <v>65</v>
      </c>
      <c r="S594" s="4">
        <v>0</v>
      </c>
      <c r="T594" s="4">
        <v>2</v>
      </c>
      <c r="V594" s="5" t="s">
        <v>1325</v>
      </c>
      <c r="W594" s="5" t="s">
        <v>67</v>
      </c>
      <c r="X594" s="5" t="s">
        <v>67</v>
      </c>
      <c r="Y594" s="4">
        <v>1020</v>
      </c>
      <c r="Z594" s="4">
        <v>35</v>
      </c>
      <c r="AA594" s="4">
        <v>40</v>
      </c>
      <c r="AB594" s="4">
        <v>3</v>
      </c>
      <c r="AC594" s="4">
        <v>4</v>
      </c>
      <c r="AD594" s="4">
        <v>94</v>
      </c>
      <c r="AE594" s="4">
        <v>99</v>
      </c>
      <c r="AF594" s="4">
        <v>1</v>
      </c>
      <c r="AG594" s="4">
        <v>2</v>
      </c>
      <c r="AH594" s="4">
        <v>80</v>
      </c>
      <c r="AI594" s="4">
        <v>81</v>
      </c>
      <c r="AJ594" s="4">
        <v>14</v>
      </c>
      <c r="AK594" s="4">
        <v>15</v>
      </c>
      <c r="AL594" s="4">
        <v>43</v>
      </c>
      <c r="AM594" s="4">
        <v>43</v>
      </c>
      <c r="AN594" s="4">
        <v>0</v>
      </c>
      <c r="AO594" s="4">
        <v>0</v>
      </c>
      <c r="AP594" s="4">
        <v>18</v>
      </c>
      <c r="AQ594" s="4">
        <v>22</v>
      </c>
      <c r="AR594" s="3" t="s">
        <v>62</v>
      </c>
      <c r="AS594" s="3" t="s">
        <v>62</v>
      </c>
      <c r="AT594" s="3" t="s">
        <v>61</v>
      </c>
      <c r="AU594" s="6" t="str">
        <f>HYPERLINK("http://catalog.hathitrust.org/Record/007480046","HathiTrust Record")</f>
        <v>HathiTrust Record</v>
      </c>
      <c r="AV594" s="6" t="str">
        <f>HYPERLINK("http://mcgill.on.worldcat.org/oclc/522325","Catalog Record")</f>
        <v>Catalog Record</v>
      </c>
      <c r="AW594" s="6" t="str">
        <f>HYPERLINK("http://www.worldcat.org/oclc/522325","WorldCat Record")</f>
        <v>WorldCat Record</v>
      </c>
      <c r="AX594" s="3" t="s">
        <v>6116</v>
      </c>
      <c r="AY594" s="3" t="s">
        <v>6117</v>
      </c>
      <c r="AZ594" s="3" t="s">
        <v>6118</v>
      </c>
      <c r="BA594" s="3" t="s">
        <v>6118</v>
      </c>
      <c r="BB594" s="3" t="s">
        <v>6119</v>
      </c>
      <c r="BC594" s="3" t="s">
        <v>102</v>
      </c>
      <c r="BD594" s="3" t="s">
        <v>68</v>
      </c>
      <c r="BF594" s="3" t="s">
        <v>6119</v>
      </c>
      <c r="BG594" s="3" t="s">
        <v>6120</v>
      </c>
    </row>
    <row r="595" spans="1:59" ht="116" x14ac:dyDescent="0.35">
      <c r="A595" s="2" t="s">
        <v>89</v>
      </c>
      <c r="B595" s="2" t="s">
        <v>6121</v>
      </c>
      <c r="C595" s="2" t="s">
        <v>6110</v>
      </c>
      <c r="D595" s="2" t="s">
        <v>6111</v>
      </c>
      <c r="E595" s="2" t="s">
        <v>6112</v>
      </c>
      <c r="G595" s="3" t="s">
        <v>62</v>
      </c>
      <c r="I595" s="3" t="s">
        <v>61</v>
      </c>
      <c r="J595" s="3" t="s">
        <v>62</v>
      </c>
      <c r="K595" s="3" t="s">
        <v>63</v>
      </c>
      <c r="L595" s="2" t="s">
        <v>6113</v>
      </c>
      <c r="M595" s="2" t="s">
        <v>6114</v>
      </c>
      <c r="N595" s="3" t="s">
        <v>838</v>
      </c>
      <c r="P595" s="3" t="s">
        <v>64</v>
      </c>
      <c r="Q595" s="2" t="s">
        <v>6115</v>
      </c>
      <c r="R595" s="3" t="s">
        <v>65</v>
      </c>
      <c r="S595" s="4">
        <v>0</v>
      </c>
      <c r="T595" s="4">
        <v>2</v>
      </c>
      <c r="V595" s="5" t="s">
        <v>1325</v>
      </c>
      <c r="W595" s="5" t="s">
        <v>67</v>
      </c>
      <c r="X595" s="5" t="s">
        <v>67</v>
      </c>
      <c r="Y595" s="4">
        <v>1020</v>
      </c>
      <c r="Z595" s="4">
        <v>35</v>
      </c>
      <c r="AA595" s="4">
        <v>40</v>
      </c>
      <c r="AB595" s="4">
        <v>3</v>
      </c>
      <c r="AC595" s="4">
        <v>4</v>
      </c>
      <c r="AD595" s="4">
        <v>94</v>
      </c>
      <c r="AE595" s="4">
        <v>99</v>
      </c>
      <c r="AF595" s="4">
        <v>1</v>
      </c>
      <c r="AG595" s="4">
        <v>2</v>
      </c>
      <c r="AH595" s="4">
        <v>80</v>
      </c>
      <c r="AI595" s="4">
        <v>81</v>
      </c>
      <c r="AJ595" s="4">
        <v>14</v>
      </c>
      <c r="AK595" s="4">
        <v>15</v>
      </c>
      <c r="AL595" s="4">
        <v>43</v>
      </c>
      <c r="AM595" s="4">
        <v>43</v>
      </c>
      <c r="AN595" s="4">
        <v>0</v>
      </c>
      <c r="AO595" s="4">
        <v>0</v>
      </c>
      <c r="AP595" s="4">
        <v>18</v>
      </c>
      <c r="AQ595" s="4">
        <v>22</v>
      </c>
      <c r="AR595" s="3" t="s">
        <v>62</v>
      </c>
      <c r="AS595" s="3" t="s">
        <v>62</v>
      </c>
      <c r="AT595" s="3" t="s">
        <v>61</v>
      </c>
      <c r="AU595" s="6" t="str">
        <f>HYPERLINK("http://catalog.hathitrust.org/Record/007480046","HathiTrust Record")</f>
        <v>HathiTrust Record</v>
      </c>
      <c r="AV595" s="6" t="str">
        <f>HYPERLINK("http://mcgill.on.worldcat.org/oclc/522325","Catalog Record")</f>
        <v>Catalog Record</v>
      </c>
      <c r="AW595" s="6" t="str">
        <f>HYPERLINK("http://www.worldcat.org/oclc/522325","WorldCat Record")</f>
        <v>WorldCat Record</v>
      </c>
      <c r="AX595" s="3" t="s">
        <v>6116</v>
      </c>
      <c r="AY595" s="3" t="s">
        <v>6117</v>
      </c>
      <c r="AZ595" s="3" t="s">
        <v>6118</v>
      </c>
      <c r="BA595" s="3" t="s">
        <v>6118</v>
      </c>
      <c r="BB595" s="3" t="s">
        <v>6122</v>
      </c>
      <c r="BC595" s="3" t="s">
        <v>102</v>
      </c>
      <c r="BD595" s="3" t="s">
        <v>68</v>
      </c>
      <c r="BF595" s="3" t="s">
        <v>6122</v>
      </c>
      <c r="BG595" s="3" t="s">
        <v>6123</v>
      </c>
    </row>
    <row r="596" spans="1:59" ht="58" x14ac:dyDescent="0.35">
      <c r="A596" s="2" t="s">
        <v>89</v>
      </c>
      <c r="B596" s="2" t="s">
        <v>6124</v>
      </c>
      <c r="C596" s="2" t="s">
        <v>6125</v>
      </c>
      <c r="D596" s="2" t="s">
        <v>6126</v>
      </c>
      <c r="E596" s="2" t="s">
        <v>6127</v>
      </c>
      <c r="G596" s="3" t="s">
        <v>62</v>
      </c>
      <c r="I596" s="3" t="s">
        <v>62</v>
      </c>
      <c r="J596" s="3" t="s">
        <v>62</v>
      </c>
      <c r="K596" s="3" t="s">
        <v>63</v>
      </c>
      <c r="M596" s="2" t="s">
        <v>6128</v>
      </c>
      <c r="N596" s="3" t="s">
        <v>1722</v>
      </c>
      <c r="P596" s="3" t="s">
        <v>64</v>
      </c>
      <c r="R596" s="3" t="s">
        <v>65</v>
      </c>
      <c r="S596" s="4">
        <v>5</v>
      </c>
      <c r="T596" s="4">
        <v>5</v>
      </c>
      <c r="U596" s="5" t="s">
        <v>6129</v>
      </c>
      <c r="V596" s="5" t="s">
        <v>6129</v>
      </c>
      <c r="W596" s="5" t="s">
        <v>67</v>
      </c>
      <c r="X596" s="5" t="s">
        <v>67</v>
      </c>
      <c r="Y596" s="4">
        <v>1234</v>
      </c>
      <c r="Z596" s="4">
        <v>42</v>
      </c>
      <c r="AA596" s="4">
        <v>44</v>
      </c>
      <c r="AB596" s="4">
        <v>5</v>
      </c>
      <c r="AC596" s="4">
        <v>6</v>
      </c>
      <c r="AD596" s="4">
        <v>31</v>
      </c>
      <c r="AE596" s="4">
        <v>33</v>
      </c>
      <c r="AF596" s="4">
        <v>1</v>
      </c>
      <c r="AG596" s="4">
        <v>2</v>
      </c>
      <c r="AH596" s="4">
        <v>26</v>
      </c>
      <c r="AI596" s="4">
        <v>28</v>
      </c>
      <c r="AJ596" s="4">
        <v>4</v>
      </c>
      <c r="AK596" s="4">
        <v>5</v>
      </c>
      <c r="AL596" s="4">
        <v>14</v>
      </c>
      <c r="AM596" s="4">
        <v>14</v>
      </c>
      <c r="AN596" s="4">
        <v>0</v>
      </c>
      <c r="AO596" s="4">
        <v>0</v>
      </c>
      <c r="AP596" s="4">
        <v>6</v>
      </c>
      <c r="AQ596" s="4">
        <v>7</v>
      </c>
      <c r="AR596" s="3" t="s">
        <v>62</v>
      </c>
      <c r="AS596" s="3" t="s">
        <v>62</v>
      </c>
      <c r="AT596" s="3" t="s">
        <v>62</v>
      </c>
      <c r="AV596" s="6" t="str">
        <f>HYPERLINK("http://mcgill.on.worldcat.org/oclc/191922808","Catalog Record")</f>
        <v>Catalog Record</v>
      </c>
      <c r="AW596" s="6" t="str">
        <f>HYPERLINK("http://www.worldcat.org/oclc/191922808","WorldCat Record")</f>
        <v>WorldCat Record</v>
      </c>
      <c r="AX596" s="3" t="s">
        <v>6130</v>
      </c>
      <c r="AY596" s="3" t="s">
        <v>6131</v>
      </c>
      <c r="AZ596" s="3" t="s">
        <v>6132</v>
      </c>
      <c r="BA596" s="3" t="s">
        <v>6132</v>
      </c>
      <c r="BB596" s="3" t="s">
        <v>6133</v>
      </c>
      <c r="BC596" s="3" t="s">
        <v>102</v>
      </c>
      <c r="BD596" s="3" t="s">
        <v>1135</v>
      </c>
      <c r="BE596" s="3" t="s">
        <v>6134</v>
      </c>
      <c r="BF596" s="3" t="s">
        <v>6133</v>
      </c>
      <c r="BG596" s="3" t="s">
        <v>6135</v>
      </c>
    </row>
    <row r="597" spans="1:59" ht="58" x14ac:dyDescent="0.35">
      <c r="A597" s="2" t="s">
        <v>89</v>
      </c>
      <c r="B597" s="2" t="s">
        <v>90</v>
      </c>
      <c r="C597" s="2" t="s">
        <v>6136</v>
      </c>
      <c r="D597" s="2" t="s">
        <v>6137</v>
      </c>
      <c r="E597" s="2" t="s">
        <v>6138</v>
      </c>
      <c r="F597" s="3" t="s">
        <v>1422</v>
      </c>
      <c r="G597" s="3" t="s">
        <v>61</v>
      </c>
      <c r="I597" s="3" t="s">
        <v>61</v>
      </c>
      <c r="J597" s="3" t="s">
        <v>62</v>
      </c>
      <c r="K597" s="3" t="s">
        <v>63</v>
      </c>
      <c r="L597" s="2" t="s">
        <v>6139</v>
      </c>
      <c r="M597" s="2" t="s">
        <v>6140</v>
      </c>
      <c r="N597" s="3" t="s">
        <v>1374</v>
      </c>
      <c r="P597" s="3" t="s">
        <v>64</v>
      </c>
      <c r="R597" s="3" t="s">
        <v>65</v>
      </c>
      <c r="S597" s="4">
        <v>0</v>
      </c>
      <c r="T597" s="4">
        <v>1</v>
      </c>
      <c r="V597" s="5" t="s">
        <v>6141</v>
      </c>
      <c r="W597" s="5" t="s">
        <v>67</v>
      </c>
      <c r="X597" s="5" t="s">
        <v>67</v>
      </c>
      <c r="Y597" s="4">
        <v>427</v>
      </c>
      <c r="Z597" s="4">
        <v>17</v>
      </c>
      <c r="AA597" s="4">
        <v>29</v>
      </c>
      <c r="AB597" s="4">
        <v>3</v>
      </c>
      <c r="AC597" s="4">
        <v>5</v>
      </c>
      <c r="AD597" s="4">
        <v>104</v>
      </c>
      <c r="AE597" s="4">
        <v>118</v>
      </c>
      <c r="AF597" s="4">
        <v>1</v>
      </c>
      <c r="AG597" s="4">
        <v>2</v>
      </c>
      <c r="AH597" s="4">
        <v>94</v>
      </c>
      <c r="AI597" s="4">
        <v>103</v>
      </c>
      <c r="AJ597" s="4">
        <v>10</v>
      </c>
      <c r="AK597" s="4">
        <v>17</v>
      </c>
      <c r="AL597" s="4">
        <v>56</v>
      </c>
      <c r="AM597" s="4">
        <v>57</v>
      </c>
      <c r="AN597" s="4">
        <v>0</v>
      </c>
      <c r="AO597" s="4">
        <v>0</v>
      </c>
      <c r="AP597" s="4">
        <v>13</v>
      </c>
      <c r="AQ597" s="4">
        <v>20</v>
      </c>
      <c r="AR597" s="3" t="s">
        <v>62</v>
      </c>
      <c r="AS597" s="3" t="s">
        <v>62</v>
      </c>
      <c r="AT597" s="3" t="s">
        <v>62</v>
      </c>
      <c r="AU597" s="6" t="str">
        <f>HYPERLINK("http://catalog.hathitrust.org/Record/001987434","HathiTrust Record")</f>
        <v>HathiTrust Record</v>
      </c>
      <c r="AV597" s="6" t="str">
        <f>HYPERLINK("http://mcgill.on.worldcat.org/oclc/977616","Catalog Record")</f>
        <v>Catalog Record</v>
      </c>
      <c r="AW597" s="6" t="str">
        <f>HYPERLINK("http://www.worldcat.org/oclc/977616","WorldCat Record")</f>
        <v>WorldCat Record</v>
      </c>
      <c r="AX597" s="3" t="s">
        <v>6142</v>
      </c>
      <c r="AY597" s="3" t="s">
        <v>6143</v>
      </c>
      <c r="AZ597" s="3" t="s">
        <v>6144</v>
      </c>
      <c r="BA597" s="3" t="s">
        <v>6144</v>
      </c>
      <c r="BB597" s="3" t="s">
        <v>6145</v>
      </c>
      <c r="BC597" s="3" t="s">
        <v>102</v>
      </c>
      <c r="BD597" s="3" t="s">
        <v>68</v>
      </c>
      <c r="BF597" s="3" t="s">
        <v>6145</v>
      </c>
      <c r="BG597" s="3" t="s">
        <v>6146</v>
      </c>
    </row>
    <row r="598" spans="1:59" ht="58" x14ac:dyDescent="0.35">
      <c r="A598" s="2" t="s">
        <v>89</v>
      </c>
      <c r="B598" s="2" t="s">
        <v>90</v>
      </c>
      <c r="C598" s="2" t="s">
        <v>6136</v>
      </c>
      <c r="D598" s="2" t="s">
        <v>6137</v>
      </c>
      <c r="E598" s="2" t="s">
        <v>6138</v>
      </c>
      <c r="F598" s="3" t="s">
        <v>1428</v>
      </c>
      <c r="G598" s="3" t="s">
        <v>61</v>
      </c>
      <c r="I598" s="3" t="s">
        <v>61</v>
      </c>
      <c r="J598" s="3" t="s">
        <v>62</v>
      </c>
      <c r="K598" s="3" t="s">
        <v>63</v>
      </c>
      <c r="L598" s="2" t="s">
        <v>6139</v>
      </c>
      <c r="M598" s="2" t="s">
        <v>6140</v>
      </c>
      <c r="N598" s="3" t="s">
        <v>1374</v>
      </c>
      <c r="P598" s="3" t="s">
        <v>64</v>
      </c>
      <c r="R598" s="3" t="s">
        <v>65</v>
      </c>
      <c r="S598" s="4">
        <v>0</v>
      </c>
      <c r="T598" s="4">
        <v>1</v>
      </c>
      <c r="V598" s="5" t="s">
        <v>6141</v>
      </c>
      <c r="W598" s="5" t="s">
        <v>67</v>
      </c>
      <c r="X598" s="5" t="s">
        <v>67</v>
      </c>
      <c r="Y598" s="4">
        <v>427</v>
      </c>
      <c r="Z598" s="4">
        <v>17</v>
      </c>
      <c r="AA598" s="4">
        <v>29</v>
      </c>
      <c r="AB598" s="4">
        <v>3</v>
      </c>
      <c r="AC598" s="4">
        <v>5</v>
      </c>
      <c r="AD598" s="4">
        <v>104</v>
      </c>
      <c r="AE598" s="4">
        <v>118</v>
      </c>
      <c r="AF598" s="4">
        <v>1</v>
      </c>
      <c r="AG598" s="4">
        <v>2</v>
      </c>
      <c r="AH598" s="4">
        <v>94</v>
      </c>
      <c r="AI598" s="4">
        <v>103</v>
      </c>
      <c r="AJ598" s="4">
        <v>10</v>
      </c>
      <c r="AK598" s="4">
        <v>17</v>
      </c>
      <c r="AL598" s="4">
        <v>56</v>
      </c>
      <c r="AM598" s="4">
        <v>57</v>
      </c>
      <c r="AN598" s="4">
        <v>0</v>
      </c>
      <c r="AO598" s="4">
        <v>0</v>
      </c>
      <c r="AP598" s="4">
        <v>13</v>
      </c>
      <c r="AQ598" s="4">
        <v>20</v>
      </c>
      <c r="AR598" s="3" t="s">
        <v>62</v>
      </c>
      <c r="AS598" s="3" t="s">
        <v>62</v>
      </c>
      <c r="AT598" s="3" t="s">
        <v>62</v>
      </c>
      <c r="AU598" s="6" t="str">
        <f>HYPERLINK("http://catalog.hathitrust.org/Record/001987434","HathiTrust Record")</f>
        <v>HathiTrust Record</v>
      </c>
      <c r="AV598" s="6" t="str">
        <f>HYPERLINK("http://mcgill.on.worldcat.org/oclc/977616","Catalog Record")</f>
        <v>Catalog Record</v>
      </c>
      <c r="AW598" s="6" t="str">
        <f>HYPERLINK("http://www.worldcat.org/oclc/977616","WorldCat Record")</f>
        <v>WorldCat Record</v>
      </c>
      <c r="AX598" s="3" t="s">
        <v>6142</v>
      </c>
      <c r="AY598" s="3" t="s">
        <v>6143</v>
      </c>
      <c r="AZ598" s="3" t="s">
        <v>6144</v>
      </c>
      <c r="BA598" s="3" t="s">
        <v>6144</v>
      </c>
      <c r="BB598" s="3" t="s">
        <v>6147</v>
      </c>
      <c r="BC598" s="3" t="s">
        <v>102</v>
      </c>
      <c r="BD598" s="3" t="s">
        <v>68</v>
      </c>
      <c r="BF598" s="3" t="s">
        <v>6147</v>
      </c>
      <c r="BG598" s="3" t="s">
        <v>6148</v>
      </c>
    </row>
    <row r="599" spans="1:59" ht="58" x14ac:dyDescent="0.35">
      <c r="A599" s="2" t="s">
        <v>89</v>
      </c>
      <c r="B599" s="2" t="s">
        <v>90</v>
      </c>
      <c r="C599" s="2" t="s">
        <v>6136</v>
      </c>
      <c r="D599" s="2" t="s">
        <v>6137</v>
      </c>
      <c r="E599" s="2" t="s">
        <v>6138</v>
      </c>
      <c r="F599" s="3" t="s">
        <v>1413</v>
      </c>
      <c r="G599" s="3" t="s">
        <v>61</v>
      </c>
      <c r="I599" s="3" t="s">
        <v>61</v>
      </c>
      <c r="J599" s="3" t="s">
        <v>62</v>
      </c>
      <c r="K599" s="3" t="s">
        <v>63</v>
      </c>
      <c r="L599" s="2" t="s">
        <v>6139</v>
      </c>
      <c r="M599" s="2" t="s">
        <v>6140</v>
      </c>
      <c r="N599" s="3" t="s">
        <v>1374</v>
      </c>
      <c r="P599" s="3" t="s">
        <v>64</v>
      </c>
      <c r="R599" s="3" t="s">
        <v>65</v>
      </c>
      <c r="S599" s="4">
        <v>1</v>
      </c>
      <c r="T599" s="4">
        <v>1</v>
      </c>
      <c r="U599" s="5" t="s">
        <v>6141</v>
      </c>
      <c r="V599" s="5" t="s">
        <v>6141</v>
      </c>
      <c r="W599" s="5" t="s">
        <v>67</v>
      </c>
      <c r="X599" s="5" t="s">
        <v>67</v>
      </c>
      <c r="Y599" s="4">
        <v>427</v>
      </c>
      <c r="Z599" s="4">
        <v>17</v>
      </c>
      <c r="AA599" s="4">
        <v>29</v>
      </c>
      <c r="AB599" s="4">
        <v>3</v>
      </c>
      <c r="AC599" s="4">
        <v>5</v>
      </c>
      <c r="AD599" s="4">
        <v>104</v>
      </c>
      <c r="AE599" s="4">
        <v>118</v>
      </c>
      <c r="AF599" s="4">
        <v>1</v>
      </c>
      <c r="AG599" s="4">
        <v>2</v>
      </c>
      <c r="AH599" s="4">
        <v>94</v>
      </c>
      <c r="AI599" s="4">
        <v>103</v>
      </c>
      <c r="AJ599" s="4">
        <v>10</v>
      </c>
      <c r="AK599" s="4">
        <v>17</v>
      </c>
      <c r="AL599" s="4">
        <v>56</v>
      </c>
      <c r="AM599" s="4">
        <v>57</v>
      </c>
      <c r="AN599" s="4">
        <v>0</v>
      </c>
      <c r="AO599" s="4">
        <v>0</v>
      </c>
      <c r="AP599" s="4">
        <v>13</v>
      </c>
      <c r="AQ599" s="4">
        <v>20</v>
      </c>
      <c r="AR599" s="3" t="s">
        <v>62</v>
      </c>
      <c r="AS599" s="3" t="s">
        <v>62</v>
      </c>
      <c r="AT599" s="3" t="s">
        <v>62</v>
      </c>
      <c r="AU599" s="6" t="str">
        <f>HYPERLINK("http://catalog.hathitrust.org/Record/001987434","HathiTrust Record")</f>
        <v>HathiTrust Record</v>
      </c>
      <c r="AV599" s="6" t="str">
        <f>HYPERLINK("http://mcgill.on.worldcat.org/oclc/977616","Catalog Record")</f>
        <v>Catalog Record</v>
      </c>
      <c r="AW599" s="6" t="str">
        <f>HYPERLINK("http://www.worldcat.org/oclc/977616","WorldCat Record")</f>
        <v>WorldCat Record</v>
      </c>
      <c r="AX599" s="3" t="s">
        <v>6142</v>
      </c>
      <c r="AY599" s="3" t="s">
        <v>6143</v>
      </c>
      <c r="AZ599" s="3" t="s">
        <v>6144</v>
      </c>
      <c r="BA599" s="3" t="s">
        <v>6144</v>
      </c>
      <c r="BB599" s="3" t="s">
        <v>6149</v>
      </c>
      <c r="BC599" s="3" t="s">
        <v>102</v>
      </c>
      <c r="BD599" s="3" t="s">
        <v>68</v>
      </c>
      <c r="BF599" s="3" t="s">
        <v>6149</v>
      </c>
      <c r="BG599" s="3" t="s">
        <v>6150</v>
      </c>
    </row>
    <row r="600" spans="1:59" ht="58" x14ac:dyDescent="0.35">
      <c r="A600" s="2" t="s">
        <v>89</v>
      </c>
      <c r="B600" s="2" t="s">
        <v>90</v>
      </c>
      <c r="C600" s="2" t="s">
        <v>6136</v>
      </c>
      <c r="D600" s="2" t="s">
        <v>6137</v>
      </c>
      <c r="E600" s="2" t="s">
        <v>6138</v>
      </c>
      <c r="F600" s="3" t="s">
        <v>1416</v>
      </c>
      <c r="G600" s="3" t="s">
        <v>61</v>
      </c>
      <c r="I600" s="3" t="s">
        <v>61</v>
      </c>
      <c r="J600" s="3" t="s">
        <v>62</v>
      </c>
      <c r="K600" s="3" t="s">
        <v>63</v>
      </c>
      <c r="L600" s="2" t="s">
        <v>6139</v>
      </c>
      <c r="M600" s="2" t="s">
        <v>6140</v>
      </c>
      <c r="N600" s="3" t="s">
        <v>1374</v>
      </c>
      <c r="P600" s="3" t="s">
        <v>64</v>
      </c>
      <c r="R600" s="3" t="s">
        <v>65</v>
      </c>
      <c r="S600" s="4">
        <v>0</v>
      </c>
      <c r="T600" s="4">
        <v>1</v>
      </c>
      <c r="V600" s="5" t="s">
        <v>6141</v>
      </c>
      <c r="W600" s="5" t="s">
        <v>67</v>
      </c>
      <c r="X600" s="5" t="s">
        <v>67</v>
      </c>
      <c r="Y600" s="4">
        <v>427</v>
      </c>
      <c r="Z600" s="4">
        <v>17</v>
      </c>
      <c r="AA600" s="4">
        <v>29</v>
      </c>
      <c r="AB600" s="4">
        <v>3</v>
      </c>
      <c r="AC600" s="4">
        <v>5</v>
      </c>
      <c r="AD600" s="4">
        <v>104</v>
      </c>
      <c r="AE600" s="4">
        <v>118</v>
      </c>
      <c r="AF600" s="4">
        <v>1</v>
      </c>
      <c r="AG600" s="4">
        <v>2</v>
      </c>
      <c r="AH600" s="4">
        <v>94</v>
      </c>
      <c r="AI600" s="4">
        <v>103</v>
      </c>
      <c r="AJ600" s="4">
        <v>10</v>
      </c>
      <c r="AK600" s="4">
        <v>17</v>
      </c>
      <c r="AL600" s="4">
        <v>56</v>
      </c>
      <c r="AM600" s="4">
        <v>57</v>
      </c>
      <c r="AN600" s="4">
        <v>0</v>
      </c>
      <c r="AO600" s="4">
        <v>0</v>
      </c>
      <c r="AP600" s="4">
        <v>13</v>
      </c>
      <c r="AQ600" s="4">
        <v>20</v>
      </c>
      <c r="AR600" s="3" t="s">
        <v>62</v>
      </c>
      <c r="AS600" s="3" t="s">
        <v>62</v>
      </c>
      <c r="AT600" s="3" t="s">
        <v>62</v>
      </c>
      <c r="AU600" s="6" t="str">
        <f>HYPERLINK("http://catalog.hathitrust.org/Record/001987434","HathiTrust Record")</f>
        <v>HathiTrust Record</v>
      </c>
      <c r="AV600" s="6" t="str">
        <f>HYPERLINK("http://mcgill.on.worldcat.org/oclc/977616","Catalog Record")</f>
        <v>Catalog Record</v>
      </c>
      <c r="AW600" s="6" t="str">
        <f>HYPERLINK("http://www.worldcat.org/oclc/977616","WorldCat Record")</f>
        <v>WorldCat Record</v>
      </c>
      <c r="AX600" s="3" t="s">
        <v>6142</v>
      </c>
      <c r="AY600" s="3" t="s">
        <v>6143</v>
      </c>
      <c r="AZ600" s="3" t="s">
        <v>6144</v>
      </c>
      <c r="BA600" s="3" t="s">
        <v>6144</v>
      </c>
      <c r="BB600" s="3" t="s">
        <v>6151</v>
      </c>
      <c r="BC600" s="3" t="s">
        <v>102</v>
      </c>
      <c r="BD600" s="3" t="s">
        <v>68</v>
      </c>
      <c r="BF600" s="3" t="s">
        <v>6151</v>
      </c>
      <c r="BG600" s="3" t="s">
        <v>6152</v>
      </c>
    </row>
    <row r="601" spans="1:59" ht="58" x14ac:dyDescent="0.35">
      <c r="A601" s="2" t="s">
        <v>89</v>
      </c>
      <c r="B601" s="2" t="s">
        <v>90</v>
      </c>
      <c r="C601" s="2" t="s">
        <v>6153</v>
      </c>
      <c r="D601" s="2" t="s">
        <v>6154</v>
      </c>
      <c r="E601" s="2" t="s">
        <v>6155</v>
      </c>
      <c r="G601" s="3" t="s">
        <v>62</v>
      </c>
      <c r="I601" s="3" t="s">
        <v>61</v>
      </c>
      <c r="J601" s="3" t="s">
        <v>62</v>
      </c>
      <c r="K601" s="3" t="s">
        <v>63</v>
      </c>
      <c r="L601" s="2" t="s">
        <v>6156</v>
      </c>
      <c r="M601" s="2" t="s">
        <v>6157</v>
      </c>
      <c r="N601" s="3" t="s">
        <v>1576</v>
      </c>
      <c r="O601" s="2" t="s">
        <v>6158</v>
      </c>
      <c r="P601" s="3" t="s">
        <v>64</v>
      </c>
      <c r="Q601" s="2" t="s">
        <v>6159</v>
      </c>
      <c r="R601" s="3" t="s">
        <v>65</v>
      </c>
      <c r="S601" s="4">
        <v>2</v>
      </c>
      <c r="T601" s="4">
        <v>5</v>
      </c>
      <c r="U601" s="5" t="s">
        <v>6160</v>
      </c>
      <c r="V601" s="5" t="s">
        <v>2238</v>
      </c>
      <c r="W601" s="5" t="s">
        <v>67</v>
      </c>
      <c r="X601" s="5" t="s">
        <v>67</v>
      </c>
      <c r="Y601" s="4">
        <v>353</v>
      </c>
      <c r="Z601" s="4">
        <v>10</v>
      </c>
      <c r="AA601" s="4">
        <v>38</v>
      </c>
      <c r="AB601" s="4">
        <v>1</v>
      </c>
      <c r="AC601" s="4">
        <v>5</v>
      </c>
      <c r="AD601" s="4">
        <v>57</v>
      </c>
      <c r="AE601" s="4">
        <v>128</v>
      </c>
      <c r="AF601" s="4">
        <v>0</v>
      </c>
      <c r="AG601" s="4">
        <v>3</v>
      </c>
      <c r="AH601" s="4">
        <v>50</v>
      </c>
      <c r="AI601" s="4">
        <v>107</v>
      </c>
      <c r="AJ601" s="4">
        <v>7</v>
      </c>
      <c r="AK601" s="4">
        <v>21</v>
      </c>
      <c r="AL601" s="4">
        <v>27</v>
      </c>
      <c r="AM601" s="4">
        <v>58</v>
      </c>
      <c r="AN601" s="4">
        <v>0</v>
      </c>
      <c r="AO601" s="4">
        <v>5</v>
      </c>
      <c r="AP601" s="4">
        <v>9</v>
      </c>
      <c r="AQ601" s="4">
        <v>27</v>
      </c>
      <c r="AR601" s="3" t="s">
        <v>62</v>
      </c>
      <c r="AS601" s="3" t="s">
        <v>62</v>
      </c>
      <c r="AT601" s="3" t="s">
        <v>61</v>
      </c>
      <c r="AU601" s="6" t="str">
        <f>HYPERLINK("http://catalog.hathitrust.org/Record/002100207","HathiTrust Record")</f>
        <v>HathiTrust Record</v>
      </c>
      <c r="AV601" s="6" t="str">
        <f>HYPERLINK("http://mcgill.on.worldcat.org/oclc/987182","Catalog Record")</f>
        <v>Catalog Record</v>
      </c>
      <c r="AW601" s="6" t="str">
        <f>HYPERLINK("http://www.worldcat.org/oclc/987182","WorldCat Record")</f>
        <v>WorldCat Record</v>
      </c>
      <c r="AX601" s="3" t="s">
        <v>6161</v>
      </c>
      <c r="AY601" s="3" t="s">
        <v>6162</v>
      </c>
      <c r="AZ601" s="3" t="s">
        <v>6163</v>
      </c>
      <c r="BA601" s="3" t="s">
        <v>6163</v>
      </c>
      <c r="BB601" s="3" t="s">
        <v>6164</v>
      </c>
      <c r="BC601" s="3" t="s">
        <v>102</v>
      </c>
      <c r="BD601" s="3" t="s">
        <v>68</v>
      </c>
      <c r="BF601" s="3" t="s">
        <v>6164</v>
      </c>
      <c r="BG601" s="3" t="s">
        <v>6165</v>
      </c>
    </row>
    <row r="602" spans="1:59" ht="116" x14ac:dyDescent="0.35">
      <c r="A602" s="2" t="s">
        <v>89</v>
      </c>
      <c r="B602" s="2" t="s">
        <v>3312</v>
      </c>
      <c r="C602" s="2" t="s">
        <v>6166</v>
      </c>
      <c r="D602" s="2" t="s">
        <v>6167</v>
      </c>
      <c r="E602" s="2" t="s">
        <v>6168</v>
      </c>
      <c r="F602" s="3" t="s">
        <v>6169</v>
      </c>
      <c r="G602" s="3" t="s">
        <v>61</v>
      </c>
      <c r="I602" s="3" t="s">
        <v>62</v>
      </c>
      <c r="J602" s="3" t="s">
        <v>62</v>
      </c>
      <c r="K602" s="3" t="s">
        <v>63</v>
      </c>
      <c r="M602" s="2" t="s">
        <v>6170</v>
      </c>
      <c r="N602" s="3" t="s">
        <v>553</v>
      </c>
      <c r="O602" s="2" t="s">
        <v>1674</v>
      </c>
      <c r="P602" s="3" t="s">
        <v>1675</v>
      </c>
      <c r="R602" s="3" t="s">
        <v>65</v>
      </c>
      <c r="S602" s="4">
        <v>1</v>
      </c>
      <c r="T602" s="4">
        <v>28</v>
      </c>
      <c r="U602" s="5" t="s">
        <v>6171</v>
      </c>
      <c r="V602" s="5" t="s">
        <v>6172</v>
      </c>
      <c r="W602" s="5" t="s">
        <v>67</v>
      </c>
      <c r="X602" s="5" t="s">
        <v>67</v>
      </c>
      <c r="Y602" s="4">
        <v>14</v>
      </c>
      <c r="Z602" s="4">
        <v>3</v>
      </c>
      <c r="AA602" s="4">
        <v>3</v>
      </c>
      <c r="AB602" s="4">
        <v>1</v>
      </c>
      <c r="AC602" s="4">
        <v>1</v>
      </c>
      <c r="AD602" s="4">
        <v>1</v>
      </c>
      <c r="AE602" s="4">
        <v>1</v>
      </c>
      <c r="AF602" s="4">
        <v>0</v>
      </c>
      <c r="AG602" s="4">
        <v>0</v>
      </c>
      <c r="AH602" s="4">
        <v>0</v>
      </c>
      <c r="AI602" s="4">
        <v>0</v>
      </c>
      <c r="AJ602" s="4">
        <v>1</v>
      </c>
      <c r="AK602" s="4">
        <v>1</v>
      </c>
      <c r="AL602" s="4">
        <v>0</v>
      </c>
      <c r="AM602" s="4">
        <v>0</v>
      </c>
      <c r="AN602" s="4">
        <v>0</v>
      </c>
      <c r="AO602" s="4">
        <v>0</v>
      </c>
      <c r="AP602" s="4">
        <v>1</v>
      </c>
      <c r="AQ602" s="4">
        <v>1</v>
      </c>
      <c r="AR602" s="3" t="s">
        <v>62</v>
      </c>
      <c r="AS602" s="3" t="s">
        <v>62</v>
      </c>
      <c r="AT602" s="3" t="s">
        <v>62</v>
      </c>
      <c r="AV602" s="6" t="str">
        <f t="shared" ref="AV602:AV613" si="20">HYPERLINK("http://mcgill.on.worldcat.org/oclc/56791843","Catalog Record")</f>
        <v>Catalog Record</v>
      </c>
      <c r="AW602" s="6" t="str">
        <f t="shared" ref="AW602:AW613" si="21">HYPERLINK("http://www.worldcat.org/oclc/56791843","WorldCat Record")</f>
        <v>WorldCat Record</v>
      </c>
      <c r="AX602" s="3" t="s">
        <v>6173</v>
      </c>
      <c r="AY602" s="3" t="s">
        <v>6174</v>
      </c>
      <c r="AZ602" s="3" t="s">
        <v>6175</v>
      </c>
      <c r="BA602" s="3" t="s">
        <v>6175</v>
      </c>
      <c r="BB602" s="3" t="s">
        <v>6176</v>
      </c>
      <c r="BC602" s="3" t="s">
        <v>102</v>
      </c>
      <c r="BD602" s="3" t="s">
        <v>68</v>
      </c>
      <c r="BE602" s="3" t="s">
        <v>6177</v>
      </c>
      <c r="BF602" s="3" t="s">
        <v>6176</v>
      </c>
      <c r="BG602" s="3" t="s">
        <v>6178</v>
      </c>
    </row>
    <row r="603" spans="1:59" ht="116" x14ac:dyDescent="0.35">
      <c r="A603" s="2" t="s">
        <v>89</v>
      </c>
      <c r="B603" s="2" t="s">
        <v>3312</v>
      </c>
      <c r="C603" s="2" t="s">
        <v>6166</v>
      </c>
      <c r="D603" s="2" t="s">
        <v>6167</v>
      </c>
      <c r="E603" s="2" t="s">
        <v>6168</v>
      </c>
      <c r="F603" s="3" t="s">
        <v>2248</v>
      </c>
      <c r="G603" s="3" t="s">
        <v>61</v>
      </c>
      <c r="I603" s="3" t="s">
        <v>62</v>
      </c>
      <c r="J603" s="3" t="s">
        <v>62</v>
      </c>
      <c r="K603" s="3" t="s">
        <v>63</v>
      </c>
      <c r="M603" s="2" t="s">
        <v>6170</v>
      </c>
      <c r="N603" s="3" t="s">
        <v>553</v>
      </c>
      <c r="O603" s="2" t="s">
        <v>1674</v>
      </c>
      <c r="P603" s="3" t="s">
        <v>1675</v>
      </c>
      <c r="R603" s="3" t="s">
        <v>65</v>
      </c>
      <c r="S603" s="4">
        <v>0</v>
      </c>
      <c r="T603" s="4">
        <v>28</v>
      </c>
      <c r="V603" s="5" t="s">
        <v>6172</v>
      </c>
      <c r="W603" s="5" t="s">
        <v>67</v>
      </c>
      <c r="X603" s="5" t="s">
        <v>67</v>
      </c>
      <c r="Y603" s="4">
        <v>14</v>
      </c>
      <c r="Z603" s="4">
        <v>3</v>
      </c>
      <c r="AA603" s="4">
        <v>3</v>
      </c>
      <c r="AB603" s="4">
        <v>1</v>
      </c>
      <c r="AC603" s="4">
        <v>1</v>
      </c>
      <c r="AD603" s="4">
        <v>1</v>
      </c>
      <c r="AE603" s="4">
        <v>1</v>
      </c>
      <c r="AF603" s="4">
        <v>0</v>
      </c>
      <c r="AG603" s="4">
        <v>0</v>
      </c>
      <c r="AH603" s="4">
        <v>0</v>
      </c>
      <c r="AI603" s="4">
        <v>0</v>
      </c>
      <c r="AJ603" s="4">
        <v>1</v>
      </c>
      <c r="AK603" s="4">
        <v>1</v>
      </c>
      <c r="AL603" s="4">
        <v>0</v>
      </c>
      <c r="AM603" s="4">
        <v>0</v>
      </c>
      <c r="AN603" s="4">
        <v>0</v>
      </c>
      <c r="AO603" s="4">
        <v>0</v>
      </c>
      <c r="AP603" s="4">
        <v>1</v>
      </c>
      <c r="AQ603" s="4">
        <v>1</v>
      </c>
      <c r="AR603" s="3" t="s">
        <v>62</v>
      </c>
      <c r="AS603" s="3" t="s">
        <v>62</v>
      </c>
      <c r="AT603" s="3" t="s">
        <v>62</v>
      </c>
      <c r="AV603" s="6" t="str">
        <f t="shared" si="20"/>
        <v>Catalog Record</v>
      </c>
      <c r="AW603" s="6" t="str">
        <f t="shared" si="21"/>
        <v>WorldCat Record</v>
      </c>
      <c r="AX603" s="3" t="s">
        <v>6173</v>
      </c>
      <c r="AY603" s="3" t="s">
        <v>6174</v>
      </c>
      <c r="AZ603" s="3" t="s">
        <v>6175</v>
      </c>
      <c r="BA603" s="3" t="s">
        <v>6175</v>
      </c>
      <c r="BB603" s="3" t="s">
        <v>6179</v>
      </c>
      <c r="BC603" s="3" t="s">
        <v>102</v>
      </c>
      <c r="BD603" s="3" t="s">
        <v>68</v>
      </c>
      <c r="BE603" s="3" t="s">
        <v>6177</v>
      </c>
      <c r="BF603" s="3" t="s">
        <v>6179</v>
      </c>
      <c r="BG603" s="3" t="s">
        <v>6180</v>
      </c>
    </row>
    <row r="604" spans="1:59" ht="116" x14ac:dyDescent="0.35">
      <c r="A604" s="2" t="s">
        <v>89</v>
      </c>
      <c r="B604" s="2" t="s">
        <v>3312</v>
      </c>
      <c r="C604" s="2" t="s">
        <v>6166</v>
      </c>
      <c r="D604" s="2" t="s">
        <v>6167</v>
      </c>
      <c r="E604" s="2" t="s">
        <v>6168</v>
      </c>
      <c r="F604" s="3" t="s">
        <v>2214</v>
      </c>
      <c r="G604" s="3" t="s">
        <v>61</v>
      </c>
      <c r="I604" s="3" t="s">
        <v>62</v>
      </c>
      <c r="J604" s="3" t="s">
        <v>62</v>
      </c>
      <c r="K604" s="3" t="s">
        <v>63</v>
      </c>
      <c r="M604" s="2" t="s">
        <v>6170</v>
      </c>
      <c r="N604" s="3" t="s">
        <v>553</v>
      </c>
      <c r="O604" s="2" t="s">
        <v>1674</v>
      </c>
      <c r="P604" s="3" t="s">
        <v>1675</v>
      </c>
      <c r="R604" s="3" t="s">
        <v>65</v>
      </c>
      <c r="S604" s="4">
        <v>3</v>
      </c>
      <c r="T604" s="4">
        <v>28</v>
      </c>
      <c r="U604" s="5" t="s">
        <v>6181</v>
      </c>
      <c r="V604" s="5" t="s">
        <v>6172</v>
      </c>
      <c r="W604" s="5" t="s">
        <v>67</v>
      </c>
      <c r="X604" s="5" t="s">
        <v>67</v>
      </c>
      <c r="Y604" s="4">
        <v>14</v>
      </c>
      <c r="Z604" s="4">
        <v>3</v>
      </c>
      <c r="AA604" s="4">
        <v>3</v>
      </c>
      <c r="AB604" s="4">
        <v>1</v>
      </c>
      <c r="AC604" s="4">
        <v>1</v>
      </c>
      <c r="AD604" s="4">
        <v>1</v>
      </c>
      <c r="AE604" s="4">
        <v>1</v>
      </c>
      <c r="AF604" s="4">
        <v>0</v>
      </c>
      <c r="AG604" s="4">
        <v>0</v>
      </c>
      <c r="AH604" s="4">
        <v>0</v>
      </c>
      <c r="AI604" s="4">
        <v>0</v>
      </c>
      <c r="AJ604" s="4">
        <v>1</v>
      </c>
      <c r="AK604" s="4">
        <v>1</v>
      </c>
      <c r="AL604" s="4">
        <v>0</v>
      </c>
      <c r="AM604" s="4">
        <v>0</v>
      </c>
      <c r="AN604" s="4">
        <v>0</v>
      </c>
      <c r="AO604" s="4">
        <v>0</v>
      </c>
      <c r="AP604" s="4">
        <v>1</v>
      </c>
      <c r="AQ604" s="4">
        <v>1</v>
      </c>
      <c r="AR604" s="3" t="s">
        <v>62</v>
      </c>
      <c r="AS604" s="3" t="s">
        <v>62</v>
      </c>
      <c r="AT604" s="3" t="s">
        <v>62</v>
      </c>
      <c r="AV604" s="6" t="str">
        <f t="shared" si="20"/>
        <v>Catalog Record</v>
      </c>
      <c r="AW604" s="6" t="str">
        <f t="shared" si="21"/>
        <v>WorldCat Record</v>
      </c>
      <c r="AX604" s="3" t="s">
        <v>6173</v>
      </c>
      <c r="AY604" s="3" t="s">
        <v>6174</v>
      </c>
      <c r="AZ604" s="3" t="s">
        <v>6175</v>
      </c>
      <c r="BA604" s="3" t="s">
        <v>6175</v>
      </c>
      <c r="BB604" s="3" t="s">
        <v>6182</v>
      </c>
      <c r="BC604" s="3" t="s">
        <v>102</v>
      </c>
      <c r="BD604" s="3" t="s">
        <v>68</v>
      </c>
      <c r="BE604" s="3" t="s">
        <v>6177</v>
      </c>
      <c r="BF604" s="3" t="s">
        <v>6182</v>
      </c>
      <c r="BG604" s="3" t="s">
        <v>6183</v>
      </c>
    </row>
    <row r="605" spans="1:59" ht="116" x14ac:dyDescent="0.35">
      <c r="A605" s="2" t="s">
        <v>89</v>
      </c>
      <c r="B605" s="2" t="s">
        <v>3312</v>
      </c>
      <c r="C605" s="2" t="s">
        <v>6166</v>
      </c>
      <c r="D605" s="2" t="s">
        <v>6167</v>
      </c>
      <c r="E605" s="2" t="s">
        <v>6168</v>
      </c>
      <c r="F605" s="3" t="s">
        <v>2241</v>
      </c>
      <c r="G605" s="3" t="s">
        <v>61</v>
      </c>
      <c r="I605" s="3" t="s">
        <v>62</v>
      </c>
      <c r="J605" s="3" t="s">
        <v>62</v>
      </c>
      <c r="K605" s="3" t="s">
        <v>63</v>
      </c>
      <c r="M605" s="2" t="s">
        <v>6170</v>
      </c>
      <c r="N605" s="3" t="s">
        <v>553</v>
      </c>
      <c r="O605" s="2" t="s">
        <v>1674</v>
      </c>
      <c r="P605" s="3" t="s">
        <v>1675</v>
      </c>
      <c r="R605" s="3" t="s">
        <v>65</v>
      </c>
      <c r="S605" s="4">
        <v>5</v>
      </c>
      <c r="T605" s="4">
        <v>28</v>
      </c>
      <c r="V605" s="5" t="s">
        <v>6172</v>
      </c>
      <c r="W605" s="5" t="s">
        <v>67</v>
      </c>
      <c r="X605" s="5" t="s">
        <v>67</v>
      </c>
      <c r="Y605" s="4">
        <v>14</v>
      </c>
      <c r="Z605" s="4">
        <v>3</v>
      </c>
      <c r="AA605" s="4">
        <v>3</v>
      </c>
      <c r="AB605" s="4">
        <v>1</v>
      </c>
      <c r="AC605" s="4">
        <v>1</v>
      </c>
      <c r="AD605" s="4">
        <v>1</v>
      </c>
      <c r="AE605" s="4">
        <v>1</v>
      </c>
      <c r="AF605" s="4">
        <v>0</v>
      </c>
      <c r="AG605" s="4">
        <v>0</v>
      </c>
      <c r="AH605" s="4">
        <v>0</v>
      </c>
      <c r="AI605" s="4">
        <v>0</v>
      </c>
      <c r="AJ605" s="4">
        <v>1</v>
      </c>
      <c r="AK605" s="4">
        <v>1</v>
      </c>
      <c r="AL605" s="4">
        <v>0</v>
      </c>
      <c r="AM605" s="4">
        <v>0</v>
      </c>
      <c r="AN605" s="4">
        <v>0</v>
      </c>
      <c r="AO605" s="4">
        <v>0</v>
      </c>
      <c r="AP605" s="4">
        <v>1</v>
      </c>
      <c r="AQ605" s="4">
        <v>1</v>
      </c>
      <c r="AR605" s="3" t="s">
        <v>62</v>
      </c>
      <c r="AS605" s="3" t="s">
        <v>62</v>
      </c>
      <c r="AT605" s="3" t="s">
        <v>62</v>
      </c>
      <c r="AV605" s="6" t="str">
        <f t="shared" si="20"/>
        <v>Catalog Record</v>
      </c>
      <c r="AW605" s="6" t="str">
        <f t="shared" si="21"/>
        <v>WorldCat Record</v>
      </c>
      <c r="AX605" s="3" t="s">
        <v>6173</v>
      </c>
      <c r="AY605" s="3" t="s">
        <v>6174</v>
      </c>
      <c r="AZ605" s="3" t="s">
        <v>6175</v>
      </c>
      <c r="BA605" s="3" t="s">
        <v>6175</v>
      </c>
      <c r="BB605" s="3" t="s">
        <v>6184</v>
      </c>
      <c r="BC605" s="3" t="s">
        <v>102</v>
      </c>
      <c r="BD605" s="3" t="s">
        <v>231</v>
      </c>
      <c r="BE605" s="3" t="s">
        <v>6177</v>
      </c>
      <c r="BF605" s="3" t="s">
        <v>6184</v>
      </c>
      <c r="BG605" s="3" t="s">
        <v>6185</v>
      </c>
    </row>
    <row r="606" spans="1:59" ht="116" x14ac:dyDescent="0.35">
      <c r="A606" s="2" t="s">
        <v>89</v>
      </c>
      <c r="B606" s="2" t="s">
        <v>3312</v>
      </c>
      <c r="C606" s="2" t="s">
        <v>6166</v>
      </c>
      <c r="D606" s="2" t="s">
        <v>6167</v>
      </c>
      <c r="E606" s="2" t="s">
        <v>6168</v>
      </c>
      <c r="F606" s="3" t="s">
        <v>2237</v>
      </c>
      <c r="G606" s="3" t="s">
        <v>61</v>
      </c>
      <c r="I606" s="3" t="s">
        <v>62</v>
      </c>
      <c r="J606" s="3" t="s">
        <v>62</v>
      </c>
      <c r="K606" s="3" t="s">
        <v>63</v>
      </c>
      <c r="M606" s="2" t="s">
        <v>6170</v>
      </c>
      <c r="N606" s="3" t="s">
        <v>553</v>
      </c>
      <c r="O606" s="2" t="s">
        <v>1674</v>
      </c>
      <c r="P606" s="3" t="s">
        <v>1675</v>
      </c>
      <c r="R606" s="3" t="s">
        <v>65</v>
      </c>
      <c r="S606" s="4">
        <v>6</v>
      </c>
      <c r="T606" s="4">
        <v>28</v>
      </c>
      <c r="U606" s="5" t="s">
        <v>6186</v>
      </c>
      <c r="V606" s="5" t="s">
        <v>6172</v>
      </c>
      <c r="W606" s="5" t="s">
        <v>67</v>
      </c>
      <c r="X606" s="5" t="s">
        <v>67</v>
      </c>
      <c r="Y606" s="4">
        <v>14</v>
      </c>
      <c r="Z606" s="4">
        <v>3</v>
      </c>
      <c r="AA606" s="4">
        <v>3</v>
      </c>
      <c r="AB606" s="4">
        <v>1</v>
      </c>
      <c r="AC606" s="4">
        <v>1</v>
      </c>
      <c r="AD606" s="4">
        <v>1</v>
      </c>
      <c r="AE606" s="4">
        <v>1</v>
      </c>
      <c r="AF606" s="4">
        <v>0</v>
      </c>
      <c r="AG606" s="4">
        <v>0</v>
      </c>
      <c r="AH606" s="4">
        <v>0</v>
      </c>
      <c r="AI606" s="4">
        <v>0</v>
      </c>
      <c r="AJ606" s="4">
        <v>1</v>
      </c>
      <c r="AK606" s="4">
        <v>1</v>
      </c>
      <c r="AL606" s="4">
        <v>0</v>
      </c>
      <c r="AM606" s="4">
        <v>0</v>
      </c>
      <c r="AN606" s="4">
        <v>0</v>
      </c>
      <c r="AO606" s="4">
        <v>0</v>
      </c>
      <c r="AP606" s="4">
        <v>1</v>
      </c>
      <c r="AQ606" s="4">
        <v>1</v>
      </c>
      <c r="AR606" s="3" t="s">
        <v>62</v>
      </c>
      <c r="AS606" s="3" t="s">
        <v>62</v>
      </c>
      <c r="AT606" s="3" t="s">
        <v>62</v>
      </c>
      <c r="AV606" s="6" t="str">
        <f t="shared" si="20"/>
        <v>Catalog Record</v>
      </c>
      <c r="AW606" s="6" t="str">
        <f t="shared" si="21"/>
        <v>WorldCat Record</v>
      </c>
      <c r="AX606" s="3" t="s">
        <v>6173</v>
      </c>
      <c r="AY606" s="3" t="s">
        <v>6174</v>
      </c>
      <c r="AZ606" s="3" t="s">
        <v>6175</v>
      </c>
      <c r="BA606" s="3" t="s">
        <v>6175</v>
      </c>
      <c r="BB606" s="3" t="s">
        <v>6187</v>
      </c>
      <c r="BC606" s="3" t="s">
        <v>102</v>
      </c>
      <c r="BD606" s="3" t="s">
        <v>68</v>
      </c>
      <c r="BE606" s="3" t="s">
        <v>6177</v>
      </c>
      <c r="BF606" s="3" t="s">
        <v>6187</v>
      </c>
      <c r="BG606" s="3" t="s">
        <v>6188</v>
      </c>
    </row>
    <row r="607" spans="1:59" ht="116" x14ac:dyDescent="0.35">
      <c r="A607" s="2" t="s">
        <v>89</v>
      </c>
      <c r="B607" s="2" t="s">
        <v>3312</v>
      </c>
      <c r="C607" s="2" t="s">
        <v>6166</v>
      </c>
      <c r="D607" s="2" t="s">
        <v>6167</v>
      </c>
      <c r="E607" s="2" t="s">
        <v>6168</v>
      </c>
      <c r="F607" s="3" t="s">
        <v>6189</v>
      </c>
      <c r="G607" s="3" t="s">
        <v>61</v>
      </c>
      <c r="I607" s="3" t="s">
        <v>62</v>
      </c>
      <c r="J607" s="3" t="s">
        <v>62</v>
      </c>
      <c r="K607" s="3" t="s">
        <v>63</v>
      </c>
      <c r="M607" s="2" t="s">
        <v>6170</v>
      </c>
      <c r="N607" s="3" t="s">
        <v>553</v>
      </c>
      <c r="O607" s="2" t="s">
        <v>1674</v>
      </c>
      <c r="P607" s="3" t="s">
        <v>1675</v>
      </c>
      <c r="R607" s="3" t="s">
        <v>65</v>
      </c>
      <c r="S607" s="4">
        <v>0</v>
      </c>
      <c r="T607" s="4">
        <v>28</v>
      </c>
      <c r="V607" s="5" t="s">
        <v>6172</v>
      </c>
      <c r="W607" s="5" t="s">
        <v>67</v>
      </c>
      <c r="X607" s="5" t="s">
        <v>67</v>
      </c>
      <c r="Y607" s="4">
        <v>14</v>
      </c>
      <c r="Z607" s="4">
        <v>3</v>
      </c>
      <c r="AA607" s="4">
        <v>3</v>
      </c>
      <c r="AB607" s="4">
        <v>1</v>
      </c>
      <c r="AC607" s="4">
        <v>1</v>
      </c>
      <c r="AD607" s="4">
        <v>1</v>
      </c>
      <c r="AE607" s="4">
        <v>1</v>
      </c>
      <c r="AF607" s="4">
        <v>0</v>
      </c>
      <c r="AG607" s="4">
        <v>0</v>
      </c>
      <c r="AH607" s="4">
        <v>0</v>
      </c>
      <c r="AI607" s="4">
        <v>0</v>
      </c>
      <c r="AJ607" s="4">
        <v>1</v>
      </c>
      <c r="AK607" s="4">
        <v>1</v>
      </c>
      <c r="AL607" s="4">
        <v>0</v>
      </c>
      <c r="AM607" s="4">
        <v>0</v>
      </c>
      <c r="AN607" s="4">
        <v>0</v>
      </c>
      <c r="AO607" s="4">
        <v>0</v>
      </c>
      <c r="AP607" s="4">
        <v>1</v>
      </c>
      <c r="AQ607" s="4">
        <v>1</v>
      </c>
      <c r="AR607" s="3" t="s">
        <v>62</v>
      </c>
      <c r="AS607" s="3" t="s">
        <v>62</v>
      </c>
      <c r="AT607" s="3" t="s">
        <v>62</v>
      </c>
      <c r="AV607" s="6" t="str">
        <f t="shared" si="20"/>
        <v>Catalog Record</v>
      </c>
      <c r="AW607" s="6" t="str">
        <f t="shared" si="21"/>
        <v>WorldCat Record</v>
      </c>
      <c r="AX607" s="3" t="s">
        <v>6173</v>
      </c>
      <c r="AY607" s="3" t="s">
        <v>6174</v>
      </c>
      <c r="AZ607" s="3" t="s">
        <v>6175</v>
      </c>
      <c r="BA607" s="3" t="s">
        <v>6175</v>
      </c>
      <c r="BB607" s="3" t="s">
        <v>6190</v>
      </c>
      <c r="BC607" s="3" t="s">
        <v>102</v>
      </c>
      <c r="BD607" s="3" t="s">
        <v>68</v>
      </c>
      <c r="BE607" s="3" t="s">
        <v>6177</v>
      </c>
      <c r="BF607" s="3" t="s">
        <v>6190</v>
      </c>
      <c r="BG607" s="3" t="s">
        <v>6191</v>
      </c>
    </row>
    <row r="608" spans="1:59" ht="116" x14ac:dyDescent="0.35">
      <c r="A608" s="2" t="s">
        <v>89</v>
      </c>
      <c r="B608" s="2" t="s">
        <v>3312</v>
      </c>
      <c r="C608" s="2" t="s">
        <v>6166</v>
      </c>
      <c r="D608" s="2" t="s">
        <v>6167</v>
      </c>
      <c r="E608" s="2" t="s">
        <v>6168</v>
      </c>
      <c r="F608" s="3" t="s">
        <v>6192</v>
      </c>
      <c r="G608" s="3" t="s">
        <v>61</v>
      </c>
      <c r="I608" s="3" t="s">
        <v>62</v>
      </c>
      <c r="J608" s="3" t="s">
        <v>62</v>
      </c>
      <c r="K608" s="3" t="s">
        <v>63</v>
      </c>
      <c r="M608" s="2" t="s">
        <v>6170</v>
      </c>
      <c r="N608" s="3" t="s">
        <v>553</v>
      </c>
      <c r="O608" s="2" t="s">
        <v>1674</v>
      </c>
      <c r="P608" s="3" t="s">
        <v>1675</v>
      </c>
      <c r="R608" s="3" t="s">
        <v>65</v>
      </c>
      <c r="S608" s="4">
        <v>7</v>
      </c>
      <c r="T608" s="4">
        <v>28</v>
      </c>
      <c r="U608" s="5" t="s">
        <v>6172</v>
      </c>
      <c r="V608" s="5" t="s">
        <v>6172</v>
      </c>
      <c r="W608" s="5" t="s">
        <v>67</v>
      </c>
      <c r="X608" s="5" t="s">
        <v>67</v>
      </c>
      <c r="Y608" s="4">
        <v>14</v>
      </c>
      <c r="Z608" s="4">
        <v>3</v>
      </c>
      <c r="AA608" s="4">
        <v>3</v>
      </c>
      <c r="AB608" s="4">
        <v>1</v>
      </c>
      <c r="AC608" s="4">
        <v>1</v>
      </c>
      <c r="AD608" s="4">
        <v>1</v>
      </c>
      <c r="AE608" s="4">
        <v>1</v>
      </c>
      <c r="AF608" s="4">
        <v>0</v>
      </c>
      <c r="AG608" s="4">
        <v>0</v>
      </c>
      <c r="AH608" s="4">
        <v>0</v>
      </c>
      <c r="AI608" s="4">
        <v>0</v>
      </c>
      <c r="AJ608" s="4">
        <v>1</v>
      </c>
      <c r="AK608" s="4">
        <v>1</v>
      </c>
      <c r="AL608" s="4">
        <v>0</v>
      </c>
      <c r="AM608" s="4">
        <v>0</v>
      </c>
      <c r="AN608" s="4">
        <v>0</v>
      </c>
      <c r="AO608" s="4">
        <v>0</v>
      </c>
      <c r="AP608" s="4">
        <v>1</v>
      </c>
      <c r="AQ608" s="4">
        <v>1</v>
      </c>
      <c r="AR608" s="3" t="s">
        <v>62</v>
      </c>
      <c r="AS608" s="3" t="s">
        <v>62</v>
      </c>
      <c r="AT608" s="3" t="s">
        <v>62</v>
      </c>
      <c r="AV608" s="6" t="str">
        <f t="shared" si="20"/>
        <v>Catalog Record</v>
      </c>
      <c r="AW608" s="6" t="str">
        <f t="shared" si="21"/>
        <v>WorldCat Record</v>
      </c>
      <c r="AX608" s="3" t="s">
        <v>6173</v>
      </c>
      <c r="AY608" s="3" t="s">
        <v>6174</v>
      </c>
      <c r="AZ608" s="3" t="s">
        <v>6175</v>
      </c>
      <c r="BA608" s="3" t="s">
        <v>6175</v>
      </c>
      <c r="BB608" s="3" t="s">
        <v>6193</v>
      </c>
      <c r="BC608" s="3" t="s">
        <v>102</v>
      </c>
      <c r="BD608" s="3" t="s">
        <v>231</v>
      </c>
      <c r="BE608" s="3" t="s">
        <v>6177</v>
      </c>
      <c r="BF608" s="3" t="s">
        <v>6193</v>
      </c>
      <c r="BG608" s="3" t="s">
        <v>6194</v>
      </c>
    </row>
    <row r="609" spans="1:59" ht="116" x14ac:dyDescent="0.35">
      <c r="A609" s="2" t="s">
        <v>89</v>
      </c>
      <c r="B609" s="2" t="s">
        <v>3312</v>
      </c>
      <c r="C609" s="2" t="s">
        <v>6166</v>
      </c>
      <c r="D609" s="2" t="s">
        <v>6167</v>
      </c>
      <c r="E609" s="2" t="s">
        <v>6168</v>
      </c>
      <c r="F609" s="3" t="s">
        <v>6195</v>
      </c>
      <c r="G609" s="3" t="s">
        <v>61</v>
      </c>
      <c r="I609" s="3" t="s">
        <v>62</v>
      </c>
      <c r="J609" s="3" t="s">
        <v>62</v>
      </c>
      <c r="K609" s="3" t="s">
        <v>63</v>
      </c>
      <c r="M609" s="2" t="s">
        <v>6170</v>
      </c>
      <c r="N609" s="3" t="s">
        <v>553</v>
      </c>
      <c r="O609" s="2" t="s">
        <v>1674</v>
      </c>
      <c r="P609" s="3" t="s">
        <v>1675</v>
      </c>
      <c r="R609" s="3" t="s">
        <v>65</v>
      </c>
      <c r="S609" s="4">
        <v>1</v>
      </c>
      <c r="T609" s="4">
        <v>28</v>
      </c>
      <c r="U609" s="5" t="s">
        <v>6196</v>
      </c>
      <c r="V609" s="5" t="s">
        <v>6172</v>
      </c>
      <c r="W609" s="5" t="s">
        <v>67</v>
      </c>
      <c r="X609" s="5" t="s">
        <v>67</v>
      </c>
      <c r="Y609" s="4">
        <v>14</v>
      </c>
      <c r="Z609" s="4">
        <v>3</v>
      </c>
      <c r="AA609" s="4">
        <v>3</v>
      </c>
      <c r="AB609" s="4">
        <v>1</v>
      </c>
      <c r="AC609" s="4">
        <v>1</v>
      </c>
      <c r="AD609" s="4">
        <v>1</v>
      </c>
      <c r="AE609" s="4">
        <v>1</v>
      </c>
      <c r="AF609" s="4">
        <v>0</v>
      </c>
      <c r="AG609" s="4">
        <v>0</v>
      </c>
      <c r="AH609" s="4">
        <v>0</v>
      </c>
      <c r="AI609" s="4">
        <v>0</v>
      </c>
      <c r="AJ609" s="4">
        <v>1</v>
      </c>
      <c r="AK609" s="4">
        <v>1</v>
      </c>
      <c r="AL609" s="4">
        <v>0</v>
      </c>
      <c r="AM609" s="4">
        <v>0</v>
      </c>
      <c r="AN609" s="4">
        <v>0</v>
      </c>
      <c r="AO609" s="4">
        <v>0</v>
      </c>
      <c r="AP609" s="4">
        <v>1</v>
      </c>
      <c r="AQ609" s="4">
        <v>1</v>
      </c>
      <c r="AR609" s="3" t="s">
        <v>62</v>
      </c>
      <c r="AS609" s="3" t="s">
        <v>62</v>
      </c>
      <c r="AT609" s="3" t="s">
        <v>62</v>
      </c>
      <c r="AV609" s="6" t="str">
        <f t="shared" si="20"/>
        <v>Catalog Record</v>
      </c>
      <c r="AW609" s="6" t="str">
        <f t="shared" si="21"/>
        <v>WorldCat Record</v>
      </c>
      <c r="AX609" s="3" t="s">
        <v>6173</v>
      </c>
      <c r="AY609" s="3" t="s">
        <v>6174</v>
      </c>
      <c r="AZ609" s="3" t="s">
        <v>6175</v>
      </c>
      <c r="BA609" s="3" t="s">
        <v>6175</v>
      </c>
      <c r="BB609" s="3" t="s">
        <v>6197</v>
      </c>
      <c r="BC609" s="3" t="s">
        <v>102</v>
      </c>
      <c r="BD609" s="3" t="s">
        <v>68</v>
      </c>
      <c r="BE609" s="3" t="s">
        <v>6177</v>
      </c>
      <c r="BF609" s="3" t="s">
        <v>6197</v>
      </c>
      <c r="BG609" s="3" t="s">
        <v>6198</v>
      </c>
    </row>
    <row r="610" spans="1:59" ht="116" x14ac:dyDescent="0.35">
      <c r="A610" s="2" t="s">
        <v>89</v>
      </c>
      <c r="B610" s="2" t="s">
        <v>3312</v>
      </c>
      <c r="C610" s="2" t="s">
        <v>6166</v>
      </c>
      <c r="D610" s="2" t="s">
        <v>6167</v>
      </c>
      <c r="E610" s="2" t="s">
        <v>6168</v>
      </c>
      <c r="F610" s="3" t="s">
        <v>2223</v>
      </c>
      <c r="G610" s="3" t="s">
        <v>61</v>
      </c>
      <c r="I610" s="3" t="s">
        <v>62</v>
      </c>
      <c r="J610" s="3" t="s">
        <v>62</v>
      </c>
      <c r="K610" s="3" t="s">
        <v>63</v>
      </c>
      <c r="M610" s="2" t="s">
        <v>6170</v>
      </c>
      <c r="N610" s="3" t="s">
        <v>553</v>
      </c>
      <c r="O610" s="2" t="s">
        <v>1674</v>
      </c>
      <c r="P610" s="3" t="s">
        <v>1675</v>
      </c>
      <c r="R610" s="3" t="s">
        <v>65</v>
      </c>
      <c r="S610" s="4">
        <v>2</v>
      </c>
      <c r="T610" s="4">
        <v>28</v>
      </c>
      <c r="U610" s="5" t="s">
        <v>6196</v>
      </c>
      <c r="V610" s="5" t="s">
        <v>6172</v>
      </c>
      <c r="W610" s="5" t="s">
        <v>67</v>
      </c>
      <c r="X610" s="5" t="s">
        <v>67</v>
      </c>
      <c r="Y610" s="4">
        <v>14</v>
      </c>
      <c r="Z610" s="4">
        <v>3</v>
      </c>
      <c r="AA610" s="4">
        <v>3</v>
      </c>
      <c r="AB610" s="4">
        <v>1</v>
      </c>
      <c r="AC610" s="4">
        <v>1</v>
      </c>
      <c r="AD610" s="4">
        <v>1</v>
      </c>
      <c r="AE610" s="4">
        <v>1</v>
      </c>
      <c r="AF610" s="4">
        <v>0</v>
      </c>
      <c r="AG610" s="4">
        <v>0</v>
      </c>
      <c r="AH610" s="4">
        <v>0</v>
      </c>
      <c r="AI610" s="4">
        <v>0</v>
      </c>
      <c r="AJ610" s="4">
        <v>1</v>
      </c>
      <c r="AK610" s="4">
        <v>1</v>
      </c>
      <c r="AL610" s="4">
        <v>0</v>
      </c>
      <c r="AM610" s="4">
        <v>0</v>
      </c>
      <c r="AN610" s="4">
        <v>0</v>
      </c>
      <c r="AO610" s="4">
        <v>0</v>
      </c>
      <c r="AP610" s="4">
        <v>1</v>
      </c>
      <c r="AQ610" s="4">
        <v>1</v>
      </c>
      <c r="AR610" s="3" t="s">
        <v>62</v>
      </c>
      <c r="AS610" s="3" t="s">
        <v>62</v>
      </c>
      <c r="AT610" s="3" t="s">
        <v>62</v>
      </c>
      <c r="AV610" s="6" t="str">
        <f t="shared" si="20"/>
        <v>Catalog Record</v>
      </c>
      <c r="AW610" s="6" t="str">
        <f t="shared" si="21"/>
        <v>WorldCat Record</v>
      </c>
      <c r="AX610" s="3" t="s">
        <v>6173</v>
      </c>
      <c r="AY610" s="3" t="s">
        <v>6174</v>
      </c>
      <c r="AZ610" s="3" t="s">
        <v>6175</v>
      </c>
      <c r="BA610" s="3" t="s">
        <v>6175</v>
      </c>
      <c r="BB610" s="3" t="s">
        <v>6199</v>
      </c>
      <c r="BC610" s="3" t="s">
        <v>102</v>
      </c>
      <c r="BD610" s="3" t="s">
        <v>68</v>
      </c>
      <c r="BE610" s="3" t="s">
        <v>6177</v>
      </c>
      <c r="BF610" s="3" t="s">
        <v>6199</v>
      </c>
      <c r="BG610" s="3" t="s">
        <v>6200</v>
      </c>
    </row>
    <row r="611" spans="1:59" ht="116" x14ac:dyDescent="0.35">
      <c r="A611" s="2" t="s">
        <v>89</v>
      </c>
      <c r="B611" s="2" t="s">
        <v>3312</v>
      </c>
      <c r="C611" s="2" t="s">
        <v>6166</v>
      </c>
      <c r="D611" s="2" t="s">
        <v>6167</v>
      </c>
      <c r="E611" s="2" t="s">
        <v>6168</v>
      </c>
      <c r="F611" s="3" t="s">
        <v>2217</v>
      </c>
      <c r="G611" s="3" t="s">
        <v>61</v>
      </c>
      <c r="I611" s="3" t="s">
        <v>62</v>
      </c>
      <c r="J611" s="3" t="s">
        <v>62</v>
      </c>
      <c r="K611" s="3" t="s">
        <v>63</v>
      </c>
      <c r="M611" s="2" t="s">
        <v>6170</v>
      </c>
      <c r="N611" s="3" t="s">
        <v>553</v>
      </c>
      <c r="O611" s="2" t="s">
        <v>1674</v>
      </c>
      <c r="P611" s="3" t="s">
        <v>1675</v>
      </c>
      <c r="R611" s="3" t="s">
        <v>65</v>
      </c>
      <c r="S611" s="4">
        <v>1</v>
      </c>
      <c r="T611" s="4">
        <v>28</v>
      </c>
      <c r="U611" s="5" t="s">
        <v>6201</v>
      </c>
      <c r="V611" s="5" t="s">
        <v>6172</v>
      </c>
      <c r="W611" s="5" t="s">
        <v>67</v>
      </c>
      <c r="X611" s="5" t="s">
        <v>67</v>
      </c>
      <c r="Y611" s="4">
        <v>14</v>
      </c>
      <c r="Z611" s="4">
        <v>3</v>
      </c>
      <c r="AA611" s="4">
        <v>3</v>
      </c>
      <c r="AB611" s="4">
        <v>1</v>
      </c>
      <c r="AC611" s="4">
        <v>1</v>
      </c>
      <c r="AD611" s="4">
        <v>1</v>
      </c>
      <c r="AE611" s="4">
        <v>1</v>
      </c>
      <c r="AF611" s="4">
        <v>0</v>
      </c>
      <c r="AG611" s="4">
        <v>0</v>
      </c>
      <c r="AH611" s="4">
        <v>0</v>
      </c>
      <c r="AI611" s="4">
        <v>0</v>
      </c>
      <c r="AJ611" s="4">
        <v>1</v>
      </c>
      <c r="AK611" s="4">
        <v>1</v>
      </c>
      <c r="AL611" s="4">
        <v>0</v>
      </c>
      <c r="AM611" s="4">
        <v>0</v>
      </c>
      <c r="AN611" s="4">
        <v>0</v>
      </c>
      <c r="AO611" s="4">
        <v>0</v>
      </c>
      <c r="AP611" s="4">
        <v>1</v>
      </c>
      <c r="AQ611" s="4">
        <v>1</v>
      </c>
      <c r="AR611" s="3" t="s">
        <v>62</v>
      </c>
      <c r="AS611" s="3" t="s">
        <v>62</v>
      </c>
      <c r="AT611" s="3" t="s">
        <v>62</v>
      </c>
      <c r="AV611" s="6" t="str">
        <f t="shared" si="20"/>
        <v>Catalog Record</v>
      </c>
      <c r="AW611" s="6" t="str">
        <f t="shared" si="21"/>
        <v>WorldCat Record</v>
      </c>
      <c r="AX611" s="3" t="s">
        <v>6173</v>
      </c>
      <c r="AY611" s="3" t="s">
        <v>6174</v>
      </c>
      <c r="AZ611" s="3" t="s">
        <v>6175</v>
      </c>
      <c r="BA611" s="3" t="s">
        <v>6175</v>
      </c>
      <c r="BB611" s="3" t="s">
        <v>6202</v>
      </c>
      <c r="BC611" s="3" t="s">
        <v>102</v>
      </c>
      <c r="BD611" s="3" t="s">
        <v>68</v>
      </c>
      <c r="BE611" s="3" t="s">
        <v>6177</v>
      </c>
      <c r="BF611" s="3" t="s">
        <v>6202</v>
      </c>
      <c r="BG611" s="3" t="s">
        <v>6203</v>
      </c>
    </row>
    <row r="612" spans="1:59" ht="116" x14ac:dyDescent="0.35">
      <c r="A612" s="2" t="s">
        <v>89</v>
      </c>
      <c r="B612" s="2" t="s">
        <v>3312</v>
      </c>
      <c r="C612" s="2" t="s">
        <v>6166</v>
      </c>
      <c r="D612" s="2" t="s">
        <v>6167</v>
      </c>
      <c r="E612" s="2" t="s">
        <v>6168</v>
      </c>
      <c r="F612" s="3" t="s">
        <v>2233</v>
      </c>
      <c r="G612" s="3" t="s">
        <v>61</v>
      </c>
      <c r="I612" s="3" t="s">
        <v>62</v>
      </c>
      <c r="J612" s="3" t="s">
        <v>62</v>
      </c>
      <c r="K612" s="3" t="s">
        <v>63</v>
      </c>
      <c r="M612" s="2" t="s">
        <v>6170</v>
      </c>
      <c r="N612" s="3" t="s">
        <v>553</v>
      </c>
      <c r="O612" s="2" t="s">
        <v>1674</v>
      </c>
      <c r="P612" s="3" t="s">
        <v>1675</v>
      </c>
      <c r="R612" s="3" t="s">
        <v>65</v>
      </c>
      <c r="S612" s="4">
        <v>2</v>
      </c>
      <c r="T612" s="4">
        <v>28</v>
      </c>
      <c r="U612" s="5" t="s">
        <v>6186</v>
      </c>
      <c r="V612" s="5" t="s">
        <v>6172</v>
      </c>
      <c r="W612" s="5" t="s">
        <v>67</v>
      </c>
      <c r="X612" s="5" t="s">
        <v>67</v>
      </c>
      <c r="Y612" s="4">
        <v>14</v>
      </c>
      <c r="Z612" s="4">
        <v>3</v>
      </c>
      <c r="AA612" s="4">
        <v>3</v>
      </c>
      <c r="AB612" s="4">
        <v>1</v>
      </c>
      <c r="AC612" s="4">
        <v>1</v>
      </c>
      <c r="AD612" s="4">
        <v>1</v>
      </c>
      <c r="AE612" s="4">
        <v>1</v>
      </c>
      <c r="AF612" s="4">
        <v>0</v>
      </c>
      <c r="AG612" s="4">
        <v>0</v>
      </c>
      <c r="AH612" s="4">
        <v>0</v>
      </c>
      <c r="AI612" s="4">
        <v>0</v>
      </c>
      <c r="AJ612" s="4">
        <v>1</v>
      </c>
      <c r="AK612" s="4">
        <v>1</v>
      </c>
      <c r="AL612" s="4">
        <v>0</v>
      </c>
      <c r="AM612" s="4">
        <v>0</v>
      </c>
      <c r="AN612" s="4">
        <v>0</v>
      </c>
      <c r="AO612" s="4">
        <v>0</v>
      </c>
      <c r="AP612" s="4">
        <v>1</v>
      </c>
      <c r="AQ612" s="4">
        <v>1</v>
      </c>
      <c r="AR612" s="3" t="s">
        <v>62</v>
      </c>
      <c r="AS612" s="3" t="s">
        <v>62</v>
      </c>
      <c r="AT612" s="3" t="s">
        <v>62</v>
      </c>
      <c r="AV612" s="6" t="str">
        <f t="shared" si="20"/>
        <v>Catalog Record</v>
      </c>
      <c r="AW612" s="6" t="str">
        <f t="shared" si="21"/>
        <v>WorldCat Record</v>
      </c>
      <c r="AX612" s="3" t="s">
        <v>6173</v>
      </c>
      <c r="AY612" s="3" t="s">
        <v>6174</v>
      </c>
      <c r="AZ612" s="3" t="s">
        <v>6175</v>
      </c>
      <c r="BA612" s="3" t="s">
        <v>6175</v>
      </c>
      <c r="BB612" s="3" t="s">
        <v>6204</v>
      </c>
      <c r="BC612" s="3" t="s">
        <v>102</v>
      </c>
      <c r="BD612" s="3" t="s">
        <v>68</v>
      </c>
      <c r="BE612" s="3" t="s">
        <v>6177</v>
      </c>
      <c r="BF612" s="3" t="s">
        <v>6204</v>
      </c>
      <c r="BG612" s="3" t="s">
        <v>6205</v>
      </c>
    </row>
    <row r="613" spans="1:59" ht="116" x14ac:dyDescent="0.35">
      <c r="A613" s="2" t="s">
        <v>89</v>
      </c>
      <c r="B613" s="2" t="s">
        <v>3312</v>
      </c>
      <c r="C613" s="2" t="s">
        <v>6166</v>
      </c>
      <c r="D613" s="2" t="s">
        <v>6167</v>
      </c>
      <c r="E613" s="2" t="s">
        <v>6168</v>
      </c>
      <c r="F613" s="3" t="s">
        <v>6206</v>
      </c>
      <c r="G613" s="3" t="s">
        <v>61</v>
      </c>
      <c r="I613" s="3" t="s">
        <v>62</v>
      </c>
      <c r="J613" s="3" t="s">
        <v>62</v>
      </c>
      <c r="K613" s="3" t="s">
        <v>63</v>
      </c>
      <c r="M613" s="2" t="s">
        <v>6170</v>
      </c>
      <c r="N613" s="3" t="s">
        <v>553</v>
      </c>
      <c r="O613" s="2" t="s">
        <v>1674</v>
      </c>
      <c r="P613" s="3" t="s">
        <v>1675</v>
      </c>
      <c r="R613" s="3" t="s">
        <v>65</v>
      </c>
      <c r="S613" s="4">
        <v>0</v>
      </c>
      <c r="T613" s="4">
        <v>28</v>
      </c>
      <c r="V613" s="5" t="s">
        <v>6172</v>
      </c>
      <c r="W613" s="5" t="s">
        <v>67</v>
      </c>
      <c r="X613" s="5" t="s">
        <v>67</v>
      </c>
      <c r="Y613" s="4">
        <v>14</v>
      </c>
      <c r="Z613" s="4">
        <v>3</v>
      </c>
      <c r="AA613" s="4">
        <v>3</v>
      </c>
      <c r="AB613" s="4">
        <v>1</v>
      </c>
      <c r="AC613" s="4">
        <v>1</v>
      </c>
      <c r="AD613" s="4">
        <v>1</v>
      </c>
      <c r="AE613" s="4">
        <v>1</v>
      </c>
      <c r="AF613" s="4">
        <v>0</v>
      </c>
      <c r="AG613" s="4">
        <v>0</v>
      </c>
      <c r="AH613" s="4">
        <v>0</v>
      </c>
      <c r="AI613" s="4">
        <v>0</v>
      </c>
      <c r="AJ613" s="4">
        <v>1</v>
      </c>
      <c r="AK613" s="4">
        <v>1</v>
      </c>
      <c r="AL613" s="4">
        <v>0</v>
      </c>
      <c r="AM613" s="4">
        <v>0</v>
      </c>
      <c r="AN613" s="4">
        <v>0</v>
      </c>
      <c r="AO613" s="4">
        <v>0</v>
      </c>
      <c r="AP613" s="4">
        <v>1</v>
      </c>
      <c r="AQ613" s="4">
        <v>1</v>
      </c>
      <c r="AR613" s="3" t="s">
        <v>62</v>
      </c>
      <c r="AS613" s="3" t="s">
        <v>62</v>
      </c>
      <c r="AT613" s="3" t="s">
        <v>62</v>
      </c>
      <c r="AV613" s="6" t="str">
        <f t="shared" si="20"/>
        <v>Catalog Record</v>
      </c>
      <c r="AW613" s="6" t="str">
        <f t="shared" si="21"/>
        <v>WorldCat Record</v>
      </c>
      <c r="AX613" s="3" t="s">
        <v>6173</v>
      </c>
      <c r="AY613" s="3" t="s">
        <v>6174</v>
      </c>
      <c r="AZ613" s="3" t="s">
        <v>6175</v>
      </c>
      <c r="BA613" s="3" t="s">
        <v>6175</v>
      </c>
      <c r="BB613" s="3" t="s">
        <v>6207</v>
      </c>
      <c r="BC613" s="3" t="s">
        <v>102</v>
      </c>
      <c r="BD613" s="3" t="s">
        <v>68</v>
      </c>
      <c r="BE613" s="3" t="s">
        <v>6177</v>
      </c>
      <c r="BF613" s="3" t="s">
        <v>6207</v>
      </c>
      <c r="BG613" s="3" t="s">
        <v>6208</v>
      </c>
    </row>
    <row r="614" spans="1:59" ht="58" x14ac:dyDescent="0.35">
      <c r="A614" s="2" t="s">
        <v>89</v>
      </c>
      <c r="B614" s="2" t="s">
        <v>90</v>
      </c>
      <c r="C614" s="2" t="s">
        <v>6209</v>
      </c>
      <c r="D614" s="2" t="s">
        <v>6210</v>
      </c>
      <c r="E614" s="2" t="s">
        <v>6211</v>
      </c>
      <c r="G614" s="3" t="s">
        <v>62</v>
      </c>
      <c r="I614" s="3" t="s">
        <v>62</v>
      </c>
      <c r="J614" s="3" t="s">
        <v>62</v>
      </c>
      <c r="K614" s="3" t="s">
        <v>63</v>
      </c>
      <c r="L614" s="2" t="s">
        <v>6212</v>
      </c>
      <c r="M614" s="2" t="s">
        <v>6213</v>
      </c>
      <c r="N614" s="3" t="s">
        <v>954</v>
      </c>
      <c r="P614" s="3" t="s">
        <v>64</v>
      </c>
      <c r="R614" s="3" t="s">
        <v>65</v>
      </c>
      <c r="S614" s="4">
        <v>7</v>
      </c>
      <c r="T614" s="4">
        <v>7</v>
      </c>
      <c r="U614" s="5" t="s">
        <v>6214</v>
      </c>
      <c r="V614" s="5" t="s">
        <v>6214</v>
      </c>
      <c r="W614" s="5" t="s">
        <v>67</v>
      </c>
      <c r="X614" s="5" t="s">
        <v>67</v>
      </c>
      <c r="Y614" s="4">
        <v>70</v>
      </c>
      <c r="Z614" s="4">
        <v>2</v>
      </c>
      <c r="AA614" s="4">
        <v>32</v>
      </c>
      <c r="AB614" s="4">
        <v>1</v>
      </c>
      <c r="AC614" s="4">
        <v>3</v>
      </c>
      <c r="AD614" s="4">
        <v>17</v>
      </c>
      <c r="AE614" s="4">
        <v>99</v>
      </c>
      <c r="AF614" s="4">
        <v>0</v>
      </c>
      <c r="AG614" s="4">
        <v>1</v>
      </c>
      <c r="AH614" s="4">
        <v>16</v>
      </c>
      <c r="AI614" s="4">
        <v>85</v>
      </c>
      <c r="AJ614" s="4">
        <v>1</v>
      </c>
      <c r="AK614" s="4">
        <v>14</v>
      </c>
      <c r="AL614" s="4">
        <v>8</v>
      </c>
      <c r="AM614" s="4">
        <v>47</v>
      </c>
      <c r="AN614" s="4">
        <v>0</v>
      </c>
      <c r="AO614" s="4">
        <v>0</v>
      </c>
      <c r="AP614" s="4">
        <v>1</v>
      </c>
      <c r="AQ614" s="4">
        <v>19</v>
      </c>
      <c r="AR614" s="3" t="s">
        <v>62</v>
      </c>
      <c r="AS614" s="3" t="s">
        <v>62</v>
      </c>
      <c r="AT614" s="3" t="s">
        <v>62</v>
      </c>
      <c r="AV614" s="6" t="str">
        <f>HYPERLINK("http://mcgill.on.worldcat.org/oclc/425591","Catalog Record")</f>
        <v>Catalog Record</v>
      </c>
      <c r="AW614" s="6" t="str">
        <f>HYPERLINK("http://www.worldcat.org/oclc/425591","WorldCat Record")</f>
        <v>WorldCat Record</v>
      </c>
      <c r="AX614" s="3" t="s">
        <v>6215</v>
      </c>
      <c r="AY614" s="3" t="s">
        <v>6216</v>
      </c>
      <c r="AZ614" s="3" t="s">
        <v>6217</v>
      </c>
      <c r="BA614" s="3" t="s">
        <v>6217</v>
      </c>
      <c r="BB614" s="3" t="s">
        <v>6218</v>
      </c>
      <c r="BC614" s="3" t="s">
        <v>102</v>
      </c>
      <c r="BD614" s="3" t="s">
        <v>231</v>
      </c>
      <c r="BF614" s="3" t="s">
        <v>6218</v>
      </c>
      <c r="BG614" s="3" t="s">
        <v>6219</v>
      </c>
    </row>
    <row r="615" spans="1:59" ht="58" x14ac:dyDescent="0.35">
      <c r="A615" s="2" t="s">
        <v>89</v>
      </c>
      <c r="B615" s="2" t="s">
        <v>90</v>
      </c>
      <c r="C615" s="2" t="s">
        <v>6220</v>
      </c>
      <c r="D615" s="2" t="s">
        <v>6221</v>
      </c>
      <c r="E615" s="2" t="s">
        <v>6222</v>
      </c>
      <c r="G615" s="3" t="s">
        <v>62</v>
      </c>
      <c r="I615" s="3" t="s">
        <v>61</v>
      </c>
      <c r="J615" s="3" t="s">
        <v>62</v>
      </c>
      <c r="K615" s="3" t="s">
        <v>63</v>
      </c>
      <c r="L615" s="2" t="s">
        <v>6223</v>
      </c>
      <c r="M615" s="2" t="s">
        <v>6224</v>
      </c>
      <c r="N615" s="3" t="s">
        <v>954</v>
      </c>
      <c r="P615" s="3" t="s">
        <v>64</v>
      </c>
      <c r="R615" s="3" t="s">
        <v>65</v>
      </c>
      <c r="S615" s="4">
        <v>7</v>
      </c>
      <c r="T615" s="4">
        <v>13</v>
      </c>
      <c r="U615" s="5" t="s">
        <v>6225</v>
      </c>
      <c r="V615" s="5" t="s">
        <v>6226</v>
      </c>
      <c r="W615" s="5" t="s">
        <v>67</v>
      </c>
      <c r="X615" s="5" t="s">
        <v>67</v>
      </c>
      <c r="Y615" s="4">
        <v>726</v>
      </c>
      <c r="Z615" s="4">
        <v>39</v>
      </c>
      <c r="AA615" s="4">
        <v>41</v>
      </c>
      <c r="AB615" s="4">
        <v>3</v>
      </c>
      <c r="AC615" s="4">
        <v>3</v>
      </c>
      <c r="AD615" s="4">
        <v>124</v>
      </c>
      <c r="AE615" s="4">
        <v>126</v>
      </c>
      <c r="AF615" s="4">
        <v>1</v>
      </c>
      <c r="AG615" s="4">
        <v>1</v>
      </c>
      <c r="AH615" s="4">
        <v>99</v>
      </c>
      <c r="AI615" s="4">
        <v>100</v>
      </c>
      <c r="AJ615" s="4">
        <v>23</v>
      </c>
      <c r="AK615" s="4">
        <v>23</v>
      </c>
      <c r="AL615" s="4">
        <v>55</v>
      </c>
      <c r="AM615" s="4">
        <v>56</v>
      </c>
      <c r="AN615" s="4">
        <v>0</v>
      </c>
      <c r="AO615" s="4">
        <v>0</v>
      </c>
      <c r="AP615" s="4">
        <v>29</v>
      </c>
      <c r="AQ615" s="4">
        <v>30</v>
      </c>
      <c r="AR615" s="3" t="s">
        <v>62</v>
      </c>
      <c r="AS615" s="3" t="s">
        <v>62</v>
      </c>
      <c r="AT615" s="3" t="s">
        <v>61</v>
      </c>
      <c r="AU615" s="6" t="str">
        <f>HYPERLINK("http://catalog.hathitrust.org/Record/000007001","HathiTrust Record")</f>
        <v>HathiTrust Record</v>
      </c>
      <c r="AV615" s="6" t="str">
        <f>HYPERLINK("http://mcgill.on.worldcat.org/oclc/520108","Catalog Record")</f>
        <v>Catalog Record</v>
      </c>
      <c r="AW615" s="6" t="str">
        <f>HYPERLINK("http://www.worldcat.org/oclc/520108","WorldCat Record")</f>
        <v>WorldCat Record</v>
      </c>
      <c r="AX615" s="3" t="s">
        <v>6227</v>
      </c>
      <c r="AY615" s="3" t="s">
        <v>6228</v>
      </c>
      <c r="AZ615" s="3" t="s">
        <v>6229</v>
      </c>
      <c r="BA615" s="3" t="s">
        <v>6229</v>
      </c>
      <c r="BB615" s="3" t="s">
        <v>6230</v>
      </c>
      <c r="BC615" s="3" t="s">
        <v>102</v>
      </c>
      <c r="BD615" s="3" t="s">
        <v>68</v>
      </c>
      <c r="BF615" s="3" t="s">
        <v>6230</v>
      </c>
      <c r="BG615" s="3" t="s">
        <v>6231</v>
      </c>
    </row>
    <row r="616" spans="1:59" ht="58" x14ac:dyDescent="0.35">
      <c r="A616" s="2" t="s">
        <v>89</v>
      </c>
      <c r="B616" s="2" t="s">
        <v>90</v>
      </c>
      <c r="C616" s="2" t="s">
        <v>6232</v>
      </c>
      <c r="D616" s="2" t="s">
        <v>6233</v>
      </c>
      <c r="E616" s="2" t="s">
        <v>6234</v>
      </c>
      <c r="G616" s="3" t="s">
        <v>62</v>
      </c>
      <c r="I616" s="3" t="s">
        <v>61</v>
      </c>
      <c r="J616" s="3" t="s">
        <v>62</v>
      </c>
      <c r="K616" s="3" t="s">
        <v>63</v>
      </c>
      <c r="L616" s="2" t="s">
        <v>6235</v>
      </c>
      <c r="M616" s="2" t="s">
        <v>6236</v>
      </c>
      <c r="N616" s="3" t="s">
        <v>2702</v>
      </c>
      <c r="P616" s="3" t="s">
        <v>64</v>
      </c>
      <c r="Q616" s="2" t="s">
        <v>6237</v>
      </c>
      <c r="R616" s="3" t="s">
        <v>65</v>
      </c>
      <c r="S616" s="4">
        <v>2</v>
      </c>
      <c r="T616" s="4">
        <v>8</v>
      </c>
      <c r="U616" s="5" t="s">
        <v>6238</v>
      </c>
      <c r="V616" s="5" t="s">
        <v>1325</v>
      </c>
      <c r="W616" s="5" t="s">
        <v>67</v>
      </c>
      <c r="X616" s="5" t="s">
        <v>67</v>
      </c>
      <c r="Y616" s="4">
        <v>618</v>
      </c>
      <c r="Z616" s="4">
        <v>41</v>
      </c>
      <c r="AA616" s="4">
        <v>65</v>
      </c>
      <c r="AB616" s="4">
        <v>4</v>
      </c>
      <c r="AC616" s="4">
        <v>9</v>
      </c>
      <c r="AD616" s="4">
        <v>117</v>
      </c>
      <c r="AE616" s="4">
        <v>139</v>
      </c>
      <c r="AF616" s="4">
        <v>2</v>
      </c>
      <c r="AG616" s="4">
        <v>5</v>
      </c>
      <c r="AH616" s="4">
        <v>93</v>
      </c>
      <c r="AI616" s="4">
        <v>104</v>
      </c>
      <c r="AJ616" s="4">
        <v>21</v>
      </c>
      <c r="AK616" s="4">
        <v>25</v>
      </c>
      <c r="AL616" s="4">
        <v>52</v>
      </c>
      <c r="AM616" s="4">
        <v>57</v>
      </c>
      <c r="AN616" s="4">
        <v>0</v>
      </c>
      <c r="AO616" s="4">
        <v>0</v>
      </c>
      <c r="AP616" s="4">
        <v>31</v>
      </c>
      <c r="AQ616" s="4">
        <v>42</v>
      </c>
      <c r="AR616" s="3" t="s">
        <v>62</v>
      </c>
      <c r="AS616" s="3" t="s">
        <v>62</v>
      </c>
      <c r="AT616" s="3" t="s">
        <v>61</v>
      </c>
      <c r="AU616" s="6" t="str">
        <f>HYPERLINK("http://catalog.hathitrust.org/Record/001474205","HathiTrust Record")</f>
        <v>HathiTrust Record</v>
      </c>
      <c r="AV616" s="6" t="str">
        <f>HYPERLINK("http://mcgill.on.worldcat.org/oclc/339544","Catalog Record")</f>
        <v>Catalog Record</v>
      </c>
      <c r="AW616" s="6" t="str">
        <f>HYPERLINK("http://www.worldcat.org/oclc/339544","WorldCat Record")</f>
        <v>WorldCat Record</v>
      </c>
      <c r="AX616" s="3" t="s">
        <v>6239</v>
      </c>
      <c r="AY616" s="3" t="s">
        <v>6240</v>
      </c>
      <c r="AZ616" s="3" t="s">
        <v>6241</v>
      </c>
      <c r="BA616" s="3" t="s">
        <v>6241</v>
      </c>
      <c r="BB616" s="3" t="s">
        <v>6242</v>
      </c>
      <c r="BC616" s="3" t="s">
        <v>102</v>
      </c>
      <c r="BD616" s="3" t="s">
        <v>68</v>
      </c>
      <c r="BF616" s="3" t="s">
        <v>6242</v>
      </c>
      <c r="BG616" s="3" t="s">
        <v>6243</v>
      </c>
    </row>
    <row r="617" spans="1:59" ht="58" x14ac:dyDescent="0.35">
      <c r="A617" s="2" t="s">
        <v>89</v>
      </c>
      <c r="B617" s="2" t="s">
        <v>90</v>
      </c>
      <c r="C617" s="2" t="s">
        <v>6244</v>
      </c>
      <c r="D617" s="2" t="s">
        <v>6245</v>
      </c>
      <c r="E617" s="2" t="s">
        <v>6246</v>
      </c>
      <c r="G617" s="3" t="s">
        <v>62</v>
      </c>
      <c r="I617" s="3" t="s">
        <v>62</v>
      </c>
      <c r="J617" s="3" t="s">
        <v>62</v>
      </c>
      <c r="K617" s="3" t="s">
        <v>63</v>
      </c>
      <c r="L617" s="2" t="s">
        <v>6247</v>
      </c>
      <c r="M617" s="2" t="s">
        <v>6248</v>
      </c>
      <c r="N617" s="3" t="s">
        <v>6048</v>
      </c>
      <c r="P617" s="3" t="s">
        <v>64</v>
      </c>
      <c r="R617" s="3" t="s">
        <v>65</v>
      </c>
      <c r="S617" s="4">
        <v>2</v>
      </c>
      <c r="T617" s="4">
        <v>2</v>
      </c>
      <c r="U617" s="5" t="s">
        <v>2613</v>
      </c>
      <c r="V617" s="5" t="s">
        <v>2613</v>
      </c>
      <c r="W617" s="5" t="s">
        <v>67</v>
      </c>
      <c r="X617" s="5" t="s">
        <v>67</v>
      </c>
      <c r="Y617" s="4">
        <v>14</v>
      </c>
      <c r="Z617" s="4">
        <v>10</v>
      </c>
      <c r="AA617" s="4">
        <v>11</v>
      </c>
      <c r="AB617" s="4">
        <v>1</v>
      </c>
      <c r="AC617" s="4">
        <v>2</v>
      </c>
      <c r="AD617" s="4">
        <v>9</v>
      </c>
      <c r="AE617" s="4">
        <v>10</v>
      </c>
      <c r="AF617" s="4">
        <v>0</v>
      </c>
      <c r="AG617" s="4">
        <v>1</v>
      </c>
      <c r="AH617" s="4">
        <v>5</v>
      </c>
      <c r="AI617" s="4">
        <v>6</v>
      </c>
      <c r="AJ617" s="4">
        <v>6</v>
      </c>
      <c r="AK617" s="4">
        <v>7</v>
      </c>
      <c r="AL617" s="4">
        <v>1</v>
      </c>
      <c r="AM617" s="4">
        <v>1</v>
      </c>
      <c r="AN617" s="4">
        <v>0</v>
      </c>
      <c r="AO617" s="4">
        <v>0</v>
      </c>
      <c r="AP617" s="4">
        <v>6</v>
      </c>
      <c r="AQ617" s="4">
        <v>7</v>
      </c>
      <c r="AR617" s="3" t="s">
        <v>61</v>
      </c>
      <c r="AS617" s="3" t="s">
        <v>62</v>
      </c>
      <c r="AT617" s="3" t="s">
        <v>62</v>
      </c>
      <c r="AV617" s="6" t="str">
        <f>HYPERLINK("http://mcgill.on.worldcat.org/oclc/61596929","Catalog Record")</f>
        <v>Catalog Record</v>
      </c>
      <c r="AW617" s="6" t="str">
        <f>HYPERLINK("http://www.worldcat.org/oclc/61596929","WorldCat Record")</f>
        <v>WorldCat Record</v>
      </c>
      <c r="AX617" s="3" t="s">
        <v>6249</v>
      </c>
      <c r="AY617" s="3" t="s">
        <v>6250</v>
      </c>
      <c r="AZ617" s="3" t="s">
        <v>6251</v>
      </c>
      <c r="BA617" s="3" t="s">
        <v>6251</v>
      </c>
      <c r="BB617" s="3" t="s">
        <v>6252</v>
      </c>
      <c r="BC617" s="3" t="s">
        <v>102</v>
      </c>
      <c r="BD617" s="3" t="s">
        <v>231</v>
      </c>
      <c r="BF617" s="3" t="s">
        <v>6252</v>
      </c>
      <c r="BG617" s="3" t="s">
        <v>6253</v>
      </c>
    </row>
    <row r="618" spans="1:59" ht="58" x14ac:dyDescent="0.35">
      <c r="A618" s="2" t="s">
        <v>89</v>
      </c>
      <c r="B618" s="2" t="s">
        <v>90</v>
      </c>
      <c r="C618" s="2" t="s">
        <v>6254</v>
      </c>
      <c r="D618" s="2" t="s">
        <v>6255</v>
      </c>
      <c r="E618" s="2" t="s">
        <v>6256</v>
      </c>
      <c r="G618" s="3" t="s">
        <v>62</v>
      </c>
      <c r="I618" s="3" t="s">
        <v>62</v>
      </c>
      <c r="J618" s="3" t="s">
        <v>62</v>
      </c>
      <c r="K618" s="3" t="s">
        <v>63</v>
      </c>
      <c r="L618" s="2" t="s">
        <v>6257</v>
      </c>
      <c r="M618" s="2" t="s">
        <v>6258</v>
      </c>
      <c r="N618" s="3" t="s">
        <v>6259</v>
      </c>
      <c r="P618" s="3" t="s">
        <v>64</v>
      </c>
      <c r="R618" s="3" t="s">
        <v>65</v>
      </c>
      <c r="S618" s="4">
        <v>2</v>
      </c>
      <c r="T618" s="4">
        <v>2</v>
      </c>
      <c r="U618" s="5" t="s">
        <v>5636</v>
      </c>
      <c r="V618" s="5" t="s">
        <v>5636</v>
      </c>
      <c r="W618" s="5" t="s">
        <v>67</v>
      </c>
      <c r="X618" s="5" t="s">
        <v>67</v>
      </c>
      <c r="Y618" s="4">
        <v>78</v>
      </c>
      <c r="Z618" s="4">
        <v>6</v>
      </c>
      <c r="AA618" s="4">
        <v>6</v>
      </c>
      <c r="AB618" s="4">
        <v>1</v>
      </c>
      <c r="AC618" s="4">
        <v>1</v>
      </c>
      <c r="AD618" s="4">
        <v>26</v>
      </c>
      <c r="AE618" s="4">
        <v>29</v>
      </c>
      <c r="AF618" s="4">
        <v>0</v>
      </c>
      <c r="AG618" s="4">
        <v>0</v>
      </c>
      <c r="AH618" s="4">
        <v>23</v>
      </c>
      <c r="AI618" s="4">
        <v>25</v>
      </c>
      <c r="AJ618" s="4">
        <v>5</v>
      </c>
      <c r="AK618" s="4">
        <v>5</v>
      </c>
      <c r="AL618" s="4">
        <v>14</v>
      </c>
      <c r="AM618" s="4">
        <v>17</v>
      </c>
      <c r="AN618" s="4">
        <v>0</v>
      </c>
      <c r="AO618" s="4">
        <v>0</v>
      </c>
      <c r="AP618" s="4">
        <v>4</v>
      </c>
      <c r="AQ618" s="4">
        <v>4</v>
      </c>
      <c r="AR618" s="3" t="s">
        <v>62</v>
      </c>
      <c r="AS618" s="3" t="s">
        <v>62</v>
      </c>
      <c r="AT618" s="3" t="s">
        <v>61</v>
      </c>
      <c r="AU618" s="6" t="str">
        <f>HYPERLINK("http://catalog.hathitrust.org/Record/001474245","HathiTrust Record")</f>
        <v>HathiTrust Record</v>
      </c>
      <c r="AV618" s="6" t="str">
        <f>HYPERLINK("http://mcgill.on.worldcat.org/oclc/1599201","Catalog Record")</f>
        <v>Catalog Record</v>
      </c>
      <c r="AW618" s="6" t="str">
        <f>HYPERLINK("http://www.worldcat.org/oclc/1599201","WorldCat Record")</f>
        <v>WorldCat Record</v>
      </c>
      <c r="AX618" s="3" t="s">
        <v>6260</v>
      </c>
      <c r="AY618" s="3" t="s">
        <v>6261</v>
      </c>
      <c r="AZ618" s="3" t="s">
        <v>6262</v>
      </c>
      <c r="BA618" s="3" t="s">
        <v>6262</v>
      </c>
      <c r="BB618" s="3" t="s">
        <v>6263</v>
      </c>
      <c r="BC618" s="3" t="s">
        <v>102</v>
      </c>
      <c r="BD618" s="3" t="s">
        <v>68</v>
      </c>
      <c r="BF618" s="3" t="s">
        <v>6263</v>
      </c>
      <c r="BG618" s="3" t="s">
        <v>6264</v>
      </c>
    </row>
    <row r="619" spans="1:59" ht="58" x14ac:dyDescent="0.35">
      <c r="A619" s="2" t="s">
        <v>89</v>
      </c>
      <c r="B619" s="2" t="s">
        <v>90</v>
      </c>
      <c r="C619" s="2" t="s">
        <v>6265</v>
      </c>
      <c r="D619" s="2" t="s">
        <v>6266</v>
      </c>
      <c r="E619" s="2" t="s">
        <v>6267</v>
      </c>
      <c r="G619" s="3" t="s">
        <v>62</v>
      </c>
      <c r="I619" s="3" t="s">
        <v>62</v>
      </c>
      <c r="J619" s="3" t="s">
        <v>62</v>
      </c>
      <c r="K619" s="3" t="s">
        <v>63</v>
      </c>
      <c r="L619" s="2" t="s">
        <v>6257</v>
      </c>
      <c r="M619" s="2" t="s">
        <v>6268</v>
      </c>
      <c r="N619" s="3" t="s">
        <v>6259</v>
      </c>
      <c r="P619" s="3" t="s">
        <v>64</v>
      </c>
      <c r="R619" s="3" t="s">
        <v>65</v>
      </c>
      <c r="S619" s="4">
        <v>3</v>
      </c>
      <c r="T619" s="4">
        <v>3</v>
      </c>
      <c r="U619" s="5" t="s">
        <v>2589</v>
      </c>
      <c r="V619" s="5" t="s">
        <v>2589</v>
      </c>
      <c r="W619" s="5" t="s">
        <v>67</v>
      </c>
      <c r="X619" s="5" t="s">
        <v>67</v>
      </c>
      <c r="Y619" s="4">
        <v>221</v>
      </c>
      <c r="Z619" s="4">
        <v>10</v>
      </c>
      <c r="AA619" s="4">
        <v>14</v>
      </c>
      <c r="AB619" s="4">
        <v>2</v>
      </c>
      <c r="AC619" s="4">
        <v>3</v>
      </c>
      <c r="AD619" s="4">
        <v>72</v>
      </c>
      <c r="AE619" s="4">
        <v>80</v>
      </c>
      <c r="AF619" s="4">
        <v>1</v>
      </c>
      <c r="AG619" s="4">
        <v>2</v>
      </c>
      <c r="AH619" s="4">
        <v>65</v>
      </c>
      <c r="AI619" s="4">
        <v>72</v>
      </c>
      <c r="AJ619" s="4">
        <v>5</v>
      </c>
      <c r="AK619" s="4">
        <v>7</v>
      </c>
      <c r="AL619" s="4">
        <v>40</v>
      </c>
      <c r="AM619" s="4">
        <v>45</v>
      </c>
      <c r="AN619" s="4">
        <v>0</v>
      </c>
      <c r="AO619" s="4">
        <v>0</v>
      </c>
      <c r="AP619" s="4">
        <v>7</v>
      </c>
      <c r="AQ619" s="4">
        <v>8</v>
      </c>
      <c r="AR619" s="3" t="s">
        <v>62</v>
      </c>
      <c r="AS619" s="3" t="s">
        <v>62</v>
      </c>
      <c r="AT619" s="3" t="s">
        <v>61</v>
      </c>
      <c r="AU619" s="6" t="str">
        <f>HYPERLINK("http://catalog.hathitrust.org/Record/001483621","HathiTrust Record")</f>
        <v>HathiTrust Record</v>
      </c>
      <c r="AV619" s="6" t="str">
        <f>HYPERLINK("http://mcgill.on.worldcat.org/oclc/1354219","Catalog Record")</f>
        <v>Catalog Record</v>
      </c>
      <c r="AW619" s="6" t="str">
        <f>HYPERLINK("http://www.worldcat.org/oclc/1354219","WorldCat Record")</f>
        <v>WorldCat Record</v>
      </c>
      <c r="AX619" s="3" t="s">
        <v>6269</v>
      </c>
      <c r="AY619" s="3" t="s">
        <v>6270</v>
      </c>
      <c r="AZ619" s="3" t="s">
        <v>6271</v>
      </c>
      <c r="BA619" s="3" t="s">
        <v>6271</v>
      </c>
      <c r="BB619" s="3" t="s">
        <v>6272</v>
      </c>
      <c r="BC619" s="3" t="s">
        <v>102</v>
      </c>
      <c r="BD619" s="3" t="s">
        <v>68</v>
      </c>
      <c r="BF619" s="3" t="s">
        <v>6272</v>
      </c>
      <c r="BG619" s="3" t="s">
        <v>6273</v>
      </c>
    </row>
    <row r="620" spans="1:59" ht="58" x14ac:dyDescent="0.35">
      <c r="A620" s="2" t="s">
        <v>89</v>
      </c>
      <c r="B620" s="2" t="s">
        <v>90</v>
      </c>
      <c r="C620" s="2" t="s">
        <v>6274</v>
      </c>
      <c r="D620" s="2" t="s">
        <v>6275</v>
      </c>
      <c r="E620" s="2" t="s">
        <v>6276</v>
      </c>
      <c r="G620" s="3" t="s">
        <v>62</v>
      </c>
      <c r="I620" s="3" t="s">
        <v>62</v>
      </c>
      <c r="J620" s="3" t="s">
        <v>62</v>
      </c>
      <c r="K620" s="3" t="s">
        <v>63</v>
      </c>
      <c r="L620" s="2" t="s">
        <v>6277</v>
      </c>
      <c r="M620" s="2" t="s">
        <v>6278</v>
      </c>
      <c r="N620" s="3" t="s">
        <v>712</v>
      </c>
      <c r="P620" s="3" t="s">
        <v>64</v>
      </c>
      <c r="R620" s="3" t="s">
        <v>65</v>
      </c>
      <c r="S620" s="4">
        <v>2</v>
      </c>
      <c r="T620" s="4">
        <v>2</v>
      </c>
      <c r="U620" s="5" t="s">
        <v>6279</v>
      </c>
      <c r="V620" s="5" t="s">
        <v>6279</v>
      </c>
      <c r="W620" s="5" t="s">
        <v>67</v>
      </c>
      <c r="X620" s="5" t="s">
        <v>67</v>
      </c>
      <c r="Y620" s="4">
        <v>149</v>
      </c>
      <c r="Z620" s="4">
        <v>9</v>
      </c>
      <c r="AA620" s="4">
        <v>51</v>
      </c>
      <c r="AB620" s="4">
        <v>2</v>
      </c>
      <c r="AC620" s="4">
        <v>5</v>
      </c>
      <c r="AD620" s="4">
        <v>38</v>
      </c>
      <c r="AE620" s="4">
        <v>81</v>
      </c>
      <c r="AF620" s="4">
        <v>1</v>
      </c>
      <c r="AG620" s="4">
        <v>2</v>
      </c>
      <c r="AH620" s="4">
        <v>33</v>
      </c>
      <c r="AI620" s="4">
        <v>62</v>
      </c>
      <c r="AJ620" s="4">
        <v>3</v>
      </c>
      <c r="AK620" s="4">
        <v>14</v>
      </c>
      <c r="AL620" s="4">
        <v>26</v>
      </c>
      <c r="AM620" s="4">
        <v>41</v>
      </c>
      <c r="AN620" s="4">
        <v>0</v>
      </c>
      <c r="AO620" s="4">
        <v>0</v>
      </c>
      <c r="AP620" s="4">
        <v>4</v>
      </c>
      <c r="AQ620" s="4">
        <v>21</v>
      </c>
      <c r="AR620" s="3" t="s">
        <v>62</v>
      </c>
      <c r="AS620" s="3" t="s">
        <v>62</v>
      </c>
      <c r="AT620" s="3" t="s">
        <v>62</v>
      </c>
      <c r="AV620" s="6" t="str">
        <f>HYPERLINK("http://mcgill.on.worldcat.org/oclc/859583964","Catalog Record")</f>
        <v>Catalog Record</v>
      </c>
      <c r="AW620" s="6" t="str">
        <f>HYPERLINK("http://www.worldcat.org/oclc/859583964","WorldCat Record")</f>
        <v>WorldCat Record</v>
      </c>
      <c r="AX620" s="3" t="s">
        <v>6280</v>
      </c>
      <c r="AY620" s="3" t="s">
        <v>6281</v>
      </c>
      <c r="AZ620" s="3" t="s">
        <v>6282</v>
      </c>
      <c r="BA620" s="3" t="s">
        <v>6282</v>
      </c>
      <c r="BB620" s="3" t="s">
        <v>6283</v>
      </c>
      <c r="BC620" s="3" t="s">
        <v>102</v>
      </c>
      <c r="BD620" s="3" t="s">
        <v>68</v>
      </c>
      <c r="BE620" s="3" t="s">
        <v>6284</v>
      </c>
      <c r="BF620" s="3" t="s">
        <v>6283</v>
      </c>
      <c r="BG620" s="3" t="s">
        <v>6285</v>
      </c>
    </row>
    <row r="621" spans="1:59" ht="58" x14ac:dyDescent="0.35">
      <c r="A621" s="2" t="s">
        <v>89</v>
      </c>
      <c r="B621" s="2" t="s">
        <v>90</v>
      </c>
      <c r="C621" s="2" t="s">
        <v>6286</v>
      </c>
      <c r="D621" s="2" t="s">
        <v>6287</v>
      </c>
      <c r="E621" s="2" t="s">
        <v>6288</v>
      </c>
      <c r="F621" s="3" t="s">
        <v>1422</v>
      </c>
      <c r="G621" s="3" t="s">
        <v>61</v>
      </c>
      <c r="I621" s="3" t="s">
        <v>62</v>
      </c>
      <c r="J621" s="3" t="s">
        <v>62</v>
      </c>
      <c r="K621" s="3" t="s">
        <v>63</v>
      </c>
      <c r="L621" s="2" t="s">
        <v>6289</v>
      </c>
      <c r="M621" s="2" t="s">
        <v>6290</v>
      </c>
      <c r="N621" s="3" t="s">
        <v>6291</v>
      </c>
      <c r="P621" s="3" t="s">
        <v>64</v>
      </c>
      <c r="R621" s="3" t="s">
        <v>65</v>
      </c>
      <c r="S621" s="4">
        <v>0</v>
      </c>
      <c r="T621" s="4">
        <v>3</v>
      </c>
      <c r="V621" s="5" t="s">
        <v>2613</v>
      </c>
      <c r="W621" s="5" t="s">
        <v>67</v>
      </c>
      <c r="X621" s="5" t="s">
        <v>67</v>
      </c>
      <c r="Y621" s="4">
        <v>1</v>
      </c>
      <c r="Z621" s="4">
        <v>1</v>
      </c>
      <c r="AA621" s="4">
        <v>38</v>
      </c>
      <c r="AB621" s="4">
        <v>1</v>
      </c>
      <c r="AC621" s="4">
        <v>1</v>
      </c>
      <c r="AD621" s="4">
        <v>0</v>
      </c>
      <c r="AE621" s="4">
        <v>107</v>
      </c>
      <c r="AF621" s="4">
        <v>0</v>
      </c>
      <c r="AG621" s="4">
        <v>0</v>
      </c>
      <c r="AH621" s="4">
        <v>0</v>
      </c>
      <c r="AI621" s="4">
        <v>88</v>
      </c>
      <c r="AJ621" s="4">
        <v>0</v>
      </c>
      <c r="AK621" s="4">
        <v>15</v>
      </c>
      <c r="AL621" s="4">
        <v>0</v>
      </c>
      <c r="AM621" s="4">
        <v>49</v>
      </c>
      <c r="AN621" s="4">
        <v>0</v>
      </c>
      <c r="AO621" s="4">
        <v>0</v>
      </c>
      <c r="AP621" s="4">
        <v>0</v>
      </c>
      <c r="AQ621" s="4">
        <v>25</v>
      </c>
      <c r="AR621" s="3" t="s">
        <v>62</v>
      </c>
      <c r="AS621" s="3" t="s">
        <v>62</v>
      </c>
      <c r="AT621" s="3" t="s">
        <v>62</v>
      </c>
      <c r="AV621" s="6" t="str">
        <f t="shared" ref="AV621:AV629" si="22">HYPERLINK("http://mcgill.on.worldcat.org/oclc/427561595","Catalog Record")</f>
        <v>Catalog Record</v>
      </c>
      <c r="AW621" s="6" t="str">
        <f t="shared" ref="AW621:AW629" si="23">HYPERLINK("http://www.worldcat.org/oclc/427561595","WorldCat Record")</f>
        <v>WorldCat Record</v>
      </c>
      <c r="AX621" s="3" t="s">
        <v>6292</v>
      </c>
      <c r="AY621" s="3" t="s">
        <v>6293</v>
      </c>
      <c r="AZ621" s="3" t="s">
        <v>6294</v>
      </c>
      <c r="BA621" s="3" t="s">
        <v>6294</v>
      </c>
      <c r="BB621" s="3" t="s">
        <v>6295</v>
      </c>
      <c r="BC621" s="3" t="s">
        <v>102</v>
      </c>
      <c r="BD621" s="3" t="s">
        <v>68</v>
      </c>
      <c r="BF621" s="3" t="s">
        <v>6295</v>
      </c>
      <c r="BG621" s="3" t="s">
        <v>6296</v>
      </c>
    </row>
    <row r="622" spans="1:59" ht="58" x14ac:dyDescent="0.35">
      <c r="A622" s="2" t="s">
        <v>89</v>
      </c>
      <c r="B622" s="2" t="s">
        <v>90</v>
      </c>
      <c r="C622" s="2" t="s">
        <v>6286</v>
      </c>
      <c r="D622" s="2" t="s">
        <v>6287</v>
      </c>
      <c r="E622" s="2" t="s">
        <v>6288</v>
      </c>
      <c r="F622" s="3" t="s">
        <v>6297</v>
      </c>
      <c r="G622" s="3" t="s">
        <v>61</v>
      </c>
      <c r="I622" s="3" t="s">
        <v>62</v>
      </c>
      <c r="J622" s="3" t="s">
        <v>62</v>
      </c>
      <c r="K622" s="3" t="s">
        <v>63</v>
      </c>
      <c r="L622" s="2" t="s">
        <v>6289</v>
      </c>
      <c r="M622" s="2" t="s">
        <v>6290</v>
      </c>
      <c r="N622" s="3" t="s">
        <v>6291</v>
      </c>
      <c r="P622" s="3" t="s">
        <v>64</v>
      </c>
      <c r="R622" s="3" t="s">
        <v>65</v>
      </c>
      <c r="S622" s="4">
        <v>0</v>
      </c>
      <c r="T622" s="4">
        <v>3</v>
      </c>
      <c r="V622" s="5" t="s">
        <v>2613</v>
      </c>
      <c r="W622" s="5" t="s">
        <v>67</v>
      </c>
      <c r="X622" s="5" t="s">
        <v>67</v>
      </c>
      <c r="Y622" s="4">
        <v>1</v>
      </c>
      <c r="Z622" s="4">
        <v>1</v>
      </c>
      <c r="AA622" s="4">
        <v>38</v>
      </c>
      <c r="AB622" s="4">
        <v>1</v>
      </c>
      <c r="AC622" s="4">
        <v>1</v>
      </c>
      <c r="AD622" s="4">
        <v>0</v>
      </c>
      <c r="AE622" s="4">
        <v>107</v>
      </c>
      <c r="AF622" s="4">
        <v>0</v>
      </c>
      <c r="AG622" s="4">
        <v>0</v>
      </c>
      <c r="AH622" s="4">
        <v>0</v>
      </c>
      <c r="AI622" s="4">
        <v>88</v>
      </c>
      <c r="AJ622" s="4">
        <v>0</v>
      </c>
      <c r="AK622" s="4">
        <v>15</v>
      </c>
      <c r="AL622" s="4">
        <v>0</v>
      </c>
      <c r="AM622" s="4">
        <v>49</v>
      </c>
      <c r="AN622" s="4">
        <v>0</v>
      </c>
      <c r="AO622" s="4">
        <v>0</v>
      </c>
      <c r="AP622" s="4">
        <v>0</v>
      </c>
      <c r="AQ622" s="4">
        <v>25</v>
      </c>
      <c r="AR622" s="3" t="s">
        <v>62</v>
      </c>
      <c r="AS622" s="3" t="s">
        <v>62</v>
      </c>
      <c r="AT622" s="3" t="s">
        <v>62</v>
      </c>
      <c r="AV622" s="6" t="str">
        <f t="shared" si="22"/>
        <v>Catalog Record</v>
      </c>
      <c r="AW622" s="6" t="str">
        <f t="shared" si="23"/>
        <v>WorldCat Record</v>
      </c>
      <c r="AX622" s="3" t="s">
        <v>6292</v>
      </c>
      <c r="AY622" s="3" t="s">
        <v>6293</v>
      </c>
      <c r="AZ622" s="3" t="s">
        <v>6294</v>
      </c>
      <c r="BA622" s="3" t="s">
        <v>6294</v>
      </c>
      <c r="BB622" s="3" t="s">
        <v>6298</v>
      </c>
      <c r="BC622" s="3" t="s">
        <v>102</v>
      </c>
      <c r="BD622" s="3" t="s">
        <v>68</v>
      </c>
      <c r="BF622" s="3" t="s">
        <v>6298</v>
      </c>
      <c r="BG622" s="3" t="s">
        <v>6299</v>
      </c>
    </row>
    <row r="623" spans="1:59" ht="58" x14ac:dyDescent="0.35">
      <c r="A623" s="2" t="s">
        <v>89</v>
      </c>
      <c r="B623" s="2" t="s">
        <v>90</v>
      </c>
      <c r="C623" s="2" t="s">
        <v>6286</v>
      </c>
      <c r="D623" s="2" t="s">
        <v>6287</v>
      </c>
      <c r="E623" s="2" t="s">
        <v>6288</v>
      </c>
      <c r="F623" s="3" t="s">
        <v>6300</v>
      </c>
      <c r="G623" s="3" t="s">
        <v>61</v>
      </c>
      <c r="I623" s="3" t="s">
        <v>62</v>
      </c>
      <c r="J623" s="3" t="s">
        <v>62</v>
      </c>
      <c r="K623" s="3" t="s">
        <v>63</v>
      </c>
      <c r="L623" s="2" t="s">
        <v>6289</v>
      </c>
      <c r="M623" s="2" t="s">
        <v>6290</v>
      </c>
      <c r="N623" s="3" t="s">
        <v>6291</v>
      </c>
      <c r="P623" s="3" t="s">
        <v>64</v>
      </c>
      <c r="R623" s="3" t="s">
        <v>65</v>
      </c>
      <c r="S623" s="4">
        <v>1</v>
      </c>
      <c r="T623" s="4">
        <v>3</v>
      </c>
      <c r="U623" s="5" t="s">
        <v>6301</v>
      </c>
      <c r="V623" s="5" t="s">
        <v>2613</v>
      </c>
      <c r="W623" s="5" t="s">
        <v>67</v>
      </c>
      <c r="X623" s="5" t="s">
        <v>67</v>
      </c>
      <c r="Y623" s="4">
        <v>1</v>
      </c>
      <c r="Z623" s="4">
        <v>1</v>
      </c>
      <c r="AA623" s="4">
        <v>38</v>
      </c>
      <c r="AB623" s="4">
        <v>1</v>
      </c>
      <c r="AC623" s="4">
        <v>1</v>
      </c>
      <c r="AD623" s="4">
        <v>0</v>
      </c>
      <c r="AE623" s="4">
        <v>107</v>
      </c>
      <c r="AF623" s="4">
        <v>0</v>
      </c>
      <c r="AG623" s="4">
        <v>0</v>
      </c>
      <c r="AH623" s="4">
        <v>0</v>
      </c>
      <c r="AI623" s="4">
        <v>88</v>
      </c>
      <c r="AJ623" s="4">
        <v>0</v>
      </c>
      <c r="AK623" s="4">
        <v>15</v>
      </c>
      <c r="AL623" s="4">
        <v>0</v>
      </c>
      <c r="AM623" s="4">
        <v>49</v>
      </c>
      <c r="AN623" s="4">
        <v>0</v>
      </c>
      <c r="AO623" s="4">
        <v>0</v>
      </c>
      <c r="AP623" s="4">
        <v>0</v>
      </c>
      <c r="AQ623" s="4">
        <v>25</v>
      </c>
      <c r="AR623" s="3" t="s">
        <v>62</v>
      </c>
      <c r="AS623" s="3" t="s">
        <v>62</v>
      </c>
      <c r="AT623" s="3" t="s">
        <v>62</v>
      </c>
      <c r="AV623" s="6" t="str">
        <f t="shared" si="22"/>
        <v>Catalog Record</v>
      </c>
      <c r="AW623" s="6" t="str">
        <f t="shared" si="23"/>
        <v>WorldCat Record</v>
      </c>
      <c r="AX623" s="3" t="s">
        <v>6292</v>
      </c>
      <c r="AY623" s="3" t="s">
        <v>6293</v>
      </c>
      <c r="AZ623" s="3" t="s">
        <v>6294</v>
      </c>
      <c r="BA623" s="3" t="s">
        <v>6294</v>
      </c>
      <c r="BB623" s="3" t="s">
        <v>6302</v>
      </c>
      <c r="BC623" s="3" t="s">
        <v>102</v>
      </c>
      <c r="BD623" s="3" t="s">
        <v>68</v>
      </c>
      <c r="BF623" s="3" t="s">
        <v>6302</v>
      </c>
      <c r="BG623" s="3" t="s">
        <v>6303</v>
      </c>
    </row>
    <row r="624" spans="1:59" ht="58" x14ac:dyDescent="0.35">
      <c r="A624" s="2" t="s">
        <v>89</v>
      </c>
      <c r="B624" s="2" t="s">
        <v>90</v>
      </c>
      <c r="C624" s="2" t="s">
        <v>6286</v>
      </c>
      <c r="D624" s="2" t="s">
        <v>6287</v>
      </c>
      <c r="E624" s="2" t="s">
        <v>6288</v>
      </c>
      <c r="F624" s="3" t="s">
        <v>1413</v>
      </c>
      <c r="G624" s="3" t="s">
        <v>61</v>
      </c>
      <c r="I624" s="3" t="s">
        <v>62</v>
      </c>
      <c r="J624" s="3" t="s">
        <v>62</v>
      </c>
      <c r="K624" s="3" t="s">
        <v>63</v>
      </c>
      <c r="L624" s="2" t="s">
        <v>6289</v>
      </c>
      <c r="M624" s="2" t="s">
        <v>6290</v>
      </c>
      <c r="N624" s="3" t="s">
        <v>6291</v>
      </c>
      <c r="P624" s="3" t="s">
        <v>64</v>
      </c>
      <c r="R624" s="3" t="s">
        <v>65</v>
      </c>
      <c r="S624" s="4">
        <v>0</v>
      </c>
      <c r="T624" s="4">
        <v>3</v>
      </c>
      <c r="V624" s="5" t="s">
        <v>2613</v>
      </c>
      <c r="W624" s="5" t="s">
        <v>67</v>
      </c>
      <c r="X624" s="5" t="s">
        <v>67</v>
      </c>
      <c r="Y624" s="4">
        <v>1</v>
      </c>
      <c r="Z624" s="4">
        <v>1</v>
      </c>
      <c r="AA624" s="4">
        <v>38</v>
      </c>
      <c r="AB624" s="4">
        <v>1</v>
      </c>
      <c r="AC624" s="4">
        <v>1</v>
      </c>
      <c r="AD624" s="4">
        <v>0</v>
      </c>
      <c r="AE624" s="4">
        <v>107</v>
      </c>
      <c r="AF624" s="4">
        <v>0</v>
      </c>
      <c r="AG624" s="4">
        <v>0</v>
      </c>
      <c r="AH624" s="4">
        <v>0</v>
      </c>
      <c r="AI624" s="4">
        <v>88</v>
      </c>
      <c r="AJ624" s="4">
        <v>0</v>
      </c>
      <c r="AK624" s="4">
        <v>15</v>
      </c>
      <c r="AL624" s="4">
        <v>0</v>
      </c>
      <c r="AM624" s="4">
        <v>49</v>
      </c>
      <c r="AN624" s="4">
        <v>0</v>
      </c>
      <c r="AO624" s="4">
        <v>0</v>
      </c>
      <c r="AP624" s="4">
        <v>0</v>
      </c>
      <c r="AQ624" s="4">
        <v>25</v>
      </c>
      <c r="AR624" s="3" t="s">
        <v>62</v>
      </c>
      <c r="AS624" s="3" t="s">
        <v>62</v>
      </c>
      <c r="AT624" s="3" t="s">
        <v>62</v>
      </c>
      <c r="AV624" s="6" t="str">
        <f t="shared" si="22"/>
        <v>Catalog Record</v>
      </c>
      <c r="AW624" s="6" t="str">
        <f t="shared" si="23"/>
        <v>WorldCat Record</v>
      </c>
      <c r="AX624" s="3" t="s">
        <v>6292</v>
      </c>
      <c r="AY624" s="3" t="s">
        <v>6293</v>
      </c>
      <c r="AZ624" s="3" t="s">
        <v>6294</v>
      </c>
      <c r="BA624" s="3" t="s">
        <v>6294</v>
      </c>
      <c r="BB624" s="3" t="s">
        <v>6304</v>
      </c>
      <c r="BC624" s="3" t="s">
        <v>102</v>
      </c>
      <c r="BD624" s="3" t="s">
        <v>68</v>
      </c>
      <c r="BF624" s="3" t="s">
        <v>6304</v>
      </c>
      <c r="BG624" s="3" t="s">
        <v>6305</v>
      </c>
    </row>
    <row r="625" spans="1:59" ht="58" x14ac:dyDescent="0.35">
      <c r="A625" s="2" t="s">
        <v>89</v>
      </c>
      <c r="B625" s="2" t="s">
        <v>90</v>
      </c>
      <c r="C625" s="2" t="s">
        <v>6286</v>
      </c>
      <c r="D625" s="2" t="s">
        <v>6287</v>
      </c>
      <c r="E625" s="2" t="s">
        <v>6288</v>
      </c>
      <c r="F625" s="3" t="s">
        <v>6306</v>
      </c>
      <c r="G625" s="3" t="s">
        <v>61</v>
      </c>
      <c r="I625" s="3" t="s">
        <v>62</v>
      </c>
      <c r="J625" s="3" t="s">
        <v>62</v>
      </c>
      <c r="K625" s="3" t="s">
        <v>63</v>
      </c>
      <c r="L625" s="2" t="s">
        <v>6289</v>
      </c>
      <c r="M625" s="2" t="s">
        <v>6290</v>
      </c>
      <c r="N625" s="3" t="s">
        <v>6291</v>
      </c>
      <c r="P625" s="3" t="s">
        <v>64</v>
      </c>
      <c r="R625" s="3" t="s">
        <v>65</v>
      </c>
      <c r="S625" s="4">
        <v>0</v>
      </c>
      <c r="T625" s="4">
        <v>3</v>
      </c>
      <c r="V625" s="5" t="s">
        <v>2613</v>
      </c>
      <c r="W625" s="5" t="s">
        <v>67</v>
      </c>
      <c r="X625" s="5" t="s">
        <v>67</v>
      </c>
      <c r="Y625" s="4">
        <v>1</v>
      </c>
      <c r="Z625" s="4">
        <v>1</v>
      </c>
      <c r="AA625" s="4">
        <v>38</v>
      </c>
      <c r="AB625" s="4">
        <v>1</v>
      </c>
      <c r="AC625" s="4">
        <v>1</v>
      </c>
      <c r="AD625" s="4">
        <v>0</v>
      </c>
      <c r="AE625" s="4">
        <v>107</v>
      </c>
      <c r="AF625" s="4">
        <v>0</v>
      </c>
      <c r="AG625" s="4">
        <v>0</v>
      </c>
      <c r="AH625" s="4">
        <v>0</v>
      </c>
      <c r="AI625" s="4">
        <v>88</v>
      </c>
      <c r="AJ625" s="4">
        <v>0</v>
      </c>
      <c r="AK625" s="4">
        <v>15</v>
      </c>
      <c r="AL625" s="4">
        <v>0</v>
      </c>
      <c r="AM625" s="4">
        <v>49</v>
      </c>
      <c r="AN625" s="4">
        <v>0</v>
      </c>
      <c r="AO625" s="4">
        <v>0</v>
      </c>
      <c r="AP625" s="4">
        <v>0</v>
      </c>
      <c r="AQ625" s="4">
        <v>25</v>
      </c>
      <c r="AR625" s="3" t="s">
        <v>62</v>
      </c>
      <c r="AS625" s="3" t="s">
        <v>62</v>
      </c>
      <c r="AT625" s="3" t="s">
        <v>62</v>
      </c>
      <c r="AV625" s="6" t="str">
        <f t="shared" si="22"/>
        <v>Catalog Record</v>
      </c>
      <c r="AW625" s="6" t="str">
        <f t="shared" si="23"/>
        <v>WorldCat Record</v>
      </c>
      <c r="AX625" s="3" t="s">
        <v>6292</v>
      </c>
      <c r="AY625" s="3" t="s">
        <v>6293</v>
      </c>
      <c r="AZ625" s="3" t="s">
        <v>6294</v>
      </c>
      <c r="BA625" s="3" t="s">
        <v>6294</v>
      </c>
      <c r="BB625" s="3" t="s">
        <v>6307</v>
      </c>
      <c r="BC625" s="3" t="s">
        <v>102</v>
      </c>
      <c r="BD625" s="3" t="s">
        <v>68</v>
      </c>
      <c r="BF625" s="3" t="s">
        <v>6307</v>
      </c>
      <c r="BG625" s="3" t="s">
        <v>6308</v>
      </c>
    </row>
    <row r="626" spans="1:59" ht="58" x14ac:dyDescent="0.35">
      <c r="A626" s="2" t="s">
        <v>89</v>
      </c>
      <c r="B626" s="2" t="s">
        <v>90</v>
      </c>
      <c r="C626" s="2" t="s">
        <v>6286</v>
      </c>
      <c r="D626" s="2" t="s">
        <v>6287</v>
      </c>
      <c r="E626" s="2" t="s">
        <v>6288</v>
      </c>
      <c r="F626" s="3" t="s">
        <v>1434</v>
      </c>
      <c r="G626" s="3" t="s">
        <v>61</v>
      </c>
      <c r="I626" s="3" t="s">
        <v>62</v>
      </c>
      <c r="J626" s="3" t="s">
        <v>62</v>
      </c>
      <c r="K626" s="3" t="s">
        <v>63</v>
      </c>
      <c r="L626" s="2" t="s">
        <v>6289</v>
      </c>
      <c r="M626" s="2" t="s">
        <v>6290</v>
      </c>
      <c r="N626" s="3" t="s">
        <v>6291</v>
      </c>
      <c r="P626" s="3" t="s">
        <v>64</v>
      </c>
      <c r="R626" s="3" t="s">
        <v>65</v>
      </c>
      <c r="S626" s="4">
        <v>0</v>
      </c>
      <c r="T626" s="4">
        <v>3</v>
      </c>
      <c r="V626" s="5" t="s">
        <v>2613</v>
      </c>
      <c r="W626" s="5" t="s">
        <v>67</v>
      </c>
      <c r="X626" s="5" t="s">
        <v>67</v>
      </c>
      <c r="Y626" s="4">
        <v>1</v>
      </c>
      <c r="Z626" s="4">
        <v>1</v>
      </c>
      <c r="AA626" s="4">
        <v>38</v>
      </c>
      <c r="AB626" s="4">
        <v>1</v>
      </c>
      <c r="AC626" s="4">
        <v>1</v>
      </c>
      <c r="AD626" s="4">
        <v>0</v>
      </c>
      <c r="AE626" s="4">
        <v>107</v>
      </c>
      <c r="AF626" s="4">
        <v>0</v>
      </c>
      <c r="AG626" s="4">
        <v>0</v>
      </c>
      <c r="AH626" s="4">
        <v>0</v>
      </c>
      <c r="AI626" s="4">
        <v>88</v>
      </c>
      <c r="AJ626" s="4">
        <v>0</v>
      </c>
      <c r="AK626" s="4">
        <v>15</v>
      </c>
      <c r="AL626" s="4">
        <v>0</v>
      </c>
      <c r="AM626" s="4">
        <v>49</v>
      </c>
      <c r="AN626" s="4">
        <v>0</v>
      </c>
      <c r="AO626" s="4">
        <v>0</v>
      </c>
      <c r="AP626" s="4">
        <v>0</v>
      </c>
      <c r="AQ626" s="4">
        <v>25</v>
      </c>
      <c r="AR626" s="3" t="s">
        <v>62</v>
      </c>
      <c r="AS626" s="3" t="s">
        <v>62</v>
      </c>
      <c r="AT626" s="3" t="s">
        <v>62</v>
      </c>
      <c r="AV626" s="6" t="str">
        <f t="shared" si="22"/>
        <v>Catalog Record</v>
      </c>
      <c r="AW626" s="6" t="str">
        <f t="shared" si="23"/>
        <v>WorldCat Record</v>
      </c>
      <c r="AX626" s="3" t="s">
        <v>6292</v>
      </c>
      <c r="AY626" s="3" t="s">
        <v>6293</v>
      </c>
      <c r="AZ626" s="3" t="s">
        <v>6294</v>
      </c>
      <c r="BA626" s="3" t="s">
        <v>6294</v>
      </c>
      <c r="BB626" s="3" t="s">
        <v>6309</v>
      </c>
      <c r="BC626" s="3" t="s">
        <v>102</v>
      </c>
      <c r="BD626" s="3" t="s">
        <v>68</v>
      </c>
      <c r="BF626" s="3" t="s">
        <v>6309</v>
      </c>
      <c r="BG626" s="3" t="s">
        <v>6310</v>
      </c>
    </row>
    <row r="627" spans="1:59" ht="58" x14ac:dyDescent="0.35">
      <c r="A627" s="2" t="s">
        <v>89</v>
      </c>
      <c r="B627" s="2" t="s">
        <v>90</v>
      </c>
      <c r="C627" s="2" t="s">
        <v>6286</v>
      </c>
      <c r="D627" s="2" t="s">
        <v>6287</v>
      </c>
      <c r="E627" s="2" t="s">
        <v>6288</v>
      </c>
      <c r="F627" s="3" t="s">
        <v>1428</v>
      </c>
      <c r="G627" s="3" t="s">
        <v>61</v>
      </c>
      <c r="I627" s="3" t="s">
        <v>62</v>
      </c>
      <c r="J627" s="3" t="s">
        <v>62</v>
      </c>
      <c r="K627" s="3" t="s">
        <v>63</v>
      </c>
      <c r="L627" s="2" t="s">
        <v>6289</v>
      </c>
      <c r="M627" s="2" t="s">
        <v>6290</v>
      </c>
      <c r="N627" s="3" t="s">
        <v>6291</v>
      </c>
      <c r="P627" s="3" t="s">
        <v>64</v>
      </c>
      <c r="R627" s="3" t="s">
        <v>65</v>
      </c>
      <c r="S627" s="4">
        <v>0</v>
      </c>
      <c r="T627" s="4">
        <v>3</v>
      </c>
      <c r="V627" s="5" t="s">
        <v>2613</v>
      </c>
      <c r="W627" s="5" t="s">
        <v>67</v>
      </c>
      <c r="X627" s="5" t="s">
        <v>67</v>
      </c>
      <c r="Y627" s="4">
        <v>1</v>
      </c>
      <c r="Z627" s="4">
        <v>1</v>
      </c>
      <c r="AA627" s="4">
        <v>38</v>
      </c>
      <c r="AB627" s="4">
        <v>1</v>
      </c>
      <c r="AC627" s="4">
        <v>1</v>
      </c>
      <c r="AD627" s="4">
        <v>0</v>
      </c>
      <c r="AE627" s="4">
        <v>107</v>
      </c>
      <c r="AF627" s="4">
        <v>0</v>
      </c>
      <c r="AG627" s="4">
        <v>0</v>
      </c>
      <c r="AH627" s="4">
        <v>0</v>
      </c>
      <c r="AI627" s="4">
        <v>88</v>
      </c>
      <c r="AJ627" s="4">
        <v>0</v>
      </c>
      <c r="AK627" s="4">
        <v>15</v>
      </c>
      <c r="AL627" s="4">
        <v>0</v>
      </c>
      <c r="AM627" s="4">
        <v>49</v>
      </c>
      <c r="AN627" s="4">
        <v>0</v>
      </c>
      <c r="AO627" s="4">
        <v>0</v>
      </c>
      <c r="AP627" s="4">
        <v>0</v>
      </c>
      <c r="AQ627" s="4">
        <v>25</v>
      </c>
      <c r="AR627" s="3" t="s">
        <v>62</v>
      </c>
      <c r="AS627" s="3" t="s">
        <v>62</v>
      </c>
      <c r="AT627" s="3" t="s">
        <v>62</v>
      </c>
      <c r="AV627" s="6" t="str">
        <f t="shared" si="22"/>
        <v>Catalog Record</v>
      </c>
      <c r="AW627" s="6" t="str">
        <f t="shared" si="23"/>
        <v>WorldCat Record</v>
      </c>
      <c r="AX627" s="3" t="s">
        <v>6292</v>
      </c>
      <c r="AY627" s="3" t="s">
        <v>6293</v>
      </c>
      <c r="AZ627" s="3" t="s">
        <v>6294</v>
      </c>
      <c r="BA627" s="3" t="s">
        <v>6294</v>
      </c>
      <c r="BB627" s="3" t="s">
        <v>6311</v>
      </c>
      <c r="BC627" s="3" t="s">
        <v>102</v>
      </c>
      <c r="BD627" s="3" t="s">
        <v>68</v>
      </c>
      <c r="BF627" s="3" t="s">
        <v>6311</v>
      </c>
      <c r="BG627" s="3" t="s">
        <v>6312</v>
      </c>
    </row>
    <row r="628" spans="1:59" ht="58" x14ac:dyDescent="0.35">
      <c r="A628" s="2" t="s">
        <v>89</v>
      </c>
      <c r="B628" s="2" t="s">
        <v>90</v>
      </c>
      <c r="C628" s="2" t="s">
        <v>6286</v>
      </c>
      <c r="D628" s="2" t="s">
        <v>6287</v>
      </c>
      <c r="E628" s="2" t="s">
        <v>6288</v>
      </c>
      <c r="F628" s="3" t="s">
        <v>6313</v>
      </c>
      <c r="G628" s="3" t="s">
        <v>61</v>
      </c>
      <c r="I628" s="3" t="s">
        <v>62</v>
      </c>
      <c r="J628" s="3" t="s">
        <v>62</v>
      </c>
      <c r="K628" s="3" t="s">
        <v>63</v>
      </c>
      <c r="L628" s="2" t="s">
        <v>6289</v>
      </c>
      <c r="M628" s="2" t="s">
        <v>6290</v>
      </c>
      <c r="N628" s="3" t="s">
        <v>6291</v>
      </c>
      <c r="P628" s="3" t="s">
        <v>64</v>
      </c>
      <c r="R628" s="3" t="s">
        <v>65</v>
      </c>
      <c r="S628" s="4">
        <v>1</v>
      </c>
      <c r="T628" s="4">
        <v>3</v>
      </c>
      <c r="U628" s="5" t="s">
        <v>2613</v>
      </c>
      <c r="V628" s="5" t="s">
        <v>2613</v>
      </c>
      <c r="W628" s="5" t="s">
        <v>67</v>
      </c>
      <c r="X628" s="5" t="s">
        <v>67</v>
      </c>
      <c r="Y628" s="4">
        <v>1</v>
      </c>
      <c r="Z628" s="4">
        <v>1</v>
      </c>
      <c r="AA628" s="4">
        <v>38</v>
      </c>
      <c r="AB628" s="4">
        <v>1</v>
      </c>
      <c r="AC628" s="4">
        <v>1</v>
      </c>
      <c r="AD628" s="4">
        <v>0</v>
      </c>
      <c r="AE628" s="4">
        <v>107</v>
      </c>
      <c r="AF628" s="4">
        <v>0</v>
      </c>
      <c r="AG628" s="4">
        <v>0</v>
      </c>
      <c r="AH628" s="4">
        <v>0</v>
      </c>
      <c r="AI628" s="4">
        <v>88</v>
      </c>
      <c r="AJ628" s="4">
        <v>0</v>
      </c>
      <c r="AK628" s="4">
        <v>15</v>
      </c>
      <c r="AL628" s="4">
        <v>0</v>
      </c>
      <c r="AM628" s="4">
        <v>49</v>
      </c>
      <c r="AN628" s="4">
        <v>0</v>
      </c>
      <c r="AO628" s="4">
        <v>0</v>
      </c>
      <c r="AP628" s="4">
        <v>0</v>
      </c>
      <c r="AQ628" s="4">
        <v>25</v>
      </c>
      <c r="AR628" s="3" t="s">
        <v>62</v>
      </c>
      <c r="AS628" s="3" t="s">
        <v>62</v>
      </c>
      <c r="AT628" s="3" t="s">
        <v>62</v>
      </c>
      <c r="AV628" s="6" t="str">
        <f t="shared" si="22"/>
        <v>Catalog Record</v>
      </c>
      <c r="AW628" s="6" t="str">
        <f t="shared" si="23"/>
        <v>WorldCat Record</v>
      </c>
      <c r="AX628" s="3" t="s">
        <v>6292</v>
      </c>
      <c r="AY628" s="3" t="s">
        <v>6293</v>
      </c>
      <c r="AZ628" s="3" t="s">
        <v>6294</v>
      </c>
      <c r="BA628" s="3" t="s">
        <v>6294</v>
      </c>
      <c r="BB628" s="3" t="s">
        <v>6314</v>
      </c>
      <c r="BC628" s="3" t="s">
        <v>102</v>
      </c>
      <c r="BD628" s="3" t="s">
        <v>68</v>
      </c>
      <c r="BF628" s="3" t="s">
        <v>6314</v>
      </c>
      <c r="BG628" s="3" t="s">
        <v>6315</v>
      </c>
    </row>
    <row r="629" spans="1:59" ht="58" x14ac:dyDescent="0.35">
      <c r="A629" s="2" t="s">
        <v>89</v>
      </c>
      <c r="B629" s="2" t="s">
        <v>90</v>
      </c>
      <c r="C629" s="2" t="s">
        <v>6286</v>
      </c>
      <c r="D629" s="2" t="s">
        <v>6287</v>
      </c>
      <c r="E629" s="2" t="s">
        <v>6288</v>
      </c>
      <c r="F629" s="3" t="s">
        <v>1416</v>
      </c>
      <c r="G629" s="3" t="s">
        <v>61</v>
      </c>
      <c r="I629" s="3" t="s">
        <v>62</v>
      </c>
      <c r="J629" s="3" t="s">
        <v>62</v>
      </c>
      <c r="K629" s="3" t="s">
        <v>63</v>
      </c>
      <c r="L629" s="2" t="s">
        <v>6289</v>
      </c>
      <c r="M629" s="2" t="s">
        <v>6290</v>
      </c>
      <c r="N629" s="3" t="s">
        <v>6291</v>
      </c>
      <c r="P629" s="3" t="s">
        <v>64</v>
      </c>
      <c r="R629" s="3" t="s">
        <v>65</v>
      </c>
      <c r="S629" s="4">
        <v>1</v>
      </c>
      <c r="T629" s="4">
        <v>3</v>
      </c>
      <c r="U629" s="5" t="s">
        <v>6301</v>
      </c>
      <c r="V629" s="5" t="s">
        <v>2613</v>
      </c>
      <c r="W629" s="5" t="s">
        <v>67</v>
      </c>
      <c r="X629" s="5" t="s">
        <v>67</v>
      </c>
      <c r="Y629" s="4">
        <v>1</v>
      </c>
      <c r="Z629" s="4">
        <v>1</v>
      </c>
      <c r="AA629" s="4">
        <v>38</v>
      </c>
      <c r="AB629" s="4">
        <v>1</v>
      </c>
      <c r="AC629" s="4">
        <v>1</v>
      </c>
      <c r="AD629" s="4">
        <v>0</v>
      </c>
      <c r="AE629" s="4">
        <v>107</v>
      </c>
      <c r="AF629" s="4">
        <v>0</v>
      </c>
      <c r="AG629" s="4">
        <v>0</v>
      </c>
      <c r="AH629" s="4">
        <v>0</v>
      </c>
      <c r="AI629" s="4">
        <v>88</v>
      </c>
      <c r="AJ629" s="4">
        <v>0</v>
      </c>
      <c r="AK629" s="4">
        <v>15</v>
      </c>
      <c r="AL629" s="4">
        <v>0</v>
      </c>
      <c r="AM629" s="4">
        <v>49</v>
      </c>
      <c r="AN629" s="4">
        <v>0</v>
      </c>
      <c r="AO629" s="4">
        <v>0</v>
      </c>
      <c r="AP629" s="4">
        <v>0</v>
      </c>
      <c r="AQ629" s="4">
        <v>25</v>
      </c>
      <c r="AR629" s="3" t="s">
        <v>62</v>
      </c>
      <c r="AS629" s="3" t="s">
        <v>62</v>
      </c>
      <c r="AT629" s="3" t="s">
        <v>62</v>
      </c>
      <c r="AV629" s="6" t="str">
        <f t="shared" si="22"/>
        <v>Catalog Record</v>
      </c>
      <c r="AW629" s="6" t="str">
        <f t="shared" si="23"/>
        <v>WorldCat Record</v>
      </c>
      <c r="AX629" s="3" t="s">
        <v>6292</v>
      </c>
      <c r="AY629" s="3" t="s">
        <v>6293</v>
      </c>
      <c r="AZ629" s="3" t="s">
        <v>6294</v>
      </c>
      <c r="BA629" s="3" t="s">
        <v>6294</v>
      </c>
      <c r="BB629" s="3" t="s">
        <v>6316</v>
      </c>
      <c r="BC629" s="3" t="s">
        <v>102</v>
      </c>
      <c r="BD629" s="3" t="s">
        <v>68</v>
      </c>
      <c r="BF629" s="3" t="s">
        <v>6316</v>
      </c>
      <c r="BG629" s="3" t="s">
        <v>6317</v>
      </c>
    </row>
    <row r="630" spans="1:59" ht="58" x14ac:dyDescent="0.35">
      <c r="A630" s="2" t="s">
        <v>89</v>
      </c>
      <c r="B630" s="2" t="s">
        <v>90</v>
      </c>
      <c r="C630" s="2" t="s">
        <v>6318</v>
      </c>
      <c r="D630" s="2" t="s">
        <v>6319</v>
      </c>
      <c r="E630" s="2" t="s">
        <v>6320</v>
      </c>
      <c r="G630" s="3" t="s">
        <v>62</v>
      </c>
      <c r="I630" s="3" t="s">
        <v>61</v>
      </c>
      <c r="J630" s="3" t="s">
        <v>61</v>
      </c>
      <c r="K630" s="3" t="s">
        <v>63</v>
      </c>
      <c r="L630" s="2" t="s">
        <v>6321</v>
      </c>
      <c r="M630" s="2" t="s">
        <v>6322</v>
      </c>
      <c r="N630" s="3" t="s">
        <v>6323</v>
      </c>
      <c r="P630" s="3" t="s">
        <v>64</v>
      </c>
      <c r="Q630" s="2" t="s">
        <v>6324</v>
      </c>
      <c r="R630" s="3" t="s">
        <v>65</v>
      </c>
      <c r="S630" s="4">
        <v>2</v>
      </c>
      <c r="T630" s="4">
        <v>9</v>
      </c>
      <c r="U630" s="5" t="s">
        <v>6325</v>
      </c>
      <c r="V630" s="5" t="s">
        <v>1325</v>
      </c>
      <c r="W630" s="5" t="s">
        <v>67</v>
      </c>
      <c r="X630" s="5" t="s">
        <v>67</v>
      </c>
      <c r="Y630" s="4">
        <v>133</v>
      </c>
      <c r="Z630" s="4">
        <v>19</v>
      </c>
      <c r="AA630" s="4">
        <v>55</v>
      </c>
      <c r="AB630" s="4">
        <v>1</v>
      </c>
      <c r="AC630" s="4">
        <v>6</v>
      </c>
      <c r="AD630" s="4">
        <v>35</v>
      </c>
      <c r="AE630" s="4">
        <v>143</v>
      </c>
      <c r="AF630" s="4">
        <v>0</v>
      </c>
      <c r="AG630" s="4">
        <v>3</v>
      </c>
      <c r="AH630" s="4">
        <v>26</v>
      </c>
      <c r="AI630" s="4">
        <v>114</v>
      </c>
      <c r="AJ630" s="4">
        <v>12</v>
      </c>
      <c r="AK630" s="4">
        <v>24</v>
      </c>
      <c r="AL630" s="4">
        <v>14</v>
      </c>
      <c r="AM630" s="4">
        <v>60</v>
      </c>
      <c r="AN630" s="4">
        <v>0</v>
      </c>
      <c r="AO630" s="4">
        <v>0</v>
      </c>
      <c r="AP630" s="4">
        <v>14</v>
      </c>
      <c r="AQ630" s="4">
        <v>35</v>
      </c>
      <c r="AR630" s="3" t="s">
        <v>62</v>
      </c>
      <c r="AS630" s="3" t="s">
        <v>62</v>
      </c>
      <c r="AT630" s="3" t="s">
        <v>62</v>
      </c>
      <c r="AV630" s="6" t="str">
        <f>HYPERLINK("http://mcgill.on.worldcat.org/oclc/3751767","Catalog Record")</f>
        <v>Catalog Record</v>
      </c>
      <c r="AW630" s="6" t="str">
        <f>HYPERLINK("http://www.worldcat.org/oclc/3751767","WorldCat Record")</f>
        <v>WorldCat Record</v>
      </c>
      <c r="AX630" s="3" t="s">
        <v>6326</v>
      </c>
      <c r="AY630" s="3" t="s">
        <v>6327</v>
      </c>
      <c r="AZ630" s="3" t="s">
        <v>6328</v>
      </c>
      <c r="BA630" s="3" t="s">
        <v>6328</v>
      </c>
      <c r="BB630" s="3" t="s">
        <v>6329</v>
      </c>
      <c r="BC630" s="3" t="s">
        <v>102</v>
      </c>
      <c r="BD630" s="3" t="s">
        <v>68</v>
      </c>
      <c r="BF630" s="3" t="s">
        <v>6329</v>
      </c>
      <c r="BG630" s="3" t="s">
        <v>6330</v>
      </c>
    </row>
    <row r="631" spans="1:59" ht="87" x14ac:dyDescent="0.35">
      <c r="A631" s="2" t="s">
        <v>89</v>
      </c>
      <c r="B631" s="2" t="s">
        <v>90</v>
      </c>
      <c r="C631" s="2" t="s">
        <v>6331</v>
      </c>
      <c r="D631" s="2" t="s">
        <v>6332</v>
      </c>
      <c r="E631" s="2" t="s">
        <v>6333</v>
      </c>
      <c r="G631" s="3" t="s">
        <v>62</v>
      </c>
      <c r="I631" s="3" t="s">
        <v>62</v>
      </c>
      <c r="J631" s="3" t="s">
        <v>61</v>
      </c>
      <c r="K631" s="3" t="s">
        <v>916</v>
      </c>
      <c r="L631" s="2" t="s">
        <v>6334</v>
      </c>
      <c r="M631" s="2" t="s">
        <v>6335</v>
      </c>
      <c r="N631" s="3" t="s">
        <v>6336</v>
      </c>
      <c r="P631" s="3" t="s">
        <v>64</v>
      </c>
      <c r="R631" s="3" t="s">
        <v>65</v>
      </c>
      <c r="S631" s="4">
        <v>2</v>
      </c>
      <c r="T631" s="4">
        <v>2</v>
      </c>
      <c r="U631" s="5" t="s">
        <v>6337</v>
      </c>
      <c r="V631" s="5" t="s">
        <v>6337</v>
      </c>
      <c r="W631" s="5" t="s">
        <v>67</v>
      </c>
      <c r="X631" s="5" t="s">
        <v>67</v>
      </c>
      <c r="Y631" s="4">
        <v>8</v>
      </c>
      <c r="Z631" s="4">
        <v>7</v>
      </c>
      <c r="AA631" s="4">
        <v>43</v>
      </c>
      <c r="AB631" s="4">
        <v>1</v>
      </c>
      <c r="AC631" s="4">
        <v>12</v>
      </c>
      <c r="AD631" s="4">
        <v>5</v>
      </c>
      <c r="AE631" s="4">
        <v>35</v>
      </c>
      <c r="AF631" s="4">
        <v>0</v>
      </c>
      <c r="AG631" s="4">
        <v>6</v>
      </c>
      <c r="AH631" s="4">
        <v>4</v>
      </c>
      <c r="AI631" s="4">
        <v>16</v>
      </c>
      <c r="AJ631" s="4">
        <v>5</v>
      </c>
      <c r="AK631" s="4">
        <v>21</v>
      </c>
      <c r="AL631" s="4">
        <v>1</v>
      </c>
      <c r="AM631" s="4">
        <v>2</v>
      </c>
      <c r="AN631" s="4">
        <v>0</v>
      </c>
      <c r="AO631" s="4">
        <v>0</v>
      </c>
      <c r="AP631" s="4">
        <v>4</v>
      </c>
      <c r="AQ631" s="4">
        <v>29</v>
      </c>
      <c r="AR631" s="3" t="s">
        <v>61</v>
      </c>
      <c r="AS631" s="3" t="s">
        <v>62</v>
      </c>
      <c r="AT631" s="3" t="s">
        <v>62</v>
      </c>
      <c r="AV631" s="6" t="str">
        <f>HYPERLINK("http://mcgill.on.worldcat.org/oclc/427489422","Catalog Record")</f>
        <v>Catalog Record</v>
      </c>
      <c r="AW631" s="6" t="str">
        <f>HYPERLINK("http://www.worldcat.org/oclc/427489422","WorldCat Record")</f>
        <v>WorldCat Record</v>
      </c>
      <c r="AX631" s="3" t="s">
        <v>6338</v>
      </c>
      <c r="AY631" s="3" t="s">
        <v>6339</v>
      </c>
      <c r="AZ631" s="3" t="s">
        <v>6340</v>
      </c>
      <c r="BA631" s="3" t="s">
        <v>6340</v>
      </c>
      <c r="BB631" s="3" t="s">
        <v>6341</v>
      </c>
      <c r="BC631" s="3" t="s">
        <v>102</v>
      </c>
      <c r="BD631" s="3" t="s">
        <v>68</v>
      </c>
      <c r="BF631" s="3" t="s">
        <v>6341</v>
      </c>
      <c r="BG631" s="3" t="s">
        <v>6342</v>
      </c>
    </row>
    <row r="632" spans="1:59" ht="58" x14ac:dyDescent="0.35">
      <c r="A632" s="2" t="s">
        <v>89</v>
      </c>
      <c r="B632" s="2" t="s">
        <v>90</v>
      </c>
      <c r="C632" s="2" t="s">
        <v>6343</v>
      </c>
      <c r="D632" s="2" t="s">
        <v>6344</v>
      </c>
      <c r="E632" s="2" t="s">
        <v>6345</v>
      </c>
      <c r="F632" s="3" t="s">
        <v>1416</v>
      </c>
      <c r="G632" s="3" t="s">
        <v>61</v>
      </c>
      <c r="I632" s="3" t="s">
        <v>61</v>
      </c>
      <c r="J632" s="3" t="s">
        <v>62</v>
      </c>
      <c r="K632" s="3" t="s">
        <v>63</v>
      </c>
      <c r="M632" s="2" t="s">
        <v>6346</v>
      </c>
      <c r="N632" s="3" t="s">
        <v>838</v>
      </c>
      <c r="P632" s="3" t="s">
        <v>85</v>
      </c>
      <c r="Q632" s="2" t="s">
        <v>6347</v>
      </c>
      <c r="R632" s="3" t="s">
        <v>65</v>
      </c>
      <c r="S632" s="4">
        <v>6</v>
      </c>
      <c r="T632" s="4">
        <v>16</v>
      </c>
      <c r="U632" s="5" t="s">
        <v>1761</v>
      </c>
      <c r="V632" s="5" t="s">
        <v>1761</v>
      </c>
      <c r="W632" s="5" t="s">
        <v>67</v>
      </c>
      <c r="X632" s="5" t="s">
        <v>67</v>
      </c>
      <c r="Y632" s="4">
        <v>140</v>
      </c>
      <c r="Z632" s="4">
        <v>13</v>
      </c>
      <c r="AA632" s="4">
        <v>18</v>
      </c>
      <c r="AB632" s="4">
        <v>1</v>
      </c>
      <c r="AC632" s="4">
        <v>3</v>
      </c>
      <c r="AD632" s="4">
        <v>60</v>
      </c>
      <c r="AE632" s="4">
        <v>65</v>
      </c>
      <c r="AF632" s="4">
        <v>0</v>
      </c>
      <c r="AG632" s="4">
        <v>2</v>
      </c>
      <c r="AH632" s="4">
        <v>56</v>
      </c>
      <c r="AI632" s="4">
        <v>57</v>
      </c>
      <c r="AJ632" s="4">
        <v>8</v>
      </c>
      <c r="AK632" s="4">
        <v>11</v>
      </c>
      <c r="AL632" s="4">
        <v>29</v>
      </c>
      <c r="AM632" s="4">
        <v>29</v>
      </c>
      <c r="AN632" s="4">
        <v>0</v>
      </c>
      <c r="AO632" s="4">
        <v>0</v>
      </c>
      <c r="AP632" s="4">
        <v>10</v>
      </c>
      <c r="AQ632" s="4">
        <v>13</v>
      </c>
      <c r="AR632" s="3" t="s">
        <v>62</v>
      </c>
      <c r="AS632" s="3" t="s">
        <v>62</v>
      </c>
      <c r="AT632" s="3" t="s">
        <v>61</v>
      </c>
      <c r="AU632" s="6" t="str">
        <f>HYPERLINK("http://catalog.hathitrust.org/Record/001474300","HathiTrust Record")</f>
        <v>HathiTrust Record</v>
      </c>
      <c r="AV632" s="6" t="str">
        <f>HYPERLINK("http://mcgill.on.worldcat.org/oclc/654108","Catalog Record")</f>
        <v>Catalog Record</v>
      </c>
      <c r="AW632" s="6" t="str">
        <f>HYPERLINK("http://www.worldcat.org/oclc/654108","WorldCat Record")</f>
        <v>WorldCat Record</v>
      </c>
      <c r="AX632" s="3" t="s">
        <v>6348</v>
      </c>
      <c r="AY632" s="3" t="s">
        <v>6349</v>
      </c>
      <c r="AZ632" s="3" t="s">
        <v>6350</v>
      </c>
      <c r="BA632" s="3" t="s">
        <v>6350</v>
      </c>
      <c r="BB632" s="3" t="s">
        <v>6351</v>
      </c>
      <c r="BC632" s="3" t="s">
        <v>102</v>
      </c>
      <c r="BD632" s="3" t="s">
        <v>68</v>
      </c>
      <c r="BF632" s="3" t="s">
        <v>6351</v>
      </c>
      <c r="BG632" s="3" t="s">
        <v>6352</v>
      </c>
    </row>
    <row r="633" spans="1:59" ht="58" x14ac:dyDescent="0.35">
      <c r="A633" s="2" t="s">
        <v>89</v>
      </c>
      <c r="B633" s="2" t="s">
        <v>90</v>
      </c>
      <c r="C633" s="2" t="s">
        <v>6343</v>
      </c>
      <c r="D633" s="2" t="s">
        <v>6344</v>
      </c>
      <c r="E633" s="2" t="s">
        <v>6345</v>
      </c>
      <c r="F633" s="3" t="s">
        <v>1413</v>
      </c>
      <c r="G633" s="3" t="s">
        <v>61</v>
      </c>
      <c r="I633" s="3" t="s">
        <v>61</v>
      </c>
      <c r="J633" s="3" t="s">
        <v>62</v>
      </c>
      <c r="K633" s="3" t="s">
        <v>63</v>
      </c>
      <c r="M633" s="2" t="s">
        <v>6346</v>
      </c>
      <c r="N633" s="3" t="s">
        <v>838</v>
      </c>
      <c r="P633" s="3" t="s">
        <v>85</v>
      </c>
      <c r="Q633" s="2" t="s">
        <v>6347</v>
      </c>
      <c r="R633" s="3" t="s">
        <v>65</v>
      </c>
      <c r="S633" s="4">
        <v>4</v>
      </c>
      <c r="T633" s="4">
        <v>16</v>
      </c>
      <c r="U633" s="5" t="s">
        <v>6353</v>
      </c>
      <c r="V633" s="5" t="s">
        <v>1761</v>
      </c>
      <c r="W633" s="5" t="s">
        <v>67</v>
      </c>
      <c r="X633" s="5" t="s">
        <v>67</v>
      </c>
      <c r="Y633" s="4">
        <v>140</v>
      </c>
      <c r="Z633" s="4">
        <v>13</v>
      </c>
      <c r="AA633" s="4">
        <v>18</v>
      </c>
      <c r="AB633" s="4">
        <v>1</v>
      </c>
      <c r="AC633" s="4">
        <v>3</v>
      </c>
      <c r="AD633" s="4">
        <v>60</v>
      </c>
      <c r="AE633" s="4">
        <v>65</v>
      </c>
      <c r="AF633" s="4">
        <v>0</v>
      </c>
      <c r="AG633" s="4">
        <v>2</v>
      </c>
      <c r="AH633" s="4">
        <v>56</v>
      </c>
      <c r="AI633" s="4">
        <v>57</v>
      </c>
      <c r="AJ633" s="4">
        <v>8</v>
      </c>
      <c r="AK633" s="4">
        <v>11</v>
      </c>
      <c r="AL633" s="4">
        <v>29</v>
      </c>
      <c r="AM633" s="4">
        <v>29</v>
      </c>
      <c r="AN633" s="4">
        <v>0</v>
      </c>
      <c r="AO633" s="4">
        <v>0</v>
      </c>
      <c r="AP633" s="4">
        <v>10</v>
      </c>
      <c r="AQ633" s="4">
        <v>13</v>
      </c>
      <c r="AR633" s="3" t="s">
        <v>62</v>
      </c>
      <c r="AS633" s="3" t="s">
        <v>62</v>
      </c>
      <c r="AT633" s="3" t="s">
        <v>61</v>
      </c>
      <c r="AU633" s="6" t="str">
        <f>HYPERLINK("http://catalog.hathitrust.org/Record/001474300","HathiTrust Record")</f>
        <v>HathiTrust Record</v>
      </c>
      <c r="AV633" s="6" t="str">
        <f>HYPERLINK("http://mcgill.on.worldcat.org/oclc/654108","Catalog Record")</f>
        <v>Catalog Record</v>
      </c>
      <c r="AW633" s="6" t="str">
        <f>HYPERLINK("http://www.worldcat.org/oclc/654108","WorldCat Record")</f>
        <v>WorldCat Record</v>
      </c>
      <c r="AX633" s="3" t="s">
        <v>6348</v>
      </c>
      <c r="AY633" s="3" t="s">
        <v>6349</v>
      </c>
      <c r="AZ633" s="3" t="s">
        <v>6350</v>
      </c>
      <c r="BA633" s="3" t="s">
        <v>6350</v>
      </c>
      <c r="BB633" s="3" t="s">
        <v>6354</v>
      </c>
      <c r="BC633" s="3" t="s">
        <v>102</v>
      </c>
      <c r="BD633" s="3" t="s">
        <v>68</v>
      </c>
      <c r="BF633" s="3" t="s">
        <v>6354</v>
      </c>
      <c r="BG633" s="3" t="s">
        <v>6355</v>
      </c>
    </row>
    <row r="634" spans="1:59" ht="58" x14ac:dyDescent="0.35">
      <c r="A634" s="2" t="s">
        <v>89</v>
      </c>
      <c r="B634" s="2" t="s">
        <v>90</v>
      </c>
      <c r="C634" s="2" t="s">
        <v>6356</v>
      </c>
      <c r="D634" s="2" t="s">
        <v>6357</v>
      </c>
      <c r="E634" s="2" t="s">
        <v>6358</v>
      </c>
      <c r="G634" s="3" t="s">
        <v>62</v>
      </c>
      <c r="I634" s="3" t="s">
        <v>61</v>
      </c>
      <c r="J634" s="3" t="s">
        <v>61</v>
      </c>
      <c r="K634" s="3" t="s">
        <v>63</v>
      </c>
      <c r="L634" s="2" t="s">
        <v>6359</v>
      </c>
      <c r="M634" s="2" t="s">
        <v>6360</v>
      </c>
      <c r="N634" s="3" t="s">
        <v>1576</v>
      </c>
      <c r="P634" s="3" t="s">
        <v>64</v>
      </c>
      <c r="Q634" s="2" t="s">
        <v>6361</v>
      </c>
      <c r="R634" s="3" t="s">
        <v>65</v>
      </c>
      <c r="S634" s="4">
        <v>5</v>
      </c>
      <c r="T634" s="4">
        <v>6</v>
      </c>
      <c r="U634" s="5" t="s">
        <v>6362</v>
      </c>
      <c r="V634" s="5" t="s">
        <v>6363</v>
      </c>
      <c r="W634" s="5" t="s">
        <v>67</v>
      </c>
      <c r="X634" s="5" t="s">
        <v>67</v>
      </c>
      <c r="Y634" s="4">
        <v>119</v>
      </c>
      <c r="Z634" s="4">
        <v>13</v>
      </c>
      <c r="AA634" s="4">
        <v>48</v>
      </c>
      <c r="AB634" s="4">
        <v>2</v>
      </c>
      <c r="AC634" s="4">
        <v>6</v>
      </c>
      <c r="AD634" s="4">
        <v>23</v>
      </c>
      <c r="AE634" s="4">
        <v>141</v>
      </c>
      <c r="AF634" s="4">
        <v>1</v>
      </c>
      <c r="AG634" s="4">
        <v>4</v>
      </c>
      <c r="AH634" s="4">
        <v>19</v>
      </c>
      <c r="AI634" s="4">
        <v>110</v>
      </c>
      <c r="AJ634" s="4">
        <v>6</v>
      </c>
      <c r="AK634" s="4">
        <v>27</v>
      </c>
      <c r="AL634" s="4">
        <v>10</v>
      </c>
      <c r="AM634" s="4">
        <v>60</v>
      </c>
      <c r="AN634" s="4">
        <v>0</v>
      </c>
      <c r="AO634" s="4">
        <v>1</v>
      </c>
      <c r="AP634" s="4">
        <v>8</v>
      </c>
      <c r="AQ634" s="4">
        <v>36</v>
      </c>
      <c r="AR634" s="3" t="s">
        <v>62</v>
      </c>
      <c r="AS634" s="3" t="s">
        <v>62</v>
      </c>
      <c r="AT634" s="3" t="s">
        <v>61</v>
      </c>
      <c r="AU634" s="6" t="str">
        <f>HYPERLINK("http://catalog.hathitrust.org/Record/005714997","HathiTrust Record")</f>
        <v>HathiTrust Record</v>
      </c>
      <c r="AV634" s="6" t="str">
        <f>HYPERLINK("http://mcgill.on.worldcat.org/oclc/1990587","Catalog Record")</f>
        <v>Catalog Record</v>
      </c>
      <c r="AW634" s="6" t="str">
        <f>HYPERLINK("http://www.worldcat.org/oclc/1990587","WorldCat Record")</f>
        <v>WorldCat Record</v>
      </c>
      <c r="AX634" s="3" t="s">
        <v>6364</v>
      </c>
      <c r="AY634" s="3" t="s">
        <v>6365</v>
      </c>
      <c r="AZ634" s="3" t="s">
        <v>6366</v>
      </c>
      <c r="BA634" s="3" t="s">
        <v>6366</v>
      </c>
      <c r="BB634" s="3" t="s">
        <v>6367</v>
      </c>
      <c r="BC634" s="3" t="s">
        <v>102</v>
      </c>
      <c r="BD634" s="3" t="s">
        <v>231</v>
      </c>
      <c r="BF634" s="3" t="s">
        <v>6367</v>
      </c>
      <c r="BG634" s="3" t="s">
        <v>6368</v>
      </c>
    </row>
    <row r="635" spans="1:59" ht="58" x14ac:dyDescent="0.35">
      <c r="A635" s="2" t="s">
        <v>89</v>
      </c>
      <c r="B635" s="2" t="s">
        <v>90</v>
      </c>
      <c r="C635" s="2" t="s">
        <v>6369</v>
      </c>
      <c r="D635" s="2" t="s">
        <v>6370</v>
      </c>
      <c r="E635" s="2" t="s">
        <v>6371</v>
      </c>
      <c r="G635" s="3" t="s">
        <v>62</v>
      </c>
      <c r="I635" s="3" t="s">
        <v>62</v>
      </c>
      <c r="J635" s="3" t="s">
        <v>62</v>
      </c>
      <c r="K635" s="3" t="s">
        <v>63</v>
      </c>
      <c r="L635" s="2" t="s">
        <v>6359</v>
      </c>
      <c r="M635" s="2" t="s">
        <v>6372</v>
      </c>
      <c r="N635" s="3" t="s">
        <v>106</v>
      </c>
      <c r="P635" s="3" t="s">
        <v>85</v>
      </c>
      <c r="Q635" s="2" t="s">
        <v>6373</v>
      </c>
      <c r="R635" s="3" t="s">
        <v>65</v>
      </c>
      <c r="S635" s="4">
        <v>2</v>
      </c>
      <c r="T635" s="4">
        <v>2</v>
      </c>
      <c r="U635" s="5" t="s">
        <v>2529</v>
      </c>
      <c r="V635" s="5" t="s">
        <v>2529</v>
      </c>
      <c r="W635" s="5" t="s">
        <v>67</v>
      </c>
      <c r="X635" s="5" t="s">
        <v>67</v>
      </c>
      <c r="Y635" s="4">
        <v>25</v>
      </c>
      <c r="Z635" s="4">
        <v>2</v>
      </c>
      <c r="AA635" s="4">
        <v>10</v>
      </c>
      <c r="AB635" s="4">
        <v>1</v>
      </c>
      <c r="AC635" s="4">
        <v>6</v>
      </c>
      <c r="AD635" s="4">
        <v>1</v>
      </c>
      <c r="AE635" s="4">
        <v>6</v>
      </c>
      <c r="AF635" s="4">
        <v>0</v>
      </c>
      <c r="AG635" s="4">
        <v>3</v>
      </c>
      <c r="AH635" s="4">
        <v>1</v>
      </c>
      <c r="AI635" s="4">
        <v>3</v>
      </c>
      <c r="AJ635" s="4">
        <v>0</v>
      </c>
      <c r="AK635" s="4">
        <v>4</v>
      </c>
      <c r="AL635" s="4">
        <v>1</v>
      </c>
      <c r="AM635" s="4">
        <v>1</v>
      </c>
      <c r="AN635" s="4">
        <v>0</v>
      </c>
      <c r="AO635" s="4">
        <v>0</v>
      </c>
      <c r="AP635" s="4">
        <v>0</v>
      </c>
      <c r="AQ635" s="4">
        <v>4</v>
      </c>
      <c r="AR635" s="3" t="s">
        <v>62</v>
      </c>
      <c r="AS635" s="3" t="s">
        <v>62</v>
      </c>
      <c r="AT635" s="3" t="s">
        <v>61</v>
      </c>
      <c r="AU635" s="6" t="str">
        <f>HYPERLINK("http://catalog.hathitrust.org/Record/007342942","HathiTrust Record")</f>
        <v>HathiTrust Record</v>
      </c>
      <c r="AV635" s="6" t="str">
        <f>HYPERLINK("http://mcgill.on.worldcat.org/oclc/18965347","Catalog Record")</f>
        <v>Catalog Record</v>
      </c>
      <c r="AW635" s="6" t="str">
        <f>HYPERLINK("http://www.worldcat.org/oclc/18965347","WorldCat Record")</f>
        <v>WorldCat Record</v>
      </c>
      <c r="AX635" s="3" t="s">
        <v>6374</v>
      </c>
      <c r="AY635" s="3" t="s">
        <v>6375</v>
      </c>
      <c r="AZ635" s="3" t="s">
        <v>6376</v>
      </c>
      <c r="BA635" s="3" t="s">
        <v>6376</v>
      </c>
      <c r="BB635" s="3" t="s">
        <v>6377</v>
      </c>
      <c r="BC635" s="3" t="s">
        <v>102</v>
      </c>
      <c r="BD635" s="3" t="s">
        <v>68</v>
      </c>
      <c r="BF635" s="3" t="s">
        <v>6377</v>
      </c>
      <c r="BG635" s="3" t="s">
        <v>6378</v>
      </c>
    </row>
    <row r="636" spans="1:59" ht="58" x14ac:dyDescent="0.35">
      <c r="A636" s="2" t="s">
        <v>89</v>
      </c>
      <c r="B636" s="2" t="s">
        <v>90</v>
      </c>
      <c r="C636" s="2" t="s">
        <v>6379</v>
      </c>
      <c r="D636" s="2" t="s">
        <v>6380</v>
      </c>
      <c r="E636" s="2" t="s">
        <v>6381</v>
      </c>
      <c r="G636" s="3" t="s">
        <v>62</v>
      </c>
      <c r="I636" s="3" t="s">
        <v>61</v>
      </c>
      <c r="J636" s="3" t="s">
        <v>62</v>
      </c>
      <c r="K636" s="3" t="s">
        <v>63</v>
      </c>
      <c r="L636" s="2" t="s">
        <v>6382</v>
      </c>
      <c r="M636" s="2" t="s">
        <v>6383</v>
      </c>
      <c r="N636" s="3" t="s">
        <v>1467</v>
      </c>
      <c r="P636" s="3" t="s">
        <v>64</v>
      </c>
      <c r="Q636" s="2" t="s">
        <v>6384</v>
      </c>
      <c r="R636" s="3" t="s">
        <v>65</v>
      </c>
      <c r="S636" s="4">
        <v>6</v>
      </c>
      <c r="T636" s="4">
        <v>36</v>
      </c>
      <c r="U636" s="5" t="s">
        <v>6385</v>
      </c>
      <c r="V636" s="5" t="s">
        <v>6386</v>
      </c>
      <c r="W636" s="5" t="s">
        <v>67</v>
      </c>
      <c r="X636" s="5" t="s">
        <v>67</v>
      </c>
      <c r="Y636" s="4">
        <v>621</v>
      </c>
      <c r="Z636" s="4">
        <v>32</v>
      </c>
      <c r="AA636" s="4">
        <v>44</v>
      </c>
      <c r="AB636" s="4">
        <v>2</v>
      </c>
      <c r="AC636" s="4">
        <v>7</v>
      </c>
      <c r="AD636" s="4">
        <v>118</v>
      </c>
      <c r="AE636" s="4">
        <v>129</v>
      </c>
      <c r="AF636" s="4">
        <v>1</v>
      </c>
      <c r="AG636" s="4">
        <v>5</v>
      </c>
      <c r="AH636" s="4">
        <v>99</v>
      </c>
      <c r="AI636" s="4">
        <v>103</v>
      </c>
      <c r="AJ636" s="4">
        <v>18</v>
      </c>
      <c r="AK636" s="4">
        <v>22</v>
      </c>
      <c r="AL636" s="4">
        <v>56</v>
      </c>
      <c r="AM636" s="4">
        <v>56</v>
      </c>
      <c r="AN636" s="4">
        <v>0</v>
      </c>
      <c r="AO636" s="4">
        <v>0</v>
      </c>
      <c r="AP636" s="4">
        <v>26</v>
      </c>
      <c r="AQ636" s="4">
        <v>32</v>
      </c>
      <c r="AR636" s="3" t="s">
        <v>62</v>
      </c>
      <c r="AS636" s="3" t="s">
        <v>62</v>
      </c>
      <c r="AT636" s="3" t="s">
        <v>62</v>
      </c>
      <c r="AU636" s="6" t="str">
        <f>HYPERLINK("http://catalog.hathitrust.org/Record/004412587","HathiTrust Record")</f>
        <v>HathiTrust Record</v>
      </c>
      <c r="AV636" s="6" t="str">
        <f>HYPERLINK("http://mcgill.on.worldcat.org/oclc/522357","Catalog Record")</f>
        <v>Catalog Record</v>
      </c>
      <c r="AW636" s="6" t="str">
        <f>HYPERLINK("http://www.worldcat.org/oclc/522357","WorldCat Record")</f>
        <v>WorldCat Record</v>
      </c>
      <c r="AX636" s="3" t="s">
        <v>6387</v>
      </c>
      <c r="AY636" s="3" t="s">
        <v>6388</v>
      </c>
      <c r="AZ636" s="3" t="s">
        <v>6389</v>
      </c>
      <c r="BA636" s="3" t="s">
        <v>6389</v>
      </c>
      <c r="BB636" s="3" t="s">
        <v>6390</v>
      </c>
      <c r="BC636" s="3" t="s">
        <v>102</v>
      </c>
      <c r="BD636" s="3" t="s">
        <v>68</v>
      </c>
      <c r="BE636" s="3" t="s">
        <v>6391</v>
      </c>
      <c r="BF636" s="3" t="s">
        <v>6390</v>
      </c>
      <c r="BG636" s="3" t="s">
        <v>6392</v>
      </c>
    </row>
    <row r="637" spans="1:59" ht="58" x14ac:dyDescent="0.35">
      <c r="A637" s="2" t="s">
        <v>89</v>
      </c>
      <c r="B637" s="2" t="s">
        <v>90</v>
      </c>
      <c r="C637" s="2" t="s">
        <v>6379</v>
      </c>
      <c r="D637" s="2" t="s">
        <v>6380</v>
      </c>
      <c r="E637" s="2" t="s">
        <v>6381</v>
      </c>
      <c r="G637" s="3" t="s">
        <v>62</v>
      </c>
      <c r="I637" s="3" t="s">
        <v>61</v>
      </c>
      <c r="J637" s="3" t="s">
        <v>62</v>
      </c>
      <c r="K637" s="3" t="s">
        <v>63</v>
      </c>
      <c r="L637" s="2" t="s">
        <v>6382</v>
      </c>
      <c r="M637" s="2" t="s">
        <v>6383</v>
      </c>
      <c r="N637" s="3" t="s">
        <v>1467</v>
      </c>
      <c r="P637" s="3" t="s">
        <v>64</v>
      </c>
      <c r="Q637" s="2" t="s">
        <v>6384</v>
      </c>
      <c r="R637" s="3" t="s">
        <v>65</v>
      </c>
      <c r="S637" s="4">
        <v>25</v>
      </c>
      <c r="T637" s="4">
        <v>36</v>
      </c>
      <c r="U637" s="5" t="s">
        <v>6386</v>
      </c>
      <c r="V637" s="5" t="s">
        <v>6386</v>
      </c>
      <c r="W637" s="5" t="s">
        <v>67</v>
      </c>
      <c r="X637" s="5" t="s">
        <v>67</v>
      </c>
      <c r="Y637" s="4">
        <v>621</v>
      </c>
      <c r="Z637" s="4">
        <v>32</v>
      </c>
      <c r="AA637" s="4">
        <v>44</v>
      </c>
      <c r="AB637" s="4">
        <v>2</v>
      </c>
      <c r="AC637" s="4">
        <v>7</v>
      </c>
      <c r="AD637" s="4">
        <v>118</v>
      </c>
      <c r="AE637" s="4">
        <v>129</v>
      </c>
      <c r="AF637" s="4">
        <v>1</v>
      </c>
      <c r="AG637" s="4">
        <v>5</v>
      </c>
      <c r="AH637" s="4">
        <v>99</v>
      </c>
      <c r="AI637" s="4">
        <v>103</v>
      </c>
      <c r="AJ637" s="4">
        <v>18</v>
      </c>
      <c r="AK637" s="4">
        <v>22</v>
      </c>
      <c r="AL637" s="4">
        <v>56</v>
      </c>
      <c r="AM637" s="4">
        <v>56</v>
      </c>
      <c r="AN637" s="4">
        <v>0</v>
      </c>
      <c r="AO637" s="4">
        <v>0</v>
      </c>
      <c r="AP637" s="4">
        <v>26</v>
      </c>
      <c r="AQ637" s="4">
        <v>32</v>
      </c>
      <c r="AR637" s="3" t="s">
        <v>62</v>
      </c>
      <c r="AS637" s="3" t="s">
        <v>62</v>
      </c>
      <c r="AT637" s="3" t="s">
        <v>62</v>
      </c>
      <c r="AU637" s="6" t="str">
        <f>HYPERLINK("http://catalog.hathitrust.org/Record/004412587","HathiTrust Record")</f>
        <v>HathiTrust Record</v>
      </c>
      <c r="AV637" s="6" t="str">
        <f>HYPERLINK("http://mcgill.on.worldcat.org/oclc/522357","Catalog Record")</f>
        <v>Catalog Record</v>
      </c>
      <c r="AW637" s="6" t="str">
        <f>HYPERLINK("http://www.worldcat.org/oclc/522357","WorldCat Record")</f>
        <v>WorldCat Record</v>
      </c>
      <c r="AX637" s="3" t="s">
        <v>6387</v>
      </c>
      <c r="AY637" s="3" t="s">
        <v>6388</v>
      </c>
      <c r="AZ637" s="3" t="s">
        <v>6389</v>
      </c>
      <c r="BA637" s="3" t="s">
        <v>6389</v>
      </c>
      <c r="BB637" s="3" t="s">
        <v>6393</v>
      </c>
      <c r="BC637" s="3" t="s">
        <v>102</v>
      </c>
      <c r="BD637" s="3" t="s">
        <v>68</v>
      </c>
      <c r="BE637" s="3" t="s">
        <v>6391</v>
      </c>
      <c r="BF637" s="3" t="s">
        <v>6393</v>
      </c>
      <c r="BG637" s="3" t="s">
        <v>6394</v>
      </c>
    </row>
    <row r="638" spans="1:59" ht="58" x14ac:dyDescent="0.35">
      <c r="A638" s="2" t="s">
        <v>89</v>
      </c>
      <c r="B638" s="2" t="s">
        <v>90</v>
      </c>
      <c r="C638" s="2" t="s">
        <v>6395</v>
      </c>
      <c r="D638" s="2" t="s">
        <v>6396</v>
      </c>
      <c r="E638" s="2" t="s">
        <v>6397</v>
      </c>
      <c r="G638" s="3" t="s">
        <v>62</v>
      </c>
      <c r="I638" s="3" t="s">
        <v>62</v>
      </c>
      <c r="J638" s="3" t="s">
        <v>61</v>
      </c>
      <c r="K638" s="3" t="s">
        <v>63</v>
      </c>
      <c r="L638" s="2" t="s">
        <v>6382</v>
      </c>
      <c r="M638" s="2" t="s">
        <v>6398</v>
      </c>
      <c r="N638" s="3" t="s">
        <v>2305</v>
      </c>
      <c r="P638" s="3" t="s">
        <v>64</v>
      </c>
      <c r="R638" s="3" t="s">
        <v>65</v>
      </c>
      <c r="S638" s="4">
        <v>6</v>
      </c>
      <c r="T638" s="4">
        <v>6</v>
      </c>
      <c r="U638" s="5" t="s">
        <v>6399</v>
      </c>
      <c r="V638" s="5" t="s">
        <v>6399</v>
      </c>
      <c r="W638" s="5" t="s">
        <v>67</v>
      </c>
      <c r="X638" s="5" t="s">
        <v>67</v>
      </c>
      <c r="Y638" s="4">
        <v>795</v>
      </c>
      <c r="Z638" s="4">
        <v>27</v>
      </c>
      <c r="AA638" s="4">
        <v>47</v>
      </c>
      <c r="AB638" s="4">
        <v>1</v>
      </c>
      <c r="AC638" s="4">
        <v>5</v>
      </c>
      <c r="AD638" s="4">
        <v>118</v>
      </c>
      <c r="AE638" s="4">
        <v>145</v>
      </c>
      <c r="AF638" s="4">
        <v>0</v>
      </c>
      <c r="AG638" s="4">
        <v>4</v>
      </c>
      <c r="AH638" s="4">
        <v>99</v>
      </c>
      <c r="AI638" s="4">
        <v>118</v>
      </c>
      <c r="AJ638" s="4">
        <v>15</v>
      </c>
      <c r="AK638" s="4">
        <v>26</v>
      </c>
      <c r="AL638" s="4">
        <v>55</v>
      </c>
      <c r="AM638" s="4">
        <v>61</v>
      </c>
      <c r="AN638" s="4">
        <v>0</v>
      </c>
      <c r="AO638" s="4">
        <v>0</v>
      </c>
      <c r="AP638" s="4">
        <v>21</v>
      </c>
      <c r="AQ638" s="4">
        <v>33</v>
      </c>
      <c r="AR638" s="3" t="s">
        <v>62</v>
      </c>
      <c r="AS638" s="3" t="s">
        <v>62</v>
      </c>
      <c r="AT638" s="3" t="s">
        <v>61</v>
      </c>
      <c r="AU638" s="6" t="str">
        <f>HYPERLINK("http://catalog.hathitrust.org/Record/001474065","HathiTrust Record")</f>
        <v>HathiTrust Record</v>
      </c>
      <c r="AV638" s="6" t="str">
        <f>HYPERLINK("http://mcgill.on.worldcat.org/oclc/522123","Catalog Record")</f>
        <v>Catalog Record</v>
      </c>
      <c r="AW638" s="6" t="str">
        <f>HYPERLINK("http://www.worldcat.org/oclc/522123","WorldCat Record")</f>
        <v>WorldCat Record</v>
      </c>
      <c r="AX638" s="3" t="s">
        <v>6400</v>
      </c>
      <c r="AY638" s="3" t="s">
        <v>6401</v>
      </c>
      <c r="AZ638" s="3" t="s">
        <v>6402</v>
      </c>
      <c r="BA638" s="3" t="s">
        <v>6402</v>
      </c>
      <c r="BB638" s="3" t="s">
        <v>6403</v>
      </c>
      <c r="BC638" s="3" t="s">
        <v>102</v>
      </c>
      <c r="BD638" s="3" t="s">
        <v>68</v>
      </c>
      <c r="BF638" s="3" t="s">
        <v>6403</v>
      </c>
      <c r="BG638" s="3" t="s">
        <v>6404</v>
      </c>
    </row>
    <row r="639" spans="1:59" ht="58" x14ac:dyDescent="0.35">
      <c r="A639" s="2" t="s">
        <v>89</v>
      </c>
      <c r="B639" s="2" t="s">
        <v>90</v>
      </c>
      <c r="C639" s="2" t="s">
        <v>6405</v>
      </c>
      <c r="D639" s="2" t="s">
        <v>6406</v>
      </c>
      <c r="E639" s="2" t="s">
        <v>6407</v>
      </c>
      <c r="G639" s="3" t="s">
        <v>62</v>
      </c>
      <c r="I639" s="3" t="s">
        <v>61</v>
      </c>
      <c r="J639" s="3" t="s">
        <v>62</v>
      </c>
      <c r="K639" s="3" t="s">
        <v>63</v>
      </c>
      <c r="L639" s="2" t="s">
        <v>6408</v>
      </c>
      <c r="M639" s="2" t="s">
        <v>6409</v>
      </c>
      <c r="N639" s="3" t="s">
        <v>6410</v>
      </c>
      <c r="P639" s="3" t="s">
        <v>64</v>
      </c>
      <c r="R639" s="3" t="s">
        <v>65</v>
      </c>
      <c r="S639" s="4">
        <v>8</v>
      </c>
      <c r="T639" s="4">
        <v>17</v>
      </c>
      <c r="U639" s="5" t="s">
        <v>6411</v>
      </c>
      <c r="V639" s="5" t="s">
        <v>6411</v>
      </c>
      <c r="W639" s="5" t="s">
        <v>67</v>
      </c>
      <c r="X639" s="5" t="s">
        <v>67</v>
      </c>
      <c r="Y639" s="4">
        <v>446</v>
      </c>
      <c r="Z639" s="4">
        <v>18</v>
      </c>
      <c r="AA639" s="4">
        <v>31</v>
      </c>
      <c r="AB639" s="4">
        <v>1</v>
      </c>
      <c r="AC639" s="4">
        <v>3</v>
      </c>
      <c r="AD639" s="4">
        <v>98</v>
      </c>
      <c r="AE639" s="4">
        <v>121</v>
      </c>
      <c r="AF639" s="4">
        <v>0</v>
      </c>
      <c r="AG639" s="4">
        <v>2</v>
      </c>
      <c r="AH639" s="4">
        <v>84</v>
      </c>
      <c r="AI639" s="4">
        <v>104</v>
      </c>
      <c r="AJ639" s="4">
        <v>10</v>
      </c>
      <c r="AK639" s="4">
        <v>20</v>
      </c>
      <c r="AL639" s="4">
        <v>52</v>
      </c>
      <c r="AM639" s="4">
        <v>58</v>
      </c>
      <c r="AN639" s="4">
        <v>0</v>
      </c>
      <c r="AO639" s="4">
        <v>0</v>
      </c>
      <c r="AP639" s="4">
        <v>13</v>
      </c>
      <c r="AQ639" s="4">
        <v>23</v>
      </c>
      <c r="AR639" s="3" t="s">
        <v>62</v>
      </c>
      <c r="AS639" s="3" t="s">
        <v>62</v>
      </c>
      <c r="AT639" s="3" t="s">
        <v>61</v>
      </c>
      <c r="AU639" s="6" t="str">
        <f>HYPERLINK("http://catalog.hathitrust.org/Record/001477663","HathiTrust Record")</f>
        <v>HathiTrust Record</v>
      </c>
      <c r="AV639" s="6" t="str">
        <f>HYPERLINK("http://mcgill.on.worldcat.org/oclc/1168805","Catalog Record")</f>
        <v>Catalog Record</v>
      </c>
      <c r="AW639" s="6" t="str">
        <f>HYPERLINK("http://www.worldcat.org/oclc/1168805","WorldCat Record")</f>
        <v>WorldCat Record</v>
      </c>
      <c r="AX639" s="3" t="s">
        <v>6412</v>
      </c>
      <c r="AY639" s="3" t="s">
        <v>6413</v>
      </c>
      <c r="AZ639" s="3" t="s">
        <v>6414</v>
      </c>
      <c r="BA639" s="3" t="s">
        <v>6414</v>
      </c>
      <c r="BB639" s="3" t="s">
        <v>6415</v>
      </c>
      <c r="BC639" s="3" t="s">
        <v>102</v>
      </c>
      <c r="BD639" s="3" t="s">
        <v>68</v>
      </c>
      <c r="BF639" s="3" t="s">
        <v>6415</v>
      </c>
      <c r="BG639" s="3" t="s">
        <v>6416</v>
      </c>
    </row>
    <row r="640" spans="1:59" ht="58" x14ac:dyDescent="0.35">
      <c r="A640" s="2" t="s">
        <v>89</v>
      </c>
      <c r="B640" s="2" t="s">
        <v>90</v>
      </c>
      <c r="C640" s="2" t="s">
        <v>6417</v>
      </c>
      <c r="D640" s="2" t="s">
        <v>6418</v>
      </c>
      <c r="E640" s="2" t="s">
        <v>6419</v>
      </c>
      <c r="G640" s="3" t="s">
        <v>62</v>
      </c>
      <c r="I640" s="3" t="s">
        <v>61</v>
      </c>
      <c r="J640" s="3" t="s">
        <v>62</v>
      </c>
      <c r="K640" s="3" t="s">
        <v>63</v>
      </c>
      <c r="L640" s="2" t="s">
        <v>6408</v>
      </c>
      <c r="M640" s="2" t="s">
        <v>6420</v>
      </c>
      <c r="N640" s="3" t="s">
        <v>6421</v>
      </c>
      <c r="P640" s="3" t="s">
        <v>64</v>
      </c>
      <c r="R640" s="3" t="s">
        <v>65</v>
      </c>
      <c r="S640" s="4">
        <v>3</v>
      </c>
      <c r="T640" s="4">
        <v>7</v>
      </c>
      <c r="U640" s="5" t="s">
        <v>6411</v>
      </c>
      <c r="V640" s="5" t="s">
        <v>6411</v>
      </c>
      <c r="W640" s="5" t="s">
        <v>67</v>
      </c>
      <c r="X640" s="5" t="s">
        <v>67</v>
      </c>
      <c r="Y640" s="4">
        <v>63</v>
      </c>
      <c r="Z640" s="4">
        <v>9</v>
      </c>
      <c r="AA640" s="4">
        <v>17</v>
      </c>
      <c r="AB640" s="4">
        <v>1</v>
      </c>
      <c r="AC640" s="4">
        <v>2</v>
      </c>
      <c r="AD640" s="4">
        <v>24</v>
      </c>
      <c r="AE640" s="4">
        <v>85</v>
      </c>
      <c r="AF640" s="4">
        <v>0</v>
      </c>
      <c r="AG640" s="4">
        <v>1</v>
      </c>
      <c r="AH640" s="4">
        <v>23</v>
      </c>
      <c r="AI640" s="4">
        <v>75</v>
      </c>
      <c r="AJ640" s="4">
        <v>6</v>
      </c>
      <c r="AK640" s="4">
        <v>12</v>
      </c>
      <c r="AL640" s="4">
        <v>15</v>
      </c>
      <c r="AM640" s="4">
        <v>52</v>
      </c>
      <c r="AN640" s="4">
        <v>0</v>
      </c>
      <c r="AO640" s="4">
        <v>0</v>
      </c>
      <c r="AP640" s="4">
        <v>6</v>
      </c>
      <c r="AQ640" s="4">
        <v>13</v>
      </c>
      <c r="AR640" s="3" t="s">
        <v>62</v>
      </c>
      <c r="AS640" s="3" t="s">
        <v>62</v>
      </c>
      <c r="AT640" s="3" t="s">
        <v>61</v>
      </c>
      <c r="AU640" s="6" t="str">
        <f>HYPERLINK("http://catalog.hathitrust.org/Record/006254124","HathiTrust Record")</f>
        <v>HathiTrust Record</v>
      </c>
      <c r="AV640" s="6" t="str">
        <f>HYPERLINK("http://mcgill.on.worldcat.org/oclc/6395294","Catalog Record")</f>
        <v>Catalog Record</v>
      </c>
      <c r="AW640" s="6" t="str">
        <f>HYPERLINK("http://www.worldcat.org/oclc/6395294","WorldCat Record")</f>
        <v>WorldCat Record</v>
      </c>
      <c r="AX640" s="3" t="s">
        <v>6422</v>
      </c>
      <c r="AY640" s="3" t="s">
        <v>6423</v>
      </c>
      <c r="AZ640" s="3" t="s">
        <v>6424</v>
      </c>
      <c r="BA640" s="3" t="s">
        <v>6424</v>
      </c>
      <c r="BB640" s="3" t="s">
        <v>6425</v>
      </c>
      <c r="BC640" s="3" t="s">
        <v>102</v>
      </c>
      <c r="BD640" s="3" t="s">
        <v>68</v>
      </c>
      <c r="BF640" s="3" t="s">
        <v>6425</v>
      </c>
      <c r="BG640" s="3" t="s">
        <v>6426</v>
      </c>
    </row>
    <row r="641" spans="1:59" ht="58" x14ac:dyDescent="0.35">
      <c r="A641" s="2" t="s">
        <v>89</v>
      </c>
      <c r="B641" s="2" t="s">
        <v>90</v>
      </c>
      <c r="C641" s="2" t="s">
        <v>6427</v>
      </c>
      <c r="D641" s="2" t="s">
        <v>6428</v>
      </c>
      <c r="E641" s="2" t="s">
        <v>6429</v>
      </c>
      <c r="G641" s="3" t="s">
        <v>62</v>
      </c>
      <c r="I641" s="3" t="s">
        <v>62</v>
      </c>
      <c r="J641" s="3" t="s">
        <v>62</v>
      </c>
      <c r="K641" s="3" t="s">
        <v>63</v>
      </c>
      <c r="L641" s="2" t="s">
        <v>6430</v>
      </c>
      <c r="M641" s="2" t="s">
        <v>6431</v>
      </c>
      <c r="N641" s="3" t="s">
        <v>2679</v>
      </c>
      <c r="P641" s="3" t="s">
        <v>64</v>
      </c>
      <c r="R641" s="3" t="s">
        <v>65</v>
      </c>
      <c r="S641" s="4">
        <v>1</v>
      </c>
      <c r="T641" s="4">
        <v>1</v>
      </c>
      <c r="U641" s="5" t="s">
        <v>4653</v>
      </c>
      <c r="V641" s="5" t="s">
        <v>4653</v>
      </c>
      <c r="W641" s="5" t="s">
        <v>67</v>
      </c>
      <c r="X641" s="5" t="s">
        <v>67</v>
      </c>
      <c r="Y641" s="4">
        <v>24</v>
      </c>
      <c r="Z641" s="4">
        <v>1</v>
      </c>
      <c r="AA641" s="4">
        <v>8</v>
      </c>
      <c r="AB641" s="4">
        <v>1</v>
      </c>
      <c r="AC641" s="4">
        <v>3</v>
      </c>
      <c r="AD641" s="4">
        <v>9</v>
      </c>
      <c r="AE641" s="4">
        <v>49</v>
      </c>
      <c r="AF641" s="4">
        <v>0</v>
      </c>
      <c r="AG641" s="4">
        <v>1</v>
      </c>
      <c r="AH641" s="4">
        <v>8</v>
      </c>
      <c r="AI641" s="4">
        <v>42</v>
      </c>
      <c r="AJ641" s="4">
        <v>0</v>
      </c>
      <c r="AK641" s="4">
        <v>6</v>
      </c>
      <c r="AL641" s="4">
        <v>8</v>
      </c>
      <c r="AM641" s="4">
        <v>33</v>
      </c>
      <c r="AN641" s="4">
        <v>0</v>
      </c>
      <c r="AO641" s="4">
        <v>0</v>
      </c>
      <c r="AP641" s="4">
        <v>0</v>
      </c>
      <c r="AQ641" s="4">
        <v>6</v>
      </c>
      <c r="AR641" s="3" t="s">
        <v>62</v>
      </c>
      <c r="AS641" s="3" t="s">
        <v>62</v>
      </c>
      <c r="AT641" s="3" t="s">
        <v>62</v>
      </c>
      <c r="AV641" s="6" t="str">
        <f>HYPERLINK("http://mcgill.on.worldcat.org/oclc/8137544","Catalog Record")</f>
        <v>Catalog Record</v>
      </c>
      <c r="AW641" s="6" t="str">
        <f>HYPERLINK("http://www.worldcat.org/oclc/8137544","WorldCat Record")</f>
        <v>WorldCat Record</v>
      </c>
      <c r="AX641" s="3" t="s">
        <v>6432</v>
      </c>
      <c r="AY641" s="3" t="s">
        <v>6433</v>
      </c>
      <c r="AZ641" s="3" t="s">
        <v>6434</v>
      </c>
      <c r="BA641" s="3" t="s">
        <v>6434</v>
      </c>
      <c r="BB641" s="3" t="s">
        <v>6435</v>
      </c>
      <c r="BC641" s="3" t="s">
        <v>102</v>
      </c>
      <c r="BD641" s="3" t="s">
        <v>68</v>
      </c>
      <c r="BF641" s="3" t="s">
        <v>6435</v>
      </c>
      <c r="BG641" s="3" t="s">
        <v>6436</v>
      </c>
    </row>
    <row r="642" spans="1:59" ht="58" x14ac:dyDescent="0.35">
      <c r="A642" s="2" t="s">
        <v>89</v>
      </c>
      <c r="B642" s="2" t="s">
        <v>90</v>
      </c>
      <c r="C642" s="2" t="s">
        <v>6437</v>
      </c>
      <c r="D642" s="2" t="s">
        <v>6438</v>
      </c>
      <c r="E642" s="2" t="s">
        <v>6439</v>
      </c>
      <c r="G642" s="3" t="s">
        <v>62</v>
      </c>
      <c r="I642" s="3" t="s">
        <v>62</v>
      </c>
      <c r="J642" s="3" t="s">
        <v>62</v>
      </c>
      <c r="K642" s="3" t="s">
        <v>63</v>
      </c>
      <c r="L642" s="2" t="s">
        <v>1939</v>
      </c>
      <c r="M642" s="2" t="s">
        <v>6440</v>
      </c>
      <c r="N642" s="3" t="s">
        <v>2085</v>
      </c>
      <c r="P642" s="3" t="s">
        <v>64</v>
      </c>
      <c r="R642" s="3" t="s">
        <v>65</v>
      </c>
      <c r="S642" s="4">
        <v>1</v>
      </c>
      <c r="T642" s="4">
        <v>1</v>
      </c>
      <c r="U642" s="5" t="s">
        <v>6441</v>
      </c>
      <c r="V642" s="5" t="s">
        <v>6441</v>
      </c>
      <c r="W642" s="5" t="s">
        <v>67</v>
      </c>
      <c r="X642" s="5" t="s">
        <v>67</v>
      </c>
      <c r="Y642" s="4">
        <v>227</v>
      </c>
      <c r="Z642" s="4">
        <v>5</v>
      </c>
      <c r="AA642" s="4">
        <v>20</v>
      </c>
      <c r="AB642" s="4">
        <v>1</v>
      </c>
      <c r="AC642" s="4">
        <v>6</v>
      </c>
      <c r="AD642" s="4">
        <v>37</v>
      </c>
      <c r="AE642" s="4">
        <v>63</v>
      </c>
      <c r="AF642" s="4">
        <v>0</v>
      </c>
      <c r="AG642" s="4">
        <v>2</v>
      </c>
      <c r="AH642" s="4">
        <v>35</v>
      </c>
      <c r="AI642" s="4">
        <v>53</v>
      </c>
      <c r="AJ642" s="4">
        <v>2</v>
      </c>
      <c r="AK642" s="4">
        <v>8</v>
      </c>
      <c r="AL642" s="4">
        <v>21</v>
      </c>
      <c r="AM642" s="4">
        <v>29</v>
      </c>
      <c r="AN642" s="4">
        <v>0</v>
      </c>
      <c r="AO642" s="4">
        <v>0</v>
      </c>
      <c r="AP642" s="4">
        <v>2</v>
      </c>
      <c r="AQ642" s="4">
        <v>13</v>
      </c>
      <c r="AR642" s="3" t="s">
        <v>62</v>
      </c>
      <c r="AS642" s="3" t="s">
        <v>62</v>
      </c>
      <c r="AT642" s="3" t="s">
        <v>62</v>
      </c>
      <c r="AV642" s="6" t="str">
        <f>HYPERLINK("http://mcgill.on.worldcat.org/oclc/1019833836","Catalog Record")</f>
        <v>Catalog Record</v>
      </c>
      <c r="AW642" s="6" t="str">
        <f>HYPERLINK("http://www.worldcat.org/oclc/1019833836","WorldCat Record")</f>
        <v>WorldCat Record</v>
      </c>
      <c r="AX642" s="3" t="s">
        <v>6442</v>
      </c>
      <c r="AY642" s="3" t="s">
        <v>6443</v>
      </c>
      <c r="AZ642" s="3" t="s">
        <v>6444</v>
      </c>
      <c r="BA642" s="3" t="s">
        <v>6444</v>
      </c>
      <c r="BB642" s="3" t="s">
        <v>6445</v>
      </c>
      <c r="BC642" s="3" t="s">
        <v>102</v>
      </c>
      <c r="BD642" s="3" t="s">
        <v>68</v>
      </c>
      <c r="BE642" s="3" t="s">
        <v>6446</v>
      </c>
      <c r="BF642" s="3" t="s">
        <v>6445</v>
      </c>
      <c r="BG642" s="3" t="s">
        <v>6447</v>
      </c>
    </row>
    <row r="643" spans="1:59" ht="58" x14ac:dyDescent="0.35">
      <c r="A643" s="2" t="s">
        <v>89</v>
      </c>
      <c r="B643" s="2" t="s">
        <v>90</v>
      </c>
      <c r="C643" s="2" t="s">
        <v>6448</v>
      </c>
      <c r="D643" s="2" t="s">
        <v>6449</v>
      </c>
      <c r="E643" s="2" t="s">
        <v>6450</v>
      </c>
      <c r="G643" s="3" t="s">
        <v>62</v>
      </c>
      <c r="I643" s="3" t="s">
        <v>62</v>
      </c>
      <c r="J643" s="3" t="s">
        <v>62</v>
      </c>
      <c r="K643" s="3" t="s">
        <v>63</v>
      </c>
      <c r="L643" s="2" t="s">
        <v>6451</v>
      </c>
      <c r="M643" s="2" t="s">
        <v>6452</v>
      </c>
      <c r="N643" s="3" t="s">
        <v>954</v>
      </c>
      <c r="P643" s="3" t="s">
        <v>64</v>
      </c>
      <c r="R643" s="3" t="s">
        <v>65</v>
      </c>
      <c r="S643" s="4">
        <v>11</v>
      </c>
      <c r="T643" s="4">
        <v>11</v>
      </c>
      <c r="U643" s="5" t="s">
        <v>4653</v>
      </c>
      <c r="V643" s="5" t="s">
        <v>4653</v>
      </c>
      <c r="W643" s="5" t="s">
        <v>67</v>
      </c>
      <c r="X643" s="5" t="s">
        <v>67</v>
      </c>
      <c r="Y643" s="4">
        <v>636</v>
      </c>
      <c r="Z643" s="4">
        <v>27</v>
      </c>
      <c r="AA643" s="4">
        <v>37</v>
      </c>
      <c r="AB643" s="4">
        <v>3</v>
      </c>
      <c r="AC643" s="4">
        <v>5</v>
      </c>
      <c r="AD643" s="4">
        <v>115</v>
      </c>
      <c r="AE643" s="4">
        <v>132</v>
      </c>
      <c r="AF643" s="4">
        <v>1</v>
      </c>
      <c r="AG643" s="4">
        <v>2</v>
      </c>
      <c r="AH643" s="4">
        <v>98</v>
      </c>
      <c r="AI643" s="4">
        <v>109</v>
      </c>
      <c r="AJ643" s="4">
        <v>19</v>
      </c>
      <c r="AK643" s="4">
        <v>23</v>
      </c>
      <c r="AL643" s="4">
        <v>54</v>
      </c>
      <c r="AM643" s="4">
        <v>60</v>
      </c>
      <c r="AN643" s="4">
        <v>0</v>
      </c>
      <c r="AO643" s="4">
        <v>4</v>
      </c>
      <c r="AP643" s="4">
        <v>22</v>
      </c>
      <c r="AQ643" s="4">
        <v>30</v>
      </c>
      <c r="AR643" s="3" t="s">
        <v>62</v>
      </c>
      <c r="AS643" s="3" t="s">
        <v>62</v>
      </c>
      <c r="AT643" s="3" t="s">
        <v>61</v>
      </c>
      <c r="AU643" s="6" t="str">
        <f>HYPERLINK("http://catalog.hathitrust.org/Record/001474375","HathiTrust Record")</f>
        <v>HathiTrust Record</v>
      </c>
      <c r="AV643" s="6" t="str">
        <f>HYPERLINK("http://mcgill.on.worldcat.org/oclc/519825","Catalog Record")</f>
        <v>Catalog Record</v>
      </c>
      <c r="AW643" s="6" t="str">
        <f>HYPERLINK("http://www.worldcat.org/oclc/519825","WorldCat Record")</f>
        <v>WorldCat Record</v>
      </c>
      <c r="AX643" s="3" t="s">
        <v>6453</v>
      </c>
      <c r="AY643" s="3" t="s">
        <v>6454</v>
      </c>
      <c r="AZ643" s="3" t="s">
        <v>6455</v>
      </c>
      <c r="BA643" s="3" t="s">
        <v>6455</v>
      </c>
      <c r="BB643" s="3" t="s">
        <v>6456</v>
      </c>
      <c r="BC643" s="3" t="s">
        <v>102</v>
      </c>
      <c r="BD643" s="3" t="s">
        <v>68</v>
      </c>
      <c r="BF643" s="3" t="s">
        <v>6456</v>
      </c>
      <c r="BG643" s="3" t="s">
        <v>6457</v>
      </c>
    </row>
    <row r="644" spans="1:59" ht="58" x14ac:dyDescent="0.35">
      <c r="A644" s="2" t="s">
        <v>89</v>
      </c>
      <c r="B644" s="2" t="s">
        <v>90</v>
      </c>
      <c r="C644" s="2" t="s">
        <v>6458</v>
      </c>
      <c r="D644" s="2" t="s">
        <v>6459</v>
      </c>
      <c r="E644" s="2" t="s">
        <v>6460</v>
      </c>
      <c r="G644" s="3" t="s">
        <v>62</v>
      </c>
      <c r="I644" s="3" t="s">
        <v>61</v>
      </c>
      <c r="J644" s="3" t="s">
        <v>61</v>
      </c>
      <c r="K644" s="3" t="s">
        <v>63</v>
      </c>
      <c r="M644" s="2" t="s">
        <v>6461</v>
      </c>
      <c r="N644" s="3" t="s">
        <v>87</v>
      </c>
      <c r="P644" s="3" t="s">
        <v>64</v>
      </c>
      <c r="R644" s="3" t="s">
        <v>65</v>
      </c>
      <c r="S644" s="4">
        <v>0</v>
      </c>
      <c r="T644" s="4">
        <v>3</v>
      </c>
      <c r="V644" s="5" t="s">
        <v>6462</v>
      </c>
      <c r="W644" s="5" t="s">
        <v>67</v>
      </c>
      <c r="X644" s="5" t="s">
        <v>67</v>
      </c>
      <c r="Y644" s="4">
        <v>330</v>
      </c>
      <c r="Z644" s="4">
        <v>20</v>
      </c>
      <c r="AA644" s="4">
        <v>33</v>
      </c>
      <c r="AB644" s="4">
        <v>3</v>
      </c>
      <c r="AC644" s="4">
        <v>5</v>
      </c>
      <c r="AD644" s="4">
        <v>79</v>
      </c>
      <c r="AE644" s="4">
        <v>110</v>
      </c>
      <c r="AF644" s="4">
        <v>1</v>
      </c>
      <c r="AG644" s="4">
        <v>3</v>
      </c>
      <c r="AH644" s="4">
        <v>69</v>
      </c>
      <c r="AI644" s="4">
        <v>89</v>
      </c>
      <c r="AJ644" s="4">
        <v>13</v>
      </c>
      <c r="AK644" s="4">
        <v>18</v>
      </c>
      <c r="AL644" s="4">
        <v>41</v>
      </c>
      <c r="AM644" s="4">
        <v>53</v>
      </c>
      <c r="AN644" s="4">
        <v>0</v>
      </c>
      <c r="AO644" s="4">
        <v>0</v>
      </c>
      <c r="AP644" s="4">
        <v>14</v>
      </c>
      <c r="AQ644" s="4">
        <v>24</v>
      </c>
      <c r="AR644" s="3" t="s">
        <v>62</v>
      </c>
      <c r="AS644" s="3" t="s">
        <v>62</v>
      </c>
      <c r="AT644" s="3" t="s">
        <v>61</v>
      </c>
      <c r="AU644" s="6" t="str">
        <f>HYPERLINK("http://catalog.hathitrust.org/Record/000177852","HathiTrust Record")</f>
        <v>HathiTrust Record</v>
      </c>
      <c r="AV644" s="6" t="str">
        <f>HYPERLINK("http://mcgill.on.worldcat.org/oclc/4036902","Catalog Record")</f>
        <v>Catalog Record</v>
      </c>
      <c r="AW644" s="6" t="str">
        <f>HYPERLINK("http://www.worldcat.org/oclc/4036902","WorldCat Record")</f>
        <v>WorldCat Record</v>
      </c>
      <c r="AX644" s="3" t="s">
        <v>6463</v>
      </c>
      <c r="AY644" s="3" t="s">
        <v>6464</v>
      </c>
      <c r="AZ644" s="3" t="s">
        <v>6465</v>
      </c>
      <c r="BA644" s="3" t="s">
        <v>6465</v>
      </c>
      <c r="BB644" s="3" t="s">
        <v>6466</v>
      </c>
      <c r="BC644" s="3" t="s">
        <v>102</v>
      </c>
      <c r="BD644" s="3" t="s">
        <v>68</v>
      </c>
      <c r="BE644" s="3" t="s">
        <v>6467</v>
      </c>
      <c r="BF644" s="3" t="s">
        <v>6466</v>
      </c>
      <c r="BG644" s="3" t="s">
        <v>6468</v>
      </c>
    </row>
    <row r="645" spans="1:59" ht="58" x14ac:dyDescent="0.35">
      <c r="A645" s="2" t="s">
        <v>89</v>
      </c>
      <c r="B645" s="2" t="s">
        <v>90</v>
      </c>
      <c r="C645" s="2" t="s">
        <v>6469</v>
      </c>
      <c r="D645" s="2" t="s">
        <v>6470</v>
      </c>
      <c r="E645" s="2" t="s">
        <v>6471</v>
      </c>
      <c r="G645" s="3" t="s">
        <v>62</v>
      </c>
      <c r="I645" s="3" t="s">
        <v>62</v>
      </c>
      <c r="J645" s="3" t="s">
        <v>62</v>
      </c>
      <c r="K645" s="3" t="s">
        <v>63</v>
      </c>
      <c r="M645" s="2" t="s">
        <v>6472</v>
      </c>
      <c r="N645" s="3" t="s">
        <v>880</v>
      </c>
      <c r="P645" s="3" t="s">
        <v>64</v>
      </c>
      <c r="Q645" s="2" t="s">
        <v>6473</v>
      </c>
      <c r="R645" s="3" t="s">
        <v>65</v>
      </c>
      <c r="S645" s="4">
        <v>0</v>
      </c>
      <c r="T645" s="4">
        <v>0</v>
      </c>
      <c r="W645" s="5" t="s">
        <v>67</v>
      </c>
      <c r="X645" s="5" t="s">
        <v>67</v>
      </c>
      <c r="Y645" s="4">
        <v>51</v>
      </c>
      <c r="Z645" s="4">
        <v>2</v>
      </c>
      <c r="AA645" s="4">
        <v>36</v>
      </c>
      <c r="AB645" s="4">
        <v>1</v>
      </c>
      <c r="AC645" s="4">
        <v>11</v>
      </c>
      <c r="AD645" s="4">
        <v>16</v>
      </c>
      <c r="AE645" s="4">
        <v>76</v>
      </c>
      <c r="AF645" s="4">
        <v>0</v>
      </c>
      <c r="AG645" s="4">
        <v>6</v>
      </c>
      <c r="AH645" s="4">
        <v>14</v>
      </c>
      <c r="AI645" s="4">
        <v>51</v>
      </c>
      <c r="AJ645" s="4">
        <v>1</v>
      </c>
      <c r="AK645" s="4">
        <v>18</v>
      </c>
      <c r="AL645" s="4">
        <v>10</v>
      </c>
      <c r="AM645" s="4">
        <v>26</v>
      </c>
      <c r="AN645" s="4">
        <v>0</v>
      </c>
      <c r="AO645" s="4">
        <v>0</v>
      </c>
      <c r="AP645" s="4">
        <v>1</v>
      </c>
      <c r="AQ645" s="4">
        <v>30</v>
      </c>
      <c r="AR645" s="3" t="s">
        <v>62</v>
      </c>
      <c r="AS645" s="3" t="s">
        <v>62</v>
      </c>
      <c r="AT645" s="3" t="s">
        <v>62</v>
      </c>
      <c r="AV645" s="6" t="str">
        <f>HYPERLINK("http://mcgill.on.worldcat.org/oclc/668191366","Catalog Record")</f>
        <v>Catalog Record</v>
      </c>
      <c r="AW645" s="6" t="str">
        <f>HYPERLINK("http://www.worldcat.org/oclc/668191366","WorldCat Record")</f>
        <v>WorldCat Record</v>
      </c>
      <c r="AX645" s="3" t="s">
        <v>6474</v>
      </c>
      <c r="AY645" s="3" t="s">
        <v>6475</v>
      </c>
      <c r="AZ645" s="3" t="s">
        <v>6476</v>
      </c>
      <c r="BA645" s="3" t="s">
        <v>6476</v>
      </c>
      <c r="BB645" s="3" t="s">
        <v>6477</v>
      </c>
      <c r="BC645" s="3" t="s">
        <v>102</v>
      </c>
      <c r="BD645" s="3" t="s">
        <v>68</v>
      </c>
      <c r="BE645" s="3" t="s">
        <v>6478</v>
      </c>
      <c r="BF645" s="3" t="s">
        <v>6477</v>
      </c>
      <c r="BG645" s="3" t="s">
        <v>6479</v>
      </c>
    </row>
    <row r="646" spans="1:59" ht="58" x14ac:dyDescent="0.35">
      <c r="A646" s="2" t="s">
        <v>89</v>
      </c>
      <c r="B646" s="2" t="s">
        <v>90</v>
      </c>
      <c r="C646" s="2" t="s">
        <v>6480</v>
      </c>
      <c r="D646" s="2" t="s">
        <v>6481</v>
      </c>
      <c r="E646" s="2" t="s">
        <v>6482</v>
      </c>
      <c r="G646" s="3" t="s">
        <v>62</v>
      </c>
      <c r="I646" s="3" t="s">
        <v>62</v>
      </c>
      <c r="J646" s="3" t="s">
        <v>62</v>
      </c>
      <c r="K646" s="3" t="s">
        <v>63</v>
      </c>
      <c r="L646" s="2" t="s">
        <v>6483</v>
      </c>
      <c r="M646" s="2" t="s">
        <v>6472</v>
      </c>
      <c r="N646" s="3" t="s">
        <v>880</v>
      </c>
      <c r="P646" s="3" t="s">
        <v>64</v>
      </c>
      <c r="Q646" s="2" t="s">
        <v>6484</v>
      </c>
      <c r="R646" s="3" t="s">
        <v>65</v>
      </c>
      <c r="S646" s="4">
        <v>3</v>
      </c>
      <c r="T646" s="4">
        <v>3</v>
      </c>
      <c r="U646" s="5" t="s">
        <v>6485</v>
      </c>
      <c r="V646" s="5" t="s">
        <v>6485</v>
      </c>
      <c r="W646" s="5" t="s">
        <v>67</v>
      </c>
      <c r="X646" s="5" t="s">
        <v>67</v>
      </c>
      <c r="Y646" s="4">
        <v>2</v>
      </c>
      <c r="Z646" s="4">
        <v>1</v>
      </c>
      <c r="AA646" s="4">
        <v>47</v>
      </c>
      <c r="AB646" s="4">
        <v>1</v>
      </c>
      <c r="AC646" s="4">
        <v>14</v>
      </c>
      <c r="AD646" s="4">
        <v>0</v>
      </c>
      <c r="AE646" s="4">
        <v>112</v>
      </c>
      <c r="AF646" s="4">
        <v>0</v>
      </c>
      <c r="AG646" s="4">
        <v>8</v>
      </c>
      <c r="AH646" s="4">
        <v>0</v>
      </c>
      <c r="AI646" s="4">
        <v>81</v>
      </c>
      <c r="AJ646" s="4">
        <v>0</v>
      </c>
      <c r="AK646" s="4">
        <v>20</v>
      </c>
      <c r="AL646" s="4">
        <v>0</v>
      </c>
      <c r="AM646" s="4">
        <v>45</v>
      </c>
      <c r="AN646" s="4">
        <v>0</v>
      </c>
      <c r="AO646" s="4">
        <v>0</v>
      </c>
      <c r="AP646" s="4">
        <v>0</v>
      </c>
      <c r="AQ646" s="4">
        <v>38</v>
      </c>
      <c r="AR646" s="3" t="s">
        <v>62</v>
      </c>
      <c r="AS646" s="3" t="s">
        <v>62</v>
      </c>
      <c r="AT646" s="3" t="s">
        <v>62</v>
      </c>
      <c r="AV646" s="6" t="str">
        <f>HYPERLINK("http://mcgill.on.worldcat.org/oclc/745458225","Catalog Record")</f>
        <v>Catalog Record</v>
      </c>
      <c r="AW646" s="6" t="str">
        <f>HYPERLINK("http://www.worldcat.org/oclc/745458225","WorldCat Record")</f>
        <v>WorldCat Record</v>
      </c>
      <c r="AX646" s="3" t="s">
        <v>6486</v>
      </c>
      <c r="AY646" s="3" t="s">
        <v>6487</v>
      </c>
      <c r="AZ646" s="3" t="s">
        <v>6488</v>
      </c>
      <c r="BA646" s="3" t="s">
        <v>6488</v>
      </c>
      <c r="BB646" s="3" t="s">
        <v>6489</v>
      </c>
      <c r="BC646" s="3" t="s">
        <v>102</v>
      </c>
      <c r="BD646" s="3" t="s">
        <v>68</v>
      </c>
      <c r="BE646" s="3" t="s">
        <v>6490</v>
      </c>
      <c r="BF646" s="3" t="s">
        <v>6489</v>
      </c>
      <c r="BG646" s="3" t="s">
        <v>6491</v>
      </c>
    </row>
    <row r="647" spans="1:59" ht="58" x14ac:dyDescent="0.35">
      <c r="A647" s="2" t="s">
        <v>89</v>
      </c>
      <c r="B647" s="2" t="s">
        <v>90</v>
      </c>
      <c r="C647" s="2" t="s">
        <v>6492</v>
      </c>
      <c r="D647" s="2" t="s">
        <v>6493</v>
      </c>
      <c r="E647" s="2" t="s">
        <v>6494</v>
      </c>
      <c r="G647" s="3" t="s">
        <v>62</v>
      </c>
      <c r="I647" s="3" t="s">
        <v>62</v>
      </c>
      <c r="J647" s="3" t="s">
        <v>62</v>
      </c>
      <c r="K647" s="3" t="s">
        <v>63</v>
      </c>
      <c r="L647" s="2" t="s">
        <v>6495</v>
      </c>
      <c r="M647" s="2" t="s">
        <v>6496</v>
      </c>
      <c r="N647" s="3" t="s">
        <v>553</v>
      </c>
      <c r="P647" s="3" t="s">
        <v>64</v>
      </c>
      <c r="R647" s="3" t="s">
        <v>65</v>
      </c>
      <c r="S647" s="4">
        <v>24</v>
      </c>
      <c r="T647" s="4">
        <v>24</v>
      </c>
      <c r="U647" s="5" t="s">
        <v>2714</v>
      </c>
      <c r="V647" s="5" t="s">
        <v>2714</v>
      </c>
      <c r="W647" s="5" t="s">
        <v>67</v>
      </c>
      <c r="X647" s="5" t="s">
        <v>67</v>
      </c>
      <c r="Y647" s="4">
        <v>175</v>
      </c>
      <c r="Z647" s="4">
        <v>12</v>
      </c>
      <c r="AA647" s="4">
        <v>27</v>
      </c>
      <c r="AB647" s="4">
        <v>1</v>
      </c>
      <c r="AC647" s="4">
        <v>4</v>
      </c>
      <c r="AD647" s="4">
        <v>16</v>
      </c>
      <c r="AE647" s="4">
        <v>31</v>
      </c>
      <c r="AF647" s="4">
        <v>0</v>
      </c>
      <c r="AG647" s="4">
        <v>0</v>
      </c>
      <c r="AH647" s="4">
        <v>13</v>
      </c>
      <c r="AI647" s="4">
        <v>25</v>
      </c>
      <c r="AJ647" s="4">
        <v>6</v>
      </c>
      <c r="AK647" s="4">
        <v>7</v>
      </c>
      <c r="AL647" s="4">
        <v>5</v>
      </c>
      <c r="AM647" s="4">
        <v>11</v>
      </c>
      <c r="AN647" s="4">
        <v>0</v>
      </c>
      <c r="AO647" s="4">
        <v>0</v>
      </c>
      <c r="AP647" s="4">
        <v>8</v>
      </c>
      <c r="AQ647" s="4">
        <v>10</v>
      </c>
      <c r="AR647" s="3" t="s">
        <v>62</v>
      </c>
      <c r="AS647" s="3" t="s">
        <v>62</v>
      </c>
      <c r="AT647" s="3" t="s">
        <v>62</v>
      </c>
      <c r="AV647" s="6" t="str">
        <f>HYPERLINK("http://mcgill.on.worldcat.org/oclc/40902377","Catalog Record")</f>
        <v>Catalog Record</v>
      </c>
      <c r="AW647" s="6" t="str">
        <f>HYPERLINK("http://www.worldcat.org/oclc/40902377","WorldCat Record")</f>
        <v>WorldCat Record</v>
      </c>
      <c r="AX647" s="3" t="s">
        <v>6497</v>
      </c>
      <c r="AY647" s="3" t="s">
        <v>6498</v>
      </c>
      <c r="AZ647" s="3" t="s">
        <v>6499</v>
      </c>
      <c r="BA647" s="3" t="s">
        <v>6499</v>
      </c>
      <c r="BB647" s="3" t="s">
        <v>6500</v>
      </c>
      <c r="BC647" s="3" t="s">
        <v>102</v>
      </c>
      <c r="BD647" s="3" t="s">
        <v>68</v>
      </c>
      <c r="BE647" s="3" t="s">
        <v>6501</v>
      </c>
      <c r="BF647" s="3" t="s">
        <v>6500</v>
      </c>
      <c r="BG647" s="3" t="s">
        <v>6502</v>
      </c>
    </row>
    <row r="648" spans="1:59" ht="58" x14ac:dyDescent="0.35">
      <c r="A648" s="2" t="s">
        <v>89</v>
      </c>
      <c r="B648" s="2" t="s">
        <v>90</v>
      </c>
      <c r="C648" s="2" t="s">
        <v>6503</v>
      </c>
      <c r="D648" s="2" t="s">
        <v>6504</v>
      </c>
      <c r="E648" s="2" t="s">
        <v>6505</v>
      </c>
      <c r="G648" s="3" t="s">
        <v>62</v>
      </c>
      <c r="I648" s="3" t="s">
        <v>61</v>
      </c>
      <c r="J648" s="3" t="s">
        <v>62</v>
      </c>
      <c r="K648" s="3" t="s">
        <v>63</v>
      </c>
      <c r="L648" s="2" t="s">
        <v>6506</v>
      </c>
      <c r="M648" s="2" t="s">
        <v>6507</v>
      </c>
      <c r="N648" s="3" t="s">
        <v>539</v>
      </c>
      <c r="P648" s="3" t="s">
        <v>64</v>
      </c>
      <c r="R648" s="3" t="s">
        <v>65</v>
      </c>
      <c r="S648" s="4">
        <v>6</v>
      </c>
      <c r="T648" s="4">
        <v>13</v>
      </c>
      <c r="U648" s="5" t="s">
        <v>2963</v>
      </c>
      <c r="V648" s="5" t="s">
        <v>2963</v>
      </c>
      <c r="W648" s="5" t="s">
        <v>67</v>
      </c>
      <c r="X648" s="5" t="s">
        <v>67</v>
      </c>
      <c r="Y648" s="4">
        <v>604</v>
      </c>
      <c r="Z648" s="4">
        <v>34</v>
      </c>
      <c r="AA648" s="4">
        <v>38</v>
      </c>
      <c r="AB648" s="4">
        <v>2</v>
      </c>
      <c r="AC648" s="4">
        <v>5</v>
      </c>
      <c r="AD648" s="4">
        <v>110</v>
      </c>
      <c r="AE648" s="4">
        <v>113</v>
      </c>
      <c r="AF648" s="4">
        <v>1</v>
      </c>
      <c r="AG648" s="4">
        <v>3</v>
      </c>
      <c r="AH648" s="4">
        <v>92</v>
      </c>
      <c r="AI648" s="4">
        <v>93</v>
      </c>
      <c r="AJ648" s="4">
        <v>16</v>
      </c>
      <c r="AK648" s="4">
        <v>19</v>
      </c>
      <c r="AL648" s="4">
        <v>50</v>
      </c>
      <c r="AM648" s="4">
        <v>50</v>
      </c>
      <c r="AN648" s="4">
        <v>0</v>
      </c>
      <c r="AO648" s="4">
        <v>0</v>
      </c>
      <c r="AP648" s="4">
        <v>24</v>
      </c>
      <c r="AQ648" s="4">
        <v>26</v>
      </c>
      <c r="AR648" s="3" t="s">
        <v>62</v>
      </c>
      <c r="AS648" s="3" t="s">
        <v>62</v>
      </c>
      <c r="AT648" s="3" t="s">
        <v>62</v>
      </c>
      <c r="AV648" s="6" t="str">
        <f>HYPERLINK("http://mcgill.on.worldcat.org/oclc/38976304","Catalog Record")</f>
        <v>Catalog Record</v>
      </c>
      <c r="AW648" s="6" t="str">
        <f>HYPERLINK("http://www.worldcat.org/oclc/38976304","WorldCat Record")</f>
        <v>WorldCat Record</v>
      </c>
      <c r="AX648" s="3" t="s">
        <v>6508</v>
      </c>
      <c r="AY648" s="3" t="s">
        <v>6509</v>
      </c>
      <c r="AZ648" s="3" t="s">
        <v>6510</v>
      </c>
      <c r="BA648" s="3" t="s">
        <v>6510</v>
      </c>
      <c r="BB648" s="3" t="s">
        <v>6511</v>
      </c>
      <c r="BC648" s="3" t="s">
        <v>102</v>
      </c>
      <c r="BD648" s="3" t="s">
        <v>68</v>
      </c>
      <c r="BE648" s="3" t="s">
        <v>6512</v>
      </c>
      <c r="BF648" s="3" t="s">
        <v>6511</v>
      </c>
      <c r="BG648" s="3" t="s">
        <v>6513</v>
      </c>
    </row>
    <row r="649" spans="1:59" ht="58" x14ac:dyDescent="0.35">
      <c r="A649" s="2" t="s">
        <v>89</v>
      </c>
      <c r="B649" s="2" t="s">
        <v>90</v>
      </c>
      <c r="C649" s="2" t="s">
        <v>6514</v>
      </c>
      <c r="D649" s="2" t="s">
        <v>6515</v>
      </c>
      <c r="E649" s="2" t="s">
        <v>6516</v>
      </c>
      <c r="G649" s="3" t="s">
        <v>62</v>
      </c>
      <c r="I649" s="3" t="s">
        <v>62</v>
      </c>
      <c r="J649" s="3" t="s">
        <v>61</v>
      </c>
      <c r="K649" s="3" t="s">
        <v>63</v>
      </c>
      <c r="L649" s="2" t="s">
        <v>6517</v>
      </c>
      <c r="M649" s="2" t="s">
        <v>6518</v>
      </c>
      <c r="N649" s="3" t="s">
        <v>712</v>
      </c>
      <c r="O649" s="2" t="s">
        <v>6519</v>
      </c>
      <c r="P649" s="3" t="s">
        <v>64</v>
      </c>
      <c r="R649" s="3" t="s">
        <v>65</v>
      </c>
      <c r="S649" s="4">
        <v>18</v>
      </c>
      <c r="T649" s="4">
        <v>18</v>
      </c>
      <c r="U649" s="5" t="s">
        <v>1052</v>
      </c>
      <c r="V649" s="5" t="s">
        <v>1052</v>
      </c>
      <c r="W649" s="5" t="s">
        <v>67</v>
      </c>
      <c r="X649" s="5" t="s">
        <v>67</v>
      </c>
      <c r="Y649" s="4">
        <v>7</v>
      </c>
      <c r="Z649" s="4">
        <v>1</v>
      </c>
      <c r="AA649" s="4">
        <v>71</v>
      </c>
      <c r="AB649" s="4">
        <v>1</v>
      </c>
      <c r="AC649" s="4">
        <v>14</v>
      </c>
      <c r="AD649" s="4">
        <v>0</v>
      </c>
      <c r="AE649" s="4">
        <v>136</v>
      </c>
      <c r="AF649" s="4">
        <v>0</v>
      </c>
      <c r="AG649" s="4">
        <v>5</v>
      </c>
      <c r="AH649" s="4">
        <v>0</v>
      </c>
      <c r="AI649" s="4">
        <v>107</v>
      </c>
      <c r="AJ649" s="4">
        <v>0</v>
      </c>
      <c r="AK649" s="4">
        <v>24</v>
      </c>
      <c r="AL649" s="4">
        <v>0</v>
      </c>
      <c r="AM649" s="4">
        <v>58</v>
      </c>
      <c r="AN649" s="4">
        <v>0</v>
      </c>
      <c r="AO649" s="4">
        <v>0</v>
      </c>
      <c r="AP649" s="4">
        <v>0</v>
      </c>
      <c r="AQ649" s="4">
        <v>37</v>
      </c>
      <c r="AR649" s="3" t="s">
        <v>62</v>
      </c>
      <c r="AS649" s="3" t="s">
        <v>62</v>
      </c>
      <c r="AT649" s="3" t="s">
        <v>62</v>
      </c>
      <c r="AV649" s="6" t="str">
        <f>HYPERLINK("http://mcgill.on.worldcat.org/oclc/903174575","Catalog Record")</f>
        <v>Catalog Record</v>
      </c>
      <c r="AW649" s="6" t="str">
        <f>HYPERLINK("http://www.worldcat.org/oclc/903174575","WorldCat Record")</f>
        <v>WorldCat Record</v>
      </c>
      <c r="AX649" s="3" t="s">
        <v>6520</v>
      </c>
      <c r="AY649" s="3" t="s">
        <v>6521</v>
      </c>
      <c r="AZ649" s="3" t="s">
        <v>6522</v>
      </c>
      <c r="BA649" s="3" t="s">
        <v>6522</v>
      </c>
      <c r="BB649" s="3" t="s">
        <v>6523</v>
      </c>
      <c r="BC649" s="3" t="s">
        <v>102</v>
      </c>
      <c r="BD649" s="3" t="s">
        <v>68</v>
      </c>
      <c r="BE649" s="3" t="s">
        <v>6524</v>
      </c>
      <c r="BF649" s="3" t="s">
        <v>6523</v>
      </c>
      <c r="BG649" s="3" t="s">
        <v>6525</v>
      </c>
    </row>
    <row r="650" spans="1:59" ht="58" x14ac:dyDescent="0.35">
      <c r="A650" s="2" t="s">
        <v>89</v>
      </c>
      <c r="B650" s="2" t="s">
        <v>6124</v>
      </c>
      <c r="C650" s="2" t="s">
        <v>6526</v>
      </c>
      <c r="D650" s="2" t="s">
        <v>6527</v>
      </c>
      <c r="E650" s="2" t="s">
        <v>6528</v>
      </c>
      <c r="G650" s="3" t="s">
        <v>62</v>
      </c>
      <c r="I650" s="3" t="s">
        <v>62</v>
      </c>
      <c r="J650" s="3" t="s">
        <v>62</v>
      </c>
      <c r="K650" s="3" t="s">
        <v>63</v>
      </c>
      <c r="L650" s="2" t="s">
        <v>6529</v>
      </c>
      <c r="M650" s="2" t="s">
        <v>6530</v>
      </c>
      <c r="N650" s="3" t="s">
        <v>880</v>
      </c>
      <c r="P650" s="3" t="s">
        <v>64</v>
      </c>
      <c r="R650" s="3" t="s">
        <v>65</v>
      </c>
      <c r="S650" s="4">
        <v>7</v>
      </c>
      <c r="T650" s="4">
        <v>7</v>
      </c>
      <c r="U650" s="5" t="s">
        <v>6531</v>
      </c>
      <c r="V650" s="5" t="s">
        <v>6531</v>
      </c>
      <c r="W650" s="5" t="s">
        <v>67</v>
      </c>
      <c r="X650" s="5" t="s">
        <v>67</v>
      </c>
      <c r="Y650" s="4">
        <v>955</v>
      </c>
      <c r="Z650" s="4">
        <v>47</v>
      </c>
      <c r="AA650" s="4">
        <v>61</v>
      </c>
      <c r="AB650" s="4">
        <v>2</v>
      </c>
      <c r="AC650" s="4">
        <v>7</v>
      </c>
      <c r="AD650" s="4">
        <v>102</v>
      </c>
      <c r="AE650" s="4">
        <v>125</v>
      </c>
      <c r="AF650" s="4">
        <v>1</v>
      </c>
      <c r="AG650" s="4">
        <v>4</v>
      </c>
      <c r="AH650" s="4">
        <v>84</v>
      </c>
      <c r="AI650" s="4">
        <v>99</v>
      </c>
      <c r="AJ650" s="4">
        <v>13</v>
      </c>
      <c r="AK650" s="4">
        <v>18</v>
      </c>
      <c r="AL650" s="4">
        <v>45</v>
      </c>
      <c r="AM650" s="4">
        <v>52</v>
      </c>
      <c r="AN650" s="4">
        <v>0</v>
      </c>
      <c r="AO650" s="4">
        <v>0</v>
      </c>
      <c r="AP650" s="4">
        <v>25</v>
      </c>
      <c r="AQ650" s="4">
        <v>33</v>
      </c>
      <c r="AR650" s="3" t="s">
        <v>62</v>
      </c>
      <c r="AS650" s="3" t="s">
        <v>62</v>
      </c>
      <c r="AT650" s="3" t="s">
        <v>61</v>
      </c>
      <c r="AU650" s="6" t="str">
        <f>HYPERLINK("http://catalog.hathitrust.org/Record/007932430","HathiTrust Record")</f>
        <v>HathiTrust Record</v>
      </c>
      <c r="AV650" s="6" t="str">
        <f>HYPERLINK("http://mcgill.on.worldcat.org/oclc/457149439","Catalog Record")</f>
        <v>Catalog Record</v>
      </c>
      <c r="AW650" s="6" t="str">
        <f>HYPERLINK("http://www.worldcat.org/oclc/457149439","WorldCat Record")</f>
        <v>WorldCat Record</v>
      </c>
      <c r="AX650" s="3" t="s">
        <v>6532</v>
      </c>
      <c r="AY650" s="3" t="s">
        <v>6533</v>
      </c>
      <c r="AZ650" s="3" t="s">
        <v>6534</v>
      </c>
      <c r="BA650" s="3" t="s">
        <v>6534</v>
      </c>
      <c r="BB650" s="3" t="s">
        <v>6535</v>
      </c>
      <c r="BC650" s="3" t="s">
        <v>102</v>
      </c>
      <c r="BD650" s="3" t="s">
        <v>231</v>
      </c>
      <c r="BE650" s="3" t="s">
        <v>6536</v>
      </c>
      <c r="BF650" s="3" t="s">
        <v>6535</v>
      </c>
      <c r="BG650" s="3" t="s">
        <v>6537</v>
      </c>
    </row>
    <row r="651" spans="1:59" ht="58" x14ac:dyDescent="0.35">
      <c r="A651" s="2" t="s">
        <v>89</v>
      </c>
      <c r="B651" s="2" t="s">
        <v>90</v>
      </c>
      <c r="C651" s="2" t="s">
        <v>6538</v>
      </c>
      <c r="D651" s="2" t="s">
        <v>6539</v>
      </c>
      <c r="E651" s="2" t="s">
        <v>6540</v>
      </c>
      <c r="F651" s="3" t="s">
        <v>2233</v>
      </c>
      <c r="G651" s="3" t="s">
        <v>61</v>
      </c>
      <c r="I651" s="3" t="s">
        <v>62</v>
      </c>
      <c r="J651" s="3" t="s">
        <v>62</v>
      </c>
      <c r="K651" s="3" t="s">
        <v>63</v>
      </c>
      <c r="M651" s="2" t="s">
        <v>6541</v>
      </c>
      <c r="N651" s="3" t="s">
        <v>596</v>
      </c>
      <c r="P651" s="3" t="s">
        <v>64</v>
      </c>
      <c r="R651" s="3" t="s">
        <v>65</v>
      </c>
      <c r="S651" s="4">
        <v>1</v>
      </c>
      <c r="T651" s="4">
        <v>3</v>
      </c>
      <c r="U651" s="5" t="s">
        <v>6542</v>
      </c>
      <c r="V651" s="5" t="s">
        <v>6542</v>
      </c>
      <c r="W651" s="5" t="s">
        <v>67</v>
      </c>
      <c r="X651" s="5" t="s">
        <v>67</v>
      </c>
      <c r="Y651" s="4">
        <v>397</v>
      </c>
      <c r="Z651" s="4">
        <v>21</v>
      </c>
      <c r="AA651" s="4">
        <v>46</v>
      </c>
      <c r="AB651" s="4">
        <v>1</v>
      </c>
      <c r="AC651" s="4">
        <v>7</v>
      </c>
      <c r="AD651" s="4">
        <v>59</v>
      </c>
      <c r="AE651" s="4">
        <v>65</v>
      </c>
      <c r="AF651" s="4">
        <v>0</v>
      </c>
      <c r="AG651" s="4">
        <v>1</v>
      </c>
      <c r="AH651" s="4">
        <v>50</v>
      </c>
      <c r="AI651" s="4">
        <v>54</v>
      </c>
      <c r="AJ651" s="4">
        <v>6</v>
      </c>
      <c r="AK651" s="4">
        <v>8</v>
      </c>
      <c r="AL651" s="4">
        <v>24</v>
      </c>
      <c r="AM651" s="4">
        <v>25</v>
      </c>
      <c r="AN651" s="4">
        <v>0</v>
      </c>
      <c r="AO651" s="4">
        <v>0</v>
      </c>
      <c r="AP651" s="4">
        <v>13</v>
      </c>
      <c r="AQ651" s="4">
        <v>16</v>
      </c>
      <c r="AR651" s="3" t="s">
        <v>62</v>
      </c>
      <c r="AS651" s="3" t="s">
        <v>62</v>
      </c>
      <c r="AT651" s="3" t="s">
        <v>61</v>
      </c>
      <c r="AU651" s="6" t="str">
        <f>HYPERLINK("http://catalog.hathitrust.org/Record/008852425","HathiTrust Record")</f>
        <v>HathiTrust Record</v>
      </c>
      <c r="AV651" s="6" t="str">
        <f>HYPERLINK("http://mcgill.on.worldcat.org/oclc/50155642","Catalog Record")</f>
        <v>Catalog Record</v>
      </c>
      <c r="AW651" s="6" t="str">
        <f>HYPERLINK("http://www.worldcat.org/oclc/50155642","WorldCat Record")</f>
        <v>WorldCat Record</v>
      </c>
      <c r="AX651" s="3" t="s">
        <v>6543</v>
      </c>
      <c r="AY651" s="3" t="s">
        <v>6544</v>
      </c>
      <c r="AZ651" s="3" t="s">
        <v>6545</v>
      </c>
      <c r="BA651" s="3" t="s">
        <v>6545</v>
      </c>
      <c r="BB651" s="3" t="s">
        <v>6546</v>
      </c>
      <c r="BC651" s="3" t="s">
        <v>102</v>
      </c>
      <c r="BD651" s="3" t="s">
        <v>68</v>
      </c>
      <c r="BE651" s="3" t="s">
        <v>6547</v>
      </c>
      <c r="BF651" s="3" t="s">
        <v>6546</v>
      </c>
      <c r="BG651" s="3" t="s">
        <v>6548</v>
      </c>
    </row>
    <row r="652" spans="1:59" ht="58" x14ac:dyDescent="0.35">
      <c r="A652" s="2" t="s">
        <v>89</v>
      </c>
      <c r="B652" s="2" t="s">
        <v>90</v>
      </c>
      <c r="C652" s="2" t="s">
        <v>6538</v>
      </c>
      <c r="D652" s="2" t="s">
        <v>6539</v>
      </c>
      <c r="E652" s="2" t="s">
        <v>6540</v>
      </c>
      <c r="F652" s="3" t="s">
        <v>2217</v>
      </c>
      <c r="G652" s="3" t="s">
        <v>61</v>
      </c>
      <c r="I652" s="3" t="s">
        <v>62</v>
      </c>
      <c r="J652" s="3" t="s">
        <v>62</v>
      </c>
      <c r="K652" s="3" t="s">
        <v>63</v>
      </c>
      <c r="M652" s="2" t="s">
        <v>6541</v>
      </c>
      <c r="N652" s="3" t="s">
        <v>596</v>
      </c>
      <c r="P652" s="3" t="s">
        <v>64</v>
      </c>
      <c r="R652" s="3" t="s">
        <v>65</v>
      </c>
      <c r="S652" s="4">
        <v>2</v>
      </c>
      <c r="T652" s="4">
        <v>3</v>
      </c>
      <c r="U652" s="5" t="s">
        <v>6531</v>
      </c>
      <c r="V652" s="5" t="s">
        <v>6542</v>
      </c>
      <c r="W652" s="5" t="s">
        <v>67</v>
      </c>
      <c r="X652" s="5" t="s">
        <v>67</v>
      </c>
      <c r="Y652" s="4">
        <v>397</v>
      </c>
      <c r="Z652" s="4">
        <v>21</v>
      </c>
      <c r="AA652" s="4">
        <v>46</v>
      </c>
      <c r="AB652" s="4">
        <v>1</v>
      </c>
      <c r="AC652" s="4">
        <v>7</v>
      </c>
      <c r="AD652" s="4">
        <v>59</v>
      </c>
      <c r="AE652" s="4">
        <v>65</v>
      </c>
      <c r="AF652" s="4">
        <v>0</v>
      </c>
      <c r="AG652" s="4">
        <v>1</v>
      </c>
      <c r="AH652" s="4">
        <v>50</v>
      </c>
      <c r="AI652" s="4">
        <v>54</v>
      </c>
      <c r="AJ652" s="4">
        <v>6</v>
      </c>
      <c r="AK652" s="4">
        <v>8</v>
      </c>
      <c r="AL652" s="4">
        <v>24</v>
      </c>
      <c r="AM652" s="4">
        <v>25</v>
      </c>
      <c r="AN652" s="4">
        <v>0</v>
      </c>
      <c r="AO652" s="4">
        <v>0</v>
      </c>
      <c r="AP652" s="4">
        <v>13</v>
      </c>
      <c r="AQ652" s="4">
        <v>16</v>
      </c>
      <c r="AR652" s="3" t="s">
        <v>62</v>
      </c>
      <c r="AS652" s="3" t="s">
        <v>62</v>
      </c>
      <c r="AT652" s="3" t="s">
        <v>61</v>
      </c>
      <c r="AU652" s="6" t="str">
        <f>HYPERLINK("http://catalog.hathitrust.org/Record/008852425","HathiTrust Record")</f>
        <v>HathiTrust Record</v>
      </c>
      <c r="AV652" s="6" t="str">
        <f>HYPERLINK("http://mcgill.on.worldcat.org/oclc/50155642","Catalog Record")</f>
        <v>Catalog Record</v>
      </c>
      <c r="AW652" s="6" t="str">
        <f>HYPERLINK("http://www.worldcat.org/oclc/50155642","WorldCat Record")</f>
        <v>WorldCat Record</v>
      </c>
      <c r="AX652" s="3" t="s">
        <v>6543</v>
      </c>
      <c r="AY652" s="3" t="s">
        <v>6544</v>
      </c>
      <c r="AZ652" s="3" t="s">
        <v>6545</v>
      </c>
      <c r="BA652" s="3" t="s">
        <v>6545</v>
      </c>
      <c r="BB652" s="3" t="s">
        <v>6549</v>
      </c>
      <c r="BC652" s="3" t="s">
        <v>102</v>
      </c>
      <c r="BD652" s="3" t="s">
        <v>68</v>
      </c>
      <c r="BE652" s="3" t="s">
        <v>6547</v>
      </c>
      <c r="BF652" s="3" t="s">
        <v>6549</v>
      </c>
      <c r="BG652" s="3" t="s">
        <v>6550</v>
      </c>
    </row>
    <row r="653" spans="1:59" ht="72.5" x14ac:dyDescent="0.35">
      <c r="A653" s="2" t="s">
        <v>89</v>
      </c>
      <c r="B653" s="2" t="s">
        <v>90</v>
      </c>
      <c r="C653" s="2" t="s">
        <v>6551</v>
      </c>
      <c r="D653" s="2" t="s">
        <v>6552</v>
      </c>
      <c r="E653" s="2" t="s">
        <v>6553</v>
      </c>
      <c r="G653" s="3" t="s">
        <v>62</v>
      </c>
      <c r="I653" s="3" t="s">
        <v>62</v>
      </c>
      <c r="J653" s="3" t="s">
        <v>62</v>
      </c>
      <c r="K653" s="3" t="s">
        <v>63</v>
      </c>
      <c r="L653" s="2" t="s">
        <v>6554</v>
      </c>
      <c r="M653" s="2" t="s">
        <v>6555</v>
      </c>
      <c r="N653" s="3" t="s">
        <v>655</v>
      </c>
      <c r="P653" s="3" t="s">
        <v>64</v>
      </c>
      <c r="R653" s="3" t="s">
        <v>65</v>
      </c>
      <c r="S653" s="4">
        <v>3</v>
      </c>
      <c r="T653" s="4">
        <v>3</v>
      </c>
      <c r="U653" s="5" t="s">
        <v>6556</v>
      </c>
      <c r="V653" s="5" t="s">
        <v>6556</v>
      </c>
      <c r="W653" s="5" t="s">
        <v>67</v>
      </c>
      <c r="X653" s="5" t="s">
        <v>67</v>
      </c>
      <c r="Y653" s="4">
        <v>126</v>
      </c>
      <c r="Z653" s="4">
        <v>8</v>
      </c>
      <c r="AA653" s="4">
        <v>48</v>
      </c>
      <c r="AB653" s="4">
        <v>1</v>
      </c>
      <c r="AC653" s="4">
        <v>12</v>
      </c>
      <c r="AD653" s="4">
        <v>39</v>
      </c>
      <c r="AE653" s="4">
        <v>104</v>
      </c>
      <c r="AF653" s="4">
        <v>0</v>
      </c>
      <c r="AG653" s="4">
        <v>8</v>
      </c>
      <c r="AH653" s="4">
        <v>36</v>
      </c>
      <c r="AI653" s="4">
        <v>73</v>
      </c>
      <c r="AJ653" s="4">
        <v>4</v>
      </c>
      <c r="AK653" s="4">
        <v>23</v>
      </c>
      <c r="AL653" s="4">
        <v>25</v>
      </c>
      <c r="AM653" s="4">
        <v>40</v>
      </c>
      <c r="AN653" s="4">
        <v>0</v>
      </c>
      <c r="AO653" s="4">
        <v>0</v>
      </c>
      <c r="AP653" s="4">
        <v>5</v>
      </c>
      <c r="AQ653" s="4">
        <v>39</v>
      </c>
      <c r="AR653" s="3" t="s">
        <v>62</v>
      </c>
      <c r="AS653" s="3" t="s">
        <v>62</v>
      </c>
      <c r="AT653" s="3" t="s">
        <v>61</v>
      </c>
      <c r="AU653" s="6" t="str">
        <f>HYPERLINK("http://catalog.hathitrust.org/Record/005566907","HathiTrust Record")</f>
        <v>HathiTrust Record</v>
      </c>
      <c r="AV653" s="6" t="str">
        <f>HYPERLINK("http://mcgill.on.worldcat.org/oclc/85770212","Catalog Record")</f>
        <v>Catalog Record</v>
      </c>
      <c r="AW653" s="6" t="str">
        <f>HYPERLINK("http://www.worldcat.org/oclc/85770212","WorldCat Record")</f>
        <v>WorldCat Record</v>
      </c>
      <c r="AX653" s="3" t="s">
        <v>6557</v>
      </c>
      <c r="AY653" s="3" t="s">
        <v>6558</v>
      </c>
      <c r="AZ653" s="3" t="s">
        <v>6559</v>
      </c>
      <c r="BA653" s="3" t="s">
        <v>6559</v>
      </c>
      <c r="BB653" s="3" t="s">
        <v>6560</v>
      </c>
      <c r="BC653" s="3" t="s">
        <v>102</v>
      </c>
      <c r="BD653" s="3" t="s">
        <v>68</v>
      </c>
      <c r="BE653" s="3" t="s">
        <v>6561</v>
      </c>
      <c r="BF653" s="3" t="s">
        <v>6560</v>
      </c>
      <c r="BG653" s="3" t="s">
        <v>6562</v>
      </c>
    </row>
    <row r="654" spans="1:59" ht="58" x14ac:dyDescent="0.35">
      <c r="A654" s="2" t="s">
        <v>89</v>
      </c>
      <c r="B654" s="2" t="s">
        <v>90</v>
      </c>
      <c r="C654" s="2" t="s">
        <v>6563</v>
      </c>
      <c r="D654" s="2" t="s">
        <v>6564</v>
      </c>
      <c r="E654" s="2" t="s">
        <v>6565</v>
      </c>
      <c r="G654" s="3" t="s">
        <v>62</v>
      </c>
      <c r="I654" s="3" t="s">
        <v>62</v>
      </c>
      <c r="J654" s="3" t="s">
        <v>62</v>
      </c>
      <c r="K654" s="3" t="s">
        <v>63</v>
      </c>
      <c r="L654" s="2" t="s">
        <v>6566</v>
      </c>
      <c r="M654" s="2" t="s">
        <v>6567</v>
      </c>
      <c r="N654" s="3" t="s">
        <v>129</v>
      </c>
      <c r="O654" s="2" t="s">
        <v>1941</v>
      </c>
      <c r="P654" s="3" t="s">
        <v>64</v>
      </c>
      <c r="Q654" s="2" t="s">
        <v>6568</v>
      </c>
      <c r="R654" s="3" t="s">
        <v>65</v>
      </c>
      <c r="S654" s="4">
        <v>1</v>
      </c>
      <c r="T654" s="4">
        <v>1</v>
      </c>
      <c r="U654" s="5" t="s">
        <v>6556</v>
      </c>
      <c r="V654" s="5" t="s">
        <v>6556</v>
      </c>
      <c r="W654" s="5" t="s">
        <v>67</v>
      </c>
      <c r="X654" s="5" t="s">
        <v>67</v>
      </c>
      <c r="Y654" s="4">
        <v>605</v>
      </c>
      <c r="Z654" s="4">
        <v>27</v>
      </c>
      <c r="AA654" s="4">
        <v>31</v>
      </c>
      <c r="AB654" s="4">
        <v>2</v>
      </c>
      <c r="AC654" s="4">
        <v>3</v>
      </c>
      <c r="AD654" s="4">
        <v>73</v>
      </c>
      <c r="AE654" s="4">
        <v>78</v>
      </c>
      <c r="AF654" s="4">
        <v>1</v>
      </c>
      <c r="AG654" s="4">
        <v>2</v>
      </c>
      <c r="AH654" s="4">
        <v>65</v>
      </c>
      <c r="AI654" s="4">
        <v>65</v>
      </c>
      <c r="AJ654" s="4">
        <v>10</v>
      </c>
      <c r="AK654" s="4">
        <v>12</v>
      </c>
      <c r="AL654" s="4">
        <v>37</v>
      </c>
      <c r="AM654" s="4">
        <v>38</v>
      </c>
      <c r="AN654" s="4">
        <v>0</v>
      </c>
      <c r="AO654" s="4">
        <v>0</v>
      </c>
      <c r="AP654" s="4">
        <v>15</v>
      </c>
      <c r="AQ654" s="4">
        <v>19</v>
      </c>
      <c r="AR654" s="3" t="s">
        <v>62</v>
      </c>
      <c r="AS654" s="3" t="s">
        <v>62</v>
      </c>
      <c r="AT654" s="3" t="s">
        <v>62</v>
      </c>
      <c r="AV654" s="6" t="str">
        <f>HYPERLINK("http://mcgill.on.worldcat.org/oclc/849721844","Catalog Record")</f>
        <v>Catalog Record</v>
      </c>
      <c r="AW654" s="6" t="str">
        <f>HYPERLINK("http://www.worldcat.org/oclc/849721844","WorldCat Record")</f>
        <v>WorldCat Record</v>
      </c>
      <c r="AX654" s="3" t="s">
        <v>6569</v>
      </c>
      <c r="AY654" s="3" t="s">
        <v>6570</v>
      </c>
      <c r="AZ654" s="3" t="s">
        <v>6571</v>
      </c>
      <c r="BA654" s="3" t="s">
        <v>6571</v>
      </c>
      <c r="BB654" s="3" t="s">
        <v>6572</v>
      </c>
      <c r="BC654" s="3" t="s">
        <v>102</v>
      </c>
      <c r="BD654" s="3" t="s">
        <v>68</v>
      </c>
      <c r="BE654" s="3" t="s">
        <v>6573</v>
      </c>
      <c r="BF654" s="3" t="s">
        <v>6572</v>
      </c>
      <c r="BG654" s="3" t="s">
        <v>6574</v>
      </c>
    </row>
    <row r="655" spans="1:59" ht="58" x14ac:dyDescent="0.35">
      <c r="A655" s="2" t="s">
        <v>89</v>
      </c>
      <c r="B655" s="2" t="s">
        <v>90</v>
      </c>
      <c r="C655" s="2" t="s">
        <v>6575</v>
      </c>
      <c r="D655" s="2" t="s">
        <v>6576</v>
      </c>
      <c r="E655" s="2" t="s">
        <v>6577</v>
      </c>
      <c r="G655" s="3" t="s">
        <v>62</v>
      </c>
      <c r="I655" s="3" t="s">
        <v>62</v>
      </c>
      <c r="J655" s="3" t="s">
        <v>62</v>
      </c>
      <c r="K655" s="3" t="s">
        <v>63</v>
      </c>
      <c r="L655" s="2" t="s">
        <v>6578</v>
      </c>
      <c r="M655" s="2" t="s">
        <v>6579</v>
      </c>
      <c r="N655" s="3" t="s">
        <v>625</v>
      </c>
      <c r="O655" s="2" t="s">
        <v>6580</v>
      </c>
      <c r="P655" s="3" t="s">
        <v>64</v>
      </c>
      <c r="R655" s="3" t="s">
        <v>65</v>
      </c>
      <c r="S655" s="4">
        <v>24</v>
      </c>
      <c r="T655" s="4">
        <v>24</v>
      </c>
      <c r="U655" s="5" t="s">
        <v>6581</v>
      </c>
      <c r="V655" s="5" t="s">
        <v>6581</v>
      </c>
      <c r="W655" s="5" t="s">
        <v>67</v>
      </c>
      <c r="X655" s="5" t="s">
        <v>67</v>
      </c>
      <c r="Y655" s="4">
        <v>29</v>
      </c>
      <c r="Z655" s="4">
        <v>3</v>
      </c>
      <c r="AA655" s="4">
        <v>3</v>
      </c>
      <c r="AB655" s="4">
        <v>1</v>
      </c>
      <c r="AC655" s="4">
        <v>1</v>
      </c>
      <c r="AD655" s="4">
        <v>3</v>
      </c>
      <c r="AE655" s="4">
        <v>3</v>
      </c>
      <c r="AF655" s="4">
        <v>0</v>
      </c>
      <c r="AG655" s="4">
        <v>0</v>
      </c>
      <c r="AH655" s="4">
        <v>2</v>
      </c>
      <c r="AI655" s="4">
        <v>2</v>
      </c>
      <c r="AJ655" s="4">
        <v>1</v>
      </c>
      <c r="AK655" s="4">
        <v>1</v>
      </c>
      <c r="AL655" s="4">
        <v>0</v>
      </c>
      <c r="AM655" s="4">
        <v>0</v>
      </c>
      <c r="AN655" s="4">
        <v>0</v>
      </c>
      <c r="AO655" s="4">
        <v>0</v>
      </c>
      <c r="AP655" s="4">
        <v>1</v>
      </c>
      <c r="AQ655" s="4">
        <v>1</v>
      </c>
      <c r="AR655" s="3" t="s">
        <v>62</v>
      </c>
      <c r="AS655" s="3" t="s">
        <v>62</v>
      </c>
      <c r="AT655" s="3" t="s">
        <v>62</v>
      </c>
      <c r="AV655" s="6" t="str">
        <f>HYPERLINK("http://mcgill.on.worldcat.org/oclc/156370254","Catalog Record")</f>
        <v>Catalog Record</v>
      </c>
      <c r="AW655" s="6" t="str">
        <f>HYPERLINK("http://www.worldcat.org/oclc/156370254","WorldCat Record")</f>
        <v>WorldCat Record</v>
      </c>
      <c r="AX655" s="3" t="s">
        <v>6582</v>
      </c>
      <c r="AY655" s="3" t="s">
        <v>6583</v>
      </c>
      <c r="AZ655" s="3" t="s">
        <v>6584</v>
      </c>
      <c r="BA655" s="3" t="s">
        <v>6584</v>
      </c>
      <c r="BB655" s="3" t="s">
        <v>6585</v>
      </c>
      <c r="BC655" s="3" t="s">
        <v>102</v>
      </c>
      <c r="BD655" s="3" t="s">
        <v>68</v>
      </c>
      <c r="BE655" s="3" t="s">
        <v>6586</v>
      </c>
      <c r="BF655" s="3" t="s">
        <v>6585</v>
      </c>
      <c r="BG655" s="3" t="s">
        <v>6587</v>
      </c>
    </row>
    <row r="656" spans="1:59" ht="58" x14ac:dyDescent="0.35">
      <c r="A656" s="2" t="s">
        <v>89</v>
      </c>
      <c r="B656" s="2" t="s">
        <v>90</v>
      </c>
      <c r="C656" s="2" t="s">
        <v>6588</v>
      </c>
      <c r="D656" s="2" t="s">
        <v>6589</v>
      </c>
      <c r="E656" s="2" t="s">
        <v>6590</v>
      </c>
      <c r="G656" s="3" t="s">
        <v>62</v>
      </c>
      <c r="I656" s="3" t="s">
        <v>62</v>
      </c>
      <c r="J656" s="3" t="s">
        <v>62</v>
      </c>
      <c r="K656" s="3" t="s">
        <v>63</v>
      </c>
      <c r="L656" s="2" t="s">
        <v>6591</v>
      </c>
      <c r="M656" s="2" t="s">
        <v>6592</v>
      </c>
      <c r="N656" s="3" t="s">
        <v>684</v>
      </c>
      <c r="O656" s="2" t="s">
        <v>6593</v>
      </c>
      <c r="P656" s="3" t="s">
        <v>64</v>
      </c>
      <c r="R656" s="3" t="s">
        <v>65</v>
      </c>
      <c r="S656" s="4">
        <v>18</v>
      </c>
      <c r="T656" s="4">
        <v>18</v>
      </c>
      <c r="U656" s="5" t="s">
        <v>6594</v>
      </c>
      <c r="V656" s="5" t="s">
        <v>6594</v>
      </c>
      <c r="W656" s="5" t="s">
        <v>67</v>
      </c>
      <c r="X656" s="5" t="s">
        <v>67</v>
      </c>
      <c r="Y656" s="4">
        <v>1297</v>
      </c>
      <c r="Z656" s="4">
        <v>56</v>
      </c>
      <c r="AA656" s="4">
        <v>81</v>
      </c>
      <c r="AB656" s="4">
        <v>4</v>
      </c>
      <c r="AC656" s="4">
        <v>9</v>
      </c>
      <c r="AD656" s="4">
        <v>64</v>
      </c>
      <c r="AE656" s="4">
        <v>82</v>
      </c>
      <c r="AF656" s="4">
        <v>0</v>
      </c>
      <c r="AG656" s="4">
        <v>2</v>
      </c>
      <c r="AH656" s="4">
        <v>55</v>
      </c>
      <c r="AI656" s="4">
        <v>65</v>
      </c>
      <c r="AJ656" s="4">
        <v>9</v>
      </c>
      <c r="AK656" s="4">
        <v>14</v>
      </c>
      <c r="AL656" s="4">
        <v>30</v>
      </c>
      <c r="AM656" s="4">
        <v>33</v>
      </c>
      <c r="AN656" s="4">
        <v>0</v>
      </c>
      <c r="AO656" s="4">
        <v>0</v>
      </c>
      <c r="AP656" s="4">
        <v>14</v>
      </c>
      <c r="AQ656" s="4">
        <v>24</v>
      </c>
      <c r="AR656" s="3" t="s">
        <v>62</v>
      </c>
      <c r="AS656" s="3" t="s">
        <v>62</v>
      </c>
      <c r="AT656" s="3" t="s">
        <v>62</v>
      </c>
      <c r="AV656" s="6" t="str">
        <f>HYPERLINK("http://mcgill.on.worldcat.org/oclc/709673132","Catalog Record")</f>
        <v>Catalog Record</v>
      </c>
      <c r="AW656" s="6" t="str">
        <f>HYPERLINK("http://www.worldcat.org/oclc/709673132","WorldCat Record")</f>
        <v>WorldCat Record</v>
      </c>
      <c r="AX656" s="3" t="s">
        <v>6595</v>
      </c>
      <c r="AY656" s="3" t="s">
        <v>6596</v>
      </c>
      <c r="AZ656" s="3" t="s">
        <v>6597</v>
      </c>
      <c r="BA656" s="3" t="s">
        <v>6597</v>
      </c>
      <c r="BB656" s="3" t="s">
        <v>6598</v>
      </c>
      <c r="BC656" s="3" t="s">
        <v>102</v>
      </c>
      <c r="BD656" s="3" t="s">
        <v>68</v>
      </c>
      <c r="BE656" s="3" t="s">
        <v>6599</v>
      </c>
      <c r="BF656" s="3" t="s">
        <v>6598</v>
      </c>
      <c r="BG656" s="3" t="s">
        <v>6600</v>
      </c>
    </row>
    <row r="657" spans="1:59" ht="58" x14ac:dyDescent="0.35">
      <c r="A657" s="2" t="s">
        <v>89</v>
      </c>
      <c r="B657" s="2" t="s">
        <v>90</v>
      </c>
      <c r="C657" s="2" t="s">
        <v>6601</v>
      </c>
      <c r="D657" s="2" t="s">
        <v>6602</v>
      </c>
      <c r="E657" s="2" t="s">
        <v>6603</v>
      </c>
      <c r="G657" s="3" t="s">
        <v>62</v>
      </c>
      <c r="I657" s="3" t="s">
        <v>62</v>
      </c>
      <c r="J657" s="3" t="s">
        <v>62</v>
      </c>
      <c r="K657" s="3" t="s">
        <v>63</v>
      </c>
      <c r="L657" s="2" t="s">
        <v>6604</v>
      </c>
      <c r="M657" s="2" t="s">
        <v>6605</v>
      </c>
      <c r="N657" s="3" t="s">
        <v>640</v>
      </c>
      <c r="P657" s="3" t="s">
        <v>64</v>
      </c>
      <c r="R657" s="3" t="s">
        <v>65</v>
      </c>
      <c r="S657" s="4">
        <v>2</v>
      </c>
      <c r="T657" s="4">
        <v>2</v>
      </c>
      <c r="U657" s="5" t="s">
        <v>6606</v>
      </c>
      <c r="V657" s="5" t="s">
        <v>6606</v>
      </c>
      <c r="W657" s="5" t="s">
        <v>67</v>
      </c>
      <c r="X657" s="5" t="s">
        <v>67</v>
      </c>
      <c r="Y657" s="4">
        <v>598</v>
      </c>
      <c r="Z657" s="4">
        <v>36</v>
      </c>
      <c r="AA657" s="4">
        <v>42</v>
      </c>
      <c r="AB657" s="4">
        <v>3</v>
      </c>
      <c r="AC657" s="4">
        <v>9</v>
      </c>
      <c r="AD657" s="4">
        <v>87</v>
      </c>
      <c r="AE657" s="4">
        <v>93</v>
      </c>
      <c r="AF657" s="4">
        <v>1</v>
      </c>
      <c r="AG657" s="4">
        <v>3</v>
      </c>
      <c r="AH657" s="4">
        <v>80</v>
      </c>
      <c r="AI657" s="4">
        <v>84</v>
      </c>
      <c r="AJ657" s="4">
        <v>11</v>
      </c>
      <c r="AK657" s="4">
        <v>12</v>
      </c>
      <c r="AL657" s="4">
        <v>41</v>
      </c>
      <c r="AM657" s="4">
        <v>42</v>
      </c>
      <c r="AN657" s="4">
        <v>0</v>
      </c>
      <c r="AO657" s="4">
        <v>0</v>
      </c>
      <c r="AP657" s="4">
        <v>13</v>
      </c>
      <c r="AQ657" s="4">
        <v>15</v>
      </c>
      <c r="AR657" s="3" t="s">
        <v>62</v>
      </c>
      <c r="AS657" s="3" t="s">
        <v>62</v>
      </c>
      <c r="AT657" s="3" t="s">
        <v>62</v>
      </c>
      <c r="AV657" s="6" t="str">
        <f>HYPERLINK("http://mcgill.on.worldcat.org/oclc/54503650","Catalog Record")</f>
        <v>Catalog Record</v>
      </c>
      <c r="AW657" s="6" t="str">
        <f>HYPERLINK("http://www.worldcat.org/oclc/54503650","WorldCat Record")</f>
        <v>WorldCat Record</v>
      </c>
      <c r="AX657" s="3" t="s">
        <v>6607</v>
      </c>
      <c r="AY657" s="3" t="s">
        <v>6608</v>
      </c>
      <c r="AZ657" s="3" t="s">
        <v>6609</v>
      </c>
      <c r="BA657" s="3" t="s">
        <v>6609</v>
      </c>
      <c r="BB657" s="3" t="s">
        <v>6610</v>
      </c>
      <c r="BC657" s="3" t="s">
        <v>102</v>
      </c>
      <c r="BD657" s="3" t="s">
        <v>68</v>
      </c>
      <c r="BE657" s="3" t="s">
        <v>6611</v>
      </c>
      <c r="BF657" s="3" t="s">
        <v>6610</v>
      </c>
      <c r="BG657" s="3" t="s">
        <v>6612</v>
      </c>
    </row>
    <row r="658" spans="1:59" ht="58" x14ac:dyDescent="0.35">
      <c r="A658" s="2" t="s">
        <v>89</v>
      </c>
      <c r="B658" s="2" t="s">
        <v>90</v>
      </c>
      <c r="C658" s="2" t="s">
        <v>6613</v>
      </c>
      <c r="D658" s="2" t="s">
        <v>6614</v>
      </c>
      <c r="E658" s="2" t="s">
        <v>6615</v>
      </c>
      <c r="G658" s="3" t="s">
        <v>62</v>
      </c>
      <c r="I658" s="3" t="s">
        <v>61</v>
      </c>
      <c r="J658" s="3" t="s">
        <v>62</v>
      </c>
      <c r="K658" s="3" t="s">
        <v>63</v>
      </c>
      <c r="L658" s="2" t="s">
        <v>6616</v>
      </c>
      <c r="M658" s="2" t="s">
        <v>6617</v>
      </c>
      <c r="N658" s="3" t="s">
        <v>824</v>
      </c>
      <c r="P658" s="3" t="s">
        <v>64</v>
      </c>
      <c r="R658" s="3" t="s">
        <v>65</v>
      </c>
      <c r="S658" s="4">
        <v>22</v>
      </c>
      <c r="T658" s="4">
        <v>51</v>
      </c>
      <c r="U658" s="5" t="s">
        <v>6618</v>
      </c>
      <c r="V658" s="5" t="s">
        <v>6618</v>
      </c>
      <c r="W658" s="5" t="s">
        <v>67</v>
      </c>
      <c r="X658" s="5" t="s">
        <v>67</v>
      </c>
      <c r="Y658" s="4">
        <v>1123</v>
      </c>
      <c r="Z658" s="4">
        <v>48</v>
      </c>
      <c r="AA658" s="4">
        <v>68</v>
      </c>
      <c r="AB658" s="4">
        <v>3</v>
      </c>
      <c r="AC658" s="4">
        <v>7</v>
      </c>
      <c r="AD658" s="4">
        <v>127</v>
      </c>
      <c r="AE658" s="4">
        <v>137</v>
      </c>
      <c r="AF658" s="4">
        <v>1</v>
      </c>
      <c r="AG658" s="4">
        <v>4</v>
      </c>
      <c r="AH658" s="4">
        <v>101</v>
      </c>
      <c r="AI658" s="4">
        <v>107</v>
      </c>
      <c r="AJ658" s="4">
        <v>20</v>
      </c>
      <c r="AK658" s="4">
        <v>25</v>
      </c>
      <c r="AL658" s="4">
        <v>53</v>
      </c>
      <c r="AM658" s="4">
        <v>54</v>
      </c>
      <c r="AN658" s="4">
        <v>0</v>
      </c>
      <c r="AO658" s="4">
        <v>0</v>
      </c>
      <c r="AP658" s="4">
        <v>34</v>
      </c>
      <c r="AQ658" s="4">
        <v>39</v>
      </c>
      <c r="AR658" s="3" t="s">
        <v>62</v>
      </c>
      <c r="AS658" s="3" t="s">
        <v>62</v>
      </c>
      <c r="AT658" s="3" t="s">
        <v>61</v>
      </c>
      <c r="AU658" s="6" t="str">
        <f>HYPERLINK("http://catalog.hathitrust.org/Record/001474395","HathiTrust Record")</f>
        <v>HathiTrust Record</v>
      </c>
      <c r="AV658" s="6" t="str">
        <f>HYPERLINK("http://mcgill.on.worldcat.org/oclc/233892","Catalog Record")</f>
        <v>Catalog Record</v>
      </c>
      <c r="AW658" s="6" t="str">
        <f>HYPERLINK("http://www.worldcat.org/oclc/233892","WorldCat Record")</f>
        <v>WorldCat Record</v>
      </c>
      <c r="AX658" s="3" t="s">
        <v>6619</v>
      </c>
      <c r="AY658" s="3" t="s">
        <v>6620</v>
      </c>
      <c r="AZ658" s="3" t="s">
        <v>6621</v>
      </c>
      <c r="BA658" s="3" t="s">
        <v>6621</v>
      </c>
      <c r="BB658" s="3" t="s">
        <v>6622</v>
      </c>
      <c r="BC658" s="3" t="s">
        <v>102</v>
      </c>
      <c r="BD658" s="3" t="s">
        <v>68</v>
      </c>
      <c r="BE658" s="3" t="s">
        <v>6623</v>
      </c>
      <c r="BF658" s="3" t="s">
        <v>6622</v>
      </c>
      <c r="BG658" s="3" t="s">
        <v>6624</v>
      </c>
    </row>
    <row r="659" spans="1:59" ht="58" x14ac:dyDescent="0.35">
      <c r="A659" s="2" t="s">
        <v>89</v>
      </c>
      <c r="B659" s="2" t="s">
        <v>90</v>
      </c>
      <c r="C659" s="2" t="s">
        <v>6625</v>
      </c>
      <c r="D659" s="2" t="s">
        <v>6626</v>
      </c>
      <c r="E659" s="2" t="s">
        <v>6627</v>
      </c>
      <c r="G659" s="3" t="s">
        <v>62</v>
      </c>
      <c r="I659" s="3" t="s">
        <v>62</v>
      </c>
      <c r="J659" s="3" t="s">
        <v>62</v>
      </c>
      <c r="K659" s="3" t="s">
        <v>63</v>
      </c>
      <c r="M659" s="2" t="s">
        <v>6628</v>
      </c>
      <c r="N659" s="3" t="s">
        <v>1195</v>
      </c>
      <c r="P659" s="3" t="s">
        <v>64</v>
      </c>
      <c r="R659" s="3" t="s">
        <v>65</v>
      </c>
      <c r="S659" s="4">
        <v>9</v>
      </c>
      <c r="T659" s="4">
        <v>9</v>
      </c>
      <c r="U659" s="5" t="s">
        <v>6629</v>
      </c>
      <c r="V659" s="5" t="s">
        <v>6629</v>
      </c>
      <c r="W659" s="5" t="s">
        <v>67</v>
      </c>
      <c r="X659" s="5" t="s">
        <v>67</v>
      </c>
      <c r="Y659" s="4">
        <v>97</v>
      </c>
      <c r="Z659" s="4">
        <v>3</v>
      </c>
      <c r="AA659" s="4">
        <v>35</v>
      </c>
      <c r="AB659" s="4">
        <v>1</v>
      </c>
      <c r="AC659" s="4">
        <v>4</v>
      </c>
      <c r="AD659" s="4">
        <v>8</v>
      </c>
      <c r="AE659" s="4">
        <v>73</v>
      </c>
      <c r="AF659" s="4">
        <v>0</v>
      </c>
      <c r="AG659" s="4">
        <v>0</v>
      </c>
      <c r="AH659" s="4">
        <v>7</v>
      </c>
      <c r="AI659" s="4">
        <v>68</v>
      </c>
      <c r="AJ659" s="4">
        <v>1</v>
      </c>
      <c r="AK659" s="4">
        <v>11</v>
      </c>
      <c r="AL659" s="4">
        <v>7</v>
      </c>
      <c r="AM659" s="4">
        <v>36</v>
      </c>
      <c r="AN659" s="4">
        <v>0</v>
      </c>
      <c r="AO659" s="4">
        <v>5</v>
      </c>
      <c r="AP659" s="4">
        <v>1</v>
      </c>
      <c r="AQ659" s="4">
        <v>13</v>
      </c>
      <c r="AR659" s="3" t="s">
        <v>62</v>
      </c>
      <c r="AS659" s="3" t="s">
        <v>62</v>
      </c>
      <c r="AT659" s="3" t="s">
        <v>62</v>
      </c>
      <c r="AV659" s="6" t="str">
        <f>HYPERLINK("http://mcgill.on.worldcat.org/oclc/70986398","Catalog Record")</f>
        <v>Catalog Record</v>
      </c>
      <c r="AW659" s="6" t="str">
        <f>HYPERLINK("http://www.worldcat.org/oclc/70986398","WorldCat Record")</f>
        <v>WorldCat Record</v>
      </c>
      <c r="AX659" s="3" t="s">
        <v>6630</v>
      </c>
      <c r="AY659" s="3" t="s">
        <v>6631</v>
      </c>
      <c r="AZ659" s="3" t="s">
        <v>6632</v>
      </c>
      <c r="BA659" s="3" t="s">
        <v>6632</v>
      </c>
      <c r="BB659" s="3" t="s">
        <v>6633</v>
      </c>
      <c r="BC659" s="3" t="s">
        <v>102</v>
      </c>
      <c r="BD659" s="3" t="s">
        <v>68</v>
      </c>
      <c r="BE659" s="3" t="s">
        <v>6634</v>
      </c>
      <c r="BF659" s="3" t="s">
        <v>6633</v>
      </c>
      <c r="BG659" s="3" t="s">
        <v>6635</v>
      </c>
    </row>
    <row r="660" spans="1:59" ht="58" x14ac:dyDescent="0.35">
      <c r="A660" s="2" t="s">
        <v>89</v>
      </c>
      <c r="B660" s="2" t="s">
        <v>90</v>
      </c>
      <c r="C660" s="2" t="s">
        <v>6636</v>
      </c>
      <c r="D660" s="2" t="s">
        <v>6637</v>
      </c>
      <c r="E660" s="2" t="s">
        <v>6638</v>
      </c>
      <c r="G660" s="3" t="s">
        <v>62</v>
      </c>
      <c r="I660" s="3" t="s">
        <v>62</v>
      </c>
      <c r="J660" s="3" t="s">
        <v>62</v>
      </c>
      <c r="K660" s="3" t="s">
        <v>63</v>
      </c>
      <c r="L660" s="2" t="s">
        <v>6639</v>
      </c>
      <c r="M660" s="2" t="s">
        <v>6640</v>
      </c>
      <c r="N660" s="3" t="s">
        <v>698</v>
      </c>
      <c r="P660" s="3" t="s">
        <v>64</v>
      </c>
      <c r="Q660" s="2" t="s">
        <v>6641</v>
      </c>
      <c r="R660" s="3" t="s">
        <v>65</v>
      </c>
      <c r="S660" s="4">
        <v>0</v>
      </c>
      <c r="T660" s="4">
        <v>0</v>
      </c>
      <c r="W660" s="5" t="s">
        <v>67</v>
      </c>
      <c r="X660" s="5" t="s">
        <v>67</v>
      </c>
      <c r="Y660" s="4">
        <v>68</v>
      </c>
      <c r="Z660" s="4">
        <v>4</v>
      </c>
      <c r="AA660" s="4">
        <v>5</v>
      </c>
      <c r="AB660" s="4">
        <v>1</v>
      </c>
      <c r="AC660" s="4">
        <v>2</v>
      </c>
      <c r="AD660" s="4">
        <v>30</v>
      </c>
      <c r="AE660" s="4">
        <v>31</v>
      </c>
      <c r="AF660" s="4">
        <v>0</v>
      </c>
      <c r="AG660" s="4">
        <v>1</v>
      </c>
      <c r="AH660" s="4">
        <v>28</v>
      </c>
      <c r="AI660" s="4">
        <v>28</v>
      </c>
      <c r="AJ660" s="4">
        <v>2</v>
      </c>
      <c r="AK660" s="4">
        <v>3</v>
      </c>
      <c r="AL660" s="4">
        <v>17</v>
      </c>
      <c r="AM660" s="4">
        <v>17</v>
      </c>
      <c r="AN660" s="4">
        <v>0</v>
      </c>
      <c r="AO660" s="4">
        <v>0</v>
      </c>
      <c r="AP660" s="4">
        <v>3</v>
      </c>
      <c r="AQ660" s="4">
        <v>4</v>
      </c>
      <c r="AR660" s="3" t="s">
        <v>62</v>
      </c>
      <c r="AS660" s="3" t="s">
        <v>62</v>
      </c>
      <c r="AT660" s="3" t="s">
        <v>62</v>
      </c>
      <c r="AV660" s="6" t="str">
        <f>HYPERLINK("http://mcgill.on.worldcat.org/oclc/806947226","Catalog Record")</f>
        <v>Catalog Record</v>
      </c>
      <c r="AW660" s="6" t="str">
        <f>HYPERLINK("http://www.worldcat.org/oclc/806947226","WorldCat Record")</f>
        <v>WorldCat Record</v>
      </c>
      <c r="AX660" s="3" t="s">
        <v>6642</v>
      </c>
      <c r="AY660" s="3" t="s">
        <v>6643</v>
      </c>
      <c r="AZ660" s="3" t="s">
        <v>6644</v>
      </c>
      <c r="BA660" s="3" t="s">
        <v>6644</v>
      </c>
      <c r="BB660" s="3" t="s">
        <v>6645</v>
      </c>
      <c r="BC660" s="3" t="s">
        <v>102</v>
      </c>
      <c r="BD660" s="3" t="s">
        <v>68</v>
      </c>
      <c r="BE660" s="3" t="s">
        <v>6646</v>
      </c>
      <c r="BF660" s="3" t="s">
        <v>6645</v>
      </c>
      <c r="BG660" s="3" t="s">
        <v>6647</v>
      </c>
    </row>
    <row r="661" spans="1:59" ht="58" x14ac:dyDescent="0.35">
      <c r="A661" s="2" t="s">
        <v>89</v>
      </c>
      <c r="B661" s="2" t="s">
        <v>90</v>
      </c>
      <c r="C661" s="2" t="s">
        <v>6648</v>
      </c>
      <c r="D661" s="2" t="s">
        <v>6649</v>
      </c>
      <c r="E661" s="2" t="s">
        <v>6650</v>
      </c>
      <c r="G661" s="3" t="s">
        <v>62</v>
      </c>
      <c r="I661" s="3" t="s">
        <v>61</v>
      </c>
      <c r="J661" s="3" t="s">
        <v>61</v>
      </c>
      <c r="K661" s="3" t="s">
        <v>63</v>
      </c>
      <c r="L661" s="2" t="s">
        <v>6651</v>
      </c>
      <c r="M661" s="2" t="s">
        <v>6652</v>
      </c>
      <c r="N661" s="3" t="s">
        <v>1335</v>
      </c>
      <c r="P661" s="3" t="s">
        <v>64</v>
      </c>
      <c r="R661" s="3" t="s">
        <v>65</v>
      </c>
      <c r="S661" s="4">
        <v>20</v>
      </c>
      <c r="T661" s="4">
        <v>52</v>
      </c>
      <c r="U661" s="5" t="s">
        <v>6653</v>
      </c>
      <c r="V661" s="5" t="s">
        <v>6653</v>
      </c>
      <c r="W661" s="5" t="s">
        <v>67</v>
      </c>
      <c r="X661" s="5" t="s">
        <v>67</v>
      </c>
      <c r="Y661" s="4">
        <v>639</v>
      </c>
      <c r="Z661" s="4">
        <v>42</v>
      </c>
      <c r="AA661" s="4">
        <v>130</v>
      </c>
      <c r="AB661" s="4">
        <v>5</v>
      </c>
      <c r="AC661" s="4">
        <v>20</v>
      </c>
      <c r="AD661" s="4">
        <v>113</v>
      </c>
      <c r="AE661" s="4">
        <v>164</v>
      </c>
      <c r="AF661" s="4">
        <v>2</v>
      </c>
      <c r="AG661" s="4">
        <v>8</v>
      </c>
      <c r="AH661" s="4">
        <v>90</v>
      </c>
      <c r="AI661" s="4">
        <v>116</v>
      </c>
      <c r="AJ661" s="4">
        <v>12</v>
      </c>
      <c r="AK661" s="4">
        <v>28</v>
      </c>
      <c r="AL661" s="4">
        <v>52</v>
      </c>
      <c r="AM661" s="4">
        <v>61</v>
      </c>
      <c r="AN661" s="4">
        <v>0</v>
      </c>
      <c r="AO661" s="4">
        <v>4</v>
      </c>
      <c r="AP661" s="4">
        <v>25</v>
      </c>
      <c r="AQ661" s="4">
        <v>55</v>
      </c>
      <c r="AR661" s="3" t="s">
        <v>62</v>
      </c>
      <c r="AS661" s="3" t="s">
        <v>62</v>
      </c>
      <c r="AT661" s="3" t="s">
        <v>61</v>
      </c>
      <c r="AU661" s="6" t="str">
        <f>HYPERLINK("http://catalog.hathitrust.org/Record/001388986","HathiTrust Record")</f>
        <v>HathiTrust Record</v>
      </c>
      <c r="AV661" s="6" t="str">
        <f>HYPERLINK("http://mcgill.on.worldcat.org/oclc/1870696","Catalog Record")</f>
        <v>Catalog Record</v>
      </c>
      <c r="AW661" s="6" t="str">
        <f>HYPERLINK("http://www.worldcat.org/oclc/1870696","WorldCat Record")</f>
        <v>WorldCat Record</v>
      </c>
      <c r="AX661" s="3" t="s">
        <v>6654</v>
      </c>
      <c r="AY661" s="3" t="s">
        <v>6655</v>
      </c>
      <c r="AZ661" s="3" t="s">
        <v>6656</v>
      </c>
      <c r="BA661" s="3" t="s">
        <v>6656</v>
      </c>
      <c r="BB661" s="3" t="s">
        <v>6657</v>
      </c>
      <c r="BC661" s="3" t="s">
        <v>102</v>
      </c>
      <c r="BD661" s="3" t="s">
        <v>68</v>
      </c>
      <c r="BF661" s="3" t="s">
        <v>6657</v>
      </c>
      <c r="BG661" s="3" t="s">
        <v>6658</v>
      </c>
    </row>
    <row r="662" spans="1:59" ht="58" x14ac:dyDescent="0.35">
      <c r="A662" s="2" t="s">
        <v>89</v>
      </c>
      <c r="B662" s="2" t="s">
        <v>90</v>
      </c>
      <c r="C662" s="2" t="s">
        <v>6659</v>
      </c>
      <c r="D662" s="2" t="s">
        <v>6660</v>
      </c>
      <c r="E662" s="2" t="s">
        <v>6661</v>
      </c>
      <c r="G662" s="3" t="s">
        <v>62</v>
      </c>
      <c r="I662" s="3" t="s">
        <v>61</v>
      </c>
      <c r="J662" s="3" t="s">
        <v>62</v>
      </c>
      <c r="K662" s="3" t="s">
        <v>63</v>
      </c>
      <c r="M662" s="2" t="s">
        <v>6662</v>
      </c>
      <c r="N662" s="3" t="s">
        <v>438</v>
      </c>
      <c r="P662" s="3" t="s">
        <v>64</v>
      </c>
      <c r="R662" s="3" t="s">
        <v>65</v>
      </c>
      <c r="S662" s="4">
        <v>4</v>
      </c>
      <c r="T662" s="4">
        <v>15</v>
      </c>
      <c r="U662" s="5" t="s">
        <v>770</v>
      </c>
      <c r="V662" s="5" t="s">
        <v>6663</v>
      </c>
      <c r="W662" s="5" t="s">
        <v>67</v>
      </c>
      <c r="X662" s="5" t="s">
        <v>67</v>
      </c>
      <c r="Y662" s="4">
        <v>98</v>
      </c>
      <c r="Z662" s="4">
        <v>10</v>
      </c>
      <c r="AA662" s="4">
        <v>12</v>
      </c>
      <c r="AB662" s="4">
        <v>1</v>
      </c>
      <c r="AC662" s="4">
        <v>3</v>
      </c>
      <c r="AD662" s="4">
        <v>41</v>
      </c>
      <c r="AE662" s="4">
        <v>43</v>
      </c>
      <c r="AF662" s="4">
        <v>0</v>
      </c>
      <c r="AG662" s="4">
        <v>2</v>
      </c>
      <c r="AH662" s="4">
        <v>34</v>
      </c>
      <c r="AI662" s="4">
        <v>34</v>
      </c>
      <c r="AJ662" s="4">
        <v>7</v>
      </c>
      <c r="AK662" s="4">
        <v>9</v>
      </c>
      <c r="AL662" s="4">
        <v>23</v>
      </c>
      <c r="AM662" s="4">
        <v>23</v>
      </c>
      <c r="AN662" s="4">
        <v>0</v>
      </c>
      <c r="AO662" s="4">
        <v>0</v>
      </c>
      <c r="AP662" s="4">
        <v>7</v>
      </c>
      <c r="AQ662" s="4">
        <v>8</v>
      </c>
      <c r="AR662" s="3" t="s">
        <v>62</v>
      </c>
      <c r="AS662" s="3" t="s">
        <v>62</v>
      </c>
      <c r="AT662" s="3" t="s">
        <v>61</v>
      </c>
      <c r="AU662" s="6" t="str">
        <f>HYPERLINK("http://catalog.hathitrust.org/Record/002432649","HathiTrust Record")</f>
        <v>HathiTrust Record</v>
      </c>
      <c r="AV662" s="6" t="str">
        <f>HYPERLINK("http://mcgill.on.worldcat.org/oclc/21760252","Catalog Record")</f>
        <v>Catalog Record</v>
      </c>
      <c r="AW662" s="6" t="str">
        <f>HYPERLINK("http://www.worldcat.org/oclc/21760252","WorldCat Record")</f>
        <v>WorldCat Record</v>
      </c>
      <c r="AX662" s="3" t="s">
        <v>6664</v>
      </c>
      <c r="AY662" s="3" t="s">
        <v>6665</v>
      </c>
      <c r="AZ662" s="3" t="s">
        <v>6666</v>
      </c>
      <c r="BA662" s="3" t="s">
        <v>6666</v>
      </c>
      <c r="BB662" s="3" t="s">
        <v>6667</v>
      </c>
      <c r="BC662" s="3" t="s">
        <v>102</v>
      </c>
      <c r="BD662" s="3" t="s">
        <v>68</v>
      </c>
      <c r="BE662" s="3" t="s">
        <v>6668</v>
      </c>
      <c r="BF662" s="3" t="s">
        <v>6667</v>
      </c>
      <c r="BG662" s="3" t="s">
        <v>6669</v>
      </c>
    </row>
    <row r="663" spans="1:59" ht="58" x14ac:dyDescent="0.35">
      <c r="A663" s="2" t="s">
        <v>89</v>
      </c>
      <c r="B663" s="2" t="s">
        <v>90</v>
      </c>
      <c r="C663" s="2" t="s">
        <v>6659</v>
      </c>
      <c r="D663" s="2" t="s">
        <v>6660</v>
      </c>
      <c r="E663" s="2" t="s">
        <v>6661</v>
      </c>
      <c r="G663" s="3" t="s">
        <v>62</v>
      </c>
      <c r="I663" s="3" t="s">
        <v>61</v>
      </c>
      <c r="J663" s="3" t="s">
        <v>62</v>
      </c>
      <c r="K663" s="3" t="s">
        <v>63</v>
      </c>
      <c r="M663" s="2" t="s">
        <v>6662</v>
      </c>
      <c r="N663" s="3" t="s">
        <v>438</v>
      </c>
      <c r="P663" s="3" t="s">
        <v>64</v>
      </c>
      <c r="R663" s="3" t="s">
        <v>65</v>
      </c>
      <c r="S663" s="4">
        <v>11</v>
      </c>
      <c r="T663" s="4">
        <v>15</v>
      </c>
      <c r="U663" s="5" t="s">
        <v>6663</v>
      </c>
      <c r="V663" s="5" t="s">
        <v>6663</v>
      </c>
      <c r="W663" s="5" t="s">
        <v>67</v>
      </c>
      <c r="X663" s="5" t="s">
        <v>67</v>
      </c>
      <c r="Y663" s="4">
        <v>98</v>
      </c>
      <c r="Z663" s="4">
        <v>10</v>
      </c>
      <c r="AA663" s="4">
        <v>12</v>
      </c>
      <c r="AB663" s="4">
        <v>1</v>
      </c>
      <c r="AC663" s="4">
        <v>3</v>
      </c>
      <c r="AD663" s="4">
        <v>41</v>
      </c>
      <c r="AE663" s="4">
        <v>43</v>
      </c>
      <c r="AF663" s="4">
        <v>0</v>
      </c>
      <c r="AG663" s="4">
        <v>2</v>
      </c>
      <c r="AH663" s="4">
        <v>34</v>
      </c>
      <c r="AI663" s="4">
        <v>34</v>
      </c>
      <c r="AJ663" s="4">
        <v>7</v>
      </c>
      <c r="AK663" s="4">
        <v>9</v>
      </c>
      <c r="AL663" s="4">
        <v>23</v>
      </c>
      <c r="AM663" s="4">
        <v>23</v>
      </c>
      <c r="AN663" s="4">
        <v>0</v>
      </c>
      <c r="AO663" s="4">
        <v>0</v>
      </c>
      <c r="AP663" s="4">
        <v>7</v>
      </c>
      <c r="AQ663" s="4">
        <v>8</v>
      </c>
      <c r="AR663" s="3" t="s">
        <v>62</v>
      </c>
      <c r="AS663" s="3" t="s">
        <v>62</v>
      </c>
      <c r="AT663" s="3" t="s">
        <v>61</v>
      </c>
      <c r="AU663" s="6" t="str">
        <f>HYPERLINK("http://catalog.hathitrust.org/Record/002432649","HathiTrust Record")</f>
        <v>HathiTrust Record</v>
      </c>
      <c r="AV663" s="6" t="str">
        <f>HYPERLINK("http://mcgill.on.worldcat.org/oclc/21760252","Catalog Record")</f>
        <v>Catalog Record</v>
      </c>
      <c r="AW663" s="6" t="str">
        <f>HYPERLINK("http://www.worldcat.org/oclc/21760252","WorldCat Record")</f>
        <v>WorldCat Record</v>
      </c>
      <c r="AX663" s="3" t="s">
        <v>6664</v>
      </c>
      <c r="AY663" s="3" t="s">
        <v>6665</v>
      </c>
      <c r="AZ663" s="3" t="s">
        <v>6666</v>
      </c>
      <c r="BA663" s="3" t="s">
        <v>6666</v>
      </c>
      <c r="BB663" s="3" t="s">
        <v>6670</v>
      </c>
      <c r="BC663" s="3" t="s">
        <v>102</v>
      </c>
      <c r="BD663" s="3" t="s">
        <v>231</v>
      </c>
      <c r="BE663" s="3" t="s">
        <v>6668</v>
      </c>
      <c r="BF663" s="3" t="s">
        <v>6670</v>
      </c>
      <c r="BG663" s="3" t="s">
        <v>6671</v>
      </c>
    </row>
    <row r="664" spans="1:59" ht="58" x14ac:dyDescent="0.35">
      <c r="A664" s="2" t="s">
        <v>59</v>
      </c>
      <c r="B664" s="2" t="s">
        <v>60</v>
      </c>
      <c r="C664" s="2" t="s">
        <v>6672</v>
      </c>
      <c r="D664" s="2" t="s">
        <v>6673</v>
      </c>
      <c r="E664" s="2" t="s">
        <v>6674</v>
      </c>
      <c r="G664" s="3" t="s">
        <v>62</v>
      </c>
      <c r="I664" s="3" t="s">
        <v>62</v>
      </c>
      <c r="J664" s="3" t="s">
        <v>62</v>
      </c>
      <c r="K664" s="3" t="s">
        <v>63</v>
      </c>
      <c r="M664" s="2" t="s">
        <v>6675</v>
      </c>
      <c r="N664" s="3" t="s">
        <v>157</v>
      </c>
      <c r="P664" s="3" t="s">
        <v>64</v>
      </c>
      <c r="Q664" s="2" t="s">
        <v>6676</v>
      </c>
      <c r="R664" s="3" t="s">
        <v>65</v>
      </c>
      <c r="S664" s="4">
        <v>7</v>
      </c>
      <c r="T664" s="4">
        <v>7</v>
      </c>
      <c r="U664" s="5" t="s">
        <v>2388</v>
      </c>
      <c r="V664" s="5" t="s">
        <v>2388</v>
      </c>
      <c r="W664" s="5" t="s">
        <v>67</v>
      </c>
      <c r="X664" s="5" t="s">
        <v>67</v>
      </c>
      <c r="Y664" s="4">
        <v>315</v>
      </c>
      <c r="Z664" s="4">
        <v>24</v>
      </c>
      <c r="AA664" s="4">
        <v>26</v>
      </c>
      <c r="AB664" s="4">
        <v>2</v>
      </c>
      <c r="AC664" s="4">
        <v>4</v>
      </c>
      <c r="AD664" s="4">
        <v>97</v>
      </c>
      <c r="AE664" s="4">
        <v>99</v>
      </c>
      <c r="AF664" s="4">
        <v>1</v>
      </c>
      <c r="AG664" s="4">
        <v>3</v>
      </c>
      <c r="AH664" s="4">
        <v>83</v>
      </c>
      <c r="AI664" s="4">
        <v>83</v>
      </c>
      <c r="AJ664" s="4">
        <v>15</v>
      </c>
      <c r="AK664" s="4">
        <v>17</v>
      </c>
      <c r="AL664" s="4">
        <v>46</v>
      </c>
      <c r="AM664" s="4">
        <v>46</v>
      </c>
      <c r="AN664" s="4">
        <v>0</v>
      </c>
      <c r="AO664" s="4">
        <v>0</v>
      </c>
      <c r="AP664" s="4">
        <v>20</v>
      </c>
      <c r="AQ664" s="4">
        <v>21</v>
      </c>
      <c r="AR664" s="3" t="s">
        <v>62</v>
      </c>
      <c r="AS664" s="3" t="s">
        <v>62</v>
      </c>
      <c r="AT664" s="3" t="s">
        <v>61</v>
      </c>
      <c r="AU664" s="6" t="str">
        <f>HYPERLINK("http://catalog.hathitrust.org/Record/000013457","HathiTrust Record")</f>
        <v>HathiTrust Record</v>
      </c>
      <c r="AV664" s="6" t="str">
        <f>HYPERLINK("http://mcgill.on.worldcat.org/oclc/867939","Catalog Record")</f>
        <v>Catalog Record</v>
      </c>
      <c r="AW664" s="6" t="str">
        <f>HYPERLINK("http://www.worldcat.org/oclc/867939","WorldCat Record")</f>
        <v>WorldCat Record</v>
      </c>
      <c r="AX664" s="3" t="s">
        <v>6677</v>
      </c>
      <c r="AY664" s="3" t="s">
        <v>6678</v>
      </c>
      <c r="AZ664" s="3" t="s">
        <v>6679</v>
      </c>
      <c r="BA664" s="3" t="s">
        <v>6679</v>
      </c>
      <c r="BB664" s="3" t="s">
        <v>6680</v>
      </c>
      <c r="BC664" s="3" t="s">
        <v>102</v>
      </c>
      <c r="BD664" s="3" t="s">
        <v>1790</v>
      </c>
      <c r="BE664" s="3" t="s">
        <v>6681</v>
      </c>
      <c r="BF664" s="3" t="s">
        <v>6680</v>
      </c>
      <c r="BG664" s="3" t="s">
        <v>6682</v>
      </c>
    </row>
    <row r="665" spans="1:59" ht="87" x14ac:dyDescent="0.35">
      <c r="A665" s="2" t="s">
        <v>89</v>
      </c>
      <c r="B665" s="2" t="s">
        <v>90</v>
      </c>
      <c r="C665" s="2" t="s">
        <v>6684</v>
      </c>
      <c r="D665" s="2" t="s">
        <v>6685</v>
      </c>
      <c r="E665" s="2" t="s">
        <v>6686</v>
      </c>
      <c r="F665" s="3" t="s">
        <v>6687</v>
      </c>
      <c r="G665" s="3" t="s">
        <v>62</v>
      </c>
      <c r="I665" s="3" t="s">
        <v>62</v>
      </c>
      <c r="J665" s="3" t="s">
        <v>62</v>
      </c>
      <c r="K665" s="3" t="s">
        <v>63</v>
      </c>
      <c r="L665" s="2" t="s">
        <v>6688</v>
      </c>
      <c r="M665" s="2" t="s">
        <v>6689</v>
      </c>
      <c r="N665" s="3" t="s">
        <v>2588</v>
      </c>
      <c r="P665" s="3" t="s">
        <v>64</v>
      </c>
      <c r="Q665" s="2" t="s">
        <v>6690</v>
      </c>
      <c r="R665" s="3" t="s">
        <v>65</v>
      </c>
      <c r="S665" s="4">
        <v>9</v>
      </c>
      <c r="T665" s="4">
        <v>9</v>
      </c>
      <c r="U665" s="5" t="s">
        <v>6691</v>
      </c>
      <c r="V665" s="5" t="s">
        <v>6691</v>
      </c>
      <c r="W665" s="5" t="s">
        <v>67</v>
      </c>
      <c r="X665" s="5" t="s">
        <v>67</v>
      </c>
      <c r="Y665" s="4">
        <v>192</v>
      </c>
      <c r="Z665" s="4">
        <v>19</v>
      </c>
      <c r="AA665" s="4">
        <v>22</v>
      </c>
      <c r="AB665" s="4">
        <v>1</v>
      </c>
      <c r="AC665" s="4">
        <v>4</v>
      </c>
      <c r="AD665" s="4">
        <v>82</v>
      </c>
      <c r="AE665" s="4">
        <v>85</v>
      </c>
      <c r="AF665" s="4">
        <v>0</v>
      </c>
      <c r="AG665" s="4">
        <v>3</v>
      </c>
      <c r="AH665" s="4">
        <v>73</v>
      </c>
      <c r="AI665" s="4">
        <v>74</v>
      </c>
      <c r="AJ665" s="4">
        <v>13</v>
      </c>
      <c r="AK665" s="4">
        <v>16</v>
      </c>
      <c r="AL665" s="4">
        <v>38</v>
      </c>
      <c r="AM665" s="4">
        <v>38</v>
      </c>
      <c r="AN665" s="4">
        <v>0</v>
      </c>
      <c r="AO665" s="4">
        <v>0</v>
      </c>
      <c r="AP665" s="4">
        <v>17</v>
      </c>
      <c r="AQ665" s="4">
        <v>19</v>
      </c>
      <c r="AR665" s="3" t="s">
        <v>62</v>
      </c>
      <c r="AS665" s="3" t="s">
        <v>62</v>
      </c>
      <c r="AT665" s="3" t="s">
        <v>61</v>
      </c>
      <c r="AU665" s="6" t="str">
        <f>HYPERLINK("http://catalog.hathitrust.org/Record/009324444","HathiTrust Record")</f>
        <v>HathiTrust Record</v>
      </c>
      <c r="AV665" s="6" t="str">
        <f>HYPERLINK("http://mcgill.on.worldcat.org/oclc/3088696","Catalog Record")</f>
        <v>Catalog Record</v>
      </c>
      <c r="AW665" s="6" t="str">
        <f>HYPERLINK("http://www.worldcat.org/oclc/3088696","WorldCat Record")</f>
        <v>WorldCat Record</v>
      </c>
      <c r="AX665" s="3" t="s">
        <v>6692</v>
      </c>
      <c r="AY665" s="3" t="s">
        <v>6693</v>
      </c>
      <c r="AZ665" s="3" t="s">
        <v>6694</v>
      </c>
      <c r="BA665" s="3" t="s">
        <v>6694</v>
      </c>
      <c r="BB665" s="3" t="s">
        <v>6695</v>
      </c>
      <c r="BC665" s="3" t="s">
        <v>102</v>
      </c>
      <c r="BD665" s="3" t="s">
        <v>68</v>
      </c>
      <c r="BE665" s="3" t="s">
        <v>6696</v>
      </c>
      <c r="BF665" s="3" t="s">
        <v>6695</v>
      </c>
      <c r="BG665" s="3" t="s">
        <v>6697</v>
      </c>
    </row>
    <row r="666" spans="1:59" ht="58" x14ac:dyDescent="0.35">
      <c r="A666" s="2" t="s">
        <v>89</v>
      </c>
      <c r="B666" s="2" t="s">
        <v>90</v>
      </c>
      <c r="C666" s="2" t="s">
        <v>6698</v>
      </c>
      <c r="D666" s="2" t="s">
        <v>6699</v>
      </c>
      <c r="E666" s="2" t="s">
        <v>6700</v>
      </c>
      <c r="G666" s="3" t="s">
        <v>62</v>
      </c>
      <c r="I666" s="3" t="s">
        <v>62</v>
      </c>
      <c r="J666" s="3" t="s">
        <v>62</v>
      </c>
      <c r="K666" s="3" t="s">
        <v>63</v>
      </c>
      <c r="L666" s="2" t="s">
        <v>6701</v>
      </c>
      <c r="M666" s="2" t="s">
        <v>6702</v>
      </c>
      <c r="N666" s="3" t="s">
        <v>509</v>
      </c>
      <c r="P666" s="3" t="s">
        <v>64</v>
      </c>
      <c r="Q666" s="2" t="s">
        <v>6703</v>
      </c>
      <c r="R666" s="3" t="s">
        <v>65</v>
      </c>
      <c r="S666" s="4">
        <v>6</v>
      </c>
      <c r="T666" s="4">
        <v>6</v>
      </c>
      <c r="U666" s="5" t="s">
        <v>6704</v>
      </c>
      <c r="V666" s="5" t="s">
        <v>6704</v>
      </c>
      <c r="W666" s="5" t="s">
        <v>67</v>
      </c>
      <c r="X666" s="5" t="s">
        <v>67</v>
      </c>
      <c r="Y666" s="4">
        <v>119</v>
      </c>
      <c r="Z666" s="4">
        <v>14</v>
      </c>
      <c r="AA666" s="4">
        <v>17</v>
      </c>
      <c r="AB666" s="4">
        <v>1</v>
      </c>
      <c r="AC666" s="4">
        <v>2</v>
      </c>
      <c r="AD666" s="4">
        <v>60</v>
      </c>
      <c r="AE666" s="4">
        <v>66</v>
      </c>
      <c r="AF666" s="4">
        <v>0</v>
      </c>
      <c r="AG666" s="4">
        <v>1</v>
      </c>
      <c r="AH666" s="4">
        <v>52</v>
      </c>
      <c r="AI666" s="4">
        <v>56</v>
      </c>
      <c r="AJ666" s="4">
        <v>10</v>
      </c>
      <c r="AK666" s="4">
        <v>12</v>
      </c>
      <c r="AL666" s="4">
        <v>32</v>
      </c>
      <c r="AM666" s="4">
        <v>35</v>
      </c>
      <c r="AN666" s="4">
        <v>0</v>
      </c>
      <c r="AO666" s="4">
        <v>0</v>
      </c>
      <c r="AP666" s="4">
        <v>11</v>
      </c>
      <c r="AQ666" s="4">
        <v>13</v>
      </c>
      <c r="AR666" s="3" t="s">
        <v>62</v>
      </c>
      <c r="AS666" s="3" t="s">
        <v>62</v>
      </c>
      <c r="AT666" s="3" t="s">
        <v>62</v>
      </c>
      <c r="AV666" s="6" t="str">
        <f>HYPERLINK("http://mcgill.on.worldcat.org/oclc/29668256","Catalog Record")</f>
        <v>Catalog Record</v>
      </c>
      <c r="AW666" s="6" t="str">
        <f>HYPERLINK("http://www.worldcat.org/oclc/29668256","WorldCat Record")</f>
        <v>WorldCat Record</v>
      </c>
      <c r="AX666" s="3" t="s">
        <v>6705</v>
      </c>
      <c r="AY666" s="3" t="s">
        <v>6706</v>
      </c>
      <c r="AZ666" s="3" t="s">
        <v>6707</v>
      </c>
      <c r="BA666" s="3" t="s">
        <v>6707</v>
      </c>
      <c r="BB666" s="3" t="s">
        <v>6708</v>
      </c>
      <c r="BC666" s="3" t="s">
        <v>102</v>
      </c>
      <c r="BD666" s="3" t="s">
        <v>68</v>
      </c>
      <c r="BE666" s="3" t="s">
        <v>6709</v>
      </c>
      <c r="BF666" s="3" t="s">
        <v>6708</v>
      </c>
      <c r="BG666" s="3" t="s">
        <v>6710</v>
      </c>
    </row>
    <row r="667" spans="1:59" ht="58" x14ac:dyDescent="0.35">
      <c r="A667" s="2" t="s">
        <v>89</v>
      </c>
      <c r="B667" s="2" t="s">
        <v>90</v>
      </c>
      <c r="C667" s="2" t="s">
        <v>6711</v>
      </c>
      <c r="D667" s="2" t="s">
        <v>6712</v>
      </c>
      <c r="E667" s="2" t="s">
        <v>6713</v>
      </c>
      <c r="G667" s="3" t="s">
        <v>62</v>
      </c>
      <c r="I667" s="3" t="s">
        <v>62</v>
      </c>
      <c r="J667" s="3" t="s">
        <v>62</v>
      </c>
      <c r="K667" s="3" t="s">
        <v>63</v>
      </c>
      <c r="M667" s="2" t="s">
        <v>6714</v>
      </c>
      <c r="N667" s="3" t="s">
        <v>698</v>
      </c>
      <c r="P667" s="3" t="s">
        <v>64</v>
      </c>
      <c r="Q667" s="2" t="s">
        <v>6715</v>
      </c>
      <c r="R667" s="3" t="s">
        <v>65</v>
      </c>
      <c r="S667" s="4">
        <v>0</v>
      </c>
      <c r="T667" s="4">
        <v>0</v>
      </c>
      <c r="W667" s="5" t="s">
        <v>67</v>
      </c>
      <c r="X667" s="5" t="s">
        <v>67</v>
      </c>
      <c r="Y667" s="4">
        <v>11</v>
      </c>
      <c r="Z667" s="4">
        <v>1</v>
      </c>
      <c r="AA667" s="4">
        <v>35</v>
      </c>
      <c r="AB667" s="4">
        <v>1</v>
      </c>
      <c r="AC667" s="4">
        <v>8</v>
      </c>
      <c r="AD667" s="4">
        <v>1</v>
      </c>
      <c r="AE667" s="4">
        <v>64</v>
      </c>
      <c r="AF667" s="4">
        <v>0</v>
      </c>
      <c r="AG667" s="4">
        <v>4</v>
      </c>
      <c r="AH667" s="4">
        <v>1</v>
      </c>
      <c r="AI667" s="4">
        <v>41</v>
      </c>
      <c r="AJ667" s="4">
        <v>0</v>
      </c>
      <c r="AK667" s="4">
        <v>18</v>
      </c>
      <c r="AL667" s="4">
        <v>1</v>
      </c>
      <c r="AM667" s="4">
        <v>19</v>
      </c>
      <c r="AN667" s="4">
        <v>0</v>
      </c>
      <c r="AO667" s="4">
        <v>0</v>
      </c>
      <c r="AP667" s="4">
        <v>0</v>
      </c>
      <c r="AQ667" s="4">
        <v>29</v>
      </c>
      <c r="AR667" s="3" t="s">
        <v>62</v>
      </c>
      <c r="AS667" s="3" t="s">
        <v>62</v>
      </c>
      <c r="AT667" s="3" t="s">
        <v>62</v>
      </c>
      <c r="AV667" s="6" t="str">
        <f>HYPERLINK("http://mcgill.on.worldcat.org/oclc/760976547","Catalog Record")</f>
        <v>Catalog Record</v>
      </c>
      <c r="AW667" s="6" t="str">
        <f>HYPERLINK("http://www.worldcat.org/oclc/760976547","WorldCat Record")</f>
        <v>WorldCat Record</v>
      </c>
      <c r="AX667" s="3" t="s">
        <v>6716</v>
      </c>
      <c r="AY667" s="3" t="s">
        <v>6717</v>
      </c>
      <c r="AZ667" s="3" t="s">
        <v>6718</v>
      </c>
      <c r="BA667" s="3" t="s">
        <v>6718</v>
      </c>
      <c r="BB667" s="3" t="s">
        <v>6719</v>
      </c>
      <c r="BC667" s="3" t="s">
        <v>102</v>
      </c>
      <c r="BD667" s="3" t="s">
        <v>68</v>
      </c>
      <c r="BE667" s="3" t="s">
        <v>6720</v>
      </c>
      <c r="BF667" s="3" t="s">
        <v>6719</v>
      </c>
      <c r="BG667" s="3" t="s">
        <v>6721</v>
      </c>
    </row>
    <row r="668" spans="1:59" ht="58" x14ac:dyDescent="0.35">
      <c r="A668" s="2" t="s">
        <v>89</v>
      </c>
      <c r="B668" s="2" t="s">
        <v>90</v>
      </c>
      <c r="C668" s="2" t="s">
        <v>6722</v>
      </c>
      <c r="D668" s="2" t="s">
        <v>6723</v>
      </c>
      <c r="E668" s="2" t="s">
        <v>6724</v>
      </c>
      <c r="G668" s="3" t="s">
        <v>62</v>
      </c>
      <c r="I668" s="3" t="s">
        <v>61</v>
      </c>
      <c r="J668" s="3" t="s">
        <v>61</v>
      </c>
      <c r="K668" s="3" t="s">
        <v>63</v>
      </c>
      <c r="M668" s="2" t="s">
        <v>6725</v>
      </c>
      <c r="N668" s="3" t="s">
        <v>157</v>
      </c>
      <c r="P668" s="3" t="s">
        <v>64</v>
      </c>
      <c r="R668" s="3" t="s">
        <v>65</v>
      </c>
      <c r="S668" s="4">
        <v>22</v>
      </c>
      <c r="T668" s="4">
        <v>27</v>
      </c>
      <c r="U668" s="5" t="s">
        <v>6726</v>
      </c>
      <c r="V668" s="5" t="s">
        <v>6726</v>
      </c>
      <c r="W668" s="5" t="s">
        <v>67</v>
      </c>
      <c r="X668" s="5" t="s">
        <v>67</v>
      </c>
      <c r="Y668" s="4">
        <v>597</v>
      </c>
      <c r="Z668" s="4">
        <v>27</v>
      </c>
      <c r="AA668" s="4">
        <v>65</v>
      </c>
      <c r="AB668" s="4">
        <v>1</v>
      </c>
      <c r="AC668" s="4">
        <v>10</v>
      </c>
      <c r="AD668" s="4">
        <v>114</v>
      </c>
      <c r="AE668" s="4">
        <v>152</v>
      </c>
      <c r="AF668" s="4">
        <v>0</v>
      </c>
      <c r="AG668" s="4">
        <v>7</v>
      </c>
      <c r="AH668" s="4">
        <v>98</v>
      </c>
      <c r="AI668" s="4">
        <v>114</v>
      </c>
      <c r="AJ668" s="4">
        <v>11</v>
      </c>
      <c r="AK668" s="4">
        <v>26</v>
      </c>
      <c r="AL668" s="4">
        <v>57</v>
      </c>
      <c r="AM668" s="4">
        <v>61</v>
      </c>
      <c r="AN668" s="4">
        <v>0</v>
      </c>
      <c r="AO668" s="4">
        <v>0</v>
      </c>
      <c r="AP668" s="4">
        <v>17</v>
      </c>
      <c r="AQ668" s="4">
        <v>44</v>
      </c>
      <c r="AR668" s="3" t="s">
        <v>62</v>
      </c>
      <c r="AS668" s="3" t="s">
        <v>62</v>
      </c>
      <c r="AT668" s="3" t="s">
        <v>61</v>
      </c>
      <c r="AU668" s="6" t="str">
        <f>HYPERLINK("http://catalog.hathitrust.org/Record/001474416","HathiTrust Record")</f>
        <v>HathiTrust Record</v>
      </c>
      <c r="AV668" s="6" t="str">
        <f>HYPERLINK("http://mcgill.on.worldcat.org/oclc/912479","Catalog Record")</f>
        <v>Catalog Record</v>
      </c>
      <c r="AW668" s="6" t="str">
        <f>HYPERLINK("http://www.worldcat.org/oclc/912479","WorldCat Record")</f>
        <v>WorldCat Record</v>
      </c>
      <c r="AX668" s="3" t="s">
        <v>6727</v>
      </c>
      <c r="AY668" s="3" t="s">
        <v>6728</v>
      </c>
      <c r="AZ668" s="3" t="s">
        <v>6729</v>
      </c>
      <c r="BA668" s="3" t="s">
        <v>6729</v>
      </c>
      <c r="BB668" s="3" t="s">
        <v>6730</v>
      </c>
      <c r="BC668" s="3" t="s">
        <v>102</v>
      </c>
      <c r="BD668" s="3" t="s">
        <v>68</v>
      </c>
      <c r="BE668" s="3" t="s">
        <v>6731</v>
      </c>
      <c r="BF668" s="3" t="s">
        <v>6730</v>
      </c>
      <c r="BG668" s="3" t="s">
        <v>6732</v>
      </c>
    </row>
    <row r="669" spans="1:59" ht="58" x14ac:dyDescent="0.35">
      <c r="A669" s="2" t="s">
        <v>89</v>
      </c>
      <c r="B669" s="2" t="s">
        <v>90</v>
      </c>
      <c r="C669" s="2" t="s">
        <v>6733</v>
      </c>
      <c r="D669" s="2" t="s">
        <v>6734</v>
      </c>
      <c r="E669" s="2" t="s">
        <v>6735</v>
      </c>
      <c r="G669" s="3" t="s">
        <v>62</v>
      </c>
      <c r="I669" s="3" t="s">
        <v>62</v>
      </c>
      <c r="J669" s="3" t="s">
        <v>62</v>
      </c>
      <c r="K669" s="3" t="s">
        <v>63</v>
      </c>
      <c r="M669" s="2" t="s">
        <v>6736</v>
      </c>
      <c r="N669" s="3" t="s">
        <v>698</v>
      </c>
      <c r="P669" s="3" t="s">
        <v>64</v>
      </c>
      <c r="Q669" s="2" t="s">
        <v>6737</v>
      </c>
      <c r="R669" s="3" t="s">
        <v>65</v>
      </c>
      <c r="S669" s="4">
        <v>3</v>
      </c>
      <c r="T669" s="4">
        <v>3</v>
      </c>
      <c r="U669" s="5" t="s">
        <v>6738</v>
      </c>
      <c r="V669" s="5" t="s">
        <v>6738</v>
      </c>
      <c r="W669" s="5" t="s">
        <v>67</v>
      </c>
      <c r="X669" s="5" t="s">
        <v>67</v>
      </c>
      <c r="Y669" s="4">
        <v>64</v>
      </c>
      <c r="Z669" s="4">
        <v>2</v>
      </c>
      <c r="AA669" s="4">
        <v>3</v>
      </c>
      <c r="AB669" s="4">
        <v>1</v>
      </c>
      <c r="AC669" s="4">
        <v>1</v>
      </c>
      <c r="AD669" s="4">
        <v>30</v>
      </c>
      <c r="AE669" s="4">
        <v>31</v>
      </c>
      <c r="AF669" s="4">
        <v>0</v>
      </c>
      <c r="AG669" s="4">
        <v>0</v>
      </c>
      <c r="AH669" s="4">
        <v>28</v>
      </c>
      <c r="AI669" s="4">
        <v>29</v>
      </c>
      <c r="AJ669" s="4">
        <v>1</v>
      </c>
      <c r="AK669" s="4">
        <v>2</v>
      </c>
      <c r="AL669" s="4">
        <v>20</v>
      </c>
      <c r="AM669" s="4">
        <v>20</v>
      </c>
      <c r="AN669" s="4">
        <v>0</v>
      </c>
      <c r="AO669" s="4">
        <v>0</v>
      </c>
      <c r="AP669" s="4">
        <v>1</v>
      </c>
      <c r="AQ669" s="4">
        <v>2</v>
      </c>
      <c r="AR669" s="3" t="s">
        <v>62</v>
      </c>
      <c r="AS669" s="3" t="s">
        <v>62</v>
      </c>
      <c r="AT669" s="3" t="s">
        <v>62</v>
      </c>
      <c r="AV669" s="6" t="str">
        <f>HYPERLINK("http://mcgill.on.worldcat.org/oclc/740630019","Catalog Record")</f>
        <v>Catalog Record</v>
      </c>
      <c r="AW669" s="6" t="str">
        <f>HYPERLINK("http://www.worldcat.org/oclc/740630019","WorldCat Record")</f>
        <v>WorldCat Record</v>
      </c>
      <c r="AX669" s="3" t="s">
        <v>6739</v>
      </c>
      <c r="AY669" s="3" t="s">
        <v>6740</v>
      </c>
      <c r="AZ669" s="3" t="s">
        <v>6741</v>
      </c>
      <c r="BA669" s="3" t="s">
        <v>6741</v>
      </c>
      <c r="BB669" s="3" t="s">
        <v>6742</v>
      </c>
      <c r="BC669" s="3" t="s">
        <v>102</v>
      </c>
      <c r="BD669" s="3" t="s">
        <v>68</v>
      </c>
      <c r="BE669" s="3" t="s">
        <v>6743</v>
      </c>
      <c r="BF669" s="3" t="s">
        <v>6742</v>
      </c>
      <c r="BG669" s="3" t="s">
        <v>6744</v>
      </c>
    </row>
    <row r="670" spans="1:59" ht="87" x14ac:dyDescent="0.35">
      <c r="A670" s="2" t="s">
        <v>89</v>
      </c>
      <c r="B670" s="2" t="s">
        <v>90</v>
      </c>
      <c r="C670" s="2" t="s">
        <v>6745</v>
      </c>
      <c r="D670" s="2" t="s">
        <v>6746</v>
      </c>
      <c r="E670" s="2" t="s">
        <v>6747</v>
      </c>
      <c r="G670" s="3" t="s">
        <v>62</v>
      </c>
      <c r="I670" s="3" t="s">
        <v>62</v>
      </c>
      <c r="J670" s="3" t="s">
        <v>62</v>
      </c>
      <c r="K670" s="3" t="s">
        <v>63</v>
      </c>
      <c r="M670" s="2" t="s">
        <v>6748</v>
      </c>
      <c r="N670" s="3" t="s">
        <v>1722</v>
      </c>
      <c r="P670" s="3" t="s">
        <v>1881</v>
      </c>
      <c r="Q670" s="2" t="s">
        <v>6749</v>
      </c>
      <c r="R670" s="3" t="s">
        <v>65</v>
      </c>
      <c r="S670" s="4">
        <v>3</v>
      </c>
      <c r="T670" s="4">
        <v>3</v>
      </c>
      <c r="U670" s="5" t="s">
        <v>2987</v>
      </c>
      <c r="V670" s="5" t="s">
        <v>2987</v>
      </c>
      <c r="W670" s="5" t="s">
        <v>67</v>
      </c>
      <c r="X670" s="5" t="s">
        <v>67</v>
      </c>
      <c r="Y670" s="4">
        <v>38</v>
      </c>
      <c r="Z670" s="4">
        <v>4</v>
      </c>
      <c r="AA670" s="4">
        <v>4</v>
      </c>
      <c r="AB670" s="4">
        <v>1</v>
      </c>
      <c r="AC670" s="4">
        <v>1</v>
      </c>
      <c r="AD670" s="4">
        <v>13</v>
      </c>
      <c r="AE670" s="4">
        <v>13</v>
      </c>
      <c r="AF670" s="4">
        <v>0</v>
      </c>
      <c r="AG670" s="4">
        <v>0</v>
      </c>
      <c r="AH670" s="4">
        <v>13</v>
      </c>
      <c r="AI670" s="4">
        <v>13</v>
      </c>
      <c r="AJ670" s="4">
        <v>2</v>
      </c>
      <c r="AK670" s="4">
        <v>2</v>
      </c>
      <c r="AL670" s="4">
        <v>8</v>
      </c>
      <c r="AM670" s="4">
        <v>8</v>
      </c>
      <c r="AN670" s="4">
        <v>0</v>
      </c>
      <c r="AO670" s="4">
        <v>0</v>
      </c>
      <c r="AP670" s="4">
        <v>2</v>
      </c>
      <c r="AQ670" s="4">
        <v>2</v>
      </c>
      <c r="AR670" s="3" t="s">
        <v>62</v>
      </c>
      <c r="AS670" s="3" t="s">
        <v>62</v>
      </c>
      <c r="AT670" s="3" t="s">
        <v>62</v>
      </c>
      <c r="AV670" s="6" t="str">
        <f>HYPERLINK("http://mcgill.on.worldcat.org/oclc/234368892","Catalog Record")</f>
        <v>Catalog Record</v>
      </c>
      <c r="AW670" s="6" t="str">
        <f>HYPERLINK("http://www.worldcat.org/oclc/234368892","WorldCat Record")</f>
        <v>WorldCat Record</v>
      </c>
      <c r="AX670" s="3" t="s">
        <v>6750</v>
      </c>
      <c r="AY670" s="3" t="s">
        <v>6751</v>
      </c>
      <c r="AZ670" s="3" t="s">
        <v>6752</v>
      </c>
      <c r="BA670" s="3" t="s">
        <v>6752</v>
      </c>
      <c r="BB670" s="3" t="s">
        <v>6753</v>
      </c>
      <c r="BC670" s="3" t="s">
        <v>102</v>
      </c>
      <c r="BD670" s="3" t="s">
        <v>231</v>
      </c>
      <c r="BE670" s="3" t="s">
        <v>6754</v>
      </c>
      <c r="BF670" s="3" t="s">
        <v>6753</v>
      </c>
      <c r="BG670" s="3" t="s">
        <v>6755</v>
      </c>
    </row>
    <row r="671" spans="1:59" ht="58" x14ac:dyDescent="0.35">
      <c r="A671" s="2" t="s">
        <v>89</v>
      </c>
      <c r="B671" s="2" t="s">
        <v>90</v>
      </c>
      <c r="C671" s="2" t="s">
        <v>6756</v>
      </c>
      <c r="D671" s="2" t="s">
        <v>6757</v>
      </c>
      <c r="E671" s="2" t="s">
        <v>6758</v>
      </c>
      <c r="G671" s="3" t="s">
        <v>62</v>
      </c>
      <c r="I671" s="3" t="s">
        <v>62</v>
      </c>
      <c r="J671" s="3" t="s">
        <v>62</v>
      </c>
      <c r="K671" s="3" t="s">
        <v>63</v>
      </c>
      <c r="M671" s="2" t="s">
        <v>6759</v>
      </c>
      <c r="N671" s="3" t="s">
        <v>1077</v>
      </c>
      <c r="P671" s="3" t="s">
        <v>64</v>
      </c>
      <c r="Q671" s="2" t="s">
        <v>6760</v>
      </c>
      <c r="R671" s="3" t="s">
        <v>65</v>
      </c>
      <c r="S671" s="4">
        <v>12</v>
      </c>
      <c r="T671" s="4">
        <v>12</v>
      </c>
      <c r="U671" s="5" t="s">
        <v>6761</v>
      </c>
      <c r="V671" s="5" t="s">
        <v>6761</v>
      </c>
      <c r="W671" s="5" t="s">
        <v>67</v>
      </c>
      <c r="X671" s="5" t="s">
        <v>67</v>
      </c>
      <c r="Y671" s="4">
        <v>144</v>
      </c>
      <c r="Z671" s="4">
        <v>12</v>
      </c>
      <c r="AA671" s="4">
        <v>16</v>
      </c>
      <c r="AB671" s="4">
        <v>1</v>
      </c>
      <c r="AC671" s="4">
        <v>4</v>
      </c>
      <c r="AD671" s="4">
        <v>83</v>
      </c>
      <c r="AE671" s="4">
        <v>88</v>
      </c>
      <c r="AF671" s="4">
        <v>0</v>
      </c>
      <c r="AG671" s="4">
        <v>3</v>
      </c>
      <c r="AH671" s="4">
        <v>77</v>
      </c>
      <c r="AI671" s="4">
        <v>79</v>
      </c>
      <c r="AJ671" s="4">
        <v>10</v>
      </c>
      <c r="AK671" s="4">
        <v>13</v>
      </c>
      <c r="AL671" s="4">
        <v>49</v>
      </c>
      <c r="AM671" s="4">
        <v>50</v>
      </c>
      <c r="AN671" s="4">
        <v>0</v>
      </c>
      <c r="AO671" s="4">
        <v>0</v>
      </c>
      <c r="AP671" s="4">
        <v>10</v>
      </c>
      <c r="AQ671" s="4">
        <v>13</v>
      </c>
      <c r="AR671" s="3" t="s">
        <v>62</v>
      </c>
      <c r="AS671" s="3" t="s">
        <v>62</v>
      </c>
      <c r="AT671" s="3" t="s">
        <v>62</v>
      </c>
      <c r="AV671" s="6" t="str">
        <f>HYPERLINK("http://mcgill.on.worldcat.org/oclc/27768113","Catalog Record")</f>
        <v>Catalog Record</v>
      </c>
      <c r="AW671" s="6" t="str">
        <f>HYPERLINK("http://www.worldcat.org/oclc/27768113","WorldCat Record")</f>
        <v>WorldCat Record</v>
      </c>
      <c r="AX671" s="3" t="s">
        <v>6762</v>
      </c>
      <c r="AY671" s="3" t="s">
        <v>6763</v>
      </c>
      <c r="AZ671" s="3" t="s">
        <v>6764</v>
      </c>
      <c r="BA671" s="3" t="s">
        <v>6764</v>
      </c>
      <c r="BB671" s="3" t="s">
        <v>6765</v>
      </c>
      <c r="BC671" s="3" t="s">
        <v>102</v>
      </c>
      <c r="BD671" s="3" t="s">
        <v>68</v>
      </c>
      <c r="BE671" s="3" t="s">
        <v>6766</v>
      </c>
      <c r="BF671" s="3" t="s">
        <v>6765</v>
      </c>
      <c r="BG671" s="3" t="s">
        <v>6767</v>
      </c>
    </row>
    <row r="672" spans="1:59" ht="58" x14ac:dyDescent="0.35">
      <c r="A672" s="2" t="s">
        <v>89</v>
      </c>
      <c r="B672" s="2" t="s">
        <v>90</v>
      </c>
      <c r="C672" s="2" t="s">
        <v>6768</v>
      </c>
      <c r="D672" s="2" t="s">
        <v>6769</v>
      </c>
      <c r="E672" s="2" t="s">
        <v>6770</v>
      </c>
      <c r="G672" s="3" t="s">
        <v>62</v>
      </c>
      <c r="I672" s="3" t="s">
        <v>62</v>
      </c>
      <c r="J672" s="3" t="s">
        <v>62</v>
      </c>
      <c r="K672" s="3" t="s">
        <v>63</v>
      </c>
      <c r="L672" s="2" t="s">
        <v>6771</v>
      </c>
      <c r="M672" s="2" t="s">
        <v>6772</v>
      </c>
      <c r="N672" s="3" t="s">
        <v>684</v>
      </c>
      <c r="P672" s="3" t="s">
        <v>64</v>
      </c>
      <c r="R672" s="3" t="s">
        <v>65</v>
      </c>
      <c r="S672" s="4">
        <v>9</v>
      </c>
      <c r="T672" s="4">
        <v>9</v>
      </c>
      <c r="U672" s="5" t="s">
        <v>6773</v>
      </c>
      <c r="V672" s="5" t="s">
        <v>6773</v>
      </c>
      <c r="W672" s="5" t="s">
        <v>67</v>
      </c>
      <c r="X672" s="5" t="s">
        <v>67</v>
      </c>
      <c r="Y672" s="4">
        <v>279</v>
      </c>
      <c r="Z672" s="4">
        <v>16</v>
      </c>
      <c r="AA672" s="4">
        <v>18</v>
      </c>
      <c r="AB672" s="4">
        <v>1</v>
      </c>
      <c r="AC672" s="4">
        <v>1</v>
      </c>
      <c r="AD672" s="4">
        <v>47</v>
      </c>
      <c r="AE672" s="4">
        <v>51</v>
      </c>
      <c r="AF672" s="4">
        <v>0</v>
      </c>
      <c r="AG672" s="4">
        <v>0</v>
      </c>
      <c r="AH672" s="4">
        <v>40</v>
      </c>
      <c r="AI672" s="4">
        <v>44</v>
      </c>
      <c r="AJ672" s="4">
        <v>7</v>
      </c>
      <c r="AK672" s="4">
        <v>7</v>
      </c>
      <c r="AL672" s="4">
        <v>26</v>
      </c>
      <c r="AM672" s="4">
        <v>28</v>
      </c>
      <c r="AN672" s="4">
        <v>0</v>
      </c>
      <c r="AO672" s="4">
        <v>0</v>
      </c>
      <c r="AP672" s="4">
        <v>11</v>
      </c>
      <c r="AQ672" s="4">
        <v>11</v>
      </c>
      <c r="AR672" s="3" t="s">
        <v>62</v>
      </c>
      <c r="AS672" s="3" t="s">
        <v>62</v>
      </c>
      <c r="AT672" s="3" t="s">
        <v>62</v>
      </c>
      <c r="AV672" s="6" t="str">
        <f>HYPERLINK("http://mcgill.on.worldcat.org/oclc/694832795","Catalog Record")</f>
        <v>Catalog Record</v>
      </c>
      <c r="AW672" s="6" t="str">
        <f>HYPERLINK("http://www.worldcat.org/oclc/694832795","WorldCat Record")</f>
        <v>WorldCat Record</v>
      </c>
      <c r="AX672" s="3" t="s">
        <v>6774</v>
      </c>
      <c r="AY672" s="3" t="s">
        <v>6775</v>
      </c>
      <c r="AZ672" s="3" t="s">
        <v>6776</v>
      </c>
      <c r="BA672" s="3" t="s">
        <v>6776</v>
      </c>
      <c r="BB672" s="3" t="s">
        <v>6777</v>
      </c>
      <c r="BC672" s="3" t="s">
        <v>102</v>
      </c>
      <c r="BD672" s="3" t="s">
        <v>68</v>
      </c>
      <c r="BE672" s="3" t="s">
        <v>6778</v>
      </c>
      <c r="BF672" s="3" t="s">
        <v>6777</v>
      </c>
      <c r="BG672" s="3" t="s">
        <v>6779</v>
      </c>
    </row>
    <row r="673" spans="1:59" ht="58" x14ac:dyDescent="0.35">
      <c r="A673" s="2" t="s">
        <v>89</v>
      </c>
      <c r="B673" s="2" t="s">
        <v>90</v>
      </c>
      <c r="C673" s="2" t="s">
        <v>6780</v>
      </c>
      <c r="D673" s="2" t="s">
        <v>6781</v>
      </c>
      <c r="E673" s="2" t="s">
        <v>6782</v>
      </c>
      <c r="G673" s="3" t="s">
        <v>62</v>
      </c>
      <c r="I673" s="3" t="s">
        <v>61</v>
      </c>
      <c r="J673" s="3" t="s">
        <v>62</v>
      </c>
      <c r="K673" s="3" t="s">
        <v>63</v>
      </c>
      <c r="L673" s="2" t="s">
        <v>6783</v>
      </c>
      <c r="M673" s="2" t="s">
        <v>6784</v>
      </c>
      <c r="N673" s="3" t="s">
        <v>81</v>
      </c>
      <c r="P673" s="3" t="s">
        <v>64</v>
      </c>
      <c r="R673" s="3" t="s">
        <v>65</v>
      </c>
      <c r="S673" s="4">
        <v>6</v>
      </c>
      <c r="T673" s="4">
        <v>12</v>
      </c>
      <c r="U673" s="5" t="s">
        <v>6785</v>
      </c>
      <c r="V673" s="5" t="s">
        <v>3572</v>
      </c>
      <c r="W673" s="5" t="s">
        <v>67</v>
      </c>
      <c r="X673" s="5" t="s">
        <v>67</v>
      </c>
      <c r="Y673" s="4">
        <v>754</v>
      </c>
      <c r="Z673" s="4">
        <v>43</v>
      </c>
      <c r="AA673" s="4">
        <v>52</v>
      </c>
      <c r="AB673" s="4">
        <v>2</v>
      </c>
      <c r="AC673" s="4">
        <v>5</v>
      </c>
      <c r="AD673" s="4">
        <v>128</v>
      </c>
      <c r="AE673" s="4">
        <v>139</v>
      </c>
      <c r="AF673" s="4">
        <v>1</v>
      </c>
      <c r="AG673" s="4">
        <v>3</v>
      </c>
      <c r="AH673" s="4">
        <v>102</v>
      </c>
      <c r="AI673" s="4">
        <v>106</v>
      </c>
      <c r="AJ673" s="4">
        <v>21</v>
      </c>
      <c r="AK673" s="4">
        <v>24</v>
      </c>
      <c r="AL673" s="4">
        <v>56</v>
      </c>
      <c r="AM673" s="4">
        <v>57</v>
      </c>
      <c r="AN673" s="4">
        <v>0</v>
      </c>
      <c r="AO673" s="4">
        <v>4</v>
      </c>
      <c r="AP673" s="4">
        <v>31</v>
      </c>
      <c r="AQ673" s="4">
        <v>38</v>
      </c>
      <c r="AR673" s="3" t="s">
        <v>62</v>
      </c>
      <c r="AS673" s="3" t="s">
        <v>62</v>
      </c>
      <c r="AT673" s="3" t="s">
        <v>61</v>
      </c>
      <c r="AU673" s="6" t="str">
        <f>HYPERLINK("http://catalog.hathitrust.org/Record/009499562","HathiTrust Record")</f>
        <v>HathiTrust Record</v>
      </c>
      <c r="AV673" s="6" t="str">
        <f>HYPERLINK("http://mcgill.on.worldcat.org/oclc/438951","Catalog Record")</f>
        <v>Catalog Record</v>
      </c>
      <c r="AW673" s="6" t="str">
        <f>HYPERLINK("http://www.worldcat.org/oclc/438951","WorldCat Record")</f>
        <v>WorldCat Record</v>
      </c>
      <c r="AX673" s="3" t="s">
        <v>6786</v>
      </c>
      <c r="AY673" s="3" t="s">
        <v>6787</v>
      </c>
      <c r="AZ673" s="3" t="s">
        <v>6788</v>
      </c>
      <c r="BA673" s="3" t="s">
        <v>6788</v>
      </c>
      <c r="BB673" s="3" t="s">
        <v>6789</v>
      </c>
      <c r="BC673" s="3" t="s">
        <v>102</v>
      </c>
      <c r="BD673" s="3" t="s">
        <v>68</v>
      </c>
      <c r="BF673" s="3" t="s">
        <v>6789</v>
      </c>
      <c r="BG673" s="3" t="s">
        <v>6790</v>
      </c>
    </row>
    <row r="674" spans="1:59" ht="58" x14ac:dyDescent="0.35">
      <c r="A674" s="2" t="s">
        <v>89</v>
      </c>
      <c r="B674" s="2" t="s">
        <v>6791</v>
      </c>
      <c r="C674" s="2" t="s">
        <v>6780</v>
      </c>
      <c r="D674" s="2" t="s">
        <v>6781</v>
      </c>
      <c r="E674" s="2" t="s">
        <v>6782</v>
      </c>
      <c r="G674" s="3" t="s">
        <v>62</v>
      </c>
      <c r="I674" s="3" t="s">
        <v>61</v>
      </c>
      <c r="J674" s="3" t="s">
        <v>62</v>
      </c>
      <c r="K674" s="3" t="s">
        <v>63</v>
      </c>
      <c r="L674" s="2" t="s">
        <v>6783</v>
      </c>
      <c r="M674" s="2" t="s">
        <v>6784</v>
      </c>
      <c r="N674" s="3" t="s">
        <v>81</v>
      </c>
      <c r="P674" s="3" t="s">
        <v>64</v>
      </c>
      <c r="R674" s="3" t="s">
        <v>65</v>
      </c>
      <c r="S674" s="4">
        <v>6</v>
      </c>
      <c r="T674" s="4">
        <v>12</v>
      </c>
      <c r="U674" s="5" t="s">
        <v>3572</v>
      </c>
      <c r="V674" s="5" t="s">
        <v>3572</v>
      </c>
      <c r="W674" s="5" t="s">
        <v>67</v>
      </c>
      <c r="X674" s="5" t="s">
        <v>67</v>
      </c>
      <c r="Y674" s="4">
        <v>754</v>
      </c>
      <c r="Z674" s="4">
        <v>43</v>
      </c>
      <c r="AA674" s="4">
        <v>52</v>
      </c>
      <c r="AB674" s="4">
        <v>2</v>
      </c>
      <c r="AC674" s="4">
        <v>5</v>
      </c>
      <c r="AD674" s="4">
        <v>128</v>
      </c>
      <c r="AE674" s="4">
        <v>139</v>
      </c>
      <c r="AF674" s="4">
        <v>1</v>
      </c>
      <c r="AG674" s="4">
        <v>3</v>
      </c>
      <c r="AH674" s="4">
        <v>102</v>
      </c>
      <c r="AI674" s="4">
        <v>106</v>
      </c>
      <c r="AJ674" s="4">
        <v>21</v>
      </c>
      <c r="AK674" s="4">
        <v>24</v>
      </c>
      <c r="AL674" s="4">
        <v>56</v>
      </c>
      <c r="AM674" s="4">
        <v>57</v>
      </c>
      <c r="AN674" s="4">
        <v>0</v>
      </c>
      <c r="AO674" s="4">
        <v>4</v>
      </c>
      <c r="AP674" s="4">
        <v>31</v>
      </c>
      <c r="AQ674" s="4">
        <v>38</v>
      </c>
      <c r="AR674" s="3" t="s">
        <v>62</v>
      </c>
      <c r="AS674" s="3" t="s">
        <v>62</v>
      </c>
      <c r="AT674" s="3" t="s">
        <v>61</v>
      </c>
      <c r="AU674" s="6" t="str">
        <f>HYPERLINK("http://catalog.hathitrust.org/Record/009499562","HathiTrust Record")</f>
        <v>HathiTrust Record</v>
      </c>
      <c r="AV674" s="6" t="str">
        <f>HYPERLINK("http://mcgill.on.worldcat.org/oclc/438951","Catalog Record")</f>
        <v>Catalog Record</v>
      </c>
      <c r="AW674" s="6" t="str">
        <f>HYPERLINK("http://www.worldcat.org/oclc/438951","WorldCat Record")</f>
        <v>WorldCat Record</v>
      </c>
      <c r="AX674" s="3" t="s">
        <v>6786</v>
      </c>
      <c r="AY674" s="3" t="s">
        <v>6787</v>
      </c>
      <c r="AZ674" s="3" t="s">
        <v>6788</v>
      </c>
      <c r="BA674" s="3" t="s">
        <v>6788</v>
      </c>
      <c r="BB674" s="3" t="s">
        <v>6792</v>
      </c>
      <c r="BC674" s="3" t="s">
        <v>102</v>
      </c>
      <c r="BD674" s="3" t="s">
        <v>68</v>
      </c>
      <c r="BF674" s="3" t="s">
        <v>6792</v>
      </c>
      <c r="BG674" s="3" t="s">
        <v>6793</v>
      </c>
    </row>
    <row r="675" spans="1:59" ht="58" x14ac:dyDescent="0.35">
      <c r="A675" s="2" t="s">
        <v>89</v>
      </c>
      <c r="B675" s="2" t="s">
        <v>90</v>
      </c>
      <c r="C675" s="2" t="s">
        <v>6794</v>
      </c>
      <c r="D675" s="2" t="s">
        <v>6795</v>
      </c>
      <c r="E675" s="2" t="s">
        <v>6796</v>
      </c>
      <c r="G675" s="3" t="s">
        <v>62</v>
      </c>
      <c r="I675" s="3" t="s">
        <v>61</v>
      </c>
      <c r="J675" s="3" t="s">
        <v>62</v>
      </c>
      <c r="K675" s="3" t="s">
        <v>63</v>
      </c>
      <c r="L675" s="2" t="s">
        <v>6797</v>
      </c>
      <c r="M675" s="2" t="s">
        <v>6798</v>
      </c>
      <c r="N675" s="3" t="s">
        <v>1064</v>
      </c>
      <c r="P675" s="3" t="s">
        <v>64</v>
      </c>
      <c r="R675" s="3" t="s">
        <v>65</v>
      </c>
      <c r="S675" s="4">
        <v>6</v>
      </c>
      <c r="T675" s="4">
        <v>6</v>
      </c>
      <c r="U675" s="5" t="s">
        <v>3572</v>
      </c>
      <c r="V675" s="5" t="s">
        <v>3572</v>
      </c>
      <c r="W675" s="5" t="s">
        <v>67</v>
      </c>
      <c r="X675" s="5" t="s">
        <v>67</v>
      </c>
      <c r="Y675" s="4">
        <v>493</v>
      </c>
      <c r="Z675" s="4">
        <v>34</v>
      </c>
      <c r="AA675" s="4">
        <v>47</v>
      </c>
      <c r="AB675" s="4">
        <v>2</v>
      </c>
      <c r="AC675" s="4">
        <v>5</v>
      </c>
      <c r="AD675" s="4">
        <v>116</v>
      </c>
      <c r="AE675" s="4">
        <v>124</v>
      </c>
      <c r="AF675" s="4">
        <v>1</v>
      </c>
      <c r="AG675" s="4">
        <v>4</v>
      </c>
      <c r="AH675" s="4">
        <v>91</v>
      </c>
      <c r="AI675" s="4">
        <v>94</v>
      </c>
      <c r="AJ675" s="4">
        <v>20</v>
      </c>
      <c r="AK675" s="4">
        <v>26</v>
      </c>
      <c r="AL675" s="4">
        <v>52</v>
      </c>
      <c r="AM675" s="4">
        <v>53</v>
      </c>
      <c r="AN675" s="4">
        <v>0</v>
      </c>
      <c r="AO675" s="4">
        <v>0</v>
      </c>
      <c r="AP675" s="4">
        <v>28</v>
      </c>
      <c r="AQ675" s="4">
        <v>34</v>
      </c>
      <c r="AR675" s="3" t="s">
        <v>62</v>
      </c>
      <c r="AS675" s="3" t="s">
        <v>62</v>
      </c>
      <c r="AT675" s="3" t="s">
        <v>61</v>
      </c>
      <c r="AU675" s="6" t="str">
        <f>HYPERLINK("http://catalog.hathitrust.org/Record/001474419","HathiTrust Record")</f>
        <v>HathiTrust Record</v>
      </c>
      <c r="AV675" s="6" t="str">
        <f>HYPERLINK("http://mcgill.on.worldcat.org/oclc/226311","Catalog Record")</f>
        <v>Catalog Record</v>
      </c>
      <c r="AW675" s="6" t="str">
        <f>HYPERLINK("http://www.worldcat.org/oclc/226311","WorldCat Record")</f>
        <v>WorldCat Record</v>
      </c>
      <c r="AX675" s="3" t="s">
        <v>6799</v>
      </c>
      <c r="AY675" s="3" t="s">
        <v>6800</v>
      </c>
      <c r="AZ675" s="3" t="s">
        <v>6801</v>
      </c>
      <c r="BA675" s="3" t="s">
        <v>6801</v>
      </c>
      <c r="BB675" s="3" t="s">
        <v>6802</v>
      </c>
      <c r="BC675" s="3" t="s">
        <v>102</v>
      </c>
      <c r="BD675" s="3" t="s">
        <v>68</v>
      </c>
      <c r="BE675" s="3" t="s">
        <v>6803</v>
      </c>
      <c r="BF675" s="3" t="s">
        <v>6802</v>
      </c>
      <c r="BG675" s="3" t="s">
        <v>6804</v>
      </c>
    </row>
    <row r="676" spans="1:59" ht="58" x14ac:dyDescent="0.35">
      <c r="A676" s="2" t="s">
        <v>89</v>
      </c>
      <c r="B676" s="2" t="s">
        <v>90</v>
      </c>
      <c r="C676" s="2" t="s">
        <v>6805</v>
      </c>
      <c r="D676" s="2" t="s">
        <v>6806</v>
      </c>
      <c r="E676" s="2" t="s">
        <v>6807</v>
      </c>
      <c r="G676" s="3" t="s">
        <v>62</v>
      </c>
      <c r="I676" s="3" t="s">
        <v>62</v>
      </c>
      <c r="J676" s="3" t="s">
        <v>62</v>
      </c>
      <c r="K676" s="3" t="s">
        <v>63</v>
      </c>
      <c r="M676" s="2" t="s">
        <v>6808</v>
      </c>
      <c r="N676" s="3" t="s">
        <v>698</v>
      </c>
      <c r="P676" s="3" t="s">
        <v>64</v>
      </c>
      <c r="Q676" s="2" t="s">
        <v>6809</v>
      </c>
      <c r="R676" s="3" t="s">
        <v>65</v>
      </c>
      <c r="S676" s="4">
        <v>2</v>
      </c>
      <c r="T676" s="4">
        <v>2</v>
      </c>
      <c r="U676" s="5" t="s">
        <v>6810</v>
      </c>
      <c r="V676" s="5" t="s">
        <v>6810</v>
      </c>
      <c r="W676" s="5" t="s">
        <v>67</v>
      </c>
      <c r="X676" s="5" t="s">
        <v>67</v>
      </c>
      <c r="Y676" s="4">
        <v>37</v>
      </c>
      <c r="Z676" s="4">
        <v>5</v>
      </c>
      <c r="AA676" s="4">
        <v>63</v>
      </c>
      <c r="AB676" s="4">
        <v>1</v>
      </c>
      <c r="AC676" s="4">
        <v>8</v>
      </c>
      <c r="AD676" s="4">
        <v>18</v>
      </c>
      <c r="AE676" s="4">
        <v>85</v>
      </c>
      <c r="AF676" s="4">
        <v>0</v>
      </c>
      <c r="AG676" s="4">
        <v>4</v>
      </c>
      <c r="AH676" s="4">
        <v>17</v>
      </c>
      <c r="AI676" s="4">
        <v>56</v>
      </c>
      <c r="AJ676" s="4">
        <v>3</v>
      </c>
      <c r="AK676" s="4">
        <v>21</v>
      </c>
      <c r="AL676" s="4">
        <v>8</v>
      </c>
      <c r="AM676" s="4">
        <v>26</v>
      </c>
      <c r="AN676" s="4">
        <v>0</v>
      </c>
      <c r="AO676" s="4">
        <v>0</v>
      </c>
      <c r="AP676" s="4">
        <v>3</v>
      </c>
      <c r="AQ676" s="4">
        <v>36</v>
      </c>
      <c r="AR676" s="3" t="s">
        <v>62</v>
      </c>
      <c r="AS676" s="3" t="s">
        <v>62</v>
      </c>
      <c r="AT676" s="3" t="s">
        <v>62</v>
      </c>
      <c r="AV676" s="6" t="str">
        <f>HYPERLINK("http://mcgill.on.worldcat.org/oclc/766344949","Catalog Record")</f>
        <v>Catalog Record</v>
      </c>
      <c r="AW676" s="6" t="str">
        <f>HYPERLINK("http://www.worldcat.org/oclc/766344949","WorldCat Record")</f>
        <v>WorldCat Record</v>
      </c>
      <c r="AX676" s="3" t="s">
        <v>6811</v>
      </c>
      <c r="AY676" s="3" t="s">
        <v>6812</v>
      </c>
      <c r="AZ676" s="3" t="s">
        <v>6813</v>
      </c>
      <c r="BA676" s="3" t="s">
        <v>6813</v>
      </c>
      <c r="BB676" s="3" t="s">
        <v>6814</v>
      </c>
      <c r="BC676" s="3" t="s">
        <v>102</v>
      </c>
      <c r="BD676" s="3" t="s">
        <v>68</v>
      </c>
      <c r="BE676" s="3" t="s">
        <v>6815</v>
      </c>
      <c r="BF676" s="3" t="s">
        <v>6814</v>
      </c>
      <c r="BG676" s="3" t="s">
        <v>6816</v>
      </c>
    </row>
    <row r="677" spans="1:59" ht="58" x14ac:dyDescent="0.35">
      <c r="A677" s="2" t="s">
        <v>89</v>
      </c>
      <c r="B677" s="2" t="s">
        <v>90</v>
      </c>
      <c r="C677" s="2" t="s">
        <v>6817</v>
      </c>
      <c r="D677" s="2" t="s">
        <v>6818</v>
      </c>
      <c r="E677" s="2" t="s">
        <v>6819</v>
      </c>
      <c r="G677" s="3" t="s">
        <v>62</v>
      </c>
      <c r="I677" s="3" t="s">
        <v>62</v>
      </c>
      <c r="J677" s="3" t="s">
        <v>62</v>
      </c>
      <c r="K677" s="3" t="s">
        <v>63</v>
      </c>
      <c r="L677" s="2" t="s">
        <v>6820</v>
      </c>
      <c r="M677" s="2" t="s">
        <v>6821</v>
      </c>
      <c r="N677" s="3" t="s">
        <v>2975</v>
      </c>
      <c r="P677" s="3" t="s">
        <v>64</v>
      </c>
      <c r="Q677" s="2" t="s">
        <v>6822</v>
      </c>
      <c r="R677" s="3" t="s">
        <v>65</v>
      </c>
      <c r="S677" s="4">
        <v>10</v>
      </c>
      <c r="T677" s="4">
        <v>10</v>
      </c>
      <c r="U677" s="5" t="s">
        <v>6823</v>
      </c>
      <c r="V677" s="5" t="s">
        <v>6823</v>
      </c>
      <c r="W677" s="5" t="s">
        <v>67</v>
      </c>
      <c r="X677" s="5" t="s">
        <v>67</v>
      </c>
      <c r="Y677" s="4">
        <v>31</v>
      </c>
      <c r="Z677" s="4">
        <v>2</v>
      </c>
      <c r="AA677" s="4">
        <v>6</v>
      </c>
      <c r="AB677" s="4">
        <v>2</v>
      </c>
      <c r="AC677" s="4">
        <v>3</v>
      </c>
      <c r="AD677" s="4">
        <v>11</v>
      </c>
      <c r="AE677" s="4">
        <v>62</v>
      </c>
      <c r="AF677" s="4">
        <v>0</v>
      </c>
      <c r="AG677" s="4">
        <v>1</v>
      </c>
      <c r="AH677" s="4">
        <v>11</v>
      </c>
      <c r="AI677" s="4">
        <v>58</v>
      </c>
      <c r="AJ677" s="4">
        <v>0</v>
      </c>
      <c r="AK677" s="4">
        <v>3</v>
      </c>
      <c r="AL677" s="4">
        <v>9</v>
      </c>
      <c r="AM677" s="4">
        <v>37</v>
      </c>
      <c r="AN677" s="4">
        <v>0</v>
      </c>
      <c r="AO677" s="4">
        <v>5</v>
      </c>
      <c r="AP677" s="4">
        <v>0</v>
      </c>
      <c r="AQ677" s="4">
        <v>3</v>
      </c>
      <c r="AR677" s="3" t="s">
        <v>62</v>
      </c>
      <c r="AS677" s="3" t="s">
        <v>62</v>
      </c>
      <c r="AT677" s="3" t="s">
        <v>61</v>
      </c>
      <c r="AU677" s="6" t="str">
        <f>HYPERLINK("http://catalog.hathitrust.org/Record/004164799","HathiTrust Record")</f>
        <v>HathiTrust Record</v>
      </c>
      <c r="AV677" s="6" t="str">
        <f>HYPERLINK("http://mcgill.on.worldcat.org/oclc/48014420","Catalog Record")</f>
        <v>Catalog Record</v>
      </c>
      <c r="AW677" s="6" t="str">
        <f>HYPERLINK("http://www.worldcat.org/oclc/48014420","WorldCat Record")</f>
        <v>WorldCat Record</v>
      </c>
      <c r="AX677" s="3" t="s">
        <v>6824</v>
      </c>
      <c r="AY677" s="3" t="s">
        <v>6825</v>
      </c>
      <c r="AZ677" s="3" t="s">
        <v>6826</v>
      </c>
      <c r="BA677" s="3" t="s">
        <v>6826</v>
      </c>
      <c r="BB677" s="3" t="s">
        <v>6827</v>
      </c>
      <c r="BC677" s="3" t="s">
        <v>102</v>
      </c>
      <c r="BD677" s="3" t="s">
        <v>68</v>
      </c>
      <c r="BE677" s="3" t="s">
        <v>6828</v>
      </c>
      <c r="BF677" s="3" t="s">
        <v>6827</v>
      </c>
      <c r="BG677" s="3" t="s">
        <v>6829</v>
      </c>
    </row>
    <row r="678" spans="1:59" ht="58" x14ac:dyDescent="0.35">
      <c r="A678" s="2" t="s">
        <v>89</v>
      </c>
      <c r="B678" s="2" t="s">
        <v>90</v>
      </c>
      <c r="C678" s="2" t="s">
        <v>6830</v>
      </c>
      <c r="D678" s="2" t="s">
        <v>6831</v>
      </c>
      <c r="E678" s="2" t="s">
        <v>6832</v>
      </c>
      <c r="F678" s="3" t="s">
        <v>2217</v>
      </c>
      <c r="G678" s="3" t="s">
        <v>61</v>
      </c>
      <c r="I678" s="3" t="s">
        <v>62</v>
      </c>
      <c r="J678" s="3" t="s">
        <v>62</v>
      </c>
      <c r="K678" s="3" t="s">
        <v>63</v>
      </c>
      <c r="M678" s="2" t="s">
        <v>6833</v>
      </c>
      <c r="N678" s="3" t="s">
        <v>568</v>
      </c>
      <c r="P678" s="3" t="s">
        <v>64</v>
      </c>
      <c r="R678" s="3" t="s">
        <v>65</v>
      </c>
      <c r="S678" s="4">
        <v>7</v>
      </c>
      <c r="T678" s="4">
        <v>14</v>
      </c>
      <c r="U678" s="5" t="s">
        <v>6834</v>
      </c>
      <c r="V678" s="5" t="s">
        <v>6834</v>
      </c>
      <c r="W678" s="5" t="s">
        <v>67</v>
      </c>
      <c r="X678" s="5" t="s">
        <v>67</v>
      </c>
      <c r="Y678" s="4">
        <v>151</v>
      </c>
      <c r="Z678" s="4">
        <v>12</v>
      </c>
      <c r="AA678" s="4">
        <v>15</v>
      </c>
      <c r="AB678" s="4">
        <v>1</v>
      </c>
      <c r="AC678" s="4">
        <v>4</v>
      </c>
      <c r="AD678" s="4">
        <v>66</v>
      </c>
      <c r="AE678" s="4">
        <v>70</v>
      </c>
      <c r="AF678" s="4">
        <v>0</v>
      </c>
      <c r="AG678" s="4">
        <v>3</v>
      </c>
      <c r="AH678" s="4">
        <v>58</v>
      </c>
      <c r="AI678" s="4">
        <v>60</v>
      </c>
      <c r="AJ678" s="4">
        <v>10</v>
      </c>
      <c r="AK678" s="4">
        <v>13</v>
      </c>
      <c r="AL678" s="4">
        <v>35</v>
      </c>
      <c r="AM678" s="4">
        <v>36</v>
      </c>
      <c r="AN678" s="4">
        <v>0</v>
      </c>
      <c r="AO678" s="4">
        <v>0</v>
      </c>
      <c r="AP678" s="4">
        <v>9</v>
      </c>
      <c r="AQ678" s="4">
        <v>11</v>
      </c>
      <c r="AR678" s="3" t="s">
        <v>62</v>
      </c>
      <c r="AS678" s="3" t="s">
        <v>62</v>
      </c>
      <c r="AT678" s="3" t="s">
        <v>61</v>
      </c>
      <c r="AU678" s="6" t="str">
        <f>HYPERLINK("http://catalog.hathitrust.org/Record/004127219","HathiTrust Record")</f>
        <v>HathiTrust Record</v>
      </c>
      <c r="AV678" s="6" t="str">
        <f>HYPERLINK("http://mcgill.on.worldcat.org/oclc/40489216","Catalog Record")</f>
        <v>Catalog Record</v>
      </c>
      <c r="AW678" s="6" t="str">
        <f>HYPERLINK("http://www.worldcat.org/oclc/40489216","WorldCat Record")</f>
        <v>WorldCat Record</v>
      </c>
      <c r="AX678" s="3" t="s">
        <v>6835</v>
      </c>
      <c r="AY678" s="3" t="s">
        <v>6836</v>
      </c>
      <c r="AZ678" s="3" t="s">
        <v>6837</v>
      </c>
      <c r="BA678" s="3" t="s">
        <v>6837</v>
      </c>
      <c r="BB678" s="3" t="s">
        <v>6838</v>
      </c>
      <c r="BC678" s="3" t="s">
        <v>102</v>
      </c>
      <c r="BD678" s="3" t="s">
        <v>68</v>
      </c>
      <c r="BE678" s="3" t="s">
        <v>6839</v>
      </c>
      <c r="BF678" s="3" t="s">
        <v>6838</v>
      </c>
      <c r="BG678" s="3" t="s">
        <v>6840</v>
      </c>
    </row>
    <row r="679" spans="1:59" ht="58" x14ac:dyDescent="0.35">
      <c r="A679" s="2" t="s">
        <v>89</v>
      </c>
      <c r="B679" s="2" t="s">
        <v>90</v>
      </c>
      <c r="C679" s="2" t="s">
        <v>6830</v>
      </c>
      <c r="D679" s="2" t="s">
        <v>6831</v>
      </c>
      <c r="E679" s="2" t="s">
        <v>6832</v>
      </c>
      <c r="F679" s="3" t="s">
        <v>2233</v>
      </c>
      <c r="G679" s="3" t="s">
        <v>61</v>
      </c>
      <c r="I679" s="3" t="s">
        <v>62</v>
      </c>
      <c r="J679" s="3" t="s">
        <v>62</v>
      </c>
      <c r="K679" s="3" t="s">
        <v>63</v>
      </c>
      <c r="M679" s="2" t="s">
        <v>6833</v>
      </c>
      <c r="N679" s="3" t="s">
        <v>568</v>
      </c>
      <c r="P679" s="3" t="s">
        <v>64</v>
      </c>
      <c r="R679" s="3" t="s">
        <v>65</v>
      </c>
      <c r="S679" s="4">
        <v>7</v>
      </c>
      <c r="T679" s="4">
        <v>14</v>
      </c>
      <c r="U679" s="5" t="s">
        <v>6834</v>
      </c>
      <c r="V679" s="5" t="s">
        <v>6834</v>
      </c>
      <c r="W679" s="5" t="s">
        <v>67</v>
      </c>
      <c r="X679" s="5" t="s">
        <v>67</v>
      </c>
      <c r="Y679" s="4">
        <v>151</v>
      </c>
      <c r="Z679" s="4">
        <v>12</v>
      </c>
      <c r="AA679" s="4">
        <v>15</v>
      </c>
      <c r="AB679" s="4">
        <v>1</v>
      </c>
      <c r="AC679" s="4">
        <v>4</v>
      </c>
      <c r="AD679" s="4">
        <v>66</v>
      </c>
      <c r="AE679" s="4">
        <v>70</v>
      </c>
      <c r="AF679" s="4">
        <v>0</v>
      </c>
      <c r="AG679" s="4">
        <v>3</v>
      </c>
      <c r="AH679" s="4">
        <v>58</v>
      </c>
      <c r="AI679" s="4">
        <v>60</v>
      </c>
      <c r="AJ679" s="4">
        <v>10</v>
      </c>
      <c r="AK679" s="4">
        <v>13</v>
      </c>
      <c r="AL679" s="4">
        <v>35</v>
      </c>
      <c r="AM679" s="4">
        <v>36</v>
      </c>
      <c r="AN679" s="4">
        <v>0</v>
      </c>
      <c r="AO679" s="4">
        <v>0</v>
      </c>
      <c r="AP679" s="4">
        <v>9</v>
      </c>
      <c r="AQ679" s="4">
        <v>11</v>
      </c>
      <c r="AR679" s="3" t="s">
        <v>62</v>
      </c>
      <c r="AS679" s="3" t="s">
        <v>62</v>
      </c>
      <c r="AT679" s="3" t="s">
        <v>61</v>
      </c>
      <c r="AU679" s="6" t="str">
        <f>HYPERLINK("http://catalog.hathitrust.org/Record/004127219","HathiTrust Record")</f>
        <v>HathiTrust Record</v>
      </c>
      <c r="AV679" s="6" t="str">
        <f>HYPERLINK("http://mcgill.on.worldcat.org/oclc/40489216","Catalog Record")</f>
        <v>Catalog Record</v>
      </c>
      <c r="AW679" s="6" t="str">
        <f>HYPERLINK("http://www.worldcat.org/oclc/40489216","WorldCat Record")</f>
        <v>WorldCat Record</v>
      </c>
      <c r="AX679" s="3" t="s">
        <v>6835</v>
      </c>
      <c r="AY679" s="3" t="s">
        <v>6836</v>
      </c>
      <c r="AZ679" s="3" t="s">
        <v>6837</v>
      </c>
      <c r="BA679" s="3" t="s">
        <v>6837</v>
      </c>
      <c r="BB679" s="3" t="s">
        <v>6841</v>
      </c>
      <c r="BC679" s="3" t="s">
        <v>102</v>
      </c>
      <c r="BD679" s="3" t="s">
        <v>68</v>
      </c>
      <c r="BE679" s="3" t="s">
        <v>6839</v>
      </c>
      <c r="BF679" s="3" t="s">
        <v>6841</v>
      </c>
      <c r="BG679" s="3" t="s">
        <v>6842</v>
      </c>
    </row>
    <row r="680" spans="1:59" ht="58" x14ac:dyDescent="0.35">
      <c r="A680" s="2" t="s">
        <v>59</v>
      </c>
      <c r="B680" s="2" t="s">
        <v>60</v>
      </c>
      <c r="C680" s="2" t="s">
        <v>6843</v>
      </c>
      <c r="D680" s="2" t="s">
        <v>6844</v>
      </c>
      <c r="E680" s="2" t="s">
        <v>6845</v>
      </c>
      <c r="G680" s="3" t="s">
        <v>62</v>
      </c>
      <c r="I680" s="3" t="s">
        <v>61</v>
      </c>
      <c r="J680" s="3" t="s">
        <v>61</v>
      </c>
      <c r="K680" s="3" t="s">
        <v>63</v>
      </c>
      <c r="L680" s="2" t="s">
        <v>6846</v>
      </c>
      <c r="M680" s="2" t="s">
        <v>6847</v>
      </c>
      <c r="N680" s="3" t="s">
        <v>809</v>
      </c>
      <c r="P680" s="3" t="s">
        <v>64</v>
      </c>
      <c r="R680" s="3" t="s">
        <v>65</v>
      </c>
      <c r="S680" s="4">
        <v>4</v>
      </c>
      <c r="T680" s="4">
        <v>21</v>
      </c>
      <c r="U680" s="5" t="s">
        <v>6848</v>
      </c>
      <c r="V680" s="5" t="s">
        <v>6849</v>
      </c>
      <c r="W680" s="5" t="s">
        <v>67</v>
      </c>
      <c r="X680" s="5" t="s">
        <v>67</v>
      </c>
      <c r="Y680" s="4">
        <v>423</v>
      </c>
      <c r="Z680" s="4">
        <v>22</v>
      </c>
      <c r="AA680" s="4">
        <v>57</v>
      </c>
      <c r="AB680" s="4">
        <v>3</v>
      </c>
      <c r="AC680" s="4">
        <v>10</v>
      </c>
      <c r="AD680" s="4">
        <v>93</v>
      </c>
      <c r="AE680" s="4">
        <v>143</v>
      </c>
      <c r="AF680" s="4">
        <v>0</v>
      </c>
      <c r="AG680" s="4">
        <v>5</v>
      </c>
      <c r="AH680" s="4">
        <v>83</v>
      </c>
      <c r="AI680" s="4">
        <v>111</v>
      </c>
      <c r="AJ680" s="4">
        <v>9</v>
      </c>
      <c r="AK680" s="4">
        <v>25</v>
      </c>
      <c r="AL680" s="4">
        <v>50</v>
      </c>
      <c r="AM680" s="4">
        <v>61</v>
      </c>
      <c r="AN680" s="4">
        <v>0</v>
      </c>
      <c r="AO680" s="4">
        <v>0</v>
      </c>
      <c r="AP680" s="4">
        <v>14</v>
      </c>
      <c r="AQ680" s="4">
        <v>39</v>
      </c>
      <c r="AR680" s="3" t="s">
        <v>62</v>
      </c>
      <c r="AS680" s="3" t="s">
        <v>62</v>
      </c>
      <c r="AT680" s="3" t="s">
        <v>62</v>
      </c>
      <c r="AU680" s="6" t="str">
        <f>HYPERLINK("http://catalog.hathitrust.org/Record/005784936","HathiTrust Record")</f>
        <v>HathiTrust Record</v>
      </c>
      <c r="AV680" s="6" t="str">
        <f>HYPERLINK("http://mcgill.on.worldcat.org/oclc/522174","Catalog Record")</f>
        <v>Catalog Record</v>
      </c>
      <c r="AW680" s="6" t="str">
        <f>HYPERLINK("http://www.worldcat.org/oclc/522174","WorldCat Record")</f>
        <v>WorldCat Record</v>
      </c>
      <c r="AX680" s="3" t="s">
        <v>6850</v>
      </c>
      <c r="AY680" s="3" t="s">
        <v>6851</v>
      </c>
      <c r="AZ680" s="3" t="s">
        <v>6852</v>
      </c>
      <c r="BA680" s="3" t="s">
        <v>6852</v>
      </c>
      <c r="BB680" s="3" t="s">
        <v>6853</v>
      </c>
      <c r="BC680" s="3" t="s">
        <v>102</v>
      </c>
      <c r="BD680" s="3" t="s">
        <v>68</v>
      </c>
      <c r="BF680" s="3" t="s">
        <v>6853</v>
      </c>
      <c r="BG680" s="3" t="s">
        <v>6854</v>
      </c>
    </row>
    <row r="681" spans="1:59" ht="58" x14ac:dyDescent="0.35">
      <c r="A681" s="2" t="s">
        <v>89</v>
      </c>
      <c r="B681" s="2" t="s">
        <v>90</v>
      </c>
      <c r="C681" s="2" t="s">
        <v>6855</v>
      </c>
      <c r="D681" s="2" t="s">
        <v>6856</v>
      </c>
      <c r="E681" s="2" t="s">
        <v>6857</v>
      </c>
      <c r="G681" s="3" t="s">
        <v>62</v>
      </c>
      <c r="I681" s="3" t="s">
        <v>62</v>
      </c>
      <c r="J681" s="3" t="s">
        <v>61</v>
      </c>
      <c r="K681" s="3" t="s">
        <v>63</v>
      </c>
      <c r="L681" s="2" t="s">
        <v>6858</v>
      </c>
      <c r="M681" s="2" t="s">
        <v>6859</v>
      </c>
      <c r="N681" s="3" t="s">
        <v>930</v>
      </c>
      <c r="O681" s="2" t="s">
        <v>6860</v>
      </c>
      <c r="P681" s="3" t="s">
        <v>85</v>
      </c>
      <c r="R681" s="3" t="s">
        <v>65</v>
      </c>
      <c r="S681" s="4">
        <v>10</v>
      </c>
      <c r="T681" s="4">
        <v>10</v>
      </c>
      <c r="U681" s="5" t="s">
        <v>6861</v>
      </c>
      <c r="V681" s="5" t="s">
        <v>6861</v>
      </c>
      <c r="W681" s="5" t="s">
        <v>67</v>
      </c>
      <c r="X681" s="5" t="s">
        <v>67</v>
      </c>
      <c r="Y681" s="4">
        <v>35</v>
      </c>
      <c r="Z681" s="4">
        <v>7</v>
      </c>
      <c r="AA681" s="4">
        <v>44</v>
      </c>
      <c r="AB681" s="4">
        <v>1</v>
      </c>
      <c r="AC681" s="4">
        <v>14</v>
      </c>
      <c r="AD681" s="4">
        <v>17</v>
      </c>
      <c r="AE681" s="4">
        <v>103</v>
      </c>
      <c r="AF681" s="4">
        <v>0</v>
      </c>
      <c r="AG681" s="4">
        <v>7</v>
      </c>
      <c r="AH681" s="4">
        <v>14</v>
      </c>
      <c r="AI681" s="4">
        <v>79</v>
      </c>
      <c r="AJ681" s="4">
        <v>6</v>
      </c>
      <c r="AK681" s="4">
        <v>23</v>
      </c>
      <c r="AL681" s="4">
        <v>7</v>
      </c>
      <c r="AM681" s="4">
        <v>47</v>
      </c>
      <c r="AN681" s="4">
        <v>0</v>
      </c>
      <c r="AO681" s="4">
        <v>2</v>
      </c>
      <c r="AP681" s="4">
        <v>6</v>
      </c>
      <c r="AQ681" s="4">
        <v>30</v>
      </c>
      <c r="AR681" s="3" t="s">
        <v>62</v>
      </c>
      <c r="AS681" s="3" t="s">
        <v>62</v>
      </c>
      <c r="AT681" s="3" t="s">
        <v>62</v>
      </c>
      <c r="AV681" s="6" t="str">
        <f>HYPERLINK("http://mcgill.on.worldcat.org/oclc/2337495","Catalog Record")</f>
        <v>Catalog Record</v>
      </c>
      <c r="AW681" s="6" t="str">
        <f>HYPERLINK("http://www.worldcat.org/oclc/2337495","WorldCat Record")</f>
        <v>WorldCat Record</v>
      </c>
      <c r="AX681" s="3" t="s">
        <v>6862</v>
      </c>
      <c r="AY681" s="3" t="s">
        <v>6863</v>
      </c>
      <c r="AZ681" s="3" t="s">
        <v>6864</v>
      </c>
      <c r="BA681" s="3" t="s">
        <v>6864</v>
      </c>
      <c r="BB681" s="3" t="s">
        <v>6865</v>
      </c>
      <c r="BC681" s="3" t="s">
        <v>102</v>
      </c>
      <c r="BD681" s="3" t="s">
        <v>68</v>
      </c>
      <c r="BF681" s="3" t="s">
        <v>6865</v>
      </c>
      <c r="BG681" s="3" t="s">
        <v>6866</v>
      </c>
    </row>
    <row r="682" spans="1:59" ht="58" x14ac:dyDescent="0.35">
      <c r="A682" s="2" t="s">
        <v>89</v>
      </c>
      <c r="B682" s="2" t="s">
        <v>90</v>
      </c>
      <c r="C682" s="2" t="s">
        <v>6867</v>
      </c>
      <c r="D682" s="2" t="s">
        <v>6868</v>
      </c>
      <c r="E682" s="2" t="s">
        <v>6869</v>
      </c>
      <c r="G682" s="3" t="s">
        <v>62</v>
      </c>
      <c r="I682" s="3" t="s">
        <v>62</v>
      </c>
      <c r="J682" s="3" t="s">
        <v>61</v>
      </c>
      <c r="K682" s="3" t="s">
        <v>63</v>
      </c>
      <c r="L682" s="2" t="s">
        <v>6858</v>
      </c>
      <c r="M682" s="2" t="s">
        <v>6870</v>
      </c>
      <c r="N682" s="3" t="s">
        <v>852</v>
      </c>
      <c r="O682" s="2" t="s">
        <v>6871</v>
      </c>
      <c r="P682" s="3" t="s">
        <v>85</v>
      </c>
      <c r="Q682" s="2" t="s">
        <v>6872</v>
      </c>
      <c r="R682" s="3" t="s">
        <v>65</v>
      </c>
      <c r="S682" s="4">
        <v>11</v>
      </c>
      <c r="T682" s="4">
        <v>11</v>
      </c>
      <c r="U682" s="5" t="s">
        <v>287</v>
      </c>
      <c r="V682" s="5" t="s">
        <v>287</v>
      </c>
      <c r="W682" s="5" t="s">
        <v>67</v>
      </c>
      <c r="X682" s="5" t="s">
        <v>67</v>
      </c>
      <c r="Y682" s="4">
        <v>1</v>
      </c>
      <c r="Z682" s="4">
        <v>1</v>
      </c>
      <c r="AA682" s="4">
        <v>44</v>
      </c>
      <c r="AB682" s="4">
        <v>1</v>
      </c>
      <c r="AC682" s="4">
        <v>14</v>
      </c>
      <c r="AD682" s="4">
        <v>0</v>
      </c>
      <c r="AE682" s="4">
        <v>103</v>
      </c>
      <c r="AF682" s="4">
        <v>0</v>
      </c>
      <c r="AG682" s="4">
        <v>7</v>
      </c>
      <c r="AH682" s="4">
        <v>0</v>
      </c>
      <c r="AI682" s="4">
        <v>79</v>
      </c>
      <c r="AJ682" s="4">
        <v>0</v>
      </c>
      <c r="AK682" s="4">
        <v>23</v>
      </c>
      <c r="AL682" s="4">
        <v>0</v>
      </c>
      <c r="AM682" s="4">
        <v>47</v>
      </c>
      <c r="AN682" s="4">
        <v>0</v>
      </c>
      <c r="AO682" s="4">
        <v>2</v>
      </c>
      <c r="AP682" s="4">
        <v>0</v>
      </c>
      <c r="AQ682" s="4">
        <v>30</v>
      </c>
      <c r="AR682" s="3" t="s">
        <v>62</v>
      </c>
      <c r="AS682" s="3" t="s">
        <v>62</v>
      </c>
      <c r="AT682" s="3" t="s">
        <v>62</v>
      </c>
      <c r="AV682" s="6" t="str">
        <f>HYPERLINK("http://mcgill.on.worldcat.org/oclc/427530281","Catalog Record")</f>
        <v>Catalog Record</v>
      </c>
      <c r="AW682" s="6" t="str">
        <f>HYPERLINK("http://www.worldcat.org/oclc/427530281","WorldCat Record")</f>
        <v>WorldCat Record</v>
      </c>
      <c r="AX682" s="3" t="s">
        <v>6862</v>
      </c>
      <c r="AY682" s="3" t="s">
        <v>6873</v>
      </c>
      <c r="AZ682" s="3" t="s">
        <v>6874</v>
      </c>
      <c r="BA682" s="3" t="s">
        <v>6874</v>
      </c>
      <c r="BB682" s="3" t="s">
        <v>6875</v>
      </c>
      <c r="BC682" s="3" t="s">
        <v>102</v>
      </c>
      <c r="BD682" s="3" t="s">
        <v>68</v>
      </c>
      <c r="BF682" s="3" t="s">
        <v>6875</v>
      </c>
      <c r="BG682" s="3" t="s">
        <v>6876</v>
      </c>
    </row>
    <row r="683" spans="1:59" ht="58" x14ac:dyDescent="0.35">
      <c r="A683" s="2" t="s">
        <v>89</v>
      </c>
      <c r="B683" s="2" t="s">
        <v>90</v>
      </c>
      <c r="C683" s="2" t="s">
        <v>6877</v>
      </c>
      <c r="D683" s="2" t="s">
        <v>6878</v>
      </c>
      <c r="E683" s="2" t="s">
        <v>6879</v>
      </c>
      <c r="G683" s="3" t="s">
        <v>62</v>
      </c>
      <c r="I683" s="3" t="s">
        <v>62</v>
      </c>
      <c r="J683" s="3" t="s">
        <v>62</v>
      </c>
      <c r="K683" s="3" t="s">
        <v>63</v>
      </c>
      <c r="L683" s="2" t="s">
        <v>6858</v>
      </c>
      <c r="M683" s="2" t="s">
        <v>6880</v>
      </c>
      <c r="N683" s="3" t="s">
        <v>355</v>
      </c>
      <c r="P683" s="3" t="s">
        <v>64</v>
      </c>
      <c r="R683" s="3" t="s">
        <v>65</v>
      </c>
      <c r="S683" s="4">
        <v>22</v>
      </c>
      <c r="T683" s="4">
        <v>22</v>
      </c>
      <c r="U683" s="5" t="s">
        <v>6881</v>
      </c>
      <c r="V683" s="5" t="s">
        <v>6881</v>
      </c>
      <c r="W683" s="5" t="s">
        <v>67</v>
      </c>
      <c r="X683" s="5" t="s">
        <v>67</v>
      </c>
      <c r="Y683" s="4">
        <v>459</v>
      </c>
      <c r="Z683" s="4">
        <v>27</v>
      </c>
      <c r="AA683" s="4">
        <v>33</v>
      </c>
      <c r="AB683" s="4">
        <v>2</v>
      </c>
      <c r="AC683" s="4">
        <v>5</v>
      </c>
      <c r="AD683" s="4">
        <v>108</v>
      </c>
      <c r="AE683" s="4">
        <v>112</v>
      </c>
      <c r="AF683" s="4">
        <v>1</v>
      </c>
      <c r="AG683" s="4">
        <v>3</v>
      </c>
      <c r="AH683" s="4">
        <v>94</v>
      </c>
      <c r="AI683" s="4">
        <v>95</v>
      </c>
      <c r="AJ683" s="4">
        <v>16</v>
      </c>
      <c r="AK683" s="4">
        <v>19</v>
      </c>
      <c r="AL683" s="4">
        <v>54</v>
      </c>
      <c r="AM683" s="4">
        <v>54</v>
      </c>
      <c r="AN683" s="4">
        <v>0</v>
      </c>
      <c r="AO683" s="4">
        <v>0</v>
      </c>
      <c r="AP683" s="4">
        <v>20</v>
      </c>
      <c r="AQ683" s="4">
        <v>23</v>
      </c>
      <c r="AR683" s="3" t="s">
        <v>62</v>
      </c>
      <c r="AS683" s="3" t="s">
        <v>62</v>
      </c>
      <c r="AT683" s="3" t="s">
        <v>61</v>
      </c>
      <c r="AU683" s="6" t="str">
        <f>HYPERLINK("http://catalog.hathitrust.org/Record/003521708","HathiTrust Record")</f>
        <v>HathiTrust Record</v>
      </c>
      <c r="AV683" s="6" t="str">
        <f>HYPERLINK("http://mcgill.on.worldcat.org/oclc/10948893","Catalog Record")</f>
        <v>Catalog Record</v>
      </c>
      <c r="AW683" s="6" t="str">
        <f>HYPERLINK("http://www.worldcat.org/oclc/10948893","WorldCat Record")</f>
        <v>WorldCat Record</v>
      </c>
      <c r="AX683" s="3" t="s">
        <v>6882</v>
      </c>
      <c r="AY683" s="3" t="s">
        <v>6883</v>
      </c>
      <c r="AZ683" s="3" t="s">
        <v>6884</v>
      </c>
      <c r="BA683" s="3" t="s">
        <v>6884</v>
      </c>
      <c r="BB683" s="3" t="s">
        <v>6885</v>
      </c>
      <c r="BC683" s="3" t="s">
        <v>102</v>
      </c>
      <c r="BD683" s="3" t="s">
        <v>68</v>
      </c>
      <c r="BE683" s="3" t="s">
        <v>6886</v>
      </c>
      <c r="BF683" s="3" t="s">
        <v>6885</v>
      </c>
      <c r="BG683" s="3" t="s">
        <v>6887</v>
      </c>
    </row>
    <row r="684" spans="1:59" ht="58" x14ac:dyDescent="0.35">
      <c r="A684" s="2" t="s">
        <v>89</v>
      </c>
      <c r="B684" s="2" t="s">
        <v>90</v>
      </c>
      <c r="C684" s="2" t="s">
        <v>6888</v>
      </c>
      <c r="D684" s="2" t="s">
        <v>6889</v>
      </c>
      <c r="E684" s="2" t="s">
        <v>6890</v>
      </c>
      <c r="G684" s="3" t="s">
        <v>62</v>
      </c>
      <c r="I684" s="3" t="s">
        <v>62</v>
      </c>
      <c r="J684" s="3" t="s">
        <v>62</v>
      </c>
      <c r="K684" s="3" t="s">
        <v>63</v>
      </c>
      <c r="L684" s="2" t="s">
        <v>6858</v>
      </c>
      <c r="M684" s="2" t="s">
        <v>6891</v>
      </c>
      <c r="N684" s="3" t="s">
        <v>81</v>
      </c>
      <c r="P684" s="3" t="s">
        <v>64</v>
      </c>
      <c r="R684" s="3" t="s">
        <v>65</v>
      </c>
      <c r="S684" s="4">
        <v>11</v>
      </c>
      <c r="T684" s="4">
        <v>11</v>
      </c>
      <c r="U684" s="5" t="s">
        <v>4816</v>
      </c>
      <c r="V684" s="5" t="s">
        <v>4816</v>
      </c>
      <c r="W684" s="5" t="s">
        <v>67</v>
      </c>
      <c r="X684" s="5" t="s">
        <v>67</v>
      </c>
      <c r="Y684" s="4">
        <v>494</v>
      </c>
      <c r="Z684" s="4">
        <v>32</v>
      </c>
      <c r="AA684" s="4">
        <v>34</v>
      </c>
      <c r="AB684" s="4">
        <v>3</v>
      </c>
      <c r="AC684" s="4">
        <v>3</v>
      </c>
      <c r="AD684" s="4">
        <v>103</v>
      </c>
      <c r="AE684" s="4">
        <v>104</v>
      </c>
      <c r="AF684" s="4">
        <v>1</v>
      </c>
      <c r="AG684" s="4">
        <v>1</v>
      </c>
      <c r="AH684" s="4">
        <v>85</v>
      </c>
      <c r="AI684" s="4">
        <v>86</v>
      </c>
      <c r="AJ684" s="4">
        <v>14</v>
      </c>
      <c r="AK684" s="4">
        <v>15</v>
      </c>
      <c r="AL684" s="4">
        <v>44</v>
      </c>
      <c r="AM684" s="4">
        <v>44</v>
      </c>
      <c r="AN684" s="4">
        <v>0</v>
      </c>
      <c r="AO684" s="4">
        <v>0</v>
      </c>
      <c r="AP684" s="4">
        <v>25</v>
      </c>
      <c r="AQ684" s="4">
        <v>26</v>
      </c>
      <c r="AR684" s="3" t="s">
        <v>62</v>
      </c>
      <c r="AS684" s="3" t="s">
        <v>62</v>
      </c>
      <c r="AT684" s="3" t="s">
        <v>61</v>
      </c>
      <c r="AU684" s="6" t="str">
        <f>HYPERLINK("http://catalog.hathitrust.org/Record/001474432","HathiTrust Record")</f>
        <v>HathiTrust Record</v>
      </c>
      <c r="AV684" s="6" t="str">
        <f>HYPERLINK("http://mcgill.on.worldcat.org/oclc/438958","Catalog Record")</f>
        <v>Catalog Record</v>
      </c>
      <c r="AW684" s="6" t="str">
        <f>HYPERLINK("http://www.worldcat.org/oclc/438958","WorldCat Record")</f>
        <v>WorldCat Record</v>
      </c>
      <c r="AX684" s="3" t="s">
        <v>6892</v>
      </c>
      <c r="AY684" s="3" t="s">
        <v>6893</v>
      </c>
      <c r="AZ684" s="3" t="s">
        <v>6894</v>
      </c>
      <c r="BA684" s="3" t="s">
        <v>6894</v>
      </c>
      <c r="BB684" s="3" t="s">
        <v>6895</v>
      </c>
      <c r="BC684" s="3" t="s">
        <v>102</v>
      </c>
      <c r="BD684" s="3" t="s">
        <v>68</v>
      </c>
      <c r="BF684" s="3" t="s">
        <v>6895</v>
      </c>
      <c r="BG684" s="3" t="s">
        <v>6896</v>
      </c>
    </row>
    <row r="685" spans="1:59" ht="58" x14ac:dyDescent="0.35">
      <c r="A685" s="2" t="s">
        <v>89</v>
      </c>
      <c r="B685" s="2" t="s">
        <v>90</v>
      </c>
      <c r="C685" s="2" t="s">
        <v>6897</v>
      </c>
      <c r="D685" s="2" t="s">
        <v>6898</v>
      </c>
      <c r="E685" s="2" t="s">
        <v>6899</v>
      </c>
      <c r="G685" s="3" t="s">
        <v>62</v>
      </c>
      <c r="I685" s="3" t="s">
        <v>61</v>
      </c>
      <c r="J685" s="3" t="s">
        <v>62</v>
      </c>
      <c r="K685" s="3" t="s">
        <v>63</v>
      </c>
      <c r="L685" s="2" t="s">
        <v>6900</v>
      </c>
      <c r="M685" s="2" t="s">
        <v>6901</v>
      </c>
      <c r="N685" s="3" t="s">
        <v>712</v>
      </c>
      <c r="P685" s="3" t="s">
        <v>64</v>
      </c>
      <c r="Q685" s="2" t="s">
        <v>6902</v>
      </c>
      <c r="R685" s="3" t="s">
        <v>65</v>
      </c>
      <c r="S685" s="4">
        <v>10</v>
      </c>
      <c r="T685" s="4">
        <v>28</v>
      </c>
      <c r="U685" s="5" t="s">
        <v>6903</v>
      </c>
      <c r="V685" s="5" t="s">
        <v>6904</v>
      </c>
      <c r="W685" s="5" t="s">
        <v>67</v>
      </c>
      <c r="X685" s="5" t="s">
        <v>67</v>
      </c>
      <c r="Y685" s="4">
        <v>356</v>
      </c>
      <c r="Z685" s="4">
        <v>25</v>
      </c>
      <c r="AA685" s="4">
        <v>26</v>
      </c>
      <c r="AB685" s="4">
        <v>2</v>
      </c>
      <c r="AC685" s="4">
        <v>3</v>
      </c>
      <c r="AD685" s="4">
        <v>78</v>
      </c>
      <c r="AE685" s="4">
        <v>79</v>
      </c>
      <c r="AF685" s="4">
        <v>1</v>
      </c>
      <c r="AG685" s="4">
        <v>2</v>
      </c>
      <c r="AH685" s="4">
        <v>68</v>
      </c>
      <c r="AI685" s="4">
        <v>69</v>
      </c>
      <c r="AJ685" s="4">
        <v>11</v>
      </c>
      <c r="AK685" s="4">
        <v>12</v>
      </c>
      <c r="AL685" s="4">
        <v>38</v>
      </c>
      <c r="AM685" s="4">
        <v>38</v>
      </c>
      <c r="AN685" s="4">
        <v>0</v>
      </c>
      <c r="AO685" s="4">
        <v>0</v>
      </c>
      <c r="AP685" s="4">
        <v>16</v>
      </c>
      <c r="AQ685" s="4">
        <v>17</v>
      </c>
      <c r="AR685" s="3" t="s">
        <v>62</v>
      </c>
      <c r="AS685" s="3" t="s">
        <v>62</v>
      </c>
      <c r="AT685" s="3" t="s">
        <v>62</v>
      </c>
      <c r="AV685" s="6" t="str">
        <f>HYPERLINK("http://mcgill.on.worldcat.org/oclc/827852441","Catalog Record")</f>
        <v>Catalog Record</v>
      </c>
      <c r="AW685" s="6" t="str">
        <f>HYPERLINK("http://www.worldcat.org/oclc/827852441","WorldCat Record")</f>
        <v>WorldCat Record</v>
      </c>
      <c r="AX685" s="3" t="s">
        <v>6905</v>
      </c>
      <c r="AY685" s="3" t="s">
        <v>6906</v>
      </c>
      <c r="AZ685" s="3" t="s">
        <v>6907</v>
      </c>
      <c r="BA685" s="3" t="s">
        <v>6907</v>
      </c>
      <c r="BB685" s="3" t="s">
        <v>6908</v>
      </c>
      <c r="BC685" s="3" t="s">
        <v>102</v>
      </c>
      <c r="BD685" s="3" t="s">
        <v>231</v>
      </c>
      <c r="BE685" s="3" t="s">
        <v>6909</v>
      </c>
      <c r="BF685" s="3" t="s">
        <v>6908</v>
      </c>
      <c r="BG685" s="3" t="s">
        <v>6910</v>
      </c>
    </row>
    <row r="686" spans="1:59" ht="58" x14ac:dyDescent="0.35">
      <c r="A686" s="2" t="s">
        <v>89</v>
      </c>
      <c r="B686" s="2" t="s">
        <v>90</v>
      </c>
      <c r="C686" s="2" t="s">
        <v>6897</v>
      </c>
      <c r="D686" s="2" t="s">
        <v>6898</v>
      </c>
      <c r="E686" s="2" t="s">
        <v>6899</v>
      </c>
      <c r="G686" s="3" t="s">
        <v>62</v>
      </c>
      <c r="I686" s="3" t="s">
        <v>61</v>
      </c>
      <c r="J686" s="3" t="s">
        <v>62</v>
      </c>
      <c r="K686" s="3" t="s">
        <v>63</v>
      </c>
      <c r="L686" s="2" t="s">
        <v>6900</v>
      </c>
      <c r="M686" s="2" t="s">
        <v>6901</v>
      </c>
      <c r="N686" s="3" t="s">
        <v>712</v>
      </c>
      <c r="P686" s="3" t="s">
        <v>64</v>
      </c>
      <c r="Q686" s="2" t="s">
        <v>6902</v>
      </c>
      <c r="R686" s="3" t="s">
        <v>65</v>
      </c>
      <c r="S686" s="4">
        <v>18</v>
      </c>
      <c r="T686" s="4">
        <v>28</v>
      </c>
      <c r="U686" s="5" t="s">
        <v>6904</v>
      </c>
      <c r="V686" s="5" t="s">
        <v>6904</v>
      </c>
      <c r="W686" s="5" t="s">
        <v>67</v>
      </c>
      <c r="X686" s="5" t="s">
        <v>67</v>
      </c>
      <c r="Y686" s="4">
        <v>356</v>
      </c>
      <c r="Z686" s="4">
        <v>25</v>
      </c>
      <c r="AA686" s="4">
        <v>26</v>
      </c>
      <c r="AB686" s="4">
        <v>2</v>
      </c>
      <c r="AC686" s="4">
        <v>3</v>
      </c>
      <c r="AD686" s="4">
        <v>78</v>
      </c>
      <c r="AE686" s="4">
        <v>79</v>
      </c>
      <c r="AF686" s="4">
        <v>1</v>
      </c>
      <c r="AG686" s="4">
        <v>2</v>
      </c>
      <c r="AH686" s="4">
        <v>68</v>
      </c>
      <c r="AI686" s="4">
        <v>69</v>
      </c>
      <c r="AJ686" s="4">
        <v>11</v>
      </c>
      <c r="AK686" s="4">
        <v>12</v>
      </c>
      <c r="AL686" s="4">
        <v>38</v>
      </c>
      <c r="AM686" s="4">
        <v>38</v>
      </c>
      <c r="AN686" s="4">
        <v>0</v>
      </c>
      <c r="AO686" s="4">
        <v>0</v>
      </c>
      <c r="AP686" s="4">
        <v>16</v>
      </c>
      <c r="AQ686" s="4">
        <v>17</v>
      </c>
      <c r="AR686" s="3" t="s">
        <v>62</v>
      </c>
      <c r="AS686" s="3" t="s">
        <v>62</v>
      </c>
      <c r="AT686" s="3" t="s">
        <v>62</v>
      </c>
      <c r="AV686" s="6" t="str">
        <f>HYPERLINK("http://mcgill.on.worldcat.org/oclc/827852441","Catalog Record")</f>
        <v>Catalog Record</v>
      </c>
      <c r="AW686" s="6" t="str">
        <f>HYPERLINK("http://www.worldcat.org/oclc/827852441","WorldCat Record")</f>
        <v>WorldCat Record</v>
      </c>
      <c r="AX686" s="3" t="s">
        <v>6905</v>
      </c>
      <c r="AY686" s="3" t="s">
        <v>6906</v>
      </c>
      <c r="AZ686" s="3" t="s">
        <v>6907</v>
      </c>
      <c r="BA686" s="3" t="s">
        <v>6907</v>
      </c>
      <c r="BB686" s="3" t="s">
        <v>6911</v>
      </c>
      <c r="BC686" s="3" t="s">
        <v>102</v>
      </c>
      <c r="BD686" s="3" t="s">
        <v>68</v>
      </c>
      <c r="BE686" s="3" t="s">
        <v>6909</v>
      </c>
      <c r="BF686" s="3" t="s">
        <v>6911</v>
      </c>
      <c r="BG686" s="3" t="s">
        <v>6912</v>
      </c>
    </row>
    <row r="687" spans="1:59" ht="58" x14ac:dyDescent="0.35">
      <c r="A687" s="2" t="s">
        <v>59</v>
      </c>
      <c r="B687" s="2" t="s">
        <v>60</v>
      </c>
      <c r="C687" s="2" t="s">
        <v>6913</v>
      </c>
      <c r="D687" s="2" t="s">
        <v>6914</v>
      </c>
      <c r="E687" s="2" t="s">
        <v>6915</v>
      </c>
      <c r="G687" s="3" t="s">
        <v>62</v>
      </c>
      <c r="I687" s="3" t="s">
        <v>62</v>
      </c>
      <c r="J687" s="3" t="s">
        <v>62</v>
      </c>
      <c r="K687" s="3" t="s">
        <v>63</v>
      </c>
      <c r="L687" s="2" t="s">
        <v>6916</v>
      </c>
      <c r="M687" s="2" t="s">
        <v>6917</v>
      </c>
      <c r="N687" s="3" t="s">
        <v>1077</v>
      </c>
      <c r="O687" s="2" t="s">
        <v>1941</v>
      </c>
      <c r="P687" s="3" t="s">
        <v>64</v>
      </c>
      <c r="R687" s="3" t="s">
        <v>65</v>
      </c>
      <c r="S687" s="4">
        <v>5</v>
      </c>
      <c r="T687" s="4">
        <v>5</v>
      </c>
      <c r="U687" s="5" t="s">
        <v>6918</v>
      </c>
      <c r="V687" s="5" t="s">
        <v>6918</v>
      </c>
      <c r="W687" s="5" t="s">
        <v>67</v>
      </c>
      <c r="X687" s="5" t="s">
        <v>67</v>
      </c>
      <c r="Y687" s="4">
        <v>262</v>
      </c>
      <c r="Z687" s="4">
        <v>20</v>
      </c>
      <c r="AA687" s="4">
        <v>21</v>
      </c>
      <c r="AB687" s="4">
        <v>1</v>
      </c>
      <c r="AC687" s="4">
        <v>2</v>
      </c>
      <c r="AD687" s="4">
        <v>55</v>
      </c>
      <c r="AE687" s="4">
        <v>56</v>
      </c>
      <c r="AF687" s="4">
        <v>0</v>
      </c>
      <c r="AG687" s="4">
        <v>1</v>
      </c>
      <c r="AH687" s="4">
        <v>44</v>
      </c>
      <c r="AI687" s="4">
        <v>44</v>
      </c>
      <c r="AJ687" s="4">
        <v>12</v>
      </c>
      <c r="AK687" s="4">
        <v>13</v>
      </c>
      <c r="AL687" s="4">
        <v>25</v>
      </c>
      <c r="AM687" s="4">
        <v>25</v>
      </c>
      <c r="AN687" s="4">
        <v>0</v>
      </c>
      <c r="AO687" s="4">
        <v>0</v>
      </c>
      <c r="AP687" s="4">
        <v>16</v>
      </c>
      <c r="AQ687" s="4">
        <v>17</v>
      </c>
      <c r="AR687" s="3" t="s">
        <v>62</v>
      </c>
      <c r="AS687" s="3" t="s">
        <v>62</v>
      </c>
      <c r="AT687" s="3" t="s">
        <v>61</v>
      </c>
      <c r="AU687" s="6" t="str">
        <f>HYPERLINK("http://catalog.hathitrust.org/Record/002895456","HathiTrust Record")</f>
        <v>HathiTrust Record</v>
      </c>
      <c r="AV687" s="6" t="str">
        <f>HYPERLINK("http://mcgill.on.worldcat.org/oclc/26973704","Catalog Record")</f>
        <v>Catalog Record</v>
      </c>
      <c r="AW687" s="6" t="str">
        <f>HYPERLINK("http://www.worldcat.org/oclc/26973704","WorldCat Record")</f>
        <v>WorldCat Record</v>
      </c>
      <c r="AX687" s="3" t="s">
        <v>6919</v>
      </c>
      <c r="AY687" s="3" t="s">
        <v>6920</v>
      </c>
      <c r="AZ687" s="3" t="s">
        <v>6921</v>
      </c>
      <c r="BA687" s="3" t="s">
        <v>6921</v>
      </c>
      <c r="BB687" s="3" t="s">
        <v>6922</v>
      </c>
      <c r="BC687" s="3" t="s">
        <v>102</v>
      </c>
      <c r="BD687" s="3" t="s">
        <v>6923</v>
      </c>
      <c r="BE687" s="3" t="s">
        <v>6924</v>
      </c>
      <c r="BF687" s="3" t="s">
        <v>6922</v>
      </c>
      <c r="BG687" s="3" t="s">
        <v>6925</v>
      </c>
    </row>
    <row r="688" spans="1:59" ht="58" x14ac:dyDescent="0.35">
      <c r="A688" s="2" t="s">
        <v>89</v>
      </c>
      <c r="B688" s="2" t="s">
        <v>90</v>
      </c>
      <c r="C688" s="2" t="s">
        <v>6926</v>
      </c>
      <c r="D688" s="2" t="s">
        <v>6927</v>
      </c>
      <c r="E688" s="2" t="s">
        <v>6928</v>
      </c>
      <c r="G688" s="3" t="s">
        <v>62</v>
      </c>
      <c r="I688" s="3" t="s">
        <v>61</v>
      </c>
      <c r="J688" s="3" t="s">
        <v>62</v>
      </c>
      <c r="K688" s="3" t="s">
        <v>63</v>
      </c>
      <c r="L688" s="2" t="s">
        <v>6929</v>
      </c>
      <c r="M688" s="2" t="s">
        <v>6930</v>
      </c>
      <c r="N688" s="3" t="s">
        <v>466</v>
      </c>
      <c r="P688" s="3" t="s">
        <v>64</v>
      </c>
      <c r="Q688" s="2" t="s">
        <v>6931</v>
      </c>
      <c r="R688" s="3" t="s">
        <v>65</v>
      </c>
      <c r="S688" s="4">
        <v>13</v>
      </c>
      <c r="T688" s="4">
        <v>13</v>
      </c>
      <c r="U688" s="5" t="s">
        <v>6932</v>
      </c>
      <c r="V688" s="5" t="s">
        <v>6932</v>
      </c>
      <c r="W688" s="5" t="s">
        <v>67</v>
      </c>
      <c r="X688" s="5" t="s">
        <v>67</v>
      </c>
      <c r="Y688" s="4">
        <v>126</v>
      </c>
      <c r="Z688" s="4">
        <v>9</v>
      </c>
      <c r="AA688" s="4">
        <v>9</v>
      </c>
      <c r="AB688" s="4">
        <v>2</v>
      </c>
      <c r="AC688" s="4">
        <v>2</v>
      </c>
      <c r="AD688" s="4">
        <v>63</v>
      </c>
      <c r="AE688" s="4">
        <v>66</v>
      </c>
      <c r="AF688" s="4">
        <v>1</v>
      </c>
      <c r="AG688" s="4">
        <v>1</v>
      </c>
      <c r="AH688" s="4">
        <v>59</v>
      </c>
      <c r="AI688" s="4">
        <v>62</v>
      </c>
      <c r="AJ688" s="4">
        <v>7</v>
      </c>
      <c r="AK688" s="4">
        <v>7</v>
      </c>
      <c r="AL688" s="4">
        <v>37</v>
      </c>
      <c r="AM688" s="4">
        <v>39</v>
      </c>
      <c r="AN688" s="4">
        <v>0</v>
      </c>
      <c r="AO688" s="4">
        <v>0</v>
      </c>
      <c r="AP688" s="4">
        <v>7</v>
      </c>
      <c r="AQ688" s="4">
        <v>7</v>
      </c>
      <c r="AR688" s="3" t="s">
        <v>62</v>
      </c>
      <c r="AS688" s="3" t="s">
        <v>62</v>
      </c>
      <c r="AT688" s="3" t="s">
        <v>62</v>
      </c>
      <c r="AV688" s="6" t="str">
        <f>HYPERLINK("http://mcgill.on.worldcat.org/oclc/24626744","Catalog Record")</f>
        <v>Catalog Record</v>
      </c>
      <c r="AW688" s="6" t="str">
        <f>HYPERLINK("http://www.worldcat.org/oclc/24626744","WorldCat Record")</f>
        <v>WorldCat Record</v>
      </c>
      <c r="AX688" s="3" t="s">
        <v>6933</v>
      </c>
      <c r="AY688" s="3" t="s">
        <v>6934</v>
      </c>
      <c r="AZ688" s="3" t="s">
        <v>6935</v>
      </c>
      <c r="BA688" s="3" t="s">
        <v>6935</v>
      </c>
      <c r="BB688" s="3" t="s">
        <v>6936</v>
      </c>
      <c r="BC688" s="3" t="s">
        <v>102</v>
      </c>
      <c r="BD688" s="3" t="s">
        <v>68</v>
      </c>
      <c r="BE688" s="3" t="s">
        <v>6937</v>
      </c>
      <c r="BF688" s="3" t="s">
        <v>6936</v>
      </c>
      <c r="BG688" s="3" t="s">
        <v>6938</v>
      </c>
    </row>
    <row r="689" spans="1:59" ht="58" x14ac:dyDescent="0.35">
      <c r="A689" s="2" t="s">
        <v>89</v>
      </c>
      <c r="B689" s="2" t="s">
        <v>90</v>
      </c>
      <c r="C689" s="2" t="s">
        <v>6939</v>
      </c>
      <c r="D689" s="2" t="s">
        <v>6940</v>
      </c>
      <c r="E689" s="2" t="s">
        <v>6941</v>
      </c>
      <c r="G689" s="3" t="s">
        <v>62</v>
      </c>
      <c r="I689" s="3" t="s">
        <v>62</v>
      </c>
      <c r="J689" s="3" t="s">
        <v>62</v>
      </c>
      <c r="K689" s="3" t="s">
        <v>63</v>
      </c>
      <c r="L689" s="2" t="s">
        <v>6942</v>
      </c>
      <c r="M689" s="2" t="s">
        <v>6943</v>
      </c>
      <c r="N689" s="3" t="s">
        <v>186</v>
      </c>
      <c r="P689" s="3" t="s">
        <v>64</v>
      </c>
      <c r="R689" s="3" t="s">
        <v>65</v>
      </c>
      <c r="S689" s="4">
        <v>35</v>
      </c>
      <c r="T689" s="4">
        <v>35</v>
      </c>
      <c r="U689" s="5" t="s">
        <v>6944</v>
      </c>
      <c r="V689" s="5" t="s">
        <v>6944</v>
      </c>
      <c r="W689" s="5" t="s">
        <v>67</v>
      </c>
      <c r="X689" s="5" t="s">
        <v>67</v>
      </c>
      <c r="Y689" s="4">
        <v>184</v>
      </c>
      <c r="Z689" s="4">
        <v>22</v>
      </c>
      <c r="AA689" s="4">
        <v>43</v>
      </c>
      <c r="AB689" s="4">
        <v>1</v>
      </c>
      <c r="AC689" s="4">
        <v>9</v>
      </c>
      <c r="AD689" s="4">
        <v>72</v>
      </c>
      <c r="AE689" s="4">
        <v>121</v>
      </c>
      <c r="AF689" s="4">
        <v>0</v>
      </c>
      <c r="AG689" s="4">
        <v>4</v>
      </c>
      <c r="AH689" s="4">
        <v>58</v>
      </c>
      <c r="AI689" s="4">
        <v>96</v>
      </c>
      <c r="AJ689" s="4">
        <v>16</v>
      </c>
      <c r="AK689" s="4">
        <v>24</v>
      </c>
      <c r="AL689" s="4">
        <v>30</v>
      </c>
      <c r="AM689" s="4">
        <v>49</v>
      </c>
      <c r="AN689" s="4">
        <v>2</v>
      </c>
      <c r="AO689" s="4">
        <v>7</v>
      </c>
      <c r="AP689" s="4">
        <v>19</v>
      </c>
      <c r="AQ689" s="4">
        <v>32</v>
      </c>
      <c r="AR689" s="3" t="s">
        <v>62</v>
      </c>
      <c r="AS689" s="3" t="s">
        <v>62</v>
      </c>
      <c r="AT689" s="3" t="s">
        <v>61</v>
      </c>
      <c r="AU689" s="6" t="str">
        <f>HYPERLINK("http://catalog.hathitrust.org/Record/000740529","HathiTrust Record")</f>
        <v>HathiTrust Record</v>
      </c>
      <c r="AV689" s="6" t="str">
        <f>HYPERLINK("http://mcgill.on.worldcat.org/oclc/2634924","Catalog Record")</f>
        <v>Catalog Record</v>
      </c>
      <c r="AW689" s="6" t="str">
        <f>HYPERLINK("http://www.worldcat.org/oclc/2634924","WorldCat Record")</f>
        <v>WorldCat Record</v>
      </c>
      <c r="AX689" s="3" t="s">
        <v>6945</v>
      </c>
      <c r="AY689" s="3" t="s">
        <v>6946</v>
      </c>
      <c r="AZ689" s="3" t="s">
        <v>6947</v>
      </c>
      <c r="BA689" s="3" t="s">
        <v>6947</v>
      </c>
      <c r="BB689" s="3" t="s">
        <v>6948</v>
      </c>
      <c r="BC689" s="3" t="s">
        <v>102</v>
      </c>
      <c r="BD689" s="3" t="s">
        <v>68</v>
      </c>
      <c r="BE689" s="3" t="s">
        <v>6949</v>
      </c>
      <c r="BF689" s="3" t="s">
        <v>6948</v>
      </c>
      <c r="BG689" s="3" t="s">
        <v>6950</v>
      </c>
    </row>
    <row r="690" spans="1:59" ht="58" x14ac:dyDescent="0.35">
      <c r="A690" s="2" t="s">
        <v>89</v>
      </c>
      <c r="B690" s="2" t="s">
        <v>90</v>
      </c>
      <c r="C690" s="2" t="s">
        <v>6951</v>
      </c>
      <c r="D690" s="2" t="s">
        <v>6952</v>
      </c>
      <c r="E690" s="2" t="s">
        <v>6953</v>
      </c>
      <c r="G690" s="3" t="s">
        <v>62</v>
      </c>
      <c r="I690" s="3" t="s">
        <v>61</v>
      </c>
      <c r="J690" s="3" t="s">
        <v>62</v>
      </c>
      <c r="K690" s="3" t="s">
        <v>63</v>
      </c>
      <c r="L690" s="2" t="s">
        <v>6942</v>
      </c>
      <c r="M690" s="2" t="s">
        <v>6954</v>
      </c>
      <c r="N690" s="3" t="s">
        <v>1482</v>
      </c>
      <c r="P690" s="3" t="s">
        <v>64</v>
      </c>
      <c r="R690" s="3" t="s">
        <v>65</v>
      </c>
      <c r="S690" s="4">
        <v>2</v>
      </c>
      <c r="T690" s="4">
        <v>31</v>
      </c>
      <c r="U690" s="5" t="s">
        <v>6955</v>
      </c>
      <c r="V690" s="5" t="s">
        <v>6955</v>
      </c>
      <c r="W690" s="5" t="s">
        <v>67</v>
      </c>
      <c r="X690" s="5" t="s">
        <v>67</v>
      </c>
      <c r="Y690" s="4">
        <v>268</v>
      </c>
      <c r="Z690" s="4">
        <v>22</v>
      </c>
      <c r="AA690" s="4">
        <v>62</v>
      </c>
      <c r="AB690" s="4">
        <v>1</v>
      </c>
      <c r="AC690" s="4">
        <v>16</v>
      </c>
      <c r="AD690" s="4">
        <v>91</v>
      </c>
      <c r="AE690" s="4">
        <v>127</v>
      </c>
      <c r="AF690" s="4">
        <v>0</v>
      </c>
      <c r="AG690" s="4">
        <v>7</v>
      </c>
      <c r="AH690" s="4">
        <v>80</v>
      </c>
      <c r="AI690" s="4">
        <v>89</v>
      </c>
      <c r="AJ690" s="4">
        <v>15</v>
      </c>
      <c r="AK690" s="4">
        <v>24</v>
      </c>
      <c r="AL690" s="4">
        <v>45</v>
      </c>
      <c r="AM690" s="4">
        <v>48</v>
      </c>
      <c r="AN690" s="4">
        <v>0</v>
      </c>
      <c r="AO690" s="4">
        <v>0</v>
      </c>
      <c r="AP690" s="4">
        <v>18</v>
      </c>
      <c r="AQ690" s="4">
        <v>47</v>
      </c>
      <c r="AR690" s="3" t="s">
        <v>62</v>
      </c>
      <c r="AS690" s="3" t="s">
        <v>62</v>
      </c>
      <c r="AT690" s="3" t="s">
        <v>61</v>
      </c>
      <c r="AU690" s="6" t="str">
        <f>HYPERLINK("http://catalog.hathitrust.org/Record/000816686","HathiTrust Record")</f>
        <v>HathiTrust Record</v>
      </c>
      <c r="AV690" s="6" t="str">
        <f>HYPERLINK("http://mcgill.on.worldcat.org/oclc/15235267","Catalog Record")</f>
        <v>Catalog Record</v>
      </c>
      <c r="AW690" s="6" t="str">
        <f>HYPERLINK("http://www.worldcat.org/oclc/15235267","WorldCat Record")</f>
        <v>WorldCat Record</v>
      </c>
      <c r="AX690" s="3" t="s">
        <v>6956</v>
      </c>
      <c r="AY690" s="3" t="s">
        <v>6957</v>
      </c>
      <c r="AZ690" s="3" t="s">
        <v>6958</v>
      </c>
      <c r="BA690" s="3" t="s">
        <v>6958</v>
      </c>
      <c r="BB690" s="3" t="s">
        <v>6959</v>
      </c>
      <c r="BC690" s="3" t="s">
        <v>102</v>
      </c>
      <c r="BD690" s="3" t="s">
        <v>68</v>
      </c>
      <c r="BE690" s="3" t="s">
        <v>6960</v>
      </c>
      <c r="BF690" s="3" t="s">
        <v>6959</v>
      </c>
      <c r="BG690" s="3" t="s">
        <v>6961</v>
      </c>
    </row>
    <row r="691" spans="1:59" ht="58" x14ac:dyDescent="0.35">
      <c r="A691" s="2" t="s">
        <v>89</v>
      </c>
      <c r="B691" s="2" t="s">
        <v>90</v>
      </c>
      <c r="C691" s="2" t="s">
        <v>6951</v>
      </c>
      <c r="D691" s="2" t="s">
        <v>6952</v>
      </c>
      <c r="E691" s="2" t="s">
        <v>6953</v>
      </c>
      <c r="G691" s="3" t="s">
        <v>62</v>
      </c>
      <c r="I691" s="3" t="s">
        <v>61</v>
      </c>
      <c r="J691" s="3" t="s">
        <v>62</v>
      </c>
      <c r="K691" s="3" t="s">
        <v>63</v>
      </c>
      <c r="L691" s="2" t="s">
        <v>6942</v>
      </c>
      <c r="M691" s="2" t="s">
        <v>6954</v>
      </c>
      <c r="N691" s="3" t="s">
        <v>1482</v>
      </c>
      <c r="P691" s="3" t="s">
        <v>64</v>
      </c>
      <c r="R691" s="3" t="s">
        <v>65</v>
      </c>
      <c r="S691" s="4">
        <v>29</v>
      </c>
      <c r="T691" s="4">
        <v>31</v>
      </c>
      <c r="U691" s="5" t="s">
        <v>6962</v>
      </c>
      <c r="V691" s="5" t="s">
        <v>6955</v>
      </c>
      <c r="W691" s="5" t="s">
        <v>67</v>
      </c>
      <c r="X691" s="5" t="s">
        <v>67</v>
      </c>
      <c r="Y691" s="4">
        <v>268</v>
      </c>
      <c r="Z691" s="4">
        <v>22</v>
      </c>
      <c r="AA691" s="4">
        <v>62</v>
      </c>
      <c r="AB691" s="4">
        <v>1</v>
      </c>
      <c r="AC691" s="4">
        <v>16</v>
      </c>
      <c r="AD691" s="4">
        <v>91</v>
      </c>
      <c r="AE691" s="4">
        <v>127</v>
      </c>
      <c r="AF691" s="4">
        <v>0</v>
      </c>
      <c r="AG691" s="4">
        <v>7</v>
      </c>
      <c r="AH691" s="4">
        <v>80</v>
      </c>
      <c r="AI691" s="4">
        <v>89</v>
      </c>
      <c r="AJ691" s="4">
        <v>15</v>
      </c>
      <c r="AK691" s="4">
        <v>24</v>
      </c>
      <c r="AL691" s="4">
        <v>45</v>
      </c>
      <c r="AM691" s="4">
        <v>48</v>
      </c>
      <c r="AN691" s="4">
        <v>0</v>
      </c>
      <c r="AO691" s="4">
        <v>0</v>
      </c>
      <c r="AP691" s="4">
        <v>18</v>
      </c>
      <c r="AQ691" s="4">
        <v>47</v>
      </c>
      <c r="AR691" s="3" t="s">
        <v>62</v>
      </c>
      <c r="AS691" s="3" t="s">
        <v>62</v>
      </c>
      <c r="AT691" s="3" t="s">
        <v>61</v>
      </c>
      <c r="AU691" s="6" t="str">
        <f>HYPERLINK("http://catalog.hathitrust.org/Record/000816686","HathiTrust Record")</f>
        <v>HathiTrust Record</v>
      </c>
      <c r="AV691" s="6" t="str">
        <f>HYPERLINK("http://mcgill.on.worldcat.org/oclc/15235267","Catalog Record")</f>
        <v>Catalog Record</v>
      </c>
      <c r="AW691" s="6" t="str">
        <f>HYPERLINK("http://www.worldcat.org/oclc/15235267","WorldCat Record")</f>
        <v>WorldCat Record</v>
      </c>
      <c r="AX691" s="3" t="s">
        <v>6956</v>
      </c>
      <c r="AY691" s="3" t="s">
        <v>6957</v>
      </c>
      <c r="AZ691" s="3" t="s">
        <v>6958</v>
      </c>
      <c r="BA691" s="3" t="s">
        <v>6958</v>
      </c>
      <c r="BB691" s="3" t="s">
        <v>6963</v>
      </c>
      <c r="BC691" s="3" t="s">
        <v>102</v>
      </c>
      <c r="BD691" s="3" t="s">
        <v>68</v>
      </c>
      <c r="BE691" s="3" t="s">
        <v>6960</v>
      </c>
      <c r="BF691" s="3" t="s">
        <v>6963</v>
      </c>
      <c r="BG691" s="3" t="s">
        <v>6964</v>
      </c>
    </row>
    <row r="692" spans="1:59" ht="58" x14ac:dyDescent="0.35">
      <c r="A692" s="2" t="s">
        <v>89</v>
      </c>
      <c r="B692" s="2" t="s">
        <v>90</v>
      </c>
      <c r="C692" s="2" t="s">
        <v>6965</v>
      </c>
      <c r="D692" s="2" t="s">
        <v>6966</v>
      </c>
      <c r="E692" s="2" t="s">
        <v>6967</v>
      </c>
      <c r="G692" s="3" t="s">
        <v>62</v>
      </c>
      <c r="I692" s="3" t="s">
        <v>61</v>
      </c>
      <c r="J692" s="3" t="s">
        <v>62</v>
      </c>
      <c r="K692" s="3" t="s">
        <v>63</v>
      </c>
      <c r="L692" s="2" t="s">
        <v>6968</v>
      </c>
      <c r="M692" s="2" t="s">
        <v>6969</v>
      </c>
      <c r="N692" s="3" t="s">
        <v>539</v>
      </c>
      <c r="P692" s="3" t="s">
        <v>64</v>
      </c>
      <c r="Q692" s="2" t="s">
        <v>6970</v>
      </c>
      <c r="R692" s="3" t="s">
        <v>65</v>
      </c>
      <c r="S692" s="4">
        <v>23</v>
      </c>
      <c r="T692" s="4">
        <v>27</v>
      </c>
      <c r="U692" s="5" t="s">
        <v>6971</v>
      </c>
      <c r="V692" s="5" t="s">
        <v>6972</v>
      </c>
      <c r="W692" s="5" t="s">
        <v>67</v>
      </c>
      <c r="X692" s="5" t="s">
        <v>67</v>
      </c>
      <c r="Y692" s="4">
        <v>207</v>
      </c>
      <c r="Z692" s="4">
        <v>28</v>
      </c>
      <c r="AA692" s="4">
        <v>108</v>
      </c>
      <c r="AB692" s="4">
        <v>1</v>
      </c>
      <c r="AC692" s="4">
        <v>19</v>
      </c>
      <c r="AD692" s="4">
        <v>78</v>
      </c>
      <c r="AE692" s="4">
        <v>129</v>
      </c>
      <c r="AF692" s="4">
        <v>0</v>
      </c>
      <c r="AG692" s="4">
        <v>8</v>
      </c>
      <c r="AH692" s="4">
        <v>66</v>
      </c>
      <c r="AI692" s="4">
        <v>93</v>
      </c>
      <c r="AJ692" s="4">
        <v>12</v>
      </c>
      <c r="AK692" s="4">
        <v>23</v>
      </c>
      <c r="AL692" s="4">
        <v>36</v>
      </c>
      <c r="AM692" s="4">
        <v>50</v>
      </c>
      <c r="AN692" s="4">
        <v>0</v>
      </c>
      <c r="AO692" s="4">
        <v>0</v>
      </c>
      <c r="AP692" s="4">
        <v>16</v>
      </c>
      <c r="AQ692" s="4">
        <v>43</v>
      </c>
      <c r="AR692" s="3" t="s">
        <v>61</v>
      </c>
      <c r="AS692" s="3" t="s">
        <v>62</v>
      </c>
      <c r="AT692" s="3" t="s">
        <v>62</v>
      </c>
      <c r="AV692" s="6" t="str">
        <f>HYPERLINK("http://mcgill.on.worldcat.org/oclc/38591570","Catalog Record")</f>
        <v>Catalog Record</v>
      </c>
      <c r="AW692" s="6" t="str">
        <f>HYPERLINK("http://www.worldcat.org/oclc/38591570","WorldCat Record")</f>
        <v>WorldCat Record</v>
      </c>
      <c r="AX692" s="3" t="s">
        <v>6973</v>
      </c>
      <c r="AY692" s="3" t="s">
        <v>6974</v>
      </c>
      <c r="AZ692" s="3" t="s">
        <v>6975</v>
      </c>
      <c r="BA692" s="3" t="s">
        <v>6975</v>
      </c>
      <c r="BB692" s="3" t="s">
        <v>6976</v>
      </c>
      <c r="BC692" s="3" t="s">
        <v>102</v>
      </c>
      <c r="BD692" s="3" t="s">
        <v>68</v>
      </c>
      <c r="BE692" s="3" t="s">
        <v>6977</v>
      </c>
      <c r="BF692" s="3" t="s">
        <v>6976</v>
      </c>
      <c r="BG692" s="3" t="s">
        <v>6978</v>
      </c>
    </row>
    <row r="693" spans="1:59" ht="58" x14ac:dyDescent="0.35">
      <c r="A693" s="2" t="s">
        <v>89</v>
      </c>
      <c r="B693" s="2" t="s">
        <v>90</v>
      </c>
      <c r="C693" s="2" t="s">
        <v>6965</v>
      </c>
      <c r="D693" s="2" t="s">
        <v>6966</v>
      </c>
      <c r="E693" s="2" t="s">
        <v>6967</v>
      </c>
      <c r="G693" s="3" t="s">
        <v>62</v>
      </c>
      <c r="I693" s="3" t="s">
        <v>61</v>
      </c>
      <c r="J693" s="3" t="s">
        <v>62</v>
      </c>
      <c r="K693" s="3" t="s">
        <v>63</v>
      </c>
      <c r="L693" s="2" t="s">
        <v>6968</v>
      </c>
      <c r="M693" s="2" t="s">
        <v>6969</v>
      </c>
      <c r="N693" s="3" t="s">
        <v>539</v>
      </c>
      <c r="P693" s="3" t="s">
        <v>64</v>
      </c>
      <c r="Q693" s="2" t="s">
        <v>6970</v>
      </c>
      <c r="R693" s="3" t="s">
        <v>65</v>
      </c>
      <c r="S693" s="4">
        <v>4</v>
      </c>
      <c r="T693" s="4">
        <v>27</v>
      </c>
      <c r="U693" s="5" t="s">
        <v>6972</v>
      </c>
      <c r="V693" s="5" t="s">
        <v>6972</v>
      </c>
      <c r="W693" s="5" t="s">
        <v>67</v>
      </c>
      <c r="X693" s="5" t="s">
        <v>67</v>
      </c>
      <c r="Y693" s="4">
        <v>207</v>
      </c>
      <c r="Z693" s="4">
        <v>28</v>
      </c>
      <c r="AA693" s="4">
        <v>108</v>
      </c>
      <c r="AB693" s="4">
        <v>1</v>
      </c>
      <c r="AC693" s="4">
        <v>19</v>
      </c>
      <c r="AD693" s="4">
        <v>78</v>
      </c>
      <c r="AE693" s="4">
        <v>129</v>
      </c>
      <c r="AF693" s="4">
        <v>0</v>
      </c>
      <c r="AG693" s="4">
        <v>8</v>
      </c>
      <c r="AH693" s="4">
        <v>66</v>
      </c>
      <c r="AI693" s="4">
        <v>93</v>
      </c>
      <c r="AJ693" s="4">
        <v>12</v>
      </c>
      <c r="AK693" s="4">
        <v>23</v>
      </c>
      <c r="AL693" s="4">
        <v>36</v>
      </c>
      <c r="AM693" s="4">
        <v>50</v>
      </c>
      <c r="AN693" s="4">
        <v>0</v>
      </c>
      <c r="AO693" s="4">
        <v>0</v>
      </c>
      <c r="AP693" s="4">
        <v>16</v>
      </c>
      <c r="AQ693" s="4">
        <v>43</v>
      </c>
      <c r="AR693" s="3" t="s">
        <v>61</v>
      </c>
      <c r="AS693" s="3" t="s">
        <v>62</v>
      </c>
      <c r="AT693" s="3" t="s">
        <v>62</v>
      </c>
      <c r="AV693" s="6" t="str">
        <f>HYPERLINK("http://mcgill.on.worldcat.org/oclc/38591570","Catalog Record")</f>
        <v>Catalog Record</v>
      </c>
      <c r="AW693" s="6" t="str">
        <f>HYPERLINK("http://www.worldcat.org/oclc/38591570","WorldCat Record")</f>
        <v>WorldCat Record</v>
      </c>
      <c r="AX693" s="3" t="s">
        <v>6973</v>
      </c>
      <c r="AY693" s="3" t="s">
        <v>6974</v>
      </c>
      <c r="AZ693" s="3" t="s">
        <v>6975</v>
      </c>
      <c r="BA693" s="3" t="s">
        <v>6975</v>
      </c>
      <c r="BB693" s="3" t="s">
        <v>6979</v>
      </c>
      <c r="BC693" s="3" t="s">
        <v>102</v>
      </c>
      <c r="BD693" s="3" t="s">
        <v>68</v>
      </c>
      <c r="BE693" s="3" t="s">
        <v>6977</v>
      </c>
      <c r="BF693" s="3" t="s">
        <v>6979</v>
      </c>
      <c r="BG693" s="3" t="s">
        <v>6980</v>
      </c>
    </row>
    <row r="694" spans="1:59" ht="72.5" x14ac:dyDescent="0.35">
      <c r="A694" s="2" t="s">
        <v>89</v>
      </c>
      <c r="B694" s="2" t="s">
        <v>90</v>
      </c>
      <c r="C694" s="2" t="s">
        <v>6981</v>
      </c>
      <c r="D694" s="2" t="s">
        <v>6982</v>
      </c>
      <c r="E694" s="2" t="s">
        <v>6983</v>
      </c>
      <c r="F694" s="3" t="s">
        <v>6984</v>
      </c>
      <c r="G694" s="3" t="s">
        <v>62</v>
      </c>
      <c r="I694" s="3" t="s">
        <v>61</v>
      </c>
      <c r="J694" s="3" t="s">
        <v>62</v>
      </c>
      <c r="K694" s="3" t="s">
        <v>63</v>
      </c>
      <c r="L694" s="2" t="s">
        <v>6985</v>
      </c>
      <c r="M694" s="2" t="s">
        <v>6986</v>
      </c>
      <c r="N694" s="3" t="s">
        <v>1467</v>
      </c>
      <c r="P694" s="3" t="s">
        <v>64</v>
      </c>
      <c r="Q694" s="2" t="s">
        <v>6987</v>
      </c>
      <c r="R694" s="3" t="s">
        <v>65</v>
      </c>
      <c r="S694" s="4">
        <v>0</v>
      </c>
      <c r="T694" s="4">
        <v>2</v>
      </c>
      <c r="V694" s="5" t="s">
        <v>1407</v>
      </c>
      <c r="W694" s="5" t="s">
        <v>67</v>
      </c>
      <c r="X694" s="5" t="s">
        <v>67</v>
      </c>
      <c r="Y694" s="4">
        <v>124</v>
      </c>
      <c r="Z694" s="4">
        <v>2</v>
      </c>
      <c r="AA694" s="4">
        <v>4</v>
      </c>
      <c r="AB694" s="4">
        <v>1</v>
      </c>
      <c r="AC694" s="4">
        <v>1</v>
      </c>
      <c r="AD694" s="4">
        <v>24</v>
      </c>
      <c r="AE694" s="4">
        <v>34</v>
      </c>
      <c r="AF694" s="4">
        <v>0</v>
      </c>
      <c r="AG694" s="4">
        <v>0</v>
      </c>
      <c r="AH694" s="4">
        <v>23</v>
      </c>
      <c r="AI694" s="4">
        <v>33</v>
      </c>
      <c r="AJ694" s="4">
        <v>1</v>
      </c>
      <c r="AK694" s="4">
        <v>3</v>
      </c>
      <c r="AL694" s="4">
        <v>10</v>
      </c>
      <c r="AM694" s="4">
        <v>15</v>
      </c>
      <c r="AN694" s="4">
        <v>5</v>
      </c>
      <c r="AO694" s="4">
        <v>5</v>
      </c>
      <c r="AP694" s="4">
        <v>1</v>
      </c>
      <c r="AQ694" s="4">
        <v>3</v>
      </c>
      <c r="AR694" s="3" t="s">
        <v>62</v>
      </c>
      <c r="AS694" s="3" t="s">
        <v>62</v>
      </c>
      <c r="AT694" s="3" t="s">
        <v>61</v>
      </c>
      <c r="AU694" s="6" t="str">
        <f>HYPERLINK("http://catalog.hathitrust.org/Record/003856542","HathiTrust Record")</f>
        <v>HathiTrust Record</v>
      </c>
      <c r="AV694" s="6" t="str">
        <f>HYPERLINK("http://mcgill.on.worldcat.org/oclc/1126421","Catalog Record")</f>
        <v>Catalog Record</v>
      </c>
      <c r="AW694" s="6" t="str">
        <f>HYPERLINK("http://www.worldcat.org/oclc/1126421","WorldCat Record")</f>
        <v>WorldCat Record</v>
      </c>
      <c r="AX694" s="3" t="s">
        <v>6988</v>
      </c>
      <c r="AY694" s="3" t="s">
        <v>6989</v>
      </c>
      <c r="AZ694" s="3" t="s">
        <v>6990</v>
      </c>
      <c r="BA694" s="3" t="s">
        <v>6990</v>
      </c>
      <c r="BB694" s="3" t="s">
        <v>6991</v>
      </c>
      <c r="BC694" s="3" t="s">
        <v>102</v>
      </c>
      <c r="BD694" s="3" t="s">
        <v>68</v>
      </c>
      <c r="BF694" s="3" t="s">
        <v>6991</v>
      </c>
      <c r="BG694" s="3" t="s">
        <v>6992</v>
      </c>
    </row>
    <row r="695" spans="1:59" ht="72.5" x14ac:dyDescent="0.35">
      <c r="A695" s="2" t="s">
        <v>89</v>
      </c>
      <c r="B695" s="2" t="s">
        <v>90</v>
      </c>
      <c r="C695" s="2" t="s">
        <v>6993</v>
      </c>
      <c r="D695" s="2" t="s">
        <v>6994</v>
      </c>
      <c r="E695" s="2" t="s">
        <v>6995</v>
      </c>
      <c r="F695" s="3" t="s">
        <v>6996</v>
      </c>
      <c r="G695" s="3" t="s">
        <v>62</v>
      </c>
      <c r="I695" s="3" t="s">
        <v>61</v>
      </c>
      <c r="J695" s="3" t="s">
        <v>62</v>
      </c>
      <c r="K695" s="3" t="s">
        <v>63</v>
      </c>
      <c r="M695" s="2" t="s">
        <v>6997</v>
      </c>
      <c r="N695" s="3" t="s">
        <v>115</v>
      </c>
      <c r="P695" s="3" t="s">
        <v>64</v>
      </c>
      <c r="Q695" s="2" t="s">
        <v>6998</v>
      </c>
      <c r="R695" s="3" t="s">
        <v>65</v>
      </c>
      <c r="S695" s="4">
        <v>11</v>
      </c>
      <c r="T695" s="4">
        <v>13</v>
      </c>
      <c r="U695" s="5" t="s">
        <v>6999</v>
      </c>
      <c r="V695" s="5" t="s">
        <v>7000</v>
      </c>
      <c r="W695" s="5" t="s">
        <v>67</v>
      </c>
      <c r="X695" s="5" t="s">
        <v>67</v>
      </c>
      <c r="Y695" s="4">
        <v>223</v>
      </c>
      <c r="Z695" s="4">
        <v>14</v>
      </c>
      <c r="AA695" s="4">
        <v>23</v>
      </c>
      <c r="AB695" s="4">
        <v>1</v>
      </c>
      <c r="AC695" s="4">
        <v>5</v>
      </c>
      <c r="AD695" s="4">
        <v>82</v>
      </c>
      <c r="AE695" s="4">
        <v>96</v>
      </c>
      <c r="AF695" s="4">
        <v>0</v>
      </c>
      <c r="AG695" s="4">
        <v>2</v>
      </c>
      <c r="AH695" s="4">
        <v>74</v>
      </c>
      <c r="AI695" s="4">
        <v>82</v>
      </c>
      <c r="AJ695" s="4">
        <v>10</v>
      </c>
      <c r="AK695" s="4">
        <v>14</v>
      </c>
      <c r="AL695" s="4">
        <v>47</v>
      </c>
      <c r="AM695" s="4">
        <v>50</v>
      </c>
      <c r="AN695" s="4">
        <v>0</v>
      </c>
      <c r="AO695" s="4">
        <v>0</v>
      </c>
      <c r="AP695" s="4">
        <v>11</v>
      </c>
      <c r="AQ695" s="4">
        <v>18</v>
      </c>
      <c r="AR695" s="3" t="s">
        <v>62</v>
      </c>
      <c r="AS695" s="3" t="s">
        <v>62</v>
      </c>
      <c r="AT695" s="3" t="s">
        <v>62</v>
      </c>
      <c r="AV695" s="6" t="str">
        <f>HYPERLINK("http://mcgill.on.worldcat.org/oclc/18742587","Catalog Record")</f>
        <v>Catalog Record</v>
      </c>
      <c r="AW695" s="6" t="str">
        <f>HYPERLINK("http://www.worldcat.org/oclc/18742587","WorldCat Record")</f>
        <v>WorldCat Record</v>
      </c>
      <c r="AX695" s="3" t="s">
        <v>7001</v>
      </c>
      <c r="AY695" s="3" t="s">
        <v>7002</v>
      </c>
      <c r="AZ695" s="3" t="s">
        <v>7003</v>
      </c>
      <c r="BA695" s="3" t="s">
        <v>7003</v>
      </c>
      <c r="BB695" s="3" t="s">
        <v>7004</v>
      </c>
      <c r="BC695" s="3" t="s">
        <v>102</v>
      </c>
      <c r="BD695" s="3" t="s">
        <v>68</v>
      </c>
      <c r="BE695" s="3" t="s">
        <v>7005</v>
      </c>
      <c r="BF695" s="3" t="s">
        <v>7004</v>
      </c>
      <c r="BG695" s="3" t="s">
        <v>7006</v>
      </c>
    </row>
    <row r="696" spans="1:59" ht="72.5" x14ac:dyDescent="0.35">
      <c r="A696" s="2" t="s">
        <v>89</v>
      </c>
      <c r="B696" s="2" t="s">
        <v>90</v>
      </c>
      <c r="C696" s="2" t="s">
        <v>7007</v>
      </c>
      <c r="D696" s="2" t="s">
        <v>7008</v>
      </c>
      <c r="E696" s="2" t="s">
        <v>7009</v>
      </c>
      <c r="F696" s="3" t="s">
        <v>7010</v>
      </c>
      <c r="G696" s="3" t="s">
        <v>62</v>
      </c>
      <c r="I696" s="3" t="s">
        <v>61</v>
      </c>
      <c r="J696" s="3" t="s">
        <v>62</v>
      </c>
      <c r="K696" s="3" t="s">
        <v>63</v>
      </c>
      <c r="M696" s="2" t="s">
        <v>7011</v>
      </c>
      <c r="N696" s="3" t="s">
        <v>115</v>
      </c>
      <c r="P696" s="3" t="s">
        <v>64</v>
      </c>
      <c r="Q696" s="2" t="s">
        <v>7012</v>
      </c>
      <c r="R696" s="3" t="s">
        <v>65</v>
      </c>
      <c r="S696" s="4">
        <v>9</v>
      </c>
      <c r="T696" s="4">
        <v>11</v>
      </c>
      <c r="U696" s="5" t="s">
        <v>3331</v>
      </c>
      <c r="V696" s="5" t="s">
        <v>3331</v>
      </c>
      <c r="W696" s="5" t="s">
        <v>67</v>
      </c>
      <c r="X696" s="5" t="s">
        <v>67</v>
      </c>
      <c r="Y696" s="4">
        <v>386</v>
      </c>
      <c r="Z696" s="4">
        <v>33</v>
      </c>
      <c r="AA696" s="4">
        <v>40</v>
      </c>
      <c r="AB696" s="4">
        <v>1</v>
      </c>
      <c r="AC696" s="4">
        <v>7</v>
      </c>
      <c r="AD696" s="4">
        <v>114</v>
      </c>
      <c r="AE696" s="4">
        <v>121</v>
      </c>
      <c r="AF696" s="4">
        <v>0</v>
      </c>
      <c r="AG696" s="4">
        <v>4</v>
      </c>
      <c r="AH696" s="4">
        <v>96</v>
      </c>
      <c r="AI696" s="4">
        <v>99</v>
      </c>
      <c r="AJ696" s="4">
        <v>17</v>
      </c>
      <c r="AK696" s="4">
        <v>21</v>
      </c>
      <c r="AL696" s="4">
        <v>50</v>
      </c>
      <c r="AM696" s="4">
        <v>52</v>
      </c>
      <c r="AN696" s="4">
        <v>0</v>
      </c>
      <c r="AO696" s="4">
        <v>0</v>
      </c>
      <c r="AP696" s="4">
        <v>26</v>
      </c>
      <c r="AQ696" s="4">
        <v>30</v>
      </c>
      <c r="AR696" s="3" t="s">
        <v>62</v>
      </c>
      <c r="AS696" s="3" t="s">
        <v>62</v>
      </c>
      <c r="AT696" s="3" t="s">
        <v>62</v>
      </c>
      <c r="AV696" s="6" t="str">
        <f>HYPERLINK("http://mcgill.on.worldcat.org/oclc/18382297","Catalog Record")</f>
        <v>Catalog Record</v>
      </c>
      <c r="AW696" s="6" t="str">
        <f>HYPERLINK("http://www.worldcat.org/oclc/18382297","WorldCat Record")</f>
        <v>WorldCat Record</v>
      </c>
      <c r="AX696" s="3" t="s">
        <v>7013</v>
      </c>
      <c r="AY696" s="3" t="s">
        <v>7014</v>
      </c>
      <c r="AZ696" s="3" t="s">
        <v>7015</v>
      </c>
      <c r="BA696" s="3" t="s">
        <v>7015</v>
      </c>
      <c r="BB696" s="3" t="s">
        <v>7016</v>
      </c>
      <c r="BC696" s="3" t="s">
        <v>102</v>
      </c>
      <c r="BD696" s="3" t="s">
        <v>68</v>
      </c>
      <c r="BE696" s="3" t="s">
        <v>7017</v>
      </c>
      <c r="BF696" s="3" t="s">
        <v>7016</v>
      </c>
      <c r="BG696" s="3" t="s">
        <v>7018</v>
      </c>
    </row>
    <row r="697" spans="1:59" ht="72.5" x14ac:dyDescent="0.35">
      <c r="A697" s="2" t="s">
        <v>89</v>
      </c>
      <c r="B697" s="2" t="s">
        <v>90</v>
      </c>
      <c r="C697" s="2" t="s">
        <v>7019</v>
      </c>
      <c r="D697" s="2" t="s">
        <v>7020</v>
      </c>
      <c r="E697" s="2" t="s">
        <v>7021</v>
      </c>
      <c r="F697" s="3" t="s">
        <v>7022</v>
      </c>
      <c r="G697" s="3" t="s">
        <v>62</v>
      </c>
      <c r="I697" s="3" t="s">
        <v>61</v>
      </c>
      <c r="J697" s="3" t="s">
        <v>62</v>
      </c>
      <c r="K697" s="3" t="s">
        <v>63</v>
      </c>
      <c r="M697" s="2" t="s">
        <v>7023</v>
      </c>
      <c r="N697" s="3" t="s">
        <v>115</v>
      </c>
      <c r="P697" s="3" t="s">
        <v>64</v>
      </c>
      <c r="Q697" s="2" t="s">
        <v>7024</v>
      </c>
      <c r="R697" s="3" t="s">
        <v>65</v>
      </c>
      <c r="S697" s="4">
        <v>4</v>
      </c>
      <c r="T697" s="4">
        <v>4</v>
      </c>
      <c r="U697" s="5" t="s">
        <v>7025</v>
      </c>
      <c r="V697" s="5" t="s">
        <v>7025</v>
      </c>
      <c r="W697" s="5" t="s">
        <v>67</v>
      </c>
      <c r="X697" s="5" t="s">
        <v>67</v>
      </c>
      <c r="Y697" s="4">
        <v>269</v>
      </c>
      <c r="Z697" s="4">
        <v>23</v>
      </c>
      <c r="AA697" s="4">
        <v>27</v>
      </c>
      <c r="AB697" s="4">
        <v>1</v>
      </c>
      <c r="AC697" s="4">
        <v>4</v>
      </c>
      <c r="AD697" s="4">
        <v>102</v>
      </c>
      <c r="AE697" s="4">
        <v>107</v>
      </c>
      <c r="AF697" s="4">
        <v>0</v>
      </c>
      <c r="AG697" s="4">
        <v>1</v>
      </c>
      <c r="AH697" s="4">
        <v>89</v>
      </c>
      <c r="AI697" s="4">
        <v>92</v>
      </c>
      <c r="AJ697" s="4">
        <v>17</v>
      </c>
      <c r="AK697" s="4">
        <v>18</v>
      </c>
      <c r="AL697" s="4">
        <v>48</v>
      </c>
      <c r="AM697" s="4">
        <v>51</v>
      </c>
      <c r="AN697" s="4">
        <v>0</v>
      </c>
      <c r="AO697" s="4">
        <v>0</v>
      </c>
      <c r="AP697" s="4">
        <v>19</v>
      </c>
      <c r="AQ697" s="4">
        <v>21</v>
      </c>
      <c r="AR697" s="3" t="s">
        <v>62</v>
      </c>
      <c r="AS697" s="3" t="s">
        <v>62</v>
      </c>
      <c r="AT697" s="3" t="s">
        <v>62</v>
      </c>
      <c r="AV697" s="6" t="str">
        <f>HYPERLINK("http://mcgill.on.worldcat.org/oclc/20170426","Catalog Record")</f>
        <v>Catalog Record</v>
      </c>
      <c r="AW697" s="6" t="str">
        <f>HYPERLINK("http://www.worldcat.org/oclc/20170426","WorldCat Record")</f>
        <v>WorldCat Record</v>
      </c>
      <c r="AX697" s="3" t="s">
        <v>7026</v>
      </c>
      <c r="AY697" s="3" t="s">
        <v>7027</v>
      </c>
      <c r="AZ697" s="3" t="s">
        <v>7028</v>
      </c>
      <c r="BA697" s="3" t="s">
        <v>7028</v>
      </c>
      <c r="BB697" s="3" t="s">
        <v>7029</v>
      </c>
      <c r="BC697" s="3" t="s">
        <v>102</v>
      </c>
      <c r="BD697" s="3" t="s">
        <v>68</v>
      </c>
      <c r="BE697" s="3" t="s">
        <v>7030</v>
      </c>
      <c r="BF697" s="3" t="s">
        <v>7029</v>
      </c>
      <c r="BG697" s="3" t="s">
        <v>7031</v>
      </c>
    </row>
    <row r="698" spans="1:59" ht="72.5" x14ac:dyDescent="0.35">
      <c r="A698" s="2" t="s">
        <v>89</v>
      </c>
      <c r="B698" s="2" t="s">
        <v>90</v>
      </c>
      <c r="C698" s="2" t="s">
        <v>7032</v>
      </c>
      <c r="D698" s="2" t="s">
        <v>7033</v>
      </c>
      <c r="E698" s="2" t="s">
        <v>7034</v>
      </c>
      <c r="F698" s="3" t="s">
        <v>7035</v>
      </c>
      <c r="G698" s="3" t="s">
        <v>62</v>
      </c>
      <c r="I698" s="3" t="s">
        <v>61</v>
      </c>
      <c r="J698" s="3" t="s">
        <v>62</v>
      </c>
      <c r="K698" s="3" t="s">
        <v>63</v>
      </c>
      <c r="M698" s="2" t="s">
        <v>7036</v>
      </c>
      <c r="N698" s="3" t="s">
        <v>438</v>
      </c>
      <c r="P698" s="3" t="s">
        <v>64</v>
      </c>
      <c r="Q698" s="2" t="s">
        <v>7037</v>
      </c>
      <c r="R698" s="3" t="s">
        <v>65</v>
      </c>
      <c r="S698" s="4">
        <v>3</v>
      </c>
      <c r="T698" s="4">
        <v>3</v>
      </c>
      <c r="U698" s="5" t="s">
        <v>7038</v>
      </c>
      <c r="V698" s="5" t="s">
        <v>7038</v>
      </c>
      <c r="W698" s="5" t="s">
        <v>67</v>
      </c>
      <c r="X698" s="5" t="s">
        <v>67</v>
      </c>
      <c r="Y698" s="4">
        <v>266</v>
      </c>
      <c r="Z698" s="4">
        <v>21</v>
      </c>
      <c r="AA698" s="4">
        <v>27</v>
      </c>
      <c r="AB698" s="4">
        <v>1</v>
      </c>
      <c r="AC698" s="4">
        <v>5</v>
      </c>
      <c r="AD698" s="4">
        <v>100</v>
      </c>
      <c r="AE698" s="4">
        <v>107</v>
      </c>
      <c r="AF698" s="4">
        <v>0</v>
      </c>
      <c r="AG698" s="4">
        <v>2</v>
      </c>
      <c r="AH698" s="4">
        <v>88</v>
      </c>
      <c r="AI698" s="4">
        <v>93</v>
      </c>
      <c r="AJ698" s="4">
        <v>14</v>
      </c>
      <c r="AK698" s="4">
        <v>17</v>
      </c>
      <c r="AL698" s="4">
        <v>50</v>
      </c>
      <c r="AM698" s="4">
        <v>52</v>
      </c>
      <c r="AN698" s="4">
        <v>0</v>
      </c>
      <c r="AO698" s="4">
        <v>0</v>
      </c>
      <c r="AP698" s="4">
        <v>17</v>
      </c>
      <c r="AQ698" s="4">
        <v>21</v>
      </c>
      <c r="AR698" s="3" t="s">
        <v>62</v>
      </c>
      <c r="AS698" s="3" t="s">
        <v>62</v>
      </c>
      <c r="AT698" s="3" t="s">
        <v>62</v>
      </c>
      <c r="AV698" s="6" t="str">
        <f>HYPERLINK("http://mcgill.on.worldcat.org/oclc/21483336","Catalog Record")</f>
        <v>Catalog Record</v>
      </c>
      <c r="AW698" s="6" t="str">
        <f>HYPERLINK("http://www.worldcat.org/oclc/21483336","WorldCat Record")</f>
        <v>WorldCat Record</v>
      </c>
      <c r="AX698" s="3" t="s">
        <v>7039</v>
      </c>
      <c r="AY698" s="3" t="s">
        <v>7040</v>
      </c>
      <c r="AZ698" s="3" t="s">
        <v>7041</v>
      </c>
      <c r="BA698" s="3" t="s">
        <v>7041</v>
      </c>
      <c r="BB698" s="3" t="s">
        <v>7042</v>
      </c>
      <c r="BC698" s="3" t="s">
        <v>102</v>
      </c>
      <c r="BD698" s="3" t="s">
        <v>68</v>
      </c>
      <c r="BE698" s="3" t="s">
        <v>7043</v>
      </c>
      <c r="BF698" s="3" t="s">
        <v>7042</v>
      </c>
      <c r="BG698" s="3" t="s">
        <v>7044</v>
      </c>
    </row>
    <row r="699" spans="1:59" ht="72.5" x14ac:dyDescent="0.35">
      <c r="A699" s="2" t="s">
        <v>89</v>
      </c>
      <c r="B699" s="2" t="s">
        <v>90</v>
      </c>
      <c r="C699" s="2" t="s">
        <v>7045</v>
      </c>
      <c r="D699" s="2" t="s">
        <v>7046</v>
      </c>
      <c r="E699" s="2" t="s">
        <v>7047</v>
      </c>
      <c r="F699" s="3" t="s">
        <v>7048</v>
      </c>
      <c r="G699" s="3" t="s">
        <v>62</v>
      </c>
      <c r="I699" s="3" t="s">
        <v>61</v>
      </c>
      <c r="J699" s="3" t="s">
        <v>62</v>
      </c>
      <c r="K699" s="3" t="s">
        <v>63</v>
      </c>
      <c r="M699" s="2" t="s">
        <v>7049</v>
      </c>
      <c r="N699" s="3" t="s">
        <v>3062</v>
      </c>
      <c r="P699" s="3" t="s">
        <v>64</v>
      </c>
      <c r="Q699" s="2" t="s">
        <v>7050</v>
      </c>
      <c r="R699" s="3" t="s">
        <v>65</v>
      </c>
      <c r="S699" s="4">
        <v>9</v>
      </c>
      <c r="T699" s="4">
        <v>13</v>
      </c>
      <c r="U699" s="5" t="s">
        <v>7051</v>
      </c>
      <c r="V699" s="5" t="s">
        <v>6663</v>
      </c>
      <c r="W699" s="5" t="s">
        <v>67</v>
      </c>
      <c r="X699" s="5" t="s">
        <v>67</v>
      </c>
      <c r="Y699" s="4">
        <v>266</v>
      </c>
      <c r="Z699" s="4">
        <v>22</v>
      </c>
      <c r="AA699" s="4">
        <v>27</v>
      </c>
      <c r="AB699" s="4">
        <v>2</v>
      </c>
      <c r="AC699" s="4">
        <v>7</v>
      </c>
      <c r="AD699" s="4">
        <v>103</v>
      </c>
      <c r="AE699" s="4">
        <v>106</v>
      </c>
      <c r="AF699" s="4">
        <v>0</v>
      </c>
      <c r="AG699" s="4">
        <v>3</v>
      </c>
      <c r="AH699" s="4">
        <v>89</v>
      </c>
      <c r="AI699" s="4">
        <v>89</v>
      </c>
      <c r="AJ699" s="4">
        <v>14</v>
      </c>
      <c r="AK699" s="4">
        <v>17</v>
      </c>
      <c r="AL699" s="4">
        <v>52</v>
      </c>
      <c r="AM699" s="4">
        <v>52</v>
      </c>
      <c r="AN699" s="4">
        <v>0</v>
      </c>
      <c r="AO699" s="4">
        <v>0</v>
      </c>
      <c r="AP699" s="4">
        <v>18</v>
      </c>
      <c r="AQ699" s="4">
        <v>20</v>
      </c>
      <c r="AR699" s="3" t="s">
        <v>62</v>
      </c>
      <c r="AS699" s="3" t="s">
        <v>62</v>
      </c>
      <c r="AT699" s="3" t="s">
        <v>61</v>
      </c>
      <c r="AU699" s="6" t="str">
        <f>HYPERLINK("http://catalog.hathitrust.org/Record/004517901","HathiTrust Record")</f>
        <v>HathiTrust Record</v>
      </c>
      <c r="AV699" s="6" t="str">
        <f>HYPERLINK("http://mcgill.on.worldcat.org/oclc/22450781","Catalog Record")</f>
        <v>Catalog Record</v>
      </c>
      <c r="AW699" s="6" t="str">
        <f>HYPERLINK("http://www.worldcat.org/oclc/22450781","WorldCat Record")</f>
        <v>WorldCat Record</v>
      </c>
      <c r="AX699" s="3" t="s">
        <v>7052</v>
      </c>
      <c r="AY699" s="3" t="s">
        <v>7053</v>
      </c>
      <c r="AZ699" s="3" t="s">
        <v>7054</v>
      </c>
      <c r="BA699" s="3" t="s">
        <v>7054</v>
      </c>
      <c r="BB699" s="3" t="s">
        <v>7055</v>
      </c>
      <c r="BC699" s="3" t="s">
        <v>102</v>
      </c>
      <c r="BD699" s="3" t="s">
        <v>68</v>
      </c>
      <c r="BE699" s="3" t="s">
        <v>7056</v>
      </c>
      <c r="BF699" s="3" t="s">
        <v>7055</v>
      </c>
      <c r="BG699" s="3" t="s">
        <v>7057</v>
      </c>
    </row>
    <row r="700" spans="1:59" ht="72.5" x14ac:dyDescent="0.35">
      <c r="A700" s="2" t="s">
        <v>89</v>
      </c>
      <c r="B700" s="2" t="s">
        <v>90</v>
      </c>
      <c r="C700" s="2" t="s">
        <v>7058</v>
      </c>
      <c r="D700" s="2" t="s">
        <v>7059</v>
      </c>
      <c r="E700" s="2" t="s">
        <v>7060</v>
      </c>
      <c r="F700" s="3" t="s">
        <v>7061</v>
      </c>
      <c r="G700" s="3" t="s">
        <v>62</v>
      </c>
      <c r="I700" s="3" t="s">
        <v>61</v>
      </c>
      <c r="J700" s="3" t="s">
        <v>62</v>
      </c>
      <c r="K700" s="3" t="s">
        <v>63</v>
      </c>
      <c r="M700" s="2" t="s">
        <v>7062</v>
      </c>
      <c r="N700" s="3" t="s">
        <v>466</v>
      </c>
      <c r="P700" s="3" t="s">
        <v>64</v>
      </c>
      <c r="Q700" s="2" t="s">
        <v>7063</v>
      </c>
      <c r="R700" s="3" t="s">
        <v>65</v>
      </c>
      <c r="S700" s="4">
        <v>20</v>
      </c>
      <c r="T700" s="4">
        <v>28</v>
      </c>
      <c r="U700" s="5" t="s">
        <v>7064</v>
      </c>
      <c r="V700" s="5" t="s">
        <v>7065</v>
      </c>
      <c r="W700" s="5" t="s">
        <v>67</v>
      </c>
      <c r="X700" s="5" t="s">
        <v>67</v>
      </c>
      <c r="Y700" s="4">
        <v>281</v>
      </c>
      <c r="Z700" s="4">
        <v>21</v>
      </c>
      <c r="AA700" s="4">
        <v>27</v>
      </c>
      <c r="AB700" s="4">
        <v>1</v>
      </c>
      <c r="AC700" s="4">
        <v>6</v>
      </c>
      <c r="AD700" s="4">
        <v>99</v>
      </c>
      <c r="AE700" s="4">
        <v>103</v>
      </c>
      <c r="AF700" s="4">
        <v>0</v>
      </c>
      <c r="AG700" s="4">
        <v>3</v>
      </c>
      <c r="AH700" s="4">
        <v>85</v>
      </c>
      <c r="AI700" s="4">
        <v>85</v>
      </c>
      <c r="AJ700" s="4">
        <v>13</v>
      </c>
      <c r="AK700" s="4">
        <v>16</v>
      </c>
      <c r="AL700" s="4">
        <v>51</v>
      </c>
      <c r="AM700" s="4">
        <v>51</v>
      </c>
      <c r="AN700" s="4">
        <v>0</v>
      </c>
      <c r="AO700" s="4">
        <v>0</v>
      </c>
      <c r="AP700" s="4">
        <v>17</v>
      </c>
      <c r="AQ700" s="4">
        <v>20</v>
      </c>
      <c r="AR700" s="3" t="s">
        <v>62</v>
      </c>
      <c r="AS700" s="3" t="s">
        <v>62</v>
      </c>
      <c r="AT700" s="3" t="s">
        <v>62</v>
      </c>
      <c r="AV700" s="6" t="str">
        <f>HYPERLINK("http://mcgill.on.worldcat.org/oclc/23693775","Catalog Record")</f>
        <v>Catalog Record</v>
      </c>
      <c r="AW700" s="6" t="str">
        <f>HYPERLINK("http://www.worldcat.org/oclc/23693775","WorldCat Record")</f>
        <v>WorldCat Record</v>
      </c>
      <c r="AX700" s="3" t="s">
        <v>7066</v>
      </c>
      <c r="AY700" s="3" t="s">
        <v>7067</v>
      </c>
      <c r="AZ700" s="3" t="s">
        <v>7068</v>
      </c>
      <c r="BA700" s="3" t="s">
        <v>7068</v>
      </c>
      <c r="BB700" s="3" t="s">
        <v>7069</v>
      </c>
      <c r="BC700" s="3" t="s">
        <v>102</v>
      </c>
      <c r="BD700" s="3" t="s">
        <v>68</v>
      </c>
      <c r="BE700" s="3" t="s">
        <v>7070</v>
      </c>
      <c r="BF700" s="3" t="s">
        <v>7069</v>
      </c>
      <c r="BG700" s="3" t="s">
        <v>7071</v>
      </c>
    </row>
    <row r="701" spans="1:59" ht="72.5" x14ac:dyDescent="0.35">
      <c r="A701" s="2" t="s">
        <v>89</v>
      </c>
      <c r="B701" s="2" t="s">
        <v>90</v>
      </c>
      <c r="C701" s="2" t="s">
        <v>7072</v>
      </c>
      <c r="D701" s="2" t="s">
        <v>7073</v>
      </c>
      <c r="E701" s="2" t="s">
        <v>7074</v>
      </c>
      <c r="F701" s="3" t="s">
        <v>7075</v>
      </c>
      <c r="G701" s="3" t="s">
        <v>62</v>
      </c>
      <c r="I701" s="3" t="s">
        <v>61</v>
      </c>
      <c r="J701" s="3" t="s">
        <v>62</v>
      </c>
      <c r="K701" s="3" t="s">
        <v>63</v>
      </c>
      <c r="M701" s="2" t="s">
        <v>7049</v>
      </c>
      <c r="N701" s="3" t="s">
        <v>3062</v>
      </c>
      <c r="P701" s="3" t="s">
        <v>64</v>
      </c>
      <c r="Q701" s="2" t="s">
        <v>7076</v>
      </c>
      <c r="R701" s="3" t="s">
        <v>65</v>
      </c>
      <c r="S701" s="4">
        <v>11</v>
      </c>
      <c r="T701" s="4">
        <v>12</v>
      </c>
      <c r="U701" s="5" t="s">
        <v>7077</v>
      </c>
      <c r="V701" s="5" t="s">
        <v>7077</v>
      </c>
      <c r="W701" s="5" t="s">
        <v>67</v>
      </c>
      <c r="X701" s="5" t="s">
        <v>67</v>
      </c>
      <c r="Y701" s="4">
        <v>277</v>
      </c>
      <c r="Z701" s="4">
        <v>22</v>
      </c>
      <c r="AA701" s="4">
        <v>27</v>
      </c>
      <c r="AB701" s="4">
        <v>1</v>
      </c>
      <c r="AC701" s="4">
        <v>6</v>
      </c>
      <c r="AD701" s="4">
        <v>105</v>
      </c>
      <c r="AE701" s="4">
        <v>109</v>
      </c>
      <c r="AF701" s="4">
        <v>0</v>
      </c>
      <c r="AG701" s="4">
        <v>3</v>
      </c>
      <c r="AH701" s="4">
        <v>91</v>
      </c>
      <c r="AI701" s="4">
        <v>92</v>
      </c>
      <c r="AJ701" s="4">
        <v>15</v>
      </c>
      <c r="AK701" s="4">
        <v>18</v>
      </c>
      <c r="AL701" s="4">
        <v>51</v>
      </c>
      <c r="AM701" s="4">
        <v>52</v>
      </c>
      <c r="AN701" s="4">
        <v>0</v>
      </c>
      <c r="AO701" s="4">
        <v>0</v>
      </c>
      <c r="AP701" s="4">
        <v>19</v>
      </c>
      <c r="AQ701" s="4">
        <v>21</v>
      </c>
      <c r="AR701" s="3" t="s">
        <v>62</v>
      </c>
      <c r="AS701" s="3" t="s">
        <v>62</v>
      </c>
      <c r="AT701" s="3" t="s">
        <v>62</v>
      </c>
      <c r="AV701" s="6" t="str">
        <f>HYPERLINK("http://mcgill.on.worldcat.org/oclc/23654059","Catalog Record")</f>
        <v>Catalog Record</v>
      </c>
      <c r="AW701" s="6" t="str">
        <f>HYPERLINK("http://www.worldcat.org/oclc/23654059","WorldCat Record")</f>
        <v>WorldCat Record</v>
      </c>
      <c r="AX701" s="3" t="s">
        <v>7078</v>
      </c>
      <c r="AY701" s="3" t="s">
        <v>7079</v>
      </c>
      <c r="AZ701" s="3" t="s">
        <v>7080</v>
      </c>
      <c r="BA701" s="3" t="s">
        <v>7080</v>
      </c>
      <c r="BB701" s="3" t="s">
        <v>7081</v>
      </c>
      <c r="BC701" s="3" t="s">
        <v>102</v>
      </c>
      <c r="BD701" s="3" t="s">
        <v>68</v>
      </c>
      <c r="BE701" s="3" t="s">
        <v>7082</v>
      </c>
      <c r="BF701" s="3" t="s">
        <v>7081</v>
      </c>
      <c r="BG701" s="3" t="s">
        <v>7083</v>
      </c>
    </row>
    <row r="702" spans="1:59" ht="72.5" x14ac:dyDescent="0.35">
      <c r="A702" s="2" t="s">
        <v>89</v>
      </c>
      <c r="B702" s="2" t="s">
        <v>90</v>
      </c>
      <c r="C702" s="2" t="s">
        <v>7084</v>
      </c>
      <c r="D702" s="2" t="s">
        <v>7085</v>
      </c>
      <c r="E702" s="2" t="s">
        <v>7086</v>
      </c>
      <c r="F702" s="3" t="s">
        <v>7087</v>
      </c>
      <c r="G702" s="3" t="s">
        <v>62</v>
      </c>
      <c r="I702" s="3" t="s">
        <v>62</v>
      </c>
      <c r="J702" s="3" t="s">
        <v>62</v>
      </c>
      <c r="K702" s="3" t="s">
        <v>63</v>
      </c>
      <c r="M702" s="2" t="s">
        <v>6930</v>
      </c>
      <c r="N702" s="3" t="s">
        <v>466</v>
      </c>
      <c r="P702" s="3" t="s">
        <v>64</v>
      </c>
      <c r="Q702" s="2" t="s">
        <v>7088</v>
      </c>
      <c r="R702" s="3" t="s">
        <v>65</v>
      </c>
      <c r="S702" s="4">
        <v>20</v>
      </c>
      <c r="T702" s="4">
        <v>20</v>
      </c>
      <c r="U702" s="5" t="s">
        <v>7089</v>
      </c>
      <c r="V702" s="5" t="s">
        <v>7089</v>
      </c>
      <c r="W702" s="5" t="s">
        <v>67</v>
      </c>
      <c r="X702" s="5" t="s">
        <v>67</v>
      </c>
      <c r="Y702" s="4">
        <v>289</v>
      </c>
      <c r="Z702" s="4">
        <v>24</v>
      </c>
      <c r="AA702" s="4">
        <v>30</v>
      </c>
      <c r="AB702" s="4">
        <v>2</v>
      </c>
      <c r="AC702" s="4">
        <v>6</v>
      </c>
      <c r="AD702" s="4">
        <v>103</v>
      </c>
      <c r="AE702" s="4">
        <v>109</v>
      </c>
      <c r="AF702" s="4">
        <v>1</v>
      </c>
      <c r="AG702" s="4">
        <v>3</v>
      </c>
      <c r="AH702" s="4">
        <v>87</v>
      </c>
      <c r="AI702" s="4">
        <v>90</v>
      </c>
      <c r="AJ702" s="4">
        <v>17</v>
      </c>
      <c r="AK702" s="4">
        <v>20</v>
      </c>
      <c r="AL702" s="4">
        <v>50</v>
      </c>
      <c r="AM702" s="4">
        <v>51</v>
      </c>
      <c r="AN702" s="4">
        <v>0</v>
      </c>
      <c r="AO702" s="4">
        <v>0</v>
      </c>
      <c r="AP702" s="4">
        <v>21</v>
      </c>
      <c r="AQ702" s="4">
        <v>24</v>
      </c>
      <c r="AR702" s="3" t="s">
        <v>62</v>
      </c>
      <c r="AS702" s="3" t="s">
        <v>62</v>
      </c>
      <c r="AT702" s="3" t="s">
        <v>62</v>
      </c>
      <c r="AV702" s="6" t="str">
        <f>HYPERLINK("http://mcgill.on.worldcat.org/oclc/24627865","Catalog Record")</f>
        <v>Catalog Record</v>
      </c>
      <c r="AW702" s="6" t="str">
        <f>HYPERLINK("http://www.worldcat.org/oclc/24627865","WorldCat Record")</f>
        <v>WorldCat Record</v>
      </c>
      <c r="AX702" s="3" t="s">
        <v>7090</v>
      </c>
      <c r="AY702" s="3" t="s">
        <v>7091</v>
      </c>
      <c r="AZ702" s="3" t="s">
        <v>7092</v>
      </c>
      <c r="BA702" s="3" t="s">
        <v>7092</v>
      </c>
      <c r="BB702" s="3" t="s">
        <v>7093</v>
      </c>
      <c r="BC702" s="3" t="s">
        <v>102</v>
      </c>
      <c r="BD702" s="3" t="s">
        <v>68</v>
      </c>
      <c r="BE702" s="3" t="s">
        <v>7094</v>
      </c>
      <c r="BF702" s="3" t="s">
        <v>7093</v>
      </c>
      <c r="BG702" s="3" t="s">
        <v>7095</v>
      </c>
    </row>
    <row r="703" spans="1:59" ht="72.5" x14ac:dyDescent="0.35">
      <c r="A703" s="2" t="s">
        <v>89</v>
      </c>
      <c r="B703" s="2" t="s">
        <v>90</v>
      </c>
      <c r="C703" s="2" t="s">
        <v>7096</v>
      </c>
      <c r="D703" s="2" t="s">
        <v>7097</v>
      </c>
      <c r="E703" s="2" t="s">
        <v>7098</v>
      </c>
      <c r="F703" s="3" t="s">
        <v>7099</v>
      </c>
      <c r="G703" s="3" t="s">
        <v>62</v>
      </c>
      <c r="I703" s="3" t="s">
        <v>62</v>
      </c>
      <c r="J703" s="3" t="s">
        <v>62</v>
      </c>
      <c r="K703" s="3" t="s">
        <v>63</v>
      </c>
      <c r="L703" s="2" t="s">
        <v>7100</v>
      </c>
      <c r="M703" s="2" t="s">
        <v>6930</v>
      </c>
      <c r="N703" s="3" t="s">
        <v>466</v>
      </c>
      <c r="P703" s="3" t="s">
        <v>64</v>
      </c>
      <c r="Q703" s="2" t="s">
        <v>7101</v>
      </c>
      <c r="R703" s="3" t="s">
        <v>65</v>
      </c>
      <c r="S703" s="4">
        <v>13</v>
      </c>
      <c r="T703" s="4">
        <v>13</v>
      </c>
      <c r="U703" s="5" t="s">
        <v>1654</v>
      </c>
      <c r="V703" s="5" t="s">
        <v>1654</v>
      </c>
      <c r="W703" s="5" t="s">
        <v>67</v>
      </c>
      <c r="X703" s="5" t="s">
        <v>67</v>
      </c>
      <c r="Y703" s="4">
        <v>272</v>
      </c>
      <c r="Z703" s="4">
        <v>20</v>
      </c>
      <c r="AA703" s="4">
        <v>27</v>
      </c>
      <c r="AB703" s="4">
        <v>2</v>
      </c>
      <c r="AC703" s="4">
        <v>7</v>
      </c>
      <c r="AD703" s="4">
        <v>100</v>
      </c>
      <c r="AE703" s="4">
        <v>108</v>
      </c>
      <c r="AF703" s="4">
        <v>1</v>
      </c>
      <c r="AG703" s="4">
        <v>4</v>
      </c>
      <c r="AH703" s="4">
        <v>86</v>
      </c>
      <c r="AI703" s="4">
        <v>90</v>
      </c>
      <c r="AJ703" s="4">
        <v>15</v>
      </c>
      <c r="AK703" s="4">
        <v>19</v>
      </c>
      <c r="AL703" s="4">
        <v>53</v>
      </c>
      <c r="AM703" s="4">
        <v>55</v>
      </c>
      <c r="AN703" s="4">
        <v>0</v>
      </c>
      <c r="AO703" s="4">
        <v>0</v>
      </c>
      <c r="AP703" s="4">
        <v>17</v>
      </c>
      <c r="AQ703" s="4">
        <v>21</v>
      </c>
      <c r="AR703" s="3" t="s">
        <v>62</v>
      </c>
      <c r="AS703" s="3" t="s">
        <v>62</v>
      </c>
      <c r="AT703" s="3" t="s">
        <v>61</v>
      </c>
      <c r="AU703" s="6" t="str">
        <f>HYPERLINK("http://catalog.hathitrust.org/Record/002577819","HathiTrust Record")</f>
        <v>HathiTrust Record</v>
      </c>
      <c r="AV703" s="6" t="str">
        <f>HYPERLINK("http://mcgill.on.worldcat.org/oclc/25165460","Catalog Record")</f>
        <v>Catalog Record</v>
      </c>
      <c r="AW703" s="6" t="str">
        <f>HYPERLINK("http://www.worldcat.org/oclc/25165460","WorldCat Record")</f>
        <v>WorldCat Record</v>
      </c>
      <c r="AX703" s="3" t="s">
        <v>7102</v>
      </c>
      <c r="AY703" s="3" t="s">
        <v>7103</v>
      </c>
      <c r="AZ703" s="3" t="s">
        <v>7104</v>
      </c>
      <c r="BA703" s="3" t="s">
        <v>7104</v>
      </c>
      <c r="BB703" s="3" t="s">
        <v>7105</v>
      </c>
      <c r="BC703" s="3" t="s">
        <v>102</v>
      </c>
      <c r="BD703" s="3" t="s">
        <v>68</v>
      </c>
      <c r="BE703" s="3" t="s">
        <v>7106</v>
      </c>
      <c r="BF703" s="3" t="s">
        <v>7105</v>
      </c>
      <c r="BG703" s="3" t="s">
        <v>7107</v>
      </c>
    </row>
    <row r="704" spans="1:59" ht="72.5" x14ac:dyDescent="0.35">
      <c r="A704" s="2" t="s">
        <v>89</v>
      </c>
      <c r="B704" s="2" t="s">
        <v>90</v>
      </c>
      <c r="C704" s="2" t="s">
        <v>7108</v>
      </c>
      <c r="D704" s="2" t="s">
        <v>7109</v>
      </c>
      <c r="E704" s="2" t="s">
        <v>7110</v>
      </c>
      <c r="F704" s="3" t="s">
        <v>7111</v>
      </c>
      <c r="G704" s="3" t="s">
        <v>62</v>
      </c>
      <c r="I704" s="3" t="s">
        <v>62</v>
      </c>
      <c r="J704" s="3" t="s">
        <v>62</v>
      </c>
      <c r="K704" s="3" t="s">
        <v>63</v>
      </c>
      <c r="M704" s="2" t="s">
        <v>7112</v>
      </c>
      <c r="N704" s="3" t="s">
        <v>509</v>
      </c>
      <c r="P704" s="3" t="s">
        <v>64</v>
      </c>
      <c r="Q704" s="2" t="s">
        <v>7113</v>
      </c>
      <c r="R704" s="3" t="s">
        <v>65</v>
      </c>
      <c r="S704" s="4">
        <v>2</v>
      </c>
      <c r="T704" s="4">
        <v>2</v>
      </c>
      <c r="U704" s="5" t="s">
        <v>2292</v>
      </c>
      <c r="V704" s="5" t="s">
        <v>2292</v>
      </c>
      <c r="W704" s="5" t="s">
        <v>67</v>
      </c>
      <c r="X704" s="5" t="s">
        <v>67</v>
      </c>
      <c r="Y704" s="4">
        <v>213</v>
      </c>
      <c r="Z704" s="4">
        <v>10</v>
      </c>
      <c r="AA704" s="4">
        <v>16</v>
      </c>
      <c r="AB704" s="4">
        <v>1</v>
      </c>
      <c r="AC704" s="4">
        <v>3</v>
      </c>
      <c r="AD704" s="4">
        <v>78</v>
      </c>
      <c r="AE704" s="4">
        <v>86</v>
      </c>
      <c r="AF704" s="4">
        <v>0</v>
      </c>
      <c r="AG704" s="4">
        <v>1</v>
      </c>
      <c r="AH704" s="4">
        <v>72</v>
      </c>
      <c r="AI704" s="4">
        <v>77</v>
      </c>
      <c r="AJ704" s="4">
        <v>7</v>
      </c>
      <c r="AK704" s="4">
        <v>10</v>
      </c>
      <c r="AL704" s="4">
        <v>47</v>
      </c>
      <c r="AM704" s="4">
        <v>50</v>
      </c>
      <c r="AN704" s="4">
        <v>0</v>
      </c>
      <c r="AO704" s="4">
        <v>0</v>
      </c>
      <c r="AP704" s="4">
        <v>7</v>
      </c>
      <c r="AQ704" s="4">
        <v>12</v>
      </c>
      <c r="AR704" s="3" t="s">
        <v>62</v>
      </c>
      <c r="AS704" s="3" t="s">
        <v>62</v>
      </c>
      <c r="AT704" s="3" t="s">
        <v>61</v>
      </c>
      <c r="AU704" s="6" t="str">
        <f>HYPERLINK("http://catalog.hathitrust.org/Record/002799648","HathiTrust Record")</f>
        <v>HathiTrust Record</v>
      </c>
      <c r="AV704" s="6" t="str">
        <f>HYPERLINK("http://mcgill.on.worldcat.org/oclc/27769535","Catalog Record")</f>
        <v>Catalog Record</v>
      </c>
      <c r="AW704" s="6" t="str">
        <f>HYPERLINK("http://www.worldcat.org/oclc/27769535","WorldCat Record")</f>
        <v>WorldCat Record</v>
      </c>
      <c r="AX704" s="3" t="s">
        <v>7114</v>
      </c>
      <c r="AY704" s="3" t="s">
        <v>7115</v>
      </c>
      <c r="AZ704" s="3" t="s">
        <v>7116</v>
      </c>
      <c r="BA704" s="3" t="s">
        <v>7116</v>
      </c>
      <c r="BB704" s="3" t="s">
        <v>7117</v>
      </c>
      <c r="BC704" s="3" t="s">
        <v>102</v>
      </c>
      <c r="BD704" s="3" t="s">
        <v>68</v>
      </c>
      <c r="BE704" s="3" t="s">
        <v>7118</v>
      </c>
      <c r="BF704" s="3" t="s">
        <v>7117</v>
      </c>
      <c r="BG704" s="3" t="s">
        <v>7119</v>
      </c>
    </row>
    <row r="705" spans="1:59" ht="72.5" x14ac:dyDescent="0.35">
      <c r="A705" s="2" t="s">
        <v>89</v>
      </c>
      <c r="B705" s="2" t="s">
        <v>90</v>
      </c>
      <c r="C705" s="2" t="s">
        <v>7120</v>
      </c>
      <c r="D705" s="2" t="s">
        <v>7121</v>
      </c>
      <c r="E705" s="2" t="s">
        <v>7122</v>
      </c>
      <c r="F705" s="3" t="s">
        <v>7123</v>
      </c>
      <c r="G705" s="3" t="s">
        <v>62</v>
      </c>
      <c r="I705" s="3" t="s">
        <v>62</v>
      </c>
      <c r="J705" s="3" t="s">
        <v>62</v>
      </c>
      <c r="K705" s="3" t="s">
        <v>63</v>
      </c>
      <c r="L705" s="2" t="s">
        <v>7124</v>
      </c>
      <c r="M705" s="2" t="s">
        <v>7125</v>
      </c>
      <c r="N705" s="3" t="s">
        <v>157</v>
      </c>
      <c r="P705" s="3" t="s">
        <v>64</v>
      </c>
      <c r="Q705" s="2" t="s">
        <v>7126</v>
      </c>
      <c r="R705" s="3" t="s">
        <v>65</v>
      </c>
      <c r="S705" s="4">
        <v>8</v>
      </c>
      <c r="T705" s="4">
        <v>8</v>
      </c>
      <c r="U705" s="5" t="s">
        <v>7127</v>
      </c>
      <c r="V705" s="5" t="s">
        <v>7127</v>
      </c>
      <c r="W705" s="5" t="s">
        <v>67</v>
      </c>
      <c r="X705" s="5" t="s">
        <v>67</v>
      </c>
      <c r="Y705" s="4">
        <v>480</v>
      </c>
      <c r="Z705" s="4">
        <v>29</v>
      </c>
      <c r="AA705" s="4">
        <v>35</v>
      </c>
      <c r="AB705" s="4">
        <v>2</v>
      </c>
      <c r="AC705" s="4">
        <v>3</v>
      </c>
      <c r="AD705" s="4">
        <v>114</v>
      </c>
      <c r="AE705" s="4">
        <v>119</v>
      </c>
      <c r="AF705" s="4">
        <v>1</v>
      </c>
      <c r="AG705" s="4">
        <v>1</v>
      </c>
      <c r="AH705" s="4">
        <v>95</v>
      </c>
      <c r="AI705" s="4">
        <v>98</v>
      </c>
      <c r="AJ705" s="4">
        <v>14</v>
      </c>
      <c r="AK705" s="4">
        <v>18</v>
      </c>
      <c r="AL705" s="4">
        <v>49</v>
      </c>
      <c r="AM705" s="4">
        <v>49</v>
      </c>
      <c r="AN705" s="4">
        <v>3</v>
      </c>
      <c r="AO705" s="4">
        <v>3</v>
      </c>
      <c r="AP705" s="4">
        <v>24</v>
      </c>
      <c r="AQ705" s="4">
        <v>29</v>
      </c>
      <c r="AR705" s="3" t="s">
        <v>62</v>
      </c>
      <c r="AS705" s="3" t="s">
        <v>62</v>
      </c>
      <c r="AT705" s="3" t="s">
        <v>61</v>
      </c>
      <c r="AU705" s="6" t="str">
        <f>HYPERLINK("http://catalog.hathitrust.org/Record/003856350","HathiTrust Record")</f>
        <v>HathiTrust Record</v>
      </c>
      <c r="AV705" s="6" t="str">
        <f>HYPERLINK("http://mcgill.on.worldcat.org/oclc/1346931","Catalog Record")</f>
        <v>Catalog Record</v>
      </c>
      <c r="AW705" s="6" t="str">
        <f>HYPERLINK("http://www.worldcat.org/oclc/1346931","WorldCat Record")</f>
        <v>WorldCat Record</v>
      </c>
      <c r="AX705" s="3" t="s">
        <v>7128</v>
      </c>
      <c r="AY705" s="3" t="s">
        <v>7129</v>
      </c>
      <c r="AZ705" s="3" t="s">
        <v>7130</v>
      </c>
      <c r="BA705" s="3" t="s">
        <v>7130</v>
      </c>
      <c r="BB705" s="3" t="s">
        <v>7131</v>
      </c>
      <c r="BC705" s="3" t="s">
        <v>102</v>
      </c>
      <c r="BD705" s="3" t="s">
        <v>68</v>
      </c>
      <c r="BE705" s="3" t="s">
        <v>7132</v>
      </c>
      <c r="BF705" s="3" t="s">
        <v>7131</v>
      </c>
      <c r="BG705" s="3" t="s">
        <v>7133</v>
      </c>
    </row>
    <row r="706" spans="1:59" ht="72.5" x14ac:dyDescent="0.35">
      <c r="A706" s="2" t="s">
        <v>89</v>
      </c>
      <c r="B706" s="2" t="s">
        <v>90</v>
      </c>
      <c r="C706" s="2" t="s">
        <v>7134</v>
      </c>
      <c r="D706" s="2" t="s">
        <v>7135</v>
      </c>
      <c r="E706" s="2" t="s">
        <v>7136</v>
      </c>
      <c r="F706" s="3" t="s">
        <v>7137</v>
      </c>
      <c r="G706" s="3" t="s">
        <v>62</v>
      </c>
      <c r="I706" s="3" t="s">
        <v>62</v>
      </c>
      <c r="J706" s="3" t="s">
        <v>62</v>
      </c>
      <c r="K706" s="3" t="s">
        <v>63</v>
      </c>
      <c r="M706" s="2" t="s">
        <v>7138</v>
      </c>
      <c r="N706" s="3" t="s">
        <v>481</v>
      </c>
      <c r="P706" s="3" t="s">
        <v>64</v>
      </c>
      <c r="Q706" s="2" t="s">
        <v>7139</v>
      </c>
      <c r="R706" s="3" t="s">
        <v>65</v>
      </c>
      <c r="S706" s="4">
        <v>5</v>
      </c>
      <c r="T706" s="4">
        <v>5</v>
      </c>
      <c r="U706" s="5" t="s">
        <v>5252</v>
      </c>
      <c r="V706" s="5" t="s">
        <v>5252</v>
      </c>
      <c r="W706" s="5" t="s">
        <v>67</v>
      </c>
      <c r="X706" s="5" t="s">
        <v>67</v>
      </c>
      <c r="Y706" s="4">
        <v>191</v>
      </c>
      <c r="Z706" s="4">
        <v>11</v>
      </c>
      <c r="AA706" s="4">
        <v>16</v>
      </c>
      <c r="AB706" s="4">
        <v>1</v>
      </c>
      <c r="AC706" s="4">
        <v>4</v>
      </c>
      <c r="AD706" s="4">
        <v>86</v>
      </c>
      <c r="AE706" s="4">
        <v>92</v>
      </c>
      <c r="AF706" s="4">
        <v>0</v>
      </c>
      <c r="AG706" s="4">
        <v>2</v>
      </c>
      <c r="AH706" s="4">
        <v>80</v>
      </c>
      <c r="AI706" s="4">
        <v>83</v>
      </c>
      <c r="AJ706" s="4">
        <v>8</v>
      </c>
      <c r="AK706" s="4">
        <v>11</v>
      </c>
      <c r="AL706" s="4">
        <v>52</v>
      </c>
      <c r="AM706" s="4">
        <v>53</v>
      </c>
      <c r="AN706" s="4">
        <v>0</v>
      </c>
      <c r="AO706" s="4">
        <v>0</v>
      </c>
      <c r="AP706" s="4">
        <v>8</v>
      </c>
      <c r="AQ706" s="4">
        <v>12</v>
      </c>
      <c r="AR706" s="3" t="s">
        <v>62</v>
      </c>
      <c r="AS706" s="3" t="s">
        <v>62</v>
      </c>
      <c r="AT706" s="3" t="s">
        <v>62</v>
      </c>
      <c r="AV706" s="6" t="str">
        <f>HYPERLINK("http://mcgill.on.worldcat.org/oclc/35910939","Catalog Record")</f>
        <v>Catalog Record</v>
      </c>
      <c r="AW706" s="6" t="str">
        <f>HYPERLINK("http://www.worldcat.org/oclc/35910939","WorldCat Record")</f>
        <v>WorldCat Record</v>
      </c>
      <c r="AX706" s="3" t="s">
        <v>7140</v>
      </c>
      <c r="AY706" s="3" t="s">
        <v>7141</v>
      </c>
      <c r="AZ706" s="3" t="s">
        <v>7142</v>
      </c>
      <c r="BA706" s="3" t="s">
        <v>7142</v>
      </c>
      <c r="BB706" s="3" t="s">
        <v>7143</v>
      </c>
      <c r="BC706" s="3" t="s">
        <v>102</v>
      </c>
      <c r="BD706" s="3" t="s">
        <v>68</v>
      </c>
      <c r="BE706" s="3" t="s">
        <v>7144</v>
      </c>
      <c r="BF706" s="3" t="s">
        <v>7143</v>
      </c>
      <c r="BG706" s="3" t="s">
        <v>7145</v>
      </c>
    </row>
    <row r="707" spans="1:59" ht="87" x14ac:dyDescent="0.35">
      <c r="A707" s="2" t="s">
        <v>89</v>
      </c>
      <c r="B707" s="2" t="s">
        <v>90</v>
      </c>
      <c r="C707" s="2" t="s">
        <v>7146</v>
      </c>
      <c r="D707" s="2" t="s">
        <v>7147</v>
      </c>
      <c r="E707" s="2" t="s">
        <v>7148</v>
      </c>
      <c r="F707" s="3" t="s">
        <v>7149</v>
      </c>
      <c r="G707" s="3" t="s">
        <v>61</v>
      </c>
      <c r="I707" s="3" t="s">
        <v>62</v>
      </c>
      <c r="J707" s="3" t="s">
        <v>62</v>
      </c>
      <c r="K707" s="3" t="s">
        <v>63</v>
      </c>
      <c r="M707" s="2" t="s">
        <v>7150</v>
      </c>
      <c r="N707" s="3" t="s">
        <v>553</v>
      </c>
      <c r="P707" s="3" t="s">
        <v>64</v>
      </c>
      <c r="Q707" s="2" t="s">
        <v>7151</v>
      </c>
      <c r="R707" s="3" t="s">
        <v>65</v>
      </c>
      <c r="S707" s="4">
        <v>10</v>
      </c>
      <c r="T707" s="4">
        <v>24</v>
      </c>
      <c r="U707" s="5" t="s">
        <v>7152</v>
      </c>
      <c r="V707" s="5" t="s">
        <v>4363</v>
      </c>
      <c r="W707" s="5" t="s">
        <v>67</v>
      </c>
      <c r="X707" s="5" t="s">
        <v>67</v>
      </c>
      <c r="Y707" s="4">
        <v>161</v>
      </c>
      <c r="Z707" s="4">
        <v>11</v>
      </c>
      <c r="AA707" s="4">
        <v>13</v>
      </c>
      <c r="AB707" s="4">
        <v>2</v>
      </c>
      <c r="AC707" s="4">
        <v>4</v>
      </c>
      <c r="AD707" s="4">
        <v>77</v>
      </c>
      <c r="AE707" s="4">
        <v>80</v>
      </c>
      <c r="AF707" s="4">
        <v>0</v>
      </c>
      <c r="AG707" s="4">
        <v>2</v>
      </c>
      <c r="AH707" s="4">
        <v>71</v>
      </c>
      <c r="AI707" s="4">
        <v>72</v>
      </c>
      <c r="AJ707" s="4">
        <v>7</v>
      </c>
      <c r="AK707" s="4">
        <v>9</v>
      </c>
      <c r="AL707" s="4">
        <v>47</v>
      </c>
      <c r="AM707" s="4">
        <v>47</v>
      </c>
      <c r="AN707" s="4">
        <v>0</v>
      </c>
      <c r="AO707" s="4">
        <v>0</v>
      </c>
      <c r="AP707" s="4">
        <v>7</v>
      </c>
      <c r="AQ707" s="4">
        <v>9</v>
      </c>
      <c r="AR707" s="3" t="s">
        <v>62</v>
      </c>
      <c r="AS707" s="3" t="s">
        <v>62</v>
      </c>
      <c r="AT707" s="3" t="s">
        <v>61</v>
      </c>
      <c r="AU707" s="6" t="str">
        <f>HYPERLINK("http://catalog.hathitrust.org/Record/003353027","HathiTrust Record")</f>
        <v>HathiTrust Record</v>
      </c>
      <c r="AV707" s="6" t="str">
        <f>HYPERLINK("http://mcgill.on.worldcat.org/oclc/41118126","Catalog Record")</f>
        <v>Catalog Record</v>
      </c>
      <c r="AW707" s="6" t="str">
        <f>HYPERLINK("http://www.worldcat.org/oclc/41118126","WorldCat Record")</f>
        <v>WorldCat Record</v>
      </c>
      <c r="AX707" s="3" t="s">
        <v>7153</v>
      </c>
      <c r="AY707" s="3" t="s">
        <v>7154</v>
      </c>
      <c r="AZ707" s="3" t="s">
        <v>7155</v>
      </c>
      <c r="BA707" s="3" t="s">
        <v>7155</v>
      </c>
      <c r="BB707" s="3" t="s">
        <v>7156</v>
      </c>
      <c r="BC707" s="3" t="s">
        <v>102</v>
      </c>
      <c r="BD707" s="3" t="s">
        <v>231</v>
      </c>
      <c r="BE707" s="3" t="s">
        <v>7157</v>
      </c>
      <c r="BF707" s="3" t="s">
        <v>7156</v>
      </c>
      <c r="BG707" s="3" t="s">
        <v>7158</v>
      </c>
    </row>
    <row r="708" spans="1:59" ht="87" x14ac:dyDescent="0.35">
      <c r="A708" s="2" t="s">
        <v>89</v>
      </c>
      <c r="B708" s="2" t="s">
        <v>90</v>
      </c>
      <c r="C708" s="2" t="s">
        <v>7146</v>
      </c>
      <c r="D708" s="2" t="s">
        <v>7147</v>
      </c>
      <c r="E708" s="2" t="s">
        <v>7148</v>
      </c>
      <c r="F708" s="3" t="s">
        <v>7159</v>
      </c>
      <c r="G708" s="3" t="s">
        <v>61</v>
      </c>
      <c r="I708" s="3" t="s">
        <v>62</v>
      </c>
      <c r="J708" s="3" t="s">
        <v>62</v>
      </c>
      <c r="K708" s="3" t="s">
        <v>63</v>
      </c>
      <c r="M708" s="2" t="s">
        <v>7150</v>
      </c>
      <c r="N708" s="3" t="s">
        <v>553</v>
      </c>
      <c r="P708" s="3" t="s">
        <v>64</v>
      </c>
      <c r="Q708" s="2" t="s">
        <v>7151</v>
      </c>
      <c r="R708" s="3" t="s">
        <v>65</v>
      </c>
      <c r="S708" s="4">
        <v>14</v>
      </c>
      <c r="T708" s="4">
        <v>24</v>
      </c>
      <c r="U708" s="5" t="s">
        <v>4363</v>
      </c>
      <c r="V708" s="5" t="s">
        <v>4363</v>
      </c>
      <c r="W708" s="5" t="s">
        <v>67</v>
      </c>
      <c r="X708" s="5" t="s">
        <v>67</v>
      </c>
      <c r="Y708" s="4">
        <v>161</v>
      </c>
      <c r="Z708" s="4">
        <v>11</v>
      </c>
      <c r="AA708" s="4">
        <v>13</v>
      </c>
      <c r="AB708" s="4">
        <v>2</v>
      </c>
      <c r="AC708" s="4">
        <v>4</v>
      </c>
      <c r="AD708" s="4">
        <v>77</v>
      </c>
      <c r="AE708" s="4">
        <v>80</v>
      </c>
      <c r="AF708" s="4">
        <v>0</v>
      </c>
      <c r="AG708" s="4">
        <v>2</v>
      </c>
      <c r="AH708" s="4">
        <v>71</v>
      </c>
      <c r="AI708" s="4">
        <v>72</v>
      </c>
      <c r="AJ708" s="4">
        <v>7</v>
      </c>
      <c r="AK708" s="4">
        <v>9</v>
      </c>
      <c r="AL708" s="4">
        <v>47</v>
      </c>
      <c r="AM708" s="4">
        <v>47</v>
      </c>
      <c r="AN708" s="4">
        <v>0</v>
      </c>
      <c r="AO708" s="4">
        <v>0</v>
      </c>
      <c r="AP708" s="4">
        <v>7</v>
      </c>
      <c r="AQ708" s="4">
        <v>9</v>
      </c>
      <c r="AR708" s="3" t="s">
        <v>62</v>
      </c>
      <c r="AS708" s="3" t="s">
        <v>62</v>
      </c>
      <c r="AT708" s="3" t="s">
        <v>61</v>
      </c>
      <c r="AU708" s="6" t="str">
        <f>HYPERLINK("http://catalog.hathitrust.org/Record/003353027","HathiTrust Record")</f>
        <v>HathiTrust Record</v>
      </c>
      <c r="AV708" s="6" t="str">
        <f>HYPERLINK("http://mcgill.on.worldcat.org/oclc/41118126","Catalog Record")</f>
        <v>Catalog Record</v>
      </c>
      <c r="AW708" s="6" t="str">
        <f>HYPERLINK("http://www.worldcat.org/oclc/41118126","WorldCat Record")</f>
        <v>WorldCat Record</v>
      </c>
      <c r="AX708" s="3" t="s">
        <v>7153</v>
      </c>
      <c r="AY708" s="3" t="s">
        <v>7154</v>
      </c>
      <c r="AZ708" s="3" t="s">
        <v>7155</v>
      </c>
      <c r="BA708" s="3" t="s">
        <v>7155</v>
      </c>
      <c r="BB708" s="3" t="s">
        <v>7160</v>
      </c>
      <c r="BC708" s="3" t="s">
        <v>102</v>
      </c>
      <c r="BD708" s="3" t="s">
        <v>231</v>
      </c>
      <c r="BE708" s="3" t="s">
        <v>7157</v>
      </c>
      <c r="BF708" s="3" t="s">
        <v>7160</v>
      </c>
      <c r="BG708" s="3" t="s">
        <v>7161</v>
      </c>
    </row>
    <row r="709" spans="1:59" ht="72.5" x14ac:dyDescent="0.35">
      <c r="A709" s="2" t="s">
        <v>89</v>
      </c>
      <c r="B709" s="2" t="s">
        <v>90</v>
      </c>
      <c r="C709" s="2" t="s">
        <v>7162</v>
      </c>
      <c r="D709" s="2" t="s">
        <v>7163</v>
      </c>
      <c r="E709" s="2" t="s">
        <v>7164</v>
      </c>
      <c r="F709" s="3" t="s">
        <v>7165</v>
      </c>
      <c r="G709" s="3" t="s">
        <v>62</v>
      </c>
      <c r="I709" s="3" t="s">
        <v>62</v>
      </c>
      <c r="J709" s="3" t="s">
        <v>62</v>
      </c>
      <c r="K709" s="3" t="s">
        <v>63</v>
      </c>
      <c r="M709" s="2" t="s">
        <v>7166</v>
      </c>
      <c r="N709" s="3" t="s">
        <v>568</v>
      </c>
      <c r="P709" s="3" t="s">
        <v>64</v>
      </c>
      <c r="Q709" s="2" t="s">
        <v>7167</v>
      </c>
      <c r="R709" s="3" t="s">
        <v>65</v>
      </c>
      <c r="S709" s="4">
        <v>1</v>
      </c>
      <c r="T709" s="4">
        <v>1</v>
      </c>
      <c r="U709" s="5" t="s">
        <v>7168</v>
      </c>
      <c r="V709" s="5" t="s">
        <v>7168</v>
      </c>
      <c r="W709" s="5" t="s">
        <v>67</v>
      </c>
      <c r="X709" s="5" t="s">
        <v>67</v>
      </c>
      <c r="Y709" s="4">
        <v>207</v>
      </c>
      <c r="Z709" s="4">
        <v>12</v>
      </c>
      <c r="AA709" s="4">
        <v>15</v>
      </c>
      <c r="AB709" s="4">
        <v>3</v>
      </c>
      <c r="AC709" s="4">
        <v>5</v>
      </c>
      <c r="AD709" s="4">
        <v>83</v>
      </c>
      <c r="AE709" s="4">
        <v>92</v>
      </c>
      <c r="AF709" s="4">
        <v>1</v>
      </c>
      <c r="AG709" s="4">
        <v>3</v>
      </c>
      <c r="AH709" s="4">
        <v>78</v>
      </c>
      <c r="AI709" s="4">
        <v>85</v>
      </c>
      <c r="AJ709" s="4">
        <v>8</v>
      </c>
      <c r="AK709" s="4">
        <v>10</v>
      </c>
      <c r="AL709" s="4">
        <v>47</v>
      </c>
      <c r="AM709" s="4">
        <v>51</v>
      </c>
      <c r="AN709" s="4">
        <v>0</v>
      </c>
      <c r="AO709" s="4">
        <v>0</v>
      </c>
      <c r="AP709" s="4">
        <v>8</v>
      </c>
      <c r="AQ709" s="4">
        <v>11</v>
      </c>
      <c r="AR709" s="3" t="s">
        <v>62</v>
      </c>
      <c r="AS709" s="3" t="s">
        <v>62</v>
      </c>
      <c r="AT709" s="3" t="s">
        <v>62</v>
      </c>
      <c r="AV709" s="6" t="str">
        <f>HYPERLINK("http://mcgill.on.worldcat.org/oclc/42383486","Catalog Record")</f>
        <v>Catalog Record</v>
      </c>
      <c r="AW709" s="6" t="str">
        <f>HYPERLINK("http://www.worldcat.org/oclc/42383486","WorldCat Record")</f>
        <v>WorldCat Record</v>
      </c>
      <c r="AX709" s="3" t="s">
        <v>7169</v>
      </c>
      <c r="AY709" s="3" t="s">
        <v>7170</v>
      </c>
      <c r="AZ709" s="3" t="s">
        <v>7171</v>
      </c>
      <c r="BA709" s="3" t="s">
        <v>7171</v>
      </c>
      <c r="BB709" s="3" t="s">
        <v>7172</v>
      </c>
      <c r="BC709" s="3" t="s">
        <v>102</v>
      </c>
      <c r="BD709" s="3" t="s">
        <v>68</v>
      </c>
      <c r="BE709" s="3" t="s">
        <v>7173</v>
      </c>
      <c r="BF709" s="3" t="s">
        <v>7172</v>
      </c>
      <c r="BG709" s="3" t="s">
        <v>7174</v>
      </c>
    </row>
    <row r="710" spans="1:59" ht="72.5" x14ac:dyDescent="0.35">
      <c r="A710" s="2" t="s">
        <v>89</v>
      </c>
      <c r="B710" s="2" t="s">
        <v>90</v>
      </c>
      <c r="C710" s="2" t="s">
        <v>7175</v>
      </c>
      <c r="D710" s="2" t="s">
        <v>7176</v>
      </c>
      <c r="E710" s="2" t="s">
        <v>7177</v>
      </c>
      <c r="F710" s="3" t="s">
        <v>7178</v>
      </c>
      <c r="G710" s="3" t="s">
        <v>62</v>
      </c>
      <c r="I710" s="3" t="s">
        <v>62</v>
      </c>
      <c r="J710" s="3" t="s">
        <v>62</v>
      </c>
      <c r="K710" s="3" t="s">
        <v>63</v>
      </c>
      <c r="M710" s="2" t="s">
        <v>7179</v>
      </c>
      <c r="N710" s="3" t="s">
        <v>568</v>
      </c>
      <c r="P710" s="3" t="s">
        <v>64</v>
      </c>
      <c r="Q710" s="2" t="s">
        <v>7180</v>
      </c>
      <c r="R710" s="3" t="s">
        <v>65</v>
      </c>
      <c r="S710" s="4">
        <v>5</v>
      </c>
      <c r="T710" s="4">
        <v>5</v>
      </c>
      <c r="U710" s="5" t="s">
        <v>7181</v>
      </c>
      <c r="V710" s="5" t="s">
        <v>7181</v>
      </c>
      <c r="W710" s="5" t="s">
        <v>67</v>
      </c>
      <c r="X710" s="5" t="s">
        <v>67</v>
      </c>
      <c r="Y710" s="4">
        <v>212</v>
      </c>
      <c r="Z710" s="4">
        <v>13</v>
      </c>
      <c r="AA710" s="4">
        <v>17</v>
      </c>
      <c r="AB710" s="4">
        <v>2</v>
      </c>
      <c r="AC710" s="4">
        <v>4</v>
      </c>
      <c r="AD710" s="4">
        <v>88</v>
      </c>
      <c r="AE710" s="4">
        <v>95</v>
      </c>
      <c r="AF710" s="4">
        <v>0</v>
      </c>
      <c r="AG710" s="4">
        <v>1</v>
      </c>
      <c r="AH710" s="4">
        <v>81</v>
      </c>
      <c r="AI710" s="4">
        <v>86</v>
      </c>
      <c r="AJ710" s="4">
        <v>8</v>
      </c>
      <c r="AK710" s="4">
        <v>10</v>
      </c>
      <c r="AL710" s="4">
        <v>53</v>
      </c>
      <c r="AM710" s="4">
        <v>55</v>
      </c>
      <c r="AN710" s="4">
        <v>0</v>
      </c>
      <c r="AO710" s="4">
        <v>0</v>
      </c>
      <c r="AP710" s="4">
        <v>8</v>
      </c>
      <c r="AQ710" s="4">
        <v>11</v>
      </c>
      <c r="AR710" s="3" t="s">
        <v>62</v>
      </c>
      <c r="AS710" s="3" t="s">
        <v>62</v>
      </c>
      <c r="AT710" s="3" t="s">
        <v>62</v>
      </c>
      <c r="AV710" s="6" t="str">
        <f>HYPERLINK("http://mcgill.on.worldcat.org/oclc/45482344","Catalog Record")</f>
        <v>Catalog Record</v>
      </c>
      <c r="AW710" s="6" t="str">
        <f>HYPERLINK("http://www.worldcat.org/oclc/45482344","WorldCat Record")</f>
        <v>WorldCat Record</v>
      </c>
      <c r="AX710" s="3" t="s">
        <v>7182</v>
      </c>
      <c r="AY710" s="3" t="s">
        <v>7183</v>
      </c>
      <c r="AZ710" s="3" t="s">
        <v>7184</v>
      </c>
      <c r="BA710" s="3" t="s">
        <v>7184</v>
      </c>
      <c r="BB710" s="3" t="s">
        <v>7185</v>
      </c>
      <c r="BC710" s="3" t="s">
        <v>102</v>
      </c>
      <c r="BD710" s="3" t="s">
        <v>68</v>
      </c>
      <c r="BE710" s="3" t="s">
        <v>7186</v>
      </c>
      <c r="BF710" s="3" t="s">
        <v>7185</v>
      </c>
      <c r="BG710" s="3" t="s">
        <v>7187</v>
      </c>
    </row>
    <row r="711" spans="1:59" ht="72.5" x14ac:dyDescent="0.35">
      <c r="A711" s="2" t="s">
        <v>89</v>
      </c>
      <c r="B711" s="2" t="s">
        <v>90</v>
      </c>
      <c r="C711" s="2" t="s">
        <v>7188</v>
      </c>
      <c r="D711" s="2" t="s">
        <v>7189</v>
      </c>
      <c r="E711" s="2" t="s">
        <v>7190</v>
      </c>
      <c r="F711" s="3" t="s">
        <v>7191</v>
      </c>
      <c r="G711" s="3" t="s">
        <v>62</v>
      </c>
      <c r="I711" s="3" t="s">
        <v>62</v>
      </c>
      <c r="J711" s="3" t="s">
        <v>62</v>
      </c>
      <c r="K711" s="3" t="s">
        <v>63</v>
      </c>
      <c r="M711" s="2" t="s">
        <v>7192</v>
      </c>
      <c r="N711" s="3" t="s">
        <v>2975</v>
      </c>
      <c r="P711" s="3" t="s">
        <v>64</v>
      </c>
      <c r="Q711" s="2" t="s">
        <v>7193</v>
      </c>
      <c r="R711" s="3" t="s">
        <v>65</v>
      </c>
      <c r="S711" s="4">
        <v>4</v>
      </c>
      <c r="T711" s="4">
        <v>4</v>
      </c>
      <c r="U711" s="5" t="s">
        <v>7194</v>
      </c>
      <c r="V711" s="5" t="s">
        <v>7194</v>
      </c>
      <c r="W711" s="5" t="s">
        <v>67</v>
      </c>
      <c r="X711" s="5" t="s">
        <v>67</v>
      </c>
      <c r="Y711" s="4">
        <v>196</v>
      </c>
      <c r="Z711" s="4">
        <v>10</v>
      </c>
      <c r="AA711" s="4">
        <v>15</v>
      </c>
      <c r="AB711" s="4">
        <v>1</v>
      </c>
      <c r="AC711" s="4">
        <v>4</v>
      </c>
      <c r="AD711" s="4">
        <v>86</v>
      </c>
      <c r="AE711" s="4">
        <v>95</v>
      </c>
      <c r="AF711" s="4">
        <v>0</v>
      </c>
      <c r="AG711" s="4">
        <v>3</v>
      </c>
      <c r="AH711" s="4">
        <v>82</v>
      </c>
      <c r="AI711" s="4">
        <v>87</v>
      </c>
      <c r="AJ711" s="4">
        <v>7</v>
      </c>
      <c r="AK711" s="4">
        <v>11</v>
      </c>
      <c r="AL711" s="4">
        <v>50</v>
      </c>
      <c r="AM711" s="4">
        <v>52</v>
      </c>
      <c r="AN711" s="4">
        <v>0</v>
      </c>
      <c r="AO711" s="4">
        <v>0</v>
      </c>
      <c r="AP711" s="4">
        <v>7</v>
      </c>
      <c r="AQ711" s="4">
        <v>11</v>
      </c>
      <c r="AR711" s="3" t="s">
        <v>62</v>
      </c>
      <c r="AS711" s="3" t="s">
        <v>62</v>
      </c>
      <c r="AT711" s="3" t="s">
        <v>62</v>
      </c>
      <c r="AV711" s="6" t="str">
        <f>HYPERLINK("http://mcgill.on.worldcat.org/oclc/46884182","Catalog Record")</f>
        <v>Catalog Record</v>
      </c>
      <c r="AW711" s="6" t="str">
        <f>HYPERLINK("http://www.worldcat.org/oclc/46884182","WorldCat Record")</f>
        <v>WorldCat Record</v>
      </c>
      <c r="AX711" s="3" t="s">
        <v>7195</v>
      </c>
      <c r="AY711" s="3" t="s">
        <v>7196</v>
      </c>
      <c r="AZ711" s="3" t="s">
        <v>7197</v>
      </c>
      <c r="BA711" s="3" t="s">
        <v>7197</v>
      </c>
      <c r="BB711" s="3" t="s">
        <v>7198</v>
      </c>
      <c r="BC711" s="3" t="s">
        <v>102</v>
      </c>
      <c r="BD711" s="3" t="s">
        <v>68</v>
      </c>
      <c r="BE711" s="3" t="s">
        <v>7199</v>
      </c>
      <c r="BF711" s="3" t="s">
        <v>7198</v>
      </c>
      <c r="BG711" s="3" t="s">
        <v>7200</v>
      </c>
    </row>
    <row r="712" spans="1:59" ht="72.5" x14ac:dyDescent="0.35">
      <c r="A712" s="2" t="s">
        <v>89</v>
      </c>
      <c r="B712" s="2" t="s">
        <v>90</v>
      </c>
      <c r="C712" s="2" t="s">
        <v>7201</v>
      </c>
      <c r="D712" s="2" t="s">
        <v>7202</v>
      </c>
      <c r="E712" s="2" t="s">
        <v>7203</v>
      </c>
      <c r="F712" s="3" t="s">
        <v>7204</v>
      </c>
      <c r="G712" s="3" t="s">
        <v>62</v>
      </c>
      <c r="I712" s="3" t="s">
        <v>62</v>
      </c>
      <c r="J712" s="3" t="s">
        <v>62</v>
      </c>
      <c r="K712" s="3" t="s">
        <v>63</v>
      </c>
      <c r="L712" s="2" t="s">
        <v>7205</v>
      </c>
      <c r="M712" s="2" t="s">
        <v>7206</v>
      </c>
      <c r="N712" s="3" t="s">
        <v>87</v>
      </c>
      <c r="P712" s="3" t="s">
        <v>64</v>
      </c>
      <c r="Q712" s="2" t="s">
        <v>7207</v>
      </c>
      <c r="R712" s="3" t="s">
        <v>65</v>
      </c>
      <c r="S712" s="4">
        <v>22</v>
      </c>
      <c r="T712" s="4">
        <v>22</v>
      </c>
      <c r="U712" s="5" t="s">
        <v>4966</v>
      </c>
      <c r="V712" s="5" t="s">
        <v>4966</v>
      </c>
      <c r="W712" s="5" t="s">
        <v>67</v>
      </c>
      <c r="X712" s="5" t="s">
        <v>67</v>
      </c>
      <c r="Y712" s="4">
        <v>503</v>
      </c>
      <c r="Z712" s="4">
        <v>34</v>
      </c>
      <c r="AA712" s="4">
        <v>41</v>
      </c>
      <c r="AB712" s="4">
        <v>2</v>
      </c>
      <c r="AC712" s="4">
        <v>6</v>
      </c>
      <c r="AD712" s="4">
        <v>116</v>
      </c>
      <c r="AE712" s="4">
        <v>124</v>
      </c>
      <c r="AF712" s="4">
        <v>1</v>
      </c>
      <c r="AG712" s="4">
        <v>4</v>
      </c>
      <c r="AH712" s="4">
        <v>95</v>
      </c>
      <c r="AI712" s="4">
        <v>99</v>
      </c>
      <c r="AJ712" s="4">
        <v>16</v>
      </c>
      <c r="AK712" s="4">
        <v>21</v>
      </c>
      <c r="AL712" s="4">
        <v>49</v>
      </c>
      <c r="AM712" s="4">
        <v>50</v>
      </c>
      <c r="AN712" s="4">
        <v>0</v>
      </c>
      <c r="AO712" s="4">
        <v>0</v>
      </c>
      <c r="AP712" s="4">
        <v>27</v>
      </c>
      <c r="AQ712" s="4">
        <v>32</v>
      </c>
      <c r="AR712" s="3" t="s">
        <v>62</v>
      </c>
      <c r="AS712" s="3" t="s">
        <v>62</v>
      </c>
      <c r="AT712" s="3" t="s">
        <v>61</v>
      </c>
      <c r="AU712" s="6" t="str">
        <f>HYPERLINK("http://catalog.hathitrust.org/Record/003856399","HathiTrust Record")</f>
        <v>HathiTrust Record</v>
      </c>
      <c r="AV712" s="6" t="str">
        <f>HYPERLINK("http://mcgill.on.worldcat.org/oclc/4496813","Catalog Record")</f>
        <v>Catalog Record</v>
      </c>
      <c r="AW712" s="6" t="str">
        <f>HYPERLINK("http://www.worldcat.org/oclc/4496813","WorldCat Record")</f>
        <v>WorldCat Record</v>
      </c>
      <c r="AX712" s="3" t="s">
        <v>7208</v>
      </c>
      <c r="AY712" s="3" t="s">
        <v>7209</v>
      </c>
      <c r="AZ712" s="3" t="s">
        <v>7210</v>
      </c>
      <c r="BA712" s="3" t="s">
        <v>7210</v>
      </c>
      <c r="BB712" s="3" t="s">
        <v>7211</v>
      </c>
      <c r="BC712" s="3" t="s">
        <v>102</v>
      </c>
      <c r="BD712" s="3" t="s">
        <v>68</v>
      </c>
      <c r="BE712" s="3" t="s">
        <v>7212</v>
      </c>
      <c r="BF712" s="3" t="s">
        <v>7211</v>
      </c>
      <c r="BG712" s="3" t="s">
        <v>7213</v>
      </c>
    </row>
    <row r="713" spans="1:59" ht="72.5" x14ac:dyDescent="0.35">
      <c r="A713" s="2" t="s">
        <v>89</v>
      </c>
      <c r="B713" s="2" t="s">
        <v>90</v>
      </c>
      <c r="C713" s="2" t="s">
        <v>7214</v>
      </c>
      <c r="D713" s="2" t="s">
        <v>7215</v>
      </c>
      <c r="E713" s="2" t="s">
        <v>7216</v>
      </c>
      <c r="F713" s="3" t="s">
        <v>7217</v>
      </c>
      <c r="G713" s="3" t="s">
        <v>62</v>
      </c>
      <c r="I713" s="3" t="s">
        <v>62</v>
      </c>
      <c r="J713" s="3" t="s">
        <v>62</v>
      </c>
      <c r="K713" s="3" t="s">
        <v>63</v>
      </c>
      <c r="M713" s="2" t="s">
        <v>7218</v>
      </c>
      <c r="N713" s="3" t="s">
        <v>201</v>
      </c>
      <c r="P713" s="3" t="s">
        <v>64</v>
      </c>
      <c r="Q713" s="2" t="s">
        <v>7219</v>
      </c>
      <c r="R713" s="3" t="s">
        <v>65</v>
      </c>
      <c r="S713" s="4">
        <v>16</v>
      </c>
      <c r="T713" s="4">
        <v>16</v>
      </c>
      <c r="U713" s="5" t="s">
        <v>7220</v>
      </c>
      <c r="V713" s="5" t="s">
        <v>7220</v>
      </c>
      <c r="W713" s="5" t="s">
        <v>67</v>
      </c>
      <c r="X713" s="5" t="s">
        <v>67</v>
      </c>
      <c r="Y713" s="4">
        <v>397</v>
      </c>
      <c r="Z713" s="4">
        <v>31</v>
      </c>
      <c r="AA713" s="4">
        <v>33</v>
      </c>
      <c r="AB713" s="4">
        <v>2</v>
      </c>
      <c r="AC713" s="4">
        <v>3</v>
      </c>
      <c r="AD713" s="4">
        <v>117</v>
      </c>
      <c r="AE713" s="4">
        <v>119</v>
      </c>
      <c r="AF713" s="4">
        <v>1</v>
      </c>
      <c r="AG713" s="4">
        <v>1</v>
      </c>
      <c r="AH713" s="4">
        <v>99</v>
      </c>
      <c r="AI713" s="4">
        <v>100</v>
      </c>
      <c r="AJ713" s="4">
        <v>17</v>
      </c>
      <c r="AK713" s="4">
        <v>17</v>
      </c>
      <c r="AL713" s="4">
        <v>51</v>
      </c>
      <c r="AM713" s="4">
        <v>52</v>
      </c>
      <c r="AN713" s="4">
        <v>0</v>
      </c>
      <c r="AO713" s="4">
        <v>0</v>
      </c>
      <c r="AP713" s="4">
        <v>27</v>
      </c>
      <c r="AQ713" s="4">
        <v>28</v>
      </c>
      <c r="AR713" s="3" t="s">
        <v>62</v>
      </c>
      <c r="AS713" s="3" t="s">
        <v>62</v>
      </c>
      <c r="AT713" s="3" t="s">
        <v>62</v>
      </c>
      <c r="AV713" s="6" t="str">
        <f>HYPERLINK("http://mcgill.on.worldcat.org/oclc/2600898","Catalog Record")</f>
        <v>Catalog Record</v>
      </c>
      <c r="AW713" s="6" t="str">
        <f>HYPERLINK("http://www.worldcat.org/oclc/2600898","WorldCat Record")</f>
        <v>WorldCat Record</v>
      </c>
      <c r="AX713" s="3" t="s">
        <v>7221</v>
      </c>
      <c r="AY713" s="3" t="s">
        <v>7222</v>
      </c>
      <c r="AZ713" s="3" t="s">
        <v>7223</v>
      </c>
      <c r="BA713" s="3" t="s">
        <v>7223</v>
      </c>
      <c r="BB713" s="3" t="s">
        <v>7224</v>
      </c>
      <c r="BC713" s="3" t="s">
        <v>102</v>
      </c>
      <c r="BD713" s="3" t="s">
        <v>68</v>
      </c>
      <c r="BE713" s="3" t="s">
        <v>7225</v>
      </c>
      <c r="BF713" s="3" t="s">
        <v>7224</v>
      </c>
      <c r="BG713" s="3" t="s">
        <v>7226</v>
      </c>
    </row>
    <row r="714" spans="1:59" ht="72.5" x14ac:dyDescent="0.35">
      <c r="A714" s="2" t="s">
        <v>89</v>
      </c>
      <c r="B714" s="2" t="s">
        <v>90</v>
      </c>
      <c r="C714" s="2" t="s">
        <v>7227</v>
      </c>
      <c r="D714" s="2" t="s">
        <v>7228</v>
      </c>
      <c r="E714" s="2" t="s">
        <v>7229</v>
      </c>
      <c r="F714" s="3" t="s">
        <v>7230</v>
      </c>
      <c r="G714" s="3" t="s">
        <v>62</v>
      </c>
      <c r="I714" s="3" t="s">
        <v>61</v>
      </c>
      <c r="J714" s="3" t="s">
        <v>62</v>
      </c>
      <c r="K714" s="3" t="s">
        <v>63</v>
      </c>
      <c r="L714" s="2" t="s">
        <v>7231</v>
      </c>
      <c r="M714" s="2" t="s">
        <v>7232</v>
      </c>
      <c r="N714" s="3" t="s">
        <v>285</v>
      </c>
      <c r="P714" s="3" t="s">
        <v>64</v>
      </c>
      <c r="Q714" s="2" t="s">
        <v>7233</v>
      </c>
      <c r="R714" s="3" t="s">
        <v>65</v>
      </c>
      <c r="S714" s="4">
        <v>0</v>
      </c>
      <c r="T714" s="4">
        <v>1</v>
      </c>
      <c r="V714" s="5" t="s">
        <v>1407</v>
      </c>
      <c r="W714" s="5" t="s">
        <v>67</v>
      </c>
      <c r="X714" s="5" t="s">
        <v>67</v>
      </c>
      <c r="Y714" s="4">
        <v>343</v>
      </c>
      <c r="Z714" s="4">
        <v>26</v>
      </c>
      <c r="AA714" s="4">
        <v>32</v>
      </c>
      <c r="AB714" s="4">
        <v>1</v>
      </c>
      <c r="AC714" s="4">
        <v>6</v>
      </c>
      <c r="AD714" s="4">
        <v>101</v>
      </c>
      <c r="AE714" s="4">
        <v>108</v>
      </c>
      <c r="AF714" s="4">
        <v>0</v>
      </c>
      <c r="AG714" s="4">
        <v>4</v>
      </c>
      <c r="AH714" s="4">
        <v>87</v>
      </c>
      <c r="AI714" s="4">
        <v>89</v>
      </c>
      <c r="AJ714" s="4">
        <v>14</v>
      </c>
      <c r="AK714" s="4">
        <v>17</v>
      </c>
      <c r="AL714" s="4">
        <v>43</v>
      </c>
      <c r="AM714" s="4">
        <v>45</v>
      </c>
      <c r="AN714" s="4">
        <v>0</v>
      </c>
      <c r="AO714" s="4">
        <v>0</v>
      </c>
      <c r="AP714" s="4">
        <v>20</v>
      </c>
      <c r="AQ714" s="4">
        <v>24</v>
      </c>
      <c r="AR714" s="3" t="s">
        <v>62</v>
      </c>
      <c r="AS714" s="3" t="s">
        <v>62</v>
      </c>
      <c r="AT714" s="3" t="s">
        <v>62</v>
      </c>
      <c r="AV714" s="6" t="str">
        <f>HYPERLINK("http://mcgill.on.worldcat.org/oclc/5941722","Catalog Record")</f>
        <v>Catalog Record</v>
      </c>
      <c r="AW714" s="6" t="str">
        <f>HYPERLINK("http://www.worldcat.org/oclc/5941722","WorldCat Record")</f>
        <v>WorldCat Record</v>
      </c>
      <c r="AX714" s="3" t="s">
        <v>7234</v>
      </c>
      <c r="AY714" s="3" t="s">
        <v>7235</v>
      </c>
      <c r="AZ714" s="3" t="s">
        <v>7236</v>
      </c>
      <c r="BA714" s="3" t="s">
        <v>7236</v>
      </c>
      <c r="BB714" s="3" t="s">
        <v>7237</v>
      </c>
      <c r="BC714" s="3" t="s">
        <v>102</v>
      </c>
      <c r="BD714" s="3" t="s">
        <v>68</v>
      </c>
      <c r="BE714" s="3" t="s">
        <v>7238</v>
      </c>
      <c r="BF714" s="3" t="s">
        <v>7237</v>
      </c>
      <c r="BG714" s="3" t="s">
        <v>7239</v>
      </c>
    </row>
    <row r="715" spans="1:59" ht="72.5" x14ac:dyDescent="0.35">
      <c r="A715" s="2" t="s">
        <v>89</v>
      </c>
      <c r="B715" s="2" t="s">
        <v>90</v>
      </c>
      <c r="C715" s="2" t="s">
        <v>7240</v>
      </c>
      <c r="D715" s="2" t="s">
        <v>7241</v>
      </c>
      <c r="E715" s="2" t="s">
        <v>7242</v>
      </c>
      <c r="F715" s="3" t="s">
        <v>7243</v>
      </c>
      <c r="G715" s="3" t="s">
        <v>62</v>
      </c>
      <c r="I715" s="3" t="s">
        <v>62</v>
      </c>
      <c r="J715" s="3" t="s">
        <v>62</v>
      </c>
      <c r="K715" s="3" t="s">
        <v>63</v>
      </c>
      <c r="L715" s="2" t="s">
        <v>7244</v>
      </c>
      <c r="M715" s="2" t="s">
        <v>7245</v>
      </c>
      <c r="N715" s="3" t="s">
        <v>355</v>
      </c>
      <c r="P715" s="3" t="s">
        <v>64</v>
      </c>
      <c r="Q715" s="2" t="s">
        <v>7246</v>
      </c>
      <c r="R715" s="3" t="s">
        <v>65</v>
      </c>
      <c r="S715" s="4">
        <v>6</v>
      </c>
      <c r="T715" s="4">
        <v>6</v>
      </c>
      <c r="U715" s="5" t="s">
        <v>3331</v>
      </c>
      <c r="V715" s="5" t="s">
        <v>3331</v>
      </c>
      <c r="W715" s="5" t="s">
        <v>67</v>
      </c>
      <c r="X715" s="5" t="s">
        <v>67</v>
      </c>
      <c r="Y715" s="4">
        <v>408</v>
      </c>
      <c r="Z715" s="4">
        <v>30</v>
      </c>
      <c r="AA715" s="4">
        <v>38</v>
      </c>
      <c r="AB715" s="4">
        <v>2</v>
      </c>
      <c r="AC715" s="4">
        <v>6</v>
      </c>
      <c r="AD715" s="4">
        <v>111</v>
      </c>
      <c r="AE715" s="4">
        <v>121</v>
      </c>
      <c r="AF715" s="4">
        <v>1</v>
      </c>
      <c r="AG715" s="4">
        <v>3</v>
      </c>
      <c r="AH715" s="4">
        <v>92</v>
      </c>
      <c r="AI715" s="4">
        <v>97</v>
      </c>
      <c r="AJ715" s="4">
        <v>16</v>
      </c>
      <c r="AK715" s="4">
        <v>20</v>
      </c>
      <c r="AL715" s="4">
        <v>49</v>
      </c>
      <c r="AM715" s="4">
        <v>53</v>
      </c>
      <c r="AN715" s="4">
        <v>0</v>
      </c>
      <c r="AO715" s="4">
        <v>0</v>
      </c>
      <c r="AP715" s="4">
        <v>24</v>
      </c>
      <c r="AQ715" s="4">
        <v>29</v>
      </c>
      <c r="AR715" s="3" t="s">
        <v>62</v>
      </c>
      <c r="AS715" s="3" t="s">
        <v>62</v>
      </c>
      <c r="AT715" s="3" t="s">
        <v>62</v>
      </c>
      <c r="AV715" s="6" t="str">
        <f>HYPERLINK("http://mcgill.on.worldcat.org/oclc/9687299","Catalog Record")</f>
        <v>Catalog Record</v>
      </c>
      <c r="AW715" s="6" t="str">
        <f>HYPERLINK("http://www.worldcat.org/oclc/9687299","WorldCat Record")</f>
        <v>WorldCat Record</v>
      </c>
      <c r="AX715" s="3" t="s">
        <v>7247</v>
      </c>
      <c r="AY715" s="3" t="s">
        <v>7248</v>
      </c>
      <c r="AZ715" s="3" t="s">
        <v>7249</v>
      </c>
      <c r="BA715" s="3" t="s">
        <v>7249</v>
      </c>
      <c r="BB715" s="3" t="s">
        <v>7250</v>
      </c>
      <c r="BC715" s="3" t="s">
        <v>102</v>
      </c>
      <c r="BD715" s="3" t="s">
        <v>68</v>
      </c>
      <c r="BE715" s="3" t="s">
        <v>7251</v>
      </c>
      <c r="BF715" s="3" t="s">
        <v>7250</v>
      </c>
      <c r="BG715" s="3" t="s">
        <v>7252</v>
      </c>
    </row>
    <row r="716" spans="1:59" ht="72.5" x14ac:dyDescent="0.35">
      <c r="A716" s="2" t="s">
        <v>89</v>
      </c>
      <c r="B716" s="2" t="s">
        <v>90</v>
      </c>
      <c r="C716" s="2" t="s">
        <v>7253</v>
      </c>
      <c r="D716" s="2" t="s">
        <v>7254</v>
      </c>
      <c r="E716" s="2" t="s">
        <v>7255</v>
      </c>
      <c r="F716" s="3" t="s">
        <v>7256</v>
      </c>
      <c r="G716" s="3" t="s">
        <v>62</v>
      </c>
      <c r="I716" s="3" t="s">
        <v>61</v>
      </c>
      <c r="J716" s="3" t="s">
        <v>62</v>
      </c>
      <c r="K716" s="3" t="s">
        <v>63</v>
      </c>
      <c r="L716" s="2" t="s">
        <v>7257</v>
      </c>
      <c r="M716" s="2" t="s">
        <v>7258</v>
      </c>
      <c r="N716" s="3" t="s">
        <v>1482</v>
      </c>
      <c r="P716" s="3" t="s">
        <v>64</v>
      </c>
      <c r="Q716" s="2" t="s">
        <v>7259</v>
      </c>
      <c r="R716" s="3" t="s">
        <v>65</v>
      </c>
      <c r="S716" s="4">
        <v>2</v>
      </c>
      <c r="T716" s="4">
        <v>2</v>
      </c>
      <c r="U716" s="5" t="s">
        <v>7194</v>
      </c>
      <c r="V716" s="5" t="s">
        <v>7194</v>
      </c>
      <c r="W716" s="5" t="s">
        <v>67</v>
      </c>
      <c r="X716" s="5" t="s">
        <v>67</v>
      </c>
      <c r="Y716" s="4">
        <v>268</v>
      </c>
      <c r="Z716" s="4">
        <v>22</v>
      </c>
      <c r="AA716" s="4">
        <v>25</v>
      </c>
      <c r="AB716" s="4">
        <v>1</v>
      </c>
      <c r="AC716" s="4">
        <v>4</v>
      </c>
      <c r="AD716" s="4">
        <v>103</v>
      </c>
      <c r="AE716" s="4">
        <v>106</v>
      </c>
      <c r="AF716" s="4">
        <v>0</v>
      </c>
      <c r="AG716" s="4">
        <v>3</v>
      </c>
      <c r="AH716" s="4">
        <v>87</v>
      </c>
      <c r="AI716" s="4">
        <v>88</v>
      </c>
      <c r="AJ716" s="4">
        <v>16</v>
      </c>
      <c r="AK716" s="4">
        <v>19</v>
      </c>
      <c r="AL716" s="4">
        <v>51</v>
      </c>
      <c r="AM716" s="4">
        <v>51</v>
      </c>
      <c r="AN716" s="4">
        <v>0</v>
      </c>
      <c r="AO716" s="4">
        <v>0</v>
      </c>
      <c r="AP716" s="4">
        <v>19</v>
      </c>
      <c r="AQ716" s="4">
        <v>22</v>
      </c>
      <c r="AR716" s="3" t="s">
        <v>62</v>
      </c>
      <c r="AS716" s="3" t="s">
        <v>62</v>
      </c>
      <c r="AT716" s="3" t="s">
        <v>61</v>
      </c>
      <c r="AU716" s="6" t="str">
        <f>HYPERLINK("http://catalog.hathitrust.org/Record/000829723","HathiTrust Record")</f>
        <v>HathiTrust Record</v>
      </c>
      <c r="AV716" s="6" t="str">
        <f>HYPERLINK("http://mcgill.on.worldcat.org/oclc/13008439","Catalog Record")</f>
        <v>Catalog Record</v>
      </c>
      <c r="AW716" s="6" t="str">
        <f>HYPERLINK("http://www.worldcat.org/oclc/13008439","WorldCat Record")</f>
        <v>WorldCat Record</v>
      </c>
      <c r="AX716" s="3" t="s">
        <v>7260</v>
      </c>
      <c r="AY716" s="3" t="s">
        <v>7261</v>
      </c>
      <c r="AZ716" s="3" t="s">
        <v>7262</v>
      </c>
      <c r="BA716" s="3" t="s">
        <v>7262</v>
      </c>
      <c r="BB716" s="3" t="s">
        <v>7263</v>
      </c>
      <c r="BC716" s="3" t="s">
        <v>102</v>
      </c>
      <c r="BD716" s="3" t="s">
        <v>68</v>
      </c>
      <c r="BE716" s="3" t="s">
        <v>7264</v>
      </c>
      <c r="BF716" s="3" t="s">
        <v>7263</v>
      </c>
      <c r="BG716" s="3" t="s">
        <v>7265</v>
      </c>
    </row>
    <row r="717" spans="1:59" ht="72.5" x14ac:dyDescent="0.35">
      <c r="A717" s="2" t="s">
        <v>89</v>
      </c>
      <c r="B717" s="2" t="s">
        <v>90</v>
      </c>
      <c r="C717" s="2" t="s">
        <v>7266</v>
      </c>
      <c r="D717" s="2" t="s">
        <v>7267</v>
      </c>
      <c r="E717" s="2" t="s">
        <v>7268</v>
      </c>
      <c r="F717" s="3" t="s">
        <v>7269</v>
      </c>
      <c r="G717" s="3" t="s">
        <v>62</v>
      </c>
      <c r="I717" s="3" t="s">
        <v>61</v>
      </c>
      <c r="J717" s="3" t="s">
        <v>62</v>
      </c>
      <c r="K717" s="3" t="s">
        <v>63</v>
      </c>
      <c r="M717" s="2" t="s">
        <v>7270</v>
      </c>
      <c r="N717" s="3" t="s">
        <v>1482</v>
      </c>
      <c r="P717" s="3" t="s">
        <v>64</v>
      </c>
      <c r="Q717" s="2" t="s">
        <v>7271</v>
      </c>
      <c r="R717" s="3" t="s">
        <v>65</v>
      </c>
      <c r="S717" s="4">
        <v>15</v>
      </c>
      <c r="T717" s="4">
        <v>24</v>
      </c>
      <c r="U717" s="5" t="s">
        <v>7272</v>
      </c>
      <c r="V717" s="5" t="s">
        <v>7272</v>
      </c>
      <c r="W717" s="5" t="s">
        <v>67</v>
      </c>
      <c r="X717" s="5" t="s">
        <v>67</v>
      </c>
      <c r="Y717" s="4">
        <v>301</v>
      </c>
      <c r="Z717" s="4">
        <v>22</v>
      </c>
      <c r="AA717" s="4">
        <v>26</v>
      </c>
      <c r="AB717" s="4">
        <v>1</v>
      </c>
      <c r="AC717" s="4">
        <v>4</v>
      </c>
      <c r="AD717" s="4">
        <v>102</v>
      </c>
      <c r="AE717" s="4">
        <v>105</v>
      </c>
      <c r="AF717" s="4">
        <v>0</v>
      </c>
      <c r="AG717" s="4">
        <v>1</v>
      </c>
      <c r="AH717" s="4">
        <v>88</v>
      </c>
      <c r="AI717" s="4">
        <v>89</v>
      </c>
      <c r="AJ717" s="4">
        <v>15</v>
      </c>
      <c r="AK717" s="4">
        <v>16</v>
      </c>
      <c r="AL717" s="4">
        <v>51</v>
      </c>
      <c r="AM717" s="4">
        <v>52</v>
      </c>
      <c r="AN717" s="4">
        <v>0</v>
      </c>
      <c r="AO717" s="4">
        <v>0</v>
      </c>
      <c r="AP717" s="4">
        <v>19</v>
      </c>
      <c r="AQ717" s="4">
        <v>21</v>
      </c>
      <c r="AR717" s="3" t="s">
        <v>62</v>
      </c>
      <c r="AS717" s="3" t="s">
        <v>62</v>
      </c>
      <c r="AT717" s="3" t="s">
        <v>62</v>
      </c>
      <c r="AV717" s="6" t="str">
        <f>HYPERLINK("http://mcgill.on.worldcat.org/oclc/12371315","Catalog Record")</f>
        <v>Catalog Record</v>
      </c>
      <c r="AW717" s="6" t="str">
        <f>HYPERLINK("http://www.worldcat.org/oclc/12371315","WorldCat Record")</f>
        <v>WorldCat Record</v>
      </c>
      <c r="AX717" s="3" t="s">
        <v>7273</v>
      </c>
      <c r="AY717" s="3" t="s">
        <v>7274</v>
      </c>
      <c r="AZ717" s="3" t="s">
        <v>7275</v>
      </c>
      <c r="BA717" s="3" t="s">
        <v>7275</v>
      </c>
      <c r="BB717" s="3" t="s">
        <v>7276</v>
      </c>
      <c r="BC717" s="3" t="s">
        <v>102</v>
      </c>
      <c r="BD717" s="3" t="s">
        <v>68</v>
      </c>
      <c r="BE717" s="3" t="s">
        <v>7277</v>
      </c>
      <c r="BF717" s="3" t="s">
        <v>7276</v>
      </c>
      <c r="BG717" s="3" t="s">
        <v>7278</v>
      </c>
    </row>
    <row r="718" spans="1:59" ht="72.5" x14ac:dyDescent="0.35">
      <c r="A718" s="2" t="s">
        <v>89</v>
      </c>
      <c r="B718" s="2" t="s">
        <v>90</v>
      </c>
      <c r="C718" s="2" t="s">
        <v>7279</v>
      </c>
      <c r="D718" s="2" t="s">
        <v>7280</v>
      </c>
      <c r="E718" s="2" t="s">
        <v>7281</v>
      </c>
      <c r="F718" s="3" t="s">
        <v>7282</v>
      </c>
      <c r="G718" s="3" t="s">
        <v>62</v>
      </c>
      <c r="I718" s="3" t="s">
        <v>61</v>
      </c>
      <c r="J718" s="3" t="s">
        <v>62</v>
      </c>
      <c r="K718" s="3" t="s">
        <v>63</v>
      </c>
      <c r="M718" s="2" t="s">
        <v>7283</v>
      </c>
      <c r="N718" s="3" t="s">
        <v>1905</v>
      </c>
      <c r="P718" s="3" t="s">
        <v>64</v>
      </c>
      <c r="Q718" s="2" t="s">
        <v>7284</v>
      </c>
      <c r="R718" s="3" t="s">
        <v>65</v>
      </c>
      <c r="S718" s="4">
        <v>13</v>
      </c>
      <c r="T718" s="4">
        <v>22</v>
      </c>
      <c r="U718" s="5" t="s">
        <v>7285</v>
      </c>
      <c r="V718" s="5" t="s">
        <v>7285</v>
      </c>
      <c r="W718" s="5" t="s">
        <v>67</v>
      </c>
      <c r="X718" s="5" t="s">
        <v>67</v>
      </c>
      <c r="Y718" s="4">
        <v>306</v>
      </c>
      <c r="Z718" s="4">
        <v>15</v>
      </c>
      <c r="AA718" s="4">
        <v>26</v>
      </c>
      <c r="AB718" s="4">
        <v>1</v>
      </c>
      <c r="AC718" s="4">
        <v>5</v>
      </c>
      <c r="AD718" s="4">
        <v>98</v>
      </c>
      <c r="AE718" s="4">
        <v>111</v>
      </c>
      <c r="AF718" s="4">
        <v>0</v>
      </c>
      <c r="AG718" s="4">
        <v>2</v>
      </c>
      <c r="AH718" s="4">
        <v>89</v>
      </c>
      <c r="AI718" s="4">
        <v>96</v>
      </c>
      <c r="AJ718" s="4">
        <v>11</v>
      </c>
      <c r="AK718" s="4">
        <v>17</v>
      </c>
      <c r="AL718" s="4">
        <v>49</v>
      </c>
      <c r="AM718" s="4">
        <v>53</v>
      </c>
      <c r="AN718" s="4">
        <v>0</v>
      </c>
      <c r="AO718" s="4">
        <v>0</v>
      </c>
      <c r="AP718" s="4">
        <v>13</v>
      </c>
      <c r="AQ718" s="4">
        <v>21</v>
      </c>
      <c r="AR718" s="3" t="s">
        <v>62</v>
      </c>
      <c r="AS718" s="3" t="s">
        <v>62</v>
      </c>
      <c r="AT718" s="3" t="s">
        <v>61</v>
      </c>
      <c r="AU718" s="6" t="str">
        <f>HYPERLINK("http://catalog.hathitrust.org/Record/000596564","HathiTrust Record")</f>
        <v>HathiTrust Record</v>
      </c>
      <c r="AV718" s="6" t="str">
        <f>HYPERLINK("http://mcgill.on.worldcat.org/oclc/14587067","Catalog Record")</f>
        <v>Catalog Record</v>
      </c>
      <c r="AW718" s="6" t="str">
        <f>HYPERLINK("http://www.worldcat.org/oclc/14587067","WorldCat Record")</f>
        <v>WorldCat Record</v>
      </c>
      <c r="AX718" s="3" t="s">
        <v>7286</v>
      </c>
      <c r="AY718" s="3" t="s">
        <v>7287</v>
      </c>
      <c r="AZ718" s="3" t="s">
        <v>7288</v>
      </c>
      <c r="BA718" s="3" t="s">
        <v>7288</v>
      </c>
      <c r="BB718" s="3" t="s">
        <v>7289</v>
      </c>
      <c r="BC718" s="3" t="s">
        <v>102</v>
      </c>
      <c r="BD718" s="3" t="s">
        <v>68</v>
      </c>
      <c r="BE718" s="3" t="s">
        <v>7290</v>
      </c>
      <c r="BF718" s="3" t="s">
        <v>7289</v>
      </c>
      <c r="BG718" s="3" t="s">
        <v>7291</v>
      </c>
    </row>
    <row r="719" spans="1:59" ht="72.5" x14ac:dyDescent="0.35">
      <c r="A719" s="2" t="s">
        <v>89</v>
      </c>
      <c r="B719" s="2" t="s">
        <v>90</v>
      </c>
      <c r="C719" s="2" t="s">
        <v>7292</v>
      </c>
      <c r="D719" s="2" t="s">
        <v>7293</v>
      </c>
      <c r="E719" s="2" t="s">
        <v>7294</v>
      </c>
      <c r="F719" s="3" t="s">
        <v>7295</v>
      </c>
      <c r="G719" s="3" t="s">
        <v>62</v>
      </c>
      <c r="I719" s="3" t="s">
        <v>62</v>
      </c>
      <c r="J719" s="3" t="s">
        <v>62</v>
      </c>
      <c r="K719" s="3" t="s">
        <v>63</v>
      </c>
      <c r="L719" s="2" t="s">
        <v>7296</v>
      </c>
      <c r="M719" s="2" t="s">
        <v>7297</v>
      </c>
      <c r="N719" s="3" t="s">
        <v>625</v>
      </c>
      <c r="P719" s="3" t="s">
        <v>64</v>
      </c>
      <c r="Q719" s="2" t="s">
        <v>7298</v>
      </c>
      <c r="R719" s="3" t="s">
        <v>65</v>
      </c>
      <c r="S719" s="4">
        <v>7</v>
      </c>
      <c r="T719" s="4">
        <v>7</v>
      </c>
      <c r="U719" s="5" t="s">
        <v>97</v>
      </c>
      <c r="V719" s="5" t="s">
        <v>97</v>
      </c>
      <c r="W719" s="5" t="s">
        <v>67</v>
      </c>
      <c r="X719" s="5" t="s">
        <v>67</v>
      </c>
      <c r="Y719" s="4">
        <v>216</v>
      </c>
      <c r="Z719" s="4">
        <v>15</v>
      </c>
      <c r="AA719" s="4">
        <v>19</v>
      </c>
      <c r="AB719" s="4">
        <v>1</v>
      </c>
      <c r="AC719" s="4">
        <v>4</v>
      </c>
      <c r="AD719" s="4">
        <v>91</v>
      </c>
      <c r="AE719" s="4">
        <v>97</v>
      </c>
      <c r="AF719" s="4">
        <v>0</v>
      </c>
      <c r="AG719" s="4">
        <v>2</v>
      </c>
      <c r="AH719" s="4">
        <v>79</v>
      </c>
      <c r="AI719" s="4">
        <v>82</v>
      </c>
      <c r="AJ719" s="4">
        <v>8</v>
      </c>
      <c r="AK719" s="4">
        <v>10</v>
      </c>
      <c r="AL719" s="4">
        <v>50</v>
      </c>
      <c r="AM719" s="4">
        <v>51</v>
      </c>
      <c r="AN719" s="4">
        <v>0</v>
      </c>
      <c r="AO719" s="4">
        <v>0</v>
      </c>
      <c r="AP719" s="4">
        <v>12</v>
      </c>
      <c r="AQ719" s="4">
        <v>15</v>
      </c>
      <c r="AR719" s="3" t="s">
        <v>62</v>
      </c>
      <c r="AS719" s="3" t="s">
        <v>62</v>
      </c>
      <c r="AT719" s="3" t="s">
        <v>62</v>
      </c>
      <c r="AV719" s="6" t="str">
        <f>HYPERLINK("http://mcgill.on.worldcat.org/oclc/51172412","Catalog Record")</f>
        <v>Catalog Record</v>
      </c>
      <c r="AW719" s="6" t="str">
        <f>HYPERLINK("http://www.worldcat.org/oclc/51172412","WorldCat Record")</f>
        <v>WorldCat Record</v>
      </c>
      <c r="AX719" s="3" t="s">
        <v>7299</v>
      </c>
      <c r="AY719" s="3" t="s">
        <v>7300</v>
      </c>
      <c r="AZ719" s="3" t="s">
        <v>7301</v>
      </c>
      <c r="BA719" s="3" t="s">
        <v>7301</v>
      </c>
      <c r="BB719" s="3" t="s">
        <v>7302</v>
      </c>
      <c r="BC719" s="3" t="s">
        <v>102</v>
      </c>
      <c r="BD719" s="3" t="s">
        <v>68</v>
      </c>
      <c r="BE719" s="3" t="s">
        <v>7303</v>
      </c>
      <c r="BF719" s="3" t="s">
        <v>7302</v>
      </c>
      <c r="BG719" s="3" t="s">
        <v>7304</v>
      </c>
    </row>
    <row r="720" spans="1:59" ht="72.5" x14ac:dyDescent="0.35">
      <c r="A720" s="2" t="s">
        <v>89</v>
      </c>
      <c r="B720" s="2" t="s">
        <v>90</v>
      </c>
      <c r="C720" s="2" t="s">
        <v>7305</v>
      </c>
      <c r="D720" s="2" t="s">
        <v>7306</v>
      </c>
      <c r="E720" s="2" t="s">
        <v>7307</v>
      </c>
      <c r="F720" s="3" t="s">
        <v>7308</v>
      </c>
      <c r="G720" s="3" t="s">
        <v>62</v>
      </c>
      <c r="I720" s="3" t="s">
        <v>62</v>
      </c>
      <c r="J720" s="3" t="s">
        <v>62</v>
      </c>
      <c r="K720" s="3" t="s">
        <v>63</v>
      </c>
      <c r="M720" s="2" t="s">
        <v>7309</v>
      </c>
      <c r="N720" s="3" t="s">
        <v>655</v>
      </c>
      <c r="P720" s="3" t="s">
        <v>64</v>
      </c>
      <c r="Q720" s="2" t="s">
        <v>7310</v>
      </c>
      <c r="R720" s="3" t="s">
        <v>65</v>
      </c>
      <c r="S720" s="4">
        <v>8</v>
      </c>
      <c r="T720" s="4">
        <v>8</v>
      </c>
      <c r="U720" s="5" t="s">
        <v>7311</v>
      </c>
      <c r="V720" s="5" t="s">
        <v>7311</v>
      </c>
      <c r="W720" s="5" t="s">
        <v>67</v>
      </c>
      <c r="X720" s="5" t="s">
        <v>67</v>
      </c>
      <c r="Y720" s="4">
        <v>19</v>
      </c>
      <c r="Z720" s="4">
        <v>3</v>
      </c>
      <c r="AA720" s="4">
        <v>14</v>
      </c>
      <c r="AB720" s="4">
        <v>1</v>
      </c>
      <c r="AC720" s="4">
        <v>5</v>
      </c>
      <c r="AD720" s="4">
        <v>11</v>
      </c>
      <c r="AE720" s="4">
        <v>64</v>
      </c>
      <c r="AF720" s="4">
        <v>0</v>
      </c>
      <c r="AG720" s="4">
        <v>3</v>
      </c>
      <c r="AH720" s="4">
        <v>9</v>
      </c>
      <c r="AI720" s="4">
        <v>53</v>
      </c>
      <c r="AJ720" s="4">
        <v>1</v>
      </c>
      <c r="AK720" s="4">
        <v>7</v>
      </c>
      <c r="AL720" s="4">
        <v>7</v>
      </c>
      <c r="AM720" s="4">
        <v>36</v>
      </c>
      <c r="AN720" s="4">
        <v>0</v>
      </c>
      <c r="AO720" s="4">
        <v>0</v>
      </c>
      <c r="AP720" s="4">
        <v>2</v>
      </c>
      <c r="AQ720" s="4">
        <v>11</v>
      </c>
      <c r="AR720" s="3" t="s">
        <v>62</v>
      </c>
      <c r="AS720" s="3" t="s">
        <v>62</v>
      </c>
      <c r="AT720" s="3" t="s">
        <v>62</v>
      </c>
      <c r="AV720" s="6" t="str">
        <f>HYPERLINK("http://mcgill.on.worldcat.org/oclc/124026013","Catalog Record")</f>
        <v>Catalog Record</v>
      </c>
      <c r="AW720" s="6" t="str">
        <f>HYPERLINK("http://www.worldcat.org/oclc/124026013","WorldCat Record")</f>
        <v>WorldCat Record</v>
      </c>
      <c r="AX720" s="3" t="s">
        <v>7312</v>
      </c>
      <c r="AY720" s="3" t="s">
        <v>7313</v>
      </c>
      <c r="AZ720" s="3" t="s">
        <v>7314</v>
      </c>
      <c r="BA720" s="3" t="s">
        <v>7314</v>
      </c>
      <c r="BB720" s="3" t="s">
        <v>7315</v>
      </c>
      <c r="BC720" s="3" t="s">
        <v>102</v>
      </c>
      <c r="BD720" s="3" t="s">
        <v>68</v>
      </c>
      <c r="BE720" s="3" t="s">
        <v>7316</v>
      </c>
      <c r="BF720" s="3" t="s">
        <v>7315</v>
      </c>
      <c r="BG720" s="3" t="s">
        <v>7317</v>
      </c>
    </row>
    <row r="721" spans="1:59" ht="72.5" x14ac:dyDescent="0.35">
      <c r="A721" s="2" t="s">
        <v>89</v>
      </c>
      <c r="B721" s="2" t="s">
        <v>90</v>
      </c>
      <c r="C721" s="2" t="s">
        <v>7318</v>
      </c>
      <c r="D721" s="2" t="s">
        <v>7319</v>
      </c>
      <c r="E721" s="2" t="s">
        <v>7320</v>
      </c>
      <c r="F721" s="3" t="s">
        <v>7321</v>
      </c>
      <c r="G721" s="3" t="s">
        <v>62</v>
      </c>
      <c r="I721" s="3" t="s">
        <v>61</v>
      </c>
      <c r="J721" s="3" t="s">
        <v>62</v>
      </c>
      <c r="K721" s="3" t="s">
        <v>63</v>
      </c>
      <c r="L721" s="2" t="s">
        <v>7322</v>
      </c>
      <c r="M721" s="2" t="s">
        <v>7323</v>
      </c>
      <c r="N721" s="3" t="s">
        <v>285</v>
      </c>
      <c r="P721" s="3" t="s">
        <v>64</v>
      </c>
      <c r="Q721" s="2" t="s">
        <v>7324</v>
      </c>
      <c r="R721" s="3" t="s">
        <v>65</v>
      </c>
      <c r="S721" s="4">
        <v>10</v>
      </c>
      <c r="T721" s="4">
        <v>17</v>
      </c>
      <c r="U721" s="5" t="s">
        <v>7325</v>
      </c>
      <c r="V721" s="5" t="s">
        <v>7326</v>
      </c>
      <c r="W721" s="5" t="s">
        <v>67</v>
      </c>
      <c r="X721" s="5" t="s">
        <v>67</v>
      </c>
      <c r="Y721" s="4">
        <v>434</v>
      </c>
      <c r="Z721" s="4">
        <v>34</v>
      </c>
      <c r="AA721" s="4">
        <v>42</v>
      </c>
      <c r="AB721" s="4">
        <v>2</v>
      </c>
      <c r="AC721" s="4">
        <v>8</v>
      </c>
      <c r="AD721" s="4">
        <v>113</v>
      </c>
      <c r="AE721" s="4">
        <v>118</v>
      </c>
      <c r="AF721" s="4">
        <v>1</v>
      </c>
      <c r="AG721" s="4">
        <v>4</v>
      </c>
      <c r="AH721" s="4">
        <v>92</v>
      </c>
      <c r="AI721" s="4">
        <v>93</v>
      </c>
      <c r="AJ721" s="4">
        <v>17</v>
      </c>
      <c r="AK721" s="4">
        <v>20</v>
      </c>
      <c r="AL721" s="4">
        <v>44</v>
      </c>
      <c r="AM721" s="4">
        <v>44</v>
      </c>
      <c r="AN721" s="4">
        <v>0</v>
      </c>
      <c r="AO721" s="4">
        <v>0</v>
      </c>
      <c r="AP721" s="4">
        <v>29</v>
      </c>
      <c r="AQ721" s="4">
        <v>33</v>
      </c>
      <c r="AR721" s="3" t="s">
        <v>62</v>
      </c>
      <c r="AS721" s="3" t="s">
        <v>62</v>
      </c>
      <c r="AT721" s="3" t="s">
        <v>62</v>
      </c>
      <c r="AV721" s="6" t="str">
        <f>HYPERLINK("http://mcgill.on.worldcat.org/oclc/5726379","Catalog Record")</f>
        <v>Catalog Record</v>
      </c>
      <c r="AW721" s="6" t="str">
        <f>HYPERLINK("http://www.worldcat.org/oclc/5726379","WorldCat Record")</f>
        <v>WorldCat Record</v>
      </c>
      <c r="AX721" s="3" t="s">
        <v>7327</v>
      </c>
      <c r="AY721" s="3" t="s">
        <v>7328</v>
      </c>
      <c r="AZ721" s="3" t="s">
        <v>7329</v>
      </c>
      <c r="BA721" s="3" t="s">
        <v>7329</v>
      </c>
      <c r="BB721" s="3" t="s">
        <v>7330</v>
      </c>
      <c r="BC721" s="3" t="s">
        <v>102</v>
      </c>
      <c r="BD721" s="3" t="s">
        <v>68</v>
      </c>
      <c r="BE721" s="3" t="s">
        <v>7331</v>
      </c>
      <c r="BF721" s="3" t="s">
        <v>7330</v>
      </c>
      <c r="BG721" s="3" t="s">
        <v>7332</v>
      </c>
    </row>
    <row r="722" spans="1:59" ht="72.5" x14ac:dyDescent="0.35">
      <c r="A722" s="2" t="s">
        <v>89</v>
      </c>
      <c r="B722" s="2" t="s">
        <v>90</v>
      </c>
      <c r="C722" s="2" t="s">
        <v>7318</v>
      </c>
      <c r="D722" s="2" t="s">
        <v>7319</v>
      </c>
      <c r="E722" s="2" t="s">
        <v>7320</v>
      </c>
      <c r="F722" s="3" t="s">
        <v>7321</v>
      </c>
      <c r="G722" s="3" t="s">
        <v>62</v>
      </c>
      <c r="I722" s="3" t="s">
        <v>61</v>
      </c>
      <c r="J722" s="3" t="s">
        <v>62</v>
      </c>
      <c r="K722" s="3" t="s">
        <v>63</v>
      </c>
      <c r="L722" s="2" t="s">
        <v>7322</v>
      </c>
      <c r="M722" s="2" t="s">
        <v>7323</v>
      </c>
      <c r="N722" s="3" t="s">
        <v>285</v>
      </c>
      <c r="P722" s="3" t="s">
        <v>64</v>
      </c>
      <c r="Q722" s="2" t="s">
        <v>7324</v>
      </c>
      <c r="R722" s="3" t="s">
        <v>65</v>
      </c>
      <c r="S722" s="4">
        <v>7</v>
      </c>
      <c r="T722" s="4">
        <v>17</v>
      </c>
      <c r="U722" s="5" t="s">
        <v>7326</v>
      </c>
      <c r="V722" s="5" t="s">
        <v>7326</v>
      </c>
      <c r="W722" s="5" t="s">
        <v>67</v>
      </c>
      <c r="X722" s="5" t="s">
        <v>67</v>
      </c>
      <c r="Y722" s="4">
        <v>434</v>
      </c>
      <c r="Z722" s="4">
        <v>34</v>
      </c>
      <c r="AA722" s="4">
        <v>42</v>
      </c>
      <c r="AB722" s="4">
        <v>2</v>
      </c>
      <c r="AC722" s="4">
        <v>8</v>
      </c>
      <c r="AD722" s="4">
        <v>113</v>
      </c>
      <c r="AE722" s="4">
        <v>118</v>
      </c>
      <c r="AF722" s="4">
        <v>1</v>
      </c>
      <c r="AG722" s="4">
        <v>4</v>
      </c>
      <c r="AH722" s="4">
        <v>92</v>
      </c>
      <c r="AI722" s="4">
        <v>93</v>
      </c>
      <c r="AJ722" s="4">
        <v>17</v>
      </c>
      <c r="AK722" s="4">
        <v>20</v>
      </c>
      <c r="AL722" s="4">
        <v>44</v>
      </c>
      <c r="AM722" s="4">
        <v>44</v>
      </c>
      <c r="AN722" s="4">
        <v>0</v>
      </c>
      <c r="AO722" s="4">
        <v>0</v>
      </c>
      <c r="AP722" s="4">
        <v>29</v>
      </c>
      <c r="AQ722" s="4">
        <v>33</v>
      </c>
      <c r="AR722" s="3" t="s">
        <v>62</v>
      </c>
      <c r="AS722" s="3" t="s">
        <v>62</v>
      </c>
      <c r="AT722" s="3" t="s">
        <v>62</v>
      </c>
      <c r="AV722" s="6" t="str">
        <f>HYPERLINK("http://mcgill.on.worldcat.org/oclc/5726379","Catalog Record")</f>
        <v>Catalog Record</v>
      </c>
      <c r="AW722" s="6" t="str">
        <f>HYPERLINK("http://www.worldcat.org/oclc/5726379","WorldCat Record")</f>
        <v>WorldCat Record</v>
      </c>
      <c r="AX722" s="3" t="s">
        <v>7327</v>
      </c>
      <c r="AY722" s="3" t="s">
        <v>7328</v>
      </c>
      <c r="AZ722" s="3" t="s">
        <v>7329</v>
      </c>
      <c r="BA722" s="3" t="s">
        <v>7329</v>
      </c>
      <c r="BB722" s="3" t="s">
        <v>7333</v>
      </c>
      <c r="BC722" s="3" t="s">
        <v>102</v>
      </c>
      <c r="BD722" s="3" t="s">
        <v>231</v>
      </c>
      <c r="BE722" s="3" t="s">
        <v>7331</v>
      </c>
      <c r="BF722" s="3" t="s">
        <v>7333</v>
      </c>
      <c r="BG722" s="3" t="s">
        <v>7334</v>
      </c>
    </row>
    <row r="723" spans="1:59" ht="72.5" x14ac:dyDescent="0.35">
      <c r="A723" s="2" t="s">
        <v>89</v>
      </c>
      <c r="B723" s="2" t="s">
        <v>90</v>
      </c>
      <c r="C723" s="2" t="s">
        <v>7335</v>
      </c>
      <c r="D723" s="2" t="s">
        <v>7336</v>
      </c>
      <c r="E723" s="2" t="s">
        <v>7337</v>
      </c>
      <c r="F723" s="3" t="s">
        <v>7338</v>
      </c>
      <c r="G723" s="3" t="s">
        <v>62</v>
      </c>
      <c r="I723" s="3" t="s">
        <v>62</v>
      </c>
      <c r="J723" s="3" t="s">
        <v>62</v>
      </c>
      <c r="K723" s="3" t="s">
        <v>63</v>
      </c>
      <c r="M723" s="2" t="s">
        <v>7339</v>
      </c>
      <c r="N723" s="3" t="s">
        <v>1639</v>
      </c>
      <c r="P723" s="3" t="s">
        <v>64</v>
      </c>
      <c r="Q723" s="2" t="s">
        <v>7340</v>
      </c>
      <c r="R723" s="3" t="s">
        <v>65</v>
      </c>
      <c r="S723" s="4">
        <v>1</v>
      </c>
      <c r="T723" s="4">
        <v>1</v>
      </c>
      <c r="U723" s="5" t="s">
        <v>7341</v>
      </c>
      <c r="V723" s="5" t="s">
        <v>7341</v>
      </c>
      <c r="W723" s="5" t="s">
        <v>67</v>
      </c>
      <c r="X723" s="5" t="s">
        <v>67</v>
      </c>
      <c r="Y723" s="4">
        <v>484</v>
      </c>
      <c r="Z723" s="4">
        <v>32</v>
      </c>
      <c r="AA723" s="4">
        <v>40</v>
      </c>
      <c r="AB723" s="4">
        <v>2</v>
      </c>
      <c r="AC723" s="4">
        <v>8</v>
      </c>
      <c r="AD723" s="4">
        <v>112</v>
      </c>
      <c r="AE723" s="4">
        <v>119</v>
      </c>
      <c r="AF723" s="4">
        <v>1</v>
      </c>
      <c r="AG723" s="4">
        <v>5</v>
      </c>
      <c r="AH723" s="4">
        <v>94</v>
      </c>
      <c r="AI723" s="4">
        <v>96</v>
      </c>
      <c r="AJ723" s="4">
        <v>16</v>
      </c>
      <c r="AK723" s="4">
        <v>20</v>
      </c>
      <c r="AL723" s="4">
        <v>50</v>
      </c>
      <c r="AM723" s="4">
        <v>51</v>
      </c>
      <c r="AN723" s="4">
        <v>0</v>
      </c>
      <c r="AO723" s="4">
        <v>0</v>
      </c>
      <c r="AP723" s="4">
        <v>26</v>
      </c>
      <c r="AQ723" s="4">
        <v>31</v>
      </c>
      <c r="AR723" s="3" t="s">
        <v>62</v>
      </c>
      <c r="AS723" s="3" t="s">
        <v>62</v>
      </c>
      <c r="AT723" s="3" t="s">
        <v>61</v>
      </c>
      <c r="AU723" s="6" t="str">
        <f>HYPERLINK("http://catalog.hathitrust.org/Record/005709575","HathiTrust Record")</f>
        <v>HathiTrust Record</v>
      </c>
      <c r="AV723" s="6" t="str">
        <f>HYPERLINK("http://mcgill.on.worldcat.org/oclc/136559","Catalog Record")</f>
        <v>Catalog Record</v>
      </c>
      <c r="AW723" s="6" t="str">
        <f>HYPERLINK("http://www.worldcat.org/oclc/136559","WorldCat Record")</f>
        <v>WorldCat Record</v>
      </c>
      <c r="AX723" s="3" t="s">
        <v>7342</v>
      </c>
      <c r="AY723" s="3" t="s">
        <v>7343</v>
      </c>
      <c r="AZ723" s="3" t="s">
        <v>7344</v>
      </c>
      <c r="BA723" s="3" t="s">
        <v>7344</v>
      </c>
      <c r="BB723" s="3" t="s">
        <v>7345</v>
      </c>
      <c r="BC723" s="3" t="s">
        <v>102</v>
      </c>
      <c r="BD723" s="3" t="s">
        <v>68</v>
      </c>
      <c r="BF723" s="3" t="s">
        <v>7345</v>
      </c>
      <c r="BG723" s="3" t="s">
        <v>7346</v>
      </c>
    </row>
    <row r="724" spans="1:59" ht="58" x14ac:dyDescent="0.35">
      <c r="A724" s="2" t="s">
        <v>89</v>
      </c>
      <c r="B724" s="2" t="s">
        <v>90</v>
      </c>
      <c r="C724" s="2" t="s">
        <v>7347</v>
      </c>
      <c r="D724" s="2" t="s">
        <v>7348</v>
      </c>
      <c r="E724" s="2" t="s">
        <v>7349</v>
      </c>
      <c r="G724" s="3" t="s">
        <v>62</v>
      </c>
      <c r="I724" s="3" t="s">
        <v>61</v>
      </c>
      <c r="J724" s="3" t="s">
        <v>62</v>
      </c>
      <c r="K724" s="3" t="s">
        <v>63</v>
      </c>
      <c r="L724" s="2" t="s">
        <v>7350</v>
      </c>
      <c r="M724" s="2" t="s">
        <v>7351</v>
      </c>
      <c r="N724" s="3" t="s">
        <v>1064</v>
      </c>
      <c r="P724" s="3" t="s">
        <v>64</v>
      </c>
      <c r="R724" s="3" t="s">
        <v>65</v>
      </c>
      <c r="S724" s="4">
        <v>6</v>
      </c>
      <c r="T724" s="4">
        <v>7</v>
      </c>
      <c r="U724" s="5" t="s">
        <v>7352</v>
      </c>
      <c r="V724" s="5" t="s">
        <v>7352</v>
      </c>
      <c r="W724" s="5" t="s">
        <v>67</v>
      </c>
      <c r="X724" s="5" t="s">
        <v>67</v>
      </c>
      <c r="Y724" s="4">
        <v>453</v>
      </c>
      <c r="Z724" s="4">
        <v>42</v>
      </c>
      <c r="AA724" s="4">
        <v>94</v>
      </c>
      <c r="AB724" s="4">
        <v>2</v>
      </c>
      <c r="AC724" s="4">
        <v>14</v>
      </c>
      <c r="AD724" s="4">
        <v>123</v>
      </c>
      <c r="AE724" s="4">
        <v>146</v>
      </c>
      <c r="AF724" s="4">
        <v>1</v>
      </c>
      <c r="AG724" s="4">
        <v>8</v>
      </c>
      <c r="AH724" s="4">
        <v>94</v>
      </c>
      <c r="AI724" s="4">
        <v>102</v>
      </c>
      <c r="AJ724" s="4">
        <v>21</v>
      </c>
      <c r="AK724" s="4">
        <v>28</v>
      </c>
      <c r="AL724" s="4">
        <v>53</v>
      </c>
      <c r="AM724" s="4">
        <v>55</v>
      </c>
      <c r="AN724" s="4">
        <v>0</v>
      </c>
      <c r="AO724" s="4">
        <v>0</v>
      </c>
      <c r="AP724" s="4">
        <v>32</v>
      </c>
      <c r="AQ724" s="4">
        <v>50</v>
      </c>
      <c r="AR724" s="3" t="s">
        <v>62</v>
      </c>
      <c r="AS724" s="3" t="s">
        <v>62</v>
      </c>
      <c r="AT724" s="3" t="s">
        <v>61</v>
      </c>
      <c r="AU724" s="6" t="str">
        <f>HYPERLINK("http://catalog.hathitrust.org/Record/001474447","HathiTrust Record")</f>
        <v>HathiTrust Record</v>
      </c>
      <c r="AV724" s="6" t="str">
        <f>HYPERLINK("http://mcgill.on.worldcat.org/oclc/217194","Catalog Record")</f>
        <v>Catalog Record</v>
      </c>
      <c r="AW724" s="6" t="str">
        <f>HYPERLINK("http://www.worldcat.org/oclc/217194","WorldCat Record")</f>
        <v>WorldCat Record</v>
      </c>
      <c r="AX724" s="3" t="s">
        <v>7353</v>
      </c>
      <c r="AY724" s="3" t="s">
        <v>7354</v>
      </c>
      <c r="AZ724" s="3" t="s">
        <v>7355</v>
      </c>
      <c r="BA724" s="3" t="s">
        <v>7355</v>
      </c>
      <c r="BB724" s="3" t="s">
        <v>7356</v>
      </c>
      <c r="BC724" s="3" t="s">
        <v>102</v>
      </c>
      <c r="BD724" s="3" t="s">
        <v>68</v>
      </c>
      <c r="BE724" s="3" t="s">
        <v>7357</v>
      </c>
      <c r="BF724" s="3" t="s">
        <v>7356</v>
      </c>
      <c r="BG724" s="3" t="s">
        <v>7358</v>
      </c>
    </row>
    <row r="725" spans="1:59" ht="58" x14ac:dyDescent="0.35">
      <c r="A725" s="2" t="s">
        <v>89</v>
      </c>
      <c r="B725" s="2" t="s">
        <v>90</v>
      </c>
      <c r="C725" s="2" t="s">
        <v>7361</v>
      </c>
      <c r="D725" s="2" t="s">
        <v>7362</v>
      </c>
      <c r="E725" s="2" t="s">
        <v>7363</v>
      </c>
      <c r="G725" s="3" t="s">
        <v>62</v>
      </c>
      <c r="I725" s="3" t="s">
        <v>62</v>
      </c>
      <c r="J725" s="3" t="s">
        <v>62</v>
      </c>
      <c r="K725" s="3" t="s">
        <v>63</v>
      </c>
      <c r="L725" s="2" t="s">
        <v>7364</v>
      </c>
      <c r="M725" s="2" t="s">
        <v>7365</v>
      </c>
      <c r="N725" s="3" t="s">
        <v>1077</v>
      </c>
      <c r="O725" s="2" t="s">
        <v>7366</v>
      </c>
      <c r="P725" s="3" t="s">
        <v>64</v>
      </c>
      <c r="Q725" s="2" t="s">
        <v>7367</v>
      </c>
      <c r="R725" s="3" t="s">
        <v>65</v>
      </c>
      <c r="S725" s="4">
        <v>22</v>
      </c>
      <c r="T725" s="4">
        <v>22</v>
      </c>
      <c r="U725" s="5" t="s">
        <v>7368</v>
      </c>
      <c r="V725" s="5" t="s">
        <v>7368</v>
      </c>
      <c r="W725" s="5" t="s">
        <v>67</v>
      </c>
      <c r="X725" s="5" t="s">
        <v>67</v>
      </c>
      <c r="Y725" s="4">
        <v>87</v>
      </c>
      <c r="Z725" s="4">
        <v>2</v>
      </c>
      <c r="AA725" s="4">
        <v>134</v>
      </c>
      <c r="AB725" s="4">
        <v>1</v>
      </c>
      <c r="AC725" s="4">
        <v>22</v>
      </c>
      <c r="AD725" s="4">
        <v>5</v>
      </c>
      <c r="AE725" s="4">
        <v>161</v>
      </c>
      <c r="AF725" s="4">
        <v>0</v>
      </c>
      <c r="AG725" s="4">
        <v>9</v>
      </c>
      <c r="AH725" s="4">
        <v>5</v>
      </c>
      <c r="AI725" s="4">
        <v>109</v>
      </c>
      <c r="AJ725" s="4">
        <v>0</v>
      </c>
      <c r="AK725" s="4">
        <v>30</v>
      </c>
      <c r="AL725" s="4">
        <v>3</v>
      </c>
      <c r="AM725" s="4">
        <v>55</v>
      </c>
      <c r="AN725" s="4">
        <v>0</v>
      </c>
      <c r="AO725" s="4">
        <v>0</v>
      </c>
      <c r="AP725" s="4">
        <v>0</v>
      </c>
      <c r="AQ725" s="4">
        <v>59</v>
      </c>
      <c r="AR725" s="3" t="s">
        <v>62</v>
      </c>
      <c r="AS725" s="3" t="s">
        <v>62</v>
      </c>
      <c r="AT725" s="3" t="s">
        <v>62</v>
      </c>
      <c r="AV725" s="6" t="str">
        <f>HYPERLINK("http://mcgill.on.worldcat.org/oclc/28599921","Catalog Record")</f>
        <v>Catalog Record</v>
      </c>
      <c r="AW725" s="6" t="str">
        <f>HYPERLINK("http://www.worldcat.org/oclc/28599921","WorldCat Record")</f>
        <v>WorldCat Record</v>
      </c>
      <c r="AX725" s="3" t="s">
        <v>7369</v>
      </c>
      <c r="AY725" s="3" t="s">
        <v>7370</v>
      </c>
      <c r="AZ725" s="3" t="s">
        <v>7371</v>
      </c>
      <c r="BA725" s="3" t="s">
        <v>7371</v>
      </c>
      <c r="BB725" s="3" t="s">
        <v>7372</v>
      </c>
      <c r="BC725" s="3" t="s">
        <v>102</v>
      </c>
      <c r="BD725" s="3" t="s">
        <v>68</v>
      </c>
      <c r="BE725" s="3" t="s">
        <v>7373</v>
      </c>
      <c r="BF725" s="3" t="s">
        <v>7372</v>
      </c>
      <c r="BG725" s="3" t="s">
        <v>7374</v>
      </c>
    </row>
    <row r="726" spans="1:59" ht="58" x14ac:dyDescent="0.35">
      <c r="A726" s="2" t="s">
        <v>89</v>
      </c>
      <c r="B726" s="2" t="s">
        <v>90</v>
      </c>
      <c r="C726" s="2" t="s">
        <v>7375</v>
      </c>
      <c r="D726" s="2" t="s">
        <v>7376</v>
      </c>
      <c r="E726" s="2" t="s">
        <v>7377</v>
      </c>
      <c r="G726" s="3" t="s">
        <v>62</v>
      </c>
      <c r="I726" s="3" t="s">
        <v>61</v>
      </c>
      <c r="J726" s="3" t="s">
        <v>62</v>
      </c>
      <c r="K726" s="3" t="s">
        <v>63</v>
      </c>
      <c r="L726" s="2" t="s">
        <v>7378</v>
      </c>
      <c r="M726" s="2" t="s">
        <v>7379</v>
      </c>
      <c r="N726" s="3" t="s">
        <v>866</v>
      </c>
      <c r="P726" s="3" t="s">
        <v>64</v>
      </c>
      <c r="R726" s="3" t="s">
        <v>65</v>
      </c>
      <c r="S726" s="4">
        <v>3</v>
      </c>
      <c r="T726" s="4">
        <v>3</v>
      </c>
      <c r="U726" s="5" t="s">
        <v>7368</v>
      </c>
      <c r="V726" s="5" t="s">
        <v>7368</v>
      </c>
      <c r="W726" s="5" t="s">
        <v>67</v>
      </c>
      <c r="X726" s="5" t="s">
        <v>67</v>
      </c>
      <c r="Y726" s="4">
        <v>301</v>
      </c>
      <c r="Z726" s="4">
        <v>21</v>
      </c>
      <c r="AA726" s="4">
        <v>23</v>
      </c>
      <c r="AB726" s="4">
        <v>1</v>
      </c>
      <c r="AC726" s="4">
        <v>1</v>
      </c>
      <c r="AD726" s="4">
        <v>96</v>
      </c>
      <c r="AE726" s="4">
        <v>98</v>
      </c>
      <c r="AF726" s="4">
        <v>0</v>
      </c>
      <c r="AG726" s="4">
        <v>0</v>
      </c>
      <c r="AH726" s="4">
        <v>85</v>
      </c>
      <c r="AI726" s="4">
        <v>87</v>
      </c>
      <c r="AJ726" s="4">
        <v>14</v>
      </c>
      <c r="AK726" s="4">
        <v>15</v>
      </c>
      <c r="AL726" s="4">
        <v>44</v>
      </c>
      <c r="AM726" s="4">
        <v>46</v>
      </c>
      <c r="AN726" s="4">
        <v>0</v>
      </c>
      <c r="AO726" s="4">
        <v>0</v>
      </c>
      <c r="AP726" s="4">
        <v>17</v>
      </c>
      <c r="AQ726" s="4">
        <v>18</v>
      </c>
      <c r="AR726" s="3" t="s">
        <v>62</v>
      </c>
      <c r="AS726" s="3" t="s">
        <v>62</v>
      </c>
      <c r="AT726" s="3" t="s">
        <v>62</v>
      </c>
      <c r="AV726" s="6" t="str">
        <f>HYPERLINK("http://mcgill.on.worldcat.org/oclc/309535","Catalog Record")</f>
        <v>Catalog Record</v>
      </c>
      <c r="AW726" s="6" t="str">
        <f>HYPERLINK("http://www.worldcat.org/oclc/309535","WorldCat Record")</f>
        <v>WorldCat Record</v>
      </c>
      <c r="AX726" s="3" t="s">
        <v>7380</v>
      </c>
      <c r="AY726" s="3" t="s">
        <v>7381</v>
      </c>
      <c r="AZ726" s="3" t="s">
        <v>7382</v>
      </c>
      <c r="BA726" s="3" t="s">
        <v>7382</v>
      </c>
      <c r="BB726" s="3" t="s">
        <v>7383</v>
      </c>
      <c r="BC726" s="3" t="s">
        <v>102</v>
      </c>
      <c r="BD726" s="3" t="s">
        <v>68</v>
      </c>
      <c r="BE726" s="3" t="s">
        <v>7384</v>
      </c>
      <c r="BF726" s="3" t="s">
        <v>7383</v>
      </c>
      <c r="BG726" s="3" t="s">
        <v>7385</v>
      </c>
    </row>
    <row r="727" spans="1:59" ht="58" x14ac:dyDescent="0.35">
      <c r="A727" s="2" t="s">
        <v>89</v>
      </c>
      <c r="B727" s="2" t="s">
        <v>90</v>
      </c>
      <c r="C727" s="2" t="s">
        <v>7386</v>
      </c>
      <c r="D727" s="2" t="s">
        <v>7387</v>
      </c>
      <c r="E727" s="2" t="s">
        <v>7388</v>
      </c>
      <c r="G727" s="3" t="s">
        <v>62</v>
      </c>
      <c r="I727" s="3" t="s">
        <v>62</v>
      </c>
      <c r="J727" s="3" t="s">
        <v>62</v>
      </c>
      <c r="K727" s="3" t="s">
        <v>63</v>
      </c>
      <c r="L727" s="2" t="s">
        <v>6639</v>
      </c>
      <c r="M727" s="2" t="s">
        <v>7389</v>
      </c>
      <c r="N727" s="3" t="s">
        <v>2445</v>
      </c>
      <c r="P727" s="3" t="s">
        <v>64</v>
      </c>
      <c r="Q727" s="2" t="s">
        <v>7390</v>
      </c>
      <c r="R727" s="3" t="s">
        <v>65</v>
      </c>
      <c r="S727" s="4">
        <v>21</v>
      </c>
      <c r="T727" s="4">
        <v>21</v>
      </c>
      <c r="U727" s="5" t="s">
        <v>7391</v>
      </c>
      <c r="V727" s="5" t="s">
        <v>7391</v>
      </c>
      <c r="W727" s="5" t="s">
        <v>67</v>
      </c>
      <c r="X727" s="5" t="s">
        <v>67</v>
      </c>
      <c r="Y727" s="4">
        <v>375</v>
      </c>
      <c r="Z727" s="4">
        <v>31</v>
      </c>
      <c r="AA727" s="4">
        <v>40</v>
      </c>
      <c r="AB727" s="4">
        <v>1</v>
      </c>
      <c r="AC727" s="4">
        <v>7</v>
      </c>
      <c r="AD727" s="4">
        <v>98</v>
      </c>
      <c r="AE727" s="4">
        <v>116</v>
      </c>
      <c r="AF727" s="4">
        <v>0</v>
      </c>
      <c r="AG727" s="4">
        <v>5</v>
      </c>
      <c r="AH727" s="4">
        <v>81</v>
      </c>
      <c r="AI727" s="4">
        <v>94</v>
      </c>
      <c r="AJ727" s="4">
        <v>20</v>
      </c>
      <c r="AK727" s="4">
        <v>27</v>
      </c>
      <c r="AL727" s="4">
        <v>48</v>
      </c>
      <c r="AM727" s="4">
        <v>50</v>
      </c>
      <c r="AN727" s="4">
        <v>0</v>
      </c>
      <c r="AO727" s="4">
        <v>0</v>
      </c>
      <c r="AP727" s="4">
        <v>25</v>
      </c>
      <c r="AQ727" s="4">
        <v>31</v>
      </c>
      <c r="AR727" s="3" t="s">
        <v>62</v>
      </c>
      <c r="AS727" s="3" t="s">
        <v>62</v>
      </c>
      <c r="AT727" s="3" t="s">
        <v>61</v>
      </c>
      <c r="AU727" s="6" t="str">
        <f>HYPERLINK("http://catalog.hathitrust.org/Record/001474465","HathiTrust Record")</f>
        <v>HathiTrust Record</v>
      </c>
      <c r="AV727" s="6" t="str">
        <f>HYPERLINK("http://mcgill.on.worldcat.org/oclc/742545","Catalog Record")</f>
        <v>Catalog Record</v>
      </c>
      <c r="AW727" s="6" t="str">
        <f>HYPERLINK("http://www.worldcat.org/oclc/742545","WorldCat Record")</f>
        <v>WorldCat Record</v>
      </c>
      <c r="AX727" s="3" t="s">
        <v>7392</v>
      </c>
      <c r="AY727" s="3" t="s">
        <v>7393</v>
      </c>
      <c r="AZ727" s="3" t="s">
        <v>7394</v>
      </c>
      <c r="BA727" s="3" t="s">
        <v>7394</v>
      </c>
      <c r="BB727" s="3" t="s">
        <v>7395</v>
      </c>
      <c r="BC727" s="3" t="s">
        <v>102</v>
      </c>
      <c r="BD727" s="3" t="s">
        <v>68</v>
      </c>
      <c r="BF727" s="3" t="s">
        <v>7395</v>
      </c>
      <c r="BG727" s="3" t="s">
        <v>7396</v>
      </c>
    </row>
    <row r="728" spans="1:59" ht="58" x14ac:dyDescent="0.35">
      <c r="A728" s="2" t="s">
        <v>89</v>
      </c>
      <c r="B728" s="2" t="s">
        <v>90</v>
      </c>
      <c r="C728" s="2" t="s">
        <v>7397</v>
      </c>
      <c r="D728" s="2" t="s">
        <v>7398</v>
      </c>
      <c r="E728" s="2" t="s">
        <v>7399</v>
      </c>
      <c r="G728" s="3" t="s">
        <v>62</v>
      </c>
      <c r="I728" s="3" t="s">
        <v>61</v>
      </c>
      <c r="J728" s="3" t="s">
        <v>62</v>
      </c>
      <c r="K728" s="3" t="s">
        <v>63</v>
      </c>
      <c r="L728" s="2" t="s">
        <v>6639</v>
      </c>
      <c r="M728" s="2" t="s">
        <v>7400</v>
      </c>
      <c r="N728" s="3" t="s">
        <v>2566</v>
      </c>
      <c r="P728" s="3" t="s">
        <v>64</v>
      </c>
      <c r="Q728" s="2" t="s">
        <v>7401</v>
      </c>
      <c r="R728" s="3" t="s">
        <v>65</v>
      </c>
      <c r="S728" s="4">
        <v>25</v>
      </c>
      <c r="T728" s="4">
        <v>37</v>
      </c>
      <c r="U728" s="5" t="s">
        <v>7402</v>
      </c>
      <c r="V728" s="5" t="s">
        <v>7402</v>
      </c>
      <c r="W728" s="5" t="s">
        <v>67</v>
      </c>
      <c r="X728" s="5" t="s">
        <v>67</v>
      </c>
      <c r="Y728" s="4">
        <v>403</v>
      </c>
      <c r="Z728" s="4">
        <v>36</v>
      </c>
      <c r="AA728" s="4">
        <v>42</v>
      </c>
      <c r="AB728" s="4">
        <v>3</v>
      </c>
      <c r="AC728" s="4">
        <v>8</v>
      </c>
      <c r="AD728" s="4">
        <v>114</v>
      </c>
      <c r="AE728" s="4">
        <v>121</v>
      </c>
      <c r="AF728" s="4">
        <v>1</v>
      </c>
      <c r="AG728" s="4">
        <v>5</v>
      </c>
      <c r="AH728" s="4">
        <v>92</v>
      </c>
      <c r="AI728" s="4">
        <v>95</v>
      </c>
      <c r="AJ728" s="4">
        <v>23</v>
      </c>
      <c r="AK728" s="4">
        <v>26</v>
      </c>
      <c r="AL728" s="4">
        <v>49</v>
      </c>
      <c r="AM728" s="4">
        <v>51</v>
      </c>
      <c r="AN728" s="4">
        <v>0</v>
      </c>
      <c r="AO728" s="4">
        <v>0</v>
      </c>
      <c r="AP728" s="4">
        <v>28</v>
      </c>
      <c r="AQ728" s="4">
        <v>32</v>
      </c>
      <c r="AR728" s="3" t="s">
        <v>62</v>
      </c>
      <c r="AS728" s="3" t="s">
        <v>62</v>
      </c>
      <c r="AT728" s="3" t="s">
        <v>61</v>
      </c>
      <c r="AU728" s="6" t="str">
        <f>HYPERLINK("http://catalog.hathitrust.org/Record/001474466","HathiTrust Record")</f>
        <v>HathiTrust Record</v>
      </c>
      <c r="AV728" s="6" t="str">
        <f>HYPERLINK("http://mcgill.on.worldcat.org/oclc/613670","Catalog Record")</f>
        <v>Catalog Record</v>
      </c>
      <c r="AW728" s="6" t="str">
        <f>HYPERLINK("http://www.worldcat.org/oclc/613670","WorldCat Record")</f>
        <v>WorldCat Record</v>
      </c>
      <c r="AX728" s="3" t="s">
        <v>7403</v>
      </c>
      <c r="AY728" s="3" t="s">
        <v>7404</v>
      </c>
      <c r="AZ728" s="3" t="s">
        <v>7405</v>
      </c>
      <c r="BA728" s="3" t="s">
        <v>7405</v>
      </c>
      <c r="BB728" s="3" t="s">
        <v>7406</v>
      </c>
      <c r="BC728" s="3" t="s">
        <v>102</v>
      </c>
      <c r="BD728" s="3" t="s">
        <v>68</v>
      </c>
      <c r="BE728" s="3" t="s">
        <v>7407</v>
      </c>
      <c r="BF728" s="3" t="s">
        <v>7406</v>
      </c>
      <c r="BG728" s="3" t="s">
        <v>7408</v>
      </c>
    </row>
    <row r="729" spans="1:59" ht="58" x14ac:dyDescent="0.35">
      <c r="A729" s="2" t="s">
        <v>89</v>
      </c>
      <c r="B729" s="2" t="s">
        <v>90</v>
      </c>
      <c r="C729" s="2" t="s">
        <v>7397</v>
      </c>
      <c r="D729" s="2" t="s">
        <v>7398</v>
      </c>
      <c r="E729" s="2" t="s">
        <v>7399</v>
      </c>
      <c r="G729" s="3" t="s">
        <v>62</v>
      </c>
      <c r="I729" s="3" t="s">
        <v>61</v>
      </c>
      <c r="J729" s="3" t="s">
        <v>62</v>
      </c>
      <c r="K729" s="3" t="s">
        <v>63</v>
      </c>
      <c r="L729" s="2" t="s">
        <v>6639</v>
      </c>
      <c r="M729" s="2" t="s">
        <v>7400</v>
      </c>
      <c r="N729" s="3" t="s">
        <v>2566</v>
      </c>
      <c r="P729" s="3" t="s">
        <v>64</v>
      </c>
      <c r="Q729" s="2" t="s">
        <v>7401</v>
      </c>
      <c r="R729" s="3" t="s">
        <v>65</v>
      </c>
      <c r="S729" s="4">
        <v>12</v>
      </c>
      <c r="T729" s="4">
        <v>37</v>
      </c>
      <c r="U729" s="5" t="s">
        <v>7409</v>
      </c>
      <c r="V729" s="5" t="s">
        <v>7402</v>
      </c>
      <c r="W729" s="5" t="s">
        <v>67</v>
      </c>
      <c r="X729" s="5" t="s">
        <v>67</v>
      </c>
      <c r="Y729" s="4">
        <v>403</v>
      </c>
      <c r="Z729" s="4">
        <v>36</v>
      </c>
      <c r="AA729" s="4">
        <v>42</v>
      </c>
      <c r="AB729" s="4">
        <v>3</v>
      </c>
      <c r="AC729" s="4">
        <v>8</v>
      </c>
      <c r="AD729" s="4">
        <v>114</v>
      </c>
      <c r="AE729" s="4">
        <v>121</v>
      </c>
      <c r="AF729" s="4">
        <v>1</v>
      </c>
      <c r="AG729" s="4">
        <v>5</v>
      </c>
      <c r="AH729" s="4">
        <v>92</v>
      </c>
      <c r="AI729" s="4">
        <v>95</v>
      </c>
      <c r="AJ729" s="4">
        <v>23</v>
      </c>
      <c r="AK729" s="4">
        <v>26</v>
      </c>
      <c r="AL729" s="4">
        <v>49</v>
      </c>
      <c r="AM729" s="4">
        <v>51</v>
      </c>
      <c r="AN729" s="4">
        <v>0</v>
      </c>
      <c r="AO729" s="4">
        <v>0</v>
      </c>
      <c r="AP729" s="4">
        <v>28</v>
      </c>
      <c r="AQ729" s="4">
        <v>32</v>
      </c>
      <c r="AR729" s="3" t="s">
        <v>62</v>
      </c>
      <c r="AS729" s="3" t="s">
        <v>62</v>
      </c>
      <c r="AT729" s="3" t="s">
        <v>61</v>
      </c>
      <c r="AU729" s="6" t="str">
        <f>HYPERLINK("http://catalog.hathitrust.org/Record/001474466","HathiTrust Record")</f>
        <v>HathiTrust Record</v>
      </c>
      <c r="AV729" s="6" t="str">
        <f>HYPERLINK("http://mcgill.on.worldcat.org/oclc/613670","Catalog Record")</f>
        <v>Catalog Record</v>
      </c>
      <c r="AW729" s="6" t="str">
        <f>HYPERLINK("http://www.worldcat.org/oclc/613670","WorldCat Record")</f>
        <v>WorldCat Record</v>
      </c>
      <c r="AX729" s="3" t="s">
        <v>7403</v>
      </c>
      <c r="AY729" s="3" t="s">
        <v>7404</v>
      </c>
      <c r="AZ729" s="3" t="s">
        <v>7405</v>
      </c>
      <c r="BA729" s="3" t="s">
        <v>7405</v>
      </c>
      <c r="BB729" s="3" t="s">
        <v>7410</v>
      </c>
      <c r="BC729" s="3" t="s">
        <v>102</v>
      </c>
      <c r="BD729" s="3" t="s">
        <v>68</v>
      </c>
      <c r="BE729" s="3" t="s">
        <v>7407</v>
      </c>
      <c r="BF729" s="3" t="s">
        <v>7410</v>
      </c>
      <c r="BG729" s="3" t="s">
        <v>7411</v>
      </c>
    </row>
    <row r="730" spans="1:59" ht="58" x14ac:dyDescent="0.35">
      <c r="A730" s="2" t="s">
        <v>89</v>
      </c>
      <c r="B730" s="2" t="s">
        <v>90</v>
      </c>
      <c r="C730" s="2" t="s">
        <v>7412</v>
      </c>
      <c r="D730" s="2" t="s">
        <v>7413</v>
      </c>
      <c r="E730" s="2" t="s">
        <v>7414</v>
      </c>
      <c r="G730" s="3" t="s">
        <v>62</v>
      </c>
      <c r="I730" s="3" t="s">
        <v>61</v>
      </c>
      <c r="J730" s="3" t="s">
        <v>61</v>
      </c>
      <c r="K730" s="3" t="s">
        <v>63</v>
      </c>
      <c r="L730" s="2" t="s">
        <v>7415</v>
      </c>
      <c r="M730" s="2" t="s">
        <v>7416</v>
      </c>
      <c r="N730" s="3" t="s">
        <v>824</v>
      </c>
      <c r="O730" s="2" t="s">
        <v>7417</v>
      </c>
      <c r="P730" s="3" t="s">
        <v>64</v>
      </c>
      <c r="R730" s="3" t="s">
        <v>65</v>
      </c>
      <c r="S730" s="4">
        <v>11</v>
      </c>
      <c r="T730" s="4">
        <v>35</v>
      </c>
      <c r="U730" s="5" t="s">
        <v>7418</v>
      </c>
      <c r="V730" s="5" t="s">
        <v>6325</v>
      </c>
      <c r="W730" s="5" t="s">
        <v>67</v>
      </c>
      <c r="X730" s="5" t="s">
        <v>67</v>
      </c>
      <c r="Y730" s="4">
        <v>347</v>
      </c>
      <c r="Z730" s="4">
        <v>41</v>
      </c>
      <c r="AA730" s="4">
        <v>108</v>
      </c>
      <c r="AB730" s="4">
        <v>1</v>
      </c>
      <c r="AC730" s="4">
        <v>15</v>
      </c>
      <c r="AD730" s="4">
        <v>57</v>
      </c>
      <c r="AE730" s="4">
        <v>164</v>
      </c>
      <c r="AF730" s="4">
        <v>0</v>
      </c>
      <c r="AG730" s="4">
        <v>6</v>
      </c>
      <c r="AH730" s="4">
        <v>44</v>
      </c>
      <c r="AI730" s="4">
        <v>118</v>
      </c>
      <c r="AJ730" s="4">
        <v>15</v>
      </c>
      <c r="AK730" s="4">
        <v>29</v>
      </c>
      <c r="AL730" s="4">
        <v>21</v>
      </c>
      <c r="AM730" s="4">
        <v>62</v>
      </c>
      <c r="AN730" s="4">
        <v>0</v>
      </c>
      <c r="AO730" s="4">
        <v>8</v>
      </c>
      <c r="AP730" s="4">
        <v>21</v>
      </c>
      <c r="AQ730" s="4">
        <v>52</v>
      </c>
      <c r="AR730" s="3" t="s">
        <v>62</v>
      </c>
      <c r="AS730" s="3" t="s">
        <v>62</v>
      </c>
      <c r="AT730" s="3" t="s">
        <v>61</v>
      </c>
      <c r="AU730" s="6" t="str">
        <f>HYPERLINK("http://catalog.hathitrust.org/Record/001983847","HathiTrust Record")</f>
        <v>HathiTrust Record</v>
      </c>
      <c r="AV730" s="6" t="str">
        <f>HYPERLINK("http://mcgill.on.worldcat.org/oclc/522012","Catalog Record")</f>
        <v>Catalog Record</v>
      </c>
      <c r="AW730" s="6" t="str">
        <f>HYPERLINK("http://www.worldcat.org/oclc/522012","WorldCat Record")</f>
        <v>WorldCat Record</v>
      </c>
      <c r="AX730" s="3" t="s">
        <v>7419</v>
      </c>
      <c r="AY730" s="3" t="s">
        <v>7420</v>
      </c>
      <c r="AZ730" s="3" t="s">
        <v>7421</v>
      </c>
      <c r="BA730" s="3" t="s">
        <v>7421</v>
      </c>
      <c r="BB730" s="3" t="s">
        <v>7422</v>
      </c>
      <c r="BC730" s="3" t="s">
        <v>102</v>
      </c>
      <c r="BD730" s="3" t="s">
        <v>68</v>
      </c>
      <c r="BF730" s="3" t="s">
        <v>7422</v>
      </c>
      <c r="BG730" s="3" t="s">
        <v>7423</v>
      </c>
    </row>
    <row r="731" spans="1:59" ht="58" x14ac:dyDescent="0.35">
      <c r="A731" s="2" t="s">
        <v>89</v>
      </c>
      <c r="B731" s="2" t="s">
        <v>90</v>
      </c>
      <c r="C731" s="2" t="s">
        <v>7412</v>
      </c>
      <c r="D731" s="2" t="s">
        <v>7413</v>
      </c>
      <c r="E731" s="2" t="s">
        <v>7414</v>
      </c>
      <c r="G731" s="3" t="s">
        <v>62</v>
      </c>
      <c r="I731" s="3" t="s">
        <v>61</v>
      </c>
      <c r="J731" s="3" t="s">
        <v>61</v>
      </c>
      <c r="K731" s="3" t="s">
        <v>63</v>
      </c>
      <c r="L731" s="2" t="s">
        <v>7415</v>
      </c>
      <c r="M731" s="2" t="s">
        <v>7416</v>
      </c>
      <c r="N731" s="3" t="s">
        <v>824</v>
      </c>
      <c r="O731" s="2" t="s">
        <v>7417</v>
      </c>
      <c r="P731" s="3" t="s">
        <v>64</v>
      </c>
      <c r="R731" s="3" t="s">
        <v>65</v>
      </c>
      <c r="S731" s="4">
        <v>24</v>
      </c>
      <c r="T731" s="4">
        <v>35</v>
      </c>
      <c r="U731" s="5" t="s">
        <v>6325</v>
      </c>
      <c r="V731" s="5" t="s">
        <v>6325</v>
      </c>
      <c r="W731" s="5" t="s">
        <v>67</v>
      </c>
      <c r="X731" s="5" t="s">
        <v>67</v>
      </c>
      <c r="Y731" s="4">
        <v>347</v>
      </c>
      <c r="Z731" s="4">
        <v>41</v>
      </c>
      <c r="AA731" s="4">
        <v>108</v>
      </c>
      <c r="AB731" s="4">
        <v>1</v>
      </c>
      <c r="AC731" s="4">
        <v>15</v>
      </c>
      <c r="AD731" s="4">
        <v>57</v>
      </c>
      <c r="AE731" s="4">
        <v>164</v>
      </c>
      <c r="AF731" s="4">
        <v>0</v>
      </c>
      <c r="AG731" s="4">
        <v>6</v>
      </c>
      <c r="AH731" s="4">
        <v>44</v>
      </c>
      <c r="AI731" s="4">
        <v>118</v>
      </c>
      <c r="AJ731" s="4">
        <v>15</v>
      </c>
      <c r="AK731" s="4">
        <v>29</v>
      </c>
      <c r="AL731" s="4">
        <v>21</v>
      </c>
      <c r="AM731" s="4">
        <v>62</v>
      </c>
      <c r="AN731" s="4">
        <v>0</v>
      </c>
      <c r="AO731" s="4">
        <v>8</v>
      </c>
      <c r="AP731" s="4">
        <v>21</v>
      </c>
      <c r="AQ731" s="4">
        <v>52</v>
      </c>
      <c r="AR731" s="3" t="s">
        <v>62</v>
      </c>
      <c r="AS731" s="3" t="s">
        <v>62</v>
      </c>
      <c r="AT731" s="3" t="s">
        <v>61</v>
      </c>
      <c r="AU731" s="6" t="str">
        <f>HYPERLINK("http://catalog.hathitrust.org/Record/001983847","HathiTrust Record")</f>
        <v>HathiTrust Record</v>
      </c>
      <c r="AV731" s="6" t="str">
        <f>HYPERLINK("http://mcgill.on.worldcat.org/oclc/522012","Catalog Record")</f>
        <v>Catalog Record</v>
      </c>
      <c r="AW731" s="6" t="str">
        <f>HYPERLINK("http://www.worldcat.org/oclc/522012","WorldCat Record")</f>
        <v>WorldCat Record</v>
      </c>
      <c r="AX731" s="3" t="s">
        <v>7419</v>
      </c>
      <c r="AY731" s="3" t="s">
        <v>7420</v>
      </c>
      <c r="AZ731" s="3" t="s">
        <v>7421</v>
      </c>
      <c r="BA731" s="3" t="s">
        <v>7421</v>
      </c>
      <c r="BB731" s="3" t="s">
        <v>7424</v>
      </c>
      <c r="BC731" s="3" t="s">
        <v>102</v>
      </c>
      <c r="BD731" s="3" t="s">
        <v>68</v>
      </c>
      <c r="BF731" s="3" t="s">
        <v>7424</v>
      </c>
      <c r="BG731" s="3" t="s">
        <v>7425</v>
      </c>
    </row>
    <row r="732" spans="1:59" ht="58" x14ac:dyDescent="0.35">
      <c r="A732" s="2" t="s">
        <v>89</v>
      </c>
      <c r="B732" s="2" t="s">
        <v>90</v>
      </c>
      <c r="C732" s="2" t="s">
        <v>7426</v>
      </c>
      <c r="D732" s="2" t="s">
        <v>7427</v>
      </c>
      <c r="E732" s="2" t="s">
        <v>7428</v>
      </c>
      <c r="G732" s="3" t="s">
        <v>62</v>
      </c>
      <c r="I732" s="3" t="s">
        <v>61</v>
      </c>
      <c r="J732" s="3" t="s">
        <v>61</v>
      </c>
      <c r="K732" s="3" t="s">
        <v>63</v>
      </c>
      <c r="L732" s="2" t="s">
        <v>7429</v>
      </c>
      <c r="M732" s="2" t="s">
        <v>7430</v>
      </c>
      <c r="N732" s="3" t="s">
        <v>1467</v>
      </c>
      <c r="P732" s="3" t="s">
        <v>64</v>
      </c>
      <c r="R732" s="3" t="s">
        <v>65</v>
      </c>
      <c r="S732" s="4">
        <v>20</v>
      </c>
      <c r="T732" s="4">
        <v>84</v>
      </c>
      <c r="U732" s="5" t="s">
        <v>7431</v>
      </c>
      <c r="V732" s="5" t="s">
        <v>7432</v>
      </c>
      <c r="W732" s="5" t="s">
        <v>67</v>
      </c>
      <c r="X732" s="5" t="s">
        <v>67</v>
      </c>
      <c r="Y732" s="4">
        <v>89</v>
      </c>
      <c r="Z732" s="4">
        <v>6</v>
      </c>
      <c r="AA732" s="4">
        <v>74</v>
      </c>
      <c r="AB732" s="4">
        <v>1</v>
      </c>
      <c r="AC732" s="4">
        <v>12</v>
      </c>
      <c r="AD732" s="4">
        <v>15</v>
      </c>
      <c r="AE732" s="4">
        <v>152</v>
      </c>
      <c r="AF732" s="4">
        <v>0</v>
      </c>
      <c r="AG732" s="4">
        <v>6</v>
      </c>
      <c r="AH732" s="4">
        <v>12</v>
      </c>
      <c r="AI732" s="4">
        <v>113</v>
      </c>
      <c r="AJ732" s="4">
        <v>4</v>
      </c>
      <c r="AK732" s="4">
        <v>27</v>
      </c>
      <c r="AL732" s="4">
        <v>4</v>
      </c>
      <c r="AM732" s="4">
        <v>61</v>
      </c>
      <c r="AN732" s="4">
        <v>0</v>
      </c>
      <c r="AO732" s="4">
        <v>0</v>
      </c>
      <c r="AP732" s="4">
        <v>3</v>
      </c>
      <c r="AQ732" s="4">
        <v>44</v>
      </c>
      <c r="AR732" s="3" t="s">
        <v>62</v>
      </c>
      <c r="AS732" s="3" t="s">
        <v>62</v>
      </c>
      <c r="AT732" s="3" t="s">
        <v>61</v>
      </c>
      <c r="AU732" s="6" t="str">
        <f>HYPERLINK("http://catalog.hathitrust.org/Record/000006985","HathiTrust Record")</f>
        <v>HathiTrust Record</v>
      </c>
      <c r="AV732" s="6" t="str">
        <f>HYPERLINK("http://mcgill.on.worldcat.org/oclc/35247730","Catalog Record")</f>
        <v>Catalog Record</v>
      </c>
      <c r="AW732" s="6" t="str">
        <f>HYPERLINK("http://www.worldcat.org/oclc/35247730","WorldCat Record")</f>
        <v>WorldCat Record</v>
      </c>
      <c r="AX732" s="3" t="s">
        <v>7433</v>
      </c>
      <c r="AY732" s="3" t="s">
        <v>7434</v>
      </c>
      <c r="AZ732" s="3" t="s">
        <v>7435</v>
      </c>
      <c r="BA732" s="3" t="s">
        <v>7435</v>
      </c>
      <c r="BB732" s="3" t="s">
        <v>7436</v>
      </c>
      <c r="BC732" s="3" t="s">
        <v>102</v>
      </c>
      <c r="BD732" s="3" t="s">
        <v>68</v>
      </c>
      <c r="BE732" s="3" t="s">
        <v>7437</v>
      </c>
      <c r="BF732" s="3" t="s">
        <v>7436</v>
      </c>
      <c r="BG732" s="3" t="s">
        <v>7438</v>
      </c>
    </row>
    <row r="733" spans="1:59" ht="58" x14ac:dyDescent="0.35">
      <c r="A733" s="2" t="s">
        <v>89</v>
      </c>
      <c r="B733" s="2" t="s">
        <v>90</v>
      </c>
      <c r="C733" s="2" t="s">
        <v>7426</v>
      </c>
      <c r="D733" s="2" t="s">
        <v>7427</v>
      </c>
      <c r="E733" s="2" t="s">
        <v>7428</v>
      </c>
      <c r="G733" s="3" t="s">
        <v>62</v>
      </c>
      <c r="I733" s="3" t="s">
        <v>61</v>
      </c>
      <c r="J733" s="3" t="s">
        <v>61</v>
      </c>
      <c r="K733" s="3" t="s">
        <v>63</v>
      </c>
      <c r="L733" s="2" t="s">
        <v>7429</v>
      </c>
      <c r="M733" s="2" t="s">
        <v>7430</v>
      </c>
      <c r="N733" s="3" t="s">
        <v>1467</v>
      </c>
      <c r="P733" s="3" t="s">
        <v>64</v>
      </c>
      <c r="R733" s="3" t="s">
        <v>65</v>
      </c>
      <c r="S733" s="4">
        <v>34</v>
      </c>
      <c r="T733" s="4">
        <v>84</v>
      </c>
      <c r="U733" s="5" t="s">
        <v>7432</v>
      </c>
      <c r="V733" s="5" t="s">
        <v>7432</v>
      </c>
      <c r="W733" s="5" t="s">
        <v>67</v>
      </c>
      <c r="X733" s="5" t="s">
        <v>67</v>
      </c>
      <c r="Y733" s="4">
        <v>89</v>
      </c>
      <c r="Z733" s="4">
        <v>6</v>
      </c>
      <c r="AA733" s="4">
        <v>74</v>
      </c>
      <c r="AB733" s="4">
        <v>1</v>
      </c>
      <c r="AC733" s="4">
        <v>12</v>
      </c>
      <c r="AD733" s="4">
        <v>15</v>
      </c>
      <c r="AE733" s="4">
        <v>152</v>
      </c>
      <c r="AF733" s="4">
        <v>0</v>
      </c>
      <c r="AG733" s="4">
        <v>6</v>
      </c>
      <c r="AH733" s="4">
        <v>12</v>
      </c>
      <c r="AI733" s="4">
        <v>113</v>
      </c>
      <c r="AJ733" s="4">
        <v>4</v>
      </c>
      <c r="AK733" s="4">
        <v>27</v>
      </c>
      <c r="AL733" s="4">
        <v>4</v>
      </c>
      <c r="AM733" s="4">
        <v>61</v>
      </c>
      <c r="AN733" s="4">
        <v>0</v>
      </c>
      <c r="AO733" s="4">
        <v>0</v>
      </c>
      <c r="AP733" s="4">
        <v>3</v>
      </c>
      <c r="AQ733" s="4">
        <v>44</v>
      </c>
      <c r="AR733" s="3" t="s">
        <v>62</v>
      </c>
      <c r="AS733" s="3" t="s">
        <v>62</v>
      </c>
      <c r="AT733" s="3" t="s">
        <v>61</v>
      </c>
      <c r="AU733" s="6" t="str">
        <f>HYPERLINK("http://catalog.hathitrust.org/Record/000006985","HathiTrust Record")</f>
        <v>HathiTrust Record</v>
      </c>
      <c r="AV733" s="6" t="str">
        <f>HYPERLINK("http://mcgill.on.worldcat.org/oclc/35247730","Catalog Record")</f>
        <v>Catalog Record</v>
      </c>
      <c r="AW733" s="6" t="str">
        <f>HYPERLINK("http://www.worldcat.org/oclc/35247730","WorldCat Record")</f>
        <v>WorldCat Record</v>
      </c>
      <c r="AX733" s="3" t="s">
        <v>7433</v>
      </c>
      <c r="AY733" s="3" t="s">
        <v>7434</v>
      </c>
      <c r="AZ733" s="3" t="s">
        <v>7435</v>
      </c>
      <c r="BA733" s="3" t="s">
        <v>7435</v>
      </c>
      <c r="BB733" s="3" t="s">
        <v>7439</v>
      </c>
      <c r="BC733" s="3" t="s">
        <v>102</v>
      </c>
      <c r="BD733" s="3" t="s">
        <v>68</v>
      </c>
      <c r="BE733" s="3" t="s">
        <v>7437</v>
      </c>
      <c r="BF733" s="3" t="s">
        <v>7439</v>
      </c>
      <c r="BG733" s="3" t="s">
        <v>7440</v>
      </c>
    </row>
    <row r="734" spans="1:59" ht="58" x14ac:dyDescent="0.35">
      <c r="A734" s="2" t="s">
        <v>89</v>
      </c>
      <c r="B734" s="2" t="s">
        <v>90</v>
      </c>
      <c r="C734" s="2" t="s">
        <v>7426</v>
      </c>
      <c r="D734" s="2" t="s">
        <v>7427</v>
      </c>
      <c r="E734" s="2" t="s">
        <v>7428</v>
      </c>
      <c r="G734" s="3" t="s">
        <v>62</v>
      </c>
      <c r="I734" s="3" t="s">
        <v>61</v>
      </c>
      <c r="J734" s="3" t="s">
        <v>61</v>
      </c>
      <c r="K734" s="3" t="s">
        <v>63</v>
      </c>
      <c r="L734" s="2" t="s">
        <v>7429</v>
      </c>
      <c r="M734" s="2" t="s">
        <v>7430</v>
      </c>
      <c r="N734" s="3" t="s">
        <v>1467</v>
      </c>
      <c r="P734" s="3" t="s">
        <v>64</v>
      </c>
      <c r="R734" s="3" t="s">
        <v>65</v>
      </c>
      <c r="S734" s="4">
        <v>17</v>
      </c>
      <c r="T734" s="4">
        <v>84</v>
      </c>
      <c r="U734" s="5" t="s">
        <v>73</v>
      </c>
      <c r="V734" s="5" t="s">
        <v>7432</v>
      </c>
      <c r="W734" s="5" t="s">
        <v>67</v>
      </c>
      <c r="X734" s="5" t="s">
        <v>67</v>
      </c>
      <c r="Y734" s="4">
        <v>89</v>
      </c>
      <c r="Z734" s="4">
        <v>6</v>
      </c>
      <c r="AA734" s="4">
        <v>74</v>
      </c>
      <c r="AB734" s="4">
        <v>1</v>
      </c>
      <c r="AC734" s="4">
        <v>12</v>
      </c>
      <c r="AD734" s="4">
        <v>15</v>
      </c>
      <c r="AE734" s="4">
        <v>152</v>
      </c>
      <c r="AF734" s="4">
        <v>0</v>
      </c>
      <c r="AG734" s="4">
        <v>6</v>
      </c>
      <c r="AH734" s="4">
        <v>12</v>
      </c>
      <c r="AI734" s="4">
        <v>113</v>
      </c>
      <c r="AJ734" s="4">
        <v>4</v>
      </c>
      <c r="AK734" s="4">
        <v>27</v>
      </c>
      <c r="AL734" s="4">
        <v>4</v>
      </c>
      <c r="AM734" s="4">
        <v>61</v>
      </c>
      <c r="AN734" s="4">
        <v>0</v>
      </c>
      <c r="AO734" s="4">
        <v>0</v>
      </c>
      <c r="AP734" s="4">
        <v>3</v>
      </c>
      <c r="AQ734" s="4">
        <v>44</v>
      </c>
      <c r="AR734" s="3" t="s">
        <v>62</v>
      </c>
      <c r="AS734" s="3" t="s">
        <v>62</v>
      </c>
      <c r="AT734" s="3" t="s">
        <v>61</v>
      </c>
      <c r="AU734" s="6" t="str">
        <f>HYPERLINK("http://catalog.hathitrust.org/Record/000006985","HathiTrust Record")</f>
        <v>HathiTrust Record</v>
      </c>
      <c r="AV734" s="6" t="str">
        <f>HYPERLINK("http://mcgill.on.worldcat.org/oclc/35247730","Catalog Record")</f>
        <v>Catalog Record</v>
      </c>
      <c r="AW734" s="6" t="str">
        <f>HYPERLINK("http://www.worldcat.org/oclc/35247730","WorldCat Record")</f>
        <v>WorldCat Record</v>
      </c>
      <c r="AX734" s="3" t="s">
        <v>7433</v>
      </c>
      <c r="AY734" s="3" t="s">
        <v>7434</v>
      </c>
      <c r="AZ734" s="3" t="s">
        <v>7435</v>
      </c>
      <c r="BA734" s="3" t="s">
        <v>7435</v>
      </c>
      <c r="BB734" s="3" t="s">
        <v>7441</v>
      </c>
      <c r="BC734" s="3" t="s">
        <v>102</v>
      </c>
      <c r="BD734" s="3" t="s">
        <v>68</v>
      </c>
      <c r="BE734" s="3" t="s">
        <v>7437</v>
      </c>
      <c r="BF734" s="3" t="s">
        <v>7441</v>
      </c>
      <c r="BG734" s="3" t="s">
        <v>7442</v>
      </c>
    </row>
    <row r="735" spans="1:59" ht="58" x14ac:dyDescent="0.35">
      <c r="A735" s="2" t="s">
        <v>89</v>
      </c>
      <c r="B735" s="2" t="s">
        <v>90</v>
      </c>
      <c r="C735" s="2" t="s">
        <v>7443</v>
      </c>
      <c r="D735" s="2" t="s">
        <v>7444</v>
      </c>
      <c r="E735" s="2" t="s">
        <v>7445</v>
      </c>
      <c r="G735" s="3" t="s">
        <v>62</v>
      </c>
      <c r="I735" s="3" t="s">
        <v>61</v>
      </c>
      <c r="J735" s="3" t="s">
        <v>61</v>
      </c>
      <c r="K735" s="3" t="s">
        <v>63</v>
      </c>
      <c r="L735" s="2" t="s">
        <v>7446</v>
      </c>
      <c r="M735" s="2" t="s">
        <v>7447</v>
      </c>
      <c r="N735" s="3" t="s">
        <v>893</v>
      </c>
      <c r="P735" s="3" t="s">
        <v>64</v>
      </c>
      <c r="R735" s="3" t="s">
        <v>65</v>
      </c>
      <c r="S735" s="4">
        <v>10</v>
      </c>
      <c r="T735" s="4">
        <v>51</v>
      </c>
      <c r="U735" s="5" t="s">
        <v>7448</v>
      </c>
      <c r="V735" s="5" t="s">
        <v>7448</v>
      </c>
      <c r="W735" s="5" t="s">
        <v>67</v>
      </c>
      <c r="X735" s="5" t="s">
        <v>67</v>
      </c>
      <c r="Y735" s="4">
        <v>943</v>
      </c>
      <c r="Z735" s="4">
        <v>47</v>
      </c>
      <c r="AA735" s="4">
        <v>74</v>
      </c>
      <c r="AB735" s="4">
        <v>4</v>
      </c>
      <c r="AC735" s="4">
        <v>9</v>
      </c>
      <c r="AD735" s="4">
        <v>125</v>
      </c>
      <c r="AE735" s="4">
        <v>149</v>
      </c>
      <c r="AF735" s="4">
        <v>2</v>
      </c>
      <c r="AG735" s="4">
        <v>5</v>
      </c>
      <c r="AH735" s="4">
        <v>99</v>
      </c>
      <c r="AI735" s="4">
        <v>110</v>
      </c>
      <c r="AJ735" s="4">
        <v>16</v>
      </c>
      <c r="AK735" s="4">
        <v>25</v>
      </c>
      <c r="AL735" s="4">
        <v>54</v>
      </c>
      <c r="AM735" s="4">
        <v>59</v>
      </c>
      <c r="AN735" s="4">
        <v>0</v>
      </c>
      <c r="AO735" s="4">
        <v>5</v>
      </c>
      <c r="AP735" s="4">
        <v>32</v>
      </c>
      <c r="AQ735" s="4">
        <v>46</v>
      </c>
      <c r="AR735" s="3" t="s">
        <v>62</v>
      </c>
      <c r="AS735" s="3" t="s">
        <v>62</v>
      </c>
      <c r="AT735" s="3" t="s">
        <v>61</v>
      </c>
      <c r="AU735" s="6" t="str">
        <f>HYPERLINK("http://catalog.hathitrust.org/Record/000764826","HathiTrust Record")</f>
        <v>HathiTrust Record</v>
      </c>
      <c r="AV735" s="6" t="str">
        <f>HYPERLINK("http://mcgill.on.worldcat.org/oclc/7837511","Catalog Record")</f>
        <v>Catalog Record</v>
      </c>
      <c r="AW735" s="6" t="str">
        <f>HYPERLINK("http://www.worldcat.org/oclc/7837511","WorldCat Record")</f>
        <v>WorldCat Record</v>
      </c>
      <c r="AX735" s="3" t="s">
        <v>7449</v>
      </c>
      <c r="AY735" s="3" t="s">
        <v>7450</v>
      </c>
      <c r="AZ735" s="3" t="s">
        <v>7451</v>
      </c>
      <c r="BA735" s="3" t="s">
        <v>7451</v>
      </c>
      <c r="BB735" s="3" t="s">
        <v>7452</v>
      </c>
      <c r="BC735" s="3" t="s">
        <v>102</v>
      </c>
      <c r="BD735" s="3" t="s">
        <v>68</v>
      </c>
      <c r="BE735" s="3" t="s">
        <v>7453</v>
      </c>
      <c r="BF735" s="3" t="s">
        <v>7452</v>
      </c>
      <c r="BG735" s="3" t="s">
        <v>7454</v>
      </c>
    </row>
    <row r="736" spans="1:59" ht="58" x14ac:dyDescent="0.35">
      <c r="A736" s="2" t="s">
        <v>89</v>
      </c>
      <c r="B736" s="2" t="s">
        <v>90</v>
      </c>
      <c r="C736" s="2" t="s">
        <v>7455</v>
      </c>
      <c r="D736" s="2" t="s">
        <v>7456</v>
      </c>
      <c r="E736" s="2" t="s">
        <v>7457</v>
      </c>
      <c r="G736" s="3" t="s">
        <v>62</v>
      </c>
      <c r="I736" s="3" t="s">
        <v>62</v>
      </c>
      <c r="J736" s="3" t="s">
        <v>62</v>
      </c>
      <c r="K736" s="3" t="s">
        <v>63</v>
      </c>
      <c r="L736" s="2" t="s">
        <v>7458</v>
      </c>
      <c r="M736" s="2" t="s">
        <v>7459</v>
      </c>
      <c r="N736" s="3" t="s">
        <v>6048</v>
      </c>
      <c r="P736" s="3" t="s">
        <v>64</v>
      </c>
      <c r="Q736" s="2" t="s">
        <v>7460</v>
      </c>
      <c r="R736" s="3" t="s">
        <v>65</v>
      </c>
      <c r="S736" s="4">
        <v>8</v>
      </c>
      <c r="T736" s="4">
        <v>8</v>
      </c>
      <c r="U736" s="5" t="s">
        <v>7461</v>
      </c>
      <c r="V736" s="5" t="s">
        <v>7461</v>
      </c>
      <c r="W736" s="5" t="s">
        <v>67</v>
      </c>
      <c r="X736" s="5" t="s">
        <v>67</v>
      </c>
      <c r="Y736" s="4">
        <v>143</v>
      </c>
      <c r="Z736" s="4">
        <v>12</v>
      </c>
      <c r="AA736" s="4">
        <v>77</v>
      </c>
      <c r="AB736" s="4">
        <v>1</v>
      </c>
      <c r="AC736" s="4">
        <v>15</v>
      </c>
      <c r="AD736" s="4">
        <v>58</v>
      </c>
      <c r="AE736" s="4">
        <v>124</v>
      </c>
      <c r="AF736" s="4">
        <v>0</v>
      </c>
      <c r="AG736" s="4">
        <v>8</v>
      </c>
      <c r="AH736" s="4">
        <v>52</v>
      </c>
      <c r="AI736" s="4">
        <v>90</v>
      </c>
      <c r="AJ736" s="4">
        <v>6</v>
      </c>
      <c r="AK736" s="4">
        <v>20</v>
      </c>
      <c r="AL736" s="4">
        <v>36</v>
      </c>
      <c r="AM736" s="4">
        <v>51</v>
      </c>
      <c r="AN736" s="4">
        <v>0</v>
      </c>
      <c r="AO736" s="4">
        <v>0</v>
      </c>
      <c r="AP736" s="4">
        <v>7</v>
      </c>
      <c r="AQ736" s="4">
        <v>39</v>
      </c>
      <c r="AR736" s="3" t="s">
        <v>62</v>
      </c>
      <c r="AS736" s="3" t="s">
        <v>62</v>
      </c>
      <c r="AT736" s="3" t="s">
        <v>61</v>
      </c>
      <c r="AU736" s="6" t="str">
        <f>HYPERLINK("http://catalog.hathitrust.org/Record/001474470","HathiTrust Record")</f>
        <v>HathiTrust Record</v>
      </c>
      <c r="AV736" s="6" t="str">
        <f>HYPERLINK("http://mcgill.on.worldcat.org/oclc/1498324","Catalog Record")</f>
        <v>Catalog Record</v>
      </c>
      <c r="AW736" s="6" t="str">
        <f>HYPERLINK("http://www.worldcat.org/oclc/1498324","WorldCat Record")</f>
        <v>WorldCat Record</v>
      </c>
      <c r="AX736" s="3" t="s">
        <v>7462</v>
      </c>
      <c r="AY736" s="3" t="s">
        <v>7463</v>
      </c>
      <c r="AZ736" s="3" t="s">
        <v>7464</v>
      </c>
      <c r="BA736" s="3" t="s">
        <v>7464</v>
      </c>
      <c r="BB736" s="3" t="s">
        <v>7465</v>
      </c>
      <c r="BC736" s="3" t="s">
        <v>102</v>
      </c>
      <c r="BD736" s="3" t="s">
        <v>68</v>
      </c>
      <c r="BF736" s="3" t="s">
        <v>7465</v>
      </c>
      <c r="BG736" s="3" t="s">
        <v>7466</v>
      </c>
    </row>
    <row r="737" spans="1:59" ht="58" x14ac:dyDescent="0.35">
      <c r="A737" s="2" t="s">
        <v>89</v>
      </c>
      <c r="B737" s="2" t="s">
        <v>90</v>
      </c>
      <c r="C737" s="2" t="s">
        <v>7467</v>
      </c>
      <c r="D737" s="2" t="s">
        <v>7468</v>
      </c>
      <c r="E737" s="2" t="s">
        <v>7469</v>
      </c>
      <c r="G737" s="3" t="s">
        <v>62</v>
      </c>
      <c r="I737" s="3" t="s">
        <v>62</v>
      </c>
      <c r="J737" s="3" t="s">
        <v>62</v>
      </c>
      <c r="K737" s="3" t="s">
        <v>63</v>
      </c>
      <c r="L737" s="2" t="s">
        <v>7470</v>
      </c>
      <c r="M737" s="2" t="s">
        <v>7471</v>
      </c>
      <c r="N737" s="3" t="s">
        <v>2924</v>
      </c>
      <c r="P737" s="3" t="s">
        <v>64</v>
      </c>
      <c r="R737" s="3" t="s">
        <v>65</v>
      </c>
      <c r="S737" s="4">
        <v>7</v>
      </c>
      <c r="T737" s="4">
        <v>7</v>
      </c>
      <c r="U737" s="5" t="s">
        <v>7472</v>
      </c>
      <c r="V737" s="5" t="s">
        <v>7472</v>
      </c>
      <c r="W737" s="5" t="s">
        <v>67</v>
      </c>
      <c r="X737" s="5" t="s">
        <v>67</v>
      </c>
      <c r="Y737" s="4">
        <v>581</v>
      </c>
      <c r="Z737" s="4">
        <v>27</v>
      </c>
      <c r="AA737" s="4">
        <v>46</v>
      </c>
      <c r="AB737" s="4">
        <v>2</v>
      </c>
      <c r="AC737" s="4">
        <v>6</v>
      </c>
      <c r="AD737" s="4">
        <v>109</v>
      </c>
      <c r="AE737" s="4">
        <v>127</v>
      </c>
      <c r="AF737" s="4">
        <v>1</v>
      </c>
      <c r="AG737" s="4">
        <v>5</v>
      </c>
      <c r="AH737" s="4">
        <v>91</v>
      </c>
      <c r="AI737" s="4">
        <v>98</v>
      </c>
      <c r="AJ737" s="4">
        <v>14</v>
      </c>
      <c r="AK737" s="4">
        <v>25</v>
      </c>
      <c r="AL737" s="4">
        <v>53</v>
      </c>
      <c r="AM737" s="4">
        <v>55</v>
      </c>
      <c r="AN737" s="4">
        <v>0</v>
      </c>
      <c r="AO737" s="4">
        <v>0</v>
      </c>
      <c r="AP737" s="4">
        <v>19</v>
      </c>
      <c r="AQ737" s="4">
        <v>33</v>
      </c>
      <c r="AR737" s="3" t="s">
        <v>62</v>
      </c>
      <c r="AS737" s="3" t="s">
        <v>62</v>
      </c>
      <c r="AT737" s="3" t="s">
        <v>62</v>
      </c>
      <c r="AV737" s="6" t="str">
        <f>HYPERLINK("http://mcgill.on.worldcat.org/oclc/526276","Catalog Record")</f>
        <v>Catalog Record</v>
      </c>
      <c r="AW737" s="6" t="str">
        <f>HYPERLINK("http://www.worldcat.org/oclc/526276","WorldCat Record")</f>
        <v>WorldCat Record</v>
      </c>
      <c r="AX737" s="3" t="s">
        <v>7473</v>
      </c>
      <c r="AY737" s="3" t="s">
        <v>7474</v>
      </c>
      <c r="AZ737" s="3" t="s">
        <v>7475</v>
      </c>
      <c r="BA737" s="3" t="s">
        <v>7475</v>
      </c>
      <c r="BB737" s="3" t="s">
        <v>7476</v>
      </c>
      <c r="BC737" s="3" t="s">
        <v>102</v>
      </c>
      <c r="BD737" s="3" t="s">
        <v>68</v>
      </c>
      <c r="BF737" s="3" t="s">
        <v>7476</v>
      </c>
      <c r="BG737" s="3" t="s">
        <v>7477</v>
      </c>
    </row>
    <row r="738" spans="1:59" ht="58" x14ac:dyDescent="0.35">
      <c r="A738" s="2" t="s">
        <v>89</v>
      </c>
      <c r="B738" s="2" t="s">
        <v>90</v>
      </c>
      <c r="C738" s="2" t="s">
        <v>7478</v>
      </c>
      <c r="D738" s="2" t="s">
        <v>7479</v>
      </c>
      <c r="E738" s="2" t="s">
        <v>7480</v>
      </c>
      <c r="G738" s="3" t="s">
        <v>62</v>
      </c>
      <c r="I738" s="3" t="s">
        <v>61</v>
      </c>
      <c r="J738" s="3" t="s">
        <v>61</v>
      </c>
      <c r="K738" s="3" t="s">
        <v>63</v>
      </c>
      <c r="L738" s="2" t="s">
        <v>7481</v>
      </c>
      <c r="M738" s="2" t="s">
        <v>7482</v>
      </c>
      <c r="N738" s="3" t="s">
        <v>553</v>
      </c>
      <c r="O738" s="2" t="s">
        <v>2458</v>
      </c>
      <c r="P738" s="3" t="s">
        <v>64</v>
      </c>
      <c r="R738" s="3" t="s">
        <v>65</v>
      </c>
      <c r="S738" s="4">
        <v>9</v>
      </c>
      <c r="T738" s="4">
        <v>77</v>
      </c>
      <c r="U738" s="5" t="s">
        <v>7448</v>
      </c>
      <c r="V738" s="5" t="s">
        <v>7448</v>
      </c>
      <c r="W738" s="5" t="s">
        <v>67</v>
      </c>
      <c r="X738" s="5" t="s">
        <v>67</v>
      </c>
      <c r="Y738" s="4">
        <v>423</v>
      </c>
      <c r="Z738" s="4">
        <v>26</v>
      </c>
      <c r="AA738" s="4">
        <v>86</v>
      </c>
      <c r="AB738" s="4">
        <v>1</v>
      </c>
      <c r="AC738" s="4">
        <v>15</v>
      </c>
      <c r="AD738" s="4">
        <v>73</v>
      </c>
      <c r="AE738" s="4">
        <v>151</v>
      </c>
      <c r="AF738" s="4">
        <v>0</v>
      </c>
      <c r="AG738" s="4">
        <v>9</v>
      </c>
      <c r="AH738" s="4">
        <v>61</v>
      </c>
      <c r="AI738" s="4">
        <v>107</v>
      </c>
      <c r="AJ738" s="4">
        <v>7</v>
      </c>
      <c r="AK738" s="4">
        <v>26</v>
      </c>
      <c r="AL738" s="4">
        <v>40</v>
      </c>
      <c r="AM738" s="4">
        <v>59</v>
      </c>
      <c r="AN738" s="4">
        <v>0</v>
      </c>
      <c r="AO738" s="4">
        <v>4</v>
      </c>
      <c r="AP738" s="4">
        <v>16</v>
      </c>
      <c r="AQ738" s="4">
        <v>50</v>
      </c>
      <c r="AR738" s="3" t="s">
        <v>62</v>
      </c>
      <c r="AS738" s="3" t="s">
        <v>62</v>
      </c>
      <c r="AT738" s="3" t="s">
        <v>62</v>
      </c>
      <c r="AV738" s="6" t="str">
        <f>HYPERLINK("http://mcgill.on.worldcat.org/oclc/41269448","Catalog Record")</f>
        <v>Catalog Record</v>
      </c>
      <c r="AW738" s="6" t="str">
        <f>HYPERLINK("http://www.worldcat.org/oclc/41269448","WorldCat Record")</f>
        <v>WorldCat Record</v>
      </c>
      <c r="AX738" s="3" t="s">
        <v>7483</v>
      </c>
      <c r="AY738" s="3" t="s">
        <v>7484</v>
      </c>
      <c r="AZ738" s="3" t="s">
        <v>7485</v>
      </c>
      <c r="BA738" s="3" t="s">
        <v>7485</v>
      </c>
      <c r="BB738" s="3" t="s">
        <v>7486</v>
      </c>
      <c r="BC738" s="3" t="s">
        <v>102</v>
      </c>
      <c r="BD738" s="3" t="s">
        <v>231</v>
      </c>
      <c r="BE738" s="3" t="s">
        <v>7487</v>
      </c>
      <c r="BF738" s="3" t="s">
        <v>7486</v>
      </c>
      <c r="BG738" s="3" t="s">
        <v>7488</v>
      </c>
    </row>
    <row r="739" spans="1:59" ht="58" x14ac:dyDescent="0.35">
      <c r="A739" s="2" t="s">
        <v>89</v>
      </c>
      <c r="B739" s="2" t="s">
        <v>90</v>
      </c>
      <c r="C739" s="2" t="s">
        <v>7489</v>
      </c>
      <c r="D739" s="2" t="s">
        <v>7490</v>
      </c>
      <c r="E739" s="2" t="s">
        <v>7491</v>
      </c>
      <c r="G739" s="3" t="s">
        <v>62</v>
      </c>
      <c r="I739" s="3" t="s">
        <v>62</v>
      </c>
      <c r="J739" s="3" t="s">
        <v>62</v>
      </c>
      <c r="K739" s="3" t="s">
        <v>63</v>
      </c>
      <c r="L739" s="2" t="s">
        <v>7492</v>
      </c>
      <c r="M739" s="2" t="s">
        <v>7493</v>
      </c>
      <c r="N739" s="3" t="s">
        <v>87</v>
      </c>
      <c r="P739" s="3" t="s">
        <v>64</v>
      </c>
      <c r="Q739" s="2" t="s">
        <v>7494</v>
      </c>
      <c r="R739" s="3" t="s">
        <v>65</v>
      </c>
      <c r="S739" s="4">
        <v>26</v>
      </c>
      <c r="T739" s="4">
        <v>26</v>
      </c>
      <c r="U739" s="5" t="s">
        <v>7495</v>
      </c>
      <c r="V739" s="5" t="s">
        <v>7495</v>
      </c>
      <c r="W739" s="5" t="s">
        <v>67</v>
      </c>
      <c r="X739" s="5" t="s">
        <v>67</v>
      </c>
      <c r="Y739" s="4">
        <v>609</v>
      </c>
      <c r="Z739" s="4">
        <v>47</v>
      </c>
      <c r="AA739" s="4">
        <v>56</v>
      </c>
      <c r="AB739" s="4">
        <v>3</v>
      </c>
      <c r="AC739" s="4">
        <v>7</v>
      </c>
      <c r="AD739" s="4">
        <v>138</v>
      </c>
      <c r="AE739" s="4">
        <v>146</v>
      </c>
      <c r="AF739" s="4">
        <v>1</v>
      </c>
      <c r="AG739" s="4">
        <v>4</v>
      </c>
      <c r="AH739" s="4">
        <v>108</v>
      </c>
      <c r="AI739" s="4">
        <v>110</v>
      </c>
      <c r="AJ739" s="4">
        <v>22</v>
      </c>
      <c r="AK739" s="4">
        <v>26</v>
      </c>
      <c r="AL739" s="4">
        <v>57</v>
      </c>
      <c r="AM739" s="4">
        <v>57</v>
      </c>
      <c r="AN739" s="4">
        <v>0</v>
      </c>
      <c r="AO739" s="4">
        <v>0</v>
      </c>
      <c r="AP739" s="4">
        <v>37</v>
      </c>
      <c r="AQ739" s="4">
        <v>43</v>
      </c>
      <c r="AR739" s="3" t="s">
        <v>62</v>
      </c>
      <c r="AS739" s="3" t="s">
        <v>62</v>
      </c>
      <c r="AT739" s="3" t="s">
        <v>62</v>
      </c>
      <c r="AV739" s="6" t="str">
        <f>HYPERLINK("http://mcgill.on.worldcat.org/oclc/4492306","Catalog Record")</f>
        <v>Catalog Record</v>
      </c>
      <c r="AW739" s="6" t="str">
        <f>HYPERLINK("http://www.worldcat.org/oclc/4492306","WorldCat Record")</f>
        <v>WorldCat Record</v>
      </c>
      <c r="AX739" s="3" t="s">
        <v>7496</v>
      </c>
      <c r="AY739" s="3" t="s">
        <v>7497</v>
      </c>
      <c r="AZ739" s="3" t="s">
        <v>7498</v>
      </c>
      <c r="BA739" s="3" t="s">
        <v>7498</v>
      </c>
      <c r="BB739" s="3" t="s">
        <v>7499</v>
      </c>
      <c r="BC739" s="3" t="s">
        <v>102</v>
      </c>
      <c r="BD739" s="3" t="s">
        <v>68</v>
      </c>
      <c r="BE739" s="3" t="s">
        <v>7500</v>
      </c>
      <c r="BF739" s="3" t="s">
        <v>7499</v>
      </c>
      <c r="BG739" s="3" t="s">
        <v>7501</v>
      </c>
    </row>
    <row r="740" spans="1:59" ht="58" x14ac:dyDescent="0.35">
      <c r="A740" s="2" t="s">
        <v>89</v>
      </c>
      <c r="B740" s="2" t="s">
        <v>90</v>
      </c>
      <c r="C740" s="2" t="s">
        <v>7502</v>
      </c>
      <c r="D740" s="2" t="s">
        <v>7503</v>
      </c>
      <c r="E740" s="2" t="s">
        <v>7504</v>
      </c>
      <c r="G740" s="3" t="s">
        <v>62</v>
      </c>
      <c r="I740" s="3" t="s">
        <v>62</v>
      </c>
      <c r="J740" s="3" t="s">
        <v>62</v>
      </c>
      <c r="K740" s="3" t="s">
        <v>63</v>
      </c>
      <c r="L740" s="2" t="s">
        <v>7505</v>
      </c>
      <c r="M740" s="2" t="s">
        <v>7506</v>
      </c>
      <c r="N740" s="3" t="s">
        <v>611</v>
      </c>
      <c r="P740" s="3" t="s">
        <v>64</v>
      </c>
      <c r="Q740" s="2" t="s">
        <v>7507</v>
      </c>
      <c r="R740" s="3" t="s">
        <v>65</v>
      </c>
      <c r="S740" s="4">
        <v>5</v>
      </c>
      <c r="T740" s="4">
        <v>5</v>
      </c>
      <c r="U740" s="5" t="s">
        <v>7508</v>
      </c>
      <c r="V740" s="5" t="s">
        <v>7508</v>
      </c>
      <c r="W740" s="5" t="s">
        <v>67</v>
      </c>
      <c r="X740" s="5" t="s">
        <v>67</v>
      </c>
      <c r="Y740" s="4">
        <v>99</v>
      </c>
      <c r="Z740" s="4">
        <v>5</v>
      </c>
      <c r="AA740" s="4">
        <v>30</v>
      </c>
      <c r="AB740" s="4">
        <v>1</v>
      </c>
      <c r="AC740" s="4">
        <v>7</v>
      </c>
      <c r="AD740" s="4">
        <v>42</v>
      </c>
      <c r="AE740" s="4">
        <v>111</v>
      </c>
      <c r="AF740" s="4">
        <v>0</v>
      </c>
      <c r="AG740" s="4">
        <v>3</v>
      </c>
      <c r="AH740" s="4">
        <v>41</v>
      </c>
      <c r="AI740" s="4">
        <v>94</v>
      </c>
      <c r="AJ740" s="4">
        <v>2</v>
      </c>
      <c r="AK740" s="4">
        <v>18</v>
      </c>
      <c r="AL740" s="4">
        <v>24</v>
      </c>
      <c r="AM740" s="4">
        <v>56</v>
      </c>
      <c r="AN740" s="4">
        <v>0</v>
      </c>
      <c r="AO740" s="4">
        <v>0</v>
      </c>
      <c r="AP740" s="4">
        <v>2</v>
      </c>
      <c r="AQ740" s="4">
        <v>21</v>
      </c>
      <c r="AR740" s="3" t="s">
        <v>62</v>
      </c>
      <c r="AS740" s="3" t="s">
        <v>62</v>
      </c>
      <c r="AT740" s="3" t="s">
        <v>61</v>
      </c>
      <c r="AU740" s="6" t="str">
        <f>HYPERLINK("http://catalog.hathitrust.org/Record/002241125","HathiTrust Record")</f>
        <v>HathiTrust Record</v>
      </c>
      <c r="AV740" s="6" t="str">
        <f>HYPERLINK("http://mcgill.on.worldcat.org/oclc/4611309","Catalog Record")</f>
        <v>Catalog Record</v>
      </c>
      <c r="AW740" s="6" t="str">
        <f>HYPERLINK("http://www.worldcat.org/oclc/4611309","WorldCat Record")</f>
        <v>WorldCat Record</v>
      </c>
      <c r="AX740" s="3" t="s">
        <v>7509</v>
      </c>
      <c r="AY740" s="3" t="s">
        <v>7510</v>
      </c>
      <c r="AZ740" s="3" t="s">
        <v>7511</v>
      </c>
      <c r="BA740" s="3" t="s">
        <v>7511</v>
      </c>
      <c r="BB740" s="3" t="s">
        <v>7512</v>
      </c>
      <c r="BC740" s="3" t="s">
        <v>102</v>
      </c>
      <c r="BD740" s="3" t="s">
        <v>231</v>
      </c>
      <c r="BF740" s="3" t="s">
        <v>7512</v>
      </c>
      <c r="BG740" s="3" t="s">
        <v>7513</v>
      </c>
    </row>
    <row r="741" spans="1:59" ht="58" x14ac:dyDescent="0.35">
      <c r="A741" s="2" t="s">
        <v>89</v>
      </c>
      <c r="B741" s="2" t="s">
        <v>90</v>
      </c>
      <c r="C741" s="2" t="s">
        <v>7514</v>
      </c>
      <c r="D741" s="2" t="s">
        <v>7515</v>
      </c>
      <c r="E741" s="2" t="s">
        <v>6650</v>
      </c>
      <c r="G741" s="3" t="s">
        <v>62</v>
      </c>
      <c r="I741" s="3" t="s">
        <v>61</v>
      </c>
      <c r="J741" s="3" t="s">
        <v>61</v>
      </c>
      <c r="K741" s="3" t="s">
        <v>63</v>
      </c>
      <c r="L741" s="2" t="s">
        <v>6651</v>
      </c>
      <c r="M741" s="2" t="s">
        <v>6652</v>
      </c>
      <c r="N741" s="3" t="s">
        <v>1335</v>
      </c>
      <c r="P741" s="3" t="s">
        <v>64</v>
      </c>
      <c r="R741" s="3" t="s">
        <v>65</v>
      </c>
      <c r="S741" s="4">
        <v>27</v>
      </c>
      <c r="T741" s="4">
        <v>52</v>
      </c>
      <c r="U741" s="5" t="s">
        <v>7516</v>
      </c>
      <c r="V741" s="5" t="s">
        <v>6653</v>
      </c>
      <c r="W741" s="5" t="s">
        <v>67</v>
      </c>
      <c r="X741" s="5" t="s">
        <v>67</v>
      </c>
      <c r="Y741" s="4">
        <v>639</v>
      </c>
      <c r="Z741" s="4">
        <v>42</v>
      </c>
      <c r="AA741" s="4">
        <v>130</v>
      </c>
      <c r="AB741" s="4">
        <v>5</v>
      </c>
      <c r="AC741" s="4">
        <v>20</v>
      </c>
      <c r="AD741" s="4">
        <v>113</v>
      </c>
      <c r="AE741" s="4">
        <v>164</v>
      </c>
      <c r="AF741" s="4">
        <v>2</v>
      </c>
      <c r="AG741" s="4">
        <v>8</v>
      </c>
      <c r="AH741" s="4">
        <v>90</v>
      </c>
      <c r="AI741" s="4">
        <v>116</v>
      </c>
      <c r="AJ741" s="4">
        <v>12</v>
      </c>
      <c r="AK741" s="4">
        <v>28</v>
      </c>
      <c r="AL741" s="4">
        <v>52</v>
      </c>
      <c r="AM741" s="4">
        <v>61</v>
      </c>
      <c r="AN741" s="4">
        <v>0</v>
      </c>
      <c r="AO741" s="4">
        <v>4</v>
      </c>
      <c r="AP741" s="4">
        <v>25</v>
      </c>
      <c r="AQ741" s="4">
        <v>55</v>
      </c>
      <c r="AR741" s="3" t="s">
        <v>62</v>
      </c>
      <c r="AS741" s="3" t="s">
        <v>62</v>
      </c>
      <c r="AT741" s="3" t="s">
        <v>61</v>
      </c>
      <c r="AU741" s="6" t="str">
        <f>HYPERLINK("http://catalog.hathitrust.org/Record/001388986","HathiTrust Record")</f>
        <v>HathiTrust Record</v>
      </c>
      <c r="AV741" s="6" t="str">
        <f>HYPERLINK("http://mcgill.on.worldcat.org/oclc/1870696","Catalog Record")</f>
        <v>Catalog Record</v>
      </c>
      <c r="AW741" s="6" t="str">
        <f>HYPERLINK("http://www.worldcat.org/oclc/1870696","WorldCat Record")</f>
        <v>WorldCat Record</v>
      </c>
      <c r="AX741" s="3" t="s">
        <v>6654</v>
      </c>
      <c r="AY741" s="3" t="s">
        <v>6655</v>
      </c>
      <c r="AZ741" s="3" t="s">
        <v>6656</v>
      </c>
      <c r="BA741" s="3" t="s">
        <v>6656</v>
      </c>
      <c r="BB741" s="3" t="s">
        <v>7517</v>
      </c>
      <c r="BC741" s="3" t="s">
        <v>102</v>
      </c>
      <c r="BD741" s="3" t="s">
        <v>68</v>
      </c>
      <c r="BF741" s="3" t="s">
        <v>7517</v>
      </c>
      <c r="BG741" s="3" t="s">
        <v>7518</v>
      </c>
    </row>
    <row r="742" spans="1:59" ht="58" x14ac:dyDescent="0.35">
      <c r="A742" s="2" t="s">
        <v>89</v>
      </c>
      <c r="B742" s="2" t="s">
        <v>90</v>
      </c>
      <c r="C742" s="2" t="s">
        <v>7514</v>
      </c>
      <c r="D742" s="2" t="s">
        <v>7515</v>
      </c>
      <c r="E742" s="2" t="s">
        <v>6650</v>
      </c>
      <c r="G742" s="3" t="s">
        <v>62</v>
      </c>
      <c r="I742" s="3" t="s">
        <v>61</v>
      </c>
      <c r="J742" s="3" t="s">
        <v>61</v>
      </c>
      <c r="K742" s="3" t="s">
        <v>63</v>
      </c>
      <c r="L742" s="2" t="s">
        <v>6651</v>
      </c>
      <c r="M742" s="2" t="s">
        <v>6652</v>
      </c>
      <c r="N742" s="3" t="s">
        <v>1335</v>
      </c>
      <c r="P742" s="3" t="s">
        <v>64</v>
      </c>
      <c r="R742" s="3" t="s">
        <v>65</v>
      </c>
      <c r="S742" s="4">
        <v>5</v>
      </c>
      <c r="T742" s="4">
        <v>52</v>
      </c>
      <c r="U742" s="5" t="s">
        <v>7519</v>
      </c>
      <c r="V742" s="5" t="s">
        <v>6653</v>
      </c>
      <c r="W742" s="5" t="s">
        <v>67</v>
      </c>
      <c r="X742" s="5" t="s">
        <v>67</v>
      </c>
      <c r="Y742" s="4">
        <v>639</v>
      </c>
      <c r="Z742" s="4">
        <v>42</v>
      </c>
      <c r="AA742" s="4">
        <v>130</v>
      </c>
      <c r="AB742" s="4">
        <v>5</v>
      </c>
      <c r="AC742" s="4">
        <v>20</v>
      </c>
      <c r="AD742" s="4">
        <v>113</v>
      </c>
      <c r="AE742" s="4">
        <v>164</v>
      </c>
      <c r="AF742" s="4">
        <v>2</v>
      </c>
      <c r="AG742" s="4">
        <v>8</v>
      </c>
      <c r="AH742" s="4">
        <v>90</v>
      </c>
      <c r="AI742" s="4">
        <v>116</v>
      </c>
      <c r="AJ742" s="4">
        <v>12</v>
      </c>
      <c r="AK742" s="4">
        <v>28</v>
      </c>
      <c r="AL742" s="4">
        <v>52</v>
      </c>
      <c r="AM742" s="4">
        <v>61</v>
      </c>
      <c r="AN742" s="4">
        <v>0</v>
      </c>
      <c r="AO742" s="4">
        <v>4</v>
      </c>
      <c r="AP742" s="4">
        <v>25</v>
      </c>
      <c r="AQ742" s="4">
        <v>55</v>
      </c>
      <c r="AR742" s="3" t="s">
        <v>62</v>
      </c>
      <c r="AS742" s="3" t="s">
        <v>62</v>
      </c>
      <c r="AT742" s="3" t="s">
        <v>61</v>
      </c>
      <c r="AU742" s="6" t="str">
        <f>HYPERLINK("http://catalog.hathitrust.org/Record/001388986","HathiTrust Record")</f>
        <v>HathiTrust Record</v>
      </c>
      <c r="AV742" s="6" t="str">
        <f>HYPERLINK("http://mcgill.on.worldcat.org/oclc/1870696","Catalog Record")</f>
        <v>Catalog Record</v>
      </c>
      <c r="AW742" s="6" t="str">
        <f>HYPERLINK("http://www.worldcat.org/oclc/1870696","WorldCat Record")</f>
        <v>WorldCat Record</v>
      </c>
      <c r="AX742" s="3" t="s">
        <v>6654</v>
      </c>
      <c r="AY742" s="3" t="s">
        <v>6655</v>
      </c>
      <c r="AZ742" s="3" t="s">
        <v>6656</v>
      </c>
      <c r="BA742" s="3" t="s">
        <v>6656</v>
      </c>
      <c r="BB742" s="3" t="s">
        <v>7520</v>
      </c>
      <c r="BC742" s="3" t="s">
        <v>102</v>
      </c>
      <c r="BD742" s="3" t="s">
        <v>68</v>
      </c>
      <c r="BF742" s="3" t="s">
        <v>7520</v>
      </c>
      <c r="BG742" s="3" t="s">
        <v>7521</v>
      </c>
    </row>
    <row r="743" spans="1:59" ht="58" x14ac:dyDescent="0.35">
      <c r="A743" s="2" t="s">
        <v>59</v>
      </c>
      <c r="B743" s="2" t="s">
        <v>60</v>
      </c>
      <c r="C743" s="2" t="s">
        <v>7522</v>
      </c>
      <c r="D743" s="2" t="s">
        <v>7523</v>
      </c>
      <c r="E743" s="2" t="s">
        <v>7524</v>
      </c>
      <c r="G743" s="3" t="s">
        <v>62</v>
      </c>
      <c r="I743" s="3" t="s">
        <v>61</v>
      </c>
      <c r="J743" s="3" t="s">
        <v>62</v>
      </c>
      <c r="K743" s="3" t="s">
        <v>63</v>
      </c>
      <c r="L743" s="2" t="s">
        <v>7525</v>
      </c>
      <c r="M743" s="2" t="s">
        <v>7526</v>
      </c>
      <c r="N743" s="3" t="s">
        <v>6410</v>
      </c>
      <c r="P743" s="3" t="s">
        <v>64</v>
      </c>
      <c r="R743" s="3" t="s">
        <v>65</v>
      </c>
      <c r="S743" s="4">
        <v>0</v>
      </c>
      <c r="T743" s="4">
        <v>9</v>
      </c>
      <c r="V743" s="5" t="s">
        <v>7311</v>
      </c>
      <c r="W743" s="5" t="s">
        <v>67</v>
      </c>
      <c r="X743" s="5" t="s">
        <v>67</v>
      </c>
      <c r="Y743" s="4">
        <v>1027</v>
      </c>
      <c r="Z743" s="4">
        <v>44</v>
      </c>
      <c r="AA743" s="4">
        <v>66</v>
      </c>
      <c r="AB743" s="4">
        <v>3</v>
      </c>
      <c r="AC743" s="4">
        <v>6</v>
      </c>
      <c r="AD743" s="4">
        <v>125</v>
      </c>
      <c r="AE743" s="4">
        <v>144</v>
      </c>
      <c r="AF743" s="4">
        <v>1</v>
      </c>
      <c r="AG743" s="4">
        <v>2</v>
      </c>
      <c r="AH743" s="4">
        <v>102</v>
      </c>
      <c r="AI743" s="4">
        <v>111</v>
      </c>
      <c r="AJ743" s="4">
        <v>19</v>
      </c>
      <c r="AK743" s="4">
        <v>24</v>
      </c>
      <c r="AL743" s="4">
        <v>56</v>
      </c>
      <c r="AM743" s="4">
        <v>59</v>
      </c>
      <c r="AN743" s="4">
        <v>0</v>
      </c>
      <c r="AO743" s="4">
        <v>1</v>
      </c>
      <c r="AP743" s="4">
        <v>28</v>
      </c>
      <c r="AQ743" s="4">
        <v>39</v>
      </c>
      <c r="AR743" s="3" t="s">
        <v>62</v>
      </c>
      <c r="AS743" s="3" t="s">
        <v>62</v>
      </c>
      <c r="AT743" s="3" t="s">
        <v>61</v>
      </c>
      <c r="AU743" s="6" t="str">
        <f>HYPERLINK("http://catalog.hathitrust.org/Record/001474480","HathiTrust Record")</f>
        <v>HathiTrust Record</v>
      </c>
      <c r="AV743" s="6" t="str">
        <f>HYPERLINK("http://mcgill.on.worldcat.org/oclc/2551377","Catalog Record")</f>
        <v>Catalog Record</v>
      </c>
      <c r="AW743" s="6" t="str">
        <f>HYPERLINK("http://www.worldcat.org/oclc/2551377","WorldCat Record")</f>
        <v>WorldCat Record</v>
      </c>
      <c r="AX743" s="3" t="s">
        <v>7527</v>
      </c>
      <c r="AY743" s="3" t="s">
        <v>7528</v>
      </c>
      <c r="AZ743" s="3" t="s">
        <v>7529</v>
      </c>
      <c r="BA743" s="3" t="s">
        <v>7529</v>
      </c>
      <c r="BB743" s="3" t="s">
        <v>7530</v>
      </c>
      <c r="BC743" s="3" t="s">
        <v>102</v>
      </c>
      <c r="BD743" s="3" t="s">
        <v>68</v>
      </c>
      <c r="BF743" s="3" t="s">
        <v>7530</v>
      </c>
      <c r="BG743" s="3" t="s">
        <v>7531</v>
      </c>
    </row>
    <row r="744" spans="1:59" ht="58" x14ac:dyDescent="0.35">
      <c r="A744" s="2" t="s">
        <v>89</v>
      </c>
      <c r="B744" s="2" t="s">
        <v>90</v>
      </c>
      <c r="C744" s="2" t="s">
        <v>7522</v>
      </c>
      <c r="D744" s="2" t="s">
        <v>7523</v>
      </c>
      <c r="E744" s="2" t="s">
        <v>7524</v>
      </c>
      <c r="G744" s="3" t="s">
        <v>62</v>
      </c>
      <c r="I744" s="3" t="s">
        <v>61</v>
      </c>
      <c r="J744" s="3" t="s">
        <v>62</v>
      </c>
      <c r="K744" s="3" t="s">
        <v>63</v>
      </c>
      <c r="L744" s="2" t="s">
        <v>7525</v>
      </c>
      <c r="M744" s="2" t="s">
        <v>7526</v>
      </c>
      <c r="N744" s="3" t="s">
        <v>6410</v>
      </c>
      <c r="P744" s="3" t="s">
        <v>64</v>
      </c>
      <c r="R744" s="3" t="s">
        <v>65</v>
      </c>
      <c r="S744" s="4">
        <v>0</v>
      </c>
      <c r="T744" s="4">
        <v>9</v>
      </c>
      <c r="V744" s="5" t="s">
        <v>7311</v>
      </c>
      <c r="W744" s="5" t="s">
        <v>67</v>
      </c>
      <c r="X744" s="5" t="s">
        <v>67</v>
      </c>
      <c r="Y744" s="4">
        <v>1027</v>
      </c>
      <c r="Z744" s="4">
        <v>44</v>
      </c>
      <c r="AA744" s="4">
        <v>66</v>
      </c>
      <c r="AB744" s="4">
        <v>3</v>
      </c>
      <c r="AC744" s="4">
        <v>6</v>
      </c>
      <c r="AD744" s="4">
        <v>125</v>
      </c>
      <c r="AE744" s="4">
        <v>144</v>
      </c>
      <c r="AF744" s="4">
        <v>1</v>
      </c>
      <c r="AG744" s="4">
        <v>2</v>
      </c>
      <c r="AH744" s="4">
        <v>102</v>
      </c>
      <c r="AI744" s="4">
        <v>111</v>
      </c>
      <c r="AJ744" s="4">
        <v>19</v>
      </c>
      <c r="AK744" s="4">
        <v>24</v>
      </c>
      <c r="AL744" s="4">
        <v>56</v>
      </c>
      <c r="AM744" s="4">
        <v>59</v>
      </c>
      <c r="AN744" s="4">
        <v>0</v>
      </c>
      <c r="AO744" s="4">
        <v>1</v>
      </c>
      <c r="AP744" s="4">
        <v>28</v>
      </c>
      <c r="AQ744" s="4">
        <v>39</v>
      </c>
      <c r="AR744" s="3" t="s">
        <v>62</v>
      </c>
      <c r="AS744" s="3" t="s">
        <v>62</v>
      </c>
      <c r="AT744" s="3" t="s">
        <v>61</v>
      </c>
      <c r="AU744" s="6" t="str">
        <f>HYPERLINK("http://catalog.hathitrust.org/Record/001474480","HathiTrust Record")</f>
        <v>HathiTrust Record</v>
      </c>
      <c r="AV744" s="6" t="str">
        <f>HYPERLINK("http://mcgill.on.worldcat.org/oclc/2551377","Catalog Record")</f>
        <v>Catalog Record</v>
      </c>
      <c r="AW744" s="6" t="str">
        <f>HYPERLINK("http://www.worldcat.org/oclc/2551377","WorldCat Record")</f>
        <v>WorldCat Record</v>
      </c>
      <c r="AX744" s="3" t="s">
        <v>7527</v>
      </c>
      <c r="AY744" s="3" t="s">
        <v>7528</v>
      </c>
      <c r="AZ744" s="3" t="s">
        <v>7529</v>
      </c>
      <c r="BA744" s="3" t="s">
        <v>7529</v>
      </c>
      <c r="BB744" s="3" t="s">
        <v>7532</v>
      </c>
      <c r="BC744" s="3" t="s">
        <v>102</v>
      </c>
      <c r="BD744" s="3" t="s">
        <v>68</v>
      </c>
      <c r="BF744" s="3" t="s">
        <v>7532</v>
      </c>
      <c r="BG744" s="3" t="s">
        <v>7533</v>
      </c>
    </row>
    <row r="745" spans="1:59" ht="58" x14ac:dyDescent="0.35">
      <c r="A745" s="2" t="s">
        <v>89</v>
      </c>
      <c r="B745" s="2" t="s">
        <v>90</v>
      </c>
      <c r="C745" s="2" t="s">
        <v>7534</v>
      </c>
      <c r="D745" s="2" t="s">
        <v>7535</v>
      </c>
      <c r="E745" s="2" t="s">
        <v>7536</v>
      </c>
      <c r="G745" s="3" t="s">
        <v>62</v>
      </c>
      <c r="I745" s="3" t="s">
        <v>62</v>
      </c>
      <c r="J745" s="3" t="s">
        <v>62</v>
      </c>
      <c r="K745" s="3" t="s">
        <v>63</v>
      </c>
      <c r="L745" s="2" t="s">
        <v>7537</v>
      </c>
      <c r="M745" s="2" t="s">
        <v>7538</v>
      </c>
      <c r="N745" s="3" t="s">
        <v>1576</v>
      </c>
      <c r="P745" s="3" t="s">
        <v>64</v>
      </c>
      <c r="Q745" s="2" t="s">
        <v>7539</v>
      </c>
      <c r="R745" s="3" t="s">
        <v>65</v>
      </c>
      <c r="S745" s="4">
        <v>6</v>
      </c>
      <c r="T745" s="4">
        <v>6</v>
      </c>
      <c r="U745" s="5" t="s">
        <v>2125</v>
      </c>
      <c r="V745" s="5" t="s">
        <v>2125</v>
      </c>
      <c r="W745" s="5" t="s">
        <v>67</v>
      </c>
      <c r="X745" s="5" t="s">
        <v>67</v>
      </c>
      <c r="Y745" s="4">
        <v>574</v>
      </c>
      <c r="Z745" s="4">
        <v>40</v>
      </c>
      <c r="AA745" s="4">
        <v>46</v>
      </c>
      <c r="AB745" s="4">
        <v>3</v>
      </c>
      <c r="AC745" s="4">
        <v>6</v>
      </c>
      <c r="AD745" s="4">
        <v>124</v>
      </c>
      <c r="AE745" s="4">
        <v>133</v>
      </c>
      <c r="AF745" s="4">
        <v>1</v>
      </c>
      <c r="AG745" s="4">
        <v>4</v>
      </c>
      <c r="AH745" s="4">
        <v>99</v>
      </c>
      <c r="AI745" s="4">
        <v>105</v>
      </c>
      <c r="AJ745" s="4">
        <v>22</v>
      </c>
      <c r="AK745" s="4">
        <v>27</v>
      </c>
      <c r="AL745" s="4">
        <v>56</v>
      </c>
      <c r="AM745" s="4">
        <v>57</v>
      </c>
      <c r="AN745" s="4">
        <v>0</v>
      </c>
      <c r="AO745" s="4">
        <v>0</v>
      </c>
      <c r="AP745" s="4">
        <v>31</v>
      </c>
      <c r="AQ745" s="4">
        <v>36</v>
      </c>
      <c r="AR745" s="3" t="s">
        <v>62</v>
      </c>
      <c r="AS745" s="3" t="s">
        <v>62</v>
      </c>
      <c r="AT745" s="3" t="s">
        <v>61</v>
      </c>
      <c r="AU745" s="6" t="str">
        <f>HYPERLINK("http://catalog.hathitrust.org/Record/001474478","HathiTrust Record")</f>
        <v>HathiTrust Record</v>
      </c>
      <c r="AV745" s="6" t="str">
        <f>HYPERLINK("http://mcgill.on.worldcat.org/oclc/525608","Catalog Record")</f>
        <v>Catalog Record</v>
      </c>
      <c r="AW745" s="6" t="str">
        <f>HYPERLINK("http://www.worldcat.org/oclc/525608","WorldCat Record")</f>
        <v>WorldCat Record</v>
      </c>
      <c r="AX745" s="3" t="s">
        <v>7540</v>
      </c>
      <c r="AY745" s="3" t="s">
        <v>7541</v>
      </c>
      <c r="AZ745" s="3" t="s">
        <v>7542</v>
      </c>
      <c r="BA745" s="3" t="s">
        <v>7542</v>
      </c>
      <c r="BB745" s="3" t="s">
        <v>7543</v>
      </c>
      <c r="BC745" s="3" t="s">
        <v>102</v>
      </c>
      <c r="BD745" s="3" t="s">
        <v>231</v>
      </c>
      <c r="BF745" s="3" t="s">
        <v>7543</v>
      </c>
      <c r="BG745" s="3" t="s">
        <v>7544</v>
      </c>
    </row>
    <row r="746" spans="1:59" ht="58" x14ac:dyDescent="0.35">
      <c r="A746" s="2" t="s">
        <v>89</v>
      </c>
      <c r="B746" s="2" t="s">
        <v>90</v>
      </c>
      <c r="C746" s="2" t="s">
        <v>7545</v>
      </c>
      <c r="D746" s="2" t="s">
        <v>7546</v>
      </c>
      <c r="E746" s="2" t="s">
        <v>7547</v>
      </c>
      <c r="G746" s="3" t="s">
        <v>62</v>
      </c>
      <c r="I746" s="3" t="s">
        <v>61</v>
      </c>
      <c r="J746" s="3" t="s">
        <v>62</v>
      </c>
      <c r="K746" s="3" t="s">
        <v>63</v>
      </c>
      <c r="L746" s="2" t="s">
        <v>7548</v>
      </c>
      <c r="M746" s="2" t="s">
        <v>7549</v>
      </c>
      <c r="N746" s="3" t="s">
        <v>1662</v>
      </c>
      <c r="P746" s="3" t="s">
        <v>64</v>
      </c>
      <c r="Q746" s="2" t="s">
        <v>7550</v>
      </c>
      <c r="R746" s="3" t="s">
        <v>65</v>
      </c>
      <c r="S746" s="4">
        <v>11</v>
      </c>
      <c r="T746" s="4">
        <v>14</v>
      </c>
      <c r="U746" s="5" t="s">
        <v>7551</v>
      </c>
      <c r="V746" s="5" t="s">
        <v>7311</v>
      </c>
      <c r="W746" s="5" t="s">
        <v>67</v>
      </c>
      <c r="X746" s="5" t="s">
        <v>67</v>
      </c>
      <c r="Y746" s="4">
        <v>850</v>
      </c>
      <c r="Z746" s="4">
        <v>42</v>
      </c>
      <c r="AA746" s="4">
        <v>54</v>
      </c>
      <c r="AB746" s="4">
        <v>3</v>
      </c>
      <c r="AC746" s="4">
        <v>9</v>
      </c>
      <c r="AD746" s="4">
        <v>129</v>
      </c>
      <c r="AE746" s="4">
        <v>139</v>
      </c>
      <c r="AF746" s="4">
        <v>1</v>
      </c>
      <c r="AG746" s="4">
        <v>6</v>
      </c>
      <c r="AH746" s="4">
        <v>107</v>
      </c>
      <c r="AI746" s="4">
        <v>110</v>
      </c>
      <c r="AJ746" s="4">
        <v>23</v>
      </c>
      <c r="AK746" s="4">
        <v>28</v>
      </c>
      <c r="AL746" s="4">
        <v>56</v>
      </c>
      <c r="AM746" s="4">
        <v>57</v>
      </c>
      <c r="AN746" s="4">
        <v>0</v>
      </c>
      <c r="AO746" s="4">
        <v>5</v>
      </c>
      <c r="AP746" s="4">
        <v>30</v>
      </c>
      <c r="AQ746" s="4">
        <v>37</v>
      </c>
      <c r="AR746" s="3" t="s">
        <v>62</v>
      </c>
      <c r="AS746" s="3" t="s">
        <v>62</v>
      </c>
      <c r="AT746" s="3" t="s">
        <v>61</v>
      </c>
      <c r="AU746" s="6" t="str">
        <f>HYPERLINK("http://catalog.hathitrust.org/Record/001474488","HathiTrust Record")</f>
        <v>HathiTrust Record</v>
      </c>
      <c r="AV746" s="6" t="str">
        <f>HYPERLINK("http://mcgill.on.worldcat.org/oclc/180389","Catalog Record")</f>
        <v>Catalog Record</v>
      </c>
      <c r="AW746" s="6" t="str">
        <f>HYPERLINK("http://www.worldcat.org/oclc/180389","WorldCat Record")</f>
        <v>WorldCat Record</v>
      </c>
      <c r="AX746" s="3" t="s">
        <v>7552</v>
      </c>
      <c r="AY746" s="3" t="s">
        <v>7553</v>
      </c>
      <c r="AZ746" s="3" t="s">
        <v>7554</v>
      </c>
      <c r="BA746" s="3" t="s">
        <v>7554</v>
      </c>
      <c r="BB746" s="3" t="s">
        <v>7555</v>
      </c>
      <c r="BC746" s="3" t="s">
        <v>102</v>
      </c>
      <c r="BD746" s="3" t="s">
        <v>231</v>
      </c>
      <c r="BE746" s="3" t="s">
        <v>7556</v>
      </c>
      <c r="BF746" s="3" t="s">
        <v>7555</v>
      </c>
      <c r="BG746" s="3" t="s">
        <v>7557</v>
      </c>
    </row>
    <row r="747" spans="1:59" ht="58" x14ac:dyDescent="0.35">
      <c r="A747" s="2" t="s">
        <v>89</v>
      </c>
      <c r="B747" s="2" t="s">
        <v>90</v>
      </c>
      <c r="C747" s="2" t="s">
        <v>7558</v>
      </c>
      <c r="D747" s="2" t="s">
        <v>7559</v>
      </c>
      <c r="E747" s="2" t="s">
        <v>7560</v>
      </c>
      <c r="G747" s="3" t="s">
        <v>62</v>
      </c>
      <c r="I747" s="3" t="s">
        <v>61</v>
      </c>
      <c r="J747" s="3" t="s">
        <v>62</v>
      </c>
      <c r="K747" s="3" t="s">
        <v>63</v>
      </c>
      <c r="L747" s="2" t="s">
        <v>7561</v>
      </c>
      <c r="M747" s="2" t="s">
        <v>7562</v>
      </c>
      <c r="N747" s="3" t="s">
        <v>1077</v>
      </c>
      <c r="P747" s="3" t="s">
        <v>64</v>
      </c>
      <c r="Q747" s="2" t="s">
        <v>7563</v>
      </c>
      <c r="R747" s="3" t="s">
        <v>65</v>
      </c>
      <c r="S747" s="4">
        <v>1</v>
      </c>
      <c r="T747" s="4">
        <v>6</v>
      </c>
      <c r="U747" s="5" t="s">
        <v>7564</v>
      </c>
      <c r="V747" s="5" t="s">
        <v>6462</v>
      </c>
      <c r="W747" s="5" t="s">
        <v>67</v>
      </c>
      <c r="X747" s="5" t="s">
        <v>67</v>
      </c>
      <c r="Y747" s="4">
        <v>233</v>
      </c>
      <c r="Z747" s="4">
        <v>11</v>
      </c>
      <c r="AA747" s="4">
        <v>96</v>
      </c>
      <c r="AB747" s="4">
        <v>1</v>
      </c>
      <c r="AC747" s="4">
        <v>17</v>
      </c>
      <c r="AD747" s="4">
        <v>87</v>
      </c>
      <c r="AE747" s="4">
        <v>138</v>
      </c>
      <c r="AF747" s="4">
        <v>0</v>
      </c>
      <c r="AG747" s="4">
        <v>8</v>
      </c>
      <c r="AH747" s="4">
        <v>82</v>
      </c>
      <c r="AI747" s="4">
        <v>102</v>
      </c>
      <c r="AJ747" s="4">
        <v>9</v>
      </c>
      <c r="AK747" s="4">
        <v>22</v>
      </c>
      <c r="AL747" s="4">
        <v>51</v>
      </c>
      <c r="AM747" s="4">
        <v>59</v>
      </c>
      <c r="AN747" s="4">
        <v>0</v>
      </c>
      <c r="AO747" s="4">
        <v>0</v>
      </c>
      <c r="AP747" s="4">
        <v>9</v>
      </c>
      <c r="AQ747" s="4">
        <v>43</v>
      </c>
      <c r="AR747" s="3" t="s">
        <v>62</v>
      </c>
      <c r="AS747" s="3" t="s">
        <v>62</v>
      </c>
      <c r="AT747" s="3" t="s">
        <v>61</v>
      </c>
      <c r="AU747" s="6" t="str">
        <f>HYPERLINK("http://catalog.hathitrust.org/Record/002752930","HathiTrust Record")</f>
        <v>HathiTrust Record</v>
      </c>
      <c r="AV747" s="6" t="str">
        <f>HYPERLINK("http://mcgill.on.worldcat.org/oclc/27380421","Catalog Record")</f>
        <v>Catalog Record</v>
      </c>
      <c r="AW747" s="6" t="str">
        <f>HYPERLINK("http://www.worldcat.org/oclc/27380421","WorldCat Record")</f>
        <v>WorldCat Record</v>
      </c>
      <c r="AX747" s="3" t="s">
        <v>7565</v>
      </c>
      <c r="AY747" s="3" t="s">
        <v>7566</v>
      </c>
      <c r="AZ747" s="3" t="s">
        <v>7567</v>
      </c>
      <c r="BA747" s="3" t="s">
        <v>7567</v>
      </c>
      <c r="BB747" s="3" t="s">
        <v>7568</v>
      </c>
      <c r="BC747" s="3" t="s">
        <v>102</v>
      </c>
      <c r="BD747" s="3" t="s">
        <v>68</v>
      </c>
      <c r="BE747" s="3" t="s">
        <v>7569</v>
      </c>
      <c r="BF747" s="3" t="s">
        <v>7568</v>
      </c>
      <c r="BG747" s="3" t="s">
        <v>7570</v>
      </c>
    </row>
    <row r="748" spans="1:59" ht="58" x14ac:dyDescent="0.35">
      <c r="A748" s="2" t="s">
        <v>89</v>
      </c>
      <c r="B748" s="2" t="s">
        <v>90</v>
      </c>
      <c r="C748" s="2" t="s">
        <v>7571</v>
      </c>
      <c r="D748" s="2" t="s">
        <v>7572</v>
      </c>
      <c r="E748" s="2" t="s">
        <v>7573</v>
      </c>
      <c r="G748" s="3" t="s">
        <v>62</v>
      </c>
      <c r="I748" s="3" t="s">
        <v>61</v>
      </c>
      <c r="J748" s="3" t="s">
        <v>62</v>
      </c>
      <c r="K748" s="3" t="s">
        <v>63</v>
      </c>
      <c r="L748" s="2" t="s">
        <v>7574</v>
      </c>
      <c r="M748" s="2" t="s">
        <v>7575</v>
      </c>
      <c r="N748" s="3" t="s">
        <v>481</v>
      </c>
      <c r="P748" s="3" t="s">
        <v>64</v>
      </c>
      <c r="R748" s="3" t="s">
        <v>65</v>
      </c>
      <c r="S748" s="4">
        <v>5</v>
      </c>
      <c r="T748" s="4">
        <v>5</v>
      </c>
      <c r="U748" s="5" t="s">
        <v>7576</v>
      </c>
      <c r="V748" s="5" t="s">
        <v>7576</v>
      </c>
      <c r="W748" s="5" t="s">
        <v>67</v>
      </c>
      <c r="X748" s="5" t="s">
        <v>67</v>
      </c>
      <c r="Y748" s="4">
        <v>553</v>
      </c>
      <c r="Z748" s="4">
        <v>35</v>
      </c>
      <c r="AA748" s="4">
        <v>35</v>
      </c>
      <c r="AB748" s="4">
        <v>1</v>
      </c>
      <c r="AC748" s="4">
        <v>1</v>
      </c>
      <c r="AD748" s="4">
        <v>114</v>
      </c>
      <c r="AE748" s="4">
        <v>114</v>
      </c>
      <c r="AF748" s="4">
        <v>0</v>
      </c>
      <c r="AG748" s="4">
        <v>0</v>
      </c>
      <c r="AH748" s="4">
        <v>96</v>
      </c>
      <c r="AI748" s="4">
        <v>96</v>
      </c>
      <c r="AJ748" s="4">
        <v>16</v>
      </c>
      <c r="AK748" s="4">
        <v>16</v>
      </c>
      <c r="AL748" s="4">
        <v>53</v>
      </c>
      <c r="AM748" s="4">
        <v>53</v>
      </c>
      <c r="AN748" s="4">
        <v>0</v>
      </c>
      <c r="AO748" s="4">
        <v>0</v>
      </c>
      <c r="AP748" s="4">
        <v>25</v>
      </c>
      <c r="AQ748" s="4">
        <v>25</v>
      </c>
      <c r="AR748" s="3" t="s">
        <v>62</v>
      </c>
      <c r="AS748" s="3" t="s">
        <v>62</v>
      </c>
      <c r="AT748" s="3" t="s">
        <v>61</v>
      </c>
      <c r="AU748" s="6" t="str">
        <f>HYPERLINK("http://catalog.hathitrust.org/Record/003129660","HathiTrust Record")</f>
        <v>HathiTrust Record</v>
      </c>
      <c r="AV748" s="6" t="str">
        <f>HYPERLINK("http://mcgill.on.worldcat.org/oclc/34548765","Catalog Record")</f>
        <v>Catalog Record</v>
      </c>
      <c r="AW748" s="6" t="str">
        <f>HYPERLINK("http://www.worldcat.org/oclc/34548765","WorldCat Record")</f>
        <v>WorldCat Record</v>
      </c>
      <c r="AX748" s="3" t="s">
        <v>7577</v>
      </c>
      <c r="AY748" s="3" t="s">
        <v>7578</v>
      </c>
      <c r="AZ748" s="3" t="s">
        <v>7579</v>
      </c>
      <c r="BA748" s="3" t="s">
        <v>7579</v>
      </c>
      <c r="BB748" s="3" t="s">
        <v>7580</v>
      </c>
      <c r="BC748" s="3" t="s">
        <v>102</v>
      </c>
      <c r="BD748" s="3" t="s">
        <v>68</v>
      </c>
      <c r="BE748" s="3" t="s">
        <v>7581</v>
      </c>
      <c r="BF748" s="3" t="s">
        <v>7580</v>
      </c>
      <c r="BG748" s="3" t="s">
        <v>7582</v>
      </c>
    </row>
    <row r="749" spans="1:59" ht="58" x14ac:dyDescent="0.35">
      <c r="A749" s="2" t="s">
        <v>89</v>
      </c>
      <c r="B749" s="2" t="s">
        <v>90</v>
      </c>
      <c r="C749" s="2" t="s">
        <v>7583</v>
      </c>
      <c r="D749" s="2" t="s">
        <v>7584</v>
      </c>
      <c r="E749" s="2" t="s">
        <v>7585</v>
      </c>
      <c r="G749" s="3" t="s">
        <v>62</v>
      </c>
      <c r="I749" s="3" t="s">
        <v>62</v>
      </c>
      <c r="J749" s="3" t="s">
        <v>62</v>
      </c>
      <c r="K749" s="3" t="s">
        <v>63</v>
      </c>
      <c r="L749" s="2" t="s">
        <v>7586</v>
      </c>
      <c r="M749" s="2" t="s">
        <v>7587</v>
      </c>
      <c r="N749" s="3" t="s">
        <v>880</v>
      </c>
      <c r="P749" s="3" t="s">
        <v>64</v>
      </c>
      <c r="R749" s="3" t="s">
        <v>65</v>
      </c>
      <c r="S749" s="4">
        <v>0</v>
      </c>
      <c r="T749" s="4">
        <v>0</v>
      </c>
      <c r="W749" s="5" t="s">
        <v>67</v>
      </c>
      <c r="X749" s="5" t="s">
        <v>67</v>
      </c>
      <c r="Y749" s="4">
        <v>141</v>
      </c>
      <c r="Z749" s="4">
        <v>15</v>
      </c>
      <c r="AA749" s="4">
        <v>22</v>
      </c>
      <c r="AB749" s="4">
        <v>1</v>
      </c>
      <c r="AC749" s="4">
        <v>5</v>
      </c>
      <c r="AD749" s="4">
        <v>66</v>
      </c>
      <c r="AE749" s="4">
        <v>73</v>
      </c>
      <c r="AF749" s="4">
        <v>0</v>
      </c>
      <c r="AG749" s="4">
        <v>2</v>
      </c>
      <c r="AH749" s="4">
        <v>59</v>
      </c>
      <c r="AI749" s="4">
        <v>63</v>
      </c>
      <c r="AJ749" s="4">
        <v>11</v>
      </c>
      <c r="AK749" s="4">
        <v>15</v>
      </c>
      <c r="AL749" s="4">
        <v>31</v>
      </c>
      <c r="AM749" s="4">
        <v>32</v>
      </c>
      <c r="AN749" s="4">
        <v>0</v>
      </c>
      <c r="AO749" s="4">
        <v>0</v>
      </c>
      <c r="AP749" s="4">
        <v>13</v>
      </c>
      <c r="AQ749" s="4">
        <v>18</v>
      </c>
      <c r="AR749" s="3" t="s">
        <v>62</v>
      </c>
      <c r="AS749" s="3" t="s">
        <v>62</v>
      </c>
      <c r="AT749" s="3" t="s">
        <v>62</v>
      </c>
      <c r="AV749" s="6" t="str">
        <f>HYPERLINK("http://mcgill.on.worldcat.org/oclc/435731059","Catalog Record")</f>
        <v>Catalog Record</v>
      </c>
      <c r="AW749" s="6" t="str">
        <f>HYPERLINK("http://www.worldcat.org/oclc/435731059","WorldCat Record")</f>
        <v>WorldCat Record</v>
      </c>
      <c r="AX749" s="3" t="s">
        <v>7588</v>
      </c>
      <c r="AY749" s="3" t="s">
        <v>7589</v>
      </c>
      <c r="AZ749" s="3" t="s">
        <v>7590</v>
      </c>
      <c r="BA749" s="3" t="s">
        <v>7590</v>
      </c>
      <c r="BB749" s="3" t="s">
        <v>7591</v>
      </c>
      <c r="BC749" s="3" t="s">
        <v>102</v>
      </c>
      <c r="BD749" s="3" t="s">
        <v>68</v>
      </c>
      <c r="BE749" s="3" t="s">
        <v>7592</v>
      </c>
      <c r="BF749" s="3" t="s">
        <v>7591</v>
      </c>
      <c r="BG749" s="3" t="s">
        <v>7593</v>
      </c>
    </row>
    <row r="750" spans="1:59" ht="58" x14ac:dyDescent="0.35">
      <c r="A750" s="2" t="s">
        <v>89</v>
      </c>
      <c r="B750" s="2" t="s">
        <v>90</v>
      </c>
      <c r="C750" s="2" t="s">
        <v>7594</v>
      </c>
      <c r="D750" s="2" t="s">
        <v>7595</v>
      </c>
      <c r="E750" s="2" t="s">
        <v>7596</v>
      </c>
      <c r="G750" s="3" t="s">
        <v>62</v>
      </c>
      <c r="I750" s="3" t="s">
        <v>62</v>
      </c>
      <c r="J750" s="3" t="s">
        <v>62</v>
      </c>
      <c r="K750" s="3" t="s">
        <v>63</v>
      </c>
      <c r="L750" s="2" t="s">
        <v>7597</v>
      </c>
      <c r="M750" s="2" t="s">
        <v>7598</v>
      </c>
      <c r="N750" s="3" t="s">
        <v>838</v>
      </c>
      <c r="P750" s="3" t="s">
        <v>64</v>
      </c>
      <c r="Q750" s="2" t="s">
        <v>7599</v>
      </c>
      <c r="R750" s="3" t="s">
        <v>65</v>
      </c>
      <c r="S750" s="4">
        <v>2</v>
      </c>
      <c r="T750" s="4">
        <v>2</v>
      </c>
      <c r="U750" s="5" t="s">
        <v>7038</v>
      </c>
      <c r="V750" s="5" t="s">
        <v>7038</v>
      </c>
      <c r="W750" s="5" t="s">
        <v>67</v>
      </c>
      <c r="X750" s="5" t="s">
        <v>67</v>
      </c>
      <c r="Y750" s="4">
        <v>418</v>
      </c>
      <c r="Z750" s="4">
        <v>22</v>
      </c>
      <c r="AA750" s="4">
        <v>23</v>
      </c>
      <c r="AB750" s="4">
        <v>2</v>
      </c>
      <c r="AC750" s="4">
        <v>3</v>
      </c>
      <c r="AD750" s="4">
        <v>73</v>
      </c>
      <c r="AE750" s="4">
        <v>74</v>
      </c>
      <c r="AF750" s="4">
        <v>1</v>
      </c>
      <c r="AG750" s="4">
        <v>2</v>
      </c>
      <c r="AH750" s="4">
        <v>62</v>
      </c>
      <c r="AI750" s="4">
        <v>63</v>
      </c>
      <c r="AJ750" s="4">
        <v>14</v>
      </c>
      <c r="AK750" s="4">
        <v>15</v>
      </c>
      <c r="AL750" s="4">
        <v>34</v>
      </c>
      <c r="AM750" s="4">
        <v>34</v>
      </c>
      <c r="AN750" s="4">
        <v>0</v>
      </c>
      <c r="AO750" s="4">
        <v>0</v>
      </c>
      <c r="AP750" s="4">
        <v>15</v>
      </c>
      <c r="AQ750" s="4">
        <v>16</v>
      </c>
      <c r="AR750" s="3" t="s">
        <v>62</v>
      </c>
      <c r="AS750" s="3" t="s">
        <v>62</v>
      </c>
      <c r="AT750" s="3" t="s">
        <v>61</v>
      </c>
      <c r="AU750" s="6" t="str">
        <f>HYPERLINK("http://catalog.hathitrust.org/Record/001474499","HathiTrust Record")</f>
        <v>HathiTrust Record</v>
      </c>
      <c r="AV750" s="6" t="str">
        <f>HYPERLINK("http://mcgill.on.worldcat.org/oclc/525629","Catalog Record")</f>
        <v>Catalog Record</v>
      </c>
      <c r="AW750" s="6" t="str">
        <f>HYPERLINK("http://www.worldcat.org/oclc/525629","WorldCat Record")</f>
        <v>WorldCat Record</v>
      </c>
      <c r="AX750" s="3" t="s">
        <v>7600</v>
      </c>
      <c r="AY750" s="3" t="s">
        <v>7601</v>
      </c>
      <c r="AZ750" s="3" t="s">
        <v>7602</v>
      </c>
      <c r="BA750" s="3" t="s">
        <v>7602</v>
      </c>
      <c r="BB750" s="3" t="s">
        <v>7603</v>
      </c>
      <c r="BC750" s="3" t="s">
        <v>102</v>
      </c>
      <c r="BD750" s="3" t="s">
        <v>68</v>
      </c>
      <c r="BF750" s="3" t="s">
        <v>7603</v>
      </c>
      <c r="BG750" s="3" t="s">
        <v>7604</v>
      </c>
    </row>
    <row r="751" spans="1:59" ht="58" x14ac:dyDescent="0.35">
      <c r="A751" s="2" t="s">
        <v>89</v>
      </c>
      <c r="B751" s="2" t="s">
        <v>90</v>
      </c>
      <c r="C751" s="2" t="s">
        <v>7605</v>
      </c>
      <c r="D751" s="2" t="s">
        <v>7606</v>
      </c>
      <c r="E751" s="2" t="s">
        <v>7607</v>
      </c>
      <c r="G751" s="3" t="s">
        <v>62</v>
      </c>
      <c r="I751" s="3" t="s">
        <v>61</v>
      </c>
      <c r="J751" s="3" t="s">
        <v>62</v>
      </c>
      <c r="K751" s="3" t="s">
        <v>63</v>
      </c>
      <c r="M751" s="2" t="s">
        <v>7608</v>
      </c>
      <c r="N751" s="3" t="s">
        <v>2000</v>
      </c>
      <c r="P751" s="3" t="s">
        <v>64</v>
      </c>
      <c r="Q751" s="2" t="s">
        <v>7609</v>
      </c>
      <c r="R751" s="3" t="s">
        <v>65</v>
      </c>
      <c r="S751" s="4">
        <v>24</v>
      </c>
      <c r="T751" s="4">
        <v>60</v>
      </c>
      <c r="U751" s="5" t="s">
        <v>7610</v>
      </c>
      <c r="V751" s="5" t="s">
        <v>7610</v>
      </c>
      <c r="W751" s="5" t="s">
        <v>67</v>
      </c>
      <c r="X751" s="5" t="s">
        <v>67</v>
      </c>
      <c r="Y751" s="4">
        <v>471</v>
      </c>
      <c r="Z751" s="4">
        <v>27</v>
      </c>
      <c r="AA751" s="4">
        <v>28</v>
      </c>
      <c r="AB751" s="4">
        <v>2</v>
      </c>
      <c r="AC751" s="4">
        <v>3</v>
      </c>
      <c r="AD751" s="4">
        <v>109</v>
      </c>
      <c r="AE751" s="4">
        <v>110</v>
      </c>
      <c r="AF751" s="4">
        <v>1</v>
      </c>
      <c r="AG751" s="4">
        <v>2</v>
      </c>
      <c r="AH751" s="4">
        <v>96</v>
      </c>
      <c r="AI751" s="4">
        <v>97</v>
      </c>
      <c r="AJ751" s="4">
        <v>16</v>
      </c>
      <c r="AK751" s="4">
        <v>17</v>
      </c>
      <c r="AL751" s="4">
        <v>50</v>
      </c>
      <c r="AM751" s="4">
        <v>50</v>
      </c>
      <c r="AN751" s="4">
        <v>0</v>
      </c>
      <c r="AO751" s="4">
        <v>0</v>
      </c>
      <c r="AP751" s="4">
        <v>21</v>
      </c>
      <c r="AQ751" s="4">
        <v>22</v>
      </c>
      <c r="AR751" s="3" t="s">
        <v>62</v>
      </c>
      <c r="AS751" s="3" t="s">
        <v>62</v>
      </c>
      <c r="AT751" s="3" t="s">
        <v>62</v>
      </c>
      <c r="AV751" s="6" t="str">
        <f>HYPERLINK("http://mcgill.on.worldcat.org/oclc/32468580","Catalog Record")</f>
        <v>Catalog Record</v>
      </c>
      <c r="AW751" s="6" t="str">
        <f>HYPERLINK("http://www.worldcat.org/oclc/32468580","WorldCat Record")</f>
        <v>WorldCat Record</v>
      </c>
      <c r="AX751" s="3" t="s">
        <v>7611</v>
      </c>
      <c r="AY751" s="3" t="s">
        <v>7612</v>
      </c>
      <c r="AZ751" s="3" t="s">
        <v>7613</v>
      </c>
      <c r="BA751" s="3" t="s">
        <v>7613</v>
      </c>
      <c r="BB751" s="3" t="s">
        <v>7614</v>
      </c>
      <c r="BC751" s="3" t="s">
        <v>102</v>
      </c>
      <c r="BD751" s="3" t="s">
        <v>68</v>
      </c>
      <c r="BE751" s="3" t="s">
        <v>7615</v>
      </c>
      <c r="BF751" s="3" t="s">
        <v>7614</v>
      </c>
      <c r="BG751" s="3" t="s">
        <v>7616</v>
      </c>
    </row>
    <row r="752" spans="1:59" ht="58" x14ac:dyDescent="0.35">
      <c r="A752" s="2" t="s">
        <v>89</v>
      </c>
      <c r="B752" s="2" t="s">
        <v>90</v>
      </c>
      <c r="C752" s="2" t="s">
        <v>7617</v>
      </c>
      <c r="D752" s="2" t="s">
        <v>7618</v>
      </c>
      <c r="E752" s="2" t="s">
        <v>7619</v>
      </c>
      <c r="G752" s="3" t="s">
        <v>62</v>
      </c>
      <c r="I752" s="3" t="s">
        <v>61</v>
      </c>
      <c r="J752" s="3" t="s">
        <v>61</v>
      </c>
      <c r="K752" s="3" t="s">
        <v>63</v>
      </c>
      <c r="L752" s="2" t="s">
        <v>7620</v>
      </c>
      <c r="M752" s="2" t="s">
        <v>7621</v>
      </c>
      <c r="N752" s="3" t="s">
        <v>7622</v>
      </c>
      <c r="P752" s="3" t="s">
        <v>64</v>
      </c>
      <c r="Q752" s="2" t="s">
        <v>7623</v>
      </c>
      <c r="R752" s="3" t="s">
        <v>65</v>
      </c>
      <c r="S752" s="4">
        <v>4</v>
      </c>
      <c r="T752" s="4">
        <v>4</v>
      </c>
      <c r="U752" s="5" t="s">
        <v>1512</v>
      </c>
      <c r="V752" s="5" t="s">
        <v>1512</v>
      </c>
      <c r="W752" s="5" t="s">
        <v>67</v>
      </c>
      <c r="X752" s="5" t="s">
        <v>67</v>
      </c>
      <c r="Y752" s="4">
        <v>141</v>
      </c>
      <c r="Z752" s="4">
        <v>14</v>
      </c>
      <c r="AA752" s="4">
        <v>110</v>
      </c>
      <c r="AB752" s="4">
        <v>1</v>
      </c>
      <c r="AC752" s="4">
        <v>17</v>
      </c>
      <c r="AD752" s="4">
        <v>29</v>
      </c>
      <c r="AE752" s="4">
        <v>164</v>
      </c>
      <c r="AF752" s="4">
        <v>0</v>
      </c>
      <c r="AG752" s="4">
        <v>8</v>
      </c>
      <c r="AH752" s="4">
        <v>24</v>
      </c>
      <c r="AI752" s="4">
        <v>117</v>
      </c>
      <c r="AJ752" s="4">
        <v>4</v>
      </c>
      <c r="AK752" s="4">
        <v>27</v>
      </c>
      <c r="AL752" s="4">
        <v>14</v>
      </c>
      <c r="AM752" s="4">
        <v>64</v>
      </c>
      <c r="AN752" s="4">
        <v>0</v>
      </c>
      <c r="AO752" s="4">
        <v>1</v>
      </c>
      <c r="AP752" s="4">
        <v>7</v>
      </c>
      <c r="AQ752" s="4">
        <v>52</v>
      </c>
      <c r="AR752" s="3" t="s">
        <v>62</v>
      </c>
      <c r="AS752" s="3" t="s">
        <v>62</v>
      </c>
      <c r="AT752" s="3" t="s">
        <v>62</v>
      </c>
      <c r="AV752" s="6" t="str">
        <f>HYPERLINK("http://mcgill.on.worldcat.org/oclc/7501402","Catalog Record")</f>
        <v>Catalog Record</v>
      </c>
      <c r="AW752" s="6" t="str">
        <f>HYPERLINK("http://www.worldcat.org/oclc/7501402","WorldCat Record")</f>
        <v>WorldCat Record</v>
      </c>
      <c r="AX752" s="3" t="s">
        <v>7624</v>
      </c>
      <c r="AY752" s="3" t="s">
        <v>7625</v>
      </c>
      <c r="AZ752" s="3" t="s">
        <v>7626</v>
      </c>
      <c r="BA752" s="3" t="s">
        <v>7626</v>
      </c>
      <c r="BB752" s="3" t="s">
        <v>7627</v>
      </c>
      <c r="BC752" s="3" t="s">
        <v>102</v>
      </c>
      <c r="BD752" s="3" t="s">
        <v>68</v>
      </c>
      <c r="BF752" s="3" t="s">
        <v>7627</v>
      </c>
      <c r="BG752" s="3" t="s">
        <v>7628</v>
      </c>
    </row>
    <row r="753" spans="1:59" ht="58" x14ac:dyDescent="0.35">
      <c r="A753" s="2" t="s">
        <v>89</v>
      </c>
      <c r="B753" s="2" t="s">
        <v>90</v>
      </c>
      <c r="C753" s="2" t="s">
        <v>7629</v>
      </c>
      <c r="D753" s="2" t="s">
        <v>7630</v>
      </c>
      <c r="E753" s="2" t="s">
        <v>7631</v>
      </c>
      <c r="F753" s="3" t="s">
        <v>1413</v>
      </c>
      <c r="G753" s="3" t="s">
        <v>61</v>
      </c>
      <c r="I753" s="3" t="s">
        <v>62</v>
      </c>
      <c r="J753" s="3" t="s">
        <v>62</v>
      </c>
      <c r="K753" s="3" t="s">
        <v>63</v>
      </c>
      <c r="L753" s="2" t="s">
        <v>7632</v>
      </c>
      <c r="M753" s="2" t="s">
        <v>7633</v>
      </c>
      <c r="N753" s="3" t="s">
        <v>1467</v>
      </c>
      <c r="P753" s="3" t="s">
        <v>85</v>
      </c>
      <c r="Q753" s="2" t="s">
        <v>7634</v>
      </c>
      <c r="R753" s="3" t="s">
        <v>65</v>
      </c>
      <c r="S753" s="4">
        <v>16</v>
      </c>
      <c r="T753" s="4">
        <v>32</v>
      </c>
      <c r="U753" s="5" t="s">
        <v>3331</v>
      </c>
      <c r="V753" s="5" t="s">
        <v>3331</v>
      </c>
      <c r="W753" s="5" t="s">
        <v>67</v>
      </c>
      <c r="X753" s="5" t="s">
        <v>67</v>
      </c>
      <c r="Y753" s="4">
        <v>185</v>
      </c>
      <c r="Z753" s="4">
        <v>18</v>
      </c>
      <c r="AA753" s="4">
        <v>31</v>
      </c>
      <c r="AB753" s="4">
        <v>2</v>
      </c>
      <c r="AC753" s="4">
        <v>6</v>
      </c>
      <c r="AD753" s="4">
        <v>79</v>
      </c>
      <c r="AE753" s="4">
        <v>106</v>
      </c>
      <c r="AF753" s="4">
        <v>1</v>
      </c>
      <c r="AG753" s="4">
        <v>3</v>
      </c>
      <c r="AH753" s="4">
        <v>67</v>
      </c>
      <c r="AI753" s="4">
        <v>87</v>
      </c>
      <c r="AJ753" s="4">
        <v>14</v>
      </c>
      <c r="AK753" s="4">
        <v>20</v>
      </c>
      <c r="AL753" s="4">
        <v>45</v>
      </c>
      <c r="AM753" s="4">
        <v>50</v>
      </c>
      <c r="AN753" s="4">
        <v>0</v>
      </c>
      <c r="AO753" s="4">
        <v>0</v>
      </c>
      <c r="AP753" s="4">
        <v>16</v>
      </c>
      <c r="AQ753" s="4">
        <v>24</v>
      </c>
      <c r="AR753" s="3" t="s">
        <v>62</v>
      </c>
      <c r="AS753" s="3" t="s">
        <v>62</v>
      </c>
      <c r="AT753" s="3" t="s">
        <v>61</v>
      </c>
      <c r="AU753" s="6" t="str">
        <f>HYPERLINK("http://catalog.hathitrust.org/Record/001919790","HathiTrust Record")</f>
        <v>HathiTrust Record</v>
      </c>
      <c r="AV753" s="6" t="str">
        <f>HYPERLINK("http://mcgill.on.worldcat.org/oclc/16772864","Catalog Record")</f>
        <v>Catalog Record</v>
      </c>
      <c r="AW753" s="6" t="str">
        <f>HYPERLINK("http://www.worldcat.org/oclc/16772864","WorldCat Record")</f>
        <v>WorldCat Record</v>
      </c>
      <c r="AX753" s="3" t="s">
        <v>7635</v>
      </c>
      <c r="AY753" s="3" t="s">
        <v>7636</v>
      </c>
      <c r="AZ753" s="3" t="s">
        <v>7637</v>
      </c>
      <c r="BA753" s="3" t="s">
        <v>7637</v>
      </c>
      <c r="BB753" s="3" t="s">
        <v>7638</v>
      </c>
      <c r="BC753" s="3" t="s">
        <v>102</v>
      </c>
      <c r="BD753" s="3" t="s">
        <v>68</v>
      </c>
      <c r="BF753" s="3" t="s">
        <v>7638</v>
      </c>
      <c r="BG753" s="3" t="s">
        <v>7639</v>
      </c>
    </row>
    <row r="754" spans="1:59" ht="58" x14ac:dyDescent="0.35">
      <c r="A754" s="2" t="s">
        <v>89</v>
      </c>
      <c r="B754" s="2" t="s">
        <v>90</v>
      </c>
      <c r="C754" s="2" t="s">
        <v>7629</v>
      </c>
      <c r="D754" s="2" t="s">
        <v>7630</v>
      </c>
      <c r="E754" s="2" t="s">
        <v>7631</v>
      </c>
      <c r="F754" s="3" t="s">
        <v>1416</v>
      </c>
      <c r="G754" s="3" t="s">
        <v>61</v>
      </c>
      <c r="I754" s="3" t="s">
        <v>62</v>
      </c>
      <c r="J754" s="3" t="s">
        <v>62</v>
      </c>
      <c r="K754" s="3" t="s">
        <v>63</v>
      </c>
      <c r="L754" s="2" t="s">
        <v>7632</v>
      </c>
      <c r="M754" s="2" t="s">
        <v>7633</v>
      </c>
      <c r="N754" s="3" t="s">
        <v>1467</v>
      </c>
      <c r="P754" s="3" t="s">
        <v>85</v>
      </c>
      <c r="Q754" s="2" t="s">
        <v>7634</v>
      </c>
      <c r="R754" s="3" t="s">
        <v>65</v>
      </c>
      <c r="S754" s="4">
        <v>16</v>
      </c>
      <c r="T754" s="4">
        <v>32</v>
      </c>
      <c r="U754" s="5" t="s">
        <v>3331</v>
      </c>
      <c r="V754" s="5" t="s">
        <v>3331</v>
      </c>
      <c r="W754" s="5" t="s">
        <v>67</v>
      </c>
      <c r="X754" s="5" t="s">
        <v>67</v>
      </c>
      <c r="Y754" s="4">
        <v>185</v>
      </c>
      <c r="Z754" s="4">
        <v>18</v>
      </c>
      <c r="AA754" s="4">
        <v>31</v>
      </c>
      <c r="AB754" s="4">
        <v>2</v>
      </c>
      <c r="AC754" s="4">
        <v>6</v>
      </c>
      <c r="AD754" s="4">
        <v>79</v>
      </c>
      <c r="AE754" s="4">
        <v>106</v>
      </c>
      <c r="AF754" s="4">
        <v>1</v>
      </c>
      <c r="AG754" s="4">
        <v>3</v>
      </c>
      <c r="AH754" s="4">
        <v>67</v>
      </c>
      <c r="AI754" s="4">
        <v>87</v>
      </c>
      <c r="AJ754" s="4">
        <v>14</v>
      </c>
      <c r="AK754" s="4">
        <v>20</v>
      </c>
      <c r="AL754" s="4">
        <v>45</v>
      </c>
      <c r="AM754" s="4">
        <v>50</v>
      </c>
      <c r="AN754" s="4">
        <v>0</v>
      </c>
      <c r="AO754" s="4">
        <v>0</v>
      </c>
      <c r="AP754" s="4">
        <v>16</v>
      </c>
      <c r="AQ754" s="4">
        <v>24</v>
      </c>
      <c r="AR754" s="3" t="s">
        <v>62</v>
      </c>
      <c r="AS754" s="3" t="s">
        <v>62</v>
      </c>
      <c r="AT754" s="3" t="s">
        <v>61</v>
      </c>
      <c r="AU754" s="6" t="str">
        <f>HYPERLINK("http://catalog.hathitrust.org/Record/001919790","HathiTrust Record")</f>
        <v>HathiTrust Record</v>
      </c>
      <c r="AV754" s="6" t="str">
        <f>HYPERLINK("http://mcgill.on.worldcat.org/oclc/16772864","Catalog Record")</f>
        <v>Catalog Record</v>
      </c>
      <c r="AW754" s="6" t="str">
        <f>HYPERLINK("http://www.worldcat.org/oclc/16772864","WorldCat Record")</f>
        <v>WorldCat Record</v>
      </c>
      <c r="AX754" s="3" t="s">
        <v>7635</v>
      </c>
      <c r="AY754" s="3" t="s">
        <v>7636</v>
      </c>
      <c r="AZ754" s="3" t="s">
        <v>7637</v>
      </c>
      <c r="BA754" s="3" t="s">
        <v>7637</v>
      </c>
      <c r="BB754" s="3" t="s">
        <v>7640</v>
      </c>
      <c r="BC754" s="3" t="s">
        <v>102</v>
      </c>
      <c r="BD754" s="3" t="s">
        <v>68</v>
      </c>
      <c r="BF754" s="3" t="s">
        <v>7640</v>
      </c>
      <c r="BG754" s="3" t="s">
        <v>7641</v>
      </c>
    </row>
    <row r="755" spans="1:59" ht="58" x14ac:dyDescent="0.35">
      <c r="A755" s="2" t="s">
        <v>89</v>
      </c>
      <c r="B755" s="2" t="s">
        <v>90</v>
      </c>
      <c r="C755" s="2" t="s">
        <v>7642</v>
      </c>
      <c r="D755" s="2" t="s">
        <v>7643</v>
      </c>
      <c r="E755" s="2" t="s">
        <v>7644</v>
      </c>
      <c r="G755" s="3" t="s">
        <v>62</v>
      </c>
      <c r="I755" s="3" t="s">
        <v>62</v>
      </c>
      <c r="J755" s="3" t="s">
        <v>61</v>
      </c>
      <c r="K755" s="3" t="s">
        <v>63</v>
      </c>
      <c r="L755" s="2" t="s">
        <v>7645</v>
      </c>
      <c r="M755" s="2" t="s">
        <v>7646</v>
      </c>
      <c r="N755" s="3" t="s">
        <v>6259</v>
      </c>
      <c r="P755" s="3" t="s">
        <v>64</v>
      </c>
      <c r="Q755" s="2" t="s">
        <v>7647</v>
      </c>
      <c r="R755" s="3" t="s">
        <v>65</v>
      </c>
      <c r="S755" s="4">
        <v>17</v>
      </c>
      <c r="T755" s="4">
        <v>17</v>
      </c>
      <c r="U755" s="5" t="s">
        <v>1118</v>
      </c>
      <c r="V755" s="5" t="s">
        <v>1118</v>
      </c>
      <c r="W755" s="5" t="s">
        <v>67</v>
      </c>
      <c r="X755" s="5" t="s">
        <v>67</v>
      </c>
      <c r="Y755" s="4">
        <v>549</v>
      </c>
      <c r="Z755" s="4">
        <v>25</v>
      </c>
      <c r="AA755" s="4">
        <v>54</v>
      </c>
      <c r="AB755" s="4">
        <v>2</v>
      </c>
      <c r="AC755" s="4">
        <v>5</v>
      </c>
      <c r="AD755" s="4">
        <v>102</v>
      </c>
      <c r="AE755" s="4">
        <v>139</v>
      </c>
      <c r="AF755" s="4">
        <v>1</v>
      </c>
      <c r="AG755" s="4">
        <v>3</v>
      </c>
      <c r="AH755" s="4">
        <v>84</v>
      </c>
      <c r="AI755" s="4">
        <v>106</v>
      </c>
      <c r="AJ755" s="4">
        <v>10</v>
      </c>
      <c r="AK755" s="4">
        <v>24</v>
      </c>
      <c r="AL755" s="4">
        <v>49</v>
      </c>
      <c r="AM755" s="4">
        <v>56</v>
      </c>
      <c r="AN755" s="4">
        <v>0</v>
      </c>
      <c r="AO755" s="4">
        <v>0</v>
      </c>
      <c r="AP755" s="4">
        <v>20</v>
      </c>
      <c r="AQ755" s="4">
        <v>40</v>
      </c>
      <c r="AR755" s="3" t="s">
        <v>62</v>
      </c>
      <c r="AS755" s="3" t="s">
        <v>62</v>
      </c>
      <c r="AT755" s="3" t="s">
        <v>62</v>
      </c>
      <c r="AU755" s="6" t="str">
        <f>HYPERLINK("http://catalog.hathitrust.org/Record/001474512","HathiTrust Record")</f>
        <v>HathiTrust Record</v>
      </c>
      <c r="AV755" s="6" t="str">
        <f>HYPERLINK("http://mcgill.on.worldcat.org/oclc/544969","Catalog Record")</f>
        <v>Catalog Record</v>
      </c>
      <c r="AW755" s="6" t="str">
        <f>HYPERLINK("http://www.worldcat.org/oclc/544969","WorldCat Record")</f>
        <v>WorldCat Record</v>
      </c>
      <c r="AX755" s="3" t="s">
        <v>7648</v>
      </c>
      <c r="AY755" s="3" t="s">
        <v>7649</v>
      </c>
      <c r="AZ755" s="3" t="s">
        <v>7650</v>
      </c>
      <c r="BA755" s="3" t="s">
        <v>7650</v>
      </c>
      <c r="BB755" s="3" t="s">
        <v>7651</v>
      </c>
      <c r="BC755" s="3" t="s">
        <v>102</v>
      </c>
      <c r="BD755" s="3" t="s">
        <v>68</v>
      </c>
      <c r="BF755" s="3" t="s">
        <v>7651</v>
      </c>
      <c r="BG755" s="3" t="s">
        <v>7652</v>
      </c>
    </row>
    <row r="756" spans="1:59" ht="72.5" x14ac:dyDescent="0.35">
      <c r="A756" s="2" t="s">
        <v>89</v>
      </c>
      <c r="B756" s="2" t="s">
        <v>90</v>
      </c>
      <c r="C756" s="2" t="s">
        <v>7653</v>
      </c>
      <c r="D756" s="2" t="s">
        <v>7654</v>
      </c>
      <c r="E756" s="2" t="s">
        <v>7655</v>
      </c>
      <c r="G756" s="3" t="s">
        <v>62</v>
      </c>
      <c r="I756" s="3" t="s">
        <v>62</v>
      </c>
      <c r="J756" s="3" t="s">
        <v>62</v>
      </c>
      <c r="K756" s="3" t="s">
        <v>63</v>
      </c>
      <c r="M756" s="2" t="s">
        <v>7656</v>
      </c>
      <c r="N756" s="3" t="s">
        <v>726</v>
      </c>
      <c r="P756" s="3" t="s">
        <v>64</v>
      </c>
      <c r="Q756" s="2" t="s">
        <v>7657</v>
      </c>
      <c r="R756" s="3" t="s">
        <v>65</v>
      </c>
      <c r="S756" s="4">
        <v>0</v>
      </c>
      <c r="T756" s="4">
        <v>0</v>
      </c>
      <c r="W756" s="5" t="s">
        <v>67</v>
      </c>
      <c r="X756" s="5" t="s">
        <v>67</v>
      </c>
      <c r="Y756" s="4">
        <v>19</v>
      </c>
      <c r="Z756" s="4">
        <v>2</v>
      </c>
      <c r="AA756" s="4">
        <v>12</v>
      </c>
      <c r="AB756" s="4">
        <v>1</v>
      </c>
      <c r="AC756" s="4">
        <v>5</v>
      </c>
      <c r="AD756" s="4">
        <v>9</v>
      </c>
      <c r="AE756" s="4">
        <v>28</v>
      </c>
      <c r="AF756" s="4">
        <v>0</v>
      </c>
      <c r="AG756" s="4">
        <v>2</v>
      </c>
      <c r="AH756" s="4">
        <v>8</v>
      </c>
      <c r="AI756" s="4">
        <v>21</v>
      </c>
      <c r="AJ756" s="4">
        <v>1</v>
      </c>
      <c r="AK756" s="4">
        <v>7</v>
      </c>
      <c r="AL756" s="4">
        <v>6</v>
      </c>
      <c r="AM756" s="4">
        <v>14</v>
      </c>
      <c r="AN756" s="4">
        <v>0</v>
      </c>
      <c r="AO756" s="4">
        <v>0</v>
      </c>
      <c r="AP756" s="4">
        <v>1</v>
      </c>
      <c r="AQ756" s="4">
        <v>9</v>
      </c>
      <c r="AR756" s="3" t="s">
        <v>62</v>
      </c>
      <c r="AS756" s="3" t="s">
        <v>62</v>
      </c>
      <c r="AT756" s="3" t="s">
        <v>62</v>
      </c>
      <c r="AV756" s="6" t="str">
        <f>HYPERLINK("http://mcgill.on.worldcat.org/oclc/967500780","Catalog Record")</f>
        <v>Catalog Record</v>
      </c>
      <c r="AW756" s="6" t="str">
        <f>HYPERLINK("http://www.worldcat.org/oclc/967500780","WorldCat Record")</f>
        <v>WorldCat Record</v>
      </c>
      <c r="AX756" s="3" t="s">
        <v>7658</v>
      </c>
      <c r="AY756" s="3" t="s">
        <v>7659</v>
      </c>
      <c r="AZ756" s="3" t="s">
        <v>7660</v>
      </c>
      <c r="BA756" s="3" t="s">
        <v>7660</v>
      </c>
      <c r="BB756" s="3" t="s">
        <v>7661</v>
      </c>
      <c r="BC756" s="3" t="s">
        <v>102</v>
      </c>
      <c r="BD756" s="3" t="s">
        <v>68</v>
      </c>
      <c r="BE756" s="3" t="s">
        <v>7662</v>
      </c>
      <c r="BF756" s="3" t="s">
        <v>7661</v>
      </c>
      <c r="BG756" s="3" t="s">
        <v>7663</v>
      </c>
    </row>
    <row r="757" spans="1:59" ht="58" x14ac:dyDescent="0.35">
      <c r="A757" s="2" t="s">
        <v>89</v>
      </c>
      <c r="B757" s="2" t="s">
        <v>90</v>
      </c>
      <c r="C757" s="2" t="s">
        <v>7664</v>
      </c>
      <c r="D757" s="2" t="s">
        <v>7665</v>
      </c>
      <c r="E757" s="2" t="s">
        <v>7666</v>
      </c>
      <c r="G757" s="3" t="s">
        <v>62</v>
      </c>
      <c r="I757" s="3" t="s">
        <v>62</v>
      </c>
      <c r="J757" s="3" t="s">
        <v>62</v>
      </c>
      <c r="K757" s="3" t="s">
        <v>63</v>
      </c>
      <c r="L757" s="2" t="s">
        <v>7667</v>
      </c>
      <c r="M757" s="2" t="s">
        <v>7668</v>
      </c>
      <c r="N757" s="3" t="s">
        <v>1576</v>
      </c>
      <c r="P757" s="3" t="s">
        <v>1881</v>
      </c>
      <c r="Q757" s="2" t="s">
        <v>7669</v>
      </c>
      <c r="R757" s="3" t="s">
        <v>65</v>
      </c>
      <c r="S757" s="4">
        <v>4</v>
      </c>
      <c r="T757" s="4">
        <v>4</v>
      </c>
      <c r="U757" s="5" t="s">
        <v>7670</v>
      </c>
      <c r="V757" s="5" t="s">
        <v>7670</v>
      </c>
      <c r="W757" s="5" t="s">
        <v>67</v>
      </c>
      <c r="X757" s="5" t="s">
        <v>67</v>
      </c>
      <c r="Y757" s="4">
        <v>135</v>
      </c>
      <c r="Z757" s="4">
        <v>11</v>
      </c>
      <c r="AA757" s="4">
        <v>14</v>
      </c>
      <c r="AB757" s="4">
        <v>2</v>
      </c>
      <c r="AC757" s="4">
        <v>3</v>
      </c>
      <c r="AD757" s="4">
        <v>50</v>
      </c>
      <c r="AE757" s="4">
        <v>57</v>
      </c>
      <c r="AF757" s="4">
        <v>0</v>
      </c>
      <c r="AG757" s="4">
        <v>0</v>
      </c>
      <c r="AH757" s="4">
        <v>44</v>
      </c>
      <c r="AI757" s="4">
        <v>51</v>
      </c>
      <c r="AJ757" s="4">
        <v>5</v>
      </c>
      <c r="AK757" s="4">
        <v>7</v>
      </c>
      <c r="AL757" s="4">
        <v>38</v>
      </c>
      <c r="AM757" s="4">
        <v>39</v>
      </c>
      <c r="AN757" s="4">
        <v>0</v>
      </c>
      <c r="AO757" s="4">
        <v>0</v>
      </c>
      <c r="AP757" s="4">
        <v>5</v>
      </c>
      <c r="AQ757" s="4">
        <v>7</v>
      </c>
      <c r="AR757" s="3" t="s">
        <v>62</v>
      </c>
      <c r="AS757" s="3" t="s">
        <v>62</v>
      </c>
      <c r="AT757" s="3" t="s">
        <v>61</v>
      </c>
      <c r="AU757" s="6" t="str">
        <f>HYPERLINK("http://catalog.hathitrust.org/Record/007938773","HathiTrust Record")</f>
        <v>HathiTrust Record</v>
      </c>
      <c r="AV757" s="6" t="str">
        <f>HYPERLINK("http://mcgill.on.worldcat.org/oclc/3659583","Catalog Record")</f>
        <v>Catalog Record</v>
      </c>
      <c r="AW757" s="6" t="str">
        <f>HYPERLINK("http://www.worldcat.org/oclc/3659583","WorldCat Record")</f>
        <v>WorldCat Record</v>
      </c>
      <c r="AX757" s="3" t="s">
        <v>7671</v>
      </c>
      <c r="AY757" s="3" t="s">
        <v>7672</v>
      </c>
      <c r="AZ757" s="3" t="s">
        <v>7673</v>
      </c>
      <c r="BA757" s="3" t="s">
        <v>7673</v>
      </c>
      <c r="BB757" s="3" t="s">
        <v>7674</v>
      </c>
      <c r="BC757" s="3" t="s">
        <v>102</v>
      </c>
      <c r="BD757" s="3" t="s">
        <v>68</v>
      </c>
      <c r="BF757" s="3" t="s">
        <v>7674</v>
      </c>
      <c r="BG757" s="3" t="s">
        <v>7675</v>
      </c>
    </row>
    <row r="758" spans="1:59" ht="58" x14ac:dyDescent="0.35">
      <c r="A758" s="2" t="s">
        <v>89</v>
      </c>
      <c r="B758" s="2" t="s">
        <v>90</v>
      </c>
      <c r="C758" s="2" t="s">
        <v>7676</v>
      </c>
      <c r="D758" s="2" t="s">
        <v>7677</v>
      </c>
      <c r="E758" s="2" t="s">
        <v>7678</v>
      </c>
      <c r="F758" s="3" t="s">
        <v>2217</v>
      </c>
      <c r="G758" s="3" t="s">
        <v>61</v>
      </c>
      <c r="I758" s="3" t="s">
        <v>62</v>
      </c>
      <c r="J758" s="3" t="s">
        <v>62</v>
      </c>
      <c r="K758" s="3" t="s">
        <v>63</v>
      </c>
      <c r="L758" s="2" t="s">
        <v>7679</v>
      </c>
      <c r="M758" s="2" t="s">
        <v>1831</v>
      </c>
      <c r="N758" s="3" t="s">
        <v>880</v>
      </c>
      <c r="P758" s="3" t="s">
        <v>64</v>
      </c>
      <c r="R758" s="3" t="s">
        <v>65</v>
      </c>
      <c r="S758" s="4">
        <v>0</v>
      </c>
      <c r="T758" s="4">
        <v>0</v>
      </c>
      <c r="W758" s="5" t="s">
        <v>67</v>
      </c>
      <c r="X758" s="5" t="s">
        <v>67</v>
      </c>
      <c r="Y758" s="4">
        <v>18</v>
      </c>
      <c r="Z758" s="4">
        <v>1</v>
      </c>
      <c r="AA758" s="4">
        <v>37</v>
      </c>
      <c r="AB758" s="4">
        <v>1</v>
      </c>
      <c r="AC758" s="4">
        <v>9</v>
      </c>
      <c r="AD758" s="4">
        <v>4</v>
      </c>
      <c r="AE758" s="4">
        <v>71</v>
      </c>
      <c r="AF758" s="4">
        <v>0</v>
      </c>
      <c r="AG758" s="4">
        <v>5</v>
      </c>
      <c r="AH758" s="4">
        <v>3</v>
      </c>
      <c r="AI758" s="4">
        <v>46</v>
      </c>
      <c r="AJ758" s="4">
        <v>0</v>
      </c>
      <c r="AK758" s="4">
        <v>18</v>
      </c>
      <c r="AL758" s="4">
        <v>2</v>
      </c>
      <c r="AM758" s="4">
        <v>21</v>
      </c>
      <c r="AN758" s="4">
        <v>0</v>
      </c>
      <c r="AO758" s="4">
        <v>0</v>
      </c>
      <c r="AP758" s="4">
        <v>0</v>
      </c>
      <c r="AQ758" s="4">
        <v>30</v>
      </c>
      <c r="AR758" s="3" t="s">
        <v>62</v>
      </c>
      <c r="AS758" s="3" t="s">
        <v>62</v>
      </c>
      <c r="AT758" s="3" t="s">
        <v>62</v>
      </c>
      <c r="AV758" s="6" t="str">
        <f>HYPERLINK("http://mcgill.on.worldcat.org/oclc/632088431","Catalog Record")</f>
        <v>Catalog Record</v>
      </c>
      <c r="AW758" s="6" t="str">
        <f>HYPERLINK("http://www.worldcat.org/oclc/632088431","WorldCat Record")</f>
        <v>WorldCat Record</v>
      </c>
      <c r="AX758" s="3" t="s">
        <v>7680</v>
      </c>
      <c r="AY758" s="3" t="s">
        <v>7681</v>
      </c>
      <c r="AZ758" s="3" t="s">
        <v>7682</v>
      </c>
      <c r="BA758" s="3" t="s">
        <v>7682</v>
      </c>
      <c r="BB758" s="3" t="s">
        <v>7683</v>
      </c>
      <c r="BC758" s="3" t="s">
        <v>102</v>
      </c>
      <c r="BD758" s="3" t="s">
        <v>68</v>
      </c>
      <c r="BE758" s="3" t="s">
        <v>7684</v>
      </c>
      <c r="BF758" s="3" t="s">
        <v>7683</v>
      </c>
      <c r="BG758" s="3" t="s">
        <v>7685</v>
      </c>
    </row>
    <row r="759" spans="1:59" ht="58" x14ac:dyDescent="0.35">
      <c r="A759" s="2" t="s">
        <v>89</v>
      </c>
      <c r="B759" s="2" t="s">
        <v>90</v>
      </c>
      <c r="C759" s="2" t="s">
        <v>7676</v>
      </c>
      <c r="D759" s="2" t="s">
        <v>7677</v>
      </c>
      <c r="E759" s="2" t="s">
        <v>7678</v>
      </c>
      <c r="F759" s="3" t="s">
        <v>2233</v>
      </c>
      <c r="G759" s="3" t="s">
        <v>61</v>
      </c>
      <c r="I759" s="3" t="s">
        <v>62</v>
      </c>
      <c r="J759" s="3" t="s">
        <v>62</v>
      </c>
      <c r="K759" s="3" t="s">
        <v>63</v>
      </c>
      <c r="L759" s="2" t="s">
        <v>7679</v>
      </c>
      <c r="M759" s="2" t="s">
        <v>1831</v>
      </c>
      <c r="N759" s="3" t="s">
        <v>880</v>
      </c>
      <c r="P759" s="3" t="s">
        <v>64</v>
      </c>
      <c r="R759" s="3" t="s">
        <v>65</v>
      </c>
      <c r="S759" s="4">
        <v>0</v>
      </c>
      <c r="T759" s="4">
        <v>0</v>
      </c>
      <c r="W759" s="5" t="s">
        <v>67</v>
      </c>
      <c r="X759" s="5" t="s">
        <v>67</v>
      </c>
      <c r="Y759" s="4">
        <v>18</v>
      </c>
      <c r="Z759" s="4">
        <v>1</v>
      </c>
      <c r="AA759" s="4">
        <v>37</v>
      </c>
      <c r="AB759" s="4">
        <v>1</v>
      </c>
      <c r="AC759" s="4">
        <v>9</v>
      </c>
      <c r="AD759" s="4">
        <v>4</v>
      </c>
      <c r="AE759" s="4">
        <v>71</v>
      </c>
      <c r="AF759" s="4">
        <v>0</v>
      </c>
      <c r="AG759" s="4">
        <v>5</v>
      </c>
      <c r="AH759" s="4">
        <v>3</v>
      </c>
      <c r="AI759" s="4">
        <v>46</v>
      </c>
      <c r="AJ759" s="4">
        <v>0</v>
      </c>
      <c r="AK759" s="4">
        <v>18</v>
      </c>
      <c r="AL759" s="4">
        <v>2</v>
      </c>
      <c r="AM759" s="4">
        <v>21</v>
      </c>
      <c r="AN759" s="4">
        <v>0</v>
      </c>
      <c r="AO759" s="4">
        <v>0</v>
      </c>
      <c r="AP759" s="4">
        <v>0</v>
      </c>
      <c r="AQ759" s="4">
        <v>30</v>
      </c>
      <c r="AR759" s="3" t="s">
        <v>62</v>
      </c>
      <c r="AS759" s="3" t="s">
        <v>62</v>
      </c>
      <c r="AT759" s="3" t="s">
        <v>62</v>
      </c>
      <c r="AV759" s="6" t="str">
        <f>HYPERLINK("http://mcgill.on.worldcat.org/oclc/632088431","Catalog Record")</f>
        <v>Catalog Record</v>
      </c>
      <c r="AW759" s="6" t="str">
        <f>HYPERLINK("http://www.worldcat.org/oclc/632088431","WorldCat Record")</f>
        <v>WorldCat Record</v>
      </c>
      <c r="AX759" s="3" t="s">
        <v>7680</v>
      </c>
      <c r="AY759" s="3" t="s">
        <v>7681</v>
      </c>
      <c r="AZ759" s="3" t="s">
        <v>7682</v>
      </c>
      <c r="BA759" s="3" t="s">
        <v>7682</v>
      </c>
      <c r="BB759" s="3" t="s">
        <v>7686</v>
      </c>
      <c r="BC759" s="3" t="s">
        <v>102</v>
      </c>
      <c r="BD759" s="3" t="s">
        <v>68</v>
      </c>
      <c r="BE759" s="3" t="s">
        <v>7684</v>
      </c>
      <c r="BF759" s="3" t="s">
        <v>7686</v>
      </c>
      <c r="BG759" s="3" t="s">
        <v>7687</v>
      </c>
    </row>
    <row r="760" spans="1:59" ht="58" x14ac:dyDescent="0.35">
      <c r="A760" s="2" t="s">
        <v>89</v>
      </c>
      <c r="B760" s="2" t="s">
        <v>90</v>
      </c>
      <c r="C760" s="2" t="s">
        <v>7688</v>
      </c>
      <c r="D760" s="2" t="s">
        <v>7689</v>
      </c>
      <c r="E760" s="2" t="s">
        <v>7690</v>
      </c>
      <c r="G760" s="3" t="s">
        <v>62</v>
      </c>
      <c r="I760" s="3" t="s">
        <v>62</v>
      </c>
      <c r="J760" s="3" t="s">
        <v>62</v>
      </c>
      <c r="K760" s="3" t="s">
        <v>63</v>
      </c>
      <c r="M760" s="2" t="s">
        <v>7691</v>
      </c>
      <c r="N760" s="3" t="s">
        <v>2000</v>
      </c>
      <c r="P760" s="3" t="s">
        <v>64</v>
      </c>
      <c r="Q760" s="2" t="s">
        <v>7692</v>
      </c>
      <c r="R760" s="3" t="s">
        <v>65</v>
      </c>
      <c r="S760" s="4">
        <v>17</v>
      </c>
      <c r="T760" s="4">
        <v>17</v>
      </c>
      <c r="U760" s="5" t="s">
        <v>7693</v>
      </c>
      <c r="V760" s="5" t="s">
        <v>7693</v>
      </c>
      <c r="W760" s="5" t="s">
        <v>67</v>
      </c>
      <c r="X760" s="5" t="s">
        <v>67</v>
      </c>
      <c r="Y760" s="4">
        <v>237</v>
      </c>
      <c r="Z760" s="4">
        <v>18</v>
      </c>
      <c r="AA760" s="4">
        <v>21</v>
      </c>
      <c r="AB760" s="4">
        <v>2</v>
      </c>
      <c r="AC760" s="4">
        <v>3</v>
      </c>
      <c r="AD760" s="4">
        <v>92</v>
      </c>
      <c r="AE760" s="4">
        <v>96</v>
      </c>
      <c r="AF760" s="4">
        <v>1</v>
      </c>
      <c r="AG760" s="4">
        <v>2</v>
      </c>
      <c r="AH760" s="4">
        <v>81</v>
      </c>
      <c r="AI760" s="4">
        <v>84</v>
      </c>
      <c r="AJ760" s="4">
        <v>14</v>
      </c>
      <c r="AK760" s="4">
        <v>17</v>
      </c>
      <c r="AL760" s="4">
        <v>47</v>
      </c>
      <c r="AM760" s="4">
        <v>47</v>
      </c>
      <c r="AN760" s="4">
        <v>0</v>
      </c>
      <c r="AO760" s="4">
        <v>0</v>
      </c>
      <c r="AP760" s="4">
        <v>15</v>
      </c>
      <c r="AQ760" s="4">
        <v>17</v>
      </c>
      <c r="AR760" s="3" t="s">
        <v>62</v>
      </c>
      <c r="AS760" s="3" t="s">
        <v>62</v>
      </c>
      <c r="AT760" s="3" t="s">
        <v>62</v>
      </c>
      <c r="AV760" s="6" t="str">
        <f>HYPERLINK("http://mcgill.on.worldcat.org/oclc/35043023","Catalog Record")</f>
        <v>Catalog Record</v>
      </c>
      <c r="AW760" s="6" t="str">
        <f>HYPERLINK("http://www.worldcat.org/oclc/35043023","WorldCat Record")</f>
        <v>WorldCat Record</v>
      </c>
      <c r="AX760" s="3" t="s">
        <v>7694</v>
      </c>
      <c r="AY760" s="3" t="s">
        <v>7695</v>
      </c>
      <c r="AZ760" s="3" t="s">
        <v>7696</v>
      </c>
      <c r="BA760" s="3" t="s">
        <v>7696</v>
      </c>
      <c r="BB760" s="3" t="s">
        <v>7697</v>
      </c>
      <c r="BC760" s="3" t="s">
        <v>102</v>
      </c>
      <c r="BD760" s="3" t="s">
        <v>68</v>
      </c>
      <c r="BE760" s="3" t="s">
        <v>7698</v>
      </c>
      <c r="BF760" s="3" t="s">
        <v>7697</v>
      </c>
      <c r="BG760" s="3" t="s">
        <v>7699</v>
      </c>
    </row>
    <row r="761" spans="1:59" ht="58" x14ac:dyDescent="0.35">
      <c r="A761" s="2" t="s">
        <v>89</v>
      </c>
      <c r="B761" s="2" t="s">
        <v>90</v>
      </c>
      <c r="C761" s="2" t="s">
        <v>7700</v>
      </c>
      <c r="D761" s="2" t="s">
        <v>7701</v>
      </c>
      <c r="E761" s="2" t="s">
        <v>7702</v>
      </c>
      <c r="G761" s="3" t="s">
        <v>62</v>
      </c>
      <c r="I761" s="3" t="s">
        <v>61</v>
      </c>
      <c r="J761" s="3" t="s">
        <v>62</v>
      </c>
      <c r="K761" s="3" t="s">
        <v>63</v>
      </c>
      <c r="L761" s="2" t="s">
        <v>7703</v>
      </c>
      <c r="M761" s="2" t="s">
        <v>7704</v>
      </c>
      <c r="N761" s="3" t="s">
        <v>2110</v>
      </c>
      <c r="P761" s="3" t="s">
        <v>64</v>
      </c>
      <c r="R761" s="3" t="s">
        <v>65</v>
      </c>
      <c r="S761" s="4">
        <v>0</v>
      </c>
      <c r="T761" s="4">
        <v>26</v>
      </c>
      <c r="V761" s="5" t="s">
        <v>7705</v>
      </c>
      <c r="W761" s="5" t="s">
        <v>67</v>
      </c>
      <c r="X761" s="5" t="s">
        <v>67</v>
      </c>
      <c r="Y761" s="4">
        <v>506</v>
      </c>
      <c r="Z761" s="4">
        <v>35</v>
      </c>
      <c r="AA761" s="4">
        <v>48</v>
      </c>
      <c r="AB761" s="4">
        <v>2</v>
      </c>
      <c r="AC761" s="4">
        <v>8</v>
      </c>
      <c r="AD761" s="4">
        <v>111</v>
      </c>
      <c r="AE761" s="4">
        <v>128</v>
      </c>
      <c r="AF761" s="4">
        <v>1</v>
      </c>
      <c r="AG761" s="4">
        <v>5</v>
      </c>
      <c r="AH761" s="4">
        <v>96</v>
      </c>
      <c r="AI761" s="4">
        <v>106</v>
      </c>
      <c r="AJ761" s="4">
        <v>18</v>
      </c>
      <c r="AK761" s="4">
        <v>25</v>
      </c>
      <c r="AL761" s="4">
        <v>48</v>
      </c>
      <c r="AM761" s="4">
        <v>53</v>
      </c>
      <c r="AN761" s="4">
        <v>0</v>
      </c>
      <c r="AO761" s="4">
        <v>0</v>
      </c>
      <c r="AP761" s="4">
        <v>24</v>
      </c>
      <c r="AQ761" s="4">
        <v>31</v>
      </c>
      <c r="AR761" s="3" t="s">
        <v>62</v>
      </c>
      <c r="AS761" s="3" t="s">
        <v>62</v>
      </c>
      <c r="AT761" s="3" t="s">
        <v>61</v>
      </c>
      <c r="AU761" s="6" t="str">
        <f>HYPERLINK("http://catalog.hathitrust.org/Record/000032299","HathiTrust Record")</f>
        <v>HathiTrust Record</v>
      </c>
      <c r="AV761" s="6" t="str">
        <f>HYPERLINK("http://mcgill.on.worldcat.org/oclc/4653967","Catalog Record")</f>
        <v>Catalog Record</v>
      </c>
      <c r="AW761" s="6" t="str">
        <f>HYPERLINK("http://www.worldcat.org/oclc/4653967","WorldCat Record")</f>
        <v>WorldCat Record</v>
      </c>
      <c r="AX761" s="3" t="s">
        <v>7706</v>
      </c>
      <c r="AY761" s="3" t="s">
        <v>7707</v>
      </c>
      <c r="AZ761" s="3" t="s">
        <v>7708</v>
      </c>
      <c r="BA761" s="3" t="s">
        <v>7708</v>
      </c>
      <c r="BB761" s="3" t="s">
        <v>7709</v>
      </c>
      <c r="BC761" s="3" t="s">
        <v>102</v>
      </c>
      <c r="BD761" s="3" t="s">
        <v>68</v>
      </c>
      <c r="BE761" s="3" t="s">
        <v>7710</v>
      </c>
      <c r="BF761" s="3" t="s">
        <v>7709</v>
      </c>
      <c r="BG761" s="3" t="s">
        <v>7711</v>
      </c>
    </row>
    <row r="762" spans="1:59" ht="58" x14ac:dyDescent="0.35">
      <c r="A762" s="2" t="s">
        <v>89</v>
      </c>
      <c r="B762" s="2" t="s">
        <v>90</v>
      </c>
      <c r="C762" s="2" t="s">
        <v>7700</v>
      </c>
      <c r="D762" s="2" t="s">
        <v>7701</v>
      </c>
      <c r="E762" s="2" t="s">
        <v>7702</v>
      </c>
      <c r="G762" s="3" t="s">
        <v>62</v>
      </c>
      <c r="I762" s="3" t="s">
        <v>61</v>
      </c>
      <c r="J762" s="3" t="s">
        <v>62</v>
      </c>
      <c r="K762" s="3" t="s">
        <v>63</v>
      </c>
      <c r="L762" s="2" t="s">
        <v>7703</v>
      </c>
      <c r="M762" s="2" t="s">
        <v>7704</v>
      </c>
      <c r="N762" s="3" t="s">
        <v>2110</v>
      </c>
      <c r="P762" s="3" t="s">
        <v>64</v>
      </c>
      <c r="R762" s="3" t="s">
        <v>65</v>
      </c>
      <c r="S762" s="4">
        <v>26</v>
      </c>
      <c r="T762" s="4">
        <v>26</v>
      </c>
      <c r="U762" s="5" t="s">
        <v>7705</v>
      </c>
      <c r="V762" s="5" t="s">
        <v>7705</v>
      </c>
      <c r="W762" s="5" t="s">
        <v>67</v>
      </c>
      <c r="X762" s="5" t="s">
        <v>67</v>
      </c>
      <c r="Y762" s="4">
        <v>506</v>
      </c>
      <c r="Z762" s="4">
        <v>35</v>
      </c>
      <c r="AA762" s="4">
        <v>48</v>
      </c>
      <c r="AB762" s="4">
        <v>2</v>
      </c>
      <c r="AC762" s="4">
        <v>8</v>
      </c>
      <c r="AD762" s="4">
        <v>111</v>
      </c>
      <c r="AE762" s="4">
        <v>128</v>
      </c>
      <c r="AF762" s="4">
        <v>1</v>
      </c>
      <c r="AG762" s="4">
        <v>5</v>
      </c>
      <c r="AH762" s="4">
        <v>96</v>
      </c>
      <c r="AI762" s="4">
        <v>106</v>
      </c>
      <c r="AJ762" s="4">
        <v>18</v>
      </c>
      <c r="AK762" s="4">
        <v>25</v>
      </c>
      <c r="AL762" s="4">
        <v>48</v>
      </c>
      <c r="AM762" s="4">
        <v>53</v>
      </c>
      <c r="AN762" s="4">
        <v>0</v>
      </c>
      <c r="AO762" s="4">
        <v>0</v>
      </c>
      <c r="AP762" s="4">
        <v>24</v>
      </c>
      <c r="AQ762" s="4">
        <v>31</v>
      </c>
      <c r="AR762" s="3" t="s">
        <v>62</v>
      </c>
      <c r="AS762" s="3" t="s">
        <v>62</v>
      </c>
      <c r="AT762" s="3" t="s">
        <v>61</v>
      </c>
      <c r="AU762" s="6" t="str">
        <f>HYPERLINK("http://catalog.hathitrust.org/Record/000032299","HathiTrust Record")</f>
        <v>HathiTrust Record</v>
      </c>
      <c r="AV762" s="6" t="str">
        <f>HYPERLINK("http://mcgill.on.worldcat.org/oclc/4653967","Catalog Record")</f>
        <v>Catalog Record</v>
      </c>
      <c r="AW762" s="6" t="str">
        <f>HYPERLINK("http://www.worldcat.org/oclc/4653967","WorldCat Record")</f>
        <v>WorldCat Record</v>
      </c>
      <c r="AX762" s="3" t="s">
        <v>7706</v>
      </c>
      <c r="AY762" s="3" t="s">
        <v>7707</v>
      </c>
      <c r="AZ762" s="3" t="s">
        <v>7708</v>
      </c>
      <c r="BA762" s="3" t="s">
        <v>7708</v>
      </c>
      <c r="BB762" s="3" t="s">
        <v>7712</v>
      </c>
      <c r="BC762" s="3" t="s">
        <v>102</v>
      </c>
      <c r="BD762" s="3" t="s">
        <v>68</v>
      </c>
      <c r="BE762" s="3" t="s">
        <v>7710</v>
      </c>
      <c r="BF762" s="3" t="s">
        <v>7712</v>
      </c>
      <c r="BG762" s="3" t="s">
        <v>7713</v>
      </c>
    </row>
    <row r="763" spans="1:59" ht="58" x14ac:dyDescent="0.35">
      <c r="A763" s="2" t="s">
        <v>89</v>
      </c>
      <c r="B763" s="2" t="s">
        <v>90</v>
      </c>
      <c r="C763" s="2" t="s">
        <v>7714</v>
      </c>
      <c r="D763" s="2" t="s">
        <v>7715</v>
      </c>
      <c r="E763" s="2" t="s">
        <v>7716</v>
      </c>
      <c r="G763" s="3" t="s">
        <v>62</v>
      </c>
      <c r="I763" s="3" t="s">
        <v>61</v>
      </c>
      <c r="J763" s="3" t="s">
        <v>62</v>
      </c>
      <c r="K763" s="3" t="s">
        <v>63</v>
      </c>
      <c r="L763" s="2" t="s">
        <v>7717</v>
      </c>
      <c r="M763" s="2" t="s">
        <v>7718</v>
      </c>
      <c r="N763" s="3" t="s">
        <v>1077</v>
      </c>
      <c r="O763" s="2" t="s">
        <v>2163</v>
      </c>
      <c r="P763" s="3" t="s">
        <v>64</v>
      </c>
      <c r="Q763" s="2" t="s">
        <v>7719</v>
      </c>
      <c r="R763" s="3" t="s">
        <v>65</v>
      </c>
      <c r="S763" s="4">
        <v>7</v>
      </c>
      <c r="T763" s="4">
        <v>28</v>
      </c>
      <c r="U763" s="5" t="s">
        <v>7720</v>
      </c>
      <c r="V763" s="5" t="s">
        <v>6531</v>
      </c>
      <c r="W763" s="5" t="s">
        <v>67</v>
      </c>
      <c r="X763" s="5" t="s">
        <v>67</v>
      </c>
      <c r="Y763" s="4">
        <v>183</v>
      </c>
      <c r="Z763" s="4">
        <v>16</v>
      </c>
      <c r="AA763" s="4">
        <v>18</v>
      </c>
      <c r="AB763" s="4">
        <v>2</v>
      </c>
      <c r="AC763" s="4">
        <v>4</v>
      </c>
      <c r="AD763" s="4">
        <v>51</v>
      </c>
      <c r="AE763" s="4">
        <v>52</v>
      </c>
      <c r="AF763" s="4">
        <v>1</v>
      </c>
      <c r="AG763" s="4">
        <v>2</v>
      </c>
      <c r="AH763" s="4">
        <v>40</v>
      </c>
      <c r="AI763" s="4">
        <v>40</v>
      </c>
      <c r="AJ763" s="4">
        <v>11</v>
      </c>
      <c r="AK763" s="4">
        <v>12</v>
      </c>
      <c r="AL763" s="4">
        <v>24</v>
      </c>
      <c r="AM763" s="4">
        <v>24</v>
      </c>
      <c r="AN763" s="4">
        <v>0</v>
      </c>
      <c r="AO763" s="4">
        <v>0</v>
      </c>
      <c r="AP763" s="4">
        <v>14</v>
      </c>
      <c r="AQ763" s="4">
        <v>15</v>
      </c>
      <c r="AR763" s="3" t="s">
        <v>62</v>
      </c>
      <c r="AS763" s="3" t="s">
        <v>62</v>
      </c>
      <c r="AT763" s="3" t="s">
        <v>62</v>
      </c>
      <c r="AV763" s="6" t="str">
        <f>HYPERLINK("http://mcgill.on.worldcat.org/oclc/25163454","Catalog Record")</f>
        <v>Catalog Record</v>
      </c>
      <c r="AW763" s="6" t="str">
        <f>HYPERLINK("http://www.worldcat.org/oclc/25163454","WorldCat Record")</f>
        <v>WorldCat Record</v>
      </c>
      <c r="AX763" s="3" t="s">
        <v>7721</v>
      </c>
      <c r="AY763" s="3" t="s">
        <v>7722</v>
      </c>
      <c r="AZ763" s="3" t="s">
        <v>7723</v>
      </c>
      <c r="BA763" s="3" t="s">
        <v>7723</v>
      </c>
      <c r="BB763" s="3" t="s">
        <v>7724</v>
      </c>
      <c r="BC763" s="3" t="s">
        <v>102</v>
      </c>
      <c r="BD763" s="3" t="s">
        <v>68</v>
      </c>
      <c r="BE763" s="3" t="s">
        <v>7725</v>
      </c>
      <c r="BF763" s="3" t="s">
        <v>7724</v>
      </c>
      <c r="BG763" s="3" t="s">
        <v>7726</v>
      </c>
    </row>
    <row r="764" spans="1:59" ht="58" x14ac:dyDescent="0.35">
      <c r="A764" s="2" t="s">
        <v>89</v>
      </c>
      <c r="B764" s="2" t="s">
        <v>90</v>
      </c>
      <c r="C764" s="2" t="s">
        <v>7727</v>
      </c>
      <c r="D764" s="2" t="s">
        <v>7728</v>
      </c>
      <c r="E764" s="2" t="s">
        <v>7729</v>
      </c>
      <c r="G764" s="3" t="s">
        <v>62</v>
      </c>
      <c r="I764" s="3" t="s">
        <v>62</v>
      </c>
      <c r="J764" s="3" t="s">
        <v>62</v>
      </c>
      <c r="K764" s="3" t="s">
        <v>63</v>
      </c>
      <c r="L764" s="2" t="s">
        <v>7730</v>
      </c>
      <c r="M764" s="2" t="s">
        <v>7731</v>
      </c>
      <c r="N764" s="3" t="s">
        <v>1077</v>
      </c>
      <c r="O764" s="2" t="s">
        <v>2458</v>
      </c>
      <c r="P764" s="3" t="s">
        <v>64</v>
      </c>
      <c r="R764" s="3" t="s">
        <v>65</v>
      </c>
      <c r="S764" s="4">
        <v>52</v>
      </c>
      <c r="T764" s="4">
        <v>52</v>
      </c>
      <c r="U764" s="5" t="s">
        <v>7732</v>
      </c>
      <c r="V764" s="5" t="s">
        <v>7732</v>
      </c>
      <c r="W764" s="5" t="s">
        <v>67</v>
      </c>
      <c r="X764" s="5" t="s">
        <v>67</v>
      </c>
      <c r="Y764" s="4">
        <v>456</v>
      </c>
      <c r="Z764" s="4">
        <v>29</v>
      </c>
      <c r="AA764" s="4">
        <v>88</v>
      </c>
      <c r="AB764" s="4">
        <v>1</v>
      </c>
      <c r="AC764" s="4">
        <v>11</v>
      </c>
      <c r="AD764" s="4">
        <v>94</v>
      </c>
      <c r="AE764" s="4">
        <v>164</v>
      </c>
      <c r="AF764" s="4">
        <v>0</v>
      </c>
      <c r="AG764" s="4">
        <v>7</v>
      </c>
      <c r="AH764" s="4">
        <v>81</v>
      </c>
      <c r="AI764" s="4">
        <v>118</v>
      </c>
      <c r="AJ764" s="4">
        <v>16</v>
      </c>
      <c r="AK764" s="4">
        <v>29</v>
      </c>
      <c r="AL764" s="4">
        <v>45</v>
      </c>
      <c r="AM764" s="4">
        <v>61</v>
      </c>
      <c r="AN764" s="4">
        <v>0</v>
      </c>
      <c r="AO764" s="4">
        <v>0</v>
      </c>
      <c r="AP764" s="4">
        <v>23</v>
      </c>
      <c r="AQ764" s="4">
        <v>53</v>
      </c>
      <c r="AR764" s="3" t="s">
        <v>62</v>
      </c>
      <c r="AS764" s="3" t="s">
        <v>62</v>
      </c>
      <c r="AT764" s="3" t="s">
        <v>62</v>
      </c>
      <c r="AV764" s="6" t="str">
        <f>HYPERLINK("http://mcgill.on.worldcat.org/oclc/29026104","Catalog Record")</f>
        <v>Catalog Record</v>
      </c>
      <c r="AW764" s="6" t="str">
        <f>HYPERLINK("http://www.worldcat.org/oclc/29026104","WorldCat Record")</f>
        <v>WorldCat Record</v>
      </c>
      <c r="AX764" s="3" t="s">
        <v>7733</v>
      </c>
      <c r="AY764" s="3" t="s">
        <v>7734</v>
      </c>
      <c r="AZ764" s="3" t="s">
        <v>7735</v>
      </c>
      <c r="BA764" s="3" t="s">
        <v>7735</v>
      </c>
      <c r="BB764" s="3" t="s">
        <v>7736</v>
      </c>
      <c r="BC764" s="3" t="s">
        <v>102</v>
      </c>
      <c r="BD764" s="3" t="s">
        <v>231</v>
      </c>
      <c r="BE764" s="3" t="s">
        <v>7737</v>
      </c>
      <c r="BF764" s="3" t="s">
        <v>7736</v>
      </c>
      <c r="BG764" s="3" t="s">
        <v>7738</v>
      </c>
    </row>
    <row r="765" spans="1:59" ht="58" x14ac:dyDescent="0.35">
      <c r="A765" s="2" t="s">
        <v>89</v>
      </c>
      <c r="B765" s="2" t="s">
        <v>90</v>
      </c>
      <c r="C765" s="2" t="s">
        <v>7739</v>
      </c>
      <c r="D765" s="2" t="s">
        <v>7740</v>
      </c>
      <c r="E765" s="2" t="s">
        <v>7741</v>
      </c>
      <c r="G765" s="3" t="s">
        <v>62</v>
      </c>
      <c r="I765" s="3" t="s">
        <v>62</v>
      </c>
      <c r="J765" s="3" t="s">
        <v>62</v>
      </c>
      <c r="K765" s="3" t="s">
        <v>63</v>
      </c>
      <c r="L765" s="2" t="s">
        <v>7730</v>
      </c>
      <c r="M765" s="2" t="s">
        <v>7742</v>
      </c>
      <c r="N765" s="3" t="s">
        <v>684</v>
      </c>
      <c r="P765" s="3" t="s">
        <v>64</v>
      </c>
      <c r="R765" s="3" t="s">
        <v>65</v>
      </c>
      <c r="S765" s="4">
        <v>9</v>
      </c>
      <c r="T765" s="4">
        <v>9</v>
      </c>
      <c r="U765" s="5" t="s">
        <v>7743</v>
      </c>
      <c r="V765" s="5" t="s">
        <v>7743</v>
      </c>
      <c r="W765" s="5" t="s">
        <v>67</v>
      </c>
      <c r="X765" s="5" t="s">
        <v>67</v>
      </c>
      <c r="Y765" s="4">
        <v>291</v>
      </c>
      <c r="Z765" s="4">
        <v>22</v>
      </c>
      <c r="AA765" s="4">
        <v>28</v>
      </c>
      <c r="AB765" s="4">
        <v>1</v>
      </c>
      <c r="AC765" s="4">
        <v>3</v>
      </c>
      <c r="AD765" s="4">
        <v>66</v>
      </c>
      <c r="AE765" s="4">
        <v>75</v>
      </c>
      <c r="AF765" s="4">
        <v>0</v>
      </c>
      <c r="AG765" s="4">
        <v>2</v>
      </c>
      <c r="AH765" s="4">
        <v>56</v>
      </c>
      <c r="AI765" s="4">
        <v>60</v>
      </c>
      <c r="AJ765" s="4">
        <v>9</v>
      </c>
      <c r="AK765" s="4">
        <v>12</v>
      </c>
      <c r="AL765" s="4">
        <v>36</v>
      </c>
      <c r="AM765" s="4">
        <v>39</v>
      </c>
      <c r="AN765" s="4">
        <v>0</v>
      </c>
      <c r="AO765" s="4">
        <v>0</v>
      </c>
      <c r="AP765" s="4">
        <v>15</v>
      </c>
      <c r="AQ765" s="4">
        <v>20</v>
      </c>
      <c r="AR765" s="3" t="s">
        <v>62</v>
      </c>
      <c r="AS765" s="3" t="s">
        <v>62</v>
      </c>
      <c r="AT765" s="3" t="s">
        <v>62</v>
      </c>
      <c r="AV765" s="6" t="str">
        <f>HYPERLINK("http://mcgill.on.worldcat.org/oclc/668946683","Catalog Record")</f>
        <v>Catalog Record</v>
      </c>
      <c r="AW765" s="6" t="str">
        <f>HYPERLINK("http://www.worldcat.org/oclc/668946683","WorldCat Record")</f>
        <v>WorldCat Record</v>
      </c>
      <c r="AX765" s="3" t="s">
        <v>7744</v>
      </c>
      <c r="AY765" s="3" t="s">
        <v>7745</v>
      </c>
      <c r="AZ765" s="3" t="s">
        <v>7746</v>
      </c>
      <c r="BA765" s="3" t="s">
        <v>7746</v>
      </c>
      <c r="BB765" s="3" t="s">
        <v>7747</v>
      </c>
      <c r="BC765" s="3" t="s">
        <v>102</v>
      </c>
      <c r="BD765" s="3" t="s">
        <v>68</v>
      </c>
      <c r="BE765" s="3" t="s">
        <v>7748</v>
      </c>
      <c r="BF765" s="3" t="s">
        <v>7747</v>
      </c>
      <c r="BG765" s="3" t="s">
        <v>7749</v>
      </c>
    </row>
    <row r="766" spans="1:59" ht="58" x14ac:dyDescent="0.35">
      <c r="A766" s="2" t="s">
        <v>89</v>
      </c>
      <c r="B766" s="2" t="s">
        <v>90</v>
      </c>
      <c r="C766" s="2" t="s">
        <v>7750</v>
      </c>
      <c r="D766" s="2" t="s">
        <v>7751</v>
      </c>
      <c r="E766" s="2" t="s">
        <v>7752</v>
      </c>
      <c r="G766" s="3" t="s">
        <v>62</v>
      </c>
      <c r="I766" s="3" t="s">
        <v>62</v>
      </c>
      <c r="J766" s="3" t="s">
        <v>62</v>
      </c>
      <c r="K766" s="3" t="s">
        <v>63</v>
      </c>
      <c r="L766" s="2" t="s">
        <v>7753</v>
      </c>
      <c r="M766" s="2" t="s">
        <v>7754</v>
      </c>
      <c r="N766" s="3" t="s">
        <v>466</v>
      </c>
      <c r="P766" s="3" t="s">
        <v>64</v>
      </c>
      <c r="R766" s="3" t="s">
        <v>65</v>
      </c>
      <c r="S766" s="4">
        <v>42</v>
      </c>
      <c r="T766" s="4">
        <v>42</v>
      </c>
      <c r="U766" s="5" t="s">
        <v>7755</v>
      </c>
      <c r="V766" s="5" t="s">
        <v>7755</v>
      </c>
      <c r="W766" s="5" t="s">
        <v>67</v>
      </c>
      <c r="X766" s="5" t="s">
        <v>67</v>
      </c>
      <c r="Y766" s="4">
        <v>420</v>
      </c>
      <c r="Z766" s="4">
        <v>29</v>
      </c>
      <c r="AA766" s="4">
        <v>35</v>
      </c>
      <c r="AB766" s="4">
        <v>2</v>
      </c>
      <c r="AC766" s="4">
        <v>3</v>
      </c>
      <c r="AD766" s="4">
        <v>123</v>
      </c>
      <c r="AE766" s="4">
        <v>128</v>
      </c>
      <c r="AF766" s="4">
        <v>1</v>
      </c>
      <c r="AG766" s="4">
        <v>2</v>
      </c>
      <c r="AH766" s="4">
        <v>108</v>
      </c>
      <c r="AI766" s="4">
        <v>111</v>
      </c>
      <c r="AJ766" s="4">
        <v>18</v>
      </c>
      <c r="AK766" s="4">
        <v>20</v>
      </c>
      <c r="AL766" s="4">
        <v>59</v>
      </c>
      <c r="AM766" s="4">
        <v>60</v>
      </c>
      <c r="AN766" s="4">
        <v>0</v>
      </c>
      <c r="AO766" s="4">
        <v>0</v>
      </c>
      <c r="AP766" s="4">
        <v>23</v>
      </c>
      <c r="AQ766" s="4">
        <v>25</v>
      </c>
      <c r="AR766" s="3" t="s">
        <v>62</v>
      </c>
      <c r="AS766" s="3" t="s">
        <v>62</v>
      </c>
      <c r="AT766" s="3" t="s">
        <v>62</v>
      </c>
      <c r="AV766" s="6" t="str">
        <f>HYPERLINK("http://mcgill.on.worldcat.org/oclc/24144057","Catalog Record")</f>
        <v>Catalog Record</v>
      </c>
      <c r="AW766" s="6" t="str">
        <f>HYPERLINK("http://www.worldcat.org/oclc/24144057","WorldCat Record")</f>
        <v>WorldCat Record</v>
      </c>
      <c r="AX766" s="3" t="s">
        <v>7756</v>
      </c>
      <c r="AY766" s="3" t="s">
        <v>7757</v>
      </c>
      <c r="AZ766" s="3" t="s">
        <v>7758</v>
      </c>
      <c r="BA766" s="3" t="s">
        <v>7758</v>
      </c>
      <c r="BB766" s="3" t="s">
        <v>7759</v>
      </c>
      <c r="BC766" s="3" t="s">
        <v>102</v>
      </c>
      <c r="BD766" s="3" t="s">
        <v>68</v>
      </c>
      <c r="BE766" s="3" t="s">
        <v>7760</v>
      </c>
      <c r="BF766" s="3" t="s">
        <v>7759</v>
      </c>
      <c r="BG766" s="3" t="s">
        <v>7761</v>
      </c>
    </row>
    <row r="767" spans="1:59" ht="58" x14ac:dyDescent="0.35">
      <c r="A767" s="2" t="s">
        <v>89</v>
      </c>
      <c r="B767" s="2" t="s">
        <v>90</v>
      </c>
      <c r="C767" s="2" t="s">
        <v>7762</v>
      </c>
      <c r="D767" s="2" t="s">
        <v>7763</v>
      </c>
      <c r="E767" s="2" t="s">
        <v>7764</v>
      </c>
      <c r="G767" s="3" t="s">
        <v>62</v>
      </c>
      <c r="I767" s="3" t="s">
        <v>62</v>
      </c>
      <c r="J767" s="3" t="s">
        <v>62</v>
      </c>
      <c r="K767" s="3" t="s">
        <v>63</v>
      </c>
      <c r="L767" s="2" t="s">
        <v>7765</v>
      </c>
      <c r="M767" s="2" t="s">
        <v>7766</v>
      </c>
      <c r="N767" s="3" t="s">
        <v>568</v>
      </c>
      <c r="P767" s="3" t="s">
        <v>64</v>
      </c>
      <c r="R767" s="3" t="s">
        <v>65</v>
      </c>
      <c r="S767" s="4">
        <v>18</v>
      </c>
      <c r="T767" s="4">
        <v>18</v>
      </c>
      <c r="U767" s="5" t="s">
        <v>7767</v>
      </c>
      <c r="V767" s="5" t="s">
        <v>7767</v>
      </c>
      <c r="W767" s="5" t="s">
        <v>67</v>
      </c>
      <c r="X767" s="5" t="s">
        <v>67</v>
      </c>
      <c r="Y767" s="4">
        <v>871</v>
      </c>
      <c r="Z767" s="4">
        <v>39</v>
      </c>
      <c r="AA767" s="4">
        <v>45</v>
      </c>
      <c r="AB767" s="4">
        <v>2</v>
      </c>
      <c r="AC767" s="4">
        <v>6</v>
      </c>
      <c r="AD767" s="4">
        <v>125</v>
      </c>
      <c r="AE767" s="4">
        <v>129</v>
      </c>
      <c r="AF767" s="4">
        <v>1</v>
      </c>
      <c r="AG767" s="4">
        <v>3</v>
      </c>
      <c r="AH767" s="4">
        <v>104</v>
      </c>
      <c r="AI767" s="4">
        <v>105</v>
      </c>
      <c r="AJ767" s="4">
        <v>18</v>
      </c>
      <c r="AK767" s="4">
        <v>20</v>
      </c>
      <c r="AL767" s="4">
        <v>56</v>
      </c>
      <c r="AM767" s="4">
        <v>56</v>
      </c>
      <c r="AN767" s="4">
        <v>0</v>
      </c>
      <c r="AO767" s="4">
        <v>0</v>
      </c>
      <c r="AP767" s="4">
        <v>27</v>
      </c>
      <c r="AQ767" s="4">
        <v>31</v>
      </c>
      <c r="AR767" s="3" t="s">
        <v>62</v>
      </c>
      <c r="AS767" s="3" t="s">
        <v>62</v>
      </c>
      <c r="AT767" s="3" t="s">
        <v>62</v>
      </c>
      <c r="AV767" s="6" t="str">
        <f>HYPERLINK("http://mcgill.on.worldcat.org/oclc/42772244","Catalog Record")</f>
        <v>Catalog Record</v>
      </c>
      <c r="AW767" s="6" t="str">
        <f>HYPERLINK("http://www.worldcat.org/oclc/42772244","WorldCat Record")</f>
        <v>WorldCat Record</v>
      </c>
      <c r="AX767" s="3" t="s">
        <v>7768</v>
      </c>
      <c r="AY767" s="3" t="s">
        <v>7769</v>
      </c>
      <c r="AZ767" s="3" t="s">
        <v>7770</v>
      </c>
      <c r="BA767" s="3" t="s">
        <v>7770</v>
      </c>
      <c r="BB767" s="3" t="s">
        <v>7771</v>
      </c>
      <c r="BC767" s="3" t="s">
        <v>102</v>
      </c>
      <c r="BD767" s="3" t="s">
        <v>68</v>
      </c>
      <c r="BE767" s="3" t="s">
        <v>7772</v>
      </c>
      <c r="BF767" s="3" t="s">
        <v>7771</v>
      </c>
      <c r="BG767" s="3" t="s">
        <v>7773</v>
      </c>
    </row>
    <row r="768" spans="1:59" ht="58" x14ac:dyDescent="0.35">
      <c r="A768" s="2" t="s">
        <v>89</v>
      </c>
      <c r="B768" s="2" t="s">
        <v>90</v>
      </c>
      <c r="C768" s="2" t="s">
        <v>7774</v>
      </c>
      <c r="D768" s="2" t="s">
        <v>7775</v>
      </c>
      <c r="E768" s="2" t="s">
        <v>7776</v>
      </c>
      <c r="G768" s="3" t="s">
        <v>62</v>
      </c>
      <c r="I768" s="3" t="s">
        <v>62</v>
      </c>
      <c r="J768" s="3" t="s">
        <v>62</v>
      </c>
      <c r="K768" s="3" t="s">
        <v>63</v>
      </c>
      <c r="L768" s="2" t="s">
        <v>7777</v>
      </c>
      <c r="M768" s="2" t="s">
        <v>7778</v>
      </c>
      <c r="N768" s="3" t="s">
        <v>424</v>
      </c>
      <c r="P768" s="3" t="s">
        <v>64</v>
      </c>
      <c r="Q768" s="2" t="s">
        <v>3500</v>
      </c>
      <c r="R768" s="3" t="s">
        <v>65</v>
      </c>
      <c r="S768" s="4">
        <v>24</v>
      </c>
      <c r="T768" s="4">
        <v>24</v>
      </c>
      <c r="U768" s="5" t="s">
        <v>7779</v>
      </c>
      <c r="V768" s="5" t="s">
        <v>7779</v>
      </c>
      <c r="W768" s="5" t="s">
        <v>67</v>
      </c>
      <c r="X768" s="5" t="s">
        <v>67</v>
      </c>
      <c r="Y768" s="4">
        <v>677</v>
      </c>
      <c r="Z768" s="4">
        <v>42</v>
      </c>
      <c r="AA768" s="4">
        <v>121</v>
      </c>
      <c r="AB768" s="4">
        <v>4</v>
      </c>
      <c r="AC768" s="4">
        <v>19</v>
      </c>
      <c r="AD768" s="4">
        <v>119</v>
      </c>
      <c r="AE768" s="4">
        <v>153</v>
      </c>
      <c r="AF768" s="4">
        <v>1</v>
      </c>
      <c r="AG768" s="4">
        <v>8</v>
      </c>
      <c r="AH768" s="4">
        <v>96</v>
      </c>
      <c r="AI768" s="4">
        <v>108</v>
      </c>
      <c r="AJ768" s="4">
        <v>17</v>
      </c>
      <c r="AK768" s="4">
        <v>26</v>
      </c>
      <c r="AL768" s="4">
        <v>55</v>
      </c>
      <c r="AM768" s="4">
        <v>58</v>
      </c>
      <c r="AN768" s="4">
        <v>0</v>
      </c>
      <c r="AO768" s="4">
        <v>0</v>
      </c>
      <c r="AP768" s="4">
        <v>27</v>
      </c>
      <c r="AQ768" s="4">
        <v>51</v>
      </c>
      <c r="AR768" s="3" t="s">
        <v>62</v>
      </c>
      <c r="AS768" s="3" t="s">
        <v>62</v>
      </c>
      <c r="AT768" s="3" t="s">
        <v>62</v>
      </c>
      <c r="AV768" s="6" t="str">
        <f>HYPERLINK("http://mcgill.on.worldcat.org/oclc/16833680","Catalog Record")</f>
        <v>Catalog Record</v>
      </c>
      <c r="AW768" s="6" t="str">
        <f>HYPERLINK("http://www.worldcat.org/oclc/16833680","WorldCat Record")</f>
        <v>WorldCat Record</v>
      </c>
      <c r="AX768" s="3" t="s">
        <v>7780</v>
      </c>
      <c r="AY768" s="3" t="s">
        <v>7781</v>
      </c>
      <c r="AZ768" s="3" t="s">
        <v>7782</v>
      </c>
      <c r="BA768" s="3" t="s">
        <v>7782</v>
      </c>
      <c r="BB768" s="3" t="s">
        <v>7783</v>
      </c>
      <c r="BC768" s="3" t="s">
        <v>102</v>
      </c>
      <c r="BD768" s="3" t="s">
        <v>68</v>
      </c>
      <c r="BE768" s="3" t="s">
        <v>7784</v>
      </c>
      <c r="BF768" s="3" t="s">
        <v>7783</v>
      </c>
      <c r="BG768" s="3" t="s">
        <v>7785</v>
      </c>
    </row>
    <row r="769" spans="1:59" ht="58" x14ac:dyDescent="0.35">
      <c r="A769" s="2" t="s">
        <v>59</v>
      </c>
      <c r="B769" s="2" t="s">
        <v>60</v>
      </c>
      <c r="C769" s="2" t="s">
        <v>7786</v>
      </c>
      <c r="D769" s="2" t="s">
        <v>7787</v>
      </c>
      <c r="E769" s="2" t="s">
        <v>7788</v>
      </c>
      <c r="G769" s="3" t="s">
        <v>62</v>
      </c>
      <c r="I769" s="3" t="s">
        <v>62</v>
      </c>
      <c r="J769" s="3" t="s">
        <v>62</v>
      </c>
      <c r="K769" s="3" t="s">
        <v>63</v>
      </c>
      <c r="L769" s="2" t="s">
        <v>7789</v>
      </c>
      <c r="M769" s="2" t="s">
        <v>7790</v>
      </c>
      <c r="N769" s="3" t="s">
        <v>481</v>
      </c>
      <c r="O769" s="2" t="s">
        <v>7791</v>
      </c>
      <c r="P769" s="3" t="s">
        <v>64</v>
      </c>
      <c r="R769" s="3" t="s">
        <v>65</v>
      </c>
      <c r="S769" s="4">
        <v>3</v>
      </c>
      <c r="T769" s="4">
        <v>3</v>
      </c>
      <c r="U769" s="5" t="s">
        <v>2256</v>
      </c>
      <c r="V769" s="5" t="s">
        <v>2256</v>
      </c>
      <c r="W769" s="5" t="s">
        <v>67</v>
      </c>
      <c r="X769" s="5" t="s">
        <v>67</v>
      </c>
      <c r="Y769" s="4">
        <v>118</v>
      </c>
      <c r="Z769" s="4">
        <v>14</v>
      </c>
      <c r="AA769" s="4">
        <v>64</v>
      </c>
      <c r="AB769" s="4">
        <v>1</v>
      </c>
      <c r="AC769" s="4">
        <v>6</v>
      </c>
      <c r="AD769" s="4">
        <v>27</v>
      </c>
      <c r="AE769" s="4">
        <v>128</v>
      </c>
      <c r="AF769" s="4">
        <v>0</v>
      </c>
      <c r="AG769" s="4">
        <v>4</v>
      </c>
      <c r="AH769" s="4">
        <v>19</v>
      </c>
      <c r="AI769" s="4">
        <v>97</v>
      </c>
      <c r="AJ769" s="4">
        <v>5</v>
      </c>
      <c r="AK769" s="4">
        <v>25</v>
      </c>
      <c r="AL769" s="4">
        <v>9</v>
      </c>
      <c r="AM769" s="4">
        <v>55</v>
      </c>
      <c r="AN769" s="4">
        <v>0</v>
      </c>
      <c r="AO769" s="4">
        <v>0</v>
      </c>
      <c r="AP769" s="4">
        <v>10</v>
      </c>
      <c r="AQ769" s="4">
        <v>38</v>
      </c>
      <c r="AR769" s="3" t="s">
        <v>62</v>
      </c>
      <c r="AS769" s="3" t="s">
        <v>62</v>
      </c>
      <c r="AT769" s="3" t="s">
        <v>62</v>
      </c>
      <c r="AV769" s="6" t="str">
        <f>HYPERLINK("http://mcgill.on.worldcat.org/oclc/35659490","Catalog Record")</f>
        <v>Catalog Record</v>
      </c>
      <c r="AW769" s="6" t="str">
        <f>HYPERLINK("http://www.worldcat.org/oclc/35659490","WorldCat Record")</f>
        <v>WorldCat Record</v>
      </c>
      <c r="AX769" s="3" t="s">
        <v>7792</v>
      </c>
      <c r="AY769" s="3" t="s">
        <v>7793</v>
      </c>
      <c r="AZ769" s="3" t="s">
        <v>7794</v>
      </c>
      <c r="BA769" s="3" t="s">
        <v>7794</v>
      </c>
      <c r="BB769" s="3" t="s">
        <v>7795</v>
      </c>
      <c r="BC769" s="3" t="s">
        <v>102</v>
      </c>
      <c r="BD769" s="3" t="s">
        <v>68</v>
      </c>
      <c r="BE769" s="3" t="s">
        <v>7796</v>
      </c>
      <c r="BF769" s="3" t="s">
        <v>7795</v>
      </c>
      <c r="BG769" s="3" t="s">
        <v>7797</v>
      </c>
    </row>
    <row r="770" spans="1:59" ht="58" x14ac:dyDescent="0.35">
      <c r="A770" s="2" t="s">
        <v>89</v>
      </c>
      <c r="B770" s="2" t="s">
        <v>90</v>
      </c>
      <c r="C770" s="2" t="s">
        <v>7798</v>
      </c>
      <c r="D770" s="2" t="s">
        <v>7799</v>
      </c>
      <c r="E770" s="2" t="s">
        <v>7800</v>
      </c>
      <c r="G770" s="3" t="s">
        <v>62</v>
      </c>
      <c r="I770" s="3" t="s">
        <v>61</v>
      </c>
      <c r="J770" s="3" t="s">
        <v>62</v>
      </c>
      <c r="K770" s="3" t="s">
        <v>63</v>
      </c>
      <c r="L770" s="2" t="s">
        <v>7801</v>
      </c>
      <c r="M770" s="2" t="s">
        <v>7802</v>
      </c>
      <c r="N770" s="3" t="s">
        <v>625</v>
      </c>
      <c r="P770" s="3" t="s">
        <v>64</v>
      </c>
      <c r="Q770" s="2" t="s">
        <v>3500</v>
      </c>
      <c r="R770" s="3" t="s">
        <v>65</v>
      </c>
      <c r="S770" s="4">
        <v>29</v>
      </c>
      <c r="T770" s="4">
        <v>133</v>
      </c>
      <c r="U770" s="5" t="s">
        <v>7803</v>
      </c>
      <c r="V770" s="5" t="s">
        <v>7803</v>
      </c>
      <c r="W770" s="5" t="s">
        <v>67</v>
      </c>
      <c r="X770" s="5" t="s">
        <v>67</v>
      </c>
      <c r="Y770" s="4">
        <v>540</v>
      </c>
      <c r="Z770" s="4">
        <v>38</v>
      </c>
      <c r="AA770" s="4">
        <v>46</v>
      </c>
      <c r="AB770" s="4">
        <v>2</v>
      </c>
      <c r="AC770" s="4">
        <v>5</v>
      </c>
      <c r="AD770" s="4">
        <v>102</v>
      </c>
      <c r="AE770" s="4">
        <v>109</v>
      </c>
      <c r="AF770" s="4">
        <v>1</v>
      </c>
      <c r="AG770" s="4">
        <v>2</v>
      </c>
      <c r="AH770" s="4">
        <v>83</v>
      </c>
      <c r="AI770" s="4">
        <v>87</v>
      </c>
      <c r="AJ770" s="4">
        <v>15</v>
      </c>
      <c r="AK770" s="4">
        <v>18</v>
      </c>
      <c r="AL770" s="4">
        <v>48</v>
      </c>
      <c r="AM770" s="4">
        <v>50</v>
      </c>
      <c r="AN770" s="4">
        <v>0</v>
      </c>
      <c r="AO770" s="4">
        <v>0</v>
      </c>
      <c r="AP770" s="4">
        <v>26</v>
      </c>
      <c r="AQ770" s="4">
        <v>29</v>
      </c>
      <c r="AR770" s="3" t="s">
        <v>62</v>
      </c>
      <c r="AS770" s="3" t="s">
        <v>62</v>
      </c>
      <c r="AT770" s="3" t="s">
        <v>62</v>
      </c>
      <c r="AV770" s="6" t="str">
        <f>HYPERLINK("http://mcgill.on.worldcat.org/oclc/51223665","Catalog Record")</f>
        <v>Catalog Record</v>
      </c>
      <c r="AW770" s="6" t="str">
        <f>HYPERLINK("http://www.worldcat.org/oclc/51223665","WorldCat Record")</f>
        <v>WorldCat Record</v>
      </c>
      <c r="AX770" s="3" t="s">
        <v>7804</v>
      </c>
      <c r="AY770" s="3" t="s">
        <v>7805</v>
      </c>
      <c r="AZ770" s="3" t="s">
        <v>7806</v>
      </c>
      <c r="BA770" s="3" t="s">
        <v>7806</v>
      </c>
      <c r="BB770" s="3" t="s">
        <v>7807</v>
      </c>
      <c r="BC770" s="3" t="s">
        <v>102</v>
      </c>
      <c r="BD770" s="3" t="s">
        <v>7808</v>
      </c>
      <c r="BE770" s="3" t="s">
        <v>7809</v>
      </c>
      <c r="BF770" s="3" t="s">
        <v>7807</v>
      </c>
      <c r="BG770" s="3" t="s">
        <v>7810</v>
      </c>
    </row>
    <row r="771" spans="1:59" ht="58" x14ac:dyDescent="0.35">
      <c r="A771" s="2" t="s">
        <v>89</v>
      </c>
      <c r="B771" s="2" t="s">
        <v>90</v>
      </c>
      <c r="C771" s="2" t="s">
        <v>7811</v>
      </c>
      <c r="D771" s="2" t="s">
        <v>7812</v>
      </c>
      <c r="E771" s="2" t="s">
        <v>7813</v>
      </c>
      <c r="G771" s="3" t="s">
        <v>62</v>
      </c>
      <c r="I771" s="3" t="s">
        <v>62</v>
      </c>
      <c r="J771" s="3" t="s">
        <v>62</v>
      </c>
      <c r="K771" s="3" t="s">
        <v>63</v>
      </c>
      <c r="L771" s="2" t="s">
        <v>7814</v>
      </c>
      <c r="M771" s="2" t="s">
        <v>7815</v>
      </c>
      <c r="N771" s="3" t="s">
        <v>327</v>
      </c>
      <c r="P771" s="3" t="s">
        <v>64</v>
      </c>
      <c r="R771" s="3" t="s">
        <v>65</v>
      </c>
      <c r="S771" s="4">
        <v>73</v>
      </c>
      <c r="T771" s="4">
        <v>73</v>
      </c>
      <c r="U771" s="5" t="s">
        <v>2125</v>
      </c>
      <c r="V771" s="5" t="s">
        <v>2125</v>
      </c>
      <c r="W771" s="5" t="s">
        <v>67</v>
      </c>
      <c r="X771" s="5" t="s">
        <v>67</v>
      </c>
      <c r="Y771" s="4">
        <v>696</v>
      </c>
      <c r="Z771" s="4">
        <v>53</v>
      </c>
      <c r="AA771" s="4">
        <v>57</v>
      </c>
      <c r="AB771" s="4">
        <v>2</v>
      </c>
      <c r="AC771" s="4">
        <v>5</v>
      </c>
      <c r="AD771" s="4">
        <v>136</v>
      </c>
      <c r="AE771" s="4">
        <v>139</v>
      </c>
      <c r="AF771" s="4">
        <v>1</v>
      </c>
      <c r="AG771" s="4">
        <v>3</v>
      </c>
      <c r="AH771" s="4">
        <v>108</v>
      </c>
      <c r="AI771" s="4">
        <v>108</v>
      </c>
      <c r="AJ771" s="4">
        <v>21</v>
      </c>
      <c r="AK771" s="4">
        <v>23</v>
      </c>
      <c r="AL771" s="4">
        <v>58</v>
      </c>
      <c r="AM771" s="4">
        <v>58</v>
      </c>
      <c r="AN771" s="4">
        <v>0</v>
      </c>
      <c r="AO771" s="4">
        <v>0</v>
      </c>
      <c r="AP771" s="4">
        <v>36</v>
      </c>
      <c r="AQ771" s="4">
        <v>38</v>
      </c>
      <c r="AR771" s="3" t="s">
        <v>62</v>
      </c>
      <c r="AS771" s="3" t="s">
        <v>62</v>
      </c>
      <c r="AT771" s="3" t="s">
        <v>62</v>
      </c>
      <c r="AV771" s="6" t="str">
        <f>HYPERLINK("http://mcgill.on.worldcat.org/oclc/9371160","Catalog Record")</f>
        <v>Catalog Record</v>
      </c>
      <c r="AW771" s="6" t="str">
        <f>HYPERLINK("http://www.worldcat.org/oclc/9371160","WorldCat Record")</f>
        <v>WorldCat Record</v>
      </c>
      <c r="AX771" s="3" t="s">
        <v>7816</v>
      </c>
      <c r="AY771" s="3" t="s">
        <v>7817</v>
      </c>
      <c r="AZ771" s="3" t="s">
        <v>7818</v>
      </c>
      <c r="BA771" s="3" t="s">
        <v>7818</v>
      </c>
      <c r="BB771" s="3" t="s">
        <v>7819</v>
      </c>
      <c r="BC771" s="3" t="s">
        <v>102</v>
      </c>
      <c r="BD771" s="3" t="s">
        <v>231</v>
      </c>
      <c r="BE771" s="3" t="s">
        <v>7820</v>
      </c>
      <c r="BF771" s="3" t="s">
        <v>7819</v>
      </c>
      <c r="BG771" s="3" t="s">
        <v>7821</v>
      </c>
    </row>
    <row r="772" spans="1:59" ht="58" x14ac:dyDescent="0.35">
      <c r="A772" s="2" t="s">
        <v>89</v>
      </c>
      <c r="B772" s="2" t="s">
        <v>90</v>
      </c>
      <c r="C772" s="2" t="s">
        <v>7822</v>
      </c>
      <c r="D772" s="2" t="s">
        <v>7823</v>
      </c>
      <c r="E772" s="2" t="s">
        <v>7824</v>
      </c>
      <c r="G772" s="3" t="s">
        <v>62</v>
      </c>
      <c r="I772" s="3" t="s">
        <v>62</v>
      </c>
      <c r="J772" s="3" t="s">
        <v>62</v>
      </c>
      <c r="K772" s="3" t="s">
        <v>63</v>
      </c>
      <c r="M772" s="2" t="s">
        <v>7825</v>
      </c>
      <c r="N772" s="3" t="s">
        <v>129</v>
      </c>
      <c r="P772" s="3" t="s">
        <v>64</v>
      </c>
      <c r="R772" s="3" t="s">
        <v>65</v>
      </c>
      <c r="S772" s="4">
        <v>0</v>
      </c>
      <c r="T772" s="4">
        <v>0</v>
      </c>
      <c r="W772" s="5" t="s">
        <v>67</v>
      </c>
      <c r="X772" s="5" t="s">
        <v>67</v>
      </c>
      <c r="Y772" s="4">
        <v>98</v>
      </c>
      <c r="Z772" s="4">
        <v>7</v>
      </c>
      <c r="AA772" s="4">
        <v>93</v>
      </c>
      <c r="AB772" s="4">
        <v>1</v>
      </c>
      <c r="AC772" s="4">
        <v>17</v>
      </c>
      <c r="AD772" s="4">
        <v>23</v>
      </c>
      <c r="AE772" s="4">
        <v>96</v>
      </c>
      <c r="AF772" s="4">
        <v>0</v>
      </c>
      <c r="AG772" s="4">
        <v>8</v>
      </c>
      <c r="AH772" s="4">
        <v>21</v>
      </c>
      <c r="AI772" s="4">
        <v>65</v>
      </c>
      <c r="AJ772" s="4">
        <v>5</v>
      </c>
      <c r="AK772" s="4">
        <v>18</v>
      </c>
      <c r="AL772" s="4">
        <v>12</v>
      </c>
      <c r="AM772" s="4">
        <v>36</v>
      </c>
      <c r="AN772" s="4">
        <v>0</v>
      </c>
      <c r="AO772" s="4">
        <v>0</v>
      </c>
      <c r="AP772" s="4">
        <v>5</v>
      </c>
      <c r="AQ772" s="4">
        <v>37</v>
      </c>
      <c r="AR772" s="3" t="s">
        <v>62</v>
      </c>
      <c r="AS772" s="3" t="s">
        <v>62</v>
      </c>
      <c r="AT772" s="3" t="s">
        <v>62</v>
      </c>
      <c r="AV772" s="6" t="str">
        <f>HYPERLINK("http://mcgill.on.worldcat.org/oclc/692289970","Catalog Record")</f>
        <v>Catalog Record</v>
      </c>
      <c r="AW772" s="6" t="str">
        <f>HYPERLINK("http://www.worldcat.org/oclc/692289970","WorldCat Record")</f>
        <v>WorldCat Record</v>
      </c>
      <c r="AX772" s="3" t="s">
        <v>7826</v>
      </c>
      <c r="AY772" s="3" t="s">
        <v>7827</v>
      </c>
      <c r="AZ772" s="3" t="s">
        <v>7828</v>
      </c>
      <c r="BA772" s="3" t="s">
        <v>7828</v>
      </c>
      <c r="BB772" s="3" t="s">
        <v>7829</v>
      </c>
      <c r="BC772" s="3" t="s">
        <v>102</v>
      </c>
      <c r="BD772" s="3" t="s">
        <v>68</v>
      </c>
      <c r="BE772" s="3" t="s">
        <v>7830</v>
      </c>
      <c r="BF772" s="3" t="s">
        <v>7829</v>
      </c>
      <c r="BG772" s="3" t="s">
        <v>7831</v>
      </c>
    </row>
    <row r="773" spans="1:59" ht="58" x14ac:dyDescent="0.35">
      <c r="A773" s="2" t="s">
        <v>89</v>
      </c>
      <c r="B773" s="2" t="s">
        <v>90</v>
      </c>
      <c r="C773" s="2" t="s">
        <v>7832</v>
      </c>
      <c r="D773" s="2" t="s">
        <v>7833</v>
      </c>
      <c r="E773" s="2" t="s">
        <v>7834</v>
      </c>
      <c r="G773" s="3" t="s">
        <v>62</v>
      </c>
      <c r="I773" s="3" t="s">
        <v>61</v>
      </c>
      <c r="J773" s="3" t="s">
        <v>62</v>
      </c>
      <c r="K773" s="3" t="s">
        <v>63</v>
      </c>
      <c r="L773" s="2" t="s">
        <v>7835</v>
      </c>
      <c r="M773" s="2" t="s">
        <v>7836</v>
      </c>
      <c r="N773" s="3" t="s">
        <v>1662</v>
      </c>
      <c r="P773" s="3" t="s">
        <v>64</v>
      </c>
      <c r="R773" s="3" t="s">
        <v>65</v>
      </c>
      <c r="S773" s="4">
        <v>25</v>
      </c>
      <c r="T773" s="4">
        <v>37</v>
      </c>
      <c r="U773" s="5" t="s">
        <v>7837</v>
      </c>
      <c r="V773" s="5" t="s">
        <v>7837</v>
      </c>
      <c r="W773" s="5" t="s">
        <v>67</v>
      </c>
      <c r="X773" s="5" t="s">
        <v>67</v>
      </c>
      <c r="Y773" s="4">
        <v>825</v>
      </c>
      <c r="Z773" s="4">
        <v>44</v>
      </c>
      <c r="AA773" s="4">
        <v>71</v>
      </c>
      <c r="AB773" s="4">
        <v>2</v>
      </c>
      <c r="AC773" s="4">
        <v>8</v>
      </c>
      <c r="AD773" s="4">
        <v>132</v>
      </c>
      <c r="AE773" s="4">
        <v>155</v>
      </c>
      <c r="AF773" s="4">
        <v>1</v>
      </c>
      <c r="AG773" s="4">
        <v>4</v>
      </c>
      <c r="AH773" s="4">
        <v>104</v>
      </c>
      <c r="AI773" s="4">
        <v>114</v>
      </c>
      <c r="AJ773" s="4">
        <v>19</v>
      </c>
      <c r="AK773" s="4">
        <v>28</v>
      </c>
      <c r="AL773" s="4">
        <v>58</v>
      </c>
      <c r="AM773" s="4">
        <v>60</v>
      </c>
      <c r="AN773" s="4">
        <v>0</v>
      </c>
      <c r="AO773" s="4">
        <v>0</v>
      </c>
      <c r="AP773" s="4">
        <v>30</v>
      </c>
      <c r="AQ773" s="4">
        <v>47</v>
      </c>
      <c r="AR773" s="3" t="s">
        <v>62</v>
      </c>
      <c r="AS773" s="3" t="s">
        <v>62</v>
      </c>
      <c r="AT773" s="3" t="s">
        <v>61</v>
      </c>
      <c r="AU773" s="6" t="str">
        <f>HYPERLINK("http://catalog.hathitrust.org/Record/001474545","HathiTrust Record")</f>
        <v>HathiTrust Record</v>
      </c>
      <c r="AV773" s="6" t="str">
        <f>HYPERLINK("http://mcgill.on.worldcat.org/oclc/522180","Catalog Record")</f>
        <v>Catalog Record</v>
      </c>
      <c r="AW773" s="6" t="str">
        <f>HYPERLINK("http://www.worldcat.org/oclc/522180","WorldCat Record")</f>
        <v>WorldCat Record</v>
      </c>
      <c r="AX773" s="3" t="s">
        <v>7838</v>
      </c>
      <c r="AY773" s="3" t="s">
        <v>7839</v>
      </c>
      <c r="AZ773" s="3" t="s">
        <v>7840</v>
      </c>
      <c r="BA773" s="3" t="s">
        <v>7840</v>
      </c>
      <c r="BB773" s="3" t="s">
        <v>7841</v>
      </c>
      <c r="BC773" s="3" t="s">
        <v>102</v>
      </c>
      <c r="BD773" s="3" t="s">
        <v>68</v>
      </c>
      <c r="BE773" s="3" t="s">
        <v>7842</v>
      </c>
      <c r="BF773" s="3" t="s">
        <v>7841</v>
      </c>
      <c r="BG773" s="3" t="s">
        <v>7843</v>
      </c>
    </row>
    <row r="774" spans="1:59" ht="58" x14ac:dyDescent="0.35">
      <c r="A774" s="2" t="s">
        <v>89</v>
      </c>
      <c r="B774" s="2" t="s">
        <v>90</v>
      </c>
      <c r="C774" s="2" t="s">
        <v>7832</v>
      </c>
      <c r="D774" s="2" t="s">
        <v>7833</v>
      </c>
      <c r="E774" s="2" t="s">
        <v>7834</v>
      </c>
      <c r="G774" s="3" t="s">
        <v>62</v>
      </c>
      <c r="I774" s="3" t="s">
        <v>61</v>
      </c>
      <c r="J774" s="3" t="s">
        <v>62</v>
      </c>
      <c r="K774" s="3" t="s">
        <v>63</v>
      </c>
      <c r="L774" s="2" t="s">
        <v>7835</v>
      </c>
      <c r="M774" s="2" t="s">
        <v>7836</v>
      </c>
      <c r="N774" s="3" t="s">
        <v>1662</v>
      </c>
      <c r="P774" s="3" t="s">
        <v>64</v>
      </c>
      <c r="R774" s="3" t="s">
        <v>65</v>
      </c>
      <c r="S774" s="4">
        <v>7</v>
      </c>
      <c r="T774" s="4">
        <v>37</v>
      </c>
      <c r="U774" s="5" t="s">
        <v>2099</v>
      </c>
      <c r="V774" s="5" t="s">
        <v>7837</v>
      </c>
      <c r="W774" s="5" t="s">
        <v>67</v>
      </c>
      <c r="X774" s="5" t="s">
        <v>67</v>
      </c>
      <c r="Y774" s="4">
        <v>825</v>
      </c>
      <c r="Z774" s="4">
        <v>44</v>
      </c>
      <c r="AA774" s="4">
        <v>71</v>
      </c>
      <c r="AB774" s="4">
        <v>2</v>
      </c>
      <c r="AC774" s="4">
        <v>8</v>
      </c>
      <c r="AD774" s="4">
        <v>132</v>
      </c>
      <c r="AE774" s="4">
        <v>155</v>
      </c>
      <c r="AF774" s="4">
        <v>1</v>
      </c>
      <c r="AG774" s="4">
        <v>4</v>
      </c>
      <c r="AH774" s="4">
        <v>104</v>
      </c>
      <c r="AI774" s="4">
        <v>114</v>
      </c>
      <c r="AJ774" s="4">
        <v>19</v>
      </c>
      <c r="AK774" s="4">
        <v>28</v>
      </c>
      <c r="AL774" s="4">
        <v>58</v>
      </c>
      <c r="AM774" s="4">
        <v>60</v>
      </c>
      <c r="AN774" s="4">
        <v>0</v>
      </c>
      <c r="AO774" s="4">
        <v>0</v>
      </c>
      <c r="AP774" s="4">
        <v>30</v>
      </c>
      <c r="AQ774" s="4">
        <v>47</v>
      </c>
      <c r="AR774" s="3" t="s">
        <v>62</v>
      </c>
      <c r="AS774" s="3" t="s">
        <v>62</v>
      </c>
      <c r="AT774" s="3" t="s">
        <v>61</v>
      </c>
      <c r="AU774" s="6" t="str">
        <f>HYPERLINK("http://catalog.hathitrust.org/Record/001474545","HathiTrust Record")</f>
        <v>HathiTrust Record</v>
      </c>
      <c r="AV774" s="6" t="str">
        <f>HYPERLINK("http://mcgill.on.worldcat.org/oclc/522180","Catalog Record")</f>
        <v>Catalog Record</v>
      </c>
      <c r="AW774" s="6" t="str">
        <f>HYPERLINK("http://www.worldcat.org/oclc/522180","WorldCat Record")</f>
        <v>WorldCat Record</v>
      </c>
      <c r="AX774" s="3" t="s">
        <v>7838</v>
      </c>
      <c r="AY774" s="3" t="s">
        <v>7839</v>
      </c>
      <c r="AZ774" s="3" t="s">
        <v>7840</v>
      </c>
      <c r="BA774" s="3" t="s">
        <v>7840</v>
      </c>
      <c r="BB774" s="3" t="s">
        <v>7844</v>
      </c>
      <c r="BC774" s="3" t="s">
        <v>102</v>
      </c>
      <c r="BD774" s="3" t="s">
        <v>68</v>
      </c>
      <c r="BE774" s="3" t="s">
        <v>7842</v>
      </c>
      <c r="BF774" s="3" t="s">
        <v>7844</v>
      </c>
      <c r="BG774" s="3" t="s">
        <v>7845</v>
      </c>
    </row>
    <row r="775" spans="1:59" ht="58" x14ac:dyDescent="0.35">
      <c r="A775" s="2" t="s">
        <v>89</v>
      </c>
      <c r="B775" s="2" t="s">
        <v>90</v>
      </c>
      <c r="C775" s="2" t="s">
        <v>7846</v>
      </c>
      <c r="D775" s="2" t="s">
        <v>7847</v>
      </c>
      <c r="E775" s="2" t="s">
        <v>7848</v>
      </c>
      <c r="G775" s="3" t="s">
        <v>62</v>
      </c>
      <c r="I775" s="3" t="s">
        <v>62</v>
      </c>
      <c r="J775" s="3" t="s">
        <v>62</v>
      </c>
      <c r="K775" s="3" t="s">
        <v>63</v>
      </c>
      <c r="L775" s="2" t="s">
        <v>7849</v>
      </c>
      <c r="M775" s="2" t="s">
        <v>7850</v>
      </c>
      <c r="N775" s="3" t="s">
        <v>1455</v>
      </c>
      <c r="P775" s="3" t="s">
        <v>64</v>
      </c>
      <c r="R775" s="3" t="s">
        <v>65</v>
      </c>
      <c r="S775" s="4">
        <v>5</v>
      </c>
      <c r="T775" s="4">
        <v>5</v>
      </c>
      <c r="U775" s="5" t="s">
        <v>7851</v>
      </c>
      <c r="V775" s="5" t="s">
        <v>7851</v>
      </c>
      <c r="W775" s="5" t="s">
        <v>67</v>
      </c>
      <c r="X775" s="5" t="s">
        <v>67</v>
      </c>
      <c r="Y775" s="4">
        <v>136</v>
      </c>
      <c r="Z775" s="4">
        <v>12</v>
      </c>
      <c r="AA775" s="4">
        <v>50</v>
      </c>
      <c r="AB775" s="4">
        <v>2</v>
      </c>
      <c r="AC775" s="4">
        <v>7</v>
      </c>
      <c r="AD775" s="4">
        <v>44</v>
      </c>
      <c r="AE775" s="4">
        <v>77</v>
      </c>
      <c r="AF775" s="4">
        <v>1</v>
      </c>
      <c r="AG775" s="4">
        <v>2</v>
      </c>
      <c r="AH775" s="4">
        <v>37</v>
      </c>
      <c r="AI775" s="4">
        <v>59</v>
      </c>
      <c r="AJ775" s="4">
        <v>6</v>
      </c>
      <c r="AK775" s="4">
        <v>12</v>
      </c>
      <c r="AL775" s="4">
        <v>24</v>
      </c>
      <c r="AM775" s="4">
        <v>35</v>
      </c>
      <c r="AN775" s="4">
        <v>0</v>
      </c>
      <c r="AO775" s="4">
        <v>0</v>
      </c>
      <c r="AP775" s="4">
        <v>9</v>
      </c>
      <c r="AQ775" s="4">
        <v>22</v>
      </c>
      <c r="AR775" s="3" t="s">
        <v>62</v>
      </c>
      <c r="AS775" s="3" t="s">
        <v>62</v>
      </c>
      <c r="AT775" s="3" t="s">
        <v>62</v>
      </c>
      <c r="AV775" s="6" t="str">
        <f>HYPERLINK("http://mcgill.on.worldcat.org/oclc/890360373","Catalog Record")</f>
        <v>Catalog Record</v>
      </c>
      <c r="AW775" s="6" t="str">
        <f>HYPERLINK("http://www.worldcat.org/oclc/890360373","WorldCat Record")</f>
        <v>WorldCat Record</v>
      </c>
      <c r="AX775" s="3" t="s">
        <v>7852</v>
      </c>
      <c r="AY775" s="3" t="s">
        <v>7853</v>
      </c>
      <c r="AZ775" s="3" t="s">
        <v>7854</v>
      </c>
      <c r="BA775" s="3" t="s">
        <v>7854</v>
      </c>
      <c r="BB775" s="3" t="s">
        <v>7855</v>
      </c>
      <c r="BC775" s="3" t="s">
        <v>102</v>
      </c>
      <c r="BD775" s="3" t="s">
        <v>68</v>
      </c>
      <c r="BE775" s="3" t="s">
        <v>7856</v>
      </c>
      <c r="BF775" s="3" t="s">
        <v>7855</v>
      </c>
      <c r="BG775" s="3" t="s">
        <v>7857</v>
      </c>
    </row>
    <row r="776" spans="1:59" ht="58" x14ac:dyDescent="0.35">
      <c r="A776" s="2" t="s">
        <v>89</v>
      </c>
      <c r="B776" s="2" t="s">
        <v>90</v>
      </c>
      <c r="C776" s="2" t="s">
        <v>7858</v>
      </c>
      <c r="D776" s="2" t="s">
        <v>7859</v>
      </c>
      <c r="E776" s="2" t="s">
        <v>7860</v>
      </c>
      <c r="G776" s="3" t="s">
        <v>62</v>
      </c>
      <c r="I776" s="3" t="s">
        <v>61</v>
      </c>
      <c r="J776" s="3" t="s">
        <v>62</v>
      </c>
      <c r="K776" s="3" t="s">
        <v>63</v>
      </c>
      <c r="L776" s="2" t="s">
        <v>7861</v>
      </c>
      <c r="M776" s="2" t="s">
        <v>7862</v>
      </c>
      <c r="N776" s="3" t="s">
        <v>1639</v>
      </c>
      <c r="P776" s="3" t="s">
        <v>64</v>
      </c>
      <c r="R776" s="3" t="s">
        <v>65</v>
      </c>
      <c r="S776" s="4">
        <v>9</v>
      </c>
      <c r="T776" s="4">
        <v>9</v>
      </c>
      <c r="U776" s="5" t="s">
        <v>7863</v>
      </c>
      <c r="V776" s="5" t="s">
        <v>7863</v>
      </c>
      <c r="W776" s="5" t="s">
        <v>67</v>
      </c>
      <c r="X776" s="5" t="s">
        <v>67</v>
      </c>
      <c r="Y776" s="4">
        <v>554</v>
      </c>
      <c r="Z776" s="4">
        <v>34</v>
      </c>
      <c r="AA776" s="4">
        <v>51</v>
      </c>
      <c r="AB776" s="4">
        <v>3</v>
      </c>
      <c r="AC776" s="4">
        <v>5</v>
      </c>
      <c r="AD776" s="4">
        <v>113</v>
      </c>
      <c r="AE776" s="4">
        <v>135</v>
      </c>
      <c r="AF776" s="4">
        <v>1</v>
      </c>
      <c r="AG776" s="4">
        <v>3</v>
      </c>
      <c r="AH776" s="4">
        <v>97</v>
      </c>
      <c r="AI776" s="4">
        <v>105</v>
      </c>
      <c r="AJ776" s="4">
        <v>17</v>
      </c>
      <c r="AK776" s="4">
        <v>25</v>
      </c>
      <c r="AL776" s="4">
        <v>50</v>
      </c>
      <c r="AM776" s="4">
        <v>56</v>
      </c>
      <c r="AN776" s="4">
        <v>0</v>
      </c>
      <c r="AO776" s="4">
        <v>0</v>
      </c>
      <c r="AP776" s="4">
        <v>23</v>
      </c>
      <c r="AQ776" s="4">
        <v>38</v>
      </c>
      <c r="AR776" s="3" t="s">
        <v>62</v>
      </c>
      <c r="AS776" s="3" t="s">
        <v>62</v>
      </c>
      <c r="AT776" s="3" t="s">
        <v>61</v>
      </c>
      <c r="AU776" s="6" t="str">
        <f>HYPERLINK("http://catalog.hathitrust.org/Record/001474549","HathiTrust Record")</f>
        <v>HathiTrust Record</v>
      </c>
      <c r="AV776" s="6" t="str">
        <f>HYPERLINK("http://mcgill.on.worldcat.org/oclc/119686","Catalog Record")</f>
        <v>Catalog Record</v>
      </c>
      <c r="AW776" s="6" t="str">
        <f>HYPERLINK("http://www.worldcat.org/oclc/119686","WorldCat Record")</f>
        <v>WorldCat Record</v>
      </c>
      <c r="AX776" s="3" t="s">
        <v>7864</v>
      </c>
      <c r="AY776" s="3" t="s">
        <v>7865</v>
      </c>
      <c r="AZ776" s="3" t="s">
        <v>7866</v>
      </c>
      <c r="BA776" s="3" t="s">
        <v>7866</v>
      </c>
      <c r="BB776" s="3" t="s">
        <v>7867</v>
      </c>
      <c r="BC776" s="3" t="s">
        <v>102</v>
      </c>
      <c r="BD776" s="3" t="s">
        <v>68</v>
      </c>
      <c r="BE776" s="3" t="s">
        <v>7868</v>
      </c>
      <c r="BF776" s="3" t="s">
        <v>7867</v>
      </c>
      <c r="BG776" s="3" t="s">
        <v>7869</v>
      </c>
    </row>
    <row r="777" spans="1:59" ht="58" x14ac:dyDescent="0.35">
      <c r="A777" s="2" t="s">
        <v>89</v>
      </c>
      <c r="B777" s="2" t="s">
        <v>90</v>
      </c>
      <c r="C777" s="2" t="s">
        <v>7870</v>
      </c>
      <c r="D777" s="2" t="s">
        <v>7871</v>
      </c>
      <c r="E777" s="2" t="s">
        <v>7872</v>
      </c>
      <c r="G777" s="3" t="s">
        <v>62</v>
      </c>
      <c r="I777" s="3" t="s">
        <v>62</v>
      </c>
      <c r="J777" s="3" t="s">
        <v>61</v>
      </c>
      <c r="K777" s="3" t="s">
        <v>63</v>
      </c>
      <c r="L777" s="2" t="s">
        <v>7873</v>
      </c>
      <c r="M777" s="2" t="s">
        <v>7874</v>
      </c>
      <c r="N777" s="3" t="s">
        <v>1662</v>
      </c>
      <c r="P777" s="3" t="s">
        <v>64</v>
      </c>
      <c r="R777" s="3" t="s">
        <v>65</v>
      </c>
      <c r="S777" s="4">
        <v>15</v>
      </c>
      <c r="T777" s="4">
        <v>15</v>
      </c>
      <c r="U777" s="5" t="s">
        <v>7875</v>
      </c>
      <c r="V777" s="5" t="s">
        <v>7875</v>
      </c>
      <c r="W777" s="5" t="s">
        <v>67</v>
      </c>
      <c r="X777" s="5" t="s">
        <v>67</v>
      </c>
      <c r="Y777" s="4">
        <v>210</v>
      </c>
      <c r="Z777" s="4">
        <v>24</v>
      </c>
      <c r="AA777" s="4">
        <v>48</v>
      </c>
      <c r="AB777" s="4">
        <v>1</v>
      </c>
      <c r="AC777" s="4">
        <v>5</v>
      </c>
      <c r="AD777" s="4">
        <v>57</v>
      </c>
      <c r="AE777" s="4">
        <v>138</v>
      </c>
      <c r="AF777" s="4">
        <v>0</v>
      </c>
      <c r="AG777" s="4">
        <v>3</v>
      </c>
      <c r="AH777" s="4">
        <v>44</v>
      </c>
      <c r="AI777" s="4">
        <v>107</v>
      </c>
      <c r="AJ777" s="4">
        <v>18</v>
      </c>
      <c r="AK777" s="4">
        <v>27</v>
      </c>
      <c r="AL777" s="4">
        <v>24</v>
      </c>
      <c r="AM777" s="4">
        <v>60</v>
      </c>
      <c r="AN777" s="4">
        <v>0</v>
      </c>
      <c r="AO777" s="4">
        <v>0</v>
      </c>
      <c r="AP777" s="4">
        <v>19</v>
      </c>
      <c r="AQ777" s="4">
        <v>37</v>
      </c>
      <c r="AR777" s="3" t="s">
        <v>62</v>
      </c>
      <c r="AS777" s="3" t="s">
        <v>62</v>
      </c>
      <c r="AT777" s="3" t="s">
        <v>61</v>
      </c>
      <c r="AU777" s="6" t="str">
        <f>HYPERLINK("http://catalog.hathitrust.org/Record/001988445","HathiTrust Record")</f>
        <v>HathiTrust Record</v>
      </c>
      <c r="AV777" s="6" t="str">
        <f>HYPERLINK("http://mcgill.on.worldcat.org/oclc/1097330","Catalog Record")</f>
        <v>Catalog Record</v>
      </c>
      <c r="AW777" s="6" t="str">
        <f>HYPERLINK("http://www.worldcat.org/oclc/1097330","WorldCat Record")</f>
        <v>WorldCat Record</v>
      </c>
      <c r="AX777" s="3" t="s">
        <v>7876</v>
      </c>
      <c r="AY777" s="3" t="s">
        <v>7877</v>
      </c>
      <c r="AZ777" s="3" t="s">
        <v>7878</v>
      </c>
      <c r="BA777" s="3" t="s">
        <v>7878</v>
      </c>
      <c r="BB777" s="3" t="s">
        <v>7879</v>
      </c>
      <c r="BC777" s="3" t="s">
        <v>102</v>
      </c>
      <c r="BD777" s="3" t="s">
        <v>68</v>
      </c>
      <c r="BF777" s="3" t="s">
        <v>7879</v>
      </c>
      <c r="BG777" s="3" t="s">
        <v>7880</v>
      </c>
    </row>
    <row r="778" spans="1:59" ht="58" x14ac:dyDescent="0.35">
      <c r="A778" s="2" t="s">
        <v>89</v>
      </c>
      <c r="B778" s="2" t="s">
        <v>90</v>
      </c>
      <c r="C778" s="2" t="s">
        <v>7881</v>
      </c>
      <c r="D778" s="2" t="s">
        <v>7882</v>
      </c>
      <c r="E778" s="2" t="s">
        <v>7883</v>
      </c>
      <c r="G778" s="3" t="s">
        <v>62</v>
      </c>
      <c r="I778" s="3" t="s">
        <v>62</v>
      </c>
      <c r="J778" s="3" t="s">
        <v>62</v>
      </c>
      <c r="K778" s="3" t="s">
        <v>63</v>
      </c>
      <c r="L778" s="2" t="s">
        <v>7884</v>
      </c>
      <c r="M778" s="2" t="s">
        <v>7885</v>
      </c>
      <c r="N778" s="3" t="s">
        <v>1576</v>
      </c>
      <c r="P778" s="3" t="s">
        <v>64</v>
      </c>
      <c r="R778" s="3" t="s">
        <v>65</v>
      </c>
      <c r="S778" s="4">
        <v>12</v>
      </c>
      <c r="T778" s="4">
        <v>12</v>
      </c>
      <c r="U778" s="5" t="s">
        <v>3920</v>
      </c>
      <c r="V778" s="5" t="s">
        <v>3920</v>
      </c>
      <c r="W778" s="5" t="s">
        <v>67</v>
      </c>
      <c r="X778" s="5" t="s">
        <v>67</v>
      </c>
      <c r="Y778" s="4">
        <v>628</v>
      </c>
      <c r="Z778" s="4">
        <v>43</v>
      </c>
      <c r="AA778" s="4">
        <v>48</v>
      </c>
      <c r="AB778" s="4">
        <v>2</v>
      </c>
      <c r="AC778" s="4">
        <v>4</v>
      </c>
      <c r="AD778" s="4">
        <v>130</v>
      </c>
      <c r="AE778" s="4">
        <v>133</v>
      </c>
      <c r="AF778" s="4">
        <v>0</v>
      </c>
      <c r="AG778" s="4">
        <v>2</v>
      </c>
      <c r="AH778" s="4">
        <v>102</v>
      </c>
      <c r="AI778" s="4">
        <v>103</v>
      </c>
      <c r="AJ778" s="4">
        <v>21</v>
      </c>
      <c r="AK778" s="4">
        <v>23</v>
      </c>
      <c r="AL778" s="4">
        <v>56</v>
      </c>
      <c r="AM778" s="4">
        <v>56</v>
      </c>
      <c r="AN778" s="4">
        <v>0</v>
      </c>
      <c r="AO778" s="4">
        <v>0</v>
      </c>
      <c r="AP778" s="4">
        <v>35</v>
      </c>
      <c r="AQ778" s="4">
        <v>38</v>
      </c>
      <c r="AR778" s="3" t="s">
        <v>62</v>
      </c>
      <c r="AS778" s="3" t="s">
        <v>62</v>
      </c>
      <c r="AT778" s="3" t="s">
        <v>61</v>
      </c>
      <c r="AU778" s="6" t="str">
        <f>HYPERLINK("http://catalog.hathitrust.org/Record/000002693","HathiTrust Record")</f>
        <v>HathiTrust Record</v>
      </c>
      <c r="AV778" s="6" t="str">
        <f>HYPERLINK("http://mcgill.on.worldcat.org/oclc/522396","Catalog Record")</f>
        <v>Catalog Record</v>
      </c>
      <c r="AW778" s="6" t="str">
        <f>HYPERLINK("http://www.worldcat.org/oclc/522396","WorldCat Record")</f>
        <v>WorldCat Record</v>
      </c>
      <c r="AX778" s="3" t="s">
        <v>7886</v>
      </c>
      <c r="AY778" s="3" t="s">
        <v>7887</v>
      </c>
      <c r="AZ778" s="3" t="s">
        <v>7888</v>
      </c>
      <c r="BA778" s="3" t="s">
        <v>7888</v>
      </c>
      <c r="BB778" s="3" t="s">
        <v>7889</v>
      </c>
      <c r="BC778" s="3" t="s">
        <v>102</v>
      </c>
      <c r="BD778" s="3" t="s">
        <v>231</v>
      </c>
      <c r="BF778" s="3" t="s">
        <v>7889</v>
      </c>
      <c r="BG778" s="3" t="s">
        <v>7890</v>
      </c>
    </row>
    <row r="779" spans="1:59" ht="58" x14ac:dyDescent="0.35">
      <c r="A779" s="2" t="s">
        <v>89</v>
      </c>
      <c r="B779" s="2" t="s">
        <v>90</v>
      </c>
      <c r="C779" s="2" t="s">
        <v>7891</v>
      </c>
      <c r="D779" s="2" t="s">
        <v>7892</v>
      </c>
      <c r="E779" s="2" t="s">
        <v>7893</v>
      </c>
      <c r="G779" s="3" t="s">
        <v>62</v>
      </c>
      <c r="I779" s="3" t="s">
        <v>62</v>
      </c>
      <c r="J779" s="3" t="s">
        <v>62</v>
      </c>
      <c r="K779" s="3" t="s">
        <v>63</v>
      </c>
      <c r="M779" s="2" t="s">
        <v>7894</v>
      </c>
      <c r="N779" s="3" t="s">
        <v>481</v>
      </c>
      <c r="P779" s="3" t="s">
        <v>64</v>
      </c>
      <c r="Q779" s="2" t="s">
        <v>7895</v>
      </c>
      <c r="R779" s="3" t="s">
        <v>65</v>
      </c>
      <c r="S779" s="4">
        <v>7</v>
      </c>
      <c r="T779" s="4">
        <v>7</v>
      </c>
      <c r="U779" s="5" t="s">
        <v>7896</v>
      </c>
      <c r="V779" s="5" t="s">
        <v>7896</v>
      </c>
      <c r="W779" s="5" t="s">
        <v>67</v>
      </c>
      <c r="X779" s="5" t="s">
        <v>67</v>
      </c>
      <c r="Y779" s="4">
        <v>181</v>
      </c>
      <c r="Z779" s="4">
        <v>13</v>
      </c>
      <c r="AA779" s="4">
        <v>19</v>
      </c>
      <c r="AB779" s="4">
        <v>1</v>
      </c>
      <c r="AC779" s="4">
        <v>6</v>
      </c>
      <c r="AD779" s="4">
        <v>69</v>
      </c>
      <c r="AE779" s="4">
        <v>73</v>
      </c>
      <c r="AF779" s="4">
        <v>0</v>
      </c>
      <c r="AG779" s="4">
        <v>2</v>
      </c>
      <c r="AH779" s="4">
        <v>63</v>
      </c>
      <c r="AI779" s="4">
        <v>65</v>
      </c>
      <c r="AJ779" s="4">
        <v>9</v>
      </c>
      <c r="AK779" s="4">
        <v>12</v>
      </c>
      <c r="AL779" s="4">
        <v>40</v>
      </c>
      <c r="AM779" s="4">
        <v>40</v>
      </c>
      <c r="AN779" s="4">
        <v>0</v>
      </c>
      <c r="AO779" s="4">
        <v>0</v>
      </c>
      <c r="AP779" s="4">
        <v>10</v>
      </c>
      <c r="AQ779" s="4">
        <v>12</v>
      </c>
      <c r="AR779" s="3" t="s">
        <v>62</v>
      </c>
      <c r="AS779" s="3" t="s">
        <v>62</v>
      </c>
      <c r="AT779" s="3" t="s">
        <v>62</v>
      </c>
      <c r="AV779" s="6" t="str">
        <f>HYPERLINK("http://mcgill.on.worldcat.org/oclc/37871837","Catalog Record")</f>
        <v>Catalog Record</v>
      </c>
      <c r="AW779" s="6" t="str">
        <f>HYPERLINK("http://www.worldcat.org/oclc/37871837","WorldCat Record")</f>
        <v>WorldCat Record</v>
      </c>
      <c r="AX779" s="3" t="s">
        <v>7897</v>
      </c>
      <c r="AY779" s="3" t="s">
        <v>7898</v>
      </c>
      <c r="AZ779" s="3" t="s">
        <v>7899</v>
      </c>
      <c r="BA779" s="3" t="s">
        <v>7899</v>
      </c>
      <c r="BB779" s="3" t="s">
        <v>7900</v>
      </c>
      <c r="BC779" s="3" t="s">
        <v>102</v>
      </c>
      <c r="BD779" s="3" t="s">
        <v>68</v>
      </c>
      <c r="BE779" s="3" t="s">
        <v>7901</v>
      </c>
      <c r="BF779" s="3" t="s">
        <v>7900</v>
      </c>
      <c r="BG779" s="3" t="s">
        <v>7902</v>
      </c>
    </row>
    <row r="780" spans="1:59" ht="58" x14ac:dyDescent="0.35">
      <c r="A780" s="2" t="s">
        <v>89</v>
      </c>
      <c r="B780" s="2" t="s">
        <v>90</v>
      </c>
      <c r="C780" s="2" t="s">
        <v>7903</v>
      </c>
      <c r="D780" s="2" t="s">
        <v>7904</v>
      </c>
      <c r="E780" s="2" t="s">
        <v>7905</v>
      </c>
      <c r="G780" s="3" t="s">
        <v>62</v>
      </c>
      <c r="I780" s="3" t="s">
        <v>62</v>
      </c>
      <c r="J780" s="3" t="s">
        <v>62</v>
      </c>
      <c r="K780" s="3" t="s">
        <v>63</v>
      </c>
      <c r="M780" s="2" t="s">
        <v>7906</v>
      </c>
      <c r="N780" s="3" t="s">
        <v>893</v>
      </c>
      <c r="O780" s="2" t="s">
        <v>2163</v>
      </c>
      <c r="P780" s="3" t="s">
        <v>64</v>
      </c>
      <c r="R780" s="3" t="s">
        <v>65</v>
      </c>
      <c r="S780" s="4">
        <v>8</v>
      </c>
      <c r="T780" s="4">
        <v>8</v>
      </c>
      <c r="U780" s="5" t="s">
        <v>6141</v>
      </c>
      <c r="V780" s="5" t="s">
        <v>6141</v>
      </c>
      <c r="W780" s="5" t="s">
        <v>67</v>
      </c>
      <c r="X780" s="5" t="s">
        <v>67</v>
      </c>
      <c r="Y780" s="4">
        <v>491</v>
      </c>
      <c r="Z780" s="4">
        <v>31</v>
      </c>
      <c r="AA780" s="4">
        <v>36</v>
      </c>
      <c r="AB780" s="4">
        <v>2</v>
      </c>
      <c r="AC780" s="4">
        <v>5</v>
      </c>
      <c r="AD780" s="4">
        <v>79</v>
      </c>
      <c r="AE780" s="4">
        <v>87</v>
      </c>
      <c r="AF780" s="4">
        <v>1</v>
      </c>
      <c r="AG780" s="4">
        <v>3</v>
      </c>
      <c r="AH780" s="4">
        <v>63</v>
      </c>
      <c r="AI780" s="4">
        <v>69</v>
      </c>
      <c r="AJ780" s="4">
        <v>13</v>
      </c>
      <c r="AK780" s="4">
        <v>16</v>
      </c>
      <c r="AL780" s="4">
        <v>34</v>
      </c>
      <c r="AM780" s="4">
        <v>36</v>
      </c>
      <c r="AN780" s="4">
        <v>0</v>
      </c>
      <c r="AO780" s="4">
        <v>0</v>
      </c>
      <c r="AP780" s="4">
        <v>21</v>
      </c>
      <c r="AQ780" s="4">
        <v>24</v>
      </c>
      <c r="AR780" s="3" t="s">
        <v>62</v>
      </c>
      <c r="AS780" s="3" t="s">
        <v>62</v>
      </c>
      <c r="AT780" s="3" t="s">
        <v>62</v>
      </c>
      <c r="AV780" s="6" t="str">
        <f>HYPERLINK("http://mcgill.on.worldcat.org/oclc/8493995","Catalog Record")</f>
        <v>Catalog Record</v>
      </c>
      <c r="AW780" s="6" t="str">
        <f>HYPERLINK("http://www.worldcat.org/oclc/8493995","WorldCat Record")</f>
        <v>WorldCat Record</v>
      </c>
      <c r="AX780" s="3" t="s">
        <v>7907</v>
      </c>
      <c r="AY780" s="3" t="s">
        <v>7908</v>
      </c>
      <c r="AZ780" s="3" t="s">
        <v>7909</v>
      </c>
      <c r="BA780" s="3" t="s">
        <v>7909</v>
      </c>
      <c r="BB780" s="3" t="s">
        <v>7910</v>
      </c>
      <c r="BC780" s="3" t="s">
        <v>102</v>
      </c>
      <c r="BD780" s="3" t="s">
        <v>68</v>
      </c>
      <c r="BE780" s="3" t="s">
        <v>7911</v>
      </c>
      <c r="BF780" s="3" t="s">
        <v>7910</v>
      </c>
      <c r="BG780" s="3" t="s">
        <v>7912</v>
      </c>
    </row>
    <row r="781" spans="1:59" ht="58" x14ac:dyDescent="0.35">
      <c r="A781" s="2" t="s">
        <v>89</v>
      </c>
      <c r="B781" s="2" t="s">
        <v>90</v>
      </c>
      <c r="C781" s="2" t="s">
        <v>7913</v>
      </c>
      <c r="D781" s="2" t="s">
        <v>7914</v>
      </c>
      <c r="E781" s="2" t="s">
        <v>7915</v>
      </c>
      <c r="G781" s="3" t="s">
        <v>62</v>
      </c>
      <c r="I781" s="3" t="s">
        <v>62</v>
      </c>
      <c r="J781" s="3" t="s">
        <v>62</v>
      </c>
      <c r="K781" s="3" t="s">
        <v>63</v>
      </c>
      <c r="L781" s="2" t="s">
        <v>7916</v>
      </c>
      <c r="M781" s="2" t="s">
        <v>7917</v>
      </c>
      <c r="N781" s="3" t="s">
        <v>1639</v>
      </c>
      <c r="P781" s="3" t="s">
        <v>64</v>
      </c>
      <c r="Q781" s="2" t="s">
        <v>7918</v>
      </c>
      <c r="R781" s="3" t="s">
        <v>65</v>
      </c>
      <c r="S781" s="4">
        <v>47</v>
      </c>
      <c r="T781" s="4">
        <v>47</v>
      </c>
      <c r="U781" s="5" t="s">
        <v>3110</v>
      </c>
      <c r="V781" s="5" t="s">
        <v>3110</v>
      </c>
      <c r="W781" s="5" t="s">
        <v>67</v>
      </c>
      <c r="X781" s="5" t="s">
        <v>67</v>
      </c>
      <c r="Y781" s="4">
        <v>906</v>
      </c>
      <c r="Z781" s="4">
        <v>68</v>
      </c>
      <c r="AA781" s="4">
        <v>85</v>
      </c>
      <c r="AB781" s="4">
        <v>3</v>
      </c>
      <c r="AC781" s="4">
        <v>12</v>
      </c>
      <c r="AD781" s="4">
        <v>135</v>
      </c>
      <c r="AE781" s="4">
        <v>153</v>
      </c>
      <c r="AF781" s="4">
        <v>1</v>
      </c>
      <c r="AG781" s="4">
        <v>7</v>
      </c>
      <c r="AH781" s="4">
        <v>101</v>
      </c>
      <c r="AI781" s="4">
        <v>110</v>
      </c>
      <c r="AJ781" s="4">
        <v>22</v>
      </c>
      <c r="AK781" s="4">
        <v>27</v>
      </c>
      <c r="AL781" s="4">
        <v>54</v>
      </c>
      <c r="AM781" s="4">
        <v>58</v>
      </c>
      <c r="AN781" s="4">
        <v>0</v>
      </c>
      <c r="AO781" s="4">
        <v>0</v>
      </c>
      <c r="AP781" s="4">
        <v>41</v>
      </c>
      <c r="AQ781" s="4">
        <v>50</v>
      </c>
      <c r="AR781" s="3" t="s">
        <v>62</v>
      </c>
      <c r="AS781" s="3" t="s">
        <v>62</v>
      </c>
      <c r="AT781" s="3" t="s">
        <v>61</v>
      </c>
      <c r="AU781" s="6" t="str">
        <f>HYPERLINK("http://catalog.hathitrust.org/Record/000001293","HathiTrust Record")</f>
        <v>HathiTrust Record</v>
      </c>
      <c r="AV781" s="6" t="str">
        <f>HYPERLINK("http://mcgill.on.worldcat.org/oclc/94900","Catalog Record")</f>
        <v>Catalog Record</v>
      </c>
      <c r="AW781" s="6" t="str">
        <f>HYPERLINK("http://www.worldcat.org/oclc/94900","WorldCat Record")</f>
        <v>WorldCat Record</v>
      </c>
      <c r="AX781" s="3" t="s">
        <v>7919</v>
      </c>
      <c r="AY781" s="3" t="s">
        <v>7920</v>
      </c>
      <c r="AZ781" s="3" t="s">
        <v>7921</v>
      </c>
      <c r="BA781" s="3" t="s">
        <v>7921</v>
      </c>
      <c r="BB781" s="3" t="s">
        <v>7922</v>
      </c>
      <c r="BC781" s="3" t="s">
        <v>102</v>
      </c>
      <c r="BD781" s="3" t="s">
        <v>68</v>
      </c>
      <c r="BE781" s="3" t="s">
        <v>7923</v>
      </c>
      <c r="BF781" s="3" t="s">
        <v>7922</v>
      </c>
      <c r="BG781" s="3" t="s">
        <v>7924</v>
      </c>
    </row>
    <row r="782" spans="1:59" ht="58" x14ac:dyDescent="0.35">
      <c r="A782" s="2" t="s">
        <v>89</v>
      </c>
      <c r="B782" s="2" t="s">
        <v>90</v>
      </c>
      <c r="C782" s="2" t="s">
        <v>7925</v>
      </c>
      <c r="D782" s="2" t="s">
        <v>7926</v>
      </c>
      <c r="E782" s="2" t="s">
        <v>7927</v>
      </c>
      <c r="G782" s="3" t="s">
        <v>62</v>
      </c>
      <c r="I782" s="3" t="s">
        <v>61</v>
      </c>
      <c r="J782" s="3" t="s">
        <v>62</v>
      </c>
      <c r="K782" s="3" t="s">
        <v>63</v>
      </c>
      <c r="L782" s="2" t="s">
        <v>7916</v>
      </c>
      <c r="M782" s="2" t="s">
        <v>7928</v>
      </c>
      <c r="N782" s="3" t="s">
        <v>81</v>
      </c>
      <c r="P782" s="3" t="s">
        <v>64</v>
      </c>
      <c r="Q782" s="2" t="s">
        <v>7929</v>
      </c>
      <c r="R782" s="3" t="s">
        <v>65</v>
      </c>
      <c r="S782" s="4">
        <v>21</v>
      </c>
      <c r="T782" s="4">
        <v>25</v>
      </c>
      <c r="U782" s="5" t="s">
        <v>7930</v>
      </c>
      <c r="V782" s="5" t="s">
        <v>7930</v>
      </c>
      <c r="W782" s="5" t="s">
        <v>67</v>
      </c>
      <c r="X782" s="5" t="s">
        <v>67</v>
      </c>
      <c r="Y782" s="4">
        <v>409</v>
      </c>
      <c r="Z782" s="4">
        <v>31</v>
      </c>
      <c r="AA782" s="4">
        <v>43</v>
      </c>
      <c r="AB782" s="4">
        <v>2</v>
      </c>
      <c r="AC782" s="4">
        <v>9</v>
      </c>
      <c r="AD782" s="4">
        <v>120</v>
      </c>
      <c r="AE782" s="4">
        <v>128</v>
      </c>
      <c r="AF782" s="4">
        <v>1</v>
      </c>
      <c r="AG782" s="4">
        <v>4</v>
      </c>
      <c r="AH782" s="4">
        <v>100</v>
      </c>
      <c r="AI782" s="4">
        <v>103</v>
      </c>
      <c r="AJ782" s="4">
        <v>18</v>
      </c>
      <c r="AK782" s="4">
        <v>24</v>
      </c>
      <c r="AL782" s="4">
        <v>56</v>
      </c>
      <c r="AM782" s="4">
        <v>57</v>
      </c>
      <c r="AN782" s="4">
        <v>0</v>
      </c>
      <c r="AO782" s="4">
        <v>0</v>
      </c>
      <c r="AP782" s="4">
        <v>26</v>
      </c>
      <c r="AQ782" s="4">
        <v>31</v>
      </c>
      <c r="AR782" s="3" t="s">
        <v>62</v>
      </c>
      <c r="AS782" s="3" t="s">
        <v>62</v>
      </c>
      <c r="AT782" s="3" t="s">
        <v>61</v>
      </c>
      <c r="AU782" s="6" t="str">
        <f>HYPERLINK("http://catalog.hathitrust.org/Record/001474567","HathiTrust Record")</f>
        <v>HathiTrust Record</v>
      </c>
      <c r="AV782" s="6" t="str">
        <f>HYPERLINK("http://mcgill.on.worldcat.org/oclc/525806","Catalog Record")</f>
        <v>Catalog Record</v>
      </c>
      <c r="AW782" s="6" t="str">
        <f>HYPERLINK("http://www.worldcat.org/oclc/525806","WorldCat Record")</f>
        <v>WorldCat Record</v>
      </c>
      <c r="AX782" s="3" t="s">
        <v>7931</v>
      </c>
      <c r="AY782" s="3" t="s">
        <v>7932</v>
      </c>
      <c r="AZ782" s="3" t="s">
        <v>7933</v>
      </c>
      <c r="BA782" s="3" t="s">
        <v>7933</v>
      </c>
      <c r="BB782" s="3" t="s">
        <v>7934</v>
      </c>
      <c r="BC782" s="3" t="s">
        <v>102</v>
      </c>
      <c r="BD782" s="3" t="s">
        <v>68</v>
      </c>
      <c r="BF782" s="3" t="s">
        <v>7934</v>
      </c>
      <c r="BG782" s="3" t="s">
        <v>7935</v>
      </c>
    </row>
    <row r="783" spans="1:59" ht="58" x14ac:dyDescent="0.35">
      <c r="A783" s="2" t="s">
        <v>89</v>
      </c>
      <c r="B783" s="2" t="s">
        <v>90</v>
      </c>
      <c r="C783" s="2" t="s">
        <v>7925</v>
      </c>
      <c r="D783" s="2" t="s">
        <v>7926</v>
      </c>
      <c r="E783" s="2" t="s">
        <v>7927</v>
      </c>
      <c r="G783" s="3" t="s">
        <v>62</v>
      </c>
      <c r="I783" s="3" t="s">
        <v>61</v>
      </c>
      <c r="J783" s="3" t="s">
        <v>62</v>
      </c>
      <c r="K783" s="3" t="s">
        <v>63</v>
      </c>
      <c r="L783" s="2" t="s">
        <v>7916</v>
      </c>
      <c r="M783" s="2" t="s">
        <v>7928</v>
      </c>
      <c r="N783" s="3" t="s">
        <v>81</v>
      </c>
      <c r="P783" s="3" t="s">
        <v>64</v>
      </c>
      <c r="Q783" s="2" t="s">
        <v>7929</v>
      </c>
      <c r="R783" s="3" t="s">
        <v>65</v>
      </c>
      <c r="S783" s="4">
        <v>4</v>
      </c>
      <c r="T783" s="4">
        <v>25</v>
      </c>
      <c r="U783" s="5" t="s">
        <v>7936</v>
      </c>
      <c r="V783" s="5" t="s">
        <v>7930</v>
      </c>
      <c r="W783" s="5" t="s">
        <v>67</v>
      </c>
      <c r="X783" s="5" t="s">
        <v>67</v>
      </c>
      <c r="Y783" s="4">
        <v>409</v>
      </c>
      <c r="Z783" s="4">
        <v>31</v>
      </c>
      <c r="AA783" s="4">
        <v>43</v>
      </c>
      <c r="AB783" s="4">
        <v>2</v>
      </c>
      <c r="AC783" s="4">
        <v>9</v>
      </c>
      <c r="AD783" s="4">
        <v>120</v>
      </c>
      <c r="AE783" s="4">
        <v>128</v>
      </c>
      <c r="AF783" s="4">
        <v>1</v>
      </c>
      <c r="AG783" s="4">
        <v>4</v>
      </c>
      <c r="AH783" s="4">
        <v>100</v>
      </c>
      <c r="AI783" s="4">
        <v>103</v>
      </c>
      <c r="AJ783" s="4">
        <v>18</v>
      </c>
      <c r="AK783" s="4">
        <v>24</v>
      </c>
      <c r="AL783" s="4">
        <v>56</v>
      </c>
      <c r="AM783" s="4">
        <v>57</v>
      </c>
      <c r="AN783" s="4">
        <v>0</v>
      </c>
      <c r="AO783" s="4">
        <v>0</v>
      </c>
      <c r="AP783" s="4">
        <v>26</v>
      </c>
      <c r="AQ783" s="4">
        <v>31</v>
      </c>
      <c r="AR783" s="3" t="s">
        <v>62</v>
      </c>
      <c r="AS783" s="3" t="s">
        <v>62</v>
      </c>
      <c r="AT783" s="3" t="s">
        <v>61</v>
      </c>
      <c r="AU783" s="6" t="str">
        <f>HYPERLINK("http://catalog.hathitrust.org/Record/001474567","HathiTrust Record")</f>
        <v>HathiTrust Record</v>
      </c>
      <c r="AV783" s="6" t="str">
        <f>HYPERLINK("http://mcgill.on.worldcat.org/oclc/525806","Catalog Record")</f>
        <v>Catalog Record</v>
      </c>
      <c r="AW783" s="6" t="str">
        <f>HYPERLINK("http://www.worldcat.org/oclc/525806","WorldCat Record")</f>
        <v>WorldCat Record</v>
      </c>
      <c r="AX783" s="3" t="s">
        <v>7931</v>
      </c>
      <c r="AY783" s="3" t="s">
        <v>7932</v>
      </c>
      <c r="AZ783" s="3" t="s">
        <v>7933</v>
      </c>
      <c r="BA783" s="3" t="s">
        <v>7933</v>
      </c>
      <c r="BB783" s="3" t="s">
        <v>7937</v>
      </c>
      <c r="BC783" s="3" t="s">
        <v>102</v>
      </c>
      <c r="BD783" s="3" t="s">
        <v>68</v>
      </c>
      <c r="BF783" s="3" t="s">
        <v>7937</v>
      </c>
      <c r="BG783" s="3" t="s">
        <v>7938</v>
      </c>
    </row>
    <row r="784" spans="1:59" ht="72.5" x14ac:dyDescent="0.35">
      <c r="A784" s="2" t="s">
        <v>89</v>
      </c>
      <c r="B784" s="2" t="s">
        <v>90</v>
      </c>
      <c r="C784" s="2" t="s">
        <v>7939</v>
      </c>
      <c r="D784" s="2" t="s">
        <v>7940</v>
      </c>
      <c r="E784" s="2" t="s">
        <v>7941</v>
      </c>
      <c r="G784" s="3" t="s">
        <v>62</v>
      </c>
      <c r="I784" s="3" t="s">
        <v>61</v>
      </c>
      <c r="J784" s="3" t="s">
        <v>62</v>
      </c>
      <c r="K784" s="3" t="s">
        <v>63</v>
      </c>
      <c r="L784" s="2" t="s">
        <v>7942</v>
      </c>
      <c r="M784" s="2" t="s">
        <v>7943</v>
      </c>
      <c r="N784" s="3" t="s">
        <v>81</v>
      </c>
      <c r="P784" s="3" t="s">
        <v>64</v>
      </c>
      <c r="Q784" s="2" t="s">
        <v>7944</v>
      </c>
      <c r="R784" s="3" t="s">
        <v>65</v>
      </c>
      <c r="S784" s="4">
        <v>2</v>
      </c>
      <c r="T784" s="4">
        <v>5</v>
      </c>
      <c r="U784" s="5" t="s">
        <v>7945</v>
      </c>
      <c r="V784" s="5" t="s">
        <v>4989</v>
      </c>
      <c r="W784" s="5" t="s">
        <v>67</v>
      </c>
      <c r="X784" s="5" t="s">
        <v>67</v>
      </c>
      <c r="Y784" s="4">
        <v>334</v>
      </c>
      <c r="Z784" s="4">
        <v>25</v>
      </c>
      <c r="AA784" s="4">
        <v>33</v>
      </c>
      <c r="AB784" s="4">
        <v>2</v>
      </c>
      <c r="AC784" s="4">
        <v>7</v>
      </c>
      <c r="AD784" s="4">
        <v>102</v>
      </c>
      <c r="AE784" s="4">
        <v>110</v>
      </c>
      <c r="AF784" s="4">
        <v>1</v>
      </c>
      <c r="AG784" s="4">
        <v>3</v>
      </c>
      <c r="AH784" s="4">
        <v>85</v>
      </c>
      <c r="AI784" s="4">
        <v>90</v>
      </c>
      <c r="AJ784" s="4">
        <v>15</v>
      </c>
      <c r="AK784" s="4">
        <v>18</v>
      </c>
      <c r="AL784" s="4">
        <v>52</v>
      </c>
      <c r="AM784" s="4">
        <v>53</v>
      </c>
      <c r="AN784" s="4">
        <v>0</v>
      </c>
      <c r="AO784" s="4">
        <v>0</v>
      </c>
      <c r="AP784" s="4">
        <v>20</v>
      </c>
      <c r="AQ784" s="4">
        <v>24</v>
      </c>
      <c r="AR784" s="3" t="s">
        <v>62</v>
      </c>
      <c r="AS784" s="3" t="s">
        <v>62</v>
      </c>
      <c r="AT784" s="3" t="s">
        <v>61</v>
      </c>
      <c r="AU784" s="6" t="str">
        <f>HYPERLINK("http://catalog.hathitrust.org/Record/005718692","HathiTrust Record")</f>
        <v>HathiTrust Record</v>
      </c>
      <c r="AV784" s="6" t="str">
        <f>HYPERLINK("http://mcgill.on.worldcat.org/oclc/10745","Catalog Record")</f>
        <v>Catalog Record</v>
      </c>
      <c r="AW784" s="6" t="str">
        <f>HYPERLINK("http://www.worldcat.org/oclc/10745","WorldCat Record")</f>
        <v>WorldCat Record</v>
      </c>
      <c r="AX784" s="3" t="s">
        <v>7946</v>
      </c>
      <c r="AY784" s="3" t="s">
        <v>7947</v>
      </c>
      <c r="AZ784" s="3" t="s">
        <v>7948</v>
      </c>
      <c r="BA784" s="3" t="s">
        <v>7948</v>
      </c>
      <c r="BB784" s="3" t="s">
        <v>7949</v>
      </c>
      <c r="BC784" s="3" t="s">
        <v>102</v>
      </c>
      <c r="BD784" s="3" t="s">
        <v>68</v>
      </c>
      <c r="BF784" s="3" t="s">
        <v>7949</v>
      </c>
      <c r="BG784" s="3" t="s">
        <v>7950</v>
      </c>
    </row>
    <row r="785" spans="1:59" ht="72.5" x14ac:dyDescent="0.35">
      <c r="A785" s="2" t="s">
        <v>89</v>
      </c>
      <c r="B785" s="2" t="s">
        <v>90</v>
      </c>
      <c r="C785" s="2" t="s">
        <v>7951</v>
      </c>
      <c r="D785" s="2" t="s">
        <v>7952</v>
      </c>
      <c r="E785" s="2" t="s">
        <v>7953</v>
      </c>
      <c r="G785" s="3" t="s">
        <v>62</v>
      </c>
      <c r="I785" s="3" t="s">
        <v>62</v>
      </c>
      <c r="J785" s="3" t="s">
        <v>61</v>
      </c>
      <c r="K785" s="3" t="s">
        <v>63</v>
      </c>
      <c r="M785" s="2" t="s">
        <v>7954</v>
      </c>
      <c r="N785" s="3" t="s">
        <v>553</v>
      </c>
      <c r="P785" s="3" t="s">
        <v>64</v>
      </c>
      <c r="R785" s="3" t="s">
        <v>65</v>
      </c>
      <c r="S785" s="4">
        <v>7</v>
      </c>
      <c r="T785" s="4">
        <v>7</v>
      </c>
      <c r="U785" s="5" t="s">
        <v>2613</v>
      </c>
      <c r="V785" s="5" t="s">
        <v>2613</v>
      </c>
      <c r="W785" s="5" t="s">
        <v>67</v>
      </c>
      <c r="X785" s="5" t="s">
        <v>67</v>
      </c>
      <c r="Y785" s="4">
        <v>101</v>
      </c>
      <c r="Z785" s="4">
        <v>7</v>
      </c>
      <c r="AA785" s="4">
        <v>25</v>
      </c>
      <c r="AB785" s="4">
        <v>1</v>
      </c>
      <c r="AC785" s="4">
        <v>4</v>
      </c>
      <c r="AD785" s="4">
        <v>22</v>
      </c>
      <c r="AE785" s="4">
        <v>71</v>
      </c>
      <c r="AF785" s="4">
        <v>0</v>
      </c>
      <c r="AG785" s="4">
        <v>2</v>
      </c>
      <c r="AH785" s="4">
        <v>18</v>
      </c>
      <c r="AI785" s="4">
        <v>59</v>
      </c>
      <c r="AJ785" s="4">
        <v>4</v>
      </c>
      <c r="AK785" s="4">
        <v>15</v>
      </c>
      <c r="AL785" s="4">
        <v>12</v>
      </c>
      <c r="AM785" s="4">
        <v>39</v>
      </c>
      <c r="AN785" s="4">
        <v>0</v>
      </c>
      <c r="AO785" s="4">
        <v>0</v>
      </c>
      <c r="AP785" s="4">
        <v>6</v>
      </c>
      <c r="AQ785" s="4">
        <v>21</v>
      </c>
      <c r="AR785" s="3" t="s">
        <v>62</v>
      </c>
      <c r="AS785" s="3" t="s">
        <v>62</v>
      </c>
      <c r="AT785" s="3" t="s">
        <v>62</v>
      </c>
      <c r="AV785" s="6" t="str">
        <f>HYPERLINK("http://mcgill.on.worldcat.org/oclc/40143023","Catalog Record")</f>
        <v>Catalog Record</v>
      </c>
      <c r="AW785" s="6" t="str">
        <f>HYPERLINK("http://www.worldcat.org/oclc/40143023","WorldCat Record")</f>
        <v>WorldCat Record</v>
      </c>
      <c r="AX785" s="3" t="s">
        <v>7955</v>
      </c>
      <c r="AY785" s="3" t="s">
        <v>7956</v>
      </c>
      <c r="AZ785" s="3" t="s">
        <v>7957</v>
      </c>
      <c r="BA785" s="3" t="s">
        <v>7957</v>
      </c>
      <c r="BB785" s="3" t="s">
        <v>7958</v>
      </c>
      <c r="BC785" s="3" t="s">
        <v>102</v>
      </c>
      <c r="BD785" s="3" t="s">
        <v>68</v>
      </c>
      <c r="BE785" s="3" t="s">
        <v>7959</v>
      </c>
      <c r="BF785" s="3" t="s">
        <v>7958</v>
      </c>
      <c r="BG785" s="3" t="s">
        <v>7960</v>
      </c>
    </row>
    <row r="786" spans="1:59" ht="58" x14ac:dyDescent="0.35">
      <c r="A786" s="2" t="s">
        <v>89</v>
      </c>
      <c r="B786" s="2" t="s">
        <v>90</v>
      </c>
      <c r="C786" s="2" t="s">
        <v>7961</v>
      </c>
      <c r="D786" s="2" t="s">
        <v>7962</v>
      </c>
      <c r="E786" s="2" t="s">
        <v>7963</v>
      </c>
      <c r="G786" s="3" t="s">
        <v>62</v>
      </c>
      <c r="I786" s="3" t="s">
        <v>61</v>
      </c>
      <c r="J786" s="3" t="s">
        <v>61</v>
      </c>
      <c r="K786" s="3" t="s">
        <v>63</v>
      </c>
      <c r="M786" s="2" t="s">
        <v>7964</v>
      </c>
      <c r="N786" s="3" t="s">
        <v>539</v>
      </c>
      <c r="O786" s="2" t="s">
        <v>2458</v>
      </c>
      <c r="P786" s="3" t="s">
        <v>64</v>
      </c>
      <c r="R786" s="3" t="s">
        <v>65</v>
      </c>
      <c r="S786" s="4">
        <v>3</v>
      </c>
      <c r="T786" s="4">
        <v>25</v>
      </c>
      <c r="U786" s="5" t="s">
        <v>4294</v>
      </c>
      <c r="V786" s="5" t="s">
        <v>2613</v>
      </c>
      <c r="W786" s="5" t="s">
        <v>67</v>
      </c>
      <c r="X786" s="5" t="s">
        <v>67</v>
      </c>
      <c r="Y786" s="4">
        <v>199</v>
      </c>
      <c r="Z786" s="4">
        <v>18</v>
      </c>
      <c r="AA786" s="4">
        <v>55</v>
      </c>
      <c r="AB786" s="4">
        <v>2</v>
      </c>
      <c r="AC786" s="4">
        <v>7</v>
      </c>
      <c r="AD786" s="4">
        <v>32</v>
      </c>
      <c r="AE786" s="4">
        <v>122</v>
      </c>
      <c r="AF786" s="4">
        <v>1</v>
      </c>
      <c r="AG786" s="4">
        <v>6</v>
      </c>
      <c r="AH786" s="4">
        <v>24</v>
      </c>
      <c r="AI786" s="4">
        <v>90</v>
      </c>
      <c r="AJ786" s="4">
        <v>10</v>
      </c>
      <c r="AK786" s="4">
        <v>22</v>
      </c>
      <c r="AL786" s="4">
        <v>16</v>
      </c>
      <c r="AM786" s="4">
        <v>49</v>
      </c>
      <c r="AN786" s="4">
        <v>0</v>
      </c>
      <c r="AO786" s="4">
        <v>1</v>
      </c>
      <c r="AP786" s="4">
        <v>11</v>
      </c>
      <c r="AQ786" s="4">
        <v>40</v>
      </c>
      <c r="AR786" s="3" t="s">
        <v>62</v>
      </c>
      <c r="AS786" s="3" t="s">
        <v>62</v>
      </c>
      <c r="AT786" s="3" t="s">
        <v>62</v>
      </c>
      <c r="AV786" s="6" t="str">
        <f>HYPERLINK("http://mcgill.on.worldcat.org/oclc/39210004","Catalog Record")</f>
        <v>Catalog Record</v>
      </c>
      <c r="AW786" s="6" t="str">
        <f>HYPERLINK("http://www.worldcat.org/oclc/39210004","WorldCat Record")</f>
        <v>WorldCat Record</v>
      </c>
      <c r="AX786" s="3" t="s">
        <v>7965</v>
      </c>
      <c r="AY786" s="3" t="s">
        <v>7966</v>
      </c>
      <c r="AZ786" s="3" t="s">
        <v>7967</v>
      </c>
      <c r="BA786" s="3" t="s">
        <v>7967</v>
      </c>
      <c r="BB786" s="3" t="s">
        <v>7968</v>
      </c>
      <c r="BC786" s="3" t="s">
        <v>102</v>
      </c>
      <c r="BD786" s="3" t="s">
        <v>68</v>
      </c>
      <c r="BE786" s="3" t="s">
        <v>7969</v>
      </c>
      <c r="BF786" s="3" t="s">
        <v>7968</v>
      </c>
      <c r="BG786" s="3" t="s">
        <v>7970</v>
      </c>
    </row>
    <row r="787" spans="1:59" ht="58" x14ac:dyDescent="0.35">
      <c r="A787" s="2" t="s">
        <v>89</v>
      </c>
      <c r="B787" s="2" t="s">
        <v>90</v>
      </c>
      <c r="C787" s="2" t="s">
        <v>7961</v>
      </c>
      <c r="D787" s="2" t="s">
        <v>7962</v>
      </c>
      <c r="E787" s="2" t="s">
        <v>7963</v>
      </c>
      <c r="G787" s="3" t="s">
        <v>62</v>
      </c>
      <c r="I787" s="3" t="s">
        <v>61</v>
      </c>
      <c r="J787" s="3" t="s">
        <v>61</v>
      </c>
      <c r="K787" s="3" t="s">
        <v>63</v>
      </c>
      <c r="M787" s="2" t="s">
        <v>7964</v>
      </c>
      <c r="N787" s="3" t="s">
        <v>539</v>
      </c>
      <c r="O787" s="2" t="s">
        <v>2458</v>
      </c>
      <c r="P787" s="3" t="s">
        <v>64</v>
      </c>
      <c r="R787" s="3" t="s">
        <v>65</v>
      </c>
      <c r="S787" s="4">
        <v>22</v>
      </c>
      <c r="T787" s="4">
        <v>25</v>
      </c>
      <c r="U787" s="5" t="s">
        <v>2613</v>
      </c>
      <c r="V787" s="5" t="s">
        <v>2613</v>
      </c>
      <c r="W787" s="5" t="s">
        <v>67</v>
      </c>
      <c r="X787" s="5" t="s">
        <v>67</v>
      </c>
      <c r="Y787" s="4">
        <v>199</v>
      </c>
      <c r="Z787" s="4">
        <v>18</v>
      </c>
      <c r="AA787" s="4">
        <v>55</v>
      </c>
      <c r="AB787" s="4">
        <v>2</v>
      </c>
      <c r="AC787" s="4">
        <v>7</v>
      </c>
      <c r="AD787" s="4">
        <v>32</v>
      </c>
      <c r="AE787" s="4">
        <v>122</v>
      </c>
      <c r="AF787" s="4">
        <v>1</v>
      </c>
      <c r="AG787" s="4">
        <v>6</v>
      </c>
      <c r="AH787" s="4">
        <v>24</v>
      </c>
      <c r="AI787" s="4">
        <v>90</v>
      </c>
      <c r="AJ787" s="4">
        <v>10</v>
      </c>
      <c r="AK787" s="4">
        <v>22</v>
      </c>
      <c r="AL787" s="4">
        <v>16</v>
      </c>
      <c r="AM787" s="4">
        <v>49</v>
      </c>
      <c r="AN787" s="4">
        <v>0</v>
      </c>
      <c r="AO787" s="4">
        <v>1</v>
      </c>
      <c r="AP787" s="4">
        <v>11</v>
      </c>
      <c r="AQ787" s="4">
        <v>40</v>
      </c>
      <c r="AR787" s="3" t="s">
        <v>62</v>
      </c>
      <c r="AS787" s="3" t="s">
        <v>62</v>
      </c>
      <c r="AT787" s="3" t="s">
        <v>62</v>
      </c>
      <c r="AV787" s="6" t="str">
        <f>HYPERLINK("http://mcgill.on.worldcat.org/oclc/39210004","Catalog Record")</f>
        <v>Catalog Record</v>
      </c>
      <c r="AW787" s="6" t="str">
        <f>HYPERLINK("http://www.worldcat.org/oclc/39210004","WorldCat Record")</f>
        <v>WorldCat Record</v>
      </c>
      <c r="AX787" s="3" t="s">
        <v>7965</v>
      </c>
      <c r="AY787" s="3" t="s">
        <v>7966</v>
      </c>
      <c r="AZ787" s="3" t="s">
        <v>7967</v>
      </c>
      <c r="BA787" s="3" t="s">
        <v>7967</v>
      </c>
      <c r="BB787" s="3" t="s">
        <v>7971</v>
      </c>
      <c r="BC787" s="3" t="s">
        <v>102</v>
      </c>
      <c r="BD787" s="3" t="s">
        <v>68</v>
      </c>
      <c r="BE787" s="3" t="s">
        <v>7969</v>
      </c>
      <c r="BF787" s="3" t="s">
        <v>7971</v>
      </c>
      <c r="BG787" s="3" t="s">
        <v>7972</v>
      </c>
    </row>
    <row r="788" spans="1:59" ht="72.5" x14ac:dyDescent="0.35">
      <c r="A788" s="2" t="s">
        <v>89</v>
      </c>
      <c r="B788" s="2" t="s">
        <v>90</v>
      </c>
      <c r="C788" s="2" t="s">
        <v>7973</v>
      </c>
      <c r="D788" s="2" t="s">
        <v>7974</v>
      </c>
      <c r="E788" s="2" t="s">
        <v>7975</v>
      </c>
      <c r="G788" s="3" t="s">
        <v>62</v>
      </c>
      <c r="I788" s="3" t="s">
        <v>62</v>
      </c>
      <c r="J788" s="3" t="s">
        <v>62</v>
      </c>
      <c r="K788" s="3" t="s">
        <v>63</v>
      </c>
      <c r="L788" s="2" t="s">
        <v>7976</v>
      </c>
      <c r="M788" s="2" t="s">
        <v>7977</v>
      </c>
      <c r="N788" s="3" t="s">
        <v>2975</v>
      </c>
      <c r="P788" s="3" t="s">
        <v>64</v>
      </c>
      <c r="Q788" s="2" t="s">
        <v>7978</v>
      </c>
      <c r="R788" s="3" t="s">
        <v>65</v>
      </c>
      <c r="S788" s="4">
        <v>4</v>
      </c>
      <c r="T788" s="4">
        <v>4</v>
      </c>
      <c r="U788" s="5" t="s">
        <v>1988</v>
      </c>
      <c r="V788" s="5" t="s">
        <v>1988</v>
      </c>
      <c r="W788" s="5" t="s">
        <v>67</v>
      </c>
      <c r="X788" s="5" t="s">
        <v>67</v>
      </c>
      <c r="Y788" s="4">
        <v>86</v>
      </c>
      <c r="Z788" s="4">
        <v>7</v>
      </c>
      <c r="AA788" s="4">
        <v>8</v>
      </c>
      <c r="AB788" s="4">
        <v>2</v>
      </c>
      <c r="AC788" s="4">
        <v>3</v>
      </c>
      <c r="AD788" s="4">
        <v>41</v>
      </c>
      <c r="AE788" s="4">
        <v>42</v>
      </c>
      <c r="AF788" s="4">
        <v>0</v>
      </c>
      <c r="AG788" s="4">
        <v>1</v>
      </c>
      <c r="AH788" s="4">
        <v>39</v>
      </c>
      <c r="AI788" s="4">
        <v>40</v>
      </c>
      <c r="AJ788" s="4">
        <v>5</v>
      </c>
      <c r="AK788" s="4">
        <v>6</v>
      </c>
      <c r="AL788" s="4">
        <v>25</v>
      </c>
      <c r="AM788" s="4">
        <v>25</v>
      </c>
      <c r="AN788" s="4">
        <v>0</v>
      </c>
      <c r="AO788" s="4">
        <v>0</v>
      </c>
      <c r="AP788" s="4">
        <v>4</v>
      </c>
      <c r="AQ788" s="4">
        <v>5</v>
      </c>
      <c r="AR788" s="3" t="s">
        <v>62</v>
      </c>
      <c r="AS788" s="3" t="s">
        <v>62</v>
      </c>
      <c r="AT788" s="3" t="s">
        <v>62</v>
      </c>
      <c r="AV788" s="6" t="str">
        <f>HYPERLINK("http://mcgill.on.worldcat.org/oclc/48458115","Catalog Record")</f>
        <v>Catalog Record</v>
      </c>
      <c r="AW788" s="6" t="str">
        <f>HYPERLINK("http://www.worldcat.org/oclc/48458115","WorldCat Record")</f>
        <v>WorldCat Record</v>
      </c>
      <c r="AX788" s="3" t="s">
        <v>7979</v>
      </c>
      <c r="AY788" s="3" t="s">
        <v>7980</v>
      </c>
      <c r="AZ788" s="3" t="s">
        <v>7981</v>
      </c>
      <c r="BA788" s="3" t="s">
        <v>7981</v>
      </c>
      <c r="BB788" s="3" t="s">
        <v>7982</v>
      </c>
      <c r="BC788" s="3" t="s">
        <v>102</v>
      </c>
      <c r="BD788" s="3" t="s">
        <v>68</v>
      </c>
      <c r="BE788" s="3" t="s">
        <v>7983</v>
      </c>
      <c r="BF788" s="3" t="s">
        <v>7982</v>
      </c>
      <c r="BG788" s="3" t="s">
        <v>7984</v>
      </c>
    </row>
    <row r="789" spans="1:59" ht="58" x14ac:dyDescent="0.35">
      <c r="A789" s="2" t="s">
        <v>89</v>
      </c>
      <c r="B789" s="2" t="s">
        <v>90</v>
      </c>
      <c r="C789" s="2" t="s">
        <v>7985</v>
      </c>
      <c r="D789" s="2" t="s">
        <v>7986</v>
      </c>
      <c r="E789" s="2" t="s">
        <v>7987</v>
      </c>
      <c r="G789" s="3" t="s">
        <v>62</v>
      </c>
      <c r="I789" s="3" t="s">
        <v>62</v>
      </c>
      <c r="J789" s="3" t="s">
        <v>61</v>
      </c>
      <c r="K789" s="3" t="s">
        <v>7988</v>
      </c>
      <c r="L789" s="2" t="s">
        <v>7989</v>
      </c>
      <c r="M789" s="2" t="s">
        <v>7990</v>
      </c>
      <c r="N789" s="3" t="s">
        <v>1662</v>
      </c>
      <c r="P789" s="3" t="s">
        <v>64</v>
      </c>
      <c r="R789" s="3" t="s">
        <v>65</v>
      </c>
      <c r="S789" s="4">
        <v>13</v>
      </c>
      <c r="T789" s="4">
        <v>13</v>
      </c>
      <c r="U789" s="5" t="s">
        <v>7991</v>
      </c>
      <c r="V789" s="5" t="s">
        <v>7991</v>
      </c>
      <c r="W789" s="5" t="s">
        <v>67</v>
      </c>
      <c r="X789" s="5" t="s">
        <v>67</v>
      </c>
      <c r="Y789" s="4">
        <v>336</v>
      </c>
      <c r="Z789" s="4">
        <v>18</v>
      </c>
      <c r="AA789" s="4">
        <v>61</v>
      </c>
      <c r="AB789" s="4">
        <v>2</v>
      </c>
      <c r="AC789" s="4">
        <v>7</v>
      </c>
      <c r="AD789" s="4">
        <v>74</v>
      </c>
      <c r="AE789" s="4">
        <v>142</v>
      </c>
      <c r="AF789" s="4">
        <v>1</v>
      </c>
      <c r="AG789" s="4">
        <v>5</v>
      </c>
      <c r="AH789" s="4">
        <v>64</v>
      </c>
      <c r="AI789" s="4">
        <v>107</v>
      </c>
      <c r="AJ789" s="4">
        <v>12</v>
      </c>
      <c r="AK789" s="4">
        <v>27</v>
      </c>
      <c r="AL789" s="4">
        <v>36</v>
      </c>
      <c r="AM789" s="4">
        <v>60</v>
      </c>
      <c r="AN789" s="4">
        <v>0</v>
      </c>
      <c r="AO789" s="4">
        <v>6</v>
      </c>
      <c r="AP789" s="4">
        <v>15</v>
      </c>
      <c r="AQ789" s="4">
        <v>40</v>
      </c>
      <c r="AR789" s="3" t="s">
        <v>62</v>
      </c>
      <c r="AS789" s="3" t="s">
        <v>62</v>
      </c>
      <c r="AT789" s="3" t="s">
        <v>62</v>
      </c>
      <c r="AU789" s="6" t="str">
        <f>HYPERLINK("http://catalog.hathitrust.org/Record/102290019","HathiTrust Record")</f>
        <v>HathiTrust Record</v>
      </c>
      <c r="AV789" s="6" t="str">
        <f>HYPERLINK("http://mcgill.on.worldcat.org/oclc/1210856","Catalog Record")</f>
        <v>Catalog Record</v>
      </c>
      <c r="AW789" s="6" t="str">
        <f>HYPERLINK("http://www.worldcat.org/oclc/1210856","WorldCat Record")</f>
        <v>WorldCat Record</v>
      </c>
      <c r="AX789" s="3" t="s">
        <v>7992</v>
      </c>
      <c r="AY789" s="3" t="s">
        <v>7993</v>
      </c>
      <c r="AZ789" s="3" t="s">
        <v>7994</v>
      </c>
      <c r="BA789" s="3" t="s">
        <v>7994</v>
      </c>
      <c r="BB789" s="3" t="s">
        <v>7995</v>
      </c>
      <c r="BC789" s="3" t="s">
        <v>102</v>
      </c>
      <c r="BD789" s="3" t="s">
        <v>68</v>
      </c>
      <c r="BF789" s="3" t="s">
        <v>7995</v>
      </c>
      <c r="BG789" s="3" t="s">
        <v>7996</v>
      </c>
    </row>
    <row r="790" spans="1:59" ht="87" x14ac:dyDescent="0.35">
      <c r="A790" s="2" t="s">
        <v>89</v>
      </c>
      <c r="B790" s="2" t="s">
        <v>90</v>
      </c>
      <c r="C790" s="2" t="s">
        <v>7997</v>
      </c>
      <c r="D790" s="2" t="s">
        <v>7998</v>
      </c>
      <c r="E790" s="2" t="s">
        <v>7999</v>
      </c>
      <c r="G790" s="3" t="s">
        <v>62</v>
      </c>
      <c r="I790" s="3" t="s">
        <v>61</v>
      </c>
      <c r="J790" s="3" t="s">
        <v>62</v>
      </c>
      <c r="K790" s="3" t="s">
        <v>63</v>
      </c>
      <c r="L790" s="2" t="s">
        <v>8000</v>
      </c>
      <c r="M790" s="2" t="s">
        <v>8001</v>
      </c>
      <c r="N790" s="3" t="s">
        <v>1264</v>
      </c>
      <c r="P790" s="3" t="s">
        <v>64</v>
      </c>
      <c r="R790" s="3" t="s">
        <v>65</v>
      </c>
      <c r="S790" s="4">
        <v>1</v>
      </c>
      <c r="T790" s="4">
        <v>3</v>
      </c>
      <c r="U790" s="5" t="s">
        <v>7368</v>
      </c>
      <c r="V790" s="5" t="s">
        <v>7368</v>
      </c>
      <c r="W790" s="5" t="s">
        <v>67</v>
      </c>
      <c r="X790" s="5" t="s">
        <v>67</v>
      </c>
      <c r="Y790" s="4">
        <v>235</v>
      </c>
      <c r="Z790" s="4">
        <v>16</v>
      </c>
      <c r="AA790" s="4">
        <v>19</v>
      </c>
      <c r="AB790" s="4">
        <v>1</v>
      </c>
      <c r="AC790" s="4">
        <v>2</v>
      </c>
      <c r="AD790" s="4">
        <v>83</v>
      </c>
      <c r="AE790" s="4">
        <v>87</v>
      </c>
      <c r="AF790" s="4">
        <v>0</v>
      </c>
      <c r="AG790" s="4">
        <v>1</v>
      </c>
      <c r="AH790" s="4">
        <v>76</v>
      </c>
      <c r="AI790" s="4">
        <v>79</v>
      </c>
      <c r="AJ790" s="4">
        <v>10</v>
      </c>
      <c r="AK790" s="4">
        <v>12</v>
      </c>
      <c r="AL790" s="4">
        <v>46</v>
      </c>
      <c r="AM790" s="4">
        <v>46</v>
      </c>
      <c r="AN790" s="4">
        <v>0</v>
      </c>
      <c r="AO790" s="4">
        <v>0</v>
      </c>
      <c r="AP790" s="4">
        <v>11</v>
      </c>
      <c r="AQ790" s="4">
        <v>14</v>
      </c>
      <c r="AR790" s="3" t="s">
        <v>62</v>
      </c>
      <c r="AS790" s="3" t="s">
        <v>62</v>
      </c>
      <c r="AT790" s="3" t="s">
        <v>61</v>
      </c>
      <c r="AU790" s="6" t="str">
        <f>HYPERLINK("http://catalog.hathitrust.org/Record/001474577","HathiTrust Record")</f>
        <v>HathiTrust Record</v>
      </c>
      <c r="AV790" s="6" t="str">
        <f>HYPERLINK("http://mcgill.on.worldcat.org/oclc/1419736","Catalog Record")</f>
        <v>Catalog Record</v>
      </c>
      <c r="AW790" s="6" t="str">
        <f>HYPERLINK("http://www.worldcat.org/oclc/1419736","WorldCat Record")</f>
        <v>WorldCat Record</v>
      </c>
      <c r="AX790" s="3" t="s">
        <v>8002</v>
      </c>
      <c r="AY790" s="3" t="s">
        <v>8003</v>
      </c>
      <c r="AZ790" s="3" t="s">
        <v>8004</v>
      </c>
      <c r="BA790" s="3" t="s">
        <v>8004</v>
      </c>
      <c r="BB790" s="3" t="s">
        <v>8005</v>
      </c>
      <c r="BC790" s="3" t="s">
        <v>102</v>
      </c>
      <c r="BD790" s="3" t="s">
        <v>68</v>
      </c>
      <c r="BF790" s="3" t="s">
        <v>8005</v>
      </c>
      <c r="BG790" s="3" t="s">
        <v>8006</v>
      </c>
    </row>
    <row r="791" spans="1:59" ht="58" x14ac:dyDescent="0.35">
      <c r="A791" s="2" t="s">
        <v>89</v>
      </c>
      <c r="B791" s="2" t="s">
        <v>90</v>
      </c>
      <c r="C791" s="2" t="s">
        <v>8007</v>
      </c>
      <c r="D791" s="2" t="s">
        <v>8008</v>
      </c>
      <c r="E791" s="2" t="s">
        <v>8009</v>
      </c>
      <c r="G791" s="3" t="s">
        <v>62</v>
      </c>
      <c r="I791" s="3" t="s">
        <v>62</v>
      </c>
      <c r="J791" s="3" t="s">
        <v>62</v>
      </c>
      <c r="K791" s="3" t="s">
        <v>63</v>
      </c>
      <c r="L791" s="2" t="s">
        <v>8010</v>
      </c>
      <c r="M791" s="2" t="s">
        <v>8011</v>
      </c>
      <c r="N791" s="3" t="s">
        <v>2975</v>
      </c>
      <c r="P791" s="3" t="s">
        <v>64</v>
      </c>
      <c r="Q791" s="2" t="s">
        <v>8012</v>
      </c>
      <c r="R791" s="3" t="s">
        <v>65</v>
      </c>
      <c r="S791" s="4">
        <v>6</v>
      </c>
      <c r="T791" s="4">
        <v>6</v>
      </c>
      <c r="U791" s="5" t="s">
        <v>7767</v>
      </c>
      <c r="V791" s="5" t="s">
        <v>7767</v>
      </c>
      <c r="W791" s="5" t="s">
        <v>67</v>
      </c>
      <c r="X791" s="5" t="s">
        <v>67</v>
      </c>
      <c r="Y791" s="4">
        <v>239</v>
      </c>
      <c r="Z791" s="4">
        <v>18</v>
      </c>
      <c r="AA791" s="4">
        <v>29</v>
      </c>
      <c r="AB791" s="4">
        <v>1</v>
      </c>
      <c r="AC791" s="4">
        <v>3</v>
      </c>
      <c r="AD791" s="4">
        <v>91</v>
      </c>
      <c r="AE791" s="4">
        <v>102</v>
      </c>
      <c r="AF791" s="4">
        <v>0</v>
      </c>
      <c r="AG791" s="4">
        <v>0</v>
      </c>
      <c r="AH791" s="4">
        <v>81</v>
      </c>
      <c r="AI791" s="4">
        <v>86</v>
      </c>
      <c r="AJ791" s="4">
        <v>12</v>
      </c>
      <c r="AK791" s="4">
        <v>16</v>
      </c>
      <c r="AL791" s="4">
        <v>50</v>
      </c>
      <c r="AM791" s="4">
        <v>50</v>
      </c>
      <c r="AN791" s="4">
        <v>0</v>
      </c>
      <c r="AO791" s="4">
        <v>0</v>
      </c>
      <c r="AP791" s="4">
        <v>15</v>
      </c>
      <c r="AQ791" s="4">
        <v>23</v>
      </c>
      <c r="AR791" s="3" t="s">
        <v>62</v>
      </c>
      <c r="AS791" s="3" t="s">
        <v>62</v>
      </c>
      <c r="AT791" s="3" t="s">
        <v>61</v>
      </c>
      <c r="AU791" s="6" t="str">
        <f>HYPERLINK("http://catalog.hathitrust.org/Record/004172889","HathiTrust Record")</f>
        <v>HathiTrust Record</v>
      </c>
      <c r="AV791" s="6" t="str">
        <f>HYPERLINK("http://mcgill.on.worldcat.org/oclc/45122468","Catalog Record")</f>
        <v>Catalog Record</v>
      </c>
      <c r="AW791" s="6" t="str">
        <f>HYPERLINK("http://www.worldcat.org/oclc/45122468","WorldCat Record")</f>
        <v>WorldCat Record</v>
      </c>
      <c r="AX791" s="3" t="s">
        <v>8013</v>
      </c>
      <c r="AY791" s="3" t="s">
        <v>8014</v>
      </c>
      <c r="AZ791" s="3" t="s">
        <v>8015</v>
      </c>
      <c r="BA791" s="3" t="s">
        <v>8015</v>
      </c>
      <c r="BB791" s="3" t="s">
        <v>8016</v>
      </c>
      <c r="BC791" s="3" t="s">
        <v>102</v>
      </c>
      <c r="BD791" s="3" t="s">
        <v>68</v>
      </c>
      <c r="BE791" s="3" t="s">
        <v>8017</v>
      </c>
      <c r="BF791" s="3" t="s">
        <v>8016</v>
      </c>
      <c r="BG791" s="3" t="s">
        <v>8018</v>
      </c>
    </row>
    <row r="792" spans="1:59" ht="58" x14ac:dyDescent="0.35">
      <c r="A792" s="2" t="s">
        <v>89</v>
      </c>
      <c r="B792" s="2" t="s">
        <v>90</v>
      </c>
      <c r="C792" s="2" t="s">
        <v>8019</v>
      </c>
      <c r="D792" s="2" t="s">
        <v>8020</v>
      </c>
      <c r="E792" s="2" t="s">
        <v>8021</v>
      </c>
      <c r="G792" s="3" t="s">
        <v>62</v>
      </c>
      <c r="I792" s="3" t="s">
        <v>61</v>
      </c>
      <c r="J792" s="3" t="s">
        <v>62</v>
      </c>
      <c r="K792" s="3" t="s">
        <v>63</v>
      </c>
      <c r="L792" s="2" t="s">
        <v>8022</v>
      </c>
      <c r="M792" s="2" t="s">
        <v>8023</v>
      </c>
      <c r="N792" s="3" t="s">
        <v>396</v>
      </c>
      <c r="P792" s="3" t="s">
        <v>64</v>
      </c>
      <c r="R792" s="3" t="s">
        <v>65</v>
      </c>
      <c r="S792" s="4">
        <v>24</v>
      </c>
      <c r="T792" s="4">
        <v>118</v>
      </c>
      <c r="U792" s="5" t="s">
        <v>8024</v>
      </c>
      <c r="V792" s="5" t="s">
        <v>5023</v>
      </c>
      <c r="W792" s="5" t="s">
        <v>67</v>
      </c>
      <c r="X792" s="5" t="s">
        <v>67</v>
      </c>
      <c r="Y792" s="4">
        <v>1218</v>
      </c>
      <c r="Z792" s="4">
        <v>66</v>
      </c>
      <c r="AA792" s="4">
        <v>132</v>
      </c>
      <c r="AB792" s="4">
        <v>2</v>
      </c>
      <c r="AC792" s="4">
        <v>17</v>
      </c>
      <c r="AD792" s="4">
        <v>147</v>
      </c>
      <c r="AE792" s="4">
        <v>164</v>
      </c>
      <c r="AF792" s="4">
        <v>1</v>
      </c>
      <c r="AG792" s="4">
        <v>8</v>
      </c>
      <c r="AH792" s="4">
        <v>113</v>
      </c>
      <c r="AI792" s="4">
        <v>116</v>
      </c>
      <c r="AJ792" s="4">
        <v>22</v>
      </c>
      <c r="AK792" s="4">
        <v>28</v>
      </c>
      <c r="AL792" s="4">
        <v>58</v>
      </c>
      <c r="AM792" s="4">
        <v>59</v>
      </c>
      <c r="AN792" s="4">
        <v>0</v>
      </c>
      <c r="AO792" s="4">
        <v>0</v>
      </c>
      <c r="AP792" s="4">
        <v>42</v>
      </c>
      <c r="AQ792" s="4">
        <v>56</v>
      </c>
      <c r="AR792" s="3" t="s">
        <v>62</v>
      </c>
      <c r="AS792" s="3" t="s">
        <v>62</v>
      </c>
      <c r="AT792" s="3" t="s">
        <v>62</v>
      </c>
      <c r="AV792" s="6" t="str">
        <f>HYPERLINK("http://mcgill.on.worldcat.org/oclc/11091387","Catalog Record")</f>
        <v>Catalog Record</v>
      </c>
      <c r="AW792" s="6" t="str">
        <f>HYPERLINK("http://www.worldcat.org/oclc/11091387","WorldCat Record")</f>
        <v>WorldCat Record</v>
      </c>
      <c r="AX792" s="3" t="s">
        <v>8025</v>
      </c>
      <c r="AY792" s="3" t="s">
        <v>8026</v>
      </c>
      <c r="AZ792" s="3" t="s">
        <v>8027</v>
      </c>
      <c r="BA792" s="3" t="s">
        <v>8027</v>
      </c>
      <c r="BB792" s="3" t="s">
        <v>8028</v>
      </c>
      <c r="BC792" s="3" t="s">
        <v>102</v>
      </c>
      <c r="BD792" s="3" t="s">
        <v>231</v>
      </c>
      <c r="BE792" s="3" t="s">
        <v>8029</v>
      </c>
      <c r="BF792" s="3" t="s">
        <v>8028</v>
      </c>
      <c r="BG792" s="3" t="s">
        <v>8030</v>
      </c>
    </row>
    <row r="793" spans="1:59" ht="58" x14ac:dyDescent="0.35">
      <c r="A793" s="2" t="s">
        <v>89</v>
      </c>
      <c r="B793" s="2" t="s">
        <v>90</v>
      </c>
      <c r="C793" s="2" t="s">
        <v>8019</v>
      </c>
      <c r="D793" s="2" t="s">
        <v>8020</v>
      </c>
      <c r="E793" s="2" t="s">
        <v>8021</v>
      </c>
      <c r="G793" s="3" t="s">
        <v>62</v>
      </c>
      <c r="I793" s="3" t="s">
        <v>61</v>
      </c>
      <c r="J793" s="3" t="s">
        <v>62</v>
      </c>
      <c r="K793" s="3" t="s">
        <v>63</v>
      </c>
      <c r="L793" s="2" t="s">
        <v>8022</v>
      </c>
      <c r="M793" s="2" t="s">
        <v>8023</v>
      </c>
      <c r="N793" s="3" t="s">
        <v>396</v>
      </c>
      <c r="P793" s="3" t="s">
        <v>64</v>
      </c>
      <c r="R793" s="3" t="s">
        <v>65</v>
      </c>
      <c r="S793" s="4">
        <v>56</v>
      </c>
      <c r="T793" s="4">
        <v>118</v>
      </c>
      <c r="U793" s="5" t="s">
        <v>5023</v>
      </c>
      <c r="V793" s="5" t="s">
        <v>5023</v>
      </c>
      <c r="W793" s="5" t="s">
        <v>67</v>
      </c>
      <c r="X793" s="5" t="s">
        <v>67</v>
      </c>
      <c r="Y793" s="4">
        <v>1218</v>
      </c>
      <c r="Z793" s="4">
        <v>66</v>
      </c>
      <c r="AA793" s="4">
        <v>132</v>
      </c>
      <c r="AB793" s="4">
        <v>2</v>
      </c>
      <c r="AC793" s="4">
        <v>17</v>
      </c>
      <c r="AD793" s="4">
        <v>147</v>
      </c>
      <c r="AE793" s="4">
        <v>164</v>
      </c>
      <c r="AF793" s="4">
        <v>1</v>
      </c>
      <c r="AG793" s="4">
        <v>8</v>
      </c>
      <c r="AH793" s="4">
        <v>113</v>
      </c>
      <c r="AI793" s="4">
        <v>116</v>
      </c>
      <c r="AJ793" s="4">
        <v>22</v>
      </c>
      <c r="AK793" s="4">
        <v>28</v>
      </c>
      <c r="AL793" s="4">
        <v>58</v>
      </c>
      <c r="AM793" s="4">
        <v>59</v>
      </c>
      <c r="AN793" s="4">
        <v>0</v>
      </c>
      <c r="AO793" s="4">
        <v>0</v>
      </c>
      <c r="AP793" s="4">
        <v>42</v>
      </c>
      <c r="AQ793" s="4">
        <v>56</v>
      </c>
      <c r="AR793" s="3" t="s">
        <v>62</v>
      </c>
      <c r="AS793" s="3" t="s">
        <v>62</v>
      </c>
      <c r="AT793" s="3" t="s">
        <v>62</v>
      </c>
      <c r="AV793" s="6" t="str">
        <f>HYPERLINK("http://mcgill.on.worldcat.org/oclc/11091387","Catalog Record")</f>
        <v>Catalog Record</v>
      </c>
      <c r="AW793" s="6" t="str">
        <f>HYPERLINK("http://www.worldcat.org/oclc/11091387","WorldCat Record")</f>
        <v>WorldCat Record</v>
      </c>
      <c r="AX793" s="3" t="s">
        <v>8025</v>
      </c>
      <c r="AY793" s="3" t="s">
        <v>8026</v>
      </c>
      <c r="AZ793" s="3" t="s">
        <v>8027</v>
      </c>
      <c r="BA793" s="3" t="s">
        <v>8027</v>
      </c>
      <c r="BB793" s="3" t="s">
        <v>8031</v>
      </c>
      <c r="BC793" s="3" t="s">
        <v>102</v>
      </c>
      <c r="BD793" s="3" t="s">
        <v>231</v>
      </c>
      <c r="BE793" s="3" t="s">
        <v>8029</v>
      </c>
      <c r="BF793" s="3" t="s">
        <v>8031</v>
      </c>
      <c r="BG793" s="3" t="s">
        <v>8032</v>
      </c>
    </row>
    <row r="794" spans="1:59" ht="58" x14ac:dyDescent="0.35">
      <c r="A794" s="2" t="s">
        <v>89</v>
      </c>
      <c r="B794" s="2" t="s">
        <v>90</v>
      </c>
      <c r="C794" s="2" t="s">
        <v>8033</v>
      </c>
      <c r="D794" s="2" t="s">
        <v>8034</v>
      </c>
      <c r="E794" s="2" t="s">
        <v>8035</v>
      </c>
      <c r="G794" s="3" t="s">
        <v>62</v>
      </c>
      <c r="I794" s="3" t="s">
        <v>62</v>
      </c>
      <c r="J794" s="3" t="s">
        <v>62</v>
      </c>
      <c r="K794" s="3" t="s">
        <v>63</v>
      </c>
      <c r="L794" s="2" t="s">
        <v>8036</v>
      </c>
      <c r="M794" s="2" t="s">
        <v>8037</v>
      </c>
      <c r="N794" s="3" t="s">
        <v>95</v>
      </c>
      <c r="P794" s="3" t="s">
        <v>64</v>
      </c>
      <c r="Q794" s="2" t="s">
        <v>8038</v>
      </c>
      <c r="R794" s="3" t="s">
        <v>65</v>
      </c>
      <c r="S794" s="4">
        <v>6</v>
      </c>
      <c r="T794" s="4">
        <v>6</v>
      </c>
      <c r="U794" s="5" t="s">
        <v>8039</v>
      </c>
      <c r="V794" s="5" t="s">
        <v>8039</v>
      </c>
      <c r="W794" s="5" t="s">
        <v>67</v>
      </c>
      <c r="X794" s="5" t="s">
        <v>67</v>
      </c>
      <c r="Y794" s="4">
        <v>409</v>
      </c>
      <c r="Z794" s="4">
        <v>24</v>
      </c>
      <c r="AA794" s="4">
        <v>31</v>
      </c>
      <c r="AB794" s="4">
        <v>2</v>
      </c>
      <c r="AC794" s="4">
        <v>8</v>
      </c>
      <c r="AD794" s="4">
        <v>113</v>
      </c>
      <c r="AE794" s="4">
        <v>117</v>
      </c>
      <c r="AF794" s="4">
        <v>1</v>
      </c>
      <c r="AG794" s="4">
        <v>4</v>
      </c>
      <c r="AH794" s="4">
        <v>98</v>
      </c>
      <c r="AI794" s="4">
        <v>99</v>
      </c>
      <c r="AJ794" s="4">
        <v>14</v>
      </c>
      <c r="AK794" s="4">
        <v>17</v>
      </c>
      <c r="AL794" s="4">
        <v>52</v>
      </c>
      <c r="AM794" s="4">
        <v>52</v>
      </c>
      <c r="AN794" s="4">
        <v>0</v>
      </c>
      <c r="AO794" s="4">
        <v>0</v>
      </c>
      <c r="AP794" s="4">
        <v>22</v>
      </c>
      <c r="AQ794" s="4">
        <v>25</v>
      </c>
      <c r="AR794" s="3" t="s">
        <v>62</v>
      </c>
      <c r="AS794" s="3" t="s">
        <v>62</v>
      </c>
      <c r="AT794" s="3" t="s">
        <v>61</v>
      </c>
      <c r="AU794" s="6" t="str">
        <f>HYPERLINK("http://catalog.hathitrust.org/Record/000266876","HathiTrust Record")</f>
        <v>HathiTrust Record</v>
      </c>
      <c r="AV794" s="6" t="str">
        <f>HYPERLINK("http://mcgill.on.worldcat.org/oclc/6864622","Catalog Record")</f>
        <v>Catalog Record</v>
      </c>
      <c r="AW794" s="6" t="str">
        <f>HYPERLINK("http://www.worldcat.org/oclc/6864622","WorldCat Record")</f>
        <v>WorldCat Record</v>
      </c>
      <c r="AX794" s="3" t="s">
        <v>8040</v>
      </c>
      <c r="AY794" s="3" t="s">
        <v>8041</v>
      </c>
      <c r="AZ794" s="3" t="s">
        <v>8042</v>
      </c>
      <c r="BA794" s="3" t="s">
        <v>8042</v>
      </c>
      <c r="BB794" s="3" t="s">
        <v>8043</v>
      </c>
      <c r="BC794" s="3" t="s">
        <v>102</v>
      </c>
      <c r="BD794" s="3" t="s">
        <v>68</v>
      </c>
      <c r="BE794" s="3" t="s">
        <v>8044</v>
      </c>
      <c r="BF794" s="3" t="s">
        <v>8043</v>
      </c>
      <c r="BG794" s="3" t="s">
        <v>8045</v>
      </c>
    </row>
    <row r="795" spans="1:59" ht="58" x14ac:dyDescent="0.35">
      <c r="A795" s="2" t="s">
        <v>89</v>
      </c>
      <c r="B795" s="2" t="s">
        <v>90</v>
      </c>
      <c r="C795" s="2" t="s">
        <v>8046</v>
      </c>
      <c r="D795" s="2" t="s">
        <v>8047</v>
      </c>
      <c r="E795" s="2" t="s">
        <v>8048</v>
      </c>
      <c r="G795" s="3" t="s">
        <v>62</v>
      </c>
      <c r="I795" s="3" t="s">
        <v>62</v>
      </c>
      <c r="J795" s="3" t="s">
        <v>62</v>
      </c>
      <c r="K795" s="3" t="s">
        <v>63</v>
      </c>
      <c r="L795" s="2" t="s">
        <v>8049</v>
      </c>
      <c r="M795" s="2" t="s">
        <v>8050</v>
      </c>
      <c r="N795" s="3" t="s">
        <v>1064</v>
      </c>
      <c r="P795" s="3" t="s">
        <v>64</v>
      </c>
      <c r="Q795" s="2" t="s">
        <v>8051</v>
      </c>
      <c r="R795" s="3" t="s">
        <v>65</v>
      </c>
      <c r="S795" s="4">
        <v>1</v>
      </c>
      <c r="T795" s="4">
        <v>1</v>
      </c>
      <c r="U795" s="5" t="s">
        <v>7472</v>
      </c>
      <c r="V795" s="5" t="s">
        <v>7472</v>
      </c>
      <c r="W795" s="5" t="s">
        <v>67</v>
      </c>
      <c r="X795" s="5" t="s">
        <v>67</v>
      </c>
      <c r="Y795" s="4">
        <v>391</v>
      </c>
      <c r="Z795" s="4">
        <v>34</v>
      </c>
      <c r="AA795" s="4">
        <v>37</v>
      </c>
      <c r="AB795" s="4">
        <v>2</v>
      </c>
      <c r="AC795" s="4">
        <v>4</v>
      </c>
      <c r="AD795" s="4">
        <v>113</v>
      </c>
      <c r="AE795" s="4">
        <v>116</v>
      </c>
      <c r="AF795" s="4">
        <v>0</v>
      </c>
      <c r="AG795" s="4">
        <v>1</v>
      </c>
      <c r="AH795" s="4">
        <v>94</v>
      </c>
      <c r="AI795" s="4">
        <v>95</v>
      </c>
      <c r="AJ795" s="4">
        <v>19</v>
      </c>
      <c r="AK795" s="4">
        <v>20</v>
      </c>
      <c r="AL795" s="4">
        <v>54</v>
      </c>
      <c r="AM795" s="4">
        <v>55</v>
      </c>
      <c r="AN795" s="4">
        <v>0</v>
      </c>
      <c r="AO795" s="4">
        <v>0</v>
      </c>
      <c r="AP795" s="4">
        <v>25</v>
      </c>
      <c r="AQ795" s="4">
        <v>26</v>
      </c>
      <c r="AR795" s="3" t="s">
        <v>62</v>
      </c>
      <c r="AS795" s="3" t="s">
        <v>62</v>
      </c>
      <c r="AT795" s="3" t="s">
        <v>61</v>
      </c>
      <c r="AU795" s="6" t="str">
        <f>HYPERLINK("http://catalog.hathitrust.org/Record/001474594","HathiTrust Record")</f>
        <v>HathiTrust Record</v>
      </c>
      <c r="AV795" s="6" t="str">
        <f>HYPERLINK("http://mcgill.on.worldcat.org/oclc/206254","Catalog Record")</f>
        <v>Catalog Record</v>
      </c>
      <c r="AW795" s="6" t="str">
        <f>HYPERLINK("http://www.worldcat.org/oclc/206254","WorldCat Record")</f>
        <v>WorldCat Record</v>
      </c>
      <c r="AX795" s="3" t="s">
        <v>8052</v>
      </c>
      <c r="AY795" s="3" t="s">
        <v>8053</v>
      </c>
      <c r="AZ795" s="3" t="s">
        <v>8054</v>
      </c>
      <c r="BA795" s="3" t="s">
        <v>8054</v>
      </c>
      <c r="BB795" s="3" t="s">
        <v>8055</v>
      </c>
      <c r="BC795" s="3" t="s">
        <v>102</v>
      </c>
      <c r="BD795" s="3" t="s">
        <v>68</v>
      </c>
      <c r="BE795" s="3" t="s">
        <v>8056</v>
      </c>
      <c r="BF795" s="3" t="s">
        <v>8055</v>
      </c>
      <c r="BG795" s="3" t="s">
        <v>8057</v>
      </c>
    </row>
    <row r="796" spans="1:59" ht="58" x14ac:dyDescent="0.35">
      <c r="A796" s="2" t="s">
        <v>89</v>
      </c>
      <c r="B796" s="2" t="s">
        <v>90</v>
      </c>
      <c r="C796" s="2" t="s">
        <v>8058</v>
      </c>
      <c r="D796" s="2" t="s">
        <v>8059</v>
      </c>
      <c r="E796" s="2" t="s">
        <v>8060</v>
      </c>
      <c r="G796" s="3" t="s">
        <v>62</v>
      </c>
      <c r="I796" s="3" t="s">
        <v>62</v>
      </c>
      <c r="J796" s="3" t="s">
        <v>61</v>
      </c>
      <c r="K796" s="3" t="s">
        <v>63</v>
      </c>
      <c r="L796" s="2" t="s">
        <v>2564</v>
      </c>
      <c r="M796" s="2" t="s">
        <v>8061</v>
      </c>
      <c r="N796" s="3" t="s">
        <v>81</v>
      </c>
      <c r="P796" s="3" t="s">
        <v>64</v>
      </c>
      <c r="R796" s="3" t="s">
        <v>65</v>
      </c>
      <c r="S796" s="4">
        <v>52</v>
      </c>
      <c r="T796" s="4">
        <v>52</v>
      </c>
      <c r="U796" s="5" t="s">
        <v>1170</v>
      </c>
      <c r="V796" s="5" t="s">
        <v>1170</v>
      </c>
      <c r="W796" s="5" t="s">
        <v>67</v>
      </c>
      <c r="X796" s="5" t="s">
        <v>67</v>
      </c>
      <c r="Y796" s="4">
        <v>208</v>
      </c>
      <c r="Z796" s="4">
        <v>21</v>
      </c>
      <c r="AA796" s="4">
        <v>43</v>
      </c>
      <c r="AB796" s="4">
        <v>1</v>
      </c>
      <c r="AC796" s="4">
        <v>3</v>
      </c>
      <c r="AD796" s="4">
        <v>48</v>
      </c>
      <c r="AE796" s="4">
        <v>125</v>
      </c>
      <c r="AF796" s="4">
        <v>0</v>
      </c>
      <c r="AG796" s="4">
        <v>2</v>
      </c>
      <c r="AH796" s="4">
        <v>40</v>
      </c>
      <c r="AI796" s="4">
        <v>104</v>
      </c>
      <c r="AJ796" s="4">
        <v>11</v>
      </c>
      <c r="AK796" s="4">
        <v>24</v>
      </c>
      <c r="AL796" s="4">
        <v>21</v>
      </c>
      <c r="AM796" s="4">
        <v>54</v>
      </c>
      <c r="AN796" s="4">
        <v>0</v>
      </c>
      <c r="AO796" s="4">
        <v>0</v>
      </c>
      <c r="AP796" s="4">
        <v>13</v>
      </c>
      <c r="AQ796" s="4">
        <v>28</v>
      </c>
      <c r="AR796" s="3" t="s">
        <v>62</v>
      </c>
      <c r="AS796" s="3" t="s">
        <v>62</v>
      </c>
      <c r="AT796" s="3" t="s">
        <v>61</v>
      </c>
      <c r="AU796" s="6" t="str">
        <f>HYPERLINK("http://catalog.hathitrust.org/Record/001473455","HathiTrust Record")</f>
        <v>HathiTrust Record</v>
      </c>
      <c r="AV796" s="6" t="str">
        <f>HYPERLINK("http://mcgill.on.worldcat.org/oclc/461711","Catalog Record")</f>
        <v>Catalog Record</v>
      </c>
      <c r="AW796" s="6" t="str">
        <f>HYPERLINK("http://www.worldcat.org/oclc/461711","WorldCat Record")</f>
        <v>WorldCat Record</v>
      </c>
      <c r="AX796" s="3" t="s">
        <v>8062</v>
      </c>
      <c r="AY796" s="3" t="s">
        <v>8063</v>
      </c>
      <c r="AZ796" s="3" t="s">
        <v>8064</v>
      </c>
      <c r="BA796" s="3" t="s">
        <v>8064</v>
      </c>
      <c r="BB796" s="3" t="s">
        <v>8065</v>
      </c>
      <c r="BC796" s="3" t="s">
        <v>102</v>
      </c>
      <c r="BD796" s="3" t="s">
        <v>68</v>
      </c>
      <c r="BF796" s="3" t="s">
        <v>8065</v>
      </c>
      <c r="BG796" s="3" t="s">
        <v>8066</v>
      </c>
    </row>
    <row r="797" spans="1:59" ht="58" x14ac:dyDescent="0.35">
      <c r="A797" s="2" t="s">
        <v>89</v>
      </c>
      <c r="B797" s="2" t="s">
        <v>90</v>
      </c>
      <c r="C797" s="2" t="s">
        <v>8067</v>
      </c>
      <c r="D797" s="2" t="s">
        <v>8068</v>
      </c>
      <c r="E797" s="2" t="s">
        <v>8069</v>
      </c>
      <c r="G797" s="3" t="s">
        <v>62</v>
      </c>
      <c r="I797" s="3" t="s">
        <v>61</v>
      </c>
      <c r="J797" s="3" t="s">
        <v>62</v>
      </c>
      <c r="K797" s="3" t="s">
        <v>63</v>
      </c>
      <c r="L797" s="2" t="s">
        <v>8070</v>
      </c>
      <c r="M797" s="2" t="s">
        <v>8071</v>
      </c>
      <c r="N797" s="3" t="s">
        <v>424</v>
      </c>
      <c r="P797" s="3" t="s">
        <v>64</v>
      </c>
      <c r="Q797" s="2" t="s">
        <v>8072</v>
      </c>
      <c r="R797" s="3" t="s">
        <v>65</v>
      </c>
      <c r="S797" s="4">
        <v>12</v>
      </c>
      <c r="T797" s="4">
        <v>29</v>
      </c>
      <c r="U797" s="5" t="s">
        <v>8073</v>
      </c>
      <c r="V797" s="5" t="s">
        <v>8074</v>
      </c>
      <c r="W797" s="5" t="s">
        <v>67</v>
      </c>
      <c r="X797" s="5" t="s">
        <v>67</v>
      </c>
      <c r="Y797" s="4">
        <v>529</v>
      </c>
      <c r="Z797" s="4">
        <v>33</v>
      </c>
      <c r="AA797" s="4">
        <v>40</v>
      </c>
      <c r="AB797" s="4">
        <v>3</v>
      </c>
      <c r="AC797" s="4">
        <v>10</v>
      </c>
      <c r="AD797" s="4">
        <v>122</v>
      </c>
      <c r="AE797" s="4">
        <v>126</v>
      </c>
      <c r="AF797" s="4">
        <v>2</v>
      </c>
      <c r="AG797" s="4">
        <v>6</v>
      </c>
      <c r="AH797" s="4">
        <v>102</v>
      </c>
      <c r="AI797" s="4">
        <v>103</v>
      </c>
      <c r="AJ797" s="4">
        <v>20</v>
      </c>
      <c r="AK797" s="4">
        <v>23</v>
      </c>
      <c r="AL797" s="4">
        <v>59</v>
      </c>
      <c r="AM797" s="4">
        <v>59</v>
      </c>
      <c r="AN797" s="4">
        <v>0</v>
      </c>
      <c r="AO797" s="4">
        <v>0</v>
      </c>
      <c r="AP797" s="4">
        <v>26</v>
      </c>
      <c r="AQ797" s="4">
        <v>29</v>
      </c>
      <c r="AR797" s="3" t="s">
        <v>62</v>
      </c>
      <c r="AS797" s="3" t="s">
        <v>62</v>
      </c>
      <c r="AT797" s="3" t="s">
        <v>61</v>
      </c>
      <c r="AU797" s="6" t="str">
        <f>HYPERLINK("http://catalog.hathitrust.org/Record/000903439","HathiTrust Record")</f>
        <v>HathiTrust Record</v>
      </c>
      <c r="AV797" s="6" t="str">
        <f>HYPERLINK("http://mcgill.on.worldcat.org/oclc/16525382","Catalog Record")</f>
        <v>Catalog Record</v>
      </c>
      <c r="AW797" s="6" t="str">
        <f>HYPERLINK("http://www.worldcat.org/oclc/16525382","WorldCat Record")</f>
        <v>WorldCat Record</v>
      </c>
      <c r="AX797" s="3" t="s">
        <v>8075</v>
      </c>
      <c r="AY797" s="3" t="s">
        <v>8076</v>
      </c>
      <c r="AZ797" s="3" t="s">
        <v>8077</v>
      </c>
      <c r="BA797" s="3" t="s">
        <v>8077</v>
      </c>
      <c r="BB797" s="3" t="s">
        <v>8078</v>
      </c>
      <c r="BC797" s="3" t="s">
        <v>102</v>
      </c>
      <c r="BD797" s="3" t="s">
        <v>68</v>
      </c>
      <c r="BE797" s="3" t="s">
        <v>8079</v>
      </c>
      <c r="BF797" s="3" t="s">
        <v>8078</v>
      </c>
      <c r="BG797" s="3" t="s">
        <v>8080</v>
      </c>
    </row>
    <row r="798" spans="1:59" ht="58" x14ac:dyDescent="0.35">
      <c r="A798" s="2" t="s">
        <v>89</v>
      </c>
      <c r="B798" s="2" t="s">
        <v>90</v>
      </c>
      <c r="C798" s="2" t="s">
        <v>8067</v>
      </c>
      <c r="D798" s="2" t="s">
        <v>8068</v>
      </c>
      <c r="E798" s="2" t="s">
        <v>8069</v>
      </c>
      <c r="G798" s="3" t="s">
        <v>62</v>
      </c>
      <c r="I798" s="3" t="s">
        <v>61</v>
      </c>
      <c r="J798" s="3" t="s">
        <v>62</v>
      </c>
      <c r="K798" s="3" t="s">
        <v>63</v>
      </c>
      <c r="L798" s="2" t="s">
        <v>8070</v>
      </c>
      <c r="M798" s="2" t="s">
        <v>8071</v>
      </c>
      <c r="N798" s="3" t="s">
        <v>424</v>
      </c>
      <c r="P798" s="3" t="s">
        <v>64</v>
      </c>
      <c r="Q798" s="2" t="s">
        <v>8072</v>
      </c>
      <c r="R798" s="3" t="s">
        <v>65</v>
      </c>
      <c r="S798" s="4">
        <v>17</v>
      </c>
      <c r="T798" s="4">
        <v>29</v>
      </c>
      <c r="U798" s="5" t="s">
        <v>8074</v>
      </c>
      <c r="V798" s="5" t="s">
        <v>8074</v>
      </c>
      <c r="W798" s="5" t="s">
        <v>67</v>
      </c>
      <c r="X798" s="5" t="s">
        <v>67</v>
      </c>
      <c r="Y798" s="4">
        <v>529</v>
      </c>
      <c r="Z798" s="4">
        <v>33</v>
      </c>
      <c r="AA798" s="4">
        <v>40</v>
      </c>
      <c r="AB798" s="4">
        <v>3</v>
      </c>
      <c r="AC798" s="4">
        <v>10</v>
      </c>
      <c r="AD798" s="4">
        <v>122</v>
      </c>
      <c r="AE798" s="4">
        <v>126</v>
      </c>
      <c r="AF798" s="4">
        <v>2</v>
      </c>
      <c r="AG798" s="4">
        <v>6</v>
      </c>
      <c r="AH798" s="4">
        <v>102</v>
      </c>
      <c r="AI798" s="4">
        <v>103</v>
      </c>
      <c r="AJ798" s="4">
        <v>20</v>
      </c>
      <c r="AK798" s="4">
        <v>23</v>
      </c>
      <c r="AL798" s="4">
        <v>59</v>
      </c>
      <c r="AM798" s="4">
        <v>59</v>
      </c>
      <c r="AN798" s="4">
        <v>0</v>
      </c>
      <c r="AO798" s="4">
        <v>0</v>
      </c>
      <c r="AP798" s="4">
        <v>26</v>
      </c>
      <c r="AQ798" s="4">
        <v>29</v>
      </c>
      <c r="AR798" s="3" t="s">
        <v>62</v>
      </c>
      <c r="AS798" s="3" t="s">
        <v>62</v>
      </c>
      <c r="AT798" s="3" t="s">
        <v>61</v>
      </c>
      <c r="AU798" s="6" t="str">
        <f>HYPERLINK("http://catalog.hathitrust.org/Record/000903439","HathiTrust Record")</f>
        <v>HathiTrust Record</v>
      </c>
      <c r="AV798" s="6" t="str">
        <f>HYPERLINK("http://mcgill.on.worldcat.org/oclc/16525382","Catalog Record")</f>
        <v>Catalog Record</v>
      </c>
      <c r="AW798" s="6" t="str">
        <f>HYPERLINK("http://www.worldcat.org/oclc/16525382","WorldCat Record")</f>
        <v>WorldCat Record</v>
      </c>
      <c r="AX798" s="3" t="s">
        <v>8075</v>
      </c>
      <c r="AY798" s="3" t="s">
        <v>8076</v>
      </c>
      <c r="AZ798" s="3" t="s">
        <v>8077</v>
      </c>
      <c r="BA798" s="3" t="s">
        <v>8077</v>
      </c>
      <c r="BB798" s="3" t="s">
        <v>8081</v>
      </c>
      <c r="BC798" s="3" t="s">
        <v>102</v>
      </c>
      <c r="BD798" s="3" t="s">
        <v>68</v>
      </c>
      <c r="BE798" s="3" t="s">
        <v>8079</v>
      </c>
      <c r="BF798" s="3" t="s">
        <v>8081</v>
      </c>
      <c r="BG798" s="3" t="s">
        <v>8082</v>
      </c>
    </row>
    <row r="799" spans="1:59" ht="58" x14ac:dyDescent="0.35">
      <c r="A799" s="2" t="s">
        <v>89</v>
      </c>
      <c r="B799" s="2" t="s">
        <v>90</v>
      </c>
      <c r="C799" s="2" t="s">
        <v>8083</v>
      </c>
      <c r="D799" s="2" t="s">
        <v>8084</v>
      </c>
      <c r="E799" s="2" t="s">
        <v>8085</v>
      </c>
      <c r="G799" s="3" t="s">
        <v>62</v>
      </c>
      <c r="I799" s="3" t="s">
        <v>62</v>
      </c>
      <c r="J799" s="3" t="s">
        <v>62</v>
      </c>
      <c r="K799" s="3" t="s">
        <v>63</v>
      </c>
      <c r="L799" s="2" t="s">
        <v>1618</v>
      </c>
      <c r="M799" s="2" t="s">
        <v>1710</v>
      </c>
      <c r="N799" s="3" t="s">
        <v>568</v>
      </c>
      <c r="P799" s="3" t="s">
        <v>64</v>
      </c>
      <c r="R799" s="3" t="s">
        <v>65</v>
      </c>
      <c r="S799" s="4">
        <v>41</v>
      </c>
      <c r="T799" s="4">
        <v>41</v>
      </c>
      <c r="U799" s="5" t="s">
        <v>1642</v>
      </c>
      <c r="V799" s="5" t="s">
        <v>1642</v>
      </c>
      <c r="W799" s="5" t="s">
        <v>67</v>
      </c>
      <c r="X799" s="5" t="s">
        <v>67</v>
      </c>
      <c r="Y799" s="4">
        <v>714</v>
      </c>
      <c r="Z799" s="4">
        <v>43</v>
      </c>
      <c r="AA799" s="4">
        <v>50</v>
      </c>
      <c r="AB799" s="4">
        <v>3</v>
      </c>
      <c r="AC799" s="4">
        <v>8</v>
      </c>
      <c r="AD799" s="4">
        <v>120</v>
      </c>
      <c r="AE799" s="4">
        <v>126</v>
      </c>
      <c r="AF799" s="4">
        <v>1</v>
      </c>
      <c r="AG799" s="4">
        <v>5</v>
      </c>
      <c r="AH799" s="4">
        <v>97</v>
      </c>
      <c r="AI799" s="4">
        <v>98</v>
      </c>
      <c r="AJ799" s="4">
        <v>19</v>
      </c>
      <c r="AK799" s="4">
        <v>21</v>
      </c>
      <c r="AL799" s="4">
        <v>57</v>
      </c>
      <c r="AM799" s="4">
        <v>57</v>
      </c>
      <c r="AN799" s="4">
        <v>0</v>
      </c>
      <c r="AO799" s="4">
        <v>0</v>
      </c>
      <c r="AP799" s="4">
        <v>29</v>
      </c>
      <c r="AQ799" s="4">
        <v>35</v>
      </c>
      <c r="AR799" s="3" t="s">
        <v>62</v>
      </c>
      <c r="AS799" s="3" t="s">
        <v>62</v>
      </c>
      <c r="AT799" s="3" t="s">
        <v>62</v>
      </c>
      <c r="AV799" s="6" t="str">
        <f>HYPERLINK("http://mcgill.on.worldcat.org/oclc/43729156","Catalog Record")</f>
        <v>Catalog Record</v>
      </c>
      <c r="AW799" s="6" t="str">
        <f>HYPERLINK("http://www.worldcat.org/oclc/43729156","WorldCat Record")</f>
        <v>WorldCat Record</v>
      </c>
      <c r="AX799" s="3" t="s">
        <v>8086</v>
      </c>
      <c r="AY799" s="3" t="s">
        <v>8087</v>
      </c>
      <c r="AZ799" s="3" t="s">
        <v>8088</v>
      </c>
      <c r="BA799" s="3" t="s">
        <v>8088</v>
      </c>
      <c r="BB799" s="3" t="s">
        <v>8089</v>
      </c>
      <c r="BC799" s="3" t="s">
        <v>102</v>
      </c>
      <c r="BD799" s="3" t="s">
        <v>68</v>
      </c>
      <c r="BE799" s="3" t="s">
        <v>8090</v>
      </c>
      <c r="BF799" s="3" t="s">
        <v>8089</v>
      </c>
      <c r="BG799" s="3" t="s">
        <v>8091</v>
      </c>
    </row>
    <row r="800" spans="1:59" ht="58" x14ac:dyDescent="0.35">
      <c r="A800" s="2" t="s">
        <v>89</v>
      </c>
      <c r="B800" s="2" t="s">
        <v>90</v>
      </c>
      <c r="C800" s="2" t="s">
        <v>8092</v>
      </c>
      <c r="D800" s="2" t="s">
        <v>8093</v>
      </c>
      <c r="E800" s="2" t="s">
        <v>1616</v>
      </c>
      <c r="G800" s="3" t="s">
        <v>62</v>
      </c>
      <c r="I800" s="3" t="s">
        <v>61</v>
      </c>
      <c r="J800" s="3" t="s">
        <v>61</v>
      </c>
      <c r="K800" s="3" t="s">
        <v>63</v>
      </c>
      <c r="L800" s="2" t="s">
        <v>1618</v>
      </c>
      <c r="M800" s="2" t="s">
        <v>8094</v>
      </c>
      <c r="N800" s="3" t="s">
        <v>2445</v>
      </c>
      <c r="P800" s="3" t="s">
        <v>64</v>
      </c>
      <c r="Q800" s="2" t="s">
        <v>8095</v>
      </c>
      <c r="R800" s="3" t="s">
        <v>65</v>
      </c>
      <c r="S800" s="4">
        <v>104</v>
      </c>
      <c r="T800" s="4">
        <v>235</v>
      </c>
      <c r="U800" s="5" t="s">
        <v>1642</v>
      </c>
      <c r="V800" s="5" t="s">
        <v>3310</v>
      </c>
      <c r="W800" s="5" t="s">
        <v>67</v>
      </c>
      <c r="X800" s="5" t="s">
        <v>67</v>
      </c>
      <c r="Y800" s="4">
        <v>755</v>
      </c>
      <c r="Z800" s="4">
        <v>38</v>
      </c>
      <c r="AA800" s="4">
        <v>166</v>
      </c>
      <c r="AB800" s="4">
        <v>4</v>
      </c>
      <c r="AC800" s="4">
        <v>18</v>
      </c>
      <c r="AD800" s="4">
        <v>117</v>
      </c>
      <c r="AE800" s="4">
        <v>180</v>
      </c>
      <c r="AF800" s="4">
        <v>2</v>
      </c>
      <c r="AG800" s="4">
        <v>8</v>
      </c>
      <c r="AH800" s="4">
        <v>100</v>
      </c>
      <c r="AI800" s="4">
        <v>120</v>
      </c>
      <c r="AJ800" s="4">
        <v>15</v>
      </c>
      <c r="AK800" s="4">
        <v>31</v>
      </c>
      <c r="AL800" s="4">
        <v>58</v>
      </c>
      <c r="AM800" s="4">
        <v>67</v>
      </c>
      <c r="AN800" s="4">
        <v>0</v>
      </c>
      <c r="AO800" s="4">
        <v>0</v>
      </c>
      <c r="AP800" s="4">
        <v>23</v>
      </c>
      <c r="AQ800" s="4">
        <v>60</v>
      </c>
      <c r="AR800" s="3" t="s">
        <v>62</v>
      </c>
      <c r="AS800" s="3" t="s">
        <v>62</v>
      </c>
      <c r="AT800" s="3" t="s">
        <v>62</v>
      </c>
      <c r="AV800" s="6" t="str">
        <f>HYPERLINK("http://mcgill.on.worldcat.org/oclc/347557","Catalog Record")</f>
        <v>Catalog Record</v>
      </c>
      <c r="AW800" s="6" t="str">
        <f>HYPERLINK("http://www.worldcat.org/oclc/347557","WorldCat Record")</f>
        <v>WorldCat Record</v>
      </c>
      <c r="AX800" s="3" t="s">
        <v>1622</v>
      </c>
      <c r="AY800" s="3" t="s">
        <v>8096</v>
      </c>
      <c r="AZ800" s="3" t="s">
        <v>8097</v>
      </c>
      <c r="BA800" s="3" t="s">
        <v>8097</v>
      </c>
      <c r="BB800" s="3" t="s">
        <v>8098</v>
      </c>
      <c r="BC800" s="3" t="s">
        <v>102</v>
      </c>
      <c r="BD800" s="3" t="s">
        <v>68</v>
      </c>
      <c r="BF800" s="3" t="s">
        <v>8098</v>
      </c>
      <c r="BG800" s="3" t="s">
        <v>8099</v>
      </c>
    </row>
    <row r="801" spans="1:59" ht="58" x14ac:dyDescent="0.35">
      <c r="A801" s="2" t="s">
        <v>89</v>
      </c>
      <c r="B801" s="2" t="s">
        <v>90</v>
      </c>
      <c r="C801" s="2" t="s">
        <v>8092</v>
      </c>
      <c r="D801" s="2" t="s">
        <v>8093</v>
      </c>
      <c r="E801" s="2" t="s">
        <v>1616</v>
      </c>
      <c r="G801" s="3" t="s">
        <v>62</v>
      </c>
      <c r="I801" s="3" t="s">
        <v>61</v>
      </c>
      <c r="J801" s="3" t="s">
        <v>61</v>
      </c>
      <c r="K801" s="3" t="s">
        <v>63</v>
      </c>
      <c r="L801" s="2" t="s">
        <v>1618</v>
      </c>
      <c r="M801" s="2" t="s">
        <v>8094</v>
      </c>
      <c r="N801" s="3" t="s">
        <v>2445</v>
      </c>
      <c r="P801" s="3" t="s">
        <v>64</v>
      </c>
      <c r="Q801" s="2" t="s">
        <v>8095</v>
      </c>
      <c r="R801" s="3" t="s">
        <v>65</v>
      </c>
      <c r="S801" s="4">
        <v>110</v>
      </c>
      <c r="T801" s="4">
        <v>235</v>
      </c>
      <c r="U801" s="5" t="s">
        <v>3310</v>
      </c>
      <c r="V801" s="5" t="s">
        <v>3310</v>
      </c>
      <c r="W801" s="5" t="s">
        <v>67</v>
      </c>
      <c r="X801" s="5" t="s">
        <v>67</v>
      </c>
      <c r="Y801" s="4">
        <v>755</v>
      </c>
      <c r="Z801" s="4">
        <v>38</v>
      </c>
      <c r="AA801" s="4">
        <v>166</v>
      </c>
      <c r="AB801" s="4">
        <v>4</v>
      </c>
      <c r="AC801" s="4">
        <v>18</v>
      </c>
      <c r="AD801" s="4">
        <v>117</v>
      </c>
      <c r="AE801" s="4">
        <v>180</v>
      </c>
      <c r="AF801" s="4">
        <v>2</v>
      </c>
      <c r="AG801" s="4">
        <v>8</v>
      </c>
      <c r="AH801" s="4">
        <v>100</v>
      </c>
      <c r="AI801" s="4">
        <v>120</v>
      </c>
      <c r="AJ801" s="4">
        <v>15</v>
      </c>
      <c r="AK801" s="4">
        <v>31</v>
      </c>
      <c r="AL801" s="4">
        <v>58</v>
      </c>
      <c r="AM801" s="4">
        <v>67</v>
      </c>
      <c r="AN801" s="4">
        <v>0</v>
      </c>
      <c r="AO801" s="4">
        <v>0</v>
      </c>
      <c r="AP801" s="4">
        <v>23</v>
      </c>
      <c r="AQ801" s="4">
        <v>60</v>
      </c>
      <c r="AR801" s="3" t="s">
        <v>62</v>
      </c>
      <c r="AS801" s="3" t="s">
        <v>62</v>
      </c>
      <c r="AT801" s="3" t="s">
        <v>62</v>
      </c>
      <c r="AV801" s="6" t="str">
        <f>HYPERLINK("http://mcgill.on.worldcat.org/oclc/347557","Catalog Record")</f>
        <v>Catalog Record</v>
      </c>
      <c r="AW801" s="6" t="str">
        <f>HYPERLINK("http://www.worldcat.org/oclc/347557","WorldCat Record")</f>
        <v>WorldCat Record</v>
      </c>
      <c r="AX801" s="3" t="s">
        <v>1622</v>
      </c>
      <c r="AY801" s="3" t="s">
        <v>8096</v>
      </c>
      <c r="AZ801" s="3" t="s">
        <v>8097</v>
      </c>
      <c r="BA801" s="3" t="s">
        <v>8097</v>
      </c>
      <c r="BB801" s="3" t="s">
        <v>8100</v>
      </c>
      <c r="BC801" s="3" t="s">
        <v>102</v>
      </c>
      <c r="BD801" s="3" t="s">
        <v>68</v>
      </c>
      <c r="BF801" s="3" t="s">
        <v>8100</v>
      </c>
      <c r="BG801" s="3" t="s">
        <v>8101</v>
      </c>
    </row>
    <row r="802" spans="1:59" ht="58" x14ac:dyDescent="0.35">
      <c r="A802" s="2" t="s">
        <v>89</v>
      </c>
      <c r="B802" s="2" t="s">
        <v>90</v>
      </c>
      <c r="C802" s="2" t="s">
        <v>8102</v>
      </c>
      <c r="D802" s="2" t="s">
        <v>8103</v>
      </c>
      <c r="E802" s="2" t="s">
        <v>1635</v>
      </c>
      <c r="G802" s="3" t="s">
        <v>62</v>
      </c>
      <c r="I802" s="3" t="s">
        <v>61</v>
      </c>
      <c r="J802" s="3" t="s">
        <v>61</v>
      </c>
      <c r="K802" s="3" t="s">
        <v>63</v>
      </c>
      <c r="L802" s="2" t="s">
        <v>1618</v>
      </c>
      <c r="M802" s="2" t="s">
        <v>8104</v>
      </c>
      <c r="N802" s="3" t="s">
        <v>2000</v>
      </c>
      <c r="O802" s="2" t="s">
        <v>2458</v>
      </c>
      <c r="P802" s="3" t="s">
        <v>64</v>
      </c>
      <c r="Q802" s="2" t="s">
        <v>8105</v>
      </c>
      <c r="R802" s="3" t="s">
        <v>65</v>
      </c>
      <c r="S802" s="4">
        <v>21</v>
      </c>
      <c r="T802" s="4">
        <v>104</v>
      </c>
      <c r="U802" s="5" t="s">
        <v>84</v>
      </c>
      <c r="V802" s="5" t="s">
        <v>84</v>
      </c>
      <c r="W802" s="5" t="s">
        <v>67</v>
      </c>
      <c r="X802" s="5" t="s">
        <v>67</v>
      </c>
      <c r="Y802" s="4">
        <v>1572</v>
      </c>
      <c r="Z802" s="4">
        <v>76</v>
      </c>
      <c r="AA802" s="4">
        <v>166</v>
      </c>
      <c r="AB802" s="4">
        <v>3</v>
      </c>
      <c r="AC802" s="4">
        <v>18</v>
      </c>
      <c r="AD802" s="4">
        <v>136</v>
      </c>
      <c r="AE802" s="4">
        <v>180</v>
      </c>
      <c r="AF802" s="4">
        <v>1</v>
      </c>
      <c r="AG802" s="4">
        <v>8</v>
      </c>
      <c r="AH802" s="4">
        <v>108</v>
      </c>
      <c r="AI802" s="4">
        <v>120</v>
      </c>
      <c r="AJ802" s="4">
        <v>22</v>
      </c>
      <c r="AK802" s="4">
        <v>31</v>
      </c>
      <c r="AL802" s="4">
        <v>58</v>
      </c>
      <c r="AM802" s="4">
        <v>67</v>
      </c>
      <c r="AN802" s="4">
        <v>0</v>
      </c>
      <c r="AO802" s="4">
        <v>0</v>
      </c>
      <c r="AP802" s="4">
        <v>35</v>
      </c>
      <c r="AQ802" s="4">
        <v>60</v>
      </c>
      <c r="AR802" s="3" t="s">
        <v>62</v>
      </c>
      <c r="AS802" s="3" t="s">
        <v>62</v>
      </c>
      <c r="AT802" s="3" t="s">
        <v>61</v>
      </c>
      <c r="AU802" s="6" t="str">
        <f>HYPERLINK("http://catalog.hathitrust.org/Record/003112209","HathiTrust Record")</f>
        <v>HathiTrust Record</v>
      </c>
      <c r="AV802" s="6" t="str">
        <f>HYPERLINK("http://mcgill.on.worldcat.org/oclc/34548541","Catalog Record")</f>
        <v>Catalog Record</v>
      </c>
      <c r="AW802" s="6" t="str">
        <f>HYPERLINK("http://www.worldcat.org/oclc/34548541","WorldCat Record")</f>
        <v>WorldCat Record</v>
      </c>
      <c r="AX802" s="3" t="s">
        <v>1622</v>
      </c>
      <c r="AY802" s="3" t="s">
        <v>8106</v>
      </c>
      <c r="AZ802" s="3" t="s">
        <v>8107</v>
      </c>
      <c r="BA802" s="3" t="s">
        <v>8107</v>
      </c>
      <c r="BB802" s="3" t="s">
        <v>8108</v>
      </c>
      <c r="BC802" s="3" t="s">
        <v>102</v>
      </c>
      <c r="BD802" s="3" t="s">
        <v>68</v>
      </c>
      <c r="BE802" s="3" t="s">
        <v>8109</v>
      </c>
      <c r="BF802" s="3" t="s">
        <v>8108</v>
      </c>
      <c r="BG802" s="3" t="s">
        <v>8110</v>
      </c>
    </row>
    <row r="803" spans="1:59" ht="58" x14ac:dyDescent="0.35">
      <c r="A803" s="2" t="s">
        <v>89</v>
      </c>
      <c r="B803" s="2" t="s">
        <v>90</v>
      </c>
      <c r="C803" s="2" t="s">
        <v>8102</v>
      </c>
      <c r="D803" s="2" t="s">
        <v>8103</v>
      </c>
      <c r="E803" s="2" t="s">
        <v>1635</v>
      </c>
      <c r="G803" s="3" t="s">
        <v>62</v>
      </c>
      <c r="I803" s="3" t="s">
        <v>61</v>
      </c>
      <c r="J803" s="3" t="s">
        <v>61</v>
      </c>
      <c r="K803" s="3" t="s">
        <v>63</v>
      </c>
      <c r="L803" s="2" t="s">
        <v>1618</v>
      </c>
      <c r="M803" s="2" t="s">
        <v>8104</v>
      </c>
      <c r="N803" s="3" t="s">
        <v>2000</v>
      </c>
      <c r="O803" s="2" t="s">
        <v>2458</v>
      </c>
      <c r="P803" s="3" t="s">
        <v>64</v>
      </c>
      <c r="Q803" s="2" t="s">
        <v>8105</v>
      </c>
      <c r="R803" s="3" t="s">
        <v>65</v>
      </c>
      <c r="S803" s="4">
        <v>33</v>
      </c>
      <c r="T803" s="4">
        <v>104</v>
      </c>
      <c r="U803" s="5" t="s">
        <v>8111</v>
      </c>
      <c r="V803" s="5" t="s">
        <v>84</v>
      </c>
      <c r="W803" s="5" t="s">
        <v>67</v>
      </c>
      <c r="X803" s="5" t="s">
        <v>67</v>
      </c>
      <c r="Y803" s="4">
        <v>1572</v>
      </c>
      <c r="Z803" s="4">
        <v>76</v>
      </c>
      <c r="AA803" s="4">
        <v>166</v>
      </c>
      <c r="AB803" s="4">
        <v>3</v>
      </c>
      <c r="AC803" s="4">
        <v>18</v>
      </c>
      <c r="AD803" s="4">
        <v>136</v>
      </c>
      <c r="AE803" s="4">
        <v>180</v>
      </c>
      <c r="AF803" s="4">
        <v>1</v>
      </c>
      <c r="AG803" s="4">
        <v>8</v>
      </c>
      <c r="AH803" s="4">
        <v>108</v>
      </c>
      <c r="AI803" s="4">
        <v>120</v>
      </c>
      <c r="AJ803" s="4">
        <v>22</v>
      </c>
      <c r="AK803" s="4">
        <v>31</v>
      </c>
      <c r="AL803" s="4">
        <v>58</v>
      </c>
      <c r="AM803" s="4">
        <v>67</v>
      </c>
      <c r="AN803" s="4">
        <v>0</v>
      </c>
      <c r="AO803" s="4">
        <v>0</v>
      </c>
      <c r="AP803" s="4">
        <v>35</v>
      </c>
      <c r="AQ803" s="4">
        <v>60</v>
      </c>
      <c r="AR803" s="3" t="s">
        <v>62</v>
      </c>
      <c r="AS803" s="3" t="s">
        <v>62</v>
      </c>
      <c r="AT803" s="3" t="s">
        <v>61</v>
      </c>
      <c r="AU803" s="6" t="str">
        <f>HYPERLINK("http://catalog.hathitrust.org/Record/003112209","HathiTrust Record")</f>
        <v>HathiTrust Record</v>
      </c>
      <c r="AV803" s="6" t="str">
        <f>HYPERLINK("http://mcgill.on.worldcat.org/oclc/34548541","Catalog Record")</f>
        <v>Catalog Record</v>
      </c>
      <c r="AW803" s="6" t="str">
        <f>HYPERLINK("http://www.worldcat.org/oclc/34548541","WorldCat Record")</f>
        <v>WorldCat Record</v>
      </c>
      <c r="AX803" s="3" t="s">
        <v>1622</v>
      </c>
      <c r="AY803" s="3" t="s">
        <v>8106</v>
      </c>
      <c r="AZ803" s="3" t="s">
        <v>8107</v>
      </c>
      <c r="BA803" s="3" t="s">
        <v>8107</v>
      </c>
      <c r="BB803" s="3" t="s">
        <v>8112</v>
      </c>
      <c r="BC803" s="3" t="s">
        <v>102</v>
      </c>
      <c r="BD803" s="3" t="s">
        <v>231</v>
      </c>
      <c r="BE803" s="3" t="s">
        <v>8109</v>
      </c>
      <c r="BF803" s="3" t="s">
        <v>8112</v>
      </c>
      <c r="BG803" s="3" t="s">
        <v>8113</v>
      </c>
    </row>
    <row r="804" spans="1:59" ht="58" x14ac:dyDescent="0.35">
      <c r="A804" s="2" t="s">
        <v>89</v>
      </c>
      <c r="B804" s="2" t="s">
        <v>90</v>
      </c>
      <c r="C804" s="2" t="s">
        <v>8102</v>
      </c>
      <c r="D804" s="2" t="s">
        <v>8103</v>
      </c>
      <c r="E804" s="2" t="s">
        <v>1635</v>
      </c>
      <c r="G804" s="3" t="s">
        <v>62</v>
      </c>
      <c r="I804" s="3" t="s">
        <v>61</v>
      </c>
      <c r="J804" s="3" t="s">
        <v>61</v>
      </c>
      <c r="K804" s="3" t="s">
        <v>63</v>
      </c>
      <c r="L804" s="2" t="s">
        <v>1618</v>
      </c>
      <c r="M804" s="2" t="s">
        <v>8104</v>
      </c>
      <c r="N804" s="3" t="s">
        <v>2000</v>
      </c>
      <c r="O804" s="2" t="s">
        <v>2458</v>
      </c>
      <c r="P804" s="3" t="s">
        <v>64</v>
      </c>
      <c r="Q804" s="2" t="s">
        <v>8105</v>
      </c>
      <c r="R804" s="3" t="s">
        <v>65</v>
      </c>
      <c r="S804" s="4">
        <v>50</v>
      </c>
      <c r="T804" s="4">
        <v>104</v>
      </c>
      <c r="U804" s="5" t="s">
        <v>1170</v>
      </c>
      <c r="V804" s="5" t="s">
        <v>84</v>
      </c>
      <c r="W804" s="5" t="s">
        <v>67</v>
      </c>
      <c r="X804" s="5" t="s">
        <v>67</v>
      </c>
      <c r="Y804" s="4">
        <v>1572</v>
      </c>
      <c r="Z804" s="4">
        <v>76</v>
      </c>
      <c r="AA804" s="4">
        <v>166</v>
      </c>
      <c r="AB804" s="4">
        <v>3</v>
      </c>
      <c r="AC804" s="4">
        <v>18</v>
      </c>
      <c r="AD804" s="4">
        <v>136</v>
      </c>
      <c r="AE804" s="4">
        <v>180</v>
      </c>
      <c r="AF804" s="4">
        <v>1</v>
      </c>
      <c r="AG804" s="4">
        <v>8</v>
      </c>
      <c r="AH804" s="4">
        <v>108</v>
      </c>
      <c r="AI804" s="4">
        <v>120</v>
      </c>
      <c r="AJ804" s="4">
        <v>22</v>
      </c>
      <c r="AK804" s="4">
        <v>31</v>
      </c>
      <c r="AL804" s="4">
        <v>58</v>
      </c>
      <c r="AM804" s="4">
        <v>67</v>
      </c>
      <c r="AN804" s="4">
        <v>0</v>
      </c>
      <c r="AO804" s="4">
        <v>0</v>
      </c>
      <c r="AP804" s="4">
        <v>35</v>
      </c>
      <c r="AQ804" s="4">
        <v>60</v>
      </c>
      <c r="AR804" s="3" t="s">
        <v>62</v>
      </c>
      <c r="AS804" s="3" t="s">
        <v>62</v>
      </c>
      <c r="AT804" s="3" t="s">
        <v>61</v>
      </c>
      <c r="AU804" s="6" t="str">
        <f>HYPERLINK("http://catalog.hathitrust.org/Record/003112209","HathiTrust Record")</f>
        <v>HathiTrust Record</v>
      </c>
      <c r="AV804" s="6" t="str">
        <f>HYPERLINK("http://mcgill.on.worldcat.org/oclc/34548541","Catalog Record")</f>
        <v>Catalog Record</v>
      </c>
      <c r="AW804" s="6" t="str">
        <f>HYPERLINK("http://www.worldcat.org/oclc/34548541","WorldCat Record")</f>
        <v>WorldCat Record</v>
      </c>
      <c r="AX804" s="3" t="s">
        <v>1622</v>
      </c>
      <c r="AY804" s="3" t="s">
        <v>8106</v>
      </c>
      <c r="AZ804" s="3" t="s">
        <v>8107</v>
      </c>
      <c r="BA804" s="3" t="s">
        <v>8107</v>
      </c>
      <c r="BB804" s="3" t="s">
        <v>8114</v>
      </c>
      <c r="BC804" s="3" t="s">
        <v>102</v>
      </c>
      <c r="BD804" s="3" t="s">
        <v>231</v>
      </c>
      <c r="BE804" s="3" t="s">
        <v>8109</v>
      </c>
      <c r="BF804" s="3" t="s">
        <v>8114</v>
      </c>
      <c r="BG804" s="3" t="s">
        <v>8115</v>
      </c>
    </row>
    <row r="805" spans="1:59" ht="58" x14ac:dyDescent="0.35">
      <c r="A805" s="2" t="s">
        <v>89</v>
      </c>
      <c r="B805" s="2" t="s">
        <v>90</v>
      </c>
      <c r="C805" s="2" t="s">
        <v>8116</v>
      </c>
      <c r="D805" s="2" t="s">
        <v>8117</v>
      </c>
      <c r="E805" s="2" t="s">
        <v>8118</v>
      </c>
      <c r="G805" s="3" t="s">
        <v>62</v>
      </c>
      <c r="I805" s="3" t="s">
        <v>61</v>
      </c>
      <c r="J805" s="3" t="s">
        <v>61</v>
      </c>
      <c r="K805" s="3" t="s">
        <v>63</v>
      </c>
      <c r="L805" s="2" t="s">
        <v>1637</v>
      </c>
      <c r="M805" s="2" t="s">
        <v>8119</v>
      </c>
      <c r="N805" s="3" t="s">
        <v>698</v>
      </c>
      <c r="O805" s="2" t="s">
        <v>7791</v>
      </c>
      <c r="P805" s="3" t="s">
        <v>64</v>
      </c>
      <c r="R805" s="3" t="s">
        <v>65</v>
      </c>
      <c r="S805" s="4">
        <v>44</v>
      </c>
      <c r="T805" s="4">
        <v>46</v>
      </c>
      <c r="U805" s="5" t="s">
        <v>4468</v>
      </c>
      <c r="V805" s="5" t="s">
        <v>4468</v>
      </c>
      <c r="W805" s="5" t="s">
        <v>67</v>
      </c>
      <c r="X805" s="5" t="s">
        <v>67</v>
      </c>
      <c r="Y805" s="4">
        <v>750</v>
      </c>
      <c r="Z805" s="4">
        <v>29</v>
      </c>
      <c r="AA805" s="4">
        <v>166</v>
      </c>
      <c r="AB805" s="4">
        <v>2</v>
      </c>
      <c r="AC805" s="4">
        <v>18</v>
      </c>
      <c r="AD805" s="4">
        <v>93</v>
      </c>
      <c r="AE805" s="4">
        <v>180</v>
      </c>
      <c r="AF805" s="4">
        <v>1</v>
      </c>
      <c r="AG805" s="4">
        <v>8</v>
      </c>
      <c r="AH805" s="4">
        <v>78</v>
      </c>
      <c r="AI805" s="4">
        <v>120</v>
      </c>
      <c r="AJ805" s="4">
        <v>12</v>
      </c>
      <c r="AK805" s="4">
        <v>31</v>
      </c>
      <c r="AL805" s="4">
        <v>48</v>
      </c>
      <c r="AM805" s="4">
        <v>67</v>
      </c>
      <c r="AN805" s="4">
        <v>0</v>
      </c>
      <c r="AO805" s="4">
        <v>0</v>
      </c>
      <c r="AP805" s="4">
        <v>17</v>
      </c>
      <c r="AQ805" s="4">
        <v>60</v>
      </c>
      <c r="AR805" s="3" t="s">
        <v>62</v>
      </c>
      <c r="AS805" s="3" t="s">
        <v>62</v>
      </c>
      <c r="AT805" s="3" t="s">
        <v>62</v>
      </c>
      <c r="AV805" s="6" t="str">
        <f>HYPERLINK("http://mcgill.on.worldcat.org/oclc/756577696","Catalog Record")</f>
        <v>Catalog Record</v>
      </c>
      <c r="AW805" s="6" t="str">
        <f>HYPERLINK("http://www.worldcat.org/oclc/756577696","WorldCat Record")</f>
        <v>WorldCat Record</v>
      </c>
      <c r="AX805" s="3" t="s">
        <v>1622</v>
      </c>
      <c r="AY805" s="3" t="s">
        <v>8120</v>
      </c>
      <c r="AZ805" s="3" t="s">
        <v>8121</v>
      </c>
      <c r="BA805" s="3" t="s">
        <v>8121</v>
      </c>
      <c r="BB805" s="3" t="s">
        <v>8122</v>
      </c>
      <c r="BC805" s="3" t="s">
        <v>102</v>
      </c>
      <c r="BD805" s="3" t="s">
        <v>7808</v>
      </c>
      <c r="BE805" s="3" t="s">
        <v>8123</v>
      </c>
      <c r="BF805" s="3" t="s">
        <v>8122</v>
      </c>
      <c r="BG805" s="3" t="s">
        <v>8124</v>
      </c>
    </row>
    <row r="806" spans="1:59" ht="58" x14ac:dyDescent="0.35">
      <c r="A806" s="2" t="s">
        <v>89</v>
      </c>
      <c r="B806" s="2" t="s">
        <v>90</v>
      </c>
      <c r="C806" s="2" t="s">
        <v>8125</v>
      </c>
      <c r="D806" s="2" t="s">
        <v>8126</v>
      </c>
      <c r="E806" s="2" t="s">
        <v>8127</v>
      </c>
      <c r="G806" s="3" t="s">
        <v>62</v>
      </c>
      <c r="I806" s="3" t="s">
        <v>62</v>
      </c>
      <c r="J806" s="3" t="s">
        <v>62</v>
      </c>
      <c r="K806" s="3" t="s">
        <v>63</v>
      </c>
      <c r="L806" s="2" t="s">
        <v>8128</v>
      </c>
      <c r="M806" s="2" t="s">
        <v>8129</v>
      </c>
      <c r="N806" s="3" t="s">
        <v>1722</v>
      </c>
      <c r="P806" s="3" t="s">
        <v>64</v>
      </c>
      <c r="Q806" s="2" t="s">
        <v>8130</v>
      </c>
      <c r="R806" s="3" t="s">
        <v>65</v>
      </c>
      <c r="S806" s="4">
        <v>15</v>
      </c>
      <c r="T806" s="4">
        <v>15</v>
      </c>
      <c r="U806" s="5" t="s">
        <v>8131</v>
      </c>
      <c r="V806" s="5" t="s">
        <v>8131</v>
      </c>
      <c r="W806" s="5" t="s">
        <v>67</v>
      </c>
      <c r="X806" s="5" t="s">
        <v>67</v>
      </c>
      <c r="Y806" s="4">
        <v>172</v>
      </c>
      <c r="Z806" s="4">
        <v>17</v>
      </c>
      <c r="AA806" s="4">
        <v>21</v>
      </c>
      <c r="AB806" s="4">
        <v>3</v>
      </c>
      <c r="AC806" s="4">
        <v>6</v>
      </c>
      <c r="AD806" s="4">
        <v>33</v>
      </c>
      <c r="AE806" s="4">
        <v>35</v>
      </c>
      <c r="AF806" s="4">
        <v>1</v>
      </c>
      <c r="AG806" s="4">
        <v>2</v>
      </c>
      <c r="AH806" s="4">
        <v>28</v>
      </c>
      <c r="AI806" s="4">
        <v>28</v>
      </c>
      <c r="AJ806" s="4">
        <v>7</v>
      </c>
      <c r="AK806" s="4">
        <v>8</v>
      </c>
      <c r="AL806" s="4">
        <v>17</v>
      </c>
      <c r="AM806" s="4">
        <v>17</v>
      </c>
      <c r="AN806" s="4">
        <v>0</v>
      </c>
      <c r="AO806" s="4">
        <v>0</v>
      </c>
      <c r="AP806" s="4">
        <v>9</v>
      </c>
      <c r="AQ806" s="4">
        <v>11</v>
      </c>
      <c r="AR806" s="3" t="s">
        <v>62</v>
      </c>
      <c r="AS806" s="3" t="s">
        <v>62</v>
      </c>
      <c r="AT806" s="3" t="s">
        <v>62</v>
      </c>
      <c r="AV806" s="6" t="str">
        <f>HYPERLINK("http://mcgill.on.worldcat.org/oclc/180851984","Catalog Record")</f>
        <v>Catalog Record</v>
      </c>
      <c r="AW806" s="6" t="str">
        <f>HYPERLINK("http://www.worldcat.org/oclc/180851984","WorldCat Record")</f>
        <v>WorldCat Record</v>
      </c>
      <c r="AX806" s="3" t="s">
        <v>8132</v>
      </c>
      <c r="AY806" s="3" t="s">
        <v>8133</v>
      </c>
      <c r="AZ806" s="3" t="s">
        <v>8134</v>
      </c>
      <c r="BA806" s="3" t="s">
        <v>8134</v>
      </c>
      <c r="BB806" s="3" t="s">
        <v>8135</v>
      </c>
      <c r="BC806" s="3" t="s">
        <v>102</v>
      </c>
      <c r="BD806" s="3" t="s">
        <v>68</v>
      </c>
      <c r="BE806" s="3" t="s">
        <v>8136</v>
      </c>
      <c r="BF806" s="3" t="s">
        <v>8135</v>
      </c>
      <c r="BG806" s="3" t="s">
        <v>8137</v>
      </c>
    </row>
    <row r="807" spans="1:59" ht="58" x14ac:dyDescent="0.35">
      <c r="A807" s="2" t="s">
        <v>89</v>
      </c>
      <c r="B807" s="2" t="s">
        <v>90</v>
      </c>
      <c r="C807" s="2" t="s">
        <v>8138</v>
      </c>
      <c r="D807" s="2" t="s">
        <v>8139</v>
      </c>
      <c r="E807" s="2" t="s">
        <v>8140</v>
      </c>
      <c r="G807" s="3" t="s">
        <v>62</v>
      </c>
      <c r="I807" s="3" t="s">
        <v>61</v>
      </c>
      <c r="J807" s="3" t="s">
        <v>62</v>
      </c>
      <c r="K807" s="3" t="s">
        <v>63</v>
      </c>
      <c r="L807" s="2" t="s">
        <v>1618</v>
      </c>
      <c r="M807" s="2" t="s">
        <v>8141</v>
      </c>
      <c r="N807" s="3" t="s">
        <v>2588</v>
      </c>
      <c r="P807" s="3" t="s">
        <v>64</v>
      </c>
      <c r="R807" s="3" t="s">
        <v>65</v>
      </c>
      <c r="S807" s="4">
        <v>14</v>
      </c>
      <c r="T807" s="4">
        <v>62</v>
      </c>
      <c r="U807" s="5" t="s">
        <v>2872</v>
      </c>
      <c r="V807" s="5" t="s">
        <v>2872</v>
      </c>
      <c r="W807" s="5" t="s">
        <v>67</v>
      </c>
      <c r="X807" s="5" t="s">
        <v>67</v>
      </c>
      <c r="Y807" s="4">
        <v>1246</v>
      </c>
      <c r="Z807" s="4">
        <v>65</v>
      </c>
      <c r="AA807" s="4">
        <v>117</v>
      </c>
      <c r="AB807" s="4">
        <v>4</v>
      </c>
      <c r="AC807" s="4">
        <v>17</v>
      </c>
      <c r="AD807" s="4">
        <v>146</v>
      </c>
      <c r="AE807" s="4">
        <v>166</v>
      </c>
      <c r="AF807" s="4">
        <v>2</v>
      </c>
      <c r="AG807" s="4">
        <v>9</v>
      </c>
      <c r="AH807" s="4">
        <v>110</v>
      </c>
      <c r="AI807" s="4">
        <v>116</v>
      </c>
      <c r="AJ807" s="4">
        <v>21</v>
      </c>
      <c r="AK807" s="4">
        <v>28</v>
      </c>
      <c r="AL807" s="4">
        <v>58</v>
      </c>
      <c r="AM807" s="4">
        <v>61</v>
      </c>
      <c r="AN807" s="4">
        <v>0</v>
      </c>
      <c r="AO807" s="4">
        <v>0</v>
      </c>
      <c r="AP807" s="4">
        <v>42</v>
      </c>
      <c r="AQ807" s="4">
        <v>58</v>
      </c>
      <c r="AR807" s="3" t="s">
        <v>62</v>
      </c>
      <c r="AS807" s="3" t="s">
        <v>62</v>
      </c>
      <c r="AT807" s="3" t="s">
        <v>62</v>
      </c>
      <c r="AV807" s="6" t="str">
        <f>HYPERLINK("http://mcgill.on.worldcat.org/oclc/3034084","Catalog Record")</f>
        <v>Catalog Record</v>
      </c>
      <c r="AW807" s="6" t="str">
        <f>HYPERLINK("http://www.worldcat.org/oclc/3034084","WorldCat Record")</f>
        <v>WorldCat Record</v>
      </c>
      <c r="AX807" s="3" t="s">
        <v>8142</v>
      </c>
      <c r="AY807" s="3" t="s">
        <v>8143</v>
      </c>
      <c r="AZ807" s="3" t="s">
        <v>8144</v>
      </c>
      <c r="BA807" s="3" t="s">
        <v>8144</v>
      </c>
      <c r="BB807" s="3" t="s">
        <v>8145</v>
      </c>
      <c r="BC807" s="3" t="s">
        <v>102</v>
      </c>
      <c r="BD807" s="3" t="s">
        <v>231</v>
      </c>
      <c r="BE807" s="3" t="s">
        <v>8146</v>
      </c>
      <c r="BF807" s="3" t="s">
        <v>8145</v>
      </c>
      <c r="BG807" s="3" t="s">
        <v>8147</v>
      </c>
    </row>
    <row r="808" spans="1:59" ht="58" x14ac:dyDescent="0.35">
      <c r="A808" s="2" t="s">
        <v>89</v>
      </c>
      <c r="B808" s="2" t="s">
        <v>90</v>
      </c>
      <c r="C808" s="2" t="s">
        <v>8148</v>
      </c>
      <c r="D808" s="2" t="s">
        <v>8149</v>
      </c>
      <c r="E808" s="2" t="s">
        <v>8150</v>
      </c>
      <c r="G808" s="3" t="s">
        <v>62</v>
      </c>
      <c r="I808" s="3" t="s">
        <v>62</v>
      </c>
      <c r="J808" s="3" t="s">
        <v>62</v>
      </c>
      <c r="K808" s="3" t="s">
        <v>63</v>
      </c>
      <c r="L808" s="2" t="s">
        <v>1618</v>
      </c>
      <c r="M808" s="2" t="s">
        <v>8151</v>
      </c>
      <c r="N808" s="3" t="s">
        <v>466</v>
      </c>
      <c r="P808" s="3" t="s">
        <v>64</v>
      </c>
      <c r="Q808" s="2" t="s">
        <v>8152</v>
      </c>
      <c r="R808" s="3" t="s">
        <v>65</v>
      </c>
      <c r="S808" s="4">
        <v>28</v>
      </c>
      <c r="T808" s="4">
        <v>28</v>
      </c>
      <c r="U808" s="5" t="s">
        <v>8153</v>
      </c>
      <c r="V808" s="5" t="s">
        <v>8153</v>
      </c>
      <c r="W808" s="5" t="s">
        <v>67</v>
      </c>
      <c r="X808" s="5" t="s">
        <v>67</v>
      </c>
      <c r="Y808" s="4">
        <v>65</v>
      </c>
      <c r="Z808" s="4">
        <v>12</v>
      </c>
      <c r="AA808" s="4">
        <v>12</v>
      </c>
      <c r="AB808" s="4">
        <v>2</v>
      </c>
      <c r="AC808" s="4">
        <v>2</v>
      </c>
      <c r="AD808" s="4">
        <v>56</v>
      </c>
      <c r="AE808" s="4">
        <v>56</v>
      </c>
      <c r="AF808" s="4">
        <v>1</v>
      </c>
      <c r="AG808" s="4">
        <v>1</v>
      </c>
      <c r="AH808" s="4">
        <v>51</v>
      </c>
      <c r="AI808" s="4">
        <v>51</v>
      </c>
      <c r="AJ808" s="4">
        <v>9</v>
      </c>
      <c r="AK808" s="4">
        <v>9</v>
      </c>
      <c r="AL808" s="4">
        <v>29</v>
      </c>
      <c r="AM808" s="4">
        <v>29</v>
      </c>
      <c r="AN808" s="4">
        <v>0</v>
      </c>
      <c r="AO808" s="4">
        <v>0</v>
      </c>
      <c r="AP808" s="4">
        <v>9</v>
      </c>
      <c r="AQ808" s="4">
        <v>9</v>
      </c>
      <c r="AR808" s="3" t="s">
        <v>62</v>
      </c>
      <c r="AS808" s="3" t="s">
        <v>62</v>
      </c>
      <c r="AT808" s="3" t="s">
        <v>61</v>
      </c>
      <c r="AU808" s="6" t="str">
        <f>HYPERLINK("http://catalog.hathitrust.org/Record/002579915","HathiTrust Record")</f>
        <v>HathiTrust Record</v>
      </c>
      <c r="AV808" s="6" t="str">
        <f>HYPERLINK("http://mcgill.on.worldcat.org/oclc/26127990","Catalog Record")</f>
        <v>Catalog Record</v>
      </c>
      <c r="AW808" s="6" t="str">
        <f>HYPERLINK("http://www.worldcat.org/oclc/26127990","WorldCat Record")</f>
        <v>WorldCat Record</v>
      </c>
      <c r="AX808" s="3" t="s">
        <v>8154</v>
      </c>
      <c r="AY808" s="3" t="s">
        <v>8155</v>
      </c>
      <c r="AZ808" s="3" t="s">
        <v>8156</v>
      </c>
      <c r="BA808" s="3" t="s">
        <v>8156</v>
      </c>
      <c r="BB808" s="3" t="s">
        <v>8157</v>
      </c>
      <c r="BC808" s="3" t="s">
        <v>102</v>
      </c>
      <c r="BD808" s="3" t="s">
        <v>68</v>
      </c>
      <c r="BF808" s="3" t="s">
        <v>8157</v>
      </c>
      <c r="BG808" s="3" t="s">
        <v>8158</v>
      </c>
    </row>
    <row r="809" spans="1:59" ht="72.5" x14ac:dyDescent="0.35">
      <c r="A809" s="2" t="s">
        <v>89</v>
      </c>
      <c r="B809" s="2" t="s">
        <v>90</v>
      </c>
      <c r="C809" s="2" t="s">
        <v>8159</v>
      </c>
      <c r="D809" s="2" t="s">
        <v>8160</v>
      </c>
      <c r="E809" s="2" t="s">
        <v>8161</v>
      </c>
      <c r="F809" s="3" t="s">
        <v>8162</v>
      </c>
      <c r="G809" s="3" t="s">
        <v>62</v>
      </c>
      <c r="I809" s="3" t="s">
        <v>62</v>
      </c>
      <c r="J809" s="3" t="s">
        <v>62</v>
      </c>
      <c r="K809" s="3" t="s">
        <v>63</v>
      </c>
      <c r="L809" s="2" t="s">
        <v>8163</v>
      </c>
      <c r="M809" s="2" t="s">
        <v>2997</v>
      </c>
      <c r="N809" s="3" t="s">
        <v>2110</v>
      </c>
      <c r="P809" s="3" t="s">
        <v>64</v>
      </c>
      <c r="Q809" s="2" t="s">
        <v>8164</v>
      </c>
      <c r="R809" s="3" t="s">
        <v>65</v>
      </c>
      <c r="S809" s="4">
        <v>18</v>
      </c>
      <c r="T809" s="4">
        <v>18</v>
      </c>
      <c r="U809" s="5" t="s">
        <v>8165</v>
      </c>
      <c r="V809" s="5" t="s">
        <v>8165</v>
      </c>
      <c r="W809" s="5" t="s">
        <v>67</v>
      </c>
      <c r="X809" s="5" t="s">
        <v>67</v>
      </c>
      <c r="Y809" s="4">
        <v>445</v>
      </c>
      <c r="Z809" s="4">
        <v>43</v>
      </c>
      <c r="AA809" s="4">
        <v>51</v>
      </c>
      <c r="AB809" s="4">
        <v>2</v>
      </c>
      <c r="AC809" s="4">
        <v>7</v>
      </c>
      <c r="AD809" s="4">
        <v>109</v>
      </c>
      <c r="AE809" s="4">
        <v>118</v>
      </c>
      <c r="AF809" s="4">
        <v>1</v>
      </c>
      <c r="AG809" s="4">
        <v>5</v>
      </c>
      <c r="AH809" s="4">
        <v>84</v>
      </c>
      <c r="AI809" s="4">
        <v>86</v>
      </c>
      <c r="AJ809" s="4">
        <v>20</v>
      </c>
      <c r="AK809" s="4">
        <v>23</v>
      </c>
      <c r="AL809" s="4">
        <v>43</v>
      </c>
      <c r="AM809" s="4">
        <v>44</v>
      </c>
      <c r="AN809" s="4">
        <v>0</v>
      </c>
      <c r="AO809" s="4">
        <v>0</v>
      </c>
      <c r="AP809" s="4">
        <v>33</v>
      </c>
      <c r="AQ809" s="4">
        <v>39</v>
      </c>
      <c r="AR809" s="3" t="s">
        <v>62</v>
      </c>
      <c r="AS809" s="3" t="s">
        <v>62</v>
      </c>
      <c r="AT809" s="3" t="s">
        <v>62</v>
      </c>
      <c r="AV809" s="6" t="str">
        <f>HYPERLINK("http://mcgill.on.worldcat.org/oclc/3327706","Catalog Record")</f>
        <v>Catalog Record</v>
      </c>
      <c r="AW809" s="6" t="str">
        <f>HYPERLINK("http://www.worldcat.org/oclc/3327706","WorldCat Record")</f>
        <v>WorldCat Record</v>
      </c>
      <c r="AX809" s="3" t="s">
        <v>8166</v>
      </c>
      <c r="AY809" s="3" t="s">
        <v>8167</v>
      </c>
      <c r="AZ809" s="3" t="s">
        <v>8168</v>
      </c>
      <c r="BA809" s="3" t="s">
        <v>8168</v>
      </c>
      <c r="BB809" s="3" t="s">
        <v>8169</v>
      </c>
      <c r="BC809" s="3" t="s">
        <v>102</v>
      </c>
      <c r="BD809" s="3" t="s">
        <v>231</v>
      </c>
      <c r="BE809" s="3" t="s">
        <v>8170</v>
      </c>
      <c r="BF809" s="3" t="s">
        <v>8169</v>
      </c>
      <c r="BG809" s="3" t="s">
        <v>8171</v>
      </c>
    </row>
    <row r="810" spans="1:59" ht="58" x14ac:dyDescent="0.35">
      <c r="A810" s="2" t="s">
        <v>89</v>
      </c>
      <c r="B810" s="2" t="s">
        <v>90</v>
      </c>
      <c r="C810" s="2" t="s">
        <v>8172</v>
      </c>
      <c r="D810" s="2" t="s">
        <v>8173</v>
      </c>
      <c r="E810" s="2" t="s">
        <v>8174</v>
      </c>
      <c r="G810" s="3" t="s">
        <v>62</v>
      </c>
      <c r="I810" s="3" t="s">
        <v>62</v>
      </c>
      <c r="J810" s="3" t="s">
        <v>62</v>
      </c>
      <c r="K810" s="3" t="s">
        <v>63</v>
      </c>
      <c r="L810" s="2" t="s">
        <v>8175</v>
      </c>
      <c r="M810" s="2" t="s">
        <v>8176</v>
      </c>
      <c r="N810" s="3" t="s">
        <v>438</v>
      </c>
      <c r="P810" s="3" t="s">
        <v>64</v>
      </c>
      <c r="Q810" s="2" t="s">
        <v>3500</v>
      </c>
      <c r="R810" s="3" t="s">
        <v>65</v>
      </c>
      <c r="S810" s="4">
        <v>30</v>
      </c>
      <c r="T810" s="4">
        <v>30</v>
      </c>
      <c r="U810" s="5" t="s">
        <v>8165</v>
      </c>
      <c r="V810" s="5" t="s">
        <v>8165</v>
      </c>
      <c r="W810" s="5" t="s">
        <v>67</v>
      </c>
      <c r="X810" s="5" t="s">
        <v>67</v>
      </c>
      <c r="Y810" s="4">
        <v>560</v>
      </c>
      <c r="Z810" s="4">
        <v>35</v>
      </c>
      <c r="AA810" s="4">
        <v>90</v>
      </c>
      <c r="AB810" s="4">
        <v>1</v>
      </c>
      <c r="AC810" s="4">
        <v>14</v>
      </c>
      <c r="AD810" s="4">
        <v>116</v>
      </c>
      <c r="AE810" s="4">
        <v>144</v>
      </c>
      <c r="AF810" s="4">
        <v>0</v>
      </c>
      <c r="AG810" s="4">
        <v>8</v>
      </c>
      <c r="AH810" s="4">
        <v>96</v>
      </c>
      <c r="AI810" s="4">
        <v>104</v>
      </c>
      <c r="AJ810" s="4">
        <v>13</v>
      </c>
      <c r="AK810" s="4">
        <v>24</v>
      </c>
      <c r="AL810" s="4">
        <v>54</v>
      </c>
      <c r="AM810" s="4">
        <v>56</v>
      </c>
      <c r="AN810" s="4">
        <v>0</v>
      </c>
      <c r="AO810" s="4">
        <v>0</v>
      </c>
      <c r="AP810" s="4">
        <v>26</v>
      </c>
      <c r="AQ810" s="4">
        <v>47</v>
      </c>
      <c r="AR810" s="3" t="s">
        <v>62</v>
      </c>
      <c r="AS810" s="3" t="s">
        <v>62</v>
      </c>
      <c r="AT810" s="3" t="s">
        <v>62</v>
      </c>
      <c r="AV810" s="6" t="str">
        <f>HYPERLINK("http://mcgill.on.worldcat.org/oclc/21151549","Catalog Record")</f>
        <v>Catalog Record</v>
      </c>
      <c r="AW810" s="6" t="str">
        <f>HYPERLINK("http://www.worldcat.org/oclc/21151549","WorldCat Record")</f>
        <v>WorldCat Record</v>
      </c>
      <c r="AX810" s="3" t="s">
        <v>8177</v>
      </c>
      <c r="AY810" s="3" t="s">
        <v>8178</v>
      </c>
      <c r="AZ810" s="3" t="s">
        <v>8179</v>
      </c>
      <c r="BA810" s="3" t="s">
        <v>8179</v>
      </c>
      <c r="BB810" s="3" t="s">
        <v>8180</v>
      </c>
      <c r="BC810" s="3" t="s">
        <v>102</v>
      </c>
      <c r="BD810" s="3" t="s">
        <v>231</v>
      </c>
      <c r="BE810" s="3" t="s">
        <v>8181</v>
      </c>
      <c r="BF810" s="3" t="s">
        <v>8180</v>
      </c>
      <c r="BG810" s="3" t="s">
        <v>8182</v>
      </c>
    </row>
    <row r="811" spans="1:59" ht="58" x14ac:dyDescent="0.35">
      <c r="A811" s="2" t="s">
        <v>89</v>
      </c>
      <c r="B811" s="2" t="s">
        <v>90</v>
      </c>
      <c r="C811" s="2" t="s">
        <v>8183</v>
      </c>
      <c r="D811" s="2" t="s">
        <v>8184</v>
      </c>
      <c r="E811" s="2" t="s">
        <v>8185</v>
      </c>
      <c r="G811" s="3" t="s">
        <v>62</v>
      </c>
      <c r="I811" s="3" t="s">
        <v>62</v>
      </c>
      <c r="J811" s="3" t="s">
        <v>62</v>
      </c>
      <c r="K811" s="3" t="s">
        <v>63</v>
      </c>
      <c r="M811" s="2" t="s">
        <v>8186</v>
      </c>
      <c r="N811" s="3" t="s">
        <v>1038</v>
      </c>
      <c r="P811" s="3" t="s">
        <v>64</v>
      </c>
      <c r="Q811" s="2" t="s">
        <v>8187</v>
      </c>
      <c r="R811" s="3" t="s">
        <v>65</v>
      </c>
      <c r="S811" s="4">
        <v>0</v>
      </c>
      <c r="T811" s="4">
        <v>0</v>
      </c>
      <c r="W811" s="5" t="s">
        <v>67</v>
      </c>
      <c r="X811" s="5" t="s">
        <v>67</v>
      </c>
      <c r="Y811" s="4">
        <v>31</v>
      </c>
      <c r="Z811" s="4">
        <v>5</v>
      </c>
      <c r="AA811" s="4">
        <v>69</v>
      </c>
      <c r="AB811" s="4">
        <v>1</v>
      </c>
      <c r="AC811" s="4">
        <v>14</v>
      </c>
      <c r="AD811" s="4">
        <v>15</v>
      </c>
      <c r="AE811" s="4">
        <v>85</v>
      </c>
      <c r="AF811" s="4">
        <v>0</v>
      </c>
      <c r="AG811" s="4">
        <v>8</v>
      </c>
      <c r="AH811" s="4">
        <v>14</v>
      </c>
      <c r="AI811" s="4">
        <v>56</v>
      </c>
      <c r="AJ811" s="4">
        <v>3</v>
      </c>
      <c r="AK811" s="4">
        <v>17</v>
      </c>
      <c r="AL811" s="4">
        <v>11</v>
      </c>
      <c r="AM811" s="4">
        <v>30</v>
      </c>
      <c r="AN811" s="4">
        <v>0</v>
      </c>
      <c r="AO811" s="4">
        <v>0</v>
      </c>
      <c r="AP811" s="4">
        <v>3</v>
      </c>
      <c r="AQ811" s="4">
        <v>36</v>
      </c>
      <c r="AR811" s="3" t="s">
        <v>62</v>
      </c>
      <c r="AS811" s="3" t="s">
        <v>62</v>
      </c>
      <c r="AT811" s="3" t="s">
        <v>62</v>
      </c>
      <c r="AV811" s="6" t="str">
        <f>HYPERLINK("http://mcgill.on.worldcat.org/oclc/950430800","Catalog Record")</f>
        <v>Catalog Record</v>
      </c>
      <c r="AW811" s="6" t="str">
        <f>HYPERLINK("http://www.worldcat.org/oclc/950430800","WorldCat Record")</f>
        <v>WorldCat Record</v>
      </c>
      <c r="AX811" s="3" t="s">
        <v>8188</v>
      </c>
      <c r="AY811" s="3" t="s">
        <v>8189</v>
      </c>
      <c r="AZ811" s="3" t="s">
        <v>8190</v>
      </c>
      <c r="BA811" s="3" t="s">
        <v>8190</v>
      </c>
      <c r="BB811" s="3" t="s">
        <v>8191</v>
      </c>
      <c r="BC811" s="3" t="s">
        <v>102</v>
      </c>
      <c r="BD811" s="3" t="s">
        <v>68</v>
      </c>
      <c r="BE811" s="3" t="s">
        <v>8192</v>
      </c>
      <c r="BF811" s="3" t="s">
        <v>8191</v>
      </c>
      <c r="BG811" s="3" t="s">
        <v>8193</v>
      </c>
    </row>
    <row r="812" spans="1:59" ht="58" x14ac:dyDescent="0.35">
      <c r="A812" s="2" t="s">
        <v>89</v>
      </c>
      <c r="B812" s="2" t="s">
        <v>90</v>
      </c>
      <c r="C812" s="2" t="s">
        <v>8194</v>
      </c>
      <c r="D812" s="2" t="s">
        <v>8195</v>
      </c>
      <c r="E812" s="2" t="s">
        <v>8196</v>
      </c>
      <c r="G812" s="3" t="s">
        <v>62</v>
      </c>
      <c r="I812" s="3" t="s">
        <v>62</v>
      </c>
      <c r="J812" s="3" t="s">
        <v>61</v>
      </c>
      <c r="K812" s="3" t="s">
        <v>63</v>
      </c>
      <c r="L812" s="2" t="s">
        <v>8197</v>
      </c>
      <c r="M812" s="2" t="s">
        <v>8198</v>
      </c>
      <c r="N812" s="3" t="s">
        <v>1077</v>
      </c>
      <c r="P812" s="3" t="s">
        <v>64</v>
      </c>
      <c r="Q812" s="2" t="s">
        <v>7367</v>
      </c>
      <c r="R812" s="3" t="s">
        <v>65</v>
      </c>
      <c r="S812" s="4">
        <v>16</v>
      </c>
      <c r="T812" s="4">
        <v>16</v>
      </c>
      <c r="U812" s="5" t="s">
        <v>4712</v>
      </c>
      <c r="V812" s="5" t="s">
        <v>4712</v>
      </c>
      <c r="W812" s="5" t="s">
        <v>67</v>
      </c>
      <c r="X812" s="5" t="s">
        <v>67</v>
      </c>
      <c r="Y812" s="4">
        <v>60</v>
      </c>
      <c r="Z812" s="4">
        <v>6</v>
      </c>
      <c r="AA812" s="4">
        <v>43</v>
      </c>
      <c r="AB812" s="4">
        <v>2</v>
      </c>
      <c r="AC812" s="4">
        <v>8</v>
      </c>
      <c r="AD812" s="4">
        <v>8</v>
      </c>
      <c r="AE812" s="4">
        <v>122</v>
      </c>
      <c r="AF812" s="4">
        <v>1</v>
      </c>
      <c r="AG812" s="4">
        <v>4</v>
      </c>
      <c r="AH812" s="4">
        <v>4</v>
      </c>
      <c r="AI812" s="4">
        <v>99</v>
      </c>
      <c r="AJ812" s="4">
        <v>2</v>
      </c>
      <c r="AK812" s="4">
        <v>18</v>
      </c>
      <c r="AL812" s="4">
        <v>1</v>
      </c>
      <c r="AM812" s="4">
        <v>55</v>
      </c>
      <c r="AN812" s="4">
        <v>0</v>
      </c>
      <c r="AO812" s="4">
        <v>0</v>
      </c>
      <c r="AP812" s="4">
        <v>4</v>
      </c>
      <c r="AQ812" s="4">
        <v>28</v>
      </c>
      <c r="AR812" s="3" t="s">
        <v>62</v>
      </c>
      <c r="AS812" s="3" t="s">
        <v>62</v>
      </c>
      <c r="AT812" s="3" t="s">
        <v>62</v>
      </c>
      <c r="AV812" s="6" t="str">
        <f>HYPERLINK("http://mcgill.on.worldcat.org/oclc/29357130","Catalog Record")</f>
        <v>Catalog Record</v>
      </c>
      <c r="AW812" s="6" t="str">
        <f>HYPERLINK("http://www.worldcat.org/oclc/29357130","WorldCat Record")</f>
        <v>WorldCat Record</v>
      </c>
      <c r="AX812" s="3" t="s">
        <v>8199</v>
      </c>
      <c r="AY812" s="3" t="s">
        <v>8200</v>
      </c>
      <c r="AZ812" s="3" t="s">
        <v>8201</v>
      </c>
      <c r="BA812" s="3" t="s">
        <v>8201</v>
      </c>
      <c r="BB812" s="3" t="s">
        <v>8202</v>
      </c>
      <c r="BC812" s="3" t="s">
        <v>102</v>
      </c>
      <c r="BD812" s="3" t="s">
        <v>68</v>
      </c>
      <c r="BE812" s="3" t="s">
        <v>8203</v>
      </c>
      <c r="BF812" s="3" t="s">
        <v>8202</v>
      </c>
      <c r="BG812" s="3" t="s">
        <v>8204</v>
      </c>
    </row>
    <row r="813" spans="1:59" ht="58" x14ac:dyDescent="0.35">
      <c r="A813" s="2" t="s">
        <v>89</v>
      </c>
      <c r="B813" s="2" t="s">
        <v>90</v>
      </c>
      <c r="C813" s="2" t="s">
        <v>8205</v>
      </c>
      <c r="D813" s="2" t="s">
        <v>8206</v>
      </c>
      <c r="E813" s="2" t="s">
        <v>8207</v>
      </c>
      <c r="G813" s="3" t="s">
        <v>62</v>
      </c>
      <c r="I813" s="3" t="s">
        <v>62</v>
      </c>
      <c r="J813" s="3" t="s">
        <v>62</v>
      </c>
      <c r="K813" s="3" t="s">
        <v>63</v>
      </c>
      <c r="L813" s="2" t="s">
        <v>8208</v>
      </c>
      <c r="M813" s="2" t="s">
        <v>8209</v>
      </c>
      <c r="N813" s="3" t="s">
        <v>438</v>
      </c>
      <c r="P813" s="3" t="s">
        <v>64</v>
      </c>
      <c r="R813" s="3" t="s">
        <v>65</v>
      </c>
      <c r="S813" s="4">
        <v>46</v>
      </c>
      <c r="T813" s="4">
        <v>46</v>
      </c>
      <c r="U813" s="5" t="s">
        <v>5098</v>
      </c>
      <c r="V813" s="5" t="s">
        <v>5098</v>
      </c>
      <c r="W813" s="5" t="s">
        <v>67</v>
      </c>
      <c r="X813" s="5" t="s">
        <v>67</v>
      </c>
      <c r="Y813" s="4">
        <v>717</v>
      </c>
      <c r="Z813" s="4">
        <v>44</v>
      </c>
      <c r="AA813" s="4">
        <v>52</v>
      </c>
      <c r="AB813" s="4">
        <v>2</v>
      </c>
      <c r="AC813" s="4">
        <v>8</v>
      </c>
      <c r="AD813" s="4">
        <v>135</v>
      </c>
      <c r="AE813" s="4">
        <v>140</v>
      </c>
      <c r="AF813" s="4">
        <v>1</v>
      </c>
      <c r="AG813" s="4">
        <v>5</v>
      </c>
      <c r="AH813" s="4">
        <v>110</v>
      </c>
      <c r="AI813" s="4">
        <v>111</v>
      </c>
      <c r="AJ813" s="4">
        <v>22</v>
      </c>
      <c r="AK813" s="4">
        <v>26</v>
      </c>
      <c r="AL813" s="4">
        <v>58</v>
      </c>
      <c r="AM813" s="4">
        <v>58</v>
      </c>
      <c r="AN813" s="4">
        <v>0</v>
      </c>
      <c r="AO813" s="4">
        <v>0</v>
      </c>
      <c r="AP813" s="4">
        <v>34</v>
      </c>
      <c r="AQ813" s="4">
        <v>38</v>
      </c>
      <c r="AR813" s="3" t="s">
        <v>62</v>
      </c>
      <c r="AS813" s="3" t="s">
        <v>62</v>
      </c>
      <c r="AT813" s="3" t="s">
        <v>62</v>
      </c>
      <c r="AV813" s="6" t="str">
        <f>HYPERLINK("http://mcgill.on.worldcat.org/oclc/19811327","Catalog Record")</f>
        <v>Catalog Record</v>
      </c>
      <c r="AW813" s="6" t="str">
        <f>HYPERLINK("http://www.worldcat.org/oclc/19811327","WorldCat Record")</f>
        <v>WorldCat Record</v>
      </c>
      <c r="AX813" s="3" t="s">
        <v>8210</v>
      </c>
      <c r="AY813" s="3" t="s">
        <v>8211</v>
      </c>
      <c r="AZ813" s="3" t="s">
        <v>8212</v>
      </c>
      <c r="BA813" s="3" t="s">
        <v>8212</v>
      </c>
      <c r="BB813" s="3" t="s">
        <v>8213</v>
      </c>
      <c r="BC813" s="3" t="s">
        <v>102</v>
      </c>
      <c r="BD813" s="3" t="s">
        <v>231</v>
      </c>
      <c r="BE813" s="3" t="s">
        <v>8214</v>
      </c>
      <c r="BF813" s="3" t="s">
        <v>8213</v>
      </c>
      <c r="BG813" s="3" t="s">
        <v>8215</v>
      </c>
    </row>
    <row r="814" spans="1:59" ht="58" x14ac:dyDescent="0.35">
      <c r="A814" s="2" t="s">
        <v>89</v>
      </c>
      <c r="B814" s="2" t="s">
        <v>90</v>
      </c>
      <c r="C814" s="2" t="s">
        <v>8216</v>
      </c>
      <c r="D814" s="2" t="s">
        <v>8217</v>
      </c>
      <c r="E814" s="2" t="s">
        <v>8218</v>
      </c>
      <c r="G814" s="3" t="s">
        <v>62</v>
      </c>
      <c r="I814" s="3" t="s">
        <v>62</v>
      </c>
      <c r="J814" s="3" t="s">
        <v>62</v>
      </c>
      <c r="K814" s="3" t="s">
        <v>63</v>
      </c>
      <c r="L814" s="2" t="s">
        <v>8219</v>
      </c>
      <c r="M814" s="2" t="s">
        <v>8220</v>
      </c>
      <c r="N814" s="3" t="s">
        <v>2000</v>
      </c>
      <c r="P814" s="3" t="s">
        <v>64</v>
      </c>
      <c r="R814" s="3" t="s">
        <v>65</v>
      </c>
      <c r="S814" s="4">
        <v>14</v>
      </c>
      <c r="T814" s="4">
        <v>14</v>
      </c>
      <c r="U814" s="5" t="s">
        <v>8221</v>
      </c>
      <c r="V814" s="5" t="s">
        <v>8221</v>
      </c>
      <c r="W814" s="5" t="s">
        <v>67</v>
      </c>
      <c r="X814" s="5" t="s">
        <v>67</v>
      </c>
      <c r="Y814" s="4">
        <v>561</v>
      </c>
      <c r="Z814" s="4">
        <v>24</v>
      </c>
      <c r="AA814" s="4">
        <v>29</v>
      </c>
      <c r="AB814" s="4">
        <v>3</v>
      </c>
      <c r="AC814" s="4">
        <v>5</v>
      </c>
      <c r="AD814" s="4">
        <v>110</v>
      </c>
      <c r="AE814" s="4">
        <v>114</v>
      </c>
      <c r="AF814" s="4">
        <v>1</v>
      </c>
      <c r="AG814" s="4">
        <v>2</v>
      </c>
      <c r="AH814" s="4">
        <v>97</v>
      </c>
      <c r="AI814" s="4">
        <v>98</v>
      </c>
      <c r="AJ814" s="4">
        <v>14</v>
      </c>
      <c r="AK814" s="4">
        <v>15</v>
      </c>
      <c r="AL814" s="4">
        <v>52</v>
      </c>
      <c r="AM814" s="4">
        <v>52</v>
      </c>
      <c r="AN814" s="4">
        <v>0</v>
      </c>
      <c r="AO814" s="4">
        <v>0</v>
      </c>
      <c r="AP814" s="4">
        <v>18</v>
      </c>
      <c r="AQ814" s="4">
        <v>21</v>
      </c>
      <c r="AR814" s="3" t="s">
        <v>62</v>
      </c>
      <c r="AS814" s="3" t="s">
        <v>62</v>
      </c>
      <c r="AT814" s="3" t="s">
        <v>61</v>
      </c>
      <c r="AU814" s="6" t="str">
        <f>HYPERLINK("http://catalog.hathitrust.org/Record/003082425","HathiTrust Record")</f>
        <v>HathiTrust Record</v>
      </c>
      <c r="AV814" s="6" t="str">
        <f>HYPERLINK("http://mcgill.on.worldcat.org/oclc/34245278","Catalog Record")</f>
        <v>Catalog Record</v>
      </c>
      <c r="AW814" s="6" t="str">
        <f>HYPERLINK("http://www.worldcat.org/oclc/34245278","WorldCat Record")</f>
        <v>WorldCat Record</v>
      </c>
      <c r="AX814" s="3" t="s">
        <v>8222</v>
      </c>
      <c r="AY814" s="3" t="s">
        <v>8223</v>
      </c>
      <c r="AZ814" s="3" t="s">
        <v>8224</v>
      </c>
      <c r="BA814" s="3" t="s">
        <v>8224</v>
      </c>
      <c r="BB814" s="3" t="s">
        <v>8225</v>
      </c>
      <c r="BC814" s="3" t="s">
        <v>102</v>
      </c>
      <c r="BD814" s="3" t="s">
        <v>68</v>
      </c>
      <c r="BE814" s="3" t="s">
        <v>8226</v>
      </c>
      <c r="BF814" s="3" t="s">
        <v>8225</v>
      </c>
      <c r="BG814" s="3" t="s">
        <v>8227</v>
      </c>
    </row>
    <row r="815" spans="1:59" ht="58" x14ac:dyDescent="0.35">
      <c r="A815" s="2" t="s">
        <v>89</v>
      </c>
      <c r="B815" s="2" t="s">
        <v>90</v>
      </c>
      <c r="C815" s="2" t="s">
        <v>8228</v>
      </c>
      <c r="D815" s="2" t="s">
        <v>8229</v>
      </c>
      <c r="E815" s="2" t="s">
        <v>8230</v>
      </c>
      <c r="G815" s="3" t="s">
        <v>62</v>
      </c>
      <c r="I815" s="3" t="s">
        <v>61</v>
      </c>
      <c r="J815" s="3" t="s">
        <v>62</v>
      </c>
      <c r="K815" s="3" t="s">
        <v>63</v>
      </c>
      <c r="L815" s="2" t="s">
        <v>850</v>
      </c>
      <c r="M815" s="2" t="s">
        <v>8231</v>
      </c>
      <c r="N815" s="3" t="s">
        <v>954</v>
      </c>
      <c r="P815" s="3" t="s">
        <v>64</v>
      </c>
      <c r="R815" s="3" t="s">
        <v>65</v>
      </c>
      <c r="S815" s="4">
        <v>11</v>
      </c>
      <c r="T815" s="4">
        <v>18</v>
      </c>
      <c r="U815" s="5" t="s">
        <v>8232</v>
      </c>
      <c r="V815" s="5" t="s">
        <v>8233</v>
      </c>
      <c r="W815" s="5" t="s">
        <v>67</v>
      </c>
      <c r="X815" s="5" t="s">
        <v>67</v>
      </c>
      <c r="Y815" s="4">
        <v>487</v>
      </c>
      <c r="Z815" s="4">
        <v>40</v>
      </c>
      <c r="AA815" s="4">
        <v>44</v>
      </c>
      <c r="AB815" s="4">
        <v>2</v>
      </c>
      <c r="AC815" s="4">
        <v>3</v>
      </c>
      <c r="AD815" s="4">
        <v>116</v>
      </c>
      <c r="AE815" s="4">
        <v>120</v>
      </c>
      <c r="AF815" s="4">
        <v>1</v>
      </c>
      <c r="AG815" s="4">
        <v>2</v>
      </c>
      <c r="AH815" s="4">
        <v>93</v>
      </c>
      <c r="AI815" s="4">
        <v>96</v>
      </c>
      <c r="AJ815" s="4">
        <v>17</v>
      </c>
      <c r="AK815" s="4">
        <v>20</v>
      </c>
      <c r="AL815" s="4">
        <v>54</v>
      </c>
      <c r="AM815" s="4">
        <v>54</v>
      </c>
      <c r="AN815" s="4">
        <v>0</v>
      </c>
      <c r="AO815" s="4">
        <v>0</v>
      </c>
      <c r="AP815" s="4">
        <v>27</v>
      </c>
      <c r="AQ815" s="4">
        <v>31</v>
      </c>
      <c r="AR815" s="3" t="s">
        <v>62</v>
      </c>
      <c r="AS815" s="3" t="s">
        <v>62</v>
      </c>
      <c r="AT815" s="3" t="s">
        <v>61</v>
      </c>
      <c r="AU815" s="6" t="str">
        <f>HYPERLINK("http://catalog.hathitrust.org/Record/001474622","HathiTrust Record")</f>
        <v>HathiTrust Record</v>
      </c>
      <c r="AV815" s="6" t="str">
        <f>HYPERLINK("http://mcgill.on.worldcat.org/oclc/283816","Catalog Record")</f>
        <v>Catalog Record</v>
      </c>
      <c r="AW815" s="6" t="str">
        <f>HYPERLINK("http://www.worldcat.org/oclc/283816","WorldCat Record")</f>
        <v>WorldCat Record</v>
      </c>
      <c r="AX815" s="3" t="s">
        <v>8234</v>
      </c>
      <c r="AY815" s="3" t="s">
        <v>8235</v>
      </c>
      <c r="AZ815" s="3" t="s">
        <v>8236</v>
      </c>
      <c r="BA815" s="3" t="s">
        <v>8236</v>
      </c>
      <c r="BB815" s="3" t="s">
        <v>8237</v>
      </c>
      <c r="BC815" s="3" t="s">
        <v>102</v>
      </c>
      <c r="BD815" s="3" t="s">
        <v>68</v>
      </c>
      <c r="BF815" s="3" t="s">
        <v>8237</v>
      </c>
      <c r="BG815" s="3" t="s">
        <v>8238</v>
      </c>
    </row>
    <row r="816" spans="1:59" ht="58" x14ac:dyDescent="0.35">
      <c r="A816" s="2" t="s">
        <v>89</v>
      </c>
      <c r="B816" s="2" t="s">
        <v>90</v>
      </c>
      <c r="C816" s="2" t="s">
        <v>8239</v>
      </c>
      <c r="D816" s="2" t="s">
        <v>8240</v>
      </c>
      <c r="E816" s="2" t="s">
        <v>8241</v>
      </c>
      <c r="G816" s="3" t="s">
        <v>62</v>
      </c>
      <c r="I816" s="3" t="s">
        <v>62</v>
      </c>
      <c r="J816" s="3" t="s">
        <v>62</v>
      </c>
      <c r="K816" s="3" t="s">
        <v>63</v>
      </c>
      <c r="M816" s="2" t="s">
        <v>8242</v>
      </c>
      <c r="N816" s="3" t="s">
        <v>712</v>
      </c>
      <c r="P816" s="3" t="s">
        <v>85</v>
      </c>
      <c r="Q816" s="2" t="s">
        <v>8243</v>
      </c>
      <c r="R816" s="3" t="s">
        <v>65</v>
      </c>
      <c r="S816" s="4">
        <v>0</v>
      </c>
      <c r="T816" s="4">
        <v>0</v>
      </c>
      <c r="W816" s="5" t="s">
        <v>67</v>
      </c>
      <c r="X816" s="5" t="s">
        <v>67</v>
      </c>
      <c r="Y816" s="4">
        <v>12</v>
      </c>
      <c r="Z816" s="4">
        <v>3</v>
      </c>
      <c r="AA816" s="4">
        <v>7</v>
      </c>
      <c r="AB816" s="4">
        <v>1</v>
      </c>
      <c r="AC816" s="4">
        <v>5</v>
      </c>
      <c r="AD816" s="4">
        <v>9</v>
      </c>
      <c r="AE816" s="4">
        <v>12</v>
      </c>
      <c r="AF816" s="4">
        <v>0</v>
      </c>
      <c r="AG816" s="4">
        <v>2</v>
      </c>
      <c r="AH816" s="4">
        <v>8</v>
      </c>
      <c r="AI816" s="4">
        <v>9</v>
      </c>
      <c r="AJ816" s="4">
        <v>2</v>
      </c>
      <c r="AK816" s="4">
        <v>4</v>
      </c>
      <c r="AL816" s="4">
        <v>5</v>
      </c>
      <c r="AM816" s="4">
        <v>6</v>
      </c>
      <c r="AN816" s="4">
        <v>0</v>
      </c>
      <c r="AO816" s="4">
        <v>0</v>
      </c>
      <c r="AP816" s="4">
        <v>2</v>
      </c>
      <c r="AQ816" s="4">
        <v>4</v>
      </c>
      <c r="AR816" s="3" t="s">
        <v>62</v>
      </c>
      <c r="AS816" s="3" t="s">
        <v>62</v>
      </c>
      <c r="AT816" s="3" t="s">
        <v>62</v>
      </c>
      <c r="AV816" s="6" t="str">
        <f>HYPERLINK("http://mcgill.on.worldcat.org/oclc/870307706","Catalog Record")</f>
        <v>Catalog Record</v>
      </c>
      <c r="AW816" s="6" t="str">
        <f>HYPERLINK("http://www.worldcat.org/oclc/870307706","WorldCat Record")</f>
        <v>WorldCat Record</v>
      </c>
      <c r="AX816" s="3" t="s">
        <v>8244</v>
      </c>
      <c r="AY816" s="3" t="s">
        <v>8245</v>
      </c>
      <c r="AZ816" s="3" t="s">
        <v>8246</v>
      </c>
      <c r="BA816" s="3" t="s">
        <v>8246</v>
      </c>
      <c r="BB816" s="3" t="s">
        <v>8247</v>
      </c>
      <c r="BC816" s="3" t="s">
        <v>102</v>
      </c>
      <c r="BD816" s="3" t="s">
        <v>68</v>
      </c>
      <c r="BE816" s="3" t="s">
        <v>8248</v>
      </c>
      <c r="BF816" s="3" t="s">
        <v>8247</v>
      </c>
      <c r="BG816" s="3" t="s">
        <v>8249</v>
      </c>
    </row>
    <row r="817" spans="1:59" ht="72.5" x14ac:dyDescent="0.35">
      <c r="A817" s="2" t="s">
        <v>89</v>
      </c>
      <c r="B817" s="2" t="s">
        <v>90</v>
      </c>
      <c r="C817" s="2" t="s">
        <v>8250</v>
      </c>
      <c r="D817" s="2" t="s">
        <v>8251</v>
      </c>
      <c r="E817" s="2" t="s">
        <v>8252</v>
      </c>
      <c r="F817" s="3" t="s">
        <v>8253</v>
      </c>
      <c r="G817" s="3" t="s">
        <v>62</v>
      </c>
      <c r="I817" s="3" t="s">
        <v>62</v>
      </c>
      <c r="J817" s="3" t="s">
        <v>62</v>
      </c>
      <c r="K817" s="3" t="s">
        <v>63</v>
      </c>
      <c r="M817" s="2" t="s">
        <v>8254</v>
      </c>
      <c r="N817" s="3" t="s">
        <v>327</v>
      </c>
      <c r="P817" s="3" t="s">
        <v>64</v>
      </c>
      <c r="Q817" s="2" t="s">
        <v>8255</v>
      </c>
      <c r="R817" s="3" t="s">
        <v>65</v>
      </c>
      <c r="S817" s="4">
        <v>8</v>
      </c>
      <c r="T817" s="4">
        <v>8</v>
      </c>
      <c r="U817" s="5" t="s">
        <v>7779</v>
      </c>
      <c r="V817" s="5" t="s">
        <v>7779</v>
      </c>
      <c r="W817" s="5" t="s">
        <v>67</v>
      </c>
      <c r="X817" s="5" t="s">
        <v>67</v>
      </c>
      <c r="Y817" s="4">
        <v>394</v>
      </c>
      <c r="Z817" s="4">
        <v>26</v>
      </c>
      <c r="AA817" s="4">
        <v>47</v>
      </c>
      <c r="AB817" s="4">
        <v>2</v>
      </c>
      <c r="AC817" s="4">
        <v>8</v>
      </c>
      <c r="AD817" s="4">
        <v>108</v>
      </c>
      <c r="AE817" s="4">
        <v>128</v>
      </c>
      <c r="AF817" s="4">
        <v>1</v>
      </c>
      <c r="AG817" s="4">
        <v>2</v>
      </c>
      <c r="AH817" s="4">
        <v>90</v>
      </c>
      <c r="AI817" s="4">
        <v>103</v>
      </c>
      <c r="AJ817" s="4">
        <v>17</v>
      </c>
      <c r="AK817" s="4">
        <v>20</v>
      </c>
      <c r="AL817" s="4">
        <v>47</v>
      </c>
      <c r="AM817" s="4">
        <v>56</v>
      </c>
      <c r="AN817" s="4">
        <v>0</v>
      </c>
      <c r="AO817" s="4">
        <v>0</v>
      </c>
      <c r="AP817" s="4">
        <v>24</v>
      </c>
      <c r="AQ817" s="4">
        <v>32</v>
      </c>
      <c r="AR817" s="3" t="s">
        <v>62</v>
      </c>
      <c r="AS817" s="3" t="s">
        <v>62</v>
      </c>
      <c r="AT817" s="3" t="s">
        <v>62</v>
      </c>
      <c r="AV817" s="6" t="str">
        <f>HYPERLINK("http://mcgill.on.worldcat.org/oclc/9110477","Catalog Record")</f>
        <v>Catalog Record</v>
      </c>
      <c r="AW817" s="6" t="str">
        <f>HYPERLINK("http://www.worldcat.org/oclc/9110477","WorldCat Record")</f>
        <v>WorldCat Record</v>
      </c>
      <c r="AX817" s="3" t="s">
        <v>8256</v>
      </c>
      <c r="AY817" s="3" t="s">
        <v>8257</v>
      </c>
      <c r="AZ817" s="3" t="s">
        <v>8258</v>
      </c>
      <c r="BA817" s="3" t="s">
        <v>8258</v>
      </c>
      <c r="BB817" s="3" t="s">
        <v>8259</v>
      </c>
      <c r="BC817" s="3" t="s">
        <v>102</v>
      </c>
      <c r="BD817" s="3" t="s">
        <v>68</v>
      </c>
      <c r="BE817" s="3" t="s">
        <v>8260</v>
      </c>
      <c r="BF817" s="3" t="s">
        <v>8259</v>
      </c>
      <c r="BG817" s="3" t="s">
        <v>8261</v>
      </c>
    </row>
    <row r="818" spans="1:59" ht="72.5" x14ac:dyDescent="0.35">
      <c r="A818" s="2" t="s">
        <v>89</v>
      </c>
      <c r="B818" s="2" t="s">
        <v>90</v>
      </c>
      <c r="C818" s="2" t="s">
        <v>8262</v>
      </c>
      <c r="D818" s="2" t="s">
        <v>8263</v>
      </c>
      <c r="E818" s="2" t="s">
        <v>8264</v>
      </c>
      <c r="F818" s="3" t="s">
        <v>8265</v>
      </c>
      <c r="G818" s="3" t="s">
        <v>62</v>
      </c>
      <c r="I818" s="3" t="s">
        <v>62</v>
      </c>
      <c r="J818" s="3" t="s">
        <v>62</v>
      </c>
      <c r="K818" s="3" t="s">
        <v>63</v>
      </c>
      <c r="M818" s="2" t="s">
        <v>8266</v>
      </c>
      <c r="N818" s="3" t="s">
        <v>186</v>
      </c>
      <c r="P818" s="3" t="s">
        <v>64</v>
      </c>
      <c r="Q818" s="2" t="s">
        <v>8267</v>
      </c>
      <c r="R818" s="3" t="s">
        <v>65</v>
      </c>
      <c r="S818" s="4">
        <v>5</v>
      </c>
      <c r="T818" s="4">
        <v>5</v>
      </c>
      <c r="U818" s="5" t="s">
        <v>7779</v>
      </c>
      <c r="V818" s="5" t="s">
        <v>7779</v>
      </c>
      <c r="W818" s="5" t="s">
        <v>67</v>
      </c>
      <c r="X818" s="5" t="s">
        <v>67</v>
      </c>
      <c r="Y818" s="4">
        <v>391</v>
      </c>
      <c r="Z818" s="4">
        <v>25</v>
      </c>
      <c r="AA818" s="4">
        <v>45</v>
      </c>
      <c r="AB818" s="4">
        <v>2</v>
      </c>
      <c r="AC818" s="4">
        <v>7</v>
      </c>
      <c r="AD818" s="4">
        <v>103</v>
      </c>
      <c r="AE818" s="4">
        <v>123</v>
      </c>
      <c r="AF818" s="4">
        <v>1</v>
      </c>
      <c r="AG818" s="4">
        <v>3</v>
      </c>
      <c r="AH818" s="4">
        <v>88</v>
      </c>
      <c r="AI818" s="4">
        <v>101</v>
      </c>
      <c r="AJ818" s="4">
        <v>18</v>
      </c>
      <c r="AK818" s="4">
        <v>21</v>
      </c>
      <c r="AL818" s="4">
        <v>46</v>
      </c>
      <c r="AM818" s="4">
        <v>52</v>
      </c>
      <c r="AN818" s="4">
        <v>0</v>
      </c>
      <c r="AO818" s="4">
        <v>0</v>
      </c>
      <c r="AP818" s="4">
        <v>23</v>
      </c>
      <c r="AQ818" s="4">
        <v>31</v>
      </c>
      <c r="AR818" s="3" t="s">
        <v>62</v>
      </c>
      <c r="AS818" s="3" t="s">
        <v>62</v>
      </c>
      <c r="AT818" s="3" t="s">
        <v>61</v>
      </c>
      <c r="AU818" s="6" t="str">
        <f>HYPERLINK("http://catalog.hathitrust.org/Record/000710512","HathiTrust Record")</f>
        <v>HathiTrust Record</v>
      </c>
      <c r="AV818" s="6" t="str">
        <f>HYPERLINK("http://mcgill.on.worldcat.org/oclc/1905687","Catalog Record")</f>
        <v>Catalog Record</v>
      </c>
      <c r="AW818" s="6" t="str">
        <f>HYPERLINK("http://www.worldcat.org/oclc/1905687","WorldCat Record")</f>
        <v>WorldCat Record</v>
      </c>
      <c r="AX818" s="3" t="s">
        <v>8268</v>
      </c>
      <c r="AY818" s="3" t="s">
        <v>8269</v>
      </c>
      <c r="AZ818" s="3" t="s">
        <v>8270</v>
      </c>
      <c r="BA818" s="3" t="s">
        <v>8270</v>
      </c>
      <c r="BB818" s="3" t="s">
        <v>8271</v>
      </c>
      <c r="BC818" s="3" t="s">
        <v>102</v>
      </c>
      <c r="BD818" s="3" t="s">
        <v>68</v>
      </c>
      <c r="BE818" s="3" t="s">
        <v>8272</v>
      </c>
      <c r="BF818" s="3" t="s">
        <v>8271</v>
      </c>
      <c r="BG818" s="3" t="s">
        <v>8273</v>
      </c>
    </row>
    <row r="819" spans="1:59" ht="72.5" x14ac:dyDescent="0.35">
      <c r="A819" s="2" t="s">
        <v>89</v>
      </c>
      <c r="B819" s="2" t="s">
        <v>6791</v>
      </c>
      <c r="C819" s="2" t="s">
        <v>8274</v>
      </c>
      <c r="D819" s="2" t="s">
        <v>8275</v>
      </c>
      <c r="E819" s="2" t="s">
        <v>8276</v>
      </c>
      <c r="F819" s="3" t="s">
        <v>8277</v>
      </c>
      <c r="G819" s="3" t="s">
        <v>62</v>
      </c>
      <c r="I819" s="3" t="s">
        <v>62</v>
      </c>
      <c r="J819" s="3" t="s">
        <v>62</v>
      </c>
      <c r="K819" s="3" t="s">
        <v>63</v>
      </c>
      <c r="M819" s="2" t="s">
        <v>8278</v>
      </c>
      <c r="N819" s="3" t="s">
        <v>186</v>
      </c>
      <c r="P819" s="3" t="s">
        <v>64</v>
      </c>
      <c r="Q819" s="2" t="s">
        <v>8279</v>
      </c>
      <c r="R819" s="3" t="s">
        <v>65</v>
      </c>
      <c r="S819" s="4">
        <v>12</v>
      </c>
      <c r="T819" s="4">
        <v>12</v>
      </c>
      <c r="U819" s="5" t="s">
        <v>8280</v>
      </c>
      <c r="V819" s="5" t="s">
        <v>8280</v>
      </c>
      <c r="W819" s="5" t="s">
        <v>67</v>
      </c>
      <c r="X819" s="5" t="s">
        <v>67</v>
      </c>
      <c r="Y819" s="4">
        <v>515</v>
      </c>
      <c r="Z819" s="4">
        <v>29</v>
      </c>
      <c r="AA819" s="4">
        <v>33</v>
      </c>
      <c r="AB819" s="4">
        <v>2</v>
      </c>
      <c r="AC819" s="4">
        <v>6</v>
      </c>
      <c r="AD819" s="4">
        <v>107</v>
      </c>
      <c r="AE819" s="4">
        <v>111</v>
      </c>
      <c r="AF819" s="4">
        <v>1</v>
      </c>
      <c r="AG819" s="4">
        <v>5</v>
      </c>
      <c r="AH819" s="4">
        <v>91</v>
      </c>
      <c r="AI819" s="4">
        <v>92</v>
      </c>
      <c r="AJ819" s="4">
        <v>18</v>
      </c>
      <c r="AK819" s="4">
        <v>22</v>
      </c>
      <c r="AL819" s="4">
        <v>47</v>
      </c>
      <c r="AM819" s="4">
        <v>47</v>
      </c>
      <c r="AN819" s="4">
        <v>0</v>
      </c>
      <c r="AO819" s="4">
        <v>0</v>
      </c>
      <c r="AP819" s="4">
        <v>25</v>
      </c>
      <c r="AQ819" s="4">
        <v>28</v>
      </c>
      <c r="AR819" s="3" t="s">
        <v>62</v>
      </c>
      <c r="AS819" s="3" t="s">
        <v>62</v>
      </c>
      <c r="AT819" s="3" t="s">
        <v>62</v>
      </c>
      <c r="AV819" s="6" t="str">
        <f>HYPERLINK("http://mcgill.on.worldcat.org/oclc/1739603","Catalog Record")</f>
        <v>Catalog Record</v>
      </c>
      <c r="AW819" s="6" t="str">
        <f>HYPERLINK("http://www.worldcat.org/oclc/1739603","WorldCat Record")</f>
        <v>WorldCat Record</v>
      </c>
      <c r="AX819" s="3" t="s">
        <v>8281</v>
      </c>
      <c r="AY819" s="3" t="s">
        <v>8282</v>
      </c>
      <c r="AZ819" s="3" t="s">
        <v>8283</v>
      </c>
      <c r="BA819" s="3" t="s">
        <v>8283</v>
      </c>
      <c r="BB819" s="3" t="s">
        <v>8284</v>
      </c>
      <c r="BC819" s="3" t="s">
        <v>102</v>
      </c>
      <c r="BD819" s="3" t="s">
        <v>68</v>
      </c>
      <c r="BE819" s="3" t="s">
        <v>8285</v>
      </c>
      <c r="BF819" s="3" t="s">
        <v>8284</v>
      </c>
      <c r="BG819" s="3" t="s">
        <v>8286</v>
      </c>
    </row>
    <row r="820" spans="1:59" ht="72.5" x14ac:dyDescent="0.35">
      <c r="A820" s="2" t="s">
        <v>89</v>
      </c>
      <c r="B820" s="2" t="s">
        <v>90</v>
      </c>
      <c r="C820" s="2" t="s">
        <v>8287</v>
      </c>
      <c r="D820" s="2" t="s">
        <v>8288</v>
      </c>
      <c r="E820" s="2" t="s">
        <v>8289</v>
      </c>
      <c r="F820" s="3" t="s">
        <v>8290</v>
      </c>
      <c r="G820" s="3" t="s">
        <v>62</v>
      </c>
      <c r="I820" s="3" t="s">
        <v>62</v>
      </c>
      <c r="J820" s="3" t="s">
        <v>62</v>
      </c>
      <c r="K820" s="3" t="s">
        <v>63</v>
      </c>
      <c r="M820" s="2" t="s">
        <v>8291</v>
      </c>
      <c r="N820" s="3" t="s">
        <v>424</v>
      </c>
      <c r="P820" s="3" t="s">
        <v>64</v>
      </c>
      <c r="Q820" s="2" t="s">
        <v>8292</v>
      </c>
      <c r="R820" s="3" t="s">
        <v>65</v>
      </c>
      <c r="S820" s="4">
        <v>18</v>
      </c>
      <c r="T820" s="4">
        <v>18</v>
      </c>
      <c r="U820" s="5" t="s">
        <v>8293</v>
      </c>
      <c r="V820" s="5" t="s">
        <v>8293</v>
      </c>
      <c r="W820" s="5" t="s">
        <v>67</v>
      </c>
      <c r="X820" s="5" t="s">
        <v>67</v>
      </c>
      <c r="Y820" s="4">
        <v>471</v>
      </c>
      <c r="Z820" s="4">
        <v>34</v>
      </c>
      <c r="AA820" s="4">
        <v>52</v>
      </c>
      <c r="AB820" s="4">
        <v>2</v>
      </c>
      <c r="AC820" s="4">
        <v>8</v>
      </c>
      <c r="AD820" s="4">
        <v>106</v>
      </c>
      <c r="AE820" s="4">
        <v>125</v>
      </c>
      <c r="AF820" s="4">
        <v>1</v>
      </c>
      <c r="AG820" s="4">
        <v>4</v>
      </c>
      <c r="AH820" s="4">
        <v>88</v>
      </c>
      <c r="AI820" s="4">
        <v>100</v>
      </c>
      <c r="AJ820" s="4">
        <v>17</v>
      </c>
      <c r="AK820" s="4">
        <v>21</v>
      </c>
      <c r="AL820" s="4">
        <v>46</v>
      </c>
      <c r="AM820" s="4">
        <v>52</v>
      </c>
      <c r="AN820" s="4">
        <v>0</v>
      </c>
      <c r="AO820" s="4">
        <v>0</v>
      </c>
      <c r="AP820" s="4">
        <v>25</v>
      </c>
      <c r="AQ820" s="4">
        <v>31</v>
      </c>
      <c r="AR820" s="3" t="s">
        <v>62</v>
      </c>
      <c r="AS820" s="3" t="s">
        <v>62</v>
      </c>
      <c r="AT820" s="3" t="s">
        <v>62</v>
      </c>
      <c r="AV820" s="6" t="str">
        <f>HYPERLINK("http://mcgill.on.worldcat.org/oclc/15082919","Catalog Record")</f>
        <v>Catalog Record</v>
      </c>
      <c r="AW820" s="6" t="str">
        <f>HYPERLINK("http://www.worldcat.org/oclc/15082919","WorldCat Record")</f>
        <v>WorldCat Record</v>
      </c>
      <c r="AX820" s="3" t="s">
        <v>8294</v>
      </c>
      <c r="AY820" s="3" t="s">
        <v>8295</v>
      </c>
      <c r="AZ820" s="3" t="s">
        <v>8296</v>
      </c>
      <c r="BA820" s="3" t="s">
        <v>8296</v>
      </c>
      <c r="BB820" s="3" t="s">
        <v>8297</v>
      </c>
      <c r="BC820" s="3" t="s">
        <v>102</v>
      </c>
      <c r="BD820" s="3" t="s">
        <v>68</v>
      </c>
      <c r="BE820" s="3" t="s">
        <v>8298</v>
      </c>
      <c r="BF820" s="3" t="s">
        <v>8297</v>
      </c>
      <c r="BG820" s="3" t="s">
        <v>8299</v>
      </c>
    </row>
    <row r="821" spans="1:59" ht="58" x14ac:dyDescent="0.35">
      <c r="A821" s="2" t="s">
        <v>89</v>
      </c>
      <c r="B821" s="2" t="s">
        <v>90</v>
      </c>
      <c r="C821" s="2" t="s">
        <v>8300</v>
      </c>
      <c r="D821" s="2" t="s">
        <v>8301</v>
      </c>
      <c r="E821" s="2" t="s">
        <v>8302</v>
      </c>
      <c r="G821" s="3" t="s">
        <v>62</v>
      </c>
      <c r="I821" s="3" t="s">
        <v>62</v>
      </c>
      <c r="J821" s="3" t="s">
        <v>62</v>
      </c>
      <c r="K821" s="3" t="s">
        <v>63</v>
      </c>
      <c r="L821" s="2" t="s">
        <v>8303</v>
      </c>
      <c r="M821" s="2" t="s">
        <v>8304</v>
      </c>
      <c r="N821" s="3" t="s">
        <v>5051</v>
      </c>
      <c r="P821" s="3" t="s">
        <v>64</v>
      </c>
      <c r="Q821" s="2" t="s">
        <v>8305</v>
      </c>
      <c r="R821" s="3" t="s">
        <v>65</v>
      </c>
      <c r="S821" s="4">
        <v>2</v>
      </c>
      <c r="T821" s="4">
        <v>2</v>
      </c>
      <c r="U821" s="5" t="s">
        <v>6663</v>
      </c>
      <c r="V821" s="5" t="s">
        <v>6663</v>
      </c>
      <c r="W821" s="5" t="s">
        <v>67</v>
      </c>
      <c r="X821" s="5" t="s">
        <v>67</v>
      </c>
      <c r="Y821" s="4">
        <v>106</v>
      </c>
      <c r="Z821" s="4">
        <v>3</v>
      </c>
      <c r="AA821" s="4">
        <v>18</v>
      </c>
      <c r="AB821" s="4">
        <v>1</v>
      </c>
      <c r="AC821" s="4">
        <v>2</v>
      </c>
      <c r="AD821" s="4">
        <v>48</v>
      </c>
      <c r="AE821" s="4">
        <v>76</v>
      </c>
      <c r="AF821" s="4">
        <v>0</v>
      </c>
      <c r="AG821" s="4">
        <v>1</v>
      </c>
      <c r="AH821" s="4">
        <v>45</v>
      </c>
      <c r="AI821" s="4">
        <v>67</v>
      </c>
      <c r="AJ821" s="4">
        <v>2</v>
      </c>
      <c r="AK821" s="4">
        <v>11</v>
      </c>
      <c r="AL821" s="4">
        <v>30</v>
      </c>
      <c r="AM821" s="4">
        <v>43</v>
      </c>
      <c r="AN821" s="4">
        <v>0</v>
      </c>
      <c r="AO821" s="4">
        <v>1</v>
      </c>
      <c r="AP821" s="4">
        <v>2</v>
      </c>
      <c r="AQ821" s="4">
        <v>12</v>
      </c>
      <c r="AR821" s="3" t="s">
        <v>62</v>
      </c>
      <c r="AS821" s="3" t="s">
        <v>62</v>
      </c>
      <c r="AT821" s="3" t="s">
        <v>62</v>
      </c>
      <c r="AU821" s="6" t="str">
        <f>HYPERLINK("http://catalog.hathitrust.org/Record/001388026","HathiTrust Record")</f>
        <v>HathiTrust Record</v>
      </c>
      <c r="AV821" s="6" t="str">
        <f>HYPERLINK("http://mcgill.on.worldcat.org/oclc/1419755","Catalog Record")</f>
        <v>Catalog Record</v>
      </c>
      <c r="AW821" s="6" t="str">
        <f>HYPERLINK("http://www.worldcat.org/oclc/1419755","WorldCat Record")</f>
        <v>WorldCat Record</v>
      </c>
      <c r="AX821" s="3" t="s">
        <v>8306</v>
      </c>
      <c r="AY821" s="3" t="s">
        <v>8307</v>
      </c>
      <c r="AZ821" s="3" t="s">
        <v>8308</v>
      </c>
      <c r="BA821" s="3" t="s">
        <v>8308</v>
      </c>
      <c r="BB821" s="3" t="s">
        <v>8309</v>
      </c>
      <c r="BC821" s="3" t="s">
        <v>102</v>
      </c>
      <c r="BD821" s="3" t="s">
        <v>68</v>
      </c>
      <c r="BF821" s="3" t="s">
        <v>8309</v>
      </c>
      <c r="BG821" s="3" t="s">
        <v>8310</v>
      </c>
    </row>
    <row r="822" spans="1:59" ht="58" x14ac:dyDescent="0.35">
      <c r="A822" s="2" t="s">
        <v>89</v>
      </c>
      <c r="B822" s="2" t="s">
        <v>90</v>
      </c>
      <c r="C822" s="2" t="s">
        <v>8311</v>
      </c>
      <c r="D822" s="2" t="s">
        <v>8312</v>
      </c>
      <c r="E822" s="2" t="s">
        <v>8313</v>
      </c>
      <c r="G822" s="3" t="s">
        <v>62</v>
      </c>
      <c r="I822" s="3" t="s">
        <v>62</v>
      </c>
      <c r="J822" s="3" t="s">
        <v>62</v>
      </c>
      <c r="K822" s="3" t="s">
        <v>63</v>
      </c>
      <c r="L822" s="2" t="s">
        <v>8314</v>
      </c>
      <c r="M822" s="2" t="s">
        <v>3736</v>
      </c>
      <c r="N822" s="3" t="s">
        <v>2085</v>
      </c>
      <c r="P822" s="3" t="s">
        <v>64</v>
      </c>
      <c r="R822" s="3" t="s">
        <v>65</v>
      </c>
      <c r="S822" s="4">
        <v>6</v>
      </c>
      <c r="T822" s="4">
        <v>6</v>
      </c>
      <c r="U822" s="5" t="s">
        <v>8315</v>
      </c>
      <c r="V822" s="5" t="s">
        <v>8315</v>
      </c>
      <c r="W822" s="5" t="s">
        <v>67</v>
      </c>
      <c r="X822" s="5" t="s">
        <v>67</v>
      </c>
      <c r="Y822" s="4">
        <v>321</v>
      </c>
      <c r="Z822" s="4">
        <v>10</v>
      </c>
      <c r="AA822" s="4">
        <v>19</v>
      </c>
      <c r="AB822" s="4">
        <v>1</v>
      </c>
      <c r="AC822" s="4">
        <v>3</v>
      </c>
      <c r="AD822" s="4">
        <v>61</v>
      </c>
      <c r="AE822" s="4">
        <v>71</v>
      </c>
      <c r="AF822" s="4">
        <v>0</v>
      </c>
      <c r="AG822" s="4">
        <v>0</v>
      </c>
      <c r="AH822" s="4">
        <v>58</v>
      </c>
      <c r="AI822" s="4">
        <v>64</v>
      </c>
      <c r="AJ822" s="4">
        <v>6</v>
      </c>
      <c r="AK822" s="4">
        <v>7</v>
      </c>
      <c r="AL822" s="4">
        <v>39</v>
      </c>
      <c r="AM822" s="4">
        <v>41</v>
      </c>
      <c r="AN822" s="4">
        <v>0</v>
      </c>
      <c r="AO822" s="4">
        <v>0</v>
      </c>
      <c r="AP822" s="4">
        <v>6</v>
      </c>
      <c r="AQ822" s="4">
        <v>12</v>
      </c>
      <c r="AR822" s="3" t="s">
        <v>62</v>
      </c>
      <c r="AS822" s="3" t="s">
        <v>62</v>
      </c>
      <c r="AT822" s="3" t="s">
        <v>62</v>
      </c>
      <c r="AV822" s="6" t="str">
        <f>HYPERLINK("http://mcgill.on.worldcat.org/oclc/1001413883","Catalog Record")</f>
        <v>Catalog Record</v>
      </c>
      <c r="AW822" s="6" t="str">
        <f>HYPERLINK("http://www.worldcat.org/oclc/1001413883","WorldCat Record")</f>
        <v>WorldCat Record</v>
      </c>
      <c r="AX822" s="3" t="s">
        <v>8316</v>
      </c>
      <c r="AY822" s="3" t="s">
        <v>8317</v>
      </c>
      <c r="AZ822" s="3" t="s">
        <v>8318</v>
      </c>
      <c r="BA822" s="3" t="s">
        <v>8318</v>
      </c>
      <c r="BB822" s="3" t="s">
        <v>8319</v>
      </c>
      <c r="BC822" s="3" t="s">
        <v>102</v>
      </c>
      <c r="BD822" s="3" t="s">
        <v>231</v>
      </c>
      <c r="BE822" s="3" t="s">
        <v>8320</v>
      </c>
      <c r="BF822" s="3" t="s">
        <v>8319</v>
      </c>
      <c r="BG822" s="3" t="s">
        <v>8321</v>
      </c>
    </row>
    <row r="823" spans="1:59" ht="58" x14ac:dyDescent="0.35">
      <c r="A823" s="2" t="s">
        <v>89</v>
      </c>
      <c r="B823" s="2" t="s">
        <v>90</v>
      </c>
      <c r="C823" s="2" t="s">
        <v>8322</v>
      </c>
      <c r="D823" s="2" t="s">
        <v>8323</v>
      </c>
      <c r="E823" s="2" t="s">
        <v>8324</v>
      </c>
      <c r="G823" s="3" t="s">
        <v>62</v>
      </c>
      <c r="I823" s="3" t="s">
        <v>61</v>
      </c>
      <c r="J823" s="3" t="s">
        <v>62</v>
      </c>
      <c r="K823" s="3" t="s">
        <v>63</v>
      </c>
      <c r="L823" s="2" t="s">
        <v>8325</v>
      </c>
      <c r="M823" s="2" t="s">
        <v>8326</v>
      </c>
      <c r="N823" s="3" t="s">
        <v>327</v>
      </c>
      <c r="P823" s="3" t="s">
        <v>64</v>
      </c>
      <c r="R823" s="3" t="s">
        <v>65</v>
      </c>
      <c r="S823" s="4">
        <v>9</v>
      </c>
      <c r="T823" s="4">
        <v>9</v>
      </c>
      <c r="U823" s="5" t="s">
        <v>7368</v>
      </c>
      <c r="V823" s="5" t="s">
        <v>7368</v>
      </c>
      <c r="W823" s="5" t="s">
        <v>67</v>
      </c>
      <c r="X823" s="5" t="s">
        <v>67</v>
      </c>
      <c r="Y823" s="4">
        <v>776</v>
      </c>
      <c r="Z823" s="4">
        <v>30</v>
      </c>
      <c r="AA823" s="4">
        <v>31</v>
      </c>
      <c r="AB823" s="4">
        <v>1</v>
      </c>
      <c r="AC823" s="4">
        <v>2</v>
      </c>
      <c r="AD823" s="4">
        <v>107</v>
      </c>
      <c r="AE823" s="4">
        <v>110</v>
      </c>
      <c r="AF823" s="4">
        <v>0</v>
      </c>
      <c r="AG823" s="4">
        <v>1</v>
      </c>
      <c r="AH823" s="4">
        <v>91</v>
      </c>
      <c r="AI823" s="4">
        <v>94</v>
      </c>
      <c r="AJ823" s="4">
        <v>13</v>
      </c>
      <c r="AK823" s="4">
        <v>14</v>
      </c>
      <c r="AL823" s="4">
        <v>53</v>
      </c>
      <c r="AM823" s="4">
        <v>53</v>
      </c>
      <c r="AN823" s="4">
        <v>0</v>
      </c>
      <c r="AO823" s="4">
        <v>0</v>
      </c>
      <c r="AP823" s="4">
        <v>21</v>
      </c>
      <c r="AQ823" s="4">
        <v>22</v>
      </c>
      <c r="AR823" s="3" t="s">
        <v>62</v>
      </c>
      <c r="AS823" s="3" t="s">
        <v>62</v>
      </c>
      <c r="AT823" s="3" t="s">
        <v>61</v>
      </c>
      <c r="AU823" s="6" t="str">
        <f>HYPERLINK("http://catalog.hathitrust.org/Record/000118486","HathiTrust Record")</f>
        <v>HathiTrust Record</v>
      </c>
      <c r="AV823" s="6" t="str">
        <f>HYPERLINK("http://mcgill.on.worldcat.org/oclc/9576022","Catalog Record")</f>
        <v>Catalog Record</v>
      </c>
      <c r="AW823" s="6" t="str">
        <f>HYPERLINK("http://www.worldcat.org/oclc/9576022","WorldCat Record")</f>
        <v>WorldCat Record</v>
      </c>
      <c r="AX823" s="3" t="s">
        <v>8327</v>
      </c>
      <c r="AY823" s="3" t="s">
        <v>8328</v>
      </c>
      <c r="AZ823" s="3" t="s">
        <v>8329</v>
      </c>
      <c r="BA823" s="3" t="s">
        <v>8329</v>
      </c>
      <c r="BB823" s="3" t="s">
        <v>8330</v>
      </c>
      <c r="BC823" s="3" t="s">
        <v>102</v>
      </c>
      <c r="BD823" s="3" t="s">
        <v>68</v>
      </c>
      <c r="BE823" s="3" t="s">
        <v>8331</v>
      </c>
      <c r="BF823" s="3" t="s">
        <v>8330</v>
      </c>
      <c r="BG823" s="3" t="s">
        <v>8332</v>
      </c>
    </row>
    <row r="824" spans="1:59" ht="58" x14ac:dyDescent="0.35">
      <c r="A824" s="2" t="s">
        <v>89</v>
      </c>
      <c r="B824" s="2" t="s">
        <v>90</v>
      </c>
      <c r="C824" s="2" t="s">
        <v>8333</v>
      </c>
      <c r="D824" s="2" t="s">
        <v>8334</v>
      </c>
      <c r="E824" s="2" t="s">
        <v>8335</v>
      </c>
      <c r="G824" s="3" t="s">
        <v>62</v>
      </c>
      <c r="I824" s="3" t="s">
        <v>62</v>
      </c>
      <c r="J824" s="3" t="s">
        <v>62</v>
      </c>
      <c r="K824" s="3" t="s">
        <v>63</v>
      </c>
      <c r="L824" s="2" t="s">
        <v>8336</v>
      </c>
      <c r="M824" s="2" t="s">
        <v>8337</v>
      </c>
      <c r="N824" s="3" t="s">
        <v>893</v>
      </c>
      <c r="P824" s="3" t="s">
        <v>64</v>
      </c>
      <c r="Q824" s="2" t="s">
        <v>8338</v>
      </c>
      <c r="R824" s="3" t="s">
        <v>65</v>
      </c>
      <c r="S824" s="4">
        <v>2</v>
      </c>
      <c r="T824" s="4">
        <v>2</v>
      </c>
      <c r="U824" s="5" t="s">
        <v>8339</v>
      </c>
      <c r="V824" s="5" t="s">
        <v>8339</v>
      </c>
      <c r="W824" s="5" t="s">
        <v>67</v>
      </c>
      <c r="X824" s="5" t="s">
        <v>67</v>
      </c>
      <c r="Y824" s="4">
        <v>219</v>
      </c>
      <c r="Z824" s="4">
        <v>16</v>
      </c>
      <c r="AA824" s="4">
        <v>20</v>
      </c>
      <c r="AB824" s="4">
        <v>2</v>
      </c>
      <c r="AC824" s="4">
        <v>6</v>
      </c>
      <c r="AD824" s="4">
        <v>93</v>
      </c>
      <c r="AE824" s="4">
        <v>97</v>
      </c>
      <c r="AF824" s="4">
        <v>1</v>
      </c>
      <c r="AG824" s="4">
        <v>4</v>
      </c>
      <c r="AH824" s="4">
        <v>84</v>
      </c>
      <c r="AI824" s="4">
        <v>86</v>
      </c>
      <c r="AJ824" s="4">
        <v>13</v>
      </c>
      <c r="AK824" s="4">
        <v>16</v>
      </c>
      <c r="AL824" s="4">
        <v>51</v>
      </c>
      <c r="AM824" s="4">
        <v>51</v>
      </c>
      <c r="AN824" s="4">
        <v>0</v>
      </c>
      <c r="AO824" s="4">
        <v>0</v>
      </c>
      <c r="AP824" s="4">
        <v>13</v>
      </c>
      <c r="AQ824" s="4">
        <v>15</v>
      </c>
      <c r="AR824" s="3" t="s">
        <v>62</v>
      </c>
      <c r="AS824" s="3" t="s">
        <v>62</v>
      </c>
      <c r="AT824" s="3" t="s">
        <v>61</v>
      </c>
      <c r="AU824" s="6" t="str">
        <f>HYPERLINK("http://catalog.hathitrust.org/Record/000319582","HathiTrust Record")</f>
        <v>HathiTrust Record</v>
      </c>
      <c r="AV824" s="6" t="str">
        <f>HYPERLINK("http://mcgill.on.worldcat.org/oclc/9195248","Catalog Record")</f>
        <v>Catalog Record</v>
      </c>
      <c r="AW824" s="6" t="str">
        <f>HYPERLINK("http://www.worldcat.org/oclc/9195248","WorldCat Record")</f>
        <v>WorldCat Record</v>
      </c>
      <c r="AX824" s="3" t="s">
        <v>8340</v>
      </c>
      <c r="AY824" s="3" t="s">
        <v>8341</v>
      </c>
      <c r="AZ824" s="3" t="s">
        <v>8342</v>
      </c>
      <c r="BA824" s="3" t="s">
        <v>8342</v>
      </c>
      <c r="BB824" s="3" t="s">
        <v>8343</v>
      </c>
      <c r="BC824" s="3" t="s">
        <v>102</v>
      </c>
      <c r="BD824" s="3" t="s">
        <v>68</v>
      </c>
      <c r="BE824" s="3" t="s">
        <v>8344</v>
      </c>
      <c r="BF824" s="3" t="s">
        <v>8343</v>
      </c>
      <c r="BG824" s="3" t="s">
        <v>8345</v>
      </c>
    </row>
    <row r="825" spans="1:59" ht="58" x14ac:dyDescent="0.35">
      <c r="A825" s="2" t="s">
        <v>89</v>
      </c>
      <c r="B825" s="2" t="s">
        <v>90</v>
      </c>
      <c r="C825" s="2" t="s">
        <v>8346</v>
      </c>
      <c r="D825" s="2" t="s">
        <v>8347</v>
      </c>
      <c r="E825" s="2" t="s">
        <v>8348</v>
      </c>
      <c r="G825" s="3" t="s">
        <v>62</v>
      </c>
      <c r="I825" s="3" t="s">
        <v>62</v>
      </c>
      <c r="J825" s="3" t="s">
        <v>62</v>
      </c>
      <c r="K825" s="3" t="s">
        <v>63</v>
      </c>
      <c r="L825" s="2" t="s">
        <v>1605</v>
      </c>
      <c r="M825" s="2" t="s">
        <v>8349</v>
      </c>
      <c r="N825" s="3" t="s">
        <v>87</v>
      </c>
      <c r="O825" s="2" t="s">
        <v>8350</v>
      </c>
      <c r="P825" s="3" t="s">
        <v>64</v>
      </c>
      <c r="R825" s="3" t="s">
        <v>65</v>
      </c>
      <c r="S825" s="4">
        <v>10</v>
      </c>
      <c r="T825" s="4">
        <v>10</v>
      </c>
      <c r="U825" s="5" t="s">
        <v>8351</v>
      </c>
      <c r="V825" s="5" t="s">
        <v>8351</v>
      </c>
      <c r="W825" s="5" t="s">
        <v>67</v>
      </c>
      <c r="X825" s="5" t="s">
        <v>67</v>
      </c>
      <c r="Y825" s="4">
        <v>196</v>
      </c>
      <c r="Z825" s="4">
        <v>4</v>
      </c>
      <c r="AA825" s="4">
        <v>4</v>
      </c>
      <c r="AB825" s="4">
        <v>1</v>
      </c>
      <c r="AC825" s="4">
        <v>1</v>
      </c>
      <c r="AD825" s="4">
        <v>39</v>
      </c>
      <c r="AE825" s="4">
        <v>39</v>
      </c>
      <c r="AF825" s="4">
        <v>0</v>
      </c>
      <c r="AG825" s="4">
        <v>0</v>
      </c>
      <c r="AH825" s="4">
        <v>37</v>
      </c>
      <c r="AI825" s="4">
        <v>37</v>
      </c>
      <c r="AJ825" s="4">
        <v>2</v>
      </c>
      <c r="AK825" s="4">
        <v>2</v>
      </c>
      <c r="AL825" s="4">
        <v>22</v>
      </c>
      <c r="AM825" s="4">
        <v>22</v>
      </c>
      <c r="AN825" s="4">
        <v>0</v>
      </c>
      <c r="AO825" s="4">
        <v>0</v>
      </c>
      <c r="AP825" s="4">
        <v>2</v>
      </c>
      <c r="AQ825" s="4">
        <v>2</v>
      </c>
      <c r="AR825" s="3" t="s">
        <v>62</v>
      </c>
      <c r="AS825" s="3" t="s">
        <v>62</v>
      </c>
      <c r="AT825" s="3" t="s">
        <v>62</v>
      </c>
      <c r="AV825" s="6" t="str">
        <f>HYPERLINK("http://mcgill.on.worldcat.org/oclc/6534814","Catalog Record")</f>
        <v>Catalog Record</v>
      </c>
      <c r="AW825" s="6" t="str">
        <f>HYPERLINK("http://www.worldcat.org/oclc/6534814","WorldCat Record")</f>
        <v>WorldCat Record</v>
      </c>
      <c r="AX825" s="3" t="s">
        <v>8352</v>
      </c>
      <c r="AY825" s="3" t="s">
        <v>8353</v>
      </c>
      <c r="AZ825" s="3" t="s">
        <v>8354</v>
      </c>
      <c r="BA825" s="3" t="s">
        <v>8354</v>
      </c>
      <c r="BB825" s="3" t="s">
        <v>8355</v>
      </c>
      <c r="BC825" s="3" t="s">
        <v>102</v>
      </c>
      <c r="BD825" s="3" t="s">
        <v>68</v>
      </c>
      <c r="BE825" s="3" t="s">
        <v>8356</v>
      </c>
      <c r="BF825" s="3" t="s">
        <v>8355</v>
      </c>
      <c r="BG825" s="3" t="s">
        <v>8357</v>
      </c>
    </row>
    <row r="826" spans="1:59" ht="174" x14ac:dyDescent="0.35">
      <c r="A826" s="2" t="s">
        <v>89</v>
      </c>
      <c r="B826" s="2" t="s">
        <v>90</v>
      </c>
      <c r="C826" s="2" t="s">
        <v>8358</v>
      </c>
      <c r="D826" s="2" t="s">
        <v>8359</v>
      </c>
      <c r="E826" s="2" t="s">
        <v>8360</v>
      </c>
      <c r="G826" s="3" t="s">
        <v>62</v>
      </c>
      <c r="I826" s="3" t="s">
        <v>62</v>
      </c>
      <c r="J826" s="3" t="s">
        <v>62</v>
      </c>
      <c r="K826" s="3" t="s">
        <v>63</v>
      </c>
      <c r="L826" s="2" t="s">
        <v>8361</v>
      </c>
      <c r="M826" s="2" t="s">
        <v>8362</v>
      </c>
      <c r="N826" s="3" t="s">
        <v>852</v>
      </c>
      <c r="O826" s="2" t="s">
        <v>8363</v>
      </c>
      <c r="P826" s="3" t="s">
        <v>1881</v>
      </c>
      <c r="Q826" s="2" t="s">
        <v>8364</v>
      </c>
      <c r="R826" s="3" t="s">
        <v>65</v>
      </c>
      <c r="S826" s="4">
        <v>4</v>
      </c>
      <c r="T826" s="4">
        <v>4</v>
      </c>
      <c r="U826" s="5" t="s">
        <v>2767</v>
      </c>
      <c r="V826" s="5" t="s">
        <v>2767</v>
      </c>
      <c r="W826" s="5" t="s">
        <v>67</v>
      </c>
      <c r="X826" s="5" t="s">
        <v>67</v>
      </c>
      <c r="Y826" s="4">
        <v>27</v>
      </c>
      <c r="Z826" s="4">
        <v>5</v>
      </c>
      <c r="AA826" s="4">
        <v>13</v>
      </c>
      <c r="AB826" s="4">
        <v>1</v>
      </c>
      <c r="AC826" s="4">
        <v>2</v>
      </c>
      <c r="AD826" s="4">
        <v>13</v>
      </c>
      <c r="AE826" s="4">
        <v>65</v>
      </c>
      <c r="AF826" s="4">
        <v>0</v>
      </c>
      <c r="AG826" s="4">
        <v>1</v>
      </c>
      <c r="AH826" s="4">
        <v>11</v>
      </c>
      <c r="AI826" s="4">
        <v>59</v>
      </c>
      <c r="AJ826" s="4">
        <v>3</v>
      </c>
      <c r="AK826" s="4">
        <v>8</v>
      </c>
      <c r="AL826" s="4">
        <v>5</v>
      </c>
      <c r="AM826" s="4">
        <v>41</v>
      </c>
      <c r="AN826" s="4">
        <v>0</v>
      </c>
      <c r="AO826" s="4">
        <v>0</v>
      </c>
      <c r="AP826" s="4">
        <v>4</v>
      </c>
      <c r="AQ826" s="4">
        <v>9</v>
      </c>
      <c r="AR826" s="3" t="s">
        <v>62</v>
      </c>
      <c r="AS826" s="3" t="s">
        <v>62</v>
      </c>
      <c r="AT826" s="3" t="s">
        <v>62</v>
      </c>
      <c r="AV826" s="6" t="str">
        <f>HYPERLINK("http://mcgill.on.worldcat.org/oclc/4502124","Catalog Record")</f>
        <v>Catalog Record</v>
      </c>
      <c r="AW826" s="6" t="str">
        <f>HYPERLINK("http://www.worldcat.org/oclc/4502124","WorldCat Record")</f>
        <v>WorldCat Record</v>
      </c>
      <c r="AX826" s="3" t="s">
        <v>8365</v>
      </c>
      <c r="AY826" s="3" t="s">
        <v>8366</v>
      </c>
      <c r="AZ826" s="3" t="s">
        <v>8367</v>
      </c>
      <c r="BA826" s="3" t="s">
        <v>8367</v>
      </c>
      <c r="BB826" s="3" t="s">
        <v>8368</v>
      </c>
      <c r="BC826" s="3" t="s">
        <v>102</v>
      </c>
      <c r="BD826" s="3" t="s">
        <v>68</v>
      </c>
      <c r="BF826" s="3" t="s">
        <v>8368</v>
      </c>
      <c r="BG826" s="3" t="s">
        <v>8369</v>
      </c>
    </row>
    <row r="827" spans="1:59" ht="58" x14ac:dyDescent="0.35">
      <c r="A827" s="2" t="s">
        <v>89</v>
      </c>
      <c r="B827" s="2" t="s">
        <v>90</v>
      </c>
      <c r="C827" s="2" t="s">
        <v>8370</v>
      </c>
      <c r="D827" s="2" t="s">
        <v>8371</v>
      </c>
      <c r="E827" s="2" t="s">
        <v>8372</v>
      </c>
      <c r="G827" s="3" t="s">
        <v>62</v>
      </c>
      <c r="I827" s="3" t="s">
        <v>61</v>
      </c>
      <c r="J827" s="3" t="s">
        <v>62</v>
      </c>
      <c r="K827" s="3" t="s">
        <v>63</v>
      </c>
      <c r="M827" s="2" t="s">
        <v>8373</v>
      </c>
      <c r="N827" s="3" t="s">
        <v>880</v>
      </c>
      <c r="P827" s="3" t="s">
        <v>64</v>
      </c>
      <c r="R827" s="3" t="s">
        <v>65</v>
      </c>
      <c r="S827" s="4">
        <v>0</v>
      </c>
      <c r="T827" s="4">
        <v>0</v>
      </c>
      <c r="W827" s="5" t="s">
        <v>67</v>
      </c>
      <c r="X827" s="5" t="s">
        <v>67</v>
      </c>
      <c r="Y827" s="4">
        <v>103</v>
      </c>
      <c r="Z827" s="4">
        <v>11</v>
      </c>
      <c r="AA827" s="4">
        <v>77</v>
      </c>
      <c r="AB827" s="4">
        <v>2</v>
      </c>
      <c r="AC827" s="4">
        <v>14</v>
      </c>
      <c r="AD827" s="4">
        <v>29</v>
      </c>
      <c r="AE827" s="4">
        <v>96</v>
      </c>
      <c r="AF827" s="4">
        <v>1</v>
      </c>
      <c r="AG827" s="4">
        <v>8</v>
      </c>
      <c r="AH827" s="4">
        <v>22</v>
      </c>
      <c r="AI827" s="4">
        <v>64</v>
      </c>
      <c r="AJ827" s="4">
        <v>9</v>
      </c>
      <c r="AK827" s="4">
        <v>21</v>
      </c>
      <c r="AL827" s="4">
        <v>15</v>
      </c>
      <c r="AM827" s="4">
        <v>31</v>
      </c>
      <c r="AN827" s="4">
        <v>0</v>
      </c>
      <c r="AO827" s="4">
        <v>0</v>
      </c>
      <c r="AP827" s="4">
        <v>10</v>
      </c>
      <c r="AQ827" s="4">
        <v>40</v>
      </c>
      <c r="AR827" s="3" t="s">
        <v>62</v>
      </c>
      <c r="AS827" s="3" t="s">
        <v>62</v>
      </c>
      <c r="AT827" s="3" t="s">
        <v>62</v>
      </c>
      <c r="AV827" s="6" t="str">
        <f>HYPERLINK("http://mcgill.on.worldcat.org/oclc/506249103","Catalog Record")</f>
        <v>Catalog Record</v>
      </c>
      <c r="AW827" s="6" t="str">
        <f>HYPERLINK("http://www.worldcat.org/oclc/506249103","WorldCat Record")</f>
        <v>WorldCat Record</v>
      </c>
      <c r="AX827" s="3" t="s">
        <v>8374</v>
      </c>
      <c r="AY827" s="3" t="s">
        <v>8375</v>
      </c>
      <c r="AZ827" s="3" t="s">
        <v>8376</v>
      </c>
      <c r="BA827" s="3" t="s">
        <v>8376</v>
      </c>
      <c r="BB827" s="3" t="s">
        <v>8377</v>
      </c>
      <c r="BC827" s="3" t="s">
        <v>102</v>
      </c>
      <c r="BD827" s="3" t="s">
        <v>68</v>
      </c>
      <c r="BE827" s="3" t="s">
        <v>8378</v>
      </c>
      <c r="BF827" s="3" t="s">
        <v>8377</v>
      </c>
      <c r="BG827" s="3" t="s">
        <v>8379</v>
      </c>
    </row>
    <row r="828" spans="1:59" ht="58" x14ac:dyDescent="0.35">
      <c r="A828" s="2" t="s">
        <v>89</v>
      </c>
      <c r="B828" s="2" t="s">
        <v>90</v>
      </c>
      <c r="C828" s="2" t="s">
        <v>8380</v>
      </c>
      <c r="D828" s="2" t="s">
        <v>8381</v>
      </c>
      <c r="E828" s="2" t="s">
        <v>8382</v>
      </c>
      <c r="G828" s="3" t="s">
        <v>62</v>
      </c>
      <c r="I828" s="3" t="s">
        <v>62</v>
      </c>
      <c r="J828" s="3" t="s">
        <v>62</v>
      </c>
      <c r="K828" s="3" t="s">
        <v>63</v>
      </c>
      <c r="M828" s="2" t="s">
        <v>8383</v>
      </c>
      <c r="N828" s="3" t="s">
        <v>698</v>
      </c>
      <c r="P828" s="3" t="s">
        <v>64</v>
      </c>
      <c r="Q828" s="2" t="s">
        <v>8384</v>
      </c>
      <c r="R828" s="3" t="s">
        <v>65</v>
      </c>
      <c r="S828" s="4">
        <v>0</v>
      </c>
      <c r="T828" s="4">
        <v>0</v>
      </c>
      <c r="W828" s="5" t="s">
        <v>67</v>
      </c>
      <c r="X828" s="5" t="s">
        <v>67</v>
      </c>
      <c r="Y828" s="4">
        <v>31</v>
      </c>
      <c r="Z828" s="4">
        <v>2</v>
      </c>
      <c r="AA828" s="4">
        <v>62</v>
      </c>
      <c r="AB828" s="4">
        <v>1</v>
      </c>
      <c r="AC828" s="4">
        <v>8</v>
      </c>
      <c r="AD828" s="4">
        <v>15</v>
      </c>
      <c r="AE828" s="4">
        <v>90</v>
      </c>
      <c r="AF828" s="4">
        <v>0</v>
      </c>
      <c r="AG828" s="4">
        <v>4</v>
      </c>
      <c r="AH828" s="4">
        <v>14</v>
      </c>
      <c r="AI828" s="4">
        <v>60</v>
      </c>
      <c r="AJ828" s="4">
        <v>1</v>
      </c>
      <c r="AK828" s="4">
        <v>20</v>
      </c>
      <c r="AL828" s="4">
        <v>9</v>
      </c>
      <c r="AM828" s="4">
        <v>29</v>
      </c>
      <c r="AN828" s="4">
        <v>0</v>
      </c>
      <c r="AO828" s="4">
        <v>0</v>
      </c>
      <c r="AP828" s="4">
        <v>1</v>
      </c>
      <c r="AQ828" s="4">
        <v>35</v>
      </c>
      <c r="AR828" s="3" t="s">
        <v>62</v>
      </c>
      <c r="AS828" s="3" t="s">
        <v>62</v>
      </c>
      <c r="AT828" s="3" t="s">
        <v>62</v>
      </c>
      <c r="AV828" s="6" t="str">
        <f>HYPERLINK("http://mcgill.on.worldcat.org/oclc/751836929","Catalog Record")</f>
        <v>Catalog Record</v>
      </c>
      <c r="AW828" s="6" t="str">
        <f>HYPERLINK("http://www.worldcat.org/oclc/751836929","WorldCat Record")</f>
        <v>WorldCat Record</v>
      </c>
      <c r="AX828" s="3" t="s">
        <v>8385</v>
      </c>
      <c r="AY828" s="3" t="s">
        <v>8386</v>
      </c>
      <c r="AZ828" s="3" t="s">
        <v>8387</v>
      </c>
      <c r="BA828" s="3" t="s">
        <v>8387</v>
      </c>
      <c r="BB828" s="3" t="s">
        <v>8388</v>
      </c>
      <c r="BC828" s="3" t="s">
        <v>102</v>
      </c>
      <c r="BD828" s="3" t="s">
        <v>68</v>
      </c>
      <c r="BE828" s="3" t="s">
        <v>8389</v>
      </c>
      <c r="BF828" s="3" t="s">
        <v>8388</v>
      </c>
      <c r="BG828" s="3" t="s">
        <v>8390</v>
      </c>
    </row>
    <row r="829" spans="1:59" ht="58" x14ac:dyDescent="0.35">
      <c r="A829" s="2" t="s">
        <v>89</v>
      </c>
      <c r="B829" s="2" t="s">
        <v>90</v>
      </c>
      <c r="C829" s="2" t="s">
        <v>8391</v>
      </c>
      <c r="D829" s="2" t="s">
        <v>8392</v>
      </c>
      <c r="E829" s="2" t="s">
        <v>8393</v>
      </c>
      <c r="G829" s="3" t="s">
        <v>62</v>
      </c>
      <c r="I829" s="3" t="s">
        <v>62</v>
      </c>
      <c r="J829" s="3" t="s">
        <v>62</v>
      </c>
      <c r="K829" s="3" t="s">
        <v>63</v>
      </c>
      <c r="L829" s="2" t="s">
        <v>8394</v>
      </c>
      <c r="M829" s="2" t="s">
        <v>8395</v>
      </c>
      <c r="N829" s="3" t="s">
        <v>1639</v>
      </c>
      <c r="P829" s="3" t="s">
        <v>64</v>
      </c>
      <c r="Q829" s="2" t="s">
        <v>8396</v>
      </c>
      <c r="R829" s="3" t="s">
        <v>65</v>
      </c>
      <c r="S829" s="4">
        <v>10</v>
      </c>
      <c r="T829" s="4">
        <v>10</v>
      </c>
      <c r="U829" s="5" t="s">
        <v>5023</v>
      </c>
      <c r="V829" s="5" t="s">
        <v>5023</v>
      </c>
      <c r="W829" s="5" t="s">
        <v>67</v>
      </c>
      <c r="X829" s="5" t="s">
        <v>67</v>
      </c>
      <c r="Y829" s="4">
        <v>217</v>
      </c>
      <c r="Z829" s="4">
        <v>24</v>
      </c>
      <c r="AA829" s="4">
        <v>26</v>
      </c>
      <c r="AB829" s="4">
        <v>2</v>
      </c>
      <c r="AC829" s="4">
        <v>2</v>
      </c>
      <c r="AD829" s="4">
        <v>84</v>
      </c>
      <c r="AE829" s="4">
        <v>86</v>
      </c>
      <c r="AF829" s="4">
        <v>1</v>
      </c>
      <c r="AG829" s="4">
        <v>1</v>
      </c>
      <c r="AH829" s="4">
        <v>72</v>
      </c>
      <c r="AI829" s="4">
        <v>73</v>
      </c>
      <c r="AJ829" s="4">
        <v>16</v>
      </c>
      <c r="AK829" s="4">
        <v>17</v>
      </c>
      <c r="AL829" s="4">
        <v>43</v>
      </c>
      <c r="AM829" s="4">
        <v>43</v>
      </c>
      <c r="AN829" s="4">
        <v>0</v>
      </c>
      <c r="AO829" s="4">
        <v>0</v>
      </c>
      <c r="AP829" s="4">
        <v>18</v>
      </c>
      <c r="AQ829" s="4">
        <v>20</v>
      </c>
      <c r="AR829" s="3" t="s">
        <v>62</v>
      </c>
      <c r="AS829" s="3" t="s">
        <v>62</v>
      </c>
      <c r="AT829" s="3" t="s">
        <v>61</v>
      </c>
      <c r="AU829" s="6" t="str">
        <f>HYPERLINK("http://catalog.hathitrust.org/Record/001483655","HathiTrust Record")</f>
        <v>HathiTrust Record</v>
      </c>
      <c r="AV829" s="6" t="str">
        <f>HYPERLINK("http://mcgill.on.worldcat.org/oclc/397046","Catalog Record")</f>
        <v>Catalog Record</v>
      </c>
      <c r="AW829" s="6" t="str">
        <f>HYPERLINK("http://www.worldcat.org/oclc/397046","WorldCat Record")</f>
        <v>WorldCat Record</v>
      </c>
      <c r="AX829" s="3" t="s">
        <v>8397</v>
      </c>
      <c r="AY829" s="3" t="s">
        <v>8398</v>
      </c>
      <c r="AZ829" s="3" t="s">
        <v>8399</v>
      </c>
      <c r="BA829" s="3" t="s">
        <v>8399</v>
      </c>
      <c r="BB829" s="3" t="s">
        <v>8400</v>
      </c>
      <c r="BC829" s="3" t="s">
        <v>102</v>
      </c>
      <c r="BD829" s="3" t="s">
        <v>68</v>
      </c>
      <c r="BE829" s="3" t="s">
        <v>8401</v>
      </c>
      <c r="BF829" s="3" t="s">
        <v>8400</v>
      </c>
      <c r="BG829" s="3" t="s">
        <v>8402</v>
      </c>
    </row>
    <row r="830" spans="1:59" ht="58" x14ac:dyDescent="0.35">
      <c r="A830" s="2" t="s">
        <v>89</v>
      </c>
      <c r="B830" s="2" t="s">
        <v>90</v>
      </c>
      <c r="C830" s="2" t="s">
        <v>8403</v>
      </c>
      <c r="D830" s="2" t="s">
        <v>8404</v>
      </c>
      <c r="E830" s="2" t="s">
        <v>8405</v>
      </c>
      <c r="G830" s="3" t="s">
        <v>62</v>
      </c>
      <c r="I830" s="3" t="s">
        <v>62</v>
      </c>
      <c r="J830" s="3" t="s">
        <v>62</v>
      </c>
      <c r="K830" s="3" t="s">
        <v>63</v>
      </c>
      <c r="L830" s="2" t="s">
        <v>7296</v>
      </c>
      <c r="M830" s="2" t="s">
        <v>8406</v>
      </c>
      <c r="N830" s="3" t="s">
        <v>655</v>
      </c>
      <c r="P830" s="3" t="s">
        <v>64</v>
      </c>
      <c r="Q830" s="2" t="s">
        <v>8407</v>
      </c>
      <c r="R830" s="3" t="s">
        <v>65</v>
      </c>
      <c r="S830" s="4">
        <v>8</v>
      </c>
      <c r="T830" s="4">
        <v>8</v>
      </c>
      <c r="U830" s="5" t="s">
        <v>868</v>
      </c>
      <c r="V830" s="5" t="s">
        <v>868</v>
      </c>
      <c r="W830" s="5" t="s">
        <v>67</v>
      </c>
      <c r="X830" s="5" t="s">
        <v>67</v>
      </c>
      <c r="Y830" s="4">
        <v>135</v>
      </c>
      <c r="Z830" s="4">
        <v>18</v>
      </c>
      <c r="AA830" s="4">
        <v>96</v>
      </c>
      <c r="AB830" s="4">
        <v>2</v>
      </c>
      <c r="AC830" s="4">
        <v>19</v>
      </c>
      <c r="AD830" s="4">
        <v>47</v>
      </c>
      <c r="AE830" s="4">
        <v>129</v>
      </c>
      <c r="AF830" s="4">
        <v>0</v>
      </c>
      <c r="AG830" s="4">
        <v>9</v>
      </c>
      <c r="AH830" s="4">
        <v>38</v>
      </c>
      <c r="AI830" s="4">
        <v>85</v>
      </c>
      <c r="AJ830" s="4">
        <v>7</v>
      </c>
      <c r="AK830" s="4">
        <v>25</v>
      </c>
      <c r="AL830" s="4">
        <v>19</v>
      </c>
      <c r="AM830" s="4">
        <v>44</v>
      </c>
      <c r="AN830" s="4">
        <v>0</v>
      </c>
      <c r="AO830" s="4">
        <v>0</v>
      </c>
      <c r="AP830" s="4">
        <v>12</v>
      </c>
      <c r="AQ830" s="4">
        <v>51</v>
      </c>
      <c r="AR830" s="3" t="s">
        <v>61</v>
      </c>
      <c r="AS830" s="3" t="s">
        <v>62</v>
      </c>
      <c r="AT830" s="3" t="s">
        <v>62</v>
      </c>
      <c r="AV830" s="6" t="str">
        <f>HYPERLINK("http://mcgill.on.worldcat.org/oclc/144602109","Catalog Record")</f>
        <v>Catalog Record</v>
      </c>
      <c r="AW830" s="6" t="str">
        <f>HYPERLINK("http://www.worldcat.org/oclc/144602109","WorldCat Record")</f>
        <v>WorldCat Record</v>
      </c>
      <c r="AX830" s="3" t="s">
        <v>8408</v>
      </c>
      <c r="AY830" s="3" t="s">
        <v>8409</v>
      </c>
      <c r="AZ830" s="3" t="s">
        <v>8410</v>
      </c>
      <c r="BA830" s="3" t="s">
        <v>8410</v>
      </c>
      <c r="BB830" s="3" t="s">
        <v>8411</v>
      </c>
      <c r="BC830" s="3" t="s">
        <v>102</v>
      </c>
      <c r="BD830" s="3" t="s">
        <v>231</v>
      </c>
      <c r="BE830" s="3" t="s">
        <v>8412</v>
      </c>
      <c r="BF830" s="3" t="s">
        <v>8411</v>
      </c>
      <c r="BG830" s="3" t="s">
        <v>8413</v>
      </c>
    </row>
    <row r="831" spans="1:59" ht="58" x14ac:dyDescent="0.35">
      <c r="A831" s="2" t="s">
        <v>89</v>
      </c>
      <c r="B831" s="2" t="s">
        <v>90</v>
      </c>
      <c r="C831" s="2" t="s">
        <v>8414</v>
      </c>
      <c r="D831" s="2" t="s">
        <v>8415</v>
      </c>
      <c r="E831" s="2" t="s">
        <v>8416</v>
      </c>
      <c r="G831" s="3" t="s">
        <v>62</v>
      </c>
      <c r="I831" s="3" t="s">
        <v>62</v>
      </c>
      <c r="J831" s="3" t="s">
        <v>62</v>
      </c>
      <c r="K831" s="3" t="s">
        <v>63</v>
      </c>
      <c r="L831" s="2" t="s">
        <v>8417</v>
      </c>
      <c r="M831" s="2" t="s">
        <v>8418</v>
      </c>
      <c r="N831" s="3" t="s">
        <v>481</v>
      </c>
      <c r="P831" s="3" t="s">
        <v>64</v>
      </c>
      <c r="R831" s="3" t="s">
        <v>65</v>
      </c>
      <c r="S831" s="4">
        <v>20</v>
      </c>
      <c r="T831" s="4">
        <v>20</v>
      </c>
      <c r="U831" s="5" t="s">
        <v>8419</v>
      </c>
      <c r="V831" s="5" t="s">
        <v>8419</v>
      </c>
      <c r="W831" s="5" t="s">
        <v>67</v>
      </c>
      <c r="X831" s="5" t="s">
        <v>67</v>
      </c>
      <c r="Y831" s="4">
        <v>421</v>
      </c>
      <c r="Z831" s="4">
        <v>29</v>
      </c>
      <c r="AA831" s="4">
        <v>30</v>
      </c>
      <c r="AB831" s="4">
        <v>1</v>
      </c>
      <c r="AC831" s="4">
        <v>2</v>
      </c>
      <c r="AD831" s="4">
        <v>109</v>
      </c>
      <c r="AE831" s="4">
        <v>110</v>
      </c>
      <c r="AF831" s="4">
        <v>0</v>
      </c>
      <c r="AG831" s="4">
        <v>1</v>
      </c>
      <c r="AH831" s="4">
        <v>94</v>
      </c>
      <c r="AI831" s="4">
        <v>94</v>
      </c>
      <c r="AJ831" s="4">
        <v>16</v>
      </c>
      <c r="AK831" s="4">
        <v>17</v>
      </c>
      <c r="AL831" s="4">
        <v>52</v>
      </c>
      <c r="AM831" s="4">
        <v>52</v>
      </c>
      <c r="AN831" s="4">
        <v>0</v>
      </c>
      <c r="AO831" s="4">
        <v>0</v>
      </c>
      <c r="AP831" s="4">
        <v>20</v>
      </c>
      <c r="AQ831" s="4">
        <v>20</v>
      </c>
      <c r="AR831" s="3" t="s">
        <v>62</v>
      </c>
      <c r="AS831" s="3" t="s">
        <v>62</v>
      </c>
      <c r="AT831" s="3" t="s">
        <v>62</v>
      </c>
      <c r="AV831" s="6" t="str">
        <f>HYPERLINK("http://mcgill.on.worldcat.org/oclc/36327471","Catalog Record")</f>
        <v>Catalog Record</v>
      </c>
      <c r="AW831" s="6" t="str">
        <f>HYPERLINK("http://www.worldcat.org/oclc/36327471","WorldCat Record")</f>
        <v>WorldCat Record</v>
      </c>
      <c r="AX831" s="3" t="s">
        <v>8420</v>
      </c>
      <c r="AY831" s="3" t="s">
        <v>8421</v>
      </c>
      <c r="AZ831" s="3" t="s">
        <v>8422</v>
      </c>
      <c r="BA831" s="3" t="s">
        <v>8422</v>
      </c>
      <c r="BB831" s="3" t="s">
        <v>8423</v>
      </c>
      <c r="BC831" s="3" t="s">
        <v>102</v>
      </c>
      <c r="BD831" s="3" t="s">
        <v>68</v>
      </c>
      <c r="BE831" s="3" t="s">
        <v>8424</v>
      </c>
      <c r="BF831" s="3" t="s">
        <v>8423</v>
      </c>
      <c r="BG831" s="3" t="s">
        <v>8425</v>
      </c>
    </row>
    <row r="832" spans="1:59" ht="58" x14ac:dyDescent="0.35">
      <c r="A832" s="2" t="s">
        <v>89</v>
      </c>
      <c r="B832" s="2" t="s">
        <v>90</v>
      </c>
      <c r="C832" s="2" t="s">
        <v>8426</v>
      </c>
      <c r="D832" s="2" t="s">
        <v>8427</v>
      </c>
      <c r="E832" s="2" t="s">
        <v>8428</v>
      </c>
      <c r="G832" s="3" t="s">
        <v>62</v>
      </c>
      <c r="I832" s="3" t="s">
        <v>62</v>
      </c>
      <c r="J832" s="3" t="s">
        <v>62</v>
      </c>
      <c r="K832" s="3" t="s">
        <v>63</v>
      </c>
      <c r="L832" s="2" t="s">
        <v>8429</v>
      </c>
      <c r="M832" s="2" t="s">
        <v>8430</v>
      </c>
      <c r="N832" s="3" t="s">
        <v>115</v>
      </c>
      <c r="P832" s="3" t="s">
        <v>64</v>
      </c>
      <c r="R832" s="3" t="s">
        <v>65</v>
      </c>
      <c r="S832" s="4">
        <v>29</v>
      </c>
      <c r="T832" s="4">
        <v>29</v>
      </c>
      <c r="U832" s="5" t="s">
        <v>8431</v>
      </c>
      <c r="V832" s="5" t="s">
        <v>8431</v>
      </c>
      <c r="W832" s="5" t="s">
        <v>67</v>
      </c>
      <c r="X832" s="5" t="s">
        <v>67</v>
      </c>
      <c r="Y832" s="4">
        <v>760</v>
      </c>
      <c r="Z832" s="4">
        <v>44</v>
      </c>
      <c r="AA832" s="4">
        <v>50</v>
      </c>
      <c r="AB832" s="4">
        <v>2</v>
      </c>
      <c r="AC832" s="4">
        <v>6</v>
      </c>
      <c r="AD832" s="4">
        <v>114</v>
      </c>
      <c r="AE832" s="4">
        <v>119</v>
      </c>
      <c r="AF832" s="4">
        <v>1</v>
      </c>
      <c r="AG832" s="4">
        <v>4</v>
      </c>
      <c r="AH832" s="4">
        <v>88</v>
      </c>
      <c r="AI832" s="4">
        <v>90</v>
      </c>
      <c r="AJ832" s="4">
        <v>18</v>
      </c>
      <c r="AK832" s="4">
        <v>21</v>
      </c>
      <c r="AL832" s="4">
        <v>48</v>
      </c>
      <c r="AM832" s="4">
        <v>48</v>
      </c>
      <c r="AN832" s="4">
        <v>0</v>
      </c>
      <c r="AO832" s="4">
        <v>0</v>
      </c>
      <c r="AP832" s="4">
        <v>32</v>
      </c>
      <c r="AQ832" s="4">
        <v>35</v>
      </c>
      <c r="AR832" s="3" t="s">
        <v>62</v>
      </c>
      <c r="AS832" s="3" t="s">
        <v>62</v>
      </c>
      <c r="AT832" s="3" t="s">
        <v>62</v>
      </c>
      <c r="AV832" s="6" t="str">
        <f>HYPERLINK("http://mcgill.on.worldcat.org/oclc/18496537","Catalog Record")</f>
        <v>Catalog Record</v>
      </c>
      <c r="AW832" s="6" t="str">
        <f>HYPERLINK("http://www.worldcat.org/oclc/18496537","WorldCat Record")</f>
        <v>WorldCat Record</v>
      </c>
      <c r="AX832" s="3" t="s">
        <v>8432</v>
      </c>
      <c r="AY832" s="3" t="s">
        <v>8433</v>
      </c>
      <c r="AZ832" s="3" t="s">
        <v>8434</v>
      </c>
      <c r="BA832" s="3" t="s">
        <v>8434</v>
      </c>
      <c r="BB832" s="3" t="s">
        <v>8435</v>
      </c>
      <c r="BC832" s="3" t="s">
        <v>102</v>
      </c>
      <c r="BD832" s="3" t="s">
        <v>68</v>
      </c>
      <c r="BE832" s="3" t="s">
        <v>8436</v>
      </c>
      <c r="BF832" s="3" t="s">
        <v>8435</v>
      </c>
      <c r="BG832" s="3" t="s">
        <v>8437</v>
      </c>
    </row>
    <row r="833" spans="1:59" ht="58" x14ac:dyDescent="0.35">
      <c r="A833" s="2" t="s">
        <v>89</v>
      </c>
      <c r="B833" s="2" t="s">
        <v>90</v>
      </c>
      <c r="C833" s="2" t="s">
        <v>8438</v>
      </c>
      <c r="D833" s="2" t="s">
        <v>8439</v>
      </c>
      <c r="E833" s="2" t="s">
        <v>8440</v>
      </c>
      <c r="G833" s="3" t="s">
        <v>62</v>
      </c>
      <c r="I833" s="3" t="s">
        <v>62</v>
      </c>
      <c r="J833" s="3" t="s">
        <v>61</v>
      </c>
      <c r="K833" s="3" t="s">
        <v>63</v>
      </c>
      <c r="L833" s="2" t="s">
        <v>8441</v>
      </c>
      <c r="M833" s="2" t="s">
        <v>8442</v>
      </c>
      <c r="N833" s="3" t="s">
        <v>1038</v>
      </c>
      <c r="O833" s="2" t="s">
        <v>8443</v>
      </c>
      <c r="P833" s="3" t="s">
        <v>64</v>
      </c>
      <c r="Q833" s="2" t="s">
        <v>8444</v>
      </c>
      <c r="R833" s="3" t="s">
        <v>65</v>
      </c>
      <c r="S833" s="4">
        <v>12</v>
      </c>
      <c r="T833" s="4">
        <v>12</v>
      </c>
      <c r="U833" s="5" t="s">
        <v>2521</v>
      </c>
      <c r="V833" s="5" t="s">
        <v>2521</v>
      </c>
      <c r="W833" s="5" t="s">
        <v>67</v>
      </c>
      <c r="X833" s="5" t="s">
        <v>67</v>
      </c>
      <c r="Y833" s="4">
        <v>259</v>
      </c>
      <c r="Z833" s="4">
        <v>20</v>
      </c>
      <c r="AA833" s="4">
        <v>64</v>
      </c>
      <c r="AB833" s="4">
        <v>1</v>
      </c>
      <c r="AC833" s="4">
        <v>7</v>
      </c>
      <c r="AD833" s="4">
        <v>49</v>
      </c>
      <c r="AE833" s="4">
        <v>122</v>
      </c>
      <c r="AF833" s="4">
        <v>0</v>
      </c>
      <c r="AG833" s="4">
        <v>3</v>
      </c>
      <c r="AH833" s="4">
        <v>43</v>
      </c>
      <c r="AI833" s="4">
        <v>95</v>
      </c>
      <c r="AJ833" s="4">
        <v>9</v>
      </c>
      <c r="AK833" s="4">
        <v>21</v>
      </c>
      <c r="AL833" s="4">
        <v>22</v>
      </c>
      <c r="AM833" s="4">
        <v>53</v>
      </c>
      <c r="AN833" s="4">
        <v>0</v>
      </c>
      <c r="AO833" s="4">
        <v>0</v>
      </c>
      <c r="AP833" s="4">
        <v>13</v>
      </c>
      <c r="AQ833" s="4">
        <v>37</v>
      </c>
      <c r="AR833" s="3" t="s">
        <v>62</v>
      </c>
      <c r="AS833" s="3" t="s">
        <v>62</v>
      </c>
      <c r="AT833" s="3" t="s">
        <v>62</v>
      </c>
      <c r="AV833" s="6" t="str">
        <f>HYPERLINK("http://mcgill.on.worldcat.org/oclc/956523682","Catalog Record")</f>
        <v>Catalog Record</v>
      </c>
      <c r="AW833" s="6" t="str">
        <f>HYPERLINK("http://www.worldcat.org/oclc/956523682","WorldCat Record")</f>
        <v>WorldCat Record</v>
      </c>
      <c r="AX833" s="3" t="s">
        <v>8445</v>
      </c>
      <c r="AY833" s="3" t="s">
        <v>8446</v>
      </c>
      <c r="AZ833" s="3" t="s">
        <v>8447</v>
      </c>
      <c r="BA833" s="3" t="s">
        <v>8447</v>
      </c>
      <c r="BB833" s="3" t="s">
        <v>8448</v>
      </c>
      <c r="BC833" s="3" t="s">
        <v>102</v>
      </c>
      <c r="BD833" s="3" t="s">
        <v>68</v>
      </c>
      <c r="BE833" s="3" t="s">
        <v>8449</v>
      </c>
      <c r="BF833" s="3" t="s">
        <v>8448</v>
      </c>
      <c r="BG833" s="3" t="s">
        <v>8450</v>
      </c>
    </row>
    <row r="834" spans="1:59" ht="58" x14ac:dyDescent="0.35">
      <c r="A834" s="2" t="s">
        <v>89</v>
      </c>
      <c r="B834" s="2" t="s">
        <v>90</v>
      </c>
      <c r="C834" s="2" t="s">
        <v>8451</v>
      </c>
      <c r="D834" s="2" t="s">
        <v>8452</v>
      </c>
      <c r="E834" s="2" t="s">
        <v>8440</v>
      </c>
      <c r="G834" s="3" t="s">
        <v>62</v>
      </c>
      <c r="I834" s="3" t="s">
        <v>61</v>
      </c>
      <c r="J834" s="3" t="s">
        <v>61</v>
      </c>
      <c r="K834" s="3" t="s">
        <v>63</v>
      </c>
      <c r="L834" s="2" t="s">
        <v>8453</v>
      </c>
      <c r="M834" s="2" t="s">
        <v>4023</v>
      </c>
      <c r="N834" s="3" t="s">
        <v>596</v>
      </c>
      <c r="P834" s="3" t="s">
        <v>64</v>
      </c>
      <c r="Q834" s="2" t="s">
        <v>8454</v>
      </c>
      <c r="R834" s="3" t="s">
        <v>65</v>
      </c>
      <c r="S834" s="4">
        <v>32</v>
      </c>
      <c r="T834" s="4">
        <v>63</v>
      </c>
      <c r="U834" s="5" t="s">
        <v>8455</v>
      </c>
      <c r="V834" s="5" t="s">
        <v>1484</v>
      </c>
      <c r="W834" s="5" t="s">
        <v>67</v>
      </c>
      <c r="X834" s="5" t="s">
        <v>67</v>
      </c>
      <c r="Y834" s="4">
        <v>770</v>
      </c>
      <c r="Z834" s="4">
        <v>48</v>
      </c>
      <c r="AA834" s="4">
        <v>64</v>
      </c>
      <c r="AB834" s="4">
        <v>3</v>
      </c>
      <c r="AC834" s="4">
        <v>7</v>
      </c>
      <c r="AD834" s="4">
        <v>100</v>
      </c>
      <c r="AE834" s="4">
        <v>122</v>
      </c>
      <c r="AF834" s="4">
        <v>1</v>
      </c>
      <c r="AG834" s="4">
        <v>3</v>
      </c>
      <c r="AH834" s="4">
        <v>79</v>
      </c>
      <c r="AI834" s="4">
        <v>95</v>
      </c>
      <c r="AJ834" s="4">
        <v>14</v>
      </c>
      <c r="AK834" s="4">
        <v>21</v>
      </c>
      <c r="AL834" s="4">
        <v>48</v>
      </c>
      <c r="AM834" s="4">
        <v>53</v>
      </c>
      <c r="AN834" s="4">
        <v>0</v>
      </c>
      <c r="AO834" s="4">
        <v>0</v>
      </c>
      <c r="AP834" s="4">
        <v>27</v>
      </c>
      <c r="AQ834" s="4">
        <v>37</v>
      </c>
      <c r="AR834" s="3" t="s">
        <v>62</v>
      </c>
      <c r="AS834" s="3" t="s">
        <v>62</v>
      </c>
      <c r="AT834" s="3" t="s">
        <v>62</v>
      </c>
      <c r="AV834" s="6" t="str">
        <f>HYPERLINK("http://mcgill.on.worldcat.org/oclc/48932644","Catalog Record")</f>
        <v>Catalog Record</v>
      </c>
      <c r="AW834" s="6" t="str">
        <f>HYPERLINK("http://www.worldcat.org/oclc/48932644","WorldCat Record")</f>
        <v>WorldCat Record</v>
      </c>
      <c r="AX834" s="3" t="s">
        <v>8445</v>
      </c>
      <c r="AY834" s="3" t="s">
        <v>8456</v>
      </c>
      <c r="AZ834" s="3" t="s">
        <v>8457</v>
      </c>
      <c r="BA834" s="3" t="s">
        <v>8457</v>
      </c>
      <c r="BB834" s="3" t="s">
        <v>8458</v>
      </c>
      <c r="BC834" s="3" t="s">
        <v>102</v>
      </c>
      <c r="BD834" s="3" t="s">
        <v>68</v>
      </c>
      <c r="BE834" s="3" t="s">
        <v>8459</v>
      </c>
      <c r="BF834" s="3" t="s">
        <v>8458</v>
      </c>
      <c r="BG834" s="3" t="s">
        <v>8460</v>
      </c>
    </row>
    <row r="835" spans="1:59" ht="58" x14ac:dyDescent="0.35">
      <c r="A835" s="2" t="s">
        <v>89</v>
      </c>
      <c r="B835" s="2" t="s">
        <v>90</v>
      </c>
      <c r="C835" s="2" t="s">
        <v>8461</v>
      </c>
      <c r="D835" s="2" t="s">
        <v>8462</v>
      </c>
      <c r="E835" s="2" t="s">
        <v>8463</v>
      </c>
      <c r="G835" s="3" t="s">
        <v>62</v>
      </c>
      <c r="I835" s="3" t="s">
        <v>62</v>
      </c>
      <c r="J835" s="3" t="s">
        <v>61</v>
      </c>
      <c r="K835" s="3" t="s">
        <v>63</v>
      </c>
      <c r="M835" s="2" t="s">
        <v>8464</v>
      </c>
      <c r="N835" s="3" t="s">
        <v>424</v>
      </c>
      <c r="P835" s="3" t="s">
        <v>64</v>
      </c>
      <c r="Q835" s="2" t="s">
        <v>8465</v>
      </c>
      <c r="R835" s="3" t="s">
        <v>65</v>
      </c>
      <c r="S835" s="4">
        <v>13</v>
      </c>
      <c r="T835" s="4">
        <v>13</v>
      </c>
      <c r="U835" s="5" t="s">
        <v>8466</v>
      </c>
      <c r="V835" s="5" t="s">
        <v>8466</v>
      </c>
      <c r="W835" s="5" t="s">
        <v>67</v>
      </c>
      <c r="X835" s="5" t="s">
        <v>67</v>
      </c>
      <c r="Y835" s="4">
        <v>115</v>
      </c>
      <c r="Z835" s="4">
        <v>7</v>
      </c>
      <c r="AA835" s="4">
        <v>43</v>
      </c>
      <c r="AB835" s="4">
        <v>2</v>
      </c>
      <c r="AC835" s="4">
        <v>6</v>
      </c>
      <c r="AD835" s="4">
        <v>28</v>
      </c>
      <c r="AE835" s="4">
        <v>135</v>
      </c>
      <c r="AF835" s="4">
        <v>0</v>
      </c>
      <c r="AG835" s="4">
        <v>3</v>
      </c>
      <c r="AH835" s="4">
        <v>22</v>
      </c>
      <c r="AI835" s="4">
        <v>112</v>
      </c>
      <c r="AJ835" s="4">
        <v>5</v>
      </c>
      <c r="AK835" s="4">
        <v>23</v>
      </c>
      <c r="AL835" s="4">
        <v>12</v>
      </c>
      <c r="AM835" s="4">
        <v>60</v>
      </c>
      <c r="AN835" s="4">
        <v>0</v>
      </c>
      <c r="AO835" s="4">
        <v>0</v>
      </c>
      <c r="AP835" s="4">
        <v>4</v>
      </c>
      <c r="AQ835" s="4">
        <v>28</v>
      </c>
      <c r="AR835" s="3" t="s">
        <v>62</v>
      </c>
      <c r="AS835" s="3" t="s">
        <v>62</v>
      </c>
      <c r="AT835" s="3" t="s">
        <v>62</v>
      </c>
      <c r="AV835" s="6" t="str">
        <f>HYPERLINK("http://mcgill.on.worldcat.org/oclc/16832674","Catalog Record")</f>
        <v>Catalog Record</v>
      </c>
      <c r="AW835" s="6" t="str">
        <f>HYPERLINK("http://www.worldcat.org/oclc/16832674","WorldCat Record")</f>
        <v>WorldCat Record</v>
      </c>
      <c r="AX835" s="3" t="s">
        <v>8467</v>
      </c>
      <c r="AY835" s="3" t="s">
        <v>8468</v>
      </c>
      <c r="AZ835" s="3" t="s">
        <v>8469</v>
      </c>
      <c r="BA835" s="3" t="s">
        <v>8469</v>
      </c>
      <c r="BB835" s="3" t="s">
        <v>8470</v>
      </c>
      <c r="BC835" s="3" t="s">
        <v>102</v>
      </c>
      <c r="BD835" s="3" t="s">
        <v>68</v>
      </c>
      <c r="BE835" s="3" t="s">
        <v>8471</v>
      </c>
      <c r="BF835" s="3" t="s">
        <v>8470</v>
      </c>
      <c r="BG835" s="3" t="s">
        <v>8472</v>
      </c>
    </row>
    <row r="836" spans="1:59" ht="58" x14ac:dyDescent="0.35">
      <c r="A836" s="2" t="s">
        <v>89</v>
      </c>
      <c r="B836" s="2" t="s">
        <v>90</v>
      </c>
      <c r="C836" s="2" t="s">
        <v>8473</v>
      </c>
      <c r="D836" s="2" t="s">
        <v>8474</v>
      </c>
      <c r="E836" s="2" t="s">
        <v>8475</v>
      </c>
      <c r="G836" s="3" t="s">
        <v>62</v>
      </c>
      <c r="I836" s="3" t="s">
        <v>62</v>
      </c>
      <c r="J836" s="3" t="s">
        <v>62</v>
      </c>
      <c r="K836" s="3" t="s">
        <v>63</v>
      </c>
      <c r="M836" s="2" t="s">
        <v>8476</v>
      </c>
      <c r="N836" s="3" t="s">
        <v>1038</v>
      </c>
      <c r="P836" s="3" t="s">
        <v>64</v>
      </c>
      <c r="Q836" s="2" t="s">
        <v>8477</v>
      </c>
      <c r="R836" s="3" t="s">
        <v>65</v>
      </c>
      <c r="S836" s="4">
        <v>1</v>
      </c>
      <c r="T836" s="4">
        <v>1</v>
      </c>
      <c r="U836" s="5" t="s">
        <v>6903</v>
      </c>
      <c r="V836" s="5" t="s">
        <v>6903</v>
      </c>
      <c r="W836" s="5" t="s">
        <v>67</v>
      </c>
      <c r="X836" s="5" t="s">
        <v>67</v>
      </c>
      <c r="Y836" s="4">
        <v>228</v>
      </c>
      <c r="Z836" s="4">
        <v>19</v>
      </c>
      <c r="AA836" s="4">
        <v>28</v>
      </c>
      <c r="AB836" s="4">
        <v>1</v>
      </c>
      <c r="AC836" s="4">
        <v>3</v>
      </c>
      <c r="AD836" s="4">
        <v>57</v>
      </c>
      <c r="AE836" s="4">
        <v>74</v>
      </c>
      <c r="AF836" s="4">
        <v>0</v>
      </c>
      <c r="AG836" s="4">
        <v>2</v>
      </c>
      <c r="AH836" s="4">
        <v>50</v>
      </c>
      <c r="AI836" s="4">
        <v>62</v>
      </c>
      <c r="AJ836" s="4">
        <v>9</v>
      </c>
      <c r="AK836" s="4">
        <v>16</v>
      </c>
      <c r="AL836" s="4">
        <v>26</v>
      </c>
      <c r="AM836" s="4">
        <v>33</v>
      </c>
      <c r="AN836" s="4">
        <v>0</v>
      </c>
      <c r="AO836" s="4">
        <v>0</v>
      </c>
      <c r="AP836" s="4">
        <v>13</v>
      </c>
      <c r="AQ836" s="4">
        <v>20</v>
      </c>
      <c r="AR836" s="3" t="s">
        <v>62</v>
      </c>
      <c r="AS836" s="3" t="s">
        <v>62</v>
      </c>
      <c r="AT836" s="3" t="s">
        <v>62</v>
      </c>
      <c r="AV836" s="6" t="str">
        <f>HYPERLINK("http://mcgill.on.worldcat.org/oclc/933596096","Catalog Record")</f>
        <v>Catalog Record</v>
      </c>
      <c r="AW836" s="6" t="str">
        <f>HYPERLINK("http://www.worldcat.org/oclc/933596096","WorldCat Record")</f>
        <v>WorldCat Record</v>
      </c>
      <c r="AX836" s="3" t="s">
        <v>8478</v>
      </c>
      <c r="AY836" s="3" t="s">
        <v>8479</v>
      </c>
      <c r="AZ836" s="3" t="s">
        <v>8480</v>
      </c>
      <c r="BA836" s="3" t="s">
        <v>8480</v>
      </c>
      <c r="BB836" s="3" t="s">
        <v>8481</v>
      </c>
      <c r="BC836" s="3" t="s">
        <v>102</v>
      </c>
      <c r="BD836" s="3" t="s">
        <v>68</v>
      </c>
      <c r="BE836" s="3" t="s">
        <v>8482</v>
      </c>
      <c r="BF836" s="3" t="s">
        <v>8481</v>
      </c>
      <c r="BG836" s="3" t="s">
        <v>8483</v>
      </c>
    </row>
    <row r="837" spans="1:59" ht="58" x14ac:dyDescent="0.35">
      <c r="A837" s="2" t="s">
        <v>89</v>
      </c>
      <c r="B837" s="2" t="s">
        <v>90</v>
      </c>
      <c r="C837" s="2" t="s">
        <v>8484</v>
      </c>
      <c r="D837" s="2" t="s">
        <v>8485</v>
      </c>
      <c r="E837" s="2" t="s">
        <v>8486</v>
      </c>
      <c r="G837" s="3" t="s">
        <v>62</v>
      </c>
      <c r="I837" s="3" t="s">
        <v>61</v>
      </c>
      <c r="J837" s="3" t="s">
        <v>62</v>
      </c>
      <c r="K837" s="3" t="s">
        <v>63</v>
      </c>
      <c r="M837" s="2" t="s">
        <v>8487</v>
      </c>
      <c r="N837" s="3" t="s">
        <v>3062</v>
      </c>
      <c r="P837" s="3" t="s">
        <v>64</v>
      </c>
      <c r="R837" s="3" t="s">
        <v>65</v>
      </c>
      <c r="S837" s="4">
        <v>8</v>
      </c>
      <c r="T837" s="4">
        <v>14</v>
      </c>
      <c r="U837" s="5" t="s">
        <v>1954</v>
      </c>
      <c r="V837" s="5" t="s">
        <v>1954</v>
      </c>
      <c r="W837" s="5" t="s">
        <v>67</v>
      </c>
      <c r="X837" s="5" t="s">
        <v>67</v>
      </c>
      <c r="Y837" s="4">
        <v>300</v>
      </c>
      <c r="Z837" s="4">
        <v>20</v>
      </c>
      <c r="AA837" s="4">
        <v>24</v>
      </c>
      <c r="AB837" s="4">
        <v>1</v>
      </c>
      <c r="AC837" s="4">
        <v>3</v>
      </c>
      <c r="AD837" s="4">
        <v>91</v>
      </c>
      <c r="AE837" s="4">
        <v>93</v>
      </c>
      <c r="AF837" s="4">
        <v>0</v>
      </c>
      <c r="AG837" s="4">
        <v>1</v>
      </c>
      <c r="AH837" s="4">
        <v>80</v>
      </c>
      <c r="AI837" s="4">
        <v>81</v>
      </c>
      <c r="AJ837" s="4">
        <v>12</v>
      </c>
      <c r="AK837" s="4">
        <v>14</v>
      </c>
      <c r="AL837" s="4">
        <v>45</v>
      </c>
      <c r="AM837" s="4">
        <v>45</v>
      </c>
      <c r="AN837" s="4">
        <v>0</v>
      </c>
      <c r="AO837" s="4">
        <v>0</v>
      </c>
      <c r="AP837" s="4">
        <v>17</v>
      </c>
      <c r="AQ837" s="4">
        <v>19</v>
      </c>
      <c r="AR837" s="3" t="s">
        <v>62</v>
      </c>
      <c r="AS837" s="3" t="s">
        <v>62</v>
      </c>
      <c r="AT837" s="3" t="s">
        <v>61</v>
      </c>
      <c r="AU837" s="6" t="str">
        <f>HYPERLINK("http://catalog.hathitrust.org/Record/002465245","HathiTrust Record")</f>
        <v>HathiTrust Record</v>
      </c>
      <c r="AV837" s="6" t="str">
        <f>HYPERLINK("http://mcgill.on.worldcat.org/oclc/23216092","Catalog Record")</f>
        <v>Catalog Record</v>
      </c>
      <c r="AW837" s="6" t="str">
        <f>HYPERLINK("http://www.worldcat.org/oclc/23216092","WorldCat Record")</f>
        <v>WorldCat Record</v>
      </c>
      <c r="AX837" s="3" t="s">
        <v>8488</v>
      </c>
      <c r="AY837" s="3" t="s">
        <v>8489</v>
      </c>
      <c r="AZ837" s="3" t="s">
        <v>8490</v>
      </c>
      <c r="BA837" s="3" t="s">
        <v>8490</v>
      </c>
      <c r="BB837" s="3" t="s">
        <v>8491</v>
      </c>
      <c r="BC837" s="3" t="s">
        <v>102</v>
      </c>
      <c r="BD837" s="3" t="s">
        <v>231</v>
      </c>
      <c r="BE837" s="3" t="s">
        <v>8492</v>
      </c>
      <c r="BF837" s="3" t="s">
        <v>8491</v>
      </c>
      <c r="BG837" s="3" t="s">
        <v>8493</v>
      </c>
    </row>
    <row r="838" spans="1:59" ht="58" x14ac:dyDescent="0.35">
      <c r="A838" s="2" t="s">
        <v>89</v>
      </c>
      <c r="B838" s="2" t="s">
        <v>90</v>
      </c>
      <c r="C838" s="2" t="s">
        <v>8494</v>
      </c>
      <c r="D838" s="2" t="s">
        <v>8495</v>
      </c>
      <c r="E838" s="2" t="s">
        <v>8496</v>
      </c>
      <c r="F838" s="3" t="s">
        <v>2214</v>
      </c>
      <c r="G838" s="3" t="s">
        <v>61</v>
      </c>
      <c r="I838" s="3" t="s">
        <v>62</v>
      </c>
      <c r="J838" s="3" t="s">
        <v>62</v>
      </c>
      <c r="K838" s="3" t="s">
        <v>63</v>
      </c>
      <c r="M838" s="2" t="s">
        <v>8497</v>
      </c>
      <c r="N838" s="3" t="s">
        <v>568</v>
      </c>
      <c r="P838" s="3" t="s">
        <v>64</v>
      </c>
      <c r="R838" s="3" t="s">
        <v>65</v>
      </c>
      <c r="S838" s="4">
        <v>1</v>
      </c>
      <c r="T838" s="4">
        <v>4</v>
      </c>
      <c r="U838" s="5" t="s">
        <v>8498</v>
      </c>
      <c r="V838" s="5" t="s">
        <v>8499</v>
      </c>
      <c r="W838" s="5" t="s">
        <v>67</v>
      </c>
      <c r="X838" s="5" t="s">
        <v>67</v>
      </c>
      <c r="Y838" s="4">
        <v>93</v>
      </c>
      <c r="Z838" s="4">
        <v>3</v>
      </c>
      <c r="AA838" s="4">
        <v>5</v>
      </c>
      <c r="AB838" s="4">
        <v>1</v>
      </c>
      <c r="AC838" s="4">
        <v>3</v>
      </c>
      <c r="AD838" s="4">
        <v>29</v>
      </c>
      <c r="AE838" s="4">
        <v>29</v>
      </c>
      <c r="AF838" s="4">
        <v>0</v>
      </c>
      <c r="AG838" s="4">
        <v>0</v>
      </c>
      <c r="AH838" s="4">
        <v>27</v>
      </c>
      <c r="AI838" s="4">
        <v>27</v>
      </c>
      <c r="AJ838" s="4">
        <v>2</v>
      </c>
      <c r="AK838" s="4">
        <v>2</v>
      </c>
      <c r="AL838" s="4">
        <v>18</v>
      </c>
      <c r="AM838" s="4">
        <v>18</v>
      </c>
      <c r="AN838" s="4">
        <v>0</v>
      </c>
      <c r="AO838" s="4">
        <v>0</v>
      </c>
      <c r="AP838" s="4">
        <v>2</v>
      </c>
      <c r="AQ838" s="4">
        <v>2</v>
      </c>
      <c r="AR838" s="3" t="s">
        <v>62</v>
      </c>
      <c r="AS838" s="3" t="s">
        <v>62</v>
      </c>
      <c r="AT838" s="3" t="s">
        <v>62</v>
      </c>
      <c r="AV838" s="6" t="str">
        <f t="shared" ref="AV838:AV843" si="24">HYPERLINK("http://mcgill.on.worldcat.org/oclc/41991325","Catalog Record")</f>
        <v>Catalog Record</v>
      </c>
      <c r="AW838" s="6" t="str">
        <f t="shared" ref="AW838:AW843" si="25">HYPERLINK("http://www.worldcat.org/oclc/41991325","WorldCat Record")</f>
        <v>WorldCat Record</v>
      </c>
      <c r="AX838" s="3" t="s">
        <v>8500</v>
      </c>
      <c r="AY838" s="3" t="s">
        <v>8501</v>
      </c>
      <c r="AZ838" s="3" t="s">
        <v>8502</v>
      </c>
      <c r="BA838" s="3" t="s">
        <v>8502</v>
      </c>
      <c r="BB838" s="3" t="s">
        <v>8503</v>
      </c>
      <c r="BC838" s="3" t="s">
        <v>102</v>
      </c>
      <c r="BD838" s="3" t="s">
        <v>68</v>
      </c>
      <c r="BE838" s="3" t="s">
        <v>8504</v>
      </c>
      <c r="BF838" s="3" t="s">
        <v>8503</v>
      </c>
      <c r="BG838" s="3" t="s">
        <v>8505</v>
      </c>
    </row>
    <row r="839" spans="1:59" ht="58" x14ac:dyDescent="0.35">
      <c r="A839" s="2" t="s">
        <v>89</v>
      </c>
      <c r="B839" s="2" t="s">
        <v>90</v>
      </c>
      <c r="C839" s="2" t="s">
        <v>8494</v>
      </c>
      <c r="D839" s="2" t="s">
        <v>8495</v>
      </c>
      <c r="E839" s="2" t="s">
        <v>8496</v>
      </c>
      <c r="F839" s="3" t="s">
        <v>2237</v>
      </c>
      <c r="G839" s="3" t="s">
        <v>61</v>
      </c>
      <c r="I839" s="3" t="s">
        <v>62</v>
      </c>
      <c r="J839" s="3" t="s">
        <v>62</v>
      </c>
      <c r="K839" s="3" t="s">
        <v>63</v>
      </c>
      <c r="M839" s="2" t="s">
        <v>8497</v>
      </c>
      <c r="N839" s="3" t="s">
        <v>568</v>
      </c>
      <c r="P839" s="3" t="s">
        <v>64</v>
      </c>
      <c r="R839" s="3" t="s">
        <v>65</v>
      </c>
      <c r="S839" s="4">
        <v>1</v>
      </c>
      <c r="T839" s="4">
        <v>4</v>
      </c>
      <c r="U839" s="5" t="s">
        <v>8499</v>
      </c>
      <c r="V839" s="5" t="s">
        <v>8499</v>
      </c>
      <c r="W839" s="5" t="s">
        <v>67</v>
      </c>
      <c r="X839" s="5" t="s">
        <v>67</v>
      </c>
      <c r="Y839" s="4">
        <v>93</v>
      </c>
      <c r="Z839" s="4">
        <v>3</v>
      </c>
      <c r="AA839" s="4">
        <v>5</v>
      </c>
      <c r="AB839" s="4">
        <v>1</v>
      </c>
      <c r="AC839" s="4">
        <v>3</v>
      </c>
      <c r="AD839" s="4">
        <v>29</v>
      </c>
      <c r="AE839" s="4">
        <v>29</v>
      </c>
      <c r="AF839" s="4">
        <v>0</v>
      </c>
      <c r="AG839" s="4">
        <v>0</v>
      </c>
      <c r="AH839" s="4">
        <v>27</v>
      </c>
      <c r="AI839" s="4">
        <v>27</v>
      </c>
      <c r="AJ839" s="4">
        <v>2</v>
      </c>
      <c r="AK839" s="4">
        <v>2</v>
      </c>
      <c r="AL839" s="4">
        <v>18</v>
      </c>
      <c r="AM839" s="4">
        <v>18</v>
      </c>
      <c r="AN839" s="4">
        <v>0</v>
      </c>
      <c r="AO839" s="4">
        <v>0</v>
      </c>
      <c r="AP839" s="4">
        <v>2</v>
      </c>
      <c r="AQ839" s="4">
        <v>2</v>
      </c>
      <c r="AR839" s="3" t="s">
        <v>62</v>
      </c>
      <c r="AS839" s="3" t="s">
        <v>62</v>
      </c>
      <c r="AT839" s="3" t="s">
        <v>62</v>
      </c>
      <c r="AV839" s="6" t="str">
        <f t="shared" si="24"/>
        <v>Catalog Record</v>
      </c>
      <c r="AW839" s="6" t="str">
        <f t="shared" si="25"/>
        <v>WorldCat Record</v>
      </c>
      <c r="AX839" s="3" t="s">
        <v>8500</v>
      </c>
      <c r="AY839" s="3" t="s">
        <v>8501</v>
      </c>
      <c r="AZ839" s="3" t="s">
        <v>8502</v>
      </c>
      <c r="BA839" s="3" t="s">
        <v>8502</v>
      </c>
      <c r="BB839" s="3" t="s">
        <v>8506</v>
      </c>
      <c r="BC839" s="3" t="s">
        <v>102</v>
      </c>
      <c r="BD839" s="3" t="s">
        <v>68</v>
      </c>
      <c r="BE839" s="3" t="s">
        <v>8504</v>
      </c>
      <c r="BF839" s="3" t="s">
        <v>8506</v>
      </c>
      <c r="BG839" s="3" t="s">
        <v>8507</v>
      </c>
    </row>
    <row r="840" spans="1:59" ht="58" x14ac:dyDescent="0.35">
      <c r="A840" s="2" t="s">
        <v>89</v>
      </c>
      <c r="B840" s="2" t="s">
        <v>90</v>
      </c>
      <c r="C840" s="2" t="s">
        <v>8494</v>
      </c>
      <c r="D840" s="2" t="s">
        <v>8495</v>
      </c>
      <c r="E840" s="2" t="s">
        <v>8496</v>
      </c>
      <c r="F840" s="3" t="s">
        <v>2248</v>
      </c>
      <c r="G840" s="3" t="s">
        <v>61</v>
      </c>
      <c r="I840" s="3" t="s">
        <v>62</v>
      </c>
      <c r="J840" s="3" t="s">
        <v>62</v>
      </c>
      <c r="K840" s="3" t="s">
        <v>63</v>
      </c>
      <c r="M840" s="2" t="s">
        <v>8497</v>
      </c>
      <c r="N840" s="3" t="s">
        <v>568</v>
      </c>
      <c r="P840" s="3" t="s">
        <v>64</v>
      </c>
      <c r="R840" s="3" t="s">
        <v>65</v>
      </c>
      <c r="S840" s="4">
        <v>0</v>
      </c>
      <c r="T840" s="4">
        <v>4</v>
      </c>
      <c r="V840" s="5" t="s">
        <v>8499</v>
      </c>
      <c r="W840" s="5" t="s">
        <v>67</v>
      </c>
      <c r="X840" s="5" t="s">
        <v>67</v>
      </c>
      <c r="Y840" s="4">
        <v>93</v>
      </c>
      <c r="Z840" s="4">
        <v>3</v>
      </c>
      <c r="AA840" s="4">
        <v>5</v>
      </c>
      <c r="AB840" s="4">
        <v>1</v>
      </c>
      <c r="AC840" s="4">
        <v>3</v>
      </c>
      <c r="AD840" s="4">
        <v>29</v>
      </c>
      <c r="AE840" s="4">
        <v>29</v>
      </c>
      <c r="AF840" s="4">
        <v>0</v>
      </c>
      <c r="AG840" s="4">
        <v>0</v>
      </c>
      <c r="AH840" s="4">
        <v>27</v>
      </c>
      <c r="AI840" s="4">
        <v>27</v>
      </c>
      <c r="AJ840" s="4">
        <v>2</v>
      </c>
      <c r="AK840" s="4">
        <v>2</v>
      </c>
      <c r="AL840" s="4">
        <v>18</v>
      </c>
      <c r="AM840" s="4">
        <v>18</v>
      </c>
      <c r="AN840" s="4">
        <v>0</v>
      </c>
      <c r="AO840" s="4">
        <v>0</v>
      </c>
      <c r="AP840" s="4">
        <v>2</v>
      </c>
      <c r="AQ840" s="4">
        <v>2</v>
      </c>
      <c r="AR840" s="3" t="s">
        <v>62</v>
      </c>
      <c r="AS840" s="3" t="s">
        <v>62</v>
      </c>
      <c r="AT840" s="3" t="s">
        <v>62</v>
      </c>
      <c r="AV840" s="6" t="str">
        <f t="shared" si="24"/>
        <v>Catalog Record</v>
      </c>
      <c r="AW840" s="6" t="str">
        <f t="shared" si="25"/>
        <v>WorldCat Record</v>
      </c>
      <c r="AX840" s="3" t="s">
        <v>8500</v>
      </c>
      <c r="AY840" s="3" t="s">
        <v>8501</v>
      </c>
      <c r="AZ840" s="3" t="s">
        <v>8502</v>
      </c>
      <c r="BA840" s="3" t="s">
        <v>8502</v>
      </c>
      <c r="BB840" s="3" t="s">
        <v>8508</v>
      </c>
      <c r="BC840" s="3" t="s">
        <v>102</v>
      </c>
      <c r="BD840" s="3" t="s">
        <v>68</v>
      </c>
      <c r="BE840" s="3" t="s">
        <v>8504</v>
      </c>
      <c r="BF840" s="3" t="s">
        <v>8508</v>
      </c>
      <c r="BG840" s="3" t="s">
        <v>8509</v>
      </c>
    </row>
    <row r="841" spans="1:59" ht="58" x14ac:dyDescent="0.35">
      <c r="A841" s="2" t="s">
        <v>89</v>
      </c>
      <c r="B841" s="2" t="s">
        <v>90</v>
      </c>
      <c r="C841" s="2" t="s">
        <v>8494</v>
      </c>
      <c r="D841" s="2" t="s">
        <v>8495</v>
      </c>
      <c r="E841" s="2" t="s">
        <v>8496</v>
      </c>
      <c r="F841" s="3" t="s">
        <v>2233</v>
      </c>
      <c r="G841" s="3" t="s">
        <v>61</v>
      </c>
      <c r="I841" s="3" t="s">
        <v>62</v>
      </c>
      <c r="J841" s="3" t="s">
        <v>62</v>
      </c>
      <c r="K841" s="3" t="s">
        <v>63</v>
      </c>
      <c r="M841" s="2" t="s">
        <v>8497</v>
      </c>
      <c r="N841" s="3" t="s">
        <v>568</v>
      </c>
      <c r="P841" s="3" t="s">
        <v>64</v>
      </c>
      <c r="R841" s="3" t="s">
        <v>65</v>
      </c>
      <c r="S841" s="4">
        <v>1</v>
      </c>
      <c r="T841" s="4">
        <v>4</v>
      </c>
      <c r="U841" s="5" t="s">
        <v>8510</v>
      </c>
      <c r="V841" s="5" t="s">
        <v>8499</v>
      </c>
      <c r="W841" s="5" t="s">
        <v>67</v>
      </c>
      <c r="X841" s="5" t="s">
        <v>67</v>
      </c>
      <c r="Y841" s="4">
        <v>93</v>
      </c>
      <c r="Z841" s="4">
        <v>3</v>
      </c>
      <c r="AA841" s="4">
        <v>5</v>
      </c>
      <c r="AB841" s="4">
        <v>1</v>
      </c>
      <c r="AC841" s="4">
        <v>3</v>
      </c>
      <c r="AD841" s="4">
        <v>29</v>
      </c>
      <c r="AE841" s="4">
        <v>29</v>
      </c>
      <c r="AF841" s="4">
        <v>0</v>
      </c>
      <c r="AG841" s="4">
        <v>0</v>
      </c>
      <c r="AH841" s="4">
        <v>27</v>
      </c>
      <c r="AI841" s="4">
        <v>27</v>
      </c>
      <c r="AJ841" s="4">
        <v>2</v>
      </c>
      <c r="AK841" s="4">
        <v>2</v>
      </c>
      <c r="AL841" s="4">
        <v>18</v>
      </c>
      <c r="AM841" s="4">
        <v>18</v>
      </c>
      <c r="AN841" s="4">
        <v>0</v>
      </c>
      <c r="AO841" s="4">
        <v>0</v>
      </c>
      <c r="AP841" s="4">
        <v>2</v>
      </c>
      <c r="AQ841" s="4">
        <v>2</v>
      </c>
      <c r="AR841" s="3" t="s">
        <v>62</v>
      </c>
      <c r="AS841" s="3" t="s">
        <v>62</v>
      </c>
      <c r="AT841" s="3" t="s">
        <v>62</v>
      </c>
      <c r="AV841" s="6" t="str">
        <f t="shared" si="24"/>
        <v>Catalog Record</v>
      </c>
      <c r="AW841" s="6" t="str">
        <f t="shared" si="25"/>
        <v>WorldCat Record</v>
      </c>
      <c r="AX841" s="3" t="s">
        <v>8500</v>
      </c>
      <c r="AY841" s="3" t="s">
        <v>8501</v>
      </c>
      <c r="AZ841" s="3" t="s">
        <v>8502</v>
      </c>
      <c r="BA841" s="3" t="s">
        <v>8502</v>
      </c>
      <c r="BB841" s="3" t="s">
        <v>8511</v>
      </c>
      <c r="BC841" s="3" t="s">
        <v>102</v>
      </c>
      <c r="BD841" s="3" t="s">
        <v>68</v>
      </c>
      <c r="BE841" s="3" t="s">
        <v>8504</v>
      </c>
      <c r="BF841" s="3" t="s">
        <v>8511</v>
      </c>
      <c r="BG841" s="3" t="s">
        <v>8512</v>
      </c>
    </row>
    <row r="842" spans="1:59" ht="58" x14ac:dyDescent="0.35">
      <c r="A842" s="2" t="s">
        <v>89</v>
      </c>
      <c r="B842" s="2" t="s">
        <v>90</v>
      </c>
      <c r="C842" s="2" t="s">
        <v>8494</v>
      </c>
      <c r="D842" s="2" t="s">
        <v>8495</v>
      </c>
      <c r="E842" s="2" t="s">
        <v>8496</v>
      </c>
      <c r="F842" s="3" t="s">
        <v>2223</v>
      </c>
      <c r="G842" s="3" t="s">
        <v>61</v>
      </c>
      <c r="I842" s="3" t="s">
        <v>62</v>
      </c>
      <c r="J842" s="3" t="s">
        <v>62</v>
      </c>
      <c r="K842" s="3" t="s">
        <v>63</v>
      </c>
      <c r="M842" s="2" t="s">
        <v>8497</v>
      </c>
      <c r="N842" s="3" t="s">
        <v>568</v>
      </c>
      <c r="P842" s="3" t="s">
        <v>64</v>
      </c>
      <c r="R842" s="3" t="s">
        <v>65</v>
      </c>
      <c r="S842" s="4">
        <v>0</v>
      </c>
      <c r="T842" s="4">
        <v>4</v>
      </c>
      <c r="V842" s="5" t="s">
        <v>8499</v>
      </c>
      <c r="W842" s="5" t="s">
        <v>67</v>
      </c>
      <c r="X842" s="5" t="s">
        <v>67</v>
      </c>
      <c r="Y842" s="4">
        <v>93</v>
      </c>
      <c r="Z842" s="4">
        <v>3</v>
      </c>
      <c r="AA842" s="4">
        <v>5</v>
      </c>
      <c r="AB842" s="4">
        <v>1</v>
      </c>
      <c r="AC842" s="4">
        <v>3</v>
      </c>
      <c r="AD842" s="4">
        <v>29</v>
      </c>
      <c r="AE842" s="4">
        <v>29</v>
      </c>
      <c r="AF842" s="4">
        <v>0</v>
      </c>
      <c r="AG842" s="4">
        <v>0</v>
      </c>
      <c r="AH842" s="4">
        <v>27</v>
      </c>
      <c r="AI842" s="4">
        <v>27</v>
      </c>
      <c r="AJ842" s="4">
        <v>2</v>
      </c>
      <c r="AK842" s="4">
        <v>2</v>
      </c>
      <c r="AL842" s="4">
        <v>18</v>
      </c>
      <c r="AM842" s="4">
        <v>18</v>
      </c>
      <c r="AN842" s="4">
        <v>0</v>
      </c>
      <c r="AO842" s="4">
        <v>0</v>
      </c>
      <c r="AP842" s="4">
        <v>2</v>
      </c>
      <c r="AQ842" s="4">
        <v>2</v>
      </c>
      <c r="AR842" s="3" t="s">
        <v>62</v>
      </c>
      <c r="AS842" s="3" t="s">
        <v>62</v>
      </c>
      <c r="AT842" s="3" t="s">
        <v>62</v>
      </c>
      <c r="AV842" s="6" t="str">
        <f t="shared" si="24"/>
        <v>Catalog Record</v>
      </c>
      <c r="AW842" s="6" t="str">
        <f t="shared" si="25"/>
        <v>WorldCat Record</v>
      </c>
      <c r="AX842" s="3" t="s">
        <v>8500</v>
      </c>
      <c r="AY842" s="3" t="s">
        <v>8501</v>
      </c>
      <c r="AZ842" s="3" t="s">
        <v>8502</v>
      </c>
      <c r="BA842" s="3" t="s">
        <v>8502</v>
      </c>
      <c r="BB842" s="3" t="s">
        <v>8513</v>
      </c>
      <c r="BC842" s="3" t="s">
        <v>102</v>
      </c>
      <c r="BD842" s="3" t="s">
        <v>68</v>
      </c>
      <c r="BE842" s="3" t="s">
        <v>8504</v>
      </c>
      <c r="BF842" s="3" t="s">
        <v>8513</v>
      </c>
      <c r="BG842" s="3" t="s">
        <v>8514</v>
      </c>
    </row>
    <row r="843" spans="1:59" ht="58" x14ac:dyDescent="0.35">
      <c r="A843" s="2" t="s">
        <v>89</v>
      </c>
      <c r="B843" s="2" t="s">
        <v>90</v>
      </c>
      <c r="C843" s="2" t="s">
        <v>8494</v>
      </c>
      <c r="D843" s="2" t="s">
        <v>8495</v>
      </c>
      <c r="E843" s="2" t="s">
        <v>8496</v>
      </c>
      <c r="F843" s="3" t="s">
        <v>2217</v>
      </c>
      <c r="G843" s="3" t="s">
        <v>61</v>
      </c>
      <c r="I843" s="3" t="s">
        <v>62</v>
      </c>
      <c r="J843" s="3" t="s">
        <v>62</v>
      </c>
      <c r="K843" s="3" t="s">
        <v>63</v>
      </c>
      <c r="M843" s="2" t="s">
        <v>8497</v>
      </c>
      <c r="N843" s="3" t="s">
        <v>568</v>
      </c>
      <c r="P843" s="3" t="s">
        <v>64</v>
      </c>
      <c r="R843" s="3" t="s">
        <v>65</v>
      </c>
      <c r="S843" s="4">
        <v>1</v>
      </c>
      <c r="T843" s="4">
        <v>4</v>
      </c>
      <c r="U843" s="5" t="s">
        <v>8498</v>
      </c>
      <c r="V843" s="5" t="s">
        <v>8499</v>
      </c>
      <c r="W843" s="5" t="s">
        <v>67</v>
      </c>
      <c r="X843" s="5" t="s">
        <v>67</v>
      </c>
      <c r="Y843" s="4">
        <v>93</v>
      </c>
      <c r="Z843" s="4">
        <v>3</v>
      </c>
      <c r="AA843" s="4">
        <v>5</v>
      </c>
      <c r="AB843" s="4">
        <v>1</v>
      </c>
      <c r="AC843" s="4">
        <v>3</v>
      </c>
      <c r="AD843" s="4">
        <v>29</v>
      </c>
      <c r="AE843" s="4">
        <v>29</v>
      </c>
      <c r="AF843" s="4">
        <v>0</v>
      </c>
      <c r="AG843" s="4">
        <v>0</v>
      </c>
      <c r="AH843" s="4">
        <v>27</v>
      </c>
      <c r="AI843" s="4">
        <v>27</v>
      </c>
      <c r="AJ843" s="4">
        <v>2</v>
      </c>
      <c r="AK843" s="4">
        <v>2</v>
      </c>
      <c r="AL843" s="4">
        <v>18</v>
      </c>
      <c r="AM843" s="4">
        <v>18</v>
      </c>
      <c r="AN843" s="4">
        <v>0</v>
      </c>
      <c r="AO843" s="4">
        <v>0</v>
      </c>
      <c r="AP843" s="4">
        <v>2</v>
      </c>
      <c r="AQ843" s="4">
        <v>2</v>
      </c>
      <c r="AR843" s="3" t="s">
        <v>62</v>
      </c>
      <c r="AS843" s="3" t="s">
        <v>62</v>
      </c>
      <c r="AT843" s="3" t="s">
        <v>62</v>
      </c>
      <c r="AV843" s="6" t="str">
        <f t="shared" si="24"/>
        <v>Catalog Record</v>
      </c>
      <c r="AW843" s="6" t="str">
        <f t="shared" si="25"/>
        <v>WorldCat Record</v>
      </c>
      <c r="AX843" s="3" t="s">
        <v>8500</v>
      </c>
      <c r="AY843" s="3" t="s">
        <v>8501</v>
      </c>
      <c r="AZ843" s="3" t="s">
        <v>8502</v>
      </c>
      <c r="BA843" s="3" t="s">
        <v>8502</v>
      </c>
      <c r="BB843" s="3" t="s">
        <v>8515</v>
      </c>
      <c r="BC843" s="3" t="s">
        <v>102</v>
      </c>
      <c r="BD843" s="3" t="s">
        <v>68</v>
      </c>
      <c r="BE843" s="3" t="s">
        <v>8504</v>
      </c>
      <c r="BF843" s="3" t="s">
        <v>8515</v>
      </c>
      <c r="BG843" s="3" t="s">
        <v>8516</v>
      </c>
    </row>
    <row r="844" spans="1:59" ht="58" x14ac:dyDescent="0.35">
      <c r="A844" s="2" t="s">
        <v>89</v>
      </c>
      <c r="B844" s="2" t="s">
        <v>90</v>
      </c>
      <c r="C844" s="2" t="s">
        <v>8517</v>
      </c>
      <c r="D844" s="2" t="s">
        <v>8518</v>
      </c>
      <c r="E844" s="2" t="s">
        <v>8519</v>
      </c>
      <c r="G844" s="3" t="s">
        <v>62</v>
      </c>
      <c r="I844" s="3" t="s">
        <v>62</v>
      </c>
      <c r="J844" s="3" t="s">
        <v>62</v>
      </c>
      <c r="K844" s="3" t="s">
        <v>63</v>
      </c>
      <c r="M844" s="2" t="s">
        <v>8520</v>
      </c>
      <c r="N844" s="3" t="s">
        <v>1077</v>
      </c>
      <c r="P844" s="3" t="s">
        <v>64</v>
      </c>
      <c r="Q844" s="2" t="s">
        <v>8521</v>
      </c>
      <c r="R844" s="3" t="s">
        <v>65</v>
      </c>
      <c r="S844" s="4">
        <v>9</v>
      </c>
      <c r="T844" s="4">
        <v>9</v>
      </c>
      <c r="U844" s="5" t="s">
        <v>2529</v>
      </c>
      <c r="V844" s="5" t="s">
        <v>2529</v>
      </c>
      <c r="W844" s="5" t="s">
        <v>67</v>
      </c>
      <c r="X844" s="5" t="s">
        <v>67</v>
      </c>
      <c r="Y844" s="4">
        <v>345</v>
      </c>
      <c r="Z844" s="4">
        <v>15</v>
      </c>
      <c r="AA844" s="4">
        <v>17</v>
      </c>
      <c r="AB844" s="4">
        <v>2</v>
      </c>
      <c r="AC844" s="4">
        <v>4</v>
      </c>
      <c r="AD844" s="4">
        <v>93</v>
      </c>
      <c r="AE844" s="4">
        <v>96</v>
      </c>
      <c r="AF844" s="4">
        <v>1</v>
      </c>
      <c r="AG844" s="4">
        <v>3</v>
      </c>
      <c r="AH844" s="4">
        <v>84</v>
      </c>
      <c r="AI844" s="4">
        <v>86</v>
      </c>
      <c r="AJ844" s="4">
        <v>12</v>
      </c>
      <c r="AK844" s="4">
        <v>14</v>
      </c>
      <c r="AL844" s="4">
        <v>48</v>
      </c>
      <c r="AM844" s="4">
        <v>48</v>
      </c>
      <c r="AN844" s="4">
        <v>0</v>
      </c>
      <c r="AO844" s="4">
        <v>0</v>
      </c>
      <c r="AP844" s="4">
        <v>14</v>
      </c>
      <c r="AQ844" s="4">
        <v>16</v>
      </c>
      <c r="AR844" s="3" t="s">
        <v>62</v>
      </c>
      <c r="AS844" s="3" t="s">
        <v>62</v>
      </c>
      <c r="AT844" s="3" t="s">
        <v>61</v>
      </c>
      <c r="AU844" s="6" t="str">
        <f>HYPERLINK("http://catalog.hathitrust.org/Record/002882483","HathiTrust Record")</f>
        <v>HathiTrust Record</v>
      </c>
      <c r="AV844" s="6" t="str">
        <f>HYPERLINK("http://mcgill.on.worldcat.org/oclc/28183777","Catalog Record")</f>
        <v>Catalog Record</v>
      </c>
      <c r="AW844" s="6" t="str">
        <f>HYPERLINK("http://www.worldcat.org/oclc/28183777","WorldCat Record")</f>
        <v>WorldCat Record</v>
      </c>
      <c r="AX844" s="3" t="s">
        <v>8522</v>
      </c>
      <c r="AY844" s="3" t="s">
        <v>8523</v>
      </c>
      <c r="AZ844" s="3" t="s">
        <v>8524</v>
      </c>
      <c r="BA844" s="3" t="s">
        <v>8524</v>
      </c>
      <c r="BB844" s="3" t="s">
        <v>8525</v>
      </c>
      <c r="BC844" s="3" t="s">
        <v>102</v>
      </c>
      <c r="BD844" s="3" t="s">
        <v>68</v>
      </c>
      <c r="BE844" s="3" t="s">
        <v>8526</v>
      </c>
      <c r="BF844" s="3" t="s">
        <v>8525</v>
      </c>
      <c r="BG844" s="3" t="s">
        <v>8527</v>
      </c>
    </row>
    <row r="845" spans="1:59" ht="58" x14ac:dyDescent="0.35">
      <c r="A845" s="2" t="s">
        <v>89</v>
      </c>
      <c r="B845" s="2" t="s">
        <v>90</v>
      </c>
      <c r="C845" s="2" t="s">
        <v>8528</v>
      </c>
      <c r="D845" s="2" t="s">
        <v>8529</v>
      </c>
      <c r="E845" s="2" t="s">
        <v>8530</v>
      </c>
      <c r="G845" s="3" t="s">
        <v>62</v>
      </c>
      <c r="I845" s="3" t="s">
        <v>62</v>
      </c>
      <c r="J845" s="3" t="s">
        <v>62</v>
      </c>
      <c r="K845" s="3" t="s">
        <v>63</v>
      </c>
      <c r="M845" s="2" t="s">
        <v>8531</v>
      </c>
      <c r="N845" s="3" t="s">
        <v>539</v>
      </c>
      <c r="O845" s="2" t="s">
        <v>2163</v>
      </c>
      <c r="P845" s="3" t="s">
        <v>64</v>
      </c>
      <c r="R845" s="3" t="s">
        <v>65</v>
      </c>
      <c r="S845" s="4">
        <v>41</v>
      </c>
      <c r="T845" s="4">
        <v>41</v>
      </c>
      <c r="U845" s="5" t="s">
        <v>8532</v>
      </c>
      <c r="V845" s="5" t="s">
        <v>8532</v>
      </c>
      <c r="W845" s="5" t="s">
        <v>67</v>
      </c>
      <c r="X845" s="5" t="s">
        <v>67</v>
      </c>
      <c r="Y845" s="4">
        <v>386</v>
      </c>
      <c r="Z845" s="4">
        <v>27</v>
      </c>
      <c r="AA845" s="4">
        <v>33</v>
      </c>
      <c r="AB845" s="4">
        <v>3</v>
      </c>
      <c r="AC845" s="4">
        <v>5</v>
      </c>
      <c r="AD845" s="4">
        <v>75</v>
      </c>
      <c r="AE845" s="4">
        <v>87</v>
      </c>
      <c r="AF845" s="4">
        <v>1</v>
      </c>
      <c r="AG845" s="4">
        <v>2</v>
      </c>
      <c r="AH845" s="4">
        <v>64</v>
      </c>
      <c r="AI845" s="4">
        <v>74</v>
      </c>
      <c r="AJ845" s="4">
        <v>14</v>
      </c>
      <c r="AK845" s="4">
        <v>16</v>
      </c>
      <c r="AL845" s="4">
        <v>43</v>
      </c>
      <c r="AM845" s="4">
        <v>49</v>
      </c>
      <c r="AN845" s="4">
        <v>0</v>
      </c>
      <c r="AO845" s="4">
        <v>0</v>
      </c>
      <c r="AP845" s="4">
        <v>18</v>
      </c>
      <c r="AQ845" s="4">
        <v>20</v>
      </c>
      <c r="AR845" s="3" t="s">
        <v>62</v>
      </c>
      <c r="AS845" s="3" t="s">
        <v>62</v>
      </c>
      <c r="AT845" s="3" t="s">
        <v>62</v>
      </c>
      <c r="AV845" s="6" t="str">
        <f>HYPERLINK("http://mcgill.on.worldcat.org/oclc/37955435","Catalog Record")</f>
        <v>Catalog Record</v>
      </c>
      <c r="AW845" s="6" t="str">
        <f>HYPERLINK("http://www.worldcat.org/oclc/37955435","WorldCat Record")</f>
        <v>WorldCat Record</v>
      </c>
      <c r="AX845" s="3" t="s">
        <v>8533</v>
      </c>
      <c r="AY845" s="3" t="s">
        <v>8534</v>
      </c>
      <c r="AZ845" s="3" t="s">
        <v>8535</v>
      </c>
      <c r="BA845" s="3" t="s">
        <v>8535</v>
      </c>
      <c r="BB845" s="3" t="s">
        <v>8536</v>
      </c>
      <c r="BC845" s="3" t="s">
        <v>102</v>
      </c>
      <c r="BD845" s="3" t="s">
        <v>231</v>
      </c>
      <c r="BE845" s="3" t="s">
        <v>8537</v>
      </c>
      <c r="BF845" s="3" t="s">
        <v>8536</v>
      </c>
      <c r="BG845" s="3" t="s">
        <v>8538</v>
      </c>
    </row>
    <row r="846" spans="1:59" ht="58" x14ac:dyDescent="0.35">
      <c r="A846" s="2" t="s">
        <v>89</v>
      </c>
      <c r="B846" s="2" t="s">
        <v>90</v>
      </c>
      <c r="C846" s="2" t="s">
        <v>8539</v>
      </c>
      <c r="D846" s="2" t="s">
        <v>8540</v>
      </c>
      <c r="E846" s="2" t="s">
        <v>8541</v>
      </c>
      <c r="G846" s="3" t="s">
        <v>62</v>
      </c>
      <c r="I846" s="3" t="s">
        <v>62</v>
      </c>
      <c r="J846" s="3" t="s">
        <v>62</v>
      </c>
      <c r="K846" s="3" t="s">
        <v>63</v>
      </c>
      <c r="M846" s="2" t="s">
        <v>8542</v>
      </c>
      <c r="N846" s="3" t="s">
        <v>698</v>
      </c>
      <c r="P846" s="3" t="s">
        <v>64</v>
      </c>
      <c r="Q846" s="2" t="s">
        <v>8543</v>
      </c>
      <c r="R846" s="3" t="s">
        <v>65</v>
      </c>
      <c r="S846" s="4">
        <v>4</v>
      </c>
      <c r="T846" s="4">
        <v>4</v>
      </c>
      <c r="U846" s="5" t="s">
        <v>987</v>
      </c>
      <c r="V846" s="5" t="s">
        <v>987</v>
      </c>
      <c r="W846" s="5" t="s">
        <v>67</v>
      </c>
      <c r="X846" s="5" t="s">
        <v>67</v>
      </c>
      <c r="Y846" s="4">
        <v>188</v>
      </c>
      <c r="Z846" s="4">
        <v>18</v>
      </c>
      <c r="AA846" s="4">
        <v>110</v>
      </c>
      <c r="AB846" s="4">
        <v>3</v>
      </c>
      <c r="AC846" s="4">
        <v>15</v>
      </c>
      <c r="AD846" s="4">
        <v>54</v>
      </c>
      <c r="AE846" s="4">
        <v>126</v>
      </c>
      <c r="AF846" s="4">
        <v>1</v>
      </c>
      <c r="AG846" s="4">
        <v>8</v>
      </c>
      <c r="AH846" s="4">
        <v>47</v>
      </c>
      <c r="AI846" s="4">
        <v>84</v>
      </c>
      <c r="AJ846" s="4">
        <v>11</v>
      </c>
      <c r="AK846" s="4">
        <v>25</v>
      </c>
      <c r="AL846" s="4">
        <v>30</v>
      </c>
      <c r="AM846" s="4">
        <v>46</v>
      </c>
      <c r="AN846" s="4">
        <v>0</v>
      </c>
      <c r="AO846" s="4">
        <v>0</v>
      </c>
      <c r="AP846" s="4">
        <v>14</v>
      </c>
      <c r="AQ846" s="4">
        <v>50</v>
      </c>
      <c r="AR846" s="3" t="s">
        <v>62</v>
      </c>
      <c r="AS846" s="3" t="s">
        <v>62</v>
      </c>
      <c r="AT846" s="3" t="s">
        <v>62</v>
      </c>
      <c r="AV846" s="6" t="str">
        <f>HYPERLINK("http://mcgill.on.worldcat.org/oclc/648934496","Catalog Record")</f>
        <v>Catalog Record</v>
      </c>
      <c r="AW846" s="6" t="str">
        <f>HYPERLINK("http://www.worldcat.org/oclc/648934496","WorldCat Record")</f>
        <v>WorldCat Record</v>
      </c>
      <c r="AX846" s="3" t="s">
        <v>8544</v>
      </c>
      <c r="AY846" s="3" t="s">
        <v>8545</v>
      </c>
      <c r="AZ846" s="3" t="s">
        <v>8546</v>
      </c>
      <c r="BA846" s="3" t="s">
        <v>8546</v>
      </c>
      <c r="BB846" s="3" t="s">
        <v>8547</v>
      </c>
      <c r="BC846" s="3" t="s">
        <v>102</v>
      </c>
      <c r="BD846" s="3" t="s">
        <v>68</v>
      </c>
      <c r="BE846" s="3" t="s">
        <v>8548</v>
      </c>
      <c r="BF846" s="3" t="s">
        <v>8547</v>
      </c>
      <c r="BG846" s="3" t="s">
        <v>8549</v>
      </c>
    </row>
    <row r="847" spans="1:59" ht="58" x14ac:dyDescent="0.35">
      <c r="A847" s="2" t="s">
        <v>89</v>
      </c>
      <c r="B847" s="2" t="s">
        <v>90</v>
      </c>
      <c r="C847" s="2" t="s">
        <v>8550</v>
      </c>
      <c r="D847" s="2" t="s">
        <v>8551</v>
      </c>
      <c r="E847" s="2" t="s">
        <v>8552</v>
      </c>
      <c r="G847" s="3" t="s">
        <v>62</v>
      </c>
      <c r="I847" s="3" t="s">
        <v>61</v>
      </c>
      <c r="J847" s="3" t="s">
        <v>61</v>
      </c>
      <c r="K847" s="3" t="s">
        <v>63</v>
      </c>
      <c r="L847" s="2" t="s">
        <v>8553</v>
      </c>
      <c r="M847" s="2" t="s">
        <v>8554</v>
      </c>
      <c r="N847" s="3" t="s">
        <v>8555</v>
      </c>
      <c r="P847" s="3" t="s">
        <v>64</v>
      </c>
      <c r="R847" s="3" t="s">
        <v>65</v>
      </c>
      <c r="S847" s="4">
        <v>14</v>
      </c>
      <c r="T847" s="4">
        <v>18</v>
      </c>
      <c r="U847" s="5" t="s">
        <v>2401</v>
      </c>
      <c r="V847" s="5" t="s">
        <v>2401</v>
      </c>
      <c r="W847" s="5" t="s">
        <v>67</v>
      </c>
      <c r="X847" s="5" t="s">
        <v>67</v>
      </c>
      <c r="Y847" s="4">
        <v>134</v>
      </c>
      <c r="Z847" s="4">
        <v>8</v>
      </c>
      <c r="AA847" s="4">
        <v>29</v>
      </c>
      <c r="AB847" s="4">
        <v>1</v>
      </c>
      <c r="AC847" s="4">
        <v>5</v>
      </c>
      <c r="AD847" s="4">
        <v>34</v>
      </c>
      <c r="AE847" s="4">
        <v>122</v>
      </c>
      <c r="AF847" s="4">
        <v>0</v>
      </c>
      <c r="AG847" s="4">
        <v>4</v>
      </c>
      <c r="AH847" s="4">
        <v>27</v>
      </c>
      <c r="AI847" s="4">
        <v>102</v>
      </c>
      <c r="AJ847" s="4">
        <v>5</v>
      </c>
      <c r="AK847" s="4">
        <v>17</v>
      </c>
      <c r="AL847" s="4">
        <v>18</v>
      </c>
      <c r="AM847" s="4">
        <v>58</v>
      </c>
      <c r="AN847" s="4">
        <v>0</v>
      </c>
      <c r="AO847" s="4">
        <v>0</v>
      </c>
      <c r="AP847" s="4">
        <v>6</v>
      </c>
      <c r="AQ847" s="4">
        <v>24</v>
      </c>
      <c r="AR847" s="3" t="s">
        <v>62</v>
      </c>
      <c r="AS847" s="3" t="s">
        <v>62</v>
      </c>
      <c r="AT847" s="3" t="s">
        <v>61</v>
      </c>
      <c r="AU847" s="6" t="str">
        <f>HYPERLINK("http://catalog.hathitrust.org/Record/001988553","HathiTrust Record")</f>
        <v>HathiTrust Record</v>
      </c>
      <c r="AV847" s="6" t="str">
        <f>HYPERLINK("http://mcgill.on.worldcat.org/oclc/1883655","Catalog Record")</f>
        <v>Catalog Record</v>
      </c>
      <c r="AW847" s="6" t="str">
        <f>HYPERLINK("http://www.worldcat.org/oclc/1883655","WorldCat Record")</f>
        <v>WorldCat Record</v>
      </c>
      <c r="AX847" s="3" t="s">
        <v>8556</v>
      </c>
      <c r="AY847" s="3" t="s">
        <v>8557</v>
      </c>
      <c r="AZ847" s="3" t="s">
        <v>8558</v>
      </c>
      <c r="BA847" s="3" t="s">
        <v>8558</v>
      </c>
      <c r="BB847" s="3" t="s">
        <v>8559</v>
      </c>
      <c r="BC847" s="3" t="s">
        <v>102</v>
      </c>
      <c r="BD847" s="3" t="s">
        <v>68</v>
      </c>
      <c r="BF847" s="3" t="s">
        <v>8559</v>
      </c>
      <c r="BG847" s="3" t="s">
        <v>8560</v>
      </c>
    </row>
    <row r="848" spans="1:59" ht="58" x14ac:dyDescent="0.35">
      <c r="A848" s="2" t="s">
        <v>89</v>
      </c>
      <c r="B848" s="2" t="s">
        <v>90</v>
      </c>
      <c r="C848" s="2" t="s">
        <v>8550</v>
      </c>
      <c r="D848" s="2" t="s">
        <v>8551</v>
      </c>
      <c r="E848" s="2" t="s">
        <v>8552</v>
      </c>
      <c r="G848" s="3" t="s">
        <v>62</v>
      </c>
      <c r="I848" s="3" t="s">
        <v>61</v>
      </c>
      <c r="J848" s="3" t="s">
        <v>61</v>
      </c>
      <c r="K848" s="3" t="s">
        <v>63</v>
      </c>
      <c r="L848" s="2" t="s">
        <v>8553</v>
      </c>
      <c r="M848" s="2" t="s">
        <v>8554</v>
      </c>
      <c r="N848" s="3" t="s">
        <v>8555</v>
      </c>
      <c r="P848" s="3" t="s">
        <v>64</v>
      </c>
      <c r="R848" s="3" t="s">
        <v>65</v>
      </c>
      <c r="S848" s="4">
        <v>1</v>
      </c>
      <c r="T848" s="4">
        <v>18</v>
      </c>
      <c r="U848" s="5" t="s">
        <v>8561</v>
      </c>
      <c r="V848" s="5" t="s">
        <v>2401</v>
      </c>
      <c r="W848" s="5" t="s">
        <v>67</v>
      </c>
      <c r="X848" s="5" t="s">
        <v>67</v>
      </c>
      <c r="Y848" s="4">
        <v>134</v>
      </c>
      <c r="Z848" s="4">
        <v>8</v>
      </c>
      <c r="AA848" s="4">
        <v>29</v>
      </c>
      <c r="AB848" s="4">
        <v>1</v>
      </c>
      <c r="AC848" s="4">
        <v>5</v>
      </c>
      <c r="AD848" s="4">
        <v>34</v>
      </c>
      <c r="AE848" s="4">
        <v>122</v>
      </c>
      <c r="AF848" s="4">
        <v>0</v>
      </c>
      <c r="AG848" s="4">
        <v>4</v>
      </c>
      <c r="AH848" s="4">
        <v>27</v>
      </c>
      <c r="AI848" s="4">
        <v>102</v>
      </c>
      <c r="AJ848" s="4">
        <v>5</v>
      </c>
      <c r="AK848" s="4">
        <v>17</v>
      </c>
      <c r="AL848" s="4">
        <v>18</v>
      </c>
      <c r="AM848" s="4">
        <v>58</v>
      </c>
      <c r="AN848" s="4">
        <v>0</v>
      </c>
      <c r="AO848" s="4">
        <v>0</v>
      </c>
      <c r="AP848" s="4">
        <v>6</v>
      </c>
      <c r="AQ848" s="4">
        <v>24</v>
      </c>
      <c r="AR848" s="3" t="s">
        <v>62</v>
      </c>
      <c r="AS848" s="3" t="s">
        <v>62</v>
      </c>
      <c r="AT848" s="3" t="s">
        <v>61</v>
      </c>
      <c r="AU848" s="6" t="str">
        <f>HYPERLINK("http://catalog.hathitrust.org/Record/001988553","HathiTrust Record")</f>
        <v>HathiTrust Record</v>
      </c>
      <c r="AV848" s="6" t="str">
        <f>HYPERLINK("http://mcgill.on.worldcat.org/oclc/1883655","Catalog Record")</f>
        <v>Catalog Record</v>
      </c>
      <c r="AW848" s="6" t="str">
        <f>HYPERLINK("http://www.worldcat.org/oclc/1883655","WorldCat Record")</f>
        <v>WorldCat Record</v>
      </c>
      <c r="AX848" s="3" t="s">
        <v>8556</v>
      </c>
      <c r="AY848" s="3" t="s">
        <v>8557</v>
      </c>
      <c r="AZ848" s="3" t="s">
        <v>8558</v>
      </c>
      <c r="BA848" s="3" t="s">
        <v>8558</v>
      </c>
      <c r="BB848" s="3" t="s">
        <v>8562</v>
      </c>
      <c r="BC848" s="3" t="s">
        <v>102</v>
      </c>
      <c r="BD848" s="3" t="s">
        <v>68</v>
      </c>
      <c r="BF848" s="3" t="s">
        <v>8562</v>
      </c>
      <c r="BG848" s="3" t="s">
        <v>8563</v>
      </c>
    </row>
    <row r="849" spans="1:59" ht="58" x14ac:dyDescent="0.35">
      <c r="A849" s="2" t="s">
        <v>89</v>
      </c>
      <c r="B849" s="2" t="s">
        <v>90</v>
      </c>
      <c r="C849" s="2" t="s">
        <v>8564</v>
      </c>
      <c r="D849" s="2" t="s">
        <v>8565</v>
      </c>
      <c r="E849" s="2" t="s">
        <v>8566</v>
      </c>
      <c r="G849" s="3" t="s">
        <v>62</v>
      </c>
      <c r="I849" s="3" t="s">
        <v>61</v>
      </c>
      <c r="J849" s="3" t="s">
        <v>61</v>
      </c>
      <c r="K849" s="3" t="s">
        <v>63</v>
      </c>
      <c r="L849" s="2" t="s">
        <v>8567</v>
      </c>
      <c r="M849" s="2" t="s">
        <v>8568</v>
      </c>
      <c r="N849" s="3" t="s">
        <v>6323</v>
      </c>
      <c r="P849" s="3" t="s">
        <v>85</v>
      </c>
      <c r="Q849" s="2" t="s">
        <v>8569</v>
      </c>
      <c r="R849" s="3" t="s">
        <v>65</v>
      </c>
      <c r="S849" s="4">
        <v>6</v>
      </c>
      <c r="T849" s="4">
        <v>6</v>
      </c>
      <c r="U849" s="5" t="s">
        <v>8561</v>
      </c>
      <c r="V849" s="5" t="s">
        <v>8561</v>
      </c>
      <c r="W849" s="5" t="s">
        <v>67</v>
      </c>
      <c r="X849" s="5" t="s">
        <v>67</v>
      </c>
      <c r="Y849" s="4">
        <v>14</v>
      </c>
      <c r="Z849" s="4">
        <v>2</v>
      </c>
      <c r="AA849" s="4">
        <v>22</v>
      </c>
      <c r="AB849" s="4">
        <v>1</v>
      </c>
      <c r="AC849" s="4">
        <v>9</v>
      </c>
      <c r="AD849" s="4">
        <v>6</v>
      </c>
      <c r="AE849" s="4">
        <v>66</v>
      </c>
      <c r="AF849" s="4">
        <v>0</v>
      </c>
      <c r="AG849" s="4">
        <v>5</v>
      </c>
      <c r="AH849" s="4">
        <v>6</v>
      </c>
      <c r="AI849" s="4">
        <v>58</v>
      </c>
      <c r="AJ849" s="4">
        <v>1</v>
      </c>
      <c r="AK849" s="4">
        <v>12</v>
      </c>
      <c r="AL849" s="4">
        <v>3</v>
      </c>
      <c r="AM849" s="4">
        <v>36</v>
      </c>
      <c r="AN849" s="4">
        <v>0</v>
      </c>
      <c r="AO849" s="4">
        <v>1</v>
      </c>
      <c r="AP849" s="4">
        <v>1</v>
      </c>
      <c r="AQ849" s="4">
        <v>13</v>
      </c>
      <c r="AR849" s="3" t="s">
        <v>62</v>
      </c>
      <c r="AS849" s="3" t="s">
        <v>62</v>
      </c>
      <c r="AT849" s="3" t="s">
        <v>62</v>
      </c>
      <c r="AV849" s="6" t="str">
        <f>HYPERLINK("http://mcgill.on.worldcat.org/oclc/28533119","Catalog Record")</f>
        <v>Catalog Record</v>
      </c>
      <c r="AW849" s="6" t="str">
        <f>HYPERLINK("http://www.worldcat.org/oclc/28533119","WorldCat Record")</f>
        <v>WorldCat Record</v>
      </c>
      <c r="AX849" s="3" t="s">
        <v>8570</v>
      </c>
      <c r="AY849" s="3" t="s">
        <v>8571</v>
      </c>
      <c r="AZ849" s="3" t="s">
        <v>8572</v>
      </c>
      <c r="BA849" s="3" t="s">
        <v>8572</v>
      </c>
      <c r="BB849" s="3" t="s">
        <v>8573</v>
      </c>
      <c r="BC849" s="3" t="s">
        <v>102</v>
      </c>
      <c r="BD849" s="3" t="s">
        <v>68</v>
      </c>
      <c r="BF849" s="3" t="s">
        <v>8573</v>
      </c>
      <c r="BG849" s="3" t="s">
        <v>8574</v>
      </c>
    </row>
    <row r="850" spans="1:59" ht="58" x14ac:dyDescent="0.35">
      <c r="A850" s="2" t="s">
        <v>89</v>
      </c>
      <c r="B850" s="2" t="s">
        <v>90</v>
      </c>
      <c r="C850" s="2" t="s">
        <v>8575</v>
      </c>
      <c r="D850" s="2" t="s">
        <v>8576</v>
      </c>
      <c r="E850" s="2" t="s">
        <v>8577</v>
      </c>
      <c r="G850" s="3" t="s">
        <v>62</v>
      </c>
      <c r="I850" s="3" t="s">
        <v>61</v>
      </c>
      <c r="J850" s="3" t="s">
        <v>61</v>
      </c>
      <c r="K850" s="3" t="s">
        <v>916</v>
      </c>
      <c r="L850" s="2" t="s">
        <v>8567</v>
      </c>
      <c r="M850" s="2" t="s">
        <v>8578</v>
      </c>
      <c r="N850" s="3" t="s">
        <v>2702</v>
      </c>
      <c r="O850" s="2" t="s">
        <v>8579</v>
      </c>
      <c r="P850" s="3" t="s">
        <v>64</v>
      </c>
      <c r="R850" s="3" t="s">
        <v>65</v>
      </c>
      <c r="S850" s="4">
        <v>6</v>
      </c>
      <c r="T850" s="4">
        <v>16</v>
      </c>
      <c r="U850" s="5" t="s">
        <v>8580</v>
      </c>
      <c r="V850" s="5" t="s">
        <v>8580</v>
      </c>
      <c r="W850" s="5" t="s">
        <v>67</v>
      </c>
      <c r="X850" s="5" t="s">
        <v>67</v>
      </c>
      <c r="Y850" s="4">
        <v>738</v>
      </c>
      <c r="Z850" s="4">
        <v>25</v>
      </c>
      <c r="AA850" s="4">
        <v>65</v>
      </c>
      <c r="AB850" s="4">
        <v>3</v>
      </c>
      <c r="AC850" s="4">
        <v>7</v>
      </c>
      <c r="AD850" s="4">
        <v>102</v>
      </c>
      <c r="AE850" s="4">
        <v>146</v>
      </c>
      <c r="AF850" s="4">
        <v>1</v>
      </c>
      <c r="AG850" s="4">
        <v>3</v>
      </c>
      <c r="AH850" s="4">
        <v>85</v>
      </c>
      <c r="AI850" s="4">
        <v>114</v>
      </c>
      <c r="AJ850" s="4">
        <v>13</v>
      </c>
      <c r="AK850" s="4">
        <v>23</v>
      </c>
      <c r="AL850" s="4">
        <v>47</v>
      </c>
      <c r="AM850" s="4">
        <v>61</v>
      </c>
      <c r="AN850" s="4">
        <v>0</v>
      </c>
      <c r="AO850" s="4">
        <v>2</v>
      </c>
      <c r="AP850" s="4">
        <v>19</v>
      </c>
      <c r="AQ850" s="4">
        <v>40</v>
      </c>
      <c r="AR850" s="3" t="s">
        <v>62</v>
      </c>
      <c r="AS850" s="3" t="s">
        <v>62</v>
      </c>
      <c r="AT850" s="3" t="s">
        <v>62</v>
      </c>
      <c r="AV850" s="6" t="str">
        <f>HYPERLINK("http://mcgill.on.worldcat.org/oclc/522302","Catalog Record")</f>
        <v>Catalog Record</v>
      </c>
      <c r="AW850" s="6" t="str">
        <f>HYPERLINK("http://www.worldcat.org/oclc/522302","WorldCat Record")</f>
        <v>WorldCat Record</v>
      </c>
      <c r="AX850" s="3" t="s">
        <v>8581</v>
      </c>
      <c r="AY850" s="3" t="s">
        <v>8582</v>
      </c>
      <c r="AZ850" s="3" t="s">
        <v>8583</v>
      </c>
      <c r="BA850" s="3" t="s">
        <v>8583</v>
      </c>
      <c r="BB850" s="3" t="s">
        <v>8584</v>
      </c>
      <c r="BC850" s="3" t="s">
        <v>102</v>
      </c>
      <c r="BD850" s="3" t="s">
        <v>68</v>
      </c>
      <c r="BF850" s="3" t="s">
        <v>8584</v>
      </c>
      <c r="BG850" s="3" t="s">
        <v>8585</v>
      </c>
    </row>
    <row r="851" spans="1:59" ht="58" x14ac:dyDescent="0.35">
      <c r="A851" s="2" t="s">
        <v>89</v>
      </c>
      <c r="B851" s="2" t="s">
        <v>90</v>
      </c>
      <c r="C851" s="2" t="s">
        <v>8575</v>
      </c>
      <c r="D851" s="2" t="s">
        <v>8576</v>
      </c>
      <c r="E851" s="2" t="s">
        <v>8577</v>
      </c>
      <c r="G851" s="3" t="s">
        <v>62</v>
      </c>
      <c r="I851" s="3" t="s">
        <v>61</v>
      </c>
      <c r="J851" s="3" t="s">
        <v>61</v>
      </c>
      <c r="K851" s="3" t="s">
        <v>916</v>
      </c>
      <c r="L851" s="2" t="s">
        <v>8567</v>
      </c>
      <c r="M851" s="2" t="s">
        <v>8578</v>
      </c>
      <c r="N851" s="3" t="s">
        <v>2702</v>
      </c>
      <c r="O851" s="2" t="s">
        <v>8579</v>
      </c>
      <c r="P851" s="3" t="s">
        <v>64</v>
      </c>
      <c r="R851" s="3" t="s">
        <v>65</v>
      </c>
      <c r="S851" s="4">
        <v>10</v>
      </c>
      <c r="T851" s="4">
        <v>16</v>
      </c>
      <c r="U851" s="5" t="s">
        <v>8586</v>
      </c>
      <c r="V851" s="5" t="s">
        <v>8580</v>
      </c>
      <c r="W851" s="5" t="s">
        <v>67</v>
      </c>
      <c r="X851" s="5" t="s">
        <v>67</v>
      </c>
      <c r="Y851" s="4">
        <v>738</v>
      </c>
      <c r="Z851" s="4">
        <v>25</v>
      </c>
      <c r="AA851" s="4">
        <v>65</v>
      </c>
      <c r="AB851" s="4">
        <v>3</v>
      </c>
      <c r="AC851" s="4">
        <v>7</v>
      </c>
      <c r="AD851" s="4">
        <v>102</v>
      </c>
      <c r="AE851" s="4">
        <v>146</v>
      </c>
      <c r="AF851" s="4">
        <v>1</v>
      </c>
      <c r="AG851" s="4">
        <v>3</v>
      </c>
      <c r="AH851" s="4">
        <v>85</v>
      </c>
      <c r="AI851" s="4">
        <v>114</v>
      </c>
      <c r="AJ851" s="4">
        <v>13</v>
      </c>
      <c r="AK851" s="4">
        <v>23</v>
      </c>
      <c r="AL851" s="4">
        <v>47</v>
      </c>
      <c r="AM851" s="4">
        <v>61</v>
      </c>
      <c r="AN851" s="4">
        <v>0</v>
      </c>
      <c r="AO851" s="4">
        <v>2</v>
      </c>
      <c r="AP851" s="4">
        <v>19</v>
      </c>
      <c r="AQ851" s="4">
        <v>40</v>
      </c>
      <c r="AR851" s="3" t="s">
        <v>62</v>
      </c>
      <c r="AS851" s="3" t="s">
        <v>62</v>
      </c>
      <c r="AT851" s="3" t="s">
        <v>62</v>
      </c>
      <c r="AV851" s="6" t="str">
        <f>HYPERLINK("http://mcgill.on.worldcat.org/oclc/522302","Catalog Record")</f>
        <v>Catalog Record</v>
      </c>
      <c r="AW851" s="6" t="str">
        <f>HYPERLINK("http://www.worldcat.org/oclc/522302","WorldCat Record")</f>
        <v>WorldCat Record</v>
      </c>
      <c r="AX851" s="3" t="s">
        <v>8581</v>
      </c>
      <c r="AY851" s="3" t="s">
        <v>8582</v>
      </c>
      <c r="AZ851" s="3" t="s">
        <v>8583</v>
      </c>
      <c r="BA851" s="3" t="s">
        <v>8583</v>
      </c>
      <c r="BB851" s="3" t="s">
        <v>8587</v>
      </c>
      <c r="BC851" s="3" t="s">
        <v>102</v>
      </c>
      <c r="BD851" s="3" t="s">
        <v>68</v>
      </c>
      <c r="BF851" s="3" t="s">
        <v>8587</v>
      </c>
      <c r="BG851" s="3" t="s">
        <v>8588</v>
      </c>
    </row>
    <row r="852" spans="1:59" ht="58" x14ac:dyDescent="0.35">
      <c r="A852" s="2" t="s">
        <v>89</v>
      </c>
      <c r="B852" s="2" t="s">
        <v>90</v>
      </c>
      <c r="C852" s="2" t="s">
        <v>8589</v>
      </c>
      <c r="D852" s="2" t="s">
        <v>8590</v>
      </c>
      <c r="E852" s="2" t="s">
        <v>8591</v>
      </c>
      <c r="G852" s="3" t="s">
        <v>62</v>
      </c>
      <c r="I852" s="3" t="s">
        <v>62</v>
      </c>
      <c r="J852" s="3" t="s">
        <v>61</v>
      </c>
      <c r="K852" s="3" t="s">
        <v>63</v>
      </c>
      <c r="L852" s="2" t="s">
        <v>8567</v>
      </c>
      <c r="M852" s="2" t="s">
        <v>8578</v>
      </c>
      <c r="N852" s="3" t="s">
        <v>2702</v>
      </c>
      <c r="O852" s="2" t="s">
        <v>8579</v>
      </c>
      <c r="P852" s="3" t="s">
        <v>64</v>
      </c>
      <c r="R852" s="3" t="s">
        <v>65</v>
      </c>
      <c r="S852" s="4">
        <v>16</v>
      </c>
      <c r="T852" s="4">
        <v>16</v>
      </c>
      <c r="U852" s="5" t="s">
        <v>8592</v>
      </c>
      <c r="V852" s="5" t="s">
        <v>8592</v>
      </c>
      <c r="W852" s="5" t="s">
        <v>67</v>
      </c>
      <c r="X852" s="5" t="s">
        <v>67</v>
      </c>
      <c r="Y852" s="4">
        <v>669</v>
      </c>
      <c r="Z852" s="4">
        <v>18</v>
      </c>
      <c r="AA852" s="4">
        <v>65</v>
      </c>
      <c r="AB852" s="4">
        <v>1</v>
      </c>
      <c r="AC852" s="4">
        <v>9</v>
      </c>
      <c r="AD852" s="4">
        <v>96</v>
      </c>
      <c r="AE852" s="4">
        <v>141</v>
      </c>
      <c r="AF852" s="4">
        <v>0</v>
      </c>
      <c r="AG852" s="4">
        <v>4</v>
      </c>
      <c r="AH852" s="4">
        <v>84</v>
      </c>
      <c r="AI852" s="4">
        <v>108</v>
      </c>
      <c r="AJ852" s="4">
        <v>9</v>
      </c>
      <c r="AK852" s="4">
        <v>24</v>
      </c>
      <c r="AL852" s="4">
        <v>48</v>
      </c>
      <c r="AM852" s="4">
        <v>60</v>
      </c>
      <c r="AN852" s="4">
        <v>4</v>
      </c>
      <c r="AO852" s="4">
        <v>10</v>
      </c>
      <c r="AP852" s="4">
        <v>12</v>
      </c>
      <c r="AQ852" s="4">
        <v>38</v>
      </c>
      <c r="AR852" s="3" t="s">
        <v>62</v>
      </c>
      <c r="AS852" s="3" t="s">
        <v>62</v>
      </c>
      <c r="AT852" s="3" t="s">
        <v>62</v>
      </c>
      <c r="AU852" s="6" t="str">
        <f>HYPERLINK("http://catalog.hathitrust.org/Record/001474666","HathiTrust Record")</f>
        <v>HathiTrust Record</v>
      </c>
      <c r="AV852" s="6" t="str">
        <f>HYPERLINK("http://mcgill.on.worldcat.org/oclc/544971","Catalog Record")</f>
        <v>Catalog Record</v>
      </c>
      <c r="AW852" s="6" t="str">
        <f>HYPERLINK("http://www.worldcat.org/oclc/544971","WorldCat Record")</f>
        <v>WorldCat Record</v>
      </c>
      <c r="AX852" s="3" t="s">
        <v>8593</v>
      </c>
      <c r="AY852" s="3" t="s">
        <v>8594</v>
      </c>
      <c r="AZ852" s="3" t="s">
        <v>8595</v>
      </c>
      <c r="BA852" s="3" t="s">
        <v>8595</v>
      </c>
      <c r="BB852" s="3" t="s">
        <v>8596</v>
      </c>
      <c r="BC852" s="3" t="s">
        <v>102</v>
      </c>
      <c r="BD852" s="3" t="s">
        <v>68</v>
      </c>
      <c r="BF852" s="3" t="s">
        <v>8596</v>
      </c>
      <c r="BG852" s="3" t="s">
        <v>8597</v>
      </c>
    </row>
    <row r="853" spans="1:59" ht="58" x14ac:dyDescent="0.35">
      <c r="A853" s="2" t="s">
        <v>89</v>
      </c>
      <c r="B853" s="2" t="s">
        <v>90</v>
      </c>
      <c r="C853" s="2" t="s">
        <v>8598</v>
      </c>
      <c r="D853" s="2" t="s">
        <v>8599</v>
      </c>
      <c r="E853" s="2" t="s">
        <v>8600</v>
      </c>
      <c r="G853" s="3" t="s">
        <v>62</v>
      </c>
      <c r="I853" s="3" t="s">
        <v>62</v>
      </c>
      <c r="J853" s="3" t="s">
        <v>62</v>
      </c>
      <c r="K853" s="3" t="s">
        <v>916</v>
      </c>
      <c r="L853" s="2" t="s">
        <v>8567</v>
      </c>
      <c r="M853" s="2" t="s">
        <v>7990</v>
      </c>
      <c r="N853" s="3" t="s">
        <v>1662</v>
      </c>
      <c r="P853" s="3" t="s">
        <v>64</v>
      </c>
      <c r="R853" s="3" t="s">
        <v>65</v>
      </c>
      <c r="S853" s="4">
        <v>11</v>
      </c>
      <c r="T853" s="4">
        <v>11</v>
      </c>
      <c r="U853" s="5" t="s">
        <v>8592</v>
      </c>
      <c r="V853" s="5" t="s">
        <v>8592</v>
      </c>
      <c r="W853" s="5" t="s">
        <v>67</v>
      </c>
      <c r="X853" s="5" t="s">
        <v>67</v>
      </c>
      <c r="Y853" s="4">
        <v>475</v>
      </c>
      <c r="Z853" s="4">
        <v>37</v>
      </c>
      <c r="AA853" s="4">
        <v>39</v>
      </c>
      <c r="AB853" s="4">
        <v>3</v>
      </c>
      <c r="AC853" s="4">
        <v>4</v>
      </c>
      <c r="AD853" s="4">
        <v>92</v>
      </c>
      <c r="AE853" s="4">
        <v>117</v>
      </c>
      <c r="AF853" s="4">
        <v>2</v>
      </c>
      <c r="AG853" s="4">
        <v>3</v>
      </c>
      <c r="AH853" s="4">
        <v>71</v>
      </c>
      <c r="AI853" s="4">
        <v>93</v>
      </c>
      <c r="AJ853" s="4">
        <v>16</v>
      </c>
      <c r="AK853" s="4">
        <v>17</v>
      </c>
      <c r="AL853" s="4">
        <v>40</v>
      </c>
      <c r="AM853" s="4">
        <v>57</v>
      </c>
      <c r="AN853" s="4">
        <v>0</v>
      </c>
      <c r="AO853" s="4">
        <v>0</v>
      </c>
      <c r="AP853" s="4">
        <v>28</v>
      </c>
      <c r="AQ853" s="4">
        <v>30</v>
      </c>
      <c r="AR853" s="3" t="s">
        <v>62</v>
      </c>
      <c r="AS853" s="3" t="s">
        <v>61</v>
      </c>
      <c r="AT853" s="3" t="s">
        <v>62</v>
      </c>
      <c r="AU853" s="6" t="str">
        <f>HYPERLINK("http://catalog.hathitrust.org/Record/001474669","HathiTrust Record")</f>
        <v>HathiTrust Record</v>
      </c>
      <c r="AV853" s="6" t="str">
        <f>HYPERLINK("http://mcgill.on.worldcat.org/oclc/1409452","Catalog Record")</f>
        <v>Catalog Record</v>
      </c>
      <c r="AW853" s="6" t="str">
        <f>HYPERLINK("http://www.worldcat.org/oclc/1409452","WorldCat Record")</f>
        <v>WorldCat Record</v>
      </c>
      <c r="AX853" s="3" t="s">
        <v>8601</v>
      </c>
      <c r="AY853" s="3" t="s">
        <v>8602</v>
      </c>
      <c r="AZ853" s="3" t="s">
        <v>8603</v>
      </c>
      <c r="BA853" s="3" t="s">
        <v>8603</v>
      </c>
      <c r="BB853" s="3" t="s">
        <v>8604</v>
      </c>
      <c r="BC853" s="3" t="s">
        <v>102</v>
      </c>
      <c r="BD853" s="3" t="s">
        <v>68</v>
      </c>
      <c r="BF853" s="3" t="s">
        <v>8604</v>
      </c>
      <c r="BG853" s="3" t="s">
        <v>8605</v>
      </c>
    </row>
    <row r="854" spans="1:59" ht="58" x14ac:dyDescent="0.35">
      <c r="A854" s="2" t="s">
        <v>89</v>
      </c>
      <c r="B854" s="2" t="s">
        <v>90</v>
      </c>
      <c r="C854" s="2" t="s">
        <v>8606</v>
      </c>
      <c r="D854" s="2" t="s">
        <v>8607</v>
      </c>
      <c r="E854" s="2" t="s">
        <v>8608</v>
      </c>
      <c r="G854" s="3" t="s">
        <v>62</v>
      </c>
      <c r="I854" s="3" t="s">
        <v>61</v>
      </c>
      <c r="J854" s="3" t="s">
        <v>61</v>
      </c>
      <c r="K854" s="3" t="s">
        <v>63</v>
      </c>
      <c r="L854" s="2" t="s">
        <v>8609</v>
      </c>
      <c r="M854" s="2" t="s">
        <v>8610</v>
      </c>
      <c r="N854" s="3" t="s">
        <v>1662</v>
      </c>
      <c r="P854" s="3" t="s">
        <v>64</v>
      </c>
      <c r="R854" s="3" t="s">
        <v>65</v>
      </c>
      <c r="S854" s="4">
        <v>36</v>
      </c>
      <c r="T854" s="4">
        <v>111</v>
      </c>
      <c r="U854" s="5" t="s">
        <v>88</v>
      </c>
      <c r="V854" s="5" t="s">
        <v>4653</v>
      </c>
      <c r="W854" s="5" t="s">
        <v>67</v>
      </c>
      <c r="X854" s="5" t="s">
        <v>67</v>
      </c>
      <c r="Y854" s="4">
        <v>864</v>
      </c>
      <c r="Z854" s="4">
        <v>40</v>
      </c>
      <c r="AA854" s="4">
        <v>119</v>
      </c>
      <c r="AB854" s="4">
        <v>4</v>
      </c>
      <c r="AC854" s="4">
        <v>21</v>
      </c>
      <c r="AD854" s="4">
        <v>124</v>
      </c>
      <c r="AE854" s="4">
        <v>172</v>
      </c>
      <c r="AF854" s="4">
        <v>2</v>
      </c>
      <c r="AG854" s="4">
        <v>9</v>
      </c>
      <c r="AH854" s="4">
        <v>104</v>
      </c>
      <c r="AI854" s="4">
        <v>116</v>
      </c>
      <c r="AJ854" s="4">
        <v>11</v>
      </c>
      <c r="AK854" s="4">
        <v>29</v>
      </c>
      <c r="AL854" s="4">
        <v>59</v>
      </c>
      <c r="AM854" s="4">
        <v>63</v>
      </c>
      <c r="AN854" s="4">
        <v>0</v>
      </c>
      <c r="AO854" s="4">
        <v>0</v>
      </c>
      <c r="AP854" s="4">
        <v>24</v>
      </c>
      <c r="AQ854" s="4">
        <v>61</v>
      </c>
      <c r="AR854" s="3" t="s">
        <v>62</v>
      </c>
      <c r="AS854" s="3" t="s">
        <v>62</v>
      </c>
      <c r="AT854" s="3" t="s">
        <v>62</v>
      </c>
      <c r="AV854" s="6" t="str">
        <f>HYPERLINK("http://mcgill.on.worldcat.org/oclc/522303","Catalog Record")</f>
        <v>Catalog Record</v>
      </c>
      <c r="AW854" s="6" t="str">
        <f>HYPERLINK("http://www.worldcat.org/oclc/522303","WorldCat Record")</f>
        <v>WorldCat Record</v>
      </c>
      <c r="AX854" s="3" t="s">
        <v>8611</v>
      </c>
      <c r="AY854" s="3" t="s">
        <v>8612</v>
      </c>
      <c r="AZ854" s="3" t="s">
        <v>8613</v>
      </c>
      <c r="BA854" s="3" t="s">
        <v>8613</v>
      </c>
      <c r="BB854" s="3" t="s">
        <v>8614</v>
      </c>
      <c r="BC854" s="3" t="s">
        <v>102</v>
      </c>
      <c r="BD854" s="3" t="s">
        <v>68</v>
      </c>
      <c r="BF854" s="3" t="s">
        <v>8614</v>
      </c>
      <c r="BG854" s="3" t="s">
        <v>8615</v>
      </c>
    </row>
    <row r="855" spans="1:59" ht="58" x14ac:dyDescent="0.35">
      <c r="A855" s="2" t="s">
        <v>89</v>
      </c>
      <c r="B855" s="2" t="s">
        <v>90</v>
      </c>
      <c r="C855" s="2" t="s">
        <v>8616</v>
      </c>
      <c r="D855" s="2" t="s">
        <v>8617</v>
      </c>
      <c r="E855" s="2" t="s">
        <v>8608</v>
      </c>
      <c r="G855" s="3" t="s">
        <v>62</v>
      </c>
      <c r="I855" s="3" t="s">
        <v>61</v>
      </c>
      <c r="J855" s="3" t="s">
        <v>61</v>
      </c>
      <c r="K855" s="3" t="s">
        <v>63</v>
      </c>
      <c r="L855" s="2" t="s">
        <v>8609</v>
      </c>
      <c r="M855" s="2" t="s">
        <v>8610</v>
      </c>
      <c r="N855" s="3" t="s">
        <v>1662</v>
      </c>
      <c r="P855" s="3" t="s">
        <v>64</v>
      </c>
      <c r="R855" s="3" t="s">
        <v>65</v>
      </c>
      <c r="S855" s="4">
        <v>46</v>
      </c>
      <c r="T855" s="4">
        <v>111</v>
      </c>
      <c r="U855" s="5" t="s">
        <v>4653</v>
      </c>
      <c r="V855" s="5" t="s">
        <v>4653</v>
      </c>
      <c r="W855" s="5" t="s">
        <v>67</v>
      </c>
      <c r="X855" s="5" t="s">
        <v>67</v>
      </c>
      <c r="Y855" s="4">
        <v>864</v>
      </c>
      <c r="Z855" s="4">
        <v>40</v>
      </c>
      <c r="AA855" s="4">
        <v>119</v>
      </c>
      <c r="AB855" s="4">
        <v>4</v>
      </c>
      <c r="AC855" s="4">
        <v>21</v>
      </c>
      <c r="AD855" s="4">
        <v>124</v>
      </c>
      <c r="AE855" s="4">
        <v>172</v>
      </c>
      <c r="AF855" s="4">
        <v>2</v>
      </c>
      <c r="AG855" s="4">
        <v>9</v>
      </c>
      <c r="AH855" s="4">
        <v>104</v>
      </c>
      <c r="AI855" s="4">
        <v>116</v>
      </c>
      <c r="AJ855" s="4">
        <v>11</v>
      </c>
      <c r="AK855" s="4">
        <v>29</v>
      </c>
      <c r="AL855" s="4">
        <v>59</v>
      </c>
      <c r="AM855" s="4">
        <v>63</v>
      </c>
      <c r="AN855" s="4">
        <v>0</v>
      </c>
      <c r="AO855" s="4">
        <v>0</v>
      </c>
      <c r="AP855" s="4">
        <v>24</v>
      </c>
      <c r="AQ855" s="4">
        <v>61</v>
      </c>
      <c r="AR855" s="3" t="s">
        <v>62</v>
      </c>
      <c r="AS855" s="3" t="s">
        <v>62</v>
      </c>
      <c r="AT855" s="3" t="s">
        <v>62</v>
      </c>
      <c r="AV855" s="6" t="str">
        <f>HYPERLINK("http://mcgill.on.worldcat.org/oclc/522303","Catalog Record")</f>
        <v>Catalog Record</v>
      </c>
      <c r="AW855" s="6" t="str">
        <f>HYPERLINK("http://www.worldcat.org/oclc/522303","WorldCat Record")</f>
        <v>WorldCat Record</v>
      </c>
      <c r="AX855" s="3" t="s">
        <v>8611</v>
      </c>
      <c r="AY855" s="3" t="s">
        <v>8612</v>
      </c>
      <c r="AZ855" s="3" t="s">
        <v>8613</v>
      </c>
      <c r="BA855" s="3" t="s">
        <v>8613</v>
      </c>
      <c r="BB855" s="3" t="s">
        <v>8618</v>
      </c>
      <c r="BC855" s="3" t="s">
        <v>102</v>
      </c>
      <c r="BD855" s="3" t="s">
        <v>68</v>
      </c>
      <c r="BF855" s="3" t="s">
        <v>8618</v>
      </c>
      <c r="BG855" s="3" t="s">
        <v>8619</v>
      </c>
    </row>
    <row r="856" spans="1:59" ht="58" x14ac:dyDescent="0.35">
      <c r="A856" s="2" t="s">
        <v>89</v>
      </c>
      <c r="B856" s="2" t="s">
        <v>90</v>
      </c>
      <c r="C856" s="2" t="s">
        <v>8620</v>
      </c>
      <c r="D856" s="2" t="s">
        <v>8621</v>
      </c>
      <c r="E856" s="2" t="s">
        <v>8622</v>
      </c>
      <c r="G856" s="3" t="s">
        <v>62</v>
      </c>
      <c r="I856" s="3" t="s">
        <v>61</v>
      </c>
      <c r="J856" s="3" t="s">
        <v>61</v>
      </c>
      <c r="K856" s="3" t="s">
        <v>63</v>
      </c>
      <c r="L856" s="2" t="s">
        <v>8609</v>
      </c>
      <c r="M856" s="2" t="s">
        <v>8623</v>
      </c>
      <c r="N856" s="3" t="s">
        <v>838</v>
      </c>
      <c r="P856" s="3" t="s">
        <v>64</v>
      </c>
      <c r="Q856" s="2" t="s">
        <v>8624</v>
      </c>
      <c r="R856" s="3" t="s">
        <v>65</v>
      </c>
      <c r="S856" s="4">
        <v>20</v>
      </c>
      <c r="T856" s="4">
        <v>52</v>
      </c>
      <c r="U856" s="5" t="s">
        <v>8625</v>
      </c>
      <c r="V856" s="5" t="s">
        <v>8626</v>
      </c>
      <c r="W856" s="5" t="s">
        <v>67</v>
      </c>
      <c r="X856" s="5" t="s">
        <v>67</v>
      </c>
      <c r="Y856" s="4">
        <v>246</v>
      </c>
      <c r="Z856" s="4">
        <v>18</v>
      </c>
      <c r="AA856" s="4">
        <v>119</v>
      </c>
      <c r="AB856" s="4">
        <v>1</v>
      </c>
      <c r="AC856" s="4">
        <v>21</v>
      </c>
      <c r="AD856" s="4">
        <v>50</v>
      </c>
      <c r="AE856" s="4">
        <v>172</v>
      </c>
      <c r="AF856" s="4">
        <v>0</v>
      </c>
      <c r="AG856" s="4">
        <v>9</v>
      </c>
      <c r="AH856" s="4">
        <v>44</v>
      </c>
      <c r="AI856" s="4">
        <v>116</v>
      </c>
      <c r="AJ856" s="4">
        <v>5</v>
      </c>
      <c r="AK856" s="4">
        <v>29</v>
      </c>
      <c r="AL856" s="4">
        <v>23</v>
      </c>
      <c r="AM856" s="4">
        <v>63</v>
      </c>
      <c r="AN856" s="4">
        <v>0</v>
      </c>
      <c r="AO856" s="4">
        <v>0</v>
      </c>
      <c r="AP856" s="4">
        <v>8</v>
      </c>
      <c r="AQ856" s="4">
        <v>61</v>
      </c>
      <c r="AR856" s="3" t="s">
        <v>62</v>
      </c>
      <c r="AS856" s="3" t="s">
        <v>62</v>
      </c>
      <c r="AT856" s="3" t="s">
        <v>61</v>
      </c>
      <c r="AU856" s="6" t="str">
        <f>HYPERLINK("http://catalog.hathitrust.org/Record/009239451","HathiTrust Record")</f>
        <v>HathiTrust Record</v>
      </c>
      <c r="AV856" s="6" t="str">
        <f>HYPERLINK("http://mcgill.on.worldcat.org/oclc/229048","Catalog Record")</f>
        <v>Catalog Record</v>
      </c>
      <c r="AW856" s="6" t="str">
        <f>HYPERLINK("http://www.worldcat.org/oclc/229048","WorldCat Record")</f>
        <v>WorldCat Record</v>
      </c>
      <c r="AX856" s="3" t="s">
        <v>8611</v>
      </c>
      <c r="AY856" s="3" t="s">
        <v>8627</v>
      </c>
      <c r="AZ856" s="3" t="s">
        <v>8628</v>
      </c>
      <c r="BA856" s="3" t="s">
        <v>8628</v>
      </c>
      <c r="BB856" s="3" t="s">
        <v>8629</v>
      </c>
      <c r="BC856" s="3" t="s">
        <v>102</v>
      </c>
      <c r="BD856" s="3" t="s">
        <v>68</v>
      </c>
      <c r="BF856" s="3" t="s">
        <v>8629</v>
      </c>
      <c r="BG856" s="3" t="s">
        <v>8630</v>
      </c>
    </row>
    <row r="857" spans="1:59" ht="58" x14ac:dyDescent="0.35">
      <c r="A857" s="2" t="s">
        <v>89</v>
      </c>
      <c r="B857" s="2" t="s">
        <v>6791</v>
      </c>
      <c r="C857" s="2" t="s">
        <v>8620</v>
      </c>
      <c r="D857" s="2" t="s">
        <v>8621</v>
      </c>
      <c r="E857" s="2" t="s">
        <v>8622</v>
      </c>
      <c r="G857" s="3" t="s">
        <v>62</v>
      </c>
      <c r="I857" s="3" t="s">
        <v>61</v>
      </c>
      <c r="J857" s="3" t="s">
        <v>61</v>
      </c>
      <c r="K857" s="3" t="s">
        <v>63</v>
      </c>
      <c r="L857" s="2" t="s">
        <v>8609</v>
      </c>
      <c r="M857" s="2" t="s">
        <v>8623</v>
      </c>
      <c r="N857" s="3" t="s">
        <v>838</v>
      </c>
      <c r="P857" s="3" t="s">
        <v>64</v>
      </c>
      <c r="Q857" s="2" t="s">
        <v>8624</v>
      </c>
      <c r="R857" s="3" t="s">
        <v>65</v>
      </c>
      <c r="S857" s="4">
        <v>32</v>
      </c>
      <c r="T857" s="4">
        <v>52</v>
      </c>
      <c r="U857" s="5" t="s">
        <v>8626</v>
      </c>
      <c r="V857" s="5" t="s">
        <v>8626</v>
      </c>
      <c r="W857" s="5" t="s">
        <v>67</v>
      </c>
      <c r="X857" s="5" t="s">
        <v>67</v>
      </c>
      <c r="Y857" s="4">
        <v>246</v>
      </c>
      <c r="Z857" s="4">
        <v>18</v>
      </c>
      <c r="AA857" s="4">
        <v>119</v>
      </c>
      <c r="AB857" s="4">
        <v>1</v>
      </c>
      <c r="AC857" s="4">
        <v>21</v>
      </c>
      <c r="AD857" s="4">
        <v>50</v>
      </c>
      <c r="AE857" s="4">
        <v>172</v>
      </c>
      <c r="AF857" s="4">
        <v>0</v>
      </c>
      <c r="AG857" s="4">
        <v>9</v>
      </c>
      <c r="AH857" s="4">
        <v>44</v>
      </c>
      <c r="AI857" s="4">
        <v>116</v>
      </c>
      <c r="AJ857" s="4">
        <v>5</v>
      </c>
      <c r="AK857" s="4">
        <v>29</v>
      </c>
      <c r="AL857" s="4">
        <v>23</v>
      </c>
      <c r="AM857" s="4">
        <v>63</v>
      </c>
      <c r="AN857" s="4">
        <v>0</v>
      </c>
      <c r="AO857" s="4">
        <v>0</v>
      </c>
      <c r="AP857" s="4">
        <v>8</v>
      </c>
      <c r="AQ857" s="4">
        <v>61</v>
      </c>
      <c r="AR857" s="3" t="s">
        <v>62</v>
      </c>
      <c r="AS857" s="3" t="s">
        <v>62</v>
      </c>
      <c r="AT857" s="3" t="s">
        <v>61</v>
      </c>
      <c r="AU857" s="6" t="str">
        <f>HYPERLINK("http://catalog.hathitrust.org/Record/009239451","HathiTrust Record")</f>
        <v>HathiTrust Record</v>
      </c>
      <c r="AV857" s="6" t="str">
        <f>HYPERLINK("http://mcgill.on.worldcat.org/oclc/229048","Catalog Record")</f>
        <v>Catalog Record</v>
      </c>
      <c r="AW857" s="6" t="str">
        <f>HYPERLINK("http://www.worldcat.org/oclc/229048","WorldCat Record")</f>
        <v>WorldCat Record</v>
      </c>
      <c r="AX857" s="3" t="s">
        <v>8611</v>
      </c>
      <c r="AY857" s="3" t="s">
        <v>8627</v>
      </c>
      <c r="AZ857" s="3" t="s">
        <v>8628</v>
      </c>
      <c r="BA857" s="3" t="s">
        <v>8628</v>
      </c>
      <c r="BB857" s="3" t="s">
        <v>8631</v>
      </c>
      <c r="BC857" s="3" t="s">
        <v>102</v>
      </c>
      <c r="BD857" s="3" t="s">
        <v>68</v>
      </c>
      <c r="BF857" s="3" t="s">
        <v>8631</v>
      </c>
      <c r="BG857" s="3" t="s">
        <v>8632</v>
      </c>
    </row>
    <row r="858" spans="1:59" ht="58" x14ac:dyDescent="0.35">
      <c r="A858" s="2" t="s">
        <v>89</v>
      </c>
      <c r="B858" s="2" t="s">
        <v>90</v>
      </c>
      <c r="C858" s="2" t="s">
        <v>8633</v>
      </c>
      <c r="D858" s="2" t="s">
        <v>8634</v>
      </c>
      <c r="E858" s="2" t="s">
        <v>8635</v>
      </c>
      <c r="G858" s="3" t="s">
        <v>62</v>
      </c>
      <c r="I858" s="3" t="s">
        <v>61</v>
      </c>
      <c r="J858" s="3" t="s">
        <v>61</v>
      </c>
      <c r="K858" s="3" t="s">
        <v>63</v>
      </c>
      <c r="L858" s="2" t="s">
        <v>8636</v>
      </c>
      <c r="M858" s="2" t="s">
        <v>8637</v>
      </c>
      <c r="N858" s="3" t="s">
        <v>1291</v>
      </c>
      <c r="P858" s="3" t="s">
        <v>64</v>
      </c>
      <c r="R858" s="3" t="s">
        <v>65</v>
      </c>
      <c r="S858" s="4">
        <v>45</v>
      </c>
      <c r="T858" s="4">
        <v>101</v>
      </c>
      <c r="U858" s="5" t="s">
        <v>8638</v>
      </c>
      <c r="V858" s="5" t="s">
        <v>8639</v>
      </c>
      <c r="W858" s="5" t="s">
        <v>67</v>
      </c>
      <c r="X858" s="5" t="s">
        <v>67</v>
      </c>
      <c r="Y858" s="4">
        <v>862</v>
      </c>
      <c r="Z858" s="4">
        <v>36</v>
      </c>
      <c r="AA858" s="4">
        <v>117</v>
      </c>
      <c r="AB858" s="4">
        <v>4</v>
      </c>
      <c r="AC858" s="4">
        <v>18</v>
      </c>
      <c r="AD858" s="4">
        <v>114</v>
      </c>
      <c r="AE858" s="4">
        <v>167</v>
      </c>
      <c r="AF858" s="4">
        <v>1</v>
      </c>
      <c r="AG858" s="4">
        <v>8</v>
      </c>
      <c r="AH858" s="4">
        <v>96</v>
      </c>
      <c r="AI858" s="4">
        <v>116</v>
      </c>
      <c r="AJ858" s="4">
        <v>17</v>
      </c>
      <c r="AK858" s="4">
        <v>30</v>
      </c>
      <c r="AL858" s="4">
        <v>50</v>
      </c>
      <c r="AM858" s="4">
        <v>62</v>
      </c>
      <c r="AN858" s="4">
        <v>0</v>
      </c>
      <c r="AO858" s="4">
        <v>5</v>
      </c>
      <c r="AP858" s="4">
        <v>24</v>
      </c>
      <c r="AQ858" s="4">
        <v>55</v>
      </c>
      <c r="AR858" s="3" t="s">
        <v>62</v>
      </c>
      <c r="AS858" s="3" t="s">
        <v>62</v>
      </c>
      <c r="AT858" s="3" t="s">
        <v>61</v>
      </c>
      <c r="AU858" s="6" t="str">
        <f>HYPERLINK("http://catalog.hathitrust.org/Record/001388106","HathiTrust Record")</f>
        <v>HathiTrust Record</v>
      </c>
      <c r="AV858" s="6" t="str">
        <f>HYPERLINK("http://mcgill.on.worldcat.org/oclc/293358","Catalog Record")</f>
        <v>Catalog Record</v>
      </c>
      <c r="AW858" s="6" t="str">
        <f>HYPERLINK("http://www.worldcat.org/oclc/293358","WorldCat Record")</f>
        <v>WorldCat Record</v>
      </c>
      <c r="AX858" s="3" t="s">
        <v>8640</v>
      </c>
      <c r="AY858" s="3" t="s">
        <v>8641</v>
      </c>
      <c r="AZ858" s="3" t="s">
        <v>8642</v>
      </c>
      <c r="BA858" s="3" t="s">
        <v>8642</v>
      </c>
      <c r="BB858" s="3" t="s">
        <v>8643</v>
      </c>
      <c r="BC858" s="3" t="s">
        <v>102</v>
      </c>
      <c r="BD858" s="3" t="s">
        <v>68</v>
      </c>
      <c r="BE858" s="3" t="s">
        <v>8644</v>
      </c>
      <c r="BF858" s="3" t="s">
        <v>8643</v>
      </c>
      <c r="BG858" s="3" t="s">
        <v>8645</v>
      </c>
    </row>
    <row r="859" spans="1:59" ht="58" x14ac:dyDescent="0.35">
      <c r="A859" s="2" t="s">
        <v>89</v>
      </c>
      <c r="B859" s="2" t="s">
        <v>90</v>
      </c>
      <c r="C859" s="2" t="s">
        <v>8633</v>
      </c>
      <c r="D859" s="2" t="s">
        <v>8634</v>
      </c>
      <c r="E859" s="2" t="s">
        <v>8635</v>
      </c>
      <c r="G859" s="3" t="s">
        <v>62</v>
      </c>
      <c r="I859" s="3" t="s">
        <v>61</v>
      </c>
      <c r="J859" s="3" t="s">
        <v>61</v>
      </c>
      <c r="K859" s="3" t="s">
        <v>63</v>
      </c>
      <c r="L859" s="2" t="s">
        <v>8636</v>
      </c>
      <c r="M859" s="2" t="s">
        <v>8637</v>
      </c>
      <c r="N859" s="3" t="s">
        <v>1291</v>
      </c>
      <c r="P859" s="3" t="s">
        <v>64</v>
      </c>
      <c r="R859" s="3" t="s">
        <v>65</v>
      </c>
      <c r="S859" s="4">
        <v>56</v>
      </c>
      <c r="T859" s="4">
        <v>101</v>
      </c>
      <c r="U859" s="5" t="s">
        <v>8639</v>
      </c>
      <c r="V859" s="5" t="s">
        <v>8639</v>
      </c>
      <c r="W859" s="5" t="s">
        <v>67</v>
      </c>
      <c r="X859" s="5" t="s">
        <v>67</v>
      </c>
      <c r="Y859" s="4">
        <v>862</v>
      </c>
      <c r="Z859" s="4">
        <v>36</v>
      </c>
      <c r="AA859" s="4">
        <v>117</v>
      </c>
      <c r="AB859" s="4">
        <v>4</v>
      </c>
      <c r="AC859" s="4">
        <v>18</v>
      </c>
      <c r="AD859" s="4">
        <v>114</v>
      </c>
      <c r="AE859" s="4">
        <v>167</v>
      </c>
      <c r="AF859" s="4">
        <v>1</v>
      </c>
      <c r="AG859" s="4">
        <v>8</v>
      </c>
      <c r="AH859" s="4">
        <v>96</v>
      </c>
      <c r="AI859" s="4">
        <v>116</v>
      </c>
      <c r="AJ859" s="4">
        <v>17</v>
      </c>
      <c r="AK859" s="4">
        <v>30</v>
      </c>
      <c r="AL859" s="4">
        <v>50</v>
      </c>
      <c r="AM859" s="4">
        <v>62</v>
      </c>
      <c r="AN859" s="4">
        <v>0</v>
      </c>
      <c r="AO859" s="4">
        <v>5</v>
      </c>
      <c r="AP859" s="4">
        <v>24</v>
      </c>
      <c r="AQ859" s="4">
        <v>55</v>
      </c>
      <c r="AR859" s="3" t="s">
        <v>62</v>
      </c>
      <c r="AS859" s="3" t="s">
        <v>62</v>
      </c>
      <c r="AT859" s="3" t="s">
        <v>61</v>
      </c>
      <c r="AU859" s="6" t="str">
        <f>HYPERLINK("http://catalog.hathitrust.org/Record/001388106","HathiTrust Record")</f>
        <v>HathiTrust Record</v>
      </c>
      <c r="AV859" s="6" t="str">
        <f>HYPERLINK("http://mcgill.on.worldcat.org/oclc/293358","Catalog Record")</f>
        <v>Catalog Record</v>
      </c>
      <c r="AW859" s="6" t="str">
        <f>HYPERLINK("http://www.worldcat.org/oclc/293358","WorldCat Record")</f>
        <v>WorldCat Record</v>
      </c>
      <c r="AX859" s="3" t="s">
        <v>8640</v>
      </c>
      <c r="AY859" s="3" t="s">
        <v>8641</v>
      </c>
      <c r="AZ859" s="3" t="s">
        <v>8642</v>
      </c>
      <c r="BA859" s="3" t="s">
        <v>8642</v>
      </c>
      <c r="BB859" s="3" t="s">
        <v>8646</v>
      </c>
      <c r="BC859" s="3" t="s">
        <v>102</v>
      </c>
      <c r="BD859" s="3" t="s">
        <v>68</v>
      </c>
      <c r="BE859" s="3" t="s">
        <v>8644</v>
      </c>
      <c r="BF859" s="3" t="s">
        <v>8646</v>
      </c>
      <c r="BG859" s="3" t="s">
        <v>8647</v>
      </c>
    </row>
    <row r="860" spans="1:59" ht="58" x14ac:dyDescent="0.35">
      <c r="A860" s="2" t="s">
        <v>89</v>
      </c>
      <c r="B860" s="2" t="s">
        <v>90</v>
      </c>
      <c r="C860" s="2" t="s">
        <v>8648</v>
      </c>
      <c r="D860" s="2" t="s">
        <v>8649</v>
      </c>
      <c r="E860" s="2" t="s">
        <v>8650</v>
      </c>
      <c r="G860" s="3" t="s">
        <v>62</v>
      </c>
      <c r="I860" s="3" t="s">
        <v>62</v>
      </c>
      <c r="J860" s="3" t="s">
        <v>61</v>
      </c>
      <c r="K860" s="3" t="s">
        <v>63</v>
      </c>
      <c r="L860" s="2" t="s">
        <v>8636</v>
      </c>
      <c r="M860" s="2" t="s">
        <v>8651</v>
      </c>
      <c r="N860" s="3" t="s">
        <v>1291</v>
      </c>
      <c r="P860" s="3" t="s">
        <v>64</v>
      </c>
      <c r="Q860" s="2" t="s">
        <v>8652</v>
      </c>
      <c r="R860" s="3" t="s">
        <v>65</v>
      </c>
      <c r="S860" s="4">
        <v>31</v>
      </c>
      <c r="T860" s="4">
        <v>31</v>
      </c>
      <c r="U860" s="5" t="s">
        <v>6606</v>
      </c>
      <c r="V860" s="5" t="s">
        <v>6606</v>
      </c>
      <c r="W860" s="5" t="s">
        <v>67</v>
      </c>
      <c r="X860" s="5" t="s">
        <v>67</v>
      </c>
      <c r="Y860" s="4">
        <v>288</v>
      </c>
      <c r="Z860" s="4">
        <v>19</v>
      </c>
      <c r="AA860" s="4">
        <v>117</v>
      </c>
      <c r="AB860" s="4">
        <v>1</v>
      </c>
      <c r="AC860" s="4">
        <v>18</v>
      </c>
      <c r="AD860" s="4">
        <v>62</v>
      </c>
      <c r="AE860" s="4">
        <v>167</v>
      </c>
      <c r="AF860" s="4">
        <v>0</v>
      </c>
      <c r="AG860" s="4">
        <v>8</v>
      </c>
      <c r="AH860" s="4">
        <v>50</v>
      </c>
      <c r="AI860" s="4">
        <v>116</v>
      </c>
      <c r="AJ860" s="4">
        <v>9</v>
      </c>
      <c r="AK860" s="4">
        <v>30</v>
      </c>
      <c r="AL860" s="4">
        <v>37</v>
      </c>
      <c r="AM860" s="4">
        <v>62</v>
      </c>
      <c r="AN860" s="4">
        <v>0</v>
      </c>
      <c r="AO860" s="4">
        <v>5</v>
      </c>
      <c r="AP860" s="4">
        <v>15</v>
      </c>
      <c r="AQ860" s="4">
        <v>55</v>
      </c>
      <c r="AR860" s="3" t="s">
        <v>62</v>
      </c>
      <c r="AS860" s="3" t="s">
        <v>62</v>
      </c>
      <c r="AT860" s="3" t="s">
        <v>61</v>
      </c>
      <c r="AU860" s="6" t="str">
        <f>HYPERLINK("http://catalog.hathitrust.org/Record/001919220","HathiTrust Record")</f>
        <v>HathiTrust Record</v>
      </c>
      <c r="AV860" s="6" t="str">
        <f>HYPERLINK("http://mcgill.on.worldcat.org/oclc/5089675","Catalog Record")</f>
        <v>Catalog Record</v>
      </c>
      <c r="AW860" s="6" t="str">
        <f>HYPERLINK("http://www.worldcat.org/oclc/5089675","WorldCat Record")</f>
        <v>WorldCat Record</v>
      </c>
      <c r="AX860" s="3" t="s">
        <v>8640</v>
      </c>
      <c r="AY860" s="3" t="s">
        <v>8653</v>
      </c>
      <c r="AZ860" s="3" t="s">
        <v>8654</v>
      </c>
      <c r="BA860" s="3" t="s">
        <v>8654</v>
      </c>
      <c r="BB860" s="3" t="s">
        <v>8655</v>
      </c>
      <c r="BC860" s="3" t="s">
        <v>102</v>
      </c>
      <c r="BD860" s="3" t="s">
        <v>68</v>
      </c>
      <c r="BE860" s="3" t="s">
        <v>8656</v>
      </c>
      <c r="BF860" s="3" t="s">
        <v>8655</v>
      </c>
      <c r="BG860" s="3" t="s">
        <v>8657</v>
      </c>
    </row>
    <row r="861" spans="1:59" ht="58" x14ac:dyDescent="0.35">
      <c r="A861" s="2" t="s">
        <v>89</v>
      </c>
      <c r="B861" s="2" t="s">
        <v>90</v>
      </c>
      <c r="C861" s="2" t="s">
        <v>8658</v>
      </c>
      <c r="D861" s="2" t="s">
        <v>8659</v>
      </c>
      <c r="E861" s="2" t="s">
        <v>8660</v>
      </c>
      <c r="G861" s="3" t="s">
        <v>62</v>
      </c>
      <c r="I861" s="3" t="s">
        <v>62</v>
      </c>
      <c r="J861" s="3" t="s">
        <v>62</v>
      </c>
      <c r="K861" s="3" t="s">
        <v>63</v>
      </c>
      <c r="L861" s="2" t="s">
        <v>8636</v>
      </c>
      <c r="M861" s="2" t="s">
        <v>8661</v>
      </c>
      <c r="N861" s="3" t="s">
        <v>509</v>
      </c>
      <c r="P861" s="3" t="s">
        <v>64</v>
      </c>
      <c r="R861" s="3" t="s">
        <v>65</v>
      </c>
      <c r="S861" s="4">
        <v>49</v>
      </c>
      <c r="T861" s="4">
        <v>49</v>
      </c>
      <c r="U861" s="5" t="s">
        <v>8662</v>
      </c>
      <c r="V861" s="5" t="s">
        <v>8662</v>
      </c>
      <c r="W861" s="5" t="s">
        <v>67</v>
      </c>
      <c r="X861" s="5" t="s">
        <v>67</v>
      </c>
      <c r="Y861" s="4">
        <v>364</v>
      </c>
      <c r="Z861" s="4">
        <v>26</v>
      </c>
      <c r="AA861" s="4">
        <v>43</v>
      </c>
      <c r="AB861" s="4">
        <v>2</v>
      </c>
      <c r="AC861" s="4">
        <v>9</v>
      </c>
      <c r="AD861" s="4">
        <v>90</v>
      </c>
      <c r="AE861" s="4">
        <v>109</v>
      </c>
      <c r="AF861" s="4">
        <v>1</v>
      </c>
      <c r="AG861" s="4">
        <v>4</v>
      </c>
      <c r="AH861" s="4">
        <v>76</v>
      </c>
      <c r="AI861" s="4">
        <v>87</v>
      </c>
      <c r="AJ861" s="4">
        <v>11</v>
      </c>
      <c r="AK861" s="4">
        <v>15</v>
      </c>
      <c r="AL861" s="4">
        <v>44</v>
      </c>
      <c r="AM861" s="4">
        <v>47</v>
      </c>
      <c r="AN861" s="4">
        <v>0</v>
      </c>
      <c r="AO861" s="4">
        <v>0</v>
      </c>
      <c r="AP861" s="4">
        <v>19</v>
      </c>
      <c r="AQ861" s="4">
        <v>28</v>
      </c>
      <c r="AR861" s="3" t="s">
        <v>62</v>
      </c>
      <c r="AS861" s="3" t="s">
        <v>62</v>
      </c>
      <c r="AT861" s="3" t="s">
        <v>61</v>
      </c>
      <c r="AU861" s="6" t="str">
        <f>HYPERLINK("http://catalog.hathitrust.org/Record/002906901","HathiTrust Record")</f>
        <v>HathiTrust Record</v>
      </c>
      <c r="AV861" s="6" t="str">
        <f>HYPERLINK("http://mcgill.on.worldcat.org/oclc/30156902","Catalog Record")</f>
        <v>Catalog Record</v>
      </c>
      <c r="AW861" s="6" t="str">
        <f>HYPERLINK("http://www.worldcat.org/oclc/30156902","WorldCat Record")</f>
        <v>WorldCat Record</v>
      </c>
      <c r="AX861" s="3" t="s">
        <v>8663</v>
      </c>
      <c r="AY861" s="3" t="s">
        <v>8664</v>
      </c>
      <c r="AZ861" s="3" t="s">
        <v>8665</v>
      </c>
      <c r="BA861" s="3" t="s">
        <v>8665</v>
      </c>
      <c r="BB861" s="3" t="s">
        <v>8666</v>
      </c>
      <c r="BC861" s="3" t="s">
        <v>102</v>
      </c>
      <c r="BD861" s="3" t="s">
        <v>68</v>
      </c>
      <c r="BE861" s="3" t="s">
        <v>8667</v>
      </c>
      <c r="BF861" s="3" t="s">
        <v>8666</v>
      </c>
      <c r="BG861" s="3" t="s">
        <v>8668</v>
      </c>
    </row>
    <row r="862" spans="1:59" ht="58" x14ac:dyDescent="0.35">
      <c r="A862" s="2" t="s">
        <v>89</v>
      </c>
      <c r="B862" s="2" t="s">
        <v>90</v>
      </c>
      <c r="C862" s="2" t="s">
        <v>8669</v>
      </c>
      <c r="D862" s="2" t="s">
        <v>8670</v>
      </c>
      <c r="E862" s="2" t="s">
        <v>8671</v>
      </c>
      <c r="G862" s="3" t="s">
        <v>62</v>
      </c>
      <c r="I862" s="3" t="s">
        <v>61</v>
      </c>
      <c r="J862" s="3" t="s">
        <v>62</v>
      </c>
      <c r="K862" s="3" t="s">
        <v>63</v>
      </c>
      <c r="L862" s="2" t="s">
        <v>8636</v>
      </c>
      <c r="M862" s="2" t="s">
        <v>8672</v>
      </c>
      <c r="N862" s="3" t="s">
        <v>893</v>
      </c>
      <c r="P862" s="3" t="s">
        <v>64</v>
      </c>
      <c r="Q862" s="2" t="s">
        <v>8673</v>
      </c>
      <c r="R862" s="3" t="s">
        <v>65</v>
      </c>
      <c r="S862" s="4">
        <v>27</v>
      </c>
      <c r="T862" s="4">
        <v>31</v>
      </c>
      <c r="U862" s="5" t="s">
        <v>8674</v>
      </c>
      <c r="V862" s="5" t="s">
        <v>8674</v>
      </c>
      <c r="W862" s="5" t="s">
        <v>67</v>
      </c>
      <c r="X862" s="5" t="s">
        <v>67</v>
      </c>
      <c r="Y862" s="4">
        <v>687</v>
      </c>
      <c r="Z862" s="4">
        <v>38</v>
      </c>
      <c r="AA862" s="4">
        <v>61</v>
      </c>
      <c r="AB862" s="4">
        <v>2</v>
      </c>
      <c r="AC862" s="4">
        <v>9</v>
      </c>
      <c r="AD862" s="4">
        <v>118</v>
      </c>
      <c r="AE862" s="4">
        <v>143</v>
      </c>
      <c r="AF862" s="4">
        <v>1</v>
      </c>
      <c r="AG862" s="4">
        <v>5</v>
      </c>
      <c r="AH862" s="4">
        <v>99</v>
      </c>
      <c r="AI862" s="4">
        <v>110</v>
      </c>
      <c r="AJ862" s="4">
        <v>17</v>
      </c>
      <c r="AK862" s="4">
        <v>27</v>
      </c>
      <c r="AL862" s="4">
        <v>52</v>
      </c>
      <c r="AM862" s="4">
        <v>56</v>
      </c>
      <c r="AN862" s="4">
        <v>0</v>
      </c>
      <c r="AO862" s="4">
        <v>0</v>
      </c>
      <c r="AP862" s="4">
        <v>26</v>
      </c>
      <c r="AQ862" s="4">
        <v>41</v>
      </c>
      <c r="AR862" s="3" t="s">
        <v>62</v>
      </c>
      <c r="AS862" s="3" t="s">
        <v>62</v>
      </c>
      <c r="AT862" s="3" t="s">
        <v>61</v>
      </c>
      <c r="AU862" s="6" t="str">
        <f>HYPERLINK("http://catalog.hathitrust.org/Record/007471973","HathiTrust Record")</f>
        <v>HathiTrust Record</v>
      </c>
      <c r="AV862" s="6" t="str">
        <f>HYPERLINK("http://mcgill.on.worldcat.org/oclc/7573383","Catalog Record")</f>
        <v>Catalog Record</v>
      </c>
      <c r="AW862" s="6" t="str">
        <f>HYPERLINK("http://www.worldcat.org/oclc/7573383","WorldCat Record")</f>
        <v>WorldCat Record</v>
      </c>
      <c r="AX862" s="3" t="s">
        <v>8675</v>
      </c>
      <c r="AY862" s="3" t="s">
        <v>8676</v>
      </c>
      <c r="AZ862" s="3" t="s">
        <v>8677</v>
      </c>
      <c r="BA862" s="3" t="s">
        <v>8677</v>
      </c>
      <c r="BB862" s="3" t="s">
        <v>8678</v>
      </c>
      <c r="BC862" s="3" t="s">
        <v>102</v>
      </c>
      <c r="BD862" s="3" t="s">
        <v>68</v>
      </c>
      <c r="BE862" s="3" t="s">
        <v>8679</v>
      </c>
      <c r="BF862" s="3" t="s">
        <v>8678</v>
      </c>
      <c r="BG862" s="3" t="s">
        <v>8680</v>
      </c>
    </row>
    <row r="863" spans="1:59" ht="58" x14ac:dyDescent="0.35">
      <c r="A863" s="2" t="s">
        <v>89</v>
      </c>
      <c r="B863" s="2" t="s">
        <v>90</v>
      </c>
      <c r="C863" s="2" t="s">
        <v>8681</v>
      </c>
      <c r="D863" s="2" t="s">
        <v>8682</v>
      </c>
      <c r="E863" s="2" t="s">
        <v>8683</v>
      </c>
      <c r="G863" s="3" t="s">
        <v>62</v>
      </c>
      <c r="I863" s="3" t="s">
        <v>61</v>
      </c>
      <c r="J863" s="3" t="s">
        <v>62</v>
      </c>
      <c r="K863" s="3" t="s">
        <v>63</v>
      </c>
      <c r="L863" s="2" t="s">
        <v>8636</v>
      </c>
      <c r="M863" s="2" t="s">
        <v>8684</v>
      </c>
      <c r="N863" s="3" t="s">
        <v>327</v>
      </c>
      <c r="P863" s="3" t="s">
        <v>64</v>
      </c>
      <c r="Q863" s="2" t="s">
        <v>8685</v>
      </c>
      <c r="R863" s="3" t="s">
        <v>65</v>
      </c>
      <c r="S863" s="4">
        <v>31</v>
      </c>
      <c r="T863" s="4">
        <v>40</v>
      </c>
      <c r="U863" s="5" t="s">
        <v>8686</v>
      </c>
      <c r="V863" s="5" t="s">
        <v>8687</v>
      </c>
      <c r="W863" s="5" t="s">
        <v>67</v>
      </c>
      <c r="X863" s="5" t="s">
        <v>67</v>
      </c>
      <c r="Y863" s="4">
        <v>773</v>
      </c>
      <c r="Z863" s="4">
        <v>45</v>
      </c>
      <c r="AA863" s="4">
        <v>61</v>
      </c>
      <c r="AB863" s="4">
        <v>1</v>
      </c>
      <c r="AC863" s="4">
        <v>7</v>
      </c>
      <c r="AD863" s="4">
        <v>125</v>
      </c>
      <c r="AE863" s="4">
        <v>143</v>
      </c>
      <c r="AF863" s="4">
        <v>0</v>
      </c>
      <c r="AG863" s="4">
        <v>4</v>
      </c>
      <c r="AH863" s="4">
        <v>103</v>
      </c>
      <c r="AI863" s="4">
        <v>108</v>
      </c>
      <c r="AJ863" s="4">
        <v>19</v>
      </c>
      <c r="AK863" s="4">
        <v>27</v>
      </c>
      <c r="AL863" s="4">
        <v>55</v>
      </c>
      <c r="AM863" s="4">
        <v>58</v>
      </c>
      <c r="AN863" s="4">
        <v>0</v>
      </c>
      <c r="AO863" s="4">
        <v>0</v>
      </c>
      <c r="AP863" s="4">
        <v>30</v>
      </c>
      <c r="AQ863" s="4">
        <v>42</v>
      </c>
      <c r="AR863" s="3" t="s">
        <v>62</v>
      </c>
      <c r="AS863" s="3" t="s">
        <v>62</v>
      </c>
      <c r="AT863" s="3" t="s">
        <v>61</v>
      </c>
      <c r="AU863" s="6" t="str">
        <f>HYPERLINK("http://catalog.hathitrust.org/Record/007475277","HathiTrust Record")</f>
        <v>HathiTrust Record</v>
      </c>
      <c r="AV863" s="6" t="str">
        <f>HYPERLINK("http://mcgill.on.worldcat.org/oclc/8195046","Catalog Record")</f>
        <v>Catalog Record</v>
      </c>
      <c r="AW863" s="6" t="str">
        <f>HYPERLINK("http://www.worldcat.org/oclc/8195046","WorldCat Record")</f>
        <v>WorldCat Record</v>
      </c>
      <c r="AX863" s="3" t="s">
        <v>8688</v>
      </c>
      <c r="AY863" s="3" t="s">
        <v>8689</v>
      </c>
      <c r="AZ863" s="3" t="s">
        <v>8690</v>
      </c>
      <c r="BA863" s="3" t="s">
        <v>8690</v>
      </c>
      <c r="BB863" s="3" t="s">
        <v>8691</v>
      </c>
      <c r="BC863" s="3" t="s">
        <v>102</v>
      </c>
      <c r="BD863" s="3" t="s">
        <v>68</v>
      </c>
      <c r="BE863" s="3" t="s">
        <v>8692</v>
      </c>
      <c r="BF863" s="3" t="s">
        <v>8691</v>
      </c>
      <c r="BG863" s="3" t="s">
        <v>8693</v>
      </c>
    </row>
    <row r="864" spans="1:59" ht="58" x14ac:dyDescent="0.35">
      <c r="A864" s="2" t="s">
        <v>89</v>
      </c>
      <c r="B864" s="2" t="s">
        <v>90</v>
      </c>
      <c r="C864" s="2" t="s">
        <v>8694</v>
      </c>
      <c r="D864" s="2" t="s">
        <v>8695</v>
      </c>
      <c r="E864" s="2" t="s">
        <v>8696</v>
      </c>
      <c r="G864" s="3" t="s">
        <v>62</v>
      </c>
      <c r="I864" s="3" t="s">
        <v>62</v>
      </c>
      <c r="J864" s="3" t="s">
        <v>62</v>
      </c>
      <c r="K864" s="3" t="s">
        <v>63</v>
      </c>
      <c r="L864" s="2" t="s">
        <v>8697</v>
      </c>
      <c r="M864" s="2" t="s">
        <v>8698</v>
      </c>
      <c r="N864" s="3" t="s">
        <v>355</v>
      </c>
      <c r="P864" s="3" t="s">
        <v>64</v>
      </c>
      <c r="R864" s="3" t="s">
        <v>65</v>
      </c>
      <c r="S864" s="4">
        <v>9</v>
      </c>
      <c r="T864" s="4">
        <v>9</v>
      </c>
      <c r="U864" s="5" t="s">
        <v>8699</v>
      </c>
      <c r="V864" s="5" t="s">
        <v>8699</v>
      </c>
      <c r="W864" s="5" t="s">
        <v>67</v>
      </c>
      <c r="X864" s="5" t="s">
        <v>67</v>
      </c>
      <c r="Y864" s="4">
        <v>1027</v>
      </c>
      <c r="Z864" s="4">
        <v>58</v>
      </c>
      <c r="AA864" s="4">
        <v>83</v>
      </c>
      <c r="AB864" s="4">
        <v>4</v>
      </c>
      <c r="AC864" s="4">
        <v>11</v>
      </c>
      <c r="AD864" s="4">
        <v>121</v>
      </c>
      <c r="AE864" s="4">
        <v>150</v>
      </c>
      <c r="AF864" s="4">
        <v>1</v>
      </c>
      <c r="AG864" s="4">
        <v>5</v>
      </c>
      <c r="AH864" s="4">
        <v>94</v>
      </c>
      <c r="AI864" s="4">
        <v>112</v>
      </c>
      <c r="AJ864" s="4">
        <v>18</v>
      </c>
      <c r="AK864" s="4">
        <v>26</v>
      </c>
      <c r="AL864" s="4">
        <v>52</v>
      </c>
      <c r="AM864" s="4">
        <v>60</v>
      </c>
      <c r="AN864" s="4">
        <v>0</v>
      </c>
      <c r="AO864" s="4">
        <v>0</v>
      </c>
      <c r="AP864" s="4">
        <v>32</v>
      </c>
      <c r="AQ864" s="4">
        <v>46</v>
      </c>
      <c r="AR864" s="3" t="s">
        <v>61</v>
      </c>
      <c r="AS864" s="3" t="s">
        <v>62</v>
      </c>
      <c r="AT864" s="3" t="s">
        <v>61</v>
      </c>
      <c r="AU864" s="6" t="str">
        <f>HYPERLINK("http://catalog.hathitrust.org/Record/000347600","HathiTrust Record")</f>
        <v>HathiTrust Record</v>
      </c>
      <c r="AV864" s="6" t="str">
        <f>HYPERLINK("http://mcgill.on.worldcat.org/oclc/10146336","Catalog Record")</f>
        <v>Catalog Record</v>
      </c>
      <c r="AW864" s="6" t="str">
        <f>HYPERLINK("http://www.worldcat.org/oclc/10146336","WorldCat Record")</f>
        <v>WorldCat Record</v>
      </c>
      <c r="AX864" s="3" t="s">
        <v>8700</v>
      </c>
      <c r="AY864" s="3" t="s">
        <v>8701</v>
      </c>
      <c r="AZ864" s="3" t="s">
        <v>8702</v>
      </c>
      <c r="BA864" s="3" t="s">
        <v>8702</v>
      </c>
      <c r="BB864" s="3" t="s">
        <v>8703</v>
      </c>
      <c r="BC864" s="3" t="s">
        <v>102</v>
      </c>
      <c r="BD864" s="3" t="s">
        <v>68</v>
      </c>
      <c r="BE864" s="3" t="s">
        <v>8704</v>
      </c>
      <c r="BF864" s="3" t="s">
        <v>8703</v>
      </c>
      <c r="BG864" s="3" t="s">
        <v>8705</v>
      </c>
    </row>
    <row r="865" spans="1:59" ht="58" x14ac:dyDescent="0.35">
      <c r="A865" s="2" t="s">
        <v>89</v>
      </c>
      <c r="B865" s="2" t="s">
        <v>90</v>
      </c>
      <c r="C865" s="2" t="s">
        <v>8706</v>
      </c>
      <c r="D865" s="2" t="s">
        <v>8707</v>
      </c>
      <c r="E865" s="2" t="s">
        <v>8708</v>
      </c>
      <c r="G865" s="3" t="s">
        <v>62</v>
      </c>
      <c r="I865" s="3" t="s">
        <v>62</v>
      </c>
      <c r="J865" s="3" t="s">
        <v>62</v>
      </c>
      <c r="K865" s="3" t="s">
        <v>63</v>
      </c>
      <c r="L865" s="2" t="s">
        <v>8709</v>
      </c>
      <c r="M865" s="2" t="s">
        <v>8710</v>
      </c>
      <c r="N865" s="3" t="s">
        <v>424</v>
      </c>
      <c r="P865" s="3" t="s">
        <v>64</v>
      </c>
      <c r="R865" s="3" t="s">
        <v>65</v>
      </c>
      <c r="S865" s="4">
        <v>3</v>
      </c>
      <c r="T865" s="4">
        <v>3</v>
      </c>
      <c r="U865" s="5" t="s">
        <v>8711</v>
      </c>
      <c r="V865" s="5" t="s">
        <v>8711</v>
      </c>
      <c r="W865" s="5" t="s">
        <v>67</v>
      </c>
      <c r="X865" s="5" t="s">
        <v>67</v>
      </c>
      <c r="Y865" s="4">
        <v>83</v>
      </c>
      <c r="Z865" s="4">
        <v>4</v>
      </c>
      <c r="AA865" s="4">
        <v>8</v>
      </c>
      <c r="AB865" s="4">
        <v>2</v>
      </c>
      <c r="AC865" s="4">
        <v>2</v>
      </c>
      <c r="AD865" s="4">
        <v>34</v>
      </c>
      <c r="AE865" s="4">
        <v>37</v>
      </c>
      <c r="AF865" s="4">
        <v>0</v>
      </c>
      <c r="AG865" s="4">
        <v>0</v>
      </c>
      <c r="AH865" s="4">
        <v>31</v>
      </c>
      <c r="AI865" s="4">
        <v>33</v>
      </c>
      <c r="AJ865" s="4">
        <v>2</v>
      </c>
      <c r="AK865" s="4">
        <v>5</v>
      </c>
      <c r="AL865" s="4">
        <v>27</v>
      </c>
      <c r="AM865" s="4">
        <v>28</v>
      </c>
      <c r="AN865" s="4">
        <v>0</v>
      </c>
      <c r="AO865" s="4">
        <v>0</v>
      </c>
      <c r="AP865" s="4">
        <v>1</v>
      </c>
      <c r="AQ865" s="4">
        <v>4</v>
      </c>
      <c r="AR865" s="3" t="s">
        <v>62</v>
      </c>
      <c r="AS865" s="3" t="s">
        <v>62</v>
      </c>
      <c r="AT865" s="3" t="s">
        <v>61</v>
      </c>
      <c r="AU865" s="6" t="str">
        <f>HYPERLINK("http://catalog.hathitrust.org/Record/002492792","HathiTrust Record")</f>
        <v>HathiTrust Record</v>
      </c>
      <c r="AV865" s="6" t="str">
        <f>HYPERLINK("http://mcgill.on.worldcat.org/oclc/20178704","Catalog Record")</f>
        <v>Catalog Record</v>
      </c>
      <c r="AW865" s="6" t="str">
        <f>HYPERLINK("http://www.worldcat.org/oclc/20178704","WorldCat Record")</f>
        <v>WorldCat Record</v>
      </c>
      <c r="AX865" s="3" t="s">
        <v>8712</v>
      </c>
      <c r="AY865" s="3" t="s">
        <v>8713</v>
      </c>
      <c r="AZ865" s="3" t="s">
        <v>8714</v>
      </c>
      <c r="BA865" s="3" t="s">
        <v>8714</v>
      </c>
      <c r="BB865" s="3" t="s">
        <v>8715</v>
      </c>
      <c r="BC865" s="3" t="s">
        <v>102</v>
      </c>
      <c r="BD865" s="3" t="s">
        <v>68</v>
      </c>
      <c r="BE865" s="3" t="s">
        <v>8716</v>
      </c>
      <c r="BF865" s="3" t="s">
        <v>8715</v>
      </c>
      <c r="BG865" s="3" t="s">
        <v>8717</v>
      </c>
    </row>
    <row r="866" spans="1:59" ht="58" x14ac:dyDescent="0.35">
      <c r="A866" s="2" t="s">
        <v>89</v>
      </c>
      <c r="B866" s="2" t="s">
        <v>90</v>
      </c>
      <c r="C866" s="2" t="s">
        <v>8718</v>
      </c>
      <c r="D866" s="2" t="s">
        <v>8719</v>
      </c>
      <c r="E866" s="2" t="s">
        <v>8720</v>
      </c>
      <c r="G866" s="3" t="s">
        <v>62</v>
      </c>
      <c r="I866" s="3" t="s">
        <v>62</v>
      </c>
      <c r="J866" s="3" t="s">
        <v>62</v>
      </c>
      <c r="K866" s="3" t="s">
        <v>63</v>
      </c>
      <c r="L866" s="2" t="s">
        <v>8721</v>
      </c>
      <c r="M866" s="2" t="s">
        <v>8722</v>
      </c>
      <c r="N866" s="3" t="s">
        <v>81</v>
      </c>
      <c r="P866" s="3" t="s">
        <v>64</v>
      </c>
      <c r="Q866" s="2" t="s">
        <v>8723</v>
      </c>
      <c r="R866" s="3" t="s">
        <v>65</v>
      </c>
      <c r="S866" s="4">
        <v>1</v>
      </c>
      <c r="T866" s="4">
        <v>1</v>
      </c>
      <c r="U866" s="5" t="s">
        <v>8724</v>
      </c>
      <c r="V866" s="5" t="s">
        <v>8724</v>
      </c>
      <c r="W866" s="5" t="s">
        <v>67</v>
      </c>
      <c r="X866" s="5" t="s">
        <v>67</v>
      </c>
      <c r="Y866" s="4">
        <v>14</v>
      </c>
      <c r="Z866" s="4">
        <v>1</v>
      </c>
      <c r="AA866" s="4">
        <v>1</v>
      </c>
      <c r="AB866" s="4">
        <v>1</v>
      </c>
      <c r="AC866" s="4">
        <v>1</v>
      </c>
      <c r="AD866" s="4">
        <v>1</v>
      </c>
      <c r="AE866" s="4">
        <v>1</v>
      </c>
      <c r="AF866" s="4">
        <v>0</v>
      </c>
      <c r="AG866" s="4">
        <v>0</v>
      </c>
      <c r="AH866" s="4">
        <v>1</v>
      </c>
      <c r="AI866" s="4">
        <v>1</v>
      </c>
      <c r="AJ866" s="4">
        <v>0</v>
      </c>
      <c r="AK866" s="4">
        <v>0</v>
      </c>
      <c r="AL866" s="4">
        <v>1</v>
      </c>
      <c r="AM866" s="4">
        <v>1</v>
      </c>
      <c r="AN866" s="4">
        <v>0</v>
      </c>
      <c r="AO866" s="4">
        <v>0</v>
      </c>
      <c r="AP866" s="4">
        <v>0</v>
      </c>
      <c r="AQ866" s="4">
        <v>0</v>
      </c>
      <c r="AR866" s="3" t="s">
        <v>62</v>
      </c>
      <c r="AS866" s="3" t="s">
        <v>62</v>
      </c>
      <c r="AT866" s="3" t="s">
        <v>62</v>
      </c>
      <c r="AV866" s="6" t="str">
        <f>HYPERLINK("http://mcgill.on.worldcat.org/oclc/82394105","Catalog Record")</f>
        <v>Catalog Record</v>
      </c>
      <c r="AW866" s="6" t="str">
        <f>HYPERLINK("http://www.worldcat.org/oclc/82394105","WorldCat Record")</f>
        <v>WorldCat Record</v>
      </c>
      <c r="AX866" s="3" t="s">
        <v>8725</v>
      </c>
      <c r="AY866" s="3" t="s">
        <v>8726</v>
      </c>
      <c r="AZ866" s="3" t="s">
        <v>8727</v>
      </c>
      <c r="BA866" s="3" t="s">
        <v>8727</v>
      </c>
      <c r="BB866" s="3" t="s">
        <v>8728</v>
      </c>
      <c r="BC866" s="3" t="s">
        <v>102</v>
      </c>
      <c r="BD866" s="3" t="s">
        <v>68</v>
      </c>
      <c r="BF866" s="3" t="s">
        <v>8728</v>
      </c>
      <c r="BG866" s="3" t="s">
        <v>8729</v>
      </c>
    </row>
    <row r="867" spans="1:59" ht="58" x14ac:dyDescent="0.35">
      <c r="A867" s="2" t="s">
        <v>89</v>
      </c>
      <c r="B867" s="2" t="s">
        <v>90</v>
      </c>
      <c r="C867" s="2" t="s">
        <v>8730</v>
      </c>
      <c r="D867" s="2" t="s">
        <v>8731</v>
      </c>
      <c r="E867" s="2" t="s">
        <v>8732</v>
      </c>
      <c r="F867" s="3" t="s">
        <v>2233</v>
      </c>
      <c r="G867" s="3" t="s">
        <v>61</v>
      </c>
      <c r="I867" s="3" t="s">
        <v>62</v>
      </c>
      <c r="J867" s="3" t="s">
        <v>62</v>
      </c>
      <c r="K867" s="3" t="s">
        <v>63</v>
      </c>
      <c r="L867" s="2" t="s">
        <v>8721</v>
      </c>
      <c r="M867" s="2" t="s">
        <v>8733</v>
      </c>
      <c r="N867" s="3" t="s">
        <v>81</v>
      </c>
      <c r="P867" s="3" t="s">
        <v>64</v>
      </c>
      <c r="Q867" s="2" t="s">
        <v>8734</v>
      </c>
      <c r="R867" s="3" t="s">
        <v>65</v>
      </c>
      <c r="S867" s="4">
        <v>13</v>
      </c>
      <c r="T867" s="4">
        <v>13</v>
      </c>
      <c r="U867" s="5" t="s">
        <v>8724</v>
      </c>
      <c r="V867" s="5" t="s">
        <v>8724</v>
      </c>
      <c r="W867" s="5" t="s">
        <v>67</v>
      </c>
      <c r="X867" s="5" t="s">
        <v>67</v>
      </c>
      <c r="Y867" s="4">
        <v>107</v>
      </c>
      <c r="Z867" s="4">
        <v>9</v>
      </c>
      <c r="AA867" s="4">
        <v>39</v>
      </c>
      <c r="AB867" s="4">
        <v>1</v>
      </c>
      <c r="AC867" s="4">
        <v>5</v>
      </c>
      <c r="AD867" s="4">
        <v>46</v>
      </c>
      <c r="AE867" s="4">
        <v>111</v>
      </c>
      <c r="AF867" s="4">
        <v>0</v>
      </c>
      <c r="AG867" s="4">
        <v>3</v>
      </c>
      <c r="AH867" s="4">
        <v>40</v>
      </c>
      <c r="AI867" s="4">
        <v>91</v>
      </c>
      <c r="AJ867" s="4">
        <v>7</v>
      </c>
      <c r="AK867" s="4">
        <v>23</v>
      </c>
      <c r="AL867" s="4">
        <v>25</v>
      </c>
      <c r="AM867" s="4">
        <v>50</v>
      </c>
      <c r="AN867" s="4">
        <v>0</v>
      </c>
      <c r="AO867" s="4">
        <v>0</v>
      </c>
      <c r="AP867" s="4">
        <v>8</v>
      </c>
      <c r="AQ867" s="4">
        <v>29</v>
      </c>
      <c r="AR867" s="3" t="s">
        <v>62</v>
      </c>
      <c r="AS867" s="3" t="s">
        <v>62</v>
      </c>
      <c r="AT867" s="3" t="s">
        <v>61</v>
      </c>
      <c r="AU867" s="6" t="str">
        <f>HYPERLINK("http://catalog.hathitrust.org/Record/001988585","HathiTrust Record")</f>
        <v>HathiTrust Record</v>
      </c>
      <c r="AV867" s="6" t="str">
        <f>HYPERLINK("http://mcgill.on.worldcat.org/oclc/194349","Catalog Record")</f>
        <v>Catalog Record</v>
      </c>
      <c r="AW867" s="6" t="str">
        <f>HYPERLINK("http://www.worldcat.org/oclc/194349","WorldCat Record")</f>
        <v>WorldCat Record</v>
      </c>
      <c r="AX867" s="3" t="s">
        <v>8735</v>
      </c>
      <c r="AY867" s="3" t="s">
        <v>8736</v>
      </c>
      <c r="AZ867" s="3" t="s">
        <v>8737</v>
      </c>
      <c r="BA867" s="3" t="s">
        <v>8737</v>
      </c>
      <c r="BB867" s="3" t="s">
        <v>8738</v>
      </c>
      <c r="BC867" s="3" t="s">
        <v>4753</v>
      </c>
      <c r="BD867" s="3" t="s">
        <v>68</v>
      </c>
      <c r="BF867" s="3" t="s">
        <v>8738</v>
      </c>
      <c r="BG867" s="3" t="s">
        <v>8739</v>
      </c>
    </row>
    <row r="868" spans="1:59" ht="58" x14ac:dyDescent="0.35">
      <c r="A868" s="2" t="s">
        <v>89</v>
      </c>
      <c r="B868" s="2" t="s">
        <v>90</v>
      </c>
      <c r="C868" s="2" t="s">
        <v>8740</v>
      </c>
      <c r="D868" s="2" t="s">
        <v>8741</v>
      </c>
      <c r="E868" s="2" t="s">
        <v>8742</v>
      </c>
      <c r="G868" s="3" t="s">
        <v>62</v>
      </c>
      <c r="I868" s="3" t="s">
        <v>61</v>
      </c>
      <c r="J868" s="3" t="s">
        <v>62</v>
      </c>
      <c r="K868" s="3" t="s">
        <v>63</v>
      </c>
      <c r="L868" s="2" t="s">
        <v>8743</v>
      </c>
      <c r="M868" s="2" t="s">
        <v>8744</v>
      </c>
      <c r="N868" s="3" t="s">
        <v>1064</v>
      </c>
      <c r="P868" s="3" t="s">
        <v>64</v>
      </c>
      <c r="R868" s="3" t="s">
        <v>65</v>
      </c>
      <c r="S868" s="4">
        <v>13</v>
      </c>
      <c r="T868" s="4">
        <v>26</v>
      </c>
      <c r="U868" s="5" t="s">
        <v>868</v>
      </c>
      <c r="V868" s="5" t="s">
        <v>8745</v>
      </c>
      <c r="W868" s="5" t="s">
        <v>67</v>
      </c>
      <c r="X868" s="5" t="s">
        <v>67</v>
      </c>
      <c r="Y868" s="4">
        <v>840</v>
      </c>
      <c r="Z868" s="4">
        <v>45</v>
      </c>
      <c r="AA868" s="4">
        <v>60</v>
      </c>
      <c r="AB868" s="4">
        <v>3</v>
      </c>
      <c r="AC868" s="4">
        <v>7</v>
      </c>
      <c r="AD868" s="4">
        <v>133</v>
      </c>
      <c r="AE868" s="4">
        <v>152</v>
      </c>
      <c r="AF868" s="4">
        <v>2</v>
      </c>
      <c r="AG868" s="4">
        <v>6</v>
      </c>
      <c r="AH868" s="4">
        <v>102</v>
      </c>
      <c r="AI868" s="4">
        <v>112</v>
      </c>
      <c r="AJ868" s="4">
        <v>24</v>
      </c>
      <c r="AK868" s="4">
        <v>28</v>
      </c>
      <c r="AL868" s="4">
        <v>57</v>
      </c>
      <c r="AM868" s="4">
        <v>60</v>
      </c>
      <c r="AN868" s="4">
        <v>0</v>
      </c>
      <c r="AO868" s="4">
        <v>5</v>
      </c>
      <c r="AP868" s="4">
        <v>36</v>
      </c>
      <c r="AQ868" s="4">
        <v>46</v>
      </c>
      <c r="AR868" s="3" t="s">
        <v>62</v>
      </c>
      <c r="AS868" s="3" t="s">
        <v>62</v>
      </c>
      <c r="AT868" s="3" t="s">
        <v>62</v>
      </c>
      <c r="AV868" s="6" t="str">
        <f>HYPERLINK("http://mcgill.on.worldcat.org/oclc/226477","Catalog Record")</f>
        <v>Catalog Record</v>
      </c>
      <c r="AW868" s="6" t="str">
        <f>HYPERLINK("http://www.worldcat.org/oclc/226477","WorldCat Record")</f>
        <v>WorldCat Record</v>
      </c>
      <c r="AX868" s="3" t="s">
        <v>8746</v>
      </c>
      <c r="AY868" s="3" t="s">
        <v>8747</v>
      </c>
      <c r="AZ868" s="3" t="s">
        <v>8748</v>
      </c>
      <c r="BA868" s="3" t="s">
        <v>8748</v>
      </c>
      <c r="BB868" s="3" t="s">
        <v>8749</v>
      </c>
      <c r="BC868" s="3" t="s">
        <v>102</v>
      </c>
      <c r="BD868" s="3" t="s">
        <v>231</v>
      </c>
      <c r="BE868" s="3" t="s">
        <v>8750</v>
      </c>
      <c r="BF868" s="3" t="s">
        <v>8749</v>
      </c>
      <c r="BG868" s="3" t="s">
        <v>8751</v>
      </c>
    </row>
    <row r="869" spans="1:59" ht="58" x14ac:dyDescent="0.35">
      <c r="A869" s="2" t="s">
        <v>89</v>
      </c>
      <c r="B869" s="2" t="s">
        <v>90</v>
      </c>
      <c r="C869" s="2" t="s">
        <v>8752</v>
      </c>
      <c r="D869" s="2" t="s">
        <v>8753</v>
      </c>
      <c r="E869" s="2" t="s">
        <v>8754</v>
      </c>
      <c r="G869" s="3" t="s">
        <v>62</v>
      </c>
      <c r="I869" s="3" t="s">
        <v>62</v>
      </c>
      <c r="J869" s="3" t="s">
        <v>62</v>
      </c>
      <c r="K869" s="3" t="s">
        <v>63</v>
      </c>
      <c r="L869" s="2" t="s">
        <v>8755</v>
      </c>
      <c r="M869" s="2" t="s">
        <v>8756</v>
      </c>
      <c r="N869" s="3" t="s">
        <v>2445</v>
      </c>
      <c r="P869" s="3" t="s">
        <v>64</v>
      </c>
      <c r="Q869" s="2" t="s">
        <v>8757</v>
      </c>
      <c r="R869" s="3" t="s">
        <v>65</v>
      </c>
      <c r="S869" s="4">
        <v>12</v>
      </c>
      <c r="T869" s="4">
        <v>12</v>
      </c>
      <c r="U869" s="5" t="s">
        <v>8758</v>
      </c>
      <c r="V869" s="5" t="s">
        <v>8758</v>
      </c>
      <c r="W869" s="5" t="s">
        <v>67</v>
      </c>
      <c r="X869" s="5" t="s">
        <v>67</v>
      </c>
      <c r="Y869" s="4">
        <v>286</v>
      </c>
      <c r="Z869" s="4">
        <v>20</v>
      </c>
      <c r="AA869" s="4">
        <v>22</v>
      </c>
      <c r="AB869" s="4">
        <v>1</v>
      </c>
      <c r="AC869" s="4">
        <v>1</v>
      </c>
      <c r="AD869" s="4">
        <v>77</v>
      </c>
      <c r="AE869" s="4">
        <v>84</v>
      </c>
      <c r="AF869" s="4">
        <v>0</v>
      </c>
      <c r="AG869" s="4">
        <v>0</v>
      </c>
      <c r="AH869" s="4">
        <v>67</v>
      </c>
      <c r="AI869" s="4">
        <v>74</v>
      </c>
      <c r="AJ869" s="4">
        <v>13</v>
      </c>
      <c r="AK869" s="4">
        <v>15</v>
      </c>
      <c r="AL869" s="4">
        <v>38</v>
      </c>
      <c r="AM869" s="4">
        <v>41</v>
      </c>
      <c r="AN869" s="4">
        <v>0</v>
      </c>
      <c r="AO869" s="4">
        <v>0</v>
      </c>
      <c r="AP869" s="4">
        <v>14</v>
      </c>
      <c r="AQ869" s="4">
        <v>16</v>
      </c>
      <c r="AR869" s="3" t="s">
        <v>62</v>
      </c>
      <c r="AS869" s="3" t="s">
        <v>62</v>
      </c>
      <c r="AT869" s="3" t="s">
        <v>61</v>
      </c>
      <c r="AU869" s="6" t="str">
        <f>HYPERLINK("http://catalog.hathitrust.org/Record/000012296","HathiTrust Record")</f>
        <v>HathiTrust Record</v>
      </c>
      <c r="AV869" s="6" t="str">
        <f>HYPERLINK("http://mcgill.on.worldcat.org/oclc/812253","Catalog Record")</f>
        <v>Catalog Record</v>
      </c>
      <c r="AW869" s="6" t="str">
        <f>HYPERLINK("http://www.worldcat.org/oclc/812253","WorldCat Record")</f>
        <v>WorldCat Record</v>
      </c>
      <c r="AX869" s="3" t="s">
        <v>8759</v>
      </c>
      <c r="AY869" s="3" t="s">
        <v>8760</v>
      </c>
      <c r="AZ869" s="3" t="s">
        <v>8761</v>
      </c>
      <c r="BA869" s="3" t="s">
        <v>8761</v>
      </c>
      <c r="BB869" s="3" t="s">
        <v>8762</v>
      </c>
      <c r="BC869" s="3" t="s">
        <v>102</v>
      </c>
      <c r="BD869" s="3" t="s">
        <v>68</v>
      </c>
      <c r="BF869" s="3" t="s">
        <v>8762</v>
      </c>
      <c r="BG869" s="3" t="s">
        <v>8763</v>
      </c>
    </row>
    <row r="870" spans="1:59" ht="58" x14ac:dyDescent="0.35">
      <c r="A870" s="2" t="s">
        <v>59</v>
      </c>
      <c r="B870" s="2" t="s">
        <v>60</v>
      </c>
      <c r="C870" s="2" t="s">
        <v>8764</v>
      </c>
      <c r="D870" s="2" t="s">
        <v>8765</v>
      </c>
      <c r="E870" s="2" t="s">
        <v>8766</v>
      </c>
      <c r="G870" s="3" t="s">
        <v>62</v>
      </c>
      <c r="I870" s="3" t="s">
        <v>62</v>
      </c>
      <c r="J870" s="3" t="s">
        <v>62</v>
      </c>
      <c r="K870" s="3" t="s">
        <v>63</v>
      </c>
      <c r="L870" s="2" t="s">
        <v>8767</v>
      </c>
      <c r="M870" s="2" t="s">
        <v>8768</v>
      </c>
      <c r="N870" s="3" t="s">
        <v>81</v>
      </c>
      <c r="P870" s="3" t="s">
        <v>64</v>
      </c>
      <c r="Q870" s="2" t="s">
        <v>8769</v>
      </c>
      <c r="R870" s="3" t="s">
        <v>65</v>
      </c>
      <c r="S870" s="4">
        <v>1</v>
      </c>
      <c r="T870" s="4">
        <v>1</v>
      </c>
      <c r="U870" s="5" t="s">
        <v>8770</v>
      </c>
      <c r="V870" s="5" t="s">
        <v>8770</v>
      </c>
      <c r="W870" s="5" t="s">
        <v>67</v>
      </c>
      <c r="X870" s="5" t="s">
        <v>67</v>
      </c>
      <c r="Y870" s="4">
        <v>305</v>
      </c>
      <c r="Z870" s="4">
        <v>19</v>
      </c>
      <c r="AA870" s="4">
        <v>19</v>
      </c>
      <c r="AB870" s="4">
        <v>1</v>
      </c>
      <c r="AC870" s="4">
        <v>1</v>
      </c>
      <c r="AD870" s="4">
        <v>70</v>
      </c>
      <c r="AE870" s="4">
        <v>70</v>
      </c>
      <c r="AF870" s="4">
        <v>0</v>
      </c>
      <c r="AG870" s="4">
        <v>0</v>
      </c>
      <c r="AH870" s="4">
        <v>57</v>
      </c>
      <c r="AI870" s="4">
        <v>57</v>
      </c>
      <c r="AJ870" s="4">
        <v>11</v>
      </c>
      <c r="AK870" s="4">
        <v>11</v>
      </c>
      <c r="AL870" s="4">
        <v>33</v>
      </c>
      <c r="AM870" s="4">
        <v>33</v>
      </c>
      <c r="AN870" s="4">
        <v>0</v>
      </c>
      <c r="AO870" s="4">
        <v>0</v>
      </c>
      <c r="AP870" s="4">
        <v>16</v>
      </c>
      <c r="AQ870" s="4">
        <v>16</v>
      </c>
      <c r="AR870" s="3" t="s">
        <v>62</v>
      </c>
      <c r="AS870" s="3" t="s">
        <v>62</v>
      </c>
      <c r="AT870" s="3" t="s">
        <v>62</v>
      </c>
      <c r="AV870" s="6" t="str">
        <f>HYPERLINK("http://mcgill.on.worldcat.org/oclc/440979","Catalog Record")</f>
        <v>Catalog Record</v>
      </c>
      <c r="AW870" s="6" t="str">
        <f>HYPERLINK("http://www.worldcat.org/oclc/440979","WorldCat Record")</f>
        <v>WorldCat Record</v>
      </c>
      <c r="AX870" s="3" t="s">
        <v>8771</v>
      </c>
      <c r="AY870" s="3" t="s">
        <v>8772</v>
      </c>
      <c r="AZ870" s="3" t="s">
        <v>8773</v>
      </c>
      <c r="BA870" s="3" t="s">
        <v>8773</v>
      </c>
      <c r="BB870" s="3" t="s">
        <v>8774</v>
      </c>
      <c r="BC870" s="3" t="s">
        <v>102</v>
      </c>
      <c r="BD870" s="3" t="s">
        <v>68</v>
      </c>
      <c r="BF870" s="3" t="s">
        <v>8774</v>
      </c>
      <c r="BG870" s="3" t="s">
        <v>8775</v>
      </c>
    </row>
    <row r="871" spans="1:59" ht="58" x14ac:dyDescent="0.35">
      <c r="A871" s="2" t="s">
        <v>89</v>
      </c>
      <c r="B871" s="2" t="s">
        <v>90</v>
      </c>
      <c r="C871" s="2" t="s">
        <v>8776</v>
      </c>
      <c r="D871" s="2" t="s">
        <v>8777</v>
      </c>
      <c r="E871" s="2" t="s">
        <v>8778</v>
      </c>
      <c r="G871" s="3" t="s">
        <v>62</v>
      </c>
      <c r="I871" s="3" t="s">
        <v>62</v>
      </c>
      <c r="J871" s="3" t="s">
        <v>62</v>
      </c>
      <c r="K871" s="3" t="s">
        <v>63</v>
      </c>
      <c r="L871" s="2" t="s">
        <v>8779</v>
      </c>
      <c r="M871" s="2" t="s">
        <v>4534</v>
      </c>
      <c r="N871" s="3" t="s">
        <v>115</v>
      </c>
      <c r="P871" s="3" t="s">
        <v>64</v>
      </c>
      <c r="R871" s="3" t="s">
        <v>65</v>
      </c>
      <c r="S871" s="4">
        <v>17</v>
      </c>
      <c r="T871" s="4">
        <v>17</v>
      </c>
      <c r="U871" s="5" t="s">
        <v>1627</v>
      </c>
      <c r="V871" s="5" t="s">
        <v>1627</v>
      </c>
      <c r="W871" s="5" t="s">
        <v>67</v>
      </c>
      <c r="X871" s="5" t="s">
        <v>67</v>
      </c>
      <c r="Y871" s="4">
        <v>648</v>
      </c>
      <c r="Z871" s="4">
        <v>26</v>
      </c>
      <c r="AA871" s="4">
        <v>30</v>
      </c>
      <c r="AB871" s="4">
        <v>2</v>
      </c>
      <c r="AC871" s="4">
        <v>4</v>
      </c>
      <c r="AD871" s="4">
        <v>107</v>
      </c>
      <c r="AE871" s="4">
        <v>110</v>
      </c>
      <c r="AF871" s="4">
        <v>1</v>
      </c>
      <c r="AG871" s="4">
        <v>3</v>
      </c>
      <c r="AH871" s="4">
        <v>91</v>
      </c>
      <c r="AI871" s="4">
        <v>92</v>
      </c>
      <c r="AJ871" s="4">
        <v>15</v>
      </c>
      <c r="AK871" s="4">
        <v>17</v>
      </c>
      <c r="AL871" s="4">
        <v>50</v>
      </c>
      <c r="AM871" s="4">
        <v>51</v>
      </c>
      <c r="AN871" s="4">
        <v>0</v>
      </c>
      <c r="AO871" s="4">
        <v>0</v>
      </c>
      <c r="AP871" s="4">
        <v>20</v>
      </c>
      <c r="AQ871" s="4">
        <v>21</v>
      </c>
      <c r="AR871" s="3" t="s">
        <v>62</v>
      </c>
      <c r="AS871" s="3" t="s">
        <v>62</v>
      </c>
      <c r="AT871" s="3" t="s">
        <v>61</v>
      </c>
      <c r="AU871" s="6" t="str">
        <f>HYPERLINK("http://catalog.hathitrust.org/Record/001814644","HathiTrust Record")</f>
        <v>HathiTrust Record</v>
      </c>
      <c r="AV871" s="6" t="str">
        <f>HYPERLINK("http://mcgill.on.worldcat.org/oclc/19067658","Catalog Record")</f>
        <v>Catalog Record</v>
      </c>
      <c r="AW871" s="6" t="str">
        <f>HYPERLINK("http://www.worldcat.org/oclc/19067658","WorldCat Record")</f>
        <v>WorldCat Record</v>
      </c>
      <c r="AX871" s="3" t="s">
        <v>8780</v>
      </c>
      <c r="AY871" s="3" t="s">
        <v>8781</v>
      </c>
      <c r="AZ871" s="3" t="s">
        <v>8782</v>
      </c>
      <c r="BA871" s="3" t="s">
        <v>8782</v>
      </c>
      <c r="BB871" s="3" t="s">
        <v>8783</v>
      </c>
      <c r="BC871" s="3" t="s">
        <v>102</v>
      </c>
      <c r="BD871" s="3" t="s">
        <v>68</v>
      </c>
      <c r="BE871" s="3" t="s">
        <v>8784</v>
      </c>
      <c r="BF871" s="3" t="s">
        <v>8783</v>
      </c>
      <c r="BG871" s="3" t="s">
        <v>8785</v>
      </c>
    </row>
    <row r="872" spans="1:59" ht="58" x14ac:dyDescent="0.35">
      <c r="A872" s="2" t="s">
        <v>89</v>
      </c>
      <c r="B872" s="2" t="s">
        <v>90</v>
      </c>
      <c r="C872" s="2" t="s">
        <v>8786</v>
      </c>
      <c r="D872" s="2" t="s">
        <v>8787</v>
      </c>
      <c r="E872" s="2" t="s">
        <v>8788</v>
      </c>
      <c r="G872" s="3" t="s">
        <v>62</v>
      </c>
      <c r="I872" s="3" t="s">
        <v>62</v>
      </c>
      <c r="J872" s="3" t="s">
        <v>62</v>
      </c>
      <c r="K872" s="3" t="s">
        <v>63</v>
      </c>
      <c r="L872" s="2" t="s">
        <v>8789</v>
      </c>
      <c r="M872" s="2" t="s">
        <v>8790</v>
      </c>
      <c r="N872" s="3" t="s">
        <v>1639</v>
      </c>
      <c r="P872" s="3" t="s">
        <v>64</v>
      </c>
      <c r="R872" s="3" t="s">
        <v>65</v>
      </c>
      <c r="S872" s="4">
        <v>8</v>
      </c>
      <c r="T872" s="4">
        <v>8</v>
      </c>
      <c r="U872" s="5" t="s">
        <v>8791</v>
      </c>
      <c r="V872" s="5" t="s">
        <v>8791</v>
      </c>
      <c r="W872" s="5" t="s">
        <v>67</v>
      </c>
      <c r="X872" s="5" t="s">
        <v>67</v>
      </c>
      <c r="Y872" s="4">
        <v>536</v>
      </c>
      <c r="Z872" s="4">
        <v>34</v>
      </c>
      <c r="AA872" s="4">
        <v>36</v>
      </c>
      <c r="AB872" s="4">
        <v>2</v>
      </c>
      <c r="AC872" s="4">
        <v>4</v>
      </c>
      <c r="AD872" s="4">
        <v>121</v>
      </c>
      <c r="AE872" s="4">
        <v>123</v>
      </c>
      <c r="AF872" s="4">
        <v>1</v>
      </c>
      <c r="AG872" s="4">
        <v>3</v>
      </c>
      <c r="AH872" s="4">
        <v>96</v>
      </c>
      <c r="AI872" s="4">
        <v>97</v>
      </c>
      <c r="AJ872" s="4">
        <v>22</v>
      </c>
      <c r="AK872" s="4">
        <v>24</v>
      </c>
      <c r="AL872" s="4">
        <v>54</v>
      </c>
      <c r="AM872" s="4">
        <v>54</v>
      </c>
      <c r="AN872" s="4">
        <v>0</v>
      </c>
      <c r="AO872" s="4">
        <v>0</v>
      </c>
      <c r="AP872" s="4">
        <v>29</v>
      </c>
      <c r="AQ872" s="4">
        <v>30</v>
      </c>
      <c r="AR872" s="3" t="s">
        <v>62</v>
      </c>
      <c r="AS872" s="3" t="s">
        <v>62</v>
      </c>
      <c r="AT872" s="3" t="s">
        <v>61</v>
      </c>
      <c r="AU872" s="6" t="str">
        <f>HYPERLINK("http://catalog.hathitrust.org/Record/001474686","HathiTrust Record")</f>
        <v>HathiTrust Record</v>
      </c>
      <c r="AV872" s="6" t="str">
        <f>HYPERLINK("http://mcgill.on.worldcat.org/oclc/55253","Catalog Record")</f>
        <v>Catalog Record</v>
      </c>
      <c r="AW872" s="6" t="str">
        <f>HYPERLINK("http://www.worldcat.org/oclc/55253","WorldCat Record")</f>
        <v>WorldCat Record</v>
      </c>
      <c r="AX872" s="3" t="s">
        <v>8792</v>
      </c>
      <c r="AY872" s="3" t="s">
        <v>8793</v>
      </c>
      <c r="AZ872" s="3" t="s">
        <v>8794</v>
      </c>
      <c r="BA872" s="3" t="s">
        <v>8794</v>
      </c>
      <c r="BB872" s="3" t="s">
        <v>8795</v>
      </c>
      <c r="BC872" s="3" t="s">
        <v>102</v>
      </c>
      <c r="BD872" s="3" t="s">
        <v>68</v>
      </c>
      <c r="BE872" s="3" t="s">
        <v>8796</v>
      </c>
      <c r="BF872" s="3" t="s">
        <v>8795</v>
      </c>
      <c r="BG872" s="3" t="s">
        <v>8797</v>
      </c>
    </row>
    <row r="873" spans="1:59" ht="58" x14ac:dyDescent="0.35">
      <c r="A873" s="2" t="s">
        <v>89</v>
      </c>
      <c r="B873" s="2" t="s">
        <v>90</v>
      </c>
      <c r="C873" s="2" t="s">
        <v>8798</v>
      </c>
      <c r="D873" s="2" t="s">
        <v>8799</v>
      </c>
      <c r="E873" s="2" t="s">
        <v>8800</v>
      </c>
      <c r="G873" s="3" t="s">
        <v>62</v>
      </c>
      <c r="I873" s="3" t="s">
        <v>62</v>
      </c>
      <c r="J873" s="3" t="s">
        <v>62</v>
      </c>
      <c r="K873" s="3" t="s">
        <v>63</v>
      </c>
      <c r="L873" s="2" t="s">
        <v>8801</v>
      </c>
      <c r="M873" s="2" t="s">
        <v>8802</v>
      </c>
      <c r="N873" s="3" t="s">
        <v>3062</v>
      </c>
      <c r="P873" s="3" t="s">
        <v>64</v>
      </c>
      <c r="Q873" s="2" t="s">
        <v>8803</v>
      </c>
      <c r="R873" s="3" t="s">
        <v>65</v>
      </c>
      <c r="S873" s="4">
        <v>31</v>
      </c>
      <c r="T873" s="4">
        <v>31</v>
      </c>
      <c r="U873" s="5" t="s">
        <v>8699</v>
      </c>
      <c r="V873" s="5" t="s">
        <v>8699</v>
      </c>
      <c r="W873" s="5" t="s">
        <v>67</v>
      </c>
      <c r="X873" s="5" t="s">
        <v>67</v>
      </c>
      <c r="Y873" s="4">
        <v>517</v>
      </c>
      <c r="Z873" s="4">
        <v>39</v>
      </c>
      <c r="AA873" s="4">
        <v>39</v>
      </c>
      <c r="AB873" s="4">
        <v>2</v>
      </c>
      <c r="AC873" s="4">
        <v>2</v>
      </c>
      <c r="AD873" s="4">
        <v>114</v>
      </c>
      <c r="AE873" s="4">
        <v>114</v>
      </c>
      <c r="AF873" s="4">
        <v>1</v>
      </c>
      <c r="AG873" s="4">
        <v>1</v>
      </c>
      <c r="AH873" s="4">
        <v>88</v>
      </c>
      <c r="AI873" s="4">
        <v>88</v>
      </c>
      <c r="AJ873" s="4">
        <v>18</v>
      </c>
      <c r="AK873" s="4">
        <v>18</v>
      </c>
      <c r="AL873" s="4">
        <v>55</v>
      </c>
      <c r="AM873" s="4">
        <v>55</v>
      </c>
      <c r="AN873" s="4">
        <v>0</v>
      </c>
      <c r="AO873" s="4">
        <v>0</v>
      </c>
      <c r="AP873" s="4">
        <v>29</v>
      </c>
      <c r="AQ873" s="4">
        <v>29</v>
      </c>
      <c r="AR873" s="3" t="s">
        <v>62</v>
      </c>
      <c r="AS873" s="3" t="s">
        <v>62</v>
      </c>
      <c r="AT873" s="3" t="s">
        <v>61</v>
      </c>
      <c r="AU873" s="6" t="str">
        <f>HYPERLINK("http://catalog.hathitrust.org/Record/002495227","HathiTrust Record")</f>
        <v>HathiTrust Record</v>
      </c>
      <c r="AV873" s="6" t="str">
        <f>HYPERLINK("http://mcgill.on.worldcat.org/oclc/23975531","Catalog Record")</f>
        <v>Catalog Record</v>
      </c>
      <c r="AW873" s="6" t="str">
        <f>HYPERLINK("http://www.worldcat.org/oclc/23975531","WorldCat Record")</f>
        <v>WorldCat Record</v>
      </c>
      <c r="AX873" s="3" t="s">
        <v>8804</v>
      </c>
      <c r="AY873" s="3" t="s">
        <v>8805</v>
      </c>
      <c r="AZ873" s="3" t="s">
        <v>8806</v>
      </c>
      <c r="BA873" s="3" t="s">
        <v>8806</v>
      </c>
      <c r="BB873" s="3" t="s">
        <v>8807</v>
      </c>
      <c r="BC873" s="3" t="s">
        <v>102</v>
      </c>
      <c r="BD873" s="3" t="s">
        <v>68</v>
      </c>
      <c r="BE873" s="3" t="s">
        <v>8808</v>
      </c>
      <c r="BF873" s="3" t="s">
        <v>8807</v>
      </c>
      <c r="BG873" s="3" t="s">
        <v>8809</v>
      </c>
    </row>
    <row r="874" spans="1:59" ht="58" x14ac:dyDescent="0.35">
      <c r="A874" s="2" t="s">
        <v>89</v>
      </c>
      <c r="B874" s="2" t="s">
        <v>90</v>
      </c>
      <c r="C874" s="2" t="s">
        <v>8810</v>
      </c>
      <c r="D874" s="2" t="s">
        <v>8811</v>
      </c>
      <c r="E874" s="2" t="s">
        <v>8812</v>
      </c>
      <c r="G874" s="3" t="s">
        <v>62</v>
      </c>
      <c r="I874" s="3" t="s">
        <v>62</v>
      </c>
      <c r="J874" s="3" t="s">
        <v>62</v>
      </c>
      <c r="K874" s="3" t="s">
        <v>63</v>
      </c>
      <c r="L874" s="2" t="s">
        <v>8813</v>
      </c>
      <c r="M874" s="2" t="s">
        <v>8814</v>
      </c>
      <c r="N874" s="3" t="s">
        <v>1905</v>
      </c>
      <c r="P874" s="3" t="s">
        <v>64</v>
      </c>
      <c r="R874" s="3" t="s">
        <v>65</v>
      </c>
      <c r="S874" s="4">
        <v>24</v>
      </c>
      <c r="T874" s="4">
        <v>24</v>
      </c>
      <c r="U874" s="5" t="s">
        <v>8815</v>
      </c>
      <c r="V874" s="5" t="s">
        <v>8815</v>
      </c>
      <c r="W874" s="5" t="s">
        <v>67</v>
      </c>
      <c r="X874" s="5" t="s">
        <v>67</v>
      </c>
      <c r="Y874" s="4">
        <v>502</v>
      </c>
      <c r="Z874" s="4">
        <v>30</v>
      </c>
      <c r="AA874" s="4">
        <v>33</v>
      </c>
      <c r="AB874" s="4">
        <v>2</v>
      </c>
      <c r="AC874" s="4">
        <v>4</v>
      </c>
      <c r="AD874" s="4">
        <v>120</v>
      </c>
      <c r="AE874" s="4">
        <v>123</v>
      </c>
      <c r="AF874" s="4">
        <v>1</v>
      </c>
      <c r="AG874" s="4">
        <v>3</v>
      </c>
      <c r="AH874" s="4">
        <v>101</v>
      </c>
      <c r="AI874" s="4">
        <v>102</v>
      </c>
      <c r="AJ874" s="4">
        <v>18</v>
      </c>
      <c r="AK874" s="4">
        <v>21</v>
      </c>
      <c r="AL874" s="4">
        <v>57</v>
      </c>
      <c r="AM874" s="4">
        <v>57</v>
      </c>
      <c r="AN874" s="4">
        <v>0</v>
      </c>
      <c r="AO874" s="4">
        <v>0</v>
      </c>
      <c r="AP874" s="4">
        <v>24</v>
      </c>
      <c r="AQ874" s="4">
        <v>26</v>
      </c>
      <c r="AR874" s="3" t="s">
        <v>62</v>
      </c>
      <c r="AS874" s="3" t="s">
        <v>62</v>
      </c>
      <c r="AT874" s="3" t="s">
        <v>61</v>
      </c>
      <c r="AU874" s="6" t="str">
        <f>HYPERLINK("http://catalog.hathitrust.org/Record/000872144","HathiTrust Record")</f>
        <v>HathiTrust Record</v>
      </c>
      <c r="AV874" s="6" t="str">
        <f>HYPERLINK("http://mcgill.on.worldcat.org/oclc/15654523","Catalog Record")</f>
        <v>Catalog Record</v>
      </c>
      <c r="AW874" s="6" t="str">
        <f>HYPERLINK("http://www.worldcat.org/oclc/15654523","WorldCat Record")</f>
        <v>WorldCat Record</v>
      </c>
      <c r="AX874" s="3" t="s">
        <v>8816</v>
      </c>
      <c r="AY874" s="3" t="s">
        <v>8817</v>
      </c>
      <c r="AZ874" s="3" t="s">
        <v>8818</v>
      </c>
      <c r="BA874" s="3" t="s">
        <v>8818</v>
      </c>
      <c r="BB874" s="3" t="s">
        <v>8819</v>
      </c>
      <c r="BC874" s="3" t="s">
        <v>102</v>
      </c>
      <c r="BD874" s="3" t="s">
        <v>68</v>
      </c>
      <c r="BE874" s="3" t="s">
        <v>8820</v>
      </c>
      <c r="BF874" s="3" t="s">
        <v>8819</v>
      </c>
      <c r="BG874" s="3" t="s">
        <v>8821</v>
      </c>
    </row>
    <row r="875" spans="1:59" ht="58" x14ac:dyDescent="0.35">
      <c r="A875" s="2" t="s">
        <v>89</v>
      </c>
      <c r="B875" s="2" t="s">
        <v>90</v>
      </c>
      <c r="C875" s="2" t="s">
        <v>8822</v>
      </c>
      <c r="D875" s="2" t="s">
        <v>8823</v>
      </c>
      <c r="E875" s="2" t="s">
        <v>8824</v>
      </c>
      <c r="G875" s="3" t="s">
        <v>62</v>
      </c>
      <c r="I875" s="3" t="s">
        <v>61</v>
      </c>
      <c r="J875" s="3" t="s">
        <v>61</v>
      </c>
      <c r="K875" s="3" t="s">
        <v>63</v>
      </c>
      <c r="L875" s="2" t="s">
        <v>5989</v>
      </c>
      <c r="M875" s="2" t="s">
        <v>8825</v>
      </c>
      <c r="N875" s="3" t="s">
        <v>2702</v>
      </c>
      <c r="P875" s="3" t="s">
        <v>64</v>
      </c>
      <c r="R875" s="3" t="s">
        <v>65</v>
      </c>
      <c r="S875" s="4">
        <v>18</v>
      </c>
      <c r="T875" s="4">
        <v>18</v>
      </c>
      <c r="U875" s="5" t="s">
        <v>4422</v>
      </c>
      <c r="V875" s="5" t="s">
        <v>4422</v>
      </c>
      <c r="W875" s="5" t="s">
        <v>67</v>
      </c>
      <c r="X875" s="5" t="s">
        <v>67</v>
      </c>
      <c r="Y875" s="4">
        <v>513</v>
      </c>
      <c r="Z875" s="4">
        <v>12</v>
      </c>
      <c r="AA875" s="4">
        <v>71</v>
      </c>
      <c r="AB875" s="4">
        <v>1</v>
      </c>
      <c r="AC875" s="4">
        <v>9</v>
      </c>
      <c r="AD875" s="4">
        <v>84</v>
      </c>
      <c r="AE875" s="4">
        <v>153</v>
      </c>
      <c r="AF875" s="4">
        <v>0</v>
      </c>
      <c r="AG875" s="4">
        <v>4</v>
      </c>
      <c r="AH875" s="4">
        <v>76</v>
      </c>
      <c r="AI875" s="4">
        <v>113</v>
      </c>
      <c r="AJ875" s="4">
        <v>5</v>
      </c>
      <c r="AK875" s="4">
        <v>27</v>
      </c>
      <c r="AL875" s="4">
        <v>48</v>
      </c>
      <c r="AM875" s="4">
        <v>61</v>
      </c>
      <c r="AN875" s="4">
        <v>0</v>
      </c>
      <c r="AO875" s="4">
        <v>5</v>
      </c>
      <c r="AP875" s="4">
        <v>9</v>
      </c>
      <c r="AQ875" s="4">
        <v>44</v>
      </c>
      <c r="AR875" s="3" t="s">
        <v>62</v>
      </c>
      <c r="AS875" s="3" t="s">
        <v>62</v>
      </c>
      <c r="AT875" s="3" t="s">
        <v>61</v>
      </c>
      <c r="AU875" s="6" t="str">
        <f>HYPERLINK("http://catalog.hathitrust.org/Record/001474689","HathiTrust Record")</f>
        <v>HathiTrust Record</v>
      </c>
      <c r="AV875" s="6" t="str">
        <f>HYPERLINK("http://mcgill.on.worldcat.org/oclc/457162","Catalog Record")</f>
        <v>Catalog Record</v>
      </c>
      <c r="AW875" s="6" t="str">
        <f>HYPERLINK("http://www.worldcat.org/oclc/457162","WorldCat Record")</f>
        <v>WorldCat Record</v>
      </c>
      <c r="AX875" s="3" t="s">
        <v>8826</v>
      </c>
      <c r="AY875" s="3" t="s">
        <v>8827</v>
      </c>
      <c r="AZ875" s="3" t="s">
        <v>8828</v>
      </c>
      <c r="BA875" s="3" t="s">
        <v>8828</v>
      </c>
      <c r="BB875" s="3" t="s">
        <v>8829</v>
      </c>
      <c r="BC875" s="3" t="s">
        <v>102</v>
      </c>
      <c r="BD875" s="3" t="s">
        <v>68</v>
      </c>
      <c r="BF875" s="3" t="s">
        <v>8829</v>
      </c>
      <c r="BG875" s="3" t="s">
        <v>8830</v>
      </c>
    </row>
    <row r="876" spans="1:59" ht="58" x14ac:dyDescent="0.35">
      <c r="A876" s="2" t="s">
        <v>89</v>
      </c>
      <c r="B876" s="2" t="s">
        <v>90</v>
      </c>
      <c r="C876" s="2" t="s">
        <v>8831</v>
      </c>
      <c r="D876" s="2" t="s">
        <v>8832</v>
      </c>
      <c r="E876" s="2" t="s">
        <v>8833</v>
      </c>
      <c r="G876" s="3" t="s">
        <v>62</v>
      </c>
      <c r="I876" s="3" t="s">
        <v>62</v>
      </c>
      <c r="J876" s="3" t="s">
        <v>62</v>
      </c>
      <c r="K876" s="3" t="s">
        <v>63</v>
      </c>
      <c r="L876" s="2" t="s">
        <v>8834</v>
      </c>
      <c r="M876" s="2" t="s">
        <v>8835</v>
      </c>
      <c r="N876" s="3" t="s">
        <v>1064</v>
      </c>
      <c r="P876" s="3" t="s">
        <v>64</v>
      </c>
      <c r="Q876" s="2" t="s">
        <v>8836</v>
      </c>
      <c r="R876" s="3" t="s">
        <v>65</v>
      </c>
      <c r="S876" s="4">
        <v>10</v>
      </c>
      <c r="T876" s="4">
        <v>10</v>
      </c>
      <c r="U876" s="5" t="s">
        <v>7779</v>
      </c>
      <c r="V876" s="5" t="s">
        <v>7779</v>
      </c>
      <c r="W876" s="5" t="s">
        <v>67</v>
      </c>
      <c r="X876" s="5" t="s">
        <v>67</v>
      </c>
      <c r="Y876" s="4">
        <v>438</v>
      </c>
      <c r="Z876" s="4">
        <v>28</v>
      </c>
      <c r="AA876" s="4">
        <v>86</v>
      </c>
      <c r="AB876" s="4">
        <v>1</v>
      </c>
      <c r="AC876" s="4">
        <v>15</v>
      </c>
      <c r="AD876" s="4">
        <v>108</v>
      </c>
      <c r="AE876" s="4">
        <v>140</v>
      </c>
      <c r="AF876" s="4">
        <v>0</v>
      </c>
      <c r="AG876" s="4">
        <v>8</v>
      </c>
      <c r="AH876" s="4">
        <v>90</v>
      </c>
      <c r="AI876" s="4">
        <v>102</v>
      </c>
      <c r="AJ876" s="4">
        <v>19</v>
      </c>
      <c r="AK876" s="4">
        <v>27</v>
      </c>
      <c r="AL876" s="4">
        <v>49</v>
      </c>
      <c r="AM876" s="4">
        <v>52</v>
      </c>
      <c r="AN876" s="4">
        <v>0</v>
      </c>
      <c r="AO876" s="4">
        <v>0</v>
      </c>
      <c r="AP876" s="4">
        <v>25</v>
      </c>
      <c r="AQ876" s="4">
        <v>47</v>
      </c>
      <c r="AR876" s="3" t="s">
        <v>62</v>
      </c>
      <c r="AS876" s="3" t="s">
        <v>62</v>
      </c>
      <c r="AT876" s="3" t="s">
        <v>61</v>
      </c>
      <c r="AU876" s="6" t="str">
        <f>HYPERLINK("http://catalog.hathitrust.org/Record/000103768","HathiTrust Record")</f>
        <v>HathiTrust Record</v>
      </c>
      <c r="AV876" s="6" t="str">
        <f>HYPERLINK("http://mcgill.on.worldcat.org/oclc/238806","Catalog Record")</f>
        <v>Catalog Record</v>
      </c>
      <c r="AW876" s="6" t="str">
        <f>HYPERLINK("http://www.worldcat.org/oclc/238806","WorldCat Record")</f>
        <v>WorldCat Record</v>
      </c>
      <c r="AX876" s="3" t="s">
        <v>8837</v>
      </c>
      <c r="AY876" s="3" t="s">
        <v>8838</v>
      </c>
      <c r="AZ876" s="3" t="s">
        <v>8839</v>
      </c>
      <c r="BA876" s="3" t="s">
        <v>8839</v>
      </c>
      <c r="BB876" s="3" t="s">
        <v>8840</v>
      </c>
      <c r="BC876" s="3" t="s">
        <v>102</v>
      </c>
      <c r="BD876" s="3" t="s">
        <v>68</v>
      </c>
      <c r="BE876" s="3" t="s">
        <v>8841</v>
      </c>
      <c r="BF876" s="3" t="s">
        <v>8840</v>
      </c>
      <c r="BG876" s="3" t="s">
        <v>8842</v>
      </c>
    </row>
    <row r="877" spans="1:59" ht="58" x14ac:dyDescent="0.35">
      <c r="A877" s="2" t="s">
        <v>89</v>
      </c>
      <c r="B877" s="2" t="s">
        <v>90</v>
      </c>
      <c r="C877" s="2" t="s">
        <v>8843</v>
      </c>
      <c r="D877" s="2" t="s">
        <v>8844</v>
      </c>
      <c r="E877" s="2" t="s">
        <v>8845</v>
      </c>
      <c r="G877" s="3" t="s">
        <v>62</v>
      </c>
      <c r="I877" s="3" t="s">
        <v>62</v>
      </c>
      <c r="J877" s="3" t="s">
        <v>62</v>
      </c>
      <c r="K877" s="3" t="s">
        <v>63</v>
      </c>
      <c r="L877" s="2" t="s">
        <v>8834</v>
      </c>
      <c r="M877" s="2" t="s">
        <v>8846</v>
      </c>
      <c r="N877" s="3" t="s">
        <v>355</v>
      </c>
      <c r="P877" s="3" t="s">
        <v>64</v>
      </c>
      <c r="R877" s="3" t="s">
        <v>65</v>
      </c>
      <c r="S877" s="4">
        <v>36</v>
      </c>
      <c r="T877" s="4">
        <v>36</v>
      </c>
      <c r="U877" s="5" t="s">
        <v>8165</v>
      </c>
      <c r="V877" s="5" t="s">
        <v>8165</v>
      </c>
      <c r="W877" s="5" t="s">
        <v>67</v>
      </c>
      <c r="X877" s="5" t="s">
        <v>67</v>
      </c>
      <c r="Y877" s="4">
        <v>744</v>
      </c>
      <c r="Z877" s="4">
        <v>38</v>
      </c>
      <c r="AA877" s="4">
        <v>39</v>
      </c>
      <c r="AB877" s="4">
        <v>2</v>
      </c>
      <c r="AC877" s="4">
        <v>3</v>
      </c>
      <c r="AD877" s="4">
        <v>127</v>
      </c>
      <c r="AE877" s="4">
        <v>128</v>
      </c>
      <c r="AF877" s="4">
        <v>1</v>
      </c>
      <c r="AG877" s="4">
        <v>2</v>
      </c>
      <c r="AH877" s="4">
        <v>102</v>
      </c>
      <c r="AI877" s="4">
        <v>102</v>
      </c>
      <c r="AJ877" s="4">
        <v>22</v>
      </c>
      <c r="AK877" s="4">
        <v>23</v>
      </c>
      <c r="AL877" s="4">
        <v>57</v>
      </c>
      <c r="AM877" s="4">
        <v>57</v>
      </c>
      <c r="AN877" s="4">
        <v>0</v>
      </c>
      <c r="AO877" s="4">
        <v>0</v>
      </c>
      <c r="AP877" s="4">
        <v>32</v>
      </c>
      <c r="AQ877" s="4">
        <v>33</v>
      </c>
      <c r="AR877" s="3" t="s">
        <v>62</v>
      </c>
      <c r="AS877" s="3" t="s">
        <v>62</v>
      </c>
      <c r="AT877" s="3" t="s">
        <v>62</v>
      </c>
      <c r="AV877" s="6" t="str">
        <f>HYPERLINK("http://mcgill.on.worldcat.org/oclc/10724454","Catalog Record")</f>
        <v>Catalog Record</v>
      </c>
      <c r="AW877" s="6" t="str">
        <f>HYPERLINK("http://www.worldcat.org/oclc/10724454","WorldCat Record")</f>
        <v>WorldCat Record</v>
      </c>
      <c r="AX877" s="3" t="s">
        <v>8847</v>
      </c>
      <c r="AY877" s="3" t="s">
        <v>8848</v>
      </c>
      <c r="AZ877" s="3" t="s">
        <v>8849</v>
      </c>
      <c r="BA877" s="3" t="s">
        <v>8849</v>
      </c>
      <c r="BB877" s="3" t="s">
        <v>8850</v>
      </c>
      <c r="BC877" s="3" t="s">
        <v>102</v>
      </c>
      <c r="BD877" s="3" t="s">
        <v>231</v>
      </c>
      <c r="BE877" s="3" t="s">
        <v>8851</v>
      </c>
      <c r="BF877" s="3" t="s">
        <v>8850</v>
      </c>
      <c r="BG877" s="3" t="s">
        <v>8852</v>
      </c>
    </row>
    <row r="878" spans="1:59" ht="58" x14ac:dyDescent="0.35">
      <c r="A878" s="2" t="s">
        <v>89</v>
      </c>
      <c r="B878" s="2" t="s">
        <v>90</v>
      </c>
      <c r="C878" s="2" t="s">
        <v>8853</v>
      </c>
      <c r="D878" s="2" t="s">
        <v>8854</v>
      </c>
      <c r="E878" s="2" t="s">
        <v>8855</v>
      </c>
      <c r="G878" s="3" t="s">
        <v>62</v>
      </c>
      <c r="I878" s="3" t="s">
        <v>62</v>
      </c>
      <c r="J878" s="3" t="s">
        <v>62</v>
      </c>
      <c r="K878" s="3" t="s">
        <v>63</v>
      </c>
      <c r="L878" s="2" t="s">
        <v>8856</v>
      </c>
      <c r="M878" s="2" t="s">
        <v>8857</v>
      </c>
      <c r="N878" s="3" t="s">
        <v>509</v>
      </c>
      <c r="P878" s="3" t="s">
        <v>64</v>
      </c>
      <c r="Q878" s="2" t="s">
        <v>3500</v>
      </c>
      <c r="R878" s="3" t="s">
        <v>65</v>
      </c>
      <c r="S878" s="4">
        <v>16</v>
      </c>
      <c r="T878" s="4">
        <v>16</v>
      </c>
      <c r="U878" s="5" t="s">
        <v>8858</v>
      </c>
      <c r="V878" s="5" t="s">
        <v>8858</v>
      </c>
      <c r="W878" s="5" t="s">
        <v>67</v>
      </c>
      <c r="X878" s="5" t="s">
        <v>67</v>
      </c>
      <c r="Y878" s="4">
        <v>329</v>
      </c>
      <c r="Z878" s="4">
        <v>23</v>
      </c>
      <c r="AA878" s="4">
        <v>25</v>
      </c>
      <c r="AB878" s="4">
        <v>2</v>
      </c>
      <c r="AC878" s="4">
        <v>4</v>
      </c>
      <c r="AD878" s="4">
        <v>107</v>
      </c>
      <c r="AE878" s="4">
        <v>109</v>
      </c>
      <c r="AF878" s="4">
        <v>1</v>
      </c>
      <c r="AG878" s="4">
        <v>3</v>
      </c>
      <c r="AH878" s="4">
        <v>94</v>
      </c>
      <c r="AI878" s="4">
        <v>95</v>
      </c>
      <c r="AJ878" s="4">
        <v>15</v>
      </c>
      <c r="AK878" s="4">
        <v>17</v>
      </c>
      <c r="AL878" s="4">
        <v>58</v>
      </c>
      <c r="AM878" s="4">
        <v>58</v>
      </c>
      <c r="AN878" s="4">
        <v>0</v>
      </c>
      <c r="AO878" s="4">
        <v>0</v>
      </c>
      <c r="AP878" s="4">
        <v>18</v>
      </c>
      <c r="AQ878" s="4">
        <v>19</v>
      </c>
      <c r="AR878" s="3" t="s">
        <v>62</v>
      </c>
      <c r="AS878" s="3" t="s">
        <v>62</v>
      </c>
      <c r="AT878" s="3" t="s">
        <v>62</v>
      </c>
      <c r="AV878" s="6" t="str">
        <f>HYPERLINK("http://mcgill.on.worldcat.org/oclc/28587164","Catalog Record")</f>
        <v>Catalog Record</v>
      </c>
      <c r="AW878" s="6" t="str">
        <f>HYPERLINK("http://www.worldcat.org/oclc/28587164","WorldCat Record")</f>
        <v>WorldCat Record</v>
      </c>
      <c r="AX878" s="3" t="s">
        <v>8859</v>
      </c>
      <c r="AY878" s="3" t="s">
        <v>8860</v>
      </c>
      <c r="AZ878" s="3" t="s">
        <v>8861</v>
      </c>
      <c r="BA878" s="3" t="s">
        <v>8861</v>
      </c>
      <c r="BB878" s="3" t="s">
        <v>8862</v>
      </c>
      <c r="BC878" s="3" t="s">
        <v>102</v>
      </c>
      <c r="BD878" s="3" t="s">
        <v>231</v>
      </c>
      <c r="BE878" s="3" t="s">
        <v>8863</v>
      </c>
      <c r="BF878" s="3" t="s">
        <v>8862</v>
      </c>
      <c r="BG878" s="3" t="s">
        <v>8864</v>
      </c>
    </row>
    <row r="879" spans="1:59" ht="58" x14ac:dyDescent="0.35">
      <c r="A879" s="2" t="s">
        <v>89</v>
      </c>
      <c r="B879" s="2" t="s">
        <v>90</v>
      </c>
      <c r="C879" s="2" t="s">
        <v>8865</v>
      </c>
      <c r="D879" s="2" t="s">
        <v>8866</v>
      </c>
      <c r="E879" s="2" t="s">
        <v>8867</v>
      </c>
      <c r="G879" s="3" t="s">
        <v>62</v>
      </c>
      <c r="I879" s="3" t="s">
        <v>62</v>
      </c>
      <c r="J879" s="3" t="s">
        <v>62</v>
      </c>
      <c r="K879" s="3" t="s">
        <v>63</v>
      </c>
      <c r="L879" s="2" t="s">
        <v>8868</v>
      </c>
      <c r="M879" s="2" t="s">
        <v>8869</v>
      </c>
      <c r="N879" s="3" t="s">
        <v>698</v>
      </c>
      <c r="P879" s="3" t="s">
        <v>64</v>
      </c>
      <c r="Q879" s="2" t="s">
        <v>8870</v>
      </c>
      <c r="R879" s="3" t="s">
        <v>65</v>
      </c>
      <c r="S879" s="4">
        <v>10</v>
      </c>
      <c r="T879" s="4">
        <v>10</v>
      </c>
      <c r="U879" s="5" t="s">
        <v>6972</v>
      </c>
      <c r="V879" s="5" t="s">
        <v>6972</v>
      </c>
      <c r="W879" s="5" t="s">
        <v>67</v>
      </c>
      <c r="X879" s="5" t="s">
        <v>67</v>
      </c>
      <c r="Y879" s="4">
        <v>247</v>
      </c>
      <c r="Z879" s="4">
        <v>20</v>
      </c>
      <c r="AA879" s="4">
        <v>82</v>
      </c>
      <c r="AB879" s="4">
        <v>2</v>
      </c>
      <c r="AC879" s="4">
        <v>16</v>
      </c>
      <c r="AD879" s="4">
        <v>70</v>
      </c>
      <c r="AE879" s="4">
        <v>121</v>
      </c>
      <c r="AF879" s="4">
        <v>1</v>
      </c>
      <c r="AG879" s="4">
        <v>9</v>
      </c>
      <c r="AH879" s="4">
        <v>60</v>
      </c>
      <c r="AI879" s="4">
        <v>86</v>
      </c>
      <c r="AJ879" s="4">
        <v>13</v>
      </c>
      <c r="AK879" s="4">
        <v>22</v>
      </c>
      <c r="AL879" s="4">
        <v>33</v>
      </c>
      <c r="AM879" s="4">
        <v>43</v>
      </c>
      <c r="AN879" s="4">
        <v>0</v>
      </c>
      <c r="AO879" s="4">
        <v>0</v>
      </c>
      <c r="AP879" s="4">
        <v>17</v>
      </c>
      <c r="AQ879" s="4">
        <v>44</v>
      </c>
      <c r="AR879" s="3" t="s">
        <v>62</v>
      </c>
      <c r="AS879" s="3" t="s">
        <v>62</v>
      </c>
      <c r="AT879" s="3" t="s">
        <v>62</v>
      </c>
      <c r="AV879" s="6" t="str">
        <f>HYPERLINK("http://mcgill.on.worldcat.org/oclc/495781667","Catalog Record")</f>
        <v>Catalog Record</v>
      </c>
      <c r="AW879" s="6" t="str">
        <f>HYPERLINK("http://www.worldcat.org/oclc/495781667","WorldCat Record")</f>
        <v>WorldCat Record</v>
      </c>
      <c r="AX879" s="3" t="s">
        <v>8871</v>
      </c>
      <c r="AY879" s="3" t="s">
        <v>8872</v>
      </c>
      <c r="AZ879" s="3" t="s">
        <v>8873</v>
      </c>
      <c r="BA879" s="3" t="s">
        <v>8873</v>
      </c>
      <c r="BB879" s="3" t="s">
        <v>8874</v>
      </c>
      <c r="BC879" s="3" t="s">
        <v>102</v>
      </c>
      <c r="BD879" s="3" t="s">
        <v>68</v>
      </c>
      <c r="BE879" s="3" t="s">
        <v>8875</v>
      </c>
      <c r="BF879" s="3" t="s">
        <v>8874</v>
      </c>
      <c r="BG879" s="3" t="s">
        <v>8876</v>
      </c>
    </row>
    <row r="880" spans="1:59" ht="58" x14ac:dyDescent="0.35">
      <c r="A880" s="2" t="s">
        <v>89</v>
      </c>
      <c r="B880" s="2" t="s">
        <v>90</v>
      </c>
      <c r="C880" s="2" t="s">
        <v>8877</v>
      </c>
      <c r="D880" s="2" t="s">
        <v>8878</v>
      </c>
      <c r="E880" s="2" t="s">
        <v>8879</v>
      </c>
      <c r="G880" s="3" t="s">
        <v>62</v>
      </c>
      <c r="I880" s="3" t="s">
        <v>62</v>
      </c>
      <c r="J880" s="3" t="s">
        <v>62</v>
      </c>
      <c r="K880" s="3" t="s">
        <v>63</v>
      </c>
      <c r="M880" s="2" t="s">
        <v>8880</v>
      </c>
      <c r="N880" s="3" t="s">
        <v>625</v>
      </c>
      <c r="P880" s="3" t="s">
        <v>64</v>
      </c>
      <c r="R880" s="3" t="s">
        <v>65</v>
      </c>
      <c r="S880" s="4">
        <v>20</v>
      </c>
      <c r="T880" s="4">
        <v>20</v>
      </c>
      <c r="U880" s="5" t="s">
        <v>5766</v>
      </c>
      <c r="V880" s="5" t="s">
        <v>5766</v>
      </c>
      <c r="W880" s="5" t="s">
        <v>67</v>
      </c>
      <c r="X880" s="5" t="s">
        <v>67</v>
      </c>
      <c r="Y880" s="4">
        <v>261</v>
      </c>
      <c r="Z880" s="4">
        <v>27</v>
      </c>
      <c r="AA880" s="4">
        <v>32</v>
      </c>
      <c r="AB880" s="4">
        <v>1</v>
      </c>
      <c r="AC880" s="4">
        <v>5</v>
      </c>
      <c r="AD880" s="4">
        <v>79</v>
      </c>
      <c r="AE880" s="4">
        <v>95</v>
      </c>
      <c r="AF880" s="4">
        <v>0</v>
      </c>
      <c r="AG880" s="4">
        <v>1</v>
      </c>
      <c r="AH880" s="4">
        <v>71</v>
      </c>
      <c r="AI880" s="4">
        <v>85</v>
      </c>
      <c r="AJ880" s="4">
        <v>13</v>
      </c>
      <c r="AK880" s="4">
        <v>15</v>
      </c>
      <c r="AL880" s="4">
        <v>38</v>
      </c>
      <c r="AM880" s="4">
        <v>46</v>
      </c>
      <c r="AN880" s="4">
        <v>0</v>
      </c>
      <c r="AO880" s="4">
        <v>0</v>
      </c>
      <c r="AP880" s="4">
        <v>18</v>
      </c>
      <c r="AQ880" s="4">
        <v>19</v>
      </c>
      <c r="AR880" s="3" t="s">
        <v>62</v>
      </c>
      <c r="AS880" s="3" t="s">
        <v>62</v>
      </c>
      <c r="AT880" s="3" t="s">
        <v>62</v>
      </c>
      <c r="AV880" s="6" t="str">
        <f>HYPERLINK("http://mcgill.on.worldcat.org/oclc/52116486","Catalog Record")</f>
        <v>Catalog Record</v>
      </c>
      <c r="AW880" s="6" t="str">
        <f>HYPERLINK("http://www.worldcat.org/oclc/52116486","WorldCat Record")</f>
        <v>WorldCat Record</v>
      </c>
      <c r="AX880" s="3" t="s">
        <v>8881</v>
      </c>
      <c r="AY880" s="3" t="s">
        <v>8882</v>
      </c>
      <c r="AZ880" s="3" t="s">
        <v>8883</v>
      </c>
      <c r="BA880" s="3" t="s">
        <v>8883</v>
      </c>
      <c r="BB880" s="3" t="s">
        <v>8884</v>
      </c>
      <c r="BC880" s="3" t="s">
        <v>102</v>
      </c>
      <c r="BD880" s="3" t="s">
        <v>231</v>
      </c>
      <c r="BE880" s="3" t="s">
        <v>8885</v>
      </c>
      <c r="BF880" s="3" t="s">
        <v>8884</v>
      </c>
      <c r="BG880" s="3" t="s">
        <v>8886</v>
      </c>
    </row>
    <row r="881" spans="1:59" ht="58" x14ac:dyDescent="0.35">
      <c r="A881" s="2" t="s">
        <v>89</v>
      </c>
      <c r="B881" s="2" t="s">
        <v>90</v>
      </c>
      <c r="C881" s="2" t="s">
        <v>8887</v>
      </c>
      <c r="D881" s="2" t="s">
        <v>8888</v>
      </c>
      <c r="E881" s="2" t="s">
        <v>8889</v>
      </c>
      <c r="G881" s="3" t="s">
        <v>62</v>
      </c>
      <c r="I881" s="3" t="s">
        <v>61</v>
      </c>
      <c r="J881" s="3" t="s">
        <v>62</v>
      </c>
      <c r="K881" s="3" t="s">
        <v>63</v>
      </c>
      <c r="M881" s="2" t="s">
        <v>8890</v>
      </c>
      <c r="N881" s="3" t="s">
        <v>893</v>
      </c>
      <c r="P881" s="3" t="s">
        <v>64</v>
      </c>
      <c r="R881" s="3" t="s">
        <v>65</v>
      </c>
      <c r="S881" s="4">
        <v>21</v>
      </c>
      <c r="T881" s="4">
        <v>27</v>
      </c>
      <c r="U881" s="5" t="s">
        <v>8891</v>
      </c>
      <c r="V881" s="5" t="s">
        <v>8891</v>
      </c>
      <c r="W881" s="5" t="s">
        <v>67</v>
      </c>
      <c r="X881" s="5" t="s">
        <v>67</v>
      </c>
      <c r="Y881" s="4">
        <v>352</v>
      </c>
      <c r="Z881" s="4">
        <v>29</v>
      </c>
      <c r="AA881" s="4">
        <v>31</v>
      </c>
      <c r="AB881" s="4">
        <v>1</v>
      </c>
      <c r="AC881" s="4">
        <v>3</v>
      </c>
      <c r="AD881" s="4">
        <v>115</v>
      </c>
      <c r="AE881" s="4">
        <v>117</v>
      </c>
      <c r="AF881" s="4">
        <v>0</v>
      </c>
      <c r="AG881" s="4">
        <v>2</v>
      </c>
      <c r="AH881" s="4">
        <v>103</v>
      </c>
      <c r="AI881" s="4">
        <v>104</v>
      </c>
      <c r="AJ881" s="4">
        <v>17</v>
      </c>
      <c r="AK881" s="4">
        <v>19</v>
      </c>
      <c r="AL881" s="4">
        <v>58</v>
      </c>
      <c r="AM881" s="4">
        <v>58</v>
      </c>
      <c r="AN881" s="4">
        <v>0</v>
      </c>
      <c r="AO881" s="4">
        <v>0</v>
      </c>
      <c r="AP881" s="4">
        <v>20</v>
      </c>
      <c r="AQ881" s="4">
        <v>22</v>
      </c>
      <c r="AR881" s="3" t="s">
        <v>62</v>
      </c>
      <c r="AS881" s="3" t="s">
        <v>62</v>
      </c>
      <c r="AT881" s="3" t="s">
        <v>62</v>
      </c>
      <c r="AV881" s="6" t="str">
        <f>HYPERLINK("http://mcgill.on.worldcat.org/oclc/8283698","Catalog Record")</f>
        <v>Catalog Record</v>
      </c>
      <c r="AW881" s="6" t="str">
        <f>HYPERLINK("http://www.worldcat.org/oclc/8283698","WorldCat Record")</f>
        <v>WorldCat Record</v>
      </c>
      <c r="AX881" s="3" t="s">
        <v>8892</v>
      </c>
      <c r="AY881" s="3" t="s">
        <v>8893</v>
      </c>
      <c r="AZ881" s="3" t="s">
        <v>8894</v>
      </c>
      <c r="BA881" s="3" t="s">
        <v>8894</v>
      </c>
      <c r="BB881" s="3" t="s">
        <v>8895</v>
      </c>
      <c r="BC881" s="3" t="s">
        <v>102</v>
      </c>
      <c r="BD881" s="3" t="s">
        <v>68</v>
      </c>
      <c r="BE881" s="3" t="s">
        <v>8896</v>
      </c>
      <c r="BF881" s="3" t="s">
        <v>8895</v>
      </c>
      <c r="BG881" s="3" t="s">
        <v>8897</v>
      </c>
    </row>
    <row r="882" spans="1:59" ht="58" x14ac:dyDescent="0.35">
      <c r="A882" s="2" t="s">
        <v>89</v>
      </c>
      <c r="B882" s="2" t="s">
        <v>90</v>
      </c>
      <c r="C882" s="2" t="s">
        <v>8898</v>
      </c>
      <c r="D882" s="2" t="s">
        <v>8899</v>
      </c>
      <c r="E882" s="2" t="s">
        <v>8900</v>
      </c>
      <c r="G882" s="3" t="s">
        <v>62</v>
      </c>
      <c r="I882" s="3" t="s">
        <v>62</v>
      </c>
      <c r="J882" s="3" t="s">
        <v>62</v>
      </c>
      <c r="K882" s="3" t="s">
        <v>63</v>
      </c>
      <c r="L882" s="2" t="s">
        <v>8901</v>
      </c>
      <c r="M882" s="2" t="s">
        <v>8902</v>
      </c>
      <c r="N882" s="3" t="s">
        <v>726</v>
      </c>
      <c r="O882" s="2" t="s">
        <v>8903</v>
      </c>
      <c r="P882" s="3" t="s">
        <v>64</v>
      </c>
      <c r="R882" s="3" t="s">
        <v>65</v>
      </c>
      <c r="S882" s="4">
        <v>6</v>
      </c>
      <c r="T882" s="4">
        <v>6</v>
      </c>
      <c r="U882" s="5" t="s">
        <v>8904</v>
      </c>
      <c r="V882" s="5" t="s">
        <v>8904</v>
      </c>
      <c r="W882" s="5" t="s">
        <v>67</v>
      </c>
      <c r="X882" s="5" t="s">
        <v>67</v>
      </c>
      <c r="Y882" s="4">
        <v>610</v>
      </c>
      <c r="Z882" s="4">
        <v>14</v>
      </c>
      <c r="AA882" s="4">
        <v>17</v>
      </c>
      <c r="AB882" s="4">
        <v>1</v>
      </c>
      <c r="AC882" s="4">
        <v>4</v>
      </c>
      <c r="AD882" s="4">
        <v>70</v>
      </c>
      <c r="AE882" s="4">
        <v>71</v>
      </c>
      <c r="AF882" s="4">
        <v>0</v>
      </c>
      <c r="AG882" s="4">
        <v>1</v>
      </c>
      <c r="AH882" s="4">
        <v>64</v>
      </c>
      <c r="AI882" s="4">
        <v>64</v>
      </c>
      <c r="AJ882" s="4">
        <v>4</v>
      </c>
      <c r="AK882" s="4">
        <v>5</v>
      </c>
      <c r="AL882" s="4">
        <v>43</v>
      </c>
      <c r="AM882" s="4">
        <v>43</v>
      </c>
      <c r="AN882" s="4">
        <v>0</v>
      </c>
      <c r="AO882" s="4">
        <v>0</v>
      </c>
      <c r="AP882" s="4">
        <v>6</v>
      </c>
      <c r="AQ882" s="4">
        <v>7</v>
      </c>
      <c r="AR882" s="3" t="s">
        <v>62</v>
      </c>
      <c r="AS882" s="3" t="s">
        <v>62</v>
      </c>
      <c r="AT882" s="3" t="s">
        <v>62</v>
      </c>
      <c r="AV882" s="6" t="str">
        <f>HYPERLINK("http://mcgill.on.worldcat.org/oclc/982093619","Catalog Record")</f>
        <v>Catalog Record</v>
      </c>
      <c r="AW882" s="6" t="str">
        <f>HYPERLINK("http://www.worldcat.org/oclc/982093619","WorldCat Record")</f>
        <v>WorldCat Record</v>
      </c>
      <c r="AX882" s="3" t="s">
        <v>8905</v>
      </c>
      <c r="AY882" s="3" t="s">
        <v>8906</v>
      </c>
      <c r="AZ882" s="3" t="s">
        <v>8907</v>
      </c>
      <c r="BA882" s="3" t="s">
        <v>8907</v>
      </c>
      <c r="BB882" s="3" t="s">
        <v>8908</v>
      </c>
      <c r="BC882" s="3" t="s">
        <v>102</v>
      </c>
      <c r="BD882" s="3" t="s">
        <v>231</v>
      </c>
      <c r="BE882" s="3" t="s">
        <v>8909</v>
      </c>
      <c r="BF882" s="3" t="s">
        <v>8908</v>
      </c>
      <c r="BG882" s="3" t="s">
        <v>8910</v>
      </c>
    </row>
    <row r="883" spans="1:59" ht="58" x14ac:dyDescent="0.35">
      <c r="A883" s="2" t="s">
        <v>89</v>
      </c>
      <c r="B883" s="2" t="s">
        <v>90</v>
      </c>
      <c r="C883" s="2" t="s">
        <v>8911</v>
      </c>
      <c r="D883" s="2" t="s">
        <v>8912</v>
      </c>
      <c r="E883" s="2" t="s">
        <v>8913</v>
      </c>
      <c r="G883" s="3" t="s">
        <v>62</v>
      </c>
      <c r="I883" s="3" t="s">
        <v>62</v>
      </c>
      <c r="J883" s="3" t="s">
        <v>62</v>
      </c>
      <c r="K883" s="3" t="s">
        <v>63</v>
      </c>
      <c r="L883" s="2" t="s">
        <v>8914</v>
      </c>
      <c r="M883" s="2" t="s">
        <v>8915</v>
      </c>
      <c r="N883" s="3" t="s">
        <v>809</v>
      </c>
      <c r="P883" s="3" t="s">
        <v>85</v>
      </c>
      <c r="R883" s="3" t="s">
        <v>65</v>
      </c>
      <c r="S883" s="4">
        <v>3</v>
      </c>
      <c r="T883" s="4">
        <v>3</v>
      </c>
      <c r="U883" s="5" t="s">
        <v>8916</v>
      </c>
      <c r="V883" s="5" t="s">
        <v>8916</v>
      </c>
      <c r="W883" s="5" t="s">
        <v>67</v>
      </c>
      <c r="X883" s="5" t="s">
        <v>67</v>
      </c>
      <c r="Y883" s="4">
        <v>60</v>
      </c>
      <c r="Z883" s="4">
        <v>12</v>
      </c>
      <c r="AA883" s="4">
        <v>37</v>
      </c>
      <c r="AB883" s="4">
        <v>2</v>
      </c>
      <c r="AC883" s="4">
        <v>14</v>
      </c>
      <c r="AD883" s="4">
        <v>27</v>
      </c>
      <c r="AE883" s="4">
        <v>50</v>
      </c>
      <c r="AF883" s="4">
        <v>1</v>
      </c>
      <c r="AG883" s="4">
        <v>6</v>
      </c>
      <c r="AH883" s="4">
        <v>19</v>
      </c>
      <c r="AI883" s="4">
        <v>34</v>
      </c>
      <c r="AJ883" s="4">
        <v>6</v>
      </c>
      <c r="AK883" s="4">
        <v>18</v>
      </c>
      <c r="AL883" s="4">
        <v>14</v>
      </c>
      <c r="AM883" s="4">
        <v>21</v>
      </c>
      <c r="AN883" s="4">
        <v>0</v>
      </c>
      <c r="AO883" s="4">
        <v>4</v>
      </c>
      <c r="AP883" s="4">
        <v>8</v>
      </c>
      <c r="AQ883" s="4">
        <v>21</v>
      </c>
      <c r="AR883" s="3" t="s">
        <v>61</v>
      </c>
      <c r="AS883" s="3" t="s">
        <v>62</v>
      </c>
      <c r="AT883" s="3" t="s">
        <v>62</v>
      </c>
      <c r="AV883" s="6" t="str">
        <f>HYPERLINK("http://mcgill.on.worldcat.org/oclc/1899864","Catalog Record")</f>
        <v>Catalog Record</v>
      </c>
      <c r="AW883" s="6" t="str">
        <f>HYPERLINK("http://www.worldcat.org/oclc/1899864","WorldCat Record")</f>
        <v>WorldCat Record</v>
      </c>
      <c r="AX883" s="3" t="s">
        <v>8917</v>
      </c>
      <c r="AY883" s="3" t="s">
        <v>8918</v>
      </c>
      <c r="AZ883" s="3" t="s">
        <v>8919</v>
      </c>
      <c r="BA883" s="3" t="s">
        <v>8919</v>
      </c>
      <c r="BB883" s="3" t="s">
        <v>8920</v>
      </c>
      <c r="BC883" s="3" t="s">
        <v>102</v>
      </c>
      <c r="BD883" s="3" t="s">
        <v>68</v>
      </c>
      <c r="BF883" s="3" t="s">
        <v>8920</v>
      </c>
      <c r="BG883" s="3" t="s">
        <v>8921</v>
      </c>
    </row>
    <row r="884" spans="1:59" ht="58" x14ac:dyDescent="0.35">
      <c r="A884" s="2" t="s">
        <v>89</v>
      </c>
      <c r="B884" s="2" t="s">
        <v>90</v>
      </c>
      <c r="C884" s="2" t="s">
        <v>8922</v>
      </c>
      <c r="D884" s="2" t="s">
        <v>8923</v>
      </c>
      <c r="E884" s="2" t="s">
        <v>8924</v>
      </c>
      <c r="G884" s="3" t="s">
        <v>62</v>
      </c>
      <c r="I884" s="3" t="s">
        <v>61</v>
      </c>
      <c r="J884" s="3" t="s">
        <v>61</v>
      </c>
      <c r="K884" s="3" t="s">
        <v>63</v>
      </c>
      <c r="L884" s="2" t="s">
        <v>8925</v>
      </c>
      <c r="M884" s="2" t="s">
        <v>8926</v>
      </c>
      <c r="N884" s="3" t="s">
        <v>852</v>
      </c>
      <c r="P884" s="3" t="s">
        <v>64</v>
      </c>
      <c r="Q884" s="2" t="s">
        <v>8927</v>
      </c>
      <c r="R884" s="3" t="s">
        <v>65</v>
      </c>
      <c r="S884" s="4">
        <v>22</v>
      </c>
      <c r="T884" s="4">
        <v>91</v>
      </c>
      <c r="U884" s="5" t="s">
        <v>7610</v>
      </c>
      <c r="V884" s="5" t="s">
        <v>8928</v>
      </c>
      <c r="W884" s="5" t="s">
        <v>67</v>
      </c>
      <c r="X884" s="5" t="s">
        <v>67</v>
      </c>
      <c r="Y884" s="4">
        <v>583</v>
      </c>
      <c r="Z884" s="4">
        <v>36</v>
      </c>
      <c r="AA884" s="4">
        <v>115</v>
      </c>
      <c r="AB884" s="4">
        <v>2</v>
      </c>
      <c r="AC884" s="4">
        <v>19</v>
      </c>
      <c r="AD884" s="4">
        <v>118</v>
      </c>
      <c r="AE884" s="4">
        <v>171</v>
      </c>
      <c r="AF884" s="4">
        <v>1</v>
      </c>
      <c r="AG884" s="4">
        <v>9</v>
      </c>
      <c r="AH884" s="4">
        <v>97</v>
      </c>
      <c r="AI884" s="4">
        <v>118</v>
      </c>
      <c r="AJ884" s="4">
        <v>21</v>
      </c>
      <c r="AK884" s="4">
        <v>28</v>
      </c>
      <c r="AL884" s="4">
        <v>53</v>
      </c>
      <c r="AM884" s="4">
        <v>65</v>
      </c>
      <c r="AN884" s="4">
        <v>0</v>
      </c>
      <c r="AO884" s="4">
        <v>0</v>
      </c>
      <c r="AP884" s="4">
        <v>26</v>
      </c>
      <c r="AQ884" s="4">
        <v>57</v>
      </c>
      <c r="AR884" s="3" t="s">
        <v>62</v>
      </c>
      <c r="AS884" s="3" t="s">
        <v>62</v>
      </c>
      <c r="AT884" s="3" t="s">
        <v>61</v>
      </c>
      <c r="AU884" s="6" t="str">
        <f>HYPERLINK("http://catalog.hathitrust.org/Record/000032237","HathiTrust Record")</f>
        <v>HathiTrust Record</v>
      </c>
      <c r="AV884" s="6" t="str">
        <f>HYPERLINK("http://mcgill.on.worldcat.org/oclc/4087","Catalog Record")</f>
        <v>Catalog Record</v>
      </c>
      <c r="AW884" s="6" t="str">
        <f>HYPERLINK("http://www.worldcat.org/oclc/4087","WorldCat Record")</f>
        <v>WorldCat Record</v>
      </c>
      <c r="AX884" s="3" t="s">
        <v>8929</v>
      </c>
      <c r="AY884" s="3" t="s">
        <v>8930</v>
      </c>
      <c r="AZ884" s="3" t="s">
        <v>8931</v>
      </c>
      <c r="BA884" s="3" t="s">
        <v>8931</v>
      </c>
      <c r="BB884" s="3" t="s">
        <v>8932</v>
      </c>
      <c r="BC884" s="3" t="s">
        <v>102</v>
      </c>
      <c r="BD884" s="3" t="s">
        <v>68</v>
      </c>
      <c r="BE884" s="3" t="s">
        <v>8933</v>
      </c>
      <c r="BF884" s="3" t="s">
        <v>8932</v>
      </c>
      <c r="BG884" s="3" t="s">
        <v>8934</v>
      </c>
    </row>
    <row r="885" spans="1:59" ht="58" x14ac:dyDescent="0.35">
      <c r="A885" s="2" t="s">
        <v>89</v>
      </c>
      <c r="B885" s="2" t="s">
        <v>90</v>
      </c>
      <c r="C885" s="2" t="s">
        <v>8922</v>
      </c>
      <c r="D885" s="2" t="s">
        <v>8923</v>
      </c>
      <c r="E885" s="2" t="s">
        <v>8924</v>
      </c>
      <c r="G885" s="3" t="s">
        <v>62</v>
      </c>
      <c r="I885" s="3" t="s">
        <v>61</v>
      </c>
      <c r="J885" s="3" t="s">
        <v>61</v>
      </c>
      <c r="K885" s="3" t="s">
        <v>63</v>
      </c>
      <c r="L885" s="2" t="s">
        <v>8925</v>
      </c>
      <c r="M885" s="2" t="s">
        <v>8926</v>
      </c>
      <c r="N885" s="3" t="s">
        <v>852</v>
      </c>
      <c r="P885" s="3" t="s">
        <v>64</v>
      </c>
      <c r="Q885" s="2" t="s">
        <v>8927</v>
      </c>
      <c r="R885" s="3" t="s">
        <v>65</v>
      </c>
      <c r="S885" s="4">
        <v>12</v>
      </c>
      <c r="T885" s="4">
        <v>91</v>
      </c>
      <c r="U885" s="5" t="s">
        <v>8928</v>
      </c>
      <c r="V885" s="5" t="s">
        <v>8928</v>
      </c>
      <c r="W885" s="5" t="s">
        <v>67</v>
      </c>
      <c r="X885" s="5" t="s">
        <v>67</v>
      </c>
      <c r="Y885" s="4">
        <v>583</v>
      </c>
      <c r="Z885" s="4">
        <v>36</v>
      </c>
      <c r="AA885" s="4">
        <v>115</v>
      </c>
      <c r="AB885" s="4">
        <v>2</v>
      </c>
      <c r="AC885" s="4">
        <v>19</v>
      </c>
      <c r="AD885" s="4">
        <v>118</v>
      </c>
      <c r="AE885" s="4">
        <v>171</v>
      </c>
      <c r="AF885" s="4">
        <v>1</v>
      </c>
      <c r="AG885" s="4">
        <v>9</v>
      </c>
      <c r="AH885" s="4">
        <v>97</v>
      </c>
      <c r="AI885" s="4">
        <v>118</v>
      </c>
      <c r="AJ885" s="4">
        <v>21</v>
      </c>
      <c r="AK885" s="4">
        <v>28</v>
      </c>
      <c r="AL885" s="4">
        <v>53</v>
      </c>
      <c r="AM885" s="4">
        <v>65</v>
      </c>
      <c r="AN885" s="4">
        <v>0</v>
      </c>
      <c r="AO885" s="4">
        <v>0</v>
      </c>
      <c r="AP885" s="4">
        <v>26</v>
      </c>
      <c r="AQ885" s="4">
        <v>57</v>
      </c>
      <c r="AR885" s="3" t="s">
        <v>62</v>
      </c>
      <c r="AS885" s="3" t="s">
        <v>62</v>
      </c>
      <c r="AT885" s="3" t="s">
        <v>61</v>
      </c>
      <c r="AU885" s="6" t="str">
        <f>HYPERLINK("http://catalog.hathitrust.org/Record/000032237","HathiTrust Record")</f>
        <v>HathiTrust Record</v>
      </c>
      <c r="AV885" s="6" t="str">
        <f>HYPERLINK("http://mcgill.on.worldcat.org/oclc/4087","Catalog Record")</f>
        <v>Catalog Record</v>
      </c>
      <c r="AW885" s="6" t="str">
        <f>HYPERLINK("http://www.worldcat.org/oclc/4087","WorldCat Record")</f>
        <v>WorldCat Record</v>
      </c>
      <c r="AX885" s="3" t="s">
        <v>8929</v>
      </c>
      <c r="AY885" s="3" t="s">
        <v>8930</v>
      </c>
      <c r="AZ885" s="3" t="s">
        <v>8931</v>
      </c>
      <c r="BA885" s="3" t="s">
        <v>8931</v>
      </c>
      <c r="BB885" s="3" t="s">
        <v>8935</v>
      </c>
      <c r="BC885" s="3" t="s">
        <v>102</v>
      </c>
      <c r="BD885" s="3" t="s">
        <v>68</v>
      </c>
      <c r="BE885" s="3" t="s">
        <v>8933</v>
      </c>
      <c r="BF885" s="3" t="s">
        <v>8935</v>
      </c>
      <c r="BG885" s="3" t="s">
        <v>8936</v>
      </c>
    </row>
    <row r="886" spans="1:59" ht="58" x14ac:dyDescent="0.35">
      <c r="A886" s="2" t="s">
        <v>89</v>
      </c>
      <c r="B886" s="2" t="s">
        <v>90</v>
      </c>
      <c r="C886" s="2" t="s">
        <v>8937</v>
      </c>
      <c r="D886" s="2" t="s">
        <v>8938</v>
      </c>
      <c r="E886" s="2" t="s">
        <v>8939</v>
      </c>
      <c r="G886" s="3" t="s">
        <v>62</v>
      </c>
      <c r="I886" s="3" t="s">
        <v>62</v>
      </c>
      <c r="J886" s="3" t="s">
        <v>61</v>
      </c>
      <c r="K886" s="3" t="s">
        <v>63</v>
      </c>
      <c r="L886" s="2" t="s">
        <v>8925</v>
      </c>
      <c r="M886" s="2" t="s">
        <v>8940</v>
      </c>
      <c r="N886" s="3" t="s">
        <v>95</v>
      </c>
      <c r="O886" s="2" t="s">
        <v>8941</v>
      </c>
      <c r="P886" s="3" t="s">
        <v>64</v>
      </c>
      <c r="R886" s="3" t="s">
        <v>65</v>
      </c>
      <c r="S886" s="4">
        <v>26</v>
      </c>
      <c r="T886" s="4">
        <v>26</v>
      </c>
      <c r="U886" s="5" t="s">
        <v>79</v>
      </c>
      <c r="V886" s="5" t="s">
        <v>79</v>
      </c>
      <c r="W886" s="5" t="s">
        <v>67</v>
      </c>
      <c r="X886" s="5" t="s">
        <v>67</v>
      </c>
      <c r="Y886" s="4">
        <v>596</v>
      </c>
      <c r="Z886" s="4">
        <v>24</v>
      </c>
      <c r="AA886" s="4">
        <v>115</v>
      </c>
      <c r="AB886" s="4">
        <v>1</v>
      </c>
      <c r="AC886" s="4">
        <v>19</v>
      </c>
      <c r="AD886" s="4">
        <v>109</v>
      </c>
      <c r="AE886" s="4">
        <v>171</v>
      </c>
      <c r="AF886" s="4">
        <v>0</v>
      </c>
      <c r="AG886" s="4">
        <v>9</v>
      </c>
      <c r="AH886" s="4">
        <v>88</v>
      </c>
      <c r="AI886" s="4">
        <v>118</v>
      </c>
      <c r="AJ886" s="4">
        <v>13</v>
      </c>
      <c r="AK886" s="4">
        <v>28</v>
      </c>
      <c r="AL886" s="4">
        <v>57</v>
      </c>
      <c r="AM886" s="4">
        <v>65</v>
      </c>
      <c r="AN886" s="4">
        <v>0</v>
      </c>
      <c r="AO886" s="4">
        <v>0</v>
      </c>
      <c r="AP886" s="4">
        <v>21</v>
      </c>
      <c r="AQ886" s="4">
        <v>57</v>
      </c>
      <c r="AR886" s="3" t="s">
        <v>62</v>
      </c>
      <c r="AS886" s="3" t="s">
        <v>62</v>
      </c>
      <c r="AT886" s="3" t="s">
        <v>62</v>
      </c>
      <c r="AV886" s="6" t="str">
        <f>HYPERLINK("http://mcgill.on.worldcat.org/oclc/7206325","Catalog Record")</f>
        <v>Catalog Record</v>
      </c>
      <c r="AW886" s="6" t="str">
        <f>HYPERLINK("http://www.worldcat.org/oclc/7206325","WorldCat Record")</f>
        <v>WorldCat Record</v>
      </c>
      <c r="AX886" s="3" t="s">
        <v>8929</v>
      </c>
      <c r="AY886" s="3" t="s">
        <v>8942</v>
      </c>
      <c r="AZ886" s="3" t="s">
        <v>8943</v>
      </c>
      <c r="BA886" s="3" t="s">
        <v>8943</v>
      </c>
      <c r="BB886" s="3" t="s">
        <v>8944</v>
      </c>
      <c r="BC886" s="3" t="s">
        <v>102</v>
      </c>
      <c r="BD886" s="3" t="s">
        <v>68</v>
      </c>
      <c r="BE886" s="3" t="s">
        <v>8945</v>
      </c>
      <c r="BF886" s="3" t="s">
        <v>8944</v>
      </c>
      <c r="BG886" s="3" t="s">
        <v>8946</v>
      </c>
    </row>
    <row r="887" spans="1:59" ht="58" x14ac:dyDescent="0.35">
      <c r="A887" s="2" t="s">
        <v>89</v>
      </c>
      <c r="B887" s="2" t="s">
        <v>90</v>
      </c>
      <c r="C887" s="2" t="s">
        <v>8947</v>
      </c>
      <c r="D887" s="2" t="s">
        <v>8948</v>
      </c>
      <c r="E887" s="2" t="s">
        <v>8949</v>
      </c>
      <c r="G887" s="3" t="s">
        <v>62</v>
      </c>
      <c r="I887" s="3" t="s">
        <v>62</v>
      </c>
      <c r="J887" s="3" t="s">
        <v>62</v>
      </c>
      <c r="K887" s="3" t="s">
        <v>63</v>
      </c>
      <c r="L887" s="2" t="s">
        <v>8950</v>
      </c>
      <c r="M887" s="2" t="s">
        <v>8951</v>
      </c>
      <c r="N887" s="3" t="s">
        <v>640</v>
      </c>
      <c r="P887" s="3" t="s">
        <v>64</v>
      </c>
      <c r="R887" s="3" t="s">
        <v>65</v>
      </c>
      <c r="S887" s="4">
        <v>42</v>
      </c>
      <c r="T887" s="4">
        <v>42</v>
      </c>
      <c r="U887" s="5" t="s">
        <v>8952</v>
      </c>
      <c r="V887" s="5" t="s">
        <v>8952</v>
      </c>
      <c r="W887" s="5" t="s">
        <v>67</v>
      </c>
      <c r="X887" s="5" t="s">
        <v>67</v>
      </c>
      <c r="Y887" s="4">
        <v>444</v>
      </c>
      <c r="Z887" s="4">
        <v>25</v>
      </c>
      <c r="AA887" s="4">
        <v>48</v>
      </c>
      <c r="AB887" s="4">
        <v>1</v>
      </c>
      <c r="AC887" s="4">
        <v>7</v>
      </c>
      <c r="AD887" s="4">
        <v>86</v>
      </c>
      <c r="AE887" s="4">
        <v>113</v>
      </c>
      <c r="AF887" s="4">
        <v>0</v>
      </c>
      <c r="AG887" s="4">
        <v>4</v>
      </c>
      <c r="AH887" s="4">
        <v>72</v>
      </c>
      <c r="AI887" s="4">
        <v>89</v>
      </c>
      <c r="AJ887" s="4">
        <v>13</v>
      </c>
      <c r="AK887" s="4">
        <v>22</v>
      </c>
      <c r="AL887" s="4">
        <v>43</v>
      </c>
      <c r="AM887" s="4">
        <v>50</v>
      </c>
      <c r="AN887" s="4">
        <v>0</v>
      </c>
      <c r="AO887" s="4">
        <v>0</v>
      </c>
      <c r="AP887" s="4">
        <v>19</v>
      </c>
      <c r="AQ887" s="4">
        <v>33</v>
      </c>
      <c r="AR887" s="3" t="s">
        <v>62</v>
      </c>
      <c r="AS887" s="3" t="s">
        <v>62</v>
      </c>
      <c r="AT887" s="3" t="s">
        <v>62</v>
      </c>
      <c r="AV887" s="6" t="str">
        <f>HYPERLINK("http://mcgill.on.worldcat.org/oclc/50866939","Catalog Record")</f>
        <v>Catalog Record</v>
      </c>
      <c r="AW887" s="6" t="str">
        <f>HYPERLINK("http://www.worldcat.org/oclc/50866939","WorldCat Record")</f>
        <v>WorldCat Record</v>
      </c>
      <c r="AX887" s="3" t="s">
        <v>8953</v>
      </c>
      <c r="AY887" s="3" t="s">
        <v>8954</v>
      </c>
      <c r="AZ887" s="3" t="s">
        <v>8955</v>
      </c>
      <c r="BA887" s="3" t="s">
        <v>8955</v>
      </c>
      <c r="BB887" s="3" t="s">
        <v>8956</v>
      </c>
      <c r="BC887" s="3" t="s">
        <v>102</v>
      </c>
      <c r="BD887" s="3" t="s">
        <v>231</v>
      </c>
      <c r="BE887" s="3" t="s">
        <v>8957</v>
      </c>
      <c r="BF887" s="3" t="s">
        <v>8956</v>
      </c>
      <c r="BG887" s="3" t="s">
        <v>8958</v>
      </c>
    </row>
    <row r="888" spans="1:59" ht="58" x14ac:dyDescent="0.35">
      <c r="A888" s="2" t="s">
        <v>89</v>
      </c>
      <c r="B888" s="2" t="s">
        <v>90</v>
      </c>
      <c r="C888" s="2" t="s">
        <v>8959</v>
      </c>
      <c r="D888" s="2" t="s">
        <v>8960</v>
      </c>
      <c r="E888" s="2" t="s">
        <v>8961</v>
      </c>
      <c r="G888" s="3" t="s">
        <v>62</v>
      </c>
      <c r="I888" s="3" t="s">
        <v>61</v>
      </c>
      <c r="J888" s="3" t="s">
        <v>62</v>
      </c>
      <c r="K888" s="3" t="s">
        <v>63</v>
      </c>
      <c r="L888" s="2" t="s">
        <v>8962</v>
      </c>
      <c r="M888" s="2" t="s">
        <v>8963</v>
      </c>
      <c r="N888" s="3" t="s">
        <v>712</v>
      </c>
      <c r="P888" s="3" t="s">
        <v>64</v>
      </c>
      <c r="Q888" s="2" t="s">
        <v>8964</v>
      </c>
      <c r="R888" s="3" t="s">
        <v>65</v>
      </c>
      <c r="S888" s="4">
        <v>9</v>
      </c>
      <c r="T888" s="4">
        <v>29</v>
      </c>
      <c r="U888" s="5" t="s">
        <v>8965</v>
      </c>
      <c r="V888" s="5" t="s">
        <v>6904</v>
      </c>
      <c r="W888" s="5" t="s">
        <v>67</v>
      </c>
      <c r="X888" s="5" t="s">
        <v>67</v>
      </c>
      <c r="Y888" s="4">
        <v>232</v>
      </c>
      <c r="Z888" s="4">
        <v>18</v>
      </c>
      <c r="AA888" s="4">
        <v>21</v>
      </c>
      <c r="AB888" s="4">
        <v>2</v>
      </c>
      <c r="AC888" s="4">
        <v>4</v>
      </c>
      <c r="AD888" s="4">
        <v>63</v>
      </c>
      <c r="AE888" s="4">
        <v>66</v>
      </c>
      <c r="AF888" s="4">
        <v>0</v>
      </c>
      <c r="AG888" s="4">
        <v>2</v>
      </c>
      <c r="AH888" s="4">
        <v>61</v>
      </c>
      <c r="AI888" s="4">
        <v>63</v>
      </c>
      <c r="AJ888" s="4">
        <v>8</v>
      </c>
      <c r="AK888" s="4">
        <v>11</v>
      </c>
      <c r="AL888" s="4">
        <v>35</v>
      </c>
      <c r="AM888" s="4">
        <v>35</v>
      </c>
      <c r="AN888" s="4">
        <v>0</v>
      </c>
      <c r="AO888" s="4">
        <v>0</v>
      </c>
      <c r="AP888" s="4">
        <v>9</v>
      </c>
      <c r="AQ888" s="4">
        <v>11</v>
      </c>
      <c r="AR888" s="3" t="s">
        <v>62</v>
      </c>
      <c r="AS888" s="3" t="s">
        <v>62</v>
      </c>
      <c r="AT888" s="3" t="s">
        <v>62</v>
      </c>
      <c r="AV888" s="6" t="str">
        <f>HYPERLINK("http://mcgill.on.worldcat.org/oclc/878953555","Catalog Record")</f>
        <v>Catalog Record</v>
      </c>
      <c r="AW888" s="6" t="str">
        <f>HYPERLINK("http://www.worldcat.org/oclc/878953555","WorldCat Record")</f>
        <v>WorldCat Record</v>
      </c>
      <c r="AX888" s="3" t="s">
        <v>8966</v>
      </c>
      <c r="AY888" s="3" t="s">
        <v>8967</v>
      </c>
      <c r="AZ888" s="3" t="s">
        <v>8968</v>
      </c>
      <c r="BA888" s="3" t="s">
        <v>8968</v>
      </c>
      <c r="BB888" s="3" t="s">
        <v>8969</v>
      </c>
      <c r="BC888" s="3" t="s">
        <v>102</v>
      </c>
      <c r="BD888" s="3" t="s">
        <v>68</v>
      </c>
      <c r="BE888" s="3" t="s">
        <v>8970</v>
      </c>
      <c r="BF888" s="3" t="s">
        <v>8969</v>
      </c>
      <c r="BG888" s="3" t="s">
        <v>8971</v>
      </c>
    </row>
    <row r="889" spans="1:59" ht="58" x14ac:dyDescent="0.35">
      <c r="A889" s="2" t="s">
        <v>89</v>
      </c>
      <c r="B889" s="2" t="s">
        <v>90</v>
      </c>
      <c r="C889" s="2" t="s">
        <v>8959</v>
      </c>
      <c r="D889" s="2" t="s">
        <v>8960</v>
      </c>
      <c r="E889" s="2" t="s">
        <v>8961</v>
      </c>
      <c r="G889" s="3" t="s">
        <v>62</v>
      </c>
      <c r="I889" s="3" t="s">
        <v>61</v>
      </c>
      <c r="J889" s="3" t="s">
        <v>62</v>
      </c>
      <c r="K889" s="3" t="s">
        <v>63</v>
      </c>
      <c r="L889" s="2" t="s">
        <v>8962</v>
      </c>
      <c r="M889" s="2" t="s">
        <v>8963</v>
      </c>
      <c r="N889" s="3" t="s">
        <v>712</v>
      </c>
      <c r="P889" s="3" t="s">
        <v>64</v>
      </c>
      <c r="Q889" s="2" t="s">
        <v>8964</v>
      </c>
      <c r="R889" s="3" t="s">
        <v>65</v>
      </c>
      <c r="S889" s="4">
        <v>20</v>
      </c>
      <c r="T889" s="4">
        <v>29</v>
      </c>
      <c r="U889" s="5" t="s">
        <v>6904</v>
      </c>
      <c r="V889" s="5" t="s">
        <v>6904</v>
      </c>
      <c r="W889" s="5" t="s">
        <v>67</v>
      </c>
      <c r="X889" s="5" t="s">
        <v>67</v>
      </c>
      <c r="Y889" s="4">
        <v>232</v>
      </c>
      <c r="Z889" s="4">
        <v>18</v>
      </c>
      <c r="AA889" s="4">
        <v>21</v>
      </c>
      <c r="AB889" s="4">
        <v>2</v>
      </c>
      <c r="AC889" s="4">
        <v>4</v>
      </c>
      <c r="AD889" s="4">
        <v>63</v>
      </c>
      <c r="AE889" s="4">
        <v>66</v>
      </c>
      <c r="AF889" s="4">
        <v>0</v>
      </c>
      <c r="AG889" s="4">
        <v>2</v>
      </c>
      <c r="AH889" s="4">
        <v>61</v>
      </c>
      <c r="AI889" s="4">
        <v>63</v>
      </c>
      <c r="AJ889" s="4">
        <v>8</v>
      </c>
      <c r="AK889" s="4">
        <v>11</v>
      </c>
      <c r="AL889" s="4">
        <v>35</v>
      </c>
      <c r="AM889" s="4">
        <v>35</v>
      </c>
      <c r="AN889" s="4">
        <v>0</v>
      </c>
      <c r="AO889" s="4">
        <v>0</v>
      </c>
      <c r="AP889" s="4">
        <v>9</v>
      </c>
      <c r="AQ889" s="4">
        <v>11</v>
      </c>
      <c r="AR889" s="3" t="s">
        <v>62</v>
      </c>
      <c r="AS889" s="3" t="s">
        <v>62</v>
      </c>
      <c r="AT889" s="3" t="s">
        <v>62</v>
      </c>
      <c r="AV889" s="6" t="str">
        <f>HYPERLINK("http://mcgill.on.worldcat.org/oclc/878953555","Catalog Record")</f>
        <v>Catalog Record</v>
      </c>
      <c r="AW889" s="6" t="str">
        <f>HYPERLINK("http://www.worldcat.org/oclc/878953555","WorldCat Record")</f>
        <v>WorldCat Record</v>
      </c>
      <c r="AX889" s="3" t="s">
        <v>8966</v>
      </c>
      <c r="AY889" s="3" t="s">
        <v>8967</v>
      </c>
      <c r="AZ889" s="3" t="s">
        <v>8968</v>
      </c>
      <c r="BA889" s="3" t="s">
        <v>8968</v>
      </c>
      <c r="BB889" s="3" t="s">
        <v>8972</v>
      </c>
      <c r="BC889" s="3" t="s">
        <v>102</v>
      </c>
      <c r="BD889" s="3" t="s">
        <v>68</v>
      </c>
      <c r="BE889" s="3" t="s">
        <v>8970</v>
      </c>
      <c r="BF889" s="3" t="s">
        <v>8972</v>
      </c>
      <c r="BG889" s="3" t="s">
        <v>8973</v>
      </c>
    </row>
    <row r="890" spans="1:59" ht="58" x14ac:dyDescent="0.35">
      <c r="A890" s="2" t="s">
        <v>89</v>
      </c>
      <c r="B890" s="2" t="s">
        <v>90</v>
      </c>
      <c r="C890" s="2" t="s">
        <v>8974</v>
      </c>
      <c r="D890" s="2" t="s">
        <v>8975</v>
      </c>
      <c r="E890" s="2" t="s">
        <v>8976</v>
      </c>
      <c r="G890" s="3" t="s">
        <v>62</v>
      </c>
      <c r="I890" s="3" t="s">
        <v>62</v>
      </c>
      <c r="J890" s="3" t="s">
        <v>62</v>
      </c>
      <c r="K890" s="3" t="s">
        <v>63</v>
      </c>
      <c r="L890" s="2" t="s">
        <v>8977</v>
      </c>
      <c r="M890" s="2" t="s">
        <v>8978</v>
      </c>
      <c r="N890" s="3" t="s">
        <v>87</v>
      </c>
      <c r="P890" s="3" t="s">
        <v>64</v>
      </c>
      <c r="R890" s="3" t="s">
        <v>65</v>
      </c>
      <c r="S890" s="4">
        <v>6</v>
      </c>
      <c r="T890" s="4">
        <v>6</v>
      </c>
      <c r="U890" s="5" t="s">
        <v>8979</v>
      </c>
      <c r="V890" s="5" t="s">
        <v>8979</v>
      </c>
      <c r="W890" s="5" t="s">
        <v>67</v>
      </c>
      <c r="X890" s="5" t="s">
        <v>67</v>
      </c>
      <c r="Y890" s="4">
        <v>300</v>
      </c>
      <c r="Z890" s="4">
        <v>25</v>
      </c>
      <c r="AA890" s="4">
        <v>28</v>
      </c>
      <c r="AB890" s="4">
        <v>1</v>
      </c>
      <c r="AC890" s="4">
        <v>3</v>
      </c>
      <c r="AD890" s="4">
        <v>97</v>
      </c>
      <c r="AE890" s="4">
        <v>104</v>
      </c>
      <c r="AF890" s="4">
        <v>0</v>
      </c>
      <c r="AG890" s="4">
        <v>1</v>
      </c>
      <c r="AH890" s="4">
        <v>87</v>
      </c>
      <c r="AI890" s="4">
        <v>92</v>
      </c>
      <c r="AJ890" s="4">
        <v>17</v>
      </c>
      <c r="AK890" s="4">
        <v>18</v>
      </c>
      <c r="AL890" s="4">
        <v>43</v>
      </c>
      <c r="AM890" s="4">
        <v>47</v>
      </c>
      <c r="AN890" s="4">
        <v>0</v>
      </c>
      <c r="AO890" s="4">
        <v>0</v>
      </c>
      <c r="AP890" s="4">
        <v>19</v>
      </c>
      <c r="AQ890" s="4">
        <v>21</v>
      </c>
      <c r="AR890" s="3" t="s">
        <v>62</v>
      </c>
      <c r="AS890" s="3" t="s">
        <v>62</v>
      </c>
      <c r="AT890" s="3" t="s">
        <v>62</v>
      </c>
      <c r="AV890" s="6" t="str">
        <f>HYPERLINK("http://mcgill.on.worldcat.org/oclc/5029361","Catalog Record")</f>
        <v>Catalog Record</v>
      </c>
      <c r="AW890" s="6" t="str">
        <f>HYPERLINK("http://www.worldcat.org/oclc/5029361","WorldCat Record")</f>
        <v>WorldCat Record</v>
      </c>
      <c r="AX890" s="3" t="s">
        <v>8980</v>
      </c>
      <c r="AY890" s="3" t="s">
        <v>8981</v>
      </c>
      <c r="AZ890" s="3" t="s">
        <v>8982</v>
      </c>
      <c r="BA890" s="3" t="s">
        <v>8982</v>
      </c>
      <c r="BB890" s="3" t="s">
        <v>8983</v>
      </c>
      <c r="BC890" s="3" t="s">
        <v>102</v>
      </c>
      <c r="BD890" s="3" t="s">
        <v>68</v>
      </c>
      <c r="BE890" s="3" t="s">
        <v>8984</v>
      </c>
      <c r="BF890" s="3" t="s">
        <v>8983</v>
      </c>
      <c r="BG890" s="3" t="s">
        <v>8985</v>
      </c>
    </row>
    <row r="891" spans="1:59" ht="58" x14ac:dyDescent="0.35">
      <c r="A891" s="2" t="s">
        <v>89</v>
      </c>
      <c r="B891" s="2" t="s">
        <v>90</v>
      </c>
      <c r="C891" s="2" t="s">
        <v>8986</v>
      </c>
      <c r="D891" s="2" t="s">
        <v>8987</v>
      </c>
      <c r="E891" s="2" t="s">
        <v>8988</v>
      </c>
      <c r="G891" s="3" t="s">
        <v>62</v>
      </c>
      <c r="I891" s="3" t="s">
        <v>62</v>
      </c>
      <c r="J891" s="3" t="s">
        <v>62</v>
      </c>
      <c r="K891" s="3" t="s">
        <v>63</v>
      </c>
      <c r="M891" s="2" t="s">
        <v>8989</v>
      </c>
      <c r="N891" s="3" t="s">
        <v>438</v>
      </c>
      <c r="P891" s="3" t="s">
        <v>64</v>
      </c>
      <c r="Q891" s="2" t="s">
        <v>3674</v>
      </c>
      <c r="R891" s="3" t="s">
        <v>65</v>
      </c>
      <c r="S891" s="4">
        <v>29</v>
      </c>
      <c r="T891" s="4">
        <v>29</v>
      </c>
      <c r="U891" s="5" t="s">
        <v>8990</v>
      </c>
      <c r="V891" s="5" t="s">
        <v>8990</v>
      </c>
      <c r="W891" s="5" t="s">
        <v>67</v>
      </c>
      <c r="X891" s="5" t="s">
        <v>67</v>
      </c>
      <c r="Y891" s="4">
        <v>484</v>
      </c>
      <c r="Z891" s="4">
        <v>33</v>
      </c>
      <c r="AA891" s="4">
        <v>36</v>
      </c>
      <c r="AB891" s="4">
        <v>2</v>
      </c>
      <c r="AC891" s="4">
        <v>5</v>
      </c>
      <c r="AD891" s="4">
        <v>120</v>
      </c>
      <c r="AE891" s="4">
        <v>123</v>
      </c>
      <c r="AF891" s="4">
        <v>1</v>
      </c>
      <c r="AG891" s="4">
        <v>4</v>
      </c>
      <c r="AH891" s="4">
        <v>103</v>
      </c>
      <c r="AI891" s="4">
        <v>104</v>
      </c>
      <c r="AJ891" s="4">
        <v>19</v>
      </c>
      <c r="AK891" s="4">
        <v>22</v>
      </c>
      <c r="AL891" s="4">
        <v>56</v>
      </c>
      <c r="AM891" s="4">
        <v>56</v>
      </c>
      <c r="AN891" s="4">
        <v>0</v>
      </c>
      <c r="AO891" s="4">
        <v>0</v>
      </c>
      <c r="AP891" s="4">
        <v>26</v>
      </c>
      <c r="AQ891" s="4">
        <v>28</v>
      </c>
      <c r="AR891" s="3" t="s">
        <v>62</v>
      </c>
      <c r="AS891" s="3" t="s">
        <v>62</v>
      </c>
      <c r="AT891" s="3" t="s">
        <v>61</v>
      </c>
      <c r="AU891" s="6" t="str">
        <f>HYPERLINK("http://catalog.hathitrust.org/Record/002204978","HathiTrust Record")</f>
        <v>HathiTrust Record</v>
      </c>
      <c r="AV891" s="6" t="str">
        <f>HYPERLINK("http://mcgill.on.worldcat.org/oclc/20561574","Catalog Record")</f>
        <v>Catalog Record</v>
      </c>
      <c r="AW891" s="6" t="str">
        <f>HYPERLINK("http://www.worldcat.org/oclc/20561574","WorldCat Record")</f>
        <v>WorldCat Record</v>
      </c>
      <c r="AX891" s="3" t="s">
        <v>8991</v>
      </c>
      <c r="AY891" s="3" t="s">
        <v>8992</v>
      </c>
      <c r="AZ891" s="3" t="s">
        <v>8993</v>
      </c>
      <c r="BA891" s="3" t="s">
        <v>8993</v>
      </c>
      <c r="BB891" s="3" t="s">
        <v>8994</v>
      </c>
      <c r="BC891" s="3" t="s">
        <v>102</v>
      </c>
      <c r="BD891" s="3" t="s">
        <v>68</v>
      </c>
      <c r="BE891" s="3" t="s">
        <v>8995</v>
      </c>
      <c r="BF891" s="3" t="s">
        <v>8994</v>
      </c>
      <c r="BG891" s="3" t="s">
        <v>8996</v>
      </c>
    </row>
    <row r="892" spans="1:59" ht="58" x14ac:dyDescent="0.35">
      <c r="A892" s="2" t="s">
        <v>89</v>
      </c>
      <c r="B892" s="2" t="s">
        <v>90</v>
      </c>
      <c r="C892" s="2" t="s">
        <v>8997</v>
      </c>
      <c r="D892" s="2" t="s">
        <v>8998</v>
      </c>
      <c r="E892" s="2" t="s">
        <v>8999</v>
      </c>
      <c r="G892" s="3" t="s">
        <v>62</v>
      </c>
      <c r="I892" s="3" t="s">
        <v>62</v>
      </c>
      <c r="J892" s="3" t="s">
        <v>61</v>
      </c>
      <c r="K892" s="3" t="s">
        <v>63</v>
      </c>
      <c r="L892" s="2" t="s">
        <v>2847</v>
      </c>
      <c r="M892" s="2" t="s">
        <v>9000</v>
      </c>
      <c r="N892" s="3" t="s">
        <v>2305</v>
      </c>
      <c r="P892" s="3" t="s">
        <v>64</v>
      </c>
      <c r="Q892" s="2" t="s">
        <v>9001</v>
      </c>
      <c r="R892" s="3" t="s">
        <v>65</v>
      </c>
      <c r="S892" s="4">
        <v>4</v>
      </c>
      <c r="T892" s="4">
        <v>4</v>
      </c>
      <c r="U892" s="5" t="s">
        <v>9002</v>
      </c>
      <c r="V892" s="5" t="s">
        <v>9002</v>
      </c>
      <c r="W892" s="5" t="s">
        <v>67</v>
      </c>
      <c r="X892" s="5" t="s">
        <v>67</v>
      </c>
      <c r="Y892" s="4">
        <v>137</v>
      </c>
      <c r="Z892" s="4">
        <v>6</v>
      </c>
      <c r="AA892" s="4">
        <v>59</v>
      </c>
      <c r="AB892" s="4">
        <v>1</v>
      </c>
      <c r="AC892" s="4">
        <v>4</v>
      </c>
      <c r="AD892" s="4">
        <v>9</v>
      </c>
      <c r="AE892" s="4">
        <v>138</v>
      </c>
      <c r="AF892" s="4">
        <v>0</v>
      </c>
      <c r="AG892" s="4">
        <v>2</v>
      </c>
      <c r="AH892" s="4">
        <v>9</v>
      </c>
      <c r="AI892" s="4">
        <v>106</v>
      </c>
      <c r="AJ892" s="4">
        <v>3</v>
      </c>
      <c r="AK892" s="4">
        <v>25</v>
      </c>
      <c r="AL892" s="4">
        <v>6</v>
      </c>
      <c r="AM892" s="4">
        <v>59</v>
      </c>
      <c r="AN892" s="4">
        <v>0</v>
      </c>
      <c r="AO892" s="4">
        <v>5</v>
      </c>
      <c r="AP892" s="4">
        <v>3</v>
      </c>
      <c r="AQ892" s="4">
        <v>36</v>
      </c>
      <c r="AR892" s="3" t="s">
        <v>62</v>
      </c>
      <c r="AS892" s="3" t="s">
        <v>62</v>
      </c>
      <c r="AT892" s="3" t="s">
        <v>62</v>
      </c>
      <c r="AV892" s="6" t="str">
        <f>HYPERLINK("http://mcgill.on.worldcat.org/oclc/2528042","Catalog Record")</f>
        <v>Catalog Record</v>
      </c>
      <c r="AW892" s="6" t="str">
        <f>HYPERLINK("http://www.worldcat.org/oclc/2528042","WorldCat Record")</f>
        <v>WorldCat Record</v>
      </c>
      <c r="AX892" s="3" t="s">
        <v>9003</v>
      </c>
      <c r="AY892" s="3" t="s">
        <v>9004</v>
      </c>
      <c r="AZ892" s="3" t="s">
        <v>9005</v>
      </c>
      <c r="BA892" s="3" t="s">
        <v>9005</v>
      </c>
      <c r="BB892" s="3" t="s">
        <v>9006</v>
      </c>
      <c r="BC892" s="3" t="s">
        <v>102</v>
      </c>
      <c r="BD892" s="3" t="s">
        <v>68</v>
      </c>
      <c r="BF892" s="3" t="s">
        <v>9006</v>
      </c>
      <c r="BG892" s="3" t="s">
        <v>9007</v>
      </c>
    </row>
    <row r="893" spans="1:59" ht="58" x14ac:dyDescent="0.35">
      <c r="A893" s="2" t="s">
        <v>89</v>
      </c>
      <c r="B893" s="2" t="s">
        <v>90</v>
      </c>
      <c r="C893" s="2" t="s">
        <v>9008</v>
      </c>
      <c r="D893" s="2" t="s">
        <v>9009</v>
      </c>
      <c r="E893" s="2" t="s">
        <v>9010</v>
      </c>
      <c r="G893" s="3" t="s">
        <v>62</v>
      </c>
      <c r="I893" s="3" t="s">
        <v>61</v>
      </c>
      <c r="J893" s="3" t="s">
        <v>62</v>
      </c>
      <c r="K893" s="3" t="s">
        <v>63</v>
      </c>
      <c r="L893" s="2" t="s">
        <v>9011</v>
      </c>
      <c r="M893" s="2" t="s">
        <v>9012</v>
      </c>
      <c r="N893" s="3" t="s">
        <v>285</v>
      </c>
      <c r="P893" s="3" t="s">
        <v>64</v>
      </c>
      <c r="Q893" s="2" t="s">
        <v>9013</v>
      </c>
      <c r="R893" s="3" t="s">
        <v>65</v>
      </c>
      <c r="S893" s="4">
        <v>43</v>
      </c>
      <c r="T893" s="4">
        <v>73</v>
      </c>
      <c r="U893" s="5" t="s">
        <v>6932</v>
      </c>
      <c r="V893" s="5" t="s">
        <v>84</v>
      </c>
      <c r="W893" s="5" t="s">
        <v>67</v>
      </c>
      <c r="X893" s="5" t="s">
        <v>67</v>
      </c>
      <c r="Y893" s="4">
        <v>881</v>
      </c>
      <c r="Z893" s="4">
        <v>58</v>
      </c>
      <c r="AA893" s="4">
        <v>115</v>
      </c>
      <c r="AB893" s="4">
        <v>3</v>
      </c>
      <c r="AC893" s="4">
        <v>19</v>
      </c>
      <c r="AD893" s="4">
        <v>139</v>
      </c>
      <c r="AE893" s="4">
        <v>156</v>
      </c>
      <c r="AF893" s="4">
        <v>1</v>
      </c>
      <c r="AG893" s="4">
        <v>8</v>
      </c>
      <c r="AH893" s="4">
        <v>108</v>
      </c>
      <c r="AI893" s="4">
        <v>110</v>
      </c>
      <c r="AJ893" s="4">
        <v>22</v>
      </c>
      <c r="AK893" s="4">
        <v>28</v>
      </c>
      <c r="AL893" s="4">
        <v>57</v>
      </c>
      <c r="AM893" s="4">
        <v>57</v>
      </c>
      <c r="AN893" s="4">
        <v>0</v>
      </c>
      <c r="AO893" s="4">
        <v>0</v>
      </c>
      <c r="AP893" s="4">
        <v>39</v>
      </c>
      <c r="AQ893" s="4">
        <v>55</v>
      </c>
      <c r="AR893" s="3" t="s">
        <v>62</v>
      </c>
      <c r="AS893" s="3" t="s">
        <v>62</v>
      </c>
      <c r="AT893" s="3" t="s">
        <v>62</v>
      </c>
      <c r="AV893" s="6" t="str">
        <f>HYPERLINK("http://mcgill.on.worldcat.org/oclc/5942907","Catalog Record")</f>
        <v>Catalog Record</v>
      </c>
      <c r="AW893" s="6" t="str">
        <f>HYPERLINK("http://www.worldcat.org/oclc/5942907","WorldCat Record")</f>
        <v>WorldCat Record</v>
      </c>
      <c r="AX893" s="3" t="s">
        <v>9014</v>
      </c>
      <c r="AY893" s="3" t="s">
        <v>9015</v>
      </c>
      <c r="AZ893" s="3" t="s">
        <v>9016</v>
      </c>
      <c r="BA893" s="3" t="s">
        <v>9016</v>
      </c>
      <c r="BB893" s="3" t="s">
        <v>9017</v>
      </c>
      <c r="BC893" s="3" t="s">
        <v>102</v>
      </c>
      <c r="BD893" s="3" t="s">
        <v>231</v>
      </c>
      <c r="BE893" s="3" t="s">
        <v>9018</v>
      </c>
      <c r="BF893" s="3" t="s">
        <v>9017</v>
      </c>
      <c r="BG893" s="3" t="s">
        <v>9019</v>
      </c>
    </row>
    <row r="894" spans="1:59" ht="58" x14ac:dyDescent="0.35">
      <c r="A894" s="2" t="s">
        <v>89</v>
      </c>
      <c r="B894" s="2" t="s">
        <v>90</v>
      </c>
      <c r="C894" s="2" t="s">
        <v>9020</v>
      </c>
      <c r="D894" s="2" t="s">
        <v>9021</v>
      </c>
      <c r="E894" s="2" t="s">
        <v>9022</v>
      </c>
      <c r="G894" s="3" t="s">
        <v>62</v>
      </c>
      <c r="I894" s="3" t="s">
        <v>61</v>
      </c>
      <c r="J894" s="3" t="s">
        <v>62</v>
      </c>
      <c r="K894" s="3" t="s">
        <v>63</v>
      </c>
      <c r="L894" s="2" t="s">
        <v>9023</v>
      </c>
      <c r="M894" s="2" t="s">
        <v>9024</v>
      </c>
      <c r="N894" s="3" t="s">
        <v>6259</v>
      </c>
      <c r="P894" s="3" t="s">
        <v>64</v>
      </c>
      <c r="R894" s="3" t="s">
        <v>65</v>
      </c>
      <c r="S894" s="4">
        <v>1</v>
      </c>
      <c r="T894" s="4">
        <v>4</v>
      </c>
      <c r="U894" s="5" t="s">
        <v>9025</v>
      </c>
      <c r="V894" s="5" t="s">
        <v>9025</v>
      </c>
      <c r="W894" s="5" t="s">
        <v>67</v>
      </c>
      <c r="X894" s="5" t="s">
        <v>1338</v>
      </c>
      <c r="Y894" s="4">
        <v>303</v>
      </c>
      <c r="Z894" s="4">
        <v>18</v>
      </c>
      <c r="AA894" s="4">
        <v>30</v>
      </c>
      <c r="AB894" s="4">
        <v>1</v>
      </c>
      <c r="AC894" s="4">
        <v>3</v>
      </c>
      <c r="AD894" s="4">
        <v>91</v>
      </c>
      <c r="AE894" s="4">
        <v>117</v>
      </c>
      <c r="AF894" s="4">
        <v>0</v>
      </c>
      <c r="AG894" s="4">
        <v>2</v>
      </c>
      <c r="AH894" s="4">
        <v>79</v>
      </c>
      <c r="AI894" s="4">
        <v>99</v>
      </c>
      <c r="AJ894" s="4">
        <v>9</v>
      </c>
      <c r="AK894" s="4">
        <v>19</v>
      </c>
      <c r="AL894" s="4">
        <v>49</v>
      </c>
      <c r="AM894" s="4">
        <v>56</v>
      </c>
      <c r="AN894" s="4">
        <v>1</v>
      </c>
      <c r="AO894" s="4">
        <v>1</v>
      </c>
      <c r="AP894" s="4">
        <v>14</v>
      </c>
      <c r="AQ894" s="4">
        <v>24</v>
      </c>
      <c r="AR894" s="3" t="s">
        <v>62</v>
      </c>
      <c r="AS894" s="3" t="s">
        <v>62</v>
      </c>
      <c r="AT894" s="3" t="s">
        <v>61</v>
      </c>
      <c r="AU894" s="6" t="str">
        <f>HYPERLINK("http://catalog.hathitrust.org/Record/001474738","HathiTrust Record")</f>
        <v>HathiTrust Record</v>
      </c>
      <c r="AV894" s="6" t="str">
        <f>HYPERLINK("http://mcgill.on.worldcat.org/oclc/8082764","Catalog Record")</f>
        <v>Catalog Record</v>
      </c>
      <c r="AW894" s="6" t="str">
        <f>HYPERLINK("http://www.worldcat.org/oclc/8082764","WorldCat Record")</f>
        <v>WorldCat Record</v>
      </c>
      <c r="AX894" s="3" t="s">
        <v>9026</v>
      </c>
      <c r="AY894" s="3" t="s">
        <v>9027</v>
      </c>
      <c r="AZ894" s="3" t="s">
        <v>9028</v>
      </c>
      <c r="BA894" s="3" t="s">
        <v>9028</v>
      </c>
      <c r="BB894" s="3" t="s">
        <v>9029</v>
      </c>
      <c r="BC894" s="3" t="s">
        <v>102</v>
      </c>
      <c r="BD894" s="3" t="s">
        <v>68</v>
      </c>
      <c r="BF894" s="3" t="s">
        <v>9029</v>
      </c>
      <c r="BG894" s="3" t="s">
        <v>9030</v>
      </c>
    </row>
    <row r="895" spans="1:59" ht="58" x14ac:dyDescent="0.35">
      <c r="A895" s="2" t="s">
        <v>89</v>
      </c>
      <c r="B895" s="2" t="s">
        <v>90</v>
      </c>
      <c r="C895" s="2" t="s">
        <v>9031</v>
      </c>
      <c r="D895" s="2" t="s">
        <v>9032</v>
      </c>
      <c r="E895" s="2" t="s">
        <v>9022</v>
      </c>
      <c r="G895" s="3" t="s">
        <v>62</v>
      </c>
      <c r="I895" s="3" t="s">
        <v>61</v>
      </c>
      <c r="J895" s="3" t="s">
        <v>62</v>
      </c>
      <c r="K895" s="3" t="s">
        <v>63</v>
      </c>
      <c r="L895" s="2" t="s">
        <v>9023</v>
      </c>
      <c r="M895" s="2" t="s">
        <v>9024</v>
      </c>
      <c r="N895" s="3" t="s">
        <v>6259</v>
      </c>
      <c r="P895" s="3" t="s">
        <v>64</v>
      </c>
      <c r="R895" s="3" t="s">
        <v>65</v>
      </c>
      <c r="S895" s="4">
        <v>3</v>
      </c>
      <c r="T895" s="4">
        <v>4</v>
      </c>
      <c r="U895" s="5" t="s">
        <v>9025</v>
      </c>
      <c r="V895" s="5" t="s">
        <v>9025</v>
      </c>
      <c r="W895" s="5" t="s">
        <v>1338</v>
      </c>
      <c r="X895" s="5" t="s">
        <v>1338</v>
      </c>
      <c r="Y895" s="4">
        <v>303</v>
      </c>
      <c r="Z895" s="4">
        <v>18</v>
      </c>
      <c r="AA895" s="4">
        <v>30</v>
      </c>
      <c r="AB895" s="4">
        <v>1</v>
      </c>
      <c r="AC895" s="4">
        <v>3</v>
      </c>
      <c r="AD895" s="4">
        <v>91</v>
      </c>
      <c r="AE895" s="4">
        <v>117</v>
      </c>
      <c r="AF895" s="4">
        <v>0</v>
      </c>
      <c r="AG895" s="4">
        <v>2</v>
      </c>
      <c r="AH895" s="4">
        <v>79</v>
      </c>
      <c r="AI895" s="4">
        <v>99</v>
      </c>
      <c r="AJ895" s="4">
        <v>9</v>
      </c>
      <c r="AK895" s="4">
        <v>19</v>
      </c>
      <c r="AL895" s="4">
        <v>49</v>
      </c>
      <c r="AM895" s="4">
        <v>56</v>
      </c>
      <c r="AN895" s="4">
        <v>1</v>
      </c>
      <c r="AO895" s="4">
        <v>1</v>
      </c>
      <c r="AP895" s="4">
        <v>14</v>
      </c>
      <c r="AQ895" s="4">
        <v>24</v>
      </c>
      <c r="AR895" s="3" t="s">
        <v>62</v>
      </c>
      <c r="AS895" s="3" t="s">
        <v>62</v>
      </c>
      <c r="AT895" s="3" t="s">
        <v>61</v>
      </c>
      <c r="AU895" s="6" t="str">
        <f>HYPERLINK("http://catalog.hathitrust.org/Record/001474738","HathiTrust Record")</f>
        <v>HathiTrust Record</v>
      </c>
      <c r="AV895" s="6" t="str">
        <f>HYPERLINK("http://mcgill.on.worldcat.org/oclc/8082764","Catalog Record")</f>
        <v>Catalog Record</v>
      </c>
      <c r="AW895" s="6" t="str">
        <f>HYPERLINK("http://www.worldcat.org/oclc/8082764","WorldCat Record")</f>
        <v>WorldCat Record</v>
      </c>
      <c r="AX895" s="3" t="s">
        <v>9026</v>
      </c>
      <c r="AY895" s="3" t="s">
        <v>9027</v>
      </c>
      <c r="AZ895" s="3" t="s">
        <v>9028</v>
      </c>
      <c r="BA895" s="3" t="s">
        <v>9028</v>
      </c>
      <c r="BB895" s="3" t="s">
        <v>9033</v>
      </c>
      <c r="BC895" s="3" t="s">
        <v>102</v>
      </c>
      <c r="BD895" s="3" t="s">
        <v>68</v>
      </c>
      <c r="BF895" s="3" t="s">
        <v>9033</v>
      </c>
      <c r="BG895" s="3" t="s">
        <v>9034</v>
      </c>
    </row>
    <row r="896" spans="1:59" ht="58" x14ac:dyDescent="0.35">
      <c r="A896" s="2" t="s">
        <v>89</v>
      </c>
      <c r="B896" s="2" t="s">
        <v>90</v>
      </c>
      <c r="C896" s="2" t="s">
        <v>9035</v>
      </c>
      <c r="D896" s="2" t="s">
        <v>9036</v>
      </c>
      <c r="E896" s="2" t="s">
        <v>9037</v>
      </c>
      <c r="G896" s="3" t="s">
        <v>62</v>
      </c>
      <c r="I896" s="3" t="s">
        <v>62</v>
      </c>
      <c r="J896" s="3" t="s">
        <v>62</v>
      </c>
      <c r="K896" s="3" t="s">
        <v>63</v>
      </c>
      <c r="L896" s="2" t="s">
        <v>9038</v>
      </c>
      <c r="M896" s="2" t="s">
        <v>9039</v>
      </c>
      <c r="N896" s="3" t="s">
        <v>496</v>
      </c>
      <c r="P896" s="3" t="s">
        <v>64</v>
      </c>
      <c r="Q896" s="2" t="s">
        <v>9040</v>
      </c>
      <c r="R896" s="3" t="s">
        <v>65</v>
      </c>
      <c r="S896" s="4">
        <v>4</v>
      </c>
      <c r="T896" s="4">
        <v>4</v>
      </c>
      <c r="U896" s="5" t="s">
        <v>9025</v>
      </c>
      <c r="V896" s="5" t="s">
        <v>9025</v>
      </c>
      <c r="W896" s="5" t="s">
        <v>67</v>
      </c>
      <c r="X896" s="5" t="s">
        <v>67</v>
      </c>
      <c r="Y896" s="4">
        <v>369</v>
      </c>
      <c r="Z896" s="4">
        <v>30</v>
      </c>
      <c r="AA896" s="4">
        <v>35</v>
      </c>
      <c r="AB896" s="4">
        <v>3</v>
      </c>
      <c r="AC896" s="4">
        <v>7</v>
      </c>
      <c r="AD896" s="4">
        <v>85</v>
      </c>
      <c r="AE896" s="4">
        <v>93</v>
      </c>
      <c r="AF896" s="4">
        <v>0</v>
      </c>
      <c r="AG896" s="4">
        <v>3</v>
      </c>
      <c r="AH896" s="4">
        <v>74</v>
      </c>
      <c r="AI896" s="4">
        <v>79</v>
      </c>
      <c r="AJ896" s="4">
        <v>14</v>
      </c>
      <c r="AK896" s="4">
        <v>18</v>
      </c>
      <c r="AL896" s="4">
        <v>40</v>
      </c>
      <c r="AM896" s="4">
        <v>41</v>
      </c>
      <c r="AN896" s="4">
        <v>0</v>
      </c>
      <c r="AO896" s="4">
        <v>0</v>
      </c>
      <c r="AP896" s="4">
        <v>19</v>
      </c>
      <c r="AQ896" s="4">
        <v>22</v>
      </c>
      <c r="AR896" s="3" t="s">
        <v>62</v>
      </c>
      <c r="AS896" s="3" t="s">
        <v>62</v>
      </c>
      <c r="AT896" s="3" t="s">
        <v>62</v>
      </c>
      <c r="AU896" s="6" t="str">
        <f>HYPERLINK("http://catalog.hathitrust.org/Record/001474737","HathiTrust Record")</f>
        <v>HathiTrust Record</v>
      </c>
      <c r="AV896" s="6" t="str">
        <f>HYPERLINK("http://mcgill.on.worldcat.org/oclc/260850","Catalog Record")</f>
        <v>Catalog Record</v>
      </c>
      <c r="AW896" s="6" t="str">
        <f>HYPERLINK("http://www.worldcat.org/oclc/260850","WorldCat Record")</f>
        <v>WorldCat Record</v>
      </c>
      <c r="AX896" s="3" t="s">
        <v>9041</v>
      </c>
      <c r="AY896" s="3" t="s">
        <v>9042</v>
      </c>
      <c r="AZ896" s="3" t="s">
        <v>9043</v>
      </c>
      <c r="BA896" s="3" t="s">
        <v>9043</v>
      </c>
      <c r="BB896" s="3" t="s">
        <v>9044</v>
      </c>
      <c r="BC896" s="3" t="s">
        <v>102</v>
      </c>
      <c r="BD896" s="3" t="s">
        <v>68</v>
      </c>
      <c r="BF896" s="3" t="s">
        <v>9044</v>
      </c>
      <c r="BG896" s="3" t="s">
        <v>9045</v>
      </c>
    </row>
    <row r="897" spans="1:59" ht="58" x14ac:dyDescent="0.35">
      <c r="A897" s="2" t="s">
        <v>89</v>
      </c>
      <c r="B897" s="2" t="s">
        <v>90</v>
      </c>
      <c r="C897" s="2" t="s">
        <v>9046</v>
      </c>
      <c r="D897" s="2" t="s">
        <v>9047</v>
      </c>
      <c r="E897" s="2" t="s">
        <v>9048</v>
      </c>
      <c r="G897" s="3" t="s">
        <v>62</v>
      </c>
      <c r="I897" s="3" t="s">
        <v>62</v>
      </c>
      <c r="J897" s="3" t="s">
        <v>61</v>
      </c>
      <c r="K897" s="3" t="s">
        <v>63</v>
      </c>
      <c r="L897" s="2" t="s">
        <v>9049</v>
      </c>
      <c r="M897" s="2" t="s">
        <v>9050</v>
      </c>
      <c r="N897" s="3" t="s">
        <v>9051</v>
      </c>
      <c r="P897" s="3" t="s">
        <v>64</v>
      </c>
      <c r="R897" s="3" t="s">
        <v>65</v>
      </c>
      <c r="S897" s="4">
        <v>1</v>
      </c>
      <c r="T897" s="4">
        <v>1</v>
      </c>
      <c r="U897" s="5" t="s">
        <v>9025</v>
      </c>
      <c r="V897" s="5" t="s">
        <v>9025</v>
      </c>
      <c r="W897" s="5" t="s">
        <v>67</v>
      </c>
      <c r="X897" s="5" t="s">
        <v>67</v>
      </c>
      <c r="Y897" s="4">
        <v>1</v>
      </c>
      <c r="Z897" s="4">
        <v>1</v>
      </c>
      <c r="AA897" s="4">
        <v>9</v>
      </c>
      <c r="AB897" s="4">
        <v>1</v>
      </c>
      <c r="AC897" s="4">
        <v>1</v>
      </c>
      <c r="AD897" s="4">
        <v>0</v>
      </c>
      <c r="AE897" s="4">
        <v>39</v>
      </c>
      <c r="AF897" s="4">
        <v>0</v>
      </c>
      <c r="AG897" s="4">
        <v>0</v>
      </c>
      <c r="AH897" s="4">
        <v>0</v>
      </c>
      <c r="AI897" s="4">
        <v>34</v>
      </c>
      <c r="AJ897" s="4">
        <v>0</v>
      </c>
      <c r="AK897" s="4">
        <v>3</v>
      </c>
      <c r="AL897" s="4">
        <v>0</v>
      </c>
      <c r="AM897" s="4">
        <v>24</v>
      </c>
      <c r="AN897" s="4">
        <v>0</v>
      </c>
      <c r="AO897" s="4">
        <v>0</v>
      </c>
      <c r="AP897" s="4">
        <v>0</v>
      </c>
      <c r="AQ897" s="4">
        <v>6</v>
      </c>
      <c r="AR897" s="3" t="s">
        <v>62</v>
      </c>
      <c r="AS897" s="3" t="s">
        <v>62</v>
      </c>
      <c r="AT897" s="3" t="s">
        <v>62</v>
      </c>
      <c r="AV897" s="6" t="str">
        <f>HYPERLINK("http://mcgill.on.worldcat.org/oclc/427558868","Catalog Record")</f>
        <v>Catalog Record</v>
      </c>
      <c r="AW897" s="6" t="str">
        <f>HYPERLINK("http://www.worldcat.org/oclc/427558868","WorldCat Record")</f>
        <v>WorldCat Record</v>
      </c>
      <c r="AX897" s="3" t="s">
        <v>9052</v>
      </c>
      <c r="AY897" s="3" t="s">
        <v>9053</v>
      </c>
      <c r="AZ897" s="3" t="s">
        <v>9054</v>
      </c>
      <c r="BA897" s="3" t="s">
        <v>9054</v>
      </c>
      <c r="BB897" s="3" t="s">
        <v>9055</v>
      </c>
      <c r="BC897" s="3" t="s">
        <v>102</v>
      </c>
      <c r="BD897" s="3" t="s">
        <v>68</v>
      </c>
      <c r="BF897" s="3" t="s">
        <v>9055</v>
      </c>
      <c r="BG897" s="3" t="s">
        <v>9056</v>
      </c>
    </row>
    <row r="898" spans="1:59" ht="58" x14ac:dyDescent="0.35">
      <c r="A898" s="2" t="s">
        <v>89</v>
      </c>
      <c r="B898" s="2" t="s">
        <v>90</v>
      </c>
      <c r="C898" s="2" t="s">
        <v>9057</v>
      </c>
      <c r="D898" s="2" t="s">
        <v>9058</v>
      </c>
      <c r="E898" s="2" t="s">
        <v>9059</v>
      </c>
      <c r="G898" s="3" t="s">
        <v>62</v>
      </c>
      <c r="I898" s="3" t="s">
        <v>62</v>
      </c>
      <c r="J898" s="3" t="s">
        <v>61</v>
      </c>
      <c r="K898" s="3" t="s">
        <v>63</v>
      </c>
      <c r="L898" s="2" t="s">
        <v>9049</v>
      </c>
      <c r="M898" s="2" t="s">
        <v>9060</v>
      </c>
      <c r="N898" s="3" t="s">
        <v>81</v>
      </c>
      <c r="P898" s="3" t="s">
        <v>64</v>
      </c>
      <c r="R898" s="3" t="s">
        <v>65</v>
      </c>
      <c r="S898" s="4">
        <v>6</v>
      </c>
      <c r="T898" s="4">
        <v>6</v>
      </c>
      <c r="U898" s="5" t="s">
        <v>9025</v>
      </c>
      <c r="V898" s="5" t="s">
        <v>9025</v>
      </c>
      <c r="W898" s="5" t="s">
        <v>67</v>
      </c>
      <c r="X898" s="5" t="s">
        <v>67</v>
      </c>
      <c r="Y898" s="4">
        <v>1</v>
      </c>
      <c r="Z898" s="4">
        <v>1</v>
      </c>
      <c r="AA898" s="4">
        <v>9</v>
      </c>
      <c r="AB898" s="4">
        <v>1</v>
      </c>
      <c r="AC898" s="4">
        <v>1</v>
      </c>
      <c r="AD898" s="4">
        <v>0</v>
      </c>
      <c r="AE898" s="4">
        <v>39</v>
      </c>
      <c r="AF898" s="4">
        <v>0</v>
      </c>
      <c r="AG898" s="4">
        <v>0</v>
      </c>
      <c r="AH898" s="4">
        <v>0</v>
      </c>
      <c r="AI898" s="4">
        <v>34</v>
      </c>
      <c r="AJ898" s="4">
        <v>0</v>
      </c>
      <c r="AK898" s="4">
        <v>3</v>
      </c>
      <c r="AL898" s="4">
        <v>0</v>
      </c>
      <c r="AM898" s="4">
        <v>24</v>
      </c>
      <c r="AN898" s="4">
        <v>0</v>
      </c>
      <c r="AO898" s="4">
        <v>0</v>
      </c>
      <c r="AP898" s="4">
        <v>0</v>
      </c>
      <c r="AQ898" s="4">
        <v>6</v>
      </c>
      <c r="AR898" s="3" t="s">
        <v>62</v>
      </c>
      <c r="AS898" s="3" t="s">
        <v>62</v>
      </c>
      <c r="AT898" s="3" t="s">
        <v>62</v>
      </c>
      <c r="AV898" s="6" t="str">
        <f>HYPERLINK("http://mcgill.on.worldcat.org/oclc/427860729","Catalog Record")</f>
        <v>Catalog Record</v>
      </c>
      <c r="AW898" s="6" t="str">
        <f>HYPERLINK("http://www.worldcat.org/oclc/427860729","WorldCat Record")</f>
        <v>WorldCat Record</v>
      </c>
      <c r="AX898" s="3" t="s">
        <v>9052</v>
      </c>
      <c r="AY898" s="3" t="s">
        <v>9061</v>
      </c>
      <c r="AZ898" s="3" t="s">
        <v>9062</v>
      </c>
      <c r="BA898" s="3" t="s">
        <v>9062</v>
      </c>
      <c r="BB898" s="3" t="s">
        <v>9063</v>
      </c>
      <c r="BC898" s="3" t="s">
        <v>102</v>
      </c>
      <c r="BD898" s="3" t="s">
        <v>68</v>
      </c>
      <c r="BF898" s="3" t="s">
        <v>9063</v>
      </c>
      <c r="BG898" s="3" t="s">
        <v>9064</v>
      </c>
    </row>
    <row r="899" spans="1:59" ht="58" x14ac:dyDescent="0.35">
      <c r="A899" s="2" t="s">
        <v>89</v>
      </c>
      <c r="B899" s="2" t="s">
        <v>2033</v>
      </c>
      <c r="C899" s="2" t="s">
        <v>9065</v>
      </c>
      <c r="D899" s="2" t="s">
        <v>9066</v>
      </c>
      <c r="E899" s="2" t="s">
        <v>9067</v>
      </c>
      <c r="F899" s="3" t="s">
        <v>2217</v>
      </c>
      <c r="G899" s="3" t="s">
        <v>61</v>
      </c>
      <c r="I899" s="3" t="s">
        <v>62</v>
      </c>
      <c r="J899" s="3" t="s">
        <v>62</v>
      </c>
      <c r="K899" s="3" t="s">
        <v>63</v>
      </c>
      <c r="L899" s="2" t="s">
        <v>2934</v>
      </c>
      <c r="M899" s="2" t="s">
        <v>9068</v>
      </c>
      <c r="N899" s="3" t="s">
        <v>9069</v>
      </c>
      <c r="O899" s="2" t="s">
        <v>9070</v>
      </c>
      <c r="P899" s="3" t="s">
        <v>64</v>
      </c>
      <c r="R899" s="3" t="s">
        <v>65</v>
      </c>
      <c r="S899" s="4">
        <v>1</v>
      </c>
      <c r="T899" s="4">
        <v>1</v>
      </c>
      <c r="U899" s="5" t="s">
        <v>9025</v>
      </c>
      <c r="V899" s="5" t="s">
        <v>9025</v>
      </c>
      <c r="W899" s="5" t="s">
        <v>67</v>
      </c>
      <c r="X899" s="5" t="s">
        <v>67</v>
      </c>
      <c r="Y899" s="4">
        <v>2</v>
      </c>
      <c r="Z899" s="4">
        <v>1</v>
      </c>
      <c r="AA899" s="4">
        <v>2</v>
      </c>
      <c r="AB899" s="4">
        <v>1</v>
      </c>
      <c r="AC899" s="4">
        <v>2</v>
      </c>
      <c r="AD899" s="4">
        <v>0</v>
      </c>
      <c r="AE899" s="4">
        <v>2</v>
      </c>
      <c r="AF899" s="4">
        <v>0</v>
      </c>
      <c r="AG899" s="4">
        <v>1</v>
      </c>
      <c r="AH899" s="4">
        <v>0</v>
      </c>
      <c r="AI899" s="4">
        <v>1</v>
      </c>
      <c r="AJ899" s="4">
        <v>0</v>
      </c>
      <c r="AK899" s="4">
        <v>1</v>
      </c>
      <c r="AL899" s="4">
        <v>0</v>
      </c>
      <c r="AM899" s="4">
        <v>1</v>
      </c>
      <c r="AN899" s="4">
        <v>0</v>
      </c>
      <c r="AO899" s="4">
        <v>0</v>
      </c>
      <c r="AP899" s="4">
        <v>0</v>
      </c>
      <c r="AQ899" s="4">
        <v>0</v>
      </c>
      <c r="AR899" s="3" t="s">
        <v>62</v>
      </c>
      <c r="AS899" s="3" t="s">
        <v>62</v>
      </c>
      <c r="AT899" s="3" t="s">
        <v>61</v>
      </c>
      <c r="AU899" s="6" t="str">
        <f>HYPERLINK("http://catalog.hathitrust.org/Record/102422159","HathiTrust Record")</f>
        <v>HathiTrust Record</v>
      </c>
      <c r="AV899" s="6" t="str">
        <f>HYPERLINK("http://mcgill.on.worldcat.org/oclc/427303481","Catalog Record")</f>
        <v>Catalog Record</v>
      </c>
      <c r="AW899" s="6" t="str">
        <f>HYPERLINK("http://www.worldcat.org/oclc/427303481","WorldCat Record")</f>
        <v>WorldCat Record</v>
      </c>
      <c r="AX899" s="3" t="s">
        <v>9071</v>
      </c>
      <c r="AY899" s="3" t="s">
        <v>9072</v>
      </c>
      <c r="AZ899" s="3" t="s">
        <v>9073</v>
      </c>
      <c r="BA899" s="3" t="s">
        <v>9073</v>
      </c>
      <c r="BB899" s="3" t="s">
        <v>9074</v>
      </c>
      <c r="BC899" s="3" t="s">
        <v>102</v>
      </c>
      <c r="BD899" s="3" t="s">
        <v>68</v>
      </c>
      <c r="BF899" s="3" t="s">
        <v>9074</v>
      </c>
      <c r="BG899" s="3" t="s">
        <v>9075</v>
      </c>
    </row>
    <row r="900" spans="1:59" ht="58" x14ac:dyDescent="0.35">
      <c r="A900" s="2" t="s">
        <v>89</v>
      </c>
      <c r="B900" s="2" t="s">
        <v>90</v>
      </c>
      <c r="C900" s="2" t="s">
        <v>9076</v>
      </c>
      <c r="D900" s="2" t="s">
        <v>9077</v>
      </c>
      <c r="E900" s="2" t="s">
        <v>9078</v>
      </c>
      <c r="G900" s="3" t="s">
        <v>62</v>
      </c>
      <c r="I900" s="3" t="s">
        <v>62</v>
      </c>
      <c r="J900" s="3" t="s">
        <v>61</v>
      </c>
      <c r="K900" s="3" t="s">
        <v>63</v>
      </c>
      <c r="L900" s="2" t="s">
        <v>9079</v>
      </c>
      <c r="M900" s="2" t="s">
        <v>9080</v>
      </c>
      <c r="N900" s="3" t="s">
        <v>6323</v>
      </c>
      <c r="P900" s="3" t="s">
        <v>64</v>
      </c>
      <c r="R900" s="3" t="s">
        <v>65</v>
      </c>
      <c r="S900" s="4">
        <v>14</v>
      </c>
      <c r="T900" s="4">
        <v>14</v>
      </c>
      <c r="U900" s="5" t="s">
        <v>1512</v>
      </c>
      <c r="V900" s="5" t="s">
        <v>1512</v>
      </c>
      <c r="W900" s="5" t="s">
        <v>67</v>
      </c>
      <c r="X900" s="5" t="s">
        <v>67</v>
      </c>
      <c r="Y900" s="4">
        <v>146</v>
      </c>
      <c r="Z900" s="4">
        <v>9</v>
      </c>
      <c r="AA900" s="4">
        <v>53</v>
      </c>
      <c r="AB900" s="4">
        <v>1</v>
      </c>
      <c r="AC900" s="4">
        <v>4</v>
      </c>
      <c r="AD900" s="4">
        <v>27</v>
      </c>
      <c r="AE900" s="4">
        <v>132</v>
      </c>
      <c r="AF900" s="4">
        <v>0</v>
      </c>
      <c r="AG900" s="4">
        <v>2</v>
      </c>
      <c r="AH900" s="4">
        <v>21</v>
      </c>
      <c r="AI900" s="4">
        <v>104</v>
      </c>
      <c r="AJ900" s="4">
        <v>2</v>
      </c>
      <c r="AK900" s="4">
        <v>17</v>
      </c>
      <c r="AL900" s="4">
        <v>14</v>
      </c>
      <c r="AM900" s="4">
        <v>60</v>
      </c>
      <c r="AN900" s="4">
        <v>0</v>
      </c>
      <c r="AO900" s="4">
        <v>5</v>
      </c>
      <c r="AP900" s="4">
        <v>6</v>
      </c>
      <c r="AQ900" s="4">
        <v>31</v>
      </c>
      <c r="AR900" s="3" t="s">
        <v>62</v>
      </c>
      <c r="AS900" s="3" t="s">
        <v>62</v>
      </c>
      <c r="AT900" s="3" t="s">
        <v>61</v>
      </c>
      <c r="AU900" s="6" t="str">
        <f>HYPERLINK("http://catalog.hathitrust.org/Record/004413322","HathiTrust Record")</f>
        <v>HathiTrust Record</v>
      </c>
      <c r="AV900" s="6" t="str">
        <f>HYPERLINK("http://mcgill.on.worldcat.org/oclc/6390233","Catalog Record")</f>
        <v>Catalog Record</v>
      </c>
      <c r="AW900" s="6" t="str">
        <f>HYPERLINK("http://www.worldcat.org/oclc/6390233","WorldCat Record")</f>
        <v>WorldCat Record</v>
      </c>
      <c r="AX900" s="3" t="s">
        <v>9081</v>
      </c>
      <c r="AY900" s="3" t="s">
        <v>9082</v>
      </c>
      <c r="AZ900" s="3" t="s">
        <v>9083</v>
      </c>
      <c r="BA900" s="3" t="s">
        <v>9083</v>
      </c>
      <c r="BB900" s="3" t="s">
        <v>9084</v>
      </c>
      <c r="BC900" s="3" t="s">
        <v>102</v>
      </c>
      <c r="BD900" s="3" t="s">
        <v>68</v>
      </c>
      <c r="BF900" s="3" t="s">
        <v>9084</v>
      </c>
      <c r="BG900" s="3" t="s">
        <v>9085</v>
      </c>
    </row>
    <row r="901" spans="1:59" ht="58" x14ac:dyDescent="0.35">
      <c r="A901" s="2" t="s">
        <v>89</v>
      </c>
      <c r="B901" s="2" t="s">
        <v>90</v>
      </c>
      <c r="C901" s="2" t="s">
        <v>9086</v>
      </c>
      <c r="D901" s="2" t="s">
        <v>9087</v>
      </c>
      <c r="E901" s="2" t="s">
        <v>9088</v>
      </c>
      <c r="G901" s="3" t="s">
        <v>62</v>
      </c>
      <c r="I901" s="3" t="s">
        <v>62</v>
      </c>
      <c r="J901" s="3" t="s">
        <v>61</v>
      </c>
      <c r="K901" s="3" t="s">
        <v>63</v>
      </c>
      <c r="L901" s="2" t="s">
        <v>9089</v>
      </c>
      <c r="M901" s="2" t="s">
        <v>9090</v>
      </c>
      <c r="N901" s="3" t="s">
        <v>9091</v>
      </c>
      <c r="O901" s="2" t="s">
        <v>8443</v>
      </c>
      <c r="P901" s="3" t="s">
        <v>64</v>
      </c>
      <c r="R901" s="3" t="s">
        <v>65</v>
      </c>
      <c r="S901" s="4">
        <v>6</v>
      </c>
      <c r="T901" s="4">
        <v>6</v>
      </c>
      <c r="U901" s="5" t="s">
        <v>1512</v>
      </c>
      <c r="V901" s="5" t="s">
        <v>1512</v>
      </c>
      <c r="W901" s="5" t="s">
        <v>67</v>
      </c>
      <c r="X901" s="5" t="s">
        <v>67</v>
      </c>
      <c r="Y901" s="4">
        <v>33</v>
      </c>
      <c r="Z901" s="4">
        <v>7</v>
      </c>
      <c r="AA901" s="4">
        <v>57</v>
      </c>
      <c r="AB901" s="4">
        <v>1</v>
      </c>
      <c r="AC901" s="4">
        <v>5</v>
      </c>
      <c r="AD901" s="4">
        <v>8</v>
      </c>
      <c r="AE901" s="4">
        <v>135</v>
      </c>
      <c r="AF901" s="4">
        <v>0</v>
      </c>
      <c r="AG901" s="4">
        <v>3</v>
      </c>
      <c r="AH901" s="4">
        <v>6</v>
      </c>
      <c r="AI901" s="4">
        <v>105</v>
      </c>
      <c r="AJ901" s="4">
        <v>4</v>
      </c>
      <c r="AK901" s="4">
        <v>26</v>
      </c>
      <c r="AL901" s="4">
        <v>5</v>
      </c>
      <c r="AM901" s="4">
        <v>60</v>
      </c>
      <c r="AN901" s="4">
        <v>0</v>
      </c>
      <c r="AO901" s="4">
        <v>0</v>
      </c>
      <c r="AP901" s="4">
        <v>4</v>
      </c>
      <c r="AQ901" s="4">
        <v>36</v>
      </c>
      <c r="AR901" s="3" t="s">
        <v>62</v>
      </c>
      <c r="AS901" s="3" t="s">
        <v>62</v>
      </c>
      <c r="AT901" s="3" t="s">
        <v>62</v>
      </c>
      <c r="AU901" s="6" t="str">
        <f>HYPERLINK("http://catalog.hathitrust.org/Record/010055894","HathiTrust Record")</f>
        <v>HathiTrust Record</v>
      </c>
      <c r="AV901" s="6" t="str">
        <f>HYPERLINK("http://mcgill.on.worldcat.org/oclc/173668809","Catalog Record")</f>
        <v>Catalog Record</v>
      </c>
      <c r="AW901" s="6" t="str">
        <f>HYPERLINK("http://www.worldcat.org/oclc/173668809","WorldCat Record")</f>
        <v>WorldCat Record</v>
      </c>
      <c r="AX901" s="3" t="s">
        <v>9092</v>
      </c>
      <c r="AY901" s="3" t="s">
        <v>9093</v>
      </c>
      <c r="AZ901" s="3" t="s">
        <v>9094</v>
      </c>
      <c r="BA901" s="3" t="s">
        <v>9094</v>
      </c>
      <c r="BB901" s="3" t="s">
        <v>9095</v>
      </c>
      <c r="BC901" s="3" t="s">
        <v>102</v>
      </c>
      <c r="BD901" s="3" t="s">
        <v>68</v>
      </c>
      <c r="BF901" s="3" t="s">
        <v>9095</v>
      </c>
      <c r="BG901" s="3" t="s">
        <v>9096</v>
      </c>
    </row>
    <row r="902" spans="1:59" ht="58" x14ac:dyDescent="0.35">
      <c r="A902" s="2" t="s">
        <v>89</v>
      </c>
      <c r="B902" s="2" t="s">
        <v>90</v>
      </c>
      <c r="C902" s="2" t="s">
        <v>9097</v>
      </c>
      <c r="D902" s="2" t="s">
        <v>9098</v>
      </c>
      <c r="E902" s="2" t="s">
        <v>9099</v>
      </c>
      <c r="G902" s="3" t="s">
        <v>62</v>
      </c>
      <c r="I902" s="3" t="s">
        <v>61</v>
      </c>
      <c r="J902" s="3" t="s">
        <v>61</v>
      </c>
      <c r="K902" s="3" t="s">
        <v>63</v>
      </c>
      <c r="L902" s="2" t="s">
        <v>9079</v>
      </c>
      <c r="M902" s="2" t="s">
        <v>9100</v>
      </c>
      <c r="N902" s="3" t="s">
        <v>755</v>
      </c>
      <c r="P902" s="3" t="s">
        <v>64</v>
      </c>
      <c r="R902" s="3" t="s">
        <v>65</v>
      </c>
      <c r="S902" s="4">
        <v>26</v>
      </c>
      <c r="T902" s="4">
        <v>40</v>
      </c>
      <c r="U902" s="5" t="s">
        <v>9101</v>
      </c>
      <c r="V902" s="5" t="s">
        <v>9101</v>
      </c>
      <c r="W902" s="5" t="s">
        <v>67</v>
      </c>
      <c r="X902" s="5" t="s">
        <v>9102</v>
      </c>
      <c r="Y902" s="4">
        <v>48</v>
      </c>
      <c r="Z902" s="4">
        <v>8</v>
      </c>
      <c r="AA902" s="4">
        <v>101</v>
      </c>
      <c r="AB902" s="4">
        <v>2</v>
      </c>
      <c r="AC902" s="4">
        <v>13</v>
      </c>
      <c r="AD902" s="4">
        <v>14</v>
      </c>
      <c r="AE902" s="4">
        <v>160</v>
      </c>
      <c r="AF902" s="4">
        <v>1</v>
      </c>
      <c r="AG902" s="4">
        <v>5</v>
      </c>
      <c r="AH902" s="4">
        <v>9</v>
      </c>
      <c r="AI902" s="4">
        <v>116</v>
      </c>
      <c r="AJ902" s="4">
        <v>6</v>
      </c>
      <c r="AK902" s="4">
        <v>29</v>
      </c>
      <c r="AL902" s="4">
        <v>3</v>
      </c>
      <c r="AM902" s="4">
        <v>64</v>
      </c>
      <c r="AN902" s="4">
        <v>0</v>
      </c>
      <c r="AO902" s="4">
        <v>15</v>
      </c>
      <c r="AP902" s="4">
        <v>6</v>
      </c>
      <c r="AQ902" s="4">
        <v>47</v>
      </c>
      <c r="AR902" s="3" t="s">
        <v>62</v>
      </c>
      <c r="AS902" s="3" t="s">
        <v>62</v>
      </c>
      <c r="AT902" s="3" t="s">
        <v>62</v>
      </c>
      <c r="AV902" s="6" t="str">
        <f>HYPERLINK("http://mcgill.on.worldcat.org/oclc/1411894","Catalog Record")</f>
        <v>Catalog Record</v>
      </c>
      <c r="AW902" s="6" t="str">
        <f>HYPERLINK("http://www.worldcat.org/oclc/1411894","WorldCat Record")</f>
        <v>WorldCat Record</v>
      </c>
      <c r="AX902" s="3" t="s">
        <v>9103</v>
      </c>
      <c r="AY902" s="3" t="s">
        <v>9104</v>
      </c>
      <c r="AZ902" s="3" t="s">
        <v>9105</v>
      </c>
      <c r="BA902" s="3" t="s">
        <v>9105</v>
      </c>
      <c r="BB902" s="3" t="s">
        <v>9106</v>
      </c>
      <c r="BC902" s="3" t="s">
        <v>102</v>
      </c>
      <c r="BD902" s="3" t="s">
        <v>68</v>
      </c>
      <c r="BF902" s="3" t="s">
        <v>9106</v>
      </c>
      <c r="BG902" s="3" t="s">
        <v>9107</v>
      </c>
    </row>
    <row r="903" spans="1:59" ht="58" x14ac:dyDescent="0.35">
      <c r="A903" s="2" t="s">
        <v>89</v>
      </c>
      <c r="B903" s="2" t="s">
        <v>90</v>
      </c>
      <c r="C903" s="2" t="s">
        <v>9097</v>
      </c>
      <c r="D903" s="2" t="s">
        <v>9098</v>
      </c>
      <c r="E903" s="2" t="s">
        <v>9099</v>
      </c>
      <c r="G903" s="3" t="s">
        <v>62</v>
      </c>
      <c r="I903" s="3" t="s">
        <v>61</v>
      </c>
      <c r="J903" s="3" t="s">
        <v>61</v>
      </c>
      <c r="K903" s="3" t="s">
        <v>63</v>
      </c>
      <c r="L903" s="2" t="s">
        <v>9079</v>
      </c>
      <c r="M903" s="2" t="s">
        <v>9100</v>
      </c>
      <c r="N903" s="3" t="s">
        <v>755</v>
      </c>
      <c r="P903" s="3" t="s">
        <v>64</v>
      </c>
      <c r="R903" s="3" t="s">
        <v>65</v>
      </c>
      <c r="S903" s="4">
        <v>14</v>
      </c>
      <c r="T903" s="4">
        <v>40</v>
      </c>
      <c r="U903" s="5" t="s">
        <v>9108</v>
      </c>
      <c r="V903" s="5" t="s">
        <v>9101</v>
      </c>
      <c r="W903" s="5" t="s">
        <v>67</v>
      </c>
      <c r="X903" s="5" t="s">
        <v>9102</v>
      </c>
      <c r="Y903" s="4">
        <v>48</v>
      </c>
      <c r="Z903" s="4">
        <v>8</v>
      </c>
      <c r="AA903" s="4">
        <v>101</v>
      </c>
      <c r="AB903" s="4">
        <v>2</v>
      </c>
      <c r="AC903" s="4">
        <v>13</v>
      </c>
      <c r="AD903" s="4">
        <v>14</v>
      </c>
      <c r="AE903" s="4">
        <v>160</v>
      </c>
      <c r="AF903" s="4">
        <v>1</v>
      </c>
      <c r="AG903" s="4">
        <v>5</v>
      </c>
      <c r="AH903" s="4">
        <v>9</v>
      </c>
      <c r="AI903" s="4">
        <v>116</v>
      </c>
      <c r="AJ903" s="4">
        <v>6</v>
      </c>
      <c r="AK903" s="4">
        <v>29</v>
      </c>
      <c r="AL903" s="4">
        <v>3</v>
      </c>
      <c r="AM903" s="4">
        <v>64</v>
      </c>
      <c r="AN903" s="4">
        <v>0</v>
      </c>
      <c r="AO903" s="4">
        <v>15</v>
      </c>
      <c r="AP903" s="4">
        <v>6</v>
      </c>
      <c r="AQ903" s="4">
        <v>47</v>
      </c>
      <c r="AR903" s="3" t="s">
        <v>62</v>
      </c>
      <c r="AS903" s="3" t="s">
        <v>62</v>
      </c>
      <c r="AT903" s="3" t="s">
        <v>62</v>
      </c>
      <c r="AV903" s="6" t="str">
        <f>HYPERLINK("http://mcgill.on.worldcat.org/oclc/1411894","Catalog Record")</f>
        <v>Catalog Record</v>
      </c>
      <c r="AW903" s="6" t="str">
        <f>HYPERLINK("http://www.worldcat.org/oclc/1411894","WorldCat Record")</f>
        <v>WorldCat Record</v>
      </c>
      <c r="AX903" s="3" t="s">
        <v>9103</v>
      </c>
      <c r="AY903" s="3" t="s">
        <v>9104</v>
      </c>
      <c r="AZ903" s="3" t="s">
        <v>9105</v>
      </c>
      <c r="BA903" s="3" t="s">
        <v>9105</v>
      </c>
      <c r="BB903" s="3" t="s">
        <v>9109</v>
      </c>
      <c r="BC903" s="3" t="s">
        <v>102</v>
      </c>
      <c r="BD903" s="3" t="s">
        <v>68</v>
      </c>
      <c r="BF903" s="3" t="s">
        <v>9109</v>
      </c>
      <c r="BG903" s="3" t="s">
        <v>9110</v>
      </c>
    </row>
    <row r="904" spans="1:59" ht="58" x14ac:dyDescent="0.35">
      <c r="A904" s="2" t="s">
        <v>89</v>
      </c>
      <c r="B904" s="2" t="s">
        <v>90</v>
      </c>
      <c r="C904" s="2" t="s">
        <v>9111</v>
      </c>
      <c r="D904" s="2" t="s">
        <v>9112</v>
      </c>
      <c r="E904" s="2" t="s">
        <v>9113</v>
      </c>
      <c r="G904" s="3" t="s">
        <v>62</v>
      </c>
      <c r="I904" s="3" t="s">
        <v>61</v>
      </c>
      <c r="J904" s="3" t="s">
        <v>61</v>
      </c>
      <c r="K904" s="3" t="s">
        <v>63</v>
      </c>
      <c r="L904" s="2" t="s">
        <v>9114</v>
      </c>
      <c r="M904" s="2" t="s">
        <v>9115</v>
      </c>
      <c r="N904" s="3" t="s">
        <v>1662</v>
      </c>
      <c r="P904" s="3" t="s">
        <v>64</v>
      </c>
      <c r="Q904" s="2" t="s">
        <v>9116</v>
      </c>
      <c r="R904" s="3" t="s">
        <v>65</v>
      </c>
      <c r="S904" s="4">
        <v>0</v>
      </c>
      <c r="T904" s="4">
        <v>1</v>
      </c>
      <c r="V904" s="5" t="s">
        <v>6849</v>
      </c>
      <c r="W904" s="5" t="s">
        <v>67</v>
      </c>
      <c r="X904" s="5" t="s">
        <v>67</v>
      </c>
      <c r="Y904" s="4">
        <v>273</v>
      </c>
      <c r="Z904" s="4">
        <v>7</v>
      </c>
      <c r="AA904" s="4">
        <v>42</v>
      </c>
      <c r="AB904" s="4">
        <v>1</v>
      </c>
      <c r="AC904" s="4">
        <v>7</v>
      </c>
      <c r="AD904" s="4">
        <v>47</v>
      </c>
      <c r="AE904" s="4">
        <v>125</v>
      </c>
      <c r="AF904" s="4">
        <v>0</v>
      </c>
      <c r="AG904" s="4">
        <v>6</v>
      </c>
      <c r="AH904" s="4">
        <v>42</v>
      </c>
      <c r="AI904" s="4">
        <v>103</v>
      </c>
      <c r="AJ904" s="4">
        <v>2</v>
      </c>
      <c r="AK904" s="4">
        <v>26</v>
      </c>
      <c r="AL904" s="4">
        <v>28</v>
      </c>
      <c r="AM904" s="4">
        <v>56</v>
      </c>
      <c r="AN904" s="4">
        <v>0</v>
      </c>
      <c r="AO904" s="4">
        <v>1</v>
      </c>
      <c r="AP904" s="4">
        <v>4</v>
      </c>
      <c r="AQ904" s="4">
        <v>31</v>
      </c>
      <c r="AR904" s="3" t="s">
        <v>62</v>
      </c>
      <c r="AS904" s="3" t="s">
        <v>62</v>
      </c>
      <c r="AT904" s="3" t="s">
        <v>62</v>
      </c>
      <c r="AV904" s="6" t="str">
        <f>HYPERLINK("http://mcgill.on.worldcat.org/oclc/8119156","Catalog Record")</f>
        <v>Catalog Record</v>
      </c>
      <c r="AW904" s="6" t="str">
        <f>HYPERLINK("http://www.worldcat.org/oclc/8119156","WorldCat Record")</f>
        <v>WorldCat Record</v>
      </c>
      <c r="AX904" s="3" t="s">
        <v>9117</v>
      </c>
      <c r="AY904" s="3" t="s">
        <v>9118</v>
      </c>
      <c r="AZ904" s="3" t="s">
        <v>9119</v>
      </c>
      <c r="BA904" s="3" t="s">
        <v>9119</v>
      </c>
      <c r="BB904" s="3" t="s">
        <v>9120</v>
      </c>
      <c r="BC904" s="3" t="s">
        <v>102</v>
      </c>
      <c r="BD904" s="3" t="s">
        <v>68</v>
      </c>
      <c r="BF904" s="3" t="s">
        <v>9120</v>
      </c>
      <c r="BG904" s="3" t="s">
        <v>9121</v>
      </c>
    </row>
    <row r="905" spans="1:59" ht="58" x14ac:dyDescent="0.35">
      <c r="A905" s="2" t="s">
        <v>89</v>
      </c>
      <c r="B905" s="2" t="s">
        <v>90</v>
      </c>
      <c r="C905" s="2" t="s">
        <v>9122</v>
      </c>
      <c r="D905" s="2" t="s">
        <v>9123</v>
      </c>
      <c r="E905" s="2" t="s">
        <v>9124</v>
      </c>
      <c r="G905" s="3" t="s">
        <v>62</v>
      </c>
      <c r="I905" s="3" t="s">
        <v>61</v>
      </c>
      <c r="J905" s="3" t="s">
        <v>61</v>
      </c>
      <c r="K905" s="3" t="s">
        <v>63</v>
      </c>
      <c r="L905" s="2" t="s">
        <v>9125</v>
      </c>
      <c r="M905" s="2" t="s">
        <v>9126</v>
      </c>
      <c r="N905" s="3" t="s">
        <v>611</v>
      </c>
      <c r="P905" s="3" t="s">
        <v>64</v>
      </c>
      <c r="R905" s="3" t="s">
        <v>65</v>
      </c>
      <c r="S905" s="4">
        <v>34</v>
      </c>
      <c r="T905" s="4">
        <v>55</v>
      </c>
      <c r="U905" s="5" t="s">
        <v>9127</v>
      </c>
      <c r="V905" s="5" t="s">
        <v>9127</v>
      </c>
      <c r="W905" s="5" t="s">
        <v>67</v>
      </c>
      <c r="X905" s="5" t="s">
        <v>67</v>
      </c>
      <c r="Y905" s="4">
        <v>502</v>
      </c>
      <c r="Z905" s="4">
        <v>14</v>
      </c>
      <c r="AA905" s="4">
        <v>89</v>
      </c>
      <c r="AB905" s="4">
        <v>3</v>
      </c>
      <c r="AC905" s="4">
        <v>16</v>
      </c>
      <c r="AD905" s="4">
        <v>86</v>
      </c>
      <c r="AE905" s="4">
        <v>166</v>
      </c>
      <c r="AF905" s="4">
        <v>1</v>
      </c>
      <c r="AG905" s="4">
        <v>7</v>
      </c>
      <c r="AH905" s="4">
        <v>79</v>
      </c>
      <c r="AI905" s="4">
        <v>117</v>
      </c>
      <c r="AJ905" s="4">
        <v>8</v>
      </c>
      <c r="AK905" s="4">
        <v>28</v>
      </c>
      <c r="AL905" s="4">
        <v>46</v>
      </c>
      <c r="AM905" s="4">
        <v>62</v>
      </c>
      <c r="AN905" s="4">
        <v>0</v>
      </c>
      <c r="AO905" s="4">
        <v>1</v>
      </c>
      <c r="AP905" s="4">
        <v>7</v>
      </c>
      <c r="AQ905" s="4">
        <v>54</v>
      </c>
      <c r="AR905" s="3" t="s">
        <v>62</v>
      </c>
      <c r="AS905" s="3" t="s">
        <v>61</v>
      </c>
      <c r="AT905" s="3" t="s">
        <v>62</v>
      </c>
      <c r="AU905" s="6" t="str">
        <f>HYPERLINK("http://catalog.hathitrust.org/Record/000468482","HathiTrust Record")</f>
        <v>HathiTrust Record</v>
      </c>
      <c r="AV905" s="6" t="str">
        <f>HYPERLINK("http://mcgill.on.worldcat.org/oclc/1022297","Catalog Record")</f>
        <v>Catalog Record</v>
      </c>
      <c r="AW905" s="6" t="str">
        <f>HYPERLINK("http://www.worldcat.org/oclc/1022297","WorldCat Record")</f>
        <v>WorldCat Record</v>
      </c>
      <c r="AX905" s="3" t="s">
        <v>9128</v>
      </c>
      <c r="AY905" s="3" t="s">
        <v>9129</v>
      </c>
      <c r="AZ905" s="3" t="s">
        <v>9130</v>
      </c>
      <c r="BA905" s="3" t="s">
        <v>9130</v>
      </c>
      <c r="BB905" s="3" t="s">
        <v>9131</v>
      </c>
      <c r="BC905" s="3" t="s">
        <v>102</v>
      </c>
      <c r="BD905" s="3" t="s">
        <v>68</v>
      </c>
      <c r="BF905" s="3" t="s">
        <v>9131</v>
      </c>
      <c r="BG905" s="3" t="s">
        <v>9132</v>
      </c>
    </row>
    <row r="906" spans="1:59" ht="58" x14ac:dyDescent="0.35">
      <c r="A906" s="2" t="s">
        <v>89</v>
      </c>
      <c r="B906" s="2" t="s">
        <v>90</v>
      </c>
      <c r="C906" s="2" t="s">
        <v>9133</v>
      </c>
      <c r="D906" s="2" t="s">
        <v>9134</v>
      </c>
      <c r="E906" s="2" t="s">
        <v>9135</v>
      </c>
      <c r="G906" s="3" t="s">
        <v>62</v>
      </c>
      <c r="I906" s="3" t="s">
        <v>62</v>
      </c>
      <c r="J906" s="3" t="s">
        <v>62</v>
      </c>
      <c r="K906" s="3" t="s">
        <v>63</v>
      </c>
      <c r="L906" s="2" t="s">
        <v>9125</v>
      </c>
      <c r="M906" s="2" t="s">
        <v>9136</v>
      </c>
      <c r="N906" s="3" t="s">
        <v>7359</v>
      </c>
      <c r="P906" s="3" t="s">
        <v>64</v>
      </c>
      <c r="R906" s="3" t="s">
        <v>65</v>
      </c>
      <c r="S906" s="4">
        <v>24</v>
      </c>
      <c r="T906" s="4">
        <v>24</v>
      </c>
      <c r="U906" s="5" t="s">
        <v>9137</v>
      </c>
      <c r="V906" s="5" t="s">
        <v>9137</v>
      </c>
      <c r="W906" s="5" t="s">
        <v>67</v>
      </c>
      <c r="X906" s="5" t="s">
        <v>67</v>
      </c>
      <c r="Y906" s="4">
        <v>1</v>
      </c>
      <c r="Z906" s="4">
        <v>1</v>
      </c>
      <c r="AA906" s="4">
        <v>1</v>
      </c>
      <c r="AB906" s="4">
        <v>1</v>
      </c>
      <c r="AC906" s="4">
        <v>1</v>
      </c>
      <c r="AD906" s="4">
        <v>0</v>
      </c>
      <c r="AE906" s="4">
        <v>0</v>
      </c>
      <c r="AF906" s="4">
        <v>0</v>
      </c>
      <c r="AG906" s="4">
        <v>0</v>
      </c>
      <c r="AH906" s="4">
        <v>0</v>
      </c>
      <c r="AI906" s="4">
        <v>0</v>
      </c>
      <c r="AJ906" s="4">
        <v>0</v>
      </c>
      <c r="AK906" s="4">
        <v>0</v>
      </c>
      <c r="AL906" s="4">
        <v>0</v>
      </c>
      <c r="AM906" s="4">
        <v>0</v>
      </c>
      <c r="AN906" s="4">
        <v>0</v>
      </c>
      <c r="AO906" s="4">
        <v>0</v>
      </c>
      <c r="AP906" s="4">
        <v>0</v>
      </c>
      <c r="AQ906" s="4">
        <v>0</v>
      </c>
      <c r="AR906" s="3" t="s">
        <v>62</v>
      </c>
      <c r="AS906" s="3" t="s">
        <v>62</v>
      </c>
      <c r="AT906" s="3" t="s">
        <v>62</v>
      </c>
      <c r="AV906" s="6" t="str">
        <f>HYPERLINK("http://mcgill.on.worldcat.org/oclc/61585663","Catalog Record")</f>
        <v>Catalog Record</v>
      </c>
      <c r="AW906" s="6" t="str">
        <f>HYPERLINK("http://www.worldcat.org/oclc/61585663","WorldCat Record")</f>
        <v>WorldCat Record</v>
      </c>
      <c r="AX906" s="3" t="s">
        <v>9138</v>
      </c>
      <c r="AY906" s="3" t="s">
        <v>9139</v>
      </c>
      <c r="AZ906" s="3" t="s">
        <v>9140</v>
      </c>
      <c r="BA906" s="3" t="s">
        <v>9140</v>
      </c>
      <c r="BB906" s="3" t="s">
        <v>9141</v>
      </c>
      <c r="BC906" s="3" t="s">
        <v>102</v>
      </c>
      <c r="BD906" s="3" t="s">
        <v>68</v>
      </c>
      <c r="BF906" s="3" t="s">
        <v>9141</v>
      </c>
      <c r="BG906" s="3" t="s">
        <v>9142</v>
      </c>
    </row>
    <row r="907" spans="1:59" ht="58" x14ac:dyDescent="0.35">
      <c r="A907" s="2" t="s">
        <v>89</v>
      </c>
      <c r="B907" s="2" t="s">
        <v>90</v>
      </c>
      <c r="C907" s="2" t="s">
        <v>9143</v>
      </c>
      <c r="D907" s="2" t="s">
        <v>9144</v>
      </c>
      <c r="E907" s="2" t="s">
        <v>9145</v>
      </c>
      <c r="G907" s="3" t="s">
        <v>62</v>
      </c>
      <c r="I907" s="3" t="s">
        <v>61</v>
      </c>
      <c r="J907" s="3" t="s">
        <v>62</v>
      </c>
      <c r="K907" s="3" t="s">
        <v>63</v>
      </c>
      <c r="L907" s="2" t="s">
        <v>9125</v>
      </c>
      <c r="M907" s="2" t="s">
        <v>9146</v>
      </c>
      <c r="N907" s="3" t="s">
        <v>795</v>
      </c>
      <c r="O907" s="2" t="s">
        <v>9147</v>
      </c>
      <c r="P907" s="3" t="s">
        <v>64</v>
      </c>
      <c r="Q907" s="2" t="s">
        <v>9148</v>
      </c>
      <c r="R907" s="3" t="s">
        <v>65</v>
      </c>
      <c r="S907" s="4">
        <v>12</v>
      </c>
      <c r="T907" s="4">
        <v>52</v>
      </c>
      <c r="U907" s="5" t="s">
        <v>9149</v>
      </c>
      <c r="V907" s="5" t="s">
        <v>9150</v>
      </c>
      <c r="W907" s="5" t="s">
        <v>67</v>
      </c>
      <c r="X907" s="5" t="s">
        <v>67</v>
      </c>
      <c r="Y907" s="4">
        <v>533</v>
      </c>
      <c r="Z907" s="4">
        <v>27</v>
      </c>
      <c r="AA907" s="4">
        <v>79</v>
      </c>
      <c r="AB907" s="4">
        <v>3</v>
      </c>
      <c r="AC907" s="4">
        <v>13</v>
      </c>
      <c r="AD907" s="4">
        <v>89</v>
      </c>
      <c r="AE907" s="4">
        <v>160</v>
      </c>
      <c r="AF907" s="4">
        <v>1</v>
      </c>
      <c r="AG907" s="4">
        <v>6</v>
      </c>
      <c r="AH907" s="4">
        <v>75</v>
      </c>
      <c r="AI907" s="4">
        <v>116</v>
      </c>
      <c r="AJ907" s="4">
        <v>15</v>
      </c>
      <c r="AK907" s="4">
        <v>28</v>
      </c>
      <c r="AL907" s="4">
        <v>39</v>
      </c>
      <c r="AM907" s="4">
        <v>65</v>
      </c>
      <c r="AN907" s="4">
        <v>0</v>
      </c>
      <c r="AO907" s="4">
        <v>5</v>
      </c>
      <c r="AP907" s="4">
        <v>21</v>
      </c>
      <c r="AQ907" s="4">
        <v>47</v>
      </c>
      <c r="AR907" s="3" t="s">
        <v>62</v>
      </c>
      <c r="AS907" s="3" t="s">
        <v>62</v>
      </c>
      <c r="AT907" s="3" t="s">
        <v>61</v>
      </c>
      <c r="AU907" s="6" t="str">
        <f>HYPERLINK("http://catalog.hathitrust.org/Record/001474752","HathiTrust Record")</f>
        <v>HathiTrust Record</v>
      </c>
      <c r="AV907" s="6" t="str">
        <f>HYPERLINK("http://mcgill.on.worldcat.org/oclc/522365","Catalog Record")</f>
        <v>Catalog Record</v>
      </c>
      <c r="AW907" s="6" t="str">
        <f>HYPERLINK("http://www.worldcat.org/oclc/522365","WorldCat Record")</f>
        <v>WorldCat Record</v>
      </c>
      <c r="AX907" s="3" t="s">
        <v>9151</v>
      </c>
      <c r="AY907" s="3" t="s">
        <v>9152</v>
      </c>
      <c r="AZ907" s="3" t="s">
        <v>9153</v>
      </c>
      <c r="BA907" s="3" t="s">
        <v>9153</v>
      </c>
      <c r="BB907" s="3" t="s">
        <v>9154</v>
      </c>
      <c r="BC907" s="3" t="s">
        <v>102</v>
      </c>
      <c r="BD907" s="3" t="s">
        <v>68</v>
      </c>
      <c r="BF907" s="3" t="s">
        <v>9154</v>
      </c>
      <c r="BG907" s="3" t="s">
        <v>9155</v>
      </c>
    </row>
    <row r="908" spans="1:59" ht="58" x14ac:dyDescent="0.35">
      <c r="A908" s="2" t="s">
        <v>89</v>
      </c>
      <c r="B908" s="2" t="s">
        <v>90</v>
      </c>
      <c r="C908" s="2" t="s">
        <v>9143</v>
      </c>
      <c r="D908" s="2" t="s">
        <v>9144</v>
      </c>
      <c r="E908" s="2" t="s">
        <v>9145</v>
      </c>
      <c r="G908" s="3" t="s">
        <v>62</v>
      </c>
      <c r="I908" s="3" t="s">
        <v>61</v>
      </c>
      <c r="J908" s="3" t="s">
        <v>62</v>
      </c>
      <c r="K908" s="3" t="s">
        <v>63</v>
      </c>
      <c r="L908" s="2" t="s">
        <v>9125</v>
      </c>
      <c r="M908" s="2" t="s">
        <v>9146</v>
      </c>
      <c r="N908" s="3" t="s">
        <v>795</v>
      </c>
      <c r="O908" s="2" t="s">
        <v>9147</v>
      </c>
      <c r="P908" s="3" t="s">
        <v>64</v>
      </c>
      <c r="Q908" s="2" t="s">
        <v>9148</v>
      </c>
      <c r="R908" s="3" t="s">
        <v>65</v>
      </c>
      <c r="S908" s="4">
        <v>40</v>
      </c>
      <c r="T908" s="4">
        <v>52</v>
      </c>
      <c r="U908" s="5" t="s">
        <v>9150</v>
      </c>
      <c r="V908" s="5" t="s">
        <v>9150</v>
      </c>
      <c r="W908" s="5" t="s">
        <v>67</v>
      </c>
      <c r="X908" s="5" t="s">
        <v>67</v>
      </c>
      <c r="Y908" s="4">
        <v>533</v>
      </c>
      <c r="Z908" s="4">
        <v>27</v>
      </c>
      <c r="AA908" s="4">
        <v>79</v>
      </c>
      <c r="AB908" s="4">
        <v>3</v>
      </c>
      <c r="AC908" s="4">
        <v>13</v>
      </c>
      <c r="AD908" s="4">
        <v>89</v>
      </c>
      <c r="AE908" s="4">
        <v>160</v>
      </c>
      <c r="AF908" s="4">
        <v>1</v>
      </c>
      <c r="AG908" s="4">
        <v>6</v>
      </c>
      <c r="AH908" s="4">
        <v>75</v>
      </c>
      <c r="AI908" s="4">
        <v>116</v>
      </c>
      <c r="AJ908" s="4">
        <v>15</v>
      </c>
      <c r="AK908" s="4">
        <v>28</v>
      </c>
      <c r="AL908" s="4">
        <v>39</v>
      </c>
      <c r="AM908" s="4">
        <v>65</v>
      </c>
      <c r="AN908" s="4">
        <v>0</v>
      </c>
      <c r="AO908" s="4">
        <v>5</v>
      </c>
      <c r="AP908" s="4">
        <v>21</v>
      </c>
      <c r="AQ908" s="4">
        <v>47</v>
      </c>
      <c r="AR908" s="3" t="s">
        <v>62</v>
      </c>
      <c r="AS908" s="3" t="s">
        <v>62</v>
      </c>
      <c r="AT908" s="3" t="s">
        <v>61</v>
      </c>
      <c r="AU908" s="6" t="str">
        <f>HYPERLINK("http://catalog.hathitrust.org/Record/001474752","HathiTrust Record")</f>
        <v>HathiTrust Record</v>
      </c>
      <c r="AV908" s="6" t="str">
        <f>HYPERLINK("http://mcgill.on.worldcat.org/oclc/522365","Catalog Record")</f>
        <v>Catalog Record</v>
      </c>
      <c r="AW908" s="6" t="str">
        <f>HYPERLINK("http://www.worldcat.org/oclc/522365","WorldCat Record")</f>
        <v>WorldCat Record</v>
      </c>
      <c r="AX908" s="3" t="s">
        <v>9151</v>
      </c>
      <c r="AY908" s="3" t="s">
        <v>9152</v>
      </c>
      <c r="AZ908" s="3" t="s">
        <v>9153</v>
      </c>
      <c r="BA908" s="3" t="s">
        <v>9153</v>
      </c>
      <c r="BB908" s="3" t="s">
        <v>9156</v>
      </c>
      <c r="BC908" s="3" t="s">
        <v>102</v>
      </c>
      <c r="BD908" s="3" t="s">
        <v>68</v>
      </c>
      <c r="BF908" s="3" t="s">
        <v>9156</v>
      </c>
      <c r="BG908" s="3" t="s">
        <v>9157</v>
      </c>
    </row>
    <row r="909" spans="1:59" ht="58" x14ac:dyDescent="0.35">
      <c r="A909" s="2" t="s">
        <v>89</v>
      </c>
      <c r="B909" s="2" t="s">
        <v>90</v>
      </c>
      <c r="C909" s="2" t="s">
        <v>9158</v>
      </c>
      <c r="D909" s="2" t="s">
        <v>9159</v>
      </c>
      <c r="E909" s="2" t="s">
        <v>9160</v>
      </c>
      <c r="G909" s="3" t="s">
        <v>62</v>
      </c>
      <c r="I909" s="3" t="s">
        <v>61</v>
      </c>
      <c r="J909" s="3" t="s">
        <v>62</v>
      </c>
      <c r="K909" s="3" t="s">
        <v>63</v>
      </c>
      <c r="L909" s="2" t="s">
        <v>9125</v>
      </c>
      <c r="M909" s="2" t="s">
        <v>9161</v>
      </c>
      <c r="N909" s="3" t="s">
        <v>954</v>
      </c>
      <c r="P909" s="3" t="s">
        <v>64</v>
      </c>
      <c r="Q909" s="2" t="s">
        <v>9162</v>
      </c>
      <c r="R909" s="3" t="s">
        <v>65</v>
      </c>
      <c r="S909" s="4">
        <v>20</v>
      </c>
      <c r="T909" s="4">
        <v>31</v>
      </c>
      <c r="U909" s="5" t="s">
        <v>9163</v>
      </c>
      <c r="V909" s="5" t="s">
        <v>84</v>
      </c>
      <c r="W909" s="5" t="s">
        <v>67</v>
      </c>
      <c r="X909" s="5" t="s">
        <v>67</v>
      </c>
      <c r="Y909" s="4">
        <v>6</v>
      </c>
      <c r="Z909" s="4">
        <v>6</v>
      </c>
      <c r="AA909" s="4">
        <v>6</v>
      </c>
      <c r="AB909" s="4">
        <v>1</v>
      </c>
      <c r="AC909" s="4">
        <v>1</v>
      </c>
      <c r="AD909" s="4">
        <v>2</v>
      </c>
      <c r="AE909" s="4">
        <v>2</v>
      </c>
      <c r="AF909" s="4">
        <v>0</v>
      </c>
      <c r="AG909" s="4">
        <v>0</v>
      </c>
      <c r="AH909" s="4">
        <v>2</v>
      </c>
      <c r="AI909" s="4">
        <v>2</v>
      </c>
      <c r="AJ909" s="4">
        <v>2</v>
      </c>
      <c r="AK909" s="4">
        <v>2</v>
      </c>
      <c r="AL909" s="4">
        <v>1</v>
      </c>
      <c r="AM909" s="4">
        <v>1</v>
      </c>
      <c r="AN909" s="4">
        <v>0</v>
      </c>
      <c r="AO909" s="4">
        <v>0</v>
      </c>
      <c r="AP909" s="4">
        <v>2</v>
      </c>
      <c r="AQ909" s="4">
        <v>2</v>
      </c>
      <c r="AR909" s="3" t="s">
        <v>62</v>
      </c>
      <c r="AS909" s="3" t="s">
        <v>62</v>
      </c>
      <c r="AT909" s="3" t="s">
        <v>61</v>
      </c>
      <c r="AU909" s="6" t="str">
        <f>HYPERLINK("http://catalog.hathitrust.org/Record/001474752","HathiTrust Record")</f>
        <v>HathiTrust Record</v>
      </c>
      <c r="AV909" s="6" t="str">
        <f>HYPERLINK("http://mcgill.on.worldcat.org/oclc/427144711","Catalog Record")</f>
        <v>Catalog Record</v>
      </c>
      <c r="AW909" s="6" t="str">
        <f>HYPERLINK("http://www.worldcat.org/oclc/427144711","WorldCat Record")</f>
        <v>WorldCat Record</v>
      </c>
      <c r="AX909" s="3" t="s">
        <v>9164</v>
      </c>
      <c r="AY909" s="3" t="s">
        <v>9165</v>
      </c>
      <c r="AZ909" s="3" t="s">
        <v>9166</v>
      </c>
      <c r="BA909" s="3" t="s">
        <v>9166</v>
      </c>
      <c r="BB909" s="3" t="s">
        <v>9167</v>
      </c>
      <c r="BC909" s="3" t="s">
        <v>102</v>
      </c>
      <c r="BD909" s="3" t="s">
        <v>68</v>
      </c>
      <c r="BF909" s="3" t="s">
        <v>9167</v>
      </c>
      <c r="BG909" s="3" t="s">
        <v>9168</v>
      </c>
    </row>
    <row r="910" spans="1:59" ht="58" x14ac:dyDescent="0.35">
      <c r="A910" s="2" t="s">
        <v>89</v>
      </c>
      <c r="B910" s="2" t="s">
        <v>90</v>
      </c>
      <c r="C910" s="2" t="s">
        <v>9158</v>
      </c>
      <c r="D910" s="2" t="s">
        <v>9159</v>
      </c>
      <c r="E910" s="2" t="s">
        <v>9160</v>
      </c>
      <c r="G910" s="3" t="s">
        <v>62</v>
      </c>
      <c r="I910" s="3" t="s">
        <v>61</v>
      </c>
      <c r="J910" s="3" t="s">
        <v>62</v>
      </c>
      <c r="K910" s="3" t="s">
        <v>63</v>
      </c>
      <c r="L910" s="2" t="s">
        <v>9125</v>
      </c>
      <c r="M910" s="2" t="s">
        <v>9161</v>
      </c>
      <c r="N910" s="3" t="s">
        <v>954</v>
      </c>
      <c r="P910" s="3" t="s">
        <v>64</v>
      </c>
      <c r="Q910" s="2" t="s">
        <v>9162</v>
      </c>
      <c r="R910" s="3" t="s">
        <v>65</v>
      </c>
      <c r="S910" s="4">
        <v>11</v>
      </c>
      <c r="T910" s="4">
        <v>31</v>
      </c>
      <c r="U910" s="5" t="s">
        <v>84</v>
      </c>
      <c r="V910" s="5" t="s">
        <v>84</v>
      </c>
      <c r="W910" s="5" t="s">
        <v>67</v>
      </c>
      <c r="X910" s="5" t="s">
        <v>67</v>
      </c>
      <c r="Y910" s="4">
        <v>6</v>
      </c>
      <c r="Z910" s="4">
        <v>6</v>
      </c>
      <c r="AA910" s="4">
        <v>6</v>
      </c>
      <c r="AB910" s="4">
        <v>1</v>
      </c>
      <c r="AC910" s="4">
        <v>1</v>
      </c>
      <c r="AD910" s="4">
        <v>2</v>
      </c>
      <c r="AE910" s="4">
        <v>2</v>
      </c>
      <c r="AF910" s="4">
        <v>0</v>
      </c>
      <c r="AG910" s="4">
        <v>0</v>
      </c>
      <c r="AH910" s="4">
        <v>2</v>
      </c>
      <c r="AI910" s="4">
        <v>2</v>
      </c>
      <c r="AJ910" s="4">
        <v>2</v>
      </c>
      <c r="AK910" s="4">
        <v>2</v>
      </c>
      <c r="AL910" s="4">
        <v>1</v>
      </c>
      <c r="AM910" s="4">
        <v>1</v>
      </c>
      <c r="AN910" s="4">
        <v>0</v>
      </c>
      <c r="AO910" s="4">
        <v>0</v>
      </c>
      <c r="AP910" s="4">
        <v>2</v>
      </c>
      <c r="AQ910" s="4">
        <v>2</v>
      </c>
      <c r="AR910" s="3" t="s">
        <v>62</v>
      </c>
      <c r="AS910" s="3" t="s">
        <v>62</v>
      </c>
      <c r="AT910" s="3" t="s">
        <v>61</v>
      </c>
      <c r="AU910" s="6" t="str">
        <f>HYPERLINK("http://catalog.hathitrust.org/Record/001474752","HathiTrust Record")</f>
        <v>HathiTrust Record</v>
      </c>
      <c r="AV910" s="6" t="str">
        <f>HYPERLINK("http://mcgill.on.worldcat.org/oclc/427144711","Catalog Record")</f>
        <v>Catalog Record</v>
      </c>
      <c r="AW910" s="6" t="str">
        <f>HYPERLINK("http://www.worldcat.org/oclc/427144711","WorldCat Record")</f>
        <v>WorldCat Record</v>
      </c>
      <c r="AX910" s="3" t="s">
        <v>9164</v>
      </c>
      <c r="AY910" s="3" t="s">
        <v>9165</v>
      </c>
      <c r="AZ910" s="3" t="s">
        <v>9166</v>
      </c>
      <c r="BA910" s="3" t="s">
        <v>9166</v>
      </c>
      <c r="BB910" s="3" t="s">
        <v>9169</v>
      </c>
      <c r="BC910" s="3" t="s">
        <v>102</v>
      </c>
      <c r="BD910" s="3" t="s">
        <v>231</v>
      </c>
      <c r="BF910" s="3" t="s">
        <v>9169</v>
      </c>
      <c r="BG910" s="3" t="s">
        <v>9170</v>
      </c>
    </row>
    <row r="911" spans="1:59" ht="116" x14ac:dyDescent="0.35">
      <c r="A911" s="2" t="s">
        <v>89</v>
      </c>
      <c r="B911" s="2" t="s">
        <v>3312</v>
      </c>
      <c r="C911" s="2" t="s">
        <v>9171</v>
      </c>
      <c r="D911" s="2" t="s">
        <v>9172</v>
      </c>
      <c r="E911" s="2" t="s">
        <v>9173</v>
      </c>
      <c r="G911" s="3" t="s">
        <v>62</v>
      </c>
      <c r="I911" s="3" t="s">
        <v>62</v>
      </c>
      <c r="J911" s="3" t="s">
        <v>62</v>
      </c>
      <c r="K911" s="3" t="s">
        <v>63</v>
      </c>
      <c r="L911" s="2" t="s">
        <v>9174</v>
      </c>
      <c r="M911" s="2" t="s">
        <v>9175</v>
      </c>
      <c r="N911" s="3" t="s">
        <v>625</v>
      </c>
      <c r="O911" s="2" t="s">
        <v>1674</v>
      </c>
      <c r="P911" s="3" t="s">
        <v>1675</v>
      </c>
      <c r="R911" s="3" t="s">
        <v>65</v>
      </c>
      <c r="S911" s="4">
        <v>4</v>
      </c>
      <c r="T911" s="4">
        <v>4</v>
      </c>
      <c r="U911" s="5" t="s">
        <v>5405</v>
      </c>
      <c r="V911" s="5" t="s">
        <v>5405</v>
      </c>
      <c r="W911" s="5" t="s">
        <v>67</v>
      </c>
      <c r="X911" s="5" t="s">
        <v>67</v>
      </c>
      <c r="Y911" s="4">
        <v>8</v>
      </c>
      <c r="Z911" s="4">
        <v>2</v>
      </c>
      <c r="AA911" s="4">
        <v>2</v>
      </c>
      <c r="AB911" s="4">
        <v>1</v>
      </c>
      <c r="AC911" s="4">
        <v>1</v>
      </c>
      <c r="AD911" s="4">
        <v>3</v>
      </c>
      <c r="AE911" s="4">
        <v>3</v>
      </c>
      <c r="AF911" s="4">
        <v>0</v>
      </c>
      <c r="AG911" s="4">
        <v>0</v>
      </c>
      <c r="AH911" s="4">
        <v>3</v>
      </c>
      <c r="AI911" s="4">
        <v>3</v>
      </c>
      <c r="AJ911" s="4">
        <v>1</v>
      </c>
      <c r="AK911" s="4">
        <v>1</v>
      </c>
      <c r="AL911" s="4">
        <v>1</v>
      </c>
      <c r="AM911" s="4">
        <v>1</v>
      </c>
      <c r="AN911" s="4">
        <v>0</v>
      </c>
      <c r="AO911" s="4">
        <v>0</v>
      </c>
      <c r="AP911" s="4">
        <v>1</v>
      </c>
      <c r="AQ911" s="4">
        <v>1</v>
      </c>
      <c r="AR911" s="3" t="s">
        <v>62</v>
      </c>
      <c r="AS911" s="3" t="s">
        <v>62</v>
      </c>
      <c r="AT911" s="3" t="s">
        <v>62</v>
      </c>
      <c r="AV911" s="6" t="str">
        <f>HYPERLINK("http://mcgill.on.worldcat.org/oclc/53065383","Catalog Record")</f>
        <v>Catalog Record</v>
      </c>
      <c r="AW911" s="6" t="str">
        <f>HYPERLINK("http://www.worldcat.org/oclc/53065383","WorldCat Record")</f>
        <v>WorldCat Record</v>
      </c>
      <c r="AX911" s="3" t="s">
        <v>9176</v>
      </c>
      <c r="AY911" s="3" t="s">
        <v>9177</v>
      </c>
      <c r="AZ911" s="3" t="s">
        <v>9178</v>
      </c>
      <c r="BA911" s="3" t="s">
        <v>9178</v>
      </c>
      <c r="BB911" s="3" t="s">
        <v>9179</v>
      </c>
      <c r="BC911" s="3" t="s">
        <v>102</v>
      </c>
      <c r="BD911" s="3" t="s">
        <v>68</v>
      </c>
      <c r="BE911" s="3" t="s">
        <v>9180</v>
      </c>
      <c r="BF911" s="3" t="s">
        <v>9179</v>
      </c>
      <c r="BG911" s="3" t="s">
        <v>9181</v>
      </c>
    </row>
    <row r="912" spans="1:59" ht="58" x14ac:dyDescent="0.35">
      <c r="A912" s="2" t="s">
        <v>89</v>
      </c>
      <c r="B912" s="2" t="s">
        <v>90</v>
      </c>
      <c r="C912" s="2" t="s">
        <v>9182</v>
      </c>
      <c r="D912" s="2" t="s">
        <v>9183</v>
      </c>
      <c r="E912" s="2" t="s">
        <v>9184</v>
      </c>
      <c r="G912" s="3" t="s">
        <v>62</v>
      </c>
      <c r="I912" s="3" t="s">
        <v>62</v>
      </c>
      <c r="J912" s="3" t="s">
        <v>62</v>
      </c>
      <c r="K912" s="3" t="s">
        <v>63</v>
      </c>
      <c r="M912" s="2" t="s">
        <v>9185</v>
      </c>
      <c r="N912" s="3" t="s">
        <v>568</v>
      </c>
      <c r="P912" s="3" t="s">
        <v>64</v>
      </c>
      <c r="Q912" s="2" t="s">
        <v>9186</v>
      </c>
      <c r="R912" s="3" t="s">
        <v>65</v>
      </c>
      <c r="S912" s="4">
        <v>19</v>
      </c>
      <c r="T912" s="4">
        <v>19</v>
      </c>
      <c r="U912" s="5" t="s">
        <v>9187</v>
      </c>
      <c r="V912" s="5" t="s">
        <v>9187</v>
      </c>
      <c r="W912" s="5" t="s">
        <v>67</v>
      </c>
      <c r="X912" s="5" t="s">
        <v>67</v>
      </c>
      <c r="Y912" s="4">
        <v>5</v>
      </c>
      <c r="Z912" s="4">
        <v>1</v>
      </c>
      <c r="AA912" s="4">
        <v>12</v>
      </c>
      <c r="AB912" s="4">
        <v>1</v>
      </c>
      <c r="AC912" s="4">
        <v>4</v>
      </c>
      <c r="AD912" s="4">
        <v>1</v>
      </c>
      <c r="AE912" s="4">
        <v>63</v>
      </c>
      <c r="AF912" s="4">
        <v>0</v>
      </c>
      <c r="AG912" s="4">
        <v>2</v>
      </c>
      <c r="AH912" s="4">
        <v>1</v>
      </c>
      <c r="AI912" s="4">
        <v>56</v>
      </c>
      <c r="AJ912" s="4">
        <v>0</v>
      </c>
      <c r="AK912" s="4">
        <v>7</v>
      </c>
      <c r="AL912" s="4">
        <v>1</v>
      </c>
      <c r="AM912" s="4">
        <v>38</v>
      </c>
      <c r="AN912" s="4">
        <v>0</v>
      </c>
      <c r="AO912" s="4">
        <v>0</v>
      </c>
      <c r="AP912" s="4">
        <v>0</v>
      </c>
      <c r="AQ912" s="4">
        <v>9</v>
      </c>
      <c r="AR912" s="3" t="s">
        <v>62</v>
      </c>
      <c r="AS912" s="3" t="s">
        <v>62</v>
      </c>
      <c r="AT912" s="3" t="s">
        <v>62</v>
      </c>
      <c r="AV912" s="6" t="str">
        <f>HYPERLINK("http://mcgill.on.worldcat.org/oclc/50662958","Catalog Record")</f>
        <v>Catalog Record</v>
      </c>
      <c r="AW912" s="6" t="str">
        <f>HYPERLINK("http://www.worldcat.org/oclc/50662958","WorldCat Record")</f>
        <v>WorldCat Record</v>
      </c>
      <c r="AX912" s="3" t="s">
        <v>9188</v>
      </c>
      <c r="AY912" s="3" t="s">
        <v>9189</v>
      </c>
      <c r="AZ912" s="3" t="s">
        <v>9190</v>
      </c>
      <c r="BA912" s="3" t="s">
        <v>9190</v>
      </c>
      <c r="BB912" s="3" t="s">
        <v>9191</v>
      </c>
      <c r="BC912" s="3" t="s">
        <v>102</v>
      </c>
      <c r="BD912" s="3" t="s">
        <v>68</v>
      </c>
      <c r="BE912" s="3" t="s">
        <v>9192</v>
      </c>
      <c r="BF912" s="3" t="s">
        <v>9191</v>
      </c>
      <c r="BG912" s="3" t="s">
        <v>9193</v>
      </c>
    </row>
    <row r="913" spans="1:59" ht="58" x14ac:dyDescent="0.35">
      <c r="A913" s="2" t="s">
        <v>89</v>
      </c>
      <c r="B913" s="2" t="s">
        <v>90</v>
      </c>
      <c r="C913" s="2" t="s">
        <v>9194</v>
      </c>
      <c r="D913" s="2" t="s">
        <v>9195</v>
      </c>
      <c r="E913" s="2" t="s">
        <v>9196</v>
      </c>
      <c r="G913" s="3" t="s">
        <v>62</v>
      </c>
      <c r="I913" s="3" t="s">
        <v>62</v>
      </c>
      <c r="J913" s="3" t="s">
        <v>62</v>
      </c>
      <c r="K913" s="3" t="s">
        <v>63</v>
      </c>
      <c r="M913" s="2" t="s">
        <v>7049</v>
      </c>
      <c r="N913" s="3" t="s">
        <v>3062</v>
      </c>
      <c r="P913" s="3" t="s">
        <v>64</v>
      </c>
      <c r="Q913" s="2" t="s">
        <v>9197</v>
      </c>
      <c r="R913" s="3" t="s">
        <v>65</v>
      </c>
      <c r="S913" s="4">
        <v>10</v>
      </c>
      <c r="T913" s="4">
        <v>10</v>
      </c>
      <c r="U913" s="5" t="s">
        <v>6932</v>
      </c>
      <c r="V913" s="5" t="s">
        <v>6932</v>
      </c>
      <c r="W913" s="5" t="s">
        <v>67</v>
      </c>
      <c r="X913" s="5" t="s">
        <v>67</v>
      </c>
      <c r="Y913" s="4">
        <v>145</v>
      </c>
      <c r="Z913" s="4">
        <v>14</v>
      </c>
      <c r="AA913" s="4">
        <v>15</v>
      </c>
      <c r="AB913" s="4">
        <v>1</v>
      </c>
      <c r="AC913" s="4">
        <v>2</v>
      </c>
      <c r="AD913" s="4">
        <v>70</v>
      </c>
      <c r="AE913" s="4">
        <v>71</v>
      </c>
      <c r="AF913" s="4">
        <v>0</v>
      </c>
      <c r="AG913" s="4">
        <v>1</v>
      </c>
      <c r="AH913" s="4">
        <v>62</v>
      </c>
      <c r="AI913" s="4">
        <v>62</v>
      </c>
      <c r="AJ913" s="4">
        <v>8</v>
      </c>
      <c r="AK913" s="4">
        <v>9</v>
      </c>
      <c r="AL913" s="4">
        <v>40</v>
      </c>
      <c r="AM913" s="4">
        <v>40</v>
      </c>
      <c r="AN913" s="4">
        <v>0</v>
      </c>
      <c r="AO913" s="4">
        <v>0</v>
      </c>
      <c r="AP913" s="4">
        <v>10</v>
      </c>
      <c r="AQ913" s="4">
        <v>10</v>
      </c>
      <c r="AR913" s="3" t="s">
        <v>62</v>
      </c>
      <c r="AS913" s="3" t="s">
        <v>62</v>
      </c>
      <c r="AT913" s="3" t="s">
        <v>62</v>
      </c>
      <c r="AV913" s="6" t="str">
        <f>HYPERLINK("http://mcgill.on.worldcat.org/oclc/23583008","Catalog Record")</f>
        <v>Catalog Record</v>
      </c>
      <c r="AW913" s="6" t="str">
        <f>HYPERLINK("http://www.worldcat.org/oclc/23583008","WorldCat Record")</f>
        <v>WorldCat Record</v>
      </c>
      <c r="AX913" s="3" t="s">
        <v>9198</v>
      </c>
      <c r="AY913" s="3" t="s">
        <v>9199</v>
      </c>
      <c r="AZ913" s="3" t="s">
        <v>9200</v>
      </c>
      <c r="BA913" s="3" t="s">
        <v>9200</v>
      </c>
      <c r="BB913" s="3" t="s">
        <v>9201</v>
      </c>
      <c r="BC913" s="3" t="s">
        <v>102</v>
      </c>
      <c r="BD913" s="3" t="s">
        <v>68</v>
      </c>
      <c r="BE913" s="3" t="s">
        <v>9202</v>
      </c>
      <c r="BF913" s="3" t="s">
        <v>9201</v>
      </c>
      <c r="BG913" s="3" t="s">
        <v>9203</v>
      </c>
    </row>
    <row r="914" spans="1:59" ht="72.5" x14ac:dyDescent="0.35">
      <c r="A914" s="2" t="s">
        <v>89</v>
      </c>
      <c r="B914" s="2" t="s">
        <v>90</v>
      </c>
      <c r="C914" s="2" t="s">
        <v>9204</v>
      </c>
      <c r="D914" s="2" t="s">
        <v>9205</v>
      </c>
      <c r="E914" s="2" t="s">
        <v>9206</v>
      </c>
      <c r="G914" s="3" t="s">
        <v>62</v>
      </c>
      <c r="I914" s="3" t="s">
        <v>61</v>
      </c>
      <c r="J914" s="3" t="s">
        <v>62</v>
      </c>
      <c r="K914" s="3" t="s">
        <v>63</v>
      </c>
      <c r="L914" s="2" t="s">
        <v>8175</v>
      </c>
      <c r="M914" s="2" t="s">
        <v>9207</v>
      </c>
      <c r="N914" s="3" t="s">
        <v>95</v>
      </c>
      <c r="P914" s="3" t="s">
        <v>64</v>
      </c>
      <c r="Q914" s="2" t="s">
        <v>9208</v>
      </c>
      <c r="R914" s="3" t="s">
        <v>65</v>
      </c>
      <c r="S914" s="4">
        <v>14</v>
      </c>
      <c r="T914" s="4">
        <v>26</v>
      </c>
      <c r="U914" s="5" t="s">
        <v>8979</v>
      </c>
      <c r="V914" s="5" t="s">
        <v>8979</v>
      </c>
      <c r="W914" s="5" t="s">
        <v>67</v>
      </c>
      <c r="X914" s="5" t="s">
        <v>67</v>
      </c>
      <c r="Y914" s="4">
        <v>463</v>
      </c>
      <c r="Z914" s="4">
        <v>28</v>
      </c>
      <c r="AA914" s="4">
        <v>34</v>
      </c>
      <c r="AB914" s="4">
        <v>1</v>
      </c>
      <c r="AC914" s="4">
        <v>6</v>
      </c>
      <c r="AD914" s="4">
        <v>109</v>
      </c>
      <c r="AE914" s="4">
        <v>114</v>
      </c>
      <c r="AF914" s="4">
        <v>0</v>
      </c>
      <c r="AG914" s="4">
        <v>3</v>
      </c>
      <c r="AH914" s="4">
        <v>95</v>
      </c>
      <c r="AI914" s="4">
        <v>97</v>
      </c>
      <c r="AJ914" s="4">
        <v>18</v>
      </c>
      <c r="AK914" s="4">
        <v>21</v>
      </c>
      <c r="AL914" s="4">
        <v>53</v>
      </c>
      <c r="AM914" s="4">
        <v>54</v>
      </c>
      <c r="AN914" s="4">
        <v>0</v>
      </c>
      <c r="AO914" s="4">
        <v>0</v>
      </c>
      <c r="AP914" s="4">
        <v>22</v>
      </c>
      <c r="AQ914" s="4">
        <v>25</v>
      </c>
      <c r="AR914" s="3" t="s">
        <v>62</v>
      </c>
      <c r="AS914" s="3" t="s">
        <v>62</v>
      </c>
      <c r="AT914" s="3" t="s">
        <v>61</v>
      </c>
      <c r="AU914" s="6" t="str">
        <f>HYPERLINK("http://catalog.hathitrust.org/Record/000168988","HathiTrust Record")</f>
        <v>HathiTrust Record</v>
      </c>
      <c r="AV914" s="6" t="str">
        <f>HYPERLINK("http://mcgill.on.worldcat.org/oclc/7814052","Catalog Record")</f>
        <v>Catalog Record</v>
      </c>
      <c r="AW914" s="6" t="str">
        <f>HYPERLINK("http://www.worldcat.org/oclc/7814052","WorldCat Record")</f>
        <v>WorldCat Record</v>
      </c>
      <c r="AX914" s="3" t="s">
        <v>9209</v>
      </c>
      <c r="AY914" s="3" t="s">
        <v>9210</v>
      </c>
      <c r="AZ914" s="3" t="s">
        <v>9211</v>
      </c>
      <c r="BA914" s="3" t="s">
        <v>9211</v>
      </c>
      <c r="BB914" s="3" t="s">
        <v>9212</v>
      </c>
      <c r="BC914" s="3" t="s">
        <v>102</v>
      </c>
      <c r="BD914" s="3" t="s">
        <v>68</v>
      </c>
      <c r="BE914" s="3" t="s">
        <v>9213</v>
      </c>
      <c r="BF914" s="3" t="s">
        <v>9212</v>
      </c>
      <c r="BG914" s="3" t="s">
        <v>9214</v>
      </c>
    </row>
    <row r="915" spans="1:59" ht="58" x14ac:dyDescent="0.35">
      <c r="A915" s="2" t="s">
        <v>89</v>
      </c>
      <c r="B915" s="2" t="s">
        <v>90</v>
      </c>
      <c r="C915" s="2" t="s">
        <v>9215</v>
      </c>
      <c r="D915" s="2" t="s">
        <v>9216</v>
      </c>
      <c r="E915" s="2" t="s">
        <v>9217</v>
      </c>
      <c r="G915" s="3" t="s">
        <v>62</v>
      </c>
      <c r="I915" s="3" t="s">
        <v>62</v>
      </c>
      <c r="J915" s="3" t="s">
        <v>62</v>
      </c>
      <c r="K915" s="3" t="s">
        <v>63</v>
      </c>
      <c r="L915" s="2" t="s">
        <v>9218</v>
      </c>
      <c r="M915" s="2" t="s">
        <v>9219</v>
      </c>
      <c r="N915" s="3" t="s">
        <v>596</v>
      </c>
      <c r="P915" s="3" t="s">
        <v>9220</v>
      </c>
      <c r="R915" s="3" t="s">
        <v>65</v>
      </c>
      <c r="S915" s="4">
        <v>3</v>
      </c>
      <c r="T915" s="4">
        <v>3</v>
      </c>
      <c r="U915" s="5" t="s">
        <v>9221</v>
      </c>
      <c r="V915" s="5" t="s">
        <v>9221</v>
      </c>
      <c r="W915" s="5" t="s">
        <v>67</v>
      </c>
      <c r="X915" s="5" t="s">
        <v>67</v>
      </c>
      <c r="Y915" s="4">
        <v>7</v>
      </c>
      <c r="Z915" s="4">
        <v>1</v>
      </c>
      <c r="AA915" s="4">
        <v>1</v>
      </c>
      <c r="AB915" s="4">
        <v>1</v>
      </c>
      <c r="AC915" s="4">
        <v>1</v>
      </c>
      <c r="AD915" s="4">
        <v>6</v>
      </c>
      <c r="AE915" s="4">
        <v>6</v>
      </c>
      <c r="AF915" s="4">
        <v>0</v>
      </c>
      <c r="AG915" s="4">
        <v>0</v>
      </c>
      <c r="AH915" s="4">
        <v>6</v>
      </c>
      <c r="AI915" s="4">
        <v>6</v>
      </c>
      <c r="AJ915" s="4">
        <v>0</v>
      </c>
      <c r="AK915" s="4">
        <v>0</v>
      </c>
      <c r="AL915" s="4">
        <v>4</v>
      </c>
      <c r="AM915" s="4">
        <v>4</v>
      </c>
      <c r="AN915" s="4">
        <v>0</v>
      </c>
      <c r="AO915" s="4">
        <v>0</v>
      </c>
      <c r="AP915" s="4">
        <v>0</v>
      </c>
      <c r="AQ915" s="4">
        <v>0</v>
      </c>
      <c r="AR915" s="3" t="s">
        <v>62</v>
      </c>
      <c r="AS915" s="3" t="s">
        <v>62</v>
      </c>
      <c r="AT915" s="3" t="s">
        <v>62</v>
      </c>
      <c r="AV915" s="6" t="str">
        <f>HYPERLINK("http://mcgill.on.worldcat.org/oclc/51326769","Catalog Record")</f>
        <v>Catalog Record</v>
      </c>
      <c r="AW915" s="6" t="str">
        <f>HYPERLINK("http://www.worldcat.org/oclc/51326769","WorldCat Record")</f>
        <v>WorldCat Record</v>
      </c>
      <c r="AX915" s="3" t="s">
        <v>9222</v>
      </c>
      <c r="AY915" s="3" t="s">
        <v>9223</v>
      </c>
      <c r="AZ915" s="3" t="s">
        <v>9224</v>
      </c>
      <c r="BA915" s="3" t="s">
        <v>9224</v>
      </c>
      <c r="BB915" s="3" t="s">
        <v>9225</v>
      </c>
      <c r="BC915" s="3" t="s">
        <v>102</v>
      </c>
      <c r="BD915" s="3" t="s">
        <v>68</v>
      </c>
      <c r="BF915" s="3" t="s">
        <v>9225</v>
      </c>
      <c r="BG915" s="3" t="s">
        <v>9226</v>
      </c>
    </row>
    <row r="916" spans="1:59" ht="58" x14ac:dyDescent="0.35">
      <c r="A916" s="2" t="s">
        <v>89</v>
      </c>
      <c r="B916" s="2" t="s">
        <v>90</v>
      </c>
      <c r="C916" s="2" t="s">
        <v>9227</v>
      </c>
      <c r="D916" s="2" t="s">
        <v>9228</v>
      </c>
      <c r="E916" s="2" t="s">
        <v>9229</v>
      </c>
      <c r="G916" s="3" t="s">
        <v>62</v>
      </c>
      <c r="I916" s="3" t="s">
        <v>62</v>
      </c>
      <c r="J916" s="3" t="s">
        <v>62</v>
      </c>
      <c r="K916" s="3" t="s">
        <v>63</v>
      </c>
      <c r="M916" s="2" t="s">
        <v>9230</v>
      </c>
      <c r="N916" s="3" t="s">
        <v>424</v>
      </c>
      <c r="P916" s="3" t="s">
        <v>64</v>
      </c>
      <c r="Q916" s="2" t="s">
        <v>9231</v>
      </c>
      <c r="R916" s="3" t="s">
        <v>65</v>
      </c>
      <c r="S916" s="4">
        <v>8</v>
      </c>
      <c r="T916" s="4">
        <v>8</v>
      </c>
      <c r="U916" s="5" t="s">
        <v>9232</v>
      </c>
      <c r="V916" s="5" t="s">
        <v>9232</v>
      </c>
      <c r="W916" s="5" t="s">
        <v>67</v>
      </c>
      <c r="X916" s="5" t="s">
        <v>67</v>
      </c>
      <c r="Y916" s="4">
        <v>338</v>
      </c>
      <c r="Z916" s="4">
        <v>14</v>
      </c>
      <c r="AA916" s="4">
        <v>17</v>
      </c>
      <c r="AB916" s="4">
        <v>1</v>
      </c>
      <c r="AC916" s="4">
        <v>4</v>
      </c>
      <c r="AD916" s="4">
        <v>101</v>
      </c>
      <c r="AE916" s="4">
        <v>104</v>
      </c>
      <c r="AF916" s="4">
        <v>0</v>
      </c>
      <c r="AG916" s="4">
        <v>3</v>
      </c>
      <c r="AH916" s="4">
        <v>92</v>
      </c>
      <c r="AI916" s="4">
        <v>93</v>
      </c>
      <c r="AJ916" s="4">
        <v>8</v>
      </c>
      <c r="AK916" s="4">
        <v>11</v>
      </c>
      <c r="AL916" s="4">
        <v>55</v>
      </c>
      <c r="AM916" s="4">
        <v>55</v>
      </c>
      <c r="AN916" s="4">
        <v>0</v>
      </c>
      <c r="AO916" s="4">
        <v>0</v>
      </c>
      <c r="AP916" s="4">
        <v>10</v>
      </c>
      <c r="AQ916" s="4">
        <v>12</v>
      </c>
      <c r="AR916" s="3" t="s">
        <v>62</v>
      </c>
      <c r="AS916" s="3" t="s">
        <v>62</v>
      </c>
      <c r="AT916" s="3" t="s">
        <v>62</v>
      </c>
      <c r="AV916" s="6" t="str">
        <f>HYPERLINK("http://mcgill.on.worldcat.org/oclc/17649691","Catalog Record")</f>
        <v>Catalog Record</v>
      </c>
      <c r="AW916" s="6" t="str">
        <f>HYPERLINK("http://www.worldcat.org/oclc/17649691","WorldCat Record")</f>
        <v>WorldCat Record</v>
      </c>
      <c r="AX916" s="3" t="s">
        <v>9233</v>
      </c>
      <c r="AY916" s="3" t="s">
        <v>9234</v>
      </c>
      <c r="AZ916" s="3" t="s">
        <v>9235</v>
      </c>
      <c r="BA916" s="3" t="s">
        <v>9235</v>
      </c>
      <c r="BB916" s="3" t="s">
        <v>9236</v>
      </c>
      <c r="BC916" s="3" t="s">
        <v>102</v>
      </c>
      <c r="BD916" s="3" t="s">
        <v>68</v>
      </c>
      <c r="BE916" s="3" t="s">
        <v>9237</v>
      </c>
      <c r="BF916" s="3" t="s">
        <v>9236</v>
      </c>
      <c r="BG916" s="3" t="s">
        <v>9238</v>
      </c>
    </row>
    <row r="917" spans="1:59" ht="58" x14ac:dyDescent="0.35">
      <c r="A917" s="2" t="s">
        <v>89</v>
      </c>
      <c r="B917" s="2" t="s">
        <v>90</v>
      </c>
      <c r="C917" s="2" t="s">
        <v>9239</v>
      </c>
      <c r="D917" s="2" t="s">
        <v>9240</v>
      </c>
      <c r="E917" s="2" t="s">
        <v>9241</v>
      </c>
      <c r="G917" s="3" t="s">
        <v>62</v>
      </c>
      <c r="I917" s="3" t="s">
        <v>61</v>
      </c>
      <c r="J917" s="3" t="s">
        <v>62</v>
      </c>
      <c r="K917" s="3" t="s">
        <v>63</v>
      </c>
      <c r="M917" s="2" t="s">
        <v>9242</v>
      </c>
      <c r="N917" s="3" t="s">
        <v>285</v>
      </c>
      <c r="P917" s="3" t="s">
        <v>64</v>
      </c>
      <c r="R917" s="3" t="s">
        <v>65</v>
      </c>
      <c r="S917" s="4">
        <v>43</v>
      </c>
      <c r="T917" s="4">
        <v>43</v>
      </c>
      <c r="U917" s="5" t="s">
        <v>9243</v>
      </c>
      <c r="V917" s="5" t="s">
        <v>9243</v>
      </c>
      <c r="W917" s="5" t="s">
        <v>67</v>
      </c>
      <c r="X917" s="5" t="s">
        <v>67</v>
      </c>
      <c r="Y917" s="4">
        <v>927</v>
      </c>
      <c r="Z917" s="4">
        <v>50</v>
      </c>
      <c r="AA917" s="4">
        <v>56</v>
      </c>
      <c r="AB917" s="4">
        <v>3</v>
      </c>
      <c r="AC917" s="4">
        <v>8</v>
      </c>
      <c r="AD917" s="4">
        <v>135</v>
      </c>
      <c r="AE917" s="4">
        <v>139</v>
      </c>
      <c r="AF917" s="4">
        <v>1</v>
      </c>
      <c r="AG917" s="4">
        <v>5</v>
      </c>
      <c r="AH917" s="4">
        <v>110</v>
      </c>
      <c r="AI917" s="4">
        <v>111</v>
      </c>
      <c r="AJ917" s="4">
        <v>22</v>
      </c>
      <c r="AK917" s="4">
        <v>26</v>
      </c>
      <c r="AL917" s="4">
        <v>59</v>
      </c>
      <c r="AM917" s="4">
        <v>59</v>
      </c>
      <c r="AN917" s="4">
        <v>0</v>
      </c>
      <c r="AO917" s="4">
        <v>0</v>
      </c>
      <c r="AP917" s="4">
        <v>33</v>
      </c>
      <c r="AQ917" s="4">
        <v>36</v>
      </c>
      <c r="AR917" s="3" t="s">
        <v>62</v>
      </c>
      <c r="AS917" s="3" t="s">
        <v>62</v>
      </c>
      <c r="AT917" s="3" t="s">
        <v>61</v>
      </c>
      <c r="AU917" s="6" t="str">
        <f>HYPERLINK("http://catalog.hathitrust.org/Record/000126965","HathiTrust Record")</f>
        <v>HathiTrust Record</v>
      </c>
      <c r="AV917" s="6" t="str">
        <f>HYPERLINK("http://mcgill.on.worldcat.org/oclc/6627319","Catalog Record")</f>
        <v>Catalog Record</v>
      </c>
      <c r="AW917" s="6" t="str">
        <f>HYPERLINK("http://www.worldcat.org/oclc/6627319","WorldCat Record")</f>
        <v>WorldCat Record</v>
      </c>
      <c r="AX917" s="3" t="s">
        <v>9244</v>
      </c>
      <c r="AY917" s="3" t="s">
        <v>9245</v>
      </c>
      <c r="AZ917" s="3" t="s">
        <v>9246</v>
      </c>
      <c r="BA917" s="3" t="s">
        <v>9246</v>
      </c>
      <c r="BB917" s="3" t="s">
        <v>9247</v>
      </c>
      <c r="BC917" s="3" t="s">
        <v>102</v>
      </c>
      <c r="BD917" s="3" t="s">
        <v>231</v>
      </c>
      <c r="BE917" s="3" t="s">
        <v>9248</v>
      </c>
      <c r="BF917" s="3" t="s">
        <v>9247</v>
      </c>
      <c r="BG917" s="3" t="s">
        <v>9249</v>
      </c>
    </row>
    <row r="918" spans="1:59" ht="58" x14ac:dyDescent="0.35">
      <c r="A918" s="2" t="s">
        <v>89</v>
      </c>
      <c r="B918" s="2" t="s">
        <v>90</v>
      </c>
      <c r="C918" s="2" t="s">
        <v>9250</v>
      </c>
      <c r="D918" s="2" t="s">
        <v>9251</v>
      </c>
      <c r="E918" s="2" t="s">
        <v>9252</v>
      </c>
      <c r="G918" s="3" t="s">
        <v>62</v>
      </c>
      <c r="I918" s="3" t="s">
        <v>62</v>
      </c>
      <c r="J918" s="3" t="s">
        <v>62</v>
      </c>
      <c r="K918" s="3" t="s">
        <v>63</v>
      </c>
      <c r="M918" s="2" t="s">
        <v>9253</v>
      </c>
      <c r="N918" s="3" t="s">
        <v>424</v>
      </c>
      <c r="P918" s="3" t="s">
        <v>64</v>
      </c>
      <c r="Q918" s="2" t="s">
        <v>9254</v>
      </c>
      <c r="R918" s="3" t="s">
        <v>65</v>
      </c>
      <c r="S918" s="4">
        <v>10</v>
      </c>
      <c r="T918" s="4">
        <v>10</v>
      </c>
      <c r="U918" s="5" t="s">
        <v>8498</v>
      </c>
      <c r="V918" s="5" t="s">
        <v>8498</v>
      </c>
      <c r="W918" s="5" t="s">
        <v>67</v>
      </c>
      <c r="X918" s="5" t="s">
        <v>67</v>
      </c>
      <c r="Y918" s="4">
        <v>231</v>
      </c>
      <c r="Z918" s="4">
        <v>18</v>
      </c>
      <c r="AA918" s="4">
        <v>22</v>
      </c>
      <c r="AB918" s="4">
        <v>3</v>
      </c>
      <c r="AC918" s="4">
        <v>5</v>
      </c>
      <c r="AD918" s="4">
        <v>89</v>
      </c>
      <c r="AE918" s="4">
        <v>93</v>
      </c>
      <c r="AF918" s="4">
        <v>1</v>
      </c>
      <c r="AG918" s="4">
        <v>3</v>
      </c>
      <c r="AH918" s="4">
        <v>74</v>
      </c>
      <c r="AI918" s="4">
        <v>76</v>
      </c>
      <c r="AJ918" s="4">
        <v>11</v>
      </c>
      <c r="AK918" s="4">
        <v>15</v>
      </c>
      <c r="AL918" s="4">
        <v>50</v>
      </c>
      <c r="AM918" s="4">
        <v>50</v>
      </c>
      <c r="AN918" s="4">
        <v>0</v>
      </c>
      <c r="AO918" s="4">
        <v>0</v>
      </c>
      <c r="AP918" s="4">
        <v>14</v>
      </c>
      <c r="AQ918" s="4">
        <v>17</v>
      </c>
      <c r="AR918" s="3" t="s">
        <v>62</v>
      </c>
      <c r="AS918" s="3" t="s">
        <v>62</v>
      </c>
      <c r="AT918" s="3" t="s">
        <v>61</v>
      </c>
      <c r="AU918" s="6" t="str">
        <f>HYPERLINK("http://catalog.hathitrust.org/Record/000901760","HathiTrust Record")</f>
        <v>HathiTrust Record</v>
      </c>
      <c r="AV918" s="6" t="str">
        <f>HYPERLINK("http://mcgill.on.worldcat.org/oclc/16921408","Catalog Record")</f>
        <v>Catalog Record</v>
      </c>
      <c r="AW918" s="6" t="str">
        <f>HYPERLINK("http://www.worldcat.org/oclc/16921408","WorldCat Record")</f>
        <v>WorldCat Record</v>
      </c>
      <c r="AX918" s="3" t="s">
        <v>9255</v>
      </c>
      <c r="AY918" s="3" t="s">
        <v>9256</v>
      </c>
      <c r="AZ918" s="3" t="s">
        <v>9257</v>
      </c>
      <c r="BA918" s="3" t="s">
        <v>9257</v>
      </c>
      <c r="BB918" s="3" t="s">
        <v>9258</v>
      </c>
      <c r="BC918" s="3" t="s">
        <v>102</v>
      </c>
      <c r="BD918" s="3" t="s">
        <v>68</v>
      </c>
      <c r="BE918" s="3" t="s">
        <v>9259</v>
      </c>
      <c r="BF918" s="3" t="s">
        <v>9258</v>
      </c>
      <c r="BG918" s="3" t="s">
        <v>9260</v>
      </c>
    </row>
    <row r="919" spans="1:59" ht="58" x14ac:dyDescent="0.35">
      <c r="A919" s="2" t="s">
        <v>89</v>
      </c>
      <c r="B919" s="2" t="s">
        <v>90</v>
      </c>
      <c r="C919" s="2" t="s">
        <v>9261</v>
      </c>
      <c r="D919" s="2" t="s">
        <v>9262</v>
      </c>
      <c r="E919" s="2" t="s">
        <v>9263</v>
      </c>
      <c r="G919" s="3" t="s">
        <v>62</v>
      </c>
      <c r="I919" s="3" t="s">
        <v>62</v>
      </c>
      <c r="J919" s="3" t="s">
        <v>62</v>
      </c>
      <c r="K919" s="3" t="s">
        <v>63</v>
      </c>
      <c r="L919" s="2" t="s">
        <v>9264</v>
      </c>
      <c r="M919" s="2" t="s">
        <v>9265</v>
      </c>
      <c r="N919" s="3" t="s">
        <v>640</v>
      </c>
      <c r="P919" s="3" t="s">
        <v>64</v>
      </c>
      <c r="R919" s="3" t="s">
        <v>65</v>
      </c>
      <c r="S919" s="4">
        <v>6</v>
      </c>
      <c r="T919" s="4">
        <v>6</v>
      </c>
      <c r="U919" s="5" t="s">
        <v>6861</v>
      </c>
      <c r="V919" s="5" t="s">
        <v>6861</v>
      </c>
      <c r="W919" s="5" t="s">
        <v>67</v>
      </c>
      <c r="X919" s="5" t="s">
        <v>67</v>
      </c>
      <c r="Y919" s="4">
        <v>13</v>
      </c>
      <c r="Z919" s="4">
        <v>1</v>
      </c>
      <c r="AA919" s="4">
        <v>1</v>
      </c>
      <c r="AB919" s="4">
        <v>1</v>
      </c>
      <c r="AC919" s="4">
        <v>1</v>
      </c>
      <c r="AD919" s="4">
        <v>3</v>
      </c>
      <c r="AE919" s="4">
        <v>3</v>
      </c>
      <c r="AF919" s="4">
        <v>0</v>
      </c>
      <c r="AG919" s="4">
        <v>0</v>
      </c>
      <c r="AH919" s="4">
        <v>3</v>
      </c>
      <c r="AI919" s="4">
        <v>3</v>
      </c>
      <c r="AJ919" s="4">
        <v>0</v>
      </c>
      <c r="AK919" s="4">
        <v>0</v>
      </c>
      <c r="AL919" s="4">
        <v>2</v>
      </c>
      <c r="AM919" s="4">
        <v>2</v>
      </c>
      <c r="AN919" s="4">
        <v>0</v>
      </c>
      <c r="AO919" s="4">
        <v>0</v>
      </c>
      <c r="AP919" s="4">
        <v>0</v>
      </c>
      <c r="AQ919" s="4">
        <v>0</v>
      </c>
      <c r="AR919" s="3" t="s">
        <v>62</v>
      </c>
      <c r="AS919" s="3" t="s">
        <v>62</v>
      </c>
      <c r="AT919" s="3" t="s">
        <v>62</v>
      </c>
      <c r="AV919" s="6" t="str">
        <f>HYPERLINK("http://mcgill.on.worldcat.org/oclc/57538123","Catalog Record")</f>
        <v>Catalog Record</v>
      </c>
      <c r="AW919" s="6" t="str">
        <f>HYPERLINK("http://www.worldcat.org/oclc/57538123","WorldCat Record")</f>
        <v>WorldCat Record</v>
      </c>
      <c r="AX919" s="3" t="s">
        <v>9266</v>
      </c>
      <c r="AY919" s="3" t="s">
        <v>9267</v>
      </c>
      <c r="AZ919" s="3" t="s">
        <v>9268</v>
      </c>
      <c r="BA919" s="3" t="s">
        <v>9268</v>
      </c>
      <c r="BB919" s="3" t="s">
        <v>9269</v>
      </c>
      <c r="BC919" s="3" t="s">
        <v>102</v>
      </c>
      <c r="BD919" s="3" t="s">
        <v>68</v>
      </c>
      <c r="BE919" s="3" t="s">
        <v>9270</v>
      </c>
      <c r="BF919" s="3" t="s">
        <v>9269</v>
      </c>
      <c r="BG919" s="3" t="s">
        <v>9271</v>
      </c>
    </row>
    <row r="920" spans="1:59" ht="58" x14ac:dyDescent="0.35">
      <c r="A920" s="2" t="s">
        <v>89</v>
      </c>
      <c r="B920" s="2" t="s">
        <v>90</v>
      </c>
      <c r="C920" s="2" t="s">
        <v>9272</v>
      </c>
      <c r="D920" s="2" t="s">
        <v>9273</v>
      </c>
      <c r="E920" s="2" t="s">
        <v>9274</v>
      </c>
      <c r="G920" s="3" t="s">
        <v>62</v>
      </c>
      <c r="I920" s="3" t="s">
        <v>61</v>
      </c>
      <c r="J920" s="3" t="s">
        <v>62</v>
      </c>
      <c r="K920" s="3" t="s">
        <v>63</v>
      </c>
      <c r="M920" s="2" t="s">
        <v>9275</v>
      </c>
      <c r="N920" s="3" t="s">
        <v>1722</v>
      </c>
      <c r="P920" s="3" t="s">
        <v>64</v>
      </c>
      <c r="R920" s="3" t="s">
        <v>65</v>
      </c>
      <c r="S920" s="4">
        <v>9</v>
      </c>
      <c r="T920" s="4">
        <v>16</v>
      </c>
      <c r="U920" s="5" t="s">
        <v>6861</v>
      </c>
      <c r="V920" s="5" t="s">
        <v>6861</v>
      </c>
      <c r="W920" s="5" t="s">
        <v>67</v>
      </c>
      <c r="X920" s="5" t="s">
        <v>67</v>
      </c>
      <c r="Y920" s="4">
        <v>213</v>
      </c>
      <c r="Z920" s="4">
        <v>17</v>
      </c>
      <c r="AA920" s="4">
        <v>34</v>
      </c>
      <c r="AB920" s="4">
        <v>2</v>
      </c>
      <c r="AC920" s="4">
        <v>5</v>
      </c>
      <c r="AD920" s="4">
        <v>70</v>
      </c>
      <c r="AE920" s="4">
        <v>100</v>
      </c>
      <c r="AF920" s="4">
        <v>0</v>
      </c>
      <c r="AG920" s="4">
        <v>1</v>
      </c>
      <c r="AH920" s="4">
        <v>63</v>
      </c>
      <c r="AI920" s="4">
        <v>85</v>
      </c>
      <c r="AJ920" s="4">
        <v>12</v>
      </c>
      <c r="AK920" s="4">
        <v>16</v>
      </c>
      <c r="AL920" s="4">
        <v>38</v>
      </c>
      <c r="AM920" s="4">
        <v>44</v>
      </c>
      <c r="AN920" s="4">
        <v>0</v>
      </c>
      <c r="AO920" s="4">
        <v>0</v>
      </c>
      <c r="AP920" s="4">
        <v>13</v>
      </c>
      <c r="AQ920" s="4">
        <v>23</v>
      </c>
      <c r="AR920" s="3" t="s">
        <v>62</v>
      </c>
      <c r="AS920" s="3" t="s">
        <v>62</v>
      </c>
      <c r="AT920" s="3" t="s">
        <v>61</v>
      </c>
      <c r="AU920" s="6" t="str">
        <f>HYPERLINK("http://catalog.hathitrust.org/Record/005929760","HathiTrust Record")</f>
        <v>HathiTrust Record</v>
      </c>
      <c r="AV920" s="6" t="str">
        <f>HYPERLINK("http://mcgill.on.worldcat.org/oclc/79002063","Catalog Record")</f>
        <v>Catalog Record</v>
      </c>
      <c r="AW920" s="6" t="str">
        <f>HYPERLINK("http://www.worldcat.org/oclc/79002063","WorldCat Record")</f>
        <v>WorldCat Record</v>
      </c>
      <c r="AX920" s="3" t="s">
        <v>9276</v>
      </c>
      <c r="AY920" s="3" t="s">
        <v>9277</v>
      </c>
      <c r="AZ920" s="3" t="s">
        <v>9278</v>
      </c>
      <c r="BA920" s="3" t="s">
        <v>9278</v>
      </c>
      <c r="BB920" s="3" t="s">
        <v>9279</v>
      </c>
      <c r="BC920" s="3" t="s">
        <v>102</v>
      </c>
      <c r="BD920" s="3" t="s">
        <v>68</v>
      </c>
      <c r="BE920" s="3" t="s">
        <v>9280</v>
      </c>
      <c r="BF920" s="3" t="s">
        <v>9279</v>
      </c>
      <c r="BG920" s="3" t="s">
        <v>9281</v>
      </c>
    </row>
    <row r="921" spans="1:59" ht="72.5" x14ac:dyDescent="0.35">
      <c r="A921" s="2" t="s">
        <v>89</v>
      </c>
      <c r="B921" s="2" t="s">
        <v>90</v>
      </c>
      <c r="C921" s="2" t="s">
        <v>9282</v>
      </c>
      <c r="D921" s="2" t="s">
        <v>9283</v>
      </c>
      <c r="E921" s="2" t="s">
        <v>9284</v>
      </c>
      <c r="G921" s="3" t="s">
        <v>62</v>
      </c>
      <c r="I921" s="3" t="s">
        <v>62</v>
      </c>
      <c r="J921" s="3" t="s">
        <v>62</v>
      </c>
      <c r="K921" s="3" t="s">
        <v>63</v>
      </c>
      <c r="L921" s="2" t="s">
        <v>9285</v>
      </c>
      <c r="M921" s="2" t="s">
        <v>9286</v>
      </c>
      <c r="N921" s="3" t="s">
        <v>880</v>
      </c>
      <c r="P921" s="3" t="s">
        <v>64</v>
      </c>
      <c r="R921" s="3" t="s">
        <v>65</v>
      </c>
      <c r="S921" s="4">
        <v>10</v>
      </c>
      <c r="T921" s="4">
        <v>10</v>
      </c>
      <c r="U921" s="5" t="s">
        <v>9287</v>
      </c>
      <c r="V921" s="5" t="s">
        <v>9287</v>
      </c>
      <c r="W921" s="5" t="s">
        <v>67</v>
      </c>
      <c r="X921" s="5" t="s">
        <v>67</v>
      </c>
      <c r="Y921" s="4">
        <v>210</v>
      </c>
      <c r="Z921" s="4">
        <v>17</v>
      </c>
      <c r="AA921" s="4">
        <v>19</v>
      </c>
      <c r="AB921" s="4">
        <v>2</v>
      </c>
      <c r="AC921" s="4">
        <v>4</v>
      </c>
      <c r="AD921" s="4">
        <v>69</v>
      </c>
      <c r="AE921" s="4">
        <v>71</v>
      </c>
      <c r="AF921" s="4">
        <v>0</v>
      </c>
      <c r="AG921" s="4">
        <v>2</v>
      </c>
      <c r="AH921" s="4">
        <v>62</v>
      </c>
      <c r="AI921" s="4">
        <v>63</v>
      </c>
      <c r="AJ921" s="4">
        <v>13</v>
      </c>
      <c r="AK921" s="4">
        <v>15</v>
      </c>
      <c r="AL921" s="4">
        <v>38</v>
      </c>
      <c r="AM921" s="4">
        <v>38</v>
      </c>
      <c r="AN921" s="4">
        <v>0</v>
      </c>
      <c r="AO921" s="4">
        <v>0</v>
      </c>
      <c r="AP921" s="4">
        <v>14</v>
      </c>
      <c r="AQ921" s="4">
        <v>15</v>
      </c>
      <c r="AR921" s="3" t="s">
        <v>62</v>
      </c>
      <c r="AS921" s="3" t="s">
        <v>62</v>
      </c>
      <c r="AT921" s="3" t="s">
        <v>62</v>
      </c>
      <c r="AV921" s="6" t="str">
        <f>HYPERLINK("http://mcgill.on.worldcat.org/oclc/232976084","Catalog Record")</f>
        <v>Catalog Record</v>
      </c>
      <c r="AW921" s="6" t="str">
        <f>HYPERLINK("http://www.worldcat.org/oclc/232976084","WorldCat Record")</f>
        <v>WorldCat Record</v>
      </c>
      <c r="AX921" s="3" t="s">
        <v>9288</v>
      </c>
      <c r="AY921" s="3" t="s">
        <v>9289</v>
      </c>
      <c r="AZ921" s="3" t="s">
        <v>9290</v>
      </c>
      <c r="BA921" s="3" t="s">
        <v>9290</v>
      </c>
      <c r="BB921" s="3" t="s">
        <v>9291</v>
      </c>
      <c r="BC921" s="3" t="s">
        <v>102</v>
      </c>
      <c r="BD921" s="3" t="s">
        <v>68</v>
      </c>
      <c r="BE921" s="3" t="s">
        <v>9292</v>
      </c>
      <c r="BF921" s="3" t="s">
        <v>9291</v>
      </c>
      <c r="BG921" s="3" t="s">
        <v>9293</v>
      </c>
    </row>
    <row r="922" spans="1:59" ht="58" x14ac:dyDescent="0.35">
      <c r="A922" s="2" t="s">
        <v>89</v>
      </c>
      <c r="B922" s="2" t="s">
        <v>90</v>
      </c>
      <c r="C922" s="2" t="s">
        <v>9294</v>
      </c>
      <c r="D922" s="2" t="s">
        <v>9295</v>
      </c>
      <c r="E922" s="2" t="s">
        <v>9296</v>
      </c>
      <c r="G922" s="3" t="s">
        <v>62</v>
      </c>
      <c r="I922" s="3" t="s">
        <v>61</v>
      </c>
      <c r="J922" s="3" t="s">
        <v>62</v>
      </c>
      <c r="K922" s="3" t="s">
        <v>63</v>
      </c>
      <c r="L922" s="2" t="s">
        <v>9297</v>
      </c>
      <c r="M922" s="2" t="s">
        <v>9298</v>
      </c>
      <c r="N922" s="3" t="s">
        <v>684</v>
      </c>
      <c r="P922" s="3" t="s">
        <v>64</v>
      </c>
      <c r="R922" s="3" t="s">
        <v>65</v>
      </c>
      <c r="S922" s="4">
        <v>8</v>
      </c>
      <c r="T922" s="4">
        <v>19</v>
      </c>
      <c r="U922" s="5" t="s">
        <v>4805</v>
      </c>
      <c r="V922" s="5" t="s">
        <v>4805</v>
      </c>
      <c r="W922" s="5" t="s">
        <v>67</v>
      </c>
      <c r="X922" s="5" t="s">
        <v>67</v>
      </c>
      <c r="Y922" s="4">
        <v>1148</v>
      </c>
      <c r="Z922" s="4">
        <v>29</v>
      </c>
      <c r="AA922" s="4">
        <v>51</v>
      </c>
      <c r="AB922" s="4">
        <v>1</v>
      </c>
      <c r="AC922" s="4">
        <v>5</v>
      </c>
      <c r="AD922" s="4">
        <v>91</v>
      </c>
      <c r="AE922" s="4">
        <v>109</v>
      </c>
      <c r="AF922" s="4">
        <v>0</v>
      </c>
      <c r="AG922" s="4">
        <v>1</v>
      </c>
      <c r="AH922" s="4">
        <v>75</v>
      </c>
      <c r="AI922" s="4">
        <v>89</v>
      </c>
      <c r="AJ922" s="4">
        <v>9</v>
      </c>
      <c r="AK922" s="4">
        <v>15</v>
      </c>
      <c r="AL922" s="4">
        <v>43</v>
      </c>
      <c r="AM922" s="4">
        <v>50</v>
      </c>
      <c r="AN922" s="4">
        <v>0</v>
      </c>
      <c r="AO922" s="4">
        <v>0</v>
      </c>
      <c r="AP922" s="4">
        <v>17</v>
      </c>
      <c r="AQ922" s="4">
        <v>26</v>
      </c>
      <c r="AR922" s="3" t="s">
        <v>62</v>
      </c>
      <c r="AS922" s="3" t="s">
        <v>62</v>
      </c>
      <c r="AT922" s="3" t="s">
        <v>62</v>
      </c>
      <c r="AV922" s="6" t="str">
        <f>HYPERLINK("http://mcgill.on.worldcat.org/oclc/682892569","Catalog Record")</f>
        <v>Catalog Record</v>
      </c>
      <c r="AW922" s="6" t="str">
        <f>HYPERLINK("http://www.worldcat.org/oclc/682892569","WorldCat Record")</f>
        <v>WorldCat Record</v>
      </c>
      <c r="AX922" s="3" t="s">
        <v>9299</v>
      </c>
      <c r="AY922" s="3" t="s">
        <v>9300</v>
      </c>
      <c r="AZ922" s="3" t="s">
        <v>9301</v>
      </c>
      <c r="BA922" s="3" t="s">
        <v>9301</v>
      </c>
      <c r="BB922" s="3" t="s">
        <v>9302</v>
      </c>
      <c r="BC922" s="3" t="s">
        <v>102</v>
      </c>
      <c r="BD922" s="3" t="s">
        <v>231</v>
      </c>
      <c r="BE922" s="3" t="s">
        <v>9303</v>
      </c>
      <c r="BF922" s="3" t="s">
        <v>9302</v>
      </c>
      <c r="BG922" s="3" t="s">
        <v>9304</v>
      </c>
    </row>
    <row r="923" spans="1:59" ht="58" x14ac:dyDescent="0.35">
      <c r="A923" s="2" t="s">
        <v>89</v>
      </c>
      <c r="B923" s="2" t="s">
        <v>90</v>
      </c>
      <c r="C923" s="2" t="s">
        <v>9294</v>
      </c>
      <c r="D923" s="2" t="s">
        <v>9295</v>
      </c>
      <c r="E923" s="2" t="s">
        <v>9296</v>
      </c>
      <c r="G923" s="3" t="s">
        <v>62</v>
      </c>
      <c r="I923" s="3" t="s">
        <v>61</v>
      </c>
      <c r="J923" s="3" t="s">
        <v>62</v>
      </c>
      <c r="K923" s="3" t="s">
        <v>63</v>
      </c>
      <c r="L923" s="2" t="s">
        <v>9297</v>
      </c>
      <c r="M923" s="2" t="s">
        <v>9298</v>
      </c>
      <c r="N923" s="3" t="s">
        <v>684</v>
      </c>
      <c r="P923" s="3" t="s">
        <v>64</v>
      </c>
      <c r="R923" s="3" t="s">
        <v>65</v>
      </c>
      <c r="S923" s="4">
        <v>11</v>
      </c>
      <c r="T923" s="4">
        <v>19</v>
      </c>
      <c r="U923" s="5" t="s">
        <v>9305</v>
      </c>
      <c r="V923" s="5" t="s">
        <v>4805</v>
      </c>
      <c r="W923" s="5" t="s">
        <v>67</v>
      </c>
      <c r="X923" s="5" t="s">
        <v>67</v>
      </c>
      <c r="Y923" s="4">
        <v>1148</v>
      </c>
      <c r="Z923" s="4">
        <v>29</v>
      </c>
      <c r="AA923" s="4">
        <v>51</v>
      </c>
      <c r="AB923" s="4">
        <v>1</v>
      </c>
      <c r="AC923" s="4">
        <v>5</v>
      </c>
      <c r="AD923" s="4">
        <v>91</v>
      </c>
      <c r="AE923" s="4">
        <v>109</v>
      </c>
      <c r="AF923" s="4">
        <v>0</v>
      </c>
      <c r="AG923" s="4">
        <v>1</v>
      </c>
      <c r="AH923" s="4">
        <v>75</v>
      </c>
      <c r="AI923" s="4">
        <v>89</v>
      </c>
      <c r="AJ923" s="4">
        <v>9</v>
      </c>
      <c r="AK923" s="4">
        <v>15</v>
      </c>
      <c r="AL923" s="4">
        <v>43</v>
      </c>
      <c r="AM923" s="4">
        <v>50</v>
      </c>
      <c r="AN923" s="4">
        <v>0</v>
      </c>
      <c r="AO923" s="4">
        <v>0</v>
      </c>
      <c r="AP923" s="4">
        <v>17</v>
      </c>
      <c r="AQ923" s="4">
        <v>26</v>
      </c>
      <c r="AR923" s="3" t="s">
        <v>62</v>
      </c>
      <c r="AS923" s="3" t="s">
        <v>62</v>
      </c>
      <c r="AT923" s="3" t="s">
        <v>62</v>
      </c>
      <c r="AV923" s="6" t="str">
        <f>HYPERLINK("http://mcgill.on.worldcat.org/oclc/682892569","Catalog Record")</f>
        <v>Catalog Record</v>
      </c>
      <c r="AW923" s="6" t="str">
        <f>HYPERLINK("http://www.worldcat.org/oclc/682892569","WorldCat Record")</f>
        <v>WorldCat Record</v>
      </c>
      <c r="AX923" s="3" t="s">
        <v>9299</v>
      </c>
      <c r="AY923" s="3" t="s">
        <v>9300</v>
      </c>
      <c r="AZ923" s="3" t="s">
        <v>9301</v>
      </c>
      <c r="BA923" s="3" t="s">
        <v>9301</v>
      </c>
      <c r="BB923" s="3" t="s">
        <v>9306</v>
      </c>
      <c r="BC923" s="3" t="s">
        <v>102</v>
      </c>
      <c r="BD923" s="3" t="s">
        <v>231</v>
      </c>
      <c r="BE923" s="3" t="s">
        <v>9303</v>
      </c>
      <c r="BF923" s="3" t="s">
        <v>9306</v>
      </c>
      <c r="BG923" s="3" t="s">
        <v>9307</v>
      </c>
    </row>
    <row r="924" spans="1:59" ht="58" x14ac:dyDescent="0.35">
      <c r="A924" s="2" t="s">
        <v>89</v>
      </c>
      <c r="B924" s="2" t="s">
        <v>90</v>
      </c>
      <c r="C924" s="2" t="s">
        <v>9308</v>
      </c>
      <c r="D924" s="2" t="s">
        <v>9309</v>
      </c>
      <c r="E924" s="2" t="s">
        <v>9310</v>
      </c>
      <c r="G924" s="3" t="s">
        <v>62</v>
      </c>
      <c r="I924" s="3" t="s">
        <v>62</v>
      </c>
      <c r="J924" s="3" t="s">
        <v>62</v>
      </c>
      <c r="K924" s="3" t="s">
        <v>63</v>
      </c>
      <c r="M924" s="2" t="s">
        <v>9311</v>
      </c>
      <c r="N924" s="3" t="s">
        <v>712</v>
      </c>
      <c r="P924" s="3" t="s">
        <v>64</v>
      </c>
      <c r="Q924" s="2" t="s">
        <v>9312</v>
      </c>
      <c r="R924" s="3" t="s">
        <v>65</v>
      </c>
      <c r="S924" s="4">
        <v>0</v>
      </c>
      <c r="T924" s="4">
        <v>0</v>
      </c>
      <c r="W924" s="5" t="s">
        <v>67</v>
      </c>
      <c r="X924" s="5" t="s">
        <v>67</v>
      </c>
      <c r="Y924" s="4">
        <v>31</v>
      </c>
      <c r="Z924" s="4">
        <v>1</v>
      </c>
      <c r="AA924" s="4">
        <v>55</v>
      </c>
      <c r="AB924" s="4">
        <v>1</v>
      </c>
      <c r="AC924" s="4">
        <v>6</v>
      </c>
      <c r="AD924" s="4">
        <v>9</v>
      </c>
      <c r="AE924" s="4">
        <v>70</v>
      </c>
      <c r="AF924" s="4">
        <v>0</v>
      </c>
      <c r="AG924" s="4">
        <v>3</v>
      </c>
      <c r="AH924" s="4">
        <v>8</v>
      </c>
      <c r="AI924" s="4">
        <v>44</v>
      </c>
      <c r="AJ924" s="4">
        <v>0</v>
      </c>
      <c r="AK924" s="4">
        <v>19</v>
      </c>
      <c r="AL924" s="4">
        <v>6</v>
      </c>
      <c r="AM924" s="4">
        <v>21</v>
      </c>
      <c r="AN924" s="4">
        <v>0</v>
      </c>
      <c r="AO924" s="4">
        <v>0</v>
      </c>
      <c r="AP924" s="4">
        <v>0</v>
      </c>
      <c r="AQ924" s="4">
        <v>32</v>
      </c>
      <c r="AR924" s="3" t="s">
        <v>62</v>
      </c>
      <c r="AS924" s="3" t="s">
        <v>62</v>
      </c>
      <c r="AT924" s="3" t="s">
        <v>62</v>
      </c>
      <c r="AV924" s="6" t="str">
        <f>HYPERLINK("http://mcgill.on.worldcat.org/oclc/869726246","Catalog Record")</f>
        <v>Catalog Record</v>
      </c>
      <c r="AW924" s="6" t="str">
        <f>HYPERLINK("http://www.worldcat.org/oclc/869726246","WorldCat Record")</f>
        <v>WorldCat Record</v>
      </c>
      <c r="AX924" s="3" t="s">
        <v>9313</v>
      </c>
      <c r="AY924" s="3" t="s">
        <v>9314</v>
      </c>
      <c r="AZ924" s="3" t="s">
        <v>9315</v>
      </c>
      <c r="BA924" s="3" t="s">
        <v>9315</v>
      </c>
      <c r="BB924" s="3" t="s">
        <v>9316</v>
      </c>
      <c r="BC924" s="3" t="s">
        <v>102</v>
      </c>
      <c r="BD924" s="3" t="s">
        <v>68</v>
      </c>
      <c r="BE924" s="3" t="s">
        <v>9317</v>
      </c>
      <c r="BF924" s="3" t="s">
        <v>9316</v>
      </c>
      <c r="BG924" s="3" t="s">
        <v>9318</v>
      </c>
    </row>
    <row r="925" spans="1:59" ht="58" x14ac:dyDescent="0.35">
      <c r="A925" s="2" t="s">
        <v>89</v>
      </c>
      <c r="B925" s="2" t="s">
        <v>90</v>
      </c>
      <c r="C925" s="2" t="s">
        <v>9319</v>
      </c>
      <c r="D925" s="2" t="s">
        <v>9320</v>
      </c>
      <c r="E925" s="2" t="s">
        <v>9321</v>
      </c>
      <c r="G925" s="3" t="s">
        <v>62</v>
      </c>
      <c r="I925" s="3" t="s">
        <v>62</v>
      </c>
      <c r="J925" s="3" t="s">
        <v>62</v>
      </c>
      <c r="K925" s="3" t="s">
        <v>63</v>
      </c>
      <c r="L925" s="2" t="s">
        <v>6639</v>
      </c>
      <c r="M925" s="2" t="s">
        <v>9322</v>
      </c>
      <c r="N925" s="3" t="s">
        <v>2975</v>
      </c>
      <c r="P925" s="3" t="s">
        <v>64</v>
      </c>
      <c r="R925" s="3" t="s">
        <v>65</v>
      </c>
      <c r="S925" s="4">
        <v>22</v>
      </c>
      <c r="T925" s="4">
        <v>22</v>
      </c>
      <c r="U925" s="5" t="s">
        <v>7391</v>
      </c>
      <c r="V925" s="5" t="s">
        <v>7391</v>
      </c>
      <c r="W925" s="5" t="s">
        <v>67</v>
      </c>
      <c r="X925" s="5" t="s">
        <v>67</v>
      </c>
      <c r="Y925" s="4">
        <v>102</v>
      </c>
      <c r="Z925" s="4">
        <v>11</v>
      </c>
      <c r="AA925" s="4">
        <v>12</v>
      </c>
      <c r="AB925" s="4">
        <v>2</v>
      </c>
      <c r="AC925" s="4">
        <v>3</v>
      </c>
      <c r="AD925" s="4">
        <v>40</v>
      </c>
      <c r="AE925" s="4">
        <v>41</v>
      </c>
      <c r="AF925" s="4">
        <v>0</v>
      </c>
      <c r="AG925" s="4">
        <v>1</v>
      </c>
      <c r="AH925" s="4">
        <v>37</v>
      </c>
      <c r="AI925" s="4">
        <v>37</v>
      </c>
      <c r="AJ925" s="4">
        <v>7</v>
      </c>
      <c r="AK925" s="4">
        <v>8</v>
      </c>
      <c r="AL925" s="4">
        <v>24</v>
      </c>
      <c r="AM925" s="4">
        <v>24</v>
      </c>
      <c r="AN925" s="4">
        <v>0</v>
      </c>
      <c r="AO925" s="4">
        <v>0</v>
      </c>
      <c r="AP925" s="4">
        <v>6</v>
      </c>
      <c r="AQ925" s="4">
        <v>6</v>
      </c>
      <c r="AR925" s="3" t="s">
        <v>62</v>
      </c>
      <c r="AS925" s="3" t="s">
        <v>62</v>
      </c>
      <c r="AT925" s="3" t="s">
        <v>61</v>
      </c>
      <c r="AU925" s="6" t="str">
        <f>HYPERLINK("http://catalog.hathitrust.org/Record/004172903","HathiTrust Record")</f>
        <v>HathiTrust Record</v>
      </c>
      <c r="AV925" s="6" t="str">
        <f>HYPERLINK("http://mcgill.on.worldcat.org/oclc/46590048","Catalog Record")</f>
        <v>Catalog Record</v>
      </c>
      <c r="AW925" s="6" t="str">
        <f>HYPERLINK("http://www.worldcat.org/oclc/46590048","WorldCat Record")</f>
        <v>WorldCat Record</v>
      </c>
      <c r="AX925" s="3" t="s">
        <v>9323</v>
      </c>
      <c r="AY925" s="3" t="s">
        <v>9324</v>
      </c>
      <c r="AZ925" s="3" t="s">
        <v>9325</v>
      </c>
      <c r="BA925" s="3" t="s">
        <v>9325</v>
      </c>
      <c r="BB925" s="3" t="s">
        <v>9326</v>
      </c>
      <c r="BC925" s="3" t="s">
        <v>102</v>
      </c>
      <c r="BD925" s="3" t="s">
        <v>68</v>
      </c>
      <c r="BE925" s="3" t="s">
        <v>9327</v>
      </c>
      <c r="BF925" s="3" t="s">
        <v>9326</v>
      </c>
      <c r="BG925" s="3" t="s">
        <v>9328</v>
      </c>
    </row>
    <row r="926" spans="1:59" ht="58" x14ac:dyDescent="0.35">
      <c r="A926" s="2" t="s">
        <v>89</v>
      </c>
      <c r="B926" s="2" t="s">
        <v>90</v>
      </c>
      <c r="C926" s="2" t="s">
        <v>9329</v>
      </c>
      <c r="D926" s="2" t="s">
        <v>9330</v>
      </c>
      <c r="E926" s="2" t="s">
        <v>9331</v>
      </c>
      <c r="G926" s="3" t="s">
        <v>62</v>
      </c>
      <c r="I926" s="3" t="s">
        <v>61</v>
      </c>
      <c r="J926" s="3" t="s">
        <v>62</v>
      </c>
      <c r="K926" s="3" t="s">
        <v>63</v>
      </c>
      <c r="L926" s="2" t="s">
        <v>9332</v>
      </c>
      <c r="M926" s="2" t="s">
        <v>9333</v>
      </c>
      <c r="N926" s="3" t="s">
        <v>553</v>
      </c>
      <c r="P926" s="3" t="s">
        <v>64</v>
      </c>
      <c r="R926" s="3" t="s">
        <v>65</v>
      </c>
      <c r="S926" s="4">
        <v>22</v>
      </c>
      <c r="T926" s="4">
        <v>98</v>
      </c>
      <c r="U926" s="5" t="s">
        <v>5276</v>
      </c>
      <c r="V926" s="5" t="s">
        <v>6918</v>
      </c>
      <c r="W926" s="5" t="s">
        <v>67</v>
      </c>
      <c r="X926" s="5" t="s">
        <v>67</v>
      </c>
      <c r="Y926" s="4">
        <v>584</v>
      </c>
      <c r="Z926" s="4">
        <v>39</v>
      </c>
      <c r="AA926" s="4">
        <v>42</v>
      </c>
      <c r="AB926" s="4">
        <v>2</v>
      </c>
      <c r="AC926" s="4">
        <v>5</v>
      </c>
      <c r="AD926" s="4">
        <v>122</v>
      </c>
      <c r="AE926" s="4">
        <v>124</v>
      </c>
      <c r="AF926" s="4">
        <v>0</v>
      </c>
      <c r="AG926" s="4">
        <v>2</v>
      </c>
      <c r="AH926" s="4">
        <v>103</v>
      </c>
      <c r="AI926" s="4">
        <v>104</v>
      </c>
      <c r="AJ926" s="4">
        <v>18</v>
      </c>
      <c r="AK926" s="4">
        <v>20</v>
      </c>
      <c r="AL926" s="4">
        <v>56</v>
      </c>
      <c r="AM926" s="4">
        <v>56</v>
      </c>
      <c r="AN926" s="4">
        <v>0</v>
      </c>
      <c r="AO926" s="4">
        <v>0</v>
      </c>
      <c r="AP926" s="4">
        <v>28</v>
      </c>
      <c r="AQ926" s="4">
        <v>29</v>
      </c>
      <c r="AR926" s="3" t="s">
        <v>62</v>
      </c>
      <c r="AS926" s="3" t="s">
        <v>62</v>
      </c>
      <c r="AT926" s="3" t="s">
        <v>62</v>
      </c>
      <c r="AV926" s="6" t="str">
        <f>HYPERLINK("http://mcgill.on.worldcat.org/oclc/40311545","Catalog Record")</f>
        <v>Catalog Record</v>
      </c>
      <c r="AW926" s="6" t="str">
        <f>HYPERLINK("http://www.worldcat.org/oclc/40311545","WorldCat Record")</f>
        <v>WorldCat Record</v>
      </c>
      <c r="AX926" s="3" t="s">
        <v>9334</v>
      </c>
      <c r="AY926" s="3" t="s">
        <v>9335</v>
      </c>
      <c r="AZ926" s="3" t="s">
        <v>9336</v>
      </c>
      <c r="BA926" s="3" t="s">
        <v>9336</v>
      </c>
      <c r="BB926" s="3" t="s">
        <v>9337</v>
      </c>
      <c r="BC926" s="3" t="s">
        <v>102</v>
      </c>
      <c r="BD926" s="3" t="s">
        <v>231</v>
      </c>
      <c r="BE926" s="3" t="s">
        <v>9338</v>
      </c>
      <c r="BF926" s="3" t="s">
        <v>9337</v>
      </c>
      <c r="BG926" s="3" t="s">
        <v>9339</v>
      </c>
    </row>
    <row r="927" spans="1:59" ht="58" x14ac:dyDescent="0.35">
      <c r="A927" s="2" t="s">
        <v>89</v>
      </c>
      <c r="B927" s="2" t="s">
        <v>90</v>
      </c>
      <c r="C927" s="2" t="s">
        <v>9340</v>
      </c>
      <c r="D927" s="2" t="s">
        <v>9341</v>
      </c>
      <c r="E927" s="2" t="s">
        <v>9342</v>
      </c>
      <c r="G927" s="3" t="s">
        <v>62</v>
      </c>
      <c r="I927" s="3" t="s">
        <v>61</v>
      </c>
      <c r="J927" s="3" t="s">
        <v>62</v>
      </c>
      <c r="K927" s="3" t="s">
        <v>63</v>
      </c>
      <c r="L927" s="2" t="s">
        <v>9332</v>
      </c>
      <c r="M927" s="2" t="s">
        <v>9343</v>
      </c>
      <c r="N927" s="3" t="s">
        <v>655</v>
      </c>
      <c r="O927" s="2" t="s">
        <v>9344</v>
      </c>
      <c r="P927" s="3" t="s">
        <v>85</v>
      </c>
      <c r="Q927" s="2" t="s">
        <v>9345</v>
      </c>
      <c r="R927" s="3" t="s">
        <v>65</v>
      </c>
      <c r="S927" s="4">
        <v>10</v>
      </c>
      <c r="T927" s="4">
        <v>11</v>
      </c>
      <c r="U927" s="5" t="s">
        <v>9346</v>
      </c>
      <c r="V927" s="5" t="s">
        <v>9347</v>
      </c>
      <c r="W927" s="5" t="s">
        <v>67</v>
      </c>
      <c r="X927" s="5" t="s">
        <v>67</v>
      </c>
      <c r="Y927" s="4">
        <v>70</v>
      </c>
      <c r="Z927" s="4">
        <v>10</v>
      </c>
      <c r="AA927" s="4">
        <v>13</v>
      </c>
      <c r="AB927" s="4">
        <v>9</v>
      </c>
      <c r="AC927" s="4">
        <v>12</v>
      </c>
      <c r="AD927" s="4">
        <v>5</v>
      </c>
      <c r="AE927" s="4">
        <v>9</v>
      </c>
      <c r="AF927" s="4">
        <v>3</v>
      </c>
      <c r="AG927" s="4">
        <v>4</v>
      </c>
      <c r="AH927" s="4">
        <v>3</v>
      </c>
      <c r="AI927" s="4">
        <v>5</v>
      </c>
      <c r="AJ927" s="4">
        <v>3</v>
      </c>
      <c r="AK927" s="4">
        <v>4</v>
      </c>
      <c r="AL927" s="4">
        <v>1</v>
      </c>
      <c r="AM927" s="4">
        <v>3</v>
      </c>
      <c r="AN927" s="4">
        <v>0</v>
      </c>
      <c r="AO927" s="4">
        <v>0</v>
      </c>
      <c r="AP927" s="4">
        <v>4</v>
      </c>
      <c r="AQ927" s="4">
        <v>4</v>
      </c>
      <c r="AR927" s="3" t="s">
        <v>62</v>
      </c>
      <c r="AS927" s="3" t="s">
        <v>62</v>
      </c>
      <c r="AT927" s="3" t="s">
        <v>62</v>
      </c>
      <c r="AV927" s="6" t="str">
        <f>HYPERLINK("http://mcgill.on.worldcat.org/oclc/213053433","Catalog Record")</f>
        <v>Catalog Record</v>
      </c>
      <c r="AW927" s="6" t="str">
        <f>HYPERLINK("http://www.worldcat.org/oclc/213053433","WorldCat Record")</f>
        <v>WorldCat Record</v>
      </c>
      <c r="AX927" s="3" t="s">
        <v>9348</v>
      </c>
      <c r="AY927" s="3" t="s">
        <v>9349</v>
      </c>
      <c r="AZ927" s="3" t="s">
        <v>9350</v>
      </c>
      <c r="BA927" s="3" t="s">
        <v>9350</v>
      </c>
      <c r="BB927" s="3" t="s">
        <v>9351</v>
      </c>
      <c r="BC927" s="3" t="s">
        <v>102</v>
      </c>
      <c r="BD927" s="3" t="s">
        <v>68</v>
      </c>
      <c r="BE927" s="3" t="s">
        <v>9352</v>
      </c>
      <c r="BF927" s="3" t="s">
        <v>9351</v>
      </c>
      <c r="BG927" s="3" t="s">
        <v>9353</v>
      </c>
    </row>
    <row r="928" spans="1:59" ht="58" x14ac:dyDescent="0.35">
      <c r="A928" s="2" t="s">
        <v>89</v>
      </c>
      <c r="B928" s="2" t="s">
        <v>90</v>
      </c>
      <c r="C928" s="2" t="s">
        <v>9354</v>
      </c>
      <c r="D928" s="2" t="s">
        <v>9355</v>
      </c>
      <c r="E928" s="2" t="s">
        <v>9356</v>
      </c>
      <c r="G928" s="3" t="s">
        <v>62</v>
      </c>
      <c r="I928" s="3" t="s">
        <v>62</v>
      </c>
      <c r="J928" s="3" t="s">
        <v>62</v>
      </c>
      <c r="K928" s="3" t="s">
        <v>63</v>
      </c>
      <c r="M928" s="2" t="s">
        <v>9357</v>
      </c>
      <c r="N928" s="3" t="s">
        <v>655</v>
      </c>
      <c r="P928" s="3" t="s">
        <v>64</v>
      </c>
      <c r="R928" s="3" t="s">
        <v>65</v>
      </c>
      <c r="S928" s="4">
        <v>5</v>
      </c>
      <c r="T928" s="4">
        <v>5</v>
      </c>
      <c r="U928" s="5" t="s">
        <v>9358</v>
      </c>
      <c r="V928" s="5" t="s">
        <v>9358</v>
      </c>
      <c r="W928" s="5" t="s">
        <v>67</v>
      </c>
      <c r="X928" s="5" t="s">
        <v>67</v>
      </c>
      <c r="Y928" s="4">
        <v>213</v>
      </c>
      <c r="Z928" s="4">
        <v>18</v>
      </c>
      <c r="AA928" s="4">
        <v>108</v>
      </c>
      <c r="AB928" s="4">
        <v>2</v>
      </c>
      <c r="AC928" s="4">
        <v>21</v>
      </c>
      <c r="AD928" s="4">
        <v>82</v>
      </c>
      <c r="AE928" s="4">
        <v>144</v>
      </c>
      <c r="AF928" s="4">
        <v>1</v>
      </c>
      <c r="AG928" s="4">
        <v>9</v>
      </c>
      <c r="AH928" s="4">
        <v>73</v>
      </c>
      <c r="AI928" s="4">
        <v>96</v>
      </c>
      <c r="AJ928" s="4">
        <v>12</v>
      </c>
      <c r="AK928" s="4">
        <v>26</v>
      </c>
      <c r="AL928" s="4">
        <v>45</v>
      </c>
      <c r="AM928" s="4">
        <v>53</v>
      </c>
      <c r="AN928" s="4">
        <v>0</v>
      </c>
      <c r="AO928" s="4">
        <v>0</v>
      </c>
      <c r="AP928" s="4">
        <v>15</v>
      </c>
      <c r="AQ928" s="4">
        <v>55</v>
      </c>
      <c r="AR928" s="3" t="s">
        <v>62</v>
      </c>
      <c r="AS928" s="3" t="s">
        <v>62</v>
      </c>
      <c r="AT928" s="3" t="s">
        <v>61</v>
      </c>
      <c r="AU928" s="6" t="str">
        <f>HYPERLINK("http://catalog.hathitrust.org/Record/005635138","HathiTrust Record")</f>
        <v>HathiTrust Record</v>
      </c>
      <c r="AV928" s="6" t="str">
        <f>HYPERLINK("http://mcgill.on.worldcat.org/oclc/154707989","Catalog Record")</f>
        <v>Catalog Record</v>
      </c>
      <c r="AW928" s="6" t="str">
        <f>HYPERLINK("http://www.worldcat.org/oclc/154707989","WorldCat Record")</f>
        <v>WorldCat Record</v>
      </c>
      <c r="AX928" s="3" t="s">
        <v>9359</v>
      </c>
      <c r="AY928" s="3" t="s">
        <v>9360</v>
      </c>
      <c r="AZ928" s="3" t="s">
        <v>9361</v>
      </c>
      <c r="BA928" s="3" t="s">
        <v>9361</v>
      </c>
      <c r="BB928" s="3" t="s">
        <v>9362</v>
      </c>
      <c r="BC928" s="3" t="s">
        <v>102</v>
      </c>
      <c r="BD928" s="3" t="s">
        <v>68</v>
      </c>
      <c r="BE928" s="3" t="s">
        <v>9363</v>
      </c>
      <c r="BF928" s="3" t="s">
        <v>9362</v>
      </c>
      <c r="BG928" s="3" t="s">
        <v>9364</v>
      </c>
    </row>
    <row r="929" spans="1:59" ht="58" x14ac:dyDescent="0.35">
      <c r="A929" s="2" t="s">
        <v>89</v>
      </c>
      <c r="B929" s="2" t="s">
        <v>90</v>
      </c>
      <c r="C929" s="2" t="s">
        <v>9365</v>
      </c>
      <c r="D929" s="2" t="s">
        <v>9366</v>
      </c>
      <c r="E929" s="2" t="s">
        <v>9367</v>
      </c>
      <c r="G929" s="3" t="s">
        <v>62</v>
      </c>
      <c r="I929" s="3" t="s">
        <v>62</v>
      </c>
      <c r="J929" s="3" t="s">
        <v>62</v>
      </c>
      <c r="K929" s="3" t="s">
        <v>63</v>
      </c>
      <c r="M929" s="2" t="s">
        <v>9368</v>
      </c>
      <c r="N929" s="3" t="s">
        <v>684</v>
      </c>
      <c r="P929" s="3" t="s">
        <v>64</v>
      </c>
      <c r="Q929" s="2" t="s">
        <v>9369</v>
      </c>
      <c r="R929" s="3" t="s">
        <v>65</v>
      </c>
      <c r="S929" s="4">
        <v>0</v>
      </c>
      <c r="T929" s="4">
        <v>0</v>
      </c>
      <c r="W929" s="5" t="s">
        <v>67</v>
      </c>
      <c r="X929" s="5" t="s">
        <v>67</v>
      </c>
      <c r="Y929" s="4">
        <v>44</v>
      </c>
      <c r="Z929" s="4">
        <v>7</v>
      </c>
      <c r="AA929" s="4">
        <v>85</v>
      </c>
      <c r="AB929" s="4">
        <v>1</v>
      </c>
      <c r="AC929" s="4">
        <v>17</v>
      </c>
      <c r="AD929" s="4">
        <v>23</v>
      </c>
      <c r="AE929" s="4">
        <v>91</v>
      </c>
      <c r="AF929" s="4">
        <v>0</v>
      </c>
      <c r="AG929" s="4">
        <v>8</v>
      </c>
      <c r="AH929" s="4">
        <v>20</v>
      </c>
      <c r="AI929" s="4">
        <v>58</v>
      </c>
      <c r="AJ929" s="4">
        <v>5</v>
      </c>
      <c r="AK929" s="4">
        <v>19</v>
      </c>
      <c r="AL929" s="4">
        <v>15</v>
      </c>
      <c r="AM929" s="4">
        <v>30</v>
      </c>
      <c r="AN929" s="4">
        <v>0</v>
      </c>
      <c r="AO929" s="4">
        <v>0</v>
      </c>
      <c r="AP929" s="4">
        <v>5</v>
      </c>
      <c r="AQ929" s="4">
        <v>40</v>
      </c>
      <c r="AR929" s="3" t="s">
        <v>62</v>
      </c>
      <c r="AS929" s="3" t="s">
        <v>62</v>
      </c>
      <c r="AT929" s="3" t="s">
        <v>62</v>
      </c>
      <c r="AV929" s="6" t="str">
        <f>HYPERLINK("http://mcgill.on.worldcat.org/oclc/778202386","Catalog Record")</f>
        <v>Catalog Record</v>
      </c>
      <c r="AW929" s="6" t="str">
        <f>HYPERLINK("http://www.worldcat.org/oclc/778202386","WorldCat Record")</f>
        <v>WorldCat Record</v>
      </c>
      <c r="AX929" s="3" t="s">
        <v>9370</v>
      </c>
      <c r="AY929" s="3" t="s">
        <v>9371</v>
      </c>
      <c r="AZ929" s="3" t="s">
        <v>9372</v>
      </c>
      <c r="BA929" s="3" t="s">
        <v>9372</v>
      </c>
      <c r="BB929" s="3" t="s">
        <v>9373</v>
      </c>
      <c r="BC929" s="3" t="s">
        <v>102</v>
      </c>
      <c r="BD929" s="3" t="s">
        <v>68</v>
      </c>
      <c r="BE929" s="3" t="s">
        <v>9374</v>
      </c>
      <c r="BF929" s="3" t="s">
        <v>9373</v>
      </c>
      <c r="BG929" s="3" t="s">
        <v>9375</v>
      </c>
    </row>
    <row r="930" spans="1:59" ht="58" x14ac:dyDescent="0.35">
      <c r="A930" s="2" t="s">
        <v>89</v>
      </c>
      <c r="B930" s="2" t="s">
        <v>90</v>
      </c>
      <c r="C930" s="2" t="s">
        <v>9376</v>
      </c>
      <c r="D930" s="2" t="s">
        <v>9377</v>
      </c>
      <c r="E930" s="2" t="s">
        <v>9378</v>
      </c>
      <c r="G930" s="3" t="s">
        <v>62</v>
      </c>
      <c r="I930" s="3" t="s">
        <v>62</v>
      </c>
      <c r="J930" s="3" t="s">
        <v>62</v>
      </c>
      <c r="K930" s="3" t="s">
        <v>63</v>
      </c>
      <c r="M930" s="2" t="s">
        <v>9379</v>
      </c>
      <c r="N930" s="3" t="s">
        <v>698</v>
      </c>
      <c r="O930" s="2" t="s">
        <v>2163</v>
      </c>
      <c r="P930" s="3" t="s">
        <v>64</v>
      </c>
      <c r="R930" s="3" t="s">
        <v>65</v>
      </c>
      <c r="S930" s="4">
        <v>0</v>
      </c>
      <c r="T930" s="4">
        <v>0</v>
      </c>
      <c r="W930" s="5" t="s">
        <v>67</v>
      </c>
      <c r="X930" s="5" t="s">
        <v>67</v>
      </c>
      <c r="Y930" s="4">
        <v>174</v>
      </c>
      <c r="Z930" s="4">
        <v>13</v>
      </c>
      <c r="AA930" s="4">
        <v>32</v>
      </c>
      <c r="AB930" s="4">
        <v>1</v>
      </c>
      <c r="AC930" s="4">
        <v>8</v>
      </c>
      <c r="AD930" s="4">
        <v>51</v>
      </c>
      <c r="AE930" s="4">
        <v>75</v>
      </c>
      <c r="AF930" s="4">
        <v>0</v>
      </c>
      <c r="AG930" s="4">
        <v>5</v>
      </c>
      <c r="AH930" s="4">
        <v>45</v>
      </c>
      <c r="AI930" s="4">
        <v>58</v>
      </c>
      <c r="AJ930" s="4">
        <v>8</v>
      </c>
      <c r="AK930" s="4">
        <v>18</v>
      </c>
      <c r="AL930" s="4">
        <v>26</v>
      </c>
      <c r="AM930" s="4">
        <v>31</v>
      </c>
      <c r="AN930" s="4">
        <v>0</v>
      </c>
      <c r="AO930" s="4">
        <v>0</v>
      </c>
      <c r="AP930" s="4">
        <v>10</v>
      </c>
      <c r="AQ930" s="4">
        <v>26</v>
      </c>
      <c r="AR930" s="3" t="s">
        <v>62</v>
      </c>
      <c r="AS930" s="3" t="s">
        <v>62</v>
      </c>
      <c r="AT930" s="3" t="s">
        <v>62</v>
      </c>
      <c r="AV930" s="6" t="str">
        <f>HYPERLINK("http://mcgill.on.worldcat.org/oclc/760978570","Catalog Record")</f>
        <v>Catalog Record</v>
      </c>
      <c r="AW930" s="6" t="str">
        <f>HYPERLINK("http://www.worldcat.org/oclc/760978570","WorldCat Record")</f>
        <v>WorldCat Record</v>
      </c>
      <c r="AX930" s="3" t="s">
        <v>9380</v>
      </c>
      <c r="AY930" s="3" t="s">
        <v>9381</v>
      </c>
      <c r="AZ930" s="3" t="s">
        <v>9382</v>
      </c>
      <c r="BA930" s="3" t="s">
        <v>9382</v>
      </c>
      <c r="BB930" s="3" t="s">
        <v>9383</v>
      </c>
      <c r="BC930" s="3" t="s">
        <v>102</v>
      </c>
      <c r="BD930" s="3" t="s">
        <v>68</v>
      </c>
      <c r="BE930" s="3" t="s">
        <v>9384</v>
      </c>
      <c r="BF930" s="3" t="s">
        <v>9383</v>
      </c>
      <c r="BG930" s="3" t="s">
        <v>9385</v>
      </c>
    </row>
    <row r="931" spans="1:59" ht="58" x14ac:dyDescent="0.35">
      <c r="A931" s="2" t="s">
        <v>89</v>
      </c>
      <c r="B931" s="2" t="s">
        <v>90</v>
      </c>
      <c r="C931" s="2" t="s">
        <v>9386</v>
      </c>
      <c r="D931" s="2" t="s">
        <v>9387</v>
      </c>
      <c r="E931" s="2" t="s">
        <v>9388</v>
      </c>
      <c r="G931" s="3" t="s">
        <v>62</v>
      </c>
      <c r="I931" s="3" t="s">
        <v>62</v>
      </c>
      <c r="J931" s="3" t="s">
        <v>62</v>
      </c>
      <c r="K931" s="3" t="s">
        <v>63</v>
      </c>
      <c r="L931" s="2" t="s">
        <v>9389</v>
      </c>
      <c r="M931" s="2" t="s">
        <v>9390</v>
      </c>
      <c r="N931" s="3" t="s">
        <v>2000</v>
      </c>
      <c r="P931" s="3" t="s">
        <v>64</v>
      </c>
      <c r="Q931" s="2" t="s">
        <v>9391</v>
      </c>
      <c r="R931" s="3" t="s">
        <v>65</v>
      </c>
      <c r="S931" s="4">
        <v>8</v>
      </c>
      <c r="T931" s="4">
        <v>8</v>
      </c>
      <c r="U931" s="5" t="s">
        <v>9392</v>
      </c>
      <c r="V931" s="5" t="s">
        <v>9392</v>
      </c>
      <c r="W931" s="5" t="s">
        <v>67</v>
      </c>
      <c r="X931" s="5" t="s">
        <v>67</v>
      </c>
      <c r="Y931" s="4">
        <v>460</v>
      </c>
      <c r="Z931" s="4">
        <v>31</v>
      </c>
      <c r="AA931" s="4">
        <v>119</v>
      </c>
      <c r="AB931" s="4">
        <v>2</v>
      </c>
      <c r="AC931" s="4">
        <v>17</v>
      </c>
      <c r="AD931" s="4">
        <v>114</v>
      </c>
      <c r="AE931" s="4">
        <v>151</v>
      </c>
      <c r="AF931" s="4">
        <v>1</v>
      </c>
      <c r="AG931" s="4">
        <v>8</v>
      </c>
      <c r="AH931" s="4">
        <v>98</v>
      </c>
      <c r="AI931" s="4">
        <v>107</v>
      </c>
      <c r="AJ931" s="4">
        <v>18</v>
      </c>
      <c r="AK931" s="4">
        <v>26</v>
      </c>
      <c r="AL931" s="4">
        <v>52</v>
      </c>
      <c r="AM931" s="4">
        <v>55</v>
      </c>
      <c r="AN931" s="4">
        <v>0</v>
      </c>
      <c r="AO931" s="4">
        <v>0</v>
      </c>
      <c r="AP931" s="4">
        <v>23</v>
      </c>
      <c r="AQ931" s="4">
        <v>52</v>
      </c>
      <c r="AR931" s="3" t="s">
        <v>62</v>
      </c>
      <c r="AS931" s="3" t="s">
        <v>62</v>
      </c>
      <c r="AT931" s="3" t="s">
        <v>62</v>
      </c>
      <c r="AV931" s="6" t="str">
        <f>HYPERLINK("http://mcgill.on.worldcat.org/oclc/32543475","Catalog Record")</f>
        <v>Catalog Record</v>
      </c>
      <c r="AW931" s="6" t="str">
        <f>HYPERLINK("http://www.worldcat.org/oclc/32543475","WorldCat Record")</f>
        <v>WorldCat Record</v>
      </c>
      <c r="AX931" s="3" t="s">
        <v>9393</v>
      </c>
      <c r="AY931" s="3" t="s">
        <v>9394</v>
      </c>
      <c r="AZ931" s="3" t="s">
        <v>9395</v>
      </c>
      <c r="BA931" s="3" t="s">
        <v>9395</v>
      </c>
      <c r="BB931" s="3" t="s">
        <v>9396</v>
      </c>
      <c r="BC931" s="3" t="s">
        <v>102</v>
      </c>
      <c r="BD931" s="3" t="s">
        <v>68</v>
      </c>
      <c r="BE931" s="3" t="s">
        <v>9397</v>
      </c>
      <c r="BF931" s="3" t="s">
        <v>9396</v>
      </c>
      <c r="BG931" s="3" t="s">
        <v>9398</v>
      </c>
    </row>
    <row r="932" spans="1:59" ht="58" x14ac:dyDescent="0.35">
      <c r="A932" s="2" t="s">
        <v>89</v>
      </c>
      <c r="B932" s="2" t="s">
        <v>90</v>
      </c>
      <c r="C932" s="2" t="s">
        <v>9399</v>
      </c>
      <c r="D932" s="2" t="s">
        <v>9400</v>
      </c>
      <c r="E932" s="2" t="s">
        <v>9401</v>
      </c>
      <c r="G932" s="3" t="s">
        <v>62</v>
      </c>
      <c r="I932" s="3" t="s">
        <v>62</v>
      </c>
      <c r="J932" s="3" t="s">
        <v>62</v>
      </c>
      <c r="K932" s="3" t="s">
        <v>63</v>
      </c>
      <c r="M932" s="2" t="s">
        <v>7656</v>
      </c>
      <c r="N932" s="3" t="s">
        <v>726</v>
      </c>
      <c r="P932" s="3" t="s">
        <v>64</v>
      </c>
      <c r="Q932" s="2" t="s">
        <v>9402</v>
      </c>
      <c r="R932" s="3" t="s">
        <v>65</v>
      </c>
      <c r="S932" s="4">
        <v>4</v>
      </c>
      <c r="T932" s="4">
        <v>4</v>
      </c>
      <c r="U932" s="5" t="s">
        <v>9403</v>
      </c>
      <c r="V932" s="5" t="s">
        <v>9403</v>
      </c>
      <c r="W932" s="5" t="s">
        <v>67</v>
      </c>
      <c r="X932" s="5" t="s">
        <v>67</v>
      </c>
      <c r="Y932" s="4">
        <v>29</v>
      </c>
      <c r="Z932" s="4">
        <v>1</v>
      </c>
      <c r="AA932" s="4">
        <v>11</v>
      </c>
      <c r="AB932" s="4">
        <v>1</v>
      </c>
      <c r="AC932" s="4">
        <v>5</v>
      </c>
      <c r="AD932" s="4">
        <v>12</v>
      </c>
      <c r="AE932" s="4">
        <v>30</v>
      </c>
      <c r="AF932" s="4">
        <v>0</v>
      </c>
      <c r="AG932" s="4">
        <v>2</v>
      </c>
      <c r="AH932" s="4">
        <v>11</v>
      </c>
      <c r="AI932" s="4">
        <v>23</v>
      </c>
      <c r="AJ932" s="4">
        <v>0</v>
      </c>
      <c r="AK932" s="4">
        <v>6</v>
      </c>
      <c r="AL932" s="4">
        <v>9</v>
      </c>
      <c r="AM932" s="4">
        <v>16</v>
      </c>
      <c r="AN932" s="4">
        <v>0</v>
      </c>
      <c r="AO932" s="4">
        <v>0</v>
      </c>
      <c r="AP932" s="4">
        <v>0</v>
      </c>
      <c r="AQ932" s="4">
        <v>8</v>
      </c>
      <c r="AR932" s="3" t="s">
        <v>62</v>
      </c>
      <c r="AS932" s="3" t="s">
        <v>62</v>
      </c>
      <c r="AT932" s="3" t="s">
        <v>62</v>
      </c>
      <c r="AV932" s="6" t="str">
        <f>HYPERLINK("http://mcgill.on.worldcat.org/oclc/954008308","Catalog Record")</f>
        <v>Catalog Record</v>
      </c>
      <c r="AW932" s="6" t="str">
        <f>HYPERLINK("http://www.worldcat.org/oclc/954008308","WorldCat Record")</f>
        <v>WorldCat Record</v>
      </c>
      <c r="AX932" s="3" t="s">
        <v>9404</v>
      </c>
      <c r="AY932" s="3" t="s">
        <v>9405</v>
      </c>
      <c r="AZ932" s="3" t="s">
        <v>9406</v>
      </c>
      <c r="BA932" s="3" t="s">
        <v>9406</v>
      </c>
      <c r="BB932" s="3" t="s">
        <v>9407</v>
      </c>
      <c r="BC932" s="3" t="s">
        <v>102</v>
      </c>
      <c r="BD932" s="3" t="s">
        <v>231</v>
      </c>
      <c r="BE932" s="3" t="s">
        <v>9408</v>
      </c>
      <c r="BF932" s="3" t="s">
        <v>9407</v>
      </c>
      <c r="BG932" s="3" t="s">
        <v>9409</v>
      </c>
    </row>
    <row r="933" spans="1:59" ht="58" x14ac:dyDescent="0.35">
      <c r="A933" s="2" t="s">
        <v>89</v>
      </c>
      <c r="B933" s="2" t="s">
        <v>90</v>
      </c>
      <c r="C933" s="2" t="s">
        <v>9410</v>
      </c>
      <c r="D933" s="2" t="s">
        <v>9411</v>
      </c>
      <c r="E933" s="2" t="s">
        <v>9412</v>
      </c>
      <c r="G933" s="3" t="s">
        <v>62</v>
      </c>
      <c r="I933" s="3" t="s">
        <v>62</v>
      </c>
      <c r="J933" s="3" t="s">
        <v>62</v>
      </c>
      <c r="K933" s="3" t="s">
        <v>63</v>
      </c>
      <c r="M933" s="2" t="s">
        <v>6640</v>
      </c>
      <c r="N933" s="3" t="s">
        <v>698</v>
      </c>
      <c r="P933" s="3" t="s">
        <v>64</v>
      </c>
      <c r="Q933" s="2" t="s">
        <v>9413</v>
      </c>
      <c r="R933" s="3" t="s">
        <v>65</v>
      </c>
      <c r="S933" s="4">
        <v>4</v>
      </c>
      <c r="T933" s="4">
        <v>4</v>
      </c>
      <c r="U933" s="5" t="s">
        <v>8979</v>
      </c>
      <c r="V933" s="5" t="s">
        <v>8979</v>
      </c>
      <c r="W933" s="5" t="s">
        <v>67</v>
      </c>
      <c r="X933" s="5" t="s">
        <v>67</v>
      </c>
      <c r="Y933" s="4">
        <v>48</v>
      </c>
      <c r="Z933" s="4">
        <v>5</v>
      </c>
      <c r="AA933" s="4">
        <v>62</v>
      </c>
      <c r="AB933" s="4">
        <v>1</v>
      </c>
      <c r="AC933" s="4">
        <v>8</v>
      </c>
      <c r="AD933" s="4">
        <v>21</v>
      </c>
      <c r="AE933" s="4">
        <v>85</v>
      </c>
      <c r="AF933" s="4">
        <v>0</v>
      </c>
      <c r="AG933" s="4">
        <v>4</v>
      </c>
      <c r="AH933" s="4">
        <v>19</v>
      </c>
      <c r="AI933" s="4">
        <v>56</v>
      </c>
      <c r="AJ933" s="4">
        <v>3</v>
      </c>
      <c r="AK933" s="4">
        <v>20</v>
      </c>
      <c r="AL933" s="4">
        <v>10</v>
      </c>
      <c r="AM933" s="4">
        <v>26</v>
      </c>
      <c r="AN933" s="4">
        <v>0</v>
      </c>
      <c r="AO933" s="4">
        <v>0</v>
      </c>
      <c r="AP933" s="4">
        <v>3</v>
      </c>
      <c r="AQ933" s="4">
        <v>35</v>
      </c>
      <c r="AR933" s="3" t="s">
        <v>62</v>
      </c>
      <c r="AS933" s="3" t="s">
        <v>62</v>
      </c>
      <c r="AT933" s="3" t="s">
        <v>62</v>
      </c>
      <c r="AV933" s="6" t="str">
        <f>HYPERLINK("http://mcgill.on.worldcat.org/oclc/766344942","Catalog Record")</f>
        <v>Catalog Record</v>
      </c>
      <c r="AW933" s="6" t="str">
        <f>HYPERLINK("http://www.worldcat.org/oclc/766344942","WorldCat Record")</f>
        <v>WorldCat Record</v>
      </c>
      <c r="AX933" s="3" t="s">
        <v>9414</v>
      </c>
      <c r="AY933" s="3" t="s">
        <v>9415</v>
      </c>
      <c r="AZ933" s="3" t="s">
        <v>9416</v>
      </c>
      <c r="BA933" s="3" t="s">
        <v>9416</v>
      </c>
      <c r="BB933" s="3" t="s">
        <v>9417</v>
      </c>
      <c r="BC933" s="3" t="s">
        <v>102</v>
      </c>
      <c r="BD933" s="3" t="s">
        <v>231</v>
      </c>
      <c r="BE933" s="3" t="s">
        <v>9418</v>
      </c>
      <c r="BF933" s="3" t="s">
        <v>9417</v>
      </c>
      <c r="BG933" s="3" t="s">
        <v>9419</v>
      </c>
    </row>
    <row r="934" spans="1:59" ht="58" x14ac:dyDescent="0.35">
      <c r="A934" s="2" t="s">
        <v>89</v>
      </c>
      <c r="B934" s="2" t="s">
        <v>90</v>
      </c>
      <c r="C934" s="2" t="s">
        <v>9420</v>
      </c>
      <c r="D934" s="2" t="s">
        <v>9421</v>
      </c>
      <c r="E934" s="2" t="s">
        <v>9422</v>
      </c>
      <c r="G934" s="3" t="s">
        <v>62</v>
      </c>
      <c r="I934" s="3" t="s">
        <v>62</v>
      </c>
      <c r="J934" s="3" t="s">
        <v>62</v>
      </c>
      <c r="K934" s="3" t="s">
        <v>63</v>
      </c>
      <c r="L934" s="2" t="s">
        <v>9423</v>
      </c>
      <c r="M934" s="2" t="s">
        <v>9424</v>
      </c>
      <c r="N934" s="3" t="s">
        <v>684</v>
      </c>
      <c r="P934" s="3" t="s">
        <v>64</v>
      </c>
      <c r="R934" s="3" t="s">
        <v>65</v>
      </c>
      <c r="S934" s="4">
        <v>2</v>
      </c>
      <c r="T934" s="4">
        <v>2</v>
      </c>
      <c r="U934" s="5" t="s">
        <v>6141</v>
      </c>
      <c r="V934" s="5" t="s">
        <v>6141</v>
      </c>
      <c r="W934" s="5" t="s">
        <v>67</v>
      </c>
      <c r="X934" s="5" t="s">
        <v>67</v>
      </c>
      <c r="Y934" s="4">
        <v>203</v>
      </c>
      <c r="Z934" s="4">
        <v>22</v>
      </c>
      <c r="AA934" s="4">
        <v>27</v>
      </c>
      <c r="AB934" s="4">
        <v>1</v>
      </c>
      <c r="AC934" s="4">
        <v>6</v>
      </c>
      <c r="AD934" s="4">
        <v>95</v>
      </c>
      <c r="AE934" s="4">
        <v>102</v>
      </c>
      <c r="AF934" s="4">
        <v>0</v>
      </c>
      <c r="AG934" s="4">
        <v>2</v>
      </c>
      <c r="AH934" s="4">
        <v>85</v>
      </c>
      <c r="AI934" s="4">
        <v>91</v>
      </c>
      <c r="AJ934" s="4">
        <v>16</v>
      </c>
      <c r="AK934" s="4">
        <v>18</v>
      </c>
      <c r="AL934" s="4">
        <v>47</v>
      </c>
      <c r="AM934" s="4">
        <v>51</v>
      </c>
      <c r="AN934" s="4">
        <v>0</v>
      </c>
      <c r="AO934" s="4">
        <v>0</v>
      </c>
      <c r="AP934" s="4">
        <v>18</v>
      </c>
      <c r="AQ934" s="4">
        <v>19</v>
      </c>
      <c r="AR934" s="3" t="s">
        <v>62</v>
      </c>
      <c r="AS934" s="3" t="s">
        <v>62</v>
      </c>
      <c r="AT934" s="3" t="s">
        <v>62</v>
      </c>
      <c r="AV934" s="6" t="str">
        <f>HYPERLINK("http://mcgill.on.worldcat.org/oclc/712650945","Catalog Record")</f>
        <v>Catalog Record</v>
      </c>
      <c r="AW934" s="6" t="str">
        <f>HYPERLINK("http://www.worldcat.org/oclc/712650945","WorldCat Record")</f>
        <v>WorldCat Record</v>
      </c>
      <c r="AX934" s="3" t="s">
        <v>9425</v>
      </c>
      <c r="AY934" s="3" t="s">
        <v>9426</v>
      </c>
      <c r="AZ934" s="3" t="s">
        <v>9427</v>
      </c>
      <c r="BA934" s="3" t="s">
        <v>9427</v>
      </c>
      <c r="BB934" s="3" t="s">
        <v>9428</v>
      </c>
      <c r="BC934" s="3" t="s">
        <v>102</v>
      </c>
      <c r="BD934" s="3" t="s">
        <v>68</v>
      </c>
      <c r="BE934" s="3" t="s">
        <v>9429</v>
      </c>
      <c r="BF934" s="3" t="s">
        <v>9428</v>
      </c>
      <c r="BG934" s="3" t="s">
        <v>9430</v>
      </c>
    </row>
    <row r="935" spans="1:59" ht="87" x14ac:dyDescent="0.35">
      <c r="A935" s="2" t="s">
        <v>89</v>
      </c>
      <c r="B935" s="2" t="s">
        <v>90</v>
      </c>
      <c r="C935" s="2" t="s">
        <v>9431</v>
      </c>
      <c r="D935" s="2" t="s">
        <v>9432</v>
      </c>
      <c r="E935" s="2" t="s">
        <v>9433</v>
      </c>
      <c r="G935" s="3" t="s">
        <v>62</v>
      </c>
      <c r="I935" s="3" t="s">
        <v>62</v>
      </c>
      <c r="J935" s="3" t="s">
        <v>62</v>
      </c>
      <c r="K935" s="3" t="s">
        <v>63</v>
      </c>
      <c r="M935" s="2" t="s">
        <v>9434</v>
      </c>
      <c r="N935" s="3" t="s">
        <v>1038</v>
      </c>
      <c r="P935" s="3" t="s">
        <v>64</v>
      </c>
      <c r="Q935" s="2" t="s">
        <v>9435</v>
      </c>
      <c r="R935" s="3" t="s">
        <v>65</v>
      </c>
      <c r="S935" s="4">
        <v>0</v>
      </c>
      <c r="T935" s="4">
        <v>0</v>
      </c>
      <c r="W935" s="5" t="s">
        <v>67</v>
      </c>
      <c r="X935" s="5" t="s">
        <v>67</v>
      </c>
      <c r="Y935" s="4">
        <v>66</v>
      </c>
      <c r="Z935" s="4">
        <v>10</v>
      </c>
      <c r="AA935" s="4">
        <v>78</v>
      </c>
      <c r="AB935" s="4">
        <v>2</v>
      </c>
      <c r="AC935" s="4">
        <v>16</v>
      </c>
      <c r="AD935" s="4">
        <v>38</v>
      </c>
      <c r="AE935" s="4">
        <v>104</v>
      </c>
      <c r="AF935" s="4">
        <v>1</v>
      </c>
      <c r="AG935" s="4">
        <v>8</v>
      </c>
      <c r="AH935" s="4">
        <v>32</v>
      </c>
      <c r="AI935" s="4">
        <v>68</v>
      </c>
      <c r="AJ935" s="4">
        <v>6</v>
      </c>
      <c r="AK935" s="4">
        <v>21</v>
      </c>
      <c r="AL935" s="4">
        <v>26</v>
      </c>
      <c r="AM935" s="4">
        <v>39</v>
      </c>
      <c r="AN935" s="4">
        <v>0</v>
      </c>
      <c r="AO935" s="4">
        <v>0</v>
      </c>
      <c r="AP935" s="4">
        <v>6</v>
      </c>
      <c r="AQ935" s="4">
        <v>43</v>
      </c>
      <c r="AR935" s="3" t="s">
        <v>61</v>
      </c>
      <c r="AS935" s="3" t="s">
        <v>62</v>
      </c>
      <c r="AT935" s="3" t="s">
        <v>62</v>
      </c>
      <c r="AV935" s="6" t="str">
        <f>HYPERLINK("http://mcgill.on.worldcat.org/oclc/925497591","Catalog Record")</f>
        <v>Catalog Record</v>
      </c>
      <c r="AW935" s="6" t="str">
        <f>HYPERLINK("http://www.worldcat.org/oclc/925497591","WorldCat Record")</f>
        <v>WorldCat Record</v>
      </c>
      <c r="AX935" s="3" t="s">
        <v>9436</v>
      </c>
      <c r="AY935" s="3" t="s">
        <v>9437</v>
      </c>
      <c r="AZ935" s="3" t="s">
        <v>9438</v>
      </c>
      <c r="BA935" s="3" t="s">
        <v>9438</v>
      </c>
      <c r="BB935" s="3" t="s">
        <v>9439</v>
      </c>
      <c r="BC935" s="3" t="s">
        <v>102</v>
      </c>
      <c r="BD935" s="3" t="s">
        <v>68</v>
      </c>
      <c r="BE935" s="3" t="s">
        <v>9440</v>
      </c>
      <c r="BF935" s="3" t="s">
        <v>9439</v>
      </c>
      <c r="BG935" s="3" t="s">
        <v>9441</v>
      </c>
    </row>
    <row r="936" spans="1:59" ht="58" x14ac:dyDescent="0.35">
      <c r="A936" s="2" t="s">
        <v>89</v>
      </c>
      <c r="B936" s="2" t="s">
        <v>90</v>
      </c>
      <c r="C936" s="2" t="s">
        <v>9442</v>
      </c>
      <c r="D936" s="2" t="s">
        <v>9443</v>
      </c>
      <c r="E936" s="2" t="s">
        <v>9444</v>
      </c>
      <c r="F936" s="3" t="s">
        <v>1371</v>
      </c>
      <c r="G936" s="3" t="s">
        <v>61</v>
      </c>
      <c r="I936" s="3" t="s">
        <v>62</v>
      </c>
      <c r="J936" s="3" t="s">
        <v>62</v>
      </c>
      <c r="K936" s="3" t="s">
        <v>63</v>
      </c>
      <c r="M936" s="2" t="s">
        <v>9445</v>
      </c>
      <c r="N936" s="3" t="s">
        <v>568</v>
      </c>
      <c r="P936" s="3" t="s">
        <v>64</v>
      </c>
      <c r="Q936" s="2" t="s">
        <v>9446</v>
      </c>
      <c r="R936" s="3" t="s">
        <v>65</v>
      </c>
      <c r="S936" s="4">
        <v>0</v>
      </c>
      <c r="T936" s="4">
        <v>2</v>
      </c>
      <c r="V936" s="5" t="s">
        <v>9447</v>
      </c>
      <c r="W936" s="5" t="s">
        <v>67</v>
      </c>
      <c r="X936" s="5" t="s">
        <v>67</v>
      </c>
      <c r="Y936" s="4">
        <v>705</v>
      </c>
      <c r="Z936" s="4">
        <v>20</v>
      </c>
      <c r="AA936" s="4">
        <v>59</v>
      </c>
      <c r="AB936" s="4">
        <v>1</v>
      </c>
      <c r="AC936" s="4">
        <v>9</v>
      </c>
      <c r="AD936" s="4">
        <v>77</v>
      </c>
      <c r="AE936" s="4">
        <v>101</v>
      </c>
      <c r="AF936" s="4">
        <v>0</v>
      </c>
      <c r="AG936" s="4">
        <v>4</v>
      </c>
      <c r="AH936" s="4">
        <v>68</v>
      </c>
      <c r="AI936" s="4">
        <v>80</v>
      </c>
      <c r="AJ936" s="4">
        <v>8</v>
      </c>
      <c r="AK936" s="4">
        <v>16</v>
      </c>
      <c r="AL936" s="4">
        <v>35</v>
      </c>
      <c r="AM936" s="4">
        <v>39</v>
      </c>
      <c r="AN936" s="4">
        <v>0</v>
      </c>
      <c r="AO936" s="4">
        <v>0</v>
      </c>
      <c r="AP936" s="4">
        <v>14</v>
      </c>
      <c r="AQ936" s="4">
        <v>30</v>
      </c>
      <c r="AR936" s="3" t="s">
        <v>62</v>
      </c>
      <c r="AS936" s="3" t="s">
        <v>62</v>
      </c>
      <c r="AT936" s="3" t="s">
        <v>61</v>
      </c>
      <c r="AU936" s="6" t="str">
        <f t="shared" ref="AU936:AU943" si="26">HYPERLINK("http://catalog.hathitrust.org/Record/004144281","HathiTrust Record")</f>
        <v>HathiTrust Record</v>
      </c>
      <c r="AV936" s="6" t="str">
        <f t="shared" ref="AV936:AV943" si="27">HYPERLINK("http://mcgill.on.worldcat.org/oclc/43836551","Catalog Record")</f>
        <v>Catalog Record</v>
      </c>
      <c r="AW936" s="6" t="str">
        <f t="shared" ref="AW936:AW943" si="28">HYPERLINK("http://www.worldcat.org/oclc/43836551","WorldCat Record")</f>
        <v>WorldCat Record</v>
      </c>
      <c r="AX936" s="3" t="s">
        <v>9448</v>
      </c>
      <c r="AY936" s="3" t="s">
        <v>9449</v>
      </c>
      <c r="AZ936" s="3" t="s">
        <v>9450</v>
      </c>
      <c r="BA936" s="3" t="s">
        <v>9450</v>
      </c>
      <c r="BB936" s="3" t="s">
        <v>9451</v>
      </c>
      <c r="BC936" s="3" t="s">
        <v>102</v>
      </c>
      <c r="BD936" s="3" t="s">
        <v>68</v>
      </c>
      <c r="BE936" s="3" t="s">
        <v>9452</v>
      </c>
      <c r="BF936" s="3" t="s">
        <v>9451</v>
      </c>
      <c r="BG936" s="3" t="s">
        <v>9453</v>
      </c>
    </row>
    <row r="937" spans="1:59" ht="58" x14ac:dyDescent="0.35">
      <c r="A937" s="2" t="s">
        <v>89</v>
      </c>
      <c r="B937" s="2" t="s">
        <v>90</v>
      </c>
      <c r="C937" s="2" t="s">
        <v>9442</v>
      </c>
      <c r="D937" s="2" t="s">
        <v>9443</v>
      </c>
      <c r="E937" s="2" t="s">
        <v>9444</v>
      </c>
      <c r="F937" s="3" t="s">
        <v>1396</v>
      </c>
      <c r="G937" s="3" t="s">
        <v>61</v>
      </c>
      <c r="I937" s="3" t="s">
        <v>62</v>
      </c>
      <c r="J937" s="3" t="s">
        <v>62</v>
      </c>
      <c r="K937" s="3" t="s">
        <v>63</v>
      </c>
      <c r="M937" s="2" t="s">
        <v>9445</v>
      </c>
      <c r="N937" s="3" t="s">
        <v>568</v>
      </c>
      <c r="P937" s="3" t="s">
        <v>64</v>
      </c>
      <c r="Q937" s="2" t="s">
        <v>9446</v>
      </c>
      <c r="R937" s="3" t="s">
        <v>65</v>
      </c>
      <c r="S937" s="4">
        <v>0</v>
      </c>
      <c r="T937" s="4">
        <v>2</v>
      </c>
      <c r="V937" s="5" t="s">
        <v>9447</v>
      </c>
      <c r="W937" s="5" t="s">
        <v>67</v>
      </c>
      <c r="X937" s="5" t="s">
        <v>67</v>
      </c>
      <c r="Y937" s="4">
        <v>705</v>
      </c>
      <c r="Z937" s="4">
        <v>20</v>
      </c>
      <c r="AA937" s="4">
        <v>59</v>
      </c>
      <c r="AB937" s="4">
        <v>1</v>
      </c>
      <c r="AC937" s="4">
        <v>9</v>
      </c>
      <c r="AD937" s="4">
        <v>77</v>
      </c>
      <c r="AE937" s="4">
        <v>101</v>
      </c>
      <c r="AF937" s="4">
        <v>0</v>
      </c>
      <c r="AG937" s="4">
        <v>4</v>
      </c>
      <c r="AH937" s="4">
        <v>68</v>
      </c>
      <c r="AI937" s="4">
        <v>80</v>
      </c>
      <c r="AJ937" s="4">
        <v>8</v>
      </c>
      <c r="AK937" s="4">
        <v>16</v>
      </c>
      <c r="AL937" s="4">
        <v>35</v>
      </c>
      <c r="AM937" s="4">
        <v>39</v>
      </c>
      <c r="AN937" s="4">
        <v>0</v>
      </c>
      <c r="AO937" s="4">
        <v>0</v>
      </c>
      <c r="AP937" s="4">
        <v>14</v>
      </c>
      <c r="AQ937" s="4">
        <v>30</v>
      </c>
      <c r="AR937" s="3" t="s">
        <v>62</v>
      </c>
      <c r="AS937" s="3" t="s">
        <v>62</v>
      </c>
      <c r="AT937" s="3" t="s">
        <v>61</v>
      </c>
      <c r="AU937" s="6" t="str">
        <f t="shared" si="26"/>
        <v>HathiTrust Record</v>
      </c>
      <c r="AV937" s="6" t="str">
        <f t="shared" si="27"/>
        <v>Catalog Record</v>
      </c>
      <c r="AW937" s="6" t="str">
        <f t="shared" si="28"/>
        <v>WorldCat Record</v>
      </c>
      <c r="AX937" s="3" t="s">
        <v>9448</v>
      </c>
      <c r="AY937" s="3" t="s">
        <v>9449</v>
      </c>
      <c r="AZ937" s="3" t="s">
        <v>9450</v>
      </c>
      <c r="BA937" s="3" t="s">
        <v>9450</v>
      </c>
      <c r="BB937" s="3" t="s">
        <v>9454</v>
      </c>
      <c r="BC937" s="3" t="s">
        <v>102</v>
      </c>
      <c r="BD937" s="3" t="s">
        <v>68</v>
      </c>
      <c r="BE937" s="3" t="s">
        <v>9452</v>
      </c>
      <c r="BF937" s="3" t="s">
        <v>9454</v>
      </c>
      <c r="BG937" s="3" t="s">
        <v>9455</v>
      </c>
    </row>
    <row r="938" spans="1:59" ht="58" x14ac:dyDescent="0.35">
      <c r="A938" s="2" t="s">
        <v>89</v>
      </c>
      <c r="B938" s="2" t="s">
        <v>90</v>
      </c>
      <c r="C938" s="2" t="s">
        <v>9442</v>
      </c>
      <c r="D938" s="2" t="s">
        <v>9443</v>
      </c>
      <c r="E938" s="2" t="s">
        <v>9444</v>
      </c>
      <c r="F938" s="3" t="s">
        <v>1381</v>
      </c>
      <c r="G938" s="3" t="s">
        <v>61</v>
      </c>
      <c r="I938" s="3" t="s">
        <v>62</v>
      </c>
      <c r="J938" s="3" t="s">
        <v>62</v>
      </c>
      <c r="K938" s="3" t="s">
        <v>63</v>
      </c>
      <c r="M938" s="2" t="s">
        <v>9445</v>
      </c>
      <c r="N938" s="3" t="s">
        <v>568</v>
      </c>
      <c r="P938" s="3" t="s">
        <v>64</v>
      </c>
      <c r="Q938" s="2" t="s">
        <v>9446</v>
      </c>
      <c r="R938" s="3" t="s">
        <v>65</v>
      </c>
      <c r="S938" s="4">
        <v>0</v>
      </c>
      <c r="T938" s="4">
        <v>2</v>
      </c>
      <c r="V938" s="5" t="s">
        <v>9447</v>
      </c>
      <c r="W938" s="5" t="s">
        <v>67</v>
      </c>
      <c r="X938" s="5" t="s">
        <v>67</v>
      </c>
      <c r="Y938" s="4">
        <v>705</v>
      </c>
      <c r="Z938" s="4">
        <v>20</v>
      </c>
      <c r="AA938" s="4">
        <v>59</v>
      </c>
      <c r="AB938" s="4">
        <v>1</v>
      </c>
      <c r="AC938" s="4">
        <v>9</v>
      </c>
      <c r="AD938" s="4">
        <v>77</v>
      </c>
      <c r="AE938" s="4">
        <v>101</v>
      </c>
      <c r="AF938" s="4">
        <v>0</v>
      </c>
      <c r="AG938" s="4">
        <v>4</v>
      </c>
      <c r="AH938" s="4">
        <v>68</v>
      </c>
      <c r="AI938" s="4">
        <v>80</v>
      </c>
      <c r="AJ938" s="4">
        <v>8</v>
      </c>
      <c r="AK938" s="4">
        <v>16</v>
      </c>
      <c r="AL938" s="4">
        <v>35</v>
      </c>
      <c r="AM938" s="4">
        <v>39</v>
      </c>
      <c r="AN938" s="4">
        <v>0</v>
      </c>
      <c r="AO938" s="4">
        <v>0</v>
      </c>
      <c r="AP938" s="4">
        <v>14</v>
      </c>
      <c r="AQ938" s="4">
        <v>30</v>
      </c>
      <c r="AR938" s="3" t="s">
        <v>62</v>
      </c>
      <c r="AS938" s="3" t="s">
        <v>62</v>
      </c>
      <c r="AT938" s="3" t="s">
        <v>61</v>
      </c>
      <c r="AU938" s="6" t="str">
        <f t="shared" si="26"/>
        <v>HathiTrust Record</v>
      </c>
      <c r="AV938" s="6" t="str">
        <f t="shared" si="27"/>
        <v>Catalog Record</v>
      </c>
      <c r="AW938" s="6" t="str">
        <f t="shared" si="28"/>
        <v>WorldCat Record</v>
      </c>
      <c r="AX938" s="3" t="s">
        <v>9448</v>
      </c>
      <c r="AY938" s="3" t="s">
        <v>9449</v>
      </c>
      <c r="AZ938" s="3" t="s">
        <v>9450</v>
      </c>
      <c r="BA938" s="3" t="s">
        <v>9450</v>
      </c>
      <c r="BB938" s="3" t="s">
        <v>9456</v>
      </c>
      <c r="BC938" s="3" t="s">
        <v>102</v>
      </c>
      <c r="BD938" s="3" t="s">
        <v>68</v>
      </c>
      <c r="BE938" s="3" t="s">
        <v>9452</v>
      </c>
      <c r="BF938" s="3" t="s">
        <v>9456</v>
      </c>
      <c r="BG938" s="3" t="s">
        <v>9457</v>
      </c>
    </row>
    <row r="939" spans="1:59" ht="58" x14ac:dyDescent="0.35">
      <c r="A939" s="2" t="s">
        <v>89</v>
      </c>
      <c r="B939" s="2" t="s">
        <v>90</v>
      </c>
      <c r="C939" s="2" t="s">
        <v>9442</v>
      </c>
      <c r="D939" s="2" t="s">
        <v>9443</v>
      </c>
      <c r="E939" s="2" t="s">
        <v>9444</v>
      </c>
      <c r="F939" s="3" t="s">
        <v>1393</v>
      </c>
      <c r="G939" s="3" t="s">
        <v>61</v>
      </c>
      <c r="I939" s="3" t="s">
        <v>62</v>
      </c>
      <c r="J939" s="3" t="s">
        <v>62</v>
      </c>
      <c r="K939" s="3" t="s">
        <v>63</v>
      </c>
      <c r="M939" s="2" t="s">
        <v>9445</v>
      </c>
      <c r="N939" s="3" t="s">
        <v>568</v>
      </c>
      <c r="P939" s="3" t="s">
        <v>64</v>
      </c>
      <c r="Q939" s="2" t="s">
        <v>9446</v>
      </c>
      <c r="R939" s="3" t="s">
        <v>65</v>
      </c>
      <c r="S939" s="4">
        <v>0</v>
      </c>
      <c r="T939" s="4">
        <v>2</v>
      </c>
      <c r="V939" s="5" t="s">
        <v>9447</v>
      </c>
      <c r="W939" s="5" t="s">
        <v>67</v>
      </c>
      <c r="X939" s="5" t="s">
        <v>67</v>
      </c>
      <c r="Y939" s="4">
        <v>705</v>
      </c>
      <c r="Z939" s="4">
        <v>20</v>
      </c>
      <c r="AA939" s="4">
        <v>59</v>
      </c>
      <c r="AB939" s="4">
        <v>1</v>
      </c>
      <c r="AC939" s="4">
        <v>9</v>
      </c>
      <c r="AD939" s="4">
        <v>77</v>
      </c>
      <c r="AE939" s="4">
        <v>101</v>
      </c>
      <c r="AF939" s="4">
        <v>0</v>
      </c>
      <c r="AG939" s="4">
        <v>4</v>
      </c>
      <c r="AH939" s="4">
        <v>68</v>
      </c>
      <c r="AI939" s="4">
        <v>80</v>
      </c>
      <c r="AJ939" s="4">
        <v>8</v>
      </c>
      <c r="AK939" s="4">
        <v>16</v>
      </c>
      <c r="AL939" s="4">
        <v>35</v>
      </c>
      <c r="AM939" s="4">
        <v>39</v>
      </c>
      <c r="AN939" s="4">
        <v>0</v>
      </c>
      <c r="AO939" s="4">
        <v>0</v>
      </c>
      <c r="AP939" s="4">
        <v>14</v>
      </c>
      <c r="AQ939" s="4">
        <v>30</v>
      </c>
      <c r="AR939" s="3" t="s">
        <v>62</v>
      </c>
      <c r="AS939" s="3" t="s">
        <v>62</v>
      </c>
      <c r="AT939" s="3" t="s">
        <v>61</v>
      </c>
      <c r="AU939" s="6" t="str">
        <f t="shared" si="26"/>
        <v>HathiTrust Record</v>
      </c>
      <c r="AV939" s="6" t="str">
        <f t="shared" si="27"/>
        <v>Catalog Record</v>
      </c>
      <c r="AW939" s="6" t="str">
        <f t="shared" si="28"/>
        <v>WorldCat Record</v>
      </c>
      <c r="AX939" s="3" t="s">
        <v>9448</v>
      </c>
      <c r="AY939" s="3" t="s">
        <v>9449</v>
      </c>
      <c r="AZ939" s="3" t="s">
        <v>9450</v>
      </c>
      <c r="BA939" s="3" t="s">
        <v>9450</v>
      </c>
      <c r="BB939" s="3" t="s">
        <v>9458</v>
      </c>
      <c r="BC939" s="3" t="s">
        <v>102</v>
      </c>
      <c r="BD939" s="3" t="s">
        <v>68</v>
      </c>
      <c r="BE939" s="3" t="s">
        <v>9452</v>
      </c>
      <c r="BF939" s="3" t="s">
        <v>9458</v>
      </c>
      <c r="BG939" s="3" t="s">
        <v>9459</v>
      </c>
    </row>
    <row r="940" spans="1:59" ht="58" x14ac:dyDescent="0.35">
      <c r="A940" s="2" t="s">
        <v>89</v>
      </c>
      <c r="B940" s="2" t="s">
        <v>90</v>
      </c>
      <c r="C940" s="2" t="s">
        <v>9442</v>
      </c>
      <c r="D940" s="2" t="s">
        <v>9443</v>
      </c>
      <c r="E940" s="2" t="s">
        <v>9444</v>
      </c>
      <c r="F940" s="3" t="s">
        <v>1387</v>
      </c>
      <c r="G940" s="3" t="s">
        <v>61</v>
      </c>
      <c r="I940" s="3" t="s">
        <v>62</v>
      </c>
      <c r="J940" s="3" t="s">
        <v>62</v>
      </c>
      <c r="K940" s="3" t="s">
        <v>63</v>
      </c>
      <c r="M940" s="2" t="s">
        <v>9445</v>
      </c>
      <c r="N940" s="3" t="s">
        <v>568</v>
      </c>
      <c r="P940" s="3" t="s">
        <v>64</v>
      </c>
      <c r="Q940" s="2" t="s">
        <v>9446</v>
      </c>
      <c r="R940" s="3" t="s">
        <v>65</v>
      </c>
      <c r="S940" s="4">
        <v>2</v>
      </c>
      <c r="T940" s="4">
        <v>2</v>
      </c>
      <c r="U940" s="5" t="s">
        <v>9447</v>
      </c>
      <c r="V940" s="5" t="s">
        <v>9447</v>
      </c>
      <c r="W940" s="5" t="s">
        <v>67</v>
      </c>
      <c r="X940" s="5" t="s">
        <v>67</v>
      </c>
      <c r="Y940" s="4">
        <v>705</v>
      </c>
      <c r="Z940" s="4">
        <v>20</v>
      </c>
      <c r="AA940" s="4">
        <v>59</v>
      </c>
      <c r="AB940" s="4">
        <v>1</v>
      </c>
      <c r="AC940" s="4">
        <v>9</v>
      </c>
      <c r="AD940" s="4">
        <v>77</v>
      </c>
      <c r="AE940" s="4">
        <v>101</v>
      </c>
      <c r="AF940" s="4">
        <v>0</v>
      </c>
      <c r="AG940" s="4">
        <v>4</v>
      </c>
      <c r="AH940" s="4">
        <v>68</v>
      </c>
      <c r="AI940" s="4">
        <v>80</v>
      </c>
      <c r="AJ940" s="4">
        <v>8</v>
      </c>
      <c r="AK940" s="4">
        <v>16</v>
      </c>
      <c r="AL940" s="4">
        <v>35</v>
      </c>
      <c r="AM940" s="4">
        <v>39</v>
      </c>
      <c r="AN940" s="4">
        <v>0</v>
      </c>
      <c r="AO940" s="4">
        <v>0</v>
      </c>
      <c r="AP940" s="4">
        <v>14</v>
      </c>
      <c r="AQ940" s="4">
        <v>30</v>
      </c>
      <c r="AR940" s="3" t="s">
        <v>62</v>
      </c>
      <c r="AS940" s="3" t="s">
        <v>62</v>
      </c>
      <c r="AT940" s="3" t="s">
        <v>61</v>
      </c>
      <c r="AU940" s="6" t="str">
        <f t="shared" si="26"/>
        <v>HathiTrust Record</v>
      </c>
      <c r="AV940" s="6" t="str">
        <f t="shared" si="27"/>
        <v>Catalog Record</v>
      </c>
      <c r="AW940" s="6" t="str">
        <f t="shared" si="28"/>
        <v>WorldCat Record</v>
      </c>
      <c r="AX940" s="3" t="s">
        <v>9448</v>
      </c>
      <c r="AY940" s="3" t="s">
        <v>9449</v>
      </c>
      <c r="AZ940" s="3" t="s">
        <v>9450</v>
      </c>
      <c r="BA940" s="3" t="s">
        <v>9450</v>
      </c>
      <c r="BB940" s="3" t="s">
        <v>9460</v>
      </c>
      <c r="BC940" s="3" t="s">
        <v>102</v>
      </c>
      <c r="BD940" s="3" t="s">
        <v>68</v>
      </c>
      <c r="BE940" s="3" t="s">
        <v>9452</v>
      </c>
      <c r="BF940" s="3" t="s">
        <v>9460</v>
      </c>
      <c r="BG940" s="3" t="s">
        <v>9461</v>
      </c>
    </row>
    <row r="941" spans="1:59" ht="58" x14ac:dyDescent="0.35">
      <c r="A941" s="2" t="s">
        <v>89</v>
      </c>
      <c r="B941" s="2" t="s">
        <v>90</v>
      </c>
      <c r="C941" s="2" t="s">
        <v>9442</v>
      </c>
      <c r="D941" s="2" t="s">
        <v>9443</v>
      </c>
      <c r="E941" s="2" t="s">
        <v>9444</v>
      </c>
      <c r="F941" s="3" t="s">
        <v>1390</v>
      </c>
      <c r="G941" s="3" t="s">
        <v>61</v>
      </c>
      <c r="I941" s="3" t="s">
        <v>62</v>
      </c>
      <c r="J941" s="3" t="s">
        <v>62</v>
      </c>
      <c r="K941" s="3" t="s">
        <v>63</v>
      </c>
      <c r="M941" s="2" t="s">
        <v>9445</v>
      </c>
      <c r="N941" s="3" t="s">
        <v>568</v>
      </c>
      <c r="P941" s="3" t="s">
        <v>64</v>
      </c>
      <c r="Q941" s="2" t="s">
        <v>9446</v>
      </c>
      <c r="R941" s="3" t="s">
        <v>65</v>
      </c>
      <c r="S941" s="4">
        <v>0</v>
      </c>
      <c r="T941" s="4">
        <v>2</v>
      </c>
      <c r="V941" s="5" t="s">
        <v>9447</v>
      </c>
      <c r="W941" s="5" t="s">
        <v>67</v>
      </c>
      <c r="X941" s="5" t="s">
        <v>67</v>
      </c>
      <c r="Y941" s="4">
        <v>705</v>
      </c>
      <c r="Z941" s="4">
        <v>20</v>
      </c>
      <c r="AA941" s="4">
        <v>59</v>
      </c>
      <c r="AB941" s="4">
        <v>1</v>
      </c>
      <c r="AC941" s="4">
        <v>9</v>
      </c>
      <c r="AD941" s="4">
        <v>77</v>
      </c>
      <c r="AE941" s="4">
        <v>101</v>
      </c>
      <c r="AF941" s="4">
        <v>0</v>
      </c>
      <c r="AG941" s="4">
        <v>4</v>
      </c>
      <c r="AH941" s="4">
        <v>68</v>
      </c>
      <c r="AI941" s="4">
        <v>80</v>
      </c>
      <c r="AJ941" s="4">
        <v>8</v>
      </c>
      <c r="AK941" s="4">
        <v>16</v>
      </c>
      <c r="AL941" s="4">
        <v>35</v>
      </c>
      <c r="AM941" s="4">
        <v>39</v>
      </c>
      <c r="AN941" s="4">
        <v>0</v>
      </c>
      <c r="AO941" s="4">
        <v>0</v>
      </c>
      <c r="AP941" s="4">
        <v>14</v>
      </c>
      <c r="AQ941" s="4">
        <v>30</v>
      </c>
      <c r="AR941" s="3" t="s">
        <v>62</v>
      </c>
      <c r="AS941" s="3" t="s">
        <v>62</v>
      </c>
      <c r="AT941" s="3" t="s">
        <v>61</v>
      </c>
      <c r="AU941" s="6" t="str">
        <f t="shared" si="26"/>
        <v>HathiTrust Record</v>
      </c>
      <c r="AV941" s="6" t="str">
        <f t="shared" si="27"/>
        <v>Catalog Record</v>
      </c>
      <c r="AW941" s="6" t="str">
        <f t="shared" si="28"/>
        <v>WorldCat Record</v>
      </c>
      <c r="AX941" s="3" t="s">
        <v>9448</v>
      </c>
      <c r="AY941" s="3" t="s">
        <v>9449</v>
      </c>
      <c r="AZ941" s="3" t="s">
        <v>9450</v>
      </c>
      <c r="BA941" s="3" t="s">
        <v>9450</v>
      </c>
      <c r="BB941" s="3" t="s">
        <v>9462</v>
      </c>
      <c r="BC941" s="3" t="s">
        <v>102</v>
      </c>
      <c r="BD941" s="3" t="s">
        <v>68</v>
      </c>
      <c r="BE941" s="3" t="s">
        <v>9452</v>
      </c>
      <c r="BF941" s="3" t="s">
        <v>9462</v>
      </c>
      <c r="BG941" s="3" t="s">
        <v>9463</v>
      </c>
    </row>
    <row r="942" spans="1:59" ht="58" x14ac:dyDescent="0.35">
      <c r="A942" s="2" t="s">
        <v>89</v>
      </c>
      <c r="B942" s="2" t="s">
        <v>90</v>
      </c>
      <c r="C942" s="2" t="s">
        <v>9442</v>
      </c>
      <c r="D942" s="2" t="s">
        <v>9443</v>
      </c>
      <c r="E942" s="2" t="s">
        <v>9444</v>
      </c>
      <c r="F942" s="3" t="s">
        <v>1384</v>
      </c>
      <c r="G942" s="3" t="s">
        <v>61</v>
      </c>
      <c r="I942" s="3" t="s">
        <v>62</v>
      </c>
      <c r="J942" s="3" t="s">
        <v>62</v>
      </c>
      <c r="K942" s="3" t="s">
        <v>63</v>
      </c>
      <c r="M942" s="2" t="s">
        <v>9445</v>
      </c>
      <c r="N942" s="3" t="s">
        <v>568</v>
      </c>
      <c r="P942" s="3" t="s">
        <v>64</v>
      </c>
      <c r="Q942" s="2" t="s">
        <v>9446</v>
      </c>
      <c r="R942" s="3" t="s">
        <v>65</v>
      </c>
      <c r="S942" s="4">
        <v>0</v>
      </c>
      <c r="T942" s="4">
        <v>2</v>
      </c>
      <c r="V942" s="5" t="s">
        <v>9447</v>
      </c>
      <c r="W942" s="5" t="s">
        <v>67</v>
      </c>
      <c r="X942" s="5" t="s">
        <v>67</v>
      </c>
      <c r="Y942" s="4">
        <v>705</v>
      </c>
      <c r="Z942" s="4">
        <v>20</v>
      </c>
      <c r="AA942" s="4">
        <v>59</v>
      </c>
      <c r="AB942" s="4">
        <v>1</v>
      </c>
      <c r="AC942" s="4">
        <v>9</v>
      </c>
      <c r="AD942" s="4">
        <v>77</v>
      </c>
      <c r="AE942" s="4">
        <v>101</v>
      </c>
      <c r="AF942" s="4">
        <v>0</v>
      </c>
      <c r="AG942" s="4">
        <v>4</v>
      </c>
      <c r="AH942" s="4">
        <v>68</v>
      </c>
      <c r="AI942" s="4">
        <v>80</v>
      </c>
      <c r="AJ942" s="4">
        <v>8</v>
      </c>
      <c r="AK942" s="4">
        <v>16</v>
      </c>
      <c r="AL942" s="4">
        <v>35</v>
      </c>
      <c r="AM942" s="4">
        <v>39</v>
      </c>
      <c r="AN942" s="4">
        <v>0</v>
      </c>
      <c r="AO942" s="4">
        <v>0</v>
      </c>
      <c r="AP942" s="4">
        <v>14</v>
      </c>
      <c r="AQ942" s="4">
        <v>30</v>
      </c>
      <c r="AR942" s="3" t="s">
        <v>62</v>
      </c>
      <c r="AS942" s="3" t="s">
        <v>62</v>
      </c>
      <c r="AT942" s="3" t="s">
        <v>61</v>
      </c>
      <c r="AU942" s="6" t="str">
        <f t="shared" si="26"/>
        <v>HathiTrust Record</v>
      </c>
      <c r="AV942" s="6" t="str">
        <f t="shared" si="27"/>
        <v>Catalog Record</v>
      </c>
      <c r="AW942" s="6" t="str">
        <f t="shared" si="28"/>
        <v>WorldCat Record</v>
      </c>
      <c r="AX942" s="3" t="s">
        <v>9448</v>
      </c>
      <c r="AY942" s="3" t="s">
        <v>9449</v>
      </c>
      <c r="AZ942" s="3" t="s">
        <v>9450</v>
      </c>
      <c r="BA942" s="3" t="s">
        <v>9450</v>
      </c>
      <c r="BB942" s="3" t="s">
        <v>9464</v>
      </c>
      <c r="BC942" s="3" t="s">
        <v>102</v>
      </c>
      <c r="BD942" s="3" t="s">
        <v>68</v>
      </c>
      <c r="BE942" s="3" t="s">
        <v>9452</v>
      </c>
      <c r="BF942" s="3" t="s">
        <v>9464</v>
      </c>
      <c r="BG942" s="3" t="s">
        <v>9465</v>
      </c>
    </row>
    <row r="943" spans="1:59" ht="58" x14ac:dyDescent="0.35">
      <c r="A943" s="2" t="s">
        <v>89</v>
      </c>
      <c r="B943" s="2" t="s">
        <v>90</v>
      </c>
      <c r="C943" s="2" t="s">
        <v>9442</v>
      </c>
      <c r="D943" s="2" t="s">
        <v>9443</v>
      </c>
      <c r="E943" s="2" t="s">
        <v>9444</v>
      </c>
      <c r="F943" s="3" t="s">
        <v>3771</v>
      </c>
      <c r="G943" s="3" t="s">
        <v>61</v>
      </c>
      <c r="I943" s="3" t="s">
        <v>62</v>
      </c>
      <c r="J943" s="3" t="s">
        <v>62</v>
      </c>
      <c r="K943" s="3" t="s">
        <v>63</v>
      </c>
      <c r="M943" s="2" t="s">
        <v>9445</v>
      </c>
      <c r="N943" s="3" t="s">
        <v>568</v>
      </c>
      <c r="P943" s="3" t="s">
        <v>64</v>
      </c>
      <c r="Q943" s="2" t="s">
        <v>9446</v>
      </c>
      <c r="R943" s="3" t="s">
        <v>65</v>
      </c>
      <c r="S943" s="4">
        <v>0</v>
      </c>
      <c r="T943" s="4">
        <v>2</v>
      </c>
      <c r="V943" s="5" t="s">
        <v>9447</v>
      </c>
      <c r="W943" s="5" t="s">
        <v>67</v>
      </c>
      <c r="X943" s="5" t="s">
        <v>67</v>
      </c>
      <c r="Y943" s="4">
        <v>705</v>
      </c>
      <c r="Z943" s="4">
        <v>20</v>
      </c>
      <c r="AA943" s="4">
        <v>59</v>
      </c>
      <c r="AB943" s="4">
        <v>1</v>
      </c>
      <c r="AC943" s="4">
        <v>9</v>
      </c>
      <c r="AD943" s="4">
        <v>77</v>
      </c>
      <c r="AE943" s="4">
        <v>101</v>
      </c>
      <c r="AF943" s="4">
        <v>0</v>
      </c>
      <c r="AG943" s="4">
        <v>4</v>
      </c>
      <c r="AH943" s="4">
        <v>68</v>
      </c>
      <c r="AI943" s="4">
        <v>80</v>
      </c>
      <c r="AJ943" s="4">
        <v>8</v>
      </c>
      <c r="AK943" s="4">
        <v>16</v>
      </c>
      <c r="AL943" s="4">
        <v>35</v>
      </c>
      <c r="AM943" s="4">
        <v>39</v>
      </c>
      <c r="AN943" s="4">
        <v>0</v>
      </c>
      <c r="AO943" s="4">
        <v>0</v>
      </c>
      <c r="AP943" s="4">
        <v>14</v>
      </c>
      <c r="AQ943" s="4">
        <v>30</v>
      </c>
      <c r="AR943" s="3" t="s">
        <v>62</v>
      </c>
      <c r="AS943" s="3" t="s">
        <v>62</v>
      </c>
      <c r="AT943" s="3" t="s">
        <v>61</v>
      </c>
      <c r="AU943" s="6" t="str">
        <f t="shared" si="26"/>
        <v>HathiTrust Record</v>
      </c>
      <c r="AV943" s="6" t="str">
        <f t="shared" si="27"/>
        <v>Catalog Record</v>
      </c>
      <c r="AW943" s="6" t="str">
        <f t="shared" si="28"/>
        <v>WorldCat Record</v>
      </c>
      <c r="AX943" s="3" t="s">
        <v>9448</v>
      </c>
      <c r="AY943" s="3" t="s">
        <v>9449</v>
      </c>
      <c r="AZ943" s="3" t="s">
        <v>9450</v>
      </c>
      <c r="BA943" s="3" t="s">
        <v>9450</v>
      </c>
      <c r="BB943" s="3" t="s">
        <v>9466</v>
      </c>
      <c r="BC943" s="3" t="s">
        <v>102</v>
      </c>
      <c r="BD943" s="3" t="s">
        <v>68</v>
      </c>
      <c r="BE943" s="3" t="s">
        <v>9452</v>
      </c>
      <c r="BF943" s="3" t="s">
        <v>9466</v>
      </c>
      <c r="BG943" s="3" t="s">
        <v>9467</v>
      </c>
    </row>
    <row r="944" spans="1:59" ht="58" x14ac:dyDescent="0.35">
      <c r="A944" s="2" t="s">
        <v>89</v>
      </c>
      <c r="B944" s="2" t="s">
        <v>90</v>
      </c>
      <c r="C944" s="2" t="s">
        <v>9468</v>
      </c>
      <c r="D944" s="2" t="s">
        <v>9469</v>
      </c>
      <c r="E944" s="2" t="s">
        <v>9470</v>
      </c>
      <c r="G944" s="3" t="s">
        <v>62</v>
      </c>
      <c r="I944" s="3" t="s">
        <v>62</v>
      </c>
      <c r="J944" s="3" t="s">
        <v>62</v>
      </c>
      <c r="K944" s="3" t="s">
        <v>63</v>
      </c>
      <c r="L944" s="2" t="s">
        <v>9471</v>
      </c>
      <c r="M944" s="2" t="s">
        <v>9472</v>
      </c>
      <c r="N944" s="3" t="s">
        <v>1195</v>
      </c>
      <c r="P944" s="3" t="s">
        <v>85</v>
      </c>
      <c r="Q944" s="2" t="s">
        <v>9473</v>
      </c>
      <c r="R944" s="3" t="s">
        <v>65</v>
      </c>
      <c r="S944" s="4">
        <v>12</v>
      </c>
      <c r="T944" s="4">
        <v>12</v>
      </c>
      <c r="U944" s="5" t="s">
        <v>9474</v>
      </c>
      <c r="V944" s="5" t="s">
        <v>9474</v>
      </c>
      <c r="W944" s="5" t="s">
        <v>67</v>
      </c>
      <c r="X944" s="5" t="s">
        <v>67</v>
      </c>
      <c r="Y944" s="4">
        <v>23</v>
      </c>
      <c r="Z944" s="4">
        <v>4</v>
      </c>
      <c r="AA944" s="4">
        <v>16</v>
      </c>
      <c r="AB944" s="4">
        <v>2</v>
      </c>
      <c r="AC944" s="4">
        <v>9</v>
      </c>
      <c r="AD944" s="4">
        <v>7</v>
      </c>
      <c r="AE944" s="4">
        <v>21</v>
      </c>
      <c r="AF944" s="4">
        <v>0</v>
      </c>
      <c r="AG944" s="4">
        <v>4</v>
      </c>
      <c r="AH944" s="4">
        <v>6</v>
      </c>
      <c r="AI944" s="4">
        <v>12</v>
      </c>
      <c r="AJ944" s="4">
        <v>1</v>
      </c>
      <c r="AK944" s="4">
        <v>8</v>
      </c>
      <c r="AL944" s="4">
        <v>5</v>
      </c>
      <c r="AM944" s="4">
        <v>9</v>
      </c>
      <c r="AN944" s="4">
        <v>0</v>
      </c>
      <c r="AO944" s="4">
        <v>0</v>
      </c>
      <c r="AP944" s="4">
        <v>2</v>
      </c>
      <c r="AQ944" s="4">
        <v>9</v>
      </c>
      <c r="AR944" s="3" t="s">
        <v>62</v>
      </c>
      <c r="AS944" s="3" t="s">
        <v>62</v>
      </c>
      <c r="AT944" s="3" t="s">
        <v>62</v>
      </c>
      <c r="AV944" s="6" t="str">
        <f>HYPERLINK("http://mcgill.on.worldcat.org/oclc/76879651","Catalog Record")</f>
        <v>Catalog Record</v>
      </c>
      <c r="AW944" s="6" t="str">
        <f>HYPERLINK("http://www.worldcat.org/oclc/76879651","WorldCat Record")</f>
        <v>WorldCat Record</v>
      </c>
      <c r="AX944" s="3" t="s">
        <v>9475</v>
      </c>
      <c r="AY944" s="3" t="s">
        <v>9476</v>
      </c>
      <c r="AZ944" s="3" t="s">
        <v>9477</v>
      </c>
      <c r="BA944" s="3" t="s">
        <v>9477</v>
      </c>
      <c r="BB944" s="3" t="s">
        <v>9478</v>
      </c>
      <c r="BC944" s="3" t="s">
        <v>102</v>
      </c>
      <c r="BD944" s="3" t="s">
        <v>68</v>
      </c>
      <c r="BE944" s="3" t="s">
        <v>9479</v>
      </c>
      <c r="BF944" s="3" t="s">
        <v>9478</v>
      </c>
      <c r="BG944" s="3" t="s">
        <v>9480</v>
      </c>
    </row>
    <row r="945" spans="1:59" ht="58" x14ac:dyDescent="0.35">
      <c r="A945" s="2" t="s">
        <v>89</v>
      </c>
      <c r="B945" s="2" t="s">
        <v>90</v>
      </c>
      <c r="C945" s="2" t="s">
        <v>9481</v>
      </c>
      <c r="D945" s="2" t="s">
        <v>9482</v>
      </c>
      <c r="E945" s="2" t="s">
        <v>9483</v>
      </c>
      <c r="G945" s="3" t="s">
        <v>62</v>
      </c>
      <c r="I945" s="3" t="s">
        <v>62</v>
      </c>
      <c r="J945" s="3" t="s">
        <v>62</v>
      </c>
      <c r="K945" s="3" t="s">
        <v>63</v>
      </c>
      <c r="M945" s="2" t="s">
        <v>9484</v>
      </c>
      <c r="N945" s="3" t="s">
        <v>1905</v>
      </c>
      <c r="P945" s="3" t="s">
        <v>64</v>
      </c>
      <c r="R945" s="3" t="s">
        <v>65</v>
      </c>
      <c r="S945" s="4">
        <v>18</v>
      </c>
      <c r="T945" s="4">
        <v>18</v>
      </c>
      <c r="U945" s="5" t="s">
        <v>5098</v>
      </c>
      <c r="V945" s="5" t="s">
        <v>5098</v>
      </c>
      <c r="W945" s="5" t="s">
        <v>67</v>
      </c>
      <c r="X945" s="5" t="s">
        <v>67</v>
      </c>
      <c r="Y945" s="4">
        <v>182</v>
      </c>
      <c r="Z945" s="4">
        <v>21</v>
      </c>
      <c r="AA945" s="4">
        <v>22</v>
      </c>
      <c r="AB945" s="4">
        <v>1</v>
      </c>
      <c r="AC945" s="4">
        <v>2</v>
      </c>
      <c r="AD945" s="4">
        <v>68</v>
      </c>
      <c r="AE945" s="4">
        <v>69</v>
      </c>
      <c r="AF945" s="4">
        <v>0</v>
      </c>
      <c r="AG945" s="4">
        <v>1</v>
      </c>
      <c r="AH945" s="4">
        <v>59</v>
      </c>
      <c r="AI945" s="4">
        <v>59</v>
      </c>
      <c r="AJ945" s="4">
        <v>12</v>
      </c>
      <c r="AK945" s="4">
        <v>13</v>
      </c>
      <c r="AL945" s="4">
        <v>33</v>
      </c>
      <c r="AM945" s="4">
        <v>33</v>
      </c>
      <c r="AN945" s="4">
        <v>0</v>
      </c>
      <c r="AO945" s="4">
        <v>0</v>
      </c>
      <c r="AP945" s="4">
        <v>17</v>
      </c>
      <c r="AQ945" s="4">
        <v>18</v>
      </c>
      <c r="AR945" s="3" t="s">
        <v>62</v>
      </c>
      <c r="AS945" s="3" t="s">
        <v>62</v>
      </c>
      <c r="AT945" s="3" t="s">
        <v>62</v>
      </c>
      <c r="AV945" s="6" t="str">
        <f>HYPERLINK("http://mcgill.on.worldcat.org/oclc/25874198","Catalog Record")</f>
        <v>Catalog Record</v>
      </c>
      <c r="AW945" s="6" t="str">
        <f>HYPERLINK("http://www.worldcat.org/oclc/25874198","WorldCat Record")</f>
        <v>WorldCat Record</v>
      </c>
      <c r="AX945" s="3" t="s">
        <v>9485</v>
      </c>
      <c r="AY945" s="3" t="s">
        <v>9486</v>
      </c>
      <c r="AZ945" s="3" t="s">
        <v>9487</v>
      </c>
      <c r="BA945" s="3" t="s">
        <v>9487</v>
      </c>
      <c r="BB945" s="3" t="s">
        <v>9488</v>
      </c>
      <c r="BC945" s="3" t="s">
        <v>102</v>
      </c>
      <c r="BD945" s="3" t="s">
        <v>68</v>
      </c>
      <c r="BE945" s="3" t="s">
        <v>9489</v>
      </c>
      <c r="BF945" s="3" t="s">
        <v>9488</v>
      </c>
      <c r="BG945" s="3" t="s">
        <v>9490</v>
      </c>
    </row>
    <row r="946" spans="1:59" ht="58" x14ac:dyDescent="0.35">
      <c r="A946" s="2" t="s">
        <v>89</v>
      </c>
      <c r="B946" s="2" t="s">
        <v>90</v>
      </c>
      <c r="C946" s="2" t="s">
        <v>9491</v>
      </c>
      <c r="D946" s="2" t="s">
        <v>9492</v>
      </c>
      <c r="E946" s="2" t="s">
        <v>9493</v>
      </c>
      <c r="G946" s="3" t="s">
        <v>62</v>
      </c>
      <c r="I946" s="3" t="s">
        <v>62</v>
      </c>
      <c r="J946" s="3" t="s">
        <v>62</v>
      </c>
      <c r="K946" s="3" t="s">
        <v>63</v>
      </c>
      <c r="L946" s="2" t="s">
        <v>9494</v>
      </c>
      <c r="M946" s="2" t="s">
        <v>9495</v>
      </c>
      <c r="N946" s="3" t="s">
        <v>866</v>
      </c>
      <c r="P946" s="3" t="s">
        <v>64</v>
      </c>
      <c r="Q946" s="2" t="s">
        <v>9496</v>
      </c>
      <c r="R946" s="3" t="s">
        <v>65</v>
      </c>
      <c r="S946" s="4">
        <v>24</v>
      </c>
      <c r="T946" s="4">
        <v>24</v>
      </c>
      <c r="U946" s="5" t="s">
        <v>3863</v>
      </c>
      <c r="V946" s="5" t="s">
        <v>3863</v>
      </c>
      <c r="W946" s="5" t="s">
        <v>67</v>
      </c>
      <c r="X946" s="5" t="s">
        <v>67</v>
      </c>
      <c r="Y946" s="4">
        <v>200</v>
      </c>
      <c r="Z946" s="4">
        <v>24</v>
      </c>
      <c r="AA946" s="4">
        <v>26</v>
      </c>
      <c r="AB946" s="4">
        <v>2</v>
      </c>
      <c r="AC946" s="4">
        <v>4</v>
      </c>
      <c r="AD946" s="4">
        <v>46</v>
      </c>
      <c r="AE946" s="4">
        <v>50</v>
      </c>
      <c r="AF946" s="4">
        <v>1</v>
      </c>
      <c r="AG946" s="4">
        <v>3</v>
      </c>
      <c r="AH946" s="4">
        <v>32</v>
      </c>
      <c r="AI946" s="4">
        <v>34</v>
      </c>
      <c r="AJ946" s="4">
        <v>13</v>
      </c>
      <c r="AK946" s="4">
        <v>15</v>
      </c>
      <c r="AL946" s="4">
        <v>20</v>
      </c>
      <c r="AM946" s="4">
        <v>22</v>
      </c>
      <c r="AN946" s="4">
        <v>0</v>
      </c>
      <c r="AO946" s="4">
        <v>0</v>
      </c>
      <c r="AP946" s="4">
        <v>20</v>
      </c>
      <c r="AQ946" s="4">
        <v>21</v>
      </c>
      <c r="AR946" s="3" t="s">
        <v>62</v>
      </c>
      <c r="AS946" s="3" t="s">
        <v>62</v>
      </c>
      <c r="AT946" s="3" t="s">
        <v>61</v>
      </c>
      <c r="AU946" s="6" t="str">
        <f>HYPERLINK("http://catalog.hathitrust.org/Record/000007909","HathiTrust Record")</f>
        <v>HathiTrust Record</v>
      </c>
      <c r="AV946" s="6" t="str">
        <f>HYPERLINK("http://mcgill.on.worldcat.org/oclc/584576","Catalog Record")</f>
        <v>Catalog Record</v>
      </c>
      <c r="AW946" s="6" t="str">
        <f>HYPERLINK("http://www.worldcat.org/oclc/584576","WorldCat Record")</f>
        <v>WorldCat Record</v>
      </c>
      <c r="AX946" s="3" t="s">
        <v>9497</v>
      </c>
      <c r="AY946" s="3" t="s">
        <v>9498</v>
      </c>
      <c r="AZ946" s="3" t="s">
        <v>9499</v>
      </c>
      <c r="BA946" s="3" t="s">
        <v>9499</v>
      </c>
      <c r="BB946" s="3" t="s">
        <v>9500</v>
      </c>
      <c r="BC946" s="3" t="s">
        <v>102</v>
      </c>
      <c r="BD946" s="3" t="s">
        <v>68</v>
      </c>
      <c r="BE946" s="3" t="s">
        <v>9501</v>
      </c>
      <c r="BF946" s="3" t="s">
        <v>9500</v>
      </c>
      <c r="BG946" s="3" t="s">
        <v>9502</v>
      </c>
    </row>
    <row r="947" spans="1:59" ht="58" x14ac:dyDescent="0.35">
      <c r="A947" s="2" t="s">
        <v>89</v>
      </c>
      <c r="B947" s="2" t="s">
        <v>90</v>
      </c>
      <c r="C947" s="2" t="s">
        <v>9503</v>
      </c>
      <c r="D947" s="2" t="s">
        <v>9504</v>
      </c>
      <c r="E947" s="2" t="s">
        <v>9505</v>
      </c>
      <c r="G947" s="3" t="s">
        <v>62</v>
      </c>
      <c r="I947" s="3" t="s">
        <v>62</v>
      </c>
      <c r="J947" s="3" t="s">
        <v>62</v>
      </c>
      <c r="K947" s="3" t="s">
        <v>63</v>
      </c>
      <c r="L947" s="2" t="s">
        <v>9506</v>
      </c>
      <c r="M947" s="2" t="s">
        <v>9507</v>
      </c>
      <c r="N947" s="3" t="s">
        <v>2975</v>
      </c>
      <c r="P947" s="3" t="s">
        <v>85</v>
      </c>
      <c r="Q947" s="2" t="s">
        <v>9508</v>
      </c>
      <c r="R947" s="3" t="s">
        <v>65</v>
      </c>
      <c r="S947" s="4">
        <v>8</v>
      </c>
      <c r="T947" s="4">
        <v>8</v>
      </c>
      <c r="U947" s="5" t="s">
        <v>5356</v>
      </c>
      <c r="V947" s="5" t="s">
        <v>5356</v>
      </c>
      <c r="W947" s="5" t="s">
        <v>67</v>
      </c>
      <c r="X947" s="5" t="s">
        <v>67</v>
      </c>
      <c r="Y947" s="4">
        <v>29</v>
      </c>
      <c r="Z947" s="4">
        <v>2</v>
      </c>
      <c r="AA947" s="4">
        <v>18</v>
      </c>
      <c r="AB947" s="4">
        <v>1</v>
      </c>
      <c r="AC947" s="4">
        <v>15</v>
      </c>
      <c r="AD947" s="4">
        <v>11</v>
      </c>
      <c r="AE947" s="4">
        <v>19</v>
      </c>
      <c r="AF947" s="4">
        <v>0</v>
      </c>
      <c r="AG947" s="4">
        <v>5</v>
      </c>
      <c r="AH947" s="4">
        <v>9</v>
      </c>
      <c r="AI947" s="4">
        <v>13</v>
      </c>
      <c r="AJ947" s="4">
        <v>1</v>
      </c>
      <c r="AK947" s="4">
        <v>6</v>
      </c>
      <c r="AL947" s="4">
        <v>8</v>
      </c>
      <c r="AM947" s="4">
        <v>9</v>
      </c>
      <c r="AN947" s="4">
        <v>0</v>
      </c>
      <c r="AO947" s="4">
        <v>0</v>
      </c>
      <c r="AP947" s="4">
        <v>1</v>
      </c>
      <c r="AQ947" s="4">
        <v>7</v>
      </c>
      <c r="AR947" s="3" t="s">
        <v>62</v>
      </c>
      <c r="AS947" s="3" t="s">
        <v>62</v>
      </c>
      <c r="AT947" s="3" t="s">
        <v>61</v>
      </c>
      <c r="AU947" s="6" t="str">
        <f>HYPERLINK("http://catalog.hathitrust.org/Record/004301009","HathiTrust Record")</f>
        <v>HathiTrust Record</v>
      </c>
      <c r="AV947" s="6" t="str">
        <f>HYPERLINK("http://mcgill.on.worldcat.org/oclc/51607795","Catalog Record")</f>
        <v>Catalog Record</v>
      </c>
      <c r="AW947" s="6" t="str">
        <f>HYPERLINK("http://www.worldcat.org/oclc/51607795","WorldCat Record")</f>
        <v>WorldCat Record</v>
      </c>
      <c r="AX947" s="3" t="s">
        <v>9509</v>
      </c>
      <c r="AY947" s="3" t="s">
        <v>9510</v>
      </c>
      <c r="AZ947" s="3" t="s">
        <v>9511</v>
      </c>
      <c r="BA947" s="3" t="s">
        <v>9511</v>
      </c>
      <c r="BB947" s="3" t="s">
        <v>9512</v>
      </c>
      <c r="BC947" s="3" t="s">
        <v>102</v>
      </c>
      <c r="BD947" s="3" t="s">
        <v>68</v>
      </c>
      <c r="BE947" s="3" t="s">
        <v>9513</v>
      </c>
      <c r="BF947" s="3" t="s">
        <v>9512</v>
      </c>
      <c r="BG947" s="3" t="s">
        <v>9514</v>
      </c>
    </row>
    <row r="948" spans="1:59" ht="58" x14ac:dyDescent="0.35">
      <c r="A948" s="2" t="s">
        <v>89</v>
      </c>
      <c r="B948" s="2" t="s">
        <v>90</v>
      </c>
      <c r="C948" s="2" t="s">
        <v>9515</v>
      </c>
      <c r="D948" s="2" t="s">
        <v>9516</v>
      </c>
      <c r="E948" s="2" t="s">
        <v>9517</v>
      </c>
      <c r="G948" s="3" t="s">
        <v>62</v>
      </c>
      <c r="I948" s="3" t="s">
        <v>62</v>
      </c>
      <c r="J948" s="3" t="s">
        <v>61</v>
      </c>
      <c r="K948" s="3" t="s">
        <v>63</v>
      </c>
      <c r="L948" s="2" t="s">
        <v>9518</v>
      </c>
      <c r="M948" s="2" t="s">
        <v>9519</v>
      </c>
      <c r="N948" s="3" t="s">
        <v>396</v>
      </c>
      <c r="P948" s="3" t="s">
        <v>64</v>
      </c>
      <c r="R948" s="3" t="s">
        <v>65</v>
      </c>
      <c r="S948" s="4">
        <v>31</v>
      </c>
      <c r="T948" s="4">
        <v>31</v>
      </c>
      <c r="U948" s="5" t="s">
        <v>9520</v>
      </c>
      <c r="V948" s="5" t="s">
        <v>9520</v>
      </c>
      <c r="W948" s="5" t="s">
        <v>67</v>
      </c>
      <c r="X948" s="5" t="s">
        <v>67</v>
      </c>
      <c r="Y948" s="4">
        <v>329</v>
      </c>
      <c r="Z948" s="4">
        <v>19</v>
      </c>
      <c r="AA948" s="4">
        <v>27</v>
      </c>
      <c r="AB948" s="4">
        <v>1</v>
      </c>
      <c r="AC948" s="4">
        <v>3</v>
      </c>
      <c r="AD948" s="4">
        <v>98</v>
      </c>
      <c r="AE948" s="4">
        <v>117</v>
      </c>
      <c r="AF948" s="4">
        <v>0</v>
      </c>
      <c r="AG948" s="4">
        <v>2</v>
      </c>
      <c r="AH948" s="4">
        <v>91</v>
      </c>
      <c r="AI948" s="4">
        <v>102</v>
      </c>
      <c r="AJ948" s="4">
        <v>15</v>
      </c>
      <c r="AK948" s="4">
        <v>19</v>
      </c>
      <c r="AL948" s="4">
        <v>54</v>
      </c>
      <c r="AM948" s="4">
        <v>59</v>
      </c>
      <c r="AN948" s="4">
        <v>3</v>
      </c>
      <c r="AO948" s="4">
        <v>3</v>
      </c>
      <c r="AP948" s="4">
        <v>15</v>
      </c>
      <c r="AQ948" s="4">
        <v>21</v>
      </c>
      <c r="AR948" s="3" t="s">
        <v>62</v>
      </c>
      <c r="AS948" s="3" t="s">
        <v>62</v>
      </c>
      <c r="AT948" s="3" t="s">
        <v>61</v>
      </c>
      <c r="AU948" s="6" t="str">
        <f>HYPERLINK("http://catalog.hathitrust.org/Record/000654610","HathiTrust Record")</f>
        <v>HathiTrust Record</v>
      </c>
      <c r="AV948" s="6" t="str">
        <f>HYPERLINK("http://mcgill.on.worldcat.org/oclc/13010908","Catalog Record")</f>
        <v>Catalog Record</v>
      </c>
      <c r="AW948" s="6" t="str">
        <f>HYPERLINK("http://www.worldcat.org/oclc/13010908","WorldCat Record")</f>
        <v>WorldCat Record</v>
      </c>
      <c r="AX948" s="3" t="s">
        <v>9521</v>
      </c>
      <c r="AY948" s="3" t="s">
        <v>9522</v>
      </c>
      <c r="AZ948" s="3" t="s">
        <v>9523</v>
      </c>
      <c r="BA948" s="3" t="s">
        <v>9523</v>
      </c>
      <c r="BB948" s="3" t="s">
        <v>9524</v>
      </c>
      <c r="BC948" s="3" t="s">
        <v>102</v>
      </c>
      <c r="BD948" s="3" t="s">
        <v>68</v>
      </c>
      <c r="BE948" s="3" t="s">
        <v>9525</v>
      </c>
      <c r="BF948" s="3" t="s">
        <v>9524</v>
      </c>
      <c r="BG948" s="3" t="s">
        <v>9526</v>
      </c>
    </row>
    <row r="949" spans="1:59" ht="58" x14ac:dyDescent="0.35">
      <c r="A949" s="2" t="s">
        <v>89</v>
      </c>
      <c r="B949" s="2" t="s">
        <v>90</v>
      </c>
      <c r="C949" s="2" t="s">
        <v>9527</v>
      </c>
      <c r="D949" s="2" t="s">
        <v>9528</v>
      </c>
      <c r="E949" s="2" t="s">
        <v>9529</v>
      </c>
      <c r="G949" s="3" t="s">
        <v>62</v>
      </c>
      <c r="I949" s="3" t="s">
        <v>62</v>
      </c>
      <c r="J949" s="3" t="s">
        <v>61</v>
      </c>
      <c r="K949" s="3" t="s">
        <v>63</v>
      </c>
      <c r="L949" s="2" t="s">
        <v>9518</v>
      </c>
      <c r="M949" s="2" t="s">
        <v>1844</v>
      </c>
      <c r="N949" s="3" t="s">
        <v>466</v>
      </c>
      <c r="P949" s="3" t="s">
        <v>64</v>
      </c>
      <c r="R949" s="3" t="s">
        <v>65</v>
      </c>
      <c r="S949" s="4">
        <v>43</v>
      </c>
      <c r="T949" s="4">
        <v>43</v>
      </c>
      <c r="U949" s="5" t="s">
        <v>8916</v>
      </c>
      <c r="V949" s="5" t="s">
        <v>8916</v>
      </c>
      <c r="W949" s="5" t="s">
        <v>67</v>
      </c>
      <c r="X949" s="5" t="s">
        <v>67</v>
      </c>
      <c r="Y949" s="4">
        <v>160</v>
      </c>
      <c r="Z949" s="4">
        <v>9</v>
      </c>
      <c r="AA949" s="4">
        <v>27</v>
      </c>
      <c r="AB949" s="4">
        <v>1</v>
      </c>
      <c r="AC949" s="4">
        <v>3</v>
      </c>
      <c r="AD949" s="4">
        <v>39</v>
      </c>
      <c r="AE949" s="4">
        <v>117</v>
      </c>
      <c r="AF949" s="4">
        <v>0</v>
      </c>
      <c r="AG949" s="4">
        <v>2</v>
      </c>
      <c r="AH949" s="4">
        <v>32</v>
      </c>
      <c r="AI949" s="4">
        <v>102</v>
      </c>
      <c r="AJ949" s="4">
        <v>4</v>
      </c>
      <c r="AK949" s="4">
        <v>19</v>
      </c>
      <c r="AL949" s="4">
        <v>17</v>
      </c>
      <c r="AM949" s="4">
        <v>59</v>
      </c>
      <c r="AN949" s="4">
        <v>0</v>
      </c>
      <c r="AO949" s="4">
        <v>3</v>
      </c>
      <c r="AP949" s="4">
        <v>7</v>
      </c>
      <c r="AQ949" s="4">
        <v>21</v>
      </c>
      <c r="AR949" s="3" t="s">
        <v>62</v>
      </c>
      <c r="AS949" s="3" t="s">
        <v>62</v>
      </c>
      <c r="AT949" s="3" t="s">
        <v>62</v>
      </c>
      <c r="AV949" s="6" t="str">
        <f>HYPERLINK("http://mcgill.on.worldcat.org/oclc/25130943","Catalog Record")</f>
        <v>Catalog Record</v>
      </c>
      <c r="AW949" s="6" t="str">
        <f>HYPERLINK("http://www.worldcat.org/oclc/25130943","WorldCat Record")</f>
        <v>WorldCat Record</v>
      </c>
      <c r="AX949" s="3" t="s">
        <v>9521</v>
      </c>
      <c r="AY949" s="3" t="s">
        <v>9530</v>
      </c>
      <c r="AZ949" s="3" t="s">
        <v>9531</v>
      </c>
      <c r="BA949" s="3" t="s">
        <v>9531</v>
      </c>
      <c r="BB949" s="3" t="s">
        <v>9532</v>
      </c>
      <c r="BC949" s="3" t="s">
        <v>102</v>
      </c>
      <c r="BD949" s="3" t="s">
        <v>68</v>
      </c>
      <c r="BE949" s="3" t="s">
        <v>9533</v>
      </c>
      <c r="BF949" s="3" t="s">
        <v>9532</v>
      </c>
      <c r="BG949" s="3" t="s">
        <v>9534</v>
      </c>
    </row>
    <row r="950" spans="1:59" ht="58" x14ac:dyDescent="0.35">
      <c r="A950" s="2" t="s">
        <v>89</v>
      </c>
      <c r="B950" s="2" t="s">
        <v>90</v>
      </c>
      <c r="C950" s="2" t="s">
        <v>9535</v>
      </c>
      <c r="D950" s="2" t="s">
        <v>9536</v>
      </c>
      <c r="E950" s="2" t="s">
        <v>9537</v>
      </c>
      <c r="G950" s="3" t="s">
        <v>62</v>
      </c>
      <c r="I950" s="3" t="s">
        <v>62</v>
      </c>
      <c r="J950" s="3" t="s">
        <v>62</v>
      </c>
      <c r="K950" s="3" t="s">
        <v>63</v>
      </c>
      <c r="M950" s="2" t="s">
        <v>9538</v>
      </c>
      <c r="N950" s="3" t="s">
        <v>2136</v>
      </c>
      <c r="P950" s="3" t="s">
        <v>64</v>
      </c>
      <c r="Q950" s="2" t="s">
        <v>9539</v>
      </c>
      <c r="R950" s="3" t="s">
        <v>65</v>
      </c>
      <c r="S950" s="4">
        <v>8</v>
      </c>
      <c r="T950" s="4">
        <v>8</v>
      </c>
      <c r="U950" s="5" t="s">
        <v>9540</v>
      </c>
      <c r="V950" s="5" t="s">
        <v>9540</v>
      </c>
      <c r="W950" s="5" t="s">
        <v>67</v>
      </c>
      <c r="X950" s="5" t="s">
        <v>67</v>
      </c>
      <c r="Y950" s="4">
        <v>117</v>
      </c>
      <c r="Z950" s="4">
        <v>8</v>
      </c>
      <c r="AA950" s="4">
        <v>44</v>
      </c>
      <c r="AB950" s="4">
        <v>1</v>
      </c>
      <c r="AC950" s="4">
        <v>12</v>
      </c>
      <c r="AD950" s="4">
        <v>55</v>
      </c>
      <c r="AE950" s="4">
        <v>103</v>
      </c>
      <c r="AF950" s="4">
        <v>0</v>
      </c>
      <c r="AG950" s="4">
        <v>7</v>
      </c>
      <c r="AH950" s="4">
        <v>52</v>
      </c>
      <c r="AI950" s="4">
        <v>75</v>
      </c>
      <c r="AJ950" s="4">
        <v>7</v>
      </c>
      <c r="AK950" s="4">
        <v>22</v>
      </c>
      <c r="AL950" s="4">
        <v>34</v>
      </c>
      <c r="AM950" s="4">
        <v>40</v>
      </c>
      <c r="AN950" s="4">
        <v>0</v>
      </c>
      <c r="AO950" s="4">
        <v>0</v>
      </c>
      <c r="AP950" s="4">
        <v>7</v>
      </c>
      <c r="AQ950" s="4">
        <v>37</v>
      </c>
      <c r="AR950" s="3" t="s">
        <v>62</v>
      </c>
      <c r="AS950" s="3" t="s">
        <v>62</v>
      </c>
      <c r="AT950" s="3" t="s">
        <v>62</v>
      </c>
      <c r="AV950" s="6" t="str">
        <f>HYPERLINK("http://mcgill.on.worldcat.org/oclc/64310721","Catalog Record")</f>
        <v>Catalog Record</v>
      </c>
      <c r="AW950" s="6" t="str">
        <f>HYPERLINK("http://www.worldcat.org/oclc/64310721","WorldCat Record")</f>
        <v>WorldCat Record</v>
      </c>
      <c r="AX950" s="3" t="s">
        <v>9541</v>
      </c>
      <c r="AY950" s="3" t="s">
        <v>9542</v>
      </c>
      <c r="AZ950" s="3" t="s">
        <v>9543</v>
      </c>
      <c r="BA950" s="3" t="s">
        <v>9543</v>
      </c>
      <c r="BB950" s="3" t="s">
        <v>9544</v>
      </c>
      <c r="BC950" s="3" t="s">
        <v>102</v>
      </c>
      <c r="BD950" s="3" t="s">
        <v>68</v>
      </c>
      <c r="BE950" s="3" t="s">
        <v>9545</v>
      </c>
      <c r="BF950" s="3" t="s">
        <v>9544</v>
      </c>
      <c r="BG950" s="3" t="s">
        <v>9546</v>
      </c>
    </row>
    <row r="951" spans="1:59" ht="58" x14ac:dyDescent="0.35">
      <c r="A951" s="2" t="s">
        <v>89</v>
      </c>
      <c r="B951" s="2" t="s">
        <v>90</v>
      </c>
      <c r="C951" s="2" t="s">
        <v>9547</v>
      </c>
      <c r="D951" s="2" t="s">
        <v>9548</v>
      </c>
      <c r="E951" s="2" t="s">
        <v>9549</v>
      </c>
      <c r="G951" s="3" t="s">
        <v>62</v>
      </c>
      <c r="I951" s="3" t="s">
        <v>62</v>
      </c>
      <c r="J951" s="3" t="s">
        <v>62</v>
      </c>
      <c r="K951" s="3" t="s">
        <v>63</v>
      </c>
      <c r="M951" s="2" t="s">
        <v>9550</v>
      </c>
      <c r="N951" s="3" t="s">
        <v>115</v>
      </c>
      <c r="P951" s="3" t="s">
        <v>64</v>
      </c>
      <c r="Q951" s="2" t="s">
        <v>9551</v>
      </c>
      <c r="R951" s="3" t="s">
        <v>65</v>
      </c>
      <c r="S951" s="4">
        <v>21</v>
      </c>
      <c r="T951" s="4">
        <v>21</v>
      </c>
      <c r="U951" s="5" t="s">
        <v>2342</v>
      </c>
      <c r="V951" s="5" t="s">
        <v>2342</v>
      </c>
      <c r="W951" s="5" t="s">
        <v>67</v>
      </c>
      <c r="X951" s="5" t="s">
        <v>67</v>
      </c>
      <c r="Y951" s="4">
        <v>841</v>
      </c>
      <c r="Z951" s="4">
        <v>48</v>
      </c>
      <c r="AA951" s="4">
        <v>113</v>
      </c>
      <c r="AB951" s="4">
        <v>3</v>
      </c>
      <c r="AC951" s="4">
        <v>17</v>
      </c>
      <c r="AD951" s="4">
        <v>134</v>
      </c>
      <c r="AE951" s="4">
        <v>154</v>
      </c>
      <c r="AF951" s="4">
        <v>2</v>
      </c>
      <c r="AG951" s="4">
        <v>8</v>
      </c>
      <c r="AH951" s="4">
        <v>106</v>
      </c>
      <c r="AI951" s="4">
        <v>109</v>
      </c>
      <c r="AJ951" s="4">
        <v>22</v>
      </c>
      <c r="AK951" s="4">
        <v>27</v>
      </c>
      <c r="AL951" s="4">
        <v>56</v>
      </c>
      <c r="AM951" s="4">
        <v>57</v>
      </c>
      <c r="AN951" s="4">
        <v>0</v>
      </c>
      <c r="AO951" s="4">
        <v>0</v>
      </c>
      <c r="AP951" s="4">
        <v>37</v>
      </c>
      <c r="AQ951" s="4">
        <v>53</v>
      </c>
      <c r="AR951" s="3" t="s">
        <v>62</v>
      </c>
      <c r="AS951" s="3" t="s">
        <v>62</v>
      </c>
      <c r="AT951" s="3" t="s">
        <v>61</v>
      </c>
      <c r="AU951" s="6" t="str">
        <f>HYPERLINK("http://catalog.hathitrust.org/Record/001833946","HathiTrust Record")</f>
        <v>HathiTrust Record</v>
      </c>
      <c r="AV951" s="6" t="str">
        <f>HYPERLINK("http://mcgill.on.worldcat.org/oclc/18986376","Catalog Record")</f>
        <v>Catalog Record</v>
      </c>
      <c r="AW951" s="6" t="str">
        <f>HYPERLINK("http://www.worldcat.org/oclc/18986376","WorldCat Record")</f>
        <v>WorldCat Record</v>
      </c>
      <c r="AX951" s="3" t="s">
        <v>9552</v>
      </c>
      <c r="AY951" s="3" t="s">
        <v>9553</v>
      </c>
      <c r="AZ951" s="3" t="s">
        <v>9554</v>
      </c>
      <c r="BA951" s="3" t="s">
        <v>9554</v>
      </c>
      <c r="BB951" s="3" t="s">
        <v>9555</v>
      </c>
      <c r="BC951" s="3" t="s">
        <v>102</v>
      </c>
      <c r="BD951" s="3" t="s">
        <v>68</v>
      </c>
      <c r="BE951" s="3" t="s">
        <v>9556</v>
      </c>
      <c r="BF951" s="3" t="s">
        <v>9555</v>
      </c>
      <c r="BG951" s="3" t="s">
        <v>9557</v>
      </c>
    </row>
    <row r="952" spans="1:59" ht="58" x14ac:dyDescent="0.35">
      <c r="A952" s="2" t="s">
        <v>89</v>
      </c>
      <c r="B952" s="2" t="s">
        <v>90</v>
      </c>
      <c r="C952" s="2" t="s">
        <v>9558</v>
      </c>
      <c r="D952" s="2" t="s">
        <v>9559</v>
      </c>
      <c r="E952" s="2" t="s">
        <v>9560</v>
      </c>
      <c r="G952" s="3" t="s">
        <v>62</v>
      </c>
      <c r="I952" s="3" t="s">
        <v>62</v>
      </c>
      <c r="J952" s="3" t="s">
        <v>61</v>
      </c>
      <c r="K952" s="3" t="s">
        <v>63</v>
      </c>
      <c r="M952" s="2" t="s">
        <v>9561</v>
      </c>
      <c r="N952" s="3" t="s">
        <v>1482</v>
      </c>
      <c r="P952" s="3" t="s">
        <v>64</v>
      </c>
      <c r="Q952" s="2" t="s">
        <v>9562</v>
      </c>
      <c r="R952" s="3" t="s">
        <v>65</v>
      </c>
      <c r="S952" s="4">
        <v>48</v>
      </c>
      <c r="T952" s="4">
        <v>48</v>
      </c>
      <c r="U952" s="5" t="s">
        <v>9563</v>
      </c>
      <c r="V952" s="5" t="s">
        <v>9563</v>
      </c>
      <c r="W952" s="5" t="s">
        <v>67</v>
      </c>
      <c r="X952" s="5" t="s">
        <v>67</v>
      </c>
      <c r="Y952" s="4">
        <v>685</v>
      </c>
      <c r="Z952" s="4">
        <v>35</v>
      </c>
      <c r="AA952" s="4">
        <v>48</v>
      </c>
      <c r="AB952" s="4">
        <v>3</v>
      </c>
      <c r="AC952" s="4">
        <v>8</v>
      </c>
      <c r="AD952" s="4">
        <v>128</v>
      </c>
      <c r="AE952" s="4">
        <v>141</v>
      </c>
      <c r="AF952" s="4">
        <v>2</v>
      </c>
      <c r="AG952" s="4">
        <v>5</v>
      </c>
      <c r="AH952" s="4">
        <v>103</v>
      </c>
      <c r="AI952" s="4">
        <v>112</v>
      </c>
      <c r="AJ952" s="4">
        <v>18</v>
      </c>
      <c r="AK952" s="4">
        <v>24</v>
      </c>
      <c r="AL952" s="4">
        <v>55</v>
      </c>
      <c r="AM952" s="4">
        <v>57</v>
      </c>
      <c r="AN952" s="4">
        <v>2</v>
      </c>
      <c r="AO952" s="4">
        <v>5</v>
      </c>
      <c r="AP952" s="4">
        <v>28</v>
      </c>
      <c r="AQ952" s="4">
        <v>36</v>
      </c>
      <c r="AR952" s="3" t="s">
        <v>62</v>
      </c>
      <c r="AS952" s="3" t="s">
        <v>62</v>
      </c>
      <c r="AT952" s="3" t="s">
        <v>61</v>
      </c>
      <c r="AU952" s="6" t="str">
        <f>HYPERLINK("http://catalog.hathitrust.org/Record/000393473","HathiTrust Record")</f>
        <v>HathiTrust Record</v>
      </c>
      <c r="AV952" s="6" t="str">
        <f>HYPERLINK("http://mcgill.on.worldcat.org/oclc/12836850","Catalog Record")</f>
        <v>Catalog Record</v>
      </c>
      <c r="AW952" s="6" t="str">
        <f>HYPERLINK("http://www.worldcat.org/oclc/12836850","WorldCat Record")</f>
        <v>WorldCat Record</v>
      </c>
      <c r="AX952" s="3" t="s">
        <v>9564</v>
      </c>
      <c r="AY952" s="3" t="s">
        <v>9565</v>
      </c>
      <c r="AZ952" s="3" t="s">
        <v>9566</v>
      </c>
      <c r="BA952" s="3" t="s">
        <v>9566</v>
      </c>
      <c r="BB952" s="3" t="s">
        <v>9567</v>
      </c>
      <c r="BC952" s="3" t="s">
        <v>102</v>
      </c>
      <c r="BD952" s="3" t="s">
        <v>68</v>
      </c>
      <c r="BE952" s="3" t="s">
        <v>9568</v>
      </c>
      <c r="BF952" s="3" t="s">
        <v>9567</v>
      </c>
      <c r="BG952" s="3" t="s">
        <v>9569</v>
      </c>
    </row>
    <row r="953" spans="1:59" ht="58" x14ac:dyDescent="0.35">
      <c r="A953" s="2" t="s">
        <v>89</v>
      </c>
      <c r="B953" s="2" t="s">
        <v>90</v>
      </c>
      <c r="C953" s="2" t="s">
        <v>9570</v>
      </c>
      <c r="D953" s="2" t="s">
        <v>9571</v>
      </c>
      <c r="E953" s="2" t="s">
        <v>9572</v>
      </c>
      <c r="G953" s="3" t="s">
        <v>62</v>
      </c>
      <c r="I953" s="3" t="s">
        <v>62</v>
      </c>
      <c r="J953" s="3" t="s">
        <v>62</v>
      </c>
      <c r="K953" s="3" t="s">
        <v>63</v>
      </c>
      <c r="M953" s="2" t="s">
        <v>9573</v>
      </c>
      <c r="N953" s="3" t="s">
        <v>2975</v>
      </c>
      <c r="P953" s="3" t="s">
        <v>64</v>
      </c>
      <c r="R953" s="3" t="s">
        <v>65</v>
      </c>
      <c r="S953" s="4">
        <v>20</v>
      </c>
      <c r="T953" s="4">
        <v>20</v>
      </c>
      <c r="U953" s="5" t="s">
        <v>9574</v>
      </c>
      <c r="V953" s="5" t="s">
        <v>9574</v>
      </c>
      <c r="W953" s="5" t="s">
        <v>67</v>
      </c>
      <c r="X953" s="5" t="s">
        <v>67</v>
      </c>
      <c r="Y953" s="4">
        <v>379</v>
      </c>
      <c r="Z953" s="4">
        <v>32</v>
      </c>
      <c r="AA953" s="4">
        <v>34</v>
      </c>
      <c r="AB953" s="4">
        <v>3</v>
      </c>
      <c r="AC953" s="4">
        <v>5</v>
      </c>
      <c r="AD953" s="4">
        <v>113</v>
      </c>
      <c r="AE953" s="4">
        <v>113</v>
      </c>
      <c r="AF953" s="4">
        <v>1</v>
      </c>
      <c r="AG953" s="4">
        <v>1</v>
      </c>
      <c r="AH953" s="4">
        <v>94</v>
      </c>
      <c r="AI953" s="4">
        <v>94</v>
      </c>
      <c r="AJ953" s="4">
        <v>17</v>
      </c>
      <c r="AK953" s="4">
        <v>17</v>
      </c>
      <c r="AL953" s="4">
        <v>50</v>
      </c>
      <c r="AM953" s="4">
        <v>50</v>
      </c>
      <c r="AN953" s="4">
        <v>0</v>
      </c>
      <c r="AO953" s="4">
        <v>0</v>
      </c>
      <c r="AP953" s="4">
        <v>25</v>
      </c>
      <c r="AQ953" s="4">
        <v>25</v>
      </c>
      <c r="AR953" s="3" t="s">
        <v>62</v>
      </c>
      <c r="AS953" s="3" t="s">
        <v>62</v>
      </c>
      <c r="AT953" s="3" t="s">
        <v>62</v>
      </c>
      <c r="AV953" s="6" t="str">
        <f>HYPERLINK("http://mcgill.on.worldcat.org/oclc/44905095","Catalog Record")</f>
        <v>Catalog Record</v>
      </c>
      <c r="AW953" s="6" t="str">
        <f>HYPERLINK("http://www.worldcat.org/oclc/44905095","WorldCat Record")</f>
        <v>WorldCat Record</v>
      </c>
      <c r="AX953" s="3" t="s">
        <v>9575</v>
      </c>
      <c r="AY953" s="3" t="s">
        <v>9576</v>
      </c>
      <c r="AZ953" s="3" t="s">
        <v>9577</v>
      </c>
      <c r="BA953" s="3" t="s">
        <v>9577</v>
      </c>
      <c r="BB953" s="3" t="s">
        <v>9578</v>
      </c>
      <c r="BC953" s="3" t="s">
        <v>102</v>
      </c>
      <c r="BD953" s="3" t="s">
        <v>68</v>
      </c>
      <c r="BE953" s="3" t="s">
        <v>9579</v>
      </c>
      <c r="BF953" s="3" t="s">
        <v>9578</v>
      </c>
      <c r="BG953" s="3" t="s">
        <v>9580</v>
      </c>
    </row>
    <row r="954" spans="1:59" ht="72.5" x14ac:dyDescent="0.35">
      <c r="A954" s="2" t="s">
        <v>89</v>
      </c>
      <c r="B954" s="2" t="s">
        <v>90</v>
      </c>
      <c r="C954" s="2" t="s">
        <v>9581</v>
      </c>
      <c r="D954" s="2" t="s">
        <v>9582</v>
      </c>
      <c r="E954" s="2" t="s">
        <v>9583</v>
      </c>
      <c r="G954" s="3" t="s">
        <v>62</v>
      </c>
      <c r="I954" s="3" t="s">
        <v>61</v>
      </c>
      <c r="J954" s="3" t="s">
        <v>61</v>
      </c>
      <c r="K954" s="3" t="s">
        <v>63</v>
      </c>
      <c r="L954" s="2" t="s">
        <v>9584</v>
      </c>
      <c r="M954" s="2" t="s">
        <v>9585</v>
      </c>
      <c r="N954" s="3" t="s">
        <v>87</v>
      </c>
      <c r="P954" s="3" t="s">
        <v>64</v>
      </c>
      <c r="R954" s="3" t="s">
        <v>65</v>
      </c>
      <c r="S954" s="4">
        <v>31</v>
      </c>
      <c r="T954" s="4">
        <v>88</v>
      </c>
      <c r="U954" s="5" t="s">
        <v>9586</v>
      </c>
      <c r="V954" s="5" t="s">
        <v>2099</v>
      </c>
      <c r="W954" s="5" t="s">
        <v>67</v>
      </c>
      <c r="X954" s="5" t="s">
        <v>67</v>
      </c>
      <c r="Y954" s="4">
        <v>573</v>
      </c>
      <c r="Z954" s="4">
        <v>38</v>
      </c>
      <c r="AA954" s="4">
        <v>48</v>
      </c>
      <c r="AB954" s="4">
        <v>3</v>
      </c>
      <c r="AC954" s="4">
        <v>5</v>
      </c>
      <c r="AD954" s="4">
        <v>130</v>
      </c>
      <c r="AE954" s="4">
        <v>140</v>
      </c>
      <c r="AF954" s="4">
        <v>1</v>
      </c>
      <c r="AG954" s="4">
        <v>3</v>
      </c>
      <c r="AH954" s="4">
        <v>109</v>
      </c>
      <c r="AI954" s="4">
        <v>114</v>
      </c>
      <c r="AJ954" s="4">
        <v>21</v>
      </c>
      <c r="AK954" s="4">
        <v>25</v>
      </c>
      <c r="AL954" s="4">
        <v>54</v>
      </c>
      <c r="AM954" s="4">
        <v>58</v>
      </c>
      <c r="AN954" s="4">
        <v>0</v>
      </c>
      <c r="AO954" s="4">
        <v>0</v>
      </c>
      <c r="AP954" s="4">
        <v>30</v>
      </c>
      <c r="AQ954" s="4">
        <v>35</v>
      </c>
      <c r="AR954" s="3" t="s">
        <v>62</v>
      </c>
      <c r="AS954" s="3" t="s">
        <v>62</v>
      </c>
      <c r="AT954" s="3" t="s">
        <v>62</v>
      </c>
      <c r="AV954" s="6" t="str">
        <f>HYPERLINK("http://mcgill.on.worldcat.org/oclc/4908000","Catalog Record")</f>
        <v>Catalog Record</v>
      </c>
      <c r="AW954" s="6" t="str">
        <f>HYPERLINK("http://www.worldcat.org/oclc/4908000","WorldCat Record")</f>
        <v>WorldCat Record</v>
      </c>
      <c r="AX954" s="3" t="s">
        <v>9587</v>
      </c>
      <c r="AY954" s="3" t="s">
        <v>9588</v>
      </c>
      <c r="AZ954" s="3" t="s">
        <v>9589</v>
      </c>
      <c r="BA954" s="3" t="s">
        <v>9589</v>
      </c>
      <c r="BB954" s="3" t="s">
        <v>9590</v>
      </c>
      <c r="BC954" s="3" t="s">
        <v>102</v>
      </c>
      <c r="BD954" s="3" t="s">
        <v>68</v>
      </c>
      <c r="BE954" s="3" t="s">
        <v>9591</v>
      </c>
      <c r="BF954" s="3" t="s">
        <v>9590</v>
      </c>
      <c r="BG954" s="3" t="s">
        <v>9592</v>
      </c>
    </row>
    <row r="955" spans="1:59" ht="72.5" x14ac:dyDescent="0.35">
      <c r="A955" s="2" t="s">
        <v>89</v>
      </c>
      <c r="B955" s="2" t="s">
        <v>90</v>
      </c>
      <c r="C955" s="2" t="s">
        <v>9593</v>
      </c>
      <c r="D955" s="2" t="s">
        <v>9594</v>
      </c>
      <c r="E955" s="2" t="s">
        <v>9583</v>
      </c>
      <c r="G955" s="3" t="s">
        <v>62</v>
      </c>
      <c r="I955" s="3" t="s">
        <v>62</v>
      </c>
      <c r="J955" s="3" t="s">
        <v>61</v>
      </c>
      <c r="K955" s="3" t="s">
        <v>63</v>
      </c>
      <c r="L955" s="2" t="s">
        <v>9595</v>
      </c>
      <c r="M955" s="2" t="s">
        <v>9596</v>
      </c>
      <c r="N955" s="3" t="s">
        <v>95</v>
      </c>
      <c r="O955" s="2" t="s">
        <v>9597</v>
      </c>
      <c r="P955" s="3" t="s">
        <v>64</v>
      </c>
      <c r="R955" s="3" t="s">
        <v>65</v>
      </c>
      <c r="S955" s="4">
        <v>47</v>
      </c>
      <c r="T955" s="4">
        <v>47</v>
      </c>
      <c r="U955" s="5" t="s">
        <v>3675</v>
      </c>
      <c r="V955" s="5" t="s">
        <v>3675</v>
      </c>
      <c r="W955" s="5" t="s">
        <v>67</v>
      </c>
      <c r="X955" s="5" t="s">
        <v>67</v>
      </c>
      <c r="Y955" s="4">
        <v>121</v>
      </c>
      <c r="Z955" s="4">
        <v>7</v>
      </c>
      <c r="AA955" s="4">
        <v>48</v>
      </c>
      <c r="AB955" s="4">
        <v>1</v>
      </c>
      <c r="AC955" s="4">
        <v>5</v>
      </c>
      <c r="AD955" s="4">
        <v>21</v>
      </c>
      <c r="AE955" s="4">
        <v>140</v>
      </c>
      <c r="AF955" s="4">
        <v>0</v>
      </c>
      <c r="AG955" s="4">
        <v>3</v>
      </c>
      <c r="AH955" s="4">
        <v>17</v>
      </c>
      <c r="AI955" s="4">
        <v>114</v>
      </c>
      <c r="AJ955" s="4">
        <v>3</v>
      </c>
      <c r="AK955" s="4">
        <v>25</v>
      </c>
      <c r="AL955" s="4">
        <v>11</v>
      </c>
      <c r="AM955" s="4">
        <v>58</v>
      </c>
      <c r="AN955" s="4">
        <v>0</v>
      </c>
      <c r="AO955" s="4">
        <v>0</v>
      </c>
      <c r="AP955" s="4">
        <v>4</v>
      </c>
      <c r="AQ955" s="4">
        <v>35</v>
      </c>
      <c r="AR955" s="3" t="s">
        <v>62</v>
      </c>
      <c r="AS955" s="3" t="s">
        <v>62</v>
      </c>
      <c r="AT955" s="3" t="s">
        <v>62</v>
      </c>
      <c r="AV955" s="6" t="str">
        <f>HYPERLINK("http://mcgill.on.worldcat.org/oclc/14283058","Catalog Record")</f>
        <v>Catalog Record</v>
      </c>
      <c r="AW955" s="6" t="str">
        <f>HYPERLINK("http://www.worldcat.org/oclc/14283058","WorldCat Record")</f>
        <v>WorldCat Record</v>
      </c>
      <c r="AX955" s="3" t="s">
        <v>9587</v>
      </c>
      <c r="AY955" s="3" t="s">
        <v>9598</v>
      </c>
      <c r="AZ955" s="3" t="s">
        <v>9599</v>
      </c>
      <c r="BA955" s="3" t="s">
        <v>9599</v>
      </c>
      <c r="BB955" s="3" t="s">
        <v>9600</v>
      </c>
      <c r="BC955" s="3" t="s">
        <v>102</v>
      </c>
      <c r="BD955" s="3" t="s">
        <v>231</v>
      </c>
      <c r="BE955" s="3" t="s">
        <v>9601</v>
      </c>
      <c r="BF955" s="3" t="s">
        <v>9600</v>
      </c>
      <c r="BG955" s="3" t="s">
        <v>9602</v>
      </c>
    </row>
    <row r="956" spans="1:59" ht="58" x14ac:dyDescent="0.35">
      <c r="A956" s="2" t="s">
        <v>89</v>
      </c>
      <c r="B956" s="2" t="s">
        <v>90</v>
      </c>
      <c r="C956" s="2" t="s">
        <v>9603</v>
      </c>
      <c r="D956" s="2" t="s">
        <v>9604</v>
      </c>
      <c r="E956" s="2" t="s">
        <v>9605</v>
      </c>
      <c r="G956" s="3" t="s">
        <v>62</v>
      </c>
      <c r="I956" s="3" t="s">
        <v>61</v>
      </c>
      <c r="J956" s="3" t="s">
        <v>62</v>
      </c>
      <c r="K956" s="3" t="s">
        <v>63</v>
      </c>
      <c r="L956" s="2" t="s">
        <v>9606</v>
      </c>
      <c r="M956" s="2" t="s">
        <v>9607</v>
      </c>
      <c r="N956" s="3" t="s">
        <v>509</v>
      </c>
      <c r="P956" s="3" t="s">
        <v>64</v>
      </c>
      <c r="Q956" s="2" t="s">
        <v>3500</v>
      </c>
      <c r="R956" s="3" t="s">
        <v>65</v>
      </c>
      <c r="S956" s="4">
        <v>29</v>
      </c>
      <c r="T956" s="4">
        <v>98</v>
      </c>
      <c r="U956" s="5" t="s">
        <v>9608</v>
      </c>
      <c r="V956" s="5" t="s">
        <v>9608</v>
      </c>
      <c r="W956" s="5" t="s">
        <v>67</v>
      </c>
      <c r="X956" s="5" t="s">
        <v>67</v>
      </c>
      <c r="Y956" s="4">
        <v>732</v>
      </c>
      <c r="Z956" s="4">
        <v>43</v>
      </c>
      <c r="AA956" s="4">
        <v>53</v>
      </c>
      <c r="AB956" s="4">
        <v>2</v>
      </c>
      <c r="AC956" s="4">
        <v>7</v>
      </c>
      <c r="AD956" s="4">
        <v>135</v>
      </c>
      <c r="AE956" s="4">
        <v>144</v>
      </c>
      <c r="AF956" s="4">
        <v>1</v>
      </c>
      <c r="AG956" s="4">
        <v>4</v>
      </c>
      <c r="AH956" s="4">
        <v>110</v>
      </c>
      <c r="AI956" s="4">
        <v>112</v>
      </c>
      <c r="AJ956" s="4">
        <v>20</v>
      </c>
      <c r="AK956" s="4">
        <v>24</v>
      </c>
      <c r="AL956" s="4">
        <v>59</v>
      </c>
      <c r="AM956" s="4">
        <v>60</v>
      </c>
      <c r="AN956" s="4">
        <v>0</v>
      </c>
      <c r="AO956" s="4">
        <v>0</v>
      </c>
      <c r="AP956" s="4">
        <v>34</v>
      </c>
      <c r="AQ956" s="4">
        <v>40</v>
      </c>
      <c r="AR956" s="3" t="s">
        <v>62</v>
      </c>
      <c r="AS956" s="3" t="s">
        <v>62</v>
      </c>
      <c r="AT956" s="3" t="s">
        <v>62</v>
      </c>
      <c r="AV956" s="6" t="str">
        <f>HYPERLINK("http://mcgill.on.worldcat.org/oclc/29359054","Catalog Record")</f>
        <v>Catalog Record</v>
      </c>
      <c r="AW956" s="6" t="str">
        <f>HYPERLINK("http://www.worldcat.org/oclc/29359054","WorldCat Record")</f>
        <v>WorldCat Record</v>
      </c>
      <c r="AX956" s="3" t="s">
        <v>9609</v>
      </c>
      <c r="AY956" s="3" t="s">
        <v>9610</v>
      </c>
      <c r="AZ956" s="3" t="s">
        <v>9611</v>
      </c>
      <c r="BA956" s="3" t="s">
        <v>9611</v>
      </c>
      <c r="BB956" s="3" t="s">
        <v>9612</v>
      </c>
      <c r="BC956" s="3" t="s">
        <v>102</v>
      </c>
      <c r="BD956" s="3" t="s">
        <v>231</v>
      </c>
      <c r="BE956" s="3" t="s">
        <v>9613</v>
      </c>
      <c r="BF956" s="3" t="s">
        <v>9612</v>
      </c>
      <c r="BG956" s="3" t="s">
        <v>9614</v>
      </c>
    </row>
    <row r="957" spans="1:59" ht="58" x14ac:dyDescent="0.35">
      <c r="A957" s="2" t="s">
        <v>89</v>
      </c>
      <c r="B957" s="2" t="s">
        <v>90</v>
      </c>
      <c r="C957" s="2" t="s">
        <v>9603</v>
      </c>
      <c r="D957" s="2" t="s">
        <v>9604</v>
      </c>
      <c r="E957" s="2" t="s">
        <v>9605</v>
      </c>
      <c r="G957" s="3" t="s">
        <v>62</v>
      </c>
      <c r="I957" s="3" t="s">
        <v>61</v>
      </c>
      <c r="J957" s="3" t="s">
        <v>62</v>
      </c>
      <c r="K957" s="3" t="s">
        <v>63</v>
      </c>
      <c r="L957" s="2" t="s">
        <v>9606</v>
      </c>
      <c r="M957" s="2" t="s">
        <v>9607</v>
      </c>
      <c r="N957" s="3" t="s">
        <v>509</v>
      </c>
      <c r="P957" s="3" t="s">
        <v>64</v>
      </c>
      <c r="Q957" s="2" t="s">
        <v>3500</v>
      </c>
      <c r="R957" s="3" t="s">
        <v>65</v>
      </c>
      <c r="S957" s="4">
        <v>69</v>
      </c>
      <c r="T957" s="4">
        <v>98</v>
      </c>
      <c r="U957" s="5" t="s">
        <v>9615</v>
      </c>
      <c r="V957" s="5" t="s">
        <v>9608</v>
      </c>
      <c r="W957" s="5" t="s">
        <v>67</v>
      </c>
      <c r="X957" s="5" t="s">
        <v>67</v>
      </c>
      <c r="Y957" s="4">
        <v>732</v>
      </c>
      <c r="Z957" s="4">
        <v>43</v>
      </c>
      <c r="AA957" s="4">
        <v>53</v>
      </c>
      <c r="AB957" s="4">
        <v>2</v>
      </c>
      <c r="AC957" s="4">
        <v>7</v>
      </c>
      <c r="AD957" s="4">
        <v>135</v>
      </c>
      <c r="AE957" s="4">
        <v>144</v>
      </c>
      <c r="AF957" s="4">
        <v>1</v>
      </c>
      <c r="AG957" s="4">
        <v>4</v>
      </c>
      <c r="AH957" s="4">
        <v>110</v>
      </c>
      <c r="AI957" s="4">
        <v>112</v>
      </c>
      <c r="AJ957" s="4">
        <v>20</v>
      </c>
      <c r="AK957" s="4">
        <v>24</v>
      </c>
      <c r="AL957" s="4">
        <v>59</v>
      </c>
      <c r="AM957" s="4">
        <v>60</v>
      </c>
      <c r="AN957" s="4">
        <v>0</v>
      </c>
      <c r="AO957" s="4">
        <v>0</v>
      </c>
      <c r="AP957" s="4">
        <v>34</v>
      </c>
      <c r="AQ957" s="4">
        <v>40</v>
      </c>
      <c r="AR957" s="3" t="s">
        <v>62</v>
      </c>
      <c r="AS957" s="3" t="s">
        <v>62</v>
      </c>
      <c r="AT957" s="3" t="s">
        <v>62</v>
      </c>
      <c r="AV957" s="6" t="str">
        <f>HYPERLINK("http://mcgill.on.worldcat.org/oclc/29359054","Catalog Record")</f>
        <v>Catalog Record</v>
      </c>
      <c r="AW957" s="6" t="str">
        <f>HYPERLINK("http://www.worldcat.org/oclc/29359054","WorldCat Record")</f>
        <v>WorldCat Record</v>
      </c>
      <c r="AX957" s="3" t="s">
        <v>9609</v>
      </c>
      <c r="AY957" s="3" t="s">
        <v>9610</v>
      </c>
      <c r="AZ957" s="3" t="s">
        <v>9611</v>
      </c>
      <c r="BA957" s="3" t="s">
        <v>9611</v>
      </c>
      <c r="BB957" s="3" t="s">
        <v>9616</v>
      </c>
      <c r="BC957" s="3" t="s">
        <v>102</v>
      </c>
      <c r="BD957" s="3" t="s">
        <v>68</v>
      </c>
      <c r="BE957" s="3" t="s">
        <v>9613</v>
      </c>
      <c r="BF957" s="3" t="s">
        <v>9616</v>
      </c>
      <c r="BG957" s="3" t="s">
        <v>9617</v>
      </c>
    </row>
    <row r="958" spans="1:59" ht="58" x14ac:dyDescent="0.35">
      <c r="A958" s="2" t="s">
        <v>89</v>
      </c>
      <c r="B958" s="2" t="s">
        <v>90</v>
      </c>
      <c r="C958" s="2" t="s">
        <v>9618</v>
      </c>
      <c r="D958" s="2" t="s">
        <v>9619</v>
      </c>
      <c r="E958" s="2" t="s">
        <v>9620</v>
      </c>
      <c r="G958" s="3" t="s">
        <v>62</v>
      </c>
      <c r="I958" s="3" t="s">
        <v>61</v>
      </c>
      <c r="J958" s="3" t="s">
        <v>62</v>
      </c>
      <c r="K958" s="3" t="s">
        <v>63</v>
      </c>
      <c r="L958" s="2" t="s">
        <v>4397</v>
      </c>
      <c r="M958" s="2" t="s">
        <v>9621</v>
      </c>
      <c r="N958" s="3" t="s">
        <v>539</v>
      </c>
      <c r="P958" s="3" t="s">
        <v>64</v>
      </c>
      <c r="Q958" s="2" t="s">
        <v>9551</v>
      </c>
      <c r="R958" s="3" t="s">
        <v>65</v>
      </c>
      <c r="S958" s="4">
        <v>4</v>
      </c>
      <c r="T958" s="4">
        <v>61</v>
      </c>
      <c r="U958" s="5" t="s">
        <v>5098</v>
      </c>
      <c r="V958" s="5" t="s">
        <v>9622</v>
      </c>
      <c r="W958" s="5" t="s">
        <v>67</v>
      </c>
      <c r="X958" s="5" t="s">
        <v>67</v>
      </c>
      <c r="Y958" s="4">
        <v>635</v>
      </c>
      <c r="Z958" s="4">
        <v>41</v>
      </c>
      <c r="AA958" s="4">
        <v>133</v>
      </c>
      <c r="AB958" s="4">
        <v>3</v>
      </c>
      <c r="AC958" s="4">
        <v>17</v>
      </c>
      <c r="AD958" s="4">
        <v>126</v>
      </c>
      <c r="AE958" s="4">
        <v>158</v>
      </c>
      <c r="AF958" s="4">
        <v>2</v>
      </c>
      <c r="AG958" s="4">
        <v>8</v>
      </c>
      <c r="AH958" s="4">
        <v>103</v>
      </c>
      <c r="AI958" s="4">
        <v>113</v>
      </c>
      <c r="AJ958" s="4">
        <v>17</v>
      </c>
      <c r="AK958" s="4">
        <v>26</v>
      </c>
      <c r="AL958" s="4">
        <v>57</v>
      </c>
      <c r="AM958" s="4">
        <v>58</v>
      </c>
      <c r="AN958" s="4">
        <v>0</v>
      </c>
      <c r="AO958" s="4">
        <v>0</v>
      </c>
      <c r="AP958" s="4">
        <v>30</v>
      </c>
      <c r="AQ958" s="4">
        <v>54</v>
      </c>
      <c r="AR958" s="3" t="s">
        <v>62</v>
      </c>
      <c r="AS958" s="3" t="s">
        <v>62</v>
      </c>
      <c r="AT958" s="3" t="s">
        <v>62</v>
      </c>
      <c r="AV958" s="6" t="str">
        <f>HYPERLINK("http://mcgill.on.worldcat.org/oclc/37315353","Catalog Record")</f>
        <v>Catalog Record</v>
      </c>
      <c r="AW958" s="6" t="str">
        <f>HYPERLINK("http://www.worldcat.org/oclc/37315353","WorldCat Record")</f>
        <v>WorldCat Record</v>
      </c>
      <c r="AX958" s="3" t="s">
        <v>9623</v>
      </c>
      <c r="AY958" s="3" t="s">
        <v>9624</v>
      </c>
      <c r="AZ958" s="3" t="s">
        <v>9625</v>
      </c>
      <c r="BA958" s="3" t="s">
        <v>9625</v>
      </c>
      <c r="BB958" s="3" t="s">
        <v>9626</v>
      </c>
      <c r="BC958" s="3" t="s">
        <v>102</v>
      </c>
      <c r="BD958" s="3" t="s">
        <v>68</v>
      </c>
      <c r="BE958" s="3" t="s">
        <v>9627</v>
      </c>
      <c r="BF958" s="3" t="s">
        <v>9626</v>
      </c>
      <c r="BG958" s="3" t="s">
        <v>9628</v>
      </c>
    </row>
    <row r="959" spans="1:59" ht="58" x14ac:dyDescent="0.35">
      <c r="A959" s="2" t="s">
        <v>89</v>
      </c>
      <c r="B959" s="2" t="s">
        <v>90</v>
      </c>
      <c r="C959" s="2" t="s">
        <v>9618</v>
      </c>
      <c r="D959" s="2" t="s">
        <v>9619</v>
      </c>
      <c r="E959" s="2" t="s">
        <v>9620</v>
      </c>
      <c r="G959" s="3" t="s">
        <v>62</v>
      </c>
      <c r="I959" s="3" t="s">
        <v>61</v>
      </c>
      <c r="J959" s="3" t="s">
        <v>62</v>
      </c>
      <c r="K959" s="3" t="s">
        <v>63</v>
      </c>
      <c r="L959" s="2" t="s">
        <v>4397</v>
      </c>
      <c r="M959" s="2" t="s">
        <v>9621</v>
      </c>
      <c r="N959" s="3" t="s">
        <v>539</v>
      </c>
      <c r="P959" s="3" t="s">
        <v>64</v>
      </c>
      <c r="Q959" s="2" t="s">
        <v>9551</v>
      </c>
      <c r="R959" s="3" t="s">
        <v>65</v>
      </c>
      <c r="S959" s="4">
        <v>8</v>
      </c>
      <c r="T959" s="4">
        <v>61</v>
      </c>
      <c r="U959" s="5" t="s">
        <v>9629</v>
      </c>
      <c r="V959" s="5" t="s">
        <v>9622</v>
      </c>
      <c r="W959" s="5" t="s">
        <v>67</v>
      </c>
      <c r="X959" s="5" t="s">
        <v>67</v>
      </c>
      <c r="Y959" s="4">
        <v>635</v>
      </c>
      <c r="Z959" s="4">
        <v>41</v>
      </c>
      <c r="AA959" s="4">
        <v>133</v>
      </c>
      <c r="AB959" s="4">
        <v>3</v>
      </c>
      <c r="AC959" s="4">
        <v>17</v>
      </c>
      <c r="AD959" s="4">
        <v>126</v>
      </c>
      <c r="AE959" s="4">
        <v>158</v>
      </c>
      <c r="AF959" s="4">
        <v>2</v>
      </c>
      <c r="AG959" s="4">
        <v>8</v>
      </c>
      <c r="AH959" s="4">
        <v>103</v>
      </c>
      <c r="AI959" s="4">
        <v>113</v>
      </c>
      <c r="AJ959" s="4">
        <v>17</v>
      </c>
      <c r="AK959" s="4">
        <v>26</v>
      </c>
      <c r="AL959" s="4">
        <v>57</v>
      </c>
      <c r="AM959" s="4">
        <v>58</v>
      </c>
      <c r="AN959" s="4">
        <v>0</v>
      </c>
      <c r="AO959" s="4">
        <v>0</v>
      </c>
      <c r="AP959" s="4">
        <v>30</v>
      </c>
      <c r="AQ959" s="4">
        <v>54</v>
      </c>
      <c r="AR959" s="3" t="s">
        <v>62</v>
      </c>
      <c r="AS959" s="3" t="s">
        <v>62</v>
      </c>
      <c r="AT959" s="3" t="s">
        <v>62</v>
      </c>
      <c r="AV959" s="6" t="str">
        <f>HYPERLINK("http://mcgill.on.worldcat.org/oclc/37315353","Catalog Record")</f>
        <v>Catalog Record</v>
      </c>
      <c r="AW959" s="6" t="str">
        <f>HYPERLINK("http://www.worldcat.org/oclc/37315353","WorldCat Record")</f>
        <v>WorldCat Record</v>
      </c>
      <c r="AX959" s="3" t="s">
        <v>9623</v>
      </c>
      <c r="AY959" s="3" t="s">
        <v>9624</v>
      </c>
      <c r="AZ959" s="3" t="s">
        <v>9625</v>
      </c>
      <c r="BA959" s="3" t="s">
        <v>9625</v>
      </c>
      <c r="BB959" s="3" t="s">
        <v>9630</v>
      </c>
      <c r="BC959" s="3" t="s">
        <v>102</v>
      </c>
      <c r="BD959" s="3" t="s">
        <v>231</v>
      </c>
      <c r="BE959" s="3" t="s">
        <v>9627</v>
      </c>
      <c r="BF959" s="3" t="s">
        <v>9630</v>
      </c>
      <c r="BG959" s="3" t="s">
        <v>9631</v>
      </c>
    </row>
    <row r="960" spans="1:59" ht="58" x14ac:dyDescent="0.35">
      <c r="A960" s="2" t="s">
        <v>89</v>
      </c>
      <c r="B960" s="2" t="s">
        <v>90</v>
      </c>
      <c r="C960" s="2" t="s">
        <v>9618</v>
      </c>
      <c r="D960" s="2" t="s">
        <v>9619</v>
      </c>
      <c r="E960" s="2" t="s">
        <v>9620</v>
      </c>
      <c r="G960" s="3" t="s">
        <v>62</v>
      </c>
      <c r="I960" s="3" t="s">
        <v>61</v>
      </c>
      <c r="J960" s="3" t="s">
        <v>62</v>
      </c>
      <c r="K960" s="3" t="s">
        <v>63</v>
      </c>
      <c r="L960" s="2" t="s">
        <v>4397</v>
      </c>
      <c r="M960" s="2" t="s">
        <v>9621</v>
      </c>
      <c r="N960" s="3" t="s">
        <v>539</v>
      </c>
      <c r="P960" s="3" t="s">
        <v>64</v>
      </c>
      <c r="Q960" s="2" t="s">
        <v>9551</v>
      </c>
      <c r="R960" s="3" t="s">
        <v>65</v>
      </c>
      <c r="S960" s="4">
        <v>49</v>
      </c>
      <c r="T960" s="4">
        <v>61</v>
      </c>
      <c r="U960" s="5" t="s">
        <v>9622</v>
      </c>
      <c r="V960" s="5" t="s">
        <v>9622</v>
      </c>
      <c r="W960" s="5" t="s">
        <v>67</v>
      </c>
      <c r="X960" s="5" t="s">
        <v>67</v>
      </c>
      <c r="Y960" s="4">
        <v>635</v>
      </c>
      <c r="Z960" s="4">
        <v>41</v>
      </c>
      <c r="AA960" s="4">
        <v>133</v>
      </c>
      <c r="AB960" s="4">
        <v>3</v>
      </c>
      <c r="AC960" s="4">
        <v>17</v>
      </c>
      <c r="AD960" s="4">
        <v>126</v>
      </c>
      <c r="AE960" s="4">
        <v>158</v>
      </c>
      <c r="AF960" s="4">
        <v>2</v>
      </c>
      <c r="AG960" s="4">
        <v>8</v>
      </c>
      <c r="AH960" s="4">
        <v>103</v>
      </c>
      <c r="AI960" s="4">
        <v>113</v>
      </c>
      <c r="AJ960" s="4">
        <v>17</v>
      </c>
      <c r="AK960" s="4">
        <v>26</v>
      </c>
      <c r="AL960" s="4">
        <v>57</v>
      </c>
      <c r="AM960" s="4">
        <v>58</v>
      </c>
      <c r="AN960" s="4">
        <v>0</v>
      </c>
      <c r="AO960" s="4">
        <v>0</v>
      </c>
      <c r="AP960" s="4">
        <v>30</v>
      </c>
      <c r="AQ960" s="4">
        <v>54</v>
      </c>
      <c r="AR960" s="3" t="s">
        <v>62</v>
      </c>
      <c r="AS960" s="3" t="s">
        <v>62</v>
      </c>
      <c r="AT960" s="3" t="s">
        <v>62</v>
      </c>
      <c r="AV960" s="6" t="str">
        <f>HYPERLINK("http://mcgill.on.worldcat.org/oclc/37315353","Catalog Record")</f>
        <v>Catalog Record</v>
      </c>
      <c r="AW960" s="6" t="str">
        <f>HYPERLINK("http://www.worldcat.org/oclc/37315353","WorldCat Record")</f>
        <v>WorldCat Record</v>
      </c>
      <c r="AX960" s="3" t="s">
        <v>9623</v>
      </c>
      <c r="AY960" s="3" t="s">
        <v>9624</v>
      </c>
      <c r="AZ960" s="3" t="s">
        <v>9625</v>
      </c>
      <c r="BA960" s="3" t="s">
        <v>9625</v>
      </c>
      <c r="BB960" s="3" t="s">
        <v>9632</v>
      </c>
      <c r="BC960" s="3" t="s">
        <v>102</v>
      </c>
      <c r="BD960" s="3" t="s">
        <v>68</v>
      </c>
      <c r="BE960" s="3" t="s">
        <v>9627</v>
      </c>
      <c r="BF960" s="3" t="s">
        <v>9632</v>
      </c>
      <c r="BG960" s="3" t="s">
        <v>9633</v>
      </c>
    </row>
    <row r="961" spans="1:59" ht="58" x14ac:dyDescent="0.35">
      <c r="A961" s="2" t="s">
        <v>89</v>
      </c>
      <c r="B961" s="2" t="s">
        <v>90</v>
      </c>
      <c r="C961" s="2" t="s">
        <v>9634</v>
      </c>
      <c r="D961" s="2" t="s">
        <v>9635</v>
      </c>
      <c r="E961" s="2" t="s">
        <v>9636</v>
      </c>
      <c r="G961" s="3" t="s">
        <v>62</v>
      </c>
      <c r="I961" s="3" t="s">
        <v>62</v>
      </c>
      <c r="J961" s="3" t="s">
        <v>62</v>
      </c>
      <c r="K961" s="3" t="s">
        <v>63</v>
      </c>
      <c r="L961" s="2" t="s">
        <v>9637</v>
      </c>
      <c r="M961" s="2" t="s">
        <v>9638</v>
      </c>
      <c r="N961" s="3" t="s">
        <v>524</v>
      </c>
      <c r="P961" s="3" t="s">
        <v>64</v>
      </c>
      <c r="Q961" s="2" t="s">
        <v>9639</v>
      </c>
      <c r="R961" s="3" t="s">
        <v>65</v>
      </c>
      <c r="S961" s="4">
        <v>23</v>
      </c>
      <c r="T961" s="4">
        <v>23</v>
      </c>
      <c r="U961" s="5" t="s">
        <v>9640</v>
      </c>
      <c r="V961" s="5" t="s">
        <v>9640</v>
      </c>
      <c r="W961" s="5" t="s">
        <v>67</v>
      </c>
      <c r="X961" s="5" t="s">
        <v>67</v>
      </c>
      <c r="Y961" s="4">
        <v>319</v>
      </c>
      <c r="Z961" s="4">
        <v>21</v>
      </c>
      <c r="AA961" s="4">
        <v>94</v>
      </c>
      <c r="AB961" s="4">
        <v>2</v>
      </c>
      <c r="AC961" s="4">
        <v>16</v>
      </c>
      <c r="AD961" s="4">
        <v>92</v>
      </c>
      <c r="AE961" s="4">
        <v>143</v>
      </c>
      <c r="AF961" s="4">
        <v>1</v>
      </c>
      <c r="AG961" s="4">
        <v>8</v>
      </c>
      <c r="AH961" s="4">
        <v>81</v>
      </c>
      <c r="AI961" s="4">
        <v>103</v>
      </c>
      <c r="AJ961" s="4">
        <v>15</v>
      </c>
      <c r="AK961" s="4">
        <v>27</v>
      </c>
      <c r="AL961" s="4">
        <v>52</v>
      </c>
      <c r="AM961" s="4">
        <v>57</v>
      </c>
      <c r="AN961" s="4">
        <v>0</v>
      </c>
      <c r="AO961" s="4">
        <v>0</v>
      </c>
      <c r="AP961" s="4">
        <v>18</v>
      </c>
      <c r="AQ961" s="4">
        <v>50</v>
      </c>
      <c r="AR961" s="3" t="s">
        <v>62</v>
      </c>
      <c r="AS961" s="3" t="s">
        <v>62</v>
      </c>
      <c r="AT961" s="3" t="s">
        <v>62</v>
      </c>
      <c r="AV961" s="6" t="str">
        <f>HYPERLINK("http://mcgill.on.worldcat.org/oclc/31938685","Catalog Record")</f>
        <v>Catalog Record</v>
      </c>
      <c r="AW961" s="6" t="str">
        <f>HYPERLINK("http://www.worldcat.org/oclc/31938685","WorldCat Record")</f>
        <v>WorldCat Record</v>
      </c>
      <c r="AX961" s="3" t="s">
        <v>9641</v>
      </c>
      <c r="AY961" s="3" t="s">
        <v>9642</v>
      </c>
      <c r="AZ961" s="3" t="s">
        <v>9643</v>
      </c>
      <c r="BA961" s="3" t="s">
        <v>9643</v>
      </c>
      <c r="BB961" s="3" t="s">
        <v>9644</v>
      </c>
      <c r="BC961" s="3" t="s">
        <v>102</v>
      </c>
      <c r="BD961" s="3" t="s">
        <v>68</v>
      </c>
      <c r="BE961" s="3" t="s">
        <v>9645</v>
      </c>
      <c r="BF961" s="3" t="s">
        <v>9644</v>
      </c>
      <c r="BG961" s="3" t="s">
        <v>9646</v>
      </c>
    </row>
    <row r="962" spans="1:59" ht="58" x14ac:dyDescent="0.35">
      <c r="A962" s="2" t="s">
        <v>59</v>
      </c>
      <c r="B962" s="2" t="s">
        <v>60</v>
      </c>
      <c r="C962" s="2" t="s">
        <v>9647</v>
      </c>
      <c r="D962" s="2" t="s">
        <v>9648</v>
      </c>
      <c r="E962" s="2" t="s">
        <v>9649</v>
      </c>
      <c r="G962" s="3" t="s">
        <v>62</v>
      </c>
      <c r="I962" s="3" t="s">
        <v>61</v>
      </c>
      <c r="J962" s="3" t="s">
        <v>62</v>
      </c>
      <c r="K962" s="3" t="s">
        <v>63</v>
      </c>
      <c r="L962" s="2" t="s">
        <v>9650</v>
      </c>
      <c r="M962" s="2" t="s">
        <v>9651</v>
      </c>
      <c r="N962" s="3" t="s">
        <v>285</v>
      </c>
      <c r="O962" s="2" t="s">
        <v>2163</v>
      </c>
      <c r="P962" s="3" t="s">
        <v>64</v>
      </c>
      <c r="R962" s="3" t="s">
        <v>65</v>
      </c>
      <c r="S962" s="4">
        <v>0</v>
      </c>
      <c r="T962" s="4">
        <v>2</v>
      </c>
      <c r="V962" s="5" t="s">
        <v>9652</v>
      </c>
      <c r="W962" s="5" t="s">
        <v>67</v>
      </c>
      <c r="X962" s="5" t="s">
        <v>67</v>
      </c>
      <c r="Y962" s="4">
        <v>1065</v>
      </c>
      <c r="Z962" s="4">
        <v>38</v>
      </c>
      <c r="AA962" s="4">
        <v>43</v>
      </c>
      <c r="AB962" s="4">
        <v>3</v>
      </c>
      <c r="AC962" s="4">
        <v>3</v>
      </c>
      <c r="AD962" s="4">
        <v>116</v>
      </c>
      <c r="AE962" s="4">
        <v>127</v>
      </c>
      <c r="AF962" s="4">
        <v>1</v>
      </c>
      <c r="AG962" s="4">
        <v>1</v>
      </c>
      <c r="AH962" s="4">
        <v>96</v>
      </c>
      <c r="AI962" s="4">
        <v>106</v>
      </c>
      <c r="AJ962" s="4">
        <v>18</v>
      </c>
      <c r="AK962" s="4">
        <v>19</v>
      </c>
      <c r="AL962" s="4">
        <v>49</v>
      </c>
      <c r="AM962" s="4">
        <v>56</v>
      </c>
      <c r="AN962" s="4">
        <v>0</v>
      </c>
      <c r="AO962" s="4">
        <v>0</v>
      </c>
      <c r="AP962" s="4">
        <v>26</v>
      </c>
      <c r="AQ962" s="4">
        <v>27</v>
      </c>
      <c r="AR962" s="3" t="s">
        <v>62</v>
      </c>
      <c r="AS962" s="3" t="s">
        <v>62</v>
      </c>
      <c r="AT962" s="3" t="s">
        <v>61</v>
      </c>
      <c r="AU962" s="6" t="str">
        <f>HYPERLINK("http://catalog.hathitrust.org/Record/000686018","HathiTrust Record")</f>
        <v>HathiTrust Record</v>
      </c>
      <c r="AV962" s="6" t="str">
        <f>HYPERLINK("http://mcgill.on.worldcat.org/oclc/5563831","Catalog Record")</f>
        <v>Catalog Record</v>
      </c>
      <c r="AW962" s="6" t="str">
        <f>HYPERLINK("http://www.worldcat.org/oclc/5563831","WorldCat Record")</f>
        <v>WorldCat Record</v>
      </c>
      <c r="AX962" s="3" t="s">
        <v>9653</v>
      </c>
      <c r="AY962" s="3" t="s">
        <v>9654</v>
      </c>
      <c r="AZ962" s="3" t="s">
        <v>9655</v>
      </c>
      <c r="BA962" s="3" t="s">
        <v>9655</v>
      </c>
      <c r="BB962" s="3" t="s">
        <v>9656</v>
      </c>
      <c r="BC962" s="3" t="s">
        <v>102</v>
      </c>
      <c r="BD962" s="3" t="s">
        <v>68</v>
      </c>
      <c r="BE962" s="3" t="s">
        <v>9657</v>
      </c>
      <c r="BF962" s="3" t="s">
        <v>9656</v>
      </c>
      <c r="BG962" s="3" t="s">
        <v>9658</v>
      </c>
    </row>
    <row r="963" spans="1:59" ht="58" x14ac:dyDescent="0.35">
      <c r="A963" s="2" t="s">
        <v>89</v>
      </c>
      <c r="B963" s="2" t="s">
        <v>90</v>
      </c>
      <c r="C963" s="2" t="s">
        <v>9659</v>
      </c>
      <c r="D963" s="2" t="s">
        <v>9660</v>
      </c>
      <c r="E963" s="2" t="s">
        <v>9661</v>
      </c>
      <c r="F963" s="3" t="s">
        <v>9662</v>
      </c>
      <c r="G963" s="3" t="s">
        <v>62</v>
      </c>
      <c r="I963" s="3" t="s">
        <v>61</v>
      </c>
      <c r="J963" s="3" t="s">
        <v>62</v>
      </c>
      <c r="K963" s="3" t="s">
        <v>63</v>
      </c>
      <c r="L963" s="2" t="s">
        <v>9663</v>
      </c>
      <c r="M963" s="2" t="s">
        <v>9664</v>
      </c>
      <c r="N963" s="3" t="s">
        <v>1077</v>
      </c>
      <c r="P963" s="3" t="s">
        <v>64</v>
      </c>
      <c r="R963" s="3" t="s">
        <v>65</v>
      </c>
      <c r="S963" s="4">
        <v>131</v>
      </c>
      <c r="T963" s="4">
        <v>282</v>
      </c>
      <c r="U963" s="5" t="s">
        <v>9665</v>
      </c>
      <c r="V963" s="5" t="s">
        <v>9665</v>
      </c>
      <c r="W963" s="5" t="s">
        <v>67</v>
      </c>
      <c r="X963" s="5" t="s">
        <v>67</v>
      </c>
      <c r="Y963" s="4">
        <v>743</v>
      </c>
      <c r="Z963" s="4">
        <v>53</v>
      </c>
      <c r="AA963" s="4">
        <v>55</v>
      </c>
      <c r="AB963" s="4">
        <v>3</v>
      </c>
      <c r="AC963" s="4">
        <v>3</v>
      </c>
      <c r="AD963" s="4">
        <v>129</v>
      </c>
      <c r="AE963" s="4">
        <v>134</v>
      </c>
      <c r="AF963" s="4">
        <v>1</v>
      </c>
      <c r="AG963" s="4">
        <v>1</v>
      </c>
      <c r="AH963" s="4">
        <v>101</v>
      </c>
      <c r="AI963" s="4">
        <v>106</v>
      </c>
      <c r="AJ963" s="4">
        <v>20</v>
      </c>
      <c r="AK963" s="4">
        <v>22</v>
      </c>
      <c r="AL963" s="4">
        <v>55</v>
      </c>
      <c r="AM963" s="4">
        <v>57</v>
      </c>
      <c r="AN963" s="4">
        <v>0</v>
      </c>
      <c r="AO963" s="4">
        <v>0</v>
      </c>
      <c r="AP963" s="4">
        <v>35</v>
      </c>
      <c r="AQ963" s="4">
        <v>37</v>
      </c>
      <c r="AR963" s="3" t="s">
        <v>62</v>
      </c>
      <c r="AS963" s="3" t="s">
        <v>62</v>
      </c>
      <c r="AT963" s="3" t="s">
        <v>62</v>
      </c>
      <c r="AV963" s="6" t="str">
        <f>HYPERLINK("http://mcgill.on.worldcat.org/oclc/27894925","Catalog Record")</f>
        <v>Catalog Record</v>
      </c>
      <c r="AW963" s="6" t="str">
        <f>HYPERLINK("http://www.worldcat.org/oclc/27894925","WorldCat Record")</f>
        <v>WorldCat Record</v>
      </c>
      <c r="AX963" s="3" t="s">
        <v>9666</v>
      </c>
      <c r="AY963" s="3" t="s">
        <v>9667</v>
      </c>
      <c r="AZ963" s="3" t="s">
        <v>9668</v>
      </c>
      <c r="BA963" s="3" t="s">
        <v>9668</v>
      </c>
      <c r="BB963" s="3" t="s">
        <v>9669</v>
      </c>
      <c r="BC963" s="3" t="s">
        <v>102</v>
      </c>
      <c r="BD963" s="3" t="s">
        <v>231</v>
      </c>
      <c r="BE963" s="3" t="s">
        <v>9670</v>
      </c>
      <c r="BF963" s="3" t="s">
        <v>9669</v>
      </c>
      <c r="BG963" s="3" t="s">
        <v>9671</v>
      </c>
    </row>
    <row r="964" spans="1:59" ht="58" x14ac:dyDescent="0.35">
      <c r="A964" s="2" t="s">
        <v>89</v>
      </c>
      <c r="B964" s="2" t="s">
        <v>90</v>
      </c>
      <c r="C964" s="2" t="s">
        <v>9659</v>
      </c>
      <c r="D964" s="2" t="s">
        <v>9660</v>
      </c>
      <c r="E964" s="2" t="s">
        <v>9661</v>
      </c>
      <c r="G964" s="3" t="s">
        <v>62</v>
      </c>
      <c r="I964" s="3" t="s">
        <v>61</v>
      </c>
      <c r="J964" s="3" t="s">
        <v>62</v>
      </c>
      <c r="K964" s="3" t="s">
        <v>63</v>
      </c>
      <c r="L964" s="2" t="s">
        <v>9663</v>
      </c>
      <c r="M964" s="2" t="s">
        <v>9664</v>
      </c>
      <c r="N964" s="3" t="s">
        <v>1077</v>
      </c>
      <c r="P964" s="3" t="s">
        <v>64</v>
      </c>
      <c r="R964" s="3" t="s">
        <v>65</v>
      </c>
      <c r="S964" s="4">
        <v>38</v>
      </c>
      <c r="T964" s="4">
        <v>282</v>
      </c>
      <c r="U964" s="5" t="s">
        <v>9672</v>
      </c>
      <c r="V964" s="5" t="s">
        <v>9665</v>
      </c>
      <c r="W964" s="5" t="s">
        <v>67</v>
      </c>
      <c r="X964" s="5" t="s">
        <v>67</v>
      </c>
      <c r="Y964" s="4">
        <v>743</v>
      </c>
      <c r="Z964" s="4">
        <v>53</v>
      </c>
      <c r="AA964" s="4">
        <v>55</v>
      </c>
      <c r="AB964" s="4">
        <v>3</v>
      </c>
      <c r="AC964" s="4">
        <v>3</v>
      </c>
      <c r="AD964" s="4">
        <v>129</v>
      </c>
      <c r="AE964" s="4">
        <v>134</v>
      </c>
      <c r="AF964" s="4">
        <v>1</v>
      </c>
      <c r="AG964" s="4">
        <v>1</v>
      </c>
      <c r="AH964" s="4">
        <v>101</v>
      </c>
      <c r="AI964" s="4">
        <v>106</v>
      </c>
      <c r="AJ964" s="4">
        <v>20</v>
      </c>
      <c r="AK964" s="4">
        <v>22</v>
      </c>
      <c r="AL964" s="4">
        <v>55</v>
      </c>
      <c r="AM964" s="4">
        <v>57</v>
      </c>
      <c r="AN964" s="4">
        <v>0</v>
      </c>
      <c r="AO964" s="4">
        <v>0</v>
      </c>
      <c r="AP964" s="4">
        <v>35</v>
      </c>
      <c r="AQ964" s="4">
        <v>37</v>
      </c>
      <c r="AR964" s="3" t="s">
        <v>62</v>
      </c>
      <c r="AS964" s="3" t="s">
        <v>62</v>
      </c>
      <c r="AT964" s="3" t="s">
        <v>62</v>
      </c>
      <c r="AV964" s="6" t="str">
        <f>HYPERLINK("http://mcgill.on.worldcat.org/oclc/27894925","Catalog Record")</f>
        <v>Catalog Record</v>
      </c>
      <c r="AW964" s="6" t="str">
        <f>HYPERLINK("http://www.worldcat.org/oclc/27894925","WorldCat Record")</f>
        <v>WorldCat Record</v>
      </c>
      <c r="AX964" s="3" t="s">
        <v>9666</v>
      </c>
      <c r="AY964" s="3" t="s">
        <v>9667</v>
      </c>
      <c r="AZ964" s="3" t="s">
        <v>9668</v>
      </c>
      <c r="BA964" s="3" t="s">
        <v>9668</v>
      </c>
      <c r="BB964" s="3" t="s">
        <v>9673</v>
      </c>
      <c r="BC964" s="3" t="s">
        <v>102</v>
      </c>
      <c r="BD964" s="3" t="s">
        <v>231</v>
      </c>
      <c r="BE964" s="3" t="s">
        <v>9670</v>
      </c>
      <c r="BF964" s="3" t="s">
        <v>9673</v>
      </c>
      <c r="BG964" s="3" t="s">
        <v>9674</v>
      </c>
    </row>
    <row r="965" spans="1:59" ht="58" x14ac:dyDescent="0.35">
      <c r="A965" s="2" t="s">
        <v>89</v>
      </c>
      <c r="B965" s="2" t="s">
        <v>90</v>
      </c>
      <c r="C965" s="2" t="s">
        <v>9659</v>
      </c>
      <c r="D965" s="2" t="s">
        <v>9660</v>
      </c>
      <c r="E965" s="2" t="s">
        <v>9661</v>
      </c>
      <c r="G965" s="3" t="s">
        <v>62</v>
      </c>
      <c r="I965" s="3" t="s">
        <v>61</v>
      </c>
      <c r="J965" s="3" t="s">
        <v>62</v>
      </c>
      <c r="K965" s="3" t="s">
        <v>63</v>
      </c>
      <c r="L965" s="2" t="s">
        <v>9663</v>
      </c>
      <c r="M965" s="2" t="s">
        <v>9664</v>
      </c>
      <c r="N965" s="3" t="s">
        <v>1077</v>
      </c>
      <c r="P965" s="3" t="s">
        <v>64</v>
      </c>
      <c r="R965" s="3" t="s">
        <v>65</v>
      </c>
      <c r="S965" s="4">
        <v>14</v>
      </c>
      <c r="T965" s="4">
        <v>282</v>
      </c>
      <c r="U965" s="5" t="s">
        <v>931</v>
      </c>
      <c r="V965" s="5" t="s">
        <v>9665</v>
      </c>
      <c r="W965" s="5" t="s">
        <v>67</v>
      </c>
      <c r="X965" s="5" t="s">
        <v>67</v>
      </c>
      <c r="Y965" s="4">
        <v>743</v>
      </c>
      <c r="Z965" s="4">
        <v>53</v>
      </c>
      <c r="AA965" s="4">
        <v>55</v>
      </c>
      <c r="AB965" s="4">
        <v>3</v>
      </c>
      <c r="AC965" s="4">
        <v>3</v>
      </c>
      <c r="AD965" s="4">
        <v>129</v>
      </c>
      <c r="AE965" s="4">
        <v>134</v>
      </c>
      <c r="AF965" s="4">
        <v>1</v>
      </c>
      <c r="AG965" s="4">
        <v>1</v>
      </c>
      <c r="AH965" s="4">
        <v>101</v>
      </c>
      <c r="AI965" s="4">
        <v>106</v>
      </c>
      <c r="AJ965" s="4">
        <v>20</v>
      </c>
      <c r="AK965" s="4">
        <v>22</v>
      </c>
      <c r="AL965" s="4">
        <v>55</v>
      </c>
      <c r="AM965" s="4">
        <v>57</v>
      </c>
      <c r="AN965" s="4">
        <v>0</v>
      </c>
      <c r="AO965" s="4">
        <v>0</v>
      </c>
      <c r="AP965" s="4">
        <v>35</v>
      </c>
      <c r="AQ965" s="4">
        <v>37</v>
      </c>
      <c r="AR965" s="3" t="s">
        <v>62</v>
      </c>
      <c r="AS965" s="3" t="s">
        <v>62</v>
      </c>
      <c r="AT965" s="3" t="s">
        <v>62</v>
      </c>
      <c r="AV965" s="6" t="str">
        <f>HYPERLINK("http://mcgill.on.worldcat.org/oclc/27894925","Catalog Record")</f>
        <v>Catalog Record</v>
      </c>
      <c r="AW965" s="6" t="str">
        <f>HYPERLINK("http://www.worldcat.org/oclc/27894925","WorldCat Record")</f>
        <v>WorldCat Record</v>
      </c>
      <c r="AX965" s="3" t="s">
        <v>9666</v>
      </c>
      <c r="AY965" s="3" t="s">
        <v>9667</v>
      </c>
      <c r="AZ965" s="3" t="s">
        <v>9668</v>
      </c>
      <c r="BA965" s="3" t="s">
        <v>9668</v>
      </c>
      <c r="BB965" s="3" t="s">
        <v>9675</v>
      </c>
      <c r="BC965" s="3" t="s">
        <v>102</v>
      </c>
      <c r="BD965" s="3" t="s">
        <v>231</v>
      </c>
      <c r="BE965" s="3" t="s">
        <v>9670</v>
      </c>
      <c r="BF965" s="3" t="s">
        <v>9675</v>
      </c>
      <c r="BG965" s="3" t="s">
        <v>9676</v>
      </c>
    </row>
    <row r="966" spans="1:59" ht="58" x14ac:dyDescent="0.35">
      <c r="A966" s="2" t="s">
        <v>89</v>
      </c>
      <c r="B966" s="2" t="s">
        <v>90</v>
      </c>
      <c r="C966" s="2" t="s">
        <v>9659</v>
      </c>
      <c r="D966" s="2" t="s">
        <v>9660</v>
      </c>
      <c r="E966" s="2" t="s">
        <v>9661</v>
      </c>
      <c r="G966" s="3" t="s">
        <v>62</v>
      </c>
      <c r="I966" s="3" t="s">
        <v>61</v>
      </c>
      <c r="J966" s="3" t="s">
        <v>62</v>
      </c>
      <c r="K966" s="3" t="s">
        <v>63</v>
      </c>
      <c r="L966" s="2" t="s">
        <v>9663</v>
      </c>
      <c r="M966" s="2" t="s">
        <v>9664</v>
      </c>
      <c r="N966" s="3" t="s">
        <v>1077</v>
      </c>
      <c r="P966" s="3" t="s">
        <v>64</v>
      </c>
      <c r="R966" s="3" t="s">
        <v>65</v>
      </c>
      <c r="S966" s="4">
        <v>99</v>
      </c>
      <c r="T966" s="4">
        <v>282</v>
      </c>
      <c r="U966" s="5" t="s">
        <v>9677</v>
      </c>
      <c r="V966" s="5" t="s">
        <v>9665</v>
      </c>
      <c r="W966" s="5" t="s">
        <v>67</v>
      </c>
      <c r="X966" s="5" t="s">
        <v>67</v>
      </c>
      <c r="Y966" s="4">
        <v>743</v>
      </c>
      <c r="Z966" s="4">
        <v>53</v>
      </c>
      <c r="AA966" s="4">
        <v>55</v>
      </c>
      <c r="AB966" s="4">
        <v>3</v>
      </c>
      <c r="AC966" s="4">
        <v>3</v>
      </c>
      <c r="AD966" s="4">
        <v>129</v>
      </c>
      <c r="AE966" s="4">
        <v>134</v>
      </c>
      <c r="AF966" s="4">
        <v>1</v>
      </c>
      <c r="AG966" s="4">
        <v>1</v>
      </c>
      <c r="AH966" s="4">
        <v>101</v>
      </c>
      <c r="AI966" s="4">
        <v>106</v>
      </c>
      <c r="AJ966" s="4">
        <v>20</v>
      </c>
      <c r="AK966" s="4">
        <v>22</v>
      </c>
      <c r="AL966" s="4">
        <v>55</v>
      </c>
      <c r="AM966" s="4">
        <v>57</v>
      </c>
      <c r="AN966" s="4">
        <v>0</v>
      </c>
      <c r="AO966" s="4">
        <v>0</v>
      </c>
      <c r="AP966" s="4">
        <v>35</v>
      </c>
      <c r="AQ966" s="4">
        <v>37</v>
      </c>
      <c r="AR966" s="3" t="s">
        <v>62</v>
      </c>
      <c r="AS966" s="3" t="s">
        <v>62</v>
      </c>
      <c r="AT966" s="3" t="s">
        <v>62</v>
      </c>
      <c r="AV966" s="6" t="str">
        <f>HYPERLINK("http://mcgill.on.worldcat.org/oclc/27894925","Catalog Record")</f>
        <v>Catalog Record</v>
      </c>
      <c r="AW966" s="6" t="str">
        <f>HYPERLINK("http://www.worldcat.org/oclc/27894925","WorldCat Record")</f>
        <v>WorldCat Record</v>
      </c>
      <c r="AX966" s="3" t="s">
        <v>9666</v>
      </c>
      <c r="AY966" s="3" t="s">
        <v>9667</v>
      </c>
      <c r="AZ966" s="3" t="s">
        <v>9668</v>
      </c>
      <c r="BA966" s="3" t="s">
        <v>9668</v>
      </c>
      <c r="BB966" s="3" t="s">
        <v>9678</v>
      </c>
      <c r="BC966" s="3" t="s">
        <v>102</v>
      </c>
      <c r="BD966" s="3" t="s">
        <v>231</v>
      </c>
      <c r="BE966" s="3" t="s">
        <v>9670</v>
      </c>
      <c r="BF966" s="3" t="s">
        <v>9678</v>
      </c>
      <c r="BG966" s="3" t="s">
        <v>9679</v>
      </c>
    </row>
    <row r="967" spans="1:59" ht="58" x14ac:dyDescent="0.35">
      <c r="A967" s="2" t="s">
        <v>89</v>
      </c>
      <c r="B967" s="2" t="s">
        <v>90</v>
      </c>
      <c r="C967" s="2" t="s">
        <v>9680</v>
      </c>
      <c r="D967" s="2" t="s">
        <v>9681</v>
      </c>
      <c r="E967" s="2" t="s">
        <v>9682</v>
      </c>
      <c r="G967" s="3" t="s">
        <v>62</v>
      </c>
      <c r="I967" s="3" t="s">
        <v>61</v>
      </c>
      <c r="J967" s="3" t="s">
        <v>62</v>
      </c>
      <c r="K967" s="3" t="s">
        <v>63</v>
      </c>
      <c r="L967" s="2" t="s">
        <v>9332</v>
      </c>
      <c r="M967" s="2" t="s">
        <v>9683</v>
      </c>
      <c r="N967" s="3" t="s">
        <v>1905</v>
      </c>
      <c r="P967" s="3" t="s">
        <v>64</v>
      </c>
      <c r="R967" s="3" t="s">
        <v>65</v>
      </c>
      <c r="S967" s="4">
        <v>116</v>
      </c>
      <c r="T967" s="4">
        <v>117</v>
      </c>
      <c r="U967" s="5" t="s">
        <v>9684</v>
      </c>
      <c r="V967" s="5" t="s">
        <v>9684</v>
      </c>
      <c r="W967" s="5" t="s">
        <v>67</v>
      </c>
      <c r="X967" s="5" t="s">
        <v>9685</v>
      </c>
      <c r="Y967" s="4">
        <v>904</v>
      </c>
      <c r="Z967" s="4">
        <v>48</v>
      </c>
      <c r="AA967" s="4">
        <v>55</v>
      </c>
      <c r="AB967" s="4">
        <v>4</v>
      </c>
      <c r="AC967" s="4">
        <v>7</v>
      </c>
      <c r="AD967" s="4">
        <v>134</v>
      </c>
      <c r="AE967" s="4">
        <v>147</v>
      </c>
      <c r="AF967" s="4">
        <v>2</v>
      </c>
      <c r="AG967" s="4">
        <v>5</v>
      </c>
      <c r="AH967" s="4">
        <v>105</v>
      </c>
      <c r="AI967" s="4">
        <v>114</v>
      </c>
      <c r="AJ967" s="4">
        <v>18</v>
      </c>
      <c r="AK967" s="4">
        <v>25</v>
      </c>
      <c r="AL967" s="4">
        <v>56</v>
      </c>
      <c r="AM967" s="4">
        <v>59</v>
      </c>
      <c r="AN967" s="4">
        <v>0</v>
      </c>
      <c r="AO967" s="4">
        <v>0</v>
      </c>
      <c r="AP967" s="4">
        <v>35</v>
      </c>
      <c r="AQ967" s="4">
        <v>41</v>
      </c>
      <c r="AR967" s="3" t="s">
        <v>62</v>
      </c>
      <c r="AS967" s="3" t="s">
        <v>62</v>
      </c>
      <c r="AT967" s="3" t="s">
        <v>61</v>
      </c>
      <c r="AU967" s="6" t="str">
        <f>HYPERLINK("http://catalog.hathitrust.org/Record/000815010","HathiTrust Record")</f>
        <v>HathiTrust Record</v>
      </c>
      <c r="AV967" s="6" t="str">
        <f>HYPERLINK("http://mcgill.on.worldcat.org/oclc/13820884","Catalog Record")</f>
        <v>Catalog Record</v>
      </c>
      <c r="AW967" s="6" t="str">
        <f>HYPERLINK("http://www.worldcat.org/oclc/13820884","WorldCat Record")</f>
        <v>WorldCat Record</v>
      </c>
      <c r="AX967" s="3" t="s">
        <v>9686</v>
      </c>
      <c r="AY967" s="3" t="s">
        <v>9687</v>
      </c>
      <c r="AZ967" s="3" t="s">
        <v>9688</v>
      </c>
      <c r="BA967" s="3" t="s">
        <v>9688</v>
      </c>
      <c r="BB967" s="3" t="s">
        <v>9689</v>
      </c>
      <c r="BC967" s="3" t="s">
        <v>102</v>
      </c>
      <c r="BD967" s="3" t="s">
        <v>231</v>
      </c>
      <c r="BE967" s="3" t="s">
        <v>9690</v>
      </c>
      <c r="BF967" s="3" t="s">
        <v>9689</v>
      </c>
      <c r="BG967" s="3" t="s">
        <v>9691</v>
      </c>
    </row>
    <row r="968" spans="1:59" ht="58" x14ac:dyDescent="0.35">
      <c r="A968" s="2" t="s">
        <v>89</v>
      </c>
      <c r="B968" s="2" t="s">
        <v>90</v>
      </c>
      <c r="C968" s="2" t="s">
        <v>9692</v>
      </c>
      <c r="D968" s="2" t="s">
        <v>9693</v>
      </c>
      <c r="E968" s="2" t="s">
        <v>9694</v>
      </c>
      <c r="G968" s="3" t="s">
        <v>62</v>
      </c>
      <c r="I968" s="3" t="s">
        <v>62</v>
      </c>
      <c r="J968" s="3" t="s">
        <v>62</v>
      </c>
      <c r="K968" s="3" t="s">
        <v>63</v>
      </c>
      <c r="L968" s="2" t="s">
        <v>9332</v>
      </c>
      <c r="M968" s="2" t="s">
        <v>9695</v>
      </c>
      <c r="N968" s="3" t="s">
        <v>1195</v>
      </c>
      <c r="P968" s="3" t="s">
        <v>85</v>
      </c>
      <c r="Q968" s="2" t="s">
        <v>9473</v>
      </c>
      <c r="R968" s="3" t="s">
        <v>65</v>
      </c>
      <c r="S968" s="4">
        <v>6</v>
      </c>
      <c r="T968" s="4">
        <v>6</v>
      </c>
      <c r="U968" s="5" t="s">
        <v>9696</v>
      </c>
      <c r="V968" s="5" t="s">
        <v>9696</v>
      </c>
      <c r="W968" s="5" t="s">
        <v>67</v>
      </c>
      <c r="X968" s="5" t="s">
        <v>67</v>
      </c>
      <c r="Y968" s="4">
        <v>11</v>
      </c>
      <c r="Z968" s="4">
        <v>2</v>
      </c>
      <c r="AA968" s="4">
        <v>14</v>
      </c>
      <c r="AB968" s="4">
        <v>1</v>
      </c>
      <c r="AC968" s="4">
        <v>7</v>
      </c>
      <c r="AD968" s="4">
        <v>4</v>
      </c>
      <c r="AE968" s="4">
        <v>19</v>
      </c>
      <c r="AF968" s="4">
        <v>0</v>
      </c>
      <c r="AG968" s="4">
        <v>3</v>
      </c>
      <c r="AH968" s="4">
        <v>4</v>
      </c>
      <c r="AI968" s="4">
        <v>12</v>
      </c>
      <c r="AJ968" s="4">
        <v>1</v>
      </c>
      <c r="AK968" s="4">
        <v>7</v>
      </c>
      <c r="AL968" s="4">
        <v>2</v>
      </c>
      <c r="AM968" s="4">
        <v>7</v>
      </c>
      <c r="AN968" s="4">
        <v>0</v>
      </c>
      <c r="AO968" s="4">
        <v>0</v>
      </c>
      <c r="AP968" s="4">
        <v>1</v>
      </c>
      <c r="AQ968" s="4">
        <v>9</v>
      </c>
      <c r="AR968" s="3" t="s">
        <v>62</v>
      </c>
      <c r="AS968" s="3" t="s">
        <v>62</v>
      </c>
      <c r="AT968" s="3" t="s">
        <v>62</v>
      </c>
      <c r="AV968" s="6" t="str">
        <f>HYPERLINK("http://mcgill.on.worldcat.org/oclc/76879652","Catalog Record")</f>
        <v>Catalog Record</v>
      </c>
      <c r="AW968" s="6" t="str">
        <f>HYPERLINK("http://www.worldcat.org/oclc/76879652","WorldCat Record")</f>
        <v>WorldCat Record</v>
      </c>
      <c r="AX968" s="3" t="s">
        <v>9697</v>
      </c>
      <c r="AY968" s="3" t="s">
        <v>9698</v>
      </c>
      <c r="AZ968" s="3" t="s">
        <v>9699</v>
      </c>
      <c r="BA968" s="3" t="s">
        <v>9699</v>
      </c>
      <c r="BB968" s="3" t="s">
        <v>9700</v>
      </c>
      <c r="BC968" s="3" t="s">
        <v>102</v>
      </c>
      <c r="BD968" s="3" t="s">
        <v>68</v>
      </c>
      <c r="BE968" s="3" t="s">
        <v>9701</v>
      </c>
      <c r="BF968" s="3" t="s">
        <v>9700</v>
      </c>
      <c r="BG968" s="3" t="s">
        <v>9702</v>
      </c>
    </row>
    <row r="969" spans="1:59" ht="58" x14ac:dyDescent="0.35">
      <c r="A969" s="2" t="s">
        <v>89</v>
      </c>
      <c r="B969" s="2" t="s">
        <v>90</v>
      </c>
      <c r="C969" s="2" t="s">
        <v>9703</v>
      </c>
      <c r="D969" s="2" t="s">
        <v>9704</v>
      </c>
      <c r="E969" s="2" t="s">
        <v>9705</v>
      </c>
      <c r="G969" s="3" t="s">
        <v>62</v>
      </c>
      <c r="I969" s="3" t="s">
        <v>62</v>
      </c>
      <c r="J969" s="3" t="s">
        <v>62</v>
      </c>
      <c r="K969" s="3" t="s">
        <v>63</v>
      </c>
      <c r="L969" s="2" t="s">
        <v>9706</v>
      </c>
      <c r="M969" s="2" t="s">
        <v>9707</v>
      </c>
      <c r="N969" s="3" t="s">
        <v>539</v>
      </c>
      <c r="P969" s="3" t="s">
        <v>85</v>
      </c>
      <c r="Q969" s="2" t="s">
        <v>9708</v>
      </c>
      <c r="R969" s="3" t="s">
        <v>65</v>
      </c>
      <c r="S969" s="4">
        <v>3</v>
      </c>
      <c r="T969" s="4">
        <v>3</v>
      </c>
      <c r="U969" s="5" t="s">
        <v>6542</v>
      </c>
      <c r="V969" s="5" t="s">
        <v>6542</v>
      </c>
      <c r="W969" s="5" t="s">
        <v>67</v>
      </c>
      <c r="X969" s="5" t="s">
        <v>67</v>
      </c>
      <c r="Y969" s="4">
        <v>87</v>
      </c>
      <c r="Z969" s="4">
        <v>11</v>
      </c>
      <c r="AA969" s="4">
        <v>13</v>
      </c>
      <c r="AB969" s="4">
        <v>6</v>
      </c>
      <c r="AC969" s="4">
        <v>7</v>
      </c>
      <c r="AD969" s="4">
        <v>10</v>
      </c>
      <c r="AE969" s="4">
        <v>39</v>
      </c>
      <c r="AF969" s="4">
        <v>3</v>
      </c>
      <c r="AG969" s="4">
        <v>4</v>
      </c>
      <c r="AH969" s="4">
        <v>6</v>
      </c>
      <c r="AI969" s="4">
        <v>32</v>
      </c>
      <c r="AJ969" s="4">
        <v>6</v>
      </c>
      <c r="AK969" s="4">
        <v>8</v>
      </c>
      <c r="AL969" s="4">
        <v>3</v>
      </c>
      <c r="AM969" s="4">
        <v>24</v>
      </c>
      <c r="AN969" s="4">
        <v>0</v>
      </c>
      <c r="AO969" s="4">
        <v>0</v>
      </c>
      <c r="AP969" s="4">
        <v>7</v>
      </c>
      <c r="AQ969" s="4">
        <v>8</v>
      </c>
      <c r="AR969" s="3" t="s">
        <v>62</v>
      </c>
      <c r="AS969" s="3" t="s">
        <v>62</v>
      </c>
      <c r="AT969" s="3" t="s">
        <v>62</v>
      </c>
      <c r="AV969" s="6" t="str">
        <f>HYPERLINK("http://mcgill.on.worldcat.org/oclc/406166479","Catalog Record")</f>
        <v>Catalog Record</v>
      </c>
      <c r="AW969" s="6" t="str">
        <f>HYPERLINK("http://www.worldcat.org/oclc/406166479","WorldCat Record")</f>
        <v>WorldCat Record</v>
      </c>
      <c r="AX969" s="3" t="s">
        <v>9709</v>
      </c>
      <c r="AY969" s="3" t="s">
        <v>9710</v>
      </c>
      <c r="AZ969" s="3" t="s">
        <v>9711</v>
      </c>
      <c r="BA969" s="3" t="s">
        <v>9711</v>
      </c>
      <c r="BB969" s="3" t="s">
        <v>9712</v>
      </c>
      <c r="BC969" s="3" t="s">
        <v>102</v>
      </c>
      <c r="BD969" s="3" t="s">
        <v>68</v>
      </c>
      <c r="BE969" s="3" t="s">
        <v>9713</v>
      </c>
      <c r="BF969" s="3" t="s">
        <v>9712</v>
      </c>
      <c r="BG969" s="3" t="s">
        <v>9714</v>
      </c>
    </row>
    <row r="970" spans="1:59" ht="58" x14ac:dyDescent="0.35">
      <c r="A970" s="2" t="s">
        <v>89</v>
      </c>
      <c r="B970" s="2" t="s">
        <v>90</v>
      </c>
      <c r="C970" s="2" t="s">
        <v>9715</v>
      </c>
      <c r="D970" s="2" t="s">
        <v>9716</v>
      </c>
      <c r="E970" s="2" t="s">
        <v>9717</v>
      </c>
      <c r="G970" s="3" t="s">
        <v>62</v>
      </c>
      <c r="I970" s="3" t="s">
        <v>62</v>
      </c>
      <c r="J970" s="3" t="s">
        <v>62</v>
      </c>
      <c r="K970" s="3" t="s">
        <v>63</v>
      </c>
      <c r="L970" s="2" t="s">
        <v>9718</v>
      </c>
      <c r="M970" s="2" t="s">
        <v>9719</v>
      </c>
      <c r="N970" s="3" t="s">
        <v>1077</v>
      </c>
      <c r="P970" s="3" t="s">
        <v>64</v>
      </c>
      <c r="R970" s="3" t="s">
        <v>65</v>
      </c>
      <c r="S970" s="4">
        <v>62</v>
      </c>
      <c r="T970" s="4">
        <v>62</v>
      </c>
      <c r="U970" s="5" t="s">
        <v>8592</v>
      </c>
      <c r="V970" s="5" t="s">
        <v>8592</v>
      </c>
      <c r="W970" s="5" t="s">
        <v>67</v>
      </c>
      <c r="X970" s="5" t="s">
        <v>67</v>
      </c>
      <c r="Y970" s="4">
        <v>295</v>
      </c>
      <c r="Z970" s="4">
        <v>21</v>
      </c>
      <c r="AA970" s="4">
        <v>29</v>
      </c>
      <c r="AB970" s="4">
        <v>2</v>
      </c>
      <c r="AC970" s="4">
        <v>6</v>
      </c>
      <c r="AD970" s="4">
        <v>98</v>
      </c>
      <c r="AE970" s="4">
        <v>110</v>
      </c>
      <c r="AF970" s="4">
        <v>1</v>
      </c>
      <c r="AG970" s="4">
        <v>4</v>
      </c>
      <c r="AH970" s="4">
        <v>88</v>
      </c>
      <c r="AI970" s="4">
        <v>95</v>
      </c>
      <c r="AJ970" s="4">
        <v>14</v>
      </c>
      <c r="AK970" s="4">
        <v>19</v>
      </c>
      <c r="AL970" s="4">
        <v>50</v>
      </c>
      <c r="AM970" s="4">
        <v>51</v>
      </c>
      <c r="AN970" s="4">
        <v>0</v>
      </c>
      <c r="AO970" s="4">
        <v>0</v>
      </c>
      <c r="AP970" s="4">
        <v>19</v>
      </c>
      <c r="AQ970" s="4">
        <v>25</v>
      </c>
      <c r="AR970" s="3" t="s">
        <v>62</v>
      </c>
      <c r="AS970" s="3" t="s">
        <v>62</v>
      </c>
      <c r="AT970" s="3" t="s">
        <v>62</v>
      </c>
      <c r="AV970" s="6" t="str">
        <f>HYPERLINK("http://mcgill.on.worldcat.org/oclc/26808829","Catalog Record")</f>
        <v>Catalog Record</v>
      </c>
      <c r="AW970" s="6" t="str">
        <f>HYPERLINK("http://www.worldcat.org/oclc/26808829","WorldCat Record")</f>
        <v>WorldCat Record</v>
      </c>
      <c r="AX970" s="3" t="s">
        <v>9720</v>
      </c>
      <c r="AY970" s="3" t="s">
        <v>9721</v>
      </c>
      <c r="AZ970" s="3" t="s">
        <v>9722</v>
      </c>
      <c r="BA970" s="3" t="s">
        <v>9722</v>
      </c>
      <c r="BB970" s="3" t="s">
        <v>9723</v>
      </c>
      <c r="BC970" s="3" t="s">
        <v>102</v>
      </c>
      <c r="BD970" s="3" t="s">
        <v>231</v>
      </c>
      <c r="BE970" s="3" t="s">
        <v>9724</v>
      </c>
      <c r="BF970" s="3" t="s">
        <v>9723</v>
      </c>
      <c r="BG970" s="3" t="s">
        <v>9725</v>
      </c>
    </row>
    <row r="971" spans="1:59" ht="58" x14ac:dyDescent="0.35">
      <c r="A971" s="2" t="s">
        <v>89</v>
      </c>
      <c r="B971" s="2" t="s">
        <v>90</v>
      </c>
      <c r="C971" s="2" t="s">
        <v>9726</v>
      </c>
      <c r="D971" s="2" t="s">
        <v>9727</v>
      </c>
      <c r="E971" s="2" t="s">
        <v>9728</v>
      </c>
      <c r="G971" s="3" t="s">
        <v>62</v>
      </c>
      <c r="I971" s="3" t="s">
        <v>62</v>
      </c>
      <c r="J971" s="3" t="s">
        <v>62</v>
      </c>
      <c r="K971" s="3" t="s">
        <v>63</v>
      </c>
      <c r="L971" s="2" t="s">
        <v>9729</v>
      </c>
      <c r="M971" s="2" t="s">
        <v>9730</v>
      </c>
      <c r="N971" s="3" t="s">
        <v>698</v>
      </c>
      <c r="P971" s="3" t="s">
        <v>64</v>
      </c>
      <c r="R971" s="3" t="s">
        <v>65</v>
      </c>
      <c r="S971" s="4">
        <v>0</v>
      </c>
      <c r="T971" s="4">
        <v>0</v>
      </c>
      <c r="W971" s="5" t="s">
        <v>67</v>
      </c>
      <c r="X971" s="5" t="s">
        <v>67</v>
      </c>
      <c r="Y971" s="4">
        <v>22</v>
      </c>
      <c r="Z971" s="4">
        <v>19</v>
      </c>
      <c r="AA971" s="4">
        <v>21</v>
      </c>
      <c r="AB971" s="4">
        <v>1</v>
      </c>
      <c r="AC971" s="4">
        <v>3</v>
      </c>
      <c r="AD971" s="4">
        <v>18</v>
      </c>
      <c r="AE971" s="4">
        <v>19</v>
      </c>
      <c r="AF971" s="4">
        <v>0</v>
      </c>
      <c r="AG971" s="4">
        <v>1</v>
      </c>
      <c r="AH971" s="4">
        <v>10</v>
      </c>
      <c r="AI971" s="4">
        <v>11</v>
      </c>
      <c r="AJ971" s="4">
        <v>9</v>
      </c>
      <c r="AK971" s="4">
        <v>10</v>
      </c>
      <c r="AL971" s="4">
        <v>4</v>
      </c>
      <c r="AM971" s="4">
        <v>4</v>
      </c>
      <c r="AN971" s="4">
        <v>0</v>
      </c>
      <c r="AO971" s="4">
        <v>0</v>
      </c>
      <c r="AP971" s="4">
        <v>15</v>
      </c>
      <c r="AQ971" s="4">
        <v>16</v>
      </c>
      <c r="AR971" s="3" t="s">
        <v>61</v>
      </c>
      <c r="AS971" s="3" t="s">
        <v>62</v>
      </c>
      <c r="AT971" s="3" t="s">
        <v>62</v>
      </c>
      <c r="AV971" s="6" t="str">
        <f>HYPERLINK("http://mcgill.on.worldcat.org/oclc/1055246068","Catalog Record")</f>
        <v>Catalog Record</v>
      </c>
      <c r="AW971" s="6" t="str">
        <f>HYPERLINK("http://www.worldcat.org/oclc/1055246068","WorldCat Record")</f>
        <v>WorldCat Record</v>
      </c>
      <c r="AX971" s="3" t="s">
        <v>9731</v>
      </c>
      <c r="AY971" s="3" t="s">
        <v>9732</v>
      </c>
      <c r="AZ971" s="3" t="s">
        <v>9733</v>
      </c>
      <c r="BA971" s="3" t="s">
        <v>9733</v>
      </c>
      <c r="BB971" s="3" t="s">
        <v>9734</v>
      </c>
      <c r="BC971" s="3" t="s">
        <v>102</v>
      </c>
      <c r="BD971" s="3" t="s">
        <v>68</v>
      </c>
      <c r="BE971" s="3" t="s">
        <v>9735</v>
      </c>
      <c r="BF971" s="3" t="s">
        <v>9734</v>
      </c>
      <c r="BG971" s="3" t="s">
        <v>9736</v>
      </c>
    </row>
    <row r="972" spans="1:59" ht="58" x14ac:dyDescent="0.35">
      <c r="A972" s="2" t="s">
        <v>89</v>
      </c>
      <c r="B972" s="2" t="s">
        <v>90</v>
      </c>
      <c r="C972" s="2" t="s">
        <v>9737</v>
      </c>
      <c r="D972" s="2" t="s">
        <v>9738</v>
      </c>
      <c r="E972" s="2" t="s">
        <v>9739</v>
      </c>
      <c r="G972" s="3" t="s">
        <v>62</v>
      </c>
      <c r="I972" s="3" t="s">
        <v>62</v>
      </c>
      <c r="J972" s="3" t="s">
        <v>62</v>
      </c>
      <c r="K972" s="3" t="s">
        <v>63</v>
      </c>
      <c r="L972" s="2" t="s">
        <v>9740</v>
      </c>
      <c r="M972" s="2" t="s">
        <v>9741</v>
      </c>
      <c r="N972" s="3" t="s">
        <v>3062</v>
      </c>
      <c r="P972" s="3" t="s">
        <v>64</v>
      </c>
      <c r="Q972" s="2" t="s">
        <v>9742</v>
      </c>
      <c r="R972" s="3" t="s">
        <v>65</v>
      </c>
      <c r="S972" s="4">
        <v>26</v>
      </c>
      <c r="T972" s="4">
        <v>26</v>
      </c>
      <c r="U972" s="5" t="s">
        <v>8532</v>
      </c>
      <c r="V972" s="5" t="s">
        <v>8532</v>
      </c>
      <c r="W972" s="5" t="s">
        <v>67</v>
      </c>
      <c r="X972" s="5" t="s">
        <v>67</v>
      </c>
      <c r="Y972" s="4">
        <v>236</v>
      </c>
      <c r="Z972" s="4">
        <v>19</v>
      </c>
      <c r="AA972" s="4">
        <v>21</v>
      </c>
      <c r="AB972" s="4">
        <v>1</v>
      </c>
      <c r="AC972" s="4">
        <v>3</v>
      </c>
      <c r="AD972" s="4">
        <v>41</v>
      </c>
      <c r="AE972" s="4">
        <v>43</v>
      </c>
      <c r="AF972" s="4">
        <v>0</v>
      </c>
      <c r="AG972" s="4">
        <v>2</v>
      </c>
      <c r="AH972" s="4">
        <v>35</v>
      </c>
      <c r="AI972" s="4">
        <v>36</v>
      </c>
      <c r="AJ972" s="4">
        <v>9</v>
      </c>
      <c r="AK972" s="4">
        <v>11</v>
      </c>
      <c r="AL972" s="4">
        <v>18</v>
      </c>
      <c r="AM972" s="4">
        <v>18</v>
      </c>
      <c r="AN972" s="4">
        <v>0</v>
      </c>
      <c r="AO972" s="4">
        <v>0</v>
      </c>
      <c r="AP972" s="4">
        <v>13</v>
      </c>
      <c r="AQ972" s="4">
        <v>14</v>
      </c>
      <c r="AR972" s="3" t="s">
        <v>62</v>
      </c>
      <c r="AS972" s="3" t="s">
        <v>62</v>
      </c>
      <c r="AT972" s="3" t="s">
        <v>62</v>
      </c>
      <c r="AV972" s="6" t="str">
        <f>HYPERLINK("http://mcgill.on.worldcat.org/oclc/21905785","Catalog Record")</f>
        <v>Catalog Record</v>
      </c>
      <c r="AW972" s="6" t="str">
        <f>HYPERLINK("http://www.worldcat.org/oclc/21905785","WorldCat Record")</f>
        <v>WorldCat Record</v>
      </c>
      <c r="AX972" s="3" t="s">
        <v>9743</v>
      </c>
      <c r="AY972" s="3" t="s">
        <v>9744</v>
      </c>
      <c r="AZ972" s="3" t="s">
        <v>9745</v>
      </c>
      <c r="BA972" s="3" t="s">
        <v>9745</v>
      </c>
      <c r="BB972" s="3" t="s">
        <v>9746</v>
      </c>
      <c r="BC972" s="3" t="s">
        <v>102</v>
      </c>
      <c r="BD972" s="3" t="s">
        <v>68</v>
      </c>
      <c r="BE972" s="3" t="s">
        <v>9747</v>
      </c>
      <c r="BF972" s="3" t="s">
        <v>9746</v>
      </c>
      <c r="BG972" s="3" t="s">
        <v>9748</v>
      </c>
    </row>
    <row r="973" spans="1:59" ht="58" x14ac:dyDescent="0.35">
      <c r="A973" s="2" t="s">
        <v>89</v>
      </c>
      <c r="B973" s="2" t="s">
        <v>90</v>
      </c>
      <c r="C973" s="2" t="s">
        <v>9749</v>
      </c>
      <c r="D973" s="2" t="s">
        <v>9750</v>
      </c>
      <c r="E973" s="2" t="s">
        <v>9751</v>
      </c>
      <c r="G973" s="3" t="s">
        <v>62</v>
      </c>
      <c r="I973" s="3" t="s">
        <v>61</v>
      </c>
      <c r="J973" s="3" t="s">
        <v>62</v>
      </c>
      <c r="K973" s="3" t="s">
        <v>63</v>
      </c>
      <c r="L973" s="2" t="s">
        <v>3988</v>
      </c>
      <c r="M973" s="2" t="s">
        <v>9752</v>
      </c>
      <c r="N973" s="3" t="s">
        <v>2566</v>
      </c>
      <c r="P973" s="3" t="s">
        <v>64</v>
      </c>
      <c r="R973" s="3" t="s">
        <v>65</v>
      </c>
      <c r="S973" s="4">
        <v>25</v>
      </c>
      <c r="T973" s="4">
        <v>93</v>
      </c>
      <c r="U973" s="5" t="s">
        <v>8532</v>
      </c>
      <c r="V973" s="5" t="s">
        <v>8532</v>
      </c>
      <c r="W973" s="5" t="s">
        <v>67</v>
      </c>
      <c r="X973" s="5" t="s">
        <v>67</v>
      </c>
      <c r="Y973" s="4">
        <v>1169</v>
      </c>
      <c r="Z973" s="4">
        <v>55</v>
      </c>
      <c r="AA973" s="4">
        <v>61</v>
      </c>
      <c r="AB973" s="4">
        <v>2</v>
      </c>
      <c r="AC973" s="4">
        <v>7</v>
      </c>
      <c r="AD973" s="4">
        <v>143</v>
      </c>
      <c r="AE973" s="4">
        <v>148</v>
      </c>
      <c r="AF973" s="4">
        <v>1</v>
      </c>
      <c r="AG973" s="4">
        <v>5</v>
      </c>
      <c r="AH973" s="4">
        <v>109</v>
      </c>
      <c r="AI973" s="4">
        <v>111</v>
      </c>
      <c r="AJ973" s="4">
        <v>22</v>
      </c>
      <c r="AK973" s="4">
        <v>27</v>
      </c>
      <c r="AL973" s="4">
        <v>62</v>
      </c>
      <c r="AM973" s="4">
        <v>62</v>
      </c>
      <c r="AN973" s="4">
        <v>0</v>
      </c>
      <c r="AO973" s="4">
        <v>0</v>
      </c>
      <c r="AP973" s="4">
        <v>38</v>
      </c>
      <c r="AQ973" s="4">
        <v>42</v>
      </c>
      <c r="AR973" s="3" t="s">
        <v>62</v>
      </c>
      <c r="AS973" s="3" t="s">
        <v>62</v>
      </c>
      <c r="AT973" s="3" t="s">
        <v>62</v>
      </c>
      <c r="AV973" s="6" t="str">
        <f>HYPERLINK("http://mcgill.on.worldcat.org/oclc/755754","Catalog Record")</f>
        <v>Catalog Record</v>
      </c>
      <c r="AW973" s="6" t="str">
        <f>HYPERLINK("http://www.worldcat.org/oclc/755754","WorldCat Record")</f>
        <v>WorldCat Record</v>
      </c>
      <c r="AX973" s="3" t="s">
        <v>9753</v>
      </c>
      <c r="AY973" s="3" t="s">
        <v>9754</v>
      </c>
      <c r="AZ973" s="3" t="s">
        <v>9755</v>
      </c>
      <c r="BA973" s="3" t="s">
        <v>9755</v>
      </c>
      <c r="BB973" s="3" t="s">
        <v>9756</v>
      </c>
      <c r="BC973" s="3" t="s">
        <v>102</v>
      </c>
      <c r="BD973" s="3" t="s">
        <v>68</v>
      </c>
      <c r="BE973" s="3" t="s">
        <v>9757</v>
      </c>
      <c r="BF973" s="3" t="s">
        <v>9756</v>
      </c>
      <c r="BG973" s="3" t="s">
        <v>9758</v>
      </c>
    </row>
    <row r="974" spans="1:59" ht="58" x14ac:dyDescent="0.35">
      <c r="A974" s="2" t="s">
        <v>89</v>
      </c>
      <c r="B974" s="2" t="s">
        <v>90</v>
      </c>
      <c r="C974" s="2" t="s">
        <v>9749</v>
      </c>
      <c r="D974" s="2" t="s">
        <v>9750</v>
      </c>
      <c r="E974" s="2" t="s">
        <v>9751</v>
      </c>
      <c r="G974" s="3" t="s">
        <v>62</v>
      </c>
      <c r="I974" s="3" t="s">
        <v>61</v>
      </c>
      <c r="J974" s="3" t="s">
        <v>62</v>
      </c>
      <c r="K974" s="3" t="s">
        <v>63</v>
      </c>
      <c r="L974" s="2" t="s">
        <v>3988</v>
      </c>
      <c r="M974" s="2" t="s">
        <v>9752</v>
      </c>
      <c r="N974" s="3" t="s">
        <v>2566</v>
      </c>
      <c r="P974" s="3" t="s">
        <v>64</v>
      </c>
      <c r="R974" s="3" t="s">
        <v>65</v>
      </c>
      <c r="S974" s="4">
        <v>37</v>
      </c>
      <c r="T974" s="4">
        <v>93</v>
      </c>
      <c r="U974" s="5" t="s">
        <v>9759</v>
      </c>
      <c r="V974" s="5" t="s">
        <v>8532</v>
      </c>
      <c r="W974" s="5" t="s">
        <v>67</v>
      </c>
      <c r="X974" s="5" t="s">
        <v>67</v>
      </c>
      <c r="Y974" s="4">
        <v>1169</v>
      </c>
      <c r="Z974" s="4">
        <v>55</v>
      </c>
      <c r="AA974" s="4">
        <v>61</v>
      </c>
      <c r="AB974" s="4">
        <v>2</v>
      </c>
      <c r="AC974" s="4">
        <v>7</v>
      </c>
      <c r="AD974" s="4">
        <v>143</v>
      </c>
      <c r="AE974" s="4">
        <v>148</v>
      </c>
      <c r="AF974" s="4">
        <v>1</v>
      </c>
      <c r="AG974" s="4">
        <v>5</v>
      </c>
      <c r="AH974" s="4">
        <v>109</v>
      </c>
      <c r="AI974" s="4">
        <v>111</v>
      </c>
      <c r="AJ974" s="4">
        <v>22</v>
      </c>
      <c r="AK974" s="4">
        <v>27</v>
      </c>
      <c r="AL974" s="4">
        <v>62</v>
      </c>
      <c r="AM974" s="4">
        <v>62</v>
      </c>
      <c r="AN974" s="4">
        <v>0</v>
      </c>
      <c r="AO974" s="4">
        <v>0</v>
      </c>
      <c r="AP974" s="4">
        <v>38</v>
      </c>
      <c r="AQ974" s="4">
        <v>42</v>
      </c>
      <c r="AR974" s="3" t="s">
        <v>62</v>
      </c>
      <c r="AS974" s="3" t="s">
        <v>62</v>
      </c>
      <c r="AT974" s="3" t="s">
        <v>62</v>
      </c>
      <c r="AV974" s="6" t="str">
        <f>HYPERLINK("http://mcgill.on.worldcat.org/oclc/755754","Catalog Record")</f>
        <v>Catalog Record</v>
      </c>
      <c r="AW974" s="6" t="str">
        <f>HYPERLINK("http://www.worldcat.org/oclc/755754","WorldCat Record")</f>
        <v>WorldCat Record</v>
      </c>
      <c r="AX974" s="3" t="s">
        <v>9753</v>
      </c>
      <c r="AY974" s="3" t="s">
        <v>9754</v>
      </c>
      <c r="AZ974" s="3" t="s">
        <v>9755</v>
      </c>
      <c r="BA974" s="3" t="s">
        <v>9755</v>
      </c>
      <c r="BB974" s="3" t="s">
        <v>9760</v>
      </c>
      <c r="BC974" s="3" t="s">
        <v>102</v>
      </c>
      <c r="BD974" s="3" t="s">
        <v>68</v>
      </c>
      <c r="BE974" s="3" t="s">
        <v>9757</v>
      </c>
      <c r="BF974" s="3" t="s">
        <v>9760</v>
      </c>
      <c r="BG974" s="3" t="s">
        <v>9761</v>
      </c>
    </row>
    <row r="975" spans="1:59" ht="58" x14ac:dyDescent="0.35">
      <c r="A975" s="2" t="s">
        <v>89</v>
      </c>
      <c r="B975" s="2" t="s">
        <v>90</v>
      </c>
      <c r="C975" s="2" t="s">
        <v>9762</v>
      </c>
      <c r="D975" s="2" t="s">
        <v>9763</v>
      </c>
      <c r="E975" s="2" t="s">
        <v>9764</v>
      </c>
      <c r="G975" s="3" t="s">
        <v>62</v>
      </c>
      <c r="I975" s="3" t="s">
        <v>62</v>
      </c>
      <c r="J975" s="3" t="s">
        <v>62</v>
      </c>
      <c r="K975" s="3" t="s">
        <v>63</v>
      </c>
      <c r="L975" s="2" t="s">
        <v>9765</v>
      </c>
      <c r="M975" s="2" t="s">
        <v>9766</v>
      </c>
      <c r="N975" s="3" t="s">
        <v>87</v>
      </c>
      <c r="P975" s="3" t="s">
        <v>64</v>
      </c>
      <c r="R975" s="3" t="s">
        <v>65</v>
      </c>
      <c r="S975" s="4">
        <v>3</v>
      </c>
      <c r="T975" s="4">
        <v>3</v>
      </c>
      <c r="U975" s="5" t="s">
        <v>9767</v>
      </c>
      <c r="V975" s="5" t="s">
        <v>9767</v>
      </c>
      <c r="W975" s="5" t="s">
        <v>67</v>
      </c>
      <c r="X975" s="5" t="s">
        <v>67</v>
      </c>
      <c r="Y975" s="4">
        <v>229</v>
      </c>
      <c r="Z975" s="4">
        <v>17</v>
      </c>
      <c r="AA975" s="4">
        <v>19</v>
      </c>
      <c r="AB975" s="4">
        <v>2</v>
      </c>
      <c r="AC975" s="4">
        <v>2</v>
      </c>
      <c r="AD975" s="4">
        <v>85</v>
      </c>
      <c r="AE975" s="4">
        <v>90</v>
      </c>
      <c r="AF975" s="4">
        <v>1</v>
      </c>
      <c r="AG975" s="4">
        <v>1</v>
      </c>
      <c r="AH975" s="4">
        <v>76</v>
      </c>
      <c r="AI975" s="4">
        <v>80</v>
      </c>
      <c r="AJ975" s="4">
        <v>11</v>
      </c>
      <c r="AK975" s="4">
        <v>13</v>
      </c>
      <c r="AL975" s="4">
        <v>44</v>
      </c>
      <c r="AM975" s="4">
        <v>45</v>
      </c>
      <c r="AN975" s="4">
        <v>0</v>
      </c>
      <c r="AO975" s="4">
        <v>0</v>
      </c>
      <c r="AP975" s="4">
        <v>11</v>
      </c>
      <c r="AQ975" s="4">
        <v>12</v>
      </c>
      <c r="AR975" s="3" t="s">
        <v>62</v>
      </c>
      <c r="AS975" s="3" t="s">
        <v>62</v>
      </c>
      <c r="AT975" s="3" t="s">
        <v>61</v>
      </c>
      <c r="AU975" s="6" t="str">
        <f>HYPERLINK("http://catalog.hathitrust.org/Record/000028660","HathiTrust Record")</f>
        <v>HathiTrust Record</v>
      </c>
      <c r="AV975" s="6" t="str">
        <f>HYPERLINK("http://mcgill.on.worldcat.org/oclc/5829482","Catalog Record")</f>
        <v>Catalog Record</v>
      </c>
      <c r="AW975" s="6" t="str">
        <f>HYPERLINK("http://www.worldcat.org/oclc/5829482","WorldCat Record")</f>
        <v>WorldCat Record</v>
      </c>
      <c r="AX975" s="3" t="s">
        <v>9768</v>
      </c>
      <c r="AY975" s="3" t="s">
        <v>9769</v>
      </c>
      <c r="AZ975" s="3" t="s">
        <v>9770</v>
      </c>
      <c r="BA975" s="3" t="s">
        <v>9770</v>
      </c>
      <c r="BB975" s="3" t="s">
        <v>9771</v>
      </c>
      <c r="BC975" s="3" t="s">
        <v>102</v>
      </c>
      <c r="BD975" s="3" t="s">
        <v>68</v>
      </c>
      <c r="BF975" s="3" t="s">
        <v>9771</v>
      </c>
      <c r="BG975" s="3" t="s">
        <v>9772</v>
      </c>
    </row>
    <row r="976" spans="1:59" ht="58" x14ac:dyDescent="0.35">
      <c r="A976" s="2" t="s">
        <v>89</v>
      </c>
      <c r="B976" s="2" t="s">
        <v>90</v>
      </c>
      <c r="C976" s="2" t="s">
        <v>9773</v>
      </c>
      <c r="D976" s="2" t="s">
        <v>9774</v>
      </c>
      <c r="E976" s="2" t="s">
        <v>9775</v>
      </c>
      <c r="G976" s="3" t="s">
        <v>62</v>
      </c>
      <c r="I976" s="3" t="s">
        <v>61</v>
      </c>
      <c r="J976" s="3" t="s">
        <v>62</v>
      </c>
      <c r="K976" s="3" t="s">
        <v>63</v>
      </c>
      <c r="L976" s="2" t="s">
        <v>9776</v>
      </c>
      <c r="M976" s="2" t="s">
        <v>9777</v>
      </c>
      <c r="N976" s="3" t="s">
        <v>866</v>
      </c>
      <c r="P976" s="3" t="s">
        <v>64</v>
      </c>
      <c r="Q976" s="2" t="s">
        <v>9778</v>
      </c>
      <c r="R976" s="3" t="s">
        <v>65</v>
      </c>
      <c r="S976" s="4">
        <v>11</v>
      </c>
      <c r="T976" s="4">
        <v>16</v>
      </c>
      <c r="U976" s="5" t="s">
        <v>9767</v>
      </c>
      <c r="V976" s="5" t="s">
        <v>9767</v>
      </c>
      <c r="W976" s="5" t="s">
        <v>67</v>
      </c>
      <c r="X976" s="5" t="s">
        <v>67</v>
      </c>
      <c r="Y976" s="4">
        <v>252</v>
      </c>
      <c r="Z976" s="4">
        <v>34</v>
      </c>
      <c r="AA976" s="4">
        <v>38</v>
      </c>
      <c r="AB976" s="4">
        <v>2</v>
      </c>
      <c r="AC976" s="4">
        <v>6</v>
      </c>
      <c r="AD976" s="4">
        <v>81</v>
      </c>
      <c r="AE976" s="4">
        <v>84</v>
      </c>
      <c r="AF976" s="4">
        <v>1</v>
      </c>
      <c r="AG976" s="4">
        <v>4</v>
      </c>
      <c r="AH976" s="4">
        <v>63</v>
      </c>
      <c r="AI976" s="4">
        <v>64</v>
      </c>
      <c r="AJ976" s="4">
        <v>22</v>
      </c>
      <c r="AK976" s="4">
        <v>25</v>
      </c>
      <c r="AL976" s="4">
        <v>35</v>
      </c>
      <c r="AM976" s="4">
        <v>35</v>
      </c>
      <c r="AN976" s="4">
        <v>0</v>
      </c>
      <c r="AO976" s="4">
        <v>0</v>
      </c>
      <c r="AP976" s="4">
        <v>29</v>
      </c>
      <c r="AQ976" s="4">
        <v>31</v>
      </c>
      <c r="AR976" s="3" t="s">
        <v>62</v>
      </c>
      <c r="AS976" s="3" t="s">
        <v>62</v>
      </c>
      <c r="AT976" s="3" t="s">
        <v>61</v>
      </c>
      <c r="AU976" s="6" t="str">
        <f>HYPERLINK("http://catalog.hathitrust.org/Record/000745852","HathiTrust Record")</f>
        <v>HathiTrust Record</v>
      </c>
      <c r="AV976" s="6" t="str">
        <f>HYPERLINK("http://mcgill.on.worldcat.org/oclc/496056","Catalog Record")</f>
        <v>Catalog Record</v>
      </c>
      <c r="AW976" s="6" t="str">
        <f>HYPERLINK("http://www.worldcat.org/oclc/496056","WorldCat Record")</f>
        <v>WorldCat Record</v>
      </c>
      <c r="AX976" s="3" t="s">
        <v>9779</v>
      </c>
      <c r="AY976" s="3" t="s">
        <v>9780</v>
      </c>
      <c r="AZ976" s="3" t="s">
        <v>9781</v>
      </c>
      <c r="BA976" s="3" t="s">
        <v>9781</v>
      </c>
      <c r="BB976" s="3" t="s">
        <v>9782</v>
      </c>
      <c r="BC976" s="3" t="s">
        <v>102</v>
      </c>
      <c r="BD976" s="3" t="s">
        <v>68</v>
      </c>
      <c r="BE976" s="3" t="s">
        <v>9783</v>
      </c>
      <c r="BF976" s="3" t="s">
        <v>9782</v>
      </c>
      <c r="BG976" s="3" t="s">
        <v>9784</v>
      </c>
    </row>
    <row r="977" spans="1:59" ht="58" x14ac:dyDescent="0.35">
      <c r="A977" s="2" t="s">
        <v>89</v>
      </c>
      <c r="B977" s="2" t="s">
        <v>90</v>
      </c>
      <c r="C977" s="2" t="s">
        <v>9785</v>
      </c>
      <c r="D977" s="2" t="s">
        <v>9786</v>
      </c>
      <c r="E977" s="2" t="s">
        <v>9787</v>
      </c>
      <c r="G977" s="3" t="s">
        <v>62</v>
      </c>
      <c r="I977" s="3" t="s">
        <v>62</v>
      </c>
      <c r="J977" s="3" t="s">
        <v>61</v>
      </c>
      <c r="K977" s="3" t="s">
        <v>63</v>
      </c>
      <c r="L977" s="2" t="s">
        <v>9776</v>
      </c>
      <c r="M977" s="2" t="s">
        <v>9788</v>
      </c>
      <c r="N977" s="3" t="s">
        <v>3062</v>
      </c>
      <c r="P977" s="3" t="s">
        <v>64</v>
      </c>
      <c r="R977" s="3" t="s">
        <v>65</v>
      </c>
      <c r="S977" s="4">
        <v>6</v>
      </c>
      <c r="T977" s="4">
        <v>6</v>
      </c>
      <c r="U977" s="5" t="s">
        <v>9615</v>
      </c>
      <c r="V977" s="5" t="s">
        <v>9615</v>
      </c>
      <c r="W977" s="5" t="s">
        <v>67</v>
      </c>
      <c r="X977" s="5" t="s">
        <v>67</v>
      </c>
      <c r="Y977" s="4">
        <v>83</v>
      </c>
      <c r="Z977" s="4">
        <v>8</v>
      </c>
      <c r="AA977" s="4">
        <v>25</v>
      </c>
      <c r="AB977" s="4">
        <v>3</v>
      </c>
      <c r="AC977" s="4">
        <v>5</v>
      </c>
      <c r="AD977" s="4">
        <v>15</v>
      </c>
      <c r="AE977" s="4">
        <v>90</v>
      </c>
      <c r="AF977" s="4">
        <v>1</v>
      </c>
      <c r="AG977" s="4">
        <v>3</v>
      </c>
      <c r="AH977" s="4">
        <v>13</v>
      </c>
      <c r="AI977" s="4">
        <v>78</v>
      </c>
      <c r="AJ977" s="4">
        <v>6</v>
      </c>
      <c r="AK977" s="4">
        <v>14</v>
      </c>
      <c r="AL977" s="4">
        <v>6</v>
      </c>
      <c r="AM977" s="4">
        <v>43</v>
      </c>
      <c r="AN977" s="4">
        <v>0</v>
      </c>
      <c r="AO977" s="4">
        <v>5</v>
      </c>
      <c r="AP977" s="4">
        <v>6</v>
      </c>
      <c r="AQ977" s="4">
        <v>20</v>
      </c>
      <c r="AR977" s="3" t="s">
        <v>62</v>
      </c>
      <c r="AS977" s="3" t="s">
        <v>62</v>
      </c>
      <c r="AT977" s="3" t="s">
        <v>61</v>
      </c>
      <c r="AU977" s="6" t="str">
        <f>HYPERLINK("http://catalog.hathitrust.org/Record/102558340","HathiTrust Record")</f>
        <v>HathiTrust Record</v>
      </c>
      <c r="AV977" s="6" t="str">
        <f>HYPERLINK("http://mcgill.on.worldcat.org/oclc/21078362","Catalog Record")</f>
        <v>Catalog Record</v>
      </c>
      <c r="AW977" s="6" t="str">
        <f>HYPERLINK("http://www.worldcat.org/oclc/21078362","WorldCat Record")</f>
        <v>WorldCat Record</v>
      </c>
      <c r="AX977" s="3" t="s">
        <v>9789</v>
      </c>
      <c r="AY977" s="3" t="s">
        <v>9790</v>
      </c>
      <c r="AZ977" s="3" t="s">
        <v>9791</v>
      </c>
      <c r="BA977" s="3" t="s">
        <v>9791</v>
      </c>
      <c r="BB977" s="3" t="s">
        <v>9792</v>
      </c>
      <c r="BC977" s="3" t="s">
        <v>102</v>
      </c>
      <c r="BD977" s="3" t="s">
        <v>68</v>
      </c>
      <c r="BE977" s="3" t="s">
        <v>9793</v>
      </c>
      <c r="BF977" s="3" t="s">
        <v>9792</v>
      </c>
      <c r="BG977" s="3" t="s">
        <v>9794</v>
      </c>
    </row>
    <row r="978" spans="1:59" ht="58" x14ac:dyDescent="0.35">
      <c r="A978" s="2" t="s">
        <v>89</v>
      </c>
      <c r="B978" s="2" t="s">
        <v>90</v>
      </c>
      <c r="C978" s="2" t="s">
        <v>9795</v>
      </c>
      <c r="D978" s="2" t="s">
        <v>9796</v>
      </c>
      <c r="E978" s="2" t="s">
        <v>9797</v>
      </c>
      <c r="G978" s="3" t="s">
        <v>62</v>
      </c>
      <c r="I978" s="3" t="s">
        <v>62</v>
      </c>
      <c r="J978" s="3" t="s">
        <v>62</v>
      </c>
      <c r="K978" s="3" t="s">
        <v>63</v>
      </c>
      <c r="L978" s="2" t="s">
        <v>9798</v>
      </c>
      <c r="M978" s="2" t="s">
        <v>9799</v>
      </c>
      <c r="N978" s="3" t="s">
        <v>327</v>
      </c>
      <c r="P978" s="3" t="s">
        <v>64</v>
      </c>
      <c r="Q978" s="2" t="s">
        <v>9800</v>
      </c>
      <c r="R978" s="3" t="s">
        <v>65</v>
      </c>
      <c r="S978" s="4">
        <v>10</v>
      </c>
      <c r="T978" s="4">
        <v>10</v>
      </c>
      <c r="U978" s="5" t="s">
        <v>3863</v>
      </c>
      <c r="V978" s="5" t="s">
        <v>3863</v>
      </c>
      <c r="W978" s="5" t="s">
        <v>67</v>
      </c>
      <c r="X978" s="5" t="s">
        <v>67</v>
      </c>
      <c r="Y978" s="4">
        <v>294</v>
      </c>
      <c r="Z978" s="4">
        <v>22</v>
      </c>
      <c r="AA978" s="4">
        <v>29</v>
      </c>
      <c r="AB978" s="4">
        <v>2</v>
      </c>
      <c r="AC978" s="4">
        <v>4</v>
      </c>
      <c r="AD978" s="4">
        <v>93</v>
      </c>
      <c r="AE978" s="4">
        <v>99</v>
      </c>
      <c r="AF978" s="4">
        <v>1</v>
      </c>
      <c r="AG978" s="4">
        <v>1</v>
      </c>
      <c r="AH978" s="4">
        <v>82</v>
      </c>
      <c r="AI978" s="4">
        <v>85</v>
      </c>
      <c r="AJ978" s="4">
        <v>17</v>
      </c>
      <c r="AK978" s="4">
        <v>18</v>
      </c>
      <c r="AL978" s="4">
        <v>47</v>
      </c>
      <c r="AM978" s="4">
        <v>49</v>
      </c>
      <c r="AN978" s="4">
        <v>0</v>
      </c>
      <c r="AO978" s="4">
        <v>0</v>
      </c>
      <c r="AP978" s="4">
        <v>18</v>
      </c>
      <c r="AQ978" s="4">
        <v>21</v>
      </c>
      <c r="AR978" s="3" t="s">
        <v>62</v>
      </c>
      <c r="AS978" s="3" t="s">
        <v>62</v>
      </c>
      <c r="AT978" s="3" t="s">
        <v>61</v>
      </c>
      <c r="AU978" s="6" t="str">
        <f>HYPERLINK("http://catalog.hathitrust.org/Record/000206044","HathiTrust Record")</f>
        <v>HathiTrust Record</v>
      </c>
      <c r="AV978" s="6" t="str">
        <f>HYPERLINK("http://mcgill.on.worldcat.org/oclc/9282804","Catalog Record")</f>
        <v>Catalog Record</v>
      </c>
      <c r="AW978" s="6" t="str">
        <f>HYPERLINK("http://www.worldcat.org/oclc/9282804","WorldCat Record")</f>
        <v>WorldCat Record</v>
      </c>
      <c r="AX978" s="3" t="s">
        <v>9801</v>
      </c>
      <c r="AY978" s="3" t="s">
        <v>9802</v>
      </c>
      <c r="AZ978" s="3" t="s">
        <v>9803</v>
      </c>
      <c r="BA978" s="3" t="s">
        <v>9803</v>
      </c>
      <c r="BB978" s="3" t="s">
        <v>9804</v>
      </c>
      <c r="BC978" s="3" t="s">
        <v>102</v>
      </c>
      <c r="BD978" s="3" t="s">
        <v>68</v>
      </c>
      <c r="BE978" s="3" t="s">
        <v>9805</v>
      </c>
      <c r="BF978" s="3" t="s">
        <v>9804</v>
      </c>
      <c r="BG978" s="3" t="s">
        <v>9806</v>
      </c>
    </row>
    <row r="979" spans="1:59" ht="58" x14ac:dyDescent="0.35">
      <c r="A979" s="2" t="s">
        <v>89</v>
      </c>
      <c r="B979" s="2" t="s">
        <v>90</v>
      </c>
      <c r="C979" s="2" t="s">
        <v>9807</v>
      </c>
      <c r="D979" s="2" t="s">
        <v>9808</v>
      </c>
      <c r="E979" s="2" t="s">
        <v>9809</v>
      </c>
      <c r="G979" s="3" t="s">
        <v>62</v>
      </c>
      <c r="I979" s="3" t="s">
        <v>61</v>
      </c>
      <c r="J979" s="3" t="s">
        <v>62</v>
      </c>
      <c r="K979" s="3" t="s">
        <v>63</v>
      </c>
      <c r="L979" s="2" t="s">
        <v>6046</v>
      </c>
      <c r="M979" s="2" t="s">
        <v>9810</v>
      </c>
      <c r="N979" s="3" t="s">
        <v>866</v>
      </c>
      <c r="P979" s="3" t="s">
        <v>64</v>
      </c>
      <c r="Q979" s="2" t="s">
        <v>9811</v>
      </c>
      <c r="R979" s="3" t="s">
        <v>65</v>
      </c>
      <c r="S979" s="4">
        <v>1</v>
      </c>
      <c r="T979" s="4">
        <v>5</v>
      </c>
      <c r="U979" s="5" t="s">
        <v>9812</v>
      </c>
      <c r="V979" s="5" t="s">
        <v>9812</v>
      </c>
      <c r="W979" s="5" t="s">
        <v>67</v>
      </c>
      <c r="X979" s="5" t="s">
        <v>67</v>
      </c>
      <c r="Y979" s="4">
        <v>223</v>
      </c>
      <c r="Z979" s="4">
        <v>40</v>
      </c>
      <c r="AA979" s="4">
        <v>72</v>
      </c>
      <c r="AB979" s="4">
        <v>2</v>
      </c>
      <c r="AC979" s="4">
        <v>11</v>
      </c>
      <c r="AD979" s="4">
        <v>95</v>
      </c>
      <c r="AE979" s="4">
        <v>111</v>
      </c>
      <c r="AF979" s="4">
        <v>1</v>
      </c>
      <c r="AG979" s="4">
        <v>5</v>
      </c>
      <c r="AH979" s="4">
        <v>72</v>
      </c>
      <c r="AI979" s="4">
        <v>75</v>
      </c>
      <c r="AJ979" s="4">
        <v>21</v>
      </c>
      <c r="AK979" s="4">
        <v>26</v>
      </c>
      <c r="AL979" s="4">
        <v>39</v>
      </c>
      <c r="AM979" s="4">
        <v>40</v>
      </c>
      <c r="AN979" s="4">
        <v>0</v>
      </c>
      <c r="AO979" s="4">
        <v>0</v>
      </c>
      <c r="AP979" s="4">
        <v>30</v>
      </c>
      <c r="AQ979" s="4">
        <v>44</v>
      </c>
      <c r="AR979" s="3" t="s">
        <v>61</v>
      </c>
      <c r="AS979" s="3" t="s">
        <v>62</v>
      </c>
      <c r="AT979" s="3" t="s">
        <v>62</v>
      </c>
      <c r="AV979" s="6" t="str">
        <f>HYPERLINK("http://mcgill.on.worldcat.org/oclc/447487","Catalog Record")</f>
        <v>Catalog Record</v>
      </c>
      <c r="AW979" s="6" t="str">
        <f>HYPERLINK("http://www.worldcat.org/oclc/447487","WorldCat Record")</f>
        <v>WorldCat Record</v>
      </c>
      <c r="AX979" s="3" t="s">
        <v>9813</v>
      </c>
      <c r="AY979" s="3" t="s">
        <v>9814</v>
      </c>
      <c r="AZ979" s="3" t="s">
        <v>9815</v>
      </c>
      <c r="BA979" s="3" t="s">
        <v>9815</v>
      </c>
      <c r="BB979" s="3" t="s">
        <v>9816</v>
      </c>
      <c r="BC979" s="3" t="s">
        <v>102</v>
      </c>
      <c r="BD979" s="3" t="s">
        <v>68</v>
      </c>
      <c r="BE979" s="3" t="s">
        <v>9817</v>
      </c>
      <c r="BF979" s="3" t="s">
        <v>9816</v>
      </c>
      <c r="BG979" s="3" t="s">
        <v>9818</v>
      </c>
    </row>
    <row r="980" spans="1:59" ht="116" x14ac:dyDescent="0.35">
      <c r="A980" s="2" t="s">
        <v>89</v>
      </c>
      <c r="B980" s="2" t="s">
        <v>90</v>
      </c>
      <c r="C980" s="2" t="s">
        <v>9819</v>
      </c>
      <c r="D980" s="2" t="s">
        <v>9820</v>
      </c>
      <c r="E980" s="2" t="s">
        <v>9821</v>
      </c>
      <c r="G980" s="3" t="s">
        <v>62</v>
      </c>
      <c r="I980" s="3" t="s">
        <v>61</v>
      </c>
      <c r="J980" s="3" t="s">
        <v>62</v>
      </c>
      <c r="K980" s="3" t="s">
        <v>63</v>
      </c>
      <c r="M980" s="2" t="s">
        <v>9822</v>
      </c>
      <c r="N980" s="3" t="s">
        <v>1064</v>
      </c>
      <c r="O980" s="2" t="s">
        <v>9823</v>
      </c>
      <c r="P980" s="3" t="s">
        <v>64</v>
      </c>
      <c r="Q980" s="2" t="s">
        <v>9824</v>
      </c>
      <c r="R980" s="3" t="s">
        <v>65</v>
      </c>
      <c r="S980" s="4">
        <v>11</v>
      </c>
      <c r="T980" s="4">
        <v>13</v>
      </c>
      <c r="U980" s="5" t="s">
        <v>9825</v>
      </c>
      <c r="V980" s="5" t="s">
        <v>9825</v>
      </c>
      <c r="W980" s="5" t="s">
        <v>67</v>
      </c>
      <c r="X980" s="5" t="s">
        <v>67</v>
      </c>
      <c r="Y980" s="4">
        <v>181</v>
      </c>
      <c r="Z980" s="4">
        <v>10</v>
      </c>
      <c r="AA980" s="4">
        <v>16</v>
      </c>
      <c r="AB980" s="4">
        <v>1</v>
      </c>
      <c r="AC980" s="4">
        <v>1</v>
      </c>
      <c r="AD980" s="4">
        <v>46</v>
      </c>
      <c r="AE980" s="4">
        <v>65</v>
      </c>
      <c r="AF980" s="4">
        <v>0</v>
      </c>
      <c r="AG980" s="4">
        <v>0</v>
      </c>
      <c r="AH980" s="4">
        <v>39</v>
      </c>
      <c r="AI980" s="4">
        <v>57</v>
      </c>
      <c r="AJ980" s="4">
        <v>6</v>
      </c>
      <c r="AK980" s="4">
        <v>9</v>
      </c>
      <c r="AL980" s="4">
        <v>22</v>
      </c>
      <c r="AM980" s="4">
        <v>34</v>
      </c>
      <c r="AN980" s="4">
        <v>0</v>
      </c>
      <c r="AO980" s="4">
        <v>0</v>
      </c>
      <c r="AP980" s="4">
        <v>9</v>
      </c>
      <c r="AQ980" s="4">
        <v>12</v>
      </c>
      <c r="AR980" s="3" t="s">
        <v>62</v>
      </c>
      <c r="AS980" s="3" t="s">
        <v>62</v>
      </c>
      <c r="AT980" s="3" t="s">
        <v>62</v>
      </c>
      <c r="AV980" s="6" t="str">
        <f>HYPERLINK("http://mcgill.on.worldcat.org/oclc/277687","Catalog Record")</f>
        <v>Catalog Record</v>
      </c>
      <c r="AW980" s="6" t="str">
        <f>HYPERLINK("http://www.worldcat.org/oclc/277687","WorldCat Record")</f>
        <v>WorldCat Record</v>
      </c>
      <c r="AX980" s="3" t="s">
        <v>9826</v>
      </c>
      <c r="AY980" s="3" t="s">
        <v>9827</v>
      </c>
      <c r="AZ980" s="3" t="s">
        <v>9828</v>
      </c>
      <c r="BA980" s="3" t="s">
        <v>9828</v>
      </c>
      <c r="BB980" s="3" t="s">
        <v>9829</v>
      </c>
      <c r="BC980" s="3" t="s">
        <v>102</v>
      </c>
      <c r="BD980" s="3" t="s">
        <v>68</v>
      </c>
      <c r="BE980" s="3" t="s">
        <v>9830</v>
      </c>
      <c r="BF980" s="3" t="s">
        <v>9829</v>
      </c>
      <c r="BG980" s="3" t="s">
        <v>9831</v>
      </c>
    </row>
    <row r="981" spans="1:59" ht="58" x14ac:dyDescent="0.35">
      <c r="A981" s="2" t="s">
        <v>89</v>
      </c>
      <c r="B981" s="2" t="s">
        <v>90</v>
      </c>
      <c r="C981" s="2" t="s">
        <v>9832</v>
      </c>
      <c r="D981" s="2" t="s">
        <v>9833</v>
      </c>
      <c r="E981" s="2" t="s">
        <v>9834</v>
      </c>
      <c r="G981" s="3" t="s">
        <v>62</v>
      </c>
      <c r="I981" s="3" t="s">
        <v>62</v>
      </c>
      <c r="J981" s="3" t="s">
        <v>62</v>
      </c>
      <c r="K981" s="3" t="s">
        <v>63</v>
      </c>
      <c r="M981" s="2" t="s">
        <v>9835</v>
      </c>
      <c r="N981" s="3" t="s">
        <v>327</v>
      </c>
      <c r="P981" s="3" t="s">
        <v>64</v>
      </c>
      <c r="R981" s="3" t="s">
        <v>65</v>
      </c>
      <c r="S981" s="4">
        <v>55</v>
      </c>
      <c r="T981" s="4">
        <v>55</v>
      </c>
      <c r="U981" s="5" t="s">
        <v>9836</v>
      </c>
      <c r="V981" s="5" t="s">
        <v>9836</v>
      </c>
      <c r="W981" s="5" t="s">
        <v>67</v>
      </c>
      <c r="X981" s="5" t="s">
        <v>67</v>
      </c>
      <c r="Y981" s="4">
        <v>400</v>
      </c>
      <c r="Z981" s="4">
        <v>24</v>
      </c>
      <c r="AA981" s="4">
        <v>27</v>
      </c>
      <c r="AB981" s="4">
        <v>2</v>
      </c>
      <c r="AC981" s="4">
        <v>5</v>
      </c>
      <c r="AD981" s="4">
        <v>102</v>
      </c>
      <c r="AE981" s="4">
        <v>105</v>
      </c>
      <c r="AF981" s="4">
        <v>1</v>
      </c>
      <c r="AG981" s="4">
        <v>4</v>
      </c>
      <c r="AH981" s="4">
        <v>87</v>
      </c>
      <c r="AI981" s="4">
        <v>88</v>
      </c>
      <c r="AJ981" s="4">
        <v>16</v>
      </c>
      <c r="AK981" s="4">
        <v>19</v>
      </c>
      <c r="AL981" s="4">
        <v>50</v>
      </c>
      <c r="AM981" s="4">
        <v>50</v>
      </c>
      <c r="AN981" s="4">
        <v>0</v>
      </c>
      <c r="AO981" s="4">
        <v>0</v>
      </c>
      <c r="AP981" s="4">
        <v>22</v>
      </c>
      <c r="AQ981" s="4">
        <v>24</v>
      </c>
      <c r="AR981" s="3" t="s">
        <v>62</v>
      </c>
      <c r="AS981" s="3" t="s">
        <v>62</v>
      </c>
      <c r="AT981" s="3" t="s">
        <v>61</v>
      </c>
      <c r="AU981" s="6" t="str">
        <f>HYPERLINK("http://catalog.hathitrust.org/Record/000118050","HathiTrust Record")</f>
        <v>HathiTrust Record</v>
      </c>
      <c r="AV981" s="6" t="str">
        <f>HYPERLINK("http://mcgill.on.worldcat.org/oclc/9650079","Catalog Record")</f>
        <v>Catalog Record</v>
      </c>
      <c r="AW981" s="6" t="str">
        <f>HYPERLINK("http://www.worldcat.org/oclc/9650079","WorldCat Record")</f>
        <v>WorldCat Record</v>
      </c>
      <c r="AX981" s="3" t="s">
        <v>9837</v>
      </c>
      <c r="AY981" s="3" t="s">
        <v>9838</v>
      </c>
      <c r="AZ981" s="3" t="s">
        <v>9839</v>
      </c>
      <c r="BA981" s="3" t="s">
        <v>9839</v>
      </c>
      <c r="BB981" s="3" t="s">
        <v>9840</v>
      </c>
      <c r="BC981" s="3" t="s">
        <v>102</v>
      </c>
      <c r="BD981" s="3" t="s">
        <v>68</v>
      </c>
      <c r="BE981" s="3" t="s">
        <v>9841</v>
      </c>
      <c r="BF981" s="3" t="s">
        <v>9840</v>
      </c>
      <c r="BG981" s="3" t="s">
        <v>9842</v>
      </c>
    </row>
    <row r="982" spans="1:59" ht="58" x14ac:dyDescent="0.35">
      <c r="A982" s="2" t="s">
        <v>89</v>
      </c>
      <c r="B982" s="2" t="s">
        <v>90</v>
      </c>
      <c r="C982" s="2" t="s">
        <v>9843</v>
      </c>
      <c r="D982" s="2" t="s">
        <v>9844</v>
      </c>
      <c r="E982" s="2" t="s">
        <v>9845</v>
      </c>
      <c r="G982" s="3" t="s">
        <v>62</v>
      </c>
      <c r="I982" s="3" t="s">
        <v>62</v>
      </c>
      <c r="J982" s="3" t="s">
        <v>62</v>
      </c>
      <c r="K982" s="3" t="s">
        <v>63</v>
      </c>
      <c r="M982" s="2" t="s">
        <v>9846</v>
      </c>
      <c r="N982" s="3" t="s">
        <v>466</v>
      </c>
      <c r="P982" s="3" t="s">
        <v>64</v>
      </c>
      <c r="Q982" s="2" t="s">
        <v>9847</v>
      </c>
      <c r="R982" s="3" t="s">
        <v>65</v>
      </c>
      <c r="S982" s="4">
        <v>23</v>
      </c>
      <c r="T982" s="4">
        <v>23</v>
      </c>
      <c r="U982" s="5" t="s">
        <v>9848</v>
      </c>
      <c r="V982" s="5" t="s">
        <v>9848</v>
      </c>
      <c r="W982" s="5" t="s">
        <v>67</v>
      </c>
      <c r="X982" s="5" t="s">
        <v>67</v>
      </c>
      <c r="Y982" s="4">
        <v>539</v>
      </c>
      <c r="Z982" s="4">
        <v>25</v>
      </c>
      <c r="AA982" s="4">
        <v>29</v>
      </c>
      <c r="AB982" s="4">
        <v>2</v>
      </c>
      <c r="AC982" s="4">
        <v>6</v>
      </c>
      <c r="AD982" s="4">
        <v>100</v>
      </c>
      <c r="AE982" s="4">
        <v>103</v>
      </c>
      <c r="AF982" s="4">
        <v>1</v>
      </c>
      <c r="AG982" s="4">
        <v>4</v>
      </c>
      <c r="AH982" s="4">
        <v>86</v>
      </c>
      <c r="AI982" s="4">
        <v>87</v>
      </c>
      <c r="AJ982" s="4">
        <v>12</v>
      </c>
      <c r="AK982" s="4">
        <v>15</v>
      </c>
      <c r="AL982" s="4">
        <v>49</v>
      </c>
      <c r="AM982" s="4">
        <v>49</v>
      </c>
      <c r="AN982" s="4">
        <v>0</v>
      </c>
      <c r="AO982" s="4">
        <v>0</v>
      </c>
      <c r="AP982" s="4">
        <v>19</v>
      </c>
      <c r="AQ982" s="4">
        <v>21</v>
      </c>
      <c r="AR982" s="3" t="s">
        <v>62</v>
      </c>
      <c r="AS982" s="3" t="s">
        <v>62</v>
      </c>
      <c r="AT982" s="3" t="s">
        <v>61</v>
      </c>
      <c r="AU982" s="6" t="str">
        <f>HYPERLINK("http://catalog.hathitrust.org/Record/002587934","HathiTrust Record")</f>
        <v>HathiTrust Record</v>
      </c>
      <c r="AV982" s="6" t="str">
        <f>HYPERLINK("http://mcgill.on.worldcat.org/oclc/25026322","Catalog Record")</f>
        <v>Catalog Record</v>
      </c>
      <c r="AW982" s="6" t="str">
        <f>HYPERLINK("http://www.worldcat.org/oclc/25026322","WorldCat Record")</f>
        <v>WorldCat Record</v>
      </c>
      <c r="AX982" s="3" t="s">
        <v>9849</v>
      </c>
      <c r="AY982" s="3" t="s">
        <v>9850</v>
      </c>
      <c r="AZ982" s="3" t="s">
        <v>9851</v>
      </c>
      <c r="BA982" s="3" t="s">
        <v>9851</v>
      </c>
      <c r="BB982" s="3" t="s">
        <v>9852</v>
      </c>
      <c r="BC982" s="3" t="s">
        <v>102</v>
      </c>
      <c r="BD982" s="3" t="s">
        <v>68</v>
      </c>
      <c r="BE982" s="3" t="s">
        <v>9853</v>
      </c>
      <c r="BF982" s="3" t="s">
        <v>9852</v>
      </c>
      <c r="BG982" s="3" t="s">
        <v>9854</v>
      </c>
    </row>
    <row r="983" spans="1:59" ht="58" x14ac:dyDescent="0.35">
      <c r="A983" s="2" t="s">
        <v>89</v>
      </c>
      <c r="B983" s="2" t="s">
        <v>90</v>
      </c>
      <c r="C983" s="2" t="s">
        <v>9855</v>
      </c>
      <c r="D983" s="2" t="s">
        <v>9856</v>
      </c>
      <c r="E983" s="2" t="s">
        <v>9857</v>
      </c>
      <c r="G983" s="3" t="s">
        <v>62</v>
      </c>
      <c r="I983" s="3" t="s">
        <v>62</v>
      </c>
      <c r="J983" s="3" t="s">
        <v>62</v>
      </c>
      <c r="K983" s="3" t="s">
        <v>63</v>
      </c>
      <c r="M983" s="2" t="s">
        <v>9858</v>
      </c>
      <c r="N983" s="3" t="s">
        <v>640</v>
      </c>
      <c r="P983" s="3" t="s">
        <v>64</v>
      </c>
      <c r="Q983" s="2" t="s">
        <v>9859</v>
      </c>
      <c r="R983" s="3" t="s">
        <v>65</v>
      </c>
      <c r="S983" s="4">
        <v>52</v>
      </c>
      <c r="T983" s="4">
        <v>52</v>
      </c>
      <c r="U983" s="5" t="s">
        <v>9540</v>
      </c>
      <c r="V983" s="5" t="s">
        <v>9540</v>
      </c>
      <c r="W983" s="5" t="s">
        <v>67</v>
      </c>
      <c r="X983" s="5" t="s">
        <v>67</v>
      </c>
      <c r="Y983" s="4">
        <v>192</v>
      </c>
      <c r="Z983" s="4">
        <v>18</v>
      </c>
      <c r="AA983" s="4">
        <v>84</v>
      </c>
      <c r="AB983" s="4">
        <v>1</v>
      </c>
      <c r="AC983" s="4">
        <v>15</v>
      </c>
      <c r="AD983" s="4">
        <v>77</v>
      </c>
      <c r="AE983" s="4">
        <v>130</v>
      </c>
      <c r="AF983" s="4">
        <v>0</v>
      </c>
      <c r="AG983" s="4">
        <v>8</v>
      </c>
      <c r="AH983" s="4">
        <v>70</v>
      </c>
      <c r="AI983" s="4">
        <v>95</v>
      </c>
      <c r="AJ983" s="4">
        <v>11</v>
      </c>
      <c r="AK983" s="4">
        <v>25</v>
      </c>
      <c r="AL983" s="4">
        <v>45</v>
      </c>
      <c r="AM983" s="4">
        <v>51</v>
      </c>
      <c r="AN983" s="4">
        <v>0</v>
      </c>
      <c r="AO983" s="4">
        <v>0</v>
      </c>
      <c r="AP983" s="4">
        <v>13</v>
      </c>
      <c r="AQ983" s="4">
        <v>45</v>
      </c>
      <c r="AR983" s="3" t="s">
        <v>62</v>
      </c>
      <c r="AS983" s="3" t="s">
        <v>62</v>
      </c>
      <c r="AT983" s="3" t="s">
        <v>62</v>
      </c>
      <c r="AV983" s="6" t="str">
        <f>HYPERLINK("http://mcgill.on.worldcat.org/oclc/52895266","Catalog Record")</f>
        <v>Catalog Record</v>
      </c>
      <c r="AW983" s="6" t="str">
        <f>HYPERLINK("http://www.worldcat.org/oclc/52895266","WorldCat Record")</f>
        <v>WorldCat Record</v>
      </c>
      <c r="AX983" s="3" t="s">
        <v>9860</v>
      </c>
      <c r="AY983" s="3" t="s">
        <v>9861</v>
      </c>
      <c r="AZ983" s="3" t="s">
        <v>9862</v>
      </c>
      <c r="BA983" s="3" t="s">
        <v>9862</v>
      </c>
      <c r="BB983" s="3" t="s">
        <v>9863</v>
      </c>
      <c r="BC983" s="3" t="s">
        <v>102</v>
      </c>
      <c r="BD983" s="3" t="s">
        <v>68</v>
      </c>
      <c r="BE983" s="3" t="s">
        <v>9864</v>
      </c>
      <c r="BF983" s="3" t="s">
        <v>9863</v>
      </c>
      <c r="BG983" s="3" t="s">
        <v>9865</v>
      </c>
    </row>
    <row r="984" spans="1:59" ht="58" x14ac:dyDescent="0.35">
      <c r="A984" s="2" t="s">
        <v>59</v>
      </c>
      <c r="B984" s="2" t="s">
        <v>60</v>
      </c>
      <c r="C984" s="2" t="s">
        <v>9866</v>
      </c>
      <c r="D984" s="2" t="s">
        <v>9867</v>
      </c>
      <c r="E984" s="2" t="s">
        <v>9868</v>
      </c>
      <c r="G984" s="3" t="s">
        <v>62</v>
      </c>
      <c r="I984" s="3" t="s">
        <v>61</v>
      </c>
      <c r="J984" s="3" t="s">
        <v>62</v>
      </c>
      <c r="K984" s="3" t="s">
        <v>63</v>
      </c>
      <c r="L984" s="2" t="s">
        <v>9869</v>
      </c>
      <c r="M984" s="2" t="s">
        <v>9870</v>
      </c>
      <c r="N984" s="3" t="s">
        <v>2110</v>
      </c>
      <c r="P984" s="3" t="s">
        <v>64</v>
      </c>
      <c r="Q984" s="2" t="s">
        <v>9871</v>
      </c>
      <c r="R984" s="3" t="s">
        <v>65</v>
      </c>
      <c r="S984" s="4">
        <v>0</v>
      </c>
      <c r="T984" s="4">
        <v>6</v>
      </c>
      <c r="V984" s="5" t="s">
        <v>6462</v>
      </c>
      <c r="W984" s="5" t="s">
        <v>67</v>
      </c>
      <c r="X984" s="5" t="s">
        <v>67</v>
      </c>
      <c r="Y984" s="4">
        <v>600</v>
      </c>
      <c r="Z984" s="4">
        <v>32</v>
      </c>
      <c r="AA984" s="4">
        <v>35</v>
      </c>
      <c r="AB984" s="4">
        <v>1</v>
      </c>
      <c r="AC984" s="4">
        <v>4</v>
      </c>
      <c r="AD984" s="4">
        <v>107</v>
      </c>
      <c r="AE984" s="4">
        <v>110</v>
      </c>
      <c r="AF984" s="4">
        <v>0</v>
      </c>
      <c r="AG984" s="4">
        <v>3</v>
      </c>
      <c r="AH984" s="4">
        <v>89</v>
      </c>
      <c r="AI984" s="4">
        <v>90</v>
      </c>
      <c r="AJ984" s="4">
        <v>13</v>
      </c>
      <c r="AK984" s="4">
        <v>16</v>
      </c>
      <c r="AL984" s="4">
        <v>51</v>
      </c>
      <c r="AM984" s="4">
        <v>51</v>
      </c>
      <c r="AN984" s="4">
        <v>0</v>
      </c>
      <c r="AO984" s="4">
        <v>0</v>
      </c>
      <c r="AP984" s="4">
        <v>23</v>
      </c>
      <c r="AQ984" s="4">
        <v>25</v>
      </c>
      <c r="AR984" s="3" t="s">
        <v>62</v>
      </c>
      <c r="AS984" s="3" t="s">
        <v>62</v>
      </c>
      <c r="AT984" s="3" t="s">
        <v>62</v>
      </c>
      <c r="AV984" s="6" t="str">
        <f>HYPERLINK("http://mcgill.on.worldcat.org/oclc/3965793","Catalog Record")</f>
        <v>Catalog Record</v>
      </c>
      <c r="AW984" s="6" t="str">
        <f>HYPERLINK("http://www.worldcat.org/oclc/3965793","WorldCat Record")</f>
        <v>WorldCat Record</v>
      </c>
      <c r="AX984" s="3" t="s">
        <v>9872</v>
      </c>
      <c r="AY984" s="3" t="s">
        <v>9873</v>
      </c>
      <c r="AZ984" s="3" t="s">
        <v>9874</v>
      </c>
      <c r="BA984" s="3" t="s">
        <v>9874</v>
      </c>
      <c r="BB984" s="3" t="s">
        <v>9875</v>
      </c>
      <c r="BC984" s="3" t="s">
        <v>102</v>
      </c>
      <c r="BD984" s="3" t="s">
        <v>68</v>
      </c>
      <c r="BE984" s="3" t="s">
        <v>9876</v>
      </c>
      <c r="BF984" s="3" t="s">
        <v>9875</v>
      </c>
      <c r="BG984" s="3" t="s">
        <v>9877</v>
      </c>
    </row>
    <row r="985" spans="1:59" ht="58" x14ac:dyDescent="0.35">
      <c r="A985" s="2" t="s">
        <v>89</v>
      </c>
      <c r="B985" s="2" t="s">
        <v>90</v>
      </c>
      <c r="C985" s="2" t="s">
        <v>9878</v>
      </c>
      <c r="D985" s="2" t="s">
        <v>9879</v>
      </c>
      <c r="E985" s="2" t="s">
        <v>9880</v>
      </c>
      <c r="G985" s="3" t="s">
        <v>62</v>
      </c>
      <c r="I985" s="3" t="s">
        <v>62</v>
      </c>
      <c r="J985" s="3" t="s">
        <v>62</v>
      </c>
      <c r="K985" s="3" t="s">
        <v>63</v>
      </c>
      <c r="M985" s="2" t="s">
        <v>9881</v>
      </c>
      <c r="N985" s="3" t="s">
        <v>698</v>
      </c>
      <c r="P985" s="3" t="s">
        <v>64</v>
      </c>
      <c r="Q985" s="2" t="s">
        <v>9882</v>
      </c>
      <c r="R985" s="3" t="s">
        <v>65</v>
      </c>
      <c r="S985" s="4">
        <v>1</v>
      </c>
      <c r="T985" s="4">
        <v>1</v>
      </c>
      <c r="U985" s="5" t="s">
        <v>9883</v>
      </c>
      <c r="V985" s="5" t="s">
        <v>9883</v>
      </c>
      <c r="W985" s="5" t="s">
        <v>67</v>
      </c>
      <c r="X985" s="5" t="s">
        <v>67</v>
      </c>
      <c r="Y985" s="4">
        <v>39</v>
      </c>
      <c r="Z985" s="4">
        <v>6</v>
      </c>
      <c r="AA985" s="4">
        <v>76</v>
      </c>
      <c r="AB985" s="4">
        <v>1</v>
      </c>
      <c r="AC985" s="4">
        <v>14</v>
      </c>
      <c r="AD985" s="4">
        <v>19</v>
      </c>
      <c r="AE985" s="4">
        <v>86</v>
      </c>
      <c r="AF985" s="4">
        <v>0</v>
      </c>
      <c r="AG985" s="4">
        <v>8</v>
      </c>
      <c r="AH985" s="4">
        <v>18</v>
      </c>
      <c r="AI985" s="4">
        <v>54</v>
      </c>
      <c r="AJ985" s="4">
        <v>4</v>
      </c>
      <c r="AK985" s="4">
        <v>19</v>
      </c>
      <c r="AL985" s="4">
        <v>14</v>
      </c>
      <c r="AM985" s="4">
        <v>28</v>
      </c>
      <c r="AN985" s="4">
        <v>0</v>
      </c>
      <c r="AO985" s="4">
        <v>0</v>
      </c>
      <c r="AP985" s="4">
        <v>4</v>
      </c>
      <c r="AQ985" s="4">
        <v>40</v>
      </c>
      <c r="AR985" s="3" t="s">
        <v>62</v>
      </c>
      <c r="AS985" s="3" t="s">
        <v>62</v>
      </c>
      <c r="AT985" s="3" t="s">
        <v>62</v>
      </c>
      <c r="AV985" s="6" t="str">
        <f>HYPERLINK("http://mcgill.on.worldcat.org/oclc/820632301","Catalog Record")</f>
        <v>Catalog Record</v>
      </c>
      <c r="AW985" s="6" t="str">
        <f>HYPERLINK("http://www.worldcat.org/oclc/820632301","WorldCat Record")</f>
        <v>WorldCat Record</v>
      </c>
      <c r="AX985" s="3" t="s">
        <v>9884</v>
      </c>
      <c r="AY985" s="3" t="s">
        <v>9885</v>
      </c>
      <c r="AZ985" s="3" t="s">
        <v>9886</v>
      </c>
      <c r="BA985" s="3" t="s">
        <v>9886</v>
      </c>
      <c r="BB985" s="3" t="s">
        <v>9887</v>
      </c>
      <c r="BC985" s="3" t="s">
        <v>102</v>
      </c>
      <c r="BD985" s="3" t="s">
        <v>68</v>
      </c>
      <c r="BE985" s="3" t="s">
        <v>9888</v>
      </c>
      <c r="BF985" s="3" t="s">
        <v>9887</v>
      </c>
      <c r="BG985" s="3" t="s">
        <v>9889</v>
      </c>
    </row>
    <row r="986" spans="1:59" ht="58" x14ac:dyDescent="0.35">
      <c r="A986" s="2" t="s">
        <v>89</v>
      </c>
      <c r="B986" s="2" t="s">
        <v>90</v>
      </c>
      <c r="C986" s="2" t="s">
        <v>9890</v>
      </c>
      <c r="D986" s="2" t="s">
        <v>9891</v>
      </c>
      <c r="E986" s="2" t="s">
        <v>9892</v>
      </c>
      <c r="G986" s="3" t="s">
        <v>62</v>
      </c>
      <c r="I986" s="3" t="s">
        <v>62</v>
      </c>
      <c r="J986" s="3" t="s">
        <v>62</v>
      </c>
      <c r="K986" s="3" t="s">
        <v>63</v>
      </c>
      <c r="L986" s="2" t="s">
        <v>9893</v>
      </c>
      <c r="M986" s="2" t="s">
        <v>9894</v>
      </c>
      <c r="N986" s="3" t="s">
        <v>129</v>
      </c>
      <c r="P986" s="3" t="s">
        <v>64</v>
      </c>
      <c r="R986" s="3" t="s">
        <v>65</v>
      </c>
      <c r="S986" s="4">
        <v>8</v>
      </c>
      <c r="T986" s="4">
        <v>8</v>
      </c>
      <c r="U986" s="5" t="s">
        <v>9895</v>
      </c>
      <c r="V986" s="5" t="s">
        <v>9895</v>
      </c>
      <c r="W986" s="5" t="s">
        <v>1338</v>
      </c>
      <c r="X986" s="5" t="s">
        <v>1338</v>
      </c>
      <c r="Y986" s="4">
        <v>1025</v>
      </c>
      <c r="Z986" s="4">
        <v>43</v>
      </c>
      <c r="AA986" s="4">
        <v>51</v>
      </c>
      <c r="AB986" s="4">
        <v>4</v>
      </c>
      <c r="AC986" s="4">
        <v>8</v>
      </c>
      <c r="AD986" s="4">
        <v>98</v>
      </c>
      <c r="AE986" s="4">
        <v>105</v>
      </c>
      <c r="AF986" s="4">
        <v>0</v>
      </c>
      <c r="AG986" s="4">
        <v>2</v>
      </c>
      <c r="AH986" s="4">
        <v>87</v>
      </c>
      <c r="AI986" s="4">
        <v>90</v>
      </c>
      <c r="AJ986" s="4">
        <v>13</v>
      </c>
      <c r="AK986" s="4">
        <v>15</v>
      </c>
      <c r="AL986" s="4">
        <v>49</v>
      </c>
      <c r="AM986" s="4">
        <v>50</v>
      </c>
      <c r="AN986" s="4">
        <v>0</v>
      </c>
      <c r="AO986" s="4">
        <v>0</v>
      </c>
      <c r="AP986" s="4">
        <v>18</v>
      </c>
      <c r="AQ986" s="4">
        <v>21</v>
      </c>
      <c r="AR986" s="3" t="s">
        <v>62</v>
      </c>
      <c r="AS986" s="3" t="s">
        <v>62</v>
      </c>
      <c r="AT986" s="3" t="s">
        <v>62</v>
      </c>
      <c r="AV986" s="6" t="str">
        <f>HYPERLINK("http://mcgill.on.worldcat.org/oclc/834432832","Catalog Record")</f>
        <v>Catalog Record</v>
      </c>
      <c r="AW986" s="6" t="str">
        <f>HYPERLINK("http://www.worldcat.org/oclc/834432832","WorldCat Record")</f>
        <v>WorldCat Record</v>
      </c>
      <c r="AX986" s="3" t="s">
        <v>9896</v>
      </c>
      <c r="AY986" s="3" t="s">
        <v>9897</v>
      </c>
      <c r="AZ986" s="3" t="s">
        <v>9898</v>
      </c>
      <c r="BA986" s="3" t="s">
        <v>9898</v>
      </c>
      <c r="BB986" s="3" t="s">
        <v>9899</v>
      </c>
      <c r="BC986" s="3" t="s">
        <v>102</v>
      </c>
      <c r="BD986" s="3" t="s">
        <v>68</v>
      </c>
      <c r="BE986" s="3" t="s">
        <v>9900</v>
      </c>
      <c r="BF986" s="3" t="s">
        <v>9899</v>
      </c>
      <c r="BG986" s="3" t="s">
        <v>9901</v>
      </c>
    </row>
    <row r="987" spans="1:59" ht="58" x14ac:dyDescent="0.35">
      <c r="A987" s="2" t="s">
        <v>89</v>
      </c>
      <c r="B987" s="2" t="s">
        <v>90</v>
      </c>
      <c r="C987" s="2" t="s">
        <v>9902</v>
      </c>
      <c r="D987" s="2" t="s">
        <v>9903</v>
      </c>
      <c r="E987" s="2" t="s">
        <v>9904</v>
      </c>
      <c r="G987" s="3" t="s">
        <v>62</v>
      </c>
      <c r="I987" s="3" t="s">
        <v>61</v>
      </c>
      <c r="J987" s="3" t="s">
        <v>62</v>
      </c>
      <c r="K987" s="3" t="s">
        <v>63</v>
      </c>
      <c r="L987" s="2" t="s">
        <v>9905</v>
      </c>
      <c r="M987" s="2" t="s">
        <v>9906</v>
      </c>
      <c r="N987" s="3" t="s">
        <v>726</v>
      </c>
      <c r="P987" s="3" t="s">
        <v>64</v>
      </c>
      <c r="Q987" s="2" t="s">
        <v>9907</v>
      </c>
      <c r="R987" s="3" t="s">
        <v>65</v>
      </c>
      <c r="S987" s="4">
        <v>4</v>
      </c>
      <c r="T987" s="4">
        <v>4</v>
      </c>
      <c r="U987" s="5" t="s">
        <v>9908</v>
      </c>
      <c r="V987" s="5" t="s">
        <v>9908</v>
      </c>
      <c r="W987" s="5" t="s">
        <v>67</v>
      </c>
      <c r="X987" s="5" t="s">
        <v>67</v>
      </c>
      <c r="Y987" s="4">
        <v>89</v>
      </c>
      <c r="Z987" s="4">
        <v>13</v>
      </c>
      <c r="AA987" s="4">
        <v>24</v>
      </c>
      <c r="AB987" s="4">
        <v>2</v>
      </c>
      <c r="AC987" s="4">
        <v>5</v>
      </c>
      <c r="AD987" s="4">
        <v>26</v>
      </c>
      <c r="AE987" s="4">
        <v>33</v>
      </c>
      <c r="AF987" s="4">
        <v>1</v>
      </c>
      <c r="AG987" s="4">
        <v>1</v>
      </c>
      <c r="AH987" s="4">
        <v>21</v>
      </c>
      <c r="AI987" s="4">
        <v>25</v>
      </c>
      <c r="AJ987" s="4">
        <v>7</v>
      </c>
      <c r="AK987" s="4">
        <v>12</v>
      </c>
      <c r="AL987" s="4">
        <v>13</v>
      </c>
      <c r="AM987" s="4">
        <v>13</v>
      </c>
      <c r="AN987" s="4">
        <v>0</v>
      </c>
      <c r="AO987" s="4">
        <v>0</v>
      </c>
      <c r="AP987" s="4">
        <v>8</v>
      </c>
      <c r="AQ987" s="4">
        <v>13</v>
      </c>
      <c r="AR987" s="3" t="s">
        <v>61</v>
      </c>
      <c r="AS987" s="3" t="s">
        <v>62</v>
      </c>
      <c r="AT987" s="3" t="s">
        <v>62</v>
      </c>
      <c r="AV987" s="6" t="str">
        <f>HYPERLINK("http://mcgill.on.worldcat.org/oclc/987030364","Catalog Record")</f>
        <v>Catalog Record</v>
      </c>
      <c r="AW987" s="6" t="str">
        <f>HYPERLINK("http://www.worldcat.org/oclc/987030364","WorldCat Record")</f>
        <v>WorldCat Record</v>
      </c>
      <c r="AX987" s="3" t="s">
        <v>9909</v>
      </c>
      <c r="AY987" s="3" t="s">
        <v>9910</v>
      </c>
      <c r="AZ987" s="3" t="s">
        <v>9911</v>
      </c>
      <c r="BA987" s="3" t="s">
        <v>9911</v>
      </c>
      <c r="BB987" s="3" t="s">
        <v>9912</v>
      </c>
      <c r="BC987" s="3" t="s">
        <v>102</v>
      </c>
      <c r="BD987" s="3" t="s">
        <v>68</v>
      </c>
      <c r="BE987" s="3" t="s">
        <v>9913</v>
      </c>
      <c r="BF987" s="3" t="s">
        <v>9912</v>
      </c>
      <c r="BG987" s="3" t="s">
        <v>9914</v>
      </c>
    </row>
    <row r="988" spans="1:59" ht="58" x14ac:dyDescent="0.35">
      <c r="A988" s="2" t="s">
        <v>89</v>
      </c>
      <c r="B988" s="2" t="s">
        <v>90</v>
      </c>
      <c r="C988" s="2" t="s">
        <v>9915</v>
      </c>
      <c r="D988" s="2" t="s">
        <v>9916</v>
      </c>
      <c r="E988" s="2" t="s">
        <v>9917</v>
      </c>
      <c r="G988" s="3" t="s">
        <v>62</v>
      </c>
      <c r="I988" s="3" t="s">
        <v>62</v>
      </c>
      <c r="J988" s="3" t="s">
        <v>62</v>
      </c>
      <c r="K988" s="3" t="s">
        <v>63</v>
      </c>
      <c r="M988" s="2" t="s">
        <v>9918</v>
      </c>
      <c r="N988" s="3" t="s">
        <v>157</v>
      </c>
      <c r="P988" s="3" t="s">
        <v>64</v>
      </c>
      <c r="R988" s="3" t="s">
        <v>65</v>
      </c>
      <c r="S988" s="4">
        <v>2</v>
      </c>
      <c r="T988" s="4">
        <v>2</v>
      </c>
      <c r="U988" s="5" t="s">
        <v>6972</v>
      </c>
      <c r="V988" s="5" t="s">
        <v>6972</v>
      </c>
      <c r="W988" s="5" t="s">
        <v>67</v>
      </c>
      <c r="X988" s="5" t="s">
        <v>67</v>
      </c>
      <c r="Y988" s="4">
        <v>313</v>
      </c>
      <c r="Z988" s="4">
        <v>28</v>
      </c>
      <c r="AA988" s="4">
        <v>30</v>
      </c>
      <c r="AB988" s="4">
        <v>3</v>
      </c>
      <c r="AC988" s="4">
        <v>5</v>
      </c>
      <c r="AD988" s="4">
        <v>93</v>
      </c>
      <c r="AE988" s="4">
        <v>95</v>
      </c>
      <c r="AF988" s="4">
        <v>1</v>
      </c>
      <c r="AG988" s="4">
        <v>3</v>
      </c>
      <c r="AH988" s="4">
        <v>78</v>
      </c>
      <c r="AI988" s="4">
        <v>78</v>
      </c>
      <c r="AJ988" s="4">
        <v>19</v>
      </c>
      <c r="AK988" s="4">
        <v>21</v>
      </c>
      <c r="AL988" s="4">
        <v>43</v>
      </c>
      <c r="AM988" s="4">
        <v>43</v>
      </c>
      <c r="AN988" s="4">
        <v>5</v>
      </c>
      <c r="AO988" s="4">
        <v>5</v>
      </c>
      <c r="AP988" s="4">
        <v>22</v>
      </c>
      <c r="AQ988" s="4">
        <v>23</v>
      </c>
      <c r="AR988" s="3" t="s">
        <v>62</v>
      </c>
      <c r="AS988" s="3" t="s">
        <v>62</v>
      </c>
      <c r="AT988" s="3" t="s">
        <v>61</v>
      </c>
      <c r="AU988" s="6" t="str">
        <f>HYPERLINK("http://catalog.hathitrust.org/Record/001988662","HathiTrust Record")</f>
        <v>HathiTrust Record</v>
      </c>
      <c r="AV988" s="6" t="str">
        <f>HYPERLINK("http://mcgill.on.worldcat.org/oclc/3053252","Catalog Record")</f>
        <v>Catalog Record</v>
      </c>
      <c r="AW988" s="6" t="str">
        <f>HYPERLINK("http://www.worldcat.org/oclc/3053252","WorldCat Record")</f>
        <v>WorldCat Record</v>
      </c>
      <c r="AX988" s="3" t="s">
        <v>9919</v>
      </c>
      <c r="AY988" s="3" t="s">
        <v>9920</v>
      </c>
      <c r="AZ988" s="3" t="s">
        <v>9921</v>
      </c>
      <c r="BA988" s="3" t="s">
        <v>9921</v>
      </c>
      <c r="BB988" s="3" t="s">
        <v>9922</v>
      </c>
      <c r="BC988" s="3" t="s">
        <v>102</v>
      </c>
      <c r="BD988" s="3" t="s">
        <v>68</v>
      </c>
      <c r="BE988" s="3" t="s">
        <v>9923</v>
      </c>
      <c r="BF988" s="3" t="s">
        <v>9922</v>
      </c>
      <c r="BG988" s="3" t="s">
        <v>9924</v>
      </c>
    </row>
    <row r="989" spans="1:59" ht="58" x14ac:dyDescent="0.35">
      <c r="A989" s="2" t="s">
        <v>89</v>
      </c>
      <c r="B989" s="2" t="s">
        <v>90</v>
      </c>
      <c r="C989" s="2" t="s">
        <v>9925</v>
      </c>
      <c r="D989" s="2" t="s">
        <v>9926</v>
      </c>
      <c r="E989" s="2" t="s">
        <v>9927</v>
      </c>
      <c r="G989" s="3" t="s">
        <v>62</v>
      </c>
      <c r="I989" s="3" t="s">
        <v>62</v>
      </c>
      <c r="J989" s="3" t="s">
        <v>62</v>
      </c>
      <c r="K989" s="3" t="s">
        <v>63</v>
      </c>
      <c r="L989" s="2" t="s">
        <v>9928</v>
      </c>
      <c r="M989" s="2" t="s">
        <v>9929</v>
      </c>
      <c r="N989" s="3" t="s">
        <v>424</v>
      </c>
      <c r="P989" s="3" t="s">
        <v>64</v>
      </c>
      <c r="Q989" s="2" t="s">
        <v>9930</v>
      </c>
      <c r="R989" s="3" t="s">
        <v>65</v>
      </c>
      <c r="S989" s="4">
        <v>34</v>
      </c>
      <c r="T989" s="4">
        <v>34</v>
      </c>
      <c r="U989" s="5" t="s">
        <v>9931</v>
      </c>
      <c r="V989" s="5" t="s">
        <v>9931</v>
      </c>
      <c r="W989" s="5" t="s">
        <v>67</v>
      </c>
      <c r="X989" s="5" t="s">
        <v>67</v>
      </c>
      <c r="Y989" s="4">
        <v>296</v>
      </c>
      <c r="Z989" s="4">
        <v>25</v>
      </c>
      <c r="AA989" s="4">
        <v>31</v>
      </c>
      <c r="AB989" s="4">
        <v>3</v>
      </c>
      <c r="AC989" s="4">
        <v>4</v>
      </c>
      <c r="AD989" s="4">
        <v>70</v>
      </c>
      <c r="AE989" s="4">
        <v>80</v>
      </c>
      <c r="AF989" s="4">
        <v>1</v>
      </c>
      <c r="AG989" s="4">
        <v>2</v>
      </c>
      <c r="AH989" s="4">
        <v>61</v>
      </c>
      <c r="AI989" s="4">
        <v>68</v>
      </c>
      <c r="AJ989" s="4">
        <v>10</v>
      </c>
      <c r="AK989" s="4">
        <v>14</v>
      </c>
      <c r="AL989" s="4">
        <v>35</v>
      </c>
      <c r="AM989" s="4">
        <v>36</v>
      </c>
      <c r="AN989" s="4">
        <v>0</v>
      </c>
      <c r="AO989" s="4">
        <v>0</v>
      </c>
      <c r="AP989" s="4">
        <v>15</v>
      </c>
      <c r="AQ989" s="4">
        <v>21</v>
      </c>
      <c r="AR989" s="3" t="s">
        <v>62</v>
      </c>
      <c r="AS989" s="3" t="s">
        <v>62</v>
      </c>
      <c r="AT989" s="3" t="s">
        <v>61</v>
      </c>
      <c r="AU989" s="6" t="str">
        <f>HYPERLINK("http://catalog.hathitrust.org/Record/000938026","HathiTrust Record")</f>
        <v>HathiTrust Record</v>
      </c>
      <c r="AV989" s="6" t="str">
        <f>HYPERLINK("http://mcgill.on.worldcat.org/oclc/17550140","Catalog Record")</f>
        <v>Catalog Record</v>
      </c>
      <c r="AW989" s="6" t="str">
        <f>HYPERLINK("http://www.worldcat.org/oclc/17550140","WorldCat Record")</f>
        <v>WorldCat Record</v>
      </c>
      <c r="AX989" s="3" t="s">
        <v>9932</v>
      </c>
      <c r="AY989" s="3" t="s">
        <v>9933</v>
      </c>
      <c r="AZ989" s="3" t="s">
        <v>9934</v>
      </c>
      <c r="BA989" s="3" t="s">
        <v>9934</v>
      </c>
      <c r="BB989" s="3" t="s">
        <v>9935</v>
      </c>
      <c r="BC989" s="3" t="s">
        <v>102</v>
      </c>
      <c r="BD989" s="3" t="s">
        <v>68</v>
      </c>
      <c r="BE989" s="3" t="s">
        <v>9936</v>
      </c>
      <c r="BF989" s="3" t="s">
        <v>9935</v>
      </c>
      <c r="BG989" s="3" t="s">
        <v>9937</v>
      </c>
    </row>
    <row r="990" spans="1:59" ht="58" x14ac:dyDescent="0.35">
      <c r="A990" s="2" t="s">
        <v>89</v>
      </c>
      <c r="B990" s="2" t="s">
        <v>90</v>
      </c>
      <c r="C990" s="2" t="s">
        <v>9938</v>
      </c>
      <c r="D990" s="2" t="s">
        <v>9939</v>
      </c>
      <c r="E990" s="2" t="s">
        <v>9940</v>
      </c>
      <c r="G990" s="3" t="s">
        <v>62</v>
      </c>
      <c r="I990" s="3" t="s">
        <v>61</v>
      </c>
      <c r="J990" s="3" t="s">
        <v>62</v>
      </c>
      <c r="K990" s="3" t="s">
        <v>63</v>
      </c>
      <c r="M990" s="2" t="s">
        <v>9941</v>
      </c>
      <c r="N990" s="3" t="s">
        <v>1722</v>
      </c>
      <c r="P990" s="3" t="s">
        <v>64</v>
      </c>
      <c r="R990" s="3" t="s">
        <v>65</v>
      </c>
      <c r="S990" s="4">
        <v>7</v>
      </c>
      <c r="T990" s="4">
        <v>7</v>
      </c>
      <c r="U990" s="5" t="s">
        <v>826</v>
      </c>
      <c r="V990" s="5" t="s">
        <v>826</v>
      </c>
      <c r="W990" s="5" t="s">
        <v>67</v>
      </c>
      <c r="X990" s="5" t="s">
        <v>67</v>
      </c>
      <c r="Y990" s="4">
        <v>251</v>
      </c>
      <c r="Z990" s="4">
        <v>24</v>
      </c>
      <c r="AA990" s="4">
        <v>30</v>
      </c>
      <c r="AB990" s="4">
        <v>2</v>
      </c>
      <c r="AC990" s="4">
        <v>8</v>
      </c>
      <c r="AD990" s="4">
        <v>87</v>
      </c>
      <c r="AE990" s="4">
        <v>92</v>
      </c>
      <c r="AF990" s="4">
        <v>1</v>
      </c>
      <c r="AG990" s="4">
        <v>3</v>
      </c>
      <c r="AH990" s="4">
        <v>78</v>
      </c>
      <c r="AI990" s="4">
        <v>82</v>
      </c>
      <c r="AJ990" s="4">
        <v>16</v>
      </c>
      <c r="AK990" s="4">
        <v>18</v>
      </c>
      <c r="AL990" s="4">
        <v>46</v>
      </c>
      <c r="AM990" s="4">
        <v>48</v>
      </c>
      <c r="AN990" s="4">
        <v>0</v>
      </c>
      <c r="AO990" s="4">
        <v>0</v>
      </c>
      <c r="AP990" s="4">
        <v>18</v>
      </c>
      <c r="AQ990" s="4">
        <v>19</v>
      </c>
      <c r="AR990" s="3" t="s">
        <v>62</v>
      </c>
      <c r="AS990" s="3" t="s">
        <v>62</v>
      </c>
      <c r="AT990" s="3" t="s">
        <v>62</v>
      </c>
      <c r="AV990" s="6" t="str">
        <f>HYPERLINK("http://mcgill.on.worldcat.org/oclc/123485478","Catalog Record")</f>
        <v>Catalog Record</v>
      </c>
      <c r="AW990" s="6" t="str">
        <f>HYPERLINK("http://www.worldcat.org/oclc/123485478","WorldCat Record")</f>
        <v>WorldCat Record</v>
      </c>
      <c r="AX990" s="3" t="s">
        <v>9942</v>
      </c>
      <c r="AY990" s="3" t="s">
        <v>9943</v>
      </c>
      <c r="AZ990" s="3" t="s">
        <v>9944</v>
      </c>
      <c r="BA990" s="3" t="s">
        <v>9944</v>
      </c>
      <c r="BB990" s="3" t="s">
        <v>9945</v>
      </c>
      <c r="BC990" s="3" t="s">
        <v>102</v>
      </c>
      <c r="BD990" s="3" t="s">
        <v>68</v>
      </c>
      <c r="BE990" s="3" t="s">
        <v>9946</v>
      </c>
      <c r="BF990" s="3" t="s">
        <v>9945</v>
      </c>
      <c r="BG990" s="3" t="s">
        <v>9947</v>
      </c>
    </row>
    <row r="991" spans="1:59" ht="58" x14ac:dyDescent="0.35">
      <c r="A991" s="2" t="s">
        <v>89</v>
      </c>
      <c r="B991" s="2" t="s">
        <v>90</v>
      </c>
      <c r="C991" s="2" t="s">
        <v>9938</v>
      </c>
      <c r="D991" s="2" t="s">
        <v>9939</v>
      </c>
      <c r="E991" s="2" t="s">
        <v>9940</v>
      </c>
      <c r="G991" s="3" t="s">
        <v>62</v>
      </c>
      <c r="I991" s="3" t="s">
        <v>61</v>
      </c>
      <c r="J991" s="3" t="s">
        <v>62</v>
      </c>
      <c r="K991" s="3" t="s">
        <v>63</v>
      </c>
      <c r="M991" s="2" t="s">
        <v>9941</v>
      </c>
      <c r="N991" s="3" t="s">
        <v>1722</v>
      </c>
      <c r="P991" s="3" t="s">
        <v>64</v>
      </c>
      <c r="R991" s="3" t="s">
        <v>65</v>
      </c>
      <c r="S991" s="4">
        <v>0</v>
      </c>
      <c r="T991" s="4">
        <v>7</v>
      </c>
      <c r="V991" s="5" t="s">
        <v>826</v>
      </c>
      <c r="W991" s="5" t="s">
        <v>67</v>
      </c>
      <c r="X991" s="5" t="s">
        <v>67</v>
      </c>
      <c r="Y991" s="4">
        <v>251</v>
      </c>
      <c r="Z991" s="4">
        <v>24</v>
      </c>
      <c r="AA991" s="4">
        <v>30</v>
      </c>
      <c r="AB991" s="4">
        <v>2</v>
      </c>
      <c r="AC991" s="4">
        <v>8</v>
      </c>
      <c r="AD991" s="4">
        <v>87</v>
      </c>
      <c r="AE991" s="4">
        <v>92</v>
      </c>
      <c r="AF991" s="4">
        <v>1</v>
      </c>
      <c r="AG991" s="4">
        <v>3</v>
      </c>
      <c r="AH991" s="4">
        <v>78</v>
      </c>
      <c r="AI991" s="4">
        <v>82</v>
      </c>
      <c r="AJ991" s="4">
        <v>16</v>
      </c>
      <c r="AK991" s="4">
        <v>18</v>
      </c>
      <c r="AL991" s="4">
        <v>46</v>
      </c>
      <c r="AM991" s="4">
        <v>48</v>
      </c>
      <c r="AN991" s="4">
        <v>0</v>
      </c>
      <c r="AO991" s="4">
        <v>0</v>
      </c>
      <c r="AP991" s="4">
        <v>18</v>
      </c>
      <c r="AQ991" s="4">
        <v>19</v>
      </c>
      <c r="AR991" s="3" t="s">
        <v>62</v>
      </c>
      <c r="AS991" s="3" t="s">
        <v>62</v>
      </c>
      <c r="AT991" s="3" t="s">
        <v>62</v>
      </c>
      <c r="AV991" s="6" t="str">
        <f>HYPERLINK("http://mcgill.on.worldcat.org/oclc/123485478","Catalog Record")</f>
        <v>Catalog Record</v>
      </c>
      <c r="AW991" s="6" t="str">
        <f>HYPERLINK("http://www.worldcat.org/oclc/123485478","WorldCat Record")</f>
        <v>WorldCat Record</v>
      </c>
      <c r="AX991" s="3" t="s">
        <v>9942</v>
      </c>
      <c r="AY991" s="3" t="s">
        <v>9943</v>
      </c>
      <c r="AZ991" s="3" t="s">
        <v>9944</v>
      </c>
      <c r="BA991" s="3" t="s">
        <v>9944</v>
      </c>
      <c r="BB991" s="3" t="s">
        <v>9948</v>
      </c>
      <c r="BC991" s="3" t="s">
        <v>102</v>
      </c>
      <c r="BD991" s="3" t="s">
        <v>68</v>
      </c>
      <c r="BE991" s="3" t="s">
        <v>9946</v>
      </c>
      <c r="BF991" s="3" t="s">
        <v>9948</v>
      </c>
      <c r="BG991" s="3" t="s">
        <v>9949</v>
      </c>
    </row>
    <row r="992" spans="1:59" ht="58" x14ac:dyDescent="0.35">
      <c r="A992" s="2" t="s">
        <v>89</v>
      </c>
      <c r="B992" s="2" t="s">
        <v>90</v>
      </c>
      <c r="C992" s="2" t="s">
        <v>9950</v>
      </c>
      <c r="D992" s="2" t="s">
        <v>9951</v>
      </c>
      <c r="E992" s="2" t="s">
        <v>9952</v>
      </c>
      <c r="G992" s="3" t="s">
        <v>62</v>
      </c>
      <c r="I992" s="3" t="s">
        <v>62</v>
      </c>
      <c r="J992" s="3" t="s">
        <v>62</v>
      </c>
      <c r="K992" s="3" t="s">
        <v>63</v>
      </c>
      <c r="L992" s="2" t="s">
        <v>9953</v>
      </c>
      <c r="M992" s="2" t="s">
        <v>9954</v>
      </c>
      <c r="N992" s="3" t="s">
        <v>2000</v>
      </c>
      <c r="P992" s="3" t="s">
        <v>85</v>
      </c>
      <c r="R992" s="3" t="s">
        <v>65</v>
      </c>
      <c r="S992" s="4">
        <v>20</v>
      </c>
      <c r="T992" s="4">
        <v>20</v>
      </c>
      <c r="U992" s="5" t="s">
        <v>411</v>
      </c>
      <c r="V992" s="5" t="s">
        <v>411</v>
      </c>
      <c r="W992" s="5" t="s">
        <v>67</v>
      </c>
      <c r="X992" s="5" t="s">
        <v>67</v>
      </c>
      <c r="Y992" s="4">
        <v>32</v>
      </c>
      <c r="Z992" s="4">
        <v>21</v>
      </c>
      <c r="AA992" s="4">
        <v>24</v>
      </c>
      <c r="AB992" s="4">
        <v>12</v>
      </c>
      <c r="AC992" s="4">
        <v>12</v>
      </c>
      <c r="AD992" s="4">
        <v>14</v>
      </c>
      <c r="AE992" s="4">
        <v>16</v>
      </c>
      <c r="AF992" s="4">
        <v>5</v>
      </c>
      <c r="AG992" s="4">
        <v>5</v>
      </c>
      <c r="AH992" s="4">
        <v>7</v>
      </c>
      <c r="AI992" s="4">
        <v>9</v>
      </c>
      <c r="AJ992" s="4">
        <v>10</v>
      </c>
      <c r="AK992" s="4">
        <v>12</v>
      </c>
      <c r="AL992" s="4">
        <v>3</v>
      </c>
      <c r="AM992" s="4">
        <v>3</v>
      </c>
      <c r="AN992" s="4">
        <v>0</v>
      </c>
      <c r="AO992" s="4">
        <v>0</v>
      </c>
      <c r="AP992" s="4">
        <v>9</v>
      </c>
      <c r="AQ992" s="4">
        <v>11</v>
      </c>
      <c r="AR992" s="3" t="s">
        <v>61</v>
      </c>
      <c r="AS992" s="3" t="s">
        <v>62</v>
      </c>
      <c r="AT992" s="3" t="s">
        <v>62</v>
      </c>
      <c r="AV992" s="6" t="str">
        <f>HYPERLINK("http://mcgill.on.worldcat.org/oclc/35929028","Catalog Record")</f>
        <v>Catalog Record</v>
      </c>
      <c r="AW992" s="6" t="str">
        <f>HYPERLINK("http://www.worldcat.org/oclc/35929028","WorldCat Record")</f>
        <v>WorldCat Record</v>
      </c>
      <c r="AX992" s="3" t="s">
        <v>9955</v>
      </c>
      <c r="AY992" s="3" t="s">
        <v>9956</v>
      </c>
      <c r="AZ992" s="3" t="s">
        <v>9957</v>
      </c>
      <c r="BA992" s="3" t="s">
        <v>9957</v>
      </c>
      <c r="BB992" s="3" t="s">
        <v>9958</v>
      </c>
      <c r="BC992" s="3" t="s">
        <v>102</v>
      </c>
      <c r="BD992" s="3" t="s">
        <v>68</v>
      </c>
      <c r="BE992" s="3" t="s">
        <v>9959</v>
      </c>
      <c r="BF992" s="3" t="s">
        <v>9958</v>
      </c>
      <c r="BG992" s="3" t="s">
        <v>9960</v>
      </c>
    </row>
    <row r="993" spans="1:59" ht="58" x14ac:dyDescent="0.35">
      <c r="A993" s="2" t="s">
        <v>89</v>
      </c>
      <c r="B993" s="2" t="s">
        <v>90</v>
      </c>
      <c r="C993" s="2" t="s">
        <v>9961</v>
      </c>
      <c r="D993" s="2" t="s">
        <v>9962</v>
      </c>
      <c r="E993" s="2" t="s">
        <v>9963</v>
      </c>
      <c r="G993" s="3" t="s">
        <v>62</v>
      </c>
      <c r="I993" s="3" t="s">
        <v>62</v>
      </c>
      <c r="J993" s="3" t="s">
        <v>62</v>
      </c>
      <c r="K993" s="3" t="s">
        <v>63</v>
      </c>
      <c r="L993" s="2" t="s">
        <v>3660</v>
      </c>
      <c r="M993" s="2" t="s">
        <v>9964</v>
      </c>
      <c r="N993" s="3" t="s">
        <v>880</v>
      </c>
      <c r="P993" s="3" t="s">
        <v>64</v>
      </c>
      <c r="Q993" s="2" t="s">
        <v>9965</v>
      </c>
      <c r="R993" s="3" t="s">
        <v>65</v>
      </c>
      <c r="S993" s="4">
        <v>6</v>
      </c>
      <c r="T993" s="4">
        <v>6</v>
      </c>
      <c r="U993" s="5" t="s">
        <v>3717</v>
      </c>
      <c r="V993" s="5" t="s">
        <v>3717</v>
      </c>
      <c r="W993" s="5" t="s">
        <v>67</v>
      </c>
      <c r="X993" s="5" t="s">
        <v>67</v>
      </c>
      <c r="Y993" s="4">
        <v>107</v>
      </c>
      <c r="Z993" s="4">
        <v>11</v>
      </c>
      <c r="AA993" s="4">
        <v>14</v>
      </c>
      <c r="AB993" s="4">
        <v>1</v>
      </c>
      <c r="AC993" s="4">
        <v>4</v>
      </c>
      <c r="AD993" s="4">
        <v>46</v>
      </c>
      <c r="AE993" s="4">
        <v>50</v>
      </c>
      <c r="AF993" s="4">
        <v>0</v>
      </c>
      <c r="AG993" s="4">
        <v>0</v>
      </c>
      <c r="AH993" s="4">
        <v>43</v>
      </c>
      <c r="AI993" s="4">
        <v>47</v>
      </c>
      <c r="AJ993" s="4">
        <v>8</v>
      </c>
      <c r="AK993" s="4">
        <v>8</v>
      </c>
      <c r="AL993" s="4">
        <v>28</v>
      </c>
      <c r="AM993" s="4">
        <v>30</v>
      </c>
      <c r="AN993" s="4">
        <v>0</v>
      </c>
      <c r="AO993" s="4">
        <v>0</v>
      </c>
      <c r="AP993" s="4">
        <v>8</v>
      </c>
      <c r="AQ993" s="4">
        <v>8</v>
      </c>
      <c r="AR993" s="3" t="s">
        <v>62</v>
      </c>
      <c r="AS993" s="3" t="s">
        <v>62</v>
      </c>
      <c r="AT993" s="3" t="s">
        <v>62</v>
      </c>
      <c r="AV993" s="6" t="str">
        <f>HYPERLINK("http://mcgill.on.worldcat.org/oclc/503647656","Catalog Record")</f>
        <v>Catalog Record</v>
      </c>
      <c r="AW993" s="6" t="str">
        <f>HYPERLINK("http://www.worldcat.org/oclc/503647656","WorldCat Record")</f>
        <v>WorldCat Record</v>
      </c>
      <c r="AX993" s="3" t="s">
        <v>9966</v>
      </c>
      <c r="AY993" s="3" t="s">
        <v>9967</v>
      </c>
      <c r="AZ993" s="3" t="s">
        <v>9968</v>
      </c>
      <c r="BA993" s="3" t="s">
        <v>9968</v>
      </c>
      <c r="BB993" s="3" t="s">
        <v>9969</v>
      </c>
      <c r="BC993" s="3" t="s">
        <v>102</v>
      </c>
      <c r="BD993" s="3" t="s">
        <v>68</v>
      </c>
      <c r="BE993" s="3" t="s">
        <v>9970</v>
      </c>
      <c r="BF993" s="3" t="s">
        <v>9969</v>
      </c>
      <c r="BG993" s="3" t="s">
        <v>9971</v>
      </c>
    </row>
    <row r="994" spans="1:59" ht="58" x14ac:dyDescent="0.35">
      <c r="A994" s="2" t="s">
        <v>89</v>
      </c>
      <c r="B994" s="2" t="s">
        <v>90</v>
      </c>
      <c r="C994" s="2" t="s">
        <v>9972</v>
      </c>
      <c r="D994" s="2" t="s">
        <v>9973</v>
      </c>
      <c r="E994" s="2" t="s">
        <v>9974</v>
      </c>
      <c r="G994" s="3" t="s">
        <v>62</v>
      </c>
      <c r="I994" s="3" t="s">
        <v>62</v>
      </c>
      <c r="J994" s="3" t="s">
        <v>62</v>
      </c>
      <c r="K994" s="3" t="s">
        <v>63</v>
      </c>
      <c r="L994" s="2" t="s">
        <v>9975</v>
      </c>
      <c r="M994" s="2" t="s">
        <v>9976</v>
      </c>
      <c r="N994" s="3" t="s">
        <v>1722</v>
      </c>
      <c r="P994" s="3" t="s">
        <v>64</v>
      </c>
      <c r="R994" s="3" t="s">
        <v>65</v>
      </c>
      <c r="S994" s="4">
        <v>7</v>
      </c>
      <c r="T994" s="4">
        <v>7</v>
      </c>
      <c r="U994" s="5" t="s">
        <v>9977</v>
      </c>
      <c r="V994" s="5" t="s">
        <v>9977</v>
      </c>
      <c r="W994" s="5" t="s">
        <v>67</v>
      </c>
      <c r="X994" s="5" t="s">
        <v>67</v>
      </c>
      <c r="Y994" s="4">
        <v>319</v>
      </c>
      <c r="Z994" s="4">
        <v>26</v>
      </c>
      <c r="AA994" s="4">
        <v>28</v>
      </c>
      <c r="AB994" s="4">
        <v>2</v>
      </c>
      <c r="AC994" s="4">
        <v>4</v>
      </c>
      <c r="AD994" s="4">
        <v>98</v>
      </c>
      <c r="AE994" s="4">
        <v>100</v>
      </c>
      <c r="AF994" s="4">
        <v>1</v>
      </c>
      <c r="AG994" s="4">
        <v>3</v>
      </c>
      <c r="AH994" s="4">
        <v>84</v>
      </c>
      <c r="AI994" s="4">
        <v>84</v>
      </c>
      <c r="AJ994" s="4">
        <v>15</v>
      </c>
      <c r="AK994" s="4">
        <v>17</v>
      </c>
      <c r="AL994" s="4">
        <v>48</v>
      </c>
      <c r="AM994" s="4">
        <v>48</v>
      </c>
      <c r="AN994" s="4">
        <v>0</v>
      </c>
      <c r="AO994" s="4">
        <v>0</v>
      </c>
      <c r="AP994" s="4">
        <v>20</v>
      </c>
      <c r="AQ994" s="4">
        <v>21</v>
      </c>
      <c r="AR994" s="3" t="s">
        <v>62</v>
      </c>
      <c r="AS994" s="3" t="s">
        <v>62</v>
      </c>
      <c r="AT994" s="3" t="s">
        <v>61</v>
      </c>
      <c r="AU994" s="6" t="str">
        <f>HYPERLINK("http://catalog.hathitrust.org/Record/005643889","HathiTrust Record")</f>
        <v>HathiTrust Record</v>
      </c>
      <c r="AV994" s="6" t="str">
        <f>HYPERLINK("http://mcgill.on.worldcat.org/oclc/82473093","Catalog Record")</f>
        <v>Catalog Record</v>
      </c>
      <c r="AW994" s="6" t="str">
        <f>HYPERLINK("http://www.worldcat.org/oclc/82473093","WorldCat Record")</f>
        <v>WorldCat Record</v>
      </c>
      <c r="AX994" s="3" t="s">
        <v>9978</v>
      </c>
      <c r="AY994" s="3" t="s">
        <v>9979</v>
      </c>
      <c r="AZ994" s="3" t="s">
        <v>9980</v>
      </c>
      <c r="BA994" s="3" t="s">
        <v>9980</v>
      </c>
      <c r="BB994" s="3" t="s">
        <v>9981</v>
      </c>
      <c r="BC994" s="3" t="s">
        <v>102</v>
      </c>
      <c r="BD994" s="3" t="s">
        <v>68</v>
      </c>
      <c r="BE994" s="3" t="s">
        <v>9982</v>
      </c>
      <c r="BF994" s="3" t="s">
        <v>9981</v>
      </c>
      <c r="BG994" s="3" t="s">
        <v>9983</v>
      </c>
    </row>
    <row r="995" spans="1:59" ht="58" x14ac:dyDescent="0.35">
      <c r="A995" s="2" t="s">
        <v>89</v>
      </c>
      <c r="B995" s="2" t="s">
        <v>90</v>
      </c>
      <c r="C995" s="2" t="s">
        <v>9984</v>
      </c>
      <c r="D995" s="2" t="s">
        <v>9985</v>
      </c>
      <c r="E995" s="2" t="s">
        <v>9986</v>
      </c>
      <c r="G995" s="3" t="s">
        <v>62</v>
      </c>
      <c r="I995" s="3" t="s">
        <v>62</v>
      </c>
      <c r="J995" s="3" t="s">
        <v>62</v>
      </c>
      <c r="K995" s="3" t="s">
        <v>63</v>
      </c>
      <c r="M995" s="2" t="s">
        <v>9987</v>
      </c>
      <c r="N995" s="3" t="s">
        <v>2588</v>
      </c>
      <c r="P995" s="3" t="s">
        <v>64</v>
      </c>
      <c r="Q995" s="2" t="s">
        <v>9988</v>
      </c>
      <c r="R995" s="3" t="s">
        <v>65</v>
      </c>
      <c r="S995" s="4">
        <v>8</v>
      </c>
      <c r="T995" s="4">
        <v>8</v>
      </c>
      <c r="U995" s="5" t="s">
        <v>9989</v>
      </c>
      <c r="V995" s="5" t="s">
        <v>9989</v>
      </c>
      <c r="W995" s="5" t="s">
        <v>67</v>
      </c>
      <c r="X995" s="5" t="s">
        <v>67</v>
      </c>
      <c r="Y995" s="4">
        <v>425</v>
      </c>
      <c r="Z995" s="4">
        <v>19</v>
      </c>
      <c r="AA995" s="4">
        <v>28</v>
      </c>
      <c r="AB995" s="4">
        <v>2</v>
      </c>
      <c r="AC995" s="4">
        <v>5</v>
      </c>
      <c r="AD995" s="4">
        <v>116</v>
      </c>
      <c r="AE995" s="4">
        <v>125</v>
      </c>
      <c r="AF995" s="4">
        <v>1</v>
      </c>
      <c r="AG995" s="4">
        <v>4</v>
      </c>
      <c r="AH995" s="4">
        <v>103</v>
      </c>
      <c r="AI995" s="4">
        <v>107</v>
      </c>
      <c r="AJ995" s="4">
        <v>13</v>
      </c>
      <c r="AK995" s="4">
        <v>22</v>
      </c>
      <c r="AL995" s="4">
        <v>57</v>
      </c>
      <c r="AM995" s="4">
        <v>57</v>
      </c>
      <c r="AN995" s="4">
        <v>0</v>
      </c>
      <c r="AO995" s="4">
        <v>0</v>
      </c>
      <c r="AP995" s="4">
        <v>15</v>
      </c>
      <c r="AQ995" s="4">
        <v>23</v>
      </c>
      <c r="AR995" s="3" t="s">
        <v>62</v>
      </c>
      <c r="AS995" s="3" t="s">
        <v>62</v>
      </c>
      <c r="AT995" s="3" t="s">
        <v>61</v>
      </c>
      <c r="AU995" s="6" t="str">
        <f>HYPERLINK("http://catalog.hathitrust.org/Record/000210501","HathiTrust Record")</f>
        <v>HathiTrust Record</v>
      </c>
      <c r="AV995" s="6" t="str">
        <f>HYPERLINK("http://mcgill.on.worldcat.org/oclc/2818196","Catalog Record")</f>
        <v>Catalog Record</v>
      </c>
      <c r="AW995" s="6" t="str">
        <f>HYPERLINK("http://www.worldcat.org/oclc/2818196","WorldCat Record")</f>
        <v>WorldCat Record</v>
      </c>
      <c r="AX995" s="3" t="s">
        <v>9990</v>
      </c>
      <c r="AY995" s="3" t="s">
        <v>9991</v>
      </c>
      <c r="AZ995" s="3" t="s">
        <v>9992</v>
      </c>
      <c r="BA995" s="3" t="s">
        <v>9992</v>
      </c>
      <c r="BB995" s="3" t="s">
        <v>9993</v>
      </c>
      <c r="BC995" s="3" t="s">
        <v>102</v>
      </c>
      <c r="BD995" s="3" t="s">
        <v>68</v>
      </c>
      <c r="BE995" s="3" t="s">
        <v>9994</v>
      </c>
      <c r="BF995" s="3" t="s">
        <v>9993</v>
      </c>
      <c r="BG995" s="3" t="s">
        <v>9995</v>
      </c>
    </row>
    <row r="996" spans="1:59" ht="58" x14ac:dyDescent="0.35">
      <c r="A996" s="2" t="s">
        <v>89</v>
      </c>
      <c r="B996" s="2" t="s">
        <v>90</v>
      </c>
      <c r="C996" s="2" t="s">
        <v>9996</v>
      </c>
      <c r="D996" s="2" t="s">
        <v>9997</v>
      </c>
      <c r="E996" s="2" t="s">
        <v>9998</v>
      </c>
      <c r="G996" s="3" t="s">
        <v>62</v>
      </c>
      <c r="I996" s="3" t="s">
        <v>62</v>
      </c>
      <c r="J996" s="3" t="s">
        <v>62</v>
      </c>
      <c r="K996" s="3" t="s">
        <v>63</v>
      </c>
      <c r="L996" s="2" t="s">
        <v>4185</v>
      </c>
      <c r="M996" s="2" t="s">
        <v>9999</v>
      </c>
      <c r="N996" s="3" t="s">
        <v>2000</v>
      </c>
      <c r="P996" s="3" t="s">
        <v>64</v>
      </c>
      <c r="Q996" s="2" t="s">
        <v>10000</v>
      </c>
      <c r="R996" s="3" t="s">
        <v>65</v>
      </c>
      <c r="S996" s="4">
        <v>17</v>
      </c>
      <c r="T996" s="4">
        <v>17</v>
      </c>
      <c r="U996" s="5" t="s">
        <v>4199</v>
      </c>
      <c r="V996" s="5" t="s">
        <v>4199</v>
      </c>
      <c r="W996" s="5" t="s">
        <v>67</v>
      </c>
      <c r="X996" s="5" t="s">
        <v>67</v>
      </c>
      <c r="Y996" s="4">
        <v>276</v>
      </c>
      <c r="Z996" s="4">
        <v>18</v>
      </c>
      <c r="AA996" s="4">
        <v>21</v>
      </c>
      <c r="AB996" s="4">
        <v>2</v>
      </c>
      <c r="AC996" s="4">
        <v>3</v>
      </c>
      <c r="AD996" s="4">
        <v>93</v>
      </c>
      <c r="AE996" s="4">
        <v>101</v>
      </c>
      <c r="AF996" s="4">
        <v>1</v>
      </c>
      <c r="AG996" s="4">
        <v>2</v>
      </c>
      <c r="AH996" s="4">
        <v>84</v>
      </c>
      <c r="AI996" s="4">
        <v>90</v>
      </c>
      <c r="AJ996" s="4">
        <v>13</v>
      </c>
      <c r="AK996" s="4">
        <v>15</v>
      </c>
      <c r="AL996" s="4">
        <v>49</v>
      </c>
      <c r="AM996" s="4">
        <v>52</v>
      </c>
      <c r="AN996" s="4">
        <v>0</v>
      </c>
      <c r="AO996" s="4">
        <v>0</v>
      </c>
      <c r="AP996" s="4">
        <v>15</v>
      </c>
      <c r="AQ996" s="4">
        <v>17</v>
      </c>
      <c r="AR996" s="3" t="s">
        <v>62</v>
      </c>
      <c r="AS996" s="3" t="s">
        <v>62</v>
      </c>
      <c r="AT996" s="3" t="s">
        <v>61</v>
      </c>
      <c r="AU996" s="6" t="str">
        <f>HYPERLINK("http://catalog.hathitrust.org/Record/003118173","HathiTrust Record")</f>
        <v>HathiTrust Record</v>
      </c>
      <c r="AV996" s="6" t="str">
        <f>HYPERLINK("http://mcgill.on.worldcat.org/oclc/34409794","Catalog Record")</f>
        <v>Catalog Record</v>
      </c>
      <c r="AW996" s="6" t="str">
        <f>HYPERLINK("http://www.worldcat.org/oclc/34409794","WorldCat Record")</f>
        <v>WorldCat Record</v>
      </c>
      <c r="AX996" s="3" t="s">
        <v>10001</v>
      </c>
      <c r="AY996" s="3" t="s">
        <v>10002</v>
      </c>
      <c r="AZ996" s="3" t="s">
        <v>10003</v>
      </c>
      <c r="BA996" s="3" t="s">
        <v>10003</v>
      </c>
      <c r="BB996" s="3" t="s">
        <v>10004</v>
      </c>
      <c r="BC996" s="3" t="s">
        <v>102</v>
      </c>
      <c r="BD996" s="3" t="s">
        <v>68</v>
      </c>
      <c r="BE996" s="3" t="s">
        <v>10005</v>
      </c>
      <c r="BF996" s="3" t="s">
        <v>10004</v>
      </c>
      <c r="BG996" s="3" t="s">
        <v>10006</v>
      </c>
    </row>
    <row r="997" spans="1:59" ht="58" x14ac:dyDescent="0.35">
      <c r="A997" s="2" t="s">
        <v>89</v>
      </c>
      <c r="B997" s="2" t="s">
        <v>90</v>
      </c>
      <c r="C997" s="2" t="s">
        <v>10007</v>
      </c>
      <c r="D997" s="2" t="s">
        <v>10008</v>
      </c>
      <c r="E997" s="2" t="s">
        <v>10009</v>
      </c>
      <c r="G997" s="3" t="s">
        <v>62</v>
      </c>
      <c r="I997" s="3" t="s">
        <v>62</v>
      </c>
      <c r="J997" s="3" t="s">
        <v>62</v>
      </c>
      <c r="K997" s="3" t="s">
        <v>63</v>
      </c>
      <c r="L997" s="2" t="s">
        <v>10010</v>
      </c>
      <c r="M997" s="2" t="s">
        <v>10011</v>
      </c>
      <c r="N997" s="3" t="s">
        <v>2000</v>
      </c>
      <c r="P997" s="3" t="s">
        <v>64</v>
      </c>
      <c r="Q997" s="2" t="s">
        <v>4271</v>
      </c>
      <c r="R997" s="3" t="s">
        <v>65</v>
      </c>
      <c r="S997" s="4">
        <v>13</v>
      </c>
      <c r="T997" s="4">
        <v>13</v>
      </c>
      <c r="U997" s="5" t="s">
        <v>10012</v>
      </c>
      <c r="V997" s="5" t="s">
        <v>10012</v>
      </c>
      <c r="W997" s="5" t="s">
        <v>67</v>
      </c>
      <c r="X997" s="5" t="s">
        <v>67</v>
      </c>
      <c r="Y997" s="4">
        <v>279</v>
      </c>
      <c r="Z997" s="4">
        <v>23</v>
      </c>
      <c r="AA997" s="4">
        <v>117</v>
      </c>
      <c r="AB997" s="4">
        <v>2</v>
      </c>
      <c r="AC997" s="4">
        <v>17</v>
      </c>
      <c r="AD997" s="4">
        <v>94</v>
      </c>
      <c r="AE997" s="4">
        <v>147</v>
      </c>
      <c r="AF997" s="4">
        <v>1</v>
      </c>
      <c r="AG997" s="4">
        <v>8</v>
      </c>
      <c r="AH997" s="4">
        <v>83</v>
      </c>
      <c r="AI997" s="4">
        <v>105</v>
      </c>
      <c r="AJ997" s="4">
        <v>12</v>
      </c>
      <c r="AK997" s="4">
        <v>27</v>
      </c>
      <c r="AL997" s="4">
        <v>50</v>
      </c>
      <c r="AM997" s="4">
        <v>55</v>
      </c>
      <c r="AN997" s="4">
        <v>0</v>
      </c>
      <c r="AO997" s="4">
        <v>0</v>
      </c>
      <c r="AP997" s="4">
        <v>17</v>
      </c>
      <c r="AQ997" s="4">
        <v>53</v>
      </c>
      <c r="AR997" s="3" t="s">
        <v>62</v>
      </c>
      <c r="AS997" s="3" t="s">
        <v>62</v>
      </c>
      <c r="AT997" s="3" t="s">
        <v>61</v>
      </c>
      <c r="AU997" s="6" t="str">
        <f>HYPERLINK("http://catalog.hathitrust.org/Record/003069180","HathiTrust Record")</f>
        <v>HathiTrust Record</v>
      </c>
      <c r="AV997" s="6" t="str">
        <f>HYPERLINK("http://mcgill.on.worldcat.org/oclc/32703777","Catalog Record")</f>
        <v>Catalog Record</v>
      </c>
      <c r="AW997" s="6" t="str">
        <f>HYPERLINK("http://www.worldcat.org/oclc/32703777","WorldCat Record")</f>
        <v>WorldCat Record</v>
      </c>
      <c r="AX997" s="3" t="s">
        <v>10013</v>
      </c>
      <c r="AY997" s="3" t="s">
        <v>10014</v>
      </c>
      <c r="AZ997" s="3" t="s">
        <v>10015</v>
      </c>
      <c r="BA997" s="3" t="s">
        <v>10015</v>
      </c>
      <c r="BB997" s="3" t="s">
        <v>10016</v>
      </c>
      <c r="BC997" s="3" t="s">
        <v>102</v>
      </c>
      <c r="BD997" s="3" t="s">
        <v>68</v>
      </c>
      <c r="BE997" s="3" t="s">
        <v>10017</v>
      </c>
      <c r="BF997" s="3" t="s">
        <v>10016</v>
      </c>
      <c r="BG997" s="3" t="s">
        <v>10018</v>
      </c>
    </row>
    <row r="998" spans="1:59" ht="58" x14ac:dyDescent="0.35">
      <c r="A998" s="2" t="s">
        <v>89</v>
      </c>
      <c r="B998" s="2" t="s">
        <v>90</v>
      </c>
      <c r="C998" s="2" t="s">
        <v>10019</v>
      </c>
      <c r="D998" s="2" t="s">
        <v>10020</v>
      </c>
      <c r="E998" s="2" t="s">
        <v>10021</v>
      </c>
      <c r="G998" s="3" t="s">
        <v>62</v>
      </c>
      <c r="I998" s="3" t="s">
        <v>62</v>
      </c>
      <c r="J998" s="3" t="s">
        <v>62</v>
      </c>
      <c r="K998" s="3" t="s">
        <v>63</v>
      </c>
      <c r="M998" s="2" t="s">
        <v>10022</v>
      </c>
      <c r="N998" s="3" t="s">
        <v>655</v>
      </c>
      <c r="P998" s="3" t="s">
        <v>64</v>
      </c>
      <c r="Q998" s="2" t="s">
        <v>10023</v>
      </c>
      <c r="R998" s="3" t="s">
        <v>65</v>
      </c>
      <c r="S998" s="4">
        <v>7</v>
      </c>
      <c r="T998" s="4">
        <v>7</v>
      </c>
      <c r="U998" s="5" t="s">
        <v>1238</v>
      </c>
      <c r="V998" s="5" t="s">
        <v>1238</v>
      </c>
      <c r="W998" s="5" t="s">
        <v>67</v>
      </c>
      <c r="X998" s="5" t="s">
        <v>67</v>
      </c>
      <c r="Y998" s="4">
        <v>115</v>
      </c>
      <c r="Z998" s="4">
        <v>14</v>
      </c>
      <c r="AA998" s="4">
        <v>16</v>
      </c>
      <c r="AB998" s="4">
        <v>1</v>
      </c>
      <c r="AC998" s="4">
        <v>2</v>
      </c>
      <c r="AD998" s="4">
        <v>58</v>
      </c>
      <c r="AE998" s="4">
        <v>60</v>
      </c>
      <c r="AF998" s="4">
        <v>0</v>
      </c>
      <c r="AG998" s="4">
        <v>1</v>
      </c>
      <c r="AH998" s="4">
        <v>52</v>
      </c>
      <c r="AI998" s="4">
        <v>52</v>
      </c>
      <c r="AJ998" s="4">
        <v>9</v>
      </c>
      <c r="AK998" s="4">
        <v>11</v>
      </c>
      <c r="AL998" s="4">
        <v>37</v>
      </c>
      <c r="AM998" s="4">
        <v>37</v>
      </c>
      <c r="AN998" s="4">
        <v>0</v>
      </c>
      <c r="AO998" s="4">
        <v>0</v>
      </c>
      <c r="AP998" s="4">
        <v>11</v>
      </c>
      <c r="AQ998" s="4">
        <v>13</v>
      </c>
      <c r="AR998" s="3" t="s">
        <v>62</v>
      </c>
      <c r="AS998" s="3" t="s">
        <v>62</v>
      </c>
      <c r="AT998" s="3" t="s">
        <v>61</v>
      </c>
      <c r="AU998" s="6" t="str">
        <f>HYPERLINK("http://catalog.hathitrust.org/Record/005641138","HathiTrust Record")</f>
        <v>HathiTrust Record</v>
      </c>
      <c r="AV998" s="6" t="str">
        <f>HYPERLINK("http://mcgill.on.worldcat.org/oclc/124474720","Catalog Record")</f>
        <v>Catalog Record</v>
      </c>
      <c r="AW998" s="6" t="str">
        <f>HYPERLINK("http://www.worldcat.org/oclc/124474720","WorldCat Record")</f>
        <v>WorldCat Record</v>
      </c>
      <c r="AX998" s="3" t="s">
        <v>10024</v>
      </c>
      <c r="AY998" s="3" t="s">
        <v>10025</v>
      </c>
      <c r="AZ998" s="3" t="s">
        <v>10026</v>
      </c>
      <c r="BA998" s="3" t="s">
        <v>10026</v>
      </c>
      <c r="BB998" s="3" t="s">
        <v>10027</v>
      </c>
      <c r="BC998" s="3" t="s">
        <v>102</v>
      </c>
      <c r="BD998" s="3" t="s">
        <v>68</v>
      </c>
      <c r="BE998" s="3" t="s">
        <v>10028</v>
      </c>
      <c r="BF998" s="3" t="s">
        <v>10027</v>
      </c>
      <c r="BG998" s="3" t="s">
        <v>10029</v>
      </c>
    </row>
    <row r="999" spans="1:59" ht="58" x14ac:dyDescent="0.35">
      <c r="A999" s="2" t="s">
        <v>89</v>
      </c>
      <c r="B999" s="2" t="s">
        <v>90</v>
      </c>
      <c r="C999" s="2" t="s">
        <v>10030</v>
      </c>
      <c r="D999" s="2" t="s">
        <v>10031</v>
      </c>
      <c r="E999" s="2" t="s">
        <v>10032</v>
      </c>
      <c r="G999" s="3" t="s">
        <v>62</v>
      </c>
      <c r="I999" s="3" t="s">
        <v>62</v>
      </c>
      <c r="J999" s="3" t="s">
        <v>62</v>
      </c>
      <c r="K999" s="3" t="s">
        <v>63</v>
      </c>
      <c r="M999" s="2" t="s">
        <v>10033</v>
      </c>
      <c r="N999" s="3" t="s">
        <v>285</v>
      </c>
      <c r="P999" s="3" t="s">
        <v>64</v>
      </c>
      <c r="Q999" s="2" t="s">
        <v>10034</v>
      </c>
      <c r="R999" s="3" t="s">
        <v>65</v>
      </c>
      <c r="S999" s="4">
        <v>8</v>
      </c>
      <c r="T999" s="4">
        <v>8</v>
      </c>
      <c r="U999" s="5" t="s">
        <v>4199</v>
      </c>
      <c r="V999" s="5" t="s">
        <v>4199</v>
      </c>
      <c r="W999" s="5" t="s">
        <v>67</v>
      </c>
      <c r="X999" s="5" t="s">
        <v>67</v>
      </c>
      <c r="Y999" s="4">
        <v>315</v>
      </c>
      <c r="Z999" s="4">
        <v>24</v>
      </c>
      <c r="AA999" s="4">
        <v>28</v>
      </c>
      <c r="AB999" s="4">
        <v>3</v>
      </c>
      <c r="AC999" s="4">
        <v>7</v>
      </c>
      <c r="AD999" s="4">
        <v>107</v>
      </c>
      <c r="AE999" s="4">
        <v>108</v>
      </c>
      <c r="AF999" s="4">
        <v>1</v>
      </c>
      <c r="AG999" s="4">
        <v>2</v>
      </c>
      <c r="AH999" s="4">
        <v>92</v>
      </c>
      <c r="AI999" s="4">
        <v>92</v>
      </c>
      <c r="AJ999" s="4">
        <v>17</v>
      </c>
      <c r="AK999" s="4">
        <v>18</v>
      </c>
      <c r="AL999" s="4">
        <v>54</v>
      </c>
      <c r="AM999" s="4">
        <v>54</v>
      </c>
      <c r="AN999" s="4">
        <v>0</v>
      </c>
      <c r="AO999" s="4">
        <v>0</v>
      </c>
      <c r="AP999" s="4">
        <v>18</v>
      </c>
      <c r="AQ999" s="4">
        <v>18</v>
      </c>
      <c r="AR999" s="3" t="s">
        <v>62</v>
      </c>
      <c r="AS999" s="3" t="s">
        <v>62</v>
      </c>
      <c r="AT999" s="3" t="s">
        <v>61</v>
      </c>
      <c r="AU999" s="6" t="str">
        <f>HYPERLINK("http://catalog.hathitrust.org/Record/000019561","HathiTrust Record")</f>
        <v>HathiTrust Record</v>
      </c>
      <c r="AV999" s="6" t="str">
        <f>HYPERLINK("http://mcgill.on.worldcat.org/oclc/5126092","Catalog Record")</f>
        <v>Catalog Record</v>
      </c>
      <c r="AW999" s="6" t="str">
        <f>HYPERLINK("http://www.worldcat.org/oclc/5126092","WorldCat Record")</f>
        <v>WorldCat Record</v>
      </c>
      <c r="AX999" s="3" t="s">
        <v>10035</v>
      </c>
      <c r="AY999" s="3" t="s">
        <v>10036</v>
      </c>
      <c r="AZ999" s="3" t="s">
        <v>10037</v>
      </c>
      <c r="BA999" s="3" t="s">
        <v>10037</v>
      </c>
      <c r="BB999" s="3" t="s">
        <v>10038</v>
      </c>
      <c r="BC999" s="3" t="s">
        <v>102</v>
      </c>
      <c r="BD999" s="3" t="s">
        <v>68</v>
      </c>
      <c r="BE999" s="3" t="s">
        <v>10039</v>
      </c>
      <c r="BF999" s="3" t="s">
        <v>10038</v>
      </c>
      <c r="BG999" s="3" t="s">
        <v>10040</v>
      </c>
    </row>
    <row r="1000" spans="1:59" ht="58" x14ac:dyDescent="0.35">
      <c r="A1000" s="2" t="s">
        <v>89</v>
      </c>
      <c r="B1000" s="2" t="s">
        <v>90</v>
      </c>
      <c r="C1000" s="2" t="s">
        <v>10041</v>
      </c>
      <c r="D1000" s="2" t="s">
        <v>10042</v>
      </c>
      <c r="E1000" s="2" t="s">
        <v>10043</v>
      </c>
      <c r="G1000" s="3" t="s">
        <v>62</v>
      </c>
      <c r="I1000" s="3" t="s">
        <v>62</v>
      </c>
      <c r="J1000" s="3" t="s">
        <v>62</v>
      </c>
      <c r="K1000" s="3" t="s">
        <v>63</v>
      </c>
      <c r="L1000" s="2" t="s">
        <v>10044</v>
      </c>
      <c r="M1000" s="2" t="s">
        <v>10045</v>
      </c>
      <c r="N1000" s="3" t="s">
        <v>2136</v>
      </c>
      <c r="P1000" s="3" t="s">
        <v>64</v>
      </c>
      <c r="R1000" s="3" t="s">
        <v>65</v>
      </c>
      <c r="S1000" s="4">
        <v>15</v>
      </c>
      <c r="T1000" s="4">
        <v>15</v>
      </c>
      <c r="U1000" s="5" t="s">
        <v>10046</v>
      </c>
      <c r="V1000" s="5" t="s">
        <v>10046</v>
      </c>
      <c r="W1000" s="5" t="s">
        <v>67</v>
      </c>
      <c r="X1000" s="5" t="s">
        <v>67</v>
      </c>
      <c r="Y1000" s="4">
        <v>1411</v>
      </c>
      <c r="Z1000" s="4">
        <v>34</v>
      </c>
      <c r="AA1000" s="4">
        <v>65</v>
      </c>
      <c r="AB1000" s="4">
        <v>2</v>
      </c>
      <c r="AC1000" s="4">
        <v>8</v>
      </c>
      <c r="AD1000" s="4">
        <v>111</v>
      </c>
      <c r="AE1000" s="4">
        <v>131</v>
      </c>
      <c r="AF1000" s="4">
        <v>1</v>
      </c>
      <c r="AG1000" s="4">
        <v>4</v>
      </c>
      <c r="AH1000" s="4">
        <v>98</v>
      </c>
      <c r="AI1000" s="4">
        <v>106</v>
      </c>
      <c r="AJ1000" s="4">
        <v>14</v>
      </c>
      <c r="AK1000" s="4">
        <v>18</v>
      </c>
      <c r="AL1000" s="4">
        <v>53</v>
      </c>
      <c r="AM1000" s="4">
        <v>57</v>
      </c>
      <c r="AN1000" s="4">
        <v>0</v>
      </c>
      <c r="AO1000" s="4">
        <v>0</v>
      </c>
      <c r="AP1000" s="4">
        <v>17</v>
      </c>
      <c r="AQ1000" s="4">
        <v>28</v>
      </c>
      <c r="AR1000" s="3" t="s">
        <v>62</v>
      </c>
      <c r="AS1000" s="3" t="s">
        <v>62</v>
      </c>
      <c r="AT1000" s="3" t="s">
        <v>62</v>
      </c>
      <c r="AV1000" s="6" t="str">
        <f>HYPERLINK("http://mcgill.on.worldcat.org/oclc/58605134","Catalog Record")</f>
        <v>Catalog Record</v>
      </c>
      <c r="AW1000" s="6" t="str">
        <f>HYPERLINK("http://www.worldcat.org/oclc/58605134","WorldCat Record")</f>
        <v>WorldCat Record</v>
      </c>
      <c r="AX1000" s="3" t="s">
        <v>10047</v>
      </c>
      <c r="AY1000" s="3" t="s">
        <v>10048</v>
      </c>
      <c r="AZ1000" s="3" t="s">
        <v>10049</v>
      </c>
      <c r="BA1000" s="3" t="s">
        <v>10049</v>
      </c>
      <c r="BB1000" s="3" t="s">
        <v>10050</v>
      </c>
      <c r="BC1000" s="3" t="s">
        <v>102</v>
      </c>
      <c r="BD1000" s="3" t="s">
        <v>68</v>
      </c>
      <c r="BE1000" s="3" t="s">
        <v>10051</v>
      </c>
      <c r="BF1000" s="3" t="s">
        <v>10050</v>
      </c>
      <c r="BG1000" s="3" t="s">
        <v>10052</v>
      </c>
    </row>
    <row r="1001" spans="1:59" ht="58" x14ac:dyDescent="0.35">
      <c r="A1001" s="2" t="s">
        <v>89</v>
      </c>
      <c r="B1001" s="2" t="s">
        <v>90</v>
      </c>
      <c r="C1001" s="2" t="s">
        <v>10053</v>
      </c>
      <c r="D1001" s="2" t="s">
        <v>10054</v>
      </c>
      <c r="E1001" s="2" t="s">
        <v>10055</v>
      </c>
      <c r="G1001" s="3" t="s">
        <v>62</v>
      </c>
      <c r="I1001" s="3" t="s">
        <v>62</v>
      </c>
      <c r="J1001" s="3" t="s">
        <v>62</v>
      </c>
      <c r="K1001" s="3" t="s">
        <v>63</v>
      </c>
      <c r="L1001" s="2" t="s">
        <v>10056</v>
      </c>
      <c r="M1001" s="2" t="s">
        <v>10057</v>
      </c>
      <c r="N1001" s="3" t="s">
        <v>115</v>
      </c>
      <c r="P1001" s="3" t="s">
        <v>64</v>
      </c>
      <c r="R1001" s="3" t="s">
        <v>65</v>
      </c>
      <c r="S1001" s="4">
        <v>29</v>
      </c>
      <c r="T1001" s="4">
        <v>29</v>
      </c>
      <c r="U1001" s="5" t="s">
        <v>10058</v>
      </c>
      <c r="V1001" s="5" t="s">
        <v>10058</v>
      </c>
      <c r="W1001" s="5" t="s">
        <v>67</v>
      </c>
      <c r="X1001" s="5" t="s">
        <v>67</v>
      </c>
      <c r="Y1001" s="4">
        <v>418</v>
      </c>
      <c r="Z1001" s="4">
        <v>25</v>
      </c>
      <c r="AA1001" s="4">
        <v>93</v>
      </c>
      <c r="AB1001" s="4">
        <v>2</v>
      </c>
      <c r="AC1001" s="4">
        <v>16</v>
      </c>
      <c r="AD1001" s="4">
        <v>103</v>
      </c>
      <c r="AE1001" s="4">
        <v>142</v>
      </c>
      <c r="AF1001" s="4">
        <v>1</v>
      </c>
      <c r="AG1001" s="4">
        <v>8</v>
      </c>
      <c r="AH1001" s="4">
        <v>94</v>
      </c>
      <c r="AI1001" s="4">
        <v>108</v>
      </c>
      <c r="AJ1001" s="4">
        <v>15</v>
      </c>
      <c r="AK1001" s="4">
        <v>24</v>
      </c>
      <c r="AL1001" s="4">
        <v>56</v>
      </c>
      <c r="AM1001" s="4">
        <v>59</v>
      </c>
      <c r="AN1001" s="4">
        <v>0</v>
      </c>
      <c r="AO1001" s="4">
        <v>0</v>
      </c>
      <c r="AP1001" s="4">
        <v>16</v>
      </c>
      <c r="AQ1001" s="4">
        <v>44</v>
      </c>
      <c r="AR1001" s="3" t="s">
        <v>62</v>
      </c>
      <c r="AS1001" s="3" t="s">
        <v>62</v>
      </c>
      <c r="AT1001" s="3" t="s">
        <v>62</v>
      </c>
      <c r="AV1001" s="6" t="str">
        <f>HYPERLINK("http://mcgill.on.worldcat.org/oclc/19555227","Catalog Record")</f>
        <v>Catalog Record</v>
      </c>
      <c r="AW1001" s="6" t="str">
        <f>HYPERLINK("http://www.worldcat.org/oclc/19555227","WorldCat Record")</f>
        <v>WorldCat Record</v>
      </c>
      <c r="AX1001" s="3" t="s">
        <v>10059</v>
      </c>
      <c r="AY1001" s="3" t="s">
        <v>10060</v>
      </c>
      <c r="AZ1001" s="3" t="s">
        <v>10061</v>
      </c>
      <c r="BA1001" s="3" t="s">
        <v>10061</v>
      </c>
      <c r="BB1001" s="3" t="s">
        <v>10062</v>
      </c>
      <c r="BC1001" s="3" t="s">
        <v>102</v>
      </c>
      <c r="BD1001" s="3" t="s">
        <v>68</v>
      </c>
      <c r="BE1001" s="3" t="s">
        <v>10063</v>
      </c>
      <c r="BF1001" s="3" t="s">
        <v>10062</v>
      </c>
      <c r="BG1001" s="3" t="s">
        <v>10064</v>
      </c>
    </row>
    <row r="1002" spans="1:59" ht="58" x14ac:dyDescent="0.35">
      <c r="A1002" s="2" t="s">
        <v>89</v>
      </c>
      <c r="B1002" s="2" t="s">
        <v>90</v>
      </c>
      <c r="C1002" s="2" t="s">
        <v>10065</v>
      </c>
      <c r="D1002" s="2" t="s">
        <v>10066</v>
      </c>
      <c r="E1002" s="2" t="s">
        <v>10067</v>
      </c>
      <c r="G1002" s="3" t="s">
        <v>62</v>
      </c>
      <c r="I1002" s="3" t="s">
        <v>62</v>
      </c>
      <c r="J1002" s="3" t="s">
        <v>62</v>
      </c>
      <c r="K1002" s="3" t="s">
        <v>63</v>
      </c>
      <c r="L1002" s="2" t="s">
        <v>10068</v>
      </c>
      <c r="M1002" s="2" t="s">
        <v>10069</v>
      </c>
      <c r="N1002" s="3" t="s">
        <v>438</v>
      </c>
      <c r="P1002" s="3" t="s">
        <v>64</v>
      </c>
      <c r="R1002" s="3" t="s">
        <v>65</v>
      </c>
      <c r="S1002" s="4">
        <v>12</v>
      </c>
      <c r="T1002" s="4">
        <v>12</v>
      </c>
      <c r="U1002" s="5" t="s">
        <v>10070</v>
      </c>
      <c r="V1002" s="5" t="s">
        <v>10070</v>
      </c>
      <c r="W1002" s="5" t="s">
        <v>67</v>
      </c>
      <c r="X1002" s="5" t="s">
        <v>67</v>
      </c>
      <c r="Y1002" s="4">
        <v>190</v>
      </c>
      <c r="Z1002" s="4">
        <v>15</v>
      </c>
      <c r="AA1002" s="4">
        <v>18</v>
      </c>
      <c r="AB1002" s="4">
        <v>2</v>
      </c>
      <c r="AC1002" s="4">
        <v>4</v>
      </c>
      <c r="AD1002" s="4">
        <v>78</v>
      </c>
      <c r="AE1002" s="4">
        <v>81</v>
      </c>
      <c r="AF1002" s="4">
        <v>1</v>
      </c>
      <c r="AG1002" s="4">
        <v>3</v>
      </c>
      <c r="AH1002" s="4">
        <v>69</v>
      </c>
      <c r="AI1002" s="4">
        <v>71</v>
      </c>
      <c r="AJ1002" s="4">
        <v>7</v>
      </c>
      <c r="AK1002" s="4">
        <v>10</v>
      </c>
      <c r="AL1002" s="4">
        <v>44</v>
      </c>
      <c r="AM1002" s="4">
        <v>44</v>
      </c>
      <c r="AN1002" s="4">
        <v>0</v>
      </c>
      <c r="AO1002" s="4">
        <v>0</v>
      </c>
      <c r="AP1002" s="4">
        <v>11</v>
      </c>
      <c r="AQ1002" s="4">
        <v>13</v>
      </c>
      <c r="AR1002" s="3" t="s">
        <v>62</v>
      </c>
      <c r="AS1002" s="3" t="s">
        <v>62</v>
      </c>
      <c r="AT1002" s="3" t="s">
        <v>62</v>
      </c>
      <c r="AV1002" s="6" t="str">
        <f>HYPERLINK("http://mcgill.on.worldcat.org/oclc/20754068","Catalog Record")</f>
        <v>Catalog Record</v>
      </c>
      <c r="AW1002" s="6" t="str">
        <f>HYPERLINK("http://www.worldcat.org/oclc/20754068","WorldCat Record")</f>
        <v>WorldCat Record</v>
      </c>
      <c r="AX1002" s="3" t="s">
        <v>10071</v>
      </c>
      <c r="AY1002" s="3" t="s">
        <v>10072</v>
      </c>
      <c r="AZ1002" s="3" t="s">
        <v>10073</v>
      </c>
      <c r="BA1002" s="3" t="s">
        <v>10073</v>
      </c>
      <c r="BB1002" s="3" t="s">
        <v>10074</v>
      </c>
      <c r="BC1002" s="3" t="s">
        <v>102</v>
      </c>
      <c r="BD1002" s="3" t="s">
        <v>68</v>
      </c>
      <c r="BE1002" s="3" t="s">
        <v>10075</v>
      </c>
      <c r="BF1002" s="3" t="s">
        <v>10074</v>
      </c>
      <c r="BG1002" s="3" t="s">
        <v>10076</v>
      </c>
    </row>
    <row r="1003" spans="1:59" ht="58" x14ac:dyDescent="0.35">
      <c r="A1003" s="2" t="s">
        <v>89</v>
      </c>
      <c r="B1003" s="2" t="s">
        <v>90</v>
      </c>
      <c r="C1003" s="2" t="s">
        <v>10077</v>
      </c>
      <c r="D1003" s="2" t="s">
        <v>10078</v>
      </c>
      <c r="E1003" s="2" t="s">
        <v>10079</v>
      </c>
      <c r="G1003" s="3" t="s">
        <v>62</v>
      </c>
      <c r="I1003" s="3" t="s">
        <v>61</v>
      </c>
      <c r="J1003" s="3" t="s">
        <v>62</v>
      </c>
      <c r="K1003" s="3" t="s">
        <v>63</v>
      </c>
      <c r="M1003" s="2" t="s">
        <v>10080</v>
      </c>
      <c r="N1003" s="3" t="s">
        <v>568</v>
      </c>
      <c r="P1003" s="3" t="s">
        <v>64</v>
      </c>
      <c r="Q1003" s="2" t="s">
        <v>4271</v>
      </c>
      <c r="R1003" s="3" t="s">
        <v>65</v>
      </c>
      <c r="S1003" s="4">
        <v>9</v>
      </c>
      <c r="T1003" s="4">
        <v>17</v>
      </c>
      <c r="U1003" s="5" t="s">
        <v>10081</v>
      </c>
      <c r="V1003" s="5" t="s">
        <v>10081</v>
      </c>
      <c r="W1003" s="5" t="s">
        <v>67</v>
      </c>
      <c r="X1003" s="5" t="s">
        <v>67</v>
      </c>
      <c r="Y1003" s="4">
        <v>402</v>
      </c>
      <c r="Z1003" s="4">
        <v>24</v>
      </c>
      <c r="AA1003" s="4">
        <v>93</v>
      </c>
      <c r="AB1003" s="4">
        <v>2</v>
      </c>
      <c r="AC1003" s="4">
        <v>17</v>
      </c>
      <c r="AD1003" s="4">
        <v>100</v>
      </c>
      <c r="AE1003" s="4">
        <v>134</v>
      </c>
      <c r="AF1003" s="4">
        <v>1</v>
      </c>
      <c r="AG1003" s="4">
        <v>8</v>
      </c>
      <c r="AH1003" s="4">
        <v>90</v>
      </c>
      <c r="AI1003" s="4">
        <v>99</v>
      </c>
      <c r="AJ1003" s="4">
        <v>14</v>
      </c>
      <c r="AK1003" s="4">
        <v>23</v>
      </c>
      <c r="AL1003" s="4">
        <v>51</v>
      </c>
      <c r="AM1003" s="4">
        <v>53</v>
      </c>
      <c r="AN1003" s="4">
        <v>0</v>
      </c>
      <c r="AO1003" s="4">
        <v>0</v>
      </c>
      <c r="AP1003" s="4">
        <v>18</v>
      </c>
      <c r="AQ1003" s="4">
        <v>44</v>
      </c>
      <c r="AR1003" s="3" t="s">
        <v>62</v>
      </c>
      <c r="AS1003" s="3" t="s">
        <v>62</v>
      </c>
      <c r="AT1003" s="3" t="s">
        <v>62</v>
      </c>
      <c r="AV1003" s="6" t="str">
        <f>HYPERLINK("http://mcgill.on.worldcat.org/oclc/42682853","Catalog Record")</f>
        <v>Catalog Record</v>
      </c>
      <c r="AW1003" s="6" t="str">
        <f>HYPERLINK("http://www.worldcat.org/oclc/42682853","WorldCat Record")</f>
        <v>WorldCat Record</v>
      </c>
      <c r="AX1003" s="3" t="s">
        <v>10082</v>
      </c>
      <c r="AY1003" s="3" t="s">
        <v>10083</v>
      </c>
      <c r="AZ1003" s="3" t="s">
        <v>10084</v>
      </c>
      <c r="BA1003" s="3" t="s">
        <v>10084</v>
      </c>
      <c r="BB1003" s="3" t="s">
        <v>10085</v>
      </c>
      <c r="BC1003" s="3" t="s">
        <v>102</v>
      </c>
      <c r="BD1003" s="3" t="s">
        <v>68</v>
      </c>
      <c r="BE1003" s="3" t="s">
        <v>10086</v>
      </c>
      <c r="BF1003" s="3" t="s">
        <v>10085</v>
      </c>
      <c r="BG1003" s="3" t="s">
        <v>10087</v>
      </c>
    </row>
    <row r="1004" spans="1:59" ht="58" x14ac:dyDescent="0.35">
      <c r="A1004" s="2" t="s">
        <v>89</v>
      </c>
      <c r="B1004" s="2" t="s">
        <v>90</v>
      </c>
      <c r="C1004" s="2" t="s">
        <v>10088</v>
      </c>
      <c r="D1004" s="2" t="s">
        <v>10089</v>
      </c>
      <c r="E1004" s="2" t="s">
        <v>10090</v>
      </c>
      <c r="G1004" s="3" t="s">
        <v>62</v>
      </c>
      <c r="I1004" s="3" t="s">
        <v>61</v>
      </c>
      <c r="J1004" s="3" t="s">
        <v>62</v>
      </c>
      <c r="K1004" s="3" t="s">
        <v>63</v>
      </c>
      <c r="M1004" s="2" t="s">
        <v>10091</v>
      </c>
      <c r="N1004" s="3" t="s">
        <v>893</v>
      </c>
      <c r="O1004" s="2" t="s">
        <v>10092</v>
      </c>
      <c r="P1004" s="3" t="s">
        <v>64</v>
      </c>
      <c r="R1004" s="3" t="s">
        <v>65</v>
      </c>
      <c r="S1004" s="4">
        <v>28</v>
      </c>
      <c r="T1004" s="4">
        <v>38</v>
      </c>
      <c r="U1004" s="5" t="s">
        <v>10058</v>
      </c>
      <c r="V1004" s="5" t="s">
        <v>10058</v>
      </c>
      <c r="W1004" s="5" t="s">
        <v>67</v>
      </c>
      <c r="X1004" s="5" t="s">
        <v>67</v>
      </c>
      <c r="Y1004" s="4">
        <v>228</v>
      </c>
      <c r="Z1004" s="4">
        <v>18</v>
      </c>
      <c r="AA1004" s="4">
        <v>29</v>
      </c>
      <c r="AB1004" s="4">
        <v>1</v>
      </c>
      <c r="AC1004" s="4">
        <v>4</v>
      </c>
      <c r="AD1004" s="4">
        <v>80</v>
      </c>
      <c r="AE1004" s="4">
        <v>91</v>
      </c>
      <c r="AF1004" s="4">
        <v>0</v>
      </c>
      <c r="AG1004" s="4">
        <v>3</v>
      </c>
      <c r="AH1004" s="4">
        <v>69</v>
      </c>
      <c r="AI1004" s="4">
        <v>75</v>
      </c>
      <c r="AJ1004" s="4">
        <v>15</v>
      </c>
      <c r="AK1004" s="4">
        <v>19</v>
      </c>
      <c r="AL1004" s="4">
        <v>42</v>
      </c>
      <c r="AM1004" s="4">
        <v>44</v>
      </c>
      <c r="AN1004" s="4">
        <v>0</v>
      </c>
      <c r="AO1004" s="4">
        <v>0</v>
      </c>
      <c r="AP1004" s="4">
        <v>15</v>
      </c>
      <c r="AQ1004" s="4">
        <v>22</v>
      </c>
      <c r="AR1004" s="3" t="s">
        <v>62</v>
      </c>
      <c r="AS1004" s="3" t="s">
        <v>62</v>
      </c>
      <c r="AT1004" s="3" t="s">
        <v>62</v>
      </c>
      <c r="AV1004" s="6" t="str">
        <f>HYPERLINK("http://mcgill.on.worldcat.org/oclc/9098133","Catalog Record")</f>
        <v>Catalog Record</v>
      </c>
      <c r="AW1004" s="6" t="str">
        <f>HYPERLINK("http://www.worldcat.org/oclc/9098133","WorldCat Record")</f>
        <v>WorldCat Record</v>
      </c>
      <c r="AX1004" s="3" t="s">
        <v>10093</v>
      </c>
      <c r="AY1004" s="3" t="s">
        <v>10094</v>
      </c>
      <c r="AZ1004" s="3" t="s">
        <v>10095</v>
      </c>
      <c r="BA1004" s="3" t="s">
        <v>10095</v>
      </c>
      <c r="BB1004" s="3" t="s">
        <v>10096</v>
      </c>
      <c r="BC1004" s="3" t="s">
        <v>102</v>
      </c>
      <c r="BD1004" s="3" t="s">
        <v>231</v>
      </c>
      <c r="BE1004" s="3" t="s">
        <v>10097</v>
      </c>
      <c r="BF1004" s="3" t="s">
        <v>10096</v>
      </c>
      <c r="BG1004" s="3" t="s">
        <v>10098</v>
      </c>
    </row>
    <row r="1005" spans="1:59" ht="58" x14ac:dyDescent="0.35">
      <c r="A1005" s="2" t="s">
        <v>89</v>
      </c>
      <c r="B1005" s="2" t="s">
        <v>90</v>
      </c>
      <c r="C1005" s="2" t="s">
        <v>10099</v>
      </c>
      <c r="D1005" s="2" t="s">
        <v>10100</v>
      </c>
      <c r="E1005" s="2" t="s">
        <v>10101</v>
      </c>
      <c r="G1005" s="3" t="s">
        <v>62</v>
      </c>
      <c r="I1005" s="3" t="s">
        <v>62</v>
      </c>
      <c r="J1005" s="3" t="s">
        <v>62</v>
      </c>
      <c r="K1005" s="3" t="s">
        <v>63</v>
      </c>
      <c r="M1005" s="2" t="s">
        <v>3499</v>
      </c>
      <c r="N1005" s="3" t="s">
        <v>524</v>
      </c>
      <c r="P1005" s="3" t="s">
        <v>64</v>
      </c>
      <c r="Q1005" s="2" t="s">
        <v>10102</v>
      </c>
      <c r="R1005" s="3" t="s">
        <v>65</v>
      </c>
      <c r="S1005" s="4">
        <v>18</v>
      </c>
      <c r="T1005" s="4">
        <v>18</v>
      </c>
      <c r="U1005" s="5" t="s">
        <v>10103</v>
      </c>
      <c r="V1005" s="5" t="s">
        <v>10103</v>
      </c>
      <c r="W1005" s="5" t="s">
        <v>67</v>
      </c>
      <c r="X1005" s="5" t="s">
        <v>67</v>
      </c>
      <c r="Y1005" s="4">
        <v>260</v>
      </c>
      <c r="Z1005" s="4">
        <v>19</v>
      </c>
      <c r="AA1005" s="4">
        <v>21</v>
      </c>
      <c r="AB1005" s="4">
        <v>2</v>
      </c>
      <c r="AC1005" s="4">
        <v>4</v>
      </c>
      <c r="AD1005" s="4">
        <v>85</v>
      </c>
      <c r="AE1005" s="4">
        <v>87</v>
      </c>
      <c r="AF1005" s="4">
        <v>1</v>
      </c>
      <c r="AG1005" s="4">
        <v>3</v>
      </c>
      <c r="AH1005" s="4">
        <v>76</v>
      </c>
      <c r="AI1005" s="4">
        <v>77</v>
      </c>
      <c r="AJ1005" s="4">
        <v>12</v>
      </c>
      <c r="AK1005" s="4">
        <v>14</v>
      </c>
      <c r="AL1005" s="4">
        <v>45</v>
      </c>
      <c r="AM1005" s="4">
        <v>45</v>
      </c>
      <c r="AN1005" s="4">
        <v>0</v>
      </c>
      <c r="AO1005" s="4">
        <v>0</v>
      </c>
      <c r="AP1005" s="4">
        <v>15</v>
      </c>
      <c r="AQ1005" s="4">
        <v>16</v>
      </c>
      <c r="AR1005" s="3" t="s">
        <v>62</v>
      </c>
      <c r="AS1005" s="3" t="s">
        <v>62</v>
      </c>
      <c r="AT1005" s="3" t="s">
        <v>62</v>
      </c>
      <c r="AV1005" s="6" t="str">
        <f>HYPERLINK("http://mcgill.on.worldcat.org/oclc/32551118","Catalog Record")</f>
        <v>Catalog Record</v>
      </c>
      <c r="AW1005" s="6" t="str">
        <f>HYPERLINK("http://www.worldcat.org/oclc/32551118","WorldCat Record")</f>
        <v>WorldCat Record</v>
      </c>
      <c r="AX1005" s="3" t="s">
        <v>10104</v>
      </c>
      <c r="AY1005" s="3" t="s">
        <v>10105</v>
      </c>
      <c r="AZ1005" s="3" t="s">
        <v>10106</v>
      </c>
      <c r="BA1005" s="3" t="s">
        <v>10106</v>
      </c>
      <c r="BB1005" s="3" t="s">
        <v>10107</v>
      </c>
      <c r="BC1005" s="3" t="s">
        <v>102</v>
      </c>
      <c r="BD1005" s="3" t="s">
        <v>68</v>
      </c>
      <c r="BE1005" s="3" t="s">
        <v>10108</v>
      </c>
      <c r="BF1005" s="3" t="s">
        <v>10107</v>
      </c>
      <c r="BG1005" s="3" t="s">
        <v>10109</v>
      </c>
    </row>
    <row r="1006" spans="1:59" ht="58" x14ac:dyDescent="0.35">
      <c r="A1006" s="2" t="s">
        <v>89</v>
      </c>
      <c r="B1006" s="2" t="s">
        <v>90</v>
      </c>
      <c r="C1006" s="2" t="s">
        <v>10110</v>
      </c>
      <c r="D1006" s="2" t="s">
        <v>10111</v>
      </c>
      <c r="E1006" s="2" t="s">
        <v>10112</v>
      </c>
      <c r="G1006" s="3" t="s">
        <v>62</v>
      </c>
      <c r="I1006" s="3" t="s">
        <v>62</v>
      </c>
      <c r="J1006" s="3" t="s">
        <v>61</v>
      </c>
      <c r="K1006" s="3" t="s">
        <v>63</v>
      </c>
      <c r="L1006" s="2" t="s">
        <v>10113</v>
      </c>
      <c r="M1006" s="2" t="s">
        <v>10114</v>
      </c>
      <c r="N1006" s="3" t="s">
        <v>6410</v>
      </c>
      <c r="O1006" s="2" t="s">
        <v>10115</v>
      </c>
      <c r="P1006" s="3" t="s">
        <v>64</v>
      </c>
      <c r="R1006" s="3" t="s">
        <v>65</v>
      </c>
      <c r="S1006" s="4">
        <v>4</v>
      </c>
      <c r="T1006" s="4">
        <v>4</v>
      </c>
      <c r="U1006" s="5" t="s">
        <v>10116</v>
      </c>
      <c r="V1006" s="5" t="s">
        <v>10116</v>
      </c>
      <c r="W1006" s="5" t="s">
        <v>67</v>
      </c>
      <c r="X1006" s="5" t="s">
        <v>67</v>
      </c>
      <c r="Y1006" s="4">
        <v>15</v>
      </c>
      <c r="Z1006" s="4">
        <v>2</v>
      </c>
      <c r="AA1006" s="4">
        <v>61</v>
      </c>
      <c r="AB1006" s="4">
        <v>1</v>
      </c>
      <c r="AC1006" s="4">
        <v>7</v>
      </c>
      <c r="AD1006" s="4">
        <v>5</v>
      </c>
      <c r="AE1006" s="4">
        <v>151</v>
      </c>
      <c r="AF1006" s="4">
        <v>0</v>
      </c>
      <c r="AG1006" s="4">
        <v>5</v>
      </c>
      <c r="AH1006" s="4">
        <v>4</v>
      </c>
      <c r="AI1006" s="4">
        <v>115</v>
      </c>
      <c r="AJ1006" s="4">
        <v>1</v>
      </c>
      <c r="AK1006" s="4">
        <v>29</v>
      </c>
      <c r="AL1006" s="4">
        <v>2</v>
      </c>
      <c r="AM1006" s="4">
        <v>62</v>
      </c>
      <c r="AN1006" s="4">
        <v>0</v>
      </c>
      <c r="AO1006" s="4">
        <v>0</v>
      </c>
      <c r="AP1006" s="4">
        <v>0</v>
      </c>
      <c r="AQ1006" s="4">
        <v>39</v>
      </c>
      <c r="AR1006" s="3" t="s">
        <v>62</v>
      </c>
      <c r="AS1006" s="3" t="s">
        <v>62</v>
      </c>
      <c r="AT1006" s="3" t="s">
        <v>62</v>
      </c>
      <c r="AV1006" s="6" t="str">
        <f>HYPERLINK("http://mcgill.on.worldcat.org/oclc/35488020","Catalog Record")</f>
        <v>Catalog Record</v>
      </c>
      <c r="AW1006" s="6" t="str">
        <f>HYPERLINK("http://www.worldcat.org/oclc/35488020","WorldCat Record")</f>
        <v>WorldCat Record</v>
      </c>
      <c r="AX1006" s="3" t="s">
        <v>10117</v>
      </c>
      <c r="AY1006" s="3" t="s">
        <v>10118</v>
      </c>
      <c r="AZ1006" s="3" t="s">
        <v>10119</v>
      </c>
      <c r="BA1006" s="3" t="s">
        <v>10119</v>
      </c>
      <c r="BB1006" s="3" t="s">
        <v>10120</v>
      </c>
      <c r="BC1006" s="3" t="s">
        <v>102</v>
      </c>
      <c r="BD1006" s="3" t="s">
        <v>68</v>
      </c>
      <c r="BF1006" s="3" t="s">
        <v>10120</v>
      </c>
      <c r="BG1006" s="3" t="s">
        <v>10121</v>
      </c>
    </row>
    <row r="1007" spans="1:59" ht="58" x14ac:dyDescent="0.35">
      <c r="A1007" s="2" t="s">
        <v>89</v>
      </c>
      <c r="B1007" s="2" t="s">
        <v>90</v>
      </c>
      <c r="C1007" s="2" t="s">
        <v>10122</v>
      </c>
      <c r="D1007" s="2" t="s">
        <v>10123</v>
      </c>
      <c r="E1007" s="2" t="s">
        <v>10124</v>
      </c>
      <c r="G1007" s="3" t="s">
        <v>62</v>
      </c>
      <c r="I1007" s="3" t="s">
        <v>62</v>
      </c>
      <c r="J1007" s="3" t="s">
        <v>61</v>
      </c>
      <c r="K1007" s="3" t="s">
        <v>63</v>
      </c>
      <c r="L1007" s="2" t="s">
        <v>10113</v>
      </c>
      <c r="M1007" s="2" t="s">
        <v>10125</v>
      </c>
      <c r="N1007" s="3" t="s">
        <v>2305</v>
      </c>
      <c r="O1007" s="2" t="s">
        <v>10126</v>
      </c>
      <c r="P1007" s="3" t="s">
        <v>64</v>
      </c>
      <c r="Q1007" s="2" t="s">
        <v>10127</v>
      </c>
      <c r="R1007" s="3" t="s">
        <v>65</v>
      </c>
      <c r="S1007" s="4">
        <v>10</v>
      </c>
      <c r="T1007" s="4">
        <v>10</v>
      </c>
      <c r="U1007" s="5" t="s">
        <v>8351</v>
      </c>
      <c r="V1007" s="5" t="s">
        <v>8351</v>
      </c>
      <c r="W1007" s="5" t="s">
        <v>67</v>
      </c>
      <c r="X1007" s="5" t="s">
        <v>67</v>
      </c>
      <c r="Y1007" s="4">
        <v>159</v>
      </c>
      <c r="Z1007" s="4">
        <v>6</v>
      </c>
      <c r="AA1007" s="4">
        <v>61</v>
      </c>
      <c r="AB1007" s="4">
        <v>1</v>
      </c>
      <c r="AC1007" s="4">
        <v>7</v>
      </c>
      <c r="AD1007" s="4">
        <v>26</v>
      </c>
      <c r="AE1007" s="4">
        <v>151</v>
      </c>
      <c r="AF1007" s="4">
        <v>0</v>
      </c>
      <c r="AG1007" s="4">
        <v>5</v>
      </c>
      <c r="AH1007" s="4">
        <v>22</v>
      </c>
      <c r="AI1007" s="4">
        <v>115</v>
      </c>
      <c r="AJ1007" s="4">
        <v>2</v>
      </c>
      <c r="AK1007" s="4">
        <v>29</v>
      </c>
      <c r="AL1007" s="4">
        <v>19</v>
      </c>
      <c r="AM1007" s="4">
        <v>62</v>
      </c>
      <c r="AN1007" s="4">
        <v>0</v>
      </c>
      <c r="AO1007" s="4">
        <v>0</v>
      </c>
      <c r="AP1007" s="4">
        <v>4</v>
      </c>
      <c r="AQ1007" s="4">
        <v>39</v>
      </c>
      <c r="AR1007" s="3" t="s">
        <v>62</v>
      </c>
      <c r="AS1007" s="3" t="s">
        <v>62</v>
      </c>
      <c r="AT1007" s="3" t="s">
        <v>62</v>
      </c>
      <c r="AU1007" s="6" t="str">
        <f>HYPERLINK("http://catalog.hathitrust.org/Record/002614896","HathiTrust Record")</f>
        <v>HathiTrust Record</v>
      </c>
      <c r="AV1007" s="6" t="str">
        <f>HYPERLINK("http://mcgill.on.worldcat.org/oclc/3898098","Catalog Record")</f>
        <v>Catalog Record</v>
      </c>
      <c r="AW1007" s="6" t="str">
        <f>HYPERLINK("http://www.worldcat.org/oclc/3898098","WorldCat Record")</f>
        <v>WorldCat Record</v>
      </c>
      <c r="AX1007" s="3" t="s">
        <v>10117</v>
      </c>
      <c r="AY1007" s="3" t="s">
        <v>10128</v>
      </c>
      <c r="AZ1007" s="3" t="s">
        <v>10129</v>
      </c>
      <c r="BA1007" s="3" t="s">
        <v>10129</v>
      </c>
      <c r="BB1007" s="3" t="s">
        <v>10130</v>
      </c>
      <c r="BC1007" s="3" t="s">
        <v>102</v>
      </c>
      <c r="BD1007" s="3" t="s">
        <v>68</v>
      </c>
      <c r="BE1007" s="3" t="s">
        <v>10131</v>
      </c>
      <c r="BF1007" s="3" t="s">
        <v>10130</v>
      </c>
      <c r="BG1007" s="3" t="s">
        <v>10132</v>
      </c>
    </row>
    <row r="1008" spans="1:59" ht="58" x14ac:dyDescent="0.35">
      <c r="A1008" s="2" t="s">
        <v>89</v>
      </c>
      <c r="B1008" s="2" t="s">
        <v>90</v>
      </c>
      <c r="C1008" s="2" t="s">
        <v>10133</v>
      </c>
      <c r="D1008" s="2" t="s">
        <v>10134</v>
      </c>
      <c r="E1008" s="2" t="s">
        <v>10135</v>
      </c>
      <c r="G1008" s="3" t="s">
        <v>62</v>
      </c>
      <c r="I1008" s="3" t="s">
        <v>62</v>
      </c>
      <c r="J1008" s="3" t="s">
        <v>62</v>
      </c>
      <c r="K1008" s="3" t="s">
        <v>63</v>
      </c>
      <c r="L1008" s="2" t="s">
        <v>10136</v>
      </c>
      <c r="M1008" s="2" t="s">
        <v>10137</v>
      </c>
      <c r="N1008" s="3" t="s">
        <v>2136</v>
      </c>
      <c r="P1008" s="3" t="s">
        <v>64</v>
      </c>
      <c r="Q1008" s="2" t="s">
        <v>10138</v>
      </c>
      <c r="R1008" s="3" t="s">
        <v>65</v>
      </c>
      <c r="S1008" s="4">
        <v>5</v>
      </c>
      <c r="T1008" s="4">
        <v>5</v>
      </c>
      <c r="U1008" s="5" t="s">
        <v>10139</v>
      </c>
      <c r="V1008" s="5" t="s">
        <v>10139</v>
      </c>
      <c r="W1008" s="5" t="s">
        <v>67</v>
      </c>
      <c r="X1008" s="5" t="s">
        <v>67</v>
      </c>
      <c r="Y1008" s="4">
        <v>219</v>
      </c>
      <c r="Z1008" s="4">
        <v>16</v>
      </c>
      <c r="AA1008" s="4">
        <v>100</v>
      </c>
      <c r="AB1008" s="4">
        <v>1</v>
      </c>
      <c r="AC1008" s="4">
        <v>17</v>
      </c>
      <c r="AD1008" s="4">
        <v>50</v>
      </c>
      <c r="AE1008" s="4">
        <v>119</v>
      </c>
      <c r="AF1008" s="4">
        <v>0</v>
      </c>
      <c r="AG1008" s="4">
        <v>8</v>
      </c>
      <c r="AH1008" s="4">
        <v>45</v>
      </c>
      <c r="AI1008" s="4">
        <v>82</v>
      </c>
      <c r="AJ1008" s="4">
        <v>11</v>
      </c>
      <c r="AK1008" s="4">
        <v>24</v>
      </c>
      <c r="AL1008" s="4">
        <v>20</v>
      </c>
      <c r="AM1008" s="4">
        <v>40</v>
      </c>
      <c r="AN1008" s="4">
        <v>0</v>
      </c>
      <c r="AO1008" s="4">
        <v>0</v>
      </c>
      <c r="AP1008" s="4">
        <v>12</v>
      </c>
      <c r="AQ1008" s="4">
        <v>46</v>
      </c>
      <c r="AR1008" s="3" t="s">
        <v>62</v>
      </c>
      <c r="AS1008" s="3" t="s">
        <v>62</v>
      </c>
      <c r="AT1008" s="3" t="s">
        <v>61</v>
      </c>
      <c r="AU1008" s="6" t="str">
        <f>HYPERLINK("http://catalog.hathitrust.org/Record/008314175","HathiTrust Record")</f>
        <v>HathiTrust Record</v>
      </c>
      <c r="AV1008" s="6" t="str">
        <f>HYPERLINK("http://mcgill.on.worldcat.org/oclc/58832074","Catalog Record")</f>
        <v>Catalog Record</v>
      </c>
      <c r="AW1008" s="6" t="str">
        <f>HYPERLINK("http://www.worldcat.org/oclc/58832074","WorldCat Record")</f>
        <v>WorldCat Record</v>
      </c>
      <c r="AX1008" s="3" t="s">
        <v>10140</v>
      </c>
      <c r="AY1008" s="3" t="s">
        <v>10141</v>
      </c>
      <c r="AZ1008" s="3" t="s">
        <v>10142</v>
      </c>
      <c r="BA1008" s="3" t="s">
        <v>10142</v>
      </c>
      <c r="BB1008" s="3" t="s">
        <v>10143</v>
      </c>
      <c r="BC1008" s="3" t="s">
        <v>102</v>
      </c>
      <c r="BD1008" s="3" t="s">
        <v>68</v>
      </c>
      <c r="BE1008" s="3" t="s">
        <v>10144</v>
      </c>
      <c r="BF1008" s="3" t="s">
        <v>10143</v>
      </c>
      <c r="BG1008" s="3" t="s">
        <v>10145</v>
      </c>
    </row>
    <row r="1009" spans="1:59" ht="58" x14ac:dyDescent="0.35">
      <c r="A1009" s="2" t="s">
        <v>89</v>
      </c>
      <c r="B1009" s="2" t="s">
        <v>90</v>
      </c>
      <c r="C1009" s="2" t="s">
        <v>10146</v>
      </c>
      <c r="D1009" s="2" t="s">
        <v>10147</v>
      </c>
      <c r="E1009" s="2" t="s">
        <v>10148</v>
      </c>
      <c r="G1009" s="3" t="s">
        <v>62</v>
      </c>
      <c r="I1009" s="3" t="s">
        <v>61</v>
      </c>
      <c r="J1009" s="3" t="s">
        <v>62</v>
      </c>
      <c r="K1009" s="3" t="s">
        <v>63</v>
      </c>
      <c r="L1009" s="2" t="s">
        <v>10149</v>
      </c>
      <c r="M1009" s="2" t="s">
        <v>10150</v>
      </c>
      <c r="N1009" s="3" t="s">
        <v>2924</v>
      </c>
      <c r="P1009" s="3" t="s">
        <v>64</v>
      </c>
      <c r="R1009" s="3" t="s">
        <v>65</v>
      </c>
      <c r="S1009" s="4">
        <v>5</v>
      </c>
      <c r="T1009" s="4">
        <v>21</v>
      </c>
      <c r="U1009" s="5" t="s">
        <v>10151</v>
      </c>
      <c r="V1009" s="5" t="s">
        <v>8039</v>
      </c>
      <c r="W1009" s="5" t="s">
        <v>67</v>
      </c>
      <c r="X1009" s="5" t="s">
        <v>67</v>
      </c>
      <c r="Y1009" s="4">
        <v>539</v>
      </c>
      <c r="Z1009" s="4">
        <v>32</v>
      </c>
      <c r="AA1009" s="4">
        <v>38</v>
      </c>
      <c r="AB1009" s="4">
        <v>3</v>
      </c>
      <c r="AC1009" s="4">
        <v>6</v>
      </c>
      <c r="AD1009" s="4">
        <v>119</v>
      </c>
      <c r="AE1009" s="4">
        <v>130</v>
      </c>
      <c r="AF1009" s="4">
        <v>1</v>
      </c>
      <c r="AG1009" s="4">
        <v>4</v>
      </c>
      <c r="AH1009" s="4">
        <v>98</v>
      </c>
      <c r="AI1009" s="4">
        <v>105</v>
      </c>
      <c r="AJ1009" s="4">
        <v>22</v>
      </c>
      <c r="AK1009" s="4">
        <v>25</v>
      </c>
      <c r="AL1009" s="4">
        <v>53</v>
      </c>
      <c r="AM1009" s="4">
        <v>57</v>
      </c>
      <c r="AN1009" s="4">
        <v>0</v>
      </c>
      <c r="AO1009" s="4">
        <v>0</v>
      </c>
      <c r="AP1009" s="4">
        <v>26</v>
      </c>
      <c r="AQ1009" s="4">
        <v>30</v>
      </c>
      <c r="AR1009" s="3" t="s">
        <v>62</v>
      </c>
      <c r="AS1009" s="3" t="s">
        <v>62</v>
      </c>
      <c r="AT1009" s="3" t="s">
        <v>61</v>
      </c>
      <c r="AU1009" s="6" t="str">
        <f>HYPERLINK("http://catalog.hathitrust.org/Record/001474834","HathiTrust Record")</f>
        <v>HathiTrust Record</v>
      </c>
      <c r="AV1009" s="6" t="str">
        <f>HYPERLINK("http://mcgill.on.worldcat.org/oclc/522914","Catalog Record")</f>
        <v>Catalog Record</v>
      </c>
      <c r="AW1009" s="6" t="str">
        <f>HYPERLINK("http://www.worldcat.org/oclc/522914","WorldCat Record")</f>
        <v>WorldCat Record</v>
      </c>
      <c r="AX1009" s="3" t="s">
        <v>10152</v>
      </c>
      <c r="AY1009" s="3" t="s">
        <v>10153</v>
      </c>
      <c r="AZ1009" s="3" t="s">
        <v>10154</v>
      </c>
      <c r="BA1009" s="3" t="s">
        <v>10154</v>
      </c>
      <c r="BB1009" s="3" t="s">
        <v>10155</v>
      </c>
      <c r="BC1009" s="3" t="s">
        <v>102</v>
      </c>
      <c r="BD1009" s="3" t="s">
        <v>68</v>
      </c>
      <c r="BF1009" s="3" t="s">
        <v>10155</v>
      </c>
      <c r="BG1009" s="3" t="s">
        <v>10156</v>
      </c>
    </row>
    <row r="1010" spans="1:59" ht="58" x14ac:dyDescent="0.35">
      <c r="A1010" s="2" t="s">
        <v>89</v>
      </c>
      <c r="B1010" s="2" t="s">
        <v>90</v>
      </c>
      <c r="C1010" s="2" t="s">
        <v>10146</v>
      </c>
      <c r="D1010" s="2" t="s">
        <v>10147</v>
      </c>
      <c r="E1010" s="2" t="s">
        <v>10148</v>
      </c>
      <c r="G1010" s="3" t="s">
        <v>62</v>
      </c>
      <c r="I1010" s="3" t="s">
        <v>61</v>
      </c>
      <c r="J1010" s="3" t="s">
        <v>62</v>
      </c>
      <c r="K1010" s="3" t="s">
        <v>63</v>
      </c>
      <c r="L1010" s="2" t="s">
        <v>10149</v>
      </c>
      <c r="M1010" s="2" t="s">
        <v>10150</v>
      </c>
      <c r="N1010" s="3" t="s">
        <v>2924</v>
      </c>
      <c r="P1010" s="3" t="s">
        <v>64</v>
      </c>
      <c r="R1010" s="3" t="s">
        <v>65</v>
      </c>
      <c r="S1010" s="4">
        <v>7</v>
      </c>
      <c r="T1010" s="4">
        <v>21</v>
      </c>
      <c r="U1010" s="5" t="s">
        <v>8039</v>
      </c>
      <c r="V1010" s="5" t="s">
        <v>8039</v>
      </c>
      <c r="W1010" s="5" t="s">
        <v>67</v>
      </c>
      <c r="X1010" s="5" t="s">
        <v>67</v>
      </c>
      <c r="Y1010" s="4">
        <v>539</v>
      </c>
      <c r="Z1010" s="4">
        <v>32</v>
      </c>
      <c r="AA1010" s="4">
        <v>38</v>
      </c>
      <c r="AB1010" s="4">
        <v>3</v>
      </c>
      <c r="AC1010" s="4">
        <v>6</v>
      </c>
      <c r="AD1010" s="4">
        <v>119</v>
      </c>
      <c r="AE1010" s="4">
        <v>130</v>
      </c>
      <c r="AF1010" s="4">
        <v>1</v>
      </c>
      <c r="AG1010" s="4">
        <v>4</v>
      </c>
      <c r="AH1010" s="4">
        <v>98</v>
      </c>
      <c r="AI1010" s="4">
        <v>105</v>
      </c>
      <c r="AJ1010" s="4">
        <v>22</v>
      </c>
      <c r="AK1010" s="4">
        <v>25</v>
      </c>
      <c r="AL1010" s="4">
        <v>53</v>
      </c>
      <c r="AM1010" s="4">
        <v>57</v>
      </c>
      <c r="AN1010" s="4">
        <v>0</v>
      </c>
      <c r="AO1010" s="4">
        <v>0</v>
      </c>
      <c r="AP1010" s="4">
        <v>26</v>
      </c>
      <c r="AQ1010" s="4">
        <v>30</v>
      </c>
      <c r="AR1010" s="3" t="s">
        <v>62</v>
      </c>
      <c r="AS1010" s="3" t="s">
        <v>62</v>
      </c>
      <c r="AT1010" s="3" t="s">
        <v>61</v>
      </c>
      <c r="AU1010" s="6" t="str">
        <f>HYPERLINK("http://catalog.hathitrust.org/Record/001474834","HathiTrust Record")</f>
        <v>HathiTrust Record</v>
      </c>
      <c r="AV1010" s="6" t="str">
        <f>HYPERLINK("http://mcgill.on.worldcat.org/oclc/522914","Catalog Record")</f>
        <v>Catalog Record</v>
      </c>
      <c r="AW1010" s="6" t="str">
        <f>HYPERLINK("http://www.worldcat.org/oclc/522914","WorldCat Record")</f>
        <v>WorldCat Record</v>
      </c>
      <c r="AX1010" s="3" t="s">
        <v>10152</v>
      </c>
      <c r="AY1010" s="3" t="s">
        <v>10153</v>
      </c>
      <c r="AZ1010" s="3" t="s">
        <v>10154</v>
      </c>
      <c r="BA1010" s="3" t="s">
        <v>10154</v>
      </c>
      <c r="BB1010" s="3" t="s">
        <v>10157</v>
      </c>
      <c r="BC1010" s="3" t="s">
        <v>102</v>
      </c>
      <c r="BD1010" s="3" t="s">
        <v>68</v>
      </c>
      <c r="BF1010" s="3" t="s">
        <v>10157</v>
      </c>
      <c r="BG1010" s="3" t="s">
        <v>10158</v>
      </c>
    </row>
    <row r="1011" spans="1:59" ht="58" x14ac:dyDescent="0.35">
      <c r="A1011" s="2" t="s">
        <v>89</v>
      </c>
      <c r="B1011" s="2" t="s">
        <v>90</v>
      </c>
      <c r="C1011" s="2" t="s">
        <v>10146</v>
      </c>
      <c r="D1011" s="2" t="s">
        <v>10147</v>
      </c>
      <c r="E1011" s="2" t="s">
        <v>10148</v>
      </c>
      <c r="G1011" s="3" t="s">
        <v>62</v>
      </c>
      <c r="I1011" s="3" t="s">
        <v>61</v>
      </c>
      <c r="J1011" s="3" t="s">
        <v>62</v>
      </c>
      <c r="K1011" s="3" t="s">
        <v>63</v>
      </c>
      <c r="L1011" s="2" t="s">
        <v>10149</v>
      </c>
      <c r="M1011" s="2" t="s">
        <v>10150</v>
      </c>
      <c r="N1011" s="3" t="s">
        <v>2924</v>
      </c>
      <c r="P1011" s="3" t="s">
        <v>64</v>
      </c>
      <c r="R1011" s="3" t="s">
        <v>65</v>
      </c>
      <c r="S1011" s="4">
        <v>9</v>
      </c>
      <c r="T1011" s="4">
        <v>21</v>
      </c>
      <c r="U1011" s="5" t="s">
        <v>10159</v>
      </c>
      <c r="V1011" s="5" t="s">
        <v>8039</v>
      </c>
      <c r="W1011" s="5" t="s">
        <v>67</v>
      </c>
      <c r="X1011" s="5" t="s">
        <v>67</v>
      </c>
      <c r="Y1011" s="4">
        <v>539</v>
      </c>
      <c r="Z1011" s="4">
        <v>32</v>
      </c>
      <c r="AA1011" s="4">
        <v>38</v>
      </c>
      <c r="AB1011" s="4">
        <v>3</v>
      </c>
      <c r="AC1011" s="4">
        <v>6</v>
      </c>
      <c r="AD1011" s="4">
        <v>119</v>
      </c>
      <c r="AE1011" s="4">
        <v>130</v>
      </c>
      <c r="AF1011" s="4">
        <v>1</v>
      </c>
      <c r="AG1011" s="4">
        <v>4</v>
      </c>
      <c r="AH1011" s="4">
        <v>98</v>
      </c>
      <c r="AI1011" s="4">
        <v>105</v>
      </c>
      <c r="AJ1011" s="4">
        <v>22</v>
      </c>
      <c r="AK1011" s="4">
        <v>25</v>
      </c>
      <c r="AL1011" s="4">
        <v>53</v>
      </c>
      <c r="AM1011" s="4">
        <v>57</v>
      </c>
      <c r="AN1011" s="4">
        <v>0</v>
      </c>
      <c r="AO1011" s="4">
        <v>0</v>
      </c>
      <c r="AP1011" s="4">
        <v>26</v>
      </c>
      <c r="AQ1011" s="4">
        <v>30</v>
      </c>
      <c r="AR1011" s="3" t="s">
        <v>62</v>
      </c>
      <c r="AS1011" s="3" t="s">
        <v>62</v>
      </c>
      <c r="AT1011" s="3" t="s">
        <v>61</v>
      </c>
      <c r="AU1011" s="6" t="str">
        <f>HYPERLINK("http://catalog.hathitrust.org/Record/001474834","HathiTrust Record")</f>
        <v>HathiTrust Record</v>
      </c>
      <c r="AV1011" s="6" t="str">
        <f>HYPERLINK("http://mcgill.on.worldcat.org/oclc/522914","Catalog Record")</f>
        <v>Catalog Record</v>
      </c>
      <c r="AW1011" s="6" t="str">
        <f>HYPERLINK("http://www.worldcat.org/oclc/522914","WorldCat Record")</f>
        <v>WorldCat Record</v>
      </c>
      <c r="AX1011" s="3" t="s">
        <v>10152</v>
      </c>
      <c r="AY1011" s="3" t="s">
        <v>10153</v>
      </c>
      <c r="AZ1011" s="3" t="s">
        <v>10154</v>
      </c>
      <c r="BA1011" s="3" t="s">
        <v>10154</v>
      </c>
      <c r="BB1011" s="3" t="s">
        <v>10160</v>
      </c>
      <c r="BC1011" s="3" t="s">
        <v>102</v>
      </c>
      <c r="BD1011" s="3" t="s">
        <v>68</v>
      </c>
      <c r="BF1011" s="3" t="s">
        <v>10160</v>
      </c>
      <c r="BG1011" s="3" t="s">
        <v>10161</v>
      </c>
    </row>
    <row r="1012" spans="1:59" ht="58" x14ac:dyDescent="0.35">
      <c r="A1012" s="2" t="s">
        <v>89</v>
      </c>
      <c r="B1012" s="2" t="s">
        <v>90</v>
      </c>
      <c r="C1012" s="2" t="s">
        <v>10162</v>
      </c>
      <c r="D1012" s="2" t="s">
        <v>10163</v>
      </c>
      <c r="E1012" s="2" t="s">
        <v>10164</v>
      </c>
      <c r="G1012" s="3" t="s">
        <v>62</v>
      </c>
      <c r="I1012" s="3" t="s">
        <v>61</v>
      </c>
      <c r="J1012" s="3" t="s">
        <v>62</v>
      </c>
      <c r="K1012" s="3" t="s">
        <v>63</v>
      </c>
      <c r="L1012" s="2" t="s">
        <v>10165</v>
      </c>
      <c r="M1012" s="2" t="s">
        <v>10166</v>
      </c>
      <c r="N1012" s="3" t="s">
        <v>186</v>
      </c>
      <c r="P1012" s="3" t="s">
        <v>64</v>
      </c>
      <c r="Q1012" s="2" t="s">
        <v>10167</v>
      </c>
      <c r="R1012" s="3" t="s">
        <v>65</v>
      </c>
      <c r="S1012" s="4">
        <v>1</v>
      </c>
      <c r="T1012" s="4">
        <v>1</v>
      </c>
      <c r="U1012" s="5" t="s">
        <v>10168</v>
      </c>
      <c r="V1012" s="5" t="s">
        <v>10168</v>
      </c>
      <c r="W1012" s="5" t="s">
        <v>67</v>
      </c>
      <c r="X1012" s="5" t="s">
        <v>67</v>
      </c>
      <c r="Y1012" s="4">
        <v>169</v>
      </c>
      <c r="Z1012" s="4">
        <v>11</v>
      </c>
      <c r="AA1012" s="4">
        <v>28</v>
      </c>
      <c r="AB1012" s="4">
        <v>2</v>
      </c>
      <c r="AC1012" s="4">
        <v>5</v>
      </c>
      <c r="AD1012" s="4">
        <v>68</v>
      </c>
      <c r="AE1012" s="4">
        <v>87</v>
      </c>
      <c r="AF1012" s="4">
        <v>1</v>
      </c>
      <c r="AG1012" s="4">
        <v>2</v>
      </c>
      <c r="AH1012" s="4">
        <v>62</v>
      </c>
      <c r="AI1012" s="4">
        <v>69</v>
      </c>
      <c r="AJ1012" s="4">
        <v>9</v>
      </c>
      <c r="AK1012" s="4">
        <v>14</v>
      </c>
      <c r="AL1012" s="4">
        <v>33</v>
      </c>
      <c r="AM1012" s="4">
        <v>39</v>
      </c>
      <c r="AN1012" s="4">
        <v>0</v>
      </c>
      <c r="AO1012" s="4">
        <v>0</v>
      </c>
      <c r="AP1012" s="4">
        <v>10</v>
      </c>
      <c r="AQ1012" s="4">
        <v>21</v>
      </c>
      <c r="AR1012" s="3" t="s">
        <v>62</v>
      </c>
      <c r="AS1012" s="3" t="s">
        <v>62</v>
      </c>
      <c r="AT1012" s="3" t="s">
        <v>61</v>
      </c>
      <c r="AU1012" s="6" t="str">
        <f>HYPERLINK("http://catalog.hathitrust.org/Record/000612674","HathiTrust Record")</f>
        <v>HathiTrust Record</v>
      </c>
      <c r="AV1012" s="6" t="str">
        <f>HYPERLINK("http://mcgill.on.worldcat.org/oclc/1679471","Catalog Record")</f>
        <v>Catalog Record</v>
      </c>
      <c r="AW1012" s="6" t="str">
        <f>HYPERLINK("http://www.worldcat.org/oclc/1679471","WorldCat Record")</f>
        <v>WorldCat Record</v>
      </c>
      <c r="AX1012" s="3" t="s">
        <v>10169</v>
      </c>
      <c r="AY1012" s="3" t="s">
        <v>10170</v>
      </c>
      <c r="AZ1012" s="3" t="s">
        <v>10171</v>
      </c>
      <c r="BA1012" s="3" t="s">
        <v>10171</v>
      </c>
      <c r="BB1012" s="3" t="s">
        <v>10172</v>
      </c>
      <c r="BC1012" s="3" t="s">
        <v>102</v>
      </c>
      <c r="BD1012" s="3" t="s">
        <v>68</v>
      </c>
      <c r="BE1012" s="3" t="s">
        <v>10173</v>
      </c>
      <c r="BF1012" s="3" t="s">
        <v>10172</v>
      </c>
      <c r="BG1012" s="3" t="s">
        <v>10174</v>
      </c>
    </row>
    <row r="1013" spans="1:59" ht="58" x14ac:dyDescent="0.35">
      <c r="A1013" s="2" t="s">
        <v>89</v>
      </c>
      <c r="B1013" s="2" t="s">
        <v>90</v>
      </c>
      <c r="C1013" s="2" t="s">
        <v>10175</v>
      </c>
      <c r="D1013" s="2" t="s">
        <v>10176</v>
      </c>
      <c r="E1013" s="2" t="s">
        <v>10177</v>
      </c>
      <c r="G1013" s="3" t="s">
        <v>62</v>
      </c>
      <c r="I1013" s="3" t="s">
        <v>61</v>
      </c>
      <c r="J1013" s="3" t="s">
        <v>61</v>
      </c>
      <c r="K1013" s="3" t="s">
        <v>63</v>
      </c>
      <c r="L1013" s="2" t="s">
        <v>10178</v>
      </c>
      <c r="M1013" s="2" t="s">
        <v>10179</v>
      </c>
      <c r="N1013" s="3" t="s">
        <v>640</v>
      </c>
      <c r="O1013" s="2" t="s">
        <v>2986</v>
      </c>
      <c r="P1013" s="3" t="s">
        <v>64</v>
      </c>
      <c r="R1013" s="3" t="s">
        <v>65</v>
      </c>
      <c r="S1013" s="4">
        <v>5</v>
      </c>
      <c r="T1013" s="4">
        <v>14</v>
      </c>
      <c r="U1013" s="5" t="s">
        <v>10180</v>
      </c>
      <c r="V1013" s="5" t="s">
        <v>1350</v>
      </c>
      <c r="W1013" s="5" t="s">
        <v>67</v>
      </c>
      <c r="X1013" s="5" t="s">
        <v>67</v>
      </c>
      <c r="Y1013" s="4">
        <v>446</v>
      </c>
      <c r="Z1013" s="4">
        <v>37</v>
      </c>
      <c r="AA1013" s="4">
        <v>71</v>
      </c>
      <c r="AB1013" s="4">
        <v>1</v>
      </c>
      <c r="AC1013" s="4">
        <v>14</v>
      </c>
      <c r="AD1013" s="4">
        <v>76</v>
      </c>
      <c r="AE1013" s="4">
        <v>129</v>
      </c>
      <c r="AF1013" s="4">
        <v>0</v>
      </c>
      <c r="AG1013" s="4">
        <v>6</v>
      </c>
      <c r="AH1013" s="4">
        <v>62</v>
      </c>
      <c r="AI1013" s="4">
        <v>96</v>
      </c>
      <c r="AJ1013" s="4">
        <v>15</v>
      </c>
      <c r="AK1013" s="4">
        <v>22</v>
      </c>
      <c r="AL1013" s="4">
        <v>24</v>
      </c>
      <c r="AM1013" s="4">
        <v>45</v>
      </c>
      <c r="AN1013" s="4">
        <v>0</v>
      </c>
      <c r="AO1013" s="4">
        <v>0</v>
      </c>
      <c r="AP1013" s="4">
        <v>25</v>
      </c>
      <c r="AQ1013" s="4">
        <v>43</v>
      </c>
      <c r="AR1013" s="3" t="s">
        <v>62</v>
      </c>
      <c r="AS1013" s="3" t="s">
        <v>62</v>
      </c>
      <c r="AT1013" s="3" t="s">
        <v>62</v>
      </c>
      <c r="AV1013" s="6" t="str">
        <f>HYPERLINK("http://mcgill.on.worldcat.org/oclc/53253895","Catalog Record")</f>
        <v>Catalog Record</v>
      </c>
      <c r="AW1013" s="6" t="str">
        <f>HYPERLINK("http://www.worldcat.org/oclc/53253895","WorldCat Record")</f>
        <v>WorldCat Record</v>
      </c>
      <c r="AX1013" s="3" t="s">
        <v>10181</v>
      </c>
      <c r="AY1013" s="3" t="s">
        <v>10182</v>
      </c>
      <c r="AZ1013" s="3" t="s">
        <v>10183</v>
      </c>
      <c r="BA1013" s="3" t="s">
        <v>10183</v>
      </c>
      <c r="BB1013" s="3" t="s">
        <v>10184</v>
      </c>
      <c r="BC1013" s="3" t="s">
        <v>102</v>
      </c>
      <c r="BD1013" s="3" t="s">
        <v>68</v>
      </c>
      <c r="BE1013" s="3" t="s">
        <v>10185</v>
      </c>
      <c r="BF1013" s="3" t="s">
        <v>10184</v>
      </c>
      <c r="BG1013" s="3" t="s">
        <v>10186</v>
      </c>
    </row>
    <row r="1014" spans="1:59" ht="58" x14ac:dyDescent="0.35">
      <c r="A1014" s="2" t="s">
        <v>89</v>
      </c>
      <c r="B1014" s="2" t="s">
        <v>90</v>
      </c>
      <c r="C1014" s="2" t="s">
        <v>10175</v>
      </c>
      <c r="D1014" s="2" t="s">
        <v>10176</v>
      </c>
      <c r="E1014" s="2" t="s">
        <v>10177</v>
      </c>
      <c r="G1014" s="3" t="s">
        <v>62</v>
      </c>
      <c r="I1014" s="3" t="s">
        <v>61</v>
      </c>
      <c r="J1014" s="3" t="s">
        <v>61</v>
      </c>
      <c r="K1014" s="3" t="s">
        <v>63</v>
      </c>
      <c r="L1014" s="2" t="s">
        <v>10178</v>
      </c>
      <c r="M1014" s="2" t="s">
        <v>10179</v>
      </c>
      <c r="N1014" s="3" t="s">
        <v>640</v>
      </c>
      <c r="O1014" s="2" t="s">
        <v>2986</v>
      </c>
      <c r="P1014" s="3" t="s">
        <v>64</v>
      </c>
      <c r="R1014" s="3" t="s">
        <v>65</v>
      </c>
      <c r="S1014" s="4">
        <v>9</v>
      </c>
      <c r="T1014" s="4">
        <v>14</v>
      </c>
      <c r="U1014" s="5" t="s">
        <v>1350</v>
      </c>
      <c r="V1014" s="5" t="s">
        <v>1350</v>
      </c>
      <c r="W1014" s="5" t="s">
        <v>67</v>
      </c>
      <c r="X1014" s="5" t="s">
        <v>67</v>
      </c>
      <c r="Y1014" s="4">
        <v>446</v>
      </c>
      <c r="Z1014" s="4">
        <v>37</v>
      </c>
      <c r="AA1014" s="4">
        <v>71</v>
      </c>
      <c r="AB1014" s="4">
        <v>1</v>
      </c>
      <c r="AC1014" s="4">
        <v>14</v>
      </c>
      <c r="AD1014" s="4">
        <v>76</v>
      </c>
      <c r="AE1014" s="4">
        <v>129</v>
      </c>
      <c r="AF1014" s="4">
        <v>0</v>
      </c>
      <c r="AG1014" s="4">
        <v>6</v>
      </c>
      <c r="AH1014" s="4">
        <v>62</v>
      </c>
      <c r="AI1014" s="4">
        <v>96</v>
      </c>
      <c r="AJ1014" s="4">
        <v>15</v>
      </c>
      <c r="AK1014" s="4">
        <v>22</v>
      </c>
      <c r="AL1014" s="4">
        <v>24</v>
      </c>
      <c r="AM1014" s="4">
        <v>45</v>
      </c>
      <c r="AN1014" s="4">
        <v>0</v>
      </c>
      <c r="AO1014" s="4">
        <v>0</v>
      </c>
      <c r="AP1014" s="4">
        <v>25</v>
      </c>
      <c r="AQ1014" s="4">
        <v>43</v>
      </c>
      <c r="AR1014" s="3" t="s">
        <v>62</v>
      </c>
      <c r="AS1014" s="3" t="s">
        <v>62</v>
      </c>
      <c r="AT1014" s="3" t="s">
        <v>62</v>
      </c>
      <c r="AV1014" s="6" t="str">
        <f>HYPERLINK("http://mcgill.on.worldcat.org/oclc/53253895","Catalog Record")</f>
        <v>Catalog Record</v>
      </c>
      <c r="AW1014" s="6" t="str">
        <f>HYPERLINK("http://www.worldcat.org/oclc/53253895","WorldCat Record")</f>
        <v>WorldCat Record</v>
      </c>
      <c r="AX1014" s="3" t="s">
        <v>10181</v>
      </c>
      <c r="AY1014" s="3" t="s">
        <v>10182</v>
      </c>
      <c r="AZ1014" s="3" t="s">
        <v>10183</v>
      </c>
      <c r="BA1014" s="3" t="s">
        <v>10183</v>
      </c>
      <c r="BB1014" s="3" t="s">
        <v>10187</v>
      </c>
      <c r="BC1014" s="3" t="s">
        <v>102</v>
      </c>
      <c r="BD1014" s="3" t="s">
        <v>68</v>
      </c>
      <c r="BE1014" s="3" t="s">
        <v>10185</v>
      </c>
      <c r="BF1014" s="3" t="s">
        <v>10187</v>
      </c>
      <c r="BG1014" s="3" t="s">
        <v>10188</v>
      </c>
    </row>
    <row r="1015" spans="1:59" ht="58" x14ac:dyDescent="0.35">
      <c r="A1015" s="2" t="s">
        <v>89</v>
      </c>
      <c r="B1015" s="2" t="s">
        <v>90</v>
      </c>
      <c r="C1015" s="2" t="s">
        <v>10189</v>
      </c>
      <c r="D1015" s="2" t="s">
        <v>10190</v>
      </c>
      <c r="E1015" s="2" t="s">
        <v>10191</v>
      </c>
      <c r="G1015" s="3" t="s">
        <v>62</v>
      </c>
      <c r="I1015" s="3" t="s">
        <v>62</v>
      </c>
      <c r="J1015" s="3" t="s">
        <v>62</v>
      </c>
      <c r="K1015" s="3" t="s">
        <v>63</v>
      </c>
      <c r="M1015" s="2" t="s">
        <v>10192</v>
      </c>
      <c r="N1015" s="3" t="s">
        <v>1038</v>
      </c>
      <c r="P1015" s="3" t="s">
        <v>64</v>
      </c>
      <c r="Q1015" s="2" t="s">
        <v>10193</v>
      </c>
      <c r="R1015" s="3" t="s">
        <v>65</v>
      </c>
      <c r="S1015" s="4">
        <v>0</v>
      </c>
      <c r="T1015" s="4">
        <v>0</v>
      </c>
      <c r="W1015" s="5" t="s">
        <v>67</v>
      </c>
      <c r="X1015" s="5" t="s">
        <v>67</v>
      </c>
      <c r="Y1015" s="4">
        <v>35</v>
      </c>
      <c r="Z1015" s="4">
        <v>3</v>
      </c>
      <c r="AA1015" s="4">
        <v>15</v>
      </c>
      <c r="AB1015" s="4">
        <v>1</v>
      </c>
      <c r="AC1015" s="4">
        <v>7</v>
      </c>
      <c r="AD1015" s="4">
        <v>16</v>
      </c>
      <c r="AE1015" s="4">
        <v>40</v>
      </c>
      <c r="AF1015" s="4">
        <v>0</v>
      </c>
      <c r="AG1015" s="4">
        <v>3</v>
      </c>
      <c r="AH1015" s="4">
        <v>16</v>
      </c>
      <c r="AI1015" s="4">
        <v>34</v>
      </c>
      <c r="AJ1015" s="4">
        <v>2</v>
      </c>
      <c r="AK1015" s="4">
        <v>9</v>
      </c>
      <c r="AL1015" s="4">
        <v>11</v>
      </c>
      <c r="AM1015" s="4">
        <v>20</v>
      </c>
      <c r="AN1015" s="4">
        <v>0</v>
      </c>
      <c r="AO1015" s="4">
        <v>0</v>
      </c>
      <c r="AP1015" s="4">
        <v>2</v>
      </c>
      <c r="AQ1015" s="4">
        <v>10</v>
      </c>
      <c r="AR1015" s="3" t="s">
        <v>62</v>
      </c>
      <c r="AS1015" s="3" t="s">
        <v>62</v>
      </c>
      <c r="AT1015" s="3" t="s">
        <v>62</v>
      </c>
      <c r="AV1015" s="6" t="str">
        <f>HYPERLINK("http://mcgill.on.worldcat.org/oclc/931649871","Catalog Record")</f>
        <v>Catalog Record</v>
      </c>
      <c r="AW1015" s="6" t="str">
        <f>HYPERLINK("http://www.worldcat.org/oclc/931649871","WorldCat Record")</f>
        <v>WorldCat Record</v>
      </c>
      <c r="AX1015" s="3" t="s">
        <v>10194</v>
      </c>
      <c r="AY1015" s="3" t="s">
        <v>10195</v>
      </c>
      <c r="AZ1015" s="3" t="s">
        <v>10196</v>
      </c>
      <c r="BA1015" s="3" t="s">
        <v>10196</v>
      </c>
      <c r="BB1015" s="3" t="s">
        <v>10197</v>
      </c>
      <c r="BC1015" s="3" t="s">
        <v>102</v>
      </c>
      <c r="BD1015" s="3" t="s">
        <v>68</v>
      </c>
      <c r="BE1015" s="3" t="s">
        <v>10198</v>
      </c>
      <c r="BF1015" s="3" t="s">
        <v>10197</v>
      </c>
      <c r="BG1015" s="3" t="s">
        <v>10199</v>
      </c>
    </row>
    <row r="1016" spans="1:59" ht="87" x14ac:dyDescent="0.35">
      <c r="A1016" s="2" t="s">
        <v>89</v>
      </c>
      <c r="B1016" s="2" t="s">
        <v>90</v>
      </c>
      <c r="C1016" s="2" t="s">
        <v>10200</v>
      </c>
      <c r="D1016" s="2" t="s">
        <v>10201</v>
      </c>
      <c r="E1016" s="2" t="s">
        <v>10202</v>
      </c>
      <c r="F1016" s="3" t="s">
        <v>10203</v>
      </c>
      <c r="G1016" s="3" t="s">
        <v>61</v>
      </c>
      <c r="I1016" s="3" t="s">
        <v>62</v>
      </c>
      <c r="J1016" s="3" t="s">
        <v>61</v>
      </c>
      <c r="K1016" s="3" t="s">
        <v>63</v>
      </c>
      <c r="M1016" s="2" t="s">
        <v>10204</v>
      </c>
      <c r="N1016" s="3" t="s">
        <v>1467</v>
      </c>
      <c r="P1016" s="3" t="s">
        <v>64</v>
      </c>
      <c r="Q1016" s="2" t="s">
        <v>10205</v>
      </c>
      <c r="R1016" s="3" t="s">
        <v>65</v>
      </c>
      <c r="S1016" s="4">
        <v>1</v>
      </c>
      <c r="T1016" s="4">
        <v>6</v>
      </c>
      <c r="U1016" s="5" t="s">
        <v>10206</v>
      </c>
      <c r="V1016" s="5" t="s">
        <v>6903</v>
      </c>
      <c r="W1016" s="5" t="s">
        <v>67</v>
      </c>
      <c r="X1016" s="5" t="s">
        <v>67</v>
      </c>
      <c r="Y1016" s="4">
        <v>28</v>
      </c>
      <c r="Z1016" s="4">
        <v>11</v>
      </c>
      <c r="AA1016" s="4">
        <v>15</v>
      </c>
      <c r="AB1016" s="4">
        <v>1</v>
      </c>
      <c r="AC1016" s="4">
        <v>4</v>
      </c>
      <c r="AD1016" s="4">
        <v>18</v>
      </c>
      <c r="AE1016" s="4">
        <v>23</v>
      </c>
      <c r="AF1016" s="4">
        <v>0</v>
      </c>
      <c r="AG1016" s="4">
        <v>3</v>
      </c>
      <c r="AH1016" s="4">
        <v>14</v>
      </c>
      <c r="AI1016" s="4">
        <v>16</v>
      </c>
      <c r="AJ1016" s="4">
        <v>9</v>
      </c>
      <c r="AK1016" s="4">
        <v>13</v>
      </c>
      <c r="AL1016" s="4">
        <v>6</v>
      </c>
      <c r="AM1016" s="4">
        <v>6</v>
      </c>
      <c r="AN1016" s="4">
        <v>0</v>
      </c>
      <c r="AO1016" s="4">
        <v>0</v>
      </c>
      <c r="AP1016" s="4">
        <v>8</v>
      </c>
      <c r="AQ1016" s="4">
        <v>11</v>
      </c>
      <c r="AR1016" s="3" t="s">
        <v>62</v>
      </c>
      <c r="AS1016" s="3" t="s">
        <v>62</v>
      </c>
      <c r="AT1016" s="3" t="s">
        <v>62</v>
      </c>
      <c r="AV1016" s="6" t="str">
        <f>HYPERLINK("http://mcgill.on.worldcat.org/oclc/61572639","Catalog Record")</f>
        <v>Catalog Record</v>
      </c>
      <c r="AW1016" s="6" t="str">
        <f>HYPERLINK("http://www.worldcat.org/oclc/61572639","WorldCat Record")</f>
        <v>WorldCat Record</v>
      </c>
      <c r="AX1016" s="3" t="s">
        <v>10207</v>
      </c>
      <c r="AY1016" s="3" t="s">
        <v>10208</v>
      </c>
      <c r="AZ1016" s="3" t="s">
        <v>10209</v>
      </c>
      <c r="BA1016" s="3" t="s">
        <v>10209</v>
      </c>
      <c r="BB1016" s="3" t="s">
        <v>10210</v>
      </c>
      <c r="BC1016" s="3" t="s">
        <v>102</v>
      </c>
      <c r="BD1016" s="3" t="s">
        <v>68</v>
      </c>
      <c r="BF1016" s="3" t="s">
        <v>10210</v>
      </c>
      <c r="BG1016" s="3" t="s">
        <v>10211</v>
      </c>
    </row>
    <row r="1017" spans="1:59" ht="58" x14ac:dyDescent="0.35">
      <c r="A1017" s="2" t="s">
        <v>89</v>
      </c>
      <c r="B1017" s="2" t="s">
        <v>90</v>
      </c>
      <c r="C1017" s="2" t="s">
        <v>10212</v>
      </c>
      <c r="D1017" s="2" t="s">
        <v>10213</v>
      </c>
      <c r="E1017" s="2" t="s">
        <v>10214</v>
      </c>
      <c r="G1017" s="3" t="s">
        <v>62</v>
      </c>
      <c r="I1017" s="3" t="s">
        <v>62</v>
      </c>
      <c r="J1017" s="3" t="s">
        <v>62</v>
      </c>
      <c r="K1017" s="3" t="s">
        <v>63</v>
      </c>
      <c r="M1017" s="2" t="s">
        <v>10215</v>
      </c>
      <c r="N1017" s="3" t="s">
        <v>893</v>
      </c>
      <c r="P1017" s="3" t="s">
        <v>64</v>
      </c>
      <c r="Q1017" s="2" t="s">
        <v>10216</v>
      </c>
      <c r="R1017" s="3" t="s">
        <v>65</v>
      </c>
      <c r="S1017" s="4">
        <v>1</v>
      </c>
      <c r="T1017" s="4">
        <v>1</v>
      </c>
      <c r="U1017" s="5" t="s">
        <v>10070</v>
      </c>
      <c r="V1017" s="5" t="s">
        <v>10070</v>
      </c>
      <c r="W1017" s="5" t="s">
        <v>67</v>
      </c>
      <c r="X1017" s="5" t="s">
        <v>67</v>
      </c>
      <c r="Y1017" s="4">
        <v>310</v>
      </c>
      <c r="Z1017" s="4">
        <v>18</v>
      </c>
      <c r="AA1017" s="4">
        <v>24</v>
      </c>
      <c r="AB1017" s="4">
        <v>1</v>
      </c>
      <c r="AC1017" s="4">
        <v>6</v>
      </c>
      <c r="AD1017" s="4">
        <v>87</v>
      </c>
      <c r="AE1017" s="4">
        <v>92</v>
      </c>
      <c r="AF1017" s="4">
        <v>0</v>
      </c>
      <c r="AG1017" s="4">
        <v>4</v>
      </c>
      <c r="AH1017" s="4">
        <v>74</v>
      </c>
      <c r="AI1017" s="4">
        <v>75</v>
      </c>
      <c r="AJ1017" s="4">
        <v>13</v>
      </c>
      <c r="AK1017" s="4">
        <v>16</v>
      </c>
      <c r="AL1017" s="4">
        <v>51</v>
      </c>
      <c r="AM1017" s="4">
        <v>51</v>
      </c>
      <c r="AN1017" s="4">
        <v>0</v>
      </c>
      <c r="AO1017" s="4">
        <v>0</v>
      </c>
      <c r="AP1017" s="4">
        <v>16</v>
      </c>
      <c r="AQ1017" s="4">
        <v>20</v>
      </c>
      <c r="AR1017" s="3" t="s">
        <v>62</v>
      </c>
      <c r="AS1017" s="3" t="s">
        <v>62</v>
      </c>
      <c r="AT1017" s="3" t="s">
        <v>61</v>
      </c>
      <c r="AU1017" s="6" t="str">
        <f>HYPERLINK("http://catalog.hathitrust.org/Record/000765110","HathiTrust Record")</f>
        <v>HathiTrust Record</v>
      </c>
      <c r="AV1017" s="6" t="str">
        <f>HYPERLINK("http://mcgill.on.worldcat.org/oclc/8171792","Catalog Record")</f>
        <v>Catalog Record</v>
      </c>
      <c r="AW1017" s="6" t="str">
        <f>HYPERLINK("http://www.worldcat.org/oclc/8171792","WorldCat Record")</f>
        <v>WorldCat Record</v>
      </c>
      <c r="AX1017" s="3" t="s">
        <v>10217</v>
      </c>
      <c r="AY1017" s="3" t="s">
        <v>10218</v>
      </c>
      <c r="AZ1017" s="3" t="s">
        <v>10219</v>
      </c>
      <c r="BA1017" s="3" t="s">
        <v>10219</v>
      </c>
      <c r="BB1017" s="3" t="s">
        <v>10220</v>
      </c>
      <c r="BC1017" s="3" t="s">
        <v>102</v>
      </c>
      <c r="BD1017" s="3" t="s">
        <v>68</v>
      </c>
      <c r="BE1017" s="3" t="s">
        <v>10221</v>
      </c>
      <c r="BF1017" s="3" t="s">
        <v>10220</v>
      </c>
      <c r="BG1017" s="3" t="s">
        <v>10222</v>
      </c>
    </row>
    <row r="1018" spans="1:59" ht="58" x14ac:dyDescent="0.35">
      <c r="A1018" s="2" t="s">
        <v>89</v>
      </c>
      <c r="B1018" s="2" t="s">
        <v>90</v>
      </c>
      <c r="C1018" s="2" t="s">
        <v>10223</v>
      </c>
      <c r="D1018" s="2" t="s">
        <v>10224</v>
      </c>
      <c r="E1018" s="2" t="s">
        <v>10225</v>
      </c>
      <c r="G1018" s="3" t="s">
        <v>62</v>
      </c>
      <c r="I1018" s="3" t="s">
        <v>62</v>
      </c>
      <c r="J1018" s="3" t="s">
        <v>62</v>
      </c>
      <c r="K1018" s="3" t="s">
        <v>63</v>
      </c>
      <c r="L1018" s="2" t="s">
        <v>10226</v>
      </c>
      <c r="M1018" s="2" t="s">
        <v>10227</v>
      </c>
      <c r="N1018" s="3" t="s">
        <v>129</v>
      </c>
      <c r="P1018" s="3" t="s">
        <v>85</v>
      </c>
      <c r="Q1018" s="2" t="s">
        <v>10228</v>
      </c>
      <c r="R1018" s="3" t="s">
        <v>65</v>
      </c>
      <c r="S1018" s="4">
        <v>0</v>
      </c>
      <c r="T1018" s="4">
        <v>0</v>
      </c>
      <c r="W1018" s="5" t="s">
        <v>67</v>
      </c>
      <c r="X1018" s="5" t="s">
        <v>67</v>
      </c>
      <c r="Y1018" s="4">
        <v>9</v>
      </c>
      <c r="Z1018" s="4">
        <v>3</v>
      </c>
      <c r="AA1018" s="4">
        <v>12</v>
      </c>
      <c r="AB1018" s="4">
        <v>1</v>
      </c>
      <c r="AC1018" s="4">
        <v>8</v>
      </c>
      <c r="AD1018" s="4">
        <v>4</v>
      </c>
      <c r="AE1018" s="4">
        <v>10</v>
      </c>
      <c r="AF1018" s="4">
        <v>0</v>
      </c>
      <c r="AG1018" s="4">
        <v>5</v>
      </c>
      <c r="AH1018" s="4">
        <v>4</v>
      </c>
      <c r="AI1018" s="4">
        <v>6</v>
      </c>
      <c r="AJ1018" s="4">
        <v>1</v>
      </c>
      <c r="AK1018" s="4">
        <v>6</v>
      </c>
      <c r="AL1018" s="4">
        <v>3</v>
      </c>
      <c r="AM1018" s="4">
        <v>3</v>
      </c>
      <c r="AN1018" s="4">
        <v>0</v>
      </c>
      <c r="AO1018" s="4">
        <v>0</v>
      </c>
      <c r="AP1018" s="4">
        <v>1</v>
      </c>
      <c r="AQ1018" s="4">
        <v>6</v>
      </c>
      <c r="AR1018" s="3" t="s">
        <v>62</v>
      </c>
      <c r="AS1018" s="3" t="s">
        <v>62</v>
      </c>
      <c r="AT1018" s="3" t="s">
        <v>62</v>
      </c>
      <c r="AV1018" s="6" t="str">
        <f>HYPERLINK("http://mcgill.on.worldcat.org/oclc/866803523","Catalog Record")</f>
        <v>Catalog Record</v>
      </c>
      <c r="AW1018" s="6" t="str">
        <f>HYPERLINK("http://www.worldcat.org/oclc/866803523","WorldCat Record")</f>
        <v>WorldCat Record</v>
      </c>
      <c r="AX1018" s="3" t="s">
        <v>10229</v>
      </c>
      <c r="AY1018" s="3" t="s">
        <v>10230</v>
      </c>
      <c r="AZ1018" s="3" t="s">
        <v>10231</v>
      </c>
      <c r="BA1018" s="3" t="s">
        <v>10231</v>
      </c>
      <c r="BB1018" s="3" t="s">
        <v>10232</v>
      </c>
      <c r="BC1018" s="3" t="s">
        <v>102</v>
      </c>
      <c r="BD1018" s="3" t="s">
        <v>68</v>
      </c>
      <c r="BE1018" s="3" t="s">
        <v>10233</v>
      </c>
      <c r="BF1018" s="3" t="s">
        <v>10232</v>
      </c>
      <c r="BG1018" s="3" t="s">
        <v>10234</v>
      </c>
    </row>
    <row r="1019" spans="1:59" ht="58" x14ac:dyDescent="0.35">
      <c r="A1019" s="2" t="s">
        <v>89</v>
      </c>
      <c r="B1019" s="2" t="s">
        <v>90</v>
      </c>
      <c r="C1019" s="2" t="s">
        <v>10235</v>
      </c>
      <c r="D1019" s="2" t="s">
        <v>10236</v>
      </c>
      <c r="E1019" s="2" t="s">
        <v>10237</v>
      </c>
      <c r="G1019" s="3" t="s">
        <v>62</v>
      </c>
      <c r="I1019" s="3" t="s">
        <v>62</v>
      </c>
      <c r="J1019" s="3" t="s">
        <v>62</v>
      </c>
      <c r="K1019" s="3" t="s">
        <v>63</v>
      </c>
      <c r="L1019" s="2" t="s">
        <v>10238</v>
      </c>
      <c r="M1019" s="2" t="s">
        <v>953</v>
      </c>
      <c r="N1019" s="3" t="s">
        <v>954</v>
      </c>
      <c r="P1019" s="3" t="s">
        <v>64</v>
      </c>
      <c r="R1019" s="3" t="s">
        <v>65</v>
      </c>
      <c r="S1019" s="4">
        <v>3</v>
      </c>
      <c r="T1019" s="4">
        <v>3</v>
      </c>
      <c r="U1019" s="5" t="s">
        <v>10239</v>
      </c>
      <c r="V1019" s="5" t="s">
        <v>10239</v>
      </c>
      <c r="W1019" s="5" t="s">
        <v>67</v>
      </c>
      <c r="X1019" s="5" t="s">
        <v>67</v>
      </c>
      <c r="Y1019" s="4">
        <v>799</v>
      </c>
      <c r="Z1019" s="4">
        <v>33</v>
      </c>
      <c r="AA1019" s="4">
        <v>36</v>
      </c>
      <c r="AB1019" s="4">
        <v>2</v>
      </c>
      <c r="AC1019" s="4">
        <v>4</v>
      </c>
      <c r="AD1019" s="4">
        <v>120</v>
      </c>
      <c r="AE1019" s="4">
        <v>125</v>
      </c>
      <c r="AF1019" s="4">
        <v>1</v>
      </c>
      <c r="AG1019" s="4">
        <v>3</v>
      </c>
      <c r="AH1019" s="4">
        <v>99</v>
      </c>
      <c r="AI1019" s="4">
        <v>102</v>
      </c>
      <c r="AJ1019" s="4">
        <v>21</v>
      </c>
      <c r="AK1019" s="4">
        <v>23</v>
      </c>
      <c r="AL1019" s="4">
        <v>54</v>
      </c>
      <c r="AM1019" s="4">
        <v>54</v>
      </c>
      <c r="AN1019" s="4">
        <v>0</v>
      </c>
      <c r="AO1019" s="4">
        <v>0</v>
      </c>
      <c r="AP1019" s="4">
        <v>26</v>
      </c>
      <c r="AQ1019" s="4">
        <v>28</v>
      </c>
      <c r="AR1019" s="3" t="s">
        <v>62</v>
      </c>
      <c r="AS1019" s="3" t="s">
        <v>62</v>
      </c>
      <c r="AT1019" s="3" t="s">
        <v>61</v>
      </c>
      <c r="AU1019" s="6" t="str">
        <f>HYPERLINK("http://catalog.hathitrust.org/Record/001474854","HathiTrust Record")</f>
        <v>HathiTrust Record</v>
      </c>
      <c r="AV1019" s="6" t="str">
        <f>HYPERLINK("http://mcgill.on.worldcat.org/oclc/523693","Catalog Record")</f>
        <v>Catalog Record</v>
      </c>
      <c r="AW1019" s="6" t="str">
        <f>HYPERLINK("http://www.worldcat.org/oclc/523693","WorldCat Record")</f>
        <v>WorldCat Record</v>
      </c>
      <c r="AX1019" s="3" t="s">
        <v>10240</v>
      </c>
      <c r="AY1019" s="3" t="s">
        <v>10241</v>
      </c>
      <c r="AZ1019" s="3" t="s">
        <v>10242</v>
      </c>
      <c r="BA1019" s="3" t="s">
        <v>10242</v>
      </c>
      <c r="BB1019" s="3" t="s">
        <v>10243</v>
      </c>
      <c r="BC1019" s="3" t="s">
        <v>102</v>
      </c>
      <c r="BD1019" s="3" t="s">
        <v>68</v>
      </c>
      <c r="BF1019" s="3" t="s">
        <v>10243</v>
      </c>
      <c r="BG1019" s="3" t="s">
        <v>10244</v>
      </c>
    </row>
    <row r="1020" spans="1:59" ht="58" x14ac:dyDescent="0.35">
      <c r="A1020" s="2" t="s">
        <v>89</v>
      </c>
      <c r="B1020" s="2" t="s">
        <v>90</v>
      </c>
      <c r="C1020" s="2" t="s">
        <v>10245</v>
      </c>
      <c r="D1020" s="2" t="s">
        <v>10246</v>
      </c>
      <c r="E1020" s="2" t="s">
        <v>10247</v>
      </c>
      <c r="G1020" s="3" t="s">
        <v>62</v>
      </c>
      <c r="I1020" s="3" t="s">
        <v>62</v>
      </c>
      <c r="J1020" s="3" t="s">
        <v>62</v>
      </c>
      <c r="K1020" s="3" t="s">
        <v>63</v>
      </c>
      <c r="L1020" s="2" t="s">
        <v>10248</v>
      </c>
      <c r="M1020" s="2" t="s">
        <v>10249</v>
      </c>
      <c r="N1020" s="3" t="s">
        <v>2110</v>
      </c>
      <c r="P1020" s="3" t="s">
        <v>64</v>
      </c>
      <c r="R1020" s="3" t="s">
        <v>65</v>
      </c>
      <c r="S1020" s="4">
        <v>24</v>
      </c>
      <c r="T1020" s="4">
        <v>24</v>
      </c>
      <c r="U1020" s="5" t="s">
        <v>10250</v>
      </c>
      <c r="V1020" s="5" t="s">
        <v>10250</v>
      </c>
      <c r="W1020" s="5" t="s">
        <v>67</v>
      </c>
      <c r="X1020" s="5" t="s">
        <v>67</v>
      </c>
      <c r="Y1020" s="4">
        <v>132</v>
      </c>
      <c r="Z1020" s="4">
        <v>61</v>
      </c>
      <c r="AA1020" s="4">
        <v>66</v>
      </c>
      <c r="AB1020" s="4">
        <v>2</v>
      </c>
      <c r="AC1020" s="4">
        <v>6</v>
      </c>
      <c r="AD1020" s="4">
        <v>68</v>
      </c>
      <c r="AE1020" s="4">
        <v>71</v>
      </c>
      <c r="AF1020" s="4">
        <v>1</v>
      </c>
      <c r="AG1020" s="4">
        <v>4</v>
      </c>
      <c r="AH1020" s="4">
        <v>41</v>
      </c>
      <c r="AI1020" s="4">
        <v>42</v>
      </c>
      <c r="AJ1020" s="4">
        <v>25</v>
      </c>
      <c r="AK1020" s="4">
        <v>28</v>
      </c>
      <c r="AL1020" s="4">
        <v>20</v>
      </c>
      <c r="AM1020" s="4">
        <v>20</v>
      </c>
      <c r="AN1020" s="4">
        <v>1</v>
      </c>
      <c r="AO1020" s="4">
        <v>1</v>
      </c>
      <c r="AP1020" s="4">
        <v>36</v>
      </c>
      <c r="AQ1020" s="4">
        <v>38</v>
      </c>
      <c r="AR1020" s="3" t="s">
        <v>61</v>
      </c>
      <c r="AS1020" s="3" t="s">
        <v>62</v>
      </c>
      <c r="AT1020" s="3" t="s">
        <v>61</v>
      </c>
      <c r="AU1020" s="6" t="str">
        <f>HYPERLINK("http://catalog.hathitrust.org/Record/000258682","HathiTrust Record")</f>
        <v>HathiTrust Record</v>
      </c>
      <c r="AV1020" s="6" t="str">
        <f>HYPERLINK("http://mcgill.on.worldcat.org/oclc/4570147","Catalog Record")</f>
        <v>Catalog Record</v>
      </c>
      <c r="AW1020" s="6" t="str">
        <f>HYPERLINK("http://www.worldcat.org/oclc/4570147","WorldCat Record")</f>
        <v>WorldCat Record</v>
      </c>
      <c r="AX1020" s="3" t="s">
        <v>10251</v>
      </c>
      <c r="AY1020" s="3" t="s">
        <v>10252</v>
      </c>
      <c r="AZ1020" s="3" t="s">
        <v>10253</v>
      </c>
      <c r="BA1020" s="3" t="s">
        <v>10253</v>
      </c>
      <c r="BB1020" s="3" t="s">
        <v>10254</v>
      </c>
      <c r="BC1020" s="3" t="s">
        <v>102</v>
      </c>
      <c r="BD1020" s="3" t="s">
        <v>68</v>
      </c>
      <c r="BE1020" s="3" t="s">
        <v>10255</v>
      </c>
      <c r="BF1020" s="3" t="s">
        <v>10254</v>
      </c>
      <c r="BG1020" s="3" t="s">
        <v>10256</v>
      </c>
    </row>
    <row r="1021" spans="1:59" ht="58" x14ac:dyDescent="0.35">
      <c r="A1021" s="2" t="s">
        <v>89</v>
      </c>
      <c r="B1021" s="2" t="s">
        <v>90</v>
      </c>
      <c r="C1021" s="2" t="s">
        <v>10257</v>
      </c>
      <c r="D1021" s="2" t="s">
        <v>10258</v>
      </c>
      <c r="E1021" s="2" t="s">
        <v>10259</v>
      </c>
      <c r="G1021" s="3" t="s">
        <v>62</v>
      </c>
      <c r="I1021" s="3" t="s">
        <v>61</v>
      </c>
      <c r="J1021" s="3" t="s">
        <v>62</v>
      </c>
      <c r="K1021" s="3" t="s">
        <v>63</v>
      </c>
      <c r="L1021" s="2" t="s">
        <v>10260</v>
      </c>
      <c r="M1021" s="2" t="s">
        <v>10261</v>
      </c>
      <c r="N1021" s="3" t="s">
        <v>2110</v>
      </c>
      <c r="P1021" s="3" t="s">
        <v>64</v>
      </c>
      <c r="R1021" s="3" t="s">
        <v>65</v>
      </c>
      <c r="S1021" s="4">
        <v>2</v>
      </c>
      <c r="T1021" s="4">
        <v>2</v>
      </c>
      <c r="U1021" s="5" t="s">
        <v>10262</v>
      </c>
      <c r="V1021" s="5" t="s">
        <v>10262</v>
      </c>
      <c r="W1021" s="5" t="s">
        <v>67</v>
      </c>
      <c r="X1021" s="5" t="s">
        <v>67</v>
      </c>
      <c r="Y1021" s="4">
        <v>6</v>
      </c>
      <c r="Z1021" s="4">
        <v>6</v>
      </c>
      <c r="AA1021" s="4">
        <v>8</v>
      </c>
      <c r="AB1021" s="4">
        <v>1</v>
      </c>
      <c r="AC1021" s="4">
        <v>2</v>
      </c>
      <c r="AD1021" s="4">
        <v>5</v>
      </c>
      <c r="AE1021" s="4">
        <v>7</v>
      </c>
      <c r="AF1021" s="4">
        <v>0</v>
      </c>
      <c r="AG1021" s="4">
        <v>1</v>
      </c>
      <c r="AH1021" s="4">
        <v>3</v>
      </c>
      <c r="AI1021" s="4">
        <v>3</v>
      </c>
      <c r="AJ1021" s="4">
        <v>4</v>
      </c>
      <c r="AK1021" s="4">
        <v>5</v>
      </c>
      <c r="AL1021" s="4">
        <v>0</v>
      </c>
      <c r="AM1021" s="4">
        <v>0</v>
      </c>
      <c r="AN1021" s="4">
        <v>0</v>
      </c>
      <c r="AO1021" s="4">
        <v>0</v>
      </c>
      <c r="AP1021" s="4">
        <v>5</v>
      </c>
      <c r="AQ1021" s="4">
        <v>7</v>
      </c>
      <c r="AR1021" s="3" t="s">
        <v>61</v>
      </c>
      <c r="AS1021" s="3" t="s">
        <v>62</v>
      </c>
      <c r="AT1021" s="3" t="s">
        <v>62</v>
      </c>
      <c r="AV1021" s="6" t="str">
        <f>HYPERLINK("http://mcgill.on.worldcat.org/oclc/61572369","Catalog Record")</f>
        <v>Catalog Record</v>
      </c>
      <c r="AW1021" s="6" t="str">
        <f>HYPERLINK("http://www.worldcat.org/oclc/61572369","WorldCat Record")</f>
        <v>WorldCat Record</v>
      </c>
      <c r="AX1021" s="3" t="s">
        <v>10263</v>
      </c>
      <c r="AY1021" s="3" t="s">
        <v>10264</v>
      </c>
      <c r="AZ1021" s="3" t="s">
        <v>10265</v>
      </c>
      <c r="BA1021" s="3" t="s">
        <v>10265</v>
      </c>
      <c r="BB1021" s="3" t="s">
        <v>10266</v>
      </c>
      <c r="BC1021" s="3" t="s">
        <v>102</v>
      </c>
      <c r="BD1021" s="3" t="s">
        <v>68</v>
      </c>
      <c r="BF1021" s="3" t="s">
        <v>10266</v>
      </c>
      <c r="BG1021" s="3" t="s">
        <v>10267</v>
      </c>
    </row>
    <row r="1022" spans="1:59" ht="58" x14ac:dyDescent="0.35">
      <c r="A1022" s="2" t="s">
        <v>89</v>
      </c>
      <c r="B1022" s="2" t="s">
        <v>90</v>
      </c>
      <c r="C1022" s="2" t="s">
        <v>10268</v>
      </c>
      <c r="D1022" s="2" t="s">
        <v>10269</v>
      </c>
      <c r="E1022" s="2" t="s">
        <v>10270</v>
      </c>
      <c r="G1022" s="3" t="s">
        <v>62</v>
      </c>
      <c r="I1022" s="3" t="s">
        <v>61</v>
      </c>
      <c r="J1022" s="3" t="s">
        <v>62</v>
      </c>
      <c r="K1022" s="3" t="s">
        <v>63</v>
      </c>
      <c r="L1022" s="2" t="s">
        <v>10271</v>
      </c>
      <c r="M1022" s="2" t="s">
        <v>10272</v>
      </c>
      <c r="N1022" s="3" t="s">
        <v>1576</v>
      </c>
      <c r="P1022" s="3" t="s">
        <v>64</v>
      </c>
      <c r="R1022" s="3" t="s">
        <v>65</v>
      </c>
      <c r="S1022" s="4">
        <v>6</v>
      </c>
      <c r="T1022" s="4">
        <v>8</v>
      </c>
      <c r="U1022" s="5" t="s">
        <v>10250</v>
      </c>
      <c r="V1022" s="5" t="s">
        <v>10250</v>
      </c>
      <c r="W1022" s="5" t="s">
        <v>67</v>
      </c>
      <c r="X1022" s="5" t="s">
        <v>67</v>
      </c>
      <c r="Y1022" s="4">
        <v>186</v>
      </c>
      <c r="Z1022" s="4">
        <v>50</v>
      </c>
      <c r="AA1022" s="4">
        <v>65</v>
      </c>
      <c r="AB1022" s="4">
        <v>3</v>
      </c>
      <c r="AC1022" s="4">
        <v>9</v>
      </c>
      <c r="AD1022" s="4">
        <v>98</v>
      </c>
      <c r="AE1022" s="4">
        <v>104</v>
      </c>
      <c r="AF1022" s="4">
        <v>1</v>
      </c>
      <c r="AG1022" s="4">
        <v>4</v>
      </c>
      <c r="AH1022" s="4">
        <v>71</v>
      </c>
      <c r="AI1022" s="4">
        <v>73</v>
      </c>
      <c r="AJ1022" s="4">
        <v>25</v>
      </c>
      <c r="AK1022" s="4">
        <v>28</v>
      </c>
      <c r="AL1022" s="4">
        <v>37</v>
      </c>
      <c r="AM1022" s="4">
        <v>38</v>
      </c>
      <c r="AN1022" s="4">
        <v>0</v>
      </c>
      <c r="AO1022" s="4">
        <v>0</v>
      </c>
      <c r="AP1022" s="4">
        <v>33</v>
      </c>
      <c r="AQ1022" s="4">
        <v>37</v>
      </c>
      <c r="AR1022" s="3" t="s">
        <v>61</v>
      </c>
      <c r="AS1022" s="3" t="s">
        <v>62</v>
      </c>
      <c r="AT1022" s="3" t="s">
        <v>61</v>
      </c>
      <c r="AU1022" s="6" t="str">
        <f>HYPERLINK("http://catalog.hathitrust.org/Record/001474863","HathiTrust Record")</f>
        <v>HathiTrust Record</v>
      </c>
      <c r="AV1022" s="6" t="str">
        <f>HYPERLINK("http://mcgill.on.worldcat.org/oclc/523687","Catalog Record")</f>
        <v>Catalog Record</v>
      </c>
      <c r="AW1022" s="6" t="str">
        <f>HYPERLINK("http://www.worldcat.org/oclc/523687","WorldCat Record")</f>
        <v>WorldCat Record</v>
      </c>
      <c r="AX1022" s="3" t="s">
        <v>10273</v>
      </c>
      <c r="AY1022" s="3" t="s">
        <v>10274</v>
      </c>
      <c r="AZ1022" s="3" t="s">
        <v>10275</v>
      </c>
      <c r="BA1022" s="3" t="s">
        <v>10275</v>
      </c>
      <c r="BB1022" s="3" t="s">
        <v>10276</v>
      </c>
      <c r="BC1022" s="3" t="s">
        <v>102</v>
      </c>
      <c r="BD1022" s="3" t="s">
        <v>68</v>
      </c>
      <c r="BE1022" s="3" t="s">
        <v>10277</v>
      </c>
      <c r="BF1022" s="3" t="s">
        <v>10276</v>
      </c>
      <c r="BG1022" s="3" t="s">
        <v>10278</v>
      </c>
    </row>
    <row r="1023" spans="1:59" ht="58" x14ac:dyDescent="0.35">
      <c r="A1023" s="2" t="s">
        <v>89</v>
      </c>
      <c r="B1023" s="2" t="s">
        <v>90</v>
      </c>
      <c r="C1023" s="2" t="s">
        <v>10279</v>
      </c>
      <c r="D1023" s="2" t="s">
        <v>10280</v>
      </c>
      <c r="E1023" s="2" t="s">
        <v>10281</v>
      </c>
      <c r="G1023" s="3" t="s">
        <v>62</v>
      </c>
      <c r="I1023" s="3" t="s">
        <v>62</v>
      </c>
      <c r="J1023" s="3" t="s">
        <v>62</v>
      </c>
      <c r="K1023" s="3" t="s">
        <v>63</v>
      </c>
      <c r="L1023" s="2" t="s">
        <v>10282</v>
      </c>
      <c r="M1023" s="2" t="s">
        <v>10283</v>
      </c>
      <c r="N1023" s="3" t="s">
        <v>726</v>
      </c>
      <c r="P1023" s="3" t="s">
        <v>64</v>
      </c>
      <c r="Q1023" s="2" t="s">
        <v>10284</v>
      </c>
      <c r="R1023" s="3" t="s">
        <v>65</v>
      </c>
      <c r="S1023" s="4">
        <v>0</v>
      </c>
      <c r="T1023" s="4">
        <v>0</v>
      </c>
      <c r="W1023" s="5" t="s">
        <v>67</v>
      </c>
      <c r="X1023" s="5" t="s">
        <v>67</v>
      </c>
      <c r="Y1023" s="4">
        <v>79</v>
      </c>
      <c r="Z1023" s="4">
        <v>19</v>
      </c>
      <c r="AA1023" s="4">
        <v>84</v>
      </c>
      <c r="AB1023" s="4">
        <v>5</v>
      </c>
      <c r="AC1023" s="4">
        <v>17</v>
      </c>
      <c r="AD1023" s="4">
        <v>43</v>
      </c>
      <c r="AE1023" s="4">
        <v>104</v>
      </c>
      <c r="AF1023" s="4">
        <v>2</v>
      </c>
      <c r="AG1023" s="4">
        <v>8</v>
      </c>
      <c r="AH1023" s="4">
        <v>33</v>
      </c>
      <c r="AI1023" s="4">
        <v>68</v>
      </c>
      <c r="AJ1023" s="4">
        <v>13</v>
      </c>
      <c r="AK1023" s="4">
        <v>25</v>
      </c>
      <c r="AL1023" s="4">
        <v>21</v>
      </c>
      <c r="AM1023" s="4">
        <v>36</v>
      </c>
      <c r="AN1023" s="4">
        <v>0</v>
      </c>
      <c r="AO1023" s="4">
        <v>0</v>
      </c>
      <c r="AP1023" s="4">
        <v>14</v>
      </c>
      <c r="AQ1023" s="4">
        <v>44</v>
      </c>
      <c r="AR1023" s="3" t="s">
        <v>61</v>
      </c>
      <c r="AS1023" s="3" t="s">
        <v>62</v>
      </c>
      <c r="AT1023" s="3" t="s">
        <v>62</v>
      </c>
      <c r="AV1023" s="6" t="str">
        <f>HYPERLINK("http://mcgill.on.worldcat.org/oclc/985688201","Catalog Record")</f>
        <v>Catalog Record</v>
      </c>
      <c r="AW1023" s="6" t="str">
        <f>HYPERLINK("http://www.worldcat.org/oclc/985688201","WorldCat Record")</f>
        <v>WorldCat Record</v>
      </c>
      <c r="AX1023" s="3" t="s">
        <v>10285</v>
      </c>
      <c r="AY1023" s="3" t="s">
        <v>10286</v>
      </c>
      <c r="AZ1023" s="3" t="s">
        <v>10287</v>
      </c>
      <c r="BA1023" s="3" t="s">
        <v>10287</v>
      </c>
      <c r="BB1023" s="3" t="s">
        <v>10288</v>
      </c>
      <c r="BC1023" s="3" t="s">
        <v>102</v>
      </c>
      <c r="BD1023" s="3" t="s">
        <v>68</v>
      </c>
      <c r="BE1023" s="3" t="s">
        <v>10289</v>
      </c>
      <c r="BF1023" s="3" t="s">
        <v>10288</v>
      </c>
      <c r="BG1023" s="3" t="s">
        <v>10290</v>
      </c>
    </row>
    <row r="1024" spans="1:59" ht="58" x14ac:dyDescent="0.35">
      <c r="A1024" s="2" t="s">
        <v>59</v>
      </c>
      <c r="B1024" s="2" t="s">
        <v>60</v>
      </c>
      <c r="C1024" s="2" t="s">
        <v>10291</v>
      </c>
      <c r="D1024" s="2" t="s">
        <v>10292</v>
      </c>
      <c r="E1024" s="2" t="s">
        <v>10293</v>
      </c>
      <c r="G1024" s="3" t="s">
        <v>62</v>
      </c>
      <c r="I1024" s="3" t="s">
        <v>61</v>
      </c>
      <c r="J1024" s="3" t="s">
        <v>61</v>
      </c>
      <c r="K1024" s="3" t="s">
        <v>63</v>
      </c>
      <c r="L1024" s="2" t="s">
        <v>10294</v>
      </c>
      <c r="M1024" s="2" t="s">
        <v>10295</v>
      </c>
      <c r="N1024" s="3" t="s">
        <v>7359</v>
      </c>
      <c r="P1024" s="3" t="s">
        <v>64</v>
      </c>
      <c r="Q1024" s="2" t="s">
        <v>10296</v>
      </c>
      <c r="R1024" s="3" t="s">
        <v>65</v>
      </c>
      <c r="S1024" s="4">
        <v>0</v>
      </c>
      <c r="T1024" s="4">
        <v>11</v>
      </c>
      <c r="V1024" s="5" t="s">
        <v>7495</v>
      </c>
      <c r="W1024" s="5" t="s">
        <v>67</v>
      </c>
      <c r="X1024" s="5" t="s">
        <v>67</v>
      </c>
      <c r="Y1024" s="4">
        <v>381</v>
      </c>
      <c r="Z1024" s="4">
        <v>17</v>
      </c>
      <c r="AA1024" s="4">
        <v>84</v>
      </c>
      <c r="AB1024" s="4">
        <v>3</v>
      </c>
      <c r="AC1024" s="4">
        <v>18</v>
      </c>
      <c r="AD1024" s="4">
        <v>100</v>
      </c>
      <c r="AE1024" s="4">
        <v>164</v>
      </c>
      <c r="AF1024" s="4">
        <v>0</v>
      </c>
      <c r="AG1024" s="4">
        <v>8</v>
      </c>
      <c r="AH1024" s="4">
        <v>92</v>
      </c>
      <c r="AI1024" s="4">
        <v>117</v>
      </c>
      <c r="AJ1024" s="4">
        <v>9</v>
      </c>
      <c r="AK1024" s="4">
        <v>30</v>
      </c>
      <c r="AL1024" s="4">
        <v>54</v>
      </c>
      <c r="AM1024" s="4">
        <v>63</v>
      </c>
      <c r="AN1024" s="4">
        <v>0</v>
      </c>
      <c r="AO1024" s="4">
        <v>5</v>
      </c>
      <c r="AP1024" s="4">
        <v>10</v>
      </c>
      <c r="AQ1024" s="4">
        <v>49</v>
      </c>
      <c r="AR1024" s="3" t="s">
        <v>62</v>
      </c>
      <c r="AS1024" s="3" t="s">
        <v>62</v>
      </c>
      <c r="AT1024" s="3" t="s">
        <v>61</v>
      </c>
      <c r="AU1024" s="6" t="str">
        <f>HYPERLINK("http://catalog.hathitrust.org/Record/000358167","HathiTrust Record")</f>
        <v>HathiTrust Record</v>
      </c>
      <c r="AV1024" s="6" t="str">
        <f>HYPERLINK("http://mcgill.on.worldcat.org/oclc/665897","Catalog Record")</f>
        <v>Catalog Record</v>
      </c>
      <c r="AW1024" s="6" t="str">
        <f>HYPERLINK("http://www.worldcat.org/oclc/665897","WorldCat Record")</f>
        <v>WorldCat Record</v>
      </c>
      <c r="AX1024" s="3" t="s">
        <v>10297</v>
      </c>
      <c r="AY1024" s="3" t="s">
        <v>10298</v>
      </c>
      <c r="AZ1024" s="3" t="s">
        <v>10299</v>
      </c>
      <c r="BA1024" s="3" t="s">
        <v>10299</v>
      </c>
      <c r="BB1024" s="3" t="s">
        <v>10300</v>
      </c>
      <c r="BC1024" s="3" t="s">
        <v>102</v>
      </c>
      <c r="BD1024" s="3" t="s">
        <v>68</v>
      </c>
      <c r="BF1024" s="3" t="s">
        <v>10300</v>
      </c>
      <c r="BG1024" s="3" t="s">
        <v>10301</v>
      </c>
    </row>
    <row r="1025" spans="1:59" ht="58" x14ac:dyDescent="0.35">
      <c r="A1025" s="2" t="s">
        <v>89</v>
      </c>
      <c r="B1025" s="2" t="s">
        <v>90</v>
      </c>
      <c r="C1025" s="2" t="s">
        <v>10302</v>
      </c>
      <c r="D1025" s="2" t="s">
        <v>10303</v>
      </c>
      <c r="E1025" s="2" t="s">
        <v>10304</v>
      </c>
      <c r="G1025" s="3" t="s">
        <v>62</v>
      </c>
      <c r="I1025" s="3" t="s">
        <v>62</v>
      </c>
      <c r="J1025" s="3" t="s">
        <v>62</v>
      </c>
      <c r="K1025" s="3" t="s">
        <v>63</v>
      </c>
      <c r="M1025" s="2" t="s">
        <v>10305</v>
      </c>
      <c r="N1025" s="3" t="s">
        <v>1195</v>
      </c>
      <c r="P1025" s="3" t="s">
        <v>1881</v>
      </c>
      <c r="Q1025" s="2" t="s">
        <v>10306</v>
      </c>
      <c r="R1025" s="3" t="s">
        <v>65</v>
      </c>
      <c r="S1025" s="4">
        <v>1</v>
      </c>
      <c r="T1025" s="4">
        <v>1</v>
      </c>
      <c r="U1025" s="5" t="s">
        <v>10307</v>
      </c>
      <c r="V1025" s="5" t="s">
        <v>10307</v>
      </c>
      <c r="W1025" s="5" t="s">
        <v>67</v>
      </c>
      <c r="X1025" s="5" t="s">
        <v>67</v>
      </c>
      <c r="Y1025" s="4">
        <v>73</v>
      </c>
      <c r="Z1025" s="4">
        <v>2</v>
      </c>
      <c r="AA1025" s="4">
        <v>2</v>
      </c>
      <c r="AB1025" s="4">
        <v>2</v>
      </c>
      <c r="AC1025" s="4">
        <v>2</v>
      </c>
      <c r="AD1025" s="4">
        <v>15</v>
      </c>
      <c r="AE1025" s="4">
        <v>15</v>
      </c>
      <c r="AF1025" s="4">
        <v>0</v>
      </c>
      <c r="AG1025" s="4">
        <v>0</v>
      </c>
      <c r="AH1025" s="4">
        <v>14</v>
      </c>
      <c r="AI1025" s="4">
        <v>14</v>
      </c>
      <c r="AJ1025" s="4">
        <v>0</v>
      </c>
      <c r="AK1025" s="4">
        <v>0</v>
      </c>
      <c r="AL1025" s="4">
        <v>10</v>
      </c>
      <c r="AM1025" s="4">
        <v>10</v>
      </c>
      <c r="AN1025" s="4">
        <v>0</v>
      </c>
      <c r="AO1025" s="4">
        <v>0</v>
      </c>
      <c r="AP1025" s="4">
        <v>0</v>
      </c>
      <c r="AQ1025" s="4">
        <v>0</v>
      </c>
      <c r="AR1025" s="3" t="s">
        <v>62</v>
      </c>
      <c r="AS1025" s="3" t="s">
        <v>62</v>
      </c>
      <c r="AT1025" s="3" t="s">
        <v>62</v>
      </c>
      <c r="AV1025" s="6" t="str">
        <f>HYPERLINK("http://mcgill.on.worldcat.org/oclc/123125867","Catalog Record")</f>
        <v>Catalog Record</v>
      </c>
      <c r="AW1025" s="6" t="str">
        <f>HYPERLINK("http://www.worldcat.org/oclc/123125867","WorldCat Record")</f>
        <v>WorldCat Record</v>
      </c>
      <c r="AX1025" s="3" t="s">
        <v>10308</v>
      </c>
      <c r="AY1025" s="3" t="s">
        <v>10309</v>
      </c>
      <c r="AZ1025" s="3" t="s">
        <v>10310</v>
      </c>
      <c r="BA1025" s="3" t="s">
        <v>10310</v>
      </c>
      <c r="BB1025" s="3" t="s">
        <v>10311</v>
      </c>
      <c r="BC1025" s="3" t="s">
        <v>102</v>
      </c>
      <c r="BD1025" s="3" t="s">
        <v>68</v>
      </c>
      <c r="BE1025" s="3" t="s">
        <v>10312</v>
      </c>
      <c r="BF1025" s="3" t="s">
        <v>10311</v>
      </c>
      <c r="BG1025" s="3" t="s">
        <v>10313</v>
      </c>
    </row>
    <row r="1026" spans="1:59" ht="58" x14ac:dyDescent="0.35">
      <c r="A1026" s="2" t="s">
        <v>89</v>
      </c>
      <c r="B1026" s="2" t="s">
        <v>90</v>
      </c>
      <c r="C1026" s="2" t="s">
        <v>10314</v>
      </c>
      <c r="D1026" s="2" t="s">
        <v>10315</v>
      </c>
      <c r="E1026" s="2" t="s">
        <v>10316</v>
      </c>
      <c r="G1026" s="3" t="s">
        <v>62</v>
      </c>
      <c r="I1026" s="3" t="s">
        <v>62</v>
      </c>
      <c r="J1026" s="3" t="s">
        <v>62</v>
      </c>
      <c r="K1026" s="3" t="s">
        <v>63</v>
      </c>
      <c r="M1026" s="2" t="s">
        <v>10317</v>
      </c>
      <c r="N1026" s="3" t="s">
        <v>509</v>
      </c>
      <c r="P1026" s="3" t="s">
        <v>64</v>
      </c>
      <c r="R1026" s="3" t="s">
        <v>65</v>
      </c>
      <c r="S1026" s="4">
        <v>41</v>
      </c>
      <c r="T1026" s="4">
        <v>41</v>
      </c>
      <c r="U1026" s="5" t="s">
        <v>357</v>
      </c>
      <c r="V1026" s="5" t="s">
        <v>357</v>
      </c>
      <c r="W1026" s="5" t="s">
        <v>67</v>
      </c>
      <c r="X1026" s="5" t="s">
        <v>67</v>
      </c>
      <c r="Y1026" s="4">
        <v>505</v>
      </c>
      <c r="Z1026" s="4">
        <v>30</v>
      </c>
      <c r="AA1026" s="4">
        <v>93</v>
      </c>
      <c r="AB1026" s="4">
        <v>2</v>
      </c>
      <c r="AC1026" s="4">
        <v>17</v>
      </c>
      <c r="AD1026" s="4">
        <v>117</v>
      </c>
      <c r="AE1026" s="4">
        <v>153</v>
      </c>
      <c r="AF1026" s="4">
        <v>1</v>
      </c>
      <c r="AG1026" s="4">
        <v>9</v>
      </c>
      <c r="AH1026" s="4">
        <v>103</v>
      </c>
      <c r="AI1026" s="4">
        <v>115</v>
      </c>
      <c r="AJ1026" s="4">
        <v>19</v>
      </c>
      <c r="AK1026" s="4">
        <v>27</v>
      </c>
      <c r="AL1026" s="4">
        <v>52</v>
      </c>
      <c r="AM1026" s="4">
        <v>57</v>
      </c>
      <c r="AN1026" s="4">
        <v>0</v>
      </c>
      <c r="AO1026" s="4">
        <v>0</v>
      </c>
      <c r="AP1026" s="4">
        <v>25</v>
      </c>
      <c r="AQ1026" s="4">
        <v>49</v>
      </c>
      <c r="AR1026" s="3" t="s">
        <v>62</v>
      </c>
      <c r="AS1026" s="3" t="s">
        <v>62</v>
      </c>
      <c r="AT1026" s="3" t="s">
        <v>62</v>
      </c>
      <c r="AV1026" s="6" t="str">
        <f>HYPERLINK("http://mcgill.on.worldcat.org/oclc/28016110","Catalog Record")</f>
        <v>Catalog Record</v>
      </c>
      <c r="AW1026" s="6" t="str">
        <f>HYPERLINK("http://www.worldcat.org/oclc/28016110","WorldCat Record")</f>
        <v>WorldCat Record</v>
      </c>
      <c r="AX1026" s="3" t="s">
        <v>10318</v>
      </c>
      <c r="AY1026" s="3" t="s">
        <v>10319</v>
      </c>
      <c r="AZ1026" s="3" t="s">
        <v>10320</v>
      </c>
      <c r="BA1026" s="3" t="s">
        <v>10320</v>
      </c>
      <c r="BB1026" s="3" t="s">
        <v>10321</v>
      </c>
      <c r="BC1026" s="3" t="s">
        <v>102</v>
      </c>
      <c r="BD1026" s="3" t="s">
        <v>68</v>
      </c>
      <c r="BE1026" s="3" t="s">
        <v>10322</v>
      </c>
      <c r="BF1026" s="3" t="s">
        <v>10321</v>
      </c>
      <c r="BG1026" s="3" t="s">
        <v>10323</v>
      </c>
    </row>
    <row r="1027" spans="1:59" ht="58" x14ac:dyDescent="0.35">
      <c r="A1027" s="2" t="s">
        <v>89</v>
      </c>
      <c r="B1027" s="2" t="s">
        <v>90</v>
      </c>
      <c r="C1027" s="2" t="s">
        <v>10324</v>
      </c>
      <c r="D1027" s="2" t="s">
        <v>10325</v>
      </c>
      <c r="E1027" s="2" t="s">
        <v>10326</v>
      </c>
      <c r="G1027" s="3" t="s">
        <v>62</v>
      </c>
      <c r="I1027" s="3" t="s">
        <v>62</v>
      </c>
      <c r="J1027" s="3" t="s">
        <v>62</v>
      </c>
      <c r="K1027" s="3" t="s">
        <v>63</v>
      </c>
      <c r="M1027" s="2" t="s">
        <v>10327</v>
      </c>
      <c r="N1027" s="3" t="s">
        <v>698</v>
      </c>
      <c r="P1027" s="3" t="s">
        <v>64</v>
      </c>
      <c r="Q1027" s="2" t="s">
        <v>10328</v>
      </c>
      <c r="R1027" s="3" t="s">
        <v>65</v>
      </c>
      <c r="S1027" s="4">
        <v>0</v>
      </c>
      <c r="T1027" s="4">
        <v>0</v>
      </c>
      <c r="W1027" s="5" t="s">
        <v>67</v>
      </c>
      <c r="X1027" s="5" t="s">
        <v>67</v>
      </c>
      <c r="Y1027" s="4">
        <v>79</v>
      </c>
      <c r="Z1027" s="4">
        <v>5</v>
      </c>
      <c r="AA1027" s="4">
        <v>7</v>
      </c>
      <c r="AB1027" s="4">
        <v>1</v>
      </c>
      <c r="AC1027" s="4">
        <v>1</v>
      </c>
      <c r="AD1027" s="4">
        <v>46</v>
      </c>
      <c r="AE1027" s="4">
        <v>52</v>
      </c>
      <c r="AF1027" s="4">
        <v>0</v>
      </c>
      <c r="AG1027" s="4">
        <v>0</v>
      </c>
      <c r="AH1027" s="4">
        <v>45</v>
      </c>
      <c r="AI1027" s="4">
        <v>50</v>
      </c>
      <c r="AJ1027" s="4">
        <v>3</v>
      </c>
      <c r="AK1027" s="4">
        <v>5</v>
      </c>
      <c r="AL1027" s="4">
        <v>26</v>
      </c>
      <c r="AM1027" s="4">
        <v>29</v>
      </c>
      <c r="AN1027" s="4">
        <v>0</v>
      </c>
      <c r="AO1027" s="4">
        <v>0</v>
      </c>
      <c r="AP1027" s="4">
        <v>3</v>
      </c>
      <c r="AQ1027" s="4">
        <v>5</v>
      </c>
      <c r="AR1027" s="3" t="s">
        <v>62</v>
      </c>
      <c r="AS1027" s="3" t="s">
        <v>62</v>
      </c>
      <c r="AT1027" s="3" t="s">
        <v>62</v>
      </c>
      <c r="AV1027" s="6" t="str">
        <f>HYPERLINK("http://mcgill.on.worldcat.org/oclc/808628119","Catalog Record")</f>
        <v>Catalog Record</v>
      </c>
      <c r="AW1027" s="6" t="str">
        <f>HYPERLINK("http://www.worldcat.org/oclc/808628119","WorldCat Record")</f>
        <v>WorldCat Record</v>
      </c>
      <c r="AX1027" s="3" t="s">
        <v>10329</v>
      </c>
      <c r="AY1027" s="3" t="s">
        <v>10330</v>
      </c>
      <c r="AZ1027" s="3" t="s">
        <v>10331</v>
      </c>
      <c r="BA1027" s="3" t="s">
        <v>10331</v>
      </c>
      <c r="BB1027" s="3" t="s">
        <v>10332</v>
      </c>
      <c r="BC1027" s="3" t="s">
        <v>102</v>
      </c>
      <c r="BD1027" s="3" t="s">
        <v>68</v>
      </c>
      <c r="BE1027" s="3" t="s">
        <v>10333</v>
      </c>
      <c r="BF1027" s="3" t="s">
        <v>10332</v>
      </c>
      <c r="BG1027" s="3" t="s">
        <v>10334</v>
      </c>
    </row>
    <row r="1028" spans="1:59" ht="58" x14ac:dyDescent="0.35">
      <c r="A1028" s="2" t="s">
        <v>89</v>
      </c>
      <c r="B1028" s="2" t="s">
        <v>90</v>
      </c>
      <c r="C1028" s="2" t="s">
        <v>10335</v>
      </c>
      <c r="D1028" s="2" t="s">
        <v>10336</v>
      </c>
      <c r="E1028" s="2" t="s">
        <v>10337</v>
      </c>
      <c r="G1028" s="3" t="s">
        <v>62</v>
      </c>
      <c r="I1028" s="3" t="s">
        <v>62</v>
      </c>
      <c r="J1028" s="3" t="s">
        <v>62</v>
      </c>
      <c r="K1028" s="3" t="s">
        <v>63</v>
      </c>
      <c r="M1028" s="2" t="s">
        <v>10338</v>
      </c>
      <c r="N1028" s="3" t="s">
        <v>698</v>
      </c>
      <c r="P1028" s="3" t="s">
        <v>64</v>
      </c>
      <c r="Q1028" s="2" t="s">
        <v>10339</v>
      </c>
      <c r="R1028" s="3" t="s">
        <v>65</v>
      </c>
      <c r="S1028" s="4">
        <v>0</v>
      </c>
      <c r="T1028" s="4">
        <v>0</v>
      </c>
      <c r="W1028" s="5" t="s">
        <v>67</v>
      </c>
      <c r="X1028" s="5" t="s">
        <v>67</v>
      </c>
      <c r="Y1028" s="4">
        <v>77</v>
      </c>
      <c r="Z1028" s="4">
        <v>5</v>
      </c>
      <c r="AA1028" s="4">
        <v>7</v>
      </c>
      <c r="AB1028" s="4">
        <v>1</v>
      </c>
      <c r="AC1028" s="4">
        <v>1</v>
      </c>
      <c r="AD1028" s="4">
        <v>46</v>
      </c>
      <c r="AE1028" s="4">
        <v>52</v>
      </c>
      <c r="AF1028" s="4">
        <v>0</v>
      </c>
      <c r="AG1028" s="4">
        <v>0</v>
      </c>
      <c r="AH1028" s="4">
        <v>45</v>
      </c>
      <c r="AI1028" s="4">
        <v>50</v>
      </c>
      <c r="AJ1028" s="4">
        <v>3</v>
      </c>
      <c r="AK1028" s="4">
        <v>5</v>
      </c>
      <c r="AL1028" s="4">
        <v>26</v>
      </c>
      <c r="AM1028" s="4">
        <v>29</v>
      </c>
      <c r="AN1028" s="4">
        <v>0</v>
      </c>
      <c r="AO1028" s="4">
        <v>0</v>
      </c>
      <c r="AP1028" s="4">
        <v>3</v>
      </c>
      <c r="AQ1028" s="4">
        <v>5</v>
      </c>
      <c r="AR1028" s="3" t="s">
        <v>62</v>
      </c>
      <c r="AS1028" s="3" t="s">
        <v>62</v>
      </c>
      <c r="AT1028" s="3" t="s">
        <v>62</v>
      </c>
      <c r="AV1028" s="6" t="str">
        <f>HYPERLINK("http://mcgill.on.worldcat.org/oclc/748812938","Catalog Record")</f>
        <v>Catalog Record</v>
      </c>
      <c r="AW1028" s="6" t="str">
        <f>HYPERLINK("http://www.worldcat.org/oclc/748812938","WorldCat Record")</f>
        <v>WorldCat Record</v>
      </c>
      <c r="AX1028" s="3" t="s">
        <v>10340</v>
      </c>
      <c r="AY1028" s="3" t="s">
        <v>10341</v>
      </c>
      <c r="AZ1028" s="3" t="s">
        <v>10342</v>
      </c>
      <c r="BA1028" s="3" t="s">
        <v>10342</v>
      </c>
      <c r="BB1028" s="3" t="s">
        <v>10343</v>
      </c>
      <c r="BC1028" s="3" t="s">
        <v>102</v>
      </c>
      <c r="BD1028" s="3" t="s">
        <v>68</v>
      </c>
      <c r="BE1028" s="3" t="s">
        <v>10344</v>
      </c>
      <c r="BF1028" s="3" t="s">
        <v>10343</v>
      </c>
      <c r="BG1028" s="3" t="s">
        <v>10345</v>
      </c>
    </row>
    <row r="1029" spans="1:59" ht="58" x14ac:dyDescent="0.35">
      <c r="A1029" s="2" t="s">
        <v>89</v>
      </c>
      <c r="B1029" s="2" t="s">
        <v>90</v>
      </c>
      <c r="C1029" s="2" t="s">
        <v>10346</v>
      </c>
      <c r="D1029" s="2" t="s">
        <v>10347</v>
      </c>
      <c r="E1029" s="2" t="s">
        <v>10348</v>
      </c>
      <c r="G1029" s="3" t="s">
        <v>62</v>
      </c>
      <c r="I1029" s="3" t="s">
        <v>62</v>
      </c>
      <c r="J1029" s="3" t="s">
        <v>62</v>
      </c>
      <c r="K1029" s="3" t="s">
        <v>63</v>
      </c>
      <c r="L1029" s="2" t="s">
        <v>10349</v>
      </c>
      <c r="M1029" s="2" t="s">
        <v>10350</v>
      </c>
      <c r="N1029" s="3" t="s">
        <v>640</v>
      </c>
      <c r="P1029" s="3" t="s">
        <v>64</v>
      </c>
      <c r="R1029" s="3" t="s">
        <v>65</v>
      </c>
      <c r="S1029" s="4">
        <v>4</v>
      </c>
      <c r="T1029" s="4">
        <v>4</v>
      </c>
      <c r="U1029" s="5" t="s">
        <v>7272</v>
      </c>
      <c r="V1029" s="5" t="s">
        <v>7272</v>
      </c>
      <c r="W1029" s="5" t="s">
        <v>67</v>
      </c>
      <c r="X1029" s="5" t="s">
        <v>67</v>
      </c>
      <c r="Y1029" s="4">
        <v>320</v>
      </c>
      <c r="Z1029" s="4">
        <v>23</v>
      </c>
      <c r="AA1029" s="4">
        <v>108</v>
      </c>
      <c r="AB1029" s="4">
        <v>1</v>
      </c>
      <c r="AC1029" s="4">
        <v>18</v>
      </c>
      <c r="AD1029" s="4">
        <v>105</v>
      </c>
      <c r="AE1029" s="4">
        <v>143</v>
      </c>
      <c r="AF1029" s="4">
        <v>0</v>
      </c>
      <c r="AG1029" s="4">
        <v>8</v>
      </c>
      <c r="AH1029" s="4">
        <v>93</v>
      </c>
      <c r="AI1029" s="4">
        <v>103</v>
      </c>
      <c r="AJ1029" s="4">
        <v>14</v>
      </c>
      <c r="AK1029" s="4">
        <v>23</v>
      </c>
      <c r="AL1029" s="4">
        <v>53</v>
      </c>
      <c r="AM1029" s="4">
        <v>56</v>
      </c>
      <c r="AN1029" s="4">
        <v>0</v>
      </c>
      <c r="AO1029" s="4">
        <v>0</v>
      </c>
      <c r="AP1029" s="4">
        <v>18</v>
      </c>
      <c r="AQ1029" s="4">
        <v>47</v>
      </c>
      <c r="AR1029" s="3" t="s">
        <v>62</v>
      </c>
      <c r="AS1029" s="3" t="s">
        <v>62</v>
      </c>
      <c r="AT1029" s="3" t="s">
        <v>61</v>
      </c>
      <c r="AU1029" s="6" t="str">
        <f>HYPERLINK("http://catalog.hathitrust.org/Record/004722646","HathiTrust Record")</f>
        <v>HathiTrust Record</v>
      </c>
      <c r="AV1029" s="6" t="str">
        <f>HYPERLINK("http://mcgill.on.worldcat.org/oclc/54374876","Catalog Record")</f>
        <v>Catalog Record</v>
      </c>
      <c r="AW1029" s="6" t="str">
        <f>HYPERLINK("http://www.worldcat.org/oclc/54374876","WorldCat Record")</f>
        <v>WorldCat Record</v>
      </c>
      <c r="AX1029" s="3" t="s">
        <v>10351</v>
      </c>
      <c r="AY1029" s="3" t="s">
        <v>10352</v>
      </c>
      <c r="AZ1029" s="3" t="s">
        <v>10353</v>
      </c>
      <c r="BA1029" s="3" t="s">
        <v>10353</v>
      </c>
      <c r="BB1029" s="3" t="s">
        <v>10354</v>
      </c>
      <c r="BC1029" s="3" t="s">
        <v>102</v>
      </c>
      <c r="BD1029" s="3" t="s">
        <v>68</v>
      </c>
      <c r="BE1029" s="3" t="s">
        <v>10355</v>
      </c>
      <c r="BF1029" s="3" t="s">
        <v>10354</v>
      </c>
      <c r="BG1029" s="3" t="s">
        <v>10356</v>
      </c>
    </row>
    <row r="1030" spans="1:59" ht="145" x14ac:dyDescent="0.35">
      <c r="A1030" s="2" t="s">
        <v>89</v>
      </c>
      <c r="B1030" s="2" t="s">
        <v>90</v>
      </c>
      <c r="C1030" s="2" t="s">
        <v>10357</v>
      </c>
      <c r="D1030" s="2" t="s">
        <v>10358</v>
      </c>
      <c r="E1030" s="2" t="s">
        <v>10359</v>
      </c>
      <c r="G1030" s="3" t="s">
        <v>62</v>
      </c>
      <c r="I1030" s="3" t="s">
        <v>62</v>
      </c>
      <c r="J1030" s="3" t="s">
        <v>62</v>
      </c>
      <c r="K1030" s="3" t="s">
        <v>63</v>
      </c>
      <c r="M1030" s="2" t="s">
        <v>10360</v>
      </c>
      <c r="N1030" s="3" t="s">
        <v>524</v>
      </c>
      <c r="P1030" s="3" t="s">
        <v>64</v>
      </c>
      <c r="R1030" s="3" t="s">
        <v>65</v>
      </c>
      <c r="S1030" s="4">
        <v>5</v>
      </c>
      <c r="T1030" s="4">
        <v>5</v>
      </c>
      <c r="U1030" s="5" t="s">
        <v>10361</v>
      </c>
      <c r="V1030" s="5" t="s">
        <v>10361</v>
      </c>
      <c r="W1030" s="5" t="s">
        <v>67</v>
      </c>
      <c r="X1030" s="5" t="s">
        <v>67</v>
      </c>
      <c r="Y1030" s="4">
        <v>368</v>
      </c>
      <c r="Z1030" s="4">
        <v>11</v>
      </c>
      <c r="AA1030" s="4">
        <v>12</v>
      </c>
      <c r="AB1030" s="4">
        <v>2</v>
      </c>
      <c r="AC1030" s="4">
        <v>2</v>
      </c>
      <c r="AD1030" s="4">
        <v>99</v>
      </c>
      <c r="AE1030" s="4">
        <v>101</v>
      </c>
      <c r="AF1030" s="4">
        <v>1</v>
      </c>
      <c r="AG1030" s="4">
        <v>1</v>
      </c>
      <c r="AH1030" s="4">
        <v>91</v>
      </c>
      <c r="AI1030" s="4">
        <v>92</v>
      </c>
      <c r="AJ1030" s="4">
        <v>9</v>
      </c>
      <c r="AK1030" s="4">
        <v>10</v>
      </c>
      <c r="AL1030" s="4">
        <v>53</v>
      </c>
      <c r="AM1030" s="4">
        <v>54</v>
      </c>
      <c r="AN1030" s="4">
        <v>0</v>
      </c>
      <c r="AO1030" s="4">
        <v>0</v>
      </c>
      <c r="AP1030" s="4">
        <v>9</v>
      </c>
      <c r="AQ1030" s="4">
        <v>10</v>
      </c>
      <c r="AR1030" s="3" t="s">
        <v>62</v>
      </c>
      <c r="AS1030" s="3" t="s">
        <v>62</v>
      </c>
      <c r="AT1030" s="3" t="s">
        <v>61</v>
      </c>
      <c r="AU1030" s="6" t="str">
        <f>HYPERLINK("http://catalog.hathitrust.org/Record/003007942","HathiTrust Record")</f>
        <v>HathiTrust Record</v>
      </c>
      <c r="AV1030" s="6" t="str">
        <f>HYPERLINK("http://mcgill.on.worldcat.org/oclc/32893466","Catalog Record")</f>
        <v>Catalog Record</v>
      </c>
      <c r="AW1030" s="6" t="str">
        <f>HYPERLINK("http://www.worldcat.org/oclc/32893466","WorldCat Record")</f>
        <v>WorldCat Record</v>
      </c>
      <c r="AX1030" s="3" t="s">
        <v>10362</v>
      </c>
      <c r="AY1030" s="3" t="s">
        <v>10363</v>
      </c>
      <c r="AZ1030" s="3" t="s">
        <v>10364</v>
      </c>
      <c r="BA1030" s="3" t="s">
        <v>10364</v>
      </c>
      <c r="BB1030" s="3" t="s">
        <v>10365</v>
      </c>
      <c r="BC1030" s="3" t="s">
        <v>102</v>
      </c>
      <c r="BD1030" s="3" t="s">
        <v>68</v>
      </c>
      <c r="BE1030" s="3" t="s">
        <v>10366</v>
      </c>
      <c r="BF1030" s="3" t="s">
        <v>10365</v>
      </c>
      <c r="BG1030" s="3" t="s">
        <v>10367</v>
      </c>
    </row>
    <row r="1031" spans="1:59" ht="58" x14ac:dyDescent="0.35">
      <c r="A1031" s="2" t="s">
        <v>89</v>
      </c>
      <c r="B1031" s="2" t="s">
        <v>90</v>
      </c>
      <c r="C1031" s="2" t="s">
        <v>10368</v>
      </c>
      <c r="D1031" s="2" t="s">
        <v>10369</v>
      </c>
      <c r="E1031" s="2" t="s">
        <v>10370</v>
      </c>
      <c r="G1031" s="3" t="s">
        <v>62</v>
      </c>
      <c r="I1031" s="3" t="s">
        <v>62</v>
      </c>
      <c r="J1031" s="3" t="s">
        <v>62</v>
      </c>
      <c r="K1031" s="3" t="s">
        <v>63</v>
      </c>
      <c r="M1031" s="2" t="s">
        <v>10371</v>
      </c>
      <c r="N1031" s="3" t="s">
        <v>596</v>
      </c>
      <c r="P1031" s="3" t="s">
        <v>64</v>
      </c>
      <c r="R1031" s="3" t="s">
        <v>65</v>
      </c>
      <c r="S1031" s="4">
        <v>2</v>
      </c>
      <c r="T1031" s="4">
        <v>2</v>
      </c>
      <c r="U1031" s="5" t="s">
        <v>10372</v>
      </c>
      <c r="V1031" s="5" t="s">
        <v>10372</v>
      </c>
      <c r="W1031" s="5" t="s">
        <v>67</v>
      </c>
      <c r="X1031" s="5" t="s">
        <v>67</v>
      </c>
      <c r="Y1031" s="4">
        <v>156</v>
      </c>
      <c r="Z1031" s="4">
        <v>7</v>
      </c>
      <c r="AA1031" s="4">
        <v>11</v>
      </c>
      <c r="AB1031" s="4">
        <v>2</v>
      </c>
      <c r="AC1031" s="4">
        <v>3</v>
      </c>
      <c r="AD1031" s="4">
        <v>81</v>
      </c>
      <c r="AE1031" s="4">
        <v>85</v>
      </c>
      <c r="AF1031" s="4">
        <v>0</v>
      </c>
      <c r="AG1031" s="4">
        <v>0</v>
      </c>
      <c r="AH1031" s="4">
        <v>79</v>
      </c>
      <c r="AI1031" s="4">
        <v>81</v>
      </c>
      <c r="AJ1031" s="4">
        <v>4</v>
      </c>
      <c r="AK1031" s="4">
        <v>7</v>
      </c>
      <c r="AL1031" s="4">
        <v>42</v>
      </c>
      <c r="AM1031" s="4">
        <v>42</v>
      </c>
      <c r="AN1031" s="4">
        <v>0</v>
      </c>
      <c r="AO1031" s="4">
        <v>0</v>
      </c>
      <c r="AP1031" s="4">
        <v>4</v>
      </c>
      <c r="AQ1031" s="4">
        <v>6</v>
      </c>
      <c r="AR1031" s="3" t="s">
        <v>62</v>
      </c>
      <c r="AS1031" s="3" t="s">
        <v>62</v>
      </c>
      <c r="AT1031" s="3" t="s">
        <v>62</v>
      </c>
      <c r="AV1031" s="6" t="str">
        <f>HYPERLINK("http://mcgill.on.worldcat.org/oclc/49727884","Catalog Record")</f>
        <v>Catalog Record</v>
      </c>
      <c r="AW1031" s="6" t="str">
        <f>HYPERLINK("http://www.worldcat.org/oclc/49727884","WorldCat Record")</f>
        <v>WorldCat Record</v>
      </c>
      <c r="AX1031" s="3" t="s">
        <v>10373</v>
      </c>
      <c r="AY1031" s="3" t="s">
        <v>10374</v>
      </c>
      <c r="AZ1031" s="3" t="s">
        <v>10375</v>
      </c>
      <c r="BA1031" s="3" t="s">
        <v>10375</v>
      </c>
      <c r="BB1031" s="3" t="s">
        <v>10376</v>
      </c>
      <c r="BC1031" s="3" t="s">
        <v>102</v>
      </c>
      <c r="BD1031" s="3" t="s">
        <v>68</v>
      </c>
      <c r="BE1031" s="3" t="s">
        <v>10377</v>
      </c>
      <c r="BF1031" s="3" t="s">
        <v>10376</v>
      </c>
      <c r="BG1031" s="3" t="s">
        <v>10378</v>
      </c>
    </row>
    <row r="1032" spans="1:59" ht="58" x14ac:dyDescent="0.35">
      <c r="A1032" s="2" t="s">
        <v>89</v>
      </c>
      <c r="B1032" s="2" t="s">
        <v>90</v>
      </c>
      <c r="C1032" s="2" t="s">
        <v>10379</v>
      </c>
      <c r="D1032" s="2" t="s">
        <v>10380</v>
      </c>
      <c r="E1032" s="2" t="s">
        <v>10381</v>
      </c>
      <c r="G1032" s="3" t="s">
        <v>62</v>
      </c>
      <c r="I1032" s="3" t="s">
        <v>62</v>
      </c>
      <c r="J1032" s="3" t="s">
        <v>62</v>
      </c>
      <c r="K1032" s="3" t="s">
        <v>63</v>
      </c>
      <c r="L1032" s="2" t="s">
        <v>10382</v>
      </c>
      <c r="M1032" s="2" t="s">
        <v>10383</v>
      </c>
      <c r="N1032" s="3" t="s">
        <v>2110</v>
      </c>
      <c r="P1032" s="3" t="s">
        <v>64</v>
      </c>
      <c r="R1032" s="3" t="s">
        <v>65</v>
      </c>
      <c r="S1032" s="4">
        <v>9</v>
      </c>
      <c r="T1032" s="4">
        <v>9</v>
      </c>
      <c r="U1032" s="5" t="s">
        <v>10384</v>
      </c>
      <c r="V1032" s="5" t="s">
        <v>10384</v>
      </c>
      <c r="W1032" s="5" t="s">
        <v>67</v>
      </c>
      <c r="X1032" s="5" t="s">
        <v>67</v>
      </c>
      <c r="Y1032" s="4">
        <v>167</v>
      </c>
      <c r="Z1032" s="4">
        <v>17</v>
      </c>
      <c r="AA1032" s="4">
        <v>33</v>
      </c>
      <c r="AB1032" s="4">
        <v>2</v>
      </c>
      <c r="AC1032" s="4">
        <v>3</v>
      </c>
      <c r="AD1032" s="4">
        <v>51</v>
      </c>
      <c r="AE1032" s="4">
        <v>126</v>
      </c>
      <c r="AF1032" s="4">
        <v>1</v>
      </c>
      <c r="AG1032" s="4">
        <v>2</v>
      </c>
      <c r="AH1032" s="4">
        <v>41</v>
      </c>
      <c r="AI1032" s="4">
        <v>104</v>
      </c>
      <c r="AJ1032" s="4">
        <v>12</v>
      </c>
      <c r="AK1032" s="4">
        <v>21</v>
      </c>
      <c r="AL1032" s="4">
        <v>18</v>
      </c>
      <c r="AM1032" s="4">
        <v>52</v>
      </c>
      <c r="AN1032" s="4">
        <v>0</v>
      </c>
      <c r="AO1032" s="4">
        <v>0</v>
      </c>
      <c r="AP1032" s="4">
        <v>14</v>
      </c>
      <c r="AQ1032" s="4">
        <v>27</v>
      </c>
      <c r="AR1032" s="3" t="s">
        <v>62</v>
      </c>
      <c r="AS1032" s="3" t="s">
        <v>62</v>
      </c>
      <c r="AT1032" s="3" t="s">
        <v>62</v>
      </c>
      <c r="AV1032" s="6" t="str">
        <f>HYPERLINK("http://mcgill.on.worldcat.org/oclc/4210650","Catalog Record")</f>
        <v>Catalog Record</v>
      </c>
      <c r="AW1032" s="6" t="str">
        <f>HYPERLINK("http://www.worldcat.org/oclc/4210650","WorldCat Record")</f>
        <v>WorldCat Record</v>
      </c>
      <c r="AX1032" s="3" t="s">
        <v>10385</v>
      </c>
      <c r="AY1032" s="3" t="s">
        <v>10386</v>
      </c>
      <c r="AZ1032" s="3" t="s">
        <v>10387</v>
      </c>
      <c r="BA1032" s="3" t="s">
        <v>10387</v>
      </c>
      <c r="BB1032" s="3" t="s">
        <v>10388</v>
      </c>
      <c r="BC1032" s="3" t="s">
        <v>102</v>
      </c>
      <c r="BD1032" s="3" t="s">
        <v>231</v>
      </c>
      <c r="BE1032" s="3" t="s">
        <v>10389</v>
      </c>
      <c r="BF1032" s="3" t="s">
        <v>10388</v>
      </c>
      <c r="BG1032" s="3" t="s">
        <v>10390</v>
      </c>
    </row>
    <row r="1033" spans="1:59" ht="72.5" x14ac:dyDescent="0.35">
      <c r="A1033" s="2" t="s">
        <v>89</v>
      </c>
      <c r="B1033" s="2" t="s">
        <v>90</v>
      </c>
      <c r="C1033" s="2" t="s">
        <v>10391</v>
      </c>
      <c r="D1033" s="2" t="s">
        <v>10392</v>
      </c>
      <c r="E1033" s="2" t="s">
        <v>10393</v>
      </c>
      <c r="G1033" s="3" t="s">
        <v>62</v>
      </c>
      <c r="I1033" s="3" t="s">
        <v>62</v>
      </c>
      <c r="J1033" s="3" t="s">
        <v>62</v>
      </c>
      <c r="K1033" s="3" t="s">
        <v>63</v>
      </c>
      <c r="L1033" s="2" t="s">
        <v>10394</v>
      </c>
      <c r="M1033" s="2" t="s">
        <v>10395</v>
      </c>
      <c r="N1033" s="3" t="s">
        <v>880</v>
      </c>
      <c r="P1033" s="3" t="s">
        <v>64</v>
      </c>
      <c r="Q1033" s="2" t="s">
        <v>3862</v>
      </c>
      <c r="R1033" s="3" t="s">
        <v>65</v>
      </c>
      <c r="S1033" s="4">
        <v>0</v>
      </c>
      <c r="T1033" s="4">
        <v>0</v>
      </c>
      <c r="W1033" s="5" t="s">
        <v>67</v>
      </c>
      <c r="X1033" s="5" t="s">
        <v>67</v>
      </c>
      <c r="Y1033" s="4">
        <v>132</v>
      </c>
      <c r="Z1033" s="4">
        <v>16</v>
      </c>
      <c r="AA1033" s="4">
        <v>53</v>
      </c>
      <c r="AB1033" s="4">
        <v>2</v>
      </c>
      <c r="AC1033" s="4">
        <v>8</v>
      </c>
      <c r="AD1033" s="4">
        <v>58</v>
      </c>
      <c r="AE1033" s="4">
        <v>71</v>
      </c>
      <c r="AF1033" s="4">
        <v>1</v>
      </c>
      <c r="AG1033" s="4">
        <v>1</v>
      </c>
      <c r="AH1033" s="4">
        <v>52</v>
      </c>
      <c r="AI1033" s="4">
        <v>61</v>
      </c>
      <c r="AJ1033" s="4">
        <v>11</v>
      </c>
      <c r="AK1033" s="4">
        <v>12</v>
      </c>
      <c r="AL1033" s="4">
        <v>29</v>
      </c>
      <c r="AM1033" s="4">
        <v>32</v>
      </c>
      <c r="AN1033" s="4">
        <v>0</v>
      </c>
      <c r="AO1033" s="4">
        <v>0</v>
      </c>
      <c r="AP1033" s="4">
        <v>12</v>
      </c>
      <c r="AQ1033" s="4">
        <v>17</v>
      </c>
      <c r="AR1033" s="3" t="s">
        <v>62</v>
      </c>
      <c r="AS1033" s="3" t="s">
        <v>62</v>
      </c>
      <c r="AT1033" s="3" t="s">
        <v>62</v>
      </c>
      <c r="AV1033" s="6" t="str">
        <f>HYPERLINK("http://mcgill.on.worldcat.org/oclc/645707915","Catalog Record")</f>
        <v>Catalog Record</v>
      </c>
      <c r="AW1033" s="6" t="str">
        <f>HYPERLINK("http://www.worldcat.org/oclc/645707915","WorldCat Record")</f>
        <v>WorldCat Record</v>
      </c>
      <c r="AX1033" s="3" t="s">
        <v>10396</v>
      </c>
      <c r="AY1033" s="3" t="s">
        <v>10397</v>
      </c>
      <c r="AZ1033" s="3" t="s">
        <v>10398</v>
      </c>
      <c r="BA1033" s="3" t="s">
        <v>10398</v>
      </c>
      <c r="BB1033" s="3" t="s">
        <v>10399</v>
      </c>
      <c r="BC1033" s="3" t="s">
        <v>102</v>
      </c>
      <c r="BD1033" s="3" t="s">
        <v>68</v>
      </c>
      <c r="BE1033" s="3" t="s">
        <v>10400</v>
      </c>
      <c r="BF1033" s="3" t="s">
        <v>10399</v>
      </c>
      <c r="BG1033" s="3" t="s">
        <v>10401</v>
      </c>
    </row>
    <row r="1034" spans="1:59" ht="58" x14ac:dyDescent="0.35">
      <c r="A1034" s="2" t="s">
        <v>89</v>
      </c>
      <c r="B1034" s="2" t="s">
        <v>90</v>
      </c>
      <c r="C1034" s="2" t="s">
        <v>10402</v>
      </c>
      <c r="D1034" s="2" t="s">
        <v>10403</v>
      </c>
      <c r="E1034" s="2" t="s">
        <v>10404</v>
      </c>
      <c r="G1034" s="3" t="s">
        <v>62</v>
      </c>
      <c r="I1034" s="3" t="s">
        <v>62</v>
      </c>
      <c r="J1034" s="3" t="s">
        <v>62</v>
      </c>
      <c r="K1034" s="3" t="s">
        <v>63</v>
      </c>
      <c r="M1034" s="2" t="s">
        <v>10405</v>
      </c>
      <c r="N1034" s="3" t="s">
        <v>698</v>
      </c>
      <c r="P1034" s="3" t="s">
        <v>64</v>
      </c>
      <c r="R1034" s="3" t="s">
        <v>65</v>
      </c>
      <c r="S1034" s="4">
        <v>10</v>
      </c>
      <c r="T1034" s="4">
        <v>10</v>
      </c>
      <c r="U1034" s="5" t="s">
        <v>370</v>
      </c>
      <c r="V1034" s="5" t="s">
        <v>370</v>
      </c>
      <c r="W1034" s="5" t="s">
        <v>67</v>
      </c>
      <c r="X1034" s="5" t="s">
        <v>67</v>
      </c>
      <c r="Y1034" s="4">
        <v>339</v>
      </c>
      <c r="Z1034" s="4">
        <v>26</v>
      </c>
      <c r="AA1034" s="4">
        <v>90</v>
      </c>
      <c r="AB1034" s="4">
        <v>2</v>
      </c>
      <c r="AC1034" s="4">
        <v>18</v>
      </c>
      <c r="AD1034" s="4">
        <v>95</v>
      </c>
      <c r="AE1034" s="4">
        <v>134</v>
      </c>
      <c r="AF1034" s="4">
        <v>0</v>
      </c>
      <c r="AG1034" s="4">
        <v>10</v>
      </c>
      <c r="AH1034" s="4">
        <v>81</v>
      </c>
      <c r="AI1034" s="4">
        <v>92</v>
      </c>
      <c r="AJ1034" s="4">
        <v>18</v>
      </c>
      <c r="AK1034" s="4">
        <v>26</v>
      </c>
      <c r="AL1034" s="4">
        <v>46</v>
      </c>
      <c r="AM1034" s="4">
        <v>50</v>
      </c>
      <c r="AN1034" s="4">
        <v>0</v>
      </c>
      <c r="AO1034" s="4">
        <v>0</v>
      </c>
      <c r="AP1034" s="4">
        <v>22</v>
      </c>
      <c r="AQ1034" s="4">
        <v>50</v>
      </c>
      <c r="AR1034" s="3" t="s">
        <v>62</v>
      </c>
      <c r="AS1034" s="3" t="s">
        <v>62</v>
      </c>
      <c r="AT1034" s="3" t="s">
        <v>62</v>
      </c>
      <c r="AV1034" s="6" t="str">
        <f>HYPERLINK("http://mcgill.on.worldcat.org/oclc/702873233","Catalog Record")</f>
        <v>Catalog Record</v>
      </c>
      <c r="AW1034" s="6" t="str">
        <f>HYPERLINK("http://www.worldcat.org/oclc/702873233","WorldCat Record")</f>
        <v>WorldCat Record</v>
      </c>
      <c r="AX1034" s="3" t="s">
        <v>10406</v>
      </c>
      <c r="AY1034" s="3" t="s">
        <v>10407</v>
      </c>
      <c r="AZ1034" s="3" t="s">
        <v>10408</v>
      </c>
      <c r="BA1034" s="3" t="s">
        <v>10408</v>
      </c>
      <c r="BB1034" s="3" t="s">
        <v>10409</v>
      </c>
      <c r="BC1034" s="3" t="s">
        <v>102</v>
      </c>
      <c r="BD1034" s="3" t="s">
        <v>68</v>
      </c>
      <c r="BE1034" s="3" t="s">
        <v>10410</v>
      </c>
      <c r="BF1034" s="3" t="s">
        <v>10409</v>
      </c>
      <c r="BG1034" s="3" t="s">
        <v>10411</v>
      </c>
    </row>
    <row r="1035" spans="1:59" ht="58" x14ac:dyDescent="0.35">
      <c r="A1035" s="2" t="s">
        <v>89</v>
      </c>
      <c r="B1035" s="2" t="s">
        <v>90</v>
      </c>
      <c r="C1035" s="2" t="s">
        <v>10412</v>
      </c>
      <c r="D1035" s="2" t="s">
        <v>10413</v>
      </c>
      <c r="E1035" s="2" t="s">
        <v>10414</v>
      </c>
      <c r="G1035" s="3" t="s">
        <v>62</v>
      </c>
      <c r="I1035" s="3" t="s">
        <v>62</v>
      </c>
      <c r="J1035" s="3" t="s">
        <v>62</v>
      </c>
      <c r="K1035" s="3" t="s">
        <v>63</v>
      </c>
      <c r="L1035" s="2" t="s">
        <v>10415</v>
      </c>
      <c r="M1035" s="2" t="s">
        <v>10416</v>
      </c>
      <c r="N1035" s="3" t="s">
        <v>1455</v>
      </c>
      <c r="P1035" s="3" t="s">
        <v>64</v>
      </c>
      <c r="Q1035" s="2" t="s">
        <v>10417</v>
      </c>
      <c r="R1035" s="3" t="s">
        <v>65</v>
      </c>
      <c r="S1035" s="4">
        <v>0</v>
      </c>
      <c r="T1035" s="4">
        <v>0</v>
      </c>
      <c r="W1035" s="5" t="s">
        <v>67</v>
      </c>
      <c r="X1035" s="5" t="s">
        <v>67</v>
      </c>
      <c r="Y1035" s="4">
        <v>215</v>
      </c>
      <c r="Z1035" s="4">
        <v>15</v>
      </c>
      <c r="AA1035" s="4">
        <v>25</v>
      </c>
      <c r="AB1035" s="4">
        <v>1</v>
      </c>
      <c r="AC1035" s="4">
        <v>7</v>
      </c>
      <c r="AD1035" s="4">
        <v>68</v>
      </c>
      <c r="AE1035" s="4">
        <v>80</v>
      </c>
      <c r="AF1035" s="4">
        <v>0</v>
      </c>
      <c r="AG1035" s="4">
        <v>3</v>
      </c>
      <c r="AH1035" s="4">
        <v>62</v>
      </c>
      <c r="AI1035" s="4">
        <v>69</v>
      </c>
      <c r="AJ1035" s="4">
        <v>9</v>
      </c>
      <c r="AK1035" s="4">
        <v>13</v>
      </c>
      <c r="AL1035" s="4">
        <v>39</v>
      </c>
      <c r="AM1035" s="4">
        <v>42</v>
      </c>
      <c r="AN1035" s="4">
        <v>0</v>
      </c>
      <c r="AO1035" s="4">
        <v>0</v>
      </c>
      <c r="AP1035" s="4">
        <v>11</v>
      </c>
      <c r="AQ1035" s="4">
        <v>16</v>
      </c>
      <c r="AR1035" s="3" t="s">
        <v>62</v>
      </c>
      <c r="AS1035" s="3" t="s">
        <v>62</v>
      </c>
      <c r="AT1035" s="3" t="s">
        <v>62</v>
      </c>
      <c r="AV1035" s="6" t="str">
        <f>HYPERLINK("http://mcgill.on.worldcat.org/oclc/897401771","Catalog Record")</f>
        <v>Catalog Record</v>
      </c>
      <c r="AW1035" s="6" t="str">
        <f>HYPERLINK("http://www.worldcat.org/oclc/897401771","WorldCat Record")</f>
        <v>WorldCat Record</v>
      </c>
      <c r="AX1035" s="3" t="s">
        <v>10418</v>
      </c>
      <c r="AY1035" s="3" t="s">
        <v>10419</v>
      </c>
      <c r="AZ1035" s="3" t="s">
        <v>10420</v>
      </c>
      <c r="BA1035" s="3" t="s">
        <v>10420</v>
      </c>
      <c r="BB1035" s="3" t="s">
        <v>10421</v>
      </c>
      <c r="BC1035" s="3" t="s">
        <v>102</v>
      </c>
      <c r="BD1035" s="3" t="s">
        <v>68</v>
      </c>
      <c r="BE1035" s="3" t="s">
        <v>10422</v>
      </c>
      <c r="BF1035" s="3" t="s">
        <v>10421</v>
      </c>
      <c r="BG1035" s="3" t="s">
        <v>10423</v>
      </c>
    </row>
    <row r="1036" spans="1:59" ht="58" x14ac:dyDescent="0.35">
      <c r="A1036" s="2" t="s">
        <v>89</v>
      </c>
      <c r="B1036" s="2" t="s">
        <v>90</v>
      </c>
      <c r="C1036" s="2" t="s">
        <v>10424</v>
      </c>
      <c r="D1036" s="2" t="s">
        <v>10425</v>
      </c>
      <c r="E1036" s="2" t="s">
        <v>10426</v>
      </c>
      <c r="G1036" s="3" t="s">
        <v>62</v>
      </c>
      <c r="I1036" s="3" t="s">
        <v>62</v>
      </c>
      <c r="J1036" s="3" t="s">
        <v>62</v>
      </c>
      <c r="K1036" s="3" t="s">
        <v>63</v>
      </c>
      <c r="M1036" s="2" t="s">
        <v>10427</v>
      </c>
      <c r="N1036" s="3" t="s">
        <v>655</v>
      </c>
      <c r="P1036" s="3" t="s">
        <v>64</v>
      </c>
      <c r="Q1036" s="2" t="s">
        <v>10428</v>
      </c>
      <c r="R1036" s="3" t="s">
        <v>65</v>
      </c>
      <c r="S1036" s="4">
        <v>2</v>
      </c>
      <c r="T1036" s="4">
        <v>2</v>
      </c>
      <c r="U1036" s="5" t="s">
        <v>80</v>
      </c>
      <c r="V1036" s="5" t="s">
        <v>80</v>
      </c>
      <c r="W1036" s="5" t="s">
        <v>67</v>
      </c>
      <c r="X1036" s="5" t="s">
        <v>67</v>
      </c>
      <c r="Y1036" s="4">
        <v>96</v>
      </c>
      <c r="Z1036" s="4">
        <v>5</v>
      </c>
      <c r="AA1036" s="4">
        <v>45</v>
      </c>
      <c r="AB1036" s="4">
        <v>1</v>
      </c>
      <c r="AC1036" s="4">
        <v>13</v>
      </c>
      <c r="AD1036" s="4">
        <v>42</v>
      </c>
      <c r="AE1036" s="4">
        <v>101</v>
      </c>
      <c r="AF1036" s="4">
        <v>0</v>
      </c>
      <c r="AG1036" s="4">
        <v>8</v>
      </c>
      <c r="AH1036" s="4">
        <v>37</v>
      </c>
      <c r="AI1036" s="4">
        <v>69</v>
      </c>
      <c r="AJ1036" s="4">
        <v>3</v>
      </c>
      <c r="AK1036" s="4">
        <v>20</v>
      </c>
      <c r="AL1036" s="4">
        <v>30</v>
      </c>
      <c r="AM1036" s="4">
        <v>41</v>
      </c>
      <c r="AN1036" s="4">
        <v>0</v>
      </c>
      <c r="AO1036" s="4">
        <v>0</v>
      </c>
      <c r="AP1036" s="4">
        <v>4</v>
      </c>
      <c r="AQ1036" s="4">
        <v>38</v>
      </c>
      <c r="AR1036" s="3" t="s">
        <v>62</v>
      </c>
      <c r="AS1036" s="3" t="s">
        <v>62</v>
      </c>
      <c r="AT1036" s="3" t="s">
        <v>62</v>
      </c>
      <c r="AV1036" s="6" t="str">
        <f>HYPERLINK("http://mcgill.on.worldcat.org/oclc/173239129","Catalog Record")</f>
        <v>Catalog Record</v>
      </c>
      <c r="AW1036" s="6" t="str">
        <f>HYPERLINK("http://www.worldcat.org/oclc/173239129","WorldCat Record")</f>
        <v>WorldCat Record</v>
      </c>
      <c r="AX1036" s="3" t="s">
        <v>10429</v>
      </c>
      <c r="AY1036" s="3" t="s">
        <v>10430</v>
      </c>
      <c r="AZ1036" s="3" t="s">
        <v>10431</v>
      </c>
      <c r="BA1036" s="3" t="s">
        <v>10431</v>
      </c>
      <c r="BB1036" s="3" t="s">
        <v>10432</v>
      </c>
      <c r="BC1036" s="3" t="s">
        <v>102</v>
      </c>
      <c r="BD1036" s="3" t="s">
        <v>231</v>
      </c>
      <c r="BE1036" s="3" t="s">
        <v>10433</v>
      </c>
      <c r="BF1036" s="3" t="s">
        <v>10432</v>
      </c>
      <c r="BG1036" s="3" t="s">
        <v>10434</v>
      </c>
    </row>
    <row r="1037" spans="1:59" ht="58" x14ac:dyDescent="0.35">
      <c r="A1037" s="2" t="s">
        <v>89</v>
      </c>
      <c r="B1037" s="2" t="s">
        <v>90</v>
      </c>
      <c r="C1037" s="2" t="s">
        <v>10435</v>
      </c>
      <c r="D1037" s="2" t="s">
        <v>10436</v>
      </c>
      <c r="E1037" s="2" t="s">
        <v>10437</v>
      </c>
      <c r="G1037" s="3" t="s">
        <v>62</v>
      </c>
      <c r="I1037" s="3" t="s">
        <v>62</v>
      </c>
      <c r="J1037" s="3" t="s">
        <v>62</v>
      </c>
      <c r="K1037" s="3" t="s">
        <v>63</v>
      </c>
      <c r="L1037" s="2" t="s">
        <v>10438</v>
      </c>
      <c r="M1037" s="2" t="s">
        <v>10439</v>
      </c>
      <c r="N1037" s="3" t="s">
        <v>712</v>
      </c>
      <c r="P1037" s="3" t="s">
        <v>85</v>
      </c>
      <c r="Q1037" s="2" t="s">
        <v>10440</v>
      </c>
      <c r="R1037" s="3" t="s">
        <v>65</v>
      </c>
      <c r="S1037" s="4">
        <v>2</v>
      </c>
      <c r="T1037" s="4">
        <v>2</v>
      </c>
      <c r="W1037" s="5" t="s">
        <v>67</v>
      </c>
      <c r="X1037" s="5" t="s">
        <v>67</v>
      </c>
      <c r="Y1037" s="4">
        <v>4</v>
      </c>
      <c r="Z1037" s="4">
        <v>1</v>
      </c>
      <c r="AA1037" s="4">
        <v>35</v>
      </c>
      <c r="AB1037" s="4">
        <v>1</v>
      </c>
      <c r="AC1037" s="4">
        <v>29</v>
      </c>
      <c r="AD1037" s="4">
        <v>3</v>
      </c>
      <c r="AE1037" s="4">
        <v>17</v>
      </c>
      <c r="AF1037" s="4">
        <v>0</v>
      </c>
      <c r="AG1037" s="4">
        <v>10</v>
      </c>
      <c r="AH1037" s="4">
        <v>3</v>
      </c>
      <c r="AI1037" s="4">
        <v>6</v>
      </c>
      <c r="AJ1037" s="4">
        <v>0</v>
      </c>
      <c r="AK1037" s="4">
        <v>7</v>
      </c>
      <c r="AL1037" s="4">
        <v>2</v>
      </c>
      <c r="AM1037" s="4">
        <v>2</v>
      </c>
      <c r="AN1037" s="4">
        <v>0</v>
      </c>
      <c r="AO1037" s="4">
        <v>0</v>
      </c>
      <c r="AP1037" s="4">
        <v>0</v>
      </c>
      <c r="AQ1037" s="4">
        <v>12</v>
      </c>
      <c r="AR1037" s="3" t="s">
        <v>62</v>
      </c>
      <c r="AS1037" s="3" t="s">
        <v>62</v>
      </c>
      <c r="AT1037" s="3" t="s">
        <v>62</v>
      </c>
      <c r="AV1037" s="6" t="str">
        <f>HYPERLINK("http://mcgill.on.worldcat.org/oclc/913651748","Catalog Record")</f>
        <v>Catalog Record</v>
      </c>
      <c r="AW1037" s="6" t="str">
        <f>HYPERLINK("http://www.worldcat.org/oclc/913651748","WorldCat Record")</f>
        <v>WorldCat Record</v>
      </c>
      <c r="AX1037" s="3" t="s">
        <v>10441</v>
      </c>
      <c r="AY1037" s="3" t="s">
        <v>10442</v>
      </c>
      <c r="AZ1037" s="3" t="s">
        <v>10443</v>
      </c>
      <c r="BA1037" s="3" t="s">
        <v>10443</v>
      </c>
      <c r="BB1037" s="3" t="s">
        <v>10444</v>
      </c>
      <c r="BC1037" s="3" t="s">
        <v>102</v>
      </c>
      <c r="BD1037" s="3" t="s">
        <v>231</v>
      </c>
      <c r="BE1037" s="3" t="s">
        <v>10445</v>
      </c>
      <c r="BF1037" s="3" t="s">
        <v>10444</v>
      </c>
      <c r="BG1037" s="3" t="s">
        <v>10446</v>
      </c>
    </row>
    <row r="1038" spans="1:59" ht="58" x14ac:dyDescent="0.35">
      <c r="A1038" s="2" t="s">
        <v>89</v>
      </c>
      <c r="B1038" s="2" t="s">
        <v>90</v>
      </c>
      <c r="C1038" s="2" t="s">
        <v>10447</v>
      </c>
      <c r="D1038" s="2" t="s">
        <v>10448</v>
      </c>
      <c r="E1038" s="2" t="s">
        <v>10449</v>
      </c>
      <c r="G1038" s="3" t="s">
        <v>62</v>
      </c>
      <c r="I1038" s="3" t="s">
        <v>62</v>
      </c>
      <c r="J1038" s="3" t="s">
        <v>62</v>
      </c>
      <c r="K1038" s="3" t="s">
        <v>63</v>
      </c>
      <c r="L1038" s="2" t="s">
        <v>10438</v>
      </c>
      <c r="M1038" s="2" t="s">
        <v>10450</v>
      </c>
      <c r="N1038" s="3" t="s">
        <v>1038</v>
      </c>
      <c r="P1038" s="3" t="s">
        <v>64</v>
      </c>
      <c r="Q1038" s="2" t="s">
        <v>10451</v>
      </c>
      <c r="R1038" s="3" t="s">
        <v>65</v>
      </c>
      <c r="S1038" s="4">
        <v>6</v>
      </c>
      <c r="T1038" s="4">
        <v>6</v>
      </c>
      <c r="U1038" s="5" t="s">
        <v>10452</v>
      </c>
      <c r="V1038" s="5" t="s">
        <v>10452</v>
      </c>
      <c r="W1038" s="5" t="s">
        <v>67</v>
      </c>
      <c r="X1038" s="5" t="s">
        <v>67</v>
      </c>
      <c r="Y1038" s="4">
        <v>229</v>
      </c>
      <c r="Z1038" s="4">
        <v>28</v>
      </c>
      <c r="AA1038" s="4">
        <v>38</v>
      </c>
      <c r="AB1038" s="4">
        <v>2</v>
      </c>
      <c r="AC1038" s="4">
        <v>9</v>
      </c>
      <c r="AD1038" s="4">
        <v>82</v>
      </c>
      <c r="AE1038" s="4">
        <v>90</v>
      </c>
      <c r="AF1038" s="4">
        <v>1</v>
      </c>
      <c r="AG1038" s="4">
        <v>5</v>
      </c>
      <c r="AH1038" s="4">
        <v>65</v>
      </c>
      <c r="AI1038" s="4">
        <v>69</v>
      </c>
      <c r="AJ1038" s="4">
        <v>17</v>
      </c>
      <c r="AK1038" s="4">
        <v>21</v>
      </c>
      <c r="AL1038" s="4">
        <v>37</v>
      </c>
      <c r="AM1038" s="4">
        <v>38</v>
      </c>
      <c r="AN1038" s="4">
        <v>0</v>
      </c>
      <c r="AO1038" s="4">
        <v>0</v>
      </c>
      <c r="AP1038" s="4">
        <v>25</v>
      </c>
      <c r="AQ1038" s="4">
        <v>31</v>
      </c>
      <c r="AR1038" s="3" t="s">
        <v>62</v>
      </c>
      <c r="AS1038" s="3" t="s">
        <v>62</v>
      </c>
      <c r="AT1038" s="3" t="s">
        <v>62</v>
      </c>
      <c r="AV1038" s="6" t="str">
        <f>HYPERLINK("http://mcgill.on.worldcat.org/oclc/946160420","Catalog Record")</f>
        <v>Catalog Record</v>
      </c>
      <c r="AW1038" s="6" t="str">
        <f>HYPERLINK("http://www.worldcat.org/oclc/946160420","WorldCat Record")</f>
        <v>WorldCat Record</v>
      </c>
      <c r="AX1038" s="3" t="s">
        <v>10453</v>
      </c>
      <c r="AY1038" s="3" t="s">
        <v>10454</v>
      </c>
      <c r="AZ1038" s="3" t="s">
        <v>10455</v>
      </c>
      <c r="BA1038" s="3" t="s">
        <v>10455</v>
      </c>
      <c r="BB1038" s="3" t="s">
        <v>10456</v>
      </c>
      <c r="BC1038" s="3" t="s">
        <v>102</v>
      </c>
      <c r="BD1038" s="3" t="s">
        <v>68</v>
      </c>
      <c r="BE1038" s="3" t="s">
        <v>10457</v>
      </c>
      <c r="BF1038" s="3" t="s">
        <v>10456</v>
      </c>
      <c r="BG1038" s="3" t="s">
        <v>10458</v>
      </c>
    </row>
    <row r="1039" spans="1:59" ht="58" x14ac:dyDescent="0.35">
      <c r="A1039" s="2" t="s">
        <v>89</v>
      </c>
      <c r="B1039" s="2" t="s">
        <v>6791</v>
      </c>
      <c r="C1039" s="2" t="s">
        <v>10459</v>
      </c>
      <c r="D1039" s="2" t="s">
        <v>10460</v>
      </c>
      <c r="E1039" s="2" t="s">
        <v>10461</v>
      </c>
      <c r="G1039" s="3" t="s">
        <v>62</v>
      </c>
      <c r="I1039" s="3" t="s">
        <v>61</v>
      </c>
      <c r="J1039" s="3" t="s">
        <v>61</v>
      </c>
      <c r="K1039" s="3" t="s">
        <v>63</v>
      </c>
      <c r="L1039" s="2" t="s">
        <v>10462</v>
      </c>
      <c r="M1039" s="2" t="s">
        <v>10463</v>
      </c>
      <c r="N1039" s="3" t="s">
        <v>2975</v>
      </c>
      <c r="O1039" s="2" t="s">
        <v>2986</v>
      </c>
      <c r="P1039" s="3" t="s">
        <v>64</v>
      </c>
      <c r="R1039" s="3" t="s">
        <v>65</v>
      </c>
      <c r="S1039" s="4">
        <v>14</v>
      </c>
      <c r="T1039" s="4">
        <v>39</v>
      </c>
      <c r="U1039" s="5" t="s">
        <v>6353</v>
      </c>
      <c r="V1039" s="5" t="s">
        <v>9358</v>
      </c>
      <c r="W1039" s="5" t="s">
        <v>67</v>
      </c>
      <c r="X1039" s="5" t="s">
        <v>67</v>
      </c>
      <c r="Y1039" s="4">
        <v>594</v>
      </c>
      <c r="Z1039" s="4">
        <v>48</v>
      </c>
      <c r="AA1039" s="4">
        <v>86</v>
      </c>
      <c r="AB1039" s="4">
        <v>3</v>
      </c>
      <c r="AC1039" s="4">
        <v>14</v>
      </c>
      <c r="AD1039" s="4">
        <v>105</v>
      </c>
      <c r="AE1039" s="4">
        <v>149</v>
      </c>
      <c r="AF1039" s="4">
        <v>1</v>
      </c>
      <c r="AG1039" s="4">
        <v>9</v>
      </c>
      <c r="AH1039" s="4">
        <v>88</v>
      </c>
      <c r="AI1039" s="4">
        <v>108</v>
      </c>
      <c r="AJ1039" s="4">
        <v>16</v>
      </c>
      <c r="AK1039" s="4">
        <v>26</v>
      </c>
      <c r="AL1039" s="4">
        <v>41</v>
      </c>
      <c r="AM1039" s="4">
        <v>53</v>
      </c>
      <c r="AN1039" s="4">
        <v>0</v>
      </c>
      <c r="AO1039" s="4">
        <v>0</v>
      </c>
      <c r="AP1039" s="4">
        <v>27</v>
      </c>
      <c r="AQ1039" s="4">
        <v>51</v>
      </c>
      <c r="AR1039" s="3" t="s">
        <v>62</v>
      </c>
      <c r="AS1039" s="3" t="s">
        <v>62</v>
      </c>
      <c r="AT1039" s="3" t="s">
        <v>61</v>
      </c>
      <c r="AU1039" s="6" t="str">
        <f>HYPERLINK("http://catalog.hathitrust.org/Record/004177337","HathiTrust Record")</f>
        <v>HathiTrust Record</v>
      </c>
      <c r="AV1039" s="6" t="str">
        <f>HYPERLINK("http://mcgill.on.worldcat.org/oclc/45172858","Catalog Record")</f>
        <v>Catalog Record</v>
      </c>
      <c r="AW1039" s="6" t="str">
        <f>HYPERLINK("http://www.worldcat.org/oclc/45172858","WorldCat Record")</f>
        <v>WorldCat Record</v>
      </c>
      <c r="AX1039" s="3" t="s">
        <v>10464</v>
      </c>
      <c r="AY1039" s="3" t="s">
        <v>10465</v>
      </c>
      <c r="AZ1039" s="3" t="s">
        <v>10466</v>
      </c>
      <c r="BA1039" s="3" t="s">
        <v>10466</v>
      </c>
      <c r="BB1039" s="3" t="s">
        <v>10467</v>
      </c>
      <c r="BC1039" s="3" t="s">
        <v>102</v>
      </c>
      <c r="BD1039" s="3" t="s">
        <v>68</v>
      </c>
      <c r="BE1039" s="3" t="s">
        <v>10468</v>
      </c>
      <c r="BF1039" s="3" t="s">
        <v>10467</v>
      </c>
      <c r="BG1039" s="3" t="s">
        <v>10469</v>
      </c>
    </row>
    <row r="1040" spans="1:59" ht="58" x14ac:dyDescent="0.35">
      <c r="A1040" s="2" t="s">
        <v>89</v>
      </c>
      <c r="B1040" s="2" t="s">
        <v>90</v>
      </c>
      <c r="C1040" s="2" t="s">
        <v>10459</v>
      </c>
      <c r="D1040" s="2" t="s">
        <v>10460</v>
      </c>
      <c r="E1040" s="2" t="s">
        <v>10461</v>
      </c>
      <c r="G1040" s="3" t="s">
        <v>62</v>
      </c>
      <c r="I1040" s="3" t="s">
        <v>61</v>
      </c>
      <c r="J1040" s="3" t="s">
        <v>61</v>
      </c>
      <c r="K1040" s="3" t="s">
        <v>63</v>
      </c>
      <c r="L1040" s="2" t="s">
        <v>10462</v>
      </c>
      <c r="M1040" s="2" t="s">
        <v>10463</v>
      </c>
      <c r="N1040" s="3" t="s">
        <v>2975</v>
      </c>
      <c r="O1040" s="2" t="s">
        <v>2986</v>
      </c>
      <c r="P1040" s="3" t="s">
        <v>64</v>
      </c>
      <c r="R1040" s="3" t="s">
        <v>65</v>
      </c>
      <c r="S1040" s="4">
        <v>25</v>
      </c>
      <c r="T1040" s="4">
        <v>39</v>
      </c>
      <c r="U1040" s="5" t="s">
        <v>9358</v>
      </c>
      <c r="V1040" s="5" t="s">
        <v>9358</v>
      </c>
      <c r="W1040" s="5" t="s">
        <v>67</v>
      </c>
      <c r="X1040" s="5" t="s">
        <v>67</v>
      </c>
      <c r="Y1040" s="4">
        <v>594</v>
      </c>
      <c r="Z1040" s="4">
        <v>48</v>
      </c>
      <c r="AA1040" s="4">
        <v>86</v>
      </c>
      <c r="AB1040" s="4">
        <v>3</v>
      </c>
      <c r="AC1040" s="4">
        <v>14</v>
      </c>
      <c r="AD1040" s="4">
        <v>105</v>
      </c>
      <c r="AE1040" s="4">
        <v>149</v>
      </c>
      <c r="AF1040" s="4">
        <v>1</v>
      </c>
      <c r="AG1040" s="4">
        <v>9</v>
      </c>
      <c r="AH1040" s="4">
        <v>88</v>
      </c>
      <c r="AI1040" s="4">
        <v>108</v>
      </c>
      <c r="AJ1040" s="4">
        <v>16</v>
      </c>
      <c r="AK1040" s="4">
        <v>26</v>
      </c>
      <c r="AL1040" s="4">
        <v>41</v>
      </c>
      <c r="AM1040" s="4">
        <v>53</v>
      </c>
      <c r="AN1040" s="4">
        <v>0</v>
      </c>
      <c r="AO1040" s="4">
        <v>0</v>
      </c>
      <c r="AP1040" s="4">
        <v>27</v>
      </c>
      <c r="AQ1040" s="4">
        <v>51</v>
      </c>
      <c r="AR1040" s="3" t="s">
        <v>62</v>
      </c>
      <c r="AS1040" s="3" t="s">
        <v>62</v>
      </c>
      <c r="AT1040" s="3" t="s">
        <v>61</v>
      </c>
      <c r="AU1040" s="6" t="str">
        <f>HYPERLINK("http://catalog.hathitrust.org/Record/004177337","HathiTrust Record")</f>
        <v>HathiTrust Record</v>
      </c>
      <c r="AV1040" s="6" t="str">
        <f>HYPERLINK("http://mcgill.on.worldcat.org/oclc/45172858","Catalog Record")</f>
        <v>Catalog Record</v>
      </c>
      <c r="AW1040" s="6" t="str">
        <f>HYPERLINK("http://www.worldcat.org/oclc/45172858","WorldCat Record")</f>
        <v>WorldCat Record</v>
      </c>
      <c r="AX1040" s="3" t="s">
        <v>10464</v>
      </c>
      <c r="AY1040" s="3" t="s">
        <v>10465</v>
      </c>
      <c r="AZ1040" s="3" t="s">
        <v>10466</v>
      </c>
      <c r="BA1040" s="3" t="s">
        <v>10466</v>
      </c>
      <c r="BB1040" s="3" t="s">
        <v>10470</v>
      </c>
      <c r="BC1040" s="3" t="s">
        <v>102</v>
      </c>
      <c r="BD1040" s="3" t="s">
        <v>68</v>
      </c>
      <c r="BE1040" s="3" t="s">
        <v>10468</v>
      </c>
      <c r="BF1040" s="3" t="s">
        <v>10470</v>
      </c>
      <c r="BG1040" s="3" t="s">
        <v>10471</v>
      </c>
    </row>
    <row r="1041" spans="1:59" ht="58" x14ac:dyDescent="0.35">
      <c r="A1041" s="2" t="s">
        <v>89</v>
      </c>
      <c r="B1041" s="2" t="s">
        <v>90</v>
      </c>
      <c r="C1041" s="2" t="s">
        <v>10472</v>
      </c>
      <c r="D1041" s="2" t="s">
        <v>10473</v>
      </c>
      <c r="E1041" s="2" t="s">
        <v>10474</v>
      </c>
      <c r="G1041" s="3" t="s">
        <v>62</v>
      </c>
      <c r="I1041" s="3" t="s">
        <v>62</v>
      </c>
      <c r="J1041" s="3" t="s">
        <v>61</v>
      </c>
      <c r="K1041" s="3" t="s">
        <v>63</v>
      </c>
      <c r="L1041" s="2" t="s">
        <v>10475</v>
      </c>
      <c r="M1041" s="2" t="s">
        <v>10476</v>
      </c>
      <c r="N1041" s="3" t="s">
        <v>684</v>
      </c>
      <c r="O1041" s="2" t="s">
        <v>2458</v>
      </c>
      <c r="P1041" s="3" t="s">
        <v>64</v>
      </c>
      <c r="R1041" s="3" t="s">
        <v>65</v>
      </c>
      <c r="S1041" s="4">
        <v>11</v>
      </c>
      <c r="T1041" s="4">
        <v>11</v>
      </c>
      <c r="U1041" s="5" t="s">
        <v>10477</v>
      </c>
      <c r="V1041" s="5" t="s">
        <v>10477</v>
      </c>
      <c r="W1041" s="5" t="s">
        <v>67</v>
      </c>
      <c r="X1041" s="5" t="s">
        <v>67</v>
      </c>
      <c r="Y1041" s="4">
        <v>495</v>
      </c>
      <c r="Z1041" s="4">
        <v>40</v>
      </c>
      <c r="AA1041" s="4">
        <v>86</v>
      </c>
      <c r="AB1041" s="4">
        <v>1</v>
      </c>
      <c r="AC1041" s="4">
        <v>14</v>
      </c>
      <c r="AD1041" s="4">
        <v>79</v>
      </c>
      <c r="AE1041" s="4">
        <v>149</v>
      </c>
      <c r="AF1041" s="4">
        <v>0</v>
      </c>
      <c r="AG1041" s="4">
        <v>9</v>
      </c>
      <c r="AH1041" s="4">
        <v>63</v>
      </c>
      <c r="AI1041" s="4">
        <v>108</v>
      </c>
      <c r="AJ1041" s="4">
        <v>13</v>
      </c>
      <c r="AK1041" s="4">
        <v>26</v>
      </c>
      <c r="AL1041" s="4">
        <v>34</v>
      </c>
      <c r="AM1041" s="4">
        <v>53</v>
      </c>
      <c r="AN1041" s="4">
        <v>0</v>
      </c>
      <c r="AO1041" s="4">
        <v>0</v>
      </c>
      <c r="AP1041" s="4">
        <v>25</v>
      </c>
      <c r="AQ1041" s="4">
        <v>51</v>
      </c>
      <c r="AR1041" s="3" t="s">
        <v>62</v>
      </c>
      <c r="AS1041" s="3" t="s">
        <v>62</v>
      </c>
      <c r="AT1041" s="3" t="s">
        <v>62</v>
      </c>
      <c r="AV1041" s="6" t="str">
        <f>HYPERLINK("http://mcgill.on.worldcat.org/oclc/607976534","Catalog Record")</f>
        <v>Catalog Record</v>
      </c>
      <c r="AW1041" s="6" t="str">
        <f>HYPERLINK("http://www.worldcat.org/oclc/607976534","WorldCat Record")</f>
        <v>WorldCat Record</v>
      </c>
      <c r="AX1041" s="3" t="s">
        <v>10464</v>
      </c>
      <c r="AY1041" s="3" t="s">
        <v>10478</v>
      </c>
      <c r="AZ1041" s="3" t="s">
        <v>10479</v>
      </c>
      <c r="BA1041" s="3" t="s">
        <v>10479</v>
      </c>
      <c r="BB1041" s="3" t="s">
        <v>10480</v>
      </c>
      <c r="BC1041" s="3" t="s">
        <v>102</v>
      </c>
      <c r="BD1041" s="3" t="s">
        <v>68</v>
      </c>
      <c r="BE1041" s="3" t="s">
        <v>10481</v>
      </c>
      <c r="BF1041" s="3" t="s">
        <v>10480</v>
      </c>
      <c r="BG1041" s="3" t="s">
        <v>10482</v>
      </c>
    </row>
    <row r="1042" spans="1:59" ht="58" x14ac:dyDescent="0.35">
      <c r="A1042" s="2" t="s">
        <v>89</v>
      </c>
      <c r="B1042" s="2" t="s">
        <v>6791</v>
      </c>
      <c r="C1042" s="2" t="s">
        <v>10483</v>
      </c>
      <c r="D1042" s="2" t="s">
        <v>10484</v>
      </c>
      <c r="E1042" s="2" t="s">
        <v>10485</v>
      </c>
      <c r="G1042" s="3" t="s">
        <v>62</v>
      </c>
      <c r="I1042" s="3" t="s">
        <v>62</v>
      </c>
      <c r="J1042" s="3" t="s">
        <v>62</v>
      </c>
      <c r="K1042" s="3" t="s">
        <v>63</v>
      </c>
      <c r="L1042" s="2" t="s">
        <v>10486</v>
      </c>
      <c r="M1042" s="2" t="s">
        <v>10487</v>
      </c>
      <c r="N1042" s="3" t="s">
        <v>640</v>
      </c>
      <c r="O1042" s="2" t="s">
        <v>8443</v>
      </c>
      <c r="P1042" s="3" t="s">
        <v>64</v>
      </c>
      <c r="R1042" s="3" t="s">
        <v>65</v>
      </c>
      <c r="S1042" s="4">
        <v>8</v>
      </c>
      <c r="T1042" s="4">
        <v>8</v>
      </c>
      <c r="U1042" s="5" t="s">
        <v>370</v>
      </c>
      <c r="V1042" s="5" t="s">
        <v>370</v>
      </c>
      <c r="W1042" s="5" t="s">
        <v>67</v>
      </c>
      <c r="X1042" s="5" t="s">
        <v>67</v>
      </c>
      <c r="Y1042" s="4">
        <v>278</v>
      </c>
      <c r="Z1042" s="4">
        <v>5</v>
      </c>
      <c r="AA1042" s="4">
        <v>17</v>
      </c>
      <c r="AB1042" s="4">
        <v>1</v>
      </c>
      <c r="AC1042" s="4">
        <v>5</v>
      </c>
      <c r="AD1042" s="4">
        <v>34</v>
      </c>
      <c r="AE1042" s="4">
        <v>83</v>
      </c>
      <c r="AF1042" s="4">
        <v>0</v>
      </c>
      <c r="AG1042" s="4">
        <v>1</v>
      </c>
      <c r="AH1042" s="4">
        <v>33</v>
      </c>
      <c r="AI1042" s="4">
        <v>76</v>
      </c>
      <c r="AJ1042" s="4">
        <v>2</v>
      </c>
      <c r="AK1042" s="4">
        <v>8</v>
      </c>
      <c r="AL1042" s="4">
        <v>17</v>
      </c>
      <c r="AM1042" s="4">
        <v>40</v>
      </c>
      <c r="AN1042" s="4">
        <v>0</v>
      </c>
      <c r="AO1042" s="4">
        <v>0</v>
      </c>
      <c r="AP1042" s="4">
        <v>2</v>
      </c>
      <c r="AQ1042" s="4">
        <v>10</v>
      </c>
      <c r="AR1042" s="3" t="s">
        <v>62</v>
      </c>
      <c r="AS1042" s="3" t="s">
        <v>62</v>
      </c>
      <c r="AT1042" s="3" t="s">
        <v>62</v>
      </c>
      <c r="AV1042" s="6" t="str">
        <f>HYPERLINK("http://mcgill.on.worldcat.org/oclc/55076076","Catalog Record")</f>
        <v>Catalog Record</v>
      </c>
      <c r="AW1042" s="6" t="str">
        <f>HYPERLINK("http://www.worldcat.org/oclc/55076076","WorldCat Record")</f>
        <v>WorldCat Record</v>
      </c>
      <c r="AX1042" s="3" t="s">
        <v>10488</v>
      </c>
      <c r="AY1042" s="3" t="s">
        <v>10489</v>
      </c>
      <c r="AZ1042" s="3" t="s">
        <v>10490</v>
      </c>
      <c r="BA1042" s="3" t="s">
        <v>10490</v>
      </c>
      <c r="BB1042" s="3" t="s">
        <v>10491</v>
      </c>
      <c r="BC1042" s="3" t="s">
        <v>102</v>
      </c>
      <c r="BD1042" s="3" t="s">
        <v>68</v>
      </c>
      <c r="BE1042" s="3" t="s">
        <v>10492</v>
      </c>
      <c r="BF1042" s="3" t="s">
        <v>10491</v>
      </c>
      <c r="BG1042" s="3" t="s">
        <v>10493</v>
      </c>
    </row>
    <row r="1043" spans="1:59" ht="58" x14ac:dyDescent="0.35">
      <c r="A1043" s="2" t="s">
        <v>89</v>
      </c>
      <c r="B1043" s="2" t="s">
        <v>90</v>
      </c>
      <c r="C1043" s="2" t="s">
        <v>10494</v>
      </c>
      <c r="D1043" s="2" t="s">
        <v>10495</v>
      </c>
      <c r="E1043" s="2" t="s">
        <v>10496</v>
      </c>
      <c r="G1043" s="3" t="s">
        <v>62</v>
      </c>
      <c r="I1043" s="3" t="s">
        <v>62</v>
      </c>
      <c r="J1043" s="3" t="s">
        <v>62</v>
      </c>
      <c r="K1043" s="3" t="s">
        <v>63</v>
      </c>
      <c r="L1043" s="2" t="s">
        <v>10497</v>
      </c>
      <c r="M1043" s="2" t="s">
        <v>10498</v>
      </c>
      <c r="N1043" s="3" t="s">
        <v>539</v>
      </c>
      <c r="P1043" s="3" t="s">
        <v>64</v>
      </c>
      <c r="Q1043" s="2" t="s">
        <v>10499</v>
      </c>
      <c r="R1043" s="3" t="s">
        <v>65</v>
      </c>
      <c r="S1043" s="4">
        <v>8</v>
      </c>
      <c r="T1043" s="4">
        <v>8</v>
      </c>
      <c r="U1043" s="5" t="s">
        <v>10500</v>
      </c>
      <c r="V1043" s="5" t="s">
        <v>10500</v>
      </c>
      <c r="W1043" s="5" t="s">
        <v>67</v>
      </c>
      <c r="X1043" s="5" t="s">
        <v>67</v>
      </c>
      <c r="Y1043" s="4">
        <v>306</v>
      </c>
      <c r="Z1043" s="4">
        <v>16</v>
      </c>
      <c r="AA1043" s="4">
        <v>92</v>
      </c>
      <c r="AB1043" s="4">
        <v>2</v>
      </c>
      <c r="AC1043" s="4">
        <v>17</v>
      </c>
      <c r="AD1043" s="4">
        <v>94</v>
      </c>
      <c r="AE1043" s="4">
        <v>134</v>
      </c>
      <c r="AF1043" s="4">
        <v>1</v>
      </c>
      <c r="AG1043" s="4">
        <v>8</v>
      </c>
      <c r="AH1043" s="4">
        <v>86</v>
      </c>
      <c r="AI1043" s="4">
        <v>98</v>
      </c>
      <c r="AJ1043" s="4">
        <v>13</v>
      </c>
      <c r="AK1043" s="4">
        <v>21</v>
      </c>
      <c r="AL1043" s="4">
        <v>49</v>
      </c>
      <c r="AM1043" s="4">
        <v>53</v>
      </c>
      <c r="AN1043" s="4">
        <v>0</v>
      </c>
      <c r="AO1043" s="4">
        <v>0</v>
      </c>
      <c r="AP1043" s="4">
        <v>13</v>
      </c>
      <c r="AQ1043" s="4">
        <v>43</v>
      </c>
      <c r="AR1043" s="3" t="s">
        <v>62</v>
      </c>
      <c r="AS1043" s="3" t="s">
        <v>62</v>
      </c>
      <c r="AT1043" s="3" t="s">
        <v>62</v>
      </c>
      <c r="AV1043" s="6" t="str">
        <f>HYPERLINK("http://mcgill.on.worldcat.org/oclc/37246719","Catalog Record")</f>
        <v>Catalog Record</v>
      </c>
      <c r="AW1043" s="6" t="str">
        <f>HYPERLINK("http://www.worldcat.org/oclc/37246719","WorldCat Record")</f>
        <v>WorldCat Record</v>
      </c>
      <c r="AX1043" s="3" t="s">
        <v>10501</v>
      </c>
      <c r="AY1043" s="3" t="s">
        <v>10502</v>
      </c>
      <c r="AZ1043" s="3" t="s">
        <v>10503</v>
      </c>
      <c r="BA1043" s="3" t="s">
        <v>10503</v>
      </c>
      <c r="BB1043" s="3" t="s">
        <v>10504</v>
      </c>
      <c r="BC1043" s="3" t="s">
        <v>102</v>
      </c>
      <c r="BD1043" s="3" t="s">
        <v>68</v>
      </c>
      <c r="BE1043" s="3" t="s">
        <v>10505</v>
      </c>
      <c r="BF1043" s="3" t="s">
        <v>10504</v>
      </c>
      <c r="BG1043" s="3" t="s">
        <v>10506</v>
      </c>
    </row>
    <row r="1044" spans="1:59" ht="58" x14ac:dyDescent="0.35">
      <c r="A1044" s="2" t="s">
        <v>89</v>
      </c>
      <c r="B1044" s="2" t="s">
        <v>90</v>
      </c>
      <c r="C1044" s="2" t="s">
        <v>10507</v>
      </c>
      <c r="D1044" s="2" t="s">
        <v>10508</v>
      </c>
      <c r="E1044" s="2" t="s">
        <v>10509</v>
      </c>
      <c r="G1044" s="3" t="s">
        <v>62</v>
      </c>
      <c r="I1044" s="3" t="s">
        <v>62</v>
      </c>
      <c r="J1044" s="3" t="s">
        <v>62</v>
      </c>
      <c r="K1044" s="3" t="s">
        <v>63</v>
      </c>
      <c r="M1044" s="2" t="s">
        <v>10510</v>
      </c>
      <c r="N1044" s="3" t="s">
        <v>698</v>
      </c>
      <c r="P1044" s="3" t="s">
        <v>64</v>
      </c>
      <c r="R1044" s="3" t="s">
        <v>65</v>
      </c>
      <c r="S1044" s="4">
        <v>3</v>
      </c>
      <c r="T1044" s="4">
        <v>3</v>
      </c>
      <c r="U1044" s="5" t="s">
        <v>8638</v>
      </c>
      <c r="V1044" s="5" t="s">
        <v>8638</v>
      </c>
      <c r="W1044" s="5" t="s">
        <v>67</v>
      </c>
      <c r="X1044" s="5" t="s">
        <v>67</v>
      </c>
      <c r="Y1044" s="4">
        <v>10</v>
      </c>
      <c r="Z1044" s="4">
        <v>9</v>
      </c>
      <c r="AA1044" s="4">
        <v>14</v>
      </c>
      <c r="AB1044" s="4">
        <v>2</v>
      </c>
      <c r="AC1044" s="4">
        <v>5</v>
      </c>
      <c r="AD1044" s="4">
        <v>8</v>
      </c>
      <c r="AE1044" s="4">
        <v>13</v>
      </c>
      <c r="AF1044" s="4">
        <v>1</v>
      </c>
      <c r="AG1044" s="4">
        <v>4</v>
      </c>
      <c r="AH1044" s="4">
        <v>2</v>
      </c>
      <c r="AI1044" s="4">
        <v>4</v>
      </c>
      <c r="AJ1044" s="4">
        <v>6</v>
      </c>
      <c r="AK1044" s="4">
        <v>9</v>
      </c>
      <c r="AL1044" s="4">
        <v>0</v>
      </c>
      <c r="AM1044" s="4">
        <v>0</v>
      </c>
      <c r="AN1044" s="4">
        <v>0</v>
      </c>
      <c r="AO1044" s="4">
        <v>0</v>
      </c>
      <c r="AP1044" s="4">
        <v>8</v>
      </c>
      <c r="AQ1044" s="4">
        <v>13</v>
      </c>
      <c r="AR1044" s="3" t="s">
        <v>61</v>
      </c>
      <c r="AS1044" s="3" t="s">
        <v>62</v>
      </c>
      <c r="AT1044" s="3" t="s">
        <v>62</v>
      </c>
      <c r="AV1044" s="6" t="str">
        <f>HYPERLINK("http://mcgill.on.worldcat.org/oclc/816661559","Catalog Record")</f>
        <v>Catalog Record</v>
      </c>
      <c r="AW1044" s="6" t="str">
        <f>HYPERLINK("http://www.worldcat.org/oclc/816661559","WorldCat Record")</f>
        <v>WorldCat Record</v>
      </c>
      <c r="AX1044" s="3" t="s">
        <v>10511</v>
      </c>
      <c r="AY1044" s="3" t="s">
        <v>10512</v>
      </c>
      <c r="AZ1044" s="3" t="s">
        <v>10513</v>
      </c>
      <c r="BA1044" s="3" t="s">
        <v>10513</v>
      </c>
      <c r="BB1044" s="3" t="s">
        <v>10514</v>
      </c>
      <c r="BC1044" s="3" t="s">
        <v>102</v>
      </c>
      <c r="BD1044" s="3" t="s">
        <v>68</v>
      </c>
      <c r="BE1044" s="3" t="s">
        <v>10515</v>
      </c>
      <c r="BF1044" s="3" t="s">
        <v>10514</v>
      </c>
      <c r="BG1044" s="3" t="s">
        <v>10516</v>
      </c>
    </row>
    <row r="1045" spans="1:59" ht="58" x14ac:dyDescent="0.35">
      <c r="A1045" s="2" t="s">
        <v>89</v>
      </c>
      <c r="B1045" s="2" t="s">
        <v>90</v>
      </c>
      <c r="C1045" s="2" t="s">
        <v>10517</v>
      </c>
      <c r="D1045" s="2" t="s">
        <v>10518</v>
      </c>
      <c r="E1045" s="2" t="s">
        <v>10519</v>
      </c>
      <c r="G1045" s="3" t="s">
        <v>62</v>
      </c>
      <c r="I1045" s="3" t="s">
        <v>62</v>
      </c>
      <c r="J1045" s="3" t="s">
        <v>62</v>
      </c>
      <c r="K1045" s="3" t="s">
        <v>63</v>
      </c>
      <c r="L1045" s="2" t="s">
        <v>10520</v>
      </c>
      <c r="M1045" s="2" t="s">
        <v>10521</v>
      </c>
      <c r="N1045" s="3" t="s">
        <v>2985</v>
      </c>
      <c r="P1045" s="3" t="s">
        <v>64</v>
      </c>
      <c r="R1045" s="3" t="s">
        <v>65</v>
      </c>
      <c r="S1045" s="4">
        <v>5</v>
      </c>
      <c r="T1045" s="4">
        <v>5</v>
      </c>
      <c r="U1045" s="5" t="s">
        <v>10522</v>
      </c>
      <c r="V1045" s="5" t="s">
        <v>10522</v>
      </c>
      <c r="W1045" s="5" t="s">
        <v>67</v>
      </c>
      <c r="X1045" s="5" t="s">
        <v>67</v>
      </c>
      <c r="Y1045" s="4">
        <v>96</v>
      </c>
      <c r="Z1045" s="4">
        <v>14</v>
      </c>
      <c r="AA1045" s="4">
        <v>55</v>
      </c>
      <c r="AB1045" s="4">
        <v>2</v>
      </c>
      <c r="AC1045" s="4">
        <v>7</v>
      </c>
      <c r="AD1045" s="4">
        <v>51</v>
      </c>
      <c r="AE1045" s="4">
        <v>83</v>
      </c>
      <c r="AF1045" s="4">
        <v>0</v>
      </c>
      <c r="AG1045" s="4">
        <v>0</v>
      </c>
      <c r="AH1045" s="4">
        <v>47</v>
      </c>
      <c r="AI1045" s="4">
        <v>66</v>
      </c>
      <c r="AJ1045" s="4">
        <v>10</v>
      </c>
      <c r="AK1045" s="4">
        <v>13</v>
      </c>
      <c r="AL1045" s="4">
        <v>30</v>
      </c>
      <c r="AM1045" s="4">
        <v>37</v>
      </c>
      <c r="AN1045" s="4">
        <v>0</v>
      </c>
      <c r="AO1045" s="4">
        <v>0</v>
      </c>
      <c r="AP1045" s="4">
        <v>11</v>
      </c>
      <c r="AQ1045" s="4">
        <v>25</v>
      </c>
      <c r="AR1045" s="3" t="s">
        <v>62</v>
      </c>
      <c r="AS1045" s="3" t="s">
        <v>62</v>
      </c>
      <c r="AT1045" s="3" t="s">
        <v>61</v>
      </c>
      <c r="AU1045" s="6" t="str">
        <f>HYPERLINK("http://catalog.hathitrust.org/Record/006805212","HathiTrust Record")</f>
        <v>HathiTrust Record</v>
      </c>
      <c r="AV1045" s="6" t="str">
        <f>HYPERLINK("http://mcgill.on.worldcat.org/oclc/311464013","Catalog Record")</f>
        <v>Catalog Record</v>
      </c>
      <c r="AW1045" s="6" t="str">
        <f>HYPERLINK("http://www.worldcat.org/oclc/311464013","WorldCat Record")</f>
        <v>WorldCat Record</v>
      </c>
      <c r="AX1045" s="3" t="s">
        <v>10523</v>
      </c>
      <c r="AY1045" s="3" t="s">
        <v>10524</v>
      </c>
      <c r="AZ1045" s="3" t="s">
        <v>10525</v>
      </c>
      <c r="BA1045" s="3" t="s">
        <v>10525</v>
      </c>
      <c r="BB1045" s="3" t="s">
        <v>10526</v>
      </c>
      <c r="BC1045" s="3" t="s">
        <v>102</v>
      </c>
      <c r="BD1045" s="3" t="s">
        <v>68</v>
      </c>
      <c r="BE1045" s="3" t="s">
        <v>10527</v>
      </c>
      <c r="BF1045" s="3" t="s">
        <v>10526</v>
      </c>
      <c r="BG1045" s="3" t="s">
        <v>10528</v>
      </c>
    </row>
    <row r="1046" spans="1:59" ht="58" x14ac:dyDescent="0.35">
      <c r="A1046" s="2" t="s">
        <v>89</v>
      </c>
      <c r="B1046" s="2" t="s">
        <v>6791</v>
      </c>
      <c r="C1046" s="2" t="s">
        <v>10529</v>
      </c>
      <c r="D1046" s="2" t="s">
        <v>10530</v>
      </c>
      <c r="E1046" s="2" t="s">
        <v>10531</v>
      </c>
      <c r="G1046" s="3" t="s">
        <v>62</v>
      </c>
      <c r="I1046" s="3" t="s">
        <v>61</v>
      </c>
      <c r="J1046" s="3" t="s">
        <v>62</v>
      </c>
      <c r="K1046" s="3" t="s">
        <v>63</v>
      </c>
      <c r="M1046" s="2" t="s">
        <v>10532</v>
      </c>
      <c r="N1046" s="3" t="s">
        <v>2000</v>
      </c>
      <c r="P1046" s="3" t="s">
        <v>64</v>
      </c>
      <c r="R1046" s="3" t="s">
        <v>65</v>
      </c>
      <c r="S1046" s="4">
        <v>6</v>
      </c>
      <c r="T1046" s="4">
        <v>18</v>
      </c>
      <c r="U1046" s="5" t="s">
        <v>1350</v>
      </c>
      <c r="V1046" s="5" t="s">
        <v>10533</v>
      </c>
      <c r="W1046" s="5" t="s">
        <v>67</v>
      </c>
      <c r="X1046" s="5" t="s">
        <v>67</v>
      </c>
      <c r="Y1046" s="4">
        <v>101</v>
      </c>
      <c r="Z1046" s="4">
        <v>35</v>
      </c>
      <c r="AA1046" s="4">
        <v>134</v>
      </c>
      <c r="AB1046" s="4">
        <v>1</v>
      </c>
      <c r="AC1046" s="4">
        <v>24</v>
      </c>
      <c r="AD1046" s="4">
        <v>55</v>
      </c>
      <c r="AE1046" s="4">
        <v>147</v>
      </c>
      <c r="AF1046" s="4">
        <v>0</v>
      </c>
      <c r="AG1046" s="4">
        <v>9</v>
      </c>
      <c r="AH1046" s="4">
        <v>34</v>
      </c>
      <c r="AI1046" s="4">
        <v>96</v>
      </c>
      <c r="AJ1046" s="4">
        <v>16</v>
      </c>
      <c r="AK1046" s="4">
        <v>28</v>
      </c>
      <c r="AL1046" s="4">
        <v>16</v>
      </c>
      <c r="AM1046" s="4">
        <v>50</v>
      </c>
      <c r="AN1046" s="4">
        <v>0</v>
      </c>
      <c r="AO1046" s="4">
        <v>0</v>
      </c>
      <c r="AP1046" s="4">
        <v>28</v>
      </c>
      <c r="AQ1046" s="4">
        <v>58</v>
      </c>
      <c r="AR1046" s="3" t="s">
        <v>61</v>
      </c>
      <c r="AS1046" s="3" t="s">
        <v>62</v>
      </c>
      <c r="AT1046" s="3" t="s">
        <v>62</v>
      </c>
      <c r="AV1046" s="6" t="str">
        <f>HYPERLINK("http://mcgill.on.worldcat.org/oclc/37362225","Catalog Record")</f>
        <v>Catalog Record</v>
      </c>
      <c r="AW1046" s="6" t="str">
        <f>HYPERLINK("http://www.worldcat.org/oclc/37362225","WorldCat Record")</f>
        <v>WorldCat Record</v>
      </c>
      <c r="AX1046" s="3" t="s">
        <v>10534</v>
      </c>
      <c r="AY1046" s="3" t="s">
        <v>10535</v>
      </c>
      <c r="AZ1046" s="3" t="s">
        <v>10536</v>
      </c>
      <c r="BA1046" s="3" t="s">
        <v>10536</v>
      </c>
      <c r="BB1046" s="3" t="s">
        <v>10537</v>
      </c>
      <c r="BC1046" s="3" t="s">
        <v>102</v>
      </c>
      <c r="BD1046" s="3" t="s">
        <v>68</v>
      </c>
      <c r="BE1046" s="3" t="s">
        <v>10538</v>
      </c>
      <c r="BF1046" s="3" t="s">
        <v>10537</v>
      </c>
      <c r="BG1046" s="3" t="s">
        <v>10539</v>
      </c>
    </row>
    <row r="1047" spans="1:59" ht="58" x14ac:dyDescent="0.35">
      <c r="A1047" s="2" t="s">
        <v>89</v>
      </c>
      <c r="B1047" s="2" t="s">
        <v>90</v>
      </c>
      <c r="C1047" s="2" t="s">
        <v>10529</v>
      </c>
      <c r="D1047" s="2" t="s">
        <v>10530</v>
      </c>
      <c r="E1047" s="2" t="s">
        <v>10531</v>
      </c>
      <c r="G1047" s="3" t="s">
        <v>62</v>
      </c>
      <c r="I1047" s="3" t="s">
        <v>61</v>
      </c>
      <c r="J1047" s="3" t="s">
        <v>62</v>
      </c>
      <c r="K1047" s="3" t="s">
        <v>63</v>
      </c>
      <c r="M1047" s="2" t="s">
        <v>10532</v>
      </c>
      <c r="N1047" s="3" t="s">
        <v>2000</v>
      </c>
      <c r="P1047" s="3" t="s">
        <v>64</v>
      </c>
      <c r="R1047" s="3" t="s">
        <v>65</v>
      </c>
      <c r="S1047" s="4">
        <v>12</v>
      </c>
      <c r="T1047" s="4">
        <v>18</v>
      </c>
      <c r="U1047" s="5" t="s">
        <v>10533</v>
      </c>
      <c r="V1047" s="5" t="s">
        <v>10533</v>
      </c>
      <c r="W1047" s="5" t="s">
        <v>67</v>
      </c>
      <c r="X1047" s="5" t="s">
        <v>67</v>
      </c>
      <c r="Y1047" s="4">
        <v>101</v>
      </c>
      <c r="Z1047" s="4">
        <v>35</v>
      </c>
      <c r="AA1047" s="4">
        <v>134</v>
      </c>
      <c r="AB1047" s="4">
        <v>1</v>
      </c>
      <c r="AC1047" s="4">
        <v>24</v>
      </c>
      <c r="AD1047" s="4">
        <v>55</v>
      </c>
      <c r="AE1047" s="4">
        <v>147</v>
      </c>
      <c r="AF1047" s="4">
        <v>0</v>
      </c>
      <c r="AG1047" s="4">
        <v>9</v>
      </c>
      <c r="AH1047" s="4">
        <v>34</v>
      </c>
      <c r="AI1047" s="4">
        <v>96</v>
      </c>
      <c r="AJ1047" s="4">
        <v>16</v>
      </c>
      <c r="AK1047" s="4">
        <v>28</v>
      </c>
      <c r="AL1047" s="4">
        <v>16</v>
      </c>
      <c r="AM1047" s="4">
        <v>50</v>
      </c>
      <c r="AN1047" s="4">
        <v>0</v>
      </c>
      <c r="AO1047" s="4">
        <v>0</v>
      </c>
      <c r="AP1047" s="4">
        <v>28</v>
      </c>
      <c r="AQ1047" s="4">
        <v>58</v>
      </c>
      <c r="AR1047" s="3" t="s">
        <v>61</v>
      </c>
      <c r="AS1047" s="3" t="s">
        <v>62</v>
      </c>
      <c r="AT1047" s="3" t="s">
        <v>62</v>
      </c>
      <c r="AV1047" s="6" t="str">
        <f>HYPERLINK("http://mcgill.on.worldcat.org/oclc/37362225","Catalog Record")</f>
        <v>Catalog Record</v>
      </c>
      <c r="AW1047" s="6" t="str">
        <f>HYPERLINK("http://www.worldcat.org/oclc/37362225","WorldCat Record")</f>
        <v>WorldCat Record</v>
      </c>
      <c r="AX1047" s="3" t="s">
        <v>10534</v>
      </c>
      <c r="AY1047" s="3" t="s">
        <v>10535</v>
      </c>
      <c r="AZ1047" s="3" t="s">
        <v>10536</v>
      </c>
      <c r="BA1047" s="3" t="s">
        <v>10536</v>
      </c>
      <c r="BB1047" s="3" t="s">
        <v>10540</v>
      </c>
      <c r="BC1047" s="3" t="s">
        <v>102</v>
      </c>
      <c r="BD1047" s="3" t="s">
        <v>68</v>
      </c>
      <c r="BE1047" s="3" t="s">
        <v>10538</v>
      </c>
      <c r="BF1047" s="3" t="s">
        <v>10540</v>
      </c>
      <c r="BG1047" s="3" t="s">
        <v>10541</v>
      </c>
    </row>
    <row r="1048" spans="1:59" ht="58" x14ac:dyDescent="0.35">
      <c r="A1048" s="2" t="s">
        <v>89</v>
      </c>
      <c r="B1048" s="2" t="s">
        <v>90</v>
      </c>
      <c r="C1048" s="2" t="s">
        <v>10542</v>
      </c>
      <c r="D1048" s="2" t="s">
        <v>10543</v>
      </c>
      <c r="E1048" s="2" t="s">
        <v>10544</v>
      </c>
      <c r="G1048" s="3" t="s">
        <v>62</v>
      </c>
      <c r="I1048" s="3" t="s">
        <v>62</v>
      </c>
      <c r="J1048" s="3" t="s">
        <v>62</v>
      </c>
      <c r="K1048" s="3" t="s">
        <v>63</v>
      </c>
      <c r="M1048" s="2" t="s">
        <v>3253</v>
      </c>
      <c r="N1048" s="3" t="s">
        <v>568</v>
      </c>
      <c r="P1048" s="3" t="s">
        <v>64</v>
      </c>
      <c r="R1048" s="3" t="s">
        <v>65</v>
      </c>
      <c r="S1048" s="4">
        <v>36</v>
      </c>
      <c r="T1048" s="4">
        <v>36</v>
      </c>
      <c r="U1048" s="5" t="s">
        <v>10545</v>
      </c>
      <c r="V1048" s="5" t="s">
        <v>10545</v>
      </c>
      <c r="W1048" s="5" t="s">
        <v>67</v>
      </c>
      <c r="X1048" s="5" t="s">
        <v>67</v>
      </c>
      <c r="Y1048" s="4">
        <v>229</v>
      </c>
      <c r="Z1048" s="4">
        <v>36</v>
      </c>
      <c r="AA1048" s="4">
        <v>121</v>
      </c>
      <c r="AB1048" s="4">
        <v>3</v>
      </c>
      <c r="AC1048" s="4">
        <v>25</v>
      </c>
      <c r="AD1048" s="4">
        <v>87</v>
      </c>
      <c r="AE1048" s="4">
        <v>137</v>
      </c>
      <c r="AF1048" s="4">
        <v>1</v>
      </c>
      <c r="AG1048" s="4">
        <v>10</v>
      </c>
      <c r="AH1048" s="4">
        <v>66</v>
      </c>
      <c r="AI1048" s="4">
        <v>87</v>
      </c>
      <c r="AJ1048" s="4">
        <v>18</v>
      </c>
      <c r="AK1048" s="4">
        <v>29</v>
      </c>
      <c r="AL1048" s="4">
        <v>41</v>
      </c>
      <c r="AM1048" s="4">
        <v>47</v>
      </c>
      <c r="AN1048" s="4">
        <v>0</v>
      </c>
      <c r="AO1048" s="4">
        <v>0</v>
      </c>
      <c r="AP1048" s="4">
        <v>26</v>
      </c>
      <c r="AQ1048" s="4">
        <v>57</v>
      </c>
      <c r="AR1048" s="3" t="s">
        <v>61</v>
      </c>
      <c r="AS1048" s="3" t="s">
        <v>62</v>
      </c>
      <c r="AT1048" s="3" t="s">
        <v>62</v>
      </c>
      <c r="AV1048" s="6" t="str">
        <f>HYPERLINK("http://mcgill.on.worldcat.org/oclc/43283641","Catalog Record")</f>
        <v>Catalog Record</v>
      </c>
      <c r="AW1048" s="6" t="str">
        <f>HYPERLINK("http://www.worldcat.org/oclc/43283641","WorldCat Record")</f>
        <v>WorldCat Record</v>
      </c>
      <c r="AX1048" s="3" t="s">
        <v>10546</v>
      </c>
      <c r="AY1048" s="3" t="s">
        <v>10547</v>
      </c>
      <c r="AZ1048" s="3" t="s">
        <v>10548</v>
      </c>
      <c r="BA1048" s="3" t="s">
        <v>10548</v>
      </c>
      <c r="BB1048" s="3" t="s">
        <v>10549</v>
      </c>
      <c r="BC1048" s="3" t="s">
        <v>102</v>
      </c>
      <c r="BD1048" s="3" t="s">
        <v>231</v>
      </c>
      <c r="BE1048" s="3" t="s">
        <v>10550</v>
      </c>
      <c r="BF1048" s="3" t="s">
        <v>10549</v>
      </c>
      <c r="BG1048" s="3" t="s">
        <v>10551</v>
      </c>
    </row>
    <row r="1049" spans="1:59" ht="58" x14ac:dyDescent="0.35">
      <c r="A1049" s="2" t="s">
        <v>89</v>
      </c>
      <c r="B1049" s="2" t="s">
        <v>90</v>
      </c>
      <c r="C1049" s="2" t="s">
        <v>10552</v>
      </c>
      <c r="D1049" s="2" t="s">
        <v>10553</v>
      </c>
      <c r="E1049" s="2" t="s">
        <v>10554</v>
      </c>
      <c r="G1049" s="3" t="s">
        <v>62</v>
      </c>
      <c r="I1049" s="3" t="s">
        <v>62</v>
      </c>
      <c r="J1049" s="3" t="s">
        <v>62</v>
      </c>
      <c r="K1049" s="3" t="s">
        <v>63</v>
      </c>
      <c r="M1049" s="2" t="s">
        <v>10555</v>
      </c>
      <c r="N1049" s="3" t="s">
        <v>880</v>
      </c>
      <c r="P1049" s="3" t="s">
        <v>64</v>
      </c>
      <c r="R1049" s="3" t="s">
        <v>65</v>
      </c>
      <c r="S1049" s="4">
        <v>10</v>
      </c>
      <c r="T1049" s="4">
        <v>10</v>
      </c>
      <c r="U1049" s="5" t="s">
        <v>10556</v>
      </c>
      <c r="V1049" s="5" t="s">
        <v>10556</v>
      </c>
      <c r="W1049" s="5" t="s">
        <v>67</v>
      </c>
      <c r="X1049" s="5" t="s">
        <v>67</v>
      </c>
      <c r="Y1049" s="4">
        <v>262</v>
      </c>
      <c r="Z1049" s="4">
        <v>30</v>
      </c>
      <c r="AA1049" s="4">
        <v>89</v>
      </c>
      <c r="AB1049" s="4">
        <v>3</v>
      </c>
      <c r="AC1049" s="4">
        <v>15</v>
      </c>
      <c r="AD1049" s="4">
        <v>73</v>
      </c>
      <c r="AE1049" s="4">
        <v>130</v>
      </c>
      <c r="AF1049" s="4">
        <v>2</v>
      </c>
      <c r="AG1049" s="4">
        <v>8</v>
      </c>
      <c r="AH1049" s="4">
        <v>57</v>
      </c>
      <c r="AI1049" s="4">
        <v>90</v>
      </c>
      <c r="AJ1049" s="4">
        <v>14</v>
      </c>
      <c r="AK1049" s="4">
        <v>24</v>
      </c>
      <c r="AL1049" s="4">
        <v>32</v>
      </c>
      <c r="AM1049" s="4">
        <v>46</v>
      </c>
      <c r="AN1049" s="4">
        <v>0</v>
      </c>
      <c r="AO1049" s="4">
        <v>0</v>
      </c>
      <c r="AP1049" s="4">
        <v>24</v>
      </c>
      <c r="AQ1049" s="4">
        <v>49</v>
      </c>
      <c r="AR1049" s="3" t="s">
        <v>62</v>
      </c>
      <c r="AS1049" s="3" t="s">
        <v>62</v>
      </c>
      <c r="AT1049" s="3" t="s">
        <v>62</v>
      </c>
      <c r="AV1049" s="6" t="str">
        <f>HYPERLINK("http://mcgill.on.worldcat.org/oclc/502303974","Catalog Record")</f>
        <v>Catalog Record</v>
      </c>
      <c r="AW1049" s="6" t="str">
        <f>HYPERLINK("http://www.worldcat.org/oclc/502303974","WorldCat Record")</f>
        <v>WorldCat Record</v>
      </c>
      <c r="AX1049" s="3" t="s">
        <v>10557</v>
      </c>
      <c r="AY1049" s="3" t="s">
        <v>10558</v>
      </c>
      <c r="AZ1049" s="3" t="s">
        <v>10559</v>
      </c>
      <c r="BA1049" s="3" t="s">
        <v>10559</v>
      </c>
      <c r="BB1049" s="3" t="s">
        <v>10560</v>
      </c>
      <c r="BC1049" s="3" t="s">
        <v>102</v>
      </c>
      <c r="BD1049" s="3" t="s">
        <v>231</v>
      </c>
      <c r="BE1049" s="3" t="s">
        <v>10561</v>
      </c>
      <c r="BF1049" s="3" t="s">
        <v>10560</v>
      </c>
      <c r="BG1049" s="3" t="s">
        <v>10562</v>
      </c>
    </row>
    <row r="1050" spans="1:59" ht="58" x14ac:dyDescent="0.35">
      <c r="A1050" s="2" t="s">
        <v>89</v>
      </c>
      <c r="B1050" s="2" t="s">
        <v>6791</v>
      </c>
      <c r="C1050" s="2" t="s">
        <v>10563</v>
      </c>
      <c r="D1050" s="2" t="s">
        <v>10564</v>
      </c>
      <c r="E1050" s="2" t="s">
        <v>10565</v>
      </c>
      <c r="G1050" s="3" t="s">
        <v>62</v>
      </c>
      <c r="I1050" s="3" t="s">
        <v>62</v>
      </c>
      <c r="J1050" s="3" t="s">
        <v>62</v>
      </c>
      <c r="K1050" s="3" t="s">
        <v>63</v>
      </c>
      <c r="M1050" s="2" t="s">
        <v>10566</v>
      </c>
      <c r="N1050" s="3" t="s">
        <v>2975</v>
      </c>
      <c r="P1050" s="3" t="s">
        <v>64</v>
      </c>
      <c r="Q1050" s="2" t="s">
        <v>10567</v>
      </c>
      <c r="R1050" s="3" t="s">
        <v>65</v>
      </c>
      <c r="S1050" s="4">
        <v>27</v>
      </c>
      <c r="T1050" s="4">
        <v>27</v>
      </c>
      <c r="U1050" s="5" t="s">
        <v>10568</v>
      </c>
      <c r="V1050" s="5" t="s">
        <v>10568</v>
      </c>
      <c r="W1050" s="5" t="s">
        <v>67</v>
      </c>
      <c r="X1050" s="5" t="s">
        <v>67</v>
      </c>
      <c r="Y1050" s="4">
        <v>101</v>
      </c>
      <c r="Z1050" s="4">
        <v>6</v>
      </c>
      <c r="AA1050" s="4">
        <v>15</v>
      </c>
      <c r="AB1050" s="4">
        <v>1</v>
      </c>
      <c r="AC1050" s="4">
        <v>5</v>
      </c>
      <c r="AD1050" s="4">
        <v>17</v>
      </c>
      <c r="AE1050" s="4">
        <v>36</v>
      </c>
      <c r="AF1050" s="4">
        <v>0</v>
      </c>
      <c r="AG1050" s="4">
        <v>2</v>
      </c>
      <c r="AH1050" s="4">
        <v>16</v>
      </c>
      <c r="AI1050" s="4">
        <v>31</v>
      </c>
      <c r="AJ1050" s="4">
        <v>3</v>
      </c>
      <c r="AK1050" s="4">
        <v>7</v>
      </c>
      <c r="AL1050" s="4">
        <v>9</v>
      </c>
      <c r="AM1050" s="4">
        <v>19</v>
      </c>
      <c r="AN1050" s="4">
        <v>0</v>
      </c>
      <c r="AO1050" s="4">
        <v>0</v>
      </c>
      <c r="AP1050" s="4">
        <v>4</v>
      </c>
      <c r="AQ1050" s="4">
        <v>10</v>
      </c>
      <c r="AR1050" s="3" t="s">
        <v>62</v>
      </c>
      <c r="AS1050" s="3" t="s">
        <v>62</v>
      </c>
      <c r="AT1050" s="3" t="s">
        <v>62</v>
      </c>
      <c r="AV1050" s="6" t="str">
        <f>HYPERLINK("http://mcgill.on.worldcat.org/oclc/45080129","Catalog Record")</f>
        <v>Catalog Record</v>
      </c>
      <c r="AW1050" s="6" t="str">
        <f>HYPERLINK("http://www.worldcat.org/oclc/45080129","WorldCat Record")</f>
        <v>WorldCat Record</v>
      </c>
      <c r="AX1050" s="3" t="s">
        <v>10569</v>
      </c>
      <c r="AY1050" s="3" t="s">
        <v>10570</v>
      </c>
      <c r="AZ1050" s="3" t="s">
        <v>10571</v>
      </c>
      <c r="BA1050" s="3" t="s">
        <v>10571</v>
      </c>
      <c r="BB1050" s="3" t="s">
        <v>10572</v>
      </c>
      <c r="BC1050" s="3" t="s">
        <v>102</v>
      </c>
      <c r="BD1050" s="3" t="s">
        <v>231</v>
      </c>
      <c r="BE1050" s="3" t="s">
        <v>10573</v>
      </c>
      <c r="BF1050" s="3" t="s">
        <v>10572</v>
      </c>
      <c r="BG1050" s="3" t="s">
        <v>10574</v>
      </c>
    </row>
    <row r="1051" spans="1:59" ht="58" x14ac:dyDescent="0.35">
      <c r="A1051" s="2" t="s">
        <v>89</v>
      </c>
      <c r="B1051" s="2" t="s">
        <v>90</v>
      </c>
      <c r="C1051" s="2" t="s">
        <v>10575</v>
      </c>
      <c r="D1051" s="2" t="s">
        <v>10576</v>
      </c>
      <c r="E1051" s="2" t="s">
        <v>10577</v>
      </c>
      <c r="G1051" s="3" t="s">
        <v>62</v>
      </c>
      <c r="I1051" s="3" t="s">
        <v>62</v>
      </c>
      <c r="J1051" s="3" t="s">
        <v>62</v>
      </c>
      <c r="K1051" s="3" t="s">
        <v>63</v>
      </c>
      <c r="M1051" s="2" t="s">
        <v>10578</v>
      </c>
      <c r="N1051" s="3" t="s">
        <v>1482</v>
      </c>
      <c r="P1051" s="3" t="s">
        <v>64</v>
      </c>
      <c r="R1051" s="3" t="s">
        <v>65</v>
      </c>
      <c r="S1051" s="4">
        <v>46</v>
      </c>
      <c r="T1051" s="4">
        <v>46</v>
      </c>
      <c r="U1051" s="5" t="s">
        <v>10545</v>
      </c>
      <c r="V1051" s="5" t="s">
        <v>10545</v>
      </c>
      <c r="W1051" s="5" t="s">
        <v>67</v>
      </c>
      <c r="X1051" s="5" t="s">
        <v>67</v>
      </c>
      <c r="Y1051" s="4">
        <v>277</v>
      </c>
      <c r="Z1051" s="4">
        <v>13</v>
      </c>
      <c r="AA1051" s="4">
        <v>15</v>
      </c>
      <c r="AB1051" s="4">
        <v>1</v>
      </c>
      <c r="AC1051" s="4">
        <v>3</v>
      </c>
      <c r="AD1051" s="4">
        <v>84</v>
      </c>
      <c r="AE1051" s="4">
        <v>86</v>
      </c>
      <c r="AF1051" s="4">
        <v>0</v>
      </c>
      <c r="AG1051" s="4">
        <v>2</v>
      </c>
      <c r="AH1051" s="4">
        <v>78</v>
      </c>
      <c r="AI1051" s="4">
        <v>79</v>
      </c>
      <c r="AJ1051" s="4">
        <v>9</v>
      </c>
      <c r="AK1051" s="4">
        <v>11</v>
      </c>
      <c r="AL1051" s="4">
        <v>38</v>
      </c>
      <c r="AM1051" s="4">
        <v>38</v>
      </c>
      <c r="AN1051" s="4">
        <v>0</v>
      </c>
      <c r="AO1051" s="4">
        <v>0</v>
      </c>
      <c r="AP1051" s="4">
        <v>10</v>
      </c>
      <c r="AQ1051" s="4">
        <v>12</v>
      </c>
      <c r="AR1051" s="3" t="s">
        <v>62</v>
      </c>
      <c r="AS1051" s="3" t="s">
        <v>62</v>
      </c>
      <c r="AT1051" s="3" t="s">
        <v>61</v>
      </c>
      <c r="AU1051" s="6" t="str">
        <f>HYPERLINK("http://catalog.hathitrust.org/Record/000392694","HathiTrust Record")</f>
        <v>HathiTrust Record</v>
      </c>
      <c r="AV1051" s="6" t="str">
        <f>HYPERLINK("http://mcgill.on.worldcat.org/oclc/13924587","Catalog Record")</f>
        <v>Catalog Record</v>
      </c>
      <c r="AW1051" s="6" t="str">
        <f>HYPERLINK("http://www.worldcat.org/oclc/13924587","WorldCat Record")</f>
        <v>WorldCat Record</v>
      </c>
      <c r="AX1051" s="3" t="s">
        <v>10579</v>
      </c>
      <c r="AY1051" s="3" t="s">
        <v>10580</v>
      </c>
      <c r="AZ1051" s="3" t="s">
        <v>10581</v>
      </c>
      <c r="BA1051" s="3" t="s">
        <v>10581</v>
      </c>
      <c r="BB1051" s="3" t="s">
        <v>10582</v>
      </c>
      <c r="BC1051" s="3" t="s">
        <v>102</v>
      </c>
      <c r="BD1051" s="3" t="s">
        <v>231</v>
      </c>
      <c r="BE1051" s="3" t="s">
        <v>10583</v>
      </c>
      <c r="BF1051" s="3" t="s">
        <v>10582</v>
      </c>
      <c r="BG1051" s="3" t="s">
        <v>10584</v>
      </c>
    </row>
    <row r="1052" spans="1:59" ht="58" x14ac:dyDescent="0.35">
      <c r="A1052" s="2" t="s">
        <v>89</v>
      </c>
      <c r="B1052" s="2" t="s">
        <v>90</v>
      </c>
      <c r="C1052" s="2" t="s">
        <v>10585</v>
      </c>
      <c r="D1052" s="2" t="s">
        <v>10586</v>
      </c>
      <c r="E1052" s="2" t="s">
        <v>10587</v>
      </c>
      <c r="G1052" s="3" t="s">
        <v>62</v>
      </c>
      <c r="I1052" s="3" t="s">
        <v>61</v>
      </c>
      <c r="J1052" s="3" t="s">
        <v>62</v>
      </c>
      <c r="K1052" s="3" t="s">
        <v>63</v>
      </c>
      <c r="M1052" s="2" t="s">
        <v>10588</v>
      </c>
      <c r="N1052" s="3" t="s">
        <v>1722</v>
      </c>
      <c r="P1052" s="3" t="s">
        <v>64</v>
      </c>
      <c r="R1052" s="3" t="s">
        <v>65</v>
      </c>
      <c r="S1052" s="4">
        <v>8</v>
      </c>
      <c r="T1052" s="4">
        <v>13</v>
      </c>
      <c r="U1052" s="5" t="s">
        <v>10556</v>
      </c>
      <c r="V1052" s="5" t="s">
        <v>10556</v>
      </c>
      <c r="W1052" s="5" t="s">
        <v>67</v>
      </c>
      <c r="X1052" s="5" t="s">
        <v>67</v>
      </c>
      <c r="Y1052" s="4">
        <v>267</v>
      </c>
      <c r="Z1052" s="4">
        <v>14</v>
      </c>
      <c r="AA1052" s="4">
        <v>51</v>
      </c>
      <c r="AB1052" s="4">
        <v>1</v>
      </c>
      <c r="AC1052" s="4">
        <v>7</v>
      </c>
      <c r="AD1052" s="4">
        <v>57</v>
      </c>
      <c r="AE1052" s="4">
        <v>88</v>
      </c>
      <c r="AF1052" s="4">
        <v>0</v>
      </c>
      <c r="AG1052" s="4">
        <v>1</v>
      </c>
      <c r="AH1052" s="4">
        <v>54</v>
      </c>
      <c r="AI1052" s="4">
        <v>73</v>
      </c>
      <c r="AJ1052" s="4">
        <v>12</v>
      </c>
      <c r="AK1052" s="4">
        <v>16</v>
      </c>
      <c r="AL1052" s="4">
        <v>29</v>
      </c>
      <c r="AM1052" s="4">
        <v>38</v>
      </c>
      <c r="AN1052" s="4">
        <v>0</v>
      </c>
      <c r="AO1052" s="4">
        <v>0</v>
      </c>
      <c r="AP1052" s="4">
        <v>12</v>
      </c>
      <c r="AQ1052" s="4">
        <v>23</v>
      </c>
      <c r="AR1052" s="3" t="s">
        <v>62</v>
      </c>
      <c r="AS1052" s="3" t="s">
        <v>62</v>
      </c>
      <c r="AT1052" s="3" t="s">
        <v>62</v>
      </c>
      <c r="AV1052" s="6" t="str">
        <f>HYPERLINK("http://mcgill.on.worldcat.org/oclc/181069254","Catalog Record")</f>
        <v>Catalog Record</v>
      </c>
      <c r="AW1052" s="6" t="str">
        <f>HYPERLINK("http://www.worldcat.org/oclc/181069254","WorldCat Record")</f>
        <v>WorldCat Record</v>
      </c>
      <c r="AX1052" s="3" t="s">
        <v>10589</v>
      </c>
      <c r="AY1052" s="3" t="s">
        <v>10590</v>
      </c>
      <c r="AZ1052" s="3" t="s">
        <v>10591</v>
      </c>
      <c r="BA1052" s="3" t="s">
        <v>10591</v>
      </c>
      <c r="BB1052" s="3" t="s">
        <v>10592</v>
      </c>
      <c r="BC1052" s="3" t="s">
        <v>102</v>
      </c>
      <c r="BD1052" s="3" t="s">
        <v>231</v>
      </c>
      <c r="BE1052" s="3" t="s">
        <v>10593</v>
      </c>
      <c r="BF1052" s="3" t="s">
        <v>10592</v>
      </c>
      <c r="BG1052" s="3" t="s">
        <v>10594</v>
      </c>
    </row>
    <row r="1053" spans="1:59" ht="58" x14ac:dyDescent="0.35">
      <c r="A1053" s="2" t="s">
        <v>89</v>
      </c>
      <c r="B1053" s="2" t="s">
        <v>90</v>
      </c>
      <c r="C1053" s="2" t="s">
        <v>10585</v>
      </c>
      <c r="D1053" s="2" t="s">
        <v>10586</v>
      </c>
      <c r="E1053" s="2" t="s">
        <v>10587</v>
      </c>
      <c r="G1053" s="3" t="s">
        <v>62</v>
      </c>
      <c r="I1053" s="3" t="s">
        <v>61</v>
      </c>
      <c r="J1053" s="3" t="s">
        <v>62</v>
      </c>
      <c r="K1053" s="3" t="s">
        <v>63</v>
      </c>
      <c r="M1053" s="2" t="s">
        <v>10588</v>
      </c>
      <c r="N1053" s="3" t="s">
        <v>1722</v>
      </c>
      <c r="P1053" s="3" t="s">
        <v>64</v>
      </c>
      <c r="R1053" s="3" t="s">
        <v>65</v>
      </c>
      <c r="S1053" s="4">
        <v>5</v>
      </c>
      <c r="T1053" s="4">
        <v>13</v>
      </c>
      <c r="U1053" s="5" t="s">
        <v>10595</v>
      </c>
      <c r="V1053" s="5" t="s">
        <v>10556</v>
      </c>
      <c r="W1053" s="5" t="s">
        <v>67</v>
      </c>
      <c r="X1053" s="5" t="s">
        <v>67</v>
      </c>
      <c r="Y1053" s="4">
        <v>267</v>
      </c>
      <c r="Z1053" s="4">
        <v>14</v>
      </c>
      <c r="AA1053" s="4">
        <v>51</v>
      </c>
      <c r="AB1053" s="4">
        <v>1</v>
      </c>
      <c r="AC1053" s="4">
        <v>7</v>
      </c>
      <c r="AD1053" s="4">
        <v>57</v>
      </c>
      <c r="AE1053" s="4">
        <v>88</v>
      </c>
      <c r="AF1053" s="4">
        <v>0</v>
      </c>
      <c r="AG1053" s="4">
        <v>1</v>
      </c>
      <c r="AH1053" s="4">
        <v>54</v>
      </c>
      <c r="AI1053" s="4">
        <v>73</v>
      </c>
      <c r="AJ1053" s="4">
        <v>12</v>
      </c>
      <c r="AK1053" s="4">
        <v>16</v>
      </c>
      <c r="AL1053" s="4">
        <v>29</v>
      </c>
      <c r="AM1053" s="4">
        <v>38</v>
      </c>
      <c r="AN1053" s="4">
        <v>0</v>
      </c>
      <c r="AO1053" s="4">
        <v>0</v>
      </c>
      <c r="AP1053" s="4">
        <v>12</v>
      </c>
      <c r="AQ1053" s="4">
        <v>23</v>
      </c>
      <c r="AR1053" s="3" t="s">
        <v>62</v>
      </c>
      <c r="AS1053" s="3" t="s">
        <v>62</v>
      </c>
      <c r="AT1053" s="3" t="s">
        <v>62</v>
      </c>
      <c r="AV1053" s="6" t="str">
        <f>HYPERLINK("http://mcgill.on.worldcat.org/oclc/181069254","Catalog Record")</f>
        <v>Catalog Record</v>
      </c>
      <c r="AW1053" s="6" t="str">
        <f>HYPERLINK("http://www.worldcat.org/oclc/181069254","WorldCat Record")</f>
        <v>WorldCat Record</v>
      </c>
      <c r="AX1053" s="3" t="s">
        <v>10589</v>
      </c>
      <c r="AY1053" s="3" t="s">
        <v>10590</v>
      </c>
      <c r="AZ1053" s="3" t="s">
        <v>10591</v>
      </c>
      <c r="BA1053" s="3" t="s">
        <v>10591</v>
      </c>
      <c r="BB1053" s="3" t="s">
        <v>10596</v>
      </c>
      <c r="BC1053" s="3" t="s">
        <v>102</v>
      </c>
      <c r="BD1053" s="3" t="s">
        <v>68</v>
      </c>
      <c r="BE1053" s="3" t="s">
        <v>10593</v>
      </c>
      <c r="BF1053" s="3" t="s">
        <v>10596</v>
      </c>
      <c r="BG1053" s="3" t="s">
        <v>10597</v>
      </c>
    </row>
    <row r="1054" spans="1:59" ht="58" x14ac:dyDescent="0.35">
      <c r="A1054" s="2" t="s">
        <v>89</v>
      </c>
      <c r="B1054" s="2" t="s">
        <v>90</v>
      </c>
      <c r="C1054" s="2" t="s">
        <v>10598</v>
      </c>
      <c r="D1054" s="2" t="s">
        <v>10599</v>
      </c>
      <c r="E1054" s="2" t="s">
        <v>10600</v>
      </c>
      <c r="F1054" s="3" t="s">
        <v>2217</v>
      </c>
      <c r="G1054" s="3" t="s">
        <v>61</v>
      </c>
      <c r="I1054" s="3" t="s">
        <v>61</v>
      </c>
      <c r="J1054" s="3" t="s">
        <v>62</v>
      </c>
      <c r="K1054" s="3" t="s">
        <v>63</v>
      </c>
      <c r="L1054" s="2" t="s">
        <v>6639</v>
      </c>
      <c r="M1054" s="2" t="s">
        <v>10601</v>
      </c>
      <c r="N1054" s="3" t="s">
        <v>539</v>
      </c>
      <c r="O1054" s="2" t="s">
        <v>6158</v>
      </c>
      <c r="P1054" s="3" t="s">
        <v>64</v>
      </c>
      <c r="Q1054" s="2" t="s">
        <v>10602</v>
      </c>
      <c r="R1054" s="3" t="s">
        <v>65</v>
      </c>
      <c r="S1054" s="4">
        <v>31</v>
      </c>
      <c r="T1054" s="4">
        <v>88</v>
      </c>
      <c r="U1054" s="5" t="s">
        <v>6070</v>
      </c>
      <c r="V1054" s="5" t="s">
        <v>10603</v>
      </c>
      <c r="W1054" s="5" t="s">
        <v>67</v>
      </c>
      <c r="X1054" s="5" t="s">
        <v>67</v>
      </c>
      <c r="Y1054" s="4">
        <v>220</v>
      </c>
      <c r="Z1054" s="4">
        <v>17</v>
      </c>
      <c r="AA1054" s="4">
        <v>25</v>
      </c>
      <c r="AB1054" s="4">
        <v>2</v>
      </c>
      <c r="AC1054" s="4">
        <v>9</v>
      </c>
      <c r="AD1054" s="4">
        <v>73</v>
      </c>
      <c r="AE1054" s="4">
        <v>84</v>
      </c>
      <c r="AF1054" s="4">
        <v>1</v>
      </c>
      <c r="AG1054" s="4">
        <v>5</v>
      </c>
      <c r="AH1054" s="4">
        <v>65</v>
      </c>
      <c r="AI1054" s="4">
        <v>73</v>
      </c>
      <c r="AJ1054" s="4">
        <v>12</v>
      </c>
      <c r="AK1054" s="4">
        <v>14</v>
      </c>
      <c r="AL1054" s="4">
        <v>35</v>
      </c>
      <c r="AM1054" s="4">
        <v>36</v>
      </c>
      <c r="AN1054" s="4">
        <v>0</v>
      </c>
      <c r="AO1054" s="4">
        <v>0</v>
      </c>
      <c r="AP1054" s="4">
        <v>13</v>
      </c>
      <c r="AQ1054" s="4">
        <v>17</v>
      </c>
      <c r="AR1054" s="3" t="s">
        <v>62</v>
      </c>
      <c r="AS1054" s="3" t="s">
        <v>62</v>
      </c>
      <c r="AT1054" s="3" t="s">
        <v>62</v>
      </c>
      <c r="AV1054" s="6" t="str">
        <f>HYPERLINK("http://mcgill.on.worldcat.org/oclc/37156799","Catalog Record")</f>
        <v>Catalog Record</v>
      </c>
      <c r="AW1054" s="6" t="str">
        <f>HYPERLINK("http://www.worldcat.org/oclc/37156799","WorldCat Record")</f>
        <v>WorldCat Record</v>
      </c>
      <c r="AX1054" s="3" t="s">
        <v>10604</v>
      </c>
      <c r="AY1054" s="3" t="s">
        <v>10605</v>
      </c>
      <c r="AZ1054" s="3" t="s">
        <v>10606</v>
      </c>
      <c r="BA1054" s="3" t="s">
        <v>10606</v>
      </c>
      <c r="BB1054" s="3" t="s">
        <v>10607</v>
      </c>
      <c r="BC1054" s="3" t="s">
        <v>102</v>
      </c>
      <c r="BD1054" s="3" t="s">
        <v>68</v>
      </c>
      <c r="BE1054" s="3" t="s">
        <v>10608</v>
      </c>
      <c r="BF1054" s="3" t="s">
        <v>10607</v>
      </c>
      <c r="BG1054" s="3" t="s">
        <v>10609</v>
      </c>
    </row>
    <row r="1055" spans="1:59" ht="58" x14ac:dyDescent="0.35">
      <c r="A1055" s="2" t="s">
        <v>89</v>
      </c>
      <c r="B1055" s="2" t="s">
        <v>90</v>
      </c>
      <c r="C1055" s="2" t="s">
        <v>10598</v>
      </c>
      <c r="D1055" s="2" t="s">
        <v>10599</v>
      </c>
      <c r="E1055" s="2" t="s">
        <v>10600</v>
      </c>
      <c r="F1055" s="3" t="s">
        <v>2233</v>
      </c>
      <c r="G1055" s="3" t="s">
        <v>61</v>
      </c>
      <c r="I1055" s="3" t="s">
        <v>61</v>
      </c>
      <c r="J1055" s="3" t="s">
        <v>62</v>
      </c>
      <c r="K1055" s="3" t="s">
        <v>63</v>
      </c>
      <c r="L1055" s="2" t="s">
        <v>6639</v>
      </c>
      <c r="M1055" s="2" t="s">
        <v>10601</v>
      </c>
      <c r="N1055" s="3" t="s">
        <v>539</v>
      </c>
      <c r="O1055" s="2" t="s">
        <v>6158</v>
      </c>
      <c r="P1055" s="3" t="s">
        <v>64</v>
      </c>
      <c r="Q1055" s="2" t="s">
        <v>10602</v>
      </c>
      <c r="R1055" s="3" t="s">
        <v>65</v>
      </c>
      <c r="S1055" s="4">
        <v>23</v>
      </c>
      <c r="T1055" s="4">
        <v>88</v>
      </c>
      <c r="U1055" s="5" t="s">
        <v>10610</v>
      </c>
      <c r="V1055" s="5" t="s">
        <v>10603</v>
      </c>
      <c r="W1055" s="5" t="s">
        <v>67</v>
      </c>
      <c r="X1055" s="5" t="s">
        <v>67</v>
      </c>
      <c r="Y1055" s="4">
        <v>220</v>
      </c>
      <c r="Z1055" s="4">
        <v>17</v>
      </c>
      <c r="AA1055" s="4">
        <v>25</v>
      </c>
      <c r="AB1055" s="4">
        <v>2</v>
      </c>
      <c r="AC1055" s="4">
        <v>9</v>
      </c>
      <c r="AD1055" s="4">
        <v>73</v>
      </c>
      <c r="AE1055" s="4">
        <v>84</v>
      </c>
      <c r="AF1055" s="4">
        <v>1</v>
      </c>
      <c r="AG1055" s="4">
        <v>5</v>
      </c>
      <c r="AH1055" s="4">
        <v>65</v>
      </c>
      <c r="AI1055" s="4">
        <v>73</v>
      </c>
      <c r="AJ1055" s="4">
        <v>12</v>
      </c>
      <c r="AK1055" s="4">
        <v>14</v>
      </c>
      <c r="AL1055" s="4">
        <v>35</v>
      </c>
      <c r="AM1055" s="4">
        <v>36</v>
      </c>
      <c r="AN1055" s="4">
        <v>0</v>
      </c>
      <c r="AO1055" s="4">
        <v>0</v>
      </c>
      <c r="AP1055" s="4">
        <v>13</v>
      </c>
      <c r="AQ1055" s="4">
        <v>17</v>
      </c>
      <c r="AR1055" s="3" t="s">
        <v>62</v>
      </c>
      <c r="AS1055" s="3" t="s">
        <v>62</v>
      </c>
      <c r="AT1055" s="3" t="s">
        <v>62</v>
      </c>
      <c r="AV1055" s="6" t="str">
        <f>HYPERLINK("http://mcgill.on.worldcat.org/oclc/37156799","Catalog Record")</f>
        <v>Catalog Record</v>
      </c>
      <c r="AW1055" s="6" t="str">
        <f>HYPERLINK("http://www.worldcat.org/oclc/37156799","WorldCat Record")</f>
        <v>WorldCat Record</v>
      </c>
      <c r="AX1055" s="3" t="s">
        <v>10604</v>
      </c>
      <c r="AY1055" s="3" t="s">
        <v>10605</v>
      </c>
      <c r="AZ1055" s="3" t="s">
        <v>10606</v>
      </c>
      <c r="BA1055" s="3" t="s">
        <v>10606</v>
      </c>
      <c r="BB1055" s="3" t="s">
        <v>10611</v>
      </c>
      <c r="BC1055" s="3" t="s">
        <v>102</v>
      </c>
      <c r="BD1055" s="3" t="s">
        <v>68</v>
      </c>
      <c r="BE1055" s="3" t="s">
        <v>10608</v>
      </c>
      <c r="BF1055" s="3" t="s">
        <v>10611</v>
      </c>
      <c r="BG1055" s="3" t="s">
        <v>10612</v>
      </c>
    </row>
    <row r="1056" spans="1:59" ht="58" x14ac:dyDescent="0.35">
      <c r="A1056" s="2" t="s">
        <v>89</v>
      </c>
      <c r="B1056" s="2" t="s">
        <v>90</v>
      </c>
      <c r="C1056" s="2" t="s">
        <v>10613</v>
      </c>
      <c r="D1056" s="2" t="s">
        <v>10614</v>
      </c>
      <c r="E1056" s="2" t="s">
        <v>10615</v>
      </c>
      <c r="G1056" s="3" t="s">
        <v>62</v>
      </c>
      <c r="I1056" s="3" t="s">
        <v>61</v>
      </c>
      <c r="J1056" s="3" t="s">
        <v>61</v>
      </c>
      <c r="K1056" s="3" t="s">
        <v>63</v>
      </c>
      <c r="L1056" s="2" t="s">
        <v>10616</v>
      </c>
      <c r="M1056" s="2" t="s">
        <v>10617</v>
      </c>
      <c r="N1056" s="3" t="s">
        <v>524</v>
      </c>
      <c r="P1056" s="3" t="s">
        <v>64</v>
      </c>
      <c r="Q1056" s="2" t="s">
        <v>10618</v>
      </c>
      <c r="R1056" s="3" t="s">
        <v>65</v>
      </c>
      <c r="S1056" s="4">
        <v>64</v>
      </c>
      <c r="T1056" s="4">
        <v>282</v>
      </c>
      <c r="U1056" s="5" t="s">
        <v>10619</v>
      </c>
      <c r="V1056" s="5" t="s">
        <v>10620</v>
      </c>
      <c r="W1056" s="5" t="s">
        <v>67</v>
      </c>
      <c r="X1056" s="5" t="s">
        <v>67</v>
      </c>
      <c r="Y1056" s="4">
        <v>1538</v>
      </c>
      <c r="Z1056" s="4">
        <v>68</v>
      </c>
      <c r="AA1056" s="4">
        <v>207</v>
      </c>
      <c r="AB1056" s="4">
        <v>3</v>
      </c>
      <c r="AC1056" s="4">
        <v>25</v>
      </c>
      <c r="AD1056" s="4">
        <v>139</v>
      </c>
      <c r="AE1056" s="4">
        <v>177</v>
      </c>
      <c r="AF1056" s="4">
        <v>2</v>
      </c>
      <c r="AG1056" s="4">
        <v>10</v>
      </c>
      <c r="AH1056" s="4">
        <v>111</v>
      </c>
      <c r="AI1056" s="4">
        <v>118</v>
      </c>
      <c r="AJ1056" s="4">
        <v>19</v>
      </c>
      <c r="AK1056" s="4">
        <v>29</v>
      </c>
      <c r="AL1056" s="4">
        <v>63</v>
      </c>
      <c r="AM1056" s="4">
        <v>65</v>
      </c>
      <c r="AN1056" s="4">
        <v>0</v>
      </c>
      <c r="AO1056" s="4">
        <v>0</v>
      </c>
      <c r="AP1056" s="4">
        <v>33</v>
      </c>
      <c r="AQ1056" s="4">
        <v>63</v>
      </c>
      <c r="AR1056" s="3" t="s">
        <v>62</v>
      </c>
      <c r="AS1056" s="3" t="s">
        <v>62</v>
      </c>
      <c r="AT1056" s="3" t="s">
        <v>62</v>
      </c>
      <c r="AV1056" s="6" t="str">
        <f>HYPERLINK("http://mcgill.on.worldcat.org/oclc/32014169","Catalog Record")</f>
        <v>Catalog Record</v>
      </c>
      <c r="AW1056" s="6" t="str">
        <f>HYPERLINK("http://www.worldcat.org/oclc/32014169","WorldCat Record")</f>
        <v>WorldCat Record</v>
      </c>
      <c r="AX1056" s="3" t="s">
        <v>10621</v>
      </c>
      <c r="AY1056" s="3" t="s">
        <v>10622</v>
      </c>
      <c r="AZ1056" s="3" t="s">
        <v>10623</v>
      </c>
      <c r="BA1056" s="3" t="s">
        <v>10623</v>
      </c>
      <c r="BB1056" s="3" t="s">
        <v>10624</v>
      </c>
      <c r="BC1056" s="3" t="s">
        <v>102</v>
      </c>
      <c r="BD1056" s="3" t="s">
        <v>68</v>
      </c>
      <c r="BE1056" s="3" t="s">
        <v>10625</v>
      </c>
      <c r="BF1056" s="3" t="s">
        <v>10624</v>
      </c>
      <c r="BG1056" s="3" t="s">
        <v>10626</v>
      </c>
    </row>
    <row r="1057" spans="1:59" ht="58" x14ac:dyDescent="0.35">
      <c r="A1057" s="2" t="s">
        <v>89</v>
      </c>
      <c r="B1057" s="2" t="s">
        <v>6791</v>
      </c>
      <c r="C1057" s="2" t="s">
        <v>10613</v>
      </c>
      <c r="D1057" s="2" t="s">
        <v>10614</v>
      </c>
      <c r="E1057" s="2" t="s">
        <v>10615</v>
      </c>
      <c r="G1057" s="3" t="s">
        <v>62</v>
      </c>
      <c r="I1057" s="3" t="s">
        <v>61</v>
      </c>
      <c r="J1057" s="3" t="s">
        <v>61</v>
      </c>
      <c r="K1057" s="3" t="s">
        <v>63</v>
      </c>
      <c r="L1057" s="2" t="s">
        <v>10616</v>
      </c>
      <c r="M1057" s="2" t="s">
        <v>10617</v>
      </c>
      <c r="N1057" s="3" t="s">
        <v>524</v>
      </c>
      <c r="P1057" s="3" t="s">
        <v>64</v>
      </c>
      <c r="Q1057" s="2" t="s">
        <v>10618</v>
      </c>
      <c r="R1057" s="3" t="s">
        <v>65</v>
      </c>
      <c r="S1057" s="4">
        <v>29</v>
      </c>
      <c r="T1057" s="4">
        <v>282</v>
      </c>
      <c r="U1057" s="5" t="s">
        <v>6629</v>
      </c>
      <c r="V1057" s="5" t="s">
        <v>10620</v>
      </c>
      <c r="W1057" s="5" t="s">
        <v>67</v>
      </c>
      <c r="X1057" s="5" t="s">
        <v>67</v>
      </c>
      <c r="Y1057" s="4">
        <v>1538</v>
      </c>
      <c r="Z1057" s="4">
        <v>68</v>
      </c>
      <c r="AA1057" s="4">
        <v>207</v>
      </c>
      <c r="AB1057" s="4">
        <v>3</v>
      </c>
      <c r="AC1057" s="4">
        <v>25</v>
      </c>
      <c r="AD1057" s="4">
        <v>139</v>
      </c>
      <c r="AE1057" s="4">
        <v>177</v>
      </c>
      <c r="AF1057" s="4">
        <v>2</v>
      </c>
      <c r="AG1057" s="4">
        <v>10</v>
      </c>
      <c r="AH1057" s="4">
        <v>111</v>
      </c>
      <c r="AI1057" s="4">
        <v>118</v>
      </c>
      <c r="AJ1057" s="4">
        <v>19</v>
      </c>
      <c r="AK1057" s="4">
        <v>29</v>
      </c>
      <c r="AL1057" s="4">
        <v>63</v>
      </c>
      <c r="AM1057" s="4">
        <v>65</v>
      </c>
      <c r="AN1057" s="4">
        <v>0</v>
      </c>
      <c r="AO1057" s="4">
        <v>0</v>
      </c>
      <c r="AP1057" s="4">
        <v>33</v>
      </c>
      <c r="AQ1057" s="4">
        <v>63</v>
      </c>
      <c r="AR1057" s="3" t="s">
        <v>62</v>
      </c>
      <c r="AS1057" s="3" t="s">
        <v>62</v>
      </c>
      <c r="AT1057" s="3" t="s">
        <v>62</v>
      </c>
      <c r="AV1057" s="6" t="str">
        <f>HYPERLINK("http://mcgill.on.worldcat.org/oclc/32014169","Catalog Record")</f>
        <v>Catalog Record</v>
      </c>
      <c r="AW1057" s="6" t="str">
        <f>HYPERLINK("http://www.worldcat.org/oclc/32014169","WorldCat Record")</f>
        <v>WorldCat Record</v>
      </c>
      <c r="AX1057" s="3" t="s">
        <v>10621</v>
      </c>
      <c r="AY1057" s="3" t="s">
        <v>10622</v>
      </c>
      <c r="AZ1057" s="3" t="s">
        <v>10623</v>
      </c>
      <c r="BA1057" s="3" t="s">
        <v>10623</v>
      </c>
      <c r="BB1057" s="3" t="s">
        <v>10627</v>
      </c>
      <c r="BC1057" s="3" t="s">
        <v>102</v>
      </c>
      <c r="BD1057" s="3" t="s">
        <v>231</v>
      </c>
      <c r="BE1057" s="3" t="s">
        <v>10625</v>
      </c>
      <c r="BF1057" s="3" t="s">
        <v>10627</v>
      </c>
      <c r="BG1057" s="3" t="s">
        <v>10628</v>
      </c>
    </row>
    <row r="1058" spans="1:59" ht="58" x14ac:dyDescent="0.35">
      <c r="A1058" s="2" t="s">
        <v>89</v>
      </c>
      <c r="B1058" s="2" t="s">
        <v>90</v>
      </c>
      <c r="C1058" s="2" t="s">
        <v>10629</v>
      </c>
      <c r="D1058" s="2" t="s">
        <v>10630</v>
      </c>
      <c r="E1058" s="2" t="s">
        <v>10615</v>
      </c>
      <c r="G1058" s="3" t="s">
        <v>62</v>
      </c>
      <c r="I1058" s="3" t="s">
        <v>61</v>
      </c>
      <c r="J1058" s="3" t="s">
        <v>61</v>
      </c>
      <c r="K1058" s="3" t="s">
        <v>63</v>
      </c>
      <c r="L1058" s="2" t="s">
        <v>10616</v>
      </c>
      <c r="M1058" s="2" t="s">
        <v>10631</v>
      </c>
      <c r="N1058" s="3" t="s">
        <v>625</v>
      </c>
      <c r="O1058" s="2" t="s">
        <v>2986</v>
      </c>
      <c r="P1058" s="3" t="s">
        <v>64</v>
      </c>
      <c r="Q1058" s="2" t="s">
        <v>10618</v>
      </c>
      <c r="R1058" s="3" t="s">
        <v>65</v>
      </c>
      <c r="S1058" s="4">
        <v>81</v>
      </c>
      <c r="T1058" s="4">
        <v>305</v>
      </c>
      <c r="U1058" s="5" t="s">
        <v>10632</v>
      </c>
      <c r="V1058" s="5" t="s">
        <v>10633</v>
      </c>
      <c r="W1058" s="5" t="s">
        <v>67</v>
      </c>
      <c r="X1058" s="5" t="s">
        <v>67</v>
      </c>
      <c r="Y1058" s="4">
        <v>1366</v>
      </c>
      <c r="Z1058" s="4">
        <v>79</v>
      </c>
      <c r="AA1058" s="4">
        <v>207</v>
      </c>
      <c r="AB1058" s="4">
        <v>3</v>
      </c>
      <c r="AC1058" s="4">
        <v>25</v>
      </c>
      <c r="AD1058" s="4">
        <v>134</v>
      </c>
      <c r="AE1058" s="4">
        <v>177</v>
      </c>
      <c r="AF1058" s="4">
        <v>2</v>
      </c>
      <c r="AG1058" s="4">
        <v>10</v>
      </c>
      <c r="AH1058" s="4">
        <v>107</v>
      </c>
      <c r="AI1058" s="4">
        <v>118</v>
      </c>
      <c r="AJ1058" s="4">
        <v>19</v>
      </c>
      <c r="AK1058" s="4">
        <v>29</v>
      </c>
      <c r="AL1058" s="4">
        <v>56</v>
      </c>
      <c r="AM1058" s="4">
        <v>65</v>
      </c>
      <c r="AN1058" s="4">
        <v>0</v>
      </c>
      <c r="AO1058" s="4">
        <v>0</v>
      </c>
      <c r="AP1058" s="4">
        <v>36</v>
      </c>
      <c r="AQ1058" s="4">
        <v>63</v>
      </c>
      <c r="AR1058" s="3" t="s">
        <v>62</v>
      </c>
      <c r="AS1058" s="3" t="s">
        <v>62</v>
      </c>
      <c r="AT1058" s="3" t="s">
        <v>62</v>
      </c>
      <c r="AV1058" s="6" t="str">
        <f>HYPERLINK("http://mcgill.on.worldcat.org/oclc/50643834","Catalog Record")</f>
        <v>Catalog Record</v>
      </c>
      <c r="AW1058" s="6" t="str">
        <f>HYPERLINK("http://www.worldcat.org/oclc/50643834","WorldCat Record")</f>
        <v>WorldCat Record</v>
      </c>
      <c r="AX1058" s="3" t="s">
        <v>10621</v>
      </c>
      <c r="AY1058" s="3" t="s">
        <v>10634</v>
      </c>
      <c r="AZ1058" s="3" t="s">
        <v>10635</v>
      </c>
      <c r="BA1058" s="3" t="s">
        <v>10635</v>
      </c>
      <c r="BB1058" s="3" t="s">
        <v>10636</v>
      </c>
      <c r="BC1058" s="3" t="s">
        <v>102</v>
      </c>
      <c r="BD1058" s="3" t="s">
        <v>68</v>
      </c>
      <c r="BE1058" s="3" t="s">
        <v>10637</v>
      </c>
      <c r="BF1058" s="3" t="s">
        <v>10636</v>
      </c>
      <c r="BG1058" s="3" t="s">
        <v>10638</v>
      </c>
    </row>
    <row r="1059" spans="1:59" ht="58" x14ac:dyDescent="0.35">
      <c r="A1059" s="2" t="s">
        <v>89</v>
      </c>
      <c r="B1059" s="2" t="s">
        <v>90</v>
      </c>
      <c r="C1059" s="2" t="s">
        <v>10629</v>
      </c>
      <c r="D1059" s="2" t="s">
        <v>10630</v>
      </c>
      <c r="E1059" s="2" t="s">
        <v>10615</v>
      </c>
      <c r="G1059" s="3" t="s">
        <v>62</v>
      </c>
      <c r="I1059" s="3" t="s">
        <v>61</v>
      </c>
      <c r="J1059" s="3" t="s">
        <v>61</v>
      </c>
      <c r="K1059" s="3" t="s">
        <v>63</v>
      </c>
      <c r="L1059" s="2" t="s">
        <v>10616</v>
      </c>
      <c r="M1059" s="2" t="s">
        <v>10631</v>
      </c>
      <c r="N1059" s="3" t="s">
        <v>625</v>
      </c>
      <c r="O1059" s="2" t="s">
        <v>2986</v>
      </c>
      <c r="P1059" s="3" t="s">
        <v>64</v>
      </c>
      <c r="Q1059" s="2" t="s">
        <v>10618</v>
      </c>
      <c r="R1059" s="3" t="s">
        <v>65</v>
      </c>
      <c r="S1059" s="4">
        <v>25</v>
      </c>
      <c r="T1059" s="4">
        <v>305</v>
      </c>
      <c r="U1059" s="5" t="s">
        <v>10639</v>
      </c>
      <c r="V1059" s="5" t="s">
        <v>10633</v>
      </c>
      <c r="W1059" s="5" t="s">
        <v>67</v>
      </c>
      <c r="X1059" s="5" t="s">
        <v>67</v>
      </c>
      <c r="Y1059" s="4">
        <v>1366</v>
      </c>
      <c r="Z1059" s="4">
        <v>79</v>
      </c>
      <c r="AA1059" s="4">
        <v>207</v>
      </c>
      <c r="AB1059" s="4">
        <v>3</v>
      </c>
      <c r="AC1059" s="4">
        <v>25</v>
      </c>
      <c r="AD1059" s="4">
        <v>134</v>
      </c>
      <c r="AE1059" s="4">
        <v>177</v>
      </c>
      <c r="AF1059" s="4">
        <v>2</v>
      </c>
      <c r="AG1059" s="4">
        <v>10</v>
      </c>
      <c r="AH1059" s="4">
        <v>107</v>
      </c>
      <c r="AI1059" s="4">
        <v>118</v>
      </c>
      <c r="AJ1059" s="4">
        <v>19</v>
      </c>
      <c r="AK1059" s="4">
        <v>29</v>
      </c>
      <c r="AL1059" s="4">
        <v>56</v>
      </c>
      <c r="AM1059" s="4">
        <v>65</v>
      </c>
      <c r="AN1059" s="4">
        <v>0</v>
      </c>
      <c r="AO1059" s="4">
        <v>0</v>
      </c>
      <c r="AP1059" s="4">
        <v>36</v>
      </c>
      <c r="AQ1059" s="4">
        <v>63</v>
      </c>
      <c r="AR1059" s="3" t="s">
        <v>62</v>
      </c>
      <c r="AS1059" s="3" t="s">
        <v>62</v>
      </c>
      <c r="AT1059" s="3" t="s">
        <v>62</v>
      </c>
      <c r="AV1059" s="6" t="str">
        <f>HYPERLINK("http://mcgill.on.worldcat.org/oclc/50643834","Catalog Record")</f>
        <v>Catalog Record</v>
      </c>
      <c r="AW1059" s="6" t="str">
        <f>HYPERLINK("http://www.worldcat.org/oclc/50643834","WorldCat Record")</f>
        <v>WorldCat Record</v>
      </c>
      <c r="AX1059" s="3" t="s">
        <v>10621</v>
      </c>
      <c r="AY1059" s="3" t="s">
        <v>10634</v>
      </c>
      <c r="AZ1059" s="3" t="s">
        <v>10635</v>
      </c>
      <c r="BA1059" s="3" t="s">
        <v>10635</v>
      </c>
      <c r="BB1059" s="3" t="s">
        <v>10640</v>
      </c>
      <c r="BC1059" s="3" t="s">
        <v>102</v>
      </c>
      <c r="BD1059" s="3" t="s">
        <v>68</v>
      </c>
      <c r="BE1059" s="3" t="s">
        <v>10637</v>
      </c>
      <c r="BF1059" s="3" t="s">
        <v>10640</v>
      </c>
      <c r="BG1059" s="3" t="s">
        <v>10641</v>
      </c>
    </row>
    <row r="1060" spans="1:59" ht="58" x14ac:dyDescent="0.35">
      <c r="A1060" s="2" t="s">
        <v>89</v>
      </c>
      <c r="B1060" s="2" t="s">
        <v>6791</v>
      </c>
      <c r="C1060" s="2" t="s">
        <v>10629</v>
      </c>
      <c r="D1060" s="2" t="s">
        <v>10630</v>
      </c>
      <c r="E1060" s="2" t="s">
        <v>10615</v>
      </c>
      <c r="G1060" s="3" t="s">
        <v>62</v>
      </c>
      <c r="I1060" s="3" t="s">
        <v>61</v>
      </c>
      <c r="J1060" s="3" t="s">
        <v>61</v>
      </c>
      <c r="K1060" s="3" t="s">
        <v>63</v>
      </c>
      <c r="L1060" s="2" t="s">
        <v>10616</v>
      </c>
      <c r="M1060" s="2" t="s">
        <v>10631</v>
      </c>
      <c r="N1060" s="3" t="s">
        <v>625</v>
      </c>
      <c r="O1060" s="2" t="s">
        <v>2986</v>
      </c>
      <c r="P1060" s="3" t="s">
        <v>64</v>
      </c>
      <c r="Q1060" s="2" t="s">
        <v>10618</v>
      </c>
      <c r="R1060" s="3" t="s">
        <v>65</v>
      </c>
      <c r="S1060" s="4">
        <v>25</v>
      </c>
      <c r="T1060" s="4">
        <v>305</v>
      </c>
      <c r="U1060" s="5" t="s">
        <v>10633</v>
      </c>
      <c r="V1060" s="5" t="s">
        <v>10633</v>
      </c>
      <c r="W1060" s="5" t="s">
        <v>67</v>
      </c>
      <c r="X1060" s="5" t="s">
        <v>67</v>
      </c>
      <c r="Y1060" s="4">
        <v>1366</v>
      </c>
      <c r="Z1060" s="4">
        <v>79</v>
      </c>
      <c r="AA1060" s="4">
        <v>207</v>
      </c>
      <c r="AB1060" s="4">
        <v>3</v>
      </c>
      <c r="AC1060" s="4">
        <v>25</v>
      </c>
      <c r="AD1060" s="4">
        <v>134</v>
      </c>
      <c r="AE1060" s="4">
        <v>177</v>
      </c>
      <c r="AF1060" s="4">
        <v>2</v>
      </c>
      <c r="AG1060" s="4">
        <v>10</v>
      </c>
      <c r="AH1060" s="4">
        <v>107</v>
      </c>
      <c r="AI1060" s="4">
        <v>118</v>
      </c>
      <c r="AJ1060" s="4">
        <v>19</v>
      </c>
      <c r="AK1060" s="4">
        <v>29</v>
      </c>
      <c r="AL1060" s="4">
        <v>56</v>
      </c>
      <c r="AM1060" s="4">
        <v>65</v>
      </c>
      <c r="AN1060" s="4">
        <v>0</v>
      </c>
      <c r="AO1060" s="4">
        <v>0</v>
      </c>
      <c r="AP1060" s="4">
        <v>36</v>
      </c>
      <c r="AQ1060" s="4">
        <v>63</v>
      </c>
      <c r="AR1060" s="3" t="s">
        <v>62</v>
      </c>
      <c r="AS1060" s="3" t="s">
        <v>62</v>
      </c>
      <c r="AT1060" s="3" t="s">
        <v>62</v>
      </c>
      <c r="AV1060" s="6" t="str">
        <f>HYPERLINK("http://mcgill.on.worldcat.org/oclc/50643834","Catalog Record")</f>
        <v>Catalog Record</v>
      </c>
      <c r="AW1060" s="6" t="str">
        <f>HYPERLINK("http://www.worldcat.org/oclc/50643834","WorldCat Record")</f>
        <v>WorldCat Record</v>
      </c>
      <c r="AX1060" s="3" t="s">
        <v>10621</v>
      </c>
      <c r="AY1060" s="3" t="s">
        <v>10634</v>
      </c>
      <c r="AZ1060" s="3" t="s">
        <v>10635</v>
      </c>
      <c r="BA1060" s="3" t="s">
        <v>10635</v>
      </c>
      <c r="BB1060" s="3" t="s">
        <v>10642</v>
      </c>
      <c r="BC1060" s="3" t="s">
        <v>102</v>
      </c>
      <c r="BD1060" s="3" t="s">
        <v>231</v>
      </c>
      <c r="BE1060" s="3" t="s">
        <v>10637</v>
      </c>
      <c r="BF1060" s="3" t="s">
        <v>10642</v>
      </c>
      <c r="BG1060" s="3" t="s">
        <v>10643</v>
      </c>
    </row>
    <row r="1061" spans="1:59" ht="58" x14ac:dyDescent="0.35">
      <c r="A1061" s="2" t="s">
        <v>89</v>
      </c>
      <c r="B1061" s="2" t="s">
        <v>90</v>
      </c>
      <c r="C1061" s="2" t="s">
        <v>10644</v>
      </c>
      <c r="D1061" s="2" t="s">
        <v>10645</v>
      </c>
      <c r="E1061" s="2" t="s">
        <v>10615</v>
      </c>
      <c r="G1061" s="3" t="s">
        <v>62</v>
      </c>
      <c r="I1061" s="3" t="s">
        <v>61</v>
      </c>
      <c r="J1061" s="3" t="s">
        <v>61</v>
      </c>
      <c r="K1061" s="3" t="s">
        <v>63</v>
      </c>
      <c r="L1061" s="2" t="s">
        <v>10616</v>
      </c>
      <c r="M1061" s="2" t="s">
        <v>10646</v>
      </c>
      <c r="N1061" s="3" t="s">
        <v>1722</v>
      </c>
      <c r="O1061" s="2" t="s">
        <v>2458</v>
      </c>
      <c r="P1061" s="3" t="s">
        <v>64</v>
      </c>
      <c r="Q1061" s="2" t="s">
        <v>10618</v>
      </c>
      <c r="R1061" s="3" t="s">
        <v>65</v>
      </c>
      <c r="S1061" s="4">
        <v>16</v>
      </c>
      <c r="T1061" s="4">
        <v>72</v>
      </c>
      <c r="U1061" s="5" t="s">
        <v>10647</v>
      </c>
      <c r="V1061" s="5" t="s">
        <v>10648</v>
      </c>
      <c r="W1061" s="5" t="s">
        <v>67</v>
      </c>
      <c r="X1061" s="5" t="s">
        <v>67</v>
      </c>
      <c r="Y1061" s="4">
        <v>1619</v>
      </c>
      <c r="Z1061" s="4">
        <v>90</v>
      </c>
      <c r="AA1061" s="4">
        <v>207</v>
      </c>
      <c r="AB1061" s="4">
        <v>2</v>
      </c>
      <c r="AC1061" s="4">
        <v>25</v>
      </c>
      <c r="AD1061" s="4">
        <v>137</v>
      </c>
      <c r="AE1061" s="4">
        <v>177</v>
      </c>
      <c r="AF1061" s="4">
        <v>1</v>
      </c>
      <c r="AG1061" s="4">
        <v>10</v>
      </c>
      <c r="AH1061" s="4">
        <v>107</v>
      </c>
      <c r="AI1061" s="4">
        <v>118</v>
      </c>
      <c r="AJ1061" s="4">
        <v>21</v>
      </c>
      <c r="AK1061" s="4">
        <v>29</v>
      </c>
      <c r="AL1061" s="4">
        <v>58</v>
      </c>
      <c r="AM1061" s="4">
        <v>65</v>
      </c>
      <c r="AN1061" s="4">
        <v>0</v>
      </c>
      <c r="AO1061" s="4">
        <v>0</v>
      </c>
      <c r="AP1061" s="4">
        <v>37</v>
      </c>
      <c r="AQ1061" s="4">
        <v>63</v>
      </c>
      <c r="AR1061" s="3" t="s">
        <v>62</v>
      </c>
      <c r="AS1061" s="3" t="s">
        <v>62</v>
      </c>
      <c r="AT1061" s="3" t="s">
        <v>61</v>
      </c>
      <c r="AU1061" s="6" t="str">
        <f>HYPERLINK("http://catalog.hathitrust.org/Record/005818148","HathiTrust Record")</f>
        <v>HathiTrust Record</v>
      </c>
      <c r="AV1061" s="6" t="str">
        <f>HYPERLINK("http://mcgill.on.worldcat.org/oclc/175218191","Catalog Record")</f>
        <v>Catalog Record</v>
      </c>
      <c r="AW1061" s="6" t="str">
        <f>HYPERLINK("http://www.worldcat.org/oclc/175218191","WorldCat Record")</f>
        <v>WorldCat Record</v>
      </c>
      <c r="AX1061" s="3" t="s">
        <v>10621</v>
      </c>
      <c r="AY1061" s="3" t="s">
        <v>10649</v>
      </c>
      <c r="AZ1061" s="3" t="s">
        <v>10650</v>
      </c>
      <c r="BA1061" s="3" t="s">
        <v>10650</v>
      </c>
      <c r="BB1061" s="3" t="s">
        <v>10651</v>
      </c>
      <c r="BC1061" s="3" t="s">
        <v>102</v>
      </c>
      <c r="BD1061" s="3" t="s">
        <v>68</v>
      </c>
      <c r="BE1061" s="3" t="s">
        <v>10652</v>
      </c>
      <c r="BF1061" s="3" t="s">
        <v>10651</v>
      </c>
      <c r="BG1061" s="3" t="s">
        <v>10653</v>
      </c>
    </row>
    <row r="1062" spans="1:59" ht="58" x14ac:dyDescent="0.35">
      <c r="A1062" s="2" t="s">
        <v>89</v>
      </c>
      <c r="B1062" s="2" t="s">
        <v>90</v>
      </c>
      <c r="C1062" s="2" t="s">
        <v>10644</v>
      </c>
      <c r="D1062" s="2" t="s">
        <v>10645</v>
      </c>
      <c r="E1062" s="2" t="s">
        <v>10615</v>
      </c>
      <c r="G1062" s="3" t="s">
        <v>62</v>
      </c>
      <c r="I1062" s="3" t="s">
        <v>61</v>
      </c>
      <c r="J1062" s="3" t="s">
        <v>61</v>
      </c>
      <c r="K1062" s="3" t="s">
        <v>63</v>
      </c>
      <c r="L1062" s="2" t="s">
        <v>10616</v>
      </c>
      <c r="M1062" s="2" t="s">
        <v>10646</v>
      </c>
      <c r="N1062" s="3" t="s">
        <v>1722</v>
      </c>
      <c r="O1062" s="2" t="s">
        <v>2458</v>
      </c>
      <c r="P1062" s="3" t="s">
        <v>64</v>
      </c>
      <c r="Q1062" s="2" t="s">
        <v>10618</v>
      </c>
      <c r="R1062" s="3" t="s">
        <v>65</v>
      </c>
      <c r="S1062" s="4">
        <v>20</v>
      </c>
      <c r="T1062" s="4">
        <v>72</v>
      </c>
      <c r="U1062" s="5" t="s">
        <v>10654</v>
      </c>
      <c r="V1062" s="5" t="s">
        <v>10648</v>
      </c>
      <c r="W1062" s="5" t="s">
        <v>67</v>
      </c>
      <c r="X1062" s="5" t="s">
        <v>67</v>
      </c>
      <c r="Y1062" s="4">
        <v>1619</v>
      </c>
      <c r="Z1062" s="4">
        <v>90</v>
      </c>
      <c r="AA1062" s="4">
        <v>207</v>
      </c>
      <c r="AB1062" s="4">
        <v>2</v>
      </c>
      <c r="AC1062" s="4">
        <v>25</v>
      </c>
      <c r="AD1062" s="4">
        <v>137</v>
      </c>
      <c r="AE1062" s="4">
        <v>177</v>
      </c>
      <c r="AF1062" s="4">
        <v>1</v>
      </c>
      <c r="AG1062" s="4">
        <v>10</v>
      </c>
      <c r="AH1062" s="4">
        <v>107</v>
      </c>
      <c r="AI1062" s="4">
        <v>118</v>
      </c>
      <c r="AJ1062" s="4">
        <v>21</v>
      </c>
      <c r="AK1062" s="4">
        <v>29</v>
      </c>
      <c r="AL1062" s="4">
        <v>58</v>
      </c>
      <c r="AM1062" s="4">
        <v>65</v>
      </c>
      <c r="AN1062" s="4">
        <v>0</v>
      </c>
      <c r="AO1062" s="4">
        <v>0</v>
      </c>
      <c r="AP1062" s="4">
        <v>37</v>
      </c>
      <c r="AQ1062" s="4">
        <v>63</v>
      </c>
      <c r="AR1062" s="3" t="s">
        <v>62</v>
      </c>
      <c r="AS1062" s="3" t="s">
        <v>62</v>
      </c>
      <c r="AT1062" s="3" t="s">
        <v>61</v>
      </c>
      <c r="AU1062" s="6" t="str">
        <f>HYPERLINK("http://catalog.hathitrust.org/Record/005818148","HathiTrust Record")</f>
        <v>HathiTrust Record</v>
      </c>
      <c r="AV1062" s="6" t="str">
        <f>HYPERLINK("http://mcgill.on.worldcat.org/oclc/175218191","Catalog Record")</f>
        <v>Catalog Record</v>
      </c>
      <c r="AW1062" s="6" t="str">
        <f>HYPERLINK("http://www.worldcat.org/oclc/175218191","WorldCat Record")</f>
        <v>WorldCat Record</v>
      </c>
      <c r="AX1062" s="3" t="s">
        <v>10621</v>
      </c>
      <c r="AY1062" s="3" t="s">
        <v>10649</v>
      </c>
      <c r="AZ1062" s="3" t="s">
        <v>10650</v>
      </c>
      <c r="BA1062" s="3" t="s">
        <v>10650</v>
      </c>
      <c r="BB1062" s="3" t="s">
        <v>10655</v>
      </c>
      <c r="BC1062" s="3" t="s">
        <v>102</v>
      </c>
      <c r="BD1062" s="3" t="s">
        <v>231</v>
      </c>
      <c r="BE1062" s="3" t="s">
        <v>10652</v>
      </c>
      <c r="BF1062" s="3" t="s">
        <v>10655</v>
      </c>
      <c r="BG1062" s="3" t="s">
        <v>10656</v>
      </c>
    </row>
    <row r="1063" spans="1:59" ht="58" x14ac:dyDescent="0.35">
      <c r="A1063" s="2" t="s">
        <v>89</v>
      </c>
      <c r="B1063" s="2" t="s">
        <v>90</v>
      </c>
      <c r="C1063" s="2" t="s">
        <v>10644</v>
      </c>
      <c r="D1063" s="2" t="s">
        <v>10645</v>
      </c>
      <c r="E1063" s="2" t="s">
        <v>10615</v>
      </c>
      <c r="G1063" s="3" t="s">
        <v>62</v>
      </c>
      <c r="I1063" s="3" t="s">
        <v>61</v>
      </c>
      <c r="J1063" s="3" t="s">
        <v>61</v>
      </c>
      <c r="K1063" s="3" t="s">
        <v>63</v>
      </c>
      <c r="L1063" s="2" t="s">
        <v>10616</v>
      </c>
      <c r="M1063" s="2" t="s">
        <v>10646</v>
      </c>
      <c r="N1063" s="3" t="s">
        <v>1722</v>
      </c>
      <c r="O1063" s="2" t="s">
        <v>2458</v>
      </c>
      <c r="P1063" s="3" t="s">
        <v>64</v>
      </c>
      <c r="Q1063" s="2" t="s">
        <v>10618</v>
      </c>
      <c r="R1063" s="3" t="s">
        <v>65</v>
      </c>
      <c r="S1063" s="4">
        <v>27</v>
      </c>
      <c r="T1063" s="4">
        <v>72</v>
      </c>
      <c r="U1063" s="5" t="s">
        <v>370</v>
      </c>
      <c r="V1063" s="5" t="s">
        <v>10648</v>
      </c>
      <c r="W1063" s="5" t="s">
        <v>67</v>
      </c>
      <c r="X1063" s="5" t="s">
        <v>67</v>
      </c>
      <c r="Y1063" s="4">
        <v>1619</v>
      </c>
      <c r="Z1063" s="4">
        <v>90</v>
      </c>
      <c r="AA1063" s="4">
        <v>207</v>
      </c>
      <c r="AB1063" s="4">
        <v>2</v>
      </c>
      <c r="AC1063" s="4">
        <v>25</v>
      </c>
      <c r="AD1063" s="4">
        <v>137</v>
      </c>
      <c r="AE1063" s="4">
        <v>177</v>
      </c>
      <c r="AF1063" s="4">
        <v>1</v>
      </c>
      <c r="AG1063" s="4">
        <v>10</v>
      </c>
      <c r="AH1063" s="4">
        <v>107</v>
      </c>
      <c r="AI1063" s="4">
        <v>118</v>
      </c>
      <c r="AJ1063" s="4">
        <v>21</v>
      </c>
      <c r="AK1063" s="4">
        <v>29</v>
      </c>
      <c r="AL1063" s="4">
        <v>58</v>
      </c>
      <c r="AM1063" s="4">
        <v>65</v>
      </c>
      <c r="AN1063" s="4">
        <v>0</v>
      </c>
      <c r="AO1063" s="4">
        <v>0</v>
      </c>
      <c r="AP1063" s="4">
        <v>37</v>
      </c>
      <c r="AQ1063" s="4">
        <v>63</v>
      </c>
      <c r="AR1063" s="3" t="s">
        <v>62</v>
      </c>
      <c r="AS1063" s="3" t="s">
        <v>62</v>
      </c>
      <c r="AT1063" s="3" t="s">
        <v>61</v>
      </c>
      <c r="AU1063" s="6" t="str">
        <f>HYPERLINK("http://catalog.hathitrust.org/Record/005818148","HathiTrust Record")</f>
        <v>HathiTrust Record</v>
      </c>
      <c r="AV1063" s="6" t="str">
        <f>HYPERLINK("http://mcgill.on.worldcat.org/oclc/175218191","Catalog Record")</f>
        <v>Catalog Record</v>
      </c>
      <c r="AW1063" s="6" t="str">
        <f>HYPERLINK("http://www.worldcat.org/oclc/175218191","WorldCat Record")</f>
        <v>WorldCat Record</v>
      </c>
      <c r="AX1063" s="3" t="s">
        <v>10621</v>
      </c>
      <c r="AY1063" s="3" t="s">
        <v>10649</v>
      </c>
      <c r="AZ1063" s="3" t="s">
        <v>10650</v>
      </c>
      <c r="BA1063" s="3" t="s">
        <v>10650</v>
      </c>
      <c r="BB1063" s="3" t="s">
        <v>10657</v>
      </c>
      <c r="BC1063" s="3" t="s">
        <v>102</v>
      </c>
      <c r="BD1063" s="3" t="s">
        <v>231</v>
      </c>
      <c r="BE1063" s="3" t="s">
        <v>10652</v>
      </c>
      <c r="BF1063" s="3" t="s">
        <v>10657</v>
      </c>
      <c r="BG1063" s="3" t="s">
        <v>10658</v>
      </c>
    </row>
    <row r="1064" spans="1:59" ht="58" x14ac:dyDescent="0.35">
      <c r="A1064" s="2" t="s">
        <v>89</v>
      </c>
      <c r="B1064" s="2" t="s">
        <v>90</v>
      </c>
      <c r="C1064" s="2" t="s">
        <v>10659</v>
      </c>
      <c r="D1064" s="2" t="s">
        <v>10660</v>
      </c>
      <c r="E1064" s="2" t="s">
        <v>10661</v>
      </c>
      <c r="G1064" s="3" t="s">
        <v>62</v>
      </c>
      <c r="H1064" s="3" t="s">
        <v>916</v>
      </c>
      <c r="I1064" s="3" t="s">
        <v>62</v>
      </c>
      <c r="J1064" s="3" t="s">
        <v>61</v>
      </c>
      <c r="K1064" s="3" t="s">
        <v>63</v>
      </c>
      <c r="L1064" s="2" t="s">
        <v>10662</v>
      </c>
      <c r="M1064" s="2" t="s">
        <v>10663</v>
      </c>
      <c r="N1064" s="3" t="s">
        <v>1038</v>
      </c>
      <c r="O1064" s="2" t="s">
        <v>7791</v>
      </c>
      <c r="P1064" s="3" t="s">
        <v>64</v>
      </c>
      <c r="Q1064" s="2" t="s">
        <v>10618</v>
      </c>
      <c r="R1064" s="3" t="s">
        <v>65</v>
      </c>
      <c r="S1064" s="4">
        <v>1</v>
      </c>
      <c r="T1064" s="4">
        <v>1</v>
      </c>
      <c r="U1064" s="5" t="s">
        <v>10664</v>
      </c>
      <c r="V1064" s="5" t="s">
        <v>10664</v>
      </c>
      <c r="W1064" s="5" t="s">
        <v>10665</v>
      </c>
      <c r="X1064" s="5" t="s">
        <v>10665</v>
      </c>
      <c r="Y1064" s="4">
        <v>965</v>
      </c>
      <c r="Z1064" s="4">
        <v>51</v>
      </c>
      <c r="AA1064" s="4">
        <v>207</v>
      </c>
      <c r="AB1064" s="4">
        <v>2</v>
      </c>
      <c r="AC1064" s="4">
        <v>25</v>
      </c>
      <c r="AD1064" s="4">
        <v>107</v>
      </c>
      <c r="AE1064" s="4">
        <v>177</v>
      </c>
      <c r="AF1064" s="4">
        <v>1</v>
      </c>
      <c r="AG1064" s="4">
        <v>10</v>
      </c>
      <c r="AH1064" s="4">
        <v>85</v>
      </c>
      <c r="AI1064" s="4">
        <v>118</v>
      </c>
      <c r="AJ1064" s="4">
        <v>21</v>
      </c>
      <c r="AK1064" s="4">
        <v>29</v>
      </c>
      <c r="AL1064" s="4">
        <v>49</v>
      </c>
      <c r="AM1064" s="4">
        <v>65</v>
      </c>
      <c r="AN1064" s="4">
        <v>0</v>
      </c>
      <c r="AO1064" s="4">
        <v>0</v>
      </c>
      <c r="AP1064" s="4">
        <v>32</v>
      </c>
      <c r="AQ1064" s="4">
        <v>63</v>
      </c>
      <c r="AR1064" s="3" t="s">
        <v>62</v>
      </c>
      <c r="AS1064" s="3" t="s">
        <v>62</v>
      </c>
      <c r="AT1064" s="3" t="s">
        <v>62</v>
      </c>
      <c r="AV1064" s="6" t="str">
        <f>HYPERLINK("http://mcgill.on.worldcat.org/oclc/934432748","Catalog Record")</f>
        <v>Catalog Record</v>
      </c>
      <c r="AW1064" s="6" t="str">
        <f>HYPERLINK("http://www.worldcat.org/oclc/934432748","WorldCat Record")</f>
        <v>WorldCat Record</v>
      </c>
      <c r="AX1064" s="3" t="s">
        <v>10621</v>
      </c>
      <c r="AY1064" s="3" t="s">
        <v>10666</v>
      </c>
      <c r="AZ1064" s="3" t="s">
        <v>10667</v>
      </c>
      <c r="BA1064" s="3" t="s">
        <v>10667</v>
      </c>
      <c r="BB1064" s="3" t="s">
        <v>10668</v>
      </c>
      <c r="BC1064" s="3" t="s">
        <v>102</v>
      </c>
      <c r="BD1064" s="3" t="s">
        <v>68</v>
      </c>
      <c r="BE1064" s="3" t="s">
        <v>10669</v>
      </c>
      <c r="BF1064" s="3" t="s">
        <v>10668</v>
      </c>
      <c r="BG1064" s="3" t="s">
        <v>10670</v>
      </c>
    </row>
    <row r="1065" spans="1:59" ht="58" x14ac:dyDescent="0.35">
      <c r="A1065" s="2" t="s">
        <v>89</v>
      </c>
      <c r="B1065" s="2" t="s">
        <v>90</v>
      </c>
      <c r="C1065" s="2" t="s">
        <v>10671</v>
      </c>
      <c r="D1065" s="2" t="s">
        <v>10672</v>
      </c>
      <c r="E1065" s="2" t="s">
        <v>10673</v>
      </c>
      <c r="G1065" s="3" t="s">
        <v>62</v>
      </c>
      <c r="I1065" s="3" t="s">
        <v>62</v>
      </c>
      <c r="J1065" s="3" t="s">
        <v>62</v>
      </c>
      <c r="K1065" s="3" t="s">
        <v>63</v>
      </c>
      <c r="L1065" s="2" t="s">
        <v>10674</v>
      </c>
      <c r="M1065" s="2" t="s">
        <v>10675</v>
      </c>
      <c r="N1065" s="3" t="s">
        <v>438</v>
      </c>
      <c r="P1065" s="3" t="s">
        <v>85</v>
      </c>
      <c r="Q1065" s="2" t="s">
        <v>10676</v>
      </c>
      <c r="R1065" s="3" t="s">
        <v>65</v>
      </c>
      <c r="S1065" s="4">
        <v>25</v>
      </c>
      <c r="T1065" s="4">
        <v>25</v>
      </c>
      <c r="U1065" s="5" t="s">
        <v>10545</v>
      </c>
      <c r="V1065" s="5" t="s">
        <v>10545</v>
      </c>
      <c r="W1065" s="5" t="s">
        <v>67</v>
      </c>
      <c r="X1065" s="5" t="s">
        <v>67</v>
      </c>
      <c r="Y1065" s="4">
        <v>27</v>
      </c>
      <c r="Z1065" s="4">
        <v>2</v>
      </c>
      <c r="AA1065" s="4">
        <v>8</v>
      </c>
      <c r="AB1065" s="4">
        <v>2</v>
      </c>
      <c r="AC1065" s="4">
        <v>8</v>
      </c>
      <c r="AD1065" s="4">
        <v>10</v>
      </c>
      <c r="AE1065" s="4">
        <v>14</v>
      </c>
      <c r="AF1065" s="4">
        <v>0</v>
      </c>
      <c r="AG1065" s="4">
        <v>4</v>
      </c>
      <c r="AH1065" s="4">
        <v>9</v>
      </c>
      <c r="AI1065" s="4">
        <v>10</v>
      </c>
      <c r="AJ1065" s="4">
        <v>0</v>
      </c>
      <c r="AK1065" s="4">
        <v>3</v>
      </c>
      <c r="AL1065" s="4">
        <v>8</v>
      </c>
      <c r="AM1065" s="4">
        <v>8</v>
      </c>
      <c r="AN1065" s="4">
        <v>0</v>
      </c>
      <c r="AO1065" s="4">
        <v>0</v>
      </c>
      <c r="AP1065" s="4">
        <v>0</v>
      </c>
      <c r="AQ1065" s="4">
        <v>3</v>
      </c>
      <c r="AR1065" s="3" t="s">
        <v>62</v>
      </c>
      <c r="AS1065" s="3" t="s">
        <v>62</v>
      </c>
      <c r="AT1065" s="3" t="s">
        <v>61</v>
      </c>
      <c r="AU1065" s="6" t="str">
        <f>HYPERLINK("http://catalog.hathitrust.org/Record/002431296","HathiTrust Record")</f>
        <v>HathiTrust Record</v>
      </c>
      <c r="AV1065" s="6" t="str">
        <f>HYPERLINK("http://mcgill.on.worldcat.org/oclc/23144935","Catalog Record")</f>
        <v>Catalog Record</v>
      </c>
      <c r="AW1065" s="6" t="str">
        <f>HYPERLINK("http://www.worldcat.org/oclc/23144935","WorldCat Record")</f>
        <v>WorldCat Record</v>
      </c>
      <c r="AX1065" s="3" t="s">
        <v>10677</v>
      </c>
      <c r="AY1065" s="3" t="s">
        <v>10678</v>
      </c>
      <c r="AZ1065" s="3" t="s">
        <v>10679</v>
      </c>
      <c r="BA1065" s="3" t="s">
        <v>10679</v>
      </c>
      <c r="BB1065" s="3" t="s">
        <v>10680</v>
      </c>
      <c r="BC1065" s="3" t="s">
        <v>102</v>
      </c>
      <c r="BD1065" s="3" t="s">
        <v>231</v>
      </c>
      <c r="BE1065" s="3" t="s">
        <v>10681</v>
      </c>
      <c r="BF1065" s="3" t="s">
        <v>10680</v>
      </c>
      <c r="BG1065" s="3" t="s">
        <v>10682</v>
      </c>
    </row>
    <row r="1066" spans="1:59" ht="58" x14ac:dyDescent="0.35">
      <c r="A1066" s="2" t="s">
        <v>89</v>
      </c>
      <c r="B1066" s="2" t="s">
        <v>6791</v>
      </c>
      <c r="C1066" s="2" t="s">
        <v>10683</v>
      </c>
      <c r="D1066" s="2" t="s">
        <v>10684</v>
      </c>
      <c r="E1066" s="2" t="s">
        <v>10685</v>
      </c>
      <c r="G1066" s="3" t="s">
        <v>62</v>
      </c>
      <c r="I1066" s="3" t="s">
        <v>61</v>
      </c>
      <c r="J1066" s="3" t="s">
        <v>61</v>
      </c>
      <c r="K1066" s="3" t="s">
        <v>63</v>
      </c>
      <c r="L1066" s="2" t="s">
        <v>10686</v>
      </c>
      <c r="M1066" s="2" t="s">
        <v>10687</v>
      </c>
      <c r="N1066" s="3" t="s">
        <v>539</v>
      </c>
      <c r="P1066" s="3" t="s">
        <v>64</v>
      </c>
      <c r="R1066" s="3" t="s">
        <v>65</v>
      </c>
      <c r="S1066" s="4">
        <v>28</v>
      </c>
      <c r="T1066" s="4">
        <v>41</v>
      </c>
      <c r="U1066" s="5" t="s">
        <v>370</v>
      </c>
      <c r="V1066" s="5" t="s">
        <v>370</v>
      </c>
      <c r="W1066" s="5" t="s">
        <v>67</v>
      </c>
      <c r="X1066" s="5" t="s">
        <v>67</v>
      </c>
      <c r="Y1066" s="4">
        <v>562</v>
      </c>
      <c r="Z1066" s="4">
        <v>41</v>
      </c>
      <c r="AA1066" s="4">
        <v>107</v>
      </c>
      <c r="AB1066" s="4">
        <v>3</v>
      </c>
      <c r="AC1066" s="4">
        <v>26</v>
      </c>
      <c r="AD1066" s="4">
        <v>109</v>
      </c>
      <c r="AE1066" s="4">
        <v>157</v>
      </c>
      <c r="AF1066" s="4">
        <v>1</v>
      </c>
      <c r="AG1066" s="4">
        <v>10</v>
      </c>
      <c r="AH1066" s="4">
        <v>88</v>
      </c>
      <c r="AI1066" s="4">
        <v>111</v>
      </c>
      <c r="AJ1066" s="4">
        <v>15</v>
      </c>
      <c r="AK1066" s="4">
        <v>26</v>
      </c>
      <c r="AL1066" s="4">
        <v>41</v>
      </c>
      <c r="AM1066" s="4">
        <v>55</v>
      </c>
      <c r="AN1066" s="4">
        <v>0</v>
      </c>
      <c r="AO1066" s="4">
        <v>0</v>
      </c>
      <c r="AP1066" s="4">
        <v>29</v>
      </c>
      <c r="AQ1066" s="4">
        <v>57</v>
      </c>
      <c r="AR1066" s="3" t="s">
        <v>62</v>
      </c>
      <c r="AS1066" s="3" t="s">
        <v>62</v>
      </c>
      <c r="AT1066" s="3" t="s">
        <v>61</v>
      </c>
      <c r="AU1066" s="6" t="str">
        <f>HYPERLINK("http://catalog.hathitrust.org/Record/003978275","HathiTrust Record")</f>
        <v>HathiTrust Record</v>
      </c>
      <c r="AV1066" s="6" t="str">
        <f>HYPERLINK("http://mcgill.on.worldcat.org/oclc/38200246","Catalog Record")</f>
        <v>Catalog Record</v>
      </c>
      <c r="AW1066" s="6" t="str">
        <f>HYPERLINK("http://www.worldcat.org/oclc/38200246","WorldCat Record")</f>
        <v>WorldCat Record</v>
      </c>
      <c r="AX1066" s="3" t="s">
        <v>10688</v>
      </c>
      <c r="AY1066" s="3" t="s">
        <v>10689</v>
      </c>
      <c r="AZ1066" s="3" t="s">
        <v>10690</v>
      </c>
      <c r="BA1066" s="3" t="s">
        <v>10690</v>
      </c>
      <c r="BB1066" s="3" t="s">
        <v>10691</v>
      </c>
      <c r="BC1066" s="3" t="s">
        <v>102</v>
      </c>
      <c r="BD1066" s="3" t="s">
        <v>231</v>
      </c>
      <c r="BE1066" s="3" t="s">
        <v>10692</v>
      </c>
      <c r="BF1066" s="3" t="s">
        <v>10691</v>
      </c>
      <c r="BG1066" s="3" t="s">
        <v>10693</v>
      </c>
    </row>
    <row r="1067" spans="1:59" ht="58" x14ac:dyDescent="0.35">
      <c r="A1067" s="2" t="s">
        <v>89</v>
      </c>
      <c r="B1067" s="2" t="s">
        <v>90</v>
      </c>
      <c r="C1067" s="2" t="s">
        <v>10694</v>
      </c>
      <c r="D1067" s="2" t="s">
        <v>10695</v>
      </c>
      <c r="E1067" s="2" t="s">
        <v>10696</v>
      </c>
      <c r="G1067" s="3" t="s">
        <v>62</v>
      </c>
      <c r="I1067" s="3" t="s">
        <v>61</v>
      </c>
      <c r="J1067" s="3" t="s">
        <v>62</v>
      </c>
      <c r="K1067" s="3" t="s">
        <v>63</v>
      </c>
      <c r="L1067" s="2" t="s">
        <v>6021</v>
      </c>
      <c r="M1067" s="2" t="s">
        <v>10697</v>
      </c>
      <c r="N1067" s="3" t="s">
        <v>2110</v>
      </c>
      <c r="P1067" s="3" t="s">
        <v>64</v>
      </c>
      <c r="R1067" s="3" t="s">
        <v>65</v>
      </c>
      <c r="S1067" s="4">
        <v>5</v>
      </c>
      <c r="T1067" s="4">
        <v>11</v>
      </c>
      <c r="U1067" s="5" t="s">
        <v>10698</v>
      </c>
      <c r="V1067" s="5" t="s">
        <v>10699</v>
      </c>
      <c r="W1067" s="5" t="s">
        <v>67</v>
      </c>
      <c r="X1067" s="5" t="s">
        <v>67</v>
      </c>
      <c r="Y1067" s="4">
        <v>858</v>
      </c>
      <c r="Z1067" s="4">
        <v>40</v>
      </c>
      <c r="AA1067" s="4">
        <v>54</v>
      </c>
      <c r="AB1067" s="4">
        <v>3</v>
      </c>
      <c r="AC1067" s="4">
        <v>7</v>
      </c>
      <c r="AD1067" s="4">
        <v>131</v>
      </c>
      <c r="AE1067" s="4">
        <v>145</v>
      </c>
      <c r="AF1067" s="4">
        <v>2</v>
      </c>
      <c r="AG1067" s="4">
        <v>5</v>
      </c>
      <c r="AH1067" s="4">
        <v>104</v>
      </c>
      <c r="AI1067" s="4">
        <v>111</v>
      </c>
      <c r="AJ1067" s="4">
        <v>18</v>
      </c>
      <c r="AK1067" s="4">
        <v>22</v>
      </c>
      <c r="AL1067" s="4">
        <v>54</v>
      </c>
      <c r="AM1067" s="4">
        <v>57</v>
      </c>
      <c r="AN1067" s="4">
        <v>0</v>
      </c>
      <c r="AO1067" s="4">
        <v>0</v>
      </c>
      <c r="AP1067" s="4">
        <v>32</v>
      </c>
      <c r="AQ1067" s="4">
        <v>40</v>
      </c>
      <c r="AR1067" s="3" t="s">
        <v>62</v>
      </c>
      <c r="AS1067" s="3" t="s">
        <v>62</v>
      </c>
      <c r="AT1067" s="3" t="s">
        <v>61</v>
      </c>
      <c r="AU1067" s="6" t="str">
        <f>HYPERLINK("http://catalog.hathitrust.org/Record/000750774","HathiTrust Record")</f>
        <v>HathiTrust Record</v>
      </c>
      <c r="AV1067" s="6" t="str">
        <f>HYPERLINK("http://mcgill.on.worldcat.org/oclc/3380055","Catalog Record")</f>
        <v>Catalog Record</v>
      </c>
      <c r="AW1067" s="6" t="str">
        <f>HYPERLINK("http://www.worldcat.org/oclc/3380055","WorldCat Record")</f>
        <v>WorldCat Record</v>
      </c>
      <c r="AX1067" s="3" t="s">
        <v>10700</v>
      </c>
      <c r="AY1067" s="3" t="s">
        <v>10701</v>
      </c>
      <c r="AZ1067" s="3" t="s">
        <v>10702</v>
      </c>
      <c r="BA1067" s="3" t="s">
        <v>10702</v>
      </c>
      <c r="BB1067" s="3" t="s">
        <v>10703</v>
      </c>
      <c r="BC1067" s="3" t="s">
        <v>102</v>
      </c>
      <c r="BD1067" s="3" t="s">
        <v>68</v>
      </c>
      <c r="BE1067" s="3" t="s">
        <v>10704</v>
      </c>
      <c r="BF1067" s="3" t="s">
        <v>10703</v>
      </c>
      <c r="BG1067" s="3" t="s">
        <v>10705</v>
      </c>
    </row>
    <row r="1068" spans="1:59" ht="58" x14ac:dyDescent="0.35">
      <c r="A1068" s="2" t="s">
        <v>89</v>
      </c>
      <c r="B1068" s="2" t="s">
        <v>90</v>
      </c>
      <c r="C1068" s="2" t="s">
        <v>10706</v>
      </c>
      <c r="D1068" s="2" t="s">
        <v>10707</v>
      </c>
      <c r="E1068" s="2" t="s">
        <v>10708</v>
      </c>
      <c r="G1068" s="3" t="s">
        <v>62</v>
      </c>
      <c r="I1068" s="3" t="s">
        <v>62</v>
      </c>
      <c r="J1068" s="3" t="s">
        <v>62</v>
      </c>
      <c r="K1068" s="3" t="s">
        <v>63</v>
      </c>
      <c r="L1068" s="2" t="s">
        <v>10709</v>
      </c>
      <c r="M1068" s="2" t="s">
        <v>10710</v>
      </c>
      <c r="N1068" s="3" t="s">
        <v>655</v>
      </c>
      <c r="P1068" s="3" t="s">
        <v>64</v>
      </c>
      <c r="R1068" s="3" t="s">
        <v>65</v>
      </c>
      <c r="S1068" s="4">
        <v>33</v>
      </c>
      <c r="T1068" s="4">
        <v>33</v>
      </c>
      <c r="U1068" s="5" t="s">
        <v>287</v>
      </c>
      <c r="V1068" s="5" t="s">
        <v>287</v>
      </c>
      <c r="W1068" s="5" t="s">
        <v>67</v>
      </c>
      <c r="X1068" s="5" t="s">
        <v>67</v>
      </c>
      <c r="Y1068" s="4">
        <v>300</v>
      </c>
      <c r="Z1068" s="4">
        <v>27</v>
      </c>
      <c r="AA1068" s="4">
        <v>35</v>
      </c>
      <c r="AB1068" s="4">
        <v>2</v>
      </c>
      <c r="AC1068" s="4">
        <v>4</v>
      </c>
      <c r="AD1068" s="4">
        <v>62</v>
      </c>
      <c r="AE1068" s="4">
        <v>76</v>
      </c>
      <c r="AF1068" s="4">
        <v>1</v>
      </c>
      <c r="AG1068" s="4">
        <v>3</v>
      </c>
      <c r="AH1068" s="4">
        <v>50</v>
      </c>
      <c r="AI1068" s="4">
        <v>60</v>
      </c>
      <c r="AJ1068" s="4">
        <v>12</v>
      </c>
      <c r="AK1068" s="4">
        <v>16</v>
      </c>
      <c r="AL1068" s="4">
        <v>29</v>
      </c>
      <c r="AM1068" s="4">
        <v>30</v>
      </c>
      <c r="AN1068" s="4">
        <v>0</v>
      </c>
      <c r="AO1068" s="4">
        <v>0</v>
      </c>
      <c r="AP1068" s="4">
        <v>19</v>
      </c>
      <c r="AQ1068" s="4">
        <v>27</v>
      </c>
      <c r="AR1068" s="3" t="s">
        <v>62</v>
      </c>
      <c r="AS1068" s="3" t="s">
        <v>62</v>
      </c>
      <c r="AT1068" s="3" t="s">
        <v>62</v>
      </c>
      <c r="AV1068" s="6" t="str">
        <f>HYPERLINK("http://mcgill.on.worldcat.org/oclc/71285198","Catalog Record")</f>
        <v>Catalog Record</v>
      </c>
      <c r="AW1068" s="6" t="str">
        <f>HYPERLINK("http://www.worldcat.org/oclc/71285198","WorldCat Record")</f>
        <v>WorldCat Record</v>
      </c>
      <c r="AX1068" s="3" t="s">
        <v>10711</v>
      </c>
      <c r="AY1068" s="3" t="s">
        <v>10712</v>
      </c>
      <c r="AZ1068" s="3" t="s">
        <v>10713</v>
      </c>
      <c r="BA1068" s="3" t="s">
        <v>10713</v>
      </c>
      <c r="BB1068" s="3" t="s">
        <v>10714</v>
      </c>
      <c r="BC1068" s="3" t="s">
        <v>102</v>
      </c>
      <c r="BD1068" s="3" t="s">
        <v>68</v>
      </c>
      <c r="BE1068" s="3" t="s">
        <v>10715</v>
      </c>
      <c r="BF1068" s="3" t="s">
        <v>10714</v>
      </c>
      <c r="BG1068" s="3" t="s">
        <v>10716</v>
      </c>
    </row>
    <row r="1069" spans="1:59" ht="58" x14ac:dyDescent="0.35">
      <c r="A1069" s="2" t="s">
        <v>89</v>
      </c>
      <c r="B1069" s="2" t="s">
        <v>90</v>
      </c>
      <c r="C1069" s="2" t="s">
        <v>10717</v>
      </c>
      <c r="D1069" s="2" t="s">
        <v>10718</v>
      </c>
      <c r="E1069" s="2" t="s">
        <v>10719</v>
      </c>
      <c r="G1069" s="3" t="s">
        <v>62</v>
      </c>
      <c r="I1069" s="3" t="s">
        <v>62</v>
      </c>
      <c r="J1069" s="3" t="s">
        <v>61</v>
      </c>
      <c r="K1069" s="3" t="s">
        <v>63</v>
      </c>
      <c r="L1069" s="2" t="s">
        <v>10720</v>
      </c>
      <c r="M1069" s="2" t="s">
        <v>10721</v>
      </c>
      <c r="N1069" s="3" t="s">
        <v>684</v>
      </c>
      <c r="O1069" s="2" t="s">
        <v>10722</v>
      </c>
      <c r="P1069" s="3" t="s">
        <v>64</v>
      </c>
      <c r="R1069" s="3" t="s">
        <v>65</v>
      </c>
      <c r="S1069" s="4">
        <v>1</v>
      </c>
      <c r="T1069" s="4">
        <v>1</v>
      </c>
      <c r="U1069" s="5" t="s">
        <v>10723</v>
      </c>
      <c r="V1069" s="5" t="s">
        <v>10723</v>
      </c>
      <c r="W1069" s="5" t="s">
        <v>67</v>
      </c>
      <c r="X1069" s="5" t="s">
        <v>67</v>
      </c>
      <c r="Y1069" s="4">
        <v>205</v>
      </c>
      <c r="Z1069" s="4">
        <v>10</v>
      </c>
      <c r="AA1069" s="4">
        <v>41</v>
      </c>
      <c r="AB1069" s="4">
        <v>1</v>
      </c>
      <c r="AC1069" s="4">
        <v>9</v>
      </c>
      <c r="AD1069" s="4">
        <v>24</v>
      </c>
      <c r="AE1069" s="4">
        <v>78</v>
      </c>
      <c r="AF1069" s="4">
        <v>0</v>
      </c>
      <c r="AG1069" s="4">
        <v>4</v>
      </c>
      <c r="AH1069" s="4">
        <v>21</v>
      </c>
      <c r="AI1069" s="4">
        <v>58</v>
      </c>
      <c r="AJ1069" s="4">
        <v>6</v>
      </c>
      <c r="AK1069" s="4">
        <v>19</v>
      </c>
      <c r="AL1069" s="4">
        <v>12</v>
      </c>
      <c r="AM1069" s="4">
        <v>27</v>
      </c>
      <c r="AN1069" s="4">
        <v>0</v>
      </c>
      <c r="AO1069" s="4">
        <v>0</v>
      </c>
      <c r="AP1069" s="4">
        <v>8</v>
      </c>
      <c r="AQ1069" s="4">
        <v>30</v>
      </c>
      <c r="AR1069" s="3" t="s">
        <v>62</v>
      </c>
      <c r="AS1069" s="3" t="s">
        <v>62</v>
      </c>
      <c r="AT1069" s="3" t="s">
        <v>62</v>
      </c>
      <c r="AV1069" s="6" t="str">
        <f>HYPERLINK("http://mcgill.on.worldcat.org/oclc/731127464","Catalog Record")</f>
        <v>Catalog Record</v>
      </c>
      <c r="AW1069" s="6" t="str">
        <f>HYPERLINK("http://www.worldcat.org/oclc/731127464","WorldCat Record")</f>
        <v>WorldCat Record</v>
      </c>
      <c r="AX1069" s="3" t="s">
        <v>10724</v>
      </c>
      <c r="AY1069" s="3" t="s">
        <v>10725</v>
      </c>
      <c r="AZ1069" s="3" t="s">
        <v>10726</v>
      </c>
      <c r="BA1069" s="3" t="s">
        <v>10726</v>
      </c>
      <c r="BB1069" s="3" t="s">
        <v>10727</v>
      </c>
      <c r="BC1069" s="3" t="s">
        <v>102</v>
      </c>
      <c r="BD1069" s="3" t="s">
        <v>68</v>
      </c>
      <c r="BE1069" s="3" t="s">
        <v>10728</v>
      </c>
      <c r="BF1069" s="3" t="s">
        <v>10727</v>
      </c>
      <c r="BG1069" s="3" t="s">
        <v>10729</v>
      </c>
    </row>
    <row r="1070" spans="1:59" ht="58" x14ac:dyDescent="0.35">
      <c r="A1070" s="2" t="s">
        <v>89</v>
      </c>
      <c r="B1070" s="2" t="s">
        <v>90</v>
      </c>
      <c r="C1070" s="2" t="s">
        <v>10730</v>
      </c>
      <c r="D1070" s="2" t="s">
        <v>10731</v>
      </c>
      <c r="E1070" s="2" t="s">
        <v>10732</v>
      </c>
      <c r="G1070" s="3" t="s">
        <v>62</v>
      </c>
      <c r="I1070" s="3" t="s">
        <v>62</v>
      </c>
      <c r="J1070" s="3" t="s">
        <v>62</v>
      </c>
      <c r="K1070" s="3" t="s">
        <v>63</v>
      </c>
      <c r="L1070" s="2" t="s">
        <v>10733</v>
      </c>
      <c r="M1070" s="2" t="s">
        <v>10734</v>
      </c>
      <c r="N1070" s="3" t="s">
        <v>2000</v>
      </c>
      <c r="P1070" s="3" t="s">
        <v>64</v>
      </c>
      <c r="Q1070" s="2" t="s">
        <v>10735</v>
      </c>
      <c r="R1070" s="3" t="s">
        <v>65</v>
      </c>
      <c r="S1070" s="4">
        <v>9</v>
      </c>
      <c r="T1070" s="4">
        <v>9</v>
      </c>
      <c r="U1070" s="5" t="s">
        <v>7448</v>
      </c>
      <c r="V1070" s="5" t="s">
        <v>7448</v>
      </c>
      <c r="W1070" s="5" t="s">
        <v>67</v>
      </c>
      <c r="X1070" s="5" t="s">
        <v>67</v>
      </c>
      <c r="Y1070" s="4">
        <v>224</v>
      </c>
      <c r="Z1070" s="4">
        <v>13</v>
      </c>
      <c r="AA1070" s="4">
        <v>27</v>
      </c>
      <c r="AB1070" s="4">
        <v>1</v>
      </c>
      <c r="AC1070" s="4">
        <v>4</v>
      </c>
      <c r="AD1070" s="4">
        <v>81</v>
      </c>
      <c r="AE1070" s="4">
        <v>96</v>
      </c>
      <c r="AF1070" s="4">
        <v>0</v>
      </c>
      <c r="AG1070" s="4">
        <v>2</v>
      </c>
      <c r="AH1070" s="4">
        <v>74</v>
      </c>
      <c r="AI1070" s="4">
        <v>81</v>
      </c>
      <c r="AJ1070" s="4">
        <v>11</v>
      </c>
      <c r="AK1070" s="4">
        <v>14</v>
      </c>
      <c r="AL1070" s="4">
        <v>42</v>
      </c>
      <c r="AM1070" s="4">
        <v>44</v>
      </c>
      <c r="AN1070" s="4">
        <v>0</v>
      </c>
      <c r="AO1070" s="4">
        <v>0</v>
      </c>
      <c r="AP1070" s="4">
        <v>11</v>
      </c>
      <c r="AQ1070" s="4">
        <v>19</v>
      </c>
      <c r="AR1070" s="3" t="s">
        <v>62</v>
      </c>
      <c r="AS1070" s="3" t="s">
        <v>62</v>
      </c>
      <c r="AT1070" s="3" t="s">
        <v>62</v>
      </c>
      <c r="AV1070" s="6" t="str">
        <f>HYPERLINK("http://mcgill.on.worldcat.org/oclc/30543762","Catalog Record")</f>
        <v>Catalog Record</v>
      </c>
      <c r="AW1070" s="6" t="str">
        <f>HYPERLINK("http://www.worldcat.org/oclc/30543762","WorldCat Record")</f>
        <v>WorldCat Record</v>
      </c>
      <c r="AX1070" s="3" t="s">
        <v>10736</v>
      </c>
      <c r="AY1070" s="3" t="s">
        <v>10737</v>
      </c>
      <c r="AZ1070" s="3" t="s">
        <v>10738</v>
      </c>
      <c r="BA1070" s="3" t="s">
        <v>10738</v>
      </c>
      <c r="BB1070" s="3" t="s">
        <v>10739</v>
      </c>
      <c r="BC1070" s="3" t="s">
        <v>102</v>
      </c>
      <c r="BD1070" s="3" t="s">
        <v>68</v>
      </c>
      <c r="BE1070" s="3" t="s">
        <v>10740</v>
      </c>
      <c r="BF1070" s="3" t="s">
        <v>10739</v>
      </c>
      <c r="BG1070" s="3" t="s">
        <v>10741</v>
      </c>
    </row>
    <row r="1071" spans="1:59" ht="58" x14ac:dyDescent="0.35">
      <c r="A1071" s="2" t="s">
        <v>89</v>
      </c>
      <c r="B1071" s="2" t="s">
        <v>90</v>
      </c>
      <c r="C1071" s="2" t="s">
        <v>10742</v>
      </c>
      <c r="D1071" s="2" t="s">
        <v>10743</v>
      </c>
      <c r="E1071" s="2" t="s">
        <v>10744</v>
      </c>
      <c r="G1071" s="3" t="s">
        <v>62</v>
      </c>
      <c r="I1071" s="3" t="s">
        <v>62</v>
      </c>
      <c r="J1071" s="3" t="s">
        <v>62</v>
      </c>
      <c r="K1071" s="3" t="s">
        <v>63</v>
      </c>
      <c r="L1071" s="2" t="s">
        <v>10745</v>
      </c>
      <c r="M1071" s="2" t="s">
        <v>10746</v>
      </c>
      <c r="N1071" s="3" t="s">
        <v>1195</v>
      </c>
      <c r="O1071" s="2" t="s">
        <v>2986</v>
      </c>
      <c r="P1071" s="3" t="s">
        <v>64</v>
      </c>
      <c r="R1071" s="3" t="s">
        <v>65</v>
      </c>
      <c r="S1071" s="4">
        <v>19</v>
      </c>
      <c r="T1071" s="4">
        <v>19</v>
      </c>
      <c r="U1071" s="5" t="s">
        <v>5564</v>
      </c>
      <c r="V1071" s="5" t="s">
        <v>5564</v>
      </c>
      <c r="W1071" s="5" t="s">
        <v>67</v>
      </c>
      <c r="X1071" s="5" t="s">
        <v>67</v>
      </c>
      <c r="Y1071" s="4">
        <v>65</v>
      </c>
      <c r="Z1071" s="4">
        <v>35</v>
      </c>
      <c r="AA1071" s="4">
        <v>56</v>
      </c>
      <c r="AB1071" s="4">
        <v>2</v>
      </c>
      <c r="AC1071" s="4">
        <v>4</v>
      </c>
      <c r="AD1071" s="4">
        <v>30</v>
      </c>
      <c r="AE1071" s="4">
        <v>49</v>
      </c>
      <c r="AF1071" s="4">
        <v>1</v>
      </c>
      <c r="AG1071" s="4">
        <v>3</v>
      </c>
      <c r="AH1071" s="4">
        <v>15</v>
      </c>
      <c r="AI1071" s="4">
        <v>26</v>
      </c>
      <c r="AJ1071" s="4">
        <v>13</v>
      </c>
      <c r="AK1071" s="4">
        <v>22</v>
      </c>
      <c r="AL1071" s="4">
        <v>5</v>
      </c>
      <c r="AM1071" s="4">
        <v>9</v>
      </c>
      <c r="AN1071" s="4">
        <v>0</v>
      </c>
      <c r="AO1071" s="4">
        <v>0</v>
      </c>
      <c r="AP1071" s="4">
        <v>24</v>
      </c>
      <c r="AQ1071" s="4">
        <v>36</v>
      </c>
      <c r="AR1071" s="3" t="s">
        <v>61</v>
      </c>
      <c r="AS1071" s="3" t="s">
        <v>62</v>
      </c>
      <c r="AT1071" s="3" t="s">
        <v>62</v>
      </c>
      <c r="AV1071" s="6" t="str">
        <f>HYPERLINK("http://mcgill.on.worldcat.org/oclc/77574673","Catalog Record")</f>
        <v>Catalog Record</v>
      </c>
      <c r="AW1071" s="6" t="str">
        <f>HYPERLINK("http://www.worldcat.org/oclc/77574673","WorldCat Record")</f>
        <v>WorldCat Record</v>
      </c>
      <c r="AX1071" s="3" t="s">
        <v>10747</v>
      </c>
      <c r="AY1071" s="3" t="s">
        <v>10748</v>
      </c>
      <c r="AZ1071" s="3" t="s">
        <v>10749</v>
      </c>
      <c r="BA1071" s="3" t="s">
        <v>10749</v>
      </c>
      <c r="BB1071" s="3" t="s">
        <v>10750</v>
      </c>
      <c r="BC1071" s="3" t="s">
        <v>102</v>
      </c>
      <c r="BD1071" s="3" t="s">
        <v>68</v>
      </c>
      <c r="BE1071" s="3" t="s">
        <v>10751</v>
      </c>
      <c r="BF1071" s="3" t="s">
        <v>10750</v>
      </c>
      <c r="BG1071" s="3" t="s">
        <v>10752</v>
      </c>
    </row>
    <row r="1072" spans="1:59" ht="87" x14ac:dyDescent="0.35">
      <c r="A1072" s="2" t="s">
        <v>89</v>
      </c>
      <c r="B1072" s="2" t="s">
        <v>90</v>
      </c>
      <c r="C1072" s="2" t="s">
        <v>10753</v>
      </c>
      <c r="D1072" s="2" t="s">
        <v>10754</v>
      </c>
      <c r="E1072" s="2" t="s">
        <v>10755</v>
      </c>
      <c r="G1072" s="3" t="s">
        <v>62</v>
      </c>
      <c r="I1072" s="3" t="s">
        <v>62</v>
      </c>
      <c r="J1072" s="3" t="s">
        <v>61</v>
      </c>
      <c r="K1072" s="3" t="s">
        <v>63</v>
      </c>
      <c r="L1072" s="2" t="s">
        <v>10756</v>
      </c>
      <c r="M1072" s="2" t="s">
        <v>10757</v>
      </c>
      <c r="N1072" s="3" t="s">
        <v>2136</v>
      </c>
      <c r="O1072" s="2" t="s">
        <v>10758</v>
      </c>
      <c r="P1072" s="3" t="s">
        <v>64</v>
      </c>
      <c r="R1072" s="3" t="s">
        <v>65</v>
      </c>
      <c r="S1072" s="4">
        <v>19</v>
      </c>
      <c r="T1072" s="4">
        <v>19</v>
      </c>
      <c r="U1072" s="5" t="s">
        <v>10759</v>
      </c>
      <c r="V1072" s="5" t="s">
        <v>10759</v>
      </c>
      <c r="W1072" s="5" t="s">
        <v>67</v>
      </c>
      <c r="X1072" s="5" t="s">
        <v>67</v>
      </c>
      <c r="Y1072" s="4">
        <v>562</v>
      </c>
      <c r="Z1072" s="4">
        <v>42</v>
      </c>
      <c r="AA1072" s="4">
        <v>126</v>
      </c>
      <c r="AB1072" s="4">
        <v>2</v>
      </c>
      <c r="AC1072" s="4">
        <v>26</v>
      </c>
      <c r="AD1072" s="4">
        <v>68</v>
      </c>
      <c r="AE1072" s="4">
        <v>163</v>
      </c>
      <c r="AF1072" s="4">
        <v>1</v>
      </c>
      <c r="AG1072" s="4">
        <v>11</v>
      </c>
      <c r="AH1072" s="4">
        <v>52</v>
      </c>
      <c r="AI1072" s="4">
        <v>111</v>
      </c>
      <c r="AJ1072" s="4">
        <v>14</v>
      </c>
      <c r="AK1072" s="4">
        <v>29</v>
      </c>
      <c r="AL1072" s="4">
        <v>24</v>
      </c>
      <c r="AM1072" s="4">
        <v>60</v>
      </c>
      <c r="AN1072" s="4">
        <v>0</v>
      </c>
      <c r="AO1072" s="4">
        <v>0</v>
      </c>
      <c r="AP1072" s="4">
        <v>25</v>
      </c>
      <c r="AQ1072" s="4">
        <v>58</v>
      </c>
      <c r="AR1072" s="3" t="s">
        <v>62</v>
      </c>
      <c r="AS1072" s="3" t="s">
        <v>62</v>
      </c>
      <c r="AT1072" s="3" t="s">
        <v>62</v>
      </c>
      <c r="AV1072" s="6" t="str">
        <f>HYPERLINK("http://mcgill.on.worldcat.org/oclc/53831701","Catalog Record")</f>
        <v>Catalog Record</v>
      </c>
      <c r="AW1072" s="6" t="str">
        <f>HYPERLINK("http://www.worldcat.org/oclc/53831701","WorldCat Record")</f>
        <v>WorldCat Record</v>
      </c>
      <c r="AX1072" s="3" t="s">
        <v>10760</v>
      </c>
      <c r="AY1072" s="3" t="s">
        <v>10761</v>
      </c>
      <c r="AZ1072" s="3" t="s">
        <v>10762</v>
      </c>
      <c r="BA1072" s="3" t="s">
        <v>10762</v>
      </c>
      <c r="BB1072" s="3" t="s">
        <v>10763</v>
      </c>
      <c r="BC1072" s="3" t="s">
        <v>102</v>
      </c>
      <c r="BD1072" s="3" t="s">
        <v>68</v>
      </c>
      <c r="BE1072" s="3" t="s">
        <v>10764</v>
      </c>
      <c r="BF1072" s="3" t="s">
        <v>10763</v>
      </c>
      <c r="BG1072" s="3" t="s">
        <v>10765</v>
      </c>
    </row>
    <row r="1073" spans="1:59" ht="58" x14ac:dyDescent="0.35">
      <c r="A1073" s="2" t="s">
        <v>89</v>
      </c>
      <c r="B1073" s="2" t="s">
        <v>90</v>
      </c>
      <c r="C1073" s="2" t="s">
        <v>10766</v>
      </c>
      <c r="D1073" s="2" t="s">
        <v>10767</v>
      </c>
      <c r="E1073" s="2" t="s">
        <v>10768</v>
      </c>
      <c r="G1073" s="3" t="s">
        <v>62</v>
      </c>
      <c r="I1073" s="3" t="s">
        <v>61</v>
      </c>
      <c r="J1073" s="3" t="s">
        <v>61</v>
      </c>
      <c r="K1073" s="3" t="s">
        <v>63</v>
      </c>
      <c r="L1073" s="2" t="s">
        <v>10769</v>
      </c>
      <c r="M1073" s="2" t="s">
        <v>10770</v>
      </c>
      <c r="N1073" s="3" t="s">
        <v>2000</v>
      </c>
      <c r="P1073" s="3" t="s">
        <v>64</v>
      </c>
      <c r="Q1073" s="2" t="s">
        <v>10771</v>
      </c>
      <c r="R1073" s="3" t="s">
        <v>65</v>
      </c>
      <c r="S1073" s="4">
        <v>55</v>
      </c>
      <c r="T1073" s="4">
        <v>222</v>
      </c>
      <c r="U1073" s="5" t="s">
        <v>10772</v>
      </c>
      <c r="V1073" s="5" t="s">
        <v>10773</v>
      </c>
      <c r="W1073" s="5" t="s">
        <v>67</v>
      </c>
      <c r="X1073" s="5" t="s">
        <v>67</v>
      </c>
      <c r="Y1073" s="4">
        <v>633</v>
      </c>
      <c r="Z1073" s="4">
        <v>45</v>
      </c>
      <c r="AA1073" s="4">
        <v>73</v>
      </c>
      <c r="AB1073" s="4">
        <v>2</v>
      </c>
      <c r="AC1073" s="4">
        <v>12</v>
      </c>
      <c r="AD1073" s="4">
        <v>121</v>
      </c>
      <c r="AE1073" s="4">
        <v>156</v>
      </c>
      <c r="AF1073" s="4">
        <v>1</v>
      </c>
      <c r="AG1073" s="4">
        <v>8</v>
      </c>
      <c r="AH1073" s="4">
        <v>94</v>
      </c>
      <c r="AI1073" s="4">
        <v>112</v>
      </c>
      <c r="AJ1073" s="4">
        <v>20</v>
      </c>
      <c r="AK1073" s="4">
        <v>25</v>
      </c>
      <c r="AL1073" s="4">
        <v>50</v>
      </c>
      <c r="AM1073" s="4">
        <v>59</v>
      </c>
      <c r="AN1073" s="4">
        <v>0</v>
      </c>
      <c r="AO1073" s="4">
        <v>0</v>
      </c>
      <c r="AP1073" s="4">
        <v>37</v>
      </c>
      <c r="AQ1073" s="4">
        <v>53</v>
      </c>
      <c r="AR1073" s="3" t="s">
        <v>62</v>
      </c>
      <c r="AS1073" s="3" t="s">
        <v>62</v>
      </c>
      <c r="AT1073" s="3" t="s">
        <v>61</v>
      </c>
      <c r="AU1073" s="6" t="str">
        <f>HYPERLINK("http://catalog.hathitrust.org/Record/003073439","HathiTrust Record")</f>
        <v>HathiTrust Record</v>
      </c>
      <c r="AV1073" s="6" t="str">
        <f>HYPERLINK("http://mcgill.on.worldcat.org/oclc/33971548","Catalog Record")</f>
        <v>Catalog Record</v>
      </c>
      <c r="AW1073" s="6" t="str">
        <f>HYPERLINK("http://www.worldcat.org/oclc/33971548","WorldCat Record")</f>
        <v>WorldCat Record</v>
      </c>
      <c r="AX1073" s="3" t="s">
        <v>10774</v>
      </c>
      <c r="AY1073" s="3" t="s">
        <v>10775</v>
      </c>
      <c r="AZ1073" s="3" t="s">
        <v>10776</v>
      </c>
      <c r="BA1073" s="3" t="s">
        <v>10776</v>
      </c>
      <c r="BB1073" s="3" t="s">
        <v>10777</v>
      </c>
      <c r="BC1073" s="3" t="s">
        <v>102</v>
      </c>
      <c r="BD1073" s="3" t="s">
        <v>68</v>
      </c>
      <c r="BE1073" s="3" t="s">
        <v>10778</v>
      </c>
      <c r="BF1073" s="3" t="s">
        <v>10777</v>
      </c>
      <c r="BG1073" s="3" t="s">
        <v>10779</v>
      </c>
    </row>
    <row r="1074" spans="1:59" ht="58" x14ac:dyDescent="0.35">
      <c r="A1074" s="2" t="s">
        <v>89</v>
      </c>
      <c r="B1074" s="2" t="s">
        <v>90</v>
      </c>
      <c r="C1074" s="2" t="s">
        <v>10766</v>
      </c>
      <c r="D1074" s="2" t="s">
        <v>10767</v>
      </c>
      <c r="E1074" s="2" t="s">
        <v>10768</v>
      </c>
      <c r="G1074" s="3" t="s">
        <v>62</v>
      </c>
      <c r="I1074" s="3" t="s">
        <v>61</v>
      </c>
      <c r="J1074" s="3" t="s">
        <v>61</v>
      </c>
      <c r="K1074" s="3" t="s">
        <v>63</v>
      </c>
      <c r="L1074" s="2" t="s">
        <v>10769</v>
      </c>
      <c r="M1074" s="2" t="s">
        <v>10770</v>
      </c>
      <c r="N1074" s="3" t="s">
        <v>2000</v>
      </c>
      <c r="P1074" s="3" t="s">
        <v>64</v>
      </c>
      <c r="Q1074" s="2" t="s">
        <v>10771</v>
      </c>
      <c r="R1074" s="3" t="s">
        <v>65</v>
      </c>
      <c r="S1074" s="4">
        <v>60</v>
      </c>
      <c r="T1074" s="4">
        <v>222</v>
      </c>
      <c r="U1074" s="5" t="s">
        <v>10773</v>
      </c>
      <c r="V1074" s="5" t="s">
        <v>10773</v>
      </c>
      <c r="W1074" s="5" t="s">
        <v>67</v>
      </c>
      <c r="X1074" s="5" t="s">
        <v>67</v>
      </c>
      <c r="Y1074" s="4">
        <v>633</v>
      </c>
      <c r="Z1074" s="4">
        <v>45</v>
      </c>
      <c r="AA1074" s="4">
        <v>73</v>
      </c>
      <c r="AB1074" s="4">
        <v>2</v>
      </c>
      <c r="AC1074" s="4">
        <v>12</v>
      </c>
      <c r="AD1074" s="4">
        <v>121</v>
      </c>
      <c r="AE1074" s="4">
        <v>156</v>
      </c>
      <c r="AF1074" s="4">
        <v>1</v>
      </c>
      <c r="AG1074" s="4">
        <v>8</v>
      </c>
      <c r="AH1074" s="4">
        <v>94</v>
      </c>
      <c r="AI1074" s="4">
        <v>112</v>
      </c>
      <c r="AJ1074" s="4">
        <v>20</v>
      </c>
      <c r="AK1074" s="4">
        <v>25</v>
      </c>
      <c r="AL1074" s="4">
        <v>50</v>
      </c>
      <c r="AM1074" s="4">
        <v>59</v>
      </c>
      <c r="AN1074" s="4">
        <v>0</v>
      </c>
      <c r="AO1074" s="4">
        <v>0</v>
      </c>
      <c r="AP1074" s="4">
        <v>37</v>
      </c>
      <c r="AQ1074" s="4">
        <v>53</v>
      </c>
      <c r="AR1074" s="3" t="s">
        <v>62</v>
      </c>
      <c r="AS1074" s="3" t="s">
        <v>62</v>
      </c>
      <c r="AT1074" s="3" t="s">
        <v>61</v>
      </c>
      <c r="AU1074" s="6" t="str">
        <f>HYPERLINK("http://catalog.hathitrust.org/Record/003073439","HathiTrust Record")</f>
        <v>HathiTrust Record</v>
      </c>
      <c r="AV1074" s="6" t="str">
        <f>HYPERLINK("http://mcgill.on.worldcat.org/oclc/33971548","Catalog Record")</f>
        <v>Catalog Record</v>
      </c>
      <c r="AW1074" s="6" t="str">
        <f>HYPERLINK("http://www.worldcat.org/oclc/33971548","WorldCat Record")</f>
        <v>WorldCat Record</v>
      </c>
      <c r="AX1074" s="3" t="s">
        <v>10774</v>
      </c>
      <c r="AY1074" s="3" t="s">
        <v>10775</v>
      </c>
      <c r="AZ1074" s="3" t="s">
        <v>10776</v>
      </c>
      <c r="BA1074" s="3" t="s">
        <v>10776</v>
      </c>
      <c r="BB1074" s="3" t="s">
        <v>10780</v>
      </c>
      <c r="BC1074" s="3" t="s">
        <v>102</v>
      </c>
      <c r="BD1074" s="3" t="s">
        <v>68</v>
      </c>
      <c r="BE1074" s="3" t="s">
        <v>10778</v>
      </c>
      <c r="BF1074" s="3" t="s">
        <v>10780</v>
      </c>
      <c r="BG1074" s="3" t="s">
        <v>10781</v>
      </c>
    </row>
    <row r="1075" spans="1:59" ht="58" x14ac:dyDescent="0.35">
      <c r="A1075" s="2" t="s">
        <v>89</v>
      </c>
      <c r="B1075" s="2" t="s">
        <v>6791</v>
      </c>
      <c r="C1075" s="2" t="s">
        <v>10766</v>
      </c>
      <c r="D1075" s="2" t="s">
        <v>10767</v>
      </c>
      <c r="E1075" s="2" t="s">
        <v>10768</v>
      </c>
      <c r="G1075" s="3" t="s">
        <v>62</v>
      </c>
      <c r="I1075" s="3" t="s">
        <v>61</v>
      </c>
      <c r="J1075" s="3" t="s">
        <v>61</v>
      </c>
      <c r="K1075" s="3" t="s">
        <v>63</v>
      </c>
      <c r="L1075" s="2" t="s">
        <v>10769</v>
      </c>
      <c r="M1075" s="2" t="s">
        <v>10770</v>
      </c>
      <c r="N1075" s="3" t="s">
        <v>2000</v>
      </c>
      <c r="P1075" s="3" t="s">
        <v>64</v>
      </c>
      <c r="Q1075" s="2" t="s">
        <v>10771</v>
      </c>
      <c r="R1075" s="3" t="s">
        <v>65</v>
      </c>
      <c r="S1075" s="4">
        <v>78</v>
      </c>
      <c r="T1075" s="4">
        <v>222</v>
      </c>
      <c r="U1075" s="5" t="s">
        <v>10782</v>
      </c>
      <c r="V1075" s="5" t="s">
        <v>10773</v>
      </c>
      <c r="W1075" s="5" t="s">
        <v>67</v>
      </c>
      <c r="X1075" s="5" t="s">
        <v>67</v>
      </c>
      <c r="Y1075" s="4">
        <v>633</v>
      </c>
      <c r="Z1075" s="4">
        <v>45</v>
      </c>
      <c r="AA1075" s="4">
        <v>73</v>
      </c>
      <c r="AB1075" s="4">
        <v>2</v>
      </c>
      <c r="AC1075" s="4">
        <v>12</v>
      </c>
      <c r="AD1075" s="4">
        <v>121</v>
      </c>
      <c r="AE1075" s="4">
        <v>156</v>
      </c>
      <c r="AF1075" s="4">
        <v>1</v>
      </c>
      <c r="AG1075" s="4">
        <v>8</v>
      </c>
      <c r="AH1075" s="4">
        <v>94</v>
      </c>
      <c r="AI1075" s="4">
        <v>112</v>
      </c>
      <c r="AJ1075" s="4">
        <v>20</v>
      </c>
      <c r="AK1075" s="4">
        <v>25</v>
      </c>
      <c r="AL1075" s="4">
        <v>50</v>
      </c>
      <c r="AM1075" s="4">
        <v>59</v>
      </c>
      <c r="AN1075" s="4">
        <v>0</v>
      </c>
      <c r="AO1075" s="4">
        <v>0</v>
      </c>
      <c r="AP1075" s="4">
        <v>37</v>
      </c>
      <c r="AQ1075" s="4">
        <v>53</v>
      </c>
      <c r="AR1075" s="3" t="s">
        <v>62</v>
      </c>
      <c r="AS1075" s="3" t="s">
        <v>62</v>
      </c>
      <c r="AT1075" s="3" t="s">
        <v>61</v>
      </c>
      <c r="AU1075" s="6" t="str">
        <f>HYPERLINK("http://catalog.hathitrust.org/Record/003073439","HathiTrust Record")</f>
        <v>HathiTrust Record</v>
      </c>
      <c r="AV1075" s="6" t="str">
        <f>HYPERLINK("http://mcgill.on.worldcat.org/oclc/33971548","Catalog Record")</f>
        <v>Catalog Record</v>
      </c>
      <c r="AW1075" s="6" t="str">
        <f>HYPERLINK("http://www.worldcat.org/oclc/33971548","WorldCat Record")</f>
        <v>WorldCat Record</v>
      </c>
      <c r="AX1075" s="3" t="s">
        <v>10774</v>
      </c>
      <c r="AY1075" s="3" t="s">
        <v>10775</v>
      </c>
      <c r="AZ1075" s="3" t="s">
        <v>10776</v>
      </c>
      <c r="BA1075" s="3" t="s">
        <v>10776</v>
      </c>
      <c r="BB1075" s="3" t="s">
        <v>10783</v>
      </c>
      <c r="BC1075" s="3" t="s">
        <v>102</v>
      </c>
      <c r="BD1075" s="3" t="s">
        <v>68</v>
      </c>
      <c r="BE1075" s="3" t="s">
        <v>10778</v>
      </c>
      <c r="BF1075" s="3" t="s">
        <v>10783</v>
      </c>
      <c r="BG1075" s="3" t="s">
        <v>10784</v>
      </c>
    </row>
    <row r="1076" spans="1:59" ht="58" x14ac:dyDescent="0.35">
      <c r="A1076" s="2" t="s">
        <v>89</v>
      </c>
      <c r="B1076" s="2" t="s">
        <v>90</v>
      </c>
      <c r="C1076" s="2" t="s">
        <v>10766</v>
      </c>
      <c r="D1076" s="2" t="s">
        <v>10767</v>
      </c>
      <c r="E1076" s="2" t="s">
        <v>10768</v>
      </c>
      <c r="G1076" s="3" t="s">
        <v>62</v>
      </c>
      <c r="I1076" s="3" t="s">
        <v>61</v>
      </c>
      <c r="J1076" s="3" t="s">
        <v>61</v>
      </c>
      <c r="K1076" s="3" t="s">
        <v>63</v>
      </c>
      <c r="L1076" s="2" t="s">
        <v>10769</v>
      </c>
      <c r="M1076" s="2" t="s">
        <v>10770</v>
      </c>
      <c r="N1076" s="3" t="s">
        <v>2000</v>
      </c>
      <c r="P1076" s="3" t="s">
        <v>64</v>
      </c>
      <c r="Q1076" s="2" t="s">
        <v>10771</v>
      </c>
      <c r="R1076" s="3" t="s">
        <v>65</v>
      </c>
      <c r="S1076" s="4">
        <v>29</v>
      </c>
      <c r="T1076" s="4">
        <v>222</v>
      </c>
      <c r="U1076" s="5" t="s">
        <v>10785</v>
      </c>
      <c r="V1076" s="5" t="s">
        <v>10773</v>
      </c>
      <c r="W1076" s="5" t="s">
        <v>67</v>
      </c>
      <c r="X1076" s="5" t="s">
        <v>67</v>
      </c>
      <c r="Y1076" s="4">
        <v>633</v>
      </c>
      <c r="Z1076" s="4">
        <v>45</v>
      </c>
      <c r="AA1076" s="4">
        <v>73</v>
      </c>
      <c r="AB1076" s="4">
        <v>2</v>
      </c>
      <c r="AC1076" s="4">
        <v>12</v>
      </c>
      <c r="AD1076" s="4">
        <v>121</v>
      </c>
      <c r="AE1076" s="4">
        <v>156</v>
      </c>
      <c r="AF1076" s="4">
        <v>1</v>
      </c>
      <c r="AG1076" s="4">
        <v>8</v>
      </c>
      <c r="AH1076" s="4">
        <v>94</v>
      </c>
      <c r="AI1076" s="4">
        <v>112</v>
      </c>
      <c r="AJ1076" s="4">
        <v>20</v>
      </c>
      <c r="AK1076" s="4">
        <v>25</v>
      </c>
      <c r="AL1076" s="4">
        <v>50</v>
      </c>
      <c r="AM1076" s="4">
        <v>59</v>
      </c>
      <c r="AN1076" s="4">
        <v>0</v>
      </c>
      <c r="AO1076" s="4">
        <v>0</v>
      </c>
      <c r="AP1076" s="4">
        <v>37</v>
      </c>
      <c r="AQ1076" s="4">
        <v>53</v>
      </c>
      <c r="AR1076" s="3" t="s">
        <v>62</v>
      </c>
      <c r="AS1076" s="3" t="s">
        <v>62</v>
      </c>
      <c r="AT1076" s="3" t="s">
        <v>61</v>
      </c>
      <c r="AU1076" s="6" t="str">
        <f>HYPERLINK("http://catalog.hathitrust.org/Record/003073439","HathiTrust Record")</f>
        <v>HathiTrust Record</v>
      </c>
      <c r="AV1076" s="6" t="str">
        <f>HYPERLINK("http://mcgill.on.worldcat.org/oclc/33971548","Catalog Record")</f>
        <v>Catalog Record</v>
      </c>
      <c r="AW1076" s="6" t="str">
        <f>HYPERLINK("http://www.worldcat.org/oclc/33971548","WorldCat Record")</f>
        <v>WorldCat Record</v>
      </c>
      <c r="AX1076" s="3" t="s">
        <v>10774</v>
      </c>
      <c r="AY1076" s="3" t="s">
        <v>10775</v>
      </c>
      <c r="AZ1076" s="3" t="s">
        <v>10776</v>
      </c>
      <c r="BA1076" s="3" t="s">
        <v>10776</v>
      </c>
      <c r="BB1076" s="3" t="s">
        <v>10786</v>
      </c>
      <c r="BC1076" s="3" t="s">
        <v>102</v>
      </c>
      <c r="BD1076" s="3" t="s">
        <v>231</v>
      </c>
      <c r="BE1076" s="3" t="s">
        <v>10778</v>
      </c>
      <c r="BF1076" s="3" t="s">
        <v>10786</v>
      </c>
      <c r="BG1076" s="3" t="s">
        <v>10787</v>
      </c>
    </row>
    <row r="1077" spans="1:59" ht="58" x14ac:dyDescent="0.35">
      <c r="A1077" s="2" t="s">
        <v>89</v>
      </c>
      <c r="B1077" s="2" t="s">
        <v>6791</v>
      </c>
      <c r="C1077" s="2" t="s">
        <v>10788</v>
      </c>
      <c r="D1077" s="2" t="s">
        <v>10789</v>
      </c>
      <c r="E1077" s="2" t="s">
        <v>10768</v>
      </c>
      <c r="G1077" s="3" t="s">
        <v>62</v>
      </c>
      <c r="I1077" s="3" t="s">
        <v>61</v>
      </c>
      <c r="J1077" s="3" t="s">
        <v>61</v>
      </c>
      <c r="K1077" s="3" t="s">
        <v>63</v>
      </c>
      <c r="L1077" s="2" t="s">
        <v>10769</v>
      </c>
      <c r="M1077" s="2" t="s">
        <v>10790</v>
      </c>
      <c r="N1077" s="3" t="s">
        <v>2136</v>
      </c>
      <c r="O1077" s="2" t="s">
        <v>2986</v>
      </c>
      <c r="P1077" s="3" t="s">
        <v>64</v>
      </c>
      <c r="Q1077" s="2" t="s">
        <v>10791</v>
      </c>
      <c r="R1077" s="3" t="s">
        <v>65</v>
      </c>
      <c r="S1077" s="4">
        <v>13</v>
      </c>
      <c r="T1077" s="4">
        <v>115</v>
      </c>
      <c r="U1077" s="5" t="s">
        <v>10792</v>
      </c>
      <c r="V1077" s="5" t="s">
        <v>10793</v>
      </c>
      <c r="W1077" s="5" t="s">
        <v>67</v>
      </c>
      <c r="X1077" s="5" t="s">
        <v>67</v>
      </c>
      <c r="Y1077" s="4">
        <v>640</v>
      </c>
      <c r="Z1077" s="4">
        <v>37</v>
      </c>
      <c r="AA1077" s="4">
        <v>73</v>
      </c>
      <c r="AB1077" s="4">
        <v>2</v>
      </c>
      <c r="AC1077" s="4">
        <v>12</v>
      </c>
      <c r="AD1077" s="4">
        <v>103</v>
      </c>
      <c r="AE1077" s="4">
        <v>156</v>
      </c>
      <c r="AF1077" s="4">
        <v>1</v>
      </c>
      <c r="AG1077" s="4">
        <v>8</v>
      </c>
      <c r="AH1077" s="4">
        <v>84</v>
      </c>
      <c r="AI1077" s="4">
        <v>112</v>
      </c>
      <c r="AJ1077" s="4">
        <v>17</v>
      </c>
      <c r="AK1077" s="4">
        <v>25</v>
      </c>
      <c r="AL1077" s="4">
        <v>45</v>
      </c>
      <c r="AM1077" s="4">
        <v>59</v>
      </c>
      <c r="AN1077" s="4">
        <v>0</v>
      </c>
      <c r="AO1077" s="4">
        <v>0</v>
      </c>
      <c r="AP1077" s="4">
        <v>28</v>
      </c>
      <c r="AQ1077" s="4">
        <v>53</v>
      </c>
      <c r="AR1077" s="3" t="s">
        <v>62</v>
      </c>
      <c r="AS1077" s="3" t="s">
        <v>62</v>
      </c>
      <c r="AT1077" s="3" t="s">
        <v>62</v>
      </c>
      <c r="AV1077" s="6" t="str">
        <f>HYPERLINK("http://mcgill.on.worldcat.org/oclc/55589026","Catalog Record")</f>
        <v>Catalog Record</v>
      </c>
      <c r="AW1077" s="6" t="str">
        <f>HYPERLINK("http://www.worldcat.org/oclc/55589026","WorldCat Record")</f>
        <v>WorldCat Record</v>
      </c>
      <c r="AX1077" s="3" t="s">
        <v>10774</v>
      </c>
      <c r="AY1077" s="3" t="s">
        <v>10794</v>
      </c>
      <c r="AZ1077" s="3" t="s">
        <v>10795</v>
      </c>
      <c r="BA1077" s="3" t="s">
        <v>10795</v>
      </c>
      <c r="BB1077" s="3" t="s">
        <v>10796</v>
      </c>
      <c r="BC1077" s="3" t="s">
        <v>102</v>
      </c>
      <c r="BD1077" s="3" t="s">
        <v>68</v>
      </c>
      <c r="BE1077" s="3" t="s">
        <v>10797</v>
      </c>
      <c r="BF1077" s="3" t="s">
        <v>10796</v>
      </c>
      <c r="BG1077" s="3" t="s">
        <v>10798</v>
      </c>
    </row>
    <row r="1078" spans="1:59" ht="58" x14ac:dyDescent="0.35">
      <c r="A1078" s="2" t="s">
        <v>89</v>
      </c>
      <c r="B1078" s="2" t="s">
        <v>90</v>
      </c>
      <c r="C1078" s="2" t="s">
        <v>10788</v>
      </c>
      <c r="D1078" s="2" t="s">
        <v>10789</v>
      </c>
      <c r="E1078" s="2" t="s">
        <v>10768</v>
      </c>
      <c r="G1078" s="3" t="s">
        <v>62</v>
      </c>
      <c r="I1078" s="3" t="s">
        <v>61</v>
      </c>
      <c r="J1078" s="3" t="s">
        <v>61</v>
      </c>
      <c r="K1078" s="3" t="s">
        <v>63</v>
      </c>
      <c r="L1078" s="2" t="s">
        <v>10769</v>
      </c>
      <c r="M1078" s="2" t="s">
        <v>10790</v>
      </c>
      <c r="N1078" s="3" t="s">
        <v>2136</v>
      </c>
      <c r="O1078" s="2" t="s">
        <v>2986</v>
      </c>
      <c r="P1078" s="3" t="s">
        <v>64</v>
      </c>
      <c r="Q1078" s="2" t="s">
        <v>10791</v>
      </c>
      <c r="R1078" s="3" t="s">
        <v>65</v>
      </c>
      <c r="S1078" s="4">
        <v>27</v>
      </c>
      <c r="T1078" s="4">
        <v>115</v>
      </c>
      <c r="U1078" s="5" t="s">
        <v>8131</v>
      </c>
      <c r="V1078" s="5" t="s">
        <v>10793</v>
      </c>
      <c r="W1078" s="5" t="s">
        <v>67</v>
      </c>
      <c r="X1078" s="5" t="s">
        <v>67</v>
      </c>
      <c r="Y1078" s="4">
        <v>640</v>
      </c>
      <c r="Z1078" s="4">
        <v>37</v>
      </c>
      <c r="AA1078" s="4">
        <v>73</v>
      </c>
      <c r="AB1078" s="4">
        <v>2</v>
      </c>
      <c r="AC1078" s="4">
        <v>12</v>
      </c>
      <c r="AD1078" s="4">
        <v>103</v>
      </c>
      <c r="AE1078" s="4">
        <v>156</v>
      </c>
      <c r="AF1078" s="4">
        <v>1</v>
      </c>
      <c r="AG1078" s="4">
        <v>8</v>
      </c>
      <c r="AH1078" s="4">
        <v>84</v>
      </c>
      <c r="AI1078" s="4">
        <v>112</v>
      </c>
      <c r="AJ1078" s="4">
        <v>17</v>
      </c>
      <c r="AK1078" s="4">
        <v>25</v>
      </c>
      <c r="AL1078" s="4">
        <v>45</v>
      </c>
      <c r="AM1078" s="4">
        <v>59</v>
      </c>
      <c r="AN1078" s="4">
        <v>0</v>
      </c>
      <c r="AO1078" s="4">
        <v>0</v>
      </c>
      <c r="AP1078" s="4">
        <v>28</v>
      </c>
      <c r="AQ1078" s="4">
        <v>53</v>
      </c>
      <c r="AR1078" s="3" t="s">
        <v>62</v>
      </c>
      <c r="AS1078" s="3" t="s">
        <v>62</v>
      </c>
      <c r="AT1078" s="3" t="s">
        <v>62</v>
      </c>
      <c r="AV1078" s="6" t="str">
        <f>HYPERLINK("http://mcgill.on.worldcat.org/oclc/55589026","Catalog Record")</f>
        <v>Catalog Record</v>
      </c>
      <c r="AW1078" s="6" t="str">
        <f>HYPERLINK("http://www.worldcat.org/oclc/55589026","WorldCat Record")</f>
        <v>WorldCat Record</v>
      </c>
      <c r="AX1078" s="3" t="s">
        <v>10774</v>
      </c>
      <c r="AY1078" s="3" t="s">
        <v>10794</v>
      </c>
      <c r="AZ1078" s="3" t="s">
        <v>10795</v>
      </c>
      <c r="BA1078" s="3" t="s">
        <v>10795</v>
      </c>
      <c r="BB1078" s="3" t="s">
        <v>10799</v>
      </c>
      <c r="BC1078" s="3" t="s">
        <v>102</v>
      </c>
      <c r="BD1078" s="3" t="s">
        <v>68</v>
      </c>
      <c r="BE1078" s="3" t="s">
        <v>10797</v>
      </c>
      <c r="BF1078" s="3" t="s">
        <v>10799</v>
      </c>
      <c r="BG1078" s="3" t="s">
        <v>10800</v>
      </c>
    </row>
    <row r="1079" spans="1:59" ht="58" x14ac:dyDescent="0.35">
      <c r="A1079" s="2" t="s">
        <v>89</v>
      </c>
      <c r="B1079" s="2" t="s">
        <v>90</v>
      </c>
      <c r="C1079" s="2" t="s">
        <v>10788</v>
      </c>
      <c r="D1079" s="2" t="s">
        <v>10789</v>
      </c>
      <c r="E1079" s="2" t="s">
        <v>10768</v>
      </c>
      <c r="G1079" s="3" t="s">
        <v>62</v>
      </c>
      <c r="I1079" s="3" t="s">
        <v>61</v>
      </c>
      <c r="J1079" s="3" t="s">
        <v>61</v>
      </c>
      <c r="K1079" s="3" t="s">
        <v>63</v>
      </c>
      <c r="L1079" s="2" t="s">
        <v>10769</v>
      </c>
      <c r="M1079" s="2" t="s">
        <v>10790</v>
      </c>
      <c r="N1079" s="3" t="s">
        <v>2136</v>
      </c>
      <c r="O1079" s="2" t="s">
        <v>2986</v>
      </c>
      <c r="P1079" s="3" t="s">
        <v>64</v>
      </c>
      <c r="Q1079" s="2" t="s">
        <v>10791</v>
      </c>
      <c r="R1079" s="3" t="s">
        <v>65</v>
      </c>
      <c r="S1079" s="4">
        <v>28</v>
      </c>
      <c r="T1079" s="4">
        <v>115</v>
      </c>
      <c r="U1079" s="5" t="s">
        <v>10772</v>
      </c>
      <c r="V1079" s="5" t="s">
        <v>10793</v>
      </c>
      <c r="W1079" s="5" t="s">
        <v>67</v>
      </c>
      <c r="X1079" s="5" t="s">
        <v>67</v>
      </c>
      <c r="Y1079" s="4">
        <v>640</v>
      </c>
      <c r="Z1079" s="4">
        <v>37</v>
      </c>
      <c r="AA1079" s="4">
        <v>73</v>
      </c>
      <c r="AB1079" s="4">
        <v>2</v>
      </c>
      <c r="AC1079" s="4">
        <v>12</v>
      </c>
      <c r="AD1079" s="4">
        <v>103</v>
      </c>
      <c r="AE1079" s="4">
        <v>156</v>
      </c>
      <c r="AF1079" s="4">
        <v>1</v>
      </c>
      <c r="AG1079" s="4">
        <v>8</v>
      </c>
      <c r="AH1079" s="4">
        <v>84</v>
      </c>
      <c r="AI1079" s="4">
        <v>112</v>
      </c>
      <c r="AJ1079" s="4">
        <v>17</v>
      </c>
      <c r="AK1079" s="4">
        <v>25</v>
      </c>
      <c r="AL1079" s="4">
        <v>45</v>
      </c>
      <c r="AM1079" s="4">
        <v>59</v>
      </c>
      <c r="AN1079" s="4">
        <v>0</v>
      </c>
      <c r="AO1079" s="4">
        <v>0</v>
      </c>
      <c r="AP1079" s="4">
        <v>28</v>
      </c>
      <c r="AQ1079" s="4">
        <v>53</v>
      </c>
      <c r="AR1079" s="3" t="s">
        <v>62</v>
      </c>
      <c r="AS1079" s="3" t="s">
        <v>62</v>
      </c>
      <c r="AT1079" s="3" t="s">
        <v>62</v>
      </c>
      <c r="AV1079" s="6" t="str">
        <f>HYPERLINK("http://mcgill.on.worldcat.org/oclc/55589026","Catalog Record")</f>
        <v>Catalog Record</v>
      </c>
      <c r="AW1079" s="6" t="str">
        <f>HYPERLINK("http://www.worldcat.org/oclc/55589026","WorldCat Record")</f>
        <v>WorldCat Record</v>
      </c>
      <c r="AX1079" s="3" t="s">
        <v>10774</v>
      </c>
      <c r="AY1079" s="3" t="s">
        <v>10794</v>
      </c>
      <c r="AZ1079" s="3" t="s">
        <v>10795</v>
      </c>
      <c r="BA1079" s="3" t="s">
        <v>10795</v>
      </c>
      <c r="BB1079" s="3" t="s">
        <v>10801</v>
      </c>
      <c r="BC1079" s="3" t="s">
        <v>102</v>
      </c>
      <c r="BD1079" s="3" t="s">
        <v>68</v>
      </c>
      <c r="BE1079" s="3" t="s">
        <v>10797</v>
      </c>
      <c r="BF1079" s="3" t="s">
        <v>10801</v>
      </c>
      <c r="BG1079" s="3" t="s">
        <v>10802</v>
      </c>
    </row>
    <row r="1080" spans="1:59" ht="58" x14ac:dyDescent="0.35">
      <c r="A1080" s="2" t="s">
        <v>89</v>
      </c>
      <c r="B1080" s="2" t="s">
        <v>90</v>
      </c>
      <c r="C1080" s="2" t="s">
        <v>10788</v>
      </c>
      <c r="D1080" s="2" t="s">
        <v>10789</v>
      </c>
      <c r="E1080" s="2" t="s">
        <v>10768</v>
      </c>
      <c r="G1080" s="3" t="s">
        <v>62</v>
      </c>
      <c r="I1080" s="3" t="s">
        <v>61</v>
      </c>
      <c r="J1080" s="3" t="s">
        <v>61</v>
      </c>
      <c r="K1080" s="3" t="s">
        <v>63</v>
      </c>
      <c r="L1080" s="2" t="s">
        <v>10769</v>
      </c>
      <c r="M1080" s="2" t="s">
        <v>10790</v>
      </c>
      <c r="N1080" s="3" t="s">
        <v>2136</v>
      </c>
      <c r="O1080" s="2" t="s">
        <v>2986</v>
      </c>
      <c r="P1080" s="3" t="s">
        <v>64</v>
      </c>
      <c r="Q1080" s="2" t="s">
        <v>10791</v>
      </c>
      <c r="R1080" s="3" t="s">
        <v>65</v>
      </c>
      <c r="S1080" s="4">
        <v>47</v>
      </c>
      <c r="T1080" s="4">
        <v>115</v>
      </c>
      <c r="U1080" s="5" t="s">
        <v>10793</v>
      </c>
      <c r="V1080" s="5" t="s">
        <v>10793</v>
      </c>
      <c r="W1080" s="5" t="s">
        <v>67</v>
      </c>
      <c r="X1080" s="5" t="s">
        <v>67</v>
      </c>
      <c r="Y1080" s="4">
        <v>640</v>
      </c>
      <c r="Z1080" s="4">
        <v>37</v>
      </c>
      <c r="AA1080" s="4">
        <v>73</v>
      </c>
      <c r="AB1080" s="4">
        <v>2</v>
      </c>
      <c r="AC1080" s="4">
        <v>12</v>
      </c>
      <c r="AD1080" s="4">
        <v>103</v>
      </c>
      <c r="AE1080" s="4">
        <v>156</v>
      </c>
      <c r="AF1080" s="4">
        <v>1</v>
      </c>
      <c r="AG1080" s="4">
        <v>8</v>
      </c>
      <c r="AH1080" s="4">
        <v>84</v>
      </c>
      <c r="AI1080" s="4">
        <v>112</v>
      </c>
      <c r="AJ1080" s="4">
        <v>17</v>
      </c>
      <c r="AK1080" s="4">
        <v>25</v>
      </c>
      <c r="AL1080" s="4">
        <v>45</v>
      </c>
      <c r="AM1080" s="4">
        <v>59</v>
      </c>
      <c r="AN1080" s="4">
        <v>0</v>
      </c>
      <c r="AO1080" s="4">
        <v>0</v>
      </c>
      <c r="AP1080" s="4">
        <v>28</v>
      </c>
      <c r="AQ1080" s="4">
        <v>53</v>
      </c>
      <c r="AR1080" s="3" t="s">
        <v>62</v>
      </c>
      <c r="AS1080" s="3" t="s">
        <v>62</v>
      </c>
      <c r="AT1080" s="3" t="s">
        <v>62</v>
      </c>
      <c r="AV1080" s="6" t="str">
        <f>HYPERLINK("http://mcgill.on.worldcat.org/oclc/55589026","Catalog Record")</f>
        <v>Catalog Record</v>
      </c>
      <c r="AW1080" s="6" t="str">
        <f>HYPERLINK("http://www.worldcat.org/oclc/55589026","WorldCat Record")</f>
        <v>WorldCat Record</v>
      </c>
      <c r="AX1080" s="3" t="s">
        <v>10774</v>
      </c>
      <c r="AY1080" s="3" t="s">
        <v>10794</v>
      </c>
      <c r="AZ1080" s="3" t="s">
        <v>10795</v>
      </c>
      <c r="BA1080" s="3" t="s">
        <v>10795</v>
      </c>
      <c r="BB1080" s="3" t="s">
        <v>10803</v>
      </c>
      <c r="BC1080" s="3" t="s">
        <v>102</v>
      </c>
      <c r="BD1080" s="3" t="s">
        <v>68</v>
      </c>
      <c r="BE1080" s="3" t="s">
        <v>10797</v>
      </c>
      <c r="BF1080" s="3" t="s">
        <v>10803</v>
      </c>
      <c r="BG1080" s="3" t="s">
        <v>10804</v>
      </c>
    </row>
    <row r="1081" spans="1:59" ht="58" x14ac:dyDescent="0.35">
      <c r="A1081" s="2" t="s">
        <v>89</v>
      </c>
      <c r="B1081" s="2" t="s">
        <v>90</v>
      </c>
      <c r="C1081" s="2" t="s">
        <v>10805</v>
      </c>
      <c r="D1081" s="2" t="s">
        <v>10806</v>
      </c>
      <c r="E1081" s="2" t="s">
        <v>10768</v>
      </c>
      <c r="G1081" s="3" t="s">
        <v>62</v>
      </c>
      <c r="I1081" s="3" t="s">
        <v>61</v>
      </c>
      <c r="J1081" s="3" t="s">
        <v>61</v>
      </c>
      <c r="K1081" s="3" t="s">
        <v>63</v>
      </c>
      <c r="L1081" s="2" t="s">
        <v>10769</v>
      </c>
      <c r="M1081" s="2" t="s">
        <v>10807</v>
      </c>
      <c r="N1081" s="3" t="s">
        <v>129</v>
      </c>
      <c r="O1081" s="2" t="s">
        <v>2458</v>
      </c>
      <c r="P1081" s="3" t="s">
        <v>64</v>
      </c>
      <c r="Q1081" s="2" t="s">
        <v>10808</v>
      </c>
      <c r="R1081" s="3" t="s">
        <v>65</v>
      </c>
      <c r="S1081" s="4">
        <v>19</v>
      </c>
      <c r="T1081" s="4">
        <v>85</v>
      </c>
      <c r="U1081" s="5" t="s">
        <v>10809</v>
      </c>
      <c r="V1081" s="5" t="s">
        <v>10809</v>
      </c>
      <c r="W1081" s="5" t="s">
        <v>67</v>
      </c>
      <c r="X1081" s="5" t="s">
        <v>67</v>
      </c>
      <c r="Y1081" s="4">
        <v>431</v>
      </c>
      <c r="Z1081" s="4">
        <v>27</v>
      </c>
      <c r="AA1081" s="4">
        <v>73</v>
      </c>
      <c r="AB1081" s="4">
        <v>2</v>
      </c>
      <c r="AC1081" s="4">
        <v>12</v>
      </c>
      <c r="AD1081" s="4">
        <v>90</v>
      </c>
      <c r="AE1081" s="4">
        <v>156</v>
      </c>
      <c r="AF1081" s="4">
        <v>1</v>
      </c>
      <c r="AG1081" s="4">
        <v>8</v>
      </c>
      <c r="AH1081" s="4">
        <v>74</v>
      </c>
      <c r="AI1081" s="4">
        <v>112</v>
      </c>
      <c r="AJ1081" s="4">
        <v>15</v>
      </c>
      <c r="AK1081" s="4">
        <v>25</v>
      </c>
      <c r="AL1081" s="4">
        <v>42</v>
      </c>
      <c r="AM1081" s="4">
        <v>59</v>
      </c>
      <c r="AN1081" s="4">
        <v>0</v>
      </c>
      <c r="AO1081" s="4">
        <v>0</v>
      </c>
      <c r="AP1081" s="4">
        <v>23</v>
      </c>
      <c r="AQ1081" s="4">
        <v>53</v>
      </c>
      <c r="AR1081" s="3" t="s">
        <v>62</v>
      </c>
      <c r="AS1081" s="3" t="s">
        <v>62</v>
      </c>
      <c r="AT1081" s="3" t="s">
        <v>62</v>
      </c>
      <c r="AV1081" s="6" t="str">
        <f>HYPERLINK("http://mcgill.on.worldcat.org/oclc/793973487","Catalog Record")</f>
        <v>Catalog Record</v>
      </c>
      <c r="AW1081" s="6" t="str">
        <f>HYPERLINK("http://www.worldcat.org/oclc/793973487","WorldCat Record")</f>
        <v>WorldCat Record</v>
      </c>
      <c r="AX1081" s="3" t="s">
        <v>10774</v>
      </c>
      <c r="AY1081" s="3" t="s">
        <v>10810</v>
      </c>
      <c r="AZ1081" s="3" t="s">
        <v>10811</v>
      </c>
      <c r="BA1081" s="3" t="s">
        <v>10811</v>
      </c>
      <c r="BB1081" s="3" t="s">
        <v>10812</v>
      </c>
      <c r="BC1081" s="3" t="s">
        <v>102</v>
      </c>
      <c r="BD1081" s="3" t="s">
        <v>1790</v>
      </c>
      <c r="BE1081" s="3" t="s">
        <v>10813</v>
      </c>
      <c r="BF1081" s="3" t="s">
        <v>10812</v>
      </c>
      <c r="BG1081" s="3" t="s">
        <v>10814</v>
      </c>
    </row>
    <row r="1082" spans="1:59" ht="58" x14ac:dyDescent="0.35">
      <c r="A1082" s="2" t="s">
        <v>89</v>
      </c>
      <c r="B1082" s="2" t="s">
        <v>90</v>
      </c>
      <c r="C1082" s="2" t="s">
        <v>10805</v>
      </c>
      <c r="D1082" s="2" t="s">
        <v>10806</v>
      </c>
      <c r="E1082" s="2" t="s">
        <v>10768</v>
      </c>
      <c r="G1082" s="3" t="s">
        <v>62</v>
      </c>
      <c r="I1082" s="3" t="s">
        <v>61</v>
      </c>
      <c r="J1082" s="3" t="s">
        <v>61</v>
      </c>
      <c r="K1082" s="3" t="s">
        <v>63</v>
      </c>
      <c r="L1082" s="2" t="s">
        <v>10769</v>
      </c>
      <c r="M1082" s="2" t="s">
        <v>10807</v>
      </c>
      <c r="N1082" s="3" t="s">
        <v>129</v>
      </c>
      <c r="O1082" s="2" t="s">
        <v>2458</v>
      </c>
      <c r="P1082" s="3" t="s">
        <v>64</v>
      </c>
      <c r="Q1082" s="2" t="s">
        <v>10808</v>
      </c>
      <c r="R1082" s="3" t="s">
        <v>65</v>
      </c>
      <c r="S1082" s="4">
        <v>13</v>
      </c>
      <c r="T1082" s="4">
        <v>85</v>
      </c>
      <c r="U1082" s="5" t="s">
        <v>10815</v>
      </c>
      <c r="V1082" s="5" t="s">
        <v>10809</v>
      </c>
      <c r="W1082" s="5" t="s">
        <v>67</v>
      </c>
      <c r="X1082" s="5" t="s">
        <v>67</v>
      </c>
      <c r="Y1082" s="4">
        <v>431</v>
      </c>
      <c r="Z1082" s="4">
        <v>27</v>
      </c>
      <c r="AA1082" s="4">
        <v>73</v>
      </c>
      <c r="AB1082" s="4">
        <v>2</v>
      </c>
      <c r="AC1082" s="4">
        <v>12</v>
      </c>
      <c r="AD1082" s="4">
        <v>90</v>
      </c>
      <c r="AE1082" s="4">
        <v>156</v>
      </c>
      <c r="AF1082" s="4">
        <v>1</v>
      </c>
      <c r="AG1082" s="4">
        <v>8</v>
      </c>
      <c r="AH1082" s="4">
        <v>74</v>
      </c>
      <c r="AI1082" s="4">
        <v>112</v>
      </c>
      <c r="AJ1082" s="4">
        <v>15</v>
      </c>
      <c r="AK1082" s="4">
        <v>25</v>
      </c>
      <c r="AL1082" s="4">
        <v>42</v>
      </c>
      <c r="AM1082" s="4">
        <v>59</v>
      </c>
      <c r="AN1082" s="4">
        <v>0</v>
      </c>
      <c r="AO1082" s="4">
        <v>0</v>
      </c>
      <c r="AP1082" s="4">
        <v>23</v>
      </c>
      <c r="AQ1082" s="4">
        <v>53</v>
      </c>
      <c r="AR1082" s="3" t="s">
        <v>62</v>
      </c>
      <c r="AS1082" s="3" t="s">
        <v>62</v>
      </c>
      <c r="AT1082" s="3" t="s">
        <v>62</v>
      </c>
      <c r="AV1082" s="6" t="str">
        <f>HYPERLINK("http://mcgill.on.worldcat.org/oclc/793973487","Catalog Record")</f>
        <v>Catalog Record</v>
      </c>
      <c r="AW1082" s="6" t="str">
        <f>HYPERLINK("http://www.worldcat.org/oclc/793973487","WorldCat Record")</f>
        <v>WorldCat Record</v>
      </c>
      <c r="AX1082" s="3" t="s">
        <v>10774</v>
      </c>
      <c r="AY1082" s="3" t="s">
        <v>10810</v>
      </c>
      <c r="AZ1082" s="3" t="s">
        <v>10811</v>
      </c>
      <c r="BA1082" s="3" t="s">
        <v>10811</v>
      </c>
      <c r="BB1082" s="3" t="s">
        <v>10816</v>
      </c>
      <c r="BC1082" s="3" t="s">
        <v>102</v>
      </c>
      <c r="BD1082" s="3" t="s">
        <v>231</v>
      </c>
      <c r="BE1082" s="3" t="s">
        <v>10813</v>
      </c>
      <c r="BF1082" s="3" t="s">
        <v>10816</v>
      </c>
      <c r="BG1082" s="3" t="s">
        <v>10817</v>
      </c>
    </row>
    <row r="1083" spans="1:59" ht="58" x14ac:dyDescent="0.35">
      <c r="A1083" s="2" t="s">
        <v>89</v>
      </c>
      <c r="B1083" s="2" t="s">
        <v>90</v>
      </c>
      <c r="C1083" s="2" t="s">
        <v>10805</v>
      </c>
      <c r="D1083" s="2" t="s">
        <v>10806</v>
      </c>
      <c r="E1083" s="2" t="s">
        <v>10768</v>
      </c>
      <c r="G1083" s="3" t="s">
        <v>62</v>
      </c>
      <c r="I1083" s="3" t="s">
        <v>61</v>
      </c>
      <c r="J1083" s="3" t="s">
        <v>61</v>
      </c>
      <c r="K1083" s="3" t="s">
        <v>63</v>
      </c>
      <c r="L1083" s="2" t="s">
        <v>10769</v>
      </c>
      <c r="M1083" s="2" t="s">
        <v>10807</v>
      </c>
      <c r="N1083" s="3" t="s">
        <v>129</v>
      </c>
      <c r="O1083" s="2" t="s">
        <v>2458</v>
      </c>
      <c r="P1083" s="3" t="s">
        <v>64</v>
      </c>
      <c r="Q1083" s="2" t="s">
        <v>10808</v>
      </c>
      <c r="R1083" s="3" t="s">
        <v>65</v>
      </c>
      <c r="S1083" s="4">
        <v>53</v>
      </c>
      <c r="T1083" s="4">
        <v>85</v>
      </c>
      <c r="U1083" s="5" t="s">
        <v>10818</v>
      </c>
      <c r="V1083" s="5" t="s">
        <v>10809</v>
      </c>
      <c r="W1083" s="5" t="s">
        <v>67</v>
      </c>
      <c r="X1083" s="5" t="s">
        <v>67</v>
      </c>
      <c r="Y1083" s="4">
        <v>431</v>
      </c>
      <c r="Z1083" s="4">
        <v>27</v>
      </c>
      <c r="AA1083" s="4">
        <v>73</v>
      </c>
      <c r="AB1083" s="4">
        <v>2</v>
      </c>
      <c r="AC1083" s="4">
        <v>12</v>
      </c>
      <c r="AD1083" s="4">
        <v>90</v>
      </c>
      <c r="AE1083" s="4">
        <v>156</v>
      </c>
      <c r="AF1083" s="4">
        <v>1</v>
      </c>
      <c r="AG1083" s="4">
        <v>8</v>
      </c>
      <c r="AH1083" s="4">
        <v>74</v>
      </c>
      <c r="AI1083" s="4">
        <v>112</v>
      </c>
      <c r="AJ1083" s="4">
        <v>15</v>
      </c>
      <c r="AK1083" s="4">
        <v>25</v>
      </c>
      <c r="AL1083" s="4">
        <v>42</v>
      </c>
      <c r="AM1083" s="4">
        <v>59</v>
      </c>
      <c r="AN1083" s="4">
        <v>0</v>
      </c>
      <c r="AO1083" s="4">
        <v>0</v>
      </c>
      <c r="AP1083" s="4">
        <v>23</v>
      </c>
      <c r="AQ1083" s="4">
        <v>53</v>
      </c>
      <c r="AR1083" s="3" t="s">
        <v>62</v>
      </c>
      <c r="AS1083" s="3" t="s">
        <v>62</v>
      </c>
      <c r="AT1083" s="3" t="s">
        <v>62</v>
      </c>
      <c r="AV1083" s="6" t="str">
        <f>HYPERLINK("http://mcgill.on.worldcat.org/oclc/793973487","Catalog Record")</f>
        <v>Catalog Record</v>
      </c>
      <c r="AW1083" s="6" t="str">
        <f>HYPERLINK("http://www.worldcat.org/oclc/793973487","WorldCat Record")</f>
        <v>WorldCat Record</v>
      </c>
      <c r="AX1083" s="3" t="s">
        <v>10774</v>
      </c>
      <c r="AY1083" s="3" t="s">
        <v>10810</v>
      </c>
      <c r="AZ1083" s="3" t="s">
        <v>10811</v>
      </c>
      <c r="BA1083" s="3" t="s">
        <v>10811</v>
      </c>
      <c r="BB1083" s="3" t="s">
        <v>10819</v>
      </c>
      <c r="BC1083" s="3" t="s">
        <v>102</v>
      </c>
      <c r="BD1083" s="3" t="s">
        <v>231</v>
      </c>
      <c r="BE1083" s="3" t="s">
        <v>10813</v>
      </c>
      <c r="BF1083" s="3" t="s">
        <v>10819</v>
      </c>
      <c r="BG1083" s="3" t="s">
        <v>10820</v>
      </c>
    </row>
    <row r="1084" spans="1:59" ht="58" x14ac:dyDescent="0.35">
      <c r="A1084" s="2" t="s">
        <v>89</v>
      </c>
      <c r="B1084" s="2" t="s">
        <v>90</v>
      </c>
      <c r="C1084" s="2" t="s">
        <v>10821</v>
      </c>
      <c r="D1084" s="2" t="s">
        <v>10822</v>
      </c>
      <c r="E1084" s="2" t="s">
        <v>10823</v>
      </c>
      <c r="G1084" s="3" t="s">
        <v>62</v>
      </c>
      <c r="I1084" s="3" t="s">
        <v>62</v>
      </c>
      <c r="J1084" s="3" t="s">
        <v>61</v>
      </c>
      <c r="K1084" s="3" t="s">
        <v>63</v>
      </c>
      <c r="L1084" s="2" t="s">
        <v>10824</v>
      </c>
      <c r="M1084" s="2" t="s">
        <v>10825</v>
      </c>
      <c r="N1084" s="3" t="s">
        <v>1905</v>
      </c>
      <c r="O1084" s="2" t="s">
        <v>2986</v>
      </c>
      <c r="P1084" s="3" t="s">
        <v>64</v>
      </c>
      <c r="R1084" s="3" t="s">
        <v>65</v>
      </c>
      <c r="S1084" s="4">
        <v>20</v>
      </c>
      <c r="T1084" s="4">
        <v>20</v>
      </c>
      <c r="U1084" s="5" t="s">
        <v>1469</v>
      </c>
      <c r="V1084" s="5" t="s">
        <v>1469</v>
      </c>
      <c r="W1084" s="5" t="s">
        <v>67</v>
      </c>
      <c r="X1084" s="5" t="s">
        <v>67</v>
      </c>
      <c r="Y1084" s="4">
        <v>264</v>
      </c>
      <c r="Z1084" s="4">
        <v>12</v>
      </c>
      <c r="AA1084" s="4">
        <v>28</v>
      </c>
      <c r="AB1084" s="4">
        <v>3</v>
      </c>
      <c r="AC1084" s="4">
        <v>10</v>
      </c>
      <c r="AD1084" s="4">
        <v>52</v>
      </c>
      <c r="AE1084" s="4">
        <v>96</v>
      </c>
      <c r="AF1084" s="4">
        <v>1</v>
      </c>
      <c r="AG1084" s="4">
        <v>5</v>
      </c>
      <c r="AH1084" s="4">
        <v>47</v>
      </c>
      <c r="AI1084" s="4">
        <v>81</v>
      </c>
      <c r="AJ1084" s="4">
        <v>6</v>
      </c>
      <c r="AK1084" s="4">
        <v>14</v>
      </c>
      <c r="AL1084" s="4">
        <v>33</v>
      </c>
      <c r="AM1084" s="4">
        <v>46</v>
      </c>
      <c r="AN1084" s="4">
        <v>0</v>
      </c>
      <c r="AO1084" s="4">
        <v>0</v>
      </c>
      <c r="AP1084" s="4">
        <v>7</v>
      </c>
      <c r="AQ1084" s="4">
        <v>18</v>
      </c>
      <c r="AR1084" s="3" t="s">
        <v>62</v>
      </c>
      <c r="AS1084" s="3" t="s">
        <v>62</v>
      </c>
      <c r="AT1084" s="3" t="s">
        <v>62</v>
      </c>
      <c r="AV1084" s="6" t="str">
        <f>HYPERLINK("http://mcgill.on.worldcat.org/oclc/14588538","Catalog Record")</f>
        <v>Catalog Record</v>
      </c>
      <c r="AW1084" s="6" t="str">
        <f>HYPERLINK("http://www.worldcat.org/oclc/14588538","WorldCat Record")</f>
        <v>WorldCat Record</v>
      </c>
      <c r="AX1084" s="3" t="s">
        <v>10826</v>
      </c>
      <c r="AY1084" s="3" t="s">
        <v>10827</v>
      </c>
      <c r="AZ1084" s="3" t="s">
        <v>10828</v>
      </c>
      <c r="BA1084" s="3" t="s">
        <v>10828</v>
      </c>
      <c r="BB1084" s="3" t="s">
        <v>10829</v>
      </c>
      <c r="BC1084" s="3" t="s">
        <v>102</v>
      </c>
      <c r="BD1084" s="3" t="s">
        <v>68</v>
      </c>
      <c r="BE1084" s="3" t="s">
        <v>10830</v>
      </c>
      <c r="BF1084" s="3" t="s">
        <v>10829</v>
      </c>
      <c r="BG1084" s="3" t="s">
        <v>10831</v>
      </c>
    </row>
    <row r="1085" spans="1:59" ht="58" x14ac:dyDescent="0.35">
      <c r="A1085" s="2" t="s">
        <v>89</v>
      </c>
      <c r="B1085" s="2" t="s">
        <v>90</v>
      </c>
      <c r="C1085" s="2" t="s">
        <v>10832</v>
      </c>
      <c r="D1085" s="2" t="s">
        <v>10833</v>
      </c>
      <c r="E1085" s="2" t="s">
        <v>10834</v>
      </c>
      <c r="G1085" s="3" t="s">
        <v>62</v>
      </c>
      <c r="I1085" s="3" t="s">
        <v>62</v>
      </c>
      <c r="J1085" s="3" t="s">
        <v>62</v>
      </c>
      <c r="K1085" s="3" t="s">
        <v>63</v>
      </c>
      <c r="L1085" s="2" t="s">
        <v>10824</v>
      </c>
      <c r="M1085" s="2" t="s">
        <v>10835</v>
      </c>
      <c r="N1085" s="3" t="s">
        <v>1195</v>
      </c>
      <c r="O1085" s="2" t="s">
        <v>10836</v>
      </c>
      <c r="P1085" s="3" t="s">
        <v>64</v>
      </c>
      <c r="R1085" s="3" t="s">
        <v>65</v>
      </c>
      <c r="S1085" s="4">
        <v>6</v>
      </c>
      <c r="T1085" s="4">
        <v>6</v>
      </c>
      <c r="U1085" s="5" t="s">
        <v>1746</v>
      </c>
      <c r="V1085" s="5" t="s">
        <v>1746</v>
      </c>
      <c r="W1085" s="5" t="s">
        <v>67</v>
      </c>
      <c r="X1085" s="5" t="s">
        <v>67</v>
      </c>
      <c r="Y1085" s="4">
        <v>35</v>
      </c>
      <c r="Z1085" s="4">
        <v>2</v>
      </c>
      <c r="AA1085" s="4">
        <v>86</v>
      </c>
      <c r="AB1085" s="4">
        <v>2</v>
      </c>
      <c r="AC1085" s="4">
        <v>16</v>
      </c>
      <c r="AD1085" s="4">
        <v>1</v>
      </c>
      <c r="AE1085" s="4">
        <v>111</v>
      </c>
      <c r="AF1085" s="4">
        <v>0</v>
      </c>
      <c r="AG1085" s="4">
        <v>9</v>
      </c>
      <c r="AH1085" s="4">
        <v>1</v>
      </c>
      <c r="AI1085" s="4">
        <v>75</v>
      </c>
      <c r="AJ1085" s="4">
        <v>0</v>
      </c>
      <c r="AK1085" s="4">
        <v>23</v>
      </c>
      <c r="AL1085" s="4">
        <v>0</v>
      </c>
      <c r="AM1085" s="4">
        <v>35</v>
      </c>
      <c r="AN1085" s="4">
        <v>0</v>
      </c>
      <c r="AO1085" s="4">
        <v>0</v>
      </c>
      <c r="AP1085" s="4">
        <v>0</v>
      </c>
      <c r="AQ1085" s="4">
        <v>44</v>
      </c>
      <c r="AR1085" s="3" t="s">
        <v>62</v>
      </c>
      <c r="AS1085" s="3" t="s">
        <v>62</v>
      </c>
      <c r="AT1085" s="3" t="s">
        <v>62</v>
      </c>
      <c r="AV1085" s="6" t="str">
        <f>HYPERLINK("http://mcgill.on.worldcat.org/oclc/166309956","Catalog Record")</f>
        <v>Catalog Record</v>
      </c>
      <c r="AW1085" s="6" t="str">
        <f>HYPERLINK("http://www.worldcat.org/oclc/166309956","WorldCat Record")</f>
        <v>WorldCat Record</v>
      </c>
      <c r="AX1085" s="3" t="s">
        <v>10837</v>
      </c>
      <c r="AY1085" s="3" t="s">
        <v>10838</v>
      </c>
      <c r="AZ1085" s="3" t="s">
        <v>10839</v>
      </c>
      <c r="BA1085" s="3" t="s">
        <v>10839</v>
      </c>
      <c r="BB1085" s="3" t="s">
        <v>10840</v>
      </c>
      <c r="BC1085" s="3" t="s">
        <v>102</v>
      </c>
      <c r="BD1085" s="3" t="s">
        <v>68</v>
      </c>
      <c r="BE1085" s="3" t="s">
        <v>10841</v>
      </c>
      <c r="BF1085" s="3" t="s">
        <v>10840</v>
      </c>
      <c r="BG1085" s="3" t="s">
        <v>10842</v>
      </c>
    </row>
    <row r="1086" spans="1:59" ht="58" x14ac:dyDescent="0.35">
      <c r="A1086" s="2" t="s">
        <v>89</v>
      </c>
      <c r="B1086" s="2" t="s">
        <v>90</v>
      </c>
      <c r="C1086" s="2" t="s">
        <v>10843</v>
      </c>
      <c r="D1086" s="2" t="s">
        <v>10844</v>
      </c>
      <c r="E1086" s="2" t="s">
        <v>10845</v>
      </c>
      <c r="G1086" s="3" t="s">
        <v>62</v>
      </c>
      <c r="I1086" s="3" t="s">
        <v>61</v>
      </c>
      <c r="J1086" s="3" t="s">
        <v>62</v>
      </c>
      <c r="K1086" s="3" t="s">
        <v>63</v>
      </c>
      <c r="L1086" s="2" t="s">
        <v>10846</v>
      </c>
      <c r="M1086" s="2" t="s">
        <v>10847</v>
      </c>
      <c r="N1086" s="3" t="s">
        <v>539</v>
      </c>
      <c r="P1086" s="3" t="s">
        <v>64</v>
      </c>
      <c r="R1086" s="3" t="s">
        <v>65</v>
      </c>
      <c r="S1086" s="4">
        <v>18</v>
      </c>
      <c r="T1086" s="4">
        <v>24</v>
      </c>
      <c r="U1086" s="5" t="s">
        <v>10848</v>
      </c>
      <c r="V1086" s="5" t="s">
        <v>9346</v>
      </c>
      <c r="W1086" s="5" t="s">
        <v>67</v>
      </c>
      <c r="X1086" s="5" t="s">
        <v>67</v>
      </c>
      <c r="Y1086" s="4">
        <v>257</v>
      </c>
      <c r="Z1086" s="4">
        <v>15</v>
      </c>
      <c r="AA1086" s="4">
        <v>116</v>
      </c>
      <c r="AB1086" s="4">
        <v>2</v>
      </c>
      <c r="AC1086" s="4">
        <v>17</v>
      </c>
      <c r="AD1086" s="4">
        <v>91</v>
      </c>
      <c r="AE1086" s="4">
        <v>135</v>
      </c>
      <c r="AF1086" s="4">
        <v>1</v>
      </c>
      <c r="AG1086" s="4">
        <v>8</v>
      </c>
      <c r="AH1086" s="4">
        <v>83</v>
      </c>
      <c r="AI1086" s="4">
        <v>98</v>
      </c>
      <c r="AJ1086" s="4">
        <v>12</v>
      </c>
      <c r="AK1086" s="4">
        <v>21</v>
      </c>
      <c r="AL1086" s="4">
        <v>46</v>
      </c>
      <c r="AM1086" s="4">
        <v>49</v>
      </c>
      <c r="AN1086" s="4">
        <v>0</v>
      </c>
      <c r="AO1086" s="4">
        <v>0</v>
      </c>
      <c r="AP1086" s="4">
        <v>13</v>
      </c>
      <c r="AQ1086" s="4">
        <v>45</v>
      </c>
      <c r="AR1086" s="3" t="s">
        <v>62</v>
      </c>
      <c r="AS1086" s="3" t="s">
        <v>62</v>
      </c>
      <c r="AT1086" s="3" t="s">
        <v>62</v>
      </c>
      <c r="AV1086" s="6" t="str">
        <f>HYPERLINK("http://mcgill.on.worldcat.org/oclc/37238910","Catalog Record")</f>
        <v>Catalog Record</v>
      </c>
      <c r="AW1086" s="6" t="str">
        <f>HYPERLINK("http://www.worldcat.org/oclc/37238910","WorldCat Record")</f>
        <v>WorldCat Record</v>
      </c>
      <c r="AX1086" s="3" t="s">
        <v>10849</v>
      </c>
      <c r="AY1086" s="3" t="s">
        <v>10850</v>
      </c>
      <c r="AZ1086" s="3" t="s">
        <v>10851</v>
      </c>
      <c r="BA1086" s="3" t="s">
        <v>10851</v>
      </c>
      <c r="BB1086" s="3" t="s">
        <v>10852</v>
      </c>
      <c r="BC1086" s="3" t="s">
        <v>102</v>
      </c>
      <c r="BD1086" s="3" t="s">
        <v>68</v>
      </c>
      <c r="BE1086" s="3" t="s">
        <v>10853</v>
      </c>
      <c r="BF1086" s="3" t="s">
        <v>10852</v>
      </c>
      <c r="BG1086" s="3" t="s">
        <v>10854</v>
      </c>
    </row>
    <row r="1087" spans="1:59" ht="58" x14ac:dyDescent="0.35">
      <c r="A1087" s="2" t="s">
        <v>89</v>
      </c>
      <c r="B1087" s="2" t="s">
        <v>90</v>
      </c>
      <c r="C1087" s="2" t="s">
        <v>10843</v>
      </c>
      <c r="D1087" s="2" t="s">
        <v>10844</v>
      </c>
      <c r="E1087" s="2" t="s">
        <v>10845</v>
      </c>
      <c r="G1087" s="3" t="s">
        <v>62</v>
      </c>
      <c r="I1087" s="3" t="s">
        <v>61</v>
      </c>
      <c r="J1087" s="3" t="s">
        <v>62</v>
      </c>
      <c r="K1087" s="3" t="s">
        <v>63</v>
      </c>
      <c r="L1087" s="2" t="s">
        <v>10846</v>
      </c>
      <c r="M1087" s="2" t="s">
        <v>10847</v>
      </c>
      <c r="N1087" s="3" t="s">
        <v>539</v>
      </c>
      <c r="P1087" s="3" t="s">
        <v>64</v>
      </c>
      <c r="R1087" s="3" t="s">
        <v>65</v>
      </c>
      <c r="S1087" s="4">
        <v>6</v>
      </c>
      <c r="T1087" s="4">
        <v>24</v>
      </c>
      <c r="U1087" s="5" t="s">
        <v>9346</v>
      </c>
      <c r="V1087" s="5" t="s">
        <v>9346</v>
      </c>
      <c r="W1087" s="5" t="s">
        <v>67</v>
      </c>
      <c r="X1087" s="5" t="s">
        <v>67</v>
      </c>
      <c r="Y1087" s="4">
        <v>257</v>
      </c>
      <c r="Z1087" s="4">
        <v>15</v>
      </c>
      <c r="AA1087" s="4">
        <v>116</v>
      </c>
      <c r="AB1087" s="4">
        <v>2</v>
      </c>
      <c r="AC1087" s="4">
        <v>17</v>
      </c>
      <c r="AD1087" s="4">
        <v>91</v>
      </c>
      <c r="AE1087" s="4">
        <v>135</v>
      </c>
      <c r="AF1087" s="4">
        <v>1</v>
      </c>
      <c r="AG1087" s="4">
        <v>8</v>
      </c>
      <c r="AH1087" s="4">
        <v>83</v>
      </c>
      <c r="AI1087" s="4">
        <v>98</v>
      </c>
      <c r="AJ1087" s="4">
        <v>12</v>
      </c>
      <c r="AK1087" s="4">
        <v>21</v>
      </c>
      <c r="AL1087" s="4">
        <v>46</v>
      </c>
      <c r="AM1087" s="4">
        <v>49</v>
      </c>
      <c r="AN1087" s="4">
        <v>0</v>
      </c>
      <c r="AO1087" s="4">
        <v>0</v>
      </c>
      <c r="AP1087" s="4">
        <v>13</v>
      </c>
      <c r="AQ1087" s="4">
        <v>45</v>
      </c>
      <c r="AR1087" s="3" t="s">
        <v>62</v>
      </c>
      <c r="AS1087" s="3" t="s">
        <v>62</v>
      </c>
      <c r="AT1087" s="3" t="s">
        <v>62</v>
      </c>
      <c r="AV1087" s="6" t="str">
        <f>HYPERLINK("http://mcgill.on.worldcat.org/oclc/37238910","Catalog Record")</f>
        <v>Catalog Record</v>
      </c>
      <c r="AW1087" s="6" t="str">
        <f>HYPERLINK("http://www.worldcat.org/oclc/37238910","WorldCat Record")</f>
        <v>WorldCat Record</v>
      </c>
      <c r="AX1087" s="3" t="s">
        <v>10849</v>
      </c>
      <c r="AY1087" s="3" t="s">
        <v>10850</v>
      </c>
      <c r="AZ1087" s="3" t="s">
        <v>10851</v>
      </c>
      <c r="BA1087" s="3" t="s">
        <v>10851</v>
      </c>
      <c r="BB1087" s="3" t="s">
        <v>10855</v>
      </c>
      <c r="BC1087" s="3" t="s">
        <v>102</v>
      </c>
      <c r="BD1087" s="3" t="s">
        <v>68</v>
      </c>
      <c r="BE1087" s="3" t="s">
        <v>10853</v>
      </c>
      <c r="BF1087" s="3" t="s">
        <v>10855</v>
      </c>
      <c r="BG1087" s="3" t="s">
        <v>10856</v>
      </c>
    </row>
    <row r="1088" spans="1:59" ht="58" x14ac:dyDescent="0.35">
      <c r="A1088" s="2" t="s">
        <v>89</v>
      </c>
      <c r="B1088" s="2" t="s">
        <v>90</v>
      </c>
      <c r="C1088" s="2" t="s">
        <v>10857</v>
      </c>
      <c r="D1088" s="2" t="s">
        <v>10858</v>
      </c>
      <c r="E1088" s="2" t="s">
        <v>10859</v>
      </c>
      <c r="G1088" s="3" t="s">
        <v>62</v>
      </c>
      <c r="I1088" s="3" t="s">
        <v>62</v>
      </c>
      <c r="J1088" s="3" t="s">
        <v>62</v>
      </c>
      <c r="K1088" s="3" t="s">
        <v>63</v>
      </c>
      <c r="L1088" s="2" t="s">
        <v>10860</v>
      </c>
      <c r="M1088" s="2" t="s">
        <v>10861</v>
      </c>
      <c r="N1088" s="3" t="s">
        <v>640</v>
      </c>
      <c r="P1088" s="3" t="s">
        <v>64</v>
      </c>
      <c r="R1088" s="3" t="s">
        <v>65</v>
      </c>
      <c r="S1088" s="4">
        <v>16</v>
      </c>
      <c r="T1088" s="4">
        <v>16</v>
      </c>
      <c r="U1088" s="5" t="s">
        <v>8532</v>
      </c>
      <c r="V1088" s="5" t="s">
        <v>8532</v>
      </c>
      <c r="W1088" s="5" t="s">
        <v>67</v>
      </c>
      <c r="X1088" s="5" t="s">
        <v>67</v>
      </c>
      <c r="Y1088" s="4">
        <v>415</v>
      </c>
      <c r="Z1088" s="4">
        <v>29</v>
      </c>
      <c r="AA1088" s="4">
        <v>38</v>
      </c>
      <c r="AB1088" s="4">
        <v>1</v>
      </c>
      <c r="AC1088" s="4">
        <v>8</v>
      </c>
      <c r="AD1088" s="4">
        <v>71</v>
      </c>
      <c r="AE1088" s="4">
        <v>81</v>
      </c>
      <c r="AF1088" s="4">
        <v>0</v>
      </c>
      <c r="AG1088" s="4">
        <v>5</v>
      </c>
      <c r="AH1088" s="4">
        <v>59</v>
      </c>
      <c r="AI1088" s="4">
        <v>64</v>
      </c>
      <c r="AJ1088" s="4">
        <v>16</v>
      </c>
      <c r="AK1088" s="4">
        <v>19</v>
      </c>
      <c r="AL1088" s="4">
        <v>26</v>
      </c>
      <c r="AM1088" s="4">
        <v>28</v>
      </c>
      <c r="AN1088" s="4">
        <v>2</v>
      </c>
      <c r="AO1088" s="4">
        <v>2</v>
      </c>
      <c r="AP1088" s="4">
        <v>22</v>
      </c>
      <c r="AQ1088" s="4">
        <v>26</v>
      </c>
      <c r="AR1088" s="3" t="s">
        <v>62</v>
      </c>
      <c r="AS1088" s="3" t="s">
        <v>62</v>
      </c>
      <c r="AT1088" s="3" t="s">
        <v>61</v>
      </c>
      <c r="AU1088" s="6" t="str">
        <f>HYPERLINK("http://catalog.hathitrust.org/Record/004768753","HathiTrust Record")</f>
        <v>HathiTrust Record</v>
      </c>
      <c r="AV1088" s="6" t="str">
        <f>HYPERLINK("http://mcgill.on.worldcat.org/oclc/55736969","Catalog Record")</f>
        <v>Catalog Record</v>
      </c>
      <c r="AW1088" s="6" t="str">
        <f>HYPERLINK("http://www.worldcat.org/oclc/55736969","WorldCat Record")</f>
        <v>WorldCat Record</v>
      </c>
      <c r="AX1088" s="3" t="s">
        <v>10862</v>
      </c>
      <c r="AY1088" s="3" t="s">
        <v>10863</v>
      </c>
      <c r="AZ1088" s="3" t="s">
        <v>10864</v>
      </c>
      <c r="BA1088" s="3" t="s">
        <v>10864</v>
      </c>
      <c r="BB1088" s="3" t="s">
        <v>10865</v>
      </c>
      <c r="BC1088" s="3" t="s">
        <v>102</v>
      </c>
      <c r="BD1088" s="3" t="s">
        <v>68</v>
      </c>
      <c r="BE1088" s="3" t="s">
        <v>10866</v>
      </c>
      <c r="BF1088" s="3" t="s">
        <v>10865</v>
      </c>
      <c r="BG1088" s="3" t="s">
        <v>10867</v>
      </c>
    </row>
    <row r="1089" spans="1:59" ht="58" x14ac:dyDescent="0.35">
      <c r="A1089" s="2" t="s">
        <v>89</v>
      </c>
      <c r="B1089" s="2" t="s">
        <v>90</v>
      </c>
      <c r="C1089" s="2" t="s">
        <v>10868</v>
      </c>
      <c r="D1089" s="2" t="s">
        <v>10869</v>
      </c>
      <c r="E1089" s="2" t="s">
        <v>10870</v>
      </c>
      <c r="G1089" s="3" t="s">
        <v>62</v>
      </c>
      <c r="I1089" s="3" t="s">
        <v>62</v>
      </c>
      <c r="J1089" s="3" t="s">
        <v>61</v>
      </c>
      <c r="K1089" s="3" t="s">
        <v>63</v>
      </c>
      <c r="L1089" s="2" t="s">
        <v>10871</v>
      </c>
      <c r="M1089" s="2" t="s">
        <v>10872</v>
      </c>
      <c r="N1089" s="3" t="s">
        <v>596</v>
      </c>
      <c r="O1089" s="2" t="s">
        <v>10873</v>
      </c>
      <c r="P1089" s="3" t="s">
        <v>64</v>
      </c>
      <c r="R1089" s="3" t="s">
        <v>65</v>
      </c>
      <c r="S1089" s="4">
        <v>15</v>
      </c>
      <c r="T1089" s="4">
        <v>15</v>
      </c>
      <c r="U1089" s="5" t="s">
        <v>10556</v>
      </c>
      <c r="V1089" s="5" t="s">
        <v>10556</v>
      </c>
      <c r="W1089" s="5" t="s">
        <v>67</v>
      </c>
      <c r="X1089" s="5" t="s">
        <v>67</v>
      </c>
      <c r="Y1089" s="4">
        <v>102</v>
      </c>
      <c r="Z1089" s="4">
        <v>8</v>
      </c>
      <c r="AA1089" s="4">
        <v>59</v>
      </c>
      <c r="AB1089" s="4">
        <v>2</v>
      </c>
      <c r="AC1089" s="4">
        <v>11</v>
      </c>
      <c r="AD1089" s="4">
        <v>18</v>
      </c>
      <c r="AE1089" s="4">
        <v>129</v>
      </c>
      <c r="AF1089" s="4">
        <v>0</v>
      </c>
      <c r="AG1089" s="4">
        <v>6</v>
      </c>
      <c r="AH1089" s="4">
        <v>16</v>
      </c>
      <c r="AI1089" s="4">
        <v>104</v>
      </c>
      <c r="AJ1089" s="4">
        <v>3</v>
      </c>
      <c r="AK1089" s="4">
        <v>21</v>
      </c>
      <c r="AL1089" s="4">
        <v>9</v>
      </c>
      <c r="AM1089" s="4">
        <v>55</v>
      </c>
      <c r="AN1089" s="4">
        <v>0</v>
      </c>
      <c r="AO1089" s="4">
        <v>0</v>
      </c>
      <c r="AP1089" s="4">
        <v>4</v>
      </c>
      <c r="AQ1089" s="4">
        <v>31</v>
      </c>
      <c r="AR1089" s="3" t="s">
        <v>62</v>
      </c>
      <c r="AS1089" s="3" t="s">
        <v>62</v>
      </c>
      <c r="AT1089" s="3" t="s">
        <v>62</v>
      </c>
      <c r="AV1089" s="6" t="str">
        <f>HYPERLINK("http://mcgill.on.worldcat.org/oclc/50434525","Catalog Record")</f>
        <v>Catalog Record</v>
      </c>
      <c r="AW1089" s="6" t="str">
        <f>HYPERLINK("http://www.worldcat.org/oclc/50434525","WorldCat Record")</f>
        <v>WorldCat Record</v>
      </c>
      <c r="AX1089" s="3" t="s">
        <v>10874</v>
      </c>
      <c r="AY1089" s="3" t="s">
        <v>10875</v>
      </c>
      <c r="AZ1089" s="3" t="s">
        <v>10876</v>
      </c>
      <c r="BA1089" s="3" t="s">
        <v>10876</v>
      </c>
      <c r="BB1089" s="3" t="s">
        <v>10877</v>
      </c>
      <c r="BC1089" s="3" t="s">
        <v>102</v>
      </c>
      <c r="BD1089" s="3" t="s">
        <v>231</v>
      </c>
      <c r="BE1089" s="3" t="s">
        <v>10878</v>
      </c>
      <c r="BF1089" s="3" t="s">
        <v>10877</v>
      </c>
      <c r="BG1089" s="3" t="s">
        <v>10879</v>
      </c>
    </row>
    <row r="1090" spans="1:59" ht="58" x14ac:dyDescent="0.35">
      <c r="A1090" s="2" t="s">
        <v>89</v>
      </c>
      <c r="B1090" s="2" t="s">
        <v>6791</v>
      </c>
      <c r="C1090" s="2" t="s">
        <v>10880</v>
      </c>
      <c r="D1090" s="2" t="s">
        <v>10881</v>
      </c>
      <c r="E1090" s="2" t="s">
        <v>10882</v>
      </c>
      <c r="G1090" s="3" t="s">
        <v>62</v>
      </c>
      <c r="I1090" s="3" t="s">
        <v>62</v>
      </c>
      <c r="J1090" s="3" t="s">
        <v>62</v>
      </c>
      <c r="K1090" s="3" t="s">
        <v>63</v>
      </c>
      <c r="L1090" s="2" t="s">
        <v>10883</v>
      </c>
      <c r="M1090" s="2" t="s">
        <v>10884</v>
      </c>
      <c r="N1090" s="3" t="s">
        <v>712</v>
      </c>
      <c r="P1090" s="3" t="s">
        <v>64</v>
      </c>
      <c r="Q1090" s="2" t="s">
        <v>10885</v>
      </c>
      <c r="R1090" s="3" t="s">
        <v>65</v>
      </c>
      <c r="S1090" s="4">
        <v>4</v>
      </c>
      <c r="T1090" s="4">
        <v>4</v>
      </c>
      <c r="U1090" s="5" t="s">
        <v>10886</v>
      </c>
      <c r="V1090" s="5" t="s">
        <v>10886</v>
      </c>
      <c r="W1090" s="5" t="s">
        <v>67</v>
      </c>
      <c r="X1090" s="5" t="s">
        <v>67</v>
      </c>
      <c r="Y1090" s="4">
        <v>49</v>
      </c>
      <c r="Z1090" s="4">
        <v>9</v>
      </c>
      <c r="AA1090" s="4">
        <v>15</v>
      </c>
      <c r="AB1090" s="4">
        <v>1</v>
      </c>
      <c r="AC1090" s="4">
        <v>5</v>
      </c>
      <c r="AD1090" s="4">
        <v>13</v>
      </c>
      <c r="AE1090" s="4">
        <v>27</v>
      </c>
      <c r="AF1090" s="4">
        <v>0</v>
      </c>
      <c r="AG1090" s="4">
        <v>1</v>
      </c>
      <c r="AH1090" s="4">
        <v>10</v>
      </c>
      <c r="AI1090" s="4">
        <v>21</v>
      </c>
      <c r="AJ1090" s="4">
        <v>7</v>
      </c>
      <c r="AK1090" s="4">
        <v>9</v>
      </c>
      <c r="AL1090" s="4">
        <v>6</v>
      </c>
      <c r="AM1090" s="4">
        <v>14</v>
      </c>
      <c r="AN1090" s="4">
        <v>0</v>
      </c>
      <c r="AO1090" s="4">
        <v>0</v>
      </c>
      <c r="AP1090" s="4">
        <v>7</v>
      </c>
      <c r="AQ1090" s="4">
        <v>10</v>
      </c>
      <c r="AR1090" s="3" t="s">
        <v>62</v>
      </c>
      <c r="AS1090" s="3" t="s">
        <v>62</v>
      </c>
      <c r="AT1090" s="3" t="s">
        <v>62</v>
      </c>
      <c r="AV1090" s="6" t="str">
        <f>HYPERLINK("http://mcgill.on.worldcat.org/oclc/825750823","Catalog Record")</f>
        <v>Catalog Record</v>
      </c>
      <c r="AW1090" s="6" t="str">
        <f>HYPERLINK("http://www.worldcat.org/oclc/825750823","WorldCat Record")</f>
        <v>WorldCat Record</v>
      </c>
      <c r="AX1090" s="3" t="s">
        <v>10887</v>
      </c>
      <c r="AY1090" s="3" t="s">
        <v>10888</v>
      </c>
      <c r="AZ1090" s="3" t="s">
        <v>10889</v>
      </c>
      <c r="BA1090" s="3" t="s">
        <v>10889</v>
      </c>
      <c r="BB1090" s="3" t="s">
        <v>10890</v>
      </c>
      <c r="BC1090" s="3" t="s">
        <v>102</v>
      </c>
      <c r="BD1090" s="3" t="s">
        <v>68</v>
      </c>
      <c r="BE1090" s="3" t="s">
        <v>10891</v>
      </c>
      <c r="BF1090" s="3" t="s">
        <v>10890</v>
      </c>
      <c r="BG1090" s="3" t="s">
        <v>10892</v>
      </c>
    </row>
    <row r="1091" spans="1:59" ht="58" x14ac:dyDescent="0.35">
      <c r="A1091" s="2" t="s">
        <v>89</v>
      </c>
      <c r="B1091" s="2" t="s">
        <v>90</v>
      </c>
      <c r="C1091" s="2" t="s">
        <v>10893</v>
      </c>
      <c r="D1091" s="2" t="s">
        <v>10894</v>
      </c>
      <c r="E1091" s="2" t="s">
        <v>10895</v>
      </c>
      <c r="G1091" s="3" t="s">
        <v>62</v>
      </c>
      <c r="I1091" s="3" t="s">
        <v>62</v>
      </c>
      <c r="J1091" s="3" t="s">
        <v>61</v>
      </c>
      <c r="K1091" s="3" t="s">
        <v>63</v>
      </c>
      <c r="L1091" s="2" t="s">
        <v>10896</v>
      </c>
      <c r="M1091" s="2" t="s">
        <v>10897</v>
      </c>
      <c r="N1091" s="3" t="s">
        <v>2975</v>
      </c>
      <c r="O1091" s="2" t="s">
        <v>2986</v>
      </c>
      <c r="P1091" s="3" t="s">
        <v>64</v>
      </c>
      <c r="R1091" s="3" t="s">
        <v>65</v>
      </c>
      <c r="S1091" s="4">
        <v>18</v>
      </c>
      <c r="T1091" s="4">
        <v>18</v>
      </c>
      <c r="U1091" s="5" t="s">
        <v>10556</v>
      </c>
      <c r="V1091" s="5" t="s">
        <v>10556</v>
      </c>
      <c r="W1091" s="5" t="s">
        <v>67</v>
      </c>
      <c r="X1091" s="5" t="s">
        <v>67</v>
      </c>
      <c r="Y1091" s="4">
        <v>184</v>
      </c>
      <c r="Z1091" s="4">
        <v>10</v>
      </c>
      <c r="AA1091" s="4">
        <v>25</v>
      </c>
      <c r="AB1091" s="4">
        <v>1</v>
      </c>
      <c r="AC1091" s="4">
        <v>5</v>
      </c>
      <c r="AD1091" s="4">
        <v>36</v>
      </c>
      <c r="AE1091" s="4">
        <v>76</v>
      </c>
      <c r="AF1091" s="4">
        <v>0</v>
      </c>
      <c r="AG1091" s="4">
        <v>3</v>
      </c>
      <c r="AH1091" s="4">
        <v>32</v>
      </c>
      <c r="AI1091" s="4">
        <v>66</v>
      </c>
      <c r="AJ1091" s="4">
        <v>5</v>
      </c>
      <c r="AK1091" s="4">
        <v>14</v>
      </c>
      <c r="AL1091" s="4">
        <v>23</v>
      </c>
      <c r="AM1091" s="4">
        <v>37</v>
      </c>
      <c r="AN1091" s="4">
        <v>0</v>
      </c>
      <c r="AO1091" s="4">
        <v>2</v>
      </c>
      <c r="AP1091" s="4">
        <v>5</v>
      </c>
      <c r="AQ1091" s="4">
        <v>15</v>
      </c>
      <c r="AR1091" s="3" t="s">
        <v>62</v>
      </c>
      <c r="AS1091" s="3" t="s">
        <v>62</v>
      </c>
      <c r="AT1091" s="3" t="s">
        <v>62</v>
      </c>
      <c r="AV1091" s="6" t="str">
        <f>HYPERLINK("http://mcgill.on.worldcat.org/oclc/46927265","Catalog Record")</f>
        <v>Catalog Record</v>
      </c>
      <c r="AW1091" s="6" t="str">
        <f>HYPERLINK("http://www.worldcat.org/oclc/46927265","WorldCat Record")</f>
        <v>WorldCat Record</v>
      </c>
      <c r="AX1091" s="3" t="s">
        <v>10898</v>
      </c>
      <c r="AY1091" s="3" t="s">
        <v>10899</v>
      </c>
      <c r="AZ1091" s="3" t="s">
        <v>10900</v>
      </c>
      <c r="BA1091" s="3" t="s">
        <v>10900</v>
      </c>
      <c r="BB1091" s="3" t="s">
        <v>10901</v>
      </c>
      <c r="BC1091" s="3" t="s">
        <v>102</v>
      </c>
      <c r="BD1091" s="3" t="s">
        <v>231</v>
      </c>
      <c r="BE1091" s="3" t="s">
        <v>10902</v>
      </c>
      <c r="BF1091" s="3" t="s">
        <v>10901</v>
      </c>
      <c r="BG1091" s="3" t="s">
        <v>10903</v>
      </c>
    </row>
    <row r="1092" spans="1:59" ht="58" x14ac:dyDescent="0.35">
      <c r="A1092" s="2" t="s">
        <v>89</v>
      </c>
      <c r="B1092" s="2" t="s">
        <v>90</v>
      </c>
      <c r="C1092" s="2" t="s">
        <v>10904</v>
      </c>
      <c r="D1092" s="2" t="s">
        <v>10905</v>
      </c>
      <c r="E1092" s="2" t="s">
        <v>10906</v>
      </c>
      <c r="G1092" s="3" t="s">
        <v>62</v>
      </c>
      <c r="I1092" s="3" t="s">
        <v>62</v>
      </c>
      <c r="J1092" s="3" t="s">
        <v>61</v>
      </c>
      <c r="K1092" s="3" t="s">
        <v>63</v>
      </c>
      <c r="L1092" s="2" t="s">
        <v>10896</v>
      </c>
      <c r="M1092" s="2" t="s">
        <v>10907</v>
      </c>
      <c r="N1092" s="3" t="s">
        <v>1722</v>
      </c>
      <c r="O1092" s="2" t="s">
        <v>2458</v>
      </c>
      <c r="P1092" s="3" t="s">
        <v>64</v>
      </c>
      <c r="R1092" s="3" t="s">
        <v>65</v>
      </c>
      <c r="S1092" s="4">
        <v>14</v>
      </c>
      <c r="T1092" s="4">
        <v>14</v>
      </c>
      <c r="U1092" s="5" t="s">
        <v>10908</v>
      </c>
      <c r="V1092" s="5" t="s">
        <v>10908</v>
      </c>
      <c r="W1092" s="5" t="s">
        <v>67</v>
      </c>
      <c r="X1092" s="5" t="s">
        <v>67</v>
      </c>
      <c r="Y1092" s="4">
        <v>139</v>
      </c>
      <c r="Z1092" s="4">
        <v>8</v>
      </c>
      <c r="AA1092" s="4">
        <v>25</v>
      </c>
      <c r="AB1092" s="4">
        <v>1</v>
      </c>
      <c r="AC1092" s="4">
        <v>5</v>
      </c>
      <c r="AD1092" s="4">
        <v>30</v>
      </c>
      <c r="AE1092" s="4">
        <v>76</v>
      </c>
      <c r="AF1092" s="4">
        <v>0</v>
      </c>
      <c r="AG1092" s="4">
        <v>3</v>
      </c>
      <c r="AH1092" s="4">
        <v>27</v>
      </c>
      <c r="AI1092" s="4">
        <v>66</v>
      </c>
      <c r="AJ1092" s="4">
        <v>3</v>
      </c>
      <c r="AK1092" s="4">
        <v>14</v>
      </c>
      <c r="AL1092" s="4">
        <v>16</v>
      </c>
      <c r="AM1092" s="4">
        <v>37</v>
      </c>
      <c r="AN1092" s="4">
        <v>0</v>
      </c>
      <c r="AO1092" s="4">
        <v>2</v>
      </c>
      <c r="AP1092" s="4">
        <v>4</v>
      </c>
      <c r="AQ1092" s="4">
        <v>15</v>
      </c>
      <c r="AR1092" s="3" t="s">
        <v>62</v>
      </c>
      <c r="AS1092" s="3" t="s">
        <v>62</v>
      </c>
      <c r="AT1092" s="3" t="s">
        <v>62</v>
      </c>
      <c r="AV1092" s="6" t="str">
        <f>HYPERLINK("http://mcgill.on.worldcat.org/oclc/270695993","Catalog Record")</f>
        <v>Catalog Record</v>
      </c>
      <c r="AW1092" s="6" t="str">
        <f>HYPERLINK("http://www.worldcat.org/oclc/270695993","WorldCat Record")</f>
        <v>WorldCat Record</v>
      </c>
      <c r="AX1092" s="3" t="s">
        <v>10898</v>
      </c>
      <c r="AY1092" s="3" t="s">
        <v>10909</v>
      </c>
      <c r="AZ1092" s="3" t="s">
        <v>10910</v>
      </c>
      <c r="BA1092" s="3" t="s">
        <v>10910</v>
      </c>
      <c r="BB1092" s="3" t="s">
        <v>10911</v>
      </c>
      <c r="BC1092" s="3" t="s">
        <v>102</v>
      </c>
      <c r="BD1092" s="3" t="s">
        <v>231</v>
      </c>
      <c r="BE1092" s="3" t="s">
        <v>10912</v>
      </c>
      <c r="BF1092" s="3" t="s">
        <v>10911</v>
      </c>
      <c r="BG1092" s="3" t="s">
        <v>10913</v>
      </c>
    </row>
    <row r="1093" spans="1:59" ht="58" x14ac:dyDescent="0.35">
      <c r="A1093" s="2" t="s">
        <v>89</v>
      </c>
      <c r="B1093" s="2" t="s">
        <v>90</v>
      </c>
      <c r="C1093" s="2" t="s">
        <v>10914</v>
      </c>
      <c r="D1093" s="2" t="s">
        <v>10915</v>
      </c>
      <c r="E1093" s="2" t="s">
        <v>10916</v>
      </c>
      <c r="G1093" s="3" t="s">
        <v>62</v>
      </c>
      <c r="I1093" s="3" t="s">
        <v>61</v>
      </c>
      <c r="J1093" s="3" t="s">
        <v>62</v>
      </c>
      <c r="K1093" s="3" t="s">
        <v>63</v>
      </c>
      <c r="M1093" s="2" t="s">
        <v>10917</v>
      </c>
      <c r="N1093" s="3" t="s">
        <v>880</v>
      </c>
      <c r="P1093" s="3" t="s">
        <v>64</v>
      </c>
      <c r="R1093" s="3" t="s">
        <v>65</v>
      </c>
      <c r="S1093" s="4">
        <v>0</v>
      </c>
      <c r="T1093" s="4">
        <v>1</v>
      </c>
      <c r="V1093" s="5" t="s">
        <v>10918</v>
      </c>
      <c r="W1093" s="5" t="s">
        <v>67</v>
      </c>
      <c r="X1093" s="5" t="s">
        <v>67</v>
      </c>
      <c r="Y1093" s="4">
        <v>190</v>
      </c>
      <c r="Z1093" s="4">
        <v>18</v>
      </c>
      <c r="AA1093" s="4">
        <v>100</v>
      </c>
      <c r="AB1093" s="4">
        <v>2</v>
      </c>
      <c r="AC1093" s="4">
        <v>18</v>
      </c>
      <c r="AD1093" s="4">
        <v>66</v>
      </c>
      <c r="AE1093" s="4">
        <v>132</v>
      </c>
      <c r="AF1093" s="4">
        <v>1</v>
      </c>
      <c r="AG1093" s="4">
        <v>8</v>
      </c>
      <c r="AH1093" s="4">
        <v>57</v>
      </c>
      <c r="AI1093" s="4">
        <v>93</v>
      </c>
      <c r="AJ1093" s="4">
        <v>12</v>
      </c>
      <c r="AK1093" s="4">
        <v>24</v>
      </c>
      <c r="AL1093" s="4">
        <v>33</v>
      </c>
      <c r="AM1093" s="4">
        <v>50</v>
      </c>
      <c r="AN1093" s="4">
        <v>0</v>
      </c>
      <c r="AO1093" s="4">
        <v>0</v>
      </c>
      <c r="AP1093" s="4">
        <v>14</v>
      </c>
      <c r="AQ1093" s="4">
        <v>47</v>
      </c>
      <c r="AR1093" s="3" t="s">
        <v>62</v>
      </c>
      <c r="AS1093" s="3" t="s">
        <v>62</v>
      </c>
      <c r="AT1093" s="3" t="s">
        <v>62</v>
      </c>
      <c r="AV1093" s="6" t="str">
        <f>HYPERLINK("http://mcgill.on.worldcat.org/oclc/432442111","Catalog Record")</f>
        <v>Catalog Record</v>
      </c>
      <c r="AW1093" s="6" t="str">
        <f>HYPERLINK("http://www.worldcat.org/oclc/432442111","WorldCat Record")</f>
        <v>WorldCat Record</v>
      </c>
      <c r="AX1093" s="3" t="s">
        <v>10919</v>
      </c>
      <c r="AY1093" s="3" t="s">
        <v>10920</v>
      </c>
      <c r="AZ1093" s="3" t="s">
        <v>10921</v>
      </c>
      <c r="BA1093" s="3" t="s">
        <v>10921</v>
      </c>
      <c r="BB1093" s="3" t="s">
        <v>10922</v>
      </c>
      <c r="BC1093" s="3" t="s">
        <v>102</v>
      </c>
      <c r="BD1093" s="3" t="s">
        <v>68</v>
      </c>
      <c r="BE1093" s="3" t="s">
        <v>10923</v>
      </c>
      <c r="BF1093" s="3" t="s">
        <v>10922</v>
      </c>
      <c r="BG1093" s="3" t="s">
        <v>10924</v>
      </c>
    </row>
    <row r="1094" spans="1:59" ht="58" x14ac:dyDescent="0.35">
      <c r="A1094" s="2" t="s">
        <v>89</v>
      </c>
      <c r="B1094" s="2" t="s">
        <v>90</v>
      </c>
      <c r="C1094" s="2" t="s">
        <v>10925</v>
      </c>
      <c r="D1094" s="2" t="s">
        <v>10926</v>
      </c>
      <c r="E1094" s="2" t="s">
        <v>10927</v>
      </c>
      <c r="G1094" s="3" t="s">
        <v>62</v>
      </c>
      <c r="I1094" s="3" t="s">
        <v>62</v>
      </c>
      <c r="J1094" s="3" t="s">
        <v>62</v>
      </c>
      <c r="K1094" s="3" t="s">
        <v>63</v>
      </c>
      <c r="L1094" s="2" t="s">
        <v>10928</v>
      </c>
      <c r="M1094" s="2" t="s">
        <v>10929</v>
      </c>
      <c r="N1094" s="3" t="s">
        <v>2985</v>
      </c>
      <c r="P1094" s="3" t="s">
        <v>64</v>
      </c>
      <c r="R1094" s="3" t="s">
        <v>65</v>
      </c>
      <c r="S1094" s="4">
        <v>2</v>
      </c>
      <c r="T1094" s="4">
        <v>2</v>
      </c>
      <c r="U1094" s="5" t="s">
        <v>2342</v>
      </c>
      <c r="V1094" s="5" t="s">
        <v>2342</v>
      </c>
      <c r="W1094" s="5" t="s">
        <v>67</v>
      </c>
      <c r="X1094" s="5" t="s">
        <v>67</v>
      </c>
      <c r="Y1094" s="4">
        <v>265</v>
      </c>
      <c r="Z1094" s="4">
        <v>23</v>
      </c>
      <c r="AA1094" s="4">
        <v>26</v>
      </c>
      <c r="AB1094" s="4">
        <v>3</v>
      </c>
      <c r="AC1094" s="4">
        <v>6</v>
      </c>
      <c r="AD1094" s="4">
        <v>82</v>
      </c>
      <c r="AE1094" s="4">
        <v>87</v>
      </c>
      <c r="AF1094" s="4">
        <v>1</v>
      </c>
      <c r="AG1094" s="4">
        <v>1</v>
      </c>
      <c r="AH1094" s="4">
        <v>70</v>
      </c>
      <c r="AI1094" s="4">
        <v>75</v>
      </c>
      <c r="AJ1094" s="4">
        <v>13</v>
      </c>
      <c r="AK1094" s="4">
        <v>13</v>
      </c>
      <c r="AL1094" s="4">
        <v>37</v>
      </c>
      <c r="AM1094" s="4">
        <v>39</v>
      </c>
      <c r="AN1094" s="4">
        <v>0</v>
      </c>
      <c r="AO1094" s="4">
        <v>0</v>
      </c>
      <c r="AP1094" s="4">
        <v>18</v>
      </c>
      <c r="AQ1094" s="4">
        <v>18</v>
      </c>
      <c r="AR1094" s="3" t="s">
        <v>62</v>
      </c>
      <c r="AS1094" s="3" t="s">
        <v>62</v>
      </c>
      <c r="AT1094" s="3" t="s">
        <v>62</v>
      </c>
      <c r="AV1094" s="6" t="str">
        <f>HYPERLINK("http://mcgill.on.worldcat.org/oclc/166360218","Catalog Record")</f>
        <v>Catalog Record</v>
      </c>
      <c r="AW1094" s="6" t="str">
        <f>HYPERLINK("http://www.worldcat.org/oclc/166360218","WorldCat Record")</f>
        <v>WorldCat Record</v>
      </c>
      <c r="AX1094" s="3" t="s">
        <v>10930</v>
      </c>
      <c r="AY1094" s="3" t="s">
        <v>10931</v>
      </c>
      <c r="AZ1094" s="3" t="s">
        <v>10932</v>
      </c>
      <c r="BA1094" s="3" t="s">
        <v>10932</v>
      </c>
      <c r="BB1094" s="3" t="s">
        <v>10933</v>
      </c>
      <c r="BC1094" s="3" t="s">
        <v>102</v>
      </c>
      <c r="BD1094" s="3" t="s">
        <v>68</v>
      </c>
      <c r="BE1094" s="3" t="s">
        <v>10934</v>
      </c>
      <c r="BF1094" s="3" t="s">
        <v>10933</v>
      </c>
      <c r="BG1094" s="3" t="s">
        <v>10935</v>
      </c>
    </row>
    <row r="1095" spans="1:59" ht="58" x14ac:dyDescent="0.35">
      <c r="A1095" s="2" t="s">
        <v>89</v>
      </c>
      <c r="B1095" s="2" t="s">
        <v>90</v>
      </c>
      <c r="C1095" s="2" t="s">
        <v>10936</v>
      </c>
      <c r="D1095" s="2" t="s">
        <v>10937</v>
      </c>
      <c r="E1095" s="2" t="s">
        <v>10938</v>
      </c>
      <c r="G1095" s="3" t="s">
        <v>62</v>
      </c>
      <c r="I1095" s="3" t="s">
        <v>62</v>
      </c>
      <c r="J1095" s="3" t="s">
        <v>62</v>
      </c>
      <c r="K1095" s="3" t="s">
        <v>63</v>
      </c>
      <c r="M1095" s="2" t="s">
        <v>10939</v>
      </c>
      <c r="N1095" s="3" t="s">
        <v>655</v>
      </c>
      <c r="P1095" s="3" t="s">
        <v>64</v>
      </c>
      <c r="R1095" s="3" t="s">
        <v>65</v>
      </c>
      <c r="S1095" s="4">
        <v>3</v>
      </c>
      <c r="T1095" s="4">
        <v>3</v>
      </c>
      <c r="U1095" s="5" t="s">
        <v>2342</v>
      </c>
      <c r="V1095" s="5" t="s">
        <v>2342</v>
      </c>
      <c r="W1095" s="5" t="s">
        <v>67</v>
      </c>
      <c r="X1095" s="5" t="s">
        <v>67</v>
      </c>
      <c r="Y1095" s="4">
        <v>183</v>
      </c>
      <c r="Z1095" s="4">
        <v>18</v>
      </c>
      <c r="AA1095" s="4">
        <v>21</v>
      </c>
      <c r="AB1095" s="4">
        <v>1</v>
      </c>
      <c r="AC1095" s="4">
        <v>4</v>
      </c>
      <c r="AD1095" s="4">
        <v>40</v>
      </c>
      <c r="AE1095" s="4">
        <v>41</v>
      </c>
      <c r="AF1095" s="4">
        <v>0</v>
      </c>
      <c r="AG1095" s="4">
        <v>1</v>
      </c>
      <c r="AH1095" s="4">
        <v>32</v>
      </c>
      <c r="AI1095" s="4">
        <v>33</v>
      </c>
      <c r="AJ1095" s="4">
        <v>7</v>
      </c>
      <c r="AK1095" s="4">
        <v>8</v>
      </c>
      <c r="AL1095" s="4">
        <v>16</v>
      </c>
      <c r="AM1095" s="4">
        <v>16</v>
      </c>
      <c r="AN1095" s="4">
        <v>0</v>
      </c>
      <c r="AO1095" s="4">
        <v>0</v>
      </c>
      <c r="AP1095" s="4">
        <v>12</v>
      </c>
      <c r="AQ1095" s="4">
        <v>13</v>
      </c>
      <c r="AR1095" s="3" t="s">
        <v>62</v>
      </c>
      <c r="AS1095" s="3" t="s">
        <v>62</v>
      </c>
      <c r="AT1095" s="3" t="s">
        <v>62</v>
      </c>
      <c r="AV1095" s="6" t="str">
        <f>HYPERLINK("http://mcgill.on.worldcat.org/oclc/76785710","Catalog Record")</f>
        <v>Catalog Record</v>
      </c>
      <c r="AW1095" s="6" t="str">
        <f>HYPERLINK("http://www.worldcat.org/oclc/76785710","WorldCat Record")</f>
        <v>WorldCat Record</v>
      </c>
      <c r="AX1095" s="3" t="s">
        <v>10940</v>
      </c>
      <c r="AY1095" s="3" t="s">
        <v>10941</v>
      </c>
      <c r="AZ1095" s="3" t="s">
        <v>10942</v>
      </c>
      <c r="BA1095" s="3" t="s">
        <v>10942</v>
      </c>
      <c r="BB1095" s="3" t="s">
        <v>10943</v>
      </c>
      <c r="BC1095" s="3" t="s">
        <v>102</v>
      </c>
      <c r="BD1095" s="3" t="s">
        <v>68</v>
      </c>
      <c r="BE1095" s="3" t="s">
        <v>10944</v>
      </c>
      <c r="BF1095" s="3" t="s">
        <v>10943</v>
      </c>
      <c r="BG1095" s="3" t="s">
        <v>10945</v>
      </c>
    </row>
    <row r="1096" spans="1:59" ht="58" x14ac:dyDescent="0.35">
      <c r="A1096" s="2" t="s">
        <v>89</v>
      </c>
      <c r="B1096" s="2" t="s">
        <v>90</v>
      </c>
      <c r="C1096" s="2" t="s">
        <v>10946</v>
      </c>
      <c r="D1096" s="2" t="s">
        <v>10947</v>
      </c>
      <c r="E1096" s="2" t="s">
        <v>10948</v>
      </c>
      <c r="G1096" s="3" t="s">
        <v>62</v>
      </c>
      <c r="I1096" s="3" t="s">
        <v>62</v>
      </c>
      <c r="J1096" s="3" t="s">
        <v>62</v>
      </c>
      <c r="K1096" s="3" t="s">
        <v>63</v>
      </c>
      <c r="M1096" s="2" t="s">
        <v>10949</v>
      </c>
      <c r="N1096" s="3" t="s">
        <v>640</v>
      </c>
      <c r="P1096" s="3" t="s">
        <v>64</v>
      </c>
      <c r="R1096" s="3" t="s">
        <v>65</v>
      </c>
      <c r="S1096" s="4">
        <v>5</v>
      </c>
      <c r="T1096" s="4">
        <v>5</v>
      </c>
      <c r="U1096" s="5" t="s">
        <v>10950</v>
      </c>
      <c r="V1096" s="5" t="s">
        <v>10950</v>
      </c>
      <c r="W1096" s="5" t="s">
        <v>67</v>
      </c>
      <c r="X1096" s="5" t="s">
        <v>67</v>
      </c>
      <c r="Y1096" s="4">
        <v>213</v>
      </c>
      <c r="Z1096" s="4">
        <v>20</v>
      </c>
      <c r="AA1096" s="4">
        <v>27</v>
      </c>
      <c r="AB1096" s="4">
        <v>2</v>
      </c>
      <c r="AC1096" s="4">
        <v>5</v>
      </c>
      <c r="AD1096" s="4">
        <v>79</v>
      </c>
      <c r="AE1096" s="4">
        <v>89</v>
      </c>
      <c r="AF1096" s="4">
        <v>1</v>
      </c>
      <c r="AG1096" s="4">
        <v>1</v>
      </c>
      <c r="AH1096" s="4">
        <v>68</v>
      </c>
      <c r="AI1096" s="4">
        <v>76</v>
      </c>
      <c r="AJ1096" s="4">
        <v>14</v>
      </c>
      <c r="AK1096" s="4">
        <v>16</v>
      </c>
      <c r="AL1096" s="4">
        <v>38</v>
      </c>
      <c r="AM1096" s="4">
        <v>41</v>
      </c>
      <c r="AN1096" s="4">
        <v>1</v>
      </c>
      <c r="AO1096" s="4">
        <v>1</v>
      </c>
      <c r="AP1096" s="4">
        <v>18</v>
      </c>
      <c r="AQ1096" s="4">
        <v>21</v>
      </c>
      <c r="AR1096" s="3" t="s">
        <v>62</v>
      </c>
      <c r="AS1096" s="3" t="s">
        <v>62</v>
      </c>
      <c r="AT1096" s="3" t="s">
        <v>61</v>
      </c>
      <c r="AU1096" s="6" t="str">
        <f>HYPERLINK("http://catalog.hathitrust.org/Record/004954823","HathiTrust Record")</f>
        <v>HathiTrust Record</v>
      </c>
      <c r="AV1096" s="6" t="str">
        <f>HYPERLINK("http://mcgill.on.worldcat.org/oclc/57320330","Catalog Record")</f>
        <v>Catalog Record</v>
      </c>
      <c r="AW1096" s="6" t="str">
        <f>HYPERLINK("http://www.worldcat.org/oclc/57320330","WorldCat Record")</f>
        <v>WorldCat Record</v>
      </c>
      <c r="AX1096" s="3" t="s">
        <v>10951</v>
      </c>
      <c r="AY1096" s="3" t="s">
        <v>10952</v>
      </c>
      <c r="AZ1096" s="3" t="s">
        <v>10953</v>
      </c>
      <c r="BA1096" s="3" t="s">
        <v>10953</v>
      </c>
      <c r="BB1096" s="3" t="s">
        <v>10954</v>
      </c>
      <c r="BC1096" s="3" t="s">
        <v>102</v>
      </c>
      <c r="BD1096" s="3" t="s">
        <v>68</v>
      </c>
      <c r="BE1096" s="3" t="s">
        <v>10955</v>
      </c>
      <c r="BF1096" s="3" t="s">
        <v>10954</v>
      </c>
      <c r="BG1096" s="3" t="s">
        <v>10956</v>
      </c>
    </row>
    <row r="1097" spans="1:59" ht="58" x14ac:dyDescent="0.35">
      <c r="A1097" s="2" t="s">
        <v>89</v>
      </c>
      <c r="B1097" s="2" t="s">
        <v>90</v>
      </c>
      <c r="C1097" s="2" t="s">
        <v>10957</v>
      </c>
      <c r="D1097" s="2" t="s">
        <v>10958</v>
      </c>
      <c r="E1097" s="2" t="s">
        <v>10959</v>
      </c>
      <c r="G1097" s="3" t="s">
        <v>62</v>
      </c>
      <c r="I1097" s="3" t="s">
        <v>61</v>
      </c>
      <c r="J1097" s="3" t="s">
        <v>62</v>
      </c>
      <c r="K1097" s="3" t="s">
        <v>63</v>
      </c>
      <c r="L1097" s="2" t="s">
        <v>10960</v>
      </c>
      <c r="M1097" s="2" t="s">
        <v>10961</v>
      </c>
      <c r="N1097" s="3" t="s">
        <v>466</v>
      </c>
      <c r="P1097" s="3" t="s">
        <v>64</v>
      </c>
      <c r="Q1097" s="2" t="s">
        <v>10962</v>
      </c>
      <c r="R1097" s="3" t="s">
        <v>65</v>
      </c>
      <c r="S1097" s="4">
        <v>12</v>
      </c>
      <c r="T1097" s="4">
        <v>16</v>
      </c>
      <c r="U1097" s="5" t="s">
        <v>2342</v>
      </c>
      <c r="V1097" s="5" t="s">
        <v>2342</v>
      </c>
      <c r="W1097" s="5" t="s">
        <v>67</v>
      </c>
      <c r="X1097" s="5" t="s">
        <v>67</v>
      </c>
      <c r="Y1097" s="4">
        <v>529</v>
      </c>
      <c r="Z1097" s="4">
        <v>33</v>
      </c>
      <c r="AA1097" s="4">
        <v>55</v>
      </c>
      <c r="AB1097" s="4">
        <v>3</v>
      </c>
      <c r="AC1097" s="4">
        <v>11</v>
      </c>
      <c r="AD1097" s="4">
        <v>114</v>
      </c>
      <c r="AE1097" s="4">
        <v>140</v>
      </c>
      <c r="AF1097" s="4">
        <v>1</v>
      </c>
      <c r="AG1097" s="4">
        <v>6</v>
      </c>
      <c r="AH1097" s="4">
        <v>94</v>
      </c>
      <c r="AI1097" s="4">
        <v>107</v>
      </c>
      <c r="AJ1097" s="4">
        <v>19</v>
      </c>
      <c r="AK1097" s="4">
        <v>28</v>
      </c>
      <c r="AL1097" s="4">
        <v>51</v>
      </c>
      <c r="AM1097" s="4">
        <v>55</v>
      </c>
      <c r="AN1097" s="4">
        <v>0</v>
      </c>
      <c r="AO1097" s="4">
        <v>0</v>
      </c>
      <c r="AP1097" s="4">
        <v>25</v>
      </c>
      <c r="AQ1097" s="4">
        <v>41</v>
      </c>
      <c r="AR1097" s="3" t="s">
        <v>62</v>
      </c>
      <c r="AS1097" s="3" t="s">
        <v>62</v>
      </c>
      <c r="AT1097" s="3" t="s">
        <v>61</v>
      </c>
      <c r="AU1097" s="6" t="str">
        <f>HYPERLINK("http://catalog.hathitrust.org/Record/002573942","HathiTrust Record")</f>
        <v>HathiTrust Record</v>
      </c>
      <c r="AV1097" s="6" t="str">
        <f>HYPERLINK("http://mcgill.on.worldcat.org/oclc/25746845","Catalog Record")</f>
        <v>Catalog Record</v>
      </c>
      <c r="AW1097" s="6" t="str">
        <f>HYPERLINK("http://www.worldcat.org/oclc/25746845","WorldCat Record")</f>
        <v>WorldCat Record</v>
      </c>
      <c r="AX1097" s="3" t="s">
        <v>10963</v>
      </c>
      <c r="AY1097" s="3" t="s">
        <v>10964</v>
      </c>
      <c r="AZ1097" s="3" t="s">
        <v>10965</v>
      </c>
      <c r="BA1097" s="3" t="s">
        <v>10965</v>
      </c>
      <c r="BB1097" s="3" t="s">
        <v>10966</v>
      </c>
      <c r="BC1097" s="3" t="s">
        <v>102</v>
      </c>
      <c r="BD1097" s="3" t="s">
        <v>68</v>
      </c>
      <c r="BE1097" s="3" t="s">
        <v>10967</v>
      </c>
      <c r="BF1097" s="3" t="s">
        <v>10966</v>
      </c>
      <c r="BG1097" s="3" t="s">
        <v>10968</v>
      </c>
    </row>
    <row r="1098" spans="1:59" ht="58" x14ac:dyDescent="0.35">
      <c r="A1098" s="2" t="s">
        <v>89</v>
      </c>
      <c r="B1098" s="2" t="s">
        <v>6791</v>
      </c>
      <c r="C1098" s="2" t="s">
        <v>10957</v>
      </c>
      <c r="D1098" s="2" t="s">
        <v>10958</v>
      </c>
      <c r="E1098" s="2" t="s">
        <v>10959</v>
      </c>
      <c r="G1098" s="3" t="s">
        <v>62</v>
      </c>
      <c r="I1098" s="3" t="s">
        <v>61</v>
      </c>
      <c r="J1098" s="3" t="s">
        <v>62</v>
      </c>
      <c r="K1098" s="3" t="s">
        <v>63</v>
      </c>
      <c r="L1098" s="2" t="s">
        <v>10960</v>
      </c>
      <c r="M1098" s="2" t="s">
        <v>10961</v>
      </c>
      <c r="N1098" s="3" t="s">
        <v>466</v>
      </c>
      <c r="P1098" s="3" t="s">
        <v>64</v>
      </c>
      <c r="Q1098" s="2" t="s">
        <v>10962</v>
      </c>
      <c r="R1098" s="3" t="s">
        <v>65</v>
      </c>
      <c r="S1098" s="4">
        <v>4</v>
      </c>
      <c r="T1098" s="4">
        <v>16</v>
      </c>
      <c r="U1098" s="5" t="s">
        <v>10969</v>
      </c>
      <c r="V1098" s="5" t="s">
        <v>2342</v>
      </c>
      <c r="W1098" s="5" t="s">
        <v>67</v>
      </c>
      <c r="X1098" s="5" t="s">
        <v>67</v>
      </c>
      <c r="Y1098" s="4">
        <v>529</v>
      </c>
      <c r="Z1098" s="4">
        <v>33</v>
      </c>
      <c r="AA1098" s="4">
        <v>55</v>
      </c>
      <c r="AB1098" s="4">
        <v>3</v>
      </c>
      <c r="AC1098" s="4">
        <v>11</v>
      </c>
      <c r="AD1098" s="4">
        <v>114</v>
      </c>
      <c r="AE1098" s="4">
        <v>140</v>
      </c>
      <c r="AF1098" s="4">
        <v>1</v>
      </c>
      <c r="AG1098" s="4">
        <v>6</v>
      </c>
      <c r="AH1098" s="4">
        <v>94</v>
      </c>
      <c r="AI1098" s="4">
        <v>107</v>
      </c>
      <c r="AJ1098" s="4">
        <v>19</v>
      </c>
      <c r="AK1098" s="4">
        <v>28</v>
      </c>
      <c r="AL1098" s="4">
        <v>51</v>
      </c>
      <c r="AM1098" s="4">
        <v>55</v>
      </c>
      <c r="AN1098" s="4">
        <v>0</v>
      </c>
      <c r="AO1098" s="4">
        <v>0</v>
      </c>
      <c r="AP1098" s="4">
        <v>25</v>
      </c>
      <c r="AQ1098" s="4">
        <v>41</v>
      </c>
      <c r="AR1098" s="3" t="s">
        <v>62</v>
      </c>
      <c r="AS1098" s="3" t="s">
        <v>62</v>
      </c>
      <c r="AT1098" s="3" t="s">
        <v>61</v>
      </c>
      <c r="AU1098" s="6" t="str">
        <f>HYPERLINK("http://catalog.hathitrust.org/Record/002573942","HathiTrust Record")</f>
        <v>HathiTrust Record</v>
      </c>
      <c r="AV1098" s="6" t="str">
        <f>HYPERLINK("http://mcgill.on.worldcat.org/oclc/25746845","Catalog Record")</f>
        <v>Catalog Record</v>
      </c>
      <c r="AW1098" s="6" t="str">
        <f>HYPERLINK("http://www.worldcat.org/oclc/25746845","WorldCat Record")</f>
        <v>WorldCat Record</v>
      </c>
      <c r="AX1098" s="3" t="s">
        <v>10963</v>
      </c>
      <c r="AY1098" s="3" t="s">
        <v>10964</v>
      </c>
      <c r="AZ1098" s="3" t="s">
        <v>10965</v>
      </c>
      <c r="BA1098" s="3" t="s">
        <v>10965</v>
      </c>
      <c r="BB1098" s="3" t="s">
        <v>10970</v>
      </c>
      <c r="BC1098" s="3" t="s">
        <v>102</v>
      </c>
      <c r="BD1098" s="3" t="s">
        <v>68</v>
      </c>
      <c r="BE1098" s="3" t="s">
        <v>10967</v>
      </c>
      <c r="BF1098" s="3" t="s">
        <v>10970</v>
      </c>
      <c r="BG1098" s="3" t="s">
        <v>10971</v>
      </c>
    </row>
    <row r="1099" spans="1:59" ht="58" x14ac:dyDescent="0.35">
      <c r="A1099" s="2" t="s">
        <v>89</v>
      </c>
      <c r="B1099" s="2" t="s">
        <v>90</v>
      </c>
      <c r="C1099" s="2" t="s">
        <v>10972</v>
      </c>
      <c r="D1099" s="2" t="s">
        <v>10973</v>
      </c>
      <c r="E1099" s="2" t="s">
        <v>10974</v>
      </c>
      <c r="G1099" s="3" t="s">
        <v>62</v>
      </c>
      <c r="I1099" s="3" t="s">
        <v>61</v>
      </c>
      <c r="J1099" s="3" t="s">
        <v>61</v>
      </c>
      <c r="K1099" s="3" t="s">
        <v>63</v>
      </c>
      <c r="L1099" s="2" t="s">
        <v>10178</v>
      </c>
      <c r="M1099" s="2" t="s">
        <v>10975</v>
      </c>
      <c r="N1099" s="3" t="s">
        <v>568</v>
      </c>
      <c r="O1099" s="2" t="s">
        <v>10722</v>
      </c>
      <c r="P1099" s="3" t="s">
        <v>64</v>
      </c>
      <c r="R1099" s="3" t="s">
        <v>65</v>
      </c>
      <c r="S1099" s="4">
        <v>24</v>
      </c>
      <c r="T1099" s="4">
        <v>24</v>
      </c>
      <c r="U1099" s="5" t="s">
        <v>10976</v>
      </c>
      <c r="V1099" s="5" t="s">
        <v>10976</v>
      </c>
      <c r="W1099" s="5" t="s">
        <v>67</v>
      </c>
      <c r="X1099" s="5" t="s">
        <v>67</v>
      </c>
      <c r="Y1099" s="4">
        <v>788</v>
      </c>
      <c r="Z1099" s="4">
        <v>53</v>
      </c>
      <c r="AA1099" s="4">
        <v>105</v>
      </c>
      <c r="AB1099" s="4">
        <v>4</v>
      </c>
      <c r="AC1099" s="4">
        <v>18</v>
      </c>
      <c r="AD1099" s="4">
        <v>126</v>
      </c>
      <c r="AE1099" s="4">
        <v>167</v>
      </c>
      <c r="AF1099" s="4">
        <v>2</v>
      </c>
      <c r="AG1099" s="4">
        <v>11</v>
      </c>
      <c r="AH1099" s="4">
        <v>101</v>
      </c>
      <c r="AI1099" s="4">
        <v>118</v>
      </c>
      <c r="AJ1099" s="4">
        <v>21</v>
      </c>
      <c r="AK1099" s="4">
        <v>27</v>
      </c>
      <c r="AL1099" s="4">
        <v>53</v>
      </c>
      <c r="AM1099" s="4">
        <v>62</v>
      </c>
      <c r="AN1099" s="4">
        <v>0</v>
      </c>
      <c r="AO1099" s="4">
        <v>0</v>
      </c>
      <c r="AP1099" s="4">
        <v>34</v>
      </c>
      <c r="AQ1099" s="4">
        <v>56</v>
      </c>
      <c r="AR1099" s="3" t="s">
        <v>62</v>
      </c>
      <c r="AS1099" s="3" t="s">
        <v>62</v>
      </c>
      <c r="AT1099" s="3" t="s">
        <v>62</v>
      </c>
      <c r="AV1099" s="6" t="str">
        <f>HYPERLINK("http://mcgill.on.worldcat.org/oclc/41503072","Catalog Record")</f>
        <v>Catalog Record</v>
      </c>
      <c r="AW1099" s="6" t="str">
        <f>HYPERLINK("http://www.worldcat.org/oclc/41503072","WorldCat Record")</f>
        <v>WorldCat Record</v>
      </c>
      <c r="AX1099" s="3" t="s">
        <v>10977</v>
      </c>
      <c r="AY1099" s="3" t="s">
        <v>10978</v>
      </c>
      <c r="AZ1099" s="3" t="s">
        <v>10979</v>
      </c>
      <c r="BA1099" s="3" t="s">
        <v>10979</v>
      </c>
      <c r="BB1099" s="3" t="s">
        <v>10980</v>
      </c>
      <c r="BC1099" s="3" t="s">
        <v>102</v>
      </c>
      <c r="BD1099" s="3" t="s">
        <v>68</v>
      </c>
      <c r="BE1099" s="3" t="s">
        <v>10981</v>
      </c>
      <c r="BF1099" s="3" t="s">
        <v>10980</v>
      </c>
      <c r="BG1099" s="3" t="s">
        <v>10982</v>
      </c>
    </row>
    <row r="1100" spans="1:59" ht="58" x14ac:dyDescent="0.35">
      <c r="A1100" s="2" t="s">
        <v>89</v>
      </c>
      <c r="B1100" s="2" t="s">
        <v>6791</v>
      </c>
      <c r="C1100" s="2" t="s">
        <v>10983</v>
      </c>
      <c r="D1100" s="2" t="s">
        <v>10984</v>
      </c>
      <c r="E1100" s="2" t="s">
        <v>10985</v>
      </c>
      <c r="G1100" s="3" t="s">
        <v>62</v>
      </c>
      <c r="I1100" s="3" t="s">
        <v>62</v>
      </c>
      <c r="J1100" s="3" t="s">
        <v>62</v>
      </c>
      <c r="K1100" s="3" t="s">
        <v>63</v>
      </c>
      <c r="L1100" s="2" t="s">
        <v>10986</v>
      </c>
      <c r="M1100" s="2" t="s">
        <v>10987</v>
      </c>
      <c r="N1100" s="3" t="s">
        <v>539</v>
      </c>
      <c r="P1100" s="3" t="s">
        <v>64</v>
      </c>
      <c r="R1100" s="3" t="s">
        <v>65</v>
      </c>
      <c r="S1100" s="4">
        <v>37</v>
      </c>
      <c r="T1100" s="4">
        <v>37</v>
      </c>
      <c r="U1100" s="5" t="s">
        <v>10772</v>
      </c>
      <c r="V1100" s="5" t="s">
        <v>10772</v>
      </c>
      <c r="W1100" s="5" t="s">
        <v>67</v>
      </c>
      <c r="X1100" s="5" t="s">
        <v>67</v>
      </c>
      <c r="Y1100" s="4">
        <v>115</v>
      </c>
      <c r="Z1100" s="4">
        <v>10</v>
      </c>
      <c r="AA1100" s="4">
        <v>12</v>
      </c>
      <c r="AB1100" s="4">
        <v>1</v>
      </c>
      <c r="AC1100" s="4">
        <v>3</v>
      </c>
      <c r="AD1100" s="4">
        <v>49</v>
      </c>
      <c r="AE1100" s="4">
        <v>49</v>
      </c>
      <c r="AF1100" s="4">
        <v>0</v>
      </c>
      <c r="AG1100" s="4">
        <v>0</v>
      </c>
      <c r="AH1100" s="4">
        <v>43</v>
      </c>
      <c r="AI1100" s="4">
        <v>43</v>
      </c>
      <c r="AJ1100" s="4">
        <v>7</v>
      </c>
      <c r="AK1100" s="4">
        <v>7</v>
      </c>
      <c r="AL1100" s="4">
        <v>20</v>
      </c>
      <c r="AM1100" s="4">
        <v>20</v>
      </c>
      <c r="AN1100" s="4">
        <v>0</v>
      </c>
      <c r="AO1100" s="4">
        <v>0</v>
      </c>
      <c r="AP1100" s="4">
        <v>7</v>
      </c>
      <c r="AQ1100" s="4">
        <v>7</v>
      </c>
      <c r="AR1100" s="3" t="s">
        <v>62</v>
      </c>
      <c r="AS1100" s="3" t="s">
        <v>62</v>
      </c>
      <c r="AT1100" s="3" t="s">
        <v>62</v>
      </c>
      <c r="AV1100" s="6" t="str">
        <f>HYPERLINK("http://mcgill.on.worldcat.org/oclc/38478442","Catalog Record")</f>
        <v>Catalog Record</v>
      </c>
      <c r="AW1100" s="6" t="str">
        <f>HYPERLINK("http://www.worldcat.org/oclc/38478442","WorldCat Record")</f>
        <v>WorldCat Record</v>
      </c>
      <c r="AX1100" s="3" t="s">
        <v>10988</v>
      </c>
      <c r="AY1100" s="3" t="s">
        <v>10989</v>
      </c>
      <c r="AZ1100" s="3" t="s">
        <v>10990</v>
      </c>
      <c r="BA1100" s="3" t="s">
        <v>10990</v>
      </c>
      <c r="BB1100" s="3" t="s">
        <v>10991</v>
      </c>
      <c r="BC1100" s="3" t="s">
        <v>102</v>
      </c>
      <c r="BD1100" s="3" t="s">
        <v>68</v>
      </c>
      <c r="BE1100" s="3" t="s">
        <v>10992</v>
      </c>
      <c r="BF1100" s="3" t="s">
        <v>10991</v>
      </c>
      <c r="BG1100" s="3" t="s">
        <v>10993</v>
      </c>
    </row>
    <row r="1101" spans="1:59" ht="58" x14ac:dyDescent="0.35">
      <c r="A1101" s="2" t="s">
        <v>89</v>
      </c>
      <c r="B1101" s="2" t="s">
        <v>90</v>
      </c>
      <c r="C1101" s="2" t="s">
        <v>10994</v>
      </c>
      <c r="D1101" s="2" t="s">
        <v>10995</v>
      </c>
      <c r="E1101" s="2" t="s">
        <v>10996</v>
      </c>
      <c r="G1101" s="3" t="s">
        <v>62</v>
      </c>
      <c r="I1101" s="3" t="s">
        <v>62</v>
      </c>
      <c r="J1101" s="3" t="s">
        <v>62</v>
      </c>
      <c r="K1101" s="3" t="s">
        <v>63</v>
      </c>
      <c r="L1101" s="2" t="s">
        <v>10997</v>
      </c>
      <c r="M1101" s="2" t="s">
        <v>10998</v>
      </c>
      <c r="N1101" s="3" t="s">
        <v>1195</v>
      </c>
      <c r="P1101" s="3" t="s">
        <v>64</v>
      </c>
      <c r="R1101" s="3" t="s">
        <v>65</v>
      </c>
      <c r="S1101" s="4">
        <v>3</v>
      </c>
      <c r="T1101" s="4">
        <v>3</v>
      </c>
      <c r="U1101" s="5" t="s">
        <v>10999</v>
      </c>
      <c r="V1101" s="5" t="s">
        <v>10999</v>
      </c>
      <c r="W1101" s="5" t="s">
        <v>67</v>
      </c>
      <c r="X1101" s="5" t="s">
        <v>67</v>
      </c>
      <c r="Y1101" s="4">
        <v>347</v>
      </c>
      <c r="Z1101" s="4">
        <v>20</v>
      </c>
      <c r="AA1101" s="4">
        <v>60</v>
      </c>
      <c r="AB1101" s="4">
        <v>2</v>
      </c>
      <c r="AC1101" s="4">
        <v>9</v>
      </c>
      <c r="AD1101" s="4">
        <v>60</v>
      </c>
      <c r="AE1101" s="4">
        <v>93</v>
      </c>
      <c r="AF1101" s="4">
        <v>0</v>
      </c>
      <c r="AG1101" s="4">
        <v>2</v>
      </c>
      <c r="AH1101" s="4">
        <v>53</v>
      </c>
      <c r="AI1101" s="4">
        <v>75</v>
      </c>
      <c r="AJ1101" s="4">
        <v>11</v>
      </c>
      <c r="AK1101" s="4">
        <v>18</v>
      </c>
      <c r="AL1101" s="4">
        <v>24</v>
      </c>
      <c r="AM1101" s="4">
        <v>35</v>
      </c>
      <c r="AN1101" s="4">
        <v>0</v>
      </c>
      <c r="AO1101" s="4">
        <v>0</v>
      </c>
      <c r="AP1101" s="4">
        <v>14</v>
      </c>
      <c r="AQ1101" s="4">
        <v>27</v>
      </c>
      <c r="AR1101" s="3" t="s">
        <v>62</v>
      </c>
      <c r="AS1101" s="3" t="s">
        <v>62</v>
      </c>
      <c r="AT1101" s="3" t="s">
        <v>62</v>
      </c>
      <c r="AV1101" s="6" t="str">
        <f>HYPERLINK("http://mcgill.on.worldcat.org/oclc/68968777","Catalog Record")</f>
        <v>Catalog Record</v>
      </c>
      <c r="AW1101" s="6" t="str">
        <f>HYPERLINK("http://www.worldcat.org/oclc/68968777","WorldCat Record")</f>
        <v>WorldCat Record</v>
      </c>
      <c r="AX1101" s="3" t="s">
        <v>11000</v>
      </c>
      <c r="AY1101" s="3" t="s">
        <v>11001</v>
      </c>
      <c r="AZ1101" s="3" t="s">
        <v>11002</v>
      </c>
      <c r="BA1101" s="3" t="s">
        <v>11002</v>
      </c>
      <c r="BB1101" s="3" t="s">
        <v>11003</v>
      </c>
      <c r="BC1101" s="3" t="s">
        <v>102</v>
      </c>
      <c r="BD1101" s="3" t="s">
        <v>68</v>
      </c>
      <c r="BE1101" s="3" t="s">
        <v>11004</v>
      </c>
      <c r="BF1101" s="3" t="s">
        <v>11003</v>
      </c>
      <c r="BG1101" s="3" t="s">
        <v>11005</v>
      </c>
    </row>
    <row r="1102" spans="1:59" ht="58" x14ac:dyDescent="0.35">
      <c r="A1102" s="2" t="s">
        <v>89</v>
      </c>
      <c r="B1102" s="2" t="s">
        <v>90</v>
      </c>
      <c r="C1102" s="2" t="s">
        <v>11006</v>
      </c>
      <c r="D1102" s="2" t="s">
        <v>11007</v>
      </c>
      <c r="E1102" s="2" t="s">
        <v>11008</v>
      </c>
      <c r="G1102" s="3" t="s">
        <v>62</v>
      </c>
      <c r="I1102" s="3" t="s">
        <v>62</v>
      </c>
      <c r="J1102" s="3" t="s">
        <v>62</v>
      </c>
      <c r="K1102" s="3" t="s">
        <v>63</v>
      </c>
      <c r="M1102" s="2" t="s">
        <v>11009</v>
      </c>
      <c r="N1102" s="3" t="s">
        <v>1455</v>
      </c>
      <c r="P1102" s="3" t="s">
        <v>64</v>
      </c>
      <c r="Q1102" s="2" t="s">
        <v>11010</v>
      </c>
      <c r="R1102" s="3" t="s">
        <v>65</v>
      </c>
      <c r="S1102" s="4">
        <v>3</v>
      </c>
      <c r="T1102" s="4">
        <v>3</v>
      </c>
      <c r="U1102" s="5" t="s">
        <v>1894</v>
      </c>
      <c r="V1102" s="5" t="s">
        <v>1894</v>
      </c>
      <c r="W1102" s="5" t="s">
        <v>67</v>
      </c>
      <c r="X1102" s="5" t="s">
        <v>67</v>
      </c>
      <c r="Y1102" s="4">
        <v>123</v>
      </c>
      <c r="Z1102" s="4">
        <v>7</v>
      </c>
      <c r="AA1102" s="4">
        <v>18</v>
      </c>
      <c r="AB1102" s="4">
        <v>1</v>
      </c>
      <c r="AC1102" s="4">
        <v>6</v>
      </c>
      <c r="AD1102" s="4">
        <v>24</v>
      </c>
      <c r="AE1102" s="4">
        <v>44</v>
      </c>
      <c r="AF1102" s="4">
        <v>0</v>
      </c>
      <c r="AG1102" s="4">
        <v>2</v>
      </c>
      <c r="AH1102" s="4">
        <v>21</v>
      </c>
      <c r="AI1102" s="4">
        <v>36</v>
      </c>
      <c r="AJ1102" s="4">
        <v>2</v>
      </c>
      <c r="AK1102" s="4">
        <v>7</v>
      </c>
      <c r="AL1102" s="4">
        <v>16</v>
      </c>
      <c r="AM1102" s="4">
        <v>23</v>
      </c>
      <c r="AN1102" s="4">
        <v>0</v>
      </c>
      <c r="AO1102" s="4">
        <v>0</v>
      </c>
      <c r="AP1102" s="4">
        <v>4</v>
      </c>
      <c r="AQ1102" s="4">
        <v>12</v>
      </c>
      <c r="AR1102" s="3" t="s">
        <v>62</v>
      </c>
      <c r="AS1102" s="3" t="s">
        <v>62</v>
      </c>
      <c r="AT1102" s="3" t="s">
        <v>62</v>
      </c>
      <c r="AV1102" s="6" t="str">
        <f>HYPERLINK("http://mcgill.on.worldcat.org/oclc/890107073","Catalog Record")</f>
        <v>Catalog Record</v>
      </c>
      <c r="AW1102" s="6" t="str">
        <f>HYPERLINK("http://www.worldcat.org/oclc/890107073","WorldCat Record")</f>
        <v>WorldCat Record</v>
      </c>
      <c r="AX1102" s="3" t="s">
        <v>11011</v>
      </c>
      <c r="AY1102" s="3" t="s">
        <v>11012</v>
      </c>
      <c r="AZ1102" s="3" t="s">
        <v>11013</v>
      </c>
      <c r="BA1102" s="3" t="s">
        <v>11013</v>
      </c>
      <c r="BB1102" s="3" t="s">
        <v>11014</v>
      </c>
      <c r="BC1102" s="3" t="s">
        <v>102</v>
      </c>
      <c r="BD1102" s="3" t="s">
        <v>68</v>
      </c>
      <c r="BE1102" s="3" t="s">
        <v>11015</v>
      </c>
      <c r="BF1102" s="3" t="s">
        <v>11014</v>
      </c>
      <c r="BG1102" s="3" t="s">
        <v>11016</v>
      </c>
    </row>
    <row r="1103" spans="1:59" ht="58" x14ac:dyDescent="0.35">
      <c r="A1103" s="2" t="s">
        <v>89</v>
      </c>
      <c r="B1103" s="2" t="s">
        <v>90</v>
      </c>
      <c r="C1103" s="2" t="s">
        <v>11017</v>
      </c>
      <c r="D1103" s="2" t="s">
        <v>11018</v>
      </c>
      <c r="E1103" s="2" t="s">
        <v>11019</v>
      </c>
      <c r="G1103" s="3" t="s">
        <v>62</v>
      </c>
      <c r="I1103" s="3" t="s">
        <v>62</v>
      </c>
      <c r="J1103" s="3" t="s">
        <v>62</v>
      </c>
      <c r="K1103" s="3" t="s">
        <v>63</v>
      </c>
      <c r="L1103" s="2" t="s">
        <v>11020</v>
      </c>
      <c r="M1103" s="2" t="s">
        <v>11021</v>
      </c>
      <c r="N1103" s="3" t="s">
        <v>481</v>
      </c>
      <c r="P1103" s="3" t="s">
        <v>64</v>
      </c>
      <c r="Q1103" s="2" t="s">
        <v>11022</v>
      </c>
      <c r="R1103" s="3" t="s">
        <v>65</v>
      </c>
      <c r="S1103" s="4">
        <v>5</v>
      </c>
      <c r="T1103" s="4">
        <v>5</v>
      </c>
      <c r="U1103" s="5" t="s">
        <v>11023</v>
      </c>
      <c r="V1103" s="5" t="s">
        <v>11023</v>
      </c>
      <c r="W1103" s="5" t="s">
        <v>67</v>
      </c>
      <c r="X1103" s="5" t="s">
        <v>67</v>
      </c>
      <c r="Y1103" s="4">
        <v>291</v>
      </c>
      <c r="Z1103" s="4">
        <v>25</v>
      </c>
      <c r="AA1103" s="4">
        <v>26</v>
      </c>
      <c r="AB1103" s="4">
        <v>2</v>
      </c>
      <c r="AC1103" s="4">
        <v>3</v>
      </c>
      <c r="AD1103" s="4">
        <v>82</v>
      </c>
      <c r="AE1103" s="4">
        <v>83</v>
      </c>
      <c r="AF1103" s="4">
        <v>1</v>
      </c>
      <c r="AG1103" s="4">
        <v>2</v>
      </c>
      <c r="AH1103" s="4">
        <v>68</v>
      </c>
      <c r="AI1103" s="4">
        <v>69</v>
      </c>
      <c r="AJ1103" s="4">
        <v>14</v>
      </c>
      <c r="AK1103" s="4">
        <v>15</v>
      </c>
      <c r="AL1103" s="4">
        <v>34</v>
      </c>
      <c r="AM1103" s="4">
        <v>34</v>
      </c>
      <c r="AN1103" s="4">
        <v>0</v>
      </c>
      <c r="AO1103" s="4">
        <v>0</v>
      </c>
      <c r="AP1103" s="4">
        <v>19</v>
      </c>
      <c r="AQ1103" s="4">
        <v>20</v>
      </c>
      <c r="AR1103" s="3" t="s">
        <v>62</v>
      </c>
      <c r="AS1103" s="3" t="s">
        <v>62</v>
      </c>
      <c r="AT1103" s="3" t="s">
        <v>61</v>
      </c>
      <c r="AU1103" s="6" t="str">
        <f>HYPERLINK("http://catalog.hathitrust.org/Record/003957287","HathiTrust Record")</f>
        <v>HathiTrust Record</v>
      </c>
      <c r="AV1103" s="6" t="str">
        <f>HYPERLINK("http://mcgill.on.worldcat.org/oclc/36178585","Catalog Record")</f>
        <v>Catalog Record</v>
      </c>
      <c r="AW1103" s="6" t="str">
        <f>HYPERLINK("http://www.worldcat.org/oclc/36178585","WorldCat Record")</f>
        <v>WorldCat Record</v>
      </c>
      <c r="AX1103" s="3" t="s">
        <v>11024</v>
      </c>
      <c r="AY1103" s="3" t="s">
        <v>11025</v>
      </c>
      <c r="AZ1103" s="3" t="s">
        <v>11026</v>
      </c>
      <c r="BA1103" s="3" t="s">
        <v>11026</v>
      </c>
      <c r="BB1103" s="3" t="s">
        <v>11027</v>
      </c>
      <c r="BC1103" s="3" t="s">
        <v>102</v>
      </c>
      <c r="BD1103" s="3" t="s">
        <v>68</v>
      </c>
      <c r="BE1103" s="3" t="s">
        <v>11028</v>
      </c>
      <c r="BF1103" s="3" t="s">
        <v>11027</v>
      </c>
      <c r="BG1103" s="3" t="s">
        <v>11029</v>
      </c>
    </row>
    <row r="1104" spans="1:59" ht="58" x14ac:dyDescent="0.35">
      <c r="A1104" s="2" t="s">
        <v>89</v>
      </c>
      <c r="B1104" s="2" t="s">
        <v>90</v>
      </c>
      <c r="C1104" s="2" t="s">
        <v>11030</v>
      </c>
      <c r="D1104" s="2" t="s">
        <v>11031</v>
      </c>
      <c r="E1104" s="2" t="s">
        <v>11032</v>
      </c>
      <c r="G1104" s="3" t="s">
        <v>62</v>
      </c>
      <c r="I1104" s="3" t="s">
        <v>62</v>
      </c>
      <c r="J1104" s="3" t="s">
        <v>62</v>
      </c>
      <c r="K1104" s="3" t="s">
        <v>63</v>
      </c>
      <c r="M1104" s="2" t="s">
        <v>11033</v>
      </c>
      <c r="N1104" s="3" t="s">
        <v>698</v>
      </c>
      <c r="P1104" s="3" t="s">
        <v>64</v>
      </c>
      <c r="R1104" s="3" t="s">
        <v>65</v>
      </c>
      <c r="S1104" s="4">
        <v>10</v>
      </c>
      <c r="T1104" s="4">
        <v>10</v>
      </c>
      <c r="U1104" s="5" t="s">
        <v>11034</v>
      </c>
      <c r="V1104" s="5" t="s">
        <v>11034</v>
      </c>
      <c r="W1104" s="5" t="s">
        <v>67</v>
      </c>
      <c r="X1104" s="5" t="s">
        <v>67</v>
      </c>
      <c r="Y1104" s="4">
        <v>398</v>
      </c>
      <c r="Z1104" s="4">
        <v>28</v>
      </c>
      <c r="AA1104" s="4">
        <v>33</v>
      </c>
      <c r="AB1104" s="4">
        <v>2</v>
      </c>
      <c r="AC1104" s="4">
        <v>6</v>
      </c>
      <c r="AD1104" s="4">
        <v>91</v>
      </c>
      <c r="AE1104" s="4">
        <v>95</v>
      </c>
      <c r="AF1104" s="4">
        <v>1</v>
      </c>
      <c r="AG1104" s="4">
        <v>3</v>
      </c>
      <c r="AH1104" s="4">
        <v>77</v>
      </c>
      <c r="AI1104" s="4">
        <v>78</v>
      </c>
      <c r="AJ1104" s="4">
        <v>15</v>
      </c>
      <c r="AK1104" s="4">
        <v>17</v>
      </c>
      <c r="AL1104" s="4">
        <v>39</v>
      </c>
      <c r="AM1104" s="4">
        <v>40</v>
      </c>
      <c r="AN1104" s="4">
        <v>0</v>
      </c>
      <c r="AO1104" s="4">
        <v>0</v>
      </c>
      <c r="AP1104" s="4">
        <v>22</v>
      </c>
      <c r="AQ1104" s="4">
        <v>24</v>
      </c>
      <c r="AR1104" s="3" t="s">
        <v>62</v>
      </c>
      <c r="AS1104" s="3" t="s">
        <v>62</v>
      </c>
      <c r="AT1104" s="3" t="s">
        <v>62</v>
      </c>
      <c r="AV1104" s="6" t="str">
        <f>HYPERLINK("http://mcgill.on.worldcat.org/oclc/805892322","Catalog Record")</f>
        <v>Catalog Record</v>
      </c>
      <c r="AW1104" s="6" t="str">
        <f>HYPERLINK("http://www.worldcat.org/oclc/805892322","WorldCat Record")</f>
        <v>WorldCat Record</v>
      </c>
      <c r="AX1104" s="3" t="s">
        <v>11035</v>
      </c>
      <c r="AY1104" s="3" t="s">
        <v>11036</v>
      </c>
      <c r="AZ1104" s="3" t="s">
        <v>11037</v>
      </c>
      <c r="BA1104" s="3" t="s">
        <v>11037</v>
      </c>
      <c r="BB1104" s="3" t="s">
        <v>11038</v>
      </c>
      <c r="BC1104" s="3" t="s">
        <v>102</v>
      </c>
      <c r="BD1104" s="3" t="s">
        <v>68</v>
      </c>
      <c r="BE1104" s="3" t="s">
        <v>11039</v>
      </c>
      <c r="BF1104" s="3" t="s">
        <v>11038</v>
      </c>
      <c r="BG1104" s="3" t="s">
        <v>11040</v>
      </c>
    </row>
    <row r="1105" spans="1:59" ht="58" x14ac:dyDescent="0.35">
      <c r="A1105" s="2" t="s">
        <v>89</v>
      </c>
      <c r="B1105" s="2" t="s">
        <v>90</v>
      </c>
      <c r="C1105" s="2" t="s">
        <v>11041</v>
      </c>
      <c r="D1105" s="2" t="s">
        <v>11042</v>
      </c>
      <c r="E1105" s="2" t="s">
        <v>11043</v>
      </c>
      <c r="G1105" s="3" t="s">
        <v>62</v>
      </c>
      <c r="I1105" s="3" t="s">
        <v>62</v>
      </c>
      <c r="J1105" s="3" t="s">
        <v>61</v>
      </c>
      <c r="K1105" s="3" t="s">
        <v>63</v>
      </c>
      <c r="L1105" s="2" t="s">
        <v>11044</v>
      </c>
      <c r="M1105" s="2" t="s">
        <v>11045</v>
      </c>
      <c r="N1105" s="3" t="s">
        <v>625</v>
      </c>
      <c r="O1105" s="2" t="s">
        <v>2458</v>
      </c>
      <c r="P1105" s="3" t="s">
        <v>64</v>
      </c>
      <c r="R1105" s="3" t="s">
        <v>65</v>
      </c>
      <c r="S1105" s="4">
        <v>2</v>
      </c>
      <c r="T1105" s="4">
        <v>2</v>
      </c>
      <c r="U1105" s="5" t="s">
        <v>11046</v>
      </c>
      <c r="V1105" s="5" t="s">
        <v>11046</v>
      </c>
      <c r="W1105" s="5" t="s">
        <v>67</v>
      </c>
      <c r="X1105" s="5" t="s">
        <v>67</v>
      </c>
      <c r="Y1105" s="4">
        <v>193</v>
      </c>
      <c r="Z1105" s="4">
        <v>14</v>
      </c>
      <c r="AA1105" s="4">
        <v>40</v>
      </c>
      <c r="AB1105" s="4">
        <v>2</v>
      </c>
      <c r="AC1105" s="4">
        <v>7</v>
      </c>
      <c r="AD1105" s="4">
        <v>30</v>
      </c>
      <c r="AE1105" s="4">
        <v>89</v>
      </c>
      <c r="AF1105" s="4">
        <v>0</v>
      </c>
      <c r="AG1105" s="4">
        <v>5</v>
      </c>
      <c r="AH1105" s="4">
        <v>26</v>
      </c>
      <c r="AI1105" s="4">
        <v>69</v>
      </c>
      <c r="AJ1105" s="4">
        <v>4</v>
      </c>
      <c r="AK1105" s="4">
        <v>18</v>
      </c>
      <c r="AL1105" s="4">
        <v>12</v>
      </c>
      <c r="AM1105" s="4">
        <v>33</v>
      </c>
      <c r="AN1105" s="4">
        <v>0</v>
      </c>
      <c r="AO1105" s="4">
        <v>0</v>
      </c>
      <c r="AP1105" s="4">
        <v>6</v>
      </c>
      <c r="AQ1105" s="4">
        <v>28</v>
      </c>
      <c r="AR1105" s="3" t="s">
        <v>62</v>
      </c>
      <c r="AS1105" s="3" t="s">
        <v>62</v>
      </c>
      <c r="AT1105" s="3" t="s">
        <v>62</v>
      </c>
      <c r="AV1105" s="6" t="str">
        <f>HYPERLINK("http://mcgill.on.worldcat.org/oclc/49775394","Catalog Record")</f>
        <v>Catalog Record</v>
      </c>
      <c r="AW1105" s="6" t="str">
        <f>HYPERLINK("http://www.worldcat.org/oclc/49775394","WorldCat Record")</f>
        <v>WorldCat Record</v>
      </c>
      <c r="AX1105" s="3" t="s">
        <v>11047</v>
      </c>
      <c r="AY1105" s="3" t="s">
        <v>11048</v>
      </c>
      <c r="AZ1105" s="3" t="s">
        <v>11049</v>
      </c>
      <c r="BA1105" s="3" t="s">
        <v>11049</v>
      </c>
      <c r="BB1105" s="3" t="s">
        <v>11050</v>
      </c>
      <c r="BC1105" s="3" t="s">
        <v>102</v>
      </c>
      <c r="BD1105" s="3" t="s">
        <v>68</v>
      </c>
      <c r="BE1105" s="3" t="s">
        <v>11051</v>
      </c>
      <c r="BF1105" s="3" t="s">
        <v>11050</v>
      </c>
      <c r="BG1105" s="3" t="s">
        <v>11052</v>
      </c>
    </row>
    <row r="1106" spans="1:59" ht="58" x14ac:dyDescent="0.35">
      <c r="A1106" s="2" t="s">
        <v>89</v>
      </c>
      <c r="B1106" s="2" t="s">
        <v>90</v>
      </c>
      <c r="C1106" s="2" t="s">
        <v>11053</v>
      </c>
      <c r="D1106" s="2" t="s">
        <v>11054</v>
      </c>
      <c r="E1106" s="2" t="s">
        <v>11055</v>
      </c>
      <c r="G1106" s="3" t="s">
        <v>62</v>
      </c>
      <c r="I1106" s="3" t="s">
        <v>62</v>
      </c>
      <c r="J1106" s="3" t="s">
        <v>62</v>
      </c>
      <c r="K1106" s="3" t="s">
        <v>63</v>
      </c>
      <c r="M1106" s="2" t="s">
        <v>11056</v>
      </c>
      <c r="N1106" s="3" t="s">
        <v>129</v>
      </c>
      <c r="P1106" s="3" t="s">
        <v>64</v>
      </c>
      <c r="R1106" s="3" t="s">
        <v>65</v>
      </c>
      <c r="S1106" s="4">
        <v>2</v>
      </c>
      <c r="T1106" s="4">
        <v>2</v>
      </c>
      <c r="U1106" s="5" t="s">
        <v>11057</v>
      </c>
      <c r="V1106" s="5" t="s">
        <v>11057</v>
      </c>
      <c r="W1106" s="5" t="s">
        <v>67</v>
      </c>
      <c r="X1106" s="5" t="s">
        <v>67</v>
      </c>
      <c r="Y1106" s="4">
        <v>390</v>
      </c>
      <c r="Z1106" s="4">
        <v>17</v>
      </c>
      <c r="AA1106" s="4">
        <v>25</v>
      </c>
      <c r="AB1106" s="4">
        <v>1</v>
      </c>
      <c r="AC1106" s="4">
        <v>4</v>
      </c>
      <c r="AD1106" s="4">
        <v>47</v>
      </c>
      <c r="AE1106" s="4">
        <v>64</v>
      </c>
      <c r="AF1106" s="4">
        <v>0</v>
      </c>
      <c r="AG1106" s="4">
        <v>0</v>
      </c>
      <c r="AH1106" s="4">
        <v>38</v>
      </c>
      <c r="AI1106" s="4">
        <v>53</v>
      </c>
      <c r="AJ1106" s="4">
        <v>9</v>
      </c>
      <c r="AK1106" s="4">
        <v>12</v>
      </c>
      <c r="AL1106" s="4">
        <v>20</v>
      </c>
      <c r="AM1106" s="4">
        <v>27</v>
      </c>
      <c r="AN1106" s="4">
        <v>0</v>
      </c>
      <c r="AO1106" s="4">
        <v>0</v>
      </c>
      <c r="AP1106" s="4">
        <v>12</v>
      </c>
      <c r="AQ1106" s="4">
        <v>16</v>
      </c>
      <c r="AR1106" s="3" t="s">
        <v>62</v>
      </c>
      <c r="AS1106" s="3" t="s">
        <v>62</v>
      </c>
      <c r="AT1106" s="3" t="s">
        <v>62</v>
      </c>
      <c r="AV1106" s="6" t="str">
        <f>HYPERLINK("http://mcgill.on.worldcat.org/oclc/776534498","Catalog Record")</f>
        <v>Catalog Record</v>
      </c>
      <c r="AW1106" s="6" t="str">
        <f>HYPERLINK("http://www.worldcat.org/oclc/776534498","WorldCat Record")</f>
        <v>WorldCat Record</v>
      </c>
      <c r="AX1106" s="3" t="s">
        <v>11058</v>
      </c>
      <c r="AY1106" s="3" t="s">
        <v>11059</v>
      </c>
      <c r="AZ1106" s="3" t="s">
        <v>11060</v>
      </c>
      <c r="BA1106" s="3" t="s">
        <v>11060</v>
      </c>
      <c r="BB1106" s="3" t="s">
        <v>11061</v>
      </c>
      <c r="BC1106" s="3" t="s">
        <v>102</v>
      </c>
      <c r="BD1106" s="3" t="s">
        <v>68</v>
      </c>
      <c r="BE1106" s="3" t="s">
        <v>11062</v>
      </c>
      <c r="BF1106" s="3" t="s">
        <v>11061</v>
      </c>
      <c r="BG1106" s="3" t="s">
        <v>11063</v>
      </c>
    </row>
    <row r="1107" spans="1:59" ht="58" x14ac:dyDescent="0.35">
      <c r="A1107" s="2" t="s">
        <v>89</v>
      </c>
      <c r="B1107" s="2" t="s">
        <v>90</v>
      </c>
      <c r="C1107" s="2" t="s">
        <v>11064</v>
      </c>
      <c r="D1107" s="2" t="s">
        <v>11065</v>
      </c>
      <c r="E1107" s="2" t="s">
        <v>11066</v>
      </c>
      <c r="G1107" s="3" t="s">
        <v>62</v>
      </c>
      <c r="I1107" s="3" t="s">
        <v>62</v>
      </c>
      <c r="J1107" s="3" t="s">
        <v>62</v>
      </c>
      <c r="K1107" s="3" t="s">
        <v>63</v>
      </c>
      <c r="L1107" s="2" t="s">
        <v>11067</v>
      </c>
      <c r="M1107" s="2" t="s">
        <v>11068</v>
      </c>
      <c r="N1107" s="3" t="s">
        <v>438</v>
      </c>
      <c r="P1107" s="3" t="s">
        <v>64</v>
      </c>
      <c r="R1107" s="3" t="s">
        <v>65</v>
      </c>
      <c r="S1107" s="4">
        <v>29</v>
      </c>
      <c r="T1107" s="4">
        <v>29</v>
      </c>
      <c r="U1107" s="5" t="s">
        <v>6761</v>
      </c>
      <c r="V1107" s="5" t="s">
        <v>6761</v>
      </c>
      <c r="W1107" s="5" t="s">
        <v>67</v>
      </c>
      <c r="X1107" s="5" t="s">
        <v>67</v>
      </c>
      <c r="Y1107" s="4">
        <v>517</v>
      </c>
      <c r="Z1107" s="4">
        <v>23</v>
      </c>
      <c r="AA1107" s="4">
        <v>25</v>
      </c>
      <c r="AB1107" s="4">
        <v>1</v>
      </c>
      <c r="AC1107" s="4">
        <v>3</v>
      </c>
      <c r="AD1107" s="4">
        <v>110</v>
      </c>
      <c r="AE1107" s="4">
        <v>112</v>
      </c>
      <c r="AF1107" s="4">
        <v>0</v>
      </c>
      <c r="AG1107" s="4">
        <v>2</v>
      </c>
      <c r="AH1107" s="4">
        <v>99</v>
      </c>
      <c r="AI1107" s="4">
        <v>100</v>
      </c>
      <c r="AJ1107" s="4">
        <v>13</v>
      </c>
      <c r="AK1107" s="4">
        <v>14</v>
      </c>
      <c r="AL1107" s="4">
        <v>50</v>
      </c>
      <c r="AM1107" s="4">
        <v>50</v>
      </c>
      <c r="AN1107" s="4">
        <v>0</v>
      </c>
      <c r="AO1107" s="4">
        <v>0</v>
      </c>
      <c r="AP1107" s="4">
        <v>20</v>
      </c>
      <c r="AQ1107" s="4">
        <v>22</v>
      </c>
      <c r="AR1107" s="3" t="s">
        <v>62</v>
      </c>
      <c r="AS1107" s="3" t="s">
        <v>62</v>
      </c>
      <c r="AT1107" s="3" t="s">
        <v>62</v>
      </c>
      <c r="AV1107" s="6" t="str">
        <f>HYPERLINK("http://mcgill.on.worldcat.org/oclc/20490684","Catalog Record")</f>
        <v>Catalog Record</v>
      </c>
      <c r="AW1107" s="6" t="str">
        <f>HYPERLINK("http://www.worldcat.org/oclc/20490684","WorldCat Record")</f>
        <v>WorldCat Record</v>
      </c>
      <c r="AX1107" s="3" t="s">
        <v>11069</v>
      </c>
      <c r="AY1107" s="3" t="s">
        <v>11070</v>
      </c>
      <c r="AZ1107" s="3" t="s">
        <v>11071</v>
      </c>
      <c r="BA1107" s="3" t="s">
        <v>11071</v>
      </c>
      <c r="BB1107" s="3" t="s">
        <v>11072</v>
      </c>
      <c r="BC1107" s="3" t="s">
        <v>102</v>
      </c>
      <c r="BD1107" s="3" t="s">
        <v>68</v>
      </c>
      <c r="BE1107" s="3" t="s">
        <v>11073</v>
      </c>
      <c r="BF1107" s="3" t="s">
        <v>11072</v>
      </c>
      <c r="BG1107" s="3" t="s">
        <v>11074</v>
      </c>
    </row>
    <row r="1108" spans="1:59" ht="145" x14ac:dyDescent="0.35">
      <c r="A1108" s="2" t="s">
        <v>89</v>
      </c>
      <c r="B1108" s="2" t="s">
        <v>6791</v>
      </c>
      <c r="C1108" s="2" t="s">
        <v>11075</v>
      </c>
      <c r="D1108" s="2" t="s">
        <v>11076</v>
      </c>
      <c r="E1108" s="2" t="s">
        <v>11077</v>
      </c>
      <c r="G1108" s="3" t="s">
        <v>62</v>
      </c>
      <c r="I1108" s="3" t="s">
        <v>62</v>
      </c>
      <c r="J1108" s="3" t="s">
        <v>62</v>
      </c>
      <c r="K1108" s="3" t="s">
        <v>63</v>
      </c>
      <c r="M1108" s="2" t="s">
        <v>11078</v>
      </c>
      <c r="N1108" s="3" t="s">
        <v>625</v>
      </c>
      <c r="P1108" s="3" t="s">
        <v>64</v>
      </c>
      <c r="R1108" s="3" t="s">
        <v>65</v>
      </c>
      <c r="S1108" s="4">
        <v>4</v>
      </c>
      <c r="T1108" s="4">
        <v>4</v>
      </c>
      <c r="U1108" s="5" t="s">
        <v>2234</v>
      </c>
      <c r="V1108" s="5" t="s">
        <v>2234</v>
      </c>
      <c r="W1108" s="5" t="s">
        <v>67</v>
      </c>
      <c r="X1108" s="5" t="s">
        <v>67</v>
      </c>
      <c r="Y1108" s="4">
        <v>25</v>
      </c>
      <c r="Z1108" s="4">
        <v>5</v>
      </c>
      <c r="AA1108" s="4">
        <v>107</v>
      </c>
      <c r="AB1108" s="4">
        <v>1</v>
      </c>
      <c r="AC1108" s="4">
        <v>18</v>
      </c>
      <c r="AD1108" s="4">
        <v>6</v>
      </c>
      <c r="AE1108" s="4">
        <v>140</v>
      </c>
      <c r="AF1108" s="4">
        <v>0</v>
      </c>
      <c r="AG1108" s="4">
        <v>9</v>
      </c>
      <c r="AH1108" s="4">
        <v>5</v>
      </c>
      <c r="AI1108" s="4">
        <v>98</v>
      </c>
      <c r="AJ1108" s="4">
        <v>1</v>
      </c>
      <c r="AK1108" s="4">
        <v>22</v>
      </c>
      <c r="AL1108" s="4">
        <v>2</v>
      </c>
      <c r="AM1108" s="4">
        <v>55</v>
      </c>
      <c r="AN1108" s="4">
        <v>0</v>
      </c>
      <c r="AO1108" s="4">
        <v>0</v>
      </c>
      <c r="AP1108" s="4">
        <v>1</v>
      </c>
      <c r="AQ1108" s="4">
        <v>46</v>
      </c>
      <c r="AR1108" s="3" t="s">
        <v>62</v>
      </c>
      <c r="AS1108" s="3" t="s">
        <v>62</v>
      </c>
      <c r="AT1108" s="3" t="s">
        <v>62</v>
      </c>
      <c r="AV1108" s="6" t="str">
        <f>HYPERLINK("http://mcgill.on.worldcat.org/oclc/224122964","Catalog Record")</f>
        <v>Catalog Record</v>
      </c>
      <c r="AW1108" s="6" t="str">
        <f>HYPERLINK("http://www.worldcat.org/oclc/224122964","WorldCat Record")</f>
        <v>WorldCat Record</v>
      </c>
      <c r="AX1108" s="3" t="s">
        <v>11079</v>
      </c>
      <c r="AY1108" s="3" t="s">
        <v>11080</v>
      </c>
      <c r="AZ1108" s="3" t="s">
        <v>11081</v>
      </c>
      <c r="BA1108" s="3" t="s">
        <v>11081</v>
      </c>
      <c r="BB1108" s="3" t="s">
        <v>11082</v>
      </c>
      <c r="BC1108" s="3" t="s">
        <v>102</v>
      </c>
      <c r="BD1108" s="3" t="s">
        <v>231</v>
      </c>
      <c r="BE1108" s="3" t="s">
        <v>11083</v>
      </c>
      <c r="BF1108" s="3" t="s">
        <v>11082</v>
      </c>
      <c r="BG1108" s="3" t="s">
        <v>11084</v>
      </c>
    </row>
    <row r="1109" spans="1:59" ht="58" x14ac:dyDescent="0.35">
      <c r="A1109" s="2" t="s">
        <v>89</v>
      </c>
      <c r="B1109" s="2" t="s">
        <v>90</v>
      </c>
      <c r="C1109" s="2" t="s">
        <v>11085</v>
      </c>
      <c r="D1109" s="2" t="s">
        <v>11086</v>
      </c>
      <c r="E1109" s="2" t="s">
        <v>11087</v>
      </c>
      <c r="G1109" s="3" t="s">
        <v>61</v>
      </c>
      <c r="I1109" s="3" t="s">
        <v>62</v>
      </c>
      <c r="J1109" s="3" t="s">
        <v>62</v>
      </c>
      <c r="K1109" s="3" t="s">
        <v>63</v>
      </c>
      <c r="M1109" s="2" t="s">
        <v>11088</v>
      </c>
      <c r="N1109" s="3" t="s">
        <v>655</v>
      </c>
      <c r="P1109" s="3" t="s">
        <v>64</v>
      </c>
      <c r="R1109" s="3" t="s">
        <v>65</v>
      </c>
      <c r="S1109" s="4">
        <v>32</v>
      </c>
      <c r="T1109" s="4">
        <v>32</v>
      </c>
      <c r="U1109" s="5" t="s">
        <v>4350</v>
      </c>
      <c r="V1109" s="5" t="s">
        <v>4350</v>
      </c>
      <c r="W1109" s="5" t="s">
        <v>67</v>
      </c>
      <c r="X1109" s="5" t="s">
        <v>67</v>
      </c>
      <c r="Y1109" s="4">
        <v>403</v>
      </c>
      <c r="Z1109" s="4">
        <v>19</v>
      </c>
      <c r="AA1109" s="4">
        <v>43</v>
      </c>
      <c r="AB1109" s="4">
        <v>2</v>
      </c>
      <c r="AC1109" s="4">
        <v>13</v>
      </c>
      <c r="AD1109" s="4">
        <v>80</v>
      </c>
      <c r="AE1109" s="4">
        <v>106</v>
      </c>
      <c r="AF1109" s="4">
        <v>1</v>
      </c>
      <c r="AG1109" s="4">
        <v>6</v>
      </c>
      <c r="AH1109" s="4">
        <v>69</v>
      </c>
      <c r="AI1109" s="4">
        <v>83</v>
      </c>
      <c r="AJ1109" s="4">
        <v>11</v>
      </c>
      <c r="AK1109" s="4">
        <v>20</v>
      </c>
      <c r="AL1109" s="4">
        <v>38</v>
      </c>
      <c r="AM1109" s="4">
        <v>44</v>
      </c>
      <c r="AN1109" s="4">
        <v>0</v>
      </c>
      <c r="AO1109" s="4">
        <v>0</v>
      </c>
      <c r="AP1109" s="4">
        <v>16</v>
      </c>
      <c r="AQ1109" s="4">
        <v>30</v>
      </c>
      <c r="AR1109" s="3" t="s">
        <v>62</v>
      </c>
      <c r="AS1109" s="3" t="s">
        <v>62</v>
      </c>
      <c r="AT1109" s="3" t="s">
        <v>62</v>
      </c>
      <c r="AV1109" s="6" t="str">
        <f>HYPERLINK("http://mcgill.on.worldcat.org/oclc/71833305","Catalog Record")</f>
        <v>Catalog Record</v>
      </c>
      <c r="AW1109" s="6" t="str">
        <f>HYPERLINK("http://www.worldcat.org/oclc/71833305","WorldCat Record")</f>
        <v>WorldCat Record</v>
      </c>
      <c r="AX1109" s="3" t="s">
        <v>11089</v>
      </c>
      <c r="AY1109" s="3" t="s">
        <v>11090</v>
      </c>
      <c r="AZ1109" s="3" t="s">
        <v>11091</v>
      </c>
      <c r="BA1109" s="3" t="s">
        <v>11091</v>
      </c>
      <c r="BB1109" s="3" t="s">
        <v>11092</v>
      </c>
      <c r="BC1109" s="3" t="s">
        <v>102</v>
      </c>
      <c r="BD1109" s="3" t="s">
        <v>68</v>
      </c>
      <c r="BE1109" s="3" t="s">
        <v>11093</v>
      </c>
      <c r="BF1109" s="3" t="s">
        <v>11092</v>
      </c>
      <c r="BG1109" s="3" t="s">
        <v>11094</v>
      </c>
    </row>
    <row r="1110" spans="1:59" ht="58" x14ac:dyDescent="0.35">
      <c r="A1110" s="2" t="s">
        <v>89</v>
      </c>
      <c r="B1110" s="2" t="s">
        <v>90</v>
      </c>
      <c r="C1110" s="2" t="s">
        <v>11095</v>
      </c>
      <c r="D1110" s="2" t="s">
        <v>11096</v>
      </c>
      <c r="E1110" s="2" t="s">
        <v>11097</v>
      </c>
      <c r="G1110" s="3" t="s">
        <v>62</v>
      </c>
      <c r="I1110" s="3" t="s">
        <v>62</v>
      </c>
      <c r="J1110" s="3" t="s">
        <v>61</v>
      </c>
      <c r="K1110" s="3" t="s">
        <v>63</v>
      </c>
      <c r="L1110" s="2" t="s">
        <v>11098</v>
      </c>
      <c r="M1110" s="2" t="s">
        <v>11099</v>
      </c>
      <c r="N1110" s="3" t="s">
        <v>2136</v>
      </c>
      <c r="P1110" s="3" t="s">
        <v>64</v>
      </c>
      <c r="R1110" s="3" t="s">
        <v>65</v>
      </c>
      <c r="S1110" s="4">
        <v>4</v>
      </c>
      <c r="T1110" s="4">
        <v>4</v>
      </c>
      <c r="U1110" s="5" t="s">
        <v>11100</v>
      </c>
      <c r="V1110" s="5" t="s">
        <v>11100</v>
      </c>
      <c r="W1110" s="5" t="s">
        <v>67</v>
      </c>
      <c r="X1110" s="5" t="s">
        <v>67</v>
      </c>
      <c r="Y1110" s="4">
        <v>198</v>
      </c>
      <c r="Z1110" s="4">
        <v>13</v>
      </c>
      <c r="AA1110" s="4">
        <v>58</v>
      </c>
      <c r="AB1110" s="4">
        <v>1</v>
      </c>
      <c r="AC1110" s="4">
        <v>9</v>
      </c>
      <c r="AD1110" s="4">
        <v>53</v>
      </c>
      <c r="AE1110" s="4">
        <v>101</v>
      </c>
      <c r="AF1110" s="4">
        <v>0</v>
      </c>
      <c r="AG1110" s="4">
        <v>3</v>
      </c>
      <c r="AH1110" s="4">
        <v>46</v>
      </c>
      <c r="AI1110" s="4">
        <v>75</v>
      </c>
      <c r="AJ1110" s="4">
        <v>6</v>
      </c>
      <c r="AK1110" s="4">
        <v>14</v>
      </c>
      <c r="AL1110" s="4">
        <v>23</v>
      </c>
      <c r="AM1110" s="4">
        <v>38</v>
      </c>
      <c r="AN1110" s="4">
        <v>0</v>
      </c>
      <c r="AO1110" s="4">
        <v>0</v>
      </c>
      <c r="AP1110" s="4">
        <v>11</v>
      </c>
      <c r="AQ1110" s="4">
        <v>30</v>
      </c>
      <c r="AR1110" s="3" t="s">
        <v>62</v>
      </c>
      <c r="AS1110" s="3" t="s">
        <v>62</v>
      </c>
      <c r="AT1110" s="3" t="s">
        <v>62</v>
      </c>
      <c r="AV1110" s="6" t="str">
        <f>HYPERLINK("http://mcgill.on.worldcat.org/oclc/53097183","Catalog Record")</f>
        <v>Catalog Record</v>
      </c>
      <c r="AW1110" s="6" t="str">
        <f>HYPERLINK("http://www.worldcat.org/oclc/53097183","WorldCat Record")</f>
        <v>WorldCat Record</v>
      </c>
      <c r="AX1110" s="3" t="s">
        <v>11101</v>
      </c>
      <c r="AY1110" s="3" t="s">
        <v>11102</v>
      </c>
      <c r="AZ1110" s="3" t="s">
        <v>11103</v>
      </c>
      <c r="BA1110" s="3" t="s">
        <v>11103</v>
      </c>
      <c r="BB1110" s="3" t="s">
        <v>11104</v>
      </c>
      <c r="BC1110" s="3" t="s">
        <v>102</v>
      </c>
      <c r="BD1110" s="3" t="s">
        <v>68</v>
      </c>
      <c r="BE1110" s="3" t="s">
        <v>11105</v>
      </c>
      <c r="BF1110" s="3" t="s">
        <v>11104</v>
      </c>
      <c r="BG1110" s="3" t="s">
        <v>11106</v>
      </c>
    </row>
    <row r="1111" spans="1:59" ht="58" x14ac:dyDescent="0.35">
      <c r="A1111" s="2" t="s">
        <v>89</v>
      </c>
      <c r="B1111" s="2" t="s">
        <v>90</v>
      </c>
      <c r="C1111" s="2" t="s">
        <v>11107</v>
      </c>
      <c r="D1111" s="2" t="s">
        <v>11108</v>
      </c>
      <c r="E1111" s="2" t="s">
        <v>11109</v>
      </c>
      <c r="G1111" s="3" t="s">
        <v>62</v>
      </c>
      <c r="I1111" s="3" t="s">
        <v>62</v>
      </c>
      <c r="J1111" s="3" t="s">
        <v>62</v>
      </c>
      <c r="K1111" s="3" t="s">
        <v>63</v>
      </c>
      <c r="L1111" s="2" t="s">
        <v>11110</v>
      </c>
      <c r="M1111" s="2" t="s">
        <v>11111</v>
      </c>
      <c r="N1111" s="3" t="s">
        <v>684</v>
      </c>
      <c r="P1111" s="3" t="s">
        <v>64</v>
      </c>
      <c r="R1111" s="3" t="s">
        <v>65</v>
      </c>
      <c r="S1111" s="4">
        <v>2</v>
      </c>
      <c r="T1111" s="4">
        <v>2</v>
      </c>
      <c r="U1111" s="5" t="s">
        <v>11112</v>
      </c>
      <c r="V1111" s="5" t="s">
        <v>11112</v>
      </c>
      <c r="W1111" s="5" t="s">
        <v>67</v>
      </c>
      <c r="X1111" s="5" t="s">
        <v>67</v>
      </c>
      <c r="Y1111" s="4">
        <v>71</v>
      </c>
      <c r="Z1111" s="4">
        <v>16</v>
      </c>
      <c r="AA1111" s="4">
        <v>47</v>
      </c>
      <c r="AB1111" s="4">
        <v>3</v>
      </c>
      <c r="AC1111" s="4">
        <v>10</v>
      </c>
      <c r="AD1111" s="4">
        <v>31</v>
      </c>
      <c r="AE1111" s="4">
        <v>81</v>
      </c>
      <c r="AF1111" s="4">
        <v>1</v>
      </c>
      <c r="AG1111" s="4">
        <v>5</v>
      </c>
      <c r="AH1111" s="4">
        <v>26</v>
      </c>
      <c r="AI1111" s="4">
        <v>53</v>
      </c>
      <c r="AJ1111" s="4">
        <v>10</v>
      </c>
      <c r="AK1111" s="4">
        <v>24</v>
      </c>
      <c r="AL1111" s="4">
        <v>13</v>
      </c>
      <c r="AM1111" s="4">
        <v>25</v>
      </c>
      <c r="AN1111" s="4">
        <v>0</v>
      </c>
      <c r="AO1111" s="4">
        <v>0</v>
      </c>
      <c r="AP1111" s="4">
        <v>12</v>
      </c>
      <c r="AQ1111" s="4">
        <v>39</v>
      </c>
      <c r="AR1111" s="3" t="s">
        <v>62</v>
      </c>
      <c r="AS1111" s="3" t="s">
        <v>62</v>
      </c>
      <c r="AT1111" s="3" t="s">
        <v>62</v>
      </c>
      <c r="AV1111" s="6" t="str">
        <f>HYPERLINK("http://mcgill.on.worldcat.org/oclc/706410097","Catalog Record")</f>
        <v>Catalog Record</v>
      </c>
      <c r="AW1111" s="6" t="str">
        <f>HYPERLINK("http://www.worldcat.org/oclc/706410097","WorldCat Record")</f>
        <v>WorldCat Record</v>
      </c>
      <c r="AX1111" s="3" t="s">
        <v>11113</v>
      </c>
      <c r="AY1111" s="3" t="s">
        <v>11114</v>
      </c>
      <c r="AZ1111" s="3" t="s">
        <v>11115</v>
      </c>
      <c r="BA1111" s="3" t="s">
        <v>11115</v>
      </c>
      <c r="BB1111" s="3" t="s">
        <v>11116</v>
      </c>
      <c r="BC1111" s="3" t="s">
        <v>102</v>
      </c>
      <c r="BD1111" s="3" t="s">
        <v>68</v>
      </c>
      <c r="BE1111" s="3" t="s">
        <v>11117</v>
      </c>
      <c r="BF1111" s="3" t="s">
        <v>11116</v>
      </c>
      <c r="BG1111" s="3" t="s">
        <v>11118</v>
      </c>
    </row>
    <row r="1112" spans="1:59" ht="58" x14ac:dyDescent="0.35">
      <c r="A1112" s="2" t="s">
        <v>89</v>
      </c>
      <c r="B1112" s="2" t="s">
        <v>90</v>
      </c>
      <c r="C1112" s="2" t="s">
        <v>11119</v>
      </c>
      <c r="D1112" s="2" t="s">
        <v>11120</v>
      </c>
      <c r="E1112" s="2" t="s">
        <v>11121</v>
      </c>
      <c r="G1112" s="3" t="s">
        <v>62</v>
      </c>
      <c r="I1112" s="3" t="s">
        <v>62</v>
      </c>
      <c r="J1112" s="3" t="s">
        <v>62</v>
      </c>
      <c r="K1112" s="3" t="s">
        <v>63</v>
      </c>
      <c r="L1112" s="2" t="s">
        <v>11122</v>
      </c>
      <c r="M1112" s="2" t="s">
        <v>11123</v>
      </c>
      <c r="N1112" s="3" t="s">
        <v>684</v>
      </c>
      <c r="P1112" s="3" t="s">
        <v>64</v>
      </c>
      <c r="Q1112" s="2" t="s">
        <v>11124</v>
      </c>
      <c r="R1112" s="3" t="s">
        <v>65</v>
      </c>
      <c r="S1112" s="4">
        <v>0</v>
      </c>
      <c r="T1112" s="4">
        <v>0</v>
      </c>
      <c r="W1112" s="5" t="s">
        <v>67</v>
      </c>
      <c r="X1112" s="5" t="s">
        <v>67</v>
      </c>
      <c r="Y1112" s="4">
        <v>65</v>
      </c>
      <c r="Z1112" s="4">
        <v>12</v>
      </c>
      <c r="AA1112" s="4">
        <v>42</v>
      </c>
      <c r="AB1112" s="4">
        <v>1</v>
      </c>
      <c r="AC1112" s="4">
        <v>9</v>
      </c>
      <c r="AD1112" s="4">
        <v>32</v>
      </c>
      <c r="AE1112" s="4">
        <v>80</v>
      </c>
      <c r="AF1112" s="4">
        <v>0</v>
      </c>
      <c r="AG1112" s="4">
        <v>5</v>
      </c>
      <c r="AH1112" s="4">
        <v>27</v>
      </c>
      <c r="AI1112" s="4">
        <v>52</v>
      </c>
      <c r="AJ1112" s="4">
        <v>5</v>
      </c>
      <c r="AK1112" s="4">
        <v>20</v>
      </c>
      <c r="AL1112" s="4">
        <v>17</v>
      </c>
      <c r="AM1112" s="4">
        <v>27</v>
      </c>
      <c r="AN1112" s="4">
        <v>0</v>
      </c>
      <c r="AO1112" s="4">
        <v>0</v>
      </c>
      <c r="AP1112" s="4">
        <v>8</v>
      </c>
      <c r="AQ1112" s="4">
        <v>34</v>
      </c>
      <c r="AR1112" s="3" t="s">
        <v>62</v>
      </c>
      <c r="AS1112" s="3" t="s">
        <v>62</v>
      </c>
      <c r="AT1112" s="3" t="s">
        <v>62</v>
      </c>
      <c r="AV1112" s="6" t="str">
        <f>HYPERLINK("http://mcgill.on.worldcat.org/oclc/717199621","Catalog Record")</f>
        <v>Catalog Record</v>
      </c>
      <c r="AW1112" s="6" t="str">
        <f>HYPERLINK("http://www.worldcat.org/oclc/717199621","WorldCat Record")</f>
        <v>WorldCat Record</v>
      </c>
      <c r="AX1112" s="3" t="s">
        <v>11125</v>
      </c>
      <c r="AY1112" s="3" t="s">
        <v>11126</v>
      </c>
      <c r="AZ1112" s="3" t="s">
        <v>11127</v>
      </c>
      <c r="BA1112" s="3" t="s">
        <v>11127</v>
      </c>
      <c r="BB1112" s="3" t="s">
        <v>11128</v>
      </c>
      <c r="BC1112" s="3" t="s">
        <v>102</v>
      </c>
      <c r="BD1112" s="3" t="s">
        <v>68</v>
      </c>
      <c r="BE1112" s="3" t="s">
        <v>11129</v>
      </c>
      <c r="BF1112" s="3" t="s">
        <v>11128</v>
      </c>
      <c r="BG1112" s="3" t="s">
        <v>11130</v>
      </c>
    </row>
    <row r="1113" spans="1:59" ht="58" x14ac:dyDescent="0.35">
      <c r="A1113" s="2" t="s">
        <v>89</v>
      </c>
      <c r="B1113" s="2" t="s">
        <v>90</v>
      </c>
      <c r="C1113" s="2" t="s">
        <v>11131</v>
      </c>
      <c r="D1113" s="2" t="s">
        <v>11132</v>
      </c>
      <c r="E1113" s="2" t="s">
        <v>11133</v>
      </c>
      <c r="G1113" s="3" t="s">
        <v>62</v>
      </c>
      <c r="I1113" s="3" t="s">
        <v>62</v>
      </c>
      <c r="J1113" s="3" t="s">
        <v>62</v>
      </c>
      <c r="K1113" s="3" t="s">
        <v>63</v>
      </c>
      <c r="L1113" s="2" t="s">
        <v>11134</v>
      </c>
      <c r="M1113" s="2" t="s">
        <v>11135</v>
      </c>
      <c r="N1113" s="3" t="s">
        <v>1038</v>
      </c>
      <c r="P1113" s="3" t="s">
        <v>64</v>
      </c>
      <c r="Q1113" s="2" t="s">
        <v>11136</v>
      </c>
      <c r="R1113" s="3" t="s">
        <v>65</v>
      </c>
      <c r="S1113" s="4">
        <v>0</v>
      </c>
      <c r="T1113" s="4">
        <v>0</v>
      </c>
      <c r="W1113" s="5" t="s">
        <v>67</v>
      </c>
      <c r="X1113" s="5" t="s">
        <v>67</v>
      </c>
      <c r="Y1113" s="4">
        <v>28</v>
      </c>
      <c r="Z1113" s="4">
        <v>2</v>
      </c>
      <c r="AA1113" s="4">
        <v>7</v>
      </c>
      <c r="AB1113" s="4">
        <v>1</v>
      </c>
      <c r="AC1113" s="4">
        <v>5</v>
      </c>
      <c r="AD1113" s="4">
        <v>8</v>
      </c>
      <c r="AE1113" s="4">
        <v>20</v>
      </c>
      <c r="AF1113" s="4">
        <v>0</v>
      </c>
      <c r="AG1113" s="4">
        <v>1</v>
      </c>
      <c r="AH1113" s="4">
        <v>6</v>
      </c>
      <c r="AI1113" s="4">
        <v>16</v>
      </c>
      <c r="AJ1113" s="4">
        <v>1</v>
      </c>
      <c r="AK1113" s="4">
        <v>3</v>
      </c>
      <c r="AL1113" s="4">
        <v>6</v>
      </c>
      <c r="AM1113" s="4">
        <v>11</v>
      </c>
      <c r="AN1113" s="4">
        <v>0</v>
      </c>
      <c r="AO1113" s="4">
        <v>0</v>
      </c>
      <c r="AP1113" s="4">
        <v>1</v>
      </c>
      <c r="AQ1113" s="4">
        <v>3</v>
      </c>
      <c r="AR1113" s="3" t="s">
        <v>62</v>
      </c>
      <c r="AS1113" s="3" t="s">
        <v>62</v>
      </c>
      <c r="AT1113" s="3" t="s">
        <v>62</v>
      </c>
      <c r="AV1113" s="6" t="str">
        <f>HYPERLINK("http://mcgill.on.worldcat.org/oclc/919480875","Catalog Record")</f>
        <v>Catalog Record</v>
      </c>
      <c r="AW1113" s="6" t="str">
        <f>HYPERLINK("http://www.worldcat.org/oclc/919480875","WorldCat Record")</f>
        <v>WorldCat Record</v>
      </c>
      <c r="AX1113" s="3" t="s">
        <v>11137</v>
      </c>
      <c r="AY1113" s="3" t="s">
        <v>11138</v>
      </c>
      <c r="AZ1113" s="3" t="s">
        <v>11139</v>
      </c>
      <c r="BA1113" s="3" t="s">
        <v>11139</v>
      </c>
      <c r="BB1113" s="3" t="s">
        <v>11140</v>
      </c>
      <c r="BC1113" s="3" t="s">
        <v>102</v>
      </c>
      <c r="BD1113" s="3" t="s">
        <v>68</v>
      </c>
      <c r="BE1113" s="3" t="s">
        <v>11141</v>
      </c>
      <c r="BF1113" s="3" t="s">
        <v>11140</v>
      </c>
      <c r="BG1113" s="3" t="s">
        <v>11142</v>
      </c>
    </row>
    <row r="1114" spans="1:59" ht="58" x14ac:dyDescent="0.35">
      <c r="A1114" s="2" t="s">
        <v>89</v>
      </c>
      <c r="B1114" s="2" t="s">
        <v>90</v>
      </c>
      <c r="C1114" s="2" t="s">
        <v>11143</v>
      </c>
      <c r="D1114" s="2" t="s">
        <v>11144</v>
      </c>
      <c r="E1114" s="2" t="s">
        <v>11145</v>
      </c>
      <c r="F1114" s="3" t="s">
        <v>237</v>
      </c>
      <c r="G1114" s="3" t="s">
        <v>61</v>
      </c>
      <c r="I1114" s="3" t="s">
        <v>62</v>
      </c>
      <c r="J1114" s="3" t="s">
        <v>62</v>
      </c>
      <c r="K1114" s="3" t="s">
        <v>63</v>
      </c>
      <c r="M1114" s="2" t="s">
        <v>11146</v>
      </c>
      <c r="N1114" s="3" t="s">
        <v>539</v>
      </c>
      <c r="P1114" s="3" t="s">
        <v>64</v>
      </c>
      <c r="Q1114" s="2" t="s">
        <v>11147</v>
      </c>
      <c r="R1114" s="3" t="s">
        <v>65</v>
      </c>
      <c r="S1114" s="4">
        <v>18</v>
      </c>
      <c r="T1114" s="4">
        <v>33</v>
      </c>
      <c r="U1114" s="5" t="s">
        <v>11148</v>
      </c>
      <c r="V1114" s="5" t="s">
        <v>11149</v>
      </c>
      <c r="W1114" s="5" t="s">
        <v>67</v>
      </c>
      <c r="X1114" s="5" t="s">
        <v>67</v>
      </c>
      <c r="Y1114" s="4">
        <v>236</v>
      </c>
      <c r="Z1114" s="4">
        <v>13</v>
      </c>
      <c r="AA1114" s="4">
        <v>22</v>
      </c>
      <c r="AB1114" s="4">
        <v>2</v>
      </c>
      <c r="AC1114" s="4">
        <v>6</v>
      </c>
      <c r="AD1114" s="4">
        <v>56</v>
      </c>
      <c r="AE1114" s="4">
        <v>65</v>
      </c>
      <c r="AF1114" s="4">
        <v>1</v>
      </c>
      <c r="AG1114" s="4">
        <v>5</v>
      </c>
      <c r="AH1114" s="4">
        <v>50</v>
      </c>
      <c r="AI1114" s="4">
        <v>53</v>
      </c>
      <c r="AJ1114" s="4">
        <v>9</v>
      </c>
      <c r="AK1114" s="4">
        <v>15</v>
      </c>
      <c r="AL1114" s="4">
        <v>31</v>
      </c>
      <c r="AM1114" s="4">
        <v>31</v>
      </c>
      <c r="AN1114" s="4">
        <v>0</v>
      </c>
      <c r="AO1114" s="4">
        <v>0</v>
      </c>
      <c r="AP1114" s="4">
        <v>11</v>
      </c>
      <c r="AQ1114" s="4">
        <v>18</v>
      </c>
      <c r="AR1114" s="3" t="s">
        <v>62</v>
      </c>
      <c r="AS1114" s="3" t="s">
        <v>62</v>
      </c>
      <c r="AT1114" s="3" t="s">
        <v>61</v>
      </c>
      <c r="AU1114" s="6" t="str">
        <f>HYPERLINK("http://catalog.hathitrust.org/Record/003970033","HathiTrust Record")</f>
        <v>HathiTrust Record</v>
      </c>
      <c r="AV1114" s="6" t="str">
        <f>HYPERLINK("http://mcgill.on.worldcat.org/oclc/37546835","Catalog Record")</f>
        <v>Catalog Record</v>
      </c>
      <c r="AW1114" s="6" t="str">
        <f>HYPERLINK("http://www.worldcat.org/oclc/37546835","WorldCat Record")</f>
        <v>WorldCat Record</v>
      </c>
      <c r="AX1114" s="3" t="s">
        <v>11150</v>
      </c>
      <c r="AY1114" s="3" t="s">
        <v>11151</v>
      </c>
      <c r="AZ1114" s="3" t="s">
        <v>11152</v>
      </c>
      <c r="BA1114" s="3" t="s">
        <v>11152</v>
      </c>
      <c r="BB1114" s="3" t="s">
        <v>11153</v>
      </c>
      <c r="BC1114" s="3" t="s">
        <v>102</v>
      </c>
      <c r="BD1114" s="3" t="s">
        <v>68</v>
      </c>
      <c r="BE1114" s="3" t="s">
        <v>11154</v>
      </c>
      <c r="BF1114" s="3" t="s">
        <v>11153</v>
      </c>
      <c r="BG1114" s="3" t="s">
        <v>11155</v>
      </c>
    </row>
    <row r="1115" spans="1:59" ht="58" x14ac:dyDescent="0.35">
      <c r="A1115" s="2" t="s">
        <v>89</v>
      </c>
      <c r="B1115" s="2" t="s">
        <v>90</v>
      </c>
      <c r="C1115" s="2" t="s">
        <v>11143</v>
      </c>
      <c r="D1115" s="2" t="s">
        <v>11144</v>
      </c>
      <c r="E1115" s="2" t="s">
        <v>11145</v>
      </c>
      <c r="F1115" s="3" t="s">
        <v>248</v>
      </c>
      <c r="G1115" s="3" t="s">
        <v>61</v>
      </c>
      <c r="I1115" s="3" t="s">
        <v>62</v>
      </c>
      <c r="J1115" s="3" t="s">
        <v>62</v>
      </c>
      <c r="K1115" s="3" t="s">
        <v>63</v>
      </c>
      <c r="M1115" s="2" t="s">
        <v>11146</v>
      </c>
      <c r="N1115" s="3" t="s">
        <v>539</v>
      </c>
      <c r="P1115" s="3" t="s">
        <v>64</v>
      </c>
      <c r="Q1115" s="2" t="s">
        <v>11147</v>
      </c>
      <c r="R1115" s="3" t="s">
        <v>65</v>
      </c>
      <c r="S1115" s="4">
        <v>15</v>
      </c>
      <c r="T1115" s="4">
        <v>33</v>
      </c>
      <c r="U1115" s="5" t="s">
        <v>11149</v>
      </c>
      <c r="V1115" s="5" t="s">
        <v>11149</v>
      </c>
      <c r="W1115" s="5" t="s">
        <v>67</v>
      </c>
      <c r="X1115" s="5" t="s">
        <v>67</v>
      </c>
      <c r="Y1115" s="4">
        <v>236</v>
      </c>
      <c r="Z1115" s="4">
        <v>13</v>
      </c>
      <c r="AA1115" s="4">
        <v>22</v>
      </c>
      <c r="AB1115" s="4">
        <v>2</v>
      </c>
      <c r="AC1115" s="4">
        <v>6</v>
      </c>
      <c r="AD1115" s="4">
        <v>56</v>
      </c>
      <c r="AE1115" s="4">
        <v>65</v>
      </c>
      <c r="AF1115" s="4">
        <v>1</v>
      </c>
      <c r="AG1115" s="4">
        <v>5</v>
      </c>
      <c r="AH1115" s="4">
        <v>50</v>
      </c>
      <c r="AI1115" s="4">
        <v>53</v>
      </c>
      <c r="AJ1115" s="4">
        <v>9</v>
      </c>
      <c r="AK1115" s="4">
        <v>15</v>
      </c>
      <c r="AL1115" s="4">
        <v>31</v>
      </c>
      <c r="AM1115" s="4">
        <v>31</v>
      </c>
      <c r="AN1115" s="4">
        <v>0</v>
      </c>
      <c r="AO1115" s="4">
        <v>0</v>
      </c>
      <c r="AP1115" s="4">
        <v>11</v>
      </c>
      <c r="AQ1115" s="4">
        <v>18</v>
      </c>
      <c r="AR1115" s="3" t="s">
        <v>62</v>
      </c>
      <c r="AS1115" s="3" t="s">
        <v>62</v>
      </c>
      <c r="AT1115" s="3" t="s">
        <v>61</v>
      </c>
      <c r="AU1115" s="6" t="str">
        <f>HYPERLINK("http://catalog.hathitrust.org/Record/003970033","HathiTrust Record")</f>
        <v>HathiTrust Record</v>
      </c>
      <c r="AV1115" s="6" t="str">
        <f>HYPERLINK("http://mcgill.on.worldcat.org/oclc/37546835","Catalog Record")</f>
        <v>Catalog Record</v>
      </c>
      <c r="AW1115" s="6" t="str">
        <f>HYPERLINK("http://www.worldcat.org/oclc/37546835","WorldCat Record")</f>
        <v>WorldCat Record</v>
      </c>
      <c r="AX1115" s="3" t="s">
        <v>11150</v>
      </c>
      <c r="AY1115" s="3" t="s">
        <v>11151</v>
      </c>
      <c r="AZ1115" s="3" t="s">
        <v>11152</v>
      </c>
      <c r="BA1115" s="3" t="s">
        <v>11152</v>
      </c>
      <c r="BB1115" s="3" t="s">
        <v>11156</v>
      </c>
      <c r="BC1115" s="3" t="s">
        <v>102</v>
      </c>
      <c r="BD1115" s="3" t="s">
        <v>68</v>
      </c>
      <c r="BE1115" s="3" t="s">
        <v>11154</v>
      </c>
      <c r="BF1115" s="3" t="s">
        <v>11156</v>
      </c>
      <c r="BG1115" s="3" t="s">
        <v>11157</v>
      </c>
    </row>
    <row r="1116" spans="1:59" ht="116" x14ac:dyDescent="0.35">
      <c r="A1116" s="2" t="s">
        <v>89</v>
      </c>
      <c r="B1116" s="2" t="s">
        <v>90</v>
      </c>
      <c r="C1116" s="2" t="s">
        <v>11158</v>
      </c>
      <c r="D1116" s="2" t="s">
        <v>11159</v>
      </c>
      <c r="E1116" s="2" t="s">
        <v>11160</v>
      </c>
      <c r="G1116" s="3" t="s">
        <v>62</v>
      </c>
      <c r="I1116" s="3" t="s">
        <v>62</v>
      </c>
      <c r="J1116" s="3" t="s">
        <v>62</v>
      </c>
      <c r="K1116" s="3" t="s">
        <v>63</v>
      </c>
      <c r="L1116" s="2" t="s">
        <v>11161</v>
      </c>
      <c r="M1116" s="2" t="s">
        <v>11162</v>
      </c>
      <c r="N1116" s="3" t="s">
        <v>2985</v>
      </c>
      <c r="P1116" s="3" t="s">
        <v>64</v>
      </c>
      <c r="R1116" s="3" t="s">
        <v>65</v>
      </c>
      <c r="S1116" s="4">
        <v>4</v>
      </c>
      <c r="T1116" s="4">
        <v>4</v>
      </c>
      <c r="U1116" s="5" t="s">
        <v>783</v>
      </c>
      <c r="V1116" s="5" t="s">
        <v>783</v>
      </c>
      <c r="W1116" s="5" t="s">
        <v>67</v>
      </c>
      <c r="X1116" s="5" t="s">
        <v>67</v>
      </c>
      <c r="Y1116" s="4">
        <v>239</v>
      </c>
      <c r="Z1116" s="4">
        <v>14</v>
      </c>
      <c r="AA1116" s="4">
        <v>109</v>
      </c>
      <c r="AB1116" s="4">
        <v>2</v>
      </c>
      <c r="AC1116" s="4">
        <v>18</v>
      </c>
      <c r="AD1116" s="4">
        <v>67</v>
      </c>
      <c r="AE1116" s="4">
        <v>131</v>
      </c>
      <c r="AF1116" s="4">
        <v>0</v>
      </c>
      <c r="AG1116" s="4">
        <v>8</v>
      </c>
      <c r="AH1116" s="4">
        <v>64</v>
      </c>
      <c r="AI1116" s="4">
        <v>92</v>
      </c>
      <c r="AJ1116" s="4">
        <v>5</v>
      </c>
      <c r="AK1116" s="4">
        <v>23</v>
      </c>
      <c r="AL1116" s="4">
        <v>38</v>
      </c>
      <c r="AM1116" s="4">
        <v>49</v>
      </c>
      <c r="AN1116" s="4">
        <v>0</v>
      </c>
      <c r="AO1116" s="4">
        <v>0</v>
      </c>
      <c r="AP1116" s="4">
        <v>6</v>
      </c>
      <c r="AQ1116" s="4">
        <v>45</v>
      </c>
      <c r="AR1116" s="3" t="s">
        <v>62</v>
      </c>
      <c r="AS1116" s="3" t="s">
        <v>62</v>
      </c>
      <c r="AT1116" s="3" t="s">
        <v>62</v>
      </c>
      <c r="AV1116" s="6" t="str">
        <f>HYPERLINK("http://mcgill.on.worldcat.org/oclc/230199525","Catalog Record")</f>
        <v>Catalog Record</v>
      </c>
      <c r="AW1116" s="6" t="str">
        <f>HYPERLINK("http://www.worldcat.org/oclc/230199525","WorldCat Record")</f>
        <v>WorldCat Record</v>
      </c>
      <c r="AX1116" s="3" t="s">
        <v>11163</v>
      </c>
      <c r="AY1116" s="3" t="s">
        <v>11164</v>
      </c>
      <c r="AZ1116" s="3" t="s">
        <v>11165</v>
      </c>
      <c r="BA1116" s="3" t="s">
        <v>11165</v>
      </c>
      <c r="BB1116" s="3" t="s">
        <v>11166</v>
      </c>
      <c r="BC1116" s="3" t="s">
        <v>102</v>
      </c>
      <c r="BD1116" s="3" t="s">
        <v>231</v>
      </c>
      <c r="BE1116" s="3" t="s">
        <v>11167</v>
      </c>
      <c r="BF1116" s="3" t="s">
        <v>11166</v>
      </c>
      <c r="BG1116" s="3" t="s">
        <v>11168</v>
      </c>
    </row>
    <row r="1117" spans="1:59" ht="58" x14ac:dyDescent="0.35">
      <c r="A1117" s="2" t="s">
        <v>89</v>
      </c>
      <c r="B1117" s="2" t="s">
        <v>90</v>
      </c>
      <c r="C1117" s="2" t="s">
        <v>11169</v>
      </c>
      <c r="D1117" s="2" t="s">
        <v>11170</v>
      </c>
      <c r="E1117" s="2" t="s">
        <v>11171</v>
      </c>
      <c r="G1117" s="3" t="s">
        <v>62</v>
      </c>
      <c r="I1117" s="3" t="s">
        <v>62</v>
      </c>
      <c r="J1117" s="3" t="s">
        <v>62</v>
      </c>
      <c r="K1117" s="3" t="s">
        <v>63</v>
      </c>
      <c r="L1117" s="2" t="s">
        <v>11172</v>
      </c>
      <c r="M1117" s="2" t="s">
        <v>11173</v>
      </c>
      <c r="N1117" s="3" t="s">
        <v>880</v>
      </c>
      <c r="P1117" s="3" t="s">
        <v>64</v>
      </c>
      <c r="Q1117" s="2" t="s">
        <v>11174</v>
      </c>
      <c r="R1117" s="3" t="s">
        <v>65</v>
      </c>
      <c r="S1117" s="4">
        <v>2</v>
      </c>
      <c r="T1117" s="4">
        <v>2</v>
      </c>
      <c r="U1117" s="5" t="s">
        <v>11175</v>
      </c>
      <c r="V1117" s="5" t="s">
        <v>11175</v>
      </c>
      <c r="W1117" s="5" t="s">
        <v>67</v>
      </c>
      <c r="X1117" s="5" t="s">
        <v>67</v>
      </c>
      <c r="Y1117" s="4">
        <v>70</v>
      </c>
      <c r="Z1117" s="4">
        <v>5</v>
      </c>
      <c r="AA1117" s="4">
        <v>73</v>
      </c>
      <c r="AB1117" s="4">
        <v>1</v>
      </c>
      <c r="AC1117" s="4">
        <v>14</v>
      </c>
      <c r="AD1117" s="4">
        <v>28</v>
      </c>
      <c r="AE1117" s="4">
        <v>92</v>
      </c>
      <c r="AF1117" s="4">
        <v>0</v>
      </c>
      <c r="AG1117" s="4">
        <v>8</v>
      </c>
      <c r="AH1117" s="4">
        <v>24</v>
      </c>
      <c r="AI1117" s="4">
        <v>59</v>
      </c>
      <c r="AJ1117" s="4">
        <v>3</v>
      </c>
      <c r="AK1117" s="4">
        <v>17</v>
      </c>
      <c r="AL1117" s="4">
        <v>16</v>
      </c>
      <c r="AM1117" s="4">
        <v>29</v>
      </c>
      <c r="AN1117" s="4">
        <v>0</v>
      </c>
      <c r="AO1117" s="4">
        <v>0</v>
      </c>
      <c r="AP1117" s="4">
        <v>4</v>
      </c>
      <c r="AQ1117" s="4">
        <v>38</v>
      </c>
      <c r="AR1117" s="3" t="s">
        <v>62</v>
      </c>
      <c r="AS1117" s="3" t="s">
        <v>62</v>
      </c>
      <c r="AT1117" s="3" t="s">
        <v>62</v>
      </c>
      <c r="AV1117" s="6" t="str">
        <f>HYPERLINK("http://mcgill.on.worldcat.org/oclc/558665578","Catalog Record")</f>
        <v>Catalog Record</v>
      </c>
      <c r="AW1117" s="6" t="str">
        <f>HYPERLINK("http://www.worldcat.org/oclc/558665578","WorldCat Record")</f>
        <v>WorldCat Record</v>
      </c>
      <c r="AX1117" s="3" t="s">
        <v>11176</v>
      </c>
      <c r="AY1117" s="3" t="s">
        <v>11177</v>
      </c>
      <c r="AZ1117" s="3" t="s">
        <v>11178</v>
      </c>
      <c r="BA1117" s="3" t="s">
        <v>11178</v>
      </c>
      <c r="BB1117" s="3" t="s">
        <v>11179</v>
      </c>
      <c r="BC1117" s="3" t="s">
        <v>102</v>
      </c>
      <c r="BD1117" s="3" t="s">
        <v>68</v>
      </c>
      <c r="BE1117" s="3" t="s">
        <v>11180</v>
      </c>
      <c r="BF1117" s="3" t="s">
        <v>11179</v>
      </c>
      <c r="BG1117" s="3" t="s">
        <v>11181</v>
      </c>
    </row>
    <row r="1118" spans="1:59" ht="58" x14ac:dyDescent="0.35">
      <c r="A1118" s="2" t="s">
        <v>89</v>
      </c>
      <c r="B1118" s="2" t="s">
        <v>90</v>
      </c>
      <c r="C1118" s="2" t="s">
        <v>11182</v>
      </c>
      <c r="D1118" s="2" t="s">
        <v>11183</v>
      </c>
      <c r="E1118" s="2" t="s">
        <v>11184</v>
      </c>
      <c r="G1118" s="3" t="s">
        <v>62</v>
      </c>
      <c r="I1118" s="3" t="s">
        <v>62</v>
      </c>
      <c r="J1118" s="3" t="s">
        <v>62</v>
      </c>
      <c r="K1118" s="3" t="s">
        <v>63</v>
      </c>
      <c r="L1118" s="2" t="s">
        <v>11185</v>
      </c>
      <c r="M1118" s="2" t="s">
        <v>11186</v>
      </c>
      <c r="N1118" s="3" t="s">
        <v>698</v>
      </c>
      <c r="P1118" s="3" t="s">
        <v>64</v>
      </c>
      <c r="R1118" s="3" t="s">
        <v>65</v>
      </c>
      <c r="S1118" s="4">
        <v>0</v>
      </c>
      <c r="T1118" s="4">
        <v>0</v>
      </c>
      <c r="W1118" s="5" t="s">
        <v>67</v>
      </c>
      <c r="X1118" s="5" t="s">
        <v>67</v>
      </c>
      <c r="Y1118" s="4">
        <v>73</v>
      </c>
      <c r="Z1118" s="4">
        <v>10</v>
      </c>
      <c r="AA1118" s="4">
        <v>79</v>
      </c>
      <c r="AB1118" s="4">
        <v>2</v>
      </c>
      <c r="AC1118" s="4">
        <v>15</v>
      </c>
      <c r="AD1118" s="4">
        <v>29</v>
      </c>
      <c r="AE1118" s="4">
        <v>104</v>
      </c>
      <c r="AF1118" s="4">
        <v>1</v>
      </c>
      <c r="AG1118" s="4">
        <v>8</v>
      </c>
      <c r="AH1118" s="4">
        <v>24</v>
      </c>
      <c r="AI1118" s="4">
        <v>69</v>
      </c>
      <c r="AJ1118" s="4">
        <v>6</v>
      </c>
      <c r="AK1118" s="4">
        <v>21</v>
      </c>
      <c r="AL1118" s="4">
        <v>13</v>
      </c>
      <c r="AM1118" s="4">
        <v>34</v>
      </c>
      <c r="AN1118" s="4">
        <v>0</v>
      </c>
      <c r="AO1118" s="4">
        <v>0</v>
      </c>
      <c r="AP1118" s="4">
        <v>8</v>
      </c>
      <c r="AQ1118" s="4">
        <v>42</v>
      </c>
      <c r="AR1118" s="3" t="s">
        <v>62</v>
      </c>
      <c r="AS1118" s="3" t="s">
        <v>62</v>
      </c>
      <c r="AT1118" s="3" t="s">
        <v>62</v>
      </c>
      <c r="AV1118" s="6" t="str">
        <f>HYPERLINK("http://mcgill.on.worldcat.org/oclc/738351743","Catalog Record")</f>
        <v>Catalog Record</v>
      </c>
      <c r="AW1118" s="6" t="str">
        <f>HYPERLINK("http://www.worldcat.org/oclc/738351743","WorldCat Record")</f>
        <v>WorldCat Record</v>
      </c>
      <c r="AX1118" s="3" t="s">
        <v>11187</v>
      </c>
      <c r="AY1118" s="3" t="s">
        <v>11188</v>
      </c>
      <c r="AZ1118" s="3" t="s">
        <v>11189</v>
      </c>
      <c r="BA1118" s="3" t="s">
        <v>11189</v>
      </c>
      <c r="BB1118" s="3" t="s">
        <v>11190</v>
      </c>
      <c r="BC1118" s="3" t="s">
        <v>102</v>
      </c>
      <c r="BD1118" s="3" t="s">
        <v>68</v>
      </c>
      <c r="BE1118" s="3" t="s">
        <v>11191</v>
      </c>
      <c r="BF1118" s="3" t="s">
        <v>11190</v>
      </c>
      <c r="BG1118" s="3" t="s">
        <v>11192</v>
      </c>
    </row>
    <row r="1119" spans="1:59" ht="58" x14ac:dyDescent="0.35">
      <c r="A1119" s="2" t="s">
        <v>89</v>
      </c>
      <c r="B1119" s="2" t="s">
        <v>90</v>
      </c>
      <c r="C1119" s="2" t="s">
        <v>11193</v>
      </c>
      <c r="D1119" s="2" t="s">
        <v>11194</v>
      </c>
      <c r="E1119" s="2" t="s">
        <v>11195</v>
      </c>
      <c r="G1119" s="3" t="s">
        <v>62</v>
      </c>
      <c r="I1119" s="3" t="s">
        <v>62</v>
      </c>
      <c r="J1119" s="3" t="s">
        <v>62</v>
      </c>
      <c r="K1119" s="3" t="s">
        <v>63</v>
      </c>
      <c r="M1119" s="2" t="s">
        <v>11123</v>
      </c>
      <c r="N1119" s="3" t="s">
        <v>684</v>
      </c>
      <c r="P1119" s="3" t="s">
        <v>64</v>
      </c>
      <c r="R1119" s="3" t="s">
        <v>65</v>
      </c>
      <c r="S1119" s="4">
        <v>1</v>
      </c>
      <c r="T1119" s="4">
        <v>1</v>
      </c>
      <c r="U1119" s="5" t="s">
        <v>11196</v>
      </c>
      <c r="V1119" s="5" t="s">
        <v>11196</v>
      </c>
      <c r="W1119" s="5" t="s">
        <v>67</v>
      </c>
      <c r="X1119" s="5" t="s">
        <v>67</v>
      </c>
      <c r="Y1119" s="4">
        <v>34</v>
      </c>
      <c r="Z1119" s="4">
        <v>9</v>
      </c>
      <c r="AA1119" s="4">
        <v>42</v>
      </c>
      <c r="AB1119" s="4">
        <v>1</v>
      </c>
      <c r="AC1119" s="4">
        <v>9</v>
      </c>
      <c r="AD1119" s="4">
        <v>12</v>
      </c>
      <c r="AE1119" s="4">
        <v>71</v>
      </c>
      <c r="AF1119" s="4">
        <v>0</v>
      </c>
      <c r="AG1119" s="4">
        <v>5</v>
      </c>
      <c r="AH1119" s="4">
        <v>10</v>
      </c>
      <c r="AI1119" s="4">
        <v>44</v>
      </c>
      <c r="AJ1119" s="4">
        <v>5</v>
      </c>
      <c r="AK1119" s="4">
        <v>21</v>
      </c>
      <c r="AL1119" s="4">
        <v>5</v>
      </c>
      <c r="AM1119" s="4">
        <v>20</v>
      </c>
      <c r="AN1119" s="4">
        <v>0</v>
      </c>
      <c r="AO1119" s="4">
        <v>0</v>
      </c>
      <c r="AP1119" s="4">
        <v>6</v>
      </c>
      <c r="AQ1119" s="4">
        <v>35</v>
      </c>
      <c r="AR1119" s="3" t="s">
        <v>62</v>
      </c>
      <c r="AS1119" s="3" t="s">
        <v>62</v>
      </c>
      <c r="AT1119" s="3" t="s">
        <v>62</v>
      </c>
      <c r="AV1119" s="6" t="str">
        <f>HYPERLINK("http://mcgill.on.worldcat.org/oclc/727633781","Catalog Record")</f>
        <v>Catalog Record</v>
      </c>
      <c r="AW1119" s="6" t="str">
        <f>HYPERLINK("http://www.worldcat.org/oclc/727633781","WorldCat Record")</f>
        <v>WorldCat Record</v>
      </c>
      <c r="AX1119" s="3" t="s">
        <v>11197</v>
      </c>
      <c r="AY1119" s="3" t="s">
        <v>11198</v>
      </c>
      <c r="AZ1119" s="3" t="s">
        <v>11199</v>
      </c>
      <c r="BA1119" s="3" t="s">
        <v>11199</v>
      </c>
      <c r="BB1119" s="3" t="s">
        <v>11200</v>
      </c>
      <c r="BC1119" s="3" t="s">
        <v>102</v>
      </c>
      <c r="BD1119" s="3" t="s">
        <v>68</v>
      </c>
      <c r="BE1119" s="3" t="s">
        <v>11201</v>
      </c>
      <c r="BF1119" s="3" t="s">
        <v>11200</v>
      </c>
      <c r="BG1119" s="3" t="s">
        <v>11202</v>
      </c>
    </row>
    <row r="1120" spans="1:59" ht="58" x14ac:dyDescent="0.35">
      <c r="A1120" s="2" t="s">
        <v>89</v>
      </c>
      <c r="B1120" s="2" t="s">
        <v>90</v>
      </c>
      <c r="C1120" s="2" t="s">
        <v>11203</v>
      </c>
      <c r="D1120" s="2" t="s">
        <v>11204</v>
      </c>
      <c r="E1120" s="2" t="s">
        <v>11205</v>
      </c>
      <c r="G1120" s="3" t="s">
        <v>62</v>
      </c>
      <c r="I1120" s="3" t="s">
        <v>62</v>
      </c>
      <c r="J1120" s="3" t="s">
        <v>62</v>
      </c>
      <c r="K1120" s="3" t="s">
        <v>63</v>
      </c>
      <c r="M1120" s="2" t="s">
        <v>11206</v>
      </c>
      <c r="N1120" s="3" t="s">
        <v>596</v>
      </c>
      <c r="P1120" s="3" t="s">
        <v>64</v>
      </c>
      <c r="R1120" s="3" t="s">
        <v>65</v>
      </c>
      <c r="S1120" s="4">
        <v>17</v>
      </c>
      <c r="T1120" s="4">
        <v>17</v>
      </c>
      <c r="U1120" s="5" t="s">
        <v>11207</v>
      </c>
      <c r="V1120" s="5" t="s">
        <v>11207</v>
      </c>
      <c r="W1120" s="5" t="s">
        <v>67</v>
      </c>
      <c r="X1120" s="5" t="s">
        <v>67</v>
      </c>
      <c r="Y1120" s="4">
        <v>140</v>
      </c>
      <c r="Z1120" s="4">
        <v>8</v>
      </c>
      <c r="AA1120" s="4">
        <v>74</v>
      </c>
      <c r="AB1120" s="4">
        <v>2</v>
      </c>
      <c r="AC1120" s="4">
        <v>16</v>
      </c>
      <c r="AD1120" s="4">
        <v>49</v>
      </c>
      <c r="AE1120" s="4">
        <v>111</v>
      </c>
      <c r="AF1120" s="4">
        <v>0</v>
      </c>
      <c r="AG1120" s="4">
        <v>8</v>
      </c>
      <c r="AH1120" s="4">
        <v>46</v>
      </c>
      <c r="AI1120" s="4">
        <v>81</v>
      </c>
      <c r="AJ1120" s="4">
        <v>5</v>
      </c>
      <c r="AK1120" s="4">
        <v>21</v>
      </c>
      <c r="AL1120" s="4">
        <v>28</v>
      </c>
      <c r="AM1120" s="4">
        <v>43</v>
      </c>
      <c r="AN1120" s="4">
        <v>0</v>
      </c>
      <c r="AO1120" s="4">
        <v>0</v>
      </c>
      <c r="AP1120" s="4">
        <v>5</v>
      </c>
      <c r="AQ1120" s="4">
        <v>37</v>
      </c>
      <c r="AR1120" s="3" t="s">
        <v>62</v>
      </c>
      <c r="AS1120" s="3" t="s">
        <v>62</v>
      </c>
      <c r="AT1120" s="3" t="s">
        <v>62</v>
      </c>
      <c r="AV1120" s="6" t="str">
        <f>HYPERLINK("http://mcgill.on.worldcat.org/oclc/47705532","Catalog Record")</f>
        <v>Catalog Record</v>
      </c>
      <c r="AW1120" s="6" t="str">
        <f>HYPERLINK("http://www.worldcat.org/oclc/47705532","WorldCat Record")</f>
        <v>WorldCat Record</v>
      </c>
      <c r="AX1120" s="3" t="s">
        <v>11208</v>
      </c>
      <c r="AY1120" s="3" t="s">
        <v>11209</v>
      </c>
      <c r="AZ1120" s="3" t="s">
        <v>11210</v>
      </c>
      <c r="BA1120" s="3" t="s">
        <v>11210</v>
      </c>
      <c r="BB1120" s="3" t="s">
        <v>11211</v>
      </c>
      <c r="BC1120" s="3" t="s">
        <v>102</v>
      </c>
      <c r="BD1120" s="3" t="s">
        <v>68</v>
      </c>
      <c r="BE1120" s="3" t="s">
        <v>11212</v>
      </c>
      <c r="BF1120" s="3" t="s">
        <v>11211</v>
      </c>
      <c r="BG1120" s="3" t="s">
        <v>11213</v>
      </c>
    </row>
    <row r="1121" spans="1:59" ht="58" x14ac:dyDescent="0.35">
      <c r="A1121" s="2" t="s">
        <v>89</v>
      </c>
      <c r="B1121" s="2" t="s">
        <v>90</v>
      </c>
      <c r="C1121" s="2" t="s">
        <v>11214</v>
      </c>
      <c r="D1121" s="2" t="s">
        <v>11215</v>
      </c>
      <c r="E1121" s="2" t="s">
        <v>11216</v>
      </c>
      <c r="G1121" s="3" t="s">
        <v>62</v>
      </c>
      <c r="I1121" s="3" t="s">
        <v>62</v>
      </c>
      <c r="J1121" s="3" t="s">
        <v>62</v>
      </c>
      <c r="K1121" s="3" t="s">
        <v>63</v>
      </c>
      <c r="L1121" s="2" t="s">
        <v>11217</v>
      </c>
      <c r="M1121" s="2" t="s">
        <v>11218</v>
      </c>
      <c r="N1121" s="3" t="s">
        <v>640</v>
      </c>
      <c r="P1121" s="3" t="s">
        <v>64</v>
      </c>
      <c r="Q1121" s="2" t="s">
        <v>11219</v>
      </c>
      <c r="R1121" s="3" t="s">
        <v>65</v>
      </c>
      <c r="S1121" s="4">
        <v>16</v>
      </c>
      <c r="T1121" s="4">
        <v>16</v>
      </c>
      <c r="U1121" s="5" t="s">
        <v>8758</v>
      </c>
      <c r="V1121" s="5" t="s">
        <v>8758</v>
      </c>
      <c r="W1121" s="5" t="s">
        <v>67</v>
      </c>
      <c r="X1121" s="5" t="s">
        <v>67</v>
      </c>
      <c r="Y1121" s="4">
        <v>292</v>
      </c>
      <c r="Z1121" s="4">
        <v>32</v>
      </c>
      <c r="AA1121" s="4">
        <v>84</v>
      </c>
      <c r="AB1121" s="4">
        <v>2</v>
      </c>
      <c r="AC1121" s="4">
        <v>15</v>
      </c>
      <c r="AD1121" s="4">
        <v>99</v>
      </c>
      <c r="AE1121" s="4">
        <v>136</v>
      </c>
      <c r="AF1121" s="4">
        <v>1</v>
      </c>
      <c r="AG1121" s="4">
        <v>8</v>
      </c>
      <c r="AH1121" s="4">
        <v>81</v>
      </c>
      <c r="AI1121" s="4">
        <v>98</v>
      </c>
      <c r="AJ1121" s="4">
        <v>16</v>
      </c>
      <c r="AK1121" s="4">
        <v>25</v>
      </c>
      <c r="AL1121" s="4">
        <v>40</v>
      </c>
      <c r="AM1121" s="4">
        <v>49</v>
      </c>
      <c r="AN1121" s="4">
        <v>0</v>
      </c>
      <c r="AO1121" s="4">
        <v>0</v>
      </c>
      <c r="AP1121" s="4">
        <v>27</v>
      </c>
      <c r="AQ1121" s="4">
        <v>46</v>
      </c>
      <c r="AR1121" s="3" t="s">
        <v>62</v>
      </c>
      <c r="AS1121" s="3" t="s">
        <v>62</v>
      </c>
      <c r="AT1121" s="3" t="s">
        <v>62</v>
      </c>
      <c r="AV1121" s="6" t="str">
        <f>HYPERLINK("http://mcgill.on.worldcat.org/oclc/53871554","Catalog Record")</f>
        <v>Catalog Record</v>
      </c>
      <c r="AW1121" s="6" t="str">
        <f>HYPERLINK("http://www.worldcat.org/oclc/53871554","WorldCat Record")</f>
        <v>WorldCat Record</v>
      </c>
      <c r="AX1121" s="3" t="s">
        <v>11220</v>
      </c>
      <c r="AY1121" s="3" t="s">
        <v>11221</v>
      </c>
      <c r="AZ1121" s="3" t="s">
        <v>11222</v>
      </c>
      <c r="BA1121" s="3" t="s">
        <v>11222</v>
      </c>
      <c r="BB1121" s="3" t="s">
        <v>11223</v>
      </c>
      <c r="BC1121" s="3" t="s">
        <v>102</v>
      </c>
      <c r="BD1121" s="3" t="s">
        <v>68</v>
      </c>
      <c r="BE1121" s="3" t="s">
        <v>11224</v>
      </c>
      <c r="BF1121" s="3" t="s">
        <v>11223</v>
      </c>
      <c r="BG1121" s="3" t="s">
        <v>11225</v>
      </c>
    </row>
    <row r="1122" spans="1:59" ht="58" x14ac:dyDescent="0.35">
      <c r="A1122" s="2" t="s">
        <v>89</v>
      </c>
      <c r="B1122" s="2" t="s">
        <v>90</v>
      </c>
      <c r="C1122" s="2" t="s">
        <v>11226</v>
      </c>
      <c r="D1122" s="2" t="s">
        <v>11227</v>
      </c>
      <c r="E1122" s="2" t="s">
        <v>11228</v>
      </c>
      <c r="G1122" s="3" t="s">
        <v>62</v>
      </c>
      <c r="I1122" s="3" t="s">
        <v>62</v>
      </c>
      <c r="J1122" s="3" t="s">
        <v>62</v>
      </c>
      <c r="K1122" s="3" t="s">
        <v>63</v>
      </c>
      <c r="M1122" s="2" t="s">
        <v>11229</v>
      </c>
      <c r="N1122" s="3" t="s">
        <v>1905</v>
      </c>
      <c r="P1122" s="3" t="s">
        <v>64</v>
      </c>
      <c r="R1122" s="3" t="s">
        <v>65</v>
      </c>
      <c r="S1122" s="4">
        <v>16</v>
      </c>
      <c r="T1122" s="4">
        <v>16</v>
      </c>
      <c r="U1122" s="5" t="s">
        <v>11230</v>
      </c>
      <c r="V1122" s="5" t="s">
        <v>11230</v>
      </c>
      <c r="W1122" s="5" t="s">
        <v>67</v>
      </c>
      <c r="X1122" s="5" t="s">
        <v>67</v>
      </c>
      <c r="Y1122" s="4">
        <v>778</v>
      </c>
      <c r="Z1122" s="4">
        <v>35</v>
      </c>
      <c r="AA1122" s="4">
        <v>42</v>
      </c>
      <c r="AB1122" s="4">
        <v>2</v>
      </c>
      <c r="AC1122" s="4">
        <v>6</v>
      </c>
      <c r="AD1122" s="4">
        <v>123</v>
      </c>
      <c r="AE1122" s="4">
        <v>130</v>
      </c>
      <c r="AF1122" s="4">
        <v>1</v>
      </c>
      <c r="AG1122" s="4">
        <v>4</v>
      </c>
      <c r="AH1122" s="4">
        <v>102</v>
      </c>
      <c r="AI1122" s="4">
        <v>105</v>
      </c>
      <c r="AJ1122" s="4">
        <v>16</v>
      </c>
      <c r="AK1122" s="4">
        <v>21</v>
      </c>
      <c r="AL1122" s="4">
        <v>57</v>
      </c>
      <c r="AM1122" s="4">
        <v>58</v>
      </c>
      <c r="AN1122" s="4">
        <v>0</v>
      </c>
      <c r="AO1122" s="4">
        <v>0</v>
      </c>
      <c r="AP1122" s="4">
        <v>25</v>
      </c>
      <c r="AQ1122" s="4">
        <v>30</v>
      </c>
      <c r="AR1122" s="3" t="s">
        <v>62</v>
      </c>
      <c r="AS1122" s="3" t="s">
        <v>62</v>
      </c>
      <c r="AT1122" s="3" t="s">
        <v>62</v>
      </c>
      <c r="AV1122" s="6" t="str">
        <f>HYPERLINK("http://mcgill.on.worldcat.org/oclc/11532411","Catalog Record")</f>
        <v>Catalog Record</v>
      </c>
      <c r="AW1122" s="6" t="str">
        <f>HYPERLINK("http://www.worldcat.org/oclc/11532411","WorldCat Record")</f>
        <v>WorldCat Record</v>
      </c>
      <c r="AX1122" s="3" t="s">
        <v>11231</v>
      </c>
      <c r="AY1122" s="3" t="s">
        <v>11232</v>
      </c>
      <c r="AZ1122" s="3" t="s">
        <v>11233</v>
      </c>
      <c r="BA1122" s="3" t="s">
        <v>11233</v>
      </c>
      <c r="BB1122" s="3" t="s">
        <v>11234</v>
      </c>
      <c r="BC1122" s="3" t="s">
        <v>102</v>
      </c>
      <c r="BD1122" s="3" t="s">
        <v>68</v>
      </c>
      <c r="BE1122" s="3" t="s">
        <v>11235</v>
      </c>
      <c r="BF1122" s="3" t="s">
        <v>11234</v>
      </c>
      <c r="BG1122" s="3" t="s">
        <v>11236</v>
      </c>
    </row>
    <row r="1123" spans="1:59" ht="72.5" x14ac:dyDescent="0.35">
      <c r="A1123" s="2" t="s">
        <v>89</v>
      </c>
      <c r="B1123" s="2" t="s">
        <v>6791</v>
      </c>
      <c r="C1123" s="2" t="s">
        <v>11237</v>
      </c>
      <c r="D1123" s="2" t="s">
        <v>11238</v>
      </c>
      <c r="E1123" s="2" t="s">
        <v>11239</v>
      </c>
      <c r="G1123" s="3" t="s">
        <v>62</v>
      </c>
      <c r="I1123" s="3" t="s">
        <v>62</v>
      </c>
      <c r="J1123" s="3" t="s">
        <v>61</v>
      </c>
      <c r="K1123" s="3" t="s">
        <v>63</v>
      </c>
      <c r="M1123" s="2" t="s">
        <v>11240</v>
      </c>
      <c r="N1123" s="3" t="s">
        <v>2985</v>
      </c>
      <c r="O1123" s="2" t="s">
        <v>11241</v>
      </c>
      <c r="P1123" s="3" t="s">
        <v>64</v>
      </c>
      <c r="R1123" s="3" t="s">
        <v>65</v>
      </c>
      <c r="S1123" s="4">
        <v>2</v>
      </c>
      <c r="T1123" s="4">
        <v>2</v>
      </c>
      <c r="U1123" s="5" t="s">
        <v>11100</v>
      </c>
      <c r="V1123" s="5" t="s">
        <v>11100</v>
      </c>
      <c r="W1123" s="5" t="s">
        <v>67</v>
      </c>
      <c r="X1123" s="5" t="s">
        <v>67</v>
      </c>
      <c r="Y1123" s="4">
        <v>121</v>
      </c>
      <c r="Z1123" s="4">
        <v>14</v>
      </c>
      <c r="AA1123" s="4">
        <v>21</v>
      </c>
      <c r="AB1123" s="4">
        <v>1</v>
      </c>
      <c r="AC1123" s="4">
        <v>2</v>
      </c>
      <c r="AD1123" s="4">
        <v>22</v>
      </c>
      <c r="AE1123" s="4">
        <v>39</v>
      </c>
      <c r="AF1123" s="4">
        <v>0</v>
      </c>
      <c r="AG1123" s="4">
        <v>0</v>
      </c>
      <c r="AH1123" s="4">
        <v>17</v>
      </c>
      <c r="AI1123" s="4">
        <v>30</v>
      </c>
      <c r="AJ1123" s="4">
        <v>7</v>
      </c>
      <c r="AK1123" s="4">
        <v>9</v>
      </c>
      <c r="AL1123" s="4">
        <v>8</v>
      </c>
      <c r="AM1123" s="4">
        <v>14</v>
      </c>
      <c r="AN1123" s="4">
        <v>0</v>
      </c>
      <c r="AO1123" s="4">
        <v>5</v>
      </c>
      <c r="AP1123" s="4">
        <v>12</v>
      </c>
      <c r="AQ1123" s="4">
        <v>17</v>
      </c>
      <c r="AR1123" s="3" t="s">
        <v>62</v>
      </c>
      <c r="AS1123" s="3" t="s">
        <v>62</v>
      </c>
      <c r="AT1123" s="3" t="s">
        <v>62</v>
      </c>
      <c r="AV1123" s="6" t="str">
        <f>HYPERLINK("http://mcgill.on.worldcat.org/oclc/191865713","Catalog Record")</f>
        <v>Catalog Record</v>
      </c>
      <c r="AW1123" s="6" t="str">
        <f>HYPERLINK("http://www.worldcat.org/oclc/191865713","WorldCat Record")</f>
        <v>WorldCat Record</v>
      </c>
      <c r="AX1123" s="3" t="s">
        <v>11242</v>
      </c>
      <c r="AY1123" s="3" t="s">
        <v>11243</v>
      </c>
      <c r="AZ1123" s="3" t="s">
        <v>11244</v>
      </c>
      <c r="BA1123" s="3" t="s">
        <v>11244</v>
      </c>
      <c r="BB1123" s="3" t="s">
        <v>11245</v>
      </c>
      <c r="BC1123" s="3" t="s">
        <v>102</v>
      </c>
      <c r="BD1123" s="3" t="s">
        <v>68</v>
      </c>
      <c r="BE1123" s="3" t="s">
        <v>11246</v>
      </c>
      <c r="BF1123" s="3" t="s">
        <v>11245</v>
      </c>
      <c r="BG1123" s="3" t="s">
        <v>11247</v>
      </c>
    </row>
    <row r="1124" spans="1:59" ht="58" x14ac:dyDescent="0.35">
      <c r="A1124" s="2" t="s">
        <v>89</v>
      </c>
      <c r="B1124" s="2" t="s">
        <v>90</v>
      </c>
      <c r="C1124" s="2" t="s">
        <v>11248</v>
      </c>
      <c r="D1124" s="2" t="s">
        <v>11249</v>
      </c>
      <c r="E1124" s="2" t="s">
        <v>11250</v>
      </c>
      <c r="G1124" s="3" t="s">
        <v>62</v>
      </c>
      <c r="I1124" s="3" t="s">
        <v>61</v>
      </c>
      <c r="J1124" s="3" t="s">
        <v>62</v>
      </c>
      <c r="K1124" s="3" t="s">
        <v>63</v>
      </c>
      <c r="M1124" s="2" t="s">
        <v>11251</v>
      </c>
      <c r="N1124" s="3" t="s">
        <v>524</v>
      </c>
      <c r="P1124" s="3" t="s">
        <v>64</v>
      </c>
      <c r="Q1124" s="2" t="s">
        <v>11252</v>
      </c>
      <c r="R1124" s="3" t="s">
        <v>65</v>
      </c>
      <c r="S1124" s="4">
        <v>34</v>
      </c>
      <c r="T1124" s="4">
        <v>47</v>
      </c>
      <c r="U1124" s="5" t="s">
        <v>4583</v>
      </c>
      <c r="V1124" s="5" t="s">
        <v>4583</v>
      </c>
      <c r="W1124" s="5" t="s">
        <v>67</v>
      </c>
      <c r="X1124" s="5" t="s">
        <v>67</v>
      </c>
      <c r="Y1124" s="4">
        <v>672</v>
      </c>
      <c r="Z1124" s="4">
        <v>34</v>
      </c>
      <c r="AA1124" s="4">
        <v>41</v>
      </c>
      <c r="AB1124" s="4">
        <v>2</v>
      </c>
      <c r="AC1124" s="4">
        <v>4</v>
      </c>
      <c r="AD1124" s="4">
        <v>117</v>
      </c>
      <c r="AE1124" s="4">
        <v>129</v>
      </c>
      <c r="AF1124" s="4">
        <v>1</v>
      </c>
      <c r="AG1124" s="4">
        <v>3</v>
      </c>
      <c r="AH1124" s="4">
        <v>98</v>
      </c>
      <c r="AI1124" s="4">
        <v>105</v>
      </c>
      <c r="AJ1124" s="4">
        <v>16</v>
      </c>
      <c r="AK1124" s="4">
        <v>20</v>
      </c>
      <c r="AL1124" s="4">
        <v>55</v>
      </c>
      <c r="AM1124" s="4">
        <v>57</v>
      </c>
      <c r="AN1124" s="4">
        <v>0</v>
      </c>
      <c r="AO1124" s="4">
        <v>0</v>
      </c>
      <c r="AP1124" s="4">
        <v>26</v>
      </c>
      <c r="AQ1124" s="4">
        <v>33</v>
      </c>
      <c r="AR1124" s="3" t="s">
        <v>62</v>
      </c>
      <c r="AS1124" s="3" t="s">
        <v>62</v>
      </c>
      <c r="AT1124" s="3" t="s">
        <v>62</v>
      </c>
      <c r="AV1124" s="6" t="str">
        <f>HYPERLINK("http://mcgill.on.worldcat.org/oclc/31753711","Catalog Record")</f>
        <v>Catalog Record</v>
      </c>
      <c r="AW1124" s="6" t="str">
        <f>HYPERLINK("http://www.worldcat.org/oclc/31753711","WorldCat Record")</f>
        <v>WorldCat Record</v>
      </c>
      <c r="AX1124" s="3" t="s">
        <v>11253</v>
      </c>
      <c r="AY1124" s="3" t="s">
        <v>11254</v>
      </c>
      <c r="AZ1124" s="3" t="s">
        <v>11255</v>
      </c>
      <c r="BA1124" s="3" t="s">
        <v>11255</v>
      </c>
      <c r="BB1124" s="3" t="s">
        <v>11256</v>
      </c>
      <c r="BC1124" s="3" t="s">
        <v>102</v>
      </c>
      <c r="BD1124" s="3" t="s">
        <v>68</v>
      </c>
      <c r="BE1124" s="3" t="s">
        <v>11257</v>
      </c>
      <c r="BF1124" s="3" t="s">
        <v>11256</v>
      </c>
      <c r="BG1124" s="3" t="s">
        <v>11258</v>
      </c>
    </row>
    <row r="1125" spans="1:59" ht="58" x14ac:dyDescent="0.35">
      <c r="A1125" s="2" t="s">
        <v>89</v>
      </c>
      <c r="B1125" s="2" t="s">
        <v>6791</v>
      </c>
      <c r="C1125" s="2" t="s">
        <v>11259</v>
      </c>
      <c r="D1125" s="2" t="s">
        <v>11260</v>
      </c>
      <c r="E1125" s="2" t="s">
        <v>11261</v>
      </c>
      <c r="G1125" s="3" t="s">
        <v>62</v>
      </c>
      <c r="I1125" s="3" t="s">
        <v>62</v>
      </c>
      <c r="J1125" s="3" t="s">
        <v>61</v>
      </c>
      <c r="K1125" s="3" t="s">
        <v>63</v>
      </c>
      <c r="L1125" s="2" t="s">
        <v>11262</v>
      </c>
      <c r="M1125" s="2" t="s">
        <v>11263</v>
      </c>
      <c r="N1125" s="3" t="s">
        <v>1064</v>
      </c>
      <c r="P1125" s="3" t="s">
        <v>64</v>
      </c>
      <c r="R1125" s="3" t="s">
        <v>65</v>
      </c>
      <c r="S1125" s="4">
        <v>2</v>
      </c>
      <c r="T1125" s="4">
        <v>2</v>
      </c>
      <c r="U1125" s="5" t="s">
        <v>11149</v>
      </c>
      <c r="V1125" s="5" t="s">
        <v>11149</v>
      </c>
      <c r="W1125" s="5" t="s">
        <v>67</v>
      </c>
      <c r="X1125" s="5" t="s">
        <v>67</v>
      </c>
      <c r="Y1125" s="4">
        <v>256</v>
      </c>
      <c r="Z1125" s="4">
        <v>16</v>
      </c>
      <c r="AA1125" s="4">
        <v>30</v>
      </c>
      <c r="AB1125" s="4">
        <v>1</v>
      </c>
      <c r="AC1125" s="4">
        <v>4</v>
      </c>
      <c r="AD1125" s="4">
        <v>59</v>
      </c>
      <c r="AE1125" s="4">
        <v>103</v>
      </c>
      <c r="AF1125" s="4">
        <v>0</v>
      </c>
      <c r="AG1125" s="4">
        <v>2</v>
      </c>
      <c r="AH1125" s="4">
        <v>52</v>
      </c>
      <c r="AI1125" s="4">
        <v>88</v>
      </c>
      <c r="AJ1125" s="4">
        <v>7</v>
      </c>
      <c r="AK1125" s="4">
        <v>14</v>
      </c>
      <c r="AL1125" s="4">
        <v>27</v>
      </c>
      <c r="AM1125" s="4">
        <v>46</v>
      </c>
      <c r="AN1125" s="4">
        <v>0</v>
      </c>
      <c r="AO1125" s="4">
        <v>0</v>
      </c>
      <c r="AP1125" s="4">
        <v>13</v>
      </c>
      <c r="AQ1125" s="4">
        <v>22</v>
      </c>
      <c r="AR1125" s="3" t="s">
        <v>62</v>
      </c>
      <c r="AS1125" s="3" t="s">
        <v>62</v>
      </c>
      <c r="AT1125" s="3" t="s">
        <v>61</v>
      </c>
      <c r="AU1125" s="6" t="str">
        <f>HYPERLINK("http://catalog.hathitrust.org/Record/007903402","HathiTrust Record")</f>
        <v>HathiTrust Record</v>
      </c>
      <c r="AV1125" s="6" t="str">
        <f>HYPERLINK("http://mcgill.on.worldcat.org/oclc/101364","Catalog Record")</f>
        <v>Catalog Record</v>
      </c>
      <c r="AW1125" s="6" t="str">
        <f>HYPERLINK("http://www.worldcat.org/oclc/101364","WorldCat Record")</f>
        <v>WorldCat Record</v>
      </c>
      <c r="AX1125" s="3" t="s">
        <v>11264</v>
      </c>
      <c r="AY1125" s="3" t="s">
        <v>11265</v>
      </c>
      <c r="AZ1125" s="3" t="s">
        <v>11266</v>
      </c>
      <c r="BA1125" s="3" t="s">
        <v>11266</v>
      </c>
      <c r="BB1125" s="3" t="s">
        <v>11267</v>
      </c>
      <c r="BC1125" s="3" t="s">
        <v>102</v>
      </c>
      <c r="BD1125" s="3" t="s">
        <v>68</v>
      </c>
      <c r="BF1125" s="3" t="s">
        <v>11267</v>
      </c>
      <c r="BG1125" s="3" t="s">
        <v>11268</v>
      </c>
    </row>
    <row r="1126" spans="1:59" ht="58" x14ac:dyDescent="0.35">
      <c r="A1126" s="2" t="s">
        <v>89</v>
      </c>
      <c r="B1126" s="2" t="s">
        <v>90</v>
      </c>
      <c r="C1126" s="2" t="s">
        <v>11269</v>
      </c>
      <c r="D1126" s="2" t="s">
        <v>11270</v>
      </c>
      <c r="E1126" s="2" t="s">
        <v>11271</v>
      </c>
      <c r="G1126" s="3" t="s">
        <v>62</v>
      </c>
      <c r="I1126" s="3" t="s">
        <v>62</v>
      </c>
      <c r="J1126" s="3" t="s">
        <v>62</v>
      </c>
      <c r="K1126" s="3" t="s">
        <v>63</v>
      </c>
      <c r="L1126" s="2" t="s">
        <v>11272</v>
      </c>
      <c r="M1126" s="2" t="s">
        <v>11273</v>
      </c>
      <c r="N1126" s="3" t="s">
        <v>424</v>
      </c>
      <c r="P1126" s="3" t="s">
        <v>64</v>
      </c>
      <c r="R1126" s="3" t="s">
        <v>65</v>
      </c>
      <c r="S1126" s="4">
        <v>19</v>
      </c>
      <c r="T1126" s="4">
        <v>19</v>
      </c>
      <c r="U1126" s="5" t="s">
        <v>11274</v>
      </c>
      <c r="V1126" s="5" t="s">
        <v>11274</v>
      </c>
      <c r="W1126" s="5" t="s">
        <v>67</v>
      </c>
      <c r="X1126" s="5" t="s">
        <v>67</v>
      </c>
      <c r="Y1126" s="4">
        <v>342</v>
      </c>
      <c r="Z1126" s="4">
        <v>14</v>
      </c>
      <c r="AA1126" s="4">
        <v>18</v>
      </c>
      <c r="AB1126" s="4">
        <v>2</v>
      </c>
      <c r="AC1126" s="4">
        <v>4</v>
      </c>
      <c r="AD1126" s="4">
        <v>69</v>
      </c>
      <c r="AE1126" s="4">
        <v>72</v>
      </c>
      <c r="AF1126" s="4">
        <v>1</v>
      </c>
      <c r="AG1126" s="4">
        <v>3</v>
      </c>
      <c r="AH1126" s="4">
        <v>60</v>
      </c>
      <c r="AI1126" s="4">
        <v>60</v>
      </c>
      <c r="AJ1126" s="4">
        <v>7</v>
      </c>
      <c r="AK1126" s="4">
        <v>10</v>
      </c>
      <c r="AL1126" s="4">
        <v>34</v>
      </c>
      <c r="AM1126" s="4">
        <v>34</v>
      </c>
      <c r="AN1126" s="4">
        <v>0</v>
      </c>
      <c r="AO1126" s="4">
        <v>0</v>
      </c>
      <c r="AP1126" s="4">
        <v>11</v>
      </c>
      <c r="AQ1126" s="4">
        <v>13</v>
      </c>
      <c r="AR1126" s="3" t="s">
        <v>62</v>
      </c>
      <c r="AS1126" s="3" t="s">
        <v>62</v>
      </c>
      <c r="AT1126" s="3" t="s">
        <v>62</v>
      </c>
      <c r="AV1126" s="6" t="str">
        <f>HYPERLINK("http://mcgill.on.worldcat.org/oclc/16226167","Catalog Record")</f>
        <v>Catalog Record</v>
      </c>
      <c r="AW1126" s="6" t="str">
        <f>HYPERLINK("http://www.worldcat.org/oclc/16226167","WorldCat Record")</f>
        <v>WorldCat Record</v>
      </c>
      <c r="AX1126" s="3" t="s">
        <v>11275</v>
      </c>
      <c r="AY1126" s="3" t="s">
        <v>11276</v>
      </c>
      <c r="AZ1126" s="3" t="s">
        <v>11277</v>
      </c>
      <c r="BA1126" s="3" t="s">
        <v>11277</v>
      </c>
      <c r="BB1126" s="3" t="s">
        <v>11278</v>
      </c>
      <c r="BC1126" s="3" t="s">
        <v>102</v>
      </c>
      <c r="BD1126" s="3" t="s">
        <v>68</v>
      </c>
      <c r="BE1126" s="3" t="s">
        <v>11279</v>
      </c>
      <c r="BF1126" s="3" t="s">
        <v>11278</v>
      </c>
      <c r="BG1126" s="3" t="s">
        <v>11280</v>
      </c>
    </row>
    <row r="1127" spans="1:59" ht="58" x14ac:dyDescent="0.35">
      <c r="A1127" s="2" t="s">
        <v>89</v>
      </c>
      <c r="B1127" s="2" t="s">
        <v>6791</v>
      </c>
      <c r="C1127" s="2" t="s">
        <v>11281</v>
      </c>
      <c r="D1127" s="2" t="s">
        <v>11282</v>
      </c>
      <c r="E1127" s="2" t="s">
        <v>11283</v>
      </c>
      <c r="G1127" s="3" t="s">
        <v>62</v>
      </c>
      <c r="I1127" s="3" t="s">
        <v>62</v>
      </c>
      <c r="J1127" s="3" t="s">
        <v>62</v>
      </c>
      <c r="K1127" s="3" t="s">
        <v>63</v>
      </c>
      <c r="M1127" s="2" t="s">
        <v>11284</v>
      </c>
      <c r="N1127" s="3" t="s">
        <v>1455</v>
      </c>
      <c r="P1127" s="3" t="s">
        <v>64</v>
      </c>
      <c r="Q1127" s="2" t="s">
        <v>11285</v>
      </c>
      <c r="R1127" s="3" t="s">
        <v>65</v>
      </c>
      <c r="S1127" s="4">
        <v>0</v>
      </c>
      <c r="T1127" s="4">
        <v>0</v>
      </c>
      <c r="W1127" s="5" t="s">
        <v>67</v>
      </c>
      <c r="X1127" s="5" t="s">
        <v>67</v>
      </c>
      <c r="Y1127" s="4">
        <v>3</v>
      </c>
      <c r="Z1127" s="4">
        <v>1</v>
      </c>
      <c r="AA1127" s="4">
        <v>73</v>
      </c>
      <c r="AB1127" s="4">
        <v>1</v>
      </c>
      <c r="AC1127" s="4">
        <v>14</v>
      </c>
      <c r="AD1127" s="4">
        <v>1</v>
      </c>
      <c r="AE1127" s="4">
        <v>88</v>
      </c>
      <c r="AF1127" s="4">
        <v>0</v>
      </c>
      <c r="AG1127" s="4">
        <v>8</v>
      </c>
      <c r="AH1127" s="4">
        <v>1</v>
      </c>
      <c r="AI1127" s="4">
        <v>56</v>
      </c>
      <c r="AJ1127" s="4">
        <v>0</v>
      </c>
      <c r="AK1127" s="4">
        <v>19</v>
      </c>
      <c r="AL1127" s="4">
        <v>1</v>
      </c>
      <c r="AM1127" s="4">
        <v>26</v>
      </c>
      <c r="AN1127" s="4">
        <v>0</v>
      </c>
      <c r="AO1127" s="4">
        <v>0</v>
      </c>
      <c r="AP1127" s="4">
        <v>0</v>
      </c>
      <c r="AQ1127" s="4">
        <v>38</v>
      </c>
      <c r="AR1127" s="3" t="s">
        <v>62</v>
      </c>
      <c r="AS1127" s="3" t="s">
        <v>62</v>
      </c>
      <c r="AT1127" s="3" t="s">
        <v>62</v>
      </c>
      <c r="AV1127" s="6" t="str">
        <f>HYPERLINK("http://mcgill.on.worldcat.org/oclc/934536759","Catalog Record")</f>
        <v>Catalog Record</v>
      </c>
      <c r="AW1127" s="6" t="str">
        <f>HYPERLINK("http://www.worldcat.org/oclc/934536759","WorldCat Record")</f>
        <v>WorldCat Record</v>
      </c>
      <c r="AX1127" s="3" t="s">
        <v>11286</v>
      </c>
      <c r="AY1127" s="3" t="s">
        <v>11287</v>
      </c>
      <c r="AZ1127" s="3" t="s">
        <v>11288</v>
      </c>
      <c r="BA1127" s="3" t="s">
        <v>11288</v>
      </c>
      <c r="BB1127" s="3" t="s">
        <v>11289</v>
      </c>
      <c r="BC1127" s="3" t="s">
        <v>102</v>
      </c>
      <c r="BD1127" s="3" t="s">
        <v>68</v>
      </c>
      <c r="BE1127" s="3" t="s">
        <v>11290</v>
      </c>
      <c r="BF1127" s="3" t="s">
        <v>11289</v>
      </c>
      <c r="BG1127" s="3" t="s">
        <v>11291</v>
      </c>
    </row>
    <row r="1128" spans="1:59" ht="58" x14ac:dyDescent="0.35">
      <c r="A1128" s="2" t="s">
        <v>89</v>
      </c>
      <c r="B1128" s="2" t="s">
        <v>6791</v>
      </c>
      <c r="C1128" s="2" t="s">
        <v>11292</v>
      </c>
      <c r="D1128" s="2" t="s">
        <v>11293</v>
      </c>
      <c r="E1128" s="2" t="s">
        <v>11294</v>
      </c>
      <c r="G1128" s="3" t="s">
        <v>62</v>
      </c>
      <c r="I1128" s="3" t="s">
        <v>62</v>
      </c>
      <c r="J1128" s="3" t="s">
        <v>62</v>
      </c>
      <c r="K1128" s="3" t="s">
        <v>63</v>
      </c>
      <c r="M1128" s="2" t="s">
        <v>11295</v>
      </c>
      <c r="N1128" s="3" t="s">
        <v>438</v>
      </c>
      <c r="P1128" s="3" t="s">
        <v>64</v>
      </c>
      <c r="R1128" s="3" t="s">
        <v>65</v>
      </c>
      <c r="S1128" s="4">
        <v>36</v>
      </c>
      <c r="T1128" s="4">
        <v>36</v>
      </c>
      <c r="U1128" s="5" t="s">
        <v>3675</v>
      </c>
      <c r="V1128" s="5" t="s">
        <v>3675</v>
      </c>
      <c r="W1128" s="5" t="s">
        <v>67</v>
      </c>
      <c r="X1128" s="5" t="s">
        <v>67</v>
      </c>
      <c r="Y1128" s="4">
        <v>573</v>
      </c>
      <c r="Z1128" s="4">
        <v>24</v>
      </c>
      <c r="AA1128" s="4">
        <v>29</v>
      </c>
      <c r="AB1128" s="4">
        <v>1</v>
      </c>
      <c r="AC1128" s="4">
        <v>6</v>
      </c>
      <c r="AD1128" s="4">
        <v>108</v>
      </c>
      <c r="AE1128" s="4">
        <v>110</v>
      </c>
      <c r="AF1128" s="4">
        <v>0</v>
      </c>
      <c r="AG1128" s="4">
        <v>2</v>
      </c>
      <c r="AH1128" s="4">
        <v>97</v>
      </c>
      <c r="AI1128" s="4">
        <v>98</v>
      </c>
      <c r="AJ1128" s="4">
        <v>14</v>
      </c>
      <c r="AK1128" s="4">
        <v>16</v>
      </c>
      <c r="AL1128" s="4">
        <v>51</v>
      </c>
      <c r="AM1128" s="4">
        <v>51</v>
      </c>
      <c r="AN1128" s="4">
        <v>0</v>
      </c>
      <c r="AO1128" s="4">
        <v>0</v>
      </c>
      <c r="AP1128" s="4">
        <v>18</v>
      </c>
      <c r="AQ1128" s="4">
        <v>20</v>
      </c>
      <c r="AR1128" s="3" t="s">
        <v>62</v>
      </c>
      <c r="AS1128" s="3" t="s">
        <v>62</v>
      </c>
      <c r="AT1128" s="3" t="s">
        <v>62</v>
      </c>
      <c r="AV1128" s="6" t="str">
        <f>HYPERLINK("http://mcgill.on.worldcat.org/oclc/21973136","Catalog Record")</f>
        <v>Catalog Record</v>
      </c>
      <c r="AW1128" s="6" t="str">
        <f>HYPERLINK("http://www.worldcat.org/oclc/21973136","WorldCat Record")</f>
        <v>WorldCat Record</v>
      </c>
      <c r="AX1128" s="3" t="s">
        <v>11296</v>
      </c>
      <c r="AY1128" s="3" t="s">
        <v>11297</v>
      </c>
      <c r="AZ1128" s="3" t="s">
        <v>11298</v>
      </c>
      <c r="BA1128" s="3" t="s">
        <v>11298</v>
      </c>
      <c r="BB1128" s="3" t="s">
        <v>11299</v>
      </c>
      <c r="BC1128" s="3" t="s">
        <v>102</v>
      </c>
      <c r="BD1128" s="3" t="s">
        <v>68</v>
      </c>
      <c r="BE1128" s="3" t="s">
        <v>11300</v>
      </c>
      <c r="BF1128" s="3" t="s">
        <v>11299</v>
      </c>
      <c r="BG1128" s="3" t="s">
        <v>11301</v>
      </c>
    </row>
    <row r="1129" spans="1:59" ht="72.5" x14ac:dyDescent="0.35">
      <c r="A1129" s="2" t="s">
        <v>89</v>
      </c>
      <c r="B1129" s="2" t="s">
        <v>90</v>
      </c>
      <c r="C1129" s="2" t="s">
        <v>11302</v>
      </c>
      <c r="D1129" s="2" t="s">
        <v>11303</v>
      </c>
      <c r="E1129" s="2" t="s">
        <v>11304</v>
      </c>
      <c r="G1129" s="3" t="s">
        <v>62</v>
      </c>
      <c r="I1129" s="3" t="s">
        <v>62</v>
      </c>
      <c r="J1129" s="3" t="s">
        <v>62</v>
      </c>
      <c r="K1129" s="3" t="s">
        <v>63</v>
      </c>
      <c r="L1129" s="2" t="s">
        <v>11305</v>
      </c>
      <c r="M1129" s="2" t="s">
        <v>11306</v>
      </c>
      <c r="N1129" s="3" t="s">
        <v>1038</v>
      </c>
      <c r="P1129" s="3" t="s">
        <v>1881</v>
      </c>
      <c r="Q1129" s="2" t="s">
        <v>11307</v>
      </c>
      <c r="R1129" s="3" t="s">
        <v>65</v>
      </c>
      <c r="S1129" s="4">
        <v>0</v>
      </c>
      <c r="T1129" s="4">
        <v>0</v>
      </c>
      <c r="W1129" s="5" t="s">
        <v>67</v>
      </c>
      <c r="X1129" s="5" t="s">
        <v>67</v>
      </c>
      <c r="Y1129" s="4">
        <v>39</v>
      </c>
      <c r="Z1129" s="4">
        <v>3</v>
      </c>
      <c r="AA1129" s="4">
        <v>4</v>
      </c>
      <c r="AB1129" s="4">
        <v>1</v>
      </c>
      <c r="AC1129" s="4">
        <v>2</v>
      </c>
      <c r="AD1129" s="4">
        <v>14</v>
      </c>
      <c r="AE1129" s="4">
        <v>15</v>
      </c>
      <c r="AF1129" s="4">
        <v>0</v>
      </c>
      <c r="AG1129" s="4">
        <v>1</v>
      </c>
      <c r="AH1129" s="4">
        <v>13</v>
      </c>
      <c r="AI1129" s="4">
        <v>13</v>
      </c>
      <c r="AJ1129" s="4">
        <v>2</v>
      </c>
      <c r="AK1129" s="4">
        <v>3</v>
      </c>
      <c r="AL1129" s="4">
        <v>9</v>
      </c>
      <c r="AM1129" s="4">
        <v>9</v>
      </c>
      <c r="AN1129" s="4">
        <v>0</v>
      </c>
      <c r="AO1129" s="4">
        <v>0</v>
      </c>
      <c r="AP1129" s="4">
        <v>2</v>
      </c>
      <c r="AQ1129" s="4">
        <v>2</v>
      </c>
      <c r="AR1129" s="3" t="s">
        <v>62</v>
      </c>
      <c r="AS1129" s="3" t="s">
        <v>62</v>
      </c>
      <c r="AT1129" s="3" t="s">
        <v>62</v>
      </c>
      <c r="AV1129" s="6" t="str">
        <f>HYPERLINK("http://mcgill.on.worldcat.org/oclc/962299389","Catalog Record")</f>
        <v>Catalog Record</v>
      </c>
      <c r="AW1129" s="6" t="str">
        <f>HYPERLINK("http://www.worldcat.org/oclc/962299389","WorldCat Record")</f>
        <v>WorldCat Record</v>
      </c>
      <c r="AX1129" s="3" t="s">
        <v>11308</v>
      </c>
      <c r="AY1129" s="3" t="s">
        <v>11309</v>
      </c>
      <c r="AZ1129" s="3" t="s">
        <v>11310</v>
      </c>
      <c r="BA1129" s="3" t="s">
        <v>11310</v>
      </c>
      <c r="BB1129" s="3" t="s">
        <v>11311</v>
      </c>
      <c r="BC1129" s="3" t="s">
        <v>102</v>
      </c>
      <c r="BD1129" s="3" t="s">
        <v>68</v>
      </c>
      <c r="BE1129" s="3" t="s">
        <v>11312</v>
      </c>
      <c r="BF1129" s="3" t="s">
        <v>11311</v>
      </c>
      <c r="BG1129" s="3" t="s">
        <v>11313</v>
      </c>
    </row>
    <row r="1130" spans="1:59" ht="58" x14ac:dyDescent="0.35">
      <c r="A1130" s="2" t="s">
        <v>89</v>
      </c>
      <c r="B1130" s="2" t="s">
        <v>90</v>
      </c>
      <c r="C1130" s="2" t="s">
        <v>11314</v>
      </c>
      <c r="D1130" s="2" t="s">
        <v>11315</v>
      </c>
      <c r="E1130" s="2" t="s">
        <v>11316</v>
      </c>
      <c r="G1130" s="3" t="s">
        <v>62</v>
      </c>
      <c r="I1130" s="3" t="s">
        <v>61</v>
      </c>
      <c r="J1130" s="3" t="s">
        <v>62</v>
      </c>
      <c r="K1130" s="3" t="s">
        <v>63</v>
      </c>
      <c r="M1130" s="2" t="s">
        <v>7036</v>
      </c>
      <c r="N1130" s="3" t="s">
        <v>438</v>
      </c>
      <c r="P1130" s="3" t="s">
        <v>64</v>
      </c>
      <c r="Q1130" s="2" t="s">
        <v>11317</v>
      </c>
      <c r="R1130" s="3" t="s">
        <v>65</v>
      </c>
      <c r="S1130" s="4">
        <v>0</v>
      </c>
      <c r="T1130" s="4">
        <v>4</v>
      </c>
      <c r="V1130" s="5" t="s">
        <v>9836</v>
      </c>
      <c r="W1130" s="5" t="s">
        <v>67</v>
      </c>
      <c r="X1130" s="5" t="s">
        <v>67</v>
      </c>
      <c r="Y1130" s="4">
        <v>155</v>
      </c>
      <c r="Z1130" s="4">
        <v>11</v>
      </c>
      <c r="AA1130" s="4">
        <v>15</v>
      </c>
      <c r="AB1130" s="4">
        <v>3</v>
      </c>
      <c r="AC1130" s="4">
        <v>5</v>
      </c>
      <c r="AD1130" s="4">
        <v>73</v>
      </c>
      <c r="AE1130" s="4">
        <v>79</v>
      </c>
      <c r="AF1130" s="4">
        <v>1</v>
      </c>
      <c r="AG1130" s="4">
        <v>2</v>
      </c>
      <c r="AH1130" s="4">
        <v>66</v>
      </c>
      <c r="AI1130" s="4">
        <v>70</v>
      </c>
      <c r="AJ1130" s="4">
        <v>7</v>
      </c>
      <c r="AK1130" s="4">
        <v>9</v>
      </c>
      <c r="AL1130" s="4">
        <v>43</v>
      </c>
      <c r="AM1130" s="4">
        <v>44</v>
      </c>
      <c r="AN1130" s="4">
        <v>0</v>
      </c>
      <c r="AO1130" s="4">
        <v>0</v>
      </c>
      <c r="AP1130" s="4">
        <v>7</v>
      </c>
      <c r="AQ1130" s="4">
        <v>9</v>
      </c>
      <c r="AR1130" s="3" t="s">
        <v>62</v>
      </c>
      <c r="AS1130" s="3" t="s">
        <v>62</v>
      </c>
      <c r="AT1130" s="3" t="s">
        <v>62</v>
      </c>
      <c r="AV1130" s="6" t="str">
        <f>HYPERLINK("http://mcgill.on.worldcat.org/oclc/21443358","Catalog Record")</f>
        <v>Catalog Record</v>
      </c>
      <c r="AW1130" s="6" t="str">
        <f>HYPERLINK("http://www.worldcat.org/oclc/21443358","WorldCat Record")</f>
        <v>WorldCat Record</v>
      </c>
      <c r="AX1130" s="3" t="s">
        <v>11318</v>
      </c>
      <c r="AY1130" s="3" t="s">
        <v>11319</v>
      </c>
      <c r="AZ1130" s="3" t="s">
        <v>11320</v>
      </c>
      <c r="BA1130" s="3" t="s">
        <v>11320</v>
      </c>
      <c r="BB1130" s="3" t="s">
        <v>11321</v>
      </c>
      <c r="BC1130" s="3" t="s">
        <v>102</v>
      </c>
      <c r="BD1130" s="3" t="s">
        <v>68</v>
      </c>
      <c r="BE1130" s="3" t="s">
        <v>11322</v>
      </c>
      <c r="BF1130" s="3" t="s">
        <v>11321</v>
      </c>
      <c r="BG1130" s="3" t="s">
        <v>11323</v>
      </c>
    </row>
    <row r="1131" spans="1:59" ht="58" x14ac:dyDescent="0.35">
      <c r="A1131" s="2" t="s">
        <v>89</v>
      </c>
      <c r="B1131" s="2" t="s">
        <v>6791</v>
      </c>
      <c r="C1131" s="2" t="s">
        <v>11324</v>
      </c>
      <c r="D1131" s="2" t="s">
        <v>11325</v>
      </c>
      <c r="E1131" s="2" t="s">
        <v>11326</v>
      </c>
      <c r="G1131" s="3" t="s">
        <v>62</v>
      </c>
      <c r="I1131" s="3" t="s">
        <v>62</v>
      </c>
      <c r="J1131" s="3" t="s">
        <v>62</v>
      </c>
      <c r="K1131" s="3" t="s">
        <v>63</v>
      </c>
      <c r="M1131" s="2" t="s">
        <v>11327</v>
      </c>
      <c r="N1131" s="3" t="s">
        <v>596</v>
      </c>
      <c r="P1131" s="3" t="s">
        <v>64</v>
      </c>
      <c r="Q1131" s="2" t="s">
        <v>11328</v>
      </c>
      <c r="R1131" s="3" t="s">
        <v>65</v>
      </c>
      <c r="S1131" s="4">
        <v>24</v>
      </c>
      <c r="T1131" s="4">
        <v>24</v>
      </c>
      <c r="U1131" s="5" t="s">
        <v>9672</v>
      </c>
      <c r="V1131" s="5" t="s">
        <v>9672</v>
      </c>
      <c r="W1131" s="5" t="s">
        <v>67</v>
      </c>
      <c r="X1131" s="5" t="s">
        <v>67</v>
      </c>
      <c r="Y1131" s="4">
        <v>127</v>
      </c>
      <c r="Z1131" s="4">
        <v>4</v>
      </c>
      <c r="AA1131" s="4">
        <v>42</v>
      </c>
      <c r="AB1131" s="4">
        <v>1</v>
      </c>
      <c r="AC1131" s="4">
        <v>14</v>
      </c>
      <c r="AD1131" s="4">
        <v>33</v>
      </c>
      <c r="AE1131" s="4">
        <v>84</v>
      </c>
      <c r="AF1131" s="4">
        <v>0</v>
      </c>
      <c r="AG1131" s="4">
        <v>8</v>
      </c>
      <c r="AH1131" s="4">
        <v>31</v>
      </c>
      <c r="AI1131" s="4">
        <v>59</v>
      </c>
      <c r="AJ1131" s="4">
        <v>3</v>
      </c>
      <c r="AK1131" s="4">
        <v>15</v>
      </c>
      <c r="AL1131" s="4">
        <v>19</v>
      </c>
      <c r="AM1131" s="4">
        <v>32</v>
      </c>
      <c r="AN1131" s="4">
        <v>0</v>
      </c>
      <c r="AO1131" s="4">
        <v>0</v>
      </c>
      <c r="AP1131" s="4">
        <v>3</v>
      </c>
      <c r="AQ1131" s="4">
        <v>28</v>
      </c>
      <c r="AR1131" s="3" t="s">
        <v>62</v>
      </c>
      <c r="AS1131" s="3" t="s">
        <v>62</v>
      </c>
      <c r="AT1131" s="3" t="s">
        <v>62</v>
      </c>
      <c r="AV1131" s="6" t="str">
        <f>HYPERLINK("http://mcgill.on.worldcat.org/oclc/50851691","Catalog Record")</f>
        <v>Catalog Record</v>
      </c>
      <c r="AW1131" s="6" t="str">
        <f>HYPERLINK("http://www.worldcat.org/oclc/50851691","WorldCat Record")</f>
        <v>WorldCat Record</v>
      </c>
      <c r="AX1131" s="3" t="s">
        <v>11329</v>
      </c>
      <c r="AY1131" s="3" t="s">
        <v>11330</v>
      </c>
      <c r="AZ1131" s="3" t="s">
        <v>11331</v>
      </c>
      <c r="BA1131" s="3" t="s">
        <v>11331</v>
      </c>
      <c r="BB1131" s="3" t="s">
        <v>11332</v>
      </c>
      <c r="BC1131" s="3" t="s">
        <v>102</v>
      </c>
      <c r="BD1131" s="3" t="s">
        <v>68</v>
      </c>
      <c r="BE1131" s="3" t="s">
        <v>11333</v>
      </c>
      <c r="BF1131" s="3" t="s">
        <v>11332</v>
      </c>
      <c r="BG1131" s="3" t="s">
        <v>11334</v>
      </c>
    </row>
    <row r="1132" spans="1:59" ht="58" x14ac:dyDescent="0.35">
      <c r="A1132" s="2" t="s">
        <v>89</v>
      </c>
      <c r="B1132" s="2" t="s">
        <v>6791</v>
      </c>
      <c r="C1132" s="2" t="s">
        <v>11335</v>
      </c>
      <c r="D1132" s="2" t="s">
        <v>11336</v>
      </c>
      <c r="E1132" s="2" t="s">
        <v>11337</v>
      </c>
      <c r="G1132" s="3" t="s">
        <v>62</v>
      </c>
      <c r="I1132" s="3" t="s">
        <v>61</v>
      </c>
      <c r="J1132" s="3" t="s">
        <v>62</v>
      </c>
      <c r="K1132" s="3" t="s">
        <v>63</v>
      </c>
      <c r="L1132" s="2" t="s">
        <v>11338</v>
      </c>
      <c r="M1132" s="2" t="s">
        <v>11339</v>
      </c>
      <c r="N1132" s="3" t="s">
        <v>466</v>
      </c>
      <c r="P1132" s="3" t="s">
        <v>64</v>
      </c>
      <c r="R1132" s="3" t="s">
        <v>65</v>
      </c>
      <c r="S1132" s="4">
        <v>10</v>
      </c>
      <c r="T1132" s="4">
        <v>18</v>
      </c>
      <c r="U1132" s="5" t="s">
        <v>11340</v>
      </c>
      <c r="V1132" s="5" t="s">
        <v>11341</v>
      </c>
      <c r="W1132" s="5" t="s">
        <v>67</v>
      </c>
      <c r="X1132" s="5" t="s">
        <v>67</v>
      </c>
      <c r="Y1132" s="4">
        <v>361</v>
      </c>
      <c r="Z1132" s="4">
        <v>10</v>
      </c>
      <c r="AA1132" s="4">
        <v>12</v>
      </c>
      <c r="AB1132" s="4">
        <v>1</v>
      </c>
      <c r="AC1132" s="4">
        <v>1</v>
      </c>
      <c r="AD1132" s="4">
        <v>33</v>
      </c>
      <c r="AE1132" s="4">
        <v>34</v>
      </c>
      <c r="AF1132" s="4">
        <v>0</v>
      </c>
      <c r="AG1132" s="4">
        <v>0</v>
      </c>
      <c r="AH1132" s="4">
        <v>31</v>
      </c>
      <c r="AI1132" s="4">
        <v>32</v>
      </c>
      <c r="AJ1132" s="4">
        <v>3</v>
      </c>
      <c r="AK1132" s="4">
        <v>4</v>
      </c>
      <c r="AL1132" s="4">
        <v>16</v>
      </c>
      <c r="AM1132" s="4">
        <v>17</v>
      </c>
      <c r="AN1132" s="4">
        <v>0</v>
      </c>
      <c r="AO1132" s="4">
        <v>0</v>
      </c>
      <c r="AP1132" s="4">
        <v>4</v>
      </c>
      <c r="AQ1132" s="4">
        <v>5</v>
      </c>
      <c r="AR1132" s="3" t="s">
        <v>62</v>
      </c>
      <c r="AS1132" s="3" t="s">
        <v>62</v>
      </c>
      <c r="AT1132" s="3" t="s">
        <v>61</v>
      </c>
      <c r="AU1132" s="6" t="str">
        <f>HYPERLINK("http://catalog.hathitrust.org/Record/007961811","HathiTrust Record")</f>
        <v>HathiTrust Record</v>
      </c>
      <c r="AV1132" s="6" t="str">
        <f>HYPERLINK("http://mcgill.on.worldcat.org/oclc/26159070","Catalog Record")</f>
        <v>Catalog Record</v>
      </c>
      <c r="AW1132" s="6" t="str">
        <f>HYPERLINK("http://www.worldcat.org/oclc/26159070","WorldCat Record")</f>
        <v>WorldCat Record</v>
      </c>
      <c r="AX1132" s="3" t="s">
        <v>11342</v>
      </c>
      <c r="AY1132" s="3" t="s">
        <v>11343</v>
      </c>
      <c r="AZ1132" s="3" t="s">
        <v>11344</v>
      </c>
      <c r="BA1132" s="3" t="s">
        <v>11344</v>
      </c>
      <c r="BB1132" s="3" t="s">
        <v>11345</v>
      </c>
      <c r="BC1132" s="3" t="s">
        <v>102</v>
      </c>
      <c r="BD1132" s="3" t="s">
        <v>68</v>
      </c>
      <c r="BE1132" s="3" t="s">
        <v>11346</v>
      </c>
      <c r="BF1132" s="3" t="s">
        <v>11345</v>
      </c>
      <c r="BG1132" s="3" t="s">
        <v>11347</v>
      </c>
    </row>
    <row r="1133" spans="1:59" ht="58" x14ac:dyDescent="0.35">
      <c r="A1133" s="2" t="s">
        <v>89</v>
      </c>
      <c r="B1133" s="2" t="s">
        <v>6791</v>
      </c>
      <c r="C1133" s="2" t="s">
        <v>11348</v>
      </c>
      <c r="D1133" s="2" t="s">
        <v>11349</v>
      </c>
      <c r="E1133" s="2" t="s">
        <v>11350</v>
      </c>
      <c r="G1133" s="3" t="s">
        <v>62</v>
      </c>
      <c r="I1133" s="3" t="s">
        <v>62</v>
      </c>
      <c r="J1133" s="3" t="s">
        <v>62</v>
      </c>
      <c r="K1133" s="3" t="s">
        <v>63</v>
      </c>
      <c r="M1133" s="2" t="s">
        <v>11351</v>
      </c>
      <c r="N1133" s="3" t="s">
        <v>438</v>
      </c>
      <c r="P1133" s="3" t="s">
        <v>64</v>
      </c>
      <c r="Q1133" s="2" t="s">
        <v>11352</v>
      </c>
      <c r="R1133" s="3" t="s">
        <v>65</v>
      </c>
      <c r="S1133" s="4">
        <v>34</v>
      </c>
      <c r="T1133" s="4">
        <v>34</v>
      </c>
      <c r="U1133" s="5" t="s">
        <v>9672</v>
      </c>
      <c r="V1133" s="5" t="s">
        <v>9672</v>
      </c>
      <c r="W1133" s="5" t="s">
        <v>67</v>
      </c>
      <c r="X1133" s="5" t="s">
        <v>67</v>
      </c>
      <c r="Y1133" s="4">
        <v>151</v>
      </c>
      <c r="Z1133" s="4">
        <v>11</v>
      </c>
      <c r="AA1133" s="4">
        <v>12</v>
      </c>
      <c r="AB1133" s="4">
        <v>1</v>
      </c>
      <c r="AC1133" s="4">
        <v>2</v>
      </c>
      <c r="AD1133" s="4">
        <v>42</v>
      </c>
      <c r="AE1133" s="4">
        <v>43</v>
      </c>
      <c r="AF1133" s="4">
        <v>0</v>
      </c>
      <c r="AG1133" s="4">
        <v>1</v>
      </c>
      <c r="AH1133" s="4">
        <v>38</v>
      </c>
      <c r="AI1133" s="4">
        <v>38</v>
      </c>
      <c r="AJ1133" s="4">
        <v>8</v>
      </c>
      <c r="AK1133" s="4">
        <v>9</v>
      </c>
      <c r="AL1133" s="4">
        <v>19</v>
      </c>
      <c r="AM1133" s="4">
        <v>19</v>
      </c>
      <c r="AN1133" s="4">
        <v>0</v>
      </c>
      <c r="AO1133" s="4">
        <v>0</v>
      </c>
      <c r="AP1133" s="4">
        <v>9</v>
      </c>
      <c r="AQ1133" s="4">
        <v>9</v>
      </c>
      <c r="AR1133" s="3" t="s">
        <v>62</v>
      </c>
      <c r="AS1133" s="3" t="s">
        <v>62</v>
      </c>
      <c r="AT1133" s="3" t="s">
        <v>62</v>
      </c>
      <c r="AV1133" s="6" t="str">
        <f>HYPERLINK("http://mcgill.on.worldcat.org/oclc/19981570","Catalog Record")</f>
        <v>Catalog Record</v>
      </c>
      <c r="AW1133" s="6" t="str">
        <f>HYPERLINK("http://www.worldcat.org/oclc/19981570","WorldCat Record")</f>
        <v>WorldCat Record</v>
      </c>
      <c r="AX1133" s="3" t="s">
        <v>11353</v>
      </c>
      <c r="AY1133" s="3" t="s">
        <v>11354</v>
      </c>
      <c r="AZ1133" s="3" t="s">
        <v>11355</v>
      </c>
      <c r="BA1133" s="3" t="s">
        <v>11355</v>
      </c>
      <c r="BB1133" s="3" t="s">
        <v>11356</v>
      </c>
      <c r="BC1133" s="3" t="s">
        <v>102</v>
      </c>
      <c r="BD1133" s="3" t="s">
        <v>68</v>
      </c>
      <c r="BE1133" s="3" t="s">
        <v>11357</v>
      </c>
      <c r="BF1133" s="3" t="s">
        <v>11356</v>
      </c>
      <c r="BG1133" s="3" t="s">
        <v>11358</v>
      </c>
    </row>
    <row r="1134" spans="1:59" ht="58" x14ac:dyDescent="0.35">
      <c r="A1134" s="2" t="s">
        <v>89</v>
      </c>
      <c r="B1134" s="2" t="s">
        <v>90</v>
      </c>
      <c r="C1134" s="2" t="s">
        <v>11359</v>
      </c>
      <c r="D1134" s="2" t="s">
        <v>11360</v>
      </c>
      <c r="E1134" s="2" t="s">
        <v>11361</v>
      </c>
      <c r="G1134" s="3" t="s">
        <v>62</v>
      </c>
      <c r="I1134" s="3" t="s">
        <v>61</v>
      </c>
      <c r="J1134" s="3" t="s">
        <v>62</v>
      </c>
      <c r="K1134" s="3" t="s">
        <v>63</v>
      </c>
      <c r="M1134" s="2" t="s">
        <v>11362</v>
      </c>
      <c r="N1134" s="3" t="s">
        <v>355</v>
      </c>
      <c r="P1134" s="3" t="s">
        <v>64</v>
      </c>
      <c r="R1134" s="3" t="s">
        <v>65</v>
      </c>
      <c r="S1134" s="4">
        <v>2</v>
      </c>
      <c r="T1134" s="4">
        <v>3</v>
      </c>
      <c r="U1134" s="5" t="s">
        <v>4594</v>
      </c>
      <c r="V1134" s="5" t="s">
        <v>4594</v>
      </c>
      <c r="W1134" s="5" t="s">
        <v>67</v>
      </c>
      <c r="X1134" s="5" t="s">
        <v>67</v>
      </c>
      <c r="Y1134" s="4">
        <v>363</v>
      </c>
      <c r="Z1134" s="4">
        <v>18</v>
      </c>
      <c r="AA1134" s="4">
        <v>20</v>
      </c>
      <c r="AB1134" s="4">
        <v>1</v>
      </c>
      <c r="AC1134" s="4">
        <v>1</v>
      </c>
      <c r="AD1134" s="4">
        <v>107</v>
      </c>
      <c r="AE1134" s="4">
        <v>109</v>
      </c>
      <c r="AF1134" s="4">
        <v>0</v>
      </c>
      <c r="AG1134" s="4">
        <v>0</v>
      </c>
      <c r="AH1134" s="4">
        <v>95</v>
      </c>
      <c r="AI1134" s="4">
        <v>97</v>
      </c>
      <c r="AJ1134" s="4">
        <v>14</v>
      </c>
      <c r="AK1134" s="4">
        <v>16</v>
      </c>
      <c r="AL1134" s="4">
        <v>53</v>
      </c>
      <c r="AM1134" s="4">
        <v>53</v>
      </c>
      <c r="AN1134" s="4">
        <v>0</v>
      </c>
      <c r="AO1134" s="4">
        <v>0</v>
      </c>
      <c r="AP1134" s="4">
        <v>15</v>
      </c>
      <c r="AQ1134" s="4">
        <v>17</v>
      </c>
      <c r="AR1134" s="3" t="s">
        <v>62</v>
      </c>
      <c r="AS1134" s="3" t="s">
        <v>62</v>
      </c>
      <c r="AT1134" s="3" t="s">
        <v>61</v>
      </c>
      <c r="AU1134" s="6" t="str">
        <f>HYPERLINK("http://catalog.hathitrust.org/Record/000782775","HathiTrust Record")</f>
        <v>HathiTrust Record</v>
      </c>
      <c r="AV1134" s="6" t="str">
        <f>HYPERLINK("http://mcgill.on.worldcat.org/oclc/11726809","Catalog Record")</f>
        <v>Catalog Record</v>
      </c>
      <c r="AW1134" s="6" t="str">
        <f>HYPERLINK("http://www.worldcat.org/oclc/11726809","WorldCat Record")</f>
        <v>WorldCat Record</v>
      </c>
      <c r="AX1134" s="3" t="s">
        <v>11363</v>
      </c>
      <c r="AY1134" s="3" t="s">
        <v>11364</v>
      </c>
      <c r="AZ1134" s="3" t="s">
        <v>11365</v>
      </c>
      <c r="BA1134" s="3" t="s">
        <v>11365</v>
      </c>
      <c r="BB1134" s="3" t="s">
        <v>11366</v>
      </c>
      <c r="BC1134" s="3" t="s">
        <v>102</v>
      </c>
      <c r="BD1134" s="3" t="s">
        <v>68</v>
      </c>
      <c r="BE1134" s="3" t="s">
        <v>11367</v>
      </c>
      <c r="BF1134" s="3" t="s">
        <v>11366</v>
      </c>
      <c r="BG1134" s="3" t="s">
        <v>11368</v>
      </c>
    </row>
    <row r="1135" spans="1:59" ht="58" x14ac:dyDescent="0.35">
      <c r="A1135" s="2" t="s">
        <v>89</v>
      </c>
      <c r="B1135" s="2" t="s">
        <v>90</v>
      </c>
      <c r="C1135" s="2" t="s">
        <v>11369</v>
      </c>
      <c r="D1135" s="2" t="s">
        <v>11370</v>
      </c>
      <c r="E1135" s="2" t="s">
        <v>11371</v>
      </c>
      <c r="G1135" s="3" t="s">
        <v>62</v>
      </c>
      <c r="I1135" s="3" t="s">
        <v>62</v>
      </c>
      <c r="J1135" s="3" t="s">
        <v>62</v>
      </c>
      <c r="K1135" s="3" t="s">
        <v>63</v>
      </c>
      <c r="L1135" s="2" t="s">
        <v>11372</v>
      </c>
      <c r="M1135" s="2" t="s">
        <v>11373</v>
      </c>
      <c r="N1135" s="3" t="s">
        <v>712</v>
      </c>
      <c r="P1135" s="3" t="s">
        <v>64</v>
      </c>
      <c r="R1135" s="3" t="s">
        <v>65</v>
      </c>
      <c r="S1135" s="4">
        <v>0</v>
      </c>
      <c r="T1135" s="4">
        <v>0</v>
      </c>
      <c r="W1135" s="5" t="s">
        <v>67</v>
      </c>
      <c r="X1135" s="5" t="s">
        <v>67</v>
      </c>
      <c r="Y1135" s="4">
        <v>60</v>
      </c>
      <c r="Z1135" s="4">
        <v>4</v>
      </c>
      <c r="AA1135" s="4">
        <v>33</v>
      </c>
      <c r="AB1135" s="4">
        <v>1</v>
      </c>
      <c r="AC1135" s="4">
        <v>2</v>
      </c>
      <c r="AD1135" s="4">
        <v>18</v>
      </c>
      <c r="AE1135" s="4">
        <v>28</v>
      </c>
      <c r="AF1135" s="4">
        <v>0</v>
      </c>
      <c r="AG1135" s="4">
        <v>0</v>
      </c>
      <c r="AH1135" s="4">
        <v>16</v>
      </c>
      <c r="AI1135" s="4">
        <v>18</v>
      </c>
      <c r="AJ1135" s="4">
        <v>2</v>
      </c>
      <c r="AK1135" s="4">
        <v>4</v>
      </c>
      <c r="AL1135" s="4">
        <v>9</v>
      </c>
      <c r="AM1135" s="4">
        <v>11</v>
      </c>
      <c r="AN1135" s="4">
        <v>0</v>
      </c>
      <c r="AO1135" s="4">
        <v>0</v>
      </c>
      <c r="AP1135" s="4">
        <v>3</v>
      </c>
      <c r="AQ1135" s="4">
        <v>10</v>
      </c>
      <c r="AR1135" s="3" t="s">
        <v>62</v>
      </c>
      <c r="AS1135" s="3" t="s">
        <v>62</v>
      </c>
      <c r="AT1135" s="3" t="s">
        <v>62</v>
      </c>
      <c r="AV1135" s="6" t="str">
        <f>HYPERLINK("http://mcgill.on.worldcat.org/oclc/863043698","Catalog Record")</f>
        <v>Catalog Record</v>
      </c>
      <c r="AW1135" s="6" t="str">
        <f>HYPERLINK("http://www.worldcat.org/oclc/863043698","WorldCat Record")</f>
        <v>WorldCat Record</v>
      </c>
      <c r="AX1135" s="3" t="s">
        <v>11374</v>
      </c>
      <c r="AY1135" s="3" t="s">
        <v>11375</v>
      </c>
      <c r="AZ1135" s="3" t="s">
        <v>11376</v>
      </c>
      <c r="BA1135" s="3" t="s">
        <v>11376</v>
      </c>
      <c r="BB1135" s="3" t="s">
        <v>11377</v>
      </c>
      <c r="BC1135" s="3" t="s">
        <v>102</v>
      </c>
      <c r="BD1135" s="3" t="s">
        <v>68</v>
      </c>
      <c r="BE1135" s="3" t="s">
        <v>11378</v>
      </c>
      <c r="BF1135" s="3" t="s">
        <v>11377</v>
      </c>
      <c r="BG1135" s="3" t="s">
        <v>11379</v>
      </c>
    </row>
    <row r="1136" spans="1:59" ht="58" x14ac:dyDescent="0.35">
      <c r="A1136" s="2" t="s">
        <v>89</v>
      </c>
      <c r="B1136" s="2" t="s">
        <v>6791</v>
      </c>
      <c r="C1136" s="2" t="s">
        <v>11380</v>
      </c>
      <c r="D1136" s="2" t="s">
        <v>11381</v>
      </c>
      <c r="E1136" s="2" t="s">
        <v>11382</v>
      </c>
      <c r="G1136" s="3" t="s">
        <v>62</v>
      </c>
      <c r="I1136" s="3" t="s">
        <v>62</v>
      </c>
      <c r="J1136" s="3" t="s">
        <v>62</v>
      </c>
      <c r="K1136" s="3" t="s">
        <v>63</v>
      </c>
      <c r="L1136" s="2" t="s">
        <v>11383</v>
      </c>
      <c r="M1136" s="2" t="s">
        <v>11384</v>
      </c>
      <c r="N1136" s="3" t="s">
        <v>539</v>
      </c>
      <c r="P1136" s="3" t="s">
        <v>64</v>
      </c>
      <c r="Q1136" s="2" t="s">
        <v>11252</v>
      </c>
      <c r="R1136" s="3" t="s">
        <v>65</v>
      </c>
      <c r="S1136" s="4">
        <v>29</v>
      </c>
      <c r="T1136" s="4">
        <v>29</v>
      </c>
      <c r="U1136" s="5" t="s">
        <v>11385</v>
      </c>
      <c r="V1136" s="5" t="s">
        <v>11385</v>
      </c>
      <c r="W1136" s="5" t="s">
        <v>67</v>
      </c>
      <c r="X1136" s="5" t="s">
        <v>67</v>
      </c>
      <c r="Y1136" s="4">
        <v>463</v>
      </c>
      <c r="Z1136" s="4">
        <v>20</v>
      </c>
      <c r="AA1136" s="4">
        <v>24</v>
      </c>
      <c r="AB1136" s="4">
        <v>2</v>
      </c>
      <c r="AC1136" s="4">
        <v>4</v>
      </c>
      <c r="AD1136" s="4">
        <v>111</v>
      </c>
      <c r="AE1136" s="4">
        <v>114</v>
      </c>
      <c r="AF1136" s="4">
        <v>1</v>
      </c>
      <c r="AG1136" s="4">
        <v>2</v>
      </c>
      <c r="AH1136" s="4">
        <v>102</v>
      </c>
      <c r="AI1136" s="4">
        <v>105</v>
      </c>
      <c r="AJ1136" s="4">
        <v>14</v>
      </c>
      <c r="AK1136" s="4">
        <v>15</v>
      </c>
      <c r="AL1136" s="4">
        <v>54</v>
      </c>
      <c r="AM1136" s="4">
        <v>55</v>
      </c>
      <c r="AN1136" s="4">
        <v>0</v>
      </c>
      <c r="AO1136" s="4">
        <v>0</v>
      </c>
      <c r="AP1136" s="4">
        <v>16</v>
      </c>
      <c r="AQ1136" s="4">
        <v>17</v>
      </c>
      <c r="AR1136" s="3" t="s">
        <v>62</v>
      </c>
      <c r="AS1136" s="3" t="s">
        <v>62</v>
      </c>
      <c r="AT1136" s="3" t="s">
        <v>62</v>
      </c>
      <c r="AV1136" s="6" t="str">
        <f>HYPERLINK("http://mcgill.on.worldcat.org/oclc/38024274","Catalog Record")</f>
        <v>Catalog Record</v>
      </c>
      <c r="AW1136" s="6" t="str">
        <f>HYPERLINK("http://www.worldcat.org/oclc/38024274","WorldCat Record")</f>
        <v>WorldCat Record</v>
      </c>
      <c r="AX1136" s="3" t="s">
        <v>11386</v>
      </c>
      <c r="AY1136" s="3" t="s">
        <v>11387</v>
      </c>
      <c r="AZ1136" s="3" t="s">
        <v>11388</v>
      </c>
      <c r="BA1136" s="3" t="s">
        <v>11388</v>
      </c>
      <c r="BB1136" s="3" t="s">
        <v>11389</v>
      </c>
      <c r="BC1136" s="3" t="s">
        <v>102</v>
      </c>
      <c r="BD1136" s="3" t="s">
        <v>68</v>
      </c>
      <c r="BE1136" s="3" t="s">
        <v>11390</v>
      </c>
      <c r="BF1136" s="3" t="s">
        <v>11389</v>
      </c>
      <c r="BG1136" s="3" t="s">
        <v>11391</v>
      </c>
    </row>
    <row r="1137" spans="1:59" ht="116" x14ac:dyDescent="0.35">
      <c r="A1137" s="2" t="s">
        <v>89</v>
      </c>
      <c r="B1137" s="2" t="s">
        <v>6791</v>
      </c>
      <c r="C1137" s="2" t="s">
        <v>11392</v>
      </c>
      <c r="D1137" s="2" t="s">
        <v>11393</v>
      </c>
      <c r="E1137" s="2" t="s">
        <v>11394</v>
      </c>
      <c r="G1137" s="3" t="s">
        <v>62</v>
      </c>
      <c r="I1137" s="3" t="s">
        <v>62</v>
      </c>
      <c r="J1137" s="3" t="s">
        <v>61</v>
      </c>
      <c r="K1137" s="3" t="s">
        <v>63</v>
      </c>
      <c r="L1137" s="2" t="s">
        <v>11395</v>
      </c>
      <c r="M1137" s="2" t="s">
        <v>11396</v>
      </c>
      <c r="N1137" s="3" t="s">
        <v>539</v>
      </c>
      <c r="O1137" s="2" t="s">
        <v>11397</v>
      </c>
      <c r="P1137" s="3" t="s">
        <v>64</v>
      </c>
      <c r="R1137" s="3" t="s">
        <v>65</v>
      </c>
      <c r="S1137" s="4">
        <v>24</v>
      </c>
      <c r="T1137" s="4">
        <v>24</v>
      </c>
      <c r="U1137" s="5" t="s">
        <v>9672</v>
      </c>
      <c r="V1137" s="5" t="s">
        <v>9672</v>
      </c>
      <c r="W1137" s="5" t="s">
        <v>67</v>
      </c>
      <c r="X1137" s="5" t="s">
        <v>67</v>
      </c>
      <c r="Y1137" s="4">
        <v>120</v>
      </c>
      <c r="Z1137" s="4">
        <v>12</v>
      </c>
      <c r="AA1137" s="4">
        <v>32</v>
      </c>
      <c r="AB1137" s="4">
        <v>1</v>
      </c>
      <c r="AC1137" s="4">
        <v>5</v>
      </c>
      <c r="AD1137" s="4">
        <v>31</v>
      </c>
      <c r="AE1137" s="4">
        <v>100</v>
      </c>
      <c r="AF1137" s="4">
        <v>0</v>
      </c>
      <c r="AG1137" s="4">
        <v>3</v>
      </c>
      <c r="AH1137" s="4">
        <v>25</v>
      </c>
      <c r="AI1137" s="4">
        <v>83</v>
      </c>
      <c r="AJ1137" s="4">
        <v>7</v>
      </c>
      <c r="AK1137" s="4">
        <v>14</v>
      </c>
      <c r="AL1137" s="4">
        <v>15</v>
      </c>
      <c r="AM1137" s="4">
        <v>46</v>
      </c>
      <c r="AN1137" s="4">
        <v>0</v>
      </c>
      <c r="AO1137" s="4">
        <v>0</v>
      </c>
      <c r="AP1137" s="4">
        <v>10</v>
      </c>
      <c r="AQ1137" s="4">
        <v>24</v>
      </c>
      <c r="AR1137" s="3" t="s">
        <v>62</v>
      </c>
      <c r="AS1137" s="3" t="s">
        <v>62</v>
      </c>
      <c r="AT1137" s="3" t="s">
        <v>62</v>
      </c>
      <c r="AV1137" s="6" t="str">
        <f>HYPERLINK("http://mcgill.on.worldcat.org/oclc/36884200","Catalog Record")</f>
        <v>Catalog Record</v>
      </c>
      <c r="AW1137" s="6" t="str">
        <f>HYPERLINK("http://www.worldcat.org/oclc/36884200","WorldCat Record")</f>
        <v>WorldCat Record</v>
      </c>
      <c r="AX1137" s="3" t="s">
        <v>11398</v>
      </c>
      <c r="AY1137" s="3" t="s">
        <v>11399</v>
      </c>
      <c r="AZ1137" s="3" t="s">
        <v>11400</v>
      </c>
      <c r="BA1137" s="3" t="s">
        <v>11400</v>
      </c>
      <c r="BB1137" s="3" t="s">
        <v>11401</v>
      </c>
      <c r="BC1137" s="3" t="s">
        <v>102</v>
      </c>
      <c r="BD1137" s="3" t="s">
        <v>68</v>
      </c>
      <c r="BE1137" s="3" t="s">
        <v>11402</v>
      </c>
      <c r="BF1137" s="3" t="s">
        <v>11401</v>
      </c>
      <c r="BG1137" s="3" t="s">
        <v>11403</v>
      </c>
    </row>
    <row r="1138" spans="1:59" ht="58" x14ac:dyDescent="0.35">
      <c r="A1138" s="2" t="s">
        <v>89</v>
      </c>
      <c r="B1138" s="2" t="s">
        <v>90</v>
      </c>
      <c r="C1138" s="2" t="s">
        <v>11404</v>
      </c>
      <c r="D1138" s="2" t="s">
        <v>11405</v>
      </c>
      <c r="E1138" s="2" t="s">
        <v>11406</v>
      </c>
      <c r="G1138" s="3" t="s">
        <v>62</v>
      </c>
      <c r="I1138" s="3" t="s">
        <v>62</v>
      </c>
      <c r="J1138" s="3" t="s">
        <v>62</v>
      </c>
      <c r="K1138" s="3" t="s">
        <v>63</v>
      </c>
      <c r="L1138" s="2" t="s">
        <v>11407</v>
      </c>
      <c r="M1138" s="2" t="s">
        <v>11408</v>
      </c>
      <c r="N1138" s="3" t="s">
        <v>481</v>
      </c>
      <c r="P1138" s="3" t="s">
        <v>64</v>
      </c>
      <c r="Q1138" s="2" t="s">
        <v>11252</v>
      </c>
      <c r="R1138" s="3" t="s">
        <v>65</v>
      </c>
      <c r="S1138" s="4">
        <v>17</v>
      </c>
      <c r="T1138" s="4">
        <v>17</v>
      </c>
      <c r="U1138" s="5" t="s">
        <v>11385</v>
      </c>
      <c r="V1138" s="5" t="s">
        <v>11385</v>
      </c>
      <c r="W1138" s="5" t="s">
        <v>67</v>
      </c>
      <c r="X1138" s="5" t="s">
        <v>67</v>
      </c>
      <c r="Y1138" s="4">
        <v>397</v>
      </c>
      <c r="Z1138" s="4">
        <v>23</v>
      </c>
      <c r="AA1138" s="4">
        <v>23</v>
      </c>
      <c r="AB1138" s="4">
        <v>3</v>
      </c>
      <c r="AC1138" s="4">
        <v>3</v>
      </c>
      <c r="AD1138" s="4">
        <v>103</v>
      </c>
      <c r="AE1138" s="4">
        <v>103</v>
      </c>
      <c r="AF1138" s="4">
        <v>2</v>
      </c>
      <c r="AG1138" s="4">
        <v>2</v>
      </c>
      <c r="AH1138" s="4">
        <v>91</v>
      </c>
      <c r="AI1138" s="4">
        <v>91</v>
      </c>
      <c r="AJ1138" s="4">
        <v>15</v>
      </c>
      <c r="AK1138" s="4">
        <v>15</v>
      </c>
      <c r="AL1138" s="4">
        <v>46</v>
      </c>
      <c r="AM1138" s="4">
        <v>46</v>
      </c>
      <c r="AN1138" s="4">
        <v>0</v>
      </c>
      <c r="AO1138" s="4">
        <v>0</v>
      </c>
      <c r="AP1138" s="4">
        <v>18</v>
      </c>
      <c r="AQ1138" s="4">
        <v>18</v>
      </c>
      <c r="AR1138" s="3" t="s">
        <v>62</v>
      </c>
      <c r="AS1138" s="3" t="s">
        <v>62</v>
      </c>
      <c r="AT1138" s="3" t="s">
        <v>62</v>
      </c>
      <c r="AV1138" s="6" t="str">
        <f>HYPERLINK("http://mcgill.on.worldcat.org/oclc/36438807","Catalog Record")</f>
        <v>Catalog Record</v>
      </c>
      <c r="AW1138" s="6" t="str">
        <f>HYPERLINK("http://www.worldcat.org/oclc/36438807","WorldCat Record")</f>
        <v>WorldCat Record</v>
      </c>
      <c r="AX1138" s="3" t="s">
        <v>11409</v>
      </c>
      <c r="AY1138" s="3" t="s">
        <v>11410</v>
      </c>
      <c r="AZ1138" s="3" t="s">
        <v>11411</v>
      </c>
      <c r="BA1138" s="3" t="s">
        <v>11411</v>
      </c>
      <c r="BB1138" s="3" t="s">
        <v>11412</v>
      </c>
      <c r="BC1138" s="3" t="s">
        <v>102</v>
      </c>
      <c r="BD1138" s="3" t="s">
        <v>68</v>
      </c>
      <c r="BE1138" s="3" t="s">
        <v>11413</v>
      </c>
      <c r="BF1138" s="3" t="s">
        <v>11412</v>
      </c>
      <c r="BG1138" s="3" t="s">
        <v>11414</v>
      </c>
    </row>
    <row r="1139" spans="1:59" ht="58" x14ac:dyDescent="0.35">
      <c r="A1139" s="2" t="s">
        <v>89</v>
      </c>
      <c r="B1139" s="2" t="s">
        <v>90</v>
      </c>
      <c r="C1139" s="2" t="s">
        <v>11415</v>
      </c>
      <c r="D1139" s="2" t="s">
        <v>11416</v>
      </c>
      <c r="E1139" s="2" t="s">
        <v>11417</v>
      </c>
      <c r="G1139" s="3" t="s">
        <v>62</v>
      </c>
      <c r="I1139" s="3" t="s">
        <v>62</v>
      </c>
      <c r="J1139" s="3" t="s">
        <v>62</v>
      </c>
      <c r="K1139" s="3" t="s">
        <v>63</v>
      </c>
      <c r="M1139" s="2" t="s">
        <v>11418</v>
      </c>
      <c r="N1139" s="3" t="s">
        <v>2085</v>
      </c>
      <c r="P1139" s="3" t="s">
        <v>64</v>
      </c>
      <c r="Q1139" s="2" t="s">
        <v>11419</v>
      </c>
      <c r="R1139" s="3" t="s">
        <v>65</v>
      </c>
      <c r="S1139" s="4">
        <v>0</v>
      </c>
      <c r="T1139" s="4">
        <v>0</v>
      </c>
      <c r="W1139" s="5" t="s">
        <v>67</v>
      </c>
      <c r="X1139" s="5" t="s">
        <v>67</v>
      </c>
      <c r="Y1139" s="4">
        <v>18</v>
      </c>
      <c r="Z1139" s="4">
        <v>3</v>
      </c>
      <c r="AA1139" s="4">
        <v>10</v>
      </c>
      <c r="AB1139" s="4">
        <v>1</v>
      </c>
      <c r="AC1139" s="4">
        <v>5</v>
      </c>
      <c r="AD1139" s="4">
        <v>6</v>
      </c>
      <c r="AE1139" s="4">
        <v>17</v>
      </c>
      <c r="AF1139" s="4">
        <v>0</v>
      </c>
      <c r="AG1139" s="4">
        <v>1</v>
      </c>
      <c r="AH1139" s="4">
        <v>5</v>
      </c>
      <c r="AI1139" s="4">
        <v>15</v>
      </c>
      <c r="AJ1139" s="4">
        <v>2</v>
      </c>
      <c r="AK1139" s="4">
        <v>4</v>
      </c>
      <c r="AL1139" s="4">
        <v>4</v>
      </c>
      <c r="AM1139" s="4">
        <v>9</v>
      </c>
      <c r="AN1139" s="4">
        <v>0</v>
      </c>
      <c r="AO1139" s="4">
        <v>0</v>
      </c>
      <c r="AP1139" s="4">
        <v>2</v>
      </c>
      <c r="AQ1139" s="4">
        <v>5</v>
      </c>
      <c r="AR1139" s="3" t="s">
        <v>62</v>
      </c>
      <c r="AS1139" s="3" t="s">
        <v>62</v>
      </c>
      <c r="AT1139" s="3" t="s">
        <v>62</v>
      </c>
      <c r="AV1139" s="6" t="str">
        <f>HYPERLINK("http://mcgill.on.worldcat.org/oclc/968640747","Catalog Record")</f>
        <v>Catalog Record</v>
      </c>
      <c r="AW1139" s="6" t="str">
        <f>HYPERLINK("http://www.worldcat.org/oclc/968640747","WorldCat Record")</f>
        <v>WorldCat Record</v>
      </c>
      <c r="AX1139" s="3" t="s">
        <v>11420</v>
      </c>
      <c r="AY1139" s="3" t="s">
        <v>11421</v>
      </c>
      <c r="AZ1139" s="3" t="s">
        <v>11422</v>
      </c>
      <c r="BA1139" s="3" t="s">
        <v>11422</v>
      </c>
      <c r="BB1139" s="3" t="s">
        <v>11423</v>
      </c>
      <c r="BC1139" s="3" t="s">
        <v>102</v>
      </c>
      <c r="BD1139" s="3" t="s">
        <v>68</v>
      </c>
      <c r="BE1139" s="3" t="s">
        <v>11424</v>
      </c>
      <c r="BF1139" s="3" t="s">
        <v>11423</v>
      </c>
      <c r="BG1139" s="3" t="s">
        <v>11425</v>
      </c>
    </row>
    <row r="1140" spans="1:59" ht="116" x14ac:dyDescent="0.35">
      <c r="A1140" s="2" t="s">
        <v>89</v>
      </c>
      <c r="B1140" s="2" t="s">
        <v>3312</v>
      </c>
      <c r="C1140" s="2" t="s">
        <v>11426</v>
      </c>
      <c r="D1140" s="2" t="s">
        <v>11427</v>
      </c>
      <c r="E1140" s="2" t="s">
        <v>11428</v>
      </c>
      <c r="G1140" s="3" t="s">
        <v>62</v>
      </c>
      <c r="I1140" s="3" t="s">
        <v>62</v>
      </c>
      <c r="J1140" s="3" t="s">
        <v>62</v>
      </c>
      <c r="K1140" s="3" t="s">
        <v>63</v>
      </c>
      <c r="M1140" s="2" t="s">
        <v>11429</v>
      </c>
      <c r="N1140" s="3" t="s">
        <v>1038</v>
      </c>
      <c r="O1140" s="2" t="s">
        <v>1674</v>
      </c>
      <c r="P1140" s="3" t="s">
        <v>1675</v>
      </c>
      <c r="Q1140" s="2" t="s">
        <v>11430</v>
      </c>
      <c r="R1140" s="3" t="s">
        <v>65</v>
      </c>
      <c r="S1140" s="4">
        <v>0</v>
      </c>
      <c r="T1140" s="4">
        <v>0</v>
      </c>
      <c r="W1140" s="5" t="s">
        <v>3030</v>
      </c>
      <c r="X1140" s="5" t="s">
        <v>3030</v>
      </c>
      <c r="Y1140" s="4">
        <v>4</v>
      </c>
      <c r="Z1140" s="4">
        <v>1</v>
      </c>
      <c r="AA1140" s="4">
        <v>1</v>
      </c>
      <c r="AB1140" s="4">
        <v>1</v>
      </c>
      <c r="AC1140" s="4">
        <v>1</v>
      </c>
      <c r="AD1140" s="4">
        <v>2</v>
      </c>
      <c r="AE1140" s="4">
        <v>2</v>
      </c>
      <c r="AF1140" s="4">
        <v>0</v>
      </c>
      <c r="AG1140" s="4">
        <v>0</v>
      </c>
      <c r="AH1140" s="4">
        <v>2</v>
      </c>
      <c r="AI1140" s="4">
        <v>2</v>
      </c>
      <c r="AJ1140" s="4">
        <v>0</v>
      </c>
      <c r="AK1140" s="4">
        <v>0</v>
      </c>
      <c r="AL1140" s="4">
        <v>2</v>
      </c>
      <c r="AM1140" s="4">
        <v>2</v>
      </c>
      <c r="AN1140" s="4">
        <v>0</v>
      </c>
      <c r="AO1140" s="4">
        <v>0</v>
      </c>
      <c r="AP1140" s="4">
        <v>0</v>
      </c>
      <c r="AQ1140" s="4">
        <v>0</v>
      </c>
      <c r="AR1140" s="3" t="s">
        <v>62</v>
      </c>
      <c r="AS1140" s="3" t="s">
        <v>62</v>
      </c>
      <c r="AT1140" s="3" t="s">
        <v>62</v>
      </c>
      <c r="AV1140" s="6" t="str">
        <f>HYPERLINK("http://mcgill.on.worldcat.org/oclc/986507403","Catalog Record")</f>
        <v>Catalog Record</v>
      </c>
      <c r="AW1140" s="6" t="str">
        <f>HYPERLINK("http://www.worldcat.org/oclc/986507403","WorldCat Record")</f>
        <v>WorldCat Record</v>
      </c>
      <c r="AX1140" s="3" t="s">
        <v>11431</v>
      </c>
      <c r="AY1140" s="3" t="s">
        <v>11432</v>
      </c>
      <c r="AZ1140" s="3" t="s">
        <v>11433</v>
      </c>
      <c r="BA1140" s="3" t="s">
        <v>11433</v>
      </c>
      <c r="BB1140" s="3" t="s">
        <v>11434</v>
      </c>
      <c r="BC1140" s="3" t="s">
        <v>102</v>
      </c>
      <c r="BD1140" s="3" t="s">
        <v>68</v>
      </c>
      <c r="BE1140" s="3" t="s">
        <v>11435</v>
      </c>
      <c r="BF1140" s="3" t="s">
        <v>11434</v>
      </c>
      <c r="BG1140" s="3" t="s">
        <v>11436</v>
      </c>
    </row>
    <row r="1141" spans="1:59" ht="58" x14ac:dyDescent="0.35">
      <c r="A1141" s="2" t="s">
        <v>89</v>
      </c>
      <c r="B1141" s="2" t="s">
        <v>90</v>
      </c>
      <c r="C1141" s="2" t="s">
        <v>11437</v>
      </c>
      <c r="D1141" s="2" t="s">
        <v>11438</v>
      </c>
      <c r="E1141" s="2" t="s">
        <v>11439</v>
      </c>
      <c r="G1141" s="3" t="s">
        <v>62</v>
      </c>
      <c r="I1141" s="3" t="s">
        <v>62</v>
      </c>
      <c r="J1141" s="3" t="s">
        <v>62</v>
      </c>
      <c r="K1141" s="3" t="s">
        <v>63</v>
      </c>
      <c r="L1141" s="2" t="s">
        <v>11440</v>
      </c>
      <c r="M1141" s="2" t="s">
        <v>11441</v>
      </c>
      <c r="N1141" s="3" t="s">
        <v>87</v>
      </c>
      <c r="P1141" s="3" t="s">
        <v>64</v>
      </c>
      <c r="R1141" s="3" t="s">
        <v>65</v>
      </c>
      <c r="S1141" s="4">
        <v>2</v>
      </c>
      <c r="T1141" s="4">
        <v>2</v>
      </c>
      <c r="U1141" s="5" t="s">
        <v>11442</v>
      </c>
      <c r="V1141" s="5" t="s">
        <v>11442</v>
      </c>
      <c r="W1141" s="5" t="s">
        <v>67</v>
      </c>
      <c r="X1141" s="5" t="s">
        <v>67</v>
      </c>
      <c r="Y1141" s="4">
        <v>135</v>
      </c>
      <c r="Z1141" s="4">
        <v>13</v>
      </c>
      <c r="AA1141" s="4">
        <v>13</v>
      </c>
      <c r="AB1141" s="4">
        <v>1</v>
      </c>
      <c r="AC1141" s="4">
        <v>1</v>
      </c>
      <c r="AD1141" s="4">
        <v>30</v>
      </c>
      <c r="AE1141" s="4">
        <v>30</v>
      </c>
      <c r="AF1141" s="4">
        <v>0</v>
      </c>
      <c r="AG1141" s="4">
        <v>0</v>
      </c>
      <c r="AH1141" s="4">
        <v>25</v>
      </c>
      <c r="AI1141" s="4">
        <v>25</v>
      </c>
      <c r="AJ1141" s="4">
        <v>11</v>
      </c>
      <c r="AK1141" s="4">
        <v>11</v>
      </c>
      <c r="AL1141" s="4">
        <v>13</v>
      </c>
      <c r="AM1141" s="4">
        <v>13</v>
      </c>
      <c r="AN1141" s="4">
        <v>0</v>
      </c>
      <c r="AO1141" s="4">
        <v>0</v>
      </c>
      <c r="AP1141" s="4">
        <v>11</v>
      </c>
      <c r="AQ1141" s="4">
        <v>11</v>
      </c>
      <c r="AR1141" s="3" t="s">
        <v>62</v>
      </c>
      <c r="AS1141" s="3" t="s">
        <v>62</v>
      </c>
      <c r="AT1141" s="3" t="s">
        <v>61</v>
      </c>
      <c r="AU1141" s="6" t="str">
        <f>HYPERLINK("http://catalog.hathitrust.org/Record/006198556","HathiTrust Record")</f>
        <v>HathiTrust Record</v>
      </c>
      <c r="AV1141" s="6" t="str">
        <f>HYPERLINK("http://mcgill.on.worldcat.org/oclc/5946814","Catalog Record")</f>
        <v>Catalog Record</v>
      </c>
      <c r="AW1141" s="6" t="str">
        <f>HYPERLINK("http://www.worldcat.org/oclc/5946814","WorldCat Record")</f>
        <v>WorldCat Record</v>
      </c>
      <c r="AX1141" s="3" t="s">
        <v>11443</v>
      </c>
      <c r="AY1141" s="3" t="s">
        <v>11444</v>
      </c>
      <c r="AZ1141" s="3" t="s">
        <v>11445</v>
      </c>
      <c r="BA1141" s="3" t="s">
        <v>11445</v>
      </c>
      <c r="BB1141" s="3" t="s">
        <v>11446</v>
      </c>
      <c r="BC1141" s="3" t="s">
        <v>102</v>
      </c>
      <c r="BD1141" s="3" t="s">
        <v>68</v>
      </c>
      <c r="BE1141" s="3" t="s">
        <v>11447</v>
      </c>
      <c r="BF1141" s="3" t="s">
        <v>11446</v>
      </c>
      <c r="BG1141" s="3" t="s">
        <v>11448</v>
      </c>
    </row>
    <row r="1142" spans="1:59" ht="58" x14ac:dyDescent="0.35">
      <c r="A1142" s="2" t="s">
        <v>89</v>
      </c>
      <c r="B1142" s="2" t="s">
        <v>90</v>
      </c>
      <c r="C1142" s="2" t="s">
        <v>11449</v>
      </c>
      <c r="D1142" s="2" t="s">
        <v>11450</v>
      </c>
      <c r="E1142" s="2" t="s">
        <v>11451</v>
      </c>
      <c r="G1142" s="3" t="s">
        <v>62</v>
      </c>
      <c r="I1142" s="3" t="s">
        <v>62</v>
      </c>
      <c r="J1142" s="3" t="s">
        <v>62</v>
      </c>
      <c r="K1142" s="3" t="s">
        <v>63</v>
      </c>
      <c r="L1142" s="2" t="s">
        <v>11452</v>
      </c>
      <c r="M1142" s="2" t="s">
        <v>3029</v>
      </c>
      <c r="N1142" s="3" t="s">
        <v>355</v>
      </c>
      <c r="P1142" s="3" t="s">
        <v>64</v>
      </c>
      <c r="R1142" s="3" t="s">
        <v>65</v>
      </c>
      <c r="S1142" s="4">
        <v>8</v>
      </c>
      <c r="T1142" s="4">
        <v>8</v>
      </c>
      <c r="U1142" s="5" t="s">
        <v>11453</v>
      </c>
      <c r="V1142" s="5" t="s">
        <v>11453</v>
      </c>
      <c r="W1142" s="5" t="s">
        <v>67</v>
      </c>
      <c r="X1142" s="5" t="s">
        <v>67</v>
      </c>
      <c r="Y1142" s="4">
        <v>340</v>
      </c>
      <c r="Z1142" s="4">
        <v>29</v>
      </c>
      <c r="AA1142" s="4">
        <v>30</v>
      </c>
      <c r="AB1142" s="4">
        <v>3</v>
      </c>
      <c r="AC1142" s="4">
        <v>4</v>
      </c>
      <c r="AD1142" s="4">
        <v>107</v>
      </c>
      <c r="AE1142" s="4">
        <v>108</v>
      </c>
      <c r="AF1142" s="4">
        <v>1</v>
      </c>
      <c r="AG1142" s="4">
        <v>2</v>
      </c>
      <c r="AH1142" s="4">
        <v>91</v>
      </c>
      <c r="AI1142" s="4">
        <v>91</v>
      </c>
      <c r="AJ1142" s="4">
        <v>19</v>
      </c>
      <c r="AK1142" s="4">
        <v>20</v>
      </c>
      <c r="AL1142" s="4">
        <v>53</v>
      </c>
      <c r="AM1142" s="4">
        <v>53</v>
      </c>
      <c r="AN1142" s="4">
        <v>0</v>
      </c>
      <c r="AO1142" s="4">
        <v>0</v>
      </c>
      <c r="AP1142" s="4">
        <v>23</v>
      </c>
      <c r="AQ1142" s="4">
        <v>24</v>
      </c>
      <c r="AR1142" s="3" t="s">
        <v>62</v>
      </c>
      <c r="AS1142" s="3" t="s">
        <v>62</v>
      </c>
      <c r="AT1142" s="3" t="s">
        <v>61</v>
      </c>
      <c r="AU1142" s="6" t="str">
        <f>HYPERLINK("http://catalog.hathitrust.org/Record/000325515","HathiTrust Record")</f>
        <v>HathiTrust Record</v>
      </c>
      <c r="AV1142" s="6" t="str">
        <f>HYPERLINK("http://mcgill.on.worldcat.org/oclc/9255894","Catalog Record")</f>
        <v>Catalog Record</v>
      </c>
      <c r="AW1142" s="6" t="str">
        <f>HYPERLINK("http://www.worldcat.org/oclc/9255894","WorldCat Record")</f>
        <v>WorldCat Record</v>
      </c>
      <c r="AX1142" s="3" t="s">
        <v>11454</v>
      </c>
      <c r="AY1142" s="3" t="s">
        <v>11455</v>
      </c>
      <c r="AZ1142" s="3" t="s">
        <v>11456</v>
      </c>
      <c r="BA1142" s="3" t="s">
        <v>11456</v>
      </c>
      <c r="BB1142" s="3" t="s">
        <v>11457</v>
      </c>
      <c r="BC1142" s="3" t="s">
        <v>102</v>
      </c>
      <c r="BD1142" s="3" t="s">
        <v>68</v>
      </c>
      <c r="BE1142" s="3" t="s">
        <v>11458</v>
      </c>
      <c r="BF1142" s="3" t="s">
        <v>11457</v>
      </c>
      <c r="BG1142" s="3" t="s">
        <v>11459</v>
      </c>
    </row>
    <row r="1143" spans="1:59" ht="58" x14ac:dyDescent="0.35">
      <c r="A1143" s="2" t="s">
        <v>89</v>
      </c>
      <c r="B1143" s="2" t="s">
        <v>90</v>
      </c>
      <c r="C1143" s="2" t="s">
        <v>11460</v>
      </c>
      <c r="D1143" s="2" t="s">
        <v>11461</v>
      </c>
      <c r="E1143" s="2" t="s">
        <v>11462</v>
      </c>
      <c r="G1143" s="3" t="s">
        <v>62</v>
      </c>
      <c r="I1143" s="3" t="s">
        <v>62</v>
      </c>
      <c r="J1143" s="3" t="s">
        <v>62</v>
      </c>
      <c r="K1143" s="3" t="s">
        <v>63</v>
      </c>
      <c r="M1143" s="2" t="s">
        <v>11463</v>
      </c>
      <c r="N1143" s="3" t="s">
        <v>2975</v>
      </c>
      <c r="P1143" s="3" t="s">
        <v>1881</v>
      </c>
      <c r="Q1143" s="2" t="s">
        <v>11464</v>
      </c>
      <c r="R1143" s="3" t="s">
        <v>65</v>
      </c>
      <c r="S1143" s="4">
        <v>1</v>
      </c>
      <c r="T1143" s="4">
        <v>1</v>
      </c>
      <c r="U1143" s="5" t="s">
        <v>11465</v>
      </c>
      <c r="V1143" s="5" t="s">
        <v>11465</v>
      </c>
      <c r="W1143" s="5" t="s">
        <v>67</v>
      </c>
      <c r="X1143" s="5" t="s">
        <v>67</v>
      </c>
      <c r="Y1143" s="4">
        <v>7</v>
      </c>
      <c r="Z1143" s="4">
        <v>1</v>
      </c>
      <c r="AA1143" s="4">
        <v>1</v>
      </c>
      <c r="AB1143" s="4">
        <v>1</v>
      </c>
      <c r="AC1143" s="4">
        <v>1</v>
      </c>
      <c r="AD1143" s="4">
        <v>0</v>
      </c>
      <c r="AE1143" s="4">
        <v>1</v>
      </c>
      <c r="AF1143" s="4">
        <v>0</v>
      </c>
      <c r="AG1143" s="4">
        <v>0</v>
      </c>
      <c r="AH1143" s="4">
        <v>0</v>
      </c>
      <c r="AI1143" s="4">
        <v>1</v>
      </c>
      <c r="AJ1143" s="4">
        <v>0</v>
      </c>
      <c r="AK1143" s="4">
        <v>0</v>
      </c>
      <c r="AL1143" s="4">
        <v>0</v>
      </c>
      <c r="AM1143" s="4">
        <v>0</v>
      </c>
      <c r="AN1143" s="4">
        <v>0</v>
      </c>
      <c r="AO1143" s="4">
        <v>0</v>
      </c>
      <c r="AP1143" s="4">
        <v>0</v>
      </c>
      <c r="AQ1143" s="4">
        <v>0</v>
      </c>
      <c r="AR1143" s="3" t="s">
        <v>62</v>
      </c>
      <c r="AS1143" s="3" t="s">
        <v>62</v>
      </c>
      <c r="AT1143" s="3" t="s">
        <v>62</v>
      </c>
      <c r="AV1143" s="6" t="str">
        <f>HYPERLINK("http://mcgill.on.worldcat.org/oclc/51022473","Catalog Record")</f>
        <v>Catalog Record</v>
      </c>
      <c r="AW1143" s="6" t="str">
        <f>HYPERLINK("http://www.worldcat.org/oclc/51022473","WorldCat Record")</f>
        <v>WorldCat Record</v>
      </c>
      <c r="AX1143" s="3" t="s">
        <v>11466</v>
      </c>
      <c r="AY1143" s="3" t="s">
        <v>11467</v>
      </c>
      <c r="AZ1143" s="3" t="s">
        <v>11468</v>
      </c>
      <c r="BA1143" s="3" t="s">
        <v>11468</v>
      </c>
      <c r="BB1143" s="3" t="s">
        <v>11469</v>
      </c>
      <c r="BC1143" s="3" t="s">
        <v>102</v>
      </c>
      <c r="BD1143" s="3" t="s">
        <v>68</v>
      </c>
      <c r="BE1143" s="3" t="s">
        <v>11470</v>
      </c>
      <c r="BF1143" s="3" t="s">
        <v>11469</v>
      </c>
      <c r="BG1143" s="3" t="s">
        <v>11471</v>
      </c>
    </row>
    <row r="1144" spans="1:59" ht="58" x14ac:dyDescent="0.35">
      <c r="A1144" s="2" t="s">
        <v>89</v>
      </c>
      <c r="B1144" s="2" t="s">
        <v>90</v>
      </c>
      <c r="C1144" s="2" t="s">
        <v>11472</v>
      </c>
      <c r="D1144" s="2" t="s">
        <v>11473</v>
      </c>
      <c r="E1144" s="2" t="s">
        <v>11474</v>
      </c>
      <c r="G1144" s="3" t="s">
        <v>62</v>
      </c>
      <c r="I1144" s="3" t="s">
        <v>61</v>
      </c>
      <c r="J1144" s="3" t="s">
        <v>62</v>
      </c>
      <c r="K1144" s="3" t="s">
        <v>63</v>
      </c>
      <c r="L1144" s="2" t="s">
        <v>11475</v>
      </c>
      <c r="M1144" s="2" t="s">
        <v>11476</v>
      </c>
      <c r="N1144" s="3" t="s">
        <v>3062</v>
      </c>
      <c r="P1144" s="3" t="s">
        <v>64</v>
      </c>
      <c r="R1144" s="3" t="s">
        <v>65</v>
      </c>
      <c r="S1144" s="4">
        <v>70</v>
      </c>
      <c r="T1144" s="4">
        <v>80</v>
      </c>
      <c r="U1144" s="5" t="s">
        <v>1761</v>
      </c>
      <c r="V1144" s="5" t="s">
        <v>1761</v>
      </c>
      <c r="W1144" s="5" t="s">
        <v>67</v>
      </c>
      <c r="X1144" s="5" t="s">
        <v>67</v>
      </c>
      <c r="Y1144" s="4">
        <v>1183</v>
      </c>
      <c r="Z1144" s="4">
        <v>53</v>
      </c>
      <c r="AA1144" s="4">
        <v>71</v>
      </c>
      <c r="AB1144" s="4">
        <v>3</v>
      </c>
      <c r="AC1144" s="4">
        <v>6</v>
      </c>
      <c r="AD1144" s="4">
        <v>116</v>
      </c>
      <c r="AE1144" s="4">
        <v>136</v>
      </c>
      <c r="AF1144" s="4">
        <v>1</v>
      </c>
      <c r="AG1144" s="4">
        <v>2</v>
      </c>
      <c r="AH1144" s="4">
        <v>95</v>
      </c>
      <c r="AI1144" s="4">
        <v>105</v>
      </c>
      <c r="AJ1144" s="4">
        <v>17</v>
      </c>
      <c r="AK1144" s="4">
        <v>23</v>
      </c>
      <c r="AL1144" s="4">
        <v>52</v>
      </c>
      <c r="AM1144" s="4">
        <v>57</v>
      </c>
      <c r="AN1144" s="4">
        <v>0</v>
      </c>
      <c r="AO1144" s="4">
        <v>0</v>
      </c>
      <c r="AP1144" s="4">
        <v>24</v>
      </c>
      <c r="AQ1144" s="4">
        <v>35</v>
      </c>
      <c r="AR1144" s="3" t="s">
        <v>62</v>
      </c>
      <c r="AS1144" s="3" t="s">
        <v>62</v>
      </c>
      <c r="AT1144" s="3" t="s">
        <v>61</v>
      </c>
      <c r="AU1144" s="6" t="str">
        <f>HYPERLINK("http://catalog.hathitrust.org/Record/002485792","HathiTrust Record")</f>
        <v>HathiTrust Record</v>
      </c>
      <c r="AV1144" s="6" t="str">
        <f>HYPERLINK("http://mcgill.on.worldcat.org/oclc/23382577","Catalog Record")</f>
        <v>Catalog Record</v>
      </c>
      <c r="AW1144" s="6" t="str">
        <f>HYPERLINK("http://www.worldcat.org/oclc/23382577","WorldCat Record")</f>
        <v>WorldCat Record</v>
      </c>
      <c r="AX1144" s="3" t="s">
        <v>11477</v>
      </c>
      <c r="AY1144" s="3" t="s">
        <v>11478</v>
      </c>
      <c r="AZ1144" s="3" t="s">
        <v>11479</v>
      </c>
      <c r="BA1144" s="3" t="s">
        <v>11479</v>
      </c>
      <c r="BB1144" s="3" t="s">
        <v>11480</v>
      </c>
      <c r="BC1144" s="3" t="s">
        <v>102</v>
      </c>
      <c r="BD1144" s="3" t="s">
        <v>68</v>
      </c>
      <c r="BE1144" s="3" t="s">
        <v>11481</v>
      </c>
      <c r="BF1144" s="3" t="s">
        <v>11480</v>
      </c>
      <c r="BG1144" s="3" t="s">
        <v>11482</v>
      </c>
    </row>
    <row r="1145" spans="1:59" ht="72.5" x14ac:dyDescent="0.35">
      <c r="A1145" s="2" t="s">
        <v>89</v>
      </c>
      <c r="B1145" s="2" t="s">
        <v>1231</v>
      </c>
      <c r="C1145" s="2" t="s">
        <v>11472</v>
      </c>
      <c r="D1145" s="2" t="s">
        <v>11473</v>
      </c>
      <c r="E1145" s="2" t="s">
        <v>11474</v>
      </c>
      <c r="G1145" s="3" t="s">
        <v>62</v>
      </c>
      <c r="I1145" s="3" t="s">
        <v>61</v>
      </c>
      <c r="J1145" s="3" t="s">
        <v>62</v>
      </c>
      <c r="K1145" s="3" t="s">
        <v>63</v>
      </c>
      <c r="L1145" s="2" t="s">
        <v>11475</v>
      </c>
      <c r="M1145" s="2" t="s">
        <v>11476</v>
      </c>
      <c r="N1145" s="3" t="s">
        <v>3062</v>
      </c>
      <c r="P1145" s="3" t="s">
        <v>64</v>
      </c>
      <c r="R1145" s="3" t="s">
        <v>65</v>
      </c>
      <c r="S1145" s="4">
        <v>1</v>
      </c>
      <c r="T1145" s="4">
        <v>80</v>
      </c>
      <c r="U1145" s="5" t="s">
        <v>11483</v>
      </c>
      <c r="V1145" s="5" t="s">
        <v>1761</v>
      </c>
      <c r="W1145" s="5" t="s">
        <v>67</v>
      </c>
      <c r="X1145" s="5" t="s">
        <v>67</v>
      </c>
      <c r="Y1145" s="4">
        <v>1183</v>
      </c>
      <c r="Z1145" s="4">
        <v>53</v>
      </c>
      <c r="AA1145" s="4">
        <v>71</v>
      </c>
      <c r="AB1145" s="4">
        <v>3</v>
      </c>
      <c r="AC1145" s="4">
        <v>6</v>
      </c>
      <c r="AD1145" s="4">
        <v>116</v>
      </c>
      <c r="AE1145" s="4">
        <v>136</v>
      </c>
      <c r="AF1145" s="4">
        <v>1</v>
      </c>
      <c r="AG1145" s="4">
        <v>2</v>
      </c>
      <c r="AH1145" s="4">
        <v>95</v>
      </c>
      <c r="AI1145" s="4">
        <v>105</v>
      </c>
      <c r="AJ1145" s="4">
        <v>17</v>
      </c>
      <c r="AK1145" s="4">
        <v>23</v>
      </c>
      <c r="AL1145" s="4">
        <v>52</v>
      </c>
      <c r="AM1145" s="4">
        <v>57</v>
      </c>
      <c r="AN1145" s="4">
        <v>0</v>
      </c>
      <c r="AO1145" s="4">
        <v>0</v>
      </c>
      <c r="AP1145" s="4">
        <v>24</v>
      </c>
      <c r="AQ1145" s="4">
        <v>35</v>
      </c>
      <c r="AR1145" s="3" t="s">
        <v>62</v>
      </c>
      <c r="AS1145" s="3" t="s">
        <v>62</v>
      </c>
      <c r="AT1145" s="3" t="s">
        <v>61</v>
      </c>
      <c r="AU1145" s="6" t="str">
        <f>HYPERLINK("http://catalog.hathitrust.org/Record/002485792","HathiTrust Record")</f>
        <v>HathiTrust Record</v>
      </c>
      <c r="AV1145" s="6" t="str">
        <f>HYPERLINK("http://mcgill.on.worldcat.org/oclc/23382577","Catalog Record")</f>
        <v>Catalog Record</v>
      </c>
      <c r="AW1145" s="6" t="str">
        <f>HYPERLINK("http://www.worldcat.org/oclc/23382577","WorldCat Record")</f>
        <v>WorldCat Record</v>
      </c>
      <c r="AX1145" s="3" t="s">
        <v>11477</v>
      </c>
      <c r="AY1145" s="3" t="s">
        <v>11478</v>
      </c>
      <c r="AZ1145" s="3" t="s">
        <v>11479</v>
      </c>
      <c r="BA1145" s="3" t="s">
        <v>11479</v>
      </c>
      <c r="BB1145" s="3" t="s">
        <v>11484</v>
      </c>
      <c r="BC1145" s="3" t="s">
        <v>102</v>
      </c>
      <c r="BD1145" s="3" t="s">
        <v>68</v>
      </c>
      <c r="BE1145" s="3" t="s">
        <v>11481</v>
      </c>
      <c r="BF1145" s="3" t="s">
        <v>11484</v>
      </c>
      <c r="BG1145" s="3" t="s">
        <v>11485</v>
      </c>
    </row>
    <row r="1146" spans="1:59" ht="58" x14ac:dyDescent="0.35">
      <c r="A1146" s="2" t="s">
        <v>89</v>
      </c>
      <c r="B1146" s="2" t="s">
        <v>90</v>
      </c>
      <c r="C1146" s="2" t="s">
        <v>11486</v>
      </c>
      <c r="D1146" s="2" t="s">
        <v>11487</v>
      </c>
      <c r="E1146" s="2" t="s">
        <v>11488</v>
      </c>
      <c r="G1146" s="3" t="s">
        <v>62</v>
      </c>
      <c r="I1146" s="3" t="s">
        <v>62</v>
      </c>
      <c r="J1146" s="3" t="s">
        <v>62</v>
      </c>
      <c r="K1146" s="3" t="s">
        <v>63</v>
      </c>
      <c r="L1146" s="2" t="s">
        <v>11489</v>
      </c>
      <c r="M1146" s="2" t="s">
        <v>11490</v>
      </c>
      <c r="N1146" s="3" t="s">
        <v>640</v>
      </c>
      <c r="P1146" s="3" t="s">
        <v>64</v>
      </c>
      <c r="R1146" s="3" t="s">
        <v>65</v>
      </c>
      <c r="S1146" s="4">
        <v>13</v>
      </c>
      <c r="T1146" s="4">
        <v>13</v>
      </c>
      <c r="U1146" s="5" t="s">
        <v>8221</v>
      </c>
      <c r="V1146" s="5" t="s">
        <v>8221</v>
      </c>
      <c r="W1146" s="5" t="s">
        <v>67</v>
      </c>
      <c r="X1146" s="5" t="s">
        <v>67</v>
      </c>
      <c r="Y1146" s="4">
        <v>349</v>
      </c>
      <c r="Z1146" s="4">
        <v>24</v>
      </c>
      <c r="AA1146" s="4">
        <v>108</v>
      </c>
      <c r="AB1146" s="4">
        <v>2</v>
      </c>
      <c r="AC1146" s="4">
        <v>20</v>
      </c>
      <c r="AD1146" s="4">
        <v>99</v>
      </c>
      <c r="AE1146" s="4">
        <v>148</v>
      </c>
      <c r="AF1146" s="4">
        <v>1</v>
      </c>
      <c r="AG1146" s="4">
        <v>8</v>
      </c>
      <c r="AH1146" s="4">
        <v>87</v>
      </c>
      <c r="AI1146" s="4">
        <v>108</v>
      </c>
      <c r="AJ1146" s="4">
        <v>14</v>
      </c>
      <c r="AK1146" s="4">
        <v>23</v>
      </c>
      <c r="AL1146" s="4">
        <v>51</v>
      </c>
      <c r="AM1146" s="4">
        <v>59</v>
      </c>
      <c r="AN1146" s="4">
        <v>0</v>
      </c>
      <c r="AO1146" s="4">
        <v>0</v>
      </c>
      <c r="AP1146" s="4">
        <v>17</v>
      </c>
      <c r="AQ1146" s="4">
        <v>47</v>
      </c>
      <c r="AR1146" s="3" t="s">
        <v>62</v>
      </c>
      <c r="AS1146" s="3" t="s">
        <v>62</v>
      </c>
      <c r="AT1146" s="3" t="s">
        <v>62</v>
      </c>
      <c r="AV1146" s="6" t="str">
        <f>HYPERLINK("http://mcgill.on.worldcat.org/oclc/51867952","Catalog Record")</f>
        <v>Catalog Record</v>
      </c>
      <c r="AW1146" s="6" t="str">
        <f>HYPERLINK("http://www.worldcat.org/oclc/51867952","WorldCat Record")</f>
        <v>WorldCat Record</v>
      </c>
      <c r="AX1146" s="3" t="s">
        <v>11491</v>
      </c>
      <c r="AY1146" s="3" t="s">
        <v>11492</v>
      </c>
      <c r="AZ1146" s="3" t="s">
        <v>11493</v>
      </c>
      <c r="BA1146" s="3" t="s">
        <v>11493</v>
      </c>
      <c r="BB1146" s="3" t="s">
        <v>11494</v>
      </c>
      <c r="BC1146" s="3" t="s">
        <v>102</v>
      </c>
      <c r="BD1146" s="3" t="s">
        <v>68</v>
      </c>
      <c r="BE1146" s="3" t="s">
        <v>11495</v>
      </c>
      <c r="BF1146" s="3" t="s">
        <v>11494</v>
      </c>
      <c r="BG1146" s="3" t="s">
        <v>11496</v>
      </c>
    </row>
    <row r="1147" spans="1:59" ht="58" x14ac:dyDescent="0.35">
      <c r="A1147" s="2" t="s">
        <v>89</v>
      </c>
      <c r="B1147" s="2" t="s">
        <v>90</v>
      </c>
      <c r="C1147" s="2" t="s">
        <v>11497</v>
      </c>
      <c r="D1147" s="2" t="s">
        <v>11498</v>
      </c>
      <c r="E1147" s="2" t="s">
        <v>11499</v>
      </c>
      <c r="G1147" s="3" t="s">
        <v>62</v>
      </c>
      <c r="I1147" s="3" t="s">
        <v>61</v>
      </c>
      <c r="J1147" s="3" t="s">
        <v>62</v>
      </c>
      <c r="K1147" s="3" t="s">
        <v>63</v>
      </c>
      <c r="L1147" s="2" t="s">
        <v>11500</v>
      </c>
      <c r="M1147" s="2" t="s">
        <v>11501</v>
      </c>
      <c r="N1147" s="3" t="s">
        <v>866</v>
      </c>
      <c r="P1147" s="3" t="s">
        <v>64</v>
      </c>
      <c r="Q1147" s="2" t="s">
        <v>11502</v>
      </c>
      <c r="R1147" s="3" t="s">
        <v>65</v>
      </c>
      <c r="S1147" s="4">
        <v>11</v>
      </c>
      <c r="T1147" s="4">
        <v>19</v>
      </c>
      <c r="U1147" s="5" t="s">
        <v>10568</v>
      </c>
      <c r="V1147" s="5" t="s">
        <v>9640</v>
      </c>
      <c r="W1147" s="5" t="s">
        <v>67</v>
      </c>
      <c r="X1147" s="5" t="s">
        <v>67</v>
      </c>
      <c r="Y1147" s="4">
        <v>308</v>
      </c>
      <c r="Z1147" s="4">
        <v>18</v>
      </c>
      <c r="AA1147" s="4">
        <v>18</v>
      </c>
      <c r="AB1147" s="4">
        <v>1</v>
      </c>
      <c r="AC1147" s="4">
        <v>1</v>
      </c>
      <c r="AD1147" s="4">
        <v>81</v>
      </c>
      <c r="AE1147" s="4">
        <v>81</v>
      </c>
      <c r="AF1147" s="4">
        <v>0</v>
      </c>
      <c r="AG1147" s="4">
        <v>0</v>
      </c>
      <c r="AH1147" s="4">
        <v>72</v>
      </c>
      <c r="AI1147" s="4">
        <v>72</v>
      </c>
      <c r="AJ1147" s="4">
        <v>8</v>
      </c>
      <c r="AK1147" s="4">
        <v>8</v>
      </c>
      <c r="AL1147" s="4">
        <v>45</v>
      </c>
      <c r="AM1147" s="4">
        <v>45</v>
      </c>
      <c r="AN1147" s="4">
        <v>0</v>
      </c>
      <c r="AO1147" s="4">
        <v>0</v>
      </c>
      <c r="AP1147" s="4">
        <v>9</v>
      </c>
      <c r="AQ1147" s="4">
        <v>9</v>
      </c>
      <c r="AR1147" s="3" t="s">
        <v>62</v>
      </c>
      <c r="AS1147" s="3" t="s">
        <v>62</v>
      </c>
      <c r="AT1147" s="3" t="s">
        <v>61</v>
      </c>
      <c r="AU1147" s="6" t="str">
        <f>HYPERLINK("http://catalog.hathitrust.org/Record/005784890","HathiTrust Record")</f>
        <v>HathiTrust Record</v>
      </c>
      <c r="AV1147" s="6" t="str">
        <f>HYPERLINK("http://mcgill.on.worldcat.org/oclc/376059","Catalog Record")</f>
        <v>Catalog Record</v>
      </c>
      <c r="AW1147" s="6" t="str">
        <f>HYPERLINK("http://www.worldcat.org/oclc/376059","WorldCat Record")</f>
        <v>WorldCat Record</v>
      </c>
      <c r="AX1147" s="3" t="s">
        <v>11503</v>
      </c>
      <c r="AY1147" s="3" t="s">
        <v>11504</v>
      </c>
      <c r="AZ1147" s="3" t="s">
        <v>11505</v>
      </c>
      <c r="BA1147" s="3" t="s">
        <v>11505</v>
      </c>
      <c r="BB1147" s="3" t="s">
        <v>11506</v>
      </c>
      <c r="BC1147" s="3" t="s">
        <v>102</v>
      </c>
      <c r="BD1147" s="3" t="s">
        <v>68</v>
      </c>
      <c r="BF1147" s="3" t="s">
        <v>11506</v>
      </c>
      <c r="BG1147" s="3" t="s">
        <v>11507</v>
      </c>
    </row>
    <row r="1148" spans="1:59" ht="72.5" x14ac:dyDescent="0.35">
      <c r="A1148" s="2" t="s">
        <v>89</v>
      </c>
      <c r="B1148" s="2" t="s">
        <v>1231</v>
      </c>
      <c r="C1148" s="2" t="s">
        <v>11508</v>
      </c>
      <c r="D1148" s="2" t="s">
        <v>11509</v>
      </c>
      <c r="E1148" s="2" t="s">
        <v>11510</v>
      </c>
      <c r="G1148" s="3" t="s">
        <v>62</v>
      </c>
      <c r="I1148" s="3" t="s">
        <v>62</v>
      </c>
      <c r="J1148" s="3" t="s">
        <v>62</v>
      </c>
      <c r="K1148" s="3" t="s">
        <v>63</v>
      </c>
      <c r="L1148" s="2" t="s">
        <v>11511</v>
      </c>
      <c r="M1148" s="2" t="s">
        <v>11512</v>
      </c>
      <c r="N1148" s="3" t="s">
        <v>795</v>
      </c>
      <c r="P1148" s="3" t="s">
        <v>1078</v>
      </c>
      <c r="R1148" s="3" t="s">
        <v>65</v>
      </c>
      <c r="S1148" s="4">
        <v>2</v>
      </c>
      <c r="T1148" s="4">
        <v>2</v>
      </c>
      <c r="U1148" s="5" t="s">
        <v>3355</v>
      </c>
      <c r="V1148" s="5" t="s">
        <v>3355</v>
      </c>
      <c r="W1148" s="5" t="s">
        <v>67</v>
      </c>
      <c r="X1148" s="5" t="s">
        <v>67</v>
      </c>
      <c r="Y1148" s="4">
        <v>58</v>
      </c>
      <c r="Z1148" s="4">
        <v>4</v>
      </c>
      <c r="AA1148" s="4">
        <v>4</v>
      </c>
      <c r="AB1148" s="4">
        <v>2</v>
      </c>
      <c r="AC1148" s="4">
        <v>2</v>
      </c>
      <c r="AD1148" s="4">
        <v>27</v>
      </c>
      <c r="AE1148" s="4">
        <v>27</v>
      </c>
      <c r="AF1148" s="4">
        <v>0</v>
      </c>
      <c r="AG1148" s="4">
        <v>0</v>
      </c>
      <c r="AH1148" s="4">
        <v>24</v>
      </c>
      <c r="AI1148" s="4">
        <v>24</v>
      </c>
      <c r="AJ1148" s="4">
        <v>2</v>
      </c>
      <c r="AK1148" s="4">
        <v>2</v>
      </c>
      <c r="AL1148" s="4">
        <v>16</v>
      </c>
      <c r="AM1148" s="4">
        <v>16</v>
      </c>
      <c r="AN1148" s="4">
        <v>0</v>
      </c>
      <c r="AO1148" s="4">
        <v>0</v>
      </c>
      <c r="AP1148" s="4">
        <v>1</v>
      </c>
      <c r="AQ1148" s="4">
        <v>1</v>
      </c>
      <c r="AR1148" s="3" t="s">
        <v>62</v>
      </c>
      <c r="AS1148" s="3" t="s">
        <v>62</v>
      </c>
      <c r="AT1148" s="3" t="s">
        <v>62</v>
      </c>
      <c r="AV1148" s="6" t="str">
        <f>HYPERLINK("http://mcgill.on.worldcat.org/oclc/4177206","Catalog Record")</f>
        <v>Catalog Record</v>
      </c>
      <c r="AW1148" s="6" t="str">
        <f>HYPERLINK("http://www.worldcat.org/oclc/4177206","WorldCat Record")</f>
        <v>WorldCat Record</v>
      </c>
      <c r="AX1148" s="3" t="s">
        <v>11513</v>
      </c>
      <c r="AY1148" s="3" t="s">
        <v>11514</v>
      </c>
      <c r="AZ1148" s="3" t="s">
        <v>11515</v>
      </c>
      <c r="BA1148" s="3" t="s">
        <v>11515</v>
      </c>
      <c r="BB1148" s="3" t="s">
        <v>11516</v>
      </c>
      <c r="BC1148" s="3" t="s">
        <v>102</v>
      </c>
      <c r="BD1148" s="3" t="s">
        <v>68</v>
      </c>
      <c r="BF1148" s="3" t="s">
        <v>11516</v>
      </c>
      <c r="BG1148" s="3" t="s">
        <v>11517</v>
      </c>
    </row>
    <row r="1149" spans="1:59" ht="58" x14ac:dyDescent="0.35">
      <c r="A1149" s="2" t="s">
        <v>89</v>
      </c>
      <c r="B1149" s="2" t="s">
        <v>90</v>
      </c>
      <c r="C1149" s="2" t="s">
        <v>11518</v>
      </c>
      <c r="D1149" s="2" t="s">
        <v>11519</v>
      </c>
      <c r="E1149" s="2" t="s">
        <v>11520</v>
      </c>
      <c r="G1149" s="3" t="s">
        <v>62</v>
      </c>
      <c r="I1149" s="3" t="s">
        <v>61</v>
      </c>
      <c r="J1149" s="3" t="s">
        <v>62</v>
      </c>
      <c r="K1149" s="3" t="s">
        <v>63</v>
      </c>
      <c r="L1149" s="2" t="s">
        <v>11521</v>
      </c>
      <c r="M1149" s="2" t="s">
        <v>11522</v>
      </c>
      <c r="N1149" s="3" t="s">
        <v>524</v>
      </c>
      <c r="P1149" s="3" t="s">
        <v>64</v>
      </c>
      <c r="R1149" s="3" t="s">
        <v>65</v>
      </c>
      <c r="S1149" s="4">
        <v>11</v>
      </c>
      <c r="T1149" s="4">
        <v>61</v>
      </c>
      <c r="U1149" s="5" t="s">
        <v>8221</v>
      </c>
      <c r="V1149" s="5" t="s">
        <v>8221</v>
      </c>
      <c r="W1149" s="5" t="s">
        <v>67</v>
      </c>
      <c r="X1149" s="5" t="s">
        <v>67</v>
      </c>
      <c r="Y1149" s="4">
        <v>514</v>
      </c>
      <c r="Z1149" s="4">
        <v>22</v>
      </c>
      <c r="AA1149" s="4">
        <v>89</v>
      </c>
      <c r="AB1149" s="4">
        <v>2</v>
      </c>
      <c r="AC1149" s="4">
        <v>16</v>
      </c>
      <c r="AD1149" s="4">
        <v>105</v>
      </c>
      <c r="AE1149" s="4">
        <v>143</v>
      </c>
      <c r="AF1149" s="4">
        <v>1</v>
      </c>
      <c r="AG1149" s="4">
        <v>8</v>
      </c>
      <c r="AH1149" s="4">
        <v>96</v>
      </c>
      <c r="AI1149" s="4">
        <v>109</v>
      </c>
      <c r="AJ1149" s="4">
        <v>11</v>
      </c>
      <c r="AK1149" s="4">
        <v>22</v>
      </c>
      <c r="AL1149" s="4">
        <v>54</v>
      </c>
      <c r="AM1149" s="4">
        <v>59</v>
      </c>
      <c r="AN1149" s="4">
        <v>0</v>
      </c>
      <c r="AO1149" s="4">
        <v>0</v>
      </c>
      <c r="AP1149" s="4">
        <v>13</v>
      </c>
      <c r="AQ1149" s="4">
        <v>41</v>
      </c>
      <c r="AR1149" s="3" t="s">
        <v>62</v>
      </c>
      <c r="AS1149" s="3" t="s">
        <v>62</v>
      </c>
      <c r="AT1149" s="3" t="s">
        <v>62</v>
      </c>
      <c r="AV1149" s="6" t="str">
        <f>HYPERLINK("http://mcgill.on.worldcat.org/oclc/32131326","Catalog Record")</f>
        <v>Catalog Record</v>
      </c>
      <c r="AW1149" s="6" t="str">
        <f>HYPERLINK("http://www.worldcat.org/oclc/32131326","WorldCat Record")</f>
        <v>WorldCat Record</v>
      </c>
      <c r="AX1149" s="3" t="s">
        <v>11523</v>
      </c>
      <c r="AY1149" s="3" t="s">
        <v>11524</v>
      </c>
      <c r="AZ1149" s="3" t="s">
        <v>11525</v>
      </c>
      <c r="BA1149" s="3" t="s">
        <v>11525</v>
      </c>
      <c r="BB1149" s="3" t="s">
        <v>11526</v>
      </c>
      <c r="BC1149" s="3" t="s">
        <v>102</v>
      </c>
      <c r="BD1149" s="3" t="s">
        <v>68</v>
      </c>
      <c r="BE1149" s="3" t="s">
        <v>11527</v>
      </c>
      <c r="BF1149" s="3" t="s">
        <v>11526</v>
      </c>
      <c r="BG1149" s="3" t="s">
        <v>11528</v>
      </c>
    </row>
    <row r="1150" spans="1:59" ht="58" x14ac:dyDescent="0.35">
      <c r="A1150" s="2" t="s">
        <v>89</v>
      </c>
      <c r="B1150" s="2" t="s">
        <v>90</v>
      </c>
      <c r="C1150" s="2" t="s">
        <v>11529</v>
      </c>
      <c r="D1150" s="2" t="s">
        <v>11530</v>
      </c>
      <c r="E1150" s="2" t="s">
        <v>11531</v>
      </c>
      <c r="G1150" s="3" t="s">
        <v>62</v>
      </c>
      <c r="I1150" s="3" t="s">
        <v>62</v>
      </c>
      <c r="J1150" s="3" t="s">
        <v>62</v>
      </c>
      <c r="K1150" s="3" t="s">
        <v>63</v>
      </c>
      <c r="L1150" s="2" t="s">
        <v>11532</v>
      </c>
      <c r="M1150" s="2" t="s">
        <v>11533</v>
      </c>
      <c r="N1150" s="3" t="s">
        <v>1195</v>
      </c>
      <c r="P1150" s="3" t="s">
        <v>1881</v>
      </c>
      <c r="Q1150" s="2" t="s">
        <v>11534</v>
      </c>
      <c r="R1150" s="3" t="s">
        <v>65</v>
      </c>
      <c r="S1150" s="4">
        <v>3</v>
      </c>
      <c r="T1150" s="4">
        <v>3</v>
      </c>
      <c r="U1150" s="5" t="s">
        <v>11535</v>
      </c>
      <c r="V1150" s="5" t="s">
        <v>11535</v>
      </c>
      <c r="W1150" s="5" t="s">
        <v>67</v>
      </c>
      <c r="X1150" s="5" t="s">
        <v>67</v>
      </c>
      <c r="Y1150" s="4">
        <v>43</v>
      </c>
      <c r="Z1150" s="4">
        <v>1</v>
      </c>
      <c r="AA1150" s="4">
        <v>1</v>
      </c>
      <c r="AB1150" s="4">
        <v>1</v>
      </c>
      <c r="AC1150" s="4">
        <v>1</v>
      </c>
      <c r="AD1150" s="4">
        <v>11</v>
      </c>
      <c r="AE1150" s="4">
        <v>11</v>
      </c>
      <c r="AF1150" s="4">
        <v>0</v>
      </c>
      <c r="AG1150" s="4">
        <v>0</v>
      </c>
      <c r="AH1150" s="4">
        <v>10</v>
      </c>
      <c r="AI1150" s="4">
        <v>10</v>
      </c>
      <c r="AJ1150" s="4">
        <v>0</v>
      </c>
      <c r="AK1150" s="4">
        <v>0</v>
      </c>
      <c r="AL1150" s="4">
        <v>7</v>
      </c>
      <c r="AM1150" s="4">
        <v>7</v>
      </c>
      <c r="AN1150" s="4">
        <v>0</v>
      </c>
      <c r="AO1150" s="4">
        <v>0</v>
      </c>
      <c r="AP1150" s="4">
        <v>0</v>
      </c>
      <c r="AQ1150" s="4">
        <v>0</v>
      </c>
      <c r="AR1150" s="3" t="s">
        <v>62</v>
      </c>
      <c r="AS1150" s="3" t="s">
        <v>62</v>
      </c>
      <c r="AT1150" s="3" t="s">
        <v>62</v>
      </c>
      <c r="AV1150" s="6" t="str">
        <f>HYPERLINK("http://mcgill.on.worldcat.org/oclc/75253060","Catalog Record")</f>
        <v>Catalog Record</v>
      </c>
      <c r="AW1150" s="6" t="str">
        <f>HYPERLINK("http://www.worldcat.org/oclc/75253060","WorldCat Record")</f>
        <v>WorldCat Record</v>
      </c>
      <c r="AX1150" s="3" t="s">
        <v>11536</v>
      </c>
      <c r="AY1150" s="3" t="s">
        <v>11537</v>
      </c>
      <c r="AZ1150" s="3" t="s">
        <v>11538</v>
      </c>
      <c r="BA1150" s="3" t="s">
        <v>11538</v>
      </c>
      <c r="BB1150" s="3" t="s">
        <v>11539</v>
      </c>
      <c r="BC1150" s="3" t="s">
        <v>102</v>
      </c>
      <c r="BD1150" s="3" t="s">
        <v>68</v>
      </c>
      <c r="BE1150" s="3" t="s">
        <v>11540</v>
      </c>
      <c r="BF1150" s="3" t="s">
        <v>11539</v>
      </c>
      <c r="BG1150" s="3" t="s">
        <v>11541</v>
      </c>
    </row>
    <row r="1151" spans="1:59" ht="58" x14ac:dyDescent="0.35">
      <c r="A1151" s="2" t="s">
        <v>89</v>
      </c>
      <c r="B1151" s="2" t="s">
        <v>90</v>
      </c>
      <c r="C1151" s="2" t="s">
        <v>11542</v>
      </c>
      <c r="D1151" s="2" t="s">
        <v>11543</v>
      </c>
      <c r="E1151" s="2" t="s">
        <v>11544</v>
      </c>
      <c r="G1151" s="3" t="s">
        <v>62</v>
      </c>
      <c r="I1151" s="3" t="s">
        <v>62</v>
      </c>
      <c r="J1151" s="3" t="s">
        <v>62</v>
      </c>
      <c r="K1151" s="3" t="s">
        <v>63</v>
      </c>
      <c r="L1151" s="2" t="s">
        <v>11545</v>
      </c>
      <c r="M1151" s="2" t="s">
        <v>11546</v>
      </c>
      <c r="N1151" s="3" t="s">
        <v>1722</v>
      </c>
      <c r="P1151" s="3" t="s">
        <v>64</v>
      </c>
      <c r="Q1151" s="2" t="s">
        <v>11547</v>
      </c>
      <c r="R1151" s="3" t="s">
        <v>65</v>
      </c>
      <c r="S1151" s="4">
        <v>11</v>
      </c>
      <c r="T1151" s="4">
        <v>11</v>
      </c>
      <c r="U1151" s="5" t="s">
        <v>8221</v>
      </c>
      <c r="V1151" s="5" t="s">
        <v>8221</v>
      </c>
      <c r="W1151" s="5" t="s">
        <v>67</v>
      </c>
      <c r="X1151" s="5" t="s">
        <v>67</v>
      </c>
      <c r="Y1151" s="4">
        <v>60</v>
      </c>
      <c r="Z1151" s="4">
        <v>5</v>
      </c>
      <c r="AA1151" s="4">
        <v>7</v>
      </c>
      <c r="AB1151" s="4">
        <v>1</v>
      </c>
      <c r="AC1151" s="4">
        <v>3</v>
      </c>
      <c r="AD1151" s="4">
        <v>27</v>
      </c>
      <c r="AE1151" s="4">
        <v>29</v>
      </c>
      <c r="AF1151" s="4">
        <v>0</v>
      </c>
      <c r="AG1151" s="4">
        <v>0</v>
      </c>
      <c r="AH1151" s="4">
        <v>25</v>
      </c>
      <c r="AI1151" s="4">
        <v>27</v>
      </c>
      <c r="AJ1151" s="4">
        <v>2</v>
      </c>
      <c r="AK1151" s="4">
        <v>2</v>
      </c>
      <c r="AL1151" s="4">
        <v>17</v>
      </c>
      <c r="AM1151" s="4">
        <v>18</v>
      </c>
      <c r="AN1151" s="4">
        <v>0</v>
      </c>
      <c r="AO1151" s="4">
        <v>0</v>
      </c>
      <c r="AP1151" s="4">
        <v>3</v>
      </c>
      <c r="AQ1151" s="4">
        <v>3</v>
      </c>
      <c r="AR1151" s="3" t="s">
        <v>62</v>
      </c>
      <c r="AS1151" s="3" t="s">
        <v>62</v>
      </c>
      <c r="AT1151" s="3" t="s">
        <v>61</v>
      </c>
      <c r="AU1151" s="6" t="str">
        <f>HYPERLINK("http://catalog.hathitrust.org/Record/005929704","HathiTrust Record")</f>
        <v>HathiTrust Record</v>
      </c>
      <c r="AV1151" s="6" t="str">
        <f>HYPERLINK("http://mcgill.on.worldcat.org/oclc/182779655","Catalog Record")</f>
        <v>Catalog Record</v>
      </c>
      <c r="AW1151" s="6" t="str">
        <f>HYPERLINK("http://www.worldcat.org/oclc/182779655","WorldCat Record")</f>
        <v>WorldCat Record</v>
      </c>
      <c r="AX1151" s="3" t="s">
        <v>11548</v>
      </c>
      <c r="AY1151" s="3" t="s">
        <v>11549</v>
      </c>
      <c r="AZ1151" s="3" t="s">
        <v>11550</v>
      </c>
      <c r="BA1151" s="3" t="s">
        <v>11550</v>
      </c>
      <c r="BB1151" s="3" t="s">
        <v>11551</v>
      </c>
      <c r="BC1151" s="3" t="s">
        <v>102</v>
      </c>
      <c r="BD1151" s="3" t="s">
        <v>68</v>
      </c>
      <c r="BE1151" s="3" t="s">
        <v>11552</v>
      </c>
      <c r="BF1151" s="3" t="s">
        <v>11551</v>
      </c>
      <c r="BG1151" s="3" t="s">
        <v>11553</v>
      </c>
    </row>
    <row r="1152" spans="1:59" ht="72.5" x14ac:dyDescent="0.35">
      <c r="A1152" s="2" t="s">
        <v>89</v>
      </c>
      <c r="B1152" s="2" t="s">
        <v>1231</v>
      </c>
      <c r="C1152" s="2" t="s">
        <v>11554</v>
      </c>
      <c r="D1152" s="2" t="s">
        <v>11555</v>
      </c>
      <c r="E1152" s="2" t="s">
        <v>11556</v>
      </c>
      <c r="G1152" s="3" t="s">
        <v>62</v>
      </c>
      <c r="I1152" s="3" t="s">
        <v>62</v>
      </c>
      <c r="J1152" s="3" t="s">
        <v>61</v>
      </c>
      <c r="K1152" s="3" t="s">
        <v>63</v>
      </c>
      <c r="L1152" s="2" t="s">
        <v>11557</v>
      </c>
      <c r="M1152" s="2" t="s">
        <v>11558</v>
      </c>
      <c r="N1152" s="3" t="s">
        <v>954</v>
      </c>
      <c r="P1152" s="3" t="s">
        <v>64</v>
      </c>
      <c r="Q1152" s="2" t="s">
        <v>11559</v>
      </c>
      <c r="R1152" s="3" t="s">
        <v>65</v>
      </c>
      <c r="S1152" s="4">
        <v>5</v>
      </c>
      <c r="T1152" s="4">
        <v>5</v>
      </c>
      <c r="U1152" s="5" t="s">
        <v>3355</v>
      </c>
      <c r="V1152" s="5" t="s">
        <v>3355</v>
      </c>
      <c r="W1152" s="5" t="s">
        <v>67</v>
      </c>
      <c r="X1152" s="5" t="s">
        <v>67</v>
      </c>
      <c r="Y1152" s="4">
        <v>575</v>
      </c>
      <c r="Z1152" s="4">
        <v>38</v>
      </c>
      <c r="AA1152" s="4">
        <v>49</v>
      </c>
      <c r="AB1152" s="4">
        <v>2</v>
      </c>
      <c r="AC1152" s="4">
        <v>4</v>
      </c>
      <c r="AD1152" s="4">
        <v>99</v>
      </c>
      <c r="AE1152" s="4">
        <v>120</v>
      </c>
      <c r="AF1152" s="4">
        <v>1</v>
      </c>
      <c r="AG1152" s="4">
        <v>3</v>
      </c>
      <c r="AH1152" s="4">
        <v>77</v>
      </c>
      <c r="AI1152" s="4">
        <v>92</v>
      </c>
      <c r="AJ1152" s="4">
        <v>16</v>
      </c>
      <c r="AK1152" s="4">
        <v>22</v>
      </c>
      <c r="AL1152" s="4">
        <v>44</v>
      </c>
      <c r="AM1152" s="4">
        <v>54</v>
      </c>
      <c r="AN1152" s="4">
        <v>0</v>
      </c>
      <c r="AO1152" s="4">
        <v>0</v>
      </c>
      <c r="AP1152" s="4">
        <v>22</v>
      </c>
      <c r="AQ1152" s="4">
        <v>32</v>
      </c>
      <c r="AR1152" s="3" t="s">
        <v>62</v>
      </c>
      <c r="AS1152" s="3" t="s">
        <v>62</v>
      </c>
      <c r="AT1152" s="3" t="s">
        <v>61</v>
      </c>
      <c r="AU1152" s="6" t="str">
        <f>HYPERLINK("http://catalog.hathitrust.org/Record/001475047","HathiTrust Record")</f>
        <v>HathiTrust Record</v>
      </c>
      <c r="AV1152" s="6" t="str">
        <f>HYPERLINK("http://mcgill.on.worldcat.org/oclc/544229","Catalog Record")</f>
        <v>Catalog Record</v>
      </c>
      <c r="AW1152" s="6" t="str">
        <f>HYPERLINK("http://www.worldcat.org/oclc/544229","WorldCat Record")</f>
        <v>WorldCat Record</v>
      </c>
      <c r="AX1152" s="3" t="s">
        <v>11560</v>
      </c>
      <c r="AY1152" s="3" t="s">
        <v>11561</v>
      </c>
      <c r="AZ1152" s="3" t="s">
        <v>11562</v>
      </c>
      <c r="BA1152" s="3" t="s">
        <v>11562</v>
      </c>
      <c r="BB1152" s="3" t="s">
        <v>11563</v>
      </c>
      <c r="BC1152" s="3" t="s">
        <v>102</v>
      </c>
      <c r="BD1152" s="3" t="s">
        <v>68</v>
      </c>
      <c r="BF1152" s="3" t="s">
        <v>11563</v>
      </c>
      <c r="BG1152" s="3" t="s">
        <v>11564</v>
      </c>
    </row>
    <row r="1153" spans="1:59" ht="58" x14ac:dyDescent="0.35">
      <c r="A1153" s="2" t="s">
        <v>89</v>
      </c>
      <c r="B1153" s="2" t="s">
        <v>90</v>
      </c>
      <c r="C1153" s="2" t="s">
        <v>11565</v>
      </c>
      <c r="D1153" s="2" t="s">
        <v>11566</v>
      </c>
      <c r="E1153" s="2" t="s">
        <v>11567</v>
      </c>
      <c r="G1153" s="3" t="s">
        <v>62</v>
      </c>
      <c r="I1153" s="3" t="s">
        <v>61</v>
      </c>
      <c r="J1153" s="3" t="s">
        <v>62</v>
      </c>
      <c r="K1153" s="3" t="s">
        <v>63</v>
      </c>
      <c r="L1153" s="2" t="s">
        <v>11568</v>
      </c>
      <c r="M1153" s="2" t="s">
        <v>11569</v>
      </c>
      <c r="N1153" s="3" t="s">
        <v>539</v>
      </c>
      <c r="P1153" s="3" t="s">
        <v>64</v>
      </c>
      <c r="R1153" s="3" t="s">
        <v>65</v>
      </c>
      <c r="S1153" s="4">
        <v>20</v>
      </c>
      <c r="T1153" s="4">
        <v>30</v>
      </c>
      <c r="U1153" s="5" t="s">
        <v>11570</v>
      </c>
      <c r="V1153" s="5" t="s">
        <v>11570</v>
      </c>
      <c r="W1153" s="5" t="s">
        <v>67</v>
      </c>
      <c r="X1153" s="5" t="s">
        <v>67</v>
      </c>
      <c r="Y1153" s="4">
        <v>353</v>
      </c>
      <c r="Z1153" s="4">
        <v>49</v>
      </c>
      <c r="AA1153" s="4">
        <v>130</v>
      </c>
      <c r="AB1153" s="4">
        <v>7</v>
      </c>
      <c r="AC1153" s="4">
        <v>28</v>
      </c>
      <c r="AD1153" s="4">
        <v>113</v>
      </c>
      <c r="AE1153" s="4">
        <v>152</v>
      </c>
      <c r="AF1153" s="4">
        <v>2</v>
      </c>
      <c r="AG1153" s="4">
        <v>9</v>
      </c>
      <c r="AH1153" s="4">
        <v>86</v>
      </c>
      <c r="AI1153" s="4">
        <v>101</v>
      </c>
      <c r="AJ1153" s="4">
        <v>18</v>
      </c>
      <c r="AK1153" s="4">
        <v>29</v>
      </c>
      <c r="AL1153" s="4">
        <v>47</v>
      </c>
      <c r="AM1153" s="4">
        <v>50</v>
      </c>
      <c r="AN1153" s="4">
        <v>0</v>
      </c>
      <c r="AO1153" s="4">
        <v>0</v>
      </c>
      <c r="AP1153" s="4">
        <v>34</v>
      </c>
      <c r="AQ1153" s="4">
        <v>60</v>
      </c>
      <c r="AR1153" s="3" t="s">
        <v>61</v>
      </c>
      <c r="AS1153" s="3" t="s">
        <v>62</v>
      </c>
      <c r="AT1153" s="3" t="s">
        <v>62</v>
      </c>
      <c r="AV1153" s="6" t="str">
        <f>HYPERLINK("http://mcgill.on.worldcat.org/oclc/39380718","Catalog Record")</f>
        <v>Catalog Record</v>
      </c>
      <c r="AW1153" s="6" t="str">
        <f>HYPERLINK("http://www.worldcat.org/oclc/39380718","WorldCat Record")</f>
        <v>WorldCat Record</v>
      </c>
      <c r="AX1153" s="3" t="s">
        <v>11571</v>
      </c>
      <c r="AY1153" s="3" t="s">
        <v>11572</v>
      </c>
      <c r="AZ1153" s="3" t="s">
        <v>11573</v>
      </c>
      <c r="BA1153" s="3" t="s">
        <v>11573</v>
      </c>
      <c r="BB1153" s="3" t="s">
        <v>11574</v>
      </c>
      <c r="BC1153" s="3" t="s">
        <v>102</v>
      </c>
      <c r="BD1153" s="3" t="s">
        <v>68</v>
      </c>
      <c r="BE1153" s="3" t="s">
        <v>11575</v>
      </c>
      <c r="BF1153" s="3" t="s">
        <v>11574</v>
      </c>
      <c r="BG1153" s="3" t="s">
        <v>11576</v>
      </c>
    </row>
    <row r="1154" spans="1:59" ht="72.5" x14ac:dyDescent="0.35">
      <c r="A1154" s="2" t="s">
        <v>89</v>
      </c>
      <c r="B1154" s="2" t="s">
        <v>1231</v>
      </c>
      <c r="C1154" s="2" t="s">
        <v>11577</v>
      </c>
      <c r="D1154" s="2" t="s">
        <v>11578</v>
      </c>
      <c r="E1154" s="2" t="s">
        <v>11579</v>
      </c>
      <c r="G1154" s="3" t="s">
        <v>62</v>
      </c>
      <c r="I1154" s="3" t="s">
        <v>62</v>
      </c>
      <c r="J1154" s="3" t="s">
        <v>62</v>
      </c>
      <c r="K1154" s="3" t="s">
        <v>63</v>
      </c>
      <c r="L1154" s="2" t="s">
        <v>11580</v>
      </c>
      <c r="M1154" s="2" t="s">
        <v>11581</v>
      </c>
      <c r="N1154" s="3" t="s">
        <v>129</v>
      </c>
      <c r="P1154" s="3" t="s">
        <v>64</v>
      </c>
      <c r="R1154" s="3" t="s">
        <v>65</v>
      </c>
      <c r="S1154" s="4">
        <v>18</v>
      </c>
      <c r="T1154" s="4">
        <v>18</v>
      </c>
      <c r="U1154" s="5" t="s">
        <v>11582</v>
      </c>
      <c r="V1154" s="5" t="s">
        <v>11582</v>
      </c>
      <c r="W1154" s="5" t="s">
        <v>67</v>
      </c>
      <c r="X1154" s="5" t="s">
        <v>67</v>
      </c>
      <c r="Y1154" s="4">
        <v>181</v>
      </c>
      <c r="Z1154" s="4">
        <v>13</v>
      </c>
      <c r="AA1154" s="4">
        <v>48</v>
      </c>
      <c r="AB1154" s="4">
        <v>3</v>
      </c>
      <c r="AC1154" s="4">
        <v>6</v>
      </c>
      <c r="AD1154" s="4">
        <v>66</v>
      </c>
      <c r="AE1154" s="4">
        <v>88</v>
      </c>
      <c r="AF1154" s="4">
        <v>1</v>
      </c>
      <c r="AG1154" s="4">
        <v>2</v>
      </c>
      <c r="AH1154" s="4">
        <v>59</v>
      </c>
      <c r="AI1154" s="4">
        <v>73</v>
      </c>
      <c r="AJ1154" s="4">
        <v>9</v>
      </c>
      <c r="AK1154" s="4">
        <v>15</v>
      </c>
      <c r="AL1154" s="4">
        <v>40</v>
      </c>
      <c r="AM1154" s="4">
        <v>45</v>
      </c>
      <c r="AN1154" s="4">
        <v>0</v>
      </c>
      <c r="AO1154" s="4">
        <v>0</v>
      </c>
      <c r="AP1154" s="4">
        <v>9</v>
      </c>
      <c r="AQ1154" s="4">
        <v>20</v>
      </c>
      <c r="AR1154" s="3" t="s">
        <v>62</v>
      </c>
      <c r="AS1154" s="3" t="s">
        <v>62</v>
      </c>
      <c r="AT1154" s="3" t="s">
        <v>62</v>
      </c>
      <c r="AV1154" s="6" t="str">
        <f>HYPERLINK("http://mcgill.on.worldcat.org/oclc/816318406","Catalog Record")</f>
        <v>Catalog Record</v>
      </c>
      <c r="AW1154" s="6" t="str">
        <f>HYPERLINK("http://www.worldcat.org/oclc/816318406","WorldCat Record")</f>
        <v>WorldCat Record</v>
      </c>
      <c r="AX1154" s="3" t="s">
        <v>11583</v>
      </c>
      <c r="AY1154" s="3" t="s">
        <v>11584</v>
      </c>
      <c r="AZ1154" s="3" t="s">
        <v>11585</v>
      </c>
      <c r="BA1154" s="3" t="s">
        <v>11585</v>
      </c>
      <c r="BB1154" s="3" t="s">
        <v>11586</v>
      </c>
      <c r="BC1154" s="3" t="s">
        <v>102</v>
      </c>
      <c r="BD1154" s="3" t="s">
        <v>68</v>
      </c>
      <c r="BE1154" s="3" t="s">
        <v>11587</v>
      </c>
      <c r="BF1154" s="3" t="s">
        <v>11586</v>
      </c>
      <c r="BG1154" s="3" t="s">
        <v>11588</v>
      </c>
    </row>
    <row r="1155" spans="1:59" ht="58" x14ac:dyDescent="0.35">
      <c r="A1155" s="2" t="s">
        <v>89</v>
      </c>
      <c r="B1155" s="2" t="s">
        <v>90</v>
      </c>
      <c r="C1155" s="2" t="s">
        <v>11589</v>
      </c>
      <c r="D1155" s="2" t="s">
        <v>11590</v>
      </c>
      <c r="E1155" s="2" t="s">
        <v>11591</v>
      </c>
      <c r="G1155" s="3" t="s">
        <v>62</v>
      </c>
      <c r="I1155" s="3" t="s">
        <v>62</v>
      </c>
      <c r="J1155" s="3" t="s">
        <v>62</v>
      </c>
      <c r="K1155" s="3" t="s">
        <v>63</v>
      </c>
      <c r="M1155" s="2" t="s">
        <v>11592</v>
      </c>
      <c r="N1155" s="3" t="s">
        <v>625</v>
      </c>
      <c r="P1155" s="3" t="s">
        <v>1752</v>
      </c>
      <c r="Q1155" s="2" t="s">
        <v>11593</v>
      </c>
      <c r="R1155" s="3" t="s">
        <v>65</v>
      </c>
      <c r="S1155" s="4">
        <v>4</v>
      </c>
      <c r="T1155" s="4">
        <v>4</v>
      </c>
      <c r="U1155" s="5" t="s">
        <v>7495</v>
      </c>
      <c r="V1155" s="5" t="s">
        <v>7495</v>
      </c>
      <c r="W1155" s="5" t="s">
        <v>67</v>
      </c>
      <c r="X1155" s="5" t="s">
        <v>67</v>
      </c>
      <c r="Y1155" s="4">
        <v>19</v>
      </c>
      <c r="Z1155" s="4">
        <v>1</v>
      </c>
      <c r="AA1155" s="4">
        <v>1</v>
      </c>
      <c r="AB1155" s="4">
        <v>1</v>
      </c>
      <c r="AC1155" s="4">
        <v>1</v>
      </c>
      <c r="AD1155" s="4">
        <v>6</v>
      </c>
      <c r="AE1155" s="4">
        <v>6</v>
      </c>
      <c r="AF1155" s="4">
        <v>0</v>
      </c>
      <c r="AG1155" s="4">
        <v>0</v>
      </c>
      <c r="AH1155" s="4">
        <v>6</v>
      </c>
      <c r="AI1155" s="4">
        <v>6</v>
      </c>
      <c r="AJ1155" s="4">
        <v>0</v>
      </c>
      <c r="AK1155" s="4">
        <v>0</v>
      </c>
      <c r="AL1155" s="4">
        <v>6</v>
      </c>
      <c r="AM1155" s="4">
        <v>6</v>
      </c>
      <c r="AN1155" s="4">
        <v>0</v>
      </c>
      <c r="AO1155" s="4">
        <v>0</v>
      </c>
      <c r="AP1155" s="4">
        <v>0</v>
      </c>
      <c r="AQ1155" s="4">
        <v>0</v>
      </c>
      <c r="AR1155" s="3" t="s">
        <v>62</v>
      </c>
      <c r="AS1155" s="3" t="s">
        <v>62</v>
      </c>
      <c r="AT1155" s="3" t="s">
        <v>62</v>
      </c>
      <c r="AV1155" s="6" t="str">
        <f>HYPERLINK("http://mcgill.on.worldcat.org/oclc/52105581","Catalog Record")</f>
        <v>Catalog Record</v>
      </c>
      <c r="AW1155" s="6" t="str">
        <f>HYPERLINK("http://www.worldcat.org/oclc/52105581","WorldCat Record")</f>
        <v>WorldCat Record</v>
      </c>
      <c r="AX1155" s="3" t="s">
        <v>11594</v>
      </c>
      <c r="AY1155" s="3" t="s">
        <v>11595</v>
      </c>
      <c r="AZ1155" s="3" t="s">
        <v>11596</v>
      </c>
      <c r="BA1155" s="3" t="s">
        <v>11596</v>
      </c>
      <c r="BB1155" s="3" t="s">
        <v>11597</v>
      </c>
      <c r="BC1155" s="3" t="s">
        <v>102</v>
      </c>
      <c r="BD1155" s="3" t="s">
        <v>68</v>
      </c>
      <c r="BE1155" s="3" t="s">
        <v>11598</v>
      </c>
      <c r="BF1155" s="3" t="s">
        <v>11597</v>
      </c>
      <c r="BG1155" s="3" t="s">
        <v>11599</v>
      </c>
    </row>
    <row r="1156" spans="1:59" ht="72.5" x14ac:dyDescent="0.35">
      <c r="A1156" s="2" t="s">
        <v>89</v>
      </c>
      <c r="B1156" s="2" t="s">
        <v>1231</v>
      </c>
      <c r="C1156" s="2" t="s">
        <v>11600</v>
      </c>
      <c r="D1156" s="2" t="s">
        <v>11601</v>
      </c>
      <c r="E1156" s="2" t="s">
        <v>11602</v>
      </c>
      <c r="G1156" s="3" t="s">
        <v>62</v>
      </c>
      <c r="I1156" s="3" t="s">
        <v>62</v>
      </c>
      <c r="J1156" s="3" t="s">
        <v>62</v>
      </c>
      <c r="K1156" s="3" t="s">
        <v>63</v>
      </c>
      <c r="L1156" s="2" t="s">
        <v>11603</v>
      </c>
      <c r="M1156" s="2" t="s">
        <v>11604</v>
      </c>
      <c r="N1156" s="3" t="s">
        <v>7359</v>
      </c>
      <c r="P1156" s="3" t="s">
        <v>1881</v>
      </c>
      <c r="R1156" s="3" t="s">
        <v>65</v>
      </c>
      <c r="S1156" s="4">
        <v>3</v>
      </c>
      <c r="T1156" s="4">
        <v>3</v>
      </c>
      <c r="U1156" s="5" t="s">
        <v>6761</v>
      </c>
      <c r="V1156" s="5" t="s">
        <v>6761</v>
      </c>
      <c r="W1156" s="5" t="s">
        <v>67</v>
      </c>
      <c r="X1156" s="5" t="s">
        <v>67</v>
      </c>
      <c r="Y1156" s="4">
        <v>73</v>
      </c>
      <c r="Z1156" s="4">
        <v>2</v>
      </c>
      <c r="AA1156" s="4">
        <v>2</v>
      </c>
      <c r="AB1156" s="4">
        <v>1</v>
      </c>
      <c r="AC1156" s="4">
        <v>1</v>
      </c>
      <c r="AD1156" s="4">
        <v>20</v>
      </c>
      <c r="AE1156" s="4">
        <v>20</v>
      </c>
      <c r="AF1156" s="4">
        <v>0</v>
      </c>
      <c r="AG1156" s="4">
        <v>0</v>
      </c>
      <c r="AH1156" s="4">
        <v>18</v>
      </c>
      <c r="AI1156" s="4">
        <v>18</v>
      </c>
      <c r="AJ1156" s="4">
        <v>1</v>
      </c>
      <c r="AK1156" s="4">
        <v>1</v>
      </c>
      <c r="AL1156" s="4">
        <v>14</v>
      </c>
      <c r="AM1156" s="4">
        <v>14</v>
      </c>
      <c r="AN1156" s="4">
        <v>0</v>
      </c>
      <c r="AO1156" s="4">
        <v>0</v>
      </c>
      <c r="AP1156" s="4">
        <v>1</v>
      </c>
      <c r="AQ1156" s="4">
        <v>1</v>
      </c>
      <c r="AR1156" s="3" t="s">
        <v>62</v>
      </c>
      <c r="AS1156" s="3" t="s">
        <v>62</v>
      </c>
      <c r="AT1156" s="3" t="s">
        <v>61</v>
      </c>
      <c r="AU1156" s="6" t="str">
        <f>HYPERLINK("http://catalog.hathitrust.org/Record/001989542","HathiTrust Record")</f>
        <v>HathiTrust Record</v>
      </c>
      <c r="AV1156" s="6" t="str">
        <f>HYPERLINK("http://mcgill.on.worldcat.org/oclc/3160117","Catalog Record")</f>
        <v>Catalog Record</v>
      </c>
      <c r="AW1156" s="6" t="str">
        <f>HYPERLINK("http://www.worldcat.org/oclc/3160117","WorldCat Record")</f>
        <v>WorldCat Record</v>
      </c>
      <c r="AX1156" s="3" t="s">
        <v>11605</v>
      </c>
      <c r="AY1156" s="3" t="s">
        <v>11606</v>
      </c>
      <c r="AZ1156" s="3" t="s">
        <v>11607</v>
      </c>
      <c r="BA1156" s="3" t="s">
        <v>11607</v>
      </c>
      <c r="BB1156" s="3" t="s">
        <v>11608</v>
      </c>
      <c r="BC1156" s="3" t="s">
        <v>102</v>
      </c>
      <c r="BD1156" s="3" t="s">
        <v>68</v>
      </c>
      <c r="BF1156" s="3" t="s">
        <v>11608</v>
      </c>
      <c r="BG1156" s="3" t="s">
        <v>11609</v>
      </c>
    </row>
    <row r="1157" spans="1:59" ht="58" x14ac:dyDescent="0.35">
      <c r="A1157" s="2" t="s">
        <v>89</v>
      </c>
      <c r="B1157" s="2" t="s">
        <v>90</v>
      </c>
      <c r="C1157" s="2" t="s">
        <v>11610</v>
      </c>
      <c r="D1157" s="2" t="s">
        <v>11611</v>
      </c>
      <c r="E1157" s="2" t="s">
        <v>11612</v>
      </c>
      <c r="G1157" s="3" t="s">
        <v>62</v>
      </c>
      <c r="I1157" s="3" t="s">
        <v>62</v>
      </c>
      <c r="J1157" s="3" t="s">
        <v>62</v>
      </c>
      <c r="K1157" s="3" t="s">
        <v>63</v>
      </c>
      <c r="M1157" s="2" t="s">
        <v>11613</v>
      </c>
      <c r="N1157" s="3" t="s">
        <v>129</v>
      </c>
      <c r="P1157" s="3" t="s">
        <v>64</v>
      </c>
      <c r="R1157" s="3" t="s">
        <v>65</v>
      </c>
      <c r="S1157" s="4">
        <v>4</v>
      </c>
      <c r="T1157" s="4">
        <v>4</v>
      </c>
      <c r="U1157" s="5" t="s">
        <v>11614</v>
      </c>
      <c r="V1157" s="5" t="s">
        <v>11614</v>
      </c>
      <c r="W1157" s="5" t="s">
        <v>67</v>
      </c>
      <c r="X1157" s="5" t="s">
        <v>67</v>
      </c>
      <c r="Y1157" s="4">
        <v>16</v>
      </c>
      <c r="Z1157" s="4">
        <v>3</v>
      </c>
      <c r="AA1157" s="4">
        <v>76</v>
      </c>
      <c r="AB1157" s="4">
        <v>1</v>
      </c>
      <c r="AC1157" s="4">
        <v>14</v>
      </c>
      <c r="AD1157" s="4">
        <v>5</v>
      </c>
      <c r="AE1157" s="4">
        <v>100</v>
      </c>
      <c r="AF1157" s="4">
        <v>0</v>
      </c>
      <c r="AG1157" s="4">
        <v>8</v>
      </c>
      <c r="AH1157" s="4">
        <v>4</v>
      </c>
      <c r="AI1157" s="4">
        <v>65</v>
      </c>
      <c r="AJ1157" s="4">
        <v>2</v>
      </c>
      <c r="AK1157" s="4">
        <v>20</v>
      </c>
      <c r="AL1157" s="4">
        <v>2</v>
      </c>
      <c r="AM1157" s="4">
        <v>33</v>
      </c>
      <c r="AN1157" s="4">
        <v>0</v>
      </c>
      <c r="AO1157" s="4">
        <v>0</v>
      </c>
      <c r="AP1157" s="4">
        <v>2</v>
      </c>
      <c r="AQ1157" s="4">
        <v>40</v>
      </c>
      <c r="AR1157" s="3" t="s">
        <v>62</v>
      </c>
      <c r="AS1157" s="3" t="s">
        <v>62</v>
      </c>
      <c r="AT1157" s="3" t="s">
        <v>62</v>
      </c>
      <c r="AV1157" s="6" t="str">
        <f>HYPERLINK("http://mcgill.on.worldcat.org/oclc/863174586","Catalog Record")</f>
        <v>Catalog Record</v>
      </c>
      <c r="AW1157" s="6" t="str">
        <f>HYPERLINK("http://www.worldcat.org/oclc/863174586","WorldCat Record")</f>
        <v>WorldCat Record</v>
      </c>
      <c r="AX1157" s="3" t="s">
        <v>11615</v>
      </c>
      <c r="AY1157" s="3" t="s">
        <v>11616</v>
      </c>
      <c r="AZ1157" s="3" t="s">
        <v>11617</v>
      </c>
      <c r="BA1157" s="3" t="s">
        <v>11617</v>
      </c>
      <c r="BB1157" s="3" t="s">
        <v>11618</v>
      </c>
      <c r="BC1157" s="3" t="s">
        <v>102</v>
      </c>
      <c r="BD1157" s="3" t="s">
        <v>68</v>
      </c>
      <c r="BE1157" s="3" t="s">
        <v>11619</v>
      </c>
      <c r="BF1157" s="3" t="s">
        <v>11618</v>
      </c>
      <c r="BG1157" s="3" t="s">
        <v>11620</v>
      </c>
    </row>
    <row r="1158" spans="1:59" ht="72.5" x14ac:dyDescent="0.35">
      <c r="A1158" s="2" t="s">
        <v>89</v>
      </c>
      <c r="B1158" s="2" t="s">
        <v>1231</v>
      </c>
      <c r="C1158" s="2" t="s">
        <v>11621</v>
      </c>
      <c r="D1158" s="2" t="s">
        <v>11622</v>
      </c>
      <c r="E1158" s="2" t="s">
        <v>11623</v>
      </c>
      <c r="G1158" s="3" t="s">
        <v>62</v>
      </c>
      <c r="I1158" s="3" t="s">
        <v>61</v>
      </c>
      <c r="J1158" s="3" t="s">
        <v>62</v>
      </c>
      <c r="K1158" s="3" t="s">
        <v>63</v>
      </c>
      <c r="M1158" s="2" t="s">
        <v>11624</v>
      </c>
      <c r="N1158" s="3" t="s">
        <v>2000</v>
      </c>
      <c r="P1158" s="3" t="s">
        <v>64</v>
      </c>
      <c r="Q1158" s="2" t="s">
        <v>11625</v>
      </c>
      <c r="R1158" s="3" t="s">
        <v>65</v>
      </c>
      <c r="S1158" s="4">
        <v>11</v>
      </c>
      <c r="T1158" s="4">
        <v>11</v>
      </c>
      <c r="U1158" s="5" t="s">
        <v>2448</v>
      </c>
      <c r="V1158" s="5" t="s">
        <v>2448</v>
      </c>
      <c r="W1158" s="5" t="s">
        <v>67</v>
      </c>
      <c r="X1158" s="5" t="s">
        <v>67</v>
      </c>
      <c r="Y1158" s="4">
        <v>324</v>
      </c>
      <c r="Z1158" s="4">
        <v>31</v>
      </c>
      <c r="AA1158" s="4">
        <v>123</v>
      </c>
      <c r="AB1158" s="4">
        <v>2</v>
      </c>
      <c r="AC1158" s="4">
        <v>23</v>
      </c>
      <c r="AD1158" s="4">
        <v>102</v>
      </c>
      <c r="AE1158" s="4">
        <v>152</v>
      </c>
      <c r="AF1158" s="4">
        <v>1</v>
      </c>
      <c r="AG1158" s="4">
        <v>9</v>
      </c>
      <c r="AH1158" s="4">
        <v>86</v>
      </c>
      <c r="AI1158" s="4">
        <v>103</v>
      </c>
      <c r="AJ1158" s="4">
        <v>14</v>
      </c>
      <c r="AK1158" s="4">
        <v>28</v>
      </c>
      <c r="AL1158" s="4">
        <v>49</v>
      </c>
      <c r="AM1158" s="4">
        <v>52</v>
      </c>
      <c r="AN1158" s="4">
        <v>0</v>
      </c>
      <c r="AO1158" s="4">
        <v>0</v>
      </c>
      <c r="AP1158" s="4">
        <v>21</v>
      </c>
      <c r="AQ1158" s="4">
        <v>56</v>
      </c>
      <c r="AR1158" s="3" t="s">
        <v>61</v>
      </c>
      <c r="AS1158" s="3" t="s">
        <v>62</v>
      </c>
      <c r="AT1158" s="3" t="s">
        <v>62</v>
      </c>
      <c r="AV1158" s="6" t="str">
        <f>HYPERLINK("http://mcgill.on.worldcat.org/oclc/35089504","Catalog Record")</f>
        <v>Catalog Record</v>
      </c>
      <c r="AW1158" s="6" t="str">
        <f>HYPERLINK("http://www.worldcat.org/oclc/35089504","WorldCat Record")</f>
        <v>WorldCat Record</v>
      </c>
      <c r="AX1158" s="3" t="s">
        <v>11626</v>
      </c>
      <c r="AY1158" s="3" t="s">
        <v>11627</v>
      </c>
      <c r="AZ1158" s="3" t="s">
        <v>11628</v>
      </c>
      <c r="BA1158" s="3" t="s">
        <v>11628</v>
      </c>
      <c r="BB1158" s="3" t="s">
        <v>11629</v>
      </c>
      <c r="BC1158" s="3" t="s">
        <v>102</v>
      </c>
      <c r="BD1158" s="3" t="s">
        <v>68</v>
      </c>
      <c r="BE1158" s="3" t="s">
        <v>11630</v>
      </c>
      <c r="BF1158" s="3" t="s">
        <v>11629</v>
      </c>
      <c r="BG1158" s="3" t="s">
        <v>11631</v>
      </c>
    </row>
    <row r="1159" spans="1:59" ht="72.5" x14ac:dyDescent="0.35">
      <c r="A1159" s="2" t="s">
        <v>89</v>
      </c>
      <c r="B1159" s="2" t="s">
        <v>1231</v>
      </c>
      <c r="C1159" s="2" t="s">
        <v>11632</v>
      </c>
      <c r="D1159" s="2" t="s">
        <v>11622</v>
      </c>
      <c r="E1159" s="2" t="s">
        <v>11623</v>
      </c>
      <c r="G1159" s="3" t="s">
        <v>62</v>
      </c>
      <c r="I1159" s="3" t="s">
        <v>61</v>
      </c>
      <c r="J1159" s="3" t="s">
        <v>62</v>
      </c>
      <c r="K1159" s="3" t="s">
        <v>63</v>
      </c>
      <c r="M1159" s="2" t="s">
        <v>11624</v>
      </c>
      <c r="N1159" s="3" t="s">
        <v>2000</v>
      </c>
      <c r="P1159" s="3" t="s">
        <v>64</v>
      </c>
      <c r="Q1159" s="2" t="s">
        <v>11625</v>
      </c>
      <c r="R1159" s="3" t="s">
        <v>65</v>
      </c>
      <c r="S1159" s="4">
        <v>0</v>
      </c>
      <c r="T1159" s="4">
        <v>11</v>
      </c>
      <c r="V1159" s="5" t="s">
        <v>2448</v>
      </c>
      <c r="W1159" s="5" t="s">
        <v>67</v>
      </c>
      <c r="X1159" s="5" t="s">
        <v>67</v>
      </c>
      <c r="Y1159" s="4">
        <v>324</v>
      </c>
      <c r="Z1159" s="4">
        <v>31</v>
      </c>
      <c r="AA1159" s="4">
        <v>123</v>
      </c>
      <c r="AB1159" s="4">
        <v>2</v>
      </c>
      <c r="AC1159" s="4">
        <v>23</v>
      </c>
      <c r="AD1159" s="4">
        <v>102</v>
      </c>
      <c r="AE1159" s="4">
        <v>152</v>
      </c>
      <c r="AF1159" s="4">
        <v>1</v>
      </c>
      <c r="AG1159" s="4">
        <v>9</v>
      </c>
      <c r="AH1159" s="4">
        <v>86</v>
      </c>
      <c r="AI1159" s="4">
        <v>103</v>
      </c>
      <c r="AJ1159" s="4">
        <v>14</v>
      </c>
      <c r="AK1159" s="4">
        <v>28</v>
      </c>
      <c r="AL1159" s="4">
        <v>49</v>
      </c>
      <c r="AM1159" s="4">
        <v>52</v>
      </c>
      <c r="AN1159" s="4">
        <v>0</v>
      </c>
      <c r="AO1159" s="4">
        <v>0</v>
      </c>
      <c r="AP1159" s="4">
        <v>21</v>
      </c>
      <c r="AQ1159" s="4">
        <v>56</v>
      </c>
      <c r="AR1159" s="3" t="s">
        <v>61</v>
      </c>
      <c r="AS1159" s="3" t="s">
        <v>62</v>
      </c>
      <c r="AT1159" s="3" t="s">
        <v>62</v>
      </c>
      <c r="AV1159" s="6" t="str">
        <f>HYPERLINK("http://mcgill.on.worldcat.org/oclc/35089504","Catalog Record")</f>
        <v>Catalog Record</v>
      </c>
      <c r="AW1159" s="6" t="str">
        <f>HYPERLINK("http://www.worldcat.org/oclc/35089504","WorldCat Record")</f>
        <v>WorldCat Record</v>
      </c>
      <c r="AX1159" s="3" t="s">
        <v>11626</v>
      </c>
      <c r="AY1159" s="3" t="s">
        <v>11627</v>
      </c>
      <c r="AZ1159" s="3" t="s">
        <v>11628</v>
      </c>
      <c r="BA1159" s="3" t="s">
        <v>11628</v>
      </c>
      <c r="BB1159" s="3" t="s">
        <v>11633</v>
      </c>
      <c r="BC1159" s="3" t="s">
        <v>102</v>
      </c>
      <c r="BD1159" s="3" t="s">
        <v>68</v>
      </c>
      <c r="BE1159" s="3" t="s">
        <v>11630</v>
      </c>
      <c r="BF1159" s="3" t="s">
        <v>11633</v>
      </c>
      <c r="BG1159" s="3" t="s">
        <v>11634</v>
      </c>
    </row>
    <row r="1160" spans="1:59" ht="58" x14ac:dyDescent="0.35">
      <c r="A1160" s="2" t="s">
        <v>89</v>
      </c>
      <c r="B1160" s="2" t="s">
        <v>90</v>
      </c>
      <c r="C1160" s="2" t="s">
        <v>11635</v>
      </c>
      <c r="D1160" s="2" t="s">
        <v>11636</v>
      </c>
      <c r="E1160" s="2" t="s">
        <v>11637</v>
      </c>
      <c r="G1160" s="3" t="s">
        <v>62</v>
      </c>
      <c r="I1160" s="3" t="s">
        <v>62</v>
      </c>
      <c r="J1160" s="3" t="s">
        <v>62</v>
      </c>
      <c r="K1160" s="3" t="s">
        <v>63</v>
      </c>
      <c r="M1160" s="2" t="s">
        <v>11638</v>
      </c>
      <c r="N1160" s="3" t="s">
        <v>438</v>
      </c>
      <c r="O1160" s="2" t="s">
        <v>11639</v>
      </c>
      <c r="P1160" s="3" t="s">
        <v>64</v>
      </c>
      <c r="R1160" s="3" t="s">
        <v>65</v>
      </c>
      <c r="S1160" s="4">
        <v>78</v>
      </c>
      <c r="T1160" s="4">
        <v>78</v>
      </c>
      <c r="U1160" s="5" t="s">
        <v>1238</v>
      </c>
      <c r="V1160" s="5" t="s">
        <v>1238</v>
      </c>
      <c r="W1160" s="5" t="s">
        <v>67</v>
      </c>
      <c r="X1160" s="5" t="s">
        <v>67</v>
      </c>
      <c r="Y1160" s="4">
        <v>263</v>
      </c>
      <c r="Z1160" s="4">
        <v>23</v>
      </c>
      <c r="AA1160" s="4">
        <v>24</v>
      </c>
      <c r="AB1160" s="4">
        <v>1</v>
      </c>
      <c r="AC1160" s="4">
        <v>2</v>
      </c>
      <c r="AD1160" s="4">
        <v>75</v>
      </c>
      <c r="AE1160" s="4">
        <v>76</v>
      </c>
      <c r="AF1160" s="4">
        <v>0</v>
      </c>
      <c r="AG1160" s="4">
        <v>1</v>
      </c>
      <c r="AH1160" s="4">
        <v>66</v>
      </c>
      <c r="AI1160" s="4">
        <v>67</v>
      </c>
      <c r="AJ1160" s="4">
        <v>11</v>
      </c>
      <c r="AK1160" s="4">
        <v>12</v>
      </c>
      <c r="AL1160" s="4">
        <v>38</v>
      </c>
      <c r="AM1160" s="4">
        <v>38</v>
      </c>
      <c r="AN1160" s="4">
        <v>0</v>
      </c>
      <c r="AO1160" s="4">
        <v>0</v>
      </c>
      <c r="AP1160" s="4">
        <v>15</v>
      </c>
      <c r="AQ1160" s="4">
        <v>16</v>
      </c>
      <c r="AR1160" s="3" t="s">
        <v>62</v>
      </c>
      <c r="AS1160" s="3" t="s">
        <v>62</v>
      </c>
      <c r="AT1160" s="3" t="s">
        <v>62</v>
      </c>
      <c r="AV1160" s="6" t="str">
        <f>HYPERLINK("http://mcgill.on.worldcat.org/oclc/21036703","Catalog Record")</f>
        <v>Catalog Record</v>
      </c>
      <c r="AW1160" s="6" t="str">
        <f>HYPERLINK("http://www.worldcat.org/oclc/21036703","WorldCat Record")</f>
        <v>WorldCat Record</v>
      </c>
      <c r="AX1160" s="3" t="s">
        <v>11640</v>
      </c>
      <c r="AY1160" s="3" t="s">
        <v>11641</v>
      </c>
      <c r="AZ1160" s="3" t="s">
        <v>11642</v>
      </c>
      <c r="BA1160" s="3" t="s">
        <v>11642</v>
      </c>
      <c r="BB1160" s="3" t="s">
        <v>11643</v>
      </c>
      <c r="BC1160" s="3" t="s">
        <v>102</v>
      </c>
      <c r="BD1160" s="3" t="s">
        <v>231</v>
      </c>
      <c r="BE1160" s="3" t="s">
        <v>11644</v>
      </c>
      <c r="BF1160" s="3" t="s">
        <v>11643</v>
      </c>
      <c r="BG1160" s="3" t="s">
        <v>11645</v>
      </c>
    </row>
    <row r="1161" spans="1:59" ht="58" x14ac:dyDescent="0.35">
      <c r="A1161" s="2" t="s">
        <v>89</v>
      </c>
      <c r="B1161" s="2" t="s">
        <v>90</v>
      </c>
      <c r="C1161" s="2" t="s">
        <v>11646</v>
      </c>
      <c r="D1161" s="2" t="s">
        <v>11647</v>
      </c>
      <c r="E1161" s="2" t="s">
        <v>11648</v>
      </c>
      <c r="G1161" s="3" t="s">
        <v>62</v>
      </c>
      <c r="I1161" s="3" t="s">
        <v>62</v>
      </c>
      <c r="J1161" s="3" t="s">
        <v>62</v>
      </c>
      <c r="K1161" s="3" t="s">
        <v>63</v>
      </c>
      <c r="M1161" s="2" t="s">
        <v>11649</v>
      </c>
      <c r="N1161" s="3" t="s">
        <v>568</v>
      </c>
      <c r="P1161" s="3" t="s">
        <v>64</v>
      </c>
      <c r="Q1161" s="2" t="s">
        <v>11650</v>
      </c>
      <c r="R1161" s="3" t="s">
        <v>65</v>
      </c>
      <c r="S1161" s="4">
        <v>16</v>
      </c>
      <c r="T1161" s="4">
        <v>16</v>
      </c>
      <c r="U1161" s="5" t="s">
        <v>8221</v>
      </c>
      <c r="V1161" s="5" t="s">
        <v>8221</v>
      </c>
      <c r="W1161" s="5" t="s">
        <v>67</v>
      </c>
      <c r="X1161" s="5" t="s">
        <v>67</v>
      </c>
      <c r="Y1161" s="4">
        <v>71</v>
      </c>
      <c r="Z1161" s="4">
        <v>11</v>
      </c>
      <c r="AA1161" s="4">
        <v>13</v>
      </c>
      <c r="AB1161" s="4">
        <v>1</v>
      </c>
      <c r="AC1161" s="4">
        <v>3</v>
      </c>
      <c r="AD1161" s="4">
        <v>29</v>
      </c>
      <c r="AE1161" s="4">
        <v>31</v>
      </c>
      <c r="AF1161" s="4">
        <v>0</v>
      </c>
      <c r="AG1161" s="4">
        <v>2</v>
      </c>
      <c r="AH1161" s="4">
        <v>24</v>
      </c>
      <c r="AI1161" s="4">
        <v>24</v>
      </c>
      <c r="AJ1161" s="4">
        <v>7</v>
      </c>
      <c r="AK1161" s="4">
        <v>9</v>
      </c>
      <c r="AL1161" s="4">
        <v>18</v>
      </c>
      <c r="AM1161" s="4">
        <v>18</v>
      </c>
      <c r="AN1161" s="4">
        <v>0</v>
      </c>
      <c r="AO1161" s="4">
        <v>0</v>
      </c>
      <c r="AP1161" s="4">
        <v>8</v>
      </c>
      <c r="AQ1161" s="4">
        <v>9</v>
      </c>
      <c r="AR1161" s="3" t="s">
        <v>62</v>
      </c>
      <c r="AS1161" s="3" t="s">
        <v>62</v>
      </c>
      <c r="AT1161" s="3" t="s">
        <v>61</v>
      </c>
      <c r="AU1161" s="6" t="str">
        <f>HYPERLINK("http://catalog.hathitrust.org/Record/010612752","HathiTrust Record")</f>
        <v>HathiTrust Record</v>
      </c>
      <c r="AV1161" s="6" t="str">
        <f>HYPERLINK("http://mcgill.on.worldcat.org/oclc/44701604","Catalog Record")</f>
        <v>Catalog Record</v>
      </c>
      <c r="AW1161" s="6" t="str">
        <f>HYPERLINK("http://www.worldcat.org/oclc/44701604","WorldCat Record")</f>
        <v>WorldCat Record</v>
      </c>
      <c r="AX1161" s="3" t="s">
        <v>11651</v>
      </c>
      <c r="AY1161" s="3" t="s">
        <v>11652</v>
      </c>
      <c r="AZ1161" s="3" t="s">
        <v>11653</v>
      </c>
      <c r="BA1161" s="3" t="s">
        <v>11653</v>
      </c>
      <c r="BB1161" s="3" t="s">
        <v>11654</v>
      </c>
      <c r="BC1161" s="3" t="s">
        <v>102</v>
      </c>
      <c r="BD1161" s="3" t="s">
        <v>68</v>
      </c>
      <c r="BE1161" s="3" t="s">
        <v>11655</v>
      </c>
      <c r="BF1161" s="3" t="s">
        <v>11654</v>
      </c>
      <c r="BG1161" s="3" t="s">
        <v>11656</v>
      </c>
    </row>
    <row r="1162" spans="1:59" ht="58" x14ac:dyDescent="0.35">
      <c r="A1162" s="2" t="s">
        <v>89</v>
      </c>
      <c r="B1162" s="2" t="s">
        <v>90</v>
      </c>
      <c r="C1162" s="2" t="s">
        <v>11657</v>
      </c>
      <c r="D1162" s="2" t="s">
        <v>11658</v>
      </c>
      <c r="E1162" s="2" t="s">
        <v>11659</v>
      </c>
      <c r="G1162" s="3" t="s">
        <v>62</v>
      </c>
      <c r="I1162" s="3" t="s">
        <v>62</v>
      </c>
      <c r="J1162" s="3" t="s">
        <v>62</v>
      </c>
      <c r="K1162" s="3" t="s">
        <v>63</v>
      </c>
      <c r="M1162" s="2" t="s">
        <v>11660</v>
      </c>
      <c r="N1162" s="3" t="s">
        <v>1077</v>
      </c>
      <c r="P1162" s="3" t="s">
        <v>64</v>
      </c>
      <c r="Q1162" s="2" t="s">
        <v>11661</v>
      </c>
      <c r="R1162" s="3" t="s">
        <v>65</v>
      </c>
      <c r="S1162" s="4">
        <v>3</v>
      </c>
      <c r="T1162" s="4">
        <v>3</v>
      </c>
      <c r="U1162" s="5" t="s">
        <v>2015</v>
      </c>
      <c r="V1162" s="5" t="s">
        <v>2015</v>
      </c>
      <c r="W1162" s="5" t="s">
        <v>67</v>
      </c>
      <c r="X1162" s="5" t="s">
        <v>67</v>
      </c>
      <c r="Y1162" s="4">
        <v>105</v>
      </c>
      <c r="Z1162" s="4">
        <v>12</v>
      </c>
      <c r="AA1162" s="4">
        <v>12</v>
      </c>
      <c r="AB1162" s="4">
        <v>2</v>
      </c>
      <c r="AC1162" s="4">
        <v>2</v>
      </c>
      <c r="AD1162" s="4">
        <v>52</v>
      </c>
      <c r="AE1162" s="4">
        <v>52</v>
      </c>
      <c r="AF1162" s="4">
        <v>1</v>
      </c>
      <c r="AG1162" s="4">
        <v>1</v>
      </c>
      <c r="AH1162" s="4">
        <v>48</v>
      </c>
      <c r="AI1162" s="4">
        <v>48</v>
      </c>
      <c r="AJ1162" s="4">
        <v>10</v>
      </c>
      <c r="AK1162" s="4">
        <v>10</v>
      </c>
      <c r="AL1162" s="4">
        <v>29</v>
      </c>
      <c r="AM1162" s="4">
        <v>29</v>
      </c>
      <c r="AN1162" s="4">
        <v>0</v>
      </c>
      <c r="AO1162" s="4">
        <v>0</v>
      </c>
      <c r="AP1162" s="4">
        <v>10</v>
      </c>
      <c r="AQ1162" s="4">
        <v>10</v>
      </c>
      <c r="AR1162" s="3" t="s">
        <v>62</v>
      </c>
      <c r="AS1162" s="3" t="s">
        <v>62</v>
      </c>
      <c r="AT1162" s="3" t="s">
        <v>61</v>
      </c>
      <c r="AU1162" s="6" t="str">
        <f>HYPERLINK("http://catalog.hathitrust.org/Record/002878619","HathiTrust Record")</f>
        <v>HathiTrust Record</v>
      </c>
      <c r="AV1162" s="6" t="str">
        <f>HYPERLINK("http://mcgill.on.worldcat.org/oclc/29466605","Catalog Record")</f>
        <v>Catalog Record</v>
      </c>
      <c r="AW1162" s="6" t="str">
        <f>HYPERLINK("http://www.worldcat.org/oclc/29466605","WorldCat Record")</f>
        <v>WorldCat Record</v>
      </c>
      <c r="AX1162" s="3" t="s">
        <v>11662</v>
      </c>
      <c r="AY1162" s="3" t="s">
        <v>11663</v>
      </c>
      <c r="AZ1162" s="3" t="s">
        <v>11664</v>
      </c>
      <c r="BA1162" s="3" t="s">
        <v>11664</v>
      </c>
      <c r="BB1162" s="3" t="s">
        <v>11665</v>
      </c>
      <c r="BC1162" s="3" t="s">
        <v>102</v>
      </c>
      <c r="BD1162" s="3" t="s">
        <v>68</v>
      </c>
      <c r="BE1162" s="3" t="s">
        <v>11666</v>
      </c>
      <c r="BF1162" s="3" t="s">
        <v>11665</v>
      </c>
      <c r="BG1162" s="3" t="s">
        <v>11667</v>
      </c>
    </row>
    <row r="1163" spans="1:59" ht="58" x14ac:dyDescent="0.35">
      <c r="A1163" s="2" t="s">
        <v>89</v>
      </c>
      <c r="B1163" s="2" t="s">
        <v>90</v>
      </c>
      <c r="C1163" s="2" t="s">
        <v>11668</v>
      </c>
      <c r="D1163" s="2" t="s">
        <v>11669</v>
      </c>
      <c r="E1163" s="2" t="s">
        <v>11670</v>
      </c>
      <c r="G1163" s="3" t="s">
        <v>62</v>
      </c>
      <c r="I1163" s="3" t="s">
        <v>61</v>
      </c>
      <c r="J1163" s="3" t="s">
        <v>62</v>
      </c>
      <c r="K1163" s="3" t="s">
        <v>63</v>
      </c>
      <c r="M1163" s="2" t="s">
        <v>11671</v>
      </c>
      <c r="N1163" s="3" t="s">
        <v>186</v>
      </c>
      <c r="P1163" s="3" t="s">
        <v>64</v>
      </c>
      <c r="R1163" s="3" t="s">
        <v>65</v>
      </c>
      <c r="S1163" s="4">
        <v>4</v>
      </c>
      <c r="T1163" s="4">
        <v>4</v>
      </c>
      <c r="U1163" s="5" t="s">
        <v>2015</v>
      </c>
      <c r="V1163" s="5" t="s">
        <v>2015</v>
      </c>
      <c r="W1163" s="5" t="s">
        <v>67</v>
      </c>
      <c r="X1163" s="5" t="s">
        <v>67</v>
      </c>
      <c r="Y1163" s="4">
        <v>286</v>
      </c>
      <c r="Z1163" s="4">
        <v>15</v>
      </c>
      <c r="AA1163" s="4">
        <v>22</v>
      </c>
      <c r="AB1163" s="4">
        <v>2</v>
      </c>
      <c r="AC1163" s="4">
        <v>8</v>
      </c>
      <c r="AD1163" s="4">
        <v>90</v>
      </c>
      <c r="AE1163" s="4">
        <v>94</v>
      </c>
      <c r="AF1163" s="4">
        <v>1</v>
      </c>
      <c r="AG1163" s="4">
        <v>4</v>
      </c>
      <c r="AH1163" s="4">
        <v>81</v>
      </c>
      <c r="AI1163" s="4">
        <v>82</v>
      </c>
      <c r="AJ1163" s="4">
        <v>12</v>
      </c>
      <c r="AK1163" s="4">
        <v>16</v>
      </c>
      <c r="AL1163" s="4">
        <v>46</v>
      </c>
      <c r="AM1163" s="4">
        <v>46</v>
      </c>
      <c r="AN1163" s="4">
        <v>0</v>
      </c>
      <c r="AO1163" s="4">
        <v>0</v>
      </c>
      <c r="AP1163" s="4">
        <v>11</v>
      </c>
      <c r="AQ1163" s="4">
        <v>14</v>
      </c>
      <c r="AR1163" s="3" t="s">
        <v>62</v>
      </c>
      <c r="AS1163" s="3" t="s">
        <v>62</v>
      </c>
      <c r="AT1163" s="3" t="s">
        <v>61</v>
      </c>
      <c r="AU1163" s="6" t="str">
        <f>HYPERLINK("http://catalog.hathitrust.org/Record/000212766","HathiTrust Record")</f>
        <v>HathiTrust Record</v>
      </c>
      <c r="AV1163" s="6" t="str">
        <f>HYPERLINK("http://mcgill.on.worldcat.org/oclc/2932648","Catalog Record")</f>
        <v>Catalog Record</v>
      </c>
      <c r="AW1163" s="6" t="str">
        <f>HYPERLINK("http://www.worldcat.org/oclc/2932648","WorldCat Record")</f>
        <v>WorldCat Record</v>
      </c>
      <c r="AX1163" s="3" t="s">
        <v>11672</v>
      </c>
      <c r="AY1163" s="3" t="s">
        <v>11673</v>
      </c>
      <c r="AZ1163" s="3" t="s">
        <v>11674</v>
      </c>
      <c r="BA1163" s="3" t="s">
        <v>11674</v>
      </c>
      <c r="BB1163" s="3" t="s">
        <v>11675</v>
      </c>
      <c r="BC1163" s="3" t="s">
        <v>102</v>
      </c>
      <c r="BD1163" s="3" t="s">
        <v>68</v>
      </c>
      <c r="BE1163" s="3" t="s">
        <v>11676</v>
      </c>
      <c r="BF1163" s="3" t="s">
        <v>11675</v>
      </c>
      <c r="BG1163" s="3" t="s">
        <v>11677</v>
      </c>
    </row>
    <row r="1164" spans="1:59" ht="58" x14ac:dyDescent="0.35">
      <c r="A1164" s="2" t="s">
        <v>89</v>
      </c>
      <c r="B1164" s="2" t="s">
        <v>90</v>
      </c>
      <c r="C1164" s="2" t="s">
        <v>11678</v>
      </c>
      <c r="D1164" s="2" t="s">
        <v>11679</v>
      </c>
      <c r="E1164" s="2" t="s">
        <v>11680</v>
      </c>
      <c r="G1164" s="3" t="s">
        <v>62</v>
      </c>
      <c r="I1164" s="3" t="s">
        <v>62</v>
      </c>
      <c r="J1164" s="3" t="s">
        <v>62</v>
      </c>
      <c r="K1164" s="3" t="s">
        <v>63</v>
      </c>
      <c r="L1164" s="2" t="s">
        <v>11681</v>
      </c>
      <c r="M1164" s="2" t="s">
        <v>11682</v>
      </c>
      <c r="N1164" s="3" t="s">
        <v>2136</v>
      </c>
      <c r="P1164" s="3" t="s">
        <v>64</v>
      </c>
      <c r="R1164" s="3" t="s">
        <v>65</v>
      </c>
      <c r="S1164" s="4">
        <v>4</v>
      </c>
      <c r="T1164" s="4">
        <v>4</v>
      </c>
      <c r="U1164" s="5" t="s">
        <v>8039</v>
      </c>
      <c r="V1164" s="5" t="s">
        <v>8039</v>
      </c>
      <c r="W1164" s="5" t="s">
        <v>67</v>
      </c>
      <c r="X1164" s="5" t="s">
        <v>67</v>
      </c>
      <c r="Y1164" s="4">
        <v>489</v>
      </c>
      <c r="Z1164" s="4">
        <v>25</v>
      </c>
      <c r="AA1164" s="4">
        <v>30</v>
      </c>
      <c r="AB1164" s="4">
        <v>1</v>
      </c>
      <c r="AC1164" s="4">
        <v>5</v>
      </c>
      <c r="AD1164" s="4">
        <v>92</v>
      </c>
      <c r="AE1164" s="4">
        <v>96</v>
      </c>
      <c r="AF1164" s="4">
        <v>0</v>
      </c>
      <c r="AG1164" s="4">
        <v>3</v>
      </c>
      <c r="AH1164" s="4">
        <v>83</v>
      </c>
      <c r="AI1164" s="4">
        <v>84</v>
      </c>
      <c r="AJ1164" s="4">
        <v>13</v>
      </c>
      <c r="AK1164" s="4">
        <v>15</v>
      </c>
      <c r="AL1164" s="4">
        <v>41</v>
      </c>
      <c r="AM1164" s="4">
        <v>41</v>
      </c>
      <c r="AN1164" s="4">
        <v>0</v>
      </c>
      <c r="AO1164" s="4">
        <v>0</v>
      </c>
      <c r="AP1164" s="4">
        <v>18</v>
      </c>
      <c r="AQ1164" s="4">
        <v>21</v>
      </c>
      <c r="AR1164" s="3" t="s">
        <v>62</v>
      </c>
      <c r="AS1164" s="3" t="s">
        <v>62</v>
      </c>
      <c r="AT1164" s="3" t="s">
        <v>62</v>
      </c>
      <c r="AV1164" s="6" t="str">
        <f>HYPERLINK("http://mcgill.on.worldcat.org/oclc/56805583","Catalog Record")</f>
        <v>Catalog Record</v>
      </c>
      <c r="AW1164" s="6" t="str">
        <f>HYPERLINK("http://www.worldcat.org/oclc/56805583","WorldCat Record")</f>
        <v>WorldCat Record</v>
      </c>
      <c r="AX1164" s="3" t="s">
        <v>11683</v>
      </c>
      <c r="AY1164" s="3" t="s">
        <v>11684</v>
      </c>
      <c r="AZ1164" s="3" t="s">
        <v>11685</v>
      </c>
      <c r="BA1164" s="3" t="s">
        <v>11685</v>
      </c>
      <c r="BB1164" s="3" t="s">
        <v>11686</v>
      </c>
      <c r="BC1164" s="3" t="s">
        <v>102</v>
      </c>
      <c r="BD1164" s="3" t="s">
        <v>68</v>
      </c>
      <c r="BE1164" s="3" t="s">
        <v>11687</v>
      </c>
      <c r="BF1164" s="3" t="s">
        <v>11686</v>
      </c>
      <c r="BG1164" s="3" t="s">
        <v>11688</v>
      </c>
    </row>
    <row r="1165" spans="1:59" ht="58" x14ac:dyDescent="0.35">
      <c r="A1165" s="2" t="s">
        <v>89</v>
      </c>
      <c r="B1165" s="2" t="s">
        <v>90</v>
      </c>
      <c r="C1165" s="2" t="s">
        <v>11689</v>
      </c>
      <c r="D1165" s="2" t="s">
        <v>11690</v>
      </c>
      <c r="E1165" s="2" t="s">
        <v>11691</v>
      </c>
      <c r="G1165" s="3" t="s">
        <v>62</v>
      </c>
      <c r="I1165" s="3" t="s">
        <v>62</v>
      </c>
      <c r="J1165" s="3" t="s">
        <v>62</v>
      </c>
      <c r="K1165" s="3" t="s">
        <v>63</v>
      </c>
      <c r="L1165" s="2" t="s">
        <v>11692</v>
      </c>
      <c r="M1165" s="2" t="s">
        <v>11693</v>
      </c>
      <c r="N1165" s="3" t="s">
        <v>2085</v>
      </c>
      <c r="P1165" s="3" t="s">
        <v>64</v>
      </c>
      <c r="R1165" s="3" t="s">
        <v>65</v>
      </c>
      <c r="S1165" s="4">
        <v>1</v>
      </c>
      <c r="T1165" s="4">
        <v>1</v>
      </c>
      <c r="U1165" s="5" t="s">
        <v>2015</v>
      </c>
      <c r="V1165" s="5" t="s">
        <v>2015</v>
      </c>
      <c r="W1165" s="5" t="s">
        <v>67</v>
      </c>
      <c r="X1165" s="5" t="s">
        <v>67</v>
      </c>
      <c r="Y1165" s="4">
        <v>166</v>
      </c>
      <c r="Z1165" s="4">
        <v>11</v>
      </c>
      <c r="AA1165" s="4">
        <v>21</v>
      </c>
      <c r="AB1165" s="4">
        <v>2</v>
      </c>
      <c r="AC1165" s="4">
        <v>7</v>
      </c>
      <c r="AD1165" s="4">
        <v>56</v>
      </c>
      <c r="AE1165" s="4">
        <v>72</v>
      </c>
      <c r="AF1165" s="4">
        <v>1</v>
      </c>
      <c r="AG1165" s="4">
        <v>4</v>
      </c>
      <c r="AH1165" s="4">
        <v>50</v>
      </c>
      <c r="AI1165" s="4">
        <v>61</v>
      </c>
      <c r="AJ1165" s="4">
        <v>9</v>
      </c>
      <c r="AK1165" s="4">
        <v>13</v>
      </c>
      <c r="AL1165" s="4">
        <v>34</v>
      </c>
      <c r="AM1165" s="4">
        <v>37</v>
      </c>
      <c r="AN1165" s="4">
        <v>0</v>
      </c>
      <c r="AO1165" s="4">
        <v>0</v>
      </c>
      <c r="AP1165" s="4">
        <v>9</v>
      </c>
      <c r="AQ1165" s="4">
        <v>16</v>
      </c>
      <c r="AR1165" s="3" t="s">
        <v>62</v>
      </c>
      <c r="AS1165" s="3" t="s">
        <v>62</v>
      </c>
      <c r="AT1165" s="3" t="s">
        <v>62</v>
      </c>
      <c r="AV1165" s="6" t="str">
        <f>HYPERLINK("http://mcgill.on.worldcat.org/oclc/1001807498","Catalog Record")</f>
        <v>Catalog Record</v>
      </c>
      <c r="AW1165" s="6" t="str">
        <f>HYPERLINK("http://www.worldcat.org/oclc/1001807498","WorldCat Record")</f>
        <v>WorldCat Record</v>
      </c>
      <c r="AX1165" s="3" t="s">
        <v>11694</v>
      </c>
      <c r="AY1165" s="3" t="s">
        <v>11695</v>
      </c>
      <c r="AZ1165" s="3" t="s">
        <v>11696</v>
      </c>
      <c r="BA1165" s="3" t="s">
        <v>11696</v>
      </c>
      <c r="BB1165" s="3" t="s">
        <v>11697</v>
      </c>
      <c r="BC1165" s="3" t="s">
        <v>102</v>
      </c>
      <c r="BD1165" s="3" t="s">
        <v>68</v>
      </c>
      <c r="BE1165" s="3" t="s">
        <v>11698</v>
      </c>
      <c r="BF1165" s="3" t="s">
        <v>11697</v>
      </c>
      <c r="BG1165" s="3" t="s">
        <v>11699</v>
      </c>
    </row>
    <row r="1166" spans="1:59" ht="58" x14ac:dyDescent="0.35">
      <c r="A1166" s="2" t="s">
        <v>89</v>
      </c>
      <c r="B1166" s="2" t="s">
        <v>90</v>
      </c>
      <c r="C1166" s="2" t="s">
        <v>11700</v>
      </c>
      <c r="D1166" s="2" t="s">
        <v>11701</v>
      </c>
      <c r="E1166" s="2" t="s">
        <v>11702</v>
      </c>
      <c r="G1166" s="3" t="s">
        <v>62</v>
      </c>
      <c r="I1166" s="3" t="s">
        <v>62</v>
      </c>
      <c r="J1166" s="3" t="s">
        <v>62</v>
      </c>
      <c r="K1166" s="3" t="s">
        <v>63</v>
      </c>
      <c r="L1166" s="2" t="s">
        <v>11703</v>
      </c>
      <c r="M1166" s="2" t="s">
        <v>11704</v>
      </c>
      <c r="N1166" s="3" t="s">
        <v>438</v>
      </c>
      <c r="P1166" s="3" t="s">
        <v>64</v>
      </c>
      <c r="R1166" s="3" t="s">
        <v>65</v>
      </c>
      <c r="S1166" s="4">
        <v>27</v>
      </c>
      <c r="T1166" s="4">
        <v>27</v>
      </c>
      <c r="U1166" s="5" t="s">
        <v>1337</v>
      </c>
      <c r="V1166" s="5" t="s">
        <v>1337</v>
      </c>
      <c r="W1166" s="5" t="s">
        <v>67</v>
      </c>
      <c r="X1166" s="5" t="s">
        <v>67</v>
      </c>
      <c r="Y1166" s="4">
        <v>430</v>
      </c>
      <c r="Z1166" s="4">
        <v>28</v>
      </c>
      <c r="AA1166" s="4">
        <v>33</v>
      </c>
      <c r="AB1166" s="4">
        <v>3</v>
      </c>
      <c r="AC1166" s="4">
        <v>4</v>
      </c>
      <c r="AD1166" s="4">
        <v>112</v>
      </c>
      <c r="AE1166" s="4">
        <v>126</v>
      </c>
      <c r="AF1166" s="4">
        <v>1</v>
      </c>
      <c r="AG1166" s="4">
        <v>2</v>
      </c>
      <c r="AH1166" s="4">
        <v>95</v>
      </c>
      <c r="AI1166" s="4">
        <v>104</v>
      </c>
      <c r="AJ1166" s="4">
        <v>14</v>
      </c>
      <c r="AK1166" s="4">
        <v>17</v>
      </c>
      <c r="AL1166" s="4">
        <v>55</v>
      </c>
      <c r="AM1166" s="4">
        <v>57</v>
      </c>
      <c r="AN1166" s="4">
        <v>0</v>
      </c>
      <c r="AO1166" s="4">
        <v>0</v>
      </c>
      <c r="AP1166" s="4">
        <v>23</v>
      </c>
      <c r="AQ1166" s="4">
        <v>28</v>
      </c>
      <c r="AR1166" s="3" t="s">
        <v>62</v>
      </c>
      <c r="AS1166" s="3" t="s">
        <v>62</v>
      </c>
      <c r="AT1166" s="3" t="s">
        <v>61</v>
      </c>
      <c r="AU1166" s="6" t="str">
        <f>HYPERLINK("http://catalog.hathitrust.org/Record/002205355","HathiTrust Record")</f>
        <v>HathiTrust Record</v>
      </c>
      <c r="AV1166" s="6" t="str">
        <f>HYPERLINK("http://mcgill.on.worldcat.org/oclc/20934762","Catalog Record")</f>
        <v>Catalog Record</v>
      </c>
      <c r="AW1166" s="6" t="str">
        <f>HYPERLINK("http://www.worldcat.org/oclc/20934762","WorldCat Record")</f>
        <v>WorldCat Record</v>
      </c>
      <c r="AX1166" s="3" t="s">
        <v>11705</v>
      </c>
      <c r="AY1166" s="3" t="s">
        <v>11706</v>
      </c>
      <c r="AZ1166" s="3" t="s">
        <v>11707</v>
      </c>
      <c r="BA1166" s="3" t="s">
        <v>11707</v>
      </c>
      <c r="BB1166" s="3" t="s">
        <v>11708</v>
      </c>
      <c r="BC1166" s="3" t="s">
        <v>102</v>
      </c>
      <c r="BD1166" s="3" t="s">
        <v>68</v>
      </c>
      <c r="BE1166" s="3" t="s">
        <v>11709</v>
      </c>
      <c r="BF1166" s="3" t="s">
        <v>11708</v>
      </c>
      <c r="BG1166" s="3" t="s">
        <v>11710</v>
      </c>
    </row>
    <row r="1167" spans="1:59" ht="58" x14ac:dyDescent="0.35">
      <c r="A1167" s="2" t="s">
        <v>89</v>
      </c>
      <c r="B1167" s="2" t="s">
        <v>90</v>
      </c>
      <c r="C1167" s="2" t="s">
        <v>11711</v>
      </c>
      <c r="D1167" s="2" t="s">
        <v>11712</v>
      </c>
      <c r="E1167" s="2" t="s">
        <v>11713</v>
      </c>
      <c r="G1167" s="3" t="s">
        <v>62</v>
      </c>
      <c r="I1167" s="3" t="s">
        <v>62</v>
      </c>
      <c r="J1167" s="3" t="s">
        <v>61</v>
      </c>
      <c r="K1167" s="3" t="s">
        <v>63</v>
      </c>
      <c r="L1167" s="2" t="s">
        <v>11714</v>
      </c>
      <c r="M1167" s="2" t="s">
        <v>11715</v>
      </c>
      <c r="N1167" s="3" t="s">
        <v>726</v>
      </c>
      <c r="O1167" s="2" t="s">
        <v>11716</v>
      </c>
      <c r="P1167" s="3" t="s">
        <v>64</v>
      </c>
      <c r="R1167" s="3" t="s">
        <v>65</v>
      </c>
      <c r="S1167" s="4">
        <v>2</v>
      </c>
      <c r="T1167" s="4">
        <v>2</v>
      </c>
      <c r="U1167" s="5" t="s">
        <v>8024</v>
      </c>
      <c r="V1167" s="5" t="s">
        <v>8024</v>
      </c>
      <c r="W1167" s="5" t="s">
        <v>67</v>
      </c>
      <c r="X1167" s="5" t="s">
        <v>67</v>
      </c>
      <c r="Y1167" s="4">
        <v>186</v>
      </c>
      <c r="Z1167" s="4">
        <v>13</v>
      </c>
      <c r="AA1167" s="4">
        <v>42</v>
      </c>
      <c r="AB1167" s="4">
        <v>2</v>
      </c>
      <c r="AC1167" s="4">
        <v>7</v>
      </c>
      <c r="AD1167" s="4">
        <v>47</v>
      </c>
      <c r="AE1167" s="4">
        <v>123</v>
      </c>
      <c r="AF1167" s="4">
        <v>1</v>
      </c>
      <c r="AG1167" s="4">
        <v>5</v>
      </c>
      <c r="AH1167" s="4">
        <v>41</v>
      </c>
      <c r="AI1167" s="4">
        <v>99</v>
      </c>
      <c r="AJ1167" s="4">
        <v>7</v>
      </c>
      <c r="AK1167" s="4">
        <v>19</v>
      </c>
      <c r="AL1167" s="4">
        <v>24</v>
      </c>
      <c r="AM1167" s="4">
        <v>54</v>
      </c>
      <c r="AN1167" s="4">
        <v>0</v>
      </c>
      <c r="AO1167" s="4">
        <v>0</v>
      </c>
      <c r="AP1167" s="4">
        <v>10</v>
      </c>
      <c r="AQ1167" s="4">
        <v>33</v>
      </c>
      <c r="AR1167" s="3" t="s">
        <v>62</v>
      </c>
      <c r="AS1167" s="3" t="s">
        <v>62</v>
      </c>
      <c r="AT1167" s="3" t="s">
        <v>62</v>
      </c>
      <c r="AV1167" s="6" t="str">
        <f>HYPERLINK("http://mcgill.on.worldcat.org/oclc/965796708","Catalog Record")</f>
        <v>Catalog Record</v>
      </c>
      <c r="AW1167" s="6" t="str">
        <f>HYPERLINK("http://www.worldcat.org/oclc/965796708","WorldCat Record")</f>
        <v>WorldCat Record</v>
      </c>
      <c r="AX1167" s="3" t="s">
        <v>11717</v>
      </c>
      <c r="AY1167" s="3" t="s">
        <v>11718</v>
      </c>
      <c r="AZ1167" s="3" t="s">
        <v>11719</v>
      </c>
      <c r="BA1167" s="3" t="s">
        <v>11719</v>
      </c>
      <c r="BB1167" s="3" t="s">
        <v>11720</v>
      </c>
      <c r="BC1167" s="3" t="s">
        <v>102</v>
      </c>
      <c r="BD1167" s="3" t="s">
        <v>1135</v>
      </c>
      <c r="BE1167" s="3" t="s">
        <v>11721</v>
      </c>
      <c r="BF1167" s="3" t="s">
        <v>11720</v>
      </c>
      <c r="BG1167" s="3" t="s">
        <v>11722</v>
      </c>
    </row>
    <row r="1168" spans="1:59" ht="58" x14ac:dyDescent="0.35">
      <c r="A1168" s="2" t="s">
        <v>89</v>
      </c>
      <c r="B1168" s="2" t="s">
        <v>90</v>
      </c>
      <c r="C1168" s="2" t="s">
        <v>11723</v>
      </c>
      <c r="D1168" s="2" t="s">
        <v>11724</v>
      </c>
      <c r="E1168" s="2" t="s">
        <v>11725</v>
      </c>
      <c r="G1168" s="3" t="s">
        <v>62</v>
      </c>
      <c r="I1168" s="3" t="s">
        <v>62</v>
      </c>
      <c r="J1168" s="3" t="s">
        <v>62</v>
      </c>
      <c r="K1168" s="3" t="s">
        <v>63</v>
      </c>
      <c r="L1168" s="2" t="s">
        <v>11726</v>
      </c>
      <c r="M1168" s="2" t="s">
        <v>11727</v>
      </c>
      <c r="N1168" s="3" t="s">
        <v>438</v>
      </c>
      <c r="P1168" s="3" t="s">
        <v>64</v>
      </c>
      <c r="Q1168" s="2" t="s">
        <v>11728</v>
      </c>
      <c r="R1168" s="3" t="s">
        <v>65</v>
      </c>
      <c r="S1168" s="4">
        <v>62</v>
      </c>
      <c r="T1168" s="4">
        <v>62</v>
      </c>
      <c r="U1168" s="5" t="s">
        <v>7693</v>
      </c>
      <c r="V1168" s="5" t="s">
        <v>7693</v>
      </c>
      <c r="W1168" s="5" t="s">
        <v>67</v>
      </c>
      <c r="X1168" s="5" t="s">
        <v>67</v>
      </c>
      <c r="Y1168" s="4">
        <v>533</v>
      </c>
      <c r="Z1168" s="4">
        <v>28</v>
      </c>
      <c r="AA1168" s="4">
        <v>34</v>
      </c>
      <c r="AB1168" s="4">
        <v>3</v>
      </c>
      <c r="AC1168" s="4">
        <v>8</v>
      </c>
      <c r="AD1168" s="4">
        <v>104</v>
      </c>
      <c r="AE1168" s="4">
        <v>110</v>
      </c>
      <c r="AF1168" s="4">
        <v>2</v>
      </c>
      <c r="AG1168" s="4">
        <v>6</v>
      </c>
      <c r="AH1168" s="4">
        <v>90</v>
      </c>
      <c r="AI1168" s="4">
        <v>92</v>
      </c>
      <c r="AJ1168" s="4">
        <v>15</v>
      </c>
      <c r="AK1168" s="4">
        <v>18</v>
      </c>
      <c r="AL1168" s="4">
        <v>47</v>
      </c>
      <c r="AM1168" s="4">
        <v>47</v>
      </c>
      <c r="AN1168" s="4">
        <v>0</v>
      </c>
      <c r="AO1168" s="4">
        <v>0</v>
      </c>
      <c r="AP1168" s="4">
        <v>23</v>
      </c>
      <c r="AQ1168" s="4">
        <v>27</v>
      </c>
      <c r="AR1168" s="3" t="s">
        <v>62</v>
      </c>
      <c r="AS1168" s="3" t="s">
        <v>62</v>
      </c>
      <c r="AT1168" s="3" t="s">
        <v>61</v>
      </c>
      <c r="AU1168" s="6" t="str">
        <f>HYPERLINK("http://catalog.hathitrust.org/Record/004500369","HathiTrust Record")</f>
        <v>HathiTrust Record</v>
      </c>
      <c r="AV1168" s="6" t="str">
        <f>HYPERLINK("http://mcgill.on.worldcat.org/oclc/21227077","Catalog Record")</f>
        <v>Catalog Record</v>
      </c>
      <c r="AW1168" s="6" t="str">
        <f>HYPERLINK("http://www.worldcat.org/oclc/21227077","WorldCat Record")</f>
        <v>WorldCat Record</v>
      </c>
      <c r="AX1168" s="3" t="s">
        <v>11729</v>
      </c>
      <c r="AY1168" s="3" t="s">
        <v>11730</v>
      </c>
      <c r="AZ1168" s="3" t="s">
        <v>11731</v>
      </c>
      <c r="BA1168" s="3" t="s">
        <v>11731</v>
      </c>
      <c r="BB1168" s="3" t="s">
        <v>11732</v>
      </c>
      <c r="BC1168" s="3" t="s">
        <v>102</v>
      </c>
      <c r="BD1168" s="3" t="s">
        <v>68</v>
      </c>
      <c r="BE1168" s="3" t="s">
        <v>11733</v>
      </c>
      <c r="BF1168" s="3" t="s">
        <v>11732</v>
      </c>
      <c r="BG1168" s="3" t="s">
        <v>11734</v>
      </c>
    </row>
    <row r="1169" spans="1:59" ht="72.5" x14ac:dyDescent="0.35">
      <c r="A1169" s="2" t="s">
        <v>89</v>
      </c>
      <c r="B1169" s="2" t="s">
        <v>1231</v>
      </c>
      <c r="C1169" s="2" t="s">
        <v>11735</v>
      </c>
      <c r="D1169" s="2" t="s">
        <v>11736</v>
      </c>
      <c r="E1169" s="2" t="s">
        <v>11737</v>
      </c>
      <c r="G1169" s="3" t="s">
        <v>62</v>
      </c>
      <c r="I1169" s="3" t="s">
        <v>62</v>
      </c>
      <c r="J1169" s="3" t="s">
        <v>62</v>
      </c>
      <c r="K1169" s="3" t="s">
        <v>63</v>
      </c>
      <c r="L1169" s="2" t="s">
        <v>11738</v>
      </c>
      <c r="M1169" s="2" t="s">
        <v>11739</v>
      </c>
      <c r="N1169" s="3" t="s">
        <v>684</v>
      </c>
      <c r="P1169" s="3" t="s">
        <v>64</v>
      </c>
      <c r="R1169" s="3" t="s">
        <v>65</v>
      </c>
      <c r="S1169" s="4">
        <v>27</v>
      </c>
      <c r="T1169" s="4">
        <v>27</v>
      </c>
      <c r="U1169" s="5" t="s">
        <v>11740</v>
      </c>
      <c r="V1169" s="5" t="s">
        <v>11740</v>
      </c>
      <c r="W1169" s="5" t="s">
        <v>67</v>
      </c>
      <c r="X1169" s="5" t="s">
        <v>67</v>
      </c>
      <c r="Y1169" s="4">
        <v>557</v>
      </c>
      <c r="Z1169" s="4">
        <v>35</v>
      </c>
      <c r="AA1169" s="4">
        <v>55</v>
      </c>
      <c r="AB1169" s="4">
        <v>5</v>
      </c>
      <c r="AC1169" s="4">
        <v>11</v>
      </c>
      <c r="AD1169" s="4">
        <v>99</v>
      </c>
      <c r="AE1169" s="4">
        <v>120</v>
      </c>
      <c r="AF1169" s="4">
        <v>2</v>
      </c>
      <c r="AG1169" s="4">
        <v>6</v>
      </c>
      <c r="AH1169" s="4">
        <v>84</v>
      </c>
      <c r="AI1169" s="4">
        <v>95</v>
      </c>
      <c r="AJ1169" s="4">
        <v>14</v>
      </c>
      <c r="AK1169" s="4">
        <v>17</v>
      </c>
      <c r="AL1169" s="4">
        <v>49</v>
      </c>
      <c r="AM1169" s="4">
        <v>54</v>
      </c>
      <c r="AN1169" s="4">
        <v>0</v>
      </c>
      <c r="AO1169" s="4">
        <v>0</v>
      </c>
      <c r="AP1169" s="4">
        <v>20</v>
      </c>
      <c r="AQ1169" s="4">
        <v>30</v>
      </c>
      <c r="AR1169" s="3" t="s">
        <v>62</v>
      </c>
      <c r="AS1169" s="3" t="s">
        <v>62</v>
      </c>
      <c r="AT1169" s="3" t="s">
        <v>62</v>
      </c>
      <c r="AV1169" s="6" t="str">
        <f>HYPERLINK("http://mcgill.on.worldcat.org/oclc/664674853","Catalog Record")</f>
        <v>Catalog Record</v>
      </c>
      <c r="AW1169" s="6" t="str">
        <f>HYPERLINK("http://www.worldcat.org/oclc/664674853","WorldCat Record")</f>
        <v>WorldCat Record</v>
      </c>
      <c r="AX1169" s="3" t="s">
        <v>11741</v>
      </c>
      <c r="AY1169" s="3" t="s">
        <v>11742</v>
      </c>
      <c r="AZ1169" s="3" t="s">
        <v>11743</v>
      </c>
      <c r="BA1169" s="3" t="s">
        <v>11743</v>
      </c>
      <c r="BB1169" s="3" t="s">
        <v>11744</v>
      </c>
      <c r="BC1169" s="3" t="s">
        <v>102</v>
      </c>
      <c r="BD1169" s="3" t="s">
        <v>68</v>
      </c>
      <c r="BE1169" s="3" t="s">
        <v>11745</v>
      </c>
      <c r="BF1169" s="3" t="s">
        <v>11744</v>
      </c>
      <c r="BG1169" s="3" t="s">
        <v>11746</v>
      </c>
    </row>
    <row r="1170" spans="1:59" ht="58" x14ac:dyDescent="0.35">
      <c r="A1170" s="2" t="s">
        <v>89</v>
      </c>
      <c r="B1170" s="2" t="s">
        <v>90</v>
      </c>
      <c r="C1170" s="2" t="s">
        <v>11747</v>
      </c>
      <c r="D1170" s="2" t="s">
        <v>11748</v>
      </c>
      <c r="E1170" s="2" t="s">
        <v>11749</v>
      </c>
      <c r="G1170" s="3" t="s">
        <v>62</v>
      </c>
      <c r="I1170" s="3" t="s">
        <v>61</v>
      </c>
      <c r="J1170" s="3" t="s">
        <v>62</v>
      </c>
      <c r="K1170" s="3" t="s">
        <v>63</v>
      </c>
      <c r="L1170" s="2" t="s">
        <v>10497</v>
      </c>
      <c r="M1170" s="2" t="s">
        <v>11750</v>
      </c>
      <c r="N1170" s="3" t="s">
        <v>157</v>
      </c>
      <c r="P1170" s="3" t="s">
        <v>64</v>
      </c>
      <c r="R1170" s="3" t="s">
        <v>65</v>
      </c>
      <c r="S1170" s="4">
        <v>3</v>
      </c>
      <c r="T1170" s="4">
        <v>7</v>
      </c>
      <c r="U1170" s="5" t="s">
        <v>10500</v>
      </c>
      <c r="V1170" s="5" t="s">
        <v>10500</v>
      </c>
      <c r="W1170" s="5" t="s">
        <v>67</v>
      </c>
      <c r="X1170" s="5" t="s">
        <v>67</v>
      </c>
      <c r="Y1170" s="4">
        <v>336</v>
      </c>
      <c r="Z1170" s="4">
        <v>28</v>
      </c>
      <c r="AA1170" s="4">
        <v>28</v>
      </c>
      <c r="AB1170" s="4">
        <v>2</v>
      </c>
      <c r="AC1170" s="4">
        <v>2</v>
      </c>
      <c r="AD1170" s="4">
        <v>101</v>
      </c>
      <c r="AE1170" s="4">
        <v>101</v>
      </c>
      <c r="AF1170" s="4">
        <v>1</v>
      </c>
      <c r="AG1170" s="4">
        <v>1</v>
      </c>
      <c r="AH1170" s="4">
        <v>83</v>
      </c>
      <c r="AI1170" s="4">
        <v>83</v>
      </c>
      <c r="AJ1170" s="4">
        <v>19</v>
      </c>
      <c r="AK1170" s="4">
        <v>19</v>
      </c>
      <c r="AL1170" s="4">
        <v>46</v>
      </c>
      <c r="AM1170" s="4">
        <v>46</v>
      </c>
      <c r="AN1170" s="4">
        <v>0</v>
      </c>
      <c r="AO1170" s="4">
        <v>0</v>
      </c>
      <c r="AP1170" s="4">
        <v>22</v>
      </c>
      <c r="AQ1170" s="4">
        <v>22</v>
      </c>
      <c r="AR1170" s="3" t="s">
        <v>62</v>
      </c>
      <c r="AS1170" s="3" t="s">
        <v>62</v>
      </c>
      <c r="AT1170" s="3" t="s">
        <v>61</v>
      </c>
      <c r="AU1170" s="6" t="str">
        <f>HYPERLINK("http://catalog.hathitrust.org/Record/001475090","HathiTrust Record")</f>
        <v>HathiTrust Record</v>
      </c>
      <c r="AV1170" s="6" t="str">
        <f>HYPERLINK("http://mcgill.on.worldcat.org/oclc/1104697","Catalog Record")</f>
        <v>Catalog Record</v>
      </c>
      <c r="AW1170" s="6" t="str">
        <f>HYPERLINK("http://www.worldcat.org/oclc/1104697","WorldCat Record")</f>
        <v>WorldCat Record</v>
      </c>
      <c r="AX1170" s="3" t="s">
        <v>11751</v>
      </c>
      <c r="AY1170" s="3" t="s">
        <v>11752</v>
      </c>
      <c r="AZ1170" s="3" t="s">
        <v>11753</v>
      </c>
      <c r="BA1170" s="3" t="s">
        <v>11753</v>
      </c>
      <c r="BB1170" s="3" t="s">
        <v>11754</v>
      </c>
      <c r="BC1170" s="3" t="s">
        <v>102</v>
      </c>
      <c r="BD1170" s="3" t="s">
        <v>68</v>
      </c>
      <c r="BE1170" s="3" t="s">
        <v>11755</v>
      </c>
      <c r="BF1170" s="3" t="s">
        <v>11754</v>
      </c>
      <c r="BG1170" s="3" t="s">
        <v>11756</v>
      </c>
    </row>
    <row r="1171" spans="1:59" ht="87" x14ac:dyDescent="0.35">
      <c r="A1171" s="2" t="s">
        <v>89</v>
      </c>
      <c r="B1171" s="2" t="s">
        <v>11757</v>
      </c>
      <c r="C1171" s="2" t="s">
        <v>11758</v>
      </c>
      <c r="D1171" s="2" t="s">
        <v>11759</v>
      </c>
      <c r="E1171" s="2" t="s">
        <v>11760</v>
      </c>
      <c r="G1171" s="3" t="s">
        <v>62</v>
      </c>
      <c r="I1171" s="3" t="s">
        <v>62</v>
      </c>
      <c r="J1171" s="3" t="s">
        <v>62</v>
      </c>
      <c r="K1171" s="3" t="s">
        <v>63</v>
      </c>
      <c r="L1171" s="2" t="s">
        <v>11761</v>
      </c>
      <c r="M1171" s="2" t="s">
        <v>11762</v>
      </c>
      <c r="N1171" s="3" t="s">
        <v>880</v>
      </c>
      <c r="P1171" s="3" t="s">
        <v>64</v>
      </c>
      <c r="Q1171" s="2" t="s">
        <v>11763</v>
      </c>
      <c r="R1171" s="3" t="s">
        <v>65</v>
      </c>
      <c r="S1171" s="4">
        <v>0</v>
      </c>
      <c r="T1171" s="4">
        <v>0</v>
      </c>
      <c r="W1171" s="5" t="s">
        <v>67</v>
      </c>
      <c r="X1171" s="5" t="s">
        <v>67</v>
      </c>
      <c r="Y1171" s="4">
        <v>94</v>
      </c>
      <c r="Z1171" s="4">
        <v>9</v>
      </c>
      <c r="AA1171" s="4">
        <v>13</v>
      </c>
      <c r="AB1171" s="4">
        <v>1</v>
      </c>
      <c r="AC1171" s="4">
        <v>1</v>
      </c>
      <c r="AD1171" s="4">
        <v>42</v>
      </c>
      <c r="AE1171" s="4">
        <v>45</v>
      </c>
      <c r="AF1171" s="4">
        <v>0</v>
      </c>
      <c r="AG1171" s="4">
        <v>0</v>
      </c>
      <c r="AH1171" s="4">
        <v>39</v>
      </c>
      <c r="AI1171" s="4">
        <v>40</v>
      </c>
      <c r="AJ1171" s="4">
        <v>6</v>
      </c>
      <c r="AK1171" s="4">
        <v>8</v>
      </c>
      <c r="AL1171" s="4">
        <v>20</v>
      </c>
      <c r="AM1171" s="4">
        <v>21</v>
      </c>
      <c r="AN1171" s="4">
        <v>0</v>
      </c>
      <c r="AO1171" s="4">
        <v>0</v>
      </c>
      <c r="AP1171" s="4">
        <v>7</v>
      </c>
      <c r="AQ1171" s="4">
        <v>10</v>
      </c>
      <c r="AR1171" s="3" t="s">
        <v>62</v>
      </c>
      <c r="AS1171" s="3" t="s">
        <v>62</v>
      </c>
      <c r="AT1171" s="3" t="s">
        <v>62</v>
      </c>
      <c r="AV1171" s="6" t="str">
        <f>HYPERLINK("http://mcgill.on.worldcat.org/oclc/463454363","Catalog Record")</f>
        <v>Catalog Record</v>
      </c>
      <c r="AW1171" s="6" t="str">
        <f>HYPERLINK("http://www.worldcat.org/oclc/463454363","WorldCat Record")</f>
        <v>WorldCat Record</v>
      </c>
      <c r="AX1171" s="3" t="s">
        <v>11764</v>
      </c>
      <c r="AY1171" s="3" t="s">
        <v>11765</v>
      </c>
      <c r="AZ1171" s="3" t="s">
        <v>11766</v>
      </c>
      <c r="BA1171" s="3" t="s">
        <v>11766</v>
      </c>
      <c r="BB1171" s="3" t="s">
        <v>11767</v>
      </c>
      <c r="BC1171" s="3" t="s">
        <v>102</v>
      </c>
      <c r="BD1171" s="3" t="s">
        <v>68</v>
      </c>
      <c r="BE1171" s="3" t="s">
        <v>11768</v>
      </c>
      <c r="BF1171" s="3" t="s">
        <v>11767</v>
      </c>
      <c r="BG1171" s="3" t="s">
        <v>11769</v>
      </c>
    </row>
    <row r="1172" spans="1:59" ht="58" x14ac:dyDescent="0.35">
      <c r="A1172" s="2" t="s">
        <v>89</v>
      </c>
      <c r="B1172" s="2" t="s">
        <v>90</v>
      </c>
      <c r="C1172" s="2" t="s">
        <v>11770</v>
      </c>
      <c r="D1172" s="2" t="s">
        <v>11771</v>
      </c>
      <c r="E1172" s="2" t="s">
        <v>11772</v>
      </c>
      <c r="G1172" s="3" t="s">
        <v>62</v>
      </c>
      <c r="I1172" s="3" t="s">
        <v>62</v>
      </c>
      <c r="J1172" s="3" t="s">
        <v>62</v>
      </c>
      <c r="K1172" s="3" t="s">
        <v>63</v>
      </c>
      <c r="M1172" s="2" t="s">
        <v>11773</v>
      </c>
      <c r="N1172" s="3" t="s">
        <v>129</v>
      </c>
      <c r="P1172" s="3" t="s">
        <v>64</v>
      </c>
      <c r="Q1172" s="2" t="s">
        <v>11774</v>
      </c>
      <c r="R1172" s="3" t="s">
        <v>65</v>
      </c>
      <c r="S1172" s="4">
        <v>0</v>
      </c>
      <c r="T1172" s="4">
        <v>0</v>
      </c>
      <c r="W1172" s="5" t="s">
        <v>67</v>
      </c>
      <c r="X1172" s="5" t="s">
        <v>67</v>
      </c>
      <c r="Y1172" s="4">
        <v>63</v>
      </c>
      <c r="Z1172" s="4">
        <v>6</v>
      </c>
      <c r="AA1172" s="4">
        <v>6</v>
      </c>
      <c r="AB1172" s="4">
        <v>1</v>
      </c>
      <c r="AC1172" s="4">
        <v>1</v>
      </c>
      <c r="AD1172" s="4">
        <v>23</v>
      </c>
      <c r="AE1172" s="4">
        <v>23</v>
      </c>
      <c r="AF1172" s="4">
        <v>0</v>
      </c>
      <c r="AG1172" s="4">
        <v>0</v>
      </c>
      <c r="AH1172" s="4">
        <v>21</v>
      </c>
      <c r="AI1172" s="4">
        <v>21</v>
      </c>
      <c r="AJ1172" s="4">
        <v>2</v>
      </c>
      <c r="AK1172" s="4">
        <v>2</v>
      </c>
      <c r="AL1172" s="4">
        <v>18</v>
      </c>
      <c r="AM1172" s="4">
        <v>18</v>
      </c>
      <c r="AN1172" s="4">
        <v>0</v>
      </c>
      <c r="AO1172" s="4">
        <v>0</v>
      </c>
      <c r="AP1172" s="4">
        <v>3</v>
      </c>
      <c r="AQ1172" s="4">
        <v>3</v>
      </c>
      <c r="AR1172" s="3" t="s">
        <v>62</v>
      </c>
      <c r="AS1172" s="3" t="s">
        <v>62</v>
      </c>
      <c r="AT1172" s="3" t="s">
        <v>62</v>
      </c>
      <c r="AV1172" s="6" t="str">
        <f>HYPERLINK("http://mcgill.on.worldcat.org/oclc/867032043","Catalog Record")</f>
        <v>Catalog Record</v>
      </c>
      <c r="AW1172" s="6" t="str">
        <f>HYPERLINK("http://www.worldcat.org/oclc/867032043","WorldCat Record")</f>
        <v>WorldCat Record</v>
      </c>
      <c r="AX1172" s="3" t="s">
        <v>11775</v>
      </c>
      <c r="AY1172" s="3" t="s">
        <v>11776</v>
      </c>
      <c r="AZ1172" s="3" t="s">
        <v>11777</v>
      </c>
      <c r="BA1172" s="3" t="s">
        <v>11777</v>
      </c>
      <c r="BB1172" s="3" t="s">
        <v>11778</v>
      </c>
      <c r="BC1172" s="3" t="s">
        <v>102</v>
      </c>
      <c r="BD1172" s="3" t="s">
        <v>68</v>
      </c>
      <c r="BE1172" s="3" t="s">
        <v>11779</v>
      </c>
      <c r="BF1172" s="3" t="s">
        <v>11778</v>
      </c>
      <c r="BG1172" s="3" t="s">
        <v>11780</v>
      </c>
    </row>
    <row r="1173" spans="1:59" ht="58" x14ac:dyDescent="0.35">
      <c r="A1173" s="2" t="s">
        <v>89</v>
      </c>
      <c r="B1173" s="2" t="s">
        <v>90</v>
      </c>
      <c r="C1173" s="2" t="s">
        <v>11781</v>
      </c>
      <c r="D1173" s="2" t="s">
        <v>11782</v>
      </c>
      <c r="E1173" s="2" t="s">
        <v>11783</v>
      </c>
      <c r="G1173" s="3" t="s">
        <v>62</v>
      </c>
      <c r="I1173" s="3" t="s">
        <v>62</v>
      </c>
      <c r="J1173" s="3" t="s">
        <v>62</v>
      </c>
      <c r="K1173" s="3" t="s">
        <v>63</v>
      </c>
      <c r="M1173" s="2" t="s">
        <v>11784</v>
      </c>
      <c r="N1173" s="3" t="s">
        <v>726</v>
      </c>
      <c r="P1173" s="3" t="s">
        <v>64</v>
      </c>
      <c r="R1173" s="3" t="s">
        <v>65</v>
      </c>
      <c r="S1173" s="4">
        <v>2</v>
      </c>
      <c r="T1173" s="4">
        <v>2</v>
      </c>
      <c r="U1173" s="5" t="s">
        <v>11785</v>
      </c>
      <c r="V1173" s="5" t="s">
        <v>11785</v>
      </c>
      <c r="W1173" s="5" t="s">
        <v>67</v>
      </c>
      <c r="X1173" s="5" t="s">
        <v>67</v>
      </c>
      <c r="Y1173" s="4">
        <v>187</v>
      </c>
      <c r="Z1173" s="4">
        <v>13</v>
      </c>
      <c r="AA1173" s="4">
        <v>24</v>
      </c>
      <c r="AB1173" s="4">
        <v>3</v>
      </c>
      <c r="AC1173" s="4">
        <v>5</v>
      </c>
      <c r="AD1173" s="4">
        <v>61</v>
      </c>
      <c r="AE1173" s="4">
        <v>80</v>
      </c>
      <c r="AF1173" s="4">
        <v>1</v>
      </c>
      <c r="AG1173" s="4">
        <v>1</v>
      </c>
      <c r="AH1173" s="4">
        <v>55</v>
      </c>
      <c r="AI1173" s="4">
        <v>71</v>
      </c>
      <c r="AJ1173" s="4">
        <v>6</v>
      </c>
      <c r="AK1173" s="4">
        <v>14</v>
      </c>
      <c r="AL1173" s="4">
        <v>38</v>
      </c>
      <c r="AM1173" s="4">
        <v>46</v>
      </c>
      <c r="AN1173" s="4">
        <v>0</v>
      </c>
      <c r="AO1173" s="4">
        <v>0</v>
      </c>
      <c r="AP1173" s="4">
        <v>7</v>
      </c>
      <c r="AQ1173" s="4">
        <v>16</v>
      </c>
      <c r="AR1173" s="3" t="s">
        <v>62</v>
      </c>
      <c r="AS1173" s="3" t="s">
        <v>62</v>
      </c>
      <c r="AT1173" s="3" t="s">
        <v>62</v>
      </c>
      <c r="AV1173" s="6" t="str">
        <f>HYPERLINK("http://mcgill.on.worldcat.org/oclc/952567204","Catalog Record")</f>
        <v>Catalog Record</v>
      </c>
      <c r="AW1173" s="6" t="str">
        <f>HYPERLINK("http://www.worldcat.org/oclc/952567204","WorldCat Record")</f>
        <v>WorldCat Record</v>
      </c>
      <c r="AX1173" s="3" t="s">
        <v>11786</v>
      </c>
      <c r="AY1173" s="3" t="s">
        <v>11787</v>
      </c>
      <c r="AZ1173" s="3" t="s">
        <v>11788</v>
      </c>
      <c r="BA1173" s="3" t="s">
        <v>11788</v>
      </c>
      <c r="BB1173" s="3" t="s">
        <v>11789</v>
      </c>
      <c r="BC1173" s="3" t="s">
        <v>102</v>
      </c>
      <c r="BD1173" s="3" t="s">
        <v>68</v>
      </c>
      <c r="BE1173" s="3" t="s">
        <v>11790</v>
      </c>
      <c r="BF1173" s="3" t="s">
        <v>11789</v>
      </c>
      <c r="BG1173" s="3" t="s">
        <v>11791</v>
      </c>
    </row>
    <row r="1174" spans="1:59" ht="58" x14ac:dyDescent="0.35">
      <c r="A1174" s="2" t="s">
        <v>89</v>
      </c>
      <c r="B1174" s="2" t="s">
        <v>6791</v>
      </c>
      <c r="C1174" s="2" t="s">
        <v>11792</v>
      </c>
      <c r="D1174" s="2" t="s">
        <v>11793</v>
      </c>
      <c r="E1174" s="2" t="s">
        <v>11794</v>
      </c>
      <c r="G1174" s="3" t="s">
        <v>62</v>
      </c>
      <c r="I1174" s="3" t="s">
        <v>61</v>
      </c>
      <c r="J1174" s="3" t="s">
        <v>61</v>
      </c>
      <c r="K1174" s="3" t="s">
        <v>63</v>
      </c>
      <c r="L1174" s="2" t="s">
        <v>11795</v>
      </c>
      <c r="M1174" s="2" t="s">
        <v>11796</v>
      </c>
      <c r="N1174" s="3" t="s">
        <v>1905</v>
      </c>
      <c r="P1174" s="3" t="s">
        <v>64</v>
      </c>
      <c r="R1174" s="3" t="s">
        <v>65</v>
      </c>
      <c r="S1174" s="4">
        <v>10</v>
      </c>
      <c r="T1174" s="4">
        <v>10</v>
      </c>
      <c r="U1174" s="5" t="s">
        <v>9629</v>
      </c>
      <c r="V1174" s="5" t="s">
        <v>9629</v>
      </c>
      <c r="W1174" s="5" t="s">
        <v>67</v>
      </c>
      <c r="X1174" s="5" t="s">
        <v>67</v>
      </c>
      <c r="Y1174" s="4">
        <v>733</v>
      </c>
      <c r="Z1174" s="4">
        <v>43</v>
      </c>
      <c r="AA1174" s="4">
        <v>57</v>
      </c>
      <c r="AB1174" s="4">
        <v>3</v>
      </c>
      <c r="AC1174" s="4">
        <v>7</v>
      </c>
      <c r="AD1174" s="4">
        <v>128</v>
      </c>
      <c r="AE1174" s="4">
        <v>146</v>
      </c>
      <c r="AF1174" s="4">
        <v>1</v>
      </c>
      <c r="AG1174" s="4">
        <v>4</v>
      </c>
      <c r="AH1174" s="4">
        <v>103</v>
      </c>
      <c r="AI1174" s="4">
        <v>111</v>
      </c>
      <c r="AJ1174" s="4">
        <v>23</v>
      </c>
      <c r="AK1174" s="4">
        <v>28</v>
      </c>
      <c r="AL1174" s="4">
        <v>59</v>
      </c>
      <c r="AM1174" s="4">
        <v>60</v>
      </c>
      <c r="AN1174" s="4">
        <v>0</v>
      </c>
      <c r="AO1174" s="4">
        <v>0</v>
      </c>
      <c r="AP1174" s="4">
        <v>30</v>
      </c>
      <c r="AQ1174" s="4">
        <v>41</v>
      </c>
      <c r="AR1174" s="3" t="s">
        <v>62</v>
      </c>
      <c r="AS1174" s="3" t="s">
        <v>62</v>
      </c>
      <c r="AT1174" s="3" t="s">
        <v>62</v>
      </c>
      <c r="AV1174" s="6" t="str">
        <f>HYPERLINK("http://mcgill.on.worldcat.org/oclc/14413514","Catalog Record")</f>
        <v>Catalog Record</v>
      </c>
      <c r="AW1174" s="6" t="str">
        <f>HYPERLINK("http://www.worldcat.org/oclc/14413514","WorldCat Record")</f>
        <v>WorldCat Record</v>
      </c>
      <c r="AX1174" s="3" t="s">
        <v>11797</v>
      </c>
      <c r="AY1174" s="3" t="s">
        <v>11798</v>
      </c>
      <c r="AZ1174" s="3" t="s">
        <v>11799</v>
      </c>
      <c r="BA1174" s="3" t="s">
        <v>11799</v>
      </c>
      <c r="BB1174" s="3" t="s">
        <v>11800</v>
      </c>
      <c r="BC1174" s="3" t="s">
        <v>102</v>
      </c>
      <c r="BD1174" s="3" t="s">
        <v>231</v>
      </c>
      <c r="BE1174" s="3" t="s">
        <v>11801</v>
      </c>
      <c r="BF1174" s="3" t="s">
        <v>11800</v>
      </c>
      <c r="BG1174" s="3" t="s">
        <v>11802</v>
      </c>
    </row>
    <row r="1175" spans="1:59" ht="58" x14ac:dyDescent="0.35">
      <c r="A1175" s="2" t="s">
        <v>89</v>
      </c>
      <c r="B1175" s="2" t="s">
        <v>90</v>
      </c>
      <c r="C1175" s="2" t="s">
        <v>11803</v>
      </c>
      <c r="D1175" s="2" t="s">
        <v>11804</v>
      </c>
      <c r="E1175" s="2" t="s">
        <v>11805</v>
      </c>
      <c r="G1175" s="3" t="s">
        <v>62</v>
      </c>
      <c r="I1175" s="3" t="s">
        <v>62</v>
      </c>
      <c r="J1175" s="3" t="s">
        <v>62</v>
      </c>
      <c r="K1175" s="3" t="s">
        <v>63</v>
      </c>
      <c r="M1175" s="2" t="s">
        <v>6640</v>
      </c>
      <c r="N1175" s="3" t="s">
        <v>698</v>
      </c>
      <c r="P1175" s="3" t="s">
        <v>64</v>
      </c>
      <c r="Q1175" s="2" t="s">
        <v>11806</v>
      </c>
      <c r="R1175" s="3" t="s">
        <v>65</v>
      </c>
      <c r="S1175" s="4">
        <v>1</v>
      </c>
      <c r="T1175" s="4">
        <v>1</v>
      </c>
      <c r="U1175" s="5" t="s">
        <v>11807</v>
      </c>
      <c r="V1175" s="5" t="s">
        <v>11807</v>
      </c>
      <c r="W1175" s="5" t="s">
        <v>67</v>
      </c>
      <c r="X1175" s="5" t="s">
        <v>67</v>
      </c>
      <c r="Y1175" s="4">
        <v>64</v>
      </c>
      <c r="Z1175" s="4">
        <v>6</v>
      </c>
      <c r="AA1175" s="4">
        <v>38</v>
      </c>
      <c r="AB1175" s="4">
        <v>1</v>
      </c>
      <c r="AC1175" s="4">
        <v>9</v>
      </c>
      <c r="AD1175" s="4">
        <v>26</v>
      </c>
      <c r="AE1175" s="4">
        <v>79</v>
      </c>
      <c r="AF1175" s="4">
        <v>0</v>
      </c>
      <c r="AG1175" s="4">
        <v>4</v>
      </c>
      <c r="AH1175" s="4">
        <v>24</v>
      </c>
      <c r="AI1175" s="4">
        <v>54</v>
      </c>
      <c r="AJ1175" s="4">
        <v>3</v>
      </c>
      <c r="AK1175" s="4">
        <v>17</v>
      </c>
      <c r="AL1175" s="4">
        <v>17</v>
      </c>
      <c r="AM1175" s="4">
        <v>30</v>
      </c>
      <c r="AN1175" s="4">
        <v>0</v>
      </c>
      <c r="AO1175" s="4">
        <v>0</v>
      </c>
      <c r="AP1175" s="4">
        <v>4</v>
      </c>
      <c r="AQ1175" s="4">
        <v>30</v>
      </c>
      <c r="AR1175" s="3" t="s">
        <v>62</v>
      </c>
      <c r="AS1175" s="3" t="s">
        <v>62</v>
      </c>
      <c r="AT1175" s="3" t="s">
        <v>62</v>
      </c>
      <c r="AV1175" s="6" t="str">
        <f>HYPERLINK("http://mcgill.on.worldcat.org/oclc/741541326","Catalog Record")</f>
        <v>Catalog Record</v>
      </c>
      <c r="AW1175" s="6" t="str">
        <f>HYPERLINK("http://www.worldcat.org/oclc/741541326","WorldCat Record")</f>
        <v>WorldCat Record</v>
      </c>
      <c r="AX1175" s="3" t="s">
        <v>11808</v>
      </c>
      <c r="AY1175" s="3" t="s">
        <v>11809</v>
      </c>
      <c r="AZ1175" s="3" t="s">
        <v>11810</v>
      </c>
      <c r="BA1175" s="3" t="s">
        <v>11810</v>
      </c>
      <c r="BB1175" s="3" t="s">
        <v>11811</v>
      </c>
      <c r="BC1175" s="3" t="s">
        <v>102</v>
      </c>
      <c r="BD1175" s="3" t="s">
        <v>68</v>
      </c>
      <c r="BE1175" s="3" t="s">
        <v>11812</v>
      </c>
      <c r="BF1175" s="3" t="s">
        <v>11811</v>
      </c>
      <c r="BG1175" s="3" t="s">
        <v>11813</v>
      </c>
    </row>
    <row r="1176" spans="1:59" ht="58" x14ac:dyDescent="0.35">
      <c r="A1176" s="2" t="s">
        <v>89</v>
      </c>
      <c r="B1176" s="2" t="s">
        <v>90</v>
      </c>
      <c r="C1176" s="2" t="s">
        <v>11814</v>
      </c>
      <c r="D1176" s="2" t="s">
        <v>11815</v>
      </c>
      <c r="E1176" s="2" t="s">
        <v>11816</v>
      </c>
      <c r="G1176" s="3" t="s">
        <v>62</v>
      </c>
      <c r="I1176" s="3" t="s">
        <v>62</v>
      </c>
      <c r="J1176" s="3" t="s">
        <v>62</v>
      </c>
      <c r="K1176" s="3" t="s">
        <v>63</v>
      </c>
      <c r="L1176" s="2" t="s">
        <v>11817</v>
      </c>
      <c r="M1176" s="2" t="s">
        <v>11818</v>
      </c>
      <c r="N1176" s="3" t="s">
        <v>1195</v>
      </c>
      <c r="P1176" s="3" t="s">
        <v>1078</v>
      </c>
      <c r="Q1176" s="2" t="s">
        <v>11819</v>
      </c>
      <c r="R1176" s="3" t="s">
        <v>65</v>
      </c>
      <c r="S1176" s="4">
        <v>3</v>
      </c>
      <c r="T1176" s="4">
        <v>3</v>
      </c>
      <c r="U1176" s="5" t="s">
        <v>5216</v>
      </c>
      <c r="V1176" s="5" t="s">
        <v>5216</v>
      </c>
      <c r="W1176" s="5" t="s">
        <v>67</v>
      </c>
      <c r="X1176" s="5" t="s">
        <v>67</v>
      </c>
      <c r="Y1176" s="4">
        <v>50</v>
      </c>
      <c r="Z1176" s="4">
        <v>5</v>
      </c>
      <c r="AA1176" s="4">
        <v>7</v>
      </c>
      <c r="AB1176" s="4">
        <v>1</v>
      </c>
      <c r="AC1176" s="4">
        <v>3</v>
      </c>
      <c r="AD1176" s="4">
        <v>20</v>
      </c>
      <c r="AE1176" s="4">
        <v>21</v>
      </c>
      <c r="AF1176" s="4">
        <v>0</v>
      </c>
      <c r="AG1176" s="4">
        <v>1</v>
      </c>
      <c r="AH1176" s="4">
        <v>19</v>
      </c>
      <c r="AI1176" s="4">
        <v>19</v>
      </c>
      <c r="AJ1176" s="4">
        <v>2</v>
      </c>
      <c r="AK1176" s="4">
        <v>3</v>
      </c>
      <c r="AL1176" s="4">
        <v>16</v>
      </c>
      <c r="AM1176" s="4">
        <v>16</v>
      </c>
      <c r="AN1176" s="4">
        <v>0</v>
      </c>
      <c r="AO1176" s="4">
        <v>0</v>
      </c>
      <c r="AP1176" s="4">
        <v>2</v>
      </c>
      <c r="AQ1176" s="4">
        <v>2</v>
      </c>
      <c r="AR1176" s="3" t="s">
        <v>62</v>
      </c>
      <c r="AS1176" s="3" t="s">
        <v>62</v>
      </c>
      <c r="AT1176" s="3" t="s">
        <v>62</v>
      </c>
      <c r="AV1176" s="6" t="str">
        <f>HYPERLINK("http://mcgill.on.worldcat.org/oclc/75252358","Catalog Record")</f>
        <v>Catalog Record</v>
      </c>
      <c r="AW1176" s="6" t="str">
        <f>HYPERLINK("http://www.worldcat.org/oclc/75252358","WorldCat Record")</f>
        <v>WorldCat Record</v>
      </c>
      <c r="AX1176" s="3" t="s">
        <v>11820</v>
      </c>
      <c r="AY1176" s="3" t="s">
        <v>11821</v>
      </c>
      <c r="AZ1176" s="3" t="s">
        <v>11822</v>
      </c>
      <c r="BA1176" s="3" t="s">
        <v>11822</v>
      </c>
      <c r="BB1176" s="3" t="s">
        <v>11823</v>
      </c>
      <c r="BC1176" s="3" t="s">
        <v>102</v>
      </c>
      <c r="BD1176" s="3" t="s">
        <v>68</v>
      </c>
      <c r="BE1176" s="3" t="s">
        <v>11824</v>
      </c>
      <c r="BF1176" s="3" t="s">
        <v>11823</v>
      </c>
      <c r="BG1176" s="3" t="s">
        <v>11825</v>
      </c>
    </row>
    <row r="1177" spans="1:59" ht="101.5" x14ac:dyDescent="0.35">
      <c r="A1177" s="2" t="s">
        <v>89</v>
      </c>
      <c r="B1177" s="2" t="s">
        <v>90</v>
      </c>
      <c r="C1177" s="2" t="s">
        <v>11826</v>
      </c>
      <c r="D1177" s="2" t="s">
        <v>11827</v>
      </c>
      <c r="E1177" s="2" t="s">
        <v>11828</v>
      </c>
      <c r="G1177" s="3" t="s">
        <v>62</v>
      </c>
      <c r="I1177" s="3" t="s">
        <v>62</v>
      </c>
      <c r="J1177" s="3" t="s">
        <v>62</v>
      </c>
      <c r="K1177" s="3" t="s">
        <v>63</v>
      </c>
      <c r="M1177" s="2" t="s">
        <v>11829</v>
      </c>
      <c r="N1177" s="3" t="s">
        <v>655</v>
      </c>
      <c r="P1177" s="3" t="s">
        <v>64</v>
      </c>
      <c r="Q1177" s="2" t="s">
        <v>11830</v>
      </c>
      <c r="R1177" s="3" t="s">
        <v>65</v>
      </c>
      <c r="S1177" s="4">
        <v>3</v>
      </c>
      <c r="T1177" s="4">
        <v>3</v>
      </c>
      <c r="U1177" s="5" t="s">
        <v>11831</v>
      </c>
      <c r="V1177" s="5" t="s">
        <v>11831</v>
      </c>
      <c r="W1177" s="5" t="s">
        <v>67</v>
      </c>
      <c r="X1177" s="5" t="s">
        <v>67</v>
      </c>
      <c r="Y1177" s="4">
        <v>34</v>
      </c>
      <c r="Z1177" s="4">
        <v>5</v>
      </c>
      <c r="AA1177" s="4">
        <v>11</v>
      </c>
      <c r="AB1177" s="4">
        <v>1</v>
      </c>
      <c r="AC1177" s="4">
        <v>1</v>
      </c>
      <c r="AD1177" s="4">
        <v>15</v>
      </c>
      <c r="AE1177" s="4">
        <v>21</v>
      </c>
      <c r="AF1177" s="4">
        <v>0</v>
      </c>
      <c r="AG1177" s="4">
        <v>0</v>
      </c>
      <c r="AH1177" s="4">
        <v>13</v>
      </c>
      <c r="AI1177" s="4">
        <v>16</v>
      </c>
      <c r="AJ1177" s="4">
        <v>3</v>
      </c>
      <c r="AK1177" s="4">
        <v>4</v>
      </c>
      <c r="AL1177" s="4">
        <v>8</v>
      </c>
      <c r="AM1177" s="4">
        <v>9</v>
      </c>
      <c r="AN1177" s="4">
        <v>0</v>
      </c>
      <c r="AO1177" s="4">
        <v>0</v>
      </c>
      <c r="AP1177" s="4">
        <v>4</v>
      </c>
      <c r="AQ1177" s="4">
        <v>7</v>
      </c>
      <c r="AR1177" s="3" t="s">
        <v>62</v>
      </c>
      <c r="AS1177" s="3" t="s">
        <v>62</v>
      </c>
      <c r="AT1177" s="3" t="s">
        <v>61</v>
      </c>
      <c r="AU1177" s="6" t="str">
        <f>HYPERLINK("http://catalog.hathitrust.org/Record/009142090","HathiTrust Record")</f>
        <v>HathiTrust Record</v>
      </c>
      <c r="AV1177" s="6" t="str">
        <f>HYPERLINK("http://mcgill.on.worldcat.org/oclc/213444416","Catalog Record")</f>
        <v>Catalog Record</v>
      </c>
      <c r="AW1177" s="6" t="str">
        <f>HYPERLINK("http://www.worldcat.org/oclc/213444416","WorldCat Record")</f>
        <v>WorldCat Record</v>
      </c>
      <c r="AX1177" s="3" t="s">
        <v>11832</v>
      </c>
      <c r="AY1177" s="3" t="s">
        <v>11833</v>
      </c>
      <c r="AZ1177" s="3" t="s">
        <v>11834</v>
      </c>
      <c r="BA1177" s="3" t="s">
        <v>11834</v>
      </c>
      <c r="BB1177" s="3" t="s">
        <v>11835</v>
      </c>
      <c r="BC1177" s="3" t="s">
        <v>102</v>
      </c>
      <c r="BD1177" s="3" t="s">
        <v>68</v>
      </c>
      <c r="BE1177" s="3" t="s">
        <v>11836</v>
      </c>
      <c r="BF1177" s="3" t="s">
        <v>11835</v>
      </c>
      <c r="BG1177" s="3" t="s">
        <v>11837</v>
      </c>
    </row>
    <row r="1178" spans="1:59" ht="58" x14ac:dyDescent="0.35">
      <c r="A1178" s="2" t="s">
        <v>89</v>
      </c>
      <c r="B1178" s="2" t="s">
        <v>90</v>
      </c>
      <c r="C1178" s="2" t="s">
        <v>11838</v>
      </c>
      <c r="D1178" s="2" t="s">
        <v>11839</v>
      </c>
      <c r="E1178" s="2" t="s">
        <v>11840</v>
      </c>
      <c r="G1178" s="3" t="s">
        <v>62</v>
      </c>
      <c r="I1178" s="3" t="s">
        <v>61</v>
      </c>
      <c r="J1178" s="3" t="s">
        <v>62</v>
      </c>
      <c r="K1178" s="3" t="s">
        <v>63</v>
      </c>
      <c r="L1178" s="2" t="s">
        <v>11841</v>
      </c>
      <c r="M1178" s="2" t="s">
        <v>11842</v>
      </c>
      <c r="N1178" s="3" t="s">
        <v>1722</v>
      </c>
      <c r="P1178" s="3" t="s">
        <v>64</v>
      </c>
      <c r="R1178" s="3" t="s">
        <v>65</v>
      </c>
      <c r="S1178" s="4">
        <v>2</v>
      </c>
      <c r="T1178" s="4">
        <v>13</v>
      </c>
      <c r="V1178" s="5" t="s">
        <v>11843</v>
      </c>
      <c r="W1178" s="5" t="s">
        <v>67</v>
      </c>
      <c r="X1178" s="5" t="s">
        <v>67</v>
      </c>
      <c r="Y1178" s="4">
        <v>135</v>
      </c>
      <c r="Z1178" s="4">
        <v>12</v>
      </c>
      <c r="AA1178" s="4">
        <v>13</v>
      </c>
      <c r="AB1178" s="4">
        <v>1</v>
      </c>
      <c r="AC1178" s="4">
        <v>2</v>
      </c>
      <c r="AD1178" s="4">
        <v>38</v>
      </c>
      <c r="AE1178" s="4">
        <v>39</v>
      </c>
      <c r="AF1178" s="4">
        <v>0</v>
      </c>
      <c r="AG1178" s="4">
        <v>1</v>
      </c>
      <c r="AH1178" s="4">
        <v>35</v>
      </c>
      <c r="AI1178" s="4">
        <v>35</v>
      </c>
      <c r="AJ1178" s="4">
        <v>7</v>
      </c>
      <c r="AK1178" s="4">
        <v>8</v>
      </c>
      <c r="AL1178" s="4">
        <v>15</v>
      </c>
      <c r="AM1178" s="4">
        <v>15</v>
      </c>
      <c r="AN1178" s="4">
        <v>0</v>
      </c>
      <c r="AO1178" s="4">
        <v>0</v>
      </c>
      <c r="AP1178" s="4">
        <v>8</v>
      </c>
      <c r="AQ1178" s="4">
        <v>9</v>
      </c>
      <c r="AR1178" s="3" t="s">
        <v>62</v>
      </c>
      <c r="AS1178" s="3" t="s">
        <v>62</v>
      </c>
      <c r="AT1178" s="3" t="s">
        <v>61</v>
      </c>
      <c r="AU1178" s="6" t="str">
        <f>HYPERLINK("http://catalog.hathitrust.org/Record/006780216","HathiTrust Record")</f>
        <v>HathiTrust Record</v>
      </c>
      <c r="AV1178" s="6" t="str">
        <f>HYPERLINK("http://mcgill.on.worldcat.org/oclc/213844885","Catalog Record")</f>
        <v>Catalog Record</v>
      </c>
      <c r="AW1178" s="6" t="str">
        <f>HYPERLINK("http://www.worldcat.org/oclc/213844885","WorldCat Record")</f>
        <v>WorldCat Record</v>
      </c>
      <c r="AX1178" s="3" t="s">
        <v>11844</v>
      </c>
      <c r="AY1178" s="3" t="s">
        <v>11845</v>
      </c>
      <c r="AZ1178" s="3" t="s">
        <v>11846</v>
      </c>
      <c r="BA1178" s="3" t="s">
        <v>11846</v>
      </c>
      <c r="BB1178" s="3" t="s">
        <v>11847</v>
      </c>
      <c r="BC1178" s="3" t="s">
        <v>102</v>
      </c>
      <c r="BD1178" s="3" t="s">
        <v>231</v>
      </c>
      <c r="BE1178" s="3" t="s">
        <v>11848</v>
      </c>
      <c r="BF1178" s="3" t="s">
        <v>11847</v>
      </c>
      <c r="BG1178" s="3" t="s">
        <v>11849</v>
      </c>
    </row>
    <row r="1179" spans="1:59" ht="58" x14ac:dyDescent="0.35">
      <c r="A1179" s="2" t="s">
        <v>89</v>
      </c>
      <c r="B1179" s="2" t="s">
        <v>90</v>
      </c>
      <c r="C1179" s="2" t="s">
        <v>11838</v>
      </c>
      <c r="D1179" s="2" t="s">
        <v>11839</v>
      </c>
      <c r="E1179" s="2" t="s">
        <v>11840</v>
      </c>
      <c r="G1179" s="3" t="s">
        <v>62</v>
      </c>
      <c r="I1179" s="3" t="s">
        <v>61</v>
      </c>
      <c r="J1179" s="3" t="s">
        <v>62</v>
      </c>
      <c r="K1179" s="3" t="s">
        <v>63</v>
      </c>
      <c r="L1179" s="2" t="s">
        <v>11841</v>
      </c>
      <c r="M1179" s="2" t="s">
        <v>11842</v>
      </c>
      <c r="N1179" s="3" t="s">
        <v>1722</v>
      </c>
      <c r="P1179" s="3" t="s">
        <v>64</v>
      </c>
      <c r="R1179" s="3" t="s">
        <v>65</v>
      </c>
      <c r="S1179" s="4">
        <v>11</v>
      </c>
      <c r="T1179" s="4">
        <v>13</v>
      </c>
      <c r="U1179" s="5" t="s">
        <v>11843</v>
      </c>
      <c r="V1179" s="5" t="s">
        <v>11843</v>
      </c>
      <c r="W1179" s="5" t="s">
        <v>67</v>
      </c>
      <c r="X1179" s="5" t="s">
        <v>67</v>
      </c>
      <c r="Y1179" s="4">
        <v>135</v>
      </c>
      <c r="Z1179" s="4">
        <v>12</v>
      </c>
      <c r="AA1179" s="4">
        <v>13</v>
      </c>
      <c r="AB1179" s="4">
        <v>1</v>
      </c>
      <c r="AC1179" s="4">
        <v>2</v>
      </c>
      <c r="AD1179" s="4">
        <v>38</v>
      </c>
      <c r="AE1179" s="4">
        <v>39</v>
      </c>
      <c r="AF1179" s="4">
        <v>0</v>
      </c>
      <c r="AG1179" s="4">
        <v>1</v>
      </c>
      <c r="AH1179" s="4">
        <v>35</v>
      </c>
      <c r="AI1179" s="4">
        <v>35</v>
      </c>
      <c r="AJ1179" s="4">
        <v>7</v>
      </c>
      <c r="AK1179" s="4">
        <v>8</v>
      </c>
      <c r="AL1179" s="4">
        <v>15</v>
      </c>
      <c r="AM1179" s="4">
        <v>15</v>
      </c>
      <c r="AN1179" s="4">
        <v>0</v>
      </c>
      <c r="AO1179" s="4">
        <v>0</v>
      </c>
      <c r="AP1179" s="4">
        <v>8</v>
      </c>
      <c r="AQ1179" s="4">
        <v>9</v>
      </c>
      <c r="AR1179" s="3" t="s">
        <v>62</v>
      </c>
      <c r="AS1179" s="3" t="s">
        <v>62</v>
      </c>
      <c r="AT1179" s="3" t="s">
        <v>61</v>
      </c>
      <c r="AU1179" s="6" t="str">
        <f>HYPERLINK("http://catalog.hathitrust.org/Record/006780216","HathiTrust Record")</f>
        <v>HathiTrust Record</v>
      </c>
      <c r="AV1179" s="6" t="str">
        <f>HYPERLINK("http://mcgill.on.worldcat.org/oclc/213844885","Catalog Record")</f>
        <v>Catalog Record</v>
      </c>
      <c r="AW1179" s="6" t="str">
        <f>HYPERLINK("http://www.worldcat.org/oclc/213844885","WorldCat Record")</f>
        <v>WorldCat Record</v>
      </c>
      <c r="AX1179" s="3" t="s">
        <v>11844</v>
      </c>
      <c r="AY1179" s="3" t="s">
        <v>11845</v>
      </c>
      <c r="AZ1179" s="3" t="s">
        <v>11846</v>
      </c>
      <c r="BA1179" s="3" t="s">
        <v>11846</v>
      </c>
      <c r="BB1179" s="3" t="s">
        <v>11850</v>
      </c>
      <c r="BC1179" s="3" t="s">
        <v>102</v>
      </c>
      <c r="BD1179" s="3" t="s">
        <v>68</v>
      </c>
      <c r="BE1179" s="3" t="s">
        <v>11848</v>
      </c>
      <c r="BF1179" s="3" t="s">
        <v>11850</v>
      </c>
      <c r="BG1179" s="3" t="s">
        <v>11851</v>
      </c>
    </row>
    <row r="1180" spans="1:59" ht="58" x14ac:dyDescent="0.35">
      <c r="A1180" s="2" t="s">
        <v>89</v>
      </c>
      <c r="B1180" s="2" t="s">
        <v>90</v>
      </c>
      <c r="C1180" s="2" t="s">
        <v>11852</v>
      </c>
      <c r="D1180" s="2" t="s">
        <v>11853</v>
      </c>
      <c r="E1180" s="2" t="s">
        <v>11854</v>
      </c>
      <c r="G1180" s="3" t="s">
        <v>62</v>
      </c>
      <c r="I1180" s="3" t="s">
        <v>62</v>
      </c>
      <c r="J1180" s="3" t="s">
        <v>62</v>
      </c>
      <c r="K1180" s="3" t="s">
        <v>63</v>
      </c>
      <c r="M1180" s="2" t="s">
        <v>11855</v>
      </c>
      <c r="N1180" s="3" t="s">
        <v>880</v>
      </c>
      <c r="P1180" s="3" t="s">
        <v>64</v>
      </c>
      <c r="Q1180" s="2" t="s">
        <v>11856</v>
      </c>
      <c r="R1180" s="3" t="s">
        <v>65</v>
      </c>
      <c r="S1180" s="4">
        <v>0</v>
      </c>
      <c r="T1180" s="4">
        <v>0</v>
      </c>
      <c r="W1180" s="5" t="s">
        <v>67</v>
      </c>
      <c r="X1180" s="5" t="s">
        <v>67</v>
      </c>
      <c r="Y1180" s="4">
        <v>48</v>
      </c>
      <c r="Z1180" s="4">
        <v>3</v>
      </c>
      <c r="AA1180" s="4">
        <v>31</v>
      </c>
      <c r="AB1180" s="4">
        <v>1</v>
      </c>
      <c r="AC1180" s="4">
        <v>10</v>
      </c>
      <c r="AD1180" s="4">
        <v>14</v>
      </c>
      <c r="AE1180" s="4">
        <v>26</v>
      </c>
      <c r="AF1180" s="4">
        <v>0</v>
      </c>
      <c r="AG1180" s="4">
        <v>3</v>
      </c>
      <c r="AH1180" s="4">
        <v>13</v>
      </c>
      <c r="AI1180" s="4">
        <v>18</v>
      </c>
      <c r="AJ1180" s="4">
        <v>0</v>
      </c>
      <c r="AK1180" s="4">
        <v>4</v>
      </c>
      <c r="AL1180" s="4">
        <v>11</v>
      </c>
      <c r="AM1180" s="4">
        <v>14</v>
      </c>
      <c r="AN1180" s="4">
        <v>0</v>
      </c>
      <c r="AO1180" s="4">
        <v>0</v>
      </c>
      <c r="AP1180" s="4">
        <v>1</v>
      </c>
      <c r="AQ1180" s="4">
        <v>9</v>
      </c>
      <c r="AR1180" s="3" t="s">
        <v>62</v>
      </c>
      <c r="AS1180" s="3" t="s">
        <v>62</v>
      </c>
      <c r="AT1180" s="3" t="s">
        <v>62</v>
      </c>
      <c r="AV1180" s="6" t="str">
        <f>HYPERLINK("http://mcgill.on.worldcat.org/oclc/634738114","Catalog Record")</f>
        <v>Catalog Record</v>
      </c>
      <c r="AW1180" s="6" t="str">
        <f>HYPERLINK("http://www.worldcat.org/oclc/634738114","WorldCat Record")</f>
        <v>WorldCat Record</v>
      </c>
      <c r="AX1180" s="3" t="s">
        <v>11857</v>
      </c>
      <c r="AY1180" s="3" t="s">
        <v>11858</v>
      </c>
      <c r="AZ1180" s="3" t="s">
        <v>11859</v>
      </c>
      <c r="BA1180" s="3" t="s">
        <v>11859</v>
      </c>
      <c r="BB1180" s="3" t="s">
        <v>11860</v>
      </c>
      <c r="BC1180" s="3" t="s">
        <v>102</v>
      </c>
      <c r="BD1180" s="3" t="s">
        <v>68</v>
      </c>
      <c r="BE1180" s="3" t="s">
        <v>11861</v>
      </c>
      <c r="BF1180" s="3" t="s">
        <v>11860</v>
      </c>
      <c r="BG1180" s="3" t="s">
        <v>11862</v>
      </c>
    </row>
    <row r="1181" spans="1:59" ht="58" x14ac:dyDescent="0.35">
      <c r="A1181" s="2" t="s">
        <v>89</v>
      </c>
      <c r="B1181" s="2" t="s">
        <v>90</v>
      </c>
      <c r="C1181" s="2" t="s">
        <v>11863</v>
      </c>
      <c r="D1181" s="2" t="s">
        <v>11864</v>
      </c>
      <c r="E1181" s="2" t="s">
        <v>11865</v>
      </c>
      <c r="G1181" s="3" t="s">
        <v>61</v>
      </c>
      <c r="I1181" s="3" t="s">
        <v>62</v>
      </c>
      <c r="J1181" s="3" t="s">
        <v>62</v>
      </c>
      <c r="K1181" s="3" t="s">
        <v>63</v>
      </c>
      <c r="L1181" s="2" t="s">
        <v>11866</v>
      </c>
      <c r="M1181" s="2" t="s">
        <v>11867</v>
      </c>
      <c r="N1181" s="3" t="s">
        <v>201</v>
      </c>
      <c r="P1181" s="3" t="s">
        <v>64</v>
      </c>
      <c r="Q1181" s="2" t="s">
        <v>11868</v>
      </c>
      <c r="R1181" s="3" t="s">
        <v>65</v>
      </c>
      <c r="S1181" s="4">
        <v>2</v>
      </c>
      <c r="T1181" s="4">
        <v>2</v>
      </c>
      <c r="U1181" s="5" t="s">
        <v>2925</v>
      </c>
      <c r="V1181" s="5" t="s">
        <v>2925</v>
      </c>
      <c r="W1181" s="5" t="s">
        <v>67</v>
      </c>
      <c r="X1181" s="5" t="s">
        <v>67</v>
      </c>
      <c r="Y1181" s="4">
        <v>19</v>
      </c>
      <c r="Z1181" s="4">
        <v>4</v>
      </c>
      <c r="AA1181" s="4">
        <v>5</v>
      </c>
      <c r="AB1181" s="4">
        <v>2</v>
      </c>
      <c r="AC1181" s="4">
        <v>2</v>
      </c>
      <c r="AD1181" s="4">
        <v>14</v>
      </c>
      <c r="AE1181" s="4">
        <v>17</v>
      </c>
      <c r="AF1181" s="4">
        <v>1</v>
      </c>
      <c r="AG1181" s="4">
        <v>1</v>
      </c>
      <c r="AH1181" s="4">
        <v>12</v>
      </c>
      <c r="AI1181" s="4">
        <v>15</v>
      </c>
      <c r="AJ1181" s="4">
        <v>3</v>
      </c>
      <c r="AK1181" s="4">
        <v>4</v>
      </c>
      <c r="AL1181" s="4">
        <v>10</v>
      </c>
      <c r="AM1181" s="4">
        <v>12</v>
      </c>
      <c r="AN1181" s="4">
        <v>0</v>
      </c>
      <c r="AO1181" s="4">
        <v>0</v>
      </c>
      <c r="AP1181" s="4">
        <v>3</v>
      </c>
      <c r="AQ1181" s="4">
        <v>4</v>
      </c>
      <c r="AR1181" s="3" t="s">
        <v>62</v>
      </c>
      <c r="AS1181" s="3" t="s">
        <v>62</v>
      </c>
      <c r="AT1181" s="3" t="s">
        <v>62</v>
      </c>
      <c r="AV1181" s="6" t="str">
        <f>HYPERLINK("http://mcgill.on.worldcat.org/oclc/3343147","Catalog Record")</f>
        <v>Catalog Record</v>
      </c>
      <c r="AW1181" s="6" t="str">
        <f>HYPERLINK("http://www.worldcat.org/oclc/3343147","WorldCat Record")</f>
        <v>WorldCat Record</v>
      </c>
      <c r="AX1181" s="3" t="s">
        <v>11869</v>
      </c>
      <c r="AY1181" s="3" t="s">
        <v>11870</v>
      </c>
      <c r="AZ1181" s="3" t="s">
        <v>11871</v>
      </c>
      <c r="BA1181" s="3" t="s">
        <v>11871</v>
      </c>
      <c r="BB1181" s="3" t="s">
        <v>11872</v>
      </c>
      <c r="BC1181" s="3" t="s">
        <v>102</v>
      </c>
      <c r="BD1181" s="3" t="s">
        <v>68</v>
      </c>
      <c r="BF1181" s="3" t="s">
        <v>11872</v>
      </c>
      <c r="BG1181" s="3" t="s">
        <v>11873</v>
      </c>
    </row>
    <row r="1182" spans="1:59" ht="58" x14ac:dyDescent="0.35">
      <c r="A1182" s="2" t="s">
        <v>89</v>
      </c>
      <c r="B1182" s="2" t="s">
        <v>90</v>
      </c>
      <c r="C1182" s="2" t="s">
        <v>11874</v>
      </c>
      <c r="D1182" s="2" t="s">
        <v>11875</v>
      </c>
      <c r="E1182" s="2" t="s">
        <v>11876</v>
      </c>
      <c r="G1182" s="3" t="s">
        <v>62</v>
      </c>
      <c r="I1182" s="3" t="s">
        <v>62</v>
      </c>
      <c r="J1182" s="3" t="s">
        <v>62</v>
      </c>
      <c r="K1182" s="3" t="s">
        <v>63</v>
      </c>
      <c r="M1182" s="2" t="s">
        <v>11877</v>
      </c>
      <c r="N1182" s="3" t="s">
        <v>95</v>
      </c>
      <c r="P1182" s="3" t="s">
        <v>64</v>
      </c>
      <c r="Q1182" s="2" t="s">
        <v>11878</v>
      </c>
      <c r="R1182" s="3" t="s">
        <v>65</v>
      </c>
      <c r="S1182" s="4">
        <v>14</v>
      </c>
      <c r="T1182" s="4">
        <v>14</v>
      </c>
      <c r="U1182" s="5" t="s">
        <v>1484</v>
      </c>
      <c r="V1182" s="5" t="s">
        <v>1484</v>
      </c>
      <c r="W1182" s="5" t="s">
        <v>67</v>
      </c>
      <c r="X1182" s="5" t="s">
        <v>67</v>
      </c>
      <c r="Y1182" s="4">
        <v>167</v>
      </c>
      <c r="Z1182" s="4">
        <v>12</v>
      </c>
      <c r="AA1182" s="4">
        <v>18</v>
      </c>
      <c r="AB1182" s="4">
        <v>1</v>
      </c>
      <c r="AC1182" s="4">
        <v>6</v>
      </c>
      <c r="AD1182" s="4">
        <v>62</v>
      </c>
      <c r="AE1182" s="4">
        <v>67</v>
      </c>
      <c r="AF1182" s="4">
        <v>0</v>
      </c>
      <c r="AG1182" s="4">
        <v>4</v>
      </c>
      <c r="AH1182" s="4">
        <v>54</v>
      </c>
      <c r="AI1182" s="4">
        <v>56</v>
      </c>
      <c r="AJ1182" s="4">
        <v>10</v>
      </c>
      <c r="AK1182" s="4">
        <v>15</v>
      </c>
      <c r="AL1182" s="4">
        <v>30</v>
      </c>
      <c r="AM1182" s="4">
        <v>30</v>
      </c>
      <c r="AN1182" s="4">
        <v>0</v>
      </c>
      <c r="AO1182" s="4">
        <v>0</v>
      </c>
      <c r="AP1182" s="4">
        <v>10</v>
      </c>
      <c r="AQ1182" s="4">
        <v>14</v>
      </c>
      <c r="AR1182" s="3" t="s">
        <v>62</v>
      </c>
      <c r="AS1182" s="3" t="s">
        <v>62</v>
      </c>
      <c r="AT1182" s="3" t="s">
        <v>61</v>
      </c>
      <c r="AU1182" s="6" t="str">
        <f>HYPERLINK("http://catalog.hathitrust.org/Record/000263356","HathiTrust Record")</f>
        <v>HathiTrust Record</v>
      </c>
      <c r="AV1182" s="6" t="str">
        <f>HYPERLINK("http://mcgill.on.worldcat.org/oclc/6981490","Catalog Record")</f>
        <v>Catalog Record</v>
      </c>
      <c r="AW1182" s="6" t="str">
        <f>HYPERLINK("http://www.worldcat.org/oclc/6981490","WorldCat Record")</f>
        <v>WorldCat Record</v>
      </c>
      <c r="AX1182" s="3" t="s">
        <v>11879</v>
      </c>
      <c r="AY1182" s="3" t="s">
        <v>11880</v>
      </c>
      <c r="AZ1182" s="3" t="s">
        <v>11881</v>
      </c>
      <c r="BA1182" s="3" t="s">
        <v>11881</v>
      </c>
      <c r="BB1182" s="3" t="s">
        <v>11882</v>
      </c>
      <c r="BC1182" s="3" t="s">
        <v>102</v>
      </c>
      <c r="BD1182" s="3" t="s">
        <v>231</v>
      </c>
      <c r="BE1182" s="3" t="s">
        <v>11883</v>
      </c>
      <c r="BF1182" s="3" t="s">
        <v>11882</v>
      </c>
      <c r="BG1182" s="3" t="s">
        <v>11884</v>
      </c>
    </row>
    <row r="1183" spans="1:59" ht="58" x14ac:dyDescent="0.35">
      <c r="A1183" s="2" t="s">
        <v>89</v>
      </c>
      <c r="B1183" s="2" t="s">
        <v>90</v>
      </c>
      <c r="C1183" s="2" t="s">
        <v>11885</v>
      </c>
      <c r="D1183" s="2" t="s">
        <v>11886</v>
      </c>
      <c r="E1183" s="2" t="s">
        <v>11887</v>
      </c>
      <c r="G1183" s="3" t="s">
        <v>62</v>
      </c>
      <c r="I1183" s="3" t="s">
        <v>62</v>
      </c>
      <c r="J1183" s="3" t="s">
        <v>62</v>
      </c>
      <c r="K1183" s="3" t="s">
        <v>63</v>
      </c>
      <c r="L1183" s="2" t="s">
        <v>11888</v>
      </c>
      <c r="M1183" s="2" t="s">
        <v>11889</v>
      </c>
      <c r="N1183" s="3" t="s">
        <v>186</v>
      </c>
      <c r="P1183" s="3" t="s">
        <v>64</v>
      </c>
      <c r="R1183" s="3" t="s">
        <v>65</v>
      </c>
      <c r="S1183" s="4">
        <v>12</v>
      </c>
      <c r="T1183" s="4">
        <v>12</v>
      </c>
      <c r="U1183" s="5" t="s">
        <v>5647</v>
      </c>
      <c r="V1183" s="5" t="s">
        <v>5647</v>
      </c>
      <c r="W1183" s="5" t="s">
        <v>67</v>
      </c>
      <c r="X1183" s="5" t="s">
        <v>67</v>
      </c>
      <c r="Y1183" s="4">
        <v>410</v>
      </c>
      <c r="Z1183" s="4">
        <v>25</v>
      </c>
      <c r="AA1183" s="4">
        <v>27</v>
      </c>
      <c r="AB1183" s="4">
        <v>2</v>
      </c>
      <c r="AC1183" s="4">
        <v>3</v>
      </c>
      <c r="AD1183" s="4">
        <v>94</v>
      </c>
      <c r="AE1183" s="4">
        <v>101</v>
      </c>
      <c r="AF1183" s="4">
        <v>1</v>
      </c>
      <c r="AG1183" s="4">
        <v>2</v>
      </c>
      <c r="AH1183" s="4">
        <v>79</v>
      </c>
      <c r="AI1183" s="4">
        <v>83</v>
      </c>
      <c r="AJ1183" s="4">
        <v>15</v>
      </c>
      <c r="AK1183" s="4">
        <v>16</v>
      </c>
      <c r="AL1183" s="4">
        <v>43</v>
      </c>
      <c r="AM1183" s="4">
        <v>45</v>
      </c>
      <c r="AN1183" s="4">
        <v>0</v>
      </c>
      <c r="AO1183" s="4">
        <v>0</v>
      </c>
      <c r="AP1183" s="4">
        <v>20</v>
      </c>
      <c r="AQ1183" s="4">
        <v>22</v>
      </c>
      <c r="AR1183" s="3" t="s">
        <v>62</v>
      </c>
      <c r="AS1183" s="3" t="s">
        <v>62</v>
      </c>
      <c r="AT1183" s="3" t="s">
        <v>62</v>
      </c>
      <c r="AV1183" s="6" t="str">
        <f>HYPERLINK("http://mcgill.on.worldcat.org/oclc/865940","Catalog Record")</f>
        <v>Catalog Record</v>
      </c>
      <c r="AW1183" s="6" t="str">
        <f>HYPERLINK("http://www.worldcat.org/oclc/865940","WorldCat Record")</f>
        <v>WorldCat Record</v>
      </c>
      <c r="AX1183" s="3" t="s">
        <v>11890</v>
      </c>
      <c r="AY1183" s="3" t="s">
        <v>11891</v>
      </c>
      <c r="AZ1183" s="3" t="s">
        <v>11892</v>
      </c>
      <c r="BA1183" s="3" t="s">
        <v>11892</v>
      </c>
      <c r="BB1183" s="3" t="s">
        <v>11893</v>
      </c>
      <c r="BC1183" s="3" t="s">
        <v>102</v>
      </c>
      <c r="BD1183" s="3" t="s">
        <v>231</v>
      </c>
      <c r="BE1183" s="3" t="s">
        <v>11894</v>
      </c>
      <c r="BF1183" s="3" t="s">
        <v>11893</v>
      </c>
      <c r="BG1183" s="3" t="s">
        <v>11895</v>
      </c>
    </row>
    <row r="1184" spans="1:59" ht="58" x14ac:dyDescent="0.35">
      <c r="A1184" s="2" t="s">
        <v>89</v>
      </c>
      <c r="B1184" s="2" t="s">
        <v>90</v>
      </c>
      <c r="C1184" s="2" t="s">
        <v>11896</v>
      </c>
      <c r="D1184" s="2" t="s">
        <v>11897</v>
      </c>
      <c r="E1184" s="2" t="s">
        <v>11898</v>
      </c>
      <c r="G1184" s="3" t="s">
        <v>62</v>
      </c>
      <c r="I1184" s="3" t="s">
        <v>61</v>
      </c>
      <c r="J1184" s="3" t="s">
        <v>61</v>
      </c>
      <c r="K1184" s="3" t="s">
        <v>63</v>
      </c>
      <c r="L1184" s="2" t="s">
        <v>11899</v>
      </c>
      <c r="M1184" s="2" t="s">
        <v>11900</v>
      </c>
      <c r="N1184" s="3" t="s">
        <v>81</v>
      </c>
      <c r="O1184" s="2" t="s">
        <v>6158</v>
      </c>
      <c r="P1184" s="3" t="s">
        <v>64</v>
      </c>
      <c r="R1184" s="3" t="s">
        <v>65</v>
      </c>
      <c r="S1184" s="4">
        <v>12</v>
      </c>
      <c r="T1184" s="4">
        <v>22</v>
      </c>
      <c r="U1184" s="5" t="s">
        <v>11901</v>
      </c>
      <c r="V1184" s="5" t="s">
        <v>11901</v>
      </c>
      <c r="W1184" s="5" t="s">
        <v>67</v>
      </c>
      <c r="X1184" s="5" t="s">
        <v>67</v>
      </c>
      <c r="Y1184" s="4">
        <v>32</v>
      </c>
      <c r="Z1184" s="4">
        <v>7</v>
      </c>
      <c r="AA1184" s="4">
        <v>80</v>
      </c>
      <c r="AB1184" s="4">
        <v>1</v>
      </c>
      <c r="AC1184" s="4">
        <v>13</v>
      </c>
      <c r="AD1184" s="4">
        <v>7</v>
      </c>
      <c r="AE1184" s="4">
        <v>157</v>
      </c>
      <c r="AF1184" s="4">
        <v>0</v>
      </c>
      <c r="AG1184" s="4">
        <v>6</v>
      </c>
      <c r="AH1184" s="4">
        <v>5</v>
      </c>
      <c r="AI1184" s="4">
        <v>114</v>
      </c>
      <c r="AJ1184" s="4">
        <v>1</v>
      </c>
      <c r="AK1184" s="4">
        <v>29</v>
      </c>
      <c r="AL1184" s="4">
        <v>3</v>
      </c>
      <c r="AM1184" s="4">
        <v>61</v>
      </c>
      <c r="AN1184" s="4">
        <v>0</v>
      </c>
      <c r="AO1184" s="4">
        <v>0</v>
      </c>
      <c r="AP1184" s="4">
        <v>3</v>
      </c>
      <c r="AQ1184" s="4">
        <v>48</v>
      </c>
      <c r="AR1184" s="3" t="s">
        <v>62</v>
      </c>
      <c r="AS1184" s="3" t="s">
        <v>62</v>
      </c>
      <c r="AT1184" s="3" t="s">
        <v>61</v>
      </c>
      <c r="AU1184" s="6" t="str">
        <f>HYPERLINK("http://catalog.hathitrust.org/Record/001475114","HathiTrust Record")</f>
        <v>HathiTrust Record</v>
      </c>
      <c r="AV1184" s="6" t="str">
        <f>HYPERLINK("http://mcgill.on.worldcat.org/oclc/222860852","Catalog Record")</f>
        <v>Catalog Record</v>
      </c>
      <c r="AW1184" s="6" t="str">
        <f>HYPERLINK("http://www.worldcat.org/oclc/222860852","WorldCat Record")</f>
        <v>WorldCat Record</v>
      </c>
      <c r="AX1184" s="3" t="s">
        <v>11902</v>
      </c>
      <c r="AY1184" s="3" t="s">
        <v>11903</v>
      </c>
      <c r="AZ1184" s="3" t="s">
        <v>11904</v>
      </c>
      <c r="BA1184" s="3" t="s">
        <v>11904</v>
      </c>
      <c r="BB1184" s="3" t="s">
        <v>11905</v>
      </c>
      <c r="BC1184" s="3" t="s">
        <v>102</v>
      </c>
      <c r="BD1184" s="3" t="s">
        <v>68</v>
      </c>
      <c r="BE1184" s="3" t="s">
        <v>11906</v>
      </c>
      <c r="BF1184" s="3" t="s">
        <v>11905</v>
      </c>
      <c r="BG1184" s="3" t="s">
        <v>11907</v>
      </c>
    </row>
    <row r="1185" spans="1:59" ht="58" x14ac:dyDescent="0.35">
      <c r="A1185" s="2" t="s">
        <v>89</v>
      </c>
      <c r="B1185" s="2" t="s">
        <v>90</v>
      </c>
      <c r="C1185" s="2" t="s">
        <v>11908</v>
      </c>
      <c r="D1185" s="2" t="s">
        <v>11909</v>
      </c>
      <c r="E1185" s="2" t="s">
        <v>11910</v>
      </c>
      <c r="G1185" s="3" t="s">
        <v>62</v>
      </c>
      <c r="I1185" s="3" t="s">
        <v>61</v>
      </c>
      <c r="J1185" s="3" t="s">
        <v>61</v>
      </c>
      <c r="K1185" s="3" t="s">
        <v>63</v>
      </c>
      <c r="L1185" s="2" t="s">
        <v>11911</v>
      </c>
      <c r="M1185" s="2" t="s">
        <v>11912</v>
      </c>
      <c r="N1185" s="3" t="s">
        <v>2566</v>
      </c>
      <c r="O1185" s="2" t="s">
        <v>6158</v>
      </c>
      <c r="P1185" s="3" t="s">
        <v>64</v>
      </c>
      <c r="Q1185" s="2" t="s">
        <v>11913</v>
      </c>
      <c r="R1185" s="3" t="s">
        <v>65</v>
      </c>
      <c r="S1185" s="4">
        <v>9</v>
      </c>
      <c r="T1185" s="4">
        <v>52</v>
      </c>
      <c r="U1185" s="5" t="s">
        <v>11914</v>
      </c>
      <c r="V1185" s="5" t="s">
        <v>11914</v>
      </c>
      <c r="W1185" s="5" t="s">
        <v>67</v>
      </c>
      <c r="X1185" s="5" t="s">
        <v>67</v>
      </c>
      <c r="Y1185" s="4">
        <v>202</v>
      </c>
      <c r="Z1185" s="4">
        <v>15</v>
      </c>
      <c r="AA1185" s="4">
        <v>80</v>
      </c>
      <c r="AB1185" s="4">
        <v>1</v>
      </c>
      <c r="AC1185" s="4">
        <v>13</v>
      </c>
      <c r="AD1185" s="4">
        <v>51</v>
      </c>
      <c r="AE1185" s="4">
        <v>157</v>
      </c>
      <c r="AF1185" s="4">
        <v>0</v>
      </c>
      <c r="AG1185" s="4">
        <v>6</v>
      </c>
      <c r="AH1185" s="4">
        <v>45</v>
      </c>
      <c r="AI1185" s="4">
        <v>114</v>
      </c>
      <c r="AJ1185" s="4">
        <v>8</v>
      </c>
      <c r="AK1185" s="4">
        <v>29</v>
      </c>
      <c r="AL1185" s="4">
        <v>26</v>
      </c>
      <c r="AM1185" s="4">
        <v>61</v>
      </c>
      <c r="AN1185" s="4">
        <v>0</v>
      </c>
      <c r="AO1185" s="4">
        <v>0</v>
      </c>
      <c r="AP1185" s="4">
        <v>11</v>
      </c>
      <c r="AQ1185" s="4">
        <v>48</v>
      </c>
      <c r="AR1185" s="3" t="s">
        <v>62</v>
      </c>
      <c r="AS1185" s="3" t="s">
        <v>62</v>
      </c>
      <c r="AT1185" s="3" t="s">
        <v>61</v>
      </c>
      <c r="AU1185" s="6" t="str">
        <f>HYPERLINK("http://catalog.hathitrust.org/Record/000016400","HathiTrust Record")</f>
        <v>HathiTrust Record</v>
      </c>
      <c r="AV1185" s="6" t="str">
        <f>HYPERLINK("http://mcgill.on.worldcat.org/oclc/4442775","Catalog Record")</f>
        <v>Catalog Record</v>
      </c>
      <c r="AW1185" s="6" t="str">
        <f>HYPERLINK("http://www.worldcat.org/oclc/4442775","WorldCat Record")</f>
        <v>WorldCat Record</v>
      </c>
      <c r="AX1185" s="3" t="s">
        <v>11902</v>
      </c>
      <c r="AY1185" s="3" t="s">
        <v>11915</v>
      </c>
      <c r="AZ1185" s="3" t="s">
        <v>11916</v>
      </c>
      <c r="BA1185" s="3" t="s">
        <v>11916</v>
      </c>
      <c r="BB1185" s="3" t="s">
        <v>11917</v>
      </c>
      <c r="BC1185" s="3" t="s">
        <v>102</v>
      </c>
      <c r="BD1185" s="3" t="s">
        <v>68</v>
      </c>
      <c r="BE1185" s="3" t="s">
        <v>11918</v>
      </c>
      <c r="BF1185" s="3" t="s">
        <v>11917</v>
      </c>
      <c r="BG1185" s="3" t="s">
        <v>11919</v>
      </c>
    </row>
    <row r="1186" spans="1:59" ht="58" x14ac:dyDescent="0.35">
      <c r="A1186" s="2" t="s">
        <v>89</v>
      </c>
      <c r="B1186" s="2" t="s">
        <v>90</v>
      </c>
      <c r="C1186" s="2" t="s">
        <v>11908</v>
      </c>
      <c r="D1186" s="2" t="s">
        <v>11909</v>
      </c>
      <c r="E1186" s="2" t="s">
        <v>11910</v>
      </c>
      <c r="G1186" s="3" t="s">
        <v>62</v>
      </c>
      <c r="I1186" s="3" t="s">
        <v>61</v>
      </c>
      <c r="J1186" s="3" t="s">
        <v>61</v>
      </c>
      <c r="K1186" s="3" t="s">
        <v>63</v>
      </c>
      <c r="L1186" s="2" t="s">
        <v>11911</v>
      </c>
      <c r="M1186" s="2" t="s">
        <v>11912</v>
      </c>
      <c r="N1186" s="3" t="s">
        <v>2566</v>
      </c>
      <c r="O1186" s="2" t="s">
        <v>6158</v>
      </c>
      <c r="P1186" s="3" t="s">
        <v>64</v>
      </c>
      <c r="Q1186" s="2" t="s">
        <v>11913</v>
      </c>
      <c r="R1186" s="3" t="s">
        <v>65</v>
      </c>
      <c r="S1186" s="4">
        <v>40</v>
      </c>
      <c r="T1186" s="4">
        <v>52</v>
      </c>
      <c r="U1186" s="5" t="s">
        <v>11920</v>
      </c>
      <c r="V1186" s="5" t="s">
        <v>11914</v>
      </c>
      <c r="W1186" s="5" t="s">
        <v>67</v>
      </c>
      <c r="X1186" s="5" t="s">
        <v>67</v>
      </c>
      <c r="Y1186" s="4">
        <v>202</v>
      </c>
      <c r="Z1186" s="4">
        <v>15</v>
      </c>
      <c r="AA1186" s="4">
        <v>80</v>
      </c>
      <c r="AB1186" s="4">
        <v>1</v>
      </c>
      <c r="AC1186" s="4">
        <v>13</v>
      </c>
      <c r="AD1186" s="4">
        <v>51</v>
      </c>
      <c r="AE1186" s="4">
        <v>157</v>
      </c>
      <c r="AF1186" s="4">
        <v>0</v>
      </c>
      <c r="AG1186" s="4">
        <v>6</v>
      </c>
      <c r="AH1186" s="4">
        <v>45</v>
      </c>
      <c r="AI1186" s="4">
        <v>114</v>
      </c>
      <c r="AJ1186" s="4">
        <v>8</v>
      </c>
      <c r="AK1186" s="4">
        <v>29</v>
      </c>
      <c r="AL1186" s="4">
        <v>26</v>
      </c>
      <c r="AM1186" s="4">
        <v>61</v>
      </c>
      <c r="AN1186" s="4">
        <v>0</v>
      </c>
      <c r="AO1186" s="4">
        <v>0</v>
      </c>
      <c r="AP1186" s="4">
        <v>11</v>
      </c>
      <c r="AQ1186" s="4">
        <v>48</v>
      </c>
      <c r="AR1186" s="3" t="s">
        <v>62</v>
      </c>
      <c r="AS1186" s="3" t="s">
        <v>62</v>
      </c>
      <c r="AT1186" s="3" t="s">
        <v>61</v>
      </c>
      <c r="AU1186" s="6" t="str">
        <f>HYPERLINK("http://catalog.hathitrust.org/Record/000016400","HathiTrust Record")</f>
        <v>HathiTrust Record</v>
      </c>
      <c r="AV1186" s="6" t="str">
        <f>HYPERLINK("http://mcgill.on.worldcat.org/oclc/4442775","Catalog Record")</f>
        <v>Catalog Record</v>
      </c>
      <c r="AW1186" s="6" t="str">
        <f>HYPERLINK("http://www.worldcat.org/oclc/4442775","WorldCat Record")</f>
        <v>WorldCat Record</v>
      </c>
      <c r="AX1186" s="3" t="s">
        <v>11902</v>
      </c>
      <c r="AY1186" s="3" t="s">
        <v>11915</v>
      </c>
      <c r="AZ1186" s="3" t="s">
        <v>11916</v>
      </c>
      <c r="BA1186" s="3" t="s">
        <v>11916</v>
      </c>
      <c r="BB1186" s="3" t="s">
        <v>11921</v>
      </c>
      <c r="BC1186" s="3" t="s">
        <v>102</v>
      </c>
      <c r="BD1186" s="3" t="s">
        <v>231</v>
      </c>
      <c r="BE1186" s="3" t="s">
        <v>11918</v>
      </c>
      <c r="BF1186" s="3" t="s">
        <v>11921</v>
      </c>
      <c r="BG1186" s="3" t="s">
        <v>11922</v>
      </c>
    </row>
    <row r="1187" spans="1:59" ht="72.5" x14ac:dyDescent="0.35">
      <c r="A1187" s="2" t="s">
        <v>89</v>
      </c>
      <c r="B1187" s="2" t="s">
        <v>90</v>
      </c>
      <c r="C1187" s="2" t="s">
        <v>11923</v>
      </c>
      <c r="D1187" s="2" t="s">
        <v>11924</v>
      </c>
      <c r="E1187" s="2" t="s">
        <v>11925</v>
      </c>
      <c r="G1187" s="3" t="s">
        <v>62</v>
      </c>
      <c r="I1187" s="3" t="s">
        <v>62</v>
      </c>
      <c r="J1187" s="3" t="s">
        <v>62</v>
      </c>
      <c r="K1187" s="3" t="s">
        <v>63</v>
      </c>
      <c r="L1187" s="2" t="s">
        <v>11926</v>
      </c>
      <c r="M1187" s="2" t="s">
        <v>11927</v>
      </c>
      <c r="N1187" s="3" t="s">
        <v>2588</v>
      </c>
      <c r="P1187" s="3" t="s">
        <v>64</v>
      </c>
      <c r="R1187" s="3" t="s">
        <v>65</v>
      </c>
      <c r="S1187" s="4">
        <v>15</v>
      </c>
      <c r="T1187" s="4">
        <v>15</v>
      </c>
      <c r="U1187" s="5" t="s">
        <v>11901</v>
      </c>
      <c r="V1187" s="5" t="s">
        <v>11901</v>
      </c>
      <c r="W1187" s="5" t="s">
        <v>67</v>
      </c>
      <c r="X1187" s="5" t="s">
        <v>67</v>
      </c>
      <c r="Y1187" s="4">
        <v>152</v>
      </c>
      <c r="Z1187" s="4">
        <v>15</v>
      </c>
      <c r="AA1187" s="4">
        <v>18</v>
      </c>
      <c r="AB1187" s="4">
        <v>1</v>
      </c>
      <c r="AC1187" s="4">
        <v>3</v>
      </c>
      <c r="AD1187" s="4">
        <v>59</v>
      </c>
      <c r="AE1187" s="4">
        <v>60</v>
      </c>
      <c r="AF1187" s="4">
        <v>0</v>
      </c>
      <c r="AG1187" s="4">
        <v>1</v>
      </c>
      <c r="AH1187" s="4">
        <v>49</v>
      </c>
      <c r="AI1187" s="4">
        <v>49</v>
      </c>
      <c r="AJ1187" s="4">
        <v>11</v>
      </c>
      <c r="AK1187" s="4">
        <v>12</v>
      </c>
      <c r="AL1187" s="4">
        <v>32</v>
      </c>
      <c r="AM1187" s="4">
        <v>32</v>
      </c>
      <c r="AN1187" s="4">
        <v>0</v>
      </c>
      <c r="AO1187" s="4">
        <v>0</v>
      </c>
      <c r="AP1187" s="4">
        <v>12</v>
      </c>
      <c r="AQ1187" s="4">
        <v>13</v>
      </c>
      <c r="AR1187" s="3" t="s">
        <v>62</v>
      </c>
      <c r="AS1187" s="3" t="s">
        <v>62</v>
      </c>
      <c r="AT1187" s="3" t="s">
        <v>62</v>
      </c>
      <c r="AV1187" s="6" t="str">
        <f>HYPERLINK("http://mcgill.on.worldcat.org/oclc/3649761","Catalog Record")</f>
        <v>Catalog Record</v>
      </c>
      <c r="AW1187" s="6" t="str">
        <f>HYPERLINK("http://www.worldcat.org/oclc/3649761","WorldCat Record")</f>
        <v>WorldCat Record</v>
      </c>
      <c r="AX1187" s="3" t="s">
        <v>11928</v>
      </c>
      <c r="AY1187" s="3" t="s">
        <v>11929</v>
      </c>
      <c r="AZ1187" s="3" t="s">
        <v>11930</v>
      </c>
      <c r="BA1187" s="3" t="s">
        <v>11930</v>
      </c>
      <c r="BB1187" s="3" t="s">
        <v>11931</v>
      </c>
      <c r="BC1187" s="3" t="s">
        <v>102</v>
      </c>
      <c r="BD1187" s="3" t="s">
        <v>68</v>
      </c>
      <c r="BF1187" s="3" t="s">
        <v>11931</v>
      </c>
      <c r="BG1187" s="3" t="s">
        <v>11932</v>
      </c>
    </row>
    <row r="1188" spans="1:59" ht="58" x14ac:dyDescent="0.35">
      <c r="A1188" s="2" t="s">
        <v>89</v>
      </c>
      <c r="B1188" s="2" t="s">
        <v>90</v>
      </c>
      <c r="C1188" s="2" t="s">
        <v>11933</v>
      </c>
      <c r="D1188" s="2" t="s">
        <v>11934</v>
      </c>
      <c r="E1188" s="2" t="s">
        <v>11935</v>
      </c>
      <c r="G1188" s="3" t="s">
        <v>62</v>
      </c>
      <c r="I1188" s="3" t="s">
        <v>62</v>
      </c>
      <c r="J1188" s="3" t="s">
        <v>62</v>
      </c>
      <c r="K1188" s="3" t="s">
        <v>63</v>
      </c>
      <c r="L1188" s="2" t="s">
        <v>11936</v>
      </c>
      <c r="M1188" s="2" t="s">
        <v>11937</v>
      </c>
      <c r="N1188" s="3" t="s">
        <v>285</v>
      </c>
      <c r="O1188" s="2" t="s">
        <v>2986</v>
      </c>
      <c r="P1188" s="3" t="s">
        <v>64</v>
      </c>
      <c r="Q1188" s="2" t="s">
        <v>11938</v>
      </c>
      <c r="R1188" s="3" t="s">
        <v>65</v>
      </c>
      <c r="S1188" s="4">
        <v>9</v>
      </c>
      <c r="T1188" s="4">
        <v>9</v>
      </c>
      <c r="U1188" s="5" t="s">
        <v>7732</v>
      </c>
      <c r="V1188" s="5" t="s">
        <v>7732</v>
      </c>
      <c r="W1188" s="5" t="s">
        <v>67</v>
      </c>
      <c r="X1188" s="5" t="s">
        <v>67</v>
      </c>
      <c r="Y1188" s="4">
        <v>11</v>
      </c>
      <c r="Z1188" s="4">
        <v>6</v>
      </c>
      <c r="AA1188" s="4">
        <v>10</v>
      </c>
      <c r="AB1188" s="4">
        <v>1</v>
      </c>
      <c r="AC1188" s="4">
        <v>1</v>
      </c>
      <c r="AD1188" s="4">
        <v>7</v>
      </c>
      <c r="AE1188" s="4">
        <v>18</v>
      </c>
      <c r="AF1188" s="4">
        <v>0</v>
      </c>
      <c r="AG1188" s="4">
        <v>0</v>
      </c>
      <c r="AH1188" s="4">
        <v>6</v>
      </c>
      <c r="AI1188" s="4">
        <v>16</v>
      </c>
      <c r="AJ1188" s="4">
        <v>3</v>
      </c>
      <c r="AK1188" s="4">
        <v>7</v>
      </c>
      <c r="AL1188" s="4">
        <v>3</v>
      </c>
      <c r="AM1188" s="4">
        <v>7</v>
      </c>
      <c r="AN1188" s="4">
        <v>0</v>
      </c>
      <c r="AO1188" s="4">
        <v>4</v>
      </c>
      <c r="AP1188" s="4">
        <v>4</v>
      </c>
      <c r="AQ1188" s="4">
        <v>8</v>
      </c>
      <c r="AR1188" s="3" t="s">
        <v>62</v>
      </c>
      <c r="AS1188" s="3" t="s">
        <v>62</v>
      </c>
      <c r="AT1188" s="3" t="s">
        <v>62</v>
      </c>
      <c r="AV1188" s="6" t="str">
        <f>HYPERLINK("http://mcgill.on.worldcat.org/oclc/16105246","Catalog Record")</f>
        <v>Catalog Record</v>
      </c>
      <c r="AW1188" s="6" t="str">
        <f>HYPERLINK("http://www.worldcat.org/oclc/16105246","WorldCat Record")</f>
        <v>WorldCat Record</v>
      </c>
      <c r="AX1188" s="3" t="s">
        <v>11939</v>
      </c>
      <c r="AY1188" s="3" t="s">
        <v>11940</v>
      </c>
      <c r="AZ1188" s="3" t="s">
        <v>11941</v>
      </c>
      <c r="BA1188" s="3" t="s">
        <v>11941</v>
      </c>
      <c r="BB1188" s="3" t="s">
        <v>11942</v>
      </c>
      <c r="BC1188" s="3" t="s">
        <v>102</v>
      </c>
      <c r="BD1188" s="3" t="s">
        <v>68</v>
      </c>
      <c r="BE1188" s="3" t="s">
        <v>11943</v>
      </c>
      <c r="BF1188" s="3" t="s">
        <v>11942</v>
      </c>
      <c r="BG1188" s="3" t="s">
        <v>11944</v>
      </c>
    </row>
    <row r="1189" spans="1:59" ht="58" x14ac:dyDescent="0.35">
      <c r="A1189" s="2" t="s">
        <v>89</v>
      </c>
      <c r="B1189" s="2" t="s">
        <v>90</v>
      </c>
      <c r="C1189" s="2" t="s">
        <v>11945</v>
      </c>
      <c r="D1189" s="2" t="s">
        <v>11946</v>
      </c>
      <c r="E1189" s="2" t="s">
        <v>11947</v>
      </c>
      <c r="G1189" s="3" t="s">
        <v>62</v>
      </c>
      <c r="I1189" s="3" t="s">
        <v>61</v>
      </c>
      <c r="J1189" s="3" t="s">
        <v>62</v>
      </c>
      <c r="K1189" s="3" t="s">
        <v>63</v>
      </c>
      <c r="L1189" s="2" t="s">
        <v>11948</v>
      </c>
      <c r="M1189" s="2" t="s">
        <v>11949</v>
      </c>
      <c r="N1189" s="3" t="s">
        <v>95</v>
      </c>
      <c r="P1189" s="3" t="s">
        <v>64</v>
      </c>
      <c r="Q1189" s="2" t="s">
        <v>11950</v>
      </c>
      <c r="R1189" s="3" t="s">
        <v>65</v>
      </c>
      <c r="S1189" s="4">
        <v>11</v>
      </c>
      <c r="T1189" s="4">
        <v>21</v>
      </c>
      <c r="U1189" s="5" t="s">
        <v>1293</v>
      </c>
      <c r="V1189" s="5" t="s">
        <v>1293</v>
      </c>
      <c r="W1189" s="5" t="s">
        <v>67</v>
      </c>
      <c r="X1189" s="5" t="s">
        <v>67</v>
      </c>
      <c r="Y1189" s="4">
        <v>220</v>
      </c>
      <c r="Z1189" s="4">
        <v>18</v>
      </c>
      <c r="AA1189" s="4">
        <v>22</v>
      </c>
      <c r="AB1189" s="4">
        <v>3</v>
      </c>
      <c r="AC1189" s="4">
        <v>4</v>
      </c>
      <c r="AD1189" s="4">
        <v>67</v>
      </c>
      <c r="AE1189" s="4">
        <v>72</v>
      </c>
      <c r="AF1189" s="4">
        <v>1</v>
      </c>
      <c r="AG1189" s="4">
        <v>2</v>
      </c>
      <c r="AH1189" s="4">
        <v>57</v>
      </c>
      <c r="AI1189" s="4">
        <v>60</v>
      </c>
      <c r="AJ1189" s="4">
        <v>13</v>
      </c>
      <c r="AK1189" s="4">
        <v>16</v>
      </c>
      <c r="AL1189" s="4">
        <v>35</v>
      </c>
      <c r="AM1189" s="4">
        <v>35</v>
      </c>
      <c r="AN1189" s="4">
        <v>0</v>
      </c>
      <c r="AO1189" s="4">
        <v>0</v>
      </c>
      <c r="AP1189" s="4">
        <v>14</v>
      </c>
      <c r="AQ1189" s="4">
        <v>17</v>
      </c>
      <c r="AR1189" s="3" t="s">
        <v>62</v>
      </c>
      <c r="AS1189" s="3" t="s">
        <v>62</v>
      </c>
      <c r="AT1189" s="3" t="s">
        <v>61</v>
      </c>
      <c r="AU1189" s="6" t="str">
        <f>HYPERLINK("http://catalog.hathitrust.org/Record/009239433","HathiTrust Record")</f>
        <v>HathiTrust Record</v>
      </c>
      <c r="AV1189" s="6" t="str">
        <f>HYPERLINK("http://mcgill.on.worldcat.org/oclc/6649905","Catalog Record")</f>
        <v>Catalog Record</v>
      </c>
      <c r="AW1189" s="6" t="str">
        <f>HYPERLINK("http://www.worldcat.org/oclc/6649905","WorldCat Record")</f>
        <v>WorldCat Record</v>
      </c>
      <c r="AX1189" s="3" t="s">
        <v>11951</v>
      </c>
      <c r="AY1189" s="3" t="s">
        <v>11952</v>
      </c>
      <c r="AZ1189" s="3" t="s">
        <v>11953</v>
      </c>
      <c r="BA1189" s="3" t="s">
        <v>11953</v>
      </c>
      <c r="BB1189" s="3" t="s">
        <v>11954</v>
      </c>
      <c r="BC1189" s="3" t="s">
        <v>102</v>
      </c>
      <c r="BD1189" s="3" t="s">
        <v>231</v>
      </c>
      <c r="BE1189" s="3" t="s">
        <v>11955</v>
      </c>
      <c r="BF1189" s="3" t="s">
        <v>11954</v>
      </c>
      <c r="BG1189" s="3" t="s">
        <v>11956</v>
      </c>
    </row>
    <row r="1190" spans="1:59" ht="58" x14ac:dyDescent="0.35">
      <c r="A1190" s="2" t="s">
        <v>89</v>
      </c>
      <c r="B1190" s="2" t="s">
        <v>90</v>
      </c>
      <c r="C1190" s="2" t="s">
        <v>11957</v>
      </c>
      <c r="D1190" s="2" t="s">
        <v>11958</v>
      </c>
      <c r="E1190" s="2" t="s">
        <v>11959</v>
      </c>
      <c r="G1190" s="3" t="s">
        <v>62</v>
      </c>
      <c r="I1190" s="3" t="s">
        <v>62</v>
      </c>
      <c r="J1190" s="3" t="s">
        <v>62</v>
      </c>
      <c r="K1190" s="3" t="s">
        <v>63</v>
      </c>
      <c r="M1190" s="2" t="s">
        <v>11960</v>
      </c>
      <c r="N1190" s="3" t="s">
        <v>396</v>
      </c>
      <c r="P1190" s="3" t="s">
        <v>64</v>
      </c>
      <c r="Q1190" s="2" t="s">
        <v>11961</v>
      </c>
      <c r="R1190" s="3" t="s">
        <v>65</v>
      </c>
      <c r="S1190" s="4">
        <v>4</v>
      </c>
      <c r="T1190" s="4">
        <v>4</v>
      </c>
      <c r="U1190" s="5" t="s">
        <v>1484</v>
      </c>
      <c r="V1190" s="5" t="s">
        <v>1484</v>
      </c>
      <c r="W1190" s="5" t="s">
        <v>67</v>
      </c>
      <c r="X1190" s="5" t="s">
        <v>67</v>
      </c>
      <c r="Y1190" s="4">
        <v>25</v>
      </c>
      <c r="Z1190" s="4">
        <v>24</v>
      </c>
      <c r="AA1190" s="4">
        <v>33</v>
      </c>
      <c r="AB1190" s="4">
        <v>1</v>
      </c>
      <c r="AC1190" s="4">
        <v>2</v>
      </c>
      <c r="AD1190" s="4">
        <v>23</v>
      </c>
      <c r="AE1190" s="4">
        <v>33</v>
      </c>
      <c r="AF1190" s="4">
        <v>0</v>
      </c>
      <c r="AG1190" s="4">
        <v>1</v>
      </c>
      <c r="AH1190" s="4">
        <v>6</v>
      </c>
      <c r="AI1190" s="4">
        <v>12</v>
      </c>
      <c r="AJ1190" s="4">
        <v>11</v>
      </c>
      <c r="AK1190" s="4">
        <v>18</v>
      </c>
      <c r="AL1190" s="4">
        <v>2</v>
      </c>
      <c r="AM1190" s="4">
        <v>3</v>
      </c>
      <c r="AN1190" s="4">
        <v>0</v>
      </c>
      <c r="AO1190" s="4">
        <v>0</v>
      </c>
      <c r="AP1190" s="4">
        <v>22</v>
      </c>
      <c r="AQ1190" s="4">
        <v>30</v>
      </c>
      <c r="AR1190" s="3" t="s">
        <v>61</v>
      </c>
      <c r="AS1190" s="3" t="s">
        <v>62</v>
      </c>
      <c r="AT1190" s="3" t="s">
        <v>62</v>
      </c>
      <c r="AV1190" s="6" t="str">
        <f>HYPERLINK("http://mcgill.on.worldcat.org/oclc/29201498","Catalog Record")</f>
        <v>Catalog Record</v>
      </c>
      <c r="AW1190" s="6" t="str">
        <f>HYPERLINK("http://www.worldcat.org/oclc/29201498","WorldCat Record")</f>
        <v>WorldCat Record</v>
      </c>
      <c r="AX1190" s="3" t="s">
        <v>11962</v>
      </c>
      <c r="AY1190" s="3" t="s">
        <v>11963</v>
      </c>
      <c r="AZ1190" s="3" t="s">
        <v>11964</v>
      </c>
      <c r="BA1190" s="3" t="s">
        <v>11964</v>
      </c>
      <c r="BB1190" s="3" t="s">
        <v>11965</v>
      </c>
      <c r="BC1190" s="3" t="s">
        <v>102</v>
      </c>
      <c r="BD1190" s="3" t="s">
        <v>68</v>
      </c>
      <c r="BF1190" s="3" t="s">
        <v>11965</v>
      </c>
      <c r="BG1190" s="3" t="s">
        <v>11966</v>
      </c>
    </row>
    <row r="1191" spans="1:59" ht="58" x14ac:dyDescent="0.35">
      <c r="A1191" s="2" t="s">
        <v>89</v>
      </c>
      <c r="B1191" s="2" t="s">
        <v>90</v>
      </c>
      <c r="C1191" s="2" t="s">
        <v>11967</v>
      </c>
      <c r="D1191" s="2" t="s">
        <v>11968</v>
      </c>
      <c r="E1191" s="2" t="s">
        <v>11969</v>
      </c>
      <c r="G1191" s="3" t="s">
        <v>62</v>
      </c>
      <c r="I1191" s="3" t="s">
        <v>62</v>
      </c>
      <c r="J1191" s="3" t="s">
        <v>62</v>
      </c>
      <c r="K1191" s="3" t="s">
        <v>63</v>
      </c>
      <c r="M1191" s="2" t="s">
        <v>11970</v>
      </c>
      <c r="N1191" s="3" t="s">
        <v>852</v>
      </c>
      <c r="P1191" s="3" t="s">
        <v>64</v>
      </c>
      <c r="Q1191" s="2" t="s">
        <v>11971</v>
      </c>
      <c r="R1191" s="3" t="s">
        <v>65</v>
      </c>
      <c r="S1191" s="4">
        <v>12</v>
      </c>
      <c r="T1191" s="4">
        <v>12</v>
      </c>
      <c r="U1191" s="5" t="s">
        <v>11901</v>
      </c>
      <c r="V1191" s="5" t="s">
        <v>11901</v>
      </c>
      <c r="W1191" s="5" t="s">
        <v>67</v>
      </c>
      <c r="X1191" s="5" t="s">
        <v>67</v>
      </c>
      <c r="Y1191" s="4">
        <v>523</v>
      </c>
      <c r="Z1191" s="4">
        <v>33</v>
      </c>
      <c r="AA1191" s="4">
        <v>49</v>
      </c>
      <c r="AB1191" s="4">
        <v>2</v>
      </c>
      <c r="AC1191" s="4">
        <v>11</v>
      </c>
      <c r="AD1191" s="4">
        <v>102</v>
      </c>
      <c r="AE1191" s="4">
        <v>117</v>
      </c>
      <c r="AF1191" s="4">
        <v>1</v>
      </c>
      <c r="AG1191" s="4">
        <v>9</v>
      </c>
      <c r="AH1191" s="4">
        <v>82</v>
      </c>
      <c r="AI1191" s="4">
        <v>86</v>
      </c>
      <c r="AJ1191" s="4">
        <v>19</v>
      </c>
      <c r="AK1191" s="4">
        <v>24</v>
      </c>
      <c r="AL1191" s="4">
        <v>44</v>
      </c>
      <c r="AM1191" s="4">
        <v>45</v>
      </c>
      <c r="AN1191" s="4">
        <v>0</v>
      </c>
      <c r="AO1191" s="4">
        <v>0</v>
      </c>
      <c r="AP1191" s="4">
        <v>26</v>
      </c>
      <c r="AQ1191" s="4">
        <v>37</v>
      </c>
      <c r="AR1191" s="3" t="s">
        <v>62</v>
      </c>
      <c r="AS1191" s="3" t="s">
        <v>62</v>
      </c>
      <c r="AT1191" s="3" t="s">
        <v>61</v>
      </c>
      <c r="AU1191" s="6" t="str">
        <f>HYPERLINK("http://catalog.hathitrust.org/Record/000103408","HathiTrust Record")</f>
        <v>HathiTrust Record</v>
      </c>
      <c r="AV1191" s="6" t="str">
        <f>HYPERLINK("http://mcgill.on.worldcat.org/oclc/66172","Catalog Record")</f>
        <v>Catalog Record</v>
      </c>
      <c r="AW1191" s="6" t="str">
        <f>HYPERLINK("http://www.worldcat.org/oclc/66172","WorldCat Record")</f>
        <v>WorldCat Record</v>
      </c>
      <c r="AX1191" s="3" t="s">
        <v>11972</v>
      </c>
      <c r="AY1191" s="3" t="s">
        <v>11973</v>
      </c>
      <c r="AZ1191" s="3" t="s">
        <v>11974</v>
      </c>
      <c r="BA1191" s="3" t="s">
        <v>11974</v>
      </c>
      <c r="BB1191" s="3" t="s">
        <v>11975</v>
      </c>
      <c r="BC1191" s="3" t="s">
        <v>102</v>
      </c>
      <c r="BD1191" s="3" t="s">
        <v>68</v>
      </c>
      <c r="BE1191" s="3" t="s">
        <v>11976</v>
      </c>
      <c r="BF1191" s="3" t="s">
        <v>11975</v>
      </c>
      <c r="BG1191" s="3" t="s">
        <v>11977</v>
      </c>
    </row>
    <row r="1192" spans="1:59" ht="72.5" x14ac:dyDescent="0.35">
      <c r="A1192" s="2" t="s">
        <v>89</v>
      </c>
      <c r="B1192" s="2" t="s">
        <v>1231</v>
      </c>
      <c r="C1192" s="2" t="s">
        <v>11978</v>
      </c>
      <c r="D1192" s="2" t="s">
        <v>11979</v>
      </c>
      <c r="E1192" s="2" t="s">
        <v>11980</v>
      </c>
      <c r="G1192" s="3" t="s">
        <v>61</v>
      </c>
      <c r="I1192" s="3" t="s">
        <v>61</v>
      </c>
      <c r="J1192" s="3" t="s">
        <v>62</v>
      </c>
      <c r="K1192" s="3" t="s">
        <v>63</v>
      </c>
      <c r="L1192" s="2" t="s">
        <v>11981</v>
      </c>
      <c r="M1192" s="2" t="s">
        <v>11982</v>
      </c>
      <c r="N1192" s="3" t="s">
        <v>186</v>
      </c>
      <c r="P1192" s="3" t="s">
        <v>64</v>
      </c>
      <c r="R1192" s="3" t="s">
        <v>65</v>
      </c>
      <c r="S1192" s="4">
        <v>12</v>
      </c>
      <c r="T1192" s="4">
        <v>47</v>
      </c>
      <c r="U1192" s="5" t="s">
        <v>1293</v>
      </c>
      <c r="V1192" s="5" t="s">
        <v>1293</v>
      </c>
      <c r="W1192" s="5" t="s">
        <v>67</v>
      </c>
      <c r="X1192" s="5" t="s">
        <v>67</v>
      </c>
      <c r="Y1192" s="4">
        <v>1154</v>
      </c>
      <c r="Z1192" s="4">
        <v>36</v>
      </c>
      <c r="AA1192" s="4">
        <v>70</v>
      </c>
      <c r="AB1192" s="4">
        <v>2</v>
      </c>
      <c r="AC1192" s="4">
        <v>8</v>
      </c>
      <c r="AD1192" s="4">
        <v>118</v>
      </c>
      <c r="AE1192" s="4">
        <v>146</v>
      </c>
      <c r="AF1192" s="4">
        <v>0</v>
      </c>
      <c r="AG1192" s="4">
        <v>3</v>
      </c>
      <c r="AH1192" s="4">
        <v>99</v>
      </c>
      <c r="AI1192" s="4">
        <v>110</v>
      </c>
      <c r="AJ1192" s="4">
        <v>14</v>
      </c>
      <c r="AK1192" s="4">
        <v>26</v>
      </c>
      <c r="AL1192" s="4">
        <v>52</v>
      </c>
      <c r="AM1192" s="4">
        <v>57</v>
      </c>
      <c r="AN1192" s="4">
        <v>0</v>
      </c>
      <c r="AO1192" s="4">
        <v>0</v>
      </c>
      <c r="AP1192" s="4">
        <v>25</v>
      </c>
      <c r="AQ1192" s="4">
        <v>41</v>
      </c>
      <c r="AR1192" s="3" t="s">
        <v>62</v>
      </c>
      <c r="AS1192" s="3" t="s">
        <v>62</v>
      </c>
      <c r="AT1192" s="3" t="s">
        <v>61</v>
      </c>
      <c r="AU1192" s="6" t="str">
        <f>HYPERLINK("http://catalog.hathitrust.org/Record/001475117","HathiTrust Record")</f>
        <v>HathiTrust Record</v>
      </c>
      <c r="AV1192" s="6" t="str">
        <f>HYPERLINK("http://mcgill.on.worldcat.org/oclc/886421","Catalog Record")</f>
        <v>Catalog Record</v>
      </c>
      <c r="AW1192" s="6" t="str">
        <f>HYPERLINK("http://www.worldcat.org/oclc/886421","WorldCat Record")</f>
        <v>WorldCat Record</v>
      </c>
      <c r="AX1192" s="3" t="s">
        <v>11983</v>
      </c>
      <c r="AY1192" s="3" t="s">
        <v>11984</v>
      </c>
      <c r="AZ1192" s="3" t="s">
        <v>11985</v>
      </c>
      <c r="BA1192" s="3" t="s">
        <v>11985</v>
      </c>
      <c r="BB1192" s="3" t="s">
        <v>11986</v>
      </c>
      <c r="BC1192" s="3" t="s">
        <v>102</v>
      </c>
      <c r="BD1192" s="3" t="s">
        <v>68</v>
      </c>
      <c r="BE1192" s="3" t="s">
        <v>11987</v>
      </c>
      <c r="BF1192" s="3" t="s">
        <v>11986</v>
      </c>
      <c r="BG1192" s="3" t="s">
        <v>11988</v>
      </c>
    </row>
    <row r="1193" spans="1:59" ht="58" x14ac:dyDescent="0.35">
      <c r="A1193" s="2" t="s">
        <v>89</v>
      </c>
      <c r="B1193" s="2" t="s">
        <v>90</v>
      </c>
      <c r="C1193" s="2" t="s">
        <v>11989</v>
      </c>
      <c r="D1193" s="2" t="s">
        <v>11990</v>
      </c>
      <c r="E1193" s="2" t="s">
        <v>11991</v>
      </c>
      <c r="G1193" s="3" t="s">
        <v>62</v>
      </c>
      <c r="I1193" s="3" t="s">
        <v>62</v>
      </c>
      <c r="J1193" s="3" t="s">
        <v>62</v>
      </c>
      <c r="K1193" s="3" t="s">
        <v>63</v>
      </c>
      <c r="L1193" s="2" t="s">
        <v>11992</v>
      </c>
      <c r="M1193" s="2" t="s">
        <v>11993</v>
      </c>
      <c r="N1193" s="3" t="s">
        <v>509</v>
      </c>
      <c r="P1193" s="3" t="s">
        <v>64</v>
      </c>
      <c r="Q1193" s="2" t="s">
        <v>11994</v>
      </c>
      <c r="R1193" s="3" t="s">
        <v>65</v>
      </c>
      <c r="S1193" s="4">
        <v>9</v>
      </c>
      <c r="T1193" s="4">
        <v>9</v>
      </c>
      <c r="U1193" s="5" t="s">
        <v>11914</v>
      </c>
      <c r="V1193" s="5" t="s">
        <v>11914</v>
      </c>
      <c r="W1193" s="5" t="s">
        <v>67</v>
      </c>
      <c r="X1193" s="5" t="s">
        <v>67</v>
      </c>
      <c r="Y1193" s="4">
        <v>218</v>
      </c>
      <c r="Z1193" s="4">
        <v>12</v>
      </c>
      <c r="AA1193" s="4">
        <v>17</v>
      </c>
      <c r="AB1193" s="4">
        <v>1</v>
      </c>
      <c r="AC1193" s="4">
        <v>2</v>
      </c>
      <c r="AD1193" s="4">
        <v>78</v>
      </c>
      <c r="AE1193" s="4">
        <v>88</v>
      </c>
      <c r="AF1193" s="4">
        <v>0</v>
      </c>
      <c r="AG1193" s="4">
        <v>0</v>
      </c>
      <c r="AH1193" s="4">
        <v>72</v>
      </c>
      <c r="AI1193" s="4">
        <v>79</v>
      </c>
      <c r="AJ1193" s="4">
        <v>8</v>
      </c>
      <c r="AK1193" s="4">
        <v>10</v>
      </c>
      <c r="AL1193" s="4">
        <v>43</v>
      </c>
      <c r="AM1193" s="4">
        <v>46</v>
      </c>
      <c r="AN1193" s="4">
        <v>0</v>
      </c>
      <c r="AO1193" s="4">
        <v>0</v>
      </c>
      <c r="AP1193" s="4">
        <v>9</v>
      </c>
      <c r="AQ1193" s="4">
        <v>13</v>
      </c>
      <c r="AR1193" s="3" t="s">
        <v>62</v>
      </c>
      <c r="AS1193" s="3" t="s">
        <v>62</v>
      </c>
      <c r="AT1193" s="3" t="s">
        <v>62</v>
      </c>
      <c r="AV1193" s="6" t="str">
        <f>HYPERLINK("http://mcgill.on.worldcat.org/oclc/29518057","Catalog Record")</f>
        <v>Catalog Record</v>
      </c>
      <c r="AW1193" s="6" t="str">
        <f>HYPERLINK("http://www.worldcat.org/oclc/29518057","WorldCat Record")</f>
        <v>WorldCat Record</v>
      </c>
      <c r="AX1193" s="3" t="s">
        <v>11995</v>
      </c>
      <c r="AY1193" s="3" t="s">
        <v>11996</v>
      </c>
      <c r="AZ1193" s="3" t="s">
        <v>11997</v>
      </c>
      <c r="BA1193" s="3" t="s">
        <v>11997</v>
      </c>
      <c r="BB1193" s="3" t="s">
        <v>11998</v>
      </c>
      <c r="BC1193" s="3" t="s">
        <v>102</v>
      </c>
      <c r="BD1193" s="3" t="s">
        <v>68</v>
      </c>
      <c r="BE1193" s="3" t="s">
        <v>11999</v>
      </c>
      <c r="BF1193" s="3" t="s">
        <v>11998</v>
      </c>
      <c r="BG1193" s="3" t="s">
        <v>12000</v>
      </c>
    </row>
    <row r="1194" spans="1:59" ht="58" x14ac:dyDescent="0.35">
      <c r="A1194" s="2" t="s">
        <v>89</v>
      </c>
      <c r="B1194" s="2" t="s">
        <v>90</v>
      </c>
      <c r="C1194" s="2" t="s">
        <v>12001</v>
      </c>
      <c r="D1194" s="2" t="s">
        <v>12002</v>
      </c>
      <c r="E1194" s="2" t="s">
        <v>12003</v>
      </c>
      <c r="G1194" s="3" t="s">
        <v>62</v>
      </c>
      <c r="I1194" s="3" t="s">
        <v>62</v>
      </c>
      <c r="J1194" s="3" t="s">
        <v>62</v>
      </c>
      <c r="K1194" s="3" t="s">
        <v>63</v>
      </c>
      <c r="M1194" s="2" t="s">
        <v>12004</v>
      </c>
      <c r="N1194" s="3" t="s">
        <v>852</v>
      </c>
      <c r="P1194" s="3" t="s">
        <v>64</v>
      </c>
      <c r="R1194" s="3" t="s">
        <v>65</v>
      </c>
      <c r="S1194" s="4">
        <v>3</v>
      </c>
      <c r="T1194" s="4">
        <v>3</v>
      </c>
      <c r="U1194" s="5" t="s">
        <v>5647</v>
      </c>
      <c r="V1194" s="5" t="s">
        <v>5647</v>
      </c>
      <c r="W1194" s="5" t="s">
        <v>67</v>
      </c>
      <c r="X1194" s="5" t="s">
        <v>67</v>
      </c>
      <c r="Y1194" s="4">
        <v>295</v>
      </c>
      <c r="Z1194" s="4">
        <v>21</v>
      </c>
      <c r="AA1194" s="4">
        <v>25</v>
      </c>
      <c r="AB1194" s="4">
        <v>2</v>
      </c>
      <c r="AC1194" s="4">
        <v>4</v>
      </c>
      <c r="AD1194" s="4">
        <v>101</v>
      </c>
      <c r="AE1194" s="4">
        <v>105</v>
      </c>
      <c r="AF1194" s="4">
        <v>1</v>
      </c>
      <c r="AG1194" s="4">
        <v>3</v>
      </c>
      <c r="AH1194" s="4">
        <v>86</v>
      </c>
      <c r="AI1194" s="4">
        <v>87</v>
      </c>
      <c r="AJ1194" s="4">
        <v>15</v>
      </c>
      <c r="AK1194" s="4">
        <v>18</v>
      </c>
      <c r="AL1194" s="4">
        <v>53</v>
      </c>
      <c r="AM1194" s="4">
        <v>53</v>
      </c>
      <c r="AN1194" s="4">
        <v>0</v>
      </c>
      <c r="AO1194" s="4">
        <v>0</v>
      </c>
      <c r="AP1194" s="4">
        <v>17</v>
      </c>
      <c r="AQ1194" s="4">
        <v>20</v>
      </c>
      <c r="AR1194" s="3" t="s">
        <v>62</v>
      </c>
      <c r="AS1194" s="3" t="s">
        <v>62</v>
      </c>
      <c r="AT1194" s="3" t="s">
        <v>61</v>
      </c>
      <c r="AU1194" s="6" t="str">
        <f>HYPERLINK("http://catalog.hathitrust.org/Record/001475118","HathiTrust Record")</f>
        <v>HathiTrust Record</v>
      </c>
      <c r="AV1194" s="6" t="str">
        <f>HYPERLINK("http://mcgill.on.worldcat.org/oclc/54814","Catalog Record")</f>
        <v>Catalog Record</v>
      </c>
      <c r="AW1194" s="6" t="str">
        <f>HYPERLINK("http://www.worldcat.org/oclc/54814","WorldCat Record")</f>
        <v>WorldCat Record</v>
      </c>
      <c r="AX1194" s="3" t="s">
        <v>12005</v>
      </c>
      <c r="AY1194" s="3" t="s">
        <v>12006</v>
      </c>
      <c r="AZ1194" s="3" t="s">
        <v>12007</v>
      </c>
      <c r="BA1194" s="3" t="s">
        <v>12007</v>
      </c>
      <c r="BB1194" s="3" t="s">
        <v>12008</v>
      </c>
      <c r="BC1194" s="3" t="s">
        <v>102</v>
      </c>
      <c r="BD1194" s="3" t="s">
        <v>68</v>
      </c>
      <c r="BE1194" s="3" t="s">
        <v>12009</v>
      </c>
      <c r="BF1194" s="3" t="s">
        <v>12008</v>
      </c>
      <c r="BG1194" s="3" t="s">
        <v>12010</v>
      </c>
    </row>
    <row r="1195" spans="1:59" ht="58" x14ac:dyDescent="0.35">
      <c r="A1195" s="2" t="s">
        <v>89</v>
      </c>
      <c r="B1195" s="2" t="s">
        <v>90</v>
      </c>
      <c r="C1195" s="2" t="s">
        <v>12011</v>
      </c>
      <c r="D1195" s="2" t="s">
        <v>12012</v>
      </c>
      <c r="E1195" s="2" t="s">
        <v>12013</v>
      </c>
      <c r="G1195" s="3" t="s">
        <v>62</v>
      </c>
      <c r="I1195" s="3" t="s">
        <v>62</v>
      </c>
      <c r="J1195" s="3" t="s">
        <v>62</v>
      </c>
      <c r="K1195" s="3" t="s">
        <v>63</v>
      </c>
      <c r="L1195" s="2" t="s">
        <v>12014</v>
      </c>
      <c r="M1195" s="2" t="s">
        <v>12015</v>
      </c>
      <c r="N1195" s="3" t="s">
        <v>866</v>
      </c>
      <c r="P1195" s="3" t="s">
        <v>64</v>
      </c>
      <c r="R1195" s="3" t="s">
        <v>65</v>
      </c>
      <c r="S1195" s="4">
        <v>25</v>
      </c>
      <c r="T1195" s="4">
        <v>25</v>
      </c>
      <c r="U1195" s="5" t="s">
        <v>5647</v>
      </c>
      <c r="V1195" s="5" t="s">
        <v>5647</v>
      </c>
      <c r="W1195" s="5" t="s">
        <v>67</v>
      </c>
      <c r="X1195" s="5" t="s">
        <v>67</v>
      </c>
      <c r="Y1195" s="4">
        <v>205</v>
      </c>
      <c r="Z1195" s="4">
        <v>24</v>
      </c>
      <c r="AA1195" s="4">
        <v>35</v>
      </c>
      <c r="AB1195" s="4">
        <v>2</v>
      </c>
      <c r="AC1195" s="4">
        <v>3</v>
      </c>
      <c r="AD1195" s="4">
        <v>62</v>
      </c>
      <c r="AE1195" s="4">
        <v>111</v>
      </c>
      <c r="AF1195" s="4">
        <v>1</v>
      </c>
      <c r="AG1195" s="4">
        <v>2</v>
      </c>
      <c r="AH1195" s="4">
        <v>49</v>
      </c>
      <c r="AI1195" s="4">
        <v>92</v>
      </c>
      <c r="AJ1195" s="4">
        <v>14</v>
      </c>
      <c r="AK1195" s="4">
        <v>18</v>
      </c>
      <c r="AL1195" s="4">
        <v>29</v>
      </c>
      <c r="AM1195" s="4">
        <v>48</v>
      </c>
      <c r="AN1195" s="4">
        <v>0</v>
      </c>
      <c r="AO1195" s="4">
        <v>0</v>
      </c>
      <c r="AP1195" s="4">
        <v>20</v>
      </c>
      <c r="AQ1195" s="4">
        <v>28</v>
      </c>
      <c r="AR1195" s="3" t="s">
        <v>62</v>
      </c>
      <c r="AS1195" s="3" t="s">
        <v>62</v>
      </c>
      <c r="AT1195" s="3" t="s">
        <v>62</v>
      </c>
      <c r="AV1195" s="6" t="str">
        <f>HYPERLINK("http://mcgill.on.worldcat.org/oclc/12994311","Catalog Record")</f>
        <v>Catalog Record</v>
      </c>
      <c r="AW1195" s="6" t="str">
        <f>HYPERLINK("http://www.worldcat.org/oclc/12994311","WorldCat Record")</f>
        <v>WorldCat Record</v>
      </c>
      <c r="AX1195" s="3" t="s">
        <v>12016</v>
      </c>
      <c r="AY1195" s="3" t="s">
        <v>12017</v>
      </c>
      <c r="AZ1195" s="3" t="s">
        <v>12018</v>
      </c>
      <c r="BA1195" s="3" t="s">
        <v>12018</v>
      </c>
      <c r="BB1195" s="3" t="s">
        <v>12019</v>
      </c>
      <c r="BC1195" s="3" t="s">
        <v>102</v>
      </c>
      <c r="BD1195" s="3" t="s">
        <v>231</v>
      </c>
      <c r="BE1195" s="3" t="s">
        <v>12020</v>
      </c>
      <c r="BF1195" s="3" t="s">
        <v>12019</v>
      </c>
      <c r="BG1195" s="3" t="s">
        <v>12021</v>
      </c>
    </row>
    <row r="1196" spans="1:59" ht="58" x14ac:dyDescent="0.35">
      <c r="A1196" s="2" t="s">
        <v>89</v>
      </c>
      <c r="B1196" s="2" t="s">
        <v>90</v>
      </c>
      <c r="C1196" s="2" t="s">
        <v>12022</v>
      </c>
      <c r="D1196" s="2" t="s">
        <v>12023</v>
      </c>
      <c r="E1196" s="2" t="s">
        <v>12024</v>
      </c>
      <c r="G1196" s="3" t="s">
        <v>62</v>
      </c>
      <c r="I1196" s="3" t="s">
        <v>62</v>
      </c>
      <c r="J1196" s="3" t="s">
        <v>62</v>
      </c>
      <c r="K1196" s="3" t="s">
        <v>63</v>
      </c>
      <c r="L1196" s="2" t="s">
        <v>12014</v>
      </c>
      <c r="M1196" s="2" t="s">
        <v>12025</v>
      </c>
      <c r="N1196" s="3" t="s">
        <v>866</v>
      </c>
      <c r="P1196" s="3" t="s">
        <v>64</v>
      </c>
      <c r="R1196" s="3" t="s">
        <v>65</v>
      </c>
      <c r="S1196" s="4">
        <v>8</v>
      </c>
      <c r="T1196" s="4">
        <v>8</v>
      </c>
      <c r="U1196" s="5" t="s">
        <v>258</v>
      </c>
      <c r="V1196" s="5" t="s">
        <v>258</v>
      </c>
      <c r="W1196" s="5" t="s">
        <v>67</v>
      </c>
      <c r="X1196" s="5" t="s">
        <v>67</v>
      </c>
      <c r="Y1196" s="4">
        <v>754</v>
      </c>
      <c r="Z1196" s="4">
        <v>49</v>
      </c>
      <c r="AA1196" s="4">
        <v>56</v>
      </c>
      <c r="AB1196" s="4">
        <v>3</v>
      </c>
      <c r="AC1196" s="4">
        <v>6</v>
      </c>
      <c r="AD1196" s="4">
        <v>132</v>
      </c>
      <c r="AE1196" s="4">
        <v>139</v>
      </c>
      <c r="AF1196" s="4">
        <v>1</v>
      </c>
      <c r="AG1196" s="4">
        <v>4</v>
      </c>
      <c r="AH1196" s="4">
        <v>104</v>
      </c>
      <c r="AI1196" s="4">
        <v>106</v>
      </c>
      <c r="AJ1196" s="4">
        <v>23</v>
      </c>
      <c r="AK1196" s="4">
        <v>27</v>
      </c>
      <c r="AL1196" s="4">
        <v>57</v>
      </c>
      <c r="AM1196" s="4">
        <v>57</v>
      </c>
      <c r="AN1196" s="4">
        <v>0</v>
      </c>
      <c r="AO1196" s="4">
        <v>0</v>
      </c>
      <c r="AP1196" s="4">
        <v>37</v>
      </c>
      <c r="AQ1196" s="4">
        <v>42</v>
      </c>
      <c r="AR1196" s="3" t="s">
        <v>62</v>
      </c>
      <c r="AS1196" s="3" t="s">
        <v>62</v>
      </c>
      <c r="AT1196" s="3" t="s">
        <v>61</v>
      </c>
      <c r="AU1196" s="6" t="str">
        <f>HYPERLINK("http://catalog.hathitrust.org/Record/000234197","HathiTrust Record")</f>
        <v>HathiTrust Record</v>
      </c>
      <c r="AV1196" s="6" t="str">
        <f>HYPERLINK("http://mcgill.on.worldcat.org/oclc/333573","Catalog Record")</f>
        <v>Catalog Record</v>
      </c>
      <c r="AW1196" s="6" t="str">
        <f>HYPERLINK("http://www.worldcat.org/oclc/333573","WorldCat Record")</f>
        <v>WorldCat Record</v>
      </c>
      <c r="AX1196" s="3" t="s">
        <v>12026</v>
      </c>
      <c r="AY1196" s="3" t="s">
        <v>12027</v>
      </c>
      <c r="AZ1196" s="3" t="s">
        <v>12028</v>
      </c>
      <c r="BA1196" s="3" t="s">
        <v>12028</v>
      </c>
      <c r="BB1196" s="3" t="s">
        <v>12029</v>
      </c>
      <c r="BC1196" s="3" t="s">
        <v>102</v>
      </c>
      <c r="BD1196" s="3" t="s">
        <v>68</v>
      </c>
      <c r="BE1196" s="3" t="s">
        <v>12030</v>
      </c>
      <c r="BF1196" s="3" t="s">
        <v>12029</v>
      </c>
      <c r="BG1196" s="3" t="s">
        <v>12031</v>
      </c>
    </row>
    <row r="1197" spans="1:59" ht="58" x14ac:dyDescent="0.35">
      <c r="A1197" s="2" t="s">
        <v>59</v>
      </c>
      <c r="B1197" s="2" t="s">
        <v>60</v>
      </c>
      <c r="C1197" s="2" t="s">
        <v>12032</v>
      </c>
      <c r="D1197" s="2" t="s">
        <v>12033</v>
      </c>
      <c r="E1197" s="2" t="s">
        <v>12034</v>
      </c>
      <c r="G1197" s="3" t="s">
        <v>62</v>
      </c>
      <c r="I1197" s="3" t="s">
        <v>62</v>
      </c>
      <c r="J1197" s="3" t="s">
        <v>62</v>
      </c>
      <c r="K1197" s="3" t="s">
        <v>63</v>
      </c>
      <c r="L1197" s="2" t="s">
        <v>12035</v>
      </c>
      <c r="M1197" s="2" t="s">
        <v>12036</v>
      </c>
      <c r="N1197" s="3" t="s">
        <v>2110</v>
      </c>
      <c r="P1197" s="3" t="s">
        <v>64</v>
      </c>
      <c r="R1197" s="3" t="s">
        <v>65</v>
      </c>
      <c r="S1197" s="4">
        <v>3</v>
      </c>
      <c r="T1197" s="4">
        <v>3</v>
      </c>
      <c r="U1197" s="5" t="s">
        <v>2138</v>
      </c>
      <c r="V1197" s="5" t="s">
        <v>2138</v>
      </c>
      <c r="W1197" s="5" t="s">
        <v>67</v>
      </c>
      <c r="X1197" s="5" t="s">
        <v>67</v>
      </c>
      <c r="Y1197" s="4">
        <v>877</v>
      </c>
      <c r="Z1197" s="4">
        <v>33</v>
      </c>
      <c r="AA1197" s="4">
        <v>34</v>
      </c>
      <c r="AB1197" s="4">
        <v>3</v>
      </c>
      <c r="AC1197" s="4">
        <v>3</v>
      </c>
      <c r="AD1197" s="4">
        <v>126</v>
      </c>
      <c r="AE1197" s="4">
        <v>128</v>
      </c>
      <c r="AF1197" s="4">
        <v>1</v>
      </c>
      <c r="AG1197" s="4">
        <v>1</v>
      </c>
      <c r="AH1197" s="4">
        <v>107</v>
      </c>
      <c r="AI1197" s="4">
        <v>108</v>
      </c>
      <c r="AJ1197" s="4">
        <v>17</v>
      </c>
      <c r="AK1197" s="4">
        <v>17</v>
      </c>
      <c r="AL1197" s="4">
        <v>58</v>
      </c>
      <c r="AM1197" s="4">
        <v>59</v>
      </c>
      <c r="AN1197" s="4">
        <v>0</v>
      </c>
      <c r="AO1197" s="4">
        <v>0</v>
      </c>
      <c r="AP1197" s="4">
        <v>22</v>
      </c>
      <c r="AQ1197" s="4">
        <v>23</v>
      </c>
      <c r="AR1197" s="3" t="s">
        <v>62</v>
      </c>
      <c r="AS1197" s="3" t="s">
        <v>62</v>
      </c>
      <c r="AT1197" s="3" t="s">
        <v>61</v>
      </c>
      <c r="AU1197" s="6" t="str">
        <f>HYPERLINK("http://catalog.hathitrust.org/Record/000037722","HathiTrust Record")</f>
        <v>HathiTrust Record</v>
      </c>
      <c r="AV1197" s="6" t="str">
        <f>HYPERLINK("http://mcgill.on.worldcat.org/oclc/3002365","Catalog Record")</f>
        <v>Catalog Record</v>
      </c>
      <c r="AW1197" s="6" t="str">
        <f>HYPERLINK("http://www.worldcat.org/oclc/3002365","WorldCat Record")</f>
        <v>WorldCat Record</v>
      </c>
      <c r="AX1197" s="3" t="s">
        <v>12037</v>
      </c>
      <c r="AY1197" s="3" t="s">
        <v>12038</v>
      </c>
      <c r="AZ1197" s="3" t="s">
        <v>12039</v>
      </c>
      <c r="BA1197" s="3" t="s">
        <v>12039</v>
      </c>
      <c r="BB1197" s="3" t="s">
        <v>12040</v>
      </c>
      <c r="BC1197" s="3" t="s">
        <v>102</v>
      </c>
      <c r="BD1197" s="3" t="s">
        <v>68</v>
      </c>
      <c r="BE1197" s="3" t="s">
        <v>12041</v>
      </c>
      <c r="BF1197" s="3" t="s">
        <v>12040</v>
      </c>
      <c r="BG1197" s="3" t="s">
        <v>12042</v>
      </c>
    </row>
    <row r="1198" spans="1:59" ht="58" x14ac:dyDescent="0.35">
      <c r="A1198" s="2" t="s">
        <v>89</v>
      </c>
      <c r="B1198" s="2" t="s">
        <v>90</v>
      </c>
      <c r="C1198" s="2" t="s">
        <v>12043</v>
      </c>
      <c r="D1198" s="2" t="s">
        <v>12044</v>
      </c>
      <c r="E1198" s="2" t="s">
        <v>12045</v>
      </c>
      <c r="G1198" s="3" t="s">
        <v>62</v>
      </c>
      <c r="I1198" s="3" t="s">
        <v>62</v>
      </c>
      <c r="J1198" s="3" t="s">
        <v>62</v>
      </c>
      <c r="K1198" s="3" t="s">
        <v>63</v>
      </c>
      <c r="M1198" s="2" t="s">
        <v>12025</v>
      </c>
      <c r="N1198" s="3" t="s">
        <v>866</v>
      </c>
      <c r="P1198" s="3" t="s">
        <v>64</v>
      </c>
      <c r="Q1198" s="2" t="s">
        <v>12046</v>
      </c>
      <c r="R1198" s="3" t="s">
        <v>65</v>
      </c>
      <c r="S1198" s="4">
        <v>15</v>
      </c>
      <c r="T1198" s="4">
        <v>15</v>
      </c>
      <c r="U1198" s="5" t="s">
        <v>4852</v>
      </c>
      <c r="V1198" s="5" t="s">
        <v>4852</v>
      </c>
      <c r="W1198" s="5" t="s">
        <v>67</v>
      </c>
      <c r="X1198" s="5" t="s">
        <v>67</v>
      </c>
      <c r="Y1198" s="4">
        <v>446</v>
      </c>
      <c r="Z1198" s="4">
        <v>31</v>
      </c>
      <c r="AA1198" s="4">
        <v>33</v>
      </c>
      <c r="AB1198" s="4">
        <v>2</v>
      </c>
      <c r="AC1198" s="4">
        <v>4</v>
      </c>
      <c r="AD1198" s="4">
        <v>110</v>
      </c>
      <c r="AE1198" s="4">
        <v>112</v>
      </c>
      <c r="AF1198" s="4">
        <v>1</v>
      </c>
      <c r="AG1198" s="4">
        <v>3</v>
      </c>
      <c r="AH1198" s="4">
        <v>93</v>
      </c>
      <c r="AI1198" s="4">
        <v>93</v>
      </c>
      <c r="AJ1198" s="4">
        <v>20</v>
      </c>
      <c r="AK1198" s="4">
        <v>22</v>
      </c>
      <c r="AL1198" s="4">
        <v>47</v>
      </c>
      <c r="AM1198" s="4">
        <v>47</v>
      </c>
      <c r="AN1198" s="4">
        <v>0</v>
      </c>
      <c r="AO1198" s="4">
        <v>0</v>
      </c>
      <c r="AP1198" s="4">
        <v>25</v>
      </c>
      <c r="AQ1198" s="4">
        <v>26</v>
      </c>
      <c r="AR1198" s="3" t="s">
        <v>62</v>
      </c>
      <c r="AS1198" s="3" t="s">
        <v>62</v>
      </c>
      <c r="AT1198" s="3" t="s">
        <v>61</v>
      </c>
      <c r="AU1198" s="6" t="str">
        <f>HYPERLINK("http://catalog.hathitrust.org/Record/001475121","HathiTrust Record")</f>
        <v>HathiTrust Record</v>
      </c>
      <c r="AV1198" s="6" t="str">
        <f>HYPERLINK("http://mcgill.on.worldcat.org/oclc/532416","Catalog Record")</f>
        <v>Catalog Record</v>
      </c>
      <c r="AW1198" s="6" t="str">
        <f>HYPERLINK("http://www.worldcat.org/oclc/532416","WorldCat Record")</f>
        <v>WorldCat Record</v>
      </c>
      <c r="AX1198" s="3" t="s">
        <v>12047</v>
      </c>
      <c r="AY1198" s="3" t="s">
        <v>12048</v>
      </c>
      <c r="AZ1198" s="3" t="s">
        <v>12049</v>
      </c>
      <c r="BA1198" s="3" t="s">
        <v>12049</v>
      </c>
      <c r="BB1198" s="3" t="s">
        <v>12050</v>
      </c>
      <c r="BC1198" s="3" t="s">
        <v>102</v>
      </c>
      <c r="BD1198" s="3" t="s">
        <v>68</v>
      </c>
      <c r="BE1198" s="3" t="s">
        <v>12051</v>
      </c>
      <c r="BF1198" s="3" t="s">
        <v>12050</v>
      </c>
      <c r="BG1198" s="3" t="s">
        <v>12052</v>
      </c>
    </row>
    <row r="1199" spans="1:59" ht="58" x14ac:dyDescent="0.35">
      <c r="A1199" s="2" t="s">
        <v>89</v>
      </c>
      <c r="B1199" s="2" t="s">
        <v>90</v>
      </c>
      <c r="C1199" s="2" t="s">
        <v>12053</v>
      </c>
      <c r="D1199" s="2" t="s">
        <v>12054</v>
      </c>
      <c r="E1199" s="2" t="s">
        <v>12055</v>
      </c>
      <c r="G1199" s="3" t="s">
        <v>62</v>
      </c>
      <c r="I1199" s="3" t="s">
        <v>62</v>
      </c>
      <c r="J1199" s="3" t="s">
        <v>62</v>
      </c>
      <c r="K1199" s="3" t="s">
        <v>63</v>
      </c>
      <c r="L1199" s="2" t="s">
        <v>12056</v>
      </c>
      <c r="M1199" s="2" t="s">
        <v>12057</v>
      </c>
      <c r="N1199" s="3" t="s">
        <v>655</v>
      </c>
      <c r="P1199" s="3" t="s">
        <v>64</v>
      </c>
      <c r="R1199" s="3" t="s">
        <v>65</v>
      </c>
      <c r="S1199" s="4">
        <v>3</v>
      </c>
      <c r="T1199" s="4">
        <v>3</v>
      </c>
      <c r="U1199" s="5" t="s">
        <v>10633</v>
      </c>
      <c r="V1199" s="5" t="s">
        <v>10633</v>
      </c>
      <c r="W1199" s="5" t="s">
        <v>67</v>
      </c>
      <c r="X1199" s="5" t="s">
        <v>67</v>
      </c>
      <c r="Y1199" s="4">
        <v>229</v>
      </c>
      <c r="Z1199" s="4">
        <v>20</v>
      </c>
      <c r="AA1199" s="4">
        <v>83</v>
      </c>
      <c r="AB1199" s="4">
        <v>2</v>
      </c>
      <c r="AC1199" s="4">
        <v>14</v>
      </c>
      <c r="AD1199" s="4">
        <v>103</v>
      </c>
      <c r="AE1199" s="4">
        <v>144</v>
      </c>
      <c r="AF1199" s="4">
        <v>1</v>
      </c>
      <c r="AG1199" s="4">
        <v>8</v>
      </c>
      <c r="AH1199" s="4">
        <v>91</v>
      </c>
      <c r="AI1199" s="4">
        <v>105</v>
      </c>
      <c r="AJ1199" s="4">
        <v>15</v>
      </c>
      <c r="AK1199" s="4">
        <v>25</v>
      </c>
      <c r="AL1199" s="4">
        <v>51</v>
      </c>
      <c r="AM1199" s="4">
        <v>57</v>
      </c>
      <c r="AN1199" s="4">
        <v>0</v>
      </c>
      <c r="AO1199" s="4">
        <v>0</v>
      </c>
      <c r="AP1199" s="4">
        <v>17</v>
      </c>
      <c r="AQ1199" s="4">
        <v>46</v>
      </c>
      <c r="AR1199" s="3" t="s">
        <v>62</v>
      </c>
      <c r="AS1199" s="3" t="s">
        <v>62</v>
      </c>
      <c r="AT1199" s="3" t="s">
        <v>62</v>
      </c>
      <c r="AV1199" s="6" t="str">
        <f>HYPERLINK("http://mcgill.on.worldcat.org/oclc/141379284","Catalog Record")</f>
        <v>Catalog Record</v>
      </c>
      <c r="AW1199" s="6" t="str">
        <f>HYPERLINK("http://www.worldcat.org/oclc/141379284","WorldCat Record")</f>
        <v>WorldCat Record</v>
      </c>
      <c r="AX1199" s="3" t="s">
        <v>12058</v>
      </c>
      <c r="AY1199" s="3" t="s">
        <v>12059</v>
      </c>
      <c r="AZ1199" s="3" t="s">
        <v>12060</v>
      </c>
      <c r="BA1199" s="3" t="s">
        <v>12060</v>
      </c>
      <c r="BB1199" s="3" t="s">
        <v>12061</v>
      </c>
      <c r="BC1199" s="3" t="s">
        <v>102</v>
      </c>
      <c r="BD1199" s="3" t="s">
        <v>68</v>
      </c>
      <c r="BE1199" s="3" t="s">
        <v>12062</v>
      </c>
      <c r="BF1199" s="3" t="s">
        <v>12061</v>
      </c>
      <c r="BG1199" s="3" t="s">
        <v>12063</v>
      </c>
    </row>
    <row r="1200" spans="1:59" ht="58" x14ac:dyDescent="0.35">
      <c r="A1200" s="2" t="s">
        <v>89</v>
      </c>
      <c r="B1200" s="2" t="s">
        <v>90</v>
      </c>
      <c r="C1200" s="2" t="s">
        <v>12064</v>
      </c>
      <c r="D1200" s="2" t="s">
        <v>12065</v>
      </c>
      <c r="E1200" s="2" t="s">
        <v>12066</v>
      </c>
      <c r="G1200" s="3" t="s">
        <v>62</v>
      </c>
      <c r="I1200" s="3" t="s">
        <v>62</v>
      </c>
      <c r="J1200" s="3" t="s">
        <v>61</v>
      </c>
      <c r="K1200" s="3" t="s">
        <v>63</v>
      </c>
      <c r="L1200" s="2" t="s">
        <v>12067</v>
      </c>
      <c r="M1200" s="2" t="s">
        <v>12068</v>
      </c>
      <c r="N1200" s="3" t="s">
        <v>2975</v>
      </c>
      <c r="O1200" s="2" t="s">
        <v>12069</v>
      </c>
      <c r="P1200" s="3" t="s">
        <v>64</v>
      </c>
      <c r="R1200" s="3" t="s">
        <v>65</v>
      </c>
      <c r="S1200" s="4">
        <v>14</v>
      </c>
      <c r="T1200" s="4">
        <v>14</v>
      </c>
      <c r="U1200" s="5" t="s">
        <v>12070</v>
      </c>
      <c r="V1200" s="5" t="s">
        <v>12070</v>
      </c>
      <c r="W1200" s="5" t="s">
        <v>67</v>
      </c>
      <c r="X1200" s="5" t="s">
        <v>67</v>
      </c>
      <c r="Y1200" s="4">
        <v>129</v>
      </c>
      <c r="Z1200" s="4">
        <v>6</v>
      </c>
      <c r="AA1200" s="4">
        <v>50</v>
      </c>
      <c r="AB1200" s="4">
        <v>1</v>
      </c>
      <c r="AC1200" s="4">
        <v>12</v>
      </c>
      <c r="AD1200" s="4">
        <v>22</v>
      </c>
      <c r="AE1200" s="4">
        <v>138</v>
      </c>
      <c r="AF1200" s="4">
        <v>0</v>
      </c>
      <c r="AG1200" s="4">
        <v>9</v>
      </c>
      <c r="AH1200" s="4">
        <v>18</v>
      </c>
      <c r="AI1200" s="4">
        <v>107</v>
      </c>
      <c r="AJ1200" s="4">
        <v>2</v>
      </c>
      <c r="AK1200" s="4">
        <v>25</v>
      </c>
      <c r="AL1200" s="4">
        <v>11</v>
      </c>
      <c r="AM1200" s="4">
        <v>59</v>
      </c>
      <c r="AN1200" s="4">
        <v>0</v>
      </c>
      <c r="AO1200" s="4">
        <v>0</v>
      </c>
      <c r="AP1200" s="4">
        <v>4</v>
      </c>
      <c r="AQ1200" s="4">
        <v>36</v>
      </c>
      <c r="AR1200" s="3" t="s">
        <v>62</v>
      </c>
      <c r="AS1200" s="3" t="s">
        <v>62</v>
      </c>
      <c r="AT1200" s="3" t="s">
        <v>62</v>
      </c>
      <c r="AV1200" s="6" t="str">
        <f>HYPERLINK("http://mcgill.on.worldcat.org/oclc/45313467","Catalog Record")</f>
        <v>Catalog Record</v>
      </c>
      <c r="AW1200" s="6" t="str">
        <f>HYPERLINK("http://www.worldcat.org/oclc/45313467","WorldCat Record")</f>
        <v>WorldCat Record</v>
      </c>
      <c r="AX1200" s="3" t="s">
        <v>12071</v>
      </c>
      <c r="AY1200" s="3" t="s">
        <v>12072</v>
      </c>
      <c r="AZ1200" s="3" t="s">
        <v>12073</v>
      </c>
      <c r="BA1200" s="3" t="s">
        <v>12073</v>
      </c>
      <c r="BB1200" s="3" t="s">
        <v>12074</v>
      </c>
      <c r="BC1200" s="3" t="s">
        <v>102</v>
      </c>
      <c r="BD1200" s="3" t="s">
        <v>68</v>
      </c>
      <c r="BE1200" s="3" t="s">
        <v>12075</v>
      </c>
      <c r="BF1200" s="3" t="s">
        <v>12074</v>
      </c>
      <c r="BG1200" s="3" t="s">
        <v>12076</v>
      </c>
    </row>
    <row r="1201" spans="1:59" ht="58" x14ac:dyDescent="0.35">
      <c r="A1201" s="2" t="s">
        <v>89</v>
      </c>
      <c r="B1201" s="2" t="s">
        <v>90</v>
      </c>
      <c r="C1201" s="2" t="s">
        <v>12077</v>
      </c>
      <c r="D1201" s="2" t="s">
        <v>12078</v>
      </c>
      <c r="E1201" s="2" t="s">
        <v>12079</v>
      </c>
      <c r="F1201" s="3" t="s">
        <v>2217</v>
      </c>
      <c r="G1201" s="3" t="s">
        <v>61</v>
      </c>
      <c r="I1201" s="3" t="s">
        <v>62</v>
      </c>
      <c r="J1201" s="3" t="s">
        <v>62</v>
      </c>
      <c r="K1201" s="3" t="s">
        <v>63</v>
      </c>
      <c r="L1201" s="2" t="s">
        <v>12080</v>
      </c>
      <c r="M1201" s="2" t="s">
        <v>12081</v>
      </c>
      <c r="N1201" s="3" t="s">
        <v>625</v>
      </c>
      <c r="O1201" s="2" t="s">
        <v>12082</v>
      </c>
      <c r="P1201" s="3" t="s">
        <v>64</v>
      </c>
      <c r="R1201" s="3" t="s">
        <v>65</v>
      </c>
      <c r="S1201" s="4">
        <v>4</v>
      </c>
      <c r="T1201" s="4">
        <v>9</v>
      </c>
      <c r="U1201" s="5" t="s">
        <v>3595</v>
      </c>
      <c r="V1201" s="5" t="s">
        <v>3595</v>
      </c>
      <c r="W1201" s="5" t="s">
        <v>67</v>
      </c>
      <c r="X1201" s="5" t="s">
        <v>67</v>
      </c>
      <c r="Y1201" s="4">
        <v>23</v>
      </c>
      <c r="Z1201" s="4">
        <v>2</v>
      </c>
      <c r="AA1201" s="4">
        <v>10</v>
      </c>
      <c r="AB1201" s="4">
        <v>1</v>
      </c>
      <c r="AC1201" s="4">
        <v>4</v>
      </c>
      <c r="AD1201" s="4">
        <v>11</v>
      </c>
      <c r="AE1201" s="4">
        <v>37</v>
      </c>
      <c r="AF1201" s="4">
        <v>0</v>
      </c>
      <c r="AG1201" s="4">
        <v>1</v>
      </c>
      <c r="AH1201" s="4">
        <v>9</v>
      </c>
      <c r="AI1201" s="4">
        <v>32</v>
      </c>
      <c r="AJ1201" s="4">
        <v>1</v>
      </c>
      <c r="AK1201" s="4">
        <v>5</v>
      </c>
      <c r="AL1201" s="4">
        <v>8</v>
      </c>
      <c r="AM1201" s="4">
        <v>27</v>
      </c>
      <c r="AN1201" s="4">
        <v>0</v>
      </c>
      <c r="AO1201" s="4">
        <v>0</v>
      </c>
      <c r="AP1201" s="4">
        <v>0</v>
      </c>
      <c r="AQ1201" s="4">
        <v>5</v>
      </c>
      <c r="AR1201" s="3" t="s">
        <v>62</v>
      </c>
      <c r="AS1201" s="3" t="s">
        <v>62</v>
      </c>
      <c r="AT1201" s="3" t="s">
        <v>61</v>
      </c>
      <c r="AU1201" s="6" t="str">
        <f>HYPERLINK("http://catalog.hathitrust.org/Record/004372769","HathiTrust Record")</f>
        <v>HathiTrust Record</v>
      </c>
      <c r="AV1201" s="6" t="str">
        <f>HYPERLINK("http://mcgill.on.worldcat.org/oclc/54425558","Catalog Record")</f>
        <v>Catalog Record</v>
      </c>
      <c r="AW1201" s="6" t="str">
        <f>HYPERLINK("http://www.worldcat.org/oclc/54425558","WorldCat Record")</f>
        <v>WorldCat Record</v>
      </c>
      <c r="AX1201" s="3" t="s">
        <v>12083</v>
      </c>
      <c r="AY1201" s="3" t="s">
        <v>12084</v>
      </c>
      <c r="AZ1201" s="3" t="s">
        <v>12085</v>
      </c>
      <c r="BA1201" s="3" t="s">
        <v>12085</v>
      </c>
      <c r="BB1201" s="3" t="s">
        <v>12086</v>
      </c>
      <c r="BC1201" s="3" t="s">
        <v>102</v>
      </c>
      <c r="BD1201" s="3" t="s">
        <v>68</v>
      </c>
      <c r="BE1201" s="3" t="s">
        <v>12087</v>
      </c>
      <c r="BF1201" s="3" t="s">
        <v>12086</v>
      </c>
      <c r="BG1201" s="3" t="s">
        <v>12088</v>
      </c>
    </row>
    <row r="1202" spans="1:59" ht="58" x14ac:dyDescent="0.35">
      <c r="A1202" s="2" t="s">
        <v>89</v>
      </c>
      <c r="B1202" s="2" t="s">
        <v>90</v>
      </c>
      <c r="C1202" s="2" t="s">
        <v>12077</v>
      </c>
      <c r="D1202" s="2" t="s">
        <v>12078</v>
      </c>
      <c r="E1202" s="2" t="s">
        <v>12079</v>
      </c>
      <c r="F1202" s="3" t="s">
        <v>2233</v>
      </c>
      <c r="G1202" s="3" t="s">
        <v>61</v>
      </c>
      <c r="I1202" s="3" t="s">
        <v>62</v>
      </c>
      <c r="J1202" s="3" t="s">
        <v>62</v>
      </c>
      <c r="K1202" s="3" t="s">
        <v>63</v>
      </c>
      <c r="L1202" s="2" t="s">
        <v>12080</v>
      </c>
      <c r="M1202" s="2" t="s">
        <v>12081</v>
      </c>
      <c r="N1202" s="3" t="s">
        <v>625</v>
      </c>
      <c r="O1202" s="2" t="s">
        <v>12082</v>
      </c>
      <c r="P1202" s="3" t="s">
        <v>64</v>
      </c>
      <c r="R1202" s="3" t="s">
        <v>65</v>
      </c>
      <c r="S1202" s="4">
        <v>5</v>
      </c>
      <c r="T1202" s="4">
        <v>9</v>
      </c>
      <c r="U1202" s="5" t="s">
        <v>12089</v>
      </c>
      <c r="V1202" s="5" t="s">
        <v>3595</v>
      </c>
      <c r="W1202" s="5" t="s">
        <v>67</v>
      </c>
      <c r="X1202" s="5" t="s">
        <v>67</v>
      </c>
      <c r="Y1202" s="4">
        <v>23</v>
      </c>
      <c r="Z1202" s="4">
        <v>2</v>
      </c>
      <c r="AA1202" s="4">
        <v>10</v>
      </c>
      <c r="AB1202" s="4">
        <v>1</v>
      </c>
      <c r="AC1202" s="4">
        <v>4</v>
      </c>
      <c r="AD1202" s="4">
        <v>11</v>
      </c>
      <c r="AE1202" s="4">
        <v>37</v>
      </c>
      <c r="AF1202" s="4">
        <v>0</v>
      </c>
      <c r="AG1202" s="4">
        <v>1</v>
      </c>
      <c r="AH1202" s="4">
        <v>9</v>
      </c>
      <c r="AI1202" s="4">
        <v>32</v>
      </c>
      <c r="AJ1202" s="4">
        <v>1</v>
      </c>
      <c r="AK1202" s="4">
        <v>5</v>
      </c>
      <c r="AL1202" s="4">
        <v>8</v>
      </c>
      <c r="AM1202" s="4">
        <v>27</v>
      </c>
      <c r="AN1202" s="4">
        <v>0</v>
      </c>
      <c r="AO1202" s="4">
        <v>0</v>
      </c>
      <c r="AP1202" s="4">
        <v>0</v>
      </c>
      <c r="AQ1202" s="4">
        <v>5</v>
      </c>
      <c r="AR1202" s="3" t="s">
        <v>62</v>
      </c>
      <c r="AS1202" s="3" t="s">
        <v>62</v>
      </c>
      <c r="AT1202" s="3" t="s">
        <v>61</v>
      </c>
      <c r="AU1202" s="6" t="str">
        <f>HYPERLINK("http://catalog.hathitrust.org/Record/004372769","HathiTrust Record")</f>
        <v>HathiTrust Record</v>
      </c>
      <c r="AV1202" s="6" t="str">
        <f>HYPERLINK("http://mcgill.on.worldcat.org/oclc/54425558","Catalog Record")</f>
        <v>Catalog Record</v>
      </c>
      <c r="AW1202" s="6" t="str">
        <f>HYPERLINK("http://www.worldcat.org/oclc/54425558","WorldCat Record")</f>
        <v>WorldCat Record</v>
      </c>
      <c r="AX1202" s="3" t="s">
        <v>12083</v>
      </c>
      <c r="AY1202" s="3" t="s">
        <v>12084</v>
      </c>
      <c r="AZ1202" s="3" t="s">
        <v>12085</v>
      </c>
      <c r="BA1202" s="3" t="s">
        <v>12085</v>
      </c>
      <c r="BB1202" s="3" t="s">
        <v>12090</v>
      </c>
      <c r="BC1202" s="3" t="s">
        <v>102</v>
      </c>
      <c r="BD1202" s="3" t="s">
        <v>68</v>
      </c>
      <c r="BE1202" s="3" t="s">
        <v>12087</v>
      </c>
      <c r="BF1202" s="3" t="s">
        <v>12090</v>
      </c>
      <c r="BG1202" s="3" t="s">
        <v>12091</v>
      </c>
    </row>
    <row r="1203" spans="1:59" ht="58" x14ac:dyDescent="0.35">
      <c r="A1203" s="2" t="s">
        <v>89</v>
      </c>
      <c r="B1203" s="2" t="s">
        <v>90</v>
      </c>
      <c r="C1203" s="2" t="s">
        <v>12092</v>
      </c>
      <c r="D1203" s="2" t="s">
        <v>12093</v>
      </c>
      <c r="E1203" s="2" t="s">
        <v>12094</v>
      </c>
      <c r="G1203" s="3" t="s">
        <v>62</v>
      </c>
      <c r="I1203" s="3" t="s">
        <v>62</v>
      </c>
      <c r="J1203" s="3" t="s">
        <v>62</v>
      </c>
      <c r="K1203" s="3" t="s">
        <v>63</v>
      </c>
      <c r="L1203" s="2" t="s">
        <v>12095</v>
      </c>
      <c r="M1203" s="2" t="s">
        <v>12096</v>
      </c>
      <c r="N1203" s="3" t="s">
        <v>596</v>
      </c>
      <c r="P1203" s="3" t="s">
        <v>64</v>
      </c>
      <c r="R1203" s="3" t="s">
        <v>65</v>
      </c>
      <c r="S1203" s="4">
        <v>21</v>
      </c>
      <c r="T1203" s="4">
        <v>21</v>
      </c>
      <c r="U1203" s="5" t="s">
        <v>3303</v>
      </c>
      <c r="V1203" s="5" t="s">
        <v>3303</v>
      </c>
      <c r="W1203" s="5" t="s">
        <v>67</v>
      </c>
      <c r="X1203" s="5" t="s">
        <v>67</v>
      </c>
      <c r="Y1203" s="4">
        <v>267</v>
      </c>
      <c r="Z1203" s="4">
        <v>15</v>
      </c>
      <c r="AA1203" s="4">
        <v>89</v>
      </c>
      <c r="AB1203" s="4">
        <v>2</v>
      </c>
      <c r="AC1203" s="4">
        <v>18</v>
      </c>
      <c r="AD1203" s="4">
        <v>96</v>
      </c>
      <c r="AE1203" s="4">
        <v>138</v>
      </c>
      <c r="AF1203" s="4">
        <v>0</v>
      </c>
      <c r="AG1203" s="4">
        <v>8</v>
      </c>
      <c r="AH1203" s="4">
        <v>88</v>
      </c>
      <c r="AI1203" s="4">
        <v>102</v>
      </c>
      <c r="AJ1203" s="4">
        <v>10</v>
      </c>
      <c r="AK1203" s="4">
        <v>22</v>
      </c>
      <c r="AL1203" s="4">
        <v>52</v>
      </c>
      <c r="AM1203" s="4">
        <v>55</v>
      </c>
      <c r="AN1203" s="4">
        <v>0</v>
      </c>
      <c r="AO1203" s="4">
        <v>0</v>
      </c>
      <c r="AP1203" s="4">
        <v>11</v>
      </c>
      <c r="AQ1203" s="4">
        <v>43</v>
      </c>
      <c r="AR1203" s="3" t="s">
        <v>62</v>
      </c>
      <c r="AS1203" s="3" t="s">
        <v>62</v>
      </c>
      <c r="AT1203" s="3" t="s">
        <v>62</v>
      </c>
      <c r="AV1203" s="6" t="str">
        <f>HYPERLINK("http://mcgill.on.worldcat.org/oclc/48477582","Catalog Record")</f>
        <v>Catalog Record</v>
      </c>
      <c r="AW1203" s="6" t="str">
        <f>HYPERLINK("http://www.worldcat.org/oclc/48477582","WorldCat Record")</f>
        <v>WorldCat Record</v>
      </c>
      <c r="AX1203" s="3" t="s">
        <v>12097</v>
      </c>
      <c r="AY1203" s="3" t="s">
        <v>12098</v>
      </c>
      <c r="AZ1203" s="3" t="s">
        <v>12099</v>
      </c>
      <c r="BA1203" s="3" t="s">
        <v>12099</v>
      </c>
      <c r="BB1203" s="3" t="s">
        <v>12100</v>
      </c>
      <c r="BC1203" s="3" t="s">
        <v>102</v>
      </c>
      <c r="BD1203" s="3" t="s">
        <v>68</v>
      </c>
      <c r="BE1203" s="3" t="s">
        <v>12101</v>
      </c>
      <c r="BF1203" s="3" t="s">
        <v>12100</v>
      </c>
      <c r="BG1203" s="3" t="s">
        <v>12102</v>
      </c>
    </row>
    <row r="1204" spans="1:59" ht="58" x14ac:dyDescent="0.35">
      <c r="A1204" s="2" t="s">
        <v>89</v>
      </c>
      <c r="B1204" s="2" t="s">
        <v>90</v>
      </c>
      <c r="C1204" s="2" t="s">
        <v>12103</v>
      </c>
      <c r="D1204" s="2" t="s">
        <v>12104</v>
      </c>
      <c r="E1204" s="2" t="s">
        <v>6845</v>
      </c>
      <c r="G1204" s="3" t="s">
        <v>62</v>
      </c>
      <c r="I1204" s="3" t="s">
        <v>61</v>
      </c>
      <c r="J1204" s="3" t="s">
        <v>61</v>
      </c>
      <c r="K1204" s="3" t="s">
        <v>63</v>
      </c>
      <c r="L1204" s="2" t="s">
        <v>6846</v>
      </c>
      <c r="M1204" s="2" t="s">
        <v>6847</v>
      </c>
      <c r="N1204" s="3" t="s">
        <v>809</v>
      </c>
      <c r="P1204" s="3" t="s">
        <v>64</v>
      </c>
      <c r="R1204" s="3" t="s">
        <v>65</v>
      </c>
      <c r="S1204" s="4">
        <v>11</v>
      </c>
      <c r="T1204" s="4">
        <v>21</v>
      </c>
      <c r="U1204" s="5" t="s">
        <v>12105</v>
      </c>
      <c r="V1204" s="5" t="s">
        <v>6849</v>
      </c>
      <c r="W1204" s="5" t="s">
        <v>67</v>
      </c>
      <c r="X1204" s="5" t="s">
        <v>67</v>
      </c>
      <c r="Y1204" s="4">
        <v>423</v>
      </c>
      <c r="Z1204" s="4">
        <v>22</v>
      </c>
      <c r="AA1204" s="4">
        <v>57</v>
      </c>
      <c r="AB1204" s="4">
        <v>3</v>
      </c>
      <c r="AC1204" s="4">
        <v>10</v>
      </c>
      <c r="AD1204" s="4">
        <v>93</v>
      </c>
      <c r="AE1204" s="4">
        <v>143</v>
      </c>
      <c r="AF1204" s="4">
        <v>0</v>
      </c>
      <c r="AG1204" s="4">
        <v>5</v>
      </c>
      <c r="AH1204" s="4">
        <v>83</v>
      </c>
      <c r="AI1204" s="4">
        <v>111</v>
      </c>
      <c r="AJ1204" s="4">
        <v>9</v>
      </c>
      <c r="AK1204" s="4">
        <v>25</v>
      </c>
      <c r="AL1204" s="4">
        <v>50</v>
      </c>
      <c r="AM1204" s="4">
        <v>61</v>
      </c>
      <c r="AN1204" s="4">
        <v>0</v>
      </c>
      <c r="AO1204" s="4">
        <v>0</v>
      </c>
      <c r="AP1204" s="4">
        <v>14</v>
      </c>
      <c r="AQ1204" s="4">
        <v>39</v>
      </c>
      <c r="AR1204" s="3" t="s">
        <v>62</v>
      </c>
      <c r="AS1204" s="3" t="s">
        <v>62</v>
      </c>
      <c r="AT1204" s="3" t="s">
        <v>62</v>
      </c>
      <c r="AU1204" s="6" t="str">
        <f>HYPERLINK("http://catalog.hathitrust.org/Record/005784936","HathiTrust Record")</f>
        <v>HathiTrust Record</v>
      </c>
      <c r="AV1204" s="6" t="str">
        <f>HYPERLINK("http://mcgill.on.worldcat.org/oclc/522174","Catalog Record")</f>
        <v>Catalog Record</v>
      </c>
      <c r="AW1204" s="6" t="str">
        <f>HYPERLINK("http://www.worldcat.org/oclc/522174","WorldCat Record")</f>
        <v>WorldCat Record</v>
      </c>
      <c r="AX1204" s="3" t="s">
        <v>6850</v>
      </c>
      <c r="AY1204" s="3" t="s">
        <v>6851</v>
      </c>
      <c r="AZ1204" s="3" t="s">
        <v>6852</v>
      </c>
      <c r="BA1204" s="3" t="s">
        <v>6852</v>
      </c>
      <c r="BB1204" s="3" t="s">
        <v>12106</v>
      </c>
      <c r="BC1204" s="3" t="s">
        <v>102</v>
      </c>
      <c r="BD1204" s="3" t="s">
        <v>68</v>
      </c>
      <c r="BF1204" s="3" t="s">
        <v>12106</v>
      </c>
      <c r="BG1204" s="3" t="s">
        <v>12107</v>
      </c>
    </row>
    <row r="1205" spans="1:59" ht="72.5" x14ac:dyDescent="0.35">
      <c r="A1205" s="2" t="s">
        <v>89</v>
      </c>
      <c r="B1205" s="2" t="s">
        <v>1231</v>
      </c>
      <c r="C1205" s="2" t="s">
        <v>12108</v>
      </c>
      <c r="D1205" s="2" t="s">
        <v>12109</v>
      </c>
      <c r="E1205" s="2" t="s">
        <v>12110</v>
      </c>
      <c r="G1205" s="3" t="s">
        <v>62</v>
      </c>
      <c r="I1205" s="3" t="s">
        <v>62</v>
      </c>
      <c r="J1205" s="3" t="s">
        <v>62</v>
      </c>
      <c r="K1205" s="3" t="s">
        <v>63</v>
      </c>
      <c r="L1205" s="2" t="s">
        <v>12111</v>
      </c>
      <c r="M1205" s="2" t="s">
        <v>12112</v>
      </c>
      <c r="N1205" s="3" t="s">
        <v>712</v>
      </c>
      <c r="P1205" s="3" t="s">
        <v>64</v>
      </c>
      <c r="Q1205" s="2" t="s">
        <v>12113</v>
      </c>
      <c r="R1205" s="3" t="s">
        <v>65</v>
      </c>
      <c r="S1205" s="4">
        <v>1</v>
      </c>
      <c r="T1205" s="4">
        <v>1</v>
      </c>
      <c r="W1205" s="5" t="s">
        <v>67</v>
      </c>
      <c r="X1205" s="5" t="s">
        <v>67</v>
      </c>
      <c r="Y1205" s="4">
        <v>244</v>
      </c>
      <c r="Z1205" s="4">
        <v>11</v>
      </c>
      <c r="AA1205" s="4">
        <v>58</v>
      </c>
      <c r="AB1205" s="4">
        <v>2</v>
      </c>
      <c r="AC1205" s="4">
        <v>13</v>
      </c>
      <c r="AD1205" s="4">
        <v>69</v>
      </c>
      <c r="AE1205" s="4">
        <v>95</v>
      </c>
      <c r="AF1205" s="4">
        <v>1</v>
      </c>
      <c r="AG1205" s="4">
        <v>5</v>
      </c>
      <c r="AH1205" s="4">
        <v>65</v>
      </c>
      <c r="AI1205" s="4">
        <v>75</v>
      </c>
      <c r="AJ1205" s="4">
        <v>6</v>
      </c>
      <c r="AK1205" s="4">
        <v>18</v>
      </c>
      <c r="AL1205" s="4">
        <v>43</v>
      </c>
      <c r="AM1205" s="4">
        <v>47</v>
      </c>
      <c r="AN1205" s="4">
        <v>0</v>
      </c>
      <c r="AO1205" s="4">
        <v>0</v>
      </c>
      <c r="AP1205" s="4">
        <v>7</v>
      </c>
      <c r="AQ1205" s="4">
        <v>26</v>
      </c>
      <c r="AR1205" s="3" t="s">
        <v>62</v>
      </c>
      <c r="AS1205" s="3" t="s">
        <v>62</v>
      </c>
      <c r="AT1205" s="3" t="s">
        <v>62</v>
      </c>
      <c r="AV1205" s="6" t="str">
        <f>HYPERLINK("http://mcgill.on.worldcat.org/oclc/875884461","Catalog Record")</f>
        <v>Catalog Record</v>
      </c>
      <c r="AW1205" s="6" t="str">
        <f>HYPERLINK("http://www.worldcat.org/oclc/875884461","WorldCat Record")</f>
        <v>WorldCat Record</v>
      </c>
      <c r="AX1205" s="3" t="s">
        <v>12114</v>
      </c>
      <c r="AY1205" s="3" t="s">
        <v>12115</v>
      </c>
      <c r="AZ1205" s="3" t="s">
        <v>12116</v>
      </c>
      <c r="BA1205" s="3" t="s">
        <v>12116</v>
      </c>
      <c r="BB1205" s="3" t="s">
        <v>12117</v>
      </c>
      <c r="BC1205" s="3" t="s">
        <v>102</v>
      </c>
      <c r="BD1205" s="3" t="s">
        <v>231</v>
      </c>
      <c r="BE1205" s="3" t="s">
        <v>12118</v>
      </c>
      <c r="BF1205" s="3" t="s">
        <v>12117</v>
      </c>
      <c r="BG1205" s="3" t="s">
        <v>12119</v>
      </c>
    </row>
    <row r="1206" spans="1:59" ht="58" x14ac:dyDescent="0.35">
      <c r="A1206" s="2" t="s">
        <v>89</v>
      </c>
      <c r="B1206" s="2" t="s">
        <v>90</v>
      </c>
      <c r="C1206" s="2" t="s">
        <v>12120</v>
      </c>
      <c r="D1206" s="2" t="s">
        <v>12121</v>
      </c>
      <c r="E1206" s="2" t="s">
        <v>12122</v>
      </c>
      <c r="G1206" s="3" t="s">
        <v>62</v>
      </c>
      <c r="I1206" s="3" t="s">
        <v>62</v>
      </c>
      <c r="J1206" s="3" t="s">
        <v>62</v>
      </c>
      <c r="K1206" s="3" t="s">
        <v>63</v>
      </c>
      <c r="L1206" s="2" t="s">
        <v>12123</v>
      </c>
      <c r="M1206" s="2" t="s">
        <v>12124</v>
      </c>
      <c r="N1206" s="3" t="s">
        <v>852</v>
      </c>
      <c r="P1206" s="3" t="s">
        <v>64</v>
      </c>
      <c r="Q1206" s="2" t="s">
        <v>12125</v>
      </c>
      <c r="R1206" s="3" t="s">
        <v>65</v>
      </c>
      <c r="S1206" s="4">
        <v>16</v>
      </c>
      <c r="T1206" s="4">
        <v>16</v>
      </c>
      <c r="U1206" s="5" t="s">
        <v>5647</v>
      </c>
      <c r="V1206" s="5" t="s">
        <v>5647</v>
      </c>
      <c r="W1206" s="5" t="s">
        <v>67</v>
      </c>
      <c r="X1206" s="5" t="s">
        <v>67</v>
      </c>
      <c r="Y1206" s="4">
        <v>198</v>
      </c>
      <c r="Z1206" s="4">
        <v>23</v>
      </c>
      <c r="AA1206" s="4">
        <v>35</v>
      </c>
      <c r="AB1206" s="4">
        <v>1</v>
      </c>
      <c r="AC1206" s="4">
        <v>3</v>
      </c>
      <c r="AD1206" s="4">
        <v>47</v>
      </c>
      <c r="AE1206" s="4">
        <v>91</v>
      </c>
      <c r="AF1206" s="4">
        <v>0</v>
      </c>
      <c r="AG1206" s="4">
        <v>2</v>
      </c>
      <c r="AH1206" s="4">
        <v>36</v>
      </c>
      <c r="AI1206" s="4">
        <v>72</v>
      </c>
      <c r="AJ1206" s="4">
        <v>9</v>
      </c>
      <c r="AK1206" s="4">
        <v>16</v>
      </c>
      <c r="AL1206" s="4">
        <v>24</v>
      </c>
      <c r="AM1206" s="4">
        <v>38</v>
      </c>
      <c r="AN1206" s="4">
        <v>0</v>
      </c>
      <c r="AO1206" s="4">
        <v>0</v>
      </c>
      <c r="AP1206" s="4">
        <v>14</v>
      </c>
      <c r="AQ1206" s="4">
        <v>24</v>
      </c>
      <c r="AR1206" s="3" t="s">
        <v>62</v>
      </c>
      <c r="AS1206" s="3" t="s">
        <v>62</v>
      </c>
      <c r="AT1206" s="3" t="s">
        <v>62</v>
      </c>
      <c r="AV1206" s="6" t="str">
        <f>HYPERLINK("http://mcgill.on.worldcat.org/oclc/86471","Catalog Record")</f>
        <v>Catalog Record</v>
      </c>
      <c r="AW1206" s="6" t="str">
        <f>HYPERLINK("http://www.worldcat.org/oclc/86471","WorldCat Record")</f>
        <v>WorldCat Record</v>
      </c>
      <c r="AX1206" s="3" t="s">
        <v>12126</v>
      </c>
      <c r="AY1206" s="3" t="s">
        <v>12127</v>
      </c>
      <c r="AZ1206" s="3" t="s">
        <v>12128</v>
      </c>
      <c r="BA1206" s="3" t="s">
        <v>12128</v>
      </c>
      <c r="BB1206" s="3" t="s">
        <v>12129</v>
      </c>
      <c r="BC1206" s="3" t="s">
        <v>102</v>
      </c>
      <c r="BD1206" s="3" t="s">
        <v>231</v>
      </c>
      <c r="BE1206" s="3" t="s">
        <v>12130</v>
      </c>
      <c r="BF1206" s="3" t="s">
        <v>12129</v>
      </c>
      <c r="BG1206" s="3" t="s">
        <v>12131</v>
      </c>
    </row>
    <row r="1207" spans="1:59" ht="58" x14ac:dyDescent="0.35">
      <c r="A1207" s="2" t="s">
        <v>89</v>
      </c>
      <c r="B1207" s="2" t="s">
        <v>90</v>
      </c>
      <c r="C1207" s="2" t="s">
        <v>12132</v>
      </c>
      <c r="D1207" s="2" t="s">
        <v>12133</v>
      </c>
      <c r="E1207" s="2" t="s">
        <v>12134</v>
      </c>
      <c r="G1207" s="3" t="s">
        <v>62</v>
      </c>
      <c r="I1207" s="3" t="s">
        <v>62</v>
      </c>
      <c r="J1207" s="3" t="s">
        <v>62</v>
      </c>
      <c r="K1207" s="3" t="s">
        <v>63</v>
      </c>
      <c r="L1207" s="2" t="s">
        <v>12135</v>
      </c>
      <c r="M1207" s="2" t="s">
        <v>12136</v>
      </c>
      <c r="N1207" s="3" t="s">
        <v>157</v>
      </c>
      <c r="P1207" s="3" t="s">
        <v>64</v>
      </c>
      <c r="R1207" s="3" t="s">
        <v>65</v>
      </c>
      <c r="S1207" s="4">
        <v>1</v>
      </c>
      <c r="T1207" s="4">
        <v>1</v>
      </c>
      <c r="U1207" s="5" t="s">
        <v>12137</v>
      </c>
      <c r="V1207" s="5" t="s">
        <v>12137</v>
      </c>
      <c r="W1207" s="5" t="s">
        <v>67</v>
      </c>
      <c r="X1207" s="5" t="s">
        <v>67</v>
      </c>
      <c r="Y1207" s="4">
        <v>133</v>
      </c>
      <c r="Z1207" s="4">
        <v>6</v>
      </c>
      <c r="AA1207" s="4">
        <v>26</v>
      </c>
      <c r="AB1207" s="4">
        <v>1</v>
      </c>
      <c r="AC1207" s="4">
        <v>2</v>
      </c>
      <c r="AD1207" s="4">
        <v>39</v>
      </c>
      <c r="AE1207" s="4">
        <v>69</v>
      </c>
      <c r="AF1207" s="4">
        <v>0</v>
      </c>
      <c r="AG1207" s="4">
        <v>1</v>
      </c>
      <c r="AH1207" s="4">
        <v>36</v>
      </c>
      <c r="AI1207" s="4">
        <v>57</v>
      </c>
      <c r="AJ1207" s="4">
        <v>4</v>
      </c>
      <c r="AK1207" s="4">
        <v>18</v>
      </c>
      <c r="AL1207" s="4">
        <v>21</v>
      </c>
      <c r="AM1207" s="4">
        <v>27</v>
      </c>
      <c r="AN1207" s="4">
        <v>0</v>
      </c>
      <c r="AO1207" s="4">
        <v>0</v>
      </c>
      <c r="AP1207" s="4">
        <v>4</v>
      </c>
      <c r="AQ1207" s="4">
        <v>20</v>
      </c>
      <c r="AR1207" s="3" t="s">
        <v>62</v>
      </c>
      <c r="AS1207" s="3" t="s">
        <v>62</v>
      </c>
      <c r="AT1207" s="3" t="s">
        <v>61</v>
      </c>
      <c r="AU1207" s="6" t="str">
        <f>HYPERLINK("http://catalog.hathitrust.org/Record/001475138","HathiTrust Record")</f>
        <v>HathiTrust Record</v>
      </c>
      <c r="AV1207" s="6" t="str">
        <f>HYPERLINK("http://mcgill.on.worldcat.org/oclc/1205902","Catalog Record")</f>
        <v>Catalog Record</v>
      </c>
      <c r="AW1207" s="6" t="str">
        <f>HYPERLINK("http://www.worldcat.org/oclc/1205902","WorldCat Record")</f>
        <v>WorldCat Record</v>
      </c>
      <c r="AX1207" s="3" t="s">
        <v>12138</v>
      </c>
      <c r="AY1207" s="3" t="s">
        <v>12139</v>
      </c>
      <c r="AZ1207" s="3" t="s">
        <v>12140</v>
      </c>
      <c r="BA1207" s="3" t="s">
        <v>12140</v>
      </c>
      <c r="BB1207" s="3" t="s">
        <v>12141</v>
      </c>
      <c r="BC1207" s="3" t="s">
        <v>102</v>
      </c>
      <c r="BD1207" s="3" t="s">
        <v>68</v>
      </c>
      <c r="BE1207" s="3" t="s">
        <v>12142</v>
      </c>
      <c r="BF1207" s="3" t="s">
        <v>12141</v>
      </c>
      <c r="BG1207" s="3" t="s">
        <v>12143</v>
      </c>
    </row>
    <row r="1208" spans="1:59" ht="58" x14ac:dyDescent="0.35">
      <c r="A1208" s="2" t="s">
        <v>89</v>
      </c>
      <c r="B1208" s="2" t="s">
        <v>90</v>
      </c>
      <c r="C1208" s="2" t="s">
        <v>12144</v>
      </c>
      <c r="D1208" s="2" t="s">
        <v>12145</v>
      </c>
      <c r="E1208" s="2" t="s">
        <v>12146</v>
      </c>
      <c r="G1208" s="3" t="s">
        <v>62</v>
      </c>
      <c r="I1208" s="3" t="s">
        <v>61</v>
      </c>
      <c r="J1208" s="3" t="s">
        <v>62</v>
      </c>
      <c r="K1208" s="3" t="s">
        <v>63</v>
      </c>
      <c r="L1208" s="2" t="s">
        <v>12147</v>
      </c>
      <c r="M1208" s="2" t="s">
        <v>12148</v>
      </c>
      <c r="N1208" s="3" t="s">
        <v>838</v>
      </c>
      <c r="P1208" s="3" t="s">
        <v>64</v>
      </c>
      <c r="R1208" s="3" t="s">
        <v>65</v>
      </c>
      <c r="S1208" s="4">
        <v>16</v>
      </c>
      <c r="T1208" s="4">
        <v>16</v>
      </c>
      <c r="U1208" s="5" t="s">
        <v>8293</v>
      </c>
      <c r="V1208" s="5" t="s">
        <v>8293</v>
      </c>
      <c r="W1208" s="5" t="s">
        <v>67</v>
      </c>
      <c r="X1208" s="5" t="s">
        <v>67</v>
      </c>
      <c r="Y1208" s="4">
        <v>955</v>
      </c>
      <c r="Z1208" s="4">
        <v>43</v>
      </c>
      <c r="AA1208" s="4">
        <v>107</v>
      </c>
      <c r="AB1208" s="4">
        <v>2</v>
      </c>
      <c r="AC1208" s="4">
        <v>17</v>
      </c>
      <c r="AD1208" s="4">
        <v>127</v>
      </c>
      <c r="AE1208" s="4">
        <v>157</v>
      </c>
      <c r="AF1208" s="4">
        <v>1</v>
      </c>
      <c r="AG1208" s="4">
        <v>8</v>
      </c>
      <c r="AH1208" s="4">
        <v>102</v>
      </c>
      <c r="AI1208" s="4">
        <v>113</v>
      </c>
      <c r="AJ1208" s="4">
        <v>20</v>
      </c>
      <c r="AK1208" s="4">
        <v>27</v>
      </c>
      <c r="AL1208" s="4">
        <v>55</v>
      </c>
      <c r="AM1208" s="4">
        <v>59</v>
      </c>
      <c r="AN1208" s="4">
        <v>0</v>
      </c>
      <c r="AO1208" s="4">
        <v>0</v>
      </c>
      <c r="AP1208" s="4">
        <v>30</v>
      </c>
      <c r="AQ1208" s="4">
        <v>50</v>
      </c>
      <c r="AR1208" s="3" t="s">
        <v>62</v>
      </c>
      <c r="AS1208" s="3" t="s">
        <v>62</v>
      </c>
      <c r="AT1208" s="3" t="s">
        <v>61</v>
      </c>
      <c r="AU1208" s="6" t="str">
        <f>HYPERLINK("http://catalog.hathitrust.org/Record/001475145","HathiTrust Record")</f>
        <v>HathiTrust Record</v>
      </c>
      <c r="AV1208" s="6" t="str">
        <f>HYPERLINK("http://mcgill.on.worldcat.org/oclc/246070","Catalog Record")</f>
        <v>Catalog Record</v>
      </c>
      <c r="AW1208" s="6" t="str">
        <f>HYPERLINK("http://www.worldcat.org/oclc/246070","WorldCat Record")</f>
        <v>WorldCat Record</v>
      </c>
      <c r="AX1208" s="3" t="s">
        <v>12149</v>
      </c>
      <c r="AY1208" s="3" t="s">
        <v>12150</v>
      </c>
      <c r="AZ1208" s="3" t="s">
        <v>12151</v>
      </c>
      <c r="BA1208" s="3" t="s">
        <v>12151</v>
      </c>
      <c r="BB1208" s="3" t="s">
        <v>12152</v>
      </c>
      <c r="BC1208" s="3" t="s">
        <v>102</v>
      </c>
      <c r="BD1208" s="3" t="s">
        <v>68</v>
      </c>
      <c r="BF1208" s="3" t="s">
        <v>12152</v>
      </c>
      <c r="BG1208" s="3" t="s">
        <v>12153</v>
      </c>
    </row>
    <row r="1209" spans="1:59" ht="58" x14ac:dyDescent="0.35">
      <c r="A1209" s="2" t="s">
        <v>89</v>
      </c>
      <c r="B1209" s="2" t="s">
        <v>90</v>
      </c>
      <c r="C1209" s="2" t="s">
        <v>12154</v>
      </c>
      <c r="D1209" s="2" t="s">
        <v>12155</v>
      </c>
      <c r="E1209" s="2" t="s">
        <v>12156</v>
      </c>
      <c r="G1209" s="3" t="s">
        <v>62</v>
      </c>
      <c r="I1209" s="3" t="s">
        <v>62</v>
      </c>
      <c r="J1209" s="3" t="s">
        <v>61</v>
      </c>
      <c r="K1209" s="3" t="s">
        <v>63</v>
      </c>
      <c r="L1209" s="2" t="s">
        <v>9125</v>
      </c>
      <c r="M1209" s="2" t="s">
        <v>12157</v>
      </c>
      <c r="N1209" s="3" t="s">
        <v>2445</v>
      </c>
      <c r="O1209" s="2" t="s">
        <v>2986</v>
      </c>
      <c r="P1209" s="3" t="s">
        <v>64</v>
      </c>
      <c r="R1209" s="3" t="s">
        <v>65</v>
      </c>
      <c r="S1209" s="4">
        <v>38</v>
      </c>
      <c r="T1209" s="4">
        <v>38</v>
      </c>
      <c r="U1209" s="5" t="s">
        <v>12158</v>
      </c>
      <c r="V1209" s="5" t="s">
        <v>12158</v>
      </c>
      <c r="W1209" s="5" t="s">
        <v>67</v>
      </c>
      <c r="X1209" s="5" t="s">
        <v>67</v>
      </c>
      <c r="Y1209" s="4">
        <v>21</v>
      </c>
      <c r="Z1209" s="4">
        <v>3</v>
      </c>
      <c r="AA1209" s="4">
        <v>89</v>
      </c>
      <c r="AB1209" s="4">
        <v>1</v>
      </c>
      <c r="AC1209" s="4">
        <v>16</v>
      </c>
      <c r="AD1209" s="4">
        <v>6</v>
      </c>
      <c r="AE1209" s="4">
        <v>166</v>
      </c>
      <c r="AF1209" s="4">
        <v>0</v>
      </c>
      <c r="AG1209" s="4">
        <v>7</v>
      </c>
      <c r="AH1209" s="4">
        <v>5</v>
      </c>
      <c r="AI1209" s="4">
        <v>117</v>
      </c>
      <c r="AJ1209" s="4">
        <v>2</v>
      </c>
      <c r="AK1209" s="4">
        <v>28</v>
      </c>
      <c r="AL1209" s="4">
        <v>3</v>
      </c>
      <c r="AM1209" s="4">
        <v>62</v>
      </c>
      <c r="AN1209" s="4">
        <v>0</v>
      </c>
      <c r="AO1209" s="4">
        <v>1</v>
      </c>
      <c r="AP1209" s="4">
        <v>2</v>
      </c>
      <c r="AQ1209" s="4">
        <v>54</v>
      </c>
      <c r="AR1209" s="3" t="s">
        <v>62</v>
      </c>
      <c r="AS1209" s="3" t="s">
        <v>62</v>
      </c>
      <c r="AT1209" s="3" t="s">
        <v>62</v>
      </c>
      <c r="AV1209" s="6" t="str">
        <f>HYPERLINK("http://mcgill.on.worldcat.org/oclc/33423601","Catalog Record")</f>
        <v>Catalog Record</v>
      </c>
      <c r="AW1209" s="6" t="str">
        <f>HYPERLINK("http://www.worldcat.org/oclc/33423601","WorldCat Record")</f>
        <v>WorldCat Record</v>
      </c>
      <c r="AX1209" s="3" t="s">
        <v>9128</v>
      </c>
      <c r="AY1209" s="3" t="s">
        <v>12159</v>
      </c>
      <c r="AZ1209" s="3" t="s">
        <v>12160</v>
      </c>
      <c r="BA1209" s="3" t="s">
        <v>12160</v>
      </c>
      <c r="BB1209" s="3" t="s">
        <v>12161</v>
      </c>
      <c r="BC1209" s="3" t="s">
        <v>102</v>
      </c>
      <c r="BD1209" s="3" t="s">
        <v>231</v>
      </c>
      <c r="BF1209" s="3" t="s">
        <v>12161</v>
      </c>
      <c r="BG1209" s="3" t="s">
        <v>12162</v>
      </c>
    </row>
    <row r="1210" spans="1:59" ht="72.5" x14ac:dyDescent="0.35">
      <c r="A1210" s="2" t="s">
        <v>89</v>
      </c>
      <c r="B1210" s="2" t="s">
        <v>90</v>
      </c>
      <c r="C1210" s="2" t="s">
        <v>12163</v>
      </c>
      <c r="D1210" s="2" t="s">
        <v>12164</v>
      </c>
      <c r="E1210" s="2" t="s">
        <v>12165</v>
      </c>
      <c r="G1210" s="3" t="s">
        <v>62</v>
      </c>
      <c r="I1210" s="3" t="s">
        <v>61</v>
      </c>
      <c r="J1210" s="3" t="s">
        <v>62</v>
      </c>
      <c r="K1210" s="3" t="s">
        <v>63</v>
      </c>
      <c r="M1210" s="2" t="s">
        <v>12166</v>
      </c>
      <c r="N1210" s="3" t="s">
        <v>954</v>
      </c>
      <c r="P1210" s="3" t="s">
        <v>64</v>
      </c>
      <c r="R1210" s="3" t="s">
        <v>65</v>
      </c>
      <c r="S1210" s="4">
        <v>9</v>
      </c>
      <c r="T1210" s="4">
        <v>12</v>
      </c>
      <c r="U1210" s="5" t="s">
        <v>5647</v>
      </c>
      <c r="V1210" s="5" t="s">
        <v>5647</v>
      </c>
      <c r="W1210" s="5" t="s">
        <v>67</v>
      </c>
      <c r="X1210" s="5" t="s">
        <v>67</v>
      </c>
      <c r="Y1210" s="4">
        <v>559</v>
      </c>
      <c r="Z1210" s="4">
        <v>29</v>
      </c>
      <c r="AA1210" s="4">
        <v>31</v>
      </c>
      <c r="AB1210" s="4">
        <v>2</v>
      </c>
      <c r="AC1210" s="4">
        <v>2</v>
      </c>
      <c r="AD1210" s="4">
        <v>113</v>
      </c>
      <c r="AE1210" s="4">
        <v>115</v>
      </c>
      <c r="AF1210" s="4">
        <v>0</v>
      </c>
      <c r="AG1210" s="4">
        <v>0</v>
      </c>
      <c r="AH1210" s="4">
        <v>94</v>
      </c>
      <c r="AI1210" s="4">
        <v>96</v>
      </c>
      <c r="AJ1210" s="4">
        <v>16</v>
      </c>
      <c r="AK1210" s="4">
        <v>18</v>
      </c>
      <c r="AL1210" s="4">
        <v>55</v>
      </c>
      <c r="AM1210" s="4">
        <v>55</v>
      </c>
      <c r="AN1210" s="4">
        <v>0</v>
      </c>
      <c r="AO1210" s="4">
        <v>0</v>
      </c>
      <c r="AP1210" s="4">
        <v>21</v>
      </c>
      <c r="AQ1210" s="4">
        <v>23</v>
      </c>
      <c r="AR1210" s="3" t="s">
        <v>62</v>
      </c>
      <c r="AS1210" s="3" t="s">
        <v>62</v>
      </c>
      <c r="AT1210" s="3" t="s">
        <v>61</v>
      </c>
      <c r="AU1210" s="6" t="str">
        <f>HYPERLINK("http://catalog.hathitrust.org/Record/001475150","HathiTrust Record")</f>
        <v>HathiTrust Record</v>
      </c>
      <c r="AV1210" s="6" t="str">
        <f>HYPERLINK("http://mcgill.on.worldcat.org/oclc/523666","Catalog Record")</f>
        <v>Catalog Record</v>
      </c>
      <c r="AW1210" s="6" t="str">
        <f>HYPERLINK("http://www.worldcat.org/oclc/523666","WorldCat Record")</f>
        <v>WorldCat Record</v>
      </c>
      <c r="AX1210" s="3" t="s">
        <v>12167</v>
      </c>
      <c r="AY1210" s="3" t="s">
        <v>12168</v>
      </c>
      <c r="AZ1210" s="3" t="s">
        <v>12169</v>
      </c>
      <c r="BA1210" s="3" t="s">
        <v>12169</v>
      </c>
      <c r="BB1210" s="3" t="s">
        <v>12170</v>
      </c>
      <c r="BC1210" s="3" t="s">
        <v>102</v>
      </c>
      <c r="BD1210" s="3" t="s">
        <v>68</v>
      </c>
      <c r="BF1210" s="3" t="s">
        <v>12170</v>
      </c>
      <c r="BG1210" s="3" t="s">
        <v>12171</v>
      </c>
    </row>
    <row r="1211" spans="1:59" ht="58" x14ac:dyDescent="0.35">
      <c r="A1211" s="2" t="s">
        <v>89</v>
      </c>
      <c r="B1211" s="2" t="s">
        <v>90</v>
      </c>
      <c r="C1211" s="2" t="s">
        <v>12172</v>
      </c>
      <c r="D1211" s="2" t="s">
        <v>12173</v>
      </c>
      <c r="E1211" s="2" t="s">
        <v>12174</v>
      </c>
      <c r="G1211" s="3" t="s">
        <v>62</v>
      </c>
      <c r="I1211" s="3" t="s">
        <v>61</v>
      </c>
      <c r="J1211" s="3" t="s">
        <v>62</v>
      </c>
      <c r="K1211" s="3" t="s">
        <v>63</v>
      </c>
      <c r="L1211" s="2" t="s">
        <v>12175</v>
      </c>
      <c r="M1211" s="2" t="s">
        <v>12176</v>
      </c>
      <c r="N1211" s="3" t="s">
        <v>1576</v>
      </c>
      <c r="P1211" s="3" t="s">
        <v>64</v>
      </c>
      <c r="R1211" s="3" t="s">
        <v>65</v>
      </c>
      <c r="S1211" s="4">
        <v>9</v>
      </c>
      <c r="T1211" s="4">
        <v>9</v>
      </c>
      <c r="U1211" s="5" t="s">
        <v>12137</v>
      </c>
      <c r="V1211" s="5" t="s">
        <v>12137</v>
      </c>
      <c r="W1211" s="5" t="s">
        <v>67</v>
      </c>
      <c r="X1211" s="5" t="s">
        <v>67</v>
      </c>
      <c r="Y1211" s="4">
        <v>739</v>
      </c>
      <c r="Z1211" s="4">
        <v>38</v>
      </c>
      <c r="AA1211" s="4">
        <v>54</v>
      </c>
      <c r="AB1211" s="4">
        <v>2</v>
      </c>
      <c r="AC1211" s="4">
        <v>8</v>
      </c>
      <c r="AD1211" s="4">
        <v>124</v>
      </c>
      <c r="AE1211" s="4">
        <v>138</v>
      </c>
      <c r="AF1211" s="4">
        <v>1</v>
      </c>
      <c r="AG1211" s="4">
        <v>5</v>
      </c>
      <c r="AH1211" s="4">
        <v>101</v>
      </c>
      <c r="AI1211" s="4">
        <v>106</v>
      </c>
      <c r="AJ1211" s="4">
        <v>17</v>
      </c>
      <c r="AK1211" s="4">
        <v>27</v>
      </c>
      <c r="AL1211" s="4">
        <v>56</v>
      </c>
      <c r="AM1211" s="4">
        <v>56</v>
      </c>
      <c r="AN1211" s="4">
        <v>0</v>
      </c>
      <c r="AO1211" s="4">
        <v>0</v>
      </c>
      <c r="AP1211" s="4">
        <v>26</v>
      </c>
      <c r="AQ1211" s="4">
        <v>37</v>
      </c>
      <c r="AR1211" s="3" t="s">
        <v>62</v>
      </c>
      <c r="AS1211" s="3" t="s">
        <v>62</v>
      </c>
      <c r="AT1211" s="3" t="s">
        <v>61</v>
      </c>
      <c r="AU1211" s="6" t="str">
        <f>HYPERLINK("http://catalog.hathitrust.org/Record/001475152","HathiTrust Record")</f>
        <v>HathiTrust Record</v>
      </c>
      <c r="AV1211" s="6" t="str">
        <f>HYPERLINK("http://mcgill.on.worldcat.org/oclc/509745","Catalog Record")</f>
        <v>Catalog Record</v>
      </c>
      <c r="AW1211" s="6" t="str">
        <f>HYPERLINK("http://www.worldcat.org/oclc/509745","WorldCat Record")</f>
        <v>WorldCat Record</v>
      </c>
      <c r="AX1211" s="3" t="s">
        <v>12177</v>
      </c>
      <c r="AY1211" s="3" t="s">
        <v>12178</v>
      </c>
      <c r="AZ1211" s="3" t="s">
        <v>12179</v>
      </c>
      <c r="BA1211" s="3" t="s">
        <v>12179</v>
      </c>
      <c r="BB1211" s="3" t="s">
        <v>12180</v>
      </c>
      <c r="BC1211" s="3" t="s">
        <v>102</v>
      </c>
      <c r="BD1211" s="3" t="s">
        <v>68</v>
      </c>
      <c r="BE1211" s="3" t="s">
        <v>12181</v>
      </c>
      <c r="BF1211" s="3" t="s">
        <v>12180</v>
      </c>
      <c r="BG1211" s="3" t="s">
        <v>12182</v>
      </c>
    </row>
    <row r="1212" spans="1:59" ht="58" x14ac:dyDescent="0.35">
      <c r="A1212" s="2" t="s">
        <v>89</v>
      </c>
      <c r="B1212" s="2" t="s">
        <v>90</v>
      </c>
      <c r="C1212" s="2" t="s">
        <v>12183</v>
      </c>
      <c r="D1212" s="2" t="s">
        <v>12184</v>
      </c>
      <c r="E1212" s="2" t="s">
        <v>12185</v>
      </c>
      <c r="G1212" s="3" t="s">
        <v>62</v>
      </c>
      <c r="I1212" s="3" t="s">
        <v>62</v>
      </c>
      <c r="J1212" s="3" t="s">
        <v>62</v>
      </c>
      <c r="K1212" s="3" t="s">
        <v>63</v>
      </c>
      <c r="L1212" s="2" t="s">
        <v>12186</v>
      </c>
      <c r="M1212" s="2" t="s">
        <v>12187</v>
      </c>
      <c r="N1212" s="3" t="s">
        <v>2445</v>
      </c>
      <c r="P1212" s="3" t="s">
        <v>64</v>
      </c>
      <c r="R1212" s="3" t="s">
        <v>65</v>
      </c>
      <c r="S1212" s="4">
        <v>2</v>
      </c>
      <c r="T1212" s="4">
        <v>2</v>
      </c>
      <c r="U1212" s="5" t="s">
        <v>3920</v>
      </c>
      <c r="V1212" s="5" t="s">
        <v>3920</v>
      </c>
      <c r="W1212" s="5" t="s">
        <v>67</v>
      </c>
      <c r="X1212" s="5" t="s">
        <v>67</v>
      </c>
      <c r="Y1212" s="4">
        <v>221</v>
      </c>
      <c r="Z1212" s="4">
        <v>17</v>
      </c>
      <c r="AA1212" s="4">
        <v>19</v>
      </c>
      <c r="AB1212" s="4">
        <v>1</v>
      </c>
      <c r="AC1212" s="4">
        <v>3</v>
      </c>
      <c r="AD1212" s="4">
        <v>92</v>
      </c>
      <c r="AE1212" s="4">
        <v>94</v>
      </c>
      <c r="AF1212" s="4">
        <v>0</v>
      </c>
      <c r="AG1212" s="4">
        <v>2</v>
      </c>
      <c r="AH1212" s="4">
        <v>79</v>
      </c>
      <c r="AI1212" s="4">
        <v>79</v>
      </c>
      <c r="AJ1212" s="4">
        <v>12</v>
      </c>
      <c r="AK1212" s="4">
        <v>14</v>
      </c>
      <c r="AL1212" s="4">
        <v>52</v>
      </c>
      <c r="AM1212" s="4">
        <v>52</v>
      </c>
      <c r="AN1212" s="4">
        <v>0</v>
      </c>
      <c r="AO1212" s="4">
        <v>0</v>
      </c>
      <c r="AP1212" s="4">
        <v>15</v>
      </c>
      <c r="AQ1212" s="4">
        <v>16</v>
      </c>
      <c r="AR1212" s="3" t="s">
        <v>62</v>
      </c>
      <c r="AS1212" s="3" t="s">
        <v>62</v>
      </c>
      <c r="AT1212" s="3" t="s">
        <v>62</v>
      </c>
      <c r="AU1212" s="6" t="str">
        <f>HYPERLINK("http://catalog.hathitrust.org/Record/001475161","HathiTrust Record")</f>
        <v>HathiTrust Record</v>
      </c>
      <c r="AV1212" s="6" t="str">
        <f>HYPERLINK("http://mcgill.on.worldcat.org/oclc/543000","Catalog Record")</f>
        <v>Catalog Record</v>
      </c>
      <c r="AW1212" s="6" t="str">
        <f>HYPERLINK("http://www.worldcat.org/oclc/543000","WorldCat Record")</f>
        <v>WorldCat Record</v>
      </c>
      <c r="AX1212" s="3" t="s">
        <v>12188</v>
      </c>
      <c r="AY1212" s="3" t="s">
        <v>12189</v>
      </c>
      <c r="AZ1212" s="3" t="s">
        <v>12190</v>
      </c>
      <c r="BA1212" s="3" t="s">
        <v>12190</v>
      </c>
      <c r="BB1212" s="3" t="s">
        <v>12191</v>
      </c>
      <c r="BC1212" s="3" t="s">
        <v>102</v>
      </c>
      <c r="BD1212" s="3" t="s">
        <v>68</v>
      </c>
      <c r="BF1212" s="3" t="s">
        <v>12191</v>
      </c>
      <c r="BG1212" s="3" t="s">
        <v>12192</v>
      </c>
    </row>
    <row r="1213" spans="1:59" ht="58" x14ac:dyDescent="0.35">
      <c r="A1213" s="2" t="s">
        <v>89</v>
      </c>
      <c r="B1213" s="2" t="s">
        <v>90</v>
      </c>
      <c r="C1213" s="2" t="s">
        <v>12193</v>
      </c>
      <c r="D1213" s="2" t="s">
        <v>12194</v>
      </c>
      <c r="E1213" s="2" t="s">
        <v>12195</v>
      </c>
      <c r="G1213" s="3" t="s">
        <v>62</v>
      </c>
      <c r="I1213" s="3" t="s">
        <v>61</v>
      </c>
      <c r="J1213" s="3" t="s">
        <v>62</v>
      </c>
      <c r="K1213" s="3" t="s">
        <v>63</v>
      </c>
      <c r="L1213" s="2" t="s">
        <v>12196</v>
      </c>
      <c r="M1213" s="2" t="s">
        <v>12197</v>
      </c>
      <c r="N1213" s="3" t="s">
        <v>1482</v>
      </c>
      <c r="P1213" s="3" t="s">
        <v>64</v>
      </c>
      <c r="Q1213" s="2" t="s">
        <v>12198</v>
      </c>
      <c r="R1213" s="3" t="s">
        <v>65</v>
      </c>
      <c r="S1213" s="4">
        <v>6</v>
      </c>
      <c r="T1213" s="4">
        <v>30</v>
      </c>
      <c r="U1213" s="5" t="s">
        <v>12137</v>
      </c>
      <c r="V1213" s="5" t="s">
        <v>12137</v>
      </c>
      <c r="W1213" s="5" t="s">
        <v>67</v>
      </c>
      <c r="X1213" s="5" t="s">
        <v>67</v>
      </c>
      <c r="Y1213" s="4">
        <v>445</v>
      </c>
      <c r="Z1213" s="4">
        <v>25</v>
      </c>
      <c r="AA1213" s="4">
        <v>28</v>
      </c>
      <c r="AB1213" s="4">
        <v>1</v>
      </c>
      <c r="AC1213" s="4">
        <v>4</v>
      </c>
      <c r="AD1213" s="4">
        <v>107</v>
      </c>
      <c r="AE1213" s="4">
        <v>110</v>
      </c>
      <c r="AF1213" s="4">
        <v>0</v>
      </c>
      <c r="AG1213" s="4">
        <v>3</v>
      </c>
      <c r="AH1213" s="4">
        <v>95</v>
      </c>
      <c r="AI1213" s="4">
        <v>96</v>
      </c>
      <c r="AJ1213" s="4">
        <v>17</v>
      </c>
      <c r="AK1213" s="4">
        <v>20</v>
      </c>
      <c r="AL1213" s="4">
        <v>49</v>
      </c>
      <c r="AM1213" s="4">
        <v>49</v>
      </c>
      <c r="AN1213" s="4">
        <v>0</v>
      </c>
      <c r="AO1213" s="4">
        <v>0</v>
      </c>
      <c r="AP1213" s="4">
        <v>20</v>
      </c>
      <c r="AQ1213" s="4">
        <v>22</v>
      </c>
      <c r="AR1213" s="3" t="s">
        <v>62</v>
      </c>
      <c r="AS1213" s="3" t="s">
        <v>62</v>
      </c>
      <c r="AT1213" s="3" t="s">
        <v>61</v>
      </c>
      <c r="AU1213" s="6" t="str">
        <f>HYPERLINK("http://catalog.hathitrust.org/Record/000435804","HathiTrust Record")</f>
        <v>HathiTrust Record</v>
      </c>
      <c r="AV1213" s="6" t="str">
        <f>HYPERLINK("http://mcgill.on.worldcat.org/oclc/13328374","Catalog Record")</f>
        <v>Catalog Record</v>
      </c>
      <c r="AW1213" s="6" t="str">
        <f>HYPERLINK("http://www.worldcat.org/oclc/13328374","WorldCat Record")</f>
        <v>WorldCat Record</v>
      </c>
      <c r="AX1213" s="3" t="s">
        <v>12199</v>
      </c>
      <c r="AY1213" s="3" t="s">
        <v>12200</v>
      </c>
      <c r="AZ1213" s="3" t="s">
        <v>12201</v>
      </c>
      <c r="BA1213" s="3" t="s">
        <v>12201</v>
      </c>
      <c r="BB1213" s="3" t="s">
        <v>12202</v>
      </c>
      <c r="BC1213" s="3" t="s">
        <v>102</v>
      </c>
      <c r="BD1213" s="3" t="s">
        <v>68</v>
      </c>
      <c r="BE1213" s="3" t="s">
        <v>12203</v>
      </c>
      <c r="BF1213" s="3" t="s">
        <v>12202</v>
      </c>
      <c r="BG1213" s="3" t="s">
        <v>12204</v>
      </c>
    </row>
    <row r="1214" spans="1:59" ht="58" x14ac:dyDescent="0.35">
      <c r="A1214" s="2" t="s">
        <v>89</v>
      </c>
      <c r="B1214" s="2" t="s">
        <v>90</v>
      </c>
      <c r="C1214" s="2" t="s">
        <v>12205</v>
      </c>
      <c r="D1214" s="2" t="s">
        <v>12206</v>
      </c>
      <c r="E1214" s="2" t="s">
        <v>12207</v>
      </c>
      <c r="F1214" s="3" t="s">
        <v>12208</v>
      </c>
      <c r="G1214" s="3" t="s">
        <v>62</v>
      </c>
      <c r="I1214" s="3" t="s">
        <v>62</v>
      </c>
      <c r="J1214" s="3" t="s">
        <v>62</v>
      </c>
      <c r="K1214" s="3" t="s">
        <v>63</v>
      </c>
      <c r="L1214" s="2" t="s">
        <v>12209</v>
      </c>
      <c r="M1214" s="2" t="s">
        <v>12210</v>
      </c>
      <c r="N1214" s="3" t="s">
        <v>129</v>
      </c>
      <c r="P1214" s="3" t="s">
        <v>64</v>
      </c>
      <c r="R1214" s="3" t="s">
        <v>65</v>
      </c>
      <c r="S1214" s="4">
        <v>4</v>
      </c>
      <c r="T1214" s="4">
        <v>4</v>
      </c>
      <c r="W1214" s="5" t="s">
        <v>67</v>
      </c>
      <c r="X1214" s="5" t="s">
        <v>67</v>
      </c>
      <c r="Y1214" s="4">
        <v>31</v>
      </c>
      <c r="Z1214" s="4">
        <v>4</v>
      </c>
      <c r="AA1214" s="4">
        <v>12</v>
      </c>
      <c r="AB1214" s="4">
        <v>1</v>
      </c>
      <c r="AC1214" s="4">
        <v>3</v>
      </c>
      <c r="AD1214" s="4">
        <v>10</v>
      </c>
      <c r="AE1214" s="4">
        <v>17</v>
      </c>
      <c r="AF1214" s="4">
        <v>0</v>
      </c>
      <c r="AG1214" s="4">
        <v>0</v>
      </c>
      <c r="AH1214" s="4">
        <v>8</v>
      </c>
      <c r="AI1214" s="4">
        <v>12</v>
      </c>
      <c r="AJ1214" s="4">
        <v>3</v>
      </c>
      <c r="AK1214" s="4">
        <v>7</v>
      </c>
      <c r="AL1214" s="4">
        <v>5</v>
      </c>
      <c r="AM1214" s="4">
        <v>6</v>
      </c>
      <c r="AN1214" s="4">
        <v>0</v>
      </c>
      <c r="AO1214" s="4">
        <v>0</v>
      </c>
      <c r="AP1214" s="4">
        <v>3</v>
      </c>
      <c r="AQ1214" s="4">
        <v>8</v>
      </c>
      <c r="AR1214" s="3" t="s">
        <v>62</v>
      </c>
      <c r="AS1214" s="3" t="s">
        <v>62</v>
      </c>
      <c r="AT1214" s="3" t="s">
        <v>62</v>
      </c>
      <c r="AV1214" s="6" t="str">
        <f>HYPERLINK("http://mcgill.on.worldcat.org/oclc/794708976","Catalog Record")</f>
        <v>Catalog Record</v>
      </c>
      <c r="AW1214" s="6" t="str">
        <f>HYPERLINK("http://www.worldcat.org/oclc/794708976","WorldCat Record")</f>
        <v>WorldCat Record</v>
      </c>
      <c r="AX1214" s="3" t="s">
        <v>12211</v>
      </c>
      <c r="AY1214" s="3" t="s">
        <v>12212</v>
      </c>
      <c r="AZ1214" s="3" t="s">
        <v>12213</v>
      </c>
      <c r="BA1214" s="3" t="s">
        <v>12213</v>
      </c>
      <c r="BB1214" s="3" t="s">
        <v>12214</v>
      </c>
      <c r="BC1214" s="3" t="s">
        <v>102</v>
      </c>
      <c r="BD1214" s="3" t="s">
        <v>231</v>
      </c>
      <c r="BE1214" s="3" t="s">
        <v>12215</v>
      </c>
      <c r="BF1214" s="3" t="s">
        <v>12214</v>
      </c>
      <c r="BG1214" s="3" t="s">
        <v>12216</v>
      </c>
    </row>
    <row r="1215" spans="1:59" ht="58" x14ac:dyDescent="0.35">
      <c r="A1215" s="2" t="s">
        <v>89</v>
      </c>
      <c r="B1215" s="2" t="s">
        <v>90</v>
      </c>
      <c r="C1215" s="2" t="s">
        <v>12217</v>
      </c>
      <c r="D1215" s="2" t="s">
        <v>12218</v>
      </c>
      <c r="E1215" s="2" t="s">
        <v>12219</v>
      </c>
      <c r="G1215" s="3" t="s">
        <v>62</v>
      </c>
      <c r="I1215" s="3" t="s">
        <v>62</v>
      </c>
      <c r="J1215" s="3" t="s">
        <v>62</v>
      </c>
      <c r="K1215" s="3" t="s">
        <v>63</v>
      </c>
      <c r="M1215" s="2" t="s">
        <v>12220</v>
      </c>
      <c r="N1215" s="3" t="s">
        <v>1195</v>
      </c>
      <c r="P1215" s="3" t="s">
        <v>64</v>
      </c>
      <c r="Q1215" s="2" t="s">
        <v>12221</v>
      </c>
      <c r="R1215" s="3" t="s">
        <v>65</v>
      </c>
      <c r="S1215" s="4">
        <v>5</v>
      </c>
      <c r="T1215" s="4">
        <v>5</v>
      </c>
      <c r="U1215" s="5" t="s">
        <v>5647</v>
      </c>
      <c r="V1215" s="5" t="s">
        <v>5647</v>
      </c>
      <c r="W1215" s="5" t="s">
        <v>67</v>
      </c>
      <c r="X1215" s="5" t="s">
        <v>67</v>
      </c>
      <c r="Y1215" s="4">
        <v>106</v>
      </c>
      <c r="Z1215" s="4">
        <v>7</v>
      </c>
      <c r="AA1215" s="4">
        <v>43</v>
      </c>
      <c r="AB1215" s="4">
        <v>1</v>
      </c>
      <c r="AC1215" s="4">
        <v>11</v>
      </c>
      <c r="AD1215" s="4">
        <v>41</v>
      </c>
      <c r="AE1215" s="4">
        <v>95</v>
      </c>
      <c r="AF1215" s="4">
        <v>0</v>
      </c>
      <c r="AG1215" s="4">
        <v>6</v>
      </c>
      <c r="AH1215" s="4">
        <v>40</v>
      </c>
      <c r="AI1215" s="4">
        <v>69</v>
      </c>
      <c r="AJ1215" s="4">
        <v>4</v>
      </c>
      <c r="AK1215" s="4">
        <v>20</v>
      </c>
      <c r="AL1215" s="4">
        <v>24</v>
      </c>
      <c r="AM1215" s="4">
        <v>36</v>
      </c>
      <c r="AN1215" s="4">
        <v>0</v>
      </c>
      <c r="AO1215" s="4">
        <v>0</v>
      </c>
      <c r="AP1215" s="4">
        <v>5</v>
      </c>
      <c r="AQ1215" s="4">
        <v>36</v>
      </c>
      <c r="AR1215" s="3" t="s">
        <v>62</v>
      </c>
      <c r="AS1215" s="3" t="s">
        <v>62</v>
      </c>
      <c r="AT1215" s="3" t="s">
        <v>62</v>
      </c>
      <c r="AV1215" s="6" t="str">
        <f>HYPERLINK("http://mcgill.on.worldcat.org/oclc/61478242","Catalog Record")</f>
        <v>Catalog Record</v>
      </c>
      <c r="AW1215" s="6" t="str">
        <f>HYPERLINK("http://www.worldcat.org/oclc/61478242","WorldCat Record")</f>
        <v>WorldCat Record</v>
      </c>
      <c r="AX1215" s="3" t="s">
        <v>12222</v>
      </c>
      <c r="AY1215" s="3" t="s">
        <v>12223</v>
      </c>
      <c r="AZ1215" s="3" t="s">
        <v>12224</v>
      </c>
      <c r="BA1215" s="3" t="s">
        <v>12224</v>
      </c>
      <c r="BB1215" s="3" t="s">
        <v>12225</v>
      </c>
      <c r="BC1215" s="3" t="s">
        <v>102</v>
      </c>
      <c r="BD1215" s="3" t="s">
        <v>231</v>
      </c>
      <c r="BE1215" s="3" t="s">
        <v>12226</v>
      </c>
      <c r="BF1215" s="3" t="s">
        <v>12225</v>
      </c>
      <c r="BG1215" s="3" t="s">
        <v>12227</v>
      </c>
    </row>
    <row r="1216" spans="1:59" ht="58" x14ac:dyDescent="0.35">
      <c r="A1216" s="2" t="s">
        <v>89</v>
      </c>
      <c r="B1216" s="2" t="s">
        <v>90</v>
      </c>
      <c r="C1216" s="2" t="s">
        <v>12228</v>
      </c>
      <c r="D1216" s="2" t="s">
        <v>12229</v>
      </c>
      <c r="E1216" s="2" t="s">
        <v>12230</v>
      </c>
      <c r="G1216" s="3" t="s">
        <v>62</v>
      </c>
      <c r="I1216" s="3" t="s">
        <v>62</v>
      </c>
      <c r="J1216" s="3" t="s">
        <v>62</v>
      </c>
      <c r="K1216" s="3" t="s">
        <v>63</v>
      </c>
      <c r="L1216" s="2" t="s">
        <v>12231</v>
      </c>
      <c r="M1216" s="2" t="s">
        <v>12232</v>
      </c>
      <c r="N1216" s="3" t="s">
        <v>698</v>
      </c>
      <c r="P1216" s="3" t="s">
        <v>64</v>
      </c>
      <c r="R1216" s="3" t="s">
        <v>65</v>
      </c>
      <c r="S1216" s="4">
        <v>13</v>
      </c>
      <c r="T1216" s="4">
        <v>13</v>
      </c>
      <c r="U1216" s="5" t="s">
        <v>1954</v>
      </c>
      <c r="V1216" s="5" t="s">
        <v>1954</v>
      </c>
      <c r="W1216" s="5" t="s">
        <v>67</v>
      </c>
      <c r="X1216" s="5" t="s">
        <v>67</v>
      </c>
      <c r="Y1216" s="4">
        <v>210</v>
      </c>
      <c r="Z1216" s="4">
        <v>12</v>
      </c>
      <c r="AA1216" s="4">
        <v>13</v>
      </c>
      <c r="AB1216" s="4">
        <v>2</v>
      </c>
      <c r="AC1216" s="4">
        <v>2</v>
      </c>
      <c r="AD1216" s="4">
        <v>54</v>
      </c>
      <c r="AE1216" s="4">
        <v>55</v>
      </c>
      <c r="AF1216" s="4">
        <v>1</v>
      </c>
      <c r="AG1216" s="4">
        <v>1</v>
      </c>
      <c r="AH1216" s="4">
        <v>45</v>
      </c>
      <c r="AI1216" s="4">
        <v>45</v>
      </c>
      <c r="AJ1216" s="4">
        <v>9</v>
      </c>
      <c r="AK1216" s="4">
        <v>9</v>
      </c>
      <c r="AL1216" s="4">
        <v>36</v>
      </c>
      <c r="AM1216" s="4">
        <v>36</v>
      </c>
      <c r="AN1216" s="4">
        <v>0</v>
      </c>
      <c r="AO1216" s="4">
        <v>0</v>
      </c>
      <c r="AP1216" s="4">
        <v>10</v>
      </c>
      <c r="AQ1216" s="4">
        <v>11</v>
      </c>
      <c r="AR1216" s="3" t="s">
        <v>62</v>
      </c>
      <c r="AS1216" s="3" t="s">
        <v>62</v>
      </c>
      <c r="AT1216" s="3" t="s">
        <v>62</v>
      </c>
      <c r="AV1216" s="6" t="str">
        <f>HYPERLINK("http://mcgill.on.worldcat.org/oclc/781938256","Catalog Record")</f>
        <v>Catalog Record</v>
      </c>
      <c r="AW1216" s="6" t="str">
        <f>HYPERLINK("http://www.worldcat.org/oclc/781938256","WorldCat Record")</f>
        <v>WorldCat Record</v>
      </c>
      <c r="AX1216" s="3" t="s">
        <v>12233</v>
      </c>
      <c r="AY1216" s="3" t="s">
        <v>12234</v>
      </c>
      <c r="AZ1216" s="3" t="s">
        <v>12235</v>
      </c>
      <c r="BA1216" s="3" t="s">
        <v>12235</v>
      </c>
      <c r="BB1216" s="3" t="s">
        <v>12236</v>
      </c>
      <c r="BC1216" s="3" t="s">
        <v>102</v>
      </c>
      <c r="BD1216" s="3" t="s">
        <v>231</v>
      </c>
      <c r="BE1216" s="3" t="s">
        <v>12237</v>
      </c>
      <c r="BF1216" s="3" t="s">
        <v>12236</v>
      </c>
      <c r="BG1216" s="3" t="s">
        <v>12238</v>
      </c>
    </row>
    <row r="1217" spans="1:59" ht="58" x14ac:dyDescent="0.35">
      <c r="A1217" s="2" t="s">
        <v>89</v>
      </c>
      <c r="B1217" s="2" t="s">
        <v>90</v>
      </c>
      <c r="C1217" s="2" t="s">
        <v>12239</v>
      </c>
      <c r="D1217" s="2" t="s">
        <v>12240</v>
      </c>
      <c r="E1217" s="2" t="s">
        <v>12241</v>
      </c>
      <c r="G1217" s="3" t="s">
        <v>62</v>
      </c>
      <c r="I1217" s="3" t="s">
        <v>62</v>
      </c>
      <c r="J1217" s="3" t="s">
        <v>62</v>
      </c>
      <c r="K1217" s="3" t="s">
        <v>63</v>
      </c>
      <c r="L1217" s="2" t="s">
        <v>12242</v>
      </c>
      <c r="M1217" s="2" t="s">
        <v>12243</v>
      </c>
      <c r="N1217" s="3" t="s">
        <v>741</v>
      </c>
      <c r="P1217" s="3" t="s">
        <v>64</v>
      </c>
      <c r="Q1217" s="2" t="s">
        <v>12244</v>
      </c>
      <c r="R1217" s="3" t="s">
        <v>65</v>
      </c>
      <c r="S1217" s="4">
        <v>1</v>
      </c>
      <c r="T1217" s="4">
        <v>1</v>
      </c>
      <c r="U1217" s="5" t="s">
        <v>12245</v>
      </c>
      <c r="V1217" s="5" t="s">
        <v>12245</v>
      </c>
      <c r="W1217" s="5" t="s">
        <v>12246</v>
      </c>
      <c r="X1217" s="5" t="s">
        <v>12246</v>
      </c>
      <c r="Y1217" s="4">
        <v>12</v>
      </c>
      <c r="Z1217" s="4">
        <v>1</v>
      </c>
      <c r="AA1217" s="4">
        <v>12</v>
      </c>
      <c r="AB1217" s="4">
        <v>1</v>
      </c>
      <c r="AC1217" s="4">
        <v>5</v>
      </c>
      <c r="AD1217" s="4">
        <v>2</v>
      </c>
      <c r="AE1217" s="4">
        <v>24</v>
      </c>
      <c r="AF1217" s="4">
        <v>0</v>
      </c>
      <c r="AG1217" s="4">
        <v>2</v>
      </c>
      <c r="AH1217" s="4">
        <v>2</v>
      </c>
      <c r="AI1217" s="4">
        <v>20</v>
      </c>
      <c r="AJ1217" s="4">
        <v>0</v>
      </c>
      <c r="AK1217" s="4">
        <v>9</v>
      </c>
      <c r="AL1217" s="4">
        <v>0</v>
      </c>
      <c r="AM1217" s="4">
        <v>11</v>
      </c>
      <c r="AN1217" s="4">
        <v>0</v>
      </c>
      <c r="AO1217" s="4">
        <v>0</v>
      </c>
      <c r="AP1217" s="4">
        <v>0</v>
      </c>
      <c r="AQ1217" s="4">
        <v>9</v>
      </c>
      <c r="AR1217" s="3" t="s">
        <v>62</v>
      </c>
      <c r="AS1217" s="3" t="s">
        <v>62</v>
      </c>
      <c r="AT1217" s="3" t="s">
        <v>62</v>
      </c>
      <c r="AV1217" s="6" t="str">
        <f>HYPERLINK("http://mcgill.on.worldcat.org/oclc/1089489956","Catalog Record")</f>
        <v>Catalog Record</v>
      </c>
      <c r="AW1217" s="6" t="str">
        <f>HYPERLINK("http://www.worldcat.org/oclc/1089489956","WorldCat Record")</f>
        <v>WorldCat Record</v>
      </c>
      <c r="AX1217" s="3" t="s">
        <v>12247</v>
      </c>
      <c r="AY1217" s="3" t="s">
        <v>12248</v>
      </c>
      <c r="AZ1217" s="3" t="s">
        <v>12249</v>
      </c>
      <c r="BA1217" s="3" t="s">
        <v>12249</v>
      </c>
      <c r="BB1217" s="3" t="s">
        <v>12250</v>
      </c>
      <c r="BC1217" s="3" t="s">
        <v>102</v>
      </c>
      <c r="BD1217" s="3" t="s">
        <v>68</v>
      </c>
      <c r="BE1217" s="3" t="s">
        <v>12251</v>
      </c>
      <c r="BF1217" s="3" t="s">
        <v>12250</v>
      </c>
      <c r="BG1217" s="3" t="s">
        <v>12252</v>
      </c>
    </row>
    <row r="1218" spans="1:59" ht="58" x14ac:dyDescent="0.35">
      <c r="A1218" s="2" t="s">
        <v>89</v>
      </c>
      <c r="B1218" s="2" t="s">
        <v>90</v>
      </c>
      <c r="C1218" s="2" t="s">
        <v>12253</v>
      </c>
      <c r="D1218" s="2" t="s">
        <v>12254</v>
      </c>
      <c r="E1218" s="2" t="s">
        <v>12255</v>
      </c>
      <c r="G1218" s="3" t="s">
        <v>62</v>
      </c>
      <c r="I1218" s="3" t="s">
        <v>62</v>
      </c>
      <c r="J1218" s="3" t="s">
        <v>62</v>
      </c>
      <c r="K1218" s="3" t="s">
        <v>63</v>
      </c>
      <c r="M1218" s="2" t="s">
        <v>12256</v>
      </c>
      <c r="N1218" s="3" t="s">
        <v>129</v>
      </c>
      <c r="P1218" s="3" t="s">
        <v>64</v>
      </c>
      <c r="R1218" s="3" t="s">
        <v>65</v>
      </c>
      <c r="S1218" s="4">
        <v>0</v>
      </c>
      <c r="T1218" s="4">
        <v>0</v>
      </c>
      <c r="W1218" s="5" t="s">
        <v>67</v>
      </c>
      <c r="X1218" s="5" t="s">
        <v>67</v>
      </c>
      <c r="Y1218" s="4">
        <v>37</v>
      </c>
      <c r="Z1218" s="4">
        <v>4</v>
      </c>
      <c r="AA1218" s="4">
        <v>10</v>
      </c>
      <c r="AB1218" s="4">
        <v>1</v>
      </c>
      <c r="AC1218" s="4">
        <v>3</v>
      </c>
      <c r="AD1218" s="4">
        <v>16</v>
      </c>
      <c r="AE1218" s="4">
        <v>20</v>
      </c>
      <c r="AF1218" s="4">
        <v>0</v>
      </c>
      <c r="AG1218" s="4">
        <v>0</v>
      </c>
      <c r="AH1218" s="4">
        <v>14</v>
      </c>
      <c r="AI1218" s="4">
        <v>16</v>
      </c>
      <c r="AJ1218" s="4">
        <v>3</v>
      </c>
      <c r="AK1218" s="4">
        <v>5</v>
      </c>
      <c r="AL1218" s="4">
        <v>8</v>
      </c>
      <c r="AM1218" s="4">
        <v>9</v>
      </c>
      <c r="AN1218" s="4">
        <v>0</v>
      </c>
      <c r="AO1218" s="4">
        <v>0</v>
      </c>
      <c r="AP1218" s="4">
        <v>3</v>
      </c>
      <c r="AQ1218" s="4">
        <v>6</v>
      </c>
      <c r="AR1218" s="3" t="s">
        <v>62</v>
      </c>
      <c r="AS1218" s="3" t="s">
        <v>62</v>
      </c>
      <c r="AT1218" s="3" t="s">
        <v>62</v>
      </c>
      <c r="AV1218" s="6" t="str">
        <f>HYPERLINK("http://mcgill.on.worldcat.org/oclc/781939250","Catalog Record")</f>
        <v>Catalog Record</v>
      </c>
      <c r="AW1218" s="6" t="str">
        <f>HYPERLINK("http://www.worldcat.org/oclc/781939250","WorldCat Record")</f>
        <v>WorldCat Record</v>
      </c>
      <c r="AX1218" s="3" t="s">
        <v>12257</v>
      </c>
      <c r="AY1218" s="3" t="s">
        <v>12258</v>
      </c>
      <c r="AZ1218" s="3" t="s">
        <v>12259</v>
      </c>
      <c r="BA1218" s="3" t="s">
        <v>12259</v>
      </c>
      <c r="BB1218" s="3" t="s">
        <v>12260</v>
      </c>
      <c r="BC1218" s="3" t="s">
        <v>102</v>
      </c>
      <c r="BD1218" s="3" t="s">
        <v>68</v>
      </c>
      <c r="BE1218" s="3" t="s">
        <v>12261</v>
      </c>
      <c r="BF1218" s="3" t="s">
        <v>12260</v>
      </c>
      <c r="BG1218" s="3" t="s">
        <v>12262</v>
      </c>
    </row>
    <row r="1219" spans="1:59" ht="58" x14ac:dyDescent="0.35">
      <c r="A1219" s="2" t="s">
        <v>89</v>
      </c>
      <c r="B1219" s="2" t="s">
        <v>90</v>
      </c>
      <c r="C1219" s="2" t="s">
        <v>12263</v>
      </c>
      <c r="D1219" s="2" t="s">
        <v>12264</v>
      </c>
      <c r="E1219" s="2" t="s">
        <v>12265</v>
      </c>
      <c r="G1219" s="3" t="s">
        <v>62</v>
      </c>
      <c r="I1219" s="3" t="s">
        <v>61</v>
      </c>
      <c r="J1219" s="3" t="s">
        <v>62</v>
      </c>
      <c r="K1219" s="3" t="s">
        <v>63</v>
      </c>
      <c r="L1219" s="2" t="s">
        <v>12266</v>
      </c>
      <c r="M1219" s="2" t="s">
        <v>10450</v>
      </c>
      <c r="N1219" s="3" t="s">
        <v>1038</v>
      </c>
      <c r="P1219" s="3" t="s">
        <v>64</v>
      </c>
      <c r="Q1219" s="2" t="s">
        <v>12267</v>
      </c>
      <c r="R1219" s="3" t="s">
        <v>65</v>
      </c>
      <c r="S1219" s="4">
        <v>30</v>
      </c>
      <c r="T1219" s="4">
        <v>138</v>
      </c>
      <c r="U1219" s="5" t="s">
        <v>2401</v>
      </c>
      <c r="V1219" s="5" t="s">
        <v>2026</v>
      </c>
      <c r="W1219" s="5" t="s">
        <v>67</v>
      </c>
      <c r="X1219" s="5" t="s">
        <v>67</v>
      </c>
      <c r="Y1219" s="4">
        <v>545</v>
      </c>
      <c r="Z1219" s="4">
        <v>31</v>
      </c>
      <c r="AA1219" s="4">
        <v>52</v>
      </c>
      <c r="AB1219" s="4">
        <v>4</v>
      </c>
      <c r="AC1219" s="4">
        <v>23</v>
      </c>
      <c r="AD1219" s="4">
        <v>103</v>
      </c>
      <c r="AE1219" s="4">
        <v>113</v>
      </c>
      <c r="AF1219" s="4">
        <v>1</v>
      </c>
      <c r="AG1219" s="4">
        <v>10</v>
      </c>
      <c r="AH1219" s="4">
        <v>86</v>
      </c>
      <c r="AI1219" s="4">
        <v>87</v>
      </c>
      <c r="AJ1219" s="4">
        <v>17</v>
      </c>
      <c r="AK1219" s="4">
        <v>21</v>
      </c>
      <c r="AL1219" s="4">
        <v>51</v>
      </c>
      <c r="AM1219" s="4">
        <v>51</v>
      </c>
      <c r="AN1219" s="4">
        <v>0</v>
      </c>
      <c r="AO1219" s="4">
        <v>0</v>
      </c>
      <c r="AP1219" s="4">
        <v>23</v>
      </c>
      <c r="AQ1219" s="4">
        <v>32</v>
      </c>
      <c r="AR1219" s="3" t="s">
        <v>62</v>
      </c>
      <c r="AS1219" s="3" t="s">
        <v>62</v>
      </c>
      <c r="AT1219" s="3" t="s">
        <v>62</v>
      </c>
      <c r="AV1219" s="6" t="str">
        <f>HYPERLINK("http://mcgill.on.worldcat.org/oclc/955778308","Catalog Record")</f>
        <v>Catalog Record</v>
      </c>
      <c r="AW1219" s="6" t="str">
        <f>HYPERLINK("http://www.worldcat.org/oclc/955778308","WorldCat Record")</f>
        <v>WorldCat Record</v>
      </c>
      <c r="AX1219" s="3" t="s">
        <v>12268</v>
      </c>
      <c r="AY1219" s="3" t="s">
        <v>12269</v>
      </c>
      <c r="AZ1219" s="3" t="s">
        <v>12270</v>
      </c>
      <c r="BA1219" s="3" t="s">
        <v>12270</v>
      </c>
      <c r="BB1219" s="3" t="s">
        <v>12271</v>
      </c>
      <c r="BC1219" s="3" t="s">
        <v>102</v>
      </c>
      <c r="BD1219" s="3" t="s">
        <v>231</v>
      </c>
      <c r="BE1219" s="3" t="s">
        <v>12272</v>
      </c>
      <c r="BF1219" s="3" t="s">
        <v>12271</v>
      </c>
      <c r="BG1219" s="3" t="s">
        <v>12273</v>
      </c>
    </row>
    <row r="1220" spans="1:59" ht="58" x14ac:dyDescent="0.35">
      <c r="A1220" s="2" t="s">
        <v>89</v>
      </c>
      <c r="B1220" s="2" t="s">
        <v>90</v>
      </c>
      <c r="C1220" s="2" t="s">
        <v>12263</v>
      </c>
      <c r="D1220" s="2" t="s">
        <v>12264</v>
      </c>
      <c r="E1220" s="2" t="s">
        <v>12265</v>
      </c>
      <c r="G1220" s="3" t="s">
        <v>62</v>
      </c>
      <c r="I1220" s="3" t="s">
        <v>61</v>
      </c>
      <c r="J1220" s="3" t="s">
        <v>62</v>
      </c>
      <c r="K1220" s="3" t="s">
        <v>63</v>
      </c>
      <c r="L1220" s="2" t="s">
        <v>12266</v>
      </c>
      <c r="M1220" s="2" t="s">
        <v>10450</v>
      </c>
      <c r="N1220" s="3" t="s">
        <v>1038</v>
      </c>
      <c r="P1220" s="3" t="s">
        <v>64</v>
      </c>
      <c r="Q1220" s="2" t="s">
        <v>12267</v>
      </c>
      <c r="R1220" s="3" t="s">
        <v>65</v>
      </c>
      <c r="S1220" s="4">
        <v>51</v>
      </c>
      <c r="T1220" s="4">
        <v>138</v>
      </c>
      <c r="U1220" s="5" t="s">
        <v>2026</v>
      </c>
      <c r="V1220" s="5" t="s">
        <v>2026</v>
      </c>
      <c r="W1220" s="5" t="s">
        <v>67</v>
      </c>
      <c r="X1220" s="5" t="s">
        <v>67</v>
      </c>
      <c r="Y1220" s="4">
        <v>545</v>
      </c>
      <c r="Z1220" s="4">
        <v>31</v>
      </c>
      <c r="AA1220" s="4">
        <v>52</v>
      </c>
      <c r="AB1220" s="4">
        <v>4</v>
      </c>
      <c r="AC1220" s="4">
        <v>23</v>
      </c>
      <c r="AD1220" s="4">
        <v>103</v>
      </c>
      <c r="AE1220" s="4">
        <v>113</v>
      </c>
      <c r="AF1220" s="4">
        <v>1</v>
      </c>
      <c r="AG1220" s="4">
        <v>10</v>
      </c>
      <c r="AH1220" s="4">
        <v>86</v>
      </c>
      <c r="AI1220" s="4">
        <v>87</v>
      </c>
      <c r="AJ1220" s="4">
        <v>17</v>
      </c>
      <c r="AK1220" s="4">
        <v>21</v>
      </c>
      <c r="AL1220" s="4">
        <v>51</v>
      </c>
      <c r="AM1220" s="4">
        <v>51</v>
      </c>
      <c r="AN1220" s="4">
        <v>0</v>
      </c>
      <c r="AO1220" s="4">
        <v>0</v>
      </c>
      <c r="AP1220" s="4">
        <v>23</v>
      </c>
      <c r="AQ1220" s="4">
        <v>32</v>
      </c>
      <c r="AR1220" s="3" t="s">
        <v>62</v>
      </c>
      <c r="AS1220" s="3" t="s">
        <v>62</v>
      </c>
      <c r="AT1220" s="3" t="s">
        <v>62</v>
      </c>
      <c r="AV1220" s="6" t="str">
        <f>HYPERLINK("http://mcgill.on.worldcat.org/oclc/955778308","Catalog Record")</f>
        <v>Catalog Record</v>
      </c>
      <c r="AW1220" s="6" t="str">
        <f>HYPERLINK("http://www.worldcat.org/oclc/955778308","WorldCat Record")</f>
        <v>WorldCat Record</v>
      </c>
      <c r="AX1220" s="3" t="s">
        <v>12268</v>
      </c>
      <c r="AY1220" s="3" t="s">
        <v>12269</v>
      </c>
      <c r="AZ1220" s="3" t="s">
        <v>12270</v>
      </c>
      <c r="BA1220" s="3" t="s">
        <v>12270</v>
      </c>
      <c r="BB1220" s="3" t="s">
        <v>12274</v>
      </c>
      <c r="BC1220" s="3" t="s">
        <v>102</v>
      </c>
      <c r="BD1220" s="3" t="s">
        <v>231</v>
      </c>
      <c r="BE1220" s="3" t="s">
        <v>12272</v>
      </c>
      <c r="BF1220" s="3" t="s">
        <v>12274</v>
      </c>
      <c r="BG1220" s="3" t="s">
        <v>12275</v>
      </c>
    </row>
    <row r="1221" spans="1:59" ht="58" x14ac:dyDescent="0.35">
      <c r="A1221" s="2" t="s">
        <v>89</v>
      </c>
      <c r="B1221" s="2" t="s">
        <v>90</v>
      </c>
      <c r="C1221" s="2" t="s">
        <v>12263</v>
      </c>
      <c r="D1221" s="2" t="s">
        <v>12264</v>
      </c>
      <c r="E1221" s="2" t="s">
        <v>12265</v>
      </c>
      <c r="G1221" s="3" t="s">
        <v>62</v>
      </c>
      <c r="I1221" s="3" t="s">
        <v>61</v>
      </c>
      <c r="J1221" s="3" t="s">
        <v>62</v>
      </c>
      <c r="K1221" s="3" t="s">
        <v>63</v>
      </c>
      <c r="L1221" s="2" t="s">
        <v>12266</v>
      </c>
      <c r="M1221" s="2" t="s">
        <v>10450</v>
      </c>
      <c r="N1221" s="3" t="s">
        <v>1038</v>
      </c>
      <c r="P1221" s="3" t="s">
        <v>64</v>
      </c>
      <c r="Q1221" s="2" t="s">
        <v>12267</v>
      </c>
      <c r="R1221" s="3" t="s">
        <v>65</v>
      </c>
      <c r="S1221" s="4">
        <v>57</v>
      </c>
      <c r="T1221" s="4">
        <v>138</v>
      </c>
      <c r="U1221" s="5" t="s">
        <v>12276</v>
      </c>
      <c r="V1221" s="5" t="s">
        <v>2026</v>
      </c>
      <c r="W1221" s="5" t="s">
        <v>67</v>
      </c>
      <c r="X1221" s="5" t="s">
        <v>67</v>
      </c>
      <c r="Y1221" s="4">
        <v>545</v>
      </c>
      <c r="Z1221" s="4">
        <v>31</v>
      </c>
      <c r="AA1221" s="4">
        <v>52</v>
      </c>
      <c r="AB1221" s="4">
        <v>4</v>
      </c>
      <c r="AC1221" s="4">
        <v>23</v>
      </c>
      <c r="AD1221" s="4">
        <v>103</v>
      </c>
      <c r="AE1221" s="4">
        <v>113</v>
      </c>
      <c r="AF1221" s="4">
        <v>1</v>
      </c>
      <c r="AG1221" s="4">
        <v>10</v>
      </c>
      <c r="AH1221" s="4">
        <v>86</v>
      </c>
      <c r="AI1221" s="4">
        <v>87</v>
      </c>
      <c r="AJ1221" s="4">
        <v>17</v>
      </c>
      <c r="AK1221" s="4">
        <v>21</v>
      </c>
      <c r="AL1221" s="4">
        <v>51</v>
      </c>
      <c r="AM1221" s="4">
        <v>51</v>
      </c>
      <c r="AN1221" s="4">
        <v>0</v>
      </c>
      <c r="AO1221" s="4">
        <v>0</v>
      </c>
      <c r="AP1221" s="4">
        <v>23</v>
      </c>
      <c r="AQ1221" s="4">
        <v>32</v>
      </c>
      <c r="AR1221" s="3" t="s">
        <v>62</v>
      </c>
      <c r="AS1221" s="3" t="s">
        <v>62</v>
      </c>
      <c r="AT1221" s="3" t="s">
        <v>62</v>
      </c>
      <c r="AV1221" s="6" t="str">
        <f>HYPERLINK("http://mcgill.on.worldcat.org/oclc/955778308","Catalog Record")</f>
        <v>Catalog Record</v>
      </c>
      <c r="AW1221" s="6" t="str">
        <f>HYPERLINK("http://www.worldcat.org/oclc/955778308","WorldCat Record")</f>
        <v>WorldCat Record</v>
      </c>
      <c r="AX1221" s="3" t="s">
        <v>12268</v>
      </c>
      <c r="AY1221" s="3" t="s">
        <v>12269</v>
      </c>
      <c r="AZ1221" s="3" t="s">
        <v>12270</v>
      </c>
      <c r="BA1221" s="3" t="s">
        <v>12270</v>
      </c>
      <c r="BB1221" s="3" t="s">
        <v>12277</v>
      </c>
      <c r="BC1221" s="3" t="s">
        <v>102</v>
      </c>
      <c r="BD1221" s="3" t="s">
        <v>231</v>
      </c>
      <c r="BE1221" s="3" t="s">
        <v>12272</v>
      </c>
      <c r="BF1221" s="3" t="s">
        <v>12277</v>
      </c>
      <c r="BG1221" s="3" t="s">
        <v>12278</v>
      </c>
    </row>
    <row r="1222" spans="1:59" ht="58" x14ac:dyDescent="0.35">
      <c r="A1222" s="2" t="s">
        <v>89</v>
      </c>
      <c r="B1222" s="2" t="s">
        <v>90</v>
      </c>
      <c r="C1222" s="2" t="s">
        <v>12279</v>
      </c>
      <c r="D1222" s="2" t="s">
        <v>12280</v>
      </c>
      <c r="E1222" s="2" t="s">
        <v>12281</v>
      </c>
      <c r="G1222" s="3" t="s">
        <v>62</v>
      </c>
      <c r="I1222" s="3" t="s">
        <v>62</v>
      </c>
      <c r="J1222" s="3" t="s">
        <v>62</v>
      </c>
      <c r="K1222" s="3" t="s">
        <v>63</v>
      </c>
      <c r="M1222" s="2" t="s">
        <v>12282</v>
      </c>
      <c r="N1222" s="3" t="s">
        <v>698</v>
      </c>
      <c r="P1222" s="3" t="s">
        <v>64</v>
      </c>
      <c r="R1222" s="3" t="s">
        <v>65</v>
      </c>
      <c r="S1222" s="4">
        <v>5</v>
      </c>
      <c r="T1222" s="4">
        <v>5</v>
      </c>
      <c r="U1222" s="5" t="s">
        <v>12283</v>
      </c>
      <c r="V1222" s="5" t="s">
        <v>12283</v>
      </c>
      <c r="W1222" s="5" t="s">
        <v>67</v>
      </c>
      <c r="X1222" s="5" t="s">
        <v>67</v>
      </c>
      <c r="Y1222" s="4">
        <v>37</v>
      </c>
      <c r="Z1222" s="4">
        <v>2</v>
      </c>
      <c r="AA1222" s="4">
        <v>8</v>
      </c>
      <c r="AB1222" s="4">
        <v>1</v>
      </c>
      <c r="AC1222" s="4">
        <v>3</v>
      </c>
      <c r="AD1222" s="4">
        <v>10</v>
      </c>
      <c r="AE1222" s="4">
        <v>18</v>
      </c>
      <c r="AF1222" s="4">
        <v>0</v>
      </c>
      <c r="AG1222" s="4">
        <v>0</v>
      </c>
      <c r="AH1222" s="4">
        <v>10</v>
      </c>
      <c r="AI1222" s="4">
        <v>16</v>
      </c>
      <c r="AJ1222" s="4">
        <v>1</v>
      </c>
      <c r="AK1222" s="4">
        <v>3</v>
      </c>
      <c r="AL1222" s="4">
        <v>7</v>
      </c>
      <c r="AM1222" s="4">
        <v>11</v>
      </c>
      <c r="AN1222" s="4">
        <v>0</v>
      </c>
      <c r="AO1222" s="4">
        <v>0</v>
      </c>
      <c r="AP1222" s="4">
        <v>1</v>
      </c>
      <c r="AQ1222" s="4">
        <v>4</v>
      </c>
      <c r="AR1222" s="3" t="s">
        <v>62</v>
      </c>
      <c r="AS1222" s="3" t="s">
        <v>62</v>
      </c>
      <c r="AT1222" s="3" t="s">
        <v>62</v>
      </c>
      <c r="AV1222" s="6" t="str">
        <f>HYPERLINK("http://mcgill.on.worldcat.org/oclc/774480730","Catalog Record")</f>
        <v>Catalog Record</v>
      </c>
      <c r="AW1222" s="6" t="str">
        <f>HYPERLINK("http://www.worldcat.org/oclc/774480730","WorldCat Record")</f>
        <v>WorldCat Record</v>
      </c>
      <c r="AX1222" s="3" t="s">
        <v>12284</v>
      </c>
      <c r="AY1222" s="3" t="s">
        <v>12285</v>
      </c>
      <c r="AZ1222" s="3" t="s">
        <v>12286</v>
      </c>
      <c r="BA1222" s="3" t="s">
        <v>12286</v>
      </c>
      <c r="BB1222" s="3" t="s">
        <v>12287</v>
      </c>
      <c r="BC1222" s="3" t="s">
        <v>102</v>
      </c>
      <c r="BD1222" s="3" t="s">
        <v>68</v>
      </c>
      <c r="BE1222" s="3" t="s">
        <v>12288</v>
      </c>
      <c r="BF1222" s="3" t="s">
        <v>12287</v>
      </c>
      <c r="BG1222" s="3" t="s">
        <v>12289</v>
      </c>
    </row>
    <row r="1223" spans="1:59" ht="58" x14ac:dyDescent="0.35">
      <c r="A1223" s="2" t="s">
        <v>89</v>
      </c>
      <c r="B1223" s="2" t="s">
        <v>90</v>
      </c>
      <c r="C1223" s="2" t="s">
        <v>12290</v>
      </c>
      <c r="D1223" s="2" t="s">
        <v>12291</v>
      </c>
      <c r="E1223" s="2" t="s">
        <v>12292</v>
      </c>
      <c r="G1223" s="3" t="s">
        <v>62</v>
      </c>
      <c r="I1223" s="3" t="s">
        <v>62</v>
      </c>
      <c r="J1223" s="3" t="s">
        <v>62</v>
      </c>
      <c r="K1223" s="3" t="s">
        <v>63</v>
      </c>
      <c r="L1223" s="2" t="s">
        <v>12293</v>
      </c>
      <c r="M1223" s="2" t="s">
        <v>12294</v>
      </c>
      <c r="N1223" s="3" t="s">
        <v>1455</v>
      </c>
      <c r="P1223" s="3" t="s">
        <v>64</v>
      </c>
      <c r="R1223" s="3" t="s">
        <v>65</v>
      </c>
      <c r="S1223" s="4">
        <v>6</v>
      </c>
      <c r="T1223" s="4">
        <v>6</v>
      </c>
      <c r="U1223" s="5" t="s">
        <v>6441</v>
      </c>
      <c r="V1223" s="5" t="s">
        <v>6441</v>
      </c>
      <c r="W1223" s="5" t="s">
        <v>67</v>
      </c>
      <c r="X1223" s="5" t="s">
        <v>67</v>
      </c>
      <c r="Y1223" s="4">
        <v>8</v>
      </c>
      <c r="Z1223" s="4">
        <v>1</v>
      </c>
      <c r="AA1223" s="4">
        <v>3</v>
      </c>
      <c r="AB1223" s="4">
        <v>1</v>
      </c>
      <c r="AC1223" s="4">
        <v>2</v>
      </c>
      <c r="AD1223" s="4">
        <v>1</v>
      </c>
      <c r="AE1223" s="4">
        <v>6</v>
      </c>
      <c r="AF1223" s="4">
        <v>0</v>
      </c>
      <c r="AG1223" s="4">
        <v>1</v>
      </c>
      <c r="AH1223" s="4">
        <v>1</v>
      </c>
      <c r="AI1223" s="4">
        <v>4</v>
      </c>
      <c r="AJ1223" s="4">
        <v>0</v>
      </c>
      <c r="AK1223" s="4">
        <v>2</v>
      </c>
      <c r="AL1223" s="4">
        <v>1</v>
      </c>
      <c r="AM1223" s="4">
        <v>4</v>
      </c>
      <c r="AN1223" s="4">
        <v>0</v>
      </c>
      <c r="AO1223" s="4">
        <v>0</v>
      </c>
      <c r="AP1223" s="4">
        <v>0</v>
      </c>
      <c r="AQ1223" s="4">
        <v>2</v>
      </c>
      <c r="AR1223" s="3" t="s">
        <v>62</v>
      </c>
      <c r="AS1223" s="3" t="s">
        <v>62</v>
      </c>
      <c r="AT1223" s="3" t="s">
        <v>62</v>
      </c>
      <c r="AV1223" s="6" t="str">
        <f>HYPERLINK("http://mcgill.on.worldcat.org/oclc/932096951","Catalog Record")</f>
        <v>Catalog Record</v>
      </c>
      <c r="AW1223" s="6" t="str">
        <f>HYPERLINK("http://www.worldcat.org/oclc/932096951","WorldCat Record")</f>
        <v>WorldCat Record</v>
      </c>
      <c r="AX1223" s="3" t="s">
        <v>12295</v>
      </c>
      <c r="AY1223" s="3" t="s">
        <v>12296</v>
      </c>
      <c r="AZ1223" s="3" t="s">
        <v>12297</v>
      </c>
      <c r="BA1223" s="3" t="s">
        <v>12297</v>
      </c>
      <c r="BB1223" s="3" t="s">
        <v>12298</v>
      </c>
      <c r="BC1223" s="3" t="s">
        <v>102</v>
      </c>
      <c r="BD1223" s="3" t="s">
        <v>231</v>
      </c>
      <c r="BE1223" s="3" t="s">
        <v>12299</v>
      </c>
      <c r="BF1223" s="3" t="s">
        <v>12298</v>
      </c>
      <c r="BG1223" s="3" t="s">
        <v>12300</v>
      </c>
    </row>
    <row r="1224" spans="1:59" ht="101.5" x14ac:dyDescent="0.35">
      <c r="A1224" s="2" t="s">
        <v>89</v>
      </c>
      <c r="B1224" s="2" t="s">
        <v>12301</v>
      </c>
      <c r="C1224" s="2" t="s">
        <v>12302</v>
      </c>
      <c r="D1224" s="2" t="s">
        <v>12303</v>
      </c>
      <c r="E1224" s="2" t="s">
        <v>12304</v>
      </c>
      <c r="G1224" s="3" t="s">
        <v>62</v>
      </c>
      <c r="I1224" s="3" t="s">
        <v>61</v>
      </c>
      <c r="J1224" s="3" t="s">
        <v>62</v>
      </c>
      <c r="K1224" s="3" t="s">
        <v>63</v>
      </c>
      <c r="L1224" s="2" t="s">
        <v>12305</v>
      </c>
      <c r="M1224" s="2" t="s">
        <v>12306</v>
      </c>
      <c r="N1224" s="3" t="s">
        <v>1195</v>
      </c>
      <c r="P1224" s="3" t="s">
        <v>64</v>
      </c>
      <c r="Q1224" s="2" t="s">
        <v>12307</v>
      </c>
      <c r="R1224" s="3" t="s">
        <v>65</v>
      </c>
      <c r="S1224" s="4">
        <v>235</v>
      </c>
      <c r="T1224" s="4">
        <v>388</v>
      </c>
      <c r="U1224" s="5" t="s">
        <v>12137</v>
      </c>
      <c r="V1224" s="5" t="s">
        <v>12308</v>
      </c>
      <c r="W1224" s="5" t="s">
        <v>67</v>
      </c>
      <c r="X1224" s="5" t="s">
        <v>67</v>
      </c>
      <c r="Y1224" s="4">
        <v>735</v>
      </c>
      <c r="Z1224" s="4">
        <v>40</v>
      </c>
      <c r="AA1224" s="4">
        <v>64</v>
      </c>
      <c r="AB1224" s="4">
        <v>5</v>
      </c>
      <c r="AC1224" s="4">
        <v>18</v>
      </c>
      <c r="AD1224" s="4">
        <v>122</v>
      </c>
      <c r="AE1224" s="4">
        <v>142</v>
      </c>
      <c r="AF1224" s="4">
        <v>2</v>
      </c>
      <c r="AG1224" s="4">
        <v>10</v>
      </c>
      <c r="AH1224" s="4">
        <v>99</v>
      </c>
      <c r="AI1224" s="4">
        <v>103</v>
      </c>
      <c r="AJ1224" s="4">
        <v>18</v>
      </c>
      <c r="AK1224" s="4">
        <v>26</v>
      </c>
      <c r="AL1224" s="4">
        <v>55</v>
      </c>
      <c r="AM1224" s="4">
        <v>57</v>
      </c>
      <c r="AN1224" s="4">
        <v>0</v>
      </c>
      <c r="AO1224" s="4">
        <v>0</v>
      </c>
      <c r="AP1224" s="4">
        <v>30</v>
      </c>
      <c r="AQ1224" s="4">
        <v>47</v>
      </c>
      <c r="AR1224" s="3" t="s">
        <v>62</v>
      </c>
      <c r="AS1224" s="3" t="s">
        <v>62</v>
      </c>
      <c r="AT1224" s="3" t="s">
        <v>62</v>
      </c>
      <c r="AV1224" s="6" t="str">
        <f>HYPERLINK("http://mcgill.on.worldcat.org/oclc/71008143","Catalog Record")</f>
        <v>Catalog Record</v>
      </c>
      <c r="AW1224" s="6" t="str">
        <f>HYPERLINK("http://www.worldcat.org/oclc/71008143","WorldCat Record")</f>
        <v>WorldCat Record</v>
      </c>
      <c r="AX1224" s="3" t="s">
        <v>12309</v>
      </c>
      <c r="AY1224" s="3" t="s">
        <v>12310</v>
      </c>
      <c r="AZ1224" s="3" t="s">
        <v>12311</v>
      </c>
      <c r="BA1224" s="3" t="s">
        <v>12311</v>
      </c>
      <c r="BB1224" s="3" t="s">
        <v>12312</v>
      </c>
      <c r="BC1224" s="3" t="s">
        <v>102</v>
      </c>
      <c r="BD1224" s="3" t="s">
        <v>68</v>
      </c>
      <c r="BE1224" s="3" t="s">
        <v>12313</v>
      </c>
      <c r="BF1224" s="3" t="s">
        <v>12312</v>
      </c>
      <c r="BG1224" s="3" t="s">
        <v>12314</v>
      </c>
    </row>
    <row r="1225" spans="1:59" ht="101.5" x14ac:dyDescent="0.35">
      <c r="A1225" s="2" t="s">
        <v>89</v>
      </c>
      <c r="B1225" s="2" t="s">
        <v>12301</v>
      </c>
      <c r="C1225" s="2" t="s">
        <v>12302</v>
      </c>
      <c r="D1225" s="2" t="s">
        <v>12303</v>
      </c>
      <c r="E1225" s="2" t="s">
        <v>12304</v>
      </c>
      <c r="G1225" s="3" t="s">
        <v>62</v>
      </c>
      <c r="I1225" s="3" t="s">
        <v>61</v>
      </c>
      <c r="J1225" s="3" t="s">
        <v>62</v>
      </c>
      <c r="K1225" s="3" t="s">
        <v>63</v>
      </c>
      <c r="L1225" s="2" t="s">
        <v>12305</v>
      </c>
      <c r="M1225" s="2" t="s">
        <v>12306</v>
      </c>
      <c r="N1225" s="3" t="s">
        <v>1195</v>
      </c>
      <c r="P1225" s="3" t="s">
        <v>64</v>
      </c>
      <c r="Q1225" s="2" t="s">
        <v>12307</v>
      </c>
      <c r="R1225" s="3" t="s">
        <v>65</v>
      </c>
      <c r="S1225" s="4">
        <v>153</v>
      </c>
      <c r="T1225" s="4">
        <v>388</v>
      </c>
      <c r="U1225" s="5" t="s">
        <v>12308</v>
      </c>
      <c r="V1225" s="5" t="s">
        <v>12308</v>
      </c>
      <c r="W1225" s="5" t="s">
        <v>67</v>
      </c>
      <c r="X1225" s="5" t="s">
        <v>67</v>
      </c>
      <c r="Y1225" s="4">
        <v>735</v>
      </c>
      <c r="Z1225" s="4">
        <v>40</v>
      </c>
      <c r="AA1225" s="4">
        <v>64</v>
      </c>
      <c r="AB1225" s="4">
        <v>5</v>
      </c>
      <c r="AC1225" s="4">
        <v>18</v>
      </c>
      <c r="AD1225" s="4">
        <v>122</v>
      </c>
      <c r="AE1225" s="4">
        <v>142</v>
      </c>
      <c r="AF1225" s="4">
        <v>2</v>
      </c>
      <c r="AG1225" s="4">
        <v>10</v>
      </c>
      <c r="AH1225" s="4">
        <v>99</v>
      </c>
      <c r="AI1225" s="4">
        <v>103</v>
      </c>
      <c r="AJ1225" s="4">
        <v>18</v>
      </c>
      <c r="AK1225" s="4">
        <v>26</v>
      </c>
      <c r="AL1225" s="4">
        <v>55</v>
      </c>
      <c r="AM1225" s="4">
        <v>57</v>
      </c>
      <c r="AN1225" s="4">
        <v>0</v>
      </c>
      <c r="AO1225" s="4">
        <v>0</v>
      </c>
      <c r="AP1225" s="4">
        <v>30</v>
      </c>
      <c r="AQ1225" s="4">
        <v>47</v>
      </c>
      <c r="AR1225" s="3" t="s">
        <v>62</v>
      </c>
      <c r="AS1225" s="3" t="s">
        <v>62</v>
      </c>
      <c r="AT1225" s="3" t="s">
        <v>62</v>
      </c>
      <c r="AV1225" s="6" t="str">
        <f>HYPERLINK("http://mcgill.on.worldcat.org/oclc/71008143","Catalog Record")</f>
        <v>Catalog Record</v>
      </c>
      <c r="AW1225" s="6" t="str">
        <f>HYPERLINK("http://www.worldcat.org/oclc/71008143","WorldCat Record")</f>
        <v>WorldCat Record</v>
      </c>
      <c r="AX1225" s="3" t="s">
        <v>12309</v>
      </c>
      <c r="AY1225" s="3" t="s">
        <v>12310</v>
      </c>
      <c r="AZ1225" s="3" t="s">
        <v>12311</v>
      </c>
      <c r="BA1225" s="3" t="s">
        <v>12311</v>
      </c>
      <c r="BB1225" s="3" t="s">
        <v>12315</v>
      </c>
      <c r="BC1225" s="3" t="s">
        <v>102</v>
      </c>
      <c r="BD1225" s="3" t="s">
        <v>68</v>
      </c>
      <c r="BE1225" s="3" t="s">
        <v>12313</v>
      </c>
      <c r="BF1225" s="3" t="s">
        <v>12315</v>
      </c>
      <c r="BG1225" s="3" t="s">
        <v>12316</v>
      </c>
    </row>
    <row r="1226" spans="1:59" ht="58" x14ac:dyDescent="0.35">
      <c r="A1226" s="2" t="s">
        <v>89</v>
      </c>
      <c r="B1226" s="2" t="s">
        <v>90</v>
      </c>
      <c r="C1226" s="2" t="s">
        <v>12317</v>
      </c>
      <c r="D1226" s="2" t="s">
        <v>12318</v>
      </c>
      <c r="E1226" s="2" t="s">
        <v>12319</v>
      </c>
      <c r="G1226" s="3" t="s">
        <v>62</v>
      </c>
      <c r="I1226" s="3" t="s">
        <v>61</v>
      </c>
      <c r="J1226" s="3" t="s">
        <v>61</v>
      </c>
      <c r="K1226" s="3" t="s">
        <v>63</v>
      </c>
      <c r="L1226" s="2" t="s">
        <v>12320</v>
      </c>
      <c r="M1226" s="2" t="s">
        <v>12321</v>
      </c>
      <c r="N1226" s="3" t="s">
        <v>866</v>
      </c>
      <c r="P1226" s="3" t="s">
        <v>64</v>
      </c>
      <c r="Q1226" s="2" t="s">
        <v>12322</v>
      </c>
      <c r="R1226" s="3" t="s">
        <v>65</v>
      </c>
      <c r="S1226" s="4">
        <v>17</v>
      </c>
      <c r="T1226" s="4">
        <v>63</v>
      </c>
      <c r="U1226" s="5" t="s">
        <v>66</v>
      </c>
      <c r="V1226" s="5" t="s">
        <v>66</v>
      </c>
      <c r="W1226" s="5" t="s">
        <v>67</v>
      </c>
      <c r="X1226" s="5" t="s">
        <v>67</v>
      </c>
      <c r="Y1226" s="4">
        <v>400</v>
      </c>
      <c r="Z1226" s="4">
        <v>25</v>
      </c>
      <c r="AA1226" s="4">
        <v>106</v>
      </c>
      <c r="AB1226" s="4">
        <v>2</v>
      </c>
      <c r="AC1226" s="4">
        <v>21</v>
      </c>
      <c r="AD1226" s="4">
        <v>105</v>
      </c>
      <c r="AE1226" s="4">
        <v>155</v>
      </c>
      <c r="AF1226" s="4">
        <v>1</v>
      </c>
      <c r="AG1226" s="4">
        <v>10</v>
      </c>
      <c r="AH1226" s="4">
        <v>92</v>
      </c>
      <c r="AI1226" s="4">
        <v>109</v>
      </c>
      <c r="AJ1226" s="4">
        <v>15</v>
      </c>
      <c r="AK1226" s="4">
        <v>28</v>
      </c>
      <c r="AL1226" s="4">
        <v>56</v>
      </c>
      <c r="AM1226" s="4">
        <v>59</v>
      </c>
      <c r="AN1226" s="4">
        <v>0</v>
      </c>
      <c r="AO1226" s="4">
        <v>0</v>
      </c>
      <c r="AP1226" s="4">
        <v>18</v>
      </c>
      <c r="AQ1226" s="4">
        <v>53</v>
      </c>
      <c r="AR1226" s="3" t="s">
        <v>62</v>
      </c>
      <c r="AS1226" s="3" t="s">
        <v>62</v>
      </c>
      <c r="AT1226" s="3" t="s">
        <v>61</v>
      </c>
      <c r="AU1226" s="6" t="str">
        <f>HYPERLINK("http://catalog.hathitrust.org/Record/000137662","HathiTrust Record")</f>
        <v>HathiTrust Record</v>
      </c>
      <c r="AV1226" s="6" t="str">
        <f>HYPERLINK("http://mcgill.on.worldcat.org/oclc/323881","Catalog Record")</f>
        <v>Catalog Record</v>
      </c>
      <c r="AW1226" s="6" t="str">
        <f>HYPERLINK("http://www.worldcat.org/oclc/323881","WorldCat Record")</f>
        <v>WorldCat Record</v>
      </c>
      <c r="AX1226" s="3" t="s">
        <v>12323</v>
      </c>
      <c r="AY1226" s="3" t="s">
        <v>12324</v>
      </c>
      <c r="AZ1226" s="3" t="s">
        <v>12325</v>
      </c>
      <c r="BA1226" s="3" t="s">
        <v>12325</v>
      </c>
      <c r="BB1226" s="3" t="s">
        <v>12326</v>
      </c>
      <c r="BC1226" s="3" t="s">
        <v>102</v>
      </c>
      <c r="BD1226" s="3" t="s">
        <v>68</v>
      </c>
      <c r="BE1226" s="3" t="s">
        <v>12327</v>
      </c>
      <c r="BF1226" s="3" t="s">
        <v>12326</v>
      </c>
      <c r="BG1226" s="3" t="s">
        <v>12328</v>
      </c>
    </row>
    <row r="1227" spans="1:59" ht="58" x14ac:dyDescent="0.35">
      <c r="A1227" s="2" t="s">
        <v>89</v>
      </c>
      <c r="B1227" s="2" t="s">
        <v>90</v>
      </c>
      <c r="C1227" s="2" t="s">
        <v>12329</v>
      </c>
      <c r="D1227" s="2" t="s">
        <v>12330</v>
      </c>
      <c r="E1227" s="2" t="s">
        <v>12331</v>
      </c>
      <c r="G1227" s="3" t="s">
        <v>62</v>
      </c>
      <c r="I1227" s="3" t="s">
        <v>61</v>
      </c>
      <c r="J1227" s="3" t="s">
        <v>62</v>
      </c>
      <c r="K1227" s="3" t="s">
        <v>63</v>
      </c>
      <c r="L1227" s="2" t="s">
        <v>12332</v>
      </c>
      <c r="M1227" s="2" t="s">
        <v>12333</v>
      </c>
      <c r="N1227" s="3" t="s">
        <v>186</v>
      </c>
      <c r="P1227" s="3" t="s">
        <v>64</v>
      </c>
      <c r="Q1227" s="2" t="s">
        <v>12334</v>
      </c>
      <c r="R1227" s="3" t="s">
        <v>65</v>
      </c>
      <c r="S1227" s="4">
        <v>14</v>
      </c>
      <c r="T1227" s="4">
        <v>39</v>
      </c>
      <c r="U1227" s="5" t="s">
        <v>4134</v>
      </c>
      <c r="V1227" s="5" t="s">
        <v>12335</v>
      </c>
      <c r="W1227" s="5" t="s">
        <v>67</v>
      </c>
      <c r="X1227" s="5" t="s">
        <v>67</v>
      </c>
      <c r="Y1227" s="4">
        <v>432</v>
      </c>
      <c r="Z1227" s="4">
        <v>23</v>
      </c>
      <c r="AA1227" s="4">
        <v>27</v>
      </c>
      <c r="AB1227" s="4">
        <v>1</v>
      </c>
      <c r="AC1227" s="4">
        <v>5</v>
      </c>
      <c r="AD1227" s="4">
        <v>109</v>
      </c>
      <c r="AE1227" s="4">
        <v>112</v>
      </c>
      <c r="AF1227" s="4">
        <v>0</v>
      </c>
      <c r="AG1227" s="4">
        <v>3</v>
      </c>
      <c r="AH1227" s="4">
        <v>92</v>
      </c>
      <c r="AI1227" s="4">
        <v>93</v>
      </c>
      <c r="AJ1227" s="4">
        <v>12</v>
      </c>
      <c r="AK1227" s="4">
        <v>15</v>
      </c>
      <c r="AL1227" s="4">
        <v>58</v>
      </c>
      <c r="AM1227" s="4">
        <v>58</v>
      </c>
      <c r="AN1227" s="4">
        <v>0</v>
      </c>
      <c r="AO1227" s="4">
        <v>0</v>
      </c>
      <c r="AP1227" s="4">
        <v>18</v>
      </c>
      <c r="AQ1227" s="4">
        <v>20</v>
      </c>
      <c r="AR1227" s="3" t="s">
        <v>62</v>
      </c>
      <c r="AS1227" s="3" t="s">
        <v>62</v>
      </c>
      <c r="AT1227" s="3" t="s">
        <v>61</v>
      </c>
      <c r="AU1227" s="6" t="str">
        <f>HYPERLINK("http://catalog.hathitrust.org/Record/000024053","HathiTrust Record")</f>
        <v>HathiTrust Record</v>
      </c>
      <c r="AV1227" s="6" t="str">
        <f>HYPERLINK("http://mcgill.on.worldcat.org/oclc/1057017","Catalog Record")</f>
        <v>Catalog Record</v>
      </c>
      <c r="AW1227" s="6" t="str">
        <f>HYPERLINK("http://www.worldcat.org/oclc/1057017","WorldCat Record")</f>
        <v>WorldCat Record</v>
      </c>
      <c r="AX1227" s="3" t="s">
        <v>12336</v>
      </c>
      <c r="AY1227" s="3" t="s">
        <v>12337</v>
      </c>
      <c r="AZ1227" s="3" t="s">
        <v>12338</v>
      </c>
      <c r="BA1227" s="3" t="s">
        <v>12338</v>
      </c>
      <c r="BB1227" s="3" t="s">
        <v>12339</v>
      </c>
      <c r="BC1227" s="3" t="s">
        <v>102</v>
      </c>
      <c r="BD1227" s="3" t="s">
        <v>68</v>
      </c>
      <c r="BE1227" s="3" t="s">
        <v>12340</v>
      </c>
      <c r="BF1227" s="3" t="s">
        <v>12339</v>
      </c>
      <c r="BG1227" s="3" t="s">
        <v>12341</v>
      </c>
    </row>
    <row r="1228" spans="1:59" ht="58" x14ac:dyDescent="0.35">
      <c r="A1228" s="2" t="s">
        <v>89</v>
      </c>
      <c r="B1228" s="2" t="s">
        <v>90</v>
      </c>
      <c r="C1228" s="2" t="s">
        <v>12342</v>
      </c>
      <c r="D1228" s="2" t="s">
        <v>12343</v>
      </c>
      <c r="E1228" s="2" t="s">
        <v>12344</v>
      </c>
      <c r="G1228" s="3" t="s">
        <v>62</v>
      </c>
      <c r="I1228" s="3" t="s">
        <v>62</v>
      </c>
      <c r="J1228" s="3" t="s">
        <v>62</v>
      </c>
      <c r="K1228" s="3" t="s">
        <v>63</v>
      </c>
      <c r="M1228" s="2" t="s">
        <v>12345</v>
      </c>
      <c r="N1228" s="3" t="s">
        <v>396</v>
      </c>
      <c r="P1228" s="3" t="s">
        <v>64</v>
      </c>
      <c r="Q1228" s="2" t="s">
        <v>12346</v>
      </c>
      <c r="R1228" s="3" t="s">
        <v>65</v>
      </c>
      <c r="S1228" s="4">
        <v>1</v>
      </c>
      <c r="T1228" s="4">
        <v>1</v>
      </c>
      <c r="U1228" s="5" t="s">
        <v>12137</v>
      </c>
      <c r="V1228" s="5" t="s">
        <v>12137</v>
      </c>
      <c r="W1228" s="5" t="s">
        <v>67</v>
      </c>
      <c r="X1228" s="5" t="s">
        <v>67</v>
      </c>
      <c r="Y1228" s="4">
        <v>171</v>
      </c>
      <c r="Z1228" s="4">
        <v>14</v>
      </c>
      <c r="AA1228" s="4">
        <v>16</v>
      </c>
      <c r="AB1228" s="4">
        <v>1</v>
      </c>
      <c r="AC1228" s="4">
        <v>3</v>
      </c>
      <c r="AD1228" s="4">
        <v>80</v>
      </c>
      <c r="AE1228" s="4">
        <v>82</v>
      </c>
      <c r="AF1228" s="4">
        <v>0</v>
      </c>
      <c r="AG1228" s="4">
        <v>2</v>
      </c>
      <c r="AH1228" s="4">
        <v>74</v>
      </c>
      <c r="AI1228" s="4">
        <v>75</v>
      </c>
      <c r="AJ1228" s="4">
        <v>11</v>
      </c>
      <c r="AK1228" s="4">
        <v>13</v>
      </c>
      <c r="AL1228" s="4">
        <v>43</v>
      </c>
      <c r="AM1228" s="4">
        <v>43</v>
      </c>
      <c r="AN1228" s="4">
        <v>0</v>
      </c>
      <c r="AO1228" s="4">
        <v>0</v>
      </c>
      <c r="AP1228" s="4">
        <v>12</v>
      </c>
      <c r="AQ1228" s="4">
        <v>14</v>
      </c>
      <c r="AR1228" s="3" t="s">
        <v>62</v>
      </c>
      <c r="AS1228" s="3" t="s">
        <v>62</v>
      </c>
      <c r="AT1228" s="3" t="s">
        <v>61</v>
      </c>
      <c r="AU1228" s="6" t="str">
        <f>HYPERLINK("http://catalog.hathitrust.org/Record/000538820","HathiTrust Record")</f>
        <v>HathiTrust Record</v>
      </c>
      <c r="AV1228" s="6" t="str">
        <f>HYPERLINK("http://mcgill.on.worldcat.org/oclc/11533566","Catalog Record")</f>
        <v>Catalog Record</v>
      </c>
      <c r="AW1228" s="6" t="str">
        <f>HYPERLINK("http://www.worldcat.org/oclc/11533566","WorldCat Record")</f>
        <v>WorldCat Record</v>
      </c>
      <c r="AX1228" s="3" t="s">
        <v>12347</v>
      </c>
      <c r="AY1228" s="3" t="s">
        <v>12348</v>
      </c>
      <c r="AZ1228" s="3" t="s">
        <v>12349</v>
      </c>
      <c r="BA1228" s="3" t="s">
        <v>12349</v>
      </c>
      <c r="BB1228" s="3" t="s">
        <v>12350</v>
      </c>
      <c r="BC1228" s="3" t="s">
        <v>102</v>
      </c>
      <c r="BD1228" s="3" t="s">
        <v>68</v>
      </c>
      <c r="BE1228" s="3" t="s">
        <v>12351</v>
      </c>
      <c r="BF1228" s="3" t="s">
        <v>12350</v>
      </c>
      <c r="BG1228" s="3" t="s">
        <v>12352</v>
      </c>
    </row>
    <row r="1229" spans="1:59" ht="58" x14ac:dyDescent="0.35">
      <c r="A1229" s="2" t="s">
        <v>89</v>
      </c>
      <c r="B1229" s="2" t="s">
        <v>90</v>
      </c>
      <c r="C1229" s="2" t="s">
        <v>12353</v>
      </c>
      <c r="D1229" s="2" t="s">
        <v>12354</v>
      </c>
      <c r="E1229" s="2" t="s">
        <v>12355</v>
      </c>
      <c r="G1229" s="3" t="s">
        <v>62</v>
      </c>
      <c r="H1229" s="3" t="s">
        <v>916</v>
      </c>
      <c r="I1229" s="3" t="s">
        <v>62</v>
      </c>
      <c r="J1229" s="3" t="s">
        <v>62</v>
      </c>
      <c r="K1229" s="3" t="s">
        <v>63</v>
      </c>
      <c r="L1229" s="2" t="s">
        <v>12356</v>
      </c>
      <c r="M1229" s="2" t="s">
        <v>12357</v>
      </c>
      <c r="N1229" s="3" t="s">
        <v>2085</v>
      </c>
      <c r="P1229" s="3" t="s">
        <v>64</v>
      </c>
      <c r="R1229" s="3" t="s">
        <v>65</v>
      </c>
      <c r="S1229" s="4">
        <v>1</v>
      </c>
      <c r="T1229" s="4">
        <v>1</v>
      </c>
      <c r="W1229" s="5" t="s">
        <v>3110</v>
      </c>
      <c r="X1229" s="5" t="s">
        <v>3110</v>
      </c>
      <c r="Y1229" s="4">
        <v>34</v>
      </c>
      <c r="Z1229" s="4">
        <v>1</v>
      </c>
      <c r="AA1229" s="4">
        <v>3</v>
      </c>
      <c r="AB1229" s="4">
        <v>1</v>
      </c>
      <c r="AC1229" s="4">
        <v>3</v>
      </c>
      <c r="AD1229" s="4">
        <v>10</v>
      </c>
      <c r="AE1229" s="4">
        <v>10</v>
      </c>
      <c r="AF1229" s="4">
        <v>0</v>
      </c>
      <c r="AG1229" s="4">
        <v>0</v>
      </c>
      <c r="AH1229" s="4">
        <v>10</v>
      </c>
      <c r="AI1229" s="4">
        <v>10</v>
      </c>
      <c r="AJ1229" s="4">
        <v>0</v>
      </c>
      <c r="AK1229" s="4">
        <v>0</v>
      </c>
      <c r="AL1229" s="4">
        <v>6</v>
      </c>
      <c r="AM1229" s="4">
        <v>6</v>
      </c>
      <c r="AN1229" s="4">
        <v>0</v>
      </c>
      <c r="AO1229" s="4">
        <v>0</v>
      </c>
      <c r="AP1229" s="4">
        <v>0</v>
      </c>
      <c r="AQ1229" s="4">
        <v>0</v>
      </c>
      <c r="AR1229" s="3" t="s">
        <v>62</v>
      </c>
      <c r="AS1229" s="3" t="s">
        <v>62</v>
      </c>
      <c r="AT1229" s="3" t="s">
        <v>62</v>
      </c>
      <c r="AV1229" s="6" t="str">
        <f>HYPERLINK("http://mcgill.on.worldcat.org/oclc/983971666","Catalog Record")</f>
        <v>Catalog Record</v>
      </c>
      <c r="AW1229" s="6" t="str">
        <f>HYPERLINK("http://www.worldcat.org/oclc/983971666","WorldCat Record")</f>
        <v>WorldCat Record</v>
      </c>
      <c r="AX1229" s="3" t="s">
        <v>12358</v>
      </c>
      <c r="AY1229" s="3" t="s">
        <v>12359</v>
      </c>
      <c r="AZ1229" s="3" t="s">
        <v>12360</v>
      </c>
      <c r="BA1229" s="3" t="s">
        <v>12360</v>
      </c>
      <c r="BB1229" s="3" t="s">
        <v>12361</v>
      </c>
      <c r="BC1229" s="3" t="s">
        <v>102</v>
      </c>
      <c r="BD1229" s="3" t="s">
        <v>231</v>
      </c>
      <c r="BE1229" s="3" t="s">
        <v>12362</v>
      </c>
      <c r="BF1229" s="3" t="s">
        <v>12361</v>
      </c>
      <c r="BG1229" s="3" t="s">
        <v>12363</v>
      </c>
    </row>
    <row r="1230" spans="1:59" ht="58" x14ac:dyDescent="0.35">
      <c r="A1230" s="2" t="s">
        <v>89</v>
      </c>
      <c r="B1230" s="2" t="s">
        <v>90</v>
      </c>
      <c r="C1230" s="2" t="s">
        <v>12364</v>
      </c>
      <c r="D1230" s="2" t="s">
        <v>12365</v>
      </c>
      <c r="E1230" s="2" t="s">
        <v>12366</v>
      </c>
      <c r="G1230" s="3" t="s">
        <v>62</v>
      </c>
      <c r="H1230" s="3" t="s">
        <v>916</v>
      </c>
      <c r="I1230" s="3" t="s">
        <v>62</v>
      </c>
      <c r="J1230" s="3" t="s">
        <v>62</v>
      </c>
      <c r="K1230" s="3" t="s">
        <v>63</v>
      </c>
      <c r="L1230" s="2" t="s">
        <v>12367</v>
      </c>
      <c r="M1230" s="2" t="s">
        <v>12368</v>
      </c>
      <c r="N1230" s="3" t="s">
        <v>741</v>
      </c>
      <c r="O1230" s="2" t="s">
        <v>1941</v>
      </c>
      <c r="P1230" s="3" t="s">
        <v>64</v>
      </c>
      <c r="R1230" s="3" t="s">
        <v>65</v>
      </c>
      <c r="S1230" s="4">
        <v>0</v>
      </c>
      <c r="T1230" s="4">
        <v>0</v>
      </c>
      <c r="W1230" s="5" t="s">
        <v>12369</v>
      </c>
      <c r="X1230" s="5" t="s">
        <v>12369</v>
      </c>
      <c r="Y1230" s="4">
        <v>712</v>
      </c>
      <c r="Z1230" s="4">
        <v>21</v>
      </c>
      <c r="AA1230" s="4">
        <v>24</v>
      </c>
      <c r="AB1230" s="4">
        <v>2</v>
      </c>
      <c r="AC1230" s="4">
        <v>3</v>
      </c>
      <c r="AD1230" s="4">
        <v>58</v>
      </c>
      <c r="AE1230" s="4">
        <v>61</v>
      </c>
      <c r="AF1230" s="4">
        <v>0</v>
      </c>
      <c r="AG1230" s="4">
        <v>0</v>
      </c>
      <c r="AH1230" s="4">
        <v>49</v>
      </c>
      <c r="AI1230" s="4">
        <v>52</v>
      </c>
      <c r="AJ1230" s="4">
        <v>4</v>
      </c>
      <c r="AK1230" s="4">
        <v>4</v>
      </c>
      <c r="AL1230" s="4">
        <v>33</v>
      </c>
      <c r="AM1230" s="4">
        <v>35</v>
      </c>
      <c r="AN1230" s="4">
        <v>0</v>
      </c>
      <c r="AO1230" s="4">
        <v>0</v>
      </c>
      <c r="AP1230" s="4">
        <v>10</v>
      </c>
      <c r="AQ1230" s="4">
        <v>10</v>
      </c>
      <c r="AR1230" s="3" t="s">
        <v>62</v>
      </c>
      <c r="AS1230" s="3" t="s">
        <v>62</v>
      </c>
      <c r="AT1230" s="3" t="s">
        <v>62</v>
      </c>
      <c r="AV1230" s="6" t="str">
        <f>HYPERLINK("http://mcgill.on.worldcat.org/oclc/1060183461","Catalog Record")</f>
        <v>Catalog Record</v>
      </c>
      <c r="AW1230" s="6" t="str">
        <f>HYPERLINK("http://www.worldcat.org/oclc/1060183461","WorldCat Record")</f>
        <v>WorldCat Record</v>
      </c>
      <c r="AX1230" s="3" t="s">
        <v>12370</v>
      </c>
      <c r="AY1230" s="3" t="s">
        <v>12371</v>
      </c>
      <c r="AZ1230" s="3" t="s">
        <v>12372</v>
      </c>
      <c r="BA1230" s="3" t="s">
        <v>12372</v>
      </c>
      <c r="BB1230" s="3" t="s">
        <v>12373</v>
      </c>
      <c r="BC1230" s="3" t="s">
        <v>102</v>
      </c>
      <c r="BD1230" s="3" t="s">
        <v>68</v>
      </c>
      <c r="BE1230" s="3" t="s">
        <v>12374</v>
      </c>
      <c r="BF1230" s="3" t="s">
        <v>12373</v>
      </c>
      <c r="BG1230" s="3" t="s">
        <v>12375</v>
      </c>
    </row>
    <row r="1231" spans="1:59" ht="58" x14ac:dyDescent="0.35">
      <c r="A1231" s="2" t="s">
        <v>89</v>
      </c>
      <c r="B1231" s="2" t="s">
        <v>90</v>
      </c>
      <c r="C1231" s="2" t="s">
        <v>12376</v>
      </c>
      <c r="D1231" s="2" t="s">
        <v>12377</v>
      </c>
      <c r="E1231" s="2" t="s">
        <v>12378</v>
      </c>
      <c r="G1231" s="3" t="s">
        <v>62</v>
      </c>
      <c r="I1231" s="3" t="s">
        <v>62</v>
      </c>
      <c r="J1231" s="3" t="s">
        <v>62</v>
      </c>
      <c r="K1231" s="3" t="s">
        <v>63</v>
      </c>
      <c r="L1231" s="2" t="s">
        <v>12379</v>
      </c>
      <c r="M1231" s="2" t="s">
        <v>12380</v>
      </c>
      <c r="N1231" s="3" t="s">
        <v>1195</v>
      </c>
      <c r="P1231" s="3" t="s">
        <v>64</v>
      </c>
      <c r="Q1231" s="2" t="s">
        <v>12381</v>
      </c>
      <c r="R1231" s="3" t="s">
        <v>65</v>
      </c>
      <c r="S1231" s="4">
        <v>4</v>
      </c>
      <c r="T1231" s="4">
        <v>4</v>
      </c>
      <c r="U1231" s="5" t="s">
        <v>12137</v>
      </c>
      <c r="V1231" s="5" t="s">
        <v>12137</v>
      </c>
      <c r="W1231" s="5" t="s">
        <v>67</v>
      </c>
      <c r="X1231" s="5" t="s">
        <v>67</v>
      </c>
      <c r="Y1231" s="4">
        <v>83</v>
      </c>
      <c r="Z1231" s="4">
        <v>8</v>
      </c>
      <c r="AA1231" s="4">
        <v>8</v>
      </c>
      <c r="AB1231" s="4">
        <v>1</v>
      </c>
      <c r="AC1231" s="4">
        <v>1</v>
      </c>
      <c r="AD1231" s="4">
        <v>40</v>
      </c>
      <c r="AE1231" s="4">
        <v>40</v>
      </c>
      <c r="AF1231" s="4">
        <v>0</v>
      </c>
      <c r="AG1231" s="4">
        <v>0</v>
      </c>
      <c r="AH1231" s="4">
        <v>38</v>
      </c>
      <c r="AI1231" s="4">
        <v>38</v>
      </c>
      <c r="AJ1231" s="4">
        <v>5</v>
      </c>
      <c r="AK1231" s="4">
        <v>5</v>
      </c>
      <c r="AL1231" s="4">
        <v>22</v>
      </c>
      <c r="AM1231" s="4">
        <v>22</v>
      </c>
      <c r="AN1231" s="4">
        <v>0</v>
      </c>
      <c r="AO1231" s="4">
        <v>0</v>
      </c>
      <c r="AP1231" s="4">
        <v>5</v>
      </c>
      <c r="AQ1231" s="4">
        <v>5</v>
      </c>
      <c r="AR1231" s="3" t="s">
        <v>62</v>
      </c>
      <c r="AS1231" s="3" t="s">
        <v>62</v>
      </c>
      <c r="AT1231" s="3" t="s">
        <v>62</v>
      </c>
      <c r="AV1231" s="6" t="str">
        <f>HYPERLINK("http://mcgill.on.worldcat.org/oclc/76949190","Catalog Record")</f>
        <v>Catalog Record</v>
      </c>
      <c r="AW1231" s="6" t="str">
        <f>HYPERLINK("http://www.worldcat.org/oclc/76949190","WorldCat Record")</f>
        <v>WorldCat Record</v>
      </c>
      <c r="AX1231" s="3" t="s">
        <v>12382</v>
      </c>
      <c r="AY1231" s="3" t="s">
        <v>12383</v>
      </c>
      <c r="AZ1231" s="3" t="s">
        <v>12384</v>
      </c>
      <c r="BA1231" s="3" t="s">
        <v>12384</v>
      </c>
      <c r="BB1231" s="3" t="s">
        <v>12385</v>
      </c>
      <c r="BC1231" s="3" t="s">
        <v>102</v>
      </c>
      <c r="BD1231" s="3" t="s">
        <v>68</v>
      </c>
      <c r="BE1231" s="3" t="s">
        <v>12386</v>
      </c>
      <c r="BF1231" s="3" t="s">
        <v>12385</v>
      </c>
      <c r="BG1231" s="3" t="s">
        <v>12387</v>
      </c>
    </row>
    <row r="1232" spans="1:59" ht="58" x14ac:dyDescent="0.35">
      <c r="A1232" s="2" t="s">
        <v>89</v>
      </c>
      <c r="B1232" s="2" t="s">
        <v>90</v>
      </c>
      <c r="C1232" s="2" t="s">
        <v>12388</v>
      </c>
      <c r="D1232" s="2" t="s">
        <v>12389</v>
      </c>
      <c r="E1232" s="2" t="s">
        <v>12390</v>
      </c>
      <c r="G1232" s="3" t="s">
        <v>62</v>
      </c>
      <c r="I1232" s="3" t="s">
        <v>62</v>
      </c>
      <c r="J1232" s="3" t="s">
        <v>61</v>
      </c>
      <c r="K1232" s="3" t="s">
        <v>63</v>
      </c>
      <c r="L1232" s="2" t="s">
        <v>12391</v>
      </c>
      <c r="M1232" s="2" t="s">
        <v>12392</v>
      </c>
      <c r="N1232" s="3" t="s">
        <v>87</v>
      </c>
      <c r="P1232" s="3" t="s">
        <v>64</v>
      </c>
      <c r="R1232" s="3" t="s">
        <v>65</v>
      </c>
      <c r="S1232" s="4">
        <v>8</v>
      </c>
      <c r="T1232" s="4">
        <v>8</v>
      </c>
      <c r="U1232" s="5" t="s">
        <v>12393</v>
      </c>
      <c r="V1232" s="5" t="s">
        <v>12393</v>
      </c>
      <c r="W1232" s="5" t="s">
        <v>67</v>
      </c>
      <c r="X1232" s="5" t="s">
        <v>67</v>
      </c>
      <c r="Y1232" s="4">
        <v>5</v>
      </c>
      <c r="Z1232" s="4">
        <v>2</v>
      </c>
      <c r="AA1232" s="4">
        <v>61</v>
      </c>
      <c r="AB1232" s="4">
        <v>1</v>
      </c>
      <c r="AC1232" s="4">
        <v>6</v>
      </c>
      <c r="AD1232" s="4">
        <v>0</v>
      </c>
      <c r="AE1232" s="4">
        <v>147</v>
      </c>
      <c r="AF1232" s="4">
        <v>0</v>
      </c>
      <c r="AG1232" s="4">
        <v>4</v>
      </c>
      <c r="AH1232" s="4">
        <v>0</v>
      </c>
      <c r="AI1232" s="4">
        <v>110</v>
      </c>
      <c r="AJ1232" s="4">
        <v>0</v>
      </c>
      <c r="AK1232" s="4">
        <v>29</v>
      </c>
      <c r="AL1232" s="4">
        <v>0</v>
      </c>
      <c r="AM1232" s="4">
        <v>61</v>
      </c>
      <c r="AN1232" s="4">
        <v>0</v>
      </c>
      <c r="AO1232" s="4">
        <v>0</v>
      </c>
      <c r="AP1232" s="4">
        <v>0</v>
      </c>
      <c r="AQ1232" s="4">
        <v>41</v>
      </c>
      <c r="AR1232" s="3" t="s">
        <v>62</v>
      </c>
      <c r="AS1232" s="3" t="s">
        <v>62</v>
      </c>
      <c r="AT1232" s="3" t="s">
        <v>62</v>
      </c>
      <c r="AV1232" s="6" t="str">
        <f>HYPERLINK("http://mcgill.on.worldcat.org/oclc/428001260","Catalog Record")</f>
        <v>Catalog Record</v>
      </c>
      <c r="AW1232" s="6" t="str">
        <f>HYPERLINK("http://www.worldcat.org/oclc/428001260","WorldCat Record")</f>
        <v>WorldCat Record</v>
      </c>
      <c r="AX1232" s="3" t="s">
        <v>12394</v>
      </c>
      <c r="AY1232" s="3" t="s">
        <v>12395</v>
      </c>
      <c r="AZ1232" s="3" t="s">
        <v>12396</v>
      </c>
      <c r="BA1232" s="3" t="s">
        <v>12396</v>
      </c>
      <c r="BB1232" s="3" t="s">
        <v>12397</v>
      </c>
      <c r="BC1232" s="3" t="s">
        <v>102</v>
      </c>
      <c r="BD1232" s="3" t="s">
        <v>68</v>
      </c>
      <c r="BE1232" s="3" t="s">
        <v>12398</v>
      </c>
      <c r="BF1232" s="3" t="s">
        <v>12397</v>
      </c>
      <c r="BG1232" s="3" t="s">
        <v>12399</v>
      </c>
    </row>
    <row r="1233" spans="1:59" ht="58" x14ac:dyDescent="0.35">
      <c r="A1233" s="2" t="s">
        <v>89</v>
      </c>
      <c r="B1233" s="2" t="s">
        <v>90</v>
      </c>
      <c r="C1233" s="2" t="s">
        <v>12400</v>
      </c>
      <c r="D1233" s="2" t="s">
        <v>12401</v>
      </c>
      <c r="E1233" s="2" t="s">
        <v>12402</v>
      </c>
      <c r="G1233" s="3" t="s">
        <v>62</v>
      </c>
      <c r="I1233" s="3" t="s">
        <v>62</v>
      </c>
      <c r="J1233" s="3" t="s">
        <v>62</v>
      </c>
      <c r="K1233" s="3" t="s">
        <v>63</v>
      </c>
      <c r="L1233" s="2" t="s">
        <v>12403</v>
      </c>
      <c r="M1233" s="2" t="s">
        <v>12404</v>
      </c>
      <c r="N1233" s="3" t="s">
        <v>1639</v>
      </c>
      <c r="P1233" s="3" t="s">
        <v>64</v>
      </c>
      <c r="R1233" s="3" t="s">
        <v>65</v>
      </c>
      <c r="S1233" s="4">
        <v>5</v>
      </c>
      <c r="T1233" s="4">
        <v>5</v>
      </c>
      <c r="U1233" s="5" t="s">
        <v>6903</v>
      </c>
      <c r="V1233" s="5" t="s">
        <v>6903</v>
      </c>
      <c r="W1233" s="5" t="s">
        <v>67</v>
      </c>
      <c r="X1233" s="5" t="s">
        <v>67</v>
      </c>
      <c r="Y1233" s="4">
        <v>480</v>
      </c>
      <c r="Z1233" s="4">
        <v>31</v>
      </c>
      <c r="AA1233" s="4">
        <v>33</v>
      </c>
      <c r="AB1233" s="4">
        <v>2</v>
      </c>
      <c r="AC1233" s="4">
        <v>4</v>
      </c>
      <c r="AD1233" s="4">
        <v>118</v>
      </c>
      <c r="AE1233" s="4">
        <v>120</v>
      </c>
      <c r="AF1233" s="4">
        <v>1</v>
      </c>
      <c r="AG1233" s="4">
        <v>3</v>
      </c>
      <c r="AH1233" s="4">
        <v>103</v>
      </c>
      <c r="AI1233" s="4">
        <v>104</v>
      </c>
      <c r="AJ1233" s="4">
        <v>20</v>
      </c>
      <c r="AK1233" s="4">
        <v>22</v>
      </c>
      <c r="AL1233" s="4">
        <v>51</v>
      </c>
      <c r="AM1233" s="4">
        <v>51</v>
      </c>
      <c r="AN1233" s="4">
        <v>0</v>
      </c>
      <c r="AO1233" s="4">
        <v>0</v>
      </c>
      <c r="AP1233" s="4">
        <v>24</v>
      </c>
      <c r="AQ1233" s="4">
        <v>25</v>
      </c>
      <c r="AR1233" s="3" t="s">
        <v>62</v>
      </c>
      <c r="AS1233" s="3" t="s">
        <v>62</v>
      </c>
      <c r="AT1233" s="3" t="s">
        <v>61</v>
      </c>
      <c r="AU1233" s="6" t="str">
        <f>HYPERLINK("http://catalog.hathitrust.org/Record/001475187","HathiTrust Record")</f>
        <v>HathiTrust Record</v>
      </c>
      <c r="AV1233" s="6" t="str">
        <f>HYPERLINK("http://mcgill.on.worldcat.org/oclc/79955","Catalog Record")</f>
        <v>Catalog Record</v>
      </c>
      <c r="AW1233" s="6" t="str">
        <f>HYPERLINK("http://www.worldcat.org/oclc/79955","WorldCat Record")</f>
        <v>WorldCat Record</v>
      </c>
      <c r="AX1233" s="3" t="s">
        <v>12405</v>
      </c>
      <c r="AY1233" s="3" t="s">
        <v>12406</v>
      </c>
      <c r="AZ1233" s="3" t="s">
        <v>12407</v>
      </c>
      <c r="BA1233" s="3" t="s">
        <v>12407</v>
      </c>
      <c r="BB1233" s="3" t="s">
        <v>12408</v>
      </c>
      <c r="BC1233" s="3" t="s">
        <v>102</v>
      </c>
      <c r="BD1233" s="3" t="s">
        <v>68</v>
      </c>
      <c r="BE1233" s="3" t="s">
        <v>12409</v>
      </c>
      <c r="BF1233" s="3" t="s">
        <v>12408</v>
      </c>
      <c r="BG1233" s="3" t="s">
        <v>12410</v>
      </c>
    </row>
    <row r="1234" spans="1:59" ht="58" x14ac:dyDescent="0.35">
      <c r="A1234" s="2" t="s">
        <v>89</v>
      </c>
      <c r="B1234" s="2" t="s">
        <v>90</v>
      </c>
      <c r="C1234" s="2" t="s">
        <v>12411</v>
      </c>
      <c r="D1234" s="2" t="s">
        <v>12412</v>
      </c>
      <c r="E1234" s="2" t="s">
        <v>12413</v>
      </c>
      <c r="G1234" s="3" t="s">
        <v>62</v>
      </c>
      <c r="I1234" s="3" t="s">
        <v>62</v>
      </c>
      <c r="J1234" s="3" t="s">
        <v>62</v>
      </c>
      <c r="K1234" s="3" t="s">
        <v>63</v>
      </c>
      <c r="L1234" s="2" t="s">
        <v>12414</v>
      </c>
      <c r="M1234" s="2" t="s">
        <v>12415</v>
      </c>
      <c r="N1234" s="3" t="s">
        <v>129</v>
      </c>
      <c r="O1234" s="2" t="s">
        <v>1941</v>
      </c>
      <c r="P1234" s="3" t="s">
        <v>64</v>
      </c>
      <c r="R1234" s="3" t="s">
        <v>65</v>
      </c>
      <c r="S1234" s="4">
        <v>37</v>
      </c>
      <c r="T1234" s="4">
        <v>37</v>
      </c>
      <c r="U1234" s="5" t="s">
        <v>12416</v>
      </c>
      <c r="V1234" s="5" t="s">
        <v>12416</v>
      </c>
      <c r="W1234" s="5" t="s">
        <v>67</v>
      </c>
      <c r="X1234" s="5" t="s">
        <v>67</v>
      </c>
      <c r="Y1234" s="4">
        <v>170</v>
      </c>
      <c r="Z1234" s="4">
        <v>15</v>
      </c>
      <c r="AA1234" s="4">
        <v>129</v>
      </c>
      <c r="AB1234" s="4">
        <v>2</v>
      </c>
      <c r="AC1234" s="4">
        <v>19</v>
      </c>
      <c r="AD1234" s="4">
        <v>35</v>
      </c>
      <c r="AE1234" s="4">
        <v>138</v>
      </c>
      <c r="AF1234" s="4">
        <v>0</v>
      </c>
      <c r="AG1234" s="4">
        <v>10</v>
      </c>
      <c r="AH1234" s="4">
        <v>29</v>
      </c>
      <c r="AI1234" s="4">
        <v>94</v>
      </c>
      <c r="AJ1234" s="4">
        <v>7</v>
      </c>
      <c r="AK1234" s="4">
        <v>25</v>
      </c>
      <c r="AL1234" s="4">
        <v>17</v>
      </c>
      <c r="AM1234" s="4">
        <v>47</v>
      </c>
      <c r="AN1234" s="4">
        <v>0</v>
      </c>
      <c r="AO1234" s="4">
        <v>0</v>
      </c>
      <c r="AP1234" s="4">
        <v>10</v>
      </c>
      <c r="AQ1234" s="4">
        <v>54</v>
      </c>
      <c r="AR1234" s="3" t="s">
        <v>62</v>
      </c>
      <c r="AS1234" s="3" t="s">
        <v>62</v>
      </c>
      <c r="AT1234" s="3" t="s">
        <v>61</v>
      </c>
      <c r="AU1234" s="6" t="str">
        <f>HYPERLINK("http://catalog.hathitrust.org/Record/102324849","HathiTrust Record")</f>
        <v>HathiTrust Record</v>
      </c>
      <c r="AV1234" s="6" t="str">
        <f>HYPERLINK("http://mcgill.on.worldcat.org/oclc/881706835","Catalog Record")</f>
        <v>Catalog Record</v>
      </c>
      <c r="AW1234" s="6" t="str">
        <f>HYPERLINK("http://www.worldcat.org/oclc/881706835","WorldCat Record")</f>
        <v>WorldCat Record</v>
      </c>
      <c r="AX1234" s="3" t="s">
        <v>12417</v>
      </c>
      <c r="AY1234" s="3" t="s">
        <v>12418</v>
      </c>
      <c r="AZ1234" s="3" t="s">
        <v>12419</v>
      </c>
      <c r="BA1234" s="3" t="s">
        <v>12419</v>
      </c>
      <c r="BB1234" s="3" t="s">
        <v>12420</v>
      </c>
      <c r="BC1234" s="3" t="s">
        <v>102</v>
      </c>
      <c r="BD1234" s="3" t="s">
        <v>231</v>
      </c>
      <c r="BE1234" s="3" t="s">
        <v>12421</v>
      </c>
      <c r="BF1234" s="3" t="s">
        <v>12420</v>
      </c>
      <c r="BG1234" s="3" t="s">
        <v>12422</v>
      </c>
    </row>
    <row r="1235" spans="1:59" ht="58" x14ac:dyDescent="0.35">
      <c r="A1235" s="2" t="s">
        <v>89</v>
      </c>
      <c r="B1235" s="2" t="s">
        <v>90</v>
      </c>
      <c r="C1235" s="2" t="s">
        <v>12423</v>
      </c>
      <c r="D1235" s="2" t="s">
        <v>12424</v>
      </c>
      <c r="E1235" s="2" t="s">
        <v>12425</v>
      </c>
      <c r="G1235" s="3" t="s">
        <v>62</v>
      </c>
      <c r="I1235" s="3" t="s">
        <v>62</v>
      </c>
      <c r="J1235" s="3" t="s">
        <v>62</v>
      </c>
      <c r="K1235" s="3" t="s">
        <v>63</v>
      </c>
      <c r="L1235" s="2" t="s">
        <v>12426</v>
      </c>
      <c r="M1235" s="2" t="s">
        <v>12427</v>
      </c>
      <c r="N1235" s="3" t="s">
        <v>539</v>
      </c>
      <c r="P1235" s="3" t="s">
        <v>64</v>
      </c>
      <c r="Q1235" s="2" t="s">
        <v>12428</v>
      </c>
      <c r="R1235" s="3" t="s">
        <v>65</v>
      </c>
      <c r="S1235" s="4">
        <v>10</v>
      </c>
      <c r="T1235" s="4">
        <v>10</v>
      </c>
      <c r="U1235" s="5" t="s">
        <v>12429</v>
      </c>
      <c r="V1235" s="5" t="s">
        <v>12429</v>
      </c>
      <c r="W1235" s="5" t="s">
        <v>67</v>
      </c>
      <c r="X1235" s="5" t="s">
        <v>67</v>
      </c>
      <c r="Y1235" s="4">
        <v>453</v>
      </c>
      <c r="Z1235" s="4">
        <v>13</v>
      </c>
      <c r="AA1235" s="4">
        <v>36</v>
      </c>
      <c r="AB1235" s="4">
        <v>2</v>
      </c>
      <c r="AC1235" s="4">
        <v>3</v>
      </c>
      <c r="AD1235" s="4">
        <v>76</v>
      </c>
      <c r="AE1235" s="4">
        <v>103</v>
      </c>
      <c r="AF1235" s="4">
        <v>1</v>
      </c>
      <c r="AG1235" s="4">
        <v>1</v>
      </c>
      <c r="AH1235" s="4">
        <v>69</v>
      </c>
      <c r="AI1235" s="4">
        <v>87</v>
      </c>
      <c r="AJ1235" s="4">
        <v>5</v>
      </c>
      <c r="AK1235" s="4">
        <v>16</v>
      </c>
      <c r="AL1235" s="4">
        <v>37</v>
      </c>
      <c r="AM1235" s="4">
        <v>48</v>
      </c>
      <c r="AN1235" s="4">
        <v>0</v>
      </c>
      <c r="AO1235" s="4">
        <v>0</v>
      </c>
      <c r="AP1235" s="4">
        <v>8</v>
      </c>
      <c r="AQ1235" s="4">
        <v>22</v>
      </c>
      <c r="AR1235" s="3" t="s">
        <v>62</v>
      </c>
      <c r="AS1235" s="3" t="s">
        <v>62</v>
      </c>
      <c r="AT1235" s="3" t="s">
        <v>61</v>
      </c>
      <c r="AU1235" s="6" t="str">
        <f>HYPERLINK("http://catalog.hathitrust.org/Record/003973779","HathiTrust Record")</f>
        <v>HathiTrust Record</v>
      </c>
      <c r="AV1235" s="6" t="str">
        <f>HYPERLINK("http://mcgill.on.worldcat.org/oclc/38239487","Catalog Record")</f>
        <v>Catalog Record</v>
      </c>
      <c r="AW1235" s="6" t="str">
        <f>HYPERLINK("http://www.worldcat.org/oclc/38239487","WorldCat Record")</f>
        <v>WorldCat Record</v>
      </c>
      <c r="AX1235" s="3" t="s">
        <v>12430</v>
      </c>
      <c r="AY1235" s="3" t="s">
        <v>12431</v>
      </c>
      <c r="AZ1235" s="3" t="s">
        <v>12432</v>
      </c>
      <c r="BA1235" s="3" t="s">
        <v>12432</v>
      </c>
      <c r="BB1235" s="3" t="s">
        <v>12433</v>
      </c>
      <c r="BC1235" s="3" t="s">
        <v>102</v>
      </c>
      <c r="BD1235" s="3" t="s">
        <v>68</v>
      </c>
      <c r="BE1235" s="3" t="s">
        <v>12434</v>
      </c>
      <c r="BF1235" s="3" t="s">
        <v>12433</v>
      </c>
      <c r="BG1235" s="3" t="s">
        <v>12435</v>
      </c>
    </row>
    <row r="1236" spans="1:59" ht="58" x14ac:dyDescent="0.35">
      <c r="A1236" s="2" t="s">
        <v>89</v>
      </c>
      <c r="B1236" s="2" t="s">
        <v>90</v>
      </c>
      <c r="C1236" s="2" t="s">
        <v>12436</v>
      </c>
      <c r="D1236" s="2" t="s">
        <v>12437</v>
      </c>
      <c r="E1236" s="2" t="s">
        <v>12438</v>
      </c>
      <c r="G1236" s="3" t="s">
        <v>62</v>
      </c>
      <c r="I1236" s="3" t="s">
        <v>62</v>
      </c>
      <c r="J1236" s="3" t="s">
        <v>62</v>
      </c>
      <c r="K1236" s="3" t="s">
        <v>63</v>
      </c>
      <c r="L1236" s="2" t="s">
        <v>12439</v>
      </c>
      <c r="M1236" s="2" t="s">
        <v>12440</v>
      </c>
      <c r="N1236" s="3" t="s">
        <v>655</v>
      </c>
      <c r="P1236" s="3" t="s">
        <v>64</v>
      </c>
      <c r="R1236" s="3" t="s">
        <v>65</v>
      </c>
      <c r="S1236" s="4">
        <v>11</v>
      </c>
      <c r="T1236" s="4">
        <v>11</v>
      </c>
      <c r="U1236" s="5" t="s">
        <v>8711</v>
      </c>
      <c r="V1236" s="5" t="s">
        <v>8711</v>
      </c>
      <c r="W1236" s="5" t="s">
        <v>67</v>
      </c>
      <c r="X1236" s="5" t="s">
        <v>67</v>
      </c>
      <c r="Y1236" s="4">
        <v>197</v>
      </c>
      <c r="Z1236" s="4">
        <v>16</v>
      </c>
      <c r="AA1236" s="4">
        <v>101</v>
      </c>
      <c r="AB1236" s="4">
        <v>1</v>
      </c>
      <c r="AC1236" s="4">
        <v>17</v>
      </c>
      <c r="AD1236" s="4">
        <v>55</v>
      </c>
      <c r="AE1236" s="4">
        <v>126</v>
      </c>
      <c r="AF1236" s="4">
        <v>0</v>
      </c>
      <c r="AG1236" s="4">
        <v>8</v>
      </c>
      <c r="AH1236" s="4">
        <v>47</v>
      </c>
      <c r="AI1236" s="4">
        <v>88</v>
      </c>
      <c r="AJ1236" s="4">
        <v>10</v>
      </c>
      <c r="AK1236" s="4">
        <v>24</v>
      </c>
      <c r="AL1236" s="4">
        <v>25</v>
      </c>
      <c r="AM1236" s="4">
        <v>43</v>
      </c>
      <c r="AN1236" s="4">
        <v>0</v>
      </c>
      <c r="AO1236" s="4">
        <v>0</v>
      </c>
      <c r="AP1236" s="4">
        <v>12</v>
      </c>
      <c r="AQ1236" s="4">
        <v>46</v>
      </c>
      <c r="AR1236" s="3" t="s">
        <v>62</v>
      </c>
      <c r="AS1236" s="3" t="s">
        <v>62</v>
      </c>
      <c r="AT1236" s="3" t="s">
        <v>62</v>
      </c>
      <c r="AV1236" s="6" t="str">
        <f>HYPERLINK("http://mcgill.on.worldcat.org/oclc/62307912","Catalog Record")</f>
        <v>Catalog Record</v>
      </c>
      <c r="AW1236" s="6" t="str">
        <f>HYPERLINK("http://www.worldcat.org/oclc/62307912","WorldCat Record")</f>
        <v>WorldCat Record</v>
      </c>
      <c r="AX1236" s="3" t="s">
        <v>12441</v>
      </c>
      <c r="AY1236" s="3" t="s">
        <v>12442</v>
      </c>
      <c r="AZ1236" s="3" t="s">
        <v>12443</v>
      </c>
      <c r="BA1236" s="3" t="s">
        <v>12443</v>
      </c>
      <c r="BB1236" s="3" t="s">
        <v>12444</v>
      </c>
      <c r="BC1236" s="3" t="s">
        <v>102</v>
      </c>
      <c r="BD1236" s="3" t="s">
        <v>68</v>
      </c>
      <c r="BE1236" s="3" t="s">
        <v>12445</v>
      </c>
      <c r="BF1236" s="3" t="s">
        <v>12444</v>
      </c>
      <c r="BG1236" s="3" t="s">
        <v>12446</v>
      </c>
    </row>
    <row r="1237" spans="1:59" ht="58" x14ac:dyDescent="0.35">
      <c r="A1237" s="2" t="s">
        <v>89</v>
      </c>
      <c r="B1237" s="2" t="s">
        <v>6791</v>
      </c>
      <c r="C1237" s="2" t="s">
        <v>12447</v>
      </c>
      <c r="D1237" s="2" t="s">
        <v>12448</v>
      </c>
      <c r="E1237" s="2" t="s">
        <v>12449</v>
      </c>
      <c r="G1237" s="3" t="s">
        <v>62</v>
      </c>
      <c r="I1237" s="3" t="s">
        <v>61</v>
      </c>
      <c r="J1237" s="3" t="s">
        <v>62</v>
      </c>
      <c r="K1237" s="3" t="s">
        <v>63</v>
      </c>
      <c r="L1237" s="2" t="s">
        <v>12450</v>
      </c>
      <c r="M1237" s="2" t="s">
        <v>12451</v>
      </c>
      <c r="N1237" s="3" t="s">
        <v>481</v>
      </c>
      <c r="P1237" s="3" t="s">
        <v>64</v>
      </c>
      <c r="Q1237" s="2" t="s">
        <v>12452</v>
      </c>
      <c r="R1237" s="3" t="s">
        <v>65</v>
      </c>
      <c r="S1237" s="4">
        <v>4</v>
      </c>
      <c r="T1237" s="4">
        <v>20</v>
      </c>
      <c r="U1237" s="5" t="s">
        <v>12137</v>
      </c>
      <c r="V1237" s="5" t="s">
        <v>12137</v>
      </c>
      <c r="W1237" s="5" t="s">
        <v>67</v>
      </c>
      <c r="X1237" s="5" t="s">
        <v>67</v>
      </c>
      <c r="Y1237" s="4">
        <v>349</v>
      </c>
      <c r="Z1237" s="4">
        <v>17</v>
      </c>
      <c r="AA1237" s="4">
        <v>19</v>
      </c>
      <c r="AB1237" s="4">
        <v>1</v>
      </c>
      <c r="AC1237" s="4">
        <v>3</v>
      </c>
      <c r="AD1237" s="4">
        <v>99</v>
      </c>
      <c r="AE1237" s="4">
        <v>100</v>
      </c>
      <c r="AF1237" s="4">
        <v>0</v>
      </c>
      <c r="AG1237" s="4">
        <v>1</v>
      </c>
      <c r="AH1237" s="4">
        <v>90</v>
      </c>
      <c r="AI1237" s="4">
        <v>90</v>
      </c>
      <c r="AJ1237" s="4">
        <v>11</v>
      </c>
      <c r="AK1237" s="4">
        <v>12</v>
      </c>
      <c r="AL1237" s="4">
        <v>53</v>
      </c>
      <c r="AM1237" s="4">
        <v>53</v>
      </c>
      <c r="AN1237" s="4">
        <v>0</v>
      </c>
      <c r="AO1237" s="4">
        <v>0</v>
      </c>
      <c r="AP1237" s="4">
        <v>13</v>
      </c>
      <c r="AQ1237" s="4">
        <v>14</v>
      </c>
      <c r="AR1237" s="3" t="s">
        <v>62</v>
      </c>
      <c r="AS1237" s="3" t="s">
        <v>62</v>
      </c>
      <c r="AT1237" s="3" t="s">
        <v>62</v>
      </c>
      <c r="AV1237" s="6" t="str">
        <f>HYPERLINK("http://mcgill.on.worldcat.org/oclc/35558976","Catalog Record")</f>
        <v>Catalog Record</v>
      </c>
      <c r="AW1237" s="6" t="str">
        <f>HYPERLINK("http://www.worldcat.org/oclc/35558976","WorldCat Record")</f>
        <v>WorldCat Record</v>
      </c>
      <c r="AX1237" s="3" t="s">
        <v>12453</v>
      </c>
      <c r="AY1237" s="3" t="s">
        <v>12454</v>
      </c>
      <c r="AZ1237" s="3" t="s">
        <v>12455</v>
      </c>
      <c r="BA1237" s="3" t="s">
        <v>12455</v>
      </c>
      <c r="BB1237" s="3" t="s">
        <v>12456</v>
      </c>
      <c r="BC1237" s="3" t="s">
        <v>102</v>
      </c>
      <c r="BD1237" s="3" t="s">
        <v>68</v>
      </c>
      <c r="BE1237" s="3" t="s">
        <v>12457</v>
      </c>
      <c r="BF1237" s="3" t="s">
        <v>12456</v>
      </c>
      <c r="BG1237" s="3" t="s">
        <v>12458</v>
      </c>
    </row>
    <row r="1238" spans="1:59" ht="58" x14ac:dyDescent="0.35">
      <c r="A1238" s="2" t="s">
        <v>89</v>
      </c>
      <c r="B1238" s="2" t="s">
        <v>90</v>
      </c>
      <c r="C1238" s="2" t="s">
        <v>12459</v>
      </c>
      <c r="D1238" s="2" t="s">
        <v>12460</v>
      </c>
      <c r="E1238" s="2" t="s">
        <v>12461</v>
      </c>
      <c r="G1238" s="3" t="s">
        <v>62</v>
      </c>
      <c r="I1238" s="3" t="s">
        <v>62</v>
      </c>
      <c r="J1238" s="3" t="s">
        <v>62</v>
      </c>
      <c r="K1238" s="3" t="s">
        <v>63</v>
      </c>
      <c r="M1238" s="2" t="s">
        <v>12462</v>
      </c>
      <c r="N1238" s="3" t="s">
        <v>115</v>
      </c>
      <c r="P1238" s="3" t="s">
        <v>64</v>
      </c>
      <c r="Q1238" s="2" t="s">
        <v>12463</v>
      </c>
      <c r="R1238" s="3" t="s">
        <v>65</v>
      </c>
      <c r="S1238" s="4">
        <v>39</v>
      </c>
      <c r="T1238" s="4">
        <v>39</v>
      </c>
      <c r="U1238" s="5" t="s">
        <v>12137</v>
      </c>
      <c r="V1238" s="5" t="s">
        <v>12137</v>
      </c>
      <c r="W1238" s="5" t="s">
        <v>67</v>
      </c>
      <c r="X1238" s="5" t="s">
        <v>67</v>
      </c>
      <c r="Y1238" s="4">
        <v>539</v>
      </c>
      <c r="Z1238" s="4">
        <v>28</v>
      </c>
      <c r="AA1238" s="4">
        <v>31</v>
      </c>
      <c r="AB1238" s="4">
        <v>2</v>
      </c>
      <c r="AC1238" s="4">
        <v>4</v>
      </c>
      <c r="AD1238" s="4">
        <v>102</v>
      </c>
      <c r="AE1238" s="4">
        <v>105</v>
      </c>
      <c r="AF1238" s="4">
        <v>1</v>
      </c>
      <c r="AG1238" s="4">
        <v>3</v>
      </c>
      <c r="AH1238" s="4">
        <v>86</v>
      </c>
      <c r="AI1238" s="4">
        <v>87</v>
      </c>
      <c r="AJ1238" s="4">
        <v>14</v>
      </c>
      <c r="AK1238" s="4">
        <v>17</v>
      </c>
      <c r="AL1238" s="4">
        <v>49</v>
      </c>
      <c r="AM1238" s="4">
        <v>49</v>
      </c>
      <c r="AN1238" s="4">
        <v>0</v>
      </c>
      <c r="AO1238" s="4">
        <v>0</v>
      </c>
      <c r="AP1238" s="4">
        <v>21</v>
      </c>
      <c r="AQ1238" s="4">
        <v>23</v>
      </c>
      <c r="AR1238" s="3" t="s">
        <v>62</v>
      </c>
      <c r="AS1238" s="3" t="s">
        <v>62</v>
      </c>
      <c r="AT1238" s="3" t="s">
        <v>62</v>
      </c>
      <c r="AV1238" s="6" t="str">
        <f>HYPERLINK("http://mcgill.on.worldcat.org/oclc/19267152","Catalog Record")</f>
        <v>Catalog Record</v>
      </c>
      <c r="AW1238" s="6" t="str">
        <f>HYPERLINK("http://www.worldcat.org/oclc/19267152","WorldCat Record")</f>
        <v>WorldCat Record</v>
      </c>
      <c r="AX1238" s="3" t="s">
        <v>12464</v>
      </c>
      <c r="AY1238" s="3" t="s">
        <v>12465</v>
      </c>
      <c r="AZ1238" s="3" t="s">
        <v>12466</v>
      </c>
      <c r="BA1238" s="3" t="s">
        <v>12466</v>
      </c>
      <c r="BB1238" s="3" t="s">
        <v>12467</v>
      </c>
      <c r="BC1238" s="3" t="s">
        <v>102</v>
      </c>
      <c r="BD1238" s="3" t="s">
        <v>68</v>
      </c>
      <c r="BE1238" s="3" t="s">
        <v>12468</v>
      </c>
      <c r="BF1238" s="3" t="s">
        <v>12467</v>
      </c>
      <c r="BG1238" s="3" t="s">
        <v>12469</v>
      </c>
    </row>
    <row r="1239" spans="1:59" ht="58" x14ac:dyDescent="0.35">
      <c r="A1239" s="2" t="s">
        <v>89</v>
      </c>
      <c r="B1239" s="2" t="s">
        <v>90</v>
      </c>
      <c r="C1239" s="2" t="s">
        <v>12470</v>
      </c>
      <c r="D1239" s="2" t="s">
        <v>12471</v>
      </c>
      <c r="E1239" s="2" t="s">
        <v>12472</v>
      </c>
      <c r="G1239" s="3" t="s">
        <v>62</v>
      </c>
      <c r="I1239" s="3" t="s">
        <v>61</v>
      </c>
      <c r="J1239" s="3" t="s">
        <v>62</v>
      </c>
      <c r="K1239" s="3" t="s">
        <v>63</v>
      </c>
      <c r="L1239" s="2" t="s">
        <v>12473</v>
      </c>
      <c r="M1239" s="2" t="s">
        <v>12474</v>
      </c>
      <c r="N1239" s="3" t="s">
        <v>1482</v>
      </c>
      <c r="P1239" s="3" t="s">
        <v>64</v>
      </c>
      <c r="R1239" s="3" t="s">
        <v>65</v>
      </c>
      <c r="S1239" s="4">
        <v>67</v>
      </c>
      <c r="T1239" s="4">
        <v>110</v>
      </c>
      <c r="U1239" s="5" t="s">
        <v>12475</v>
      </c>
      <c r="V1239" s="5" t="s">
        <v>8580</v>
      </c>
      <c r="W1239" s="5" t="s">
        <v>67</v>
      </c>
      <c r="X1239" s="5" t="s">
        <v>67</v>
      </c>
      <c r="Y1239" s="4">
        <v>697</v>
      </c>
      <c r="Z1239" s="4">
        <v>32</v>
      </c>
      <c r="AA1239" s="4">
        <v>48</v>
      </c>
      <c r="AB1239" s="4">
        <v>3</v>
      </c>
      <c r="AC1239" s="4">
        <v>10</v>
      </c>
      <c r="AD1239" s="4">
        <v>115</v>
      </c>
      <c r="AE1239" s="4">
        <v>133</v>
      </c>
      <c r="AF1239" s="4">
        <v>1</v>
      </c>
      <c r="AG1239" s="4">
        <v>5</v>
      </c>
      <c r="AH1239" s="4">
        <v>99</v>
      </c>
      <c r="AI1239" s="4">
        <v>104</v>
      </c>
      <c r="AJ1239" s="4">
        <v>16</v>
      </c>
      <c r="AK1239" s="4">
        <v>21</v>
      </c>
      <c r="AL1239" s="4">
        <v>53</v>
      </c>
      <c r="AM1239" s="4">
        <v>57</v>
      </c>
      <c r="AN1239" s="4">
        <v>0</v>
      </c>
      <c r="AO1239" s="4">
        <v>3</v>
      </c>
      <c r="AP1239" s="4">
        <v>21</v>
      </c>
      <c r="AQ1239" s="4">
        <v>33</v>
      </c>
      <c r="AR1239" s="3" t="s">
        <v>62</v>
      </c>
      <c r="AS1239" s="3" t="s">
        <v>62</v>
      </c>
      <c r="AT1239" s="3" t="s">
        <v>61</v>
      </c>
      <c r="AU1239" s="6" t="str">
        <f>HYPERLINK("http://catalog.hathitrust.org/Record/000427946","HathiTrust Record")</f>
        <v>HathiTrust Record</v>
      </c>
      <c r="AV1239" s="6" t="str">
        <f>HYPERLINK("http://mcgill.on.worldcat.org/oclc/12554464","Catalog Record")</f>
        <v>Catalog Record</v>
      </c>
      <c r="AW1239" s="6" t="str">
        <f>HYPERLINK("http://www.worldcat.org/oclc/12554464","WorldCat Record")</f>
        <v>WorldCat Record</v>
      </c>
      <c r="AX1239" s="3" t="s">
        <v>12476</v>
      </c>
      <c r="AY1239" s="3" t="s">
        <v>12477</v>
      </c>
      <c r="AZ1239" s="3" t="s">
        <v>12478</v>
      </c>
      <c r="BA1239" s="3" t="s">
        <v>12478</v>
      </c>
      <c r="BB1239" s="3" t="s">
        <v>12479</v>
      </c>
      <c r="BC1239" s="3" t="s">
        <v>102</v>
      </c>
      <c r="BD1239" s="3" t="s">
        <v>231</v>
      </c>
      <c r="BE1239" s="3" t="s">
        <v>12480</v>
      </c>
      <c r="BF1239" s="3" t="s">
        <v>12479</v>
      </c>
      <c r="BG1239" s="3" t="s">
        <v>12481</v>
      </c>
    </row>
    <row r="1240" spans="1:59" ht="58" x14ac:dyDescent="0.35">
      <c r="A1240" s="2" t="s">
        <v>89</v>
      </c>
      <c r="B1240" s="2" t="s">
        <v>90</v>
      </c>
      <c r="C1240" s="2" t="s">
        <v>12482</v>
      </c>
      <c r="D1240" s="2" t="s">
        <v>12483</v>
      </c>
      <c r="E1240" s="2" t="s">
        <v>12484</v>
      </c>
      <c r="G1240" s="3" t="s">
        <v>62</v>
      </c>
      <c r="I1240" s="3" t="s">
        <v>62</v>
      </c>
      <c r="J1240" s="3" t="s">
        <v>62</v>
      </c>
      <c r="K1240" s="3" t="s">
        <v>63</v>
      </c>
      <c r="L1240" s="2" t="s">
        <v>12473</v>
      </c>
      <c r="M1240" s="2" t="s">
        <v>12485</v>
      </c>
      <c r="N1240" s="3" t="s">
        <v>466</v>
      </c>
      <c r="P1240" s="3" t="s">
        <v>64</v>
      </c>
      <c r="R1240" s="3" t="s">
        <v>65</v>
      </c>
      <c r="S1240" s="4">
        <v>59</v>
      </c>
      <c r="T1240" s="4">
        <v>59</v>
      </c>
      <c r="U1240" s="5" t="s">
        <v>12486</v>
      </c>
      <c r="V1240" s="5" t="s">
        <v>12486</v>
      </c>
      <c r="W1240" s="5" t="s">
        <v>67</v>
      </c>
      <c r="X1240" s="5" t="s">
        <v>67</v>
      </c>
      <c r="Y1240" s="4">
        <v>797</v>
      </c>
      <c r="Z1240" s="4">
        <v>37</v>
      </c>
      <c r="AA1240" s="4">
        <v>103</v>
      </c>
      <c r="AB1240" s="4">
        <v>3</v>
      </c>
      <c r="AC1240" s="4">
        <v>17</v>
      </c>
      <c r="AD1240" s="4">
        <v>122</v>
      </c>
      <c r="AE1240" s="4">
        <v>147</v>
      </c>
      <c r="AF1240" s="4">
        <v>2</v>
      </c>
      <c r="AG1240" s="4">
        <v>8</v>
      </c>
      <c r="AH1240" s="4">
        <v>102</v>
      </c>
      <c r="AI1240" s="4">
        <v>107</v>
      </c>
      <c r="AJ1240" s="4">
        <v>17</v>
      </c>
      <c r="AK1240" s="4">
        <v>25</v>
      </c>
      <c r="AL1240" s="4">
        <v>53</v>
      </c>
      <c r="AM1240" s="4">
        <v>55</v>
      </c>
      <c r="AN1240" s="4">
        <v>0</v>
      </c>
      <c r="AO1240" s="4">
        <v>0</v>
      </c>
      <c r="AP1240" s="4">
        <v>29</v>
      </c>
      <c r="AQ1240" s="4">
        <v>50</v>
      </c>
      <c r="AR1240" s="3" t="s">
        <v>62</v>
      </c>
      <c r="AS1240" s="3" t="s">
        <v>62</v>
      </c>
      <c r="AT1240" s="3" t="s">
        <v>62</v>
      </c>
      <c r="AV1240" s="6" t="str">
        <f>HYPERLINK("http://mcgill.on.worldcat.org/oclc/26308051","Catalog Record")</f>
        <v>Catalog Record</v>
      </c>
      <c r="AW1240" s="6" t="str">
        <f>HYPERLINK("http://www.worldcat.org/oclc/26308051","WorldCat Record")</f>
        <v>WorldCat Record</v>
      </c>
      <c r="AX1240" s="3" t="s">
        <v>12487</v>
      </c>
      <c r="AY1240" s="3" t="s">
        <v>12488</v>
      </c>
      <c r="AZ1240" s="3" t="s">
        <v>12489</v>
      </c>
      <c r="BA1240" s="3" t="s">
        <v>12489</v>
      </c>
      <c r="BB1240" s="3" t="s">
        <v>12490</v>
      </c>
      <c r="BC1240" s="3" t="s">
        <v>102</v>
      </c>
      <c r="BD1240" s="3" t="s">
        <v>231</v>
      </c>
      <c r="BE1240" s="3" t="s">
        <v>12491</v>
      </c>
      <c r="BF1240" s="3" t="s">
        <v>12490</v>
      </c>
      <c r="BG1240" s="3" t="s">
        <v>12492</v>
      </c>
    </row>
    <row r="1241" spans="1:59" ht="58" x14ac:dyDescent="0.35">
      <c r="A1241" s="2" t="s">
        <v>89</v>
      </c>
      <c r="B1241" s="2" t="s">
        <v>90</v>
      </c>
      <c r="C1241" s="2" t="s">
        <v>12493</v>
      </c>
      <c r="D1241" s="2" t="s">
        <v>12494</v>
      </c>
      <c r="E1241" s="2" t="s">
        <v>12495</v>
      </c>
      <c r="G1241" s="3" t="s">
        <v>62</v>
      </c>
      <c r="I1241" s="3" t="s">
        <v>62</v>
      </c>
      <c r="J1241" s="3" t="s">
        <v>62</v>
      </c>
      <c r="K1241" s="3" t="s">
        <v>63</v>
      </c>
      <c r="M1241" s="2" t="s">
        <v>12496</v>
      </c>
      <c r="N1241" s="3" t="s">
        <v>1038</v>
      </c>
      <c r="P1241" s="3" t="s">
        <v>64</v>
      </c>
      <c r="Q1241" s="2" t="s">
        <v>12497</v>
      </c>
      <c r="R1241" s="3" t="s">
        <v>65</v>
      </c>
      <c r="S1241" s="4">
        <v>5</v>
      </c>
      <c r="T1241" s="4">
        <v>5</v>
      </c>
      <c r="U1241" s="5" t="s">
        <v>12498</v>
      </c>
      <c r="V1241" s="5" t="s">
        <v>12498</v>
      </c>
      <c r="W1241" s="5" t="s">
        <v>67</v>
      </c>
      <c r="X1241" s="5" t="s">
        <v>67</v>
      </c>
      <c r="Y1241" s="4">
        <v>30</v>
      </c>
      <c r="Z1241" s="4">
        <v>2</v>
      </c>
      <c r="AA1241" s="4">
        <v>14</v>
      </c>
      <c r="AB1241" s="4">
        <v>1</v>
      </c>
      <c r="AC1241" s="4">
        <v>6</v>
      </c>
      <c r="AD1241" s="4">
        <v>7</v>
      </c>
      <c r="AE1241" s="4">
        <v>30</v>
      </c>
      <c r="AF1241" s="4">
        <v>0</v>
      </c>
      <c r="AG1241" s="4">
        <v>3</v>
      </c>
      <c r="AH1241" s="4">
        <v>6</v>
      </c>
      <c r="AI1241" s="4">
        <v>22</v>
      </c>
      <c r="AJ1241" s="4">
        <v>0</v>
      </c>
      <c r="AK1241" s="4">
        <v>8</v>
      </c>
      <c r="AL1241" s="4">
        <v>6</v>
      </c>
      <c r="AM1241" s="4">
        <v>13</v>
      </c>
      <c r="AN1241" s="4">
        <v>0</v>
      </c>
      <c r="AO1241" s="4">
        <v>0</v>
      </c>
      <c r="AP1241" s="4">
        <v>0</v>
      </c>
      <c r="AQ1241" s="4">
        <v>9</v>
      </c>
      <c r="AR1241" s="3" t="s">
        <v>62</v>
      </c>
      <c r="AS1241" s="3" t="s">
        <v>62</v>
      </c>
      <c r="AT1241" s="3" t="s">
        <v>62</v>
      </c>
      <c r="AV1241" s="6" t="str">
        <f>HYPERLINK("http://mcgill.on.worldcat.org/oclc/952322174","Catalog Record")</f>
        <v>Catalog Record</v>
      </c>
      <c r="AW1241" s="6" t="str">
        <f>HYPERLINK("http://www.worldcat.org/oclc/952322174","WorldCat Record")</f>
        <v>WorldCat Record</v>
      </c>
      <c r="AX1241" s="3" t="s">
        <v>12499</v>
      </c>
      <c r="AY1241" s="3" t="s">
        <v>12500</v>
      </c>
      <c r="AZ1241" s="3" t="s">
        <v>12501</v>
      </c>
      <c r="BA1241" s="3" t="s">
        <v>12501</v>
      </c>
      <c r="BB1241" s="3" t="s">
        <v>12502</v>
      </c>
      <c r="BC1241" s="3" t="s">
        <v>102</v>
      </c>
      <c r="BD1241" s="3" t="s">
        <v>231</v>
      </c>
      <c r="BE1241" s="3" t="s">
        <v>12503</v>
      </c>
      <c r="BF1241" s="3" t="s">
        <v>12502</v>
      </c>
      <c r="BG1241" s="3" t="s">
        <v>12504</v>
      </c>
    </row>
    <row r="1242" spans="1:59" ht="58" x14ac:dyDescent="0.35">
      <c r="A1242" s="2" t="s">
        <v>89</v>
      </c>
      <c r="B1242" s="2" t="s">
        <v>90</v>
      </c>
      <c r="C1242" s="2" t="s">
        <v>12505</v>
      </c>
      <c r="D1242" s="2" t="s">
        <v>12506</v>
      </c>
      <c r="E1242" s="2" t="s">
        <v>12507</v>
      </c>
      <c r="G1242" s="3" t="s">
        <v>62</v>
      </c>
      <c r="I1242" s="3" t="s">
        <v>62</v>
      </c>
      <c r="J1242" s="3" t="s">
        <v>62</v>
      </c>
      <c r="K1242" s="3" t="s">
        <v>63</v>
      </c>
      <c r="L1242" s="2" t="s">
        <v>12508</v>
      </c>
      <c r="M1242" s="2" t="s">
        <v>12509</v>
      </c>
      <c r="N1242" s="3" t="s">
        <v>438</v>
      </c>
      <c r="P1242" s="3" t="s">
        <v>64</v>
      </c>
      <c r="R1242" s="3" t="s">
        <v>65</v>
      </c>
      <c r="S1242" s="4">
        <v>10</v>
      </c>
      <c r="T1242" s="4">
        <v>10</v>
      </c>
      <c r="U1242" s="5" t="s">
        <v>12510</v>
      </c>
      <c r="V1242" s="5" t="s">
        <v>12510</v>
      </c>
      <c r="W1242" s="5" t="s">
        <v>67</v>
      </c>
      <c r="X1242" s="5" t="s">
        <v>67</v>
      </c>
      <c r="Y1242" s="4">
        <v>141</v>
      </c>
      <c r="Z1242" s="4">
        <v>15</v>
      </c>
      <c r="AA1242" s="4">
        <v>16</v>
      </c>
      <c r="AB1242" s="4">
        <v>1</v>
      </c>
      <c r="AC1242" s="4">
        <v>2</v>
      </c>
      <c r="AD1242" s="4">
        <v>50</v>
      </c>
      <c r="AE1242" s="4">
        <v>50</v>
      </c>
      <c r="AF1242" s="4">
        <v>0</v>
      </c>
      <c r="AG1242" s="4">
        <v>0</v>
      </c>
      <c r="AH1242" s="4">
        <v>44</v>
      </c>
      <c r="AI1242" s="4">
        <v>44</v>
      </c>
      <c r="AJ1242" s="4">
        <v>11</v>
      </c>
      <c r="AK1242" s="4">
        <v>11</v>
      </c>
      <c r="AL1242" s="4">
        <v>27</v>
      </c>
      <c r="AM1242" s="4">
        <v>27</v>
      </c>
      <c r="AN1242" s="4">
        <v>0</v>
      </c>
      <c r="AO1242" s="4">
        <v>0</v>
      </c>
      <c r="AP1242" s="4">
        <v>9</v>
      </c>
      <c r="AQ1242" s="4">
        <v>9</v>
      </c>
      <c r="AR1242" s="3" t="s">
        <v>62</v>
      </c>
      <c r="AS1242" s="3" t="s">
        <v>62</v>
      </c>
      <c r="AT1242" s="3" t="s">
        <v>61</v>
      </c>
      <c r="AU1242" s="6" t="str">
        <f>HYPERLINK("http://catalog.hathitrust.org/Record/001947715","HathiTrust Record")</f>
        <v>HathiTrust Record</v>
      </c>
      <c r="AV1242" s="6" t="str">
        <f>HYPERLINK("http://mcgill.on.worldcat.org/oclc/21082137","Catalog Record")</f>
        <v>Catalog Record</v>
      </c>
      <c r="AW1242" s="6" t="str">
        <f>HYPERLINK("http://www.worldcat.org/oclc/21082137","WorldCat Record")</f>
        <v>WorldCat Record</v>
      </c>
      <c r="AX1242" s="3" t="s">
        <v>12511</v>
      </c>
      <c r="AY1242" s="3" t="s">
        <v>12512</v>
      </c>
      <c r="AZ1242" s="3" t="s">
        <v>12513</v>
      </c>
      <c r="BA1242" s="3" t="s">
        <v>12513</v>
      </c>
      <c r="BB1242" s="3" t="s">
        <v>12514</v>
      </c>
      <c r="BC1242" s="3" t="s">
        <v>102</v>
      </c>
      <c r="BD1242" s="3" t="s">
        <v>68</v>
      </c>
      <c r="BE1242" s="3" t="s">
        <v>12515</v>
      </c>
      <c r="BF1242" s="3" t="s">
        <v>12514</v>
      </c>
      <c r="BG1242" s="3" t="s">
        <v>12516</v>
      </c>
    </row>
    <row r="1243" spans="1:59" ht="58" x14ac:dyDescent="0.35">
      <c r="A1243" s="2" t="s">
        <v>89</v>
      </c>
      <c r="B1243" s="2" t="s">
        <v>90</v>
      </c>
      <c r="C1243" s="2" t="s">
        <v>12517</v>
      </c>
      <c r="D1243" s="2" t="s">
        <v>12518</v>
      </c>
      <c r="E1243" s="2" t="s">
        <v>12519</v>
      </c>
      <c r="F1243" s="3" t="s">
        <v>1396</v>
      </c>
      <c r="G1243" s="3" t="s">
        <v>61</v>
      </c>
      <c r="I1243" s="3" t="s">
        <v>61</v>
      </c>
      <c r="J1243" s="3" t="s">
        <v>62</v>
      </c>
      <c r="K1243" s="3" t="s">
        <v>63</v>
      </c>
      <c r="M1243" s="2" t="s">
        <v>12520</v>
      </c>
      <c r="N1243" s="3" t="s">
        <v>95</v>
      </c>
      <c r="P1243" s="3" t="s">
        <v>64</v>
      </c>
      <c r="R1243" s="3" t="s">
        <v>65</v>
      </c>
      <c r="S1243" s="4">
        <v>13</v>
      </c>
      <c r="T1243" s="4">
        <v>82</v>
      </c>
      <c r="U1243" s="5" t="s">
        <v>12521</v>
      </c>
      <c r="V1243" s="5" t="s">
        <v>12137</v>
      </c>
      <c r="W1243" s="5" t="s">
        <v>67</v>
      </c>
      <c r="X1243" s="5" t="s">
        <v>67</v>
      </c>
      <c r="Y1243" s="4">
        <v>1054</v>
      </c>
      <c r="Z1243" s="4">
        <v>43</v>
      </c>
      <c r="AA1243" s="4">
        <v>62</v>
      </c>
      <c r="AB1243" s="4">
        <v>2</v>
      </c>
      <c r="AC1243" s="4">
        <v>12</v>
      </c>
      <c r="AD1243" s="4">
        <v>135</v>
      </c>
      <c r="AE1243" s="4">
        <v>144</v>
      </c>
      <c r="AF1243" s="4">
        <v>1</v>
      </c>
      <c r="AG1243" s="4">
        <v>6</v>
      </c>
      <c r="AH1243" s="4">
        <v>108</v>
      </c>
      <c r="AI1243" s="4">
        <v>112</v>
      </c>
      <c r="AJ1243" s="4">
        <v>22</v>
      </c>
      <c r="AK1243" s="4">
        <v>26</v>
      </c>
      <c r="AL1243" s="4">
        <v>57</v>
      </c>
      <c r="AM1243" s="4">
        <v>58</v>
      </c>
      <c r="AN1243" s="4">
        <v>0</v>
      </c>
      <c r="AO1243" s="4">
        <v>0</v>
      </c>
      <c r="AP1243" s="4">
        <v>33</v>
      </c>
      <c r="AQ1243" s="4">
        <v>39</v>
      </c>
      <c r="AR1243" s="3" t="s">
        <v>62</v>
      </c>
      <c r="AS1243" s="3" t="s">
        <v>62</v>
      </c>
      <c r="AT1243" s="3" t="s">
        <v>61</v>
      </c>
      <c r="AU1243" s="6" t="str">
        <f>HYPERLINK("http://catalog.hathitrust.org/Record/000185522","HathiTrust Record")</f>
        <v>HathiTrust Record</v>
      </c>
      <c r="AV1243" s="6" t="str">
        <f>HYPERLINK("http://mcgill.on.worldcat.org/oclc/7196612","Catalog Record")</f>
        <v>Catalog Record</v>
      </c>
      <c r="AW1243" s="6" t="str">
        <f>HYPERLINK("http://www.worldcat.org/oclc/7196612","WorldCat Record")</f>
        <v>WorldCat Record</v>
      </c>
      <c r="AX1243" s="3" t="s">
        <v>12522</v>
      </c>
      <c r="AY1243" s="3" t="s">
        <v>12523</v>
      </c>
      <c r="AZ1243" s="3" t="s">
        <v>12524</v>
      </c>
      <c r="BA1243" s="3" t="s">
        <v>12524</v>
      </c>
      <c r="BB1243" s="3" t="s">
        <v>12525</v>
      </c>
      <c r="BC1243" s="3" t="s">
        <v>102</v>
      </c>
      <c r="BD1243" s="3" t="s">
        <v>68</v>
      </c>
      <c r="BE1243" s="3" t="s">
        <v>12526</v>
      </c>
      <c r="BF1243" s="3" t="s">
        <v>12525</v>
      </c>
      <c r="BG1243" s="3" t="s">
        <v>12527</v>
      </c>
    </row>
    <row r="1244" spans="1:59" ht="58" x14ac:dyDescent="0.35">
      <c r="A1244" s="2" t="s">
        <v>89</v>
      </c>
      <c r="B1244" s="2" t="s">
        <v>90</v>
      </c>
      <c r="C1244" s="2" t="s">
        <v>12517</v>
      </c>
      <c r="D1244" s="2" t="s">
        <v>12518</v>
      </c>
      <c r="E1244" s="2" t="s">
        <v>12519</v>
      </c>
      <c r="F1244" s="3" t="s">
        <v>2214</v>
      </c>
      <c r="G1244" s="3" t="s">
        <v>61</v>
      </c>
      <c r="I1244" s="3" t="s">
        <v>61</v>
      </c>
      <c r="J1244" s="3" t="s">
        <v>62</v>
      </c>
      <c r="K1244" s="3" t="s">
        <v>63</v>
      </c>
      <c r="M1244" s="2" t="s">
        <v>12520</v>
      </c>
      <c r="N1244" s="3" t="s">
        <v>95</v>
      </c>
      <c r="P1244" s="3" t="s">
        <v>64</v>
      </c>
      <c r="R1244" s="3" t="s">
        <v>65</v>
      </c>
      <c r="S1244" s="4">
        <v>1</v>
      </c>
      <c r="T1244" s="4">
        <v>82</v>
      </c>
      <c r="U1244" s="5" t="s">
        <v>12137</v>
      </c>
      <c r="V1244" s="5" t="s">
        <v>12137</v>
      </c>
      <c r="W1244" s="5" t="s">
        <v>67</v>
      </c>
      <c r="X1244" s="5" t="s">
        <v>67</v>
      </c>
      <c r="Y1244" s="4">
        <v>1054</v>
      </c>
      <c r="Z1244" s="4">
        <v>43</v>
      </c>
      <c r="AA1244" s="4">
        <v>62</v>
      </c>
      <c r="AB1244" s="4">
        <v>2</v>
      </c>
      <c r="AC1244" s="4">
        <v>12</v>
      </c>
      <c r="AD1244" s="4">
        <v>135</v>
      </c>
      <c r="AE1244" s="4">
        <v>144</v>
      </c>
      <c r="AF1244" s="4">
        <v>1</v>
      </c>
      <c r="AG1244" s="4">
        <v>6</v>
      </c>
      <c r="AH1244" s="4">
        <v>108</v>
      </c>
      <c r="AI1244" s="4">
        <v>112</v>
      </c>
      <c r="AJ1244" s="4">
        <v>22</v>
      </c>
      <c r="AK1244" s="4">
        <v>26</v>
      </c>
      <c r="AL1244" s="4">
        <v>57</v>
      </c>
      <c r="AM1244" s="4">
        <v>58</v>
      </c>
      <c r="AN1244" s="4">
        <v>0</v>
      </c>
      <c r="AO1244" s="4">
        <v>0</v>
      </c>
      <c r="AP1244" s="4">
        <v>33</v>
      </c>
      <c r="AQ1244" s="4">
        <v>39</v>
      </c>
      <c r="AR1244" s="3" t="s">
        <v>62</v>
      </c>
      <c r="AS1244" s="3" t="s">
        <v>62</v>
      </c>
      <c r="AT1244" s="3" t="s">
        <v>61</v>
      </c>
      <c r="AU1244" s="6" t="str">
        <f>HYPERLINK("http://catalog.hathitrust.org/Record/000185522","HathiTrust Record")</f>
        <v>HathiTrust Record</v>
      </c>
      <c r="AV1244" s="6" t="str">
        <f>HYPERLINK("http://mcgill.on.worldcat.org/oclc/7196612","Catalog Record")</f>
        <v>Catalog Record</v>
      </c>
      <c r="AW1244" s="6" t="str">
        <f>HYPERLINK("http://www.worldcat.org/oclc/7196612","WorldCat Record")</f>
        <v>WorldCat Record</v>
      </c>
      <c r="AX1244" s="3" t="s">
        <v>12522</v>
      </c>
      <c r="AY1244" s="3" t="s">
        <v>12523</v>
      </c>
      <c r="AZ1244" s="3" t="s">
        <v>12524</v>
      </c>
      <c r="BA1244" s="3" t="s">
        <v>12524</v>
      </c>
      <c r="BB1244" s="3" t="s">
        <v>12528</v>
      </c>
      <c r="BC1244" s="3" t="s">
        <v>102</v>
      </c>
      <c r="BD1244" s="3" t="s">
        <v>68</v>
      </c>
      <c r="BE1244" s="3" t="s">
        <v>12526</v>
      </c>
      <c r="BF1244" s="3" t="s">
        <v>12528</v>
      </c>
      <c r="BG1244" s="3" t="s">
        <v>12529</v>
      </c>
    </row>
    <row r="1245" spans="1:59" ht="58" x14ac:dyDescent="0.35">
      <c r="A1245" s="2" t="s">
        <v>89</v>
      </c>
      <c r="B1245" s="2" t="s">
        <v>90</v>
      </c>
      <c r="C1245" s="2" t="s">
        <v>12517</v>
      </c>
      <c r="D1245" s="2" t="s">
        <v>12518</v>
      </c>
      <c r="E1245" s="2" t="s">
        <v>12519</v>
      </c>
      <c r="G1245" s="3" t="s">
        <v>61</v>
      </c>
      <c r="I1245" s="3" t="s">
        <v>61</v>
      </c>
      <c r="J1245" s="3" t="s">
        <v>62</v>
      </c>
      <c r="K1245" s="3" t="s">
        <v>63</v>
      </c>
      <c r="M1245" s="2" t="s">
        <v>12520</v>
      </c>
      <c r="N1245" s="3" t="s">
        <v>95</v>
      </c>
      <c r="P1245" s="3" t="s">
        <v>64</v>
      </c>
      <c r="R1245" s="3" t="s">
        <v>65</v>
      </c>
      <c r="S1245" s="4">
        <v>0</v>
      </c>
      <c r="T1245" s="4">
        <v>82</v>
      </c>
      <c r="V1245" s="5" t="s">
        <v>12137</v>
      </c>
      <c r="W1245" s="5" t="s">
        <v>67</v>
      </c>
      <c r="X1245" s="5" t="s">
        <v>67</v>
      </c>
      <c r="Y1245" s="4">
        <v>1054</v>
      </c>
      <c r="Z1245" s="4">
        <v>43</v>
      </c>
      <c r="AA1245" s="4">
        <v>62</v>
      </c>
      <c r="AB1245" s="4">
        <v>2</v>
      </c>
      <c r="AC1245" s="4">
        <v>12</v>
      </c>
      <c r="AD1245" s="4">
        <v>135</v>
      </c>
      <c r="AE1245" s="4">
        <v>144</v>
      </c>
      <c r="AF1245" s="4">
        <v>1</v>
      </c>
      <c r="AG1245" s="4">
        <v>6</v>
      </c>
      <c r="AH1245" s="4">
        <v>108</v>
      </c>
      <c r="AI1245" s="4">
        <v>112</v>
      </c>
      <c r="AJ1245" s="4">
        <v>22</v>
      </c>
      <c r="AK1245" s="4">
        <v>26</v>
      </c>
      <c r="AL1245" s="4">
        <v>57</v>
      </c>
      <c r="AM1245" s="4">
        <v>58</v>
      </c>
      <c r="AN1245" s="4">
        <v>0</v>
      </c>
      <c r="AO1245" s="4">
        <v>0</v>
      </c>
      <c r="AP1245" s="4">
        <v>33</v>
      </c>
      <c r="AQ1245" s="4">
        <v>39</v>
      </c>
      <c r="AR1245" s="3" t="s">
        <v>62</v>
      </c>
      <c r="AS1245" s="3" t="s">
        <v>62</v>
      </c>
      <c r="AT1245" s="3" t="s">
        <v>61</v>
      </c>
      <c r="AU1245" s="6" t="str">
        <f>HYPERLINK("http://catalog.hathitrust.org/Record/000185522","HathiTrust Record")</f>
        <v>HathiTrust Record</v>
      </c>
      <c r="AV1245" s="6" t="str">
        <f>HYPERLINK("http://mcgill.on.worldcat.org/oclc/7196612","Catalog Record")</f>
        <v>Catalog Record</v>
      </c>
      <c r="AW1245" s="6" t="str">
        <f>HYPERLINK("http://www.worldcat.org/oclc/7196612","WorldCat Record")</f>
        <v>WorldCat Record</v>
      </c>
      <c r="AX1245" s="3" t="s">
        <v>12522</v>
      </c>
      <c r="AY1245" s="3" t="s">
        <v>12523</v>
      </c>
      <c r="AZ1245" s="3" t="s">
        <v>12524</v>
      </c>
      <c r="BA1245" s="3" t="s">
        <v>12524</v>
      </c>
      <c r="BB1245" s="3" t="s">
        <v>12530</v>
      </c>
      <c r="BC1245" s="3" t="s">
        <v>102</v>
      </c>
      <c r="BD1245" s="3" t="s">
        <v>68</v>
      </c>
      <c r="BE1245" s="3" t="s">
        <v>12526</v>
      </c>
      <c r="BF1245" s="3" t="s">
        <v>12530</v>
      </c>
      <c r="BG1245" s="3" t="s">
        <v>12531</v>
      </c>
    </row>
    <row r="1246" spans="1:59" ht="58" x14ac:dyDescent="0.35">
      <c r="A1246" s="2" t="s">
        <v>89</v>
      </c>
      <c r="B1246" s="2" t="s">
        <v>6791</v>
      </c>
      <c r="C1246" s="2" t="s">
        <v>12532</v>
      </c>
      <c r="D1246" s="2" t="s">
        <v>12533</v>
      </c>
      <c r="E1246" s="2" t="s">
        <v>12534</v>
      </c>
      <c r="G1246" s="3" t="s">
        <v>62</v>
      </c>
      <c r="I1246" s="3" t="s">
        <v>61</v>
      </c>
      <c r="J1246" s="3" t="s">
        <v>62</v>
      </c>
      <c r="K1246" s="3" t="s">
        <v>63</v>
      </c>
      <c r="L1246" s="2" t="s">
        <v>12535</v>
      </c>
      <c r="M1246" s="2" t="s">
        <v>12536</v>
      </c>
      <c r="N1246" s="3" t="s">
        <v>396</v>
      </c>
      <c r="P1246" s="3" t="s">
        <v>64</v>
      </c>
      <c r="R1246" s="3" t="s">
        <v>65</v>
      </c>
      <c r="S1246" s="4">
        <v>14</v>
      </c>
      <c r="T1246" s="4">
        <v>23</v>
      </c>
      <c r="U1246" s="5" t="s">
        <v>12137</v>
      </c>
      <c r="V1246" s="5" t="s">
        <v>12137</v>
      </c>
      <c r="W1246" s="5" t="s">
        <v>67</v>
      </c>
      <c r="X1246" s="5" t="s">
        <v>67</v>
      </c>
      <c r="Y1246" s="4">
        <v>1204</v>
      </c>
      <c r="Z1246" s="4">
        <v>53</v>
      </c>
      <c r="AA1246" s="4">
        <v>63</v>
      </c>
      <c r="AB1246" s="4">
        <v>3</v>
      </c>
      <c r="AC1246" s="4">
        <v>9</v>
      </c>
      <c r="AD1246" s="4">
        <v>141</v>
      </c>
      <c r="AE1246" s="4">
        <v>148</v>
      </c>
      <c r="AF1246" s="4">
        <v>1</v>
      </c>
      <c r="AG1246" s="4">
        <v>5</v>
      </c>
      <c r="AH1246" s="4">
        <v>110</v>
      </c>
      <c r="AI1246" s="4">
        <v>113</v>
      </c>
      <c r="AJ1246" s="4">
        <v>24</v>
      </c>
      <c r="AK1246" s="4">
        <v>27</v>
      </c>
      <c r="AL1246" s="4">
        <v>60</v>
      </c>
      <c r="AM1246" s="4">
        <v>60</v>
      </c>
      <c r="AN1246" s="4">
        <v>0</v>
      </c>
      <c r="AO1246" s="4">
        <v>0</v>
      </c>
      <c r="AP1246" s="4">
        <v>37</v>
      </c>
      <c r="AQ1246" s="4">
        <v>41</v>
      </c>
      <c r="AR1246" s="3" t="s">
        <v>62</v>
      </c>
      <c r="AS1246" s="3" t="s">
        <v>62</v>
      </c>
      <c r="AT1246" s="3" t="s">
        <v>62</v>
      </c>
      <c r="AV1246" s="6" t="str">
        <f>HYPERLINK("http://mcgill.on.worldcat.org/oclc/11840529","Catalog Record")</f>
        <v>Catalog Record</v>
      </c>
      <c r="AW1246" s="6" t="str">
        <f>HYPERLINK("http://www.worldcat.org/oclc/11840529","WorldCat Record")</f>
        <v>WorldCat Record</v>
      </c>
      <c r="AX1246" s="3" t="s">
        <v>12537</v>
      </c>
      <c r="AY1246" s="3" t="s">
        <v>12538</v>
      </c>
      <c r="AZ1246" s="3" t="s">
        <v>12539</v>
      </c>
      <c r="BA1246" s="3" t="s">
        <v>12539</v>
      </c>
      <c r="BB1246" s="3" t="s">
        <v>12540</v>
      </c>
      <c r="BC1246" s="3" t="s">
        <v>102</v>
      </c>
      <c r="BD1246" s="3" t="s">
        <v>68</v>
      </c>
      <c r="BE1246" s="3" t="s">
        <v>12541</v>
      </c>
      <c r="BF1246" s="3" t="s">
        <v>12540</v>
      </c>
      <c r="BG1246" s="3" t="s">
        <v>12542</v>
      </c>
    </row>
    <row r="1247" spans="1:59" ht="58" x14ac:dyDescent="0.35">
      <c r="A1247" s="2" t="s">
        <v>89</v>
      </c>
      <c r="B1247" s="2" t="s">
        <v>90</v>
      </c>
      <c r="C1247" s="2" t="s">
        <v>12543</v>
      </c>
      <c r="D1247" s="2" t="s">
        <v>12544</v>
      </c>
      <c r="E1247" s="2" t="s">
        <v>12545</v>
      </c>
      <c r="G1247" s="3" t="s">
        <v>62</v>
      </c>
      <c r="I1247" s="3" t="s">
        <v>62</v>
      </c>
      <c r="J1247" s="3" t="s">
        <v>62</v>
      </c>
      <c r="K1247" s="3" t="s">
        <v>63</v>
      </c>
      <c r="L1247" s="2" t="s">
        <v>12546</v>
      </c>
      <c r="M1247" s="2" t="s">
        <v>12547</v>
      </c>
      <c r="N1247" s="3" t="s">
        <v>553</v>
      </c>
      <c r="P1247" s="3" t="s">
        <v>64</v>
      </c>
      <c r="R1247" s="3" t="s">
        <v>65</v>
      </c>
      <c r="S1247" s="4">
        <v>98</v>
      </c>
      <c r="T1247" s="4">
        <v>98</v>
      </c>
      <c r="U1247" s="5" t="s">
        <v>12548</v>
      </c>
      <c r="V1247" s="5" t="s">
        <v>12548</v>
      </c>
      <c r="W1247" s="5" t="s">
        <v>67</v>
      </c>
      <c r="X1247" s="5" t="s">
        <v>67</v>
      </c>
      <c r="Y1247" s="4">
        <v>844</v>
      </c>
      <c r="Z1247" s="4">
        <v>56</v>
      </c>
      <c r="AA1247" s="4">
        <v>74</v>
      </c>
      <c r="AB1247" s="4">
        <v>3</v>
      </c>
      <c r="AC1247" s="4">
        <v>10</v>
      </c>
      <c r="AD1247" s="4">
        <v>127</v>
      </c>
      <c r="AE1247" s="4">
        <v>141</v>
      </c>
      <c r="AF1247" s="4">
        <v>1</v>
      </c>
      <c r="AG1247" s="4">
        <v>4</v>
      </c>
      <c r="AH1247" s="4">
        <v>99</v>
      </c>
      <c r="AI1247" s="4">
        <v>105</v>
      </c>
      <c r="AJ1247" s="4">
        <v>20</v>
      </c>
      <c r="AK1247" s="4">
        <v>25</v>
      </c>
      <c r="AL1247" s="4">
        <v>56</v>
      </c>
      <c r="AM1247" s="4">
        <v>56</v>
      </c>
      <c r="AN1247" s="4">
        <v>0</v>
      </c>
      <c r="AO1247" s="4">
        <v>0</v>
      </c>
      <c r="AP1247" s="4">
        <v>38</v>
      </c>
      <c r="AQ1247" s="4">
        <v>47</v>
      </c>
      <c r="AR1247" s="3" t="s">
        <v>62</v>
      </c>
      <c r="AS1247" s="3" t="s">
        <v>62</v>
      </c>
      <c r="AT1247" s="3" t="s">
        <v>62</v>
      </c>
      <c r="AV1247" s="6" t="str">
        <f>HYPERLINK("http://mcgill.on.worldcat.org/oclc/39539341","Catalog Record")</f>
        <v>Catalog Record</v>
      </c>
      <c r="AW1247" s="6" t="str">
        <f>HYPERLINK("http://www.worldcat.org/oclc/39539341","WorldCat Record")</f>
        <v>WorldCat Record</v>
      </c>
      <c r="AX1247" s="3" t="s">
        <v>12549</v>
      </c>
      <c r="AY1247" s="3" t="s">
        <v>12550</v>
      </c>
      <c r="AZ1247" s="3" t="s">
        <v>12551</v>
      </c>
      <c r="BA1247" s="3" t="s">
        <v>12551</v>
      </c>
      <c r="BB1247" s="3" t="s">
        <v>12552</v>
      </c>
      <c r="BC1247" s="3" t="s">
        <v>102</v>
      </c>
      <c r="BD1247" s="3" t="s">
        <v>68</v>
      </c>
      <c r="BE1247" s="3" t="s">
        <v>12553</v>
      </c>
      <c r="BF1247" s="3" t="s">
        <v>12552</v>
      </c>
      <c r="BG1247" s="3" t="s">
        <v>12554</v>
      </c>
    </row>
    <row r="1248" spans="1:59" ht="58" x14ac:dyDescent="0.35">
      <c r="A1248" s="2" t="s">
        <v>89</v>
      </c>
      <c r="B1248" s="2" t="s">
        <v>90</v>
      </c>
      <c r="C1248" s="2" t="s">
        <v>12555</v>
      </c>
      <c r="D1248" s="2" t="s">
        <v>12556</v>
      </c>
      <c r="E1248" s="2" t="s">
        <v>12557</v>
      </c>
      <c r="G1248" s="3" t="s">
        <v>62</v>
      </c>
      <c r="I1248" s="3" t="s">
        <v>62</v>
      </c>
      <c r="J1248" s="3" t="s">
        <v>62</v>
      </c>
      <c r="K1248" s="3" t="s">
        <v>63</v>
      </c>
      <c r="M1248" s="2" t="s">
        <v>12558</v>
      </c>
      <c r="N1248" s="3" t="s">
        <v>880</v>
      </c>
      <c r="P1248" s="3" t="s">
        <v>64</v>
      </c>
      <c r="Q1248" s="2" t="s">
        <v>12559</v>
      </c>
      <c r="R1248" s="3" t="s">
        <v>65</v>
      </c>
      <c r="S1248" s="4">
        <v>1</v>
      </c>
      <c r="T1248" s="4">
        <v>1</v>
      </c>
      <c r="U1248" s="5" t="s">
        <v>8858</v>
      </c>
      <c r="V1248" s="5" t="s">
        <v>8858</v>
      </c>
      <c r="W1248" s="5" t="s">
        <v>67</v>
      </c>
      <c r="X1248" s="5" t="s">
        <v>67</v>
      </c>
      <c r="Y1248" s="4">
        <v>34</v>
      </c>
      <c r="Z1248" s="4">
        <v>4</v>
      </c>
      <c r="AA1248" s="4">
        <v>4</v>
      </c>
      <c r="AB1248" s="4">
        <v>2</v>
      </c>
      <c r="AC1248" s="4">
        <v>2</v>
      </c>
      <c r="AD1248" s="4">
        <v>13</v>
      </c>
      <c r="AE1248" s="4">
        <v>13</v>
      </c>
      <c r="AF1248" s="4">
        <v>1</v>
      </c>
      <c r="AG1248" s="4">
        <v>1</v>
      </c>
      <c r="AH1248" s="4">
        <v>10</v>
      </c>
      <c r="AI1248" s="4">
        <v>10</v>
      </c>
      <c r="AJ1248" s="4">
        <v>2</v>
      </c>
      <c r="AK1248" s="4">
        <v>2</v>
      </c>
      <c r="AL1248" s="4">
        <v>6</v>
      </c>
      <c r="AM1248" s="4">
        <v>6</v>
      </c>
      <c r="AN1248" s="4">
        <v>0</v>
      </c>
      <c r="AO1248" s="4">
        <v>0</v>
      </c>
      <c r="AP1248" s="4">
        <v>3</v>
      </c>
      <c r="AQ1248" s="4">
        <v>3</v>
      </c>
      <c r="AR1248" s="3" t="s">
        <v>62</v>
      </c>
      <c r="AS1248" s="3" t="s">
        <v>62</v>
      </c>
      <c r="AT1248" s="3" t="s">
        <v>62</v>
      </c>
      <c r="AV1248" s="6" t="str">
        <f>HYPERLINK("http://mcgill.on.worldcat.org/oclc/649707454","Catalog Record")</f>
        <v>Catalog Record</v>
      </c>
      <c r="AW1248" s="6" t="str">
        <f>HYPERLINK("http://www.worldcat.org/oclc/649707454","WorldCat Record")</f>
        <v>WorldCat Record</v>
      </c>
      <c r="AX1248" s="3" t="s">
        <v>12560</v>
      </c>
      <c r="AY1248" s="3" t="s">
        <v>12561</v>
      </c>
      <c r="AZ1248" s="3" t="s">
        <v>12562</v>
      </c>
      <c r="BA1248" s="3" t="s">
        <v>12562</v>
      </c>
      <c r="BB1248" s="3" t="s">
        <v>12563</v>
      </c>
      <c r="BC1248" s="3" t="s">
        <v>102</v>
      </c>
      <c r="BD1248" s="3" t="s">
        <v>68</v>
      </c>
      <c r="BE1248" s="3" t="s">
        <v>12564</v>
      </c>
      <c r="BF1248" s="3" t="s">
        <v>12563</v>
      </c>
      <c r="BG1248" s="3" t="s">
        <v>12565</v>
      </c>
    </row>
    <row r="1249" spans="1:59" ht="58" x14ac:dyDescent="0.35">
      <c r="A1249" s="2" t="s">
        <v>89</v>
      </c>
      <c r="B1249" s="2" t="s">
        <v>90</v>
      </c>
      <c r="C1249" s="2" t="s">
        <v>12566</v>
      </c>
      <c r="D1249" s="2" t="s">
        <v>12567</v>
      </c>
      <c r="E1249" s="2" t="s">
        <v>12568</v>
      </c>
      <c r="G1249" s="3" t="s">
        <v>62</v>
      </c>
      <c r="I1249" s="3" t="s">
        <v>62</v>
      </c>
      <c r="J1249" s="3" t="s">
        <v>62</v>
      </c>
      <c r="K1249" s="3" t="s">
        <v>63</v>
      </c>
      <c r="M1249" s="2" t="s">
        <v>12569</v>
      </c>
      <c r="N1249" s="3" t="s">
        <v>539</v>
      </c>
      <c r="P1249" s="3" t="s">
        <v>64</v>
      </c>
      <c r="R1249" s="3" t="s">
        <v>65</v>
      </c>
      <c r="S1249" s="4">
        <v>9</v>
      </c>
      <c r="T1249" s="4">
        <v>9</v>
      </c>
      <c r="U1249" s="5" t="s">
        <v>12137</v>
      </c>
      <c r="V1249" s="5" t="s">
        <v>12137</v>
      </c>
      <c r="W1249" s="5" t="s">
        <v>67</v>
      </c>
      <c r="X1249" s="5" t="s">
        <v>67</v>
      </c>
      <c r="Y1249" s="4">
        <v>209</v>
      </c>
      <c r="Z1249" s="4">
        <v>9</v>
      </c>
      <c r="AA1249" s="4">
        <v>11</v>
      </c>
      <c r="AB1249" s="4">
        <v>1</v>
      </c>
      <c r="AC1249" s="4">
        <v>2</v>
      </c>
      <c r="AD1249" s="4">
        <v>76</v>
      </c>
      <c r="AE1249" s="4">
        <v>80</v>
      </c>
      <c r="AF1249" s="4">
        <v>0</v>
      </c>
      <c r="AG1249" s="4">
        <v>0</v>
      </c>
      <c r="AH1249" s="4">
        <v>73</v>
      </c>
      <c r="AI1249" s="4">
        <v>76</v>
      </c>
      <c r="AJ1249" s="4">
        <v>6</v>
      </c>
      <c r="AK1249" s="4">
        <v>7</v>
      </c>
      <c r="AL1249" s="4">
        <v>46</v>
      </c>
      <c r="AM1249" s="4">
        <v>48</v>
      </c>
      <c r="AN1249" s="4">
        <v>0</v>
      </c>
      <c r="AO1249" s="4">
        <v>0</v>
      </c>
      <c r="AP1249" s="4">
        <v>6</v>
      </c>
      <c r="AQ1249" s="4">
        <v>7</v>
      </c>
      <c r="AR1249" s="3" t="s">
        <v>62</v>
      </c>
      <c r="AS1249" s="3" t="s">
        <v>62</v>
      </c>
      <c r="AT1249" s="3" t="s">
        <v>62</v>
      </c>
      <c r="AV1249" s="6" t="str">
        <f>HYPERLINK("http://mcgill.on.worldcat.org/oclc/39131108","Catalog Record")</f>
        <v>Catalog Record</v>
      </c>
      <c r="AW1249" s="6" t="str">
        <f>HYPERLINK("http://www.worldcat.org/oclc/39131108","WorldCat Record")</f>
        <v>WorldCat Record</v>
      </c>
      <c r="AX1249" s="3" t="s">
        <v>12570</v>
      </c>
      <c r="AY1249" s="3" t="s">
        <v>12571</v>
      </c>
      <c r="AZ1249" s="3" t="s">
        <v>12572</v>
      </c>
      <c r="BA1249" s="3" t="s">
        <v>12572</v>
      </c>
      <c r="BB1249" s="3" t="s">
        <v>12573</v>
      </c>
      <c r="BC1249" s="3" t="s">
        <v>102</v>
      </c>
      <c r="BD1249" s="3" t="s">
        <v>68</v>
      </c>
      <c r="BE1249" s="3" t="s">
        <v>12574</v>
      </c>
      <c r="BF1249" s="3" t="s">
        <v>12573</v>
      </c>
      <c r="BG1249" s="3" t="s">
        <v>12575</v>
      </c>
    </row>
    <row r="1250" spans="1:59" ht="58" x14ac:dyDescent="0.35">
      <c r="A1250" s="2" t="s">
        <v>89</v>
      </c>
      <c r="B1250" s="2" t="s">
        <v>90</v>
      </c>
      <c r="C1250" s="2" t="s">
        <v>12576</v>
      </c>
      <c r="D1250" s="2" t="s">
        <v>12577</v>
      </c>
      <c r="E1250" s="2" t="s">
        <v>12578</v>
      </c>
      <c r="G1250" s="3" t="s">
        <v>62</v>
      </c>
      <c r="I1250" s="3" t="s">
        <v>61</v>
      </c>
      <c r="J1250" s="3" t="s">
        <v>61</v>
      </c>
      <c r="K1250" s="3" t="s">
        <v>63</v>
      </c>
      <c r="L1250" s="2" t="s">
        <v>12579</v>
      </c>
      <c r="M1250" s="2" t="s">
        <v>12580</v>
      </c>
      <c r="N1250" s="3" t="s">
        <v>396</v>
      </c>
      <c r="O1250" s="2" t="s">
        <v>12581</v>
      </c>
      <c r="P1250" s="3" t="s">
        <v>64</v>
      </c>
      <c r="R1250" s="3" t="s">
        <v>65</v>
      </c>
      <c r="S1250" s="4">
        <v>1</v>
      </c>
      <c r="T1250" s="4">
        <v>20</v>
      </c>
      <c r="U1250" s="5" t="s">
        <v>12137</v>
      </c>
      <c r="V1250" s="5" t="s">
        <v>12137</v>
      </c>
      <c r="W1250" s="5" t="s">
        <v>67</v>
      </c>
      <c r="X1250" s="5" t="s">
        <v>67</v>
      </c>
      <c r="Y1250" s="4">
        <v>286</v>
      </c>
      <c r="Z1250" s="4">
        <v>13</v>
      </c>
      <c r="AA1250" s="4">
        <v>50</v>
      </c>
      <c r="AB1250" s="4">
        <v>1</v>
      </c>
      <c r="AC1250" s="4">
        <v>8</v>
      </c>
      <c r="AD1250" s="4">
        <v>55</v>
      </c>
      <c r="AE1250" s="4">
        <v>128</v>
      </c>
      <c r="AF1250" s="4">
        <v>0</v>
      </c>
      <c r="AG1250" s="4">
        <v>5</v>
      </c>
      <c r="AH1250" s="4">
        <v>49</v>
      </c>
      <c r="AI1250" s="4">
        <v>102</v>
      </c>
      <c r="AJ1250" s="4">
        <v>7</v>
      </c>
      <c r="AK1250" s="4">
        <v>23</v>
      </c>
      <c r="AL1250" s="4">
        <v>24</v>
      </c>
      <c r="AM1250" s="4">
        <v>51</v>
      </c>
      <c r="AN1250" s="4">
        <v>0</v>
      </c>
      <c r="AO1250" s="4">
        <v>0</v>
      </c>
      <c r="AP1250" s="4">
        <v>10</v>
      </c>
      <c r="AQ1250" s="4">
        <v>34</v>
      </c>
      <c r="AR1250" s="3" t="s">
        <v>62</v>
      </c>
      <c r="AS1250" s="3" t="s">
        <v>62</v>
      </c>
      <c r="AT1250" s="3" t="s">
        <v>61</v>
      </c>
      <c r="AU1250" s="6" t="str">
        <f>HYPERLINK("http://catalog.hathitrust.org/Record/000377135","HathiTrust Record")</f>
        <v>HathiTrust Record</v>
      </c>
      <c r="AV1250" s="6" t="str">
        <f>HYPERLINK("http://mcgill.on.worldcat.org/oclc/11187853","Catalog Record")</f>
        <v>Catalog Record</v>
      </c>
      <c r="AW1250" s="6" t="str">
        <f>HYPERLINK("http://www.worldcat.org/oclc/11187853","WorldCat Record")</f>
        <v>WorldCat Record</v>
      </c>
      <c r="AX1250" s="3" t="s">
        <v>12582</v>
      </c>
      <c r="AY1250" s="3" t="s">
        <v>12583</v>
      </c>
      <c r="AZ1250" s="3" t="s">
        <v>12584</v>
      </c>
      <c r="BA1250" s="3" t="s">
        <v>12584</v>
      </c>
      <c r="BB1250" s="3" t="s">
        <v>12585</v>
      </c>
      <c r="BC1250" s="3" t="s">
        <v>102</v>
      </c>
      <c r="BD1250" s="3" t="s">
        <v>68</v>
      </c>
      <c r="BE1250" s="3" t="s">
        <v>12586</v>
      </c>
      <c r="BF1250" s="3" t="s">
        <v>12585</v>
      </c>
      <c r="BG1250" s="3" t="s">
        <v>12587</v>
      </c>
    </row>
    <row r="1251" spans="1:59" ht="58" x14ac:dyDescent="0.35">
      <c r="A1251" s="2" t="s">
        <v>89</v>
      </c>
      <c r="B1251" s="2" t="s">
        <v>90</v>
      </c>
      <c r="C1251" s="2" t="s">
        <v>12588</v>
      </c>
      <c r="D1251" s="2" t="s">
        <v>12589</v>
      </c>
      <c r="E1251" s="2" t="s">
        <v>12590</v>
      </c>
      <c r="G1251" s="3" t="s">
        <v>62</v>
      </c>
      <c r="I1251" s="3" t="s">
        <v>62</v>
      </c>
      <c r="J1251" s="3" t="s">
        <v>62</v>
      </c>
      <c r="K1251" s="3" t="s">
        <v>63</v>
      </c>
      <c r="L1251" s="2" t="s">
        <v>12591</v>
      </c>
      <c r="M1251" s="2" t="s">
        <v>12592</v>
      </c>
      <c r="N1251" s="3" t="s">
        <v>115</v>
      </c>
      <c r="O1251" s="2" t="s">
        <v>2458</v>
      </c>
      <c r="P1251" s="3" t="s">
        <v>64</v>
      </c>
      <c r="R1251" s="3" t="s">
        <v>65</v>
      </c>
      <c r="S1251" s="4">
        <v>5</v>
      </c>
      <c r="T1251" s="4">
        <v>5</v>
      </c>
      <c r="U1251" s="5" t="s">
        <v>12137</v>
      </c>
      <c r="V1251" s="5" t="s">
        <v>12137</v>
      </c>
      <c r="W1251" s="5" t="s">
        <v>67</v>
      </c>
      <c r="X1251" s="5" t="s">
        <v>67</v>
      </c>
      <c r="Y1251" s="4">
        <v>121</v>
      </c>
      <c r="Z1251" s="4">
        <v>9</v>
      </c>
      <c r="AA1251" s="4">
        <v>32</v>
      </c>
      <c r="AB1251" s="4">
        <v>1</v>
      </c>
      <c r="AC1251" s="4">
        <v>3</v>
      </c>
      <c r="AD1251" s="4">
        <v>18</v>
      </c>
      <c r="AE1251" s="4">
        <v>110</v>
      </c>
      <c r="AF1251" s="4">
        <v>0</v>
      </c>
      <c r="AG1251" s="4">
        <v>2</v>
      </c>
      <c r="AH1251" s="4">
        <v>15</v>
      </c>
      <c r="AI1251" s="4">
        <v>93</v>
      </c>
      <c r="AJ1251" s="4">
        <v>3</v>
      </c>
      <c r="AK1251" s="4">
        <v>17</v>
      </c>
      <c r="AL1251" s="4">
        <v>7</v>
      </c>
      <c r="AM1251" s="4">
        <v>51</v>
      </c>
      <c r="AN1251" s="4">
        <v>0</v>
      </c>
      <c r="AO1251" s="4">
        <v>0</v>
      </c>
      <c r="AP1251" s="4">
        <v>6</v>
      </c>
      <c r="AQ1251" s="4">
        <v>25</v>
      </c>
      <c r="AR1251" s="3" t="s">
        <v>62</v>
      </c>
      <c r="AS1251" s="3" t="s">
        <v>62</v>
      </c>
      <c r="AT1251" s="3" t="s">
        <v>61</v>
      </c>
      <c r="AU1251" s="6" t="str">
        <f>HYPERLINK("http://catalog.hathitrust.org/Record/000729153","HathiTrust Record")</f>
        <v>HathiTrust Record</v>
      </c>
      <c r="AV1251" s="6" t="str">
        <f>HYPERLINK("http://mcgill.on.worldcat.org/oclc/18815299","Catalog Record")</f>
        <v>Catalog Record</v>
      </c>
      <c r="AW1251" s="6" t="str">
        <f>HYPERLINK("http://www.worldcat.org/oclc/18815299","WorldCat Record")</f>
        <v>WorldCat Record</v>
      </c>
      <c r="AX1251" s="3" t="s">
        <v>12593</v>
      </c>
      <c r="AY1251" s="3" t="s">
        <v>12594</v>
      </c>
      <c r="AZ1251" s="3" t="s">
        <v>12595</v>
      </c>
      <c r="BA1251" s="3" t="s">
        <v>12595</v>
      </c>
      <c r="BB1251" s="3" t="s">
        <v>12596</v>
      </c>
      <c r="BC1251" s="3" t="s">
        <v>102</v>
      </c>
      <c r="BD1251" s="3" t="s">
        <v>68</v>
      </c>
      <c r="BE1251" s="3" t="s">
        <v>12597</v>
      </c>
      <c r="BF1251" s="3" t="s">
        <v>12596</v>
      </c>
      <c r="BG1251" s="3" t="s">
        <v>12598</v>
      </c>
    </row>
    <row r="1252" spans="1:59" ht="58" x14ac:dyDescent="0.35">
      <c r="A1252" s="2" t="s">
        <v>89</v>
      </c>
      <c r="B1252" s="2" t="s">
        <v>90</v>
      </c>
      <c r="C1252" s="2" t="s">
        <v>12599</v>
      </c>
      <c r="D1252" s="2" t="s">
        <v>12600</v>
      </c>
      <c r="E1252" s="2" t="s">
        <v>12601</v>
      </c>
      <c r="G1252" s="3" t="s">
        <v>62</v>
      </c>
      <c r="I1252" s="3" t="s">
        <v>62</v>
      </c>
      <c r="J1252" s="3" t="s">
        <v>62</v>
      </c>
      <c r="K1252" s="3" t="s">
        <v>63</v>
      </c>
      <c r="L1252" s="2" t="s">
        <v>12602</v>
      </c>
      <c r="M1252" s="2" t="s">
        <v>12603</v>
      </c>
      <c r="N1252" s="3" t="s">
        <v>438</v>
      </c>
      <c r="P1252" s="3" t="s">
        <v>64</v>
      </c>
      <c r="R1252" s="3" t="s">
        <v>65</v>
      </c>
      <c r="S1252" s="4">
        <v>3</v>
      </c>
      <c r="T1252" s="4">
        <v>3</v>
      </c>
      <c r="U1252" s="5" t="s">
        <v>12137</v>
      </c>
      <c r="V1252" s="5" t="s">
        <v>12137</v>
      </c>
      <c r="W1252" s="5" t="s">
        <v>67</v>
      </c>
      <c r="X1252" s="5" t="s">
        <v>67</v>
      </c>
      <c r="Y1252" s="4">
        <v>1251</v>
      </c>
      <c r="Z1252" s="4">
        <v>58</v>
      </c>
      <c r="AA1252" s="4">
        <v>76</v>
      </c>
      <c r="AB1252" s="4">
        <v>4</v>
      </c>
      <c r="AC1252" s="4">
        <v>9</v>
      </c>
      <c r="AD1252" s="4">
        <v>132</v>
      </c>
      <c r="AE1252" s="4">
        <v>145</v>
      </c>
      <c r="AF1252" s="4">
        <v>2</v>
      </c>
      <c r="AG1252" s="4">
        <v>5</v>
      </c>
      <c r="AH1252" s="4">
        <v>102</v>
      </c>
      <c r="AI1252" s="4">
        <v>104</v>
      </c>
      <c r="AJ1252" s="4">
        <v>19</v>
      </c>
      <c r="AK1252" s="4">
        <v>26</v>
      </c>
      <c r="AL1252" s="4">
        <v>56</v>
      </c>
      <c r="AM1252" s="4">
        <v>56</v>
      </c>
      <c r="AN1252" s="4">
        <v>0</v>
      </c>
      <c r="AO1252" s="4">
        <v>0</v>
      </c>
      <c r="AP1252" s="4">
        <v>35</v>
      </c>
      <c r="AQ1252" s="4">
        <v>46</v>
      </c>
      <c r="AR1252" s="3" t="s">
        <v>62</v>
      </c>
      <c r="AS1252" s="3" t="s">
        <v>62</v>
      </c>
      <c r="AT1252" s="3" t="s">
        <v>61</v>
      </c>
      <c r="AU1252" s="6" t="str">
        <f>HYPERLINK("http://catalog.hathitrust.org/Record/002233219","HathiTrust Record")</f>
        <v>HathiTrust Record</v>
      </c>
      <c r="AV1252" s="6" t="str">
        <f>HYPERLINK("http://mcgill.on.worldcat.org/oclc/20692759","Catalog Record")</f>
        <v>Catalog Record</v>
      </c>
      <c r="AW1252" s="6" t="str">
        <f>HYPERLINK("http://www.worldcat.org/oclc/20692759","WorldCat Record")</f>
        <v>WorldCat Record</v>
      </c>
      <c r="AX1252" s="3" t="s">
        <v>12604</v>
      </c>
      <c r="AY1252" s="3" t="s">
        <v>12605</v>
      </c>
      <c r="AZ1252" s="3" t="s">
        <v>12606</v>
      </c>
      <c r="BA1252" s="3" t="s">
        <v>12606</v>
      </c>
      <c r="BB1252" s="3" t="s">
        <v>12607</v>
      </c>
      <c r="BC1252" s="3" t="s">
        <v>102</v>
      </c>
      <c r="BD1252" s="3" t="s">
        <v>231</v>
      </c>
      <c r="BE1252" s="3" t="s">
        <v>12608</v>
      </c>
      <c r="BF1252" s="3" t="s">
        <v>12607</v>
      </c>
      <c r="BG1252" s="3" t="s">
        <v>12609</v>
      </c>
    </row>
    <row r="1253" spans="1:59" ht="58" x14ac:dyDescent="0.35">
      <c r="A1253" s="2" t="s">
        <v>89</v>
      </c>
      <c r="B1253" s="2" t="s">
        <v>6791</v>
      </c>
      <c r="C1253" s="2" t="s">
        <v>12610</v>
      </c>
      <c r="D1253" s="2" t="s">
        <v>12611</v>
      </c>
      <c r="E1253" s="2" t="s">
        <v>12612</v>
      </c>
      <c r="G1253" s="3" t="s">
        <v>62</v>
      </c>
      <c r="I1253" s="3" t="s">
        <v>62</v>
      </c>
      <c r="J1253" s="3" t="s">
        <v>62</v>
      </c>
      <c r="K1253" s="3" t="s">
        <v>63</v>
      </c>
      <c r="L1253" s="2" t="s">
        <v>12613</v>
      </c>
      <c r="M1253" s="2" t="s">
        <v>12614</v>
      </c>
      <c r="N1253" s="3" t="s">
        <v>424</v>
      </c>
      <c r="O1253" s="2" t="s">
        <v>12615</v>
      </c>
      <c r="P1253" s="3" t="s">
        <v>64</v>
      </c>
      <c r="R1253" s="3" t="s">
        <v>65</v>
      </c>
      <c r="S1253" s="4">
        <v>8</v>
      </c>
      <c r="T1253" s="4">
        <v>8</v>
      </c>
      <c r="U1253" s="5" t="s">
        <v>12137</v>
      </c>
      <c r="V1253" s="5" t="s">
        <v>12137</v>
      </c>
      <c r="W1253" s="5" t="s">
        <v>67</v>
      </c>
      <c r="X1253" s="5" t="s">
        <v>67</v>
      </c>
      <c r="Y1253" s="4">
        <v>41</v>
      </c>
      <c r="Z1253" s="4">
        <v>3</v>
      </c>
      <c r="AA1253" s="4">
        <v>11</v>
      </c>
      <c r="AB1253" s="4">
        <v>1</v>
      </c>
      <c r="AC1253" s="4">
        <v>2</v>
      </c>
      <c r="AD1253" s="4">
        <v>6</v>
      </c>
      <c r="AE1253" s="4">
        <v>23</v>
      </c>
      <c r="AF1253" s="4">
        <v>0</v>
      </c>
      <c r="AG1253" s="4">
        <v>0</v>
      </c>
      <c r="AH1253" s="4">
        <v>6</v>
      </c>
      <c r="AI1253" s="4">
        <v>20</v>
      </c>
      <c r="AJ1253" s="4">
        <v>0</v>
      </c>
      <c r="AK1253" s="4">
        <v>5</v>
      </c>
      <c r="AL1253" s="4">
        <v>3</v>
      </c>
      <c r="AM1253" s="4">
        <v>9</v>
      </c>
      <c r="AN1253" s="4">
        <v>0</v>
      </c>
      <c r="AO1253" s="4">
        <v>1</v>
      </c>
      <c r="AP1253" s="4">
        <v>1</v>
      </c>
      <c r="AQ1253" s="4">
        <v>7</v>
      </c>
      <c r="AR1253" s="3" t="s">
        <v>62</v>
      </c>
      <c r="AS1253" s="3" t="s">
        <v>62</v>
      </c>
      <c r="AT1253" s="3" t="s">
        <v>61</v>
      </c>
      <c r="AU1253" s="6" t="str">
        <f>HYPERLINK("http://catalog.hathitrust.org/Record/009135439","HathiTrust Record")</f>
        <v>HathiTrust Record</v>
      </c>
      <c r="AV1253" s="6" t="str">
        <f>HYPERLINK("http://mcgill.on.worldcat.org/oclc/17391022","Catalog Record")</f>
        <v>Catalog Record</v>
      </c>
      <c r="AW1253" s="6" t="str">
        <f>HYPERLINK("http://www.worldcat.org/oclc/17391022","WorldCat Record")</f>
        <v>WorldCat Record</v>
      </c>
      <c r="AX1253" s="3" t="s">
        <v>12616</v>
      </c>
      <c r="AY1253" s="3" t="s">
        <v>12617</v>
      </c>
      <c r="AZ1253" s="3" t="s">
        <v>12618</v>
      </c>
      <c r="BA1253" s="3" t="s">
        <v>12618</v>
      </c>
      <c r="BB1253" s="3" t="s">
        <v>12619</v>
      </c>
      <c r="BC1253" s="3" t="s">
        <v>102</v>
      </c>
      <c r="BD1253" s="3" t="s">
        <v>68</v>
      </c>
      <c r="BE1253" s="3" t="s">
        <v>12620</v>
      </c>
      <c r="BF1253" s="3" t="s">
        <v>12619</v>
      </c>
      <c r="BG1253" s="3" t="s">
        <v>12621</v>
      </c>
    </row>
    <row r="1254" spans="1:59" ht="58" x14ac:dyDescent="0.35">
      <c r="A1254" s="2" t="s">
        <v>89</v>
      </c>
      <c r="B1254" s="2" t="s">
        <v>90</v>
      </c>
      <c r="C1254" s="2" t="s">
        <v>12622</v>
      </c>
      <c r="D1254" s="2" t="s">
        <v>12623</v>
      </c>
      <c r="E1254" s="2" t="s">
        <v>12624</v>
      </c>
      <c r="G1254" s="3" t="s">
        <v>62</v>
      </c>
      <c r="I1254" s="3" t="s">
        <v>61</v>
      </c>
      <c r="J1254" s="3" t="s">
        <v>61</v>
      </c>
      <c r="K1254" s="3" t="s">
        <v>63</v>
      </c>
      <c r="L1254" s="2" t="s">
        <v>12625</v>
      </c>
      <c r="M1254" s="2" t="s">
        <v>12626</v>
      </c>
      <c r="N1254" s="3" t="s">
        <v>115</v>
      </c>
      <c r="P1254" s="3" t="s">
        <v>64</v>
      </c>
      <c r="R1254" s="3" t="s">
        <v>65</v>
      </c>
      <c r="S1254" s="4">
        <v>24</v>
      </c>
      <c r="T1254" s="4">
        <v>113</v>
      </c>
      <c r="U1254" s="5" t="s">
        <v>10139</v>
      </c>
      <c r="V1254" s="5" t="s">
        <v>12627</v>
      </c>
      <c r="W1254" s="5" t="s">
        <v>67</v>
      </c>
      <c r="X1254" s="5" t="s">
        <v>67</v>
      </c>
      <c r="Y1254" s="4">
        <v>1796</v>
      </c>
      <c r="Z1254" s="4">
        <v>60</v>
      </c>
      <c r="AA1254" s="4">
        <v>137</v>
      </c>
      <c r="AB1254" s="4">
        <v>4</v>
      </c>
      <c r="AC1254" s="4">
        <v>16</v>
      </c>
      <c r="AD1254" s="4">
        <v>139</v>
      </c>
      <c r="AE1254" s="4">
        <v>161</v>
      </c>
      <c r="AF1254" s="4">
        <v>1</v>
      </c>
      <c r="AG1254" s="4">
        <v>5</v>
      </c>
      <c r="AH1254" s="4">
        <v>109</v>
      </c>
      <c r="AI1254" s="4">
        <v>115</v>
      </c>
      <c r="AJ1254" s="4">
        <v>20</v>
      </c>
      <c r="AK1254" s="4">
        <v>28</v>
      </c>
      <c r="AL1254" s="4">
        <v>58</v>
      </c>
      <c r="AM1254" s="4">
        <v>60</v>
      </c>
      <c r="AN1254" s="4">
        <v>0</v>
      </c>
      <c r="AO1254" s="4">
        <v>0</v>
      </c>
      <c r="AP1254" s="4">
        <v>37</v>
      </c>
      <c r="AQ1254" s="4">
        <v>51</v>
      </c>
      <c r="AR1254" s="3" t="s">
        <v>62</v>
      </c>
      <c r="AS1254" s="3" t="s">
        <v>62</v>
      </c>
      <c r="AT1254" s="3" t="s">
        <v>62</v>
      </c>
      <c r="AV1254" s="6" t="str">
        <f>HYPERLINK("http://mcgill.on.worldcat.org/oclc/19724273","Catalog Record")</f>
        <v>Catalog Record</v>
      </c>
      <c r="AW1254" s="6" t="str">
        <f>HYPERLINK("http://www.worldcat.org/oclc/19724273","WorldCat Record")</f>
        <v>WorldCat Record</v>
      </c>
      <c r="AX1254" s="3" t="s">
        <v>12628</v>
      </c>
      <c r="AY1254" s="3" t="s">
        <v>12629</v>
      </c>
      <c r="AZ1254" s="3" t="s">
        <v>12630</v>
      </c>
      <c r="BA1254" s="3" t="s">
        <v>12630</v>
      </c>
      <c r="BB1254" s="3" t="s">
        <v>12631</v>
      </c>
      <c r="BC1254" s="3" t="s">
        <v>102</v>
      </c>
      <c r="BD1254" s="3" t="s">
        <v>68</v>
      </c>
      <c r="BE1254" s="3" t="s">
        <v>12632</v>
      </c>
      <c r="BF1254" s="3" t="s">
        <v>12631</v>
      </c>
      <c r="BG1254" s="3" t="s">
        <v>12633</v>
      </c>
    </row>
    <row r="1255" spans="1:59" ht="58" x14ac:dyDescent="0.35">
      <c r="A1255" s="2" t="s">
        <v>89</v>
      </c>
      <c r="B1255" s="2" t="s">
        <v>6791</v>
      </c>
      <c r="C1255" s="2" t="s">
        <v>12634</v>
      </c>
      <c r="D1255" s="2" t="s">
        <v>12635</v>
      </c>
      <c r="E1255" s="2" t="s">
        <v>12624</v>
      </c>
      <c r="G1255" s="3" t="s">
        <v>62</v>
      </c>
      <c r="I1255" s="3" t="s">
        <v>62</v>
      </c>
      <c r="J1255" s="3" t="s">
        <v>61</v>
      </c>
      <c r="K1255" s="3" t="s">
        <v>63</v>
      </c>
      <c r="L1255" s="2" t="s">
        <v>12625</v>
      </c>
      <c r="M1255" s="2" t="s">
        <v>12636</v>
      </c>
      <c r="N1255" s="3" t="s">
        <v>3062</v>
      </c>
      <c r="P1255" s="3" t="s">
        <v>64</v>
      </c>
      <c r="R1255" s="3" t="s">
        <v>65</v>
      </c>
      <c r="S1255" s="4">
        <v>35</v>
      </c>
      <c r="T1255" s="4">
        <v>35</v>
      </c>
      <c r="U1255" s="5" t="s">
        <v>511</v>
      </c>
      <c r="V1255" s="5" t="s">
        <v>511</v>
      </c>
      <c r="W1255" s="5" t="s">
        <v>67</v>
      </c>
      <c r="X1255" s="5" t="s">
        <v>67</v>
      </c>
      <c r="Y1255" s="4">
        <v>298</v>
      </c>
      <c r="Z1255" s="4">
        <v>8</v>
      </c>
      <c r="AA1255" s="4">
        <v>137</v>
      </c>
      <c r="AB1255" s="4">
        <v>1</v>
      </c>
      <c r="AC1255" s="4">
        <v>16</v>
      </c>
      <c r="AD1255" s="4">
        <v>34</v>
      </c>
      <c r="AE1255" s="4">
        <v>161</v>
      </c>
      <c r="AF1255" s="4">
        <v>0</v>
      </c>
      <c r="AG1255" s="4">
        <v>5</v>
      </c>
      <c r="AH1255" s="4">
        <v>30</v>
      </c>
      <c r="AI1255" s="4">
        <v>115</v>
      </c>
      <c r="AJ1255" s="4">
        <v>1</v>
      </c>
      <c r="AK1255" s="4">
        <v>28</v>
      </c>
      <c r="AL1255" s="4">
        <v>17</v>
      </c>
      <c r="AM1255" s="4">
        <v>60</v>
      </c>
      <c r="AN1255" s="4">
        <v>0</v>
      </c>
      <c r="AO1255" s="4">
        <v>0</v>
      </c>
      <c r="AP1255" s="4">
        <v>3</v>
      </c>
      <c r="AQ1255" s="4">
        <v>51</v>
      </c>
      <c r="AR1255" s="3" t="s">
        <v>62</v>
      </c>
      <c r="AS1255" s="3" t="s">
        <v>62</v>
      </c>
      <c r="AT1255" s="3" t="s">
        <v>61</v>
      </c>
      <c r="AU1255" s="6" t="str">
        <f>HYPERLINK("http://catalog.hathitrust.org/Record/008312569","HathiTrust Record")</f>
        <v>HathiTrust Record</v>
      </c>
      <c r="AV1255" s="6" t="str">
        <f>HYPERLINK("http://mcgill.on.worldcat.org/oclc/22240220","Catalog Record")</f>
        <v>Catalog Record</v>
      </c>
      <c r="AW1255" s="6" t="str">
        <f>HYPERLINK("http://www.worldcat.org/oclc/22240220","WorldCat Record")</f>
        <v>WorldCat Record</v>
      </c>
      <c r="AX1255" s="3" t="s">
        <v>12628</v>
      </c>
      <c r="AY1255" s="3" t="s">
        <v>12637</v>
      </c>
      <c r="AZ1255" s="3" t="s">
        <v>12638</v>
      </c>
      <c r="BA1255" s="3" t="s">
        <v>12638</v>
      </c>
      <c r="BB1255" s="3" t="s">
        <v>12639</v>
      </c>
      <c r="BC1255" s="3" t="s">
        <v>102</v>
      </c>
      <c r="BD1255" s="3" t="s">
        <v>68</v>
      </c>
      <c r="BE1255" s="3" t="s">
        <v>12640</v>
      </c>
      <c r="BF1255" s="3" t="s">
        <v>12639</v>
      </c>
      <c r="BG1255" s="3" t="s">
        <v>12641</v>
      </c>
    </row>
    <row r="1256" spans="1:59" ht="58" x14ac:dyDescent="0.35">
      <c r="A1256" s="2" t="s">
        <v>89</v>
      </c>
      <c r="B1256" s="2" t="s">
        <v>90</v>
      </c>
      <c r="C1256" s="2" t="s">
        <v>12642</v>
      </c>
      <c r="D1256" s="2" t="s">
        <v>12643</v>
      </c>
      <c r="E1256" s="2" t="s">
        <v>12644</v>
      </c>
      <c r="G1256" s="3" t="s">
        <v>62</v>
      </c>
      <c r="I1256" s="3" t="s">
        <v>62</v>
      </c>
      <c r="J1256" s="3" t="s">
        <v>62</v>
      </c>
      <c r="K1256" s="3" t="s">
        <v>63</v>
      </c>
      <c r="M1256" s="2" t="s">
        <v>12645</v>
      </c>
      <c r="N1256" s="3" t="s">
        <v>438</v>
      </c>
      <c r="P1256" s="3" t="s">
        <v>64</v>
      </c>
      <c r="Q1256" s="2" t="s">
        <v>12646</v>
      </c>
      <c r="R1256" s="3" t="s">
        <v>65</v>
      </c>
      <c r="S1256" s="4">
        <v>58</v>
      </c>
      <c r="T1256" s="4">
        <v>58</v>
      </c>
      <c r="U1256" s="5" t="s">
        <v>3875</v>
      </c>
      <c r="V1256" s="5" t="s">
        <v>3875</v>
      </c>
      <c r="W1256" s="5" t="s">
        <v>67</v>
      </c>
      <c r="X1256" s="5" t="s">
        <v>67</v>
      </c>
      <c r="Y1256" s="4">
        <v>613</v>
      </c>
      <c r="Z1256" s="4">
        <v>37</v>
      </c>
      <c r="AA1256" s="4">
        <v>45</v>
      </c>
      <c r="AB1256" s="4">
        <v>3</v>
      </c>
      <c r="AC1256" s="4">
        <v>7</v>
      </c>
      <c r="AD1256" s="4">
        <v>113</v>
      </c>
      <c r="AE1256" s="4">
        <v>120</v>
      </c>
      <c r="AF1256" s="4">
        <v>2</v>
      </c>
      <c r="AG1256" s="4">
        <v>6</v>
      </c>
      <c r="AH1256" s="4">
        <v>89</v>
      </c>
      <c r="AI1256" s="4">
        <v>92</v>
      </c>
      <c r="AJ1256" s="4">
        <v>18</v>
      </c>
      <c r="AK1256" s="4">
        <v>25</v>
      </c>
      <c r="AL1256" s="4">
        <v>52</v>
      </c>
      <c r="AM1256" s="4">
        <v>52</v>
      </c>
      <c r="AN1256" s="4">
        <v>0</v>
      </c>
      <c r="AO1256" s="4">
        <v>0</v>
      </c>
      <c r="AP1256" s="4">
        <v>30</v>
      </c>
      <c r="AQ1256" s="4">
        <v>36</v>
      </c>
      <c r="AR1256" s="3" t="s">
        <v>62</v>
      </c>
      <c r="AS1256" s="3" t="s">
        <v>62</v>
      </c>
      <c r="AT1256" s="3" t="s">
        <v>62</v>
      </c>
      <c r="AV1256" s="6" t="str">
        <f>HYPERLINK("http://mcgill.on.worldcat.org/oclc/19739410","Catalog Record")</f>
        <v>Catalog Record</v>
      </c>
      <c r="AW1256" s="6" t="str">
        <f>HYPERLINK("http://www.worldcat.org/oclc/19739410","WorldCat Record")</f>
        <v>WorldCat Record</v>
      </c>
      <c r="AX1256" s="3" t="s">
        <v>12647</v>
      </c>
      <c r="AY1256" s="3" t="s">
        <v>12648</v>
      </c>
      <c r="AZ1256" s="3" t="s">
        <v>12649</v>
      </c>
      <c r="BA1256" s="3" t="s">
        <v>12649</v>
      </c>
      <c r="BB1256" s="3" t="s">
        <v>12650</v>
      </c>
      <c r="BC1256" s="3" t="s">
        <v>102</v>
      </c>
      <c r="BD1256" s="3" t="s">
        <v>68</v>
      </c>
      <c r="BE1256" s="3" t="s">
        <v>12651</v>
      </c>
      <c r="BF1256" s="3" t="s">
        <v>12650</v>
      </c>
      <c r="BG1256" s="3" t="s">
        <v>12652</v>
      </c>
    </row>
    <row r="1257" spans="1:59" ht="58" x14ac:dyDescent="0.35">
      <c r="A1257" s="2" t="s">
        <v>89</v>
      </c>
      <c r="B1257" s="2" t="s">
        <v>90</v>
      </c>
      <c r="C1257" s="2" t="s">
        <v>12653</v>
      </c>
      <c r="D1257" s="2" t="s">
        <v>12654</v>
      </c>
      <c r="E1257" s="2" t="s">
        <v>12655</v>
      </c>
      <c r="G1257" s="3" t="s">
        <v>62</v>
      </c>
      <c r="I1257" s="3" t="s">
        <v>62</v>
      </c>
      <c r="J1257" s="3" t="s">
        <v>62</v>
      </c>
      <c r="K1257" s="3" t="s">
        <v>63</v>
      </c>
      <c r="M1257" s="2" t="s">
        <v>12656</v>
      </c>
      <c r="N1257" s="3" t="s">
        <v>1905</v>
      </c>
      <c r="P1257" s="3" t="s">
        <v>64</v>
      </c>
      <c r="Q1257" s="2" t="s">
        <v>12657</v>
      </c>
      <c r="R1257" s="3" t="s">
        <v>65</v>
      </c>
      <c r="S1257" s="4">
        <v>36</v>
      </c>
      <c r="T1257" s="4">
        <v>36</v>
      </c>
      <c r="U1257" s="5" t="s">
        <v>12658</v>
      </c>
      <c r="V1257" s="5" t="s">
        <v>12658</v>
      </c>
      <c r="W1257" s="5" t="s">
        <v>67</v>
      </c>
      <c r="X1257" s="5" t="s">
        <v>67</v>
      </c>
      <c r="Y1257" s="4">
        <v>354</v>
      </c>
      <c r="Z1257" s="4">
        <v>24</v>
      </c>
      <c r="AA1257" s="4">
        <v>28</v>
      </c>
      <c r="AB1257" s="4">
        <v>2</v>
      </c>
      <c r="AC1257" s="4">
        <v>5</v>
      </c>
      <c r="AD1257" s="4">
        <v>97</v>
      </c>
      <c r="AE1257" s="4">
        <v>103</v>
      </c>
      <c r="AF1257" s="4">
        <v>1</v>
      </c>
      <c r="AG1257" s="4">
        <v>4</v>
      </c>
      <c r="AH1257" s="4">
        <v>87</v>
      </c>
      <c r="AI1257" s="4">
        <v>89</v>
      </c>
      <c r="AJ1257" s="4">
        <v>17</v>
      </c>
      <c r="AK1257" s="4">
        <v>21</v>
      </c>
      <c r="AL1257" s="4">
        <v>49</v>
      </c>
      <c r="AM1257" s="4">
        <v>51</v>
      </c>
      <c r="AN1257" s="4">
        <v>0</v>
      </c>
      <c r="AO1257" s="4">
        <v>0</v>
      </c>
      <c r="AP1257" s="4">
        <v>17</v>
      </c>
      <c r="AQ1257" s="4">
        <v>20</v>
      </c>
      <c r="AR1257" s="3" t="s">
        <v>62</v>
      </c>
      <c r="AS1257" s="3" t="s">
        <v>62</v>
      </c>
      <c r="AT1257" s="3" t="s">
        <v>61</v>
      </c>
      <c r="AU1257" s="6" t="str">
        <f>HYPERLINK("http://catalog.hathitrust.org/Record/000821012","HathiTrust Record")</f>
        <v>HathiTrust Record</v>
      </c>
      <c r="AV1257" s="6" t="str">
        <f>HYPERLINK("http://mcgill.on.worldcat.org/oclc/14167213","Catalog Record")</f>
        <v>Catalog Record</v>
      </c>
      <c r="AW1257" s="6" t="str">
        <f>HYPERLINK("http://www.worldcat.org/oclc/14167213","WorldCat Record")</f>
        <v>WorldCat Record</v>
      </c>
      <c r="AX1257" s="3" t="s">
        <v>12659</v>
      </c>
      <c r="AY1257" s="3" t="s">
        <v>12660</v>
      </c>
      <c r="AZ1257" s="3" t="s">
        <v>12661</v>
      </c>
      <c r="BA1257" s="3" t="s">
        <v>12661</v>
      </c>
      <c r="BB1257" s="3" t="s">
        <v>12662</v>
      </c>
      <c r="BC1257" s="3" t="s">
        <v>102</v>
      </c>
      <c r="BD1257" s="3" t="s">
        <v>231</v>
      </c>
      <c r="BE1257" s="3" t="s">
        <v>12663</v>
      </c>
      <c r="BF1257" s="3" t="s">
        <v>12662</v>
      </c>
      <c r="BG1257" s="3" t="s">
        <v>12664</v>
      </c>
    </row>
    <row r="1258" spans="1:59" ht="58" x14ac:dyDescent="0.35">
      <c r="A1258" s="2" t="s">
        <v>89</v>
      </c>
      <c r="B1258" s="2" t="s">
        <v>90</v>
      </c>
      <c r="C1258" s="2" t="s">
        <v>12665</v>
      </c>
      <c r="D1258" s="2" t="s">
        <v>12666</v>
      </c>
      <c r="E1258" s="2" t="s">
        <v>12667</v>
      </c>
      <c r="G1258" s="3" t="s">
        <v>62</v>
      </c>
      <c r="I1258" s="3" t="s">
        <v>62</v>
      </c>
      <c r="J1258" s="3" t="s">
        <v>62</v>
      </c>
      <c r="K1258" s="3" t="s">
        <v>63</v>
      </c>
      <c r="L1258" s="2" t="s">
        <v>12668</v>
      </c>
      <c r="M1258" s="2" t="s">
        <v>12669</v>
      </c>
      <c r="N1258" s="3" t="s">
        <v>684</v>
      </c>
      <c r="P1258" s="3" t="s">
        <v>64</v>
      </c>
      <c r="Q1258" s="2" t="s">
        <v>12670</v>
      </c>
      <c r="R1258" s="3" t="s">
        <v>65</v>
      </c>
      <c r="S1258" s="4">
        <v>0</v>
      </c>
      <c r="T1258" s="4">
        <v>0</v>
      </c>
      <c r="W1258" s="5" t="s">
        <v>67</v>
      </c>
      <c r="X1258" s="5" t="s">
        <v>67</v>
      </c>
      <c r="Y1258" s="4">
        <v>23</v>
      </c>
      <c r="Z1258" s="4">
        <v>2</v>
      </c>
      <c r="AA1258" s="4">
        <v>18</v>
      </c>
      <c r="AB1258" s="4">
        <v>1</v>
      </c>
      <c r="AC1258" s="4">
        <v>7</v>
      </c>
      <c r="AD1258" s="4">
        <v>7</v>
      </c>
      <c r="AE1258" s="4">
        <v>44</v>
      </c>
      <c r="AF1258" s="4">
        <v>0</v>
      </c>
      <c r="AG1258" s="4">
        <v>3</v>
      </c>
      <c r="AH1258" s="4">
        <v>7</v>
      </c>
      <c r="AI1258" s="4">
        <v>35</v>
      </c>
      <c r="AJ1258" s="4">
        <v>1</v>
      </c>
      <c r="AK1258" s="4">
        <v>11</v>
      </c>
      <c r="AL1258" s="4">
        <v>4</v>
      </c>
      <c r="AM1258" s="4">
        <v>19</v>
      </c>
      <c r="AN1258" s="4">
        <v>0</v>
      </c>
      <c r="AO1258" s="4">
        <v>0</v>
      </c>
      <c r="AP1258" s="4">
        <v>1</v>
      </c>
      <c r="AQ1258" s="4">
        <v>13</v>
      </c>
      <c r="AR1258" s="3" t="s">
        <v>62</v>
      </c>
      <c r="AS1258" s="3" t="s">
        <v>62</v>
      </c>
      <c r="AT1258" s="3" t="s">
        <v>62</v>
      </c>
      <c r="AV1258" s="6" t="str">
        <f>HYPERLINK("http://mcgill.on.worldcat.org/oclc/775378614","Catalog Record")</f>
        <v>Catalog Record</v>
      </c>
      <c r="AW1258" s="6" t="str">
        <f>HYPERLINK("http://www.worldcat.org/oclc/775378614","WorldCat Record")</f>
        <v>WorldCat Record</v>
      </c>
      <c r="AX1258" s="3" t="s">
        <v>12671</v>
      </c>
      <c r="AY1258" s="3" t="s">
        <v>12672</v>
      </c>
      <c r="AZ1258" s="3" t="s">
        <v>12673</v>
      </c>
      <c r="BA1258" s="3" t="s">
        <v>12673</v>
      </c>
      <c r="BB1258" s="3" t="s">
        <v>12674</v>
      </c>
      <c r="BC1258" s="3" t="s">
        <v>102</v>
      </c>
      <c r="BD1258" s="3" t="s">
        <v>68</v>
      </c>
      <c r="BE1258" s="3" t="s">
        <v>12675</v>
      </c>
      <c r="BF1258" s="3" t="s">
        <v>12674</v>
      </c>
      <c r="BG1258" s="3" t="s">
        <v>12676</v>
      </c>
    </row>
    <row r="1259" spans="1:59" ht="58" x14ac:dyDescent="0.35">
      <c r="A1259" s="2" t="s">
        <v>89</v>
      </c>
      <c r="B1259" s="2" t="s">
        <v>90</v>
      </c>
      <c r="C1259" s="2" t="s">
        <v>12677</v>
      </c>
      <c r="D1259" s="2" t="s">
        <v>12678</v>
      </c>
      <c r="E1259" s="2" t="s">
        <v>12679</v>
      </c>
      <c r="G1259" s="3" t="s">
        <v>62</v>
      </c>
      <c r="I1259" s="3" t="s">
        <v>62</v>
      </c>
      <c r="J1259" s="3" t="s">
        <v>62</v>
      </c>
      <c r="K1259" s="3" t="s">
        <v>63</v>
      </c>
      <c r="L1259" s="2" t="s">
        <v>12680</v>
      </c>
      <c r="M1259" s="2" t="s">
        <v>12681</v>
      </c>
      <c r="N1259" s="3" t="s">
        <v>698</v>
      </c>
      <c r="P1259" s="3" t="s">
        <v>64</v>
      </c>
      <c r="Q1259" s="2" t="s">
        <v>12682</v>
      </c>
      <c r="R1259" s="3" t="s">
        <v>65</v>
      </c>
      <c r="S1259" s="4">
        <v>4</v>
      </c>
      <c r="T1259" s="4">
        <v>4</v>
      </c>
      <c r="U1259" s="5" t="s">
        <v>3616</v>
      </c>
      <c r="V1259" s="5" t="s">
        <v>3616</v>
      </c>
      <c r="W1259" s="5" t="s">
        <v>67</v>
      </c>
      <c r="X1259" s="5" t="s">
        <v>67</v>
      </c>
      <c r="Y1259" s="4">
        <v>125</v>
      </c>
      <c r="Z1259" s="4">
        <v>18</v>
      </c>
      <c r="AA1259" s="4">
        <v>22</v>
      </c>
      <c r="AB1259" s="4">
        <v>1</v>
      </c>
      <c r="AC1259" s="4">
        <v>3</v>
      </c>
      <c r="AD1259" s="4">
        <v>52</v>
      </c>
      <c r="AE1259" s="4">
        <v>56</v>
      </c>
      <c r="AF1259" s="4">
        <v>0</v>
      </c>
      <c r="AG1259" s="4">
        <v>0</v>
      </c>
      <c r="AH1259" s="4">
        <v>46</v>
      </c>
      <c r="AI1259" s="4">
        <v>49</v>
      </c>
      <c r="AJ1259" s="4">
        <v>10</v>
      </c>
      <c r="AK1259" s="4">
        <v>12</v>
      </c>
      <c r="AL1259" s="4">
        <v>27</v>
      </c>
      <c r="AM1259" s="4">
        <v>29</v>
      </c>
      <c r="AN1259" s="4">
        <v>0</v>
      </c>
      <c r="AO1259" s="4">
        <v>0</v>
      </c>
      <c r="AP1259" s="4">
        <v>12</v>
      </c>
      <c r="AQ1259" s="4">
        <v>14</v>
      </c>
      <c r="AR1259" s="3" t="s">
        <v>62</v>
      </c>
      <c r="AS1259" s="3" t="s">
        <v>62</v>
      </c>
      <c r="AT1259" s="3" t="s">
        <v>62</v>
      </c>
      <c r="AV1259" s="6" t="str">
        <f>HYPERLINK("http://mcgill.on.worldcat.org/oclc/785873560","Catalog Record")</f>
        <v>Catalog Record</v>
      </c>
      <c r="AW1259" s="6" t="str">
        <f>HYPERLINK("http://www.worldcat.org/oclc/785873560","WorldCat Record")</f>
        <v>WorldCat Record</v>
      </c>
      <c r="AX1259" s="3" t="s">
        <v>12683</v>
      </c>
      <c r="AY1259" s="3" t="s">
        <v>12684</v>
      </c>
      <c r="AZ1259" s="3" t="s">
        <v>12685</v>
      </c>
      <c r="BA1259" s="3" t="s">
        <v>12685</v>
      </c>
      <c r="BB1259" s="3" t="s">
        <v>12686</v>
      </c>
      <c r="BC1259" s="3" t="s">
        <v>102</v>
      </c>
      <c r="BD1259" s="3" t="s">
        <v>68</v>
      </c>
      <c r="BE1259" s="3" t="s">
        <v>12687</v>
      </c>
      <c r="BF1259" s="3" t="s">
        <v>12686</v>
      </c>
      <c r="BG1259" s="3" t="s">
        <v>12688</v>
      </c>
    </row>
    <row r="1260" spans="1:59" ht="58" x14ac:dyDescent="0.35">
      <c r="A1260" s="2" t="s">
        <v>89</v>
      </c>
      <c r="B1260" s="2" t="s">
        <v>90</v>
      </c>
      <c r="C1260" s="2" t="s">
        <v>12689</v>
      </c>
      <c r="D1260" s="2" t="s">
        <v>12690</v>
      </c>
      <c r="E1260" s="2" t="s">
        <v>12691</v>
      </c>
      <c r="G1260" s="3" t="s">
        <v>62</v>
      </c>
      <c r="I1260" s="3" t="s">
        <v>62</v>
      </c>
      <c r="J1260" s="3" t="s">
        <v>62</v>
      </c>
      <c r="K1260" s="3" t="s">
        <v>63</v>
      </c>
      <c r="L1260" s="2" t="s">
        <v>12692</v>
      </c>
      <c r="M1260" s="2" t="s">
        <v>12693</v>
      </c>
      <c r="N1260" s="3" t="s">
        <v>712</v>
      </c>
      <c r="P1260" s="3" t="s">
        <v>64</v>
      </c>
      <c r="R1260" s="3" t="s">
        <v>65</v>
      </c>
      <c r="S1260" s="4">
        <v>5</v>
      </c>
      <c r="T1260" s="4">
        <v>5</v>
      </c>
      <c r="U1260" s="5" t="s">
        <v>12658</v>
      </c>
      <c r="V1260" s="5" t="s">
        <v>12658</v>
      </c>
      <c r="W1260" s="5" t="s">
        <v>67</v>
      </c>
      <c r="X1260" s="5" t="s">
        <v>67</v>
      </c>
      <c r="Y1260" s="4">
        <v>494</v>
      </c>
      <c r="Z1260" s="4">
        <v>21</v>
      </c>
      <c r="AA1260" s="4">
        <v>59</v>
      </c>
      <c r="AB1260" s="4">
        <v>2</v>
      </c>
      <c r="AC1260" s="4">
        <v>7</v>
      </c>
      <c r="AD1260" s="4">
        <v>78</v>
      </c>
      <c r="AE1260" s="4">
        <v>96</v>
      </c>
      <c r="AF1260" s="4">
        <v>1</v>
      </c>
      <c r="AG1260" s="4">
        <v>4</v>
      </c>
      <c r="AH1260" s="4">
        <v>71</v>
      </c>
      <c r="AI1260" s="4">
        <v>78</v>
      </c>
      <c r="AJ1260" s="4">
        <v>11</v>
      </c>
      <c r="AK1260" s="4">
        <v>15</v>
      </c>
      <c r="AL1260" s="4">
        <v>41</v>
      </c>
      <c r="AM1260" s="4">
        <v>46</v>
      </c>
      <c r="AN1260" s="4">
        <v>0</v>
      </c>
      <c r="AO1260" s="4">
        <v>0</v>
      </c>
      <c r="AP1260" s="4">
        <v>12</v>
      </c>
      <c r="AQ1260" s="4">
        <v>21</v>
      </c>
      <c r="AR1260" s="3" t="s">
        <v>62</v>
      </c>
      <c r="AS1260" s="3" t="s">
        <v>62</v>
      </c>
      <c r="AT1260" s="3" t="s">
        <v>62</v>
      </c>
      <c r="AV1260" s="6" t="str">
        <f>HYPERLINK("http://mcgill.on.worldcat.org/oclc/840465029","Catalog Record")</f>
        <v>Catalog Record</v>
      </c>
      <c r="AW1260" s="6" t="str">
        <f>HYPERLINK("http://www.worldcat.org/oclc/840465029","WorldCat Record")</f>
        <v>WorldCat Record</v>
      </c>
      <c r="AX1260" s="3" t="s">
        <v>12694</v>
      </c>
      <c r="AY1260" s="3" t="s">
        <v>12695</v>
      </c>
      <c r="AZ1260" s="3" t="s">
        <v>12696</v>
      </c>
      <c r="BA1260" s="3" t="s">
        <v>12696</v>
      </c>
      <c r="BB1260" s="3" t="s">
        <v>12697</v>
      </c>
      <c r="BC1260" s="3" t="s">
        <v>102</v>
      </c>
      <c r="BD1260" s="3" t="s">
        <v>231</v>
      </c>
      <c r="BE1260" s="3" t="s">
        <v>12698</v>
      </c>
      <c r="BF1260" s="3" t="s">
        <v>12697</v>
      </c>
      <c r="BG1260" s="3" t="s">
        <v>12699</v>
      </c>
    </row>
    <row r="1261" spans="1:59" ht="58" x14ac:dyDescent="0.35">
      <c r="A1261" s="2" t="s">
        <v>89</v>
      </c>
      <c r="B1261" s="2" t="s">
        <v>90</v>
      </c>
      <c r="C1261" s="2" t="s">
        <v>12700</v>
      </c>
      <c r="D1261" s="2" t="s">
        <v>12701</v>
      </c>
      <c r="E1261" s="2" t="s">
        <v>12702</v>
      </c>
      <c r="G1261" s="3" t="s">
        <v>62</v>
      </c>
      <c r="I1261" s="3" t="s">
        <v>61</v>
      </c>
      <c r="J1261" s="3" t="s">
        <v>62</v>
      </c>
      <c r="K1261" s="3" t="s">
        <v>63</v>
      </c>
      <c r="M1261" s="2" t="s">
        <v>12703</v>
      </c>
      <c r="N1261" s="3" t="s">
        <v>838</v>
      </c>
      <c r="P1261" s="3" t="s">
        <v>64</v>
      </c>
      <c r="Q1261" s="2" t="s">
        <v>12704</v>
      </c>
      <c r="R1261" s="3" t="s">
        <v>65</v>
      </c>
      <c r="S1261" s="4">
        <v>27</v>
      </c>
      <c r="T1261" s="4">
        <v>53</v>
      </c>
      <c r="U1261" s="5" t="s">
        <v>12705</v>
      </c>
      <c r="V1261" s="5" t="s">
        <v>12706</v>
      </c>
      <c r="W1261" s="5" t="s">
        <v>67</v>
      </c>
      <c r="X1261" s="5" t="s">
        <v>67</v>
      </c>
      <c r="Y1261" s="4">
        <v>671</v>
      </c>
      <c r="Z1261" s="4">
        <v>60</v>
      </c>
      <c r="AA1261" s="4">
        <v>68</v>
      </c>
      <c r="AB1261" s="4">
        <v>3</v>
      </c>
      <c r="AC1261" s="4">
        <v>9</v>
      </c>
      <c r="AD1261" s="4">
        <v>131</v>
      </c>
      <c r="AE1261" s="4">
        <v>140</v>
      </c>
      <c r="AF1261" s="4">
        <v>1</v>
      </c>
      <c r="AG1261" s="4">
        <v>5</v>
      </c>
      <c r="AH1261" s="4">
        <v>95</v>
      </c>
      <c r="AI1261" s="4">
        <v>101</v>
      </c>
      <c r="AJ1261" s="4">
        <v>22</v>
      </c>
      <c r="AK1261" s="4">
        <v>28</v>
      </c>
      <c r="AL1261" s="4">
        <v>54</v>
      </c>
      <c r="AM1261" s="4">
        <v>55</v>
      </c>
      <c r="AN1261" s="4">
        <v>1</v>
      </c>
      <c r="AO1261" s="4">
        <v>1</v>
      </c>
      <c r="AP1261" s="4">
        <v>41</v>
      </c>
      <c r="AQ1261" s="4">
        <v>46</v>
      </c>
      <c r="AR1261" s="3" t="s">
        <v>62</v>
      </c>
      <c r="AS1261" s="3" t="s">
        <v>62</v>
      </c>
      <c r="AT1261" s="3" t="s">
        <v>61</v>
      </c>
      <c r="AU1261" s="6" t="str">
        <f>HYPERLINK("http://catalog.hathitrust.org/Record/001475200","HathiTrust Record")</f>
        <v>HathiTrust Record</v>
      </c>
      <c r="AV1261" s="6" t="str">
        <f>HYPERLINK("http://mcgill.on.worldcat.org/oclc/883504","Catalog Record")</f>
        <v>Catalog Record</v>
      </c>
      <c r="AW1261" s="6" t="str">
        <f>HYPERLINK("http://www.worldcat.org/oclc/883504","WorldCat Record")</f>
        <v>WorldCat Record</v>
      </c>
      <c r="AX1261" s="3" t="s">
        <v>12707</v>
      </c>
      <c r="AY1261" s="3" t="s">
        <v>12708</v>
      </c>
      <c r="AZ1261" s="3" t="s">
        <v>12709</v>
      </c>
      <c r="BA1261" s="3" t="s">
        <v>12709</v>
      </c>
      <c r="BB1261" s="3" t="s">
        <v>12710</v>
      </c>
      <c r="BC1261" s="3" t="s">
        <v>102</v>
      </c>
      <c r="BD1261" s="3" t="s">
        <v>68</v>
      </c>
      <c r="BE1261" s="3" t="s">
        <v>12711</v>
      </c>
      <c r="BF1261" s="3" t="s">
        <v>12710</v>
      </c>
      <c r="BG1261" s="3" t="s">
        <v>12712</v>
      </c>
    </row>
    <row r="1262" spans="1:59" ht="58" x14ac:dyDescent="0.35">
      <c r="A1262" s="2" t="s">
        <v>89</v>
      </c>
      <c r="B1262" s="2" t="s">
        <v>90</v>
      </c>
      <c r="C1262" s="2" t="s">
        <v>12713</v>
      </c>
      <c r="D1262" s="2" t="s">
        <v>12714</v>
      </c>
      <c r="E1262" s="2" t="s">
        <v>12715</v>
      </c>
      <c r="F1262" s="3" t="s">
        <v>2217</v>
      </c>
      <c r="G1262" s="3" t="s">
        <v>61</v>
      </c>
      <c r="I1262" s="3" t="s">
        <v>62</v>
      </c>
      <c r="J1262" s="3" t="s">
        <v>62</v>
      </c>
      <c r="K1262" s="3" t="s">
        <v>63</v>
      </c>
      <c r="M1262" s="2" t="s">
        <v>12716</v>
      </c>
      <c r="N1262" s="3" t="s">
        <v>568</v>
      </c>
      <c r="P1262" s="3" t="s">
        <v>64</v>
      </c>
      <c r="R1262" s="3" t="s">
        <v>65</v>
      </c>
      <c r="S1262" s="4">
        <v>3</v>
      </c>
      <c r="T1262" s="4">
        <v>12</v>
      </c>
      <c r="U1262" s="5" t="s">
        <v>12717</v>
      </c>
      <c r="V1262" s="5" t="s">
        <v>12717</v>
      </c>
      <c r="W1262" s="5" t="s">
        <v>67</v>
      </c>
      <c r="X1262" s="5" t="s">
        <v>67</v>
      </c>
      <c r="Y1262" s="4">
        <v>68</v>
      </c>
      <c r="Z1262" s="4">
        <v>3</v>
      </c>
      <c r="AA1262" s="4">
        <v>3</v>
      </c>
      <c r="AB1262" s="4">
        <v>1</v>
      </c>
      <c r="AC1262" s="4">
        <v>1</v>
      </c>
      <c r="AD1262" s="4">
        <v>17</v>
      </c>
      <c r="AE1262" s="4">
        <v>17</v>
      </c>
      <c r="AF1262" s="4">
        <v>0</v>
      </c>
      <c r="AG1262" s="4">
        <v>0</v>
      </c>
      <c r="AH1262" s="4">
        <v>16</v>
      </c>
      <c r="AI1262" s="4">
        <v>16</v>
      </c>
      <c r="AJ1262" s="4">
        <v>1</v>
      </c>
      <c r="AK1262" s="4">
        <v>1</v>
      </c>
      <c r="AL1262" s="4">
        <v>9</v>
      </c>
      <c r="AM1262" s="4">
        <v>9</v>
      </c>
      <c r="AN1262" s="4">
        <v>0</v>
      </c>
      <c r="AO1262" s="4">
        <v>0</v>
      </c>
      <c r="AP1262" s="4">
        <v>1</v>
      </c>
      <c r="AQ1262" s="4">
        <v>1</v>
      </c>
      <c r="AR1262" s="3" t="s">
        <v>62</v>
      </c>
      <c r="AS1262" s="3" t="s">
        <v>62</v>
      </c>
      <c r="AT1262" s="3" t="s">
        <v>62</v>
      </c>
      <c r="AV1262" s="6" t="str">
        <f>HYPERLINK("http://mcgill.on.worldcat.org/oclc/44777313","Catalog Record")</f>
        <v>Catalog Record</v>
      </c>
      <c r="AW1262" s="6" t="str">
        <f>HYPERLINK("http://www.worldcat.org/oclc/44777313","WorldCat Record")</f>
        <v>WorldCat Record</v>
      </c>
      <c r="AX1262" s="3" t="s">
        <v>12718</v>
      </c>
      <c r="AY1262" s="3" t="s">
        <v>12719</v>
      </c>
      <c r="AZ1262" s="3" t="s">
        <v>12720</v>
      </c>
      <c r="BA1262" s="3" t="s">
        <v>12720</v>
      </c>
      <c r="BB1262" s="3" t="s">
        <v>12721</v>
      </c>
      <c r="BC1262" s="3" t="s">
        <v>102</v>
      </c>
      <c r="BD1262" s="3" t="s">
        <v>68</v>
      </c>
      <c r="BE1262" s="3" t="s">
        <v>12722</v>
      </c>
      <c r="BF1262" s="3" t="s">
        <v>12721</v>
      </c>
      <c r="BG1262" s="3" t="s">
        <v>12723</v>
      </c>
    </row>
    <row r="1263" spans="1:59" ht="58" x14ac:dyDescent="0.35">
      <c r="A1263" s="2" t="s">
        <v>89</v>
      </c>
      <c r="B1263" s="2" t="s">
        <v>90</v>
      </c>
      <c r="C1263" s="2" t="s">
        <v>12713</v>
      </c>
      <c r="D1263" s="2" t="s">
        <v>12714</v>
      </c>
      <c r="E1263" s="2" t="s">
        <v>12715</v>
      </c>
      <c r="F1263" s="3" t="s">
        <v>2248</v>
      </c>
      <c r="G1263" s="3" t="s">
        <v>61</v>
      </c>
      <c r="I1263" s="3" t="s">
        <v>62</v>
      </c>
      <c r="J1263" s="3" t="s">
        <v>62</v>
      </c>
      <c r="K1263" s="3" t="s">
        <v>63</v>
      </c>
      <c r="M1263" s="2" t="s">
        <v>12716</v>
      </c>
      <c r="N1263" s="3" t="s">
        <v>568</v>
      </c>
      <c r="P1263" s="3" t="s">
        <v>64</v>
      </c>
      <c r="R1263" s="3" t="s">
        <v>65</v>
      </c>
      <c r="S1263" s="4">
        <v>3</v>
      </c>
      <c r="T1263" s="4">
        <v>12</v>
      </c>
      <c r="U1263" s="5" t="s">
        <v>12717</v>
      </c>
      <c r="V1263" s="5" t="s">
        <v>12717</v>
      </c>
      <c r="W1263" s="5" t="s">
        <v>67</v>
      </c>
      <c r="X1263" s="5" t="s">
        <v>67</v>
      </c>
      <c r="Y1263" s="4">
        <v>68</v>
      </c>
      <c r="Z1263" s="4">
        <v>3</v>
      </c>
      <c r="AA1263" s="4">
        <v>3</v>
      </c>
      <c r="AB1263" s="4">
        <v>1</v>
      </c>
      <c r="AC1263" s="4">
        <v>1</v>
      </c>
      <c r="AD1263" s="4">
        <v>17</v>
      </c>
      <c r="AE1263" s="4">
        <v>17</v>
      </c>
      <c r="AF1263" s="4">
        <v>0</v>
      </c>
      <c r="AG1263" s="4">
        <v>0</v>
      </c>
      <c r="AH1263" s="4">
        <v>16</v>
      </c>
      <c r="AI1263" s="4">
        <v>16</v>
      </c>
      <c r="AJ1263" s="4">
        <v>1</v>
      </c>
      <c r="AK1263" s="4">
        <v>1</v>
      </c>
      <c r="AL1263" s="4">
        <v>9</v>
      </c>
      <c r="AM1263" s="4">
        <v>9</v>
      </c>
      <c r="AN1263" s="4">
        <v>0</v>
      </c>
      <c r="AO1263" s="4">
        <v>0</v>
      </c>
      <c r="AP1263" s="4">
        <v>1</v>
      </c>
      <c r="AQ1263" s="4">
        <v>1</v>
      </c>
      <c r="AR1263" s="3" t="s">
        <v>62</v>
      </c>
      <c r="AS1263" s="3" t="s">
        <v>62</v>
      </c>
      <c r="AT1263" s="3" t="s">
        <v>62</v>
      </c>
      <c r="AV1263" s="6" t="str">
        <f>HYPERLINK("http://mcgill.on.worldcat.org/oclc/44777313","Catalog Record")</f>
        <v>Catalog Record</v>
      </c>
      <c r="AW1263" s="6" t="str">
        <f>HYPERLINK("http://www.worldcat.org/oclc/44777313","WorldCat Record")</f>
        <v>WorldCat Record</v>
      </c>
      <c r="AX1263" s="3" t="s">
        <v>12718</v>
      </c>
      <c r="AY1263" s="3" t="s">
        <v>12719</v>
      </c>
      <c r="AZ1263" s="3" t="s">
        <v>12720</v>
      </c>
      <c r="BA1263" s="3" t="s">
        <v>12720</v>
      </c>
      <c r="BB1263" s="3" t="s">
        <v>12724</v>
      </c>
      <c r="BC1263" s="3" t="s">
        <v>102</v>
      </c>
      <c r="BD1263" s="3" t="s">
        <v>68</v>
      </c>
      <c r="BE1263" s="3" t="s">
        <v>12722</v>
      </c>
      <c r="BF1263" s="3" t="s">
        <v>12724</v>
      </c>
      <c r="BG1263" s="3" t="s">
        <v>12725</v>
      </c>
    </row>
    <row r="1264" spans="1:59" ht="58" x14ac:dyDescent="0.35">
      <c r="A1264" s="2" t="s">
        <v>89</v>
      </c>
      <c r="B1264" s="2" t="s">
        <v>90</v>
      </c>
      <c r="C1264" s="2" t="s">
        <v>12713</v>
      </c>
      <c r="D1264" s="2" t="s">
        <v>12714</v>
      </c>
      <c r="E1264" s="2" t="s">
        <v>12715</v>
      </c>
      <c r="F1264" s="3" t="s">
        <v>2214</v>
      </c>
      <c r="G1264" s="3" t="s">
        <v>61</v>
      </c>
      <c r="I1264" s="3" t="s">
        <v>62</v>
      </c>
      <c r="J1264" s="3" t="s">
        <v>62</v>
      </c>
      <c r="K1264" s="3" t="s">
        <v>63</v>
      </c>
      <c r="M1264" s="2" t="s">
        <v>12716</v>
      </c>
      <c r="N1264" s="3" t="s">
        <v>568</v>
      </c>
      <c r="P1264" s="3" t="s">
        <v>64</v>
      </c>
      <c r="R1264" s="3" t="s">
        <v>65</v>
      </c>
      <c r="S1264" s="4">
        <v>3</v>
      </c>
      <c r="T1264" s="4">
        <v>12</v>
      </c>
      <c r="U1264" s="5" t="s">
        <v>12717</v>
      </c>
      <c r="V1264" s="5" t="s">
        <v>12717</v>
      </c>
      <c r="W1264" s="5" t="s">
        <v>67</v>
      </c>
      <c r="X1264" s="5" t="s">
        <v>67</v>
      </c>
      <c r="Y1264" s="4">
        <v>68</v>
      </c>
      <c r="Z1264" s="4">
        <v>3</v>
      </c>
      <c r="AA1264" s="4">
        <v>3</v>
      </c>
      <c r="AB1264" s="4">
        <v>1</v>
      </c>
      <c r="AC1264" s="4">
        <v>1</v>
      </c>
      <c r="AD1264" s="4">
        <v>17</v>
      </c>
      <c r="AE1264" s="4">
        <v>17</v>
      </c>
      <c r="AF1264" s="4">
        <v>0</v>
      </c>
      <c r="AG1264" s="4">
        <v>0</v>
      </c>
      <c r="AH1264" s="4">
        <v>16</v>
      </c>
      <c r="AI1264" s="4">
        <v>16</v>
      </c>
      <c r="AJ1264" s="4">
        <v>1</v>
      </c>
      <c r="AK1264" s="4">
        <v>1</v>
      </c>
      <c r="AL1264" s="4">
        <v>9</v>
      </c>
      <c r="AM1264" s="4">
        <v>9</v>
      </c>
      <c r="AN1264" s="4">
        <v>0</v>
      </c>
      <c r="AO1264" s="4">
        <v>0</v>
      </c>
      <c r="AP1264" s="4">
        <v>1</v>
      </c>
      <c r="AQ1264" s="4">
        <v>1</v>
      </c>
      <c r="AR1264" s="3" t="s">
        <v>62</v>
      </c>
      <c r="AS1264" s="3" t="s">
        <v>62</v>
      </c>
      <c r="AT1264" s="3" t="s">
        <v>62</v>
      </c>
      <c r="AV1264" s="6" t="str">
        <f>HYPERLINK("http://mcgill.on.worldcat.org/oclc/44777313","Catalog Record")</f>
        <v>Catalog Record</v>
      </c>
      <c r="AW1264" s="6" t="str">
        <f>HYPERLINK("http://www.worldcat.org/oclc/44777313","WorldCat Record")</f>
        <v>WorldCat Record</v>
      </c>
      <c r="AX1264" s="3" t="s">
        <v>12718</v>
      </c>
      <c r="AY1264" s="3" t="s">
        <v>12719</v>
      </c>
      <c r="AZ1264" s="3" t="s">
        <v>12720</v>
      </c>
      <c r="BA1264" s="3" t="s">
        <v>12720</v>
      </c>
      <c r="BB1264" s="3" t="s">
        <v>12726</v>
      </c>
      <c r="BC1264" s="3" t="s">
        <v>102</v>
      </c>
      <c r="BD1264" s="3" t="s">
        <v>68</v>
      </c>
      <c r="BE1264" s="3" t="s">
        <v>12722</v>
      </c>
      <c r="BF1264" s="3" t="s">
        <v>12726</v>
      </c>
      <c r="BG1264" s="3" t="s">
        <v>12727</v>
      </c>
    </row>
    <row r="1265" spans="1:59" ht="58" x14ac:dyDescent="0.35">
      <c r="A1265" s="2" t="s">
        <v>89</v>
      </c>
      <c r="B1265" s="2" t="s">
        <v>90</v>
      </c>
      <c r="C1265" s="2" t="s">
        <v>12713</v>
      </c>
      <c r="D1265" s="2" t="s">
        <v>12714</v>
      </c>
      <c r="E1265" s="2" t="s">
        <v>12715</v>
      </c>
      <c r="F1265" s="3" t="s">
        <v>2233</v>
      </c>
      <c r="G1265" s="3" t="s">
        <v>61</v>
      </c>
      <c r="I1265" s="3" t="s">
        <v>62</v>
      </c>
      <c r="J1265" s="3" t="s">
        <v>62</v>
      </c>
      <c r="K1265" s="3" t="s">
        <v>63</v>
      </c>
      <c r="M1265" s="2" t="s">
        <v>12716</v>
      </c>
      <c r="N1265" s="3" t="s">
        <v>568</v>
      </c>
      <c r="P1265" s="3" t="s">
        <v>64</v>
      </c>
      <c r="R1265" s="3" t="s">
        <v>65</v>
      </c>
      <c r="S1265" s="4">
        <v>3</v>
      </c>
      <c r="T1265" s="4">
        <v>12</v>
      </c>
      <c r="U1265" s="5" t="s">
        <v>12717</v>
      </c>
      <c r="V1265" s="5" t="s">
        <v>12717</v>
      </c>
      <c r="W1265" s="5" t="s">
        <v>67</v>
      </c>
      <c r="X1265" s="5" t="s">
        <v>67</v>
      </c>
      <c r="Y1265" s="4">
        <v>68</v>
      </c>
      <c r="Z1265" s="4">
        <v>3</v>
      </c>
      <c r="AA1265" s="4">
        <v>3</v>
      </c>
      <c r="AB1265" s="4">
        <v>1</v>
      </c>
      <c r="AC1265" s="4">
        <v>1</v>
      </c>
      <c r="AD1265" s="4">
        <v>17</v>
      </c>
      <c r="AE1265" s="4">
        <v>17</v>
      </c>
      <c r="AF1265" s="4">
        <v>0</v>
      </c>
      <c r="AG1265" s="4">
        <v>0</v>
      </c>
      <c r="AH1265" s="4">
        <v>16</v>
      </c>
      <c r="AI1265" s="4">
        <v>16</v>
      </c>
      <c r="AJ1265" s="4">
        <v>1</v>
      </c>
      <c r="AK1265" s="4">
        <v>1</v>
      </c>
      <c r="AL1265" s="4">
        <v>9</v>
      </c>
      <c r="AM1265" s="4">
        <v>9</v>
      </c>
      <c r="AN1265" s="4">
        <v>0</v>
      </c>
      <c r="AO1265" s="4">
        <v>0</v>
      </c>
      <c r="AP1265" s="4">
        <v>1</v>
      </c>
      <c r="AQ1265" s="4">
        <v>1</v>
      </c>
      <c r="AR1265" s="3" t="s">
        <v>62</v>
      </c>
      <c r="AS1265" s="3" t="s">
        <v>62</v>
      </c>
      <c r="AT1265" s="3" t="s">
        <v>62</v>
      </c>
      <c r="AV1265" s="6" t="str">
        <f>HYPERLINK("http://mcgill.on.worldcat.org/oclc/44777313","Catalog Record")</f>
        <v>Catalog Record</v>
      </c>
      <c r="AW1265" s="6" t="str">
        <f>HYPERLINK("http://www.worldcat.org/oclc/44777313","WorldCat Record")</f>
        <v>WorldCat Record</v>
      </c>
      <c r="AX1265" s="3" t="s">
        <v>12718</v>
      </c>
      <c r="AY1265" s="3" t="s">
        <v>12719</v>
      </c>
      <c r="AZ1265" s="3" t="s">
        <v>12720</v>
      </c>
      <c r="BA1265" s="3" t="s">
        <v>12720</v>
      </c>
      <c r="BB1265" s="3" t="s">
        <v>12728</v>
      </c>
      <c r="BC1265" s="3" t="s">
        <v>102</v>
      </c>
      <c r="BD1265" s="3" t="s">
        <v>68</v>
      </c>
      <c r="BE1265" s="3" t="s">
        <v>12722</v>
      </c>
      <c r="BF1265" s="3" t="s">
        <v>12728</v>
      </c>
      <c r="BG1265" s="3" t="s">
        <v>12729</v>
      </c>
    </row>
    <row r="1266" spans="1:59" ht="58" x14ac:dyDescent="0.35">
      <c r="A1266" s="2" t="s">
        <v>89</v>
      </c>
      <c r="B1266" s="2" t="s">
        <v>90</v>
      </c>
      <c r="C1266" s="2" t="s">
        <v>12730</v>
      </c>
      <c r="D1266" s="2" t="s">
        <v>12731</v>
      </c>
      <c r="E1266" s="2" t="s">
        <v>12732</v>
      </c>
      <c r="G1266" s="3" t="s">
        <v>62</v>
      </c>
      <c r="I1266" s="3" t="s">
        <v>61</v>
      </c>
      <c r="J1266" s="3" t="s">
        <v>62</v>
      </c>
      <c r="K1266" s="3" t="s">
        <v>63</v>
      </c>
      <c r="L1266" s="2" t="s">
        <v>12733</v>
      </c>
      <c r="M1266" s="2" t="s">
        <v>12734</v>
      </c>
      <c r="N1266" s="3" t="s">
        <v>2566</v>
      </c>
      <c r="P1266" s="3" t="s">
        <v>64</v>
      </c>
      <c r="R1266" s="3" t="s">
        <v>65</v>
      </c>
      <c r="S1266" s="4">
        <v>2</v>
      </c>
      <c r="T1266" s="4">
        <v>2</v>
      </c>
      <c r="U1266" s="5" t="s">
        <v>12735</v>
      </c>
      <c r="V1266" s="5" t="s">
        <v>12735</v>
      </c>
      <c r="W1266" s="5" t="s">
        <v>67</v>
      </c>
      <c r="X1266" s="5" t="s">
        <v>67</v>
      </c>
      <c r="Y1266" s="4">
        <v>88</v>
      </c>
      <c r="Z1266" s="4">
        <v>11</v>
      </c>
      <c r="AA1266" s="4">
        <v>13</v>
      </c>
      <c r="AB1266" s="4">
        <v>1</v>
      </c>
      <c r="AC1266" s="4">
        <v>2</v>
      </c>
      <c r="AD1266" s="4">
        <v>47</v>
      </c>
      <c r="AE1266" s="4">
        <v>49</v>
      </c>
      <c r="AF1266" s="4">
        <v>0</v>
      </c>
      <c r="AG1266" s="4">
        <v>1</v>
      </c>
      <c r="AH1266" s="4">
        <v>42</v>
      </c>
      <c r="AI1266" s="4">
        <v>43</v>
      </c>
      <c r="AJ1266" s="4">
        <v>9</v>
      </c>
      <c r="AK1266" s="4">
        <v>11</v>
      </c>
      <c r="AL1266" s="4">
        <v>27</v>
      </c>
      <c r="AM1266" s="4">
        <v>27</v>
      </c>
      <c r="AN1266" s="4">
        <v>0</v>
      </c>
      <c r="AO1266" s="4">
        <v>0</v>
      </c>
      <c r="AP1266" s="4">
        <v>8</v>
      </c>
      <c r="AQ1266" s="4">
        <v>10</v>
      </c>
      <c r="AR1266" s="3" t="s">
        <v>62</v>
      </c>
      <c r="AS1266" s="3" t="s">
        <v>62</v>
      </c>
      <c r="AT1266" s="3" t="s">
        <v>62</v>
      </c>
      <c r="AV1266" s="6" t="str">
        <f>HYPERLINK("http://mcgill.on.worldcat.org/oclc/3241831","Catalog Record")</f>
        <v>Catalog Record</v>
      </c>
      <c r="AW1266" s="6" t="str">
        <f>HYPERLINK("http://www.worldcat.org/oclc/3241831","WorldCat Record")</f>
        <v>WorldCat Record</v>
      </c>
      <c r="AX1266" s="3" t="s">
        <v>12736</v>
      </c>
      <c r="AY1266" s="3" t="s">
        <v>12737</v>
      </c>
      <c r="AZ1266" s="3" t="s">
        <v>12738</v>
      </c>
      <c r="BA1266" s="3" t="s">
        <v>12738</v>
      </c>
      <c r="BB1266" s="3" t="s">
        <v>12739</v>
      </c>
      <c r="BC1266" s="3" t="s">
        <v>102</v>
      </c>
      <c r="BD1266" s="3" t="s">
        <v>68</v>
      </c>
      <c r="BF1266" s="3" t="s">
        <v>12739</v>
      </c>
      <c r="BG1266" s="3" t="s">
        <v>12740</v>
      </c>
    </row>
    <row r="1267" spans="1:59" ht="58" x14ac:dyDescent="0.35">
      <c r="A1267" s="2" t="s">
        <v>89</v>
      </c>
      <c r="B1267" s="2" t="s">
        <v>90</v>
      </c>
      <c r="C1267" s="2" t="s">
        <v>12741</v>
      </c>
      <c r="D1267" s="2" t="s">
        <v>12742</v>
      </c>
      <c r="E1267" s="2" t="s">
        <v>12743</v>
      </c>
      <c r="F1267" s="3" t="s">
        <v>2233</v>
      </c>
      <c r="G1267" s="3" t="s">
        <v>61</v>
      </c>
      <c r="I1267" s="3" t="s">
        <v>62</v>
      </c>
      <c r="J1267" s="3" t="s">
        <v>62</v>
      </c>
      <c r="K1267" s="3" t="s">
        <v>63</v>
      </c>
      <c r="M1267" s="2" t="s">
        <v>12744</v>
      </c>
      <c r="N1267" s="3" t="s">
        <v>2000</v>
      </c>
      <c r="P1267" s="3" t="s">
        <v>64</v>
      </c>
      <c r="Q1267" s="2" t="s">
        <v>12745</v>
      </c>
      <c r="R1267" s="3" t="s">
        <v>65</v>
      </c>
      <c r="S1267" s="4">
        <v>12</v>
      </c>
      <c r="T1267" s="4">
        <v>25</v>
      </c>
      <c r="U1267" s="5" t="s">
        <v>9665</v>
      </c>
      <c r="V1267" s="5" t="s">
        <v>9665</v>
      </c>
      <c r="W1267" s="5" t="s">
        <v>67</v>
      </c>
      <c r="X1267" s="5" t="s">
        <v>67</v>
      </c>
      <c r="Y1267" s="4">
        <v>394</v>
      </c>
      <c r="Z1267" s="4">
        <v>25</v>
      </c>
      <c r="AA1267" s="4">
        <v>27</v>
      </c>
      <c r="AB1267" s="4">
        <v>2</v>
      </c>
      <c r="AC1267" s="4">
        <v>4</v>
      </c>
      <c r="AD1267" s="4">
        <v>102</v>
      </c>
      <c r="AE1267" s="4">
        <v>106</v>
      </c>
      <c r="AF1267" s="4">
        <v>1</v>
      </c>
      <c r="AG1267" s="4">
        <v>3</v>
      </c>
      <c r="AH1267" s="4">
        <v>88</v>
      </c>
      <c r="AI1267" s="4">
        <v>90</v>
      </c>
      <c r="AJ1267" s="4">
        <v>14</v>
      </c>
      <c r="AK1267" s="4">
        <v>15</v>
      </c>
      <c r="AL1267" s="4">
        <v>52</v>
      </c>
      <c r="AM1267" s="4">
        <v>52</v>
      </c>
      <c r="AN1267" s="4">
        <v>0</v>
      </c>
      <c r="AO1267" s="4">
        <v>0</v>
      </c>
      <c r="AP1267" s="4">
        <v>18</v>
      </c>
      <c r="AQ1267" s="4">
        <v>20</v>
      </c>
      <c r="AR1267" s="3" t="s">
        <v>62</v>
      </c>
      <c r="AS1267" s="3" t="s">
        <v>62</v>
      </c>
      <c r="AT1267" s="3" t="s">
        <v>61</v>
      </c>
      <c r="AU1267" s="6" t="str">
        <f>HYPERLINK("http://catalog.hathitrust.org/Record/003115520","HathiTrust Record")</f>
        <v>HathiTrust Record</v>
      </c>
      <c r="AV1267" s="6" t="str">
        <f>HYPERLINK("http://mcgill.on.worldcat.org/oclc/34839772","Catalog Record")</f>
        <v>Catalog Record</v>
      </c>
      <c r="AW1267" s="6" t="str">
        <f>HYPERLINK("http://www.worldcat.org/oclc/34839772","WorldCat Record")</f>
        <v>WorldCat Record</v>
      </c>
      <c r="AX1267" s="3" t="s">
        <v>12746</v>
      </c>
      <c r="AY1267" s="3" t="s">
        <v>12747</v>
      </c>
      <c r="AZ1267" s="3" t="s">
        <v>12748</v>
      </c>
      <c r="BA1267" s="3" t="s">
        <v>12748</v>
      </c>
      <c r="BB1267" s="3" t="s">
        <v>12749</v>
      </c>
      <c r="BC1267" s="3" t="s">
        <v>102</v>
      </c>
      <c r="BD1267" s="3" t="s">
        <v>68</v>
      </c>
      <c r="BE1267" s="3" t="s">
        <v>12750</v>
      </c>
      <c r="BF1267" s="3" t="s">
        <v>12749</v>
      </c>
      <c r="BG1267" s="3" t="s">
        <v>12751</v>
      </c>
    </row>
    <row r="1268" spans="1:59" ht="58" x14ac:dyDescent="0.35">
      <c r="A1268" s="2" t="s">
        <v>89</v>
      </c>
      <c r="B1268" s="2" t="s">
        <v>90</v>
      </c>
      <c r="C1268" s="2" t="s">
        <v>12752</v>
      </c>
      <c r="D1268" s="2" t="s">
        <v>12753</v>
      </c>
      <c r="E1268" s="2" t="s">
        <v>12754</v>
      </c>
      <c r="G1268" s="3" t="s">
        <v>62</v>
      </c>
      <c r="I1268" s="3" t="s">
        <v>61</v>
      </c>
      <c r="J1268" s="3" t="s">
        <v>62</v>
      </c>
      <c r="K1268" s="3" t="s">
        <v>63</v>
      </c>
      <c r="M1268" s="2" t="s">
        <v>12755</v>
      </c>
      <c r="N1268" s="3" t="s">
        <v>285</v>
      </c>
      <c r="O1268" s="2" t="s">
        <v>2163</v>
      </c>
      <c r="P1268" s="3" t="s">
        <v>64</v>
      </c>
      <c r="R1268" s="3" t="s">
        <v>65</v>
      </c>
      <c r="S1268" s="4">
        <v>20</v>
      </c>
      <c r="T1268" s="4">
        <v>20</v>
      </c>
      <c r="U1268" s="5" t="s">
        <v>3616</v>
      </c>
      <c r="V1268" s="5" t="s">
        <v>3616</v>
      </c>
      <c r="W1268" s="5" t="s">
        <v>67</v>
      </c>
      <c r="X1268" s="5" t="s">
        <v>67</v>
      </c>
      <c r="Y1268" s="4">
        <v>14</v>
      </c>
      <c r="Z1268" s="4">
        <v>3</v>
      </c>
      <c r="AA1268" s="4">
        <v>56</v>
      </c>
      <c r="AB1268" s="4">
        <v>1</v>
      </c>
      <c r="AC1268" s="4">
        <v>9</v>
      </c>
      <c r="AD1268" s="4">
        <v>10</v>
      </c>
      <c r="AE1268" s="4">
        <v>133</v>
      </c>
      <c r="AF1268" s="4">
        <v>0</v>
      </c>
      <c r="AG1268" s="4">
        <v>5</v>
      </c>
      <c r="AH1268" s="4">
        <v>9</v>
      </c>
      <c r="AI1268" s="4">
        <v>104</v>
      </c>
      <c r="AJ1268" s="4">
        <v>2</v>
      </c>
      <c r="AK1268" s="4">
        <v>23</v>
      </c>
      <c r="AL1268" s="4">
        <v>5</v>
      </c>
      <c r="AM1268" s="4">
        <v>55</v>
      </c>
      <c r="AN1268" s="4">
        <v>0</v>
      </c>
      <c r="AO1268" s="4">
        <v>5</v>
      </c>
      <c r="AP1268" s="4">
        <v>2</v>
      </c>
      <c r="AQ1268" s="4">
        <v>37</v>
      </c>
      <c r="AR1268" s="3" t="s">
        <v>62</v>
      </c>
      <c r="AS1268" s="3" t="s">
        <v>62</v>
      </c>
      <c r="AT1268" s="3" t="s">
        <v>61</v>
      </c>
      <c r="AU1268" s="6" t="str">
        <f>HYPERLINK("http://catalog.hathitrust.org/Record/000266996","HathiTrust Record")</f>
        <v>HathiTrust Record</v>
      </c>
      <c r="AV1268" s="6" t="str">
        <f>HYPERLINK("http://mcgill.on.worldcat.org/oclc/232162142","Catalog Record")</f>
        <v>Catalog Record</v>
      </c>
      <c r="AW1268" s="6" t="str">
        <f>HYPERLINK("http://www.worldcat.org/oclc/232162142","WorldCat Record")</f>
        <v>WorldCat Record</v>
      </c>
      <c r="AX1268" s="3" t="s">
        <v>12756</v>
      </c>
      <c r="AY1268" s="3" t="s">
        <v>12757</v>
      </c>
      <c r="AZ1268" s="3" t="s">
        <v>12758</v>
      </c>
      <c r="BA1268" s="3" t="s">
        <v>12758</v>
      </c>
      <c r="BB1268" s="3" t="s">
        <v>12759</v>
      </c>
      <c r="BC1268" s="3" t="s">
        <v>102</v>
      </c>
      <c r="BD1268" s="3" t="s">
        <v>68</v>
      </c>
      <c r="BE1268" s="3" t="s">
        <v>12760</v>
      </c>
      <c r="BF1268" s="3" t="s">
        <v>12759</v>
      </c>
      <c r="BG1268" s="3" t="s">
        <v>12761</v>
      </c>
    </row>
    <row r="1269" spans="1:59" ht="58" x14ac:dyDescent="0.35">
      <c r="A1269" s="2" t="s">
        <v>89</v>
      </c>
      <c r="B1269" s="2" t="s">
        <v>90</v>
      </c>
      <c r="C1269" s="2" t="s">
        <v>12762</v>
      </c>
      <c r="D1269" s="2" t="s">
        <v>12763</v>
      </c>
      <c r="E1269" s="2" t="s">
        <v>12764</v>
      </c>
      <c r="G1269" s="3" t="s">
        <v>62</v>
      </c>
      <c r="I1269" s="3" t="s">
        <v>62</v>
      </c>
      <c r="J1269" s="3" t="s">
        <v>62</v>
      </c>
      <c r="K1269" s="3" t="s">
        <v>63</v>
      </c>
      <c r="L1269" s="2" t="s">
        <v>12765</v>
      </c>
      <c r="M1269" s="2" t="s">
        <v>12766</v>
      </c>
      <c r="N1269" s="3" t="s">
        <v>424</v>
      </c>
      <c r="P1269" s="3" t="s">
        <v>64</v>
      </c>
      <c r="R1269" s="3" t="s">
        <v>65</v>
      </c>
      <c r="S1269" s="4">
        <v>8</v>
      </c>
      <c r="T1269" s="4">
        <v>8</v>
      </c>
      <c r="U1269" s="5" t="s">
        <v>66</v>
      </c>
      <c r="V1269" s="5" t="s">
        <v>66</v>
      </c>
      <c r="W1269" s="5" t="s">
        <v>67</v>
      </c>
      <c r="X1269" s="5" t="s">
        <v>67</v>
      </c>
      <c r="Y1269" s="4">
        <v>249</v>
      </c>
      <c r="Z1269" s="4">
        <v>12</v>
      </c>
      <c r="AA1269" s="4">
        <v>20</v>
      </c>
      <c r="AB1269" s="4">
        <v>1</v>
      </c>
      <c r="AC1269" s="4">
        <v>7</v>
      </c>
      <c r="AD1269" s="4">
        <v>86</v>
      </c>
      <c r="AE1269" s="4">
        <v>91</v>
      </c>
      <c r="AF1269" s="4">
        <v>0</v>
      </c>
      <c r="AG1269" s="4">
        <v>3</v>
      </c>
      <c r="AH1269" s="4">
        <v>78</v>
      </c>
      <c r="AI1269" s="4">
        <v>79</v>
      </c>
      <c r="AJ1269" s="4">
        <v>10</v>
      </c>
      <c r="AK1269" s="4">
        <v>14</v>
      </c>
      <c r="AL1269" s="4">
        <v>46</v>
      </c>
      <c r="AM1269" s="4">
        <v>46</v>
      </c>
      <c r="AN1269" s="4">
        <v>0</v>
      </c>
      <c r="AO1269" s="4">
        <v>0</v>
      </c>
      <c r="AP1269" s="4">
        <v>9</v>
      </c>
      <c r="AQ1269" s="4">
        <v>13</v>
      </c>
      <c r="AR1269" s="3" t="s">
        <v>62</v>
      </c>
      <c r="AS1269" s="3" t="s">
        <v>62</v>
      </c>
      <c r="AT1269" s="3" t="s">
        <v>62</v>
      </c>
      <c r="AV1269" s="6" t="str">
        <f>HYPERLINK("http://mcgill.on.worldcat.org/oclc/17479018","Catalog Record")</f>
        <v>Catalog Record</v>
      </c>
      <c r="AW1269" s="6" t="str">
        <f>HYPERLINK("http://www.worldcat.org/oclc/17479018","WorldCat Record")</f>
        <v>WorldCat Record</v>
      </c>
      <c r="AX1269" s="3" t="s">
        <v>12767</v>
      </c>
      <c r="AY1269" s="3" t="s">
        <v>12768</v>
      </c>
      <c r="AZ1269" s="3" t="s">
        <v>12769</v>
      </c>
      <c r="BA1269" s="3" t="s">
        <v>12769</v>
      </c>
      <c r="BB1269" s="3" t="s">
        <v>12770</v>
      </c>
      <c r="BC1269" s="3" t="s">
        <v>102</v>
      </c>
      <c r="BD1269" s="3" t="s">
        <v>68</v>
      </c>
      <c r="BE1269" s="3" t="s">
        <v>12771</v>
      </c>
      <c r="BF1269" s="3" t="s">
        <v>12770</v>
      </c>
      <c r="BG1269" s="3" t="s">
        <v>12772</v>
      </c>
    </row>
    <row r="1270" spans="1:59" ht="72.5" x14ac:dyDescent="0.35">
      <c r="A1270" s="2" t="s">
        <v>89</v>
      </c>
      <c r="B1270" s="2" t="s">
        <v>1231</v>
      </c>
      <c r="C1270" s="2" t="s">
        <v>12773</v>
      </c>
      <c r="D1270" s="2" t="s">
        <v>12774</v>
      </c>
      <c r="E1270" s="2" t="s">
        <v>12775</v>
      </c>
      <c r="G1270" s="3" t="s">
        <v>62</v>
      </c>
      <c r="I1270" s="3" t="s">
        <v>62</v>
      </c>
      <c r="J1270" s="3" t="s">
        <v>62</v>
      </c>
      <c r="K1270" s="3" t="s">
        <v>63</v>
      </c>
      <c r="M1270" s="2" t="s">
        <v>12776</v>
      </c>
      <c r="N1270" s="3" t="s">
        <v>1195</v>
      </c>
      <c r="P1270" s="3" t="s">
        <v>64</v>
      </c>
      <c r="Q1270" s="2" t="s">
        <v>12777</v>
      </c>
      <c r="R1270" s="3" t="s">
        <v>65</v>
      </c>
      <c r="S1270" s="4">
        <v>15</v>
      </c>
      <c r="T1270" s="4">
        <v>15</v>
      </c>
      <c r="U1270" s="5" t="s">
        <v>2050</v>
      </c>
      <c r="V1270" s="5" t="s">
        <v>2050</v>
      </c>
      <c r="W1270" s="5" t="s">
        <v>67</v>
      </c>
      <c r="X1270" s="5" t="s">
        <v>67</v>
      </c>
      <c r="Y1270" s="4">
        <v>115</v>
      </c>
      <c r="Z1270" s="4">
        <v>8</v>
      </c>
      <c r="AA1270" s="4">
        <v>9</v>
      </c>
      <c r="AB1270" s="4">
        <v>1</v>
      </c>
      <c r="AC1270" s="4">
        <v>2</v>
      </c>
      <c r="AD1270" s="4">
        <v>26</v>
      </c>
      <c r="AE1270" s="4">
        <v>27</v>
      </c>
      <c r="AF1270" s="4">
        <v>0</v>
      </c>
      <c r="AG1270" s="4">
        <v>1</v>
      </c>
      <c r="AH1270" s="4">
        <v>20</v>
      </c>
      <c r="AI1270" s="4">
        <v>20</v>
      </c>
      <c r="AJ1270" s="4">
        <v>6</v>
      </c>
      <c r="AK1270" s="4">
        <v>7</v>
      </c>
      <c r="AL1270" s="4">
        <v>15</v>
      </c>
      <c r="AM1270" s="4">
        <v>15</v>
      </c>
      <c r="AN1270" s="4">
        <v>0</v>
      </c>
      <c r="AO1270" s="4">
        <v>0</v>
      </c>
      <c r="AP1270" s="4">
        <v>7</v>
      </c>
      <c r="AQ1270" s="4">
        <v>7</v>
      </c>
      <c r="AR1270" s="3" t="s">
        <v>62</v>
      </c>
      <c r="AS1270" s="3" t="s">
        <v>62</v>
      </c>
      <c r="AT1270" s="3" t="s">
        <v>62</v>
      </c>
      <c r="AV1270" s="6" t="str">
        <f>HYPERLINK("http://mcgill.on.worldcat.org/oclc/75282417","Catalog Record")</f>
        <v>Catalog Record</v>
      </c>
      <c r="AW1270" s="6" t="str">
        <f>HYPERLINK("http://www.worldcat.org/oclc/75282417","WorldCat Record")</f>
        <v>WorldCat Record</v>
      </c>
      <c r="AX1270" s="3" t="s">
        <v>12778</v>
      </c>
      <c r="AY1270" s="3" t="s">
        <v>12779</v>
      </c>
      <c r="AZ1270" s="3" t="s">
        <v>12780</v>
      </c>
      <c r="BA1270" s="3" t="s">
        <v>12780</v>
      </c>
      <c r="BB1270" s="3" t="s">
        <v>12781</v>
      </c>
      <c r="BC1270" s="3" t="s">
        <v>102</v>
      </c>
      <c r="BD1270" s="3" t="s">
        <v>68</v>
      </c>
      <c r="BE1270" s="3" t="s">
        <v>12782</v>
      </c>
      <c r="BF1270" s="3" t="s">
        <v>12781</v>
      </c>
      <c r="BG1270" s="3" t="s">
        <v>12783</v>
      </c>
    </row>
    <row r="1271" spans="1:59" ht="58" x14ac:dyDescent="0.35">
      <c r="A1271" s="2" t="s">
        <v>89</v>
      </c>
      <c r="B1271" s="2" t="s">
        <v>90</v>
      </c>
      <c r="C1271" s="2" t="s">
        <v>12784</v>
      </c>
      <c r="D1271" s="2" t="s">
        <v>12785</v>
      </c>
      <c r="E1271" s="2" t="s">
        <v>12786</v>
      </c>
      <c r="G1271" s="3" t="s">
        <v>62</v>
      </c>
      <c r="I1271" s="3" t="s">
        <v>62</v>
      </c>
      <c r="J1271" s="3" t="s">
        <v>62</v>
      </c>
      <c r="K1271" s="3" t="s">
        <v>63</v>
      </c>
      <c r="M1271" s="2" t="s">
        <v>12282</v>
      </c>
      <c r="N1271" s="3" t="s">
        <v>698</v>
      </c>
      <c r="P1271" s="3" t="s">
        <v>64</v>
      </c>
      <c r="R1271" s="3" t="s">
        <v>65</v>
      </c>
      <c r="S1271" s="4">
        <v>0</v>
      </c>
      <c r="T1271" s="4">
        <v>0</v>
      </c>
      <c r="W1271" s="5" t="s">
        <v>67</v>
      </c>
      <c r="X1271" s="5" t="s">
        <v>67</v>
      </c>
      <c r="Y1271" s="4">
        <v>30</v>
      </c>
      <c r="Z1271" s="4">
        <v>4</v>
      </c>
      <c r="AA1271" s="4">
        <v>9</v>
      </c>
      <c r="AB1271" s="4">
        <v>1</v>
      </c>
      <c r="AC1271" s="4">
        <v>3</v>
      </c>
      <c r="AD1271" s="4">
        <v>12</v>
      </c>
      <c r="AE1271" s="4">
        <v>18</v>
      </c>
      <c r="AF1271" s="4">
        <v>0</v>
      </c>
      <c r="AG1271" s="4">
        <v>0</v>
      </c>
      <c r="AH1271" s="4">
        <v>11</v>
      </c>
      <c r="AI1271" s="4">
        <v>15</v>
      </c>
      <c r="AJ1271" s="4">
        <v>3</v>
      </c>
      <c r="AK1271" s="4">
        <v>5</v>
      </c>
      <c r="AL1271" s="4">
        <v>7</v>
      </c>
      <c r="AM1271" s="4">
        <v>8</v>
      </c>
      <c r="AN1271" s="4">
        <v>0</v>
      </c>
      <c r="AO1271" s="4">
        <v>0</v>
      </c>
      <c r="AP1271" s="4">
        <v>3</v>
      </c>
      <c r="AQ1271" s="4">
        <v>6</v>
      </c>
      <c r="AR1271" s="3" t="s">
        <v>62</v>
      </c>
      <c r="AS1271" s="3" t="s">
        <v>62</v>
      </c>
      <c r="AT1271" s="3" t="s">
        <v>62</v>
      </c>
      <c r="AV1271" s="6" t="str">
        <f>HYPERLINK("http://mcgill.on.worldcat.org/oclc/617382242","Catalog Record")</f>
        <v>Catalog Record</v>
      </c>
      <c r="AW1271" s="6" t="str">
        <f>HYPERLINK("http://www.worldcat.org/oclc/617382242","WorldCat Record")</f>
        <v>WorldCat Record</v>
      </c>
      <c r="AX1271" s="3" t="s">
        <v>12787</v>
      </c>
      <c r="AY1271" s="3" t="s">
        <v>12788</v>
      </c>
      <c r="AZ1271" s="3" t="s">
        <v>12789</v>
      </c>
      <c r="BA1271" s="3" t="s">
        <v>12789</v>
      </c>
      <c r="BB1271" s="3" t="s">
        <v>12790</v>
      </c>
      <c r="BC1271" s="3" t="s">
        <v>102</v>
      </c>
      <c r="BD1271" s="3" t="s">
        <v>68</v>
      </c>
      <c r="BE1271" s="3" t="s">
        <v>12791</v>
      </c>
      <c r="BF1271" s="3" t="s">
        <v>12790</v>
      </c>
      <c r="BG1271" s="3" t="s">
        <v>12792</v>
      </c>
    </row>
    <row r="1272" spans="1:59" ht="58" x14ac:dyDescent="0.35">
      <c r="A1272" s="2" t="s">
        <v>89</v>
      </c>
      <c r="B1272" s="2" t="s">
        <v>90</v>
      </c>
      <c r="C1272" s="2" t="s">
        <v>12793</v>
      </c>
      <c r="D1272" s="2" t="s">
        <v>12794</v>
      </c>
      <c r="E1272" s="2" t="s">
        <v>12795</v>
      </c>
      <c r="G1272" s="3" t="s">
        <v>62</v>
      </c>
      <c r="I1272" s="3" t="s">
        <v>62</v>
      </c>
      <c r="J1272" s="3" t="s">
        <v>62</v>
      </c>
      <c r="K1272" s="3" t="s">
        <v>63</v>
      </c>
      <c r="M1272" s="2" t="s">
        <v>12796</v>
      </c>
      <c r="N1272" s="3" t="s">
        <v>1455</v>
      </c>
      <c r="P1272" s="3" t="s">
        <v>64</v>
      </c>
      <c r="Q1272" s="2" t="s">
        <v>12797</v>
      </c>
      <c r="R1272" s="3" t="s">
        <v>65</v>
      </c>
      <c r="S1272" s="4">
        <v>1</v>
      </c>
      <c r="T1272" s="4">
        <v>1</v>
      </c>
      <c r="U1272" s="5" t="s">
        <v>12658</v>
      </c>
      <c r="V1272" s="5" t="s">
        <v>12658</v>
      </c>
      <c r="W1272" s="5" t="s">
        <v>67</v>
      </c>
      <c r="X1272" s="5" t="s">
        <v>67</v>
      </c>
      <c r="Y1272" s="4">
        <v>37</v>
      </c>
      <c r="Z1272" s="4">
        <v>1</v>
      </c>
      <c r="AA1272" s="4">
        <v>46</v>
      </c>
      <c r="AB1272" s="4">
        <v>1</v>
      </c>
      <c r="AC1272" s="4">
        <v>6</v>
      </c>
      <c r="AD1272" s="4">
        <v>15</v>
      </c>
      <c r="AE1272" s="4">
        <v>62</v>
      </c>
      <c r="AF1272" s="4">
        <v>0</v>
      </c>
      <c r="AG1272" s="4">
        <v>3</v>
      </c>
      <c r="AH1272" s="4">
        <v>14</v>
      </c>
      <c r="AI1272" s="4">
        <v>42</v>
      </c>
      <c r="AJ1272" s="4">
        <v>0</v>
      </c>
      <c r="AK1272" s="4">
        <v>15</v>
      </c>
      <c r="AL1272" s="4">
        <v>11</v>
      </c>
      <c r="AM1272" s="4">
        <v>24</v>
      </c>
      <c r="AN1272" s="4">
        <v>0</v>
      </c>
      <c r="AO1272" s="4">
        <v>0</v>
      </c>
      <c r="AP1272" s="4">
        <v>0</v>
      </c>
      <c r="AQ1272" s="4">
        <v>23</v>
      </c>
      <c r="AR1272" s="3" t="s">
        <v>62</v>
      </c>
      <c r="AS1272" s="3" t="s">
        <v>62</v>
      </c>
      <c r="AT1272" s="3" t="s">
        <v>62</v>
      </c>
      <c r="AV1272" s="6" t="str">
        <f>HYPERLINK("http://mcgill.on.worldcat.org/oclc/922972550","Catalog Record")</f>
        <v>Catalog Record</v>
      </c>
      <c r="AW1272" s="6" t="str">
        <f>HYPERLINK("http://www.worldcat.org/oclc/922972550","WorldCat Record")</f>
        <v>WorldCat Record</v>
      </c>
      <c r="AX1272" s="3" t="s">
        <v>12798</v>
      </c>
      <c r="AY1272" s="3" t="s">
        <v>12799</v>
      </c>
      <c r="AZ1272" s="3" t="s">
        <v>12800</v>
      </c>
      <c r="BA1272" s="3" t="s">
        <v>12800</v>
      </c>
      <c r="BB1272" s="3" t="s">
        <v>12801</v>
      </c>
      <c r="BC1272" s="3" t="s">
        <v>102</v>
      </c>
      <c r="BD1272" s="3" t="s">
        <v>68</v>
      </c>
      <c r="BE1272" s="3" t="s">
        <v>12802</v>
      </c>
      <c r="BF1272" s="3" t="s">
        <v>12801</v>
      </c>
      <c r="BG1272" s="3" t="s">
        <v>12803</v>
      </c>
    </row>
    <row r="1273" spans="1:59" ht="72.5" x14ac:dyDescent="0.35">
      <c r="A1273" s="2" t="s">
        <v>89</v>
      </c>
      <c r="B1273" s="2" t="s">
        <v>90</v>
      </c>
      <c r="C1273" s="2" t="s">
        <v>12804</v>
      </c>
      <c r="D1273" s="2" t="s">
        <v>12805</v>
      </c>
      <c r="E1273" s="2" t="s">
        <v>12806</v>
      </c>
      <c r="G1273" s="3" t="s">
        <v>62</v>
      </c>
      <c r="I1273" s="3" t="s">
        <v>62</v>
      </c>
      <c r="J1273" s="3" t="s">
        <v>62</v>
      </c>
      <c r="K1273" s="3" t="s">
        <v>63</v>
      </c>
      <c r="M1273" s="2" t="s">
        <v>12807</v>
      </c>
      <c r="N1273" s="3" t="s">
        <v>698</v>
      </c>
      <c r="P1273" s="3" t="s">
        <v>64</v>
      </c>
      <c r="R1273" s="3" t="s">
        <v>65</v>
      </c>
      <c r="S1273" s="4">
        <v>0</v>
      </c>
      <c r="T1273" s="4">
        <v>0</v>
      </c>
      <c r="W1273" s="5" t="s">
        <v>67</v>
      </c>
      <c r="X1273" s="5" t="s">
        <v>67</v>
      </c>
      <c r="Y1273" s="4">
        <v>106</v>
      </c>
      <c r="Z1273" s="4">
        <v>16</v>
      </c>
      <c r="AA1273" s="4">
        <v>91</v>
      </c>
      <c r="AB1273" s="4">
        <v>1</v>
      </c>
      <c r="AC1273" s="4">
        <v>16</v>
      </c>
      <c r="AD1273" s="4">
        <v>32</v>
      </c>
      <c r="AE1273" s="4">
        <v>114</v>
      </c>
      <c r="AF1273" s="4">
        <v>0</v>
      </c>
      <c r="AG1273" s="4">
        <v>10</v>
      </c>
      <c r="AH1273" s="4">
        <v>26</v>
      </c>
      <c r="AI1273" s="4">
        <v>76</v>
      </c>
      <c r="AJ1273" s="4">
        <v>8</v>
      </c>
      <c r="AK1273" s="4">
        <v>22</v>
      </c>
      <c r="AL1273" s="4">
        <v>14</v>
      </c>
      <c r="AM1273" s="4">
        <v>38</v>
      </c>
      <c r="AN1273" s="4">
        <v>0</v>
      </c>
      <c r="AO1273" s="4">
        <v>0</v>
      </c>
      <c r="AP1273" s="4">
        <v>11</v>
      </c>
      <c r="AQ1273" s="4">
        <v>45</v>
      </c>
      <c r="AR1273" s="3" t="s">
        <v>62</v>
      </c>
      <c r="AS1273" s="3" t="s">
        <v>62</v>
      </c>
      <c r="AT1273" s="3" t="s">
        <v>62</v>
      </c>
      <c r="AV1273" s="6" t="str">
        <f>HYPERLINK("http://mcgill.on.worldcat.org/oclc/812000045","Catalog Record")</f>
        <v>Catalog Record</v>
      </c>
      <c r="AW1273" s="6" t="str">
        <f>HYPERLINK("http://www.worldcat.org/oclc/812000045","WorldCat Record")</f>
        <v>WorldCat Record</v>
      </c>
      <c r="AX1273" s="3" t="s">
        <v>12808</v>
      </c>
      <c r="AY1273" s="3" t="s">
        <v>12809</v>
      </c>
      <c r="AZ1273" s="3" t="s">
        <v>12810</v>
      </c>
      <c r="BA1273" s="3" t="s">
        <v>12810</v>
      </c>
      <c r="BB1273" s="3" t="s">
        <v>12811</v>
      </c>
      <c r="BC1273" s="3" t="s">
        <v>102</v>
      </c>
      <c r="BD1273" s="3" t="s">
        <v>68</v>
      </c>
      <c r="BE1273" s="3" t="s">
        <v>12812</v>
      </c>
      <c r="BF1273" s="3" t="s">
        <v>12811</v>
      </c>
      <c r="BG1273" s="3" t="s">
        <v>12813</v>
      </c>
    </row>
    <row r="1274" spans="1:59" ht="58" x14ac:dyDescent="0.35">
      <c r="A1274" s="2" t="s">
        <v>89</v>
      </c>
      <c r="B1274" s="2" t="s">
        <v>90</v>
      </c>
      <c r="C1274" s="2" t="s">
        <v>12814</v>
      </c>
      <c r="D1274" s="2" t="s">
        <v>12815</v>
      </c>
      <c r="E1274" s="2" t="s">
        <v>12816</v>
      </c>
      <c r="G1274" s="3" t="s">
        <v>62</v>
      </c>
      <c r="I1274" s="3" t="s">
        <v>62</v>
      </c>
      <c r="J1274" s="3" t="s">
        <v>62</v>
      </c>
      <c r="K1274" s="3" t="s">
        <v>63</v>
      </c>
      <c r="M1274" s="2" t="s">
        <v>12282</v>
      </c>
      <c r="N1274" s="3" t="s">
        <v>698</v>
      </c>
      <c r="P1274" s="3" t="s">
        <v>64</v>
      </c>
      <c r="Q1274" s="2" t="s">
        <v>12817</v>
      </c>
      <c r="R1274" s="3" t="s">
        <v>65</v>
      </c>
      <c r="S1274" s="4">
        <v>0</v>
      </c>
      <c r="T1274" s="4">
        <v>0</v>
      </c>
      <c r="W1274" s="5" t="s">
        <v>67</v>
      </c>
      <c r="X1274" s="5" t="s">
        <v>67</v>
      </c>
      <c r="Y1274" s="4">
        <v>33</v>
      </c>
      <c r="Z1274" s="4">
        <v>2</v>
      </c>
      <c r="AA1274" s="4">
        <v>8</v>
      </c>
      <c r="AB1274" s="4">
        <v>1</v>
      </c>
      <c r="AC1274" s="4">
        <v>3</v>
      </c>
      <c r="AD1274" s="4">
        <v>9</v>
      </c>
      <c r="AE1274" s="4">
        <v>18</v>
      </c>
      <c r="AF1274" s="4">
        <v>0</v>
      </c>
      <c r="AG1274" s="4">
        <v>0</v>
      </c>
      <c r="AH1274" s="4">
        <v>9</v>
      </c>
      <c r="AI1274" s="4">
        <v>16</v>
      </c>
      <c r="AJ1274" s="4">
        <v>1</v>
      </c>
      <c r="AK1274" s="4">
        <v>4</v>
      </c>
      <c r="AL1274" s="4">
        <v>4</v>
      </c>
      <c r="AM1274" s="4">
        <v>9</v>
      </c>
      <c r="AN1274" s="4">
        <v>0</v>
      </c>
      <c r="AO1274" s="4">
        <v>0</v>
      </c>
      <c r="AP1274" s="4">
        <v>1</v>
      </c>
      <c r="AQ1274" s="4">
        <v>5</v>
      </c>
      <c r="AR1274" s="3" t="s">
        <v>62</v>
      </c>
      <c r="AS1274" s="3" t="s">
        <v>62</v>
      </c>
      <c r="AT1274" s="3" t="s">
        <v>62</v>
      </c>
      <c r="AV1274" s="6" t="str">
        <f>HYPERLINK("http://mcgill.on.worldcat.org/oclc/774480726","Catalog Record")</f>
        <v>Catalog Record</v>
      </c>
      <c r="AW1274" s="6" t="str">
        <f>HYPERLINK("http://www.worldcat.org/oclc/774480726","WorldCat Record")</f>
        <v>WorldCat Record</v>
      </c>
      <c r="AX1274" s="3" t="s">
        <v>12818</v>
      </c>
      <c r="AY1274" s="3" t="s">
        <v>12819</v>
      </c>
      <c r="AZ1274" s="3" t="s">
        <v>12820</v>
      </c>
      <c r="BA1274" s="3" t="s">
        <v>12820</v>
      </c>
      <c r="BB1274" s="3" t="s">
        <v>12821</v>
      </c>
      <c r="BC1274" s="3" t="s">
        <v>102</v>
      </c>
      <c r="BD1274" s="3" t="s">
        <v>68</v>
      </c>
      <c r="BE1274" s="3" t="s">
        <v>12822</v>
      </c>
      <c r="BF1274" s="3" t="s">
        <v>12821</v>
      </c>
      <c r="BG1274" s="3" t="s">
        <v>12823</v>
      </c>
    </row>
    <row r="1275" spans="1:59" ht="58" x14ac:dyDescent="0.35">
      <c r="A1275" s="2" t="s">
        <v>89</v>
      </c>
      <c r="B1275" s="2" t="s">
        <v>90</v>
      </c>
      <c r="C1275" s="2" t="s">
        <v>12824</v>
      </c>
      <c r="D1275" s="2" t="s">
        <v>12825</v>
      </c>
      <c r="E1275" s="2" t="s">
        <v>12826</v>
      </c>
      <c r="G1275" s="3" t="s">
        <v>62</v>
      </c>
      <c r="I1275" s="3" t="s">
        <v>62</v>
      </c>
      <c r="J1275" s="3" t="s">
        <v>62</v>
      </c>
      <c r="K1275" s="3" t="s">
        <v>63</v>
      </c>
      <c r="L1275" s="2" t="s">
        <v>12827</v>
      </c>
      <c r="M1275" s="2" t="s">
        <v>12828</v>
      </c>
      <c r="N1275" s="3" t="s">
        <v>1195</v>
      </c>
      <c r="P1275" s="3" t="s">
        <v>64</v>
      </c>
      <c r="R1275" s="3" t="s">
        <v>65</v>
      </c>
      <c r="S1275" s="4">
        <v>4</v>
      </c>
      <c r="T1275" s="4">
        <v>4</v>
      </c>
      <c r="U1275" s="5" t="s">
        <v>12829</v>
      </c>
      <c r="V1275" s="5" t="s">
        <v>12829</v>
      </c>
      <c r="W1275" s="5" t="s">
        <v>67</v>
      </c>
      <c r="X1275" s="5" t="s">
        <v>67</v>
      </c>
      <c r="Y1275" s="4">
        <v>211</v>
      </c>
      <c r="Z1275" s="4">
        <v>22</v>
      </c>
      <c r="AA1275" s="4">
        <v>23</v>
      </c>
      <c r="AB1275" s="4">
        <v>2</v>
      </c>
      <c r="AC1275" s="4">
        <v>2</v>
      </c>
      <c r="AD1275" s="4">
        <v>77</v>
      </c>
      <c r="AE1275" s="4">
        <v>88</v>
      </c>
      <c r="AF1275" s="4">
        <v>1</v>
      </c>
      <c r="AG1275" s="4">
        <v>1</v>
      </c>
      <c r="AH1275" s="4">
        <v>64</v>
      </c>
      <c r="AI1275" s="4">
        <v>74</v>
      </c>
      <c r="AJ1275" s="4">
        <v>14</v>
      </c>
      <c r="AK1275" s="4">
        <v>14</v>
      </c>
      <c r="AL1275" s="4">
        <v>39</v>
      </c>
      <c r="AM1275" s="4">
        <v>46</v>
      </c>
      <c r="AN1275" s="4">
        <v>0</v>
      </c>
      <c r="AO1275" s="4">
        <v>0</v>
      </c>
      <c r="AP1275" s="4">
        <v>17</v>
      </c>
      <c r="AQ1275" s="4">
        <v>18</v>
      </c>
      <c r="AR1275" s="3" t="s">
        <v>62</v>
      </c>
      <c r="AS1275" s="3" t="s">
        <v>62</v>
      </c>
      <c r="AT1275" s="3" t="s">
        <v>62</v>
      </c>
      <c r="AV1275" s="6" t="str">
        <f>HYPERLINK("http://mcgill.on.worldcat.org/oclc/60798559","Catalog Record")</f>
        <v>Catalog Record</v>
      </c>
      <c r="AW1275" s="6" t="str">
        <f>HYPERLINK("http://www.worldcat.org/oclc/60798559","WorldCat Record")</f>
        <v>WorldCat Record</v>
      </c>
      <c r="AX1275" s="3" t="s">
        <v>12830</v>
      </c>
      <c r="AY1275" s="3" t="s">
        <v>12831</v>
      </c>
      <c r="AZ1275" s="3" t="s">
        <v>12832</v>
      </c>
      <c r="BA1275" s="3" t="s">
        <v>12832</v>
      </c>
      <c r="BB1275" s="3" t="s">
        <v>12833</v>
      </c>
      <c r="BC1275" s="3" t="s">
        <v>102</v>
      </c>
      <c r="BD1275" s="3" t="s">
        <v>68</v>
      </c>
      <c r="BE1275" s="3" t="s">
        <v>12834</v>
      </c>
      <c r="BF1275" s="3" t="s">
        <v>12833</v>
      </c>
      <c r="BG1275" s="3" t="s">
        <v>12835</v>
      </c>
    </row>
    <row r="1276" spans="1:59" ht="58" x14ac:dyDescent="0.35">
      <c r="A1276" s="2" t="s">
        <v>89</v>
      </c>
      <c r="B1276" s="2" t="s">
        <v>90</v>
      </c>
      <c r="C1276" s="2" t="s">
        <v>12836</v>
      </c>
      <c r="D1276" s="2" t="s">
        <v>12837</v>
      </c>
      <c r="E1276" s="2" t="s">
        <v>12838</v>
      </c>
      <c r="G1276" s="3" t="s">
        <v>62</v>
      </c>
      <c r="I1276" s="3" t="s">
        <v>62</v>
      </c>
      <c r="J1276" s="3" t="s">
        <v>62</v>
      </c>
      <c r="K1276" s="3" t="s">
        <v>63</v>
      </c>
      <c r="L1276" s="2" t="s">
        <v>12839</v>
      </c>
      <c r="M1276" s="2" t="s">
        <v>12840</v>
      </c>
      <c r="N1276" s="3" t="s">
        <v>1455</v>
      </c>
      <c r="O1276" s="2" t="s">
        <v>12841</v>
      </c>
      <c r="P1276" s="3" t="s">
        <v>64</v>
      </c>
      <c r="R1276" s="3" t="s">
        <v>65</v>
      </c>
      <c r="S1276" s="4">
        <v>13</v>
      </c>
      <c r="T1276" s="4">
        <v>13</v>
      </c>
      <c r="U1276" s="5" t="s">
        <v>12842</v>
      </c>
      <c r="V1276" s="5" t="s">
        <v>12842</v>
      </c>
      <c r="W1276" s="5" t="s">
        <v>67</v>
      </c>
      <c r="X1276" s="5" t="s">
        <v>67</v>
      </c>
      <c r="Y1276" s="4">
        <v>102</v>
      </c>
      <c r="Z1276" s="4">
        <v>4</v>
      </c>
      <c r="AA1276" s="4">
        <v>5</v>
      </c>
      <c r="AB1276" s="4">
        <v>1</v>
      </c>
      <c r="AC1276" s="4">
        <v>2</v>
      </c>
      <c r="AD1276" s="4">
        <v>16</v>
      </c>
      <c r="AE1276" s="4">
        <v>18</v>
      </c>
      <c r="AF1276" s="4">
        <v>0</v>
      </c>
      <c r="AG1276" s="4">
        <v>1</v>
      </c>
      <c r="AH1276" s="4">
        <v>15</v>
      </c>
      <c r="AI1276" s="4">
        <v>16</v>
      </c>
      <c r="AJ1276" s="4">
        <v>1</v>
      </c>
      <c r="AK1276" s="4">
        <v>2</v>
      </c>
      <c r="AL1276" s="4">
        <v>11</v>
      </c>
      <c r="AM1276" s="4">
        <v>12</v>
      </c>
      <c r="AN1276" s="4">
        <v>0</v>
      </c>
      <c r="AO1276" s="4">
        <v>0</v>
      </c>
      <c r="AP1276" s="4">
        <v>2</v>
      </c>
      <c r="AQ1276" s="4">
        <v>3</v>
      </c>
      <c r="AR1276" s="3" t="s">
        <v>62</v>
      </c>
      <c r="AS1276" s="3" t="s">
        <v>62</v>
      </c>
      <c r="AT1276" s="3" t="s">
        <v>62</v>
      </c>
      <c r="AV1276" s="6" t="str">
        <f>HYPERLINK("http://mcgill.on.worldcat.org/oclc/903654515","Catalog Record")</f>
        <v>Catalog Record</v>
      </c>
      <c r="AW1276" s="6" t="str">
        <f>HYPERLINK("http://www.worldcat.org/oclc/903654515","WorldCat Record")</f>
        <v>WorldCat Record</v>
      </c>
      <c r="AX1276" s="3" t="s">
        <v>12843</v>
      </c>
      <c r="AY1276" s="3" t="s">
        <v>12844</v>
      </c>
      <c r="AZ1276" s="3" t="s">
        <v>12845</v>
      </c>
      <c r="BA1276" s="3" t="s">
        <v>12845</v>
      </c>
      <c r="BB1276" s="3" t="s">
        <v>12846</v>
      </c>
      <c r="BC1276" s="3" t="s">
        <v>102</v>
      </c>
      <c r="BD1276" s="3" t="s">
        <v>68</v>
      </c>
      <c r="BE1276" s="3" t="s">
        <v>12847</v>
      </c>
      <c r="BF1276" s="3" t="s">
        <v>12846</v>
      </c>
      <c r="BG1276" s="3" t="s">
        <v>12848</v>
      </c>
    </row>
    <row r="1277" spans="1:59" ht="58" x14ac:dyDescent="0.35">
      <c r="A1277" s="2" t="s">
        <v>89</v>
      </c>
      <c r="B1277" s="2" t="s">
        <v>90</v>
      </c>
      <c r="C1277" s="2" t="s">
        <v>12849</v>
      </c>
      <c r="D1277" s="2" t="s">
        <v>12850</v>
      </c>
      <c r="E1277" s="2" t="s">
        <v>12851</v>
      </c>
      <c r="G1277" s="3" t="s">
        <v>62</v>
      </c>
      <c r="I1277" s="3" t="s">
        <v>61</v>
      </c>
      <c r="J1277" s="3" t="s">
        <v>62</v>
      </c>
      <c r="K1277" s="3" t="s">
        <v>63</v>
      </c>
      <c r="M1277" s="2" t="s">
        <v>12852</v>
      </c>
      <c r="N1277" s="3" t="s">
        <v>129</v>
      </c>
      <c r="P1277" s="3" t="s">
        <v>64</v>
      </c>
      <c r="Q1277" s="2" t="s">
        <v>10417</v>
      </c>
      <c r="R1277" s="3" t="s">
        <v>65</v>
      </c>
      <c r="S1277" s="4">
        <v>9</v>
      </c>
      <c r="T1277" s="4">
        <v>13</v>
      </c>
      <c r="U1277" s="5" t="s">
        <v>931</v>
      </c>
      <c r="V1277" s="5" t="s">
        <v>931</v>
      </c>
      <c r="W1277" s="5" t="s">
        <v>67</v>
      </c>
      <c r="X1277" s="5" t="s">
        <v>67</v>
      </c>
      <c r="Y1277" s="4">
        <v>332</v>
      </c>
      <c r="Z1277" s="4">
        <v>25</v>
      </c>
      <c r="AA1277" s="4">
        <v>35</v>
      </c>
      <c r="AB1277" s="4">
        <v>1</v>
      </c>
      <c r="AC1277" s="4">
        <v>7</v>
      </c>
      <c r="AD1277" s="4">
        <v>96</v>
      </c>
      <c r="AE1277" s="4">
        <v>106</v>
      </c>
      <c r="AF1277" s="4">
        <v>0</v>
      </c>
      <c r="AG1277" s="4">
        <v>3</v>
      </c>
      <c r="AH1277" s="4">
        <v>82</v>
      </c>
      <c r="AI1277" s="4">
        <v>88</v>
      </c>
      <c r="AJ1277" s="4">
        <v>13</v>
      </c>
      <c r="AK1277" s="4">
        <v>17</v>
      </c>
      <c r="AL1277" s="4">
        <v>52</v>
      </c>
      <c r="AM1277" s="4">
        <v>53</v>
      </c>
      <c r="AN1277" s="4">
        <v>0</v>
      </c>
      <c r="AO1277" s="4">
        <v>0</v>
      </c>
      <c r="AP1277" s="4">
        <v>18</v>
      </c>
      <c r="AQ1277" s="4">
        <v>23</v>
      </c>
      <c r="AR1277" s="3" t="s">
        <v>62</v>
      </c>
      <c r="AS1277" s="3" t="s">
        <v>62</v>
      </c>
      <c r="AT1277" s="3" t="s">
        <v>62</v>
      </c>
      <c r="AV1277" s="6" t="str">
        <f>HYPERLINK("http://mcgill.on.worldcat.org/oclc/802890425","Catalog Record")</f>
        <v>Catalog Record</v>
      </c>
      <c r="AW1277" s="6" t="str">
        <f>HYPERLINK("http://www.worldcat.org/oclc/802890425","WorldCat Record")</f>
        <v>WorldCat Record</v>
      </c>
      <c r="AX1277" s="3" t="s">
        <v>12853</v>
      </c>
      <c r="AY1277" s="3" t="s">
        <v>12854</v>
      </c>
      <c r="AZ1277" s="3" t="s">
        <v>12855</v>
      </c>
      <c r="BA1277" s="3" t="s">
        <v>12855</v>
      </c>
      <c r="BB1277" s="3" t="s">
        <v>12856</v>
      </c>
      <c r="BC1277" s="3" t="s">
        <v>102</v>
      </c>
      <c r="BD1277" s="3" t="s">
        <v>231</v>
      </c>
      <c r="BE1277" s="3" t="s">
        <v>12857</v>
      </c>
      <c r="BF1277" s="3" t="s">
        <v>12856</v>
      </c>
      <c r="BG1277" s="3" t="s">
        <v>12858</v>
      </c>
    </row>
    <row r="1278" spans="1:59" ht="58" x14ac:dyDescent="0.35">
      <c r="A1278" s="2" t="s">
        <v>89</v>
      </c>
      <c r="B1278" s="2" t="s">
        <v>90</v>
      </c>
      <c r="C1278" s="2" t="s">
        <v>12859</v>
      </c>
      <c r="D1278" s="2" t="s">
        <v>12860</v>
      </c>
      <c r="E1278" s="2" t="s">
        <v>12861</v>
      </c>
      <c r="G1278" s="3" t="s">
        <v>62</v>
      </c>
      <c r="I1278" s="3" t="s">
        <v>62</v>
      </c>
      <c r="J1278" s="3" t="s">
        <v>62</v>
      </c>
      <c r="K1278" s="3" t="s">
        <v>63</v>
      </c>
      <c r="L1278" s="2" t="s">
        <v>12862</v>
      </c>
      <c r="M1278" s="2" t="s">
        <v>12863</v>
      </c>
      <c r="N1278" s="3" t="s">
        <v>2000</v>
      </c>
      <c r="P1278" s="3" t="s">
        <v>64</v>
      </c>
      <c r="Q1278" s="2" t="s">
        <v>12864</v>
      </c>
      <c r="R1278" s="3" t="s">
        <v>65</v>
      </c>
      <c r="S1278" s="4">
        <v>10</v>
      </c>
      <c r="T1278" s="4">
        <v>10</v>
      </c>
      <c r="U1278" s="5" t="s">
        <v>3616</v>
      </c>
      <c r="V1278" s="5" t="s">
        <v>3616</v>
      </c>
      <c r="W1278" s="5" t="s">
        <v>67</v>
      </c>
      <c r="X1278" s="5" t="s">
        <v>67</v>
      </c>
      <c r="Y1278" s="4">
        <v>349</v>
      </c>
      <c r="Z1278" s="4">
        <v>12</v>
      </c>
      <c r="AA1278" s="4">
        <v>17</v>
      </c>
      <c r="AB1278" s="4">
        <v>1</v>
      </c>
      <c r="AC1278" s="4">
        <v>6</v>
      </c>
      <c r="AD1278" s="4">
        <v>87</v>
      </c>
      <c r="AE1278" s="4">
        <v>91</v>
      </c>
      <c r="AF1278" s="4">
        <v>0</v>
      </c>
      <c r="AG1278" s="4">
        <v>4</v>
      </c>
      <c r="AH1278" s="4">
        <v>82</v>
      </c>
      <c r="AI1278" s="4">
        <v>83</v>
      </c>
      <c r="AJ1278" s="4">
        <v>8</v>
      </c>
      <c r="AK1278" s="4">
        <v>12</v>
      </c>
      <c r="AL1278" s="4">
        <v>41</v>
      </c>
      <c r="AM1278" s="4">
        <v>41</v>
      </c>
      <c r="AN1278" s="4">
        <v>0</v>
      </c>
      <c r="AO1278" s="4">
        <v>0</v>
      </c>
      <c r="AP1278" s="4">
        <v>10</v>
      </c>
      <c r="AQ1278" s="4">
        <v>13</v>
      </c>
      <c r="AR1278" s="3" t="s">
        <v>62</v>
      </c>
      <c r="AS1278" s="3" t="s">
        <v>62</v>
      </c>
      <c r="AT1278" s="3" t="s">
        <v>62</v>
      </c>
      <c r="AV1278" s="6" t="str">
        <f>HYPERLINK("http://mcgill.on.worldcat.org/oclc/34576705","Catalog Record")</f>
        <v>Catalog Record</v>
      </c>
      <c r="AW1278" s="6" t="str">
        <f>HYPERLINK("http://www.worldcat.org/oclc/34576705","WorldCat Record")</f>
        <v>WorldCat Record</v>
      </c>
      <c r="AX1278" s="3" t="s">
        <v>12865</v>
      </c>
      <c r="AY1278" s="3" t="s">
        <v>12866</v>
      </c>
      <c r="AZ1278" s="3" t="s">
        <v>12867</v>
      </c>
      <c r="BA1278" s="3" t="s">
        <v>12867</v>
      </c>
      <c r="BB1278" s="3" t="s">
        <v>12868</v>
      </c>
      <c r="BC1278" s="3" t="s">
        <v>102</v>
      </c>
      <c r="BD1278" s="3" t="s">
        <v>68</v>
      </c>
      <c r="BE1278" s="3" t="s">
        <v>12869</v>
      </c>
      <c r="BF1278" s="3" t="s">
        <v>12868</v>
      </c>
      <c r="BG1278" s="3" t="s">
        <v>12870</v>
      </c>
    </row>
    <row r="1279" spans="1:59" ht="58" x14ac:dyDescent="0.35">
      <c r="A1279" s="2" t="s">
        <v>89</v>
      </c>
      <c r="B1279" s="2" t="s">
        <v>90</v>
      </c>
      <c r="C1279" s="2" t="s">
        <v>12871</v>
      </c>
      <c r="D1279" s="2" t="s">
        <v>12872</v>
      </c>
      <c r="E1279" s="2" t="s">
        <v>12873</v>
      </c>
      <c r="G1279" s="3" t="s">
        <v>62</v>
      </c>
      <c r="I1279" s="3" t="s">
        <v>61</v>
      </c>
      <c r="J1279" s="3" t="s">
        <v>62</v>
      </c>
      <c r="K1279" s="3" t="s">
        <v>63</v>
      </c>
      <c r="L1279" s="2" t="s">
        <v>12874</v>
      </c>
      <c r="M1279" s="2" t="s">
        <v>12875</v>
      </c>
      <c r="N1279" s="3" t="s">
        <v>954</v>
      </c>
      <c r="P1279" s="3" t="s">
        <v>64</v>
      </c>
      <c r="R1279" s="3" t="s">
        <v>65</v>
      </c>
      <c r="S1279" s="4">
        <v>5</v>
      </c>
      <c r="T1279" s="4">
        <v>48</v>
      </c>
      <c r="U1279" s="5" t="s">
        <v>12876</v>
      </c>
      <c r="V1279" s="5" t="s">
        <v>12876</v>
      </c>
      <c r="W1279" s="5" t="s">
        <v>67</v>
      </c>
      <c r="X1279" s="5" t="s">
        <v>67</v>
      </c>
      <c r="Y1279" s="4">
        <v>545</v>
      </c>
      <c r="Z1279" s="4">
        <v>19</v>
      </c>
      <c r="AA1279" s="4">
        <v>42</v>
      </c>
      <c r="AB1279" s="4">
        <v>3</v>
      </c>
      <c r="AC1279" s="4">
        <v>11</v>
      </c>
      <c r="AD1279" s="4">
        <v>102</v>
      </c>
      <c r="AE1279" s="4">
        <v>131</v>
      </c>
      <c r="AF1279" s="4">
        <v>1</v>
      </c>
      <c r="AG1279" s="4">
        <v>6</v>
      </c>
      <c r="AH1279" s="4">
        <v>88</v>
      </c>
      <c r="AI1279" s="4">
        <v>106</v>
      </c>
      <c r="AJ1279" s="4">
        <v>10</v>
      </c>
      <c r="AK1279" s="4">
        <v>25</v>
      </c>
      <c r="AL1279" s="4">
        <v>53</v>
      </c>
      <c r="AM1279" s="4">
        <v>59</v>
      </c>
      <c r="AN1279" s="4">
        <v>0</v>
      </c>
      <c r="AO1279" s="4">
        <v>0</v>
      </c>
      <c r="AP1279" s="4">
        <v>15</v>
      </c>
      <c r="AQ1279" s="4">
        <v>32</v>
      </c>
      <c r="AR1279" s="3" t="s">
        <v>62</v>
      </c>
      <c r="AS1279" s="3" t="s">
        <v>62</v>
      </c>
      <c r="AT1279" s="3" t="s">
        <v>61</v>
      </c>
      <c r="AU1279" s="6" t="str">
        <f>HYPERLINK("http://catalog.hathitrust.org/Record/000003703","HathiTrust Record")</f>
        <v>HathiTrust Record</v>
      </c>
      <c r="AV1279" s="6" t="str">
        <f>HYPERLINK("http://mcgill.on.worldcat.org/oclc/256778","Catalog Record")</f>
        <v>Catalog Record</v>
      </c>
      <c r="AW1279" s="6" t="str">
        <f>HYPERLINK("http://www.worldcat.org/oclc/256778","WorldCat Record")</f>
        <v>WorldCat Record</v>
      </c>
      <c r="AX1279" s="3" t="s">
        <v>12877</v>
      </c>
      <c r="AY1279" s="3" t="s">
        <v>12878</v>
      </c>
      <c r="AZ1279" s="3" t="s">
        <v>12879</v>
      </c>
      <c r="BA1279" s="3" t="s">
        <v>12879</v>
      </c>
      <c r="BB1279" s="3" t="s">
        <v>12880</v>
      </c>
      <c r="BC1279" s="3" t="s">
        <v>102</v>
      </c>
      <c r="BD1279" s="3" t="s">
        <v>68</v>
      </c>
      <c r="BE1279" s="3" t="s">
        <v>12881</v>
      </c>
      <c r="BF1279" s="3" t="s">
        <v>12880</v>
      </c>
      <c r="BG1279" s="3" t="s">
        <v>12882</v>
      </c>
    </row>
    <row r="1280" spans="1:59" ht="58" x14ac:dyDescent="0.35">
      <c r="A1280" s="2" t="s">
        <v>89</v>
      </c>
      <c r="B1280" s="2" t="s">
        <v>90</v>
      </c>
      <c r="C1280" s="2" t="s">
        <v>12883</v>
      </c>
      <c r="D1280" s="2" t="s">
        <v>12884</v>
      </c>
      <c r="E1280" s="2" t="s">
        <v>12885</v>
      </c>
      <c r="G1280" s="3" t="s">
        <v>62</v>
      </c>
      <c r="I1280" s="3" t="s">
        <v>62</v>
      </c>
      <c r="J1280" s="3" t="s">
        <v>62</v>
      </c>
      <c r="K1280" s="3" t="s">
        <v>63</v>
      </c>
      <c r="L1280" s="2" t="s">
        <v>12886</v>
      </c>
      <c r="M1280" s="2" t="s">
        <v>12887</v>
      </c>
      <c r="N1280" s="3" t="s">
        <v>640</v>
      </c>
      <c r="P1280" s="3" t="s">
        <v>64</v>
      </c>
      <c r="Q1280" s="2" t="s">
        <v>12888</v>
      </c>
      <c r="R1280" s="3" t="s">
        <v>65</v>
      </c>
      <c r="S1280" s="4">
        <v>1</v>
      </c>
      <c r="T1280" s="4">
        <v>1</v>
      </c>
      <c r="U1280" s="5" t="s">
        <v>12889</v>
      </c>
      <c r="V1280" s="5" t="s">
        <v>12889</v>
      </c>
      <c r="W1280" s="5" t="s">
        <v>67</v>
      </c>
      <c r="X1280" s="5" t="s">
        <v>67</v>
      </c>
      <c r="Y1280" s="4">
        <v>58</v>
      </c>
      <c r="Z1280" s="4">
        <v>8</v>
      </c>
      <c r="AA1280" s="4">
        <v>84</v>
      </c>
      <c r="AB1280" s="4">
        <v>1</v>
      </c>
      <c r="AC1280" s="4">
        <v>14</v>
      </c>
      <c r="AD1280" s="4">
        <v>20</v>
      </c>
      <c r="AE1280" s="4">
        <v>101</v>
      </c>
      <c r="AF1280" s="4">
        <v>0</v>
      </c>
      <c r="AG1280" s="4">
        <v>8</v>
      </c>
      <c r="AH1280" s="4">
        <v>18</v>
      </c>
      <c r="AI1280" s="4">
        <v>66</v>
      </c>
      <c r="AJ1280" s="4">
        <v>5</v>
      </c>
      <c r="AK1280" s="4">
        <v>20</v>
      </c>
      <c r="AL1280" s="4">
        <v>13</v>
      </c>
      <c r="AM1280" s="4">
        <v>34</v>
      </c>
      <c r="AN1280" s="4">
        <v>0</v>
      </c>
      <c r="AO1280" s="4">
        <v>0</v>
      </c>
      <c r="AP1280" s="4">
        <v>5</v>
      </c>
      <c r="AQ1280" s="4">
        <v>40</v>
      </c>
      <c r="AR1280" s="3" t="s">
        <v>62</v>
      </c>
      <c r="AS1280" s="3" t="s">
        <v>62</v>
      </c>
      <c r="AT1280" s="3" t="s">
        <v>62</v>
      </c>
      <c r="AV1280" s="6" t="str">
        <f>HYPERLINK("http://mcgill.on.worldcat.org/oclc/60345039","Catalog Record")</f>
        <v>Catalog Record</v>
      </c>
      <c r="AW1280" s="6" t="str">
        <f>HYPERLINK("http://www.worldcat.org/oclc/60345039","WorldCat Record")</f>
        <v>WorldCat Record</v>
      </c>
      <c r="AX1280" s="3" t="s">
        <v>12890</v>
      </c>
      <c r="AY1280" s="3" t="s">
        <v>12891</v>
      </c>
      <c r="AZ1280" s="3" t="s">
        <v>12892</v>
      </c>
      <c r="BA1280" s="3" t="s">
        <v>12892</v>
      </c>
      <c r="BB1280" s="3" t="s">
        <v>12893</v>
      </c>
      <c r="BC1280" s="3" t="s">
        <v>102</v>
      </c>
      <c r="BD1280" s="3" t="s">
        <v>68</v>
      </c>
      <c r="BE1280" s="3" t="s">
        <v>12894</v>
      </c>
      <c r="BF1280" s="3" t="s">
        <v>12893</v>
      </c>
      <c r="BG1280" s="3" t="s">
        <v>12895</v>
      </c>
    </row>
    <row r="1281" spans="1:59" ht="58" x14ac:dyDescent="0.35">
      <c r="A1281" s="2" t="s">
        <v>89</v>
      </c>
      <c r="B1281" s="2" t="s">
        <v>90</v>
      </c>
      <c r="C1281" s="2" t="s">
        <v>12896</v>
      </c>
      <c r="D1281" s="2" t="s">
        <v>12897</v>
      </c>
      <c r="E1281" s="2" t="s">
        <v>12898</v>
      </c>
      <c r="G1281" s="3" t="s">
        <v>62</v>
      </c>
      <c r="I1281" s="3" t="s">
        <v>62</v>
      </c>
      <c r="J1281" s="3" t="s">
        <v>62</v>
      </c>
      <c r="K1281" s="3" t="s">
        <v>63</v>
      </c>
      <c r="M1281" s="2" t="s">
        <v>12899</v>
      </c>
      <c r="N1281" s="3" t="s">
        <v>524</v>
      </c>
      <c r="P1281" s="3" t="s">
        <v>64</v>
      </c>
      <c r="R1281" s="3" t="s">
        <v>65</v>
      </c>
      <c r="S1281" s="4">
        <v>35</v>
      </c>
      <c r="T1281" s="4">
        <v>35</v>
      </c>
      <c r="U1281" s="5" t="s">
        <v>12900</v>
      </c>
      <c r="V1281" s="5" t="s">
        <v>12900</v>
      </c>
      <c r="W1281" s="5" t="s">
        <v>67</v>
      </c>
      <c r="X1281" s="5" t="s">
        <v>67</v>
      </c>
      <c r="Y1281" s="4">
        <v>534</v>
      </c>
      <c r="Z1281" s="4">
        <v>35</v>
      </c>
      <c r="AA1281" s="4">
        <v>41</v>
      </c>
      <c r="AB1281" s="4">
        <v>3</v>
      </c>
      <c r="AC1281" s="4">
        <v>6</v>
      </c>
      <c r="AD1281" s="4">
        <v>98</v>
      </c>
      <c r="AE1281" s="4">
        <v>104</v>
      </c>
      <c r="AF1281" s="4">
        <v>2</v>
      </c>
      <c r="AG1281" s="4">
        <v>5</v>
      </c>
      <c r="AH1281" s="4">
        <v>81</v>
      </c>
      <c r="AI1281" s="4">
        <v>82</v>
      </c>
      <c r="AJ1281" s="4">
        <v>16</v>
      </c>
      <c r="AK1281" s="4">
        <v>20</v>
      </c>
      <c r="AL1281" s="4">
        <v>44</v>
      </c>
      <c r="AM1281" s="4">
        <v>44</v>
      </c>
      <c r="AN1281" s="4">
        <v>0</v>
      </c>
      <c r="AO1281" s="4">
        <v>0</v>
      </c>
      <c r="AP1281" s="4">
        <v>25</v>
      </c>
      <c r="AQ1281" s="4">
        <v>30</v>
      </c>
      <c r="AR1281" s="3" t="s">
        <v>62</v>
      </c>
      <c r="AS1281" s="3" t="s">
        <v>62</v>
      </c>
      <c r="AT1281" s="3" t="s">
        <v>61</v>
      </c>
      <c r="AU1281" s="6" t="str">
        <f>HYPERLINK("http://catalog.hathitrust.org/Record/004535484","HathiTrust Record")</f>
        <v>HathiTrust Record</v>
      </c>
      <c r="AV1281" s="6" t="str">
        <f>HYPERLINK("http://mcgill.on.worldcat.org/oclc/30919973","Catalog Record")</f>
        <v>Catalog Record</v>
      </c>
      <c r="AW1281" s="6" t="str">
        <f>HYPERLINK("http://www.worldcat.org/oclc/30919973","WorldCat Record")</f>
        <v>WorldCat Record</v>
      </c>
      <c r="AX1281" s="3" t="s">
        <v>12901</v>
      </c>
      <c r="AY1281" s="3" t="s">
        <v>12902</v>
      </c>
      <c r="AZ1281" s="3" t="s">
        <v>12903</v>
      </c>
      <c r="BA1281" s="3" t="s">
        <v>12903</v>
      </c>
      <c r="BB1281" s="3" t="s">
        <v>12904</v>
      </c>
      <c r="BC1281" s="3" t="s">
        <v>102</v>
      </c>
      <c r="BD1281" s="3" t="s">
        <v>68</v>
      </c>
      <c r="BE1281" s="3" t="s">
        <v>12905</v>
      </c>
      <c r="BF1281" s="3" t="s">
        <v>12904</v>
      </c>
      <c r="BG1281" s="3" t="s">
        <v>12906</v>
      </c>
    </row>
    <row r="1282" spans="1:59" ht="58" x14ac:dyDescent="0.35">
      <c r="A1282" s="2" t="s">
        <v>89</v>
      </c>
      <c r="B1282" s="2" t="s">
        <v>90</v>
      </c>
      <c r="C1282" s="2" t="s">
        <v>12907</v>
      </c>
      <c r="D1282" s="2" t="s">
        <v>12908</v>
      </c>
      <c r="E1282" s="2" t="s">
        <v>12909</v>
      </c>
      <c r="G1282" s="3" t="s">
        <v>62</v>
      </c>
      <c r="I1282" s="3" t="s">
        <v>62</v>
      </c>
      <c r="J1282" s="3" t="s">
        <v>62</v>
      </c>
      <c r="K1282" s="3" t="s">
        <v>63</v>
      </c>
      <c r="M1282" s="2" t="s">
        <v>12910</v>
      </c>
      <c r="N1282" s="3" t="s">
        <v>568</v>
      </c>
      <c r="P1282" s="3" t="s">
        <v>64</v>
      </c>
      <c r="Q1282" s="2" t="s">
        <v>12911</v>
      </c>
      <c r="R1282" s="3" t="s">
        <v>65</v>
      </c>
      <c r="S1282" s="4">
        <v>3</v>
      </c>
      <c r="T1282" s="4">
        <v>3</v>
      </c>
      <c r="U1282" s="5" t="s">
        <v>66</v>
      </c>
      <c r="V1282" s="5" t="s">
        <v>66</v>
      </c>
      <c r="W1282" s="5" t="s">
        <v>67</v>
      </c>
      <c r="X1282" s="5" t="s">
        <v>67</v>
      </c>
      <c r="Y1282" s="4">
        <v>146</v>
      </c>
      <c r="Z1282" s="4">
        <v>9</v>
      </c>
      <c r="AA1282" s="4">
        <v>10</v>
      </c>
      <c r="AB1282" s="4">
        <v>1</v>
      </c>
      <c r="AC1282" s="4">
        <v>2</v>
      </c>
      <c r="AD1282" s="4">
        <v>62</v>
      </c>
      <c r="AE1282" s="4">
        <v>63</v>
      </c>
      <c r="AF1282" s="4">
        <v>0</v>
      </c>
      <c r="AG1282" s="4">
        <v>1</v>
      </c>
      <c r="AH1282" s="4">
        <v>60</v>
      </c>
      <c r="AI1282" s="4">
        <v>61</v>
      </c>
      <c r="AJ1282" s="4">
        <v>7</v>
      </c>
      <c r="AK1282" s="4">
        <v>8</v>
      </c>
      <c r="AL1282" s="4">
        <v>34</v>
      </c>
      <c r="AM1282" s="4">
        <v>34</v>
      </c>
      <c r="AN1282" s="4">
        <v>0</v>
      </c>
      <c r="AO1282" s="4">
        <v>0</v>
      </c>
      <c r="AP1282" s="4">
        <v>7</v>
      </c>
      <c r="AQ1282" s="4">
        <v>8</v>
      </c>
      <c r="AR1282" s="3" t="s">
        <v>62</v>
      </c>
      <c r="AS1282" s="3" t="s">
        <v>62</v>
      </c>
      <c r="AT1282" s="3" t="s">
        <v>62</v>
      </c>
      <c r="AV1282" s="6" t="str">
        <f>HYPERLINK("http://mcgill.on.worldcat.org/oclc/42912515","Catalog Record")</f>
        <v>Catalog Record</v>
      </c>
      <c r="AW1282" s="6" t="str">
        <f>HYPERLINK("http://www.worldcat.org/oclc/42912515","WorldCat Record")</f>
        <v>WorldCat Record</v>
      </c>
      <c r="AX1282" s="3" t="s">
        <v>12912</v>
      </c>
      <c r="AY1282" s="3" t="s">
        <v>12913</v>
      </c>
      <c r="AZ1282" s="3" t="s">
        <v>12914</v>
      </c>
      <c r="BA1282" s="3" t="s">
        <v>12914</v>
      </c>
      <c r="BB1282" s="3" t="s">
        <v>12915</v>
      </c>
      <c r="BC1282" s="3" t="s">
        <v>102</v>
      </c>
      <c r="BD1282" s="3" t="s">
        <v>68</v>
      </c>
      <c r="BE1282" s="3" t="s">
        <v>12916</v>
      </c>
      <c r="BF1282" s="3" t="s">
        <v>12915</v>
      </c>
      <c r="BG1282" s="3" t="s">
        <v>12917</v>
      </c>
    </row>
    <row r="1283" spans="1:59" ht="58" x14ac:dyDescent="0.35">
      <c r="A1283" s="2" t="s">
        <v>89</v>
      </c>
      <c r="B1283" s="2" t="s">
        <v>90</v>
      </c>
      <c r="C1283" s="2" t="s">
        <v>12918</v>
      </c>
      <c r="D1283" s="2" t="s">
        <v>12919</v>
      </c>
      <c r="E1283" s="2" t="s">
        <v>12920</v>
      </c>
      <c r="G1283" s="3" t="s">
        <v>62</v>
      </c>
      <c r="I1283" s="3" t="s">
        <v>61</v>
      </c>
      <c r="J1283" s="3" t="s">
        <v>62</v>
      </c>
      <c r="K1283" s="3" t="s">
        <v>63</v>
      </c>
      <c r="L1283" s="2" t="s">
        <v>12921</v>
      </c>
      <c r="M1283" s="2" t="s">
        <v>12922</v>
      </c>
      <c r="N1283" s="3" t="s">
        <v>852</v>
      </c>
      <c r="P1283" s="3" t="s">
        <v>64</v>
      </c>
      <c r="R1283" s="3" t="s">
        <v>65</v>
      </c>
      <c r="S1283" s="4">
        <v>9</v>
      </c>
      <c r="T1283" s="4">
        <v>12</v>
      </c>
      <c r="U1283" s="5" t="s">
        <v>12923</v>
      </c>
      <c r="V1283" s="5" t="s">
        <v>12923</v>
      </c>
      <c r="W1283" s="5" t="s">
        <v>67</v>
      </c>
      <c r="X1283" s="5" t="s">
        <v>67</v>
      </c>
      <c r="Y1283" s="4">
        <v>534</v>
      </c>
      <c r="Z1283" s="4">
        <v>43</v>
      </c>
      <c r="AA1283" s="4">
        <v>51</v>
      </c>
      <c r="AB1283" s="4">
        <v>2</v>
      </c>
      <c r="AC1283" s="4">
        <v>7</v>
      </c>
      <c r="AD1283" s="4">
        <v>132</v>
      </c>
      <c r="AE1283" s="4">
        <v>141</v>
      </c>
      <c r="AF1283" s="4">
        <v>1</v>
      </c>
      <c r="AG1283" s="4">
        <v>5</v>
      </c>
      <c r="AH1283" s="4">
        <v>104</v>
      </c>
      <c r="AI1283" s="4">
        <v>108</v>
      </c>
      <c r="AJ1283" s="4">
        <v>23</v>
      </c>
      <c r="AK1283" s="4">
        <v>26</v>
      </c>
      <c r="AL1283" s="4">
        <v>56</v>
      </c>
      <c r="AM1283" s="4">
        <v>58</v>
      </c>
      <c r="AN1283" s="4">
        <v>0</v>
      </c>
      <c r="AO1283" s="4">
        <v>0</v>
      </c>
      <c r="AP1283" s="4">
        <v>35</v>
      </c>
      <c r="AQ1283" s="4">
        <v>39</v>
      </c>
      <c r="AR1283" s="3" t="s">
        <v>62</v>
      </c>
      <c r="AS1283" s="3" t="s">
        <v>62</v>
      </c>
      <c r="AT1283" s="3" t="s">
        <v>61</v>
      </c>
      <c r="AU1283" s="6" t="str">
        <f>HYPERLINK("http://catalog.hathitrust.org/Record/001475215","HathiTrust Record")</f>
        <v>HathiTrust Record</v>
      </c>
      <c r="AV1283" s="6" t="str">
        <f>HYPERLINK("http://mcgill.on.worldcat.org/oclc/46864","Catalog Record")</f>
        <v>Catalog Record</v>
      </c>
      <c r="AW1283" s="6" t="str">
        <f>HYPERLINK("http://www.worldcat.org/oclc/46864","WorldCat Record")</f>
        <v>WorldCat Record</v>
      </c>
      <c r="AX1283" s="3" t="s">
        <v>12924</v>
      </c>
      <c r="AY1283" s="3" t="s">
        <v>12925</v>
      </c>
      <c r="AZ1283" s="3" t="s">
        <v>12926</v>
      </c>
      <c r="BA1283" s="3" t="s">
        <v>12926</v>
      </c>
      <c r="BB1283" s="3" t="s">
        <v>12927</v>
      </c>
      <c r="BC1283" s="3" t="s">
        <v>102</v>
      </c>
      <c r="BD1283" s="3" t="s">
        <v>68</v>
      </c>
      <c r="BE1283" s="3" t="s">
        <v>12928</v>
      </c>
      <c r="BF1283" s="3" t="s">
        <v>12927</v>
      </c>
      <c r="BG1283" s="3" t="s">
        <v>12929</v>
      </c>
    </row>
    <row r="1284" spans="1:59" ht="58" x14ac:dyDescent="0.35">
      <c r="A1284" s="2" t="s">
        <v>89</v>
      </c>
      <c r="B1284" s="2" t="s">
        <v>90</v>
      </c>
      <c r="C1284" s="2" t="s">
        <v>12930</v>
      </c>
      <c r="D1284" s="2" t="s">
        <v>12931</v>
      </c>
      <c r="E1284" s="2" t="s">
        <v>12932</v>
      </c>
      <c r="G1284" s="3" t="s">
        <v>62</v>
      </c>
      <c r="I1284" s="3" t="s">
        <v>62</v>
      </c>
      <c r="J1284" s="3" t="s">
        <v>62</v>
      </c>
      <c r="K1284" s="3" t="s">
        <v>63</v>
      </c>
      <c r="L1284" s="2" t="s">
        <v>12933</v>
      </c>
      <c r="M1284" s="2" t="s">
        <v>12934</v>
      </c>
      <c r="N1284" s="3" t="s">
        <v>726</v>
      </c>
      <c r="P1284" s="3" t="s">
        <v>64</v>
      </c>
      <c r="R1284" s="3" t="s">
        <v>65</v>
      </c>
      <c r="S1284" s="4">
        <v>2</v>
      </c>
      <c r="T1284" s="4">
        <v>2</v>
      </c>
      <c r="U1284" s="5" t="s">
        <v>10070</v>
      </c>
      <c r="V1284" s="5" t="s">
        <v>10070</v>
      </c>
      <c r="W1284" s="5" t="s">
        <v>67</v>
      </c>
      <c r="X1284" s="5" t="s">
        <v>67</v>
      </c>
      <c r="Y1284" s="4">
        <v>124</v>
      </c>
      <c r="Z1284" s="4">
        <v>10</v>
      </c>
      <c r="AA1284" s="4">
        <v>16</v>
      </c>
      <c r="AB1284" s="4">
        <v>3</v>
      </c>
      <c r="AC1284" s="4">
        <v>6</v>
      </c>
      <c r="AD1284" s="4">
        <v>47</v>
      </c>
      <c r="AE1284" s="4">
        <v>63</v>
      </c>
      <c r="AF1284" s="4">
        <v>1</v>
      </c>
      <c r="AG1284" s="4">
        <v>2</v>
      </c>
      <c r="AH1284" s="4">
        <v>41</v>
      </c>
      <c r="AI1284" s="4">
        <v>54</v>
      </c>
      <c r="AJ1284" s="4">
        <v>5</v>
      </c>
      <c r="AK1284" s="4">
        <v>8</v>
      </c>
      <c r="AL1284" s="4">
        <v>31</v>
      </c>
      <c r="AM1284" s="4">
        <v>36</v>
      </c>
      <c r="AN1284" s="4">
        <v>0</v>
      </c>
      <c r="AO1284" s="4">
        <v>0</v>
      </c>
      <c r="AP1284" s="4">
        <v>7</v>
      </c>
      <c r="AQ1284" s="4">
        <v>11</v>
      </c>
      <c r="AR1284" s="3" t="s">
        <v>62</v>
      </c>
      <c r="AS1284" s="3" t="s">
        <v>62</v>
      </c>
      <c r="AT1284" s="3" t="s">
        <v>62</v>
      </c>
      <c r="AV1284" s="6" t="str">
        <f>HYPERLINK("http://mcgill.on.worldcat.org/oclc/972093403","Catalog Record")</f>
        <v>Catalog Record</v>
      </c>
      <c r="AW1284" s="6" t="str">
        <f>HYPERLINK("http://www.worldcat.org/oclc/972093403","WorldCat Record")</f>
        <v>WorldCat Record</v>
      </c>
      <c r="AX1284" s="3" t="s">
        <v>12935</v>
      </c>
      <c r="AY1284" s="3" t="s">
        <v>12936</v>
      </c>
      <c r="AZ1284" s="3" t="s">
        <v>12937</v>
      </c>
      <c r="BA1284" s="3" t="s">
        <v>12937</v>
      </c>
      <c r="BB1284" s="3" t="s">
        <v>12938</v>
      </c>
      <c r="BC1284" s="3" t="s">
        <v>102</v>
      </c>
      <c r="BD1284" s="3" t="s">
        <v>68</v>
      </c>
      <c r="BE1284" s="3" t="s">
        <v>12939</v>
      </c>
      <c r="BF1284" s="3" t="s">
        <v>12938</v>
      </c>
      <c r="BG1284" s="3" t="s">
        <v>12940</v>
      </c>
    </row>
    <row r="1285" spans="1:59" ht="58" x14ac:dyDescent="0.35">
      <c r="A1285" s="2" t="s">
        <v>89</v>
      </c>
      <c r="B1285" s="2" t="s">
        <v>90</v>
      </c>
      <c r="C1285" s="2" t="s">
        <v>12941</v>
      </c>
      <c r="D1285" s="2" t="s">
        <v>12942</v>
      </c>
      <c r="E1285" s="2" t="s">
        <v>12943</v>
      </c>
      <c r="G1285" s="3" t="s">
        <v>62</v>
      </c>
      <c r="I1285" s="3" t="s">
        <v>62</v>
      </c>
      <c r="J1285" s="3" t="s">
        <v>62</v>
      </c>
      <c r="K1285" s="3" t="s">
        <v>63</v>
      </c>
      <c r="L1285" s="2" t="s">
        <v>12944</v>
      </c>
      <c r="M1285" s="2" t="s">
        <v>12945</v>
      </c>
      <c r="N1285" s="3" t="s">
        <v>1639</v>
      </c>
      <c r="P1285" s="3" t="s">
        <v>64</v>
      </c>
      <c r="Q1285" s="2" t="s">
        <v>12946</v>
      </c>
      <c r="R1285" s="3" t="s">
        <v>65</v>
      </c>
      <c r="S1285" s="4">
        <v>8</v>
      </c>
      <c r="T1285" s="4">
        <v>8</v>
      </c>
      <c r="U1285" s="5" t="s">
        <v>12947</v>
      </c>
      <c r="V1285" s="5" t="s">
        <v>12947</v>
      </c>
      <c r="W1285" s="5" t="s">
        <v>67</v>
      </c>
      <c r="X1285" s="5" t="s">
        <v>67</v>
      </c>
      <c r="Y1285" s="4">
        <v>1</v>
      </c>
      <c r="Z1285" s="4">
        <v>1</v>
      </c>
      <c r="AA1285" s="4">
        <v>8</v>
      </c>
      <c r="AB1285" s="4">
        <v>1</v>
      </c>
      <c r="AC1285" s="4">
        <v>1</v>
      </c>
      <c r="AD1285" s="4">
        <v>0</v>
      </c>
      <c r="AE1285" s="4">
        <v>9</v>
      </c>
      <c r="AF1285" s="4">
        <v>0</v>
      </c>
      <c r="AG1285" s="4">
        <v>0</v>
      </c>
      <c r="AH1285" s="4">
        <v>0</v>
      </c>
      <c r="AI1285" s="4">
        <v>6</v>
      </c>
      <c r="AJ1285" s="4">
        <v>0</v>
      </c>
      <c r="AK1285" s="4">
        <v>7</v>
      </c>
      <c r="AL1285" s="4">
        <v>0</v>
      </c>
      <c r="AM1285" s="4">
        <v>1</v>
      </c>
      <c r="AN1285" s="4">
        <v>0</v>
      </c>
      <c r="AO1285" s="4">
        <v>0</v>
      </c>
      <c r="AP1285" s="4">
        <v>0</v>
      </c>
      <c r="AQ1285" s="4">
        <v>7</v>
      </c>
      <c r="AR1285" s="3" t="s">
        <v>62</v>
      </c>
      <c r="AS1285" s="3" t="s">
        <v>62</v>
      </c>
      <c r="AT1285" s="3" t="s">
        <v>62</v>
      </c>
      <c r="AV1285" s="6" t="str">
        <f>HYPERLINK("http://mcgill.on.worldcat.org/oclc/61587332","Catalog Record")</f>
        <v>Catalog Record</v>
      </c>
      <c r="AW1285" s="6" t="str">
        <f>HYPERLINK("http://www.worldcat.org/oclc/61587332","WorldCat Record")</f>
        <v>WorldCat Record</v>
      </c>
      <c r="AX1285" s="3" t="s">
        <v>12948</v>
      </c>
      <c r="AY1285" s="3" t="s">
        <v>12949</v>
      </c>
      <c r="AZ1285" s="3" t="s">
        <v>12950</v>
      </c>
      <c r="BA1285" s="3" t="s">
        <v>12950</v>
      </c>
      <c r="BB1285" s="3" t="s">
        <v>12951</v>
      </c>
      <c r="BC1285" s="3" t="s">
        <v>4753</v>
      </c>
      <c r="BD1285" s="3" t="s">
        <v>231</v>
      </c>
      <c r="BF1285" s="3" t="s">
        <v>12951</v>
      </c>
      <c r="BG1285" s="3" t="s">
        <v>12952</v>
      </c>
    </row>
    <row r="1286" spans="1:59" ht="58" x14ac:dyDescent="0.35">
      <c r="A1286" s="2" t="s">
        <v>89</v>
      </c>
      <c r="B1286" s="2" t="s">
        <v>90</v>
      </c>
      <c r="C1286" s="2" t="s">
        <v>12953</v>
      </c>
      <c r="D1286" s="2" t="s">
        <v>12954</v>
      </c>
      <c r="E1286" s="2" t="s">
        <v>12955</v>
      </c>
      <c r="G1286" s="3" t="s">
        <v>62</v>
      </c>
      <c r="I1286" s="3" t="s">
        <v>62</v>
      </c>
      <c r="J1286" s="3" t="s">
        <v>62</v>
      </c>
      <c r="K1286" s="3" t="s">
        <v>63</v>
      </c>
      <c r="M1286" s="2" t="s">
        <v>12956</v>
      </c>
      <c r="N1286" s="3" t="s">
        <v>712</v>
      </c>
      <c r="P1286" s="3" t="s">
        <v>64</v>
      </c>
      <c r="Q1286" s="2" t="s">
        <v>12957</v>
      </c>
      <c r="R1286" s="3" t="s">
        <v>65</v>
      </c>
      <c r="S1286" s="4">
        <v>0</v>
      </c>
      <c r="T1286" s="4">
        <v>0</v>
      </c>
      <c r="W1286" s="5" t="s">
        <v>67</v>
      </c>
      <c r="X1286" s="5" t="s">
        <v>67</v>
      </c>
      <c r="Y1286" s="4">
        <v>27</v>
      </c>
      <c r="Z1286" s="4">
        <v>1</v>
      </c>
      <c r="AA1286" s="4">
        <v>56</v>
      </c>
      <c r="AB1286" s="4">
        <v>1</v>
      </c>
      <c r="AC1286" s="4">
        <v>6</v>
      </c>
      <c r="AD1286" s="4">
        <v>7</v>
      </c>
      <c r="AE1286" s="4">
        <v>70</v>
      </c>
      <c r="AF1286" s="4">
        <v>0</v>
      </c>
      <c r="AG1286" s="4">
        <v>3</v>
      </c>
      <c r="AH1286" s="4">
        <v>6</v>
      </c>
      <c r="AI1286" s="4">
        <v>43</v>
      </c>
      <c r="AJ1286" s="4">
        <v>0</v>
      </c>
      <c r="AK1286" s="4">
        <v>20</v>
      </c>
      <c r="AL1286" s="4">
        <v>4</v>
      </c>
      <c r="AM1286" s="4">
        <v>21</v>
      </c>
      <c r="AN1286" s="4">
        <v>0</v>
      </c>
      <c r="AO1286" s="4">
        <v>0</v>
      </c>
      <c r="AP1286" s="4">
        <v>0</v>
      </c>
      <c r="AQ1286" s="4">
        <v>33</v>
      </c>
      <c r="AR1286" s="3" t="s">
        <v>62</v>
      </c>
      <c r="AS1286" s="3" t="s">
        <v>62</v>
      </c>
      <c r="AT1286" s="3" t="s">
        <v>62</v>
      </c>
      <c r="AV1286" s="6" t="str">
        <f>HYPERLINK("http://mcgill.on.worldcat.org/oclc/879245626","Catalog Record")</f>
        <v>Catalog Record</v>
      </c>
      <c r="AW1286" s="6" t="str">
        <f>HYPERLINK("http://www.worldcat.org/oclc/879245626","WorldCat Record")</f>
        <v>WorldCat Record</v>
      </c>
      <c r="AX1286" s="3" t="s">
        <v>12958</v>
      </c>
      <c r="AY1286" s="3" t="s">
        <v>12959</v>
      </c>
      <c r="AZ1286" s="3" t="s">
        <v>12960</v>
      </c>
      <c r="BA1286" s="3" t="s">
        <v>12960</v>
      </c>
      <c r="BB1286" s="3" t="s">
        <v>12961</v>
      </c>
      <c r="BC1286" s="3" t="s">
        <v>102</v>
      </c>
      <c r="BD1286" s="3" t="s">
        <v>68</v>
      </c>
      <c r="BE1286" s="3" t="s">
        <v>12962</v>
      </c>
      <c r="BF1286" s="3" t="s">
        <v>12961</v>
      </c>
      <c r="BG1286" s="3" t="s">
        <v>12963</v>
      </c>
    </row>
    <row r="1287" spans="1:59" ht="58" x14ac:dyDescent="0.35">
      <c r="A1287" s="2" t="s">
        <v>89</v>
      </c>
      <c r="B1287" s="2" t="s">
        <v>90</v>
      </c>
      <c r="C1287" s="2" t="s">
        <v>12964</v>
      </c>
      <c r="D1287" s="2" t="s">
        <v>12965</v>
      </c>
      <c r="E1287" s="2" t="s">
        <v>12966</v>
      </c>
      <c r="G1287" s="3" t="s">
        <v>62</v>
      </c>
      <c r="I1287" s="3" t="s">
        <v>62</v>
      </c>
      <c r="J1287" s="3" t="s">
        <v>62</v>
      </c>
      <c r="K1287" s="3" t="s">
        <v>63</v>
      </c>
      <c r="M1287" s="2" t="s">
        <v>12967</v>
      </c>
      <c r="N1287" s="3" t="s">
        <v>1722</v>
      </c>
      <c r="O1287" s="2" t="s">
        <v>2163</v>
      </c>
      <c r="P1287" s="3" t="s">
        <v>64</v>
      </c>
      <c r="Q1287" s="2" t="s">
        <v>12968</v>
      </c>
      <c r="R1287" s="3" t="s">
        <v>65</v>
      </c>
      <c r="S1287" s="4">
        <v>3</v>
      </c>
      <c r="T1287" s="4">
        <v>3</v>
      </c>
      <c r="U1287" s="5" t="s">
        <v>12947</v>
      </c>
      <c r="V1287" s="5" t="s">
        <v>12947</v>
      </c>
      <c r="W1287" s="5" t="s">
        <v>67</v>
      </c>
      <c r="X1287" s="5" t="s">
        <v>67</v>
      </c>
      <c r="Y1287" s="4">
        <v>109</v>
      </c>
      <c r="Z1287" s="4">
        <v>10</v>
      </c>
      <c r="AA1287" s="4">
        <v>21</v>
      </c>
      <c r="AB1287" s="4">
        <v>1</v>
      </c>
      <c r="AC1287" s="4">
        <v>8</v>
      </c>
      <c r="AD1287" s="4">
        <v>38</v>
      </c>
      <c r="AE1287" s="4">
        <v>57</v>
      </c>
      <c r="AF1287" s="4">
        <v>0</v>
      </c>
      <c r="AG1287" s="4">
        <v>4</v>
      </c>
      <c r="AH1287" s="4">
        <v>33</v>
      </c>
      <c r="AI1287" s="4">
        <v>48</v>
      </c>
      <c r="AJ1287" s="4">
        <v>7</v>
      </c>
      <c r="AK1287" s="4">
        <v>12</v>
      </c>
      <c r="AL1287" s="4">
        <v>21</v>
      </c>
      <c r="AM1287" s="4">
        <v>30</v>
      </c>
      <c r="AN1287" s="4">
        <v>0</v>
      </c>
      <c r="AO1287" s="4">
        <v>0</v>
      </c>
      <c r="AP1287" s="4">
        <v>9</v>
      </c>
      <c r="AQ1287" s="4">
        <v>13</v>
      </c>
      <c r="AR1287" s="3" t="s">
        <v>62</v>
      </c>
      <c r="AS1287" s="3" t="s">
        <v>62</v>
      </c>
      <c r="AT1287" s="3" t="s">
        <v>62</v>
      </c>
      <c r="AV1287" s="6" t="str">
        <f>HYPERLINK("http://mcgill.on.worldcat.org/oclc/166334194","Catalog Record")</f>
        <v>Catalog Record</v>
      </c>
      <c r="AW1287" s="6" t="str">
        <f>HYPERLINK("http://www.worldcat.org/oclc/166334194","WorldCat Record")</f>
        <v>WorldCat Record</v>
      </c>
      <c r="AX1287" s="3" t="s">
        <v>12969</v>
      </c>
      <c r="AY1287" s="3" t="s">
        <v>12970</v>
      </c>
      <c r="AZ1287" s="3" t="s">
        <v>12971</v>
      </c>
      <c r="BA1287" s="3" t="s">
        <v>12971</v>
      </c>
      <c r="BB1287" s="3" t="s">
        <v>12972</v>
      </c>
      <c r="BC1287" s="3" t="s">
        <v>102</v>
      </c>
      <c r="BD1287" s="3" t="s">
        <v>68</v>
      </c>
      <c r="BE1287" s="3" t="s">
        <v>12973</v>
      </c>
      <c r="BF1287" s="3" t="s">
        <v>12972</v>
      </c>
      <c r="BG1287" s="3" t="s">
        <v>12974</v>
      </c>
    </row>
    <row r="1288" spans="1:59" ht="58" x14ac:dyDescent="0.35">
      <c r="A1288" s="2" t="s">
        <v>89</v>
      </c>
      <c r="B1288" s="2" t="s">
        <v>90</v>
      </c>
      <c r="C1288" s="2" t="s">
        <v>12975</v>
      </c>
      <c r="D1288" s="2" t="s">
        <v>12976</v>
      </c>
      <c r="E1288" s="2" t="s">
        <v>12977</v>
      </c>
      <c r="G1288" s="3" t="s">
        <v>62</v>
      </c>
      <c r="I1288" s="3" t="s">
        <v>61</v>
      </c>
      <c r="J1288" s="3" t="s">
        <v>62</v>
      </c>
      <c r="K1288" s="3" t="s">
        <v>916</v>
      </c>
      <c r="L1288" s="2" t="s">
        <v>12978</v>
      </c>
      <c r="M1288" s="2" t="s">
        <v>12979</v>
      </c>
      <c r="N1288" s="3" t="s">
        <v>2305</v>
      </c>
      <c r="P1288" s="3" t="s">
        <v>64</v>
      </c>
      <c r="Q1288" s="2" t="s">
        <v>12980</v>
      </c>
      <c r="R1288" s="3" t="s">
        <v>65</v>
      </c>
      <c r="S1288" s="4">
        <v>6</v>
      </c>
      <c r="T1288" s="4">
        <v>70</v>
      </c>
      <c r="U1288" s="5" t="s">
        <v>12947</v>
      </c>
      <c r="V1288" s="5" t="s">
        <v>1593</v>
      </c>
      <c r="W1288" s="5" t="s">
        <v>67</v>
      </c>
      <c r="X1288" s="5" t="s">
        <v>67</v>
      </c>
      <c r="Y1288" s="4">
        <v>630</v>
      </c>
      <c r="Z1288" s="4">
        <v>34</v>
      </c>
      <c r="AA1288" s="4">
        <v>43</v>
      </c>
      <c r="AB1288" s="4">
        <v>2</v>
      </c>
      <c r="AC1288" s="4">
        <v>10</v>
      </c>
      <c r="AD1288" s="4">
        <v>123</v>
      </c>
      <c r="AE1288" s="4">
        <v>130</v>
      </c>
      <c r="AF1288" s="4">
        <v>1</v>
      </c>
      <c r="AG1288" s="4">
        <v>6</v>
      </c>
      <c r="AH1288" s="4">
        <v>100</v>
      </c>
      <c r="AI1288" s="4">
        <v>101</v>
      </c>
      <c r="AJ1288" s="4">
        <v>21</v>
      </c>
      <c r="AK1288" s="4">
        <v>24</v>
      </c>
      <c r="AL1288" s="4">
        <v>55</v>
      </c>
      <c r="AM1288" s="4">
        <v>56</v>
      </c>
      <c r="AN1288" s="4">
        <v>0</v>
      </c>
      <c r="AO1288" s="4">
        <v>0</v>
      </c>
      <c r="AP1288" s="4">
        <v>30</v>
      </c>
      <c r="AQ1288" s="4">
        <v>35</v>
      </c>
      <c r="AR1288" s="3" t="s">
        <v>62</v>
      </c>
      <c r="AS1288" s="3" t="s">
        <v>61</v>
      </c>
      <c r="AT1288" s="3" t="s">
        <v>62</v>
      </c>
      <c r="AU1288" s="6" t="str">
        <f>HYPERLINK("http://catalog.hathitrust.org/Record/001991935","HathiTrust Record")</f>
        <v>HathiTrust Record</v>
      </c>
      <c r="AV1288" s="6" t="str">
        <f>HYPERLINK("http://mcgill.on.worldcat.org/oclc/541187","Catalog Record")</f>
        <v>Catalog Record</v>
      </c>
      <c r="AW1288" s="6" t="str">
        <f>HYPERLINK("http://www.worldcat.org/oclc/541187","WorldCat Record")</f>
        <v>WorldCat Record</v>
      </c>
      <c r="AX1288" s="3" t="s">
        <v>12981</v>
      </c>
      <c r="AY1288" s="3" t="s">
        <v>12982</v>
      </c>
      <c r="AZ1288" s="3" t="s">
        <v>12983</v>
      </c>
      <c r="BA1288" s="3" t="s">
        <v>12983</v>
      </c>
      <c r="BB1288" s="3" t="s">
        <v>12984</v>
      </c>
      <c r="BC1288" s="3" t="s">
        <v>102</v>
      </c>
      <c r="BD1288" s="3" t="s">
        <v>68</v>
      </c>
      <c r="BF1288" s="3" t="s">
        <v>12984</v>
      </c>
      <c r="BG1288" s="3" t="s">
        <v>12985</v>
      </c>
    </row>
    <row r="1289" spans="1:59" ht="58" x14ac:dyDescent="0.35">
      <c r="A1289" s="2" t="s">
        <v>89</v>
      </c>
      <c r="B1289" s="2" t="s">
        <v>90</v>
      </c>
      <c r="C1289" s="2" t="s">
        <v>12986</v>
      </c>
      <c r="D1289" s="2" t="s">
        <v>12987</v>
      </c>
      <c r="E1289" s="2" t="s">
        <v>12988</v>
      </c>
      <c r="G1289" s="3" t="s">
        <v>62</v>
      </c>
      <c r="I1289" s="3" t="s">
        <v>61</v>
      </c>
      <c r="J1289" s="3" t="s">
        <v>62</v>
      </c>
      <c r="K1289" s="3" t="s">
        <v>63</v>
      </c>
      <c r="L1289" s="2" t="s">
        <v>12989</v>
      </c>
      <c r="M1289" s="2" t="s">
        <v>12990</v>
      </c>
      <c r="N1289" s="3" t="s">
        <v>852</v>
      </c>
      <c r="P1289" s="3" t="s">
        <v>64</v>
      </c>
      <c r="R1289" s="3" t="s">
        <v>65</v>
      </c>
      <c r="S1289" s="4">
        <v>3</v>
      </c>
      <c r="T1289" s="4">
        <v>12</v>
      </c>
      <c r="U1289" s="5" t="s">
        <v>12991</v>
      </c>
      <c r="V1289" s="5" t="s">
        <v>12992</v>
      </c>
      <c r="W1289" s="5" t="s">
        <v>67</v>
      </c>
      <c r="X1289" s="5" t="s">
        <v>67</v>
      </c>
      <c r="Y1289" s="4">
        <v>424</v>
      </c>
      <c r="Z1289" s="4">
        <v>29</v>
      </c>
      <c r="AA1289" s="4">
        <v>32</v>
      </c>
      <c r="AB1289" s="4">
        <v>2</v>
      </c>
      <c r="AC1289" s="4">
        <v>4</v>
      </c>
      <c r="AD1289" s="4">
        <v>111</v>
      </c>
      <c r="AE1289" s="4">
        <v>114</v>
      </c>
      <c r="AF1289" s="4">
        <v>1</v>
      </c>
      <c r="AG1289" s="4">
        <v>3</v>
      </c>
      <c r="AH1289" s="4">
        <v>94</v>
      </c>
      <c r="AI1289" s="4">
        <v>94</v>
      </c>
      <c r="AJ1289" s="4">
        <v>21</v>
      </c>
      <c r="AK1289" s="4">
        <v>23</v>
      </c>
      <c r="AL1289" s="4">
        <v>55</v>
      </c>
      <c r="AM1289" s="4">
        <v>55</v>
      </c>
      <c r="AN1289" s="4">
        <v>0</v>
      </c>
      <c r="AO1289" s="4">
        <v>0</v>
      </c>
      <c r="AP1289" s="4">
        <v>25</v>
      </c>
      <c r="AQ1289" s="4">
        <v>27</v>
      </c>
      <c r="AR1289" s="3" t="s">
        <v>62</v>
      </c>
      <c r="AS1289" s="3" t="s">
        <v>62</v>
      </c>
      <c r="AT1289" s="3" t="s">
        <v>61</v>
      </c>
      <c r="AU1289" s="6" t="str">
        <f>HYPERLINK("http://catalog.hathitrust.org/Record/001475225","HathiTrust Record")</f>
        <v>HathiTrust Record</v>
      </c>
      <c r="AV1289" s="6" t="str">
        <f>HYPERLINK("http://mcgill.on.worldcat.org/oclc/10971","Catalog Record")</f>
        <v>Catalog Record</v>
      </c>
      <c r="AW1289" s="6" t="str">
        <f>HYPERLINK("http://www.worldcat.org/oclc/10971","WorldCat Record")</f>
        <v>WorldCat Record</v>
      </c>
      <c r="AX1289" s="3" t="s">
        <v>12993</v>
      </c>
      <c r="AY1289" s="3" t="s">
        <v>12994</v>
      </c>
      <c r="AZ1289" s="3" t="s">
        <v>12995</v>
      </c>
      <c r="BA1289" s="3" t="s">
        <v>12995</v>
      </c>
      <c r="BB1289" s="3" t="s">
        <v>12996</v>
      </c>
      <c r="BC1289" s="3" t="s">
        <v>102</v>
      </c>
      <c r="BD1289" s="3" t="s">
        <v>68</v>
      </c>
      <c r="BE1289" s="3" t="s">
        <v>12997</v>
      </c>
      <c r="BF1289" s="3" t="s">
        <v>12996</v>
      </c>
      <c r="BG1289" s="3" t="s">
        <v>12998</v>
      </c>
    </row>
    <row r="1290" spans="1:59" ht="58" x14ac:dyDescent="0.35">
      <c r="A1290" s="2" t="s">
        <v>89</v>
      </c>
      <c r="B1290" s="2" t="s">
        <v>90</v>
      </c>
      <c r="C1290" s="2" t="s">
        <v>12999</v>
      </c>
      <c r="D1290" s="2" t="s">
        <v>13000</v>
      </c>
      <c r="E1290" s="2" t="s">
        <v>13001</v>
      </c>
      <c r="G1290" s="3" t="s">
        <v>62</v>
      </c>
      <c r="I1290" s="3" t="s">
        <v>61</v>
      </c>
      <c r="J1290" s="3" t="s">
        <v>62</v>
      </c>
      <c r="K1290" s="3" t="s">
        <v>63</v>
      </c>
      <c r="L1290" s="2" t="s">
        <v>13002</v>
      </c>
      <c r="M1290" s="2" t="s">
        <v>13003</v>
      </c>
      <c r="N1290" s="3" t="s">
        <v>838</v>
      </c>
      <c r="P1290" s="3" t="s">
        <v>64</v>
      </c>
      <c r="Q1290" s="2" t="s">
        <v>13004</v>
      </c>
      <c r="R1290" s="3" t="s">
        <v>65</v>
      </c>
      <c r="S1290" s="4">
        <v>2</v>
      </c>
      <c r="T1290" s="4">
        <v>18</v>
      </c>
      <c r="U1290" s="5" t="s">
        <v>13005</v>
      </c>
      <c r="V1290" s="5" t="s">
        <v>13005</v>
      </c>
      <c r="W1290" s="5" t="s">
        <v>67</v>
      </c>
      <c r="X1290" s="5" t="s">
        <v>67</v>
      </c>
      <c r="Y1290" s="4">
        <v>327</v>
      </c>
      <c r="Z1290" s="4">
        <v>21</v>
      </c>
      <c r="AA1290" s="4">
        <v>23</v>
      </c>
      <c r="AB1290" s="4">
        <v>2</v>
      </c>
      <c r="AC1290" s="4">
        <v>4</v>
      </c>
      <c r="AD1290" s="4">
        <v>110</v>
      </c>
      <c r="AE1290" s="4">
        <v>112</v>
      </c>
      <c r="AF1290" s="4">
        <v>1</v>
      </c>
      <c r="AG1290" s="4">
        <v>3</v>
      </c>
      <c r="AH1290" s="4">
        <v>96</v>
      </c>
      <c r="AI1290" s="4">
        <v>97</v>
      </c>
      <c r="AJ1290" s="4">
        <v>17</v>
      </c>
      <c r="AK1290" s="4">
        <v>18</v>
      </c>
      <c r="AL1290" s="4">
        <v>55</v>
      </c>
      <c r="AM1290" s="4">
        <v>55</v>
      </c>
      <c r="AN1290" s="4">
        <v>0</v>
      </c>
      <c r="AO1290" s="4">
        <v>0</v>
      </c>
      <c r="AP1290" s="4">
        <v>18</v>
      </c>
      <c r="AQ1290" s="4">
        <v>20</v>
      </c>
      <c r="AR1290" s="3" t="s">
        <v>62</v>
      </c>
      <c r="AS1290" s="3" t="s">
        <v>62</v>
      </c>
      <c r="AT1290" s="3" t="s">
        <v>61</v>
      </c>
      <c r="AU1290" s="6" t="str">
        <f>HYPERLINK("http://catalog.hathitrust.org/Record/001475232","HathiTrust Record")</f>
        <v>HathiTrust Record</v>
      </c>
      <c r="AV1290" s="6" t="str">
        <f>HYPERLINK("http://mcgill.on.worldcat.org/oclc/551003","Catalog Record")</f>
        <v>Catalog Record</v>
      </c>
      <c r="AW1290" s="6" t="str">
        <f>HYPERLINK("http://www.worldcat.org/oclc/551003","WorldCat Record")</f>
        <v>WorldCat Record</v>
      </c>
      <c r="AX1290" s="3" t="s">
        <v>13006</v>
      </c>
      <c r="AY1290" s="3" t="s">
        <v>13007</v>
      </c>
      <c r="AZ1290" s="3" t="s">
        <v>13008</v>
      </c>
      <c r="BA1290" s="3" t="s">
        <v>13008</v>
      </c>
      <c r="BB1290" s="3" t="s">
        <v>13009</v>
      </c>
      <c r="BC1290" s="3" t="s">
        <v>102</v>
      </c>
      <c r="BD1290" s="3" t="s">
        <v>68</v>
      </c>
      <c r="BF1290" s="3" t="s">
        <v>13009</v>
      </c>
      <c r="BG1290" s="3" t="s">
        <v>13010</v>
      </c>
    </row>
    <row r="1291" spans="1:59" ht="58" x14ac:dyDescent="0.35">
      <c r="A1291" s="2" t="s">
        <v>89</v>
      </c>
      <c r="B1291" s="2" t="s">
        <v>90</v>
      </c>
      <c r="C1291" s="2" t="s">
        <v>13011</v>
      </c>
      <c r="D1291" s="2" t="s">
        <v>13012</v>
      </c>
      <c r="E1291" s="2" t="s">
        <v>13013</v>
      </c>
      <c r="G1291" s="3" t="s">
        <v>62</v>
      </c>
      <c r="I1291" s="3" t="s">
        <v>62</v>
      </c>
      <c r="J1291" s="3" t="s">
        <v>62</v>
      </c>
      <c r="K1291" s="3" t="s">
        <v>63</v>
      </c>
      <c r="L1291" s="2" t="s">
        <v>13014</v>
      </c>
      <c r="M1291" s="2" t="s">
        <v>13015</v>
      </c>
      <c r="N1291" s="3" t="s">
        <v>655</v>
      </c>
      <c r="O1291" s="2" t="s">
        <v>2163</v>
      </c>
      <c r="P1291" s="3" t="s">
        <v>64</v>
      </c>
      <c r="R1291" s="3" t="s">
        <v>65</v>
      </c>
      <c r="S1291" s="4">
        <v>58</v>
      </c>
      <c r="T1291" s="4">
        <v>58</v>
      </c>
      <c r="U1291" s="5" t="s">
        <v>7194</v>
      </c>
      <c r="V1291" s="5" t="s">
        <v>7194</v>
      </c>
      <c r="W1291" s="5" t="s">
        <v>67</v>
      </c>
      <c r="X1291" s="5" t="s">
        <v>67</v>
      </c>
      <c r="Y1291" s="4">
        <v>2467</v>
      </c>
      <c r="Z1291" s="4">
        <v>89</v>
      </c>
      <c r="AA1291" s="4">
        <v>128</v>
      </c>
      <c r="AB1291" s="4">
        <v>5</v>
      </c>
      <c r="AC1291" s="4">
        <v>14</v>
      </c>
      <c r="AD1291" s="4">
        <v>129</v>
      </c>
      <c r="AE1291" s="4">
        <v>147</v>
      </c>
      <c r="AF1291" s="4">
        <v>1</v>
      </c>
      <c r="AG1291" s="4">
        <v>6</v>
      </c>
      <c r="AH1291" s="4">
        <v>100</v>
      </c>
      <c r="AI1291" s="4">
        <v>109</v>
      </c>
      <c r="AJ1291" s="4">
        <v>18</v>
      </c>
      <c r="AK1291" s="4">
        <v>23</v>
      </c>
      <c r="AL1291" s="4">
        <v>56</v>
      </c>
      <c r="AM1291" s="4">
        <v>60</v>
      </c>
      <c r="AN1291" s="4">
        <v>5</v>
      </c>
      <c r="AO1291" s="4">
        <v>5</v>
      </c>
      <c r="AP1291" s="4">
        <v>35</v>
      </c>
      <c r="AQ1291" s="4">
        <v>45</v>
      </c>
      <c r="AR1291" s="3" t="s">
        <v>62</v>
      </c>
      <c r="AS1291" s="3" t="s">
        <v>62</v>
      </c>
      <c r="AT1291" s="3" t="s">
        <v>61</v>
      </c>
      <c r="AU1291" s="6" t="str">
        <f>HYPERLINK("http://catalog.hathitrust.org/Record/005555882","HathiTrust Record")</f>
        <v>HathiTrust Record</v>
      </c>
      <c r="AV1291" s="6" t="str">
        <f>HYPERLINK("http://mcgill.on.worldcat.org/oclc/71833470","Catalog Record")</f>
        <v>Catalog Record</v>
      </c>
      <c r="AW1291" s="6" t="str">
        <f>HYPERLINK("http://www.worldcat.org/oclc/71833470","WorldCat Record")</f>
        <v>WorldCat Record</v>
      </c>
      <c r="AX1291" s="3" t="s">
        <v>13016</v>
      </c>
      <c r="AY1291" s="3" t="s">
        <v>13017</v>
      </c>
      <c r="AZ1291" s="3" t="s">
        <v>13018</v>
      </c>
      <c r="BA1291" s="3" t="s">
        <v>13018</v>
      </c>
      <c r="BB1291" s="3" t="s">
        <v>13019</v>
      </c>
      <c r="BC1291" s="3" t="s">
        <v>102</v>
      </c>
      <c r="BD1291" s="3" t="s">
        <v>231</v>
      </c>
      <c r="BE1291" s="3" t="s">
        <v>13020</v>
      </c>
      <c r="BF1291" s="3" t="s">
        <v>13019</v>
      </c>
      <c r="BG1291" s="3" t="s">
        <v>13021</v>
      </c>
    </row>
    <row r="1292" spans="1:59" ht="58" x14ac:dyDescent="0.35">
      <c r="A1292" s="2" t="s">
        <v>89</v>
      </c>
      <c r="B1292" s="2" t="s">
        <v>90</v>
      </c>
      <c r="C1292" s="2" t="s">
        <v>13022</v>
      </c>
      <c r="D1292" s="2" t="s">
        <v>13023</v>
      </c>
      <c r="E1292" s="2" t="s">
        <v>13024</v>
      </c>
      <c r="G1292" s="3" t="s">
        <v>62</v>
      </c>
      <c r="I1292" s="3" t="s">
        <v>62</v>
      </c>
      <c r="J1292" s="3" t="s">
        <v>62</v>
      </c>
      <c r="K1292" s="3" t="s">
        <v>63</v>
      </c>
      <c r="M1292" s="2" t="s">
        <v>11327</v>
      </c>
      <c r="N1292" s="3" t="s">
        <v>596</v>
      </c>
      <c r="P1292" s="3" t="s">
        <v>64</v>
      </c>
      <c r="Q1292" s="2" t="s">
        <v>13025</v>
      </c>
      <c r="R1292" s="3" t="s">
        <v>65</v>
      </c>
      <c r="S1292" s="4">
        <v>10</v>
      </c>
      <c r="T1292" s="4">
        <v>10</v>
      </c>
      <c r="U1292" s="5" t="s">
        <v>13026</v>
      </c>
      <c r="V1292" s="5" t="s">
        <v>13026</v>
      </c>
      <c r="W1292" s="5" t="s">
        <v>67</v>
      </c>
      <c r="X1292" s="5" t="s">
        <v>67</v>
      </c>
      <c r="Y1292" s="4">
        <v>113</v>
      </c>
      <c r="Z1292" s="4">
        <v>9</v>
      </c>
      <c r="AA1292" s="4">
        <v>11</v>
      </c>
      <c r="AB1292" s="4">
        <v>1</v>
      </c>
      <c r="AC1292" s="4">
        <v>2</v>
      </c>
      <c r="AD1292" s="4">
        <v>53</v>
      </c>
      <c r="AE1292" s="4">
        <v>61</v>
      </c>
      <c r="AF1292" s="4">
        <v>0</v>
      </c>
      <c r="AG1292" s="4">
        <v>0</v>
      </c>
      <c r="AH1292" s="4">
        <v>52</v>
      </c>
      <c r="AI1292" s="4">
        <v>60</v>
      </c>
      <c r="AJ1292" s="4">
        <v>5</v>
      </c>
      <c r="AK1292" s="4">
        <v>6</v>
      </c>
      <c r="AL1292" s="4">
        <v>30</v>
      </c>
      <c r="AM1292" s="4">
        <v>35</v>
      </c>
      <c r="AN1292" s="4">
        <v>0</v>
      </c>
      <c r="AO1292" s="4">
        <v>0</v>
      </c>
      <c r="AP1292" s="4">
        <v>6</v>
      </c>
      <c r="AQ1292" s="4">
        <v>7</v>
      </c>
      <c r="AR1292" s="3" t="s">
        <v>62</v>
      </c>
      <c r="AS1292" s="3" t="s">
        <v>62</v>
      </c>
      <c r="AT1292" s="3" t="s">
        <v>62</v>
      </c>
      <c r="AV1292" s="6" t="str">
        <f>HYPERLINK("http://mcgill.on.worldcat.org/oclc/49799512","Catalog Record")</f>
        <v>Catalog Record</v>
      </c>
      <c r="AW1292" s="6" t="str">
        <f>HYPERLINK("http://www.worldcat.org/oclc/49799512","WorldCat Record")</f>
        <v>WorldCat Record</v>
      </c>
      <c r="AX1292" s="3" t="s">
        <v>13027</v>
      </c>
      <c r="AY1292" s="3" t="s">
        <v>13028</v>
      </c>
      <c r="AZ1292" s="3" t="s">
        <v>13029</v>
      </c>
      <c r="BA1292" s="3" t="s">
        <v>13029</v>
      </c>
      <c r="BB1292" s="3" t="s">
        <v>13030</v>
      </c>
      <c r="BC1292" s="3" t="s">
        <v>102</v>
      </c>
      <c r="BD1292" s="3" t="s">
        <v>68</v>
      </c>
      <c r="BE1292" s="3" t="s">
        <v>13031</v>
      </c>
      <c r="BF1292" s="3" t="s">
        <v>13030</v>
      </c>
      <c r="BG1292" s="3" t="s">
        <v>13032</v>
      </c>
    </row>
    <row r="1293" spans="1:59" ht="72.5" x14ac:dyDescent="0.35">
      <c r="A1293" s="2" t="s">
        <v>89</v>
      </c>
      <c r="B1293" s="2" t="s">
        <v>1231</v>
      </c>
      <c r="C1293" s="2" t="s">
        <v>13033</v>
      </c>
      <c r="D1293" s="2" t="s">
        <v>13034</v>
      </c>
      <c r="E1293" s="2" t="s">
        <v>13035</v>
      </c>
      <c r="G1293" s="3" t="s">
        <v>62</v>
      </c>
      <c r="I1293" s="3" t="s">
        <v>61</v>
      </c>
      <c r="J1293" s="3" t="s">
        <v>62</v>
      </c>
      <c r="K1293" s="3" t="s">
        <v>63</v>
      </c>
      <c r="L1293" s="2" t="s">
        <v>13036</v>
      </c>
      <c r="M1293" s="2" t="s">
        <v>13037</v>
      </c>
      <c r="N1293" s="3" t="s">
        <v>954</v>
      </c>
      <c r="P1293" s="3" t="s">
        <v>64</v>
      </c>
      <c r="R1293" s="3" t="s">
        <v>65</v>
      </c>
      <c r="S1293" s="4">
        <v>13</v>
      </c>
      <c r="T1293" s="4">
        <v>14</v>
      </c>
      <c r="U1293" s="5" t="s">
        <v>13038</v>
      </c>
      <c r="V1293" s="5" t="s">
        <v>13039</v>
      </c>
      <c r="W1293" s="5" t="s">
        <v>67</v>
      </c>
      <c r="X1293" s="5" t="s">
        <v>67</v>
      </c>
      <c r="Y1293" s="4">
        <v>1020</v>
      </c>
      <c r="Z1293" s="4">
        <v>45</v>
      </c>
      <c r="AA1293" s="4">
        <v>61</v>
      </c>
      <c r="AB1293" s="4">
        <v>2</v>
      </c>
      <c r="AC1293" s="4">
        <v>6</v>
      </c>
      <c r="AD1293" s="4">
        <v>95</v>
      </c>
      <c r="AE1293" s="4">
        <v>129</v>
      </c>
      <c r="AF1293" s="4">
        <v>1</v>
      </c>
      <c r="AG1293" s="4">
        <v>3</v>
      </c>
      <c r="AH1293" s="4">
        <v>80</v>
      </c>
      <c r="AI1293" s="4">
        <v>104</v>
      </c>
      <c r="AJ1293" s="4">
        <v>16</v>
      </c>
      <c r="AK1293" s="4">
        <v>22</v>
      </c>
      <c r="AL1293" s="4">
        <v>40</v>
      </c>
      <c r="AM1293" s="4">
        <v>55</v>
      </c>
      <c r="AN1293" s="4">
        <v>0</v>
      </c>
      <c r="AO1293" s="4">
        <v>0</v>
      </c>
      <c r="AP1293" s="4">
        <v>21</v>
      </c>
      <c r="AQ1293" s="4">
        <v>30</v>
      </c>
      <c r="AR1293" s="3" t="s">
        <v>62</v>
      </c>
      <c r="AS1293" s="3" t="s">
        <v>62</v>
      </c>
      <c r="AT1293" s="3" t="s">
        <v>61</v>
      </c>
      <c r="AU1293" s="6" t="str">
        <f>HYPERLINK("http://catalog.hathitrust.org/Record/001277372","HathiTrust Record")</f>
        <v>HathiTrust Record</v>
      </c>
      <c r="AV1293" s="6" t="str">
        <f>HYPERLINK("http://mcgill.on.worldcat.org/oclc/386214","Catalog Record")</f>
        <v>Catalog Record</v>
      </c>
      <c r="AW1293" s="6" t="str">
        <f>HYPERLINK("http://www.worldcat.org/oclc/386214","WorldCat Record")</f>
        <v>WorldCat Record</v>
      </c>
      <c r="AX1293" s="3" t="s">
        <v>13040</v>
      </c>
      <c r="AY1293" s="3" t="s">
        <v>13041</v>
      </c>
      <c r="AZ1293" s="3" t="s">
        <v>13042</v>
      </c>
      <c r="BA1293" s="3" t="s">
        <v>13042</v>
      </c>
      <c r="BB1293" s="3" t="s">
        <v>13043</v>
      </c>
      <c r="BC1293" s="3" t="s">
        <v>102</v>
      </c>
      <c r="BD1293" s="3" t="s">
        <v>68</v>
      </c>
      <c r="BE1293" s="3" t="s">
        <v>13044</v>
      </c>
      <c r="BF1293" s="3" t="s">
        <v>13043</v>
      </c>
      <c r="BG1293" s="3" t="s">
        <v>13045</v>
      </c>
    </row>
    <row r="1294" spans="1:59" ht="58" x14ac:dyDescent="0.35">
      <c r="A1294" s="2" t="s">
        <v>89</v>
      </c>
      <c r="B1294" s="2" t="s">
        <v>90</v>
      </c>
      <c r="C1294" s="2" t="s">
        <v>13046</v>
      </c>
      <c r="D1294" s="2" t="s">
        <v>13047</v>
      </c>
      <c r="E1294" s="2" t="s">
        <v>13048</v>
      </c>
      <c r="G1294" s="3" t="s">
        <v>62</v>
      </c>
      <c r="I1294" s="3" t="s">
        <v>62</v>
      </c>
      <c r="J1294" s="3" t="s">
        <v>62</v>
      </c>
      <c r="K1294" s="3" t="s">
        <v>63</v>
      </c>
      <c r="L1294" s="2" t="s">
        <v>13049</v>
      </c>
      <c r="M1294" s="2" t="s">
        <v>13050</v>
      </c>
      <c r="N1294" s="3" t="s">
        <v>1455</v>
      </c>
      <c r="P1294" s="3" t="s">
        <v>1078</v>
      </c>
      <c r="Q1294" s="2" t="s">
        <v>13051</v>
      </c>
      <c r="R1294" s="3" t="s">
        <v>65</v>
      </c>
      <c r="S1294" s="4">
        <v>0</v>
      </c>
      <c r="T1294" s="4">
        <v>0</v>
      </c>
      <c r="W1294" s="5" t="s">
        <v>67</v>
      </c>
      <c r="X1294" s="5" t="s">
        <v>67</v>
      </c>
      <c r="Y1294" s="4">
        <v>33</v>
      </c>
      <c r="Z1294" s="4">
        <v>3</v>
      </c>
      <c r="AA1294" s="4">
        <v>3</v>
      </c>
      <c r="AB1294" s="4">
        <v>1</v>
      </c>
      <c r="AC1294" s="4">
        <v>1</v>
      </c>
      <c r="AD1294" s="4">
        <v>20</v>
      </c>
      <c r="AE1294" s="4">
        <v>20</v>
      </c>
      <c r="AF1294" s="4">
        <v>0</v>
      </c>
      <c r="AG1294" s="4">
        <v>0</v>
      </c>
      <c r="AH1294" s="4">
        <v>19</v>
      </c>
      <c r="AI1294" s="4">
        <v>19</v>
      </c>
      <c r="AJ1294" s="4">
        <v>1</v>
      </c>
      <c r="AK1294" s="4">
        <v>1</v>
      </c>
      <c r="AL1294" s="4">
        <v>15</v>
      </c>
      <c r="AM1294" s="4">
        <v>15</v>
      </c>
      <c r="AN1294" s="4">
        <v>0</v>
      </c>
      <c r="AO1294" s="4">
        <v>0</v>
      </c>
      <c r="AP1294" s="4">
        <v>1</v>
      </c>
      <c r="AQ1294" s="4">
        <v>1</v>
      </c>
      <c r="AR1294" s="3" t="s">
        <v>62</v>
      </c>
      <c r="AS1294" s="3" t="s">
        <v>62</v>
      </c>
      <c r="AT1294" s="3" t="s">
        <v>62</v>
      </c>
      <c r="AV1294" s="6" t="str">
        <f>HYPERLINK("http://mcgill.on.worldcat.org/oclc/911267330","Catalog Record")</f>
        <v>Catalog Record</v>
      </c>
      <c r="AW1294" s="6" t="str">
        <f>HYPERLINK("http://www.worldcat.org/oclc/911267330","WorldCat Record")</f>
        <v>WorldCat Record</v>
      </c>
      <c r="AX1294" s="3" t="s">
        <v>13052</v>
      </c>
      <c r="AY1294" s="3" t="s">
        <v>13053</v>
      </c>
      <c r="AZ1294" s="3" t="s">
        <v>13054</v>
      </c>
      <c r="BA1294" s="3" t="s">
        <v>13054</v>
      </c>
      <c r="BB1294" s="3" t="s">
        <v>13055</v>
      </c>
      <c r="BC1294" s="3" t="s">
        <v>102</v>
      </c>
      <c r="BD1294" s="3" t="s">
        <v>68</v>
      </c>
      <c r="BE1294" s="3" t="s">
        <v>13056</v>
      </c>
      <c r="BF1294" s="3" t="s">
        <v>13055</v>
      </c>
      <c r="BG1294" s="3" t="s">
        <v>13057</v>
      </c>
    </row>
    <row r="1295" spans="1:59" ht="72.5" x14ac:dyDescent="0.35">
      <c r="A1295" s="2" t="s">
        <v>89</v>
      </c>
      <c r="B1295" s="2" t="s">
        <v>90</v>
      </c>
      <c r="C1295" s="2" t="s">
        <v>13058</v>
      </c>
      <c r="D1295" s="2" t="s">
        <v>13059</v>
      </c>
      <c r="E1295" s="2" t="s">
        <v>13060</v>
      </c>
      <c r="F1295" s="3" t="s">
        <v>13061</v>
      </c>
      <c r="G1295" s="3" t="s">
        <v>62</v>
      </c>
      <c r="I1295" s="3" t="s">
        <v>62</v>
      </c>
      <c r="J1295" s="3" t="s">
        <v>62</v>
      </c>
      <c r="K1295" s="3" t="s">
        <v>63</v>
      </c>
      <c r="L1295" s="2" t="s">
        <v>13062</v>
      </c>
      <c r="M1295" s="2" t="s">
        <v>13063</v>
      </c>
      <c r="N1295" s="3" t="s">
        <v>1549</v>
      </c>
      <c r="P1295" s="3" t="s">
        <v>64</v>
      </c>
      <c r="Q1295" s="2" t="s">
        <v>13064</v>
      </c>
      <c r="R1295" s="3" t="s">
        <v>13065</v>
      </c>
      <c r="S1295" s="4">
        <v>13</v>
      </c>
      <c r="T1295" s="4">
        <v>13</v>
      </c>
      <c r="U1295" s="5" t="s">
        <v>5494</v>
      </c>
      <c r="V1295" s="5" t="s">
        <v>5494</v>
      </c>
      <c r="W1295" s="5" t="s">
        <v>67</v>
      </c>
      <c r="X1295" s="5" t="s">
        <v>67</v>
      </c>
      <c r="Y1295" s="4">
        <v>204</v>
      </c>
      <c r="Z1295" s="4">
        <v>14</v>
      </c>
      <c r="AA1295" s="4">
        <v>28</v>
      </c>
      <c r="AB1295" s="4">
        <v>1</v>
      </c>
      <c r="AC1295" s="4">
        <v>4</v>
      </c>
      <c r="AD1295" s="4">
        <v>89</v>
      </c>
      <c r="AE1295" s="4">
        <v>114</v>
      </c>
      <c r="AF1295" s="4">
        <v>0</v>
      </c>
      <c r="AG1295" s="4">
        <v>1</v>
      </c>
      <c r="AH1295" s="4">
        <v>84</v>
      </c>
      <c r="AI1295" s="4">
        <v>101</v>
      </c>
      <c r="AJ1295" s="4">
        <v>10</v>
      </c>
      <c r="AK1295" s="4">
        <v>19</v>
      </c>
      <c r="AL1295" s="4">
        <v>46</v>
      </c>
      <c r="AM1295" s="4">
        <v>55</v>
      </c>
      <c r="AN1295" s="4">
        <v>0</v>
      </c>
      <c r="AO1295" s="4">
        <v>0</v>
      </c>
      <c r="AP1295" s="4">
        <v>10</v>
      </c>
      <c r="AQ1295" s="4">
        <v>20</v>
      </c>
      <c r="AR1295" s="3" t="s">
        <v>62</v>
      </c>
      <c r="AS1295" s="3" t="s">
        <v>62</v>
      </c>
      <c r="AT1295" s="3" t="s">
        <v>61</v>
      </c>
      <c r="AU1295" s="6" t="str">
        <f>HYPERLINK("http://catalog.hathitrust.org/Record/000579516","HathiTrust Record")</f>
        <v>HathiTrust Record</v>
      </c>
      <c r="AV1295" s="6" t="str">
        <f>HYPERLINK("http://mcgill.on.worldcat.org/oclc/1290331","Catalog Record")</f>
        <v>Catalog Record</v>
      </c>
      <c r="AW1295" s="6" t="str">
        <f>HYPERLINK("http://www.worldcat.org/oclc/1290331","WorldCat Record")</f>
        <v>WorldCat Record</v>
      </c>
      <c r="AX1295" s="3" t="s">
        <v>13066</v>
      </c>
      <c r="AY1295" s="3" t="s">
        <v>13067</v>
      </c>
      <c r="AZ1295" s="3" t="s">
        <v>13068</v>
      </c>
      <c r="BA1295" s="3" t="s">
        <v>13068</v>
      </c>
      <c r="BB1295" s="3" t="s">
        <v>13069</v>
      </c>
      <c r="BC1295" s="3" t="s">
        <v>102</v>
      </c>
      <c r="BD1295" s="3" t="s">
        <v>68</v>
      </c>
      <c r="BF1295" s="3" t="s">
        <v>13069</v>
      </c>
      <c r="BG1295" s="3" t="s">
        <v>13070</v>
      </c>
    </row>
    <row r="1296" spans="1:59" ht="72.5" x14ac:dyDescent="0.35">
      <c r="A1296" s="2" t="s">
        <v>89</v>
      </c>
      <c r="B1296" s="2" t="s">
        <v>90</v>
      </c>
      <c r="C1296" s="2" t="s">
        <v>13071</v>
      </c>
      <c r="D1296" s="2" t="s">
        <v>13072</v>
      </c>
      <c r="E1296" s="2" t="s">
        <v>13073</v>
      </c>
      <c r="F1296" s="3" t="s">
        <v>13074</v>
      </c>
      <c r="G1296" s="3" t="s">
        <v>62</v>
      </c>
      <c r="I1296" s="3" t="s">
        <v>61</v>
      </c>
      <c r="J1296" s="3" t="s">
        <v>61</v>
      </c>
      <c r="K1296" s="3" t="s">
        <v>63</v>
      </c>
      <c r="L1296" s="2" t="s">
        <v>13075</v>
      </c>
      <c r="M1296" s="2" t="s">
        <v>13076</v>
      </c>
      <c r="N1296" s="3" t="s">
        <v>95</v>
      </c>
      <c r="O1296" s="2" t="s">
        <v>10722</v>
      </c>
      <c r="P1296" s="3" t="s">
        <v>64</v>
      </c>
      <c r="Q1296" s="2" t="s">
        <v>13077</v>
      </c>
      <c r="R1296" s="3" t="s">
        <v>13065</v>
      </c>
      <c r="S1296" s="4">
        <v>21</v>
      </c>
      <c r="T1296" s="4">
        <v>57</v>
      </c>
      <c r="U1296" s="5" t="s">
        <v>10103</v>
      </c>
      <c r="V1296" s="5" t="s">
        <v>10103</v>
      </c>
      <c r="W1296" s="5" t="s">
        <v>67</v>
      </c>
      <c r="X1296" s="5" t="s">
        <v>67</v>
      </c>
      <c r="Y1296" s="4">
        <v>19</v>
      </c>
      <c r="Z1296" s="4">
        <v>8</v>
      </c>
      <c r="AA1296" s="4">
        <v>52</v>
      </c>
      <c r="AB1296" s="4">
        <v>2</v>
      </c>
      <c r="AC1296" s="4">
        <v>10</v>
      </c>
      <c r="AD1296" s="4">
        <v>9</v>
      </c>
      <c r="AE1296" s="4">
        <v>152</v>
      </c>
      <c r="AF1296" s="4">
        <v>1</v>
      </c>
      <c r="AG1296" s="4">
        <v>7</v>
      </c>
      <c r="AH1296" s="4">
        <v>4</v>
      </c>
      <c r="AI1296" s="4">
        <v>116</v>
      </c>
      <c r="AJ1296" s="4">
        <v>7</v>
      </c>
      <c r="AK1296" s="4">
        <v>28</v>
      </c>
      <c r="AL1296" s="4">
        <v>2</v>
      </c>
      <c r="AM1296" s="4">
        <v>61</v>
      </c>
      <c r="AN1296" s="4">
        <v>0</v>
      </c>
      <c r="AO1296" s="4">
        <v>0</v>
      </c>
      <c r="AP1296" s="4">
        <v>7</v>
      </c>
      <c r="AQ1296" s="4">
        <v>44</v>
      </c>
      <c r="AR1296" s="3" t="s">
        <v>62</v>
      </c>
      <c r="AS1296" s="3" t="s">
        <v>62</v>
      </c>
      <c r="AT1296" s="3" t="s">
        <v>61</v>
      </c>
      <c r="AU1296" s="6" t="str">
        <f>HYPERLINK("http://catalog.hathitrust.org/Record/000265014","HathiTrust Record")</f>
        <v>HathiTrust Record</v>
      </c>
      <c r="AV1296" s="6" t="str">
        <f>HYPERLINK("http://mcgill.on.worldcat.org/oclc/123190194","Catalog Record")</f>
        <v>Catalog Record</v>
      </c>
      <c r="AW1296" s="6" t="str">
        <f>HYPERLINK("http://www.worldcat.org/oclc/123190194","WorldCat Record")</f>
        <v>WorldCat Record</v>
      </c>
      <c r="AX1296" s="3" t="s">
        <v>13078</v>
      </c>
      <c r="AY1296" s="3" t="s">
        <v>13079</v>
      </c>
      <c r="AZ1296" s="3" t="s">
        <v>13080</v>
      </c>
      <c r="BA1296" s="3" t="s">
        <v>13080</v>
      </c>
      <c r="BB1296" s="3" t="s">
        <v>13081</v>
      </c>
      <c r="BC1296" s="3" t="s">
        <v>102</v>
      </c>
      <c r="BD1296" s="3" t="s">
        <v>68</v>
      </c>
      <c r="BE1296" s="3" t="s">
        <v>13082</v>
      </c>
      <c r="BF1296" s="3" t="s">
        <v>13081</v>
      </c>
      <c r="BG1296" s="3" t="s">
        <v>13083</v>
      </c>
    </row>
    <row r="1297" spans="1:59" ht="58" x14ac:dyDescent="0.35">
      <c r="A1297" s="2" t="s">
        <v>89</v>
      </c>
      <c r="B1297" s="2" t="s">
        <v>90</v>
      </c>
      <c r="C1297" s="2" t="s">
        <v>13090</v>
      </c>
      <c r="D1297" s="2" t="s">
        <v>13091</v>
      </c>
      <c r="E1297" s="2" t="s">
        <v>13092</v>
      </c>
      <c r="G1297" s="3" t="s">
        <v>62</v>
      </c>
      <c r="I1297" s="3" t="s">
        <v>62</v>
      </c>
      <c r="J1297" s="3" t="s">
        <v>62</v>
      </c>
      <c r="K1297" s="3" t="s">
        <v>63</v>
      </c>
      <c r="M1297" s="2" t="s">
        <v>13093</v>
      </c>
      <c r="N1297" s="3" t="s">
        <v>625</v>
      </c>
      <c r="P1297" s="3" t="s">
        <v>64</v>
      </c>
      <c r="Q1297" s="2" t="s">
        <v>13094</v>
      </c>
      <c r="R1297" s="3" t="s">
        <v>13065</v>
      </c>
      <c r="S1297" s="4">
        <v>2</v>
      </c>
      <c r="T1297" s="4">
        <v>2</v>
      </c>
      <c r="U1297" s="5" t="s">
        <v>13095</v>
      </c>
      <c r="V1297" s="5" t="s">
        <v>13095</v>
      </c>
      <c r="W1297" s="5" t="s">
        <v>67</v>
      </c>
      <c r="X1297" s="5" t="s">
        <v>67</v>
      </c>
      <c r="Y1297" s="4">
        <v>540</v>
      </c>
      <c r="Z1297" s="4">
        <v>13</v>
      </c>
      <c r="AA1297" s="4">
        <v>25</v>
      </c>
      <c r="AB1297" s="4">
        <v>1</v>
      </c>
      <c r="AC1297" s="4">
        <v>4</v>
      </c>
      <c r="AD1297" s="4">
        <v>76</v>
      </c>
      <c r="AE1297" s="4">
        <v>91</v>
      </c>
      <c r="AF1297" s="4">
        <v>0</v>
      </c>
      <c r="AG1297" s="4">
        <v>2</v>
      </c>
      <c r="AH1297" s="4">
        <v>69</v>
      </c>
      <c r="AI1297" s="4">
        <v>77</v>
      </c>
      <c r="AJ1297" s="4">
        <v>5</v>
      </c>
      <c r="AK1297" s="4">
        <v>11</v>
      </c>
      <c r="AL1297" s="4">
        <v>35</v>
      </c>
      <c r="AM1297" s="4">
        <v>39</v>
      </c>
      <c r="AN1297" s="4">
        <v>0</v>
      </c>
      <c r="AO1297" s="4">
        <v>0</v>
      </c>
      <c r="AP1297" s="4">
        <v>10</v>
      </c>
      <c r="AQ1297" s="4">
        <v>20</v>
      </c>
      <c r="AR1297" s="3" t="s">
        <v>62</v>
      </c>
      <c r="AS1297" s="3" t="s">
        <v>62</v>
      </c>
      <c r="AT1297" s="3" t="s">
        <v>61</v>
      </c>
      <c r="AU1297" s="6" t="str">
        <f>HYPERLINK("http://catalog.hathitrust.org/Record/004977289","HathiTrust Record")</f>
        <v>HathiTrust Record</v>
      </c>
      <c r="AV1297" s="6" t="str">
        <f>HYPERLINK("http://mcgill.on.worldcat.org/oclc/52901591","Catalog Record")</f>
        <v>Catalog Record</v>
      </c>
      <c r="AW1297" s="6" t="str">
        <f>HYPERLINK("http://www.worldcat.org/oclc/52901591","WorldCat Record")</f>
        <v>WorldCat Record</v>
      </c>
      <c r="AX1297" s="3" t="s">
        <v>13096</v>
      </c>
      <c r="AY1297" s="3" t="s">
        <v>13097</v>
      </c>
      <c r="AZ1297" s="3" t="s">
        <v>13098</v>
      </c>
      <c r="BA1297" s="3" t="s">
        <v>13098</v>
      </c>
      <c r="BB1297" s="3" t="s">
        <v>13099</v>
      </c>
      <c r="BC1297" s="3" t="s">
        <v>102</v>
      </c>
      <c r="BD1297" s="3" t="s">
        <v>68</v>
      </c>
      <c r="BE1297" s="3" t="s">
        <v>13100</v>
      </c>
      <c r="BF1297" s="3" t="s">
        <v>13099</v>
      </c>
      <c r="BG1297" s="3" t="s">
        <v>13101</v>
      </c>
    </row>
    <row r="1298" spans="1:59" ht="72.5" x14ac:dyDescent="0.35">
      <c r="A1298" s="2" t="s">
        <v>89</v>
      </c>
      <c r="B1298" s="2" t="s">
        <v>90</v>
      </c>
      <c r="C1298" s="2" t="s">
        <v>13102</v>
      </c>
      <c r="D1298" s="2" t="s">
        <v>13103</v>
      </c>
      <c r="E1298" s="2" t="s">
        <v>13104</v>
      </c>
      <c r="F1298" s="3" t="s">
        <v>13105</v>
      </c>
      <c r="G1298" s="3" t="s">
        <v>62</v>
      </c>
      <c r="I1298" s="3" t="s">
        <v>62</v>
      </c>
      <c r="J1298" s="3" t="s">
        <v>62</v>
      </c>
      <c r="K1298" s="3" t="s">
        <v>63</v>
      </c>
      <c r="M1298" s="2" t="s">
        <v>13106</v>
      </c>
      <c r="N1298" s="3" t="s">
        <v>625</v>
      </c>
      <c r="P1298" s="3" t="s">
        <v>64</v>
      </c>
      <c r="Q1298" s="2" t="s">
        <v>13094</v>
      </c>
      <c r="R1298" s="3" t="s">
        <v>13065</v>
      </c>
      <c r="S1298" s="4">
        <v>2</v>
      </c>
      <c r="T1298" s="4">
        <v>2</v>
      </c>
      <c r="U1298" s="5" t="s">
        <v>13095</v>
      </c>
      <c r="V1298" s="5" t="s">
        <v>13095</v>
      </c>
      <c r="W1298" s="5" t="s">
        <v>67</v>
      </c>
      <c r="X1298" s="5" t="s">
        <v>67</v>
      </c>
      <c r="Y1298" s="4">
        <v>371</v>
      </c>
      <c r="Z1298" s="4">
        <v>14</v>
      </c>
      <c r="AA1298" s="4">
        <v>14</v>
      </c>
      <c r="AB1298" s="4">
        <v>1</v>
      </c>
      <c r="AC1298" s="4">
        <v>1</v>
      </c>
      <c r="AD1298" s="4">
        <v>62</v>
      </c>
      <c r="AE1298" s="4">
        <v>62</v>
      </c>
      <c r="AF1298" s="4">
        <v>0</v>
      </c>
      <c r="AG1298" s="4">
        <v>0</v>
      </c>
      <c r="AH1298" s="4">
        <v>53</v>
      </c>
      <c r="AI1298" s="4">
        <v>53</v>
      </c>
      <c r="AJ1298" s="4">
        <v>7</v>
      </c>
      <c r="AK1298" s="4">
        <v>7</v>
      </c>
      <c r="AL1298" s="4">
        <v>26</v>
      </c>
      <c r="AM1298" s="4">
        <v>26</v>
      </c>
      <c r="AN1298" s="4">
        <v>0</v>
      </c>
      <c r="AO1298" s="4">
        <v>0</v>
      </c>
      <c r="AP1298" s="4">
        <v>13</v>
      </c>
      <c r="AQ1298" s="4">
        <v>13</v>
      </c>
      <c r="AR1298" s="3" t="s">
        <v>62</v>
      </c>
      <c r="AS1298" s="3" t="s">
        <v>62</v>
      </c>
      <c r="AT1298" s="3" t="s">
        <v>61</v>
      </c>
      <c r="AU1298" s="6" t="str">
        <f>HYPERLINK("http://catalog.hathitrust.org/Record/004977289","HathiTrust Record")</f>
        <v>HathiTrust Record</v>
      </c>
      <c r="AV1298" s="6" t="str">
        <f>HYPERLINK("http://mcgill.on.worldcat.org/oclc/52076310","Catalog Record")</f>
        <v>Catalog Record</v>
      </c>
      <c r="AW1298" s="6" t="str">
        <f>HYPERLINK("http://www.worldcat.org/oclc/52076310","WorldCat Record")</f>
        <v>WorldCat Record</v>
      </c>
      <c r="AX1298" s="3" t="s">
        <v>13107</v>
      </c>
      <c r="AY1298" s="3" t="s">
        <v>13108</v>
      </c>
      <c r="AZ1298" s="3" t="s">
        <v>13109</v>
      </c>
      <c r="BA1298" s="3" t="s">
        <v>13109</v>
      </c>
      <c r="BB1298" s="3" t="s">
        <v>13110</v>
      </c>
      <c r="BC1298" s="3" t="s">
        <v>102</v>
      </c>
      <c r="BD1298" s="3" t="s">
        <v>68</v>
      </c>
      <c r="BE1298" s="3" t="s">
        <v>13100</v>
      </c>
      <c r="BF1298" s="3" t="s">
        <v>13110</v>
      </c>
      <c r="BG1298" s="3" t="s">
        <v>13111</v>
      </c>
    </row>
    <row r="1299" spans="1:59" ht="58" x14ac:dyDescent="0.35">
      <c r="A1299" s="2" t="s">
        <v>89</v>
      </c>
      <c r="B1299" s="2" t="s">
        <v>6791</v>
      </c>
      <c r="C1299" s="2" t="s">
        <v>13112</v>
      </c>
      <c r="D1299" s="2" t="s">
        <v>13113</v>
      </c>
      <c r="E1299" s="2" t="s">
        <v>13114</v>
      </c>
      <c r="G1299" s="3" t="s">
        <v>62</v>
      </c>
      <c r="I1299" s="3" t="s">
        <v>62</v>
      </c>
      <c r="J1299" s="3" t="s">
        <v>62</v>
      </c>
      <c r="K1299" s="3" t="s">
        <v>63</v>
      </c>
      <c r="M1299" s="2" t="s">
        <v>13115</v>
      </c>
      <c r="N1299" s="3" t="s">
        <v>655</v>
      </c>
      <c r="P1299" s="3" t="s">
        <v>64</v>
      </c>
      <c r="Q1299" s="2" t="s">
        <v>13116</v>
      </c>
      <c r="R1299" s="3" t="s">
        <v>13065</v>
      </c>
      <c r="S1299" s="4">
        <v>2</v>
      </c>
      <c r="T1299" s="4">
        <v>2</v>
      </c>
      <c r="U1299" s="5" t="s">
        <v>13117</v>
      </c>
      <c r="V1299" s="5" t="s">
        <v>13117</v>
      </c>
      <c r="W1299" s="5" t="s">
        <v>67</v>
      </c>
      <c r="X1299" s="5" t="s">
        <v>67</v>
      </c>
      <c r="Y1299" s="4">
        <v>555</v>
      </c>
      <c r="Z1299" s="4">
        <v>20</v>
      </c>
      <c r="AA1299" s="4">
        <v>21</v>
      </c>
      <c r="AB1299" s="4">
        <v>1</v>
      </c>
      <c r="AC1299" s="4">
        <v>2</v>
      </c>
      <c r="AD1299" s="4">
        <v>84</v>
      </c>
      <c r="AE1299" s="4">
        <v>85</v>
      </c>
      <c r="AF1299" s="4">
        <v>0</v>
      </c>
      <c r="AG1299" s="4">
        <v>1</v>
      </c>
      <c r="AH1299" s="4">
        <v>72</v>
      </c>
      <c r="AI1299" s="4">
        <v>73</v>
      </c>
      <c r="AJ1299" s="4">
        <v>10</v>
      </c>
      <c r="AK1299" s="4">
        <v>11</v>
      </c>
      <c r="AL1299" s="4">
        <v>36</v>
      </c>
      <c r="AM1299" s="4">
        <v>36</v>
      </c>
      <c r="AN1299" s="4">
        <v>0</v>
      </c>
      <c r="AO1299" s="4">
        <v>0</v>
      </c>
      <c r="AP1299" s="4">
        <v>18</v>
      </c>
      <c r="AQ1299" s="4">
        <v>19</v>
      </c>
      <c r="AR1299" s="3" t="s">
        <v>62</v>
      </c>
      <c r="AS1299" s="3" t="s">
        <v>62</v>
      </c>
      <c r="AT1299" s="3" t="s">
        <v>61</v>
      </c>
      <c r="AU1299" s="6" t="str">
        <f>HYPERLINK("http://catalog.hathitrust.org/Record/005589977","HathiTrust Record")</f>
        <v>HathiTrust Record</v>
      </c>
      <c r="AV1299" s="6" t="str">
        <f>HYPERLINK("http://mcgill.on.worldcat.org/oclc/75088003","Catalog Record")</f>
        <v>Catalog Record</v>
      </c>
      <c r="AW1299" s="6" t="str">
        <f>HYPERLINK("http://www.worldcat.org/oclc/75088003","WorldCat Record")</f>
        <v>WorldCat Record</v>
      </c>
      <c r="AX1299" s="3" t="s">
        <v>13118</v>
      </c>
      <c r="AY1299" s="3" t="s">
        <v>13119</v>
      </c>
      <c r="AZ1299" s="3" t="s">
        <v>13120</v>
      </c>
      <c r="BA1299" s="3" t="s">
        <v>13120</v>
      </c>
      <c r="BB1299" s="3" t="s">
        <v>13121</v>
      </c>
      <c r="BC1299" s="3" t="s">
        <v>102</v>
      </c>
      <c r="BD1299" s="3" t="s">
        <v>231</v>
      </c>
      <c r="BE1299" s="3" t="s">
        <v>13122</v>
      </c>
      <c r="BF1299" s="3" t="s">
        <v>13121</v>
      </c>
      <c r="BG1299" s="3" t="s">
        <v>13123</v>
      </c>
    </row>
    <row r="1300" spans="1:59" ht="87" x14ac:dyDescent="0.35">
      <c r="A1300" s="2" t="s">
        <v>89</v>
      </c>
      <c r="B1300" s="2" t="s">
        <v>11757</v>
      </c>
      <c r="C1300" s="2" t="s">
        <v>13124</v>
      </c>
      <c r="D1300" s="2" t="s">
        <v>13125</v>
      </c>
      <c r="E1300" s="2" t="s">
        <v>13126</v>
      </c>
      <c r="F1300" s="3" t="s">
        <v>13127</v>
      </c>
      <c r="G1300" s="3" t="s">
        <v>62</v>
      </c>
      <c r="I1300" s="3" t="s">
        <v>62</v>
      </c>
      <c r="J1300" s="3" t="s">
        <v>62</v>
      </c>
      <c r="K1300" s="3" t="s">
        <v>63</v>
      </c>
      <c r="M1300" s="2" t="s">
        <v>13128</v>
      </c>
      <c r="N1300" s="3" t="s">
        <v>880</v>
      </c>
      <c r="P1300" s="3" t="s">
        <v>64</v>
      </c>
      <c r="Q1300" s="2" t="s">
        <v>13129</v>
      </c>
      <c r="R1300" s="3" t="s">
        <v>13065</v>
      </c>
      <c r="S1300" s="4">
        <v>0</v>
      </c>
      <c r="T1300" s="4">
        <v>0</v>
      </c>
      <c r="W1300" s="5" t="s">
        <v>67</v>
      </c>
      <c r="X1300" s="5" t="s">
        <v>67</v>
      </c>
      <c r="Y1300" s="4">
        <v>486</v>
      </c>
      <c r="Z1300" s="4">
        <v>19</v>
      </c>
      <c r="AA1300" s="4">
        <v>21</v>
      </c>
      <c r="AB1300" s="4">
        <v>1</v>
      </c>
      <c r="AC1300" s="4">
        <v>3</v>
      </c>
      <c r="AD1300" s="4">
        <v>74</v>
      </c>
      <c r="AE1300" s="4">
        <v>76</v>
      </c>
      <c r="AF1300" s="4">
        <v>0</v>
      </c>
      <c r="AG1300" s="4">
        <v>2</v>
      </c>
      <c r="AH1300" s="4">
        <v>65</v>
      </c>
      <c r="AI1300" s="4">
        <v>65</v>
      </c>
      <c r="AJ1300" s="4">
        <v>11</v>
      </c>
      <c r="AK1300" s="4">
        <v>13</v>
      </c>
      <c r="AL1300" s="4">
        <v>31</v>
      </c>
      <c r="AM1300" s="4">
        <v>31</v>
      </c>
      <c r="AN1300" s="4">
        <v>0</v>
      </c>
      <c r="AO1300" s="4">
        <v>0</v>
      </c>
      <c r="AP1300" s="4">
        <v>16</v>
      </c>
      <c r="AQ1300" s="4">
        <v>18</v>
      </c>
      <c r="AR1300" s="3" t="s">
        <v>62</v>
      </c>
      <c r="AS1300" s="3" t="s">
        <v>62</v>
      </c>
      <c r="AT1300" s="3" t="s">
        <v>62</v>
      </c>
      <c r="AV1300" s="6" t="str">
        <f>HYPERLINK("http://mcgill.on.worldcat.org/oclc/606216030","Catalog Record")</f>
        <v>Catalog Record</v>
      </c>
      <c r="AW1300" s="6" t="str">
        <f>HYPERLINK("http://www.worldcat.org/oclc/606216030","WorldCat Record")</f>
        <v>WorldCat Record</v>
      </c>
      <c r="AX1300" s="3" t="s">
        <v>13130</v>
      </c>
      <c r="AY1300" s="3" t="s">
        <v>13131</v>
      </c>
      <c r="AZ1300" s="3" t="s">
        <v>13132</v>
      </c>
      <c r="BA1300" s="3" t="s">
        <v>13132</v>
      </c>
      <c r="BB1300" s="3" t="s">
        <v>13133</v>
      </c>
      <c r="BC1300" s="3" t="s">
        <v>102</v>
      </c>
      <c r="BD1300" s="3" t="s">
        <v>68</v>
      </c>
      <c r="BE1300" s="3" t="s">
        <v>13134</v>
      </c>
      <c r="BF1300" s="3" t="s">
        <v>13133</v>
      </c>
      <c r="BG1300" s="3" t="s">
        <v>13135</v>
      </c>
    </row>
    <row r="1301" spans="1:59" ht="58" x14ac:dyDescent="0.35">
      <c r="A1301" s="2" t="s">
        <v>89</v>
      </c>
      <c r="B1301" s="2" t="s">
        <v>6791</v>
      </c>
      <c r="C1301" s="2" t="s">
        <v>13136</v>
      </c>
      <c r="D1301" s="2" t="s">
        <v>13137</v>
      </c>
      <c r="E1301" s="2" t="s">
        <v>13138</v>
      </c>
      <c r="G1301" s="3" t="s">
        <v>62</v>
      </c>
      <c r="I1301" s="3" t="s">
        <v>62</v>
      </c>
      <c r="J1301" s="3" t="s">
        <v>62</v>
      </c>
      <c r="K1301" s="3" t="s">
        <v>63</v>
      </c>
      <c r="M1301" s="2" t="s">
        <v>13139</v>
      </c>
      <c r="N1301" s="3" t="s">
        <v>698</v>
      </c>
      <c r="P1301" s="3" t="s">
        <v>64</v>
      </c>
      <c r="Q1301" s="2" t="s">
        <v>13140</v>
      </c>
      <c r="R1301" s="3" t="s">
        <v>13065</v>
      </c>
      <c r="S1301" s="4">
        <v>1</v>
      </c>
      <c r="T1301" s="4">
        <v>1</v>
      </c>
      <c r="U1301" s="5" t="s">
        <v>13141</v>
      </c>
      <c r="V1301" s="5" t="s">
        <v>13141</v>
      </c>
      <c r="W1301" s="5" t="s">
        <v>67</v>
      </c>
      <c r="X1301" s="5" t="s">
        <v>67</v>
      </c>
      <c r="Y1301" s="4">
        <v>434</v>
      </c>
      <c r="Z1301" s="4">
        <v>16</v>
      </c>
      <c r="AA1301" s="4">
        <v>16</v>
      </c>
      <c r="AB1301" s="4">
        <v>1</v>
      </c>
      <c r="AC1301" s="4">
        <v>1</v>
      </c>
      <c r="AD1301" s="4">
        <v>74</v>
      </c>
      <c r="AE1301" s="4">
        <v>74</v>
      </c>
      <c r="AF1301" s="4">
        <v>0</v>
      </c>
      <c r="AG1301" s="4">
        <v>0</v>
      </c>
      <c r="AH1301" s="4">
        <v>65</v>
      </c>
      <c r="AI1301" s="4">
        <v>65</v>
      </c>
      <c r="AJ1301" s="4">
        <v>9</v>
      </c>
      <c r="AK1301" s="4">
        <v>9</v>
      </c>
      <c r="AL1301" s="4">
        <v>37</v>
      </c>
      <c r="AM1301" s="4">
        <v>37</v>
      </c>
      <c r="AN1301" s="4">
        <v>0</v>
      </c>
      <c r="AO1301" s="4">
        <v>0</v>
      </c>
      <c r="AP1301" s="4">
        <v>13</v>
      </c>
      <c r="AQ1301" s="4">
        <v>13</v>
      </c>
      <c r="AR1301" s="3" t="s">
        <v>62</v>
      </c>
      <c r="AS1301" s="3" t="s">
        <v>62</v>
      </c>
      <c r="AT1301" s="3" t="s">
        <v>62</v>
      </c>
      <c r="AV1301" s="6" t="str">
        <f>HYPERLINK("http://mcgill.on.worldcat.org/oclc/794056017","Catalog Record")</f>
        <v>Catalog Record</v>
      </c>
      <c r="AW1301" s="6" t="str">
        <f>HYPERLINK("http://www.worldcat.org/oclc/794056017","WorldCat Record")</f>
        <v>WorldCat Record</v>
      </c>
      <c r="AX1301" s="3" t="s">
        <v>13142</v>
      </c>
      <c r="AY1301" s="3" t="s">
        <v>13143</v>
      </c>
      <c r="AZ1301" s="3" t="s">
        <v>13144</v>
      </c>
      <c r="BA1301" s="3" t="s">
        <v>13144</v>
      </c>
      <c r="BB1301" s="3" t="s">
        <v>13145</v>
      </c>
      <c r="BC1301" s="3" t="s">
        <v>102</v>
      </c>
      <c r="BD1301" s="3" t="s">
        <v>68</v>
      </c>
      <c r="BE1301" s="3" t="s">
        <v>13146</v>
      </c>
      <c r="BF1301" s="3" t="s">
        <v>13145</v>
      </c>
      <c r="BG1301" s="3" t="s">
        <v>13147</v>
      </c>
    </row>
    <row r="1302" spans="1:59" ht="87" x14ac:dyDescent="0.35">
      <c r="A1302" s="2" t="s">
        <v>89</v>
      </c>
      <c r="B1302" s="2" t="s">
        <v>6791</v>
      </c>
      <c r="C1302" s="2" t="s">
        <v>13148</v>
      </c>
      <c r="D1302" s="2" t="s">
        <v>13149</v>
      </c>
      <c r="E1302" s="2" t="s">
        <v>13150</v>
      </c>
      <c r="G1302" s="3" t="s">
        <v>62</v>
      </c>
      <c r="I1302" s="3" t="s">
        <v>62</v>
      </c>
      <c r="J1302" s="3" t="s">
        <v>62</v>
      </c>
      <c r="K1302" s="3" t="s">
        <v>63</v>
      </c>
      <c r="M1302" s="2" t="s">
        <v>13151</v>
      </c>
      <c r="N1302" s="3" t="s">
        <v>129</v>
      </c>
      <c r="P1302" s="3" t="s">
        <v>64</v>
      </c>
      <c r="Q1302" s="2" t="s">
        <v>13152</v>
      </c>
      <c r="R1302" s="3" t="s">
        <v>13065</v>
      </c>
      <c r="S1302" s="4">
        <v>1</v>
      </c>
      <c r="T1302" s="4">
        <v>1</v>
      </c>
      <c r="W1302" s="5" t="s">
        <v>67</v>
      </c>
      <c r="X1302" s="5" t="s">
        <v>67</v>
      </c>
      <c r="Y1302" s="4">
        <v>395</v>
      </c>
      <c r="Z1302" s="4">
        <v>14</v>
      </c>
      <c r="AA1302" s="4">
        <v>14</v>
      </c>
      <c r="AB1302" s="4">
        <v>1</v>
      </c>
      <c r="AC1302" s="4">
        <v>1</v>
      </c>
      <c r="AD1302" s="4">
        <v>66</v>
      </c>
      <c r="AE1302" s="4">
        <v>66</v>
      </c>
      <c r="AF1302" s="4">
        <v>0</v>
      </c>
      <c r="AG1302" s="4">
        <v>0</v>
      </c>
      <c r="AH1302" s="4">
        <v>57</v>
      </c>
      <c r="AI1302" s="4">
        <v>57</v>
      </c>
      <c r="AJ1302" s="4">
        <v>9</v>
      </c>
      <c r="AK1302" s="4">
        <v>9</v>
      </c>
      <c r="AL1302" s="4">
        <v>31</v>
      </c>
      <c r="AM1302" s="4">
        <v>31</v>
      </c>
      <c r="AN1302" s="4">
        <v>0</v>
      </c>
      <c r="AO1302" s="4">
        <v>0</v>
      </c>
      <c r="AP1302" s="4">
        <v>13</v>
      </c>
      <c r="AQ1302" s="4">
        <v>13</v>
      </c>
      <c r="AR1302" s="3" t="s">
        <v>62</v>
      </c>
      <c r="AS1302" s="3" t="s">
        <v>62</v>
      </c>
      <c r="AT1302" s="3" t="s">
        <v>62</v>
      </c>
      <c r="AV1302" s="6" t="str">
        <f>HYPERLINK("http://mcgill.on.worldcat.org/oclc/842963426","Catalog Record")</f>
        <v>Catalog Record</v>
      </c>
      <c r="AW1302" s="6" t="str">
        <f>HYPERLINK("http://www.worldcat.org/oclc/842963426","WorldCat Record")</f>
        <v>WorldCat Record</v>
      </c>
      <c r="AX1302" s="3" t="s">
        <v>13153</v>
      </c>
      <c r="AY1302" s="3" t="s">
        <v>13154</v>
      </c>
      <c r="AZ1302" s="3" t="s">
        <v>13155</v>
      </c>
      <c r="BA1302" s="3" t="s">
        <v>13155</v>
      </c>
      <c r="BB1302" s="3" t="s">
        <v>13156</v>
      </c>
      <c r="BC1302" s="3" t="s">
        <v>102</v>
      </c>
      <c r="BD1302" s="3" t="s">
        <v>231</v>
      </c>
      <c r="BE1302" s="3" t="s">
        <v>13157</v>
      </c>
      <c r="BF1302" s="3" t="s">
        <v>13156</v>
      </c>
      <c r="BG1302" s="3" t="s">
        <v>13158</v>
      </c>
    </row>
    <row r="1303" spans="1:59" ht="58" x14ac:dyDescent="0.35">
      <c r="A1303" s="2" t="s">
        <v>89</v>
      </c>
      <c r="B1303" s="2" t="s">
        <v>90</v>
      </c>
      <c r="C1303" s="2" t="s">
        <v>13159</v>
      </c>
      <c r="D1303" s="2" t="s">
        <v>13160</v>
      </c>
      <c r="E1303" s="2" t="s">
        <v>13161</v>
      </c>
      <c r="G1303" s="3" t="s">
        <v>62</v>
      </c>
      <c r="I1303" s="3" t="s">
        <v>62</v>
      </c>
      <c r="J1303" s="3" t="s">
        <v>62</v>
      </c>
      <c r="K1303" s="3" t="s">
        <v>63</v>
      </c>
      <c r="M1303" s="2" t="s">
        <v>13162</v>
      </c>
      <c r="N1303" s="3" t="s">
        <v>712</v>
      </c>
      <c r="P1303" s="3" t="s">
        <v>64</v>
      </c>
      <c r="Q1303" s="2" t="s">
        <v>13163</v>
      </c>
      <c r="R1303" s="3" t="s">
        <v>13065</v>
      </c>
      <c r="S1303" s="4">
        <v>0</v>
      </c>
      <c r="T1303" s="4">
        <v>0</v>
      </c>
      <c r="W1303" s="5" t="s">
        <v>67</v>
      </c>
      <c r="X1303" s="5" t="s">
        <v>67</v>
      </c>
      <c r="Y1303" s="4">
        <v>312</v>
      </c>
      <c r="Z1303" s="4">
        <v>15</v>
      </c>
      <c r="AA1303" s="4">
        <v>15</v>
      </c>
      <c r="AB1303" s="4">
        <v>1</v>
      </c>
      <c r="AC1303" s="4">
        <v>1</v>
      </c>
      <c r="AD1303" s="4">
        <v>61</v>
      </c>
      <c r="AE1303" s="4">
        <v>61</v>
      </c>
      <c r="AF1303" s="4">
        <v>0</v>
      </c>
      <c r="AG1303" s="4">
        <v>0</v>
      </c>
      <c r="AH1303" s="4">
        <v>53</v>
      </c>
      <c r="AI1303" s="4">
        <v>53</v>
      </c>
      <c r="AJ1303" s="4">
        <v>8</v>
      </c>
      <c r="AK1303" s="4">
        <v>8</v>
      </c>
      <c r="AL1303" s="4">
        <v>31</v>
      </c>
      <c r="AM1303" s="4">
        <v>31</v>
      </c>
      <c r="AN1303" s="4">
        <v>0</v>
      </c>
      <c r="AO1303" s="4">
        <v>0</v>
      </c>
      <c r="AP1303" s="4">
        <v>12</v>
      </c>
      <c r="AQ1303" s="4">
        <v>12</v>
      </c>
      <c r="AR1303" s="3" t="s">
        <v>62</v>
      </c>
      <c r="AS1303" s="3" t="s">
        <v>62</v>
      </c>
      <c r="AT1303" s="3" t="s">
        <v>62</v>
      </c>
      <c r="AV1303" s="6" t="str">
        <f>HYPERLINK("http://mcgill.on.worldcat.org/oclc/868378806","Catalog Record")</f>
        <v>Catalog Record</v>
      </c>
      <c r="AW1303" s="6" t="str">
        <f>HYPERLINK("http://www.worldcat.org/oclc/868378806","WorldCat Record")</f>
        <v>WorldCat Record</v>
      </c>
      <c r="AX1303" s="3" t="s">
        <v>13164</v>
      </c>
      <c r="AY1303" s="3" t="s">
        <v>13165</v>
      </c>
      <c r="AZ1303" s="3" t="s">
        <v>13166</v>
      </c>
      <c r="BA1303" s="3" t="s">
        <v>13166</v>
      </c>
      <c r="BB1303" s="3" t="s">
        <v>13167</v>
      </c>
      <c r="BC1303" s="3" t="s">
        <v>102</v>
      </c>
      <c r="BD1303" s="3" t="s">
        <v>68</v>
      </c>
      <c r="BE1303" s="3" t="s">
        <v>13168</v>
      </c>
      <c r="BF1303" s="3" t="s">
        <v>13167</v>
      </c>
      <c r="BG1303" s="3" t="s">
        <v>13169</v>
      </c>
    </row>
    <row r="1304" spans="1:59" ht="87" x14ac:dyDescent="0.35">
      <c r="A1304" s="2" t="s">
        <v>89</v>
      </c>
      <c r="B1304" s="2" t="s">
        <v>90</v>
      </c>
      <c r="C1304" s="2" t="s">
        <v>13170</v>
      </c>
      <c r="D1304" s="2" t="s">
        <v>13171</v>
      </c>
      <c r="E1304" s="2" t="s">
        <v>13172</v>
      </c>
      <c r="G1304" s="3" t="s">
        <v>62</v>
      </c>
      <c r="I1304" s="3" t="s">
        <v>62</v>
      </c>
      <c r="J1304" s="3" t="s">
        <v>62</v>
      </c>
      <c r="K1304" s="3" t="s">
        <v>63</v>
      </c>
      <c r="M1304" s="2" t="s">
        <v>13173</v>
      </c>
      <c r="N1304" s="3" t="s">
        <v>1038</v>
      </c>
      <c r="P1304" s="3" t="s">
        <v>64</v>
      </c>
      <c r="Q1304" s="2" t="s">
        <v>13174</v>
      </c>
      <c r="R1304" s="3" t="s">
        <v>13065</v>
      </c>
      <c r="S1304" s="4">
        <v>0</v>
      </c>
      <c r="T1304" s="4">
        <v>0</v>
      </c>
      <c r="W1304" s="5" t="s">
        <v>67</v>
      </c>
      <c r="X1304" s="5" t="s">
        <v>67</v>
      </c>
      <c r="Y1304" s="4">
        <v>258</v>
      </c>
      <c r="Z1304" s="4">
        <v>8</v>
      </c>
      <c r="AA1304" s="4">
        <v>9</v>
      </c>
      <c r="AB1304" s="4">
        <v>1</v>
      </c>
      <c r="AC1304" s="4">
        <v>1</v>
      </c>
      <c r="AD1304" s="4">
        <v>48</v>
      </c>
      <c r="AE1304" s="4">
        <v>49</v>
      </c>
      <c r="AF1304" s="4">
        <v>0</v>
      </c>
      <c r="AG1304" s="4">
        <v>0</v>
      </c>
      <c r="AH1304" s="4">
        <v>43</v>
      </c>
      <c r="AI1304" s="4">
        <v>43</v>
      </c>
      <c r="AJ1304" s="4">
        <v>4</v>
      </c>
      <c r="AK1304" s="4">
        <v>5</v>
      </c>
      <c r="AL1304" s="4">
        <v>27</v>
      </c>
      <c r="AM1304" s="4">
        <v>27</v>
      </c>
      <c r="AN1304" s="4">
        <v>0</v>
      </c>
      <c r="AO1304" s="4">
        <v>0</v>
      </c>
      <c r="AP1304" s="4">
        <v>7</v>
      </c>
      <c r="AQ1304" s="4">
        <v>8</v>
      </c>
      <c r="AR1304" s="3" t="s">
        <v>62</v>
      </c>
      <c r="AS1304" s="3" t="s">
        <v>62</v>
      </c>
      <c r="AT1304" s="3" t="s">
        <v>62</v>
      </c>
      <c r="AV1304" s="6" t="str">
        <f>HYPERLINK("http://mcgill.on.worldcat.org/oclc/948295889","Catalog Record")</f>
        <v>Catalog Record</v>
      </c>
      <c r="AW1304" s="6" t="str">
        <f>HYPERLINK("http://www.worldcat.org/oclc/948295889","WorldCat Record")</f>
        <v>WorldCat Record</v>
      </c>
      <c r="AX1304" s="3" t="s">
        <v>13175</v>
      </c>
      <c r="AY1304" s="3" t="s">
        <v>13176</v>
      </c>
      <c r="AZ1304" s="3" t="s">
        <v>13177</v>
      </c>
      <c r="BA1304" s="3" t="s">
        <v>13177</v>
      </c>
      <c r="BB1304" s="3" t="s">
        <v>13178</v>
      </c>
      <c r="BC1304" s="3" t="s">
        <v>102</v>
      </c>
      <c r="BD1304" s="3" t="s">
        <v>68</v>
      </c>
      <c r="BE1304" s="3" t="s">
        <v>13179</v>
      </c>
      <c r="BF1304" s="3" t="s">
        <v>13178</v>
      </c>
      <c r="BG1304" s="3" t="s">
        <v>13180</v>
      </c>
    </row>
    <row r="1305" spans="1:59" ht="72.5" x14ac:dyDescent="0.35">
      <c r="A1305" s="2" t="s">
        <v>89</v>
      </c>
      <c r="B1305" s="2" t="s">
        <v>90</v>
      </c>
      <c r="C1305" s="2" t="s">
        <v>13181</v>
      </c>
      <c r="D1305" s="2" t="s">
        <v>13182</v>
      </c>
      <c r="E1305" s="2" t="s">
        <v>13183</v>
      </c>
      <c r="F1305" s="3" t="s">
        <v>13061</v>
      </c>
      <c r="G1305" s="3" t="s">
        <v>62</v>
      </c>
      <c r="I1305" s="3" t="s">
        <v>62</v>
      </c>
      <c r="J1305" s="3" t="s">
        <v>62</v>
      </c>
      <c r="K1305" s="3" t="s">
        <v>63</v>
      </c>
      <c r="L1305" s="2" t="s">
        <v>13184</v>
      </c>
      <c r="N1305" s="3" t="s">
        <v>7359</v>
      </c>
      <c r="P1305" s="3" t="s">
        <v>64</v>
      </c>
      <c r="Q1305" s="2" t="s">
        <v>13185</v>
      </c>
      <c r="R1305" s="3" t="s">
        <v>13065</v>
      </c>
      <c r="S1305" s="4">
        <v>6</v>
      </c>
      <c r="T1305" s="4">
        <v>6</v>
      </c>
      <c r="U1305" s="5" t="s">
        <v>13186</v>
      </c>
      <c r="V1305" s="5" t="s">
        <v>13186</v>
      </c>
      <c r="W1305" s="5" t="s">
        <v>67</v>
      </c>
      <c r="X1305" s="5" t="s">
        <v>67</v>
      </c>
      <c r="Y1305" s="4">
        <v>155</v>
      </c>
      <c r="Z1305" s="4">
        <v>8</v>
      </c>
      <c r="AA1305" s="4">
        <v>22</v>
      </c>
      <c r="AB1305" s="4">
        <v>2</v>
      </c>
      <c r="AC1305" s="4">
        <v>3</v>
      </c>
      <c r="AD1305" s="4">
        <v>59</v>
      </c>
      <c r="AE1305" s="4">
        <v>101</v>
      </c>
      <c r="AF1305" s="4">
        <v>1</v>
      </c>
      <c r="AG1305" s="4">
        <v>2</v>
      </c>
      <c r="AH1305" s="4">
        <v>53</v>
      </c>
      <c r="AI1305" s="4">
        <v>84</v>
      </c>
      <c r="AJ1305" s="4">
        <v>4</v>
      </c>
      <c r="AK1305" s="4">
        <v>12</v>
      </c>
      <c r="AL1305" s="4">
        <v>35</v>
      </c>
      <c r="AM1305" s="4">
        <v>54</v>
      </c>
      <c r="AN1305" s="4">
        <v>0</v>
      </c>
      <c r="AO1305" s="4">
        <v>0</v>
      </c>
      <c r="AP1305" s="4">
        <v>7</v>
      </c>
      <c r="AQ1305" s="4">
        <v>20</v>
      </c>
      <c r="AR1305" s="3" t="s">
        <v>62</v>
      </c>
      <c r="AS1305" s="3" t="s">
        <v>62</v>
      </c>
      <c r="AT1305" s="3" t="s">
        <v>62</v>
      </c>
      <c r="AV1305" s="6" t="str">
        <f>HYPERLINK("http://mcgill.on.worldcat.org/oclc/523606","Catalog Record")</f>
        <v>Catalog Record</v>
      </c>
      <c r="AW1305" s="6" t="str">
        <f>HYPERLINK("http://www.worldcat.org/oclc/523606","WorldCat Record")</f>
        <v>WorldCat Record</v>
      </c>
      <c r="AX1305" s="3" t="s">
        <v>13187</v>
      </c>
      <c r="AY1305" s="3" t="s">
        <v>13188</v>
      </c>
      <c r="AZ1305" s="3" t="s">
        <v>13189</v>
      </c>
      <c r="BA1305" s="3" t="s">
        <v>13189</v>
      </c>
      <c r="BB1305" s="3" t="s">
        <v>13190</v>
      </c>
      <c r="BC1305" s="3" t="s">
        <v>102</v>
      </c>
      <c r="BD1305" s="3" t="s">
        <v>68</v>
      </c>
      <c r="BF1305" s="3" t="s">
        <v>13190</v>
      </c>
      <c r="BG1305" s="3" t="s">
        <v>13191</v>
      </c>
    </row>
    <row r="1306" spans="1:59" ht="58" x14ac:dyDescent="0.35">
      <c r="A1306" s="2" t="s">
        <v>89</v>
      </c>
      <c r="B1306" s="2" t="s">
        <v>90</v>
      </c>
      <c r="C1306" s="2" t="s">
        <v>13198</v>
      </c>
      <c r="D1306" s="2" t="s">
        <v>13199</v>
      </c>
      <c r="E1306" s="2" t="s">
        <v>13200</v>
      </c>
      <c r="G1306" s="3" t="s">
        <v>62</v>
      </c>
      <c r="I1306" s="3" t="s">
        <v>62</v>
      </c>
      <c r="J1306" s="3" t="s">
        <v>62</v>
      </c>
      <c r="K1306" s="3" t="s">
        <v>63</v>
      </c>
      <c r="L1306" s="2" t="s">
        <v>13201</v>
      </c>
      <c r="M1306" s="2" t="s">
        <v>13202</v>
      </c>
      <c r="N1306" s="3" t="s">
        <v>1195</v>
      </c>
      <c r="P1306" s="3" t="s">
        <v>64</v>
      </c>
      <c r="R1306" s="3" t="s">
        <v>13065</v>
      </c>
      <c r="S1306" s="4">
        <v>21</v>
      </c>
      <c r="T1306" s="4">
        <v>21</v>
      </c>
      <c r="U1306" s="5" t="s">
        <v>13203</v>
      </c>
      <c r="V1306" s="5" t="s">
        <v>13203</v>
      </c>
      <c r="W1306" s="5" t="s">
        <v>67</v>
      </c>
      <c r="X1306" s="5" t="s">
        <v>67</v>
      </c>
      <c r="Y1306" s="4">
        <v>259</v>
      </c>
      <c r="Z1306" s="4">
        <v>14</v>
      </c>
      <c r="AA1306" s="4">
        <v>14</v>
      </c>
      <c r="AB1306" s="4">
        <v>1</v>
      </c>
      <c r="AC1306" s="4">
        <v>1</v>
      </c>
      <c r="AD1306" s="4">
        <v>79</v>
      </c>
      <c r="AE1306" s="4">
        <v>80</v>
      </c>
      <c r="AF1306" s="4">
        <v>0</v>
      </c>
      <c r="AG1306" s="4">
        <v>0</v>
      </c>
      <c r="AH1306" s="4">
        <v>72</v>
      </c>
      <c r="AI1306" s="4">
        <v>73</v>
      </c>
      <c r="AJ1306" s="4">
        <v>8</v>
      </c>
      <c r="AK1306" s="4">
        <v>8</v>
      </c>
      <c r="AL1306" s="4">
        <v>45</v>
      </c>
      <c r="AM1306" s="4">
        <v>45</v>
      </c>
      <c r="AN1306" s="4">
        <v>0</v>
      </c>
      <c r="AO1306" s="4">
        <v>0</v>
      </c>
      <c r="AP1306" s="4">
        <v>10</v>
      </c>
      <c r="AQ1306" s="4">
        <v>10</v>
      </c>
      <c r="AR1306" s="3" t="s">
        <v>62</v>
      </c>
      <c r="AS1306" s="3" t="s">
        <v>62</v>
      </c>
      <c r="AT1306" s="3" t="s">
        <v>62</v>
      </c>
      <c r="AV1306" s="6" t="str">
        <f>HYPERLINK("http://mcgill.on.worldcat.org/oclc/59003421","Catalog Record")</f>
        <v>Catalog Record</v>
      </c>
      <c r="AW1306" s="6" t="str">
        <f>HYPERLINK("http://www.worldcat.org/oclc/59003421","WorldCat Record")</f>
        <v>WorldCat Record</v>
      </c>
      <c r="AX1306" s="3" t="s">
        <v>13204</v>
      </c>
      <c r="AY1306" s="3" t="s">
        <v>13205</v>
      </c>
      <c r="AZ1306" s="3" t="s">
        <v>13206</v>
      </c>
      <c r="BA1306" s="3" t="s">
        <v>13206</v>
      </c>
      <c r="BB1306" s="3" t="s">
        <v>13207</v>
      </c>
      <c r="BC1306" s="3" t="s">
        <v>102</v>
      </c>
      <c r="BD1306" s="3" t="s">
        <v>68</v>
      </c>
      <c r="BE1306" s="3" t="s">
        <v>13208</v>
      </c>
      <c r="BF1306" s="3" t="s">
        <v>13207</v>
      </c>
      <c r="BG1306" s="3" t="s">
        <v>13209</v>
      </c>
    </row>
    <row r="1307" spans="1:59" ht="87" x14ac:dyDescent="0.35">
      <c r="A1307" s="2" t="s">
        <v>89</v>
      </c>
      <c r="B1307" s="2" t="s">
        <v>90</v>
      </c>
      <c r="C1307" s="2" t="s">
        <v>13210</v>
      </c>
      <c r="D1307" s="2" t="s">
        <v>13211</v>
      </c>
      <c r="E1307" s="2" t="s">
        <v>13212</v>
      </c>
      <c r="G1307" s="3" t="s">
        <v>62</v>
      </c>
      <c r="I1307" s="3" t="s">
        <v>61</v>
      </c>
      <c r="J1307" s="3" t="s">
        <v>62</v>
      </c>
      <c r="K1307" s="3" t="s">
        <v>63</v>
      </c>
      <c r="L1307" s="2" t="s">
        <v>13213</v>
      </c>
      <c r="M1307" s="2" t="s">
        <v>13214</v>
      </c>
      <c r="N1307" s="3" t="s">
        <v>5038</v>
      </c>
      <c r="P1307" s="3" t="s">
        <v>1881</v>
      </c>
      <c r="R1307" s="3" t="s">
        <v>13065</v>
      </c>
      <c r="S1307" s="4">
        <v>6</v>
      </c>
      <c r="T1307" s="4">
        <v>6</v>
      </c>
      <c r="U1307" s="5" t="s">
        <v>2987</v>
      </c>
      <c r="V1307" s="5" t="s">
        <v>2987</v>
      </c>
      <c r="W1307" s="5" t="s">
        <v>67</v>
      </c>
      <c r="X1307" s="5" t="s">
        <v>67</v>
      </c>
      <c r="Y1307" s="4">
        <v>83</v>
      </c>
      <c r="Z1307" s="4">
        <v>6</v>
      </c>
      <c r="AA1307" s="4">
        <v>20</v>
      </c>
      <c r="AB1307" s="4">
        <v>2</v>
      </c>
      <c r="AC1307" s="4">
        <v>4</v>
      </c>
      <c r="AD1307" s="4">
        <v>43</v>
      </c>
      <c r="AE1307" s="4">
        <v>102</v>
      </c>
      <c r="AF1307" s="4">
        <v>1</v>
      </c>
      <c r="AG1307" s="4">
        <v>3</v>
      </c>
      <c r="AH1307" s="4">
        <v>40</v>
      </c>
      <c r="AI1307" s="4">
        <v>89</v>
      </c>
      <c r="AJ1307" s="4">
        <v>4</v>
      </c>
      <c r="AK1307" s="4">
        <v>15</v>
      </c>
      <c r="AL1307" s="4">
        <v>31</v>
      </c>
      <c r="AM1307" s="4">
        <v>57</v>
      </c>
      <c r="AN1307" s="4">
        <v>0</v>
      </c>
      <c r="AO1307" s="4">
        <v>5</v>
      </c>
      <c r="AP1307" s="4">
        <v>4</v>
      </c>
      <c r="AQ1307" s="4">
        <v>16</v>
      </c>
      <c r="AR1307" s="3" t="s">
        <v>62</v>
      </c>
      <c r="AS1307" s="3" t="s">
        <v>62</v>
      </c>
      <c r="AT1307" s="3" t="s">
        <v>61</v>
      </c>
      <c r="AU1307" s="6" t="str">
        <f>HYPERLINK("http://catalog.hathitrust.org/Record/000125997","HathiTrust Record")</f>
        <v>HathiTrust Record</v>
      </c>
      <c r="AV1307" s="6" t="str">
        <f>HYPERLINK("http://mcgill.on.worldcat.org/oclc/2697736","Catalog Record")</f>
        <v>Catalog Record</v>
      </c>
      <c r="AW1307" s="6" t="str">
        <f>HYPERLINK("http://www.worldcat.org/oclc/2697736","WorldCat Record")</f>
        <v>WorldCat Record</v>
      </c>
      <c r="AX1307" s="3" t="s">
        <v>13215</v>
      </c>
      <c r="AY1307" s="3" t="s">
        <v>13216</v>
      </c>
      <c r="AZ1307" s="3" t="s">
        <v>13217</v>
      </c>
      <c r="BA1307" s="3" t="s">
        <v>13217</v>
      </c>
      <c r="BB1307" s="3" t="s">
        <v>13218</v>
      </c>
      <c r="BC1307" s="3" t="s">
        <v>102</v>
      </c>
      <c r="BD1307" s="3" t="s">
        <v>231</v>
      </c>
      <c r="BF1307" s="3" t="s">
        <v>13218</v>
      </c>
      <c r="BG1307" s="3" t="s">
        <v>13219</v>
      </c>
    </row>
    <row r="1308" spans="1:59" ht="58" x14ac:dyDescent="0.35">
      <c r="A1308" s="2" t="s">
        <v>89</v>
      </c>
      <c r="B1308" s="2" t="s">
        <v>90</v>
      </c>
      <c r="C1308" s="2" t="s">
        <v>13220</v>
      </c>
      <c r="D1308" s="2" t="s">
        <v>13221</v>
      </c>
      <c r="E1308" s="2" t="s">
        <v>13222</v>
      </c>
      <c r="G1308" s="3" t="s">
        <v>62</v>
      </c>
      <c r="I1308" s="3" t="s">
        <v>62</v>
      </c>
      <c r="J1308" s="3" t="s">
        <v>62</v>
      </c>
      <c r="K1308" s="3" t="s">
        <v>63</v>
      </c>
      <c r="L1308" s="2" t="s">
        <v>13223</v>
      </c>
      <c r="M1308" s="2" t="s">
        <v>13224</v>
      </c>
      <c r="N1308" s="3" t="s">
        <v>755</v>
      </c>
      <c r="P1308" s="3" t="s">
        <v>1881</v>
      </c>
      <c r="Q1308" s="2" t="s">
        <v>13225</v>
      </c>
      <c r="R1308" s="3" t="s">
        <v>13065</v>
      </c>
      <c r="S1308" s="4">
        <v>1</v>
      </c>
      <c r="T1308" s="4">
        <v>1</v>
      </c>
      <c r="U1308" s="5" t="s">
        <v>1080</v>
      </c>
      <c r="V1308" s="5" t="s">
        <v>1080</v>
      </c>
      <c r="W1308" s="5" t="s">
        <v>67</v>
      </c>
      <c r="X1308" s="5" t="s">
        <v>67</v>
      </c>
      <c r="Y1308" s="4">
        <v>189</v>
      </c>
      <c r="Z1308" s="4">
        <v>10</v>
      </c>
      <c r="AA1308" s="4">
        <v>10</v>
      </c>
      <c r="AB1308" s="4">
        <v>2</v>
      </c>
      <c r="AC1308" s="4">
        <v>2</v>
      </c>
      <c r="AD1308" s="4">
        <v>82</v>
      </c>
      <c r="AE1308" s="4">
        <v>82</v>
      </c>
      <c r="AF1308" s="4">
        <v>1</v>
      </c>
      <c r="AG1308" s="4">
        <v>1</v>
      </c>
      <c r="AH1308" s="4">
        <v>75</v>
      </c>
      <c r="AI1308" s="4">
        <v>75</v>
      </c>
      <c r="AJ1308" s="4">
        <v>8</v>
      </c>
      <c r="AK1308" s="4">
        <v>8</v>
      </c>
      <c r="AL1308" s="4">
        <v>49</v>
      </c>
      <c r="AM1308" s="4">
        <v>49</v>
      </c>
      <c r="AN1308" s="4">
        <v>0</v>
      </c>
      <c r="AO1308" s="4">
        <v>0</v>
      </c>
      <c r="AP1308" s="4">
        <v>8</v>
      </c>
      <c r="AQ1308" s="4">
        <v>8</v>
      </c>
      <c r="AR1308" s="3" t="s">
        <v>62</v>
      </c>
      <c r="AS1308" s="3" t="s">
        <v>62</v>
      </c>
      <c r="AT1308" s="3" t="s">
        <v>61</v>
      </c>
      <c r="AU1308" s="6" t="str">
        <f>HYPERLINK("http://catalog.hathitrust.org/Record/000619308","HathiTrust Record")</f>
        <v>HathiTrust Record</v>
      </c>
      <c r="AV1308" s="6" t="str">
        <f>HYPERLINK("http://mcgill.on.worldcat.org/oclc/1347606","Catalog Record")</f>
        <v>Catalog Record</v>
      </c>
      <c r="AW1308" s="6" t="str">
        <f>HYPERLINK("http://www.worldcat.org/oclc/1347606","WorldCat Record")</f>
        <v>WorldCat Record</v>
      </c>
      <c r="AX1308" s="3" t="s">
        <v>13226</v>
      </c>
      <c r="AY1308" s="3" t="s">
        <v>13227</v>
      </c>
      <c r="AZ1308" s="3" t="s">
        <v>13228</v>
      </c>
      <c r="BA1308" s="3" t="s">
        <v>13228</v>
      </c>
      <c r="BB1308" s="3" t="s">
        <v>13229</v>
      </c>
      <c r="BC1308" s="3" t="s">
        <v>102</v>
      </c>
      <c r="BD1308" s="3" t="s">
        <v>68</v>
      </c>
      <c r="BF1308" s="3" t="s">
        <v>13229</v>
      </c>
      <c r="BG1308" s="3" t="s">
        <v>13230</v>
      </c>
    </row>
    <row r="1309" spans="1:59" ht="72.5" x14ac:dyDescent="0.35">
      <c r="A1309" s="2" t="s">
        <v>89</v>
      </c>
      <c r="B1309" s="2" t="s">
        <v>90</v>
      </c>
      <c r="C1309" s="2" t="s">
        <v>13231</v>
      </c>
      <c r="D1309" s="2" t="s">
        <v>13232</v>
      </c>
      <c r="E1309" s="2" t="s">
        <v>13233</v>
      </c>
      <c r="F1309" s="3" t="s">
        <v>2241</v>
      </c>
      <c r="G1309" s="3" t="s">
        <v>61</v>
      </c>
      <c r="I1309" s="3" t="s">
        <v>62</v>
      </c>
      <c r="J1309" s="3" t="s">
        <v>62</v>
      </c>
      <c r="K1309" s="3" t="s">
        <v>63</v>
      </c>
      <c r="L1309" s="2" t="s">
        <v>13234</v>
      </c>
      <c r="M1309" s="2" t="s">
        <v>13235</v>
      </c>
      <c r="N1309" s="3" t="s">
        <v>2975</v>
      </c>
      <c r="P1309" s="3" t="s">
        <v>1881</v>
      </c>
      <c r="R1309" s="3" t="s">
        <v>13065</v>
      </c>
      <c r="S1309" s="4">
        <v>0</v>
      </c>
      <c r="T1309" s="4">
        <v>1</v>
      </c>
      <c r="V1309" s="5" t="s">
        <v>13236</v>
      </c>
      <c r="W1309" s="5" t="s">
        <v>67</v>
      </c>
      <c r="X1309" s="5" t="s">
        <v>67</v>
      </c>
      <c r="Y1309" s="4">
        <v>41</v>
      </c>
      <c r="Z1309" s="4">
        <v>5</v>
      </c>
      <c r="AA1309" s="4">
        <v>10</v>
      </c>
      <c r="AB1309" s="4">
        <v>1</v>
      </c>
      <c r="AC1309" s="4">
        <v>2</v>
      </c>
      <c r="AD1309" s="4">
        <v>14</v>
      </c>
      <c r="AE1309" s="4">
        <v>19</v>
      </c>
      <c r="AF1309" s="4">
        <v>0</v>
      </c>
      <c r="AG1309" s="4">
        <v>0</v>
      </c>
      <c r="AH1309" s="4">
        <v>12</v>
      </c>
      <c r="AI1309" s="4">
        <v>15</v>
      </c>
      <c r="AJ1309" s="4">
        <v>3</v>
      </c>
      <c r="AK1309" s="4">
        <v>5</v>
      </c>
      <c r="AL1309" s="4">
        <v>10</v>
      </c>
      <c r="AM1309" s="4">
        <v>10</v>
      </c>
      <c r="AN1309" s="4">
        <v>0</v>
      </c>
      <c r="AO1309" s="4">
        <v>0</v>
      </c>
      <c r="AP1309" s="4">
        <v>3</v>
      </c>
      <c r="AQ1309" s="4">
        <v>7</v>
      </c>
      <c r="AR1309" s="3" t="s">
        <v>62</v>
      </c>
      <c r="AS1309" s="3" t="s">
        <v>62</v>
      </c>
      <c r="AT1309" s="3" t="s">
        <v>61</v>
      </c>
      <c r="AU1309" s="6" t="str">
        <f t="shared" ref="AU1309:AU1317" si="29">HYPERLINK("http://catalog.hathitrust.org/Record/004733042","HathiTrust Record")</f>
        <v>HathiTrust Record</v>
      </c>
      <c r="AV1309" s="6" t="str">
        <f t="shared" ref="AV1309:AV1317" si="30">HYPERLINK("http://mcgill.on.worldcat.org/oclc/57368353","Catalog Record")</f>
        <v>Catalog Record</v>
      </c>
      <c r="AW1309" s="6" t="str">
        <f t="shared" ref="AW1309:AW1317" si="31">HYPERLINK("http://www.worldcat.org/oclc/57368353","WorldCat Record")</f>
        <v>WorldCat Record</v>
      </c>
      <c r="AX1309" s="3" t="s">
        <v>13237</v>
      </c>
      <c r="AY1309" s="3" t="s">
        <v>13238</v>
      </c>
      <c r="AZ1309" s="3" t="s">
        <v>13239</v>
      </c>
      <c r="BA1309" s="3" t="s">
        <v>13239</v>
      </c>
      <c r="BB1309" s="3" t="s">
        <v>13240</v>
      </c>
      <c r="BC1309" s="3" t="s">
        <v>102</v>
      </c>
      <c r="BD1309" s="3" t="s">
        <v>68</v>
      </c>
      <c r="BE1309" s="3" t="s">
        <v>13241</v>
      </c>
      <c r="BF1309" s="3" t="s">
        <v>13240</v>
      </c>
      <c r="BG1309" s="3" t="s">
        <v>13242</v>
      </c>
    </row>
    <row r="1310" spans="1:59" ht="72.5" x14ac:dyDescent="0.35">
      <c r="A1310" s="2" t="s">
        <v>89</v>
      </c>
      <c r="B1310" s="2" t="s">
        <v>90</v>
      </c>
      <c r="C1310" s="2" t="s">
        <v>13231</v>
      </c>
      <c r="D1310" s="2" t="s">
        <v>13232</v>
      </c>
      <c r="E1310" s="2" t="s">
        <v>13233</v>
      </c>
      <c r="F1310" s="3" t="s">
        <v>6195</v>
      </c>
      <c r="G1310" s="3" t="s">
        <v>61</v>
      </c>
      <c r="I1310" s="3" t="s">
        <v>62</v>
      </c>
      <c r="J1310" s="3" t="s">
        <v>62</v>
      </c>
      <c r="K1310" s="3" t="s">
        <v>63</v>
      </c>
      <c r="L1310" s="2" t="s">
        <v>13234</v>
      </c>
      <c r="M1310" s="2" t="s">
        <v>13235</v>
      </c>
      <c r="N1310" s="3" t="s">
        <v>2975</v>
      </c>
      <c r="P1310" s="3" t="s">
        <v>1881</v>
      </c>
      <c r="R1310" s="3" t="s">
        <v>13065</v>
      </c>
      <c r="S1310" s="4">
        <v>0</v>
      </c>
      <c r="T1310" s="4">
        <v>1</v>
      </c>
      <c r="V1310" s="5" t="s">
        <v>13236</v>
      </c>
      <c r="W1310" s="5" t="s">
        <v>67</v>
      </c>
      <c r="X1310" s="5" t="s">
        <v>67</v>
      </c>
      <c r="Y1310" s="4">
        <v>41</v>
      </c>
      <c r="Z1310" s="4">
        <v>5</v>
      </c>
      <c r="AA1310" s="4">
        <v>10</v>
      </c>
      <c r="AB1310" s="4">
        <v>1</v>
      </c>
      <c r="AC1310" s="4">
        <v>2</v>
      </c>
      <c r="AD1310" s="4">
        <v>14</v>
      </c>
      <c r="AE1310" s="4">
        <v>19</v>
      </c>
      <c r="AF1310" s="4">
        <v>0</v>
      </c>
      <c r="AG1310" s="4">
        <v>0</v>
      </c>
      <c r="AH1310" s="4">
        <v>12</v>
      </c>
      <c r="AI1310" s="4">
        <v>15</v>
      </c>
      <c r="AJ1310" s="4">
        <v>3</v>
      </c>
      <c r="AK1310" s="4">
        <v>5</v>
      </c>
      <c r="AL1310" s="4">
        <v>10</v>
      </c>
      <c r="AM1310" s="4">
        <v>10</v>
      </c>
      <c r="AN1310" s="4">
        <v>0</v>
      </c>
      <c r="AO1310" s="4">
        <v>0</v>
      </c>
      <c r="AP1310" s="4">
        <v>3</v>
      </c>
      <c r="AQ1310" s="4">
        <v>7</v>
      </c>
      <c r="AR1310" s="3" t="s">
        <v>62</v>
      </c>
      <c r="AS1310" s="3" t="s">
        <v>62</v>
      </c>
      <c r="AT1310" s="3" t="s">
        <v>61</v>
      </c>
      <c r="AU1310" s="6" t="str">
        <f t="shared" si="29"/>
        <v>HathiTrust Record</v>
      </c>
      <c r="AV1310" s="6" t="str">
        <f t="shared" si="30"/>
        <v>Catalog Record</v>
      </c>
      <c r="AW1310" s="6" t="str">
        <f t="shared" si="31"/>
        <v>WorldCat Record</v>
      </c>
      <c r="AX1310" s="3" t="s">
        <v>13237</v>
      </c>
      <c r="AY1310" s="3" t="s">
        <v>13238</v>
      </c>
      <c r="AZ1310" s="3" t="s">
        <v>13239</v>
      </c>
      <c r="BA1310" s="3" t="s">
        <v>13239</v>
      </c>
      <c r="BB1310" s="3" t="s">
        <v>13243</v>
      </c>
      <c r="BC1310" s="3" t="s">
        <v>102</v>
      </c>
      <c r="BD1310" s="3" t="s">
        <v>68</v>
      </c>
      <c r="BE1310" s="3" t="s">
        <v>13241</v>
      </c>
      <c r="BF1310" s="3" t="s">
        <v>13243</v>
      </c>
      <c r="BG1310" s="3" t="s">
        <v>13244</v>
      </c>
    </row>
    <row r="1311" spans="1:59" ht="72.5" x14ac:dyDescent="0.35">
      <c r="A1311" s="2" t="s">
        <v>89</v>
      </c>
      <c r="B1311" s="2" t="s">
        <v>90</v>
      </c>
      <c r="C1311" s="2" t="s">
        <v>13231</v>
      </c>
      <c r="D1311" s="2" t="s">
        <v>13232</v>
      </c>
      <c r="E1311" s="2" t="s">
        <v>13233</v>
      </c>
      <c r="F1311" s="3" t="s">
        <v>6192</v>
      </c>
      <c r="G1311" s="3" t="s">
        <v>61</v>
      </c>
      <c r="I1311" s="3" t="s">
        <v>62</v>
      </c>
      <c r="J1311" s="3" t="s">
        <v>62</v>
      </c>
      <c r="K1311" s="3" t="s">
        <v>63</v>
      </c>
      <c r="L1311" s="2" t="s">
        <v>13234</v>
      </c>
      <c r="M1311" s="2" t="s">
        <v>13235</v>
      </c>
      <c r="N1311" s="3" t="s">
        <v>2975</v>
      </c>
      <c r="P1311" s="3" t="s">
        <v>1881</v>
      </c>
      <c r="R1311" s="3" t="s">
        <v>13065</v>
      </c>
      <c r="S1311" s="4">
        <v>0</v>
      </c>
      <c r="T1311" s="4">
        <v>1</v>
      </c>
      <c r="V1311" s="5" t="s">
        <v>13236</v>
      </c>
      <c r="W1311" s="5" t="s">
        <v>67</v>
      </c>
      <c r="X1311" s="5" t="s">
        <v>67</v>
      </c>
      <c r="Y1311" s="4">
        <v>41</v>
      </c>
      <c r="Z1311" s="4">
        <v>5</v>
      </c>
      <c r="AA1311" s="4">
        <v>10</v>
      </c>
      <c r="AB1311" s="4">
        <v>1</v>
      </c>
      <c r="AC1311" s="4">
        <v>2</v>
      </c>
      <c r="AD1311" s="4">
        <v>14</v>
      </c>
      <c r="AE1311" s="4">
        <v>19</v>
      </c>
      <c r="AF1311" s="4">
        <v>0</v>
      </c>
      <c r="AG1311" s="4">
        <v>0</v>
      </c>
      <c r="AH1311" s="4">
        <v>12</v>
      </c>
      <c r="AI1311" s="4">
        <v>15</v>
      </c>
      <c r="AJ1311" s="4">
        <v>3</v>
      </c>
      <c r="AK1311" s="4">
        <v>5</v>
      </c>
      <c r="AL1311" s="4">
        <v>10</v>
      </c>
      <c r="AM1311" s="4">
        <v>10</v>
      </c>
      <c r="AN1311" s="4">
        <v>0</v>
      </c>
      <c r="AO1311" s="4">
        <v>0</v>
      </c>
      <c r="AP1311" s="4">
        <v>3</v>
      </c>
      <c r="AQ1311" s="4">
        <v>7</v>
      </c>
      <c r="AR1311" s="3" t="s">
        <v>62</v>
      </c>
      <c r="AS1311" s="3" t="s">
        <v>62</v>
      </c>
      <c r="AT1311" s="3" t="s">
        <v>61</v>
      </c>
      <c r="AU1311" s="6" t="str">
        <f t="shared" si="29"/>
        <v>HathiTrust Record</v>
      </c>
      <c r="AV1311" s="6" t="str">
        <f t="shared" si="30"/>
        <v>Catalog Record</v>
      </c>
      <c r="AW1311" s="6" t="str">
        <f t="shared" si="31"/>
        <v>WorldCat Record</v>
      </c>
      <c r="AX1311" s="3" t="s">
        <v>13237</v>
      </c>
      <c r="AY1311" s="3" t="s">
        <v>13238</v>
      </c>
      <c r="AZ1311" s="3" t="s">
        <v>13239</v>
      </c>
      <c r="BA1311" s="3" t="s">
        <v>13239</v>
      </c>
      <c r="BB1311" s="3" t="s">
        <v>13245</v>
      </c>
      <c r="BC1311" s="3" t="s">
        <v>102</v>
      </c>
      <c r="BD1311" s="3" t="s">
        <v>68</v>
      </c>
      <c r="BE1311" s="3" t="s">
        <v>13241</v>
      </c>
      <c r="BF1311" s="3" t="s">
        <v>13245</v>
      </c>
      <c r="BG1311" s="3" t="s">
        <v>13246</v>
      </c>
    </row>
    <row r="1312" spans="1:59" ht="72.5" x14ac:dyDescent="0.35">
      <c r="A1312" s="2" t="s">
        <v>89</v>
      </c>
      <c r="B1312" s="2" t="s">
        <v>90</v>
      </c>
      <c r="C1312" s="2" t="s">
        <v>13231</v>
      </c>
      <c r="D1312" s="2" t="s">
        <v>13232</v>
      </c>
      <c r="E1312" s="2" t="s">
        <v>13233</v>
      </c>
      <c r="F1312" s="3" t="s">
        <v>2233</v>
      </c>
      <c r="G1312" s="3" t="s">
        <v>61</v>
      </c>
      <c r="I1312" s="3" t="s">
        <v>62</v>
      </c>
      <c r="J1312" s="3" t="s">
        <v>62</v>
      </c>
      <c r="K1312" s="3" t="s">
        <v>63</v>
      </c>
      <c r="L1312" s="2" t="s">
        <v>13234</v>
      </c>
      <c r="M1312" s="2" t="s">
        <v>13235</v>
      </c>
      <c r="N1312" s="3" t="s">
        <v>2975</v>
      </c>
      <c r="P1312" s="3" t="s">
        <v>1881</v>
      </c>
      <c r="R1312" s="3" t="s">
        <v>13065</v>
      </c>
      <c r="S1312" s="4">
        <v>0</v>
      </c>
      <c r="T1312" s="4">
        <v>1</v>
      </c>
      <c r="V1312" s="5" t="s">
        <v>13236</v>
      </c>
      <c r="W1312" s="5" t="s">
        <v>67</v>
      </c>
      <c r="X1312" s="5" t="s">
        <v>67</v>
      </c>
      <c r="Y1312" s="4">
        <v>41</v>
      </c>
      <c r="Z1312" s="4">
        <v>5</v>
      </c>
      <c r="AA1312" s="4">
        <v>10</v>
      </c>
      <c r="AB1312" s="4">
        <v>1</v>
      </c>
      <c r="AC1312" s="4">
        <v>2</v>
      </c>
      <c r="AD1312" s="4">
        <v>14</v>
      </c>
      <c r="AE1312" s="4">
        <v>19</v>
      </c>
      <c r="AF1312" s="4">
        <v>0</v>
      </c>
      <c r="AG1312" s="4">
        <v>0</v>
      </c>
      <c r="AH1312" s="4">
        <v>12</v>
      </c>
      <c r="AI1312" s="4">
        <v>15</v>
      </c>
      <c r="AJ1312" s="4">
        <v>3</v>
      </c>
      <c r="AK1312" s="4">
        <v>5</v>
      </c>
      <c r="AL1312" s="4">
        <v>10</v>
      </c>
      <c r="AM1312" s="4">
        <v>10</v>
      </c>
      <c r="AN1312" s="4">
        <v>0</v>
      </c>
      <c r="AO1312" s="4">
        <v>0</v>
      </c>
      <c r="AP1312" s="4">
        <v>3</v>
      </c>
      <c r="AQ1312" s="4">
        <v>7</v>
      </c>
      <c r="AR1312" s="3" t="s">
        <v>62</v>
      </c>
      <c r="AS1312" s="3" t="s">
        <v>62</v>
      </c>
      <c r="AT1312" s="3" t="s">
        <v>61</v>
      </c>
      <c r="AU1312" s="6" t="str">
        <f t="shared" si="29"/>
        <v>HathiTrust Record</v>
      </c>
      <c r="AV1312" s="6" t="str">
        <f t="shared" si="30"/>
        <v>Catalog Record</v>
      </c>
      <c r="AW1312" s="6" t="str">
        <f t="shared" si="31"/>
        <v>WorldCat Record</v>
      </c>
      <c r="AX1312" s="3" t="s">
        <v>13237</v>
      </c>
      <c r="AY1312" s="3" t="s">
        <v>13238</v>
      </c>
      <c r="AZ1312" s="3" t="s">
        <v>13239</v>
      </c>
      <c r="BA1312" s="3" t="s">
        <v>13239</v>
      </c>
      <c r="BB1312" s="3" t="s">
        <v>13247</v>
      </c>
      <c r="BC1312" s="3" t="s">
        <v>102</v>
      </c>
      <c r="BD1312" s="3" t="s">
        <v>68</v>
      </c>
      <c r="BE1312" s="3" t="s">
        <v>13241</v>
      </c>
      <c r="BF1312" s="3" t="s">
        <v>13247</v>
      </c>
      <c r="BG1312" s="3" t="s">
        <v>13248</v>
      </c>
    </row>
    <row r="1313" spans="1:59" ht="72.5" x14ac:dyDescent="0.35">
      <c r="A1313" s="2" t="s">
        <v>89</v>
      </c>
      <c r="B1313" s="2" t="s">
        <v>90</v>
      </c>
      <c r="C1313" s="2" t="s">
        <v>13231</v>
      </c>
      <c r="D1313" s="2" t="s">
        <v>13232</v>
      </c>
      <c r="E1313" s="2" t="s">
        <v>13233</v>
      </c>
      <c r="F1313" s="3" t="s">
        <v>2223</v>
      </c>
      <c r="G1313" s="3" t="s">
        <v>61</v>
      </c>
      <c r="I1313" s="3" t="s">
        <v>62</v>
      </c>
      <c r="J1313" s="3" t="s">
        <v>62</v>
      </c>
      <c r="K1313" s="3" t="s">
        <v>63</v>
      </c>
      <c r="L1313" s="2" t="s">
        <v>13234</v>
      </c>
      <c r="M1313" s="2" t="s">
        <v>13235</v>
      </c>
      <c r="N1313" s="3" t="s">
        <v>2975</v>
      </c>
      <c r="P1313" s="3" t="s">
        <v>1881</v>
      </c>
      <c r="R1313" s="3" t="s">
        <v>13065</v>
      </c>
      <c r="S1313" s="4">
        <v>0</v>
      </c>
      <c r="T1313" s="4">
        <v>1</v>
      </c>
      <c r="V1313" s="5" t="s">
        <v>13236</v>
      </c>
      <c r="W1313" s="5" t="s">
        <v>67</v>
      </c>
      <c r="X1313" s="5" t="s">
        <v>67</v>
      </c>
      <c r="Y1313" s="4">
        <v>41</v>
      </c>
      <c r="Z1313" s="4">
        <v>5</v>
      </c>
      <c r="AA1313" s="4">
        <v>10</v>
      </c>
      <c r="AB1313" s="4">
        <v>1</v>
      </c>
      <c r="AC1313" s="4">
        <v>2</v>
      </c>
      <c r="AD1313" s="4">
        <v>14</v>
      </c>
      <c r="AE1313" s="4">
        <v>19</v>
      </c>
      <c r="AF1313" s="4">
        <v>0</v>
      </c>
      <c r="AG1313" s="4">
        <v>0</v>
      </c>
      <c r="AH1313" s="4">
        <v>12</v>
      </c>
      <c r="AI1313" s="4">
        <v>15</v>
      </c>
      <c r="AJ1313" s="4">
        <v>3</v>
      </c>
      <c r="AK1313" s="4">
        <v>5</v>
      </c>
      <c r="AL1313" s="4">
        <v>10</v>
      </c>
      <c r="AM1313" s="4">
        <v>10</v>
      </c>
      <c r="AN1313" s="4">
        <v>0</v>
      </c>
      <c r="AO1313" s="4">
        <v>0</v>
      </c>
      <c r="AP1313" s="4">
        <v>3</v>
      </c>
      <c r="AQ1313" s="4">
        <v>7</v>
      </c>
      <c r="AR1313" s="3" t="s">
        <v>62</v>
      </c>
      <c r="AS1313" s="3" t="s">
        <v>62</v>
      </c>
      <c r="AT1313" s="3" t="s">
        <v>61</v>
      </c>
      <c r="AU1313" s="6" t="str">
        <f t="shared" si="29"/>
        <v>HathiTrust Record</v>
      </c>
      <c r="AV1313" s="6" t="str">
        <f t="shared" si="30"/>
        <v>Catalog Record</v>
      </c>
      <c r="AW1313" s="6" t="str">
        <f t="shared" si="31"/>
        <v>WorldCat Record</v>
      </c>
      <c r="AX1313" s="3" t="s">
        <v>13237</v>
      </c>
      <c r="AY1313" s="3" t="s">
        <v>13238</v>
      </c>
      <c r="AZ1313" s="3" t="s">
        <v>13239</v>
      </c>
      <c r="BA1313" s="3" t="s">
        <v>13239</v>
      </c>
      <c r="BB1313" s="3" t="s">
        <v>13249</v>
      </c>
      <c r="BC1313" s="3" t="s">
        <v>102</v>
      </c>
      <c r="BD1313" s="3" t="s">
        <v>68</v>
      </c>
      <c r="BE1313" s="3" t="s">
        <v>13241</v>
      </c>
      <c r="BF1313" s="3" t="s">
        <v>13249</v>
      </c>
      <c r="BG1313" s="3" t="s">
        <v>13250</v>
      </c>
    </row>
    <row r="1314" spans="1:59" ht="72.5" x14ac:dyDescent="0.35">
      <c r="A1314" s="2" t="s">
        <v>89</v>
      </c>
      <c r="B1314" s="2" t="s">
        <v>90</v>
      </c>
      <c r="C1314" s="2" t="s">
        <v>13231</v>
      </c>
      <c r="D1314" s="2" t="s">
        <v>13232</v>
      </c>
      <c r="E1314" s="2" t="s">
        <v>13233</v>
      </c>
      <c r="F1314" s="3" t="s">
        <v>2248</v>
      </c>
      <c r="G1314" s="3" t="s">
        <v>61</v>
      </c>
      <c r="I1314" s="3" t="s">
        <v>62</v>
      </c>
      <c r="J1314" s="3" t="s">
        <v>62</v>
      </c>
      <c r="K1314" s="3" t="s">
        <v>63</v>
      </c>
      <c r="L1314" s="2" t="s">
        <v>13234</v>
      </c>
      <c r="M1314" s="2" t="s">
        <v>13235</v>
      </c>
      <c r="N1314" s="3" t="s">
        <v>2975</v>
      </c>
      <c r="P1314" s="3" t="s">
        <v>1881</v>
      </c>
      <c r="R1314" s="3" t="s">
        <v>13065</v>
      </c>
      <c r="S1314" s="4">
        <v>0</v>
      </c>
      <c r="T1314" s="4">
        <v>1</v>
      </c>
      <c r="V1314" s="5" t="s">
        <v>13236</v>
      </c>
      <c r="W1314" s="5" t="s">
        <v>67</v>
      </c>
      <c r="X1314" s="5" t="s">
        <v>67</v>
      </c>
      <c r="Y1314" s="4">
        <v>41</v>
      </c>
      <c r="Z1314" s="4">
        <v>5</v>
      </c>
      <c r="AA1314" s="4">
        <v>10</v>
      </c>
      <c r="AB1314" s="4">
        <v>1</v>
      </c>
      <c r="AC1314" s="4">
        <v>2</v>
      </c>
      <c r="AD1314" s="4">
        <v>14</v>
      </c>
      <c r="AE1314" s="4">
        <v>19</v>
      </c>
      <c r="AF1314" s="4">
        <v>0</v>
      </c>
      <c r="AG1314" s="4">
        <v>0</v>
      </c>
      <c r="AH1314" s="4">
        <v>12</v>
      </c>
      <c r="AI1314" s="4">
        <v>15</v>
      </c>
      <c r="AJ1314" s="4">
        <v>3</v>
      </c>
      <c r="AK1314" s="4">
        <v>5</v>
      </c>
      <c r="AL1314" s="4">
        <v>10</v>
      </c>
      <c r="AM1314" s="4">
        <v>10</v>
      </c>
      <c r="AN1314" s="4">
        <v>0</v>
      </c>
      <c r="AO1314" s="4">
        <v>0</v>
      </c>
      <c r="AP1314" s="4">
        <v>3</v>
      </c>
      <c r="AQ1314" s="4">
        <v>7</v>
      </c>
      <c r="AR1314" s="3" t="s">
        <v>62</v>
      </c>
      <c r="AS1314" s="3" t="s">
        <v>62</v>
      </c>
      <c r="AT1314" s="3" t="s">
        <v>61</v>
      </c>
      <c r="AU1314" s="6" t="str">
        <f t="shared" si="29"/>
        <v>HathiTrust Record</v>
      </c>
      <c r="AV1314" s="6" t="str">
        <f t="shared" si="30"/>
        <v>Catalog Record</v>
      </c>
      <c r="AW1314" s="6" t="str">
        <f t="shared" si="31"/>
        <v>WorldCat Record</v>
      </c>
      <c r="AX1314" s="3" t="s">
        <v>13237</v>
      </c>
      <c r="AY1314" s="3" t="s">
        <v>13238</v>
      </c>
      <c r="AZ1314" s="3" t="s">
        <v>13239</v>
      </c>
      <c r="BA1314" s="3" t="s">
        <v>13239</v>
      </c>
      <c r="BB1314" s="3" t="s">
        <v>13251</v>
      </c>
      <c r="BC1314" s="3" t="s">
        <v>102</v>
      </c>
      <c r="BD1314" s="3" t="s">
        <v>68</v>
      </c>
      <c r="BE1314" s="3" t="s">
        <v>13241</v>
      </c>
      <c r="BF1314" s="3" t="s">
        <v>13251</v>
      </c>
      <c r="BG1314" s="3" t="s">
        <v>13252</v>
      </c>
    </row>
    <row r="1315" spans="1:59" ht="72.5" x14ac:dyDescent="0.35">
      <c r="A1315" s="2" t="s">
        <v>89</v>
      </c>
      <c r="B1315" s="2" t="s">
        <v>90</v>
      </c>
      <c r="C1315" s="2" t="s">
        <v>13231</v>
      </c>
      <c r="D1315" s="2" t="s">
        <v>13232</v>
      </c>
      <c r="E1315" s="2" t="s">
        <v>13233</v>
      </c>
      <c r="F1315" s="3" t="s">
        <v>13253</v>
      </c>
      <c r="G1315" s="3" t="s">
        <v>61</v>
      </c>
      <c r="I1315" s="3" t="s">
        <v>62</v>
      </c>
      <c r="J1315" s="3" t="s">
        <v>62</v>
      </c>
      <c r="K1315" s="3" t="s">
        <v>63</v>
      </c>
      <c r="L1315" s="2" t="s">
        <v>13234</v>
      </c>
      <c r="M1315" s="2" t="s">
        <v>13235</v>
      </c>
      <c r="N1315" s="3" t="s">
        <v>2975</v>
      </c>
      <c r="P1315" s="3" t="s">
        <v>1881</v>
      </c>
      <c r="R1315" s="3" t="s">
        <v>13065</v>
      </c>
      <c r="S1315" s="4">
        <v>1</v>
      </c>
      <c r="T1315" s="4">
        <v>1</v>
      </c>
      <c r="U1315" s="5" t="s">
        <v>13236</v>
      </c>
      <c r="V1315" s="5" t="s">
        <v>13236</v>
      </c>
      <c r="W1315" s="5" t="s">
        <v>67</v>
      </c>
      <c r="X1315" s="5" t="s">
        <v>67</v>
      </c>
      <c r="Y1315" s="4">
        <v>41</v>
      </c>
      <c r="Z1315" s="4">
        <v>5</v>
      </c>
      <c r="AA1315" s="4">
        <v>10</v>
      </c>
      <c r="AB1315" s="4">
        <v>1</v>
      </c>
      <c r="AC1315" s="4">
        <v>2</v>
      </c>
      <c r="AD1315" s="4">
        <v>14</v>
      </c>
      <c r="AE1315" s="4">
        <v>19</v>
      </c>
      <c r="AF1315" s="4">
        <v>0</v>
      </c>
      <c r="AG1315" s="4">
        <v>0</v>
      </c>
      <c r="AH1315" s="4">
        <v>12</v>
      </c>
      <c r="AI1315" s="4">
        <v>15</v>
      </c>
      <c r="AJ1315" s="4">
        <v>3</v>
      </c>
      <c r="AK1315" s="4">
        <v>5</v>
      </c>
      <c r="AL1315" s="4">
        <v>10</v>
      </c>
      <c r="AM1315" s="4">
        <v>10</v>
      </c>
      <c r="AN1315" s="4">
        <v>0</v>
      </c>
      <c r="AO1315" s="4">
        <v>0</v>
      </c>
      <c r="AP1315" s="4">
        <v>3</v>
      </c>
      <c r="AQ1315" s="4">
        <v>7</v>
      </c>
      <c r="AR1315" s="3" t="s">
        <v>62</v>
      </c>
      <c r="AS1315" s="3" t="s">
        <v>62</v>
      </c>
      <c r="AT1315" s="3" t="s">
        <v>61</v>
      </c>
      <c r="AU1315" s="6" t="str">
        <f t="shared" si="29"/>
        <v>HathiTrust Record</v>
      </c>
      <c r="AV1315" s="6" t="str">
        <f t="shared" si="30"/>
        <v>Catalog Record</v>
      </c>
      <c r="AW1315" s="6" t="str">
        <f t="shared" si="31"/>
        <v>WorldCat Record</v>
      </c>
      <c r="AX1315" s="3" t="s">
        <v>13237</v>
      </c>
      <c r="AY1315" s="3" t="s">
        <v>13238</v>
      </c>
      <c r="AZ1315" s="3" t="s">
        <v>13239</v>
      </c>
      <c r="BA1315" s="3" t="s">
        <v>13239</v>
      </c>
      <c r="BB1315" s="3" t="s">
        <v>13254</v>
      </c>
      <c r="BC1315" s="3" t="s">
        <v>102</v>
      </c>
      <c r="BD1315" s="3" t="s">
        <v>68</v>
      </c>
      <c r="BE1315" s="3" t="s">
        <v>13241</v>
      </c>
      <c r="BF1315" s="3" t="s">
        <v>13254</v>
      </c>
      <c r="BG1315" s="3" t="s">
        <v>13255</v>
      </c>
    </row>
    <row r="1316" spans="1:59" ht="72.5" x14ac:dyDescent="0.35">
      <c r="A1316" s="2" t="s">
        <v>89</v>
      </c>
      <c r="B1316" s="2" t="s">
        <v>90</v>
      </c>
      <c r="C1316" s="2" t="s">
        <v>13231</v>
      </c>
      <c r="D1316" s="2" t="s">
        <v>13232</v>
      </c>
      <c r="E1316" s="2" t="s">
        <v>13233</v>
      </c>
      <c r="F1316" s="3" t="s">
        <v>2237</v>
      </c>
      <c r="G1316" s="3" t="s">
        <v>61</v>
      </c>
      <c r="I1316" s="3" t="s">
        <v>62</v>
      </c>
      <c r="J1316" s="3" t="s">
        <v>62</v>
      </c>
      <c r="K1316" s="3" t="s">
        <v>63</v>
      </c>
      <c r="L1316" s="2" t="s">
        <v>13234</v>
      </c>
      <c r="M1316" s="2" t="s">
        <v>13235</v>
      </c>
      <c r="N1316" s="3" t="s">
        <v>2975</v>
      </c>
      <c r="P1316" s="3" t="s">
        <v>1881</v>
      </c>
      <c r="R1316" s="3" t="s">
        <v>13065</v>
      </c>
      <c r="S1316" s="4">
        <v>0</v>
      </c>
      <c r="T1316" s="4">
        <v>1</v>
      </c>
      <c r="V1316" s="5" t="s">
        <v>13236</v>
      </c>
      <c r="W1316" s="5" t="s">
        <v>67</v>
      </c>
      <c r="X1316" s="5" t="s">
        <v>67</v>
      </c>
      <c r="Y1316" s="4">
        <v>41</v>
      </c>
      <c r="Z1316" s="4">
        <v>5</v>
      </c>
      <c r="AA1316" s="4">
        <v>10</v>
      </c>
      <c r="AB1316" s="4">
        <v>1</v>
      </c>
      <c r="AC1316" s="4">
        <v>2</v>
      </c>
      <c r="AD1316" s="4">
        <v>14</v>
      </c>
      <c r="AE1316" s="4">
        <v>19</v>
      </c>
      <c r="AF1316" s="4">
        <v>0</v>
      </c>
      <c r="AG1316" s="4">
        <v>0</v>
      </c>
      <c r="AH1316" s="4">
        <v>12</v>
      </c>
      <c r="AI1316" s="4">
        <v>15</v>
      </c>
      <c r="AJ1316" s="4">
        <v>3</v>
      </c>
      <c r="AK1316" s="4">
        <v>5</v>
      </c>
      <c r="AL1316" s="4">
        <v>10</v>
      </c>
      <c r="AM1316" s="4">
        <v>10</v>
      </c>
      <c r="AN1316" s="4">
        <v>0</v>
      </c>
      <c r="AO1316" s="4">
        <v>0</v>
      </c>
      <c r="AP1316" s="4">
        <v>3</v>
      </c>
      <c r="AQ1316" s="4">
        <v>7</v>
      </c>
      <c r="AR1316" s="3" t="s">
        <v>62</v>
      </c>
      <c r="AS1316" s="3" t="s">
        <v>62</v>
      </c>
      <c r="AT1316" s="3" t="s">
        <v>61</v>
      </c>
      <c r="AU1316" s="6" t="str">
        <f t="shared" si="29"/>
        <v>HathiTrust Record</v>
      </c>
      <c r="AV1316" s="6" t="str">
        <f t="shared" si="30"/>
        <v>Catalog Record</v>
      </c>
      <c r="AW1316" s="6" t="str">
        <f t="shared" si="31"/>
        <v>WorldCat Record</v>
      </c>
      <c r="AX1316" s="3" t="s">
        <v>13237</v>
      </c>
      <c r="AY1316" s="3" t="s">
        <v>13238</v>
      </c>
      <c r="AZ1316" s="3" t="s">
        <v>13239</v>
      </c>
      <c r="BA1316" s="3" t="s">
        <v>13239</v>
      </c>
      <c r="BB1316" s="3" t="s">
        <v>13256</v>
      </c>
      <c r="BC1316" s="3" t="s">
        <v>102</v>
      </c>
      <c r="BD1316" s="3" t="s">
        <v>68</v>
      </c>
      <c r="BE1316" s="3" t="s">
        <v>13241</v>
      </c>
      <c r="BF1316" s="3" t="s">
        <v>13256</v>
      </c>
      <c r="BG1316" s="3" t="s">
        <v>13257</v>
      </c>
    </row>
    <row r="1317" spans="1:59" ht="72.5" x14ac:dyDescent="0.35">
      <c r="A1317" s="2" t="s">
        <v>89</v>
      </c>
      <c r="B1317" s="2" t="s">
        <v>90</v>
      </c>
      <c r="C1317" s="2" t="s">
        <v>13231</v>
      </c>
      <c r="D1317" s="2" t="s">
        <v>13232</v>
      </c>
      <c r="E1317" s="2" t="s">
        <v>13233</v>
      </c>
      <c r="F1317" s="3" t="s">
        <v>2214</v>
      </c>
      <c r="G1317" s="3" t="s">
        <v>61</v>
      </c>
      <c r="I1317" s="3" t="s">
        <v>62</v>
      </c>
      <c r="J1317" s="3" t="s">
        <v>62</v>
      </c>
      <c r="K1317" s="3" t="s">
        <v>63</v>
      </c>
      <c r="L1317" s="2" t="s">
        <v>13234</v>
      </c>
      <c r="M1317" s="2" t="s">
        <v>13235</v>
      </c>
      <c r="N1317" s="3" t="s">
        <v>2975</v>
      </c>
      <c r="P1317" s="3" t="s">
        <v>1881</v>
      </c>
      <c r="R1317" s="3" t="s">
        <v>13065</v>
      </c>
      <c r="S1317" s="4">
        <v>0</v>
      </c>
      <c r="T1317" s="4">
        <v>1</v>
      </c>
      <c r="V1317" s="5" t="s">
        <v>13236</v>
      </c>
      <c r="W1317" s="5" t="s">
        <v>67</v>
      </c>
      <c r="X1317" s="5" t="s">
        <v>67</v>
      </c>
      <c r="Y1317" s="4">
        <v>41</v>
      </c>
      <c r="Z1317" s="4">
        <v>5</v>
      </c>
      <c r="AA1317" s="4">
        <v>10</v>
      </c>
      <c r="AB1317" s="4">
        <v>1</v>
      </c>
      <c r="AC1317" s="4">
        <v>2</v>
      </c>
      <c r="AD1317" s="4">
        <v>14</v>
      </c>
      <c r="AE1317" s="4">
        <v>19</v>
      </c>
      <c r="AF1317" s="4">
        <v>0</v>
      </c>
      <c r="AG1317" s="4">
        <v>0</v>
      </c>
      <c r="AH1317" s="4">
        <v>12</v>
      </c>
      <c r="AI1317" s="4">
        <v>15</v>
      </c>
      <c r="AJ1317" s="4">
        <v>3</v>
      </c>
      <c r="AK1317" s="4">
        <v>5</v>
      </c>
      <c r="AL1317" s="4">
        <v>10</v>
      </c>
      <c r="AM1317" s="4">
        <v>10</v>
      </c>
      <c r="AN1317" s="4">
        <v>0</v>
      </c>
      <c r="AO1317" s="4">
        <v>0</v>
      </c>
      <c r="AP1317" s="4">
        <v>3</v>
      </c>
      <c r="AQ1317" s="4">
        <v>7</v>
      </c>
      <c r="AR1317" s="3" t="s">
        <v>62</v>
      </c>
      <c r="AS1317" s="3" t="s">
        <v>62</v>
      </c>
      <c r="AT1317" s="3" t="s">
        <v>61</v>
      </c>
      <c r="AU1317" s="6" t="str">
        <f t="shared" si="29"/>
        <v>HathiTrust Record</v>
      </c>
      <c r="AV1317" s="6" t="str">
        <f t="shared" si="30"/>
        <v>Catalog Record</v>
      </c>
      <c r="AW1317" s="6" t="str">
        <f t="shared" si="31"/>
        <v>WorldCat Record</v>
      </c>
      <c r="AX1317" s="3" t="s">
        <v>13237</v>
      </c>
      <c r="AY1317" s="3" t="s">
        <v>13238</v>
      </c>
      <c r="AZ1317" s="3" t="s">
        <v>13239</v>
      </c>
      <c r="BA1317" s="3" t="s">
        <v>13239</v>
      </c>
      <c r="BB1317" s="3" t="s">
        <v>13258</v>
      </c>
      <c r="BC1317" s="3" t="s">
        <v>102</v>
      </c>
      <c r="BD1317" s="3" t="s">
        <v>68</v>
      </c>
      <c r="BE1317" s="3" t="s">
        <v>13241</v>
      </c>
      <c r="BF1317" s="3" t="s">
        <v>13258</v>
      </c>
      <c r="BG1317" s="3" t="s">
        <v>13259</v>
      </c>
    </row>
    <row r="1318" spans="1:59" ht="58" x14ac:dyDescent="0.35">
      <c r="A1318" s="2" t="s">
        <v>89</v>
      </c>
      <c r="B1318" s="2" t="s">
        <v>90</v>
      </c>
      <c r="C1318" s="2" t="s">
        <v>13260</v>
      </c>
      <c r="D1318" s="2" t="s">
        <v>13261</v>
      </c>
      <c r="E1318" s="2" t="s">
        <v>13262</v>
      </c>
      <c r="F1318" s="3" t="s">
        <v>1413</v>
      </c>
      <c r="G1318" s="3" t="s">
        <v>61</v>
      </c>
      <c r="I1318" s="3" t="s">
        <v>62</v>
      </c>
      <c r="J1318" s="3" t="s">
        <v>62</v>
      </c>
      <c r="K1318" s="3" t="s">
        <v>63</v>
      </c>
      <c r="L1318" s="2" t="s">
        <v>13263</v>
      </c>
      <c r="M1318" s="2" t="s">
        <v>13264</v>
      </c>
      <c r="N1318" s="3" t="s">
        <v>13197</v>
      </c>
      <c r="P1318" s="3" t="s">
        <v>1881</v>
      </c>
      <c r="R1318" s="3" t="s">
        <v>13065</v>
      </c>
      <c r="S1318" s="4">
        <v>2</v>
      </c>
      <c r="T1318" s="4">
        <v>7</v>
      </c>
      <c r="U1318" s="5" t="s">
        <v>7368</v>
      </c>
      <c r="V1318" s="5" t="s">
        <v>7368</v>
      </c>
      <c r="W1318" s="5" t="s">
        <v>67</v>
      </c>
      <c r="X1318" s="5" t="s">
        <v>67</v>
      </c>
      <c r="Y1318" s="4">
        <v>97</v>
      </c>
      <c r="Z1318" s="4">
        <v>4</v>
      </c>
      <c r="AA1318" s="4">
        <v>7</v>
      </c>
      <c r="AB1318" s="4">
        <v>1</v>
      </c>
      <c r="AC1318" s="4">
        <v>1</v>
      </c>
      <c r="AD1318" s="4">
        <v>48</v>
      </c>
      <c r="AE1318" s="4">
        <v>72</v>
      </c>
      <c r="AF1318" s="4">
        <v>0</v>
      </c>
      <c r="AG1318" s="4">
        <v>0</v>
      </c>
      <c r="AH1318" s="4">
        <v>45</v>
      </c>
      <c r="AI1318" s="4">
        <v>69</v>
      </c>
      <c r="AJ1318" s="4">
        <v>3</v>
      </c>
      <c r="AK1318" s="4">
        <v>5</v>
      </c>
      <c r="AL1318" s="4">
        <v>32</v>
      </c>
      <c r="AM1318" s="4">
        <v>47</v>
      </c>
      <c r="AN1318" s="4">
        <v>0</v>
      </c>
      <c r="AO1318" s="4">
        <v>0</v>
      </c>
      <c r="AP1318" s="4">
        <v>3</v>
      </c>
      <c r="AQ1318" s="4">
        <v>5</v>
      </c>
      <c r="AR1318" s="3" t="s">
        <v>62</v>
      </c>
      <c r="AS1318" s="3" t="s">
        <v>62</v>
      </c>
      <c r="AT1318" s="3" t="s">
        <v>61</v>
      </c>
      <c r="AU1318" s="6" t="str">
        <f>HYPERLINK("http://catalog.hathitrust.org/Record/000169187","HathiTrust Record")</f>
        <v>HathiTrust Record</v>
      </c>
      <c r="AV1318" s="6" t="str">
        <f>HYPERLINK("http://mcgill.on.worldcat.org/oclc/1194040","Catalog Record")</f>
        <v>Catalog Record</v>
      </c>
      <c r="AW1318" s="6" t="str">
        <f>HYPERLINK("http://www.worldcat.org/oclc/1194040","WorldCat Record")</f>
        <v>WorldCat Record</v>
      </c>
      <c r="AX1318" s="3" t="s">
        <v>13265</v>
      </c>
      <c r="AY1318" s="3" t="s">
        <v>13266</v>
      </c>
      <c r="AZ1318" s="3" t="s">
        <v>13267</v>
      </c>
      <c r="BA1318" s="3" t="s">
        <v>13267</v>
      </c>
      <c r="BB1318" s="3" t="s">
        <v>13268</v>
      </c>
      <c r="BC1318" s="3" t="s">
        <v>102</v>
      </c>
      <c r="BD1318" s="3" t="s">
        <v>68</v>
      </c>
      <c r="BF1318" s="3" t="s">
        <v>13268</v>
      </c>
      <c r="BG1318" s="3" t="s">
        <v>13269</v>
      </c>
    </row>
    <row r="1319" spans="1:59" ht="58" x14ac:dyDescent="0.35">
      <c r="A1319" s="2" t="s">
        <v>89</v>
      </c>
      <c r="B1319" s="2" t="s">
        <v>90</v>
      </c>
      <c r="C1319" s="2" t="s">
        <v>13260</v>
      </c>
      <c r="D1319" s="2" t="s">
        <v>13261</v>
      </c>
      <c r="E1319" s="2" t="s">
        <v>13262</v>
      </c>
      <c r="F1319" s="3" t="s">
        <v>1416</v>
      </c>
      <c r="G1319" s="3" t="s">
        <v>61</v>
      </c>
      <c r="I1319" s="3" t="s">
        <v>62</v>
      </c>
      <c r="J1319" s="3" t="s">
        <v>62</v>
      </c>
      <c r="K1319" s="3" t="s">
        <v>63</v>
      </c>
      <c r="L1319" s="2" t="s">
        <v>13263</v>
      </c>
      <c r="M1319" s="2" t="s">
        <v>13264</v>
      </c>
      <c r="N1319" s="3" t="s">
        <v>13197</v>
      </c>
      <c r="P1319" s="3" t="s">
        <v>1881</v>
      </c>
      <c r="R1319" s="3" t="s">
        <v>13065</v>
      </c>
      <c r="S1319" s="4">
        <v>5</v>
      </c>
      <c r="T1319" s="4">
        <v>7</v>
      </c>
      <c r="U1319" s="5" t="s">
        <v>7368</v>
      </c>
      <c r="V1319" s="5" t="s">
        <v>7368</v>
      </c>
      <c r="W1319" s="5" t="s">
        <v>67</v>
      </c>
      <c r="X1319" s="5" t="s">
        <v>67</v>
      </c>
      <c r="Y1319" s="4">
        <v>97</v>
      </c>
      <c r="Z1319" s="4">
        <v>4</v>
      </c>
      <c r="AA1319" s="4">
        <v>7</v>
      </c>
      <c r="AB1319" s="4">
        <v>1</v>
      </c>
      <c r="AC1319" s="4">
        <v>1</v>
      </c>
      <c r="AD1319" s="4">
        <v>48</v>
      </c>
      <c r="AE1319" s="4">
        <v>72</v>
      </c>
      <c r="AF1319" s="4">
        <v>0</v>
      </c>
      <c r="AG1319" s="4">
        <v>0</v>
      </c>
      <c r="AH1319" s="4">
        <v>45</v>
      </c>
      <c r="AI1319" s="4">
        <v>69</v>
      </c>
      <c r="AJ1319" s="4">
        <v>3</v>
      </c>
      <c r="AK1319" s="4">
        <v>5</v>
      </c>
      <c r="AL1319" s="4">
        <v>32</v>
      </c>
      <c r="AM1319" s="4">
        <v>47</v>
      </c>
      <c r="AN1319" s="4">
        <v>0</v>
      </c>
      <c r="AO1319" s="4">
        <v>0</v>
      </c>
      <c r="AP1319" s="4">
        <v>3</v>
      </c>
      <c r="AQ1319" s="4">
        <v>5</v>
      </c>
      <c r="AR1319" s="3" t="s">
        <v>62</v>
      </c>
      <c r="AS1319" s="3" t="s">
        <v>62</v>
      </c>
      <c r="AT1319" s="3" t="s">
        <v>61</v>
      </c>
      <c r="AU1319" s="6" t="str">
        <f>HYPERLINK("http://catalog.hathitrust.org/Record/000169187","HathiTrust Record")</f>
        <v>HathiTrust Record</v>
      </c>
      <c r="AV1319" s="6" t="str">
        <f>HYPERLINK("http://mcgill.on.worldcat.org/oclc/1194040","Catalog Record")</f>
        <v>Catalog Record</v>
      </c>
      <c r="AW1319" s="6" t="str">
        <f>HYPERLINK("http://www.worldcat.org/oclc/1194040","WorldCat Record")</f>
        <v>WorldCat Record</v>
      </c>
      <c r="AX1319" s="3" t="s">
        <v>13265</v>
      </c>
      <c r="AY1319" s="3" t="s">
        <v>13266</v>
      </c>
      <c r="AZ1319" s="3" t="s">
        <v>13267</v>
      </c>
      <c r="BA1319" s="3" t="s">
        <v>13267</v>
      </c>
      <c r="BB1319" s="3" t="s">
        <v>13270</v>
      </c>
      <c r="BC1319" s="3" t="s">
        <v>102</v>
      </c>
      <c r="BD1319" s="3" t="s">
        <v>68</v>
      </c>
      <c r="BF1319" s="3" t="s">
        <v>13270</v>
      </c>
      <c r="BG1319" s="3" t="s">
        <v>13271</v>
      </c>
    </row>
    <row r="1320" spans="1:59" ht="72.5" x14ac:dyDescent="0.35">
      <c r="A1320" s="2" t="s">
        <v>89</v>
      </c>
      <c r="B1320" s="2" t="s">
        <v>90</v>
      </c>
      <c r="C1320" s="2" t="s">
        <v>13272</v>
      </c>
      <c r="D1320" s="2" t="s">
        <v>13273</v>
      </c>
      <c r="E1320" s="2" t="s">
        <v>13274</v>
      </c>
      <c r="F1320" s="3" t="s">
        <v>13275</v>
      </c>
      <c r="G1320" s="3" t="s">
        <v>62</v>
      </c>
      <c r="I1320" s="3" t="s">
        <v>62</v>
      </c>
      <c r="J1320" s="3" t="s">
        <v>62</v>
      </c>
      <c r="K1320" s="3" t="s">
        <v>63</v>
      </c>
      <c r="L1320" s="2" t="s">
        <v>13276</v>
      </c>
      <c r="M1320" s="2" t="s">
        <v>13277</v>
      </c>
      <c r="N1320" s="3" t="s">
        <v>795</v>
      </c>
      <c r="P1320" s="3" t="s">
        <v>64</v>
      </c>
      <c r="Q1320" s="2" t="s">
        <v>13278</v>
      </c>
      <c r="R1320" s="3" t="s">
        <v>13065</v>
      </c>
      <c r="S1320" s="4">
        <v>7</v>
      </c>
      <c r="T1320" s="4">
        <v>7</v>
      </c>
      <c r="U1320" s="5" t="s">
        <v>2050</v>
      </c>
      <c r="V1320" s="5" t="s">
        <v>2050</v>
      </c>
      <c r="W1320" s="5" t="s">
        <v>67</v>
      </c>
      <c r="X1320" s="5" t="s">
        <v>67</v>
      </c>
      <c r="Y1320" s="4">
        <v>575</v>
      </c>
      <c r="Z1320" s="4">
        <v>30</v>
      </c>
      <c r="AA1320" s="4">
        <v>42</v>
      </c>
      <c r="AB1320" s="4">
        <v>2</v>
      </c>
      <c r="AC1320" s="4">
        <v>10</v>
      </c>
      <c r="AD1320" s="4">
        <v>126</v>
      </c>
      <c r="AE1320" s="4">
        <v>134</v>
      </c>
      <c r="AF1320" s="4">
        <v>0</v>
      </c>
      <c r="AG1320" s="4">
        <v>6</v>
      </c>
      <c r="AH1320" s="4">
        <v>109</v>
      </c>
      <c r="AI1320" s="4">
        <v>110</v>
      </c>
      <c r="AJ1320" s="4">
        <v>19</v>
      </c>
      <c r="AK1320" s="4">
        <v>26</v>
      </c>
      <c r="AL1320" s="4">
        <v>59</v>
      </c>
      <c r="AM1320" s="4">
        <v>59</v>
      </c>
      <c r="AN1320" s="4">
        <v>0</v>
      </c>
      <c r="AO1320" s="4">
        <v>0</v>
      </c>
      <c r="AP1320" s="4">
        <v>24</v>
      </c>
      <c r="AQ1320" s="4">
        <v>31</v>
      </c>
      <c r="AR1320" s="3" t="s">
        <v>62</v>
      </c>
      <c r="AS1320" s="3" t="s">
        <v>62</v>
      </c>
      <c r="AT1320" s="3" t="s">
        <v>61</v>
      </c>
      <c r="AU1320" s="6" t="str">
        <f>HYPERLINK("http://catalog.hathitrust.org/Record/000579867","HathiTrust Record")</f>
        <v>HathiTrust Record</v>
      </c>
      <c r="AV1320" s="6" t="str">
        <f>HYPERLINK("http://mcgill.on.worldcat.org/oclc/847696","Catalog Record")</f>
        <v>Catalog Record</v>
      </c>
      <c r="AW1320" s="6" t="str">
        <f>HYPERLINK("http://www.worldcat.org/oclc/847696","WorldCat Record")</f>
        <v>WorldCat Record</v>
      </c>
      <c r="AX1320" s="3" t="s">
        <v>13279</v>
      </c>
      <c r="AY1320" s="3" t="s">
        <v>13280</v>
      </c>
      <c r="AZ1320" s="3" t="s">
        <v>13281</v>
      </c>
      <c r="BA1320" s="3" t="s">
        <v>13281</v>
      </c>
      <c r="BB1320" s="3" t="s">
        <v>13282</v>
      </c>
      <c r="BC1320" s="3" t="s">
        <v>102</v>
      </c>
      <c r="BD1320" s="3" t="s">
        <v>231</v>
      </c>
      <c r="BE1320" s="3" t="s">
        <v>13283</v>
      </c>
      <c r="BF1320" s="3" t="s">
        <v>13282</v>
      </c>
      <c r="BG1320" s="3" t="s">
        <v>13284</v>
      </c>
    </row>
    <row r="1321" spans="1:59" ht="58" x14ac:dyDescent="0.35">
      <c r="A1321" s="2" t="s">
        <v>89</v>
      </c>
      <c r="B1321" s="2" t="s">
        <v>90</v>
      </c>
      <c r="C1321" s="2" t="s">
        <v>13285</v>
      </c>
      <c r="D1321" s="2" t="s">
        <v>13286</v>
      </c>
      <c r="E1321" s="2" t="s">
        <v>13287</v>
      </c>
      <c r="F1321" s="3" t="s">
        <v>1413</v>
      </c>
      <c r="G1321" s="3" t="s">
        <v>61</v>
      </c>
      <c r="I1321" s="3" t="s">
        <v>62</v>
      </c>
      <c r="J1321" s="3" t="s">
        <v>62</v>
      </c>
      <c r="K1321" s="3" t="s">
        <v>63</v>
      </c>
      <c r="L1321" s="2" t="s">
        <v>13288</v>
      </c>
      <c r="M1321" s="2" t="s">
        <v>13289</v>
      </c>
      <c r="N1321" s="3" t="s">
        <v>6410</v>
      </c>
      <c r="P1321" s="3" t="s">
        <v>64</v>
      </c>
      <c r="R1321" s="3" t="s">
        <v>13065</v>
      </c>
      <c r="S1321" s="4">
        <v>3</v>
      </c>
      <c r="T1321" s="4">
        <v>4</v>
      </c>
      <c r="U1321" s="5" t="s">
        <v>13290</v>
      </c>
      <c r="V1321" s="5" t="s">
        <v>13290</v>
      </c>
      <c r="W1321" s="5" t="s">
        <v>67</v>
      </c>
      <c r="X1321" s="5" t="s">
        <v>67</v>
      </c>
      <c r="Y1321" s="4">
        <v>259</v>
      </c>
      <c r="Z1321" s="4">
        <v>14</v>
      </c>
      <c r="AA1321" s="4">
        <v>26</v>
      </c>
      <c r="AB1321" s="4">
        <v>1</v>
      </c>
      <c r="AC1321" s="4">
        <v>3</v>
      </c>
      <c r="AD1321" s="4">
        <v>89</v>
      </c>
      <c r="AE1321" s="4">
        <v>117</v>
      </c>
      <c r="AF1321" s="4">
        <v>0</v>
      </c>
      <c r="AG1321" s="4">
        <v>2</v>
      </c>
      <c r="AH1321" s="4">
        <v>83</v>
      </c>
      <c r="AI1321" s="4">
        <v>103</v>
      </c>
      <c r="AJ1321" s="4">
        <v>9</v>
      </c>
      <c r="AK1321" s="4">
        <v>18</v>
      </c>
      <c r="AL1321" s="4">
        <v>47</v>
      </c>
      <c r="AM1321" s="4">
        <v>58</v>
      </c>
      <c r="AN1321" s="4">
        <v>0</v>
      </c>
      <c r="AO1321" s="4">
        <v>0</v>
      </c>
      <c r="AP1321" s="4">
        <v>12</v>
      </c>
      <c r="AQ1321" s="4">
        <v>22</v>
      </c>
      <c r="AR1321" s="3" t="s">
        <v>62</v>
      </c>
      <c r="AS1321" s="3" t="s">
        <v>61</v>
      </c>
      <c r="AT1321" s="3" t="s">
        <v>61</v>
      </c>
      <c r="AU1321" s="6" t="str">
        <f>HYPERLINK("http://catalog.hathitrust.org/Record/000663964","HathiTrust Record")</f>
        <v>HathiTrust Record</v>
      </c>
      <c r="AV1321" s="6" t="str">
        <f>HYPERLINK("http://mcgill.on.worldcat.org/oclc/1024875","Catalog Record")</f>
        <v>Catalog Record</v>
      </c>
      <c r="AW1321" s="6" t="str">
        <f>HYPERLINK("http://www.worldcat.org/oclc/1024875","WorldCat Record")</f>
        <v>WorldCat Record</v>
      </c>
      <c r="AX1321" s="3" t="s">
        <v>13291</v>
      </c>
      <c r="AY1321" s="3" t="s">
        <v>13292</v>
      </c>
      <c r="AZ1321" s="3" t="s">
        <v>13293</v>
      </c>
      <c r="BA1321" s="3" t="s">
        <v>13293</v>
      </c>
      <c r="BB1321" s="3" t="s">
        <v>13294</v>
      </c>
      <c r="BC1321" s="3" t="s">
        <v>102</v>
      </c>
      <c r="BD1321" s="3" t="s">
        <v>68</v>
      </c>
      <c r="BF1321" s="3" t="s">
        <v>13294</v>
      </c>
      <c r="BG1321" s="3" t="s">
        <v>13295</v>
      </c>
    </row>
    <row r="1322" spans="1:59" ht="58" x14ac:dyDescent="0.35">
      <c r="A1322" s="2" t="s">
        <v>89</v>
      </c>
      <c r="B1322" s="2" t="s">
        <v>90</v>
      </c>
      <c r="C1322" s="2" t="s">
        <v>13285</v>
      </c>
      <c r="D1322" s="2" t="s">
        <v>13286</v>
      </c>
      <c r="E1322" s="2" t="s">
        <v>13287</v>
      </c>
      <c r="F1322" s="3" t="s">
        <v>1416</v>
      </c>
      <c r="G1322" s="3" t="s">
        <v>61</v>
      </c>
      <c r="I1322" s="3" t="s">
        <v>62</v>
      </c>
      <c r="J1322" s="3" t="s">
        <v>62</v>
      </c>
      <c r="K1322" s="3" t="s">
        <v>63</v>
      </c>
      <c r="L1322" s="2" t="s">
        <v>13288</v>
      </c>
      <c r="M1322" s="2" t="s">
        <v>13289</v>
      </c>
      <c r="N1322" s="3" t="s">
        <v>6410</v>
      </c>
      <c r="P1322" s="3" t="s">
        <v>64</v>
      </c>
      <c r="R1322" s="3" t="s">
        <v>13065</v>
      </c>
      <c r="S1322" s="4">
        <v>1</v>
      </c>
      <c r="T1322" s="4">
        <v>4</v>
      </c>
      <c r="U1322" s="5" t="s">
        <v>13296</v>
      </c>
      <c r="V1322" s="5" t="s">
        <v>13290</v>
      </c>
      <c r="W1322" s="5" t="s">
        <v>67</v>
      </c>
      <c r="X1322" s="5" t="s">
        <v>67</v>
      </c>
      <c r="Y1322" s="4">
        <v>259</v>
      </c>
      <c r="Z1322" s="4">
        <v>14</v>
      </c>
      <c r="AA1322" s="4">
        <v>26</v>
      </c>
      <c r="AB1322" s="4">
        <v>1</v>
      </c>
      <c r="AC1322" s="4">
        <v>3</v>
      </c>
      <c r="AD1322" s="4">
        <v>89</v>
      </c>
      <c r="AE1322" s="4">
        <v>117</v>
      </c>
      <c r="AF1322" s="4">
        <v>0</v>
      </c>
      <c r="AG1322" s="4">
        <v>2</v>
      </c>
      <c r="AH1322" s="4">
        <v>83</v>
      </c>
      <c r="AI1322" s="4">
        <v>103</v>
      </c>
      <c r="AJ1322" s="4">
        <v>9</v>
      </c>
      <c r="AK1322" s="4">
        <v>18</v>
      </c>
      <c r="AL1322" s="4">
        <v>47</v>
      </c>
      <c r="AM1322" s="4">
        <v>58</v>
      </c>
      <c r="AN1322" s="4">
        <v>0</v>
      </c>
      <c r="AO1322" s="4">
        <v>0</v>
      </c>
      <c r="AP1322" s="4">
        <v>12</v>
      </c>
      <c r="AQ1322" s="4">
        <v>22</v>
      </c>
      <c r="AR1322" s="3" t="s">
        <v>62</v>
      </c>
      <c r="AS1322" s="3" t="s">
        <v>61</v>
      </c>
      <c r="AT1322" s="3" t="s">
        <v>61</v>
      </c>
      <c r="AU1322" s="6" t="str">
        <f>HYPERLINK("http://catalog.hathitrust.org/Record/000663964","HathiTrust Record")</f>
        <v>HathiTrust Record</v>
      </c>
      <c r="AV1322" s="6" t="str">
        <f>HYPERLINK("http://mcgill.on.worldcat.org/oclc/1024875","Catalog Record")</f>
        <v>Catalog Record</v>
      </c>
      <c r="AW1322" s="6" t="str">
        <f>HYPERLINK("http://www.worldcat.org/oclc/1024875","WorldCat Record")</f>
        <v>WorldCat Record</v>
      </c>
      <c r="AX1322" s="3" t="s">
        <v>13291</v>
      </c>
      <c r="AY1322" s="3" t="s">
        <v>13292</v>
      </c>
      <c r="AZ1322" s="3" t="s">
        <v>13293</v>
      </c>
      <c r="BA1322" s="3" t="s">
        <v>13293</v>
      </c>
      <c r="BB1322" s="3" t="s">
        <v>13297</v>
      </c>
      <c r="BC1322" s="3" t="s">
        <v>102</v>
      </c>
      <c r="BD1322" s="3" t="s">
        <v>68</v>
      </c>
      <c r="BF1322" s="3" t="s">
        <v>13297</v>
      </c>
      <c r="BG1322" s="3" t="s">
        <v>13298</v>
      </c>
    </row>
    <row r="1323" spans="1:59" ht="58" x14ac:dyDescent="0.35">
      <c r="A1323" s="2" t="s">
        <v>89</v>
      </c>
      <c r="B1323" s="2" t="s">
        <v>90</v>
      </c>
      <c r="C1323" s="2" t="s">
        <v>13299</v>
      </c>
      <c r="D1323" s="2" t="s">
        <v>13300</v>
      </c>
      <c r="E1323" s="2" t="s">
        <v>13301</v>
      </c>
      <c r="G1323" s="3" t="s">
        <v>62</v>
      </c>
      <c r="I1323" s="3" t="s">
        <v>62</v>
      </c>
      <c r="J1323" s="3" t="s">
        <v>62</v>
      </c>
      <c r="K1323" s="3" t="s">
        <v>63</v>
      </c>
      <c r="L1323" s="2" t="s">
        <v>13302</v>
      </c>
      <c r="M1323" s="2" t="s">
        <v>13303</v>
      </c>
      <c r="N1323" s="3" t="s">
        <v>1662</v>
      </c>
      <c r="P1323" s="3" t="s">
        <v>85</v>
      </c>
      <c r="Q1323" s="2" t="s">
        <v>13304</v>
      </c>
      <c r="R1323" s="3" t="s">
        <v>13065</v>
      </c>
      <c r="S1323" s="4">
        <v>2</v>
      </c>
      <c r="T1323" s="4">
        <v>2</v>
      </c>
      <c r="U1323" s="5" t="s">
        <v>10647</v>
      </c>
      <c r="V1323" s="5" t="s">
        <v>10647</v>
      </c>
      <c r="W1323" s="5" t="s">
        <v>67</v>
      </c>
      <c r="X1323" s="5" t="s">
        <v>67</v>
      </c>
      <c r="Y1323" s="4">
        <v>9</v>
      </c>
      <c r="Z1323" s="4">
        <v>4</v>
      </c>
      <c r="AA1323" s="4">
        <v>10</v>
      </c>
      <c r="AB1323" s="4">
        <v>1</v>
      </c>
      <c r="AC1323" s="4">
        <v>1</v>
      </c>
      <c r="AD1323" s="4">
        <v>6</v>
      </c>
      <c r="AE1323" s="4">
        <v>61</v>
      </c>
      <c r="AF1323" s="4">
        <v>0</v>
      </c>
      <c r="AG1323" s="4">
        <v>0</v>
      </c>
      <c r="AH1323" s="4">
        <v>5</v>
      </c>
      <c r="AI1323" s="4">
        <v>58</v>
      </c>
      <c r="AJ1323" s="4">
        <v>3</v>
      </c>
      <c r="AK1323" s="4">
        <v>8</v>
      </c>
      <c r="AL1323" s="4">
        <v>0</v>
      </c>
      <c r="AM1323" s="4">
        <v>44</v>
      </c>
      <c r="AN1323" s="4">
        <v>0</v>
      </c>
      <c r="AO1323" s="4">
        <v>0</v>
      </c>
      <c r="AP1323" s="4">
        <v>3</v>
      </c>
      <c r="AQ1323" s="4">
        <v>8</v>
      </c>
      <c r="AR1323" s="3" t="s">
        <v>62</v>
      </c>
      <c r="AS1323" s="3" t="s">
        <v>62</v>
      </c>
      <c r="AT1323" s="3" t="s">
        <v>62</v>
      </c>
      <c r="AV1323" s="6" t="str">
        <f>HYPERLINK("http://mcgill.on.worldcat.org/oclc/427562982","Catalog Record")</f>
        <v>Catalog Record</v>
      </c>
      <c r="AW1323" s="6" t="str">
        <f>HYPERLINK("http://www.worldcat.org/oclc/427562982","WorldCat Record")</f>
        <v>WorldCat Record</v>
      </c>
      <c r="AX1323" s="3" t="s">
        <v>13305</v>
      </c>
      <c r="AY1323" s="3" t="s">
        <v>13306</v>
      </c>
      <c r="AZ1323" s="3" t="s">
        <v>13307</v>
      </c>
      <c r="BA1323" s="3" t="s">
        <v>13307</v>
      </c>
      <c r="BB1323" s="3" t="s">
        <v>13308</v>
      </c>
      <c r="BC1323" s="3" t="s">
        <v>102</v>
      </c>
      <c r="BD1323" s="3" t="s">
        <v>68</v>
      </c>
      <c r="BF1323" s="3" t="s">
        <v>13308</v>
      </c>
      <c r="BG1323" s="3" t="s">
        <v>13309</v>
      </c>
    </row>
    <row r="1324" spans="1:59" ht="58" x14ac:dyDescent="0.35">
      <c r="A1324" s="2" t="s">
        <v>89</v>
      </c>
      <c r="B1324" s="2" t="s">
        <v>90</v>
      </c>
      <c r="C1324" s="2" t="s">
        <v>13310</v>
      </c>
      <c r="D1324" s="2" t="s">
        <v>13311</v>
      </c>
      <c r="E1324" s="2" t="s">
        <v>13312</v>
      </c>
      <c r="G1324" s="3" t="s">
        <v>62</v>
      </c>
      <c r="I1324" s="3" t="s">
        <v>62</v>
      </c>
      <c r="J1324" s="3" t="s">
        <v>62</v>
      </c>
      <c r="K1324" s="3" t="s">
        <v>63</v>
      </c>
      <c r="L1324" s="2" t="s">
        <v>13313</v>
      </c>
      <c r="M1324" s="2" t="s">
        <v>13314</v>
      </c>
      <c r="N1324" s="3" t="s">
        <v>838</v>
      </c>
      <c r="O1324" s="2" t="s">
        <v>13315</v>
      </c>
      <c r="P1324" s="3" t="s">
        <v>1881</v>
      </c>
      <c r="R1324" s="3" t="s">
        <v>13065</v>
      </c>
      <c r="S1324" s="4">
        <v>10</v>
      </c>
      <c r="T1324" s="4">
        <v>10</v>
      </c>
      <c r="U1324" s="5" t="s">
        <v>13316</v>
      </c>
      <c r="V1324" s="5" t="s">
        <v>13316</v>
      </c>
      <c r="W1324" s="5" t="s">
        <v>67</v>
      </c>
      <c r="X1324" s="5" t="s">
        <v>67</v>
      </c>
      <c r="Y1324" s="4">
        <v>1</v>
      </c>
      <c r="Z1324" s="4">
        <v>1</v>
      </c>
      <c r="AA1324" s="4">
        <v>22</v>
      </c>
      <c r="AB1324" s="4">
        <v>1</v>
      </c>
      <c r="AC1324" s="4">
        <v>3</v>
      </c>
      <c r="AD1324" s="4">
        <v>0</v>
      </c>
      <c r="AE1324" s="4">
        <v>95</v>
      </c>
      <c r="AF1324" s="4">
        <v>0</v>
      </c>
      <c r="AG1324" s="4">
        <v>1</v>
      </c>
      <c r="AH1324" s="4">
        <v>0</v>
      </c>
      <c r="AI1324" s="4">
        <v>82</v>
      </c>
      <c r="AJ1324" s="4">
        <v>0</v>
      </c>
      <c r="AK1324" s="4">
        <v>16</v>
      </c>
      <c r="AL1324" s="4">
        <v>0</v>
      </c>
      <c r="AM1324" s="4">
        <v>49</v>
      </c>
      <c r="AN1324" s="4">
        <v>0</v>
      </c>
      <c r="AO1324" s="4">
        <v>1</v>
      </c>
      <c r="AP1324" s="4">
        <v>0</v>
      </c>
      <c r="AQ1324" s="4">
        <v>18</v>
      </c>
      <c r="AR1324" s="3" t="s">
        <v>62</v>
      </c>
      <c r="AS1324" s="3" t="s">
        <v>62</v>
      </c>
      <c r="AT1324" s="3" t="s">
        <v>62</v>
      </c>
      <c r="AV1324" s="6" t="str">
        <f>HYPERLINK("http://mcgill.on.worldcat.org/oclc/427563556","Catalog Record")</f>
        <v>Catalog Record</v>
      </c>
      <c r="AW1324" s="6" t="str">
        <f>HYPERLINK("http://www.worldcat.org/oclc/427563556","WorldCat Record")</f>
        <v>WorldCat Record</v>
      </c>
      <c r="AX1324" s="3" t="s">
        <v>13317</v>
      </c>
      <c r="AY1324" s="3" t="s">
        <v>13318</v>
      </c>
      <c r="AZ1324" s="3" t="s">
        <v>13319</v>
      </c>
      <c r="BA1324" s="3" t="s">
        <v>13319</v>
      </c>
      <c r="BB1324" s="3" t="s">
        <v>13320</v>
      </c>
      <c r="BC1324" s="3" t="s">
        <v>102</v>
      </c>
      <c r="BD1324" s="3" t="s">
        <v>68</v>
      </c>
      <c r="BF1324" s="3" t="s">
        <v>13320</v>
      </c>
      <c r="BG1324" s="3" t="s">
        <v>13321</v>
      </c>
    </row>
    <row r="1325" spans="1:59" ht="58" x14ac:dyDescent="0.35">
      <c r="A1325" s="2" t="s">
        <v>89</v>
      </c>
      <c r="B1325" s="2" t="s">
        <v>90</v>
      </c>
      <c r="C1325" s="2" t="s">
        <v>13322</v>
      </c>
      <c r="D1325" s="2" t="s">
        <v>13323</v>
      </c>
      <c r="E1325" s="2" t="s">
        <v>13324</v>
      </c>
      <c r="G1325" s="3" t="s">
        <v>62</v>
      </c>
      <c r="I1325" s="3" t="s">
        <v>62</v>
      </c>
      <c r="J1325" s="3" t="s">
        <v>62</v>
      </c>
      <c r="K1325" s="3" t="s">
        <v>63</v>
      </c>
      <c r="M1325" s="2" t="s">
        <v>13325</v>
      </c>
      <c r="N1325" s="3" t="s">
        <v>1455</v>
      </c>
      <c r="P1325" s="3" t="s">
        <v>64</v>
      </c>
      <c r="R1325" s="3" t="s">
        <v>13065</v>
      </c>
      <c r="S1325" s="4">
        <v>1</v>
      </c>
      <c r="T1325" s="4">
        <v>1</v>
      </c>
      <c r="U1325" s="5" t="s">
        <v>2320</v>
      </c>
      <c r="V1325" s="5" t="s">
        <v>2320</v>
      </c>
      <c r="W1325" s="5" t="s">
        <v>67</v>
      </c>
      <c r="X1325" s="5" t="s">
        <v>67</v>
      </c>
      <c r="Y1325" s="4">
        <v>215</v>
      </c>
      <c r="Z1325" s="4">
        <v>15</v>
      </c>
      <c r="AA1325" s="4">
        <v>20</v>
      </c>
      <c r="AB1325" s="4">
        <v>1</v>
      </c>
      <c r="AC1325" s="4">
        <v>5</v>
      </c>
      <c r="AD1325" s="4">
        <v>56</v>
      </c>
      <c r="AE1325" s="4">
        <v>62</v>
      </c>
      <c r="AF1325" s="4">
        <v>0</v>
      </c>
      <c r="AG1325" s="4">
        <v>2</v>
      </c>
      <c r="AH1325" s="4">
        <v>49</v>
      </c>
      <c r="AI1325" s="4">
        <v>53</v>
      </c>
      <c r="AJ1325" s="4">
        <v>9</v>
      </c>
      <c r="AK1325" s="4">
        <v>11</v>
      </c>
      <c r="AL1325" s="4">
        <v>28</v>
      </c>
      <c r="AM1325" s="4">
        <v>30</v>
      </c>
      <c r="AN1325" s="4">
        <v>0</v>
      </c>
      <c r="AO1325" s="4">
        <v>0</v>
      </c>
      <c r="AP1325" s="4">
        <v>10</v>
      </c>
      <c r="AQ1325" s="4">
        <v>12</v>
      </c>
      <c r="AR1325" s="3" t="s">
        <v>62</v>
      </c>
      <c r="AS1325" s="3" t="s">
        <v>62</v>
      </c>
      <c r="AT1325" s="3" t="s">
        <v>62</v>
      </c>
      <c r="AV1325" s="6" t="str">
        <f>HYPERLINK("http://mcgill.on.worldcat.org/oclc/899884907","Catalog Record")</f>
        <v>Catalog Record</v>
      </c>
      <c r="AW1325" s="6" t="str">
        <f>HYPERLINK("http://www.worldcat.org/oclc/899884907","WorldCat Record")</f>
        <v>WorldCat Record</v>
      </c>
      <c r="AX1325" s="3" t="s">
        <v>13326</v>
      </c>
      <c r="AY1325" s="3" t="s">
        <v>13327</v>
      </c>
      <c r="AZ1325" s="3" t="s">
        <v>13328</v>
      </c>
      <c r="BA1325" s="3" t="s">
        <v>13328</v>
      </c>
      <c r="BB1325" s="3" t="s">
        <v>13329</v>
      </c>
      <c r="BC1325" s="3" t="s">
        <v>102</v>
      </c>
      <c r="BD1325" s="3" t="s">
        <v>68</v>
      </c>
      <c r="BE1325" s="3" t="s">
        <v>13330</v>
      </c>
      <c r="BF1325" s="3" t="s">
        <v>13329</v>
      </c>
      <c r="BG1325" s="3" t="s">
        <v>13331</v>
      </c>
    </row>
    <row r="1326" spans="1:59" ht="58" x14ac:dyDescent="0.35">
      <c r="A1326" s="2" t="s">
        <v>89</v>
      </c>
      <c r="B1326" s="2" t="s">
        <v>90</v>
      </c>
      <c r="C1326" s="2" t="s">
        <v>13332</v>
      </c>
      <c r="D1326" s="2" t="s">
        <v>13333</v>
      </c>
      <c r="E1326" s="2" t="s">
        <v>13334</v>
      </c>
      <c r="G1326" s="3" t="s">
        <v>62</v>
      </c>
      <c r="I1326" s="3" t="s">
        <v>62</v>
      </c>
      <c r="J1326" s="3" t="s">
        <v>62</v>
      </c>
      <c r="K1326" s="3" t="s">
        <v>63</v>
      </c>
      <c r="L1326" s="2" t="s">
        <v>13335</v>
      </c>
      <c r="M1326" s="2" t="s">
        <v>13336</v>
      </c>
      <c r="N1326" s="3" t="s">
        <v>1722</v>
      </c>
      <c r="O1326" s="2" t="s">
        <v>13337</v>
      </c>
      <c r="P1326" s="3" t="s">
        <v>64</v>
      </c>
      <c r="R1326" s="3" t="s">
        <v>13065</v>
      </c>
      <c r="S1326" s="4">
        <v>7</v>
      </c>
      <c r="T1326" s="4">
        <v>7</v>
      </c>
      <c r="U1326" s="5" t="s">
        <v>7930</v>
      </c>
      <c r="V1326" s="5" t="s">
        <v>7930</v>
      </c>
      <c r="W1326" s="5" t="s">
        <v>67</v>
      </c>
      <c r="X1326" s="5" t="s">
        <v>67</v>
      </c>
      <c r="Y1326" s="4">
        <v>215</v>
      </c>
      <c r="Z1326" s="4">
        <v>11</v>
      </c>
      <c r="AA1326" s="4">
        <v>26</v>
      </c>
      <c r="AB1326" s="4">
        <v>3</v>
      </c>
      <c r="AC1326" s="4">
        <v>6</v>
      </c>
      <c r="AD1326" s="4">
        <v>63</v>
      </c>
      <c r="AE1326" s="4">
        <v>73</v>
      </c>
      <c r="AF1326" s="4">
        <v>1</v>
      </c>
      <c r="AG1326" s="4">
        <v>1</v>
      </c>
      <c r="AH1326" s="4">
        <v>57</v>
      </c>
      <c r="AI1326" s="4">
        <v>62</v>
      </c>
      <c r="AJ1326" s="4">
        <v>5</v>
      </c>
      <c r="AK1326" s="4">
        <v>12</v>
      </c>
      <c r="AL1326" s="4">
        <v>34</v>
      </c>
      <c r="AM1326" s="4">
        <v>35</v>
      </c>
      <c r="AN1326" s="4">
        <v>0</v>
      </c>
      <c r="AO1326" s="4">
        <v>0</v>
      </c>
      <c r="AP1326" s="4">
        <v>9</v>
      </c>
      <c r="AQ1326" s="4">
        <v>18</v>
      </c>
      <c r="AR1326" s="3" t="s">
        <v>62</v>
      </c>
      <c r="AS1326" s="3" t="s">
        <v>62</v>
      </c>
      <c r="AT1326" s="3" t="s">
        <v>61</v>
      </c>
      <c r="AU1326" s="6" t="str">
        <f>HYPERLINK("http://catalog.hathitrust.org/Record/005933699","HathiTrust Record")</f>
        <v>HathiTrust Record</v>
      </c>
      <c r="AV1326" s="6" t="str">
        <f>HYPERLINK("http://mcgill.on.worldcat.org/oclc/191245302","Catalog Record")</f>
        <v>Catalog Record</v>
      </c>
      <c r="AW1326" s="6" t="str">
        <f>HYPERLINK("http://www.worldcat.org/oclc/191245302","WorldCat Record")</f>
        <v>WorldCat Record</v>
      </c>
      <c r="AX1326" s="3" t="s">
        <v>13338</v>
      </c>
      <c r="AY1326" s="3" t="s">
        <v>13339</v>
      </c>
      <c r="AZ1326" s="3" t="s">
        <v>13340</v>
      </c>
      <c r="BA1326" s="3" t="s">
        <v>13340</v>
      </c>
      <c r="BB1326" s="3" t="s">
        <v>13341</v>
      </c>
      <c r="BC1326" s="3" t="s">
        <v>102</v>
      </c>
      <c r="BD1326" s="3" t="s">
        <v>68</v>
      </c>
      <c r="BE1326" s="3" t="s">
        <v>13342</v>
      </c>
      <c r="BF1326" s="3" t="s">
        <v>13341</v>
      </c>
      <c r="BG1326" s="3" t="s">
        <v>13343</v>
      </c>
    </row>
    <row r="1327" spans="1:59" ht="58" x14ac:dyDescent="0.35">
      <c r="A1327" s="2" t="s">
        <v>89</v>
      </c>
      <c r="B1327" s="2" t="s">
        <v>90</v>
      </c>
      <c r="C1327" s="2" t="s">
        <v>13344</v>
      </c>
      <c r="D1327" s="2" t="s">
        <v>13345</v>
      </c>
      <c r="E1327" s="2" t="s">
        <v>13346</v>
      </c>
      <c r="G1327" s="3" t="s">
        <v>62</v>
      </c>
      <c r="I1327" s="3" t="s">
        <v>62</v>
      </c>
      <c r="J1327" s="3" t="s">
        <v>62</v>
      </c>
      <c r="K1327" s="3" t="s">
        <v>63</v>
      </c>
      <c r="L1327" s="2" t="s">
        <v>13347</v>
      </c>
      <c r="M1327" s="2" t="s">
        <v>13348</v>
      </c>
      <c r="N1327" s="3" t="s">
        <v>539</v>
      </c>
      <c r="P1327" s="3" t="s">
        <v>64</v>
      </c>
      <c r="R1327" s="3" t="s">
        <v>13065</v>
      </c>
      <c r="S1327" s="4">
        <v>18</v>
      </c>
      <c r="T1327" s="4">
        <v>18</v>
      </c>
      <c r="U1327" s="5" t="s">
        <v>4187</v>
      </c>
      <c r="V1327" s="5" t="s">
        <v>4187</v>
      </c>
      <c r="W1327" s="5" t="s">
        <v>67</v>
      </c>
      <c r="X1327" s="5" t="s">
        <v>67</v>
      </c>
      <c r="Y1327" s="4">
        <v>245</v>
      </c>
      <c r="Z1327" s="4">
        <v>8</v>
      </c>
      <c r="AA1327" s="4">
        <v>92</v>
      </c>
      <c r="AB1327" s="4">
        <v>1</v>
      </c>
      <c r="AC1327" s="4">
        <v>18</v>
      </c>
      <c r="AD1327" s="4">
        <v>69</v>
      </c>
      <c r="AE1327" s="4">
        <v>135</v>
      </c>
      <c r="AF1327" s="4">
        <v>0</v>
      </c>
      <c r="AG1327" s="4">
        <v>8</v>
      </c>
      <c r="AH1327" s="4">
        <v>66</v>
      </c>
      <c r="AI1327" s="4">
        <v>99</v>
      </c>
      <c r="AJ1327" s="4">
        <v>3</v>
      </c>
      <c r="AK1327" s="4">
        <v>22</v>
      </c>
      <c r="AL1327" s="4">
        <v>42</v>
      </c>
      <c r="AM1327" s="4">
        <v>54</v>
      </c>
      <c r="AN1327" s="4">
        <v>0</v>
      </c>
      <c r="AO1327" s="4">
        <v>0</v>
      </c>
      <c r="AP1327" s="4">
        <v>5</v>
      </c>
      <c r="AQ1327" s="4">
        <v>43</v>
      </c>
      <c r="AR1327" s="3" t="s">
        <v>62</v>
      </c>
      <c r="AS1327" s="3" t="s">
        <v>62</v>
      </c>
      <c r="AT1327" s="3" t="s">
        <v>62</v>
      </c>
      <c r="AV1327" s="6" t="str">
        <f>HYPERLINK("http://mcgill.on.worldcat.org/oclc/37580365","Catalog Record")</f>
        <v>Catalog Record</v>
      </c>
      <c r="AW1327" s="6" t="str">
        <f>HYPERLINK("http://www.worldcat.org/oclc/37580365","WorldCat Record")</f>
        <v>WorldCat Record</v>
      </c>
      <c r="AX1327" s="3" t="s">
        <v>13349</v>
      </c>
      <c r="AY1327" s="3" t="s">
        <v>13350</v>
      </c>
      <c r="AZ1327" s="3" t="s">
        <v>13351</v>
      </c>
      <c r="BA1327" s="3" t="s">
        <v>13351</v>
      </c>
      <c r="BB1327" s="3" t="s">
        <v>13352</v>
      </c>
      <c r="BC1327" s="3" t="s">
        <v>102</v>
      </c>
      <c r="BD1327" s="3" t="s">
        <v>68</v>
      </c>
      <c r="BE1327" s="3" t="s">
        <v>13353</v>
      </c>
      <c r="BF1327" s="3" t="s">
        <v>13352</v>
      </c>
      <c r="BG1327" s="3" t="s">
        <v>13354</v>
      </c>
    </row>
    <row r="1328" spans="1:59" ht="58" x14ac:dyDescent="0.35">
      <c r="A1328" s="2" t="s">
        <v>89</v>
      </c>
      <c r="B1328" s="2" t="s">
        <v>90</v>
      </c>
      <c r="C1328" s="2" t="s">
        <v>13355</v>
      </c>
      <c r="D1328" s="2" t="s">
        <v>13356</v>
      </c>
      <c r="E1328" s="2" t="s">
        <v>13357</v>
      </c>
      <c r="G1328" s="3" t="s">
        <v>62</v>
      </c>
      <c r="I1328" s="3" t="s">
        <v>62</v>
      </c>
      <c r="J1328" s="3" t="s">
        <v>62</v>
      </c>
      <c r="K1328" s="3" t="s">
        <v>63</v>
      </c>
      <c r="L1328" s="2" t="s">
        <v>13358</v>
      </c>
      <c r="M1328" s="2" t="s">
        <v>13359</v>
      </c>
      <c r="N1328" s="3" t="s">
        <v>698</v>
      </c>
      <c r="P1328" s="3" t="s">
        <v>64</v>
      </c>
      <c r="Q1328" s="2" t="s">
        <v>13360</v>
      </c>
      <c r="R1328" s="3" t="s">
        <v>13065</v>
      </c>
      <c r="S1328" s="4">
        <v>0</v>
      </c>
      <c r="T1328" s="4">
        <v>0</v>
      </c>
      <c r="W1328" s="5" t="s">
        <v>67</v>
      </c>
      <c r="X1328" s="5" t="s">
        <v>67</v>
      </c>
      <c r="Y1328" s="4">
        <v>108</v>
      </c>
      <c r="Z1328" s="4">
        <v>12</v>
      </c>
      <c r="AA1328" s="4">
        <v>12</v>
      </c>
      <c r="AB1328" s="4">
        <v>1</v>
      </c>
      <c r="AC1328" s="4">
        <v>1</v>
      </c>
      <c r="AD1328" s="4">
        <v>48</v>
      </c>
      <c r="AE1328" s="4">
        <v>48</v>
      </c>
      <c r="AF1328" s="4">
        <v>0</v>
      </c>
      <c r="AG1328" s="4">
        <v>0</v>
      </c>
      <c r="AH1328" s="4">
        <v>43</v>
      </c>
      <c r="AI1328" s="4">
        <v>43</v>
      </c>
      <c r="AJ1328" s="4">
        <v>8</v>
      </c>
      <c r="AK1328" s="4">
        <v>8</v>
      </c>
      <c r="AL1328" s="4">
        <v>24</v>
      </c>
      <c r="AM1328" s="4">
        <v>24</v>
      </c>
      <c r="AN1328" s="4">
        <v>0</v>
      </c>
      <c r="AO1328" s="4">
        <v>0</v>
      </c>
      <c r="AP1328" s="4">
        <v>10</v>
      </c>
      <c r="AQ1328" s="4">
        <v>10</v>
      </c>
      <c r="AR1328" s="3" t="s">
        <v>62</v>
      </c>
      <c r="AS1328" s="3" t="s">
        <v>62</v>
      </c>
      <c r="AT1328" s="3" t="s">
        <v>62</v>
      </c>
      <c r="AV1328" s="6" t="str">
        <f>HYPERLINK("http://mcgill.on.worldcat.org/oclc/795181601","Catalog Record")</f>
        <v>Catalog Record</v>
      </c>
      <c r="AW1328" s="6" t="str">
        <f>HYPERLINK("http://www.worldcat.org/oclc/795181601","WorldCat Record")</f>
        <v>WorldCat Record</v>
      </c>
      <c r="AX1328" s="3" t="s">
        <v>13361</v>
      </c>
      <c r="AY1328" s="3" t="s">
        <v>13362</v>
      </c>
      <c r="AZ1328" s="3" t="s">
        <v>13363</v>
      </c>
      <c r="BA1328" s="3" t="s">
        <v>13363</v>
      </c>
      <c r="BB1328" s="3" t="s">
        <v>13364</v>
      </c>
      <c r="BC1328" s="3" t="s">
        <v>102</v>
      </c>
      <c r="BD1328" s="3" t="s">
        <v>68</v>
      </c>
      <c r="BE1328" s="3" t="s">
        <v>13365</v>
      </c>
      <c r="BF1328" s="3" t="s">
        <v>13364</v>
      </c>
      <c r="BG1328" s="3" t="s">
        <v>13366</v>
      </c>
    </row>
    <row r="1329" spans="1:59" ht="58" x14ac:dyDescent="0.35">
      <c r="A1329" s="2" t="s">
        <v>89</v>
      </c>
      <c r="B1329" s="2" t="s">
        <v>90</v>
      </c>
      <c r="C1329" s="2" t="s">
        <v>13367</v>
      </c>
      <c r="D1329" s="2" t="s">
        <v>13368</v>
      </c>
      <c r="E1329" s="2" t="s">
        <v>13369</v>
      </c>
      <c r="G1329" s="3" t="s">
        <v>62</v>
      </c>
      <c r="I1329" s="3" t="s">
        <v>61</v>
      </c>
      <c r="J1329" s="3" t="s">
        <v>62</v>
      </c>
      <c r="K1329" s="3" t="s">
        <v>63</v>
      </c>
      <c r="M1329" s="2" t="s">
        <v>13370</v>
      </c>
      <c r="N1329" s="3" t="s">
        <v>568</v>
      </c>
      <c r="P1329" s="3" t="s">
        <v>64</v>
      </c>
      <c r="R1329" s="3" t="s">
        <v>13065</v>
      </c>
      <c r="S1329" s="4">
        <v>3</v>
      </c>
      <c r="T1329" s="4">
        <v>6</v>
      </c>
      <c r="U1329" s="5" t="s">
        <v>4187</v>
      </c>
      <c r="V1329" s="5" t="s">
        <v>12900</v>
      </c>
      <c r="W1329" s="5" t="s">
        <v>67</v>
      </c>
      <c r="X1329" s="5" t="s">
        <v>67</v>
      </c>
      <c r="Y1329" s="4">
        <v>256</v>
      </c>
      <c r="Z1329" s="4">
        <v>20</v>
      </c>
      <c r="AA1329" s="4">
        <v>22</v>
      </c>
      <c r="AB1329" s="4">
        <v>2</v>
      </c>
      <c r="AC1329" s="4">
        <v>4</v>
      </c>
      <c r="AD1329" s="4">
        <v>94</v>
      </c>
      <c r="AE1329" s="4">
        <v>96</v>
      </c>
      <c r="AF1329" s="4">
        <v>1</v>
      </c>
      <c r="AG1329" s="4">
        <v>2</v>
      </c>
      <c r="AH1329" s="4">
        <v>83</v>
      </c>
      <c r="AI1329" s="4">
        <v>84</v>
      </c>
      <c r="AJ1329" s="4">
        <v>14</v>
      </c>
      <c r="AK1329" s="4">
        <v>15</v>
      </c>
      <c r="AL1329" s="4">
        <v>46</v>
      </c>
      <c r="AM1329" s="4">
        <v>47</v>
      </c>
      <c r="AN1329" s="4">
        <v>0</v>
      </c>
      <c r="AO1329" s="4">
        <v>0</v>
      </c>
      <c r="AP1329" s="4">
        <v>17</v>
      </c>
      <c r="AQ1329" s="4">
        <v>17</v>
      </c>
      <c r="AR1329" s="3" t="s">
        <v>62</v>
      </c>
      <c r="AS1329" s="3" t="s">
        <v>62</v>
      </c>
      <c r="AT1329" s="3" t="s">
        <v>62</v>
      </c>
      <c r="AV1329" s="6" t="str">
        <f>HYPERLINK("http://mcgill.on.worldcat.org/oclc/43457613","Catalog Record")</f>
        <v>Catalog Record</v>
      </c>
      <c r="AW1329" s="6" t="str">
        <f>HYPERLINK("http://www.worldcat.org/oclc/43457613","WorldCat Record")</f>
        <v>WorldCat Record</v>
      </c>
      <c r="AX1329" s="3" t="s">
        <v>13371</v>
      </c>
      <c r="AY1329" s="3" t="s">
        <v>13372</v>
      </c>
      <c r="AZ1329" s="3" t="s">
        <v>13373</v>
      </c>
      <c r="BA1329" s="3" t="s">
        <v>13373</v>
      </c>
      <c r="BB1329" s="3" t="s">
        <v>13374</v>
      </c>
      <c r="BC1329" s="3" t="s">
        <v>102</v>
      </c>
      <c r="BD1329" s="3" t="s">
        <v>68</v>
      </c>
      <c r="BE1329" s="3" t="s">
        <v>13375</v>
      </c>
      <c r="BF1329" s="3" t="s">
        <v>13374</v>
      </c>
      <c r="BG1329" s="3" t="s">
        <v>13376</v>
      </c>
    </row>
    <row r="1330" spans="1:59" ht="58" x14ac:dyDescent="0.35">
      <c r="A1330" s="2" t="s">
        <v>89</v>
      </c>
      <c r="B1330" s="2" t="s">
        <v>90</v>
      </c>
      <c r="C1330" s="2" t="s">
        <v>13367</v>
      </c>
      <c r="D1330" s="2" t="s">
        <v>13368</v>
      </c>
      <c r="E1330" s="2" t="s">
        <v>13369</v>
      </c>
      <c r="G1330" s="3" t="s">
        <v>62</v>
      </c>
      <c r="I1330" s="3" t="s">
        <v>61</v>
      </c>
      <c r="J1330" s="3" t="s">
        <v>62</v>
      </c>
      <c r="K1330" s="3" t="s">
        <v>63</v>
      </c>
      <c r="M1330" s="2" t="s">
        <v>13370</v>
      </c>
      <c r="N1330" s="3" t="s">
        <v>568</v>
      </c>
      <c r="P1330" s="3" t="s">
        <v>64</v>
      </c>
      <c r="R1330" s="3" t="s">
        <v>13065</v>
      </c>
      <c r="S1330" s="4">
        <v>3</v>
      </c>
      <c r="T1330" s="4">
        <v>6</v>
      </c>
      <c r="U1330" s="5" t="s">
        <v>12900</v>
      </c>
      <c r="V1330" s="5" t="s">
        <v>12900</v>
      </c>
      <c r="W1330" s="5" t="s">
        <v>67</v>
      </c>
      <c r="X1330" s="5" t="s">
        <v>67</v>
      </c>
      <c r="Y1330" s="4">
        <v>256</v>
      </c>
      <c r="Z1330" s="4">
        <v>20</v>
      </c>
      <c r="AA1330" s="4">
        <v>22</v>
      </c>
      <c r="AB1330" s="4">
        <v>2</v>
      </c>
      <c r="AC1330" s="4">
        <v>4</v>
      </c>
      <c r="AD1330" s="4">
        <v>94</v>
      </c>
      <c r="AE1330" s="4">
        <v>96</v>
      </c>
      <c r="AF1330" s="4">
        <v>1</v>
      </c>
      <c r="AG1330" s="4">
        <v>2</v>
      </c>
      <c r="AH1330" s="4">
        <v>83</v>
      </c>
      <c r="AI1330" s="4">
        <v>84</v>
      </c>
      <c r="AJ1330" s="4">
        <v>14</v>
      </c>
      <c r="AK1330" s="4">
        <v>15</v>
      </c>
      <c r="AL1330" s="4">
        <v>46</v>
      </c>
      <c r="AM1330" s="4">
        <v>47</v>
      </c>
      <c r="AN1330" s="4">
        <v>0</v>
      </c>
      <c r="AO1330" s="4">
        <v>0</v>
      </c>
      <c r="AP1330" s="4">
        <v>17</v>
      </c>
      <c r="AQ1330" s="4">
        <v>17</v>
      </c>
      <c r="AR1330" s="3" t="s">
        <v>62</v>
      </c>
      <c r="AS1330" s="3" t="s">
        <v>62</v>
      </c>
      <c r="AT1330" s="3" t="s">
        <v>62</v>
      </c>
      <c r="AV1330" s="6" t="str">
        <f>HYPERLINK("http://mcgill.on.worldcat.org/oclc/43457613","Catalog Record")</f>
        <v>Catalog Record</v>
      </c>
      <c r="AW1330" s="6" t="str">
        <f>HYPERLINK("http://www.worldcat.org/oclc/43457613","WorldCat Record")</f>
        <v>WorldCat Record</v>
      </c>
      <c r="AX1330" s="3" t="s">
        <v>13371</v>
      </c>
      <c r="AY1330" s="3" t="s">
        <v>13372</v>
      </c>
      <c r="AZ1330" s="3" t="s">
        <v>13373</v>
      </c>
      <c r="BA1330" s="3" t="s">
        <v>13373</v>
      </c>
      <c r="BB1330" s="3" t="s">
        <v>13377</v>
      </c>
      <c r="BC1330" s="3" t="s">
        <v>102</v>
      </c>
      <c r="BD1330" s="3" t="s">
        <v>68</v>
      </c>
      <c r="BE1330" s="3" t="s">
        <v>13375</v>
      </c>
      <c r="BF1330" s="3" t="s">
        <v>13377</v>
      </c>
      <c r="BG1330" s="3" t="s">
        <v>13378</v>
      </c>
    </row>
    <row r="1331" spans="1:59" ht="58" x14ac:dyDescent="0.35">
      <c r="A1331" s="2" t="s">
        <v>89</v>
      </c>
      <c r="B1331" s="2" t="s">
        <v>90</v>
      </c>
      <c r="C1331" s="2" t="s">
        <v>13379</v>
      </c>
      <c r="D1331" s="2" t="s">
        <v>13380</v>
      </c>
      <c r="E1331" s="2" t="s">
        <v>13381</v>
      </c>
      <c r="G1331" s="3" t="s">
        <v>62</v>
      </c>
      <c r="I1331" s="3" t="s">
        <v>62</v>
      </c>
      <c r="J1331" s="3" t="s">
        <v>62</v>
      </c>
      <c r="K1331" s="3" t="s">
        <v>63</v>
      </c>
      <c r="L1331" s="2" t="s">
        <v>13382</v>
      </c>
      <c r="M1331" s="2" t="s">
        <v>13383</v>
      </c>
      <c r="N1331" s="3" t="s">
        <v>2985</v>
      </c>
      <c r="P1331" s="3" t="s">
        <v>64</v>
      </c>
      <c r="R1331" s="3" t="s">
        <v>13065</v>
      </c>
      <c r="S1331" s="4">
        <v>9</v>
      </c>
      <c r="T1331" s="4">
        <v>9</v>
      </c>
      <c r="U1331" s="5" t="s">
        <v>10809</v>
      </c>
      <c r="V1331" s="5" t="s">
        <v>10809</v>
      </c>
      <c r="W1331" s="5" t="s">
        <v>67</v>
      </c>
      <c r="X1331" s="5" t="s">
        <v>67</v>
      </c>
      <c r="Y1331" s="4">
        <v>254</v>
      </c>
      <c r="Z1331" s="4">
        <v>17</v>
      </c>
      <c r="AA1331" s="4">
        <v>18</v>
      </c>
      <c r="AB1331" s="4">
        <v>4</v>
      </c>
      <c r="AC1331" s="4">
        <v>5</v>
      </c>
      <c r="AD1331" s="4">
        <v>59</v>
      </c>
      <c r="AE1331" s="4">
        <v>61</v>
      </c>
      <c r="AF1331" s="4">
        <v>1</v>
      </c>
      <c r="AG1331" s="4">
        <v>2</v>
      </c>
      <c r="AH1331" s="4">
        <v>54</v>
      </c>
      <c r="AI1331" s="4">
        <v>55</v>
      </c>
      <c r="AJ1331" s="4">
        <v>10</v>
      </c>
      <c r="AK1331" s="4">
        <v>11</v>
      </c>
      <c r="AL1331" s="4">
        <v>35</v>
      </c>
      <c r="AM1331" s="4">
        <v>36</v>
      </c>
      <c r="AN1331" s="4">
        <v>0</v>
      </c>
      <c r="AO1331" s="4">
        <v>0</v>
      </c>
      <c r="AP1331" s="4">
        <v>11</v>
      </c>
      <c r="AQ1331" s="4">
        <v>12</v>
      </c>
      <c r="AR1331" s="3" t="s">
        <v>62</v>
      </c>
      <c r="AS1331" s="3" t="s">
        <v>62</v>
      </c>
      <c r="AT1331" s="3" t="s">
        <v>61</v>
      </c>
      <c r="AU1331" s="6" t="str">
        <f>HYPERLINK("http://catalog.hathitrust.org/Record/006305318","HathiTrust Record")</f>
        <v>HathiTrust Record</v>
      </c>
      <c r="AV1331" s="6" t="str">
        <f>HYPERLINK("http://mcgill.on.worldcat.org/oclc/232002229","Catalog Record")</f>
        <v>Catalog Record</v>
      </c>
      <c r="AW1331" s="6" t="str">
        <f>HYPERLINK("http://www.worldcat.org/oclc/232002229","WorldCat Record")</f>
        <v>WorldCat Record</v>
      </c>
      <c r="AX1331" s="3" t="s">
        <v>13384</v>
      </c>
      <c r="AY1331" s="3" t="s">
        <v>13385</v>
      </c>
      <c r="AZ1331" s="3" t="s">
        <v>13386</v>
      </c>
      <c r="BA1331" s="3" t="s">
        <v>13386</v>
      </c>
      <c r="BB1331" s="3" t="s">
        <v>13387</v>
      </c>
      <c r="BC1331" s="3" t="s">
        <v>102</v>
      </c>
      <c r="BD1331" s="3" t="s">
        <v>68</v>
      </c>
      <c r="BE1331" s="3" t="s">
        <v>13388</v>
      </c>
      <c r="BF1331" s="3" t="s">
        <v>13387</v>
      </c>
      <c r="BG1331" s="3" t="s">
        <v>13389</v>
      </c>
    </row>
    <row r="1332" spans="1:59" ht="58" x14ac:dyDescent="0.35">
      <c r="A1332" s="2" t="s">
        <v>89</v>
      </c>
      <c r="B1332" s="2" t="s">
        <v>90</v>
      </c>
      <c r="C1332" s="2" t="s">
        <v>13390</v>
      </c>
      <c r="D1332" s="2" t="s">
        <v>13391</v>
      </c>
      <c r="E1332" s="2" t="s">
        <v>13392</v>
      </c>
      <c r="G1332" s="3" t="s">
        <v>62</v>
      </c>
      <c r="I1332" s="3" t="s">
        <v>62</v>
      </c>
      <c r="J1332" s="3" t="s">
        <v>61</v>
      </c>
      <c r="K1332" s="3" t="s">
        <v>63</v>
      </c>
      <c r="L1332" s="2" t="s">
        <v>7364</v>
      </c>
      <c r="M1332" s="2" t="s">
        <v>9941</v>
      </c>
      <c r="N1332" s="3" t="s">
        <v>1722</v>
      </c>
      <c r="O1332" s="2" t="s">
        <v>2986</v>
      </c>
      <c r="P1332" s="3" t="s">
        <v>64</v>
      </c>
      <c r="Q1332" s="2" t="s">
        <v>13393</v>
      </c>
      <c r="R1332" s="3" t="s">
        <v>13065</v>
      </c>
      <c r="S1332" s="4">
        <v>18</v>
      </c>
      <c r="T1332" s="4">
        <v>18</v>
      </c>
      <c r="U1332" s="5" t="s">
        <v>13394</v>
      </c>
      <c r="V1332" s="5" t="s">
        <v>13394</v>
      </c>
      <c r="W1332" s="5" t="s">
        <v>67</v>
      </c>
      <c r="X1332" s="5" t="s">
        <v>67</v>
      </c>
      <c r="Y1332" s="4">
        <v>507</v>
      </c>
      <c r="Z1332" s="4">
        <v>28</v>
      </c>
      <c r="AA1332" s="4">
        <v>51</v>
      </c>
      <c r="AB1332" s="4">
        <v>2</v>
      </c>
      <c r="AC1332" s="4">
        <v>10</v>
      </c>
      <c r="AD1332" s="4">
        <v>76</v>
      </c>
      <c r="AE1332" s="4">
        <v>115</v>
      </c>
      <c r="AF1332" s="4">
        <v>1</v>
      </c>
      <c r="AG1332" s="4">
        <v>4</v>
      </c>
      <c r="AH1332" s="4">
        <v>61</v>
      </c>
      <c r="AI1332" s="4">
        <v>89</v>
      </c>
      <c r="AJ1332" s="4">
        <v>12</v>
      </c>
      <c r="AK1332" s="4">
        <v>23</v>
      </c>
      <c r="AL1332" s="4">
        <v>38</v>
      </c>
      <c r="AM1332" s="4">
        <v>52</v>
      </c>
      <c r="AN1332" s="4">
        <v>0</v>
      </c>
      <c r="AO1332" s="4">
        <v>0</v>
      </c>
      <c r="AP1332" s="4">
        <v>19</v>
      </c>
      <c r="AQ1332" s="4">
        <v>30</v>
      </c>
      <c r="AR1332" s="3" t="s">
        <v>62</v>
      </c>
      <c r="AS1332" s="3" t="s">
        <v>62</v>
      </c>
      <c r="AT1332" s="3" t="s">
        <v>62</v>
      </c>
      <c r="AV1332" s="6" t="str">
        <f>HYPERLINK("http://mcgill.on.worldcat.org/oclc/175218043","Catalog Record")</f>
        <v>Catalog Record</v>
      </c>
      <c r="AW1332" s="6" t="str">
        <f>HYPERLINK("http://www.worldcat.org/oclc/175218043","WorldCat Record")</f>
        <v>WorldCat Record</v>
      </c>
      <c r="AX1332" s="3" t="s">
        <v>13395</v>
      </c>
      <c r="AY1332" s="3" t="s">
        <v>13396</v>
      </c>
      <c r="AZ1332" s="3" t="s">
        <v>13397</v>
      </c>
      <c r="BA1332" s="3" t="s">
        <v>13397</v>
      </c>
      <c r="BB1332" s="3" t="s">
        <v>13398</v>
      </c>
      <c r="BC1332" s="3" t="s">
        <v>102</v>
      </c>
      <c r="BD1332" s="3" t="s">
        <v>68</v>
      </c>
      <c r="BE1332" s="3" t="s">
        <v>13399</v>
      </c>
      <c r="BF1332" s="3" t="s">
        <v>13398</v>
      </c>
      <c r="BG1332" s="3" t="s">
        <v>13400</v>
      </c>
    </row>
    <row r="1333" spans="1:59" ht="58" x14ac:dyDescent="0.35">
      <c r="A1333" s="2" t="s">
        <v>89</v>
      </c>
      <c r="B1333" s="2" t="s">
        <v>90</v>
      </c>
      <c r="C1333" s="2" t="s">
        <v>13401</v>
      </c>
      <c r="D1333" s="2" t="s">
        <v>13402</v>
      </c>
      <c r="E1333" s="2" t="s">
        <v>13403</v>
      </c>
      <c r="G1333" s="3" t="s">
        <v>62</v>
      </c>
      <c r="I1333" s="3" t="s">
        <v>61</v>
      </c>
      <c r="J1333" s="3" t="s">
        <v>62</v>
      </c>
      <c r="K1333" s="3" t="s">
        <v>63</v>
      </c>
      <c r="L1333" s="2" t="s">
        <v>13404</v>
      </c>
      <c r="M1333" s="2" t="s">
        <v>13405</v>
      </c>
      <c r="N1333" s="3" t="s">
        <v>524</v>
      </c>
      <c r="P1333" s="3" t="s">
        <v>64</v>
      </c>
      <c r="Q1333" s="2" t="s">
        <v>13406</v>
      </c>
      <c r="R1333" s="3" t="s">
        <v>13065</v>
      </c>
      <c r="S1333" s="4">
        <v>16</v>
      </c>
      <c r="T1333" s="4">
        <v>16</v>
      </c>
      <c r="U1333" s="5" t="s">
        <v>1203</v>
      </c>
      <c r="V1333" s="5" t="s">
        <v>1203</v>
      </c>
      <c r="W1333" s="5" t="s">
        <v>67</v>
      </c>
      <c r="X1333" s="5" t="s">
        <v>67</v>
      </c>
      <c r="Y1333" s="4">
        <v>180</v>
      </c>
      <c r="Z1333" s="4">
        <v>13</v>
      </c>
      <c r="AA1333" s="4">
        <v>15</v>
      </c>
      <c r="AB1333" s="4">
        <v>1</v>
      </c>
      <c r="AC1333" s="4">
        <v>3</v>
      </c>
      <c r="AD1333" s="4">
        <v>84</v>
      </c>
      <c r="AE1333" s="4">
        <v>84</v>
      </c>
      <c r="AF1333" s="4">
        <v>0</v>
      </c>
      <c r="AG1333" s="4">
        <v>0</v>
      </c>
      <c r="AH1333" s="4">
        <v>81</v>
      </c>
      <c r="AI1333" s="4">
        <v>81</v>
      </c>
      <c r="AJ1333" s="4">
        <v>8</v>
      </c>
      <c r="AK1333" s="4">
        <v>8</v>
      </c>
      <c r="AL1333" s="4">
        <v>52</v>
      </c>
      <c r="AM1333" s="4">
        <v>52</v>
      </c>
      <c r="AN1333" s="4">
        <v>0</v>
      </c>
      <c r="AO1333" s="4">
        <v>0</v>
      </c>
      <c r="AP1333" s="4">
        <v>9</v>
      </c>
      <c r="AQ1333" s="4">
        <v>9</v>
      </c>
      <c r="AR1333" s="3" t="s">
        <v>62</v>
      </c>
      <c r="AS1333" s="3" t="s">
        <v>62</v>
      </c>
      <c r="AT1333" s="3" t="s">
        <v>62</v>
      </c>
      <c r="AV1333" s="6" t="str">
        <f>HYPERLINK("http://mcgill.on.worldcat.org/oclc/31865604","Catalog Record")</f>
        <v>Catalog Record</v>
      </c>
      <c r="AW1333" s="6" t="str">
        <f>HYPERLINK("http://www.worldcat.org/oclc/31865604","WorldCat Record")</f>
        <v>WorldCat Record</v>
      </c>
      <c r="AX1333" s="3" t="s">
        <v>13407</v>
      </c>
      <c r="AY1333" s="3" t="s">
        <v>13408</v>
      </c>
      <c r="AZ1333" s="3" t="s">
        <v>13409</v>
      </c>
      <c r="BA1333" s="3" t="s">
        <v>13409</v>
      </c>
      <c r="BB1333" s="3" t="s">
        <v>13410</v>
      </c>
      <c r="BC1333" s="3" t="s">
        <v>102</v>
      </c>
      <c r="BD1333" s="3" t="s">
        <v>68</v>
      </c>
      <c r="BE1333" s="3" t="s">
        <v>13411</v>
      </c>
      <c r="BF1333" s="3" t="s">
        <v>13410</v>
      </c>
      <c r="BG1333" s="3" t="s">
        <v>13412</v>
      </c>
    </row>
    <row r="1334" spans="1:59" ht="58" x14ac:dyDescent="0.35">
      <c r="A1334" s="2" t="s">
        <v>89</v>
      </c>
      <c r="B1334" s="2" t="s">
        <v>90</v>
      </c>
      <c r="C1334" s="2" t="s">
        <v>13401</v>
      </c>
      <c r="D1334" s="2" t="s">
        <v>13402</v>
      </c>
      <c r="E1334" s="2" t="s">
        <v>13403</v>
      </c>
      <c r="G1334" s="3" t="s">
        <v>62</v>
      </c>
      <c r="I1334" s="3" t="s">
        <v>61</v>
      </c>
      <c r="J1334" s="3" t="s">
        <v>62</v>
      </c>
      <c r="K1334" s="3" t="s">
        <v>63</v>
      </c>
      <c r="L1334" s="2" t="s">
        <v>13404</v>
      </c>
      <c r="M1334" s="2" t="s">
        <v>13405</v>
      </c>
      <c r="N1334" s="3" t="s">
        <v>524</v>
      </c>
      <c r="P1334" s="3" t="s">
        <v>64</v>
      </c>
      <c r="Q1334" s="2" t="s">
        <v>13406</v>
      </c>
      <c r="R1334" s="3" t="s">
        <v>13065</v>
      </c>
      <c r="S1334" s="4">
        <v>0</v>
      </c>
      <c r="T1334" s="4">
        <v>16</v>
      </c>
      <c r="V1334" s="5" t="s">
        <v>1203</v>
      </c>
      <c r="W1334" s="5" t="s">
        <v>67</v>
      </c>
      <c r="X1334" s="5" t="s">
        <v>67</v>
      </c>
      <c r="Y1334" s="4">
        <v>180</v>
      </c>
      <c r="Z1334" s="4">
        <v>13</v>
      </c>
      <c r="AA1334" s="4">
        <v>15</v>
      </c>
      <c r="AB1334" s="4">
        <v>1</v>
      </c>
      <c r="AC1334" s="4">
        <v>3</v>
      </c>
      <c r="AD1334" s="4">
        <v>84</v>
      </c>
      <c r="AE1334" s="4">
        <v>84</v>
      </c>
      <c r="AF1334" s="4">
        <v>0</v>
      </c>
      <c r="AG1334" s="4">
        <v>0</v>
      </c>
      <c r="AH1334" s="4">
        <v>81</v>
      </c>
      <c r="AI1334" s="4">
        <v>81</v>
      </c>
      <c r="AJ1334" s="4">
        <v>8</v>
      </c>
      <c r="AK1334" s="4">
        <v>8</v>
      </c>
      <c r="AL1334" s="4">
        <v>52</v>
      </c>
      <c r="AM1334" s="4">
        <v>52</v>
      </c>
      <c r="AN1334" s="4">
        <v>0</v>
      </c>
      <c r="AO1334" s="4">
        <v>0</v>
      </c>
      <c r="AP1334" s="4">
        <v>9</v>
      </c>
      <c r="AQ1334" s="4">
        <v>9</v>
      </c>
      <c r="AR1334" s="3" t="s">
        <v>62</v>
      </c>
      <c r="AS1334" s="3" t="s">
        <v>62</v>
      </c>
      <c r="AT1334" s="3" t="s">
        <v>62</v>
      </c>
      <c r="AV1334" s="6" t="str">
        <f>HYPERLINK("http://mcgill.on.worldcat.org/oclc/31865604","Catalog Record")</f>
        <v>Catalog Record</v>
      </c>
      <c r="AW1334" s="6" t="str">
        <f>HYPERLINK("http://www.worldcat.org/oclc/31865604","WorldCat Record")</f>
        <v>WorldCat Record</v>
      </c>
      <c r="AX1334" s="3" t="s">
        <v>13407</v>
      </c>
      <c r="AY1334" s="3" t="s">
        <v>13408</v>
      </c>
      <c r="AZ1334" s="3" t="s">
        <v>13409</v>
      </c>
      <c r="BA1334" s="3" t="s">
        <v>13409</v>
      </c>
      <c r="BB1334" s="3" t="s">
        <v>13413</v>
      </c>
      <c r="BC1334" s="3" t="s">
        <v>102</v>
      </c>
      <c r="BD1334" s="3" t="s">
        <v>68</v>
      </c>
      <c r="BE1334" s="3" t="s">
        <v>13411</v>
      </c>
      <c r="BF1334" s="3" t="s">
        <v>13413</v>
      </c>
      <c r="BG1334" s="3" t="s">
        <v>13414</v>
      </c>
    </row>
    <row r="1335" spans="1:59" ht="58" x14ac:dyDescent="0.35">
      <c r="A1335" s="2" t="s">
        <v>89</v>
      </c>
      <c r="B1335" s="2" t="s">
        <v>90</v>
      </c>
      <c r="C1335" s="2" t="s">
        <v>13415</v>
      </c>
      <c r="D1335" s="2" t="s">
        <v>13416</v>
      </c>
      <c r="E1335" s="2" t="s">
        <v>13417</v>
      </c>
      <c r="G1335" s="3" t="s">
        <v>62</v>
      </c>
      <c r="I1335" s="3" t="s">
        <v>62</v>
      </c>
      <c r="J1335" s="3" t="s">
        <v>62</v>
      </c>
      <c r="K1335" s="3" t="s">
        <v>63</v>
      </c>
      <c r="L1335" s="2" t="s">
        <v>13418</v>
      </c>
      <c r="M1335" s="2" t="s">
        <v>13419</v>
      </c>
      <c r="N1335" s="3" t="s">
        <v>625</v>
      </c>
      <c r="P1335" s="3" t="s">
        <v>64</v>
      </c>
      <c r="R1335" s="3" t="s">
        <v>13065</v>
      </c>
      <c r="S1335" s="4">
        <v>9</v>
      </c>
      <c r="T1335" s="4">
        <v>9</v>
      </c>
      <c r="U1335" s="5" t="s">
        <v>13420</v>
      </c>
      <c r="V1335" s="5" t="s">
        <v>13420</v>
      </c>
      <c r="W1335" s="5" t="s">
        <v>67</v>
      </c>
      <c r="X1335" s="5" t="s">
        <v>67</v>
      </c>
      <c r="Y1335" s="4">
        <v>299</v>
      </c>
      <c r="Z1335" s="4">
        <v>20</v>
      </c>
      <c r="AA1335" s="4">
        <v>106</v>
      </c>
      <c r="AB1335" s="4">
        <v>3</v>
      </c>
      <c r="AC1335" s="4">
        <v>18</v>
      </c>
      <c r="AD1335" s="4">
        <v>87</v>
      </c>
      <c r="AE1335" s="4">
        <v>139</v>
      </c>
      <c r="AF1335" s="4">
        <v>1</v>
      </c>
      <c r="AG1335" s="4">
        <v>8</v>
      </c>
      <c r="AH1335" s="4">
        <v>78</v>
      </c>
      <c r="AI1335" s="4">
        <v>101</v>
      </c>
      <c r="AJ1335" s="4">
        <v>13</v>
      </c>
      <c r="AK1335" s="4">
        <v>24</v>
      </c>
      <c r="AL1335" s="4">
        <v>42</v>
      </c>
      <c r="AM1335" s="4">
        <v>53</v>
      </c>
      <c r="AN1335" s="4">
        <v>0</v>
      </c>
      <c r="AO1335" s="4">
        <v>0</v>
      </c>
      <c r="AP1335" s="4">
        <v>15</v>
      </c>
      <c r="AQ1335" s="4">
        <v>46</v>
      </c>
      <c r="AR1335" s="3" t="s">
        <v>62</v>
      </c>
      <c r="AS1335" s="3" t="s">
        <v>62</v>
      </c>
      <c r="AT1335" s="3" t="s">
        <v>62</v>
      </c>
      <c r="AV1335" s="6" t="str">
        <f>HYPERLINK("http://mcgill.on.worldcat.org/oclc/50919787","Catalog Record")</f>
        <v>Catalog Record</v>
      </c>
      <c r="AW1335" s="6" t="str">
        <f>HYPERLINK("http://www.worldcat.org/oclc/50919787","WorldCat Record")</f>
        <v>WorldCat Record</v>
      </c>
      <c r="AX1335" s="3" t="s">
        <v>13421</v>
      </c>
      <c r="AY1335" s="3" t="s">
        <v>13422</v>
      </c>
      <c r="AZ1335" s="3" t="s">
        <v>13423</v>
      </c>
      <c r="BA1335" s="3" t="s">
        <v>13423</v>
      </c>
      <c r="BB1335" s="3" t="s">
        <v>13424</v>
      </c>
      <c r="BC1335" s="3" t="s">
        <v>102</v>
      </c>
      <c r="BD1335" s="3" t="s">
        <v>68</v>
      </c>
      <c r="BE1335" s="3" t="s">
        <v>13425</v>
      </c>
      <c r="BF1335" s="3" t="s">
        <v>13424</v>
      </c>
      <c r="BG1335" s="3" t="s">
        <v>13426</v>
      </c>
    </row>
    <row r="1336" spans="1:59" ht="58" x14ac:dyDescent="0.35">
      <c r="A1336" s="2" t="s">
        <v>89</v>
      </c>
      <c r="B1336" s="2" t="s">
        <v>90</v>
      </c>
      <c r="C1336" s="2" t="s">
        <v>13427</v>
      </c>
      <c r="D1336" s="2" t="s">
        <v>13428</v>
      </c>
      <c r="E1336" s="2" t="s">
        <v>13429</v>
      </c>
      <c r="G1336" s="3" t="s">
        <v>62</v>
      </c>
      <c r="I1336" s="3" t="s">
        <v>62</v>
      </c>
      <c r="J1336" s="3" t="s">
        <v>61</v>
      </c>
      <c r="K1336" s="3" t="s">
        <v>63</v>
      </c>
      <c r="L1336" s="2" t="s">
        <v>13430</v>
      </c>
      <c r="M1336" s="2" t="s">
        <v>13431</v>
      </c>
      <c r="N1336" s="3" t="s">
        <v>698</v>
      </c>
      <c r="O1336" s="2" t="s">
        <v>13432</v>
      </c>
      <c r="P1336" s="3" t="s">
        <v>64</v>
      </c>
      <c r="R1336" s="3" t="s">
        <v>13065</v>
      </c>
      <c r="S1336" s="4">
        <v>13</v>
      </c>
      <c r="T1336" s="4">
        <v>13</v>
      </c>
      <c r="U1336" s="5" t="s">
        <v>3051</v>
      </c>
      <c r="V1336" s="5" t="s">
        <v>3051</v>
      </c>
      <c r="W1336" s="5" t="s">
        <v>67</v>
      </c>
      <c r="X1336" s="5" t="s">
        <v>67</v>
      </c>
      <c r="Y1336" s="4">
        <v>29</v>
      </c>
      <c r="Z1336" s="4">
        <v>3</v>
      </c>
      <c r="AA1336" s="4">
        <v>82</v>
      </c>
      <c r="AB1336" s="4">
        <v>1</v>
      </c>
      <c r="AC1336" s="4">
        <v>14</v>
      </c>
      <c r="AD1336" s="4">
        <v>4</v>
      </c>
      <c r="AE1336" s="4">
        <v>161</v>
      </c>
      <c r="AF1336" s="4">
        <v>0</v>
      </c>
      <c r="AG1336" s="4">
        <v>7</v>
      </c>
      <c r="AH1336" s="4">
        <v>3</v>
      </c>
      <c r="AI1336" s="4">
        <v>116</v>
      </c>
      <c r="AJ1336" s="4">
        <v>1</v>
      </c>
      <c r="AK1336" s="4">
        <v>28</v>
      </c>
      <c r="AL1336" s="4">
        <v>0</v>
      </c>
      <c r="AM1336" s="4">
        <v>62</v>
      </c>
      <c r="AN1336" s="4">
        <v>0</v>
      </c>
      <c r="AO1336" s="4">
        <v>0</v>
      </c>
      <c r="AP1336" s="4">
        <v>2</v>
      </c>
      <c r="AQ1336" s="4">
        <v>52</v>
      </c>
      <c r="AR1336" s="3" t="s">
        <v>62</v>
      </c>
      <c r="AS1336" s="3" t="s">
        <v>62</v>
      </c>
      <c r="AT1336" s="3" t="s">
        <v>62</v>
      </c>
      <c r="AV1336" s="6" t="str">
        <f>HYPERLINK("http://mcgill.on.worldcat.org/oclc/752068450","Catalog Record")</f>
        <v>Catalog Record</v>
      </c>
      <c r="AW1336" s="6" t="str">
        <f>HYPERLINK("http://www.worldcat.org/oclc/752068450","WorldCat Record")</f>
        <v>WorldCat Record</v>
      </c>
      <c r="AX1336" s="3" t="s">
        <v>13433</v>
      </c>
      <c r="AY1336" s="3" t="s">
        <v>13434</v>
      </c>
      <c r="AZ1336" s="3" t="s">
        <v>13435</v>
      </c>
      <c r="BA1336" s="3" t="s">
        <v>13435</v>
      </c>
      <c r="BB1336" s="3" t="s">
        <v>13436</v>
      </c>
      <c r="BC1336" s="3" t="s">
        <v>102</v>
      </c>
      <c r="BD1336" s="3" t="s">
        <v>68</v>
      </c>
      <c r="BE1336" s="3" t="s">
        <v>13437</v>
      </c>
      <c r="BF1336" s="3" t="s">
        <v>13436</v>
      </c>
      <c r="BG1336" s="3" t="s">
        <v>13438</v>
      </c>
    </row>
    <row r="1337" spans="1:59" ht="58" x14ac:dyDescent="0.35">
      <c r="A1337" s="2" t="s">
        <v>89</v>
      </c>
      <c r="B1337" s="2" t="s">
        <v>90</v>
      </c>
      <c r="C1337" s="2" t="s">
        <v>13439</v>
      </c>
      <c r="D1337" s="2" t="s">
        <v>13440</v>
      </c>
      <c r="E1337" s="2" t="s">
        <v>13441</v>
      </c>
      <c r="G1337" s="3" t="s">
        <v>62</v>
      </c>
      <c r="I1337" s="3" t="s">
        <v>62</v>
      </c>
      <c r="J1337" s="3" t="s">
        <v>62</v>
      </c>
      <c r="K1337" s="3" t="s">
        <v>63</v>
      </c>
      <c r="L1337" s="2" t="s">
        <v>13442</v>
      </c>
      <c r="M1337" s="2" t="s">
        <v>13443</v>
      </c>
      <c r="N1337" s="3" t="s">
        <v>3062</v>
      </c>
      <c r="P1337" s="3" t="s">
        <v>64</v>
      </c>
      <c r="R1337" s="3" t="s">
        <v>13065</v>
      </c>
      <c r="S1337" s="4">
        <v>38</v>
      </c>
      <c r="T1337" s="4">
        <v>38</v>
      </c>
      <c r="U1337" s="5" t="s">
        <v>3331</v>
      </c>
      <c r="V1337" s="5" t="s">
        <v>3331</v>
      </c>
      <c r="W1337" s="5" t="s">
        <v>67</v>
      </c>
      <c r="X1337" s="5" t="s">
        <v>67</v>
      </c>
      <c r="Y1337" s="4">
        <v>452</v>
      </c>
      <c r="Z1337" s="4">
        <v>23</v>
      </c>
      <c r="AA1337" s="4">
        <v>38</v>
      </c>
      <c r="AB1337" s="4">
        <v>2</v>
      </c>
      <c r="AC1337" s="4">
        <v>5</v>
      </c>
      <c r="AD1337" s="4">
        <v>86</v>
      </c>
      <c r="AE1337" s="4">
        <v>124</v>
      </c>
      <c r="AF1337" s="4">
        <v>1</v>
      </c>
      <c r="AG1337" s="4">
        <v>4</v>
      </c>
      <c r="AH1337" s="4">
        <v>72</v>
      </c>
      <c r="AI1337" s="4">
        <v>103</v>
      </c>
      <c r="AJ1337" s="4">
        <v>12</v>
      </c>
      <c r="AK1337" s="4">
        <v>23</v>
      </c>
      <c r="AL1337" s="4">
        <v>41</v>
      </c>
      <c r="AM1337" s="4">
        <v>57</v>
      </c>
      <c r="AN1337" s="4">
        <v>0</v>
      </c>
      <c r="AO1337" s="4">
        <v>0</v>
      </c>
      <c r="AP1337" s="4">
        <v>18</v>
      </c>
      <c r="AQ1337" s="4">
        <v>29</v>
      </c>
      <c r="AR1337" s="3" t="s">
        <v>62</v>
      </c>
      <c r="AS1337" s="3" t="s">
        <v>62</v>
      </c>
      <c r="AT1337" s="3" t="s">
        <v>62</v>
      </c>
      <c r="AV1337" s="6" t="str">
        <f>HYPERLINK("http://mcgill.on.worldcat.org/oclc/24142939","Catalog Record")</f>
        <v>Catalog Record</v>
      </c>
      <c r="AW1337" s="6" t="str">
        <f>HYPERLINK("http://www.worldcat.org/oclc/24142939","WorldCat Record")</f>
        <v>WorldCat Record</v>
      </c>
      <c r="AX1337" s="3" t="s">
        <v>13444</v>
      </c>
      <c r="AY1337" s="3" t="s">
        <v>13445</v>
      </c>
      <c r="AZ1337" s="3" t="s">
        <v>13446</v>
      </c>
      <c r="BA1337" s="3" t="s">
        <v>13446</v>
      </c>
      <c r="BB1337" s="3" t="s">
        <v>13447</v>
      </c>
      <c r="BC1337" s="3" t="s">
        <v>102</v>
      </c>
      <c r="BD1337" s="3" t="s">
        <v>68</v>
      </c>
      <c r="BE1337" s="3" t="s">
        <v>13448</v>
      </c>
      <c r="BF1337" s="3" t="s">
        <v>13447</v>
      </c>
      <c r="BG1337" s="3" t="s">
        <v>13449</v>
      </c>
    </row>
    <row r="1338" spans="1:59" ht="58" x14ac:dyDescent="0.35">
      <c r="A1338" s="2" t="s">
        <v>89</v>
      </c>
      <c r="B1338" s="2" t="s">
        <v>90</v>
      </c>
      <c r="C1338" s="2" t="s">
        <v>13450</v>
      </c>
      <c r="D1338" s="2" t="s">
        <v>13451</v>
      </c>
      <c r="E1338" s="2" t="s">
        <v>13452</v>
      </c>
      <c r="G1338" s="3" t="s">
        <v>62</v>
      </c>
      <c r="I1338" s="3" t="s">
        <v>62</v>
      </c>
      <c r="J1338" s="3" t="s">
        <v>62</v>
      </c>
      <c r="K1338" s="3" t="s">
        <v>63</v>
      </c>
      <c r="M1338" s="2" t="s">
        <v>13453</v>
      </c>
      <c r="N1338" s="3" t="s">
        <v>684</v>
      </c>
      <c r="P1338" s="3" t="s">
        <v>64</v>
      </c>
      <c r="Q1338" s="2" t="s">
        <v>13454</v>
      </c>
      <c r="R1338" s="3" t="s">
        <v>13065</v>
      </c>
      <c r="S1338" s="4">
        <v>0</v>
      </c>
      <c r="T1338" s="4">
        <v>0</v>
      </c>
      <c r="W1338" s="5" t="s">
        <v>67</v>
      </c>
      <c r="X1338" s="5" t="s">
        <v>67</v>
      </c>
      <c r="Y1338" s="4">
        <v>51</v>
      </c>
      <c r="Z1338" s="4">
        <v>4</v>
      </c>
      <c r="AA1338" s="4">
        <v>36</v>
      </c>
      <c r="AB1338" s="4">
        <v>1</v>
      </c>
      <c r="AC1338" s="4">
        <v>8</v>
      </c>
      <c r="AD1338" s="4">
        <v>21</v>
      </c>
      <c r="AE1338" s="4">
        <v>84</v>
      </c>
      <c r="AF1338" s="4">
        <v>0</v>
      </c>
      <c r="AG1338" s="4">
        <v>4</v>
      </c>
      <c r="AH1338" s="4">
        <v>20</v>
      </c>
      <c r="AI1338" s="4">
        <v>62</v>
      </c>
      <c r="AJ1338" s="4">
        <v>2</v>
      </c>
      <c r="AK1338" s="4">
        <v>18</v>
      </c>
      <c r="AL1338" s="4">
        <v>13</v>
      </c>
      <c r="AM1338" s="4">
        <v>32</v>
      </c>
      <c r="AN1338" s="4">
        <v>0</v>
      </c>
      <c r="AO1338" s="4">
        <v>0</v>
      </c>
      <c r="AP1338" s="4">
        <v>2</v>
      </c>
      <c r="AQ1338" s="4">
        <v>29</v>
      </c>
      <c r="AR1338" s="3" t="s">
        <v>62</v>
      </c>
      <c r="AS1338" s="3" t="s">
        <v>62</v>
      </c>
      <c r="AT1338" s="3" t="s">
        <v>62</v>
      </c>
      <c r="AV1338" s="6" t="str">
        <f>HYPERLINK("http://mcgill.on.worldcat.org/oclc/695008859","Catalog Record")</f>
        <v>Catalog Record</v>
      </c>
      <c r="AW1338" s="6" t="str">
        <f>HYPERLINK("http://www.worldcat.org/oclc/695008859","WorldCat Record")</f>
        <v>WorldCat Record</v>
      </c>
      <c r="AX1338" s="3" t="s">
        <v>13455</v>
      </c>
      <c r="AY1338" s="3" t="s">
        <v>13456</v>
      </c>
      <c r="AZ1338" s="3" t="s">
        <v>13457</v>
      </c>
      <c r="BA1338" s="3" t="s">
        <v>13457</v>
      </c>
      <c r="BB1338" s="3" t="s">
        <v>13458</v>
      </c>
      <c r="BC1338" s="3" t="s">
        <v>102</v>
      </c>
      <c r="BD1338" s="3" t="s">
        <v>68</v>
      </c>
      <c r="BE1338" s="3" t="s">
        <v>13459</v>
      </c>
      <c r="BF1338" s="3" t="s">
        <v>13458</v>
      </c>
      <c r="BG1338" s="3" t="s">
        <v>13460</v>
      </c>
    </row>
    <row r="1339" spans="1:59" ht="58" x14ac:dyDescent="0.35">
      <c r="A1339" s="2" t="s">
        <v>89</v>
      </c>
      <c r="B1339" s="2" t="s">
        <v>90</v>
      </c>
      <c r="C1339" s="2" t="s">
        <v>13461</v>
      </c>
      <c r="D1339" s="2" t="s">
        <v>13462</v>
      </c>
      <c r="E1339" s="2" t="s">
        <v>13463</v>
      </c>
      <c r="G1339" s="3" t="s">
        <v>62</v>
      </c>
      <c r="I1339" s="3" t="s">
        <v>62</v>
      </c>
      <c r="J1339" s="3" t="s">
        <v>61</v>
      </c>
      <c r="K1339" s="3" t="s">
        <v>63</v>
      </c>
      <c r="L1339" s="2" t="s">
        <v>13464</v>
      </c>
      <c r="M1339" s="2" t="s">
        <v>13465</v>
      </c>
      <c r="N1339" s="3" t="s">
        <v>930</v>
      </c>
      <c r="O1339" s="2" t="s">
        <v>8443</v>
      </c>
      <c r="P1339" s="3" t="s">
        <v>64</v>
      </c>
      <c r="R1339" s="3" t="s">
        <v>13065</v>
      </c>
      <c r="S1339" s="4">
        <v>27</v>
      </c>
      <c r="T1339" s="4">
        <v>27</v>
      </c>
      <c r="U1339" s="5" t="s">
        <v>3583</v>
      </c>
      <c r="V1339" s="5" t="s">
        <v>3583</v>
      </c>
      <c r="W1339" s="5" t="s">
        <v>67</v>
      </c>
      <c r="X1339" s="5" t="s">
        <v>67</v>
      </c>
      <c r="Y1339" s="4">
        <v>289</v>
      </c>
      <c r="Z1339" s="4">
        <v>25</v>
      </c>
      <c r="AA1339" s="4">
        <v>58</v>
      </c>
      <c r="AB1339" s="4">
        <v>2</v>
      </c>
      <c r="AC1339" s="4">
        <v>8</v>
      </c>
      <c r="AD1339" s="4">
        <v>66</v>
      </c>
      <c r="AE1339" s="4">
        <v>144</v>
      </c>
      <c r="AF1339" s="4">
        <v>1</v>
      </c>
      <c r="AG1339" s="4">
        <v>6</v>
      </c>
      <c r="AH1339" s="4">
        <v>52</v>
      </c>
      <c r="AI1339" s="4">
        <v>111</v>
      </c>
      <c r="AJ1339" s="4">
        <v>11</v>
      </c>
      <c r="AK1339" s="4">
        <v>26</v>
      </c>
      <c r="AL1339" s="4">
        <v>34</v>
      </c>
      <c r="AM1339" s="4">
        <v>61</v>
      </c>
      <c r="AN1339" s="4">
        <v>0</v>
      </c>
      <c r="AO1339" s="4">
        <v>5</v>
      </c>
      <c r="AP1339" s="4">
        <v>16</v>
      </c>
      <c r="AQ1339" s="4">
        <v>38</v>
      </c>
      <c r="AR1339" s="3" t="s">
        <v>62</v>
      </c>
      <c r="AS1339" s="3" t="s">
        <v>62</v>
      </c>
      <c r="AT1339" s="3" t="s">
        <v>62</v>
      </c>
      <c r="AV1339" s="6" t="str">
        <f>HYPERLINK("http://mcgill.on.worldcat.org/oclc/6177752","Catalog Record")</f>
        <v>Catalog Record</v>
      </c>
      <c r="AW1339" s="6" t="str">
        <f>HYPERLINK("http://www.worldcat.org/oclc/6177752","WorldCat Record")</f>
        <v>WorldCat Record</v>
      </c>
      <c r="AX1339" s="3" t="s">
        <v>13466</v>
      </c>
      <c r="AY1339" s="3" t="s">
        <v>13467</v>
      </c>
      <c r="AZ1339" s="3" t="s">
        <v>13468</v>
      </c>
      <c r="BA1339" s="3" t="s">
        <v>13468</v>
      </c>
      <c r="BB1339" s="3" t="s">
        <v>13469</v>
      </c>
      <c r="BC1339" s="3" t="s">
        <v>102</v>
      </c>
      <c r="BD1339" s="3" t="s">
        <v>68</v>
      </c>
      <c r="BE1339" s="3" t="s">
        <v>13470</v>
      </c>
      <c r="BF1339" s="3" t="s">
        <v>13469</v>
      </c>
      <c r="BG1339" s="3" t="s">
        <v>13471</v>
      </c>
    </row>
    <row r="1340" spans="1:59" ht="58" x14ac:dyDescent="0.35">
      <c r="A1340" s="2" t="s">
        <v>89</v>
      </c>
      <c r="B1340" s="2" t="s">
        <v>90</v>
      </c>
      <c r="C1340" s="2" t="s">
        <v>13472</v>
      </c>
      <c r="D1340" s="2" t="s">
        <v>13473</v>
      </c>
      <c r="E1340" s="2" t="s">
        <v>13474</v>
      </c>
      <c r="G1340" s="3" t="s">
        <v>62</v>
      </c>
      <c r="I1340" s="3" t="s">
        <v>62</v>
      </c>
      <c r="J1340" s="3" t="s">
        <v>62</v>
      </c>
      <c r="K1340" s="3" t="s">
        <v>63</v>
      </c>
      <c r="L1340" s="2" t="s">
        <v>13475</v>
      </c>
      <c r="M1340" s="2" t="s">
        <v>13476</v>
      </c>
      <c r="N1340" s="3" t="s">
        <v>1077</v>
      </c>
      <c r="P1340" s="3" t="s">
        <v>64</v>
      </c>
      <c r="Q1340" s="2" t="s">
        <v>3500</v>
      </c>
      <c r="R1340" s="3" t="s">
        <v>13065</v>
      </c>
      <c r="S1340" s="4">
        <v>19</v>
      </c>
      <c r="T1340" s="4">
        <v>19</v>
      </c>
      <c r="U1340" s="5" t="s">
        <v>13477</v>
      </c>
      <c r="V1340" s="5" t="s">
        <v>13477</v>
      </c>
      <c r="W1340" s="5" t="s">
        <v>67</v>
      </c>
      <c r="X1340" s="5" t="s">
        <v>67</v>
      </c>
      <c r="Y1340" s="4">
        <v>321</v>
      </c>
      <c r="Z1340" s="4">
        <v>20</v>
      </c>
      <c r="AA1340" s="4">
        <v>107</v>
      </c>
      <c r="AB1340" s="4">
        <v>2</v>
      </c>
      <c r="AC1340" s="4">
        <v>17</v>
      </c>
      <c r="AD1340" s="4">
        <v>101</v>
      </c>
      <c r="AE1340" s="4">
        <v>144</v>
      </c>
      <c r="AF1340" s="4">
        <v>1</v>
      </c>
      <c r="AG1340" s="4">
        <v>8</v>
      </c>
      <c r="AH1340" s="4">
        <v>90</v>
      </c>
      <c r="AI1340" s="4">
        <v>104</v>
      </c>
      <c r="AJ1340" s="4">
        <v>15</v>
      </c>
      <c r="AK1340" s="4">
        <v>25</v>
      </c>
      <c r="AL1340" s="4">
        <v>52</v>
      </c>
      <c r="AM1340" s="4">
        <v>56</v>
      </c>
      <c r="AN1340" s="4">
        <v>0</v>
      </c>
      <c r="AO1340" s="4">
        <v>0</v>
      </c>
      <c r="AP1340" s="4">
        <v>16</v>
      </c>
      <c r="AQ1340" s="4">
        <v>48</v>
      </c>
      <c r="AR1340" s="3" t="s">
        <v>62</v>
      </c>
      <c r="AS1340" s="3" t="s">
        <v>62</v>
      </c>
      <c r="AT1340" s="3" t="s">
        <v>62</v>
      </c>
      <c r="AV1340" s="6" t="str">
        <f>HYPERLINK("http://mcgill.on.worldcat.org/oclc/27186614","Catalog Record")</f>
        <v>Catalog Record</v>
      </c>
      <c r="AW1340" s="6" t="str">
        <f>HYPERLINK("http://www.worldcat.org/oclc/27186614","WorldCat Record")</f>
        <v>WorldCat Record</v>
      </c>
      <c r="AX1340" s="3" t="s">
        <v>13478</v>
      </c>
      <c r="AY1340" s="3" t="s">
        <v>13479</v>
      </c>
      <c r="AZ1340" s="3" t="s">
        <v>13480</v>
      </c>
      <c r="BA1340" s="3" t="s">
        <v>13480</v>
      </c>
      <c r="BB1340" s="3" t="s">
        <v>13481</v>
      </c>
      <c r="BC1340" s="3" t="s">
        <v>102</v>
      </c>
      <c r="BD1340" s="3" t="s">
        <v>68</v>
      </c>
      <c r="BE1340" s="3" t="s">
        <v>13482</v>
      </c>
      <c r="BF1340" s="3" t="s">
        <v>13481</v>
      </c>
      <c r="BG1340" s="3" t="s">
        <v>13483</v>
      </c>
    </row>
    <row r="1341" spans="1:59" ht="58" x14ac:dyDescent="0.35">
      <c r="A1341" s="2" t="s">
        <v>89</v>
      </c>
      <c r="B1341" s="2" t="s">
        <v>90</v>
      </c>
      <c r="C1341" s="2" t="s">
        <v>13484</v>
      </c>
      <c r="D1341" s="2" t="s">
        <v>13485</v>
      </c>
      <c r="E1341" s="2" t="s">
        <v>13486</v>
      </c>
      <c r="G1341" s="3" t="s">
        <v>62</v>
      </c>
      <c r="I1341" s="3" t="s">
        <v>61</v>
      </c>
      <c r="J1341" s="3" t="s">
        <v>62</v>
      </c>
      <c r="K1341" s="3" t="s">
        <v>63</v>
      </c>
      <c r="L1341" s="2" t="s">
        <v>13487</v>
      </c>
      <c r="M1341" s="2" t="s">
        <v>13488</v>
      </c>
      <c r="N1341" s="3" t="s">
        <v>327</v>
      </c>
      <c r="P1341" s="3" t="s">
        <v>64</v>
      </c>
      <c r="R1341" s="3" t="s">
        <v>13065</v>
      </c>
      <c r="S1341" s="4">
        <v>10</v>
      </c>
      <c r="T1341" s="4">
        <v>39</v>
      </c>
      <c r="U1341" s="5" t="s">
        <v>398</v>
      </c>
      <c r="V1341" s="5" t="s">
        <v>5405</v>
      </c>
      <c r="W1341" s="5" t="s">
        <v>67</v>
      </c>
      <c r="X1341" s="5" t="s">
        <v>67</v>
      </c>
      <c r="Y1341" s="4">
        <v>619</v>
      </c>
      <c r="Z1341" s="4">
        <v>30</v>
      </c>
      <c r="AA1341" s="4">
        <v>43</v>
      </c>
      <c r="AB1341" s="4">
        <v>1</v>
      </c>
      <c r="AC1341" s="4">
        <v>7</v>
      </c>
      <c r="AD1341" s="4">
        <v>118</v>
      </c>
      <c r="AE1341" s="4">
        <v>131</v>
      </c>
      <c r="AF1341" s="4">
        <v>0</v>
      </c>
      <c r="AG1341" s="4">
        <v>3</v>
      </c>
      <c r="AH1341" s="4">
        <v>100</v>
      </c>
      <c r="AI1341" s="4">
        <v>107</v>
      </c>
      <c r="AJ1341" s="4">
        <v>18</v>
      </c>
      <c r="AK1341" s="4">
        <v>23</v>
      </c>
      <c r="AL1341" s="4">
        <v>53</v>
      </c>
      <c r="AM1341" s="4">
        <v>56</v>
      </c>
      <c r="AN1341" s="4">
        <v>0</v>
      </c>
      <c r="AO1341" s="4">
        <v>0</v>
      </c>
      <c r="AP1341" s="4">
        <v>25</v>
      </c>
      <c r="AQ1341" s="4">
        <v>32</v>
      </c>
      <c r="AR1341" s="3" t="s">
        <v>62</v>
      </c>
      <c r="AS1341" s="3" t="s">
        <v>62</v>
      </c>
      <c r="AT1341" s="3" t="s">
        <v>61</v>
      </c>
      <c r="AU1341" s="6" t="str">
        <f>HYPERLINK("http://catalog.hathitrust.org/Record/004484408","HathiTrust Record")</f>
        <v>HathiTrust Record</v>
      </c>
      <c r="AV1341" s="6" t="str">
        <f>HYPERLINK("http://mcgill.on.worldcat.org/oclc/8052714","Catalog Record")</f>
        <v>Catalog Record</v>
      </c>
      <c r="AW1341" s="6" t="str">
        <f>HYPERLINK("http://www.worldcat.org/oclc/8052714","WorldCat Record")</f>
        <v>WorldCat Record</v>
      </c>
      <c r="AX1341" s="3" t="s">
        <v>13489</v>
      </c>
      <c r="AY1341" s="3" t="s">
        <v>13490</v>
      </c>
      <c r="AZ1341" s="3" t="s">
        <v>13491</v>
      </c>
      <c r="BA1341" s="3" t="s">
        <v>13491</v>
      </c>
      <c r="BB1341" s="3" t="s">
        <v>13492</v>
      </c>
      <c r="BC1341" s="3" t="s">
        <v>102</v>
      </c>
      <c r="BD1341" s="3" t="s">
        <v>68</v>
      </c>
      <c r="BE1341" s="3" t="s">
        <v>13493</v>
      </c>
      <c r="BF1341" s="3" t="s">
        <v>13492</v>
      </c>
      <c r="BG1341" s="3" t="s">
        <v>13494</v>
      </c>
    </row>
    <row r="1342" spans="1:59" ht="58" x14ac:dyDescent="0.35">
      <c r="A1342" s="2" t="s">
        <v>89</v>
      </c>
      <c r="B1342" s="2" t="s">
        <v>90</v>
      </c>
      <c r="C1342" s="2" t="s">
        <v>13495</v>
      </c>
      <c r="D1342" s="2" t="s">
        <v>13496</v>
      </c>
      <c r="E1342" s="2" t="s">
        <v>13497</v>
      </c>
      <c r="G1342" s="3" t="s">
        <v>62</v>
      </c>
      <c r="I1342" s="3" t="s">
        <v>62</v>
      </c>
      <c r="J1342" s="3" t="s">
        <v>62</v>
      </c>
      <c r="K1342" s="3" t="s">
        <v>63</v>
      </c>
      <c r="L1342" s="2" t="s">
        <v>1262</v>
      </c>
      <c r="M1342" s="2" t="s">
        <v>13498</v>
      </c>
      <c r="N1342" s="3" t="s">
        <v>684</v>
      </c>
      <c r="P1342" s="3" t="s">
        <v>64</v>
      </c>
      <c r="R1342" s="3" t="s">
        <v>13065</v>
      </c>
      <c r="S1342" s="4">
        <v>3</v>
      </c>
      <c r="T1342" s="4">
        <v>3</v>
      </c>
      <c r="U1342" s="5" t="s">
        <v>13499</v>
      </c>
      <c r="V1342" s="5" t="s">
        <v>13499</v>
      </c>
      <c r="W1342" s="5" t="s">
        <v>67</v>
      </c>
      <c r="X1342" s="5" t="s">
        <v>67</v>
      </c>
      <c r="Y1342" s="4">
        <v>111</v>
      </c>
      <c r="Z1342" s="4">
        <v>10</v>
      </c>
      <c r="AA1342" s="4">
        <v>31</v>
      </c>
      <c r="AB1342" s="4">
        <v>2</v>
      </c>
      <c r="AC1342" s="4">
        <v>8</v>
      </c>
      <c r="AD1342" s="4">
        <v>37</v>
      </c>
      <c r="AE1342" s="4">
        <v>44</v>
      </c>
      <c r="AF1342" s="4">
        <v>1</v>
      </c>
      <c r="AG1342" s="4">
        <v>1</v>
      </c>
      <c r="AH1342" s="4">
        <v>34</v>
      </c>
      <c r="AI1342" s="4">
        <v>38</v>
      </c>
      <c r="AJ1342" s="4">
        <v>8</v>
      </c>
      <c r="AK1342" s="4">
        <v>11</v>
      </c>
      <c r="AL1342" s="4">
        <v>20</v>
      </c>
      <c r="AM1342" s="4">
        <v>23</v>
      </c>
      <c r="AN1342" s="4">
        <v>0</v>
      </c>
      <c r="AO1342" s="4">
        <v>0</v>
      </c>
      <c r="AP1342" s="4">
        <v>8</v>
      </c>
      <c r="AQ1342" s="4">
        <v>12</v>
      </c>
      <c r="AR1342" s="3" t="s">
        <v>62</v>
      </c>
      <c r="AS1342" s="3" t="s">
        <v>62</v>
      </c>
      <c r="AT1342" s="3" t="s">
        <v>62</v>
      </c>
      <c r="AV1342" s="6" t="str">
        <f>HYPERLINK("http://mcgill.on.worldcat.org/oclc/657602920","Catalog Record")</f>
        <v>Catalog Record</v>
      </c>
      <c r="AW1342" s="6" t="str">
        <f>HYPERLINK("http://www.worldcat.org/oclc/657602920","WorldCat Record")</f>
        <v>WorldCat Record</v>
      </c>
      <c r="AX1342" s="3" t="s">
        <v>13500</v>
      </c>
      <c r="AY1342" s="3" t="s">
        <v>13501</v>
      </c>
      <c r="AZ1342" s="3" t="s">
        <v>13502</v>
      </c>
      <c r="BA1342" s="3" t="s">
        <v>13502</v>
      </c>
      <c r="BB1342" s="3" t="s">
        <v>13503</v>
      </c>
      <c r="BC1342" s="3" t="s">
        <v>102</v>
      </c>
      <c r="BD1342" s="3" t="s">
        <v>68</v>
      </c>
      <c r="BE1342" s="3" t="s">
        <v>13504</v>
      </c>
      <c r="BF1342" s="3" t="s">
        <v>13503</v>
      </c>
      <c r="BG1342" s="3" t="s">
        <v>13505</v>
      </c>
    </row>
    <row r="1343" spans="1:59" ht="72.5" x14ac:dyDescent="0.35">
      <c r="A1343" s="2" t="s">
        <v>89</v>
      </c>
      <c r="B1343" s="2" t="s">
        <v>90</v>
      </c>
      <c r="C1343" s="2" t="s">
        <v>13506</v>
      </c>
      <c r="D1343" s="2" t="s">
        <v>13507</v>
      </c>
      <c r="E1343" s="2" t="s">
        <v>13508</v>
      </c>
      <c r="G1343" s="3" t="s">
        <v>62</v>
      </c>
      <c r="I1343" s="3" t="s">
        <v>62</v>
      </c>
      <c r="J1343" s="3" t="s">
        <v>62</v>
      </c>
      <c r="K1343" s="3" t="s">
        <v>63</v>
      </c>
      <c r="L1343" s="2" t="s">
        <v>13509</v>
      </c>
      <c r="M1343" s="2" t="s">
        <v>13510</v>
      </c>
      <c r="N1343" s="3" t="s">
        <v>2985</v>
      </c>
      <c r="O1343" s="2" t="s">
        <v>13511</v>
      </c>
      <c r="P1343" s="3" t="s">
        <v>64</v>
      </c>
      <c r="R1343" s="3" t="s">
        <v>13065</v>
      </c>
      <c r="S1343" s="4">
        <v>6</v>
      </c>
      <c r="T1343" s="4">
        <v>6</v>
      </c>
      <c r="U1343" s="5" t="s">
        <v>13512</v>
      </c>
      <c r="V1343" s="5" t="s">
        <v>13512</v>
      </c>
      <c r="W1343" s="5" t="s">
        <v>67</v>
      </c>
      <c r="X1343" s="5" t="s">
        <v>67</v>
      </c>
      <c r="Y1343" s="4">
        <v>1313</v>
      </c>
      <c r="Z1343" s="4">
        <v>38</v>
      </c>
      <c r="AA1343" s="4">
        <v>48</v>
      </c>
      <c r="AB1343" s="4">
        <v>6</v>
      </c>
      <c r="AC1343" s="4">
        <v>9</v>
      </c>
      <c r="AD1343" s="4">
        <v>86</v>
      </c>
      <c r="AE1343" s="4">
        <v>92</v>
      </c>
      <c r="AF1343" s="4">
        <v>2</v>
      </c>
      <c r="AG1343" s="4">
        <v>3</v>
      </c>
      <c r="AH1343" s="4">
        <v>76</v>
      </c>
      <c r="AI1343" s="4">
        <v>80</v>
      </c>
      <c r="AJ1343" s="4">
        <v>9</v>
      </c>
      <c r="AK1343" s="4">
        <v>11</v>
      </c>
      <c r="AL1343" s="4">
        <v>45</v>
      </c>
      <c r="AM1343" s="4">
        <v>46</v>
      </c>
      <c r="AN1343" s="4">
        <v>0</v>
      </c>
      <c r="AO1343" s="4">
        <v>0</v>
      </c>
      <c r="AP1343" s="4">
        <v>13</v>
      </c>
      <c r="AQ1343" s="4">
        <v>16</v>
      </c>
      <c r="AR1343" s="3" t="s">
        <v>62</v>
      </c>
      <c r="AS1343" s="3" t="s">
        <v>62</v>
      </c>
      <c r="AT1343" s="3" t="s">
        <v>62</v>
      </c>
      <c r="AV1343" s="6" t="str">
        <f>HYPERLINK("http://mcgill.on.worldcat.org/oclc/209694006","Catalog Record")</f>
        <v>Catalog Record</v>
      </c>
      <c r="AW1343" s="6" t="str">
        <f>HYPERLINK("http://www.worldcat.org/oclc/209694006","WorldCat Record")</f>
        <v>WorldCat Record</v>
      </c>
      <c r="AX1343" s="3" t="s">
        <v>13513</v>
      </c>
      <c r="AY1343" s="3" t="s">
        <v>13514</v>
      </c>
      <c r="AZ1343" s="3" t="s">
        <v>13515</v>
      </c>
      <c r="BA1343" s="3" t="s">
        <v>13515</v>
      </c>
      <c r="BB1343" s="3" t="s">
        <v>13516</v>
      </c>
      <c r="BC1343" s="3" t="s">
        <v>102</v>
      </c>
      <c r="BD1343" s="3" t="s">
        <v>68</v>
      </c>
      <c r="BE1343" s="3" t="s">
        <v>13517</v>
      </c>
      <c r="BF1343" s="3" t="s">
        <v>13516</v>
      </c>
      <c r="BG1343" s="3" t="s">
        <v>13518</v>
      </c>
    </row>
    <row r="1344" spans="1:59" ht="58" x14ac:dyDescent="0.35">
      <c r="A1344" s="2" t="s">
        <v>89</v>
      </c>
      <c r="B1344" s="2" t="s">
        <v>90</v>
      </c>
      <c r="C1344" s="2" t="s">
        <v>13519</v>
      </c>
      <c r="D1344" s="2" t="s">
        <v>13520</v>
      </c>
      <c r="E1344" s="2" t="s">
        <v>13521</v>
      </c>
      <c r="G1344" s="3" t="s">
        <v>62</v>
      </c>
      <c r="I1344" s="3" t="s">
        <v>62</v>
      </c>
      <c r="J1344" s="3" t="s">
        <v>62</v>
      </c>
      <c r="K1344" s="3" t="s">
        <v>63</v>
      </c>
      <c r="L1344" s="2" t="s">
        <v>13522</v>
      </c>
      <c r="M1344" s="2" t="s">
        <v>13523</v>
      </c>
      <c r="N1344" s="3" t="s">
        <v>553</v>
      </c>
      <c r="P1344" s="3" t="s">
        <v>64</v>
      </c>
      <c r="R1344" s="3" t="s">
        <v>13065</v>
      </c>
      <c r="S1344" s="4">
        <v>18</v>
      </c>
      <c r="T1344" s="4">
        <v>18</v>
      </c>
      <c r="U1344" s="5" t="s">
        <v>7448</v>
      </c>
      <c r="V1344" s="5" t="s">
        <v>7448</v>
      </c>
      <c r="W1344" s="5" t="s">
        <v>67</v>
      </c>
      <c r="X1344" s="5" t="s">
        <v>67</v>
      </c>
      <c r="Y1344" s="4">
        <v>6</v>
      </c>
      <c r="Z1344" s="4">
        <v>1</v>
      </c>
      <c r="AA1344" s="4">
        <v>103</v>
      </c>
      <c r="AB1344" s="4">
        <v>1</v>
      </c>
      <c r="AC1344" s="4">
        <v>18</v>
      </c>
      <c r="AD1344" s="4">
        <v>0</v>
      </c>
      <c r="AE1344" s="4">
        <v>126</v>
      </c>
      <c r="AF1344" s="4">
        <v>0</v>
      </c>
      <c r="AG1344" s="4">
        <v>8</v>
      </c>
      <c r="AH1344" s="4">
        <v>0</v>
      </c>
      <c r="AI1344" s="4">
        <v>89</v>
      </c>
      <c r="AJ1344" s="4">
        <v>0</v>
      </c>
      <c r="AK1344" s="4">
        <v>21</v>
      </c>
      <c r="AL1344" s="4">
        <v>0</v>
      </c>
      <c r="AM1344" s="4">
        <v>48</v>
      </c>
      <c r="AN1344" s="4">
        <v>0</v>
      </c>
      <c r="AO1344" s="4">
        <v>0</v>
      </c>
      <c r="AP1344" s="4">
        <v>0</v>
      </c>
      <c r="AQ1344" s="4">
        <v>42</v>
      </c>
      <c r="AR1344" s="3" t="s">
        <v>62</v>
      </c>
      <c r="AS1344" s="3" t="s">
        <v>62</v>
      </c>
      <c r="AT1344" s="3" t="s">
        <v>62</v>
      </c>
      <c r="AV1344" s="6" t="str">
        <f>HYPERLINK("http://mcgill.on.worldcat.org/oclc/222731366","Catalog Record")</f>
        <v>Catalog Record</v>
      </c>
      <c r="AW1344" s="6" t="str">
        <f>HYPERLINK("http://www.worldcat.org/oclc/222731366","WorldCat Record")</f>
        <v>WorldCat Record</v>
      </c>
      <c r="AX1344" s="3" t="s">
        <v>13524</v>
      </c>
      <c r="AY1344" s="3" t="s">
        <v>13525</v>
      </c>
      <c r="AZ1344" s="3" t="s">
        <v>13526</v>
      </c>
      <c r="BA1344" s="3" t="s">
        <v>13526</v>
      </c>
      <c r="BB1344" s="3" t="s">
        <v>13527</v>
      </c>
      <c r="BC1344" s="3" t="s">
        <v>102</v>
      </c>
      <c r="BD1344" s="3" t="s">
        <v>68</v>
      </c>
      <c r="BE1344" s="3" t="s">
        <v>13528</v>
      </c>
      <c r="BF1344" s="3" t="s">
        <v>13527</v>
      </c>
      <c r="BG1344" s="3" t="s">
        <v>13529</v>
      </c>
    </row>
    <row r="1345" spans="1:59" ht="58" x14ac:dyDescent="0.35">
      <c r="A1345" s="2" t="s">
        <v>89</v>
      </c>
      <c r="B1345" s="2" t="s">
        <v>90</v>
      </c>
      <c r="C1345" s="2" t="s">
        <v>13530</v>
      </c>
      <c r="D1345" s="2" t="s">
        <v>13531</v>
      </c>
      <c r="E1345" s="2" t="s">
        <v>13532</v>
      </c>
      <c r="G1345" s="3" t="s">
        <v>62</v>
      </c>
      <c r="I1345" s="3" t="s">
        <v>62</v>
      </c>
      <c r="J1345" s="3" t="s">
        <v>62</v>
      </c>
      <c r="K1345" s="3" t="s">
        <v>63</v>
      </c>
      <c r="L1345" s="2" t="s">
        <v>13533</v>
      </c>
      <c r="M1345" s="2" t="s">
        <v>13534</v>
      </c>
      <c r="N1345" s="3" t="s">
        <v>2000</v>
      </c>
      <c r="P1345" s="3" t="s">
        <v>64</v>
      </c>
      <c r="R1345" s="3" t="s">
        <v>13065</v>
      </c>
      <c r="S1345" s="4">
        <v>25</v>
      </c>
      <c r="T1345" s="4">
        <v>25</v>
      </c>
      <c r="U1345" s="5" t="s">
        <v>4446</v>
      </c>
      <c r="V1345" s="5" t="s">
        <v>4446</v>
      </c>
      <c r="W1345" s="5" t="s">
        <v>67</v>
      </c>
      <c r="X1345" s="5" t="s">
        <v>67</v>
      </c>
      <c r="Y1345" s="4">
        <v>429</v>
      </c>
      <c r="Z1345" s="4">
        <v>16</v>
      </c>
      <c r="AA1345" s="4">
        <v>94</v>
      </c>
      <c r="AB1345" s="4">
        <v>1</v>
      </c>
      <c r="AC1345" s="4">
        <v>17</v>
      </c>
      <c r="AD1345" s="4">
        <v>99</v>
      </c>
      <c r="AE1345" s="4">
        <v>140</v>
      </c>
      <c r="AF1345" s="4">
        <v>0</v>
      </c>
      <c r="AG1345" s="4">
        <v>8</v>
      </c>
      <c r="AH1345" s="4">
        <v>93</v>
      </c>
      <c r="AI1345" s="4">
        <v>102</v>
      </c>
      <c r="AJ1345" s="4">
        <v>10</v>
      </c>
      <c r="AK1345" s="4">
        <v>23</v>
      </c>
      <c r="AL1345" s="4">
        <v>57</v>
      </c>
      <c r="AM1345" s="4">
        <v>59</v>
      </c>
      <c r="AN1345" s="4">
        <v>0</v>
      </c>
      <c r="AO1345" s="4">
        <v>0</v>
      </c>
      <c r="AP1345" s="4">
        <v>11</v>
      </c>
      <c r="AQ1345" s="4">
        <v>45</v>
      </c>
      <c r="AR1345" s="3" t="s">
        <v>62</v>
      </c>
      <c r="AS1345" s="3" t="s">
        <v>62</v>
      </c>
      <c r="AT1345" s="3" t="s">
        <v>62</v>
      </c>
      <c r="AV1345" s="6" t="str">
        <f>HYPERLINK("http://mcgill.on.worldcat.org/oclc/31814772","Catalog Record")</f>
        <v>Catalog Record</v>
      </c>
      <c r="AW1345" s="6" t="str">
        <f>HYPERLINK("http://www.worldcat.org/oclc/31814772","WorldCat Record")</f>
        <v>WorldCat Record</v>
      </c>
      <c r="AX1345" s="3" t="s">
        <v>13535</v>
      </c>
      <c r="AY1345" s="3" t="s">
        <v>13536</v>
      </c>
      <c r="AZ1345" s="3" t="s">
        <v>13537</v>
      </c>
      <c r="BA1345" s="3" t="s">
        <v>13537</v>
      </c>
      <c r="BB1345" s="3" t="s">
        <v>13538</v>
      </c>
      <c r="BC1345" s="3" t="s">
        <v>102</v>
      </c>
      <c r="BD1345" s="3" t="s">
        <v>68</v>
      </c>
      <c r="BE1345" s="3" t="s">
        <v>13539</v>
      </c>
      <c r="BF1345" s="3" t="s">
        <v>13538</v>
      </c>
      <c r="BG1345" s="3" t="s">
        <v>13540</v>
      </c>
    </row>
    <row r="1346" spans="1:59" ht="58" x14ac:dyDescent="0.35">
      <c r="A1346" s="2" t="s">
        <v>89</v>
      </c>
      <c r="B1346" s="2" t="s">
        <v>90</v>
      </c>
      <c r="C1346" s="2" t="s">
        <v>13541</v>
      </c>
      <c r="D1346" s="2" t="s">
        <v>13542</v>
      </c>
      <c r="E1346" s="2" t="s">
        <v>13543</v>
      </c>
      <c r="G1346" s="3" t="s">
        <v>62</v>
      </c>
      <c r="I1346" s="3" t="s">
        <v>62</v>
      </c>
      <c r="J1346" s="3" t="s">
        <v>62</v>
      </c>
      <c r="K1346" s="3" t="s">
        <v>63</v>
      </c>
      <c r="L1346" s="2" t="s">
        <v>13544</v>
      </c>
      <c r="M1346" s="2" t="s">
        <v>13545</v>
      </c>
      <c r="N1346" s="3" t="s">
        <v>712</v>
      </c>
      <c r="P1346" s="3" t="s">
        <v>64</v>
      </c>
      <c r="Q1346" s="2" t="s">
        <v>13546</v>
      </c>
      <c r="R1346" s="3" t="s">
        <v>13065</v>
      </c>
      <c r="S1346" s="4">
        <v>2</v>
      </c>
      <c r="T1346" s="4">
        <v>2</v>
      </c>
      <c r="U1346" s="5" t="s">
        <v>12486</v>
      </c>
      <c r="V1346" s="5" t="s">
        <v>12486</v>
      </c>
      <c r="W1346" s="5" t="s">
        <v>67</v>
      </c>
      <c r="X1346" s="5" t="s">
        <v>67</v>
      </c>
      <c r="Y1346" s="4">
        <v>65</v>
      </c>
      <c r="Z1346" s="4">
        <v>2</v>
      </c>
      <c r="AA1346" s="4">
        <v>58</v>
      </c>
      <c r="AB1346" s="4">
        <v>1</v>
      </c>
      <c r="AC1346" s="4">
        <v>6</v>
      </c>
      <c r="AD1346" s="4">
        <v>16</v>
      </c>
      <c r="AE1346" s="4">
        <v>78</v>
      </c>
      <c r="AF1346" s="4">
        <v>0</v>
      </c>
      <c r="AG1346" s="4">
        <v>3</v>
      </c>
      <c r="AH1346" s="4">
        <v>14</v>
      </c>
      <c r="AI1346" s="4">
        <v>50</v>
      </c>
      <c r="AJ1346" s="4">
        <v>0</v>
      </c>
      <c r="AK1346" s="4">
        <v>20</v>
      </c>
      <c r="AL1346" s="4">
        <v>7</v>
      </c>
      <c r="AM1346" s="4">
        <v>23</v>
      </c>
      <c r="AN1346" s="4">
        <v>0</v>
      </c>
      <c r="AO1346" s="4">
        <v>0</v>
      </c>
      <c r="AP1346" s="4">
        <v>1</v>
      </c>
      <c r="AQ1346" s="4">
        <v>34</v>
      </c>
      <c r="AR1346" s="3" t="s">
        <v>62</v>
      </c>
      <c r="AS1346" s="3" t="s">
        <v>62</v>
      </c>
      <c r="AT1346" s="3" t="s">
        <v>62</v>
      </c>
      <c r="AV1346" s="6" t="str">
        <f>HYPERLINK("http://mcgill.on.worldcat.org/oclc/874520550","Catalog Record")</f>
        <v>Catalog Record</v>
      </c>
      <c r="AW1346" s="6" t="str">
        <f>HYPERLINK("http://www.worldcat.org/oclc/874520550","WorldCat Record")</f>
        <v>WorldCat Record</v>
      </c>
      <c r="AX1346" s="3" t="s">
        <v>13547</v>
      </c>
      <c r="AY1346" s="3" t="s">
        <v>13548</v>
      </c>
      <c r="AZ1346" s="3" t="s">
        <v>13549</v>
      </c>
      <c r="BA1346" s="3" t="s">
        <v>13549</v>
      </c>
      <c r="BB1346" s="3" t="s">
        <v>13550</v>
      </c>
      <c r="BC1346" s="3" t="s">
        <v>102</v>
      </c>
      <c r="BD1346" s="3" t="s">
        <v>68</v>
      </c>
      <c r="BE1346" s="3" t="s">
        <v>13551</v>
      </c>
      <c r="BF1346" s="3" t="s">
        <v>13550</v>
      </c>
      <c r="BG1346" s="3" t="s">
        <v>13552</v>
      </c>
    </row>
    <row r="1347" spans="1:59" ht="58" x14ac:dyDescent="0.35">
      <c r="A1347" s="2" t="s">
        <v>89</v>
      </c>
      <c r="B1347" s="2" t="s">
        <v>90</v>
      </c>
      <c r="C1347" s="2" t="s">
        <v>13553</v>
      </c>
      <c r="D1347" s="2" t="s">
        <v>13554</v>
      </c>
      <c r="E1347" s="2" t="s">
        <v>13555</v>
      </c>
      <c r="G1347" s="3" t="s">
        <v>62</v>
      </c>
      <c r="I1347" s="3" t="s">
        <v>62</v>
      </c>
      <c r="J1347" s="3" t="s">
        <v>62</v>
      </c>
      <c r="K1347" s="3" t="s">
        <v>63</v>
      </c>
      <c r="L1347" s="2" t="s">
        <v>13556</v>
      </c>
      <c r="M1347" s="2" t="s">
        <v>13557</v>
      </c>
      <c r="N1347" s="3" t="s">
        <v>880</v>
      </c>
      <c r="P1347" s="3" t="s">
        <v>64</v>
      </c>
      <c r="Q1347" s="2" t="s">
        <v>13558</v>
      </c>
      <c r="R1347" s="3" t="s">
        <v>13065</v>
      </c>
      <c r="S1347" s="4">
        <v>1</v>
      </c>
      <c r="T1347" s="4">
        <v>1</v>
      </c>
      <c r="U1347" s="5" t="s">
        <v>13559</v>
      </c>
      <c r="V1347" s="5" t="s">
        <v>13559</v>
      </c>
      <c r="W1347" s="5" t="s">
        <v>67</v>
      </c>
      <c r="X1347" s="5" t="s">
        <v>67</v>
      </c>
      <c r="Y1347" s="4">
        <v>65</v>
      </c>
      <c r="Z1347" s="4">
        <v>11</v>
      </c>
      <c r="AA1347" s="4">
        <v>96</v>
      </c>
      <c r="AB1347" s="4">
        <v>1</v>
      </c>
      <c r="AC1347" s="4">
        <v>17</v>
      </c>
      <c r="AD1347" s="4">
        <v>33</v>
      </c>
      <c r="AE1347" s="4">
        <v>112</v>
      </c>
      <c r="AF1347" s="4">
        <v>0</v>
      </c>
      <c r="AG1347" s="4">
        <v>8</v>
      </c>
      <c r="AH1347" s="4">
        <v>30</v>
      </c>
      <c r="AI1347" s="4">
        <v>76</v>
      </c>
      <c r="AJ1347" s="4">
        <v>8</v>
      </c>
      <c r="AK1347" s="4">
        <v>23</v>
      </c>
      <c r="AL1347" s="4">
        <v>16</v>
      </c>
      <c r="AM1347" s="4">
        <v>38</v>
      </c>
      <c r="AN1347" s="4">
        <v>0</v>
      </c>
      <c r="AO1347" s="4">
        <v>0</v>
      </c>
      <c r="AP1347" s="4">
        <v>8</v>
      </c>
      <c r="AQ1347" s="4">
        <v>44</v>
      </c>
      <c r="AR1347" s="3" t="s">
        <v>62</v>
      </c>
      <c r="AS1347" s="3" t="s">
        <v>62</v>
      </c>
      <c r="AT1347" s="3" t="s">
        <v>62</v>
      </c>
      <c r="AV1347" s="6" t="str">
        <f>HYPERLINK("http://mcgill.on.worldcat.org/oclc/671698632","Catalog Record")</f>
        <v>Catalog Record</v>
      </c>
      <c r="AW1347" s="6" t="str">
        <f>HYPERLINK("http://www.worldcat.org/oclc/671698632","WorldCat Record")</f>
        <v>WorldCat Record</v>
      </c>
      <c r="AX1347" s="3" t="s">
        <v>13560</v>
      </c>
      <c r="AY1347" s="3" t="s">
        <v>13561</v>
      </c>
      <c r="AZ1347" s="3" t="s">
        <v>13562</v>
      </c>
      <c r="BA1347" s="3" t="s">
        <v>13562</v>
      </c>
      <c r="BB1347" s="3" t="s">
        <v>13563</v>
      </c>
      <c r="BC1347" s="3" t="s">
        <v>102</v>
      </c>
      <c r="BD1347" s="3" t="s">
        <v>68</v>
      </c>
      <c r="BE1347" s="3" t="s">
        <v>13564</v>
      </c>
      <c r="BF1347" s="3" t="s">
        <v>13563</v>
      </c>
      <c r="BG1347" s="3" t="s">
        <v>13565</v>
      </c>
    </row>
    <row r="1348" spans="1:59" ht="58" x14ac:dyDescent="0.35">
      <c r="A1348" s="2" t="s">
        <v>89</v>
      </c>
      <c r="B1348" s="2" t="s">
        <v>90</v>
      </c>
      <c r="C1348" s="2" t="s">
        <v>13566</v>
      </c>
      <c r="D1348" s="2" t="s">
        <v>13567</v>
      </c>
      <c r="E1348" s="2" t="s">
        <v>13568</v>
      </c>
      <c r="G1348" s="3" t="s">
        <v>62</v>
      </c>
      <c r="I1348" s="3" t="s">
        <v>62</v>
      </c>
      <c r="J1348" s="3" t="s">
        <v>62</v>
      </c>
      <c r="K1348" s="3" t="s">
        <v>63</v>
      </c>
      <c r="M1348" s="2" t="s">
        <v>13569</v>
      </c>
      <c r="N1348" s="3" t="s">
        <v>880</v>
      </c>
      <c r="P1348" s="3" t="s">
        <v>64</v>
      </c>
      <c r="R1348" s="3" t="s">
        <v>13065</v>
      </c>
      <c r="S1348" s="4">
        <v>1</v>
      </c>
      <c r="T1348" s="4">
        <v>1</v>
      </c>
      <c r="U1348" s="5" t="s">
        <v>13570</v>
      </c>
      <c r="V1348" s="5" t="s">
        <v>13570</v>
      </c>
      <c r="W1348" s="5" t="s">
        <v>67</v>
      </c>
      <c r="X1348" s="5" t="s">
        <v>67</v>
      </c>
      <c r="Y1348" s="4">
        <v>119</v>
      </c>
      <c r="Z1348" s="4">
        <v>13</v>
      </c>
      <c r="AA1348" s="4">
        <v>14</v>
      </c>
      <c r="AB1348" s="4">
        <v>1</v>
      </c>
      <c r="AC1348" s="4">
        <v>2</v>
      </c>
      <c r="AD1348" s="4">
        <v>53</v>
      </c>
      <c r="AE1348" s="4">
        <v>54</v>
      </c>
      <c r="AF1348" s="4">
        <v>0</v>
      </c>
      <c r="AG1348" s="4">
        <v>1</v>
      </c>
      <c r="AH1348" s="4">
        <v>48</v>
      </c>
      <c r="AI1348" s="4">
        <v>49</v>
      </c>
      <c r="AJ1348" s="4">
        <v>10</v>
      </c>
      <c r="AK1348" s="4">
        <v>11</v>
      </c>
      <c r="AL1348" s="4">
        <v>31</v>
      </c>
      <c r="AM1348" s="4">
        <v>31</v>
      </c>
      <c r="AN1348" s="4">
        <v>0</v>
      </c>
      <c r="AO1348" s="4">
        <v>0</v>
      </c>
      <c r="AP1348" s="4">
        <v>10</v>
      </c>
      <c r="AQ1348" s="4">
        <v>11</v>
      </c>
      <c r="AR1348" s="3" t="s">
        <v>62</v>
      </c>
      <c r="AS1348" s="3" t="s">
        <v>62</v>
      </c>
      <c r="AT1348" s="3" t="s">
        <v>62</v>
      </c>
      <c r="AV1348" s="6" t="str">
        <f>HYPERLINK("http://mcgill.on.worldcat.org/oclc/489014413","Catalog Record")</f>
        <v>Catalog Record</v>
      </c>
      <c r="AW1348" s="6" t="str">
        <f>HYPERLINK("http://www.worldcat.org/oclc/489014413","WorldCat Record")</f>
        <v>WorldCat Record</v>
      </c>
      <c r="AX1348" s="3" t="s">
        <v>13571</v>
      </c>
      <c r="AY1348" s="3" t="s">
        <v>13572</v>
      </c>
      <c r="AZ1348" s="3" t="s">
        <v>13573</v>
      </c>
      <c r="BA1348" s="3" t="s">
        <v>13573</v>
      </c>
      <c r="BB1348" s="3" t="s">
        <v>13574</v>
      </c>
      <c r="BC1348" s="3" t="s">
        <v>102</v>
      </c>
      <c r="BD1348" s="3" t="s">
        <v>68</v>
      </c>
      <c r="BE1348" s="3" t="s">
        <v>13575</v>
      </c>
      <c r="BF1348" s="3" t="s">
        <v>13574</v>
      </c>
      <c r="BG1348" s="3" t="s">
        <v>13576</v>
      </c>
    </row>
    <row r="1349" spans="1:59" ht="58" x14ac:dyDescent="0.35">
      <c r="A1349" s="2" t="s">
        <v>89</v>
      </c>
      <c r="B1349" s="2" t="s">
        <v>90</v>
      </c>
      <c r="C1349" s="2" t="s">
        <v>13577</v>
      </c>
      <c r="D1349" s="2" t="s">
        <v>13578</v>
      </c>
      <c r="E1349" s="2" t="s">
        <v>13579</v>
      </c>
      <c r="G1349" s="3" t="s">
        <v>62</v>
      </c>
      <c r="I1349" s="3" t="s">
        <v>62</v>
      </c>
      <c r="J1349" s="3" t="s">
        <v>62</v>
      </c>
      <c r="K1349" s="3" t="s">
        <v>63</v>
      </c>
      <c r="M1349" s="2" t="s">
        <v>13580</v>
      </c>
      <c r="N1349" s="3" t="s">
        <v>2985</v>
      </c>
      <c r="P1349" s="3" t="s">
        <v>64</v>
      </c>
      <c r="Q1349" s="2" t="s">
        <v>13581</v>
      </c>
      <c r="R1349" s="3" t="s">
        <v>13065</v>
      </c>
      <c r="S1349" s="4">
        <v>3</v>
      </c>
      <c r="T1349" s="4">
        <v>3</v>
      </c>
      <c r="U1349" s="5" t="s">
        <v>7930</v>
      </c>
      <c r="V1349" s="5" t="s">
        <v>7930</v>
      </c>
      <c r="W1349" s="5" t="s">
        <v>67</v>
      </c>
      <c r="X1349" s="5" t="s">
        <v>67</v>
      </c>
      <c r="Y1349" s="4">
        <v>151</v>
      </c>
      <c r="Z1349" s="4">
        <v>18</v>
      </c>
      <c r="AA1349" s="4">
        <v>24</v>
      </c>
      <c r="AB1349" s="4">
        <v>3</v>
      </c>
      <c r="AC1349" s="4">
        <v>6</v>
      </c>
      <c r="AD1349" s="4">
        <v>57</v>
      </c>
      <c r="AE1349" s="4">
        <v>64</v>
      </c>
      <c r="AF1349" s="4">
        <v>1</v>
      </c>
      <c r="AG1349" s="4">
        <v>2</v>
      </c>
      <c r="AH1349" s="4">
        <v>48</v>
      </c>
      <c r="AI1349" s="4">
        <v>52</v>
      </c>
      <c r="AJ1349" s="4">
        <v>10</v>
      </c>
      <c r="AK1349" s="4">
        <v>13</v>
      </c>
      <c r="AL1349" s="4">
        <v>31</v>
      </c>
      <c r="AM1349" s="4">
        <v>33</v>
      </c>
      <c r="AN1349" s="4">
        <v>0</v>
      </c>
      <c r="AO1349" s="4">
        <v>0</v>
      </c>
      <c r="AP1349" s="4">
        <v>13</v>
      </c>
      <c r="AQ1349" s="4">
        <v>17</v>
      </c>
      <c r="AR1349" s="3" t="s">
        <v>62</v>
      </c>
      <c r="AS1349" s="3" t="s">
        <v>62</v>
      </c>
      <c r="AT1349" s="3" t="s">
        <v>62</v>
      </c>
      <c r="AV1349" s="6" t="str">
        <f>HYPERLINK("http://mcgill.on.worldcat.org/oclc/298778355","Catalog Record")</f>
        <v>Catalog Record</v>
      </c>
      <c r="AW1349" s="6" t="str">
        <f>HYPERLINK("http://www.worldcat.org/oclc/298778355","WorldCat Record")</f>
        <v>WorldCat Record</v>
      </c>
      <c r="AX1349" s="3" t="s">
        <v>13582</v>
      </c>
      <c r="AY1349" s="3" t="s">
        <v>13583</v>
      </c>
      <c r="AZ1349" s="3" t="s">
        <v>13584</v>
      </c>
      <c r="BA1349" s="3" t="s">
        <v>13584</v>
      </c>
      <c r="BB1349" s="3" t="s">
        <v>13585</v>
      </c>
      <c r="BC1349" s="3" t="s">
        <v>102</v>
      </c>
      <c r="BD1349" s="3" t="s">
        <v>68</v>
      </c>
      <c r="BE1349" s="3" t="s">
        <v>13586</v>
      </c>
      <c r="BF1349" s="3" t="s">
        <v>13585</v>
      </c>
      <c r="BG1349" s="3" t="s">
        <v>13587</v>
      </c>
    </row>
    <row r="1350" spans="1:59" ht="58" x14ac:dyDescent="0.35">
      <c r="A1350" s="2" t="s">
        <v>89</v>
      </c>
      <c r="B1350" s="2" t="s">
        <v>90</v>
      </c>
      <c r="C1350" s="2" t="s">
        <v>13588</v>
      </c>
      <c r="D1350" s="2" t="s">
        <v>13589</v>
      </c>
      <c r="E1350" s="2" t="s">
        <v>13590</v>
      </c>
      <c r="G1350" s="3" t="s">
        <v>62</v>
      </c>
      <c r="I1350" s="3" t="s">
        <v>61</v>
      </c>
      <c r="J1350" s="3" t="s">
        <v>62</v>
      </c>
      <c r="K1350" s="3" t="s">
        <v>63</v>
      </c>
      <c r="M1350" s="2" t="s">
        <v>5469</v>
      </c>
      <c r="N1350" s="3" t="s">
        <v>2000</v>
      </c>
      <c r="P1350" s="3" t="s">
        <v>64</v>
      </c>
      <c r="Q1350" s="2" t="s">
        <v>12646</v>
      </c>
      <c r="R1350" s="3" t="s">
        <v>13065</v>
      </c>
      <c r="S1350" s="4">
        <v>15</v>
      </c>
      <c r="T1350" s="4">
        <v>61</v>
      </c>
      <c r="U1350" s="5" t="s">
        <v>511</v>
      </c>
      <c r="V1350" s="5" t="s">
        <v>511</v>
      </c>
      <c r="W1350" s="5" t="s">
        <v>67</v>
      </c>
      <c r="X1350" s="5" t="s">
        <v>67</v>
      </c>
      <c r="Y1350" s="4">
        <v>355</v>
      </c>
      <c r="Z1350" s="4">
        <v>22</v>
      </c>
      <c r="AA1350" s="4">
        <v>22</v>
      </c>
      <c r="AB1350" s="4">
        <v>4</v>
      </c>
      <c r="AC1350" s="4">
        <v>4</v>
      </c>
      <c r="AD1350" s="4">
        <v>84</v>
      </c>
      <c r="AE1350" s="4">
        <v>84</v>
      </c>
      <c r="AF1350" s="4">
        <v>2</v>
      </c>
      <c r="AG1350" s="4">
        <v>2</v>
      </c>
      <c r="AH1350" s="4">
        <v>76</v>
      </c>
      <c r="AI1350" s="4">
        <v>76</v>
      </c>
      <c r="AJ1350" s="4">
        <v>10</v>
      </c>
      <c r="AK1350" s="4">
        <v>10</v>
      </c>
      <c r="AL1350" s="4">
        <v>45</v>
      </c>
      <c r="AM1350" s="4">
        <v>45</v>
      </c>
      <c r="AN1350" s="4">
        <v>0</v>
      </c>
      <c r="AO1350" s="4">
        <v>0</v>
      </c>
      <c r="AP1350" s="4">
        <v>15</v>
      </c>
      <c r="AQ1350" s="4">
        <v>15</v>
      </c>
      <c r="AR1350" s="3" t="s">
        <v>62</v>
      </c>
      <c r="AS1350" s="3" t="s">
        <v>62</v>
      </c>
      <c r="AT1350" s="3" t="s">
        <v>62</v>
      </c>
      <c r="AV1350" s="6" t="str">
        <f>HYPERLINK("http://mcgill.on.worldcat.org/oclc/33664690","Catalog Record")</f>
        <v>Catalog Record</v>
      </c>
      <c r="AW1350" s="6" t="str">
        <f>HYPERLINK("http://www.worldcat.org/oclc/33664690","WorldCat Record")</f>
        <v>WorldCat Record</v>
      </c>
      <c r="AX1350" s="3" t="s">
        <v>13591</v>
      </c>
      <c r="AY1350" s="3" t="s">
        <v>13592</v>
      </c>
      <c r="AZ1350" s="3" t="s">
        <v>13593</v>
      </c>
      <c r="BA1350" s="3" t="s">
        <v>13593</v>
      </c>
      <c r="BB1350" s="3" t="s">
        <v>13594</v>
      </c>
      <c r="BC1350" s="3" t="s">
        <v>102</v>
      </c>
      <c r="BD1350" s="3" t="s">
        <v>231</v>
      </c>
      <c r="BE1350" s="3" t="s">
        <v>13595</v>
      </c>
      <c r="BF1350" s="3" t="s">
        <v>13594</v>
      </c>
      <c r="BG1350" s="3" t="s">
        <v>13596</v>
      </c>
    </row>
    <row r="1351" spans="1:59" ht="58" x14ac:dyDescent="0.35">
      <c r="A1351" s="2" t="s">
        <v>89</v>
      </c>
      <c r="B1351" s="2" t="s">
        <v>90</v>
      </c>
      <c r="C1351" s="2" t="s">
        <v>13597</v>
      </c>
      <c r="D1351" s="2" t="s">
        <v>13598</v>
      </c>
      <c r="E1351" s="2" t="s">
        <v>13599</v>
      </c>
      <c r="G1351" s="3" t="s">
        <v>62</v>
      </c>
      <c r="I1351" s="3" t="s">
        <v>61</v>
      </c>
      <c r="J1351" s="3" t="s">
        <v>61</v>
      </c>
      <c r="K1351" s="3" t="s">
        <v>63</v>
      </c>
      <c r="M1351" s="2" t="s">
        <v>7815</v>
      </c>
      <c r="N1351" s="3" t="s">
        <v>327</v>
      </c>
      <c r="O1351" s="2" t="s">
        <v>2986</v>
      </c>
      <c r="P1351" s="3" t="s">
        <v>64</v>
      </c>
      <c r="R1351" s="3" t="s">
        <v>13065</v>
      </c>
      <c r="S1351" s="4">
        <v>29</v>
      </c>
      <c r="T1351" s="4">
        <v>148</v>
      </c>
      <c r="U1351" s="5" t="s">
        <v>13600</v>
      </c>
      <c r="V1351" s="5" t="s">
        <v>3763</v>
      </c>
      <c r="W1351" s="5" t="s">
        <v>67</v>
      </c>
      <c r="X1351" s="5" t="s">
        <v>67</v>
      </c>
      <c r="Y1351" s="4">
        <v>572</v>
      </c>
      <c r="Z1351" s="4">
        <v>32</v>
      </c>
      <c r="AA1351" s="4">
        <v>63</v>
      </c>
      <c r="AB1351" s="4">
        <v>2</v>
      </c>
      <c r="AC1351" s="4">
        <v>7</v>
      </c>
      <c r="AD1351" s="4">
        <v>113</v>
      </c>
      <c r="AE1351" s="4">
        <v>152</v>
      </c>
      <c r="AF1351" s="4">
        <v>1</v>
      </c>
      <c r="AG1351" s="4">
        <v>5</v>
      </c>
      <c r="AH1351" s="4">
        <v>92</v>
      </c>
      <c r="AI1351" s="4">
        <v>115</v>
      </c>
      <c r="AJ1351" s="4">
        <v>14</v>
      </c>
      <c r="AK1351" s="4">
        <v>26</v>
      </c>
      <c r="AL1351" s="4">
        <v>52</v>
      </c>
      <c r="AM1351" s="4">
        <v>62</v>
      </c>
      <c r="AN1351" s="4">
        <v>0</v>
      </c>
      <c r="AO1351" s="4">
        <v>0</v>
      </c>
      <c r="AP1351" s="4">
        <v>26</v>
      </c>
      <c r="AQ1351" s="4">
        <v>44</v>
      </c>
      <c r="AR1351" s="3" t="s">
        <v>62</v>
      </c>
      <c r="AS1351" s="3" t="s">
        <v>62</v>
      </c>
      <c r="AT1351" s="3" t="s">
        <v>62</v>
      </c>
      <c r="AV1351" s="6" t="str">
        <f>HYPERLINK("http://mcgill.on.worldcat.org/oclc/9154779","Catalog Record")</f>
        <v>Catalog Record</v>
      </c>
      <c r="AW1351" s="6" t="str">
        <f>HYPERLINK("http://www.worldcat.org/oclc/9154779","WorldCat Record")</f>
        <v>WorldCat Record</v>
      </c>
      <c r="AX1351" s="3" t="s">
        <v>13601</v>
      </c>
      <c r="AY1351" s="3" t="s">
        <v>13602</v>
      </c>
      <c r="AZ1351" s="3" t="s">
        <v>13603</v>
      </c>
      <c r="BA1351" s="3" t="s">
        <v>13603</v>
      </c>
      <c r="BB1351" s="3" t="s">
        <v>13604</v>
      </c>
      <c r="BC1351" s="3" t="s">
        <v>102</v>
      </c>
      <c r="BD1351" s="3" t="s">
        <v>68</v>
      </c>
      <c r="BE1351" s="3" t="s">
        <v>13605</v>
      </c>
      <c r="BF1351" s="3" t="s">
        <v>13604</v>
      </c>
      <c r="BG1351" s="3" t="s">
        <v>13606</v>
      </c>
    </row>
    <row r="1352" spans="1:59" ht="58" x14ac:dyDescent="0.35">
      <c r="A1352" s="2" t="s">
        <v>89</v>
      </c>
      <c r="B1352" s="2" t="s">
        <v>90</v>
      </c>
      <c r="C1352" s="2" t="s">
        <v>13607</v>
      </c>
      <c r="D1352" s="2" t="s">
        <v>13608</v>
      </c>
      <c r="E1352" s="2" t="s">
        <v>13609</v>
      </c>
      <c r="G1352" s="3" t="s">
        <v>62</v>
      </c>
      <c r="I1352" s="3" t="s">
        <v>62</v>
      </c>
      <c r="J1352" s="3" t="s">
        <v>62</v>
      </c>
      <c r="K1352" s="3" t="s">
        <v>63</v>
      </c>
      <c r="M1352" s="2" t="s">
        <v>13610</v>
      </c>
      <c r="N1352" s="3" t="s">
        <v>880</v>
      </c>
      <c r="P1352" s="3" t="s">
        <v>64</v>
      </c>
      <c r="Q1352" s="2" t="s">
        <v>13611</v>
      </c>
      <c r="R1352" s="3" t="s">
        <v>13065</v>
      </c>
      <c r="S1352" s="4">
        <v>1</v>
      </c>
      <c r="T1352" s="4">
        <v>1</v>
      </c>
      <c r="U1352" s="5" t="s">
        <v>13612</v>
      </c>
      <c r="V1352" s="5" t="s">
        <v>13612</v>
      </c>
      <c r="W1352" s="5" t="s">
        <v>67</v>
      </c>
      <c r="X1352" s="5" t="s">
        <v>67</v>
      </c>
      <c r="Y1352" s="4">
        <v>104</v>
      </c>
      <c r="Z1352" s="4">
        <v>5</v>
      </c>
      <c r="AA1352" s="4">
        <v>37</v>
      </c>
      <c r="AB1352" s="4">
        <v>1</v>
      </c>
      <c r="AC1352" s="4">
        <v>10</v>
      </c>
      <c r="AD1352" s="4">
        <v>36</v>
      </c>
      <c r="AE1352" s="4">
        <v>89</v>
      </c>
      <c r="AF1352" s="4">
        <v>0</v>
      </c>
      <c r="AG1352" s="4">
        <v>6</v>
      </c>
      <c r="AH1352" s="4">
        <v>34</v>
      </c>
      <c r="AI1352" s="4">
        <v>66</v>
      </c>
      <c r="AJ1352" s="4">
        <v>2</v>
      </c>
      <c r="AK1352" s="4">
        <v>16</v>
      </c>
      <c r="AL1352" s="4">
        <v>21</v>
      </c>
      <c r="AM1352" s="4">
        <v>33</v>
      </c>
      <c r="AN1352" s="4">
        <v>0</v>
      </c>
      <c r="AO1352" s="4">
        <v>0</v>
      </c>
      <c r="AP1352" s="4">
        <v>3</v>
      </c>
      <c r="AQ1352" s="4">
        <v>29</v>
      </c>
      <c r="AR1352" s="3" t="s">
        <v>62</v>
      </c>
      <c r="AS1352" s="3" t="s">
        <v>62</v>
      </c>
      <c r="AT1352" s="3" t="s">
        <v>62</v>
      </c>
      <c r="AV1352" s="6" t="str">
        <f>HYPERLINK("http://mcgill.on.worldcat.org/oclc/462920514","Catalog Record")</f>
        <v>Catalog Record</v>
      </c>
      <c r="AW1352" s="6" t="str">
        <f>HYPERLINK("http://www.worldcat.org/oclc/462920514","WorldCat Record")</f>
        <v>WorldCat Record</v>
      </c>
      <c r="AX1352" s="3" t="s">
        <v>13613</v>
      </c>
      <c r="AY1352" s="3" t="s">
        <v>13614</v>
      </c>
      <c r="AZ1352" s="3" t="s">
        <v>13615</v>
      </c>
      <c r="BA1352" s="3" t="s">
        <v>13615</v>
      </c>
      <c r="BB1352" s="3" t="s">
        <v>13616</v>
      </c>
      <c r="BC1352" s="3" t="s">
        <v>102</v>
      </c>
      <c r="BD1352" s="3" t="s">
        <v>68</v>
      </c>
      <c r="BE1352" s="3" t="s">
        <v>13617</v>
      </c>
      <c r="BF1352" s="3" t="s">
        <v>13616</v>
      </c>
      <c r="BG1352" s="3" t="s">
        <v>13618</v>
      </c>
    </row>
    <row r="1353" spans="1:59" ht="58" x14ac:dyDescent="0.35">
      <c r="A1353" s="2" t="s">
        <v>89</v>
      </c>
      <c r="B1353" s="2" t="s">
        <v>90</v>
      </c>
      <c r="C1353" s="2" t="s">
        <v>13619</v>
      </c>
      <c r="D1353" s="2" t="s">
        <v>13620</v>
      </c>
      <c r="E1353" s="2" t="s">
        <v>13621</v>
      </c>
      <c r="G1353" s="3" t="s">
        <v>62</v>
      </c>
      <c r="I1353" s="3" t="s">
        <v>62</v>
      </c>
      <c r="J1353" s="3" t="s">
        <v>62</v>
      </c>
      <c r="K1353" s="3" t="s">
        <v>63</v>
      </c>
      <c r="L1353" s="2" t="s">
        <v>13622</v>
      </c>
      <c r="M1353" s="2" t="s">
        <v>7150</v>
      </c>
      <c r="N1353" s="3" t="s">
        <v>553</v>
      </c>
      <c r="P1353" s="3" t="s">
        <v>64</v>
      </c>
      <c r="Q1353" s="2" t="s">
        <v>13623</v>
      </c>
      <c r="R1353" s="3" t="s">
        <v>13065</v>
      </c>
      <c r="S1353" s="4">
        <v>11</v>
      </c>
      <c r="T1353" s="4">
        <v>11</v>
      </c>
      <c r="U1353" s="5" t="s">
        <v>4187</v>
      </c>
      <c r="V1353" s="5" t="s">
        <v>4187</v>
      </c>
      <c r="W1353" s="5" t="s">
        <v>67</v>
      </c>
      <c r="X1353" s="5" t="s">
        <v>67</v>
      </c>
      <c r="Y1353" s="4">
        <v>142</v>
      </c>
      <c r="Z1353" s="4">
        <v>9</v>
      </c>
      <c r="AA1353" s="4">
        <v>11</v>
      </c>
      <c r="AB1353" s="4">
        <v>1</v>
      </c>
      <c r="AC1353" s="4">
        <v>1</v>
      </c>
      <c r="AD1353" s="4">
        <v>62</v>
      </c>
      <c r="AE1353" s="4">
        <v>67</v>
      </c>
      <c r="AF1353" s="4">
        <v>0</v>
      </c>
      <c r="AG1353" s="4">
        <v>0</v>
      </c>
      <c r="AH1353" s="4">
        <v>57</v>
      </c>
      <c r="AI1353" s="4">
        <v>61</v>
      </c>
      <c r="AJ1353" s="4">
        <v>5</v>
      </c>
      <c r="AK1353" s="4">
        <v>6</v>
      </c>
      <c r="AL1353" s="4">
        <v>34</v>
      </c>
      <c r="AM1353" s="4">
        <v>35</v>
      </c>
      <c r="AN1353" s="4">
        <v>0</v>
      </c>
      <c r="AO1353" s="4">
        <v>0</v>
      </c>
      <c r="AP1353" s="4">
        <v>6</v>
      </c>
      <c r="AQ1353" s="4">
        <v>8</v>
      </c>
      <c r="AR1353" s="3" t="s">
        <v>62</v>
      </c>
      <c r="AS1353" s="3" t="s">
        <v>62</v>
      </c>
      <c r="AT1353" s="3" t="s">
        <v>62</v>
      </c>
      <c r="AV1353" s="6" t="str">
        <f>HYPERLINK("http://mcgill.on.worldcat.org/oclc/40762714","Catalog Record")</f>
        <v>Catalog Record</v>
      </c>
      <c r="AW1353" s="6" t="str">
        <f>HYPERLINK("http://www.worldcat.org/oclc/40762714","WorldCat Record")</f>
        <v>WorldCat Record</v>
      </c>
      <c r="AX1353" s="3" t="s">
        <v>13624</v>
      </c>
      <c r="AY1353" s="3" t="s">
        <v>13625</v>
      </c>
      <c r="AZ1353" s="3" t="s">
        <v>13626</v>
      </c>
      <c r="BA1353" s="3" t="s">
        <v>13626</v>
      </c>
      <c r="BB1353" s="3" t="s">
        <v>13627</v>
      </c>
      <c r="BC1353" s="3" t="s">
        <v>102</v>
      </c>
      <c r="BD1353" s="3" t="s">
        <v>68</v>
      </c>
      <c r="BE1353" s="3" t="s">
        <v>13628</v>
      </c>
      <c r="BF1353" s="3" t="s">
        <v>13627</v>
      </c>
      <c r="BG1353" s="3" t="s">
        <v>13629</v>
      </c>
    </row>
    <row r="1354" spans="1:59" ht="58" x14ac:dyDescent="0.35">
      <c r="A1354" s="2" t="s">
        <v>89</v>
      </c>
      <c r="B1354" s="2" t="s">
        <v>90</v>
      </c>
      <c r="C1354" s="2" t="s">
        <v>13630</v>
      </c>
      <c r="D1354" s="2" t="s">
        <v>13631</v>
      </c>
      <c r="E1354" s="2" t="s">
        <v>13632</v>
      </c>
      <c r="G1354" s="3" t="s">
        <v>62</v>
      </c>
      <c r="I1354" s="3" t="s">
        <v>61</v>
      </c>
      <c r="J1354" s="3" t="s">
        <v>62</v>
      </c>
      <c r="K1354" s="3" t="s">
        <v>63</v>
      </c>
      <c r="L1354" s="2" t="s">
        <v>13633</v>
      </c>
      <c r="M1354" s="2" t="s">
        <v>13634</v>
      </c>
      <c r="N1354" s="3" t="s">
        <v>568</v>
      </c>
      <c r="P1354" s="3" t="s">
        <v>64</v>
      </c>
      <c r="R1354" s="3" t="s">
        <v>13065</v>
      </c>
      <c r="S1354" s="4">
        <v>28</v>
      </c>
      <c r="T1354" s="4">
        <v>105</v>
      </c>
      <c r="U1354" s="5" t="s">
        <v>7448</v>
      </c>
      <c r="V1354" s="5" t="s">
        <v>7448</v>
      </c>
      <c r="W1354" s="5" t="s">
        <v>67</v>
      </c>
      <c r="X1354" s="5" t="s">
        <v>67</v>
      </c>
      <c r="Y1354" s="4">
        <v>35</v>
      </c>
      <c r="Z1354" s="4">
        <v>4</v>
      </c>
      <c r="AA1354" s="4">
        <v>31</v>
      </c>
      <c r="AB1354" s="4">
        <v>1</v>
      </c>
      <c r="AC1354" s="4">
        <v>4</v>
      </c>
      <c r="AD1354" s="4">
        <v>6</v>
      </c>
      <c r="AE1354" s="4">
        <v>101</v>
      </c>
      <c r="AF1354" s="4">
        <v>0</v>
      </c>
      <c r="AG1354" s="4">
        <v>3</v>
      </c>
      <c r="AH1354" s="4">
        <v>4</v>
      </c>
      <c r="AI1354" s="4">
        <v>85</v>
      </c>
      <c r="AJ1354" s="4">
        <v>1</v>
      </c>
      <c r="AK1354" s="4">
        <v>17</v>
      </c>
      <c r="AL1354" s="4">
        <v>0</v>
      </c>
      <c r="AM1354" s="4">
        <v>46</v>
      </c>
      <c r="AN1354" s="4">
        <v>0</v>
      </c>
      <c r="AO1354" s="4">
        <v>0</v>
      </c>
      <c r="AP1354" s="4">
        <v>3</v>
      </c>
      <c r="AQ1354" s="4">
        <v>23</v>
      </c>
      <c r="AR1354" s="3" t="s">
        <v>62</v>
      </c>
      <c r="AS1354" s="3" t="s">
        <v>62</v>
      </c>
      <c r="AT1354" s="3" t="s">
        <v>62</v>
      </c>
      <c r="AV1354" s="6" t="str">
        <f>HYPERLINK("http://mcgill.on.worldcat.org/oclc/222774332","Catalog Record")</f>
        <v>Catalog Record</v>
      </c>
      <c r="AW1354" s="6" t="str">
        <f>HYPERLINK("http://www.worldcat.org/oclc/222774332","WorldCat Record")</f>
        <v>WorldCat Record</v>
      </c>
      <c r="AX1354" s="3" t="s">
        <v>13635</v>
      </c>
      <c r="AY1354" s="3" t="s">
        <v>13636</v>
      </c>
      <c r="AZ1354" s="3" t="s">
        <v>13637</v>
      </c>
      <c r="BA1354" s="3" t="s">
        <v>13637</v>
      </c>
      <c r="BB1354" s="3" t="s">
        <v>13638</v>
      </c>
      <c r="BC1354" s="3" t="s">
        <v>102</v>
      </c>
      <c r="BD1354" s="3" t="s">
        <v>68</v>
      </c>
      <c r="BE1354" s="3" t="s">
        <v>13639</v>
      </c>
      <c r="BF1354" s="3" t="s">
        <v>13638</v>
      </c>
      <c r="BG1354" s="3" t="s">
        <v>13640</v>
      </c>
    </row>
    <row r="1355" spans="1:59" ht="58" x14ac:dyDescent="0.35">
      <c r="A1355" s="2" t="s">
        <v>89</v>
      </c>
      <c r="B1355" s="2" t="s">
        <v>90</v>
      </c>
      <c r="C1355" s="2" t="s">
        <v>13641</v>
      </c>
      <c r="D1355" s="2" t="s">
        <v>13642</v>
      </c>
      <c r="E1355" s="2" t="s">
        <v>13643</v>
      </c>
      <c r="G1355" s="3" t="s">
        <v>62</v>
      </c>
      <c r="I1355" s="3" t="s">
        <v>62</v>
      </c>
      <c r="J1355" s="3" t="s">
        <v>62</v>
      </c>
      <c r="K1355" s="3" t="s">
        <v>63</v>
      </c>
      <c r="L1355" s="2" t="s">
        <v>13644</v>
      </c>
      <c r="M1355" s="2" t="s">
        <v>7656</v>
      </c>
      <c r="N1355" s="3" t="s">
        <v>726</v>
      </c>
      <c r="P1355" s="3" t="s">
        <v>64</v>
      </c>
      <c r="Q1355" s="2" t="s">
        <v>13645</v>
      </c>
      <c r="R1355" s="3" t="s">
        <v>13065</v>
      </c>
      <c r="S1355" s="4">
        <v>0</v>
      </c>
      <c r="T1355" s="4">
        <v>0</v>
      </c>
      <c r="W1355" s="5" t="s">
        <v>67</v>
      </c>
      <c r="X1355" s="5" t="s">
        <v>67</v>
      </c>
      <c r="Y1355" s="4">
        <v>23</v>
      </c>
      <c r="Z1355" s="4">
        <v>1</v>
      </c>
      <c r="AA1355" s="4">
        <v>12</v>
      </c>
      <c r="AB1355" s="4">
        <v>1</v>
      </c>
      <c r="AC1355" s="4">
        <v>5</v>
      </c>
      <c r="AD1355" s="4">
        <v>8</v>
      </c>
      <c r="AE1355" s="4">
        <v>29</v>
      </c>
      <c r="AF1355" s="4">
        <v>0</v>
      </c>
      <c r="AG1355" s="4">
        <v>2</v>
      </c>
      <c r="AH1355" s="4">
        <v>7</v>
      </c>
      <c r="AI1355" s="4">
        <v>22</v>
      </c>
      <c r="AJ1355" s="4">
        <v>0</v>
      </c>
      <c r="AK1355" s="4">
        <v>7</v>
      </c>
      <c r="AL1355" s="4">
        <v>6</v>
      </c>
      <c r="AM1355" s="4">
        <v>14</v>
      </c>
      <c r="AN1355" s="4">
        <v>0</v>
      </c>
      <c r="AO1355" s="4">
        <v>0</v>
      </c>
      <c r="AP1355" s="4">
        <v>0</v>
      </c>
      <c r="AQ1355" s="4">
        <v>9</v>
      </c>
      <c r="AR1355" s="3" t="s">
        <v>62</v>
      </c>
      <c r="AS1355" s="3" t="s">
        <v>62</v>
      </c>
      <c r="AT1355" s="3" t="s">
        <v>62</v>
      </c>
      <c r="AV1355" s="6" t="str">
        <f>HYPERLINK("http://mcgill.on.worldcat.org/oclc/992746553","Catalog Record")</f>
        <v>Catalog Record</v>
      </c>
      <c r="AW1355" s="6" t="str">
        <f>HYPERLINK("http://www.worldcat.org/oclc/992746553","WorldCat Record")</f>
        <v>WorldCat Record</v>
      </c>
      <c r="AX1355" s="3" t="s">
        <v>13646</v>
      </c>
      <c r="AY1355" s="3" t="s">
        <v>13647</v>
      </c>
      <c r="AZ1355" s="3" t="s">
        <v>13648</v>
      </c>
      <c r="BA1355" s="3" t="s">
        <v>13648</v>
      </c>
      <c r="BB1355" s="3" t="s">
        <v>13649</v>
      </c>
      <c r="BC1355" s="3" t="s">
        <v>102</v>
      </c>
      <c r="BD1355" s="3" t="s">
        <v>68</v>
      </c>
      <c r="BE1355" s="3" t="s">
        <v>13650</v>
      </c>
      <c r="BF1355" s="3" t="s">
        <v>13649</v>
      </c>
      <c r="BG1355" s="3" t="s">
        <v>13651</v>
      </c>
    </row>
    <row r="1356" spans="1:59" ht="87" x14ac:dyDescent="0.35">
      <c r="A1356" s="2" t="s">
        <v>89</v>
      </c>
      <c r="B1356" s="2" t="s">
        <v>90</v>
      </c>
      <c r="C1356" s="2" t="s">
        <v>13652</v>
      </c>
      <c r="D1356" s="2" t="s">
        <v>13653</v>
      </c>
      <c r="E1356" s="2" t="s">
        <v>13654</v>
      </c>
      <c r="G1356" s="3" t="s">
        <v>62</v>
      </c>
      <c r="I1356" s="3" t="s">
        <v>62</v>
      </c>
      <c r="J1356" s="3" t="s">
        <v>62</v>
      </c>
      <c r="K1356" s="3" t="s">
        <v>63</v>
      </c>
      <c r="L1356" s="2" t="s">
        <v>13655</v>
      </c>
      <c r="M1356" s="2" t="s">
        <v>13656</v>
      </c>
      <c r="N1356" s="3" t="s">
        <v>129</v>
      </c>
      <c r="P1356" s="3" t="s">
        <v>64</v>
      </c>
      <c r="Q1356" s="2" t="s">
        <v>13657</v>
      </c>
      <c r="R1356" s="3" t="s">
        <v>13065</v>
      </c>
      <c r="S1356" s="4">
        <v>8</v>
      </c>
      <c r="T1356" s="4">
        <v>8</v>
      </c>
      <c r="U1356" s="5" t="s">
        <v>3675</v>
      </c>
      <c r="V1356" s="5" t="s">
        <v>3675</v>
      </c>
      <c r="W1356" s="5" t="s">
        <v>67</v>
      </c>
      <c r="X1356" s="5" t="s">
        <v>67</v>
      </c>
      <c r="Y1356" s="4">
        <v>321</v>
      </c>
      <c r="Z1356" s="4">
        <v>20</v>
      </c>
      <c r="AA1356" s="4">
        <v>24</v>
      </c>
      <c r="AB1356" s="4">
        <v>3</v>
      </c>
      <c r="AC1356" s="4">
        <v>6</v>
      </c>
      <c r="AD1356" s="4">
        <v>67</v>
      </c>
      <c r="AE1356" s="4">
        <v>73</v>
      </c>
      <c r="AF1356" s="4">
        <v>1</v>
      </c>
      <c r="AG1356" s="4">
        <v>3</v>
      </c>
      <c r="AH1356" s="4">
        <v>61</v>
      </c>
      <c r="AI1356" s="4">
        <v>64</v>
      </c>
      <c r="AJ1356" s="4">
        <v>13</v>
      </c>
      <c r="AK1356" s="4">
        <v>16</v>
      </c>
      <c r="AL1356" s="4">
        <v>34</v>
      </c>
      <c r="AM1356" s="4">
        <v>37</v>
      </c>
      <c r="AN1356" s="4">
        <v>0</v>
      </c>
      <c r="AO1356" s="4">
        <v>0</v>
      </c>
      <c r="AP1356" s="4">
        <v>14</v>
      </c>
      <c r="AQ1356" s="4">
        <v>16</v>
      </c>
      <c r="AR1356" s="3" t="s">
        <v>62</v>
      </c>
      <c r="AS1356" s="3" t="s">
        <v>62</v>
      </c>
      <c r="AT1356" s="3" t="s">
        <v>62</v>
      </c>
      <c r="AV1356" s="6" t="str">
        <f>HYPERLINK("http://mcgill.on.worldcat.org/oclc/838192705","Catalog Record")</f>
        <v>Catalog Record</v>
      </c>
      <c r="AW1356" s="6" t="str">
        <f>HYPERLINK("http://www.worldcat.org/oclc/838192705","WorldCat Record")</f>
        <v>WorldCat Record</v>
      </c>
      <c r="AX1356" s="3" t="s">
        <v>13658</v>
      </c>
      <c r="AY1356" s="3" t="s">
        <v>13659</v>
      </c>
      <c r="AZ1356" s="3" t="s">
        <v>13660</v>
      </c>
      <c r="BA1356" s="3" t="s">
        <v>13660</v>
      </c>
      <c r="BB1356" s="3" t="s">
        <v>13661</v>
      </c>
      <c r="BC1356" s="3" t="s">
        <v>102</v>
      </c>
      <c r="BD1356" s="3" t="s">
        <v>231</v>
      </c>
      <c r="BE1356" s="3" t="s">
        <v>13662</v>
      </c>
      <c r="BF1356" s="3" t="s">
        <v>13661</v>
      </c>
      <c r="BG1356" s="3" t="s">
        <v>13663</v>
      </c>
    </row>
    <row r="1357" spans="1:59" ht="58" x14ac:dyDescent="0.35">
      <c r="A1357" s="2" t="s">
        <v>89</v>
      </c>
      <c r="B1357" s="2" t="s">
        <v>90</v>
      </c>
      <c r="C1357" s="2" t="s">
        <v>13664</v>
      </c>
      <c r="D1357" s="2" t="s">
        <v>13665</v>
      </c>
      <c r="E1357" s="2" t="s">
        <v>13666</v>
      </c>
      <c r="G1357" s="3" t="s">
        <v>62</v>
      </c>
      <c r="I1357" s="3" t="s">
        <v>62</v>
      </c>
      <c r="J1357" s="3" t="s">
        <v>62</v>
      </c>
      <c r="K1357" s="3" t="s">
        <v>63</v>
      </c>
      <c r="L1357" s="2" t="s">
        <v>13430</v>
      </c>
      <c r="M1357" s="2" t="s">
        <v>13667</v>
      </c>
      <c r="N1357" s="3" t="s">
        <v>1482</v>
      </c>
      <c r="O1357" s="2" t="s">
        <v>2163</v>
      </c>
      <c r="P1357" s="3" t="s">
        <v>64</v>
      </c>
      <c r="R1357" s="3" t="s">
        <v>13065</v>
      </c>
      <c r="S1357" s="4">
        <v>15</v>
      </c>
      <c r="T1357" s="4">
        <v>15</v>
      </c>
      <c r="U1357" s="5" t="s">
        <v>3863</v>
      </c>
      <c r="V1357" s="5" t="s">
        <v>3863</v>
      </c>
      <c r="W1357" s="5" t="s">
        <v>67</v>
      </c>
      <c r="X1357" s="5" t="s">
        <v>67</v>
      </c>
      <c r="Y1357" s="4">
        <v>1261</v>
      </c>
      <c r="Z1357" s="4">
        <v>43</v>
      </c>
      <c r="AA1357" s="4">
        <v>62</v>
      </c>
      <c r="AB1357" s="4">
        <v>3</v>
      </c>
      <c r="AC1357" s="4">
        <v>8</v>
      </c>
      <c r="AD1357" s="4">
        <v>121</v>
      </c>
      <c r="AE1357" s="4">
        <v>139</v>
      </c>
      <c r="AF1357" s="4">
        <v>1</v>
      </c>
      <c r="AG1357" s="4">
        <v>5</v>
      </c>
      <c r="AH1357" s="4">
        <v>100</v>
      </c>
      <c r="AI1357" s="4">
        <v>107</v>
      </c>
      <c r="AJ1357" s="4">
        <v>17</v>
      </c>
      <c r="AK1357" s="4">
        <v>23</v>
      </c>
      <c r="AL1357" s="4">
        <v>54</v>
      </c>
      <c r="AM1357" s="4">
        <v>57</v>
      </c>
      <c r="AN1357" s="4">
        <v>0</v>
      </c>
      <c r="AO1357" s="4">
        <v>0</v>
      </c>
      <c r="AP1357" s="4">
        <v>27</v>
      </c>
      <c r="AQ1357" s="4">
        <v>38</v>
      </c>
      <c r="AR1357" s="3" t="s">
        <v>62</v>
      </c>
      <c r="AS1357" s="3" t="s">
        <v>62</v>
      </c>
      <c r="AT1357" s="3" t="s">
        <v>61</v>
      </c>
      <c r="AU1357" s="6" t="str">
        <f>HYPERLINK("http://catalog.hathitrust.org/Record/000555559","HathiTrust Record")</f>
        <v>HathiTrust Record</v>
      </c>
      <c r="AV1357" s="6" t="str">
        <f>HYPERLINK("http://mcgill.on.worldcat.org/oclc/13581834","Catalog Record")</f>
        <v>Catalog Record</v>
      </c>
      <c r="AW1357" s="6" t="str">
        <f>HYPERLINK("http://www.worldcat.org/oclc/13581834","WorldCat Record")</f>
        <v>WorldCat Record</v>
      </c>
      <c r="AX1357" s="3" t="s">
        <v>13668</v>
      </c>
      <c r="AY1357" s="3" t="s">
        <v>13669</v>
      </c>
      <c r="AZ1357" s="3" t="s">
        <v>13670</v>
      </c>
      <c r="BA1357" s="3" t="s">
        <v>13670</v>
      </c>
      <c r="BB1357" s="3" t="s">
        <v>13671</v>
      </c>
      <c r="BC1357" s="3" t="s">
        <v>102</v>
      </c>
      <c r="BD1357" s="3" t="s">
        <v>68</v>
      </c>
      <c r="BE1357" s="3" t="s">
        <v>13672</v>
      </c>
      <c r="BF1357" s="3" t="s">
        <v>13671</v>
      </c>
      <c r="BG1357" s="3" t="s">
        <v>13673</v>
      </c>
    </row>
    <row r="1358" spans="1:59" ht="58" x14ac:dyDescent="0.35">
      <c r="A1358" s="2" t="s">
        <v>89</v>
      </c>
      <c r="B1358" s="2" t="s">
        <v>90</v>
      </c>
      <c r="C1358" s="2" t="s">
        <v>13674</v>
      </c>
      <c r="D1358" s="2" t="s">
        <v>13675</v>
      </c>
      <c r="E1358" s="2" t="s">
        <v>13676</v>
      </c>
      <c r="G1358" s="3" t="s">
        <v>62</v>
      </c>
      <c r="I1358" s="3" t="s">
        <v>62</v>
      </c>
      <c r="J1358" s="3" t="s">
        <v>62</v>
      </c>
      <c r="K1358" s="3" t="s">
        <v>63</v>
      </c>
      <c r="L1358" s="2" t="s">
        <v>13430</v>
      </c>
      <c r="M1358" s="2" t="s">
        <v>13325</v>
      </c>
      <c r="N1358" s="3" t="s">
        <v>1455</v>
      </c>
      <c r="P1358" s="3" t="s">
        <v>64</v>
      </c>
      <c r="R1358" s="3" t="s">
        <v>13065</v>
      </c>
      <c r="S1358" s="4">
        <v>0</v>
      </c>
      <c r="T1358" s="4">
        <v>0</v>
      </c>
      <c r="W1358" s="5" t="s">
        <v>67</v>
      </c>
      <c r="X1358" s="5" t="s">
        <v>67</v>
      </c>
      <c r="Y1358" s="4">
        <v>149</v>
      </c>
      <c r="Z1358" s="4">
        <v>13</v>
      </c>
      <c r="AA1358" s="4">
        <v>18</v>
      </c>
      <c r="AB1358" s="4">
        <v>3</v>
      </c>
      <c r="AC1358" s="4">
        <v>7</v>
      </c>
      <c r="AD1358" s="4">
        <v>53</v>
      </c>
      <c r="AE1358" s="4">
        <v>59</v>
      </c>
      <c r="AF1358" s="4">
        <v>2</v>
      </c>
      <c r="AG1358" s="4">
        <v>4</v>
      </c>
      <c r="AH1358" s="4">
        <v>49</v>
      </c>
      <c r="AI1358" s="4">
        <v>53</v>
      </c>
      <c r="AJ1358" s="4">
        <v>8</v>
      </c>
      <c r="AK1358" s="4">
        <v>11</v>
      </c>
      <c r="AL1358" s="4">
        <v>30</v>
      </c>
      <c r="AM1358" s="4">
        <v>32</v>
      </c>
      <c r="AN1358" s="4">
        <v>0</v>
      </c>
      <c r="AO1358" s="4">
        <v>0</v>
      </c>
      <c r="AP1358" s="4">
        <v>10</v>
      </c>
      <c r="AQ1358" s="4">
        <v>12</v>
      </c>
      <c r="AR1358" s="3" t="s">
        <v>62</v>
      </c>
      <c r="AS1358" s="3" t="s">
        <v>62</v>
      </c>
      <c r="AT1358" s="3" t="s">
        <v>62</v>
      </c>
      <c r="AV1358" s="6" t="str">
        <f>HYPERLINK("http://mcgill.on.worldcat.org/oclc/907931299","Catalog Record")</f>
        <v>Catalog Record</v>
      </c>
      <c r="AW1358" s="6" t="str">
        <f>HYPERLINK("http://www.worldcat.org/oclc/907931299","WorldCat Record")</f>
        <v>WorldCat Record</v>
      </c>
      <c r="AX1358" s="3" t="s">
        <v>13677</v>
      </c>
      <c r="AY1358" s="3" t="s">
        <v>13678</v>
      </c>
      <c r="AZ1358" s="3" t="s">
        <v>13679</v>
      </c>
      <c r="BA1358" s="3" t="s">
        <v>13679</v>
      </c>
      <c r="BB1358" s="3" t="s">
        <v>13680</v>
      </c>
      <c r="BC1358" s="3" t="s">
        <v>102</v>
      </c>
      <c r="BD1358" s="3" t="s">
        <v>68</v>
      </c>
      <c r="BE1358" s="3" t="s">
        <v>13681</v>
      </c>
      <c r="BF1358" s="3" t="s">
        <v>13680</v>
      </c>
      <c r="BG1358" s="3" t="s">
        <v>13682</v>
      </c>
    </row>
    <row r="1359" spans="1:59" ht="58" x14ac:dyDescent="0.35">
      <c r="A1359" s="2" t="s">
        <v>89</v>
      </c>
      <c r="B1359" s="2" t="s">
        <v>90</v>
      </c>
      <c r="C1359" s="2" t="s">
        <v>13683</v>
      </c>
      <c r="D1359" s="2" t="s">
        <v>13684</v>
      </c>
      <c r="E1359" s="2" t="s">
        <v>13685</v>
      </c>
      <c r="G1359" s="3" t="s">
        <v>62</v>
      </c>
      <c r="I1359" s="3" t="s">
        <v>62</v>
      </c>
      <c r="J1359" s="3" t="s">
        <v>62</v>
      </c>
      <c r="K1359" s="3" t="s">
        <v>63</v>
      </c>
      <c r="L1359" s="2" t="s">
        <v>13686</v>
      </c>
      <c r="M1359" s="2" t="s">
        <v>13687</v>
      </c>
      <c r="N1359" s="3" t="s">
        <v>880</v>
      </c>
      <c r="P1359" s="3" t="s">
        <v>64</v>
      </c>
      <c r="Q1359" s="2" t="s">
        <v>13688</v>
      </c>
      <c r="R1359" s="3" t="s">
        <v>13065</v>
      </c>
      <c r="S1359" s="4">
        <v>2</v>
      </c>
      <c r="T1359" s="4">
        <v>2</v>
      </c>
      <c r="U1359" s="5" t="s">
        <v>13689</v>
      </c>
      <c r="V1359" s="5" t="s">
        <v>13689</v>
      </c>
      <c r="W1359" s="5" t="s">
        <v>67</v>
      </c>
      <c r="X1359" s="5" t="s">
        <v>67</v>
      </c>
      <c r="Y1359" s="4">
        <v>57</v>
      </c>
      <c r="Z1359" s="4">
        <v>4</v>
      </c>
      <c r="AA1359" s="4">
        <v>38</v>
      </c>
      <c r="AB1359" s="4">
        <v>1</v>
      </c>
      <c r="AC1359" s="4">
        <v>7</v>
      </c>
      <c r="AD1359" s="4">
        <v>26</v>
      </c>
      <c r="AE1359" s="4">
        <v>89</v>
      </c>
      <c r="AF1359" s="4">
        <v>0</v>
      </c>
      <c r="AG1359" s="4">
        <v>3</v>
      </c>
      <c r="AH1359" s="4">
        <v>24</v>
      </c>
      <c r="AI1359" s="4">
        <v>65</v>
      </c>
      <c r="AJ1359" s="4">
        <v>2</v>
      </c>
      <c r="AK1359" s="4">
        <v>17</v>
      </c>
      <c r="AL1359" s="4">
        <v>16</v>
      </c>
      <c r="AM1359" s="4">
        <v>33</v>
      </c>
      <c r="AN1359" s="4">
        <v>0</v>
      </c>
      <c r="AO1359" s="4">
        <v>0</v>
      </c>
      <c r="AP1359" s="4">
        <v>2</v>
      </c>
      <c r="AQ1359" s="4">
        <v>31</v>
      </c>
      <c r="AR1359" s="3" t="s">
        <v>62</v>
      </c>
      <c r="AS1359" s="3" t="s">
        <v>62</v>
      </c>
      <c r="AT1359" s="3" t="s">
        <v>62</v>
      </c>
      <c r="AV1359" s="6" t="str">
        <f>HYPERLINK("http://mcgill.on.worldcat.org/oclc/646114320","Catalog Record")</f>
        <v>Catalog Record</v>
      </c>
      <c r="AW1359" s="6" t="str">
        <f>HYPERLINK("http://www.worldcat.org/oclc/646114320","WorldCat Record")</f>
        <v>WorldCat Record</v>
      </c>
      <c r="AX1359" s="3" t="s">
        <v>13690</v>
      </c>
      <c r="AY1359" s="3" t="s">
        <v>13691</v>
      </c>
      <c r="AZ1359" s="3" t="s">
        <v>13692</v>
      </c>
      <c r="BA1359" s="3" t="s">
        <v>13692</v>
      </c>
      <c r="BB1359" s="3" t="s">
        <v>13693</v>
      </c>
      <c r="BC1359" s="3" t="s">
        <v>102</v>
      </c>
      <c r="BD1359" s="3" t="s">
        <v>68</v>
      </c>
      <c r="BE1359" s="3" t="s">
        <v>13694</v>
      </c>
      <c r="BF1359" s="3" t="s">
        <v>13693</v>
      </c>
      <c r="BG1359" s="3" t="s">
        <v>13695</v>
      </c>
    </row>
    <row r="1360" spans="1:59" ht="58" x14ac:dyDescent="0.35">
      <c r="A1360" s="2" t="s">
        <v>89</v>
      </c>
      <c r="B1360" s="2" t="s">
        <v>90</v>
      </c>
      <c r="C1360" s="2" t="s">
        <v>13696</v>
      </c>
      <c r="D1360" s="2" t="s">
        <v>13697</v>
      </c>
      <c r="E1360" s="2" t="s">
        <v>13698</v>
      </c>
      <c r="G1360" s="3" t="s">
        <v>62</v>
      </c>
      <c r="I1360" s="3" t="s">
        <v>62</v>
      </c>
      <c r="J1360" s="3" t="s">
        <v>62</v>
      </c>
      <c r="K1360" s="3" t="s">
        <v>63</v>
      </c>
      <c r="M1360" s="2" t="s">
        <v>13699</v>
      </c>
      <c r="N1360" s="3" t="s">
        <v>524</v>
      </c>
      <c r="P1360" s="3" t="s">
        <v>64</v>
      </c>
      <c r="Q1360" s="2" t="s">
        <v>13700</v>
      </c>
      <c r="R1360" s="3" t="s">
        <v>13065</v>
      </c>
      <c r="S1360" s="4">
        <v>15</v>
      </c>
      <c r="T1360" s="4">
        <v>15</v>
      </c>
      <c r="U1360" s="5" t="s">
        <v>12658</v>
      </c>
      <c r="V1360" s="5" t="s">
        <v>12658</v>
      </c>
      <c r="W1360" s="5" t="s">
        <v>67</v>
      </c>
      <c r="X1360" s="5" t="s">
        <v>67</v>
      </c>
      <c r="Y1360" s="4">
        <v>164</v>
      </c>
      <c r="Z1360" s="4">
        <v>15</v>
      </c>
      <c r="AA1360" s="4">
        <v>18</v>
      </c>
      <c r="AB1360" s="4">
        <v>2</v>
      </c>
      <c r="AC1360" s="4">
        <v>4</v>
      </c>
      <c r="AD1360" s="4">
        <v>65</v>
      </c>
      <c r="AE1360" s="4">
        <v>68</v>
      </c>
      <c r="AF1360" s="4">
        <v>1</v>
      </c>
      <c r="AG1360" s="4">
        <v>3</v>
      </c>
      <c r="AH1360" s="4">
        <v>59</v>
      </c>
      <c r="AI1360" s="4">
        <v>59</v>
      </c>
      <c r="AJ1360" s="4">
        <v>11</v>
      </c>
      <c r="AK1360" s="4">
        <v>13</v>
      </c>
      <c r="AL1360" s="4">
        <v>35</v>
      </c>
      <c r="AM1360" s="4">
        <v>35</v>
      </c>
      <c r="AN1360" s="4">
        <v>0</v>
      </c>
      <c r="AO1360" s="4">
        <v>0</v>
      </c>
      <c r="AP1360" s="4">
        <v>12</v>
      </c>
      <c r="AQ1360" s="4">
        <v>14</v>
      </c>
      <c r="AR1360" s="3" t="s">
        <v>62</v>
      </c>
      <c r="AS1360" s="3" t="s">
        <v>62</v>
      </c>
      <c r="AT1360" s="3" t="s">
        <v>62</v>
      </c>
      <c r="AV1360" s="6" t="str">
        <f>HYPERLINK("http://mcgill.on.worldcat.org/oclc/32392855","Catalog Record")</f>
        <v>Catalog Record</v>
      </c>
      <c r="AW1360" s="6" t="str">
        <f>HYPERLINK("http://www.worldcat.org/oclc/32392855","WorldCat Record")</f>
        <v>WorldCat Record</v>
      </c>
      <c r="AX1360" s="3" t="s">
        <v>13701</v>
      </c>
      <c r="AY1360" s="3" t="s">
        <v>13702</v>
      </c>
      <c r="AZ1360" s="3" t="s">
        <v>13703</v>
      </c>
      <c r="BA1360" s="3" t="s">
        <v>13703</v>
      </c>
      <c r="BB1360" s="3" t="s">
        <v>13704</v>
      </c>
      <c r="BC1360" s="3" t="s">
        <v>102</v>
      </c>
      <c r="BD1360" s="3" t="s">
        <v>68</v>
      </c>
      <c r="BE1360" s="3" t="s">
        <v>13705</v>
      </c>
      <c r="BF1360" s="3" t="s">
        <v>13704</v>
      </c>
      <c r="BG1360" s="3" t="s">
        <v>13706</v>
      </c>
    </row>
    <row r="1361" spans="1:59" ht="58" x14ac:dyDescent="0.35">
      <c r="A1361" s="2" t="s">
        <v>89</v>
      </c>
      <c r="B1361" s="2" t="s">
        <v>90</v>
      </c>
      <c r="C1361" s="2" t="s">
        <v>13707</v>
      </c>
      <c r="D1361" s="2" t="s">
        <v>13708</v>
      </c>
      <c r="E1361" s="2" t="s">
        <v>13709</v>
      </c>
      <c r="G1361" s="3" t="s">
        <v>62</v>
      </c>
      <c r="I1361" s="3" t="s">
        <v>62</v>
      </c>
      <c r="J1361" s="3" t="s">
        <v>62</v>
      </c>
      <c r="K1361" s="3" t="s">
        <v>63</v>
      </c>
      <c r="M1361" s="2" t="s">
        <v>13710</v>
      </c>
      <c r="N1361" s="3" t="s">
        <v>568</v>
      </c>
      <c r="P1361" s="3" t="s">
        <v>64</v>
      </c>
      <c r="Q1361" s="2" t="s">
        <v>13711</v>
      </c>
      <c r="R1361" s="3" t="s">
        <v>13065</v>
      </c>
      <c r="S1361" s="4">
        <v>11</v>
      </c>
      <c r="T1361" s="4">
        <v>11</v>
      </c>
      <c r="U1361" s="5" t="s">
        <v>10773</v>
      </c>
      <c r="V1361" s="5" t="s">
        <v>10773</v>
      </c>
      <c r="W1361" s="5" t="s">
        <v>67</v>
      </c>
      <c r="X1361" s="5" t="s">
        <v>67</v>
      </c>
      <c r="Y1361" s="4">
        <v>230</v>
      </c>
      <c r="Z1361" s="4">
        <v>19</v>
      </c>
      <c r="AA1361" s="4">
        <v>19</v>
      </c>
      <c r="AB1361" s="4">
        <v>2</v>
      </c>
      <c r="AC1361" s="4">
        <v>2</v>
      </c>
      <c r="AD1361" s="4">
        <v>71</v>
      </c>
      <c r="AE1361" s="4">
        <v>71</v>
      </c>
      <c r="AF1361" s="4">
        <v>0</v>
      </c>
      <c r="AG1361" s="4">
        <v>0</v>
      </c>
      <c r="AH1361" s="4">
        <v>64</v>
      </c>
      <c r="AI1361" s="4">
        <v>64</v>
      </c>
      <c r="AJ1361" s="4">
        <v>13</v>
      </c>
      <c r="AK1361" s="4">
        <v>13</v>
      </c>
      <c r="AL1361" s="4">
        <v>38</v>
      </c>
      <c r="AM1361" s="4">
        <v>38</v>
      </c>
      <c r="AN1361" s="4">
        <v>0</v>
      </c>
      <c r="AO1361" s="4">
        <v>0</v>
      </c>
      <c r="AP1361" s="4">
        <v>14</v>
      </c>
      <c r="AQ1361" s="4">
        <v>14</v>
      </c>
      <c r="AR1361" s="3" t="s">
        <v>62</v>
      </c>
      <c r="AS1361" s="3" t="s">
        <v>62</v>
      </c>
      <c r="AT1361" s="3" t="s">
        <v>61</v>
      </c>
      <c r="AU1361" s="6" t="str">
        <f>HYPERLINK("http://catalog.hathitrust.org/Record/003529410","HathiTrust Record")</f>
        <v>HathiTrust Record</v>
      </c>
      <c r="AV1361" s="6" t="str">
        <f>HYPERLINK("http://mcgill.on.worldcat.org/oclc/43970618","Catalog Record")</f>
        <v>Catalog Record</v>
      </c>
      <c r="AW1361" s="6" t="str">
        <f>HYPERLINK("http://www.worldcat.org/oclc/43970618","WorldCat Record")</f>
        <v>WorldCat Record</v>
      </c>
      <c r="AX1361" s="3" t="s">
        <v>13712</v>
      </c>
      <c r="AY1361" s="3" t="s">
        <v>13713</v>
      </c>
      <c r="AZ1361" s="3" t="s">
        <v>13714</v>
      </c>
      <c r="BA1361" s="3" t="s">
        <v>13714</v>
      </c>
      <c r="BB1361" s="3" t="s">
        <v>13715</v>
      </c>
      <c r="BC1361" s="3" t="s">
        <v>102</v>
      </c>
      <c r="BD1361" s="3" t="s">
        <v>68</v>
      </c>
      <c r="BE1361" s="3" t="s">
        <v>13716</v>
      </c>
      <c r="BF1361" s="3" t="s">
        <v>13715</v>
      </c>
      <c r="BG1361" s="3" t="s">
        <v>13717</v>
      </c>
    </row>
    <row r="1362" spans="1:59" ht="58" x14ac:dyDescent="0.35">
      <c r="A1362" s="2" t="s">
        <v>89</v>
      </c>
      <c r="B1362" s="2" t="s">
        <v>90</v>
      </c>
      <c r="C1362" s="2" t="s">
        <v>13718</v>
      </c>
      <c r="D1362" s="2" t="s">
        <v>13719</v>
      </c>
      <c r="E1362" s="2" t="s">
        <v>13720</v>
      </c>
      <c r="G1362" s="3" t="s">
        <v>62</v>
      </c>
      <c r="I1362" s="3" t="s">
        <v>62</v>
      </c>
      <c r="J1362" s="3" t="s">
        <v>62</v>
      </c>
      <c r="K1362" s="3" t="s">
        <v>63</v>
      </c>
      <c r="M1362" s="2" t="s">
        <v>13721</v>
      </c>
      <c r="N1362" s="3" t="s">
        <v>596</v>
      </c>
      <c r="P1362" s="3" t="s">
        <v>64</v>
      </c>
      <c r="Q1362" s="2" t="s">
        <v>13722</v>
      </c>
      <c r="R1362" s="3" t="s">
        <v>13065</v>
      </c>
      <c r="S1362" s="4">
        <v>8</v>
      </c>
      <c r="T1362" s="4">
        <v>8</v>
      </c>
      <c r="U1362" s="5" t="s">
        <v>13723</v>
      </c>
      <c r="V1362" s="5" t="s">
        <v>13723</v>
      </c>
      <c r="W1362" s="5" t="s">
        <v>67</v>
      </c>
      <c r="X1362" s="5" t="s">
        <v>67</v>
      </c>
      <c r="Y1362" s="4">
        <v>227</v>
      </c>
      <c r="Z1362" s="4">
        <v>16</v>
      </c>
      <c r="AA1362" s="4">
        <v>17</v>
      </c>
      <c r="AB1362" s="4">
        <v>2</v>
      </c>
      <c r="AC1362" s="4">
        <v>3</v>
      </c>
      <c r="AD1362" s="4">
        <v>58</v>
      </c>
      <c r="AE1362" s="4">
        <v>59</v>
      </c>
      <c r="AF1362" s="4">
        <v>1</v>
      </c>
      <c r="AG1362" s="4">
        <v>2</v>
      </c>
      <c r="AH1362" s="4">
        <v>49</v>
      </c>
      <c r="AI1362" s="4">
        <v>50</v>
      </c>
      <c r="AJ1362" s="4">
        <v>11</v>
      </c>
      <c r="AK1362" s="4">
        <v>12</v>
      </c>
      <c r="AL1362" s="4">
        <v>32</v>
      </c>
      <c r="AM1362" s="4">
        <v>32</v>
      </c>
      <c r="AN1362" s="4">
        <v>0</v>
      </c>
      <c r="AO1362" s="4">
        <v>0</v>
      </c>
      <c r="AP1362" s="4">
        <v>13</v>
      </c>
      <c r="AQ1362" s="4">
        <v>14</v>
      </c>
      <c r="AR1362" s="3" t="s">
        <v>62</v>
      </c>
      <c r="AS1362" s="3" t="s">
        <v>62</v>
      </c>
      <c r="AT1362" s="3" t="s">
        <v>62</v>
      </c>
      <c r="AV1362" s="6" t="str">
        <f>HYPERLINK("http://mcgill.on.worldcat.org/oclc/45784178","Catalog Record")</f>
        <v>Catalog Record</v>
      </c>
      <c r="AW1362" s="6" t="str">
        <f>HYPERLINK("http://www.worldcat.org/oclc/45784178","WorldCat Record")</f>
        <v>WorldCat Record</v>
      </c>
      <c r="AX1362" s="3" t="s">
        <v>13724</v>
      </c>
      <c r="AY1362" s="3" t="s">
        <v>13725</v>
      </c>
      <c r="AZ1362" s="3" t="s">
        <v>13726</v>
      </c>
      <c r="BA1362" s="3" t="s">
        <v>13726</v>
      </c>
      <c r="BB1362" s="3" t="s">
        <v>13727</v>
      </c>
      <c r="BC1362" s="3" t="s">
        <v>102</v>
      </c>
      <c r="BD1362" s="3" t="s">
        <v>68</v>
      </c>
      <c r="BE1362" s="3" t="s">
        <v>13728</v>
      </c>
      <c r="BF1362" s="3" t="s">
        <v>13727</v>
      </c>
      <c r="BG1362" s="3" t="s">
        <v>13729</v>
      </c>
    </row>
    <row r="1363" spans="1:59" ht="58" x14ac:dyDescent="0.35">
      <c r="A1363" s="2" t="s">
        <v>89</v>
      </c>
      <c r="B1363" s="2" t="s">
        <v>90</v>
      </c>
      <c r="C1363" s="2" t="s">
        <v>13730</v>
      </c>
      <c r="D1363" s="2" t="s">
        <v>13731</v>
      </c>
      <c r="E1363" s="2" t="s">
        <v>13732</v>
      </c>
      <c r="G1363" s="3" t="s">
        <v>62</v>
      </c>
      <c r="I1363" s="3" t="s">
        <v>61</v>
      </c>
      <c r="J1363" s="3" t="s">
        <v>62</v>
      </c>
      <c r="K1363" s="3" t="s">
        <v>63</v>
      </c>
      <c r="L1363" s="2" t="s">
        <v>13733</v>
      </c>
      <c r="M1363" s="2" t="s">
        <v>13734</v>
      </c>
      <c r="N1363" s="3" t="s">
        <v>2588</v>
      </c>
      <c r="P1363" s="3" t="s">
        <v>64</v>
      </c>
      <c r="R1363" s="3" t="s">
        <v>13065</v>
      </c>
      <c r="S1363" s="4">
        <v>10</v>
      </c>
      <c r="T1363" s="4">
        <v>96</v>
      </c>
      <c r="U1363" s="5" t="s">
        <v>7461</v>
      </c>
      <c r="V1363" s="5" t="s">
        <v>13735</v>
      </c>
      <c r="W1363" s="5" t="s">
        <v>67</v>
      </c>
      <c r="X1363" s="5" t="s">
        <v>67</v>
      </c>
      <c r="Y1363" s="4">
        <v>387</v>
      </c>
      <c r="Z1363" s="4">
        <v>29</v>
      </c>
      <c r="AA1363" s="4">
        <v>31</v>
      </c>
      <c r="AB1363" s="4">
        <v>2</v>
      </c>
      <c r="AC1363" s="4">
        <v>4</v>
      </c>
      <c r="AD1363" s="4">
        <v>105</v>
      </c>
      <c r="AE1363" s="4">
        <v>107</v>
      </c>
      <c r="AF1363" s="4">
        <v>1</v>
      </c>
      <c r="AG1363" s="4">
        <v>3</v>
      </c>
      <c r="AH1363" s="4">
        <v>87</v>
      </c>
      <c r="AI1363" s="4">
        <v>88</v>
      </c>
      <c r="AJ1363" s="4">
        <v>17</v>
      </c>
      <c r="AK1363" s="4">
        <v>19</v>
      </c>
      <c r="AL1363" s="4">
        <v>49</v>
      </c>
      <c r="AM1363" s="4">
        <v>49</v>
      </c>
      <c r="AN1363" s="4">
        <v>0</v>
      </c>
      <c r="AO1363" s="4">
        <v>0</v>
      </c>
      <c r="AP1363" s="4">
        <v>24</v>
      </c>
      <c r="AQ1363" s="4">
        <v>25</v>
      </c>
      <c r="AR1363" s="3" t="s">
        <v>62</v>
      </c>
      <c r="AS1363" s="3" t="s">
        <v>62</v>
      </c>
      <c r="AT1363" s="3" t="s">
        <v>61</v>
      </c>
      <c r="AU1363" s="6" t="str">
        <f>HYPERLINK("http://catalog.hathitrust.org/Record/000703644","HathiTrust Record")</f>
        <v>HathiTrust Record</v>
      </c>
      <c r="AV1363" s="6" t="str">
        <f>HYPERLINK("http://mcgill.on.worldcat.org/oclc/1818478","Catalog Record")</f>
        <v>Catalog Record</v>
      </c>
      <c r="AW1363" s="6" t="str">
        <f>HYPERLINK("http://www.worldcat.org/oclc/1818478","WorldCat Record")</f>
        <v>WorldCat Record</v>
      </c>
      <c r="AX1363" s="3" t="s">
        <v>13736</v>
      </c>
      <c r="AY1363" s="3" t="s">
        <v>13737</v>
      </c>
      <c r="AZ1363" s="3" t="s">
        <v>13738</v>
      </c>
      <c r="BA1363" s="3" t="s">
        <v>13738</v>
      </c>
      <c r="BB1363" s="3" t="s">
        <v>13739</v>
      </c>
      <c r="BC1363" s="3" t="s">
        <v>102</v>
      </c>
      <c r="BD1363" s="3" t="s">
        <v>68</v>
      </c>
      <c r="BE1363" s="3" t="s">
        <v>13740</v>
      </c>
      <c r="BF1363" s="3" t="s">
        <v>13739</v>
      </c>
      <c r="BG1363" s="3" t="s">
        <v>13741</v>
      </c>
    </row>
    <row r="1364" spans="1:59" ht="58" x14ac:dyDescent="0.35">
      <c r="A1364" s="2" t="s">
        <v>89</v>
      </c>
      <c r="B1364" s="2" t="s">
        <v>6124</v>
      </c>
      <c r="C1364" s="2" t="s">
        <v>13742</v>
      </c>
      <c r="D1364" s="2" t="s">
        <v>13743</v>
      </c>
      <c r="E1364" s="2" t="s">
        <v>13744</v>
      </c>
      <c r="G1364" s="3" t="s">
        <v>62</v>
      </c>
      <c r="I1364" s="3" t="s">
        <v>62</v>
      </c>
      <c r="J1364" s="3" t="s">
        <v>62</v>
      </c>
      <c r="K1364" s="3" t="s">
        <v>63</v>
      </c>
      <c r="L1364" s="2" t="s">
        <v>13745</v>
      </c>
      <c r="M1364" s="2" t="s">
        <v>13746</v>
      </c>
      <c r="N1364" s="3" t="s">
        <v>726</v>
      </c>
      <c r="P1364" s="3" t="s">
        <v>64</v>
      </c>
      <c r="R1364" s="3" t="s">
        <v>13065</v>
      </c>
      <c r="S1364" s="4">
        <v>1</v>
      </c>
      <c r="T1364" s="4">
        <v>1</v>
      </c>
      <c r="W1364" s="5" t="s">
        <v>67</v>
      </c>
      <c r="X1364" s="5" t="s">
        <v>67</v>
      </c>
      <c r="Y1364" s="4">
        <v>67</v>
      </c>
      <c r="Z1364" s="4">
        <v>3</v>
      </c>
      <c r="AA1364" s="4">
        <v>84</v>
      </c>
      <c r="AB1364" s="4">
        <v>1</v>
      </c>
      <c r="AC1364" s="4">
        <v>15</v>
      </c>
      <c r="AD1364" s="4">
        <v>15</v>
      </c>
      <c r="AE1364" s="4">
        <v>113</v>
      </c>
      <c r="AF1364" s="4">
        <v>0</v>
      </c>
      <c r="AG1364" s="4">
        <v>8</v>
      </c>
      <c r="AH1364" s="4">
        <v>14</v>
      </c>
      <c r="AI1364" s="4">
        <v>80</v>
      </c>
      <c r="AJ1364" s="4">
        <v>2</v>
      </c>
      <c r="AK1364" s="4">
        <v>19</v>
      </c>
      <c r="AL1364" s="4">
        <v>10</v>
      </c>
      <c r="AM1364" s="4">
        <v>41</v>
      </c>
      <c r="AN1364" s="4">
        <v>0</v>
      </c>
      <c r="AO1364" s="4">
        <v>0</v>
      </c>
      <c r="AP1364" s="4">
        <v>2</v>
      </c>
      <c r="AQ1364" s="4">
        <v>40</v>
      </c>
      <c r="AR1364" s="3" t="s">
        <v>62</v>
      </c>
      <c r="AS1364" s="3" t="s">
        <v>62</v>
      </c>
      <c r="AT1364" s="3" t="s">
        <v>62</v>
      </c>
      <c r="AV1364" s="6" t="str">
        <f>HYPERLINK("http://mcgill.on.worldcat.org/oclc/992349249","Catalog Record")</f>
        <v>Catalog Record</v>
      </c>
      <c r="AW1364" s="6" t="str">
        <f>HYPERLINK("http://www.worldcat.org/oclc/992349249","WorldCat Record")</f>
        <v>WorldCat Record</v>
      </c>
      <c r="AX1364" s="3" t="s">
        <v>13747</v>
      </c>
      <c r="AY1364" s="3" t="s">
        <v>13748</v>
      </c>
      <c r="AZ1364" s="3" t="s">
        <v>13749</v>
      </c>
      <c r="BA1364" s="3" t="s">
        <v>13749</v>
      </c>
      <c r="BB1364" s="3" t="s">
        <v>13750</v>
      </c>
      <c r="BC1364" s="3" t="s">
        <v>102</v>
      </c>
      <c r="BD1364" s="3" t="s">
        <v>231</v>
      </c>
      <c r="BE1364" s="3" t="s">
        <v>13751</v>
      </c>
      <c r="BF1364" s="3" t="s">
        <v>13750</v>
      </c>
      <c r="BG1364" s="3" t="s">
        <v>13752</v>
      </c>
    </row>
    <row r="1365" spans="1:59" ht="58" x14ac:dyDescent="0.35">
      <c r="A1365" s="2" t="s">
        <v>89</v>
      </c>
      <c r="B1365" s="2" t="s">
        <v>90</v>
      </c>
      <c r="C1365" s="2" t="s">
        <v>13753</v>
      </c>
      <c r="D1365" s="2" t="s">
        <v>13754</v>
      </c>
      <c r="E1365" s="2" t="s">
        <v>13755</v>
      </c>
      <c r="G1365" s="3" t="s">
        <v>62</v>
      </c>
      <c r="I1365" s="3" t="s">
        <v>61</v>
      </c>
      <c r="J1365" s="3" t="s">
        <v>61</v>
      </c>
      <c r="K1365" s="3" t="s">
        <v>63</v>
      </c>
      <c r="L1365" s="2" t="s">
        <v>13184</v>
      </c>
      <c r="M1365" s="2" t="s">
        <v>13756</v>
      </c>
      <c r="N1365" s="3" t="s">
        <v>6410</v>
      </c>
      <c r="P1365" s="3" t="s">
        <v>64</v>
      </c>
      <c r="Q1365" s="2" t="s">
        <v>7944</v>
      </c>
      <c r="R1365" s="3" t="s">
        <v>13065</v>
      </c>
      <c r="S1365" s="4">
        <v>5</v>
      </c>
      <c r="T1365" s="4">
        <v>6</v>
      </c>
      <c r="U1365" s="5" t="s">
        <v>13757</v>
      </c>
      <c r="V1365" s="5" t="s">
        <v>6849</v>
      </c>
      <c r="W1365" s="5" t="s">
        <v>67</v>
      </c>
      <c r="X1365" s="5" t="s">
        <v>67</v>
      </c>
      <c r="Y1365" s="4">
        <v>354</v>
      </c>
      <c r="Z1365" s="4">
        <v>19</v>
      </c>
      <c r="AA1365" s="4">
        <v>45</v>
      </c>
      <c r="AB1365" s="4">
        <v>1</v>
      </c>
      <c r="AC1365" s="4">
        <v>9</v>
      </c>
      <c r="AD1365" s="4">
        <v>98</v>
      </c>
      <c r="AE1365" s="4">
        <v>127</v>
      </c>
      <c r="AF1365" s="4">
        <v>0</v>
      </c>
      <c r="AG1365" s="4">
        <v>5</v>
      </c>
      <c r="AH1365" s="4">
        <v>86</v>
      </c>
      <c r="AI1365" s="4">
        <v>99</v>
      </c>
      <c r="AJ1365" s="4">
        <v>12</v>
      </c>
      <c r="AK1365" s="4">
        <v>24</v>
      </c>
      <c r="AL1365" s="4">
        <v>52</v>
      </c>
      <c r="AM1365" s="4">
        <v>54</v>
      </c>
      <c r="AN1365" s="4">
        <v>0</v>
      </c>
      <c r="AO1365" s="4">
        <v>0</v>
      </c>
      <c r="AP1365" s="4">
        <v>15</v>
      </c>
      <c r="AQ1365" s="4">
        <v>34</v>
      </c>
      <c r="AR1365" s="3" t="s">
        <v>62</v>
      </c>
      <c r="AS1365" s="3" t="s">
        <v>62</v>
      </c>
      <c r="AT1365" s="3" t="s">
        <v>61</v>
      </c>
      <c r="AU1365" s="6" t="str">
        <f>HYPERLINK("http://catalog.hathitrust.org/Record/000125755","HathiTrust Record")</f>
        <v>HathiTrust Record</v>
      </c>
      <c r="AV1365" s="6" t="str">
        <f>HYPERLINK("http://mcgill.on.worldcat.org/oclc/523920","Catalog Record")</f>
        <v>Catalog Record</v>
      </c>
      <c r="AW1365" s="6" t="str">
        <f>HYPERLINK("http://www.worldcat.org/oclc/523920","WorldCat Record")</f>
        <v>WorldCat Record</v>
      </c>
      <c r="AX1365" s="3" t="s">
        <v>13758</v>
      </c>
      <c r="AY1365" s="3" t="s">
        <v>13759</v>
      </c>
      <c r="AZ1365" s="3" t="s">
        <v>13760</v>
      </c>
      <c r="BA1365" s="3" t="s">
        <v>13760</v>
      </c>
      <c r="BB1365" s="3" t="s">
        <v>13761</v>
      </c>
      <c r="BC1365" s="3" t="s">
        <v>102</v>
      </c>
      <c r="BD1365" s="3" t="s">
        <v>68</v>
      </c>
      <c r="BF1365" s="3" t="s">
        <v>13761</v>
      </c>
      <c r="BG1365" s="3" t="s">
        <v>13762</v>
      </c>
    </row>
    <row r="1366" spans="1:59" ht="58" x14ac:dyDescent="0.35">
      <c r="A1366" s="2" t="s">
        <v>89</v>
      </c>
      <c r="B1366" s="2" t="s">
        <v>90</v>
      </c>
      <c r="C1366" s="2" t="s">
        <v>13763</v>
      </c>
      <c r="D1366" s="2" t="s">
        <v>13764</v>
      </c>
      <c r="E1366" s="2" t="s">
        <v>13765</v>
      </c>
      <c r="G1366" s="3" t="s">
        <v>62</v>
      </c>
      <c r="I1366" s="3" t="s">
        <v>61</v>
      </c>
      <c r="J1366" s="3" t="s">
        <v>61</v>
      </c>
      <c r="K1366" s="3" t="s">
        <v>63</v>
      </c>
      <c r="L1366" s="2" t="s">
        <v>13766</v>
      </c>
      <c r="M1366" s="2" t="s">
        <v>13767</v>
      </c>
      <c r="N1366" s="3" t="s">
        <v>2975</v>
      </c>
      <c r="O1366" s="2" t="s">
        <v>2986</v>
      </c>
      <c r="P1366" s="3" t="s">
        <v>64</v>
      </c>
      <c r="R1366" s="3" t="s">
        <v>13065</v>
      </c>
      <c r="S1366" s="4">
        <v>26</v>
      </c>
      <c r="T1366" s="4">
        <v>101</v>
      </c>
      <c r="U1366" s="5" t="s">
        <v>13768</v>
      </c>
      <c r="V1366" s="5" t="s">
        <v>13768</v>
      </c>
      <c r="W1366" s="5" t="s">
        <v>67</v>
      </c>
      <c r="X1366" s="5" t="s">
        <v>67</v>
      </c>
      <c r="Y1366" s="4">
        <v>281</v>
      </c>
      <c r="Z1366" s="4">
        <v>18</v>
      </c>
      <c r="AA1366" s="4">
        <v>64</v>
      </c>
      <c r="AB1366" s="4">
        <v>1</v>
      </c>
      <c r="AC1366" s="4">
        <v>18</v>
      </c>
      <c r="AD1366" s="4">
        <v>77</v>
      </c>
      <c r="AE1366" s="4">
        <v>137</v>
      </c>
      <c r="AF1366" s="4">
        <v>0</v>
      </c>
      <c r="AG1366" s="4">
        <v>9</v>
      </c>
      <c r="AH1366" s="4">
        <v>67</v>
      </c>
      <c r="AI1366" s="4">
        <v>103</v>
      </c>
      <c r="AJ1366" s="4">
        <v>10</v>
      </c>
      <c r="AK1366" s="4">
        <v>25</v>
      </c>
      <c r="AL1366" s="4">
        <v>46</v>
      </c>
      <c r="AM1366" s="4">
        <v>58</v>
      </c>
      <c r="AN1366" s="4">
        <v>0</v>
      </c>
      <c r="AO1366" s="4">
        <v>0</v>
      </c>
      <c r="AP1366" s="4">
        <v>14</v>
      </c>
      <c r="AQ1366" s="4">
        <v>42</v>
      </c>
      <c r="AR1366" s="3" t="s">
        <v>62</v>
      </c>
      <c r="AS1366" s="3" t="s">
        <v>62</v>
      </c>
      <c r="AT1366" s="3" t="s">
        <v>62</v>
      </c>
      <c r="AV1366" s="6" t="str">
        <f>HYPERLINK("http://mcgill.on.worldcat.org/oclc/45830890","Catalog Record")</f>
        <v>Catalog Record</v>
      </c>
      <c r="AW1366" s="6" t="str">
        <f>HYPERLINK("http://www.worldcat.org/oclc/45830890","WorldCat Record")</f>
        <v>WorldCat Record</v>
      </c>
      <c r="AX1366" s="3" t="s">
        <v>13769</v>
      </c>
      <c r="AY1366" s="3" t="s">
        <v>13770</v>
      </c>
      <c r="AZ1366" s="3" t="s">
        <v>13771</v>
      </c>
      <c r="BA1366" s="3" t="s">
        <v>13771</v>
      </c>
      <c r="BB1366" s="3" t="s">
        <v>13772</v>
      </c>
      <c r="BC1366" s="3" t="s">
        <v>102</v>
      </c>
      <c r="BD1366" s="3" t="s">
        <v>68</v>
      </c>
      <c r="BE1366" s="3" t="s">
        <v>13773</v>
      </c>
      <c r="BF1366" s="3" t="s">
        <v>13772</v>
      </c>
      <c r="BG1366" s="3" t="s">
        <v>13774</v>
      </c>
    </row>
    <row r="1367" spans="1:59" ht="58" x14ac:dyDescent="0.35">
      <c r="A1367" s="2" t="s">
        <v>89</v>
      </c>
      <c r="B1367" s="2" t="s">
        <v>90</v>
      </c>
      <c r="C1367" s="2" t="s">
        <v>13775</v>
      </c>
      <c r="D1367" s="2" t="s">
        <v>13776</v>
      </c>
      <c r="E1367" s="2" t="s">
        <v>13777</v>
      </c>
      <c r="G1367" s="3" t="s">
        <v>61</v>
      </c>
      <c r="I1367" s="3" t="s">
        <v>62</v>
      </c>
      <c r="J1367" s="3" t="s">
        <v>62</v>
      </c>
      <c r="K1367" s="3" t="s">
        <v>63</v>
      </c>
      <c r="L1367" s="2" t="s">
        <v>13313</v>
      </c>
      <c r="M1367" s="2" t="s">
        <v>13778</v>
      </c>
      <c r="N1367" s="3" t="s">
        <v>13779</v>
      </c>
      <c r="P1367" s="3" t="s">
        <v>1881</v>
      </c>
      <c r="R1367" s="3" t="s">
        <v>13065</v>
      </c>
      <c r="S1367" s="4">
        <v>14</v>
      </c>
      <c r="T1367" s="4">
        <v>14</v>
      </c>
      <c r="U1367" s="5" t="s">
        <v>5030</v>
      </c>
      <c r="V1367" s="5" t="s">
        <v>5030</v>
      </c>
      <c r="W1367" s="5" t="s">
        <v>67</v>
      </c>
      <c r="X1367" s="5" t="s">
        <v>67</v>
      </c>
      <c r="Y1367" s="4">
        <v>22</v>
      </c>
      <c r="Z1367" s="4">
        <v>2</v>
      </c>
      <c r="AA1367" s="4">
        <v>15</v>
      </c>
      <c r="AB1367" s="4">
        <v>1</v>
      </c>
      <c r="AC1367" s="4">
        <v>3</v>
      </c>
      <c r="AD1367" s="4">
        <v>14</v>
      </c>
      <c r="AE1367" s="4">
        <v>39</v>
      </c>
      <c r="AF1367" s="4">
        <v>0</v>
      </c>
      <c r="AG1367" s="4">
        <v>2</v>
      </c>
      <c r="AH1367" s="4">
        <v>12</v>
      </c>
      <c r="AI1367" s="4">
        <v>32</v>
      </c>
      <c r="AJ1367" s="4">
        <v>1</v>
      </c>
      <c r="AK1367" s="4">
        <v>12</v>
      </c>
      <c r="AL1367" s="4">
        <v>11</v>
      </c>
      <c r="AM1367" s="4">
        <v>22</v>
      </c>
      <c r="AN1367" s="4">
        <v>0</v>
      </c>
      <c r="AO1367" s="4">
        <v>5</v>
      </c>
      <c r="AP1367" s="4">
        <v>1</v>
      </c>
      <c r="AQ1367" s="4">
        <v>11</v>
      </c>
      <c r="AR1367" s="3" t="s">
        <v>62</v>
      </c>
      <c r="AS1367" s="3" t="s">
        <v>62</v>
      </c>
      <c r="AT1367" s="3" t="s">
        <v>62</v>
      </c>
      <c r="AU1367" s="6" t="str">
        <f>HYPERLINK("http://catalog.hathitrust.org/Record/100030434","HathiTrust Record")</f>
        <v>HathiTrust Record</v>
      </c>
      <c r="AV1367" s="6" t="str">
        <f>HYPERLINK("http://mcgill.on.worldcat.org/oclc/13467061","Catalog Record")</f>
        <v>Catalog Record</v>
      </c>
      <c r="AW1367" s="6" t="str">
        <f>HYPERLINK("http://www.worldcat.org/oclc/13467061","WorldCat Record")</f>
        <v>WorldCat Record</v>
      </c>
      <c r="AX1367" s="3" t="s">
        <v>13780</v>
      </c>
      <c r="AY1367" s="3" t="s">
        <v>13781</v>
      </c>
      <c r="AZ1367" s="3" t="s">
        <v>13782</v>
      </c>
      <c r="BA1367" s="3" t="s">
        <v>13782</v>
      </c>
      <c r="BB1367" s="3" t="s">
        <v>13783</v>
      </c>
      <c r="BC1367" s="3" t="s">
        <v>102</v>
      </c>
      <c r="BD1367" s="3" t="s">
        <v>68</v>
      </c>
      <c r="BF1367" s="3" t="s">
        <v>13783</v>
      </c>
      <c r="BG1367" s="3" t="s">
        <v>13784</v>
      </c>
    </row>
    <row r="1368" spans="1:59" ht="58" x14ac:dyDescent="0.35">
      <c r="A1368" s="2" t="s">
        <v>89</v>
      </c>
      <c r="B1368" s="2" t="s">
        <v>90</v>
      </c>
      <c r="C1368" s="2" t="s">
        <v>13785</v>
      </c>
      <c r="D1368" s="2" t="s">
        <v>13786</v>
      </c>
      <c r="E1368" s="2" t="s">
        <v>13787</v>
      </c>
      <c r="G1368" s="3" t="s">
        <v>62</v>
      </c>
      <c r="I1368" s="3" t="s">
        <v>61</v>
      </c>
      <c r="J1368" s="3" t="s">
        <v>61</v>
      </c>
      <c r="K1368" s="3" t="s">
        <v>63</v>
      </c>
      <c r="L1368" s="2" t="s">
        <v>13313</v>
      </c>
      <c r="M1368" s="2" t="s">
        <v>13788</v>
      </c>
      <c r="N1368" s="3" t="s">
        <v>81</v>
      </c>
      <c r="O1368" s="2" t="s">
        <v>13789</v>
      </c>
      <c r="P1368" s="3" t="s">
        <v>64</v>
      </c>
      <c r="R1368" s="3" t="s">
        <v>13065</v>
      </c>
      <c r="S1368" s="4">
        <v>59</v>
      </c>
      <c r="T1368" s="4">
        <v>81</v>
      </c>
      <c r="U1368" s="5" t="s">
        <v>6629</v>
      </c>
      <c r="V1368" s="5" t="s">
        <v>6629</v>
      </c>
      <c r="W1368" s="5" t="s">
        <v>67</v>
      </c>
      <c r="X1368" s="5" t="s">
        <v>67</v>
      </c>
      <c r="Y1368" s="4">
        <v>332</v>
      </c>
      <c r="Z1368" s="4">
        <v>9</v>
      </c>
      <c r="AA1368" s="4">
        <v>53</v>
      </c>
      <c r="AB1368" s="4">
        <v>2</v>
      </c>
      <c r="AC1368" s="4">
        <v>6</v>
      </c>
      <c r="AD1368" s="4">
        <v>58</v>
      </c>
      <c r="AE1368" s="4">
        <v>137</v>
      </c>
      <c r="AF1368" s="4">
        <v>1</v>
      </c>
      <c r="AG1368" s="4">
        <v>4</v>
      </c>
      <c r="AH1368" s="4">
        <v>51</v>
      </c>
      <c r="AI1368" s="4">
        <v>105</v>
      </c>
      <c r="AJ1368" s="4">
        <v>4</v>
      </c>
      <c r="AK1368" s="4">
        <v>22</v>
      </c>
      <c r="AL1368" s="4">
        <v>31</v>
      </c>
      <c r="AM1368" s="4">
        <v>59</v>
      </c>
      <c r="AN1368" s="4">
        <v>0</v>
      </c>
      <c r="AO1368" s="4">
        <v>0</v>
      </c>
      <c r="AP1368" s="4">
        <v>7</v>
      </c>
      <c r="AQ1368" s="4">
        <v>36</v>
      </c>
      <c r="AR1368" s="3" t="s">
        <v>62</v>
      </c>
      <c r="AS1368" s="3" t="s">
        <v>62</v>
      </c>
      <c r="AT1368" s="3" t="s">
        <v>61</v>
      </c>
      <c r="AU1368" s="6" t="str">
        <f>HYPERLINK("http://catalog.hathitrust.org/Record/000168000","HathiTrust Record")</f>
        <v>HathiTrust Record</v>
      </c>
      <c r="AV1368" s="6" t="str">
        <f>HYPERLINK("http://mcgill.on.worldcat.org/oclc/650","Catalog Record")</f>
        <v>Catalog Record</v>
      </c>
      <c r="AW1368" s="6" t="str">
        <f>HYPERLINK("http://www.worldcat.org/oclc/650","WorldCat Record")</f>
        <v>WorldCat Record</v>
      </c>
      <c r="AX1368" s="3" t="s">
        <v>13790</v>
      </c>
      <c r="AY1368" s="3" t="s">
        <v>13791</v>
      </c>
      <c r="AZ1368" s="3" t="s">
        <v>13792</v>
      </c>
      <c r="BA1368" s="3" t="s">
        <v>13792</v>
      </c>
      <c r="BB1368" s="3" t="s">
        <v>13793</v>
      </c>
      <c r="BC1368" s="3" t="s">
        <v>102</v>
      </c>
      <c r="BD1368" s="3" t="s">
        <v>68</v>
      </c>
      <c r="BE1368" s="3" t="s">
        <v>13794</v>
      </c>
      <c r="BF1368" s="3" t="s">
        <v>13793</v>
      </c>
      <c r="BG1368" s="3" t="s">
        <v>13795</v>
      </c>
    </row>
    <row r="1369" spans="1:59" ht="58" x14ac:dyDescent="0.35">
      <c r="A1369" s="2" t="s">
        <v>89</v>
      </c>
      <c r="B1369" s="2" t="s">
        <v>90</v>
      </c>
      <c r="C1369" s="2" t="s">
        <v>13796</v>
      </c>
      <c r="D1369" s="2" t="s">
        <v>13797</v>
      </c>
      <c r="E1369" s="2" t="s">
        <v>13798</v>
      </c>
      <c r="G1369" s="3" t="s">
        <v>62</v>
      </c>
      <c r="I1369" s="3" t="s">
        <v>62</v>
      </c>
      <c r="J1369" s="3" t="s">
        <v>62</v>
      </c>
      <c r="K1369" s="3" t="s">
        <v>63</v>
      </c>
      <c r="L1369" s="2" t="s">
        <v>13313</v>
      </c>
      <c r="M1369" s="2" t="s">
        <v>13799</v>
      </c>
      <c r="N1369" s="3" t="s">
        <v>755</v>
      </c>
      <c r="O1369" s="2" t="s">
        <v>13789</v>
      </c>
      <c r="P1369" s="3" t="s">
        <v>64</v>
      </c>
      <c r="R1369" s="3" t="s">
        <v>13065</v>
      </c>
      <c r="S1369" s="4">
        <v>19</v>
      </c>
      <c r="T1369" s="4">
        <v>19</v>
      </c>
      <c r="U1369" s="5" t="s">
        <v>13800</v>
      </c>
      <c r="V1369" s="5" t="s">
        <v>13800</v>
      </c>
      <c r="W1369" s="5" t="s">
        <v>67</v>
      </c>
      <c r="X1369" s="5" t="s">
        <v>67</v>
      </c>
      <c r="Y1369" s="4">
        <v>1</v>
      </c>
      <c r="Z1369" s="4">
        <v>1</v>
      </c>
      <c r="AA1369" s="4">
        <v>2</v>
      </c>
      <c r="AB1369" s="4">
        <v>1</v>
      </c>
      <c r="AC1369" s="4">
        <v>1</v>
      </c>
      <c r="AD1369" s="4">
        <v>0</v>
      </c>
      <c r="AE1369" s="4">
        <v>1</v>
      </c>
      <c r="AF1369" s="4">
        <v>0</v>
      </c>
      <c r="AG1369" s="4">
        <v>0</v>
      </c>
      <c r="AH1369" s="4">
        <v>0</v>
      </c>
      <c r="AI1369" s="4">
        <v>1</v>
      </c>
      <c r="AJ1369" s="4">
        <v>0</v>
      </c>
      <c r="AK1369" s="4">
        <v>1</v>
      </c>
      <c r="AL1369" s="4">
        <v>0</v>
      </c>
      <c r="AM1369" s="4">
        <v>0</v>
      </c>
      <c r="AN1369" s="4">
        <v>0</v>
      </c>
      <c r="AO1369" s="4">
        <v>0</v>
      </c>
      <c r="AP1369" s="4">
        <v>0</v>
      </c>
      <c r="AQ1369" s="4">
        <v>1</v>
      </c>
      <c r="AR1369" s="3" t="s">
        <v>62</v>
      </c>
      <c r="AS1369" s="3" t="s">
        <v>62</v>
      </c>
      <c r="AT1369" s="3" t="s">
        <v>62</v>
      </c>
      <c r="AV1369" s="6" t="str">
        <f>HYPERLINK("http://mcgill.on.worldcat.org/oclc/427556661","Catalog Record")</f>
        <v>Catalog Record</v>
      </c>
      <c r="AW1369" s="6" t="str">
        <f>HYPERLINK("http://www.worldcat.org/oclc/427556661","WorldCat Record")</f>
        <v>WorldCat Record</v>
      </c>
      <c r="AX1369" s="3" t="s">
        <v>13801</v>
      </c>
      <c r="AY1369" s="3" t="s">
        <v>13802</v>
      </c>
      <c r="AZ1369" s="3" t="s">
        <v>13803</v>
      </c>
      <c r="BA1369" s="3" t="s">
        <v>13803</v>
      </c>
      <c r="BB1369" s="3" t="s">
        <v>13804</v>
      </c>
      <c r="BC1369" s="3" t="s">
        <v>102</v>
      </c>
      <c r="BD1369" s="3" t="s">
        <v>68</v>
      </c>
      <c r="BF1369" s="3" t="s">
        <v>13804</v>
      </c>
      <c r="BG1369" s="3" t="s">
        <v>13805</v>
      </c>
    </row>
    <row r="1370" spans="1:59" ht="58" x14ac:dyDescent="0.35">
      <c r="A1370" s="2" t="s">
        <v>89</v>
      </c>
      <c r="B1370" s="2" t="s">
        <v>90</v>
      </c>
      <c r="C1370" s="2" t="s">
        <v>13806</v>
      </c>
      <c r="D1370" s="2" t="s">
        <v>13807</v>
      </c>
      <c r="E1370" s="2" t="s">
        <v>13808</v>
      </c>
      <c r="F1370" s="3" t="s">
        <v>2233</v>
      </c>
      <c r="G1370" s="3" t="s">
        <v>61</v>
      </c>
      <c r="I1370" s="3" t="s">
        <v>62</v>
      </c>
      <c r="J1370" s="3" t="s">
        <v>62</v>
      </c>
      <c r="K1370" s="3" t="s">
        <v>63</v>
      </c>
      <c r="L1370" s="2" t="s">
        <v>13809</v>
      </c>
      <c r="M1370" s="2" t="s">
        <v>13810</v>
      </c>
      <c r="N1370" s="3" t="s">
        <v>1482</v>
      </c>
      <c r="P1370" s="3" t="s">
        <v>64</v>
      </c>
      <c r="R1370" s="3" t="s">
        <v>13065</v>
      </c>
      <c r="S1370" s="4">
        <v>11</v>
      </c>
      <c r="T1370" s="4">
        <v>52</v>
      </c>
      <c r="U1370" s="5" t="s">
        <v>598</v>
      </c>
      <c r="V1370" s="5" t="s">
        <v>3331</v>
      </c>
      <c r="W1370" s="5" t="s">
        <v>67</v>
      </c>
      <c r="X1370" s="5" t="s">
        <v>67</v>
      </c>
      <c r="Y1370" s="4">
        <v>625</v>
      </c>
      <c r="Z1370" s="4">
        <v>34</v>
      </c>
      <c r="AA1370" s="4">
        <v>99</v>
      </c>
      <c r="AB1370" s="4">
        <v>2</v>
      </c>
      <c r="AC1370" s="4">
        <v>17</v>
      </c>
      <c r="AD1370" s="4">
        <v>125</v>
      </c>
      <c r="AE1370" s="4">
        <v>147</v>
      </c>
      <c r="AF1370" s="4">
        <v>1</v>
      </c>
      <c r="AG1370" s="4">
        <v>8</v>
      </c>
      <c r="AH1370" s="4">
        <v>103</v>
      </c>
      <c r="AI1370" s="4">
        <v>105</v>
      </c>
      <c r="AJ1370" s="4">
        <v>17</v>
      </c>
      <c r="AK1370" s="4">
        <v>24</v>
      </c>
      <c r="AL1370" s="4">
        <v>59</v>
      </c>
      <c r="AM1370" s="4">
        <v>59</v>
      </c>
      <c r="AN1370" s="4">
        <v>0</v>
      </c>
      <c r="AO1370" s="4">
        <v>0</v>
      </c>
      <c r="AP1370" s="4">
        <v>26</v>
      </c>
      <c r="AQ1370" s="4">
        <v>47</v>
      </c>
      <c r="AR1370" s="3" t="s">
        <v>62</v>
      </c>
      <c r="AS1370" s="3" t="s">
        <v>62</v>
      </c>
      <c r="AT1370" s="3" t="s">
        <v>61</v>
      </c>
      <c r="AU1370" s="6" t="str">
        <f>HYPERLINK("http://catalog.hathitrust.org/Record/000666255","HathiTrust Record")</f>
        <v>HathiTrust Record</v>
      </c>
      <c r="AV1370" s="6" t="str">
        <f>HYPERLINK("http://mcgill.on.worldcat.org/oclc/12371326","Catalog Record")</f>
        <v>Catalog Record</v>
      </c>
      <c r="AW1370" s="6" t="str">
        <f>HYPERLINK("http://www.worldcat.org/oclc/12371326","WorldCat Record")</f>
        <v>WorldCat Record</v>
      </c>
      <c r="AX1370" s="3" t="s">
        <v>13811</v>
      </c>
      <c r="AY1370" s="3" t="s">
        <v>13812</v>
      </c>
      <c r="AZ1370" s="3" t="s">
        <v>13813</v>
      </c>
      <c r="BA1370" s="3" t="s">
        <v>13813</v>
      </c>
      <c r="BB1370" s="3" t="s">
        <v>13814</v>
      </c>
      <c r="BC1370" s="3" t="s">
        <v>102</v>
      </c>
      <c r="BD1370" s="3" t="s">
        <v>231</v>
      </c>
      <c r="BE1370" s="3" t="s">
        <v>13815</v>
      </c>
      <c r="BF1370" s="3" t="s">
        <v>13814</v>
      </c>
      <c r="BG1370" s="3" t="s">
        <v>13816</v>
      </c>
    </row>
    <row r="1371" spans="1:59" ht="58" x14ac:dyDescent="0.35">
      <c r="A1371" s="2" t="s">
        <v>89</v>
      </c>
      <c r="B1371" s="2" t="s">
        <v>90</v>
      </c>
      <c r="C1371" s="2" t="s">
        <v>13806</v>
      </c>
      <c r="D1371" s="2" t="s">
        <v>13807</v>
      </c>
      <c r="E1371" s="2" t="s">
        <v>13808</v>
      </c>
      <c r="F1371" s="3" t="s">
        <v>2223</v>
      </c>
      <c r="G1371" s="3" t="s">
        <v>61</v>
      </c>
      <c r="I1371" s="3" t="s">
        <v>62</v>
      </c>
      <c r="J1371" s="3" t="s">
        <v>62</v>
      </c>
      <c r="K1371" s="3" t="s">
        <v>63</v>
      </c>
      <c r="L1371" s="2" t="s">
        <v>13809</v>
      </c>
      <c r="M1371" s="2" t="s">
        <v>13810</v>
      </c>
      <c r="N1371" s="3" t="s">
        <v>1482</v>
      </c>
      <c r="P1371" s="3" t="s">
        <v>64</v>
      </c>
      <c r="R1371" s="3" t="s">
        <v>13065</v>
      </c>
      <c r="S1371" s="4">
        <v>2</v>
      </c>
      <c r="T1371" s="4">
        <v>52</v>
      </c>
      <c r="U1371" s="5" t="s">
        <v>13817</v>
      </c>
      <c r="V1371" s="5" t="s">
        <v>3331</v>
      </c>
      <c r="W1371" s="5" t="s">
        <v>67</v>
      </c>
      <c r="X1371" s="5" t="s">
        <v>67</v>
      </c>
      <c r="Y1371" s="4">
        <v>625</v>
      </c>
      <c r="Z1371" s="4">
        <v>34</v>
      </c>
      <c r="AA1371" s="4">
        <v>99</v>
      </c>
      <c r="AB1371" s="4">
        <v>2</v>
      </c>
      <c r="AC1371" s="4">
        <v>17</v>
      </c>
      <c r="AD1371" s="4">
        <v>125</v>
      </c>
      <c r="AE1371" s="4">
        <v>147</v>
      </c>
      <c r="AF1371" s="4">
        <v>1</v>
      </c>
      <c r="AG1371" s="4">
        <v>8</v>
      </c>
      <c r="AH1371" s="4">
        <v>103</v>
      </c>
      <c r="AI1371" s="4">
        <v>105</v>
      </c>
      <c r="AJ1371" s="4">
        <v>17</v>
      </c>
      <c r="AK1371" s="4">
        <v>24</v>
      </c>
      <c r="AL1371" s="4">
        <v>59</v>
      </c>
      <c r="AM1371" s="4">
        <v>59</v>
      </c>
      <c r="AN1371" s="4">
        <v>0</v>
      </c>
      <c r="AO1371" s="4">
        <v>0</v>
      </c>
      <c r="AP1371" s="4">
        <v>26</v>
      </c>
      <c r="AQ1371" s="4">
        <v>47</v>
      </c>
      <c r="AR1371" s="3" t="s">
        <v>62</v>
      </c>
      <c r="AS1371" s="3" t="s">
        <v>62</v>
      </c>
      <c r="AT1371" s="3" t="s">
        <v>61</v>
      </c>
      <c r="AU1371" s="6" t="str">
        <f>HYPERLINK("http://catalog.hathitrust.org/Record/000666255","HathiTrust Record")</f>
        <v>HathiTrust Record</v>
      </c>
      <c r="AV1371" s="6" t="str">
        <f>HYPERLINK("http://mcgill.on.worldcat.org/oclc/12371326","Catalog Record")</f>
        <v>Catalog Record</v>
      </c>
      <c r="AW1371" s="6" t="str">
        <f>HYPERLINK("http://www.worldcat.org/oclc/12371326","WorldCat Record")</f>
        <v>WorldCat Record</v>
      </c>
      <c r="AX1371" s="3" t="s">
        <v>13811</v>
      </c>
      <c r="AY1371" s="3" t="s">
        <v>13812</v>
      </c>
      <c r="AZ1371" s="3" t="s">
        <v>13813</v>
      </c>
      <c r="BA1371" s="3" t="s">
        <v>13813</v>
      </c>
      <c r="BB1371" s="3" t="s">
        <v>13818</v>
      </c>
      <c r="BC1371" s="3" t="s">
        <v>102</v>
      </c>
      <c r="BD1371" s="3" t="s">
        <v>68</v>
      </c>
      <c r="BE1371" s="3" t="s">
        <v>13815</v>
      </c>
      <c r="BF1371" s="3" t="s">
        <v>13818</v>
      </c>
      <c r="BG1371" s="3" t="s">
        <v>13819</v>
      </c>
    </row>
    <row r="1372" spans="1:59" ht="58" x14ac:dyDescent="0.35">
      <c r="A1372" s="2" t="s">
        <v>89</v>
      </c>
      <c r="B1372" s="2" t="s">
        <v>90</v>
      </c>
      <c r="C1372" s="2" t="s">
        <v>13806</v>
      </c>
      <c r="D1372" s="2" t="s">
        <v>13807</v>
      </c>
      <c r="E1372" s="2" t="s">
        <v>13808</v>
      </c>
      <c r="F1372" s="3" t="s">
        <v>2217</v>
      </c>
      <c r="G1372" s="3" t="s">
        <v>61</v>
      </c>
      <c r="I1372" s="3" t="s">
        <v>62</v>
      </c>
      <c r="J1372" s="3" t="s">
        <v>62</v>
      </c>
      <c r="K1372" s="3" t="s">
        <v>63</v>
      </c>
      <c r="L1372" s="2" t="s">
        <v>13809</v>
      </c>
      <c r="M1372" s="2" t="s">
        <v>13810</v>
      </c>
      <c r="N1372" s="3" t="s">
        <v>1482</v>
      </c>
      <c r="P1372" s="3" t="s">
        <v>64</v>
      </c>
      <c r="R1372" s="3" t="s">
        <v>13065</v>
      </c>
      <c r="S1372" s="4">
        <v>16</v>
      </c>
      <c r="T1372" s="4">
        <v>52</v>
      </c>
      <c r="U1372" s="5" t="s">
        <v>6834</v>
      </c>
      <c r="V1372" s="5" t="s">
        <v>3331</v>
      </c>
      <c r="W1372" s="5" t="s">
        <v>67</v>
      </c>
      <c r="X1372" s="5" t="s">
        <v>67</v>
      </c>
      <c r="Y1372" s="4">
        <v>625</v>
      </c>
      <c r="Z1372" s="4">
        <v>34</v>
      </c>
      <c r="AA1372" s="4">
        <v>99</v>
      </c>
      <c r="AB1372" s="4">
        <v>2</v>
      </c>
      <c r="AC1372" s="4">
        <v>17</v>
      </c>
      <c r="AD1372" s="4">
        <v>125</v>
      </c>
      <c r="AE1372" s="4">
        <v>147</v>
      </c>
      <c r="AF1372" s="4">
        <v>1</v>
      </c>
      <c r="AG1372" s="4">
        <v>8</v>
      </c>
      <c r="AH1372" s="4">
        <v>103</v>
      </c>
      <c r="AI1372" s="4">
        <v>105</v>
      </c>
      <c r="AJ1372" s="4">
        <v>17</v>
      </c>
      <c r="AK1372" s="4">
        <v>24</v>
      </c>
      <c r="AL1372" s="4">
        <v>59</v>
      </c>
      <c r="AM1372" s="4">
        <v>59</v>
      </c>
      <c r="AN1372" s="4">
        <v>0</v>
      </c>
      <c r="AO1372" s="4">
        <v>0</v>
      </c>
      <c r="AP1372" s="4">
        <v>26</v>
      </c>
      <c r="AQ1372" s="4">
        <v>47</v>
      </c>
      <c r="AR1372" s="3" t="s">
        <v>62</v>
      </c>
      <c r="AS1372" s="3" t="s">
        <v>62</v>
      </c>
      <c r="AT1372" s="3" t="s">
        <v>61</v>
      </c>
      <c r="AU1372" s="6" t="str">
        <f>HYPERLINK("http://catalog.hathitrust.org/Record/000666255","HathiTrust Record")</f>
        <v>HathiTrust Record</v>
      </c>
      <c r="AV1372" s="6" t="str">
        <f>HYPERLINK("http://mcgill.on.worldcat.org/oclc/12371326","Catalog Record")</f>
        <v>Catalog Record</v>
      </c>
      <c r="AW1372" s="6" t="str">
        <f>HYPERLINK("http://www.worldcat.org/oclc/12371326","WorldCat Record")</f>
        <v>WorldCat Record</v>
      </c>
      <c r="AX1372" s="3" t="s">
        <v>13811</v>
      </c>
      <c r="AY1372" s="3" t="s">
        <v>13812</v>
      </c>
      <c r="AZ1372" s="3" t="s">
        <v>13813</v>
      </c>
      <c r="BA1372" s="3" t="s">
        <v>13813</v>
      </c>
      <c r="BB1372" s="3" t="s">
        <v>13820</v>
      </c>
      <c r="BC1372" s="3" t="s">
        <v>102</v>
      </c>
      <c r="BD1372" s="3" t="s">
        <v>231</v>
      </c>
      <c r="BE1372" s="3" t="s">
        <v>13815</v>
      </c>
      <c r="BF1372" s="3" t="s">
        <v>13820</v>
      </c>
      <c r="BG1372" s="3" t="s">
        <v>13821</v>
      </c>
    </row>
    <row r="1373" spans="1:59" ht="58" x14ac:dyDescent="0.35">
      <c r="A1373" s="2" t="s">
        <v>89</v>
      </c>
      <c r="B1373" s="2" t="s">
        <v>90</v>
      </c>
      <c r="C1373" s="2" t="s">
        <v>13806</v>
      </c>
      <c r="D1373" s="2" t="s">
        <v>13807</v>
      </c>
      <c r="E1373" s="2" t="s">
        <v>13808</v>
      </c>
      <c r="F1373" s="3" t="s">
        <v>2248</v>
      </c>
      <c r="G1373" s="3" t="s">
        <v>61</v>
      </c>
      <c r="I1373" s="3" t="s">
        <v>62</v>
      </c>
      <c r="J1373" s="3" t="s">
        <v>62</v>
      </c>
      <c r="K1373" s="3" t="s">
        <v>63</v>
      </c>
      <c r="L1373" s="2" t="s">
        <v>13809</v>
      </c>
      <c r="M1373" s="2" t="s">
        <v>13810</v>
      </c>
      <c r="N1373" s="3" t="s">
        <v>1482</v>
      </c>
      <c r="P1373" s="3" t="s">
        <v>64</v>
      </c>
      <c r="R1373" s="3" t="s">
        <v>13065</v>
      </c>
      <c r="S1373" s="4">
        <v>21</v>
      </c>
      <c r="T1373" s="4">
        <v>52</v>
      </c>
      <c r="U1373" s="5" t="s">
        <v>3331</v>
      </c>
      <c r="V1373" s="5" t="s">
        <v>3331</v>
      </c>
      <c r="W1373" s="5" t="s">
        <v>67</v>
      </c>
      <c r="X1373" s="5" t="s">
        <v>67</v>
      </c>
      <c r="Y1373" s="4">
        <v>625</v>
      </c>
      <c r="Z1373" s="4">
        <v>34</v>
      </c>
      <c r="AA1373" s="4">
        <v>99</v>
      </c>
      <c r="AB1373" s="4">
        <v>2</v>
      </c>
      <c r="AC1373" s="4">
        <v>17</v>
      </c>
      <c r="AD1373" s="4">
        <v>125</v>
      </c>
      <c r="AE1373" s="4">
        <v>147</v>
      </c>
      <c r="AF1373" s="4">
        <v>1</v>
      </c>
      <c r="AG1373" s="4">
        <v>8</v>
      </c>
      <c r="AH1373" s="4">
        <v>103</v>
      </c>
      <c r="AI1373" s="4">
        <v>105</v>
      </c>
      <c r="AJ1373" s="4">
        <v>17</v>
      </c>
      <c r="AK1373" s="4">
        <v>24</v>
      </c>
      <c r="AL1373" s="4">
        <v>59</v>
      </c>
      <c r="AM1373" s="4">
        <v>59</v>
      </c>
      <c r="AN1373" s="4">
        <v>0</v>
      </c>
      <c r="AO1373" s="4">
        <v>0</v>
      </c>
      <c r="AP1373" s="4">
        <v>26</v>
      </c>
      <c r="AQ1373" s="4">
        <v>47</v>
      </c>
      <c r="AR1373" s="3" t="s">
        <v>62</v>
      </c>
      <c r="AS1373" s="3" t="s">
        <v>62</v>
      </c>
      <c r="AT1373" s="3" t="s">
        <v>61</v>
      </c>
      <c r="AU1373" s="6" t="str">
        <f>HYPERLINK("http://catalog.hathitrust.org/Record/000666255","HathiTrust Record")</f>
        <v>HathiTrust Record</v>
      </c>
      <c r="AV1373" s="6" t="str">
        <f>HYPERLINK("http://mcgill.on.worldcat.org/oclc/12371326","Catalog Record")</f>
        <v>Catalog Record</v>
      </c>
      <c r="AW1373" s="6" t="str">
        <f>HYPERLINK("http://www.worldcat.org/oclc/12371326","WorldCat Record")</f>
        <v>WorldCat Record</v>
      </c>
      <c r="AX1373" s="3" t="s">
        <v>13811</v>
      </c>
      <c r="AY1373" s="3" t="s">
        <v>13812</v>
      </c>
      <c r="AZ1373" s="3" t="s">
        <v>13813</v>
      </c>
      <c r="BA1373" s="3" t="s">
        <v>13813</v>
      </c>
      <c r="BB1373" s="3" t="s">
        <v>13822</v>
      </c>
      <c r="BC1373" s="3" t="s">
        <v>102</v>
      </c>
      <c r="BD1373" s="3" t="s">
        <v>68</v>
      </c>
      <c r="BE1373" s="3" t="s">
        <v>13815</v>
      </c>
      <c r="BF1373" s="3" t="s">
        <v>13822</v>
      </c>
      <c r="BG1373" s="3" t="s">
        <v>13823</v>
      </c>
    </row>
    <row r="1374" spans="1:59" ht="58" x14ac:dyDescent="0.35">
      <c r="A1374" s="2" t="s">
        <v>89</v>
      </c>
      <c r="B1374" s="2" t="s">
        <v>90</v>
      </c>
      <c r="C1374" s="2" t="s">
        <v>13806</v>
      </c>
      <c r="D1374" s="2" t="s">
        <v>13807</v>
      </c>
      <c r="E1374" s="2" t="s">
        <v>13808</v>
      </c>
      <c r="F1374" s="3" t="s">
        <v>2214</v>
      </c>
      <c r="G1374" s="3" t="s">
        <v>61</v>
      </c>
      <c r="I1374" s="3" t="s">
        <v>62</v>
      </c>
      <c r="J1374" s="3" t="s">
        <v>62</v>
      </c>
      <c r="K1374" s="3" t="s">
        <v>63</v>
      </c>
      <c r="L1374" s="2" t="s">
        <v>13809</v>
      </c>
      <c r="M1374" s="2" t="s">
        <v>13810</v>
      </c>
      <c r="N1374" s="3" t="s">
        <v>1482</v>
      </c>
      <c r="P1374" s="3" t="s">
        <v>64</v>
      </c>
      <c r="R1374" s="3" t="s">
        <v>13065</v>
      </c>
      <c r="S1374" s="4">
        <v>2</v>
      </c>
      <c r="T1374" s="4">
        <v>52</v>
      </c>
      <c r="U1374" s="5" t="s">
        <v>13817</v>
      </c>
      <c r="V1374" s="5" t="s">
        <v>3331</v>
      </c>
      <c r="W1374" s="5" t="s">
        <v>67</v>
      </c>
      <c r="X1374" s="5" t="s">
        <v>67</v>
      </c>
      <c r="Y1374" s="4">
        <v>625</v>
      </c>
      <c r="Z1374" s="4">
        <v>34</v>
      </c>
      <c r="AA1374" s="4">
        <v>99</v>
      </c>
      <c r="AB1374" s="4">
        <v>2</v>
      </c>
      <c r="AC1374" s="4">
        <v>17</v>
      </c>
      <c r="AD1374" s="4">
        <v>125</v>
      </c>
      <c r="AE1374" s="4">
        <v>147</v>
      </c>
      <c r="AF1374" s="4">
        <v>1</v>
      </c>
      <c r="AG1374" s="4">
        <v>8</v>
      </c>
      <c r="AH1374" s="4">
        <v>103</v>
      </c>
      <c r="AI1374" s="4">
        <v>105</v>
      </c>
      <c r="AJ1374" s="4">
        <v>17</v>
      </c>
      <c r="AK1374" s="4">
        <v>24</v>
      </c>
      <c r="AL1374" s="4">
        <v>59</v>
      </c>
      <c r="AM1374" s="4">
        <v>59</v>
      </c>
      <c r="AN1374" s="4">
        <v>0</v>
      </c>
      <c r="AO1374" s="4">
        <v>0</v>
      </c>
      <c r="AP1374" s="4">
        <v>26</v>
      </c>
      <c r="AQ1374" s="4">
        <v>47</v>
      </c>
      <c r="AR1374" s="3" t="s">
        <v>62</v>
      </c>
      <c r="AS1374" s="3" t="s">
        <v>62</v>
      </c>
      <c r="AT1374" s="3" t="s">
        <v>61</v>
      </c>
      <c r="AU1374" s="6" t="str">
        <f>HYPERLINK("http://catalog.hathitrust.org/Record/000666255","HathiTrust Record")</f>
        <v>HathiTrust Record</v>
      </c>
      <c r="AV1374" s="6" t="str">
        <f>HYPERLINK("http://mcgill.on.worldcat.org/oclc/12371326","Catalog Record")</f>
        <v>Catalog Record</v>
      </c>
      <c r="AW1374" s="6" t="str">
        <f>HYPERLINK("http://www.worldcat.org/oclc/12371326","WorldCat Record")</f>
        <v>WorldCat Record</v>
      </c>
      <c r="AX1374" s="3" t="s">
        <v>13811</v>
      </c>
      <c r="AY1374" s="3" t="s">
        <v>13812</v>
      </c>
      <c r="AZ1374" s="3" t="s">
        <v>13813</v>
      </c>
      <c r="BA1374" s="3" t="s">
        <v>13813</v>
      </c>
      <c r="BB1374" s="3" t="s">
        <v>13824</v>
      </c>
      <c r="BC1374" s="3" t="s">
        <v>102</v>
      </c>
      <c r="BD1374" s="3" t="s">
        <v>68</v>
      </c>
      <c r="BE1374" s="3" t="s">
        <v>13815</v>
      </c>
      <c r="BF1374" s="3" t="s">
        <v>13824</v>
      </c>
      <c r="BG1374" s="3" t="s">
        <v>13825</v>
      </c>
    </row>
    <row r="1375" spans="1:59" ht="58" x14ac:dyDescent="0.35">
      <c r="A1375" s="2" t="s">
        <v>89</v>
      </c>
      <c r="B1375" s="2" t="s">
        <v>90</v>
      </c>
      <c r="C1375" s="2" t="s">
        <v>13826</v>
      </c>
      <c r="D1375" s="2" t="s">
        <v>13827</v>
      </c>
      <c r="E1375" s="2" t="s">
        <v>13828</v>
      </c>
      <c r="G1375" s="3" t="s">
        <v>62</v>
      </c>
      <c r="I1375" s="3" t="s">
        <v>62</v>
      </c>
      <c r="J1375" s="3" t="s">
        <v>61</v>
      </c>
      <c r="K1375" s="3" t="s">
        <v>63</v>
      </c>
      <c r="L1375" s="2" t="s">
        <v>13829</v>
      </c>
      <c r="M1375" s="2" t="s">
        <v>13830</v>
      </c>
      <c r="N1375" s="3" t="s">
        <v>809</v>
      </c>
      <c r="P1375" s="3" t="s">
        <v>64</v>
      </c>
      <c r="Q1375" s="2" t="s">
        <v>7944</v>
      </c>
      <c r="R1375" s="3" t="s">
        <v>13065</v>
      </c>
      <c r="S1375" s="4">
        <v>23</v>
      </c>
      <c r="T1375" s="4">
        <v>23</v>
      </c>
      <c r="U1375" s="5" t="s">
        <v>13831</v>
      </c>
      <c r="V1375" s="5" t="s">
        <v>13831</v>
      </c>
      <c r="W1375" s="5" t="s">
        <v>67</v>
      </c>
      <c r="X1375" s="5" t="s">
        <v>67</v>
      </c>
      <c r="Y1375" s="4">
        <v>259</v>
      </c>
      <c r="Z1375" s="4">
        <v>15</v>
      </c>
      <c r="AA1375" s="4">
        <v>43</v>
      </c>
      <c r="AB1375" s="4">
        <v>2</v>
      </c>
      <c r="AC1375" s="4">
        <v>6</v>
      </c>
      <c r="AD1375" s="4">
        <v>86</v>
      </c>
      <c r="AE1375" s="4">
        <v>141</v>
      </c>
      <c r="AF1375" s="4">
        <v>1</v>
      </c>
      <c r="AG1375" s="4">
        <v>4</v>
      </c>
      <c r="AH1375" s="4">
        <v>80</v>
      </c>
      <c r="AI1375" s="4">
        <v>111</v>
      </c>
      <c r="AJ1375" s="4">
        <v>12</v>
      </c>
      <c r="AK1375" s="4">
        <v>24</v>
      </c>
      <c r="AL1375" s="4">
        <v>48</v>
      </c>
      <c r="AM1375" s="4">
        <v>61</v>
      </c>
      <c r="AN1375" s="4">
        <v>0</v>
      </c>
      <c r="AO1375" s="4">
        <v>0</v>
      </c>
      <c r="AP1375" s="4">
        <v>13</v>
      </c>
      <c r="AQ1375" s="4">
        <v>36</v>
      </c>
      <c r="AR1375" s="3" t="s">
        <v>62</v>
      </c>
      <c r="AS1375" s="3" t="s">
        <v>62</v>
      </c>
      <c r="AT1375" s="3" t="s">
        <v>61</v>
      </c>
      <c r="AU1375" s="6" t="str">
        <f>HYPERLINK("http://catalog.hathitrust.org/Record/000165529","HathiTrust Record")</f>
        <v>HathiTrust Record</v>
      </c>
      <c r="AV1375" s="6" t="str">
        <f>HYPERLINK("http://mcgill.on.worldcat.org/oclc/3097797","Catalog Record")</f>
        <v>Catalog Record</v>
      </c>
      <c r="AW1375" s="6" t="str">
        <f>HYPERLINK("http://www.worldcat.org/oclc/3097797","WorldCat Record")</f>
        <v>WorldCat Record</v>
      </c>
      <c r="AX1375" s="3" t="s">
        <v>13832</v>
      </c>
      <c r="AY1375" s="3" t="s">
        <v>13833</v>
      </c>
      <c r="AZ1375" s="3" t="s">
        <v>13834</v>
      </c>
      <c r="BA1375" s="3" t="s">
        <v>13834</v>
      </c>
      <c r="BB1375" s="3" t="s">
        <v>13835</v>
      </c>
      <c r="BC1375" s="3" t="s">
        <v>102</v>
      </c>
      <c r="BD1375" s="3" t="s">
        <v>68</v>
      </c>
      <c r="BF1375" s="3" t="s">
        <v>13835</v>
      </c>
      <c r="BG1375" s="3" t="s">
        <v>13836</v>
      </c>
    </row>
    <row r="1376" spans="1:59" ht="58" x14ac:dyDescent="0.35">
      <c r="A1376" s="2" t="s">
        <v>89</v>
      </c>
      <c r="B1376" s="2" t="s">
        <v>90</v>
      </c>
      <c r="C1376" s="2" t="s">
        <v>13837</v>
      </c>
      <c r="D1376" s="2" t="s">
        <v>13838</v>
      </c>
      <c r="E1376" s="2" t="s">
        <v>13839</v>
      </c>
      <c r="F1376" s="3" t="s">
        <v>13840</v>
      </c>
      <c r="G1376" s="3" t="s">
        <v>61</v>
      </c>
      <c r="I1376" s="3" t="s">
        <v>61</v>
      </c>
      <c r="J1376" s="3" t="s">
        <v>62</v>
      </c>
      <c r="K1376" s="3" t="s">
        <v>63</v>
      </c>
      <c r="L1376" s="2" t="s">
        <v>13841</v>
      </c>
      <c r="M1376" s="2" t="s">
        <v>13842</v>
      </c>
      <c r="N1376" s="3" t="s">
        <v>6048</v>
      </c>
      <c r="P1376" s="3" t="s">
        <v>1881</v>
      </c>
      <c r="Q1376" s="2" t="s">
        <v>13843</v>
      </c>
      <c r="R1376" s="3" t="s">
        <v>13065</v>
      </c>
      <c r="S1376" s="4">
        <v>5</v>
      </c>
      <c r="T1376" s="4">
        <v>8</v>
      </c>
      <c r="U1376" s="5" t="s">
        <v>8165</v>
      </c>
      <c r="V1376" s="5" t="s">
        <v>67</v>
      </c>
      <c r="W1376" s="5" t="s">
        <v>67</v>
      </c>
      <c r="X1376" s="5" t="s">
        <v>67</v>
      </c>
      <c r="Y1376" s="4">
        <v>148</v>
      </c>
      <c r="Z1376" s="4">
        <v>5</v>
      </c>
      <c r="AA1376" s="4">
        <v>30</v>
      </c>
      <c r="AB1376" s="4">
        <v>1</v>
      </c>
      <c r="AC1376" s="4">
        <v>5</v>
      </c>
      <c r="AD1376" s="4">
        <v>74</v>
      </c>
      <c r="AE1376" s="4">
        <v>124</v>
      </c>
      <c r="AF1376" s="4">
        <v>0</v>
      </c>
      <c r="AG1376" s="4">
        <v>4</v>
      </c>
      <c r="AH1376" s="4">
        <v>69</v>
      </c>
      <c r="AI1376" s="4">
        <v>105</v>
      </c>
      <c r="AJ1376" s="4">
        <v>4</v>
      </c>
      <c r="AK1376" s="4">
        <v>23</v>
      </c>
      <c r="AL1376" s="4">
        <v>46</v>
      </c>
      <c r="AM1376" s="4">
        <v>59</v>
      </c>
      <c r="AN1376" s="4">
        <v>0</v>
      </c>
      <c r="AO1376" s="4">
        <v>0</v>
      </c>
      <c r="AP1376" s="4">
        <v>4</v>
      </c>
      <c r="AQ1376" s="4">
        <v>26</v>
      </c>
      <c r="AR1376" s="3" t="s">
        <v>62</v>
      </c>
      <c r="AS1376" s="3" t="s">
        <v>62</v>
      </c>
      <c r="AT1376" s="3" t="s">
        <v>61</v>
      </c>
      <c r="AU1376" s="6" t="str">
        <f>HYPERLINK("http://catalog.hathitrust.org/Record/000448657","HathiTrust Record")</f>
        <v>HathiTrust Record</v>
      </c>
      <c r="AV1376" s="6" t="str">
        <f>HYPERLINK("http://mcgill.on.worldcat.org/oclc/6005244","Catalog Record")</f>
        <v>Catalog Record</v>
      </c>
      <c r="AW1376" s="6" t="str">
        <f>HYPERLINK("http://www.worldcat.org/oclc/6005244","WorldCat Record")</f>
        <v>WorldCat Record</v>
      </c>
      <c r="AX1376" s="3" t="s">
        <v>13844</v>
      </c>
      <c r="AY1376" s="3" t="s">
        <v>13845</v>
      </c>
      <c r="AZ1376" s="3" t="s">
        <v>13846</v>
      </c>
      <c r="BA1376" s="3" t="s">
        <v>13846</v>
      </c>
      <c r="BB1376" s="3" t="s">
        <v>13847</v>
      </c>
      <c r="BC1376" s="3" t="s">
        <v>102</v>
      </c>
      <c r="BD1376" s="3" t="s">
        <v>68</v>
      </c>
      <c r="BF1376" s="3" t="s">
        <v>13847</v>
      </c>
      <c r="BG1376" s="3" t="s">
        <v>13848</v>
      </c>
    </row>
    <row r="1377" spans="1:59" ht="58" x14ac:dyDescent="0.35">
      <c r="A1377" s="2" t="s">
        <v>89</v>
      </c>
      <c r="B1377" s="2" t="s">
        <v>90</v>
      </c>
      <c r="C1377" s="2" t="s">
        <v>13837</v>
      </c>
      <c r="D1377" s="2" t="s">
        <v>13838</v>
      </c>
      <c r="E1377" s="2" t="s">
        <v>13839</v>
      </c>
      <c r="F1377" s="3" t="s">
        <v>13849</v>
      </c>
      <c r="G1377" s="3" t="s">
        <v>61</v>
      </c>
      <c r="I1377" s="3" t="s">
        <v>61</v>
      </c>
      <c r="J1377" s="3" t="s">
        <v>62</v>
      </c>
      <c r="K1377" s="3" t="s">
        <v>63</v>
      </c>
      <c r="L1377" s="2" t="s">
        <v>13841</v>
      </c>
      <c r="M1377" s="2" t="s">
        <v>13842</v>
      </c>
      <c r="N1377" s="3" t="s">
        <v>6048</v>
      </c>
      <c r="P1377" s="3" t="s">
        <v>1881</v>
      </c>
      <c r="Q1377" s="2" t="s">
        <v>13843</v>
      </c>
      <c r="R1377" s="3" t="s">
        <v>13065</v>
      </c>
      <c r="S1377" s="4">
        <v>0</v>
      </c>
      <c r="T1377" s="4">
        <v>8</v>
      </c>
      <c r="V1377" s="5" t="s">
        <v>67</v>
      </c>
      <c r="W1377" s="5" t="s">
        <v>67</v>
      </c>
      <c r="X1377" s="5" t="s">
        <v>67</v>
      </c>
      <c r="Y1377" s="4">
        <v>148</v>
      </c>
      <c r="Z1377" s="4">
        <v>5</v>
      </c>
      <c r="AA1377" s="4">
        <v>30</v>
      </c>
      <c r="AB1377" s="4">
        <v>1</v>
      </c>
      <c r="AC1377" s="4">
        <v>5</v>
      </c>
      <c r="AD1377" s="4">
        <v>74</v>
      </c>
      <c r="AE1377" s="4">
        <v>124</v>
      </c>
      <c r="AF1377" s="4">
        <v>0</v>
      </c>
      <c r="AG1377" s="4">
        <v>4</v>
      </c>
      <c r="AH1377" s="4">
        <v>69</v>
      </c>
      <c r="AI1377" s="4">
        <v>105</v>
      </c>
      <c r="AJ1377" s="4">
        <v>4</v>
      </c>
      <c r="AK1377" s="4">
        <v>23</v>
      </c>
      <c r="AL1377" s="4">
        <v>46</v>
      </c>
      <c r="AM1377" s="4">
        <v>59</v>
      </c>
      <c r="AN1377" s="4">
        <v>0</v>
      </c>
      <c r="AO1377" s="4">
        <v>0</v>
      </c>
      <c r="AP1377" s="4">
        <v>4</v>
      </c>
      <c r="AQ1377" s="4">
        <v>26</v>
      </c>
      <c r="AR1377" s="3" t="s">
        <v>62</v>
      </c>
      <c r="AS1377" s="3" t="s">
        <v>62</v>
      </c>
      <c r="AT1377" s="3" t="s">
        <v>61</v>
      </c>
      <c r="AU1377" s="6" t="str">
        <f>HYPERLINK("http://catalog.hathitrust.org/Record/000448657","HathiTrust Record")</f>
        <v>HathiTrust Record</v>
      </c>
      <c r="AV1377" s="6" t="str">
        <f>HYPERLINK("http://mcgill.on.worldcat.org/oclc/6005244","Catalog Record")</f>
        <v>Catalog Record</v>
      </c>
      <c r="AW1377" s="6" t="str">
        <f>HYPERLINK("http://www.worldcat.org/oclc/6005244","WorldCat Record")</f>
        <v>WorldCat Record</v>
      </c>
      <c r="AX1377" s="3" t="s">
        <v>13844</v>
      </c>
      <c r="AY1377" s="3" t="s">
        <v>13845</v>
      </c>
      <c r="AZ1377" s="3" t="s">
        <v>13846</v>
      </c>
      <c r="BA1377" s="3" t="s">
        <v>13846</v>
      </c>
      <c r="BB1377" s="3" t="s">
        <v>13850</v>
      </c>
      <c r="BC1377" s="3" t="s">
        <v>102</v>
      </c>
      <c r="BD1377" s="3" t="s">
        <v>68</v>
      </c>
      <c r="BF1377" s="3" t="s">
        <v>13850</v>
      </c>
      <c r="BG1377" s="3" t="s">
        <v>13851</v>
      </c>
    </row>
    <row r="1378" spans="1:59" ht="58" x14ac:dyDescent="0.35">
      <c r="A1378" s="2" t="s">
        <v>89</v>
      </c>
      <c r="B1378" s="2" t="s">
        <v>90</v>
      </c>
      <c r="C1378" s="2" t="s">
        <v>13852</v>
      </c>
      <c r="D1378" s="2" t="s">
        <v>13853</v>
      </c>
      <c r="E1378" s="2" t="s">
        <v>13854</v>
      </c>
      <c r="G1378" s="3" t="s">
        <v>62</v>
      </c>
      <c r="I1378" s="3" t="s">
        <v>62</v>
      </c>
      <c r="J1378" s="3" t="s">
        <v>62</v>
      </c>
      <c r="K1378" s="3" t="s">
        <v>63</v>
      </c>
      <c r="L1378" s="2" t="s">
        <v>13855</v>
      </c>
      <c r="M1378" s="2" t="s">
        <v>7297</v>
      </c>
      <c r="N1378" s="3" t="s">
        <v>625</v>
      </c>
      <c r="P1378" s="3" t="s">
        <v>64</v>
      </c>
      <c r="Q1378" s="2" t="s">
        <v>13856</v>
      </c>
      <c r="R1378" s="3" t="s">
        <v>13065</v>
      </c>
      <c r="S1378" s="4">
        <v>16</v>
      </c>
      <c r="T1378" s="4">
        <v>16</v>
      </c>
      <c r="U1378" s="5" t="s">
        <v>2050</v>
      </c>
      <c r="V1378" s="5" t="s">
        <v>2050</v>
      </c>
      <c r="W1378" s="5" t="s">
        <v>67</v>
      </c>
      <c r="X1378" s="5" t="s">
        <v>67</v>
      </c>
      <c r="Y1378" s="4">
        <v>172</v>
      </c>
      <c r="Z1378" s="4">
        <v>13</v>
      </c>
      <c r="AA1378" s="4">
        <v>16</v>
      </c>
      <c r="AB1378" s="4">
        <v>1</v>
      </c>
      <c r="AC1378" s="4">
        <v>3</v>
      </c>
      <c r="AD1378" s="4">
        <v>71</v>
      </c>
      <c r="AE1378" s="4">
        <v>77</v>
      </c>
      <c r="AF1378" s="4">
        <v>0</v>
      </c>
      <c r="AG1378" s="4">
        <v>1</v>
      </c>
      <c r="AH1378" s="4">
        <v>66</v>
      </c>
      <c r="AI1378" s="4">
        <v>71</v>
      </c>
      <c r="AJ1378" s="4">
        <v>8</v>
      </c>
      <c r="AK1378" s="4">
        <v>9</v>
      </c>
      <c r="AL1378" s="4">
        <v>43</v>
      </c>
      <c r="AM1378" s="4">
        <v>45</v>
      </c>
      <c r="AN1378" s="4">
        <v>0</v>
      </c>
      <c r="AO1378" s="4">
        <v>0</v>
      </c>
      <c r="AP1378" s="4">
        <v>9</v>
      </c>
      <c r="AQ1378" s="4">
        <v>11</v>
      </c>
      <c r="AR1378" s="3" t="s">
        <v>62</v>
      </c>
      <c r="AS1378" s="3" t="s">
        <v>62</v>
      </c>
      <c r="AT1378" s="3" t="s">
        <v>62</v>
      </c>
      <c r="AV1378" s="6" t="str">
        <f>HYPERLINK("http://mcgill.on.worldcat.org/oclc/52858552","Catalog Record")</f>
        <v>Catalog Record</v>
      </c>
      <c r="AW1378" s="6" t="str">
        <f>HYPERLINK("http://www.worldcat.org/oclc/52858552","WorldCat Record")</f>
        <v>WorldCat Record</v>
      </c>
      <c r="AX1378" s="3" t="s">
        <v>13857</v>
      </c>
      <c r="AY1378" s="3" t="s">
        <v>13858</v>
      </c>
      <c r="AZ1378" s="3" t="s">
        <v>13859</v>
      </c>
      <c r="BA1378" s="3" t="s">
        <v>13859</v>
      </c>
      <c r="BB1378" s="3" t="s">
        <v>13860</v>
      </c>
      <c r="BC1378" s="3" t="s">
        <v>102</v>
      </c>
      <c r="BD1378" s="3" t="s">
        <v>231</v>
      </c>
      <c r="BE1378" s="3" t="s">
        <v>13861</v>
      </c>
      <c r="BF1378" s="3" t="s">
        <v>13860</v>
      </c>
      <c r="BG1378" s="3" t="s">
        <v>13862</v>
      </c>
    </row>
    <row r="1379" spans="1:59" ht="58" x14ac:dyDescent="0.35">
      <c r="A1379" s="2" t="s">
        <v>89</v>
      </c>
      <c r="B1379" s="2" t="s">
        <v>90</v>
      </c>
      <c r="C1379" s="2" t="s">
        <v>13863</v>
      </c>
      <c r="D1379" s="2" t="s">
        <v>13864</v>
      </c>
      <c r="E1379" s="2" t="s">
        <v>13865</v>
      </c>
      <c r="G1379" s="3" t="s">
        <v>62</v>
      </c>
      <c r="I1379" s="3" t="s">
        <v>61</v>
      </c>
      <c r="J1379" s="3" t="s">
        <v>62</v>
      </c>
      <c r="K1379" s="3" t="s">
        <v>63</v>
      </c>
      <c r="L1379" s="2" t="s">
        <v>13866</v>
      </c>
      <c r="M1379" s="2" t="s">
        <v>13867</v>
      </c>
      <c r="N1379" s="3" t="s">
        <v>1291</v>
      </c>
      <c r="P1379" s="3" t="s">
        <v>64</v>
      </c>
      <c r="Q1379" s="2" t="s">
        <v>7944</v>
      </c>
      <c r="R1379" s="3" t="s">
        <v>13065</v>
      </c>
      <c r="S1379" s="4">
        <v>6</v>
      </c>
      <c r="T1379" s="4">
        <v>8</v>
      </c>
      <c r="U1379" s="5" t="s">
        <v>4852</v>
      </c>
      <c r="V1379" s="5" t="s">
        <v>13394</v>
      </c>
      <c r="W1379" s="5" t="s">
        <v>67</v>
      </c>
      <c r="X1379" s="5" t="s">
        <v>67</v>
      </c>
      <c r="Y1379" s="4">
        <v>241</v>
      </c>
      <c r="Z1379" s="4">
        <v>11</v>
      </c>
      <c r="AA1379" s="4">
        <v>21</v>
      </c>
      <c r="AB1379" s="4">
        <v>1</v>
      </c>
      <c r="AC1379" s="4">
        <v>5</v>
      </c>
      <c r="AD1379" s="4">
        <v>92</v>
      </c>
      <c r="AE1379" s="4">
        <v>105</v>
      </c>
      <c r="AF1379" s="4">
        <v>0</v>
      </c>
      <c r="AG1379" s="4">
        <v>2</v>
      </c>
      <c r="AH1379" s="4">
        <v>82</v>
      </c>
      <c r="AI1379" s="4">
        <v>93</v>
      </c>
      <c r="AJ1379" s="4">
        <v>7</v>
      </c>
      <c r="AK1379" s="4">
        <v>14</v>
      </c>
      <c r="AL1379" s="4">
        <v>50</v>
      </c>
      <c r="AM1379" s="4">
        <v>54</v>
      </c>
      <c r="AN1379" s="4">
        <v>2</v>
      </c>
      <c r="AO1379" s="4">
        <v>2</v>
      </c>
      <c r="AP1379" s="4">
        <v>9</v>
      </c>
      <c r="AQ1379" s="4">
        <v>15</v>
      </c>
      <c r="AR1379" s="3" t="s">
        <v>62</v>
      </c>
      <c r="AS1379" s="3" t="s">
        <v>62</v>
      </c>
      <c r="AT1379" s="3" t="s">
        <v>61</v>
      </c>
      <c r="AU1379" s="6" t="str">
        <f>HYPERLINK("http://catalog.hathitrust.org/Record/006248726","HathiTrust Record")</f>
        <v>HathiTrust Record</v>
      </c>
      <c r="AV1379" s="6" t="str">
        <f>HYPERLINK("http://mcgill.on.worldcat.org/oclc/2191579","Catalog Record")</f>
        <v>Catalog Record</v>
      </c>
      <c r="AW1379" s="6" t="str">
        <f>HYPERLINK("http://www.worldcat.org/oclc/2191579","WorldCat Record")</f>
        <v>WorldCat Record</v>
      </c>
      <c r="AX1379" s="3" t="s">
        <v>13868</v>
      </c>
      <c r="AY1379" s="3" t="s">
        <v>13869</v>
      </c>
      <c r="AZ1379" s="3" t="s">
        <v>13870</v>
      </c>
      <c r="BA1379" s="3" t="s">
        <v>13870</v>
      </c>
      <c r="BB1379" s="3" t="s">
        <v>13871</v>
      </c>
      <c r="BC1379" s="3" t="s">
        <v>102</v>
      </c>
      <c r="BD1379" s="3" t="s">
        <v>68</v>
      </c>
      <c r="BF1379" s="3" t="s">
        <v>13871</v>
      </c>
      <c r="BG1379" s="3" t="s">
        <v>13872</v>
      </c>
    </row>
    <row r="1380" spans="1:59" ht="58" x14ac:dyDescent="0.35">
      <c r="A1380" s="2" t="s">
        <v>89</v>
      </c>
      <c r="B1380" s="2" t="s">
        <v>90</v>
      </c>
      <c r="C1380" s="2" t="s">
        <v>13873</v>
      </c>
      <c r="D1380" s="2" t="s">
        <v>13874</v>
      </c>
      <c r="E1380" s="2" t="s">
        <v>13875</v>
      </c>
      <c r="G1380" s="3" t="s">
        <v>62</v>
      </c>
      <c r="I1380" s="3" t="s">
        <v>61</v>
      </c>
      <c r="J1380" s="3" t="s">
        <v>62</v>
      </c>
      <c r="K1380" s="3" t="s">
        <v>63</v>
      </c>
      <c r="L1380" s="2" t="s">
        <v>7916</v>
      </c>
      <c r="M1380" s="2" t="s">
        <v>13876</v>
      </c>
      <c r="N1380" s="3" t="s">
        <v>954</v>
      </c>
      <c r="P1380" s="3" t="s">
        <v>64</v>
      </c>
      <c r="Q1380" s="2" t="s">
        <v>13877</v>
      </c>
      <c r="R1380" s="3" t="s">
        <v>13065</v>
      </c>
      <c r="S1380" s="4">
        <v>1</v>
      </c>
      <c r="T1380" s="4">
        <v>16</v>
      </c>
      <c r="U1380" s="5" t="s">
        <v>203</v>
      </c>
      <c r="V1380" s="5" t="s">
        <v>203</v>
      </c>
      <c r="W1380" s="5" t="s">
        <v>67</v>
      </c>
      <c r="X1380" s="5" t="s">
        <v>67</v>
      </c>
      <c r="Y1380" s="4">
        <v>414</v>
      </c>
      <c r="Z1380" s="4">
        <v>33</v>
      </c>
      <c r="AA1380" s="4">
        <v>39</v>
      </c>
      <c r="AB1380" s="4">
        <v>2</v>
      </c>
      <c r="AC1380" s="4">
        <v>5</v>
      </c>
      <c r="AD1380" s="4">
        <v>122</v>
      </c>
      <c r="AE1380" s="4">
        <v>124</v>
      </c>
      <c r="AF1380" s="4">
        <v>1</v>
      </c>
      <c r="AG1380" s="4">
        <v>2</v>
      </c>
      <c r="AH1380" s="4">
        <v>102</v>
      </c>
      <c r="AI1380" s="4">
        <v>103</v>
      </c>
      <c r="AJ1380" s="4">
        <v>21</v>
      </c>
      <c r="AK1380" s="4">
        <v>23</v>
      </c>
      <c r="AL1380" s="4">
        <v>58</v>
      </c>
      <c r="AM1380" s="4">
        <v>58</v>
      </c>
      <c r="AN1380" s="4">
        <v>0</v>
      </c>
      <c r="AO1380" s="4">
        <v>0</v>
      </c>
      <c r="AP1380" s="4">
        <v>27</v>
      </c>
      <c r="AQ1380" s="4">
        <v>29</v>
      </c>
      <c r="AR1380" s="3" t="s">
        <v>62</v>
      </c>
      <c r="AS1380" s="3" t="s">
        <v>62</v>
      </c>
      <c r="AT1380" s="3" t="s">
        <v>61</v>
      </c>
      <c r="AU1380" s="6" t="str">
        <f>HYPERLINK("http://catalog.hathitrust.org/Record/000125112","HathiTrust Record")</f>
        <v>HathiTrust Record</v>
      </c>
      <c r="AV1380" s="6" t="str">
        <f>HYPERLINK("http://mcgill.on.worldcat.org/oclc/526300","Catalog Record")</f>
        <v>Catalog Record</v>
      </c>
      <c r="AW1380" s="6" t="str">
        <f>HYPERLINK("http://www.worldcat.org/oclc/526300","WorldCat Record")</f>
        <v>WorldCat Record</v>
      </c>
      <c r="AX1380" s="3" t="s">
        <v>13878</v>
      </c>
      <c r="AY1380" s="3" t="s">
        <v>13879</v>
      </c>
      <c r="AZ1380" s="3" t="s">
        <v>13880</v>
      </c>
      <c r="BA1380" s="3" t="s">
        <v>13880</v>
      </c>
      <c r="BB1380" s="3" t="s">
        <v>13881</v>
      </c>
      <c r="BC1380" s="3" t="s">
        <v>102</v>
      </c>
      <c r="BD1380" s="3" t="s">
        <v>68</v>
      </c>
      <c r="BF1380" s="3" t="s">
        <v>13881</v>
      </c>
      <c r="BG1380" s="3" t="s">
        <v>13882</v>
      </c>
    </row>
    <row r="1381" spans="1:59" ht="58" x14ac:dyDescent="0.35">
      <c r="A1381" s="2" t="s">
        <v>89</v>
      </c>
      <c r="B1381" s="2" t="s">
        <v>90</v>
      </c>
      <c r="C1381" s="2" t="s">
        <v>13883</v>
      </c>
      <c r="D1381" s="2" t="s">
        <v>13884</v>
      </c>
      <c r="E1381" s="2" t="s">
        <v>13885</v>
      </c>
      <c r="G1381" s="3" t="s">
        <v>62</v>
      </c>
      <c r="I1381" s="3" t="s">
        <v>61</v>
      </c>
      <c r="J1381" s="3" t="s">
        <v>62</v>
      </c>
      <c r="K1381" s="3" t="s">
        <v>63</v>
      </c>
      <c r="L1381" s="2" t="s">
        <v>13886</v>
      </c>
      <c r="M1381" s="2" t="s">
        <v>13887</v>
      </c>
      <c r="N1381" s="3" t="s">
        <v>2702</v>
      </c>
      <c r="P1381" s="3" t="s">
        <v>64</v>
      </c>
      <c r="Q1381" s="2" t="s">
        <v>13888</v>
      </c>
      <c r="R1381" s="3" t="s">
        <v>13065</v>
      </c>
      <c r="S1381" s="4">
        <v>20</v>
      </c>
      <c r="T1381" s="4">
        <v>27</v>
      </c>
      <c r="U1381" s="5" t="s">
        <v>13236</v>
      </c>
      <c r="V1381" s="5" t="s">
        <v>13236</v>
      </c>
      <c r="W1381" s="5" t="s">
        <v>67</v>
      </c>
      <c r="X1381" s="5" t="s">
        <v>67</v>
      </c>
      <c r="Y1381" s="4">
        <v>497</v>
      </c>
      <c r="Z1381" s="4">
        <v>21</v>
      </c>
      <c r="AA1381" s="4">
        <v>51</v>
      </c>
      <c r="AB1381" s="4">
        <v>1</v>
      </c>
      <c r="AC1381" s="4">
        <v>8</v>
      </c>
      <c r="AD1381" s="4">
        <v>95</v>
      </c>
      <c r="AE1381" s="4">
        <v>145</v>
      </c>
      <c r="AF1381" s="4">
        <v>0</v>
      </c>
      <c r="AG1381" s="4">
        <v>6</v>
      </c>
      <c r="AH1381" s="4">
        <v>80</v>
      </c>
      <c r="AI1381" s="4">
        <v>111</v>
      </c>
      <c r="AJ1381" s="4">
        <v>11</v>
      </c>
      <c r="AK1381" s="4">
        <v>27</v>
      </c>
      <c r="AL1381" s="4">
        <v>50</v>
      </c>
      <c r="AM1381" s="4">
        <v>62</v>
      </c>
      <c r="AN1381" s="4">
        <v>0</v>
      </c>
      <c r="AO1381" s="4">
        <v>0</v>
      </c>
      <c r="AP1381" s="4">
        <v>17</v>
      </c>
      <c r="AQ1381" s="4">
        <v>41</v>
      </c>
      <c r="AR1381" s="3" t="s">
        <v>62</v>
      </c>
      <c r="AS1381" s="3" t="s">
        <v>62</v>
      </c>
      <c r="AT1381" s="3" t="s">
        <v>62</v>
      </c>
      <c r="AV1381" s="6" t="str">
        <f>HYPERLINK("http://mcgill.on.worldcat.org/oclc/523942","Catalog Record")</f>
        <v>Catalog Record</v>
      </c>
      <c r="AW1381" s="6" t="str">
        <f>HYPERLINK("http://www.worldcat.org/oclc/523942","WorldCat Record")</f>
        <v>WorldCat Record</v>
      </c>
      <c r="AX1381" s="3" t="s">
        <v>13889</v>
      </c>
      <c r="AY1381" s="3" t="s">
        <v>13890</v>
      </c>
      <c r="AZ1381" s="3" t="s">
        <v>13891</v>
      </c>
      <c r="BA1381" s="3" t="s">
        <v>13891</v>
      </c>
      <c r="BB1381" s="3" t="s">
        <v>13892</v>
      </c>
      <c r="BC1381" s="3" t="s">
        <v>102</v>
      </c>
      <c r="BD1381" s="3" t="s">
        <v>231</v>
      </c>
      <c r="BF1381" s="3" t="s">
        <v>13892</v>
      </c>
      <c r="BG1381" s="3" t="s">
        <v>13893</v>
      </c>
    </row>
    <row r="1382" spans="1:59" ht="58" x14ac:dyDescent="0.35">
      <c r="A1382" s="2" t="s">
        <v>89</v>
      </c>
      <c r="B1382" s="2" t="s">
        <v>90</v>
      </c>
      <c r="C1382" s="2" t="s">
        <v>13883</v>
      </c>
      <c r="D1382" s="2" t="s">
        <v>13884</v>
      </c>
      <c r="E1382" s="2" t="s">
        <v>13885</v>
      </c>
      <c r="G1382" s="3" t="s">
        <v>62</v>
      </c>
      <c r="I1382" s="3" t="s">
        <v>61</v>
      </c>
      <c r="J1382" s="3" t="s">
        <v>62</v>
      </c>
      <c r="K1382" s="3" t="s">
        <v>63</v>
      </c>
      <c r="L1382" s="2" t="s">
        <v>13886</v>
      </c>
      <c r="M1382" s="2" t="s">
        <v>13887</v>
      </c>
      <c r="N1382" s="3" t="s">
        <v>2702</v>
      </c>
      <c r="P1382" s="3" t="s">
        <v>64</v>
      </c>
      <c r="Q1382" s="2" t="s">
        <v>13888</v>
      </c>
      <c r="R1382" s="3" t="s">
        <v>13065</v>
      </c>
      <c r="S1382" s="4">
        <v>7</v>
      </c>
      <c r="T1382" s="4">
        <v>27</v>
      </c>
      <c r="U1382" s="5" t="s">
        <v>13894</v>
      </c>
      <c r="V1382" s="5" t="s">
        <v>13236</v>
      </c>
      <c r="W1382" s="5" t="s">
        <v>67</v>
      </c>
      <c r="X1382" s="5" t="s">
        <v>67</v>
      </c>
      <c r="Y1382" s="4">
        <v>497</v>
      </c>
      <c r="Z1382" s="4">
        <v>21</v>
      </c>
      <c r="AA1382" s="4">
        <v>51</v>
      </c>
      <c r="AB1382" s="4">
        <v>1</v>
      </c>
      <c r="AC1382" s="4">
        <v>8</v>
      </c>
      <c r="AD1382" s="4">
        <v>95</v>
      </c>
      <c r="AE1382" s="4">
        <v>145</v>
      </c>
      <c r="AF1382" s="4">
        <v>0</v>
      </c>
      <c r="AG1382" s="4">
        <v>6</v>
      </c>
      <c r="AH1382" s="4">
        <v>80</v>
      </c>
      <c r="AI1382" s="4">
        <v>111</v>
      </c>
      <c r="AJ1382" s="4">
        <v>11</v>
      </c>
      <c r="AK1382" s="4">
        <v>27</v>
      </c>
      <c r="AL1382" s="4">
        <v>50</v>
      </c>
      <c r="AM1382" s="4">
        <v>62</v>
      </c>
      <c r="AN1382" s="4">
        <v>0</v>
      </c>
      <c r="AO1382" s="4">
        <v>0</v>
      </c>
      <c r="AP1382" s="4">
        <v>17</v>
      </c>
      <c r="AQ1382" s="4">
        <v>41</v>
      </c>
      <c r="AR1382" s="3" t="s">
        <v>62</v>
      </c>
      <c r="AS1382" s="3" t="s">
        <v>62</v>
      </c>
      <c r="AT1382" s="3" t="s">
        <v>62</v>
      </c>
      <c r="AV1382" s="6" t="str">
        <f>HYPERLINK("http://mcgill.on.worldcat.org/oclc/523942","Catalog Record")</f>
        <v>Catalog Record</v>
      </c>
      <c r="AW1382" s="6" t="str">
        <f>HYPERLINK("http://www.worldcat.org/oclc/523942","WorldCat Record")</f>
        <v>WorldCat Record</v>
      </c>
      <c r="AX1382" s="3" t="s">
        <v>13889</v>
      </c>
      <c r="AY1382" s="3" t="s">
        <v>13890</v>
      </c>
      <c r="AZ1382" s="3" t="s">
        <v>13891</v>
      </c>
      <c r="BA1382" s="3" t="s">
        <v>13891</v>
      </c>
      <c r="BB1382" s="3" t="s">
        <v>13895</v>
      </c>
      <c r="BC1382" s="3" t="s">
        <v>102</v>
      </c>
      <c r="BD1382" s="3" t="s">
        <v>68</v>
      </c>
      <c r="BF1382" s="3" t="s">
        <v>13895</v>
      </c>
      <c r="BG1382" s="3" t="s">
        <v>13896</v>
      </c>
    </row>
    <row r="1383" spans="1:59" ht="58" x14ac:dyDescent="0.35">
      <c r="A1383" s="2" t="s">
        <v>89</v>
      </c>
      <c r="B1383" s="2" t="s">
        <v>90</v>
      </c>
      <c r="C1383" s="2" t="s">
        <v>13897</v>
      </c>
      <c r="D1383" s="2" t="s">
        <v>13898</v>
      </c>
      <c r="E1383" s="2" t="s">
        <v>13899</v>
      </c>
      <c r="G1383" s="3" t="s">
        <v>62</v>
      </c>
      <c r="I1383" s="3" t="s">
        <v>62</v>
      </c>
      <c r="J1383" s="3" t="s">
        <v>62</v>
      </c>
      <c r="K1383" s="3" t="s">
        <v>63</v>
      </c>
      <c r="L1383" s="2" t="s">
        <v>13900</v>
      </c>
      <c r="M1383" s="2" t="s">
        <v>13901</v>
      </c>
      <c r="N1383" s="3" t="s">
        <v>755</v>
      </c>
      <c r="P1383" s="3" t="s">
        <v>64</v>
      </c>
      <c r="R1383" s="3" t="s">
        <v>13065</v>
      </c>
      <c r="S1383" s="4">
        <v>7</v>
      </c>
      <c r="T1383" s="4">
        <v>7</v>
      </c>
      <c r="U1383" s="5" t="s">
        <v>2589</v>
      </c>
      <c r="V1383" s="5" t="s">
        <v>2589</v>
      </c>
      <c r="W1383" s="5" t="s">
        <v>67</v>
      </c>
      <c r="X1383" s="5" t="s">
        <v>67</v>
      </c>
      <c r="Y1383" s="4">
        <v>577</v>
      </c>
      <c r="Z1383" s="4">
        <v>16</v>
      </c>
      <c r="AA1383" s="4">
        <v>19</v>
      </c>
      <c r="AB1383" s="4">
        <v>1</v>
      </c>
      <c r="AC1383" s="4">
        <v>1</v>
      </c>
      <c r="AD1383" s="4">
        <v>78</v>
      </c>
      <c r="AE1383" s="4">
        <v>85</v>
      </c>
      <c r="AF1383" s="4">
        <v>0</v>
      </c>
      <c r="AG1383" s="4">
        <v>0</v>
      </c>
      <c r="AH1383" s="4">
        <v>66</v>
      </c>
      <c r="AI1383" s="4">
        <v>72</v>
      </c>
      <c r="AJ1383" s="4">
        <v>8</v>
      </c>
      <c r="AK1383" s="4">
        <v>11</v>
      </c>
      <c r="AL1383" s="4">
        <v>36</v>
      </c>
      <c r="AM1383" s="4">
        <v>39</v>
      </c>
      <c r="AN1383" s="4">
        <v>4</v>
      </c>
      <c r="AO1383" s="4">
        <v>6</v>
      </c>
      <c r="AP1383" s="4">
        <v>12</v>
      </c>
      <c r="AQ1383" s="4">
        <v>15</v>
      </c>
      <c r="AR1383" s="3" t="s">
        <v>62</v>
      </c>
      <c r="AS1383" s="3" t="s">
        <v>61</v>
      </c>
      <c r="AT1383" s="3" t="s">
        <v>62</v>
      </c>
      <c r="AU1383" s="6" t="str">
        <f>HYPERLINK("http://catalog.hathitrust.org/Record/000125529","HathiTrust Record")</f>
        <v>HathiTrust Record</v>
      </c>
      <c r="AV1383" s="6" t="str">
        <f>HYPERLINK("http://mcgill.on.worldcat.org/oclc/964418","Catalog Record")</f>
        <v>Catalog Record</v>
      </c>
      <c r="AW1383" s="6" t="str">
        <f>HYPERLINK("http://www.worldcat.org/oclc/964418","WorldCat Record")</f>
        <v>WorldCat Record</v>
      </c>
      <c r="AX1383" s="3" t="s">
        <v>13902</v>
      </c>
      <c r="AY1383" s="3" t="s">
        <v>13903</v>
      </c>
      <c r="AZ1383" s="3" t="s">
        <v>13904</v>
      </c>
      <c r="BA1383" s="3" t="s">
        <v>13904</v>
      </c>
      <c r="BB1383" s="3" t="s">
        <v>13905</v>
      </c>
      <c r="BC1383" s="3" t="s">
        <v>102</v>
      </c>
      <c r="BD1383" s="3" t="s">
        <v>231</v>
      </c>
      <c r="BF1383" s="3" t="s">
        <v>13905</v>
      </c>
      <c r="BG1383" s="3" t="s">
        <v>13906</v>
      </c>
    </row>
    <row r="1384" spans="1:59" ht="58" x14ac:dyDescent="0.35">
      <c r="A1384" s="2" t="s">
        <v>89</v>
      </c>
      <c r="B1384" s="2" t="s">
        <v>90</v>
      </c>
      <c r="C1384" s="2" t="s">
        <v>13907</v>
      </c>
      <c r="D1384" s="2" t="s">
        <v>13908</v>
      </c>
      <c r="E1384" s="2" t="s">
        <v>13909</v>
      </c>
      <c r="G1384" s="3" t="s">
        <v>62</v>
      </c>
      <c r="I1384" s="3" t="s">
        <v>62</v>
      </c>
      <c r="J1384" s="3" t="s">
        <v>62</v>
      </c>
      <c r="K1384" s="3" t="s">
        <v>63</v>
      </c>
      <c r="M1384" s="2" t="s">
        <v>13910</v>
      </c>
      <c r="N1384" s="3" t="s">
        <v>2445</v>
      </c>
      <c r="P1384" s="3" t="s">
        <v>1881</v>
      </c>
      <c r="R1384" s="3" t="s">
        <v>13065</v>
      </c>
      <c r="S1384" s="4">
        <v>1</v>
      </c>
      <c r="T1384" s="4">
        <v>1</v>
      </c>
      <c r="U1384" s="5" t="s">
        <v>13911</v>
      </c>
      <c r="V1384" s="5" t="s">
        <v>13911</v>
      </c>
      <c r="W1384" s="5" t="s">
        <v>67</v>
      </c>
      <c r="X1384" s="5" t="s">
        <v>67</v>
      </c>
      <c r="Y1384" s="4">
        <v>85</v>
      </c>
      <c r="Z1384" s="4">
        <v>7</v>
      </c>
      <c r="AA1384" s="4">
        <v>7</v>
      </c>
      <c r="AB1384" s="4">
        <v>1</v>
      </c>
      <c r="AC1384" s="4">
        <v>1</v>
      </c>
      <c r="AD1384" s="4">
        <v>32</v>
      </c>
      <c r="AE1384" s="4">
        <v>32</v>
      </c>
      <c r="AF1384" s="4">
        <v>0</v>
      </c>
      <c r="AG1384" s="4">
        <v>0</v>
      </c>
      <c r="AH1384" s="4">
        <v>30</v>
      </c>
      <c r="AI1384" s="4">
        <v>30</v>
      </c>
      <c r="AJ1384" s="4">
        <v>4</v>
      </c>
      <c r="AK1384" s="4">
        <v>4</v>
      </c>
      <c r="AL1384" s="4">
        <v>24</v>
      </c>
      <c r="AM1384" s="4">
        <v>24</v>
      </c>
      <c r="AN1384" s="4">
        <v>0</v>
      </c>
      <c r="AO1384" s="4">
        <v>0</v>
      </c>
      <c r="AP1384" s="4">
        <v>4</v>
      </c>
      <c r="AQ1384" s="4">
        <v>4</v>
      </c>
      <c r="AR1384" s="3" t="s">
        <v>62</v>
      </c>
      <c r="AS1384" s="3" t="s">
        <v>62</v>
      </c>
      <c r="AT1384" s="3" t="s">
        <v>61</v>
      </c>
      <c r="AU1384" s="6" t="str">
        <f>HYPERLINK("http://catalog.hathitrust.org/Record/001918781","HathiTrust Record")</f>
        <v>HathiTrust Record</v>
      </c>
      <c r="AV1384" s="6" t="str">
        <f>HYPERLINK("http://mcgill.on.worldcat.org/oclc/2951194","Catalog Record")</f>
        <v>Catalog Record</v>
      </c>
      <c r="AW1384" s="6" t="str">
        <f>HYPERLINK("http://www.worldcat.org/oclc/2951194","WorldCat Record")</f>
        <v>WorldCat Record</v>
      </c>
      <c r="AX1384" s="3" t="s">
        <v>13912</v>
      </c>
      <c r="AY1384" s="3" t="s">
        <v>13913</v>
      </c>
      <c r="AZ1384" s="3" t="s">
        <v>13914</v>
      </c>
      <c r="BA1384" s="3" t="s">
        <v>13914</v>
      </c>
      <c r="BB1384" s="3" t="s">
        <v>13915</v>
      </c>
      <c r="BC1384" s="3" t="s">
        <v>102</v>
      </c>
      <c r="BD1384" s="3" t="s">
        <v>68</v>
      </c>
      <c r="BF1384" s="3" t="s">
        <v>13915</v>
      </c>
      <c r="BG1384" s="3" t="s">
        <v>13916</v>
      </c>
    </row>
    <row r="1385" spans="1:59" ht="58" x14ac:dyDescent="0.35">
      <c r="A1385" s="2" t="s">
        <v>89</v>
      </c>
      <c r="B1385" s="2" t="s">
        <v>90</v>
      </c>
      <c r="C1385" s="2" t="s">
        <v>13917</v>
      </c>
      <c r="D1385" s="2" t="s">
        <v>13918</v>
      </c>
      <c r="E1385" s="2" t="s">
        <v>13919</v>
      </c>
      <c r="F1385" s="3" t="s">
        <v>1413</v>
      </c>
      <c r="G1385" s="3" t="s">
        <v>61</v>
      </c>
      <c r="I1385" s="3" t="s">
        <v>61</v>
      </c>
      <c r="J1385" s="3" t="s">
        <v>62</v>
      </c>
      <c r="K1385" s="3" t="s">
        <v>63</v>
      </c>
      <c r="L1385" s="2" t="s">
        <v>13920</v>
      </c>
      <c r="M1385" s="2" t="s">
        <v>13921</v>
      </c>
      <c r="N1385" s="3" t="s">
        <v>795</v>
      </c>
      <c r="P1385" s="3" t="s">
        <v>64</v>
      </c>
      <c r="R1385" s="3" t="s">
        <v>13065</v>
      </c>
      <c r="S1385" s="4">
        <v>0</v>
      </c>
      <c r="T1385" s="4">
        <v>20</v>
      </c>
      <c r="V1385" s="5" t="s">
        <v>13922</v>
      </c>
      <c r="W1385" s="5" t="s">
        <v>67</v>
      </c>
      <c r="X1385" s="5" t="s">
        <v>67</v>
      </c>
      <c r="Y1385" s="4">
        <v>1198</v>
      </c>
      <c r="Z1385" s="4">
        <v>47</v>
      </c>
      <c r="AA1385" s="4">
        <v>60</v>
      </c>
      <c r="AB1385" s="4">
        <v>3</v>
      </c>
      <c r="AC1385" s="4">
        <v>10</v>
      </c>
      <c r="AD1385" s="4">
        <v>137</v>
      </c>
      <c r="AE1385" s="4">
        <v>148</v>
      </c>
      <c r="AF1385" s="4">
        <v>2</v>
      </c>
      <c r="AG1385" s="4">
        <v>8</v>
      </c>
      <c r="AH1385" s="4">
        <v>110</v>
      </c>
      <c r="AI1385" s="4">
        <v>113</v>
      </c>
      <c r="AJ1385" s="4">
        <v>20</v>
      </c>
      <c r="AK1385" s="4">
        <v>24</v>
      </c>
      <c r="AL1385" s="4">
        <v>59</v>
      </c>
      <c r="AM1385" s="4">
        <v>59</v>
      </c>
      <c r="AN1385" s="4">
        <v>0</v>
      </c>
      <c r="AO1385" s="4">
        <v>0</v>
      </c>
      <c r="AP1385" s="4">
        <v>35</v>
      </c>
      <c r="AQ1385" s="4">
        <v>43</v>
      </c>
      <c r="AR1385" s="3" t="s">
        <v>62</v>
      </c>
      <c r="AS1385" s="3" t="s">
        <v>61</v>
      </c>
      <c r="AT1385" s="3" t="s">
        <v>61</v>
      </c>
      <c r="AU1385" s="6" t="str">
        <f>HYPERLINK("http://catalog.hathitrust.org/Record/000165286","HathiTrust Record")</f>
        <v>HathiTrust Record</v>
      </c>
      <c r="AV1385" s="6" t="str">
        <f>HYPERLINK("http://mcgill.on.worldcat.org/oclc/523684","Catalog Record")</f>
        <v>Catalog Record</v>
      </c>
      <c r="AW1385" s="6" t="str">
        <f>HYPERLINK("http://www.worldcat.org/oclc/523684","WorldCat Record")</f>
        <v>WorldCat Record</v>
      </c>
      <c r="AX1385" s="3" t="s">
        <v>13923</v>
      </c>
      <c r="AY1385" s="3" t="s">
        <v>13924</v>
      </c>
      <c r="AZ1385" s="3" t="s">
        <v>13925</v>
      </c>
      <c r="BA1385" s="3" t="s">
        <v>13925</v>
      </c>
      <c r="BB1385" s="3" t="s">
        <v>13926</v>
      </c>
      <c r="BC1385" s="3" t="s">
        <v>102</v>
      </c>
      <c r="BD1385" s="3" t="s">
        <v>68</v>
      </c>
      <c r="BF1385" s="3" t="s">
        <v>13926</v>
      </c>
      <c r="BG1385" s="3" t="s">
        <v>13927</v>
      </c>
    </row>
    <row r="1386" spans="1:59" ht="58" x14ac:dyDescent="0.35">
      <c r="A1386" s="2" t="s">
        <v>89</v>
      </c>
      <c r="B1386" s="2" t="s">
        <v>90</v>
      </c>
      <c r="C1386" s="2" t="s">
        <v>13917</v>
      </c>
      <c r="D1386" s="2" t="s">
        <v>13918</v>
      </c>
      <c r="E1386" s="2" t="s">
        <v>13919</v>
      </c>
      <c r="F1386" s="3" t="s">
        <v>1416</v>
      </c>
      <c r="G1386" s="3" t="s">
        <v>61</v>
      </c>
      <c r="I1386" s="3" t="s">
        <v>61</v>
      </c>
      <c r="J1386" s="3" t="s">
        <v>62</v>
      </c>
      <c r="K1386" s="3" t="s">
        <v>63</v>
      </c>
      <c r="L1386" s="2" t="s">
        <v>13920</v>
      </c>
      <c r="M1386" s="2" t="s">
        <v>13921</v>
      </c>
      <c r="N1386" s="3" t="s">
        <v>795</v>
      </c>
      <c r="P1386" s="3" t="s">
        <v>64</v>
      </c>
      <c r="R1386" s="3" t="s">
        <v>13065</v>
      </c>
      <c r="S1386" s="4">
        <v>1</v>
      </c>
      <c r="T1386" s="4">
        <v>20</v>
      </c>
      <c r="V1386" s="5" t="s">
        <v>13922</v>
      </c>
      <c r="W1386" s="5" t="s">
        <v>67</v>
      </c>
      <c r="X1386" s="5" t="s">
        <v>67</v>
      </c>
      <c r="Y1386" s="4">
        <v>1198</v>
      </c>
      <c r="Z1386" s="4">
        <v>47</v>
      </c>
      <c r="AA1386" s="4">
        <v>60</v>
      </c>
      <c r="AB1386" s="4">
        <v>3</v>
      </c>
      <c r="AC1386" s="4">
        <v>10</v>
      </c>
      <c r="AD1386" s="4">
        <v>137</v>
      </c>
      <c r="AE1386" s="4">
        <v>148</v>
      </c>
      <c r="AF1386" s="4">
        <v>2</v>
      </c>
      <c r="AG1386" s="4">
        <v>8</v>
      </c>
      <c r="AH1386" s="4">
        <v>110</v>
      </c>
      <c r="AI1386" s="4">
        <v>113</v>
      </c>
      <c r="AJ1386" s="4">
        <v>20</v>
      </c>
      <c r="AK1386" s="4">
        <v>24</v>
      </c>
      <c r="AL1386" s="4">
        <v>59</v>
      </c>
      <c r="AM1386" s="4">
        <v>59</v>
      </c>
      <c r="AN1386" s="4">
        <v>0</v>
      </c>
      <c r="AO1386" s="4">
        <v>0</v>
      </c>
      <c r="AP1386" s="4">
        <v>35</v>
      </c>
      <c r="AQ1386" s="4">
        <v>43</v>
      </c>
      <c r="AR1386" s="3" t="s">
        <v>62</v>
      </c>
      <c r="AS1386" s="3" t="s">
        <v>61</v>
      </c>
      <c r="AT1386" s="3" t="s">
        <v>61</v>
      </c>
      <c r="AU1386" s="6" t="str">
        <f>HYPERLINK("http://catalog.hathitrust.org/Record/000165286","HathiTrust Record")</f>
        <v>HathiTrust Record</v>
      </c>
      <c r="AV1386" s="6" t="str">
        <f>HYPERLINK("http://mcgill.on.worldcat.org/oclc/523684","Catalog Record")</f>
        <v>Catalog Record</v>
      </c>
      <c r="AW1386" s="6" t="str">
        <f>HYPERLINK("http://www.worldcat.org/oclc/523684","WorldCat Record")</f>
        <v>WorldCat Record</v>
      </c>
      <c r="AX1386" s="3" t="s">
        <v>13923</v>
      </c>
      <c r="AY1386" s="3" t="s">
        <v>13924</v>
      </c>
      <c r="AZ1386" s="3" t="s">
        <v>13925</v>
      </c>
      <c r="BA1386" s="3" t="s">
        <v>13925</v>
      </c>
      <c r="BB1386" s="3" t="s">
        <v>13928</v>
      </c>
      <c r="BC1386" s="3" t="s">
        <v>102</v>
      </c>
      <c r="BD1386" s="3" t="s">
        <v>231</v>
      </c>
      <c r="BF1386" s="3" t="s">
        <v>13928</v>
      </c>
      <c r="BG1386" s="3" t="s">
        <v>13929</v>
      </c>
    </row>
    <row r="1387" spans="1:59" ht="58" x14ac:dyDescent="0.35">
      <c r="A1387" s="2" t="s">
        <v>89</v>
      </c>
      <c r="B1387" s="2" t="s">
        <v>90</v>
      </c>
      <c r="C1387" s="2" t="s">
        <v>13930</v>
      </c>
      <c r="D1387" s="2" t="s">
        <v>13931</v>
      </c>
      <c r="E1387" s="2" t="s">
        <v>13932</v>
      </c>
      <c r="G1387" s="3" t="s">
        <v>62</v>
      </c>
      <c r="I1387" s="3" t="s">
        <v>61</v>
      </c>
      <c r="J1387" s="3" t="s">
        <v>62</v>
      </c>
      <c r="K1387" s="3" t="s">
        <v>63</v>
      </c>
      <c r="L1387" s="2" t="s">
        <v>13933</v>
      </c>
      <c r="M1387" s="2" t="s">
        <v>13934</v>
      </c>
      <c r="N1387" s="3" t="s">
        <v>2727</v>
      </c>
      <c r="P1387" s="3" t="s">
        <v>64</v>
      </c>
      <c r="Q1387" s="2" t="s">
        <v>13935</v>
      </c>
      <c r="R1387" s="3" t="s">
        <v>13065</v>
      </c>
      <c r="S1387" s="4">
        <v>0</v>
      </c>
      <c r="T1387" s="4">
        <v>18</v>
      </c>
      <c r="V1387" s="5" t="s">
        <v>3595</v>
      </c>
      <c r="W1387" s="5" t="s">
        <v>67</v>
      </c>
      <c r="X1387" s="5" t="s">
        <v>67</v>
      </c>
      <c r="Y1387" s="4">
        <v>250</v>
      </c>
      <c r="Z1387" s="4">
        <v>15</v>
      </c>
      <c r="AA1387" s="4">
        <v>45</v>
      </c>
      <c r="AB1387" s="4">
        <v>1</v>
      </c>
      <c r="AC1387" s="4">
        <v>9</v>
      </c>
      <c r="AD1387" s="4">
        <v>71</v>
      </c>
      <c r="AE1387" s="4">
        <v>135</v>
      </c>
      <c r="AF1387" s="4">
        <v>0</v>
      </c>
      <c r="AG1387" s="4">
        <v>5</v>
      </c>
      <c r="AH1387" s="4">
        <v>65</v>
      </c>
      <c r="AI1387" s="4">
        <v>110</v>
      </c>
      <c r="AJ1387" s="4">
        <v>9</v>
      </c>
      <c r="AK1387" s="4">
        <v>22</v>
      </c>
      <c r="AL1387" s="4">
        <v>35</v>
      </c>
      <c r="AM1387" s="4">
        <v>60</v>
      </c>
      <c r="AN1387" s="4">
        <v>0</v>
      </c>
      <c r="AO1387" s="4">
        <v>0</v>
      </c>
      <c r="AP1387" s="4">
        <v>12</v>
      </c>
      <c r="AQ1387" s="4">
        <v>31</v>
      </c>
      <c r="AR1387" s="3" t="s">
        <v>62</v>
      </c>
      <c r="AS1387" s="3" t="s">
        <v>62</v>
      </c>
      <c r="AT1387" s="3" t="s">
        <v>62</v>
      </c>
      <c r="AU1387" s="6" t="str">
        <f>HYPERLINK("http://catalog.hathitrust.org/Record/000165928","HathiTrust Record")</f>
        <v>HathiTrust Record</v>
      </c>
      <c r="AV1387" s="6" t="str">
        <f>HYPERLINK("http://mcgill.on.worldcat.org/oclc/526504","Catalog Record")</f>
        <v>Catalog Record</v>
      </c>
      <c r="AW1387" s="6" t="str">
        <f>HYPERLINK("http://www.worldcat.org/oclc/526504","WorldCat Record")</f>
        <v>WorldCat Record</v>
      </c>
      <c r="AX1387" s="3" t="s">
        <v>13936</v>
      </c>
      <c r="AY1387" s="3" t="s">
        <v>13937</v>
      </c>
      <c r="AZ1387" s="3" t="s">
        <v>13938</v>
      </c>
      <c r="BA1387" s="3" t="s">
        <v>13938</v>
      </c>
      <c r="BB1387" s="3" t="s">
        <v>13939</v>
      </c>
      <c r="BC1387" s="3" t="s">
        <v>102</v>
      </c>
      <c r="BD1387" s="3" t="s">
        <v>68</v>
      </c>
      <c r="BF1387" s="3" t="s">
        <v>13939</v>
      </c>
      <c r="BG1387" s="3" t="s">
        <v>13940</v>
      </c>
    </row>
    <row r="1388" spans="1:59" ht="58" x14ac:dyDescent="0.35">
      <c r="A1388" s="2" t="s">
        <v>89</v>
      </c>
      <c r="B1388" s="2" t="s">
        <v>90</v>
      </c>
      <c r="C1388" s="2" t="s">
        <v>13930</v>
      </c>
      <c r="D1388" s="2" t="s">
        <v>13931</v>
      </c>
      <c r="E1388" s="2" t="s">
        <v>13932</v>
      </c>
      <c r="G1388" s="3" t="s">
        <v>62</v>
      </c>
      <c r="I1388" s="3" t="s">
        <v>61</v>
      </c>
      <c r="J1388" s="3" t="s">
        <v>62</v>
      </c>
      <c r="K1388" s="3" t="s">
        <v>63</v>
      </c>
      <c r="L1388" s="2" t="s">
        <v>13933</v>
      </c>
      <c r="M1388" s="2" t="s">
        <v>13934</v>
      </c>
      <c r="N1388" s="3" t="s">
        <v>2727</v>
      </c>
      <c r="P1388" s="3" t="s">
        <v>64</v>
      </c>
      <c r="Q1388" s="2" t="s">
        <v>13935</v>
      </c>
      <c r="R1388" s="3" t="s">
        <v>13065</v>
      </c>
      <c r="S1388" s="4">
        <v>17</v>
      </c>
      <c r="T1388" s="4">
        <v>18</v>
      </c>
      <c r="U1388" s="5" t="s">
        <v>3595</v>
      </c>
      <c r="V1388" s="5" t="s">
        <v>3595</v>
      </c>
      <c r="W1388" s="5" t="s">
        <v>67</v>
      </c>
      <c r="X1388" s="5" t="s">
        <v>67</v>
      </c>
      <c r="Y1388" s="4">
        <v>250</v>
      </c>
      <c r="Z1388" s="4">
        <v>15</v>
      </c>
      <c r="AA1388" s="4">
        <v>45</v>
      </c>
      <c r="AB1388" s="4">
        <v>1</v>
      </c>
      <c r="AC1388" s="4">
        <v>9</v>
      </c>
      <c r="AD1388" s="4">
        <v>71</v>
      </c>
      <c r="AE1388" s="4">
        <v>135</v>
      </c>
      <c r="AF1388" s="4">
        <v>0</v>
      </c>
      <c r="AG1388" s="4">
        <v>5</v>
      </c>
      <c r="AH1388" s="4">
        <v>65</v>
      </c>
      <c r="AI1388" s="4">
        <v>110</v>
      </c>
      <c r="AJ1388" s="4">
        <v>9</v>
      </c>
      <c r="AK1388" s="4">
        <v>22</v>
      </c>
      <c r="AL1388" s="4">
        <v>35</v>
      </c>
      <c r="AM1388" s="4">
        <v>60</v>
      </c>
      <c r="AN1388" s="4">
        <v>0</v>
      </c>
      <c r="AO1388" s="4">
        <v>0</v>
      </c>
      <c r="AP1388" s="4">
        <v>12</v>
      </c>
      <c r="AQ1388" s="4">
        <v>31</v>
      </c>
      <c r="AR1388" s="3" t="s">
        <v>62</v>
      </c>
      <c r="AS1388" s="3" t="s">
        <v>62</v>
      </c>
      <c r="AT1388" s="3" t="s">
        <v>62</v>
      </c>
      <c r="AU1388" s="6" t="str">
        <f>HYPERLINK("http://catalog.hathitrust.org/Record/000165928","HathiTrust Record")</f>
        <v>HathiTrust Record</v>
      </c>
      <c r="AV1388" s="6" t="str">
        <f>HYPERLINK("http://mcgill.on.worldcat.org/oclc/526504","Catalog Record")</f>
        <v>Catalog Record</v>
      </c>
      <c r="AW1388" s="6" t="str">
        <f>HYPERLINK("http://www.worldcat.org/oclc/526504","WorldCat Record")</f>
        <v>WorldCat Record</v>
      </c>
      <c r="AX1388" s="3" t="s">
        <v>13936</v>
      </c>
      <c r="AY1388" s="3" t="s">
        <v>13937</v>
      </c>
      <c r="AZ1388" s="3" t="s">
        <v>13938</v>
      </c>
      <c r="BA1388" s="3" t="s">
        <v>13938</v>
      </c>
      <c r="BB1388" s="3" t="s">
        <v>13941</v>
      </c>
      <c r="BC1388" s="3" t="s">
        <v>102</v>
      </c>
      <c r="BD1388" s="3" t="s">
        <v>68</v>
      </c>
      <c r="BF1388" s="3" t="s">
        <v>13941</v>
      </c>
      <c r="BG1388" s="3" t="s">
        <v>13942</v>
      </c>
    </row>
    <row r="1389" spans="1:59" ht="58" x14ac:dyDescent="0.35">
      <c r="A1389" s="2" t="s">
        <v>89</v>
      </c>
      <c r="B1389" s="2" t="s">
        <v>90</v>
      </c>
      <c r="C1389" s="2" t="s">
        <v>13943</v>
      </c>
      <c r="D1389" s="2" t="s">
        <v>13944</v>
      </c>
      <c r="E1389" s="2" t="s">
        <v>13945</v>
      </c>
      <c r="G1389" s="3" t="s">
        <v>62</v>
      </c>
      <c r="I1389" s="3" t="s">
        <v>62</v>
      </c>
      <c r="J1389" s="3" t="s">
        <v>62</v>
      </c>
      <c r="K1389" s="3" t="s">
        <v>63</v>
      </c>
      <c r="L1389" s="2" t="s">
        <v>13946</v>
      </c>
      <c r="M1389" s="2" t="s">
        <v>13947</v>
      </c>
      <c r="N1389" s="3" t="s">
        <v>1467</v>
      </c>
      <c r="P1389" s="3" t="s">
        <v>64</v>
      </c>
      <c r="Q1389" s="2" t="s">
        <v>13948</v>
      </c>
      <c r="R1389" s="3" t="s">
        <v>13065</v>
      </c>
      <c r="S1389" s="4">
        <v>12</v>
      </c>
      <c r="T1389" s="4">
        <v>12</v>
      </c>
      <c r="U1389" s="5" t="s">
        <v>3030</v>
      </c>
      <c r="V1389" s="5" t="s">
        <v>3030</v>
      </c>
      <c r="W1389" s="5" t="s">
        <v>67</v>
      </c>
      <c r="X1389" s="5" t="s">
        <v>67</v>
      </c>
      <c r="Y1389" s="4">
        <v>286</v>
      </c>
      <c r="Z1389" s="4">
        <v>17</v>
      </c>
      <c r="AA1389" s="4">
        <v>33</v>
      </c>
      <c r="AB1389" s="4">
        <v>1</v>
      </c>
      <c r="AC1389" s="4">
        <v>6</v>
      </c>
      <c r="AD1389" s="4">
        <v>97</v>
      </c>
      <c r="AE1389" s="4">
        <v>129</v>
      </c>
      <c r="AF1389" s="4">
        <v>0</v>
      </c>
      <c r="AG1389" s="4">
        <v>4</v>
      </c>
      <c r="AH1389" s="4">
        <v>84</v>
      </c>
      <c r="AI1389" s="4">
        <v>105</v>
      </c>
      <c r="AJ1389" s="4">
        <v>13</v>
      </c>
      <c r="AK1389" s="4">
        <v>23</v>
      </c>
      <c r="AL1389" s="4">
        <v>52</v>
      </c>
      <c r="AM1389" s="4">
        <v>61</v>
      </c>
      <c r="AN1389" s="4">
        <v>0</v>
      </c>
      <c r="AO1389" s="4">
        <v>0</v>
      </c>
      <c r="AP1389" s="4">
        <v>16</v>
      </c>
      <c r="AQ1389" s="4">
        <v>29</v>
      </c>
      <c r="AR1389" s="3" t="s">
        <v>62</v>
      </c>
      <c r="AS1389" s="3" t="s">
        <v>62</v>
      </c>
      <c r="AT1389" s="3" t="s">
        <v>61</v>
      </c>
      <c r="AU1389" s="6" t="str">
        <f>HYPERLINK("http://catalog.hathitrust.org/Record/005835014","HathiTrust Record")</f>
        <v>HathiTrust Record</v>
      </c>
      <c r="AV1389" s="6" t="str">
        <f>HYPERLINK("http://mcgill.on.worldcat.org/oclc/403920","Catalog Record")</f>
        <v>Catalog Record</v>
      </c>
      <c r="AW1389" s="6" t="str">
        <f>HYPERLINK("http://www.worldcat.org/oclc/403920","WorldCat Record")</f>
        <v>WorldCat Record</v>
      </c>
      <c r="AX1389" s="3" t="s">
        <v>13949</v>
      </c>
      <c r="AY1389" s="3" t="s">
        <v>13950</v>
      </c>
      <c r="AZ1389" s="3" t="s">
        <v>13951</v>
      </c>
      <c r="BA1389" s="3" t="s">
        <v>13951</v>
      </c>
      <c r="BB1389" s="3" t="s">
        <v>13952</v>
      </c>
      <c r="BC1389" s="3" t="s">
        <v>102</v>
      </c>
      <c r="BD1389" s="3" t="s">
        <v>68</v>
      </c>
      <c r="BF1389" s="3" t="s">
        <v>13952</v>
      </c>
      <c r="BG1389" s="3" t="s">
        <v>13953</v>
      </c>
    </row>
    <row r="1390" spans="1:59" ht="58" x14ac:dyDescent="0.35">
      <c r="A1390" s="2" t="s">
        <v>89</v>
      </c>
      <c r="B1390" s="2" t="s">
        <v>90</v>
      </c>
      <c r="C1390" s="2" t="s">
        <v>13954</v>
      </c>
      <c r="D1390" s="2" t="s">
        <v>13955</v>
      </c>
      <c r="E1390" s="2" t="s">
        <v>13956</v>
      </c>
      <c r="G1390" s="3" t="s">
        <v>62</v>
      </c>
      <c r="I1390" s="3" t="s">
        <v>62</v>
      </c>
      <c r="J1390" s="3" t="s">
        <v>62</v>
      </c>
      <c r="K1390" s="3" t="s">
        <v>63</v>
      </c>
      <c r="L1390" s="2" t="s">
        <v>13957</v>
      </c>
      <c r="M1390" s="2" t="s">
        <v>13958</v>
      </c>
      <c r="N1390" s="3" t="s">
        <v>3062</v>
      </c>
      <c r="P1390" s="3" t="s">
        <v>64</v>
      </c>
      <c r="R1390" s="3" t="s">
        <v>13065</v>
      </c>
      <c r="S1390" s="4">
        <v>9</v>
      </c>
      <c r="T1390" s="4">
        <v>9</v>
      </c>
      <c r="U1390" s="5" t="s">
        <v>13959</v>
      </c>
      <c r="V1390" s="5" t="s">
        <v>13959</v>
      </c>
      <c r="W1390" s="5" t="s">
        <v>67</v>
      </c>
      <c r="X1390" s="5" t="s">
        <v>67</v>
      </c>
      <c r="Y1390" s="4">
        <v>238</v>
      </c>
      <c r="Z1390" s="4">
        <v>13</v>
      </c>
      <c r="AA1390" s="4">
        <v>18</v>
      </c>
      <c r="AB1390" s="4">
        <v>1</v>
      </c>
      <c r="AC1390" s="4">
        <v>3</v>
      </c>
      <c r="AD1390" s="4">
        <v>86</v>
      </c>
      <c r="AE1390" s="4">
        <v>95</v>
      </c>
      <c r="AF1390" s="4">
        <v>0</v>
      </c>
      <c r="AG1390" s="4">
        <v>1</v>
      </c>
      <c r="AH1390" s="4">
        <v>81</v>
      </c>
      <c r="AI1390" s="4">
        <v>88</v>
      </c>
      <c r="AJ1390" s="4">
        <v>9</v>
      </c>
      <c r="AK1390" s="4">
        <v>12</v>
      </c>
      <c r="AL1390" s="4">
        <v>46</v>
      </c>
      <c r="AM1390" s="4">
        <v>49</v>
      </c>
      <c r="AN1390" s="4">
        <v>0</v>
      </c>
      <c r="AO1390" s="4">
        <v>0</v>
      </c>
      <c r="AP1390" s="4">
        <v>10</v>
      </c>
      <c r="AQ1390" s="4">
        <v>14</v>
      </c>
      <c r="AR1390" s="3" t="s">
        <v>62</v>
      </c>
      <c r="AS1390" s="3" t="s">
        <v>62</v>
      </c>
      <c r="AT1390" s="3" t="s">
        <v>61</v>
      </c>
      <c r="AU1390" s="6" t="str">
        <f>HYPERLINK("http://catalog.hathitrust.org/Record/002505750","HathiTrust Record")</f>
        <v>HathiTrust Record</v>
      </c>
      <c r="AV1390" s="6" t="str">
        <f>HYPERLINK("http://mcgill.on.worldcat.org/oclc/24284475","Catalog Record")</f>
        <v>Catalog Record</v>
      </c>
      <c r="AW1390" s="6" t="str">
        <f>HYPERLINK("http://www.worldcat.org/oclc/24284475","WorldCat Record")</f>
        <v>WorldCat Record</v>
      </c>
      <c r="AX1390" s="3" t="s">
        <v>13960</v>
      </c>
      <c r="AY1390" s="3" t="s">
        <v>13961</v>
      </c>
      <c r="AZ1390" s="3" t="s">
        <v>13962</v>
      </c>
      <c r="BA1390" s="3" t="s">
        <v>13962</v>
      </c>
      <c r="BB1390" s="3" t="s">
        <v>13963</v>
      </c>
      <c r="BC1390" s="3" t="s">
        <v>102</v>
      </c>
      <c r="BD1390" s="3" t="s">
        <v>68</v>
      </c>
      <c r="BE1390" s="3" t="s">
        <v>13964</v>
      </c>
      <c r="BF1390" s="3" t="s">
        <v>13963</v>
      </c>
      <c r="BG1390" s="3" t="s">
        <v>13965</v>
      </c>
    </row>
    <row r="1391" spans="1:59" ht="58" x14ac:dyDescent="0.35">
      <c r="A1391" s="2" t="s">
        <v>89</v>
      </c>
      <c r="B1391" s="2" t="s">
        <v>90</v>
      </c>
      <c r="C1391" s="2" t="s">
        <v>13966</v>
      </c>
      <c r="D1391" s="2" t="s">
        <v>13967</v>
      </c>
      <c r="E1391" s="2" t="s">
        <v>13968</v>
      </c>
      <c r="G1391" s="3" t="s">
        <v>62</v>
      </c>
      <c r="I1391" s="3" t="s">
        <v>62</v>
      </c>
      <c r="J1391" s="3" t="s">
        <v>61</v>
      </c>
      <c r="K1391" s="3" t="s">
        <v>63</v>
      </c>
      <c r="L1391" s="2" t="s">
        <v>5989</v>
      </c>
      <c r="M1391" s="2" t="s">
        <v>13969</v>
      </c>
      <c r="N1391" s="3" t="s">
        <v>866</v>
      </c>
      <c r="O1391" s="2" t="s">
        <v>8350</v>
      </c>
      <c r="P1391" s="3" t="s">
        <v>64</v>
      </c>
      <c r="R1391" s="3" t="s">
        <v>13065</v>
      </c>
      <c r="S1391" s="4">
        <v>60</v>
      </c>
      <c r="T1391" s="4">
        <v>60</v>
      </c>
      <c r="U1391" s="5" t="s">
        <v>13970</v>
      </c>
      <c r="V1391" s="5" t="s">
        <v>13970</v>
      </c>
      <c r="W1391" s="5" t="s">
        <v>67</v>
      </c>
      <c r="X1391" s="5" t="s">
        <v>67</v>
      </c>
      <c r="Y1391" s="4">
        <v>116</v>
      </c>
      <c r="Z1391" s="4">
        <v>12</v>
      </c>
      <c r="AA1391" s="4">
        <v>73</v>
      </c>
      <c r="AB1391" s="4">
        <v>2</v>
      </c>
      <c r="AC1391" s="4">
        <v>11</v>
      </c>
      <c r="AD1391" s="4">
        <v>10</v>
      </c>
      <c r="AE1391" s="4">
        <v>155</v>
      </c>
      <c r="AF1391" s="4">
        <v>1</v>
      </c>
      <c r="AG1391" s="4">
        <v>6</v>
      </c>
      <c r="AH1391" s="4">
        <v>5</v>
      </c>
      <c r="AI1391" s="4">
        <v>115</v>
      </c>
      <c r="AJ1391" s="4">
        <v>5</v>
      </c>
      <c r="AK1391" s="4">
        <v>24</v>
      </c>
      <c r="AL1391" s="4">
        <v>3</v>
      </c>
      <c r="AM1391" s="4">
        <v>62</v>
      </c>
      <c r="AN1391" s="4">
        <v>0</v>
      </c>
      <c r="AO1391" s="4">
        <v>5</v>
      </c>
      <c r="AP1391" s="4">
        <v>8</v>
      </c>
      <c r="AQ1391" s="4">
        <v>45</v>
      </c>
      <c r="AR1391" s="3" t="s">
        <v>62</v>
      </c>
      <c r="AS1391" s="3" t="s">
        <v>62</v>
      </c>
      <c r="AT1391" s="3" t="s">
        <v>62</v>
      </c>
      <c r="AV1391" s="6" t="str">
        <f>HYPERLINK("http://mcgill.on.worldcat.org/oclc/13840276","Catalog Record")</f>
        <v>Catalog Record</v>
      </c>
      <c r="AW1391" s="6" t="str">
        <f>HYPERLINK("http://www.worldcat.org/oclc/13840276","WorldCat Record")</f>
        <v>WorldCat Record</v>
      </c>
      <c r="AX1391" s="3" t="s">
        <v>13971</v>
      </c>
      <c r="AY1391" s="3" t="s">
        <v>13972</v>
      </c>
      <c r="AZ1391" s="3" t="s">
        <v>13973</v>
      </c>
      <c r="BA1391" s="3" t="s">
        <v>13973</v>
      </c>
      <c r="BB1391" s="3" t="s">
        <v>13974</v>
      </c>
      <c r="BC1391" s="3" t="s">
        <v>102</v>
      </c>
      <c r="BD1391" s="3" t="s">
        <v>68</v>
      </c>
      <c r="BE1391" s="3" t="s">
        <v>13975</v>
      </c>
      <c r="BF1391" s="3" t="s">
        <v>13974</v>
      </c>
      <c r="BG1391" s="3" t="s">
        <v>13976</v>
      </c>
    </row>
    <row r="1392" spans="1:59" ht="58" x14ac:dyDescent="0.35">
      <c r="A1392" s="2" t="s">
        <v>89</v>
      </c>
      <c r="B1392" s="2" t="s">
        <v>90</v>
      </c>
      <c r="C1392" s="2" t="s">
        <v>13977</v>
      </c>
      <c r="D1392" s="2" t="s">
        <v>13978</v>
      </c>
      <c r="E1392" s="2" t="s">
        <v>13979</v>
      </c>
      <c r="G1392" s="3" t="s">
        <v>62</v>
      </c>
      <c r="I1392" s="3" t="s">
        <v>62</v>
      </c>
      <c r="J1392" s="3" t="s">
        <v>62</v>
      </c>
      <c r="K1392" s="3" t="s">
        <v>916</v>
      </c>
      <c r="L1392" s="2" t="s">
        <v>13980</v>
      </c>
      <c r="M1392" s="2" t="s">
        <v>13981</v>
      </c>
      <c r="N1392" s="3" t="s">
        <v>13088</v>
      </c>
      <c r="P1392" s="3" t="s">
        <v>64</v>
      </c>
      <c r="R1392" s="3" t="s">
        <v>13065</v>
      </c>
      <c r="S1392" s="4">
        <v>2</v>
      </c>
      <c r="T1392" s="4">
        <v>2</v>
      </c>
      <c r="U1392" s="5" t="s">
        <v>13982</v>
      </c>
      <c r="V1392" s="5" t="s">
        <v>13982</v>
      </c>
      <c r="W1392" s="5" t="s">
        <v>67</v>
      </c>
      <c r="X1392" s="5" t="s">
        <v>67</v>
      </c>
      <c r="Y1392" s="4">
        <v>214</v>
      </c>
      <c r="Z1392" s="4">
        <v>11</v>
      </c>
      <c r="AA1392" s="4">
        <v>35</v>
      </c>
      <c r="AB1392" s="4">
        <v>1</v>
      </c>
      <c r="AC1392" s="4">
        <v>3</v>
      </c>
      <c r="AD1392" s="4">
        <v>74</v>
      </c>
      <c r="AE1392" s="4">
        <v>98</v>
      </c>
      <c r="AF1392" s="4">
        <v>0</v>
      </c>
      <c r="AG1392" s="4">
        <v>0</v>
      </c>
      <c r="AH1392" s="4">
        <v>68</v>
      </c>
      <c r="AI1392" s="4">
        <v>84</v>
      </c>
      <c r="AJ1392" s="4">
        <v>7</v>
      </c>
      <c r="AK1392" s="4">
        <v>16</v>
      </c>
      <c r="AL1392" s="4">
        <v>46</v>
      </c>
      <c r="AM1392" s="4">
        <v>50</v>
      </c>
      <c r="AN1392" s="4">
        <v>0</v>
      </c>
      <c r="AO1392" s="4">
        <v>0</v>
      </c>
      <c r="AP1392" s="4">
        <v>8</v>
      </c>
      <c r="AQ1392" s="4">
        <v>22</v>
      </c>
      <c r="AR1392" s="3" t="s">
        <v>62</v>
      </c>
      <c r="AS1392" s="3" t="s">
        <v>62</v>
      </c>
      <c r="AT1392" s="3" t="s">
        <v>62</v>
      </c>
      <c r="AU1392" s="6" t="str">
        <f>HYPERLINK("http://catalog.hathitrust.org/Record/000117739","HathiTrust Record")</f>
        <v>HathiTrust Record</v>
      </c>
      <c r="AV1392" s="6" t="str">
        <f>HYPERLINK("http://mcgill.on.worldcat.org/oclc/2050259","Catalog Record")</f>
        <v>Catalog Record</v>
      </c>
      <c r="AW1392" s="6" t="str">
        <f>HYPERLINK("http://www.worldcat.org/oclc/2050259","WorldCat Record")</f>
        <v>WorldCat Record</v>
      </c>
      <c r="AX1392" s="3" t="s">
        <v>13983</v>
      </c>
      <c r="AY1392" s="3" t="s">
        <v>13984</v>
      </c>
      <c r="AZ1392" s="3" t="s">
        <v>13985</v>
      </c>
      <c r="BA1392" s="3" t="s">
        <v>13985</v>
      </c>
      <c r="BB1392" s="3" t="s">
        <v>13986</v>
      </c>
      <c r="BC1392" s="3" t="s">
        <v>102</v>
      </c>
      <c r="BD1392" s="3" t="s">
        <v>68</v>
      </c>
      <c r="BF1392" s="3" t="s">
        <v>13986</v>
      </c>
      <c r="BG1392" s="3" t="s">
        <v>13987</v>
      </c>
    </row>
    <row r="1393" spans="1:59" ht="58" x14ac:dyDescent="0.35">
      <c r="A1393" s="2" t="s">
        <v>89</v>
      </c>
      <c r="B1393" s="2" t="s">
        <v>90</v>
      </c>
      <c r="C1393" s="2" t="s">
        <v>13988</v>
      </c>
      <c r="D1393" s="2" t="s">
        <v>13989</v>
      </c>
      <c r="E1393" s="2" t="s">
        <v>13990</v>
      </c>
      <c r="G1393" s="3" t="s">
        <v>62</v>
      </c>
      <c r="I1393" s="3" t="s">
        <v>62</v>
      </c>
      <c r="J1393" s="3" t="s">
        <v>62</v>
      </c>
      <c r="K1393" s="3" t="s">
        <v>63</v>
      </c>
      <c r="L1393" s="2" t="s">
        <v>13991</v>
      </c>
      <c r="M1393" s="2" t="s">
        <v>13992</v>
      </c>
      <c r="N1393" s="3" t="s">
        <v>755</v>
      </c>
      <c r="P1393" s="3" t="s">
        <v>64</v>
      </c>
      <c r="R1393" s="3" t="s">
        <v>13065</v>
      </c>
      <c r="S1393" s="4">
        <v>4</v>
      </c>
      <c r="T1393" s="4">
        <v>4</v>
      </c>
      <c r="U1393" s="5" t="s">
        <v>10908</v>
      </c>
      <c r="V1393" s="5" t="s">
        <v>10908</v>
      </c>
      <c r="W1393" s="5" t="s">
        <v>67</v>
      </c>
      <c r="X1393" s="5" t="s">
        <v>67</v>
      </c>
      <c r="Y1393" s="4">
        <v>64</v>
      </c>
      <c r="Z1393" s="4">
        <v>14</v>
      </c>
      <c r="AA1393" s="4">
        <v>28</v>
      </c>
      <c r="AB1393" s="4">
        <v>1</v>
      </c>
      <c r="AC1393" s="4">
        <v>3</v>
      </c>
      <c r="AD1393" s="4">
        <v>22</v>
      </c>
      <c r="AE1393" s="4">
        <v>77</v>
      </c>
      <c r="AF1393" s="4">
        <v>0</v>
      </c>
      <c r="AG1393" s="4">
        <v>2</v>
      </c>
      <c r="AH1393" s="4">
        <v>16</v>
      </c>
      <c r="AI1393" s="4">
        <v>62</v>
      </c>
      <c r="AJ1393" s="4">
        <v>7</v>
      </c>
      <c r="AK1393" s="4">
        <v>15</v>
      </c>
      <c r="AL1393" s="4">
        <v>6</v>
      </c>
      <c r="AM1393" s="4">
        <v>33</v>
      </c>
      <c r="AN1393" s="4">
        <v>0</v>
      </c>
      <c r="AO1393" s="4">
        <v>0</v>
      </c>
      <c r="AP1393" s="4">
        <v>11</v>
      </c>
      <c r="AQ1393" s="4">
        <v>21</v>
      </c>
      <c r="AR1393" s="3" t="s">
        <v>62</v>
      </c>
      <c r="AS1393" s="3" t="s">
        <v>62</v>
      </c>
      <c r="AT1393" s="3" t="s">
        <v>61</v>
      </c>
      <c r="AU1393" s="6" t="str">
        <f>HYPERLINK("http://catalog.hathitrust.org/Record/000164813","HathiTrust Record")</f>
        <v>HathiTrust Record</v>
      </c>
      <c r="AV1393" s="6" t="str">
        <f>HYPERLINK("http://mcgill.on.worldcat.org/oclc/5868880","Catalog Record")</f>
        <v>Catalog Record</v>
      </c>
      <c r="AW1393" s="6" t="str">
        <f>HYPERLINK("http://www.worldcat.org/oclc/5868880","WorldCat Record")</f>
        <v>WorldCat Record</v>
      </c>
      <c r="AX1393" s="3" t="s">
        <v>13993</v>
      </c>
      <c r="AY1393" s="3" t="s">
        <v>13994</v>
      </c>
      <c r="AZ1393" s="3" t="s">
        <v>13995</v>
      </c>
      <c r="BA1393" s="3" t="s">
        <v>13995</v>
      </c>
      <c r="BB1393" s="3" t="s">
        <v>13996</v>
      </c>
      <c r="BC1393" s="3" t="s">
        <v>102</v>
      </c>
      <c r="BD1393" s="3" t="s">
        <v>231</v>
      </c>
      <c r="BF1393" s="3" t="s">
        <v>13996</v>
      </c>
      <c r="BG1393" s="3" t="s">
        <v>13997</v>
      </c>
    </row>
    <row r="1394" spans="1:59" ht="58" x14ac:dyDescent="0.35">
      <c r="A1394" s="2" t="s">
        <v>89</v>
      </c>
      <c r="B1394" s="2" t="s">
        <v>90</v>
      </c>
      <c r="C1394" s="2" t="s">
        <v>13998</v>
      </c>
      <c r="D1394" s="2" t="s">
        <v>13999</v>
      </c>
      <c r="E1394" s="2" t="s">
        <v>14000</v>
      </c>
      <c r="G1394" s="3" t="s">
        <v>62</v>
      </c>
      <c r="I1394" s="3" t="s">
        <v>62</v>
      </c>
      <c r="J1394" s="3" t="s">
        <v>62</v>
      </c>
      <c r="K1394" s="3" t="s">
        <v>63</v>
      </c>
      <c r="L1394" s="2" t="s">
        <v>14001</v>
      </c>
      <c r="M1394" s="2" t="s">
        <v>14002</v>
      </c>
      <c r="N1394" s="3" t="s">
        <v>2305</v>
      </c>
      <c r="P1394" s="3" t="s">
        <v>64</v>
      </c>
      <c r="Q1394" s="2" t="s">
        <v>14003</v>
      </c>
      <c r="R1394" s="3" t="s">
        <v>13065</v>
      </c>
      <c r="S1394" s="4">
        <v>3</v>
      </c>
      <c r="T1394" s="4">
        <v>3</v>
      </c>
      <c r="U1394" s="5" t="s">
        <v>10908</v>
      </c>
      <c r="V1394" s="5" t="s">
        <v>10908</v>
      </c>
      <c r="W1394" s="5" t="s">
        <v>67</v>
      </c>
      <c r="X1394" s="5" t="s">
        <v>67</v>
      </c>
      <c r="Y1394" s="4">
        <v>109</v>
      </c>
      <c r="Z1394" s="4">
        <v>10</v>
      </c>
      <c r="AA1394" s="4">
        <v>38</v>
      </c>
      <c r="AB1394" s="4">
        <v>2</v>
      </c>
      <c r="AC1394" s="4">
        <v>7</v>
      </c>
      <c r="AD1394" s="4">
        <v>20</v>
      </c>
      <c r="AE1394" s="4">
        <v>118</v>
      </c>
      <c r="AF1394" s="4">
        <v>1</v>
      </c>
      <c r="AG1394" s="4">
        <v>4</v>
      </c>
      <c r="AH1394" s="4">
        <v>12</v>
      </c>
      <c r="AI1394" s="4">
        <v>96</v>
      </c>
      <c r="AJ1394" s="4">
        <v>4</v>
      </c>
      <c r="AK1394" s="4">
        <v>20</v>
      </c>
      <c r="AL1394" s="4">
        <v>6</v>
      </c>
      <c r="AM1394" s="4">
        <v>56</v>
      </c>
      <c r="AN1394" s="4">
        <v>0</v>
      </c>
      <c r="AO1394" s="4">
        <v>0</v>
      </c>
      <c r="AP1394" s="4">
        <v>9</v>
      </c>
      <c r="AQ1394" s="4">
        <v>30</v>
      </c>
      <c r="AR1394" s="3" t="s">
        <v>62</v>
      </c>
      <c r="AS1394" s="3" t="s">
        <v>62</v>
      </c>
      <c r="AT1394" s="3" t="s">
        <v>62</v>
      </c>
      <c r="AV1394" s="6" t="str">
        <f>HYPERLINK("http://mcgill.on.worldcat.org/oclc/6888308","Catalog Record")</f>
        <v>Catalog Record</v>
      </c>
      <c r="AW1394" s="6" t="str">
        <f>HYPERLINK("http://www.worldcat.org/oclc/6888308","WorldCat Record")</f>
        <v>WorldCat Record</v>
      </c>
      <c r="AX1394" s="3" t="s">
        <v>14004</v>
      </c>
      <c r="AY1394" s="3" t="s">
        <v>14005</v>
      </c>
      <c r="AZ1394" s="3" t="s">
        <v>14006</v>
      </c>
      <c r="BA1394" s="3" t="s">
        <v>14006</v>
      </c>
      <c r="BB1394" s="3" t="s">
        <v>14007</v>
      </c>
      <c r="BC1394" s="3" t="s">
        <v>102</v>
      </c>
      <c r="BD1394" s="3" t="s">
        <v>68</v>
      </c>
      <c r="BF1394" s="3" t="s">
        <v>14007</v>
      </c>
      <c r="BG1394" s="3" t="s">
        <v>14008</v>
      </c>
    </row>
    <row r="1395" spans="1:59" ht="58" x14ac:dyDescent="0.35">
      <c r="A1395" s="2" t="s">
        <v>89</v>
      </c>
      <c r="B1395" s="2" t="s">
        <v>90</v>
      </c>
      <c r="C1395" s="2" t="s">
        <v>14009</v>
      </c>
      <c r="D1395" s="2" t="s">
        <v>14010</v>
      </c>
      <c r="E1395" s="2" t="s">
        <v>14011</v>
      </c>
      <c r="G1395" s="3" t="s">
        <v>62</v>
      </c>
      <c r="I1395" s="3" t="s">
        <v>62</v>
      </c>
      <c r="J1395" s="3" t="s">
        <v>61</v>
      </c>
      <c r="K1395" s="3" t="s">
        <v>63</v>
      </c>
      <c r="L1395" s="2" t="s">
        <v>14012</v>
      </c>
      <c r="M1395" s="2" t="s">
        <v>14013</v>
      </c>
      <c r="N1395" s="3" t="s">
        <v>2985</v>
      </c>
      <c r="P1395" s="3" t="s">
        <v>64</v>
      </c>
      <c r="Q1395" s="2" t="s">
        <v>14014</v>
      </c>
      <c r="R1395" s="3" t="s">
        <v>13065</v>
      </c>
      <c r="S1395" s="4">
        <v>1</v>
      </c>
      <c r="T1395" s="4">
        <v>1</v>
      </c>
      <c r="U1395" s="5" t="s">
        <v>14015</v>
      </c>
      <c r="V1395" s="5" t="s">
        <v>14015</v>
      </c>
      <c r="W1395" s="5" t="s">
        <v>67</v>
      </c>
      <c r="X1395" s="5" t="s">
        <v>67</v>
      </c>
      <c r="Y1395" s="4">
        <v>151</v>
      </c>
      <c r="Z1395" s="4">
        <v>23</v>
      </c>
      <c r="AA1395" s="4">
        <v>29</v>
      </c>
      <c r="AB1395" s="4">
        <v>2</v>
      </c>
      <c r="AC1395" s="4">
        <v>3</v>
      </c>
      <c r="AD1395" s="4">
        <v>43</v>
      </c>
      <c r="AE1395" s="4">
        <v>53</v>
      </c>
      <c r="AF1395" s="4">
        <v>1</v>
      </c>
      <c r="AG1395" s="4">
        <v>2</v>
      </c>
      <c r="AH1395" s="4">
        <v>34</v>
      </c>
      <c r="AI1395" s="4">
        <v>39</v>
      </c>
      <c r="AJ1395" s="4">
        <v>11</v>
      </c>
      <c r="AK1395" s="4">
        <v>14</v>
      </c>
      <c r="AL1395" s="4">
        <v>21</v>
      </c>
      <c r="AM1395" s="4">
        <v>26</v>
      </c>
      <c r="AN1395" s="4">
        <v>5</v>
      </c>
      <c r="AO1395" s="4">
        <v>5</v>
      </c>
      <c r="AP1395" s="4">
        <v>12</v>
      </c>
      <c r="AQ1395" s="4">
        <v>17</v>
      </c>
      <c r="AR1395" s="3" t="s">
        <v>61</v>
      </c>
      <c r="AS1395" s="3" t="s">
        <v>62</v>
      </c>
      <c r="AT1395" s="3" t="s">
        <v>61</v>
      </c>
      <c r="AU1395" s="6" t="str">
        <f>HYPERLINK("http://catalog.hathitrust.org/Record/010616097","HathiTrust Record")</f>
        <v>HathiTrust Record</v>
      </c>
      <c r="AV1395" s="6" t="str">
        <f>HYPERLINK("http://mcgill.on.worldcat.org/oclc/294885870","Catalog Record")</f>
        <v>Catalog Record</v>
      </c>
      <c r="AW1395" s="6" t="str">
        <f>HYPERLINK("http://www.worldcat.org/oclc/294885870","WorldCat Record")</f>
        <v>WorldCat Record</v>
      </c>
      <c r="AX1395" s="3" t="s">
        <v>14016</v>
      </c>
      <c r="AY1395" s="3" t="s">
        <v>14017</v>
      </c>
      <c r="AZ1395" s="3" t="s">
        <v>14018</v>
      </c>
      <c r="BA1395" s="3" t="s">
        <v>14018</v>
      </c>
      <c r="BB1395" s="3" t="s">
        <v>14019</v>
      </c>
      <c r="BC1395" s="3" t="s">
        <v>102</v>
      </c>
      <c r="BD1395" s="3" t="s">
        <v>68</v>
      </c>
      <c r="BE1395" s="3" t="s">
        <v>14020</v>
      </c>
      <c r="BF1395" s="3" t="s">
        <v>14019</v>
      </c>
      <c r="BG1395" s="3" t="s">
        <v>14021</v>
      </c>
    </row>
    <row r="1396" spans="1:59" ht="58" x14ac:dyDescent="0.35">
      <c r="A1396" s="2" t="s">
        <v>89</v>
      </c>
      <c r="B1396" s="2" t="s">
        <v>90</v>
      </c>
      <c r="C1396" s="2" t="s">
        <v>14022</v>
      </c>
      <c r="D1396" s="2" t="s">
        <v>14023</v>
      </c>
      <c r="E1396" s="2" t="s">
        <v>14024</v>
      </c>
      <c r="G1396" s="3" t="s">
        <v>62</v>
      </c>
      <c r="I1396" s="3" t="s">
        <v>62</v>
      </c>
      <c r="J1396" s="3" t="s">
        <v>62</v>
      </c>
      <c r="K1396" s="3" t="s">
        <v>63</v>
      </c>
      <c r="L1396" s="2" t="s">
        <v>14025</v>
      </c>
      <c r="M1396" s="2" t="s">
        <v>14026</v>
      </c>
      <c r="N1396" s="3" t="s">
        <v>880</v>
      </c>
      <c r="O1396" s="2" t="s">
        <v>14027</v>
      </c>
      <c r="P1396" s="3" t="s">
        <v>64</v>
      </c>
      <c r="Q1396" s="2" t="s">
        <v>14028</v>
      </c>
      <c r="R1396" s="3" t="s">
        <v>13065</v>
      </c>
      <c r="S1396" s="4">
        <v>4</v>
      </c>
      <c r="T1396" s="4">
        <v>4</v>
      </c>
      <c r="U1396" s="5" t="s">
        <v>812</v>
      </c>
      <c r="V1396" s="5" t="s">
        <v>812</v>
      </c>
      <c r="W1396" s="5" t="s">
        <v>67</v>
      </c>
      <c r="X1396" s="5" t="s">
        <v>67</v>
      </c>
      <c r="Y1396" s="4">
        <v>30</v>
      </c>
      <c r="Z1396" s="4">
        <v>2</v>
      </c>
      <c r="AA1396" s="4">
        <v>29</v>
      </c>
      <c r="AB1396" s="4">
        <v>1</v>
      </c>
      <c r="AC1396" s="4">
        <v>4</v>
      </c>
      <c r="AD1396" s="4">
        <v>3</v>
      </c>
      <c r="AE1396" s="4">
        <v>115</v>
      </c>
      <c r="AF1396" s="4">
        <v>0</v>
      </c>
      <c r="AG1396" s="4">
        <v>2</v>
      </c>
      <c r="AH1396" s="4">
        <v>3</v>
      </c>
      <c r="AI1396" s="4">
        <v>97</v>
      </c>
      <c r="AJ1396" s="4">
        <v>1</v>
      </c>
      <c r="AK1396" s="4">
        <v>19</v>
      </c>
      <c r="AL1396" s="4">
        <v>0</v>
      </c>
      <c r="AM1396" s="4">
        <v>55</v>
      </c>
      <c r="AN1396" s="4">
        <v>0</v>
      </c>
      <c r="AO1396" s="4">
        <v>0</v>
      </c>
      <c r="AP1396" s="4">
        <v>1</v>
      </c>
      <c r="AQ1396" s="4">
        <v>25</v>
      </c>
      <c r="AR1396" s="3" t="s">
        <v>62</v>
      </c>
      <c r="AS1396" s="3" t="s">
        <v>62</v>
      </c>
      <c r="AT1396" s="3" t="s">
        <v>62</v>
      </c>
      <c r="AV1396" s="6" t="str">
        <f>HYPERLINK("http://mcgill.on.worldcat.org/oclc/468972309","Catalog Record")</f>
        <v>Catalog Record</v>
      </c>
      <c r="AW1396" s="6" t="str">
        <f>HYPERLINK("http://www.worldcat.org/oclc/468972309","WorldCat Record")</f>
        <v>WorldCat Record</v>
      </c>
      <c r="AX1396" s="3" t="s">
        <v>14029</v>
      </c>
      <c r="AY1396" s="3" t="s">
        <v>14030</v>
      </c>
      <c r="AZ1396" s="3" t="s">
        <v>14031</v>
      </c>
      <c r="BA1396" s="3" t="s">
        <v>14031</v>
      </c>
      <c r="BB1396" s="3" t="s">
        <v>14032</v>
      </c>
      <c r="BC1396" s="3" t="s">
        <v>102</v>
      </c>
      <c r="BD1396" s="3" t="s">
        <v>68</v>
      </c>
      <c r="BE1396" s="3" t="s">
        <v>14033</v>
      </c>
      <c r="BF1396" s="3" t="s">
        <v>14032</v>
      </c>
      <c r="BG1396" s="3" t="s">
        <v>14034</v>
      </c>
    </row>
    <row r="1397" spans="1:59" ht="58" x14ac:dyDescent="0.35">
      <c r="A1397" s="2" t="s">
        <v>89</v>
      </c>
      <c r="B1397" s="2" t="s">
        <v>90</v>
      </c>
      <c r="C1397" s="2" t="s">
        <v>14035</v>
      </c>
      <c r="D1397" s="2" t="s">
        <v>14036</v>
      </c>
      <c r="E1397" s="2" t="s">
        <v>14037</v>
      </c>
      <c r="G1397" s="3" t="s">
        <v>62</v>
      </c>
      <c r="I1397" s="3" t="s">
        <v>62</v>
      </c>
      <c r="J1397" s="3" t="s">
        <v>62</v>
      </c>
      <c r="K1397" s="3" t="s">
        <v>63</v>
      </c>
      <c r="L1397" s="2" t="s">
        <v>14038</v>
      </c>
      <c r="M1397" s="2" t="s">
        <v>14039</v>
      </c>
      <c r="N1397" s="3" t="s">
        <v>712</v>
      </c>
      <c r="P1397" s="3" t="s">
        <v>64</v>
      </c>
      <c r="R1397" s="3" t="s">
        <v>13065</v>
      </c>
      <c r="S1397" s="4">
        <v>4</v>
      </c>
      <c r="T1397" s="4">
        <v>4</v>
      </c>
      <c r="W1397" s="5" t="s">
        <v>67</v>
      </c>
      <c r="X1397" s="5" t="s">
        <v>67</v>
      </c>
      <c r="Y1397" s="4">
        <v>31</v>
      </c>
      <c r="Z1397" s="4">
        <v>3</v>
      </c>
      <c r="AA1397" s="4">
        <v>14</v>
      </c>
      <c r="AB1397" s="4">
        <v>1</v>
      </c>
      <c r="AC1397" s="4">
        <v>3</v>
      </c>
      <c r="AD1397" s="4">
        <v>6</v>
      </c>
      <c r="AE1397" s="4">
        <v>51</v>
      </c>
      <c r="AF1397" s="4">
        <v>0</v>
      </c>
      <c r="AG1397" s="4">
        <v>1</v>
      </c>
      <c r="AH1397" s="4">
        <v>4</v>
      </c>
      <c r="AI1397" s="4">
        <v>44</v>
      </c>
      <c r="AJ1397" s="4">
        <v>1</v>
      </c>
      <c r="AK1397" s="4">
        <v>7</v>
      </c>
      <c r="AL1397" s="4">
        <v>2</v>
      </c>
      <c r="AM1397" s="4">
        <v>28</v>
      </c>
      <c r="AN1397" s="4">
        <v>0</v>
      </c>
      <c r="AO1397" s="4">
        <v>0</v>
      </c>
      <c r="AP1397" s="4">
        <v>2</v>
      </c>
      <c r="AQ1397" s="4">
        <v>9</v>
      </c>
      <c r="AR1397" s="3" t="s">
        <v>62</v>
      </c>
      <c r="AS1397" s="3" t="s">
        <v>62</v>
      </c>
      <c r="AT1397" s="3" t="s">
        <v>62</v>
      </c>
      <c r="AV1397" s="6" t="str">
        <f>HYPERLINK("http://mcgill.on.worldcat.org/oclc/881139564","Catalog Record")</f>
        <v>Catalog Record</v>
      </c>
      <c r="AW1397" s="6" t="str">
        <f>HYPERLINK("http://www.worldcat.org/oclc/881139564","WorldCat Record")</f>
        <v>WorldCat Record</v>
      </c>
      <c r="AX1397" s="3" t="s">
        <v>14040</v>
      </c>
      <c r="AY1397" s="3" t="s">
        <v>14041</v>
      </c>
      <c r="AZ1397" s="3" t="s">
        <v>14042</v>
      </c>
      <c r="BA1397" s="3" t="s">
        <v>14042</v>
      </c>
      <c r="BB1397" s="3" t="s">
        <v>14043</v>
      </c>
      <c r="BC1397" s="3" t="s">
        <v>102</v>
      </c>
      <c r="BD1397" s="3" t="s">
        <v>231</v>
      </c>
      <c r="BE1397" s="3" t="s">
        <v>14044</v>
      </c>
      <c r="BF1397" s="3" t="s">
        <v>14043</v>
      </c>
      <c r="BG1397" s="3" t="s">
        <v>14045</v>
      </c>
    </row>
    <row r="1398" spans="1:59" ht="58" x14ac:dyDescent="0.35">
      <c r="A1398" s="2" t="s">
        <v>89</v>
      </c>
      <c r="B1398" s="2" t="s">
        <v>90</v>
      </c>
      <c r="C1398" s="2" t="s">
        <v>14046</v>
      </c>
      <c r="D1398" s="2" t="s">
        <v>14047</v>
      </c>
      <c r="E1398" s="2" t="s">
        <v>14048</v>
      </c>
      <c r="G1398" s="3" t="s">
        <v>62</v>
      </c>
      <c r="I1398" s="3" t="s">
        <v>61</v>
      </c>
      <c r="J1398" s="3" t="s">
        <v>62</v>
      </c>
      <c r="K1398" s="3" t="s">
        <v>63</v>
      </c>
      <c r="L1398" s="2" t="s">
        <v>14049</v>
      </c>
      <c r="M1398" s="2" t="s">
        <v>14050</v>
      </c>
      <c r="N1398" s="3" t="s">
        <v>954</v>
      </c>
      <c r="P1398" s="3" t="s">
        <v>64</v>
      </c>
      <c r="Q1398" s="2" t="s">
        <v>5765</v>
      </c>
      <c r="R1398" s="3" t="s">
        <v>13065</v>
      </c>
      <c r="S1398" s="4">
        <v>18</v>
      </c>
      <c r="T1398" s="4">
        <v>97</v>
      </c>
      <c r="U1398" s="5" t="s">
        <v>14051</v>
      </c>
      <c r="V1398" s="5" t="s">
        <v>14051</v>
      </c>
      <c r="W1398" s="5" t="s">
        <v>67</v>
      </c>
      <c r="X1398" s="5" t="s">
        <v>67</v>
      </c>
      <c r="Y1398" s="4">
        <v>1024</v>
      </c>
      <c r="Z1398" s="4">
        <v>48</v>
      </c>
      <c r="AA1398" s="4">
        <v>58</v>
      </c>
      <c r="AB1398" s="4">
        <v>3</v>
      </c>
      <c r="AC1398" s="4">
        <v>9</v>
      </c>
      <c r="AD1398" s="4">
        <v>134</v>
      </c>
      <c r="AE1398" s="4">
        <v>145</v>
      </c>
      <c r="AF1398" s="4">
        <v>1</v>
      </c>
      <c r="AG1398" s="4">
        <v>6</v>
      </c>
      <c r="AH1398" s="4">
        <v>105</v>
      </c>
      <c r="AI1398" s="4">
        <v>109</v>
      </c>
      <c r="AJ1398" s="4">
        <v>21</v>
      </c>
      <c r="AK1398" s="4">
        <v>25</v>
      </c>
      <c r="AL1398" s="4">
        <v>60</v>
      </c>
      <c r="AM1398" s="4">
        <v>61</v>
      </c>
      <c r="AN1398" s="4">
        <v>0</v>
      </c>
      <c r="AO1398" s="4">
        <v>0</v>
      </c>
      <c r="AP1398" s="4">
        <v>33</v>
      </c>
      <c r="AQ1398" s="4">
        <v>41</v>
      </c>
      <c r="AR1398" s="3" t="s">
        <v>62</v>
      </c>
      <c r="AS1398" s="3" t="s">
        <v>62</v>
      </c>
      <c r="AT1398" s="3" t="s">
        <v>61</v>
      </c>
      <c r="AU1398" s="6" t="str">
        <f>HYPERLINK("http://catalog.hathitrust.org/Record/000164845","HathiTrust Record")</f>
        <v>HathiTrust Record</v>
      </c>
      <c r="AV1398" s="6" t="str">
        <f>HYPERLINK("http://mcgill.on.worldcat.org/oclc/523838","Catalog Record")</f>
        <v>Catalog Record</v>
      </c>
      <c r="AW1398" s="6" t="str">
        <f>HYPERLINK("http://www.worldcat.org/oclc/523838","WorldCat Record")</f>
        <v>WorldCat Record</v>
      </c>
      <c r="AX1398" s="3" t="s">
        <v>14052</v>
      </c>
      <c r="AY1398" s="3" t="s">
        <v>14053</v>
      </c>
      <c r="AZ1398" s="3" t="s">
        <v>14054</v>
      </c>
      <c r="BA1398" s="3" t="s">
        <v>14054</v>
      </c>
      <c r="BB1398" s="3" t="s">
        <v>14055</v>
      </c>
      <c r="BC1398" s="3" t="s">
        <v>102</v>
      </c>
      <c r="BD1398" s="3" t="s">
        <v>68</v>
      </c>
      <c r="BE1398" s="3" t="s">
        <v>14056</v>
      </c>
      <c r="BF1398" s="3" t="s">
        <v>14055</v>
      </c>
      <c r="BG1398" s="3" t="s">
        <v>14057</v>
      </c>
    </row>
    <row r="1399" spans="1:59" ht="58" x14ac:dyDescent="0.35">
      <c r="A1399" s="2" t="s">
        <v>89</v>
      </c>
      <c r="B1399" s="2" t="s">
        <v>90</v>
      </c>
      <c r="C1399" s="2" t="s">
        <v>14058</v>
      </c>
      <c r="D1399" s="2" t="s">
        <v>14059</v>
      </c>
      <c r="E1399" s="2" t="s">
        <v>14060</v>
      </c>
      <c r="G1399" s="3" t="s">
        <v>62</v>
      </c>
      <c r="I1399" s="3" t="s">
        <v>61</v>
      </c>
      <c r="J1399" s="3" t="s">
        <v>62</v>
      </c>
      <c r="K1399" s="3" t="s">
        <v>63</v>
      </c>
      <c r="L1399" s="2" t="s">
        <v>14061</v>
      </c>
      <c r="M1399" s="2" t="s">
        <v>14062</v>
      </c>
      <c r="N1399" s="3" t="s">
        <v>625</v>
      </c>
      <c r="O1399" s="2" t="s">
        <v>2163</v>
      </c>
      <c r="P1399" s="3" t="s">
        <v>64</v>
      </c>
      <c r="Q1399" s="2" t="s">
        <v>14063</v>
      </c>
      <c r="R1399" s="3" t="s">
        <v>13065</v>
      </c>
      <c r="S1399" s="4">
        <v>23</v>
      </c>
      <c r="T1399" s="4">
        <v>28</v>
      </c>
      <c r="U1399" s="5" t="s">
        <v>14064</v>
      </c>
      <c r="V1399" s="5" t="s">
        <v>14064</v>
      </c>
      <c r="W1399" s="5" t="s">
        <v>67</v>
      </c>
      <c r="X1399" s="5" t="s">
        <v>67</v>
      </c>
      <c r="Y1399" s="4">
        <v>209</v>
      </c>
      <c r="Z1399" s="4">
        <v>14</v>
      </c>
      <c r="AA1399" s="4">
        <v>56</v>
      </c>
      <c r="AB1399" s="4">
        <v>2</v>
      </c>
      <c r="AC1399" s="4">
        <v>7</v>
      </c>
      <c r="AD1399" s="4">
        <v>20</v>
      </c>
      <c r="AE1399" s="4">
        <v>120</v>
      </c>
      <c r="AF1399" s="4">
        <v>0</v>
      </c>
      <c r="AG1399" s="4">
        <v>3</v>
      </c>
      <c r="AH1399" s="4">
        <v>17</v>
      </c>
      <c r="AI1399" s="4">
        <v>95</v>
      </c>
      <c r="AJ1399" s="4">
        <v>2</v>
      </c>
      <c r="AK1399" s="4">
        <v>17</v>
      </c>
      <c r="AL1399" s="4">
        <v>10</v>
      </c>
      <c r="AM1399" s="4">
        <v>54</v>
      </c>
      <c r="AN1399" s="4">
        <v>0</v>
      </c>
      <c r="AO1399" s="4">
        <v>0</v>
      </c>
      <c r="AP1399" s="4">
        <v>3</v>
      </c>
      <c r="AQ1399" s="4">
        <v>28</v>
      </c>
      <c r="AR1399" s="3" t="s">
        <v>62</v>
      </c>
      <c r="AS1399" s="3" t="s">
        <v>62</v>
      </c>
      <c r="AT1399" s="3" t="s">
        <v>62</v>
      </c>
      <c r="AV1399" s="6" t="str">
        <f>HYPERLINK("http://mcgill.on.worldcat.org/oclc/123124306","Catalog Record")</f>
        <v>Catalog Record</v>
      </c>
      <c r="AW1399" s="6" t="str">
        <f>HYPERLINK("http://www.worldcat.org/oclc/123124306","WorldCat Record")</f>
        <v>WorldCat Record</v>
      </c>
      <c r="AX1399" s="3" t="s">
        <v>14065</v>
      </c>
      <c r="AY1399" s="3" t="s">
        <v>14066</v>
      </c>
      <c r="AZ1399" s="3" t="s">
        <v>14067</v>
      </c>
      <c r="BA1399" s="3" t="s">
        <v>14067</v>
      </c>
      <c r="BB1399" s="3" t="s">
        <v>14068</v>
      </c>
      <c r="BC1399" s="3" t="s">
        <v>102</v>
      </c>
      <c r="BD1399" s="3" t="s">
        <v>68</v>
      </c>
      <c r="BE1399" s="3" t="s">
        <v>14069</v>
      </c>
      <c r="BF1399" s="3" t="s">
        <v>14068</v>
      </c>
      <c r="BG1399" s="3" t="s">
        <v>14070</v>
      </c>
    </row>
    <row r="1400" spans="1:59" ht="58" x14ac:dyDescent="0.35">
      <c r="A1400" s="2" t="s">
        <v>59</v>
      </c>
      <c r="B1400" s="2" t="s">
        <v>60</v>
      </c>
      <c r="C1400" s="2" t="s">
        <v>14071</v>
      </c>
      <c r="D1400" s="2" t="s">
        <v>14072</v>
      </c>
      <c r="E1400" s="2" t="s">
        <v>14073</v>
      </c>
      <c r="F1400" s="3" t="s">
        <v>2217</v>
      </c>
      <c r="G1400" s="3" t="s">
        <v>61</v>
      </c>
      <c r="I1400" s="3" t="s">
        <v>61</v>
      </c>
      <c r="J1400" s="3" t="s">
        <v>62</v>
      </c>
      <c r="K1400" s="3" t="s">
        <v>916</v>
      </c>
      <c r="L1400" s="2" t="s">
        <v>9079</v>
      </c>
      <c r="M1400" s="2" t="s">
        <v>14074</v>
      </c>
      <c r="N1400" s="3" t="s">
        <v>1405</v>
      </c>
      <c r="P1400" s="3" t="s">
        <v>64</v>
      </c>
      <c r="R1400" s="3" t="s">
        <v>13065</v>
      </c>
      <c r="S1400" s="4">
        <v>3</v>
      </c>
      <c r="T1400" s="4">
        <v>6</v>
      </c>
      <c r="U1400" s="5" t="s">
        <v>14075</v>
      </c>
      <c r="V1400" s="5" t="s">
        <v>14076</v>
      </c>
      <c r="W1400" s="5" t="s">
        <v>67</v>
      </c>
      <c r="X1400" s="5" t="s">
        <v>67</v>
      </c>
      <c r="Y1400" s="4">
        <v>59</v>
      </c>
      <c r="Z1400" s="4">
        <v>4</v>
      </c>
      <c r="AA1400" s="4">
        <v>48</v>
      </c>
      <c r="AB1400" s="4">
        <v>1</v>
      </c>
      <c r="AC1400" s="4">
        <v>8</v>
      </c>
      <c r="AD1400" s="4">
        <v>22</v>
      </c>
      <c r="AE1400" s="4">
        <v>142</v>
      </c>
      <c r="AF1400" s="4">
        <v>0</v>
      </c>
      <c r="AG1400" s="4">
        <v>5</v>
      </c>
      <c r="AH1400" s="4">
        <v>21</v>
      </c>
      <c r="AI1400" s="4">
        <v>112</v>
      </c>
      <c r="AJ1400" s="4">
        <v>2</v>
      </c>
      <c r="AK1400" s="4">
        <v>24</v>
      </c>
      <c r="AL1400" s="4">
        <v>18</v>
      </c>
      <c r="AM1400" s="4">
        <v>61</v>
      </c>
      <c r="AN1400" s="4">
        <v>0</v>
      </c>
      <c r="AO1400" s="4">
        <v>0</v>
      </c>
      <c r="AP1400" s="4">
        <v>2</v>
      </c>
      <c r="AQ1400" s="4">
        <v>37</v>
      </c>
      <c r="AR1400" s="3" t="s">
        <v>62</v>
      </c>
      <c r="AS1400" s="3" t="s">
        <v>62</v>
      </c>
      <c r="AT1400" s="3" t="s">
        <v>61</v>
      </c>
      <c r="AU1400" s="6" t="str">
        <f>HYPERLINK("http://catalog.hathitrust.org/Record/000168955","HathiTrust Record")</f>
        <v>HathiTrust Record</v>
      </c>
      <c r="AV1400" s="6" t="str">
        <f>HYPERLINK("http://mcgill.on.worldcat.org/oclc/10451882","Catalog Record")</f>
        <v>Catalog Record</v>
      </c>
      <c r="AW1400" s="6" t="str">
        <f>HYPERLINK("http://www.worldcat.org/oclc/10451882","WorldCat Record")</f>
        <v>WorldCat Record</v>
      </c>
      <c r="AX1400" s="3" t="s">
        <v>14077</v>
      </c>
      <c r="AY1400" s="3" t="s">
        <v>14078</v>
      </c>
      <c r="AZ1400" s="3" t="s">
        <v>14079</v>
      </c>
      <c r="BA1400" s="3" t="s">
        <v>14079</v>
      </c>
      <c r="BB1400" s="3" t="s">
        <v>14080</v>
      </c>
      <c r="BC1400" s="3" t="s">
        <v>102</v>
      </c>
      <c r="BD1400" s="3" t="s">
        <v>68</v>
      </c>
      <c r="BF1400" s="3" t="s">
        <v>14080</v>
      </c>
      <c r="BG1400" s="3" t="s">
        <v>14081</v>
      </c>
    </row>
    <row r="1401" spans="1:59" ht="58" x14ac:dyDescent="0.35">
      <c r="A1401" s="2" t="s">
        <v>59</v>
      </c>
      <c r="B1401" s="2" t="s">
        <v>60</v>
      </c>
      <c r="C1401" s="2" t="s">
        <v>14071</v>
      </c>
      <c r="D1401" s="2" t="s">
        <v>14072</v>
      </c>
      <c r="E1401" s="2" t="s">
        <v>14073</v>
      </c>
      <c r="F1401" s="3" t="s">
        <v>2233</v>
      </c>
      <c r="G1401" s="3" t="s">
        <v>61</v>
      </c>
      <c r="I1401" s="3" t="s">
        <v>61</v>
      </c>
      <c r="J1401" s="3" t="s">
        <v>62</v>
      </c>
      <c r="K1401" s="3" t="s">
        <v>916</v>
      </c>
      <c r="L1401" s="2" t="s">
        <v>9079</v>
      </c>
      <c r="M1401" s="2" t="s">
        <v>14074</v>
      </c>
      <c r="N1401" s="3" t="s">
        <v>1405</v>
      </c>
      <c r="P1401" s="3" t="s">
        <v>64</v>
      </c>
      <c r="R1401" s="3" t="s">
        <v>13065</v>
      </c>
      <c r="S1401" s="4">
        <v>0</v>
      </c>
      <c r="T1401" s="4">
        <v>6</v>
      </c>
      <c r="V1401" s="5" t="s">
        <v>14076</v>
      </c>
      <c r="W1401" s="5" t="s">
        <v>67</v>
      </c>
      <c r="X1401" s="5" t="s">
        <v>67</v>
      </c>
      <c r="Y1401" s="4">
        <v>59</v>
      </c>
      <c r="Z1401" s="4">
        <v>4</v>
      </c>
      <c r="AA1401" s="4">
        <v>48</v>
      </c>
      <c r="AB1401" s="4">
        <v>1</v>
      </c>
      <c r="AC1401" s="4">
        <v>8</v>
      </c>
      <c r="AD1401" s="4">
        <v>22</v>
      </c>
      <c r="AE1401" s="4">
        <v>142</v>
      </c>
      <c r="AF1401" s="4">
        <v>0</v>
      </c>
      <c r="AG1401" s="4">
        <v>5</v>
      </c>
      <c r="AH1401" s="4">
        <v>21</v>
      </c>
      <c r="AI1401" s="4">
        <v>112</v>
      </c>
      <c r="AJ1401" s="4">
        <v>2</v>
      </c>
      <c r="AK1401" s="4">
        <v>24</v>
      </c>
      <c r="AL1401" s="4">
        <v>18</v>
      </c>
      <c r="AM1401" s="4">
        <v>61</v>
      </c>
      <c r="AN1401" s="4">
        <v>0</v>
      </c>
      <c r="AO1401" s="4">
        <v>0</v>
      </c>
      <c r="AP1401" s="4">
        <v>2</v>
      </c>
      <c r="AQ1401" s="4">
        <v>37</v>
      </c>
      <c r="AR1401" s="3" t="s">
        <v>62</v>
      </c>
      <c r="AS1401" s="3" t="s">
        <v>62</v>
      </c>
      <c r="AT1401" s="3" t="s">
        <v>61</v>
      </c>
      <c r="AU1401" s="6" t="str">
        <f>HYPERLINK("http://catalog.hathitrust.org/Record/000168955","HathiTrust Record")</f>
        <v>HathiTrust Record</v>
      </c>
      <c r="AV1401" s="6" t="str">
        <f>HYPERLINK("http://mcgill.on.worldcat.org/oclc/10451882","Catalog Record")</f>
        <v>Catalog Record</v>
      </c>
      <c r="AW1401" s="6" t="str">
        <f>HYPERLINK("http://www.worldcat.org/oclc/10451882","WorldCat Record")</f>
        <v>WorldCat Record</v>
      </c>
      <c r="AX1401" s="3" t="s">
        <v>14077</v>
      </c>
      <c r="AY1401" s="3" t="s">
        <v>14078</v>
      </c>
      <c r="AZ1401" s="3" t="s">
        <v>14079</v>
      </c>
      <c r="BA1401" s="3" t="s">
        <v>14079</v>
      </c>
      <c r="BB1401" s="3" t="s">
        <v>14082</v>
      </c>
      <c r="BC1401" s="3" t="s">
        <v>102</v>
      </c>
      <c r="BD1401" s="3" t="s">
        <v>68</v>
      </c>
      <c r="BF1401" s="3" t="s">
        <v>14082</v>
      </c>
      <c r="BG1401" s="3" t="s">
        <v>14083</v>
      </c>
    </row>
    <row r="1402" spans="1:59" ht="58" x14ac:dyDescent="0.35">
      <c r="A1402" s="2" t="s">
        <v>59</v>
      </c>
      <c r="B1402" s="2" t="s">
        <v>60</v>
      </c>
      <c r="C1402" s="2" t="s">
        <v>14071</v>
      </c>
      <c r="D1402" s="2" t="s">
        <v>14072</v>
      </c>
      <c r="E1402" s="2" t="s">
        <v>14073</v>
      </c>
      <c r="F1402" s="3" t="s">
        <v>2248</v>
      </c>
      <c r="G1402" s="3" t="s">
        <v>61</v>
      </c>
      <c r="I1402" s="3" t="s">
        <v>61</v>
      </c>
      <c r="J1402" s="3" t="s">
        <v>62</v>
      </c>
      <c r="K1402" s="3" t="s">
        <v>916</v>
      </c>
      <c r="L1402" s="2" t="s">
        <v>9079</v>
      </c>
      <c r="M1402" s="2" t="s">
        <v>14074</v>
      </c>
      <c r="N1402" s="3" t="s">
        <v>1405</v>
      </c>
      <c r="P1402" s="3" t="s">
        <v>64</v>
      </c>
      <c r="R1402" s="3" t="s">
        <v>13065</v>
      </c>
      <c r="S1402" s="4">
        <v>0</v>
      </c>
      <c r="T1402" s="4">
        <v>6</v>
      </c>
      <c r="V1402" s="5" t="s">
        <v>14076</v>
      </c>
      <c r="W1402" s="5" t="s">
        <v>67</v>
      </c>
      <c r="X1402" s="5" t="s">
        <v>67</v>
      </c>
      <c r="Y1402" s="4">
        <v>59</v>
      </c>
      <c r="Z1402" s="4">
        <v>4</v>
      </c>
      <c r="AA1402" s="4">
        <v>48</v>
      </c>
      <c r="AB1402" s="4">
        <v>1</v>
      </c>
      <c r="AC1402" s="4">
        <v>8</v>
      </c>
      <c r="AD1402" s="4">
        <v>22</v>
      </c>
      <c r="AE1402" s="4">
        <v>142</v>
      </c>
      <c r="AF1402" s="4">
        <v>0</v>
      </c>
      <c r="AG1402" s="4">
        <v>5</v>
      </c>
      <c r="AH1402" s="4">
        <v>21</v>
      </c>
      <c r="AI1402" s="4">
        <v>112</v>
      </c>
      <c r="AJ1402" s="4">
        <v>2</v>
      </c>
      <c r="AK1402" s="4">
        <v>24</v>
      </c>
      <c r="AL1402" s="4">
        <v>18</v>
      </c>
      <c r="AM1402" s="4">
        <v>61</v>
      </c>
      <c r="AN1402" s="4">
        <v>0</v>
      </c>
      <c r="AO1402" s="4">
        <v>0</v>
      </c>
      <c r="AP1402" s="4">
        <v>2</v>
      </c>
      <c r="AQ1402" s="4">
        <v>37</v>
      </c>
      <c r="AR1402" s="3" t="s">
        <v>62</v>
      </c>
      <c r="AS1402" s="3" t="s">
        <v>62</v>
      </c>
      <c r="AT1402" s="3" t="s">
        <v>61</v>
      </c>
      <c r="AU1402" s="6" t="str">
        <f>HYPERLINK("http://catalog.hathitrust.org/Record/000168955","HathiTrust Record")</f>
        <v>HathiTrust Record</v>
      </c>
      <c r="AV1402" s="6" t="str">
        <f>HYPERLINK("http://mcgill.on.worldcat.org/oclc/10451882","Catalog Record")</f>
        <v>Catalog Record</v>
      </c>
      <c r="AW1402" s="6" t="str">
        <f>HYPERLINK("http://www.worldcat.org/oclc/10451882","WorldCat Record")</f>
        <v>WorldCat Record</v>
      </c>
      <c r="AX1402" s="3" t="s">
        <v>14077</v>
      </c>
      <c r="AY1402" s="3" t="s">
        <v>14078</v>
      </c>
      <c r="AZ1402" s="3" t="s">
        <v>14079</v>
      </c>
      <c r="BA1402" s="3" t="s">
        <v>14079</v>
      </c>
      <c r="BB1402" s="3" t="s">
        <v>14084</v>
      </c>
      <c r="BC1402" s="3" t="s">
        <v>102</v>
      </c>
      <c r="BD1402" s="3" t="s">
        <v>68</v>
      </c>
      <c r="BF1402" s="3" t="s">
        <v>14084</v>
      </c>
      <c r="BG1402" s="3" t="s">
        <v>14085</v>
      </c>
    </row>
    <row r="1403" spans="1:59" ht="58" x14ac:dyDescent="0.35">
      <c r="A1403" s="2" t="s">
        <v>89</v>
      </c>
      <c r="B1403" s="2" t="s">
        <v>90</v>
      </c>
      <c r="C1403" s="2" t="s">
        <v>14086</v>
      </c>
      <c r="D1403" s="2" t="s">
        <v>14087</v>
      </c>
      <c r="E1403" s="2" t="s">
        <v>14088</v>
      </c>
      <c r="G1403" s="3" t="s">
        <v>62</v>
      </c>
      <c r="I1403" s="3" t="s">
        <v>61</v>
      </c>
      <c r="J1403" s="3" t="s">
        <v>61</v>
      </c>
      <c r="K1403" s="3" t="s">
        <v>63</v>
      </c>
      <c r="L1403" s="2" t="s">
        <v>14089</v>
      </c>
      <c r="M1403" s="2" t="s">
        <v>14090</v>
      </c>
      <c r="N1403" s="3" t="s">
        <v>2924</v>
      </c>
      <c r="O1403" s="2" t="s">
        <v>8350</v>
      </c>
      <c r="P1403" s="3" t="s">
        <v>64</v>
      </c>
      <c r="R1403" s="3" t="s">
        <v>13065</v>
      </c>
      <c r="S1403" s="4">
        <v>20</v>
      </c>
      <c r="T1403" s="4">
        <v>40</v>
      </c>
      <c r="U1403" s="5" t="s">
        <v>14091</v>
      </c>
      <c r="V1403" s="5" t="s">
        <v>14092</v>
      </c>
      <c r="W1403" s="5" t="s">
        <v>67</v>
      </c>
      <c r="X1403" s="5" t="s">
        <v>67</v>
      </c>
      <c r="Y1403" s="4">
        <v>726</v>
      </c>
      <c r="Z1403" s="4">
        <v>31</v>
      </c>
      <c r="AA1403" s="4">
        <v>51</v>
      </c>
      <c r="AB1403" s="4">
        <v>2</v>
      </c>
      <c r="AC1403" s="4">
        <v>9</v>
      </c>
      <c r="AD1403" s="4">
        <v>106</v>
      </c>
      <c r="AE1403" s="4">
        <v>143</v>
      </c>
      <c r="AF1403" s="4">
        <v>1</v>
      </c>
      <c r="AG1403" s="4">
        <v>5</v>
      </c>
      <c r="AH1403" s="4">
        <v>86</v>
      </c>
      <c r="AI1403" s="4">
        <v>114</v>
      </c>
      <c r="AJ1403" s="4">
        <v>17</v>
      </c>
      <c r="AK1403" s="4">
        <v>26</v>
      </c>
      <c r="AL1403" s="4">
        <v>47</v>
      </c>
      <c r="AM1403" s="4">
        <v>61</v>
      </c>
      <c r="AN1403" s="4">
        <v>0</v>
      </c>
      <c r="AO1403" s="4">
        <v>0</v>
      </c>
      <c r="AP1403" s="4">
        <v>26</v>
      </c>
      <c r="AQ1403" s="4">
        <v>37</v>
      </c>
      <c r="AR1403" s="3" t="s">
        <v>62</v>
      </c>
      <c r="AS1403" s="3" t="s">
        <v>62</v>
      </c>
      <c r="AT1403" s="3" t="s">
        <v>61</v>
      </c>
      <c r="AU1403" s="6" t="str">
        <f>HYPERLINK("http://catalog.hathitrust.org/Record/000163444","HathiTrust Record")</f>
        <v>HathiTrust Record</v>
      </c>
      <c r="AV1403" s="6" t="str">
        <f>HYPERLINK("http://mcgill.on.worldcat.org/oclc/523388","Catalog Record")</f>
        <v>Catalog Record</v>
      </c>
      <c r="AW1403" s="6" t="str">
        <f>HYPERLINK("http://www.worldcat.org/oclc/523388","WorldCat Record")</f>
        <v>WorldCat Record</v>
      </c>
      <c r="AX1403" s="3" t="s">
        <v>14093</v>
      </c>
      <c r="AY1403" s="3" t="s">
        <v>14094</v>
      </c>
      <c r="AZ1403" s="3" t="s">
        <v>14095</v>
      </c>
      <c r="BA1403" s="3" t="s">
        <v>14095</v>
      </c>
      <c r="BB1403" s="3" t="s">
        <v>14096</v>
      </c>
      <c r="BC1403" s="3" t="s">
        <v>102</v>
      </c>
      <c r="BD1403" s="3" t="s">
        <v>68</v>
      </c>
      <c r="BE1403" s="3" t="s">
        <v>14097</v>
      </c>
      <c r="BF1403" s="3" t="s">
        <v>14096</v>
      </c>
      <c r="BG1403" s="3" t="s">
        <v>14098</v>
      </c>
    </row>
    <row r="1404" spans="1:59" ht="58" x14ac:dyDescent="0.35">
      <c r="A1404" s="2" t="s">
        <v>89</v>
      </c>
      <c r="B1404" s="2" t="s">
        <v>90</v>
      </c>
      <c r="C1404" s="2" t="s">
        <v>14099</v>
      </c>
      <c r="D1404" s="2" t="s">
        <v>14100</v>
      </c>
      <c r="E1404" s="2" t="s">
        <v>14101</v>
      </c>
      <c r="G1404" s="3" t="s">
        <v>62</v>
      </c>
      <c r="I1404" s="3" t="s">
        <v>62</v>
      </c>
      <c r="J1404" s="3" t="s">
        <v>62</v>
      </c>
      <c r="K1404" s="3" t="s">
        <v>63</v>
      </c>
      <c r="L1404" s="2" t="s">
        <v>14102</v>
      </c>
      <c r="M1404" s="2" t="s">
        <v>14103</v>
      </c>
      <c r="N1404" s="3" t="s">
        <v>684</v>
      </c>
      <c r="P1404" s="3" t="s">
        <v>64</v>
      </c>
      <c r="Q1404" s="2" t="s">
        <v>14104</v>
      </c>
      <c r="R1404" s="3" t="s">
        <v>13065</v>
      </c>
      <c r="S1404" s="4">
        <v>0</v>
      </c>
      <c r="T1404" s="4">
        <v>0</v>
      </c>
      <c r="W1404" s="5" t="s">
        <v>67</v>
      </c>
      <c r="X1404" s="5" t="s">
        <v>67</v>
      </c>
      <c r="Y1404" s="4">
        <v>35</v>
      </c>
      <c r="Z1404" s="4">
        <v>1</v>
      </c>
      <c r="AA1404" s="4">
        <v>35</v>
      </c>
      <c r="AB1404" s="4">
        <v>1</v>
      </c>
      <c r="AC1404" s="4">
        <v>7</v>
      </c>
      <c r="AD1404" s="4">
        <v>15</v>
      </c>
      <c r="AE1404" s="4">
        <v>74</v>
      </c>
      <c r="AF1404" s="4">
        <v>0</v>
      </c>
      <c r="AG1404" s="4">
        <v>4</v>
      </c>
      <c r="AH1404" s="4">
        <v>14</v>
      </c>
      <c r="AI1404" s="4">
        <v>50</v>
      </c>
      <c r="AJ1404" s="4">
        <v>0</v>
      </c>
      <c r="AK1404" s="4">
        <v>16</v>
      </c>
      <c r="AL1404" s="4">
        <v>9</v>
      </c>
      <c r="AM1404" s="4">
        <v>23</v>
      </c>
      <c r="AN1404" s="4">
        <v>0</v>
      </c>
      <c r="AO1404" s="4">
        <v>0</v>
      </c>
      <c r="AP1404" s="4">
        <v>0</v>
      </c>
      <c r="AQ1404" s="4">
        <v>30</v>
      </c>
      <c r="AR1404" s="3" t="s">
        <v>62</v>
      </c>
      <c r="AS1404" s="3" t="s">
        <v>62</v>
      </c>
      <c r="AT1404" s="3" t="s">
        <v>62</v>
      </c>
      <c r="AV1404" s="6" t="str">
        <f>HYPERLINK("http://mcgill.on.worldcat.org/oclc/728580667","Catalog Record")</f>
        <v>Catalog Record</v>
      </c>
      <c r="AW1404" s="6" t="str">
        <f>HYPERLINK("http://www.worldcat.org/oclc/728580667","WorldCat Record")</f>
        <v>WorldCat Record</v>
      </c>
      <c r="AX1404" s="3" t="s">
        <v>14105</v>
      </c>
      <c r="AY1404" s="3" t="s">
        <v>14106</v>
      </c>
      <c r="AZ1404" s="3" t="s">
        <v>14107</v>
      </c>
      <c r="BA1404" s="3" t="s">
        <v>14107</v>
      </c>
      <c r="BB1404" s="3" t="s">
        <v>14108</v>
      </c>
      <c r="BC1404" s="3" t="s">
        <v>102</v>
      </c>
      <c r="BD1404" s="3" t="s">
        <v>68</v>
      </c>
      <c r="BE1404" s="3" t="s">
        <v>14109</v>
      </c>
      <c r="BF1404" s="3" t="s">
        <v>14108</v>
      </c>
      <c r="BG1404" s="3" t="s">
        <v>14110</v>
      </c>
    </row>
    <row r="1405" spans="1:59" ht="58" x14ac:dyDescent="0.35">
      <c r="A1405" s="2" t="s">
        <v>89</v>
      </c>
      <c r="B1405" s="2" t="s">
        <v>90</v>
      </c>
      <c r="C1405" s="2" t="s">
        <v>14111</v>
      </c>
      <c r="D1405" s="2" t="s">
        <v>14112</v>
      </c>
      <c r="E1405" s="2" t="s">
        <v>14113</v>
      </c>
      <c r="G1405" s="3" t="s">
        <v>62</v>
      </c>
      <c r="I1405" s="3" t="s">
        <v>62</v>
      </c>
      <c r="J1405" s="3" t="s">
        <v>62</v>
      </c>
      <c r="K1405" s="3" t="s">
        <v>63</v>
      </c>
      <c r="M1405" s="2" t="s">
        <v>7166</v>
      </c>
      <c r="N1405" s="3" t="s">
        <v>568</v>
      </c>
      <c r="P1405" s="3" t="s">
        <v>64</v>
      </c>
      <c r="Q1405" s="2" t="s">
        <v>14114</v>
      </c>
      <c r="R1405" s="3" t="s">
        <v>13065</v>
      </c>
      <c r="S1405" s="4">
        <v>7</v>
      </c>
      <c r="T1405" s="4">
        <v>7</v>
      </c>
      <c r="U1405" s="5" t="s">
        <v>1593</v>
      </c>
      <c r="V1405" s="5" t="s">
        <v>1593</v>
      </c>
      <c r="W1405" s="5" t="s">
        <v>67</v>
      </c>
      <c r="X1405" s="5" t="s">
        <v>67</v>
      </c>
      <c r="Y1405" s="4">
        <v>146</v>
      </c>
      <c r="Z1405" s="4">
        <v>5</v>
      </c>
      <c r="AA1405" s="4">
        <v>8</v>
      </c>
      <c r="AB1405" s="4">
        <v>1</v>
      </c>
      <c r="AC1405" s="4">
        <v>2</v>
      </c>
      <c r="AD1405" s="4">
        <v>63</v>
      </c>
      <c r="AE1405" s="4">
        <v>67</v>
      </c>
      <c r="AF1405" s="4">
        <v>0</v>
      </c>
      <c r="AG1405" s="4">
        <v>0</v>
      </c>
      <c r="AH1405" s="4">
        <v>59</v>
      </c>
      <c r="AI1405" s="4">
        <v>62</v>
      </c>
      <c r="AJ1405" s="4">
        <v>3</v>
      </c>
      <c r="AK1405" s="4">
        <v>4</v>
      </c>
      <c r="AL1405" s="4">
        <v>39</v>
      </c>
      <c r="AM1405" s="4">
        <v>39</v>
      </c>
      <c r="AN1405" s="4">
        <v>0</v>
      </c>
      <c r="AO1405" s="4">
        <v>0</v>
      </c>
      <c r="AP1405" s="4">
        <v>2</v>
      </c>
      <c r="AQ1405" s="4">
        <v>4</v>
      </c>
      <c r="AR1405" s="3" t="s">
        <v>62</v>
      </c>
      <c r="AS1405" s="3" t="s">
        <v>62</v>
      </c>
      <c r="AT1405" s="3" t="s">
        <v>62</v>
      </c>
      <c r="AV1405" s="6" t="str">
        <f>HYPERLINK("http://mcgill.on.worldcat.org/oclc/44084026","Catalog Record")</f>
        <v>Catalog Record</v>
      </c>
      <c r="AW1405" s="6" t="str">
        <f>HYPERLINK("http://www.worldcat.org/oclc/44084026","WorldCat Record")</f>
        <v>WorldCat Record</v>
      </c>
      <c r="AX1405" s="3" t="s">
        <v>14115</v>
      </c>
      <c r="AY1405" s="3" t="s">
        <v>14116</v>
      </c>
      <c r="AZ1405" s="3" t="s">
        <v>14117</v>
      </c>
      <c r="BA1405" s="3" t="s">
        <v>14117</v>
      </c>
      <c r="BB1405" s="3" t="s">
        <v>14118</v>
      </c>
      <c r="BC1405" s="3" t="s">
        <v>102</v>
      </c>
      <c r="BD1405" s="3" t="s">
        <v>231</v>
      </c>
      <c r="BE1405" s="3" t="s">
        <v>14119</v>
      </c>
      <c r="BF1405" s="3" t="s">
        <v>14118</v>
      </c>
      <c r="BG1405" s="3" t="s">
        <v>14120</v>
      </c>
    </row>
    <row r="1406" spans="1:59" ht="58" x14ac:dyDescent="0.35">
      <c r="A1406" s="2" t="s">
        <v>89</v>
      </c>
      <c r="B1406" s="2" t="s">
        <v>90</v>
      </c>
      <c r="C1406" s="2" t="s">
        <v>14121</v>
      </c>
      <c r="D1406" s="2" t="s">
        <v>14122</v>
      </c>
      <c r="E1406" s="2" t="s">
        <v>14123</v>
      </c>
      <c r="G1406" s="3" t="s">
        <v>62</v>
      </c>
      <c r="I1406" s="3" t="s">
        <v>62</v>
      </c>
      <c r="J1406" s="3" t="s">
        <v>62</v>
      </c>
      <c r="K1406" s="3" t="s">
        <v>63</v>
      </c>
      <c r="M1406" s="2" t="s">
        <v>14124</v>
      </c>
      <c r="N1406" s="3" t="s">
        <v>655</v>
      </c>
      <c r="O1406" s="2" t="s">
        <v>2986</v>
      </c>
      <c r="P1406" s="3" t="s">
        <v>64</v>
      </c>
      <c r="R1406" s="3" t="s">
        <v>13065</v>
      </c>
      <c r="S1406" s="4">
        <v>13</v>
      </c>
      <c r="T1406" s="4">
        <v>13</v>
      </c>
      <c r="U1406" s="5" t="s">
        <v>84</v>
      </c>
      <c r="V1406" s="5" t="s">
        <v>84</v>
      </c>
      <c r="W1406" s="5" t="s">
        <v>67</v>
      </c>
      <c r="X1406" s="5" t="s">
        <v>67</v>
      </c>
      <c r="Y1406" s="4">
        <v>97</v>
      </c>
      <c r="Z1406" s="4">
        <v>6</v>
      </c>
      <c r="AA1406" s="4">
        <v>50</v>
      </c>
      <c r="AB1406" s="4">
        <v>2</v>
      </c>
      <c r="AC1406" s="4">
        <v>16</v>
      </c>
      <c r="AD1406" s="4">
        <v>42</v>
      </c>
      <c r="AE1406" s="4">
        <v>126</v>
      </c>
      <c r="AF1406" s="4">
        <v>1</v>
      </c>
      <c r="AG1406" s="4">
        <v>9</v>
      </c>
      <c r="AH1406" s="4">
        <v>39</v>
      </c>
      <c r="AI1406" s="4">
        <v>94</v>
      </c>
      <c r="AJ1406" s="4">
        <v>4</v>
      </c>
      <c r="AK1406" s="4">
        <v>22</v>
      </c>
      <c r="AL1406" s="4">
        <v>26</v>
      </c>
      <c r="AM1406" s="4">
        <v>53</v>
      </c>
      <c r="AN1406" s="4">
        <v>0</v>
      </c>
      <c r="AO1406" s="4">
        <v>0</v>
      </c>
      <c r="AP1406" s="4">
        <v>5</v>
      </c>
      <c r="AQ1406" s="4">
        <v>39</v>
      </c>
      <c r="AR1406" s="3" t="s">
        <v>62</v>
      </c>
      <c r="AS1406" s="3" t="s">
        <v>62</v>
      </c>
      <c r="AT1406" s="3" t="s">
        <v>62</v>
      </c>
      <c r="AV1406" s="6" t="str">
        <f>HYPERLINK("http://mcgill.on.worldcat.org/oclc/123893494","Catalog Record")</f>
        <v>Catalog Record</v>
      </c>
      <c r="AW1406" s="6" t="str">
        <f>HYPERLINK("http://www.worldcat.org/oclc/123893494","WorldCat Record")</f>
        <v>WorldCat Record</v>
      </c>
      <c r="AX1406" s="3" t="s">
        <v>14125</v>
      </c>
      <c r="AY1406" s="3" t="s">
        <v>14126</v>
      </c>
      <c r="AZ1406" s="3" t="s">
        <v>14127</v>
      </c>
      <c r="BA1406" s="3" t="s">
        <v>14127</v>
      </c>
      <c r="BB1406" s="3" t="s">
        <v>14128</v>
      </c>
      <c r="BC1406" s="3" t="s">
        <v>102</v>
      </c>
      <c r="BD1406" s="3" t="s">
        <v>68</v>
      </c>
      <c r="BE1406" s="3" t="s">
        <v>14129</v>
      </c>
      <c r="BF1406" s="3" t="s">
        <v>14128</v>
      </c>
      <c r="BG1406" s="3" t="s">
        <v>14130</v>
      </c>
    </row>
    <row r="1407" spans="1:59" ht="58" x14ac:dyDescent="0.35">
      <c r="A1407" s="2" t="s">
        <v>89</v>
      </c>
      <c r="B1407" s="2" t="s">
        <v>90</v>
      </c>
      <c r="C1407" s="2" t="s">
        <v>14131</v>
      </c>
      <c r="D1407" s="2" t="s">
        <v>14132</v>
      </c>
      <c r="E1407" s="2" t="s">
        <v>14133</v>
      </c>
      <c r="G1407" s="3" t="s">
        <v>62</v>
      </c>
      <c r="I1407" s="3" t="s">
        <v>62</v>
      </c>
      <c r="J1407" s="3" t="s">
        <v>61</v>
      </c>
      <c r="K1407" s="3" t="s">
        <v>63</v>
      </c>
      <c r="L1407" s="2" t="s">
        <v>14134</v>
      </c>
      <c r="M1407" s="2" t="s">
        <v>14135</v>
      </c>
      <c r="N1407" s="3" t="s">
        <v>2975</v>
      </c>
      <c r="P1407" s="3" t="s">
        <v>64</v>
      </c>
      <c r="R1407" s="3" t="s">
        <v>13065</v>
      </c>
      <c r="S1407" s="4">
        <v>21</v>
      </c>
      <c r="T1407" s="4">
        <v>21</v>
      </c>
      <c r="U1407" s="5" t="s">
        <v>14136</v>
      </c>
      <c r="V1407" s="5" t="s">
        <v>14136</v>
      </c>
      <c r="W1407" s="5" t="s">
        <v>67</v>
      </c>
      <c r="X1407" s="5" t="s">
        <v>67</v>
      </c>
      <c r="Y1407" s="4">
        <v>406</v>
      </c>
      <c r="Z1407" s="4">
        <v>25</v>
      </c>
      <c r="AA1407" s="4">
        <v>89</v>
      </c>
      <c r="AB1407" s="4">
        <v>3</v>
      </c>
      <c r="AC1407" s="4">
        <v>15</v>
      </c>
      <c r="AD1407" s="4">
        <v>85</v>
      </c>
      <c r="AE1407" s="4">
        <v>136</v>
      </c>
      <c r="AF1407" s="4">
        <v>1</v>
      </c>
      <c r="AG1407" s="4">
        <v>8</v>
      </c>
      <c r="AH1407" s="4">
        <v>71</v>
      </c>
      <c r="AI1407" s="4">
        <v>98</v>
      </c>
      <c r="AJ1407" s="4">
        <v>12</v>
      </c>
      <c r="AK1407" s="4">
        <v>24</v>
      </c>
      <c r="AL1407" s="4">
        <v>41</v>
      </c>
      <c r="AM1407" s="4">
        <v>52</v>
      </c>
      <c r="AN1407" s="4">
        <v>0</v>
      </c>
      <c r="AO1407" s="4">
        <v>0</v>
      </c>
      <c r="AP1407" s="4">
        <v>17</v>
      </c>
      <c r="AQ1407" s="4">
        <v>45</v>
      </c>
      <c r="AR1407" s="3" t="s">
        <v>62</v>
      </c>
      <c r="AS1407" s="3" t="s">
        <v>62</v>
      </c>
      <c r="AT1407" s="3" t="s">
        <v>62</v>
      </c>
      <c r="AV1407" s="6" t="str">
        <f>HYPERLINK("http://mcgill.on.worldcat.org/oclc/43661975","Catalog Record")</f>
        <v>Catalog Record</v>
      </c>
      <c r="AW1407" s="6" t="str">
        <f>HYPERLINK("http://www.worldcat.org/oclc/43661975","WorldCat Record")</f>
        <v>WorldCat Record</v>
      </c>
      <c r="AX1407" s="3" t="s">
        <v>14137</v>
      </c>
      <c r="AY1407" s="3" t="s">
        <v>14138</v>
      </c>
      <c r="AZ1407" s="3" t="s">
        <v>14139</v>
      </c>
      <c r="BA1407" s="3" t="s">
        <v>14139</v>
      </c>
      <c r="BB1407" s="3" t="s">
        <v>14140</v>
      </c>
      <c r="BC1407" s="3" t="s">
        <v>102</v>
      </c>
      <c r="BD1407" s="3" t="s">
        <v>68</v>
      </c>
      <c r="BE1407" s="3" t="s">
        <v>14141</v>
      </c>
      <c r="BF1407" s="3" t="s">
        <v>14140</v>
      </c>
      <c r="BG1407" s="3" t="s">
        <v>14142</v>
      </c>
    </row>
    <row r="1408" spans="1:59" ht="58" x14ac:dyDescent="0.35">
      <c r="A1408" s="2" t="s">
        <v>89</v>
      </c>
      <c r="B1408" s="2" t="s">
        <v>90</v>
      </c>
      <c r="C1408" s="2" t="s">
        <v>14143</v>
      </c>
      <c r="D1408" s="2" t="s">
        <v>14144</v>
      </c>
      <c r="E1408" s="2" t="s">
        <v>14145</v>
      </c>
      <c r="G1408" s="3" t="s">
        <v>62</v>
      </c>
      <c r="I1408" s="3" t="s">
        <v>62</v>
      </c>
      <c r="J1408" s="3" t="s">
        <v>62</v>
      </c>
      <c r="K1408" s="3" t="s">
        <v>63</v>
      </c>
      <c r="L1408" s="2" t="s">
        <v>14146</v>
      </c>
      <c r="M1408" s="2" t="s">
        <v>14147</v>
      </c>
      <c r="N1408" s="3" t="s">
        <v>481</v>
      </c>
      <c r="P1408" s="3" t="s">
        <v>64</v>
      </c>
      <c r="Q1408" s="2" t="s">
        <v>14148</v>
      </c>
      <c r="R1408" s="3" t="s">
        <v>13065</v>
      </c>
      <c r="S1408" s="4">
        <v>6</v>
      </c>
      <c r="T1408" s="4">
        <v>6</v>
      </c>
      <c r="U1408" s="5" t="s">
        <v>14149</v>
      </c>
      <c r="V1408" s="5" t="s">
        <v>14149</v>
      </c>
      <c r="W1408" s="5" t="s">
        <v>67</v>
      </c>
      <c r="X1408" s="5" t="s">
        <v>67</v>
      </c>
      <c r="Y1408" s="4">
        <v>184</v>
      </c>
      <c r="Z1408" s="4">
        <v>8</v>
      </c>
      <c r="AA1408" s="4">
        <v>8</v>
      </c>
      <c r="AB1408" s="4">
        <v>1</v>
      </c>
      <c r="AC1408" s="4">
        <v>1</v>
      </c>
      <c r="AD1408" s="4">
        <v>64</v>
      </c>
      <c r="AE1408" s="4">
        <v>64</v>
      </c>
      <c r="AF1408" s="4">
        <v>0</v>
      </c>
      <c r="AG1408" s="4">
        <v>0</v>
      </c>
      <c r="AH1408" s="4">
        <v>61</v>
      </c>
      <c r="AI1408" s="4">
        <v>61</v>
      </c>
      <c r="AJ1408" s="4">
        <v>5</v>
      </c>
      <c r="AK1408" s="4">
        <v>5</v>
      </c>
      <c r="AL1408" s="4">
        <v>40</v>
      </c>
      <c r="AM1408" s="4">
        <v>40</v>
      </c>
      <c r="AN1408" s="4">
        <v>0</v>
      </c>
      <c r="AO1408" s="4">
        <v>0</v>
      </c>
      <c r="AP1408" s="4">
        <v>6</v>
      </c>
      <c r="AQ1408" s="4">
        <v>6</v>
      </c>
      <c r="AR1408" s="3" t="s">
        <v>62</v>
      </c>
      <c r="AS1408" s="3" t="s">
        <v>62</v>
      </c>
      <c r="AT1408" s="3" t="s">
        <v>62</v>
      </c>
      <c r="AV1408" s="6" t="str">
        <f>HYPERLINK("http://mcgill.on.worldcat.org/oclc/37239736","Catalog Record")</f>
        <v>Catalog Record</v>
      </c>
      <c r="AW1408" s="6" t="str">
        <f>HYPERLINK("http://www.worldcat.org/oclc/37239736","WorldCat Record")</f>
        <v>WorldCat Record</v>
      </c>
      <c r="AX1408" s="3" t="s">
        <v>14150</v>
      </c>
      <c r="AY1408" s="3" t="s">
        <v>14151</v>
      </c>
      <c r="AZ1408" s="3" t="s">
        <v>14152</v>
      </c>
      <c r="BA1408" s="3" t="s">
        <v>14152</v>
      </c>
      <c r="BB1408" s="3" t="s">
        <v>14153</v>
      </c>
      <c r="BC1408" s="3" t="s">
        <v>102</v>
      </c>
      <c r="BD1408" s="3" t="s">
        <v>68</v>
      </c>
      <c r="BE1408" s="3" t="s">
        <v>14154</v>
      </c>
      <c r="BF1408" s="3" t="s">
        <v>14153</v>
      </c>
      <c r="BG1408" s="3" t="s">
        <v>14155</v>
      </c>
    </row>
    <row r="1409" spans="1:59" ht="58" x14ac:dyDescent="0.35">
      <c r="A1409" s="2" t="s">
        <v>89</v>
      </c>
      <c r="B1409" s="2" t="s">
        <v>90</v>
      </c>
      <c r="C1409" s="2" t="s">
        <v>14156</v>
      </c>
      <c r="D1409" s="2" t="s">
        <v>14157</v>
      </c>
      <c r="E1409" s="2" t="s">
        <v>14158</v>
      </c>
      <c r="G1409" s="3" t="s">
        <v>62</v>
      </c>
      <c r="I1409" s="3" t="s">
        <v>62</v>
      </c>
      <c r="J1409" s="3" t="s">
        <v>62</v>
      </c>
      <c r="K1409" s="3" t="s">
        <v>63</v>
      </c>
      <c r="L1409" s="2" t="s">
        <v>14159</v>
      </c>
      <c r="M1409" s="2" t="s">
        <v>14160</v>
      </c>
      <c r="N1409" s="3" t="s">
        <v>2985</v>
      </c>
      <c r="P1409" s="3" t="s">
        <v>64</v>
      </c>
      <c r="R1409" s="3" t="s">
        <v>13065</v>
      </c>
      <c r="S1409" s="4">
        <v>17</v>
      </c>
      <c r="T1409" s="4">
        <v>17</v>
      </c>
      <c r="U1409" s="5" t="s">
        <v>13420</v>
      </c>
      <c r="V1409" s="5" t="s">
        <v>13420</v>
      </c>
      <c r="W1409" s="5" t="s">
        <v>67</v>
      </c>
      <c r="X1409" s="5" t="s">
        <v>67</v>
      </c>
      <c r="Y1409" s="4">
        <v>248</v>
      </c>
      <c r="Z1409" s="4">
        <v>17</v>
      </c>
      <c r="AA1409" s="4">
        <v>47</v>
      </c>
      <c r="AB1409" s="4">
        <v>2</v>
      </c>
      <c r="AC1409" s="4">
        <v>8</v>
      </c>
      <c r="AD1409" s="4">
        <v>64</v>
      </c>
      <c r="AE1409" s="4">
        <v>98</v>
      </c>
      <c r="AF1409" s="4">
        <v>1</v>
      </c>
      <c r="AG1409" s="4">
        <v>5</v>
      </c>
      <c r="AH1409" s="4">
        <v>54</v>
      </c>
      <c r="AI1409" s="4">
        <v>75</v>
      </c>
      <c r="AJ1409" s="4">
        <v>11</v>
      </c>
      <c r="AK1409" s="4">
        <v>18</v>
      </c>
      <c r="AL1409" s="4">
        <v>33</v>
      </c>
      <c r="AM1409" s="4">
        <v>42</v>
      </c>
      <c r="AN1409" s="4">
        <v>0</v>
      </c>
      <c r="AO1409" s="4">
        <v>0</v>
      </c>
      <c r="AP1409" s="4">
        <v>14</v>
      </c>
      <c r="AQ1409" s="4">
        <v>28</v>
      </c>
      <c r="AR1409" s="3" t="s">
        <v>62</v>
      </c>
      <c r="AS1409" s="3" t="s">
        <v>62</v>
      </c>
      <c r="AT1409" s="3" t="s">
        <v>62</v>
      </c>
      <c r="AV1409" s="6" t="str">
        <f>HYPERLINK("http://mcgill.on.worldcat.org/oclc/361965956","Catalog Record")</f>
        <v>Catalog Record</v>
      </c>
      <c r="AW1409" s="6" t="str">
        <f>HYPERLINK("http://www.worldcat.org/oclc/361965956","WorldCat Record")</f>
        <v>WorldCat Record</v>
      </c>
      <c r="AX1409" s="3" t="s">
        <v>14161</v>
      </c>
      <c r="AY1409" s="3" t="s">
        <v>14162</v>
      </c>
      <c r="AZ1409" s="3" t="s">
        <v>14163</v>
      </c>
      <c r="BA1409" s="3" t="s">
        <v>14163</v>
      </c>
      <c r="BB1409" s="3" t="s">
        <v>14164</v>
      </c>
      <c r="BC1409" s="3" t="s">
        <v>102</v>
      </c>
      <c r="BD1409" s="3" t="s">
        <v>231</v>
      </c>
      <c r="BE1409" s="3" t="s">
        <v>14165</v>
      </c>
      <c r="BF1409" s="3" t="s">
        <v>14164</v>
      </c>
      <c r="BG1409" s="3" t="s">
        <v>14166</v>
      </c>
    </row>
    <row r="1410" spans="1:59" ht="58" x14ac:dyDescent="0.35">
      <c r="A1410" s="2" t="s">
        <v>89</v>
      </c>
      <c r="B1410" s="2" t="s">
        <v>90</v>
      </c>
      <c r="C1410" s="2" t="s">
        <v>14167</v>
      </c>
      <c r="D1410" s="2" t="s">
        <v>14168</v>
      </c>
      <c r="E1410" s="2" t="s">
        <v>14169</v>
      </c>
      <c r="G1410" s="3" t="s">
        <v>62</v>
      </c>
      <c r="I1410" s="3" t="s">
        <v>62</v>
      </c>
      <c r="J1410" s="3" t="s">
        <v>62</v>
      </c>
      <c r="K1410" s="3" t="s">
        <v>63</v>
      </c>
      <c r="L1410" s="2" t="s">
        <v>14170</v>
      </c>
      <c r="M1410" s="2" t="s">
        <v>14171</v>
      </c>
      <c r="N1410" s="3" t="s">
        <v>1455</v>
      </c>
      <c r="P1410" s="3" t="s">
        <v>64</v>
      </c>
      <c r="Q1410" s="2" t="s">
        <v>14172</v>
      </c>
      <c r="R1410" s="3" t="s">
        <v>13065</v>
      </c>
      <c r="S1410" s="4">
        <v>0</v>
      </c>
      <c r="T1410" s="4">
        <v>0</v>
      </c>
      <c r="W1410" s="5" t="s">
        <v>67</v>
      </c>
      <c r="X1410" s="5" t="s">
        <v>67</v>
      </c>
      <c r="Y1410" s="4">
        <v>49</v>
      </c>
      <c r="Z1410" s="4">
        <v>8</v>
      </c>
      <c r="AA1410" s="4">
        <v>21</v>
      </c>
      <c r="AB1410" s="4">
        <v>1</v>
      </c>
      <c r="AC1410" s="4">
        <v>5</v>
      </c>
      <c r="AD1410" s="4">
        <v>22</v>
      </c>
      <c r="AE1410" s="4">
        <v>45</v>
      </c>
      <c r="AF1410" s="4">
        <v>0</v>
      </c>
      <c r="AG1410" s="4">
        <v>1</v>
      </c>
      <c r="AH1410" s="4">
        <v>20</v>
      </c>
      <c r="AI1410" s="4">
        <v>39</v>
      </c>
      <c r="AJ1410" s="4">
        <v>5</v>
      </c>
      <c r="AK1410" s="4">
        <v>11</v>
      </c>
      <c r="AL1410" s="4">
        <v>14</v>
      </c>
      <c r="AM1410" s="4">
        <v>23</v>
      </c>
      <c r="AN1410" s="4">
        <v>0</v>
      </c>
      <c r="AO1410" s="4">
        <v>0</v>
      </c>
      <c r="AP1410" s="4">
        <v>5</v>
      </c>
      <c r="AQ1410" s="4">
        <v>12</v>
      </c>
      <c r="AR1410" s="3" t="s">
        <v>62</v>
      </c>
      <c r="AS1410" s="3" t="s">
        <v>62</v>
      </c>
      <c r="AT1410" s="3" t="s">
        <v>62</v>
      </c>
      <c r="AV1410" s="6" t="str">
        <f>HYPERLINK("http://mcgill.on.worldcat.org/oclc/793224670","Catalog Record")</f>
        <v>Catalog Record</v>
      </c>
      <c r="AW1410" s="6" t="str">
        <f>HYPERLINK("http://www.worldcat.org/oclc/793224670","WorldCat Record")</f>
        <v>WorldCat Record</v>
      </c>
      <c r="AX1410" s="3" t="s">
        <v>14173</v>
      </c>
      <c r="AY1410" s="3" t="s">
        <v>14174</v>
      </c>
      <c r="AZ1410" s="3" t="s">
        <v>14175</v>
      </c>
      <c r="BA1410" s="3" t="s">
        <v>14175</v>
      </c>
      <c r="BB1410" s="3" t="s">
        <v>14176</v>
      </c>
      <c r="BC1410" s="3" t="s">
        <v>102</v>
      </c>
      <c r="BD1410" s="3" t="s">
        <v>68</v>
      </c>
      <c r="BE1410" s="3" t="s">
        <v>14177</v>
      </c>
      <c r="BF1410" s="3" t="s">
        <v>14176</v>
      </c>
      <c r="BG1410" s="3" t="s">
        <v>14178</v>
      </c>
    </row>
    <row r="1411" spans="1:59" ht="58" x14ac:dyDescent="0.35">
      <c r="A1411" s="2" t="s">
        <v>89</v>
      </c>
      <c r="B1411" s="2" t="s">
        <v>90</v>
      </c>
      <c r="C1411" s="2" t="s">
        <v>14179</v>
      </c>
      <c r="D1411" s="2" t="s">
        <v>14180</v>
      </c>
      <c r="E1411" s="2" t="s">
        <v>14181</v>
      </c>
      <c r="G1411" s="3" t="s">
        <v>62</v>
      </c>
      <c r="I1411" s="3" t="s">
        <v>62</v>
      </c>
      <c r="J1411" s="3" t="s">
        <v>62</v>
      </c>
      <c r="K1411" s="3" t="s">
        <v>63</v>
      </c>
      <c r="M1411" s="2" t="s">
        <v>14182</v>
      </c>
      <c r="N1411" s="3" t="s">
        <v>466</v>
      </c>
      <c r="P1411" s="3" t="s">
        <v>64</v>
      </c>
      <c r="R1411" s="3" t="s">
        <v>13065</v>
      </c>
      <c r="S1411" s="4">
        <v>16</v>
      </c>
      <c r="T1411" s="4">
        <v>16</v>
      </c>
      <c r="U1411" s="5" t="s">
        <v>14183</v>
      </c>
      <c r="V1411" s="5" t="s">
        <v>14183</v>
      </c>
      <c r="W1411" s="5" t="s">
        <v>67</v>
      </c>
      <c r="X1411" s="5" t="s">
        <v>67</v>
      </c>
      <c r="Y1411" s="4">
        <v>209</v>
      </c>
      <c r="Z1411" s="4">
        <v>15</v>
      </c>
      <c r="AA1411" s="4">
        <v>106</v>
      </c>
      <c r="AB1411" s="4">
        <v>2</v>
      </c>
      <c r="AC1411" s="4">
        <v>18</v>
      </c>
      <c r="AD1411" s="4">
        <v>66</v>
      </c>
      <c r="AE1411" s="4">
        <v>129</v>
      </c>
      <c r="AF1411" s="4">
        <v>1</v>
      </c>
      <c r="AG1411" s="4">
        <v>8</v>
      </c>
      <c r="AH1411" s="4">
        <v>57</v>
      </c>
      <c r="AI1411" s="4">
        <v>91</v>
      </c>
      <c r="AJ1411" s="4">
        <v>8</v>
      </c>
      <c r="AK1411" s="4">
        <v>24</v>
      </c>
      <c r="AL1411" s="4">
        <v>39</v>
      </c>
      <c r="AM1411" s="4">
        <v>51</v>
      </c>
      <c r="AN1411" s="4">
        <v>0</v>
      </c>
      <c r="AO1411" s="4">
        <v>0</v>
      </c>
      <c r="AP1411" s="4">
        <v>12</v>
      </c>
      <c r="AQ1411" s="4">
        <v>46</v>
      </c>
      <c r="AR1411" s="3" t="s">
        <v>62</v>
      </c>
      <c r="AS1411" s="3" t="s">
        <v>62</v>
      </c>
      <c r="AT1411" s="3" t="s">
        <v>62</v>
      </c>
      <c r="AV1411" s="6" t="str">
        <f>HYPERLINK("http://mcgill.on.worldcat.org/oclc/23732776","Catalog Record")</f>
        <v>Catalog Record</v>
      </c>
      <c r="AW1411" s="6" t="str">
        <f>HYPERLINK("http://www.worldcat.org/oclc/23732776","WorldCat Record")</f>
        <v>WorldCat Record</v>
      </c>
      <c r="AX1411" s="3" t="s">
        <v>14184</v>
      </c>
      <c r="AY1411" s="3" t="s">
        <v>14185</v>
      </c>
      <c r="AZ1411" s="3" t="s">
        <v>14186</v>
      </c>
      <c r="BA1411" s="3" t="s">
        <v>14186</v>
      </c>
      <c r="BB1411" s="3" t="s">
        <v>14187</v>
      </c>
      <c r="BC1411" s="3" t="s">
        <v>102</v>
      </c>
      <c r="BD1411" s="3" t="s">
        <v>68</v>
      </c>
      <c r="BE1411" s="3" t="s">
        <v>14188</v>
      </c>
      <c r="BF1411" s="3" t="s">
        <v>14187</v>
      </c>
      <c r="BG1411" s="3" t="s">
        <v>14189</v>
      </c>
    </row>
    <row r="1412" spans="1:59" ht="101.5" x14ac:dyDescent="0.35">
      <c r="A1412" s="2" t="s">
        <v>89</v>
      </c>
      <c r="B1412" s="2" t="s">
        <v>12301</v>
      </c>
      <c r="C1412" s="2" t="s">
        <v>14190</v>
      </c>
      <c r="D1412" s="2" t="s">
        <v>14191</v>
      </c>
      <c r="E1412" s="2" t="s">
        <v>14192</v>
      </c>
      <c r="G1412" s="3" t="s">
        <v>62</v>
      </c>
      <c r="I1412" s="3" t="s">
        <v>62</v>
      </c>
      <c r="J1412" s="3" t="s">
        <v>62</v>
      </c>
      <c r="K1412" s="3" t="s">
        <v>63</v>
      </c>
      <c r="L1412" s="2" t="s">
        <v>14193</v>
      </c>
      <c r="M1412" s="2" t="s">
        <v>14194</v>
      </c>
      <c r="N1412" s="3" t="s">
        <v>1722</v>
      </c>
      <c r="P1412" s="3" t="s">
        <v>64</v>
      </c>
      <c r="R1412" s="3" t="s">
        <v>13065</v>
      </c>
      <c r="S1412" s="4">
        <v>21</v>
      </c>
      <c r="T1412" s="4">
        <v>21</v>
      </c>
      <c r="U1412" s="5" t="s">
        <v>1279</v>
      </c>
      <c r="V1412" s="5" t="s">
        <v>1279</v>
      </c>
      <c r="W1412" s="5" t="s">
        <v>67</v>
      </c>
      <c r="X1412" s="5" t="s">
        <v>67</v>
      </c>
      <c r="Y1412" s="4">
        <v>242</v>
      </c>
      <c r="Z1412" s="4">
        <v>15</v>
      </c>
      <c r="AA1412" s="4">
        <v>16</v>
      </c>
      <c r="AB1412" s="4">
        <v>3</v>
      </c>
      <c r="AC1412" s="4">
        <v>4</v>
      </c>
      <c r="AD1412" s="4">
        <v>53</v>
      </c>
      <c r="AE1412" s="4">
        <v>55</v>
      </c>
      <c r="AF1412" s="4">
        <v>1</v>
      </c>
      <c r="AG1412" s="4">
        <v>2</v>
      </c>
      <c r="AH1412" s="4">
        <v>46</v>
      </c>
      <c r="AI1412" s="4">
        <v>47</v>
      </c>
      <c r="AJ1412" s="4">
        <v>10</v>
      </c>
      <c r="AK1412" s="4">
        <v>11</v>
      </c>
      <c r="AL1412" s="4">
        <v>33</v>
      </c>
      <c r="AM1412" s="4">
        <v>33</v>
      </c>
      <c r="AN1412" s="4">
        <v>0</v>
      </c>
      <c r="AO1412" s="4">
        <v>0</v>
      </c>
      <c r="AP1412" s="4">
        <v>11</v>
      </c>
      <c r="AQ1412" s="4">
        <v>12</v>
      </c>
      <c r="AR1412" s="3" t="s">
        <v>62</v>
      </c>
      <c r="AS1412" s="3" t="s">
        <v>62</v>
      </c>
      <c r="AT1412" s="3" t="s">
        <v>62</v>
      </c>
      <c r="AV1412" s="6" t="str">
        <f>HYPERLINK("http://mcgill.on.worldcat.org/oclc/70267221","Catalog Record")</f>
        <v>Catalog Record</v>
      </c>
      <c r="AW1412" s="6" t="str">
        <f>HYPERLINK("http://www.worldcat.org/oclc/70267221","WorldCat Record")</f>
        <v>WorldCat Record</v>
      </c>
      <c r="AX1412" s="3" t="s">
        <v>14195</v>
      </c>
      <c r="AY1412" s="3" t="s">
        <v>14196</v>
      </c>
      <c r="AZ1412" s="3" t="s">
        <v>14197</v>
      </c>
      <c r="BA1412" s="3" t="s">
        <v>14197</v>
      </c>
      <c r="BB1412" s="3" t="s">
        <v>14198</v>
      </c>
      <c r="BC1412" s="3" t="s">
        <v>102</v>
      </c>
      <c r="BD1412" s="3" t="s">
        <v>68</v>
      </c>
      <c r="BE1412" s="3" t="s">
        <v>14199</v>
      </c>
      <c r="BF1412" s="3" t="s">
        <v>14198</v>
      </c>
      <c r="BG1412" s="3" t="s">
        <v>14200</v>
      </c>
    </row>
    <row r="1413" spans="1:59" ht="58" x14ac:dyDescent="0.35">
      <c r="A1413" s="2" t="s">
        <v>89</v>
      </c>
      <c r="B1413" s="2" t="s">
        <v>6791</v>
      </c>
      <c r="C1413" s="2" t="s">
        <v>14201</v>
      </c>
      <c r="D1413" s="2" t="s">
        <v>14202</v>
      </c>
      <c r="E1413" s="2" t="s">
        <v>14203</v>
      </c>
      <c r="G1413" s="3" t="s">
        <v>62</v>
      </c>
      <c r="I1413" s="3" t="s">
        <v>62</v>
      </c>
      <c r="J1413" s="3" t="s">
        <v>62</v>
      </c>
      <c r="K1413" s="3" t="s">
        <v>63</v>
      </c>
      <c r="M1413" s="2" t="s">
        <v>14204</v>
      </c>
      <c r="N1413" s="3" t="s">
        <v>539</v>
      </c>
      <c r="P1413" s="3" t="s">
        <v>64</v>
      </c>
      <c r="Q1413" s="2" t="s">
        <v>14205</v>
      </c>
      <c r="R1413" s="3" t="s">
        <v>13065</v>
      </c>
      <c r="S1413" s="4">
        <v>3</v>
      </c>
      <c r="T1413" s="4">
        <v>3</v>
      </c>
      <c r="U1413" s="5" t="s">
        <v>9187</v>
      </c>
      <c r="V1413" s="5" t="s">
        <v>9187</v>
      </c>
      <c r="W1413" s="5" t="s">
        <v>67</v>
      </c>
      <c r="X1413" s="5" t="s">
        <v>67</v>
      </c>
      <c r="Y1413" s="4">
        <v>694</v>
      </c>
      <c r="Z1413" s="4">
        <v>24</v>
      </c>
      <c r="AA1413" s="4">
        <v>28</v>
      </c>
      <c r="AB1413" s="4">
        <v>1</v>
      </c>
      <c r="AC1413" s="4">
        <v>4</v>
      </c>
      <c r="AD1413" s="4">
        <v>89</v>
      </c>
      <c r="AE1413" s="4">
        <v>94</v>
      </c>
      <c r="AF1413" s="4">
        <v>0</v>
      </c>
      <c r="AG1413" s="4">
        <v>3</v>
      </c>
      <c r="AH1413" s="4">
        <v>78</v>
      </c>
      <c r="AI1413" s="4">
        <v>80</v>
      </c>
      <c r="AJ1413" s="4">
        <v>11</v>
      </c>
      <c r="AK1413" s="4">
        <v>13</v>
      </c>
      <c r="AL1413" s="4">
        <v>40</v>
      </c>
      <c r="AM1413" s="4">
        <v>40</v>
      </c>
      <c r="AN1413" s="4">
        <v>0</v>
      </c>
      <c r="AO1413" s="4">
        <v>0</v>
      </c>
      <c r="AP1413" s="4">
        <v>17</v>
      </c>
      <c r="AQ1413" s="4">
        <v>21</v>
      </c>
      <c r="AR1413" s="3" t="s">
        <v>62</v>
      </c>
      <c r="AS1413" s="3" t="s">
        <v>62</v>
      </c>
      <c r="AT1413" s="3" t="s">
        <v>61</v>
      </c>
      <c r="AU1413" s="6" t="str">
        <f>HYPERLINK("http://catalog.hathitrust.org/Record/003344903","HathiTrust Record")</f>
        <v>HathiTrust Record</v>
      </c>
      <c r="AV1413" s="6" t="str">
        <f>HYPERLINK("http://mcgill.on.worldcat.org/oclc/38496507","Catalog Record")</f>
        <v>Catalog Record</v>
      </c>
      <c r="AW1413" s="6" t="str">
        <f>HYPERLINK("http://www.worldcat.org/oclc/38496507","WorldCat Record")</f>
        <v>WorldCat Record</v>
      </c>
      <c r="AX1413" s="3" t="s">
        <v>14206</v>
      </c>
      <c r="AY1413" s="3" t="s">
        <v>14207</v>
      </c>
      <c r="AZ1413" s="3" t="s">
        <v>14208</v>
      </c>
      <c r="BA1413" s="3" t="s">
        <v>14208</v>
      </c>
      <c r="BB1413" s="3" t="s">
        <v>14209</v>
      </c>
      <c r="BC1413" s="3" t="s">
        <v>102</v>
      </c>
      <c r="BD1413" s="3" t="s">
        <v>68</v>
      </c>
      <c r="BE1413" s="3" t="s">
        <v>14210</v>
      </c>
      <c r="BF1413" s="3" t="s">
        <v>14209</v>
      </c>
      <c r="BG1413" s="3" t="s">
        <v>14211</v>
      </c>
    </row>
    <row r="1414" spans="1:59" ht="58" x14ac:dyDescent="0.35">
      <c r="A1414" s="2" t="s">
        <v>89</v>
      </c>
      <c r="B1414" s="2" t="s">
        <v>90</v>
      </c>
      <c r="C1414" s="2" t="s">
        <v>14212</v>
      </c>
      <c r="D1414" s="2" t="s">
        <v>14213</v>
      </c>
      <c r="E1414" s="2" t="s">
        <v>14214</v>
      </c>
      <c r="G1414" s="3" t="s">
        <v>62</v>
      </c>
      <c r="I1414" s="3" t="s">
        <v>61</v>
      </c>
      <c r="J1414" s="3" t="s">
        <v>61</v>
      </c>
      <c r="K1414" s="3" t="s">
        <v>63</v>
      </c>
      <c r="L1414" s="2" t="s">
        <v>14215</v>
      </c>
      <c r="M1414" s="2" t="s">
        <v>2374</v>
      </c>
      <c r="N1414" s="3" t="s">
        <v>285</v>
      </c>
      <c r="O1414" s="2" t="s">
        <v>8350</v>
      </c>
      <c r="P1414" s="3" t="s">
        <v>64</v>
      </c>
      <c r="Q1414" s="2" t="s">
        <v>14216</v>
      </c>
      <c r="R1414" s="3" t="s">
        <v>13065</v>
      </c>
      <c r="S1414" s="4">
        <v>36</v>
      </c>
      <c r="T1414" s="4">
        <v>79</v>
      </c>
      <c r="U1414" s="5" t="s">
        <v>14217</v>
      </c>
      <c r="V1414" s="5" t="s">
        <v>14217</v>
      </c>
      <c r="W1414" s="5" t="s">
        <v>67</v>
      </c>
      <c r="X1414" s="5" t="s">
        <v>67</v>
      </c>
      <c r="Y1414" s="4">
        <v>357</v>
      </c>
      <c r="Z1414" s="4">
        <v>21</v>
      </c>
      <c r="AA1414" s="4">
        <v>123</v>
      </c>
      <c r="AB1414" s="4">
        <v>1</v>
      </c>
      <c r="AC1414" s="4">
        <v>18</v>
      </c>
      <c r="AD1414" s="4">
        <v>95</v>
      </c>
      <c r="AE1414" s="4">
        <v>164</v>
      </c>
      <c r="AF1414" s="4">
        <v>0</v>
      </c>
      <c r="AG1414" s="4">
        <v>8</v>
      </c>
      <c r="AH1414" s="4">
        <v>85</v>
      </c>
      <c r="AI1414" s="4">
        <v>116</v>
      </c>
      <c r="AJ1414" s="4">
        <v>12</v>
      </c>
      <c r="AK1414" s="4">
        <v>28</v>
      </c>
      <c r="AL1414" s="4">
        <v>47</v>
      </c>
      <c r="AM1414" s="4">
        <v>62</v>
      </c>
      <c r="AN1414" s="4">
        <v>0</v>
      </c>
      <c r="AO1414" s="4">
        <v>0</v>
      </c>
      <c r="AP1414" s="4">
        <v>16</v>
      </c>
      <c r="AQ1414" s="4">
        <v>55</v>
      </c>
      <c r="AR1414" s="3" t="s">
        <v>62</v>
      </c>
      <c r="AS1414" s="3" t="s">
        <v>62</v>
      </c>
      <c r="AT1414" s="3" t="s">
        <v>62</v>
      </c>
      <c r="AV1414" s="6" t="str">
        <f>HYPERLINK("http://mcgill.on.worldcat.org/oclc/6487830","Catalog Record")</f>
        <v>Catalog Record</v>
      </c>
      <c r="AW1414" s="6" t="str">
        <f>HYPERLINK("http://www.worldcat.org/oclc/6487830","WorldCat Record")</f>
        <v>WorldCat Record</v>
      </c>
      <c r="AX1414" s="3" t="s">
        <v>14218</v>
      </c>
      <c r="AY1414" s="3" t="s">
        <v>14219</v>
      </c>
      <c r="AZ1414" s="3" t="s">
        <v>14220</v>
      </c>
      <c r="BA1414" s="3" t="s">
        <v>14220</v>
      </c>
      <c r="BB1414" s="3" t="s">
        <v>14221</v>
      </c>
      <c r="BC1414" s="3" t="s">
        <v>102</v>
      </c>
      <c r="BD1414" s="3" t="s">
        <v>68</v>
      </c>
      <c r="BE1414" s="3" t="s">
        <v>14222</v>
      </c>
      <c r="BF1414" s="3" t="s">
        <v>14221</v>
      </c>
      <c r="BG1414" s="3" t="s">
        <v>14223</v>
      </c>
    </row>
    <row r="1415" spans="1:59" ht="58" x14ac:dyDescent="0.35">
      <c r="A1415" s="2" t="s">
        <v>89</v>
      </c>
      <c r="B1415" s="2" t="s">
        <v>90</v>
      </c>
      <c r="C1415" s="2" t="s">
        <v>14224</v>
      </c>
      <c r="D1415" s="2" t="s">
        <v>14225</v>
      </c>
      <c r="E1415" s="2" t="s">
        <v>14226</v>
      </c>
      <c r="G1415" s="3" t="s">
        <v>62</v>
      </c>
      <c r="I1415" s="3" t="s">
        <v>62</v>
      </c>
      <c r="J1415" s="3" t="s">
        <v>62</v>
      </c>
      <c r="K1415" s="3" t="s">
        <v>63</v>
      </c>
      <c r="L1415" s="2" t="s">
        <v>14227</v>
      </c>
      <c r="M1415" s="2" t="s">
        <v>14228</v>
      </c>
      <c r="N1415" s="3" t="s">
        <v>509</v>
      </c>
      <c r="P1415" s="3" t="s">
        <v>64</v>
      </c>
      <c r="Q1415" s="2" t="s">
        <v>14229</v>
      </c>
      <c r="R1415" s="3" t="s">
        <v>13065</v>
      </c>
      <c r="S1415" s="4">
        <v>10</v>
      </c>
      <c r="T1415" s="4">
        <v>10</v>
      </c>
      <c r="U1415" s="5" t="s">
        <v>8165</v>
      </c>
      <c r="V1415" s="5" t="s">
        <v>8165</v>
      </c>
      <c r="W1415" s="5" t="s">
        <v>67</v>
      </c>
      <c r="X1415" s="5" t="s">
        <v>67</v>
      </c>
      <c r="Y1415" s="4">
        <v>369</v>
      </c>
      <c r="Z1415" s="4">
        <v>13</v>
      </c>
      <c r="AA1415" s="4">
        <v>14</v>
      </c>
      <c r="AB1415" s="4">
        <v>2</v>
      </c>
      <c r="AC1415" s="4">
        <v>3</v>
      </c>
      <c r="AD1415" s="4">
        <v>90</v>
      </c>
      <c r="AE1415" s="4">
        <v>91</v>
      </c>
      <c r="AF1415" s="4">
        <v>1</v>
      </c>
      <c r="AG1415" s="4">
        <v>2</v>
      </c>
      <c r="AH1415" s="4">
        <v>86</v>
      </c>
      <c r="AI1415" s="4">
        <v>86</v>
      </c>
      <c r="AJ1415" s="4">
        <v>10</v>
      </c>
      <c r="AK1415" s="4">
        <v>11</v>
      </c>
      <c r="AL1415" s="4">
        <v>49</v>
      </c>
      <c r="AM1415" s="4">
        <v>49</v>
      </c>
      <c r="AN1415" s="4">
        <v>0</v>
      </c>
      <c r="AO1415" s="4">
        <v>0</v>
      </c>
      <c r="AP1415" s="4">
        <v>11</v>
      </c>
      <c r="AQ1415" s="4">
        <v>11</v>
      </c>
      <c r="AR1415" s="3" t="s">
        <v>62</v>
      </c>
      <c r="AS1415" s="3" t="s">
        <v>62</v>
      </c>
      <c r="AT1415" s="3" t="s">
        <v>62</v>
      </c>
      <c r="AV1415" s="6" t="str">
        <f>HYPERLINK("http://mcgill.on.worldcat.org/oclc/30666843","Catalog Record")</f>
        <v>Catalog Record</v>
      </c>
      <c r="AW1415" s="6" t="str">
        <f>HYPERLINK("http://www.worldcat.org/oclc/30666843","WorldCat Record")</f>
        <v>WorldCat Record</v>
      </c>
      <c r="AX1415" s="3" t="s">
        <v>14230</v>
      </c>
      <c r="AY1415" s="3" t="s">
        <v>14231</v>
      </c>
      <c r="AZ1415" s="3" t="s">
        <v>14232</v>
      </c>
      <c r="BA1415" s="3" t="s">
        <v>14232</v>
      </c>
      <c r="BB1415" s="3" t="s">
        <v>14233</v>
      </c>
      <c r="BC1415" s="3" t="s">
        <v>102</v>
      </c>
      <c r="BD1415" s="3" t="s">
        <v>231</v>
      </c>
      <c r="BE1415" s="3" t="s">
        <v>14234</v>
      </c>
      <c r="BF1415" s="3" t="s">
        <v>14233</v>
      </c>
      <c r="BG1415" s="3" t="s">
        <v>14235</v>
      </c>
    </row>
    <row r="1416" spans="1:59" ht="72.5" x14ac:dyDescent="0.35">
      <c r="A1416" s="2" t="s">
        <v>89</v>
      </c>
      <c r="B1416" s="2" t="s">
        <v>90</v>
      </c>
      <c r="C1416" s="2" t="s">
        <v>14236</v>
      </c>
      <c r="D1416" s="2" t="s">
        <v>14237</v>
      </c>
      <c r="E1416" s="2" t="s">
        <v>14238</v>
      </c>
      <c r="G1416" s="3" t="s">
        <v>62</v>
      </c>
      <c r="I1416" s="3" t="s">
        <v>61</v>
      </c>
      <c r="J1416" s="3" t="s">
        <v>62</v>
      </c>
      <c r="K1416" s="3" t="s">
        <v>63</v>
      </c>
      <c r="L1416" s="2" t="s">
        <v>13335</v>
      </c>
      <c r="M1416" s="2" t="s">
        <v>14239</v>
      </c>
      <c r="N1416" s="3" t="s">
        <v>655</v>
      </c>
      <c r="O1416" s="2" t="s">
        <v>14240</v>
      </c>
      <c r="P1416" s="3" t="s">
        <v>85</v>
      </c>
      <c r="Q1416" s="2" t="s">
        <v>14241</v>
      </c>
      <c r="R1416" s="3" t="s">
        <v>13065</v>
      </c>
      <c r="S1416" s="4">
        <v>4</v>
      </c>
      <c r="T1416" s="4">
        <v>5</v>
      </c>
      <c r="U1416" s="5" t="s">
        <v>13203</v>
      </c>
      <c r="V1416" s="5" t="s">
        <v>13203</v>
      </c>
      <c r="W1416" s="5" t="s">
        <v>67</v>
      </c>
      <c r="X1416" s="5" t="s">
        <v>67</v>
      </c>
      <c r="Y1416" s="4">
        <v>35</v>
      </c>
      <c r="Z1416" s="4">
        <v>3</v>
      </c>
      <c r="AA1416" s="4">
        <v>9</v>
      </c>
      <c r="AB1416" s="4">
        <v>2</v>
      </c>
      <c r="AC1416" s="4">
        <v>5</v>
      </c>
      <c r="AD1416" s="4">
        <v>14</v>
      </c>
      <c r="AE1416" s="4">
        <v>20</v>
      </c>
      <c r="AF1416" s="4">
        <v>0</v>
      </c>
      <c r="AG1416" s="4">
        <v>3</v>
      </c>
      <c r="AH1416" s="4">
        <v>12</v>
      </c>
      <c r="AI1416" s="4">
        <v>15</v>
      </c>
      <c r="AJ1416" s="4">
        <v>1</v>
      </c>
      <c r="AK1416" s="4">
        <v>6</v>
      </c>
      <c r="AL1416" s="4">
        <v>10</v>
      </c>
      <c r="AM1416" s="4">
        <v>12</v>
      </c>
      <c r="AN1416" s="4">
        <v>0</v>
      </c>
      <c r="AO1416" s="4">
        <v>0</v>
      </c>
      <c r="AP1416" s="4">
        <v>1</v>
      </c>
      <c r="AQ1416" s="4">
        <v>5</v>
      </c>
      <c r="AR1416" s="3" t="s">
        <v>62</v>
      </c>
      <c r="AS1416" s="3" t="s">
        <v>62</v>
      </c>
      <c r="AT1416" s="3" t="s">
        <v>62</v>
      </c>
      <c r="AV1416" s="6" t="str">
        <f>HYPERLINK("http://mcgill.on.worldcat.org/oclc/173842684","Catalog Record")</f>
        <v>Catalog Record</v>
      </c>
      <c r="AW1416" s="6" t="str">
        <f>HYPERLINK("http://www.worldcat.org/oclc/173842684","WorldCat Record")</f>
        <v>WorldCat Record</v>
      </c>
      <c r="AX1416" s="3" t="s">
        <v>14242</v>
      </c>
      <c r="AY1416" s="3" t="s">
        <v>14243</v>
      </c>
      <c r="AZ1416" s="3" t="s">
        <v>14244</v>
      </c>
      <c r="BA1416" s="3" t="s">
        <v>14244</v>
      </c>
      <c r="BB1416" s="3" t="s">
        <v>14245</v>
      </c>
      <c r="BC1416" s="3" t="s">
        <v>102</v>
      </c>
      <c r="BD1416" s="3" t="s">
        <v>68</v>
      </c>
      <c r="BE1416" s="3" t="s">
        <v>14246</v>
      </c>
      <c r="BF1416" s="3" t="s">
        <v>14245</v>
      </c>
      <c r="BG1416" s="3" t="s">
        <v>14247</v>
      </c>
    </row>
    <row r="1417" spans="1:59" ht="72.5" x14ac:dyDescent="0.35">
      <c r="A1417" s="2" t="s">
        <v>89</v>
      </c>
      <c r="B1417" s="2" t="s">
        <v>90</v>
      </c>
      <c r="C1417" s="2" t="s">
        <v>14236</v>
      </c>
      <c r="D1417" s="2" t="s">
        <v>14237</v>
      </c>
      <c r="E1417" s="2" t="s">
        <v>14238</v>
      </c>
      <c r="G1417" s="3" t="s">
        <v>62</v>
      </c>
      <c r="I1417" s="3" t="s">
        <v>61</v>
      </c>
      <c r="J1417" s="3" t="s">
        <v>62</v>
      </c>
      <c r="K1417" s="3" t="s">
        <v>63</v>
      </c>
      <c r="L1417" s="2" t="s">
        <v>13335</v>
      </c>
      <c r="M1417" s="2" t="s">
        <v>14239</v>
      </c>
      <c r="N1417" s="3" t="s">
        <v>655</v>
      </c>
      <c r="O1417" s="2" t="s">
        <v>14240</v>
      </c>
      <c r="P1417" s="3" t="s">
        <v>85</v>
      </c>
      <c r="Q1417" s="2" t="s">
        <v>14241</v>
      </c>
      <c r="R1417" s="3" t="s">
        <v>13065</v>
      </c>
      <c r="S1417" s="4">
        <v>1</v>
      </c>
      <c r="T1417" s="4">
        <v>5</v>
      </c>
      <c r="U1417" s="5" t="s">
        <v>14248</v>
      </c>
      <c r="V1417" s="5" t="s">
        <v>13203</v>
      </c>
      <c r="W1417" s="5" t="s">
        <v>67</v>
      </c>
      <c r="X1417" s="5" t="s">
        <v>67</v>
      </c>
      <c r="Y1417" s="4">
        <v>35</v>
      </c>
      <c r="Z1417" s="4">
        <v>3</v>
      </c>
      <c r="AA1417" s="4">
        <v>9</v>
      </c>
      <c r="AB1417" s="4">
        <v>2</v>
      </c>
      <c r="AC1417" s="4">
        <v>5</v>
      </c>
      <c r="AD1417" s="4">
        <v>14</v>
      </c>
      <c r="AE1417" s="4">
        <v>20</v>
      </c>
      <c r="AF1417" s="4">
        <v>0</v>
      </c>
      <c r="AG1417" s="4">
        <v>3</v>
      </c>
      <c r="AH1417" s="4">
        <v>12</v>
      </c>
      <c r="AI1417" s="4">
        <v>15</v>
      </c>
      <c r="AJ1417" s="4">
        <v>1</v>
      </c>
      <c r="AK1417" s="4">
        <v>6</v>
      </c>
      <c r="AL1417" s="4">
        <v>10</v>
      </c>
      <c r="AM1417" s="4">
        <v>12</v>
      </c>
      <c r="AN1417" s="4">
        <v>0</v>
      </c>
      <c r="AO1417" s="4">
        <v>0</v>
      </c>
      <c r="AP1417" s="4">
        <v>1</v>
      </c>
      <c r="AQ1417" s="4">
        <v>5</v>
      </c>
      <c r="AR1417" s="3" t="s">
        <v>62</v>
      </c>
      <c r="AS1417" s="3" t="s">
        <v>62</v>
      </c>
      <c r="AT1417" s="3" t="s">
        <v>62</v>
      </c>
      <c r="AV1417" s="6" t="str">
        <f>HYPERLINK("http://mcgill.on.worldcat.org/oclc/173842684","Catalog Record")</f>
        <v>Catalog Record</v>
      </c>
      <c r="AW1417" s="6" t="str">
        <f>HYPERLINK("http://www.worldcat.org/oclc/173842684","WorldCat Record")</f>
        <v>WorldCat Record</v>
      </c>
      <c r="AX1417" s="3" t="s">
        <v>14242</v>
      </c>
      <c r="AY1417" s="3" t="s">
        <v>14243</v>
      </c>
      <c r="AZ1417" s="3" t="s">
        <v>14244</v>
      </c>
      <c r="BA1417" s="3" t="s">
        <v>14244</v>
      </c>
      <c r="BB1417" s="3" t="s">
        <v>14249</v>
      </c>
      <c r="BC1417" s="3" t="s">
        <v>102</v>
      </c>
      <c r="BD1417" s="3" t="s">
        <v>68</v>
      </c>
      <c r="BE1417" s="3" t="s">
        <v>14246</v>
      </c>
      <c r="BF1417" s="3" t="s">
        <v>14249</v>
      </c>
      <c r="BG1417" s="3" t="s">
        <v>14250</v>
      </c>
    </row>
    <row r="1418" spans="1:59" ht="58" x14ac:dyDescent="0.35">
      <c r="A1418" s="2" t="s">
        <v>89</v>
      </c>
      <c r="B1418" s="2" t="s">
        <v>90</v>
      </c>
      <c r="C1418" s="2" t="s">
        <v>14251</v>
      </c>
      <c r="D1418" s="2" t="s">
        <v>14252</v>
      </c>
      <c r="E1418" s="2" t="s">
        <v>14253</v>
      </c>
      <c r="G1418" s="3" t="s">
        <v>62</v>
      </c>
      <c r="I1418" s="3" t="s">
        <v>62</v>
      </c>
      <c r="J1418" s="3" t="s">
        <v>62</v>
      </c>
      <c r="K1418" s="3" t="s">
        <v>63</v>
      </c>
      <c r="L1418" s="2" t="s">
        <v>13335</v>
      </c>
      <c r="M1418" s="2" t="s">
        <v>14254</v>
      </c>
      <c r="N1418" s="3" t="s">
        <v>655</v>
      </c>
      <c r="P1418" s="3" t="s">
        <v>64</v>
      </c>
      <c r="Q1418" s="2" t="s">
        <v>14255</v>
      </c>
      <c r="R1418" s="3" t="s">
        <v>13065</v>
      </c>
      <c r="S1418" s="4">
        <v>4</v>
      </c>
      <c r="T1418" s="4">
        <v>4</v>
      </c>
      <c r="U1418" s="5" t="s">
        <v>7930</v>
      </c>
      <c r="V1418" s="5" t="s">
        <v>7930</v>
      </c>
      <c r="W1418" s="5" t="s">
        <v>67</v>
      </c>
      <c r="X1418" s="5" t="s">
        <v>67</v>
      </c>
      <c r="Y1418" s="4">
        <v>62</v>
      </c>
      <c r="Z1418" s="4">
        <v>8</v>
      </c>
      <c r="AA1418" s="4">
        <v>20</v>
      </c>
      <c r="AB1418" s="4">
        <v>2</v>
      </c>
      <c r="AC1418" s="4">
        <v>6</v>
      </c>
      <c r="AD1418" s="4">
        <v>15</v>
      </c>
      <c r="AE1418" s="4">
        <v>30</v>
      </c>
      <c r="AF1418" s="4">
        <v>0</v>
      </c>
      <c r="AG1418" s="4">
        <v>2</v>
      </c>
      <c r="AH1418" s="4">
        <v>12</v>
      </c>
      <c r="AI1418" s="4">
        <v>22</v>
      </c>
      <c r="AJ1418" s="4">
        <v>2</v>
      </c>
      <c r="AK1418" s="4">
        <v>5</v>
      </c>
      <c r="AL1418" s="4">
        <v>5</v>
      </c>
      <c r="AM1418" s="4">
        <v>12</v>
      </c>
      <c r="AN1418" s="4">
        <v>0</v>
      </c>
      <c r="AO1418" s="4">
        <v>0</v>
      </c>
      <c r="AP1418" s="4">
        <v>5</v>
      </c>
      <c r="AQ1418" s="4">
        <v>10</v>
      </c>
      <c r="AR1418" s="3" t="s">
        <v>62</v>
      </c>
      <c r="AS1418" s="3" t="s">
        <v>62</v>
      </c>
      <c r="AT1418" s="3" t="s">
        <v>62</v>
      </c>
      <c r="AV1418" s="6" t="str">
        <f>HYPERLINK("http://mcgill.on.worldcat.org/oclc/213495757","Catalog Record")</f>
        <v>Catalog Record</v>
      </c>
      <c r="AW1418" s="6" t="str">
        <f>HYPERLINK("http://www.worldcat.org/oclc/213495757","WorldCat Record")</f>
        <v>WorldCat Record</v>
      </c>
      <c r="AX1418" s="3" t="s">
        <v>14256</v>
      </c>
      <c r="AY1418" s="3" t="s">
        <v>14257</v>
      </c>
      <c r="AZ1418" s="3" t="s">
        <v>14258</v>
      </c>
      <c r="BA1418" s="3" t="s">
        <v>14258</v>
      </c>
      <c r="BB1418" s="3" t="s">
        <v>14259</v>
      </c>
      <c r="BC1418" s="3" t="s">
        <v>102</v>
      </c>
      <c r="BD1418" s="3" t="s">
        <v>68</v>
      </c>
      <c r="BE1418" s="3" t="s">
        <v>14260</v>
      </c>
      <c r="BF1418" s="3" t="s">
        <v>14259</v>
      </c>
      <c r="BG1418" s="3" t="s">
        <v>14261</v>
      </c>
    </row>
    <row r="1419" spans="1:59" ht="58" x14ac:dyDescent="0.35">
      <c r="A1419" s="2" t="s">
        <v>89</v>
      </c>
      <c r="B1419" s="2" t="s">
        <v>90</v>
      </c>
      <c r="C1419" s="2" t="s">
        <v>14262</v>
      </c>
      <c r="D1419" s="2" t="s">
        <v>14263</v>
      </c>
      <c r="E1419" s="2" t="s">
        <v>14264</v>
      </c>
      <c r="G1419" s="3" t="s">
        <v>62</v>
      </c>
      <c r="I1419" s="3" t="s">
        <v>62</v>
      </c>
      <c r="J1419" s="3" t="s">
        <v>62</v>
      </c>
      <c r="K1419" s="3" t="s">
        <v>63</v>
      </c>
      <c r="L1419" s="2" t="s">
        <v>14265</v>
      </c>
      <c r="M1419" s="2" t="s">
        <v>14266</v>
      </c>
      <c r="N1419" s="3" t="s">
        <v>481</v>
      </c>
      <c r="P1419" s="3" t="s">
        <v>64</v>
      </c>
      <c r="R1419" s="3" t="s">
        <v>13065</v>
      </c>
      <c r="S1419" s="4">
        <v>20</v>
      </c>
      <c r="T1419" s="4">
        <v>20</v>
      </c>
      <c r="U1419" s="5" t="s">
        <v>14267</v>
      </c>
      <c r="V1419" s="5" t="s">
        <v>14267</v>
      </c>
      <c r="W1419" s="5" t="s">
        <v>67</v>
      </c>
      <c r="X1419" s="5" t="s">
        <v>67</v>
      </c>
      <c r="Y1419" s="4">
        <v>240</v>
      </c>
      <c r="Z1419" s="4">
        <v>13</v>
      </c>
      <c r="AA1419" s="4">
        <v>13</v>
      </c>
      <c r="AB1419" s="4">
        <v>1</v>
      </c>
      <c r="AC1419" s="4">
        <v>1</v>
      </c>
      <c r="AD1419" s="4">
        <v>77</v>
      </c>
      <c r="AE1419" s="4">
        <v>78</v>
      </c>
      <c r="AF1419" s="4">
        <v>0</v>
      </c>
      <c r="AG1419" s="4">
        <v>0</v>
      </c>
      <c r="AH1419" s="4">
        <v>68</v>
      </c>
      <c r="AI1419" s="4">
        <v>69</v>
      </c>
      <c r="AJ1419" s="4">
        <v>10</v>
      </c>
      <c r="AK1419" s="4">
        <v>10</v>
      </c>
      <c r="AL1419" s="4">
        <v>44</v>
      </c>
      <c r="AM1419" s="4">
        <v>45</v>
      </c>
      <c r="AN1419" s="4">
        <v>0</v>
      </c>
      <c r="AO1419" s="4">
        <v>0</v>
      </c>
      <c r="AP1419" s="4">
        <v>11</v>
      </c>
      <c r="AQ1419" s="4">
        <v>11</v>
      </c>
      <c r="AR1419" s="3" t="s">
        <v>62</v>
      </c>
      <c r="AS1419" s="3" t="s">
        <v>62</v>
      </c>
      <c r="AT1419" s="3" t="s">
        <v>62</v>
      </c>
      <c r="AV1419" s="6" t="str">
        <f>HYPERLINK("http://mcgill.on.worldcat.org/oclc/35627518","Catalog Record")</f>
        <v>Catalog Record</v>
      </c>
      <c r="AW1419" s="6" t="str">
        <f>HYPERLINK("http://www.worldcat.org/oclc/35627518","WorldCat Record")</f>
        <v>WorldCat Record</v>
      </c>
      <c r="AX1419" s="3" t="s">
        <v>14268</v>
      </c>
      <c r="AY1419" s="3" t="s">
        <v>14269</v>
      </c>
      <c r="AZ1419" s="3" t="s">
        <v>14270</v>
      </c>
      <c r="BA1419" s="3" t="s">
        <v>14270</v>
      </c>
      <c r="BB1419" s="3" t="s">
        <v>14271</v>
      </c>
      <c r="BC1419" s="3" t="s">
        <v>102</v>
      </c>
      <c r="BD1419" s="3" t="s">
        <v>68</v>
      </c>
      <c r="BE1419" s="3" t="s">
        <v>14272</v>
      </c>
      <c r="BF1419" s="3" t="s">
        <v>14271</v>
      </c>
      <c r="BG1419" s="3" t="s">
        <v>14273</v>
      </c>
    </row>
    <row r="1420" spans="1:59" ht="72.5" x14ac:dyDescent="0.35">
      <c r="A1420" s="2" t="s">
        <v>89</v>
      </c>
      <c r="B1420" s="2" t="s">
        <v>90</v>
      </c>
      <c r="C1420" s="2" t="s">
        <v>14274</v>
      </c>
      <c r="D1420" s="2" t="s">
        <v>14275</v>
      </c>
      <c r="E1420" s="2" t="s">
        <v>14276</v>
      </c>
      <c r="G1420" s="3" t="s">
        <v>62</v>
      </c>
      <c r="I1420" s="3" t="s">
        <v>62</v>
      </c>
      <c r="J1420" s="3" t="s">
        <v>62</v>
      </c>
      <c r="K1420" s="3" t="s">
        <v>63</v>
      </c>
      <c r="M1420" s="2" t="s">
        <v>14277</v>
      </c>
      <c r="N1420" s="3" t="s">
        <v>1455</v>
      </c>
      <c r="P1420" s="3" t="s">
        <v>64</v>
      </c>
      <c r="Q1420" s="2" t="s">
        <v>14278</v>
      </c>
      <c r="R1420" s="3" t="s">
        <v>13065</v>
      </c>
      <c r="S1420" s="4">
        <v>0</v>
      </c>
      <c r="T1420" s="4">
        <v>0</v>
      </c>
      <c r="W1420" s="5" t="s">
        <v>67</v>
      </c>
      <c r="X1420" s="5" t="s">
        <v>67</v>
      </c>
      <c r="Y1420" s="4">
        <v>37</v>
      </c>
      <c r="Z1420" s="4">
        <v>2</v>
      </c>
      <c r="AA1420" s="4">
        <v>16</v>
      </c>
      <c r="AB1420" s="4">
        <v>1</v>
      </c>
      <c r="AC1420" s="4">
        <v>3</v>
      </c>
      <c r="AD1420" s="4">
        <v>19</v>
      </c>
      <c r="AE1420" s="4">
        <v>54</v>
      </c>
      <c r="AF1420" s="4">
        <v>0</v>
      </c>
      <c r="AG1420" s="4">
        <v>1</v>
      </c>
      <c r="AH1420" s="4">
        <v>18</v>
      </c>
      <c r="AI1420" s="4">
        <v>46</v>
      </c>
      <c r="AJ1420" s="4">
        <v>1</v>
      </c>
      <c r="AK1420" s="4">
        <v>5</v>
      </c>
      <c r="AL1420" s="4">
        <v>13</v>
      </c>
      <c r="AM1420" s="4">
        <v>28</v>
      </c>
      <c r="AN1420" s="4">
        <v>0</v>
      </c>
      <c r="AO1420" s="4">
        <v>0</v>
      </c>
      <c r="AP1420" s="4">
        <v>1</v>
      </c>
      <c r="AQ1420" s="4">
        <v>10</v>
      </c>
      <c r="AR1420" s="3" t="s">
        <v>62</v>
      </c>
      <c r="AS1420" s="3" t="s">
        <v>62</v>
      </c>
      <c r="AT1420" s="3" t="s">
        <v>62</v>
      </c>
      <c r="AV1420" s="6" t="str">
        <f>HYPERLINK("http://mcgill.on.worldcat.org/oclc/895500619","Catalog Record")</f>
        <v>Catalog Record</v>
      </c>
      <c r="AW1420" s="6" t="str">
        <f>HYPERLINK("http://www.worldcat.org/oclc/895500619","WorldCat Record")</f>
        <v>WorldCat Record</v>
      </c>
      <c r="AX1420" s="3" t="s">
        <v>14279</v>
      </c>
      <c r="AY1420" s="3" t="s">
        <v>14280</v>
      </c>
      <c r="AZ1420" s="3" t="s">
        <v>14281</v>
      </c>
      <c r="BA1420" s="3" t="s">
        <v>14281</v>
      </c>
      <c r="BB1420" s="3" t="s">
        <v>14282</v>
      </c>
      <c r="BC1420" s="3" t="s">
        <v>102</v>
      </c>
      <c r="BD1420" s="3" t="s">
        <v>68</v>
      </c>
      <c r="BE1420" s="3" t="s">
        <v>14283</v>
      </c>
      <c r="BF1420" s="3" t="s">
        <v>14282</v>
      </c>
      <c r="BG1420" s="3" t="s">
        <v>14284</v>
      </c>
    </row>
    <row r="1421" spans="1:59" ht="58" x14ac:dyDescent="0.35">
      <c r="A1421" s="2" t="s">
        <v>89</v>
      </c>
      <c r="B1421" s="2" t="s">
        <v>90</v>
      </c>
      <c r="C1421" s="2" t="s">
        <v>14285</v>
      </c>
      <c r="D1421" s="2" t="s">
        <v>14286</v>
      </c>
      <c r="E1421" s="2" t="s">
        <v>14287</v>
      </c>
      <c r="G1421" s="3" t="s">
        <v>62</v>
      </c>
      <c r="I1421" s="3" t="s">
        <v>61</v>
      </c>
      <c r="J1421" s="3" t="s">
        <v>62</v>
      </c>
      <c r="K1421" s="3" t="s">
        <v>63</v>
      </c>
      <c r="L1421" s="2" t="s">
        <v>14025</v>
      </c>
      <c r="M1421" s="2" t="s">
        <v>13830</v>
      </c>
      <c r="N1421" s="3" t="s">
        <v>809</v>
      </c>
      <c r="P1421" s="3" t="s">
        <v>64</v>
      </c>
      <c r="Q1421" s="2" t="s">
        <v>7944</v>
      </c>
      <c r="R1421" s="3" t="s">
        <v>13065</v>
      </c>
      <c r="S1421" s="4">
        <v>1</v>
      </c>
      <c r="T1421" s="4">
        <v>1</v>
      </c>
      <c r="U1421" s="5" t="s">
        <v>14288</v>
      </c>
      <c r="V1421" s="5" t="s">
        <v>14288</v>
      </c>
      <c r="W1421" s="5" t="s">
        <v>67</v>
      </c>
      <c r="X1421" s="5" t="s">
        <v>67</v>
      </c>
      <c r="Y1421" s="4">
        <v>415</v>
      </c>
      <c r="Z1421" s="4">
        <v>27</v>
      </c>
      <c r="AA1421" s="4">
        <v>32</v>
      </c>
      <c r="AB1421" s="4">
        <v>2</v>
      </c>
      <c r="AC1421" s="4">
        <v>5</v>
      </c>
      <c r="AD1421" s="4">
        <v>116</v>
      </c>
      <c r="AE1421" s="4">
        <v>119</v>
      </c>
      <c r="AF1421" s="4">
        <v>1</v>
      </c>
      <c r="AG1421" s="4">
        <v>3</v>
      </c>
      <c r="AH1421" s="4">
        <v>98</v>
      </c>
      <c r="AI1421" s="4">
        <v>99</v>
      </c>
      <c r="AJ1421" s="4">
        <v>18</v>
      </c>
      <c r="AK1421" s="4">
        <v>20</v>
      </c>
      <c r="AL1421" s="4">
        <v>56</v>
      </c>
      <c r="AM1421" s="4">
        <v>56</v>
      </c>
      <c r="AN1421" s="4">
        <v>0</v>
      </c>
      <c r="AO1421" s="4">
        <v>0</v>
      </c>
      <c r="AP1421" s="4">
        <v>23</v>
      </c>
      <c r="AQ1421" s="4">
        <v>26</v>
      </c>
      <c r="AR1421" s="3" t="s">
        <v>62</v>
      </c>
      <c r="AS1421" s="3" t="s">
        <v>62</v>
      </c>
      <c r="AT1421" s="3" t="s">
        <v>61</v>
      </c>
      <c r="AU1421" s="6" t="str">
        <f>HYPERLINK("http://catalog.hathitrust.org/Record/000466353","HathiTrust Record")</f>
        <v>HathiTrust Record</v>
      </c>
      <c r="AV1421" s="6" t="str">
        <f>HYPERLINK("http://mcgill.on.worldcat.org/oclc/523810","Catalog Record")</f>
        <v>Catalog Record</v>
      </c>
      <c r="AW1421" s="6" t="str">
        <f>HYPERLINK("http://www.worldcat.org/oclc/523810","WorldCat Record")</f>
        <v>WorldCat Record</v>
      </c>
      <c r="AX1421" s="3" t="s">
        <v>14289</v>
      </c>
      <c r="AY1421" s="3" t="s">
        <v>14290</v>
      </c>
      <c r="AZ1421" s="3" t="s">
        <v>14291</v>
      </c>
      <c r="BA1421" s="3" t="s">
        <v>14291</v>
      </c>
      <c r="BB1421" s="3" t="s">
        <v>14292</v>
      </c>
      <c r="BC1421" s="3" t="s">
        <v>102</v>
      </c>
      <c r="BD1421" s="3" t="s">
        <v>68</v>
      </c>
      <c r="BE1421" s="3" t="s">
        <v>14293</v>
      </c>
      <c r="BF1421" s="3" t="s">
        <v>14292</v>
      </c>
      <c r="BG1421" s="3" t="s">
        <v>14294</v>
      </c>
    </row>
    <row r="1422" spans="1:59" ht="87" x14ac:dyDescent="0.35">
      <c r="A1422" s="2" t="s">
        <v>89</v>
      </c>
      <c r="B1422" s="2" t="s">
        <v>11757</v>
      </c>
      <c r="C1422" s="2" t="s">
        <v>14295</v>
      </c>
      <c r="D1422" s="2" t="s">
        <v>14296</v>
      </c>
      <c r="E1422" s="2" t="s">
        <v>14297</v>
      </c>
      <c r="G1422" s="3" t="s">
        <v>62</v>
      </c>
      <c r="I1422" s="3" t="s">
        <v>62</v>
      </c>
      <c r="J1422" s="3" t="s">
        <v>62</v>
      </c>
      <c r="K1422" s="3" t="s">
        <v>63</v>
      </c>
      <c r="L1422" s="2" t="s">
        <v>14298</v>
      </c>
      <c r="M1422" s="2" t="s">
        <v>14299</v>
      </c>
      <c r="N1422" s="3" t="s">
        <v>684</v>
      </c>
      <c r="P1422" s="3" t="s">
        <v>64</v>
      </c>
      <c r="R1422" s="3" t="s">
        <v>13065</v>
      </c>
      <c r="S1422" s="4">
        <v>0</v>
      </c>
      <c r="T1422" s="4">
        <v>0</v>
      </c>
      <c r="W1422" s="5" t="s">
        <v>67</v>
      </c>
      <c r="X1422" s="5" t="s">
        <v>67</v>
      </c>
      <c r="Y1422" s="4">
        <v>218</v>
      </c>
      <c r="Z1422" s="4">
        <v>12</v>
      </c>
      <c r="AA1422" s="4">
        <v>14</v>
      </c>
      <c r="AB1422" s="4">
        <v>2</v>
      </c>
      <c r="AC1422" s="4">
        <v>4</v>
      </c>
      <c r="AD1422" s="4">
        <v>56</v>
      </c>
      <c r="AE1422" s="4">
        <v>58</v>
      </c>
      <c r="AF1422" s="4">
        <v>1</v>
      </c>
      <c r="AG1422" s="4">
        <v>3</v>
      </c>
      <c r="AH1422" s="4">
        <v>52</v>
      </c>
      <c r="AI1422" s="4">
        <v>52</v>
      </c>
      <c r="AJ1422" s="4">
        <v>8</v>
      </c>
      <c r="AK1422" s="4">
        <v>10</v>
      </c>
      <c r="AL1422" s="4">
        <v>30</v>
      </c>
      <c r="AM1422" s="4">
        <v>30</v>
      </c>
      <c r="AN1422" s="4">
        <v>0</v>
      </c>
      <c r="AO1422" s="4">
        <v>0</v>
      </c>
      <c r="AP1422" s="4">
        <v>9</v>
      </c>
      <c r="AQ1422" s="4">
        <v>11</v>
      </c>
      <c r="AR1422" s="3" t="s">
        <v>62</v>
      </c>
      <c r="AS1422" s="3" t="s">
        <v>62</v>
      </c>
      <c r="AT1422" s="3" t="s">
        <v>61</v>
      </c>
      <c r="AU1422" s="6" t="str">
        <f>HYPERLINK("http://catalog.hathitrust.org/Record/009933893","HathiTrust Record")</f>
        <v>HathiTrust Record</v>
      </c>
      <c r="AV1422" s="6" t="str">
        <f>HYPERLINK("http://mcgill.on.worldcat.org/oclc/668188608","Catalog Record")</f>
        <v>Catalog Record</v>
      </c>
      <c r="AW1422" s="6" t="str">
        <f>HYPERLINK("http://www.worldcat.org/oclc/668188608","WorldCat Record")</f>
        <v>WorldCat Record</v>
      </c>
      <c r="AX1422" s="3" t="s">
        <v>14300</v>
      </c>
      <c r="AY1422" s="3" t="s">
        <v>14301</v>
      </c>
      <c r="AZ1422" s="3" t="s">
        <v>14302</v>
      </c>
      <c r="BA1422" s="3" t="s">
        <v>14302</v>
      </c>
      <c r="BB1422" s="3" t="s">
        <v>14303</v>
      </c>
      <c r="BC1422" s="3" t="s">
        <v>102</v>
      </c>
      <c r="BD1422" s="3" t="s">
        <v>68</v>
      </c>
      <c r="BE1422" s="3" t="s">
        <v>14304</v>
      </c>
      <c r="BF1422" s="3" t="s">
        <v>14303</v>
      </c>
      <c r="BG1422" s="3" t="s">
        <v>14305</v>
      </c>
    </row>
    <row r="1423" spans="1:59" ht="87" x14ac:dyDescent="0.35">
      <c r="A1423" s="2" t="s">
        <v>89</v>
      </c>
      <c r="B1423" s="2" t="s">
        <v>11757</v>
      </c>
      <c r="C1423" s="2" t="s">
        <v>14306</v>
      </c>
      <c r="D1423" s="2" t="s">
        <v>14307</v>
      </c>
      <c r="E1423" s="2" t="s">
        <v>14308</v>
      </c>
      <c r="G1423" s="3" t="s">
        <v>62</v>
      </c>
      <c r="I1423" s="3" t="s">
        <v>62</v>
      </c>
      <c r="J1423" s="3" t="s">
        <v>62</v>
      </c>
      <c r="K1423" s="3" t="s">
        <v>63</v>
      </c>
      <c r="L1423" s="2" t="s">
        <v>14309</v>
      </c>
      <c r="M1423" s="2" t="s">
        <v>14310</v>
      </c>
      <c r="N1423" s="3" t="s">
        <v>684</v>
      </c>
      <c r="P1423" s="3" t="s">
        <v>64</v>
      </c>
      <c r="R1423" s="3" t="s">
        <v>13065</v>
      </c>
      <c r="S1423" s="4">
        <v>0</v>
      </c>
      <c r="T1423" s="4">
        <v>0</v>
      </c>
      <c r="W1423" s="5" t="s">
        <v>67</v>
      </c>
      <c r="X1423" s="5" t="s">
        <v>67</v>
      </c>
      <c r="Y1423" s="4">
        <v>108</v>
      </c>
      <c r="Z1423" s="4">
        <v>15</v>
      </c>
      <c r="AA1423" s="4">
        <v>21</v>
      </c>
      <c r="AB1423" s="4">
        <v>2</v>
      </c>
      <c r="AC1423" s="4">
        <v>6</v>
      </c>
      <c r="AD1423" s="4">
        <v>36</v>
      </c>
      <c r="AE1423" s="4">
        <v>46</v>
      </c>
      <c r="AF1423" s="4">
        <v>1</v>
      </c>
      <c r="AG1423" s="4">
        <v>3</v>
      </c>
      <c r="AH1423" s="4">
        <v>28</v>
      </c>
      <c r="AI1423" s="4">
        <v>35</v>
      </c>
      <c r="AJ1423" s="4">
        <v>8</v>
      </c>
      <c r="AK1423" s="4">
        <v>9</v>
      </c>
      <c r="AL1423" s="4">
        <v>17</v>
      </c>
      <c r="AM1423" s="4">
        <v>20</v>
      </c>
      <c r="AN1423" s="4">
        <v>0</v>
      </c>
      <c r="AO1423" s="4">
        <v>0</v>
      </c>
      <c r="AP1423" s="4">
        <v>12</v>
      </c>
      <c r="AQ1423" s="4">
        <v>15</v>
      </c>
      <c r="AR1423" s="3" t="s">
        <v>62</v>
      </c>
      <c r="AS1423" s="3" t="s">
        <v>62</v>
      </c>
      <c r="AT1423" s="3" t="s">
        <v>62</v>
      </c>
      <c r="AV1423" s="6" t="str">
        <f>HYPERLINK("http://mcgill.on.worldcat.org/oclc/734002246","Catalog Record")</f>
        <v>Catalog Record</v>
      </c>
      <c r="AW1423" s="6" t="str">
        <f>HYPERLINK("http://www.worldcat.org/oclc/734002246","WorldCat Record")</f>
        <v>WorldCat Record</v>
      </c>
      <c r="AX1423" s="3" t="s">
        <v>14311</v>
      </c>
      <c r="AY1423" s="3" t="s">
        <v>14312</v>
      </c>
      <c r="AZ1423" s="3" t="s">
        <v>14313</v>
      </c>
      <c r="BA1423" s="3" t="s">
        <v>14313</v>
      </c>
      <c r="BB1423" s="3" t="s">
        <v>14314</v>
      </c>
      <c r="BC1423" s="3" t="s">
        <v>102</v>
      </c>
      <c r="BD1423" s="3" t="s">
        <v>68</v>
      </c>
      <c r="BE1423" s="3" t="s">
        <v>14315</v>
      </c>
      <c r="BF1423" s="3" t="s">
        <v>14314</v>
      </c>
      <c r="BG1423" s="3" t="s">
        <v>14316</v>
      </c>
    </row>
    <row r="1424" spans="1:59" ht="58" x14ac:dyDescent="0.35">
      <c r="A1424" s="2" t="s">
        <v>89</v>
      </c>
      <c r="B1424" s="2" t="s">
        <v>90</v>
      </c>
      <c r="C1424" s="2" t="s">
        <v>14317</v>
      </c>
      <c r="D1424" s="2" t="s">
        <v>14318</v>
      </c>
      <c r="E1424" s="2" t="s">
        <v>14319</v>
      </c>
      <c r="G1424" s="3" t="s">
        <v>62</v>
      </c>
      <c r="I1424" s="3" t="s">
        <v>62</v>
      </c>
      <c r="J1424" s="3" t="s">
        <v>62</v>
      </c>
      <c r="K1424" s="3" t="s">
        <v>63</v>
      </c>
      <c r="L1424" s="2" t="s">
        <v>9798</v>
      </c>
      <c r="M1424" s="2" t="s">
        <v>6930</v>
      </c>
      <c r="N1424" s="3" t="s">
        <v>466</v>
      </c>
      <c r="P1424" s="3" t="s">
        <v>64</v>
      </c>
      <c r="Q1424" s="2" t="s">
        <v>14320</v>
      </c>
      <c r="R1424" s="3" t="s">
        <v>13065</v>
      </c>
      <c r="S1424" s="4">
        <v>11</v>
      </c>
      <c r="T1424" s="4">
        <v>11</v>
      </c>
      <c r="U1424" s="5" t="s">
        <v>3863</v>
      </c>
      <c r="V1424" s="5" t="s">
        <v>3863</v>
      </c>
      <c r="W1424" s="5" t="s">
        <v>67</v>
      </c>
      <c r="X1424" s="5" t="s">
        <v>67</v>
      </c>
      <c r="Y1424" s="4">
        <v>186</v>
      </c>
      <c r="Z1424" s="4">
        <v>17</v>
      </c>
      <c r="AA1424" s="4">
        <v>19</v>
      </c>
      <c r="AB1424" s="4">
        <v>2</v>
      </c>
      <c r="AC1424" s="4">
        <v>3</v>
      </c>
      <c r="AD1424" s="4">
        <v>67</v>
      </c>
      <c r="AE1424" s="4">
        <v>70</v>
      </c>
      <c r="AF1424" s="4">
        <v>1</v>
      </c>
      <c r="AG1424" s="4">
        <v>1</v>
      </c>
      <c r="AH1424" s="4">
        <v>60</v>
      </c>
      <c r="AI1424" s="4">
        <v>62</v>
      </c>
      <c r="AJ1424" s="4">
        <v>10</v>
      </c>
      <c r="AK1424" s="4">
        <v>10</v>
      </c>
      <c r="AL1424" s="4">
        <v>36</v>
      </c>
      <c r="AM1424" s="4">
        <v>37</v>
      </c>
      <c r="AN1424" s="4">
        <v>0</v>
      </c>
      <c r="AO1424" s="4">
        <v>0</v>
      </c>
      <c r="AP1424" s="4">
        <v>11</v>
      </c>
      <c r="AQ1424" s="4">
        <v>12</v>
      </c>
      <c r="AR1424" s="3" t="s">
        <v>62</v>
      </c>
      <c r="AS1424" s="3" t="s">
        <v>62</v>
      </c>
      <c r="AT1424" s="3" t="s">
        <v>62</v>
      </c>
      <c r="AV1424" s="6" t="str">
        <f>HYPERLINK("http://mcgill.on.worldcat.org/oclc/25709270","Catalog Record")</f>
        <v>Catalog Record</v>
      </c>
      <c r="AW1424" s="6" t="str">
        <f>HYPERLINK("http://www.worldcat.org/oclc/25709270","WorldCat Record")</f>
        <v>WorldCat Record</v>
      </c>
      <c r="AX1424" s="3" t="s">
        <v>14321</v>
      </c>
      <c r="AY1424" s="3" t="s">
        <v>14322</v>
      </c>
      <c r="AZ1424" s="3" t="s">
        <v>14323</v>
      </c>
      <c r="BA1424" s="3" t="s">
        <v>14323</v>
      </c>
      <c r="BB1424" s="3" t="s">
        <v>14324</v>
      </c>
      <c r="BC1424" s="3" t="s">
        <v>102</v>
      </c>
      <c r="BD1424" s="3" t="s">
        <v>68</v>
      </c>
      <c r="BE1424" s="3" t="s">
        <v>14325</v>
      </c>
      <c r="BF1424" s="3" t="s">
        <v>14324</v>
      </c>
      <c r="BG1424" s="3" t="s">
        <v>14326</v>
      </c>
    </row>
    <row r="1425" spans="1:59" ht="58" x14ac:dyDescent="0.35">
      <c r="A1425" s="2" t="s">
        <v>89</v>
      </c>
      <c r="B1425" s="2" t="s">
        <v>6791</v>
      </c>
      <c r="C1425" s="2" t="s">
        <v>14327</v>
      </c>
      <c r="D1425" s="2" t="s">
        <v>14328</v>
      </c>
      <c r="E1425" s="2" t="s">
        <v>14329</v>
      </c>
      <c r="G1425" s="3" t="s">
        <v>62</v>
      </c>
      <c r="I1425" s="3" t="s">
        <v>62</v>
      </c>
      <c r="J1425" s="3" t="s">
        <v>62</v>
      </c>
      <c r="K1425" s="3" t="s">
        <v>63</v>
      </c>
      <c r="M1425" s="2" t="s">
        <v>14330</v>
      </c>
      <c r="N1425" s="3" t="s">
        <v>1195</v>
      </c>
      <c r="P1425" s="3" t="s">
        <v>64</v>
      </c>
      <c r="R1425" s="3" t="s">
        <v>13065</v>
      </c>
      <c r="S1425" s="4">
        <v>53</v>
      </c>
      <c r="T1425" s="4">
        <v>53</v>
      </c>
      <c r="U1425" s="5" t="s">
        <v>14331</v>
      </c>
      <c r="V1425" s="5" t="s">
        <v>14331</v>
      </c>
      <c r="W1425" s="5" t="s">
        <v>67</v>
      </c>
      <c r="X1425" s="5" t="s">
        <v>67</v>
      </c>
      <c r="Y1425" s="4">
        <v>531</v>
      </c>
      <c r="Z1425" s="4">
        <v>26</v>
      </c>
      <c r="AA1425" s="4">
        <v>36</v>
      </c>
      <c r="AB1425" s="4">
        <v>2</v>
      </c>
      <c r="AC1425" s="4">
        <v>4</v>
      </c>
      <c r="AD1425" s="4">
        <v>65</v>
      </c>
      <c r="AE1425" s="4">
        <v>85</v>
      </c>
      <c r="AF1425" s="4">
        <v>1</v>
      </c>
      <c r="AG1425" s="4">
        <v>1</v>
      </c>
      <c r="AH1425" s="4">
        <v>49</v>
      </c>
      <c r="AI1425" s="4">
        <v>63</v>
      </c>
      <c r="AJ1425" s="4">
        <v>10</v>
      </c>
      <c r="AK1425" s="4">
        <v>14</v>
      </c>
      <c r="AL1425" s="4">
        <v>25</v>
      </c>
      <c r="AM1425" s="4">
        <v>32</v>
      </c>
      <c r="AN1425" s="4">
        <v>0</v>
      </c>
      <c r="AO1425" s="4">
        <v>0</v>
      </c>
      <c r="AP1425" s="4">
        <v>21</v>
      </c>
      <c r="AQ1425" s="4">
        <v>28</v>
      </c>
      <c r="AR1425" s="3" t="s">
        <v>62</v>
      </c>
      <c r="AS1425" s="3" t="s">
        <v>62</v>
      </c>
      <c r="AT1425" s="3" t="s">
        <v>61</v>
      </c>
      <c r="AU1425" s="6" t="str">
        <f>HYPERLINK("http://catalog.hathitrust.org/Record/005130437","HathiTrust Record")</f>
        <v>HathiTrust Record</v>
      </c>
      <c r="AV1425" s="6" t="str">
        <f>HYPERLINK("http://mcgill.on.worldcat.org/oclc/60504664","Catalog Record")</f>
        <v>Catalog Record</v>
      </c>
      <c r="AW1425" s="6" t="str">
        <f>HYPERLINK("http://www.worldcat.org/oclc/60504664","WorldCat Record")</f>
        <v>WorldCat Record</v>
      </c>
      <c r="AX1425" s="3" t="s">
        <v>14332</v>
      </c>
      <c r="AY1425" s="3" t="s">
        <v>14333</v>
      </c>
      <c r="AZ1425" s="3" t="s">
        <v>14334</v>
      </c>
      <c r="BA1425" s="3" t="s">
        <v>14334</v>
      </c>
      <c r="BB1425" s="3" t="s">
        <v>14335</v>
      </c>
      <c r="BC1425" s="3" t="s">
        <v>102</v>
      </c>
      <c r="BD1425" s="3" t="s">
        <v>231</v>
      </c>
      <c r="BE1425" s="3" t="s">
        <v>14336</v>
      </c>
      <c r="BF1425" s="3" t="s">
        <v>14335</v>
      </c>
      <c r="BG1425" s="3" t="s">
        <v>14337</v>
      </c>
    </row>
    <row r="1426" spans="1:59" ht="87" x14ac:dyDescent="0.35">
      <c r="A1426" s="2" t="s">
        <v>89</v>
      </c>
      <c r="B1426" s="2" t="s">
        <v>11757</v>
      </c>
      <c r="C1426" s="2" t="s">
        <v>14338</v>
      </c>
      <c r="D1426" s="2" t="s">
        <v>14339</v>
      </c>
      <c r="E1426" s="2" t="s">
        <v>14340</v>
      </c>
      <c r="G1426" s="3" t="s">
        <v>62</v>
      </c>
      <c r="I1426" s="3" t="s">
        <v>62</v>
      </c>
      <c r="J1426" s="3" t="s">
        <v>62</v>
      </c>
      <c r="K1426" s="3" t="s">
        <v>63</v>
      </c>
      <c r="L1426" s="2" t="s">
        <v>14341</v>
      </c>
      <c r="M1426" s="2" t="s">
        <v>14342</v>
      </c>
      <c r="N1426" s="3" t="s">
        <v>684</v>
      </c>
      <c r="P1426" s="3" t="s">
        <v>64</v>
      </c>
      <c r="Q1426" s="2" t="s">
        <v>14343</v>
      </c>
      <c r="R1426" s="3" t="s">
        <v>13065</v>
      </c>
      <c r="S1426" s="4">
        <v>0</v>
      </c>
      <c r="T1426" s="4">
        <v>0</v>
      </c>
      <c r="W1426" s="5" t="s">
        <v>67</v>
      </c>
      <c r="X1426" s="5" t="s">
        <v>67</v>
      </c>
      <c r="Y1426" s="4">
        <v>47</v>
      </c>
      <c r="Z1426" s="4">
        <v>6</v>
      </c>
      <c r="AA1426" s="4">
        <v>83</v>
      </c>
      <c r="AB1426" s="4">
        <v>1</v>
      </c>
      <c r="AC1426" s="4">
        <v>17</v>
      </c>
      <c r="AD1426" s="4">
        <v>15</v>
      </c>
      <c r="AE1426" s="4">
        <v>81</v>
      </c>
      <c r="AF1426" s="4">
        <v>0</v>
      </c>
      <c r="AG1426" s="4">
        <v>8</v>
      </c>
      <c r="AH1426" s="4">
        <v>12</v>
      </c>
      <c r="AI1426" s="4">
        <v>48</v>
      </c>
      <c r="AJ1426" s="4">
        <v>3</v>
      </c>
      <c r="AK1426" s="4">
        <v>15</v>
      </c>
      <c r="AL1426" s="4">
        <v>6</v>
      </c>
      <c r="AM1426" s="4">
        <v>24</v>
      </c>
      <c r="AN1426" s="4">
        <v>0</v>
      </c>
      <c r="AO1426" s="4">
        <v>0</v>
      </c>
      <c r="AP1426" s="4">
        <v>4</v>
      </c>
      <c r="AQ1426" s="4">
        <v>37</v>
      </c>
      <c r="AR1426" s="3" t="s">
        <v>62</v>
      </c>
      <c r="AS1426" s="3" t="s">
        <v>62</v>
      </c>
      <c r="AT1426" s="3" t="s">
        <v>62</v>
      </c>
      <c r="AV1426" s="6" t="str">
        <f>HYPERLINK("http://mcgill.on.worldcat.org/oclc/668403300","Catalog Record")</f>
        <v>Catalog Record</v>
      </c>
      <c r="AW1426" s="6" t="str">
        <f>HYPERLINK("http://www.worldcat.org/oclc/668403300","WorldCat Record")</f>
        <v>WorldCat Record</v>
      </c>
      <c r="AX1426" s="3" t="s">
        <v>14344</v>
      </c>
      <c r="AY1426" s="3" t="s">
        <v>14345</v>
      </c>
      <c r="AZ1426" s="3" t="s">
        <v>14346</v>
      </c>
      <c r="BA1426" s="3" t="s">
        <v>14346</v>
      </c>
      <c r="BB1426" s="3" t="s">
        <v>14347</v>
      </c>
      <c r="BC1426" s="3" t="s">
        <v>102</v>
      </c>
      <c r="BD1426" s="3" t="s">
        <v>68</v>
      </c>
      <c r="BE1426" s="3" t="s">
        <v>14348</v>
      </c>
      <c r="BF1426" s="3" t="s">
        <v>14347</v>
      </c>
      <c r="BG1426" s="3" t="s">
        <v>14349</v>
      </c>
    </row>
    <row r="1427" spans="1:59" ht="58" x14ac:dyDescent="0.35">
      <c r="A1427" s="2" t="s">
        <v>89</v>
      </c>
      <c r="B1427" s="2" t="s">
        <v>90</v>
      </c>
      <c r="C1427" s="2" t="s">
        <v>14350</v>
      </c>
      <c r="D1427" s="2" t="s">
        <v>14351</v>
      </c>
      <c r="E1427" s="2" t="s">
        <v>14352</v>
      </c>
      <c r="G1427" s="3" t="s">
        <v>62</v>
      </c>
      <c r="I1427" s="3" t="s">
        <v>62</v>
      </c>
      <c r="J1427" s="3" t="s">
        <v>62</v>
      </c>
      <c r="K1427" s="3" t="s">
        <v>63</v>
      </c>
      <c r="M1427" s="2" t="s">
        <v>14353</v>
      </c>
      <c r="N1427" s="3" t="s">
        <v>2985</v>
      </c>
      <c r="P1427" s="3" t="s">
        <v>64</v>
      </c>
      <c r="R1427" s="3" t="s">
        <v>13065</v>
      </c>
      <c r="S1427" s="4">
        <v>3</v>
      </c>
      <c r="T1427" s="4">
        <v>3</v>
      </c>
      <c r="U1427" s="5" t="s">
        <v>14354</v>
      </c>
      <c r="V1427" s="5" t="s">
        <v>14354</v>
      </c>
      <c r="W1427" s="5" t="s">
        <v>67</v>
      </c>
      <c r="X1427" s="5" t="s">
        <v>67</v>
      </c>
      <c r="Y1427" s="4">
        <v>52</v>
      </c>
      <c r="Z1427" s="4">
        <v>5</v>
      </c>
      <c r="AA1427" s="4">
        <v>5</v>
      </c>
      <c r="AB1427" s="4">
        <v>1</v>
      </c>
      <c r="AC1427" s="4">
        <v>1</v>
      </c>
      <c r="AD1427" s="4">
        <v>22</v>
      </c>
      <c r="AE1427" s="4">
        <v>22</v>
      </c>
      <c r="AF1427" s="4">
        <v>0</v>
      </c>
      <c r="AG1427" s="4">
        <v>0</v>
      </c>
      <c r="AH1427" s="4">
        <v>21</v>
      </c>
      <c r="AI1427" s="4">
        <v>21</v>
      </c>
      <c r="AJ1427" s="4">
        <v>3</v>
      </c>
      <c r="AK1427" s="4">
        <v>3</v>
      </c>
      <c r="AL1427" s="4">
        <v>15</v>
      </c>
      <c r="AM1427" s="4">
        <v>15</v>
      </c>
      <c r="AN1427" s="4">
        <v>0</v>
      </c>
      <c r="AO1427" s="4">
        <v>0</v>
      </c>
      <c r="AP1427" s="4">
        <v>3</v>
      </c>
      <c r="AQ1427" s="4">
        <v>3</v>
      </c>
      <c r="AR1427" s="3" t="s">
        <v>62</v>
      </c>
      <c r="AS1427" s="3" t="s">
        <v>62</v>
      </c>
      <c r="AT1427" s="3" t="s">
        <v>62</v>
      </c>
      <c r="AV1427" s="6" t="str">
        <f>HYPERLINK("http://mcgill.on.worldcat.org/oclc/497931863","Catalog Record")</f>
        <v>Catalog Record</v>
      </c>
      <c r="AW1427" s="6" t="str">
        <f>HYPERLINK("http://www.worldcat.org/oclc/497931863","WorldCat Record")</f>
        <v>WorldCat Record</v>
      </c>
      <c r="AX1427" s="3" t="s">
        <v>14355</v>
      </c>
      <c r="AY1427" s="3" t="s">
        <v>14356</v>
      </c>
      <c r="AZ1427" s="3" t="s">
        <v>14357</v>
      </c>
      <c r="BA1427" s="3" t="s">
        <v>14357</v>
      </c>
      <c r="BB1427" s="3" t="s">
        <v>14358</v>
      </c>
      <c r="BC1427" s="3" t="s">
        <v>102</v>
      </c>
      <c r="BD1427" s="3" t="s">
        <v>68</v>
      </c>
      <c r="BE1427" s="3" t="s">
        <v>14359</v>
      </c>
      <c r="BF1427" s="3" t="s">
        <v>14358</v>
      </c>
      <c r="BG1427" s="3" t="s">
        <v>14360</v>
      </c>
    </row>
    <row r="1428" spans="1:59" ht="58" x14ac:dyDescent="0.35">
      <c r="A1428" s="2" t="s">
        <v>89</v>
      </c>
      <c r="B1428" s="2" t="s">
        <v>6791</v>
      </c>
      <c r="C1428" s="2" t="s">
        <v>14361</v>
      </c>
      <c r="D1428" s="2" t="s">
        <v>14362</v>
      </c>
      <c r="E1428" s="2" t="s">
        <v>14363</v>
      </c>
      <c r="G1428" s="3" t="s">
        <v>62</v>
      </c>
      <c r="I1428" s="3" t="s">
        <v>62</v>
      </c>
      <c r="J1428" s="3" t="s">
        <v>62</v>
      </c>
      <c r="K1428" s="3" t="s">
        <v>63</v>
      </c>
      <c r="L1428" s="2" t="s">
        <v>14364</v>
      </c>
      <c r="M1428" s="2" t="s">
        <v>14365</v>
      </c>
      <c r="N1428" s="3" t="s">
        <v>1905</v>
      </c>
      <c r="P1428" s="3" t="s">
        <v>85</v>
      </c>
      <c r="R1428" s="3" t="s">
        <v>13065</v>
      </c>
      <c r="S1428" s="4">
        <v>3</v>
      </c>
      <c r="T1428" s="4">
        <v>3</v>
      </c>
      <c r="U1428" s="5" t="s">
        <v>14366</v>
      </c>
      <c r="V1428" s="5" t="s">
        <v>14366</v>
      </c>
      <c r="W1428" s="5" t="s">
        <v>67</v>
      </c>
      <c r="X1428" s="5" t="s">
        <v>67</v>
      </c>
      <c r="Y1428" s="4">
        <v>5</v>
      </c>
      <c r="Z1428" s="4">
        <v>5</v>
      </c>
      <c r="AA1428" s="4">
        <v>12</v>
      </c>
      <c r="AB1428" s="4">
        <v>3</v>
      </c>
      <c r="AC1428" s="4">
        <v>9</v>
      </c>
      <c r="AD1428" s="4">
        <v>4</v>
      </c>
      <c r="AE1428" s="4">
        <v>5</v>
      </c>
      <c r="AF1428" s="4">
        <v>2</v>
      </c>
      <c r="AG1428" s="4">
        <v>3</v>
      </c>
      <c r="AH1428" s="4">
        <v>0</v>
      </c>
      <c r="AI1428" s="4">
        <v>0</v>
      </c>
      <c r="AJ1428" s="4">
        <v>2</v>
      </c>
      <c r="AK1428" s="4">
        <v>3</v>
      </c>
      <c r="AL1428" s="4">
        <v>0</v>
      </c>
      <c r="AM1428" s="4">
        <v>0</v>
      </c>
      <c r="AN1428" s="4">
        <v>0</v>
      </c>
      <c r="AO1428" s="4">
        <v>0</v>
      </c>
      <c r="AP1428" s="4">
        <v>2</v>
      </c>
      <c r="AQ1428" s="4">
        <v>3</v>
      </c>
      <c r="AR1428" s="3" t="s">
        <v>61</v>
      </c>
      <c r="AS1428" s="3" t="s">
        <v>62</v>
      </c>
      <c r="AT1428" s="3" t="s">
        <v>62</v>
      </c>
      <c r="AV1428" s="6" t="str">
        <f>HYPERLINK("http://mcgill.on.worldcat.org/oclc/17480634","Catalog Record")</f>
        <v>Catalog Record</v>
      </c>
      <c r="AW1428" s="6" t="str">
        <f>HYPERLINK("http://www.worldcat.org/oclc/17480634","WorldCat Record")</f>
        <v>WorldCat Record</v>
      </c>
      <c r="AX1428" s="3" t="s">
        <v>14367</v>
      </c>
      <c r="AY1428" s="3" t="s">
        <v>14368</v>
      </c>
      <c r="AZ1428" s="3" t="s">
        <v>14369</v>
      </c>
      <c r="BA1428" s="3" t="s">
        <v>14369</v>
      </c>
      <c r="BB1428" s="3" t="s">
        <v>14370</v>
      </c>
      <c r="BC1428" s="3" t="s">
        <v>102</v>
      </c>
      <c r="BD1428" s="3" t="s">
        <v>68</v>
      </c>
      <c r="BE1428" s="3" t="s">
        <v>14371</v>
      </c>
      <c r="BF1428" s="3" t="s">
        <v>14370</v>
      </c>
      <c r="BG1428" s="3" t="s">
        <v>14372</v>
      </c>
    </row>
    <row r="1429" spans="1:59" ht="58" x14ac:dyDescent="0.35">
      <c r="A1429" s="2" t="s">
        <v>89</v>
      </c>
      <c r="B1429" s="2" t="s">
        <v>6791</v>
      </c>
      <c r="C1429" s="2" t="s">
        <v>14373</v>
      </c>
      <c r="D1429" s="2" t="s">
        <v>14374</v>
      </c>
      <c r="E1429" s="2" t="s">
        <v>14375</v>
      </c>
      <c r="G1429" s="3" t="s">
        <v>62</v>
      </c>
      <c r="I1429" s="3" t="s">
        <v>62</v>
      </c>
      <c r="J1429" s="3" t="s">
        <v>62</v>
      </c>
      <c r="K1429" s="3" t="s">
        <v>63</v>
      </c>
      <c r="L1429" s="2" t="s">
        <v>14376</v>
      </c>
      <c r="M1429" s="2" t="s">
        <v>14377</v>
      </c>
      <c r="N1429" s="3" t="s">
        <v>568</v>
      </c>
      <c r="P1429" s="3" t="s">
        <v>64</v>
      </c>
      <c r="Q1429" s="2" t="s">
        <v>14378</v>
      </c>
      <c r="R1429" s="3" t="s">
        <v>13065</v>
      </c>
      <c r="S1429" s="4">
        <v>3</v>
      </c>
      <c r="T1429" s="4">
        <v>3</v>
      </c>
      <c r="U1429" s="5" t="s">
        <v>14379</v>
      </c>
      <c r="V1429" s="5" t="s">
        <v>14379</v>
      </c>
      <c r="W1429" s="5" t="s">
        <v>67</v>
      </c>
      <c r="X1429" s="5" t="s">
        <v>67</v>
      </c>
      <c r="Y1429" s="4">
        <v>413</v>
      </c>
      <c r="Z1429" s="4">
        <v>15</v>
      </c>
      <c r="AA1429" s="4">
        <v>16</v>
      </c>
      <c r="AB1429" s="4">
        <v>2</v>
      </c>
      <c r="AC1429" s="4">
        <v>3</v>
      </c>
      <c r="AD1429" s="4">
        <v>77</v>
      </c>
      <c r="AE1429" s="4">
        <v>79</v>
      </c>
      <c r="AF1429" s="4">
        <v>1</v>
      </c>
      <c r="AG1429" s="4">
        <v>2</v>
      </c>
      <c r="AH1429" s="4">
        <v>67</v>
      </c>
      <c r="AI1429" s="4">
        <v>68</v>
      </c>
      <c r="AJ1429" s="4">
        <v>8</v>
      </c>
      <c r="AK1429" s="4">
        <v>9</v>
      </c>
      <c r="AL1429" s="4">
        <v>31</v>
      </c>
      <c r="AM1429" s="4">
        <v>31</v>
      </c>
      <c r="AN1429" s="4">
        <v>0</v>
      </c>
      <c r="AO1429" s="4">
        <v>0</v>
      </c>
      <c r="AP1429" s="4">
        <v>13</v>
      </c>
      <c r="AQ1429" s="4">
        <v>13</v>
      </c>
      <c r="AR1429" s="3" t="s">
        <v>62</v>
      </c>
      <c r="AS1429" s="3" t="s">
        <v>62</v>
      </c>
      <c r="AT1429" s="3" t="s">
        <v>62</v>
      </c>
      <c r="AV1429" s="6" t="str">
        <f>HYPERLINK("http://mcgill.on.worldcat.org/oclc/42786333","Catalog Record")</f>
        <v>Catalog Record</v>
      </c>
      <c r="AW1429" s="6" t="str">
        <f>HYPERLINK("http://www.worldcat.org/oclc/42786333","WorldCat Record")</f>
        <v>WorldCat Record</v>
      </c>
      <c r="AX1429" s="3" t="s">
        <v>14380</v>
      </c>
      <c r="AY1429" s="3" t="s">
        <v>14381</v>
      </c>
      <c r="AZ1429" s="3" t="s">
        <v>14382</v>
      </c>
      <c r="BA1429" s="3" t="s">
        <v>14382</v>
      </c>
      <c r="BB1429" s="3" t="s">
        <v>14383</v>
      </c>
      <c r="BC1429" s="3" t="s">
        <v>102</v>
      </c>
      <c r="BD1429" s="3" t="s">
        <v>231</v>
      </c>
      <c r="BE1429" s="3" t="s">
        <v>14384</v>
      </c>
      <c r="BF1429" s="3" t="s">
        <v>14383</v>
      </c>
      <c r="BG1429" s="3" t="s">
        <v>14385</v>
      </c>
    </row>
    <row r="1430" spans="1:59" ht="58" x14ac:dyDescent="0.35">
      <c r="A1430" s="2" t="s">
        <v>89</v>
      </c>
      <c r="B1430" s="2" t="s">
        <v>90</v>
      </c>
      <c r="C1430" s="2" t="s">
        <v>14386</v>
      </c>
      <c r="D1430" s="2" t="s">
        <v>14387</v>
      </c>
      <c r="E1430" s="2" t="s">
        <v>14388</v>
      </c>
      <c r="G1430" s="3" t="s">
        <v>62</v>
      </c>
      <c r="I1430" s="3" t="s">
        <v>61</v>
      </c>
      <c r="J1430" s="3" t="s">
        <v>62</v>
      </c>
      <c r="K1430" s="3" t="s">
        <v>63</v>
      </c>
      <c r="L1430" s="2" t="s">
        <v>14389</v>
      </c>
      <c r="M1430" s="2" t="s">
        <v>14390</v>
      </c>
      <c r="N1430" s="3" t="s">
        <v>81</v>
      </c>
      <c r="P1430" s="3" t="s">
        <v>64</v>
      </c>
      <c r="Q1430" s="2" t="s">
        <v>14391</v>
      </c>
      <c r="R1430" s="3" t="s">
        <v>13065</v>
      </c>
      <c r="S1430" s="4">
        <v>0</v>
      </c>
      <c r="T1430" s="4">
        <v>4</v>
      </c>
      <c r="V1430" s="5" t="s">
        <v>1407</v>
      </c>
      <c r="W1430" s="5" t="s">
        <v>67</v>
      </c>
      <c r="X1430" s="5" t="s">
        <v>67</v>
      </c>
      <c r="Y1430" s="4">
        <v>397</v>
      </c>
      <c r="Z1430" s="4">
        <v>19</v>
      </c>
      <c r="AA1430" s="4">
        <v>22</v>
      </c>
      <c r="AB1430" s="4">
        <v>1</v>
      </c>
      <c r="AC1430" s="4">
        <v>3</v>
      </c>
      <c r="AD1430" s="4">
        <v>80</v>
      </c>
      <c r="AE1430" s="4">
        <v>83</v>
      </c>
      <c r="AF1430" s="4">
        <v>0</v>
      </c>
      <c r="AG1430" s="4">
        <v>2</v>
      </c>
      <c r="AH1430" s="4">
        <v>71</v>
      </c>
      <c r="AI1430" s="4">
        <v>73</v>
      </c>
      <c r="AJ1430" s="4">
        <v>10</v>
      </c>
      <c r="AK1430" s="4">
        <v>12</v>
      </c>
      <c r="AL1430" s="4">
        <v>34</v>
      </c>
      <c r="AM1430" s="4">
        <v>34</v>
      </c>
      <c r="AN1430" s="4">
        <v>0</v>
      </c>
      <c r="AO1430" s="4">
        <v>0</v>
      </c>
      <c r="AP1430" s="4">
        <v>15</v>
      </c>
      <c r="AQ1430" s="4">
        <v>18</v>
      </c>
      <c r="AR1430" s="3" t="s">
        <v>62</v>
      </c>
      <c r="AS1430" s="3" t="s">
        <v>62</v>
      </c>
      <c r="AT1430" s="3" t="s">
        <v>61</v>
      </c>
      <c r="AU1430" s="6" t="str">
        <f>HYPERLINK("http://catalog.hathitrust.org/Record/009914676","HathiTrust Record")</f>
        <v>HathiTrust Record</v>
      </c>
      <c r="AV1430" s="6" t="str">
        <f>HYPERLINK("http://mcgill.on.worldcat.org/oclc/443325","Catalog Record")</f>
        <v>Catalog Record</v>
      </c>
      <c r="AW1430" s="6" t="str">
        <f>HYPERLINK("http://www.worldcat.org/oclc/443325","WorldCat Record")</f>
        <v>WorldCat Record</v>
      </c>
      <c r="AX1430" s="3" t="s">
        <v>14392</v>
      </c>
      <c r="AY1430" s="3" t="s">
        <v>14393</v>
      </c>
      <c r="AZ1430" s="3" t="s">
        <v>14394</v>
      </c>
      <c r="BA1430" s="3" t="s">
        <v>14394</v>
      </c>
      <c r="BB1430" s="3" t="s">
        <v>14395</v>
      </c>
      <c r="BC1430" s="3" t="s">
        <v>102</v>
      </c>
      <c r="BD1430" s="3" t="s">
        <v>68</v>
      </c>
      <c r="BF1430" s="3" t="s">
        <v>14395</v>
      </c>
      <c r="BG1430" s="3" t="s">
        <v>14396</v>
      </c>
    </row>
    <row r="1431" spans="1:59" ht="87" x14ac:dyDescent="0.35">
      <c r="A1431" s="2" t="s">
        <v>89</v>
      </c>
      <c r="B1431" s="2" t="s">
        <v>11757</v>
      </c>
      <c r="C1431" s="2" t="s">
        <v>14397</v>
      </c>
      <c r="D1431" s="2" t="s">
        <v>14398</v>
      </c>
      <c r="E1431" s="2" t="s">
        <v>14399</v>
      </c>
      <c r="G1431" s="3" t="s">
        <v>62</v>
      </c>
      <c r="I1431" s="3" t="s">
        <v>62</v>
      </c>
      <c r="J1431" s="3" t="s">
        <v>62</v>
      </c>
      <c r="K1431" s="3" t="s">
        <v>63</v>
      </c>
      <c r="L1431" s="2" t="s">
        <v>14400</v>
      </c>
      <c r="M1431" s="2" t="s">
        <v>14401</v>
      </c>
      <c r="N1431" s="3" t="s">
        <v>1482</v>
      </c>
      <c r="P1431" s="3" t="s">
        <v>85</v>
      </c>
      <c r="R1431" s="3" t="s">
        <v>13065</v>
      </c>
      <c r="S1431" s="4">
        <v>1</v>
      </c>
      <c r="T1431" s="4">
        <v>1</v>
      </c>
      <c r="U1431" s="5" t="s">
        <v>14366</v>
      </c>
      <c r="V1431" s="5" t="s">
        <v>14366</v>
      </c>
      <c r="W1431" s="5" t="s">
        <v>67</v>
      </c>
      <c r="X1431" s="5" t="s">
        <v>67</v>
      </c>
      <c r="Y1431" s="4">
        <v>2</v>
      </c>
      <c r="Z1431" s="4">
        <v>2</v>
      </c>
      <c r="AA1431" s="4">
        <v>18</v>
      </c>
      <c r="AB1431" s="4">
        <v>1</v>
      </c>
      <c r="AC1431" s="4">
        <v>16</v>
      </c>
      <c r="AD1431" s="4">
        <v>1</v>
      </c>
      <c r="AE1431" s="4">
        <v>7</v>
      </c>
      <c r="AF1431" s="4">
        <v>0</v>
      </c>
      <c r="AG1431" s="4">
        <v>4</v>
      </c>
      <c r="AH1431" s="4">
        <v>1</v>
      </c>
      <c r="AI1431" s="4">
        <v>3</v>
      </c>
      <c r="AJ1431" s="4">
        <v>1</v>
      </c>
      <c r="AK1431" s="4">
        <v>5</v>
      </c>
      <c r="AL1431" s="4">
        <v>0</v>
      </c>
      <c r="AM1431" s="4">
        <v>0</v>
      </c>
      <c r="AN1431" s="4">
        <v>0</v>
      </c>
      <c r="AO1431" s="4">
        <v>0</v>
      </c>
      <c r="AP1431" s="4">
        <v>1</v>
      </c>
      <c r="AQ1431" s="4">
        <v>4</v>
      </c>
      <c r="AR1431" s="3" t="s">
        <v>61</v>
      </c>
      <c r="AS1431" s="3" t="s">
        <v>62</v>
      </c>
      <c r="AT1431" s="3" t="s">
        <v>62</v>
      </c>
      <c r="AV1431" s="6" t="str">
        <f>HYPERLINK("http://mcgill.on.worldcat.org/oclc/427938433","Catalog Record")</f>
        <v>Catalog Record</v>
      </c>
      <c r="AW1431" s="6" t="str">
        <f>HYPERLINK("http://www.worldcat.org/oclc/427938433","WorldCat Record")</f>
        <v>WorldCat Record</v>
      </c>
      <c r="AX1431" s="3" t="s">
        <v>14402</v>
      </c>
      <c r="AY1431" s="3" t="s">
        <v>14403</v>
      </c>
      <c r="AZ1431" s="3" t="s">
        <v>14404</v>
      </c>
      <c r="BA1431" s="3" t="s">
        <v>14404</v>
      </c>
      <c r="BB1431" s="3" t="s">
        <v>14405</v>
      </c>
      <c r="BC1431" s="3" t="s">
        <v>102</v>
      </c>
      <c r="BD1431" s="3" t="s">
        <v>68</v>
      </c>
      <c r="BE1431" s="3" t="s">
        <v>14406</v>
      </c>
      <c r="BF1431" s="3" t="s">
        <v>14405</v>
      </c>
      <c r="BG1431" s="3" t="s">
        <v>14407</v>
      </c>
    </row>
    <row r="1432" spans="1:59" ht="58" x14ac:dyDescent="0.35">
      <c r="A1432" s="2" t="s">
        <v>89</v>
      </c>
      <c r="B1432" s="2" t="s">
        <v>90</v>
      </c>
      <c r="C1432" s="2" t="s">
        <v>14408</v>
      </c>
      <c r="D1432" s="2" t="s">
        <v>14409</v>
      </c>
      <c r="E1432" s="2" t="s">
        <v>14410</v>
      </c>
      <c r="G1432" s="3" t="s">
        <v>62</v>
      </c>
      <c r="I1432" s="3" t="s">
        <v>62</v>
      </c>
      <c r="J1432" s="3" t="s">
        <v>62</v>
      </c>
      <c r="K1432" s="3" t="s">
        <v>63</v>
      </c>
      <c r="L1432" s="2" t="s">
        <v>14400</v>
      </c>
      <c r="M1432" s="2" t="s">
        <v>14411</v>
      </c>
      <c r="N1432" s="3" t="s">
        <v>115</v>
      </c>
      <c r="P1432" s="3" t="s">
        <v>85</v>
      </c>
      <c r="R1432" s="3" t="s">
        <v>13065</v>
      </c>
      <c r="S1432" s="4">
        <v>2</v>
      </c>
      <c r="T1432" s="4">
        <v>2</v>
      </c>
      <c r="U1432" s="5" t="s">
        <v>14412</v>
      </c>
      <c r="V1432" s="5" t="s">
        <v>14412</v>
      </c>
      <c r="W1432" s="5" t="s">
        <v>67</v>
      </c>
      <c r="X1432" s="5" t="s">
        <v>67</v>
      </c>
      <c r="Y1432" s="4">
        <v>6</v>
      </c>
      <c r="Z1432" s="4">
        <v>4</v>
      </c>
      <c r="AA1432" s="4">
        <v>15</v>
      </c>
      <c r="AB1432" s="4">
        <v>3</v>
      </c>
      <c r="AC1432" s="4">
        <v>14</v>
      </c>
      <c r="AD1432" s="4">
        <v>3</v>
      </c>
      <c r="AE1432" s="4">
        <v>8</v>
      </c>
      <c r="AF1432" s="4">
        <v>1</v>
      </c>
      <c r="AG1432" s="4">
        <v>6</v>
      </c>
      <c r="AH1432" s="4">
        <v>1</v>
      </c>
      <c r="AI1432" s="4">
        <v>2</v>
      </c>
      <c r="AJ1432" s="4">
        <v>2</v>
      </c>
      <c r="AK1432" s="4">
        <v>6</v>
      </c>
      <c r="AL1432" s="4">
        <v>0</v>
      </c>
      <c r="AM1432" s="4">
        <v>0</v>
      </c>
      <c r="AN1432" s="4">
        <v>0</v>
      </c>
      <c r="AO1432" s="4">
        <v>0</v>
      </c>
      <c r="AP1432" s="4">
        <v>1</v>
      </c>
      <c r="AQ1432" s="4">
        <v>5</v>
      </c>
      <c r="AR1432" s="3" t="s">
        <v>61</v>
      </c>
      <c r="AS1432" s="3" t="s">
        <v>62</v>
      </c>
      <c r="AT1432" s="3" t="s">
        <v>62</v>
      </c>
      <c r="AV1432" s="6" t="str">
        <f>HYPERLINK("http://mcgill.on.worldcat.org/oclc/21759224","Catalog Record")</f>
        <v>Catalog Record</v>
      </c>
      <c r="AW1432" s="6" t="str">
        <f>HYPERLINK("http://www.worldcat.org/oclc/21759224","WorldCat Record")</f>
        <v>WorldCat Record</v>
      </c>
      <c r="AX1432" s="3" t="s">
        <v>14413</v>
      </c>
      <c r="AY1432" s="3" t="s">
        <v>14414</v>
      </c>
      <c r="AZ1432" s="3" t="s">
        <v>14415</v>
      </c>
      <c r="BA1432" s="3" t="s">
        <v>14415</v>
      </c>
      <c r="BB1432" s="3" t="s">
        <v>14416</v>
      </c>
      <c r="BC1432" s="3" t="s">
        <v>102</v>
      </c>
      <c r="BD1432" s="3" t="s">
        <v>68</v>
      </c>
      <c r="BF1432" s="3" t="s">
        <v>14416</v>
      </c>
      <c r="BG1432" s="3" t="s">
        <v>14417</v>
      </c>
    </row>
    <row r="1433" spans="1:59" ht="58" x14ac:dyDescent="0.35">
      <c r="A1433" s="2" t="s">
        <v>89</v>
      </c>
      <c r="B1433" s="2" t="s">
        <v>90</v>
      </c>
      <c r="C1433" s="2" t="s">
        <v>14418</v>
      </c>
      <c r="D1433" s="2" t="s">
        <v>14419</v>
      </c>
      <c r="E1433" s="2" t="s">
        <v>14420</v>
      </c>
      <c r="G1433" s="3" t="s">
        <v>62</v>
      </c>
      <c r="I1433" s="3" t="s">
        <v>62</v>
      </c>
      <c r="J1433" s="3" t="s">
        <v>62</v>
      </c>
      <c r="K1433" s="3" t="s">
        <v>63</v>
      </c>
      <c r="M1433" s="2" t="s">
        <v>14421</v>
      </c>
      <c r="N1433" s="3" t="s">
        <v>568</v>
      </c>
      <c r="P1433" s="3" t="s">
        <v>64</v>
      </c>
      <c r="R1433" s="3" t="s">
        <v>13065</v>
      </c>
      <c r="S1433" s="4">
        <v>15</v>
      </c>
      <c r="T1433" s="4">
        <v>15</v>
      </c>
      <c r="U1433" s="5" t="s">
        <v>11149</v>
      </c>
      <c r="V1433" s="5" t="s">
        <v>11149</v>
      </c>
      <c r="W1433" s="5" t="s">
        <v>67</v>
      </c>
      <c r="X1433" s="5" t="s">
        <v>67</v>
      </c>
      <c r="Y1433" s="4">
        <v>508</v>
      </c>
      <c r="Z1433" s="4">
        <v>24</v>
      </c>
      <c r="AA1433" s="4">
        <v>34</v>
      </c>
      <c r="AB1433" s="4">
        <v>2</v>
      </c>
      <c r="AC1433" s="4">
        <v>8</v>
      </c>
      <c r="AD1433" s="4">
        <v>96</v>
      </c>
      <c r="AE1433" s="4">
        <v>119</v>
      </c>
      <c r="AF1433" s="4">
        <v>1</v>
      </c>
      <c r="AG1433" s="4">
        <v>4</v>
      </c>
      <c r="AH1433" s="4">
        <v>82</v>
      </c>
      <c r="AI1433" s="4">
        <v>101</v>
      </c>
      <c r="AJ1433" s="4">
        <v>12</v>
      </c>
      <c r="AK1433" s="4">
        <v>16</v>
      </c>
      <c r="AL1433" s="4">
        <v>41</v>
      </c>
      <c r="AM1433" s="4">
        <v>53</v>
      </c>
      <c r="AN1433" s="4">
        <v>0</v>
      </c>
      <c r="AO1433" s="4">
        <v>0</v>
      </c>
      <c r="AP1433" s="4">
        <v>19</v>
      </c>
      <c r="AQ1433" s="4">
        <v>24</v>
      </c>
      <c r="AR1433" s="3" t="s">
        <v>62</v>
      </c>
      <c r="AS1433" s="3" t="s">
        <v>62</v>
      </c>
      <c r="AT1433" s="3" t="s">
        <v>62</v>
      </c>
      <c r="AV1433" s="6" t="str">
        <f>HYPERLINK("http://mcgill.on.worldcat.org/oclc/41143060","Catalog Record")</f>
        <v>Catalog Record</v>
      </c>
      <c r="AW1433" s="6" t="str">
        <f>HYPERLINK("http://www.worldcat.org/oclc/41143060","WorldCat Record")</f>
        <v>WorldCat Record</v>
      </c>
      <c r="AX1433" s="3" t="s">
        <v>14422</v>
      </c>
      <c r="AY1433" s="3" t="s">
        <v>14423</v>
      </c>
      <c r="AZ1433" s="3" t="s">
        <v>14424</v>
      </c>
      <c r="BA1433" s="3" t="s">
        <v>14424</v>
      </c>
      <c r="BB1433" s="3" t="s">
        <v>14425</v>
      </c>
      <c r="BC1433" s="3" t="s">
        <v>102</v>
      </c>
      <c r="BD1433" s="3" t="s">
        <v>68</v>
      </c>
      <c r="BE1433" s="3" t="s">
        <v>14426</v>
      </c>
      <c r="BF1433" s="3" t="s">
        <v>14425</v>
      </c>
      <c r="BG1433" s="3" t="s">
        <v>14427</v>
      </c>
    </row>
    <row r="1434" spans="1:59" ht="58" x14ac:dyDescent="0.35">
      <c r="A1434" s="2" t="s">
        <v>89</v>
      </c>
      <c r="B1434" s="2" t="s">
        <v>90</v>
      </c>
      <c r="C1434" s="2" t="s">
        <v>14428</v>
      </c>
      <c r="D1434" s="2" t="s">
        <v>14429</v>
      </c>
      <c r="E1434" s="2" t="s">
        <v>14430</v>
      </c>
      <c r="G1434" s="3" t="s">
        <v>62</v>
      </c>
      <c r="I1434" s="3" t="s">
        <v>62</v>
      </c>
      <c r="J1434" s="3" t="s">
        <v>62</v>
      </c>
      <c r="K1434" s="3" t="s">
        <v>63</v>
      </c>
      <c r="M1434" s="2" t="s">
        <v>14431</v>
      </c>
      <c r="N1434" s="3" t="s">
        <v>466</v>
      </c>
      <c r="P1434" s="3" t="s">
        <v>64</v>
      </c>
      <c r="R1434" s="3" t="s">
        <v>13065</v>
      </c>
      <c r="S1434" s="4">
        <v>6</v>
      </c>
      <c r="T1434" s="4">
        <v>6</v>
      </c>
      <c r="U1434" s="5" t="s">
        <v>14432</v>
      </c>
      <c r="V1434" s="5" t="s">
        <v>14432</v>
      </c>
      <c r="W1434" s="5" t="s">
        <v>67</v>
      </c>
      <c r="X1434" s="5" t="s">
        <v>67</v>
      </c>
      <c r="Y1434" s="4">
        <v>18</v>
      </c>
      <c r="Z1434" s="4">
        <v>4</v>
      </c>
      <c r="AA1434" s="4">
        <v>40</v>
      </c>
      <c r="AB1434" s="4">
        <v>2</v>
      </c>
      <c r="AC1434" s="4">
        <v>6</v>
      </c>
      <c r="AD1434" s="4">
        <v>0</v>
      </c>
      <c r="AE1434" s="4">
        <v>118</v>
      </c>
      <c r="AF1434" s="4">
        <v>0</v>
      </c>
      <c r="AG1434" s="4">
        <v>3</v>
      </c>
      <c r="AH1434" s="4">
        <v>0</v>
      </c>
      <c r="AI1434" s="4">
        <v>98</v>
      </c>
      <c r="AJ1434" s="4">
        <v>0</v>
      </c>
      <c r="AK1434" s="4">
        <v>17</v>
      </c>
      <c r="AL1434" s="4">
        <v>0</v>
      </c>
      <c r="AM1434" s="4">
        <v>47</v>
      </c>
      <c r="AN1434" s="4">
        <v>0</v>
      </c>
      <c r="AO1434" s="4">
        <v>0</v>
      </c>
      <c r="AP1434" s="4">
        <v>0</v>
      </c>
      <c r="AQ1434" s="4">
        <v>29</v>
      </c>
      <c r="AR1434" s="3" t="s">
        <v>62</v>
      </c>
      <c r="AS1434" s="3" t="s">
        <v>62</v>
      </c>
      <c r="AT1434" s="3" t="s">
        <v>62</v>
      </c>
      <c r="AV1434" s="6" t="str">
        <f>HYPERLINK("http://mcgill.on.worldcat.org/oclc/427844391","Catalog Record")</f>
        <v>Catalog Record</v>
      </c>
      <c r="AW1434" s="6" t="str">
        <f>HYPERLINK("http://www.worldcat.org/oclc/427844391","WorldCat Record")</f>
        <v>WorldCat Record</v>
      </c>
      <c r="AX1434" s="3" t="s">
        <v>14433</v>
      </c>
      <c r="AY1434" s="3" t="s">
        <v>14434</v>
      </c>
      <c r="AZ1434" s="3" t="s">
        <v>14435</v>
      </c>
      <c r="BA1434" s="3" t="s">
        <v>14435</v>
      </c>
      <c r="BB1434" s="3" t="s">
        <v>14436</v>
      </c>
      <c r="BC1434" s="3" t="s">
        <v>102</v>
      </c>
      <c r="BD1434" s="3" t="s">
        <v>68</v>
      </c>
      <c r="BE1434" s="3" t="s">
        <v>14437</v>
      </c>
      <c r="BF1434" s="3" t="s">
        <v>14436</v>
      </c>
      <c r="BG1434" s="3" t="s">
        <v>14438</v>
      </c>
    </row>
    <row r="1435" spans="1:59" ht="87" x14ac:dyDescent="0.35">
      <c r="A1435" s="2" t="s">
        <v>89</v>
      </c>
      <c r="B1435" s="2" t="s">
        <v>90</v>
      </c>
      <c r="C1435" s="2" t="s">
        <v>14439</v>
      </c>
      <c r="D1435" s="2" t="s">
        <v>14440</v>
      </c>
      <c r="E1435" s="2" t="s">
        <v>14441</v>
      </c>
      <c r="F1435" s="3" t="s">
        <v>1371</v>
      </c>
      <c r="G1435" s="3" t="s">
        <v>61</v>
      </c>
      <c r="I1435" s="3" t="s">
        <v>62</v>
      </c>
      <c r="J1435" s="3" t="s">
        <v>62</v>
      </c>
      <c r="K1435" s="3" t="s">
        <v>63</v>
      </c>
      <c r="L1435" s="2" t="s">
        <v>14442</v>
      </c>
      <c r="M1435" s="2" t="s">
        <v>14443</v>
      </c>
      <c r="N1435" s="3" t="s">
        <v>327</v>
      </c>
      <c r="P1435" s="3" t="s">
        <v>64</v>
      </c>
      <c r="R1435" s="3" t="s">
        <v>13065</v>
      </c>
      <c r="S1435" s="4">
        <v>8</v>
      </c>
      <c r="T1435" s="4">
        <v>15</v>
      </c>
      <c r="U1435" s="5" t="s">
        <v>2298</v>
      </c>
      <c r="V1435" s="5" t="s">
        <v>2298</v>
      </c>
      <c r="W1435" s="5" t="s">
        <v>67</v>
      </c>
      <c r="X1435" s="5" t="s">
        <v>67</v>
      </c>
      <c r="Y1435" s="4">
        <v>5</v>
      </c>
      <c r="Z1435" s="4">
        <v>4</v>
      </c>
      <c r="AA1435" s="4">
        <v>4</v>
      </c>
      <c r="AB1435" s="4">
        <v>1</v>
      </c>
      <c r="AC1435" s="4">
        <v>1</v>
      </c>
      <c r="AD1435" s="4">
        <v>3</v>
      </c>
      <c r="AE1435" s="4">
        <v>3</v>
      </c>
      <c r="AF1435" s="4">
        <v>0</v>
      </c>
      <c r="AG1435" s="4">
        <v>0</v>
      </c>
      <c r="AH1435" s="4">
        <v>3</v>
      </c>
      <c r="AI1435" s="4">
        <v>3</v>
      </c>
      <c r="AJ1435" s="4">
        <v>1</v>
      </c>
      <c r="AK1435" s="4">
        <v>1</v>
      </c>
      <c r="AL1435" s="4">
        <v>2</v>
      </c>
      <c r="AM1435" s="4">
        <v>2</v>
      </c>
      <c r="AN1435" s="4">
        <v>0</v>
      </c>
      <c r="AO1435" s="4">
        <v>0</v>
      </c>
      <c r="AP1435" s="4">
        <v>2</v>
      </c>
      <c r="AQ1435" s="4">
        <v>2</v>
      </c>
      <c r="AR1435" s="3" t="s">
        <v>61</v>
      </c>
      <c r="AS1435" s="3" t="s">
        <v>62</v>
      </c>
      <c r="AT1435" s="3" t="s">
        <v>62</v>
      </c>
      <c r="AV1435" s="6" t="str">
        <f>HYPERLINK("http://mcgill.on.worldcat.org/oclc/61553373","Catalog Record")</f>
        <v>Catalog Record</v>
      </c>
      <c r="AW1435" s="6" t="str">
        <f>HYPERLINK("http://www.worldcat.org/oclc/61553373","WorldCat Record")</f>
        <v>WorldCat Record</v>
      </c>
      <c r="AX1435" s="3" t="s">
        <v>14444</v>
      </c>
      <c r="AY1435" s="3" t="s">
        <v>14445</v>
      </c>
      <c r="AZ1435" s="3" t="s">
        <v>14446</v>
      </c>
      <c r="BA1435" s="3" t="s">
        <v>14446</v>
      </c>
      <c r="BB1435" s="3" t="s">
        <v>14447</v>
      </c>
      <c r="BC1435" s="3" t="s">
        <v>102</v>
      </c>
      <c r="BD1435" s="3" t="s">
        <v>68</v>
      </c>
      <c r="BF1435" s="3" t="s">
        <v>14447</v>
      </c>
      <c r="BG1435" s="3" t="s">
        <v>14448</v>
      </c>
    </row>
    <row r="1436" spans="1:59" ht="87" x14ac:dyDescent="0.35">
      <c r="A1436" s="2" t="s">
        <v>89</v>
      </c>
      <c r="B1436" s="2" t="s">
        <v>90</v>
      </c>
      <c r="C1436" s="2" t="s">
        <v>14439</v>
      </c>
      <c r="D1436" s="2" t="s">
        <v>14440</v>
      </c>
      <c r="E1436" s="2" t="s">
        <v>14441</v>
      </c>
      <c r="F1436" s="3" t="s">
        <v>1381</v>
      </c>
      <c r="G1436" s="3" t="s">
        <v>61</v>
      </c>
      <c r="I1436" s="3" t="s">
        <v>62</v>
      </c>
      <c r="J1436" s="3" t="s">
        <v>62</v>
      </c>
      <c r="K1436" s="3" t="s">
        <v>63</v>
      </c>
      <c r="L1436" s="2" t="s">
        <v>14442</v>
      </c>
      <c r="M1436" s="2" t="s">
        <v>14443</v>
      </c>
      <c r="N1436" s="3" t="s">
        <v>327</v>
      </c>
      <c r="P1436" s="3" t="s">
        <v>64</v>
      </c>
      <c r="R1436" s="3" t="s">
        <v>13065</v>
      </c>
      <c r="S1436" s="4">
        <v>7</v>
      </c>
      <c r="T1436" s="4">
        <v>15</v>
      </c>
      <c r="U1436" s="5" t="s">
        <v>2298</v>
      </c>
      <c r="V1436" s="5" t="s">
        <v>2298</v>
      </c>
      <c r="W1436" s="5" t="s">
        <v>67</v>
      </c>
      <c r="X1436" s="5" t="s">
        <v>67</v>
      </c>
      <c r="Y1436" s="4">
        <v>5</v>
      </c>
      <c r="Z1436" s="4">
        <v>4</v>
      </c>
      <c r="AA1436" s="4">
        <v>4</v>
      </c>
      <c r="AB1436" s="4">
        <v>1</v>
      </c>
      <c r="AC1436" s="4">
        <v>1</v>
      </c>
      <c r="AD1436" s="4">
        <v>3</v>
      </c>
      <c r="AE1436" s="4">
        <v>3</v>
      </c>
      <c r="AF1436" s="4">
        <v>0</v>
      </c>
      <c r="AG1436" s="4">
        <v>0</v>
      </c>
      <c r="AH1436" s="4">
        <v>3</v>
      </c>
      <c r="AI1436" s="4">
        <v>3</v>
      </c>
      <c r="AJ1436" s="4">
        <v>1</v>
      </c>
      <c r="AK1436" s="4">
        <v>1</v>
      </c>
      <c r="AL1436" s="4">
        <v>2</v>
      </c>
      <c r="AM1436" s="4">
        <v>2</v>
      </c>
      <c r="AN1436" s="4">
        <v>0</v>
      </c>
      <c r="AO1436" s="4">
        <v>0</v>
      </c>
      <c r="AP1436" s="4">
        <v>2</v>
      </c>
      <c r="AQ1436" s="4">
        <v>2</v>
      </c>
      <c r="AR1436" s="3" t="s">
        <v>61</v>
      </c>
      <c r="AS1436" s="3" t="s">
        <v>62</v>
      </c>
      <c r="AT1436" s="3" t="s">
        <v>62</v>
      </c>
      <c r="AV1436" s="6" t="str">
        <f>HYPERLINK("http://mcgill.on.worldcat.org/oclc/61553373","Catalog Record")</f>
        <v>Catalog Record</v>
      </c>
      <c r="AW1436" s="6" t="str">
        <f>HYPERLINK("http://www.worldcat.org/oclc/61553373","WorldCat Record")</f>
        <v>WorldCat Record</v>
      </c>
      <c r="AX1436" s="3" t="s">
        <v>14444</v>
      </c>
      <c r="AY1436" s="3" t="s">
        <v>14445</v>
      </c>
      <c r="AZ1436" s="3" t="s">
        <v>14446</v>
      </c>
      <c r="BA1436" s="3" t="s">
        <v>14446</v>
      </c>
      <c r="BB1436" s="3" t="s">
        <v>14449</v>
      </c>
      <c r="BC1436" s="3" t="s">
        <v>102</v>
      </c>
      <c r="BD1436" s="3" t="s">
        <v>68</v>
      </c>
      <c r="BF1436" s="3" t="s">
        <v>14449</v>
      </c>
      <c r="BG1436" s="3" t="s">
        <v>14450</v>
      </c>
    </row>
    <row r="1437" spans="1:59" ht="58" x14ac:dyDescent="0.35">
      <c r="A1437" s="2" t="s">
        <v>89</v>
      </c>
      <c r="B1437" s="2" t="s">
        <v>90</v>
      </c>
      <c r="C1437" s="2" t="s">
        <v>14451</v>
      </c>
      <c r="D1437" s="2" t="s">
        <v>14452</v>
      </c>
      <c r="E1437" s="2" t="s">
        <v>14453</v>
      </c>
      <c r="G1437" s="3" t="s">
        <v>62</v>
      </c>
      <c r="I1437" s="3" t="s">
        <v>62</v>
      </c>
      <c r="J1437" s="3" t="s">
        <v>62</v>
      </c>
      <c r="K1437" s="3" t="s">
        <v>63</v>
      </c>
      <c r="L1437" s="2" t="s">
        <v>14454</v>
      </c>
      <c r="M1437" s="2" t="s">
        <v>14455</v>
      </c>
      <c r="N1437" s="3" t="s">
        <v>568</v>
      </c>
      <c r="P1437" s="3" t="s">
        <v>64</v>
      </c>
      <c r="R1437" s="3" t="s">
        <v>13065</v>
      </c>
      <c r="S1437" s="4">
        <v>10</v>
      </c>
      <c r="T1437" s="4">
        <v>10</v>
      </c>
      <c r="U1437" s="5" t="s">
        <v>14456</v>
      </c>
      <c r="V1437" s="5" t="s">
        <v>14456</v>
      </c>
      <c r="W1437" s="5" t="s">
        <v>67</v>
      </c>
      <c r="X1437" s="5" t="s">
        <v>67</v>
      </c>
      <c r="Y1437" s="4">
        <v>247</v>
      </c>
      <c r="Z1437" s="4">
        <v>8</v>
      </c>
      <c r="AA1437" s="4">
        <v>8</v>
      </c>
      <c r="AB1437" s="4">
        <v>2</v>
      </c>
      <c r="AC1437" s="4">
        <v>2</v>
      </c>
      <c r="AD1437" s="4">
        <v>55</v>
      </c>
      <c r="AE1437" s="4">
        <v>55</v>
      </c>
      <c r="AF1437" s="4">
        <v>1</v>
      </c>
      <c r="AG1437" s="4">
        <v>1</v>
      </c>
      <c r="AH1437" s="4">
        <v>50</v>
      </c>
      <c r="AI1437" s="4">
        <v>50</v>
      </c>
      <c r="AJ1437" s="4">
        <v>7</v>
      </c>
      <c r="AK1437" s="4">
        <v>7</v>
      </c>
      <c r="AL1437" s="4">
        <v>21</v>
      </c>
      <c r="AM1437" s="4">
        <v>21</v>
      </c>
      <c r="AN1437" s="4">
        <v>0</v>
      </c>
      <c r="AO1437" s="4">
        <v>0</v>
      </c>
      <c r="AP1437" s="4">
        <v>7</v>
      </c>
      <c r="AQ1437" s="4">
        <v>7</v>
      </c>
      <c r="AR1437" s="3" t="s">
        <v>62</v>
      </c>
      <c r="AS1437" s="3" t="s">
        <v>62</v>
      </c>
      <c r="AT1437" s="3" t="s">
        <v>62</v>
      </c>
      <c r="AV1437" s="6" t="str">
        <f>HYPERLINK("http://mcgill.on.worldcat.org/oclc/40776980","Catalog Record")</f>
        <v>Catalog Record</v>
      </c>
      <c r="AW1437" s="6" t="str">
        <f>HYPERLINK("http://www.worldcat.org/oclc/40776980","WorldCat Record")</f>
        <v>WorldCat Record</v>
      </c>
      <c r="AX1437" s="3" t="s">
        <v>14457</v>
      </c>
      <c r="AY1437" s="3" t="s">
        <v>14458</v>
      </c>
      <c r="AZ1437" s="3" t="s">
        <v>14459</v>
      </c>
      <c r="BA1437" s="3" t="s">
        <v>14459</v>
      </c>
      <c r="BB1437" s="3" t="s">
        <v>14460</v>
      </c>
      <c r="BC1437" s="3" t="s">
        <v>102</v>
      </c>
      <c r="BD1437" s="3" t="s">
        <v>68</v>
      </c>
      <c r="BE1437" s="3" t="s">
        <v>14461</v>
      </c>
      <c r="BF1437" s="3" t="s">
        <v>14460</v>
      </c>
      <c r="BG1437" s="3" t="s">
        <v>14462</v>
      </c>
    </row>
    <row r="1438" spans="1:59" ht="58" x14ac:dyDescent="0.35">
      <c r="A1438" s="2" t="s">
        <v>89</v>
      </c>
      <c r="B1438" s="2" t="s">
        <v>6791</v>
      </c>
      <c r="C1438" s="2" t="s">
        <v>14463</v>
      </c>
      <c r="D1438" s="2" t="s">
        <v>14464</v>
      </c>
      <c r="E1438" s="2" t="s">
        <v>14465</v>
      </c>
      <c r="G1438" s="3" t="s">
        <v>62</v>
      </c>
      <c r="I1438" s="3" t="s">
        <v>62</v>
      </c>
      <c r="J1438" s="3" t="s">
        <v>62</v>
      </c>
      <c r="K1438" s="3" t="s">
        <v>63</v>
      </c>
      <c r="L1438" s="2" t="s">
        <v>14466</v>
      </c>
      <c r="M1438" s="2" t="s">
        <v>14467</v>
      </c>
      <c r="N1438" s="3" t="s">
        <v>438</v>
      </c>
      <c r="P1438" s="3" t="s">
        <v>85</v>
      </c>
      <c r="R1438" s="3" t="s">
        <v>13065</v>
      </c>
      <c r="S1438" s="4">
        <v>2</v>
      </c>
      <c r="T1438" s="4">
        <v>2</v>
      </c>
      <c r="U1438" s="5" t="s">
        <v>14366</v>
      </c>
      <c r="V1438" s="5" t="s">
        <v>14366</v>
      </c>
      <c r="W1438" s="5" t="s">
        <v>67</v>
      </c>
      <c r="X1438" s="5" t="s">
        <v>67</v>
      </c>
      <c r="Y1438" s="4">
        <v>2</v>
      </c>
      <c r="Z1438" s="4">
        <v>1</v>
      </c>
      <c r="AA1438" s="4">
        <v>12</v>
      </c>
      <c r="AB1438" s="4">
        <v>1</v>
      </c>
      <c r="AC1438" s="4">
        <v>10</v>
      </c>
      <c r="AD1438" s="4">
        <v>1</v>
      </c>
      <c r="AE1438" s="4">
        <v>6</v>
      </c>
      <c r="AF1438" s="4">
        <v>0</v>
      </c>
      <c r="AG1438" s="4">
        <v>3</v>
      </c>
      <c r="AH1438" s="4">
        <v>1</v>
      </c>
      <c r="AI1438" s="4">
        <v>1</v>
      </c>
      <c r="AJ1438" s="4">
        <v>0</v>
      </c>
      <c r="AK1438" s="4">
        <v>3</v>
      </c>
      <c r="AL1438" s="4">
        <v>0</v>
      </c>
      <c r="AM1438" s="4">
        <v>0</v>
      </c>
      <c r="AN1438" s="4">
        <v>0</v>
      </c>
      <c r="AO1438" s="4">
        <v>0</v>
      </c>
      <c r="AP1438" s="4">
        <v>0</v>
      </c>
      <c r="AQ1438" s="4">
        <v>3</v>
      </c>
      <c r="AR1438" s="3" t="s">
        <v>61</v>
      </c>
      <c r="AS1438" s="3" t="s">
        <v>62</v>
      </c>
      <c r="AT1438" s="3" t="s">
        <v>62</v>
      </c>
      <c r="AV1438" s="6" t="str">
        <f>HYPERLINK("http://mcgill.on.worldcat.org/oclc/22209311","Catalog Record")</f>
        <v>Catalog Record</v>
      </c>
      <c r="AW1438" s="6" t="str">
        <f>HYPERLINK("http://www.worldcat.org/oclc/22209311","WorldCat Record")</f>
        <v>WorldCat Record</v>
      </c>
      <c r="AX1438" s="3" t="s">
        <v>14468</v>
      </c>
      <c r="AY1438" s="3" t="s">
        <v>14469</v>
      </c>
      <c r="AZ1438" s="3" t="s">
        <v>14470</v>
      </c>
      <c r="BA1438" s="3" t="s">
        <v>14470</v>
      </c>
      <c r="BB1438" s="3" t="s">
        <v>14471</v>
      </c>
      <c r="BC1438" s="3" t="s">
        <v>102</v>
      </c>
      <c r="BD1438" s="3" t="s">
        <v>68</v>
      </c>
      <c r="BE1438" s="3" t="s">
        <v>14472</v>
      </c>
      <c r="BF1438" s="3" t="s">
        <v>14471</v>
      </c>
      <c r="BG1438" s="3" t="s">
        <v>14473</v>
      </c>
    </row>
    <row r="1439" spans="1:59" ht="58" x14ac:dyDescent="0.35">
      <c r="A1439" s="2" t="s">
        <v>89</v>
      </c>
      <c r="B1439" s="2" t="s">
        <v>6791</v>
      </c>
      <c r="C1439" s="2" t="s">
        <v>14474</v>
      </c>
      <c r="D1439" s="2" t="s">
        <v>14475</v>
      </c>
      <c r="E1439" s="2" t="s">
        <v>14476</v>
      </c>
      <c r="G1439" s="3" t="s">
        <v>62</v>
      </c>
      <c r="I1439" s="3" t="s">
        <v>62</v>
      </c>
      <c r="J1439" s="3" t="s">
        <v>62</v>
      </c>
      <c r="K1439" s="3" t="s">
        <v>63</v>
      </c>
      <c r="M1439" s="2" t="s">
        <v>14477</v>
      </c>
      <c r="N1439" s="3" t="s">
        <v>568</v>
      </c>
      <c r="P1439" s="3" t="s">
        <v>64</v>
      </c>
      <c r="Q1439" s="2" t="s">
        <v>14478</v>
      </c>
      <c r="R1439" s="3" t="s">
        <v>13065</v>
      </c>
      <c r="S1439" s="4">
        <v>13</v>
      </c>
      <c r="T1439" s="4">
        <v>13</v>
      </c>
      <c r="U1439" s="5" t="s">
        <v>5040</v>
      </c>
      <c r="V1439" s="5" t="s">
        <v>5040</v>
      </c>
      <c r="W1439" s="5" t="s">
        <v>67</v>
      </c>
      <c r="X1439" s="5" t="s">
        <v>67</v>
      </c>
      <c r="Y1439" s="4">
        <v>543</v>
      </c>
      <c r="Z1439" s="4">
        <v>22</v>
      </c>
      <c r="AA1439" s="4">
        <v>103</v>
      </c>
      <c r="AB1439" s="4">
        <v>2</v>
      </c>
      <c r="AC1439" s="4">
        <v>17</v>
      </c>
      <c r="AD1439" s="4">
        <v>80</v>
      </c>
      <c r="AE1439" s="4">
        <v>128</v>
      </c>
      <c r="AF1439" s="4">
        <v>1</v>
      </c>
      <c r="AG1439" s="4">
        <v>8</v>
      </c>
      <c r="AH1439" s="4">
        <v>69</v>
      </c>
      <c r="AI1439" s="4">
        <v>91</v>
      </c>
      <c r="AJ1439" s="4">
        <v>13</v>
      </c>
      <c r="AK1439" s="4">
        <v>22</v>
      </c>
      <c r="AL1439" s="4">
        <v>32</v>
      </c>
      <c r="AM1439" s="4">
        <v>44</v>
      </c>
      <c r="AN1439" s="4">
        <v>0</v>
      </c>
      <c r="AO1439" s="4">
        <v>0</v>
      </c>
      <c r="AP1439" s="4">
        <v>18</v>
      </c>
      <c r="AQ1439" s="4">
        <v>45</v>
      </c>
      <c r="AR1439" s="3" t="s">
        <v>62</v>
      </c>
      <c r="AS1439" s="3" t="s">
        <v>62</v>
      </c>
      <c r="AT1439" s="3" t="s">
        <v>62</v>
      </c>
      <c r="AV1439" s="6" t="str">
        <f>HYPERLINK("http://mcgill.on.worldcat.org/oclc/43694442","Catalog Record")</f>
        <v>Catalog Record</v>
      </c>
      <c r="AW1439" s="6" t="str">
        <f>HYPERLINK("http://www.worldcat.org/oclc/43694442","WorldCat Record")</f>
        <v>WorldCat Record</v>
      </c>
      <c r="AX1439" s="3" t="s">
        <v>14479</v>
      </c>
      <c r="AY1439" s="3" t="s">
        <v>14480</v>
      </c>
      <c r="AZ1439" s="3" t="s">
        <v>14481</v>
      </c>
      <c r="BA1439" s="3" t="s">
        <v>14481</v>
      </c>
      <c r="BB1439" s="3" t="s">
        <v>14482</v>
      </c>
      <c r="BC1439" s="3" t="s">
        <v>102</v>
      </c>
      <c r="BD1439" s="3" t="s">
        <v>231</v>
      </c>
      <c r="BE1439" s="3" t="s">
        <v>14483</v>
      </c>
      <c r="BF1439" s="3" t="s">
        <v>14482</v>
      </c>
      <c r="BG1439" s="3" t="s">
        <v>14484</v>
      </c>
    </row>
    <row r="1440" spans="1:59" ht="58" x14ac:dyDescent="0.35">
      <c r="A1440" s="2" t="s">
        <v>89</v>
      </c>
      <c r="B1440" s="2" t="s">
        <v>6124</v>
      </c>
      <c r="C1440" s="2" t="s">
        <v>14485</v>
      </c>
      <c r="D1440" s="2" t="s">
        <v>14486</v>
      </c>
      <c r="E1440" s="2" t="s">
        <v>14487</v>
      </c>
      <c r="G1440" s="3" t="s">
        <v>62</v>
      </c>
      <c r="I1440" s="3" t="s">
        <v>62</v>
      </c>
      <c r="J1440" s="3" t="s">
        <v>61</v>
      </c>
      <c r="K1440" s="3" t="s">
        <v>63</v>
      </c>
      <c r="L1440" s="2" t="s">
        <v>13920</v>
      </c>
      <c r="M1440" s="2" t="s">
        <v>14488</v>
      </c>
      <c r="N1440" s="3" t="s">
        <v>1264</v>
      </c>
      <c r="P1440" s="3" t="s">
        <v>64</v>
      </c>
      <c r="R1440" s="3" t="s">
        <v>13065</v>
      </c>
      <c r="S1440" s="4">
        <v>31</v>
      </c>
      <c r="T1440" s="4">
        <v>31</v>
      </c>
      <c r="U1440" s="5" t="s">
        <v>1642</v>
      </c>
      <c r="V1440" s="5" t="s">
        <v>1642</v>
      </c>
      <c r="W1440" s="5" t="s">
        <v>67</v>
      </c>
      <c r="X1440" s="5" t="s">
        <v>67</v>
      </c>
      <c r="Y1440" s="4">
        <v>4</v>
      </c>
      <c r="Z1440" s="4">
        <v>2</v>
      </c>
      <c r="AA1440" s="4">
        <v>94</v>
      </c>
      <c r="AB1440" s="4">
        <v>1</v>
      </c>
      <c r="AC1440" s="4">
        <v>10</v>
      </c>
      <c r="AD1440" s="4">
        <v>1</v>
      </c>
      <c r="AE1440" s="4">
        <v>161</v>
      </c>
      <c r="AF1440" s="4">
        <v>0</v>
      </c>
      <c r="AG1440" s="4">
        <v>5</v>
      </c>
      <c r="AH1440" s="4">
        <v>1</v>
      </c>
      <c r="AI1440" s="4">
        <v>115</v>
      </c>
      <c r="AJ1440" s="4">
        <v>1</v>
      </c>
      <c r="AK1440" s="4">
        <v>26</v>
      </c>
      <c r="AL1440" s="4">
        <v>0</v>
      </c>
      <c r="AM1440" s="4">
        <v>64</v>
      </c>
      <c r="AN1440" s="4">
        <v>0</v>
      </c>
      <c r="AO1440" s="4">
        <v>1</v>
      </c>
      <c r="AP1440" s="4">
        <v>1</v>
      </c>
      <c r="AQ1440" s="4">
        <v>50</v>
      </c>
      <c r="AR1440" s="3" t="s">
        <v>62</v>
      </c>
      <c r="AS1440" s="3" t="s">
        <v>62</v>
      </c>
      <c r="AT1440" s="3" t="s">
        <v>62</v>
      </c>
      <c r="AV1440" s="6" t="str">
        <f>HYPERLINK("http://mcgill.on.worldcat.org/oclc/61541341","Catalog Record")</f>
        <v>Catalog Record</v>
      </c>
      <c r="AW1440" s="6" t="str">
        <f>HYPERLINK("http://www.worldcat.org/oclc/61541341","WorldCat Record")</f>
        <v>WorldCat Record</v>
      </c>
      <c r="AX1440" s="3" t="s">
        <v>14489</v>
      </c>
      <c r="AY1440" s="3" t="s">
        <v>14490</v>
      </c>
      <c r="AZ1440" s="3" t="s">
        <v>14491</v>
      </c>
      <c r="BA1440" s="3" t="s">
        <v>14491</v>
      </c>
      <c r="BB1440" s="3" t="s">
        <v>14492</v>
      </c>
      <c r="BC1440" s="3" t="s">
        <v>102</v>
      </c>
      <c r="BD1440" s="3" t="s">
        <v>68</v>
      </c>
      <c r="BF1440" s="3" t="s">
        <v>14492</v>
      </c>
      <c r="BG1440" s="3" t="s">
        <v>14493</v>
      </c>
    </row>
    <row r="1441" spans="1:59" ht="58" x14ac:dyDescent="0.35">
      <c r="A1441" s="2" t="s">
        <v>89</v>
      </c>
      <c r="B1441" s="2" t="s">
        <v>90</v>
      </c>
      <c r="C1441" s="2" t="s">
        <v>14494</v>
      </c>
      <c r="D1441" s="2" t="s">
        <v>14495</v>
      </c>
      <c r="E1441" s="2" t="s">
        <v>14496</v>
      </c>
      <c r="G1441" s="3" t="s">
        <v>62</v>
      </c>
      <c r="I1441" s="3" t="s">
        <v>61</v>
      </c>
      <c r="J1441" s="3" t="s">
        <v>61</v>
      </c>
      <c r="K1441" s="3" t="s">
        <v>63</v>
      </c>
      <c r="L1441" s="2" t="s">
        <v>13920</v>
      </c>
      <c r="M1441" s="2" t="s">
        <v>14497</v>
      </c>
      <c r="N1441" s="3" t="s">
        <v>1064</v>
      </c>
      <c r="O1441" s="2" t="s">
        <v>8350</v>
      </c>
      <c r="P1441" s="3" t="s">
        <v>64</v>
      </c>
      <c r="Q1441" s="2" t="s">
        <v>14498</v>
      </c>
      <c r="R1441" s="3" t="s">
        <v>13065</v>
      </c>
      <c r="S1441" s="4">
        <v>27</v>
      </c>
      <c r="T1441" s="4">
        <v>40</v>
      </c>
      <c r="U1441" s="5" t="s">
        <v>14499</v>
      </c>
      <c r="V1441" s="5" t="s">
        <v>14499</v>
      </c>
      <c r="W1441" s="5" t="s">
        <v>67</v>
      </c>
      <c r="X1441" s="5" t="s">
        <v>67</v>
      </c>
      <c r="Y1441" s="4">
        <v>692</v>
      </c>
      <c r="Z1441" s="4">
        <v>22</v>
      </c>
      <c r="AA1441" s="4">
        <v>94</v>
      </c>
      <c r="AB1441" s="4">
        <v>2</v>
      </c>
      <c r="AC1441" s="4">
        <v>10</v>
      </c>
      <c r="AD1441" s="4">
        <v>74</v>
      </c>
      <c r="AE1441" s="4">
        <v>161</v>
      </c>
      <c r="AF1441" s="4">
        <v>1</v>
      </c>
      <c r="AG1441" s="4">
        <v>5</v>
      </c>
      <c r="AH1441" s="4">
        <v>58</v>
      </c>
      <c r="AI1441" s="4">
        <v>115</v>
      </c>
      <c r="AJ1441" s="4">
        <v>10</v>
      </c>
      <c r="AK1441" s="4">
        <v>26</v>
      </c>
      <c r="AL1441" s="4">
        <v>37</v>
      </c>
      <c r="AM1441" s="4">
        <v>64</v>
      </c>
      <c r="AN1441" s="4">
        <v>0</v>
      </c>
      <c r="AO1441" s="4">
        <v>1</v>
      </c>
      <c r="AP1441" s="4">
        <v>16</v>
      </c>
      <c r="AQ1441" s="4">
        <v>50</v>
      </c>
      <c r="AR1441" s="3" t="s">
        <v>62</v>
      </c>
      <c r="AS1441" s="3" t="s">
        <v>62</v>
      </c>
      <c r="AT1441" s="3" t="s">
        <v>62</v>
      </c>
      <c r="AV1441" s="6" t="str">
        <f>HYPERLINK("http://mcgill.on.worldcat.org/oclc/293243","Catalog Record")</f>
        <v>Catalog Record</v>
      </c>
      <c r="AW1441" s="6" t="str">
        <f>HYPERLINK("http://www.worldcat.org/oclc/293243","WorldCat Record")</f>
        <v>WorldCat Record</v>
      </c>
      <c r="AX1441" s="3" t="s">
        <v>14489</v>
      </c>
      <c r="AY1441" s="3" t="s">
        <v>14500</v>
      </c>
      <c r="AZ1441" s="3" t="s">
        <v>14501</v>
      </c>
      <c r="BA1441" s="3" t="s">
        <v>14501</v>
      </c>
      <c r="BB1441" s="3" t="s">
        <v>14502</v>
      </c>
      <c r="BC1441" s="3" t="s">
        <v>102</v>
      </c>
      <c r="BD1441" s="3" t="s">
        <v>68</v>
      </c>
      <c r="BE1441" s="3" t="s">
        <v>14503</v>
      </c>
      <c r="BF1441" s="3" t="s">
        <v>14502</v>
      </c>
      <c r="BG1441" s="3" t="s">
        <v>14504</v>
      </c>
    </row>
    <row r="1442" spans="1:59" ht="58" x14ac:dyDescent="0.35">
      <c r="A1442" s="2" t="s">
        <v>89</v>
      </c>
      <c r="B1442" s="2" t="s">
        <v>90</v>
      </c>
      <c r="C1442" s="2" t="s">
        <v>14494</v>
      </c>
      <c r="D1442" s="2" t="s">
        <v>14495</v>
      </c>
      <c r="E1442" s="2" t="s">
        <v>14496</v>
      </c>
      <c r="G1442" s="3" t="s">
        <v>62</v>
      </c>
      <c r="I1442" s="3" t="s">
        <v>61</v>
      </c>
      <c r="J1442" s="3" t="s">
        <v>61</v>
      </c>
      <c r="K1442" s="3" t="s">
        <v>63</v>
      </c>
      <c r="L1442" s="2" t="s">
        <v>13920</v>
      </c>
      <c r="M1442" s="2" t="s">
        <v>14497</v>
      </c>
      <c r="N1442" s="3" t="s">
        <v>1064</v>
      </c>
      <c r="O1442" s="2" t="s">
        <v>8350</v>
      </c>
      <c r="P1442" s="3" t="s">
        <v>64</v>
      </c>
      <c r="Q1442" s="2" t="s">
        <v>14498</v>
      </c>
      <c r="R1442" s="3" t="s">
        <v>13065</v>
      </c>
      <c r="S1442" s="4">
        <v>13</v>
      </c>
      <c r="T1442" s="4">
        <v>40</v>
      </c>
      <c r="U1442" s="5" t="s">
        <v>14505</v>
      </c>
      <c r="V1442" s="5" t="s">
        <v>14499</v>
      </c>
      <c r="W1442" s="5" t="s">
        <v>67</v>
      </c>
      <c r="X1442" s="5" t="s">
        <v>67</v>
      </c>
      <c r="Y1442" s="4">
        <v>692</v>
      </c>
      <c r="Z1442" s="4">
        <v>22</v>
      </c>
      <c r="AA1442" s="4">
        <v>94</v>
      </c>
      <c r="AB1442" s="4">
        <v>2</v>
      </c>
      <c r="AC1442" s="4">
        <v>10</v>
      </c>
      <c r="AD1442" s="4">
        <v>74</v>
      </c>
      <c r="AE1442" s="4">
        <v>161</v>
      </c>
      <c r="AF1442" s="4">
        <v>1</v>
      </c>
      <c r="AG1442" s="4">
        <v>5</v>
      </c>
      <c r="AH1442" s="4">
        <v>58</v>
      </c>
      <c r="AI1442" s="4">
        <v>115</v>
      </c>
      <c r="AJ1442" s="4">
        <v>10</v>
      </c>
      <c r="AK1442" s="4">
        <v>26</v>
      </c>
      <c r="AL1442" s="4">
        <v>37</v>
      </c>
      <c r="AM1442" s="4">
        <v>64</v>
      </c>
      <c r="AN1442" s="4">
        <v>0</v>
      </c>
      <c r="AO1442" s="4">
        <v>1</v>
      </c>
      <c r="AP1442" s="4">
        <v>16</v>
      </c>
      <c r="AQ1442" s="4">
        <v>50</v>
      </c>
      <c r="AR1442" s="3" t="s">
        <v>62</v>
      </c>
      <c r="AS1442" s="3" t="s">
        <v>62</v>
      </c>
      <c r="AT1442" s="3" t="s">
        <v>62</v>
      </c>
      <c r="AV1442" s="6" t="str">
        <f>HYPERLINK("http://mcgill.on.worldcat.org/oclc/293243","Catalog Record")</f>
        <v>Catalog Record</v>
      </c>
      <c r="AW1442" s="6" t="str">
        <f>HYPERLINK("http://www.worldcat.org/oclc/293243","WorldCat Record")</f>
        <v>WorldCat Record</v>
      </c>
      <c r="AX1442" s="3" t="s">
        <v>14489</v>
      </c>
      <c r="AY1442" s="3" t="s">
        <v>14500</v>
      </c>
      <c r="AZ1442" s="3" t="s">
        <v>14501</v>
      </c>
      <c r="BA1442" s="3" t="s">
        <v>14501</v>
      </c>
      <c r="BB1442" s="3" t="s">
        <v>14506</v>
      </c>
      <c r="BC1442" s="3" t="s">
        <v>102</v>
      </c>
      <c r="BD1442" s="3" t="s">
        <v>68</v>
      </c>
      <c r="BE1442" s="3" t="s">
        <v>14503</v>
      </c>
      <c r="BF1442" s="3" t="s">
        <v>14506</v>
      </c>
      <c r="BG1442" s="3" t="s">
        <v>14507</v>
      </c>
    </row>
    <row r="1443" spans="1:59" ht="58" x14ac:dyDescent="0.35">
      <c r="A1443" s="2" t="s">
        <v>89</v>
      </c>
      <c r="B1443" s="2" t="s">
        <v>90</v>
      </c>
      <c r="C1443" s="2" t="s">
        <v>14508</v>
      </c>
      <c r="D1443" s="2" t="s">
        <v>14509</v>
      </c>
      <c r="E1443" s="2" t="s">
        <v>14510</v>
      </c>
      <c r="G1443" s="3" t="s">
        <v>62</v>
      </c>
      <c r="I1443" s="3" t="s">
        <v>62</v>
      </c>
      <c r="J1443" s="3" t="s">
        <v>62</v>
      </c>
      <c r="K1443" s="3" t="s">
        <v>63</v>
      </c>
      <c r="L1443" s="2" t="s">
        <v>14511</v>
      </c>
      <c r="M1443" s="2" t="s">
        <v>14512</v>
      </c>
      <c r="N1443" s="3" t="s">
        <v>2975</v>
      </c>
      <c r="P1443" s="3" t="s">
        <v>64</v>
      </c>
      <c r="R1443" s="3" t="s">
        <v>13065</v>
      </c>
      <c r="S1443" s="4">
        <v>14</v>
      </c>
      <c r="T1443" s="4">
        <v>14</v>
      </c>
      <c r="U1443" s="5" t="s">
        <v>14513</v>
      </c>
      <c r="V1443" s="5" t="s">
        <v>14513</v>
      </c>
      <c r="W1443" s="5" t="s">
        <v>67</v>
      </c>
      <c r="X1443" s="5" t="s">
        <v>67</v>
      </c>
      <c r="Y1443" s="4">
        <v>335</v>
      </c>
      <c r="Z1443" s="4">
        <v>12</v>
      </c>
      <c r="AA1443" s="4">
        <v>13</v>
      </c>
      <c r="AB1443" s="4">
        <v>1</v>
      </c>
      <c r="AC1443" s="4">
        <v>1</v>
      </c>
      <c r="AD1443" s="4">
        <v>63</v>
      </c>
      <c r="AE1443" s="4">
        <v>65</v>
      </c>
      <c r="AF1443" s="4">
        <v>0</v>
      </c>
      <c r="AG1443" s="4">
        <v>0</v>
      </c>
      <c r="AH1443" s="4">
        <v>56</v>
      </c>
      <c r="AI1443" s="4">
        <v>57</v>
      </c>
      <c r="AJ1443" s="4">
        <v>9</v>
      </c>
      <c r="AK1443" s="4">
        <v>9</v>
      </c>
      <c r="AL1443" s="4">
        <v>28</v>
      </c>
      <c r="AM1443" s="4">
        <v>28</v>
      </c>
      <c r="AN1443" s="4">
        <v>0</v>
      </c>
      <c r="AO1443" s="4">
        <v>0</v>
      </c>
      <c r="AP1443" s="4">
        <v>11</v>
      </c>
      <c r="AQ1443" s="4">
        <v>12</v>
      </c>
      <c r="AR1443" s="3" t="s">
        <v>62</v>
      </c>
      <c r="AS1443" s="3" t="s">
        <v>62</v>
      </c>
      <c r="AT1443" s="3" t="s">
        <v>61</v>
      </c>
      <c r="AU1443" s="6" t="str">
        <f>HYPERLINK("http://catalog.hathitrust.org/Record/004141056","HathiTrust Record")</f>
        <v>HathiTrust Record</v>
      </c>
      <c r="AV1443" s="6" t="str">
        <f>HYPERLINK("http://mcgill.on.worldcat.org/oclc/44090467","Catalog Record")</f>
        <v>Catalog Record</v>
      </c>
      <c r="AW1443" s="6" t="str">
        <f>HYPERLINK("http://www.worldcat.org/oclc/44090467","WorldCat Record")</f>
        <v>WorldCat Record</v>
      </c>
      <c r="AX1443" s="3" t="s">
        <v>14514</v>
      </c>
      <c r="AY1443" s="3" t="s">
        <v>14515</v>
      </c>
      <c r="AZ1443" s="3" t="s">
        <v>14516</v>
      </c>
      <c r="BA1443" s="3" t="s">
        <v>14516</v>
      </c>
      <c r="BB1443" s="3" t="s">
        <v>14517</v>
      </c>
      <c r="BC1443" s="3" t="s">
        <v>102</v>
      </c>
      <c r="BD1443" s="3" t="s">
        <v>68</v>
      </c>
      <c r="BE1443" s="3" t="s">
        <v>14518</v>
      </c>
      <c r="BF1443" s="3" t="s">
        <v>14517</v>
      </c>
      <c r="BG1443" s="3" t="s">
        <v>14519</v>
      </c>
    </row>
    <row r="1444" spans="1:59" ht="58" x14ac:dyDescent="0.35">
      <c r="A1444" s="2" t="s">
        <v>89</v>
      </c>
      <c r="B1444" s="2" t="s">
        <v>90</v>
      </c>
      <c r="C1444" s="2" t="s">
        <v>14520</v>
      </c>
      <c r="D1444" s="2" t="s">
        <v>14521</v>
      </c>
      <c r="E1444" s="2" t="s">
        <v>14522</v>
      </c>
      <c r="F1444" s="3" t="s">
        <v>2217</v>
      </c>
      <c r="G1444" s="3" t="s">
        <v>61</v>
      </c>
      <c r="I1444" s="3" t="s">
        <v>62</v>
      </c>
      <c r="J1444" s="3" t="s">
        <v>62</v>
      </c>
      <c r="K1444" s="3" t="s">
        <v>63</v>
      </c>
      <c r="M1444" s="2" t="s">
        <v>14523</v>
      </c>
      <c r="N1444" s="3" t="s">
        <v>655</v>
      </c>
      <c r="P1444" s="3" t="s">
        <v>64</v>
      </c>
      <c r="R1444" s="3" t="s">
        <v>13065</v>
      </c>
      <c r="S1444" s="4">
        <v>11</v>
      </c>
      <c r="T1444" s="4">
        <v>15</v>
      </c>
      <c r="U1444" s="5" t="s">
        <v>2002</v>
      </c>
      <c r="V1444" s="5" t="s">
        <v>2002</v>
      </c>
      <c r="W1444" s="5" t="s">
        <v>67</v>
      </c>
      <c r="X1444" s="5" t="s">
        <v>67</v>
      </c>
      <c r="Y1444" s="4">
        <v>404</v>
      </c>
      <c r="Z1444" s="4">
        <v>22</v>
      </c>
      <c r="AA1444" s="4">
        <v>89</v>
      </c>
      <c r="AB1444" s="4">
        <v>3</v>
      </c>
      <c r="AC1444" s="4">
        <v>16</v>
      </c>
      <c r="AD1444" s="4">
        <v>72</v>
      </c>
      <c r="AE1444" s="4">
        <v>121</v>
      </c>
      <c r="AF1444" s="4">
        <v>1</v>
      </c>
      <c r="AG1444" s="4">
        <v>8</v>
      </c>
      <c r="AH1444" s="4">
        <v>60</v>
      </c>
      <c r="AI1444" s="4">
        <v>83</v>
      </c>
      <c r="AJ1444" s="4">
        <v>9</v>
      </c>
      <c r="AK1444" s="4">
        <v>21</v>
      </c>
      <c r="AL1444" s="4">
        <v>32</v>
      </c>
      <c r="AM1444" s="4">
        <v>41</v>
      </c>
      <c r="AN1444" s="4">
        <v>0</v>
      </c>
      <c r="AO1444" s="4">
        <v>0</v>
      </c>
      <c r="AP1444" s="4">
        <v>17</v>
      </c>
      <c r="AQ1444" s="4">
        <v>46</v>
      </c>
      <c r="AR1444" s="3" t="s">
        <v>62</v>
      </c>
      <c r="AS1444" s="3" t="s">
        <v>62</v>
      </c>
      <c r="AT1444" s="3" t="s">
        <v>61</v>
      </c>
      <c r="AU1444" s="6" t="str">
        <f>HYPERLINK("http://catalog.hathitrust.org/Record/005667695","HathiTrust Record")</f>
        <v>HathiTrust Record</v>
      </c>
      <c r="AV1444" s="6" t="str">
        <f>HYPERLINK("http://mcgill.on.worldcat.org/oclc/73502393","Catalog Record")</f>
        <v>Catalog Record</v>
      </c>
      <c r="AW1444" s="6" t="str">
        <f>HYPERLINK("http://www.worldcat.org/oclc/73502393","WorldCat Record")</f>
        <v>WorldCat Record</v>
      </c>
      <c r="AX1444" s="3" t="s">
        <v>14524</v>
      </c>
      <c r="AY1444" s="3" t="s">
        <v>14525</v>
      </c>
      <c r="AZ1444" s="3" t="s">
        <v>14526</v>
      </c>
      <c r="BA1444" s="3" t="s">
        <v>14526</v>
      </c>
      <c r="BB1444" s="3" t="s">
        <v>14527</v>
      </c>
      <c r="BC1444" s="3" t="s">
        <v>102</v>
      </c>
      <c r="BD1444" s="3" t="s">
        <v>231</v>
      </c>
      <c r="BE1444" s="3" t="s">
        <v>14528</v>
      </c>
      <c r="BF1444" s="3" t="s">
        <v>14527</v>
      </c>
      <c r="BG1444" s="3" t="s">
        <v>14529</v>
      </c>
    </row>
    <row r="1445" spans="1:59" ht="58" x14ac:dyDescent="0.35">
      <c r="A1445" s="2" t="s">
        <v>89</v>
      </c>
      <c r="B1445" s="2" t="s">
        <v>90</v>
      </c>
      <c r="C1445" s="2" t="s">
        <v>14520</v>
      </c>
      <c r="D1445" s="2" t="s">
        <v>14521</v>
      </c>
      <c r="E1445" s="2" t="s">
        <v>14522</v>
      </c>
      <c r="F1445" s="3" t="s">
        <v>2233</v>
      </c>
      <c r="G1445" s="3" t="s">
        <v>61</v>
      </c>
      <c r="I1445" s="3" t="s">
        <v>62</v>
      </c>
      <c r="J1445" s="3" t="s">
        <v>62</v>
      </c>
      <c r="K1445" s="3" t="s">
        <v>63</v>
      </c>
      <c r="M1445" s="2" t="s">
        <v>14523</v>
      </c>
      <c r="N1445" s="3" t="s">
        <v>655</v>
      </c>
      <c r="P1445" s="3" t="s">
        <v>64</v>
      </c>
      <c r="R1445" s="3" t="s">
        <v>13065</v>
      </c>
      <c r="S1445" s="4">
        <v>4</v>
      </c>
      <c r="T1445" s="4">
        <v>15</v>
      </c>
      <c r="U1445" s="5" t="s">
        <v>4350</v>
      </c>
      <c r="V1445" s="5" t="s">
        <v>2002</v>
      </c>
      <c r="W1445" s="5" t="s">
        <v>67</v>
      </c>
      <c r="X1445" s="5" t="s">
        <v>67</v>
      </c>
      <c r="Y1445" s="4">
        <v>404</v>
      </c>
      <c r="Z1445" s="4">
        <v>22</v>
      </c>
      <c r="AA1445" s="4">
        <v>89</v>
      </c>
      <c r="AB1445" s="4">
        <v>3</v>
      </c>
      <c r="AC1445" s="4">
        <v>16</v>
      </c>
      <c r="AD1445" s="4">
        <v>72</v>
      </c>
      <c r="AE1445" s="4">
        <v>121</v>
      </c>
      <c r="AF1445" s="4">
        <v>1</v>
      </c>
      <c r="AG1445" s="4">
        <v>8</v>
      </c>
      <c r="AH1445" s="4">
        <v>60</v>
      </c>
      <c r="AI1445" s="4">
        <v>83</v>
      </c>
      <c r="AJ1445" s="4">
        <v>9</v>
      </c>
      <c r="AK1445" s="4">
        <v>21</v>
      </c>
      <c r="AL1445" s="4">
        <v>32</v>
      </c>
      <c r="AM1445" s="4">
        <v>41</v>
      </c>
      <c r="AN1445" s="4">
        <v>0</v>
      </c>
      <c r="AO1445" s="4">
        <v>0</v>
      </c>
      <c r="AP1445" s="4">
        <v>17</v>
      </c>
      <c r="AQ1445" s="4">
        <v>46</v>
      </c>
      <c r="AR1445" s="3" t="s">
        <v>62</v>
      </c>
      <c r="AS1445" s="3" t="s">
        <v>62</v>
      </c>
      <c r="AT1445" s="3" t="s">
        <v>61</v>
      </c>
      <c r="AU1445" s="6" t="str">
        <f>HYPERLINK("http://catalog.hathitrust.org/Record/005667695","HathiTrust Record")</f>
        <v>HathiTrust Record</v>
      </c>
      <c r="AV1445" s="6" t="str">
        <f>HYPERLINK("http://mcgill.on.worldcat.org/oclc/73502393","Catalog Record")</f>
        <v>Catalog Record</v>
      </c>
      <c r="AW1445" s="6" t="str">
        <f>HYPERLINK("http://www.worldcat.org/oclc/73502393","WorldCat Record")</f>
        <v>WorldCat Record</v>
      </c>
      <c r="AX1445" s="3" t="s">
        <v>14524</v>
      </c>
      <c r="AY1445" s="3" t="s">
        <v>14525</v>
      </c>
      <c r="AZ1445" s="3" t="s">
        <v>14526</v>
      </c>
      <c r="BA1445" s="3" t="s">
        <v>14526</v>
      </c>
      <c r="BB1445" s="3" t="s">
        <v>14530</v>
      </c>
      <c r="BC1445" s="3" t="s">
        <v>102</v>
      </c>
      <c r="BD1445" s="3" t="s">
        <v>68</v>
      </c>
      <c r="BE1445" s="3" t="s">
        <v>14528</v>
      </c>
      <c r="BF1445" s="3" t="s">
        <v>14530</v>
      </c>
      <c r="BG1445" s="3" t="s">
        <v>14531</v>
      </c>
    </row>
    <row r="1446" spans="1:59" ht="58" x14ac:dyDescent="0.35">
      <c r="A1446" s="2" t="s">
        <v>89</v>
      </c>
      <c r="B1446" s="2" t="s">
        <v>90</v>
      </c>
      <c r="C1446" s="2" t="s">
        <v>14532</v>
      </c>
      <c r="D1446" s="2" t="s">
        <v>14533</v>
      </c>
      <c r="E1446" s="2" t="s">
        <v>14534</v>
      </c>
      <c r="G1446" s="3" t="s">
        <v>62</v>
      </c>
      <c r="I1446" s="3" t="s">
        <v>62</v>
      </c>
      <c r="J1446" s="3" t="s">
        <v>62</v>
      </c>
      <c r="K1446" s="3" t="s">
        <v>63</v>
      </c>
      <c r="M1446" s="2" t="s">
        <v>14535</v>
      </c>
      <c r="N1446" s="3" t="s">
        <v>2975</v>
      </c>
      <c r="P1446" s="3" t="s">
        <v>64</v>
      </c>
      <c r="R1446" s="3" t="s">
        <v>13065</v>
      </c>
      <c r="S1446" s="4">
        <v>14</v>
      </c>
      <c r="T1446" s="4">
        <v>14</v>
      </c>
      <c r="U1446" s="5" t="s">
        <v>14536</v>
      </c>
      <c r="V1446" s="5" t="s">
        <v>14536</v>
      </c>
      <c r="W1446" s="5" t="s">
        <v>67</v>
      </c>
      <c r="X1446" s="5" t="s">
        <v>67</v>
      </c>
      <c r="Y1446" s="4">
        <v>402</v>
      </c>
      <c r="Z1446" s="4">
        <v>18</v>
      </c>
      <c r="AA1446" s="4">
        <v>30</v>
      </c>
      <c r="AB1446" s="4">
        <v>2</v>
      </c>
      <c r="AC1446" s="4">
        <v>9</v>
      </c>
      <c r="AD1446" s="4">
        <v>93</v>
      </c>
      <c r="AE1446" s="4">
        <v>106</v>
      </c>
      <c r="AF1446" s="4">
        <v>1</v>
      </c>
      <c r="AG1446" s="4">
        <v>5</v>
      </c>
      <c r="AH1446" s="4">
        <v>87</v>
      </c>
      <c r="AI1446" s="4">
        <v>92</v>
      </c>
      <c r="AJ1446" s="4">
        <v>11</v>
      </c>
      <c r="AK1446" s="4">
        <v>17</v>
      </c>
      <c r="AL1446" s="4">
        <v>43</v>
      </c>
      <c r="AM1446" s="4">
        <v>45</v>
      </c>
      <c r="AN1446" s="4">
        <v>0</v>
      </c>
      <c r="AO1446" s="4">
        <v>0</v>
      </c>
      <c r="AP1446" s="4">
        <v>14</v>
      </c>
      <c r="AQ1446" s="4">
        <v>22</v>
      </c>
      <c r="AR1446" s="3" t="s">
        <v>62</v>
      </c>
      <c r="AS1446" s="3" t="s">
        <v>62</v>
      </c>
      <c r="AT1446" s="3" t="s">
        <v>62</v>
      </c>
      <c r="AV1446" s="6" t="str">
        <f>HYPERLINK("http://mcgill.on.worldcat.org/oclc/44613199","Catalog Record")</f>
        <v>Catalog Record</v>
      </c>
      <c r="AW1446" s="6" t="str">
        <f>HYPERLINK("http://www.worldcat.org/oclc/44613199","WorldCat Record")</f>
        <v>WorldCat Record</v>
      </c>
      <c r="AX1446" s="3" t="s">
        <v>14537</v>
      </c>
      <c r="AY1446" s="3" t="s">
        <v>14538</v>
      </c>
      <c r="AZ1446" s="3" t="s">
        <v>14539</v>
      </c>
      <c r="BA1446" s="3" t="s">
        <v>14539</v>
      </c>
      <c r="BB1446" s="3" t="s">
        <v>14540</v>
      </c>
      <c r="BC1446" s="3" t="s">
        <v>102</v>
      </c>
      <c r="BD1446" s="3" t="s">
        <v>68</v>
      </c>
      <c r="BE1446" s="3" t="s">
        <v>14541</v>
      </c>
      <c r="BF1446" s="3" t="s">
        <v>14540</v>
      </c>
      <c r="BG1446" s="3" t="s">
        <v>14542</v>
      </c>
    </row>
    <row r="1447" spans="1:59" ht="58" x14ac:dyDescent="0.35">
      <c r="A1447" s="2" t="s">
        <v>89</v>
      </c>
      <c r="B1447" s="2" t="s">
        <v>90</v>
      </c>
      <c r="C1447" s="2" t="s">
        <v>14543</v>
      </c>
      <c r="D1447" s="2" t="s">
        <v>14544</v>
      </c>
      <c r="E1447" s="2" t="s">
        <v>14545</v>
      </c>
      <c r="G1447" s="3" t="s">
        <v>62</v>
      </c>
      <c r="I1447" s="3" t="s">
        <v>62</v>
      </c>
      <c r="J1447" s="3" t="s">
        <v>62</v>
      </c>
      <c r="K1447" s="3" t="s">
        <v>63</v>
      </c>
      <c r="M1447" s="2" t="s">
        <v>14546</v>
      </c>
      <c r="N1447" s="3" t="s">
        <v>539</v>
      </c>
      <c r="P1447" s="3" t="s">
        <v>64</v>
      </c>
      <c r="Q1447" s="2" t="s">
        <v>12452</v>
      </c>
      <c r="R1447" s="3" t="s">
        <v>13065</v>
      </c>
      <c r="S1447" s="4">
        <v>2</v>
      </c>
      <c r="T1447" s="4">
        <v>2</v>
      </c>
      <c r="U1447" s="5" t="s">
        <v>7693</v>
      </c>
      <c r="V1447" s="5" t="s">
        <v>7693</v>
      </c>
      <c r="W1447" s="5" t="s">
        <v>67</v>
      </c>
      <c r="X1447" s="5" t="s">
        <v>67</v>
      </c>
      <c r="Y1447" s="4">
        <v>399</v>
      </c>
      <c r="Z1447" s="4">
        <v>18</v>
      </c>
      <c r="AA1447" s="4">
        <v>26</v>
      </c>
      <c r="AB1447" s="4">
        <v>3</v>
      </c>
      <c r="AC1447" s="4">
        <v>8</v>
      </c>
      <c r="AD1447" s="4">
        <v>93</v>
      </c>
      <c r="AE1447" s="4">
        <v>97</v>
      </c>
      <c r="AF1447" s="4">
        <v>2</v>
      </c>
      <c r="AG1447" s="4">
        <v>5</v>
      </c>
      <c r="AH1447" s="4">
        <v>82</v>
      </c>
      <c r="AI1447" s="4">
        <v>83</v>
      </c>
      <c r="AJ1447" s="4">
        <v>11</v>
      </c>
      <c r="AK1447" s="4">
        <v>14</v>
      </c>
      <c r="AL1447" s="4">
        <v>44</v>
      </c>
      <c r="AM1447" s="4">
        <v>44</v>
      </c>
      <c r="AN1447" s="4">
        <v>0</v>
      </c>
      <c r="AO1447" s="4">
        <v>0</v>
      </c>
      <c r="AP1447" s="4">
        <v>16</v>
      </c>
      <c r="AQ1447" s="4">
        <v>19</v>
      </c>
      <c r="AR1447" s="3" t="s">
        <v>62</v>
      </c>
      <c r="AS1447" s="3" t="s">
        <v>62</v>
      </c>
      <c r="AT1447" s="3" t="s">
        <v>62</v>
      </c>
      <c r="AV1447" s="6" t="str">
        <f>HYPERLINK("http://mcgill.on.worldcat.org/oclc/37748444","Catalog Record")</f>
        <v>Catalog Record</v>
      </c>
      <c r="AW1447" s="6" t="str">
        <f>HYPERLINK("http://www.worldcat.org/oclc/37748444","WorldCat Record")</f>
        <v>WorldCat Record</v>
      </c>
      <c r="AX1447" s="3" t="s">
        <v>14547</v>
      </c>
      <c r="AY1447" s="3" t="s">
        <v>14548</v>
      </c>
      <c r="AZ1447" s="3" t="s">
        <v>14549</v>
      </c>
      <c r="BA1447" s="3" t="s">
        <v>14549</v>
      </c>
      <c r="BB1447" s="3" t="s">
        <v>14550</v>
      </c>
      <c r="BC1447" s="3" t="s">
        <v>102</v>
      </c>
      <c r="BD1447" s="3" t="s">
        <v>68</v>
      </c>
      <c r="BE1447" s="3" t="s">
        <v>14551</v>
      </c>
      <c r="BF1447" s="3" t="s">
        <v>14550</v>
      </c>
      <c r="BG1447" s="3" t="s">
        <v>14552</v>
      </c>
    </row>
    <row r="1448" spans="1:59" ht="87" x14ac:dyDescent="0.35">
      <c r="A1448" s="2" t="s">
        <v>89</v>
      </c>
      <c r="B1448" s="2" t="s">
        <v>90</v>
      </c>
      <c r="C1448" s="2" t="s">
        <v>14553</v>
      </c>
      <c r="D1448" s="2" t="s">
        <v>14554</v>
      </c>
      <c r="E1448" s="2" t="s">
        <v>14555</v>
      </c>
      <c r="G1448" s="3" t="s">
        <v>62</v>
      </c>
      <c r="I1448" s="3" t="s">
        <v>62</v>
      </c>
      <c r="J1448" s="3" t="s">
        <v>62</v>
      </c>
      <c r="K1448" s="3" t="s">
        <v>63</v>
      </c>
      <c r="M1448" s="2" t="s">
        <v>14556</v>
      </c>
      <c r="N1448" s="3" t="s">
        <v>3062</v>
      </c>
      <c r="P1448" s="3" t="s">
        <v>64</v>
      </c>
      <c r="Q1448" s="2" t="s">
        <v>14557</v>
      </c>
      <c r="R1448" s="3" t="s">
        <v>13065</v>
      </c>
      <c r="S1448" s="4">
        <v>5</v>
      </c>
      <c r="T1448" s="4">
        <v>5</v>
      </c>
      <c r="U1448" s="5" t="s">
        <v>13723</v>
      </c>
      <c r="V1448" s="5" t="s">
        <v>13723</v>
      </c>
      <c r="W1448" s="5" t="s">
        <v>67</v>
      </c>
      <c r="X1448" s="5" t="s">
        <v>67</v>
      </c>
      <c r="Y1448" s="4">
        <v>689</v>
      </c>
      <c r="Z1448" s="4">
        <v>32</v>
      </c>
      <c r="AA1448" s="4">
        <v>32</v>
      </c>
      <c r="AB1448" s="4">
        <v>2</v>
      </c>
      <c r="AC1448" s="4">
        <v>2</v>
      </c>
      <c r="AD1448" s="4">
        <v>89</v>
      </c>
      <c r="AE1448" s="4">
        <v>89</v>
      </c>
      <c r="AF1448" s="4">
        <v>1</v>
      </c>
      <c r="AG1448" s="4">
        <v>1</v>
      </c>
      <c r="AH1448" s="4">
        <v>75</v>
      </c>
      <c r="AI1448" s="4">
        <v>75</v>
      </c>
      <c r="AJ1448" s="4">
        <v>15</v>
      </c>
      <c r="AK1448" s="4">
        <v>15</v>
      </c>
      <c r="AL1448" s="4">
        <v>37</v>
      </c>
      <c r="AM1448" s="4">
        <v>37</v>
      </c>
      <c r="AN1448" s="4">
        <v>0</v>
      </c>
      <c r="AO1448" s="4">
        <v>0</v>
      </c>
      <c r="AP1448" s="4">
        <v>23</v>
      </c>
      <c r="AQ1448" s="4">
        <v>23</v>
      </c>
      <c r="AR1448" s="3" t="s">
        <v>62</v>
      </c>
      <c r="AS1448" s="3" t="s">
        <v>62</v>
      </c>
      <c r="AT1448" s="3" t="s">
        <v>61</v>
      </c>
      <c r="AU1448" s="6" t="str">
        <f>HYPERLINK("http://catalog.hathitrust.org/Record/008316839","HathiTrust Record")</f>
        <v>HathiTrust Record</v>
      </c>
      <c r="AV1448" s="6" t="str">
        <f>HYPERLINK("http://mcgill.on.worldcat.org/oclc/23823890","Catalog Record")</f>
        <v>Catalog Record</v>
      </c>
      <c r="AW1448" s="6" t="str">
        <f>HYPERLINK("http://www.worldcat.org/oclc/23823890","WorldCat Record")</f>
        <v>WorldCat Record</v>
      </c>
      <c r="AX1448" s="3" t="s">
        <v>14558</v>
      </c>
      <c r="AY1448" s="3" t="s">
        <v>14559</v>
      </c>
      <c r="AZ1448" s="3" t="s">
        <v>14560</v>
      </c>
      <c r="BA1448" s="3" t="s">
        <v>14560</v>
      </c>
      <c r="BB1448" s="3" t="s">
        <v>14561</v>
      </c>
      <c r="BC1448" s="3" t="s">
        <v>102</v>
      </c>
      <c r="BD1448" s="3" t="s">
        <v>68</v>
      </c>
      <c r="BE1448" s="3" t="s">
        <v>14562</v>
      </c>
      <c r="BF1448" s="3" t="s">
        <v>14561</v>
      </c>
      <c r="BG1448" s="3" t="s">
        <v>14563</v>
      </c>
    </row>
    <row r="1449" spans="1:59" ht="58" x14ac:dyDescent="0.35">
      <c r="A1449" s="2" t="s">
        <v>89</v>
      </c>
      <c r="B1449" s="2" t="s">
        <v>90</v>
      </c>
      <c r="C1449" s="2" t="s">
        <v>14564</v>
      </c>
      <c r="D1449" s="2" t="s">
        <v>14565</v>
      </c>
      <c r="E1449" s="2" t="s">
        <v>14566</v>
      </c>
      <c r="G1449" s="3" t="s">
        <v>62</v>
      </c>
      <c r="I1449" s="3" t="s">
        <v>62</v>
      </c>
      <c r="J1449" s="3" t="s">
        <v>62</v>
      </c>
      <c r="K1449" s="3" t="s">
        <v>63</v>
      </c>
      <c r="M1449" s="2" t="s">
        <v>14567</v>
      </c>
      <c r="N1449" s="3" t="s">
        <v>1455</v>
      </c>
      <c r="P1449" s="3" t="s">
        <v>64</v>
      </c>
      <c r="Q1449" s="2" t="s">
        <v>14568</v>
      </c>
      <c r="R1449" s="3" t="s">
        <v>13065</v>
      </c>
      <c r="S1449" s="4">
        <v>0</v>
      </c>
      <c r="T1449" s="4">
        <v>0</v>
      </c>
      <c r="W1449" s="5" t="s">
        <v>67</v>
      </c>
      <c r="X1449" s="5" t="s">
        <v>67</v>
      </c>
      <c r="Y1449" s="4">
        <v>241</v>
      </c>
      <c r="Z1449" s="4">
        <v>10</v>
      </c>
      <c r="AA1449" s="4">
        <v>10</v>
      </c>
      <c r="AB1449" s="4">
        <v>1</v>
      </c>
      <c r="AC1449" s="4">
        <v>1</v>
      </c>
      <c r="AD1449" s="4">
        <v>54</v>
      </c>
      <c r="AE1449" s="4">
        <v>54</v>
      </c>
      <c r="AF1449" s="4">
        <v>0</v>
      </c>
      <c r="AG1449" s="4">
        <v>0</v>
      </c>
      <c r="AH1449" s="4">
        <v>47</v>
      </c>
      <c r="AI1449" s="4">
        <v>47</v>
      </c>
      <c r="AJ1449" s="4">
        <v>4</v>
      </c>
      <c r="AK1449" s="4">
        <v>4</v>
      </c>
      <c r="AL1449" s="4">
        <v>29</v>
      </c>
      <c r="AM1449" s="4">
        <v>29</v>
      </c>
      <c r="AN1449" s="4">
        <v>0</v>
      </c>
      <c r="AO1449" s="4">
        <v>0</v>
      </c>
      <c r="AP1449" s="4">
        <v>8</v>
      </c>
      <c r="AQ1449" s="4">
        <v>8</v>
      </c>
      <c r="AR1449" s="3" t="s">
        <v>62</v>
      </c>
      <c r="AS1449" s="3" t="s">
        <v>62</v>
      </c>
      <c r="AT1449" s="3" t="s">
        <v>62</v>
      </c>
      <c r="AV1449" s="6" t="str">
        <f>HYPERLINK("http://mcgill.on.worldcat.org/oclc/894025588","Catalog Record")</f>
        <v>Catalog Record</v>
      </c>
      <c r="AW1449" s="6" t="str">
        <f>HYPERLINK("http://www.worldcat.org/oclc/894025588","WorldCat Record")</f>
        <v>WorldCat Record</v>
      </c>
      <c r="AX1449" s="3" t="s">
        <v>14569</v>
      </c>
      <c r="AY1449" s="3" t="s">
        <v>14570</v>
      </c>
      <c r="AZ1449" s="3" t="s">
        <v>14571</v>
      </c>
      <c r="BA1449" s="3" t="s">
        <v>14571</v>
      </c>
      <c r="BB1449" s="3" t="s">
        <v>14572</v>
      </c>
      <c r="BC1449" s="3" t="s">
        <v>102</v>
      </c>
      <c r="BD1449" s="3" t="s">
        <v>68</v>
      </c>
      <c r="BE1449" s="3" t="s">
        <v>14573</v>
      </c>
      <c r="BF1449" s="3" t="s">
        <v>14572</v>
      </c>
      <c r="BG1449" s="3" t="s">
        <v>14574</v>
      </c>
    </row>
    <row r="1450" spans="1:59" ht="58" x14ac:dyDescent="0.35">
      <c r="A1450" s="2" t="s">
        <v>89</v>
      </c>
      <c r="B1450" s="2" t="s">
        <v>6791</v>
      </c>
      <c r="C1450" s="2" t="s">
        <v>14575</v>
      </c>
      <c r="D1450" s="2" t="s">
        <v>14576</v>
      </c>
      <c r="E1450" s="2" t="s">
        <v>14577</v>
      </c>
      <c r="G1450" s="3" t="s">
        <v>62</v>
      </c>
      <c r="I1450" s="3" t="s">
        <v>62</v>
      </c>
      <c r="J1450" s="3" t="s">
        <v>61</v>
      </c>
      <c r="K1450" s="3" t="s">
        <v>63</v>
      </c>
      <c r="L1450" s="2" t="s">
        <v>14578</v>
      </c>
      <c r="M1450" s="2" t="s">
        <v>14579</v>
      </c>
      <c r="N1450" s="3" t="s">
        <v>129</v>
      </c>
      <c r="O1450" s="2" t="s">
        <v>10722</v>
      </c>
      <c r="P1450" s="3" t="s">
        <v>64</v>
      </c>
      <c r="R1450" s="3" t="s">
        <v>13065</v>
      </c>
      <c r="S1450" s="4">
        <v>3</v>
      </c>
      <c r="T1450" s="4">
        <v>3</v>
      </c>
      <c r="U1450" s="5" t="s">
        <v>14580</v>
      </c>
      <c r="V1450" s="5" t="s">
        <v>14580</v>
      </c>
      <c r="W1450" s="5" t="s">
        <v>67</v>
      </c>
      <c r="X1450" s="5" t="s">
        <v>67</v>
      </c>
      <c r="Y1450" s="4">
        <v>79</v>
      </c>
      <c r="Z1450" s="4">
        <v>7</v>
      </c>
      <c r="AA1450" s="4">
        <v>28</v>
      </c>
      <c r="AB1450" s="4">
        <v>1</v>
      </c>
      <c r="AC1450" s="4">
        <v>9</v>
      </c>
      <c r="AD1450" s="4">
        <v>20</v>
      </c>
      <c r="AE1450" s="4">
        <v>74</v>
      </c>
      <c r="AF1450" s="4">
        <v>0</v>
      </c>
      <c r="AG1450" s="4">
        <v>4</v>
      </c>
      <c r="AH1450" s="4">
        <v>19</v>
      </c>
      <c r="AI1450" s="4">
        <v>58</v>
      </c>
      <c r="AJ1450" s="4">
        <v>5</v>
      </c>
      <c r="AK1450" s="4">
        <v>16</v>
      </c>
      <c r="AL1450" s="4">
        <v>10</v>
      </c>
      <c r="AM1450" s="4">
        <v>27</v>
      </c>
      <c r="AN1450" s="4">
        <v>0</v>
      </c>
      <c r="AO1450" s="4">
        <v>5</v>
      </c>
      <c r="AP1450" s="4">
        <v>5</v>
      </c>
      <c r="AQ1450" s="4">
        <v>21</v>
      </c>
      <c r="AR1450" s="3" t="s">
        <v>62</v>
      </c>
      <c r="AS1450" s="3" t="s">
        <v>62</v>
      </c>
      <c r="AT1450" s="3" t="s">
        <v>62</v>
      </c>
      <c r="AV1450" s="6" t="str">
        <f>HYPERLINK("http://mcgill.on.worldcat.org/oclc/775664131","Catalog Record")</f>
        <v>Catalog Record</v>
      </c>
      <c r="AW1450" s="6" t="str">
        <f>HYPERLINK("http://www.worldcat.org/oclc/775664131","WorldCat Record")</f>
        <v>WorldCat Record</v>
      </c>
      <c r="AX1450" s="3" t="s">
        <v>14581</v>
      </c>
      <c r="AY1450" s="3" t="s">
        <v>14582</v>
      </c>
      <c r="AZ1450" s="3" t="s">
        <v>14583</v>
      </c>
      <c r="BA1450" s="3" t="s">
        <v>14583</v>
      </c>
      <c r="BB1450" s="3" t="s">
        <v>14584</v>
      </c>
      <c r="BC1450" s="3" t="s">
        <v>102</v>
      </c>
      <c r="BD1450" s="3" t="s">
        <v>68</v>
      </c>
      <c r="BE1450" s="3" t="s">
        <v>14585</v>
      </c>
      <c r="BF1450" s="3" t="s">
        <v>14584</v>
      </c>
      <c r="BG1450" s="3" t="s">
        <v>14586</v>
      </c>
    </row>
    <row r="1451" spans="1:59" ht="87" x14ac:dyDescent="0.35">
      <c r="A1451" s="2" t="s">
        <v>89</v>
      </c>
      <c r="B1451" s="2" t="s">
        <v>11757</v>
      </c>
      <c r="C1451" s="2" t="s">
        <v>14587</v>
      </c>
      <c r="D1451" s="2" t="s">
        <v>14588</v>
      </c>
      <c r="E1451" s="2" t="s">
        <v>14589</v>
      </c>
      <c r="G1451" s="3" t="s">
        <v>62</v>
      </c>
      <c r="I1451" s="3" t="s">
        <v>62</v>
      </c>
      <c r="J1451" s="3" t="s">
        <v>62</v>
      </c>
      <c r="K1451" s="3" t="s">
        <v>63</v>
      </c>
      <c r="M1451" s="2" t="s">
        <v>3157</v>
      </c>
      <c r="N1451" s="3" t="s">
        <v>684</v>
      </c>
      <c r="P1451" s="3" t="s">
        <v>64</v>
      </c>
      <c r="Q1451" s="2" t="s">
        <v>14590</v>
      </c>
      <c r="R1451" s="3" t="s">
        <v>13065</v>
      </c>
      <c r="S1451" s="4">
        <v>0</v>
      </c>
      <c r="T1451" s="4">
        <v>0</v>
      </c>
      <c r="W1451" s="5" t="s">
        <v>67</v>
      </c>
      <c r="X1451" s="5" t="s">
        <v>67</v>
      </c>
      <c r="Y1451" s="4">
        <v>81</v>
      </c>
      <c r="Z1451" s="4">
        <v>11</v>
      </c>
      <c r="AA1451" s="4">
        <v>39</v>
      </c>
      <c r="AB1451" s="4">
        <v>2</v>
      </c>
      <c r="AC1451" s="4">
        <v>10</v>
      </c>
      <c r="AD1451" s="4">
        <v>28</v>
      </c>
      <c r="AE1451" s="4">
        <v>80</v>
      </c>
      <c r="AF1451" s="4">
        <v>1</v>
      </c>
      <c r="AG1451" s="4">
        <v>6</v>
      </c>
      <c r="AH1451" s="4">
        <v>22</v>
      </c>
      <c r="AI1451" s="4">
        <v>52</v>
      </c>
      <c r="AJ1451" s="4">
        <v>5</v>
      </c>
      <c r="AK1451" s="4">
        <v>18</v>
      </c>
      <c r="AL1451" s="4">
        <v>15</v>
      </c>
      <c r="AM1451" s="4">
        <v>29</v>
      </c>
      <c r="AN1451" s="4">
        <v>0</v>
      </c>
      <c r="AO1451" s="4">
        <v>0</v>
      </c>
      <c r="AP1451" s="4">
        <v>8</v>
      </c>
      <c r="AQ1451" s="4">
        <v>32</v>
      </c>
      <c r="AR1451" s="3" t="s">
        <v>62</v>
      </c>
      <c r="AS1451" s="3" t="s">
        <v>62</v>
      </c>
      <c r="AT1451" s="3" t="s">
        <v>62</v>
      </c>
      <c r="AV1451" s="6" t="str">
        <f>HYPERLINK("http://mcgill.on.worldcat.org/oclc/688602161","Catalog Record")</f>
        <v>Catalog Record</v>
      </c>
      <c r="AW1451" s="6" t="str">
        <f>HYPERLINK("http://www.worldcat.org/oclc/688602161","WorldCat Record")</f>
        <v>WorldCat Record</v>
      </c>
      <c r="AX1451" s="3" t="s">
        <v>14591</v>
      </c>
      <c r="AY1451" s="3" t="s">
        <v>14592</v>
      </c>
      <c r="AZ1451" s="3" t="s">
        <v>14593</v>
      </c>
      <c r="BA1451" s="3" t="s">
        <v>14593</v>
      </c>
      <c r="BB1451" s="3" t="s">
        <v>14594</v>
      </c>
      <c r="BC1451" s="3" t="s">
        <v>102</v>
      </c>
      <c r="BD1451" s="3" t="s">
        <v>68</v>
      </c>
      <c r="BE1451" s="3" t="s">
        <v>14595</v>
      </c>
      <c r="BF1451" s="3" t="s">
        <v>14594</v>
      </c>
      <c r="BG1451" s="3" t="s">
        <v>14596</v>
      </c>
    </row>
    <row r="1452" spans="1:59" ht="58" x14ac:dyDescent="0.35">
      <c r="A1452" s="2" t="s">
        <v>89</v>
      </c>
      <c r="B1452" s="2" t="s">
        <v>90</v>
      </c>
      <c r="C1452" s="2" t="s">
        <v>14597</v>
      </c>
      <c r="D1452" s="2" t="s">
        <v>14598</v>
      </c>
      <c r="E1452" s="2" t="s">
        <v>14599</v>
      </c>
      <c r="G1452" s="3" t="s">
        <v>62</v>
      </c>
      <c r="I1452" s="3" t="s">
        <v>62</v>
      </c>
      <c r="J1452" s="3" t="s">
        <v>62</v>
      </c>
      <c r="K1452" s="3" t="s">
        <v>63</v>
      </c>
      <c r="M1452" s="2" t="s">
        <v>14600</v>
      </c>
      <c r="N1452" s="3" t="s">
        <v>640</v>
      </c>
      <c r="P1452" s="3" t="s">
        <v>64</v>
      </c>
      <c r="R1452" s="3" t="s">
        <v>13065</v>
      </c>
      <c r="S1452" s="4">
        <v>1</v>
      </c>
      <c r="T1452" s="4">
        <v>1</v>
      </c>
      <c r="U1452" s="5" t="s">
        <v>468</v>
      </c>
      <c r="V1452" s="5" t="s">
        <v>468</v>
      </c>
      <c r="W1452" s="5" t="s">
        <v>67</v>
      </c>
      <c r="X1452" s="5" t="s">
        <v>67</v>
      </c>
      <c r="Y1452" s="4">
        <v>16</v>
      </c>
      <c r="Z1452" s="4">
        <v>2</v>
      </c>
      <c r="AA1452" s="4">
        <v>2</v>
      </c>
      <c r="AB1452" s="4">
        <v>1</v>
      </c>
      <c r="AC1452" s="4">
        <v>1</v>
      </c>
      <c r="AD1452" s="4">
        <v>3</v>
      </c>
      <c r="AE1452" s="4">
        <v>3</v>
      </c>
      <c r="AF1452" s="4">
        <v>0</v>
      </c>
      <c r="AG1452" s="4">
        <v>0</v>
      </c>
      <c r="AH1452" s="4">
        <v>3</v>
      </c>
      <c r="AI1452" s="4">
        <v>3</v>
      </c>
      <c r="AJ1452" s="4">
        <v>1</v>
      </c>
      <c r="AK1452" s="4">
        <v>1</v>
      </c>
      <c r="AL1452" s="4">
        <v>0</v>
      </c>
      <c r="AM1452" s="4">
        <v>0</v>
      </c>
      <c r="AN1452" s="4">
        <v>0</v>
      </c>
      <c r="AO1452" s="4">
        <v>0</v>
      </c>
      <c r="AP1452" s="4">
        <v>1</v>
      </c>
      <c r="AQ1452" s="4">
        <v>1</v>
      </c>
      <c r="AR1452" s="3" t="s">
        <v>62</v>
      </c>
      <c r="AS1452" s="3" t="s">
        <v>62</v>
      </c>
      <c r="AT1452" s="3" t="s">
        <v>62</v>
      </c>
      <c r="AV1452" s="6" t="str">
        <f>HYPERLINK("http://mcgill.on.worldcat.org/oclc/427634780","Catalog Record")</f>
        <v>Catalog Record</v>
      </c>
      <c r="AW1452" s="6" t="str">
        <f>HYPERLINK("http://www.worldcat.org/oclc/427634780","WorldCat Record")</f>
        <v>WorldCat Record</v>
      </c>
      <c r="AX1452" s="3" t="s">
        <v>14601</v>
      </c>
      <c r="AY1452" s="3" t="s">
        <v>14602</v>
      </c>
      <c r="AZ1452" s="3" t="s">
        <v>14603</v>
      </c>
      <c r="BA1452" s="3" t="s">
        <v>14603</v>
      </c>
      <c r="BB1452" s="3" t="s">
        <v>14604</v>
      </c>
      <c r="BC1452" s="3" t="s">
        <v>102</v>
      </c>
      <c r="BD1452" s="3" t="s">
        <v>68</v>
      </c>
      <c r="BE1452" s="3" t="s">
        <v>14605</v>
      </c>
      <c r="BF1452" s="3" t="s">
        <v>14604</v>
      </c>
      <c r="BG1452" s="3" t="s">
        <v>14606</v>
      </c>
    </row>
    <row r="1453" spans="1:59" ht="58" x14ac:dyDescent="0.35">
      <c r="A1453" s="2" t="s">
        <v>89</v>
      </c>
      <c r="B1453" s="2" t="s">
        <v>90</v>
      </c>
      <c r="C1453" s="2" t="s">
        <v>14607</v>
      </c>
      <c r="D1453" s="2" t="s">
        <v>14608</v>
      </c>
      <c r="E1453" s="2" t="s">
        <v>14609</v>
      </c>
      <c r="G1453" s="3" t="s">
        <v>62</v>
      </c>
      <c r="I1453" s="3" t="s">
        <v>62</v>
      </c>
      <c r="J1453" s="3" t="s">
        <v>62</v>
      </c>
      <c r="K1453" s="3" t="s">
        <v>63</v>
      </c>
      <c r="M1453" s="2" t="s">
        <v>14610</v>
      </c>
      <c r="N1453" s="3" t="s">
        <v>2985</v>
      </c>
      <c r="P1453" s="3" t="s">
        <v>64</v>
      </c>
      <c r="Q1453" s="2" t="s">
        <v>14611</v>
      </c>
      <c r="R1453" s="3" t="s">
        <v>13065</v>
      </c>
      <c r="S1453" s="4">
        <v>1</v>
      </c>
      <c r="T1453" s="4">
        <v>1</v>
      </c>
      <c r="U1453" s="5" t="s">
        <v>770</v>
      </c>
      <c r="V1453" s="5" t="s">
        <v>770</v>
      </c>
      <c r="W1453" s="5" t="s">
        <v>67</v>
      </c>
      <c r="X1453" s="5" t="s">
        <v>67</v>
      </c>
      <c r="Y1453" s="4">
        <v>74</v>
      </c>
      <c r="Z1453" s="4">
        <v>10</v>
      </c>
      <c r="AA1453" s="4">
        <v>80</v>
      </c>
      <c r="AB1453" s="4">
        <v>3</v>
      </c>
      <c r="AC1453" s="4">
        <v>15</v>
      </c>
      <c r="AD1453" s="4">
        <v>23</v>
      </c>
      <c r="AE1453" s="4">
        <v>88</v>
      </c>
      <c r="AF1453" s="4">
        <v>1</v>
      </c>
      <c r="AG1453" s="4">
        <v>8</v>
      </c>
      <c r="AH1453" s="4">
        <v>18</v>
      </c>
      <c r="AI1453" s="4">
        <v>58</v>
      </c>
      <c r="AJ1453" s="4">
        <v>6</v>
      </c>
      <c r="AK1453" s="4">
        <v>18</v>
      </c>
      <c r="AL1453" s="4">
        <v>10</v>
      </c>
      <c r="AM1453" s="4">
        <v>27</v>
      </c>
      <c r="AN1453" s="4">
        <v>0</v>
      </c>
      <c r="AO1453" s="4">
        <v>0</v>
      </c>
      <c r="AP1453" s="4">
        <v>8</v>
      </c>
      <c r="AQ1453" s="4">
        <v>38</v>
      </c>
      <c r="AR1453" s="3" t="s">
        <v>62</v>
      </c>
      <c r="AS1453" s="3" t="s">
        <v>62</v>
      </c>
      <c r="AT1453" s="3" t="s">
        <v>62</v>
      </c>
      <c r="AV1453" s="6" t="str">
        <f>HYPERLINK("http://mcgill.on.worldcat.org/oclc/317068130","Catalog Record")</f>
        <v>Catalog Record</v>
      </c>
      <c r="AW1453" s="6" t="str">
        <f>HYPERLINK("http://www.worldcat.org/oclc/317068130","WorldCat Record")</f>
        <v>WorldCat Record</v>
      </c>
      <c r="AX1453" s="3" t="s">
        <v>14612</v>
      </c>
      <c r="AY1453" s="3" t="s">
        <v>14613</v>
      </c>
      <c r="AZ1453" s="3" t="s">
        <v>14614</v>
      </c>
      <c r="BA1453" s="3" t="s">
        <v>14614</v>
      </c>
      <c r="BB1453" s="3" t="s">
        <v>14615</v>
      </c>
      <c r="BC1453" s="3" t="s">
        <v>102</v>
      </c>
      <c r="BD1453" s="3" t="s">
        <v>68</v>
      </c>
      <c r="BE1453" s="3" t="s">
        <v>14616</v>
      </c>
      <c r="BF1453" s="3" t="s">
        <v>14615</v>
      </c>
      <c r="BG1453" s="3" t="s">
        <v>14617</v>
      </c>
    </row>
    <row r="1454" spans="1:59" ht="58" x14ac:dyDescent="0.35">
      <c r="A1454" s="2" t="s">
        <v>89</v>
      </c>
      <c r="B1454" s="2" t="s">
        <v>90</v>
      </c>
      <c r="C1454" s="2" t="s">
        <v>14618</v>
      </c>
      <c r="D1454" s="2" t="s">
        <v>14619</v>
      </c>
      <c r="E1454" s="2" t="s">
        <v>14620</v>
      </c>
      <c r="G1454" s="3" t="s">
        <v>62</v>
      </c>
      <c r="I1454" s="3" t="s">
        <v>62</v>
      </c>
      <c r="J1454" s="3" t="s">
        <v>62</v>
      </c>
      <c r="K1454" s="3" t="s">
        <v>63</v>
      </c>
      <c r="M1454" s="2" t="s">
        <v>14621</v>
      </c>
      <c r="N1454" s="3" t="s">
        <v>1722</v>
      </c>
      <c r="P1454" s="3" t="s">
        <v>64</v>
      </c>
      <c r="Q1454" s="2" t="s">
        <v>14622</v>
      </c>
      <c r="R1454" s="3" t="s">
        <v>13065</v>
      </c>
      <c r="S1454" s="4">
        <v>5</v>
      </c>
      <c r="T1454" s="4">
        <v>5</v>
      </c>
      <c r="U1454" s="5" t="s">
        <v>8928</v>
      </c>
      <c r="V1454" s="5" t="s">
        <v>8928</v>
      </c>
      <c r="W1454" s="5" t="s">
        <v>67</v>
      </c>
      <c r="X1454" s="5" t="s">
        <v>67</v>
      </c>
      <c r="Y1454" s="4">
        <v>79</v>
      </c>
      <c r="Z1454" s="4">
        <v>10</v>
      </c>
      <c r="AA1454" s="4">
        <v>86</v>
      </c>
      <c r="AB1454" s="4">
        <v>1</v>
      </c>
      <c r="AC1454" s="4">
        <v>17</v>
      </c>
      <c r="AD1454" s="4">
        <v>27</v>
      </c>
      <c r="AE1454" s="4">
        <v>90</v>
      </c>
      <c r="AF1454" s="4">
        <v>0</v>
      </c>
      <c r="AG1454" s="4">
        <v>8</v>
      </c>
      <c r="AH1454" s="4">
        <v>22</v>
      </c>
      <c r="AI1454" s="4">
        <v>56</v>
      </c>
      <c r="AJ1454" s="4">
        <v>5</v>
      </c>
      <c r="AK1454" s="4">
        <v>18</v>
      </c>
      <c r="AL1454" s="4">
        <v>13</v>
      </c>
      <c r="AM1454" s="4">
        <v>29</v>
      </c>
      <c r="AN1454" s="4">
        <v>0</v>
      </c>
      <c r="AO1454" s="4">
        <v>0</v>
      </c>
      <c r="AP1454" s="4">
        <v>9</v>
      </c>
      <c r="AQ1454" s="4">
        <v>40</v>
      </c>
      <c r="AR1454" s="3" t="s">
        <v>62</v>
      </c>
      <c r="AS1454" s="3" t="s">
        <v>62</v>
      </c>
      <c r="AT1454" s="3" t="s">
        <v>61</v>
      </c>
      <c r="AU1454" s="6" t="str">
        <f>HYPERLINK("http://catalog.hathitrust.org/Record/005676861","HathiTrust Record")</f>
        <v>HathiTrust Record</v>
      </c>
      <c r="AV1454" s="6" t="str">
        <f>HYPERLINK("http://mcgill.on.worldcat.org/oclc/182573538","Catalog Record")</f>
        <v>Catalog Record</v>
      </c>
      <c r="AW1454" s="6" t="str">
        <f>HYPERLINK("http://www.worldcat.org/oclc/182573538","WorldCat Record")</f>
        <v>WorldCat Record</v>
      </c>
      <c r="AX1454" s="3" t="s">
        <v>14623</v>
      </c>
      <c r="AY1454" s="3" t="s">
        <v>14624</v>
      </c>
      <c r="AZ1454" s="3" t="s">
        <v>14625</v>
      </c>
      <c r="BA1454" s="3" t="s">
        <v>14625</v>
      </c>
      <c r="BB1454" s="3" t="s">
        <v>14626</v>
      </c>
      <c r="BC1454" s="3" t="s">
        <v>102</v>
      </c>
      <c r="BD1454" s="3" t="s">
        <v>68</v>
      </c>
      <c r="BE1454" s="3" t="s">
        <v>14627</v>
      </c>
      <c r="BF1454" s="3" t="s">
        <v>14626</v>
      </c>
      <c r="BG1454" s="3" t="s">
        <v>14628</v>
      </c>
    </row>
    <row r="1455" spans="1:59" ht="58" x14ac:dyDescent="0.35">
      <c r="A1455" s="2" t="s">
        <v>89</v>
      </c>
      <c r="B1455" s="2" t="s">
        <v>6791</v>
      </c>
      <c r="C1455" s="2" t="s">
        <v>14629</v>
      </c>
      <c r="D1455" s="2" t="s">
        <v>14630</v>
      </c>
      <c r="E1455" s="2" t="s">
        <v>14631</v>
      </c>
      <c r="G1455" s="3" t="s">
        <v>62</v>
      </c>
      <c r="I1455" s="3" t="s">
        <v>62</v>
      </c>
      <c r="J1455" s="3" t="s">
        <v>61</v>
      </c>
      <c r="K1455" s="3" t="s">
        <v>63</v>
      </c>
      <c r="L1455" s="2" t="s">
        <v>14632</v>
      </c>
      <c r="M1455" s="2" t="s">
        <v>14633</v>
      </c>
      <c r="N1455" s="3" t="s">
        <v>129</v>
      </c>
      <c r="O1455" s="2" t="s">
        <v>2986</v>
      </c>
      <c r="P1455" s="3" t="s">
        <v>64</v>
      </c>
      <c r="Q1455" s="2" t="s">
        <v>14634</v>
      </c>
      <c r="R1455" s="3" t="s">
        <v>13065</v>
      </c>
      <c r="S1455" s="4">
        <v>1</v>
      </c>
      <c r="T1455" s="4">
        <v>1</v>
      </c>
      <c r="U1455" s="5" t="s">
        <v>14635</v>
      </c>
      <c r="V1455" s="5" t="s">
        <v>14635</v>
      </c>
      <c r="W1455" s="5" t="s">
        <v>67</v>
      </c>
      <c r="X1455" s="5" t="s">
        <v>67</v>
      </c>
      <c r="Y1455" s="4">
        <v>116</v>
      </c>
      <c r="Z1455" s="4">
        <v>10</v>
      </c>
      <c r="AA1455" s="4">
        <v>25</v>
      </c>
      <c r="AB1455" s="4">
        <v>2</v>
      </c>
      <c r="AC1455" s="4">
        <v>7</v>
      </c>
      <c r="AD1455" s="4">
        <v>27</v>
      </c>
      <c r="AE1455" s="4">
        <v>67</v>
      </c>
      <c r="AF1455" s="4">
        <v>1</v>
      </c>
      <c r="AG1455" s="4">
        <v>3</v>
      </c>
      <c r="AH1455" s="4">
        <v>21</v>
      </c>
      <c r="AI1455" s="4">
        <v>56</v>
      </c>
      <c r="AJ1455" s="4">
        <v>7</v>
      </c>
      <c r="AK1455" s="4">
        <v>16</v>
      </c>
      <c r="AL1455" s="4">
        <v>10</v>
      </c>
      <c r="AM1455" s="4">
        <v>28</v>
      </c>
      <c r="AN1455" s="4">
        <v>0</v>
      </c>
      <c r="AO1455" s="4">
        <v>0</v>
      </c>
      <c r="AP1455" s="4">
        <v>9</v>
      </c>
      <c r="AQ1455" s="4">
        <v>19</v>
      </c>
      <c r="AR1455" s="3" t="s">
        <v>62</v>
      </c>
      <c r="AS1455" s="3" t="s">
        <v>62</v>
      </c>
      <c r="AT1455" s="3" t="s">
        <v>62</v>
      </c>
      <c r="AV1455" s="6" t="str">
        <f>HYPERLINK("http://mcgill.on.worldcat.org/oclc/798809781","Catalog Record")</f>
        <v>Catalog Record</v>
      </c>
      <c r="AW1455" s="6" t="str">
        <f>HYPERLINK("http://www.worldcat.org/oclc/798809781","WorldCat Record")</f>
        <v>WorldCat Record</v>
      </c>
      <c r="AX1455" s="3" t="s">
        <v>14636</v>
      </c>
      <c r="AY1455" s="3" t="s">
        <v>14637</v>
      </c>
      <c r="AZ1455" s="3" t="s">
        <v>14638</v>
      </c>
      <c r="BA1455" s="3" t="s">
        <v>14638</v>
      </c>
      <c r="BB1455" s="3" t="s">
        <v>14639</v>
      </c>
      <c r="BC1455" s="3" t="s">
        <v>102</v>
      </c>
      <c r="BD1455" s="3" t="s">
        <v>68</v>
      </c>
      <c r="BE1455" s="3" t="s">
        <v>14640</v>
      </c>
      <c r="BF1455" s="3" t="s">
        <v>14639</v>
      </c>
      <c r="BG1455" s="3" t="s">
        <v>14641</v>
      </c>
    </row>
    <row r="1456" spans="1:59" ht="58" x14ac:dyDescent="0.35">
      <c r="A1456" s="2" t="s">
        <v>89</v>
      </c>
      <c r="B1456" s="2" t="s">
        <v>6791</v>
      </c>
      <c r="C1456" s="2" t="s">
        <v>14642</v>
      </c>
      <c r="D1456" s="2" t="s">
        <v>14643</v>
      </c>
      <c r="E1456" s="2" t="s">
        <v>14644</v>
      </c>
      <c r="G1456" s="3" t="s">
        <v>62</v>
      </c>
      <c r="I1456" s="3" t="s">
        <v>62</v>
      </c>
      <c r="J1456" s="3" t="s">
        <v>62</v>
      </c>
      <c r="K1456" s="3" t="s">
        <v>63</v>
      </c>
      <c r="M1456" s="2" t="s">
        <v>14645</v>
      </c>
      <c r="N1456" s="3" t="s">
        <v>1722</v>
      </c>
      <c r="P1456" s="3" t="s">
        <v>64</v>
      </c>
      <c r="Q1456" s="2" t="s">
        <v>14646</v>
      </c>
      <c r="R1456" s="3" t="s">
        <v>13065</v>
      </c>
      <c r="S1456" s="4">
        <v>8</v>
      </c>
      <c r="T1456" s="4">
        <v>8</v>
      </c>
      <c r="U1456" s="5" t="s">
        <v>5040</v>
      </c>
      <c r="V1456" s="5" t="s">
        <v>5040</v>
      </c>
      <c r="W1456" s="5" t="s">
        <v>67</v>
      </c>
      <c r="X1456" s="5" t="s">
        <v>67</v>
      </c>
      <c r="Y1456" s="4">
        <v>83</v>
      </c>
      <c r="Z1456" s="4">
        <v>5</v>
      </c>
      <c r="AA1456" s="4">
        <v>7</v>
      </c>
      <c r="AB1456" s="4">
        <v>1</v>
      </c>
      <c r="AC1456" s="4">
        <v>3</v>
      </c>
      <c r="AD1456" s="4">
        <v>17</v>
      </c>
      <c r="AE1456" s="4">
        <v>18</v>
      </c>
      <c r="AF1456" s="4">
        <v>0</v>
      </c>
      <c r="AG1456" s="4">
        <v>1</v>
      </c>
      <c r="AH1456" s="4">
        <v>14</v>
      </c>
      <c r="AI1456" s="4">
        <v>14</v>
      </c>
      <c r="AJ1456" s="4">
        <v>2</v>
      </c>
      <c r="AK1456" s="4">
        <v>3</v>
      </c>
      <c r="AL1456" s="4">
        <v>7</v>
      </c>
      <c r="AM1456" s="4">
        <v>7</v>
      </c>
      <c r="AN1456" s="4">
        <v>0</v>
      </c>
      <c r="AO1456" s="4">
        <v>0</v>
      </c>
      <c r="AP1456" s="4">
        <v>4</v>
      </c>
      <c r="AQ1456" s="4">
        <v>5</v>
      </c>
      <c r="AR1456" s="3" t="s">
        <v>62</v>
      </c>
      <c r="AS1456" s="3" t="s">
        <v>62</v>
      </c>
      <c r="AT1456" s="3" t="s">
        <v>62</v>
      </c>
      <c r="AV1456" s="6" t="str">
        <f>HYPERLINK("http://mcgill.on.worldcat.org/oclc/243920850","Catalog Record")</f>
        <v>Catalog Record</v>
      </c>
      <c r="AW1456" s="6" t="str">
        <f>HYPERLINK("http://www.worldcat.org/oclc/243920850","WorldCat Record")</f>
        <v>WorldCat Record</v>
      </c>
      <c r="AX1456" s="3" t="s">
        <v>14647</v>
      </c>
      <c r="AY1456" s="3" t="s">
        <v>14648</v>
      </c>
      <c r="AZ1456" s="3" t="s">
        <v>14649</v>
      </c>
      <c r="BA1456" s="3" t="s">
        <v>14649</v>
      </c>
      <c r="BB1456" s="3" t="s">
        <v>14650</v>
      </c>
      <c r="BC1456" s="3" t="s">
        <v>102</v>
      </c>
      <c r="BD1456" s="3" t="s">
        <v>231</v>
      </c>
      <c r="BE1456" s="3" t="s">
        <v>14651</v>
      </c>
      <c r="BF1456" s="3" t="s">
        <v>14650</v>
      </c>
      <c r="BG1456" s="3" t="s">
        <v>14652</v>
      </c>
    </row>
    <row r="1457" spans="1:59" ht="58" x14ac:dyDescent="0.35">
      <c r="A1457" s="2" t="s">
        <v>89</v>
      </c>
      <c r="B1457" s="2" t="s">
        <v>6791</v>
      </c>
      <c r="C1457" s="2" t="s">
        <v>14653</v>
      </c>
      <c r="D1457" s="2" t="s">
        <v>14654</v>
      </c>
      <c r="E1457" s="2" t="s">
        <v>14655</v>
      </c>
      <c r="G1457" s="3" t="s">
        <v>62</v>
      </c>
      <c r="I1457" s="3" t="s">
        <v>62</v>
      </c>
      <c r="J1457" s="3" t="s">
        <v>62</v>
      </c>
      <c r="K1457" s="3" t="s">
        <v>63</v>
      </c>
      <c r="M1457" s="2" t="s">
        <v>14656</v>
      </c>
      <c r="N1457" s="3" t="s">
        <v>655</v>
      </c>
      <c r="P1457" s="3" t="s">
        <v>64</v>
      </c>
      <c r="R1457" s="3" t="s">
        <v>13065</v>
      </c>
      <c r="S1457" s="4">
        <v>3</v>
      </c>
      <c r="T1457" s="4">
        <v>3</v>
      </c>
      <c r="U1457" s="5" t="s">
        <v>14657</v>
      </c>
      <c r="V1457" s="5" t="s">
        <v>14657</v>
      </c>
      <c r="W1457" s="5" t="s">
        <v>67</v>
      </c>
      <c r="X1457" s="5" t="s">
        <v>67</v>
      </c>
      <c r="Y1457" s="4">
        <v>450</v>
      </c>
      <c r="Z1457" s="4">
        <v>16</v>
      </c>
      <c r="AA1457" s="4">
        <v>20</v>
      </c>
      <c r="AB1457" s="4">
        <v>2</v>
      </c>
      <c r="AC1457" s="4">
        <v>6</v>
      </c>
      <c r="AD1457" s="4">
        <v>83</v>
      </c>
      <c r="AE1457" s="4">
        <v>85</v>
      </c>
      <c r="AF1457" s="4">
        <v>1</v>
      </c>
      <c r="AG1457" s="4">
        <v>2</v>
      </c>
      <c r="AH1457" s="4">
        <v>76</v>
      </c>
      <c r="AI1457" s="4">
        <v>78</v>
      </c>
      <c r="AJ1457" s="4">
        <v>8</v>
      </c>
      <c r="AK1457" s="4">
        <v>9</v>
      </c>
      <c r="AL1457" s="4">
        <v>40</v>
      </c>
      <c r="AM1457" s="4">
        <v>41</v>
      </c>
      <c r="AN1457" s="4">
        <v>0</v>
      </c>
      <c r="AO1457" s="4">
        <v>0</v>
      </c>
      <c r="AP1457" s="4">
        <v>12</v>
      </c>
      <c r="AQ1457" s="4">
        <v>13</v>
      </c>
      <c r="AR1457" s="3" t="s">
        <v>62</v>
      </c>
      <c r="AS1457" s="3" t="s">
        <v>62</v>
      </c>
      <c r="AT1457" s="3" t="s">
        <v>62</v>
      </c>
      <c r="AV1457" s="6" t="str">
        <f>HYPERLINK("http://mcgill.on.worldcat.org/oclc/63245283","Catalog Record")</f>
        <v>Catalog Record</v>
      </c>
      <c r="AW1457" s="6" t="str">
        <f>HYPERLINK("http://www.worldcat.org/oclc/63245283","WorldCat Record")</f>
        <v>WorldCat Record</v>
      </c>
      <c r="AX1457" s="3" t="s">
        <v>14658</v>
      </c>
      <c r="AY1457" s="3" t="s">
        <v>14659</v>
      </c>
      <c r="AZ1457" s="3" t="s">
        <v>14660</v>
      </c>
      <c r="BA1457" s="3" t="s">
        <v>14660</v>
      </c>
      <c r="BB1457" s="3" t="s">
        <v>14661</v>
      </c>
      <c r="BC1457" s="3" t="s">
        <v>102</v>
      </c>
      <c r="BD1457" s="3" t="s">
        <v>68</v>
      </c>
      <c r="BE1457" s="3" t="s">
        <v>14662</v>
      </c>
      <c r="BF1457" s="3" t="s">
        <v>14661</v>
      </c>
      <c r="BG1457" s="3" t="s">
        <v>14663</v>
      </c>
    </row>
    <row r="1458" spans="1:59" ht="58" x14ac:dyDescent="0.35">
      <c r="A1458" s="2" t="s">
        <v>89</v>
      </c>
      <c r="B1458" s="2" t="s">
        <v>6791</v>
      </c>
      <c r="C1458" s="2" t="s">
        <v>14664</v>
      </c>
      <c r="D1458" s="2" t="s">
        <v>14665</v>
      </c>
      <c r="E1458" s="2" t="s">
        <v>14666</v>
      </c>
      <c r="G1458" s="3" t="s">
        <v>62</v>
      </c>
      <c r="I1458" s="3" t="s">
        <v>62</v>
      </c>
      <c r="J1458" s="3" t="s">
        <v>62</v>
      </c>
      <c r="K1458" s="3" t="s">
        <v>63</v>
      </c>
      <c r="M1458" s="2" t="s">
        <v>14667</v>
      </c>
      <c r="N1458" s="3" t="s">
        <v>1722</v>
      </c>
      <c r="P1458" s="3" t="s">
        <v>64</v>
      </c>
      <c r="Q1458" s="2" t="s">
        <v>14668</v>
      </c>
      <c r="R1458" s="3" t="s">
        <v>13065</v>
      </c>
      <c r="S1458" s="4">
        <v>3</v>
      </c>
      <c r="T1458" s="4">
        <v>3</v>
      </c>
      <c r="U1458" s="5" t="s">
        <v>5040</v>
      </c>
      <c r="V1458" s="5" t="s">
        <v>5040</v>
      </c>
      <c r="W1458" s="5" t="s">
        <v>67</v>
      </c>
      <c r="X1458" s="5" t="s">
        <v>67</v>
      </c>
      <c r="Y1458" s="4">
        <v>78</v>
      </c>
      <c r="Z1458" s="4">
        <v>3</v>
      </c>
      <c r="AA1458" s="4">
        <v>4</v>
      </c>
      <c r="AB1458" s="4">
        <v>1</v>
      </c>
      <c r="AC1458" s="4">
        <v>2</v>
      </c>
      <c r="AD1458" s="4">
        <v>15</v>
      </c>
      <c r="AE1458" s="4">
        <v>17</v>
      </c>
      <c r="AF1458" s="4">
        <v>0</v>
      </c>
      <c r="AG1458" s="4">
        <v>1</v>
      </c>
      <c r="AH1458" s="4">
        <v>13</v>
      </c>
      <c r="AI1458" s="4">
        <v>14</v>
      </c>
      <c r="AJ1458" s="4">
        <v>1</v>
      </c>
      <c r="AK1458" s="4">
        <v>2</v>
      </c>
      <c r="AL1458" s="4">
        <v>8</v>
      </c>
      <c r="AM1458" s="4">
        <v>8</v>
      </c>
      <c r="AN1458" s="4">
        <v>0</v>
      </c>
      <c r="AO1458" s="4">
        <v>0</v>
      </c>
      <c r="AP1458" s="4">
        <v>2</v>
      </c>
      <c r="AQ1458" s="4">
        <v>3</v>
      </c>
      <c r="AR1458" s="3" t="s">
        <v>62</v>
      </c>
      <c r="AS1458" s="3" t="s">
        <v>62</v>
      </c>
      <c r="AT1458" s="3" t="s">
        <v>62</v>
      </c>
      <c r="AV1458" s="6" t="str">
        <f>HYPERLINK("http://mcgill.on.worldcat.org/oclc/243920867","Catalog Record")</f>
        <v>Catalog Record</v>
      </c>
      <c r="AW1458" s="6" t="str">
        <f>HYPERLINK("http://www.worldcat.org/oclc/243920867","WorldCat Record")</f>
        <v>WorldCat Record</v>
      </c>
      <c r="AX1458" s="3" t="s">
        <v>14669</v>
      </c>
      <c r="AY1458" s="3" t="s">
        <v>14670</v>
      </c>
      <c r="AZ1458" s="3" t="s">
        <v>14671</v>
      </c>
      <c r="BA1458" s="3" t="s">
        <v>14671</v>
      </c>
      <c r="BB1458" s="3" t="s">
        <v>14672</v>
      </c>
      <c r="BC1458" s="3" t="s">
        <v>102</v>
      </c>
      <c r="BD1458" s="3" t="s">
        <v>231</v>
      </c>
      <c r="BE1458" s="3" t="s">
        <v>14673</v>
      </c>
      <c r="BF1458" s="3" t="s">
        <v>14672</v>
      </c>
      <c r="BG1458" s="3" t="s">
        <v>14674</v>
      </c>
    </row>
    <row r="1459" spans="1:59" ht="58" x14ac:dyDescent="0.35">
      <c r="A1459" s="2" t="s">
        <v>89</v>
      </c>
      <c r="B1459" s="2" t="s">
        <v>90</v>
      </c>
      <c r="C1459" s="2" t="s">
        <v>14675</v>
      </c>
      <c r="D1459" s="2" t="s">
        <v>14676</v>
      </c>
      <c r="E1459" s="2" t="s">
        <v>14677</v>
      </c>
      <c r="G1459" s="3" t="s">
        <v>62</v>
      </c>
      <c r="I1459" s="3" t="s">
        <v>62</v>
      </c>
      <c r="J1459" s="3" t="s">
        <v>62</v>
      </c>
      <c r="K1459" s="3" t="s">
        <v>63</v>
      </c>
      <c r="M1459" s="2" t="s">
        <v>14678</v>
      </c>
      <c r="N1459" s="3" t="s">
        <v>655</v>
      </c>
      <c r="P1459" s="3" t="s">
        <v>64</v>
      </c>
      <c r="R1459" s="3" t="s">
        <v>13065</v>
      </c>
      <c r="S1459" s="4">
        <v>2</v>
      </c>
      <c r="T1459" s="4">
        <v>2</v>
      </c>
      <c r="U1459" s="5" t="s">
        <v>3863</v>
      </c>
      <c r="V1459" s="5" t="s">
        <v>3863</v>
      </c>
      <c r="W1459" s="5" t="s">
        <v>67</v>
      </c>
      <c r="X1459" s="5" t="s">
        <v>67</v>
      </c>
      <c r="Y1459" s="4">
        <v>24</v>
      </c>
      <c r="Z1459" s="4">
        <v>5</v>
      </c>
      <c r="AA1459" s="4">
        <v>6</v>
      </c>
      <c r="AB1459" s="4">
        <v>2</v>
      </c>
      <c r="AC1459" s="4">
        <v>3</v>
      </c>
      <c r="AD1459" s="4">
        <v>4</v>
      </c>
      <c r="AE1459" s="4">
        <v>5</v>
      </c>
      <c r="AF1459" s="4">
        <v>0</v>
      </c>
      <c r="AG1459" s="4">
        <v>1</v>
      </c>
      <c r="AH1459" s="4">
        <v>2</v>
      </c>
      <c r="AI1459" s="4">
        <v>2</v>
      </c>
      <c r="AJ1459" s="4">
        <v>2</v>
      </c>
      <c r="AK1459" s="4">
        <v>3</v>
      </c>
      <c r="AL1459" s="4">
        <v>1</v>
      </c>
      <c r="AM1459" s="4">
        <v>1</v>
      </c>
      <c r="AN1459" s="4">
        <v>0</v>
      </c>
      <c r="AO1459" s="4">
        <v>0</v>
      </c>
      <c r="AP1459" s="4">
        <v>3</v>
      </c>
      <c r="AQ1459" s="4">
        <v>4</v>
      </c>
      <c r="AR1459" s="3" t="s">
        <v>62</v>
      </c>
      <c r="AS1459" s="3" t="s">
        <v>62</v>
      </c>
      <c r="AT1459" s="3" t="s">
        <v>62</v>
      </c>
      <c r="AV1459" s="6" t="str">
        <f>HYPERLINK("http://mcgill.on.worldcat.org/oclc/85885557","Catalog Record")</f>
        <v>Catalog Record</v>
      </c>
      <c r="AW1459" s="6" t="str">
        <f>HYPERLINK("http://www.worldcat.org/oclc/85885557","WorldCat Record")</f>
        <v>WorldCat Record</v>
      </c>
      <c r="AX1459" s="3" t="s">
        <v>14679</v>
      </c>
      <c r="AY1459" s="3" t="s">
        <v>14680</v>
      </c>
      <c r="AZ1459" s="3" t="s">
        <v>14681</v>
      </c>
      <c r="BA1459" s="3" t="s">
        <v>14681</v>
      </c>
      <c r="BB1459" s="3" t="s">
        <v>14682</v>
      </c>
      <c r="BC1459" s="3" t="s">
        <v>102</v>
      </c>
      <c r="BD1459" s="3" t="s">
        <v>68</v>
      </c>
      <c r="BE1459" s="3" t="s">
        <v>14683</v>
      </c>
      <c r="BF1459" s="3" t="s">
        <v>14682</v>
      </c>
      <c r="BG1459" s="3" t="s">
        <v>14684</v>
      </c>
    </row>
    <row r="1460" spans="1:59" ht="58" x14ac:dyDescent="0.35">
      <c r="A1460" s="2" t="s">
        <v>89</v>
      </c>
      <c r="B1460" s="2" t="s">
        <v>90</v>
      </c>
      <c r="C1460" s="2" t="s">
        <v>14685</v>
      </c>
      <c r="D1460" s="2" t="s">
        <v>14686</v>
      </c>
      <c r="E1460" s="2" t="s">
        <v>14687</v>
      </c>
      <c r="G1460" s="3" t="s">
        <v>62</v>
      </c>
      <c r="I1460" s="3" t="s">
        <v>62</v>
      </c>
      <c r="J1460" s="3" t="s">
        <v>62</v>
      </c>
      <c r="K1460" s="3" t="s">
        <v>63</v>
      </c>
      <c r="M1460" s="2" t="s">
        <v>14688</v>
      </c>
      <c r="N1460" s="3" t="s">
        <v>1722</v>
      </c>
      <c r="O1460" s="2" t="s">
        <v>2163</v>
      </c>
      <c r="P1460" s="3" t="s">
        <v>64</v>
      </c>
      <c r="Q1460" s="2" t="s">
        <v>14689</v>
      </c>
      <c r="R1460" s="3" t="s">
        <v>13065</v>
      </c>
      <c r="S1460" s="4">
        <v>7</v>
      </c>
      <c r="T1460" s="4">
        <v>7</v>
      </c>
      <c r="U1460" s="5" t="s">
        <v>6849</v>
      </c>
      <c r="V1460" s="5" t="s">
        <v>6849</v>
      </c>
      <c r="W1460" s="5" t="s">
        <v>67</v>
      </c>
      <c r="X1460" s="5" t="s">
        <v>67</v>
      </c>
      <c r="Y1460" s="4">
        <v>327</v>
      </c>
      <c r="Z1460" s="4">
        <v>17</v>
      </c>
      <c r="AA1460" s="4">
        <v>90</v>
      </c>
      <c r="AB1460" s="4">
        <v>3</v>
      </c>
      <c r="AC1460" s="4">
        <v>18</v>
      </c>
      <c r="AD1460" s="4">
        <v>53</v>
      </c>
      <c r="AE1460" s="4">
        <v>107</v>
      </c>
      <c r="AF1460" s="4">
        <v>2</v>
      </c>
      <c r="AG1460" s="4">
        <v>8</v>
      </c>
      <c r="AH1460" s="4">
        <v>43</v>
      </c>
      <c r="AI1460" s="4">
        <v>73</v>
      </c>
      <c r="AJ1460" s="4">
        <v>6</v>
      </c>
      <c r="AK1460" s="4">
        <v>17</v>
      </c>
      <c r="AL1460" s="4">
        <v>27</v>
      </c>
      <c r="AM1460" s="4">
        <v>40</v>
      </c>
      <c r="AN1460" s="4">
        <v>0</v>
      </c>
      <c r="AO1460" s="4">
        <v>0</v>
      </c>
      <c r="AP1460" s="4">
        <v>13</v>
      </c>
      <c r="AQ1460" s="4">
        <v>40</v>
      </c>
      <c r="AR1460" s="3" t="s">
        <v>62</v>
      </c>
      <c r="AS1460" s="3" t="s">
        <v>62</v>
      </c>
      <c r="AT1460" s="3" t="s">
        <v>62</v>
      </c>
      <c r="AV1460" s="6" t="str">
        <f>HYPERLINK("http://mcgill.on.worldcat.org/oclc/191856281","Catalog Record")</f>
        <v>Catalog Record</v>
      </c>
      <c r="AW1460" s="6" t="str">
        <f>HYPERLINK("http://www.worldcat.org/oclc/191856281","WorldCat Record")</f>
        <v>WorldCat Record</v>
      </c>
      <c r="AX1460" s="3" t="s">
        <v>14690</v>
      </c>
      <c r="AY1460" s="3" t="s">
        <v>14691</v>
      </c>
      <c r="AZ1460" s="3" t="s">
        <v>14692</v>
      </c>
      <c r="BA1460" s="3" t="s">
        <v>14692</v>
      </c>
      <c r="BB1460" s="3" t="s">
        <v>14693</v>
      </c>
      <c r="BC1460" s="3" t="s">
        <v>102</v>
      </c>
      <c r="BD1460" s="3" t="s">
        <v>231</v>
      </c>
      <c r="BE1460" s="3" t="s">
        <v>14694</v>
      </c>
      <c r="BF1460" s="3" t="s">
        <v>14693</v>
      </c>
      <c r="BG1460" s="3" t="s">
        <v>14695</v>
      </c>
    </row>
    <row r="1461" spans="1:59" ht="58" x14ac:dyDescent="0.35">
      <c r="A1461" s="2" t="s">
        <v>89</v>
      </c>
      <c r="B1461" s="2" t="s">
        <v>90</v>
      </c>
      <c r="C1461" s="2" t="s">
        <v>14696</v>
      </c>
      <c r="D1461" s="2" t="s">
        <v>14697</v>
      </c>
      <c r="E1461" s="2" t="s">
        <v>14698</v>
      </c>
      <c r="G1461" s="3" t="s">
        <v>62</v>
      </c>
      <c r="I1461" s="3" t="s">
        <v>62</v>
      </c>
      <c r="J1461" s="3" t="s">
        <v>62</v>
      </c>
      <c r="K1461" s="3" t="s">
        <v>63</v>
      </c>
      <c r="L1461" s="2" t="s">
        <v>14699</v>
      </c>
      <c r="M1461" s="2" t="s">
        <v>14700</v>
      </c>
      <c r="N1461" s="3" t="s">
        <v>880</v>
      </c>
      <c r="P1461" s="3" t="s">
        <v>85</v>
      </c>
      <c r="Q1461" s="2" t="s">
        <v>14701</v>
      </c>
      <c r="R1461" s="3" t="s">
        <v>13065</v>
      </c>
      <c r="S1461" s="4">
        <v>1</v>
      </c>
      <c r="T1461" s="4">
        <v>1</v>
      </c>
      <c r="U1461" s="5" t="s">
        <v>14702</v>
      </c>
      <c r="V1461" s="5" t="s">
        <v>14702</v>
      </c>
      <c r="W1461" s="5" t="s">
        <v>67</v>
      </c>
      <c r="X1461" s="5" t="s">
        <v>67</v>
      </c>
      <c r="Y1461" s="4">
        <v>11</v>
      </c>
      <c r="Z1461" s="4">
        <v>3</v>
      </c>
      <c r="AA1461" s="4">
        <v>7</v>
      </c>
      <c r="AB1461" s="4">
        <v>1</v>
      </c>
      <c r="AC1461" s="4">
        <v>4</v>
      </c>
      <c r="AD1461" s="4">
        <v>7</v>
      </c>
      <c r="AE1461" s="4">
        <v>10</v>
      </c>
      <c r="AF1461" s="4">
        <v>0</v>
      </c>
      <c r="AG1461" s="4">
        <v>2</v>
      </c>
      <c r="AH1461" s="4">
        <v>6</v>
      </c>
      <c r="AI1461" s="4">
        <v>8</v>
      </c>
      <c r="AJ1461" s="4">
        <v>1</v>
      </c>
      <c r="AK1461" s="4">
        <v>4</v>
      </c>
      <c r="AL1461" s="4">
        <v>7</v>
      </c>
      <c r="AM1461" s="4">
        <v>7</v>
      </c>
      <c r="AN1461" s="4">
        <v>0</v>
      </c>
      <c r="AO1461" s="4">
        <v>0</v>
      </c>
      <c r="AP1461" s="4">
        <v>1</v>
      </c>
      <c r="AQ1461" s="4">
        <v>4</v>
      </c>
      <c r="AR1461" s="3" t="s">
        <v>62</v>
      </c>
      <c r="AS1461" s="3" t="s">
        <v>62</v>
      </c>
      <c r="AT1461" s="3" t="s">
        <v>62</v>
      </c>
      <c r="AV1461" s="6" t="str">
        <f>HYPERLINK("http://mcgill.on.worldcat.org/oclc/641954155","Catalog Record")</f>
        <v>Catalog Record</v>
      </c>
      <c r="AW1461" s="6" t="str">
        <f>HYPERLINK("http://www.worldcat.org/oclc/641954155","WorldCat Record")</f>
        <v>WorldCat Record</v>
      </c>
      <c r="AX1461" s="3" t="s">
        <v>14703</v>
      </c>
      <c r="AY1461" s="3" t="s">
        <v>14704</v>
      </c>
      <c r="AZ1461" s="3" t="s">
        <v>14705</v>
      </c>
      <c r="BA1461" s="3" t="s">
        <v>14705</v>
      </c>
      <c r="BB1461" s="3" t="s">
        <v>14706</v>
      </c>
      <c r="BC1461" s="3" t="s">
        <v>102</v>
      </c>
      <c r="BD1461" s="3" t="s">
        <v>68</v>
      </c>
      <c r="BE1461" s="3" t="s">
        <v>14707</v>
      </c>
      <c r="BF1461" s="3" t="s">
        <v>14706</v>
      </c>
      <c r="BG1461" s="3" t="s">
        <v>14708</v>
      </c>
    </row>
    <row r="1462" spans="1:59" ht="87" x14ac:dyDescent="0.35">
      <c r="A1462" s="2" t="s">
        <v>89</v>
      </c>
      <c r="B1462" s="2" t="s">
        <v>11757</v>
      </c>
      <c r="C1462" s="2" t="s">
        <v>14709</v>
      </c>
      <c r="D1462" s="2" t="s">
        <v>14710</v>
      </c>
      <c r="E1462" s="2" t="s">
        <v>14711</v>
      </c>
      <c r="G1462" s="3" t="s">
        <v>62</v>
      </c>
      <c r="I1462" s="3" t="s">
        <v>62</v>
      </c>
      <c r="J1462" s="3" t="s">
        <v>62</v>
      </c>
      <c r="K1462" s="3" t="s">
        <v>63</v>
      </c>
      <c r="M1462" s="2" t="s">
        <v>14712</v>
      </c>
      <c r="N1462" s="3" t="s">
        <v>684</v>
      </c>
      <c r="P1462" s="3" t="s">
        <v>64</v>
      </c>
      <c r="Q1462" s="2" t="s">
        <v>14713</v>
      </c>
      <c r="R1462" s="3" t="s">
        <v>13065</v>
      </c>
      <c r="S1462" s="4">
        <v>0</v>
      </c>
      <c r="T1462" s="4">
        <v>0</v>
      </c>
      <c r="W1462" s="5" t="s">
        <v>67</v>
      </c>
      <c r="X1462" s="5" t="s">
        <v>67</v>
      </c>
      <c r="Y1462" s="4">
        <v>469</v>
      </c>
      <c r="Z1462" s="4">
        <v>18</v>
      </c>
      <c r="AA1462" s="4">
        <v>19</v>
      </c>
      <c r="AB1462" s="4">
        <v>1</v>
      </c>
      <c r="AC1462" s="4">
        <v>2</v>
      </c>
      <c r="AD1462" s="4">
        <v>72</v>
      </c>
      <c r="AE1462" s="4">
        <v>74</v>
      </c>
      <c r="AF1462" s="4">
        <v>0</v>
      </c>
      <c r="AG1462" s="4">
        <v>1</v>
      </c>
      <c r="AH1462" s="4">
        <v>65</v>
      </c>
      <c r="AI1462" s="4">
        <v>66</v>
      </c>
      <c r="AJ1462" s="4">
        <v>10</v>
      </c>
      <c r="AK1462" s="4">
        <v>11</v>
      </c>
      <c r="AL1462" s="4">
        <v>32</v>
      </c>
      <c r="AM1462" s="4">
        <v>33</v>
      </c>
      <c r="AN1462" s="4">
        <v>0</v>
      </c>
      <c r="AO1462" s="4">
        <v>0</v>
      </c>
      <c r="AP1462" s="4">
        <v>15</v>
      </c>
      <c r="AQ1462" s="4">
        <v>16</v>
      </c>
      <c r="AR1462" s="3" t="s">
        <v>62</v>
      </c>
      <c r="AS1462" s="3" t="s">
        <v>62</v>
      </c>
      <c r="AT1462" s="3" t="s">
        <v>62</v>
      </c>
      <c r="AV1462" s="6" t="str">
        <f>HYPERLINK("http://mcgill.on.worldcat.org/oclc/715171259","Catalog Record")</f>
        <v>Catalog Record</v>
      </c>
      <c r="AW1462" s="6" t="str">
        <f>HYPERLINK("http://www.worldcat.org/oclc/715171259","WorldCat Record")</f>
        <v>WorldCat Record</v>
      </c>
      <c r="AX1462" s="3" t="s">
        <v>14714</v>
      </c>
      <c r="AY1462" s="3" t="s">
        <v>14715</v>
      </c>
      <c r="AZ1462" s="3" t="s">
        <v>14716</v>
      </c>
      <c r="BA1462" s="3" t="s">
        <v>14716</v>
      </c>
      <c r="BB1462" s="3" t="s">
        <v>14717</v>
      </c>
      <c r="BC1462" s="3" t="s">
        <v>102</v>
      </c>
      <c r="BD1462" s="3" t="s">
        <v>68</v>
      </c>
      <c r="BE1462" s="3" t="s">
        <v>14718</v>
      </c>
      <c r="BF1462" s="3" t="s">
        <v>14717</v>
      </c>
      <c r="BG1462" s="3" t="s">
        <v>14719</v>
      </c>
    </row>
    <row r="1463" spans="1:59" ht="58" x14ac:dyDescent="0.35">
      <c r="A1463" s="2" t="s">
        <v>89</v>
      </c>
      <c r="B1463" s="2" t="s">
        <v>90</v>
      </c>
      <c r="C1463" s="2" t="s">
        <v>14720</v>
      </c>
      <c r="D1463" s="2" t="s">
        <v>14721</v>
      </c>
      <c r="E1463" s="2" t="s">
        <v>14722</v>
      </c>
      <c r="G1463" s="3" t="s">
        <v>62</v>
      </c>
      <c r="I1463" s="3" t="s">
        <v>62</v>
      </c>
      <c r="J1463" s="3" t="s">
        <v>62</v>
      </c>
      <c r="K1463" s="3" t="s">
        <v>63</v>
      </c>
      <c r="M1463" s="2" t="s">
        <v>14723</v>
      </c>
      <c r="N1463" s="3" t="s">
        <v>726</v>
      </c>
      <c r="P1463" s="3" t="s">
        <v>64</v>
      </c>
      <c r="Q1463" s="2" t="s">
        <v>14724</v>
      </c>
      <c r="R1463" s="3" t="s">
        <v>13065</v>
      </c>
      <c r="S1463" s="4">
        <v>1</v>
      </c>
      <c r="T1463" s="4">
        <v>1</v>
      </c>
      <c r="U1463" s="5" t="s">
        <v>8928</v>
      </c>
      <c r="V1463" s="5" t="s">
        <v>8928</v>
      </c>
      <c r="W1463" s="5" t="s">
        <v>67</v>
      </c>
      <c r="X1463" s="5" t="s">
        <v>67</v>
      </c>
      <c r="Y1463" s="4">
        <v>44</v>
      </c>
      <c r="Z1463" s="4">
        <v>2</v>
      </c>
      <c r="AA1463" s="4">
        <v>9</v>
      </c>
      <c r="AB1463" s="4">
        <v>1</v>
      </c>
      <c r="AC1463" s="4">
        <v>5</v>
      </c>
      <c r="AD1463" s="4">
        <v>12</v>
      </c>
      <c r="AE1463" s="4">
        <v>28</v>
      </c>
      <c r="AF1463" s="4">
        <v>0</v>
      </c>
      <c r="AG1463" s="4">
        <v>1</v>
      </c>
      <c r="AH1463" s="4">
        <v>11</v>
      </c>
      <c r="AI1463" s="4">
        <v>25</v>
      </c>
      <c r="AJ1463" s="4">
        <v>1</v>
      </c>
      <c r="AK1463" s="4">
        <v>5</v>
      </c>
      <c r="AL1463" s="4">
        <v>7</v>
      </c>
      <c r="AM1463" s="4">
        <v>15</v>
      </c>
      <c r="AN1463" s="4">
        <v>0</v>
      </c>
      <c r="AO1463" s="4">
        <v>0</v>
      </c>
      <c r="AP1463" s="4">
        <v>1</v>
      </c>
      <c r="AQ1463" s="4">
        <v>5</v>
      </c>
      <c r="AR1463" s="3" t="s">
        <v>62</v>
      </c>
      <c r="AS1463" s="3" t="s">
        <v>62</v>
      </c>
      <c r="AT1463" s="3" t="s">
        <v>62</v>
      </c>
      <c r="AV1463" s="6" t="str">
        <f>HYPERLINK("http://mcgill.on.worldcat.org/oclc/935192771","Catalog Record")</f>
        <v>Catalog Record</v>
      </c>
      <c r="AW1463" s="6" t="str">
        <f>HYPERLINK("http://www.worldcat.org/oclc/935192771","WorldCat Record")</f>
        <v>WorldCat Record</v>
      </c>
      <c r="AX1463" s="3" t="s">
        <v>14725</v>
      </c>
      <c r="AY1463" s="3" t="s">
        <v>14726</v>
      </c>
      <c r="AZ1463" s="3" t="s">
        <v>14727</v>
      </c>
      <c r="BA1463" s="3" t="s">
        <v>14727</v>
      </c>
      <c r="BB1463" s="3" t="s">
        <v>14728</v>
      </c>
      <c r="BC1463" s="3" t="s">
        <v>102</v>
      </c>
      <c r="BD1463" s="3" t="s">
        <v>68</v>
      </c>
      <c r="BE1463" s="3" t="s">
        <v>14729</v>
      </c>
      <c r="BF1463" s="3" t="s">
        <v>14728</v>
      </c>
      <c r="BG1463" s="3" t="s">
        <v>14730</v>
      </c>
    </row>
    <row r="1464" spans="1:59" ht="58" x14ac:dyDescent="0.35">
      <c r="A1464" s="2" t="s">
        <v>89</v>
      </c>
      <c r="B1464" s="2" t="s">
        <v>90</v>
      </c>
      <c r="C1464" s="2" t="s">
        <v>14731</v>
      </c>
      <c r="D1464" s="2" t="s">
        <v>14732</v>
      </c>
      <c r="E1464" s="2" t="s">
        <v>14733</v>
      </c>
      <c r="G1464" s="3" t="s">
        <v>62</v>
      </c>
      <c r="I1464" s="3" t="s">
        <v>62</v>
      </c>
      <c r="J1464" s="3" t="s">
        <v>62</v>
      </c>
      <c r="K1464" s="3" t="s">
        <v>63</v>
      </c>
      <c r="L1464" s="2" t="s">
        <v>11217</v>
      </c>
      <c r="M1464" s="2" t="s">
        <v>14734</v>
      </c>
      <c r="N1464" s="3" t="s">
        <v>684</v>
      </c>
      <c r="P1464" s="3" t="s">
        <v>64</v>
      </c>
      <c r="Q1464" s="2" t="s">
        <v>14735</v>
      </c>
      <c r="R1464" s="3" t="s">
        <v>13065</v>
      </c>
      <c r="S1464" s="4">
        <v>0</v>
      </c>
      <c r="T1464" s="4">
        <v>0</v>
      </c>
      <c r="W1464" s="5" t="s">
        <v>67</v>
      </c>
      <c r="X1464" s="5" t="s">
        <v>67</v>
      </c>
      <c r="Y1464" s="4">
        <v>84</v>
      </c>
      <c r="Z1464" s="4">
        <v>12</v>
      </c>
      <c r="AA1464" s="4">
        <v>46</v>
      </c>
      <c r="AB1464" s="4">
        <v>2</v>
      </c>
      <c r="AC1464" s="4">
        <v>11</v>
      </c>
      <c r="AD1464" s="4">
        <v>34</v>
      </c>
      <c r="AE1464" s="4">
        <v>85</v>
      </c>
      <c r="AF1464" s="4">
        <v>1</v>
      </c>
      <c r="AG1464" s="4">
        <v>6</v>
      </c>
      <c r="AH1464" s="4">
        <v>26</v>
      </c>
      <c r="AI1464" s="4">
        <v>55</v>
      </c>
      <c r="AJ1464" s="4">
        <v>7</v>
      </c>
      <c r="AK1464" s="4">
        <v>23</v>
      </c>
      <c r="AL1464" s="4">
        <v>16</v>
      </c>
      <c r="AM1464" s="4">
        <v>28</v>
      </c>
      <c r="AN1464" s="4">
        <v>0</v>
      </c>
      <c r="AO1464" s="4">
        <v>0</v>
      </c>
      <c r="AP1464" s="4">
        <v>9</v>
      </c>
      <c r="AQ1464" s="4">
        <v>37</v>
      </c>
      <c r="AR1464" s="3" t="s">
        <v>62</v>
      </c>
      <c r="AS1464" s="3" t="s">
        <v>62</v>
      </c>
      <c r="AT1464" s="3" t="s">
        <v>62</v>
      </c>
      <c r="AV1464" s="6" t="str">
        <f>HYPERLINK("http://mcgill.on.worldcat.org/oclc/719418727","Catalog Record")</f>
        <v>Catalog Record</v>
      </c>
      <c r="AW1464" s="6" t="str">
        <f>HYPERLINK("http://www.worldcat.org/oclc/719418727","WorldCat Record")</f>
        <v>WorldCat Record</v>
      </c>
      <c r="AX1464" s="3" t="s">
        <v>14736</v>
      </c>
      <c r="AY1464" s="3" t="s">
        <v>14737</v>
      </c>
      <c r="AZ1464" s="3" t="s">
        <v>14738</v>
      </c>
      <c r="BA1464" s="3" t="s">
        <v>14738</v>
      </c>
      <c r="BB1464" s="3" t="s">
        <v>14739</v>
      </c>
      <c r="BC1464" s="3" t="s">
        <v>102</v>
      </c>
      <c r="BD1464" s="3" t="s">
        <v>68</v>
      </c>
      <c r="BE1464" s="3" t="s">
        <v>14740</v>
      </c>
      <c r="BF1464" s="3" t="s">
        <v>14739</v>
      </c>
      <c r="BG1464" s="3" t="s">
        <v>14741</v>
      </c>
    </row>
    <row r="1465" spans="1:59" ht="58" x14ac:dyDescent="0.35">
      <c r="A1465" s="2" t="s">
        <v>89</v>
      </c>
      <c r="B1465" s="2" t="s">
        <v>6791</v>
      </c>
      <c r="C1465" s="2" t="s">
        <v>14742</v>
      </c>
      <c r="D1465" s="2" t="s">
        <v>14743</v>
      </c>
      <c r="E1465" s="2" t="s">
        <v>14744</v>
      </c>
      <c r="G1465" s="3" t="s">
        <v>62</v>
      </c>
      <c r="I1465" s="3" t="s">
        <v>62</v>
      </c>
      <c r="J1465" s="3" t="s">
        <v>62</v>
      </c>
      <c r="K1465" s="3" t="s">
        <v>63</v>
      </c>
      <c r="L1465" s="2" t="s">
        <v>14745</v>
      </c>
      <c r="M1465" s="2" t="s">
        <v>14746</v>
      </c>
      <c r="N1465" s="3" t="s">
        <v>596</v>
      </c>
      <c r="P1465" s="3" t="s">
        <v>64</v>
      </c>
      <c r="R1465" s="3" t="s">
        <v>13065</v>
      </c>
      <c r="S1465" s="4">
        <v>2</v>
      </c>
      <c r="T1465" s="4">
        <v>2</v>
      </c>
      <c r="U1465" s="5" t="s">
        <v>5040</v>
      </c>
      <c r="V1465" s="5" t="s">
        <v>5040</v>
      </c>
      <c r="W1465" s="5" t="s">
        <v>67</v>
      </c>
      <c r="X1465" s="5" t="s">
        <v>67</v>
      </c>
      <c r="Y1465" s="4">
        <v>770</v>
      </c>
      <c r="Z1465" s="4">
        <v>33</v>
      </c>
      <c r="AA1465" s="4">
        <v>36</v>
      </c>
      <c r="AB1465" s="4">
        <v>3</v>
      </c>
      <c r="AC1465" s="4">
        <v>4</v>
      </c>
      <c r="AD1465" s="4">
        <v>99</v>
      </c>
      <c r="AE1465" s="4">
        <v>102</v>
      </c>
      <c r="AF1465" s="4">
        <v>1</v>
      </c>
      <c r="AG1465" s="4">
        <v>2</v>
      </c>
      <c r="AH1465" s="4">
        <v>80</v>
      </c>
      <c r="AI1465" s="4">
        <v>81</v>
      </c>
      <c r="AJ1465" s="4">
        <v>9</v>
      </c>
      <c r="AK1465" s="4">
        <v>9</v>
      </c>
      <c r="AL1465" s="4">
        <v>39</v>
      </c>
      <c r="AM1465" s="4">
        <v>39</v>
      </c>
      <c r="AN1465" s="4">
        <v>0</v>
      </c>
      <c r="AO1465" s="4">
        <v>0</v>
      </c>
      <c r="AP1465" s="4">
        <v>24</v>
      </c>
      <c r="AQ1465" s="4">
        <v>26</v>
      </c>
      <c r="AR1465" s="3" t="s">
        <v>62</v>
      </c>
      <c r="AS1465" s="3" t="s">
        <v>62</v>
      </c>
      <c r="AT1465" s="3" t="s">
        <v>62</v>
      </c>
      <c r="AV1465" s="6" t="str">
        <f>HYPERLINK("http://mcgill.on.worldcat.org/oclc/49386403","Catalog Record")</f>
        <v>Catalog Record</v>
      </c>
      <c r="AW1465" s="6" t="str">
        <f>HYPERLINK("http://www.worldcat.org/oclc/49386403","WorldCat Record")</f>
        <v>WorldCat Record</v>
      </c>
      <c r="AX1465" s="3" t="s">
        <v>14747</v>
      </c>
      <c r="AY1465" s="3" t="s">
        <v>14748</v>
      </c>
      <c r="AZ1465" s="3" t="s">
        <v>14749</v>
      </c>
      <c r="BA1465" s="3" t="s">
        <v>14749</v>
      </c>
      <c r="BB1465" s="3" t="s">
        <v>14750</v>
      </c>
      <c r="BC1465" s="3" t="s">
        <v>102</v>
      </c>
      <c r="BD1465" s="3" t="s">
        <v>68</v>
      </c>
      <c r="BE1465" s="3" t="s">
        <v>14751</v>
      </c>
      <c r="BF1465" s="3" t="s">
        <v>14750</v>
      </c>
      <c r="BG1465" s="3" t="s">
        <v>14752</v>
      </c>
    </row>
    <row r="1466" spans="1:59" ht="58" x14ac:dyDescent="0.35">
      <c r="A1466" s="2" t="s">
        <v>89</v>
      </c>
      <c r="B1466" s="2" t="s">
        <v>6791</v>
      </c>
      <c r="C1466" s="2" t="s">
        <v>14753</v>
      </c>
      <c r="D1466" s="2" t="s">
        <v>14754</v>
      </c>
      <c r="E1466" s="2" t="s">
        <v>14755</v>
      </c>
      <c r="G1466" s="3" t="s">
        <v>62</v>
      </c>
      <c r="I1466" s="3" t="s">
        <v>62</v>
      </c>
      <c r="J1466" s="3" t="s">
        <v>62</v>
      </c>
      <c r="K1466" s="3" t="s">
        <v>63</v>
      </c>
      <c r="L1466" s="2" t="s">
        <v>14756</v>
      </c>
      <c r="M1466" s="2" t="s">
        <v>14757</v>
      </c>
      <c r="N1466" s="3" t="s">
        <v>1722</v>
      </c>
      <c r="O1466" s="2" t="s">
        <v>2986</v>
      </c>
      <c r="P1466" s="3" t="s">
        <v>64</v>
      </c>
      <c r="R1466" s="3" t="s">
        <v>13065</v>
      </c>
      <c r="S1466" s="4">
        <v>22</v>
      </c>
      <c r="T1466" s="4">
        <v>22</v>
      </c>
      <c r="U1466" s="5" t="s">
        <v>14331</v>
      </c>
      <c r="V1466" s="5" t="s">
        <v>14331</v>
      </c>
      <c r="W1466" s="5" t="s">
        <v>67</v>
      </c>
      <c r="X1466" s="5" t="s">
        <v>67</v>
      </c>
      <c r="Y1466" s="4">
        <v>20</v>
      </c>
      <c r="Z1466" s="4">
        <v>14</v>
      </c>
      <c r="AA1466" s="4">
        <v>48</v>
      </c>
      <c r="AB1466" s="4">
        <v>1</v>
      </c>
      <c r="AC1466" s="4">
        <v>5</v>
      </c>
      <c r="AD1466" s="4">
        <v>11</v>
      </c>
      <c r="AE1466" s="4">
        <v>39</v>
      </c>
      <c r="AF1466" s="4">
        <v>0</v>
      </c>
      <c r="AG1466" s="4">
        <v>2</v>
      </c>
      <c r="AH1466" s="4">
        <v>3</v>
      </c>
      <c r="AI1466" s="4">
        <v>14</v>
      </c>
      <c r="AJ1466" s="4">
        <v>3</v>
      </c>
      <c r="AK1466" s="4">
        <v>17</v>
      </c>
      <c r="AL1466" s="4">
        <v>1</v>
      </c>
      <c r="AM1466" s="4">
        <v>4</v>
      </c>
      <c r="AN1466" s="4">
        <v>0</v>
      </c>
      <c r="AO1466" s="4">
        <v>0</v>
      </c>
      <c r="AP1466" s="4">
        <v>10</v>
      </c>
      <c r="AQ1466" s="4">
        <v>34</v>
      </c>
      <c r="AR1466" s="3" t="s">
        <v>61</v>
      </c>
      <c r="AS1466" s="3" t="s">
        <v>62</v>
      </c>
      <c r="AT1466" s="3" t="s">
        <v>62</v>
      </c>
      <c r="AV1466" s="6" t="str">
        <f>HYPERLINK("http://mcgill.on.worldcat.org/oclc/251452973","Catalog Record")</f>
        <v>Catalog Record</v>
      </c>
      <c r="AW1466" s="6" t="str">
        <f>HYPERLINK("http://www.worldcat.org/oclc/251452973","WorldCat Record")</f>
        <v>WorldCat Record</v>
      </c>
      <c r="AX1466" s="3" t="s">
        <v>14758</v>
      </c>
      <c r="AY1466" s="3" t="s">
        <v>14759</v>
      </c>
      <c r="AZ1466" s="3" t="s">
        <v>14760</v>
      </c>
      <c r="BA1466" s="3" t="s">
        <v>14760</v>
      </c>
      <c r="BB1466" s="3" t="s">
        <v>14761</v>
      </c>
      <c r="BC1466" s="3" t="s">
        <v>102</v>
      </c>
      <c r="BD1466" s="3" t="s">
        <v>231</v>
      </c>
      <c r="BE1466" s="3" t="s">
        <v>14762</v>
      </c>
      <c r="BF1466" s="3" t="s">
        <v>14761</v>
      </c>
      <c r="BG1466" s="3" t="s">
        <v>14763</v>
      </c>
    </row>
    <row r="1467" spans="1:59" ht="87" x14ac:dyDescent="0.35">
      <c r="A1467" s="2" t="s">
        <v>89</v>
      </c>
      <c r="B1467" s="2" t="s">
        <v>6791</v>
      </c>
      <c r="C1467" s="2" t="s">
        <v>14764</v>
      </c>
      <c r="D1467" s="2" t="s">
        <v>14765</v>
      </c>
      <c r="E1467" s="2" t="s">
        <v>14766</v>
      </c>
      <c r="G1467" s="3" t="s">
        <v>62</v>
      </c>
      <c r="I1467" s="3" t="s">
        <v>62</v>
      </c>
      <c r="J1467" s="3" t="s">
        <v>62</v>
      </c>
      <c r="K1467" s="3" t="s">
        <v>63</v>
      </c>
      <c r="L1467" s="2" t="s">
        <v>14767</v>
      </c>
      <c r="M1467" s="2" t="s">
        <v>14768</v>
      </c>
      <c r="N1467" s="3" t="s">
        <v>698</v>
      </c>
      <c r="P1467" s="3" t="s">
        <v>85</v>
      </c>
      <c r="Q1467" s="2" t="s">
        <v>14769</v>
      </c>
      <c r="R1467" s="3" t="s">
        <v>13065</v>
      </c>
      <c r="S1467" s="4">
        <v>4</v>
      </c>
      <c r="T1467" s="4">
        <v>4</v>
      </c>
      <c r="U1467" s="5" t="s">
        <v>14770</v>
      </c>
      <c r="V1467" s="5" t="s">
        <v>14770</v>
      </c>
      <c r="W1467" s="5" t="s">
        <v>67</v>
      </c>
      <c r="X1467" s="5" t="s">
        <v>67</v>
      </c>
      <c r="Y1467" s="4">
        <v>1</v>
      </c>
      <c r="Z1467" s="4">
        <v>1</v>
      </c>
      <c r="AA1467" s="4">
        <v>7</v>
      </c>
      <c r="AB1467" s="4">
        <v>1</v>
      </c>
      <c r="AC1467" s="4">
        <v>7</v>
      </c>
      <c r="AD1467" s="4">
        <v>0</v>
      </c>
      <c r="AE1467" s="4">
        <v>4</v>
      </c>
      <c r="AF1467" s="4">
        <v>0</v>
      </c>
      <c r="AG1467" s="4">
        <v>4</v>
      </c>
      <c r="AH1467" s="4">
        <v>0</v>
      </c>
      <c r="AI1467" s="4">
        <v>1</v>
      </c>
      <c r="AJ1467" s="4">
        <v>0</v>
      </c>
      <c r="AK1467" s="4">
        <v>3</v>
      </c>
      <c r="AL1467" s="4">
        <v>0</v>
      </c>
      <c r="AM1467" s="4">
        <v>0</v>
      </c>
      <c r="AN1467" s="4">
        <v>0</v>
      </c>
      <c r="AO1467" s="4">
        <v>0</v>
      </c>
      <c r="AP1467" s="4">
        <v>0</v>
      </c>
      <c r="AQ1467" s="4">
        <v>3</v>
      </c>
      <c r="AR1467" s="3" t="s">
        <v>62</v>
      </c>
      <c r="AS1467" s="3" t="s">
        <v>62</v>
      </c>
      <c r="AT1467" s="3" t="s">
        <v>62</v>
      </c>
      <c r="AV1467" s="6" t="str">
        <f>HYPERLINK("http://mcgill.on.worldcat.org/oclc/862827271","Catalog Record")</f>
        <v>Catalog Record</v>
      </c>
      <c r="AW1467" s="6" t="str">
        <f>HYPERLINK("http://www.worldcat.org/oclc/862827271","WorldCat Record")</f>
        <v>WorldCat Record</v>
      </c>
      <c r="AX1467" s="3" t="s">
        <v>14771</v>
      </c>
      <c r="AY1467" s="3" t="s">
        <v>14772</v>
      </c>
      <c r="AZ1467" s="3" t="s">
        <v>14773</v>
      </c>
      <c r="BA1467" s="3" t="s">
        <v>14773</v>
      </c>
      <c r="BB1467" s="3" t="s">
        <v>14774</v>
      </c>
      <c r="BC1467" s="3" t="s">
        <v>102</v>
      </c>
      <c r="BD1467" s="3" t="s">
        <v>231</v>
      </c>
      <c r="BE1467" s="3" t="s">
        <v>14775</v>
      </c>
      <c r="BF1467" s="3" t="s">
        <v>14774</v>
      </c>
      <c r="BG1467" s="3" t="s">
        <v>14776</v>
      </c>
    </row>
    <row r="1468" spans="1:59" ht="58" x14ac:dyDescent="0.35">
      <c r="A1468" s="2" t="s">
        <v>89</v>
      </c>
      <c r="B1468" s="2" t="s">
        <v>90</v>
      </c>
      <c r="C1468" s="2" t="s">
        <v>14777</v>
      </c>
      <c r="D1468" s="2" t="s">
        <v>14778</v>
      </c>
      <c r="E1468" s="2" t="s">
        <v>14779</v>
      </c>
      <c r="G1468" s="3" t="s">
        <v>62</v>
      </c>
      <c r="I1468" s="3" t="s">
        <v>62</v>
      </c>
      <c r="J1468" s="3" t="s">
        <v>62</v>
      </c>
      <c r="K1468" s="3" t="s">
        <v>63</v>
      </c>
      <c r="M1468" s="2" t="s">
        <v>14780</v>
      </c>
      <c r="N1468" s="3" t="s">
        <v>553</v>
      </c>
      <c r="P1468" s="3" t="s">
        <v>64</v>
      </c>
      <c r="R1468" s="3" t="s">
        <v>13065</v>
      </c>
      <c r="S1468" s="4">
        <v>7</v>
      </c>
      <c r="T1468" s="4">
        <v>7</v>
      </c>
      <c r="U1468" s="5" t="s">
        <v>5380</v>
      </c>
      <c r="V1468" s="5" t="s">
        <v>5380</v>
      </c>
      <c r="W1468" s="5" t="s">
        <v>67</v>
      </c>
      <c r="X1468" s="5" t="s">
        <v>67</v>
      </c>
      <c r="Y1468" s="4">
        <v>276</v>
      </c>
      <c r="Z1468" s="4">
        <v>19</v>
      </c>
      <c r="AA1468" s="4">
        <v>20</v>
      </c>
      <c r="AB1468" s="4">
        <v>2</v>
      </c>
      <c r="AC1468" s="4">
        <v>3</v>
      </c>
      <c r="AD1468" s="4">
        <v>57</v>
      </c>
      <c r="AE1468" s="4">
        <v>59</v>
      </c>
      <c r="AF1468" s="4">
        <v>1</v>
      </c>
      <c r="AG1468" s="4">
        <v>2</v>
      </c>
      <c r="AH1468" s="4">
        <v>50</v>
      </c>
      <c r="AI1468" s="4">
        <v>52</v>
      </c>
      <c r="AJ1468" s="4">
        <v>9</v>
      </c>
      <c r="AK1468" s="4">
        <v>10</v>
      </c>
      <c r="AL1468" s="4">
        <v>20</v>
      </c>
      <c r="AM1468" s="4">
        <v>20</v>
      </c>
      <c r="AN1468" s="4">
        <v>0</v>
      </c>
      <c r="AO1468" s="4">
        <v>0</v>
      </c>
      <c r="AP1468" s="4">
        <v>14</v>
      </c>
      <c r="AQ1468" s="4">
        <v>15</v>
      </c>
      <c r="AR1468" s="3" t="s">
        <v>62</v>
      </c>
      <c r="AS1468" s="3" t="s">
        <v>62</v>
      </c>
      <c r="AT1468" s="3" t="s">
        <v>61</v>
      </c>
      <c r="AU1468" s="6" t="str">
        <f>HYPERLINK("http://catalog.hathitrust.org/Record/004059712","HathiTrust Record")</f>
        <v>HathiTrust Record</v>
      </c>
      <c r="AV1468" s="6" t="str">
        <f>HYPERLINK("http://mcgill.on.worldcat.org/oclc/41070913","Catalog Record")</f>
        <v>Catalog Record</v>
      </c>
      <c r="AW1468" s="6" t="str">
        <f>HYPERLINK("http://www.worldcat.org/oclc/41070913","WorldCat Record")</f>
        <v>WorldCat Record</v>
      </c>
      <c r="AX1468" s="3" t="s">
        <v>14781</v>
      </c>
      <c r="AY1468" s="3" t="s">
        <v>14782</v>
      </c>
      <c r="AZ1468" s="3" t="s">
        <v>14783</v>
      </c>
      <c r="BA1468" s="3" t="s">
        <v>14783</v>
      </c>
      <c r="BB1468" s="3" t="s">
        <v>14784</v>
      </c>
      <c r="BC1468" s="3" t="s">
        <v>102</v>
      </c>
      <c r="BD1468" s="3" t="s">
        <v>68</v>
      </c>
      <c r="BE1468" s="3" t="s">
        <v>14785</v>
      </c>
      <c r="BF1468" s="3" t="s">
        <v>14784</v>
      </c>
      <c r="BG1468" s="3" t="s">
        <v>14786</v>
      </c>
    </row>
    <row r="1469" spans="1:59" ht="58" x14ac:dyDescent="0.35">
      <c r="A1469" s="2" t="s">
        <v>89</v>
      </c>
      <c r="B1469" s="2" t="s">
        <v>90</v>
      </c>
      <c r="C1469" s="2" t="s">
        <v>14787</v>
      </c>
      <c r="D1469" s="2" t="s">
        <v>14788</v>
      </c>
      <c r="E1469" s="2" t="s">
        <v>14789</v>
      </c>
      <c r="G1469" s="3" t="s">
        <v>62</v>
      </c>
      <c r="I1469" s="3" t="s">
        <v>62</v>
      </c>
      <c r="J1469" s="3" t="s">
        <v>62</v>
      </c>
      <c r="K1469" s="3" t="s">
        <v>63</v>
      </c>
      <c r="L1469" s="2" t="s">
        <v>14790</v>
      </c>
      <c r="M1469" s="2" t="s">
        <v>14791</v>
      </c>
      <c r="N1469" s="3" t="s">
        <v>1195</v>
      </c>
      <c r="P1469" s="3" t="s">
        <v>64</v>
      </c>
      <c r="Q1469" s="2" t="s">
        <v>14792</v>
      </c>
      <c r="R1469" s="3" t="s">
        <v>13065</v>
      </c>
      <c r="S1469" s="4">
        <v>14</v>
      </c>
      <c r="T1469" s="4">
        <v>14</v>
      </c>
      <c r="U1469" s="5" t="s">
        <v>14793</v>
      </c>
      <c r="V1469" s="5" t="s">
        <v>14793</v>
      </c>
      <c r="W1469" s="5" t="s">
        <v>67</v>
      </c>
      <c r="X1469" s="5" t="s">
        <v>67</v>
      </c>
      <c r="Y1469" s="4">
        <v>242</v>
      </c>
      <c r="Z1469" s="4">
        <v>16</v>
      </c>
      <c r="AA1469" s="4">
        <v>79</v>
      </c>
      <c r="AB1469" s="4">
        <v>3</v>
      </c>
      <c r="AC1469" s="4">
        <v>17</v>
      </c>
      <c r="AD1469" s="4">
        <v>73</v>
      </c>
      <c r="AE1469" s="4">
        <v>118</v>
      </c>
      <c r="AF1469" s="4">
        <v>1</v>
      </c>
      <c r="AG1469" s="4">
        <v>9</v>
      </c>
      <c r="AH1469" s="4">
        <v>63</v>
      </c>
      <c r="AI1469" s="4">
        <v>82</v>
      </c>
      <c r="AJ1469" s="4">
        <v>10</v>
      </c>
      <c r="AK1469" s="4">
        <v>19</v>
      </c>
      <c r="AL1469" s="4">
        <v>39</v>
      </c>
      <c r="AM1469" s="4">
        <v>44</v>
      </c>
      <c r="AN1469" s="4">
        <v>0</v>
      </c>
      <c r="AO1469" s="4">
        <v>0</v>
      </c>
      <c r="AP1469" s="4">
        <v>12</v>
      </c>
      <c r="AQ1469" s="4">
        <v>41</v>
      </c>
      <c r="AR1469" s="3" t="s">
        <v>62</v>
      </c>
      <c r="AS1469" s="3" t="s">
        <v>62</v>
      </c>
      <c r="AT1469" s="3" t="s">
        <v>62</v>
      </c>
      <c r="AV1469" s="6" t="str">
        <f>HYPERLINK("http://mcgill.on.worldcat.org/oclc/62110044","Catalog Record")</f>
        <v>Catalog Record</v>
      </c>
      <c r="AW1469" s="6" t="str">
        <f>HYPERLINK("http://www.worldcat.org/oclc/62110044","WorldCat Record")</f>
        <v>WorldCat Record</v>
      </c>
      <c r="AX1469" s="3" t="s">
        <v>14794</v>
      </c>
      <c r="AY1469" s="3" t="s">
        <v>14795</v>
      </c>
      <c r="AZ1469" s="3" t="s">
        <v>14796</v>
      </c>
      <c r="BA1469" s="3" t="s">
        <v>14796</v>
      </c>
      <c r="BB1469" s="3" t="s">
        <v>14797</v>
      </c>
      <c r="BC1469" s="3" t="s">
        <v>102</v>
      </c>
      <c r="BD1469" s="3" t="s">
        <v>68</v>
      </c>
      <c r="BE1469" s="3" t="s">
        <v>14798</v>
      </c>
      <c r="BF1469" s="3" t="s">
        <v>14797</v>
      </c>
      <c r="BG1469" s="3" t="s">
        <v>14799</v>
      </c>
    </row>
    <row r="1470" spans="1:59" ht="58" x14ac:dyDescent="0.35">
      <c r="A1470" s="2" t="s">
        <v>89</v>
      </c>
      <c r="B1470" s="2" t="s">
        <v>90</v>
      </c>
      <c r="C1470" s="2" t="s">
        <v>14800</v>
      </c>
      <c r="D1470" s="2" t="s">
        <v>14801</v>
      </c>
      <c r="E1470" s="2" t="s">
        <v>14802</v>
      </c>
      <c r="G1470" s="3" t="s">
        <v>62</v>
      </c>
      <c r="I1470" s="3" t="s">
        <v>62</v>
      </c>
      <c r="J1470" s="3" t="s">
        <v>62</v>
      </c>
      <c r="K1470" s="3" t="s">
        <v>63</v>
      </c>
      <c r="L1470" s="2" t="s">
        <v>14803</v>
      </c>
      <c r="M1470" s="2" t="s">
        <v>14804</v>
      </c>
      <c r="N1470" s="3" t="s">
        <v>880</v>
      </c>
      <c r="P1470" s="3" t="s">
        <v>64</v>
      </c>
      <c r="R1470" s="3" t="s">
        <v>13065</v>
      </c>
      <c r="S1470" s="4">
        <v>1</v>
      </c>
      <c r="T1470" s="4">
        <v>1</v>
      </c>
      <c r="U1470" s="5" t="s">
        <v>14805</v>
      </c>
      <c r="V1470" s="5" t="s">
        <v>14805</v>
      </c>
      <c r="W1470" s="5" t="s">
        <v>67</v>
      </c>
      <c r="X1470" s="5" t="s">
        <v>67</v>
      </c>
      <c r="Y1470" s="4">
        <v>169</v>
      </c>
      <c r="Z1470" s="4">
        <v>15</v>
      </c>
      <c r="AA1470" s="4">
        <v>15</v>
      </c>
      <c r="AB1470" s="4">
        <v>2</v>
      </c>
      <c r="AC1470" s="4">
        <v>2</v>
      </c>
      <c r="AD1470" s="4">
        <v>38</v>
      </c>
      <c r="AE1470" s="4">
        <v>38</v>
      </c>
      <c r="AF1470" s="4">
        <v>0</v>
      </c>
      <c r="AG1470" s="4">
        <v>0</v>
      </c>
      <c r="AH1470" s="4">
        <v>30</v>
      </c>
      <c r="AI1470" s="4">
        <v>30</v>
      </c>
      <c r="AJ1470" s="4">
        <v>9</v>
      </c>
      <c r="AK1470" s="4">
        <v>9</v>
      </c>
      <c r="AL1470" s="4">
        <v>17</v>
      </c>
      <c r="AM1470" s="4">
        <v>17</v>
      </c>
      <c r="AN1470" s="4">
        <v>0</v>
      </c>
      <c r="AO1470" s="4">
        <v>0</v>
      </c>
      <c r="AP1470" s="4">
        <v>10</v>
      </c>
      <c r="AQ1470" s="4">
        <v>10</v>
      </c>
      <c r="AR1470" s="3" t="s">
        <v>62</v>
      </c>
      <c r="AS1470" s="3" t="s">
        <v>62</v>
      </c>
      <c r="AT1470" s="3" t="s">
        <v>61</v>
      </c>
      <c r="AU1470" s="6" t="str">
        <f>HYPERLINK("http://catalog.hathitrust.org/Record/009671973","HathiTrust Record")</f>
        <v>HathiTrust Record</v>
      </c>
      <c r="AV1470" s="6" t="str">
        <f>HYPERLINK("http://mcgill.on.worldcat.org/oclc/245598825","Catalog Record")</f>
        <v>Catalog Record</v>
      </c>
      <c r="AW1470" s="6" t="str">
        <f>HYPERLINK("http://www.worldcat.org/oclc/245598825","WorldCat Record")</f>
        <v>WorldCat Record</v>
      </c>
      <c r="AX1470" s="3" t="s">
        <v>14806</v>
      </c>
      <c r="AY1470" s="3" t="s">
        <v>14807</v>
      </c>
      <c r="AZ1470" s="3" t="s">
        <v>14808</v>
      </c>
      <c r="BA1470" s="3" t="s">
        <v>14808</v>
      </c>
      <c r="BB1470" s="3" t="s">
        <v>14809</v>
      </c>
      <c r="BC1470" s="3" t="s">
        <v>102</v>
      </c>
      <c r="BD1470" s="3" t="s">
        <v>68</v>
      </c>
      <c r="BE1470" s="3" t="s">
        <v>14810</v>
      </c>
      <c r="BF1470" s="3" t="s">
        <v>14809</v>
      </c>
      <c r="BG1470" s="3" t="s">
        <v>14811</v>
      </c>
    </row>
    <row r="1471" spans="1:59" ht="58" x14ac:dyDescent="0.35">
      <c r="A1471" s="2" t="s">
        <v>89</v>
      </c>
      <c r="B1471" s="2" t="s">
        <v>6791</v>
      </c>
      <c r="C1471" s="2" t="s">
        <v>14812</v>
      </c>
      <c r="D1471" s="2" t="s">
        <v>14813</v>
      </c>
      <c r="E1471" s="2" t="s">
        <v>14814</v>
      </c>
      <c r="G1471" s="3" t="s">
        <v>62</v>
      </c>
      <c r="I1471" s="3" t="s">
        <v>62</v>
      </c>
      <c r="J1471" s="3" t="s">
        <v>62</v>
      </c>
      <c r="K1471" s="3" t="s">
        <v>63</v>
      </c>
      <c r="M1471" s="2" t="s">
        <v>14815</v>
      </c>
      <c r="N1471" s="3" t="s">
        <v>524</v>
      </c>
      <c r="P1471" s="3" t="s">
        <v>64</v>
      </c>
      <c r="R1471" s="3" t="s">
        <v>13065</v>
      </c>
      <c r="S1471" s="4">
        <v>29</v>
      </c>
      <c r="T1471" s="4">
        <v>29</v>
      </c>
      <c r="U1471" s="5" t="s">
        <v>14331</v>
      </c>
      <c r="V1471" s="5" t="s">
        <v>14331</v>
      </c>
      <c r="W1471" s="5" t="s">
        <v>67</v>
      </c>
      <c r="X1471" s="5" t="s">
        <v>67</v>
      </c>
      <c r="Y1471" s="4">
        <v>509</v>
      </c>
      <c r="Z1471" s="4">
        <v>25</v>
      </c>
      <c r="AA1471" s="4">
        <v>27</v>
      </c>
      <c r="AB1471" s="4">
        <v>2</v>
      </c>
      <c r="AC1471" s="4">
        <v>4</v>
      </c>
      <c r="AD1471" s="4">
        <v>103</v>
      </c>
      <c r="AE1471" s="4">
        <v>105</v>
      </c>
      <c r="AF1471" s="4">
        <v>1</v>
      </c>
      <c r="AG1471" s="4">
        <v>3</v>
      </c>
      <c r="AH1471" s="4">
        <v>92</v>
      </c>
      <c r="AI1471" s="4">
        <v>93</v>
      </c>
      <c r="AJ1471" s="4">
        <v>15</v>
      </c>
      <c r="AK1471" s="4">
        <v>17</v>
      </c>
      <c r="AL1471" s="4">
        <v>48</v>
      </c>
      <c r="AM1471" s="4">
        <v>48</v>
      </c>
      <c r="AN1471" s="4">
        <v>0</v>
      </c>
      <c r="AO1471" s="4">
        <v>0</v>
      </c>
      <c r="AP1471" s="4">
        <v>19</v>
      </c>
      <c r="AQ1471" s="4">
        <v>21</v>
      </c>
      <c r="AR1471" s="3" t="s">
        <v>62</v>
      </c>
      <c r="AS1471" s="3" t="s">
        <v>62</v>
      </c>
      <c r="AT1471" s="3" t="s">
        <v>62</v>
      </c>
      <c r="AV1471" s="6" t="str">
        <f>HYPERLINK("http://mcgill.on.worldcat.org/oclc/30510231","Catalog Record")</f>
        <v>Catalog Record</v>
      </c>
      <c r="AW1471" s="6" t="str">
        <f>HYPERLINK("http://www.worldcat.org/oclc/30510231","WorldCat Record")</f>
        <v>WorldCat Record</v>
      </c>
      <c r="AX1471" s="3" t="s">
        <v>14816</v>
      </c>
      <c r="AY1471" s="3" t="s">
        <v>14817</v>
      </c>
      <c r="AZ1471" s="3" t="s">
        <v>14818</v>
      </c>
      <c r="BA1471" s="3" t="s">
        <v>14818</v>
      </c>
      <c r="BB1471" s="3" t="s">
        <v>14819</v>
      </c>
      <c r="BC1471" s="3" t="s">
        <v>102</v>
      </c>
      <c r="BD1471" s="3" t="s">
        <v>231</v>
      </c>
      <c r="BE1471" s="3" t="s">
        <v>14820</v>
      </c>
      <c r="BF1471" s="3" t="s">
        <v>14819</v>
      </c>
      <c r="BG1471" s="3" t="s">
        <v>14821</v>
      </c>
    </row>
    <row r="1472" spans="1:59" ht="58" x14ac:dyDescent="0.35">
      <c r="A1472" s="2" t="s">
        <v>89</v>
      </c>
      <c r="B1472" s="2" t="s">
        <v>90</v>
      </c>
      <c r="C1472" s="2" t="s">
        <v>14822</v>
      </c>
      <c r="D1472" s="2" t="s">
        <v>14823</v>
      </c>
      <c r="E1472" s="2" t="s">
        <v>14824</v>
      </c>
      <c r="F1472" s="3" t="s">
        <v>14825</v>
      </c>
      <c r="G1472" s="3" t="s">
        <v>61</v>
      </c>
      <c r="I1472" s="3" t="s">
        <v>62</v>
      </c>
      <c r="J1472" s="3" t="s">
        <v>62</v>
      </c>
      <c r="K1472" s="3" t="s">
        <v>63</v>
      </c>
      <c r="M1472" s="2" t="s">
        <v>14826</v>
      </c>
      <c r="N1472" s="3" t="s">
        <v>640</v>
      </c>
      <c r="P1472" s="3" t="s">
        <v>64</v>
      </c>
      <c r="Q1472" s="2" t="s">
        <v>14827</v>
      </c>
      <c r="R1472" s="3" t="s">
        <v>13065</v>
      </c>
      <c r="S1472" s="4">
        <v>8</v>
      </c>
      <c r="T1472" s="4">
        <v>9</v>
      </c>
      <c r="U1472" s="5" t="s">
        <v>13095</v>
      </c>
      <c r="V1472" s="5" t="s">
        <v>13095</v>
      </c>
      <c r="W1472" s="5" t="s">
        <v>67</v>
      </c>
      <c r="X1472" s="5" t="s">
        <v>67</v>
      </c>
      <c r="Y1472" s="4">
        <v>506</v>
      </c>
      <c r="Z1472" s="4">
        <v>9</v>
      </c>
      <c r="AA1472" s="4">
        <v>13</v>
      </c>
      <c r="AB1472" s="4">
        <v>1</v>
      </c>
      <c r="AC1472" s="4">
        <v>4</v>
      </c>
      <c r="AD1472" s="4">
        <v>69</v>
      </c>
      <c r="AE1472" s="4">
        <v>73</v>
      </c>
      <c r="AF1472" s="4">
        <v>0</v>
      </c>
      <c r="AG1472" s="4">
        <v>3</v>
      </c>
      <c r="AH1472" s="4">
        <v>64</v>
      </c>
      <c r="AI1472" s="4">
        <v>65</v>
      </c>
      <c r="AJ1472" s="4">
        <v>4</v>
      </c>
      <c r="AK1472" s="4">
        <v>6</v>
      </c>
      <c r="AL1472" s="4">
        <v>32</v>
      </c>
      <c r="AM1472" s="4">
        <v>32</v>
      </c>
      <c r="AN1472" s="4">
        <v>0</v>
      </c>
      <c r="AO1472" s="4">
        <v>0</v>
      </c>
      <c r="AP1472" s="4">
        <v>8</v>
      </c>
      <c r="AQ1472" s="4">
        <v>12</v>
      </c>
      <c r="AR1472" s="3" t="s">
        <v>62</v>
      </c>
      <c r="AS1472" s="3" t="s">
        <v>62</v>
      </c>
      <c r="AT1472" s="3" t="s">
        <v>61</v>
      </c>
      <c r="AU1472" s="6" t="str">
        <f>HYPERLINK("http://catalog.hathitrust.org/Record/004735556","HathiTrust Record")</f>
        <v>HathiTrust Record</v>
      </c>
      <c r="AV1472" s="6" t="str">
        <f>HYPERLINK("http://mcgill.on.worldcat.org/oclc/54372739","Catalog Record")</f>
        <v>Catalog Record</v>
      </c>
      <c r="AW1472" s="6" t="str">
        <f>HYPERLINK("http://www.worldcat.org/oclc/54372739","WorldCat Record")</f>
        <v>WorldCat Record</v>
      </c>
      <c r="AX1472" s="3" t="s">
        <v>14828</v>
      </c>
      <c r="AY1472" s="3" t="s">
        <v>14829</v>
      </c>
      <c r="AZ1472" s="3" t="s">
        <v>14830</v>
      </c>
      <c r="BA1472" s="3" t="s">
        <v>14830</v>
      </c>
      <c r="BB1472" s="3" t="s">
        <v>14831</v>
      </c>
      <c r="BC1472" s="3" t="s">
        <v>102</v>
      </c>
      <c r="BD1472" s="3" t="s">
        <v>68</v>
      </c>
      <c r="BE1472" s="3" t="s">
        <v>14832</v>
      </c>
      <c r="BF1472" s="3" t="s">
        <v>14831</v>
      </c>
      <c r="BG1472" s="3" t="s">
        <v>14833</v>
      </c>
    </row>
    <row r="1473" spans="1:59" ht="58" x14ac:dyDescent="0.35">
      <c r="A1473" s="2" t="s">
        <v>89</v>
      </c>
      <c r="B1473" s="2" t="s">
        <v>90</v>
      </c>
      <c r="C1473" s="2" t="s">
        <v>14822</v>
      </c>
      <c r="D1473" s="2" t="s">
        <v>14823</v>
      </c>
      <c r="E1473" s="2" t="s">
        <v>14824</v>
      </c>
      <c r="F1473" s="3" t="s">
        <v>14834</v>
      </c>
      <c r="G1473" s="3" t="s">
        <v>61</v>
      </c>
      <c r="I1473" s="3" t="s">
        <v>62</v>
      </c>
      <c r="J1473" s="3" t="s">
        <v>62</v>
      </c>
      <c r="K1473" s="3" t="s">
        <v>63</v>
      </c>
      <c r="M1473" s="2" t="s">
        <v>14826</v>
      </c>
      <c r="N1473" s="3" t="s">
        <v>640</v>
      </c>
      <c r="P1473" s="3" t="s">
        <v>64</v>
      </c>
      <c r="Q1473" s="2" t="s">
        <v>14827</v>
      </c>
      <c r="R1473" s="3" t="s">
        <v>13065</v>
      </c>
      <c r="S1473" s="4">
        <v>1</v>
      </c>
      <c r="T1473" s="4">
        <v>9</v>
      </c>
      <c r="U1473" s="5" t="s">
        <v>14835</v>
      </c>
      <c r="V1473" s="5" t="s">
        <v>13095</v>
      </c>
      <c r="W1473" s="5" t="s">
        <v>67</v>
      </c>
      <c r="X1473" s="5" t="s">
        <v>67</v>
      </c>
      <c r="Y1473" s="4">
        <v>506</v>
      </c>
      <c r="Z1473" s="4">
        <v>9</v>
      </c>
      <c r="AA1473" s="4">
        <v>13</v>
      </c>
      <c r="AB1473" s="4">
        <v>1</v>
      </c>
      <c r="AC1473" s="4">
        <v>4</v>
      </c>
      <c r="AD1473" s="4">
        <v>69</v>
      </c>
      <c r="AE1473" s="4">
        <v>73</v>
      </c>
      <c r="AF1473" s="4">
        <v>0</v>
      </c>
      <c r="AG1473" s="4">
        <v>3</v>
      </c>
      <c r="AH1473" s="4">
        <v>64</v>
      </c>
      <c r="AI1473" s="4">
        <v>65</v>
      </c>
      <c r="AJ1473" s="4">
        <v>4</v>
      </c>
      <c r="AK1473" s="4">
        <v>6</v>
      </c>
      <c r="AL1473" s="4">
        <v>32</v>
      </c>
      <c r="AM1473" s="4">
        <v>32</v>
      </c>
      <c r="AN1473" s="4">
        <v>0</v>
      </c>
      <c r="AO1473" s="4">
        <v>0</v>
      </c>
      <c r="AP1473" s="4">
        <v>8</v>
      </c>
      <c r="AQ1473" s="4">
        <v>12</v>
      </c>
      <c r="AR1473" s="3" t="s">
        <v>62</v>
      </c>
      <c r="AS1473" s="3" t="s">
        <v>62</v>
      </c>
      <c r="AT1473" s="3" t="s">
        <v>61</v>
      </c>
      <c r="AU1473" s="6" t="str">
        <f>HYPERLINK("http://catalog.hathitrust.org/Record/004735556","HathiTrust Record")</f>
        <v>HathiTrust Record</v>
      </c>
      <c r="AV1473" s="6" t="str">
        <f>HYPERLINK("http://mcgill.on.worldcat.org/oclc/54372739","Catalog Record")</f>
        <v>Catalog Record</v>
      </c>
      <c r="AW1473" s="6" t="str">
        <f>HYPERLINK("http://www.worldcat.org/oclc/54372739","WorldCat Record")</f>
        <v>WorldCat Record</v>
      </c>
      <c r="AX1473" s="3" t="s">
        <v>14828</v>
      </c>
      <c r="AY1473" s="3" t="s">
        <v>14829</v>
      </c>
      <c r="AZ1473" s="3" t="s">
        <v>14830</v>
      </c>
      <c r="BA1473" s="3" t="s">
        <v>14830</v>
      </c>
      <c r="BB1473" s="3" t="s">
        <v>14836</v>
      </c>
      <c r="BC1473" s="3" t="s">
        <v>102</v>
      </c>
      <c r="BD1473" s="3" t="s">
        <v>68</v>
      </c>
      <c r="BE1473" s="3" t="s">
        <v>14832</v>
      </c>
      <c r="BF1473" s="3" t="s">
        <v>14836</v>
      </c>
      <c r="BG1473" s="3" t="s">
        <v>14837</v>
      </c>
    </row>
    <row r="1474" spans="1:59" ht="87" x14ac:dyDescent="0.35">
      <c r="A1474" s="2" t="s">
        <v>89</v>
      </c>
      <c r="B1474" s="2" t="s">
        <v>90</v>
      </c>
      <c r="C1474" s="2" t="s">
        <v>14838</v>
      </c>
      <c r="D1474" s="2" t="s">
        <v>14839</v>
      </c>
      <c r="E1474" s="2" t="s">
        <v>14840</v>
      </c>
      <c r="G1474" s="3" t="s">
        <v>62</v>
      </c>
      <c r="I1474" s="3" t="s">
        <v>62</v>
      </c>
      <c r="J1474" s="3" t="s">
        <v>62</v>
      </c>
      <c r="K1474" s="3" t="s">
        <v>63</v>
      </c>
      <c r="M1474" s="2" t="s">
        <v>14841</v>
      </c>
      <c r="N1474" s="3" t="s">
        <v>726</v>
      </c>
      <c r="P1474" s="3" t="s">
        <v>64</v>
      </c>
      <c r="Q1474" s="2" t="s">
        <v>14842</v>
      </c>
      <c r="R1474" s="3" t="s">
        <v>13065</v>
      </c>
      <c r="S1474" s="4">
        <v>1</v>
      </c>
      <c r="T1474" s="4">
        <v>1</v>
      </c>
      <c r="U1474" s="5" t="s">
        <v>8928</v>
      </c>
      <c r="V1474" s="5" t="s">
        <v>8928</v>
      </c>
      <c r="W1474" s="5" t="s">
        <v>67</v>
      </c>
      <c r="X1474" s="5" t="s">
        <v>67</v>
      </c>
      <c r="Y1474" s="4">
        <v>244</v>
      </c>
      <c r="Z1474" s="4">
        <v>10</v>
      </c>
      <c r="AA1474" s="4">
        <v>10</v>
      </c>
      <c r="AB1474" s="4">
        <v>1</v>
      </c>
      <c r="AC1474" s="4">
        <v>1</v>
      </c>
      <c r="AD1474" s="4">
        <v>49</v>
      </c>
      <c r="AE1474" s="4">
        <v>49</v>
      </c>
      <c r="AF1474" s="4">
        <v>0</v>
      </c>
      <c r="AG1474" s="4">
        <v>0</v>
      </c>
      <c r="AH1474" s="4">
        <v>43</v>
      </c>
      <c r="AI1474" s="4">
        <v>43</v>
      </c>
      <c r="AJ1474" s="4">
        <v>7</v>
      </c>
      <c r="AK1474" s="4">
        <v>7</v>
      </c>
      <c r="AL1474" s="4">
        <v>28</v>
      </c>
      <c r="AM1474" s="4">
        <v>28</v>
      </c>
      <c r="AN1474" s="4">
        <v>0</v>
      </c>
      <c r="AO1474" s="4">
        <v>0</v>
      </c>
      <c r="AP1474" s="4">
        <v>9</v>
      </c>
      <c r="AQ1474" s="4">
        <v>9</v>
      </c>
      <c r="AR1474" s="3" t="s">
        <v>62</v>
      </c>
      <c r="AS1474" s="3" t="s">
        <v>62</v>
      </c>
      <c r="AT1474" s="3" t="s">
        <v>62</v>
      </c>
      <c r="AV1474" s="6" t="str">
        <f>HYPERLINK("http://mcgill.on.worldcat.org/oclc/987000920","Catalog Record")</f>
        <v>Catalog Record</v>
      </c>
      <c r="AW1474" s="6" t="str">
        <f>HYPERLINK("http://www.worldcat.org/oclc/987000920","WorldCat Record")</f>
        <v>WorldCat Record</v>
      </c>
      <c r="AX1474" s="3" t="s">
        <v>14843</v>
      </c>
      <c r="AY1474" s="3" t="s">
        <v>14844</v>
      </c>
      <c r="AZ1474" s="3" t="s">
        <v>14845</v>
      </c>
      <c r="BA1474" s="3" t="s">
        <v>14845</v>
      </c>
      <c r="BB1474" s="3" t="s">
        <v>14846</v>
      </c>
      <c r="BC1474" s="3" t="s">
        <v>102</v>
      </c>
      <c r="BD1474" s="3" t="s">
        <v>68</v>
      </c>
      <c r="BE1474" s="3" t="s">
        <v>14847</v>
      </c>
      <c r="BF1474" s="3" t="s">
        <v>14846</v>
      </c>
      <c r="BG1474" s="3" t="s">
        <v>14848</v>
      </c>
    </row>
    <row r="1475" spans="1:59" ht="58" x14ac:dyDescent="0.35">
      <c r="A1475" s="2" t="s">
        <v>89</v>
      </c>
      <c r="B1475" s="2" t="s">
        <v>90</v>
      </c>
      <c r="C1475" s="2" t="s">
        <v>14849</v>
      </c>
      <c r="D1475" s="2" t="s">
        <v>14850</v>
      </c>
      <c r="E1475" s="2" t="s">
        <v>14851</v>
      </c>
      <c r="G1475" s="3" t="s">
        <v>62</v>
      </c>
      <c r="I1475" s="3" t="s">
        <v>62</v>
      </c>
      <c r="J1475" s="3" t="s">
        <v>62</v>
      </c>
      <c r="K1475" s="3" t="s">
        <v>63</v>
      </c>
      <c r="M1475" s="2" t="s">
        <v>14852</v>
      </c>
      <c r="N1475" s="3" t="s">
        <v>2085</v>
      </c>
      <c r="P1475" s="3" t="s">
        <v>64</v>
      </c>
      <c r="Q1475" s="2" t="s">
        <v>14853</v>
      </c>
      <c r="R1475" s="3" t="s">
        <v>13065</v>
      </c>
      <c r="S1475" s="4">
        <v>1</v>
      </c>
      <c r="T1475" s="4">
        <v>1</v>
      </c>
      <c r="U1475" s="5" t="s">
        <v>14536</v>
      </c>
      <c r="V1475" s="5" t="s">
        <v>14536</v>
      </c>
      <c r="W1475" s="5" t="s">
        <v>67</v>
      </c>
      <c r="X1475" s="5" t="s">
        <v>67</v>
      </c>
      <c r="Y1475" s="4">
        <v>235</v>
      </c>
      <c r="Z1475" s="4">
        <v>10</v>
      </c>
      <c r="AA1475" s="4">
        <v>10</v>
      </c>
      <c r="AB1475" s="4">
        <v>1</v>
      </c>
      <c r="AC1475" s="4">
        <v>1</v>
      </c>
      <c r="AD1475" s="4">
        <v>52</v>
      </c>
      <c r="AE1475" s="4">
        <v>52</v>
      </c>
      <c r="AF1475" s="4">
        <v>0</v>
      </c>
      <c r="AG1475" s="4">
        <v>0</v>
      </c>
      <c r="AH1475" s="4">
        <v>47</v>
      </c>
      <c r="AI1475" s="4">
        <v>47</v>
      </c>
      <c r="AJ1475" s="4">
        <v>6</v>
      </c>
      <c r="AK1475" s="4">
        <v>6</v>
      </c>
      <c r="AL1475" s="4">
        <v>30</v>
      </c>
      <c r="AM1475" s="4">
        <v>30</v>
      </c>
      <c r="AN1475" s="4">
        <v>0</v>
      </c>
      <c r="AO1475" s="4">
        <v>0</v>
      </c>
      <c r="AP1475" s="4">
        <v>9</v>
      </c>
      <c r="AQ1475" s="4">
        <v>9</v>
      </c>
      <c r="AR1475" s="3" t="s">
        <v>62</v>
      </c>
      <c r="AS1475" s="3" t="s">
        <v>62</v>
      </c>
      <c r="AT1475" s="3" t="s">
        <v>62</v>
      </c>
      <c r="AV1475" s="6" t="str">
        <f>HYPERLINK("http://mcgill.on.worldcat.org/oclc/1034576887","Catalog Record")</f>
        <v>Catalog Record</v>
      </c>
      <c r="AW1475" s="6" t="str">
        <f>HYPERLINK("http://www.worldcat.org/oclc/1034576887","WorldCat Record")</f>
        <v>WorldCat Record</v>
      </c>
      <c r="AX1475" s="3" t="s">
        <v>14854</v>
      </c>
      <c r="AY1475" s="3" t="s">
        <v>14855</v>
      </c>
      <c r="AZ1475" s="3" t="s">
        <v>14856</v>
      </c>
      <c r="BA1475" s="3" t="s">
        <v>14856</v>
      </c>
      <c r="BB1475" s="3" t="s">
        <v>14857</v>
      </c>
      <c r="BC1475" s="3" t="s">
        <v>102</v>
      </c>
      <c r="BD1475" s="3" t="s">
        <v>68</v>
      </c>
      <c r="BE1475" s="3" t="s">
        <v>14858</v>
      </c>
      <c r="BF1475" s="3" t="s">
        <v>14857</v>
      </c>
      <c r="BG1475" s="3" t="s">
        <v>14859</v>
      </c>
    </row>
    <row r="1476" spans="1:59" ht="58" x14ac:dyDescent="0.35">
      <c r="A1476" s="2" t="s">
        <v>89</v>
      </c>
      <c r="B1476" s="2" t="s">
        <v>90</v>
      </c>
      <c r="C1476" s="2" t="s">
        <v>14860</v>
      </c>
      <c r="D1476" s="2" t="s">
        <v>14861</v>
      </c>
      <c r="E1476" s="2" t="s">
        <v>14862</v>
      </c>
      <c r="G1476" s="3" t="s">
        <v>62</v>
      </c>
      <c r="I1476" s="3" t="s">
        <v>62</v>
      </c>
      <c r="J1476" s="3" t="s">
        <v>62</v>
      </c>
      <c r="K1476" s="3" t="s">
        <v>63</v>
      </c>
      <c r="L1476" s="2" t="s">
        <v>14863</v>
      </c>
      <c r="M1476" s="2" t="s">
        <v>14864</v>
      </c>
      <c r="N1476" s="3" t="s">
        <v>1722</v>
      </c>
      <c r="P1476" s="3" t="s">
        <v>64</v>
      </c>
      <c r="R1476" s="3" t="s">
        <v>13065</v>
      </c>
      <c r="S1476" s="4">
        <v>2</v>
      </c>
      <c r="T1476" s="4">
        <v>2</v>
      </c>
      <c r="U1476" s="5" t="s">
        <v>8758</v>
      </c>
      <c r="V1476" s="5" t="s">
        <v>8758</v>
      </c>
      <c r="W1476" s="5" t="s">
        <v>67</v>
      </c>
      <c r="X1476" s="5" t="s">
        <v>67</v>
      </c>
      <c r="Y1476" s="4">
        <v>468</v>
      </c>
      <c r="Z1476" s="4">
        <v>29</v>
      </c>
      <c r="AA1476" s="4">
        <v>39</v>
      </c>
      <c r="AB1476" s="4">
        <v>3</v>
      </c>
      <c r="AC1476" s="4">
        <v>4</v>
      </c>
      <c r="AD1476" s="4">
        <v>72</v>
      </c>
      <c r="AE1476" s="4">
        <v>82</v>
      </c>
      <c r="AF1476" s="4">
        <v>1</v>
      </c>
      <c r="AG1476" s="4">
        <v>2</v>
      </c>
      <c r="AH1476" s="4">
        <v>59</v>
      </c>
      <c r="AI1476" s="4">
        <v>65</v>
      </c>
      <c r="AJ1476" s="4">
        <v>9</v>
      </c>
      <c r="AK1476" s="4">
        <v>13</v>
      </c>
      <c r="AL1476" s="4">
        <v>28</v>
      </c>
      <c r="AM1476" s="4">
        <v>30</v>
      </c>
      <c r="AN1476" s="4">
        <v>0</v>
      </c>
      <c r="AO1476" s="4">
        <v>0</v>
      </c>
      <c r="AP1476" s="4">
        <v>18</v>
      </c>
      <c r="AQ1476" s="4">
        <v>24</v>
      </c>
      <c r="AR1476" s="3" t="s">
        <v>62</v>
      </c>
      <c r="AS1476" s="3" t="s">
        <v>62</v>
      </c>
      <c r="AT1476" s="3" t="s">
        <v>62</v>
      </c>
      <c r="AV1476" s="6" t="str">
        <f>HYPERLINK("http://mcgill.on.worldcat.org/oclc/145431675","Catalog Record")</f>
        <v>Catalog Record</v>
      </c>
      <c r="AW1476" s="6" t="str">
        <f>HYPERLINK("http://www.worldcat.org/oclc/145431675","WorldCat Record")</f>
        <v>WorldCat Record</v>
      </c>
      <c r="AX1476" s="3" t="s">
        <v>14865</v>
      </c>
      <c r="AY1476" s="3" t="s">
        <v>14866</v>
      </c>
      <c r="AZ1476" s="3" t="s">
        <v>14867</v>
      </c>
      <c r="BA1476" s="3" t="s">
        <v>14867</v>
      </c>
      <c r="BB1476" s="3" t="s">
        <v>14868</v>
      </c>
      <c r="BC1476" s="3" t="s">
        <v>102</v>
      </c>
      <c r="BD1476" s="3" t="s">
        <v>68</v>
      </c>
      <c r="BE1476" s="3" t="s">
        <v>14869</v>
      </c>
      <c r="BF1476" s="3" t="s">
        <v>14868</v>
      </c>
      <c r="BG1476" s="3" t="s">
        <v>14870</v>
      </c>
    </row>
    <row r="1477" spans="1:59" ht="58" x14ac:dyDescent="0.35">
      <c r="A1477" s="2" t="s">
        <v>89</v>
      </c>
      <c r="B1477" s="2" t="s">
        <v>90</v>
      </c>
      <c r="C1477" s="2" t="s">
        <v>14871</v>
      </c>
      <c r="D1477" s="2" t="s">
        <v>14872</v>
      </c>
      <c r="E1477" s="2" t="s">
        <v>14873</v>
      </c>
      <c r="G1477" s="3" t="s">
        <v>62</v>
      </c>
      <c r="I1477" s="3" t="s">
        <v>62</v>
      </c>
      <c r="J1477" s="3" t="s">
        <v>62</v>
      </c>
      <c r="K1477" s="3" t="s">
        <v>63</v>
      </c>
      <c r="M1477" s="2" t="s">
        <v>14874</v>
      </c>
      <c r="N1477" s="3" t="s">
        <v>880</v>
      </c>
      <c r="P1477" s="3" t="s">
        <v>85</v>
      </c>
      <c r="R1477" s="3" t="s">
        <v>13065</v>
      </c>
      <c r="S1477" s="4">
        <v>1</v>
      </c>
      <c r="T1477" s="4">
        <v>1</v>
      </c>
      <c r="U1477" s="5" t="s">
        <v>14875</v>
      </c>
      <c r="V1477" s="5" t="s">
        <v>14875</v>
      </c>
      <c r="W1477" s="5" t="s">
        <v>67</v>
      </c>
      <c r="X1477" s="5" t="s">
        <v>67</v>
      </c>
      <c r="Y1477" s="4">
        <v>12</v>
      </c>
      <c r="Z1477" s="4">
        <v>10</v>
      </c>
      <c r="AA1477" s="4">
        <v>12</v>
      </c>
      <c r="AB1477" s="4">
        <v>8</v>
      </c>
      <c r="AC1477" s="4">
        <v>9</v>
      </c>
      <c r="AD1477" s="4">
        <v>8</v>
      </c>
      <c r="AE1477" s="4">
        <v>11</v>
      </c>
      <c r="AF1477" s="4">
        <v>5</v>
      </c>
      <c r="AG1477" s="4">
        <v>6</v>
      </c>
      <c r="AH1477" s="4">
        <v>2</v>
      </c>
      <c r="AI1477" s="4">
        <v>3</v>
      </c>
      <c r="AJ1477" s="4">
        <v>5</v>
      </c>
      <c r="AK1477" s="4">
        <v>7</v>
      </c>
      <c r="AL1477" s="4">
        <v>1</v>
      </c>
      <c r="AM1477" s="4">
        <v>1</v>
      </c>
      <c r="AN1477" s="4">
        <v>0</v>
      </c>
      <c r="AO1477" s="4">
        <v>0</v>
      </c>
      <c r="AP1477" s="4">
        <v>5</v>
      </c>
      <c r="AQ1477" s="4">
        <v>7</v>
      </c>
      <c r="AR1477" s="3" t="s">
        <v>61</v>
      </c>
      <c r="AS1477" s="3" t="s">
        <v>62</v>
      </c>
      <c r="AT1477" s="3" t="s">
        <v>62</v>
      </c>
      <c r="AV1477" s="6" t="str">
        <f>HYPERLINK("http://mcgill.on.worldcat.org/oclc/662576601","Catalog Record")</f>
        <v>Catalog Record</v>
      </c>
      <c r="AW1477" s="6" t="str">
        <f>HYPERLINK("http://www.worldcat.org/oclc/662576601","WorldCat Record")</f>
        <v>WorldCat Record</v>
      </c>
      <c r="AX1477" s="3" t="s">
        <v>14876</v>
      </c>
      <c r="AY1477" s="3" t="s">
        <v>14877</v>
      </c>
      <c r="AZ1477" s="3" t="s">
        <v>14878</v>
      </c>
      <c r="BA1477" s="3" t="s">
        <v>14878</v>
      </c>
      <c r="BB1477" s="3" t="s">
        <v>14879</v>
      </c>
      <c r="BC1477" s="3" t="s">
        <v>102</v>
      </c>
      <c r="BD1477" s="3" t="s">
        <v>68</v>
      </c>
      <c r="BE1477" s="3" t="s">
        <v>14880</v>
      </c>
      <c r="BF1477" s="3" t="s">
        <v>14879</v>
      </c>
      <c r="BG1477" s="3" t="s">
        <v>14881</v>
      </c>
    </row>
    <row r="1478" spans="1:59" ht="58" x14ac:dyDescent="0.35">
      <c r="A1478" s="2" t="s">
        <v>89</v>
      </c>
      <c r="B1478" s="2" t="s">
        <v>90</v>
      </c>
      <c r="C1478" s="2" t="s">
        <v>14882</v>
      </c>
      <c r="D1478" s="2" t="s">
        <v>14883</v>
      </c>
      <c r="E1478" s="2" t="s">
        <v>14884</v>
      </c>
      <c r="G1478" s="3" t="s">
        <v>62</v>
      </c>
      <c r="I1478" s="3" t="s">
        <v>62</v>
      </c>
      <c r="J1478" s="3" t="s">
        <v>62</v>
      </c>
      <c r="K1478" s="3" t="s">
        <v>63</v>
      </c>
      <c r="M1478" s="2" t="s">
        <v>14885</v>
      </c>
      <c r="N1478" s="3" t="s">
        <v>640</v>
      </c>
      <c r="P1478" s="3" t="s">
        <v>64</v>
      </c>
      <c r="Q1478" s="2" t="s">
        <v>14886</v>
      </c>
      <c r="R1478" s="3" t="s">
        <v>13065</v>
      </c>
      <c r="S1478" s="4">
        <v>2</v>
      </c>
      <c r="T1478" s="4">
        <v>2</v>
      </c>
      <c r="U1478" s="5" t="s">
        <v>826</v>
      </c>
      <c r="V1478" s="5" t="s">
        <v>826</v>
      </c>
      <c r="W1478" s="5" t="s">
        <v>67</v>
      </c>
      <c r="X1478" s="5" t="s">
        <v>67</v>
      </c>
      <c r="Y1478" s="4">
        <v>216</v>
      </c>
      <c r="Z1478" s="4">
        <v>8</v>
      </c>
      <c r="AA1478" s="4">
        <v>100</v>
      </c>
      <c r="AB1478" s="4">
        <v>2</v>
      </c>
      <c r="AC1478" s="4">
        <v>17</v>
      </c>
      <c r="AD1478" s="4">
        <v>47</v>
      </c>
      <c r="AE1478" s="4">
        <v>121</v>
      </c>
      <c r="AF1478" s="4">
        <v>1</v>
      </c>
      <c r="AG1478" s="4">
        <v>8</v>
      </c>
      <c r="AH1478" s="4">
        <v>42</v>
      </c>
      <c r="AI1478" s="4">
        <v>83</v>
      </c>
      <c r="AJ1478" s="4">
        <v>4</v>
      </c>
      <c r="AK1478" s="4">
        <v>21</v>
      </c>
      <c r="AL1478" s="4">
        <v>26</v>
      </c>
      <c r="AM1478" s="4">
        <v>42</v>
      </c>
      <c r="AN1478" s="4">
        <v>0</v>
      </c>
      <c r="AO1478" s="4">
        <v>0</v>
      </c>
      <c r="AP1478" s="4">
        <v>7</v>
      </c>
      <c r="AQ1478" s="4">
        <v>43</v>
      </c>
      <c r="AR1478" s="3" t="s">
        <v>62</v>
      </c>
      <c r="AS1478" s="3" t="s">
        <v>62</v>
      </c>
      <c r="AT1478" s="3" t="s">
        <v>62</v>
      </c>
      <c r="AV1478" s="6" t="str">
        <f>HYPERLINK("http://mcgill.on.worldcat.org/oclc/56630391","Catalog Record")</f>
        <v>Catalog Record</v>
      </c>
      <c r="AW1478" s="6" t="str">
        <f>HYPERLINK("http://www.worldcat.org/oclc/56630391","WorldCat Record")</f>
        <v>WorldCat Record</v>
      </c>
      <c r="AX1478" s="3" t="s">
        <v>14887</v>
      </c>
      <c r="AY1478" s="3" t="s">
        <v>14888</v>
      </c>
      <c r="AZ1478" s="3" t="s">
        <v>14889</v>
      </c>
      <c r="BA1478" s="3" t="s">
        <v>14889</v>
      </c>
      <c r="BB1478" s="3" t="s">
        <v>14890</v>
      </c>
      <c r="BC1478" s="3" t="s">
        <v>102</v>
      </c>
      <c r="BD1478" s="3" t="s">
        <v>68</v>
      </c>
      <c r="BE1478" s="3" t="s">
        <v>14891</v>
      </c>
      <c r="BF1478" s="3" t="s">
        <v>14890</v>
      </c>
      <c r="BG1478" s="3" t="s">
        <v>14892</v>
      </c>
    </row>
    <row r="1479" spans="1:59" ht="58" x14ac:dyDescent="0.35">
      <c r="A1479" s="2" t="s">
        <v>89</v>
      </c>
      <c r="B1479" s="2" t="s">
        <v>90</v>
      </c>
      <c r="C1479" s="2" t="s">
        <v>14893</v>
      </c>
      <c r="D1479" s="2" t="s">
        <v>14894</v>
      </c>
      <c r="E1479" s="2" t="s">
        <v>14895</v>
      </c>
      <c r="G1479" s="3" t="s">
        <v>62</v>
      </c>
      <c r="I1479" s="3" t="s">
        <v>62</v>
      </c>
      <c r="J1479" s="3" t="s">
        <v>62</v>
      </c>
      <c r="K1479" s="3" t="s">
        <v>63</v>
      </c>
      <c r="L1479" s="2" t="s">
        <v>14896</v>
      </c>
      <c r="M1479" s="2" t="s">
        <v>14897</v>
      </c>
      <c r="N1479" s="3" t="s">
        <v>129</v>
      </c>
      <c r="P1479" s="3" t="s">
        <v>64</v>
      </c>
      <c r="Q1479" s="2" t="s">
        <v>14898</v>
      </c>
      <c r="R1479" s="3" t="s">
        <v>13065</v>
      </c>
      <c r="S1479" s="4">
        <v>0</v>
      </c>
      <c r="T1479" s="4">
        <v>0</v>
      </c>
      <c r="W1479" s="5" t="s">
        <v>67</v>
      </c>
      <c r="X1479" s="5" t="s">
        <v>67</v>
      </c>
      <c r="Y1479" s="4">
        <v>42</v>
      </c>
      <c r="Z1479" s="4">
        <v>6</v>
      </c>
      <c r="AA1479" s="4">
        <v>71</v>
      </c>
      <c r="AB1479" s="4">
        <v>1</v>
      </c>
      <c r="AC1479" s="4">
        <v>14</v>
      </c>
      <c r="AD1479" s="4">
        <v>14</v>
      </c>
      <c r="AE1479" s="4">
        <v>76</v>
      </c>
      <c r="AF1479" s="4">
        <v>0</v>
      </c>
      <c r="AG1479" s="4">
        <v>8</v>
      </c>
      <c r="AH1479" s="4">
        <v>12</v>
      </c>
      <c r="AI1479" s="4">
        <v>45</v>
      </c>
      <c r="AJ1479" s="4">
        <v>4</v>
      </c>
      <c r="AK1479" s="4">
        <v>16</v>
      </c>
      <c r="AL1479" s="4">
        <v>6</v>
      </c>
      <c r="AM1479" s="4">
        <v>20</v>
      </c>
      <c r="AN1479" s="4">
        <v>0</v>
      </c>
      <c r="AO1479" s="4">
        <v>0</v>
      </c>
      <c r="AP1479" s="4">
        <v>5</v>
      </c>
      <c r="AQ1479" s="4">
        <v>36</v>
      </c>
      <c r="AR1479" s="3" t="s">
        <v>62</v>
      </c>
      <c r="AS1479" s="3" t="s">
        <v>62</v>
      </c>
      <c r="AT1479" s="3" t="s">
        <v>62</v>
      </c>
      <c r="AV1479" s="6" t="str">
        <f>HYPERLINK("http://mcgill.on.worldcat.org/oclc/855607280","Catalog Record")</f>
        <v>Catalog Record</v>
      </c>
      <c r="AW1479" s="6" t="str">
        <f>HYPERLINK("http://www.worldcat.org/oclc/855607280","WorldCat Record")</f>
        <v>WorldCat Record</v>
      </c>
      <c r="AX1479" s="3" t="s">
        <v>14899</v>
      </c>
      <c r="AY1479" s="3" t="s">
        <v>14900</v>
      </c>
      <c r="AZ1479" s="3" t="s">
        <v>14901</v>
      </c>
      <c r="BA1479" s="3" t="s">
        <v>14901</v>
      </c>
      <c r="BB1479" s="3" t="s">
        <v>14902</v>
      </c>
      <c r="BC1479" s="3" t="s">
        <v>102</v>
      </c>
      <c r="BD1479" s="3" t="s">
        <v>68</v>
      </c>
      <c r="BE1479" s="3" t="s">
        <v>14903</v>
      </c>
      <c r="BF1479" s="3" t="s">
        <v>14902</v>
      </c>
      <c r="BG1479" s="3" t="s">
        <v>14904</v>
      </c>
    </row>
    <row r="1480" spans="1:59" ht="58" x14ac:dyDescent="0.35">
      <c r="A1480" s="2" t="s">
        <v>89</v>
      </c>
      <c r="B1480" s="2" t="s">
        <v>90</v>
      </c>
      <c r="C1480" s="2" t="s">
        <v>14905</v>
      </c>
      <c r="D1480" s="2" t="s">
        <v>14906</v>
      </c>
      <c r="E1480" s="2" t="s">
        <v>14907</v>
      </c>
      <c r="G1480" s="3" t="s">
        <v>62</v>
      </c>
      <c r="I1480" s="3" t="s">
        <v>61</v>
      </c>
      <c r="J1480" s="3" t="s">
        <v>62</v>
      </c>
      <c r="K1480" s="3" t="s">
        <v>63</v>
      </c>
      <c r="L1480" s="2" t="s">
        <v>14908</v>
      </c>
      <c r="M1480" s="2" t="s">
        <v>14909</v>
      </c>
      <c r="N1480" s="3" t="s">
        <v>285</v>
      </c>
      <c r="P1480" s="3" t="s">
        <v>64</v>
      </c>
      <c r="Q1480" s="2" t="s">
        <v>14910</v>
      </c>
      <c r="R1480" s="3" t="s">
        <v>13065</v>
      </c>
      <c r="S1480" s="4">
        <v>23</v>
      </c>
      <c r="T1480" s="4">
        <v>44</v>
      </c>
      <c r="U1480" s="5" t="s">
        <v>14911</v>
      </c>
      <c r="V1480" s="5" t="s">
        <v>14912</v>
      </c>
      <c r="W1480" s="5" t="s">
        <v>67</v>
      </c>
      <c r="X1480" s="5" t="s">
        <v>67</v>
      </c>
      <c r="Y1480" s="4">
        <v>1253</v>
      </c>
      <c r="Z1480" s="4">
        <v>52</v>
      </c>
      <c r="AA1480" s="4">
        <v>72</v>
      </c>
      <c r="AB1480" s="4">
        <v>5</v>
      </c>
      <c r="AC1480" s="4">
        <v>11</v>
      </c>
      <c r="AD1480" s="4">
        <v>136</v>
      </c>
      <c r="AE1480" s="4">
        <v>155</v>
      </c>
      <c r="AF1480" s="4">
        <v>2</v>
      </c>
      <c r="AG1480" s="4">
        <v>6</v>
      </c>
      <c r="AH1480" s="4">
        <v>103</v>
      </c>
      <c r="AI1480" s="4">
        <v>111</v>
      </c>
      <c r="AJ1480" s="4">
        <v>20</v>
      </c>
      <c r="AK1480" s="4">
        <v>27</v>
      </c>
      <c r="AL1480" s="4">
        <v>57</v>
      </c>
      <c r="AM1480" s="4">
        <v>60</v>
      </c>
      <c r="AN1480" s="4">
        <v>0</v>
      </c>
      <c r="AO1480" s="4">
        <v>0</v>
      </c>
      <c r="AP1480" s="4">
        <v>37</v>
      </c>
      <c r="AQ1480" s="4">
        <v>50</v>
      </c>
      <c r="AR1480" s="3" t="s">
        <v>62</v>
      </c>
      <c r="AS1480" s="3" t="s">
        <v>62</v>
      </c>
      <c r="AT1480" s="3" t="s">
        <v>62</v>
      </c>
      <c r="AV1480" s="6" t="str">
        <f>HYPERLINK("http://mcgill.on.worldcat.org/oclc/6144549","Catalog Record")</f>
        <v>Catalog Record</v>
      </c>
      <c r="AW1480" s="6" t="str">
        <f>HYPERLINK("http://www.worldcat.org/oclc/6144549","WorldCat Record")</f>
        <v>WorldCat Record</v>
      </c>
      <c r="AX1480" s="3" t="s">
        <v>14913</v>
      </c>
      <c r="AY1480" s="3" t="s">
        <v>14914</v>
      </c>
      <c r="AZ1480" s="3" t="s">
        <v>14915</v>
      </c>
      <c r="BA1480" s="3" t="s">
        <v>14915</v>
      </c>
      <c r="BB1480" s="3" t="s">
        <v>14916</v>
      </c>
      <c r="BC1480" s="3" t="s">
        <v>102</v>
      </c>
      <c r="BD1480" s="3" t="s">
        <v>68</v>
      </c>
      <c r="BE1480" s="3" t="s">
        <v>14917</v>
      </c>
      <c r="BF1480" s="3" t="s">
        <v>14916</v>
      </c>
      <c r="BG1480" s="3" t="s">
        <v>14918</v>
      </c>
    </row>
    <row r="1481" spans="1:59" ht="58" x14ac:dyDescent="0.35">
      <c r="A1481" s="2" t="s">
        <v>89</v>
      </c>
      <c r="B1481" s="2" t="s">
        <v>90</v>
      </c>
      <c r="C1481" s="2" t="s">
        <v>14905</v>
      </c>
      <c r="D1481" s="2" t="s">
        <v>14906</v>
      </c>
      <c r="E1481" s="2" t="s">
        <v>14907</v>
      </c>
      <c r="G1481" s="3" t="s">
        <v>62</v>
      </c>
      <c r="I1481" s="3" t="s">
        <v>61</v>
      </c>
      <c r="J1481" s="3" t="s">
        <v>62</v>
      </c>
      <c r="K1481" s="3" t="s">
        <v>63</v>
      </c>
      <c r="L1481" s="2" t="s">
        <v>14908</v>
      </c>
      <c r="M1481" s="2" t="s">
        <v>14909</v>
      </c>
      <c r="N1481" s="3" t="s">
        <v>285</v>
      </c>
      <c r="P1481" s="3" t="s">
        <v>64</v>
      </c>
      <c r="Q1481" s="2" t="s">
        <v>14910</v>
      </c>
      <c r="R1481" s="3" t="s">
        <v>13065</v>
      </c>
      <c r="S1481" s="4">
        <v>21</v>
      </c>
      <c r="T1481" s="4">
        <v>44</v>
      </c>
      <c r="U1481" s="5" t="s">
        <v>14912</v>
      </c>
      <c r="V1481" s="5" t="s">
        <v>14912</v>
      </c>
      <c r="W1481" s="5" t="s">
        <v>67</v>
      </c>
      <c r="X1481" s="5" t="s">
        <v>67</v>
      </c>
      <c r="Y1481" s="4">
        <v>1253</v>
      </c>
      <c r="Z1481" s="4">
        <v>52</v>
      </c>
      <c r="AA1481" s="4">
        <v>72</v>
      </c>
      <c r="AB1481" s="4">
        <v>5</v>
      </c>
      <c r="AC1481" s="4">
        <v>11</v>
      </c>
      <c r="AD1481" s="4">
        <v>136</v>
      </c>
      <c r="AE1481" s="4">
        <v>155</v>
      </c>
      <c r="AF1481" s="4">
        <v>2</v>
      </c>
      <c r="AG1481" s="4">
        <v>6</v>
      </c>
      <c r="AH1481" s="4">
        <v>103</v>
      </c>
      <c r="AI1481" s="4">
        <v>111</v>
      </c>
      <c r="AJ1481" s="4">
        <v>20</v>
      </c>
      <c r="AK1481" s="4">
        <v>27</v>
      </c>
      <c r="AL1481" s="4">
        <v>57</v>
      </c>
      <c r="AM1481" s="4">
        <v>60</v>
      </c>
      <c r="AN1481" s="4">
        <v>0</v>
      </c>
      <c r="AO1481" s="4">
        <v>0</v>
      </c>
      <c r="AP1481" s="4">
        <v>37</v>
      </c>
      <c r="AQ1481" s="4">
        <v>50</v>
      </c>
      <c r="AR1481" s="3" t="s">
        <v>62</v>
      </c>
      <c r="AS1481" s="3" t="s">
        <v>62</v>
      </c>
      <c r="AT1481" s="3" t="s">
        <v>62</v>
      </c>
      <c r="AV1481" s="6" t="str">
        <f>HYPERLINK("http://mcgill.on.worldcat.org/oclc/6144549","Catalog Record")</f>
        <v>Catalog Record</v>
      </c>
      <c r="AW1481" s="6" t="str">
        <f>HYPERLINK("http://www.worldcat.org/oclc/6144549","WorldCat Record")</f>
        <v>WorldCat Record</v>
      </c>
      <c r="AX1481" s="3" t="s">
        <v>14913</v>
      </c>
      <c r="AY1481" s="3" t="s">
        <v>14914</v>
      </c>
      <c r="AZ1481" s="3" t="s">
        <v>14915</v>
      </c>
      <c r="BA1481" s="3" t="s">
        <v>14915</v>
      </c>
      <c r="BB1481" s="3" t="s">
        <v>14919</v>
      </c>
      <c r="BC1481" s="3" t="s">
        <v>102</v>
      </c>
      <c r="BD1481" s="3" t="s">
        <v>68</v>
      </c>
      <c r="BE1481" s="3" t="s">
        <v>14917</v>
      </c>
      <c r="BF1481" s="3" t="s">
        <v>14919</v>
      </c>
      <c r="BG1481" s="3" t="s">
        <v>14920</v>
      </c>
    </row>
    <row r="1482" spans="1:59" ht="72.5" x14ac:dyDescent="0.35">
      <c r="A1482" s="2" t="s">
        <v>89</v>
      </c>
      <c r="B1482" s="2" t="s">
        <v>6791</v>
      </c>
      <c r="C1482" s="2" t="s">
        <v>14921</v>
      </c>
      <c r="D1482" s="2" t="s">
        <v>14922</v>
      </c>
      <c r="E1482" s="2" t="s">
        <v>14923</v>
      </c>
      <c r="G1482" s="3" t="s">
        <v>62</v>
      </c>
      <c r="I1482" s="3" t="s">
        <v>62</v>
      </c>
      <c r="J1482" s="3" t="s">
        <v>62</v>
      </c>
      <c r="K1482" s="3" t="s">
        <v>63</v>
      </c>
      <c r="L1482" s="2" t="s">
        <v>14924</v>
      </c>
      <c r="M1482" s="2" t="s">
        <v>14925</v>
      </c>
      <c r="N1482" s="3" t="s">
        <v>880</v>
      </c>
      <c r="P1482" s="3" t="s">
        <v>64</v>
      </c>
      <c r="R1482" s="3" t="s">
        <v>13065</v>
      </c>
      <c r="S1482" s="4">
        <v>3</v>
      </c>
      <c r="T1482" s="4">
        <v>3</v>
      </c>
      <c r="U1482" s="5" t="s">
        <v>14926</v>
      </c>
      <c r="V1482" s="5" t="s">
        <v>14926</v>
      </c>
      <c r="W1482" s="5" t="s">
        <v>67</v>
      </c>
      <c r="X1482" s="5" t="s">
        <v>67</v>
      </c>
      <c r="Y1482" s="4">
        <v>318</v>
      </c>
      <c r="Z1482" s="4">
        <v>36</v>
      </c>
      <c r="AA1482" s="4">
        <v>39</v>
      </c>
      <c r="AB1482" s="4">
        <v>3</v>
      </c>
      <c r="AC1482" s="4">
        <v>6</v>
      </c>
      <c r="AD1482" s="4">
        <v>61</v>
      </c>
      <c r="AE1482" s="4">
        <v>62</v>
      </c>
      <c r="AF1482" s="4">
        <v>2</v>
      </c>
      <c r="AG1482" s="4">
        <v>3</v>
      </c>
      <c r="AH1482" s="4">
        <v>45</v>
      </c>
      <c r="AI1482" s="4">
        <v>46</v>
      </c>
      <c r="AJ1482" s="4">
        <v>13</v>
      </c>
      <c r="AK1482" s="4">
        <v>14</v>
      </c>
      <c r="AL1482" s="4">
        <v>21</v>
      </c>
      <c r="AM1482" s="4">
        <v>21</v>
      </c>
      <c r="AN1482" s="4">
        <v>0</v>
      </c>
      <c r="AO1482" s="4">
        <v>0</v>
      </c>
      <c r="AP1482" s="4">
        <v>25</v>
      </c>
      <c r="AQ1482" s="4">
        <v>26</v>
      </c>
      <c r="AR1482" s="3" t="s">
        <v>62</v>
      </c>
      <c r="AS1482" s="3" t="s">
        <v>62</v>
      </c>
      <c r="AT1482" s="3" t="s">
        <v>61</v>
      </c>
      <c r="AU1482" s="6" t="str">
        <f>HYPERLINK("http://catalog.hathitrust.org/Record/009933024","HathiTrust Record")</f>
        <v>HathiTrust Record</v>
      </c>
      <c r="AV1482" s="6" t="str">
        <f>HYPERLINK("http://mcgill.on.worldcat.org/oclc/531718610","Catalog Record")</f>
        <v>Catalog Record</v>
      </c>
      <c r="AW1482" s="6" t="str">
        <f>HYPERLINK("http://www.worldcat.org/oclc/531718610","WorldCat Record")</f>
        <v>WorldCat Record</v>
      </c>
      <c r="AX1482" s="3" t="s">
        <v>14927</v>
      </c>
      <c r="AY1482" s="3" t="s">
        <v>14928</v>
      </c>
      <c r="AZ1482" s="3" t="s">
        <v>14929</v>
      </c>
      <c r="BA1482" s="3" t="s">
        <v>14929</v>
      </c>
      <c r="BB1482" s="3" t="s">
        <v>14930</v>
      </c>
      <c r="BC1482" s="3" t="s">
        <v>102</v>
      </c>
      <c r="BD1482" s="3" t="s">
        <v>68</v>
      </c>
      <c r="BE1482" s="3" t="s">
        <v>14931</v>
      </c>
      <c r="BF1482" s="3" t="s">
        <v>14930</v>
      </c>
      <c r="BG1482" s="3" t="s">
        <v>14932</v>
      </c>
    </row>
    <row r="1483" spans="1:59" ht="58" x14ac:dyDescent="0.35">
      <c r="A1483" s="2" t="s">
        <v>89</v>
      </c>
      <c r="B1483" s="2" t="s">
        <v>90</v>
      </c>
      <c r="C1483" s="2" t="s">
        <v>14933</v>
      </c>
      <c r="D1483" s="2" t="s">
        <v>14934</v>
      </c>
      <c r="E1483" s="2" t="s">
        <v>14935</v>
      </c>
      <c r="G1483" s="3" t="s">
        <v>62</v>
      </c>
      <c r="I1483" s="3" t="s">
        <v>62</v>
      </c>
      <c r="J1483" s="3" t="s">
        <v>62</v>
      </c>
      <c r="K1483" s="3" t="s">
        <v>63</v>
      </c>
      <c r="L1483" s="2" t="s">
        <v>14936</v>
      </c>
      <c r="M1483" s="2" t="s">
        <v>14937</v>
      </c>
      <c r="N1483" s="3" t="s">
        <v>684</v>
      </c>
      <c r="P1483" s="3" t="s">
        <v>64</v>
      </c>
      <c r="R1483" s="3" t="s">
        <v>13065</v>
      </c>
      <c r="S1483" s="4">
        <v>0</v>
      </c>
      <c r="T1483" s="4">
        <v>0</v>
      </c>
      <c r="W1483" s="5" t="s">
        <v>67</v>
      </c>
      <c r="X1483" s="5" t="s">
        <v>67</v>
      </c>
      <c r="Y1483" s="4">
        <v>781</v>
      </c>
      <c r="Z1483" s="4">
        <v>39</v>
      </c>
      <c r="AA1483" s="4">
        <v>42</v>
      </c>
      <c r="AB1483" s="4">
        <v>4</v>
      </c>
      <c r="AC1483" s="4">
        <v>5</v>
      </c>
      <c r="AD1483" s="4">
        <v>67</v>
      </c>
      <c r="AE1483" s="4">
        <v>68</v>
      </c>
      <c r="AF1483" s="4">
        <v>2</v>
      </c>
      <c r="AG1483" s="4">
        <v>3</v>
      </c>
      <c r="AH1483" s="4">
        <v>55</v>
      </c>
      <c r="AI1483" s="4">
        <v>55</v>
      </c>
      <c r="AJ1483" s="4">
        <v>10</v>
      </c>
      <c r="AK1483" s="4">
        <v>11</v>
      </c>
      <c r="AL1483" s="4">
        <v>30</v>
      </c>
      <c r="AM1483" s="4">
        <v>30</v>
      </c>
      <c r="AN1483" s="4">
        <v>0</v>
      </c>
      <c r="AO1483" s="4">
        <v>0</v>
      </c>
      <c r="AP1483" s="4">
        <v>16</v>
      </c>
      <c r="AQ1483" s="4">
        <v>17</v>
      </c>
      <c r="AR1483" s="3" t="s">
        <v>62</v>
      </c>
      <c r="AS1483" s="3" t="s">
        <v>62</v>
      </c>
      <c r="AT1483" s="3" t="s">
        <v>62</v>
      </c>
      <c r="AV1483" s="6" t="str">
        <f>HYPERLINK("http://mcgill.on.worldcat.org/oclc/707260450","Catalog Record")</f>
        <v>Catalog Record</v>
      </c>
      <c r="AW1483" s="6" t="str">
        <f>HYPERLINK("http://www.worldcat.org/oclc/707260450","WorldCat Record")</f>
        <v>WorldCat Record</v>
      </c>
      <c r="AX1483" s="3" t="s">
        <v>14938</v>
      </c>
      <c r="AY1483" s="3" t="s">
        <v>14939</v>
      </c>
      <c r="AZ1483" s="3" t="s">
        <v>14940</v>
      </c>
      <c r="BA1483" s="3" t="s">
        <v>14940</v>
      </c>
      <c r="BB1483" s="3" t="s">
        <v>14941</v>
      </c>
      <c r="BC1483" s="3" t="s">
        <v>102</v>
      </c>
      <c r="BD1483" s="3" t="s">
        <v>68</v>
      </c>
      <c r="BE1483" s="3" t="s">
        <v>14942</v>
      </c>
      <c r="BF1483" s="3" t="s">
        <v>14941</v>
      </c>
      <c r="BG1483" s="3" t="s">
        <v>14943</v>
      </c>
    </row>
    <row r="1484" spans="1:59" ht="58" x14ac:dyDescent="0.35">
      <c r="A1484" s="2" t="s">
        <v>89</v>
      </c>
      <c r="B1484" s="2" t="s">
        <v>90</v>
      </c>
      <c r="C1484" s="2" t="s">
        <v>14944</v>
      </c>
      <c r="D1484" s="2" t="s">
        <v>14945</v>
      </c>
      <c r="E1484" s="2" t="s">
        <v>14946</v>
      </c>
      <c r="G1484" s="3" t="s">
        <v>62</v>
      </c>
      <c r="I1484" s="3" t="s">
        <v>62</v>
      </c>
      <c r="J1484" s="3" t="s">
        <v>62</v>
      </c>
      <c r="K1484" s="3" t="s">
        <v>63</v>
      </c>
      <c r="L1484" s="2" t="s">
        <v>14947</v>
      </c>
      <c r="M1484" s="2" t="s">
        <v>14948</v>
      </c>
      <c r="N1484" s="3" t="s">
        <v>596</v>
      </c>
      <c r="P1484" s="3" t="s">
        <v>64</v>
      </c>
      <c r="R1484" s="3" t="s">
        <v>13065</v>
      </c>
      <c r="S1484" s="4">
        <v>14</v>
      </c>
      <c r="T1484" s="4">
        <v>14</v>
      </c>
      <c r="U1484" s="5" t="s">
        <v>14949</v>
      </c>
      <c r="V1484" s="5" t="s">
        <v>14949</v>
      </c>
      <c r="W1484" s="5" t="s">
        <v>67</v>
      </c>
      <c r="X1484" s="5" t="s">
        <v>67</v>
      </c>
      <c r="Y1484" s="4">
        <v>772</v>
      </c>
      <c r="Z1484" s="4">
        <v>38</v>
      </c>
      <c r="AA1484" s="4">
        <v>47</v>
      </c>
      <c r="AB1484" s="4">
        <v>2</v>
      </c>
      <c r="AC1484" s="4">
        <v>8</v>
      </c>
      <c r="AD1484" s="4">
        <v>119</v>
      </c>
      <c r="AE1484" s="4">
        <v>127</v>
      </c>
      <c r="AF1484" s="4">
        <v>1</v>
      </c>
      <c r="AG1484" s="4">
        <v>3</v>
      </c>
      <c r="AH1484" s="4">
        <v>99</v>
      </c>
      <c r="AI1484" s="4">
        <v>103</v>
      </c>
      <c r="AJ1484" s="4">
        <v>16</v>
      </c>
      <c r="AK1484" s="4">
        <v>18</v>
      </c>
      <c r="AL1484" s="4">
        <v>53</v>
      </c>
      <c r="AM1484" s="4">
        <v>55</v>
      </c>
      <c r="AN1484" s="4">
        <v>0</v>
      </c>
      <c r="AO1484" s="4">
        <v>0</v>
      </c>
      <c r="AP1484" s="4">
        <v>26</v>
      </c>
      <c r="AQ1484" s="4">
        <v>30</v>
      </c>
      <c r="AR1484" s="3" t="s">
        <v>62</v>
      </c>
      <c r="AS1484" s="3" t="s">
        <v>62</v>
      </c>
      <c r="AT1484" s="3" t="s">
        <v>62</v>
      </c>
      <c r="AV1484" s="6" t="str">
        <f>HYPERLINK("http://mcgill.on.worldcat.org/oclc/50487466","Catalog Record")</f>
        <v>Catalog Record</v>
      </c>
      <c r="AW1484" s="6" t="str">
        <f>HYPERLINK("http://www.worldcat.org/oclc/50487466","WorldCat Record")</f>
        <v>WorldCat Record</v>
      </c>
      <c r="AX1484" s="3" t="s">
        <v>14950</v>
      </c>
      <c r="AY1484" s="3" t="s">
        <v>14951</v>
      </c>
      <c r="AZ1484" s="3" t="s">
        <v>14952</v>
      </c>
      <c r="BA1484" s="3" t="s">
        <v>14952</v>
      </c>
      <c r="BB1484" s="3" t="s">
        <v>14953</v>
      </c>
      <c r="BC1484" s="3" t="s">
        <v>102</v>
      </c>
      <c r="BD1484" s="3" t="s">
        <v>68</v>
      </c>
      <c r="BE1484" s="3" t="s">
        <v>14954</v>
      </c>
      <c r="BF1484" s="3" t="s">
        <v>14953</v>
      </c>
      <c r="BG1484" s="3" t="s">
        <v>14955</v>
      </c>
    </row>
    <row r="1485" spans="1:59" ht="58" x14ac:dyDescent="0.35">
      <c r="A1485" s="2" t="s">
        <v>89</v>
      </c>
      <c r="B1485" s="2" t="s">
        <v>6791</v>
      </c>
      <c r="C1485" s="2" t="s">
        <v>14956</v>
      </c>
      <c r="D1485" s="2" t="s">
        <v>14957</v>
      </c>
      <c r="E1485" s="2" t="s">
        <v>14958</v>
      </c>
      <c r="G1485" s="3" t="s">
        <v>62</v>
      </c>
      <c r="I1485" s="3" t="s">
        <v>61</v>
      </c>
      <c r="J1485" s="3" t="s">
        <v>62</v>
      </c>
      <c r="K1485" s="3" t="s">
        <v>63</v>
      </c>
      <c r="L1485" s="2" t="s">
        <v>14959</v>
      </c>
      <c r="M1485" s="2" t="s">
        <v>14960</v>
      </c>
      <c r="N1485" s="3" t="s">
        <v>6410</v>
      </c>
      <c r="P1485" s="3" t="s">
        <v>64</v>
      </c>
      <c r="R1485" s="3" t="s">
        <v>13065</v>
      </c>
      <c r="S1485" s="4">
        <v>2</v>
      </c>
      <c r="T1485" s="4">
        <v>6</v>
      </c>
      <c r="U1485" s="5" t="s">
        <v>14961</v>
      </c>
      <c r="V1485" s="5" t="s">
        <v>1407</v>
      </c>
      <c r="W1485" s="5" t="s">
        <v>67</v>
      </c>
      <c r="X1485" s="5" t="s">
        <v>67</v>
      </c>
      <c r="Y1485" s="4">
        <v>987</v>
      </c>
      <c r="Z1485" s="4">
        <v>39</v>
      </c>
      <c r="AA1485" s="4">
        <v>52</v>
      </c>
      <c r="AB1485" s="4">
        <v>3</v>
      </c>
      <c r="AC1485" s="4">
        <v>8</v>
      </c>
      <c r="AD1485" s="4">
        <v>124</v>
      </c>
      <c r="AE1485" s="4">
        <v>140</v>
      </c>
      <c r="AF1485" s="4">
        <v>1</v>
      </c>
      <c r="AG1485" s="4">
        <v>5</v>
      </c>
      <c r="AH1485" s="4">
        <v>104</v>
      </c>
      <c r="AI1485" s="4">
        <v>110</v>
      </c>
      <c r="AJ1485" s="4">
        <v>19</v>
      </c>
      <c r="AK1485" s="4">
        <v>23</v>
      </c>
      <c r="AL1485" s="4">
        <v>54</v>
      </c>
      <c r="AM1485" s="4">
        <v>58</v>
      </c>
      <c r="AN1485" s="4">
        <v>0</v>
      </c>
      <c r="AO1485" s="4">
        <v>0</v>
      </c>
      <c r="AP1485" s="4">
        <v>27</v>
      </c>
      <c r="AQ1485" s="4">
        <v>36</v>
      </c>
      <c r="AR1485" s="3" t="s">
        <v>62</v>
      </c>
      <c r="AS1485" s="3" t="s">
        <v>62</v>
      </c>
      <c r="AT1485" s="3" t="s">
        <v>61</v>
      </c>
      <c r="AU1485" s="6" t="str">
        <f>HYPERLINK("http://catalog.hathitrust.org/Record/000165829","HathiTrust Record")</f>
        <v>HathiTrust Record</v>
      </c>
      <c r="AV1485" s="6" t="str">
        <f>HYPERLINK("http://mcgill.on.worldcat.org/oclc/899715","Catalog Record")</f>
        <v>Catalog Record</v>
      </c>
      <c r="AW1485" s="6" t="str">
        <f>HYPERLINK("http://www.worldcat.org/oclc/899715","WorldCat Record")</f>
        <v>WorldCat Record</v>
      </c>
      <c r="AX1485" s="3" t="s">
        <v>14962</v>
      </c>
      <c r="AY1485" s="3" t="s">
        <v>14963</v>
      </c>
      <c r="AZ1485" s="3" t="s">
        <v>14964</v>
      </c>
      <c r="BA1485" s="3" t="s">
        <v>14964</v>
      </c>
      <c r="BB1485" s="3" t="s">
        <v>14965</v>
      </c>
      <c r="BC1485" s="3" t="s">
        <v>102</v>
      </c>
      <c r="BD1485" s="3" t="s">
        <v>68</v>
      </c>
      <c r="BF1485" s="3" t="s">
        <v>14965</v>
      </c>
      <c r="BG1485" s="3" t="s">
        <v>14966</v>
      </c>
    </row>
    <row r="1486" spans="1:59" ht="58" x14ac:dyDescent="0.35">
      <c r="A1486" s="2" t="s">
        <v>89</v>
      </c>
      <c r="B1486" s="2" t="s">
        <v>90</v>
      </c>
      <c r="C1486" s="2" t="s">
        <v>14967</v>
      </c>
      <c r="D1486" s="2" t="s">
        <v>14968</v>
      </c>
      <c r="E1486" s="2" t="s">
        <v>14969</v>
      </c>
      <c r="G1486" s="3" t="s">
        <v>62</v>
      </c>
      <c r="I1486" s="3" t="s">
        <v>61</v>
      </c>
      <c r="J1486" s="3" t="s">
        <v>62</v>
      </c>
      <c r="K1486" s="3" t="s">
        <v>63</v>
      </c>
      <c r="L1486" s="2" t="s">
        <v>14970</v>
      </c>
      <c r="M1486" s="2" t="s">
        <v>14971</v>
      </c>
      <c r="N1486" s="3" t="s">
        <v>640</v>
      </c>
      <c r="O1486" s="2" t="s">
        <v>14972</v>
      </c>
      <c r="P1486" s="3" t="s">
        <v>64</v>
      </c>
      <c r="Q1486" s="2" t="s">
        <v>14973</v>
      </c>
      <c r="R1486" s="3" t="s">
        <v>13065</v>
      </c>
      <c r="S1486" s="4">
        <v>6</v>
      </c>
      <c r="T1486" s="4">
        <v>25</v>
      </c>
      <c r="U1486" s="5" t="s">
        <v>8916</v>
      </c>
      <c r="V1486" s="5" t="s">
        <v>8916</v>
      </c>
      <c r="W1486" s="5" t="s">
        <v>67</v>
      </c>
      <c r="X1486" s="5" t="s">
        <v>67</v>
      </c>
      <c r="Y1486" s="4">
        <v>709</v>
      </c>
      <c r="Z1486" s="4">
        <v>26</v>
      </c>
      <c r="AA1486" s="4">
        <v>45</v>
      </c>
      <c r="AB1486" s="4">
        <v>2</v>
      </c>
      <c r="AC1486" s="4">
        <v>7</v>
      </c>
      <c r="AD1486" s="4">
        <v>71</v>
      </c>
      <c r="AE1486" s="4">
        <v>110</v>
      </c>
      <c r="AF1486" s="4">
        <v>1</v>
      </c>
      <c r="AG1486" s="4">
        <v>4</v>
      </c>
      <c r="AH1486" s="4">
        <v>56</v>
      </c>
      <c r="AI1486" s="4">
        <v>84</v>
      </c>
      <c r="AJ1486" s="4">
        <v>8</v>
      </c>
      <c r="AK1486" s="4">
        <v>13</v>
      </c>
      <c r="AL1486" s="4">
        <v>28</v>
      </c>
      <c r="AM1486" s="4">
        <v>44</v>
      </c>
      <c r="AN1486" s="4">
        <v>0</v>
      </c>
      <c r="AO1486" s="4">
        <v>0</v>
      </c>
      <c r="AP1486" s="4">
        <v>18</v>
      </c>
      <c r="AQ1486" s="4">
        <v>30</v>
      </c>
      <c r="AR1486" s="3" t="s">
        <v>62</v>
      </c>
      <c r="AS1486" s="3" t="s">
        <v>62</v>
      </c>
      <c r="AT1486" s="3" t="s">
        <v>62</v>
      </c>
      <c r="AV1486" s="6" t="str">
        <f>HYPERLINK("http://mcgill.on.worldcat.org/oclc/54666079","Catalog Record")</f>
        <v>Catalog Record</v>
      </c>
      <c r="AW1486" s="6" t="str">
        <f>HYPERLINK("http://www.worldcat.org/oclc/54666079","WorldCat Record")</f>
        <v>WorldCat Record</v>
      </c>
      <c r="AX1486" s="3" t="s">
        <v>14974</v>
      </c>
      <c r="AY1486" s="3" t="s">
        <v>14975</v>
      </c>
      <c r="AZ1486" s="3" t="s">
        <v>14976</v>
      </c>
      <c r="BA1486" s="3" t="s">
        <v>14976</v>
      </c>
      <c r="BB1486" s="3" t="s">
        <v>14977</v>
      </c>
      <c r="BC1486" s="3" t="s">
        <v>102</v>
      </c>
      <c r="BD1486" s="3" t="s">
        <v>68</v>
      </c>
      <c r="BE1486" s="3" t="s">
        <v>14978</v>
      </c>
      <c r="BF1486" s="3" t="s">
        <v>14977</v>
      </c>
      <c r="BG1486" s="3" t="s">
        <v>14979</v>
      </c>
    </row>
    <row r="1487" spans="1:59" ht="58" x14ac:dyDescent="0.35">
      <c r="A1487" s="2" t="s">
        <v>89</v>
      </c>
      <c r="B1487" s="2" t="s">
        <v>90</v>
      </c>
      <c r="C1487" s="2" t="s">
        <v>14980</v>
      </c>
      <c r="D1487" s="2" t="s">
        <v>14981</v>
      </c>
      <c r="E1487" s="2" t="s">
        <v>14982</v>
      </c>
      <c r="G1487" s="3" t="s">
        <v>62</v>
      </c>
      <c r="I1487" s="3" t="s">
        <v>61</v>
      </c>
      <c r="J1487" s="3" t="s">
        <v>62</v>
      </c>
      <c r="K1487" s="3" t="s">
        <v>63</v>
      </c>
      <c r="L1487" s="2" t="s">
        <v>14983</v>
      </c>
      <c r="M1487" s="2" t="s">
        <v>14984</v>
      </c>
      <c r="N1487" s="3" t="s">
        <v>438</v>
      </c>
      <c r="P1487" s="3" t="s">
        <v>64</v>
      </c>
      <c r="Q1487" s="2" t="s">
        <v>14985</v>
      </c>
      <c r="R1487" s="3" t="s">
        <v>13065</v>
      </c>
      <c r="S1487" s="4">
        <v>14</v>
      </c>
      <c r="T1487" s="4">
        <v>52</v>
      </c>
      <c r="U1487" s="5" t="s">
        <v>14986</v>
      </c>
      <c r="V1487" s="5" t="s">
        <v>14987</v>
      </c>
      <c r="W1487" s="5" t="s">
        <v>67</v>
      </c>
      <c r="X1487" s="5" t="s">
        <v>67</v>
      </c>
      <c r="Y1487" s="4">
        <v>1939</v>
      </c>
      <c r="Z1487" s="4">
        <v>67</v>
      </c>
      <c r="AA1487" s="4">
        <v>93</v>
      </c>
      <c r="AB1487" s="4">
        <v>5</v>
      </c>
      <c r="AC1487" s="4">
        <v>13</v>
      </c>
      <c r="AD1487" s="4">
        <v>132</v>
      </c>
      <c r="AE1487" s="4">
        <v>149</v>
      </c>
      <c r="AF1487" s="4">
        <v>2</v>
      </c>
      <c r="AG1487" s="4">
        <v>7</v>
      </c>
      <c r="AH1487" s="4">
        <v>106</v>
      </c>
      <c r="AI1487" s="4">
        <v>110</v>
      </c>
      <c r="AJ1487" s="4">
        <v>17</v>
      </c>
      <c r="AK1487" s="4">
        <v>24</v>
      </c>
      <c r="AL1487" s="4">
        <v>57</v>
      </c>
      <c r="AM1487" s="4">
        <v>58</v>
      </c>
      <c r="AN1487" s="4">
        <v>0</v>
      </c>
      <c r="AO1487" s="4">
        <v>0</v>
      </c>
      <c r="AP1487" s="4">
        <v>32</v>
      </c>
      <c r="AQ1487" s="4">
        <v>46</v>
      </c>
      <c r="AR1487" s="3" t="s">
        <v>62</v>
      </c>
      <c r="AS1487" s="3" t="s">
        <v>62</v>
      </c>
      <c r="AT1487" s="3" t="s">
        <v>61</v>
      </c>
      <c r="AU1487" s="6" t="str">
        <f>HYPERLINK("http://catalog.hathitrust.org/Record/001950410","HathiTrust Record")</f>
        <v>HathiTrust Record</v>
      </c>
      <c r="AV1487" s="6" t="str">
        <f>HYPERLINK("http://mcgill.on.worldcat.org/oclc/20452336","Catalog Record")</f>
        <v>Catalog Record</v>
      </c>
      <c r="AW1487" s="6" t="str">
        <f>HYPERLINK("http://www.worldcat.org/oclc/20452336","WorldCat Record")</f>
        <v>WorldCat Record</v>
      </c>
      <c r="AX1487" s="3" t="s">
        <v>14988</v>
      </c>
      <c r="AY1487" s="3" t="s">
        <v>14989</v>
      </c>
      <c r="AZ1487" s="3" t="s">
        <v>14990</v>
      </c>
      <c r="BA1487" s="3" t="s">
        <v>14990</v>
      </c>
      <c r="BB1487" s="3" t="s">
        <v>14991</v>
      </c>
      <c r="BC1487" s="3" t="s">
        <v>102</v>
      </c>
      <c r="BD1487" s="3" t="s">
        <v>68</v>
      </c>
      <c r="BE1487" s="3" t="s">
        <v>14992</v>
      </c>
      <c r="BF1487" s="3" t="s">
        <v>14991</v>
      </c>
      <c r="BG1487" s="3" t="s">
        <v>14993</v>
      </c>
    </row>
    <row r="1488" spans="1:59" ht="58" x14ac:dyDescent="0.35">
      <c r="A1488" s="2" t="s">
        <v>89</v>
      </c>
      <c r="B1488" s="2" t="s">
        <v>90</v>
      </c>
      <c r="C1488" s="2" t="s">
        <v>14994</v>
      </c>
      <c r="D1488" s="2" t="s">
        <v>14995</v>
      </c>
      <c r="E1488" s="2" t="s">
        <v>14996</v>
      </c>
      <c r="G1488" s="3" t="s">
        <v>62</v>
      </c>
      <c r="I1488" s="3" t="s">
        <v>62</v>
      </c>
      <c r="J1488" s="3" t="s">
        <v>62</v>
      </c>
      <c r="K1488" s="3" t="s">
        <v>63</v>
      </c>
      <c r="M1488" s="2" t="s">
        <v>14997</v>
      </c>
      <c r="N1488" s="3" t="s">
        <v>115</v>
      </c>
      <c r="P1488" s="3" t="s">
        <v>64</v>
      </c>
      <c r="R1488" s="3" t="s">
        <v>13065</v>
      </c>
      <c r="S1488" s="4">
        <v>16</v>
      </c>
      <c r="T1488" s="4">
        <v>16</v>
      </c>
      <c r="U1488" s="5" t="s">
        <v>14456</v>
      </c>
      <c r="V1488" s="5" t="s">
        <v>14456</v>
      </c>
      <c r="W1488" s="5" t="s">
        <v>67</v>
      </c>
      <c r="X1488" s="5" t="s">
        <v>67</v>
      </c>
      <c r="Y1488" s="4">
        <v>437</v>
      </c>
      <c r="Z1488" s="4">
        <v>14</v>
      </c>
      <c r="AA1488" s="4">
        <v>28</v>
      </c>
      <c r="AB1488" s="4">
        <v>1</v>
      </c>
      <c r="AC1488" s="4">
        <v>6</v>
      </c>
      <c r="AD1488" s="4">
        <v>57</v>
      </c>
      <c r="AE1488" s="4">
        <v>69</v>
      </c>
      <c r="AF1488" s="4">
        <v>0</v>
      </c>
      <c r="AG1488" s="4">
        <v>5</v>
      </c>
      <c r="AH1488" s="4">
        <v>49</v>
      </c>
      <c r="AI1488" s="4">
        <v>55</v>
      </c>
      <c r="AJ1488" s="4">
        <v>2</v>
      </c>
      <c r="AK1488" s="4">
        <v>10</v>
      </c>
      <c r="AL1488" s="4">
        <v>27</v>
      </c>
      <c r="AM1488" s="4">
        <v>28</v>
      </c>
      <c r="AN1488" s="4">
        <v>0</v>
      </c>
      <c r="AO1488" s="4">
        <v>0</v>
      </c>
      <c r="AP1488" s="4">
        <v>9</v>
      </c>
      <c r="AQ1488" s="4">
        <v>20</v>
      </c>
      <c r="AR1488" s="3" t="s">
        <v>62</v>
      </c>
      <c r="AS1488" s="3" t="s">
        <v>62</v>
      </c>
      <c r="AT1488" s="3" t="s">
        <v>62</v>
      </c>
      <c r="AV1488" s="6" t="str">
        <f>HYPERLINK("http://mcgill.on.worldcat.org/oclc/19815183","Catalog Record")</f>
        <v>Catalog Record</v>
      </c>
      <c r="AW1488" s="6" t="str">
        <f>HYPERLINK("http://www.worldcat.org/oclc/19815183","WorldCat Record")</f>
        <v>WorldCat Record</v>
      </c>
      <c r="AX1488" s="3" t="s">
        <v>14998</v>
      </c>
      <c r="AY1488" s="3" t="s">
        <v>14999</v>
      </c>
      <c r="AZ1488" s="3" t="s">
        <v>15000</v>
      </c>
      <c r="BA1488" s="3" t="s">
        <v>15000</v>
      </c>
      <c r="BB1488" s="3" t="s">
        <v>15001</v>
      </c>
      <c r="BC1488" s="3" t="s">
        <v>102</v>
      </c>
      <c r="BD1488" s="3" t="s">
        <v>68</v>
      </c>
      <c r="BE1488" s="3" t="s">
        <v>15002</v>
      </c>
      <c r="BF1488" s="3" t="s">
        <v>15001</v>
      </c>
      <c r="BG1488" s="3" t="s">
        <v>15003</v>
      </c>
    </row>
    <row r="1489" spans="1:59" ht="58" x14ac:dyDescent="0.35">
      <c r="A1489" s="2" t="s">
        <v>89</v>
      </c>
      <c r="B1489" s="2" t="s">
        <v>90</v>
      </c>
      <c r="C1489" s="2" t="s">
        <v>15004</v>
      </c>
      <c r="D1489" s="2" t="s">
        <v>15005</v>
      </c>
      <c r="E1489" s="2" t="s">
        <v>15006</v>
      </c>
      <c r="G1489" s="3" t="s">
        <v>62</v>
      </c>
      <c r="I1489" s="3" t="s">
        <v>61</v>
      </c>
      <c r="J1489" s="3" t="s">
        <v>61</v>
      </c>
      <c r="K1489" s="3" t="s">
        <v>63</v>
      </c>
      <c r="L1489" s="2" t="s">
        <v>15007</v>
      </c>
      <c r="M1489" s="2" t="s">
        <v>15008</v>
      </c>
      <c r="N1489" s="3" t="s">
        <v>1291</v>
      </c>
      <c r="P1489" s="3" t="s">
        <v>64</v>
      </c>
      <c r="R1489" s="3" t="s">
        <v>13065</v>
      </c>
      <c r="S1489" s="4">
        <v>3</v>
      </c>
      <c r="T1489" s="4">
        <v>10</v>
      </c>
      <c r="U1489" s="5" t="s">
        <v>15009</v>
      </c>
      <c r="V1489" s="5" t="s">
        <v>3243</v>
      </c>
      <c r="W1489" s="5" t="s">
        <v>67</v>
      </c>
      <c r="X1489" s="5" t="s">
        <v>67</v>
      </c>
      <c r="Y1489" s="4">
        <v>1014</v>
      </c>
      <c r="Z1489" s="4">
        <v>42</v>
      </c>
      <c r="AA1489" s="4">
        <v>55</v>
      </c>
      <c r="AB1489" s="4">
        <v>1</v>
      </c>
      <c r="AC1489" s="4">
        <v>6</v>
      </c>
      <c r="AD1489" s="4">
        <v>125</v>
      </c>
      <c r="AE1489" s="4">
        <v>141</v>
      </c>
      <c r="AF1489" s="4">
        <v>0</v>
      </c>
      <c r="AG1489" s="4">
        <v>4</v>
      </c>
      <c r="AH1489" s="4">
        <v>102</v>
      </c>
      <c r="AI1489" s="4">
        <v>111</v>
      </c>
      <c r="AJ1489" s="4">
        <v>18</v>
      </c>
      <c r="AK1489" s="4">
        <v>24</v>
      </c>
      <c r="AL1489" s="4">
        <v>52</v>
      </c>
      <c r="AM1489" s="4">
        <v>59</v>
      </c>
      <c r="AN1489" s="4">
        <v>0</v>
      </c>
      <c r="AO1489" s="4">
        <v>3</v>
      </c>
      <c r="AP1489" s="4">
        <v>32</v>
      </c>
      <c r="AQ1489" s="4">
        <v>38</v>
      </c>
      <c r="AR1489" s="3" t="s">
        <v>62</v>
      </c>
      <c r="AS1489" s="3" t="s">
        <v>62</v>
      </c>
      <c r="AT1489" s="3" t="s">
        <v>62</v>
      </c>
      <c r="AU1489" s="6" t="str">
        <f>HYPERLINK("http://catalog.hathitrust.org/Record/000164846","HathiTrust Record")</f>
        <v>HathiTrust Record</v>
      </c>
      <c r="AV1489" s="6" t="str">
        <f>HYPERLINK("http://mcgill.on.worldcat.org/oclc/904456","Catalog Record")</f>
        <v>Catalog Record</v>
      </c>
      <c r="AW1489" s="6" t="str">
        <f>HYPERLINK("http://www.worldcat.org/oclc/904456","WorldCat Record")</f>
        <v>WorldCat Record</v>
      </c>
      <c r="AX1489" s="3" t="s">
        <v>15010</v>
      </c>
      <c r="AY1489" s="3" t="s">
        <v>15011</v>
      </c>
      <c r="AZ1489" s="3" t="s">
        <v>15012</v>
      </c>
      <c r="BA1489" s="3" t="s">
        <v>15012</v>
      </c>
      <c r="BB1489" s="3" t="s">
        <v>15013</v>
      </c>
      <c r="BC1489" s="3" t="s">
        <v>102</v>
      </c>
      <c r="BD1489" s="3" t="s">
        <v>68</v>
      </c>
      <c r="BF1489" s="3" t="s">
        <v>15013</v>
      </c>
      <c r="BG1489" s="3" t="s">
        <v>15014</v>
      </c>
    </row>
    <row r="1490" spans="1:59" ht="58" x14ac:dyDescent="0.35">
      <c r="A1490" s="2" t="s">
        <v>89</v>
      </c>
      <c r="B1490" s="2" t="s">
        <v>90</v>
      </c>
      <c r="C1490" s="2" t="s">
        <v>15015</v>
      </c>
      <c r="D1490" s="2" t="s">
        <v>15016</v>
      </c>
      <c r="E1490" s="2" t="s">
        <v>15017</v>
      </c>
      <c r="G1490" s="3" t="s">
        <v>62</v>
      </c>
      <c r="I1490" s="3" t="s">
        <v>61</v>
      </c>
      <c r="J1490" s="3" t="s">
        <v>62</v>
      </c>
      <c r="K1490" s="3" t="s">
        <v>63</v>
      </c>
      <c r="M1490" s="2" t="s">
        <v>15018</v>
      </c>
      <c r="N1490" s="3" t="s">
        <v>568</v>
      </c>
      <c r="P1490" s="3" t="s">
        <v>64</v>
      </c>
      <c r="Q1490" s="2" t="s">
        <v>15019</v>
      </c>
      <c r="R1490" s="3" t="s">
        <v>13065</v>
      </c>
      <c r="S1490" s="4">
        <v>11</v>
      </c>
      <c r="T1490" s="4">
        <v>35</v>
      </c>
      <c r="U1490" s="5" t="s">
        <v>15020</v>
      </c>
      <c r="V1490" s="5" t="s">
        <v>8351</v>
      </c>
      <c r="W1490" s="5" t="s">
        <v>67</v>
      </c>
      <c r="X1490" s="5" t="s">
        <v>67</v>
      </c>
      <c r="Y1490" s="4">
        <v>354</v>
      </c>
      <c r="Z1490" s="4">
        <v>14</v>
      </c>
      <c r="AA1490" s="4">
        <v>21</v>
      </c>
      <c r="AB1490" s="4">
        <v>2</v>
      </c>
      <c r="AC1490" s="4">
        <v>4</v>
      </c>
      <c r="AD1490" s="4">
        <v>71</v>
      </c>
      <c r="AE1490" s="4">
        <v>78</v>
      </c>
      <c r="AF1490" s="4">
        <v>0</v>
      </c>
      <c r="AG1490" s="4">
        <v>1</v>
      </c>
      <c r="AH1490" s="4">
        <v>64</v>
      </c>
      <c r="AI1490" s="4">
        <v>69</v>
      </c>
      <c r="AJ1490" s="4">
        <v>4</v>
      </c>
      <c r="AK1490" s="4">
        <v>8</v>
      </c>
      <c r="AL1490" s="4">
        <v>41</v>
      </c>
      <c r="AM1490" s="4">
        <v>42</v>
      </c>
      <c r="AN1490" s="4">
        <v>0</v>
      </c>
      <c r="AO1490" s="4">
        <v>0</v>
      </c>
      <c r="AP1490" s="4">
        <v>10</v>
      </c>
      <c r="AQ1490" s="4">
        <v>15</v>
      </c>
      <c r="AR1490" s="3" t="s">
        <v>62</v>
      </c>
      <c r="AS1490" s="3" t="s">
        <v>62</v>
      </c>
      <c r="AT1490" s="3" t="s">
        <v>62</v>
      </c>
      <c r="AV1490" s="6" t="str">
        <f>HYPERLINK("http://mcgill.on.worldcat.org/oclc/44461960","Catalog Record")</f>
        <v>Catalog Record</v>
      </c>
      <c r="AW1490" s="6" t="str">
        <f>HYPERLINK("http://www.worldcat.org/oclc/44461960","WorldCat Record")</f>
        <v>WorldCat Record</v>
      </c>
      <c r="AX1490" s="3" t="s">
        <v>15021</v>
      </c>
      <c r="AY1490" s="3" t="s">
        <v>15022</v>
      </c>
      <c r="AZ1490" s="3" t="s">
        <v>15023</v>
      </c>
      <c r="BA1490" s="3" t="s">
        <v>15023</v>
      </c>
      <c r="BB1490" s="3" t="s">
        <v>15024</v>
      </c>
      <c r="BC1490" s="3" t="s">
        <v>102</v>
      </c>
      <c r="BD1490" s="3" t="s">
        <v>68</v>
      </c>
      <c r="BE1490" s="3" t="s">
        <v>15025</v>
      </c>
      <c r="BF1490" s="3" t="s">
        <v>15024</v>
      </c>
      <c r="BG1490" s="3" t="s">
        <v>15026</v>
      </c>
    </row>
    <row r="1491" spans="1:59" ht="58" x14ac:dyDescent="0.35">
      <c r="A1491" s="2" t="s">
        <v>89</v>
      </c>
      <c r="B1491" s="2" t="s">
        <v>90</v>
      </c>
      <c r="C1491" s="2" t="s">
        <v>15027</v>
      </c>
      <c r="D1491" s="2" t="s">
        <v>15028</v>
      </c>
      <c r="E1491" s="2" t="s">
        <v>15029</v>
      </c>
      <c r="G1491" s="3" t="s">
        <v>62</v>
      </c>
      <c r="I1491" s="3" t="s">
        <v>62</v>
      </c>
      <c r="J1491" s="3" t="s">
        <v>62</v>
      </c>
      <c r="K1491" s="3" t="s">
        <v>63</v>
      </c>
      <c r="M1491" s="2" t="s">
        <v>15030</v>
      </c>
      <c r="N1491" s="3" t="s">
        <v>640</v>
      </c>
      <c r="O1491" s="2" t="s">
        <v>15031</v>
      </c>
      <c r="P1491" s="3" t="s">
        <v>64</v>
      </c>
      <c r="R1491" s="3" t="s">
        <v>13065</v>
      </c>
      <c r="S1491" s="4">
        <v>9</v>
      </c>
      <c r="T1491" s="4">
        <v>9</v>
      </c>
      <c r="U1491" s="5" t="s">
        <v>15032</v>
      </c>
      <c r="V1491" s="5" t="s">
        <v>15032</v>
      </c>
      <c r="W1491" s="5" t="s">
        <v>67</v>
      </c>
      <c r="X1491" s="5" t="s">
        <v>67</v>
      </c>
      <c r="Y1491" s="4">
        <v>198</v>
      </c>
      <c r="Z1491" s="4">
        <v>10</v>
      </c>
      <c r="AA1491" s="4">
        <v>24</v>
      </c>
      <c r="AB1491" s="4">
        <v>1</v>
      </c>
      <c r="AC1491" s="4">
        <v>4</v>
      </c>
      <c r="AD1491" s="4">
        <v>40</v>
      </c>
      <c r="AE1491" s="4">
        <v>55</v>
      </c>
      <c r="AF1491" s="4">
        <v>0</v>
      </c>
      <c r="AG1491" s="4">
        <v>1</v>
      </c>
      <c r="AH1491" s="4">
        <v>33</v>
      </c>
      <c r="AI1491" s="4">
        <v>44</v>
      </c>
      <c r="AJ1491" s="4">
        <v>5</v>
      </c>
      <c r="AK1491" s="4">
        <v>11</v>
      </c>
      <c r="AL1491" s="4">
        <v>24</v>
      </c>
      <c r="AM1491" s="4">
        <v>29</v>
      </c>
      <c r="AN1491" s="4">
        <v>0</v>
      </c>
      <c r="AO1491" s="4">
        <v>0</v>
      </c>
      <c r="AP1491" s="4">
        <v>8</v>
      </c>
      <c r="AQ1491" s="4">
        <v>15</v>
      </c>
      <c r="AR1491" s="3" t="s">
        <v>62</v>
      </c>
      <c r="AS1491" s="3" t="s">
        <v>62</v>
      </c>
      <c r="AT1491" s="3" t="s">
        <v>62</v>
      </c>
      <c r="AV1491" s="6" t="str">
        <f>HYPERLINK("http://mcgill.on.worldcat.org/oclc/56695893","Catalog Record")</f>
        <v>Catalog Record</v>
      </c>
      <c r="AW1491" s="6" t="str">
        <f>HYPERLINK("http://www.worldcat.org/oclc/56695893","WorldCat Record")</f>
        <v>WorldCat Record</v>
      </c>
      <c r="AX1491" s="3" t="s">
        <v>15033</v>
      </c>
      <c r="AY1491" s="3" t="s">
        <v>15034</v>
      </c>
      <c r="AZ1491" s="3" t="s">
        <v>15035</v>
      </c>
      <c r="BA1491" s="3" t="s">
        <v>15035</v>
      </c>
      <c r="BB1491" s="3" t="s">
        <v>15036</v>
      </c>
      <c r="BC1491" s="3" t="s">
        <v>102</v>
      </c>
      <c r="BD1491" s="3" t="s">
        <v>68</v>
      </c>
      <c r="BE1491" s="3" t="s">
        <v>15037</v>
      </c>
      <c r="BF1491" s="3" t="s">
        <v>15036</v>
      </c>
      <c r="BG1491" s="3" t="s">
        <v>15038</v>
      </c>
    </row>
    <row r="1492" spans="1:59" ht="58" x14ac:dyDescent="0.35">
      <c r="A1492" s="2" t="s">
        <v>89</v>
      </c>
      <c r="B1492" s="2" t="s">
        <v>90</v>
      </c>
      <c r="C1492" s="2" t="s">
        <v>15039</v>
      </c>
      <c r="D1492" s="2" t="s">
        <v>15040</v>
      </c>
      <c r="E1492" s="2" t="s">
        <v>15041</v>
      </c>
      <c r="G1492" s="3" t="s">
        <v>62</v>
      </c>
      <c r="I1492" s="3" t="s">
        <v>61</v>
      </c>
      <c r="J1492" s="3" t="s">
        <v>62</v>
      </c>
      <c r="K1492" s="3" t="s">
        <v>63</v>
      </c>
      <c r="L1492" s="2" t="s">
        <v>15042</v>
      </c>
      <c r="M1492" s="2" t="s">
        <v>13003</v>
      </c>
      <c r="N1492" s="3" t="s">
        <v>838</v>
      </c>
      <c r="P1492" s="3" t="s">
        <v>64</v>
      </c>
      <c r="Q1492" s="2" t="s">
        <v>15043</v>
      </c>
      <c r="R1492" s="3" t="s">
        <v>13065</v>
      </c>
      <c r="S1492" s="4">
        <v>6</v>
      </c>
      <c r="T1492" s="4">
        <v>6</v>
      </c>
      <c r="U1492" s="5" t="s">
        <v>12900</v>
      </c>
      <c r="V1492" s="5" t="s">
        <v>12900</v>
      </c>
      <c r="W1492" s="5" t="s">
        <v>67</v>
      </c>
      <c r="X1492" s="5" t="s">
        <v>67</v>
      </c>
      <c r="Y1492" s="4">
        <v>769</v>
      </c>
      <c r="Z1492" s="4">
        <v>34</v>
      </c>
      <c r="AA1492" s="4">
        <v>38</v>
      </c>
      <c r="AB1492" s="4">
        <v>2</v>
      </c>
      <c r="AC1492" s="4">
        <v>6</v>
      </c>
      <c r="AD1492" s="4">
        <v>114</v>
      </c>
      <c r="AE1492" s="4">
        <v>118</v>
      </c>
      <c r="AF1492" s="4">
        <v>1</v>
      </c>
      <c r="AG1492" s="4">
        <v>4</v>
      </c>
      <c r="AH1492" s="4">
        <v>96</v>
      </c>
      <c r="AI1492" s="4">
        <v>98</v>
      </c>
      <c r="AJ1492" s="4">
        <v>19</v>
      </c>
      <c r="AK1492" s="4">
        <v>22</v>
      </c>
      <c r="AL1492" s="4">
        <v>48</v>
      </c>
      <c r="AM1492" s="4">
        <v>49</v>
      </c>
      <c r="AN1492" s="4">
        <v>0</v>
      </c>
      <c r="AO1492" s="4">
        <v>0</v>
      </c>
      <c r="AP1492" s="4">
        <v>27</v>
      </c>
      <c r="AQ1492" s="4">
        <v>29</v>
      </c>
      <c r="AR1492" s="3" t="s">
        <v>62</v>
      </c>
      <c r="AS1492" s="3" t="s">
        <v>62</v>
      </c>
      <c r="AT1492" s="3" t="s">
        <v>61</v>
      </c>
      <c r="AU1492" s="6" t="str">
        <f>HYPERLINK("http://catalog.hathitrust.org/Record/008316854","HathiTrust Record")</f>
        <v>HathiTrust Record</v>
      </c>
      <c r="AV1492" s="6" t="str">
        <f>HYPERLINK("http://mcgill.on.worldcat.org/oclc/395428","Catalog Record")</f>
        <v>Catalog Record</v>
      </c>
      <c r="AW1492" s="6" t="str">
        <f>HYPERLINK("http://www.worldcat.org/oclc/395428","WorldCat Record")</f>
        <v>WorldCat Record</v>
      </c>
      <c r="AX1492" s="3" t="s">
        <v>15044</v>
      </c>
      <c r="AY1492" s="3" t="s">
        <v>15045</v>
      </c>
      <c r="AZ1492" s="3" t="s">
        <v>15046</v>
      </c>
      <c r="BA1492" s="3" t="s">
        <v>15046</v>
      </c>
      <c r="BB1492" s="3" t="s">
        <v>15047</v>
      </c>
      <c r="BC1492" s="3" t="s">
        <v>102</v>
      </c>
      <c r="BD1492" s="3" t="s">
        <v>68</v>
      </c>
      <c r="BF1492" s="3" t="s">
        <v>15047</v>
      </c>
      <c r="BG1492" s="3" t="s">
        <v>15048</v>
      </c>
    </row>
    <row r="1493" spans="1:59" ht="58" x14ac:dyDescent="0.35">
      <c r="A1493" s="2" t="s">
        <v>89</v>
      </c>
      <c r="B1493" s="2" t="s">
        <v>90</v>
      </c>
      <c r="C1493" s="2" t="s">
        <v>15049</v>
      </c>
      <c r="D1493" s="2" t="s">
        <v>15050</v>
      </c>
      <c r="E1493" s="2" t="s">
        <v>15051</v>
      </c>
      <c r="G1493" s="3" t="s">
        <v>62</v>
      </c>
      <c r="I1493" s="3" t="s">
        <v>62</v>
      </c>
      <c r="J1493" s="3" t="s">
        <v>62</v>
      </c>
      <c r="K1493" s="3" t="s">
        <v>63</v>
      </c>
      <c r="L1493" s="2" t="s">
        <v>15052</v>
      </c>
      <c r="M1493" s="2" t="s">
        <v>15053</v>
      </c>
      <c r="N1493" s="3" t="s">
        <v>2110</v>
      </c>
      <c r="P1493" s="3" t="s">
        <v>64</v>
      </c>
      <c r="R1493" s="3" t="s">
        <v>13065</v>
      </c>
      <c r="S1493" s="4">
        <v>18</v>
      </c>
      <c r="T1493" s="4">
        <v>18</v>
      </c>
      <c r="U1493" s="5" t="s">
        <v>14456</v>
      </c>
      <c r="V1493" s="5" t="s">
        <v>14456</v>
      </c>
      <c r="W1493" s="5" t="s">
        <v>67</v>
      </c>
      <c r="X1493" s="5" t="s">
        <v>67</v>
      </c>
      <c r="Y1493" s="4">
        <v>213</v>
      </c>
      <c r="Z1493" s="4">
        <v>17</v>
      </c>
      <c r="AA1493" s="4">
        <v>18</v>
      </c>
      <c r="AB1493" s="4">
        <v>1</v>
      </c>
      <c r="AC1493" s="4">
        <v>2</v>
      </c>
      <c r="AD1493" s="4">
        <v>36</v>
      </c>
      <c r="AE1493" s="4">
        <v>38</v>
      </c>
      <c r="AF1493" s="4">
        <v>0</v>
      </c>
      <c r="AG1493" s="4">
        <v>1</v>
      </c>
      <c r="AH1493" s="4">
        <v>32</v>
      </c>
      <c r="AI1493" s="4">
        <v>33</v>
      </c>
      <c r="AJ1493" s="4">
        <v>8</v>
      </c>
      <c r="AK1493" s="4">
        <v>9</v>
      </c>
      <c r="AL1493" s="4">
        <v>14</v>
      </c>
      <c r="AM1493" s="4">
        <v>14</v>
      </c>
      <c r="AN1493" s="4">
        <v>5</v>
      </c>
      <c r="AO1493" s="4">
        <v>5</v>
      </c>
      <c r="AP1493" s="4">
        <v>11</v>
      </c>
      <c r="AQ1493" s="4">
        <v>12</v>
      </c>
      <c r="AR1493" s="3" t="s">
        <v>62</v>
      </c>
      <c r="AS1493" s="3" t="s">
        <v>62</v>
      </c>
      <c r="AT1493" s="3" t="s">
        <v>61</v>
      </c>
      <c r="AU1493" s="6" t="str">
        <f>HYPERLINK("http://catalog.hathitrust.org/Record/101989607","HathiTrust Record")</f>
        <v>HathiTrust Record</v>
      </c>
      <c r="AV1493" s="6" t="str">
        <f>HYPERLINK("http://mcgill.on.worldcat.org/oclc/4494151","Catalog Record")</f>
        <v>Catalog Record</v>
      </c>
      <c r="AW1493" s="6" t="str">
        <f>HYPERLINK("http://www.worldcat.org/oclc/4494151","WorldCat Record")</f>
        <v>WorldCat Record</v>
      </c>
      <c r="AX1493" s="3" t="s">
        <v>15054</v>
      </c>
      <c r="AY1493" s="3" t="s">
        <v>15055</v>
      </c>
      <c r="AZ1493" s="3" t="s">
        <v>15056</v>
      </c>
      <c r="BA1493" s="3" t="s">
        <v>15056</v>
      </c>
      <c r="BB1493" s="3" t="s">
        <v>15057</v>
      </c>
      <c r="BC1493" s="3" t="s">
        <v>102</v>
      </c>
      <c r="BD1493" s="3" t="s">
        <v>68</v>
      </c>
      <c r="BE1493" s="3" t="s">
        <v>15058</v>
      </c>
      <c r="BF1493" s="3" t="s">
        <v>15057</v>
      </c>
      <c r="BG1493" s="3" t="s">
        <v>15059</v>
      </c>
    </row>
    <row r="1494" spans="1:59" ht="58" x14ac:dyDescent="0.35">
      <c r="A1494" s="2" t="s">
        <v>89</v>
      </c>
      <c r="B1494" s="2" t="s">
        <v>90</v>
      </c>
      <c r="C1494" s="2" t="s">
        <v>15060</v>
      </c>
      <c r="D1494" s="2" t="s">
        <v>15061</v>
      </c>
      <c r="E1494" s="2" t="s">
        <v>15062</v>
      </c>
      <c r="G1494" s="3" t="s">
        <v>61</v>
      </c>
      <c r="I1494" s="3" t="s">
        <v>62</v>
      </c>
      <c r="J1494" s="3" t="s">
        <v>61</v>
      </c>
      <c r="K1494" s="3" t="s">
        <v>916</v>
      </c>
      <c r="L1494" s="2" t="s">
        <v>15063</v>
      </c>
      <c r="M1494" s="2" t="s">
        <v>15064</v>
      </c>
      <c r="N1494" s="3" t="s">
        <v>6410</v>
      </c>
      <c r="P1494" s="3" t="s">
        <v>64</v>
      </c>
      <c r="Q1494" s="2" t="s">
        <v>15065</v>
      </c>
      <c r="R1494" s="3" t="s">
        <v>13065</v>
      </c>
      <c r="S1494" s="4">
        <v>4</v>
      </c>
      <c r="T1494" s="4">
        <v>4</v>
      </c>
      <c r="U1494" s="5" t="s">
        <v>15066</v>
      </c>
      <c r="V1494" s="5" t="s">
        <v>15066</v>
      </c>
      <c r="W1494" s="5" t="s">
        <v>67</v>
      </c>
      <c r="X1494" s="5" t="s">
        <v>67</v>
      </c>
      <c r="Y1494" s="4">
        <v>118</v>
      </c>
      <c r="Z1494" s="4">
        <v>7</v>
      </c>
      <c r="AA1494" s="4">
        <v>72</v>
      </c>
      <c r="AB1494" s="4">
        <v>1</v>
      </c>
      <c r="AC1494" s="4">
        <v>14</v>
      </c>
      <c r="AD1494" s="4">
        <v>17</v>
      </c>
      <c r="AE1494" s="4">
        <v>150</v>
      </c>
      <c r="AF1494" s="4">
        <v>0</v>
      </c>
      <c r="AG1494" s="4">
        <v>7</v>
      </c>
      <c r="AH1494" s="4">
        <v>14</v>
      </c>
      <c r="AI1494" s="4">
        <v>113</v>
      </c>
      <c r="AJ1494" s="4">
        <v>6</v>
      </c>
      <c r="AK1494" s="4">
        <v>28</v>
      </c>
      <c r="AL1494" s="4">
        <v>8</v>
      </c>
      <c r="AM1494" s="4">
        <v>60</v>
      </c>
      <c r="AN1494" s="4">
        <v>0</v>
      </c>
      <c r="AO1494" s="4">
        <v>0</v>
      </c>
      <c r="AP1494" s="4">
        <v>6</v>
      </c>
      <c r="AQ1494" s="4">
        <v>42</v>
      </c>
      <c r="AR1494" s="3" t="s">
        <v>62</v>
      </c>
      <c r="AS1494" s="3" t="s">
        <v>62</v>
      </c>
      <c r="AT1494" s="3" t="s">
        <v>61</v>
      </c>
      <c r="AU1494" s="6" t="str">
        <f>HYPERLINK("http://catalog.hathitrust.org/Record/008316856","HathiTrust Record")</f>
        <v>HathiTrust Record</v>
      </c>
      <c r="AV1494" s="6" t="str">
        <f>HYPERLINK("http://mcgill.on.worldcat.org/oclc/1391085","Catalog Record")</f>
        <v>Catalog Record</v>
      </c>
      <c r="AW1494" s="6" t="str">
        <f>HYPERLINK("http://www.worldcat.org/oclc/1391085","WorldCat Record")</f>
        <v>WorldCat Record</v>
      </c>
      <c r="AX1494" s="3" t="s">
        <v>15067</v>
      </c>
      <c r="AY1494" s="3" t="s">
        <v>15068</v>
      </c>
      <c r="AZ1494" s="3" t="s">
        <v>15069</v>
      </c>
      <c r="BA1494" s="3" t="s">
        <v>15069</v>
      </c>
      <c r="BB1494" s="3" t="s">
        <v>15070</v>
      </c>
      <c r="BC1494" s="3" t="s">
        <v>102</v>
      </c>
      <c r="BD1494" s="3" t="s">
        <v>68</v>
      </c>
      <c r="BF1494" s="3" t="s">
        <v>15070</v>
      </c>
      <c r="BG1494" s="3" t="s">
        <v>15071</v>
      </c>
    </row>
    <row r="1495" spans="1:59" ht="58" x14ac:dyDescent="0.35">
      <c r="A1495" s="2" t="s">
        <v>89</v>
      </c>
      <c r="B1495" s="2" t="s">
        <v>90</v>
      </c>
      <c r="C1495" s="2" t="s">
        <v>15072</v>
      </c>
      <c r="D1495" s="2" t="s">
        <v>15073</v>
      </c>
      <c r="E1495" s="2" t="s">
        <v>15074</v>
      </c>
      <c r="G1495" s="3" t="s">
        <v>62</v>
      </c>
      <c r="I1495" s="3" t="s">
        <v>61</v>
      </c>
      <c r="J1495" s="3" t="s">
        <v>62</v>
      </c>
      <c r="K1495" s="3" t="s">
        <v>63</v>
      </c>
      <c r="L1495" s="2" t="s">
        <v>15075</v>
      </c>
      <c r="M1495" s="2" t="s">
        <v>15076</v>
      </c>
      <c r="N1495" s="3" t="s">
        <v>524</v>
      </c>
      <c r="P1495" s="3" t="s">
        <v>64</v>
      </c>
      <c r="R1495" s="3" t="s">
        <v>13065</v>
      </c>
      <c r="S1495" s="4">
        <v>17</v>
      </c>
      <c r="T1495" s="4">
        <v>32</v>
      </c>
      <c r="U1495" s="5" t="s">
        <v>5023</v>
      </c>
      <c r="V1495" s="5" t="s">
        <v>5023</v>
      </c>
      <c r="W1495" s="5" t="s">
        <v>67</v>
      </c>
      <c r="X1495" s="5" t="s">
        <v>67</v>
      </c>
      <c r="Y1495" s="4">
        <v>423</v>
      </c>
      <c r="Z1495" s="4">
        <v>14</v>
      </c>
      <c r="AA1495" s="4">
        <v>17</v>
      </c>
      <c r="AB1495" s="4">
        <v>1</v>
      </c>
      <c r="AC1495" s="4">
        <v>4</v>
      </c>
      <c r="AD1495" s="4">
        <v>89</v>
      </c>
      <c r="AE1495" s="4">
        <v>91</v>
      </c>
      <c r="AF1495" s="4">
        <v>0</v>
      </c>
      <c r="AG1495" s="4">
        <v>2</v>
      </c>
      <c r="AH1495" s="4">
        <v>83</v>
      </c>
      <c r="AI1495" s="4">
        <v>83</v>
      </c>
      <c r="AJ1495" s="4">
        <v>9</v>
      </c>
      <c r="AK1495" s="4">
        <v>11</v>
      </c>
      <c r="AL1495" s="4">
        <v>47</v>
      </c>
      <c r="AM1495" s="4">
        <v>47</v>
      </c>
      <c r="AN1495" s="4">
        <v>0</v>
      </c>
      <c r="AO1495" s="4">
        <v>0</v>
      </c>
      <c r="AP1495" s="4">
        <v>11</v>
      </c>
      <c r="AQ1495" s="4">
        <v>13</v>
      </c>
      <c r="AR1495" s="3" t="s">
        <v>62</v>
      </c>
      <c r="AS1495" s="3" t="s">
        <v>62</v>
      </c>
      <c r="AT1495" s="3" t="s">
        <v>62</v>
      </c>
      <c r="AV1495" s="6" t="str">
        <f>HYPERLINK("http://mcgill.on.worldcat.org/oclc/31171662","Catalog Record")</f>
        <v>Catalog Record</v>
      </c>
      <c r="AW1495" s="6" t="str">
        <f>HYPERLINK("http://www.worldcat.org/oclc/31171662","WorldCat Record")</f>
        <v>WorldCat Record</v>
      </c>
      <c r="AX1495" s="3" t="s">
        <v>15077</v>
      </c>
      <c r="AY1495" s="3" t="s">
        <v>15078</v>
      </c>
      <c r="AZ1495" s="3" t="s">
        <v>15079</v>
      </c>
      <c r="BA1495" s="3" t="s">
        <v>15079</v>
      </c>
      <c r="BB1495" s="3" t="s">
        <v>15080</v>
      </c>
      <c r="BC1495" s="3" t="s">
        <v>102</v>
      </c>
      <c r="BD1495" s="3" t="s">
        <v>68</v>
      </c>
      <c r="BE1495" s="3" t="s">
        <v>15081</v>
      </c>
      <c r="BF1495" s="3" t="s">
        <v>15080</v>
      </c>
      <c r="BG1495" s="3" t="s">
        <v>15082</v>
      </c>
    </row>
    <row r="1496" spans="1:59" ht="58" x14ac:dyDescent="0.35">
      <c r="A1496" s="2" t="s">
        <v>89</v>
      </c>
      <c r="B1496" s="2" t="s">
        <v>90</v>
      </c>
      <c r="C1496" s="2" t="s">
        <v>15083</v>
      </c>
      <c r="D1496" s="2" t="s">
        <v>15084</v>
      </c>
      <c r="E1496" s="2" t="s">
        <v>15085</v>
      </c>
      <c r="G1496" s="3" t="s">
        <v>62</v>
      </c>
      <c r="I1496" s="3" t="s">
        <v>62</v>
      </c>
      <c r="J1496" s="3" t="s">
        <v>62</v>
      </c>
      <c r="K1496" s="3" t="s">
        <v>63</v>
      </c>
      <c r="M1496" s="2" t="s">
        <v>15086</v>
      </c>
      <c r="N1496" s="3" t="s">
        <v>568</v>
      </c>
      <c r="P1496" s="3" t="s">
        <v>64</v>
      </c>
      <c r="Q1496" s="2" t="s">
        <v>15087</v>
      </c>
      <c r="R1496" s="3" t="s">
        <v>13065</v>
      </c>
      <c r="S1496" s="4">
        <v>4</v>
      </c>
      <c r="T1496" s="4">
        <v>4</v>
      </c>
      <c r="U1496" s="5" t="s">
        <v>4387</v>
      </c>
      <c r="V1496" s="5" t="s">
        <v>4387</v>
      </c>
      <c r="W1496" s="5" t="s">
        <v>67</v>
      </c>
      <c r="X1496" s="5" t="s">
        <v>67</v>
      </c>
      <c r="Y1496" s="4">
        <v>129</v>
      </c>
      <c r="Z1496" s="4">
        <v>10</v>
      </c>
      <c r="AA1496" s="4">
        <v>10</v>
      </c>
      <c r="AB1496" s="4">
        <v>1</v>
      </c>
      <c r="AC1496" s="4">
        <v>1</v>
      </c>
      <c r="AD1496" s="4">
        <v>63</v>
      </c>
      <c r="AE1496" s="4">
        <v>63</v>
      </c>
      <c r="AF1496" s="4">
        <v>0</v>
      </c>
      <c r="AG1496" s="4">
        <v>0</v>
      </c>
      <c r="AH1496" s="4">
        <v>59</v>
      </c>
      <c r="AI1496" s="4">
        <v>59</v>
      </c>
      <c r="AJ1496" s="4">
        <v>5</v>
      </c>
      <c r="AK1496" s="4">
        <v>5</v>
      </c>
      <c r="AL1496" s="4">
        <v>40</v>
      </c>
      <c r="AM1496" s="4">
        <v>40</v>
      </c>
      <c r="AN1496" s="4">
        <v>0</v>
      </c>
      <c r="AO1496" s="4">
        <v>0</v>
      </c>
      <c r="AP1496" s="4">
        <v>7</v>
      </c>
      <c r="AQ1496" s="4">
        <v>7</v>
      </c>
      <c r="AR1496" s="3" t="s">
        <v>62</v>
      </c>
      <c r="AS1496" s="3" t="s">
        <v>62</v>
      </c>
      <c r="AT1496" s="3" t="s">
        <v>62</v>
      </c>
      <c r="AV1496" s="6" t="str">
        <f>HYPERLINK("http://mcgill.on.worldcat.org/oclc/44777326","Catalog Record")</f>
        <v>Catalog Record</v>
      </c>
      <c r="AW1496" s="6" t="str">
        <f>HYPERLINK("http://www.worldcat.org/oclc/44777326","WorldCat Record")</f>
        <v>WorldCat Record</v>
      </c>
      <c r="AX1496" s="3" t="s">
        <v>15088</v>
      </c>
      <c r="AY1496" s="3" t="s">
        <v>15089</v>
      </c>
      <c r="AZ1496" s="3" t="s">
        <v>15090</v>
      </c>
      <c r="BA1496" s="3" t="s">
        <v>15090</v>
      </c>
      <c r="BB1496" s="3" t="s">
        <v>15091</v>
      </c>
      <c r="BC1496" s="3" t="s">
        <v>102</v>
      </c>
      <c r="BD1496" s="3" t="s">
        <v>68</v>
      </c>
      <c r="BE1496" s="3" t="s">
        <v>15092</v>
      </c>
      <c r="BF1496" s="3" t="s">
        <v>15091</v>
      </c>
      <c r="BG1496" s="3" t="s">
        <v>15093</v>
      </c>
    </row>
    <row r="1497" spans="1:59" ht="58" x14ac:dyDescent="0.35">
      <c r="A1497" s="2" t="s">
        <v>89</v>
      </c>
      <c r="B1497" s="2" t="s">
        <v>90</v>
      </c>
      <c r="C1497" s="2" t="s">
        <v>15094</v>
      </c>
      <c r="D1497" s="2" t="s">
        <v>15095</v>
      </c>
      <c r="E1497" s="2" t="s">
        <v>15096</v>
      </c>
      <c r="G1497" s="3" t="s">
        <v>62</v>
      </c>
      <c r="I1497" s="3" t="s">
        <v>62</v>
      </c>
      <c r="J1497" s="3" t="s">
        <v>62</v>
      </c>
      <c r="K1497" s="3" t="s">
        <v>63</v>
      </c>
      <c r="L1497" s="2" t="s">
        <v>15097</v>
      </c>
      <c r="M1497" s="2" t="s">
        <v>15098</v>
      </c>
      <c r="N1497" s="3" t="s">
        <v>2975</v>
      </c>
      <c r="P1497" s="3" t="s">
        <v>64</v>
      </c>
      <c r="Q1497" s="2" t="s">
        <v>15099</v>
      </c>
      <c r="R1497" s="3" t="s">
        <v>13065</v>
      </c>
      <c r="S1497" s="4">
        <v>3</v>
      </c>
      <c r="T1497" s="4">
        <v>3</v>
      </c>
      <c r="U1497" s="5" t="s">
        <v>15100</v>
      </c>
      <c r="V1497" s="5" t="s">
        <v>15100</v>
      </c>
      <c r="W1497" s="5" t="s">
        <v>67</v>
      </c>
      <c r="X1497" s="5" t="s">
        <v>67</v>
      </c>
      <c r="Y1497" s="4">
        <v>442</v>
      </c>
      <c r="Z1497" s="4">
        <v>26</v>
      </c>
      <c r="AA1497" s="4">
        <v>31</v>
      </c>
      <c r="AB1497" s="4">
        <v>1</v>
      </c>
      <c r="AC1497" s="4">
        <v>5</v>
      </c>
      <c r="AD1497" s="4">
        <v>101</v>
      </c>
      <c r="AE1497" s="4">
        <v>103</v>
      </c>
      <c r="AF1497" s="4">
        <v>0</v>
      </c>
      <c r="AG1497" s="4">
        <v>1</v>
      </c>
      <c r="AH1497" s="4">
        <v>88</v>
      </c>
      <c r="AI1497" s="4">
        <v>89</v>
      </c>
      <c r="AJ1497" s="4">
        <v>14</v>
      </c>
      <c r="AK1497" s="4">
        <v>15</v>
      </c>
      <c r="AL1497" s="4">
        <v>53</v>
      </c>
      <c r="AM1497" s="4">
        <v>53</v>
      </c>
      <c r="AN1497" s="4">
        <v>0</v>
      </c>
      <c r="AO1497" s="4">
        <v>0</v>
      </c>
      <c r="AP1497" s="4">
        <v>19</v>
      </c>
      <c r="AQ1497" s="4">
        <v>21</v>
      </c>
      <c r="AR1497" s="3" t="s">
        <v>62</v>
      </c>
      <c r="AS1497" s="3" t="s">
        <v>62</v>
      </c>
      <c r="AT1497" s="3" t="s">
        <v>62</v>
      </c>
      <c r="AV1497" s="6" t="str">
        <f>HYPERLINK("http://mcgill.on.worldcat.org/oclc/46462671","Catalog Record")</f>
        <v>Catalog Record</v>
      </c>
      <c r="AW1497" s="6" t="str">
        <f>HYPERLINK("http://www.worldcat.org/oclc/46462671","WorldCat Record")</f>
        <v>WorldCat Record</v>
      </c>
      <c r="AX1497" s="3" t="s">
        <v>15101</v>
      </c>
      <c r="AY1497" s="3" t="s">
        <v>15102</v>
      </c>
      <c r="AZ1497" s="3" t="s">
        <v>15103</v>
      </c>
      <c r="BA1497" s="3" t="s">
        <v>15103</v>
      </c>
      <c r="BB1497" s="3" t="s">
        <v>15104</v>
      </c>
      <c r="BC1497" s="3" t="s">
        <v>102</v>
      </c>
      <c r="BD1497" s="3" t="s">
        <v>68</v>
      </c>
      <c r="BE1497" s="3" t="s">
        <v>15105</v>
      </c>
      <c r="BF1497" s="3" t="s">
        <v>15104</v>
      </c>
      <c r="BG1497" s="3" t="s">
        <v>15106</v>
      </c>
    </row>
    <row r="1498" spans="1:59" ht="58" x14ac:dyDescent="0.35">
      <c r="A1498" s="2" t="s">
        <v>89</v>
      </c>
      <c r="B1498" s="2" t="s">
        <v>90</v>
      </c>
      <c r="C1498" s="2" t="s">
        <v>15107</v>
      </c>
      <c r="D1498" s="2" t="s">
        <v>15108</v>
      </c>
      <c r="E1498" s="2" t="s">
        <v>15109</v>
      </c>
      <c r="G1498" s="3" t="s">
        <v>62</v>
      </c>
      <c r="I1498" s="3" t="s">
        <v>62</v>
      </c>
      <c r="J1498" s="3" t="s">
        <v>62</v>
      </c>
      <c r="K1498" s="3" t="s">
        <v>63</v>
      </c>
      <c r="L1498" s="2" t="s">
        <v>15110</v>
      </c>
      <c r="M1498" s="2" t="s">
        <v>15111</v>
      </c>
      <c r="N1498" s="3" t="s">
        <v>355</v>
      </c>
      <c r="P1498" s="3" t="s">
        <v>1881</v>
      </c>
      <c r="R1498" s="3" t="s">
        <v>13065</v>
      </c>
      <c r="S1498" s="4">
        <v>1</v>
      </c>
      <c r="T1498" s="4">
        <v>1</v>
      </c>
      <c r="U1498" s="5" t="s">
        <v>15112</v>
      </c>
      <c r="V1498" s="5" t="s">
        <v>15112</v>
      </c>
      <c r="W1498" s="5" t="s">
        <v>67</v>
      </c>
      <c r="X1498" s="5" t="s">
        <v>67</v>
      </c>
      <c r="Y1498" s="4">
        <v>144</v>
      </c>
      <c r="Z1498" s="4">
        <v>4</v>
      </c>
      <c r="AA1498" s="4">
        <v>6</v>
      </c>
      <c r="AB1498" s="4">
        <v>1</v>
      </c>
      <c r="AC1498" s="4">
        <v>1</v>
      </c>
      <c r="AD1498" s="4">
        <v>34</v>
      </c>
      <c r="AE1498" s="4">
        <v>36</v>
      </c>
      <c r="AF1498" s="4">
        <v>0</v>
      </c>
      <c r="AG1498" s="4">
        <v>0</v>
      </c>
      <c r="AH1498" s="4">
        <v>32</v>
      </c>
      <c r="AI1498" s="4">
        <v>34</v>
      </c>
      <c r="AJ1498" s="4">
        <v>3</v>
      </c>
      <c r="AK1498" s="4">
        <v>4</v>
      </c>
      <c r="AL1498" s="4">
        <v>23</v>
      </c>
      <c r="AM1498" s="4">
        <v>25</v>
      </c>
      <c r="AN1498" s="4">
        <v>0</v>
      </c>
      <c r="AO1498" s="4">
        <v>0</v>
      </c>
      <c r="AP1498" s="4">
        <v>3</v>
      </c>
      <c r="AQ1498" s="4">
        <v>4</v>
      </c>
      <c r="AR1498" s="3" t="s">
        <v>62</v>
      </c>
      <c r="AS1498" s="3" t="s">
        <v>62</v>
      </c>
      <c r="AT1498" s="3" t="s">
        <v>62</v>
      </c>
      <c r="AV1498" s="6" t="str">
        <f>HYPERLINK("http://mcgill.on.worldcat.org/oclc/11432559","Catalog Record")</f>
        <v>Catalog Record</v>
      </c>
      <c r="AW1498" s="6" t="str">
        <f>HYPERLINK("http://www.worldcat.org/oclc/11432559","WorldCat Record")</f>
        <v>WorldCat Record</v>
      </c>
      <c r="AX1498" s="3" t="s">
        <v>15113</v>
      </c>
      <c r="AY1498" s="3" t="s">
        <v>15114</v>
      </c>
      <c r="AZ1498" s="3" t="s">
        <v>15115</v>
      </c>
      <c r="BA1498" s="3" t="s">
        <v>15115</v>
      </c>
      <c r="BB1498" s="3" t="s">
        <v>15116</v>
      </c>
      <c r="BC1498" s="3" t="s">
        <v>102</v>
      </c>
      <c r="BD1498" s="3" t="s">
        <v>68</v>
      </c>
      <c r="BE1498" s="3" t="s">
        <v>15117</v>
      </c>
      <c r="BF1498" s="3" t="s">
        <v>15116</v>
      </c>
      <c r="BG1498" s="3" t="s">
        <v>15118</v>
      </c>
    </row>
    <row r="1499" spans="1:59" ht="58" x14ac:dyDescent="0.35">
      <c r="A1499" s="2" t="s">
        <v>89</v>
      </c>
      <c r="B1499" s="2" t="s">
        <v>90</v>
      </c>
      <c r="C1499" s="2" t="s">
        <v>15119</v>
      </c>
      <c r="D1499" s="2" t="s">
        <v>15120</v>
      </c>
      <c r="E1499" s="2" t="s">
        <v>15121</v>
      </c>
      <c r="G1499" s="3" t="s">
        <v>62</v>
      </c>
      <c r="I1499" s="3" t="s">
        <v>62</v>
      </c>
      <c r="J1499" s="3" t="s">
        <v>62</v>
      </c>
      <c r="K1499" s="3" t="s">
        <v>63</v>
      </c>
      <c r="L1499" s="2" t="s">
        <v>15122</v>
      </c>
      <c r="M1499" s="2" t="s">
        <v>15123</v>
      </c>
      <c r="N1499" s="3" t="s">
        <v>129</v>
      </c>
      <c r="P1499" s="3" t="s">
        <v>64</v>
      </c>
      <c r="R1499" s="3" t="s">
        <v>13065</v>
      </c>
      <c r="S1499" s="4">
        <v>0</v>
      </c>
      <c r="T1499" s="4">
        <v>0</v>
      </c>
      <c r="W1499" s="5" t="s">
        <v>67</v>
      </c>
      <c r="X1499" s="5" t="s">
        <v>67</v>
      </c>
      <c r="Y1499" s="4">
        <v>205</v>
      </c>
      <c r="Z1499" s="4">
        <v>17</v>
      </c>
      <c r="AA1499" s="4">
        <v>83</v>
      </c>
      <c r="AB1499" s="4">
        <v>2</v>
      </c>
      <c r="AC1499" s="4">
        <v>16</v>
      </c>
      <c r="AD1499" s="4">
        <v>60</v>
      </c>
      <c r="AE1499" s="4">
        <v>115</v>
      </c>
      <c r="AF1499" s="4">
        <v>1</v>
      </c>
      <c r="AG1499" s="4">
        <v>8</v>
      </c>
      <c r="AH1499" s="4">
        <v>52</v>
      </c>
      <c r="AI1499" s="4">
        <v>80</v>
      </c>
      <c r="AJ1499" s="4">
        <v>11</v>
      </c>
      <c r="AK1499" s="4">
        <v>21</v>
      </c>
      <c r="AL1499" s="4">
        <v>30</v>
      </c>
      <c r="AM1499" s="4">
        <v>43</v>
      </c>
      <c r="AN1499" s="4">
        <v>0</v>
      </c>
      <c r="AO1499" s="4">
        <v>0</v>
      </c>
      <c r="AP1499" s="4">
        <v>13</v>
      </c>
      <c r="AQ1499" s="4">
        <v>43</v>
      </c>
      <c r="AR1499" s="3" t="s">
        <v>62</v>
      </c>
      <c r="AS1499" s="3" t="s">
        <v>62</v>
      </c>
      <c r="AT1499" s="3" t="s">
        <v>62</v>
      </c>
      <c r="AV1499" s="6" t="str">
        <f>HYPERLINK("http://mcgill.on.worldcat.org/oclc/823380557","Catalog Record")</f>
        <v>Catalog Record</v>
      </c>
      <c r="AW1499" s="6" t="str">
        <f>HYPERLINK("http://www.worldcat.org/oclc/823380557","WorldCat Record")</f>
        <v>WorldCat Record</v>
      </c>
      <c r="AX1499" s="3" t="s">
        <v>15124</v>
      </c>
      <c r="AY1499" s="3" t="s">
        <v>15125</v>
      </c>
      <c r="AZ1499" s="3" t="s">
        <v>15126</v>
      </c>
      <c r="BA1499" s="3" t="s">
        <v>15126</v>
      </c>
      <c r="BB1499" s="3" t="s">
        <v>15127</v>
      </c>
      <c r="BC1499" s="3" t="s">
        <v>102</v>
      </c>
      <c r="BD1499" s="3" t="s">
        <v>68</v>
      </c>
      <c r="BE1499" s="3" t="s">
        <v>15128</v>
      </c>
      <c r="BF1499" s="3" t="s">
        <v>15127</v>
      </c>
      <c r="BG1499" s="3" t="s">
        <v>15129</v>
      </c>
    </row>
    <row r="1500" spans="1:59" ht="58" x14ac:dyDescent="0.35">
      <c r="A1500" s="2" t="s">
        <v>89</v>
      </c>
      <c r="B1500" s="2" t="s">
        <v>90</v>
      </c>
      <c r="C1500" s="2" t="s">
        <v>15130</v>
      </c>
      <c r="D1500" s="2" t="s">
        <v>15131</v>
      </c>
      <c r="E1500" s="2" t="s">
        <v>15132</v>
      </c>
      <c r="G1500" s="3" t="s">
        <v>62</v>
      </c>
      <c r="I1500" s="3" t="s">
        <v>62</v>
      </c>
      <c r="J1500" s="3" t="s">
        <v>62</v>
      </c>
      <c r="K1500" s="3" t="s">
        <v>63</v>
      </c>
      <c r="L1500" s="2" t="s">
        <v>15133</v>
      </c>
      <c r="M1500" s="2" t="s">
        <v>15134</v>
      </c>
      <c r="N1500" s="3" t="s">
        <v>539</v>
      </c>
      <c r="P1500" s="3" t="s">
        <v>64</v>
      </c>
      <c r="Q1500" s="2" t="s">
        <v>15135</v>
      </c>
      <c r="R1500" s="3" t="s">
        <v>13065</v>
      </c>
      <c r="S1500" s="4">
        <v>7</v>
      </c>
      <c r="T1500" s="4">
        <v>7</v>
      </c>
      <c r="U1500" s="5" t="s">
        <v>15136</v>
      </c>
      <c r="V1500" s="5" t="s">
        <v>15136</v>
      </c>
      <c r="W1500" s="5" t="s">
        <v>67</v>
      </c>
      <c r="X1500" s="5" t="s">
        <v>67</v>
      </c>
      <c r="Y1500" s="4">
        <v>184</v>
      </c>
      <c r="Z1500" s="4">
        <v>13</v>
      </c>
      <c r="AA1500" s="4">
        <v>17</v>
      </c>
      <c r="AB1500" s="4">
        <v>1</v>
      </c>
      <c r="AC1500" s="4">
        <v>5</v>
      </c>
      <c r="AD1500" s="4">
        <v>85</v>
      </c>
      <c r="AE1500" s="4">
        <v>87</v>
      </c>
      <c r="AF1500" s="4">
        <v>0</v>
      </c>
      <c r="AG1500" s="4">
        <v>2</v>
      </c>
      <c r="AH1500" s="4">
        <v>80</v>
      </c>
      <c r="AI1500" s="4">
        <v>81</v>
      </c>
      <c r="AJ1500" s="4">
        <v>9</v>
      </c>
      <c r="AK1500" s="4">
        <v>11</v>
      </c>
      <c r="AL1500" s="4">
        <v>53</v>
      </c>
      <c r="AM1500" s="4">
        <v>53</v>
      </c>
      <c r="AN1500" s="4">
        <v>0</v>
      </c>
      <c r="AO1500" s="4">
        <v>0</v>
      </c>
      <c r="AP1500" s="4">
        <v>9</v>
      </c>
      <c r="AQ1500" s="4">
        <v>10</v>
      </c>
      <c r="AR1500" s="3" t="s">
        <v>62</v>
      </c>
      <c r="AS1500" s="3" t="s">
        <v>62</v>
      </c>
      <c r="AT1500" s="3" t="s">
        <v>62</v>
      </c>
      <c r="AV1500" s="6" t="str">
        <f>HYPERLINK("http://mcgill.on.worldcat.org/oclc/39658752","Catalog Record")</f>
        <v>Catalog Record</v>
      </c>
      <c r="AW1500" s="6" t="str">
        <f>HYPERLINK("http://www.worldcat.org/oclc/39658752","WorldCat Record")</f>
        <v>WorldCat Record</v>
      </c>
      <c r="AX1500" s="3" t="s">
        <v>15137</v>
      </c>
      <c r="AY1500" s="3" t="s">
        <v>15138</v>
      </c>
      <c r="AZ1500" s="3" t="s">
        <v>15139</v>
      </c>
      <c r="BA1500" s="3" t="s">
        <v>15139</v>
      </c>
      <c r="BB1500" s="3" t="s">
        <v>15140</v>
      </c>
      <c r="BC1500" s="3" t="s">
        <v>102</v>
      </c>
      <c r="BD1500" s="3" t="s">
        <v>68</v>
      </c>
      <c r="BE1500" s="3" t="s">
        <v>15141</v>
      </c>
      <c r="BF1500" s="3" t="s">
        <v>15140</v>
      </c>
      <c r="BG1500" s="3" t="s">
        <v>15142</v>
      </c>
    </row>
    <row r="1501" spans="1:59" ht="58" x14ac:dyDescent="0.35">
      <c r="A1501" s="2" t="s">
        <v>89</v>
      </c>
      <c r="B1501" s="2" t="s">
        <v>90</v>
      </c>
      <c r="C1501" s="2" t="s">
        <v>15143</v>
      </c>
      <c r="D1501" s="2" t="s">
        <v>15144</v>
      </c>
      <c r="E1501" s="2" t="s">
        <v>15145</v>
      </c>
      <c r="G1501" s="3" t="s">
        <v>62</v>
      </c>
      <c r="I1501" s="3" t="s">
        <v>62</v>
      </c>
      <c r="J1501" s="3" t="s">
        <v>62</v>
      </c>
      <c r="K1501" s="3" t="s">
        <v>63</v>
      </c>
      <c r="L1501" s="2" t="s">
        <v>15146</v>
      </c>
      <c r="M1501" s="2" t="s">
        <v>15147</v>
      </c>
      <c r="N1501" s="3" t="s">
        <v>1195</v>
      </c>
      <c r="P1501" s="3" t="s">
        <v>64</v>
      </c>
      <c r="Q1501" s="2" t="s">
        <v>15148</v>
      </c>
      <c r="R1501" s="3" t="s">
        <v>13065</v>
      </c>
      <c r="S1501" s="4">
        <v>5</v>
      </c>
      <c r="T1501" s="4">
        <v>5</v>
      </c>
      <c r="U1501" s="5" t="s">
        <v>4501</v>
      </c>
      <c r="V1501" s="5" t="s">
        <v>4501</v>
      </c>
      <c r="W1501" s="5" t="s">
        <v>67</v>
      </c>
      <c r="X1501" s="5" t="s">
        <v>67</v>
      </c>
      <c r="Y1501" s="4">
        <v>13</v>
      </c>
      <c r="Z1501" s="4">
        <v>2</v>
      </c>
      <c r="AA1501" s="4">
        <v>8</v>
      </c>
      <c r="AB1501" s="4">
        <v>1</v>
      </c>
      <c r="AC1501" s="4">
        <v>1</v>
      </c>
      <c r="AD1501" s="4">
        <v>3</v>
      </c>
      <c r="AE1501" s="4">
        <v>39</v>
      </c>
      <c r="AF1501" s="4">
        <v>0</v>
      </c>
      <c r="AG1501" s="4">
        <v>0</v>
      </c>
      <c r="AH1501" s="4">
        <v>1</v>
      </c>
      <c r="AI1501" s="4">
        <v>37</v>
      </c>
      <c r="AJ1501" s="4">
        <v>1</v>
      </c>
      <c r="AK1501" s="4">
        <v>6</v>
      </c>
      <c r="AL1501" s="4">
        <v>2</v>
      </c>
      <c r="AM1501" s="4">
        <v>24</v>
      </c>
      <c r="AN1501" s="4">
        <v>0</v>
      </c>
      <c r="AO1501" s="4">
        <v>0</v>
      </c>
      <c r="AP1501" s="4">
        <v>1</v>
      </c>
      <c r="AQ1501" s="4">
        <v>6</v>
      </c>
      <c r="AR1501" s="3" t="s">
        <v>62</v>
      </c>
      <c r="AS1501" s="3" t="s">
        <v>62</v>
      </c>
      <c r="AT1501" s="3" t="s">
        <v>62</v>
      </c>
      <c r="AV1501" s="6" t="str">
        <f>HYPERLINK("http://mcgill.on.worldcat.org/oclc/64671017","Catalog Record")</f>
        <v>Catalog Record</v>
      </c>
      <c r="AW1501" s="6" t="str">
        <f>HYPERLINK("http://www.worldcat.org/oclc/64671017","WorldCat Record")</f>
        <v>WorldCat Record</v>
      </c>
      <c r="AX1501" s="3" t="s">
        <v>15149</v>
      </c>
      <c r="AY1501" s="3" t="s">
        <v>15150</v>
      </c>
      <c r="AZ1501" s="3" t="s">
        <v>15151</v>
      </c>
      <c r="BA1501" s="3" t="s">
        <v>15151</v>
      </c>
      <c r="BB1501" s="3" t="s">
        <v>15152</v>
      </c>
      <c r="BC1501" s="3" t="s">
        <v>102</v>
      </c>
      <c r="BD1501" s="3" t="s">
        <v>68</v>
      </c>
      <c r="BE1501" s="3" t="s">
        <v>15153</v>
      </c>
      <c r="BF1501" s="3" t="s">
        <v>15152</v>
      </c>
      <c r="BG1501" s="3" t="s">
        <v>15154</v>
      </c>
    </row>
    <row r="1502" spans="1:59" ht="58" x14ac:dyDescent="0.35">
      <c r="A1502" s="2" t="s">
        <v>89</v>
      </c>
      <c r="B1502" s="2" t="s">
        <v>90</v>
      </c>
      <c r="C1502" s="2" t="s">
        <v>15155</v>
      </c>
      <c r="D1502" s="2" t="s">
        <v>15156</v>
      </c>
      <c r="E1502" s="2" t="s">
        <v>15157</v>
      </c>
      <c r="G1502" s="3" t="s">
        <v>62</v>
      </c>
      <c r="I1502" s="3" t="s">
        <v>62</v>
      </c>
      <c r="J1502" s="3" t="s">
        <v>62</v>
      </c>
      <c r="K1502" s="3" t="s">
        <v>63</v>
      </c>
      <c r="L1502" s="2" t="s">
        <v>15158</v>
      </c>
      <c r="M1502" s="2" t="s">
        <v>15159</v>
      </c>
      <c r="N1502" s="3" t="s">
        <v>625</v>
      </c>
      <c r="P1502" s="3" t="s">
        <v>64</v>
      </c>
      <c r="Q1502" s="2" t="s">
        <v>15160</v>
      </c>
      <c r="R1502" s="3" t="s">
        <v>13065</v>
      </c>
      <c r="S1502" s="4">
        <v>6</v>
      </c>
      <c r="T1502" s="4">
        <v>6</v>
      </c>
      <c r="U1502" s="5" t="s">
        <v>15161</v>
      </c>
      <c r="V1502" s="5" t="s">
        <v>15161</v>
      </c>
      <c r="W1502" s="5" t="s">
        <v>67</v>
      </c>
      <c r="X1502" s="5" t="s">
        <v>67</v>
      </c>
      <c r="Y1502" s="4">
        <v>137</v>
      </c>
      <c r="Z1502" s="4">
        <v>11</v>
      </c>
      <c r="AA1502" s="4">
        <v>13</v>
      </c>
      <c r="AB1502" s="4">
        <v>1</v>
      </c>
      <c r="AC1502" s="4">
        <v>1</v>
      </c>
      <c r="AD1502" s="4">
        <v>62</v>
      </c>
      <c r="AE1502" s="4">
        <v>64</v>
      </c>
      <c r="AF1502" s="4">
        <v>0</v>
      </c>
      <c r="AG1502" s="4">
        <v>0</v>
      </c>
      <c r="AH1502" s="4">
        <v>58</v>
      </c>
      <c r="AI1502" s="4">
        <v>58</v>
      </c>
      <c r="AJ1502" s="4">
        <v>8</v>
      </c>
      <c r="AK1502" s="4">
        <v>9</v>
      </c>
      <c r="AL1502" s="4">
        <v>34</v>
      </c>
      <c r="AM1502" s="4">
        <v>34</v>
      </c>
      <c r="AN1502" s="4">
        <v>0</v>
      </c>
      <c r="AO1502" s="4">
        <v>0</v>
      </c>
      <c r="AP1502" s="4">
        <v>8</v>
      </c>
      <c r="AQ1502" s="4">
        <v>10</v>
      </c>
      <c r="AR1502" s="3" t="s">
        <v>62</v>
      </c>
      <c r="AS1502" s="3" t="s">
        <v>62</v>
      </c>
      <c r="AT1502" s="3" t="s">
        <v>61</v>
      </c>
      <c r="AU1502" s="6" t="str">
        <f>HYPERLINK("http://catalog.hathitrust.org/Record/004373684","HathiTrust Record")</f>
        <v>HathiTrust Record</v>
      </c>
      <c r="AV1502" s="6" t="str">
        <f>HYPERLINK("http://mcgill.on.worldcat.org/oclc/51289912","Catalog Record")</f>
        <v>Catalog Record</v>
      </c>
      <c r="AW1502" s="6" t="str">
        <f>HYPERLINK("http://www.worldcat.org/oclc/51289912","WorldCat Record")</f>
        <v>WorldCat Record</v>
      </c>
      <c r="AX1502" s="3" t="s">
        <v>15162</v>
      </c>
      <c r="AY1502" s="3" t="s">
        <v>15163</v>
      </c>
      <c r="AZ1502" s="3" t="s">
        <v>15164</v>
      </c>
      <c r="BA1502" s="3" t="s">
        <v>15164</v>
      </c>
      <c r="BB1502" s="3" t="s">
        <v>15165</v>
      </c>
      <c r="BC1502" s="3" t="s">
        <v>102</v>
      </c>
      <c r="BD1502" s="3" t="s">
        <v>68</v>
      </c>
      <c r="BE1502" s="3" t="s">
        <v>15166</v>
      </c>
      <c r="BF1502" s="3" t="s">
        <v>15165</v>
      </c>
      <c r="BG1502" s="3" t="s">
        <v>15167</v>
      </c>
    </row>
    <row r="1503" spans="1:59" ht="58" x14ac:dyDescent="0.35">
      <c r="A1503" s="2" t="s">
        <v>89</v>
      </c>
      <c r="B1503" s="2" t="s">
        <v>90</v>
      </c>
      <c r="C1503" s="2" t="s">
        <v>15168</v>
      </c>
      <c r="D1503" s="2" t="s">
        <v>15169</v>
      </c>
      <c r="E1503" s="2" t="s">
        <v>15170</v>
      </c>
      <c r="G1503" s="3" t="s">
        <v>62</v>
      </c>
      <c r="I1503" s="3" t="s">
        <v>62</v>
      </c>
      <c r="J1503" s="3" t="s">
        <v>62</v>
      </c>
      <c r="K1503" s="3" t="s">
        <v>63</v>
      </c>
      <c r="L1503" s="2" t="s">
        <v>15171</v>
      </c>
      <c r="M1503" s="2" t="s">
        <v>15172</v>
      </c>
      <c r="N1503" s="3" t="s">
        <v>553</v>
      </c>
      <c r="P1503" s="3" t="s">
        <v>64</v>
      </c>
      <c r="Q1503" s="2" t="s">
        <v>15173</v>
      </c>
      <c r="R1503" s="3" t="s">
        <v>13065</v>
      </c>
      <c r="S1503" s="4">
        <v>1</v>
      </c>
      <c r="T1503" s="4">
        <v>1</v>
      </c>
      <c r="U1503" s="5" t="s">
        <v>15174</v>
      </c>
      <c r="V1503" s="5" t="s">
        <v>15174</v>
      </c>
      <c r="W1503" s="5" t="s">
        <v>67</v>
      </c>
      <c r="X1503" s="5" t="s">
        <v>67</v>
      </c>
      <c r="Y1503" s="4">
        <v>53</v>
      </c>
      <c r="Z1503" s="4">
        <v>6</v>
      </c>
      <c r="AA1503" s="4">
        <v>16</v>
      </c>
      <c r="AB1503" s="4">
        <v>1</v>
      </c>
      <c r="AC1503" s="4">
        <v>2</v>
      </c>
      <c r="AD1503" s="4">
        <v>23</v>
      </c>
      <c r="AE1503" s="4">
        <v>89</v>
      </c>
      <c r="AF1503" s="4">
        <v>0</v>
      </c>
      <c r="AG1503" s="4">
        <v>0</v>
      </c>
      <c r="AH1503" s="4">
        <v>18</v>
      </c>
      <c r="AI1503" s="4">
        <v>79</v>
      </c>
      <c r="AJ1503" s="4">
        <v>5</v>
      </c>
      <c r="AK1503" s="4">
        <v>8</v>
      </c>
      <c r="AL1503" s="4">
        <v>13</v>
      </c>
      <c r="AM1503" s="4">
        <v>48</v>
      </c>
      <c r="AN1503" s="4">
        <v>0</v>
      </c>
      <c r="AO1503" s="4">
        <v>0</v>
      </c>
      <c r="AP1503" s="4">
        <v>5</v>
      </c>
      <c r="AQ1503" s="4">
        <v>12</v>
      </c>
      <c r="AR1503" s="3" t="s">
        <v>62</v>
      </c>
      <c r="AS1503" s="3" t="s">
        <v>62</v>
      </c>
      <c r="AT1503" s="3" t="s">
        <v>62</v>
      </c>
      <c r="AV1503" s="6" t="str">
        <f>HYPERLINK("http://mcgill.on.worldcat.org/oclc/41213080","Catalog Record")</f>
        <v>Catalog Record</v>
      </c>
      <c r="AW1503" s="6" t="str">
        <f>HYPERLINK("http://www.worldcat.org/oclc/41213080","WorldCat Record")</f>
        <v>WorldCat Record</v>
      </c>
      <c r="AX1503" s="3" t="s">
        <v>15175</v>
      </c>
      <c r="AY1503" s="3" t="s">
        <v>15176</v>
      </c>
      <c r="AZ1503" s="3" t="s">
        <v>15177</v>
      </c>
      <c r="BA1503" s="3" t="s">
        <v>15177</v>
      </c>
      <c r="BB1503" s="3" t="s">
        <v>15178</v>
      </c>
      <c r="BC1503" s="3" t="s">
        <v>102</v>
      </c>
      <c r="BD1503" s="3" t="s">
        <v>68</v>
      </c>
      <c r="BE1503" s="3" t="s">
        <v>15179</v>
      </c>
      <c r="BF1503" s="3" t="s">
        <v>15178</v>
      </c>
      <c r="BG1503" s="3" t="s">
        <v>15180</v>
      </c>
    </row>
    <row r="1504" spans="1:59" ht="72.5" x14ac:dyDescent="0.35">
      <c r="A1504" s="2" t="s">
        <v>89</v>
      </c>
      <c r="B1504" s="2" t="s">
        <v>90</v>
      </c>
      <c r="C1504" s="2" t="s">
        <v>15181</v>
      </c>
      <c r="D1504" s="2" t="s">
        <v>15182</v>
      </c>
      <c r="E1504" s="2" t="s">
        <v>15183</v>
      </c>
      <c r="G1504" s="3" t="s">
        <v>62</v>
      </c>
      <c r="I1504" s="3" t="s">
        <v>62</v>
      </c>
      <c r="J1504" s="3" t="s">
        <v>62</v>
      </c>
      <c r="K1504" s="3" t="s">
        <v>63</v>
      </c>
      <c r="L1504" s="2" t="s">
        <v>15184</v>
      </c>
      <c r="M1504" s="2" t="s">
        <v>15185</v>
      </c>
      <c r="N1504" s="3" t="s">
        <v>15186</v>
      </c>
      <c r="P1504" s="3" t="s">
        <v>1881</v>
      </c>
      <c r="R1504" s="3" t="s">
        <v>13065</v>
      </c>
      <c r="S1504" s="4">
        <v>9</v>
      </c>
      <c r="T1504" s="4">
        <v>9</v>
      </c>
      <c r="U1504" s="5" t="s">
        <v>15187</v>
      </c>
      <c r="V1504" s="5" t="s">
        <v>15187</v>
      </c>
      <c r="W1504" s="5" t="s">
        <v>67</v>
      </c>
      <c r="X1504" s="5" t="s">
        <v>67</v>
      </c>
      <c r="Y1504" s="4">
        <v>1</v>
      </c>
      <c r="Z1504" s="4">
        <v>1</v>
      </c>
      <c r="AA1504" s="4">
        <v>2</v>
      </c>
      <c r="AB1504" s="4">
        <v>1</v>
      </c>
      <c r="AC1504" s="4">
        <v>1</v>
      </c>
      <c r="AD1504" s="4">
        <v>0</v>
      </c>
      <c r="AE1504" s="4">
        <v>15</v>
      </c>
      <c r="AF1504" s="4">
        <v>0</v>
      </c>
      <c r="AG1504" s="4">
        <v>0</v>
      </c>
      <c r="AH1504" s="4">
        <v>0</v>
      </c>
      <c r="AI1504" s="4">
        <v>15</v>
      </c>
      <c r="AJ1504" s="4">
        <v>0</v>
      </c>
      <c r="AK1504" s="4">
        <v>1</v>
      </c>
      <c r="AL1504" s="4">
        <v>0</v>
      </c>
      <c r="AM1504" s="4">
        <v>10</v>
      </c>
      <c r="AN1504" s="4">
        <v>0</v>
      </c>
      <c r="AO1504" s="4">
        <v>0</v>
      </c>
      <c r="AP1504" s="4">
        <v>0</v>
      </c>
      <c r="AQ1504" s="4">
        <v>1</v>
      </c>
      <c r="AR1504" s="3" t="s">
        <v>62</v>
      </c>
      <c r="AS1504" s="3" t="s">
        <v>62</v>
      </c>
      <c r="AT1504" s="3" t="s">
        <v>62</v>
      </c>
      <c r="AV1504" s="6" t="str">
        <f>HYPERLINK("http://mcgill.on.worldcat.org/oclc/427499313","Catalog Record")</f>
        <v>Catalog Record</v>
      </c>
      <c r="AW1504" s="6" t="str">
        <f>HYPERLINK("http://www.worldcat.org/oclc/427499313","WorldCat Record")</f>
        <v>WorldCat Record</v>
      </c>
      <c r="AX1504" s="3" t="s">
        <v>15188</v>
      </c>
      <c r="AY1504" s="3" t="s">
        <v>15189</v>
      </c>
      <c r="AZ1504" s="3" t="s">
        <v>15190</v>
      </c>
      <c r="BA1504" s="3" t="s">
        <v>15190</v>
      </c>
      <c r="BB1504" s="3" t="s">
        <v>15191</v>
      </c>
      <c r="BC1504" s="3" t="s">
        <v>102</v>
      </c>
      <c r="BD1504" s="3" t="s">
        <v>231</v>
      </c>
      <c r="BF1504" s="3" t="s">
        <v>15191</v>
      </c>
      <c r="BG1504" s="3" t="s">
        <v>15192</v>
      </c>
    </row>
    <row r="1505" spans="1:59" ht="58" x14ac:dyDescent="0.35">
      <c r="A1505" s="2" t="s">
        <v>89</v>
      </c>
      <c r="B1505" s="2" t="s">
        <v>90</v>
      </c>
      <c r="C1505" s="2" t="s">
        <v>15193</v>
      </c>
      <c r="D1505" s="2" t="s">
        <v>15194</v>
      </c>
      <c r="E1505" s="2" t="s">
        <v>15195</v>
      </c>
      <c r="G1505" s="3" t="s">
        <v>62</v>
      </c>
      <c r="I1505" s="3" t="s">
        <v>62</v>
      </c>
      <c r="J1505" s="3" t="s">
        <v>62</v>
      </c>
      <c r="K1505" s="3" t="s">
        <v>63</v>
      </c>
      <c r="L1505" s="2" t="s">
        <v>15196</v>
      </c>
      <c r="M1505" s="2" t="s">
        <v>15197</v>
      </c>
      <c r="N1505" s="3" t="s">
        <v>698</v>
      </c>
      <c r="P1505" s="3" t="s">
        <v>64</v>
      </c>
      <c r="R1505" s="3" t="s">
        <v>13065</v>
      </c>
      <c r="S1505" s="4">
        <v>2</v>
      </c>
      <c r="T1505" s="4">
        <v>2</v>
      </c>
      <c r="U1505" s="5" t="s">
        <v>15198</v>
      </c>
      <c r="V1505" s="5" t="s">
        <v>15198</v>
      </c>
      <c r="W1505" s="5" t="s">
        <v>67</v>
      </c>
      <c r="X1505" s="5" t="s">
        <v>67</v>
      </c>
      <c r="Y1505" s="4">
        <v>56</v>
      </c>
      <c r="Z1505" s="4">
        <v>11</v>
      </c>
      <c r="AA1505" s="4">
        <v>76</v>
      </c>
      <c r="AB1505" s="4">
        <v>1</v>
      </c>
      <c r="AC1505" s="4">
        <v>14</v>
      </c>
      <c r="AD1505" s="4">
        <v>28</v>
      </c>
      <c r="AE1505" s="4">
        <v>92</v>
      </c>
      <c r="AF1505" s="4">
        <v>0</v>
      </c>
      <c r="AG1505" s="4">
        <v>8</v>
      </c>
      <c r="AH1505" s="4">
        <v>25</v>
      </c>
      <c r="AI1505" s="4">
        <v>60</v>
      </c>
      <c r="AJ1505" s="4">
        <v>9</v>
      </c>
      <c r="AK1505" s="4">
        <v>20</v>
      </c>
      <c r="AL1505" s="4">
        <v>15</v>
      </c>
      <c r="AM1505" s="4">
        <v>31</v>
      </c>
      <c r="AN1505" s="4">
        <v>0</v>
      </c>
      <c r="AO1505" s="4">
        <v>0</v>
      </c>
      <c r="AP1505" s="4">
        <v>9</v>
      </c>
      <c r="AQ1505" s="4">
        <v>40</v>
      </c>
      <c r="AR1505" s="3" t="s">
        <v>62</v>
      </c>
      <c r="AS1505" s="3" t="s">
        <v>62</v>
      </c>
      <c r="AT1505" s="3" t="s">
        <v>62</v>
      </c>
      <c r="AV1505" s="6" t="str">
        <f>HYPERLINK("http://mcgill.on.worldcat.org/oclc/774639665","Catalog Record")</f>
        <v>Catalog Record</v>
      </c>
      <c r="AW1505" s="6" t="str">
        <f>HYPERLINK("http://www.worldcat.org/oclc/774639665","WorldCat Record")</f>
        <v>WorldCat Record</v>
      </c>
      <c r="AX1505" s="3" t="s">
        <v>15199</v>
      </c>
      <c r="AY1505" s="3" t="s">
        <v>15200</v>
      </c>
      <c r="AZ1505" s="3" t="s">
        <v>15201</v>
      </c>
      <c r="BA1505" s="3" t="s">
        <v>15201</v>
      </c>
      <c r="BB1505" s="3" t="s">
        <v>15202</v>
      </c>
      <c r="BC1505" s="3" t="s">
        <v>102</v>
      </c>
      <c r="BD1505" s="3" t="s">
        <v>68</v>
      </c>
      <c r="BE1505" s="3" t="s">
        <v>15203</v>
      </c>
      <c r="BF1505" s="3" t="s">
        <v>15202</v>
      </c>
      <c r="BG1505" s="3" t="s">
        <v>15204</v>
      </c>
    </row>
    <row r="1506" spans="1:59" ht="116" x14ac:dyDescent="0.35">
      <c r="A1506" s="2" t="s">
        <v>89</v>
      </c>
      <c r="B1506" s="2" t="s">
        <v>3312</v>
      </c>
      <c r="C1506" s="2" t="s">
        <v>15205</v>
      </c>
      <c r="D1506" s="2" t="s">
        <v>15206</v>
      </c>
      <c r="E1506" s="2" t="s">
        <v>15207</v>
      </c>
      <c r="F1506" s="3" t="s">
        <v>2217</v>
      </c>
      <c r="G1506" s="3" t="s">
        <v>61</v>
      </c>
      <c r="I1506" s="3" t="s">
        <v>62</v>
      </c>
      <c r="J1506" s="3" t="s">
        <v>62</v>
      </c>
      <c r="K1506" s="3" t="s">
        <v>63</v>
      </c>
      <c r="M1506" s="2" t="s">
        <v>15208</v>
      </c>
      <c r="N1506" s="3" t="s">
        <v>1077</v>
      </c>
      <c r="O1506" s="2" t="s">
        <v>1674</v>
      </c>
      <c r="P1506" s="3" t="s">
        <v>1675</v>
      </c>
      <c r="R1506" s="3" t="s">
        <v>13065</v>
      </c>
      <c r="S1506" s="4">
        <v>0</v>
      </c>
      <c r="T1506" s="4">
        <v>3</v>
      </c>
      <c r="V1506" s="5" t="s">
        <v>15209</v>
      </c>
      <c r="W1506" s="5" t="s">
        <v>67</v>
      </c>
      <c r="X1506" s="5" t="s">
        <v>67</v>
      </c>
      <c r="Y1506" s="4">
        <v>19</v>
      </c>
      <c r="Z1506" s="4">
        <v>4</v>
      </c>
      <c r="AA1506" s="4">
        <v>4</v>
      </c>
      <c r="AB1506" s="4">
        <v>1</v>
      </c>
      <c r="AC1506" s="4">
        <v>1</v>
      </c>
      <c r="AD1506" s="4">
        <v>12</v>
      </c>
      <c r="AE1506" s="4">
        <v>14</v>
      </c>
      <c r="AF1506" s="4">
        <v>0</v>
      </c>
      <c r="AG1506" s="4">
        <v>0</v>
      </c>
      <c r="AH1506" s="4">
        <v>11</v>
      </c>
      <c r="AI1506" s="4">
        <v>13</v>
      </c>
      <c r="AJ1506" s="4">
        <v>1</v>
      </c>
      <c r="AK1506" s="4">
        <v>1</v>
      </c>
      <c r="AL1506" s="4">
        <v>11</v>
      </c>
      <c r="AM1506" s="4">
        <v>12</v>
      </c>
      <c r="AN1506" s="4">
        <v>0</v>
      </c>
      <c r="AO1506" s="4">
        <v>0</v>
      </c>
      <c r="AP1506" s="4">
        <v>1</v>
      </c>
      <c r="AQ1506" s="4">
        <v>1</v>
      </c>
      <c r="AR1506" s="3" t="s">
        <v>62</v>
      </c>
      <c r="AS1506" s="3" t="s">
        <v>62</v>
      </c>
      <c r="AT1506" s="3" t="s">
        <v>61</v>
      </c>
      <c r="AU1506" s="6" t="str">
        <f>HYPERLINK("http://catalog.hathitrust.org/Record/005601048","HathiTrust Record")</f>
        <v>HathiTrust Record</v>
      </c>
      <c r="AV1506" s="6" t="str">
        <f>HYPERLINK("http://mcgill.on.worldcat.org/oclc/41119404","Catalog Record")</f>
        <v>Catalog Record</v>
      </c>
      <c r="AW1506" s="6" t="str">
        <f>HYPERLINK("http://www.worldcat.org/oclc/41119404","WorldCat Record")</f>
        <v>WorldCat Record</v>
      </c>
      <c r="AX1506" s="3" t="s">
        <v>15210</v>
      </c>
      <c r="AY1506" s="3" t="s">
        <v>15211</v>
      </c>
      <c r="AZ1506" s="3" t="s">
        <v>15212</v>
      </c>
      <c r="BA1506" s="3" t="s">
        <v>15212</v>
      </c>
      <c r="BB1506" s="3" t="s">
        <v>15213</v>
      </c>
      <c r="BC1506" s="3" t="s">
        <v>102</v>
      </c>
      <c r="BD1506" s="3" t="s">
        <v>68</v>
      </c>
      <c r="BE1506" s="3" t="s">
        <v>15214</v>
      </c>
      <c r="BF1506" s="3" t="s">
        <v>15213</v>
      </c>
      <c r="BG1506" s="3" t="s">
        <v>15215</v>
      </c>
    </row>
    <row r="1507" spans="1:59" ht="116" x14ac:dyDescent="0.35">
      <c r="A1507" s="2" t="s">
        <v>89</v>
      </c>
      <c r="B1507" s="2" t="s">
        <v>3312</v>
      </c>
      <c r="C1507" s="2" t="s">
        <v>15205</v>
      </c>
      <c r="D1507" s="2" t="s">
        <v>15206</v>
      </c>
      <c r="E1507" s="2" t="s">
        <v>15207</v>
      </c>
      <c r="F1507" s="3" t="s">
        <v>2233</v>
      </c>
      <c r="G1507" s="3" t="s">
        <v>61</v>
      </c>
      <c r="I1507" s="3" t="s">
        <v>62</v>
      </c>
      <c r="J1507" s="3" t="s">
        <v>62</v>
      </c>
      <c r="K1507" s="3" t="s">
        <v>63</v>
      </c>
      <c r="M1507" s="2" t="s">
        <v>15208</v>
      </c>
      <c r="N1507" s="3" t="s">
        <v>1077</v>
      </c>
      <c r="O1507" s="2" t="s">
        <v>1674</v>
      </c>
      <c r="P1507" s="3" t="s">
        <v>1675</v>
      </c>
      <c r="R1507" s="3" t="s">
        <v>13065</v>
      </c>
      <c r="S1507" s="4">
        <v>0</v>
      </c>
      <c r="T1507" s="4">
        <v>3</v>
      </c>
      <c r="V1507" s="5" t="s">
        <v>15209</v>
      </c>
      <c r="W1507" s="5" t="s">
        <v>67</v>
      </c>
      <c r="X1507" s="5" t="s">
        <v>67</v>
      </c>
      <c r="Y1507" s="4">
        <v>19</v>
      </c>
      <c r="Z1507" s="4">
        <v>4</v>
      </c>
      <c r="AA1507" s="4">
        <v>4</v>
      </c>
      <c r="AB1507" s="4">
        <v>1</v>
      </c>
      <c r="AC1507" s="4">
        <v>1</v>
      </c>
      <c r="AD1507" s="4">
        <v>12</v>
      </c>
      <c r="AE1507" s="4">
        <v>14</v>
      </c>
      <c r="AF1507" s="4">
        <v>0</v>
      </c>
      <c r="AG1507" s="4">
        <v>0</v>
      </c>
      <c r="AH1507" s="4">
        <v>11</v>
      </c>
      <c r="AI1507" s="4">
        <v>13</v>
      </c>
      <c r="AJ1507" s="4">
        <v>1</v>
      </c>
      <c r="AK1507" s="4">
        <v>1</v>
      </c>
      <c r="AL1507" s="4">
        <v>11</v>
      </c>
      <c r="AM1507" s="4">
        <v>12</v>
      </c>
      <c r="AN1507" s="4">
        <v>0</v>
      </c>
      <c r="AO1507" s="4">
        <v>0</v>
      </c>
      <c r="AP1507" s="4">
        <v>1</v>
      </c>
      <c r="AQ1507" s="4">
        <v>1</v>
      </c>
      <c r="AR1507" s="3" t="s">
        <v>62</v>
      </c>
      <c r="AS1507" s="3" t="s">
        <v>62</v>
      </c>
      <c r="AT1507" s="3" t="s">
        <v>61</v>
      </c>
      <c r="AU1507" s="6" t="str">
        <f>HYPERLINK("http://catalog.hathitrust.org/Record/005601048","HathiTrust Record")</f>
        <v>HathiTrust Record</v>
      </c>
      <c r="AV1507" s="6" t="str">
        <f>HYPERLINK("http://mcgill.on.worldcat.org/oclc/41119404","Catalog Record")</f>
        <v>Catalog Record</v>
      </c>
      <c r="AW1507" s="6" t="str">
        <f>HYPERLINK("http://www.worldcat.org/oclc/41119404","WorldCat Record")</f>
        <v>WorldCat Record</v>
      </c>
      <c r="AX1507" s="3" t="s">
        <v>15210</v>
      </c>
      <c r="AY1507" s="3" t="s">
        <v>15211</v>
      </c>
      <c r="AZ1507" s="3" t="s">
        <v>15212</v>
      </c>
      <c r="BA1507" s="3" t="s">
        <v>15212</v>
      </c>
      <c r="BB1507" s="3" t="s">
        <v>15216</v>
      </c>
      <c r="BC1507" s="3" t="s">
        <v>102</v>
      </c>
      <c r="BD1507" s="3" t="s">
        <v>68</v>
      </c>
      <c r="BE1507" s="3" t="s">
        <v>15214</v>
      </c>
      <c r="BF1507" s="3" t="s">
        <v>15216</v>
      </c>
      <c r="BG1507" s="3" t="s">
        <v>15217</v>
      </c>
    </row>
    <row r="1508" spans="1:59" ht="116" x14ac:dyDescent="0.35">
      <c r="A1508" s="2" t="s">
        <v>89</v>
      </c>
      <c r="B1508" s="2" t="s">
        <v>3312</v>
      </c>
      <c r="C1508" s="2" t="s">
        <v>15205</v>
      </c>
      <c r="D1508" s="2" t="s">
        <v>15206</v>
      </c>
      <c r="E1508" s="2" t="s">
        <v>15207</v>
      </c>
      <c r="F1508" s="3" t="s">
        <v>2223</v>
      </c>
      <c r="G1508" s="3" t="s">
        <v>61</v>
      </c>
      <c r="I1508" s="3" t="s">
        <v>62</v>
      </c>
      <c r="J1508" s="3" t="s">
        <v>62</v>
      </c>
      <c r="K1508" s="3" t="s">
        <v>63</v>
      </c>
      <c r="M1508" s="2" t="s">
        <v>15208</v>
      </c>
      <c r="N1508" s="3" t="s">
        <v>1077</v>
      </c>
      <c r="O1508" s="2" t="s">
        <v>1674</v>
      </c>
      <c r="P1508" s="3" t="s">
        <v>1675</v>
      </c>
      <c r="R1508" s="3" t="s">
        <v>13065</v>
      </c>
      <c r="S1508" s="4">
        <v>0</v>
      </c>
      <c r="T1508" s="4">
        <v>3</v>
      </c>
      <c r="V1508" s="5" t="s">
        <v>15209</v>
      </c>
      <c r="W1508" s="5" t="s">
        <v>67</v>
      </c>
      <c r="X1508" s="5" t="s">
        <v>67</v>
      </c>
      <c r="Y1508" s="4">
        <v>19</v>
      </c>
      <c r="Z1508" s="4">
        <v>4</v>
      </c>
      <c r="AA1508" s="4">
        <v>4</v>
      </c>
      <c r="AB1508" s="4">
        <v>1</v>
      </c>
      <c r="AC1508" s="4">
        <v>1</v>
      </c>
      <c r="AD1508" s="4">
        <v>12</v>
      </c>
      <c r="AE1508" s="4">
        <v>14</v>
      </c>
      <c r="AF1508" s="4">
        <v>0</v>
      </c>
      <c r="AG1508" s="4">
        <v>0</v>
      </c>
      <c r="AH1508" s="4">
        <v>11</v>
      </c>
      <c r="AI1508" s="4">
        <v>13</v>
      </c>
      <c r="AJ1508" s="4">
        <v>1</v>
      </c>
      <c r="AK1508" s="4">
        <v>1</v>
      </c>
      <c r="AL1508" s="4">
        <v>11</v>
      </c>
      <c r="AM1508" s="4">
        <v>12</v>
      </c>
      <c r="AN1508" s="4">
        <v>0</v>
      </c>
      <c r="AO1508" s="4">
        <v>0</v>
      </c>
      <c r="AP1508" s="4">
        <v>1</v>
      </c>
      <c r="AQ1508" s="4">
        <v>1</v>
      </c>
      <c r="AR1508" s="3" t="s">
        <v>62</v>
      </c>
      <c r="AS1508" s="3" t="s">
        <v>62</v>
      </c>
      <c r="AT1508" s="3" t="s">
        <v>61</v>
      </c>
      <c r="AU1508" s="6" t="str">
        <f>HYPERLINK("http://catalog.hathitrust.org/Record/005601048","HathiTrust Record")</f>
        <v>HathiTrust Record</v>
      </c>
      <c r="AV1508" s="6" t="str">
        <f>HYPERLINK("http://mcgill.on.worldcat.org/oclc/41119404","Catalog Record")</f>
        <v>Catalog Record</v>
      </c>
      <c r="AW1508" s="6" t="str">
        <f>HYPERLINK("http://www.worldcat.org/oclc/41119404","WorldCat Record")</f>
        <v>WorldCat Record</v>
      </c>
      <c r="AX1508" s="3" t="s">
        <v>15210</v>
      </c>
      <c r="AY1508" s="3" t="s">
        <v>15211</v>
      </c>
      <c r="AZ1508" s="3" t="s">
        <v>15212</v>
      </c>
      <c r="BA1508" s="3" t="s">
        <v>15212</v>
      </c>
      <c r="BB1508" s="3" t="s">
        <v>15218</v>
      </c>
      <c r="BC1508" s="3" t="s">
        <v>102</v>
      </c>
      <c r="BD1508" s="3" t="s">
        <v>68</v>
      </c>
      <c r="BE1508" s="3" t="s">
        <v>15214</v>
      </c>
      <c r="BF1508" s="3" t="s">
        <v>15218</v>
      </c>
      <c r="BG1508" s="3" t="s">
        <v>15219</v>
      </c>
    </row>
    <row r="1509" spans="1:59" ht="116" x14ac:dyDescent="0.35">
      <c r="A1509" s="2" t="s">
        <v>89</v>
      </c>
      <c r="B1509" s="2" t="s">
        <v>3312</v>
      </c>
      <c r="C1509" s="2" t="s">
        <v>15205</v>
      </c>
      <c r="D1509" s="2" t="s">
        <v>15206</v>
      </c>
      <c r="E1509" s="2" t="s">
        <v>15207</v>
      </c>
      <c r="F1509" s="3" t="s">
        <v>2248</v>
      </c>
      <c r="G1509" s="3" t="s">
        <v>61</v>
      </c>
      <c r="I1509" s="3" t="s">
        <v>62</v>
      </c>
      <c r="J1509" s="3" t="s">
        <v>62</v>
      </c>
      <c r="K1509" s="3" t="s">
        <v>63</v>
      </c>
      <c r="M1509" s="2" t="s">
        <v>15208</v>
      </c>
      <c r="N1509" s="3" t="s">
        <v>1077</v>
      </c>
      <c r="O1509" s="2" t="s">
        <v>1674</v>
      </c>
      <c r="P1509" s="3" t="s">
        <v>1675</v>
      </c>
      <c r="R1509" s="3" t="s">
        <v>13065</v>
      </c>
      <c r="S1509" s="4">
        <v>0</v>
      </c>
      <c r="T1509" s="4">
        <v>3</v>
      </c>
      <c r="V1509" s="5" t="s">
        <v>15209</v>
      </c>
      <c r="W1509" s="5" t="s">
        <v>67</v>
      </c>
      <c r="X1509" s="5" t="s">
        <v>67</v>
      </c>
      <c r="Y1509" s="4">
        <v>19</v>
      </c>
      <c r="Z1509" s="4">
        <v>4</v>
      </c>
      <c r="AA1509" s="4">
        <v>4</v>
      </c>
      <c r="AB1509" s="4">
        <v>1</v>
      </c>
      <c r="AC1509" s="4">
        <v>1</v>
      </c>
      <c r="AD1509" s="4">
        <v>12</v>
      </c>
      <c r="AE1509" s="4">
        <v>14</v>
      </c>
      <c r="AF1509" s="4">
        <v>0</v>
      </c>
      <c r="AG1509" s="4">
        <v>0</v>
      </c>
      <c r="AH1509" s="4">
        <v>11</v>
      </c>
      <c r="AI1509" s="4">
        <v>13</v>
      </c>
      <c r="AJ1509" s="4">
        <v>1</v>
      </c>
      <c r="AK1509" s="4">
        <v>1</v>
      </c>
      <c r="AL1509" s="4">
        <v>11</v>
      </c>
      <c r="AM1509" s="4">
        <v>12</v>
      </c>
      <c r="AN1509" s="4">
        <v>0</v>
      </c>
      <c r="AO1509" s="4">
        <v>0</v>
      </c>
      <c r="AP1509" s="4">
        <v>1</v>
      </c>
      <c r="AQ1509" s="4">
        <v>1</v>
      </c>
      <c r="AR1509" s="3" t="s">
        <v>62</v>
      </c>
      <c r="AS1509" s="3" t="s">
        <v>62</v>
      </c>
      <c r="AT1509" s="3" t="s">
        <v>61</v>
      </c>
      <c r="AU1509" s="6" t="str">
        <f>HYPERLINK("http://catalog.hathitrust.org/Record/005601048","HathiTrust Record")</f>
        <v>HathiTrust Record</v>
      </c>
      <c r="AV1509" s="6" t="str">
        <f>HYPERLINK("http://mcgill.on.worldcat.org/oclc/41119404","Catalog Record")</f>
        <v>Catalog Record</v>
      </c>
      <c r="AW1509" s="6" t="str">
        <f>HYPERLINK("http://www.worldcat.org/oclc/41119404","WorldCat Record")</f>
        <v>WorldCat Record</v>
      </c>
      <c r="AX1509" s="3" t="s">
        <v>15210</v>
      </c>
      <c r="AY1509" s="3" t="s">
        <v>15211</v>
      </c>
      <c r="AZ1509" s="3" t="s">
        <v>15212</v>
      </c>
      <c r="BA1509" s="3" t="s">
        <v>15212</v>
      </c>
      <c r="BB1509" s="3" t="s">
        <v>15220</v>
      </c>
      <c r="BC1509" s="3" t="s">
        <v>102</v>
      </c>
      <c r="BD1509" s="3" t="s">
        <v>68</v>
      </c>
      <c r="BE1509" s="3" t="s">
        <v>15214</v>
      </c>
      <c r="BF1509" s="3" t="s">
        <v>15220</v>
      </c>
      <c r="BG1509" s="3" t="s">
        <v>15221</v>
      </c>
    </row>
    <row r="1510" spans="1:59" ht="116" x14ac:dyDescent="0.35">
      <c r="A1510" s="2" t="s">
        <v>89</v>
      </c>
      <c r="B1510" s="2" t="s">
        <v>3312</v>
      </c>
      <c r="C1510" s="2" t="s">
        <v>15205</v>
      </c>
      <c r="D1510" s="2" t="s">
        <v>15206</v>
      </c>
      <c r="E1510" s="2" t="s">
        <v>15207</v>
      </c>
      <c r="F1510" s="3" t="s">
        <v>2214</v>
      </c>
      <c r="G1510" s="3" t="s">
        <v>61</v>
      </c>
      <c r="I1510" s="3" t="s">
        <v>62</v>
      </c>
      <c r="J1510" s="3" t="s">
        <v>62</v>
      </c>
      <c r="K1510" s="3" t="s">
        <v>63</v>
      </c>
      <c r="M1510" s="2" t="s">
        <v>15208</v>
      </c>
      <c r="N1510" s="3" t="s">
        <v>1077</v>
      </c>
      <c r="O1510" s="2" t="s">
        <v>1674</v>
      </c>
      <c r="P1510" s="3" t="s">
        <v>1675</v>
      </c>
      <c r="R1510" s="3" t="s">
        <v>13065</v>
      </c>
      <c r="S1510" s="4">
        <v>3</v>
      </c>
      <c r="T1510" s="4">
        <v>3</v>
      </c>
      <c r="U1510" s="5" t="s">
        <v>15209</v>
      </c>
      <c r="V1510" s="5" t="s">
        <v>15209</v>
      </c>
      <c r="W1510" s="5" t="s">
        <v>67</v>
      </c>
      <c r="X1510" s="5" t="s">
        <v>67</v>
      </c>
      <c r="Y1510" s="4">
        <v>19</v>
      </c>
      <c r="Z1510" s="4">
        <v>4</v>
      </c>
      <c r="AA1510" s="4">
        <v>4</v>
      </c>
      <c r="AB1510" s="4">
        <v>1</v>
      </c>
      <c r="AC1510" s="4">
        <v>1</v>
      </c>
      <c r="AD1510" s="4">
        <v>12</v>
      </c>
      <c r="AE1510" s="4">
        <v>14</v>
      </c>
      <c r="AF1510" s="4">
        <v>0</v>
      </c>
      <c r="AG1510" s="4">
        <v>0</v>
      </c>
      <c r="AH1510" s="4">
        <v>11</v>
      </c>
      <c r="AI1510" s="4">
        <v>13</v>
      </c>
      <c r="AJ1510" s="4">
        <v>1</v>
      </c>
      <c r="AK1510" s="4">
        <v>1</v>
      </c>
      <c r="AL1510" s="4">
        <v>11</v>
      </c>
      <c r="AM1510" s="4">
        <v>12</v>
      </c>
      <c r="AN1510" s="4">
        <v>0</v>
      </c>
      <c r="AO1510" s="4">
        <v>0</v>
      </c>
      <c r="AP1510" s="4">
        <v>1</v>
      </c>
      <c r="AQ1510" s="4">
        <v>1</v>
      </c>
      <c r="AR1510" s="3" t="s">
        <v>62</v>
      </c>
      <c r="AS1510" s="3" t="s">
        <v>62</v>
      </c>
      <c r="AT1510" s="3" t="s">
        <v>61</v>
      </c>
      <c r="AU1510" s="6" t="str">
        <f>HYPERLINK("http://catalog.hathitrust.org/Record/005601048","HathiTrust Record")</f>
        <v>HathiTrust Record</v>
      </c>
      <c r="AV1510" s="6" t="str">
        <f>HYPERLINK("http://mcgill.on.worldcat.org/oclc/41119404","Catalog Record")</f>
        <v>Catalog Record</v>
      </c>
      <c r="AW1510" s="6" t="str">
        <f>HYPERLINK("http://www.worldcat.org/oclc/41119404","WorldCat Record")</f>
        <v>WorldCat Record</v>
      </c>
      <c r="AX1510" s="3" t="s">
        <v>15210</v>
      </c>
      <c r="AY1510" s="3" t="s">
        <v>15211</v>
      </c>
      <c r="AZ1510" s="3" t="s">
        <v>15212</v>
      </c>
      <c r="BA1510" s="3" t="s">
        <v>15212</v>
      </c>
      <c r="BB1510" s="3" t="s">
        <v>15222</v>
      </c>
      <c r="BC1510" s="3" t="s">
        <v>102</v>
      </c>
      <c r="BD1510" s="3" t="s">
        <v>68</v>
      </c>
      <c r="BE1510" s="3" t="s">
        <v>15214</v>
      </c>
      <c r="BF1510" s="3" t="s">
        <v>15222</v>
      </c>
      <c r="BG1510" s="3" t="s">
        <v>15223</v>
      </c>
    </row>
    <row r="1511" spans="1:59" ht="58" x14ac:dyDescent="0.35">
      <c r="A1511" s="2" t="s">
        <v>89</v>
      </c>
      <c r="B1511" s="2" t="s">
        <v>90</v>
      </c>
      <c r="C1511" s="2" t="s">
        <v>15224</v>
      </c>
      <c r="D1511" s="2" t="s">
        <v>15225</v>
      </c>
      <c r="E1511" s="2" t="s">
        <v>15226</v>
      </c>
      <c r="G1511" s="3" t="s">
        <v>62</v>
      </c>
      <c r="I1511" s="3" t="s">
        <v>62</v>
      </c>
      <c r="J1511" s="3" t="s">
        <v>62</v>
      </c>
      <c r="K1511" s="3" t="s">
        <v>63</v>
      </c>
      <c r="L1511" s="2" t="s">
        <v>15227</v>
      </c>
      <c r="M1511" s="2" t="s">
        <v>15228</v>
      </c>
      <c r="N1511" s="3" t="s">
        <v>795</v>
      </c>
      <c r="P1511" s="3" t="s">
        <v>64</v>
      </c>
      <c r="R1511" s="3" t="s">
        <v>13065</v>
      </c>
      <c r="S1511" s="4">
        <v>7</v>
      </c>
      <c r="T1511" s="4">
        <v>7</v>
      </c>
      <c r="U1511" s="5" t="s">
        <v>15229</v>
      </c>
      <c r="V1511" s="5" t="s">
        <v>15229</v>
      </c>
      <c r="W1511" s="5" t="s">
        <v>67</v>
      </c>
      <c r="X1511" s="5" t="s">
        <v>67</v>
      </c>
      <c r="Y1511" s="4">
        <v>348</v>
      </c>
      <c r="Z1511" s="4">
        <v>13</v>
      </c>
      <c r="AA1511" s="4">
        <v>25</v>
      </c>
      <c r="AB1511" s="4">
        <v>1</v>
      </c>
      <c r="AC1511" s="4">
        <v>4</v>
      </c>
      <c r="AD1511" s="4">
        <v>95</v>
      </c>
      <c r="AE1511" s="4">
        <v>111</v>
      </c>
      <c r="AF1511" s="4">
        <v>0</v>
      </c>
      <c r="AG1511" s="4">
        <v>2</v>
      </c>
      <c r="AH1511" s="4">
        <v>86</v>
      </c>
      <c r="AI1511" s="4">
        <v>99</v>
      </c>
      <c r="AJ1511" s="4">
        <v>8</v>
      </c>
      <c r="AK1511" s="4">
        <v>15</v>
      </c>
      <c r="AL1511" s="4">
        <v>50</v>
      </c>
      <c r="AM1511" s="4">
        <v>54</v>
      </c>
      <c r="AN1511" s="4">
        <v>0</v>
      </c>
      <c r="AO1511" s="4">
        <v>2</v>
      </c>
      <c r="AP1511" s="4">
        <v>12</v>
      </c>
      <c r="AQ1511" s="4">
        <v>20</v>
      </c>
      <c r="AR1511" s="3" t="s">
        <v>62</v>
      </c>
      <c r="AS1511" s="3" t="s">
        <v>62</v>
      </c>
      <c r="AT1511" s="3" t="s">
        <v>61</v>
      </c>
      <c r="AU1511" s="6" t="str">
        <f>HYPERLINK("http://catalog.hathitrust.org/Record/000165921","HathiTrust Record")</f>
        <v>HathiTrust Record</v>
      </c>
      <c r="AV1511" s="6" t="str">
        <f>HYPERLINK("http://mcgill.on.worldcat.org/oclc/1394346","Catalog Record")</f>
        <v>Catalog Record</v>
      </c>
      <c r="AW1511" s="6" t="str">
        <f>HYPERLINK("http://www.worldcat.org/oclc/1394346","WorldCat Record")</f>
        <v>WorldCat Record</v>
      </c>
      <c r="AX1511" s="3" t="s">
        <v>15230</v>
      </c>
      <c r="AY1511" s="3" t="s">
        <v>15231</v>
      </c>
      <c r="AZ1511" s="3" t="s">
        <v>15232</v>
      </c>
      <c r="BA1511" s="3" t="s">
        <v>15232</v>
      </c>
      <c r="BB1511" s="3" t="s">
        <v>15233</v>
      </c>
      <c r="BC1511" s="3" t="s">
        <v>102</v>
      </c>
      <c r="BD1511" s="3" t="s">
        <v>68</v>
      </c>
      <c r="BF1511" s="3" t="s">
        <v>15233</v>
      </c>
      <c r="BG1511" s="3" t="s">
        <v>15234</v>
      </c>
    </row>
    <row r="1512" spans="1:59" ht="58" x14ac:dyDescent="0.35">
      <c r="A1512" s="2" t="s">
        <v>89</v>
      </c>
      <c r="B1512" s="2" t="s">
        <v>90</v>
      </c>
      <c r="C1512" s="2" t="s">
        <v>15235</v>
      </c>
      <c r="D1512" s="2" t="s">
        <v>15236</v>
      </c>
      <c r="E1512" s="2" t="s">
        <v>15237</v>
      </c>
      <c r="G1512" s="3" t="s">
        <v>62</v>
      </c>
      <c r="I1512" s="3" t="s">
        <v>62</v>
      </c>
      <c r="J1512" s="3" t="s">
        <v>62</v>
      </c>
      <c r="K1512" s="3" t="s">
        <v>63</v>
      </c>
      <c r="L1512" s="2" t="s">
        <v>15238</v>
      </c>
      <c r="M1512" s="2" t="s">
        <v>15239</v>
      </c>
      <c r="N1512" s="3" t="s">
        <v>553</v>
      </c>
      <c r="P1512" s="3" t="s">
        <v>64</v>
      </c>
      <c r="Q1512" s="2" t="s">
        <v>15240</v>
      </c>
      <c r="R1512" s="3" t="s">
        <v>13065</v>
      </c>
      <c r="S1512" s="4">
        <v>14</v>
      </c>
      <c r="T1512" s="4">
        <v>14</v>
      </c>
      <c r="U1512" s="5" t="s">
        <v>15136</v>
      </c>
      <c r="V1512" s="5" t="s">
        <v>15136</v>
      </c>
      <c r="W1512" s="5" t="s">
        <v>67</v>
      </c>
      <c r="X1512" s="5" t="s">
        <v>67</v>
      </c>
      <c r="Y1512" s="4">
        <v>313</v>
      </c>
      <c r="Z1512" s="4">
        <v>21</v>
      </c>
      <c r="AA1512" s="4">
        <v>105</v>
      </c>
      <c r="AB1512" s="4">
        <v>3</v>
      </c>
      <c r="AC1512" s="4">
        <v>17</v>
      </c>
      <c r="AD1512" s="4">
        <v>97</v>
      </c>
      <c r="AE1512" s="4">
        <v>144</v>
      </c>
      <c r="AF1512" s="4">
        <v>1</v>
      </c>
      <c r="AG1512" s="4">
        <v>8</v>
      </c>
      <c r="AH1512" s="4">
        <v>84</v>
      </c>
      <c r="AI1512" s="4">
        <v>103</v>
      </c>
      <c r="AJ1512" s="4">
        <v>12</v>
      </c>
      <c r="AK1512" s="4">
        <v>26</v>
      </c>
      <c r="AL1512" s="4">
        <v>52</v>
      </c>
      <c r="AM1512" s="4">
        <v>56</v>
      </c>
      <c r="AN1512" s="4">
        <v>0</v>
      </c>
      <c r="AO1512" s="4">
        <v>0</v>
      </c>
      <c r="AP1512" s="4">
        <v>17</v>
      </c>
      <c r="AQ1512" s="4">
        <v>48</v>
      </c>
      <c r="AR1512" s="3" t="s">
        <v>62</v>
      </c>
      <c r="AS1512" s="3" t="s">
        <v>62</v>
      </c>
      <c r="AT1512" s="3" t="s">
        <v>62</v>
      </c>
      <c r="AV1512" s="6" t="str">
        <f>HYPERLINK("http://mcgill.on.worldcat.org/oclc/39122840","Catalog Record")</f>
        <v>Catalog Record</v>
      </c>
      <c r="AW1512" s="6" t="str">
        <f>HYPERLINK("http://www.worldcat.org/oclc/39122840","WorldCat Record")</f>
        <v>WorldCat Record</v>
      </c>
      <c r="AX1512" s="3" t="s">
        <v>15241</v>
      </c>
      <c r="AY1512" s="3" t="s">
        <v>15242</v>
      </c>
      <c r="AZ1512" s="3" t="s">
        <v>15243</v>
      </c>
      <c r="BA1512" s="3" t="s">
        <v>15243</v>
      </c>
      <c r="BB1512" s="3" t="s">
        <v>15244</v>
      </c>
      <c r="BC1512" s="3" t="s">
        <v>102</v>
      </c>
      <c r="BD1512" s="3" t="s">
        <v>68</v>
      </c>
      <c r="BE1512" s="3" t="s">
        <v>15245</v>
      </c>
      <c r="BF1512" s="3" t="s">
        <v>15244</v>
      </c>
      <c r="BG1512" s="3" t="s">
        <v>15246</v>
      </c>
    </row>
    <row r="1513" spans="1:59" ht="58" x14ac:dyDescent="0.35">
      <c r="A1513" s="2" t="s">
        <v>89</v>
      </c>
      <c r="B1513" s="2" t="s">
        <v>90</v>
      </c>
      <c r="C1513" s="2" t="s">
        <v>15247</v>
      </c>
      <c r="D1513" s="2" t="s">
        <v>15248</v>
      </c>
      <c r="E1513" s="2" t="s">
        <v>15249</v>
      </c>
      <c r="G1513" s="3" t="s">
        <v>62</v>
      </c>
      <c r="I1513" s="3" t="s">
        <v>62</v>
      </c>
      <c r="J1513" s="3" t="s">
        <v>62</v>
      </c>
      <c r="K1513" s="3" t="s">
        <v>63</v>
      </c>
      <c r="L1513" s="2" t="s">
        <v>15250</v>
      </c>
      <c r="M1513" s="2" t="s">
        <v>15251</v>
      </c>
      <c r="N1513" s="3" t="s">
        <v>2985</v>
      </c>
      <c r="P1513" s="3" t="s">
        <v>64</v>
      </c>
      <c r="R1513" s="3" t="s">
        <v>13065</v>
      </c>
      <c r="S1513" s="4">
        <v>1</v>
      </c>
      <c r="T1513" s="4">
        <v>1</v>
      </c>
      <c r="U1513" s="5" t="s">
        <v>627</v>
      </c>
      <c r="V1513" s="5" t="s">
        <v>627</v>
      </c>
      <c r="W1513" s="5" t="s">
        <v>67</v>
      </c>
      <c r="X1513" s="5" t="s">
        <v>67</v>
      </c>
      <c r="Y1513" s="4">
        <v>116</v>
      </c>
      <c r="Z1513" s="4">
        <v>9</v>
      </c>
      <c r="AA1513" s="4">
        <v>96</v>
      </c>
      <c r="AB1513" s="4">
        <v>2</v>
      </c>
      <c r="AC1513" s="4">
        <v>17</v>
      </c>
      <c r="AD1513" s="4">
        <v>48</v>
      </c>
      <c r="AE1513" s="4">
        <v>114</v>
      </c>
      <c r="AF1513" s="4">
        <v>1</v>
      </c>
      <c r="AG1513" s="4">
        <v>8</v>
      </c>
      <c r="AH1513" s="4">
        <v>46</v>
      </c>
      <c r="AI1513" s="4">
        <v>75</v>
      </c>
      <c r="AJ1513" s="4">
        <v>6</v>
      </c>
      <c r="AK1513" s="4">
        <v>21</v>
      </c>
      <c r="AL1513" s="4">
        <v>29</v>
      </c>
      <c r="AM1513" s="4">
        <v>40</v>
      </c>
      <c r="AN1513" s="4">
        <v>0</v>
      </c>
      <c r="AO1513" s="4">
        <v>0</v>
      </c>
      <c r="AP1513" s="4">
        <v>7</v>
      </c>
      <c r="AQ1513" s="4">
        <v>46</v>
      </c>
      <c r="AR1513" s="3" t="s">
        <v>62</v>
      </c>
      <c r="AS1513" s="3" t="s">
        <v>62</v>
      </c>
      <c r="AT1513" s="3" t="s">
        <v>62</v>
      </c>
      <c r="AV1513" s="6" t="str">
        <f>HYPERLINK("http://mcgill.on.worldcat.org/oclc/436310978","Catalog Record")</f>
        <v>Catalog Record</v>
      </c>
      <c r="AW1513" s="6" t="str">
        <f>HYPERLINK("http://www.worldcat.org/oclc/436310978","WorldCat Record")</f>
        <v>WorldCat Record</v>
      </c>
      <c r="AX1513" s="3" t="s">
        <v>15252</v>
      </c>
      <c r="AY1513" s="3" t="s">
        <v>15253</v>
      </c>
      <c r="AZ1513" s="3" t="s">
        <v>15254</v>
      </c>
      <c r="BA1513" s="3" t="s">
        <v>15254</v>
      </c>
      <c r="BB1513" s="3" t="s">
        <v>15255</v>
      </c>
      <c r="BC1513" s="3" t="s">
        <v>102</v>
      </c>
      <c r="BD1513" s="3" t="s">
        <v>68</v>
      </c>
      <c r="BE1513" s="3" t="s">
        <v>15256</v>
      </c>
      <c r="BF1513" s="3" t="s">
        <v>15255</v>
      </c>
      <c r="BG1513" s="3" t="s">
        <v>15257</v>
      </c>
    </row>
    <row r="1514" spans="1:59" ht="116" x14ac:dyDescent="0.35">
      <c r="A1514" s="2" t="s">
        <v>89</v>
      </c>
      <c r="B1514" s="2" t="s">
        <v>3312</v>
      </c>
      <c r="C1514" s="2" t="s">
        <v>15258</v>
      </c>
      <c r="D1514" s="2" t="s">
        <v>15259</v>
      </c>
      <c r="E1514" s="2" t="s">
        <v>15260</v>
      </c>
      <c r="G1514" s="3" t="s">
        <v>62</v>
      </c>
      <c r="I1514" s="3" t="s">
        <v>62</v>
      </c>
      <c r="J1514" s="3" t="s">
        <v>62</v>
      </c>
      <c r="K1514" s="3" t="s">
        <v>63</v>
      </c>
      <c r="L1514" s="2" t="s">
        <v>15261</v>
      </c>
      <c r="M1514" s="2" t="s">
        <v>15262</v>
      </c>
      <c r="N1514" s="3" t="s">
        <v>726</v>
      </c>
      <c r="O1514" s="2" t="s">
        <v>15263</v>
      </c>
      <c r="P1514" s="3" t="s">
        <v>15264</v>
      </c>
      <c r="Q1514" s="2" t="s">
        <v>15265</v>
      </c>
      <c r="R1514" s="3" t="s">
        <v>13065</v>
      </c>
      <c r="S1514" s="4">
        <v>0</v>
      </c>
      <c r="T1514" s="4">
        <v>0</v>
      </c>
      <c r="W1514" s="5" t="s">
        <v>67</v>
      </c>
      <c r="X1514" s="5" t="s">
        <v>67</v>
      </c>
      <c r="Y1514" s="4">
        <v>46</v>
      </c>
      <c r="Z1514" s="4">
        <v>5</v>
      </c>
      <c r="AA1514" s="4">
        <v>5</v>
      </c>
      <c r="AB1514" s="4">
        <v>1</v>
      </c>
      <c r="AC1514" s="4">
        <v>1</v>
      </c>
      <c r="AD1514" s="4">
        <v>37</v>
      </c>
      <c r="AE1514" s="4">
        <v>37</v>
      </c>
      <c r="AF1514" s="4">
        <v>0</v>
      </c>
      <c r="AG1514" s="4">
        <v>0</v>
      </c>
      <c r="AH1514" s="4">
        <v>36</v>
      </c>
      <c r="AI1514" s="4">
        <v>36</v>
      </c>
      <c r="AJ1514" s="4">
        <v>3</v>
      </c>
      <c r="AK1514" s="4">
        <v>3</v>
      </c>
      <c r="AL1514" s="4">
        <v>31</v>
      </c>
      <c r="AM1514" s="4">
        <v>31</v>
      </c>
      <c r="AN1514" s="4">
        <v>0</v>
      </c>
      <c r="AO1514" s="4">
        <v>0</v>
      </c>
      <c r="AP1514" s="4">
        <v>3</v>
      </c>
      <c r="AQ1514" s="4">
        <v>3</v>
      </c>
      <c r="AR1514" s="3" t="s">
        <v>62</v>
      </c>
      <c r="AS1514" s="3" t="s">
        <v>62</v>
      </c>
      <c r="AT1514" s="3" t="s">
        <v>62</v>
      </c>
      <c r="AV1514" s="6" t="str">
        <f>HYPERLINK("http://mcgill.on.worldcat.org/oclc/994812216","Catalog Record")</f>
        <v>Catalog Record</v>
      </c>
      <c r="AW1514" s="6" t="str">
        <f>HYPERLINK("http://www.worldcat.org/oclc/994812216","WorldCat Record")</f>
        <v>WorldCat Record</v>
      </c>
      <c r="AX1514" s="3" t="s">
        <v>15266</v>
      </c>
      <c r="AY1514" s="3" t="s">
        <v>15267</v>
      </c>
      <c r="AZ1514" s="3" t="s">
        <v>15268</v>
      </c>
      <c r="BA1514" s="3" t="s">
        <v>15268</v>
      </c>
      <c r="BB1514" s="3" t="s">
        <v>15269</v>
      </c>
      <c r="BC1514" s="3" t="s">
        <v>102</v>
      </c>
      <c r="BD1514" s="3" t="s">
        <v>68</v>
      </c>
      <c r="BE1514" s="3" t="s">
        <v>15270</v>
      </c>
      <c r="BF1514" s="3" t="s">
        <v>15269</v>
      </c>
      <c r="BG1514" s="3" t="s">
        <v>15271</v>
      </c>
    </row>
    <row r="1515" spans="1:59" ht="58" x14ac:dyDescent="0.35">
      <c r="A1515" s="2" t="s">
        <v>89</v>
      </c>
      <c r="B1515" s="2" t="s">
        <v>90</v>
      </c>
      <c r="C1515" s="2" t="s">
        <v>15272</v>
      </c>
      <c r="D1515" s="2" t="s">
        <v>15273</v>
      </c>
      <c r="E1515" s="2" t="s">
        <v>15274</v>
      </c>
      <c r="G1515" s="3" t="s">
        <v>62</v>
      </c>
      <c r="I1515" s="3" t="s">
        <v>62</v>
      </c>
      <c r="J1515" s="3" t="s">
        <v>62</v>
      </c>
      <c r="K1515" s="3" t="s">
        <v>63</v>
      </c>
      <c r="L1515" s="2" t="s">
        <v>15275</v>
      </c>
      <c r="M1515" s="2" t="s">
        <v>15276</v>
      </c>
      <c r="N1515" s="3" t="s">
        <v>1455</v>
      </c>
      <c r="P1515" s="3" t="s">
        <v>64</v>
      </c>
      <c r="Q1515" s="2" t="s">
        <v>15277</v>
      </c>
      <c r="R1515" s="3" t="s">
        <v>13065</v>
      </c>
      <c r="S1515" s="4">
        <v>1</v>
      </c>
      <c r="T1515" s="4">
        <v>1</v>
      </c>
      <c r="U1515" s="5" t="s">
        <v>11274</v>
      </c>
      <c r="V1515" s="5" t="s">
        <v>11274</v>
      </c>
      <c r="W1515" s="5" t="s">
        <v>67</v>
      </c>
      <c r="X1515" s="5" t="s">
        <v>67</v>
      </c>
      <c r="Y1515" s="4">
        <v>97</v>
      </c>
      <c r="Z1515" s="4">
        <v>5</v>
      </c>
      <c r="AA1515" s="4">
        <v>5</v>
      </c>
      <c r="AB1515" s="4">
        <v>2</v>
      </c>
      <c r="AC1515" s="4">
        <v>2</v>
      </c>
      <c r="AD1515" s="4">
        <v>51</v>
      </c>
      <c r="AE1515" s="4">
        <v>51</v>
      </c>
      <c r="AF1515" s="4">
        <v>1</v>
      </c>
      <c r="AG1515" s="4">
        <v>1</v>
      </c>
      <c r="AH1515" s="4">
        <v>49</v>
      </c>
      <c r="AI1515" s="4">
        <v>49</v>
      </c>
      <c r="AJ1515" s="4">
        <v>3</v>
      </c>
      <c r="AK1515" s="4">
        <v>3</v>
      </c>
      <c r="AL1515" s="4">
        <v>37</v>
      </c>
      <c r="AM1515" s="4">
        <v>37</v>
      </c>
      <c r="AN1515" s="4">
        <v>0</v>
      </c>
      <c r="AO1515" s="4">
        <v>0</v>
      </c>
      <c r="AP1515" s="4">
        <v>3</v>
      </c>
      <c r="AQ1515" s="4">
        <v>3</v>
      </c>
      <c r="AR1515" s="3" t="s">
        <v>62</v>
      </c>
      <c r="AS1515" s="3" t="s">
        <v>62</v>
      </c>
      <c r="AT1515" s="3" t="s">
        <v>62</v>
      </c>
      <c r="AV1515" s="6" t="str">
        <f>HYPERLINK("http://mcgill.on.worldcat.org/oclc/906978081","Catalog Record")</f>
        <v>Catalog Record</v>
      </c>
      <c r="AW1515" s="6" t="str">
        <f>HYPERLINK("http://www.worldcat.org/oclc/906978081","WorldCat Record")</f>
        <v>WorldCat Record</v>
      </c>
      <c r="AX1515" s="3" t="s">
        <v>15278</v>
      </c>
      <c r="AY1515" s="3" t="s">
        <v>15279</v>
      </c>
      <c r="AZ1515" s="3" t="s">
        <v>15280</v>
      </c>
      <c r="BA1515" s="3" t="s">
        <v>15280</v>
      </c>
      <c r="BB1515" s="3" t="s">
        <v>15281</v>
      </c>
      <c r="BC1515" s="3" t="s">
        <v>102</v>
      </c>
      <c r="BD1515" s="3" t="s">
        <v>68</v>
      </c>
      <c r="BE1515" s="3" t="s">
        <v>15282</v>
      </c>
      <c r="BF1515" s="3" t="s">
        <v>15281</v>
      </c>
      <c r="BG1515" s="3" t="s">
        <v>15283</v>
      </c>
    </row>
    <row r="1516" spans="1:59" ht="58" x14ac:dyDescent="0.35">
      <c r="A1516" s="2" t="s">
        <v>89</v>
      </c>
      <c r="B1516" s="2" t="s">
        <v>90</v>
      </c>
      <c r="C1516" s="2" t="s">
        <v>15284</v>
      </c>
      <c r="D1516" s="2" t="s">
        <v>15285</v>
      </c>
      <c r="E1516" s="2" t="s">
        <v>15286</v>
      </c>
      <c r="G1516" s="3" t="s">
        <v>62</v>
      </c>
      <c r="I1516" s="3" t="s">
        <v>62</v>
      </c>
      <c r="J1516" s="3" t="s">
        <v>62</v>
      </c>
      <c r="K1516" s="3" t="s">
        <v>63</v>
      </c>
      <c r="L1516" s="2" t="s">
        <v>15275</v>
      </c>
      <c r="M1516" s="2" t="s">
        <v>15287</v>
      </c>
      <c r="N1516" s="3" t="s">
        <v>726</v>
      </c>
      <c r="P1516" s="3" t="s">
        <v>64</v>
      </c>
      <c r="Q1516" s="2" t="s">
        <v>15288</v>
      </c>
      <c r="R1516" s="3" t="s">
        <v>13065</v>
      </c>
      <c r="S1516" s="4">
        <v>2</v>
      </c>
      <c r="T1516" s="4">
        <v>2</v>
      </c>
      <c r="U1516" s="5" t="s">
        <v>14076</v>
      </c>
      <c r="V1516" s="5" t="s">
        <v>14076</v>
      </c>
      <c r="W1516" s="5" t="s">
        <v>67</v>
      </c>
      <c r="X1516" s="5" t="s">
        <v>67</v>
      </c>
      <c r="Y1516" s="4">
        <v>72</v>
      </c>
      <c r="Z1516" s="4">
        <v>4</v>
      </c>
      <c r="AA1516" s="4">
        <v>4</v>
      </c>
      <c r="AB1516" s="4">
        <v>1</v>
      </c>
      <c r="AC1516" s="4">
        <v>1</v>
      </c>
      <c r="AD1516" s="4">
        <v>36</v>
      </c>
      <c r="AE1516" s="4">
        <v>36</v>
      </c>
      <c r="AF1516" s="4">
        <v>0</v>
      </c>
      <c r="AG1516" s="4">
        <v>0</v>
      </c>
      <c r="AH1516" s="4">
        <v>36</v>
      </c>
      <c r="AI1516" s="4">
        <v>36</v>
      </c>
      <c r="AJ1516" s="4">
        <v>3</v>
      </c>
      <c r="AK1516" s="4">
        <v>3</v>
      </c>
      <c r="AL1516" s="4">
        <v>25</v>
      </c>
      <c r="AM1516" s="4">
        <v>25</v>
      </c>
      <c r="AN1516" s="4">
        <v>0</v>
      </c>
      <c r="AO1516" s="4">
        <v>0</v>
      </c>
      <c r="AP1516" s="4">
        <v>3</v>
      </c>
      <c r="AQ1516" s="4">
        <v>3</v>
      </c>
      <c r="AR1516" s="3" t="s">
        <v>62</v>
      </c>
      <c r="AS1516" s="3" t="s">
        <v>62</v>
      </c>
      <c r="AT1516" s="3" t="s">
        <v>62</v>
      </c>
      <c r="AV1516" s="6" t="str">
        <f>HYPERLINK("http://mcgill.on.worldcat.org/oclc/1042394595","Catalog Record")</f>
        <v>Catalog Record</v>
      </c>
      <c r="AW1516" s="6" t="str">
        <f>HYPERLINK("http://www.worldcat.org/oclc/1042394595","WorldCat Record")</f>
        <v>WorldCat Record</v>
      </c>
      <c r="AX1516" s="3" t="s">
        <v>15289</v>
      </c>
      <c r="AY1516" s="3" t="s">
        <v>15290</v>
      </c>
      <c r="AZ1516" s="3" t="s">
        <v>15291</v>
      </c>
      <c r="BA1516" s="3" t="s">
        <v>15291</v>
      </c>
      <c r="BB1516" s="3" t="s">
        <v>15292</v>
      </c>
      <c r="BC1516" s="3" t="s">
        <v>102</v>
      </c>
      <c r="BD1516" s="3" t="s">
        <v>68</v>
      </c>
      <c r="BE1516" s="3" t="s">
        <v>15293</v>
      </c>
      <c r="BF1516" s="3" t="s">
        <v>15292</v>
      </c>
      <c r="BG1516" s="3" t="s">
        <v>15294</v>
      </c>
    </row>
    <row r="1517" spans="1:59" ht="87" x14ac:dyDescent="0.35">
      <c r="A1517" s="2" t="s">
        <v>89</v>
      </c>
      <c r="B1517" s="2" t="s">
        <v>11757</v>
      </c>
      <c r="C1517" s="2" t="s">
        <v>15295</v>
      </c>
      <c r="D1517" s="2" t="s">
        <v>15296</v>
      </c>
      <c r="E1517" s="2" t="s">
        <v>15297</v>
      </c>
      <c r="G1517" s="3" t="s">
        <v>62</v>
      </c>
      <c r="I1517" s="3" t="s">
        <v>61</v>
      </c>
      <c r="J1517" s="3" t="s">
        <v>61</v>
      </c>
      <c r="K1517" s="3" t="s">
        <v>63</v>
      </c>
      <c r="L1517" s="2" t="s">
        <v>14959</v>
      </c>
      <c r="M1517" s="2" t="s">
        <v>15298</v>
      </c>
      <c r="N1517" s="3" t="s">
        <v>4865</v>
      </c>
      <c r="P1517" s="3" t="s">
        <v>64</v>
      </c>
      <c r="R1517" s="3" t="s">
        <v>13065</v>
      </c>
      <c r="S1517" s="4">
        <v>0</v>
      </c>
      <c r="T1517" s="4">
        <v>65</v>
      </c>
      <c r="V1517" s="5" t="s">
        <v>598</v>
      </c>
      <c r="W1517" s="5" t="s">
        <v>67</v>
      </c>
      <c r="X1517" s="5" t="s">
        <v>67</v>
      </c>
      <c r="Y1517" s="4">
        <v>1776</v>
      </c>
      <c r="Z1517" s="4">
        <v>59</v>
      </c>
      <c r="AA1517" s="4">
        <v>88</v>
      </c>
      <c r="AB1517" s="4">
        <v>3</v>
      </c>
      <c r="AC1517" s="4">
        <v>11</v>
      </c>
      <c r="AD1517" s="4">
        <v>137</v>
      </c>
      <c r="AE1517" s="4">
        <v>160</v>
      </c>
      <c r="AF1517" s="4">
        <v>2</v>
      </c>
      <c r="AG1517" s="4">
        <v>6</v>
      </c>
      <c r="AH1517" s="4">
        <v>102</v>
      </c>
      <c r="AI1517" s="4">
        <v>115</v>
      </c>
      <c r="AJ1517" s="4">
        <v>22</v>
      </c>
      <c r="AK1517" s="4">
        <v>29</v>
      </c>
      <c r="AL1517" s="4">
        <v>58</v>
      </c>
      <c r="AM1517" s="4">
        <v>64</v>
      </c>
      <c r="AN1517" s="4">
        <v>0</v>
      </c>
      <c r="AO1517" s="4">
        <v>5</v>
      </c>
      <c r="AP1517" s="4">
        <v>40</v>
      </c>
      <c r="AQ1517" s="4">
        <v>49</v>
      </c>
      <c r="AR1517" s="3" t="s">
        <v>62</v>
      </c>
      <c r="AS1517" s="3" t="s">
        <v>62</v>
      </c>
      <c r="AT1517" s="3" t="s">
        <v>62</v>
      </c>
      <c r="AV1517" s="6" t="str">
        <f>HYPERLINK("http://mcgill.on.worldcat.org/oclc/514181","Catalog Record")</f>
        <v>Catalog Record</v>
      </c>
      <c r="AW1517" s="6" t="str">
        <f>HYPERLINK("http://www.worldcat.org/oclc/514181","WorldCat Record")</f>
        <v>WorldCat Record</v>
      </c>
      <c r="AX1517" s="3" t="s">
        <v>15299</v>
      </c>
      <c r="AY1517" s="3" t="s">
        <v>15300</v>
      </c>
      <c r="AZ1517" s="3" t="s">
        <v>15301</v>
      </c>
      <c r="BA1517" s="3" t="s">
        <v>15301</v>
      </c>
      <c r="BB1517" s="3" t="s">
        <v>15302</v>
      </c>
      <c r="BC1517" s="3" t="s">
        <v>102</v>
      </c>
      <c r="BD1517" s="3" t="s">
        <v>68</v>
      </c>
      <c r="BF1517" s="3" t="s">
        <v>15302</v>
      </c>
      <c r="BG1517" s="3" t="s">
        <v>15303</v>
      </c>
    </row>
    <row r="1518" spans="1:59" ht="58" x14ac:dyDescent="0.35">
      <c r="A1518" s="2" t="s">
        <v>89</v>
      </c>
      <c r="B1518" s="2" t="s">
        <v>90</v>
      </c>
      <c r="C1518" s="2" t="s">
        <v>15295</v>
      </c>
      <c r="D1518" s="2" t="s">
        <v>15296</v>
      </c>
      <c r="E1518" s="2" t="s">
        <v>15297</v>
      </c>
      <c r="G1518" s="3" t="s">
        <v>62</v>
      </c>
      <c r="I1518" s="3" t="s">
        <v>61</v>
      </c>
      <c r="J1518" s="3" t="s">
        <v>61</v>
      </c>
      <c r="K1518" s="3" t="s">
        <v>63</v>
      </c>
      <c r="L1518" s="2" t="s">
        <v>14959</v>
      </c>
      <c r="M1518" s="2" t="s">
        <v>15298</v>
      </c>
      <c r="N1518" s="3" t="s">
        <v>4865</v>
      </c>
      <c r="P1518" s="3" t="s">
        <v>64</v>
      </c>
      <c r="R1518" s="3" t="s">
        <v>13065</v>
      </c>
      <c r="S1518" s="4">
        <v>10</v>
      </c>
      <c r="T1518" s="4">
        <v>65</v>
      </c>
      <c r="U1518" s="5" t="s">
        <v>71</v>
      </c>
      <c r="V1518" s="5" t="s">
        <v>598</v>
      </c>
      <c r="W1518" s="5" t="s">
        <v>67</v>
      </c>
      <c r="X1518" s="5" t="s">
        <v>67</v>
      </c>
      <c r="Y1518" s="4">
        <v>1776</v>
      </c>
      <c r="Z1518" s="4">
        <v>59</v>
      </c>
      <c r="AA1518" s="4">
        <v>88</v>
      </c>
      <c r="AB1518" s="4">
        <v>3</v>
      </c>
      <c r="AC1518" s="4">
        <v>11</v>
      </c>
      <c r="AD1518" s="4">
        <v>137</v>
      </c>
      <c r="AE1518" s="4">
        <v>160</v>
      </c>
      <c r="AF1518" s="4">
        <v>2</v>
      </c>
      <c r="AG1518" s="4">
        <v>6</v>
      </c>
      <c r="AH1518" s="4">
        <v>102</v>
      </c>
      <c r="AI1518" s="4">
        <v>115</v>
      </c>
      <c r="AJ1518" s="4">
        <v>22</v>
      </c>
      <c r="AK1518" s="4">
        <v>29</v>
      </c>
      <c r="AL1518" s="4">
        <v>58</v>
      </c>
      <c r="AM1518" s="4">
        <v>64</v>
      </c>
      <c r="AN1518" s="4">
        <v>0</v>
      </c>
      <c r="AO1518" s="4">
        <v>5</v>
      </c>
      <c r="AP1518" s="4">
        <v>40</v>
      </c>
      <c r="AQ1518" s="4">
        <v>49</v>
      </c>
      <c r="AR1518" s="3" t="s">
        <v>62</v>
      </c>
      <c r="AS1518" s="3" t="s">
        <v>62</v>
      </c>
      <c r="AT1518" s="3" t="s">
        <v>62</v>
      </c>
      <c r="AV1518" s="6" t="str">
        <f>HYPERLINK("http://mcgill.on.worldcat.org/oclc/514181","Catalog Record")</f>
        <v>Catalog Record</v>
      </c>
      <c r="AW1518" s="6" t="str">
        <f>HYPERLINK("http://www.worldcat.org/oclc/514181","WorldCat Record")</f>
        <v>WorldCat Record</v>
      </c>
      <c r="AX1518" s="3" t="s">
        <v>15299</v>
      </c>
      <c r="AY1518" s="3" t="s">
        <v>15300</v>
      </c>
      <c r="AZ1518" s="3" t="s">
        <v>15301</v>
      </c>
      <c r="BA1518" s="3" t="s">
        <v>15301</v>
      </c>
      <c r="BB1518" s="3" t="s">
        <v>15304</v>
      </c>
      <c r="BC1518" s="3" t="s">
        <v>102</v>
      </c>
      <c r="BD1518" s="3" t="s">
        <v>68</v>
      </c>
      <c r="BF1518" s="3" t="s">
        <v>15304</v>
      </c>
      <c r="BG1518" s="3" t="s">
        <v>15305</v>
      </c>
    </row>
    <row r="1519" spans="1:59" ht="58" x14ac:dyDescent="0.35">
      <c r="A1519" s="2" t="s">
        <v>89</v>
      </c>
      <c r="B1519" s="2" t="s">
        <v>90</v>
      </c>
      <c r="C1519" s="2" t="s">
        <v>15295</v>
      </c>
      <c r="D1519" s="2" t="s">
        <v>15296</v>
      </c>
      <c r="E1519" s="2" t="s">
        <v>15297</v>
      </c>
      <c r="G1519" s="3" t="s">
        <v>62</v>
      </c>
      <c r="I1519" s="3" t="s">
        <v>61</v>
      </c>
      <c r="J1519" s="3" t="s">
        <v>61</v>
      </c>
      <c r="K1519" s="3" t="s">
        <v>63</v>
      </c>
      <c r="L1519" s="2" t="s">
        <v>14959</v>
      </c>
      <c r="M1519" s="2" t="s">
        <v>15298</v>
      </c>
      <c r="N1519" s="3" t="s">
        <v>4865</v>
      </c>
      <c r="P1519" s="3" t="s">
        <v>64</v>
      </c>
      <c r="R1519" s="3" t="s">
        <v>13065</v>
      </c>
      <c r="S1519" s="4">
        <v>23</v>
      </c>
      <c r="T1519" s="4">
        <v>65</v>
      </c>
      <c r="U1519" s="5" t="s">
        <v>598</v>
      </c>
      <c r="V1519" s="5" t="s">
        <v>598</v>
      </c>
      <c r="W1519" s="5" t="s">
        <v>67</v>
      </c>
      <c r="X1519" s="5" t="s">
        <v>67</v>
      </c>
      <c r="Y1519" s="4">
        <v>1776</v>
      </c>
      <c r="Z1519" s="4">
        <v>59</v>
      </c>
      <c r="AA1519" s="4">
        <v>88</v>
      </c>
      <c r="AB1519" s="4">
        <v>3</v>
      </c>
      <c r="AC1519" s="4">
        <v>11</v>
      </c>
      <c r="AD1519" s="4">
        <v>137</v>
      </c>
      <c r="AE1519" s="4">
        <v>160</v>
      </c>
      <c r="AF1519" s="4">
        <v>2</v>
      </c>
      <c r="AG1519" s="4">
        <v>6</v>
      </c>
      <c r="AH1519" s="4">
        <v>102</v>
      </c>
      <c r="AI1519" s="4">
        <v>115</v>
      </c>
      <c r="AJ1519" s="4">
        <v>22</v>
      </c>
      <c r="AK1519" s="4">
        <v>29</v>
      </c>
      <c r="AL1519" s="4">
        <v>58</v>
      </c>
      <c r="AM1519" s="4">
        <v>64</v>
      </c>
      <c r="AN1519" s="4">
        <v>0</v>
      </c>
      <c r="AO1519" s="4">
        <v>5</v>
      </c>
      <c r="AP1519" s="4">
        <v>40</v>
      </c>
      <c r="AQ1519" s="4">
        <v>49</v>
      </c>
      <c r="AR1519" s="3" t="s">
        <v>62</v>
      </c>
      <c r="AS1519" s="3" t="s">
        <v>62</v>
      </c>
      <c r="AT1519" s="3" t="s">
        <v>62</v>
      </c>
      <c r="AV1519" s="6" t="str">
        <f>HYPERLINK("http://mcgill.on.worldcat.org/oclc/514181","Catalog Record")</f>
        <v>Catalog Record</v>
      </c>
      <c r="AW1519" s="6" t="str">
        <f>HYPERLINK("http://www.worldcat.org/oclc/514181","WorldCat Record")</f>
        <v>WorldCat Record</v>
      </c>
      <c r="AX1519" s="3" t="s">
        <v>15299</v>
      </c>
      <c r="AY1519" s="3" t="s">
        <v>15300</v>
      </c>
      <c r="AZ1519" s="3" t="s">
        <v>15301</v>
      </c>
      <c r="BA1519" s="3" t="s">
        <v>15301</v>
      </c>
      <c r="BB1519" s="3" t="s">
        <v>15306</v>
      </c>
      <c r="BC1519" s="3" t="s">
        <v>102</v>
      </c>
      <c r="BD1519" s="3" t="s">
        <v>68</v>
      </c>
      <c r="BF1519" s="3" t="s">
        <v>15306</v>
      </c>
      <c r="BG1519" s="3" t="s">
        <v>15307</v>
      </c>
    </row>
    <row r="1520" spans="1:59" ht="58" x14ac:dyDescent="0.35">
      <c r="A1520" s="2" t="s">
        <v>89</v>
      </c>
      <c r="B1520" s="2" t="s">
        <v>90</v>
      </c>
      <c r="C1520" s="2" t="s">
        <v>15308</v>
      </c>
      <c r="D1520" s="2" t="s">
        <v>15309</v>
      </c>
      <c r="E1520" s="2" t="s">
        <v>15310</v>
      </c>
      <c r="F1520" s="3" t="s">
        <v>2217</v>
      </c>
      <c r="G1520" s="3" t="s">
        <v>61</v>
      </c>
      <c r="I1520" s="3" t="s">
        <v>62</v>
      </c>
      <c r="J1520" s="3" t="s">
        <v>62</v>
      </c>
      <c r="K1520" s="3" t="s">
        <v>63</v>
      </c>
      <c r="L1520" s="2" t="s">
        <v>15311</v>
      </c>
      <c r="M1520" s="2" t="s">
        <v>15312</v>
      </c>
      <c r="N1520" s="3" t="s">
        <v>553</v>
      </c>
      <c r="P1520" s="3" t="s">
        <v>64</v>
      </c>
      <c r="R1520" s="3" t="s">
        <v>13065</v>
      </c>
      <c r="S1520" s="4">
        <v>4</v>
      </c>
      <c r="T1520" s="4">
        <v>4</v>
      </c>
      <c r="U1520" s="5" t="s">
        <v>1894</v>
      </c>
      <c r="V1520" s="5" t="s">
        <v>1894</v>
      </c>
      <c r="W1520" s="5" t="s">
        <v>67</v>
      </c>
      <c r="X1520" s="5" t="s">
        <v>67</v>
      </c>
      <c r="Y1520" s="4">
        <v>597</v>
      </c>
      <c r="Z1520" s="4">
        <v>22</v>
      </c>
      <c r="AA1520" s="4">
        <v>25</v>
      </c>
      <c r="AB1520" s="4">
        <v>1</v>
      </c>
      <c r="AC1520" s="4">
        <v>4</v>
      </c>
      <c r="AD1520" s="4">
        <v>14</v>
      </c>
      <c r="AE1520" s="4">
        <v>30</v>
      </c>
      <c r="AF1520" s="4">
        <v>0</v>
      </c>
      <c r="AG1520" s="4">
        <v>3</v>
      </c>
      <c r="AH1520" s="4">
        <v>13</v>
      </c>
      <c r="AI1520" s="4">
        <v>26</v>
      </c>
      <c r="AJ1520" s="4">
        <v>2</v>
      </c>
      <c r="AK1520" s="4">
        <v>4</v>
      </c>
      <c r="AL1520" s="4">
        <v>4</v>
      </c>
      <c r="AM1520" s="4">
        <v>10</v>
      </c>
      <c r="AN1520" s="4">
        <v>0</v>
      </c>
      <c r="AO1520" s="4">
        <v>0</v>
      </c>
      <c r="AP1520" s="4">
        <v>3</v>
      </c>
      <c r="AQ1520" s="4">
        <v>5</v>
      </c>
      <c r="AR1520" s="3" t="s">
        <v>62</v>
      </c>
      <c r="AS1520" s="3" t="s">
        <v>62</v>
      </c>
      <c r="AT1520" s="3" t="s">
        <v>61</v>
      </c>
      <c r="AU1520" s="6" t="str">
        <f>HYPERLINK("http://catalog.hathitrust.org/Record/007045379","HathiTrust Record")</f>
        <v>HathiTrust Record</v>
      </c>
      <c r="AV1520" s="6" t="str">
        <f>HYPERLINK("http://mcgill.on.worldcat.org/oclc/41497065","Catalog Record")</f>
        <v>Catalog Record</v>
      </c>
      <c r="AW1520" s="6" t="str">
        <f>HYPERLINK("http://www.worldcat.org/oclc/41497065","WorldCat Record")</f>
        <v>WorldCat Record</v>
      </c>
      <c r="AX1520" s="3" t="s">
        <v>15313</v>
      </c>
      <c r="AY1520" s="3" t="s">
        <v>15314</v>
      </c>
      <c r="AZ1520" s="3" t="s">
        <v>15315</v>
      </c>
      <c r="BA1520" s="3" t="s">
        <v>15315</v>
      </c>
      <c r="BB1520" s="3" t="s">
        <v>15316</v>
      </c>
      <c r="BC1520" s="3" t="s">
        <v>102</v>
      </c>
      <c r="BD1520" s="3" t="s">
        <v>231</v>
      </c>
      <c r="BE1520" s="3" t="s">
        <v>15317</v>
      </c>
      <c r="BF1520" s="3" t="s">
        <v>15316</v>
      </c>
      <c r="BG1520" s="3" t="s">
        <v>15318</v>
      </c>
    </row>
    <row r="1521" spans="1:59" ht="58" x14ac:dyDescent="0.35">
      <c r="A1521" s="2" t="s">
        <v>89</v>
      </c>
      <c r="B1521" s="2" t="s">
        <v>90</v>
      </c>
      <c r="C1521" s="2" t="s">
        <v>15308</v>
      </c>
      <c r="D1521" s="2" t="s">
        <v>15309</v>
      </c>
      <c r="E1521" s="2" t="s">
        <v>15310</v>
      </c>
      <c r="F1521" s="3" t="s">
        <v>2233</v>
      </c>
      <c r="G1521" s="3" t="s">
        <v>61</v>
      </c>
      <c r="I1521" s="3" t="s">
        <v>62</v>
      </c>
      <c r="J1521" s="3" t="s">
        <v>62</v>
      </c>
      <c r="K1521" s="3" t="s">
        <v>63</v>
      </c>
      <c r="L1521" s="2" t="s">
        <v>15311</v>
      </c>
      <c r="M1521" s="2" t="s">
        <v>15312</v>
      </c>
      <c r="N1521" s="3" t="s">
        <v>553</v>
      </c>
      <c r="P1521" s="3" t="s">
        <v>64</v>
      </c>
      <c r="R1521" s="3" t="s">
        <v>13065</v>
      </c>
      <c r="S1521" s="4">
        <v>0</v>
      </c>
      <c r="T1521" s="4">
        <v>4</v>
      </c>
      <c r="V1521" s="5" t="s">
        <v>1894</v>
      </c>
      <c r="W1521" s="5" t="s">
        <v>67</v>
      </c>
      <c r="X1521" s="5" t="s">
        <v>67</v>
      </c>
      <c r="Y1521" s="4">
        <v>597</v>
      </c>
      <c r="Z1521" s="4">
        <v>22</v>
      </c>
      <c r="AA1521" s="4">
        <v>25</v>
      </c>
      <c r="AB1521" s="4">
        <v>1</v>
      </c>
      <c r="AC1521" s="4">
        <v>4</v>
      </c>
      <c r="AD1521" s="4">
        <v>14</v>
      </c>
      <c r="AE1521" s="4">
        <v>30</v>
      </c>
      <c r="AF1521" s="4">
        <v>0</v>
      </c>
      <c r="AG1521" s="4">
        <v>3</v>
      </c>
      <c r="AH1521" s="4">
        <v>13</v>
      </c>
      <c r="AI1521" s="4">
        <v>26</v>
      </c>
      <c r="AJ1521" s="4">
        <v>2</v>
      </c>
      <c r="AK1521" s="4">
        <v>4</v>
      </c>
      <c r="AL1521" s="4">
        <v>4</v>
      </c>
      <c r="AM1521" s="4">
        <v>10</v>
      </c>
      <c r="AN1521" s="4">
        <v>0</v>
      </c>
      <c r="AO1521" s="4">
        <v>0</v>
      </c>
      <c r="AP1521" s="4">
        <v>3</v>
      </c>
      <c r="AQ1521" s="4">
        <v>5</v>
      </c>
      <c r="AR1521" s="3" t="s">
        <v>62</v>
      </c>
      <c r="AS1521" s="3" t="s">
        <v>62</v>
      </c>
      <c r="AT1521" s="3" t="s">
        <v>61</v>
      </c>
      <c r="AU1521" s="6" t="str">
        <f>HYPERLINK("http://catalog.hathitrust.org/Record/007045379","HathiTrust Record")</f>
        <v>HathiTrust Record</v>
      </c>
      <c r="AV1521" s="6" t="str">
        <f>HYPERLINK("http://mcgill.on.worldcat.org/oclc/41497065","Catalog Record")</f>
        <v>Catalog Record</v>
      </c>
      <c r="AW1521" s="6" t="str">
        <f>HYPERLINK("http://www.worldcat.org/oclc/41497065","WorldCat Record")</f>
        <v>WorldCat Record</v>
      </c>
      <c r="AX1521" s="3" t="s">
        <v>15313</v>
      </c>
      <c r="AY1521" s="3" t="s">
        <v>15314</v>
      </c>
      <c r="AZ1521" s="3" t="s">
        <v>15315</v>
      </c>
      <c r="BA1521" s="3" t="s">
        <v>15315</v>
      </c>
      <c r="BB1521" s="3" t="s">
        <v>15319</v>
      </c>
      <c r="BC1521" s="3" t="s">
        <v>102</v>
      </c>
      <c r="BD1521" s="3" t="s">
        <v>68</v>
      </c>
      <c r="BE1521" s="3" t="s">
        <v>15317</v>
      </c>
      <c r="BF1521" s="3" t="s">
        <v>15319</v>
      </c>
      <c r="BG1521" s="3" t="s">
        <v>15320</v>
      </c>
    </row>
    <row r="1522" spans="1:59" ht="58" x14ac:dyDescent="0.35">
      <c r="A1522" s="2" t="s">
        <v>89</v>
      </c>
      <c r="B1522" s="2" t="s">
        <v>90</v>
      </c>
      <c r="C1522" s="2" t="s">
        <v>15308</v>
      </c>
      <c r="D1522" s="2" t="s">
        <v>15309</v>
      </c>
      <c r="E1522" s="2" t="s">
        <v>15310</v>
      </c>
      <c r="F1522" s="3" t="s">
        <v>2248</v>
      </c>
      <c r="G1522" s="3" t="s">
        <v>61</v>
      </c>
      <c r="I1522" s="3" t="s">
        <v>62</v>
      </c>
      <c r="J1522" s="3" t="s">
        <v>62</v>
      </c>
      <c r="K1522" s="3" t="s">
        <v>63</v>
      </c>
      <c r="L1522" s="2" t="s">
        <v>15311</v>
      </c>
      <c r="M1522" s="2" t="s">
        <v>15312</v>
      </c>
      <c r="N1522" s="3" t="s">
        <v>553</v>
      </c>
      <c r="P1522" s="3" t="s">
        <v>64</v>
      </c>
      <c r="R1522" s="3" t="s">
        <v>13065</v>
      </c>
      <c r="S1522" s="4">
        <v>0</v>
      </c>
      <c r="T1522" s="4">
        <v>4</v>
      </c>
      <c r="V1522" s="5" t="s">
        <v>1894</v>
      </c>
      <c r="W1522" s="5" t="s">
        <v>67</v>
      </c>
      <c r="X1522" s="5" t="s">
        <v>67</v>
      </c>
      <c r="Y1522" s="4">
        <v>597</v>
      </c>
      <c r="Z1522" s="4">
        <v>22</v>
      </c>
      <c r="AA1522" s="4">
        <v>25</v>
      </c>
      <c r="AB1522" s="4">
        <v>1</v>
      </c>
      <c r="AC1522" s="4">
        <v>4</v>
      </c>
      <c r="AD1522" s="4">
        <v>14</v>
      </c>
      <c r="AE1522" s="4">
        <v>30</v>
      </c>
      <c r="AF1522" s="4">
        <v>0</v>
      </c>
      <c r="AG1522" s="4">
        <v>3</v>
      </c>
      <c r="AH1522" s="4">
        <v>13</v>
      </c>
      <c r="AI1522" s="4">
        <v>26</v>
      </c>
      <c r="AJ1522" s="4">
        <v>2</v>
      </c>
      <c r="AK1522" s="4">
        <v>4</v>
      </c>
      <c r="AL1522" s="4">
        <v>4</v>
      </c>
      <c r="AM1522" s="4">
        <v>10</v>
      </c>
      <c r="AN1522" s="4">
        <v>0</v>
      </c>
      <c r="AO1522" s="4">
        <v>0</v>
      </c>
      <c r="AP1522" s="4">
        <v>3</v>
      </c>
      <c r="AQ1522" s="4">
        <v>5</v>
      </c>
      <c r="AR1522" s="3" t="s">
        <v>62</v>
      </c>
      <c r="AS1522" s="3" t="s">
        <v>62</v>
      </c>
      <c r="AT1522" s="3" t="s">
        <v>61</v>
      </c>
      <c r="AU1522" s="6" t="str">
        <f>HYPERLINK("http://catalog.hathitrust.org/Record/007045379","HathiTrust Record")</f>
        <v>HathiTrust Record</v>
      </c>
      <c r="AV1522" s="6" t="str">
        <f>HYPERLINK("http://mcgill.on.worldcat.org/oclc/41497065","Catalog Record")</f>
        <v>Catalog Record</v>
      </c>
      <c r="AW1522" s="6" t="str">
        <f>HYPERLINK("http://www.worldcat.org/oclc/41497065","WorldCat Record")</f>
        <v>WorldCat Record</v>
      </c>
      <c r="AX1522" s="3" t="s">
        <v>15313</v>
      </c>
      <c r="AY1522" s="3" t="s">
        <v>15314</v>
      </c>
      <c r="AZ1522" s="3" t="s">
        <v>15315</v>
      </c>
      <c r="BA1522" s="3" t="s">
        <v>15315</v>
      </c>
      <c r="BB1522" s="3" t="s">
        <v>15321</v>
      </c>
      <c r="BC1522" s="3" t="s">
        <v>102</v>
      </c>
      <c r="BD1522" s="3" t="s">
        <v>68</v>
      </c>
      <c r="BE1522" s="3" t="s">
        <v>15317</v>
      </c>
      <c r="BF1522" s="3" t="s">
        <v>15321</v>
      </c>
      <c r="BG1522" s="3" t="s">
        <v>15322</v>
      </c>
    </row>
    <row r="1523" spans="1:59" ht="58" x14ac:dyDescent="0.35">
      <c r="A1523" s="2" t="s">
        <v>89</v>
      </c>
      <c r="B1523" s="2" t="s">
        <v>90</v>
      </c>
      <c r="C1523" s="2" t="s">
        <v>15308</v>
      </c>
      <c r="D1523" s="2" t="s">
        <v>15309</v>
      </c>
      <c r="E1523" s="2" t="s">
        <v>15310</v>
      </c>
      <c r="F1523" s="3" t="s">
        <v>2214</v>
      </c>
      <c r="G1523" s="3" t="s">
        <v>61</v>
      </c>
      <c r="I1523" s="3" t="s">
        <v>62</v>
      </c>
      <c r="J1523" s="3" t="s">
        <v>62</v>
      </c>
      <c r="K1523" s="3" t="s">
        <v>63</v>
      </c>
      <c r="L1523" s="2" t="s">
        <v>15311</v>
      </c>
      <c r="M1523" s="2" t="s">
        <v>15312</v>
      </c>
      <c r="N1523" s="3" t="s">
        <v>553</v>
      </c>
      <c r="P1523" s="3" t="s">
        <v>64</v>
      </c>
      <c r="R1523" s="3" t="s">
        <v>13065</v>
      </c>
      <c r="S1523" s="4">
        <v>0</v>
      </c>
      <c r="T1523" s="4">
        <v>4</v>
      </c>
      <c r="V1523" s="5" t="s">
        <v>1894</v>
      </c>
      <c r="W1523" s="5" t="s">
        <v>67</v>
      </c>
      <c r="X1523" s="5" t="s">
        <v>67</v>
      </c>
      <c r="Y1523" s="4">
        <v>597</v>
      </c>
      <c r="Z1523" s="4">
        <v>22</v>
      </c>
      <c r="AA1523" s="4">
        <v>25</v>
      </c>
      <c r="AB1523" s="4">
        <v>1</v>
      </c>
      <c r="AC1523" s="4">
        <v>4</v>
      </c>
      <c r="AD1523" s="4">
        <v>14</v>
      </c>
      <c r="AE1523" s="4">
        <v>30</v>
      </c>
      <c r="AF1523" s="4">
        <v>0</v>
      </c>
      <c r="AG1523" s="4">
        <v>3</v>
      </c>
      <c r="AH1523" s="4">
        <v>13</v>
      </c>
      <c r="AI1523" s="4">
        <v>26</v>
      </c>
      <c r="AJ1523" s="4">
        <v>2</v>
      </c>
      <c r="AK1523" s="4">
        <v>4</v>
      </c>
      <c r="AL1523" s="4">
        <v>4</v>
      </c>
      <c r="AM1523" s="4">
        <v>10</v>
      </c>
      <c r="AN1523" s="4">
        <v>0</v>
      </c>
      <c r="AO1523" s="4">
        <v>0</v>
      </c>
      <c r="AP1523" s="4">
        <v>3</v>
      </c>
      <c r="AQ1523" s="4">
        <v>5</v>
      </c>
      <c r="AR1523" s="3" t="s">
        <v>62</v>
      </c>
      <c r="AS1523" s="3" t="s">
        <v>62</v>
      </c>
      <c r="AT1523" s="3" t="s">
        <v>61</v>
      </c>
      <c r="AU1523" s="6" t="str">
        <f>HYPERLINK("http://catalog.hathitrust.org/Record/007045379","HathiTrust Record")</f>
        <v>HathiTrust Record</v>
      </c>
      <c r="AV1523" s="6" t="str">
        <f>HYPERLINK("http://mcgill.on.worldcat.org/oclc/41497065","Catalog Record")</f>
        <v>Catalog Record</v>
      </c>
      <c r="AW1523" s="6" t="str">
        <f>HYPERLINK("http://www.worldcat.org/oclc/41497065","WorldCat Record")</f>
        <v>WorldCat Record</v>
      </c>
      <c r="AX1523" s="3" t="s">
        <v>15313</v>
      </c>
      <c r="AY1523" s="3" t="s">
        <v>15314</v>
      </c>
      <c r="AZ1523" s="3" t="s">
        <v>15315</v>
      </c>
      <c r="BA1523" s="3" t="s">
        <v>15315</v>
      </c>
      <c r="BB1523" s="3" t="s">
        <v>15323</v>
      </c>
      <c r="BC1523" s="3" t="s">
        <v>102</v>
      </c>
      <c r="BD1523" s="3" t="s">
        <v>68</v>
      </c>
      <c r="BE1523" s="3" t="s">
        <v>15317</v>
      </c>
      <c r="BF1523" s="3" t="s">
        <v>15323</v>
      </c>
      <c r="BG1523" s="3" t="s">
        <v>15324</v>
      </c>
    </row>
    <row r="1524" spans="1:59" ht="58" x14ac:dyDescent="0.35">
      <c r="A1524" s="2" t="s">
        <v>59</v>
      </c>
      <c r="B1524" s="2" t="s">
        <v>60</v>
      </c>
      <c r="C1524" s="2" t="s">
        <v>15325</v>
      </c>
      <c r="D1524" s="2" t="s">
        <v>15326</v>
      </c>
      <c r="E1524" s="2" t="s">
        <v>15327</v>
      </c>
      <c r="G1524" s="3" t="s">
        <v>62</v>
      </c>
      <c r="I1524" s="3" t="s">
        <v>61</v>
      </c>
      <c r="J1524" s="3" t="s">
        <v>61</v>
      </c>
      <c r="K1524" s="3" t="s">
        <v>63</v>
      </c>
      <c r="L1524" s="2" t="s">
        <v>15328</v>
      </c>
      <c r="M1524" s="2" t="s">
        <v>15329</v>
      </c>
      <c r="N1524" s="3" t="s">
        <v>2110</v>
      </c>
      <c r="P1524" s="3" t="s">
        <v>64</v>
      </c>
      <c r="Q1524" s="2" t="s">
        <v>15330</v>
      </c>
      <c r="R1524" s="3" t="s">
        <v>13065</v>
      </c>
      <c r="S1524" s="4">
        <v>6</v>
      </c>
      <c r="T1524" s="4">
        <v>8</v>
      </c>
      <c r="U1524" s="5" t="s">
        <v>15331</v>
      </c>
      <c r="V1524" s="5" t="s">
        <v>7038</v>
      </c>
      <c r="W1524" s="5" t="s">
        <v>67</v>
      </c>
      <c r="X1524" s="5" t="s">
        <v>67</v>
      </c>
      <c r="Y1524" s="4">
        <v>660</v>
      </c>
      <c r="Z1524" s="4">
        <v>31</v>
      </c>
      <c r="AA1524" s="4">
        <v>39</v>
      </c>
      <c r="AB1524" s="4">
        <v>2</v>
      </c>
      <c r="AC1524" s="4">
        <v>8</v>
      </c>
      <c r="AD1524" s="4">
        <v>122</v>
      </c>
      <c r="AE1524" s="4">
        <v>129</v>
      </c>
      <c r="AF1524" s="4">
        <v>1</v>
      </c>
      <c r="AG1524" s="4">
        <v>6</v>
      </c>
      <c r="AH1524" s="4">
        <v>106</v>
      </c>
      <c r="AI1524" s="4">
        <v>108</v>
      </c>
      <c r="AJ1524" s="4">
        <v>18</v>
      </c>
      <c r="AK1524" s="4">
        <v>23</v>
      </c>
      <c r="AL1524" s="4">
        <v>56</v>
      </c>
      <c r="AM1524" s="4">
        <v>56</v>
      </c>
      <c r="AN1524" s="4">
        <v>0</v>
      </c>
      <c r="AO1524" s="4">
        <v>0</v>
      </c>
      <c r="AP1524" s="4">
        <v>23</v>
      </c>
      <c r="AQ1524" s="4">
        <v>28</v>
      </c>
      <c r="AR1524" s="3" t="s">
        <v>62</v>
      </c>
      <c r="AS1524" s="3" t="s">
        <v>62</v>
      </c>
      <c r="AT1524" s="3" t="s">
        <v>61</v>
      </c>
      <c r="AU1524" s="6" t="str">
        <f>HYPERLINK("http://catalog.hathitrust.org/Record/000019124","HathiTrust Record")</f>
        <v>HathiTrust Record</v>
      </c>
      <c r="AV1524" s="6" t="str">
        <f>HYPERLINK("http://mcgill.on.worldcat.org/oclc/3649815","Catalog Record")</f>
        <v>Catalog Record</v>
      </c>
      <c r="AW1524" s="6" t="str">
        <f>HYPERLINK("http://www.worldcat.org/oclc/3649815","WorldCat Record")</f>
        <v>WorldCat Record</v>
      </c>
      <c r="AX1524" s="3" t="s">
        <v>15332</v>
      </c>
      <c r="AY1524" s="3" t="s">
        <v>15333</v>
      </c>
      <c r="AZ1524" s="3" t="s">
        <v>15334</v>
      </c>
      <c r="BA1524" s="3" t="s">
        <v>15334</v>
      </c>
      <c r="BB1524" s="3" t="s">
        <v>15335</v>
      </c>
      <c r="BC1524" s="3" t="s">
        <v>102</v>
      </c>
      <c r="BD1524" s="3" t="s">
        <v>68</v>
      </c>
      <c r="BE1524" s="3" t="s">
        <v>15336</v>
      </c>
      <c r="BF1524" s="3" t="s">
        <v>15335</v>
      </c>
      <c r="BG1524" s="3" t="s">
        <v>15337</v>
      </c>
    </row>
    <row r="1525" spans="1:59" ht="72.5" x14ac:dyDescent="0.35">
      <c r="A1525" s="2" t="s">
        <v>89</v>
      </c>
      <c r="B1525" s="2" t="s">
        <v>90</v>
      </c>
      <c r="C1525" s="2" t="s">
        <v>15338</v>
      </c>
      <c r="D1525" s="2" t="s">
        <v>15339</v>
      </c>
      <c r="E1525" s="2" t="s">
        <v>15340</v>
      </c>
      <c r="G1525" s="3" t="s">
        <v>62</v>
      </c>
      <c r="I1525" s="3" t="s">
        <v>62</v>
      </c>
      <c r="J1525" s="3" t="s">
        <v>62</v>
      </c>
      <c r="K1525" s="3" t="s">
        <v>63</v>
      </c>
      <c r="L1525" s="2" t="s">
        <v>15341</v>
      </c>
      <c r="M1525" s="2" t="s">
        <v>9390</v>
      </c>
      <c r="N1525" s="3" t="s">
        <v>2000</v>
      </c>
      <c r="P1525" s="3" t="s">
        <v>64</v>
      </c>
      <c r="Q1525" s="2" t="s">
        <v>15342</v>
      </c>
      <c r="R1525" s="3" t="s">
        <v>13065</v>
      </c>
      <c r="S1525" s="4">
        <v>16</v>
      </c>
      <c r="T1525" s="4">
        <v>16</v>
      </c>
      <c r="U1525" s="5" t="s">
        <v>12137</v>
      </c>
      <c r="V1525" s="5" t="s">
        <v>12137</v>
      </c>
      <c r="W1525" s="5" t="s">
        <v>67</v>
      </c>
      <c r="X1525" s="5" t="s">
        <v>67</v>
      </c>
      <c r="Y1525" s="4">
        <v>386</v>
      </c>
      <c r="Z1525" s="4">
        <v>26</v>
      </c>
      <c r="AA1525" s="4">
        <v>117</v>
      </c>
      <c r="AB1525" s="4">
        <v>2</v>
      </c>
      <c r="AC1525" s="4">
        <v>18</v>
      </c>
      <c r="AD1525" s="4">
        <v>110</v>
      </c>
      <c r="AE1525" s="4">
        <v>152</v>
      </c>
      <c r="AF1525" s="4">
        <v>1</v>
      </c>
      <c r="AG1525" s="4">
        <v>9</v>
      </c>
      <c r="AH1525" s="4">
        <v>96</v>
      </c>
      <c r="AI1525" s="4">
        <v>108</v>
      </c>
      <c r="AJ1525" s="4">
        <v>17</v>
      </c>
      <c r="AK1525" s="4">
        <v>26</v>
      </c>
      <c r="AL1525" s="4">
        <v>59</v>
      </c>
      <c r="AM1525" s="4">
        <v>60</v>
      </c>
      <c r="AN1525" s="4">
        <v>0</v>
      </c>
      <c r="AO1525" s="4">
        <v>0</v>
      </c>
      <c r="AP1525" s="4">
        <v>20</v>
      </c>
      <c r="AQ1525" s="4">
        <v>52</v>
      </c>
      <c r="AR1525" s="3" t="s">
        <v>62</v>
      </c>
      <c r="AS1525" s="3" t="s">
        <v>62</v>
      </c>
      <c r="AT1525" s="3" t="s">
        <v>62</v>
      </c>
      <c r="AV1525" s="6" t="str">
        <f>HYPERLINK("http://mcgill.on.worldcat.org/oclc/35243454","Catalog Record")</f>
        <v>Catalog Record</v>
      </c>
      <c r="AW1525" s="6" t="str">
        <f>HYPERLINK("http://www.worldcat.org/oclc/35243454","WorldCat Record")</f>
        <v>WorldCat Record</v>
      </c>
      <c r="AX1525" s="3" t="s">
        <v>15343</v>
      </c>
      <c r="AY1525" s="3" t="s">
        <v>15344</v>
      </c>
      <c r="AZ1525" s="3" t="s">
        <v>15345</v>
      </c>
      <c r="BA1525" s="3" t="s">
        <v>15345</v>
      </c>
      <c r="BB1525" s="3" t="s">
        <v>15346</v>
      </c>
      <c r="BC1525" s="3" t="s">
        <v>102</v>
      </c>
      <c r="BD1525" s="3" t="s">
        <v>68</v>
      </c>
      <c r="BE1525" s="3" t="s">
        <v>15347</v>
      </c>
      <c r="BF1525" s="3" t="s">
        <v>15346</v>
      </c>
      <c r="BG1525" s="3" t="s">
        <v>15348</v>
      </c>
    </row>
    <row r="1526" spans="1:59" ht="72.5" x14ac:dyDescent="0.35">
      <c r="A1526" s="2" t="s">
        <v>89</v>
      </c>
      <c r="B1526" s="2" t="s">
        <v>90</v>
      </c>
      <c r="C1526" s="2" t="s">
        <v>15349</v>
      </c>
      <c r="D1526" s="2" t="s">
        <v>15350</v>
      </c>
      <c r="E1526" s="2" t="s">
        <v>15351</v>
      </c>
      <c r="G1526" s="3" t="s">
        <v>62</v>
      </c>
      <c r="I1526" s="3" t="s">
        <v>62</v>
      </c>
      <c r="J1526" s="3" t="s">
        <v>62</v>
      </c>
      <c r="K1526" s="3" t="s">
        <v>63</v>
      </c>
      <c r="L1526" s="2" t="s">
        <v>15341</v>
      </c>
      <c r="M1526" s="2" t="s">
        <v>15352</v>
      </c>
      <c r="N1526" s="3" t="s">
        <v>1905</v>
      </c>
      <c r="P1526" s="3" t="s">
        <v>64</v>
      </c>
      <c r="R1526" s="3" t="s">
        <v>13065</v>
      </c>
      <c r="S1526" s="4">
        <v>18</v>
      </c>
      <c r="T1526" s="4">
        <v>18</v>
      </c>
      <c r="U1526" s="5" t="s">
        <v>12137</v>
      </c>
      <c r="V1526" s="5" t="s">
        <v>12137</v>
      </c>
      <c r="W1526" s="5" t="s">
        <v>67</v>
      </c>
      <c r="X1526" s="5" t="s">
        <v>67</v>
      </c>
      <c r="Y1526" s="4">
        <v>679</v>
      </c>
      <c r="Z1526" s="4">
        <v>31</v>
      </c>
      <c r="AA1526" s="4">
        <v>97</v>
      </c>
      <c r="AB1526" s="4">
        <v>1</v>
      </c>
      <c r="AC1526" s="4">
        <v>17</v>
      </c>
      <c r="AD1526" s="4">
        <v>124</v>
      </c>
      <c r="AE1526" s="4">
        <v>152</v>
      </c>
      <c r="AF1526" s="4">
        <v>0</v>
      </c>
      <c r="AG1526" s="4">
        <v>8</v>
      </c>
      <c r="AH1526" s="4">
        <v>103</v>
      </c>
      <c r="AI1526" s="4">
        <v>110</v>
      </c>
      <c r="AJ1526" s="4">
        <v>17</v>
      </c>
      <c r="AK1526" s="4">
        <v>25</v>
      </c>
      <c r="AL1526" s="4">
        <v>60</v>
      </c>
      <c r="AM1526" s="4">
        <v>62</v>
      </c>
      <c r="AN1526" s="4">
        <v>0</v>
      </c>
      <c r="AO1526" s="4">
        <v>0</v>
      </c>
      <c r="AP1526" s="4">
        <v>24</v>
      </c>
      <c r="AQ1526" s="4">
        <v>46</v>
      </c>
      <c r="AR1526" s="3" t="s">
        <v>62</v>
      </c>
      <c r="AS1526" s="3" t="s">
        <v>62</v>
      </c>
      <c r="AT1526" s="3" t="s">
        <v>62</v>
      </c>
      <c r="AV1526" s="6" t="str">
        <f>HYPERLINK("http://mcgill.on.worldcat.org/oclc/14357534","Catalog Record")</f>
        <v>Catalog Record</v>
      </c>
      <c r="AW1526" s="6" t="str">
        <f>HYPERLINK("http://www.worldcat.org/oclc/14357534","WorldCat Record")</f>
        <v>WorldCat Record</v>
      </c>
      <c r="AX1526" s="3" t="s">
        <v>15353</v>
      </c>
      <c r="AY1526" s="3" t="s">
        <v>15354</v>
      </c>
      <c r="AZ1526" s="3" t="s">
        <v>15355</v>
      </c>
      <c r="BA1526" s="3" t="s">
        <v>15355</v>
      </c>
      <c r="BB1526" s="3" t="s">
        <v>15356</v>
      </c>
      <c r="BC1526" s="3" t="s">
        <v>102</v>
      </c>
      <c r="BD1526" s="3" t="s">
        <v>68</v>
      </c>
      <c r="BE1526" s="3" t="s">
        <v>15357</v>
      </c>
      <c r="BF1526" s="3" t="s">
        <v>15356</v>
      </c>
      <c r="BG1526" s="3" t="s">
        <v>15358</v>
      </c>
    </row>
    <row r="1527" spans="1:59" ht="58" x14ac:dyDescent="0.35">
      <c r="A1527" s="2" t="s">
        <v>89</v>
      </c>
      <c r="B1527" s="2" t="s">
        <v>90</v>
      </c>
      <c r="C1527" s="2" t="s">
        <v>15359</v>
      </c>
      <c r="D1527" s="2" t="s">
        <v>15360</v>
      </c>
      <c r="E1527" s="2" t="s">
        <v>15361</v>
      </c>
      <c r="G1527" s="3" t="s">
        <v>62</v>
      </c>
      <c r="I1527" s="3" t="s">
        <v>62</v>
      </c>
      <c r="J1527" s="3" t="s">
        <v>62</v>
      </c>
      <c r="K1527" s="3" t="s">
        <v>63</v>
      </c>
      <c r="L1527" s="2" t="s">
        <v>15362</v>
      </c>
      <c r="M1527" s="2" t="s">
        <v>1893</v>
      </c>
      <c r="N1527" s="3" t="s">
        <v>327</v>
      </c>
      <c r="P1527" s="3" t="s">
        <v>1760</v>
      </c>
      <c r="Q1527" s="2" t="s">
        <v>15363</v>
      </c>
      <c r="R1527" s="3" t="s">
        <v>13065</v>
      </c>
      <c r="S1527" s="4">
        <v>1</v>
      </c>
      <c r="T1527" s="4">
        <v>1</v>
      </c>
      <c r="U1527" s="5" t="s">
        <v>15364</v>
      </c>
      <c r="V1527" s="5" t="s">
        <v>15364</v>
      </c>
      <c r="W1527" s="5" t="s">
        <v>67</v>
      </c>
      <c r="X1527" s="5" t="s">
        <v>67</v>
      </c>
      <c r="Y1527" s="4">
        <v>28</v>
      </c>
      <c r="Z1527" s="4">
        <v>2</v>
      </c>
      <c r="AA1527" s="4">
        <v>2</v>
      </c>
      <c r="AB1527" s="4">
        <v>2</v>
      </c>
      <c r="AC1527" s="4">
        <v>2</v>
      </c>
      <c r="AD1527" s="4">
        <v>17</v>
      </c>
      <c r="AE1527" s="4">
        <v>17</v>
      </c>
      <c r="AF1527" s="4">
        <v>0</v>
      </c>
      <c r="AG1527" s="4">
        <v>0</v>
      </c>
      <c r="AH1527" s="4">
        <v>17</v>
      </c>
      <c r="AI1527" s="4">
        <v>17</v>
      </c>
      <c r="AJ1527" s="4">
        <v>0</v>
      </c>
      <c r="AK1527" s="4">
        <v>0</v>
      </c>
      <c r="AL1527" s="4">
        <v>12</v>
      </c>
      <c r="AM1527" s="4">
        <v>12</v>
      </c>
      <c r="AN1527" s="4">
        <v>0</v>
      </c>
      <c r="AO1527" s="4">
        <v>0</v>
      </c>
      <c r="AP1527" s="4">
        <v>0</v>
      </c>
      <c r="AQ1527" s="4">
        <v>0</v>
      </c>
      <c r="AR1527" s="3" t="s">
        <v>62</v>
      </c>
      <c r="AS1527" s="3" t="s">
        <v>62</v>
      </c>
      <c r="AT1527" s="3" t="s">
        <v>61</v>
      </c>
      <c r="AU1527" s="6" t="str">
        <f>HYPERLINK("http://catalog.hathitrust.org/Record/000380404","HathiTrust Record")</f>
        <v>HathiTrust Record</v>
      </c>
      <c r="AV1527" s="6" t="str">
        <f>HYPERLINK("http://mcgill.on.worldcat.org/oclc/10371214","Catalog Record")</f>
        <v>Catalog Record</v>
      </c>
      <c r="AW1527" s="6" t="str">
        <f>HYPERLINK("http://www.worldcat.org/oclc/10371214","WorldCat Record")</f>
        <v>WorldCat Record</v>
      </c>
      <c r="AX1527" s="3" t="s">
        <v>15365</v>
      </c>
      <c r="AY1527" s="3" t="s">
        <v>15366</v>
      </c>
      <c r="AZ1527" s="3" t="s">
        <v>15367</v>
      </c>
      <c r="BA1527" s="3" t="s">
        <v>15367</v>
      </c>
      <c r="BB1527" s="3" t="s">
        <v>15368</v>
      </c>
      <c r="BC1527" s="3" t="s">
        <v>102</v>
      </c>
      <c r="BD1527" s="3" t="s">
        <v>68</v>
      </c>
      <c r="BF1527" s="3" t="s">
        <v>15368</v>
      </c>
      <c r="BG1527" s="3" t="s">
        <v>15369</v>
      </c>
    </row>
    <row r="1528" spans="1:59" ht="58" x14ac:dyDescent="0.35">
      <c r="A1528" s="2" t="s">
        <v>89</v>
      </c>
      <c r="B1528" s="2" t="s">
        <v>90</v>
      </c>
      <c r="C1528" s="2" t="s">
        <v>15370</v>
      </c>
      <c r="D1528" s="2" t="s">
        <v>15371</v>
      </c>
      <c r="E1528" s="2" t="s">
        <v>15372</v>
      </c>
      <c r="G1528" s="3" t="s">
        <v>62</v>
      </c>
      <c r="I1528" s="3" t="s">
        <v>62</v>
      </c>
      <c r="J1528" s="3" t="s">
        <v>62</v>
      </c>
      <c r="K1528" s="3" t="s">
        <v>63</v>
      </c>
      <c r="L1528" s="2" t="s">
        <v>15373</v>
      </c>
      <c r="M1528" s="2" t="s">
        <v>15374</v>
      </c>
      <c r="N1528" s="3" t="s">
        <v>655</v>
      </c>
      <c r="P1528" s="3" t="s">
        <v>64</v>
      </c>
      <c r="R1528" s="3" t="s">
        <v>13065</v>
      </c>
      <c r="S1528" s="4">
        <v>13</v>
      </c>
      <c r="T1528" s="4">
        <v>13</v>
      </c>
      <c r="U1528" s="5" t="s">
        <v>7755</v>
      </c>
      <c r="V1528" s="5" t="s">
        <v>7755</v>
      </c>
      <c r="W1528" s="5" t="s">
        <v>67</v>
      </c>
      <c r="X1528" s="5" t="s">
        <v>67</v>
      </c>
      <c r="Y1528" s="4">
        <v>490</v>
      </c>
      <c r="Z1528" s="4">
        <v>24</v>
      </c>
      <c r="AA1528" s="4">
        <v>24</v>
      </c>
      <c r="AB1528" s="4">
        <v>2</v>
      </c>
      <c r="AC1528" s="4">
        <v>2</v>
      </c>
      <c r="AD1528" s="4">
        <v>87</v>
      </c>
      <c r="AE1528" s="4">
        <v>87</v>
      </c>
      <c r="AF1528" s="4">
        <v>1</v>
      </c>
      <c r="AG1528" s="4">
        <v>1</v>
      </c>
      <c r="AH1528" s="4">
        <v>76</v>
      </c>
      <c r="AI1528" s="4">
        <v>76</v>
      </c>
      <c r="AJ1528" s="4">
        <v>11</v>
      </c>
      <c r="AK1528" s="4">
        <v>11</v>
      </c>
      <c r="AL1528" s="4">
        <v>43</v>
      </c>
      <c r="AM1528" s="4">
        <v>43</v>
      </c>
      <c r="AN1528" s="4">
        <v>0</v>
      </c>
      <c r="AO1528" s="4">
        <v>0</v>
      </c>
      <c r="AP1528" s="4">
        <v>15</v>
      </c>
      <c r="AQ1528" s="4">
        <v>15</v>
      </c>
      <c r="AR1528" s="3" t="s">
        <v>62</v>
      </c>
      <c r="AS1528" s="3" t="s">
        <v>62</v>
      </c>
      <c r="AT1528" s="3" t="s">
        <v>61</v>
      </c>
      <c r="AU1528" s="6" t="str">
        <f>HYPERLINK("http://catalog.hathitrust.org/Record/005583722","HathiTrust Record")</f>
        <v>HathiTrust Record</v>
      </c>
      <c r="AV1528" s="6" t="str">
        <f>HYPERLINK("http://mcgill.on.worldcat.org/oclc/78791004","Catalog Record")</f>
        <v>Catalog Record</v>
      </c>
      <c r="AW1528" s="6" t="str">
        <f>HYPERLINK("http://www.worldcat.org/oclc/78791004","WorldCat Record")</f>
        <v>WorldCat Record</v>
      </c>
      <c r="AX1528" s="3" t="s">
        <v>15375</v>
      </c>
      <c r="AY1528" s="3" t="s">
        <v>15376</v>
      </c>
      <c r="AZ1528" s="3" t="s">
        <v>15377</v>
      </c>
      <c r="BA1528" s="3" t="s">
        <v>15377</v>
      </c>
      <c r="BB1528" s="3" t="s">
        <v>15378</v>
      </c>
      <c r="BC1528" s="3" t="s">
        <v>102</v>
      </c>
      <c r="BD1528" s="3" t="s">
        <v>68</v>
      </c>
      <c r="BE1528" s="3" t="s">
        <v>15379</v>
      </c>
      <c r="BF1528" s="3" t="s">
        <v>15378</v>
      </c>
      <c r="BG1528" s="3" t="s">
        <v>15380</v>
      </c>
    </row>
    <row r="1529" spans="1:59" ht="58" x14ac:dyDescent="0.35">
      <c r="A1529" s="2" t="s">
        <v>89</v>
      </c>
      <c r="B1529" s="2" t="s">
        <v>90</v>
      </c>
      <c r="C1529" s="2" t="s">
        <v>15381</v>
      </c>
      <c r="D1529" s="2" t="s">
        <v>15382</v>
      </c>
      <c r="E1529" s="2" t="s">
        <v>15383</v>
      </c>
      <c r="G1529" s="3" t="s">
        <v>62</v>
      </c>
      <c r="I1529" s="3" t="s">
        <v>61</v>
      </c>
      <c r="J1529" s="3" t="s">
        <v>62</v>
      </c>
      <c r="K1529" s="3" t="s">
        <v>63</v>
      </c>
      <c r="L1529" s="2" t="s">
        <v>15384</v>
      </c>
      <c r="M1529" s="2" t="s">
        <v>15385</v>
      </c>
      <c r="N1529" s="3" t="s">
        <v>1482</v>
      </c>
      <c r="P1529" s="3" t="s">
        <v>64</v>
      </c>
      <c r="R1529" s="3" t="s">
        <v>13065</v>
      </c>
      <c r="S1529" s="4">
        <v>4</v>
      </c>
      <c r="T1529" s="4">
        <v>12</v>
      </c>
      <c r="U1529" s="5" t="s">
        <v>15386</v>
      </c>
      <c r="V1529" s="5" t="s">
        <v>15386</v>
      </c>
      <c r="W1529" s="5" t="s">
        <v>67</v>
      </c>
      <c r="X1529" s="5" t="s">
        <v>67</v>
      </c>
      <c r="Y1529" s="4">
        <v>638</v>
      </c>
      <c r="Z1529" s="4">
        <v>25</v>
      </c>
      <c r="AA1529" s="4">
        <v>26</v>
      </c>
      <c r="AB1529" s="4">
        <v>1</v>
      </c>
      <c r="AC1529" s="4">
        <v>2</v>
      </c>
      <c r="AD1529" s="4">
        <v>103</v>
      </c>
      <c r="AE1529" s="4">
        <v>104</v>
      </c>
      <c r="AF1529" s="4">
        <v>0</v>
      </c>
      <c r="AG1529" s="4">
        <v>1</v>
      </c>
      <c r="AH1529" s="4">
        <v>91</v>
      </c>
      <c r="AI1529" s="4">
        <v>92</v>
      </c>
      <c r="AJ1529" s="4">
        <v>15</v>
      </c>
      <c r="AK1529" s="4">
        <v>16</v>
      </c>
      <c r="AL1529" s="4">
        <v>49</v>
      </c>
      <c r="AM1529" s="4">
        <v>49</v>
      </c>
      <c r="AN1529" s="4">
        <v>0</v>
      </c>
      <c r="AO1529" s="4">
        <v>0</v>
      </c>
      <c r="AP1529" s="4">
        <v>19</v>
      </c>
      <c r="AQ1529" s="4">
        <v>20</v>
      </c>
      <c r="AR1529" s="3" t="s">
        <v>62</v>
      </c>
      <c r="AS1529" s="3" t="s">
        <v>62</v>
      </c>
      <c r="AT1529" s="3" t="s">
        <v>61</v>
      </c>
      <c r="AU1529" s="6" t="str">
        <f>HYPERLINK("http://catalog.hathitrust.org/Record/000490483","HathiTrust Record")</f>
        <v>HathiTrust Record</v>
      </c>
      <c r="AV1529" s="6" t="str">
        <f>HYPERLINK("http://mcgill.on.worldcat.org/oclc/13793405","Catalog Record")</f>
        <v>Catalog Record</v>
      </c>
      <c r="AW1529" s="6" t="str">
        <f>HYPERLINK("http://www.worldcat.org/oclc/13793405","WorldCat Record")</f>
        <v>WorldCat Record</v>
      </c>
      <c r="AX1529" s="3" t="s">
        <v>15387</v>
      </c>
      <c r="AY1529" s="3" t="s">
        <v>15388</v>
      </c>
      <c r="AZ1529" s="3" t="s">
        <v>15389</v>
      </c>
      <c r="BA1529" s="3" t="s">
        <v>15389</v>
      </c>
      <c r="BB1529" s="3" t="s">
        <v>15390</v>
      </c>
      <c r="BC1529" s="3" t="s">
        <v>102</v>
      </c>
      <c r="BD1529" s="3" t="s">
        <v>68</v>
      </c>
      <c r="BE1529" s="3" t="s">
        <v>15391</v>
      </c>
      <c r="BF1529" s="3" t="s">
        <v>15390</v>
      </c>
      <c r="BG1529" s="3" t="s">
        <v>15392</v>
      </c>
    </row>
    <row r="1530" spans="1:59" ht="58" x14ac:dyDescent="0.35">
      <c r="A1530" s="2" t="s">
        <v>89</v>
      </c>
      <c r="B1530" s="2" t="s">
        <v>90</v>
      </c>
      <c r="C1530" s="2" t="s">
        <v>15393</v>
      </c>
      <c r="D1530" s="2" t="s">
        <v>15394</v>
      </c>
      <c r="E1530" s="2" t="s">
        <v>15395</v>
      </c>
      <c r="G1530" s="3" t="s">
        <v>62</v>
      </c>
      <c r="I1530" s="3" t="s">
        <v>62</v>
      </c>
      <c r="J1530" s="3" t="s">
        <v>62</v>
      </c>
      <c r="K1530" s="3" t="s">
        <v>63</v>
      </c>
      <c r="L1530" s="2" t="s">
        <v>15396</v>
      </c>
      <c r="M1530" s="2" t="s">
        <v>15397</v>
      </c>
      <c r="N1530" s="3" t="s">
        <v>2085</v>
      </c>
      <c r="P1530" s="3" t="s">
        <v>64</v>
      </c>
      <c r="R1530" s="3" t="s">
        <v>13065</v>
      </c>
      <c r="S1530" s="4">
        <v>0</v>
      </c>
      <c r="T1530" s="4">
        <v>0</v>
      </c>
      <c r="W1530" s="5" t="s">
        <v>67</v>
      </c>
      <c r="X1530" s="5" t="s">
        <v>67</v>
      </c>
      <c r="Y1530" s="4">
        <v>366</v>
      </c>
      <c r="Z1530" s="4">
        <v>9</v>
      </c>
      <c r="AA1530" s="4">
        <v>9</v>
      </c>
      <c r="AB1530" s="4">
        <v>1</v>
      </c>
      <c r="AC1530" s="4">
        <v>1</v>
      </c>
      <c r="AD1530" s="4">
        <v>63</v>
      </c>
      <c r="AE1530" s="4">
        <v>63</v>
      </c>
      <c r="AF1530" s="4">
        <v>0</v>
      </c>
      <c r="AG1530" s="4">
        <v>0</v>
      </c>
      <c r="AH1530" s="4">
        <v>57</v>
      </c>
      <c r="AI1530" s="4">
        <v>57</v>
      </c>
      <c r="AJ1530" s="4">
        <v>2</v>
      </c>
      <c r="AK1530" s="4">
        <v>2</v>
      </c>
      <c r="AL1530" s="4">
        <v>40</v>
      </c>
      <c r="AM1530" s="4">
        <v>40</v>
      </c>
      <c r="AN1530" s="4">
        <v>0</v>
      </c>
      <c r="AO1530" s="4">
        <v>0</v>
      </c>
      <c r="AP1530" s="4">
        <v>5</v>
      </c>
      <c r="AQ1530" s="4">
        <v>5</v>
      </c>
      <c r="AR1530" s="3" t="s">
        <v>62</v>
      </c>
      <c r="AS1530" s="3" t="s">
        <v>62</v>
      </c>
      <c r="AT1530" s="3" t="s">
        <v>62</v>
      </c>
      <c r="AV1530" s="6" t="str">
        <f>HYPERLINK("http://mcgill.on.worldcat.org/oclc/1007310334","Catalog Record")</f>
        <v>Catalog Record</v>
      </c>
      <c r="AW1530" s="6" t="str">
        <f>HYPERLINK("http://www.worldcat.org/oclc/1007310334","WorldCat Record")</f>
        <v>WorldCat Record</v>
      </c>
      <c r="AX1530" s="3" t="s">
        <v>15398</v>
      </c>
      <c r="AY1530" s="3" t="s">
        <v>15399</v>
      </c>
      <c r="AZ1530" s="3" t="s">
        <v>15400</v>
      </c>
      <c r="BA1530" s="3" t="s">
        <v>15400</v>
      </c>
      <c r="BB1530" s="3" t="s">
        <v>15401</v>
      </c>
      <c r="BC1530" s="3" t="s">
        <v>102</v>
      </c>
      <c r="BD1530" s="3" t="s">
        <v>68</v>
      </c>
      <c r="BE1530" s="3" t="s">
        <v>15402</v>
      </c>
      <c r="BF1530" s="3" t="s">
        <v>15401</v>
      </c>
      <c r="BG1530" s="3" t="s">
        <v>15403</v>
      </c>
    </row>
    <row r="1531" spans="1:59" ht="58" x14ac:dyDescent="0.35">
      <c r="A1531" s="2" t="s">
        <v>89</v>
      </c>
      <c r="B1531" s="2" t="s">
        <v>90</v>
      </c>
      <c r="C1531" s="2" t="s">
        <v>15404</v>
      </c>
      <c r="D1531" s="2" t="s">
        <v>15405</v>
      </c>
      <c r="E1531" s="2" t="s">
        <v>15406</v>
      </c>
      <c r="G1531" s="3" t="s">
        <v>62</v>
      </c>
      <c r="I1531" s="3" t="s">
        <v>62</v>
      </c>
      <c r="J1531" s="3" t="s">
        <v>62</v>
      </c>
      <c r="K1531" s="3" t="s">
        <v>63</v>
      </c>
      <c r="L1531" s="2" t="s">
        <v>15407</v>
      </c>
      <c r="M1531" s="2" t="s">
        <v>15408</v>
      </c>
      <c r="N1531" s="3" t="s">
        <v>466</v>
      </c>
      <c r="O1531" s="2" t="s">
        <v>2163</v>
      </c>
      <c r="P1531" s="3" t="s">
        <v>64</v>
      </c>
      <c r="R1531" s="3" t="s">
        <v>13065</v>
      </c>
      <c r="S1531" s="4">
        <v>41</v>
      </c>
      <c r="T1531" s="4">
        <v>41</v>
      </c>
      <c r="U1531" s="5" t="s">
        <v>3099</v>
      </c>
      <c r="V1531" s="5" t="s">
        <v>3099</v>
      </c>
      <c r="W1531" s="5" t="s">
        <v>67</v>
      </c>
      <c r="X1531" s="5" t="s">
        <v>67</v>
      </c>
      <c r="Y1531" s="4">
        <v>807</v>
      </c>
      <c r="Z1531" s="4">
        <v>28</v>
      </c>
      <c r="AA1531" s="4">
        <v>39</v>
      </c>
      <c r="AB1531" s="4">
        <v>2</v>
      </c>
      <c r="AC1531" s="4">
        <v>5</v>
      </c>
      <c r="AD1531" s="4">
        <v>99</v>
      </c>
      <c r="AE1531" s="4">
        <v>112</v>
      </c>
      <c r="AF1531" s="4">
        <v>1</v>
      </c>
      <c r="AG1531" s="4">
        <v>2</v>
      </c>
      <c r="AH1531" s="4">
        <v>86</v>
      </c>
      <c r="AI1531" s="4">
        <v>96</v>
      </c>
      <c r="AJ1531" s="4">
        <v>13</v>
      </c>
      <c r="AK1531" s="4">
        <v>15</v>
      </c>
      <c r="AL1531" s="4">
        <v>47</v>
      </c>
      <c r="AM1531" s="4">
        <v>52</v>
      </c>
      <c r="AN1531" s="4">
        <v>0</v>
      </c>
      <c r="AO1531" s="4">
        <v>0</v>
      </c>
      <c r="AP1531" s="4">
        <v>19</v>
      </c>
      <c r="AQ1531" s="4">
        <v>22</v>
      </c>
      <c r="AR1531" s="3" t="s">
        <v>62</v>
      </c>
      <c r="AS1531" s="3" t="s">
        <v>62</v>
      </c>
      <c r="AT1531" s="3" t="s">
        <v>61</v>
      </c>
      <c r="AU1531" s="6" t="str">
        <f>HYPERLINK("http://catalog.hathitrust.org/Record/002525296","HathiTrust Record")</f>
        <v>HathiTrust Record</v>
      </c>
      <c r="AV1531" s="6" t="str">
        <f>HYPERLINK("http://mcgill.on.worldcat.org/oclc/23383657","Catalog Record")</f>
        <v>Catalog Record</v>
      </c>
      <c r="AW1531" s="6" t="str">
        <f>HYPERLINK("http://www.worldcat.org/oclc/23383657","WorldCat Record")</f>
        <v>WorldCat Record</v>
      </c>
      <c r="AX1531" s="3" t="s">
        <v>15409</v>
      </c>
      <c r="AY1531" s="3" t="s">
        <v>15410</v>
      </c>
      <c r="AZ1531" s="3" t="s">
        <v>15411</v>
      </c>
      <c r="BA1531" s="3" t="s">
        <v>15411</v>
      </c>
      <c r="BB1531" s="3" t="s">
        <v>15412</v>
      </c>
      <c r="BC1531" s="3" t="s">
        <v>102</v>
      </c>
      <c r="BD1531" s="3" t="s">
        <v>231</v>
      </c>
      <c r="BE1531" s="3" t="s">
        <v>15413</v>
      </c>
      <c r="BF1531" s="3" t="s">
        <v>15412</v>
      </c>
      <c r="BG1531" s="3" t="s">
        <v>15414</v>
      </c>
    </row>
    <row r="1532" spans="1:59" ht="72.5" x14ac:dyDescent="0.35">
      <c r="A1532" s="2" t="s">
        <v>89</v>
      </c>
      <c r="B1532" s="2" t="s">
        <v>90</v>
      </c>
      <c r="C1532" s="2" t="s">
        <v>15415</v>
      </c>
      <c r="D1532" s="2" t="s">
        <v>15416</v>
      </c>
      <c r="E1532" s="2" t="s">
        <v>15417</v>
      </c>
      <c r="G1532" s="3" t="s">
        <v>62</v>
      </c>
      <c r="I1532" s="3" t="s">
        <v>61</v>
      </c>
      <c r="J1532" s="3" t="s">
        <v>61</v>
      </c>
      <c r="K1532" s="3" t="s">
        <v>63</v>
      </c>
      <c r="L1532" s="2" t="s">
        <v>9125</v>
      </c>
      <c r="M1532" s="2" t="s">
        <v>15418</v>
      </c>
      <c r="N1532" s="3" t="s">
        <v>809</v>
      </c>
      <c r="O1532" s="2" t="s">
        <v>2849</v>
      </c>
      <c r="P1532" s="3" t="s">
        <v>64</v>
      </c>
      <c r="R1532" s="3" t="s">
        <v>13065</v>
      </c>
      <c r="S1532" s="4">
        <v>11</v>
      </c>
      <c r="T1532" s="4">
        <v>13</v>
      </c>
      <c r="U1532" s="5" t="s">
        <v>15419</v>
      </c>
      <c r="V1532" s="5" t="s">
        <v>15420</v>
      </c>
      <c r="W1532" s="5" t="s">
        <v>67</v>
      </c>
      <c r="X1532" s="5" t="s">
        <v>67</v>
      </c>
      <c r="Y1532" s="4">
        <v>731</v>
      </c>
      <c r="Z1532" s="4">
        <v>29</v>
      </c>
      <c r="AA1532" s="4">
        <v>106</v>
      </c>
      <c r="AB1532" s="4">
        <v>1</v>
      </c>
      <c r="AC1532" s="4">
        <v>19</v>
      </c>
      <c r="AD1532" s="4">
        <v>115</v>
      </c>
      <c r="AE1532" s="4">
        <v>160</v>
      </c>
      <c r="AF1532" s="4">
        <v>0</v>
      </c>
      <c r="AG1532" s="4">
        <v>8</v>
      </c>
      <c r="AH1532" s="4">
        <v>98</v>
      </c>
      <c r="AI1532" s="4">
        <v>115</v>
      </c>
      <c r="AJ1532" s="4">
        <v>15</v>
      </c>
      <c r="AK1532" s="4">
        <v>27</v>
      </c>
      <c r="AL1532" s="4">
        <v>60</v>
      </c>
      <c r="AM1532" s="4">
        <v>62</v>
      </c>
      <c r="AN1532" s="4">
        <v>0</v>
      </c>
      <c r="AO1532" s="4">
        <v>0</v>
      </c>
      <c r="AP1532" s="4">
        <v>19</v>
      </c>
      <c r="AQ1532" s="4">
        <v>51</v>
      </c>
      <c r="AR1532" s="3" t="s">
        <v>62</v>
      </c>
      <c r="AS1532" s="3" t="s">
        <v>62</v>
      </c>
      <c r="AT1532" s="3" t="s">
        <v>61</v>
      </c>
      <c r="AU1532" s="6" t="str">
        <f>HYPERLINK("http://catalog.hathitrust.org/Record/000164641","HathiTrust Record")</f>
        <v>HathiTrust Record</v>
      </c>
      <c r="AV1532" s="6" t="str">
        <f>HYPERLINK("http://mcgill.on.worldcat.org/oclc/807476","Catalog Record")</f>
        <v>Catalog Record</v>
      </c>
      <c r="AW1532" s="6" t="str">
        <f>HYPERLINK("http://www.worldcat.org/oclc/807476","WorldCat Record")</f>
        <v>WorldCat Record</v>
      </c>
      <c r="AX1532" s="3" t="s">
        <v>15421</v>
      </c>
      <c r="AY1532" s="3" t="s">
        <v>15422</v>
      </c>
      <c r="AZ1532" s="3" t="s">
        <v>15423</v>
      </c>
      <c r="BA1532" s="3" t="s">
        <v>15423</v>
      </c>
      <c r="BB1532" s="3" t="s">
        <v>15424</v>
      </c>
      <c r="BC1532" s="3" t="s">
        <v>102</v>
      </c>
      <c r="BD1532" s="3" t="s">
        <v>68</v>
      </c>
      <c r="BF1532" s="3" t="s">
        <v>15424</v>
      </c>
      <c r="BG1532" s="3" t="s">
        <v>15425</v>
      </c>
    </row>
    <row r="1533" spans="1:59" ht="58" x14ac:dyDescent="0.35">
      <c r="A1533" s="2" t="s">
        <v>89</v>
      </c>
      <c r="B1533" s="2" t="s">
        <v>90</v>
      </c>
      <c r="C1533" s="2" t="s">
        <v>15426</v>
      </c>
      <c r="D1533" s="2" t="s">
        <v>15427</v>
      </c>
      <c r="E1533" s="2" t="s">
        <v>15428</v>
      </c>
      <c r="F1533" s="3" t="s">
        <v>2233</v>
      </c>
      <c r="G1533" s="3" t="s">
        <v>61</v>
      </c>
      <c r="I1533" s="3" t="s">
        <v>62</v>
      </c>
      <c r="J1533" s="3" t="s">
        <v>62</v>
      </c>
      <c r="K1533" s="3" t="s">
        <v>63</v>
      </c>
      <c r="L1533" s="2" t="s">
        <v>15429</v>
      </c>
      <c r="M1533" s="2" t="s">
        <v>15430</v>
      </c>
      <c r="N1533" s="3" t="s">
        <v>438</v>
      </c>
      <c r="P1533" s="3" t="s">
        <v>64</v>
      </c>
      <c r="Q1533" s="2" t="s">
        <v>15431</v>
      </c>
      <c r="R1533" s="3" t="s">
        <v>13065</v>
      </c>
      <c r="S1533" s="4">
        <v>5</v>
      </c>
      <c r="T1533" s="4">
        <v>10</v>
      </c>
      <c r="U1533" s="5" t="s">
        <v>15432</v>
      </c>
      <c r="V1533" s="5" t="s">
        <v>15432</v>
      </c>
      <c r="W1533" s="5" t="s">
        <v>67</v>
      </c>
      <c r="X1533" s="5" t="s">
        <v>67</v>
      </c>
      <c r="Y1533" s="4">
        <v>182</v>
      </c>
      <c r="Z1533" s="4">
        <v>16</v>
      </c>
      <c r="AA1533" s="4">
        <v>19</v>
      </c>
      <c r="AB1533" s="4">
        <v>1</v>
      </c>
      <c r="AC1533" s="4">
        <v>4</v>
      </c>
      <c r="AD1533" s="4">
        <v>71</v>
      </c>
      <c r="AE1533" s="4">
        <v>73</v>
      </c>
      <c r="AF1533" s="4">
        <v>0</v>
      </c>
      <c r="AG1533" s="4">
        <v>2</v>
      </c>
      <c r="AH1533" s="4">
        <v>63</v>
      </c>
      <c r="AI1533" s="4">
        <v>64</v>
      </c>
      <c r="AJ1533" s="4">
        <v>10</v>
      </c>
      <c r="AK1533" s="4">
        <v>12</v>
      </c>
      <c r="AL1533" s="4">
        <v>41</v>
      </c>
      <c r="AM1533" s="4">
        <v>41</v>
      </c>
      <c r="AN1533" s="4">
        <v>0</v>
      </c>
      <c r="AO1533" s="4">
        <v>0</v>
      </c>
      <c r="AP1533" s="4">
        <v>11</v>
      </c>
      <c r="AQ1533" s="4">
        <v>13</v>
      </c>
      <c r="AR1533" s="3" t="s">
        <v>62</v>
      </c>
      <c r="AS1533" s="3" t="s">
        <v>62</v>
      </c>
      <c r="AT1533" s="3" t="s">
        <v>61</v>
      </c>
      <c r="AU1533" s="6" t="str">
        <f>HYPERLINK("http://catalog.hathitrust.org/Record/002171474","HathiTrust Record")</f>
        <v>HathiTrust Record</v>
      </c>
      <c r="AV1533" s="6" t="str">
        <f>HYPERLINK("http://mcgill.on.worldcat.org/oclc/20827845","Catalog Record")</f>
        <v>Catalog Record</v>
      </c>
      <c r="AW1533" s="6" t="str">
        <f>HYPERLINK("http://www.worldcat.org/oclc/20827845","WorldCat Record")</f>
        <v>WorldCat Record</v>
      </c>
      <c r="AX1533" s="3" t="s">
        <v>15433</v>
      </c>
      <c r="AY1533" s="3" t="s">
        <v>15434</v>
      </c>
      <c r="AZ1533" s="3" t="s">
        <v>15435</v>
      </c>
      <c r="BA1533" s="3" t="s">
        <v>15435</v>
      </c>
      <c r="BB1533" s="3" t="s">
        <v>15436</v>
      </c>
      <c r="BC1533" s="3" t="s">
        <v>102</v>
      </c>
      <c r="BD1533" s="3" t="s">
        <v>68</v>
      </c>
      <c r="BE1533" s="3" t="s">
        <v>15437</v>
      </c>
      <c r="BF1533" s="3" t="s">
        <v>15436</v>
      </c>
      <c r="BG1533" s="3" t="s">
        <v>15438</v>
      </c>
    </row>
    <row r="1534" spans="1:59" ht="58" x14ac:dyDescent="0.35">
      <c r="A1534" s="2" t="s">
        <v>89</v>
      </c>
      <c r="B1534" s="2" t="s">
        <v>90</v>
      </c>
      <c r="C1534" s="2" t="s">
        <v>15426</v>
      </c>
      <c r="D1534" s="2" t="s">
        <v>15427</v>
      </c>
      <c r="E1534" s="2" t="s">
        <v>15428</v>
      </c>
      <c r="F1534" s="3" t="s">
        <v>2217</v>
      </c>
      <c r="G1534" s="3" t="s">
        <v>61</v>
      </c>
      <c r="I1534" s="3" t="s">
        <v>62</v>
      </c>
      <c r="J1534" s="3" t="s">
        <v>62</v>
      </c>
      <c r="K1534" s="3" t="s">
        <v>63</v>
      </c>
      <c r="L1534" s="2" t="s">
        <v>15429</v>
      </c>
      <c r="M1534" s="2" t="s">
        <v>15430</v>
      </c>
      <c r="N1534" s="3" t="s">
        <v>438</v>
      </c>
      <c r="P1534" s="3" t="s">
        <v>64</v>
      </c>
      <c r="Q1534" s="2" t="s">
        <v>15431</v>
      </c>
      <c r="R1534" s="3" t="s">
        <v>13065</v>
      </c>
      <c r="S1534" s="4">
        <v>5</v>
      </c>
      <c r="T1534" s="4">
        <v>10</v>
      </c>
      <c r="U1534" s="5" t="s">
        <v>15432</v>
      </c>
      <c r="V1534" s="5" t="s">
        <v>15432</v>
      </c>
      <c r="W1534" s="5" t="s">
        <v>67</v>
      </c>
      <c r="X1534" s="5" t="s">
        <v>67</v>
      </c>
      <c r="Y1534" s="4">
        <v>182</v>
      </c>
      <c r="Z1534" s="4">
        <v>16</v>
      </c>
      <c r="AA1534" s="4">
        <v>19</v>
      </c>
      <c r="AB1534" s="4">
        <v>1</v>
      </c>
      <c r="AC1534" s="4">
        <v>4</v>
      </c>
      <c r="AD1534" s="4">
        <v>71</v>
      </c>
      <c r="AE1534" s="4">
        <v>73</v>
      </c>
      <c r="AF1534" s="4">
        <v>0</v>
      </c>
      <c r="AG1534" s="4">
        <v>2</v>
      </c>
      <c r="AH1534" s="4">
        <v>63</v>
      </c>
      <c r="AI1534" s="4">
        <v>64</v>
      </c>
      <c r="AJ1534" s="4">
        <v>10</v>
      </c>
      <c r="AK1534" s="4">
        <v>12</v>
      </c>
      <c r="AL1534" s="4">
        <v>41</v>
      </c>
      <c r="AM1534" s="4">
        <v>41</v>
      </c>
      <c r="AN1534" s="4">
        <v>0</v>
      </c>
      <c r="AO1534" s="4">
        <v>0</v>
      </c>
      <c r="AP1534" s="4">
        <v>11</v>
      </c>
      <c r="AQ1534" s="4">
        <v>13</v>
      </c>
      <c r="AR1534" s="3" t="s">
        <v>62</v>
      </c>
      <c r="AS1534" s="3" t="s">
        <v>62</v>
      </c>
      <c r="AT1534" s="3" t="s">
        <v>61</v>
      </c>
      <c r="AU1534" s="6" t="str">
        <f>HYPERLINK("http://catalog.hathitrust.org/Record/002171474","HathiTrust Record")</f>
        <v>HathiTrust Record</v>
      </c>
      <c r="AV1534" s="6" t="str">
        <f>HYPERLINK("http://mcgill.on.worldcat.org/oclc/20827845","Catalog Record")</f>
        <v>Catalog Record</v>
      </c>
      <c r="AW1534" s="6" t="str">
        <f>HYPERLINK("http://www.worldcat.org/oclc/20827845","WorldCat Record")</f>
        <v>WorldCat Record</v>
      </c>
      <c r="AX1534" s="3" t="s">
        <v>15433</v>
      </c>
      <c r="AY1534" s="3" t="s">
        <v>15434</v>
      </c>
      <c r="AZ1534" s="3" t="s">
        <v>15435</v>
      </c>
      <c r="BA1534" s="3" t="s">
        <v>15435</v>
      </c>
      <c r="BB1534" s="3" t="s">
        <v>15439</v>
      </c>
      <c r="BC1534" s="3" t="s">
        <v>102</v>
      </c>
      <c r="BD1534" s="3" t="s">
        <v>68</v>
      </c>
      <c r="BE1534" s="3" t="s">
        <v>15437</v>
      </c>
      <c r="BF1534" s="3" t="s">
        <v>15439</v>
      </c>
      <c r="BG1534" s="3" t="s">
        <v>15440</v>
      </c>
    </row>
    <row r="1535" spans="1:59" ht="130.5" x14ac:dyDescent="0.35">
      <c r="A1535" s="2" t="s">
        <v>89</v>
      </c>
      <c r="B1535" s="2" t="s">
        <v>90</v>
      </c>
      <c r="C1535" s="2" t="s">
        <v>15441</v>
      </c>
      <c r="D1535" s="2" t="s">
        <v>15442</v>
      </c>
      <c r="E1535" s="2" t="s">
        <v>15443</v>
      </c>
      <c r="G1535" s="3" t="s">
        <v>62</v>
      </c>
      <c r="I1535" s="3" t="s">
        <v>62</v>
      </c>
      <c r="J1535" s="3" t="s">
        <v>62</v>
      </c>
      <c r="K1535" s="3" t="s">
        <v>63</v>
      </c>
      <c r="L1535" s="2" t="s">
        <v>15429</v>
      </c>
      <c r="M1535" s="2" t="s">
        <v>15444</v>
      </c>
      <c r="N1535" s="3" t="s">
        <v>568</v>
      </c>
      <c r="O1535" s="2" t="s">
        <v>15445</v>
      </c>
      <c r="P1535" s="3" t="s">
        <v>64</v>
      </c>
      <c r="R1535" s="3" t="s">
        <v>13065</v>
      </c>
      <c r="S1535" s="4">
        <v>14</v>
      </c>
      <c r="T1535" s="4">
        <v>14</v>
      </c>
      <c r="U1535" s="5" t="s">
        <v>15446</v>
      </c>
      <c r="V1535" s="5" t="s">
        <v>15446</v>
      </c>
      <c r="W1535" s="5" t="s">
        <v>67</v>
      </c>
      <c r="X1535" s="5" t="s">
        <v>67</v>
      </c>
      <c r="Y1535" s="4">
        <v>13</v>
      </c>
      <c r="Z1535" s="4">
        <v>1</v>
      </c>
      <c r="AA1535" s="4">
        <v>3</v>
      </c>
      <c r="AB1535" s="4">
        <v>1</v>
      </c>
      <c r="AC1535" s="4">
        <v>1</v>
      </c>
      <c r="AD1535" s="4">
        <v>2</v>
      </c>
      <c r="AE1535" s="4">
        <v>23</v>
      </c>
      <c r="AF1535" s="4">
        <v>0</v>
      </c>
      <c r="AG1535" s="4">
        <v>0</v>
      </c>
      <c r="AH1535" s="4">
        <v>2</v>
      </c>
      <c r="AI1535" s="4">
        <v>23</v>
      </c>
      <c r="AJ1535" s="4">
        <v>0</v>
      </c>
      <c r="AK1535" s="4">
        <v>1</v>
      </c>
      <c r="AL1535" s="4">
        <v>2</v>
      </c>
      <c r="AM1535" s="4">
        <v>15</v>
      </c>
      <c r="AN1535" s="4">
        <v>0</v>
      </c>
      <c r="AO1535" s="4">
        <v>0</v>
      </c>
      <c r="AP1535" s="4">
        <v>0</v>
      </c>
      <c r="AQ1535" s="4">
        <v>1</v>
      </c>
      <c r="AR1535" s="3" t="s">
        <v>62</v>
      </c>
      <c r="AS1535" s="3" t="s">
        <v>62</v>
      </c>
      <c r="AT1535" s="3" t="s">
        <v>61</v>
      </c>
      <c r="AU1535" s="6" t="str">
        <f>HYPERLINK("http://catalog.hathitrust.org/Record/004087119","HathiTrust Record")</f>
        <v>HathiTrust Record</v>
      </c>
      <c r="AV1535" s="6" t="str">
        <f>HYPERLINK("http://mcgill.on.worldcat.org/oclc/51981970","Catalog Record")</f>
        <v>Catalog Record</v>
      </c>
      <c r="AW1535" s="6" t="str">
        <f>HYPERLINK("http://www.worldcat.org/oclc/51981970","WorldCat Record")</f>
        <v>WorldCat Record</v>
      </c>
      <c r="AX1535" s="3" t="s">
        <v>15447</v>
      </c>
      <c r="AY1535" s="3" t="s">
        <v>15448</v>
      </c>
      <c r="AZ1535" s="3" t="s">
        <v>15449</v>
      </c>
      <c r="BA1535" s="3" t="s">
        <v>15449</v>
      </c>
      <c r="BB1535" s="3" t="s">
        <v>15450</v>
      </c>
      <c r="BC1535" s="3" t="s">
        <v>102</v>
      </c>
      <c r="BD1535" s="3" t="s">
        <v>68</v>
      </c>
      <c r="BE1535" s="3" t="s">
        <v>15451</v>
      </c>
      <c r="BF1535" s="3" t="s">
        <v>15450</v>
      </c>
      <c r="BG1535" s="3" t="s">
        <v>15452</v>
      </c>
    </row>
    <row r="1536" spans="1:59" ht="58" x14ac:dyDescent="0.35">
      <c r="A1536" s="2" t="s">
        <v>89</v>
      </c>
      <c r="B1536" s="2" t="s">
        <v>90</v>
      </c>
      <c r="C1536" s="2" t="s">
        <v>15453</v>
      </c>
      <c r="D1536" s="2" t="s">
        <v>15454</v>
      </c>
      <c r="E1536" s="2" t="s">
        <v>15455</v>
      </c>
      <c r="G1536" s="3" t="s">
        <v>62</v>
      </c>
      <c r="I1536" s="3" t="s">
        <v>62</v>
      </c>
      <c r="J1536" s="3" t="s">
        <v>61</v>
      </c>
      <c r="K1536" s="3" t="s">
        <v>63</v>
      </c>
      <c r="L1536" s="2" t="s">
        <v>15429</v>
      </c>
      <c r="M1536" s="2" t="s">
        <v>15456</v>
      </c>
      <c r="N1536" s="3" t="s">
        <v>596</v>
      </c>
      <c r="P1536" s="3" t="s">
        <v>64</v>
      </c>
      <c r="R1536" s="3" t="s">
        <v>13065</v>
      </c>
      <c r="S1536" s="4">
        <v>9</v>
      </c>
      <c r="T1536" s="4">
        <v>9</v>
      </c>
      <c r="U1536" s="5" t="s">
        <v>15457</v>
      </c>
      <c r="V1536" s="5" t="s">
        <v>15457</v>
      </c>
      <c r="W1536" s="5" t="s">
        <v>67</v>
      </c>
      <c r="X1536" s="5" t="s">
        <v>67</v>
      </c>
      <c r="Y1536" s="4">
        <v>18</v>
      </c>
      <c r="Z1536" s="4">
        <v>1</v>
      </c>
      <c r="AA1536" s="4">
        <v>17</v>
      </c>
      <c r="AB1536" s="4">
        <v>1</v>
      </c>
      <c r="AC1536" s="4">
        <v>3</v>
      </c>
      <c r="AD1536" s="4">
        <v>1</v>
      </c>
      <c r="AE1536" s="4">
        <v>87</v>
      </c>
      <c r="AF1536" s="4">
        <v>0</v>
      </c>
      <c r="AG1536" s="4">
        <v>2</v>
      </c>
      <c r="AH1536" s="4">
        <v>1</v>
      </c>
      <c r="AI1536" s="4">
        <v>79</v>
      </c>
      <c r="AJ1536" s="4">
        <v>0</v>
      </c>
      <c r="AK1536" s="4">
        <v>12</v>
      </c>
      <c r="AL1536" s="4">
        <v>0</v>
      </c>
      <c r="AM1536" s="4">
        <v>49</v>
      </c>
      <c r="AN1536" s="4">
        <v>0</v>
      </c>
      <c r="AO1536" s="4">
        <v>0</v>
      </c>
      <c r="AP1536" s="4">
        <v>0</v>
      </c>
      <c r="AQ1536" s="4">
        <v>13</v>
      </c>
      <c r="AR1536" s="3" t="s">
        <v>62</v>
      </c>
      <c r="AS1536" s="3" t="s">
        <v>62</v>
      </c>
      <c r="AT1536" s="3" t="s">
        <v>62</v>
      </c>
      <c r="AV1536" s="6" t="str">
        <f>HYPERLINK("http://mcgill.on.worldcat.org/oclc/49416008","Catalog Record")</f>
        <v>Catalog Record</v>
      </c>
      <c r="AW1536" s="6" t="str">
        <f>HYPERLINK("http://www.worldcat.org/oclc/49416008","WorldCat Record")</f>
        <v>WorldCat Record</v>
      </c>
      <c r="AX1536" s="3" t="s">
        <v>15458</v>
      </c>
      <c r="AY1536" s="3" t="s">
        <v>15459</v>
      </c>
      <c r="AZ1536" s="3" t="s">
        <v>15460</v>
      </c>
      <c r="BA1536" s="3" t="s">
        <v>15460</v>
      </c>
      <c r="BB1536" s="3" t="s">
        <v>15461</v>
      </c>
      <c r="BC1536" s="3" t="s">
        <v>102</v>
      </c>
      <c r="BD1536" s="3" t="s">
        <v>68</v>
      </c>
      <c r="BE1536" s="3" t="s">
        <v>15462</v>
      </c>
      <c r="BF1536" s="3" t="s">
        <v>15461</v>
      </c>
      <c r="BG1536" s="3" t="s">
        <v>15463</v>
      </c>
    </row>
    <row r="1537" spans="1:59" ht="72.5" x14ac:dyDescent="0.35">
      <c r="A1537" s="2" t="s">
        <v>89</v>
      </c>
      <c r="B1537" s="2" t="s">
        <v>90</v>
      </c>
      <c r="C1537" s="2" t="s">
        <v>15464</v>
      </c>
      <c r="D1537" s="2" t="s">
        <v>15465</v>
      </c>
      <c r="E1537" s="2" t="s">
        <v>15466</v>
      </c>
      <c r="G1537" s="3" t="s">
        <v>62</v>
      </c>
      <c r="I1537" s="3" t="s">
        <v>62</v>
      </c>
      <c r="J1537" s="3" t="s">
        <v>62</v>
      </c>
      <c r="K1537" s="3" t="s">
        <v>63</v>
      </c>
      <c r="L1537" s="2" t="s">
        <v>15429</v>
      </c>
      <c r="M1537" s="2" t="s">
        <v>15467</v>
      </c>
      <c r="N1537" s="3" t="s">
        <v>129</v>
      </c>
      <c r="P1537" s="3" t="s">
        <v>64</v>
      </c>
      <c r="R1537" s="3" t="s">
        <v>13065</v>
      </c>
      <c r="S1537" s="4">
        <v>3</v>
      </c>
      <c r="T1537" s="4">
        <v>3</v>
      </c>
      <c r="U1537" s="5" t="s">
        <v>3134</v>
      </c>
      <c r="V1537" s="5" t="s">
        <v>3134</v>
      </c>
      <c r="W1537" s="5" t="s">
        <v>67</v>
      </c>
      <c r="X1537" s="5" t="s">
        <v>67</v>
      </c>
      <c r="Y1537" s="4">
        <v>16</v>
      </c>
      <c r="Z1537" s="4">
        <v>1</v>
      </c>
      <c r="AA1537" s="4">
        <v>1</v>
      </c>
      <c r="AB1537" s="4">
        <v>1</v>
      </c>
      <c r="AC1537" s="4">
        <v>1</v>
      </c>
      <c r="AD1537" s="4">
        <v>3</v>
      </c>
      <c r="AE1537" s="4">
        <v>3</v>
      </c>
      <c r="AF1537" s="4">
        <v>0</v>
      </c>
      <c r="AG1537" s="4">
        <v>0</v>
      </c>
      <c r="AH1537" s="4">
        <v>3</v>
      </c>
      <c r="AI1537" s="4">
        <v>3</v>
      </c>
      <c r="AJ1537" s="4">
        <v>0</v>
      </c>
      <c r="AK1537" s="4">
        <v>0</v>
      </c>
      <c r="AL1537" s="4">
        <v>3</v>
      </c>
      <c r="AM1537" s="4">
        <v>3</v>
      </c>
      <c r="AN1537" s="4">
        <v>0</v>
      </c>
      <c r="AO1537" s="4">
        <v>0</v>
      </c>
      <c r="AP1537" s="4">
        <v>0</v>
      </c>
      <c r="AQ1537" s="4">
        <v>0</v>
      </c>
      <c r="AR1537" s="3" t="s">
        <v>62</v>
      </c>
      <c r="AS1537" s="3" t="s">
        <v>62</v>
      </c>
      <c r="AT1537" s="3" t="s">
        <v>62</v>
      </c>
      <c r="AV1537" s="6" t="str">
        <f>HYPERLINK("http://mcgill.on.worldcat.org/oclc/862831939","Catalog Record")</f>
        <v>Catalog Record</v>
      </c>
      <c r="AW1537" s="6" t="str">
        <f>HYPERLINK("http://www.worldcat.org/oclc/862831939","WorldCat Record")</f>
        <v>WorldCat Record</v>
      </c>
      <c r="AX1537" s="3" t="s">
        <v>15468</v>
      </c>
      <c r="AY1537" s="3" t="s">
        <v>15469</v>
      </c>
      <c r="AZ1537" s="3" t="s">
        <v>15470</v>
      </c>
      <c r="BA1537" s="3" t="s">
        <v>15470</v>
      </c>
      <c r="BB1537" s="3" t="s">
        <v>15471</v>
      </c>
      <c r="BC1537" s="3" t="s">
        <v>102</v>
      </c>
      <c r="BD1537" s="3" t="s">
        <v>68</v>
      </c>
      <c r="BE1537" s="3" t="s">
        <v>15472</v>
      </c>
      <c r="BF1537" s="3" t="s">
        <v>15471</v>
      </c>
      <c r="BG1537" s="3" t="s">
        <v>15473</v>
      </c>
    </row>
    <row r="1538" spans="1:59" ht="58" x14ac:dyDescent="0.35">
      <c r="A1538" s="2" t="s">
        <v>89</v>
      </c>
      <c r="B1538" s="2" t="s">
        <v>90</v>
      </c>
      <c r="C1538" s="2" t="s">
        <v>15474</v>
      </c>
      <c r="D1538" s="2" t="s">
        <v>15475</v>
      </c>
      <c r="E1538" s="2" t="s">
        <v>15476</v>
      </c>
      <c r="G1538" s="3" t="s">
        <v>62</v>
      </c>
      <c r="I1538" s="3" t="s">
        <v>62</v>
      </c>
      <c r="J1538" s="3" t="s">
        <v>61</v>
      </c>
      <c r="K1538" s="3" t="s">
        <v>63</v>
      </c>
      <c r="L1538" s="2" t="s">
        <v>15477</v>
      </c>
      <c r="M1538" s="2" t="s">
        <v>15478</v>
      </c>
      <c r="N1538" s="3" t="s">
        <v>596</v>
      </c>
      <c r="P1538" s="3" t="s">
        <v>64</v>
      </c>
      <c r="R1538" s="3" t="s">
        <v>13065</v>
      </c>
      <c r="S1538" s="4">
        <v>10</v>
      </c>
      <c r="T1538" s="4">
        <v>10</v>
      </c>
      <c r="U1538" s="5" t="s">
        <v>12245</v>
      </c>
      <c r="V1538" s="5" t="s">
        <v>12245</v>
      </c>
      <c r="W1538" s="5" t="s">
        <v>67</v>
      </c>
      <c r="X1538" s="5" t="s">
        <v>67</v>
      </c>
      <c r="Y1538" s="4">
        <v>241</v>
      </c>
      <c r="Z1538" s="4">
        <v>8</v>
      </c>
      <c r="AA1538" s="4">
        <v>44</v>
      </c>
      <c r="AB1538" s="4">
        <v>1</v>
      </c>
      <c r="AC1538" s="4">
        <v>7</v>
      </c>
      <c r="AD1538" s="4">
        <v>20</v>
      </c>
      <c r="AE1538" s="4">
        <v>111</v>
      </c>
      <c r="AF1538" s="4">
        <v>0</v>
      </c>
      <c r="AG1538" s="4">
        <v>4</v>
      </c>
      <c r="AH1538" s="4">
        <v>19</v>
      </c>
      <c r="AI1538" s="4">
        <v>90</v>
      </c>
      <c r="AJ1538" s="4">
        <v>4</v>
      </c>
      <c r="AK1538" s="4">
        <v>17</v>
      </c>
      <c r="AL1538" s="4">
        <v>8</v>
      </c>
      <c r="AM1538" s="4">
        <v>50</v>
      </c>
      <c r="AN1538" s="4">
        <v>0</v>
      </c>
      <c r="AO1538" s="4">
        <v>5</v>
      </c>
      <c r="AP1538" s="4">
        <v>4</v>
      </c>
      <c r="AQ1538" s="4">
        <v>26</v>
      </c>
      <c r="AR1538" s="3" t="s">
        <v>62</v>
      </c>
      <c r="AS1538" s="3" t="s">
        <v>62</v>
      </c>
      <c r="AT1538" s="3" t="s">
        <v>62</v>
      </c>
      <c r="AV1538" s="6" t="str">
        <f>HYPERLINK("http://mcgill.on.worldcat.org/oclc/48876646","Catalog Record")</f>
        <v>Catalog Record</v>
      </c>
      <c r="AW1538" s="6" t="str">
        <f>HYPERLINK("http://www.worldcat.org/oclc/48876646","WorldCat Record")</f>
        <v>WorldCat Record</v>
      </c>
      <c r="AX1538" s="3" t="s">
        <v>15479</v>
      </c>
      <c r="AY1538" s="3" t="s">
        <v>15480</v>
      </c>
      <c r="AZ1538" s="3" t="s">
        <v>15481</v>
      </c>
      <c r="BA1538" s="3" t="s">
        <v>15481</v>
      </c>
      <c r="BB1538" s="3" t="s">
        <v>15482</v>
      </c>
      <c r="BC1538" s="3" t="s">
        <v>102</v>
      </c>
      <c r="BD1538" s="3" t="s">
        <v>68</v>
      </c>
      <c r="BE1538" s="3" t="s">
        <v>15483</v>
      </c>
      <c r="BF1538" s="3" t="s">
        <v>15482</v>
      </c>
      <c r="BG1538" s="3" t="s">
        <v>15484</v>
      </c>
    </row>
    <row r="1539" spans="1:59" ht="58" x14ac:dyDescent="0.35">
      <c r="A1539" s="2" t="s">
        <v>89</v>
      </c>
      <c r="B1539" s="2" t="s">
        <v>90</v>
      </c>
      <c r="C1539" s="2" t="s">
        <v>15485</v>
      </c>
      <c r="D1539" s="2" t="s">
        <v>15486</v>
      </c>
      <c r="E1539" s="2" t="s">
        <v>15477</v>
      </c>
      <c r="G1539" s="3" t="s">
        <v>62</v>
      </c>
      <c r="I1539" s="3" t="s">
        <v>62</v>
      </c>
      <c r="J1539" s="3" t="s">
        <v>62</v>
      </c>
      <c r="K1539" s="3" t="s">
        <v>63</v>
      </c>
      <c r="L1539" s="2" t="s">
        <v>15487</v>
      </c>
      <c r="M1539" s="2" t="s">
        <v>15488</v>
      </c>
      <c r="N1539" s="3" t="s">
        <v>809</v>
      </c>
      <c r="P1539" s="3" t="s">
        <v>15489</v>
      </c>
      <c r="Q1539" s="2" t="s">
        <v>15490</v>
      </c>
      <c r="R1539" s="3" t="s">
        <v>13065</v>
      </c>
      <c r="S1539" s="4">
        <v>14</v>
      </c>
      <c r="T1539" s="4">
        <v>14</v>
      </c>
      <c r="U1539" s="5" t="s">
        <v>15491</v>
      </c>
      <c r="V1539" s="5" t="s">
        <v>15491</v>
      </c>
      <c r="W1539" s="5" t="s">
        <v>67</v>
      </c>
      <c r="X1539" s="5" t="s">
        <v>67</v>
      </c>
      <c r="Y1539" s="4">
        <v>331</v>
      </c>
      <c r="Z1539" s="4">
        <v>18</v>
      </c>
      <c r="AA1539" s="4">
        <v>18</v>
      </c>
      <c r="AB1539" s="4">
        <v>2</v>
      </c>
      <c r="AC1539" s="4">
        <v>2</v>
      </c>
      <c r="AD1539" s="4">
        <v>79</v>
      </c>
      <c r="AE1539" s="4">
        <v>79</v>
      </c>
      <c r="AF1539" s="4">
        <v>1</v>
      </c>
      <c r="AG1539" s="4">
        <v>1</v>
      </c>
      <c r="AH1539" s="4">
        <v>69</v>
      </c>
      <c r="AI1539" s="4">
        <v>69</v>
      </c>
      <c r="AJ1539" s="4">
        <v>11</v>
      </c>
      <c r="AK1539" s="4">
        <v>11</v>
      </c>
      <c r="AL1539" s="4">
        <v>41</v>
      </c>
      <c r="AM1539" s="4">
        <v>41</v>
      </c>
      <c r="AN1539" s="4">
        <v>0</v>
      </c>
      <c r="AO1539" s="4">
        <v>0</v>
      </c>
      <c r="AP1539" s="4">
        <v>14</v>
      </c>
      <c r="AQ1539" s="4">
        <v>14</v>
      </c>
      <c r="AR1539" s="3" t="s">
        <v>62</v>
      </c>
      <c r="AS1539" s="3" t="s">
        <v>62</v>
      </c>
      <c r="AT1539" s="3" t="s">
        <v>61</v>
      </c>
      <c r="AU1539" s="6" t="str">
        <f>HYPERLINK("http://catalog.hathitrust.org/Record/000167946","HathiTrust Record")</f>
        <v>HathiTrust Record</v>
      </c>
      <c r="AV1539" s="6" t="str">
        <f>HYPERLINK("http://mcgill.on.worldcat.org/oclc/909033","Catalog Record")</f>
        <v>Catalog Record</v>
      </c>
      <c r="AW1539" s="6" t="str">
        <f>HYPERLINK("http://www.worldcat.org/oclc/909033","WorldCat Record")</f>
        <v>WorldCat Record</v>
      </c>
      <c r="AX1539" s="3" t="s">
        <v>15492</v>
      </c>
      <c r="AY1539" s="3" t="s">
        <v>15493</v>
      </c>
      <c r="AZ1539" s="3" t="s">
        <v>15494</v>
      </c>
      <c r="BA1539" s="3" t="s">
        <v>15494</v>
      </c>
      <c r="BB1539" s="3" t="s">
        <v>15495</v>
      </c>
      <c r="BC1539" s="3" t="s">
        <v>102</v>
      </c>
      <c r="BD1539" s="3" t="s">
        <v>68</v>
      </c>
      <c r="BF1539" s="3" t="s">
        <v>15495</v>
      </c>
      <c r="BG1539" s="3" t="s">
        <v>15496</v>
      </c>
    </row>
    <row r="1540" spans="1:59" ht="58" x14ac:dyDescent="0.35">
      <c r="A1540" s="2" t="s">
        <v>89</v>
      </c>
      <c r="B1540" s="2" t="s">
        <v>90</v>
      </c>
      <c r="C1540" s="2" t="s">
        <v>15497</v>
      </c>
      <c r="D1540" s="2" t="s">
        <v>15498</v>
      </c>
      <c r="E1540" s="2" t="s">
        <v>15499</v>
      </c>
      <c r="G1540" s="3" t="s">
        <v>62</v>
      </c>
      <c r="I1540" s="3" t="s">
        <v>62</v>
      </c>
      <c r="J1540" s="3" t="s">
        <v>61</v>
      </c>
      <c r="K1540" s="3" t="s">
        <v>63</v>
      </c>
      <c r="L1540" s="2" t="s">
        <v>15500</v>
      </c>
      <c r="M1540" s="2" t="s">
        <v>15501</v>
      </c>
      <c r="N1540" s="3" t="s">
        <v>919</v>
      </c>
      <c r="P1540" s="3" t="s">
        <v>64</v>
      </c>
      <c r="R1540" s="3" t="s">
        <v>13065</v>
      </c>
      <c r="S1540" s="4">
        <v>15</v>
      </c>
      <c r="T1540" s="4">
        <v>15</v>
      </c>
      <c r="U1540" s="5" t="s">
        <v>5517</v>
      </c>
      <c r="V1540" s="5" t="s">
        <v>5517</v>
      </c>
      <c r="W1540" s="5" t="s">
        <v>67</v>
      </c>
      <c r="X1540" s="5" t="s">
        <v>67</v>
      </c>
      <c r="Y1540" s="4">
        <v>442</v>
      </c>
      <c r="Z1540" s="4">
        <v>26</v>
      </c>
      <c r="AA1540" s="4">
        <v>47</v>
      </c>
      <c r="AB1540" s="4">
        <v>2</v>
      </c>
      <c r="AC1540" s="4">
        <v>9</v>
      </c>
      <c r="AD1540" s="4">
        <v>103</v>
      </c>
      <c r="AE1540" s="4">
        <v>136</v>
      </c>
      <c r="AF1540" s="4">
        <v>1</v>
      </c>
      <c r="AG1540" s="4">
        <v>5</v>
      </c>
      <c r="AH1540" s="4">
        <v>88</v>
      </c>
      <c r="AI1540" s="4">
        <v>109</v>
      </c>
      <c r="AJ1540" s="4">
        <v>12</v>
      </c>
      <c r="AK1540" s="4">
        <v>24</v>
      </c>
      <c r="AL1540" s="4">
        <v>52</v>
      </c>
      <c r="AM1540" s="4">
        <v>61</v>
      </c>
      <c r="AN1540" s="4">
        <v>0</v>
      </c>
      <c r="AO1540" s="4">
        <v>0</v>
      </c>
      <c r="AP1540" s="4">
        <v>18</v>
      </c>
      <c r="AQ1540" s="4">
        <v>34</v>
      </c>
      <c r="AR1540" s="3" t="s">
        <v>62</v>
      </c>
      <c r="AS1540" s="3" t="s">
        <v>62</v>
      </c>
      <c r="AT1540" s="3" t="s">
        <v>61</v>
      </c>
      <c r="AU1540" s="6" t="str">
        <f>HYPERLINK("http://catalog.hathitrust.org/Record/000126008","HathiTrust Record")</f>
        <v>HathiTrust Record</v>
      </c>
      <c r="AV1540" s="6" t="str">
        <f>HYPERLINK("http://mcgill.on.worldcat.org/oclc/647537","Catalog Record")</f>
        <v>Catalog Record</v>
      </c>
      <c r="AW1540" s="6" t="str">
        <f>HYPERLINK("http://www.worldcat.org/oclc/647537","WorldCat Record")</f>
        <v>WorldCat Record</v>
      </c>
      <c r="AX1540" s="3" t="s">
        <v>15502</v>
      </c>
      <c r="AY1540" s="3" t="s">
        <v>15503</v>
      </c>
      <c r="AZ1540" s="3" t="s">
        <v>15504</v>
      </c>
      <c r="BA1540" s="3" t="s">
        <v>15504</v>
      </c>
      <c r="BB1540" s="3" t="s">
        <v>15505</v>
      </c>
      <c r="BC1540" s="3" t="s">
        <v>102</v>
      </c>
      <c r="BD1540" s="3" t="s">
        <v>68</v>
      </c>
      <c r="BF1540" s="3" t="s">
        <v>15505</v>
      </c>
      <c r="BG1540" s="3" t="s">
        <v>15506</v>
      </c>
    </row>
    <row r="1541" spans="1:59" ht="72.5" x14ac:dyDescent="0.35">
      <c r="A1541" s="2" t="s">
        <v>89</v>
      </c>
      <c r="B1541" s="2" t="s">
        <v>90</v>
      </c>
      <c r="C1541" s="2" t="s">
        <v>15507</v>
      </c>
      <c r="D1541" s="2" t="s">
        <v>15508</v>
      </c>
      <c r="E1541" s="2" t="s">
        <v>15509</v>
      </c>
      <c r="G1541" s="3" t="s">
        <v>62</v>
      </c>
      <c r="I1541" s="3" t="s">
        <v>62</v>
      </c>
      <c r="J1541" s="3" t="s">
        <v>62</v>
      </c>
      <c r="K1541" s="3" t="s">
        <v>63</v>
      </c>
      <c r="L1541" s="2" t="s">
        <v>15510</v>
      </c>
      <c r="M1541" s="2" t="s">
        <v>15511</v>
      </c>
      <c r="N1541" s="3" t="s">
        <v>880</v>
      </c>
      <c r="P1541" s="3" t="s">
        <v>64</v>
      </c>
      <c r="Q1541" s="2" t="s">
        <v>15512</v>
      </c>
      <c r="R1541" s="3" t="s">
        <v>13065</v>
      </c>
      <c r="S1541" s="4">
        <v>0</v>
      </c>
      <c r="T1541" s="4">
        <v>0</v>
      </c>
      <c r="W1541" s="5" t="s">
        <v>67</v>
      </c>
      <c r="X1541" s="5" t="s">
        <v>67</v>
      </c>
      <c r="Y1541" s="4">
        <v>61</v>
      </c>
      <c r="Z1541" s="4">
        <v>2</v>
      </c>
      <c r="AA1541" s="4">
        <v>36</v>
      </c>
      <c r="AB1541" s="4">
        <v>1</v>
      </c>
      <c r="AC1541" s="4">
        <v>8</v>
      </c>
      <c r="AD1541" s="4">
        <v>23</v>
      </c>
      <c r="AE1541" s="4">
        <v>91</v>
      </c>
      <c r="AF1541" s="4">
        <v>0</v>
      </c>
      <c r="AG1541" s="4">
        <v>4</v>
      </c>
      <c r="AH1541" s="4">
        <v>23</v>
      </c>
      <c r="AI1541" s="4">
        <v>67</v>
      </c>
      <c r="AJ1541" s="4">
        <v>1</v>
      </c>
      <c r="AK1541" s="4">
        <v>17</v>
      </c>
      <c r="AL1541" s="4">
        <v>13</v>
      </c>
      <c r="AM1541" s="4">
        <v>34</v>
      </c>
      <c r="AN1541" s="4">
        <v>0</v>
      </c>
      <c r="AO1541" s="4">
        <v>0</v>
      </c>
      <c r="AP1541" s="4">
        <v>1</v>
      </c>
      <c r="AQ1541" s="4">
        <v>29</v>
      </c>
      <c r="AR1541" s="3" t="s">
        <v>62</v>
      </c>
      <c r="AS1541" s="3" t="s">
        <v>62</v>
      </c>
      <c r="AT1541" s="3" t="s">
        <v>62</v>
      </c>
      <c r="AV1541" s="6" t="str">
        <f>HYPERLINK("http://mcgill.on.worldcat.org/oclc/693252232","Catalog Record")</f>
        <v>Catalog Record</v>
      </c>
      <c r="AW1541" s="6" t="str">
        <f>HYPERLINK("http://www.worldcat.org/oclc/693252232","WorldCat Record")</f>
        <v>WorldCat Record</v>
      </c>
      <c r="AX1541" s="3" t="s">
        <v>15513</v>
      </c>
      <c r="AY1541" s="3" t="s">
        <v>15514</v>
      </c>
      <c r="AZ1541" s="3" t="s">
        <v>15515</v>
      </c>
      <c r="BA1541" s="3" t="s">
        <v>15515</v>
      </c>
      <c r="BB1541" s="3" t="s">
        <v>15516</v>
      </c>
      <c r="BC1541" s="3" t="s">
        <v>102</v>
      </c>
      <c r="BD1541" s="3" t="s">
        <v>68</v>
      </c>
      <c r="BE1541" s="3" t="s">
        <v>15517</v>
      </c>
      <c r="BF1541" s="3" t="s">
        <v>15516</v>
      </c>
      <c r="BG1541" s="3" t="s">
        <v>15518</v>
      </c>
    </row>
    <row r="1542" spans="1:59" ht="58" x14ac:dyDescent="0.35">
      <c r="A1542" s="2" t="s">
        <v>89</v>
      </c>
      <c r="B1542" s="2" t="s">
        <v>90</v>
      </c>
      <c r="C1542" s="2" t="s">
        <v>15519</v>
      </c>
      <c r="D1542" s="2" t="s">
        <v>15520</v>
      </c>
      <c r="E1542" s="2" t="s">
        <v>15521</v>
      </c>
      <c r="F1542" s="3" t="s">
        <v>2217</v>
      </c>
      <c r="G1542" s="3" t="s">
        <v>61</v>
      </c>
      <c r="I1542" s="3" t="s">
        <v>62</v>
      </c>
      <c r="J1542" s="3" t="s">
        <v>62</v>
      </c>
      <c r="K1542" s="3" t="s">
        <v>63</v>
      </c>
      <c r="L1542" s="2" t="s">
        <v>15522</v>
      </c>
      <c r="M1542" s="2" t="s">
        <v>15523</v>
      </c>
      <c r="N1542" s="3" t="s">
        <v>2136</v>
      </c>
      <c r="P1542" s="3" t="s">
        <v>64</v>
      </c>
      <c r="Q1542" s="2" t="s">
        <v>15524</v>
      </c>
      <c r="R1542" s="3" t="s">
        <v>13065</v>
      </c>
      <c r="S1542" s="4">
        <v>2</v>
      </c>
      <c r="T1542" s="4">
        <v>2</v>
      </c>
      <c r="U1542" s="5" t="s">
        <v>11465</v>
      </c>
      <c r="V1542" s="5" t="s">
        <v>11465</v>
      </c>
      <c r="W1542" s="5" t="s">
        <v>67</v>
      </c>
      <c r="X1542" s="5" t="s">
        <v>67</v>
      </c>
      <c r="Y1542" s="4">
        <v>47</v>
      </c>
      <c r="Z1542" s="4">
        <v>4</v>
      </c>
      <c r="AA1542" s="4">
        <v>4</v>
      </c>
      <c r="AB1542" s="4">
        <v>1</v>
      </c>
      <c r="AC1542" s="4">
        <v>1</v>
      </c>
      <c r="AD1542" s="4">
        <v>23</v>
      </c>
      <c r="AE1542" s="4">
        <v>23</v>
      </c>
      <c r="AF1542" s="4">
        <v>0</v>
      </c>
      <c r="AG1542" s="4">
        <v>0</v>
      </c>
      <c r="AH1542" s="4">
        <v>22</v>
      </c>
      <c r="AI1542" s="4">
        <v>22</v>
      </c>
      <c r="AJ1542" s="4">
        <v>1</v>
      </c>
      <c r="AK1542" s="4">
        <v>1</v>
      </c>
      <c r="AL1542" s="4">
        <v>17</v>
      </c>
      <c r="AM1542" s="4">
        <v>17</v>
      </c>
      <c r="AN1542" s="4">
        <v>0</v>
      </c>
      <c r="AO1542" s="4">
        <v>0</v>
      </c>
      <c r="AP1542" s="4">
        <v>1</v>
      </c>
      <c r="AQ1542" s="4">
        <v>1</v>
      </c>
      <c r="AR1542" s="3" t="s">
        <v>62</v>
      </c>
      <c r="AS1542" s="3" t="s">
        <v>62</v>
      </c>
      <c r="AT1542" s="3" t="s">
        <v>61</v>
      </c>
      <c r="AU1542" s="6" t="str">
        <f>HYPERLINK("http://catalog.hathitrust.org/Record/005112502","HathiTrust Record")</f>
        <v>HathiTrust Record</v>
      </c>
      <c r="AV1542" s="6" t="str">
        <f>HYPERLINK("http://mcgill.on.worldcat.org/oclc/62553894","Catalog Record")</f>
        <v>Catalog Record</v>
      </c>
      <c r="AW1542" s="6" t="str">
        <f>HYPERLINK("http://www.worldcat.org/oclc/62553894","WorldCat Record")</f>
        <v>WorldCat Record</v>
      </c>
      <c r="AX1542" s="3" t="s">
        <v>15525</v>
      </c>
      <c r="AY1542" s="3" t="s">
        <v>15526</v>
      </c>
      <c r="AZ1542" s="3" t="s">
        <v>15527</v>
      </c>
      <c r="BA1542" s="3" t="s">
        <v>15527</v>
      </c>
      <c r="BB1542" s="3" t="s">
        <v>15528</v>
      </c>
      <c r="BC1542" s="3" t="s">
        <v>102</v>
      </c>
      <c r="BD1542" s="3" t="s">
        <v>68</v>
      </c>
      <c r="BE1542" s="3" t="s">
        <v>15529</v>
      </c>
      <c r="BF1542" s="3" t="s">
        <v>15528</v>
      </c>
      <c r="BG1542" s="3" t="s">
        <v>15530</v>
      </c>
    </row>
    <row r="1543" spans="1:59" ht="58" x14ac:dyDescent="0.35">
      <c r="A1543" s="2" t="s">
        <v>89</v>
      </c>
      <c r="B1543" s="2" t="s">
        <v>90</v>
      </c>
      <c r="C1543" s="2" t="s">
        <v>15519</v>
      </c>
      <c r="D1543" s="2" t="s">
        <v>15520</v>
      </c>
      <c r="E1543" s="2" t="s">
        <v>15521</v>
      </c>
      <c r="F1543" s="3" t="s">
        <v>2233</v>
      </c>
      <c r="G1543" s="3" t="s">
        <v>61</v>
      </c>
      <c r="I1543" s="3" t="s">
        <v>62</v>
      </c>
      <c r="J1543" s="3" t="s">
        <v>62</v>
      </c>
      <c r="K1543" s="3" t="s">
        <v>63</v>
      </c>
      <c r="L1543" s="2" t="s">
        <v>15522</v>
      </c>
      <c r="M1543" s="2" t="s">
        <v>15523</v>
      </c>
      <c r="N1543" s="3" t="s">
        <v>2136</v>
      </c>
      <c r="P1543" s="3" t="s">
        <v>64</v>
      </c>
      <c r="Q1543" s="2" t="s">
        <v>15524</v>
      </c>
      <c r="R1543" s="3" t="s">
        <v>13065</v>
      </c>
      <c r="S1543" s="4">
        <v>0</v>
      </c>
      <c r="T1543" s="4">
        <v>2</v>
      </c>
      <c r="V1543" s="5" t="s">
        <v>11465</v>
      </c>
      <c r="W1543" s="5" t="s">
        <v>67</v>
      </c>
      <c r="X1543" s="5" t="s">
        <v>67</v>
      </c>
      <c r="Y1543" s="4">
        <v>47</v>
      </c>
      <c r="Z1543" s="4">
        <v>4</v>
      </c>
      <c r="AA1543" s="4">
        <v>4</v>
      </c>
      <c r="AB1543" s="4">
        <v>1</v>
      </c>
      <c r="AC1543" s="4">
        <v>1</v>
      </c>
      <c r="AD1543" s="4">
        <v>23</v>
      </c>
      <c r="AE1543" s="4">
        <v>23</v>
      </c>
      <c r="AF1543" s="4">
        <v>0</v>
      </c>
      <c r="AG1543" s="4">
        <v>0</v>
      </c>
      <c r="AH1543" s="4">
        <v>22</v>
      </c>
      <c r="AI1543" s="4">
        <v>22</v>
      </c>
      <c r="AJ1543" s="4">
        <v>1</v>
      </c>
      <c r="AK1543" s="4">
        <v>1</v>
      </c>
      <c r="AL1543" s="4">
        <v>17</v>
      </c>
      <c r="AM1543" s="4">
        <v>17</v>
      </c>
      <c r="AN1543" s="4">
        <v>0</v>
      </c>
      <c r="AO1543" s="4">
        <v>0</v>
      </c>
      <c r="AP1543" s="4">
        <v>1</v>
      </c>
      <c r="AQ1543" s="4">
        <v>1</v>
      </c>
      <c r="AR1543" s="3" t="s">
        <v>62</v>
      </c>
      <c r="AS1543" s="3" t="s">
        <v>62</v>
      </c>
      <c r="AT1543" s="3" t="s">
        <v>61</v>
      </c>
      <c r="AU1543" s="6" t="str">
        <f>HYPERLINK("http://catalog.hathitrust.org/Record/005112502","HathiTrust Record")</f>
        <v>HathiTrust Record</v>
      </c>
      <c r="AV1543" s="6" t="str">
        <f>HYPERLINK("http://mcgill.on.worldcat.org/oclc/62553894","Catalog Record")</f>
        <v>Catalog Record</v>
      </c>
      <c r="AW1543" s="6" t="str">
        <f>HYPERLINK("http://www.worldcat.org/oclc/62553894","WorldCat Record")</f>
        <v>WorldCat Record</v>
      </c>
      <c r="AX1543" s="3" t="s">
        <v>15525</v>
      </c>
      <c r="AY1543" s="3" t="s">
        <v>15526</v>
      </c>
      <c r="AZ1543" s="3" t="s">
        <v>15527</v>
      </c>
      <c r="BA1543" s="3" t="s">
        <v>15527</v>
      </c>
      <c r="BB1543" s="3" t="s">
        <v>15531</v>
      </c>
      <c r="BC1543" s="3" t="s">
        <v>102</v>
      </c>
      <c r="BD1543" s="3" t="s">
        <v>68</v>
      </c>
      <c r="BE1543" s="3" t="s">
        <v>15529</v>
      </c>
      <c r="BF1543" s="3" t="s">
        <v>15531</v>
      </c>
      <c r="BG1543" s="3" t="s">
        <v>15532</v>
      </c>
    </row>
    <row r="1544" spans="1:59" ht="58" x14ac:dyDescent="0.35">
      <c r="A1544" s="2" t="s">
        <v>89</v>
      </c>
      <c r="B1544" s="2" t="s">
        <v>90</v>
      </c>
      <c r="C1544" s="2" t="s">
        <v>15533</v>
      </c>
      <c r="D1544" s="2" t="s">
        <v>15534</v>
      </c>
      <c r="E1544" s="2" t="s">
        <v>15535</v>
      </c>
      <c r="F1544" s="3" t="s">
        <v>1416</v>
      </c>
      <c r="G1544" s="3" t="s">
        <v>61</v>
      </c>
      <c r="I1544" s="3" t="s">
        <v>62</v>
      </c>
      <c r="J1544" s="3" t="s">
        <v>62</v>
      </c>
      <c r="K1544" s="3" t="s">
        <v>63</v>
      </c>
      <c r="L1544" s="2" t="s">
        <v>15522</v>
      </c>
      <c r="M1544" s="2" t="s">
        <v>15536</v>
      </c>
      <c r="N1544" s="3" t="s">
        <v>852</v>
      </c>
      <c r="P1544" s="3" t="s">
        <v>15537</v>
      </c>
      <c r="Q1544" s="2" t="s">
        <v>15538</v>
      </c>
      <c r="R1544" s="3" t="s">
        <v>13065</v>
      </c>
      <c r="S1544" s="4">
        <v>1</v>
      </c>
      <c r="T1544" s="4">
        <v>6</v>
      </c>
      <c r="U1544" s="5" t="s">
        <v>15539</v>
      </c>
      <c r="V1544" s="5" t="s">
        <v>13203</v>
      </c>
      <c r="W1544" s="5" t="s">
        <v>67</v>
      </c>
      <c r="X1544" s="5" t="s">
        <v>67</v>
      </c>
      <c r="Y1544" s="4">
        <v>36</v>
      </c>
      <c r="Z1544" s="4">
        <v>4</v>
      </c>
      <c r="AA1544" s="4">
        <v>6</v>
      </c>
      <c r="AB1544" s="4">
        <v>1</v>
      </c>
      <c r="AC1544" s="4">
        <v>1</v>
      </c>
      <c r="AD1544" s="4">
        <v>13</v>
      </c>
      <c r="AE1544" s="4">
        <v>18</v>
      </c>
      <c r="AF1544" s="4">
        <v>0</v>
      </c>
      <c r="AG1544" s="4">
        <v>0</v>
      </c>
      <c r="AH1544" s="4">
        <v>12</v>
      </c>
      <c r="AI1544" s="4">
        <v>17</v>
      </c>
      <c r="AJ1544" s="4">
        <v>2</v>
      </c>
      <c r="AK1544" s="4">
        <v>4</v>
      </c>
      <c r="AL1544" s="4">
        <v>3</v>
      </c>
      <c r="AM1544" s="4">
        <v>5</v>
      </c>
      <c r="AN1544" s="4">
        <v>0</v>
      </c>
      <c r="AO1544" s="4">
        <v>0</v>
      </c>
      <c r="AP1544" s="4">
        <v>3</v>
      </c>
      <c r="AQ1544" s="4">
        <v>5</v>
      </c>
      <c r="AR1544" s="3" t="s">
        <v>62</v>
      </c>
      <c r="AS1544" s="3" t="s">
        <v>62</v>
      </c>
      <c r="AT1544" s="3" t="s">
        <v>61</v>
      </c>
      <c r="AU1544" s="6" t="str">
        <f t="shared" ref="AU1544:AU1549" si="32">HYPERLINK("http://catalog.hathitrust.org/Record/007113229","HathiTrust Record")</f>
        <v>HathiTrust Record</v>
      </c>
      <c r="AV1544" s="6" t="str">
        <f t="shared" ref="AV1544:AV1549" si="33">HYPERLINK("http://mcgill.on.worldcat.org/oclc/1412696","Catalog Record")</f>
        <v>Catalog Record</v>
      </c>
      <c r="AW1544" s="6" t="str">
        <f t="shared" ref="AW1544:AW1549" si="34">HYPERLINK("http://www.worldcat.org/oclc/1412696","WorldCat Record")</f>
        <v>WorldCat Record</v>
      </c>
      <c r="AX1544" s="3" t="s">
        <v>15540</v>
      </c>
      <c r="AY1544" s="3" t="s">
        <v>15541</v>
      </c>
      <c r="AZ1544" s="3" t="s">
        <v>15542</v>
      </c>
      <c r="BA1544" s="3" t="s">
        <v>15542</v>
      </c>
      <c r="BB1544" s="3" t="s">
        <v>15543</v>
      </c>
      <c r="BC1544" s="3" t="s">
        <v>102</v>
      </c>
      <c r="BD1544" s="3" t="s">
        <v>68</v>
      </c>
      <c r="BF1544" s="3" t="s">
        <v>15543</v>
      </c>
      <c r="BG1544" s="3" t="s">
        <v>15544</v>
      </c>
    </row>
    <row r="1545" spans="1:59" ht="58" x14ac:dyDescent="0.35">
      <c r="A1545" s="2" t="s">
        <v>89</v>
      </c>
      <c r="B1545" s="2" t="s">
        <v>90</v>
      </c>
      <c r="C1545" s="2" t="s">
        <v>15533</v>
      </c>
      <c r="D1545" s="2" t="s">
        <v>15534</v>
      </c>
      <c r="E1545" s="2" t="s">
        <v>15535</v>
      </c>
      <c r="F1545" s="3" t="s">
        <v>1428</v>
      </c>
      <c r="G1545" s="3" t="s">
        <v>61</v>
      </c>
      <c r="I1545" s="3" t="s">
        <v>62</v>
      </c>
      <c r="J1545" s="3" t="s">
        <v>62</v>
      </c>
      <c r="K1545" s="3" t="s">
        <v>63</v>
      </c>
      <c r="L1545" s="2" t="s">
        <v>15522</v>
      </c>
      <c r="M1545" s="2" t="s">
        <v>15536</v>
      </c>
      <c r="N1545" s="3" t="s">
        <v>852</v>
      </c>
      <c r="P1545" s="3" t="s">
        <v>15537</v>
      </c>
      <c r="Q1545" s="2" t="s">
        <v>15538</v>
      </c>
      <c r="R1545" s="3" t="s">
        <v>13065</v>
      </c>
      <c r="S1545" s="4">
        <v>0</v>
      </c>
      <c r="T1545" s="4">
        <v>6</v>
      </c>
      <c r="V1545" s="5" t="s">
        <v>13203</v>
      </c>
      <c r="W1545" s="5" t="s">
        <v>67</v>
      </c>
      <c r="X1545" s="5" t="s">
        <v>67</v>
      </c>
      <c r="Y1545" s="4">
        <v>36</v>
      </c>
      <c r="Z1545" s="4">
        <v>4</v>
      </c>
      <c r="AA1545" s="4">
        <v>6</v>
      </c>
      <c r="AB1545" s="4">
        <v>1</v>
      </c>
      <c r="AC1545" s="4">
        <v>1</v>
      </c>
      <c r="AD1545" s="4">
        <v>13</v>
      </c>
      <c r="AE1545" s="4">
        <v>18</v>
      </c>
      <c r="AF1545" s="4">
        <v>0</v>
      </c>
      <c r="AG1545" s="4">
        <v>0</v>
      </c>
      <c r="AH1545" s="4">
        <v>12</v>
      </c>
      <c r="AI1545" s="4">
        <v>17</v>
      </c>
      <c r="AJ1545" s="4">
        <v>2</v>
      </c>
      <c r="AK1545" s="4">
        <v>4</v>
      </c>
      <c r="AL1545" s="4">
        <v>3</v>
      </c>
      <c r="AM1545" s="4">
        <v>5</v>
      </c>
      <c r="AN1545" s="4">
        <v>0</v>
      </c>
      <c r="AO1545" s="4">
        <v>0</v>
      </c>
      <c r="AP1545" s="4">
        <v>3</v>
      </c>
      <c r="AQ1545" s="4">
        <v>5</v>
      </c>
      <c r="AR1545" s="3" t="s">
        <v>62</v>
      </c>
      <c r="AS1545" s="3" t="s">
        <v>62</v>
      </c>
      <c r="AT1545" s="3" t="s">
        <v>61</v>
      </c>
      <c r="AU1545" s="6" t="str">
        <f t="shared" si="32"/>
        <v>HathiTrust Record</v>
      </c>
      <c r="AV1545" s="6" t="str">
        <f t="shared" si="33"/>
        <v>Catalog Record</v>
      </c>
      <c r="AW1545" s="6" t="str">
        <f t="shared" si="34"/>
        <v>WorldCat Record</v>
      </c>
      <c r="AX1545" s="3" t="s">
        <v>15540</v>
      </c>
      <c r="AY1545" s="3" t="s">
        <v>15541</v>
      </c>
      <c r="AZ1545" s="3" t="s">
        <v>15542</v>
      </c>
      <c r="BA1545" s="3" t="s">
        <v>15542</v>
      </c>
      <c r="BB1545" s="3" t="s">
        <v>15545</v>
      </c>
      <c r="BC1545" s="3" t="s">
        <v>102</v>
      </c>
      <c r="BD1545" s="3" t="s">
        <v>68</v>
      </c>
      <c r="BF1545" s="3" t="s">
        <v>15545</v>
      </c>
      <c r="BG1545" s="3" t="s">
        <v>15546</v>
      </c>
    </row>
    <row r="1546" spans="1:59" ht="58" x14ac:dyDescent="0.35">
      <c r="A1546" s="2" t="s">
        <v>89</v>
      </c>
      <c r="B1546" s="2" t="s">
        <v>90</v>
      </c>
      <c r="C1546" s="2" t="s">
        <v>15533</v>
      </c>
      <c r="D1546" s="2" t="s">
        <v>15534</v>
      </c>
      <c r="E1546" s="2" t="s">
        <v>15535</v>
      </c>
      <c r="F1546" s="3" t="s">
        <v>15547</v>
      </c>
      <c r="G1546" s="3" t="s">
        <v>61</v>
      </c>
      <c r="I1546" s="3" t="s">
        <v>62</v>
      </c>
      <c r="J1546" s="3" t="s">
        <v>62</v>
      </c>
      <c r="K1546" s="3" t="s">
        <v>63</v>
      </c>
      <c r="L1546" s="2" t="s">
        <v>15522</v>
      </c>
      <c r="M1546" s="2" t="s">
        <v>15536</v>
      </c>
      <c r="N1546" s="3" t="s">
        <v>852</v>
      </c>
      <c r="P1546" s="3" t="s">
        <v>15537</v>
      </c>
      <c r="Q1546" s="2" t="s">
        <v>15538</v>
      </c>
      <c r="R1546" s="3" t="s">
        <v>13065</v>
      </c>
      <c r="S1546" s="4">
        <v>1</v>
      </c>
      <c r="T1546" s="4">
        <v>6</v>
      </c>
      <c r="U1546" s="5" t="s">
        <v>15548</v>
      </c>
      <c r="V1546" s="5" t="s">
        <v>13203</v>
      </c>
      <c r="W1546" s="5" t="s">
        <v>67</v>
      </c>
      <c r="X1546" s="5" t="s">
        <v>67</v>
      </c>
      <c r="Y1546" s="4">
        <v>36</v>
      </c>
      <c r="Z1546" s="4">
        <v>4</v>
      </c>
      <c r="AA1546" s="4">
        <v>6</v>
      </c>
      <c r="AB1546" s="4">
        <v>1</v>
      </c>
      <c r="AC1546" s="4">
        <v>1</v>
      </c>
      <c r="AD1546" s="4">
        <v>13</v>
      </c>
      <c r="AE1546" s="4">
        <v>18</v>
      </c>
      <c r="AF1546" s="4">
        <v>0</v>
      </c>
      <c r="AG1546" s="4">
        <v>0</v>
      </c>
      <c r="AH1546" s="4">
        <v>12</v>
      </c>
      <c r="AI1546" s="4">
        <v>17</v>
      </c>
      <c r="AJ1546" s="4">
        <v>2</v>
      </c>
      <c r="AK1546" s="4">
        <v>4</v>
      </c>
      <c r="AL1546" s="4">
        <v>3</v>
      </c>
      <c r="AM1546" s="4">
        <v>5</v>
      </c>
      <c r="AN1546" s="4">
        <v>0</v>
      </c>
      <c r="AO1546" s="4">
        <v>0</v>
      </c>
      <c r="AP1546" s="4">
        <v>3</v>
      </c>
      <c r="AQ1546" s="4">
        <v>5</v>
      </c>
      <c r="AR1546" s="3" t="s">
        <v>62</v>
      </c>
      <c r="AS1546" s="3" t="s">
        <v>62</v>
      </c>
      <c r="AT1546" s="3" t="s">
        <v>61</v>
      </c>
      <c r="AU1546" s="6" t="str">
        <f t="shared" si="32"/>
        <v>HathiTrust Record</v>
      </c>
      <c r="AV1546" s="6" t="str">
        <f t="shared" si="33"/>
        <v>Catalog Record</v>
      </c>
      <c r="AW1546" s="6" t="str">
        <f t="shared" si="34"/>
        <v>WorldCat Record</v>
      </c>
      <c r="AX1546" s="3" t="s">
        <v>15540</v>
      </c>
      <c r="AY1546" s="3" t="s">
        <v>15541</v>
      </c>
      <c r="AZ1546" s="3" t="s">
        <v>15542</v>
      </c>
      <c r="BA1546" s="3" t="s">
        <v>15542</v>
      </c>
      <c r="BB1546" s="3" t="s">
        <v>15549</v>
      </c>
      <c r="BC1546" s="3" t="s">
        <v>102</v>
      </c>
      <c r="BD1546" s="3" t="s">
        <v>68</v>
      </c>
      <c r="BF1546" s="3" t="s">
        <v>15549</v>
      </c>
      <c r="BG1546" s="3" t="s">
        <v>15550</v>
      </c>
    </row>
    <row r="1547" spans="1:59" ht="58" x14ac:dyDescent="0.35">
      <c r="A1547" s="2" t="s">
        <v>89</v>
      </c>
      <c r="B1547" s="2" t="s">
        <v>90</v>
      </c>
      <c r="C1547" s="2" t="s">
        <v>15533</v>
      </c>
      <c r="D1547" s="2" t="s">
        <v>15534</v>
      </c>
      <c r="E1547" s="2" t="s">
        <v>15535</v>
      </c>
      <c r="F1547" s="3" t="s">
        <v>1413</v>
      </c>
      <c r="G1547" s="3" t="s">
        <v>61</v>
      </c>
      <c r="I1547" s="3" t="s">
        <v>62</v>
      </c>
      <c r="J1547" s="3" t="s">
        <v>62</v>
      </c>
      <c r="K1547" s="3" t="s">
        <v>63</v>
      </c>
      <c r="L1547" s="2" t="s">
        <v>15522</v>
      </c>
      <c r="M1547" s="2" t="s">
        <v>15536</v>
      </c>
      <c r="N1547" s="3" t="s">
        <v>852</v>
      </c>
      <c r="P1547" s="3" t="s">
        <v>15537</v>
      </c>
      <c r="Q1547" s="2" t="s">
        <v>15538</v>
      </c>
      <c r="R1547" s="3" t="s">
        <v>13065</v>
      </c>
      <c r="S1547" s="4">
        <v>3</v>
      </c>
      <c r="T1547" s="4">
        <v>6</v>
      </c>
      <c r="U1547" s="5" t="s">
        <v>13203</v>
      </c>
      <c r="V1547" s="5" t="s">
        <v>13203</v>
      </c>
      <c r="W1547" s="5" t="s">
        <v>67</v>
      </c>
      <c r="X1547" s="5" t="s">
        <v>67</v>
      </c>
      <c r="Y1547" s="4">
        <v>36</v>
      </c>
      <c r="Z1547" s="4">
        <v>4</v>
      </c>
      <c r="AA1547" s="4">
        <v>6</v>
      </c>
      <c r="AB1547" s="4">
        <v>1</v>
      </c>
      <c r="AC1547" s="4">
        <v>1</v>
      </c>
      <c r="AD1547" s="4">
        <v>13</v>
      </c>
      <c r="AE1547" s="4">
        <v>18</v>
      </c>
      <c r="AF1547" s="4">
        <v>0</v>
      </c>
      <c r="AG1547" s="4">
        <v>0</v>
      </c>
      <c r="AH1547" s="4">
        <v>12</v>
      </c>
      <c r="AI1547" s="4">
        <v>17</v>
      </c>
      <c r="AJ1547" s="4">
        <v>2</v>
      </c>
      <c r="AK1547" s="4">
        <v>4</v>
      </c>
      <c r="AL1547" s="4">
        <v>3</v>
      </c>
      <c r="AM1547" s="4">
        <v>5</v>
      </c>
      <c r="AN1547" s="4">
        <v>0</v>
      </c>
      <c r="AO1547" s="4">
        <v>0</v>
      </c>
      <c r="AP1547" s="4">
        <v>3</v>
      </c>
      <c r="AQ1547" s="4">
        <v>5</v>
      </c>
      <c r="AR1547" s="3" t="s">
        <v>62</v>
      </c>
      <c r="AS1547" s="3" t="s">
        <v>62</v>
      </c>
      <c r="AT1547" s="3" t="s">
        <v>61</v>
      </c>
      <c r="AU1547" s="6" t="str">
        <f t="shared" si="32"/>
        <v>HathiTrust Record</v>
      </c>
      <c r="AV1547" s="6" t="str">
        <f t="shared" si="33"/>
        <v>Catalog Record</v>
      </c>
      <c r="AW1547" s="6" t="str">
        <f t="shared" si="34"/>
        <v>WorldCat Record</v>
      </c>
      <c r="AX1547" s="3" t="s">
        <v>15540</v>
      </c>
      <c r="AY1547" s="3" t="s">
        <v>15541</v>
      </c>
      <c r="AZ1547" s="3" t="s">
        <v>15542</v>
      </c>
      <c r="BA1547" s="3" t="s">
        <v>15542</v>
      </c>
      <c r="BB1547" s="3" t="s">
        <v>15551</v>
      </c>
      <c r="BC1547" s="3" t="s">
        <v>102</v>
      </c>
      <c r="BD1547" s="3" t="s">
        <v>68</v>
      </c>
      <c r="BF1547" s="3" t="s">
        <v>15551</v>
      </c>
      <c r="BG1547" s="3" t="s">
        <v>15552</v>
      </c>
    </row>
    <row r="1548" spans="1:59" ht="58" x14ac:dyDescent="0.35">
      <c r="A1548" s="2" t="s">
        <v>89</v>
      </c>
      <c r="B1548" s="2" t="s">
        <v>90</v>
      </c>
      <c r="C1548" s="2" t="s">
        <v>15533</v>
      </c>
      <c r="D1548" s="2" t="s">
        <v>15534</v>
      </c>
      <c r="E1548" s="2" t="s">
        <v>15535</v>
      </c>
      <c r="F1548" s="3" t="s">
        <v>15553</v>
      </c>
      <c r="G1548" s="3" t="s">
        <v>61</v>
      </c>
      <c r="I1548" s="3" t="s">
        <v>62</v>
      </c>
      <c r="J1548" s="3" t="s">
        <v>62</v>
      </c>
      <c r="K1548" s="3" t="s">
        <v>63</v>
      </c>
      <c r="L1548" s="2" t="s">
        <v>15522</v>
      </c>
      <c r="M1548" s="2" t="s">
        <v>15536</v>
      </c>
      <c r="N1548" s="3" t="s">
        <v>852</v>
      </c>
      <c r="P1548" s="3" t="s">
        <v>15537</v>
      </c>
      <c r="Q1548" s="2" t="s">
        <v>15538</v>
      </c>
      <c r="R1548" s="3" t="s">
        <v>13065</v>
      </c>
      <c r="S1548" s="4">
        <v>1</v>
      </c>
      <c r="T1548" s="4">
        <v>6</v>
      </c>
      <c r="U1548" s="5" t="s">
        <v>15554</v>
      </c>
      <c r="V1548" s="5" t="s">
        <v>13203</v>
      </c>
      <c r="W1548" s="5" t="s">
        <v>67</v>
      </c>
      <c r="X1548" s="5" t="s">
        <v>67</v>
      </c>
      <c r="Y1548" s="4">
        <v>36</v>
      </c>
      <c r="Z1548" s="4">
        <v>4</v>
      </c>
      <c r="AA1548" s="4">
        <v>6</v>
      </c>
      <c r="AB1548" s="4">
        <v>1</v>
      </c>
      <c r="AC1548" s="4">
        <v>1</v>
      </c>
      <c r="AD1548" s="4">
        <v>13</v>
      </c>
      <c r="AE1548" s="4">
        <v>18</v>
      </c>
      <c r="AF1548" s="4">
        <v>0</v>
      </c>
      <c r="AG1548" s="4">
        <v>0</v>
      </c>
      <c r="AH1548" s="4">
        <v>12</v>
      </c>
      <c r="AI1548" s="4">
        <v>17</v>
      </c>
      <c r="AJ1548" s="4">
        <v>2</v>
      </c>
      <c r="AK1548" s="4">
        <v>4</v>
      </c>
      <c r="AL1548" s="4">
        <v>3</v>
      </c>
      <c r="AM1548" s="4">
        <v>5</v>
      </c>
      <c r="AN1548" s="4">
        <v>0</v>
      </c>
      <c r="AO1548" s="4">
        <v>0</v>
      </c>
      <c r="AP1548" s="4">
        <v>3</v>
      </c>
      <c r="AQ1548" s="4">
        <v>5</v>
      </c>
      <c r="AR1548" s="3" t="s">
        <v>62</v>
      </c>
      <c r="AS1548" s="3" t="s">
        <v>62</v>
      </c>
      <c r="AT1548" s="3" t="s">
        <v>61</v>
      </c>
      <c r="AU1548" s="6" t="str">
        <f t="shared" si="32"/>
        <v>HathiTrust Record</v>
      </c>
      <c r="AV1548" s="6" t="str">
        <f t="shared" si="33"/>
        <v>Catalog Record</v>
      </c>
      <c r="AW1548" s="6" t="str">
        <f t="shared" si="34"/>
        <v>WorldCat Record</v>
      </c>
      <c r="AX1548" s="3" t="s">
        <v>15540</v>
      </c>
      <c r="AY1548" s="3" t="s">
        <v>15541</v>
      </c>
      <c r="AZ1548" s="3" t="s">
        <v>15542</v>
      </c>
      <c r="BA1548" s="3" t="s">
        <v>15542</v>
      </c>
      <c r="BB1548" s="3" t="s">
        <v>15555</v>
      </c>
      <c r="BC1548" s="3" t="s">
        <v>102</v>
      </c>
      <c r="BD1548" s="3" t="s">
        <v>68</v>
      </c>
      <c r="BF1548" s="3" t="s">
        <v>15555</v>
      </c>
      <c r="BG1548" s="3" t="s">
        <v>15556</v>
      </c>
    </row>
    <row r="1549" spans="1:59" ht="58" x14ac:dyDescent="0.35">
      <c r="A1549" s="2" t="s">
        <v>89</v>
      </c>
      <c r="B1549" s="2" t="s">
        <v>90</v>
      </c>
      <c r="C1549" s="2" t="s">
        <v>15533</v>
      </c>
      <c r="D1549" s="2" t="s">
        <v>15534</v>
      </c>
      <c r="E1549" s="2" t="s">
        <v>15535</v>
      </c>
      <c r="F1549" s="3" t="s">
        <v>1422</v>
      </c>
      <c r="G1549" s="3" t="s">
        <v>61</v>
      </c>
      <c r="I1549" s="3" t="s">
        <v>62</v>
      </c>
      <c r="J1549" s="3" t="s">
        <v>62</v>
      </c>
      <c r="K1549" s="3" t="s">
        <v>63</v>
      </c>
      <c r="L1549" s="2" t="s">
        <v>15522</v>
      </c>
      <c r="M1549" s="2" t="s">
        <v>15536</v>
      </c>
      <c r="N1549" s="3" t="s">
        <v>852</v>
      </c>
      <c r="P1549" s="3" t="s">
        <v>15537</v>
      </c>
      <c r="Q1549" s="2" t="s">
        <v>15538</v>
      </c>
      <c r="R1549" s="3" t="s">
        <v>13065</v>
      </c>
      <c r="S1549" s="4">
        <v>0</v>
      </c>
      <c r="T1549" s="4">
        <v>6</v>
      </c>
      <c r="V1549" s="5" t="s">
        <v>13203</v>
      </c>
      <c r="W1549" s="5" t="s">
        <v>67</v>
      </c>
      <c r="X1549" s="5" t="s">
        <v>67</v>
      </c>
      <c r="Y1549" s="4">
        <v>36</v>
      </c>
      <c r="Z1549" s="4">
        <v>4</v>
      </c>
      <c r="AA1549" s="4">
        <v>6</v>
      </c>
      <c r="AB1549" s="4">
        <v>1</v>
      </c>
      <c r="AC1549" s="4">
        <v>1</v>
      </c>
      <c r="AD1549" s="4">
        <v>13</v>
      </c>
      <c r="AE1549" s="4">
        <v>18</v>
      </c>
      <c r="AF1549" s="4">
        <v>0</v>
      </c>
      <c r="AG1549" s="4">
        <v>0</v>
      </c>
      <c r="AH1549" s="4">
        <v>12</v>
      </c>
      <c r="AI1549" s="4">
        <v>17</v>
      </c>
      <c r="AJ1549" s="4">
        <v>2</v>
      </c>
      <c r="AK1549" s="4">
        <v>4</v>
      </c>
      <c r="AL1549" s="4">
        <v>3</v>
      </c>
      <c r="AM1549" s="4">
        <v>5</v>
      </c>
      <c r="AN1549" s="4">
        <v>0</v>
      </c>
      <c r="AO1549" s="4">
        <v>0</v>
      </c>
      <c r="AP1549" s="4">
        <v>3</v>
      </c>
      <c r="AQ1549" s="4">
        <v>5</v>
      </c>
      <c r="AR1549" s="3" t="s">
        <v>62</v>
      </c>
      <c r="AS1549" s="3" t="s">
        <v>62</v>
      </c>
      <c r="AT1549" s="3" t="s">
        <v>61</v>
      </c>
      <c r="AU1549" s="6" t="str">
        <f t="shared" si="32"/>
        <v>HathiTrust Record</v>
      </c>
      <c r="AV1549" s="6" t="str">
        <f t="shared" si="33"/>
        <v>Catalog Record</v>
      </c>
      <c r="AW1549" s="6" t="str">
        <f t="shared" si="34"/>
        <v>WorldCat Record</v>
      </c>
      <c r="AX1549" s="3" t="s">
        <v>15540</v>
      </c>
      <c r="AY1549" s="3" t="s">
        <v>15541</v>
      </c>
      <c r="AZ1549" s="3" t="s">
        <v>15542</v>
      </c>
      <c r="BA1549" s="3" t="s">
        <v>15542</v>
      </c>
      <c r="BB1549" s="3" t="s">
        <v>15557</v>
      </c>
      <c r="BC1549" s="3" t="s">
        <v>102</v>
      </c>
      <c r="BD1549" s="3" t="s">
        <v>68</v>
      </c>
      <c r="BF1549" s="3" t="s">
        <v>15557</v>
      </c>
      <c r="BG1549" s="3" t="s">
        <v>15558</v>
      </c>
    </row>
    <row r="1550" spans="1:59" ht="72.5" x14ac:dyDescent="0.35">
      <c r="A1550" s="2" t="s">
        <v>89</v>
      </c>
      <c r="B1550" s="2" t="s">
        <v>90</v>
      </c>
      <c r="C1550" s="2" t="s">
        <v>15559</v>
      </c>
      <c r="D1550" s="2" t="s">
        <v>15560</v>
      </c>
      <c r="E1550" s="2" t="s">
        <v>15561</v>
      </c>
      <c r="F1550" s="3" t="s">
        <v>2248</v>
      </c>
      <c r="G1550" s="3" t="s">
        <v>61</v>
      </c>
      <c r="I1550" s="3" t="s">
        <v>61</v>
      </c>
      <c r="J1550" s="3" t="s">
        <v>62</v>
      </c>
      <c r="K1550" s="3" t="s">
        <v>63</v>
      </c>
      <c r="L1550" s="2" t="s">
        <v>15522</v>
      </c>
      <c r="M1550" s="2" t="s">
        <v>15562</v>
      </c>
      <c r="N1550" s="3" t="s">
        <v>809</v>
      </c>
      <c r="O1550" s="2" t="s">
        <v>15563</v>
      </c>
      <c r="P1550" s="3" t="s">
        <v>64</v>
      </c>
      <c r="Q1550" s="2" t="s">
        <v>15564</v>
      </c>
      <c r="R1550" s="3" t="s">
        <v>13065</v>
      </c>
      <c r="S1550" s="4">
        <v>8</v>
      </c>
      <c r="T1550" s="4">
        <v>165</v>
      </c>
      <c r="U1550" s="5" t="s">
        <v>15565</v>
      </c>
      <c r="V1550" s="5" t="s">
        <v>3441</v>
      </c>
      <c r="W1550" s="5" t="s">
        <v>67</v>
      </c>
      <c r="X1550" s="5" t="s">
        <v>67</v>
      </c>
      <c r="Y1550" s="4">
        <v>1476</v>
      </c>
      <c r="Z1550" s="4">
        <v>55</v>
      </c>
      <c r="AA1550" s="4">
        <v>64</v>
      </c>
      <c r="AB1550" s="4">
        <v>4</v>
      </c>
      <c r="AC1550" s="4">
        <v>9</v>
      </c>
      <c r="AD1550" s="4">
        <v>137</v>
      </c>
      <c r="AE1550" s="4">
        <v>143</v>
      </c>
      <c r="AF1550" s="4">
        <v>2</v>
      </c>
      <c r="AG1550" s="4">
        <v>6</v>
      </c>
      <c r="AH1550" s="4">
        <v>106</v>
      </c>
      <c r="AI1550" s="4">
        <v>107</v>
      </c>
      <c r="AJ1550" s="4">
        <v>18</v>
      </c>
      <c r="AK1550" s="4">
        <v>22</v>
      </c>
      <c r="AL1550" s="4">
        <v>56</v>
      </c>
      <c r="AM1550" s="4">
        <v>57</v>
      </c>
      <c r="AN1550" s="4">
        <v>0</v>
      </c>
      <c r="AO1550" s="4">
        <v>5</v>
      </c>
      <c r="AP1550" s="4">
        <v>39</v>
      </c>
      <c r="AQ1550" s="4">
        <v>43</v>
      </c>
      <c r="AR1550" s="3" t="s">
        <v>62</v>
      </c>
      <c r="AS1550" s="3" t="s">
        <v>62</v>
      </c>
      <c r="AT1550" s="3" t="s">
        <v>61</v>
      </c>
      <c r="AU1550" s="6" t="str">
        <f>HYPERLINK("http://catalog.hathitrust.org/Record/000423505","HathiTrust Record")</f>
        <v>HathiTrust Record</v>
      </c>
      <c r="AV1550" s="6" t="str">
        <f>HYPERLINK("http://mcgill.on.worldcat.org/oclc/355237","Catalog Record")</f>
        <v>Catalog Record</v>
      </c>
      <c r="AW1550" s="6" t="str">
        <f>HYPERLINK("http://www.worldcat.org/oclc/355237","WorldCat Record")</f>
        <v>WorldCat Record</v>
      </c>
      <c r="AX1550" s="3" t="s">
        <v>15566</v>
      </c>
      <c r="AY1550" s="3" t="s">
        <v>15567</v>
      </c>
      <c r="AZ1550" s="3" t="s">
        <v>15568</v>
      </c>
      <c r="BA1550" s="3" t="s">
        <v>15568</v>
      </c>
      <c r="BB1550" s="3" t="s">
        <v>15569</v>
      </c>
      <c r="BC1550" s="3" t="s">
        <v>102</v>
      </c>
      <c r="BD1550" s="3" t="s">
        <v>231</v>
      </c>
      <c r="BE1550" s="3" t="s">
        <v>15570</v>
      </c>
      <c r="BF1550" s="3" t="s">
        <v>15569</v>
      </c>
      <c r="BG1550" s="3" t="s">
        <v>15571</v>
      </c>
    </row>
    <row r="1551" spans="1:59" ht="72.5" x14ac:dyDescent="0.35">
      <c r="A1551" s="2" t="s">
        <v>89</v>
      </c>
      <c r="B1551" s="2" t="s">
        <v>90</v>
      </c>
      <c r="C1551" s="2" t="s">
        <v>15559</v>
      </c>
      <c r="D1551" s="2" t="s">
        <v>15560</v>
      </c>
      <c r="E1551" s="2" t="s">
        <v>15561</v>
      </c>
      <c r="F1551" s="3" t="s">
        <v>15572</v>
      </c>
      <c r="G1551" s="3" t="s">
        <v>61</v>
      </c>
      <c r="I1551" s="3" t="s">
        <v>61</v>
      </c>
      <c r="J1551" s="3" t="s">
        <v>62</v>
      </c>
      <c r="K1551" s="3" t="s">
        <v>63</v>
      </c>
      <c r="L1551" s="2" t="s">
        <v>15522</v>
      </c>
      <c r="M1551" s="2" t="s">
        <v>15562</v>
      </c>
      <c r="N1551" s="3" t="s">
        <v>809</v>
      </c>
      <c r="O1551" s="2" t="s">
        <v>15563</v>
      </c>
      <c r="P1551" s="3" t="s">
        <v>64</v>
      </c>
      <c r="Q1551" s="2" t="s">
        <v>15564</v>
      </c>
      <c r="R1551" s="3" t="s">
        <v>13065</v>
      </c>
      <c r="S1551" s="4">
        <v>16</v>
      </c>
      <c r="T1551" s="4">
        <v>165</v>
      </c>
      <c r="U1551" s="5" t="s">
        <v>10648</v>
      </c>
      <c r="V1551" s="5" t="s">
        <v>3441</v>
      </c>
      <c r="W1551" s="5" t="s">
        <v>67</v>
      </c>
      <c r="X1551" s="5" t="s">
        <v>67</v>
      </c>
      <c r="Y1551" s="4">
        <v>1476</v>
      </c>
      <c r="Z1551" s="4">
        <v>55</v>
      </c>
      <c r="AA1551" s="4">
        <v>64</v>
      </c>
      <c r="AB1551" s="4">
        <v>4</v>
      </c>
      <c r="AC1551" s="4">
        <v>9</v>
      </c>
      <c r="AD1551" s="4">
        <v>137</v>
      </c>
      <c r="AE1551" s="4">
        <v>143</v>
      </c>
      <c r="AF1551" s="4">
        <v>2</v>
      </c>
      <c r="AG1551" s="4">
        <v>6</v>
      </c>
      <c r="AH1551" s="4">
        <v>106</v>
      </c>
      <c r="AI1551" s="4">
        <v>107</v>
      </c>
      <c r="AJ1551" s="4">
        <v>18</v>
      </c>
      <c r="AK1551" s="4">
        <v>22</v>
      </c>
      <c r="AL1551" s="4">
        <v>56</v>
      </c>
      <c r="AM1551" s="4">
        <v>57</v>
      </c>
      <c r="AN1551" s="4">
        <v>0</v>
      </c>
      <c r="AO1551" s="4">
        <v>5</v>
      </c>
      <c r="AP1551" s="4">
        <v>39</v>
      </c>
      <c r="AQ1551" s="4">
        <v>43</v>
      </c>
      <c r="AR1551" s="3" t="s">
        <v>62</v>
      </c>
      <c r="AS1551" s="3" t="s">
        <v>62</v>
      </c>
      <c r="AT1551" s="3" t="s">
        <v>61</v>
      </c>
      <c r="AU1551" s="6" t="str">
        <f>HYPERLINK("http://catalog.hathitrust.org/Record/000423505","HathiTrust Record")</f>
        <v>HathiTrust Record</v>
      </c>
      <c r="AV1551" s="6" t="str">
        <f>HYPERLINK("http://mcgill.on.worldcat.org/oclc/355237","Catalog Record")</f>
        <v>Catalog Record</v>
      </c>
      <c r="AW1551" s="6" t="str">
        <f>HYPERLINK("http://www.worldcat.org/oclc/355237","WorldCat Record")</f>
        <v>WorldCat Record</v>
      </c>
      <c r="AX1551" s="3" t="s">
        <v>15566</v>
      </c>
      <c r="AY1551" s="3" t="s">
        <v>15567</v>
      </c>
      <c r="AZ1551" s="3" t="s">
        <v>15568</v>
      </c>
      <c r="BA1551" s="3" t="s">
        <v>15568</v>
      </c>
      <c r="BB1551" s="3" t="s">
        <v>15573</v>
      </c>
      <c r="BC1551" s="3" t="s">
        <v>102</v>
      </c>
      <c r="BD1551" s="3" t="s">
        <v>231</v>
      </c>
      <c r="BE1551" s="3" t="s">
        <v>15570</v>
      </c>
      <c r="BF1551" s="3" t="s">
        <v>15573</v>
      </c>
      <c r="BG1551" s="3" t="s">
        <v>15574</v>
      </c>
    </row>
    <row r="1552" spans="1:59" ht="72.5" x14ac:dyDescent="0.35">
      <c r="A1552" s="2" t="s">
        <v>89</v>
      </c>
      <c r="B1552" s="2" t="s">
        <v>90</v>
      </c>
      <c r="C1552" s="2" t="s">
        <v>15559</v>
      </c>
      <c r="D1552" s="2" t="s">
        <v>15560</v>
      </c>
      <c r="E1552" s="2" t="s">
        <v>15561</v>
      </c>
      <c r="F1552" s="3" t="s">
        <v>2233</v>
      </c>
      <c r="G1552" s="3" t="s">
        <v>61</v>
      </c>
      <c r="I1552" s="3" t="s">
        <v>61</v>
      </c>
      <c r="J1552" s="3" t="s">
        <v>62</v>
      </c>
      <c r="K1552" s="3" t="s">
        <v>63</v>
      </c>
      <c r="L1552" s="2" t="s">
        <v>15522</v>
      </c>
      <c r="M1552" s="2" t="s">
        <v>15562</v>
      </c>
      <c r="N1552" s="3" t="s">
        <v>809</v>
      </c>
      <c r="O1552" s="2" t="s">
        <v>15563</v>
      </c>
      <c r="P1552" s="3" t="s">
        <v>64</v>
      </c>
      <c r="Q1552" s="2" t="s">
        <v>15564</v>
      </c>
      <c r="R1552" s="3" t="s">
        <v>13065</v>
      </c>
      <c r="S1552" s="4">
        <v>10</v>
      </c>
      <c r="T1552" s="4">
        <v>165</v>
      </c>
      <c r="U1552" s="5" t="s">
        <v>9685</v>
      </c>
      <c r="V1552" s="5" t="s">
        <v>3441</v>
      </c>
      <c r="W1552" s="5" t="s">
        <v>67</v>
      </c>
      <c r="X1552" s="5" t="s">
        <v>67</v>
      </c>
      <c r="Y1552" s="4">
        <v>1476</v>
      </c>
      <c r="Z1552" s="4">
        <v>55</v>
      </c>
      <c r="AA1552" s="4">
        <v>64</v>
      </c>
      <c r="AB1552" s="4">
        <v>4</v>
      </c>
      <c r="AC1552" s="4">
        <v>9</v>
      </c>
      <c r="AD1552" s="4">
        <v>137</v>
      </c>
      <c r="AE1552" s="4">
        <v>143</v>
      </c>
      <c r="AF1552" s="4">
        <v>2</v>
      </c>
      <c r="AG1552" s="4">
        <v>6</v>
      </c>
      <c r="AH1552" s="4">
        <v>106</v>
      </c>
      <c r="AI1552" s="4">
        <v>107</v>
      </c>
      <c r="AJ1552" s="4">
        <v>18</v>
      </c>
      <c r="AK1552" s="4">
        <v>22</v>
      </c>
      <c r="AL1552" s="4">
        <v>56</v>
      </c>
      <c r="AM1552" s="4">
        <v>57</v>
      </c>
      <c r="AN1552" s="4">
        <v>0</v>
      </c>
      <c r="AO1552" s="4">
        <v>5</v>
      </c>
      <c r="AP1552" s="4">
        <v>39</v>
      </c>
      <c r="AQ1552" s="4">
        <v>43</v>
      </c>
      <c r="AR1552" s="3" t="s">
        <v>62</v>
      </c>
      <c r="AS1552" s="3" t="s">
        <v>62</v>
      </c>
      <c r="AT1552" s="3" t="s">
        <v>61</v>
      </c>
      <c r="AU1552" s="6" t="str">
        <f>HYPERLINK("http://catalog.hathitrust.org/Record/000423505","HathiTrust Record")</f>
        <v>HathiTrust Record</v>
      </c>
      <c r="AV1552" s="6" t="str">
        <f>HYPERLINK("http://mcgill.on.worldcat.org/oclc/355237","Catalog Record")</f>
        <v>Catalog Record</v>
      </c>
      <c r="AW1552" s="6" t="str">
        <f>HYPERLINK("http://www.worldcat.org/oclc/355237","WorldCat Record")</f>
        <v>WorldCat Record</v>
      </c>
      <c r="AX1552" s="3" t="s">
        <v>15566</v>
      </c>
      <c r="AY1552" s="3" t="s">
        <v>15567</v>
      </c>
      <c r="AZ1552" s="3" t="s">
        <v>15568</v>
      </c>
      <c r="BA1552" s="3" t="s">
        <v>15568</v>
      </c>
      <c r="BB1552" s="3" t="s">
        <v>15575</v>
      </c>
      <c r="BC1552" s="3" t="s">
        <v>102</v>
      </c>
      <c r="BD1552" s="3" t="s">
        <v>231</v>
      </c>
      <c r="BE1552" s="3" t="s">
        <v>15570</v>
      </c>
      <c r="BF1552" s="3" t="s">
        <v>15575</v>
      </c>
      <c r="BG1552" s="3" t="s">
        <v>15576</v>
      </c>
    </row>
    <row r="1553" spans="1:59" ht="58" x14ac:dyDescent="0.35">
      <c r="A1553" s="2" t="s">
        <v>89</v>
      </c>
      <c r="B1553" s="2" t="s">
        <v>90</v>
      </c>
      <c r="C1553" s="2" t="s">
        <v>15577</v>
      </c>
      <c r="D1553" s="2" t="s">
        <v>15578</v>
      </c>
      <c r="E1553" s="2" t="s">
        <v>15579</v>
      </c>
      <c r="G1553" s="3" t="s">
        <v>62</v>
      </c>
      <c r="I1553" s="3" t="s">
        <v>62</v>
      </c>
      <c r="J1553" s="3" t="s">
        <v>62</v>
      </c>
      <c r="K1553" s="3" t="s">
        <v>63</v>
      </c>
      <c r="L1553" s="2" t="s">
        <v>15580</v>
      </c>
      <c r="M1553" s="2" t="s">
        <v>15134</v>
      </c>
      <c r="N1553" s="3" t="s">
        <v>539</v>
      </c>
      <c r="P1553" s="3" t="s">
        <v>64</v>
      </c>
      <c r="Q1553" s="2" t="s">
        <v>15581</v>
      </c>
      <c r="R1553" s="3" t="s">
        <v>13065</v>
      </c>
      <c r="S1553" s="4">
        <v>8</v>
      </c>
      <c r="T1553" s="4">
        <v>8</v>
      </c>
      <c r="U1553" s="5" t="s">
        <v>12658</v>
      </c>
      <c r="V1553" s="5" t="s">
        <v>12658</v>
      </c>
      <c r="W1553" s="5" t="s">
        <v>67</v>
      </c>
      <c r="X1553" s="5" t="s">
        <v>67</v>
      </c>
      <c r="Y1553" s="4">
        <v>118</v>
      </c>
      <c r="Z1553" s="4">
        <v>6</v>
      </c>
      <c r="AA1553" s="4">
        <v>6</v>
      </c>
      <c r="AB1553" s="4">
        <v>1</v>
      </c>
      <c r="AC1553" s="4">
        <v>1</v>
      </c>
      <c r="AD1553" s="4">
        <v>45</v>
      </c>
      <c r="AE1553" s="4">
        <v>45</v>
      </c>
      <c r="AF1553" s="4">
        <v>0</v>
      </c>
      <c r="AG1553" s="4">
        <v>0</v>
      </c>
      <c r="AH1553" s="4">
        <v>41</v>
      </c>
      <c r="AI1553" s="4">
        <v>41</v>
      </c>
      <c r="AJ1553" s="4">
        <v>4</v>
      </c>
      <c r="AK1553" s="4">
        <v>4</v>
      </c>
      <c r="AL1553" s="4">
        <v>33</v>
      </c>
      <c r="AM1553" s="4">
        <v>33</v>
      </c>
      <c r="AN1553" s="4">
        <v>0</v>
      </c>
      <c r="AO1553" s="4">
        <v>0</v>
      </c>
      <c r="AP1553" s="4">
        <v>4</v>
      </c>
      <c r="AQ1553" s="4">
        <v>4</v>
      </c>
      <c r="AR1553" s="3" t="s">
        <v>62</v>
      </c>
      <c r="AS1553" s="3" t="s">
        <v>62</v>
      </c>
      <c r="AT1553" s="3" t="s">
        <v>62</v>
      </c>
      <c r="AV1553" s="6" t="str">
        <f>HYPERLINK("http://mcgill.on.worldcat.org/oclc/38249467","Catalog Record")</f>
        <v>Catalog Record</v>
      </c>
      <c r="AW1553" s="6" t="str">
        <f>HYPERLINK("http://www.worldcat.org/oclc/38249467","WorldCat Record")</f>
        <v>WorldCat Record</v>
      </c>
      <c r="AX1553" s="3" t="s">
        <v>15582</v>
      </c>
      <c r="AY1553" s="3" t="s">
        <v>15583</v>
      </c>
      <c r="AZ1553" s="3" t="s">
        <v>15584</v>
      </c>
      <c r="BA1553" s="3" t="s">
        <v>15584</v>
      </c>
      <c r="BB1553" s="3" t="s">
        <v>15585</v>
      </c>
      <c r="BC1553" s="3" t="s">
        <v>102</v>
      </c>
      <c r="BD1553" s="3" t="s">
        <v>68</v>
      </c>
      <c r="BE1553" s="3" t="s">
        <v>15586</v>
      </c>
      <c r="BF1553" s="3" t="s">
        <v>15585</v>
      </c>
      <c r="BG1553" s="3" t="s">
        <v>15587</v>
      </c>
    </row>
    <row r="1554" spans="1:59" ht="58" x14ac:dyDescent="0.35">
      <c r="A1554" s="2" t="s">
        <v>89</v>
      </c>
      <c r="B1554" s="2" t="s">
        <v>90</v>
      </c>
      <c r="C1554" s="2" t="s">
        <v>15588</v>
      </c>
      <c r="D1554" s="2" t="s">
        <v>15589</v>
      </c>
      <c r="E1554" s="2" t="s">
        <v>15590</v>
      </c>
      <c r="G1554" s="3" t="s">
        <v>62</v>
      </c>
      <c r="I1554" s="3" t="s">
        <v>62</v>
      </c>
      <c r="J1554" s="3" t="s">
        <v>62</v>
      </c>
      <c r="K1554" s="3" t="s">
        <v>63</v>
      </c>
      <c r="L1554" s="2" t="s">
        <v>15591</v>
      </c>
      <c r="M1554" s="2" t="s">
        <v>15592</v>
      </c>
      <c r="N1554" s="3" t="s">
        <v>2975</v>
      </c>
      <c r="P1554" s="3" t="s">
        <v>64</v>
      </c>
      <c r="Q1554" s="2" t="s">
        <v>15593</v>
      </c>
      <c r="R1554" s="3" t="s">
        <v>13065</v>
      </c>
      <c r="S1554" s="4">
        <v>4</v>
      </c>
      <c r="T1554" s="4">
        <v>4</v>
      </c>
      <c r="U1554" s="5" t="s">
        <v>4501</v>
      </c>
      <c r="V1554" s="5" t="s">
        <v>4501</v>
      </c>
      <c r="W1554" s="5" t="s">
        <v>67</v>
      </c>
      <c r="X1554" s="5" t="s">
        <v>67</v>
      </c>
      <c r="Y1554" s="4">
        <v>197</v>
      </c>
      <c r="Z1554" s="4">
        <v>13</v>
      </c>
      <c r="AA1554" s="4">
        <v>13</v>
      </c>
      <c r="AB1554" s="4">
        <v>2</v>
      </c>
      <c r="AC1554" s="4">
        <v>2</v>
      </c>
      <c r="AD1554" s="4">
        <v>80</v>
      </c>
      <c r="AE1554" s="4">
        <v>80</v>
      </c>
      <c r="AF1554" s="4">
        <v>1</v>
      </c>
      <c r="AG1554" s="4">
        <v>1</v>
      </c>
      <c r="AH1554" s="4">
        <v>72</v>
      </c>
      <c r="AI1554" s="4">
        <v>72</v>
      </c>
      <c r="AJ1554" s="4">
        <v>9</v>
      </c>
      <c r="AK1554" s="4">
        <v>9</v>
      </c>
      <c r="AL1554" s="4">
        <v>52</v>
      </c>
      <c r="AM1554" s="4">
        <v>52</v>
      </c>
      <c r="AN1554" s="4">
        <v>0</v>
      </c>
      <c r="AO1554" s="4">
        <v>0</v>
      </c>
      <c r="AP1554" s="4">
        <v>10</v>
      </c>
      <c r="AQ1554" s="4">
        <v>10</v>
      </c>
      <c r="AR1554" s="3" t="s">
        <v>62</v>
      </c>
      <c r="AS1554" s="3" t="s">
        <v>62</v>
      </c>
      <c r="AT1554" s="3" t="s">
        <v>61</v>
      </c>
      <c r="AU1554" s="6" t="str">
        <f>HYPERLINK("http://catalog.hathitrust.org/Record/003558334","HathiTrust Record")</f>
        <v>HathiTrust Record</v>
      </c>
      <c r="AV1554" s="6" t="str">
        <f>HYPERLINK("http://mcgill.on.worldcat.org/oclc/47056365","Catalog Record")</f>
        <v>Catalog Record</v>
      </c>
      <c r="AW1554" s="6" t="str">
        <f>HYPERLINK("http://www.worldcat.org/oclc/47056365","WorldCat Record")</f>
        <v>WorldCat Record</v>
      </c>
      <c r="AX1554" s="3" t="s">
        <v>15594</v>
      </c>
      <c r="AY1554" s="3" t="s">
        <v>15595</v>
      </c>
      <c r="AZ1554" s="3" t="s">
        <v>15596</v>
      </c>
      <c r="BA1554" s="3" t="s">
        <v>15596</v>
      </c>
      <c r="BB1554" s="3" t="s">
        <v>15597</v>
      </c>
      <c r="BC1554" s="3" t="s">
        <v>102</v>
      </c>
      <c r="BD1554" s="3" t="s">
        <v>68</v>
      </c>
      <c r="BE1554" s="3" t="s">
        <v>15598</v>
      </c>
      <c r="BF1554" s="3" t="s">
        <v>15597</v>
      </c>
      <c r="BG1554" s="3" t="s">
        <v>15599</v>
      </c>
    </row>
    <row r="1555" spans="1:59" ht="58" x14ac:dyDescent="0.35">
      <c r="A1555" s="2" t="s">
        <v>89</v>
      </c>
      <c r="B1555" s="2" t="s">
        <v>90</v>
      </c>
      <c r="C1555" s="2" t="s">
        <v>15600</v>
      </c>
      <c r="D1555" s="2" t="s">
        <v>15601</v>
      </c>
      <c r="E1555" s="2" t="s">
        <v>15602</v>
      </c>
      <c r="G1555" s="3" t="s">
        <v>62</v>
      </c>
      <c r="I1555" s="3" t="s">
        <v>62</v>
      </c>
      <c r="J1555" s="3" t="s">
        <v>62</v>
      </c>
      <c r="K1555" s="3" t="s">
        <v>63</v>
      </c>
      <c r="L1555" s="2" t="s">
        <v>15603</v>
      </c>
      <c r="M1555" s="2" t="s">
        <v>15604</v>
      </c>
      <c r="N1555" s="3" t="s">
        <v>186</v>
      </c>
      <c r="P1555" s="3" t="s">
        <v>64</v>
      </c>
      <c r="Q1555" s="2" t="s">
        <v>15605</v>
      </c>
      <c r="R1555" s="3" t="s">
        <v>13065</v>
      </c>
      <c r="S1555" s="4">
        <v>14</v>
      </c>
      <c r="T1555" s="4">
        <v>14</v>
      </c>
      <c r="U1555" s="5" t="s">
        <v>15606</v>
      </c>
      <c r="V1555" s="5" t="s">
        <v>15606</v>
      </c>
      <c r="W1555" s="5" t="s">
        <v>67</v>
      </c>
      <c r="X1555" s="5" t="s">
        <v>67</v>
      </c>
      <c r="Y1555" s="4">
        <v>340</v>
      </c>
      <c r="Z1555" s="4">
        <v>23</v>
      </c>
      <c r="AA1555" s="4">
        <v>24</v>
      </c>
      <c r="AB1555" s="4">
        <v>2</v>
      </c>
      <c r="AC1555" s="4">
        <v>2</v>
      </c>
      <c r="AD1555" s="4">
        <v>106</v>
      </c>
      <c r="AE1555" s="4">
        <v>107</v>
      </c>
      <c r="AF1555" s="4">
        <v>1</v>
      </c>
      <c r="AG1555" s="4">
        <v>1</v>
      </c>
      <c r="AH1555" s="4">
        <v>95</v>
      </c>
      <c r="AI1555" s="4">
        <v>95</v>
      </c>
      <c r="AJ1555" s="4">
        <v>19</v>
      </c>
      <c r="AK1555" s="4">
        <v>19</v>
      </c>
      <c r="AL1555" s="4">
        <v>50</v>
      </c>
      <c r="AM1555" s="4">
        <v>50</v>
      </c>
      <c r="AN1555" s="4">
        <v>0</v>
      </c>
      <c r="AO1555" s="4">
        <v>0</v>
      </c>
      <c r="AP1555" s="4">
        <v>21</v>
      </c>
      <c r="AQ1555" s="4">
        <v>22</v>
      </c>
      <c r="AR1555" s="3" t="s">
        <v>62</v>
      </c>
      <c r="AS1555" s="3" t="s">
        <v>62</v>
      </c>
      <c r="AT1555" s="3" t="s">
        <v>62</v>
      </c>
      <c r="AV1555" s="6" t="str">
        <f>HYPERLINK("http://mcgill.on.worldcat.org/oclc/1339807","Catalog Record")</f>
        <v>Catalog Record</v>
      </c>
      <c r="AW1555" s="6" t="str">
        <f>HYPERLINK("http://www.worldcat.org/oclc/1339807","WorldCat Record")</f>
        <v>WorldCat Record</v>
      </c>
      <c r="AX1555" s="3" t="s">
        <v>15607</v>
      </c>
      <c r="AY1555" s="3" t="s">
        <v>15608</v>
      </c>
      <c r="AZ1555" s="3" t="s">
        <v>15609</v>
      </c>
      <c r="BA1555" s="3" t="s">
        <v>15609</v>
      </c>
      <c r="BB1555" s="3" t="s">
        <v>15610</v>
      </c>
      <c r="BC1555" s="3" t="s">
        <v>102</v>
      </c>
      <c r="BD1555" s="3" t="s">
        <v>68</v>
      </c>
      <c r="BE1555" s="3" t="s">
        <v>15611</v>
      </c>
      <c r="BF1555" s="3" t="s">
        <v>15610</v>
      </c>
      <c r="BG1555" s="3" t="s">
        <v>15612</v>
      </c>
    </row>
    <row r="1556" spans="1:59" ht="58" x14ac:dyDescent="0.35">
      <c r="A1556" s="2" t="s">
        <v>89</v>
      </c>
      <c r="B1556" s="2" t="s">
        <v>90</v>
      </c>
      <c r="C1556" s="2" t="s">
        <v>15613</v>
      </c>
      <c r="D1556" s="2" t="s">
        <v>15614</v>
      </c>
      <c r="E1556" s="2" t="s">
        <v>15615</v>
      </c>
      <c r="G1556" s="3" t="s">
        <v>62</v>
      </c>
      <c r="I1556" s="3" t="s">
        <v>62</v>
      </c>
      <c r="J1556" s="3" t="s">
        <v>62</v>
      </c>
      <c r="K1556" s="3" t="s">
        <v>63</v>
      </c>
      <c r="L1556" s="2" t="s">
        <v>15616</v>
      </c>
      <c r="M1556" s="2" t="s">
        <v>15617</v>
      </c>
      <c r="N1556" s="3" t="s">
        <v>880</v>
      </c>
      <c r="P1556" s="3" t="s">
        <v>1881</v>
      </c>
      <c r="R1556" s="3" t="s">
        <v>13065</v>
      </c>
      <c r="S1556" s="4">
        <v>0</v>
      </c>
      <c r="T1556" s="4">
        <v>0</v>
      </c>
      <c r="W1556" s="5" t="s">
        <v>67</v>
      </c>
      <c r="X1556" s="5" t="s">
        <v>67</v>
      </c>
      <c r="Y1556" s="4">
        <v>28</v>
      </c>
      <c r="Z1556" s="4">
        <v>1</v>
      </c>
      <c r="AA1556" s="4">
        <v>2</v>
      </c>
      <c r="AB1556" s="4">
        <v>1</v>
      </c>
      <c r="AC1556" s="4">
        <v>2</v>
      </c>
      <c r="AD1556" s="4">
        <v>11</v>
      </c>
      <c r="AE1556" s="4">
        <v>11</v>
      </c>
      <c r="AF1556" s="4">
        <v>0</v>
      </c>
      <c r="AG1556" s="4">
        <v>0</v>
      </c>
      <c r="AH1556" s="4">
        <v>11</v>
      </c>
      <c r="AI1556" s="4">
        <v>11</v>
      </c>
      <c r="AJ1556" s="4">
        <v>0</v>
      </c>
      <c r="AK1556" s="4">
        <v>0</v>
      </c>
      <c r="AL1556" s="4">
        <v>9</v>
      </c>
      <c r="AM1556" s="4">
        <v>9</v>
      </c>
      <c r="AN1556" s="4">
        <v>0</v>
      </c>
      <c r="AO1556" s="4">
        <v>0</v>
      </c>
      <c r="AP1556" s="4">
        <v>0</v>
      </c>
      <c r="AQ1556" s="4">
        <v>0</v>
      </c>
      <c r="AR1556" s="3" t="s">
        <v>62</v>
      </c>
      <c r="AS1556" s="3" t="s">
        <v>62</v>
      </c>
      <c r="AT1556" s="3" t="s">
        <v>62</v>
      </c>
      <c r="AV1556" s="6" t="str">
        <f>HYPERLINK("http://mcgill.on.worldcat.org/oclc/505428338","Catalog Record")</f>
        <v>Catalog Record</v>
      </c>
      <c r="AW1556" s="6" t="str">
        <f>HYPERLINK("http://www.worldcat.org/oclc/505428338","WorldCat Record")</f>
        <v>WorldCat Record</v>
      </c>
      <c r="AX1556" s="3" t="s">
        <v>15618</v>
      </c>
      <c r="AY1556" s="3" t="s">
        <v>15619</v>
      </c>
      <c r="AZ1556" s="3" t="s">
        <v>15620</v>
      </c>
      <c r="BA1556" s="3" t="s">
        <v>15620</v>
      </c>
      <c r="BB1556" s="3" t="s">
        <v>15621</v>
      </c>
      <c r="BC1556" s="3" t="s">
        <v>102</v>
      </c>
      <c r="BD1556" s="3" t="s">
        <v>68</v>
      </c>
      <c r="BE1556" s="3" t="s">
        <v>15622</v>
      </c>
      <c r="BF1556" s="3" t="s">
        <v>15621</v>
      </c>
      <c r="BG1556" s="3" t="s">
        <v>15623</v>
      </c>
    </row>
    <row r="1557" spans="1:59" ht="58" x14ac:dyDescent="0.35">
      <c r="A1557" s="2" t="s">
        <v>89</v>
      </c>
      <c r="B1557" s="2" t="s">
        <v>90</v>
      </c>
      <c r="C1557" s="2" t="s">
        <v>15624</v>
      </c>
      <c r="D1557" s="2" t="s">
        <v>15625</v>
      </c>
      <c r="E1557" s="2" t="s">
        <v>15626</v>
      </c>
      <c r="G1557" s="3" t="s">
        <v>62</v>
      </c>
      <c r="I1557" s="3" t="s">
        <v>62</v>
      </c>
      <c r="J1557" s="3" t="s">
        <v>62</v>
      </c>
      <c r="K1557" s="3" t="s">
        <v>63</v>
      </c>
      <c r="L1557" s="2" t="s">
        <v>15238</v>
      </c>
      <c r="M1557" s="2" t="s">
        <v>15627</v>
      </c>
      <c r="N1557" s="3" t="s">
        <v>655</v>
      </c>
      <c r="P1557" s="3" t="s">
        <v>64</v>
      </c>
      <c r="R1557" s="3" t="s">
        <v>13065</v>
      </c>
      <c r="S1557" s="4">
        <v>4</v>
      </c>
      <c r="T1557" s="4">
        <v>4</v>
      </c>
      <c r="U1557" s="5" t="s">
        <v>15628</v>
      </c>
      <c r="V1557" s="5" t="s">
        <v>15628</v>
      </c>
      <c r="W1557" s="5" t="s">
        <v>67</v>
      </c>
      <c r="X1557" s="5" t="s">
        <v>67</v>
      </c>
      <c r="Y1557" s="4">
        <v>60</v>
      </c>
      <c r="Z1557" s="4">
        <v>7</v>
      </c>
      <c r="AA1557" s="4">
        <v>31</v>
      </c>
      <c r="AB1557" s="4">
        <v>1</v>
      </c>
      <c r="AC1557" s="4">
        <v>2</v>
      </c>
      <c r="AD1557" s="4">
        <v>16</v>
      </c>
      <c r="AE1557" s="4">
        <v>32</v>
      </c>
      <c r="AF1557" s="4">
        <v>0</v>
      </c>
      <c r="AG1557" s="4">
        <v>0</v>
      </c>
      <c r="AH1557" s="4">
        <v>15</v>
      </c>
      <c r="AI1557" s="4">
        <v>27</v>
      </c>
      <c r="AJ1557" s="4">
        <v>0</v>
      </c>
      <c r="AK1557" s="4">
        <v>4</v>
      </c>
      <c r="AL1557" s="4">
        <v>13</v>
      </c>
      <c r="AM1557" s="4">
        <v>19</v>
      </c>
      <c r="AN1557" s="4">
        <v>0</v>
      </c>
      <c r="AO1557" s="4">
        <v>0</v>
      </c>
      <c r="AP1557" s="4">
        <v>0</v>
      </c>
      <c r="AQ1557" s="4">
        <v>8</v>
      </c>
      <c r="AR1557" s="3" t="s">
        <v>62</v>
      </c>
      <c r="AS1557" s="3" t="s">
        <v>62</v>
      </c>
      <c r="AT1557" s="3" t="s">
        <v>62</v>
      </c>
      <c r="AV1557" s="6" t="str">
        <f>HYPERLINK("http://mcgill.on.worldcat.org/oclc/80331794","Catalog Record")</f>
        <v>Catalog Record</v>
      </c>
      <c r="AW1557" s="6" t="str">
        <f>HYPERLINK("http://www.worldcat.org/oclc/80331794","WorldCat Record")</f>
        <v>WorldCat Record</v>
      </c>
      <c r="AX1557" s="3" t="s">
        <v>15629</v>
      </c>
      <c r="AY1557" s="3" t="s">
        <v>15630</v>
      </c>
      <c r="AZ1557" s="3" t="s">
        <v>15631</v>
      </c>
      <c r="BA1557" s="3" t="s">
        <v>15631</v>
      </c>
      <c r="BB1557" s="3" t="s">
        <v>15632</v>
      </c>
      <c r="BC1557" s="3" t="s">
        <v>102</v>
      </c>
      <c r="BD1557" s="3" t="s">
        <v>68</v>
      </c>
      <c r="BE1557" s="3" t="s">
        <v>15633</v>
      </c>
      <c r="BF1557" s="3" t="s">
        <v>15632</v>
      </c>
      <c r="BG1557" s="3" t="s">
        <v>15634</v>
      </c>
    </row>
    <row r="1558" spans="1:59" ht="58" x14ac:dyDescent="0.35">
      <c r="A1558" s="2" t="s">
        <v>89</v>
      </c>
      <c r="B1558" s="2" t="s">
        <v>90</v>
      </c>
      <c r="C1558" s="2" t="s">
        <v>15635</v>
      </c>
      <c r="D1558" s="2" t="s">
        <v>15636</v>
      </c>
      <c r="E1558" s="2" t="s">
        <v>15637</v>
      </c>
      <c r="G1558" s="3" t="s">
        <v>62</v>
      </c>
      <c r="I1558" s="3" t="s">
        <v>62</v>
      </c>
      <c r="J1558" s="3" t="s">
        <v>62</v>
      </c>
      <c r="K1558" s="3" t="s">
        <v>63</v>
      </c>
      <c r="L1558" s="2" t="s">
        <v>15638</v>
      </c>
      <c r="M1558" s="2" t="s">
        <v>15639</v>
      </c>
      <c r="N1558" s="3" t="s">
        <v>2679</v>
      </c>
      <c r="P1558" s="3" t="s">
        <v>64</v>
      </c>
      <c r="Q1558" s="2" t="s">
        <v>15640</v>
      </c>
      <c r="R1558" s="3" t="s">
        <v>13065</v>
      </c>
      <c r="S1558" s="4">
        <v>22</v>
      </c>
      <c r="T1558" s="4">
        <v>22</v>
      </c>
      <c r="U1558" s="5" t="s">
        <v>15641</v>
      </c>
      <c r="V1558" s="5" t="s">
        <v>15641</v>
      </c>
      <c r="W1558" s="5" t="s">
        <v>67</v>
      </c>
      <c r="X1558" s="5" t="s">
        <v>67</v>
      </c>
      <c r="Y1558" s="4">
        <v>194</v>
      </c>
      <c r="Z1558" s="4">
        <v>11</v>
      </c>
      <c r="AA1558" s="4">
        <v>16</v>
      </c>
      <c r="AB1558" s="4">
        <v>1</v>
      </c>
      <c r="AC1558" s="4">
        <v>1</v>
      </c>
      <c r="AD1558" s="4">
        <v>64</v>
      </c>
      <c r="AE1558" s="4">
        <v>92</v>
      </c>
      <c r="AF1558" s="4">
        <v>0</v>
      </c>
      <c r="AG1558" s="4">
        <v>0</v>
      </c>
      <c r="AH1558" s="4">
        <v>61</v>
      </c>
      <c r="AI1558" s="4">
        <v>83</v>
      </c>
      <c r="AJ1558" s="4">
        <v>5</v>
      </c>
      <c r="AK1558" s="4">
        <v>10</v>
      </c>
      <c r="AL1558" s="4">
        <v>40</v>
      </c>
      <c r="AM1558" s="4">
        <v>50</v>
      </c>
      <c r="AN1558" s="4">
        <v>0</v>
      </c>
      <c r="AO1558" s="4">
        <v>0</v>
      </c>
      <c r="AP1558" s="4">
        <v>7</v>
      </c>
      <c r="AQ1558" s="4">
        <v>12</v>
      </c>
      <c r="AR1558" s="3" t="s">
        <v>62</v>
      </c>
      <c r="AS1558" s="3" t="s">
        <v>61</v>
      </c>
      <c r="AT1558" s="3" t="s">
        <v>61</v>
      </c>
      <c r="AU1558" s="6" t="str">
        <f>HYPERLINK("http://catalog.hathitrust.org/Record/000433377","HathiTrust Record")</f>
        <v>HathiTrust Record</v>
      </c>
      <c r="AV1558" s="6" t="str">
        <f>HYPERLINK("http://mcgill.on.worldcat.org/oclc/1398050","Catalog Record")</f>
        <v>Catalog Record</v>
      </c>
      <c r="AW1558" s="6" t="str">
        <f>HYPERLINK("http://www.worldcat.org/oclc/1398050","WorldCat Record")</f>
        <v>WorldCat Record</v>
      </c>
      <c r="AX1558" s="3" t="s">
        <v>15642</v>
      </c>
      <c r="AY1558" s="3" t="s">
        <v>15643</v>
      </c>
      <c r="AZ1558" s="3" t="s">
        <v>15644</v>
      </c>
      <c r="BA1558" s="3" t="s">
        <v>15644</v>
      </c>
      <c r="BB1558" s="3" t="s">
        <v>15645</v>
      </c>
      <c r="BC1558" s="3" t="s">
        <v>102</v>
      </c>
      <c r="BD1558" s="3" t="s">
        <v>231</v>
      </c>
      <c r="BF1558" s="3" t="s">
        <v>15645</v>
      </c>
      <c r="BG1558" s="3" t="s">
        <v>15646</v>
      </c>
    </row>
    <row r="1559" spans="1:59" ht="72.5" x14ac:dyDescent="0.35">
      <c r="A1559" s="2" t="s">
        <v>89</v>
      </c>
      <c r="B1559" s="2" t="s">
        <v>90</v>
      </c>
      <c r="C1559" s="2" t="s">
        <v>15647</v>
      </c>
      <c r="D1559" s="2" t="s">
        <v>15648</v>
      </c>
      <c r="E1559" s="2" t="s">
        <v>15649</v>
      </c>
      <c r="G1559" s="3" t="s">
        <v>62</v>
      </c>
      <c r="I1559" s="3" t="s">
        <v>62</v>
      </c>
      <c r="J1559" s="3" t="s">
        <v>62</v>
      </c>
      <c r="K1559" s="3" t="s">
        <v>63</v>
      </c>
      <c r="L1559" s="2" t="s">
        <v>15650</v>
      </c>
      <c r="M1559" s="2" t="s">
        <v>15651</v>
      </c>
      <c r="N1559" s="3" t="s">
        <v>6323</v>
      </c>
      <c r="P1559" s="3" t="s">
        <v>64</v>
      </c>
      <c r="Q1559" s="2" t="s">
        <v>15652</v>
      </c>
      <c r="R1559" s="3" t="s">
        <v>13065</v>
      </c>
      <c r="S1559" s="4">
        <v>4</v>
      </c>
      <c r="T1559" s="4">
        <v>4</v>
      </c>
      <c r="U1559" s="5" t="s">
        <v>15653</v>
      </c>
      <c r="V1559" s="5" t="s">
        <v>15653</v>
      </c>
      <c r="W1559" s="5" t="s">
        <v>67</v>
      </c>
      <c r="X1559" s="5" t="s">
        <v>67</v>
      </c>
      <c r="Y1559" s="4">
        <v>7</v>
      </c>
      <c r="Z1559" s="4">
        <v>1</v>
      </c>
      <c r="AA1559" s="4">
        <v>6</v>
      </c>
      <c r="AB1559" s="4">
        <v>1</v>
      </c>
      <c r="AC1559" s="4">
        <v>2</v>
      </c>
      <c r="AD1559" s="4">
        <v>3</v>
      </c>
      <c r="AE1559" s="4">
        <v>68</v>
      </c>
      <c r="AF1559" s="4">
        <v>0</v>
      </c>
      <c r="AG1559" s="4">
        <v>1</v>
      </c>
      <c r="AH1559" s="4">
        <v>3</v>
      </c>
      <c r="AI1559" s="4">
        <v>62</v>
      </c>
      <c r="AJ1559" s="4">
        <v>0</v>
      </c>
      <c r="AK1559" s="4">
        <v>5</v>
      </c>
      <c r="AL1559" s="4">
        <v>1</v>
      </c>
      <c r="AM1559" s="4">
        <v>37</v>
      </c>
      <c r="AN1559" s="4">
        <v>0</v>
      </c>
      <c r="AO1559" s="4">
        <v>1</v>
      </c>
      <c r="AP1559" s="4">
        <v>0</v>
      </c>
      <c r="AQ1559" s="4">
        <v>4</v>
      </c>
      <c r="AR1559" s="3" t="s">
        <v>62</v>
      </c>
      <c r="AS1559" s="3" t="s">
        <v>62</v>
      </c>
      <c r="AT1559" s="3" t="s">
        <v>61</v>
      </c>
      <c r="AU1559" s="6" t="str">
        <f>HYPERLINK("http://catalog.hathitrust.org/Record/000472546","HathiTrust Record")</f>
        <v>HathiTrust Record</v>
      </c>
      <c r="AV1559" s="6" t="str">
        <f>HYPERLINK("http://mcgill.on.worldcat.org/oclc/318937110","Catalog Record")</f>
        <v>Catalog Record</v>
      </c>
      <c r="AW1559" s="6" t="str">
        <f>HYPERLINK("http://www.worldcat.org/oclc/318937110","WorldCat Record")</f>
        <v>WorldCat Record</v>
      </c>
      <c r="AX1559" s="3" t="s">
        <v>15654</v>
      </c>
      <c r="AY1559" s="3" t="s">
        <v>15655</v>
      </c>
      <c r="AZ1559" s="3" t="s">
        <v>15656</v>
      </c>
      <c r="BA1559" s="3" t="s">
        <v>15656</v>
      </c>
      <c r="BB1559" s="3" t="s">
        <v>15657</v>
      </c>
      <c r="BC1559" s="3" t="s">
        <v>102</v>
      </c>
      <c r="BD1559" s="3" t="s">
        <v>68</v>
      </c>
      <c r="BF1559" s="3" t="s">
        <v>15657</v>
      </c>
      <c r="BG1559" s="3" t="s">
        <v>15658</v>
      </c>
    </row>
    <row r="1560" spans="1:59" ht="58" x14ac:dyDescent="0.35">
      <c r="A1560" s="2" t="s">
        <v>89</v>
      </c>
      <c r="B1560" s="2" t="s">
        <v>90</v>
      </c>
      <c r="C1560" s="2" t="s">
        <v>15659</v>
      </c>
      <c r="D1560" s="2" t="s">
        <v>15660</v>
      </c>
      <c r="E1560" s="2" t="s">
        <v>15661</v>
      </c>
      <c r="G1560" s="3" t="s">
        <v>62</v>
      </c>
      <c r="I1560" s="3" t="s">
        <v>62</v>
      </c>
      <c r="J1560" s="3" t="s">
        <v>62</v>
      </c>
      <c r="K1560" s="3" t="s">
        <v>63</v>
      </c>
      <c r="L1560" s="2" t="s">
        <v>15662</v>
      </c>
      <c r="M1560" s="2" t="s">
        <v>15663</v>
      </c>
      <c r="N1560" s="3" t="s">
        <v>611</v>
      </c>
      <c r="P1560" s="3" t="s">
        <v>85</v>
      </c>
      <c r="R1560" s="3" t="s">
        <v>13065</v>
      </c>
      <c r="S1560" s="4">
        <v>7</v>
      </c>
      <c r="T1560" s="4">
        <v>7</v>
      </c>
      <c r="U1560" s="5" t="s">
        <v>3441</v>
      </c>
      <c r="V1560" s="5" t="s">
        <v>3441</v>
      </c>
      <c r="W1560" s="5" t="s">
        <v>67</v>
      </c>
      <c r="X1560" s="5" t="s">
        <v>67</v>
      </c>
      <c r="Y1560" s="4">
        <v>1</v>
      </c>
      <c r="Z1560" s="4">
        <v>1</v>
      </c>
      <c r="AA1560" s="4">
        <v>9</v>
      </c>
      <c r="AB1560" s="4">
        <v>1</v>
      </c>
      <c r="AC1560" s="4">
        <v>4</v>
      </c>
      <c r="AD1560" s="4">
        <v>0</v>
      </c>
      <c r="AE1560" s="4">
        <v>39</v>
      </c>
      <c r="AF1560" s="4">
        <v>0</v>
      </c>
      <c r="AG1560" s="4">
        <v>3</v>
      </c>
      <c r="AH1560" s="4">
        <v>0</v>
      </c>
      <c r="AI1560" s="4">
        <v>35</v>
      </c>
      <c r="AJ1560" s="4">
        <v>0</v>
      </c>
      <c r="AK1560" s="4">
        <v>7</v>
      </c>
      <c r="AL1560" s="4">
        <v>0</v>
      </c>
      <c r="AM1560" s="4">
        <v>27</v>
      </c>
      <c r="AN1560" s="4">
        <v>0</v>
      </c>
      <c r="AO1560" s="4">
        <v>0</v>
      </c>
      <c r="AP1560" s="4">
        <v>0</v>
      </c>
      <c r="AQ1560" s="4">
        <v>6</v>
      </c>
      <c r="AR1560" s="3" t="s">
        <v>62</v>
      </c>
      <c r="AS1560" s="3" t="s">
        <v>62</v>
      </c>
      <c r="AT1560" s="3" t="s">
        <v>62</v>
      </c>
      <c r="AV1560" s="6" t="str">
        <f>HYPERLINK("http://mcgill.on.worldcat.org/oclc/427505799","Catalog Record")</f>
        <v>Catalog Record</v>
      </c>
      <c r="AW1560" s="6" t="str">
        <f>HYPERLINK("http://www.worldcat.org/oclc/427505799","WorldCat Record")</f>
        <v>WorldCat Record</v>
      </c>
      <c r="AX1560" s="3" t="s">
        <v>15664</v>
      </c>
      <c r="AY1560" s="3" t="s">
        <v>15665</v>
      </c>
      <c r="AZ1560" s="3" t="s">
        <v>15666</v>
      </c>
      <c r="BA1560" s="3" t="s">
        <v>15666</v>
      </c>
      <c r="BB1560" s="3" t="s">
        <v>15667</v>
      </c>
      <c r="BC1560" s="3" t="s">
        <v>102</v>
      </c>
      <c r="BD1560" s="3" t="s">
        <v>68</v>
      </c>
      <c r="BF1560" s="3" t="s">
        <v>15667</v>
      </c>
      <c r="BG1560" s="3" t="s">
        <v>15668</v>
      </c>
    </row>
    <row r="1561" spans="1:59" ht="58" x14ac:dyDescent="0.35">
      <c r="A1561" s="2" t="s">
        <v>89</v>
      </c>
      <c r="B1561" s="2" t="s">
        <v>90</v>
      </c>
      <c r="C1561" s="2" t="s">
        <v>15669</v>
      </c>
      <c r="D1561" s="2" t="s">
        <v>15670</v>
      </c>
      <c r="E1561" s="2" t="s">
        <v>15671</v>
      </c>
      <c r="G1561" s="3" t="s">
        <v>62</v>
      </c>
      <c r="I1561" s="3" t="s">
        <v>62</v>
      </c>
      <c r="J1561" s="3" t="s">
        <v>62</v>
      </c>
      <c r="K1561" s="3" t="s">
        <v>63</v>
      </c>
      <c r="M1561" s="2" t="s">
        <v>15672</v>
      </c>
      <c r="N1561" s="3" t="s">
        <v>880</v>
      </c>
      <c r="P1561" s="3" t="s">
        <v>85</v>
      </c>
      <c r="Q1561" s="2" t="s">
        <v>15673</v>
      </c>
      <c r="R1561" s="3" t="s">
        <v>13065</v>
      </c>
      <c r="S1561" s="4">
        <v>0</v>
      </c>
      <c r="T1561" s="4">
        <v>0</v>
      </c>
      <c r="W1561" s="5" t="s">
        <v>67</v>
      </c>
      <c r="X1561" s="5" t="s">
        <v>67</v>
      </c>
      <c r="Y1561" s="4">
        <v>37</v>
      </c>
      <c r="Z1561" s="4">
        <v>1</v>
      </c>
      <c r="AA1561" s="4">
        <v>2</v>
      </c>
      <c r="AB1561" s="4">
        <v>1</v>
      </c>
      <c r="AC1561" s="4">
        <v>2</v>
      </c>
      <c r="AD1561" s="4">
        <v>16</v>
      </c>
      <c r="AE1561" s="4">
        <v>16</v>
      </c>
      <c r="AF1561" s="4">
        <v>0</v>
      </c>
      <c r="AG1561" s="4">
        <v>0</v>
      </c>
      <c r="AH1561" s="4">
        <v>15</v>
      </c>
      <c r="AI1561" s="4">
        <v>15</v>
      </c>
      <c r="AJ1561" s="4">
        <v>0</v>
      </c>
      <c r="AK1561" s="4">
        <v>0</v>
      </c>
      <c r="AL1561" s="4">
        <v>13</v>
      </c>
      <c r="AM1561" s="4">
        <v>13</v>
      </c>
      <c r="AN1561" s="4">
        <v>0</v>
      </c>
      <c r="AO1561" s="4">
        <v>0</v>
      </c>
      <c r="AP1561" s="4">
        <v>0</v>
      </c>
      <c r="AQ1561" s="4">
        <v>0</v>
      </c>
      <c r="AR1561" s="3" t="s">
        <v>62</v>
      </c>
      <c r="AS1561" s="3" t="s">
        <v>62</v>
      </c>
      <c r="AT1561" s="3" t="s">
        <v>62</v>
      </c>
      <c r="AV1561" s="6" t="str">
        <f>HYPERLINK("http://mcgill.on.worldcat.org/oclc/631138612","Catalog Record")</f>
        <v>Catalog Record</v>
      </c>
      <c r="AW1561" s="6" t="str">
        <f>HYPERLINK("http://www.worldcat.org/oclc/631138612","WorldCat Record")</f>
        <v>WorldCat Record</v>
      </c>
      <c r="AX1561" s="3" t="s">
        <v>15674</v>
      </c>
      <c r="AY1561" s="3" t="s">
        <v>15675</v>
      </c>
      <c r="AZ1561" s="3" t="s">
        <v>15676</v>
      </c>
      <c r="BA1561" s="3" t="s">
        <v>15676</v>
      </c>
      <c r="BB1561" s="3" t="s">
        <v>15677</v>
      </c>
      <c r="BC1561" s="3" t="s">
        <v>102</v>
      </c>
      <c r="BD1561" s="3" t="s">
        <v>68</v>
      </c>
      <c r="BE1561" s="3" t="s">
        <v>15678</v>
      </c>
      <c r="BF1561" s="3" t="s">
        <v>15677</v>
      </c>
      <c r="BG1561" s="3" t="s">
        <v>15679</v>
      </c>
    </row>
    <row r="1562" spans="1:59" ht="58" x14ac:dyDescent="0.35">
      <c r="A1562" s="2" t="s">
        <v>89</v>
      </c>
      <c r="B1562" s="2" t="s">
        <v>90</v>
      </c>
      <c r="C1562" s="2" t="s">
        <v>15680</v>
      </c>
      <c r="D1562" s="2" t="s">
        <v>15681</v>
      </c>
      <c r="E1562" s="2" t="s">
        <v>15682</v>
      </c>
      <c r="G1562" s="3" t="s">
        <v>62</v>
      </c>
      <c r="I1562" s="3" t="s">
        <v>61</v>
      </c>
      <c r="J1562" s="3" t="s">
        <v>62</v>
      </c>
      <c r="K1562" s="3" t="s">
        <v>63</v>
      </c>
      <c r="L1562" s="2" t="s">
        <v>15683</v>
      </c>
      <c r="M1562" s="2" t="s">
        <v>15684</v>
      </c>
      <c r="N1562" s="3" t="s">
        <v>83</v>
      </c>
      <c r="P1562" s="3" t="s">
        <v>5609</v>
      </c>
      <c r="Q1562" s="2" t="s">
        <v>15685</v>
      </c>
      <c r="R1562" s="3" t="s">
        <v>13065</v>
      </c>
      <c r="S1562" s="4">
        <v>10</v>
      </c>
      <c r="T1562" s="4">
        <v>12</v>
      </c>
      <c r="U1562" s="5" t="s">
        <v>15686</v>
      </c>
      <c r="V1562" s="5" t="s">
        <v>13723</v>
      </c>
      <c r="W1562" s="5" t="s">
        <v>67</v>
      </c>
      <c r="X1562" s="5" t="s">
        <v>67</v>
      </c>
      <c r="Y1562" s="4">
        <v>181</v>
      </c>
      <c r="Z1562" s="4">
        <v>7</v>
      </c>
      <c r="AA1562" s="4">
        <v>7</v>
      </c>
      <c r="AB1562" s="4">
        <v>1</v>
      </c>
      <c r="AC1562" s="4">
        <v>1</v>
      </c>
      <c r="AD1562" s="4">
        <v>69</v>
      </c>
      <c r="AE1562" s="4">
        <v>72</v>
      </c>
      <c r="AF1562" s="4">
        <v>0</v>
      </c>
      <c r="AG1562" s="4">
        <v>0</v>
      </c>
      <c r="AH1562" s="4">
        <v>64</v>
      </c>
      <c r="AI1562" s="4">
        <v>67</v>
      </c>
      <c r="AJ1562" s="4">
        <v>4</v>
      </c>
      <c r="AK1562" s="4">
        <v>4</v>
      </c>
      <c r="AL1562" s="4">
        <v>47</v>
      </c>
      <c r="AM1562" s="4">
        <v>47</v>
      </c>
      <c r="AN1562" s="4">
        <v>5</v>
      </c>
      <c r="AO1562" s="4">
        <v>5</v>
      </c>
      <c r="AP1562" s="4">
        <v>5</v>
      </c>
      <c r="AQ1562" s="4">
        <v>5</v>
      </c>
      <c r="AR1562" s="3" t="s">
        <v>62</v>
      </c>
      <c r="AS1562" s="3" t="s">
        <v>61</v>
      </c>
      <c r="AT1562" s="3" t="s">
        <v>62</v>
      </c>
      <c r="AU1562" s="6" t="str">
        <f>HYPERLINK("http://catalog.hathitrust.org/Record/000667269","HathiTrust Record")</f>
        <v>HathiTrust Record</v>
      </c>
      <c r="AV1562" s="6" t="str">
        <f>HYPERLINK("http://mcgill.on.worldcat.org/oclc/20558585","Catalog Record")</f>
        <v>Catalog Record</v>
      </c>
      <c r="AW1562" s="6" t="str">
        <f>HYPERLINK("http://www.worldcat.org/oclc/20558585","WorldCat Record")</f>
        <v>WorldCat Record</v>
      </c>
      <c r="AX1562" s="3" t="s">
        <v>15687</v>
      </c>
      <c r="AY1562" s="3" t="s">
        <v>15688</v>
      </c>
      <c r="AZ1562" s="3" t="s">
        <v>15689</v>
      </c>
      <c r="BA1562" s="3" t="s">
        <v>15689</v>
      </c>
      <c r="BB1562" s="3" t="s">
        <v>15690</v>
      </c>
      <c r="BC1562" s="3" t="s">
        <v>102</v>
      </c>
      <c r="BD1562" s="3" t="s">
        <v>68</v>
      </c>
      <c r="BF1562" s="3" t="s">
        <v>15690</v>
      </c>
      <c r="BG1562" s="3" t="s">
        <v>15691</v>
      </c>
    </row>
    <row r="1563" spans="1:59" ht="58" x14ac:dyDescent="0.35">
      <c r="A1563" s="2" t="s">
        <v>89</v>
      </c>
      <c r="B1563" s="2" t="s">
        <v>90</v>
      </c>
      <c r="C1563" s="2" t="s">
        <v>15692</v>
      </c>
      <c r="D1563" s="2" t="s">
        <v>15693</v>
      </c>
      <c r="E1563" s="2" t="s">
        <v>15694</v>
      </c>
      <c r="G1563" s="3" t="s">
        <v>62</v>
      </c>
      <c r="I1563" s="3" t="s">
        <v>62</v>
      </c>
      <c r="J1563" s="3" t="s">
        <v>62</v>
      </c>
      <c r="K1563" s="3" t="s">
        <v>63</v>
      </c>
      <c r="L1563" s="2" t="s">
        <v>5906</v>
      </c>
      <c r="M1563" s="2" t="s">
        <v>15695</v>
      </c>
      <c r="N1563" s="3" t="s">
        <v>795</v>
      </c>
      <c r="P1563" s="3" t="s">
        <v>64</v>
      </c>
      <c r="R1563" s="3" t="s">
        <v>13065</v>
      </c>
      <c r="S1563" s="4">
        <v>8</v>
      </c>
      <c r="T1563" s="4">
        <v>8</v>
      </c>
      <c r="U1563" s="5" t="s">
        <v>15432</v>
      </c>
      <c r="V1563" s="5" t="s">
        <v>15432</v>
      </c>
      <c r="W1563" s="5" t="s">
        <v>67</v>
      </c>
      <c r="X1563" s="5" t="s">
        <v>67</v>
      </c>
      <c r="Y1563" s="4">
        <v>248</v>
      </c>
      <c r="Z1563" s="4">
        <v>16</v>
      </c>
      <c r="AA1563" s="4">
        <v>43</v>
      </c>
      <c r="AB1563" s="4">
        <v>2</v>
      </c>
      <c r="AC1563" s="4">
        <v>7</v>
      </c>
      <c r="AD1563" s="4">
        <v>49</v>
      </c>
      <c r="AE1563" s="4">
        <v>134</v>
      </c>
      <c r="AF1563" s="4">
        <v>1</v>
      </c>
      <c r="AG1563" s="4">
        <v>5</v>
      </c>
      <c r="AH1563" s="4">
        <v>36</v>
      </c>
      <c r="AI1563" s="4">
        <v>108</v>
      </c>
      <c r="AJ1563" s="4">
        <v>7</v>
      </c>
      <c r="AK1563" s="4">
        <v>20</v>
      </c>
      <c r="AL1563" s="4">
        <v>22</v>
      </c>
      <c r="AM1563" s="4">
        <v>59</v>
      </c>
      <c r="AN1563" s="4">
        <v>0</v>
      </c>
      <c r="AO1563" s="4">
        <v>0</v>
      </c>
      <c r="AP1563" s="4">
        <v>13</v>
      </c>
      <c r="AQ1563" s="4">
        <v>31</v>
      </c>
      <c r="AR1563" s="3" t="s">
        <v>62</v>
      </c>
      <c r="AS1563" s="3" t="s">
        <v>61</v>
      </c>
      <c r="AT1563" s="3" t="s">
        <v>62</v>
      </c>
      <c r="AU1563" s="6" t="str">
        <f>HYPERLINK("http://catalog.hathitrust.org/Record/010231709","HathiTrust Record")</f>
        <v>HathiTrust Record</v>
      </c>
      <c r="AV1563" s="6" t="str">
        <f>HYPERLINK("http://mcgill.on.worldcat.org/oclc/5916455","Catalog Record")</f>
        <v>Catalog Record</v>
      </c>
      <c r="AW1563" s="6" t="str">
        <f>HYPERLINK("http://www.worldcat.org/oclc/5916455","WorldCat Record")</f>
        <v>WorldCat Record</v>
      </c>
      <c r="AX1563" s="3" t="s">
        <v>15696</v>
      </c>
      <c r="AY1563" s="3" t="s">
        <v>15697</v>
      </c>
      <c r="AZ1563" s="3" t="s">
        <v>15698</v>
      </c>
      <c r="BA1563" s="3" t="s">
        <v>15698</v>
      </c>
      <c r="BB1563" s="3" t="s">
        <v>15699</v>
      </c>
      <c r="BC1563" s="3" t="s">
        <v>102</v>
      </c>
      <c r="BD1563" s="3" t="s">
        <v>68</v>
      </c>
      <c r="BE1563" s="3" t="s">
        <v>15700</v>
      </c>
      <c r="BF1563" s="3" t="s">
        <v>15699</v>
      </c>
      <c r="BG1563" s="3" t="s">
        <v>15701</v>
      </c>
    </row>
    <row r="1564" spans="1:59" ht="72.5" x14ac:dyDescent="0.35">
      <c r="A1564" s="2" t="s">
        <v>89</v>
      </c>
      <c r="B1564" s="2" t="s">
        <v>90</v>
      </c>
      <c r="C1564" s="2" t="s">
        <v>15702</v>
      </c>
      <c r="D1564" s="2" t="s">
        <v>15703</v>
      </c>
      <c r="E1564" s="2" t="s">
        <v>15704</v>
      </c>
      <c r="G1564" s="3" t="s">
        <v>62</v>
      </c>
      <c r="I1564" s="3" t="s">
        <v>61</v>
      </c>
      <c r="J1564" s="3" t="s">
        <v>62</v>
      </c>
      <c r="K1564" s="3" t="s">
        <v>63</v>
      </c>
      <c r="L1564" s="2" t="s">
        <v>15705</v>
      </c>
      <c r="M1564" s="2" t="s">
        <v>15706</v>
      </c>
      <c r="N1564" s="3" t="s">
        <v>95</v>
      </c>
      <c r="P1564" s="3" t="s">
        <v>64</v>
      </c>
      <c r="Q1564" s="2" t="s">
        <v>15707</v>
      </c>
      <c r="R1564" s="3" t="s">
        <v>13065</v>
      </c>
      <c r="S1564" s="4">
        <v>9</v>
      </c>
      <c r="T1564" s="4">
        <v>9</v>
      </c>
      <c r="U1564" s="5" t="s">
        <v>1906</v>
      </c>
      <c r="V1564" s="5" t="s">
        <v>1906</v>
      </c>
      <c r="W1564" s="5" t="s">
        <v>67</v>
      </c>
      <c r="X1564" s="5" t="s">
        <v>67</v>
      </c>
      <c r="Y1564" s="4">
        <v>219</v>
      </c>
      <c r="Z1564" s="4">
        <v>12</v>
      </c>
      <c r="AA1564" s="4">
        <v>12</v>
      </c>
      <c r="AB1564" s="4">
        <v>2</v>
      </c>
      <c r="AC1564" s="4">
        <v>2</v>
      </c>
      <c r="AD1564" s="4">
        <v>86</v>
      </c>
      <c r="AE1564" s="4">
        <v>86</v>
      </c>
      <c r="AF1564" s="4">
        <v>1</v>
      </c>
      <c r="AG1564" s="4">
        <v>1</v>
      </c>
      <c r="AH1564" s="4">
        <v>82</v>
      </c>
      <c r="AI1564" s="4">
        <v>82</v>
      </c>
      <c r="AJ1564" s="4">
        <v>8</v>
      </c>
      <c r="AK1564" s="4">
        <v>8</v>
      </c>
      <c r="AL1564" s="4">
        <v>44</v>
      </c>
      <c r="AM1564" s="4">
        <v>44</v>
      </c>
      <c r="AN1564" s="4">
        <v>0</v>
      </c>
      <c r="AO1564" s="4">
        <v>0</v>
      </c>
      <c r="AP1564" s="4">
        <v>11</v>
      </c>
      <c r="AQ1564" s="4">
        <v>11</v>
      </c>
      <c r="AR1564" s="3" t="s">
        <v>62</v>
      </c>
      <c r="AS1564" s="3" t="s">
        <v>62</v>
      </c>
      <c r="AT1564" s="3" t="s">
        <v>62</v>
      </c>
      <c r="AV1564" s="6" t="str">
        <f>HYPERLINK("http://mcgill.on.worldcat.org/oclc/7157645","Catalog Record")</f>
        <v>Catalog Record</v>
      </c>
      <c r="AW1564" s="6" t="str">
        <f>HYPERLINK("http://www.worldcat.org/oclc/7157645","WorldCat Record")</f>
        <v>WorldCat Record</v>
      </c>
      <c r="AX1564" s="3" t="s">
        <v>15708</v>
      </c>
      <c r="AY1564" s="3" t="s">
        <v>15709</v>
      </c>
      <c r="AZ1564" s="3" t="s">
        <v>15710</v>
      </c>
      <c r="BA1564" s="3" t="s">
        <v>15710</v>
      </c>
      <c r="BB1564" s="3" t="s">
        <v>15711</v>
      </c>
      <c r="BC1564" s="3" t="s">
        <v>102</v>
      </c>
      <c r="BD1564" s="3" t="s">
        <v>68</v>
      </c>
      <c r="BE1564" s="3" t="s">
        <v>15712</v>
      </c>
      <c r="BF1564" s="3" t="s">
        <v>15711</v>
      </c>
      <c r="BG1564" s="3" t="s">
        <v>15713</v>
      </c>
    </row>
    <row r="1565" spans="1:59" ht="58" x14ac:dyDescent="0.35">
      <c r="A1565" s="2" t="s">
        <v>89</v>
      </c>
      <c r="B1565" s="2" t="s">
        <v>90</v>
      </c>
      <c r="C1565" s="2" t="s">
        <v>15714</v>
      </c>
      <c r="D1565" s="2" t="s">
        <v>15715</v>
      </c>
      <c r="E1565" s="2" t="s">
        <v>15716</v>
      </c>
      <c r="F1565" s="3" t="s">
        <v>15717</v>
      </c>
      <c r="G1565" s="3" t="s">
        <v>61</v>
      </c>
      <c r="I1565" s="3" t="s">
        <v>61</v>
      </c>
      <c r="J1565" s="3" t="s">
        <v>61</v>
      </c>
      <c r="K1565" s="3" t="s">
        <v>63</v>
      </c>
      <c r="L1565" s="2" t="s">
        <v>15718</v>
      </c>
      <c r="M1565" s="2" t="s">
        <v>15719</v>
      </c>
      <c r="N1565" s="3" t="s">
        <v>2445</v>
      </c>
      <c r="P1565" s="3" t="s">
        <v>64</v>
      </c>
      <c r="Q1565" s="2" t="s">
        <v>15720</v>
      </c>
      <c r="R1565" s="3" t="s">
        <v>13065</v>
      </c>
      <c r="S1565" s="4">
        <v>0</v>
      </c>
      <c r="T1565" s="4">
        <v>9</v>
      </c>
      <c r="V1565" s="5" t="s">
        <v>6849</v>
      </c>
      <c r="W1565" s="5" t="s">
        <v>67</v>
      </c>
      <c r="X1565" s="5" t="s">
        <v>67</v>
      </c>
      <c r="Y1565" s="4">
        <v>217</v>
      </c>
      <c r="Z1565" s="4">
        <v>7</v>
      </c>
      <c r="AA1565" s="4">
        <v>59</v>
      </c>
      <c r="AB1565" s="4">
        <v>1</v>
      </c>
      <c r="AC1565" s="4">
        <v>9</v>
      </c>
      <c r="AD1565" s="4">
        <v>75</v>
      </c>
      <c r="AE1565" s="4">
        <v>149</v>
      </c>
      <c r="AF1565" s="4">
        <v>0</v>
      </c>
      <c r="AG1565" s="4">
        <v>5</v>
      </c>
      <c r="AH1565" s="4">
        <v>68</v>
      </c>
      <c r="AI1565" s="4">
        <v>114</v>
      </c>
      <c r="AJ1565" s="4">
        <v>6</v>
      </c>
      <c r="AK1565" s="4">
        <v>25</v>
      </c>
      <c r="AL1565" s="4">
        <v>45</v>
      </c>
      <c r="AM1565" s="4">
        <v>61</v>
      </c>
      <c r="AN1565" s="4">
        <v>0</v>
      </c>
      <c r="AO1565" s="4">
        <v>0</v>
      </c>
      <c r="AP1565" s="4">
        <v>6</v>
      </c>
      <c r="AQ1565" s="4">
        <v>42</v>
      </c>
      <c r="AR1565" s="3" t="s">
        <v>62</v>
      </c>
      <c r="AS1565" s="3" t="s">
        <v>62</v>
      </c>
      <c r="AT1565" s="3" t="s">
        <v>61</v>
      </c>
      <c r="AU1565" s="6" t="str">
        <f>HYPERLINK("http://catalog.hathitrust.org/Record/000187170","HathiTrust Record")</f>
        <v>HathiTrust Record</v>
      </c>
      <c r="AV1565" s="6" t="str">
        <f>HYPERLINK("http://mcgill.on.worldcat.org/oclc/10780029","Catalog Record")</f>
        <v>Catalog Record</v>
      </c>
      <c r="AW1565" s="6" t="str">
        <f>HYPERLINK("http://www.worldcat.org/oclc/10780029","WorldCat Record")</f>
        <v>WorldCat Record</v>
      </c>
      <c r="AX1565" s="3" t="s">
        <v>15721</v>
      </c>
      <c r="AY1565" s="3" t="s">
        <v>15722</v>
      </c>
      <c r="AZ1565" s="3" t="s">
        <v>15723</v>
      </c>
      <c r="BA1565" s="3" t="s">
        <v>15723</v>
      </c>
      <c r="BB1565" s="3" t="s">
        <v>15724</v>
      </c>
      <c r="BC1565" s="3" t="s">
        <v>102</v>
      </c>
      <c r="BD1565" s="3" t="s">
        <v>68</v>
      </c>
      <c r="BF1565" s="3" t="s">
        <v>15724</v>
      </c>
      <c r="BG1565" s="3" t="s">
        <v>15725</v>
      </c>
    </row>
    <row r="1566" spans="1:59" ht="58" x14ac:dyDescent="0.35">
      <c r="A1566" s="2" t="s">
        <v>89</v>
      </c>
      <c r="B1566" s="2" t="s">
        <v>90</v>
      </c>
      <c r="C1566" s="2" t="s">
        <v>15714</v>
      </c>
      <c r="D1566" s="2" t="s">
        <v>15715</v>
      </c>
      <c r="E1566" s="2" t="s">
        <v>15716</v>
      </c>
      <c r="F1566" s="3" t="s">
        <v>15726</v>
      </c>
      <c r="G1566" s="3" t="s">
        <v>61</v>
      </c>
      <c r="I1566" s="3" t="s">
        <v>61</v>
      </c>
      <c r="J1566" s="3" t="s">
        <v>61</v>
      </c>
      <c r="K1566" s="3" t="s">
        <v>63</v>
      </c>
      <c r="L1566" s="2" t="s">
        <v>15718</v>
      </c>
      <c r="M1566" s="2" t="s">
        <v>15719</v>
      </c>
      <c r="N1566" s="3" t="s">
        <v>2445</v>
      </c>
      <c r="P1566" s="3" t="s">
        <v>64</v>
      </c>
      <c r="Q1566" s="2" t="s">
        <v>15720</v>
      </c>
      <c r="R1566" s="3" t="s">
        <v>13065</v>
      </c>
      <c r="S1566" s="4">
        <v>0</v>
      </c>
      <c r="T1566" s="4">
        <v>9</v>
      </c>
      <c r="V1566" s="5" t="s">
        <v>6849</v>
      </c>
      <c r="W1566" s="5" t="s">
        <v>67</v>
      </c>
      <c r="X1566" s="5" t="s">
        <v>67</v>
      </c>
      <c r="Y1566" s="4">
        <v>217</v>
      </c>
      <c r="Z1566" s="4">
        <v>7</v>
      </c>
      <c r="AA1566" s="4">
        <v>59</v>
      </c>
      <c r="AB1566" s="4">
        <v>1</v>
      </c>
      <c r="AC1566" s="4">
        <v>9</v>
      </c>
      <c r="AD1566" s="4">
        <v>75</v>
      </c>
      <c r="AE1566" s="4">
        <v>149</v>
      </c>
      <c r="AF1566" s="4">
        <v>0</v>
      </c>
      <c r="AG1566" s="4">
        <v>5</v>
      </c>
      <c r="AH1566" s="4">
        <v>68</v>
      </c>
      <c r="AI1566" s="4">
        <v>114</v>
      </c>
      <c r="AJ1566" s="4">
        <v>6</v>
      </c>
      <c r="AK1566" s="4">
        <v>25</v>
      </c>
      <c r="AL1566" s="4">
        <v>45</v>
      </c>
      <c r="AM1566" s="4">
        <v>61</v>
      </c>
      <c r="AN1566" s="4">
        <v>0</v>
      </c>
      <c r="AO1566" s="4">
        <v>0</v>
      </c>
      <c r="AP1566" s="4">
        <v>6</v>
      </c>
      <c r="AQ1566" s="4">
        <v>42</v>
      </c>
      <c r="AR1566" s="3" t="s">
        <v>62</v>
      </c>
      <c r="AS1566" s="3" t="s">
        <v>62</v>
      </c>
      <c r="AT1566" s="3" t="s">
        <v>61</v>
      </c>
      <c r="AU1566" s="6" t="str">
        <f>HYPERLINK("http://catalog.hathitrust.org/Record/000187170","HathiTrust Record")</f>
        <v>HathiTrust Record</v>
      </c>
      <c r="AV1566" s="6" t="str">
        <f>HYPERLINK("http://mcgill.on.worldcat.org/oclc/10780029","Catalog Record")</f>
        <v>Catalog Record</v>
      </c>
      <c r="AW1566" s="6" t="str">
        <f>HYPERLINK("http://www.worldcat.org/oclc/10780029","WorldCat Record")</f>
        <v>WorldCat Record</v>
      </c>
      <c r="AX1566" s="3" t="s">
        <v>15721</v>
      </c>
      <c r="AY1566" s="3" t="s">
        <v>15722</v>
      </c>
      <c r="AZ1566" s="3" t="s">
        <v>15723</v>
      </c>
      <c r="BA1566" s="3" t="s">
        <v>15723</v>
      </c>
      <c r="BB1566" s="3" t="s">
        <v>15727</v>
      </c>
      <c r="BC1566" s="3" t="s">
        <v>102</v>
      </c>
      <c r="BD1566" s="3" t="s">
        <v>68</v>
      </c>
      <c r="BF1566" s="3" t="s">
        <v>15727</v>
      </c>
      <c r="BG1566" s="3" t="s">
        <v>15728</v>
      </c>
    </row>
    <row r="1567" spans="1:59" ht="58" x14ac:dyDescent="0.35">
      <c r="A1567" s="2" t="s">
        <v>89</v>
      </c>
      <c r="B1567" s="2" t="s">
        <v>90</v>
      </c>
      <c r="C1567" s="2" t="s">
        <v>15714</v>
      </c>
      <c r="D1567" s="2" t="s">
        <v>15715</v>
      </c>
      <c r="E1567" s="2" t="s">
        <v>15716</v>
      </c>
      <c r="F1567" s="3" t="s">
        <v>15729</v>
      </c>
      <c r="G1567" s="3" t="s">
        <v>61</v>
      </c>
      <c r="I1567" s="3" t="s">
        <v>61</v>
      </c>
      <c r="J1567" s="3" t="s">
        <v>61</v>
      </c>
      <c r="K1567" s="3" t="s">
        <v>63</v>
      </c>
      <c r="L1567" s="2" t="s">
        <v>15718</v>
      </c>
      <c r="M1567" s="2" t="s">
        <v>15719</v>
      </c>
      <c r="N1567" s="3" t="s">
        <v>2445</v>
      </c>
      <c r="P1567" s="3" t="s">
        <v>64</v>
      </c>
      <c r="Q1567" s="2" t="s">
        <v>15720</v>
      </c>
      <c r="R1567" s="3" t="s">
        <v>13065</v>
      </c>
      <c r="S1567" s="4">
        <v>0</v>
      </c>
      <c r="T1567" s="4">
        <v>9</v>
      </c>
      <c r="V1567" s="5" t="s">
        <v>6849</v>
      </c>
      <c r="W1567" s="5" t="s">
        <v>67</v>
      </c>
      <c r="X1567" s="5" t="s">
        <v>67</v>
      </c>
      <c r="Y1567" s="4">
        <v>217</v>
      </c>
      <c r="Z1567" s="4">
        <v>7</v>
      </c>
      <c r="AA1567" s="4">
        <v>59</v>
      </c>
      <c r="AB1567" s="4">
        <v>1</v>
      </c>
      <c r="AC1567" s="4">
        <v>9</v>
      </c>
      <c r="AD1567" s="4">
        <v>75</v>
      </c>
      <c r="AE1567" s="4">
        <v>149</v>
      </c>
      <c r="AF1567" s="4">
        <v>0</v>
      </c>
      <c r="AG1567" s="4">
        <v>5</v>
      </c>
      <c r="AH1567" s="4">
        <v>68</v>
      </c>
      <c r="AI1567" s="4">
        <v>114</v>
      </c>
      <c r="AJ1567" s="4">
        <v>6</v>
      </c>
      <c r="AK1567" s="4">
        <v>25</v>
      </c>
      <c r="AL1567" s="4">
        <v>45</v>
      </c>
      <c r="AM1567" s="4">
        <v>61</v>
      </c>
      <c r="AN1567" s="4">
        <v>0</v>
      </c>
      <c r="AO1567" s="4">
        <v>0</v>
      </c>
      <c r="AP1567" s="4">
        <v>6</v>
      </c>
      <c r="AQ1567" s="4">
        <v>42</v>
      </c>
      <c r="AR1567" s="3" t="s">
        <v>62</v>
      </c>
      <c r="AS1567" s="3" t="s">
        <v>62</v>
      </c>
      <c r="AT1567" s="3" t="s">
        <v>61</v>
      </c>
      <c r="AU1567" s="6" t="str">
        <f>HYPERLINK("http://catalog.hathitrust.org/Record/000187170","HathiTrust Record")</f>
        <v>HathiTrust Record</v>
      </c>
      <c r="AV1567" s="6" t="str">
        <f>HYPERLINK("http://mcgill.on.worldcat.org/oclc/10780029","Catalog Record")</f>
        <v>Catalog Record</v>
      </c>
      <c r="AW1567" s="6" t="str">
        <f>HYPERLINK("http://www.worldcat.org/oclc/10780029","WorldCat Record")</f>
        <v>WorldCat Record</v>
      </c>
      <c r="AX1567" s="3" t="s">
        <v>15721</v>
      </c>
      <c r="AY1567" s="3" t="s">
        <v>15722</v>
      </c>
      <c r="AZ1567" s="3" t="s">
        <v>15723</v>
      </c>
      <c r="BA1567" s="3" t="s">
        <v>15723</v>
      </c>
      <c r="BB1567" s="3" t="s">
        <v>15730</v>
      </c>
      <c r="BC1567" s="3" t="s">
        <v>102</v>
      </c>
      <c r="BD1567" s="3" t="s">
        <v>68</v>
      </c>
      <c r="BF1567" s="3" t="s">
        <v>15730</v>
      </c>
      <c r="BG1567" s="3" t="s">
        <v>15731</v>
      </c>
    </row>
    <row r="1568" spans="1:59" ht="58" x14ac:dyDescent="0.35">
      <c r="A1568" s="2" t="s">
        <v>89</v>
      </c>
      <c r="B1568" s="2" t="s">
        <v>90</v>
      </c>
      <c r="C1568" s="2" t="s">
        <v>15714</v>
      </c>
      <c r="D1568" s="2" t="s">
        <v>15715</v>
      </c>
      <c r="E1568" s="2" t="s">
        <v>15716</v>
      </c>
      <c r="F1568" s="3" t="s">
        <v>15732</v>
      </c>
      <c r="G1568" s="3" t="s">
        <v>61</v>
      </c>
      <c r="I1568" s="3" t="s">
        <v>61</v>
      </c>
      <c r="J1568" s="3" t="s">
        <v>61</v>
      </c>
      <c r="K1568" s="3" t="s">
        <v>63</v>
      </c>
      <c r="L1568" s="2" t="s">
        <v>15718</v>
      </c>
      <c r="M1568" s="2" t="s">
        <v>15719</v>
      </c>
      <c r="N1568" s="3" t="s">
        <v>2445</v>
      </c>
      <c r="P1568" s="3" t="s">
        <v>64</v>
      </c>
      <c r="Q1568" s="2" t="s">
        <v>15720</v>
      </c>
      <c r="R1568" s="3" t="s">
        <v>13065</v>
      </c>
      <c r="S1568" s="4">
        <v>0</v>
      </c>
      <c r="T1568" s="4">
        <v>9</v>
      </c>
      <c r="V1568" s="5" t="s">
        <v>6849</v>
      </c>
      <c r="W1568" s="5" t="s">
        <v>67</v>
      </c>
      <c r="X1568" s="5" t="s">
        <v>67</v>
      </c>
      <c r="Y1568" s="4">
        <v>217</v>
      </c>
      <c r="Z1568" s="4">
        <v>7</v>
      </c>
      <c r="AA1568" s="4">
        <v>59</v>
      </c>
      <c r="AB1568" s="4">
        <v>1</v>
      </c>
      <c r="AC1568" s="4">
        <v>9</v>
      </c>
      <c r="AD1568" s="4">
        <v>75</v>
      </c>
      <c r="AE1568" s="4">
        <v>149</v>
      </c>
      <c r="AF1568" s="4">
        <v>0</v>
      </c>
      <c r="AG1568" s="4">
        <v>5</v>
      </c>
      <c r="AH1568" s="4">
        <v>68</v>
      </c>
      <c r="AI1568" s="4">
        <v>114</v>
      </c>
      <c r="AJ1568" s="4">
        <v>6</v>
      </c>
      <c r="AK1568" s="4">
        <v>25</v>
      </c>
      <c r="AL1568" s="4">
        <v>45</v>
      </c>
      <c r="AM1568" s="4">
        <v>61</v>
      </c>
      <c r="AN1568" s="4">
        <v>0</v>
      </c>
      <c r="AO1568" s="4">
        <v>0</v>
      </c>
      <c r="AP1568" s="4">
        <v>6</v>
      </c>
      <c r="AQ1568" s="4">
        <v>42</v>
      </c>
      <c r="AR1568" s="3" t="s">
        <v>62</v>
      </c>
      <c r="AS1568" s="3" t="s">
        <v>62</v>
      </c>
      <c r="AT1568" s="3" t="s">
        <v>61</v>
      </c>
      <c r="AU1568" s="6" t="str">
        <f>HYPERLINK("http://catalog.hathitrust.org/Record/000187170","HathiTrust Record")</f>
        <v>HathiTrust Record</v>
      </c>
      <c r="AV1568" s="6" t="str">
        <f>HYPERLINK("http://mcgill.on.worldcat.org/oclc/10780029","Catalog Record")</f>
        <v>Catalog Record</v>
      </c>
      <c r="AW1568" s="6" t="str">
        <f>HYPERLINK("http://www.worldcat.org/oclc/10780029","WorldCat Record")</f>
        <v>WorldCat Record</v>
      </c>
      <c r="AX1568" s="3" t="s">
        <v>15721</v>
      </c>
      <c r="AY1568" s="3" t="s">
        <v>15722</v>
      </c>
      <c r="AZ1568" s="3" t="s">
        <v>15723</v>
      </c>
      <c r="BA1568" s="3" t="s">
        <v>15723</v>
      </c>
      <c r="BB1568" s="3" t="s">
        <v>15733</v>
      </c>
      <c r="BC1568" s="3" t="s">
        <v>102</v>
      </c>
      <c r="BD1568" s="3" t="s">
        <v>68</v>
      </c>
      <c r="BF1568" s="3" t="s">
        <v>15733</v>
      </c>
      <c r="BG1568" s="3" t="s">
        <v>15734</v>
      </c>
    </row>
    <row r="1569" spans="1:59" ht="58" x14ac:dyDescent="0.35">
      <c r="A1569" s="2" t="s">
        <v>89</v>
      </c>
      <c r="B1569" s="2" t="s">
        <v>90</v>
      </c>
      <c r="C1569" s="2" t="s">
        <v>15714</v>
      </c>
      <c r="D1569" s="2" t="s">
        <v>15715</v>
      </c>
      <c r="E1569" s="2" t="s">
        <v>15716</v>
      </c>
      <c r="F1569" s="3" t="s">
        <v>15735</v>
      </c>
      <c r="G1569" s="3" t="s">
        <v>61</v>
      </c>
      <c r="I1569" s="3" t="s">
        <v>61</v>
      </c>
      <c r="J1569" s="3" t="s">
        <v>61</v>
      </c>
      <c r="K1569" s="3" t="s">
        <v>63</v>
      </c>
      <c r="L1569" s="2" t="s">
        <v>15718</v>
      </c>
      <c r="M1569" s="2" t="s">
        <v>15719</v>
      </c>
      <c r="N1569" s="3" t="s">
        <v>2445</v>
      </c>
      <c r="P1569" s="3" t="s">
        <v>64</v>
      </c>
      <c r="Q1569" s="2" t="s">
        <v>15720</v>
      </c>
      <c r="R1569" s="3" t="s">
        <v>13065</v>
      </c>
      <c r="S1569" s="4">
        <v>0</v>
      </c>
      <c r="T1569" s="4">
        <v>9</v>
      </c>
      <c r="V1569" s="5" t="s">
        <v>6849</v>
      </c>
      <c r="W1569" s="5" t="s">
        <v>67</v>
      </c>
      <c r="X1569" s="5" t="s">
        <v>67</v>
      </c>
      <c r="Y1569" s="4">
        <v>217</v>
      </c>
      <c r="Z1569" s="4">
        <v>7</v>
      </c>
      <c r="AA1569" s="4">
        <v>59</v>
      </c>
      <c r="AB1569" s="4">
        <v>1</v>
      </c>
      <c r="AC1569" s="4">
        <v>9</v>
      </c>
      <c r="AD1569" s="4">
        <v>75</v>
      </c>
      <c r="AE1569" s="4">
        <v>149</v>
      </c>
      <c r="AF1569" s="4">
        <v>0</v>
      </c>
      <c r="AG1569" s="4">
        <v>5</v>
      </c>
      <c r="AH1569" s="4">
        <v>68</v>
      </c>
      <c r="AI1569" s="4">
        <v>114</v>
      </c>
      <c r="AJ1569" s="4">
        <v>6</v>
      </c>
      <c r="AK1569" s="4">
        <v>25</v>
      </c>
      <c r="AL1569" s="4">
        <v>45</v>
      </c>
      <c r="AM1569" s="4">
        <v>61</v>
      </c>
      <c r="AN1569" s="4">
        <v>0</v>
      </c>
      <c r="AO1569" s="4">
        <v>0</v>
      </c>
      <c r="AP1569" s="4">
        <v>6</v>
      </c>
      <c r="AQ1569" s="4">
        <v>42</v>
      </c>
      <c r="AR1569" s="3" t="s">
        <v>62</v>
      </c>
      <c r="AS1569" s="3" t="s">
        <v>62</v>
      </c>
      <c r="AT1569" s="3" t="s">
        <v>61</v>
      </c>
      <c r="AU1569" s="6" t="str">
        <f>HYPERLINK("http://catalog.hathitrust.org/Record/000187170","HathiTrust Record")</f>
        <v>HathiTrust Record</v>
      </c>
      <c r="AV1569" s="6" t="str">
        <f>HYPERLINK("http://mcgill.on.worldcat.org/oclc/10780029","Catalog Record")</f>
        <v>Catalog Record</v>
      </c>
      <c r="AW1569" s="6" t="str">
        <f>HYPERLINK("http://www.worldcat.org/oclc/10780029","WorldCat Record")</f>
        <v>WorldCat Record</v>
      </c>
      <c r="AX1569" s="3" t="s">
        <v>15721</v>
      </c>
      <c r="AY1569" s="3" t="s">
        <v>15722</v>
      </c>
      <c r="AZ1569" s="3" t="s">
        <v>15723</v>
      </c>
      <c r="BA1569" s="3" t="s">
        <v>15723</v>
      </c>
      <c r="BB1569" s="3" t="s">
        <v>15736</v>
      </c>
      <c r="BC1569" s="3" t="s">
        <v>102</v>
      </c>
      <c r="BD1569" s="3" t="s">
        <v>68</v>
      </c>
      <c r="BF1569" s="3" t="s">
        <v>15736</v>
      </c>
      <c r="BG1569" s="3" t="s">
        <v>15737</v>
      </c>
    </row>
    <row r="1570" spans="1:59" ht="58" x14ac:dyDescent="0.35">
      <c r="A1570" s="2" t="s">
        <v>89</v>
      </c>
      <c r="B1570" s="2" t="s">
        <v>90</v>
      </c>
      <c r="C1570" s="2" t="s">
        <v>15738</v>
      </c>
      <c r="D1570" s="2" t="s">
        <v>15739</v>
      </c>
      <c r="E1570" s="2" t="s">
        <v>15740</v>
      </c>
      <c r="G1570" s="3" t="s">
        <v>62</v>
      </c>
      <c r="I1570" s="3" t="s">
        <v>61</v>
      </c>
      <c r="J1570" s="3" t="s">
        <v>62</v>
      </c>
      <c r="K1570" s="3" t="s">
        <v>63</v>
      </c>
      <c r="L1570" s="2" t="s">
        <v>15741</v>
      </c>
      <c r="M1570" s="2" t="s">
        <v>15742</v>
      </c>
      <c r="N1570" s="3" t="s">
        <v>466</v>
      </c>
      <c r="P1570" s="3" t="s">
        <v>64</v>
      </c>
      <c r="R1570" s="3" t="s">
        <v>13065</v>
      </c>
      <c r="S1570" s="4">
        <v>0</v>
      </c>
      <c r="T1570" s="4">
        <v>20</v>
      </c>
      <c r="V1570" s="5" t="s">
        <v>15743</v>
      </c>
      <c r="W1570" s="5" t="s">
        <v>67</v>
      </c>
      <c r="X1570" s="5" t="s">
        <v>67</v>
      </c>
      <c r="Y1570" s="4">
        <v>1522</v>
      </c>
      <c r="Z1570" s="4">
        <v>41</v>
      </c>
      <c r="AA1570" s="4">
        <v>52</v>
      </c>
      <c r="AB1570" s="4">
        <v>2</v>
      </c>
      <c r="AC1570" s="4">
        <v>4</v>
      </c>
      <c r="AD1570" s="4">
        <v>121</v>
      </c>
      <c r="AE1570" s="4">
        <v>127</v>
      </c>
      <c r="AF1570" s="4">
        <v>1</v>
      </c>
      <c r="AG1570" s="4">
        <v>2</v>
      </c>
      <c r="AH1570" s="4">
        <v>100</v>
      </c>
      <c r="AI1570" s="4">
        <v>101</v>
      </c>
      <c r="AJ1570" s="4">
        <v>16</v>
      </c>
      <c r="AK1570" s="4">
        <v>19</v>
      </c>
      <c r="AL1570" s="4">
        <v>57</v>
      </c>
      <c r="AM1570" s="4">
        <v>57</v>
      </c>
      <c r="AN1570" s="4">
        <v>0</v>
      </c>
      <c r="AO1570" s="4">
        <v>0</v>
      </c>
      <c r="AP1570" s="4">
        <v>25</v>
      </c>
      <c r="AQ1570" s="4">
        <v>31</v>
      </c>
      <c r="AR1570" s="3" t="s">
        <v>62</v>
      </c>
      <c r="AS1570" s="3" t="s">
        <v>62</v>
      </c>
      <c r="AT1570" s="3" t="s">
        <v>61</v>
      </c>
      <c r="AU1570" s="6" t="str">
        <f>HYPERLINK("http://catalog.hathitrust.org/Record/004521607","HathiTrust Record")</f>
        <v>HathiTrust Record</v>
      </c>
      <c r="AV1570" s="6" t="str">
        <f>HYPERLINK("http://mcgill.on.worldcat.org/oclc/26097247","Catalog Record")</f>
        <v>Catalog Record</v>
      </c>
      <c r="AW1570" s="6" t="str">
        <f>HYPERLINK("http://www.worldcat.org/oclc/26097247","WorldCat Record")</f>
        <v>WorldCat Record</v>
      </c>
      <c r="AX1570" s="3" t="s">
        <v>15744</v>
      </c>
      <c r="AY1570" s="3" t="s">
        <v>15745</v>
      </c>
      <c r="AZ1570" s="3" t="s">
        <v>15746</v>
      </c>
      <c r="BA1570" s="3" t="s">
        <v>15746</v>
      </c>
      <c r="BB1570" s="3" t="s">
        <v>15747</v>
      </c>
      <c r="BC1570" s="3" t="s">
        <v>102</v>
      </c>
      <c r="BD1570" s="3" t="s">
        <v>68</v>
      </c>
      <c r="BE1570" s="3" t="s">
        <v>15748</v>
      </c>
      <c r="BF1570" s="3" t="s">
        <v>15747</v>
      </c>
      <c r="BG1570" s="3" t="s">
        <v>15749</v>
      </c>
    </row>
    <row r="1571" spans="1:59" ht="58" x14ac:dyDescent="0.35">
      <c r="A1571" s="2" t="s">
        <v>89</v>
      </c>
      <c r="B1571" s="2" t="s">
        <v>90</v>
      </c>
      <c r="C1571" s="2" t="s">
        <v>15750</v>
      </c>
      <c r="D1571" s="2" t="s">
        <v>15751</v>
      </c>
      <c r="E1571" s="2" t="s">
        <v>15752</v>
      </c>
      <c r="G1571" s="3" t="s">
        <v>62</v>
      </c>
      <c r="I1571" s="3" t="s">
        <v>62</v>
      </c>
      <c r="J1571" s="3" t="s">
        <v>62</v>
      </c>
      <c r="K1571" s="3" t="s">
        <v>63</v>
      </c>
      <c r="L1571" s="2" t="s">
        <v>15753</v>
      </c>
      <c r="M1571" s="2" t="s">
        <v>15754</v>
      </c>
      <c r="N1571" s="3" t="s">
        <v>684</v>
      </c>
      <c r="P1571" s="3" t="s">
        <v>64</v>
      </c>
      <c r="Q1571" s="2" t="s">
        <v>15755</v>
      </c>
      <c r="R1571" s="3" t="s">
        <v>13065</v>
      </c>
      <c r="S1571" s="4">
        <v>3</v>
      </c>
      <c r="T1571" s="4">
        <v>3</v>
      </c>
      <c r="U1571" s="5" t="s">
        <v>12829</v>
      </c>
      <c r="V1571" s="5" t="s">
        <v>12829</v>
      </c>
      <c r="W1571" s="5" t="s">
        <v>67</v>
      </c>
      <c r="X1571" s="5" t="s">
        <v>67</v>
      </c>
      <c r="Y1571" s="4">
        <v>86</v>
      </c>
      <c r="Z1571" s="4">
        <v>10</v>
      </c>
      <c r="AA1571" s="4">
        <v>10</v>
      </c>
      <c r="AB1571" s="4">
        <v>2</v>
      </c>
      <c r="AC1571" s="4">
        <v>2</v>
      </c>
      <c r="AD1571" s="4">
        <v>16</v>
      </c>
      <c r="AE1571" s="4">
        <v>16</v>
      </c>
      <c r="AF1571" s="4">
        <v>1</v>
      </c>
      <c r="AG1571" s="4">
        <v>1</v>
      </c>
      <c r="AH1571" s="4">
        <v>13</v>
      </c>
      <c r="AI1571" s="4">
        <v>13</v>
      </c>
      <c r="AJ1571" s="4">
        <v>4</v>
      </c>
      <c r="AK1571" s="4">
        <v>4</v>
      </c>
      <c r="AL1571" s="4">
        <v>9</v>
      </c>
      <c r="AM1571" s="4">
        <v>9</v>
      </c>
      <c r="AN1571" s="4">
        <v>0</v>
      </c>
      <c r="AO1571" s="4">
        <v>0</v>
      </c>
      <c r="AP1571" s="4">
        <v>6</v>
      </c>
      <c r="AQ1571" s="4">
        <v>6</v>
      </c>
      <c r="AR1571" s="3" t="s">
        <v>62</v>
      </c>
      <c r="AS1571" s="3" t="s">
        <v>62</v>
      </c>
      <c r="AT1571" s="3" t="s">
        <v>62</v>
      </c>
      <c r="AV1571" s="6" t="str">
        <f>HYPERLINK("http://mcgill.on.worldcat.org/oclc/701110131","Catalog Record")</f>
        <v>Catalog Record</v>
      </c>
      <c r="AW1571" s="6" t="str">
        <f>HYPERLINK("http://www.worldcat.org/oclc/701110131","WorldCat Record")</f>
        <v>WorldCat Record</v>
      </c>
      <c r="AX1571" s="3" t="s">
        <v>15756</v>
      </c>
      <c r="AY1571" s="3" t="s">
        <v>15757</v>
      </c>
      <c r="AZ1571" s="3" t="s">
        <v>15758</v>
      </c>
      <c r="BA1571" s="3" t="s">
        <v>15758</v>
      </c>
      <c r="BB1571" s="3" t="s">
        <v>15759</v>
      </c>
      <c r="BC1571" s="3" t="s">
        <v>102</v>
      </c>
      <c r="BD1571" s="3" t="s">
        <v>68</v>
      </c>
      <c r="BE1571" s="3" t="s">
        <v>15760</v>
      </c>
      <c r="BF1571" s="3" t="s">
        <v>15759</v>
      </c>
      <c r="BG1571" s="3" t="s">
        <v>15761</v>
      </c>
    </row>
    <row r="1572" spans="1:59" ht="58" x14ac:dyDescent="0.35">
      <c r="A1572" s="2" t="s">
        <v>89</v>
      </c>
      <c r="B1572" s="2" t="s">
        <v>90</v>
      </c>
      <c r="C1572" s="2" t="s">
        <v>15762</v>
      </c>
      <c r="D1572" s="2" t="s">
        <v>15763</v>
      </c>
      <c r="E1572" s="2" t="s">
        <v>15764</v>
      </c>
      <c r="G1572" s="3" t="s">
        <v>62</v>
      </c>
      <c r="I1572" s="3" t="s">
        <v>62</v>
      </c>
      <c r="J1572" s="3" t="s">
        <v>62</v>
      </c>
      <c r="K1572" s="3" t="s">
        <v>63</v>
      </c>
      <c r="L1572" s="2" t="s">
        <v>15765</v>
      </c>
      <c r="M1572" s="2" t="s">
        <v>15766</v>
      </c>
      <c r="N1572" s="3" t="s">
        <v>919</v>
      </c>
      <c r="P1572" s="3" t="s">
        <v>64</v>
      </c>
      <c r="R1572" s="3" t="s">
        <v>13065</v>
      </c>
      <c r="S1572" s="4">
        <v>3</v>
      </c>
      <c r="T1572" s="4">
        <v>3</v>
      </c>
      <c r="U1572" s="5" t="s">
        <v>13186</v>
      </c>
      <c r="V1572" s="5" t="s">
        <v>13186</v>
      </c>
      <c r="W1572" s="5" t="s">
        <v>67</v>
      </c>
      <c r="X1572" s="5" t="s">
        <v>67</v>
      </c>
      <c r="Y1572" s="4">
        <v>1</v>
      </c>
      <c r="Z1572" s="4">
        <v>1</v>
      </c>
      <c r="AA1572" s="4">
        <v>44</v>
      </c>
      <c r="AB1572" s="4">
        <v>1</v>
      </c>
      <c r="AC1572" s="4">
        <v>8</v>
      </c>
      <c r="AD1572" s="4">
        <v>0</v>
      </c>
      <c r="AE1572" s="4">
        <v>84</v>
      </c>
      <c r="AF1572" s="4">
        <v>0</v>
      </c>
      <c r="AG1572" s="4">
        <v>2</v>
      </c>
      <c r="AH1572" s="4">
        <v>0</v>
      </c>
      <c r="AI1572" s="4">
        <v>69</v>
      </c>
      <c r="AJ1572" s="4">
        <v>0</v>
      </c>
      <c r="AK1572" s="4">
        <v>11</v>
      </c>
      <c r="AL1572" s="4">
        <v>0</v>
      </c>
      <c r="AM1572" s="4">
        <v>39</v>
      </c>
      <c r="AN1572" s="4">
        <v>0</v>
      </c>
      <c r="AO1572" s="4">
        <v>5</v>
      </c>
      <c r="AP1572" s="4">
        <v>0</v>
      </c>
      <c r="AQ1572" s="4">
        <v>19</v>
      </c>
      <c r="AR1572" s="3" t="s">
        <v>62</v>
      </c>
      <c r="AS1572" s="3" t="s">
        <v>62</v>
      </c>
      <c r="AT1572" s="3" t="s">
        <v>62</v>
      </c>
      <c r="AV1572" s="6" t="str">
        <f>HYPERLINK("http://mcgill.on.worldcat.org/oclc/61620642","Catalog Record")</f>
        <v>Catalog Record</v>
      </c>
      <c r="AW1572" s="6" t="str">
        <f>HYPERLINK("http://www.worldcat.org/oclc/61620642","WorldCat Record")</f>
        <v>WorldCat Record</v>
      </c>
      <c r="AX1572" s="3" t="s">
        <v>15767</v>
      </c>
      <c r="AY1572" s="3" t="s">
        <v>15768</v>
      </c>
      <c r="AZ1572" s="3" t="s">
        <v>15769</v>
      </c>
      <c r="BA1572" s="3" t="s">
        <v>15769</v>
      </c>
      <c r="BB1572" s="3" t="s">
        <v>15770</v>
      </c>
      <c r="BC1572" s="3" t="s">
        <v>102</v>
      </c>
      <c r="BD1572" s="3" t="s">
        <v>68</v>
      </c>
      <c r="BF1572" s="3" t="s">
        <v>15770</v>
      </c>
      <c r="BG1572" s="3" t="s">
        <v>15771</v>
      </c>
    </row>
    <row r="1573" spans="1:59" ht="58" x14ac:dyDescent="0.35">
      <c r="A1573" s="2" t="s">
        <v>89</v>
      </c>
      <c r="B1573" s="2" t="s">
        <v>90</v>
      </c>
      <c r="C1573" s="2" t="s">
        <v>15772</v>
      </c>
      <c r="D1573" s="2" t="s">
        <v>15773</v>
      </c>
      <c r="E1573" s="2" t="s">
        <v>15774</v>
      </c>
      <c r="F1573" s="3" t="s">
        <v>1381</v>
      </c>
      <c r="G1573" s="3" t="s">
        <v>61</v>
      </c>
      <c r="I1573" s="3" t="s">
        <v>62</v>
      </c>
      <c r="J1573" s="3" t="s">
        <v>62</v>
      </c>
      <c r="K1573" s="3" t="s">
        <v>63</v>
      </c>
      <c r="L1573" s="2" t="s">
        <v>15775</v>
      </c>
      <c r="M1573" s="2" t="s">
        <v>15776</v>
      </c>
      <c r="N1573" s="3" t="s">
        <v>239</v>
      </c>
      <c r="P1573" s="3" t="s">
        <v>64</v>
      </c>
      <c r="R1573" s="3" t="s">
        <v>13065</v>
      </c>
      <c r="S1573" s="4">
        <v>1</v>
      </c>
      <c r="T1573" s="4">
        <v>2</v>
      </c>
      <c r="U1573" s="5" t="s">
        <v>15777</v>
      </c>
      <c r="V1573" s="5" t="s">
        <v>15777</v>
      </c>
      <c r="W1573" s="5" t="s">
        <v>67</v>
      </c>
      <c r="X1573" s="5" t="s">
        <v>67</v>
      </c>
      <c r="Y1573" s="4">
        <v>163</v>
      </c>
      <c r="Z1573" s="4">
        <v>13</v>
      </c>
      <c r="AA1573" s="4">
        <v>17</v>
      </c>
      <c r="AB1573" s="4">
        <v>1</v>
      </c>
      <c r="AC1573" s="4">
        <v>3</v>
      </c>
      <c r="AD1573" s="4">
        <v>49</v>
      </c>
      <c r="AE1573" s="4">
        <v>62</v>
      </c>
      <c r="AF1573" s="4">
        <v>0</v>
      </c>
      <c r="AG1573" s="4">
        <v>2</v>
      </c>
      <c r="AH1573" s="4">
        <v>44</v>
      </c>
      <c r="AI1573" s="4">
        <v>54</v>
      </c>
      <c r="AJ1573" s="4">
        <v>8</v>
      </c>
      <c r="AK1573" s="4">
        <v>11</v>
      </c>
      <c r="AL1573" s="4">
        <v>27</v>
      </c>
      <c r="AM1573" s="4">
        <v>33</v>
      </c>
      <c r="AN1573" s="4">
        <v>0</v>
      </c>
      <c r="AO1573" s="4">
        <v>0</v>
      </c>
      <c r="AP1573" s="4">
        <v>9</v>
      </c>
      <c r="AQ1573" s="4">
        <v>12</v>
      </c>
      <c r="AR1573" s="3" t="s">
        <v>62</v>
      </c>
      <c r="AS1573" s="3" t="s">
        <v>62</v>
      </c>
      <c r="AT1573" s="3" t="s">
        <v>61</v>
      </c>
      <c r="AU1573" s="6" t="str">
        <f>HYPERLINK("http://catalog.hathitrust.org/Record/001129112","HathiTrust Record")</f>
        <v>HathiTrust Record</v>
      </c>
      <c r="AV1573" s="6" t="str">
        <f>HYPERLINK("http://mcgill.on.worldcat.org/oclc/1486605","Catalog Record")</f>
        <v>Catalog Record</v>
      </c>
      <c r="AW1573" s="6" t="str">
        <f>HYPERLINK("http://www.worldcat.org/oclc/1486605","WorldCat Record")</f>
        <v>WorldCat Record</v>
      </c>
      <c r="AX1573" s="3" t="s">
        <v>15778</v>
      </c>
      <c r="AY1573" s="3" t="s">
        <v>15779</v>
      </c>
      <c r="AZ1573" s="3" t="s">
        <v>15780</v>
      </c>
      <c r="BA1573" s="3" t="s">
        <v>15780</v>
      </c>
      <c r="BB1573" s="3" t="s">
        <v>15781</v>
      </c>
      <c r="BC1573" s="3" t="s">
        <v>102</v>
      </c>
      <c r="BD1573" s="3" t="s">
        <v>68</v>
      </c>
      <c r="BE1573" s="3" t="s">
        <v>15782</v>
      </c>
      <c r="BF1573" s="3" t="s">
        <v>15781</v>
      </c>
      <c r="BG1573" s="3" t="s">
        <v>15783</v>
      </c>
    </row>
    <row r="1574" spans="1:59" ht="58" x14ac:dyDescent="0.35">
      <c r="A1574" s="2" t="s">
        <v>89</v>
      </c>
      <c r="B1574" s="2" t="s">
        <v>90</v>
      </c>
      <c r="C1574" s="2" t="s">
        <v>15772</v>
      </c>
      <c r="D1574" s="2" t="s">
        <v>15773</v>
      </c>
      <c r="E1574" s="2" t="s">
        <v>15774</v>
      </c>
      <c r="F1574" s="3" t="s">
        <v>1371</v>
      </c>
      <c r="G1574" s="3" t="s">
        <v>61</v>
      </c>
      <c r="I1574" s="3" t="s">
        <v>62</v>
      </c>
      <c r="J1574" s="3" t="s">
        <v>62</v>
      </c>
      <c r="K1574" s="3" t="s">
        <v>63</v>
      </c>
      <c r="L1574" s="2" t="s">
        <v>15775</v>
      </c>
      <c r="M1574" s="2" t="s">
        <v>15776</v>
      </c>
      <c r="N1574" s="3" t="s">
        <v>239</v>
      </c>
      <c r="P1574" s="3" t="s">
        <v>64</v>
      </c>
      <c r="R1574" s="3" t="s">
        <v>13065</v>
      </c>
      <c r="S1574" s="4">
        <v>1</v>
      </c>
      <c r="T1574" s="4">
        <v>2</v>
      </c>
      <c r="U1574" s="5" t="s">
        <v>15777</v>
      </c>
      <c r="V1574" s="5" t="s">
        <v>15777</v>
      </c>
      <c r="W1574" s="5" t="s">
        <v>67</v>
      </c>
      <c r="X1574" s="5" t="s">
        <v>67</v>
      </c>
      <c r="Y1574" s="4">
        <v>163</v>
      </c>
      <c r="Z1574" s="4">
        <v>13</v>
      </c>
      <c r="AA1574" s="4">
        <v>17</v>
      </c>
      <c r="AB1574" s="4">
        <v>1</v>
      </c>
      <c r="AC1574" s="4">
        <v>3</v>
      </c>
      <c r="AD1574" s="4">
        <v>49</v>
      </c>
      <c r="AE1574" s="4">
        <v>62</v>
      </c>
      <c r="AF1574" s="4">
        <v>0</v>
      </c>
      <c r="AG1574" s="4">
        <v>2</v>
      </c>
      <c r="AH1574" s="4">
        <v>44</v>
      </c>
      <c r="AI1574" s="4">
        <v>54</v>
      </c>
      <c r="AJ1574" s="4">
        <v>8</v>
      </c>
      <c r="AK1574" s="4">
        <v>11</v>
      </c>
      <c r="AL1574" s="4">
        <v>27</v>
      </c>
      <c r="AM1574" s="4">
        <v>33</v>
      </c>
      <c r="AN1574" s="4">
        <v>0</v>
      </c>
      <c r="AO1574" s="4">
        <v>0</v>
      </c>
      <c r="AP1574" s="4">
        <v>9</v>
      </c>
      <c r="AQ1574" s="4">
        <v>12</v>
      </c>
      <c r="AR1574" s="3" t="s">
        <v>62</v>
      </c>
      <c r="AS1574" s="3" t="s">
        <v>62</v>
      </c>
      <c r="AT1574" s="3" t="s">
        <v>61</v>
      </c>
      <c r="AU1574" s="6" t="str">
        <f>HYPERLINK("http://catalog.hathitrust.org/Record/001129112","HathiTrust Record")</f>
        <v>HathiTrust Record</v>
      </c>
      <c r="AV1574" s="6" t="str">
        <f>HYPERLINK("http://mcgill.on.worldcat.org/oclc/1486605","Catalog Record")</f>
        <v>Catalog Record</v>
      </c>
      <c r="AW1574" s="6" t="str">
        <f>HYPERLINK("http://www.worldcat.org/oclc/1486605","WorldCat Record")</f>
        <v>WorldCat Record</v>
      </c>
      <c r="AX1574" s="3" t="s">
        <v>15778</v>
      </c>
      <c r="AY1574" s="3" t="s">
        <v>15779</v>
      </c>
      <c r="AZ1574" s="3" t="s">
        <v>15780</v>
      </c>
      <c r="BA1574" s="3" t="s">
        <v>15780</v>
      </c>
      <c r="BB1574" s="3" t="s">
        <v>15784</v>
      </c>
      <c r="BC1574" s="3" t="s">
        <v>102</v>
      </c>
      <c r="BD1574" s="3" t="s">
        <v>68</v>
      </c>
      <c r="BE1574" s="3" t="s">
        <v>15782</v>
      </c>
      <c r="BF1574" s="3" t="s">
        <v>15784</v>
      </c>
      <c r="BG1574" s="3" t="s">
        <v>15785</v>
      </c>
    </row>
    <row r="1575" spans="1:59" ht="58" x14ac:dyDescent="0.35">
      <c r="A1575" s="2" t="s">
        <v>89</v>
      </c>
      <c r="B1575" s="2" t="s">
        <v>90</v>
      </c>
      <c r="C1575" s="2" t="s">
        <v>15786</v>
      </c>
      <c r="D1575" s="2" t="s">
        <v>15787</v>
      </c>
      <c r="E1575" s="2" t="s">
        <v>15788</v>
      </c>
      <c r="G1575" s="3" t="s">
        <v>62</v>
      </c>
      <c r="I1575" s="3" t="s">
        <v>61</v>
      </c>
      <c r="J1575" s="3" t="s">
        <v>62</v>
      </c>
      <c r="K1575" s="3" t="s">
        <v>63</v>
      </c>
      <c r="M1575" s="2" t="s">
        <v>7549</v>
      </c>
      <c r="N1575" s="3" t="s">
        <v>1662</v>
      </c>
      <c r="P1575" s="3" t="s">
        <v>64</v>
      </c>
      <c r="Q1575" s="2" t="s">
        <v>15789</v>
      </c>
      <c r="R1575" s="3" t="s">
        <v>13065</v>
      </c>
      <c r="S1575" s="4">
        <v>0</v>
      </c>
      <c r="T1575" s="4">
        <v>3</v>
      </c>
      <c r="V1575" s="5" t="s">
        <v>84</v>
      </c>
      <c r="W1575" s="5" t="s">
        <v>67</v>
      </c>
      <c r="X1575" s="5" t="s">
        <v>67</v>
      </c>
      <c r="Y1575" s="4">
        <v>356</v>
      </c>
      <c r="Z1575" s="4">
        <v>17</v>
      </c>
      <c r="AA1575" s="4">
        <v>18</v>
      </c>
      <c r="AB1575" s="4">
        <v>2</v>
      </c>
      <c r="AC1575" s="4">
        <v>3</v>
      </c>
      <c r="AD1575" s="4">
        <v>102</v>
      </c>
      <c r="AE1575" s="4">
        <v>103</v>
      </c>
      <c r="AF1575" s="4">
        <v>1</v>
      </c>
      <c r="AG1575" s="4">
        <v>2</v>
      </c>
      <c r="AH1575" s="4">
        <v>90</v>
      </c>
      <c r="AI1575" s="4">
        <v>90</v>
      </c>
      <c r="AJ1575" s="4">
        <v>15</v>
      </c>
      <c r="AK1575" s="4">
        <v>15</v>
      </c>
      <c r="AL1575" s="4">
        <v>52</v>
      </c>
      <c r="AM1575" s="4">
        <v>52</v>
      </c>
      <c r="AN1575" s="4">
        <v>0</v>
      </c>
      <c r="AO1575" s="4">
        <v>0</v>
      </c>
      <c r="AP1575" s="4">
        <v>15</v>
      </c>
      <c r="AQ1575" s="4">
        <v>16</v>
      </c>
      <c r="AR1575" s="3" t="s">
        <v>62</v>
      </c>
      <c r="AS1575" s="3" t="s">
        <v>62</v>
      </c>
      <c r="AT1575" s="3" t="s">
        <v>61</v>
      </c>
      <c r="AU1575" s="6" t="str">
        <f>HYPERLINK("http://catalog.hathitrust.org/Record/005920510","HathiTrust Record")</f>
        <v>HathiTrust Record</v>
      </c>
      <c r="AV1575" s="6" t="str">
        <f>HYPERLINK("http://mcgill.on.worldcat.org/oclc/904466","Catalog Record")</f>
        <v>Catalog Record</v>
      </c>
      <c r="AW1575" s="6" t="str">
        <f>HYPERLINK("http://www.worldcat.org/oclc/904466","WorldCat Record")</f>
        <v>WorldCat Record</v>
      </c>
      <c r="AX1575" s="3" t="s">
        <v>15790</v>
      </c>
      <c r="AY1575" s="3" t="s">
        <v>15791</v>
      </c>
      <c r="AZ1575" s="3" t="s">
        <v>15792</v>
      </c>
      <c r="BA1575" s="3" t="s">
        <v>15792</v>
      </c>
      <c r="BB1575" s="3" t="s">
        <v>15793</v>
      </c>
      <c r="BC1575" s="3" t="s">
        <v>102</v>
      </c>
      <c r="BD1575" s="3" t="s">
        <v>68</v>
      </c>
      <c r="BF1575" s="3" t="s">
        <v>15793</v>
      </c>
      <c r="BG1575" s="3" t="s">
        <v>15794</v>
      </c>
    </row>
    <row r="1576" spans="1:59" ht="58" x14ac:dyDescent="0.35">
      <c r="A1576" s="2" t="s">
        <v>89</v>
      </c>
      <c r="B1576" s="2" t="s">
        <v>90</v>
      </c>
      <c r="C1576" s="2" t="s">
        <v>15795</v>
      </c>
      <c r="D1576" s="2" t="s">
        <v>15796</v>
      </c>
      <c r="E1576" s="2" t="s">
        <v>15797</v>
      </c>
      <c r="G1576" s="3" t="s">
        <v>62</v>
      </c>
      <c r="I1576" s="3" t="s">
        <v>62</v>
      </c>
      <c r="J1576" s="3" t="s">
        <v>62</v>
      </c>
      <c r="K1576" s="3" t="s">
        <v>63</v>
      </c>
      <c r="L1576" s="2" t="s">
        <v>15798</v>
      </c>
      <c r="M1576" s="2" t="s">
        <v>6010</v>
      </c>
      <c r="N1576" s="3" t="s">
        <v>524</v>
      </c>
      <c r="P1576" s="3" t="s">
        <v>64</v>
      </c>
      <c r="Q1576" s="2" t="s">
        <v>15799</v>
      </c>
      <c r="R1576" s="3" t="s">
        <v>13065</v>
      </c>
      <c r="S1576" s="4">
        <v>15</v>
      </c>
      <c r="T1576" s="4">
        <v>15</v>
      </c>
      <c r="U1576" s="5" t="s">
        <v>15800</v>
      </c>
      <c r="V1576" s="5" t="s">
        <v>15800</v>
      </c>
      <c r="W1576" s="5" t="s">
        <v>67</v>
      </c>
      <c r="X1576" s="5" t="s">
        <v>67</v>
      </c>
      <c r="Y1576" s="4">
        <v>433</v>
      </c>
      <c r="Z1576" s="4">
        <v>32</v>
      </c>
      <c r="AA1576" s="4">
        <v>61</v>
      </c>
      <c r="AB1576" s="4">
        <v>1</v>
      </c>
      <c r="AC1576" s="4">
        <v>10</v>
      </c>
      <c r="AD1576" s="4">
        <v>112</v>
      </c>
      <c r="AE1576" s="4">
        <v>127</v>
      </c>
      <c r="AF1576" s="4">
        <v>0</v>
      </c>
      <c r="AG1576" s="4">
        <v>5</v>
      </c>
      <c r="AH1576" s="4">
        <v>94</v>
      </c>
      <c r="AI1576" s="4">
        <v>101</v>
      </c>
      <c r="AJ1576" s="4">
        <v>14</v>
      </c>
      <c r="AK1576" s="4">
        <v>19</v>
      </c>
      <c r="AL1576" s="4">
        <v>52</v>
      </c>
      <c r="AM1576" s="4">
        <v>55</v>
      </c>
      <c r="AN1576" s="4">
        <v>0</v>
      </c>
      <c r="AO1576" s="4">
        <v>0</v>
      </c>
      <c r="AP1576" s="4">
        <v>25</v>
      </c>
      <c r="AQ1576" s="4">
        <v>33</v>
      </c>
      <c r="AR1576" s="3" t="s">
        <v>62</v>
      </c>
      <c r="AS1576" s="3" t="s">
        <v>62</v>
      </c>
      <c r="AT1576" s="3" t="s">
        <v>62</v>
      </c>
      <c r="AV1576" s="6" t="str">
        <f>HYPERLINK("http://mcgill.on.worldcat.org/oclc/32468661","Catalog Record")</f>
        <v>Catalog Record</v>
      </c>
      <c r="AW1576" s="6" t="str">
        <f>HYPERLINK("http://www.worldcat.org/oclc/32468661","WorldCat Record")</f>
        <v>WorldCat Record</v>
      </c>
      <c r="AX1576" s="3" t="s">
        <v>15801</v>
      </c>
      <c r="AY1576" s="3" t="s">
        <v>15802</v>
      </c>
      <c r="AZ1576" s="3" t="s">
        <v>15803</v>
      </c>
      <c r="BA1576" s="3" t="s">
        <v>15803</v>
      </c>
      <c r="BB1576" s="3" t="s">
        <v>15804</v>
      </c>
      <c r="BC1576" s="3" t="s">
        <v>102</v>
      </c>
      <c r="BD1576" s="3" t="s">
        <v>68</v>
      </c>
      <c r="BE1576" s="3" t="s">
        <v>15805</v>
      </c>
      <c r="BF1576" s="3" t="s">
        <v>15804</v>
      </c>
      <c r="BG1576" s="3" t="s">
        <v>15806</v>
      </c>
    </row>
    <row r="1577" spans="1:59" ht="58" x14ac:dyDescent="0.35">
      <c r="A1577" s="2" t="s">
        <v>89</v>
      </c>
      <c r="B1577" s="2" t="s">
        <v>90</v>
      </c>
      <c r="C1577" s="2" t="s">
        <v>15807</v>
      </c>
      <c r="D1577" s="2" t="s">
        <v>15808</v>
      </c>
      <c r="E1577" s="2" t="s">
        <v>15809</v>
      </c>
      <c r="G1577" s="3" t="s">
        <v>62</v>
      </c>
      <c r="I1577" s="3" t="s">
        <v>62</v>
      </c>
      <c r="J1577" s="3" t="s">
        <v>62</v>
      </c>
      <c r="K1577" s="3" t="s">
        <v>63</v>
      </c>
      <c r="L1577" s="2" t="s">
        <v>15810</v>
      </c>
      <c r="M1577" s="2" t="s">
        <v>15811</v>
      </c>
      <c r="N1577" s="3" t="s">
        <v>726</v>
      </c>
      <c r="O1577" s="2" t="s">
        <v>15812</v>
      </c>
      <c r="P1577" s="3" t="s">
        <v>64</v>
      </c>
      <c r="R1577" s="3" t="s">
        <v>13065</v>
      </c>
      <c r="S1577" s="4">
        <v>5</v>
      </c>
      <c r="T1577" s="4">
        <v>5</v>
      </c>
      <c r="U1577" s="5" t="s">
        <v>2729</v>
      </c>
      <c r="V1577" s="5" t="s">
        <v>2729</v>
      </c>
      <c r="W1577" s="5" t="s">
        <v>67</v>
      </c>
      <c r="X1577" s="5" t="s">
        <v>67</v>
      </c>
      <c r="Y1577" s="4">
        <v>1</v>
      </c>
      <c r="Z1577" s="4">
        <v>1</v>
      </c>
      <c r="AA1577" s="4">
        <v>1</v>
      </c>
      <c r="AB1577" s="4">
        <v>1</v>
      </c>
      <c r="AC1577" s="4">
        <v>1</v>
      </c>
      <c r="AD1577" s="4">
        <v>0</v>
      </c>
      <c r="AE1577" s="4">
        <v>0</v>
      </c>
      <c r="AF1577" s="4">
        <v>0</v>
      </c>
      <c r="AG1577" s="4">
        <v>0</v>
      </c>
      <c r="AH1577" s="4">
        <v>0</v>
      </c>
      <c r="AI1577" s="4">
        <v>0</v>
      </c>
      <c r="AJ1577" s="4">
        <v>0</v>
      </c>
      <c r="AK1577" s="4">
        <v>0</v>
      </c>
      <c r="AL1577" s="4">
        <v>0</v>
      </c>
      <c r="AM1577" s="4">
        <v>0</v>
      </c>
      <c r="AN1577" s="4">
        <v>0</v>
      </c>
      <c r="AO1577" s="4">
        <v>0</v>
      </c>
      <c r="AP1577" s="4">
        <v>0</v>
      </c>
      <c r="AQ1577" s="4">
        <v>0</v>
      </c>
      <c r="AR1577" s="3" t="s">
        <v>61</v>
      </c>
      <c r="AS1577" s="3" t="s">
        <v>62</v>
      </c>
      <c r="AT1577" s="3" t="s">
        <v>62</v>
      </c>
      <c r="AV1577" s="6" t="str">
        <f>HYPERLINK("http://mcgill.on.worldcat.org/oclc/959983149","Catalog Record")</f>
        <v>Catalog Record</v>
      </c>
      <c r="AW1577" s="6" t="str">
        <f>HYPERLINK("http://www.worldcat.org/oclc/959983149","WorldCat Record")</f>
        <v>WorldCat Record</v>
      </c>
      <c r="AX1577" s="3" t="s">
        <v>15813</v>
      </c>
      <c r="AY1577" s="3" t="s">
        <v>15814</v>
      </c>
      <c r="AZ1577" s="3" t="s">
        <v>15815</v>
      </c>
      <c r="BA1577" s="3" t="s">
        <v>15815</v>
      </c>
      <c r="BB1577" s="3" t="s">
        <v>15816</v>
      </c>
      <c r="BC1577" s="3" t="s">
        <v>102</v>
      </c>
      <c r="BD1577" s="3" t="s">
        <v>68</v>
      </c>
      <c r="BE1577" s="3" t="s">
        <v>15817</v>
      </c>
      <c r="BF1577" s="3" t="s">
        <v>15816</v>
      </c>
      <c r="BG1577" s="3" t="s">
        <v>15818</v>
      </c>
    </row>
    <row r="1578" spans="1:59" ht="58" x14ac:dyDescent="0.35">
      <c r="A1578" s="2" t="s">
        <v>89</v>
      </c>
      <c r="B1578" s="2" t="s">
        <v>90</v>
      </c>
      <c r="C1578" s="2" t="s">
        <v>15819</v>
      </c>
      <c r="D1578" s="2" t="s">
        <v>15820</v>
      </c>
      <c r="E1578" s="2" t="s">
        <v>15821</v>
      </c>
      <c r="G1578" s="3" t="s">
        <v>62</v>
      </c>
      <c r="I1578" s="3" t="s">
        <v>61</v>
      </c>
      <c r="J1578" s="3" t="s">
        <v>61</v>
      </c>
      <c r="K1578" s="3" t="s">
        <v>63</v>
      </c>
      <c r="M1578" s="2" t="s">
        <v>15822</v>
      </c>
      <c r="N1578" s="3" t="s">
        <v>655</v>
      </c>
      <c r="O1578" s="2" t="s">
        <v>15823</v>
      </c>
      <c r="P1578" s="3" t="s">
        <v>64</v>
      </c>
      <c r="R1578" s="3" t="s">
        <v>13065</v>
      </c>
      <c r="S1578" s="4">
        <v>103</v>
      </c>
      <c r="T1578" s="4">
        <v>257</v>
      </c>
      <c r="U1578" s="5" t="s">
        <v>15824</v>
      </c>
      <c r="V1578" s="5" t="s">
        <v>15825</v>
      </c>
      <c r="W1578" s="5" t="s">
        <v>67</v>
      </c>
      <c r="X1578" s="5" t="s">
        <v>67</v>
      </c>
      <c r="Y1578" s="4">
        <v>1</v>
      </c>
      <c r="Z1578" s="4">
        <v>1</v>
      </c>
      <c r="AA1578" s="4">
        <v>2</v>
      </c>
      <c r="AB1578" s="4">
        <v>1</v>
      </c>
      <c r="AC1578" s="4">
        <v>2</v>
      </c>
      <c r="AD1578" s="4">
        <v>0</v>
      </c>
      <c r="AE1578" s="4">
        <v>0</v>
      </c>
      <c r="AF1578" s="4">
        <v>0</v>
      </c>
      <c r="AG1578" s="4">
        <v>0</v>
      </c>
      <c r="AH1578" s="4">
        <v>0</v>
      </c>
      <c r="AI1578" s="4">
        <v>0</v>
      </c>
      <c r="AJ1578" s="4">
        <v>0</v>
      </c>
      <c r="AK1578" s="4">
        <v>0</v>
      </c>
      <c r="AL1578" s="4">
        <v>0</v>
      </c>
      <c r="AM1578" s="4">
        <v>0</v>
      </c>
      <c r="AN1578" s="4">
        <v>0</v>
      </c>
      <c r="AO1578" s="4">
        <v>0</v>
      </c>
      <c r="AP1578" s="4">
        <v>0</v>
      </c>
      <c r="AQ1578" s="4">
        <v>0</v>
      </c>
      <c r="AR1578" s="3" t="s">
        <v>62</v>
      </c>
      <c r="AS1578" s="3" t="s">
        <v>62</v>
      </c>
      <c r="AT1578" s="3" t="s">
        <v>62</v>
      </c>
      <c r="AV1578" s="6" t="str">
        <f>HYPERLINK("http://mcgill.on.worldcat.org/oclc/253907368","Catalog Record")</f>
        <v>Catalog Record</v>
      </c>
      <c r="AW1578" s="6" t="str">
        <f>HYPERLINK("http://www.worldcat.org/oclc/253907368","WorldCat Record")</f>
        <v>WorldCat Record</v>
      </c>
      <c r="AX1578" s="3" t="s">
        <v>15826</v>
      </c>
      <c r="AY1578" s="3" t="s">
        <v>15827</v>
      </c>
      <c r="AZ1578" s="3" t="s">
        <v>15828</v>
      </c>
      <c r="BA1578" s="3" t="s">
        <v>15828</v>
      </c>
      <c r="BB1578" s="3" t="s">
        <v>15829</v>
      </c>
      <c r="BC1578" s="3" t="s">
        <v>102</v>
      </c>
      <c r="BD1578" s="3" t="s">
        <v>68</v>
      </c>
      <c r="BE1578" s="3" t="s">
        <v>15830</v>
      </c>
      <c r="BF1578" s="3" t="s">
        <v>15829</v>
      </c>
      <c r="BG1578" s="3" t="s">
        <v>15831</v>
      </c>
    </row>
    <row r="1579" spans="1:59" ht="58" x14ac:dyDescent="0.35">
      <c r="A1579" s="2" t="s">
        <v>89</v>
      </c>
      <c r="B1579" s="2" t="s">
        <v>90</v>
      </c>
      <c r="C1579" s="2" t="s">
        <v>15819</v>
      </c>
      <c r="D1579" s="2" t="s">
        <v>15820</v>
      </c>
      <c r="E1579" s="2" t="s">
        <v>15821</v>
      </c>
      <c r="G1579" s="3" t="s">
        <v>62</v>
      </c>
      <c r="I1579" s="3" t="s">
        <v>61</v>
      </c>
      <c r="J1579" s="3" t="s">
        <v>61</v>
      </c>
      <c r="K1579" s="3" t="s">
        <v>63</v>
      </c>
      <c r="M1579" s="2" t="s">
        <v>15822</v>
      </c>
      <c r="N1579" s="3" t="s">
        <v>655</v>
      </c>
      <c r="O1579" s="2" t="s">
        <v>15823</v>
      </c>
      <c r="P1579" s="3" t="s">
        <v>64</v>
      </c>
      <c r="R1579" s="3" t="s">
        <v>13065</v>
      </c>
      <c r="S1579" s="4">
        <v>154</v>
      </c>
      <c r="T1579" s="4">
        <v>257</v>
      </c>
      <c r="U1579" s="5" t="s">
        <v>15825</v>
      </c>
      <c r="V1579" s="5" t="s">
        <v>15825</v>
      </c>
      <c r="W1579" s="5" t="s">
        <v>67</v>
      </c>
      <c r="X1579" s="5" t="s">
        <v>67</v>
      </c>
      <c r="Y1579" s="4">
        <v>1</v>
      </c>
      <c r="Z1579" s="4">
        <v>1</v>
      </c>
      <c r="AA1579" s="4">
        <v>2</v>
      </c>
      <c r="AB1579" s="4">
        <v>1</v>
      </c>
      <c r="AC1579" s="4">
        <v>2</v>
      </c>
      <c r="AD1579" s="4">
        <v>0</v>
      </c>
      <c r="AE1579" s="4">
        <v>0</v>
      </c>
      <c r="AF1579" s="4">
        <v>0</v>
      </c>
      <c r="AG1579" s="4">
        <v>0</v>
      </c>
      <c r="AH1579" s="4">
        <v>0</v>
      </c>
      <c r="AI1579" s="4">
        <v>0</v>
      </c>
      <c r="AJ1579" s="4">
        <v>0</v>
      </c>
      <c r="AK1579" s="4">
        <v>0</v>
      </c>
      <c r="AL1579" s="4">
        <v>0</v>
      </c>
      <c r="AM1579" s="4">
        <v>0</v>
      </c>
      <c r="AN1579" s="4">
        <v>0</v>
      </c>
      <c r="AO1579" s="4">
        <v>0</v>
      </c>
      <c r="AP1579" s="4">
        <v>0</v>
      </c>
      <c r="AQ1579" s="4">
        <v>0</v>
      </c>
      <c r="AR1579" s="3" t="s">
        <v>62</v>
      </c>
      <c r="AS1579" s="3" t="s">
        <v>62</v>
      </c>
      <c r="AT1579" s="3" t="s">
        <v>62</v>
      </c>
      <c r="AV1579" s="6" t="str">
        <f>HYPERLINK("http://mcgill.on.worldcat.org/oclc/253907368","Catalog Record")</f>
        <v>Catalog Record</v>
      </c>
      <c r="AW1579" s="6" t="str">
        <f>HYPERLINK("http://www.worldcat.org/oclc/253907368","WorldCat Record")</f>
        <v>WorldCat Record</v>
      </c>
      <c r="AX1579" s="3" t="s">
        <v>15826</v>
      </c>
      <c r="AY1579" s="3" t="s">
        <v>15827</v>
      </c>
      <c r="AZ1579" s="3" t="s">
        <v>15828</v>
      </c>
      <c r="BA1579" s="3" t="s">
        <v>15828</v>
      </c>
      <c r="BB1579" s="3" t="s">
        <v>15832</v>
      </c>
      <c r="BC1579" s="3" t="s">
        <v>102</v>
      </c>
      <c r="BD1579" s="3" t="s">
        <v>68</v>
      </c>
      <c r="BE1579" s="3" t="s">
        <v>15830</v>
      </c>
      <c r="BF1579" s="3" t="s">
        <v>15832</v>
      </c>
      <c r="BG1579" s="3" t="s">
        <v>15833</v>
      </c>
    </row>
    <row r="1580" spans="1:59" ht="72.5" x14ac:dyDescent="0.35">
      <c r="A1580" s="2" t="s">
        <v>89</v>
      </c>
      <c r="B1580" s="2" t="s">
        <v>90</v>
      </c>
      <c r="C1580" s="2" t="s">
        <v>15834</v>
      </c>
      <c r="D1580" s="2" t="s">
        <v>15835</v>
      </c>
      <c r="E1580" s="2" t="s">
        <v>15821</v>
      </c>
      <c r="G1580" s="3" t="s">
        <v>62</v>
      </c>
      <c r="I1580" s="3" t="s">
        <v>61</v>
      </c>
      <c r="J1580" s="3" t="s">
        <v>61</v>
      </c>
      <c r="K1580" s="3" t="s">
        <v>63</v>
      </c>
      <c r="M1580" s="2" t="s">
        <v>15836</v>
      </c>
      <c r="N1580" s="3" t="s">
        <v>2985</v>
      </c>
      <c r="O1580" s="2" t="s">
        <v>15837</v>
      </c>
      <c r="P1580" s="3" t="s">
        <v>64</v>
      </c>
      <c r="R1580" s="3" t="s">
        <v>13065</v>
      </c>
      <c r="S1580" s="4">
        <v>39</v>
      </c>
      <c r="T1580" s="4">
        <v>93</v>
      </c>
      <c r="U1580" s="5" t="s">
        <v>15838</v>
      </c>
      <c r="V1580" s="5" t="s">
        <v>15838</v>
      </c>
      <c r="W1580" s="5" t="s">
        <v>67</v>
      </c>
      <c r="X1580" s="5" t="s">
        <v>67</v>
      </c>
      <c r="Y1580" s="4">
        <v>2</v>
      </c>
      <c r="Z1580" s="4">
        <v>2</v>
      </c>
      <c r="AA1580" s="4">
        <v>2</v>
      </c>
      <c r="AB1580" s="4">
        <v>2</v>
      </c>
      <c r="AC1580" s="4">
        <v>2</v>
      </c>
      <c r="AD1580" s="4">
        <v>0</v>
      </c>
      <c r="AE1580" s="4">
        <v>0</v>
      </c>
      <c r="AF1580" s="4">
        <v>0</v>
      </c>
      <c r="AG1580" s="4">
        <v>0</v>
      </c>
      <c r="AH1580" s="4">
        <v>0</v>
      </c>
      <c r="AI1580" s="4">
        <v>0</v>
      </c>
      <c r="AJ1580" s="4">
        <v>0</v>
      </c>
      <c r="AK1580" s="4">
        <v>0</v>
      </c>
      <c r="AL1580" s="4">
        <v>0</v>
      </c>
      <c r="AM1580" s="4">
        <v>0</v>
      </c>
      <c r="AN1580" s="4">
        <v>0</v>
      </c>
      <c r="AO1580" s="4">
        <v>0</v>
      </c>
      <c r="AP1580" s="4">
        <v>0</v>
      </c>
      <c r="AQ1580" s="4">
        <v>0</v>
      </c>
      <c r="AR1580" s="3" t="s">
        <v>62</v>
      </c>
      <c r="AS1580" s="3" t="s">
        <v>62</v>
      </c>
      <c r="AT1580" s="3" t="s">
        <v>62</v>
      </c>
      <c r="AV1580" s="6" t="str">
        <f>HYPERLINK("http://mcgill.on.worldcat.org/oclc/436840437","Catalog Record")</f>
        <v>Catalog Record</v>
      </c>
      <c r="AW1580" s="6" t="str">
        <f>HYPERLINK("http://www.worldcat.org/oclc/436840437","WorldCat Record")</f>
        <v>WorldCat Record</v>
      </c>
      <c r="AX1580" s="3" t="s">
        <v>15826</v>
      </c>
      <c r="AY1580" s="3" t="s">
        <v>15839</v>
      </c>
      <c r="AZ1580" s="3" t="s">
        <v>15840</v>
      </c>
      <c r="BA1580" s="3" t="s">
        <v>15840</v>
      </c>
      <c r="BB1580" s="3" t="s">
        <v>15841</v>
      </c>
      <c r="BC1580" s="3" t="s">
        <v>102</v>
      </c>
      <c r="BD1580" s="3" t="s">
        <v>68</v>
      </c>
      <c r="BE1580" s="3" t="s">
        <v>15842</v>
      </c>
      <c r="BF1580" s="3" t="s">
        <v>15841</v>
      </c>
      <c r="BG1580" s="3" t="s">
        <v>15843</v>
      </c>
    </row>
    <row r="1581" spans="1:59" ht="72.5" x14ac:dyDescent="0.35">
      <c r="A1581" s="2" t="s">
        <v>89</v>
      </c>
      <c r="B1581" s="2" t="s">
        <v>90</v>
      </c>
      <c r="C1581" s="2" t="s">
        <v>15834</v>
      </c>
      <c r="D1581" s="2" t="s">
        <v>15835</v>
      </c>
      <c r="E1581" s="2" t="s">
        <v>15821</v>
      </c>
      <c r="G1581" s="3" t="s">
        <v>62</v>
      </c>
      <c r="I1581" s="3" t="s">
        <v>61</v>
      </c>
      <c r="J1581" s="3" t="s">
        <v>61</v>
      </c>
      <c r="K1581" s="3" t="s">
        <v>63</v>
      </c>
      <c r="M1581" s="2" t="s">
        <v>15836</v>
      </c>
      <c r="N1581" s="3" t="s">
        <v>2985</v>
      </c>
      <c r="O1581" s="2" t="s">
        <v>15837</v>
      </c>
      <c r="P1581" s="3" t="s">
        <v>64</v>
      </c>
      <c r="R1581" s="3" t="s">
        <v>13065</v>
      </c>
      <c r="S1581" s="4">
        <v>54</v>
      </c>
      <c r="T1581" s="4">
        <v>93</v>
      </c>
      <c r="U1581" s="5" t="s">
        <v>9622</v>
      </c>
      <c r="V1581" s="5" t="s">
        <v>15838</v>
      </c>
      <c r="W1581" s="5" t="s">
        <v>67</v>
      </c>
      <c r="X1581" s="5" t="s">
        <v>67</v>
      </c>
      <c r="Y1581" s="4">
        <v>2</v>
      </c>
      <c r="Z1581" s="4">
        <v>2</v>
      </c>
      <c r="AA1581" s="4">
        <v>2</v>
      </c>
      <c r="AB1581" s="4">
        <v>2</v>
      </c>
      <c r="AC1581" s="4">
        <v>2</v>
      </c>
      <c r="AD1581" s="4">
        <v>0</v>
      </c>
      <c r="AE1581" s="4">
        <v>0</v>
      </c>
      <c r="AF1581" s="4">
        <v>0</v>
      </c>
      <c r="AG1581" s="4">
        <v>0</v>
      </c>
      <c r="AH1581" s="4">
        <v>0</v>
      </c>
      <c r="AI1581" s="4">
        <v>0</v>
      </c>
      <c r="AJ1581" s="4">
        <v>0</v>
      </c>
      <c r="AK1581" s="4">
        <v>0</v>
      </c>
      <c r="AL1581" s="4">
        <v>0</v>
      </c>
      <c r="AM1581" s="4">
        <v>0</v>
      </c>
      <c r="AN1581" s="4">
        <v>0</v>
      </c>
      <c r="AO1581" s="4">
        <v>0</v>
      </c>
      <c r="AP1581" s="4">
        <v>0</v>
      </c>
      <c r="AQ1581" s="4">
        <v>0</v>
      </c>
      <c r="AR1581" s="3" t="s">
        <v>62</v>
      </c>
      <c r="AS1581" s="3" t="s">
        <v>62</v>
      </c>
      <c r="AT1581" s="3" t="s">
        <v>62</v>
      </c>
      <c r="AV1581" s="6" t="str">
        <f>HYPERLINK("http://mcgill.on.worldcat.org/oclc/436840437","Catalog Record")</f>
        <v>Catalog Record</v>
      </c>
      <c r="AW1581" s="6" t="str">
        <f>HYPERLINK("http://www.worldcat.org/oclc/436840437","WorldCat Record")</f>
        <v>WorldCat Record</v>
      </c>
      <c r="AX1581" s="3" t="s">
        <v>15826</v>
      </c>
      <c r="AY1581" s="3" t="s">
        <v>15839</v>
      </c>
      <c r="AZ1581" s="3" t="s">
        <v>15840</v>
      </c>
      <c r="BA1581" s="3" t="s">
        <v>15840</v>
      </c>
      <c r="BB1581" s="3" t="s">
        <v>15844</v>
      </c>
      <c r="BC1581" s="3" t="s">
        <v>102</v>
      </c>
      <c r="BD1581" s="3" t="s">
        <v>231</v>
      </c>
      <c r="BE1581" s="3" t="s">
        <v>15842</v>
      </c>
      <c r="BF1581" s="3" t="s">
        <v>15844</v>
      </c>
      <c r="BG1581" s="3" t="s">
        <v>15845</v>
      </c>
    </row>
    <row r="1582" spans="1:59" ht="101.5" x14ac:dyDescent="0.35">
      <c r="A1582" s="2" t="s">
        <v>89</v>
      </c>
      <c r="B1582" s="2" t="s">
        <v>12301</v>
      </c>
      <c r="C1582" s="2" t="s">
        <v>15846</v>
      </c>
      <c r="D1582" s="2" t="s">
        <v>15847</v>
      </c>
      <c r="E1582" s="2" t="s">
        <v>15821</v>
      </c>
      <c r="G1582" s="3" t="s">
        <v>62</v>
      </c>
      <c r="I1582" s="3" t="s">
        <v>61</v>
      </c>
      <c r="J1582" s="3" t="s">
        <v>61</v>
      </c>
      <c r="K1582" s="3" t="s">
        <v>63</v>
      </c>
      <c r="M1582" s="2" t="s">
        <v>15848</v>
      </c>
      <c r="N1582" s="3" t="s">
        <v>880</v>
      </c>
      <c r="O1582" s="2" t="s">
        <v>15849</v>
      </c>
      <c r="P1582" s="3" t="s">
        <v>64</v>
      </c>
      <c r="R1582" s="3" t="s">
        <v>13065</v>
      </c>
      <c r="S1582" s="4">
        <v>122</v>
      </c>
      <c r="T1582" s="4">
        <v>639</v>
      </c>
      <c r="U1582" s="5" t="s">
        <v>1654</v>
      </c>
      <c r="V1582" s="5" t="s">
        <v>3110</v>
      </c>
      <c r="W1582" s="5" t="s">
        <v>67</v>
      </c>
      <c r="X1582" s="5" t="s">
        <v>67</v>
      </c>
      <c r="Y1582" s="4">
        <v>1</v>
      </c>
      <c r="Z1582" s="4">
        <v>1</v>
      </c>
      <c r="AA1582" s="4">
        <v>2</v>
      </c>
      <c r="AB1582" s="4">
        <v>1</v>
      </c>
      <c r="AC1582" s="4">
        <v>2</v>
      </c>
      <c r="AD1582" s="4">
        <v>0</v>
      </c>
      <c r="AE1582" s="4">
        <v>0</v>
      </c>
      <c r="AF1582" s="4">
        <v>0</v>
      </c>
      <c r="AG1582" s="4">
        <v>0</v>
      </c>
      <c r="AH1582" s="4">
        <v>0</v>
      </c>
      <c r="AI1582" s="4">
        <v>0</v>
      </c>
      <c r="AJ1582" s="4">
        <v>0</v>
      </c>
      <c r="AK1582" s="4">
        <v>0</v>
      </c>
      <c r="AL1582" s="4">
        <v>0</v>
      </c>
      <c r="AM1582" s="4">
        <v>0</v>
      </c>
      <c r="AN1582" s="4">
        <v>0</v>
      </c>
      <c r="AO1582" s="4">
        <v>0</v>
      </c>
      <c r="AP1582" s="4">
        <v>0</v>
      </c>
      <c r="AQ1582" s="4">
        <v>0</v>
      </c>
      <c r="AR1582" s="3" t="s">
        <v>62</v>
      </c>
      <c r="AS1582" s="3" t="s">
        <v>62</v>
      </c>
      <c r="AT1582" s="3" t="s">
        <v>62</v>
      </c>
      <c r="AV1582" s="6" t="str">
        <f>HYPERLINK("http://mcgill.on.worldcat.org/oclc/668401897","Catalog Record")</f>
        <v>Catalog Record</v>
      </c>
      <c r="AW1582" s="6" t="str">
        <f>HYPERLINK("http://www.worldcat.org/oclc/668401897","WorldCat Record")</f>
        <v>WorldCat Record</v>
      </c>
      <c r="AX1582" s="3" t="s">
        <v>15826</v>
      </c>
      <c r="AY1582" s="3" t="s">
        <v>15850</v>
      </c>
      <c r="AZ1582" s="3" t="s">
        <v>15851</v>
      </c>
      <c r="BA1582" s="3" t="s">
        <v>15851</v>
      </c>
      <c r="BB1582" s="3" t="s">
        <v>15852</v>
      </c>
      <c r="BC1582" s="3" t="s">
        <v>102</v>
      </c>
      <c r="BD1582" s="3" t="s">
        <v>68</v>
      </c>
      <c r="BE1582" s="3" t="s">
        <v>15853</v>
      </c>
      <c r="BF1582" s="3" t="s">
        <v>15852</v>
      </c>
      <c r="BG1582" s="3" t="s">
        <v>15854</v>
      </c>
    </row>
    <row r="1583" spans="1:59" ht="101.5" x14ac:dyDescent="0.35">
      <c r="A1583" s="2" t="s">
        <v>89</v>
      </c>
      <c r="B1583" s="2" t="s">
        <v>12301</v>
      </c>
      <c r="C1583" s="2" t="s">
        <v>15846</v>
      </c>
      <c r="D1583" s="2" t="s">
        <v>15847</v>
      </c>
      <c r="E1583" s="2" t="s">
        <v>15821</v>
      </c>
      <c r="G1583" s="3" t="s">
        <v>62</v>
      </c>
      <c r="I1583" s="3" t="s">
        <v>61</v>
      </c>
      <c r="J1583" s="3" t="s">
        <v>61</v>
      </c>
      <c r="K1583" s="3" t="s">
        <v>63</v>
      </c>
      <c r="M1583" s="2" t="s">
        <v>15848</v>
      </c>
      <c r="N1583" s="3" t="s">
        <v>880</v>
      </c>
      <c r="O1583" s="2" t="s">
        <v>15849</v>
      </c>
      <c r="P1583" s="3" t="s">
        <v>64</v>
      </c>
      <c r="R1583" s="3" t="s">
        <v>13065</v>
      </c>
      <c r="S1583" s="4">
        <v>257</v>
      </c>
      <c r="T1583" s="4">
        <v>639</v>
      </c>
      <c r="U1583" s="5" t="s">
        <v>3110</v>
      </c>
      <c r="V1583" s="5" t="s">
        <v>3110</v>
      </c>
      <c r="W1583" s="5" t="s">
        <v>67</v>
      </c>
      <c r="X1583" s="5" t="s">
        <v>67</v>
      </c>
      <c r="Y1583" s="4">
        <v>1</v>
      </c>
      <c r="Z1583" s="4">
        <v>1</v>
      </c>
      <c r="AA1583" s="4">
        <v>2</v>
      </c>
      <c r="AB1583" s="4">
        <v>1</v>
      </c>
      <c r="AC1583" s="4">
        <v>2</v>
      </c>
      <c r="AD1583" s="4">
        <v>0</v>
      </c>
      <c r="AE1583" s="4">
        <v>0</v>
      </c>
      <c r="AF1583" s="4">
        <v>0</v>
      </c>
      <c r="AG1583" s="4">
        <v>0</v>
      </c>
      <c r="AH1583" s="4">
        <v>0</v>
      </c>
      <c r="AI1583" s="4">
        <v>0</v>
      </c>
      <c r="AJ1583" s="4">
        <v>0</v>
      </c>
      <c r="AK1583" s="4">
        <v>0</v>
      </c>
      <c r="AL1583" s="4">
        <v>0</v>
      </c>
      <c r="AM1583" s="4">
        <v>0</v>
      </c>
      <c r="AN1583" s="4">
        <v>0</v>
      </c>
      <c r="AO1583" s="4">
        <v>0</v>
      </c>
      <c r="AP1583" s="4">
        <v>0</v>
      </c>
      <c r="AQ1583" s="4">
        <v>0</v>
      </c>
      <c r="AR1583" s="3" t="s">
        <v>62</v>
      </c>
      <c r="AS1583" s="3" t="s">
        <v>62</v>
      </c>
      <c r="AT1583" s="3" t="s">
        <v>62</v>
      </c>
      <c r="AV1583" s="6" t="str">
        <f>HYPERLINK("http://mcgill.on.worldcat.org/oclc/668401897","Catalog Record")</f>
        <v>Catalog Record</v>
      </c>
      <c r="AW1583" s="6" t="str">
        <f>HYPERLINK("http://www.worldcat.org/oclc/668401897","WorldCat Record")</f>
        <v>WorldCat Record</v>
      </c>
      <c r="AX1583" s="3" t="s">
        <v>15826</v>
      </c>
      <c r="AY1583" s="3" t="s">
        <v>15850</v>
      </c>
      <c r="AZ1583" s="3" t="s">
        <v>15851</v>
      </c>
      <c r="BA1583" s="3" t="s">
        <v>15851</v>
      </c>
      <c r="BB1583" s="3" t="s">
        <v>15855</v>
      </c>
      <c r="BC1583" s="3" t="s">
        <v>102</v>
      </c>
      <c r="BD1583" s="3" t="s">
        <v>68</v>
      </c>
      <c r="BE1583" s="3" t="s">
        <v>15853</v>
      </c>
      <c r="BF1583" s="3" t="s">
        <v>15855</v>
      </c>
      <c r="BG1583" s="3" t="s">
        <v>15856</v>
      </c>
    </row>
    <row r="1584" spans="1:59" ht="101.5" x14ac:dyDescent="0.35">
      <c r="A1584" s="2" t="s">
        <v>89</v>
      </c>
      <c r="B1584" s="2" t="s">
        <v>12301</v>
      </c>
      <c r="C1584" s="2" t="s">
        <v>15846</v>
      </c>
      <c r="D1584" s="2" t="s">
        <v>15847</v>
      </c>
      <c r="E1584" s="2" t="s">
        <v>15821</v>
      </c>
      <c r="G1584" s="3" t="s">
        <v>62</v>
      </c>
      <c r="I1584" s="3" t="s">
        <v>61</v>
      </c>
      <c r="J1584" s="3" t="s">
        <v>61</v>
      </c>
      <c r="K1584" s="3" t="s">
        <v>63</v>
      </c>
      <c r="M1584" s="2" t="s">
        <v>15848</v>
      </c>
      <c r="N1584" s="3" t="s">
        <v>880</v>
      </c>
      <c r="O1584" s="2" t="s">
        <v>15849</v>
      </c>
      <c r="P1584" s="3" t="s">
        <v>64</v>
      </c>
      <c r="R1584" s="3" t="s">
        <v>13065</v>
      </c>
      <c r="S1584" s="4">
        <v>260</v>
      </c>
      <c r="T1584" s="4">
        <v>639</v>
      </c>
      <c r="U1584" s="5" t="s">
        <v>15857</v>
      </c>
      <c r="V1584" s="5" t="s">
        <v>3110</v>
      </c>
      <c r="W1584" s="5" t="s">
        <v>67</v>
      </c>
      <c r="X1584" s="5" t="s">
        <v>67</v>
      </c>
      <c r="Y1584" s="4">
        <v>1</v>
      </c>
      <c r="Z1584" s="4">
        <v>1</v>
      </c>
      <c r="AA1584" s="4">
        <v>2</v>
      </c>
      <c r="AB1584" s="4">
        <v>1</v>
      </c>
      <c r="AC1584" s="4">
        <v>2</v>
      </c>
      <c r="AD1584" s="4">
        <v>0</v>
      </c>
      <c r="AE1584" s="4">
        <v>0</v>
      </c>
      <c r="AF1584" s="4">
        <v>0</v>
      </c>
      <c r="AG1584" s="4">
        <v>0</v>
      </c>
      <c r="AH1584" s="4">
        <v>0</v>
      </c>
      <c r="AI1584" s="4">
        <v>0</v>
      </c>
      <c r="AJ1584" s="4">
        <v>0</v>
      </c>
      <c r="AK1584" s="4">
        <v>0</v>
      </c>
      <c r="AL1584" s="4">
        <v>0</v>
      </c>
      <c r="AM1584" s="4">
        <v>0</v>
      </c>
      <c r="AN1584" s="4">
        <v>0</v>
      </c>
      <c r="AO1584" s="4">
        <v>0</v>
      </c>
      <c r="AP1584" s="4">
        <v>0</v>
      </c>
      <c r="AQ1584" s="4">
        <v>0</v>
      </c>
      <c r="AR1584" s="3" t="s">
        <v>62</v>
      </c>
      <c r="AS1584" s="3" t="s">
        <v>62</v>
      </c>
      <c r="AT1584" s="3" t="s">
        <v>62</v>
      </c>
      <c r="AV1584" s="6" t="str">
        <f>HYPERLINK("http://mcgill.on.worldcat.org/oclc/668401897","Catalog Record")</f>
        <v>Catalog Record</v>
      </c>
      <c r="AW1584" s="6" t="str">
        <f>HYPERLINK("http://www.worldcat.org/oclc/668401897","WorldCat Record")</f>
        <v>WorldCat Record</v>
      </c>
      <c r="AX1584" s="3" t="s">
        <v>15826</v>
      </c>
      <c r="AY1584" s="3" t="s">
        <v>15850</v>
      </c>
      <c r="AZ1584" s="3" t="s">
        <v>15851</v>
      </c>
      <c r="BA1584" s="3" t="s">
        <v>15851</v>
      </c>
      <c r="BB1584" s="3" t="s">
        <v>15858</v>
      </c>
      <c r="BC1584" s="3" t="s">
        <v>102</v>
      </c>
      <c r="BD1584" s="3" t="s">
        <v>68</v>
      </c>
      <c r="BE1584" s="3" t="s">
        <v>15853</v>
      </c>
      <c r="BF1584" s="3" t="s">
        <v>15858</v>
      </c>
      <c r="BG1584" s="3" t="s">
        <v>15859</v>
      </c>
    </row>
    <row r="1585" spans="1:59" ht="87" x14ac:dyDescent="0.35">
      <c r="A1585" s="2" t="s">
        <v>89</v>
      </c>
      <c r="B1585" s="2" t="s">
        <v>15860</v>
      </c>
      <c r="C1585" s="2" t="s">
        <v>15861</v>
      </c>
      <c r="D1585" s="2" t="s">
        <v>15862</v>
      </c>
      <c r="E1585" s="2" t="s">
        <v>15821</v>
      </c>
      <c r="G1585" s="3" t="s">
        <v>62</v>
      </c>
      <c r="I1585" s="3" t="s">
        <v>61</v>
      </c>
      <c r="J1585" s="3" t="s">
        <v>61</v>
      </c>
      <c r="K1585" s="3" t="s">
        <v>63</v>
      </c>
      <c r="M1585" s="2" t="s">
        <v>15863</v>
      </c>
      <c r="N1585" s="3" t="s">
        <v>1455</v>
      </c>
      <c r="O1585" s="2" t="s">
        <v>15864</v>
      </c>
      <c r="P1585" s="3" t="s">
        <v>64</v>
      </c>
      <c r="R1585" s="3" t="s">
        <v>13065</v>
      </c>
      <c r="S1585" s="4">
        <v>332</v>
      </c>
      <c r="T1585" s="4">
        <v>693</v>
      </c>
      <c r="U1585" s="5" t="s">
        <v>15865</v>
      </c>
      <c r="V1585" s="5" t="s">
        <v>15865</v>
      </c>
      <c r="W1585" s="5" t="s">
        <v>67</v>
      </c>
      <c r="X1585" s="5" t="s">
        <v>67</v>
      </c>
      <c r="Y1585" s="4">
        <v>1</v>
      </c>
      <c r="Z1585" s="4">
        <v>1</v>
      </c>
      <c r="AA1585" s="4">
        <v>2</v>
      </c>
      <c r="AB1585" s="4">
        <v>1</v>
      </c>
      <c r="AC1585" s="4">
        <v>2</v>
      </c>
      <c r="AD1585" s="4">
        <v>0</v>
      </c>
      <c r="AE1585" s="4">
        <v>0</v>
      </c>
      <c r="AF1585" s="4">
        <v>0</v>
      </c>
      <c r="AG1585" s="4">
        <v>0</v>
      </c>
      <c r="AH1585" s="4">
        <v>0</v>
      </c>
      <c r="AI1585" s="4">
        <v>0</v>
      </c>
      <c r="AJ1585" s="4">
        <v>0</v>
      </c>
      <c r="AK1585" s="4">
        <v>0</v>
      </c>
      <c r="AL1585" s="4">
        <v>0</v>
      </c>
      <c r="AM1585" s="4">
        <v>0</v>
      </c>
      <c r="AN1585" s="4">
        <v>0</v>
      </c>
      <c r="AO1585" s="4">
        <v>0</v>
      </c>
      <c r="AP1585" s="4">
        <v>0</v>
      </c>
      <c r="AQ1585" s="4">
        <v>0</v>
      </c>
      <c r="AR1585" s="3" t="s">
        <v>62</v>
      </c>
      <c r="AS1585" s="3" t="s">
        <v>62</v>
      </c>
      <c r="AT1585" s="3" t="s">
        <v>62</v>
      </c>
      <c r="AV1585" s="6" t="str">
        <f>HYPERLINK("http://mcgill.on.worldcat.org/oclc/920573584","Catalog Record")</f>
        <v>Catalog Record</v>
      </c>
      <c r="AW1585" s="6" t="str">
        <f>HYPERLINK("http://www.worldcat.org/oclc/920573584","WorldCat Record")</f>
        <v>WorldCat Record</v>
      </c>
      <c r="AX1585" s="3" t="s">
        <v>15826</v>
      </c>
      <c r="AY1585" s="3" t="s">
        <v>15866</v>
      </c>
      <c r="AZ1585" s="3" t="s">
        <v>15867</v>
      </c>
      <c r="BA1585" s="3" t="s">
        <v>15867</v>
      </c>
      <c r="BB1585" s="3" t="s">
        <v>15868</v>
      </c>
      <c r="BC1585" s="3" t="s">
        <v>102</v>
      </c>
      <c r="BD1585" s="3" t="s">
        <v>68</v>
      </c>
      <c r="BE1585" s="3" t="s">
        <v>15869</v>
      </c>
      <c r="BF1585" s="3" t="s">
        <v>15868</v>
      </c>
      <c r="BG1585" s="3" t="s">
        <v>15870</v>
      </c>
    </row>
    <row r="1586" spans="1:59" ht="87" x14ac:dyDescent="0.35">
      <c r="A1586" s="2" t="s">
        <v>89</v>
      </c>
      <c r="B1586" s="2" t="s">
        <v>15860</v>
      </c>
      <c r="C1586" s="2" t="s">
        <v>15861</v>
      </c>
      <c r="D1586" s="2" t="s">
        <v>15862</v>
      </c>
      <c r="E1586" s="2" t="s">
        <v>15821</v>
      </c>
      <c r="G1586" s="3" t="s">
        <v>62</v>
      </c>
      <c r="I1586" s="3" t="s">
        <v>61</v>
      </c>
      <c r="J1586" s="3" t="s">
        <v>61</v>
      </c>
      <c r="K1586" s="3" t="s">
        <v>63</v>
      </c>
      <c r="M1586" s="2" t="s">
        <v>15863</v>
      </c>
      <c r="N1586" s="3" t="s">
        <v>1455</v>
      </c>
      <c r="O1586" s="2" t="s">
        <v>15864</v>
      </c>
      <c r="P1586" s="3" t="s">
        <v>64</v>
      </c>
      <c r="R1586" s="3" t="s">
        <v>13065</v>
      </c>
      <c r="S1586" s="4">
        <v>361</v>
      </c>
      <c r="T1586" s="4">
        <v>693</v>
      </c>
      <c r="U1586" s="5" t="s">
        <v>15871</v>
      </c>
      <c r="V1586" s="5" t="s">
        <v>15865</v>
      </c>
      <c r="W1586" s="5" t="s">
        <v>67</v>
      </c>
      <c r="X1586" s="5" t="s">
        <v>67</v>
      </c>
      <c r="Y1586" s="4">
        <v>1</v>
      </c>
      <c r="Z1586" s="4">
        <v>1</v>
      </c>
      <c r="AA1586" s="4">
        <v>2</v>
      </c>
      <c r="AB1586" s="4">
        <v>1</v>
      </c>
      <c r="AC1586" s="4">
        <v>2</v>
      </c>
      <c r="AD1586" s="4">
        <v>0</v>
      </c>
      <c r="AE1586" s="4">
        <v>0</v>
      </c>
      <c r="AF1586" s="4">
        <v>0</v>
      </c>
      <c r="AG1586" s="4">
        <v>0</v>
      </c>
      <c r="AH1586" s="4">
        <v>0</v>
      </c>
      <c r="AI1586" s="4">
        <v>0</v>
      </c>
      <c r="AJ1586" s="4">
        <v>0</v>
      </c>
      <c r="AK1586" s="4">
        <v>0</v>
      </c>
      <c r="AL1586" s="4">
        <v>0</v>
      </c>
      <c r="AM1586" s="4">
        <v>0</v>
      </c>
      <c r="AN1586" s="4">
        <v>0</v>
      </c>
      <c r="AO1586" s="4">
        <v>0</v>
      </c>
      <c r="AP1586" s="4">
        <v>0</v>
      </c>
      <c r="AQ1586" s="4">
        <v>0</v>
      </c>
      <c r="AR1586" s="3" t="s">
        <v>62</v>
      </c>
      <c r="AS1586" s="3" t="s">
        <v>62</v>
      </c>
      <c r="AT1586" s="3" t="s">
        <v>62</v>
      </c>
      <c r="AV1586" s="6" t="str">
        <f>HYPERLINK("http://mcgill.on.worldcat.org/oclc/920573584","Catalog Record")</f>
        <v>Catalog Record</v>
      </c>
      <c r="AW1586" s="6" t="str">
        <f>HYPERLINK("http://www.worldcat.org/oclc/920573584","WorldCat Record")</f>
        <v>WorldCat Record</v>
      </c>
      <c r="AX1586" s="3" t="s">
        <v>15826</v>
      </c>
      <c r="AY1586" s="3" t="s">
        <v>15866</v>
      </c>
      <c r="AZ1586" s="3" t="s">
        <v>15867</v>
      </c>
      <c r="BA1586" s="3" t="s">
        <v>15867</v>
      </c>
      <c r="BB1586" s="3" t="s">
        <v>15872</v>
      </c>
      <c r="BC1586" s="3" t="s">
        <v>102</v>
      </c>
      <c r="BD1586" s="3" t="s">
        <v>68</v>
      </c>
      <c r="BE1586" s="3" t="s">
        <v>15869</v>
      </c>
      <c r="BF1586" s="3" t="s">
        <v>15872</v>
      </c>
      <c r="BG1586" s="3" t="s">
        <v>15873</v>
      </c>
    </row>
    <row r="1587" spans="1:59" ht="116" x14ac:dyDescent="0.35">
      <c r="A1587" s="2" t="s">
        <v>89</v>
      </c>
      <c r="B1587" s="2" t="s">
        <v>90</v>
      </c>
      <c r="C1587" s="2" t="s">
        <v>15874</v>
      </c>
      <c r="D1587" s="2" t="s">
        <v>15875</v>
      </c>
      <c r="E1587" s="2" t="s">
        <v>15876</v>
      </c>
      <c r="G1587" s="3" t="s">
        <v>62</v>
      </c>
      <c r="I1587" s="3" t="s">
        <v>62</v>
      </c>
      <c r="J1587" s="3" t="s">
        <v>61</v>
      </c>
      <c r="K1587" s="3" t="s">
        <v>63</v>
      </c>
      <c r="L1587" s="2" t="s">
        <v>15877</v>
      </c>
      <c r="M1587" s="2" t="s">
        <v>15878</v>
      </c>
      <c r="N1587" s="3" t="s">
        <v>2136</v>
      </c>
      <c r="O1587" s="2" t="s">
        <v>15879</v>
      </c>
      <c r="P1587" s="3" t="s">
        <v>64</v>
      </c>
      <c r="R1587" s="3" t="s">
        <v>13065</v>
      </c>
      <c r="S1587" s="4">
        <v>44</v>
      </c>
      <c r="T1587" s="4">
        <v>44</v>
      </c>
      <c r="U1587" s="5" t="s">
        <v>2175</v>
      </c>
      <c r="V1587" s="5" t="s">
        <v>2175</v>
      </c>
      <c r="W1587" s="5" t="s">
        <v>67</v>
      </c>
      <c r="X1587" s="5" t="s">
        <v>67</v>
      </c>
      <c r="Y1587" s="4">
        <v>70</v>
      </c>
      <c r="Z1587" s="4">
        <v>3</v>
      </c>
      <c r="AA1587" s="4">
        <v>29</v>
      </c>
      <c r="AB1587" s="4">
        <v>1</v>
      </c>
      <c r="AC1587" s="4">
        <v>3</v>
      </c>
      <c r="AD1587" s="4">
        <v>9</v>
      </c>
      <c r="AE1587" s="4">
        <v>43</v>
      </c>
      <c r="AF1587" s="4">
        <v>0</v>
      </c>
      <c r="AG1587" s="4">
        <v>0</v>
      </c>
      <c r="AH1587" s="4">
        <v>9</v>
      </c>
      <c r="AI1587" s="4">
        <v>36</v>
      </c>
      <c r="AJ1587" s="4">
        <v>0</v>
      </c>
      <c r="AK1587" s="4">
        <v>5</v>
      </c>
      <c r="AL1587" s="4">
        <v>4</v>
      </c>
      <c r="AM1587" s="4">
        <v>17</v>
      </c>
      <c r="AN1587" s="4">
        <v>0</v>
      </c>
      <c r="AO1587" s="4">
        <v>0</v>
      </c>
      <c r="AP1587" s="4">
        <v>0</v>
      </c>
      <c r="AQ1587" s="4">
        <v>9</v>
      </c>
      <c r="AR1587" s="3" t="s">
        <v>62</v>
      </c>
      <c r="AS1587" s="3" t="s">
        <v>62</v>
      </c>
      <c r="AT1587" s="3" t="s">
        <v>62</v>
      </c>
      <c r="AV1587" s="6" t="str">
        <f>HYPERLINK("http://mcgill.on.worldcat.org/oclc/54897134","Catalog Record")</f>
        <v>Catalog Record</v>
      </c>
      <c r="AW1587" s="6" t="str">
        <f>HYPERLINK("http://www.worldcat.org/oclc/54897134","WorldCat Record")</f>
        <v>WorldCat Record</v>
      </c>
      <c r="AX1587" s="3" t="s">
        <v>15880</v>
      </c>
      <c r="AY1587" s="3" t="s">
        <v>15881</v>
      </c>
      <c r="AZ1587" s="3" t="s">
        <v>15882</v>
      </c>
      <c r="BA1587" s="3" t="s">
        <v>15882</v>
      </c>
      <c r="BB1587" s="3" t="s">
        <v>15883</v>
      </c>
      <c r="BC1587" s="3" t="s">
        <v>102</v>
      </c>
      <c r="BD1587" s="3" t="s">
        <v>68</v>
      </c>
      <c r="BE1587" s="3" t="s">
        <v>15884</v>
      </c>
      <c r="BF1587" s="3" t="s">
        <v>15883</v>
      </c>
      <c r="BG1587" s="3" t="s">
        <v>15885</v>
      </c>
    </row>
    <row r="1588" spans="1:59" ht="101.5" x14ac:dyDescent="0.35">
      <c r="A1588" s="2" t="s">
        <v>89</v>
      </c>
      <c r="B1588" s="2" t="s">
        <v>12301</v>
      </c>
      <c r="C1588" s="2" t="s">
        <v>15886</v>
      </c>
      <c r="D1588" s="2" t="s">
        <v>15887</v>
      </c>
      <c r="E1588" s="2" t="s">
        <v>15888</v>
      </c>
      <c r="G1588" s="3" t="s">
        <v>62</v>
      </c>
      <c r="I1588" s="3" t="s">
        <v>61</v>
      </c>
      <c r="J1588" s="3" t="s">
        <v>62</v>
      </c>
      <c r="K1588" s="3" t="s">
        <v>63</v>
      </c>
      <c r="L1588" s="2" t="s">
        <v>15889</v>
      </c>
      <c r="M1588" s="2" t="s">
        <v>15890</v>
      </c>
      <c r="N1588" s="3" t="s">
        <v>698</v>
      </c>
      <c r="P1588" s="3" t="s">
        <v>64</v>
      </c>
      <c r="R1588" s="3" t="s">
        <v>13065</v>
      </c>
      <c r="S1588" s="4">
        <v>31</v>
      </c>
      <c r="T1588" s="4">
        <v>35</v>
      </c>
      <c r="U1588" s="5" t="s">
        <v>9908</v>
      </c>
      <c r="V1588" s="5" t="s">
        <v>15891</v>
      </c>
      <c r="W1588" s="5" t="s">
        <v>67</v>
      </c>
      <c r="X1588" s="5" t="s">
        <v>67</v>
      </c>
      <c r="Y1588" s="4">
        <v>6</v>
      </c>
      <c r="Z1588" s="4">
        <v>1</v>
      </c>
      <c r="AA1588" s="4">
        <v>1</v>
      </c>
      <c r="AB1588" s="4">
        <v>1</v>
      </c>
      <c r="AC1588" s="4">
        <v>1</v>
      </c>
      <c r="AD1588" s="4">
        <v>1</v>
      </c>
      <c r="AE1588" s="4">
        <v>1</v>
      </c>
      <c r="AF1588" s="4">
        <v>0</v>
      </c>
      <c r="AG1588" s="4">
        <v>0</v>
      </c>
      <c r="AH1588" s="4">
        <v>1</v>
      </c>
      <c r="AI1588" s="4">
        <v>1</v>
      </c>
      <c r="AJ1588" s="4">
        <v>0</v>
      </c>
      <c r="AK1588" s="4">
        <v>0</v>
      </c>
      <c r="AL1588" s="4">
        <v>1</v>
      </c>
      <c r="AM1588" s="4">
        <v>1</v>
      </c>
      <c r="AN1588" s="4">
        <v>0</v>
      </c>
      <c r="AO1588" s="4">
        <v>0</v>
      </c>
      <c r="AP1588" s="4">
        <v>0</v>
      </c>
      <c r="AQ1588" s="4">
        <v>0</v>
      </c>
      <c r="AR1588" s="3" t="s">
        <v>62</v>
      </c>
      <c r="AS1588" s="3" t="s">
        <v>62</v>
      </c>
      <c r="AT1588" s="3" t="s">
        <v>62</v>
      </c>
      <c r="AV1588" s="6" t="str">
        <f>HYPERLINK("http://mcgill.on.worldcat.org/oclc/754168106","Catalog Record")</f>
        <v>Catalog Record</v>
      </c>
      <c r="AW1588" s="6" t="str">
        <f>HYPERLINK("http://www.worldcat.org/oclc/754168106","WorldCat Record")</f>
        <v>WorldCat Record</v>
      </c>
      <c r="AX1588" s="3" t="s">
        <v>15892</v>
      </c>
      <c r="AY1588" s="3" t="s">
        <v>15893</v>
      </c>
      <c r="AZ1588" s="3" t="s">
        <v>15894</v>
      </c>
      <c r="BA1588" s="3" t="s">
        <v>15894</v>
      </c>
      <c r="BB1588" s="3" t="s">
        <v>15895</v>
      </c>
      <c r="BC1588" s="3" t="s">
        <v>102</v>
      </c>
      <c r="BD1588" s="3" t="s">
        <v>68</v>
      </c>
      <c r="BE1588" s="3" t="s">
        <v>15896</v>
      </c>
      <c r="BF1588" s="3" t="s">
        <v>15895</v>
      </c>
      <c r="BG1588" s="3" t="s">
        <v>15897</v>
      </c>
    </row>
    <row r="1589" spans="1:59" ht="101.5" x14ac:dyDescent="0.35">
      <c r="A1589" s="2" t="s">
        <v>89</v>
      </c>
      <c r="B1589" s="2" t="s">
        <v>12301</v>
      </c>
      <c r="C1589" s="2" t="s">
        <v>15886</v>
      </c>
      <c r="D1589" s="2" t="s">
        <v>15887</v>
      </c>
      <c r="E1589" s="2" t="s">
        <v>15888</v>
      </c>
      <c r="G1589" s="3" t="s">
        <v>62</v>
      </c>
      <c r="I1589" s="3" t="s">
        <v>61</v>
      </c>
      <c r="J1589" s="3" t="s">
        <v>62</v>
      </c>
      <c r="K1589" s="3" t="s">
        <v>63</v>
      </c>
      <c r="L1589" s="2" t="s">
        <v>15889</v>
      </c>
      <c r="M1589" s="2" t="s">
        <v>15890</v>
      </c>
      <c r="N1589" s="3" t="s">
        <v>698</v>
      </c>
      <c r="P1589" s="3" t="s">
        <v>64</v>
      </c>
      <c r="R1589" s="3" t="s">
        <v>13065</v>
      </c>
      <c r="S1589" s="4">
        <v>4</v>
      </c>
      <c r="T1589" s="4">
        <v>35</v>
      </c>
      <c r="U1589" s="5" t="s">
        <v>15891</v>
      </c>
      <c r="V1589" s="5" t="s">
        <v>15891</v>
      </c>
      <c r="W1589" s="5" t="s">
        <v>67</v>
      </c>
      <c r="X1589" s="5" t="s">
        <v>67</v>
      </c>
      <c r="Y1589" s="4">
        <v>6</v>
      </c>
      <c r="Z1589" s="4">
        <v>1</v>
      </c>
      <c r="AA1589" s="4">
        <v>1</v>
      </c>
      <c r="AB1589" s="4">
        <v>1</v>
      </c>
      <c r="AC1589" s="4">
        <v>1</v>
      </c>
      <c r="AD1589" s="4">
        <v>1</v>
      </c>
      <c r="AE1589" s="4">
        <v>1</v>
      </c>
      <c r="AF1589" s="4">
        <v>0</v>
      </c>
      <c r="AG1589" s="4">
        <v>0</v>
      </c>
      <c r="AH1589" s="4">
        <v>1</v>
      </c>
      <c r="AI1589" s="4">
        <v>1</v>
      </c>
      <c r="AJ1589" s="4">
        <v>0</v>
      </c>
      <c r="AK1589" s="4">
        <v>0</v>
      </c>
      <c r="AL1589" s="4">
        <v>1</v>
      </c>
      <c r="AM1589" s="4">
        <v>1</v>
      </c>
      <c r="AN1589" s="4">
        <v>0</v>
      </c>
      <c r="AO1589" s="4">
        <v>0</v>
      </c>
      <c r="AP1589" s="4">
        <v>0</v>
      </c>
      <c r="AQ1589" s="4">
        <v>0</v>
      </c>
      <c r="AR1589" s="3" t="s">
        <v>62</v>
      </c>
      <c r="AS1589" s="3" t="s">
        <v>62</v>
      </c>
      <c r="AT1589" s="3" t="s">
        <v>62</v>
      </c>
      <c r="AV1589" s="6" t="str">
        <f>HYPERLINK("http://mcgill.on.worldcat.org/oclc/754168106","Catalog Record")</f>
        <v>Catalog Record</v>
      </c>
      <c r="AW1589" s="6" t="str">
        <f>HYPERLINK("http://www.worldcat.org/oclc/754168106","WorldCat Record")</f>
        <v>WorldCat Record</v>
      </c>
      <c r="AX1589" s="3" t="s">
        <v>15892</v>
      </c>
      <c r="AY1589" s="3" t="s">
        <v>15893</v>
      </c>
      <c r="AZ1589" s="3" t="s">
        <v>15894</v>
      </c>
      <c r="BA1589" s="3" t="s">
        <v>15894</v>
      </c>
      <c r="BB1589" s="3" t="s">
        <v>15898</v>
      </c>
      <c r="BC1589" s="3" t="s">
        <v>102</v>
      </c>
      <c r="BD1589" s="3" t="s">
        <v>68</v>
      </c>
      <c r="BE1589" s="3" t="s">
        <v>15896</v>
      </c>
      <c r="BF1589" s="3" t="s">
        <v>15898</v>
      </c>
      <c r="BG1589" s="3" t="s">
        <v>15899</v>
      </c>
    </row>
    <row r="1590" spans="1:59" ht="116" x14ac:dyDescent="0.35">
      <c r="A1590" s="2" t="s">
        <v>89</v>
      </c>
      <c r="B1590" s="2" t="s">
        <v>90</v>
      </c>
      <c r="C1590" s="2" t="s">
        <v>15900</v>
      </c>
      <c r="D1590" s="2" t="s">
        <v>15901</v>
      </c>
      <c r="E1590" s="2" t="s">
        <v>15902</v>
      </c>
      <c r="G1590" s="3" t="s">
        <v>62</v>
      </c>
      <c r="I1590" s="3" t="s">
        <v>61</v>
      </c>
      <c r="J1590" s="3" t="s">
        <v>61</v>
      </c>
      <c r="K1590" s="3" t="s">
        <v>63</v>
      </c>
      <c r="L1590" s="2" t="s">
        <v>15889</v>
      </c>
      <c r="M1590" s="2" t="s">
        <v>15903</v>
      </c>
      <c r="N1590" s="3" t="s">
        <v>2136</v>
      </c>
      <c r="O1590" s="2" t="s">
        <v>15904</v>
      </c>
      <c r="P1590" s="3" t="s">
        <v>64</v>
      </c>
      <c r="R1590" s="3" t="s">
        <v>13065</v>
      </c>
      <c r="S1590" s="4">
        <v>139</v>
      </c>
      <c r="T1590" s="4">
        <v>277</v>
      </c>
      <c r="U1590" s="5" t="s">
        <v>15905</v>
      </c>
      <c r="V1590" s="5" t="s">
        <v>15906</v>
      </c>
      <c r="W1590" s="5" t="s">
        <v>67</v>
      </c>
      <c r="X1590" s="5" t="s">
        <v>67</v>
      </c>
      <c r="Y1590" s="4">
        <v>41</v>
      </c>
      <c r="Z1590" s="4">
        <v>4</v>
      </c>
      <c r="AA1590" s="4">
        <v>15</v>
      </c>
      <c r="AB1590" s="4">
        <v>1</v>
      </c>
      <c r="AC1590" s="4">
        <v>3</v>
      </c>
      <c r="AD1590" s="4">
        <v>4</v>
      </c>
      <c r="AE1590" s="4">
        <v>33</v>
      </c>
      <c r="AF1590" s="4">
        <v>0</v>
      </c>
      <c r="AG1590" s="4">
        <v>1</v>
      </c>
      <c r="AH1590" s="4">
        <v>4</v>
      </c>
      <c r="AI1590" s="4">
        <v>28</v>
      </c>
      <c r="AJ1590" s="4">
        <v>1</v>
      </c>
      <c r="AK1590" s="4">
        <v>8</v>
      </c>
      <c r="AL1590" s="4">
        <v>1</v>
      </c>
      <c r="AM1590" s="4">
        <v>13</v>
      </c>
      <c r="AN1590" s="4">
        <v>0</v>
      </c>
      <c r="AO1590" s="4">
        <v>0</v>
      </c>
      <c r="AP1590" s="4">
        <v>1</v>
      </c>
      <c r="AQ1590" s="4">
        <v>11</v>
      </c>
      <c r="AR1590" s="3" t="s">
        <v>62</v>
      </c>
      <c r="AS1590" s="3" t="s">
        <v>62</v>
      </c>
      <c r="AT1590" s="3" t="s">
        <v>62</v>
      </c>
      <c r="AV1590" s="6" t="str">
        <f>HYPERLINK("http://mcgill.on.worldcat.org/oclc/54543567","Catalog Record")</f>
        <v>Catalog Record</v>
      </c>
      <c r="AW1590" s="6" t="str">
        <f>HYPERLINK("http://www.worldcat.org/oclc/54543567","WorldCat Record")</f>
        <v>WorldCat Record</v>
      </c>
      <c r="AX1590" s="3" t="s">
        <v>15907</v>
      </c>
      <c r="AY1590" s="3" t="s">
        <v>15908</v>
      </c>
      <c r="AZ1590" s="3" t="s">
        <v>15909</v>
      </c>
      <c r="BA1590" s="3" t="s">
        <v>15909</v>
      </c>
      <c r="BB1590" s="3" t="s">
        <v>15910</v>
      </c>
      <c r="BC1590" s="3" t="s">
        <v>102</v>
      </c>
      <c r="BD1590" s="3" t="s">
        <v>68</v>
      </c>
      <c r="BE1590" s="3" t="s">
        <v>15911</v>
      </c>
      <c r="BF1590" s="3" t="s">
        <v>15910</v>
      </c>
      <c r="BG1590" s="3" t="s">
        <v>15912</v>
      </c>
    </row>
    <row r="1591" spans="1:59" ht="116" x14ac:dyDescent="0.35">
      <c r="A1591" s="2" t="s">
        <v>89</v>
      </c>
      <c r="B1591" s="2" t="s">
        <v>12301</v>
      </c>
      <c r="C1591" s="2" t="s">
        <v>15913</v>
      </c>
      <c r="D1591" s="2" t="s">
        <v>15914</v>
      </c>
      <c r="E1591" s="2" t="s">
        <v>15902</v>
      </c>
      <c r="G1591" s="3" t="s">
        <v>62</v>
      </c>
      <c r="I1591" s="3" t="s">
        <v>61</v>
      </c>
      <c r="J1591" s="3" t="s">
        <v>61</v>
      </c>
      <c r="K1591" s="3" t="s">
        <v>63</v>
      </c>
      <c r="L1591" s="2" t="s">
        <v>15889</v>
      </c>
      <c r="M1591" s="2" t="s">
        <v>15915</v>
      </c>
      <c r="N1591" s="3" t="s">
        <v>698</v>
      </c>
      <c r="O1591" s="2" t="s">
        <v>15916</v>
      </c>
      <c r="P1591" s="3" t="s">
        <v>64</v>
      </c>
      <c r="R1591" s="3" t="s">
        <v>13065</v>
      </c>
      <c r="S1591" s="4">
        <v>13</v>
      </c>
      <c r="T1591" s="4">
        <v>66</v>
      </c>
      <c r="U1591" s="5" t="s">
        <v>15917</v>
      </c>
      <c r="V1591" s="5" t="s">
        <v>15917</v>
      </c>
      <c r="W1591" s="5" t="s">
        <v>67</v>
      </c>
      <c r="X1591" s="5" t="s">
        <v>67</v>
      </c>
      <c r="Y1591" s="4">
        <v>40</v>
      </c>
      <c r="Z1591" s="4">
        <v>3</v>
      </c>
      <c r="AA1591" s="4">
        <v>15</v>
      </c>
      <c r="AB1591" s="4">
        <v>1</v>
      </c>
      <c r="AC1591" s="4">
        <v>3</v>
      </c>
      <c r="AD1591" s="4">
        <v>7</v>
      </c>
      <c r="AE1591" s="4">
        <v>33</v>
      </c>
      <c r="AF1591" s="4">
        <v>0</v>
      </c>
      <c r="AG1591" s="4">
        <v>1</v>
      </c>
      <c r="AH1591" s="4">
        <v>7</v>
      </c>
      <c r="AI1591" s="4">
        <v>28</v>
      </c>
      <c r="AJ1591" s="4">
        <v>1</v>
      </c>
      <c r="AK1591" s="4">
        <v>8</v>
      </c>
      <c r="AL1591" s="4">
        <v>2</v>
      </c>
      <c r="AM1591" s="4">
        <v>13</v>
      </c>
      <c r="AN1591" s="4">
        <v>0</v>
      </c>
      <c r="AO1591" s="4">
        <v>0</v>
      </c>
      <c r="AP1591" s="4">
        <v>2</v>
      </c>
      <c r="AQ1591" s="4">
        <v>11</v>
      </c>
      <c r="AR1591" s="3" t="s">
        <v>62</v>
      </c>
      <c r="AS1591" s="3" t="s">
        <v>62</v>
      </c>
      <c r="AT1591" s="3" t="s">
        <v>62</v>
      </c>
      <c r="AV1591" s="6" t="str">
        <f>HYPERLINK("http://mcgill.on.worldcat.org/oclc/655302068","Catalog Record")</f>
        <v>Catalog Record</v>
      </c>
      <c r="AW1591" s="6" t="str">
        <f>HYPERLINK("http://www.worldcat.org/oclc/655302068","WorldCat Record")</f>
        <v>WorldCat Record</v>
      </c>
      <c r="AX1591" s="3" t="s">
        <v>15907</v>
      </c>
      <c r="AY1591" s="3" t="s">
        <v>15918</v>
      </c>
      <c r="AZ1591" s="3" t="s">
        <v>15919</v>
      </c>
      <c r="BA1591" s="3" t="s">
        <v>15919</v>
      </c>
      <c r="BB1591" s="3" t="s">
        <v>15920</v>
      </c>
      <c r="BC1591" s="3" t="s">
        <v>102</v>
      </c>
      <c r="BD1591" s="3" t="s">
        <v>68</v>
      </c>
      <c r="BE1591" s="3" t="s">
        <v>15921</v>
      </c>
      <c r="BF1591" s="3" t="s">
        <v>15920</v>
      </c>
      <c r="BG1591" s="3" t="s">
        <v>15922</v>
      </c>
    </row>
    <row r="1592" spans="1:59" ht="116" x14ac:dyDescent="0.35">
      <c r="A1592" s="2" t="s">
        <v>89</v>
      </c>
      <c r="B1592" s="2" t="s">
        <v>12301</v>
      </c>
      <c r="C1592" s="2" t="s">
        <v>15913</v>
      </c>
      <c r="D1592" s="2" t="s">
        <v>15914</v>
      </c>
      <c r="E1592" s="2" t="s">
        <v>15902</v>
      </c>
      <c r="G1592" s="3" t="s">
        <v>62</v>
      </c>
      <c r="I1592" s="3" t="s">
        <v>61</v>
      </c>
      <c r="J1592" s="3" t="s">
        <v>61</v>
      </c>
      <c r="K1592" s="3" t="s">
        <v>63</v>
      </c>
      <c r="L1592" s="2" t="s">
        <v>15889</v>
      </c>
      <c r="M1592" s="2" t="s">
        <v>15915</v>
      </c>
      <c r="N1592" s="3" t="s">
        <v>698</v>
      </c>
      <c r="O1592" s="2" t="s">
        <v>15916</v>
      </c>
      <c r="P1592" s="3" t="s">
        <v>64</v>
      </c>
      <c r="R1592" s="3" t="s">
        <v>13065</v>
      </c>
      <c r="S1592" s="4">
        <v>16</v>
      </c>
      <c r="T1592" s="4">
        <v>66</v>
      </c>
      <c r="U1592" s="5" t="s">
        <v>12308</v>
      </c>
      <c r="V1592" s="5" t="s">
        <v>15917</v>
      </c>
      <c r="W1592" s="5" t="s">
        <v>67</v>
      </c>
      <c r="X1592" s="5" t="s">
        <v>67</v>
      </c>
      <c r="Y1592" s="4">
        <v>40</v>
      </c>
      <c r="Z1592" s="4">
        <v>3</v>
      </c>
      <c r="AA1592" s="4">
        <v>15</v>
      </c>
      <c r="AB1592" s="4">
        <v>1</v>
      </c>
      <c r="AC1592" s="4">
        <v>3</v>
      </c>
      <c r="AD1592" s="4">
        <v>7</v>
      </c>
      <c r="AE1592" s="4">
        <v>33</v>
      </c>
      <c r="AF1592" s="4">
        <v>0</v>
      </c>
      <c r="AG1592" s="4">
        <v>1</v>
      </c>
      <c r="AH1592" s="4">
        <v>7</v>
      </c>
      <c r="AI1592" s="4">
        <v>28</v>
      </c>
      <c r="AJ1592" s="4">
        <v>1</v>
      </c>
      <c r="AK1592" s="4">
        <v>8</v>
      </c>
      <c r="AL1592" s="4">
        <v>2</v>
      </c>
      <c r="AM1592" s="4">
        <v>13</v>
      </c>
      <c r="AN1592" s="4">
        <v>0</v>
      </c>
      <c r="AO1592" s="4">
        <v>0</v>
      </c>
      <c r="AP1592" s="4">
        <v>2</v>
      </c>
      <c r="AQ1592" s="4">
        <v>11</v>
      </c>
      <c r="AR1592" s="3" t="s">
        <v>62</v>
      </c>
      <c r="AS1592" s="3" t="s">
        <v>62</v>
      </c>
      <c r="AT1592" s="3" t="s">
        <v>62</v>
      </c>
      <c r="AV1592" s="6" t="str">
        <f>HYPERLINK("http://mcgill.on.worldcat.org/oclc/655302068","Catalog Record")</f>
        <v>Catalog Record</v>
      </c>
      <c r="AW1592" s="6" t="str">
        <f>HYPERLINK("http://www.worldcat.org/oclc/655302068","WorldCat Record")</f>
        <v>WorldCat Record</v>
      </c>
      <c r="AX1592" s="3" t="s">
        <v>15907</v>
      </c>
      <c r="AY1592" s="3" t="s">
        <v>15918</v>
      </c>
      <c r="AZ1592" s="3" t="s">
        <v>15919</v>
      </c>
      <c r="BA1592" s="3" t="s">
        <v>15919</v>
      </c>
      <c r="BB1592" s="3" t="s">
        <v>15923</v>
      </c>
      <c r="BC1592" s="3" t="s">
        <v>102</v>
      </c>
      <c r="BD1592" s="3" t="s">
        <v>68</v>
      </c>
      <c r="BE1592" s="3" t="s">
        <v>15921</v>
      </c>
      <c r="BF1592" s="3" t="s">
        <v>15923</v>
      </c>
      <c r="BG1592" s="3" t="s">
        <v>15924</v>
      </c>
    </row>
    <row r="1593" spans="1:59" ht="116" x14ac:dyDescent="0.35">
      <c r="A1593" s="2" t="s">
        <v>89</v>
      </c>
      <c r="B1593" s="2" t="s">
        <v>12301</v>
      </c>
      <c r="C1593" s="2" t="s">
        <v>15913</v>
      </c>
      <c r="D1593" s="2" t="s">
        <v>15914</v>
      </c>
      <c r="E1593" s="2" t="s">
        <v>15902</v>
      </c>
      <c r="G1593" s="3" t="s">
        <v>62</v>
      </c>
      <c r="I1593" s="3" t="s">
        <v>61</v>
      </c>
      <c r="J1593" s="3" t="s">
        <v>61</v>
      </c>
      <c r="K1593" s="3" t="s">
        <v>63</v>
      </c>
      <c r="L1593" s="2" t="s">
        <v>15889</v>
      </c>
      <c r="M1593" s="2" t="s">
        <v>15915</v>
      </c>
      <c r="N1593" s="3" t="s">
        <v>698</v>
      </c>
      <c r="O1593" s="2" t="s">
        <v>15916</v>
      </c>
      <c r="P1593" s="3" t="s">
        <v>64</v>
      </c>
      <c r="R1593" s="3" t="s">
        <v>13065</v>
      </c>
      <c r="S1593" s="4">
        <v>20</v>
      </c>
      <c r="T1593" s="4">
        <v>66</v>
      </c>
      <c r="U1593" s="5" t="s">
        <v>1469</v>
      </c>
      <c r="V1593" s="5" t="s">
        <v>15917</v>
      </c>
      <c r="W1593" s="5" t="s">
        <v>67</v>
      </c>
      <c r="X1593" s="5" t="s">
        <v>67</v>
      </c>
      <c r="Y1593" s="4">
        <v>40</v>
      </c>
      <c r="Z1593" s="4">
        <v>3</v>
      </c>
      <c r="AA1593" s="4">
        <v>15</v>
      </c>
      <c r="AB1593" s="4">
        <v>1</v>
      </c>
      <c r="AC1593" s="4">
        <v>3</v>
      </c>
      <c r="AD1593" s="4">
        <v>7</v>
      </c>
      <c r="AE1593" s="4">
        <v>33</v>
      </c>
      <c r="AF1593" s="4">
        <v>0</v>
      </c>
      <c r="AG1593" s="4">
        <v>1</v>
      </c>
      <c r="AH1593" s="4">
        <v>7</v>
      </c>
      <c r="AI1593" s="4">
        <v>28</v>
      </c>
      <c r="AJ1593" s="4">
        <v>1</v>
      </c>
      <c r="AK1593" s="4">
        <v>8</v>
      </c>
      <c r="AL1593" s="4">
        <v>2</v>
      </c>
      <c r="AM1593" s="4">
        <v>13</v>
      </c>
      <c r="AN1593" s="4">
        <v>0</v>
      </c>
      <c r="AO1593" s="4">
        <v>0</v>
      </c>
      <c r="AP1593" s="4">
        <v>2</v>
      </c>
      <c r="AQ1593" s="4">
        <v>11</v>
      </c>
      <c r="AR1593" s="3" t="s">
        <v>62</v>
      </c>
      <c r="AS1593" s="3" t="s">
        <v>62</v>
      </c>
      <c r="AT1593" s="3" t="s">
        <v>62</v>
      </c>
      <c r="AV1593" s="6" t="str">
        <f>HYPERLINK("http://mcgill.on.worldcat.org/oclc/655302068","Catalog Record")</f>
        <v>Catalog Record</v>
      </c>
      <c r="AW1593" s="6" t="str">
        <f>HYPERLINK("http://www.worldcat.org/oclc/655302068","WorldCat Record")</f>
        <v>WorldCat Record</v>
      </c>
      <c r="AX1593" s="3" t="s">
        <v>15907</v>
      </c>
      <c r="AY1593" s="3" t="s">
        <v>15918</v>
      </c>
      <c r="AZ1593" s="3" t="s">
        <v>15919</v>
      </c>
      <c r="BA1593" s="3" t="s">
        <v>15919</v>
      </c>
      <c r="BB1593" s="3" t="s">
        <v>15925</v>
      </c>
      <c r="BC1593" s="3" t="s">
        <v>102</v>
      </c>
      <c r="BD1593" s="3" t="s">
        <v>68</v>
      </c>
      <c r="BE1593" s="3" t="s">
        <v>15921</v>
      </c>
      <c r="BF1593" s="3" t="s">
        <v>15925</v>
      </c>
      <c r="BG1593" s="3" t="s">
        <v>15926</v>
      </c>
    </row>
    <row r="1594" spans="1:59" ht="116" x14ac:dyDescent="0.35">
      <c r="A1594" s="2" t="s">
        <v>89</v>
      </c>
      <c r="B1594" s="2" t="s">
        <v>12301</v>
      </c>
      <c r="C1594" s="2" t="s">
        <v>15913</v>
      </c>
      <c r="D1594" s="2" t="s">
        <v>15914</v>
      </c>
      <c r="E1594" s="2" t="s">
        <v>15902</v>
      </c>
      <c r="G1594" s="3" t="s">
        <v>62</v>
      </c>
      <c r="I1594" s="3" t="s">
        <v>61</v>
      </c>
      <c r="J1594" s="3" t="s">
        <v>61</v>
      </c>
      <c r="K1594" s="3" t="s">
        <v>63</v>
      </c>
      <c r="L1594" s="2" t="s">
        <v>15889</v>
      </c>
      <c r="M1594" s="2" t="s">
        <v>15915</v>
      </c>
      <c r="N1594" s="3" t="s">
        <v>698</v>
      </c>
      <c r="O1594" s="2" t="s">
        <v>15916</v>
      </c>
      <c r="P1594" s="3" t="s">
        <v>64</v>
      </c>
      <c r="R1594" s="3" t="s">
        <v>13065</v>
      </c>
      <c r="S1594" s="4">
        <v>7</v>
      </c>
      <c r="T1594" s="4">
        <v>66</v>
      </c>
      <c r="U1594" s="5" t="s">
        <v>1699</v>
      </c>
      <c r="V1594" s="5" t="s">
        <v>15917</v>
      </c>
      <c r="W1594" s="5" t="s">
        <v>67</v>
      </c>
      <c r="X1594" s="5" t="s">
        <v>67</v>
      </c>
      <c r="Y1594" s="4">
        <v>40</v>
      </c>
      <c r="Z1594" s="4">
        <v>3</v>
      </c>
      <c r="AA1594" s="4">
        <v>15</v>
      </c>
      <c r="AB1594" s="4">
        <v>1</v>
      </c>
      <c r="AC1594" s="4">
        <v>3</v>
      </c>
      <c r="AD1594" s="4">
        <v>7</v>
      </c>
      <c r="AE1594" s="4">
        <v>33</v>
      </c>
      <c r="AF1594" s="4">
        <v>0</v>
      </c>
      <c r="AG1594" s="4">
        <v>1</v>
      </c>
      <c r="AH1594" s="4">
        <v>7</v>
      </c>
      <c r="AI1594" s="4">
        <v>28</v>
      </c>
      <c r="AJ1594" s="4">
        <v>1</v>
      </c>
      <c r="AK1594" s="4">
        <v>8</v>
      </c>
      <c r="AL1594" s="4">
        <v>2</v>
      </c>
      <c r="AM1594" s="4">
        <v>13</v>
      </c>
      <c r="AN1594" s="4">
        <v>0</v>
      </c>
      <c r="AO1594" s="4">
        <v>0</v>
      </c>
      <c r="AP1594" s="4">
        <v>2</v>
      </c>
      <c r="AQ1594" s="4">
        <v>11</v>
      </c>
      <c r="AR1594" s="3" t="s">
        <v>62</v>
      </c>
      <c r="AS1594" s="3" t="s">
        <v>62</v>
      </c>
      <c r="AT1594" s="3" t="s">
        <v>62</v>
      </c>
      <c r="AV1594" s="6" t="str">
        <f>HYPERLINK("http://mcgill.on.worldcat.org/oclc/655302068","Catalog Record")</f>
        <v>Catalog Record</v>
      </c>
      <c r="AW1594" s="6" t="str">
        <f>HYPERLINK("http://www.worldcat.org/oclc/655302068","WorldCat Record")</f>
        <v>WorldCat Record</v>
      </c>
      <c r="AX1594" s="3" t="s">
        <v>15907</v>
      </c>
      <c r="AY1594" s="3" t="s">
        <v>15918</v>
      </c>
      <c r="AZ1594" s="3" t="s">
        <v>15919</v>
      </c>
      <c r="BA1594" s="3" t="s">
        <v>15919</v>
      </c>
      <c r="BB1594" s="3" t="s">
        <v>15927</v>
      </c>
      <c r="BC1594" s="3" t="s">
        <v>102</v>
      </c>
      <c r="BD1594" s="3" t="s">
        <v>68</v>
      </c>
      <c r="BE1594" s="3" t="s">
        <v>15921</v>
      </c>
      <c r="BF1594" s="3" t="s">
        <v>15927</v>
      </c>
      <c r="BG1594" s="3" t="s">
        <v>15928</v>
      </c>
    </row>
    <row r="1595" spans="1:59" ht="101.5" x14ac:dyDescent="0.35">
      <c r="A1595" s="2" t="s">
        <v>89</v>
      </c>
      <c r="B1595" s="2" t="s">
        <v>12301</v>
      </c>
      <c r="C1595" s="2" t="s">
        <v>15929</v>
      </c>
      <c r="D1595" s="2" t="s">
        <v>15930</v>
      </c>
      <c r="E1595" s="2" t="s">
        <v>15931</v>
      </c>
      <c r="G1595" s="3" t="s">
        <v>62</v>
      </c>
      <c r="I1595" s="3" t="s">
        <v>61</v>
      </c>
      <c r="J1595" s="3" t="s">
        <v>61</v>
      </c>
      <c r="K1595" s="3" t="s">
        <v>63</v>
      </c>
      <c r="L1595" s="2" t="s">
        <v>15889</v>
      </c>
      <c r="M1595" s="2" t="s">
        <v>15932</v>
      </c>
      <c r="N1595" s="3" t="s">
        <v>1038</v>
      </c>
      <c r="O1595" s="2" t="s">
        <v>15933</v>
      </c>
      <c r="P1595" s="3" t="s">
        <v>64</v>
      </c>
      <c r="R1595" s="3" t="s">
        <v>13065</v>
      </c>
      <c r="S1595" s="4">
        <v>9</v>
      </c>
      <c r="T1595" s="4">
        <v>51</v>
      </c>
      <c r="U1595" s="5" t="s">
        <v>15934</v>
      </c>
      <c r="V1595" s="5" t="s">
        <v>15935</v>
      </c>
      <c r="W1595" s="5" t="s">
        <v>67</v>
      </c>
      <c r="X1595" s="5" t="s">
        <v>67</v>
      </c>
      <c r="Y1595" s="4">
        <v>20</v>
      </c>
      <c r="Z1595" s="4">
        <v>2</v>
      </c>
      <c r="AA1595" s="4">
        <v>15</v>
      </c>
      <c r="AB1595" s="4">
        <v>1</v>
      </c>
      <c r="AC1595" s="4">
        <v>3</v>
      </c>
      <c r="AD1595" s="4">
        <v>7</v>
      </c>
      <c r="AE1595" s="4">
        <v>33</v>
      </c>
      <c r="AF1595" s="4">
        <v>0</v>
      </c>
      <c r="AG1595" s="4">
        <v>1</v>
      </c>
      <c r="AH1595" s="4">
        <v>7</v>
      </c>
      <c r="AI1595" s="4">
        <v>28</v>
      </c>
      <c r="AJ1595" s="4">
        <v>0</v>
      </c>
      <c r="AK1595" s="4">
        <v>8</v>
      </c>
      <c r="AL1595" s="4">
        <v>4</v>
      </c>
      <c r="AM1595" s="4">
        <v>13</v>
      </c>
      <c r="AN1595" s="4">
        <v>0</v>
      </c>
      <c r="AO1595" s="4">
        <v>0</v>
      </c>
      <c r="AP1595" s="4">
        <v>1</v>
      </c>
      <c r="AQ1595" s="4">
        <v>11</v>
      </c>
      <c r="AR1595" s="3" t="s">
        <v>62</v>
      </c>
      <c r="AS1595" s="3" t="s">
        <v>62</v>
      </c>
      <c r="AT1595" s="3" t="s">
        <v>62</v>
      </c>
      <c r="AV1595" s="6" t="str">
        <f>HYPERLINK("http://mcgill.on.worldcat.org/oclc/894670525","Catalog Record")</f>
        <v>Catalog Record</v>
      </c>
      <c r="AW1595" s="6" t="str">
        <f>HYPERLINK("http://www.worldcat.org/oclc/894670525","WorldCat Record")</f>
        <v>WorldCat Record</v>
      </c>
      <c r="AX1595" s="3" t="s">
        <v>15907</v>
      </c>
      <c r="AY1595" s="3" t="s">
        <v>15936</v>
      </c>
      <c r="AZ1595" s="3" t="s">
        <v>15937</v>
      </c>
      <c r="BA1595" s="3" t="s">
        <v>15937</v>
      </c>
      <c r="BB1595" s="3" t="s">
        <v>15938</v>
      </c>
      <c r="BC1595" s="3" t="s">
        <v>102</v>
      </c>
      <c r="BD1595" s="3" t="s">
        <v>68</v>
      </c>
      <c r="BE1595" s="3" t="s">
        <v>15939</v>
      </c>
      <c r="BF1595" s="3" t="s">
        <v>15938</v>
      </c>
      <c r="BG1595" s="3" t="s">
        <v>15940</v>
      </c>
    </row>
    <row r="1596" spans="1:59" ht="101.5" x14ac:dyDescent="0.35">
      <c r="A1596" s="2" t="s">
        <v>89</v>
      </c>
      <c r="B1596" s="2" t="s">
        <v>12301</v>
      </c>
      <c r="C1596" s="2" t="s">
        <v>15929</v>
      </c>
      <c r="D1596" s="2" t="s">
        <v>15930</v>
      </c>
      <c r="E1596" s="2" t="s">
        <v>15931</v>
      </c>
      <c r="G1596" s="3" t="s">
        <v>62</v>
      </c>
      <c r="I1596" s="3" t="s">
        <v>61</v>
      </c>
      <c r="J1596" s="3" t="s">
        <v>61</v>
      </c>
      <c r="K1596" s="3" t="s">
        <v>63</v>
      </c>
      <c r="L1596" s="2" t="s">
        <v>15889</v>
      </c>
      <c r="M1596" s="2" t="s">
        <v>15932</v>
      </c>
      <c r="N1596" s="3" t="s">
        <v>1038</v>
      </c>
      <c r="O1596" s="2" t="s">
        <v>15933</v>
      </c>
      <c r="P1596" s="3" t="s">
        <v>64</v>
      </c>
      <c r="R1596" s="3" t="s">
        <v>13065</v>
      </c>
      <c r="S1596" s="4">
        <v>11</v>
      </c>
      <c r="T1596" s="4">
        <v>51</v>
      </c>
      <c r="U1596" s="5" t="s">
        <v>15871</v>
      </c>
      <c r="V1596" s="5" t="s">
        <v>15935</v>
      </c>
      <c r="W1596" s="5" t="s">
        <v>67</v>
      </c>
      <c r="X1596" s="5" t="s">
        <v>67</v>
      </c>
      <c r="Y1596" s="4">
        <v>20</v>
      </c>
      <c r="Z1596" s="4">
        <v>2</v>
      </c>
      <c r="AA1596" s="4">
        <v>15</v>
      </c>
      <c r="AB1596" s="4">
        <v>1</v>
      </c>
      <c r="AC1596" s="4">
        <v>3</v>
      </c>
      <c r="AD1596" s="4">
        <v>7</v>
      </c>
      <c r="AE1596" s="4">
        <v>33</v>
      </c>
      <c r="AF1596" s="4">
        <v>0</v>
      </c>
      <c r="AG1596" s="4">
        <v>1</v>
      </c>
      <c r="AH1596" s="4">
        <v>7</v>
      </c>
      <c r="AI1596" s="4">
        <v>28</v>
      </c>
      <c r="AJ1596" s="4">
        <v>0</v>
      </c>
      <c r="AK1596" s="4">
        <v>8</v>
      </c>
      <c r="AL1596" s="4">
        <v>4</v>
      </c>
      <c r="AM1596" s="4">
        <v>13</v>
      </c>
      <c r="AN1596" s="4">
        <v>0</v>
      </c>
      <c r="AO1596" s="4">
        <v>0</v>
      </c>
      <c r="AP1596" s="4">
        <v>1</v>
      </c>
      <c r="AQ1596" s="4">
        <v>11</v>
      </c>
      <c r="AR1596" s="3" t="s">
        <v>62</v>
      </c>
      <c r="AS1596" s="3" t="s">
        <v>62</v>
      </c>
      <c r="AT1596" s="3" t="s">
        <v>62</v>
      </c>
      <c r="AV1596" s="6" t="str">
        <f>HYPERLINK("http://mcgill.on.worldcat.org/oclc/894670525","Catalog Record")</f>
        <v>Catalog Record</v>
      </c>
      <c r="AW1596" s="6" t="str">
        <f>HYPERLINK("http://www.worldcat.org/oclc/894670525","WorldCat Record")</f>
        <v>WorldCat Record</v>
      </c>
      <c r="AX1596" s="3" t="s">
        <v>15907</v>
      </c>
      <c r="AY1596" s="3" t="s">
        <v>15936</v>
      </c>
      <c r="AZ1596" s="3" t="s">
        <v>15937</v>
      </c>
      <c r="BA1596" s="3" t="s">
        <v>15937</v>
      </c>
      <c r="BB1596" s="3" t="s">
        <v>15941</v>
      </c>
      <c r="BC1596" s="3" t="s">
        <v>102</v>
      </c>
      <c r="BD1596" s="3" t="s">
        <v>68</v>
      </c>
      <c r="BE1596" s="3" t="s">
        <v>15939</v>
      </c>
      <c r="BF1596" s="3" t="s">
        <v>15941</v>
      </c>
      <c r="BG1596" s="3" t="s">
        <v>15942</v>
      </c>
    </row>
    <row r="1597" spans="1:59" ht="101.5" x14ac:dyDescent="0.35">
      <c r="A1597" s="2" t="s">
        <v>89</v>
      </c>
      <c r="B1597" s="2" t="s">
        <v>12301</v>
      </c>
      <c r="C1597" s="2" t="s">
        <v>15929</v>
      </c>
      <c r="D1597" s="2" t="s">
        <v>15930</v>
      </c>
      <c r="E1597" s="2" t="s">
        <v>15943</v>
      </c>
      <c r="G1597" s="3" t="s">
        <v>62</v>
      </c>
      <c r="I1597" s="3" t="s">
        <v>62</v>
      </c>
      <c r="J1597" s="3" t="s">
        <v>62</v>
      </c>
      <c r="K1597" s="3" t="s">
        <v>63</v>
      </c>
      <c r="L1597" s="2" t="s">
        <v>15944</v>
      </c>
      <c r="M1597" s="2" t="s">
        <v>15945</v>
      </c>
      <c r="N1597" s="3" t="s">
        <v>1038</v>
      </c>
      <c r="P1597" s="3" t="s">
        <v>64</v>
      </c>
      <c r="R1597" s="3" t="s">
        <v>13065</v>
      </c>
      <c r="S1597" s="4">
        <v>5</v>
      </c>
      <c r="T1597" s="4">
        <v>5</v>
      </c>
      <c r="U1597" s="5" t="s">
        <v>15871</v>
      </c>
      <c r="V1597" s="5" t="s">
        <v>15871</v>
      </c>
      <c r="W1597" s="5" t="s">
        <v>67</v>
      </c>
      <c r="X1597" s="5" t="s">
        <v>67</v>
      </c>
      <c r="Y1597" s="4">
        <v>3</v>
      </c>
      <c r="Z1597" s="4">
        <v>1</v>
      </c>
      <c r="AA1597" s="4">
        <v>1</v>
      </c>
      <c r="AB1597" s="4">
        <v>1</v>
      </c>
      <c r="AC1597" s="4">
        <v>1</v>
      </c>
      <c r="AD1597" s="4">
        <v>1</v>
      </c>
      <c r="AE1597" s="4">
        <v>2</v>
      </c>
      <c r="AF1597" s="4">
        <v>0</v>
      </c>
      <c r="AG1597" s="4">
        <v>0</v>
      </c>
      <c r="AH1597" s="4">
        <v>1</v>
      </c>
      <c r="AI1597" s="4">
        <v>2</v>
      </c>
      <c r="AJ1597" s="4">
        <v>0</v>
      </c>
      <c r="AK1597" s="4">
        <v>0</v>
      </c>
      <c r="AL1597" s="4">
        <v>1</v>
      </c>
      <c r="AM1597" s="4">
        <v>2</v>
      </c>
      <c r="AN1597" s="4">
        <v>0</v>
      </c>
      <c r="AO1597" s="4">
        <v>0</v>
      </c>
      <c r="AP1597" s="4">
        <v>0</v>
      </c>
      <c r="AQ1597" s="4">
        <v>0</v>
      </c>
      <c r="AR1597" s="3" t="s">
        <v>62</v>
      </c>
      <c r="AS1597" s="3" t="s">
        <v>62</v>
      </c>
      <c r="AT1597" s="3" t="s">
        <v>62</v>
      </c>
      <c r="AV1597" s="6" t="str">
        <f>HYPERLINK("http://mcgill.on.worldcat.org/oclc/967750062","Catalog Record")</f>
        <v>Catalog Record</v>
      </c>
      <c r="AW1597" s="6" t="str">
        <f>HYPERLINK("http://www.worldcat.org/oclc/967750062","WorldCat Record")</f>
        <v>WorldCat Record</v>
      </c>
      <c r="AX1597" s="3" t="s">
        <v>15946</v>
      </c>
      <c r="AY1597" s="3" t="s">
        <v>15947</v>
      </c>
      <c r="AZ1597" s="3" t="s">
        <v>15948</v>
      </c>
      <c r="BA1597" s="3" t="s">
        <v>15948</v>
      </c>
      <c r="BB1597" s="3" t="s">
        <v>15949</v>
      </c>
      <c r="BC1597" s="3" t="s">
        <v>102</v>
      </c>
      <c r="BD1597" s="3" t="s">
        <v>68</v>
      </c>
      <c r="BE1597" s="3" t="s">
        <v>15950</v>
      </c>
      <c r="BF1597" s="3" t="s">
        <v>15949</v>
      </c>
      <c r="BG1597" s="3" t="s">
        <v>15951</v>
      </c>
    </row>
    <row r="1598" spans="1:59" ht="101.5" x14ac:dyDescent="0.35">
      <c r="A1598" s="2" t="s">
        <v>89</v>
      </c>
      <c r="B1598" s="2" t="s">
        <v>12301</v>
      </c>
      <c r="C1598" s="2" t="s">
        <v>15929</v>
      </c>
      <c r="D1598" s="2" t="s">
        <v>15930</v>
      </c>
      <c r="E1598" s="2" t="s">
        <v>15931</v>
      </c>
      <c r="G1598" s="3" t="s">
        <v>62</v>
      </c>
      <c r="I1598" s="3" t="s">
        <v>61</v>
      </c>
      <c r="J1598" s="3" t="s">
        <v>61</v>
      </c>
      <c r="K1598" s="3" t="s">
        <v>63</v>
      </c>
      <c r="L1598" s="2" t="s">
        <v>15889</v>
      </c>
      <c r="M1598" s="2" t="s">
        <v>15932</v>
      </c>
      <c r="N1598" s="3" t="s">
        <v>1038</v>
      </c>
      <c r="O1598" s="2" t="s">
        <v>15933</v>
      </c>
      <c r="P1598" s="3" t="s">
        <v>64</v>
      </c>
      <c r="R1598" s="3" t="s">
        <v>13065</v>
      </c>
      <c r="S1598" s="4">
        <v>11</v>
      </c>
      <c r="T1598" s="4">
        <v>51</v>
      </c>
      <c r="U1598" s="5" t="s">
        <v>12369</v>
      </c>
      <c r="V1598" s="5" t="s">
        <v>15935</v>
      </c>
      <c r="W1598" s="5" t="s">
        <v>67</v>
      </c>
      <c r="X1598" s="5" t="s">
        <v>67</v>
      </c>
      <c r="Y1598" s="4">
        <v>20</v>
      </c>
      <c r="Z1598" s="4">
        <v>2</v>
      </c>
      <c r="AA1598" s="4">
        <v>15</v>
      </c>
      <c r="AB1598" s="4">
        <v>1</v>
      </c>
      <c r="AC1598" s="4">
        <v>3</v>
      </c>
      <c r="AD1598" s="4">
        <v>7</v>
      </c>
      <c r="AE1598" s="4">
        <v>33</v>
      </c>
      <c r="AF1598" s="4">
        <v>0</v>
      </c>
      <c r="AG1598" s="4">
        <v>1</v>
      </c>
      <c r="AH1598" s="4">
        <v>7</v>
      </c>
      <c r="AI1598" s="4">
        <v>28</v>
      </c>
      <c r="AJ1598" s="4">
        <v>0</v>
      </c>
      <c r="AK1598" s="4">
        <v>8</v>
      </c>
      <c r="AL1598" s="4">
        <v>4</v>
      </c>
      <c r="AM1598" s="4">
        <v>13</v>
      </c>
      <c r="AN1598" s="4">
        <v>0</v>
      </c>
      <c r="AO1598" s="4">
        <v>0</v>
      </c>
      <c r="AP1598" s="4">
        <v>1</v>
      </c>
      <c r="AQ1598" s="4">
        <v>11</v>
      </c>
      <c r="AR1598" s="3" t="s">
        <v>62</v>
      </c>
      <c r="AS1598" s="3" t="s">
        <v>62</v>
      </c>
      <c r="AT1598" s="3" t="s">
        <v>62</v>
      </c>
      <c r="AV1598" s="6" t="str">
        <f>HYPERLINK("http://mcgill.on.worldcat.org/oclc/894670525","Catalog Record")</f>
        <v>Catalog Record</v>
      </c>
      <c r="AW1598" s="6" t="str">
        <f>HYPERLINK("http://www.worldcat.org/oclc/894670525","WorldCat Record")</f>
        <v>WorldCat Record</v>
      </c>
      <c r="AX1598" s="3" t="s">
        <v>15907</v>
      </c>
      <c r="AY1598" s="3" t="s">
        <v>15936</v>
      </c>
      <c r="AZ1598" s="3" t="s">
        <v>15937</v>
      </c>
      <c r="BA1598" s="3" t="s">
        <v>15937</v>
      </c>
      <c r="BB1598" s="3" t="s">
        <v>15952</v>
      </c>
      <c r="BC1598" s="3" t="s">
        <v>102</v>
      </c>
      <c r="BD1598" s="3" t="s">
        <v>68</v>
      </c>
      <c r="BE1598" s="3" t="s">
        <v>15939</v>
      </c>
      <c r="BF1598" s="3" t="s">
        <v>15952</v>
      </c>
      <c r="BG1598" s="3" t="s">
        <v>15953</v>
      </c>
    </row>
    <row r="1599" spans="1:59" ht="101.5" x14ac:dyDescent="0.35">
      <c r="A1599" s="2" t="s">
        <v>89</v>
      </c>
      <c r="B1599" s="2" t="s">
        <v>12301</v>
      </c>
      <c r="C1599" s="2" t="s">
        <v>15929</v>
      </c>
      <c r="D1599" s="2" t="s">
        <v>15930</v>
      </c>
      <c r="E1599" s="2" t="s">
        <v>15931</v>
      </c>
      <c r="G1599" s="3" t="s">
        <v>62</v>
      </c>
      <c r="I1599" s="3" t="s">
        <v>61</v>
      </c>
      <c r="J1599" s="3" t="s">
        <v>61</v>
      </c>
      <c r="K1599" s="3" t="s">
        <v>63</v>
      </c>
      <c r="L1599" s="2" t="s">
        <v>15889</v>
      </c>
      <c r="M1599" s="2" t="s">
        <v>15932</v>
      </c>
      <c r="N1599" s="3" t="s">
        <v>1038</v>
      </c>
      <c r="O1599" s="2" t="s">
        <v>15933</v>
      </c>
      <c r="P1599" s="3" t="s">
        <v>64</v>
      </c>
      <c r="R1599" s="3" t="s">
        <v>13065</v>
      </c>
      <c r="S1599" s="4">
        <v>11</v>
      </c>
      <c r="T1599" s="4">
        <v>51</v>
      </c>
      <c r="U1599" s="5" t="s">
        <v>15954</v>
      </c>
      <c r="V1599" s="5" t="s">
        <v>15935</v>
      </c>
      <c r="W1599" s="5" t="s">
        <v>67</v>
      </c>
      <c r="X1599" s="5" t="s">
        <v>67</v>
      </c>
      <c r="Y1599" s="4">
        <v>20</v>
      </c>
      <c r="Z1599" s="4">
        <v>2</v>
      </c>
      <c r="AA1599" s="4">
        <v>15</v>
      </c>
      <c r="AB1599" s="4">
        <v>1</v>
      </c>
      <c r="AC1599" s="4">
        <v>3</v>
      </c>
      <c r="AD1599" s="4">
        <v>7</v>
      </c>
      <c r="AE1599" s="4">
        <v>33</v>
      </c>
      <c r="AF1599" s="4">
        <v>0</v>
      </c>
      <c r="AG1599" s="4">
        <v>1</v>
      </c>
      <c r="AH1599" s="4">
        <v>7</v>
      </c>
      <c r="AI1599" s="4">
        <v>28</v>
      </c>
      <c r="AJ1599" s="4">
        <v>0</v>
      </c>
      <c r="AK1599" s="4">
        <v>8</v>
      </c>
      <c r="AL1599" s="4">
        <v>4</v>
      </c>
      <c r="AM1599" s="4">
        <v>13</v>
      </c>
      <c r="AN1599" s="4">
        <v>0</v>
      </c>
      <c r="AO1599" s="4">
        <v>0</v>
      </c>
      <c r="AP1599" s="4">
        <v>1</v>
      </c>
      <c r="AQ1599" s="4">
        <v>11</v>
      </c>
      <c r="AR1599" s="3" t="s">
        <v>62</v>
      </c>
      <c r="AS1599" s="3" t="s">
        <v>62</v>
      </c>
      <c r="AT1599" s="3" t="s">
        <v>62</v>
      </c>
      <c r="AV1599" s="6" t="str">
        <f>HYPERLINK("http://mcgill.on.worldcat.org/oclc/894670525","Catalog Record")</f>
        <v>Catalog Record</v>
      </c>
      <c r="AW1599" s="6" t="str">
        <f>HYPERLINK("http://www.worldcat.org/oclc/894670525","WorldCat Record")</f>
        <v>WorldCat Record</v>
      </c>
      <c r="AX1599" s="3" t="s">
        <v>15907</v>
      </c>
      <c r="AY1599" s="3" t="s">
        <v>15936</v>
      </c>
      <c r="AZ1599" s="3" t="s">
        <v>15937</v>
      </c>
      <c r="BA1599" s="3" t="s">
        <v>15937</v>
      </c>
      <c r="BB1599" s="3" t="s">
        <v>15955</v>
      </c>
      <c r="BC1599" s="3" t="s">
        <v>102</v>
      </c>
      <c r="BD1599" s="3" t="s">
        <v>68</v>
      </c>
      <c r="BE1599" s="3" t="s">
        <v>15939</v>
      </c>
      <c r="BF1599" s="3" t="s">
        <v>15955</v>
      </c>
      <c r="BG1599" s="3" t="s">
        <v>15956</v>
      </c>
    </row>
    <row r="1600" spans="1:59" ht="101.5" x14ac:dyDescent="0.35">
      <c r="A1600" s="2" t="s">
        <v>89</v>
      </c>
      <c r="B1600" s="2" t="s">
        <v>12301</v>
      </c>
      <c r="C1600" s="2" t="s">
        <v>15929</v>
      </c>
      <c r="D1600" s="2" t="s">
        <v>15930</v>
      </c>
      <c r="E1600" s="2" t="s">
        <v>15931</v>
      </c>
      <c r="G1600" s="3" t="s">
        <v>62</v>
      </c>
      <c r="I1600" s="3" t="s">
        <v>61</v>
      </c>
      <c r="J1600" s="3" t="s">
        <v>61</v>
      </c>
      <c r="K1600" s="3" t="s">
        <v>63</v>
      </c>
      <c r="L1600" s="2" t="s">
        <v>15889</v>
      </c>
      <c r="M1600" s="2" t="s">
        <v>15932</v>
      </c>
      <c r="N1600" s="3" t="s">
        <v>1038</v>
      </c>
      <c r="O1600" s="2" t="s">
        <v>15933</v>
      </c>
      <c r="P1600" s="3" t="s">
        <v>64</v>
      </c>
      <c r="R1600" s="3" t="s">
        <v>13065</v>
      </c>
      <c r="S1600" s="4">
        <v>9</v>
      </c>
      <c r="T1600" s="4">
        <v>51</v>
      </c>
      <c r="U1600" s="5" t="s">
        <v>15935</v>
      </c>
      <c r="V1600" s="5" t="s">
        <v>15935</v>
      </c>
      <c r="W1600" s="5" t="s">
        <v>67</v>
      </c>
      <c r="X1600" s="5" t="s">
        <v>67</v>
      </c>
      <c r="Y1600" s="4">
        <v>20</v>
      </c>
      <c r="Z1600" s="4">
        <v>2</v>
      </c>
      <c r="AA1600" s="4">
        <v>15</v>
      </c>
      <c r="AB1600" s="4">
        <v>1</v>
      </c>
      <c r="AC1600" s="4">
        <v>3</v>
      </c>
      <c r="AD1600" s="4">
        <v>7</v>
      </c>
      <c r="AE1600" s="4">
        <v>33</v>
      </c>
      <c r="AF1600" s="4">
        <v>0</v>
      </c>
      <c r="AG1600" s="4">
        <v>1</v>
      </c>
      <c r="AH1600" s="4">
        <v>7</v>
      </c>
      <c r="AI1600" s="4">
        <v>28</v>
      </c>
      <c r="AJ1600" s="4">
        <v>0</v>
      </c>
      <c r="AK1600" s="4">
        <v>8</v>
      </c>
      <c r="AL1600" s="4">
        <v>4</v>
      </c>
      <c r="AM1600" s="4">
        <v>13</v>
      </c>
      <c r="AN1600" s="4">
        <v>0</v>
      </c>
      <c r="AO1600" s="4">
        <v>0</v>
      </c>
      <c r="AP1600" s="4">
        <v>1</v>
      </c>
      <c r="AQ1600" s="4">
        <v>11</v>
      </c>
      <c r="AR1600" s="3" t="s">
        <v>62</v>
      </c>
      <c r="AS1600" s="3" t="s">
        <v>62</v>
      </c>
      <c r="AT1600" s="3" t="s">
        <v>62</v>
      </c>
      <c r="AV1600" s="6" t="str">
        <f>HYPERLINK("http://mcgill.on.worldcat.org/oclc/894670525","Catalog Record")</f>
        <v>Catalog Record</v>
      </c>
      <c r="AW1600" s="6" t="str">
        <f>HYPERLINK("http://www.worldcat.org/oclc/894670525","WorldCat Record")</f>
        <v>WorldCat Record</v>
      </c>
      <c r="AX1600" s="3" t="s">
        <v>15907</v>
      </c>
      <c r="AY1600" s="3" t="s">
        <v>15936</v>
      </c>
      <c r="AZ1600" s="3" t="s">
        <v>15937</v>
      </c>
      <c r="BA1600" s="3" t="s">
        <v>15937</v>
      </c>
      <c r="BB1600" s="3" t="s">
        <v>15957</v>
      </c>
      <c r="BC1600" s="3" t="s">
        <v>102</v>
      </c>
      <c r="BD1600" s="3" t="s">
        <v>68</v>
      </c>
      <c r="BE1600" s="3" t="s">
        <v>15939</v>
      </c>
      <c r="BF1600" s="3" t="s">
        <v>15957</v>
      </c>
      <c r="BG1600" s="3" t="s">
        <v>15958</v>
      </c>
    </row>
    <row r="1601" spans="1:59" ht="87" x14ac:dyDescent="0.35">
      <c r="A1601" s="2" t="s">
        <v>89</v>
      </c>
      <c r="B1601" s="2" t="s">
        <v>15860</v>
      </c>
      <c r="C1601" s="2" t="s">
        <v>15959</v>
      </c>
      <c r="D1601" s="2" t="s">
        <v>15960</v>
      </c>
      <c r="E1601" s="2" t="s">
        <v>15961</v>
      </c>
      <c r="G1601" s="3" t="s">
        <v>62</v>
      </c>
      <c r="I1601" s="3" t="s">
        <v>61</v>
      </c>
      <c r="J1601" s="3" t="s">
        <v>62</v>
      </c>
      <c r="K1601" s="3" t="s">
        <v>63</v>
      </c>
      <c r="M1601" s="2" t="s">
        <v>15962</v>
      </c>
      <c r="N1601" s="3" t="s">
        <v>1038</v>
      </c>
      <c r="O1601" s="2" t="s">
        <v>15963</v>
      </c>
      <c r="P1601" s="3" t="s">
        <v>64</v>
      </c>
      <c r="R1601" s="3" t="s">
        <v>13065</v>
      </c>
      <c r="S1601" s="4">
        <v>102</v>
      </c>
      <c r="T1601" s="4">
        <v>181</v>
      </c>
      <c r="U1601" s="5" t="s">
        <v>9908</v>
      </c>
      <c r="V1601" s="5" t="s">
        <v>15964</v>
      </c>
      <c r="W1601" s="5" t="s">
        <v>67</v>
      </c>
      <c r="X1601" s="5" t="s">
        <v>67</v>
      </c>
      <c r="Y1601" s="4">
        <v>1</v>
      </c>
      <c r="Z1601" s="4">
        <v>1</v>
      </c>
      <c r="AA1601" s="4">
        <v>1</v>
      </c>
      <c r="AB1601" s="4">
        <v>1</v>
      </c>
      <c r="AC1601" s="4">
        <v>1</v>
      </c>
      <c r="AD1601" s="4">
        <v>0</v>
      </c>
      <c r="AE1601" s="4">
        <v>0</v>
      </c>
      <c r="AF1601" s="4">
        <v>0</v>
      </c>
      <c r="AG1601" s="4">
        <v>0</v>
      </c>
      <c r="AH1601" s="4">
        <v>0</v>
      </c>
      <c r="AI1601" s="4">
        <v>0</v>
      </c>
      <c r="AJ1601" s="4">
        <v>0</v>
      </c>
      <c r="AK1601" s="4">
        <v>0</v>
      </c>
      <c r="AL1601" s="4">
        <v>0</v>
      </c>
      <c r="AM1601" s="4">
        <v>0</v>
      </c>
      <c r="AN1601" s="4">
        <v>0</v>
      </c>
      <c r="AO1601" s="4">
        <v>0</v>
      </c>
      <c r="AP1601" s="4">
        <v>0</v>
      </c>
      <c r="AQ1601" s="4">
        <v>0</v>
      </c>
      <c r="AR1601" s="3" t="s">
        <v>62</v>
      </c>
      <c r="AS1601" s="3" t="s">
        <v>62</v>
      </c>
      <c r="AT1601" s="3" t="s">
        <v>62</v>
      </c>
      <c r="AV1601" s="6" t="str">
        <f>HYPERLINK("http://mcgill.on.worldcat.org/oclc/958885613","Catalog Record")</f>
        <v>Catalog Record</v>
      </c>
      <c r="AW1601" s="6" t="str">
        <f>HYPERLINK("http://www.worldcat.org/oclc/958885613","WorldCat Record")</f>
        <v>WorldCat Record</v>
      </c>
      <c r="AX1601" s="3" t="s">
        <v>15965</v>
      </c>
      <c r="AY1601" s="3" t="s">
        <v>15966</v>
      </c>
      <c r="AZ1601" s="3" t="s">
        <v>15967</v>
      </c>
      <c r="BA1601" s="3" t="s">
        <v>15967</v>
      </c>
      <c r="BB1601" s="3" t="s">
        <v>15968</v>
      </c>
      <c r="BC1601" s="3" t="s">
        <v>102</v>
      </c>
      <c r="BD1601" s="3" t="s">
        <v>68</v>
      </c>
      <c r="BE1601" s="3" t="s">
        <v>15969</v>
      </c>
      <c r="BF1601" s="3" t="s">
        <v>15968</v>
      </c>
      <c r="BG1601" s="3" t="s">
        <v>15970</v>
      </c>
    </row>
    <row r="1602" spans="1:59" ht="87" x14ac:dyDescent="0.35">
      <c r="A1602" s="2" t="s">
        <v>89</v>
      </c>
      <c r="B1602" s="2" t="s">
        <v>15860</v>
      </c>
      <c r="C1602" s="2" t="s">
        <v>15959</v>
      </c>
      <c r="D1602" s="2" t="s">
        <v>15960</v>
      </c>
      <c r="E1602" s="2" t="s">
        <v>15961</v>
      </c>
      <c r="G1602" s="3" t="s">
        <v>62</v>
      </c>
      <c r="I1602" s="3" t="s">
        <v>61</v>
      </c>
      <c r="J1602" s="3" t="s">
        <v>62</v>
      </c>
      <c r="K1602" s="3" t="s">
        <v>63</v>
      </c>
      <c r="M1602" s="2" t="s">
        <v>15962</v>
      </c>
      <c r="N1602" s="3" t="s">
        <v>1038</v>
      </c>
      <c r="O1602" s="2" t="s">
        <v>15963</v>
      </c>
      <c r="P1602" s="3" t="s">
        <v>64</v>
      </c>
      <c r="R1602" s="3" t="s">
        <v>13065</v>
      </c>
      <c r="S1602" s="4">
        <v>79</v>
      </c>
      <c r="T1602" s="4">
        <v>181</v>
      </c>
      <c r="U1602" s="5" t="s">
        <v>15964</v>
      </c>
      <c r="V1602" s="5" t="s">
        <v>15964</v>
      </c>
      <c r="W1602" s="5" t="s">
        <v>67</v>
      </c>
      <c r="X1602" s="5" t="s">
        <v>67</v>
      </c>
      <c r="Y1602" s="4">
        <v>1</v>
      </c>
      <c r="Z1602" s="4">
        <v>1</v>
      </c>
      <c r="AA1602" s="4">
        <v>1</v>
      </c>
      <c r="AB1602" s="4">
        <v>1</v>
      </c>
      <c r="AC1602" s="4">
        <v>1</v>
      </c>
      <c r="AD1602" s="4">
        <v>0</v>
      </c>
      <c r="AE1602" s="4">
        <v>0</v>
      </c>
      <c r="AF1602" s="4">
        <v>0</v>
      </c>
      <c r="AG1602" s="4">
        <v>0</v>
      </c>
      <c r="AH1602" s="4">
        <v>0</v>
      </c>
      <c r="AI1602" s="4">
        <v>0</v>
      </c>
      <c r="AJ1602" s="4">
        <v>0</v>
      </c>
      <c r="AK1602" s="4">
        <v>0</v>
      </c>
      <c r="AL1602" s="4">
        <v>0</v>
      </c>
      <c r="AM1602" s="4">
        <v>0</v>
      </c>
      <c r="AN1602" s="4">
        <v>0</v>
      </c>
      <c r="AO1602" s="4">
        <v>0</v>
      </c>
      <c r="AP1602" s="4">
        <v>0</v>
      </c>
      <c r="AQ1602" s="4">
        <v>0</v>
      </c>
      <c r="AR1602" s="3" t="s">
        <v>62</v>
      </c>
      <c r="AS1602" s="3" t="s">
        <v>62</v>
      </c>
      <c r="AT1602" s="3" t="s">
        <v>62</v>
      </c>
      <c r="AV1602" s="6" t="str">
        <f>HYPERLINK("http://mcgill.on.worldcat.org/oclc/958885613","Catalog Record")</f>
        <v>Catalog Record</v>
      </c>
      <c r="AW1602" s="6" t="str">
        <f>HYPERLINK("http://www.worldcat.org/oclc/958885613","WorldCat Record")</f>
        <v>WorldCat Record</v>
      </c>
      <c r="AX1602" s="3" t="s">
        <v>15965</v>
      </c>
      <c r="AY1602" s="3" t="s">
        <v>15966</v>
      </c>
      <c r="AZ1602" s="3" t="s">
        <v>15967</v>
      </c>
      <c r="BA1602" s="3" t="s">
        <v>15967</v>
      </c>
      <c r="BB1602" s="3" t="s">
        <v>15971</v>
      </c>
      <c r="BC1602" s="3" t="s">
        <v>102</v>
      </c>
      <c r="BD1602" s="3" t="s">
        <v>68</v>
      </c>
      <c r="BE1602" s="3" t="s">
        <v>15969</v>
      </c>
      <c r="BF1602" s="3" t="s">
        <v>15971</v>
      </c>
      <c r="BG1602" s="3" t="s">
        <v>15972</v>
      </c>
    </row>
    <row r="1603" spans="1:59" ht="87" x14ac:dyDescent="0.35">
      <c r="A1603" s="2" t="s">
        <v>89</v>
      </c>
      <c r="B1603" s="2" t="s">
        <v>15860</v>
      </c>
      <c r="C1603" s="2" t="s">
        <v>15973</v>
      </c>
      <c r="D1603" s="2" t="s">
        <v>15974</v>
      </c>
      <c r="E1603" s="2" t="s">
        <v>15975</v>
      </c>
      <c r="F1603" s="3" t="s">
        <v>15976</v>
      </c>
      <c r="G1603" s="3" t="s">
        <v>62</v>
      </c>
      <c r="I1603" s="3" t="s">
        <v>62</v>
      </c>
      <c r="J1603" s="3" t="s">
        <v>62</v>
      </c>
      <c r="K1603" s="3" t="s">
        <v>63</v>
      </c>
      <c r="M1603" s="2" t="s">
        <v>15977</v>
      </c>
      <c r="N1603" s="3" t="s">
        <v>1038</v>
      </c>
      <c r="O1603" s="2" t="s">
        <v>15963</v>
      </c>
      <c r="P1603" s="3" t="s">
        <v>64</v>
      </c>
      <c r="R1603" s="3" t="s">
        <v>13065</v>
      </c>
      <c r="S1603" s="4">
        <v>159</v>
      </c>
      <c r="T1603" s="4">
        <v>159</v>
      </c>
      <c r="U1603" s="5" t="s">
        <v>9540</v>
      </c>
      <c r="V1603" s="5" t="s">
        <v>9540</v>
      </c>
      <c r="W1603" s="5" t="s">
        <v>67</v>
      </c>
      <c r="X1603" s="5" t="s">
        <v>67</v>
      </c>
      <c r="Y1603" s="4">
        <v>1</v>
      </c>
      <c r="Z1603" s="4">
        <v>1</v>
      </c>
      <c r="AA1603" s="4">
        <v>1</v>
      </c>
      <c r="AB1603" s="4">
        <v>1</v>
      </c>
      <c r="AC1603" s="4">
        <v>1</v>
      </c>
      <c r="AD1603" s="4">
        <v>0</v>
      </c>
      <c r="AE1603" s="4">
        <v>0</v>
      </c>
      <c r="AF1603" s="4">
        <v>0</v>
      </c>
      <c r="AG1603" s="4">
        <v>0</v>
      </c>
      <c r="AH1603" s="4">
        <v>0</v>
      </c>
      <c r="AI1603" s="4">
        <v>0</v>
      </c>
      <c r="AJ1603" s="4">
        <v>0</v>
      </c>
      <c r="AK1603" s="4">
        <v>0</v>
      </c>
      <c r="AL1603" s="4">
        <v>0</v>
      </c>
      <c r="AM1603" s="4">
        <v>0</v>
      </c>
      <c r="AN1603" s="4">
        <v>0</v>
      </c>
      <c r="AO1603" s="4">
        <v>0</v>
      </c>
      <c r="AP1603" s="4">
        <v>0</v>
      </c>
      <c r="AQ1603" s="4">
        <v>0</v>
      </c>
      <c r="AR1603" s="3" t="s">
        <v>62</v>
      </c>
      <c r="AS1603" s="3" t="s">
        <v>62</v>
      </c>
      <c r="AT1603" s="3" t="s">
        <v>62</v>
      </c>
      <c r="AV1603" s="6" t="str">
        <f>HYPERLINK("http://mcgill.on.worldcat.org/oclc/959983827","Catalog Record")</f>
        <v>Catalog Record</v>
      </c>
      <c r="AW1603" s="6" t="str">
        <f>HYPERLINK("http://www.worldcat.org/oclc/959983827","WorldCat Record")</f>
        <v>WorldCat Record</v>
      </c>
      <c r="AX1603" s="3" t="s">
        <v>15978</v>
      </c>
      <c r="AY1603" s="3" t="s">
        <v>15979</v>
      </c>
      <c r="AZ1603" s="3" t="s">
        <v>15980</v>
      </c>
      <c r="BA1603" s="3" t="s">
        <v>15980</v>
      </c>
      <c r="BB1603" s="3" t="s">
        <v>15981</v>
      </c>
      <c r="BC1603" s="3" t="s">
        <v>102</v>
      </c>
      <c r="BD1603" s="3" t="s">
        <v>68</v>
      </c>
      <c r="BE1603" s="3" t="s">
        <v>15982</v>
      </c>
      <c r="BF1603" s="3" t="s">
        <v>15981</v>
      </c>
      <c r="BG1603" s="3" t="s">
        <v>15983</v>
      </c>
    </row>
    <row r="1604" spans="1:59" ht="58" x14ac:dyDescent="0.35">
      <c r="A1604" s="2" t="s">
        <v>89</v>
      </c>
      <c r="B1604" s="2" t="s">
        <v>90</v>
      </c>
      <c r="C1604" s="2" t="s">
        <v>15984</v>
      </c>
      <c r="D1604" s="2" t="s">
        <v>15985</v>
      </c>
      <c r="E1604" s="2" t="s">
        <v>15986</v>
      </c>
      <c r="F1604" s="3" t="s">
        <v>1419</v>
      </c>
      <c r="G1604" s="3" t="s">
        <v>61</v>
      </c>
      <c r="I1604" s="3" t="s">
        <v>62</v>
      </c>
      <c r="J1604" s="3" t="s">
        <v>62</v>
      </c>
      <c r="K1604" s="3" t="s">
        <v>63</v>
      </c>
      <c r="M1604" s="2" t="s">
        <v>15987</v>
      </c>
      <c r="N1604" s="3" t="s">
        <v>1905</v>
      </c>
      <c r="O1604" s="2" t="s">
        <v>2986</v>
      </c>
      <c r="P1604" s="3" t="s">
        <v>64</v>
      </c>
      <c r="Q1604" s="2" t="s">
        <v>15988</v>
      </c>
      <c r="R1604" s="3" t="s">
        <v>13065</v>
      </c>
      <c r="S1604" s="4">
        <v>40</v>
      </c>
      <c r="T1604" s="4">
        <v>178</v>
      </c>
      <c r="U1604" s="5" t="s">
        <v>15989</v>
      </c>
      <c r="V1604" s="5" t="s">
        <v>9848</v>
      </c>
      <c r="W1604" s="5" t="s">
        <v>67</v>
      </c>
      <c r="X1604" s="5" t="s">
        <v>67</v>
      </c>
      <c r="Y1604" s="4">
        <v>4</v>
      </c>
      <c r="Z1604" s="4">
        <v>4</v>
      </c>
      <c r="AA1604" s="4">
        <v>4</v>
      </c>
      <c r="AB1604" s="4">
        <v>1</v>
      </c>
      <c r="AC1604" s="4">
        <v>1</v>
      </c>
      <c r="AD1604" s="4">
        <v>3</v>
      </c>
      <c r="AE1604" s="4">
        <v>3</v>
      </c>
      <c r="AF1604" s="4">
        <v>0</v>
      </c>
      <c r="AG1604" s="4">
        <v>0</v>
      </c>
      <c r="AH1604" s="4">
        <v>2</v>
      </c>
      <c r="AI1604" s="4">
        <v>2</v>
      </c>
      <c r="AJ1604" s="4">
        <v>3</v>
      </c>
      <c r="AK1604" s="4">
        <v>3</v>
      </c>
      <c r="AL1604" s="4">
        <v>0</v>
      </c>
      <c r="AM1604" s="4">
        <v>0</v>
      </c>
      <c r="AN1604" s="4">
        <v>0</v>
      </c>
      <c r="AO1604" s="4">
        <v>0</v>
      </c>
      <c r="AP1604" s="4">
        <v>3</v>
      </c>
      <c r="AQ1604" s="4">
        <v>3</v>
      </c>
      <c r="AR1604" s="3" t="s">
        <v>61</v>
      </c>
      <c r="AS1604" s="3" t="s">
        <v>62</v>
      </c>
      <c r="AT1604" s="3" t="s">
        <v>62</v>
      </c>
      <c r="AV1604" s="6" t="str">
        <f>HYPERLINK("http://mcgill.on.worldcat.org/oclc/427389123","Catalog Record")</f>
        <v>Catalog Record</v>
      </c>
      <c r="AW1604" s="6" t="str">
        <f>HYPERLINK("http://www.worldcat.org/oclc/427389123","WorldCat Record")</f>
        <v>WorldCat Record</v>
      </c>
      <c r="AX1604" s="3" t="s">
        <v>15990</v>
      </c>
      <c r="AY1604" s="3" t="s">
        <v>15991</v>
      </c>
      <c r="AZ1604" s="3" t="s">
        <v>15992</v>
      </c>
      <c r="BA1604" s="3" t="s">
        <v>15992</v>
      </c>
      <c r="BB1604" s="3" t="s">
        <v>15993</v>
      </c>
      <c r="BC1604" s="3" t="s">
        <v>102</v>
      </c>
      <c r="BD1604" s="3" t="s">
        <v>68</v>
      </c>
      <c r="BE1604" s="3" t="s">
        <v>15994</v>
      </c>
      <c r="BF1604" s="3" t="s">
        <v>15993</v>
      </c>
      <c r="BG1604" s="3" t="s">
        <v>15995</v>
      </c>
    </row>
    <row r="1605" spans="1:59" ht="58" x14ac:dyDescent="0.35">
      <c r="A1605" s="2" t="s">
        <v>89</v>
      </c>
      <c r="B1605" s="2" t="s">
        <v>90</v>
      </c>
      <c r="C1605" s="2" t="s">
        <v>15984</v>
      </c>
      <c r="D1605" s="2" t="s">
        <v>15985</v>
      </c>
      <c r="E1605" s="2" t="s">
        <v>15986</v>
      </c>
      <c r="F1605" s="3" t="s">
        <v>1437</v>
      </c>
      <c r="G1605" s="3" t="s">
        <v>61</v>
      </c>
      <c r="I1605" s="3" t="s">
        <v>62</v>
      </c>
      <c r="J1605" s="3" t="s">
        <v>62</v>
      </c>
      <c r="K1605" s="3" t="s">
        <v>63</v>
      </c>
      <c r="M1605" s="2" t="s">
        <v>15987</v>
      </c>
      <c r="N1605" s="3" t="s">
        <v>1905</v>
      </c>
      <c r="O1605" s="2" t="s">
        <v>2986</v>
      </c>
      <c r="P1605" s="3" t="s">
        <v>64</v>
      </c>
      <c r="Q1605" s="2" t="s">
        <v>15988</v>
      </c>
      <c r="R1605" s="3" t="s">
        <v>13065</v>
      </c>
      <c r="S1605" s="4">
        <v>38</v>
      </c>
      <c r="T1605" s="4">
        <v>178</v>
      </c>
      <c r="U1605" s="5" t="s">
        <v>9848</v>
      </c>
      <c r="V1605" s="5" t="s">
        <v>9848</v>
      </c>
      <c r="W1605" s="5" t="s">
        <v>67</v>
      </c>
      <c r="X1605" s="5" t="s">
        <v>67</v>
      </c>
      <c r="Y1605" s="4">
        <v>4</v>
      </c>
      <c r="Z1605" s="4">
        <v>4</v>
      </c>
      <c r="AA1605" s="4">
        <v>4</v>
      </c>
      <c r="AB1605" s="4">
        <v>1</v>
      </c>
      <c r="AC1605" s="4">
        <v>1</v>
      </c>
      <c r="AD1605" s="4">
        <v>3</v>
      </c>
      <c r="AE1605" s="4">
        <v>3</v>
      </c>
      <c r="AF1605" s="4">
        <v>0</v>
      </c>
      <c r="AG1605" s="4">
        <v>0</v>
      </c>
      <c r="AH1605" s="4">
        <v>2</v>
      </c>
      <c r="AI1605" s="4">
        <v>2</v>
      </c>
      <c r="AJ1605" s="4">
        <v>3</v>
      </c>
      <c r="AK1605" s="4">
        <v>3</v>
      </c>
      <c r="AL1605" s="4">
        <v>0</v>
      </c>
      <c r="AM1605" s="4">
        <v>0</v>
      </c>
      <c r="AN1605" s="4">
        <v>0</v>
      </c>
      <c r="AO1605" s="4">
        <v>0</v>
      </c>
      <c r="AP1605" s="4">
        <v>3</v>
      </c>
      <c r="AQ1605" s="4">
        <v>3</v>
      </c>
      <c r="AR1605" s="3" t="s">
        <v>61</v>
      </c>
      <c r="AS1605" s="3" t="s">
        <v>62</v>
      </c>
      <c r="AT1605" s="3" t="s">
        <v>62</v>
      </c>
      <c r="AV1605" s="6" t="str">
        <f>HYPERLINK("http://mcgill.on.worldcat.org/oclc/427389123","Catalog Record")</f>
        <v>Catalog Record</v>
      </c>
      <c r="AW1605" s="6" t="str">
        <f>HYPERLINK("http://www.worldcat.org/oclc/427389123","WorldCat Record")</f>
        <v>WorldCat Record</v>
      </c>
      <c r="AX1605" s="3" t="s">
        <v>15990</v>
      </c>
      <c r="AY1605" s="3" t="s">
        <v>15991</v>
      </c>
      <c r="AZ1605" s="3" t="s">
        <v>15992</v>
      </c>
      <c r="BA1605" s="3" t="s">
        <v>15992</v>
      </c>
      <c r="BB1605" s="3" t="s">
        <v>15996</v>
      </c>
      <c r="BC1605" s="3" t="s">
        <v>102</v>
      </c>
      <c r="BD1605" s="3" t="s">
        <v>68</v>
      </c>
      <c r="BE1605" s="3" t="s">
        <v>15994</v>
      </c>
      <c r="BF1605" s="3" t="s">
        <v>15996</v>
      </c>
      <c r="BG1605" s="3" t="s">
        <v>15997</v>
      </c>
    </row>
    <row r="1606" spans="1:59" ht="58" x14ac:dyDescent="0.35">
      <c r="A1606" s="2" t="s">
        <v>89</v>
      </c>
      <c r="B1606" s="2" t="s">
        <v>90</v>
      </c>
      <c r="C1606" s="2" t="s">
        <v>15984</v>
      </c>
      <c r="D1606" s="2" t="s">
        <v>15985</v>
      </c>
      <c r="E1606" s="2" t="s">
        <v>15986</v>
      </c>
      <c r="F1606" s="3" t="s">
        <v>1402</v>
      </c>
      <c r="G1606" s="3" t="s">
        <v>61</v>
      </c>
      <c r="I1606" s="3" t="s">
        <v>62</v>
      </c>
      <c r="J1606" s="3" t="s">
        <v>62</v>
      </c>
      <c r="K1606" s="3" t="s">
        <v>63</v>
      </c>
      <c r="M1606" s="2" t="s">
        <v>15987</v>
      </c>
      <c r="N1606" s="3" t="s">
        <v>1905</v>
      </c>
      <c r="O1606" s="2" t="s">
        <v>2986</v>
      </c>
      <c r="P1606" s="3" t="s">
        <v>64</v>
      </c>
      <c r="Q1606" s="2" t="s">
        <v>15988</v>
      </c>
      <c r="R1606" s="3" t="s">
        <v>13065</v>
      </c>
      <c r="S1606" s="4">
        <v>50</v>
      </c>
      <c r="T1606" s="4">
        <v>178</v>
      </c>
      <c r="U1606" s="5" t="s">
        <v>15998</v>
      </c>
      <c r="V1606" s="5" t="s">
        <v>9848</v>
      </c>
      <c r="W1606" s="5" t="s">
        <v>67</v>
      </c>
      <c r="X1606" s="5" t="s">
        <v>67</v>
      </c>
      <c r="Y1606" s="4">
        <v>4</v>
      </c>
      <c r="Z1606" s="4">
        <v>4</v>
      </c>
      <c r="AA1606" s="4">
        <v>4</v>
      </c>
      <c r="AB1606" s="4">
        <v>1</v>
      </c>
      <c r="AC1606" s="4">
        <v>1</v>
      </c>
      <c r="AD1606" s="4">
        <v>3</v>
      </c>
      <c r="AE1606" s="4">
        <v>3</v>
      </c>
      <c r="AF1606" s="4">
        <v>0</v>
      </c>
      <c r="AG1606" s="4">
        <v>0</v>
      </c>
      <c r="AH1606" s="4">
        <v>2</v>
      </c>
      <c r="AI1606" s="4">
        <v>2</v>
      </c>
      <c r="AJ1606" s="4">
        <v>3</v>
      </c>
      <c r="AK1606" s="4">
        <v>3</v>
      </c>
      <c r="AL1606" s="4">
        <v>0</v>
      </c>
      <c r="AM1606" s="4">
        <v>0</v>
      </c>
      <c r="AN1606" s="4">
        <v>0</v>
      </c>
      <c r="AO1606" s="4">
        <v>0</v>
      </c>
      <c r="AP1606" s="4">
        <v>3</v>
      </c>
      <c r="AQ1606" s="4">
        <v>3</v>
      </c>
      <c r="AR1606" s="3" t="s">
        <v>61</v>
      </c>
      <c r="AS1606" s="3" t="s">
        <v>62</v>
      </c>
      <c r="AT1606" s="3" t="s">
        <v>62</v>
      </c>
      <c r="AV1606" s="6" t="str">
        <f>HYPERLINK("http://mcgill.on.worldcat.org/oclc/427389123","Catalog Record")</f>
        <v>Catalog Record</v>
      </c>
      <c r="AW1606" s="6" t="str">
        <f>HYPERLINK("http://www.worldcat.org/oclc/427389123","WorldCat Record")</f>
        <v>WorldCat Record</v>
      </c>
      <c r="AX1606" s="3" t="s">
        <v>15990</v>
      </c>
      <c r="AY1606" s="3" t="s">
        <v>15991</v>
      </c>
      <c r="AZ1606" s="3" t="s">
        <v>15992</v>
      </c>
      <c r="BA1606" s="3" t="s">
        <v>15992</v>
      </c>
      <c r="BB1606" s="3" t="s">
        <v>15999</v>
      </c>
      <c r="BC1606" s="3" t="s">
        <v>102</v>
      </c>
      <c r="BD1606" s="3" t="s">
        <v>68</v>
      </c>
      <c r="BE1606" s="3" t="s">
        <v>15994</v>
      </c>
      <c r="BF1606" s="3" t="s">
        <v>15999</v>
      </c>
      <c r="BG1606" s="3" t="s">
        <v>16000</v>
      </c>
    </row>
    <row r="1607" spans="1:59" ht="58" x14ac:dyDescent="0.35">
      <c r="A1607" s="2" t="s">
        <v>89</v>
      </c>
      <c r="B1607" s="2" t="s">
        <v>90</v>
      </c>
      <c r="C1607" s="2" t="s">
        <v>15984</v>
      </c>
      <c r="D1607" s="2" t="s">
        <v>15985</v>
      </c>
      <c r="E1607" s="2" t="s">
        <v>15986</v>
      </c>
      <c r="F1607" s="3" t="s">
        <v>6313</v>
      </c>
      <c r="G1607" s="3" t="s">
        <v>61</v>
      </c>
      <c r="I1607" s="3" t="s">
        <v>62</v>
      </c>
      <c r="J1607" s="3" t="s">
        <v>62</v>
      </c>
      <c r="K1607" s="3" t="s">
        <v>63</v>
      </c>
      <c r="M1607" s="2" t="s">
        <v>15987</v>
      </c>
      <c r="N1607" s="3" t="s">
        <v>1905</v>
      </c>
      <c r="O1607" s="2" t="s">
        <v>2986</v>
      </c>
      <c r="P1607" s="3" t="s">
        <v>64</v>
      </c>
      <c r="Q1607" s="2" t="s">
        <v>15988</v>
      </c>
      <c r="R1607" s="3" t="s">
        <v>13065</v>
      </c>
      <c r="S1607" s="4">
        <v>50</v>
      </c>
      <c r="T1607" s="4">
        <v>178</v>
      </c>
      <c r="U1607" s="5" t="s">
        <v>16001</v>
      </c>
      <c r="V1607" s="5" t="s">
        <v>9848</v>
      </c>
      <c r="W1607" s="5" t="s">
        <v>67</v>
      </c>
      <c r="X1607" s="5" t="s">
        <v>67</v>
      </c>
      <c r="Y1607" s="4">
        <v>4</v>
      </c>
      <c r="Z1607" s="4">
        <v>4</v>
      </c>
      <c r="AA1607" s="4">
        <v>4</v>
      </c>
      <c r="AB1607" s="4">
        <v>1</v>
      </c>
      <c r="AC1607" s="4">
        <v>1</v>
      </c>
      <c r="AD1607" s="4">
        <v>3</v>
      </c>
      <c r="AE1607" s="4">
        <v>3</v>
      </c>
      <c r="AF1607" s="4">
        <v>0</v>
      </c>
      <c r="AG1607" s="4">
        <v>0</v>
      </c>
      <c r="AH1607" s="4">
        <v>2</v>
      </c>
      <c r="AI1607" s="4">
        <v>2</v>
      </c>
      <c r="AJ1607" s="4">
        <v>3</v>
      </c>
      <c r="AK1607" s="4">
        <v>3</v>
      </c>
      <c r="AL1607" s="4">
        <v>0</v>
      </c>
      <c r="AM1607" s="4">
        <v>0</v>
      </c>
      <c r="AN1607" s="4">
        <v>0</v>
      </c>
      <c r="AO1607" s="4">
        <v>0</v>
      </c>
      <c r="AP1607" s="4">
        <v>3</v>
      </c>
      <c r="AQ1607" s="4">
        <v>3</v>
      </c>
      <c r="AR1607" s="3" t="s">
        <v>61</v>
      </c>
      <c r="AS1607" s="3" t="s">
        <v>62</v>
      </c>
      <c r="AT1607" s="3" t="s">
        <v>62</v>
      </c>
      <c r="AV1607" s="6" t="str">
        <f>HYPERLINK("http://mcgill.on.worldcat.org/oclc/427389123","Catalog Record")</f>
        <v>Catalog Record</v>
      </c>
      <c r="AW1607" s="6" t="str">
        <f>HYPERLINK("http://www.worldcat.org/oclc/427389123","WorldCat Record")</f>
        <v>WorldCat Record</v>
      </c>
      <c r="AX1607" s="3" t="s">
        <v>15990</v>
      </c>
      <c r="AY1607" s="3" t="s">
        <v>15991</v>
      </c>
      <c r="AZ1607" s="3" t="s">
        <v>15992</v>
      </c>
      <c r="BA1607" s="3" t="s">
        <v>15992</v>
      </c>
      <c r="BB1607" s="3" t="s">
        <v>16002</v>
      </c>
      <c r="BC1607" s="3" t="s">
        <v>102</v>
      </c>
      <c r="BD1607" s="3" t="s">
        <v>68</v>
      </c>
      <c r="BE1607" s="3" t="s">
        <v>15994</v>
      </c>
      <c r="BF1607" s="3" t="s">
        <v>16002</v>
      </c>
      <c r="BG1607" s="3" t="s">
        <v>16003</v>
      </c>
    </row>
    <row r="1608" spans="1:59" ht="58" x14ac:dyDescent="0.35">
      <c r="A1608" s="2" t="s">
        <v>89</v>
      </c>
      <c r="B1608" s="2" t="s">
        <v>90</v>
      </c>
      <c r="C1608" s="2" t="s">
        <v>16004</v>
      </c>
      <c r="D1608" s="2" t="s">
        <v>16005</v>
      </c>
      <c r="E1608" s="2" t="s">
        <v>16006</v>
      </c>
      <c r="G1608" s="3" t="s">
        <v>62</v>
      </c>
      <c r="I1608" s="3" t="s">
        <v>61</v>
      </c>
      <c r="J1608" s="3" t="s">
        <v>62</v>
      </c>
      <c r="K1608" s="3" t="s">
        <v>63</v>
      </c>
      <c r="L1608" s="2" t="s">
        <v>16007</v>
      </c>
      <c r="M1608" s="2" t="s">
        <v>16008</v>
      </c>
      <c r="N1608" s="3" t="s">
        <v>893</v>
      </c>
      <c r="P1608" s="3" t="s">
        <v>64</v>
      </c>
      <c r="R1608" s="3" t="s">
        <v>13065</v>
      </c>
      <c r="S1608" s="4">
        <v>7</v>
      </c>
      <c r="T1608" s="4">
        <v>19</v>
      </c>
      <c r="U1608" s="5" t="s">
        <v>16009</v>
      </c>
      <c r="V1608" s="5" t="s">
        <v>16010</v>
      </c>
      <c r="W1608" s="5" t="s">
        <v>67</v>
      </c>
      <c r="X1608" s="5" t="s">
        <v>67</v>
      </c>
      <c r="Y1608" s="4">
        <v>453</v>
      </c>
      <c r="Z1608" s="4">
        <v>25</v>
      </c>
      <c r="AA1608" s="4">
        <v>47</v>
      </c>
      <c r="AB1608" s="4">
        <v>2</v>
      </c>
      <c r="AC1608" s="4">
        <v>7</v>
      </c>
      <c r="AD1608" s="4">
        <v>59</v>
      </c>
      <c r="AE1608" s="4">
        <v>86</v>
      </c>
      <c r="AF1608" s="4">
        <v>1</v>
      </c>
      <c r="AG1608" s="4">
        <v>3</v>
      </c>
      <c r="AH1608" s="4">
        <v>46</v>
      </c>
      <c r="AI1608" s="4">
        <v>62</v>
      </c>
      <c r="AJ1608" s="4">
        <v>11</v>
      </c>
      <c r="AK1608" s="4">
        <v>16</v>
      </c>
      <c r="AL1608" s="4">
        <v>26</v>
      </c>
      <c r="AM1608" s="4">
        <v>34</v>
      </c>
      <c r="AN1608" s="4">
        <v>0</v>
      </c>
      <c r="AO1608" s="4">
        <v>0</v>
      </c>
      <c r="AP1608" s="4">
        <v>18</v>
      </c>
      <c r="AQ1608" s="4">
        <v>32</v>
      </c>
      <c r="AR1608" s="3" t="s">
        <v>62</v>
      </c>
      <c r="AS1608" s="3" t="s">
        <v>62</v>
      </c>
      <c r="AT1608" s="3" t="s">
        <v>62</v>
      </c>
      <c r="AV1608" s="6" t="str">
        <f>HYPERLINK("http://mcgill.on.worldcat.org/oclc/8112759","Catalog Record")</f>
        <v>Catalog Record</v>
      </c>
      <c r="AW1608" s="6" t="str">
        <f>HYPERLINK("http://www.worldcat.org/oclc/8112759","WorldCat Record")</f>
        <v>WorldCat Record</v>
      </c>
      <c r="AX1608" s="3" t="s">
        <v>16011</v>
      </c>
      <c r="AY1608" s="3" t="s">
        <v>16012</v>
      </c>
      <c r="AZ1608" s="3" t="s">
        <v>16013</v>
      </c>
      <c r="BA1608" s="3" t="s">
        <v>16013</v>
      </c>
      <c r="BB1608" s="3" t="s">
        <v>16014</v>
      </c>
      <c r="BC1608" s="3" t="s">
        <v>102</v>
      </c>
      <c r="BD1608" s="3" t="s">
        <v>68</v>
      </c>
      <c r="BE1608" s="3" t="s">
        <v>16015</v>
      </c>
      <c r="BF1608" s="3" t="s">
        <v>16014</v>
      </c>
      <c r="BG1608" s="3" t="s">
        <v>16016</v>
      </c>
    </row>
    <row r="1609" spans="1:59" ht="58" x14ac:dyDescent="0.35">
      <c r="A1609" s="2" t="s">
        <v>89</v>
      </c>
      <c r="B1609" s="2" t="s">
        <v>90</v>
      </c>
      <c r="C1609" s="2" t="s">
        <v>16017</v>
      </c>
      <c r="D1609" s="2" t="s">
        <v>16018</v>
      </c>
      <c r="E1609" s="2" t="s">
        <v>16019</v>
      </c>
      <c r="G1609" s="3" t="s">
        <v>62</v>
      </c>
      <c r="I1609" s="3" t="s">
        <v>62</v>
      </c>
      <c r="J1609" s="3" t="s">
        <v>62</v>
      </c>
      <c r="K1609" s="3" t="s">
        <v>63</v>
      </c>
      <c r="L1609" s="2" t="s">
        <v>16020</v>
      </c>
      <c r="M1609" s="2" t="s">
        <v>16021</v>
      </c>
      <c r="N1609" s="3" t="s">
        <v>553</v>
      </c>
      <c r="P1609" s="3" t="s">
        <v>64</v>
      </c>
      <c r="Q1609" s="2" t="s">
        <v>16022</v>
      </c>
      <c r="R1609" s="3" t="s">
        <v>13065</v>
      </c>
      <c r="S1609" s="4">
        <v>21</v>
      </c>
      <c r="T1609" s="4">
        <v>21</v>
      </c>
      <c r="U1609" s="5" t="s">
        <v>8131</v>
      </c>
      <c r="V1609" s="5" t="s">
        <v>8131</v>
      </c>
      <c r="W1609" s="5" t="s">
        <v>67</v>
      </c>
      <c r="X1609" s="5" t="s">
        <v>67</v>
      </c>
      <c r="Y1609" s="4">
        <v>137</v>
      </c>
      <c r="Z1609" s="4">
        <v>8</v>
      </c>
      <c r="AA1609" s="4">
        <v>10</v>
      </c>
      <c r="AB1609" s="4">
        <v>1</v>
      </c>
      <c r="AC1609" s="4">
        <v>2</v>
      </c>
      <c r="AD1609" s="4">
        <v>58</v>
      </c>
      <c r="AE1609" s="4">
        <v>62</v>
      </c>
      <c r="AF1609" s="4">
        <v>0</v>
      </c>
      <c r="AG1609" s="4">
        <v>0</v>
      </c>
      <c r="AH1609" s="4">
        <v>55</v>
      </c>
      <c r="AI1609" s="4">
        <v>58</v>
      </c>
      <c r="AJ1609" s="4">
        <v>4</v>
      </c>
      <c r="AK1609" s="4">
        <v>4</v>
      </c>
      <c r="AL1609" s="4">
        <v>36</v>
      </c>
      <c r="AM1609" s="4">
        <v>38</v>
      </c>
      <c r="AN1609" s="4">
        <v>0</v>
      </c>
      <c r="AO1609" s="4">
        <v>0</v>
      </c>
      <c r="AP1609" s="4">
        <v>5</v>
      </c>
      <c r="AQ1609" s="4">
        <v>6</v>
      </c>
      <c r="AR1609" s="3" t="s">
        <v>62</v>
      </c>
      <c r="AS1609" s="3" t="s">
        <v>62</v>
      </c>
      <c r="AT1609" s="3" t="s">
        <v>62</v>
      </c>
      <c r="AV1609" s="6" t="str">
        <f>HYPERLINK("http://mcgill.on.worldcat.org/oclc/41070859","Catalog Record")</f>
        <v>Catalog Record</v>
      </c>
      <c r="AW1609" s="6" t="str">
        <f>HYPERLINK("http://www.worldcat.org/oclc/41070859","WorldCat Record")</f>
        <v>WorldCat Record</v>
      </c>
      <c r="AX1609" s="3" t="s">
        <v>16023</v>
      </c>
      <c r="AY1609" s="3" t="s">
        <v>16024</v>
      </c>
      <c r="AZ1609" s="3" t="s">
        <v>16025</v>
      </c>
      <c r="BA1609" s="3" t="s">
        <v>16025</v>
      </c>
      <c r="BB1609" s="3" t="s">
        <v>16026</v>
      </c>
      <c r="BC1609" s="3" t="s">
        <v>102</v>
      </c>
      <c r="BD1609" s="3" t="s">
        <v>231</v>
      </c>
      <c r="BE1609" s="3" t="s">
        <v>16027</v>
      </c>
      <c r="BF1609" s="3" t="s">
        <v>16026</v>
      </c>
      <c r="BG1609" s="3" t="s">
        <v>16028</v>
      </c>
    </row>
    <row r="1610" spans="1:59" ht="58" x14ac:dyDescent="0.35">
      <c r="A1610" s="2" t="s">
        <v>89</v>
      </c>
      <c r="B1610" s="2" t="s">
        <v>6791</v>
      </c>
      <c r="C1610" s="2" t="s">
        <v>16029</v>
      </c>
      <c r="D1610" s="2" t="s">
        <v>16030</v>
      </c>
      <c r="E1610" s="2" t="s">
        <v>16031</v>
      </c>
      <c r="G1610" s="3" t="s">
        <v>62</v>
      </c>
      <c r="I1610" s="3" t="s">
        <v>62</v>
      </c>
      <c r="J1610" s="3" t="s">
        <v>62</v>
      </c>
      <c r="K1610" s="3" t="s">
        <v>63</v>
      </c>
      <c r="L1610" s="2" t="s">
        <v>16032</v>
      </c>
      <c r="M1610" s="2" t="s">
        <v>16033</v>
      </c>
      <c r="N1610" s="3" t="s">
        <v>1455</v>
      </c>
      <c r="O1610" s="2" t="s">
        <v>16034</v>
      </c>
      <c r="P1610" s="3" t="s">
        <v>64</v>
      </c>
      <c r="R1610" s="3" t="s">
        <v>13065</v>
      </c>
      <c r="S1610" s="4">
        <v>1</v>
      </c>
      <c r="T1610" s="4">
        <v>1</v>
      </c>
      <c r="U1610" s="5" t="s">
        <v>4294</v>
      </c>
      <c r="V1610" s="5" t="s">
        <v>4294</v>
      </c>
      <c r="W1610" s="5" t="s">
        <v>67</v>
      </c>
      <c r="X1610" s="5" t="s">
        <v>67</v>
      </c>
      <c r="Y1610" s="4">
        <v>69</v>
      </c>
      <c r="Z1610" s="4">
        <v>1</v>
      </c>
      <c r="AA1610" s="4">
        <v>22</v>
      </c>
      <c r="AB1610" s="4">
        <v>1</v>
      </c>
      <c r="AC1610" s="4">
        <v>4</v>
      </c>
      <c r="AD1610" s="4">
        <v>7</v>
      </c>
      <c r="AE1610" s="4">
        <v>39</v>
      </c>
      <c r="AF1610" s="4">
        <v>0</v>
      </c>
      <c r="AG1610" s="4">
        <v>2</v>
      </c>
      <c r="AH1610" s="4">
        <v>7</v>
      </c>
      <c r="AI1610" s="4">
        <v>31</v>
      </c>
      <c r="AJ1610" s="4">
        <v>0</v>
      </c>
      <c r="AK1610" s="4">
        <v>7</v>
      </c>
      <c r="AL1610" s="4">
        <v>5</v>
      </c>
      <c r="AM1610" s="4">
        <v>14</v>
      </c>
      <c r="AN1610" s="4">
        <v>0</v>
      </c>
      <c r="AO1610" s="4">
        <v>0</v>
      </c>
      <c r="AP1610" s="4">
        <v>0</v>
      </c>
      <c r="AQ1610" s="4">
        <v>11</v>
      </c>
      <c r="AR1610" s="3" t="s">
        <v>62</v>
      </c>
      <c r="AS1610" s="3" t="s">
        <v>62</v>
      </c>
      <c r="AT1610" s="3" t="s">
        <v>62</v>
      </c>
      <c r="AV1610" s="6" t="str">
        <f>HYPERLINK("http://mcgill.on.worldcat.org/oclc/853113956","Catalog Record")</f>
        <v>Catalog Record</v>
      </c>
      <c r="AW1610" s="6" t="str">
        <f>HYPERLINK("http://www.worldcat.org/oclc/853113956","WorldCat Record")</f>
        <v>WorldCat Record</v>
      </c>
      <c r="AX1610" s="3" t="s">
        <v>16035</v>
      </c>
      <c r="AY1610" s="3" t="s">
        <v>16036</v>
      </c>
      <c r="AZ1610" s="3" t="s">
        <v>16037</v>
      </c>
      <c r="BA1610" s="3" t="s">
        <v>16037</v>
      </c>
      <c r="BB1610" s="3" t="s">
        <v>16038</v>
      </c>
      <c r="BC1610" s="3" t="s">
        <v>102</v>
      </c>
      <c r="BD1610" s="3" t="s">
        <v>68</v>
      </c>
      <c r="BE1610" s="3" t="s">
        <v>16039</v>
      </c>
      <c r="BF1610" s="3" t="s">
        <v>16038</v>
      </c>
      <c r="BG1610" s="3" t="s">
        <v>16040</v>
      </c>
    </row>
    <row r="1611" spans="1:59" ht="101.5" x14ac:dyDescent="0.35">
      <c r="A1611" s="2" t="s">
        <v>89</v>
      </c>
      <c r="B1611" s="2" t="s">
        <v>12301</v>
      </c>
      <c r="C1611" s="2" t="s">
        <v>16041</v>
      </c>
      <c r="D1611" s="2" t="s">
        <v>16042</v>
      </c>
      <c r="E1611" s="2" t="s">
        <v>16043</v>
      </c>
      <c r="G1611" s="3" t="s">
        <v>62</v>
      </c>
      <c r="I1611" s="3" t="s">
        <v>62</v>
      </c>
      <c r="J1611" s="3" t="s">
        <v>62</v>
      </c>
      <c r="K1611" s="3" t="s">
        <v>63</v>
      </c>
      <c r="L1611" s="2" t="s">
        <v>16044</v>
      </c>
      <c r="M1611" s="2" t="s">
        <v>16045</v>
      </c>
      <c r="N1611" s="3" t="s">
        <v>625</v>
      </c>
      <c r="P1611" s="3" t="s">
        <v>64</v>
      </c>
      <c r="Q1611" s="2" t="s">
        <v>16046</v>
      </c>
      <c r="R1611" s="3" t="s">
        <v>13065</v>
      </c>
      <c r="S1611" s="4">
        <v>158</v>
      </c>
      <c r="T1611" s="4">
        <v>158</v>
      </c>
      <c r="U1611" s="5" t="s">
        <v>16047</v>
      </c>
      <c r="V1611" s="5" t="s">
        <v>16047</v>
      </c>
      <c r="W1611" s="5" t="s">
        <v>1338</v>
      </c>
      <c r="X1611" s="5" t="s">
        <v>1338</v>
      </c>
      <c r="Y1611" s="4">
        <v>448</v>
      </c>
      <c r="Z1611" s="4">
        <v>30</v>
      </c>
      <c r="AA1611" s="4">
        <v>53</v>
      </c>
      <c r="AB1611" s="4">
        <v>3</v>
      </c>
      <c r="AC1611" s="4">
        <v>16</v>
      </c>
      <c r="AD1611" s="4">
        <v>82</v>
      </c>
      <c r="AE1611" s="4">
        <v>118</v>
      </c>
      <c r="AF1611" s="4">
        <v>1</v>
      </c>
      <c r="AG1611" s="4">
        <v>9</v>
      </c>
      <c r="AH1611" s="4">
        <v>64</v>
      </c>
      <c r="AI1611" s="4">
        <v>87</v>
      </c>
      <c r="AJ1611" s="4">
        <v>15</v>
      </c>
      <c r="AK1611" s="4">
        <v>21</v>
      </c>
      <c r="AL1611" s="4">
        <v>35</v>
      </c>
      <c r="AM1611" s="4">
        <v>47</v>
      </c>
      <c r="AN1611" s="4">
        <v>0</v>
      </c>
      <c r="AO1611" s="4">
        <v>0</v>
      </c>
      <c r="AP1611" s="4">
        <v>25</v>
      </c>
      <c r="AQ1611" s="4">
        <v>39</v>
      </c>
      <c r="AR1611" s="3" t="s">
        <v>62</v>
      </c>
      <c r="AS1611" s="3" t="s">
        <v>62</v>
      </c>
      <c r="AT1611" s="3" t="s">
        <v>62</v>
      </c>
      <c r="AV1611" s="6" t="str">
        <f>HYPERLINK("http://mcgill.on.worldcat.org/oclc/50494481","Catalog Record")</f>
        <v>Catalog Record</v>
      </c>
      <c r="AW1611" s="6" t="str">
        <f>HYPERLINK("http://www.worldcat.org/oclc/50494481","WorldCat Record")</f>
        <v>WorldCat Record</v>
      </c>
      <c r="AX1611" s="3" t="s">
        <v>16048</v>
      </c>
      <c r="AY1611" s="3" t="s">
        <v>16049</v>
      </c>
      <c r="AZ1611" s="3" t="s">
        <v>16050</v>
      </c>
      <c r="BA1611" s="3" t="s">
        <v>16050</v>
      </c>
      <c r="BB1611" s="3" t="s">
        <v>16051</v>
      </c>
      <c r="BC1611" s="3" t="s">
        <v>102</v>
      </c>
      <c r="BD1611" s="3" t="s">
        <v>68</v>
      </c>
      <c r="BE1611" s="3" t="s">
        <v>16052</v>
      </c>
      <c r="BF1611" s="3" t="s">
        <v>16051</v>
      </c>
      <c r="BG1611" s="3" t="s">
        <v>16053</v>
      </c>
    </row>
    <row r="1612" spans="1:59" ht="101.5" x14ac:dyDescent="0.35">
      <c r="A1612" s="2" t="s">
        <v>89</v>
      </c>
      <c r="B1612" s="2" t="s">
        <v>12301</v>
      </c>
      <c r="C1612" s="2" t="s">
        <v>16054</v>
      </c>
      <c r="D1612" s="2" t="s">
        <v>16055</v>
      </c>
      <c r="E1612" s="2" t="s">
        <v>16056</v>
      </c>
      <c r="G1612" s="3" t="s">
        <v>62</v>
      </c>
      <c r="I1612" s="3" t="s">
        <v>62</v>
      </c>
      <c r="J1612" s="3" t="s">
        <v>61</v>
      </c>
      <c r="K1612" s="3" t="s">
        <v>63</v>
      </c>
      <c r="L1612" s="2" t="s">
        <v>16057</v>
      </c>
      <c r="M1612" s="2" t="s">
        <v>16058</v>
      </c>
      <c r="N1612" s="3" t="s">
        <v>698</v>
      </c>
      <c r="O1612" s="2" t="s">
        <v>16059</v>
      </c>
      <c r="P1612" s="3" t="s">
        <v>64</v>
      </c>
      <c r="R1612" s="3" t="s">
        <v>13065</v>
      </c>
      <c r="S1612" s="4">
        <v>45</v>
      </c>
      <c r="T1612" s="4">
        <v>45</v>
      </c>
      <c r="U1612" s="5" t="s">
        <v>16060</v>
      </c>
      <c r="V1612" s="5" t="s">
        <v>16060</v>
      </c>
      <c r="W1612" s="5" t="s">
        <v>67</v>
      </c>
      <c r="X1612" s="5" t="s">
        <v>67</v>
      </c>
      <c r="Y1612" s="4">
        <v>36</v>
      </c>
      <c r="Z1612" s="4">
        <v>4</v>
      </c>
      <c r="AA1612" s="4">
        <v>74</v>
      </c>
      <c r="AB1612" s="4">
        <v>1</v>
      </c>
      <c r="AC1612" s="4">
        <v>19</v>
      </c>
      <c r="AD1612" s="4">
        <v>8</v>
      </c>
      <c r="AE1612" s="4">
        <v>134</v>
      </c>
      <c r="AF1612" s="4">
        <v>0</v>
      </c>
      <c r="AG1612" s="4">
        <v>9</v>
      </c>
      <c r="AH1612" s="4">
        <v>8</v>
      </c>
      <c r="AI1612" s="4">
        <v>105</v>
      </c>
      <c r="AJ1612" s="4">
        <v>2</v>
      </c>
      <c r="AK1612" s="4">
        <v>24</v>
      </c>
      <c r="AL1612" s="4">
        <v>5</v>
      </c>
      <c r="AM1612" s="4">
        <v>54</v>
      </c>
      <c r="AN1612" s="4">
        <v>0</v>
      </c>
      <c r="AO1612" s="4">
        <v>0</v>
      </c>
      <c r="AP1612" s="4">
        <v>2</v>
      </c>
      <c r="AQ1612" s="4">
        <v>39</v>
      </c>
      <c r="AR1612" s="3" t="s">
        <v>62</v>
      </c>
      <c r="AS1612" s="3" t="s">
        <v>62</v>
      </c>
      <c r="AT1612" s="3" t="s">
        <v>62</v>
      </c>
      <c r="AV1612" s="6" t="str">
        <f>HYPERLINK("http://mcgill.on.worldcat.org/oclc/702182593","Catalog Record")</f>
        <v>Catalog Record</v>
      </c>
      <c r="AW1612" s="6" t="str">
        <f>HYPERLINK("http://www.worldcat.org/oclc/702182593","WorldCat Record")</f>
        <v>WorldCat Record</v>
      </c>
      <c r="AX1612" s="3" t="s">
        <v>16061</v>
      </c>
      <c r="AY1612" s="3" t="s">
        <v>16062</v>
      </c>
      <c r="AZ1612" s="3" t="s">
        <v>16063</v>
      </c>
      <c r="BA1612" s="3" t="s">
        <v>16063</v>
      </c>
      <c r="BB1612" s="3" t="s">
        <v>16064</v>
      </c>
      <c r="BC1612" s="3" t="s">
        <v>102</v>
      </c>
      <c r="BD1612" s="3" t="s">
        <v>68</v>
      </c>
      <c r="BE1612" s="3" t="s">
        <v>16065</v>
      </c>
      <c r="BF1612" s="3" t="s">
        <v>16064</v>
      </c>
      <c r="BG1612" s="3" t="s">
        <v>16066</v>
      </c>
    </row>
    <row r="1613" spans="1:59" ht="87" x14ac:dyDescent="0.35">
      <c r="A1613" s="2" t="s">
        <v>89</v>
      </c>
      <c r="B1613" s="2" t="s">
        <v>90</v>
      </c>
      <c r="C1613" s="2" t="s">
        <v>16067</v>
      </c>
      <c r="D1613" s="2" t="s">
        <v>16068</v>
      </c>
      <c r="E1613" s="2" t="s">
        <v>16069</v>
      </c>
      <c r="G1613" s="3" t="s">
        <v>62</v>
      </c>
      <c r="I1613" s="3" t="s">
        <v>61</v>
      </c>
      <c r="J1613" s="3" t="s">
        <v>61</v>
      </c>
      <c r="K1613" s="3" t="s">
        <v>63</v>
      </c>
      <c r="L1613" s="2" t="s">
        <v>16070</v>
      </c>
      <c r="M1613" s="2" t="s">
        <v>16071</v>
      </c>
      <c r="N1613" s="3" t="s">
        <v>741</v>
      </c>
      <c r="O1613" s="2" t="s">
        <v>16072</v>
      </c>
      <c r="P1613" s="3" t="s">
        <v>64</v>
      </c>
      <c r="R1613" s="3" t="s">
        <v>13065</v>
      </c>
      <c r="S1613" s="4">
        <v>15</v>
      </c>
      <c r="T1613" s="4">
        <v>42</v>
      </c>
      <c r="U1613" s="5" t="s">
        <v>16073</v>
      </c>
      <c r="V1613" s="5" t="s">
        <v>16074</v>
      </c>
      <c r="W1613" s="5" t="s">
        <v>16075</v>
      </c>
      <c r="X1613" s="5" t="s">
        <v>16075</v>
      </c>
      <c r="Y1613" s="4">
        <v>7</v>
      </c>
      <c r="Z1613" s="4">
        <v>1</v>
      </c>
      <c r="AA1613" s="4">
        <v>74</v>
      </c>
      <c r="AB1613" s="4">
        <v>1</v>
      </c>
      <c r="AC1613" s="4">
        <v>19</v>
      </c>
      <c r="AD1613" s="4">
        <v>1</v>
      </c>
      <c r="AE1613" s="4">
        <v>134</v>
      </c>
      <c r="AF1613" s="4">
        <v>0</v>
      </c>
      <c r="AG1613" s="4">
        <v>9</v>
      </c>
      <c r="AH1613" s="4">
        <v>1</v>
      </c>
      <c r="AI1613" s="4">
        <v>105</v>
      </c>
      <c r="AJ1613" s="4">
        <v>0</v>
      </c>
      <c r="AK1613" s="4">
        <v>24</v>
      </c>
      <c r="AL1613" s="4">
        <v>1</v>
      </c>
      <c r="AM1613" s="4">
        <v>54</v>
      </c>
      <c r="AN1613" s="4">
        <v>0</v>
      </c>
      <c r="AO1613" s="4">
        <v>0</v>
      </c>
      <c r="AP1613" s="4">
        <v>0</v>
      </c>
      <c r="AQ1613" s="4">
        <v>39</v>
      </c>
      <c r="AR1613" s="3" t="s">
        <v>62</v>
      </c>
      <c r="AS1613" s="3" t="s">
        <v>62</v>
      </c>
      <c r="AT1613" s="3" t="s">
        <v>62</v>
      </c>
      <c r="AV1613" s="6" t="str">
        <f>HYPERLINK("http://mcgill.on.worldcat.org/oclc/1064702256","Catalog Record")</f>
        <v>Catalog Record</v>
      </c>
      <c r="AW1613" s="6" t="str">
        <f>HYPERLINK("http://www.worldcat.org/oclc/1064702256","WorldCat Record")</f>
        <v>WorldCat Record</v>
      </c>
      <c r="AX1613" s="3" t="s">
        <v>16061</v>
      </c>
      <c r="AY1613" s="3" t="s">
        <v>16076</v>
      </c>
      <c r="AZ1613" s="3" t="s">
        <v>16077</v>
      </c>
      <c r="BA1613" s="3" t="s">
        <v>16077</v>
      </c>
      <c r="BB1613" s="3" t="s">
        <v>16078</v>
      </c>
      <c r="BC1613" s="3" t="s">
        <v>102</v>
      </c>
      <c r="BD1613" s="3" t="s">
        <v>68</v>
      </c>
      <c r="BE1613" s="3" t="s">
        <v>16079</v>
      </c>
      <c r="BF1613" s="3" t="s">
        <v>16078</v>
      </c>
      <c r="BG1613" s="3" t="s">
        <v>16080</v>
      </c>
    </row>
    <row r="1614" spans="1:59" ht="87" x14ac:dyDescent="0.35">
      <c r="A1614" s="2" t="s">
        <v>89</v>
      </c>
      <c r="B1614" s="2" t="s">
        <v>90</v>
      </c>
      <c r="C1614" s="2" t="s">
        <v>16067</v>
      </c>
      <c r="D1614" s="2" t="s">
        <v>16068</v>
      </c>
      <c r="E1614" s="2" t="s">
        <v>16069</v>
      </c>
      <c r="G1614" s="3" t="s">
        <v>62</v>
      </c>
      <c r="I1614" s="3" t="s">
        <v>61</v>
      </c>
      <c r="J1614" s="3" t="s">
        <v>61</v>
      </c>
      <c r="K1614" s="3" t="s">
        <v>63</v>
      </c>
      <c r="L1614" s="2" t="s">
        <v>16070</v>
      </c>
      <c r="M1614" s="2" t="s">
        <v>16071</v>
      </c>
      <c r="N1614" s="3" t="s">
        <v>741</v>
      </c>
      <c r="O1614" s="2" t="s">
        <v>16072</v>
      </c>
      <c r="P1614" s="3" t="s">
        <v>64</v>
      </c>
      <c r="R1614" s="3" t="s">
        <v>13065</v>
      </c>
      <c r="S1614" s="4">
        <v>13</v>
      </c>
      <c r="T1614" s="4">
        <v>42</v>
      </c>
      <c r="U1614" s="5" t="s">
        <v>12369</v>
      </c>
      <c r="V1614" s="5" t="s">
        <v>16074</v>
      </c>
      <c r="W1614" s="5" t="s">
        <v>16075</v>
      </c>
      <c r="X1614" s="5" t="s">
        <v>16075</v>
      </c>
      <c r="Y1614" s="4">
        <v>7</v>
      </c>
      <c r="Z1614" s="4">
        <v>1</v>
      </c>
      <c r="AA1614" s="4">
        <v>74</v>
      </c>
      <c r="AB1614" s="4">
        <v>1</v>
      </c>
      <c r="AC1614" s="4">
        <v>19</v>
      </c>
      <c r="AD1614" s="4">
        <v>1</v>
      </c>
      <c r="AE1614" s="4">
        <v>134</v>
      </c>
      <c r="AF1614" s="4">
        <v>0</v>
      </c>
      <c r="AG1614" s="4">
        <v>9</v>
      </c>
      <c r="AH1614" s="4">
        <v>1</v>
      </c>
      <c r="AI1614" s="4">
        <v>105</v>
      </c>
      <c r="AJ1614" s="4">
        <v>0</v>
      </c>
      <c r="AK1614" s="4">
        <v>24</v>
      </c>
      <c r="AL1614" s="4">
        <v>1</v>
      </c>
      <c r="AM1614" s="4">
        <v>54</v>
      </c>
      <c r="AN1614" s="4">
        <v>0</v>
      </c>
      <c r="AO1614" s="4">
        <v>0</v>
      </c>
      <c r="AP1614" s="4">
        <v>0</v>
      </c>
      <c r="AQ1614" s="4">
        <v>39</v>
      </c>
      <c r="AR1614" s="3" t="s">
        <v>62</v>
      </c>
      <c r="AS1614" s="3" t="s">
        <v>62</v>
      </c>
      <c r="AT1614" s="3" t="s">
        <v>62</v>
      </c>
      <c r="AV1614" s="6" t="str">
        <f>HYPERLINK("http://mcgill.on.worldcat.org/oclc/1064702256","Catalog Record")</f>
        <v>Catalog Record</v>
      </c>
      <c r="AW1614" s="6" t="str">
        <f>HYPERLINK("http://www.worldcat.org/oclc/1064702256","WorldCat Record")</f>
        <v>WorldCat Record</v>
      </c>
      <c r="AX1614" s="3" t="s">
        <v>16061</v>
      </c>
      <c r="AY1614" s="3" t="s">
        <v>16076</v>
      </c>
      <c r="AZ1614" s="3" t="s">
        <v>16077</v>
      </c>
      <c r="BA1614" s="3" t="s">
        <v>16077</v>
      </c>
      <c r="BB1614" s="3" t="s">
        <v>16081</v>
      </c>
      <c r="BC1614" s="3" t="s">
        <v>102</v>
      </c>
      <c r="BD1614" s="3" t="s">
        <v>68</v>
      </c>
      <c r="BE1614" s="3" t="s">
        <v>16079</v>
      </c>
      <c r="BF1614" s="3" t="s">
        <v>16081</v>
      </c>
      <c r="BG1614" s="3" t="s">
        <v>16082</v>
      </c>
    </row>
    <row r="1615" spans="1:59" ht="87" x14ac:dyDescent="0.35">
      <c r="A1615" s="2" t="s">
        <v>89</v>
      </c>
      <c r="B1615" s="2" t="s">
        <v>90</v>
      </c>
      <c r="C1615" s="2" t="s">
        <v>16067</v>
      </c>
      <c r="D1615" s="2" t="s">
        <v>16068</v>
      </c>
      <c r="E1615" s="2" t="s">
        <v>16069</v>
      </c>
      <c r="G1615" s="3" t="s">
        <v>62</v>
      </c>
      <c r="I1615" s="3" t="s">
        <v>61</v>
      </c>
      <c r="J1615" s="3" t="s">
        <v>61</v>
      </c>
      <c r="K1615" s="3" t="s">
        <v>63</v>
      </c>
      <c r="L1615" s="2" t="s">
        <v>16070</v>
      </c>
      <c r="M1615" s="2" t="s">
        <v>16071</v>
      </c>
      <c r="N1615" s="3" t="s">
        <v>741</v>
      </c>
      <c r="O1615" s="2" t="s">
        <v>16072</v>
      </c>
      <c r="P1615" s="3" t="s">
        <v>64</v>
      </c>
      <c r="R1615" s="3" t="s">
        <v>13065</v>
      </c>
      <c r="S1615" s="4">
        <v>14</v>
      </c>
      <c r="T1615" s="4">
        <v>42</v>
      </c>
      <c r="U1615" s="5" t="s">
        <v>16074</v>
      </c>
      <c r="V1615" s="5" t="s">
        <v>16074</v>
      </c>
      <c r="W1615" s="5" t="s">
        <v>16075</v>
      </c>
      <c r="X1615" s="5" t="s">
        <v>16075</v>
      </c>
      <c r="Y1615" s="4">
        <v>7</v>
      </c>
      <c r="Z1615" s="4">
        <v>1</v>
      </c>
      <c r="AA1615" s="4">
        <v>74</v>
      </c>
      <c r="AB1615" s="4">
        <v>1</v>
      </c>
      <c r="AC1615" s="4">
        <v>19</v>
      </c>
      <c r="AD1615" s="4">
        <v>1</v>
      </c>
      <c r="AE1615" s="4">
        <v>134</v>
      </c>
      <c r="AF1615" s="4">
        <v>0</v>
      </c>
      <c r="AG1615" s="4">
        <v>9</v>
      </c>
      <c r="AH1615" s="4">
        <v>1</v>
      </c>
      <c r="AI1615" s="4">
        <v>105</v>
      </c>
      <c r="AJ1615" s="4">
        <v>0</v>
      </c>
      <c r="AK1615" s="4">
        <v>24</v>
      </c>
      <c r="AL1615" s="4">
        <v>1</v>
      </c>
      <c r="AM1615" s="4">
        <v>54</v>
      </c>
      <c r="AN1615" s="4">
        <v>0</v>
      </c>
      <c r="AO1615" s="4">
        <v>0</v>
      </c>
      <c r="AP1615" s="4">
        <v>0</v>
      </c>
      <c r="AQ1615" s="4">
        <v>39</v>
      </c>
      <c r="AR1615" s="3" t="s">
        <v>62</v>
      </c>
      <c r="AS1615" s="3" t="s">
        <v>62</v>
      </c>
      <c r="AT1615" s="3" t="s">
        <v>62</v>
      </c>
      <c r="AV1615" s="6" t="str">
        <f>HYPERLINK("http://mcgill.on.worldcat.org/oclc/1064702256","Catalog Record")</f>
        <v>Catalog Record</v>
      </c>
      <c r="AW1615" s="6" t="str">
        <f>HYPERLINK("http://www.worldcat.org/oclc/1064702256","WorldCat Record")</f>
        <v>WorldCat Record</v>
      </c>
      <c r="AX1615" s="3" t="s">
        <v>16061</v>
      </c>
      <c r="AY1615" s="3" t="s">
        <v>16076</v>
      </c>
      <c r="AZ1615" s="3" t="s">
        <v>16077</v>
      </c>
      <c r="BA1615" s="3" t="s">
        <v>16077</v>
      </c>
      <c r="BB1615" s="3" t="s">
        <v>16083</v>
      </c>
      <c r="BC1615" s="3" t="s">
        <v>102</v>
      </c>
      <c r="BD1615" s="3" t="s">
        <v>68</v>
      </c>
      <c r="BE1615" s="3" t="s">
        <v>16079</v>
      </c>
      <c r="BF1615" s="3" t="s">
        <v>16083</v>
      </c>
      <c r="BG1615" s="3" t="s">
        <v>16084</v>
      </c>
    </row>
    <row r="1616" spans="1:59" ht="116" x14ac:dyDescent="0.35">
      <c r="A1616" s="2" t="s">
        <v>89</v>
      </c>
      <c r="B1616" s="2" t="s">
        <v>6121</v>
      </c>
      <c r="C1616" s="2" t="s">
        <v>16085</v>
      </c>
      <c r="D1616" s="2" t="s">
        <v>16086</v>
      </c>
      <c r="E1616" s="2" t="s">
        <v>16087</v>
      </c>
      <c r="F1616" s="3" t="s">
        <v>16088</v>
      </c>
      <c r="G1616" s="3" t="s">
        <v>61</v>
      </c>
      <c r="I1616" s="3" t="s">
        <v>61</v>
      </c>
      <c r="J1616" s="3" t="s">
        <v>62</v>
      </c>
      <c r="K1616" s="3" t="s">
        <v>63</v>
      </c>
      <c r="L1616" s="2" t="s">
        <v>16089</v>
      </c>
      <c r="M1616" s="2" t="s">
        <v>16090</v>
      </c>
      <c r="N1616" s="3" t="s">
        <v>2000</v>
      </c>
      <c r="P1616" s="3" t="s">
        <v>85</v>
      </c>
      <c r="R1616" s="3" t="s">
        <v>13065</v>
      </c>
      <c r="S1616" s="4">
        <v>52</v>
      </c>
      <c r="T1616" s="4">
        <v>240</v>
      </c>
      <c r="U1616" s="5" t="s">
        <v>16091</v>
      </c>
      <c r="V1616" s="5" t="s">
        <v>14513</v>
      </c>
      <c r="W1616" s="5" t="s">
        <v>67</v>
      </c>
      <c r="X1616" s="5" t="s">
        <v>67</v>
      </c>
      <c r="Y1616" s="4">
        <v>2</v>
      </c>
      <c r="Z1616" s="4">
        <v>2</v>
      </c>
      <c r="AA1616" s="4">
        <v>2</v>
      </c>
      <c r="AB1616" s="4">
        <v>1</v>
      </c>
      <c r="AC1616" s="4">
        <v>1</v>
      </c>
      <c r="AD1616" s="4">
        <v>1</v>
      </c>
      <c r="AE1616" s="4">
        <v>1</v>
      </c>
      <c r="AF1616" s="4">
        <v>0</v>
      </c>
      <c r="AG1616" s="4">
        <v>0</v>
      </c>
      <c r="AH1616" s="4">
        <v>1</v>
      </c>
      <c r="AI1616" s="4">
        <v>1</v>
      </c>
      <c r="AJ1616" s="4">
        <v>1</v>
      </c>
      <c r="AK1616" s="4">
        <v>1</v>
      </c>
      <c r="AL1616" s="4">
        <v>0</v>
      </c>
      <c r="AM1616" s="4">
        <v>0</v>
      </c>
      <c r="AN1616" s="4">
        <v>0</v>
      </c>
      <c r="AO1616" s="4">
        <v>0</v>
      </c>
      <c r="AP1616" s="4">
        <v>1</v>
      </c>
      <c r="AQ1616" s="4">
        <v>1</v>
      </c>
      <c r="AR1616" s="3" t="s">
        <v>61</v>
      </c>
      <c r="AS1616" s="3" t="s">
        <v>62</v>
      </c>
      <c r="AT1616" s="3" t="s">
        <v>62</v>
      </c>
      <c r="AV1616" s="6" t="str">
        <f t="shared" ref="AV1616:AV1621" si="35">HYPERLINK("http://mcgill.on.worldcat.org/oclc/428093043","Catalog Record")</f>
        <v>Catalog Record</v>
      </c>
      <c r="AW1616" s="6" t="str">
        <f t="shared" ref="AW1616:AW1621" si="36">HYPERLINK("http://www.worldcat.org/oclc/428093043","WorldCat Record")</f>
        <v>WorldCat Record</v>
      </c>
      <c r="AX1616" s="3" t="s">
        <v>16092</v>
      </c>
      <c r="AY1616" s="3" t="s">
        <v>16093</v>
      </c>
      <c r="AZ1616" s="3" t="s">
        <v>16094</v>
      </c>
      <c r="BA1616" s="3" t="s">
        <v>16094</v>
      </c>
      <c r="BB1616" s="3" t="s">
        <v>16095</v>
      </c>
      <c r="BC1616" s="3" t="s">
        <v>102</v>
      </c>
      <c r="BD1616" s="3" t="s">
        <v>68</v>
      </c>
      <c r="BE1616" s="3" t="s">
        <v>16096</v>
      </c>
      <c r="BF1616" s="3" t="s">
        <v>16095</v>
      </c>
      <c r="BG1616" s="3" t="s">
        <v>16097</v>
      </c>
    </row>
    <row r="1617" spans="1:59" ht="116" x14ac:dyDescent="0.35">
      <c r="A1617" s="2" t="s">
        <v>89</v>
      </c>
      <c r="B1617" s="2" t="s">
        <v>6121</v>
      </c>
      <c r="C1617" s="2" t="s">
        <v>16085</v>
      </c>
      <c r="D1617" s="2" t="s">
        <v>16086</v>
      </c>
      <c r="E1617" s="2" t="s">
        <v>16087</v>
      </c>
      <c r="F1617" s="3" t="s">
        <v>16098</v>
      </c>
      <c r="G1617" s="3" t="s">
        <v>61</v>
      </c>
      <c r="I1617" s="3" t="s">
        <v>61</v>
      </c>
      <c r="J1617" s="3" t="s">
        <v>62</v>
      </c>
      <c r="K1617" s="3" t="s">
        <v>63</v>
      </c>
      <c r="L1617" s="2" t="s">
        <v>16089</v>
      </c>
      <c r="M1617" s="2" t="s">
        <v>16090</v>
      </c>
      <c r="N1617" s="3" t="s">
        <v>2000</v>
      </c>
      <c r="P1617" s="3" t="s">
        <v>85</v>
      </c>
      <c r="R1617" s="3" t="s">
        <v>13065</v>
      </c>
      <c r="S1617" s="4">
        <v>34</v>
      </c>
      <c r="T1617" s="4">
        <v>240</v>
      </c>
      <c r="U1617" s="5" t="s">
        <v>16099</v>
      </c>
      <c r="V1617" s="5" t="s">
        <v>14513</v>
      </c>
      <c r="W1617" s="5" t="s">
        <v>67</v>
      </c>
      <c r="X1617" s="5" t="s">
        <v>67</v>
      </c>
      <c r="Y1617" s="4">
        <v>2</v>
      </c>
      <c r="Z1617" s="4">
        <v>2</v>
      </c>
      <c r="AA1617" s="4">
        <v>2</v>
      </c>
      <c r="AB1617" s="4">
        <v>1</v>
      </c>
      <c r="AC1617" s="4">
        <v>1</v>
      </c>
      <c r="AD1617" s="4">
        <v>1</v>
      </c>
      <c r="AE1617" s="4">
        <v>1</v>
      </c>
      <c r="AF1617" s="4">
        <v>0</v>
      </c>
      <c r="AG1617" s="4">
        <v>0</v>
      </c>
      <c r="AH1617" s="4">
        <v>1</v>
      </c>
      <c r="AI1617" s="4">
        <v>1</v>
      </c>
      <c r="AJ1617" s="4">
        <v>1</v>
      </c>
      <c r="AK1617" s="4">
        <v>1</v>
      </c>
      <c r="AL1617" s="4">
        <v>0</v>
      </c>
      <c r="AM1617" s="4">
        <v>0</v>
      </c>
      <c r="AN1617" s="4">
        <v>0</v>
      </c>
      <c r="AO1617" s="4">
        <v>0</v>
      </c>
      <c r="AP1617" s="4">
        <v>1</v>
      </c>
      <c r="AQ1617" s="4">
        <v>1</v>
      </c>
      <c r="AR1617" s="3" t="s">
        <v>61</v>
      </c>
      <c r="AS1617" s="3" t="s">
        <v>62</v>
      </c>
      <c r="AT1617" s="3" t="s">
        <v>62</v>
      </c>
      <c r="AV1617" s="6" t="str">
        <f t="shared" si="35"/>
        <v>Catalog Record</v>
      </c>
      <c r="AW1617" s="6" t="str">
        <f t="shared" si="36"/>
        <v>WorldCat Record</v>
      </c>
      <c r="AX1617" s="3" t="s">
        <v>16092</v>
      </c>
      <c r="AY1617" s="3" t="s">
        <v>16093</v>
      </c>
      <c r="AZ1617" s="3" t="s">
        <v>16094</v>
      </c>
      <c r="BA1617" s="3" t="s">
        <v>16094</v>
      </c>
      <c r="BB1617" s="3" t="s">
        <v>16100</v>
      </c>
      <c r="BC1617" s="3" t="s">
        <v>102</v>
      </c>
      <c r="BD1617" s="3" t="s">
        <v>68</v>
      </c>
      <c r="BE1617" s="3" t="s">
        <v>16096</v>
      </c>
      <c r="BF1617" s="3" t="s">
        <v>16100</v>
      </c>
      <c r="BG1617" s="3" t="s">
        <v>16101</v>
      </c>
    </row>
    <row r="1618" spans="1:59" ht="116" x14ac:dyDescent="0.35">
      <c r="A1618" s="2" t="s">
        <v>89</v>
      </c>
      <c r="B1618" s="2" t="s">
        <v>6121</v>
      </c>
      <c r="C1618" s="2" t="s">
        <v>16085</v>
      </c>
      <c r="D1618" s="2" t="s">
        <v>16086</v>
      </c>
      <c r="E1618" s="2" t="s">
        <v>16087</v>
      </c>
      <c r="F1618" s="3" t="s">
        <v>16102</v>
      </c>
      <c r="G1618" s="3" t="s">
        <v>61</v>
      </c>
      <c r="I1618" s="3" t="s">
        <v>61</v>
      </c>
      <c r="J1618" s="3" t="s">
        <v>62</v>
      </c>
      <c r="K1618" s="3" t="s">
        <v>63</v>
      </c>
      <c r="L1618" s="2" t="s">
        <v>16089</v>
      </c>
      <c r="M1618" s="2" t="s">
        <v>16090</v>
      </c>
      <c r="N1618" s="3" t="s">
        <v>2000</v>
      </c>
      <c r="P1618" s="3" t="s">
        <v>85</v>
      </c>
      <c r="R1618" s="3" t="s">
        <v>13065</v>
      </c>
      <c r="S1618" s="4">
        <v>20</v>
      </c>
      <c r="T1618" s="4">
        <v>240</v>
      </c>
      <c r="U1618" s="5" t="s">
        <v>16103</v>
      </c>
      <c r="V1618" s="5" t="s">
        <v>14513</v>
      </c>
      <c r="W1618" s="5" t="s">
        <v>67</v>
      </c>
      <c r="X1618" s="5" t="s">
        <v>67</v>
      </c>
      <c r="Y1618" s="4">
        <v>2</v>
      </c>
      <c r="Z1618" s="4">
        <v>2</v>
      </c>
      <c r="AA1618" s="4">
        <v>2</v>
      </c>
      <c r="AB1618" s="4">
        <v>1</v>
      </c>
      <c r="AC1618" s="4">
        <v>1</v>
      </c>
      <c r="AD1618" s="4">
        <v>1</v>
      </c>
      <c r="AE1618" s="4">
        <v>1</v>
      </c>
      <c r="AF1618" s="4">
        <v>0</v>
      </c>
      <c r="AG1618" s="4">
        <v>0</v>
      </c>
      <c r="AH1618" s="4">
        <v>1</v>
      </c>
      <c r="AI1618" s="4">
        <v>1</v>
      </c>
      <c r="AJ1618" s="4">
        <v>1</v>
      </c>
      <c r="AK1618" s="4">
        <v>1</v>
      </c>
      <c r="AL1618" s="4">
        <v>0</v>
      </c>
      <c r="AM1618" s="4">
        <v>0</v>
      </c>
      <c r="AN1618" s="4">
        <v>0</v>
      </c>
      <c r="AO1618" s="4">
        <v>0</v>
      </c>
      <c r="AP1618" s="4">
        <v>1</v>
      </c>
      <c r="AQ1618" s="4">
        <v>1</v>
      </c>
      <c r="AR1618" s="3" t="s">
        <v>61</v>
      </c>
      <c r="AS1618" s="3" t="s">
        <v>62</v>
      </c>
      <c r="AT1618" s="3" t="s">
        <v>62</v>
      </c>
      <c r="AV1618" s="6" t="str">
        <f t="shared" si="35"/>
        <v>Catalog Record</v>
      </c>
      <c r="AW1618" s="6" t="str">
        <f t="shared" si="36"/>
        <v>WorldCat Record</v>
      </c>
      <c r="AX1618" s="3" t="s">
        <v>16092</v>
      </c>
      <c r="AY1618" s="3" t="s">
        <v>16093</v>
      </c>
      <c r="AZ1618" s="3" t="s">
        <v>16094</v>
      </c>
      <c r="BA1618" s="3" t="s">
        <v>16094</v>
      </c>
      <c r="BB1618" s="3" t="s">
        <v>16104</v>
      </c>
      <c r="BC1618" s="3" t="s">
        <v>102</v>
      </c>
      <c r="BD1618" s="3" t="s">
        <v>68</v>
      </c>
      <c r="BE1618" s="3" t="s">
        <v>16096</v>
      </c>
      <c r="BF1618" s="3" t="s">
        <v>16104</v>
      </c>
      <c r="BG1618" s="3" t="s">
        <v>16105</v>
      </c>
    </row>
    <row r="1619" spans="1:59" ht="116" x14ac:dyDescent="0.35">
      <c r="A1619" s="2" t="s">
        <v>89</v>
      </c>
      <c r="B1619" s="2" t="s">
        <v>6121</v>
      </c>
      <c r="C1619" s="2" t="s">
        <v>16085</v>
      </c>
      <c r="D1619" s="2" t="s">
        <v>16086</v>
      </c>
      <c r="E1619" s="2" t="s">
        <v>16087</v>
      </c>
      <c r="F1619" s="3" t="s">
        <v>16098</v>
      </c>
      <c r="G1619" s="3" t="s">
        <v>61</v>
      </c>
      <c r="I1619" s="3" t="s">
        <v>61</v>
      </c>
      <c r="J1619" s="3" t="s">
        <v>62</v>
      </c>
      <c r="K1619" s="3" t="s">
        <v>63</v>
      </c>
      <c r="L1619" s="2" t="s">
        <v>16089</v>
      </c>
      <c r="M1619" s="2" t="s">
        <v>16090</v>
      </c>
      <c r="N1619" s="3" t="s">
        <v>2000</v>
      </c>
      <c r="P1619" s="3" t="s">
        <v>85</v>
      </c>
      <c r="R1619" s="3" t="s">
        <v>13065</v>
      </c>
      <c r="S1619" s="4">
        <v>59</v>
      </c>
      <c r="T1619" s="4">
        <v>240</v>
      </c>
      <c r="U1619" s="5" t="s">
        <v>14513</v>
      </c>
      <c r="V1619" s="5" t="s">
        <v>14513</v>
      </c>
      <c r="W1619" s="5" t="s">
        <v>67</v>
      </c>
      <c r="X1619" s="5" t="s">
        <v>67</v>
      </c>
      <c r="Y1619" s="4">
        <v>2</v>
      </c>
      <c r="Z1619" s="4">
        <v>2</v>
      </c>
      <c r="AA1619" s="4">
        <v>2</v>
      </c>
      <c r="AB1619" s="4">
        <v>1</v>
      </c>
      <c r="AC1619" s="4">
        <v>1</v>
      </c>
      <c r="AD1619" s="4">
        <v>1</v>
      </c>
      <c r="AE1619" s="4">
        <v>1</v>
      </c>
      <c r="AF1619" s="4">
        <v>0</v>
      </c>
      <c r="AG1619" s="4">
        <v>0</v>
      </c>
      <c r="AH1619" s="4">
        <v>1</v>
      </c>
      <c r="AI1619" s="4">
        <v>1</v>
      </c>
      <c r="AJ1619" s="4">
        <v>1</v>
      </c>
      <c r="AK1619" s="4">
        <v>1</v>
      </c>
      <c r="AL1619" s="4">
        <v>0</v>
      </c>
      <c r="AM1619" s="4">
        <v>0</v>
      </c>
      <c r="AN1619" s="4">
        <v>0</v>
      </c>
      <c r="AO1619" s="4">
        <v>0</v>
      </c>
      <c r="AP1619" s="4">
        <v>1</v>
      </c>
      <c r="AQ1619" s="4">
        <v>1</v>
      </c>
      <c r="AR1619" s="3" t="s">
        <v>61</v>
      </c>
      <c r="AS1619" s="3" t="s">
        <v>62</v>
      </c>
      <c r="AT1619" s="3" t="s">
        <v>62</v>
      </c>
      <c r="AV1619" s="6" t="str">
        <f t="shared" si="35"/>
        <v>Catalog Record</v>
      </c>
      <c r="AW1619" s="6" t="str">
        <f t="shared" si="36"/>
        <v>WorldCat Record</v>
      </c>
      <c r="AX1619" s="3" t="s">
        <v>16092</v>
      </c>
      <c r="AY1619" s="3" t="s">
        <v>16093</v>
      </c>
      <c r="AZ1619" s="3" t="s">
        <v>16094</v>
      </c>
      <c r="BA1619" s="3" t="s">
        <v>16094</v>
      </c>
      <c r="BB1619" s="3" t="s">
        <v>16106</v>
      </c>
      <c r="BC1619" s="3" t="s">
        <v>102</v>
      </c>
      <c r="BD1619" s="3" t="s">
        <v>68</v>
      </c>
      <c r="BE1619" s="3" t="s">
        <v>16096</v>
      </c>
      <c r="BF1619" s="3" t="s">
        <v>16106</v>
      </c>
      <c r="BG1619" s="3" t="s">
        <v>16107</v>
      </c>
    </row>
    <row r="1620" spans="1:59" ht="116" x14ac:dyDescent="0.35">
      <c r="A1620" s="2" t="s">
        <v>89</v>
      </c>
      <c r="B1620" s="2" t="s">
        <v>6121</v>
      </c>
      <c r="C1620" s="2" t="s">
        <v>16085</v>
      </c>
      <c r="D1620" s="2" t="s">
        <v>16086</v>
      </c>
      <c r="E1620" s="2" t="s">
        <v>16087</v>
      </c>
      <c r="F1620" s="3" t="s">
        <v>16108</v>
      </c>
      <c r="G1620" s="3" t="s">
        <v>61</v>
      </c>
      <c r="I1620" s="3" t="s">
        <v>61</v>
      </c>
      <c r="J1620" s="3" t="s">
        <v>62</v>
      </c>
      <c r="K1620" s="3" t="s">
        <v>63</v>
      </c>
      <c r="L1620" s="2" t="s">
        <v>16089</v>
      </c>
      <c r="M1620" s="2" t="s">
        <v>16090</v>
      </c>
      <c r="N1620" s="3" t="s">
        <v>2000</v>
      </c>
      <c r="P1620" s="3" t="s">
        <v>85</v>
      </c>
      <c r="R1620" s="3" t="s">
        <v>13065</v>
      </c>
      <c r="S1620" s="4">
        <v>42</v>
      </c>
      <c r="T1620" s="4">
        <v>240</v>
      </c>
      <c r="U1620" s="5" t="s">
        <v>16091</v>
      </c>
      <c r="V1620" s="5" t="s">
        <v>14513</v>
      </c>
      <c r="W1620" s="5" t="s">
        <v>67</v>
      </c>
      <c r="X1620" s="5" t="s">
        <v>67</v>
      </c>
      <c r="Y1620" s="4">
        <v>2</v>
      </c>
      <c r="Z1620" s="4">
        <v>2</v>
      </c>
      <c r="AA1620" s="4">
        <v>2</v>
      </c>
      <c r="AB1620" s="4">
        <v>1</v>
      </c>
      <c r="AC1620" s="4">
        <v>1</v>
      </c>
      <c r="AD1620" s="4">
        <v>1</v>
      </c>
      <c r="AE1620" s="4">
        <v>1</v>
      </c>
      <c r="AF1620" s="4">
        <v>0</v>
      </c>
      <c r="AG1620" s="4">
        <v>0</v>
      </c>
      <c r="AH1620" s="4">
        <v>1</v>
      </c>
      <c r="AI1620" s="4">
        <v>1</v>
      </c>
      <c r="AJ1620" s="4">
        <v>1</v>
      </c>
      <c r="AK1620" s="4">
        <v>1</v>
      </c>
      <c r="AL1620" s="4">
        <v>0</v>
      </c>
      <c r="AM1620" s="4">
        <v>0</v>
      </c>
      <c r="AN1620" s="4">
        <v>0</v>
      </c>
      <c r="AO1620" s="4">
        <v>0</v>
      </c>
      <c r="AP1620" s="4">
        <v>1</v>
      </c>
      <c r="AQ1620" s="4">
        <v>1</v>
      </c>
      <c r="AR1620" s="3" t="s">
        <v>61</v>
      </c>
      <c r="AS1620" s="3" t="s">
        <v>62</v>
      </c>
      <c r="AT1620" s="3" t="s">
        <v>62</v>
      </c>
      <c r="AV1620" s="6" t="str">
        <f t="shared" si="35"/>
        <v>Catalog Record</v>
      </c>
      <c r="AW1620" s="6" t="str">
        <f t="shared" si="36"/>
        <v>WorldCat Record</v>
      </c>
      <c r="AX1620" s="3" t="s">
        <v>16092</v>
      </c>
      <c r="AY1620" s="3" t="s">
        <v>16093</v>
      </c>
      <c r="AZ1620" s="3" t="s">
        <v>16094</v>
      </c>
      <c r="BA1620" s="3" t="s">
        <v>16094</v>
      </c>
      <c r="BB1620" s="3" t="s">
        <v>16109</v>
      </c>
      <c r="BC1620" s="3" t="s">
        <v>102</v>
      </c>
      <c r="BD1620" s="3" t="s">
        <v>68</v>
      </c>
      <c r="BE1620" s="3" t="s">
        <v>16096</v>
      </c>
      <c r="BF1620" s="3" t="s">
        <v>16109</v>
      </c>
      <c r="BG1620" s="3" t="s">
        <v>16110</v>
      </c>
    </row>
    <row r="1621" spans="1:59" ht="116" x14ac:dyDescent="0.35">
      <c r="A1621" s="2" t="s">
        <v>89</v>
      </c>
      <c r="B1621" s="2" t="s">
        <v>6121</v>
      </c>
      <c r="C1621" s="2" t="s">
        <v>16085</v>
      </c>
      <c r="D1621" s="2" t="s">
        <v>16086</v>
      </c>
      <c r="E1621" s="2" t="s">
        <v>16087</v>
      </c>
      <c r="F1621" s="3" t="s">
        <v>16111</v>
      </c>
      <c r="G1621" s="3" t="s">
        <v>61</v>
      </c>
      <c r="I1621" s="3" t="s">
        <v>61</v>
      </c>
      <c r="J1621" s="3" t="s">
        <v>62</v>
      </c>
      <c r="K1621" s="3" t="s">
        <v>63</v>
      </c>
      <c r="L1621" s="2" t="s">
        <v>16089</v>
      </c>
      <c r="M1621" s="2" t="s">
        <v>16090</v>
      </c>
      <c r="N1621" s="3" t="s">
        <v>2000</v>
      </c>
      <c r="P1621" s="3" t="s">
        <v>85</v>
      </c>
      <c r="R1621" s="3" t="s">
        <v>13065</v>
      </c>
      <c r="S1621" s="4">
        <v>33</v>
      </c>
      <c r="T1621" s="4">
        <v>240</v>
      </c>
      <c r="U1621" s="5" t="s">
        <v>16091</v>
      </c>
      <c r="V1621" s="5" t="s">
        <v>14513</v>
      </c>
      <c r="W1621" s="5" t="s">
        <v>67</v>
      </c>
      <c r="X1621" s="5" t="s">
        <v>67</v>
      </c>
      <c r="Y1621" s="4">
        <v>2</v>
      </c>
      <c r="Z1621" s="4">
        <v>2</v>
      </c>
      <c r="AA1621" s="4">
        <v>2</v>
      </c>
      <c r="AB1621" s="4">
        <v>1</v>
      </c>
      <c r="AC1621" s="4">
        <v>1</v>
      </c>
      <c r="AD1621" s="4">
        <v>1</v>
      </c>
      <c r="AE1621" s="4">
        <v>1</v>
      </c>
      <c r="AF1621" s="4">
        <v>0</v>
      </c>
      <c r="AG1621" s="4">
        <v>0</v>
      </c>
      <c r="AH1621" s="4">
        <v>1</v>
      </c>
      <c r="AI1621" s="4">
        <v>1</v>
      </c>
      <c r="AJ1621" s="4">
        <v>1</v>
      </c>
      <c r="AK1621" s="4">
        <v>1</v>
      </c>
      <c r="AL1621" s="4">
        <v>0</v>
      </c>
      <c r="AM1621" s="4">
        <v>0</v>
      </c>
      <c r="AN1621" s="4">
        <v>0</v>
      </c>
      <c r="AO1621" s="4">
        <v>0</v>
      </c>
      <c r="AP1621" s="4">
        <v>1</v>
      </c>
      <c r="AQ1621" s="4">
        <v>1</v>
      </c>
      <c r="AR1621" s="3" t="s">
        <v>61</v>
      </c>
      <c r="AS1621" s="3" t="s">
        <v>62</v>
      </c>
      <c r="AT1621" s="3" t="s">
        <v>62</v>
      </c>
      <c r="AV1621" s="6" t="str">
        <f t="shared" si="35"/>
        <v>Catalog Record</v>
      </c>
      <c r="AW1621" s="6" t="str">
        <f t="shared" si="36"/>
        <v>WorldCat Record</v>
      </c>
      <c r="AX1621" s="3" t="s">
        <v>16092</v>
      </c>
      <c r="AY1621" s="3" t="s">
        <v>16093</v>
      </c>
      <c r="AZ1621" s="3" t="s">
        <v>16094</v>
      </c>
      <c r="BA1621" s="3" t="s">
        <v>16094</v>
      </c>
      <c r="BB1621" s="3" t="s">
        <v>16112</v>
      </c>
      <c r="BC1621" s="3" t="s">
        <v>102</v>
      </c>
      <c r="BD1621" s="3" t="s">
        <v>68</v>
      </c>
      <c r="BE1621" s="3" t="s">
        <v>16096</v>
      </c>
      <c r="BF1621" s="3" t="s">
        <v>16112</v>
      </c>
      <c r="BG1621" s="3" t="s">
        <v>16113</v>
      </c>
    </row>
    <row r="1622" spans="1:59" ht="58" x14ac:dyDescent="0.35">
      <c r="A1622" s="2" t="s">
        <v>89</v>
      </c>
      <c r="B1622" s="2" t="s">
        <v>90</v>
      </c>
      <c r="C1622" s="2" t="s">
        <v>16114</v>
      </c>
      <c r="D1622" s="2" t="s">
        <v>16115</v>
      </c>
      <c r="E1622" s="2" t="s">
        <v>16116</v>
      </c>
      <c r="G1622" s="3" t="s">
        <v>62</v>
      </c>
      <c r="I1622" s="3" t="s">
        <v>62</v>
      </c>
      <c r="J1622" s="3" t="s">
        <v>62</v>
      </c>
      <c r="K1622" s="3" t="s">
        <v>63</v>
      </c>
      <c r="L1622" s="2" t="s">
        <v>16117</v>
      </c>
      <c r="M1622" s="2" t="s">
        <v>16118</v>
      </c>
      <c r="N1622" s="3" t="s">
        <v>539</v>
      </c>
      <c r="O1622" s="2" t="s">
        <v>10722</v>
      </c>
      <c r="P1622" s="3" t="s">
        <v>64</v>
      </c>
      <c r="R1622" s="3" t="s">
        <v>13065</v>
      </c>
      <c r="S1622" s="4">
        <v>83</v>
      </c>
      <c r="T1622" s="4">
        <v>83</v>
      </c>
      <c r="U1622" s="5" t="s">
        <v>16119</v>
      </c>
      <c r="V1622" s="5" t="s">
        <v>16119</v>
      </c>
      <c r="W1622" s="5" t="s">
        <v>67</v>
      </c>
      <c r="X1622" s="5" t="s">
        <v>67</v>
      </c>
      <c r="Y1622" s="4">
        <v>73</v>
      </c>
      <c r="Z1622" s="4">
        <v>3</v>
      </c>
      <c r="AA1622" s="4">
        <v>7</v>
      </c>
      <c r="AB1622" s="4">
        <v>1</v>
      </c>
      <c r="AC1622" s="4">
        <v>1</v>
      </c>
      <c r="AD1622" s="4">
        <v>6</v>
      </c>
      <c r="AE1622" s="4">
        <v>22</v>
      </c>
      <c r="AF1622" s="4">
        <v>0</v>
      </c>
      <c r="AG1622" s="4">
        <v>0</v>
      </c>
      <c r="AH1622" s="4">
        <v>6</v>
      </c>
      <c r="AI1622" s="4">
        <v>21</v>
      </c>
      <c r="AJ1622" s="4">
        <v>0</v>
      </c>
      <c r="AK1622" s="4">
        <v>2</v>
      </c>
      <c r="AL1622" s="4">
        <v>3</v>
      </c>
      <c r="AM1622" s="4">
        <v>11</v>
      </c>
      <c r="AN1622" s="4">
        <v>0</v>
      </c>
      <c r="AO1622" s="4">
        <v>0</v>
      </c>
      <c r="AP1622" s="4">
        <v>0</v>
      </c>
      <c r="AQ1622" s="4">
        <v>2</v>
      </c>
      <c r="AR1622" s="3" t="s">
        <v>62</v>
      </c>
      <c r="AS1622" s="3" t="s">
        <v>62</v>
      </c>
      <c r="AT1622" s="3" t="s">
        <v>62</v>
      </c>
      <c r="AV1622" s="6" t="str">
        <f>HYPERLINK("http://mcgill.on.worldcat.org/oclc/39309190","Catalog Record")</f>
        <v>Catalog Record</v>
      </c>
      <c r="AW1622" s="6" t="str">
        <f>HYPERLINK("http://www.worldcat.org/oclc/39309190","WorldCat Record")</f>
        <v>WorldCat Record</v>
      </c>
      <c r="AX1622" s="3" t="s">
        <v>16120</v>
      </c>
      <c r="AY1622" s="3" t="s">
        <v>16121</v>
      </c>
      <c r="AZ1622" s="3" t="s">
        <v>16122</v>
      </c>
      <c r="BA1622" s="3" t="s">
        <v>16122</v>
      </c>
      <c r="BB1622" s="3" t="s">
        <v>16123</v>
      </c>
      <c r="BC1622" s="3" t="s">
        <v>102</v>
      </c>
      <c r="BD1622" s="3" t="s">
        <v>68</v>
      </c>
      <c r="BE1622" s="3" t="s">
        <v>16124</v>
      </c>
      <c r="BF1622" s="3" t="s">
        <v>16123</v>
      </c>
      <c r="BG1622" s="3" t="s">
        <v>16125</v>
      </c>
    </row>
    <row r="1623" spans="1:59" ht="58" x14ac:dyDescent="0.35">
      <c r="A1623" s="2" t="s">
        <v>89</v>
      </c>
      <c r="B1623" s="2" t="s">
        <v>90</v>
      </c>
      <c r="C1623" s="2" t="s">
        <v>16126</v>
      </c>
      <c r="D1623" s="2" t="s">
        <v>16127</v>
      </c>
      <c r="E1623" s="2" t="s">
        <v>16128</v>
      </c>
      <c r="G1623" s="3" t="s">
        <v>62</v>
      </c>
      <c r="I1623" s="3" t="s">
        <v>62</v>
      </c>
      <c r="J1623" s="3" t="s">
        <v>62</v>
      </c>
      <c r="K1623" s="3" t="s">
        <v>63</v>
      </c>
      <c r="L1623" s="2" t="s">
        <v>15798</v>
      </c>
      <c r="M1623" s="2" t="s">
        <v>10770</v>
      </c>
      <c r="N1623" s="3" t="s">
        <v>2000</v>
      </c>
      <c r="P1623" s="3" t="s">
        <v>64</v>
      </c>
      <c r="Q1623" s="2" t="s">
        <v>16129</v>
      </c>
      <c r="R1623" s="3" t="s">
        <v>13065</v>
      </c>
      <c r="S1623" s="4">
        <v>10</v>
      </c>
      <c r="T1623" s="4">
        <v>10</v>
      </c>
      <c r="U1623" s="5" t="s">
        <v>16130</v>
      </c>
      <c r="V1623" s="5" t="s">
        <v>16130</v>
      </c>
      <c r="W1623" s="5" t="s">
        <v>67</v>
      </c>
      <c r="X1623" s="5" t="s">
        <v>67</v>
      </c>
      <c r="Y1623" s="4">
        <v>407</v>
      </c>
      <c r="Z1623" s="4">
        <v>27</v>
      </c>
      <c r="AA1623" s="4">
        <v>61</v>
      </c>
      <c r="AB1623" s="4">
        <v>2</v>
      </c>
      <c r="AC1623" s="4">
        <v>8</v>
      </c>
      <c r="AD1623" s="4">
        <v>101</v>
      </c>
      <c r="AE1623" s="4">
        <v>122</v>
      </c>
      <c r="AF1623" s="4">
        <v>1</v>
      </c>
      <c r="AG1623" s="4">
        <v>2</v>
      </c>
      <c r="AH1623" s="4">
        <v>85</v>
      </c>
      <c r="AI1623" s="4">
        <v>97</v>
      </c>
      <c r="AJ1623" s="4">
        <v>11</v>
      </c>
      <c r="AK1623" s="4">
        <v>17</v>
      </c>
      <c r="AL1623" s="4">
        <v>50</v>
      </c>
      <c r="AM1623" s="4">
        <v>55</v>
      </c>
      <c r="AN1623" s="4">
        <v>0</v>
      </c>
      <c r="AO1623" s="4">
        <v>0</v>
      </c>
      <c r="AP1623" s="4">
        <v>20</v>
      </c>
      <c r="AQ1623" s="4">
        <v>29</v>
      </c>
      <c r="AR1623" s="3" t="s">
        <v>62</v>
      </c>
      <c r="AS1623" s="3" t="s">
        <v>62</v>
      </c>
      <c r="AT1623" s="3" t="s">
        <v>62</v>
      </c>
      <c r="AV1623" s="6" t="str">
        <f>HYPERLINK("http://mcgill.on.worldcat.org/oclc/33408101","Catalog Record")</f>
        <v>Catalog Record</v>
      </c>
      <c r="AW1623" s="6" t="str">
        <f>HYPERLINK("http://www.worldcat.org/oclc/33408101","WorldCat Record")</f>
        <v>WorldCat Record</v>
      </c>
      <c r="AX1623" s="3" t="s">
        <v>16131</v>
      </c>
      <c r="AY1623" s="3" t="s">
        <v>16132</v>
      </c>
      <c r="AZ1623" s="3" t="s">
        <v>16133</v>
      </c>
      <c r="BA1623" s="3" t="s">
        <v>16133</v>
      </c>
      <c r="BB1623" s="3" t="s">
        <v>16134</v>
      </c>
      <c r="BC1623" s="3" t="s">
        <v>102</v>
      </c>
      <c r="BD1623" s="3" t="s">
        <v>68</v>
      </c>
      <c r="BE1623" s="3" t="s">
        <v>16135</v>
      </c>
      <c r="BF1623" s="3" t="s">
        <v>16134</v>
      </c>
      <c r="BG1623" s="3" t="s">
        <v>16136</v>
      </c>
    </row>
    <row r="1624" spans="1:59" ht="58" x14ac:dyDescent="0.35">
      <c r="A1624" s="2" t="s">
        <v>89</v>
      </c>
      <c r="B1624" s="2" t="s">
        <v>90</v>
      </c>
      <c r="C1624" s="2" t="s">
        <v>16137</v>
      </c>
      <c r="D1624" s="2" t="s">
        <v>16138</v>
      </c>
      <c r="E1624" s="2" t="s">
        <v>16139</v>
      </c>
      <c r="G1624" s="3" t="s">
        <v>62</v>
      </c>
      <c r="I1624" s="3" t="s">
        <v>62</v>
      </c>
      <c r="J1624" s="3" t="s">
        <v>62</v>
      </c>
      <c r="K1624" s="3" t="s">
        <v>63</v>
      </c>
      <c r="L1624" s="2" t="s">
        <v>16140</v>
      </c>
      <c r="M1624" s="2" t="s">
        <v>16141</v>
      </c>
      <c r="N1624" s="3" t="s">
        <v>655</v>
      </c>
      <c r="O1624" s="2" t="s">
        <v>2163</v>
      </c>
      <c r="P1624" s="3" t="s">
        <v>64</v>
      </c>
      <c r="R1624" s="3" t="s">
        <v>13065</v>
      </c>
      <c r="S1624" s="4">
        <v>30</v>
      </c>
      <c r="T1624" s="4">
        <v>30</v>
      </c>
      <c r="U1624" s="5" t="s">
        <v>16142</v>
      </c>
      <c r="V1624" s="5" t="s">
        <v>16142</v>
      </c>
      <c r="W1624" s="5" t="s">
        <v>67</v>
      </c>
      <c r="X1624" s="5" t="s">
        <v>67</v>
      </c>
      <c r="Y1624" s="4">
        <v>111</v>
      </c>
      <c r="Z1624" s="4">
        <v>9</v>
      </c>
      <c r="AA1624" s="4">
        <v>24</v>
      </c>
      <c r="AB1624" s="4">
        <v>1</v>
      </c>
      <c r="AC1624" s="4">
        <v>3</v>
      </c>
      <c r="AD1624" s="4">
        <v>10</v>
      </c>
      <c r="AE1624" s="4">
        <v>29</v>
      </c>
      <c r="AF1624" s="4">
        <v>0</v>
      </c>
      <c r="AG1624" s="4">
        <v>0</v>
      </c>
      <c r="AH1624" s="4">
        <v>8</v>
      </c>
      <c r="AI1624" s="4">
        <v>22</v>
      </c>
      <c r="AJ1624" s="4">
        <v>4</v>
      </c>
      <c r="AK1624" s="4">
        <v>6</v>
      </c>
      <c r="AL1624" s="4">
        <v>2</v>
      </c>
      <c r="AM1624" s="4">
        <v>10</v>
      </c>
      <c r="AN1624" s="4">
        <v>0</v>
      </c>
      <c r="AO1624" s="4">
        <v>0</v>
      </c>
      <c r="AP1624" s="4">
        <v>4</v>
      </c>
      <c r="AQ1624" s="4">
        <v>10</v>
      </c>
      <c r="AR1624" s="3" t="s">
        <v>62</v>
      </c>
      <c r="AS1624" s="3" t="s">
        <v>62</v>
      </c>
      <c r="AT1624" s="3" t="s">
        <v>62</v>
      </c>
      <c r="AV1624" s="6" t="str">
        <f>HYPERLINK("http://mcgill.on.worldcat.org/oclc/71812834","Catalog Record")</f>
        <v>Catalog Record</v>
      </c>
      <c r="AW1624" s="6" t="str">
        <f>HYPERLINK("http://www.worldcat.org/oclc/71812834","WorldCat Record")</f>
        <v>WorldCat Record</v>
      </c>
      <c r="AX1624" s="3" t="s">
        <v>16143</v>
      </c>
      <c r="AY1624" s="3" t="s">
        <v>16144</v>
      </c>
      <c r="AZ1624" s="3" t="s">
        <v>16145</v>
      </c>
      <c r="BA1624" s="3" t="s">
        <v>16145</v>
      </c>
      <c r="BB1624" s="3" t="s">
        <v>16146</v>
      </c>
      <c r="BC1624" s="3" t="s">
        <v>102</v>
      </c>
      <c r="BD1624" s="3" t="s">
        <v>68</v>
      </c>
      <c r="BE1624" s="3" t="s">
        <v>16147</v>
      </c>
      <c r="BF1624" s="3" t="s">
        <v>16146</v>
      </c>
      <c r="BG1624" s="3" t="s">
        <v>16148</v>
      </c>
    </row>
    <row r="1625" spans="1:59" ht="58" x14ac:dyDescent="0.35">
      <c r="A1625" s="2" t="s">
        <v>89</v>
      </c>
      <c r="B1625" s="2" t="s">
        <v>90</v>
      </c>
      <c r="C1625" s="2" t="s">
        <v>16149</v>
      </c>
      <c r="D1625" s="2" t="s">
        <v>16150</v>
      </c>
      <c r="E1625" s="2" t="s">
        <v>16151</v>
      </c>
      <c r="G1625" s="3" t="s">
        <v>62</v>
      </c>
      <c r="I1625" s="3" t="s">
        <v>62</v>
      </c>
      <c r="J1625" s="3" t="s">
        <v>62</v>
      </c>
      <c r="K1625" s="3" t="s">
        <v>63</v>
      </c>
      <c r="M1625" s="2" t="s">
        <v>16152</v>
      </c>
      <c r="N1625" s="3" t="s">
        <v>1482</v>
      </c>
      <c r="P1625" s="3" t="s">
        <v>64</v>
      </c>
      <c r="Q1625" s="2" t="s">
        <v>16153</v>
      </c>
      <c r="R1625" s="3" t="s">
        <v>13065</v>
      </c>
      <c r="S1625" s="4">
        <v>3</v>
      </c>
      <c r="T1625" s="4">
        <v>3</v>
      </c>
      <c r="U1625" s="5" t="s">
        <v>16154</v>
      </c>
      <c r="V1625" s="5" t="s">
        <v>16154</v>
      </c>
      <c r="W1625" s="5" t="s">
        <v>67</v>
      </c>
      <c r="X1625" s="5" t="s">
        <v>67</v>
      </c>
      <c r="Y1625" s="4">
        <v>655</v>
      </c>
      <c r="Z1625" s="4">
        <v>17</v>
      </c>
      <c r="AA1625" s="4">
        <v>22</v>
      </c>
      <c r="AB1625" s="4">
        <v>1</v>
      </c>
      <c r="AC1625" s="4">
        <v>3</v>
      </c>
      <c r="AD1625" s="4">
        <v>79</v>
      </c>
      <c r="AE1625" s="4">
        <v>85</v>
      </c>
      <c r="AF1625" s="4">
        <v>0</v>
      </c>
      <c r="AG1625" s="4">
        <v>2</v>
      </c>
      <c r="AH1625" s="4">
        <v>70</v>
      </c>
      <c r="AI1625" s="4">
        <v>73</v>
      </c>
      <c r="AJ1625" s="4">
        <v>7</v>
      </c>
      <c r="AK1625" s="4">
        <v>11</v>
      </c>
      <c r="AL1625" s="4">
        <v>37</v>
      </c>
      <c r="AM1625" s="4">
        <v>38</v>
      </c>
      <c r="AN1625" s="4">
        <v>0</v>
      </c>
      <c r="AO1625" s="4">
        <v>0</v>
      </c>
      <c r="AP1625" s="4">
        <v>13</v>
      </c>
      <c r="AQ1625" s="4">
        <v>18</v>
      </c>
      <c r="AR1625" s="3" t="s">
        <v>62</v>
      </c>
      <c r="AS1625" s="3" t="s">
        <v>62</v>
      </c>
      <c r="AT1625" s="3" t="s">
        <v>61</v>
      </c>
      <c r="AU1625" s="6" t="str">
        <f>HYPERLINK("http://catalog.hathitrust.org/Record/000669006","HathiTrust Record")</f>
        <v>HathiTrust Record</v>
      </c>
      <c r="AV1625" s="6" t="str">
        <f>HYPERLINK("http://mcgill.on.worldcat.org/oclc/13010132","Catalog Record")</f>
        <v>Catalog Record</v>
      </c>
      <c r="AW1625" s="6" t="str">
        <f>HYPERLINK("http://www.worldcat.org/oclc/13010132","WorldCat Record")</f>
        <v>WorldCat Record</v>
      </c>
      <c r="AX1625" s="3" t="s">
        <v>16155</v>
      </c>
      <c r="AY1625" s="3" t="s">
        <v>16156</v>
      </c>
      <c r="AZ1625" s="3" t="s">
        <v>16157</v>
      </c>
      <c r="BA1625" s="3" t="s">
        <v>16157</v>
      </c>
      <c r="BB1625" s="3" t="s">
        <v>16158</v>
      </c>
      <c r="BC1625" s="3" t="s">
        <v>102</v>
      </c>
      <c r="BD1625" s="3" t="s">
        <v>68</v>
      </c>
      <c r="BE1625" s="3" t="s">
        <v>16159</v>
      </c>
      <c r="BF1625" s="3" t="s">
        <v>16158</v>
      </c>
      <c r="BG1625" s="3" t="s">
        <v>16160</v>
      </c>
    </row>
    <row r="1626" spans="1:59" ht="58" x14ac:dyDescent="0.35">
      <c r="A1626" s="2" t="s">
        <v>89</v>
      </c>
      <c r="B1626" s="2" t="s">
        <v>90</v>
      </c>
      <c r="C1626" s="2" t="s">
        <v>16161</v>
      </c>
      <c r="D1626" s="2" t="s">
        <v>16162</v>
      </c>
      <c r="E1626" s="2" t="s">
        <v>16163</v>
      </c>
      <c r="G1626" s="3" t="s">
        <v>62</v>
      </c>
      <c r="I1626" s="3" t="s">
        <v>62</v>
      </c>
      <c r="J1626" s="3" t="s">
        <v>62</v>
      </c>
      <c r="K1626" s="3" t="s">
        <v>63</v>
      </c>
      <c r="L1626" s="2" t="s">
        <v>14454</v>
      </c>
      <c r="M1626" s="2" t="s">
        <v>16164</v>
      </c>
      <c r="N1626" s="3" t="s">
        <v>2000</v>
      </c>
      <c r="P1626" s="3" t="s">
        <v>64</v>
      </c>
      <c r="R1626" s="3" t="s">
        <v>13065</v>
      </c>
      <c r="S1626" s="4">
        <v>1</v>
      </c>
      <c r="T1626" s="4">
        <v>1</v>
      </c>
      <c r="U1626" s="5" t="s">
        <v>16165</v>
      </c>
      <c r="V1626" s="5" t="s">
        <v>16165</v>
      </c>
      <c r="W1626" s="5" t="s">
        <v>67</v>
      </c>
      <c r="X1626" s="5" t="s">
        <v>67</v>
      </c>
      <c r="Y1626" s="4">
        <v>122</v>
      </c>
      <c r="Z1626" s="4">
        <v>7</v>
      </c>
      <c r="AA1626" s="4">
        <v>10</v>
      </c>
      <c r="AB1626" s="4">
        <v>1</v>
      </c>
      <c r="AC1626" s="4">
        <v>4</v>
      </c>
      <c r="AD1626" s="4">
        <v>26</v>
      </c>
      <c r="AE1626" s="4">
        <v>29</v>
      </c>
      <c r="AF1626" s="4">
        <v>0</v>
      </c>
      <c r="AG1626" s="4">
        <v>3</v>
      </c>
      <c r="AH1626" s="4">
        <v>22</v>
      </c>
      <c r="AI1626" s="4">
        <v>22</v>
      </c>
      <c r="AJ1626" s="4">
        <v>4</v>
      </c>
      <c r="AK1626" s="4">
        <v>6</v>
      </c>
      <c r="AL1626" s="4">
        <v>11</v>
      </c>
      <c r="AM1626" s="4">
        <v>11</v>
      </c>
      <c r="AN1626" s="4">
        <v>5</v>
      </c>
      <c r="AO1626" s="4">
        <v>5</v>
      </c>
      <c r="AP1626" s="4">
        <v>6</v>
      </c>
      <c r="AQ1626" s="4">
        <v>9</v>
      </c>
      <c r="AR1626" s="3" t="s">
        <v>62</v>
      </c>
      <c r="AS1626" s="3" t="s">
        <v>62</v>
      </c>
      <c r="AT1626" s="3" t="s">
        <v>61</v>
      </c>
      <c r="AU1626" s="6" t="str">
        <f>HYPERLINK("http://catalog.hathitrust.org/Record/101974634","HathiTrust Record")</f>
        <v>HathiTrust Record</v>
      </c>
      <c r="AV1626" s="6" t="str">
        <f>HYPERLINK("http://mcgill.on.worldcat.org/oclc/33864302","Catalog Record")</f>
        <v>Catalog Record</v>
      </c>
      <c r="AW1626" s="6" t="str">
        <f>HYPERLINK("http://www.worldcat.org/oclc/33864302","WorldCat Record")</f>
        <v>WorldCat Record</v>
      </c>
      <c r="AX1626" s="3" t="s">
        <v>16166</v>
      </c>
      <c r="AY1626" s="3" t="s">
        <v>16167</v>
      </c>
      <c r="AZ1626" s="3" t="s">
        <v>16168</v>
      </c>
      <c r="BA1626" s="3" t="s">
        <v>16168</v>
      </c>
      <c r="BB1626" s="3" t="s">
        <v>16169</v>
      </c>
      <c r="BC1626" s="3" t="s">
        <v>102</v>
      </c>
      <c r="BD1626" s="3" t="s">
        <v>68</v>
      </c>
      <c r="BE1626" s="3" t="s">
        <v>16170</v>
      </c>
      <c r="BF1626" s="3" t="s">
        <v>16169</v>
      </c>
      <c r="BG1626" s="3" t="s">
        <v>16171</v>
      </c>
    </row>
    <row r="1627" spans="1:59" ht="87" x14ac:dyDescent="0.35">
      <c r="A1627" s="2" t="s">
        <v>89</v>
      </c>
      <c r="B1627" s="2" t="s">
        <v>11757</v>
      </c>
      <c r="C1627" s="2" t="s">
        <v>16172</v>
      </c>
      <c r="D1627" s="2" t="s">
        <v>16173</v>
      </c>
      <c r="E1627" s="2" t="s">
        <v>16174</v>
      </c>
      <c r="G1627" s="3" t="s">
        <v>62</v>
      </c>
      <c r="I1627" s="3" t="s">
        <v>62</v>
      </c>
      <c r="J1627" s="3" t="s">
        <v>62</v>
      </c>
      <c r="K1627" s="3" t="s">
        <v>63</v>
      </c>
      <c r="M1627" s="2" t="s">
        <v>16175</v>
      </c>
      <c r="N1627" s="3" t="s">
        <v>684</v>
      </c>
      <c r="P1627" s="3" t="s">
        <v>64</v>
      </c>
      <c r="R1627" s="3" t="s">
        <v>13065</v>
      </c>
      <c r="S1627" s="4">
        <v>0</v>
      </c>
      <c r="T1627" s="4">
        <v>0</v>
      </c>
      <c r="W1627" s="5" t="s">
        <v>67</v>
      </c>
      <c r="X1627" s="5" t="s">
        <v>67</v>
      </c>
      <c r="Y1627" s="4">
        <v>104</v>
      </c>
      <c r="Z1627" s="4">
        <v>12</v>
      </c>
      <c r="AA1627" s="4">
        <v>14</v>
      </c>
      <c r="AB1627" s="4">
        <v>2</v>
      </c>
      <c r="AC1627" s="4">
        <v>4</v>
      </c>
      <c r="AD1627" s="4">
        <v>27</v>
      </c>
      <c r="AE1627" s="4">
        <v>31</v>
      </c>
      <c r="AF1627" s="4">
        <v>1</v>
      </c>
      <c r="AG1627" s="4">
        <v>2</v>
      </c>
      <c r="AH1627" s="4">
        <v>21</v>
      </c>
      <c r="AI1627" s="4">
        <v>24</v>
      </c>
      <c r="AJ1627" s="4">
        <v>4</v>
      </c>
      <c r="AK1627" s="4">
        <v>5</v>
      </c>
      <c r="AL1627" s="4">
        <v>8</v>
      </c>
      <c r="AM1627" s="4">
        <v>11</v>
      </c>
      <c r="AN1627" s="4">
        <v>0</v>
      </c>
      <c r="AO1627" s="4">
        <v>0</v>
      </c>
      <c r="AP1627" s="4">
        <v>8</v>
      </c>
      <c r="AQ1627" s="4">
        <v>9</v>
      </c>
      <c r="AR1627" s="3" t="s">
        <v>62</v>
      </c>
      <c r="AS1627" s="3" t="s">
        <v>62</v>
      </c>
      <c r="AT1627" s="3" t="s">
        <v>62</v>
      </c>
      <c r="AV1627" s="6" t="str">
        <f>HYPERLINK("http://mcgill.on.worldcat.org/oclc/707918501","Catalog Record")</f>
        <v>Catalog Record</v>
      </c>
      <c r="AW1627" s="6" t="str">
        <f>HYPERLINK("http://www.worldcat.org/oclc/707918501","WorldCat Record")</f>
        <v>WorldCat Record</v>
      </c>
      <c r="AX1627" s="3" t="s">
        <v>16176</v>
      </c>
      <c r="AY1627" s="3" t="s">
        <v>16177</v>
      </c>
      <c r="AZ1627" s="3" t="s">
        <v>16178</v>
      </c>
      <c r="BA1627" s="3" t="s">
        <v>16178</v>
      </c>
      <c r="BB1627" s="3" t="s">
        <v>16179</v>
      </c>
      <c r="BC1627" s="3" t="s">
        <v>102</v>
      </c>
      <c r="BD1627" s="3" t="s">
        <v>68</v>
      </c>
      <c r="BE1627" s="3" t="s">
        <v>16180</v>
      </c>
      <c r="BF1627" s="3" t="s">
        <v>16179</v>
      </c>
      <c r="BG1627" s="3" t="s">
        <v>16181</v>
      </c>
    </row>
    <row r="1628" spans="1:59" ht="58" x14ac:dyDescent="0.35">
      <c r="A1628" s="2" t="s">
        <v>89</v>
      </c>
      <c r="B1628" s="2" t="s">
        <v>90</v>
      </c>
      <c r="C1628" s="2" t="s">
        <v>16182</v>
      </c>
      <c r="D1628" s="2" t="s">
        <v>16183</v>
      </c>
      <c r="E1628" s="2" t="s">
        <v>16184</v>
      </c>
      <c r="G1628" s="3" t="s">
        <v>62</v>
      </c>
      <c r="I1628" s="3" t="s">
        <v>62</v>
      </c>
      <c r="J1628" s="3" t="s">
        <v>62</v>
      </c>
      <c r="K1628" s="3" t="s">
        <v>63</v>
      </c>
      <c r="L1628" s="2" t="s">
        <v>16185</v>
      </c>
      <c r="M1628" s="2" t="s">
        <v>16186</v>
      </c>
      <c r="N1628" s="3" t="s">
        <v>1467</v>
      </c>
      <c r="O1628" s="2" t="s">
        <v>2849</v>
      </c>
      <c r="P1628" s="3" t="s">
        <v>64</v>
      </c>
      <c r="R1628" s="3" t="s">
        <v>13065</v>
      </c>
      <c r="S1628" s="4">
        <v>2</v>
      </c>
      <c r="T1628" s="4">
        <v>2</v>
      </c>
      <c r="U1628" s="5" t="s">
        <v>16187</v>
      </c>
      <c r="V1628" s="5" t="s">
        <v>16187</v>
      </c>
      <c r="W1628" s="5" t="s">
        <v>67</v>
      </c>
      <c r="X1628" s="5" t="s">
        <v>67</v>
      </c>
      <c r="Y1628" s="4">
        <v>160</v>
      </c>
      <c r="Z1628" s="4">
        <v>5</v>
      </c>
      <c r="AA1628" s="4">
        <v>10</v>
      </c>
      <c r="AB1628" s="4">
        <v>1</v>
      </c>
      <c r="AC1628" s="4">
        <v>4</v>
      </c>
      <c r="AD1628" s="4">
        <v>32</v>
      </c>
      <c r="AE1628" s="4">
        <v>37</v>
      </c>
      <c r="AF1628" s="4">
        <v>0</v>
      </c>
      <c r="AG1628" s="4">
        <v>0</v>
      </c>
      <c r="AH1628" s="4">
        <v>31</v>
      </c>
      <c r="AI1628" s="4">
        <v>36</v>
      </c>
      <c r="AJ1628" s="4">
        <v>3</v>
      </c>
      <c r="AK1628" s="4">
        <v>4</v>
      </c>
      <c r="AL1628" s="4">
        <v>14</v>
      </c>
      <c r="AM1628" s="4">
        <v>16</v>
      </c>
      <c r="AN1628" s="4">
        <v>0</v>
      </c>
      <c r="AO1628" s="4">
        <v>0</v>
      </c>
      <c r="AP1628" s="4">
        <v>3</v>
      </c>
      <c r="AQ1628" s="4">
        <v>4</v>
      </c>
      <c r="AR1628" s="3" t="s">
        <v>62</v>
      </c>
      <c r="AS1628" s="3" t="s">
        <v>61</v>
      </c>
      <c r="AT1628" s="3" t="s">
        <v>62</v>
      </c>
      <c r="AU1628" s="6" t="str">
        <f>HYPERLINK("http://catalog.hathitrust.org/Record/003915282","HathiTrust Record")</f>
        <v>HathiTrust Record</v>
      </c>
      <c r="AV1628" s="6" t="str">
        <f>HYPERLINK("http://mcgill.on.worldcat.org/oclc/491820","Catalog Record")</f>
        <v>Catalog Record</v>
      </c>
      <c r="AW1628" s="6" t="str">
        <f>HYPERLINK("http://www.worldcat.org/oclc/491820","WorldCat Record")</f>
        <v>WorldCat Record</v>
      </c>
      <c r="AX1628" s="3" t="s">
        <v>16188</v>
      </c>
      <c r="AY1628" s="3" t="s">
        <v>16189</v>
      </c>
      <c r="AZ1628" s="3" t="s">
        <v>16190</v>
      </c>
      <c r="BA1628" s="3" t="s">
        <v>16190</v>
      </c>
      <c r="BB1628" s="3" t="s">
        <v>16191</v>
      </c>
      <c r="BC1628" s="3" t="s">
        <v>102</v>
      </c>
      <c r="BD1628" s="3" t="s">
        <v>68</v>
      </c>
      <c r="BE1628" s="3" t="s">
        <v>16192</v>
      </c>
      <c r="BF1628" s="3" t="s">
        <v>16191</v>
      </c>
      <c r="BG1628" s="3" t="s">
        <v>16193</v>
      </c>
    </row>
    <row r="1629" spans="1:59" ht="72.5" x14ac:dyDescent="0.35">
      <c r="A1629" s="2" t="s">
        <v>89</v>
      </c>
      <c r="B1629" s="2" t="s">
        <v>90</v>
      </c>
      <c r="C1629" s="2" t="s">
        <v>16194</v>
      </c>
      <c r="D1629" s="2" t="s">
        <v>16195</v>
      </c>
      <c r="E1629" s="2" t="s">
        <v>16196</v>
      </c>
      <c r="F1629" s="3" t="s">
        <v>16197</v>
      </c>
      <c r="G1629" s="3" t="s">
        <v>62</v>
      </c>
      <c r="I1629" s="3" t="s">
        <v>62</v>
      </c>
      <c r="J1629" s="3" t="s">
        <v>62</v>
      </c>
      <c r="K1629" s="3" t="s">
        <v>63</v>
      </c>
      <c r="M1629" s="2" t="s">
        <v>16198</v>
      </c>
      <c r="N1629" s="3" t="s">
        <v>596</v>
      </c>
      <c r="P1629" s="3" t="s">
        <v>64</v>
      </c>
      <c r="Q1629" s="2" t="s">
        <v>16199</v>
      </c>
      <c r="R1629" s="3" t="s">
        <v>13065</v>
      </c>
      <c r="S1629" s="4">
        <v>4</v>
      </c>
      <c r="T1629" s="4">
        <v>4</v>
      </c>
      <c r="U1629" s="5" t="s">
        <v>16200</v>
      </c>
      <c r="V1629" s="5" t="s">
        <v>16200</v>
      </c>
      <c r="W1629" s="5" t="s">
        <v>67</v>
      </c>
      <c r="X1629" s="5" t="s">
        <v>67</v>
      </c>
      <c r="Y1629" s="4">
        <v>53</v>
      </c>
      <c r="Z1629" s="4">
        <v>2</v>
      </c>
      <c r="AA1629" s="4">
        <v>2</v>
      </c>
      <c r="AB1629" s="4">
        <v>1</v>
      </c>
      <c r="AC1629" s="4">
        <v>1</v>
      </c>
      <c r="AD1629" s="4">
        <v>10</v>
      </c>
      <c r="AE1629" s="4">
        <v>10</v>
      </c>
      <c r="AF1629" s="4">
        <v>0</v>
      </c>
      <c r="AG1629" s="4">
        <v>0</v>
      </c>
      <c r="AH1629" s="4">
        <v>10</v>
      </c>
      <c r="AI1629" s="4">
        <v>10</v>
      </c>
      <c r="AJ1629" s="4">
        <v>1</v>
      </c>
      <c r="AK1629" s="4">
        <v>1</v>
      </c>
      <c r="AL1629" s="4">
        <v>5</v>
      </c>
      <c r="AM1629" s="4">
        <v>5</v>
      </c>
      <c r="AN1629" s="4">
        <v>0</v>
      </c>
      <c r="AO1629" s="4">
        <v>0</v>
      </c>
      <c r="AP1629" s="4">
        <v>1</v>
      </c>
      <c r="AQ1629" s="4">
        <v>1</v>
      </c>
      <c r="AR1629" s="3" t="s">
        <v>62</v>
      </c>
      <c r="AS1629" s="3" t="s">
        <v>62</v>
      </c>
      <c r="AT1629" s="3" t="s">
        <v>62</v>
      </c>
      <c r="AV1629" s="6" t="str">
        <f>HYPERLINK("http://mcgill.on.worldcat.org/oclc/50428802","Catalog Record")</f>
        <v>Catalog Record</v>
      </c>
      <c r="AW1629" s="6" t="str">
        <f>HYPERLINK("http://www.worldcat.org/oclc/50428802","WorldCat Record")</f>
        <v>WorldCat Record</v>
      </c>
      <c r="AX1629" s="3" t="s">
        <v>16201</v>
      </c>
      <c r="AY1629" s="3" t="s">
        <v>16202</v>
      </c>
      <c r="AZ1629" s="3" t="s">
        <v>16203</v>
      </c>
      <c r="BA1629" s="3" t="s">
        <v>16203</v>
      </c>
      <c r="BB1629" s="3" t="s">
        <v>16204</v>
      </c>
      <c r="BC1629" s="3" t="s">
        <v>102</v>
      </c>
      <c r="BD1629" s="3" t="s">
        <v>68</v>
      </c>
      <c r="BE1629" s="3" t="s">
        <v>16205</v>
      </c>
      <c r="BF1629" s="3" t="s">
        <v>16204</v>
      </c>
      <c r="BG1629" s="3" t="s">
        <v>16206</v>
      </c>
    </row>
    <row r="1630" spans="1:59" ht="72.5" x14ac:dyDescent="0.35">
      <c r="A1630" s="2" t="s">
        <v>89</v>
      </c>
      <c r="B1630" s="2" t="s">
        <v>90</v>
      </c>
      <c r="C1630" s="2" t="s">
        <v>16207</v>
      </c>
      <c r="D1630" s="2" t="s">
        <v>16208</v>
      </c>
      <c r="E1630" s="2" t="s">
        <v>16209</v>
      </c>
      <c r="F1630" s="3" t="s">
        <v>16210</v>
      </c>
      <c r="G1630" s="3" t="s">
        <v>62</v>
      </c>
      <c r="I1630" s="3" t="s">
        <v>62</v>
      </c>
      <c r="J1630" s="3" t="s">
        <v>62</v>
      </c>
      <c r="K1630" s="3" t="s">
        <v>63</v>
      </c>
      <c r="L1630" s="2" t="s">
        <v>16211</v>
      </c>
      <c r="M1630" s="2" t="s">
        <v>16212</v>
      </c>
      <c r="N1630" s="3" t="s">
        <v>880</v>
      </c>
      <c r="P1630" s="3" t="s">
        <v>64</v>
      </c>
      <c r="Q1630" s="2" t="s">
        <v>16213</v>
      </c>
      <c r="R1630" s="3" t="s">
        <v>13065</v>
      </c>
      <c r="S1630" s="4">
        <v>0</v>
      </c>
      <c r="T1630" s="4">
        <v>0</v>
      </c>
      <c r="W1630" s="5" t="s">
        <v>67</v>
      </c>
      <c r="X1630" s="5" t="s">
        <v>67</v>
      </c>
      <c r="Y1630" s="4">
        <v>15</v>
      </c>
      <c r="Z1630" s="4">
        <v>1</v>
      </c>
      <c r="AA1630" s="4">
        <v>37</v>
      </c>
      <c r="AB1630" s="4">
        <v>1</v>
      </c>
      <c r="AC1630" s="4">
        <v>9</v>
      </c>
      <c r="AD1630" s="4">
        <v>5</v>
      </c>
      <c r="AE1630" s="4">
        <v>91</v>
      </c>
      <c r="AF1630" s="4">
        <v>0</v>
      </c>
      <c r="AG1630" s="4">
        <v>6</v>
      </c>
      <c r="AH1630" s="4">
        <v>5</v>
      </c>
      <c r="AI1630" s="4">
        <v>65</v>
      </c>
      <c r="AJ1630" s="4">
        <v>0</v>
      </c>
      <c r="AK1630" s="4">
        <v>18</v>
      </c>
      <c r="AL1630" s="4">
        <v>1</v>
      </c>
      <c r="AM1630" s="4">
        <v>30</v>
      </c>
      <c r="AN1630" s="4">
        <v>0</v>
      </c>
      <c r="AO1630" s="4">
        <v>0</v>
      </c>
      <c r="AP1630" s="4">
        <v>0</v>
      </c>
      <c r="AQ1630" s="4">
        <v>32</v>
      </c>
      <c r="AR1630" s="3" t="s">
        <v>62</v>
      </c>
      <c r="AS1630" s="3" t="s">
        <v>62</v>
      </c>
      <c r="AT1630" s="3" t="s">
        <v>62</v>
      </c>
      <c r="AV1630" s="6" t="str">
        <f>HYPERLINK("http://mcgill.on.worldcat.org/oclc/662409343","Catalog Record")</f>
        <v>Catalog Record</v>
      </c>
      <c r="AW1630" s="6" t="str">
        <f>HYPERLINK("http://www.worldcat.org/oclc/662409343","WorldCat Record")</f>
        <v>WorldCat Record</v>
      </c>
      <c r="AX1630" s="3" t="s">
        <v>16214</v>
      </c>
      <c r="AY1630" s="3" t="s">
        <v>16215</v>
      </c>
      <c r="AZ1630" s="3" t="s">
        <v>16216</v>
      </c>
      <c r="BA1630" s="3" t="s">
        <v>16216</v>
      </c>
      <c r="BB1630" s="3" t="s">
        <v>16217</v>
      </c>
      <c r="BC1630" s="3" t="s">
        <v>102</v>
      </c>
      <c r="BD1630" s="3" t="s">
        <v>68</v>
      </c>
      <c r="BE1630" s="3" t="s">
        <v>16218</v>
      </c>
      <c r="BF1630" s="3" t="s">
        <v>16217</v>
      </c>
      <c r="BG1630" s="3" t="s">
        <v>16219</v>
      </c>
    </row>
    <row r="1631" spans="1:59" ht="116" x14ac:dyDescent="0.35">
      <c r="A1631" s="2" t="s">
        <v>89</v>
      </c>
      <c r="B1631" s="2" t="s">
        <v>3312</v>
      </c>
      <c r="C1631" s="2" t="s">
        <v>16220</v>
      </c>
      <c r="D1631" s="2" t="s">
        <v>16221</v>
      </c>
      <c r="E1631" s="2" t="s">
        <v>16222</v>
      </c>
      <c r="G1631" s="3" t="s">
        <v>62</v>
      </c>
      <c r="I1631" s="3" t="s">
        <v>62</v>
      </c>
      <c r="J1631" s="3" t="s">
        <v>62</v>
      </c>
      <c r="K1631" s="3" t="s">
        <v>63</v>
      </c>
      <c r="M1631" s="2" t="s">
        <v>16223</v>
      </c>
      <c r="N1631" s="3" t="s">
        <v>1455</v>
      </c>
      <c r="O1631" s="2" t="s">
        <v>15263</v>
      </c>
      <c r="P1631" s="3" t="s">
        <v>15264</v>
      </c>
      <c r="Q1631" s="2" t="s">
        <v>16224</v>
      </c>
      <c r="R1631" s="3" t="s">
        <v>13065</v>
      </c>
      <c r="S1631" s="4">
        <v>0</v>
      </c>
      <c r="T1631" s="4">
        <v>0</v>
      </c>
      <c r="W1631" s="5" t="s">
        <v>67</v>
      </c>
      <c r="X1631" s="5" t="s">
        <v>67</v>
      </c>
      <c r="Y1631" s="4">
        <v>9</v>
      </c>
      <c r="Z1631" s="4">
        <v>1</v>
      </c>
      <c r="AA1631" s="4">
        <v>1</v>
      </c>
      <c r="AB1631" s="4">
        <v>1</v>
      </c>
      <c r="AC1631" s="4">
        <v>1</v>
      </c>
      <c r="AD1631" s="4">
        <v>7</v>
      </c>
      <c r="AE1631" s="4">
        <v>7</v>
      </c>
      <c r="AF1631" s="4">
        <v>0</v>
      </c>
      <c r="AG1631" s="4">
        <v>0</v>
      </c>
      <c r="AH1631" s="4">
        <v>7</v>
      </c>
      <c r="AI1631" s="4">
        <v>7</v>
      </c>
      <c r="AJ1631" s="4">
        <v>0</v>
      </c>
      <c r="AK1631" s="4">
        <v>0</v>
      </c>
      <c r="AL1631" s="4">
        <v>6</v>
      </c>
      <c r="AM1631" s="4">
        <v>6</v>
      </c>
      <c r="AN1631" s="4">
        <v>0</v>
      </c>
      <c r="AO1631" s="4">
        <v>0</v>
      </c>
      <c r="AP1631" s="4">
        <v>0</v>
      </c>
      <c r="AQ1631" s="4">
        <v>0</v>
      </c>
      <c r="AR1631" s="3" t="s">
        <v>62</v>
      </c>
      <c r="AS1631" s="3" t="s">
        <v>62</v>
      </c>
      <c r="AT1631" s="3" t="s">
        <v>62</v>
      </c>
      <c r="AV1631" s="6" t="str">
        <f>HYPERLINK("http://mcgill.on.worldcat.org/oclc/910077394","Catalog Record")</f>
        <v>Catalog Record</v>
      </c>
      <c r="AW1631" s="6" t="str">
        <f>HYPERLINK("http://www.worldcat.org/oclc/910077394","WorldCat Record")</f>
        <v>WorldCat Record</v>
      </c>
      <c r="AX1631" s="3" t="s">
        <v>16225</v>
      </c>
      <c r="AY1631" s="3" t="s">
        <v>16226</v>
      </c>
      <c r="AZ1631" s="3" t="s">
        <v>16227</v>
      </c>
      <c r="BA1631" s="3" t="s">
        <v>16227</v>
      </c>
      <c r="BB1631" s="3" t="s">
        <v>16228</v>
      </c>
      <c r="BC1631" s="3" t="s">
        <v>102</v>
      </c>
      <c r="BD1631" s="3" t="s">
        <v>68</v>
      </c>
      <c r="BE1631" s="3" t="s">
        <v>16229</v>
      </c>
      <c r="BF1631" s="3" t="s">
        <v>16228</v>
      </c>
      <c r="BG1631" s="3" t="s">
        <v>16230</v>
      </c>
    </row>
    <row r="1632" spans="1:59" ht="87" x14ac:dyDescent="0.35">
      <c r="A1632" s="2" t="s">
        <v>89</v>
      </c>
      <c r="B1632" s="2" t="s">
        <v>90</v>
      </c>
      <c r="C1632" s="2" t="s">
        <v>16231</v>
      </c>
      <c r="D1632" s="2" t="s">
        <v>16232</v>
      </c>
      <c r="E1632" s="2" t="s">
        <v>16233</v>
      </c>
      <c r="G1632" s="3" t="s">
        <v>62</v>
      </c>
      <c r="I1632" s="3" t="s">
        <v>62</v>
      </c>
      <c r="J1632" s="3" t="s">
        <v>62</v>
      </c>
      <c r="K1632" s="3" t="s">
        <v>63</v>
      </c>
      <c r="L1632" s="2" t="s">
        <v>16234</v>
      </c>
      <c r="M1632" s="2" t="s">
        <v>16235</v>
      </c>
      <c r="N1632" s="3" t="s">
        <v>129</v>
      </c>
      <c r="P1632" s="3" t="s">
        <v>64</v>
      </c>
      <c r="R1632" s="3" t="s">
        <v>13065</v>
      </c>
      <c r="S1632" s="4">
        <v>0</v>
      </c>
      <c r="T1632" s="4">
        <v>0</v>
      </c>
      <c r="W1632" s="5" t="s">
        <v>67</v>
      </c>
      <c r="X1632" s="5" t="s">
        <v>67</v>
      </c>
      <c r="Y1632" s="4">
        <v>91</v>
      </c>
      <c r="Z1632" s="4">
        <v>9</v>
      </c>
      <c r="AA1632" s="4">
        <v>32</v>
      </c>
      <c r="AB1632" s="4">
        <v>2</v>
      </c>
      <c r="AC1632" s="4">
        <v>11</v>
      </c>
      <c r="AD1632" s="4">
        <v>14</v>
      </c>
      <c r="AE1632" s="4">
        <v>60</v>
      </c>
      <c r="AF1632" s="4">
        <v>1</v>
      </c>
      <c r="AG1632" s="4">
        <v>6</v>
      </c>
      <c r="AH1632" s="4">
        <v>10</v>
      </c>
      <c r="AI1632" s="4">
        <v>46</v>
      </c>
      <c r="AJ1632" s="4">
        <v>4</v>
      </c>
      <c r="AK1632" s="4">
        <v>13</v>
      </c>
      <c r="AL1632" s="4">
        <v>8</v>
      </c>
      <c r="AM1632" s="4">
        <v>27</v>
      </c>
      <c r="AN1632" s="4">
        <v>0</v>
      </c>
      <c r="AO1632" s="4">
        <v>0</v>
      </c>
      <c r="AP1632" s="4">
        <v>4</v>
      </c>
      <c r="AQ1632" s="4">
        <v>20</v>
      </c>
      <c r="AR1632" s="3" t="s">
        <v>62</v>
      </c>
      <c r="AS1632" s="3" t="s">
        <v>62</v>
      </c>
      <c r="AT1632" s="3" t="s">
        <v>62</v>
      </c>
      <c r="AV1632" s="6" t="str">
        <f>HYPERLINK("http://mcgill.on.worldcat.org/oclc/809789617","Catalog Record")</f>
        <v>Catalog Record</v>
      </c>
      <c r="AW1632" s="6" t="str">
        <f>HYPERLINK("http://www.worldcat.org/oclc/809789617","WorldCat Record")</f>
        <v>WorldCat Record</v>
      </c>
      <c r="AX1632" s="3" t="s">
        <v>16236</v>
      </c>
      <c r="AY1632" s="3" t="s">
        <v>16237</v>
      </c>
      <c r="AZ1632" s="3" t="s">
        <v>16238</v>
      </c>
      <c r="BA1632" s="3" t="s">
        <v>16238</v>
      </c>
      <c r="BB1632" s="3" t="s">
        <v>16239</v>
      </c>
      <c r="BC1632" s="3" t="s">
        <v>102</v>
      </c>
      <c r="BD1632" s="3" t="s">
        <v>68</v>
      </c>
      <c r="BE1632" s="3" t="s">
        <v>16240</v>
      </c>
      <c r="BF1632" s="3" t="s">
        <v>16239</v>
      </c>
      <c r="BG1632" s="3" t="s">
        <v>16241</v>
      </c>
    </row>
    <row r="1633" spans="1:59" ht="87" x14ac:dyDescent="0.35">
      <c r="A1633" s="2" t="s">
        <v>89</v>
      </c>
      <c r="B1633" s="2" t="s">
        <v>90</v>
      </c>
      <c r="C1633" s="2" t="s">
        <v>16242</v>
      </c>
      <c r="D1633" s="2" t="s">
        <v>16243</v>
      </c>
      <c r="E1633" s="2" t="s">
        <v>16244</v>
      </c>
      <c r="G1633" s="3" t="s">
        <v>62</v>
      </c>
      <c r="I1633" s="3" t="s">
        <v>62</v>
      </c>
      <c r="J1633" s="3" t="s">
        <v>62</v>
      </c>
      <c r="K1633" s="3" t="s">
        <v>63</v>
      </c>
      <c r="L1633" s="2" t="s">
        <v>16245</v>
      </c>
      <c r="M1633" s="2" t="s">
        <v>16246</v>
      </c>
      <c r="N1633" s="3" t="s">
        <v>129</v>
      </c>
      <c r="O1633" s="2" t="s">
        <v>1941</v>
      </c>
      <c r="P1633" s="3" t="s">
        <v>64</v>
      </c>
      <c r="R1633" s="3" t="s">
        <v>13065</v>
      </c>
      <c r="S1633" s="4">
        <v>1</v>
      </c>
      <c r="T1633" s="4">
        <v>1</v>
      </c>
      <c r="U1633" s="5" t="s">
        <v>16247</v>
      </c>
      <c r="V1633" s="5" t="s">
        <v>16247</v>
      </c>
      <c r="W1633" s="5" t="s">
        <v>67</v>
      </c>
      <c r="X1633" s="5" t="s">
        <v>67</v>
      </c>
      <c r="Y1633" s="4">
        <v>17</v>
      </c>
      <c r="Z1633" s="4">
        <v>1</v>
      </c>
      <c r="AA1633" s="4">
        <v>1</v>
      </c>
      <c r="AB1633" s="4">
        <v>1</v>
      </c>
      <c r="AC1633" s="4">
        <v>1</v>
      </c>
      <c r="AD1633" s="4">
        <v>0</v>
      </c>
      <c r="AE1633" s="4">
        <v>0</v>
      </c>
      <c r="AF1633" s="4">
        <v>0</v>
      </c>
      <c r="AG1633" s="4">
        <v>0</v>
      </c>
      <c r="AH1633" s="4">
        <v>0</v>
      </c>
      <c r="AI1633" s="4">
        <v>0</v>
      </c>
      <c r="AJ1633" s="4">
        <v>0</v>
      </c>
      <c r="AK1633" s="4">
        <v>0</v>
      </c>
      <c r="AL1633" s="4">
        <v>0</v>
      </c>
      <c r="AM1633" s="4">
        <v>0</v>
      </c>
      <c r="AN1633" s="4">
        <v>0</v>
      </c>
      <c r="AO1633" s="4">
        <v>0</v>
      </c>
      <c r="AP1633" s="4">
        <v>0</v>
      </c>
      <c r="AQ1633" s="4">
        <v>0</v>
      </c>
      <c r="AR1633" s="3" t="s">
        <v>62</v>
      </c>
      <c r="AS1633" s="3" t="s">
        <v>62</v>
      </c>
      <c r="AT1633" s="3" t="s">
        <v>62</v>
      </c>
      <c r="AV1633" s="6" t="str">
        <f>HYPERLINK("http://mcgill.on.worldcat.org/oclc/853247620","Catalog Record")</f>
        <v>Catalog Record</v>
      </c>
      <c r="AW1633" s="6" t="str">
        <f>HYPERLINK("http://www.worldcat.org/oclc/853247620","WorldCat Record")</f>
        <v>WorldCat Record</v>
      </c>
      <c r="AX1633" s="3" t="s">
        <v>16248</v>
      </c>
      <c r="AY1633" s="3" t="s">
        <v>16249</v>
      </c>
      <c r="AZ1633" s="3" t="s">
        <v>16250</v>
      </c>
      <c r="BA1633" s="3" t="s">
        <v>16250</v>
      </c>
      <c r="BB1633" s="3" t="s">
        <v>16251</v>
      </c>
      <c r="BC1633" s="3" t="s">
        <v>102</v>
      </c>
      <c r="BD1633" s="3" t="s">
        <v>68</v>
      </c>
      <c r="BE1633" s="3" t="s">
        <v>16252</v>
      </c>
      <c r="BF1633" s="3" t="s">
        <v>16251</v>
      </c>
      <c r="BG1633" s="3" t="s">
        <v>16253</v>
      </c>
    </row>
    <row r="1634" spans="1:59" ht="58" x14ac:dyDescent="0.35">
      <c r="A1634" s="2" t="s">
        <v>89</v>
      </c>
      <c r="B1634" s="2" t="s">
        <v>90</v>
      </c>
      <c r="C1634" s="2" t="s">
        <v>16254</v>
      </c>
      <c r="D1634" s="2" t="s">
        <v>16255</v>
      </c>
      <c r="E1634" s="2" t="s">
        <v>16256</v>
      </c>
      <c r="G1634" s="3" t="s">
        <v>62</v>
      </c>
      <c r="I1634" s="3" t="s">
        <v>62</v>
      </c>
      <c r="J1634" s="3" t="s">
        <v>62</v>
      </c>
      <c r="K1634" s="3" t="s">
        <v>63</v>
      </c>
      <c r="L1634" s="2" t="s">
        <v>16257</v>
      </c>
      <c r="M1634" s="2" t="s">
        <v>16258</v>
      </c>
      <c r="N1634" s="3" t="s">
        <v>954</v>
      </c>
      <c r="P1634" s="3" t="s">
        <v>64</v>
      </c>
      <c r="R1634" s="3" t="s">
        <v>13065</v>
      </c>
      <c r="S1634" s="4">
        <v>3</v>
      </c>
      <c r="T1634" s="4">
        <v>3</v>
      </c>
      <c r="U1634" s="5" t="s">
        <v>16259</v>
      </c>
      <c r="V1634" s="5" t="s">
        <v>16259</v>
      </c>
      <c r="W1634" s="5" t="s">
        <v>67</v>
      </c>
      <c r="X1634" s="5" t="s">
        <v>67</v>
      </c>
      <c r="Y1634" s="4">
        <v>476</v>
      </c>
      <c r="Z1634" s="4">
        <v>19</v>
      </c>
      <c r="AA1634" s="4">
        <v>21</v>
      </c>
      <c r="AB1634" s="4">
        <v>1</v>
      </c>
      <c r="AC1634" s="4">
        <v>1</v>
      </c>
      <c r="AD1634" s="4">
        <v>81</v>
      </c>
      <c r="AE1634" s="4">
        <v>83</v>
      </c>
      <c r="AF1634" s="4">
        <v>0</v>
      </c>
      <c r="AG1634" s="4">
        <v>0</v>
      </c>
      <c r="AH1634" s="4">
        <v>72</v>
      </c>
      <c r="AI1634" s="4">
        <v>72</v>
      </c>
      <c r="AJ1634" s="4">
        <v>11</v>
      </c>
      <c r="AK1634" s="4">
        <v>11</v>
      </c>
      <c r="AL1634" s="4">
        <v>42</v>
      </c>
      <c r="AM1634" s="4">
        <v>42</v>
      </c>
      <c r="AN1634" s="4">
        <v>0</v>
      </c>
      <c r="AO1634" s="4">
        <v>0</v>
      </c>
      <c r="AP1634" s="4">
        <v>15</v>
      </c>
      <c r="AQ1634" s="4">
        <v>17</v>
      </c>
      <c r="AR1634" s="3" t="s">
        <v>62</v>
      </c>
      <c r="AS1634" s="3" t="s">
        <v>62</v>
      </c>
      <c r="AT1634" s="3" t="s">
        <v>61</v>
      </c>
      <c r="AU1634" s="6" t="str">
        <f>HYPERLINK("http://catalog.hathitrust.org/Record/000476239","HathiTrust Record")</f>
        <v>HathiTrust Record</v>
      </c>
      <c r="AV1634" s="6" t="str">
        <f>HYPERLINK("http://mcgill.on.worldcat.org/oclc/297432","Catalog Record")</f>
        <v>Catalog Record</v>
      </c>
      <c r="AW1634" s="6" t="str">
        <f>HYPERLINK("http://www.worldcat.org/oclc/297432","WorldCat Record")</f>
        <v>WorldCat Record</v>
      </c>
      <c r="AX1634" s="3" t="s">
        <v>16260</v>
      </c>
      <c r="AY1634" s="3" t="s">
        <v>16261</v>
      </c>
      <c r="AZ1634" s="3" t="s">
        <v>16262</v>
      </c>
      <c r="BA1634" s="3" t="s">
        <v>16262</v>
      </c>
      <c r="BB1634" s="3" t="s">
        <v>16263</v>
      </c>
      <c r="BC1634" s="3" t="s">
        <v>102</v>
      </c>
      <c r="BD1634" s="3" t="s">
        <v>68</v>
      </c>
      <c r="BF1634" s="3" t="s">
        <v>16263</v>
      </c>
      <c r="BG1634" s="3" t="s">
        <v>16264</v>
      </c>
    </row>
    <row r="1635" spans="1:59" ht="58" x14ac:dyDescent="0.35">
      <c r="A1635" s="2" t="s">
        <v>89</v>
      </c>
      <c r="B1635" s="2" t="s">
        <v>90</v>
      </c>
      <c r="C1635" s="2" t="s">
        <v>16265</v>
      </c>
      <c r="D1635" s="2" t="s">
        <v>16266</v>
      </c>
      <c r="E1635" s="2" t="s">
        <v>16267</v>
      </c>
      <c r="G1635" s="3" t="s">
        <v>62</v>
      </c>
      <c r="I1635" s="3" t="s">
        <v>62</v>
      </c>
      <c r="J1635" s="3" t="s">
        <v>62</v>
      </c>
      <c r="K1635" s="3" t="s">
        <v>63</v>
      </c>
      <c r="M1635" s="2" t="s">
        <v>16268</v>
      </c>
      <c r="N1635" s="3" t="s">
        <v>684</v>
      </c>
      <c r="P1635" s="3" t="s">
        <v>64</v>
      </c>
      <c r="R1635" s="3" t="s">
        <v>13065</v>
      </c>
      <c r="S1635" s="4">
        <v>1</v>
      </c>
      <c r="T1635" s="4">
        <v>1</v>
      </c>
      <c r="U1635" s="5" t="s">
        <v>16269</v>
      </c>
      <c r="V1635" s="5" t="s">
        <v>16269</v>
      </c>
      <c r="W1635" s="5" t="s">
        <v>67</v>
      </c>
      <c r="X1635" s="5" t="s">
        <v>67</v>
      </c>
      <c r="Y1635" s="4">
        <v>42</v>
      </c>
      <c r="Z1635" s="4">
        <v>5</v>
      </c>
      <c r="AA1635" s="4">
        <v>5</v>
      </c>
      <c r="AB1635" s="4">
        <v>1</v>
      </c>
      <c r="AC1635" s="4">
        <v>1</v>
      </c>
      <c r="AD1635" s="4">
        <v>27</v>
      </c>
      <c r="AE1635" s="4">
        <v>27</v>
      </c>
      <c r="AF1635" s="4">
        <v>0</v>
      </c>
      <c r="AG1635" s="4">
        <v>0</v>
      </c>
      <c r="AH1635" s="4">
        <v>26</v>
      </c>
      <c r="AI1635" s="4">
        <v>26</v>
      </c>
      <c r="AJ1635" s="4">
        <v>3</v>
      </c>
      <c r="AK1635" s="4">
        <v>3</v>
      </c>
      <c r="AL1635" s="4">
        <v>20</v>
      </c>
      <c r="AM1635" s="4">
        <v>20</v>
      </c>
      <c r="AN1635" s="4">
        <v>0</v>
      </c>
      <c r="AO1635" s="4">
        <v>0</v>
      </c>
      <c r="AP1635" s="4">
        <v>3</v>
      </c>
      <c r="AQ1635" s="4">
        <v>3</v>
      </c>
      <c r="AR1635" s="3" t="s">
        <v>62</v>
      </c>
      <c r="AS1635" s="3" t="s">
        <v>62</v>
      </c>
      <c r="AT1635" s="3" t="s">
        <v>62</v>
      </c>
      <c r="AV1635" s="6" t="str">
        <f>HYPERLINK("http://mcgill.on.worldcat.org/oclc/710931974","Catalog Record")</f>
        <v>Catalog Record</v>
      </c>
      <c r="AW1635" s="6" t="str">
        <f>HYPERLINK("http://www.worldcat.org/oclc/710931974","WorldCat Record")</f>
        <v>WorldCat Record</v>
      </c>
      <c r="AX1635" s="3" t="s">
        <v>16270</v>
      </c>
      <c r="AY1635" s="3" t="s">
        <v>16271</v>
      </c>
      <c r="AZ1635" s="3" t="s">
        <v>16272</v>
      </c>
      <c r="BA1635" s="3" t="s">
        <v>16272</v>
      </c>
      <c r="BB1635" s="3" t="s">
        <v>16273</v>
      </c>
      <c r="BC1635" s="3" t="s">
        <v>102</v>
      </c>
      <c r="BD1635" s="3" t="s">
        <v>68</v>
      </c>
      <c r="BE1635" s="3" t="s">
        <v>16274</v>
      </c>
      <c r="BF1635" s="3" t="s">
        <v>16273</v>
      </c>
      <c r="BG1635" s="3" t="s">
        <v>16275</v>
      </c>
    </row>
    <row r="1636" spans="1:59" ht="58" x14ac:dyDescent="0.35">
      <c r="A1636" s="2" t="s">
        <v>89</v>
      </c>
      <c r="B1636" s="2" t="s">
        <v>90</v>
      </c>
      <c r="C1636" s="2" t="s">
        <v>16276</v>
      </c>
      <c r="D1636" s="2" t="s">
        <v>16277</v>
      </c>
      <c r="E1636" s="2" t="s">
        <v>16278</v>
      </c>
      <c r="G1636" s="3" t="s">
        <v>62</v>
      </c>
      <c r="I1636" s="3" t="s">
        <v>61</v>
      </c>
      <c r="J1636" s="3" t="s">
        <v>61</v>
      </c>
      <c r="K1636" s="3" t="s">
        <v>63</v>
      </c>
      <c r="M1636" s="2" t="s">
        <v>16279</v>
      </c>
      <c r="N1636" s="3" t="s">
        <v>396</v>
      </c>
      <c r="P1636" s="3" t="s">
        <v>64</v>
      </c>
      <c r="R1636" s="3" t="s">
        <v>13065</v>
      </c>
      <c r="S1636" s="4">
        <v>8</v>
      </c>
      <c r="T1636" s="4">
        <v>13</v>
      </c>
      <c r="U1636" s="5" t="s">
        <v>16280</v>
      </c>
      <c r="V1636" s="5" t="s">
        <v>8153</v>
      </c>
      <c r="W1636" s="5" t="s">
        <v>67</v>
      </c>
      <c r="X1636" s="5" t="s">
        <v>67</v>
      </c>
      <c r="Y1636" s="4">
        <v>242</v>
      </c>
      <c r="Z1636" s="4">
        <v>16</v>
      </c>
      <c r="AA1636" s="4">
        <v>48</v>
      </c>
      <c r="AB1636" s="4">
        <v>2</v>
      </c>
      <c r="AC1636" s="4">
        <v>7</v>
      </c>
      <c r="AD1636" s="4">
        <v>37</v>
      </c>
      <c r="AE1636" s="4">
        <v>132</v>
      </c>
      <c r="AF1636" s="4">
        <v>1</v>
      </c>
      <c r="AG1636" s="4">
        <v>5</v>
      </c>
      <c r="AH1636" s="4">
        <v>30</v>
      </c>
      <c r="AI1636" s="4">
        <v>105</v>
      </c>
      <c r="AJ1636" s="4">
        <v>12</v>
      </c>
      <c r="AK1636" s="4">
        <v>28</v>
      </c>
      <c r="AL1636" s="4">
        <v>18</v>
      </c>
      <c r="AM1636" s="4">
        <v>58</v>
      </c>
      <c r="AN1636" s="4">
        <v>0</v>
      </c>
      <c r="AO1636" s="4">
        <v>0</v>
      </c>
      <c r="AP1636" s="4">
        <v>12</v>
      </c>
      <c r="AQ1636" s="4">
        <v>32</v>
      </c>
      <c r="AR1636" s="3" t="s">
        <v>62</v>
      </c>
      <c r="AS1636" s="3" t="s">
        <v>62</v>
      </c>
      <c r="AT1636" s="3" t="s">
        <v>62</v>
      </c>
      <c r="AV1636" s="6" t="str">
        <f>HYPERLINK("http://mcgill.on.worldcat.org/oclc/59244343","Catalog Record")</f>
        <v>Catalog Record</v>
      </c>
      <c r="AW1636" s="6" t="str">
        <f>HYPERLINK("http://www.worldcat.org/oclc/59244343","WorldCat Record")</f>
        <v>WorldCat Record</v>
      </c>
      <c r="AX1636" s="3" t="s">
        <v>16281</v>
      </c>
      <c r="AY1636" s="3" t="s">
        <v>16282</v>
      </c>
      <c r="AZ1636" s="3" t="s">
        <v>16283</v>
      </c>
      <c r="BA1636" s="3" t="s">
        <v>16283</v>
      </c>
      <c r="BB1636" s="3" t="s">
        <v>16284</v>
      </c>
      <c r="BC1636" s="3" t="s">
        <v>102</v>
      </c>
      <c r="BD1636" s="3" t="s">
        <v>68</v>
      </c>
      <c r="BE1636" s="3" t="s">
        <v>16285</v>
      </c>
      <c r="BF1636" s="3" t="s">
        <v>16284</v>
      </c>
      <c r="BG1636" s="3" t="s">
        <v>16286</v>
      </c>
    </row>
    <row r="1637" spans="1:59" ht="58" x14ac:dyDescent="0.35">
      <c r="A1637" s="2" t="s">
        <v>89</v>
      </c>
      <c r="B1637" s="2" t="s">
        <v>90</v>
      </c>
      <c r="C1637" s="2" t="s">
        <v>16287</v>
      </c>
      <c r="D1637" s="2" t="s">
        <v>16288</v>
      </c>
      <c r="E1637" s="2" t="s">
        <v>16289</v>
      </c>
      <c r="G1637" s="3" t="s">
        <v>62</v>
      </c>
      <c r="I1637" s="3" t="s">
        <v>62</v>
      </c>
      <c r="J1637" s="3" t="s">
        <v>62</v>
      </c>
      <c r="K1637" s="3" t="s">
        <v>63</v>
      </c>
      <c r="M1637" s="2" t="s">
        <v>16290</v>
      </c>
      <c r="N1637" s="3" t="s">
        <v>424</v>
      </c>
      <c r="P1637" s="3" t="s">
        <v>64</v>
      </c>
      <c r="R1637" s="3" t="s">
        <v>13065</v>
      </c>
      <c r="S1637" s="4">
        <v>27</v>
      </c>
      <c r="T1637" s="4">
        <v>27</v>
      </c>
      <c r="U1637" s="5" t="s">
        <v>16291</v>
      </c>
      <c r="V1637" s="5" t="s">
        <v>16291</v>
      </c>
      <c r="W1637" s="5" t="s">
        <v>67</v>
      </c>
      <c r="X1637" s="5" t="s">
        <v>67</v>
      </c>
      <c r="Y1637" s="4">
        <v>120</v>
      </c>
      <c r="Z1637" s="4">
        <v>10</v>
      </c>
      <c r="AA1637" s="4">
        <v>12</v>
      </c>
      <c r="AB1637" s="4">
        <v>2</v>
      </c>
      <c r="AC1637" s="4">
        <v>2</v>
      </c>
      <c r="AD1637" s="4">
        <v>15</v>
      </c>
      <c r="AE1637" s="4">
        <v>20</v>
      </c>
      <c r="AF1637" s="4">
        <v>0</v>
      </c>
      <c r="AG1637" s="4">
        <v>0</v>
      </c>
      <c r="AH1637" s="4">
        <v>13</v>
      </c>
      <c r="AI1637" s="4">
        <v>18</v>
      </c>
      <c r="AJ1637" s="4">
        <v>6</v>
      </c>
      <c r="AK1637" s="4">
        <v>8</v>
      </c>
      <c r="AL1637" s="4">
        <v>4</v>
      </c>
      <c r="AM1637" s="4">
        <v>6</v>
      </c>
      <c r="AN1637" s="4">
        <v>0</v>
      </c>
      <c r="AO1637" s="4">
        <v>0</v>
      </c>
      <c r="AP1637" s="4">
        <v>7</v>
      </c>
      <c r="AQ1637" s="4">
        <v>9</v>
      </c>
      <c r="AR1637" s="3" t="s">
        <v>62</v>
      </c>
      <c r="AS1637" s="3" t="s">
        <v>62</v>
      </c>
      <c r="AT1637" s="3" t="s">
        <v>62</v>
      </c>
      <c r="AV1637" s="6" t="str">
        <f>HYPERLINK("http://mcgill.on.worldcat.org/oclc/17513824","Catalog Record")</f>
        <v>Catalog Record</v>
      </c>
      <c r="AW1637" s="6" t="str">
        <f>HYPERLINK("http://www.worldcat.org/oclc/17513824","WorldCat Record")</f>
        <v>WorldCat Record</v>
      </c>
      <c r="AX1637" s="3" t="s">
        <v>16292</v>
      </c>
      <c r="AY1637" s="3" t="s">
        <v>16293</v>
      </c>
      <c r="AZ1637" s="3" t="s">
        <v>16294</v>
      </c>
      <c r="BA1637" s="3" t="s">
        <v>16294</v>
      </c>
      <c r="BB1637" s="3" t="s">
        <v>16295</v>
      </c>
      <c r="BC1637" s="3" t="s">
        <v>102</v>
      </c>
      <c r="BD1637" s="3" t="s">
        <v>68</v>
      </c>
      <c r="BE1637" s="3" t="s">
        <v>16296</v>
      </c>
      <c r="BF1637" s="3" t="s">
        <v>16295</v>
      </c>
      <c r="BG1637" s="3" t="s">
        <v>16297</v>
      </c>
    </row>
    <row r="1638" spans="1:59" ht="58" x14ac:dyDescent="0.35">
      <c r="A1638" s="2" t="s">
        <v>89</v>
      </c>
      <c r="B1638" s="2" t="s">
        <v>90</v>
      </c>
      <c r="C1638" s="2" t="s">
        <v>16298</v>
      </c>
      <c r="D1638" s="2" t="s">
        <v>16299</v>
      </c>
      <c r="E1638" s="2" t="s">
        <v>16300</v>
      </c>
      <c r="G1638" s="3" t="s">
        <v>62</v>
      </c>
      <c r="I1638" s="3" t="s">
        <v>62</v>
      </c>
      <c r="J1638" s="3" t="s">
        <v>62</v>
      </c>
      <c r="K1638" s="3" t="s">
        <v>63</v>
      </c>
      <c r="L1638" s="2" t="s">
        <v>16301</v>
      </c>
      <c r="M1638" s="2" t="s">
        <v>16302</v>
      </c>
      <c r="N1638" s="3" t="s">
        <v>684</v>
      </c>
      <c r="P1638" s="3" t="s">
        <v>64</v>
      </c>
      <c r="R1638" s="3" t="s">
        <v>13065</v>
      </c>
      <c r="S1638" s="4">
        <v>0</v>
      </c>
      <c r="T1638" s="4">
        <v>0</v>
      </c>
      <c r="W1638" s="5" t="s">
        <v>67</v>
      </c>
      <c r="X1638" s="5" t="s">
        <v>67</v>
      </c>
      <c r="Y1638" s="4">
        <v>49</v>
      </c>
      <c r="Z1638" s="4">
        <v>6</v>
      </c>
      <c r="AA1638" s="4">
        <v>7</v>
      </c>
      <c r="AB1638" s="4">
        <v>1</v>
      </c>
      <c r="AC1638" s="4">
        <v>1</v>
      </c>
      <c r="AD1638" s="4">
        <v>12</v>
      </c>
      <c r="AE1638" s="4">
        <v>12</v>
      </c>
      <c r="AF1638" s="4">
        <v>0</v>
      </c>
      <c r="AG1638" s="4">
        <v>0</v>
      </c>
      <c r="AH1638" s="4">
        <v>10</v>
      </c>
      <c r="AI1638" s="4">
        <v>10</v>
      </c>
      <c r="AJ1638" s="4">
        <v>3</v>
      </c>
      <c r="AK1638" s="4">
        <v>3</v>
      </c>
      <c r="AL1638" s="4">
        <v>7</v>
      </c>
      <c r="AM1638" s="4">
        <v>7</v>
      </c>
      <c r="AN1638" s="4">
        <v>0</v>
      </c>
      <c r="AO1638" s="4">
        <v>0</v>
      </c>
      <c r="AP1638" s="4">
        <v>4</v>
      </c>
      <c r="AQ1638" s="4">
        <v>4</v>
      </c>
      <c r="AR1638" s="3" t="s">
        <v>62</v>
      </c>
      <c r="AS1638" s="3" t="s">
        <v>62</v>
      </c>
      <c r="AT1638" s="3" t="s">
        <v>62</v>
      </c>
      <c r="AV1638" s="6" t="str">
        <f>HYPERLINK("http://mcgill.on.worldcat.org/oclc/760111514","Catalog Record")</f>
        <v>Catalog Record</v>
      </c>
      <c r="AW1638" s="6" t="str">
        <f>HYPERLINK("http://www.worldcat.org/oclc/760111514","WorldCat Record")</f>
        <v>WorldCat Record</v>
      </c>
      <c r="AX1638" s="3" t="s">
        <v>16303</v>
      </c>
      <c r="AY1638" s="3" t="s">
        <v>16304</v>
      </c>
      <c r="AZ1638" s="3" t="s">
        <v>16305</v>
      </c>
      <c r="BA1638" s="3" t="s">
        <v>16305</v>
      </c>
      <c r="BB1638" s="3" t="s">
        <v>16306</v>
      </c>
      <c r="BC1638" s="3" t="s">
        <v>102</v>
      </c>
      <c r="BD1638" s="3" t="s">
        <v>68</v>
      </c>
      <c r="BE1638" s="3" t="s">
        <v>16307</v>
      </c>
      <c r="BF1638" s="3" t="s">
        <v>16306</v>
      </c>
      <c r="BG1638" s="3" t="s">
        <v>16308</v>
      </c>
    </row>
    <row r="1639" spans="1:59" ht="87" x14ac:dyDescent="0.35">
      <c r="A1639" s="2" t="s">
        <v>89</v>
      </c>
      <c r="B1639" s="2" t="s">
        <v>90</v>
      </c>
      <c r="C1639" s="2" t="s">
        <v>16309</v>
      </c>
      <c r="D1639" s="2" t="s">
        <v>16310</v>
      </c>
      <c r="E1639" s="2" t="s">
        <v>16311</v>
      </c>
      <c r="G1639" s="3" t="s">
        <v>62</v>
      </c>
      <c r="I1639" s="3" t="s">
        <v>62</v>
      </c>
      <c r="J1639" s="3" t="s">
        <v>62</v>
      </c>
      <c r="K1639" s="3" t="s">
        <v>63</v>
      </c>
      <c r="L1639" s="2" t="s">
        <v>16312</v>
      </c>
      <c r="M1639" s="2" t="s">
        <v>16313</v>
      </c>
      <c r="N1639" s="3" t="s">
        <v>2085</v>
      </c>
      <c r="O1639" s="2" t="s">
        <v>16314</v>
      </c>
      <c r="P1639" s="3" t="s">
        <v>64</v>
      </c>
      <c r="R1639" s="3" t="s">
        <v>13065</v>
      </c>
      <c r="S1639" s="4">
        <v>3</v>
      </c>
      <c r="T1639" s="4">
        <v>3</v>
      </c>
      <c r="U1639" s="5" t="s">
        <v>2667</v>
      </c>
      <c r="V1639" s="5" t="s">
        <v>2667</v>
      </c>
      <c r="W1639" s="5" t="s">
        <v>67</v>
      </c>
      <c r="X1639" s="5" t="s">
        <v>67</v>
      </c>
      <c r="Y1639" s="4">
        <v>11</v>
      </c>
      <c r="Z1639" s="4">
        <v>2</v>
      </c>
      <c r="AA1639" s="4">
        <v>2</v>
      </c>
      <c r="AB1639" s="4">
        <v>1</v>
      </c>
      <c r="AC1639" s="4">
        <v>1</v>
      </c>
      <c r="AD1639" s="4">
        <v>0</v>
      </c>
      <c r="AE1639" s="4">
        <v>7</v>
      </c>
      <c r="AF1639" s="4">
        <v>0</v>
      </c>
      <c r="AG1639" s="4">
        <v>0</v>
      </c>
      <c r="AH1639" s="4">
        <v>0</v>
      </c>
      <c r="AI1639" s="4">
        <v>7</v>
      </c>
      <c r="AJ1639" s="4">
        <v>0</v>
      </c>
      <c r="AK1639" s="4">
        <v>0</v>
      </c>
      <c r="AL1639" s="4">
        <v>0</v>
      </c>
      <c r="AM1639" s="4">
        <v>7</v>
      </c>
      <c r="AN1639" s="4">
        <v>0</v>
      </c>
      <c r="AO1639" s="4">
        <v>0</v>
      </c>
      <c r="AP1639" s="4">
        <v>0</v>
      </c>
      <c r="AQ1639" s="4">
        <v>0</v>
      </c>
      <c r="AR1639" s="3" t="s">
        <v>62</v>
      </c>
      <c r="AS1639" s="3" t="s">
        <v>62</v>
      </c>
      <c r="AT1639" s="3" t="s">
        <v>62</v>
      </c>
      <c r="AV1639" s="6" t="str">
        <f>HYPERLINK("http://mcgill.on.worldcat.org/oclc/1082362763","Catalog Record")</f>
        <v>Catalog Record</v>
      </c>
      <c r="AW1639" s="6" t="str">
        <f>HYPERLINK("http://www.worldcat.org/oclc/1082362763","WorldCat Record")</f>
        <v>WorldCat Record</v>
      </c>
      <c r="AX1639" s="3" t="s">
        <v>16315</v>
      </c>
      <c r="AY1639" s="3" t="s">
        <v>16316</v>
      </c>
      <c r="AZ1639" s="3" t="s">
        <v>16317</v>
      </c>
      <c r="BA1639" s="3" t="s">
        <v>16317</v>
      </c>
      <c r="BB1639" s="3" t="s">
        <v>16318</v>
      </c>
      <c r="BC1639" s="3" t="s">
        <v>102</v>
      </c>
      <c r="BD1639" s="3" t="s">
        <v>68</v>
      </c>
      <c r="BE1639" s="3" t="s">
        <v>16319</v>
      </c>
      <c r="BF1639" s="3" t="s">
        <v>16318</v>
      </c>
      <c r="BG1639" s="3" t="s">
        <v>16320</v>
      </c>
    </row>
    <row r="1640" spans="1:59" ht="58" x14ac:dyDescent="0.35">
      <c r="A1640" s="2" t="s">
        <v>89</v>
      </c>
      <c r="B1640" s="2" t="s">
        <v>90</v>
      </c>
      <c r="C1640" s="2" t="s">
        <v>16321</v>
      </c>
      <c r="D1640" s="2" t="s">
        <v>16322</v>
      </c>
      <c r="E1640" s="2" t="s">
        <v>16323</v>
      </c>
      <c r="G1640" s="3" t="s">
        <v>62</v>
      </c>
      <c r="I1640" s="3" t="s">
        <v>61</v>
      </c>
      <c r="J1640" s="3" t="s">
        <v>62</v>
      </c>
      <c r="K1640" s="3" t="s">
        <v>63</v>
      </c>
      <c r="L1640" s="2" t="s">
        <v>16324</v>
      </c>
      <c r="M1640" s="2" t="s">
        <v>16325</v>
      </c>
      <c r="N1640" s="3" t="s">
        <v>355</v>
      </c>
      <c r="P1640" s="3" t="s">
        <v>64</v>
      </c>
      <c r="R1640" s="3" t="s">
        <v>13065</v>
      </c>
      <c r="S1640" s="4">
        <v>21</v>
      </c>
      <c r="T1640" s="4">
        <v>54</v>
      </c>
      <c r="U1640" s="5" t="s">
        <v>16326</v>
      </c>
      <c r="V1640" s="5" t="s">
        <v>16326</v>
      </c>
      <c r="W1640" s="5" t="s">
        <v>67</v>
      </c>
      <c r="X1640" s="5" t="s">
        <v>67</v>
      </c>
      <c r="Y1640" s="4">
        <v>1337</v>
      </c>
      <c r="Z1640" s="4">
        <v>65</v>
      </c>
      <c r="AA1640" s="4">
        <v>141</v>
      </c>
      <c r="AB1640" s="4">
        <v>4</v>
      </c>
      <c r="AC1640" s="4">
        <v>22</v>
      </c>
      <c r="AD1640" s="4">
        <v>144</v>
      </c>
      <c r="AE1640" s="4">
        <v>167</v>
      </c>
      <c r="AF1640" s="4">
        <v>1</v>
      </c>
      <c r="AG1640" s="4">
        <v>8</v>
      </c>
      <c r="AH1640" s="4">
        <v>110</v>
      </c>
      <c r="AI1640" s="4">
        <v>115</v>
      </c>
      <c r="AJ1640" s="4">
        <v>25</v>
      </c>
      <c r="AK1640" s="4">
        <v>29</v>
      </c>
      <c r="AL1640" s="4">
        <v>57</v>
      </c>
      <c r="AM1640" s="4">
        <v>60</v>
      </c>
      <c r="AN1640" s="4">
        <v>0</v>
      </c>
      <c r="AO1640" s="4">
        <v>0</v>
      </c>
      <c r="AP1640" s="4">
        <v>41</v>
      </c>
      <c r="AQ1640" s="4">
        <v>58</v>
      </c>
      <c r="AR1640" s="3" t="s">
        <v>62</v>
      </c>
      <c r="AS1640" s="3" t="s">
        <v>62</v>
      </c>
      <c r="AT1640" s="3" t="s">
        <v>61</v>
      </c>
      <c r="AU1640" s="6" t="str">
        <f>HYPERLINK("http://catalog.hathitrust.org/Record/000123085","HathiTrust Record")</f>
        <v>HathiTrust Record</v>
      </c>
      <c r="AV1640" s="6" t="str">
        <f>HYPERLINK("http://mcgill.on.worldcat.org/oclc/10273404","Catalog Record")</f>
        <v>Catalog Record</v>
      </c>
      <c r="AW1640" s="6" t="str">
        <f>HYPERLINK("http://www.worldcat.org/oclc/10273404","WorldCat Record")</f>
        <v>WorldCat Record</v>
      </c>
      <c r="AX1640" s="3" t="s">
        <v>16327</v>
      </c>
      <c r="AY1640" s="3" t="s">
        <v>16328</v>
      </c>
      <c r="AZ1640" s="3" t="s">
        <v>16329</v>
      </c>
      <c r="BA1640" s="3" t="s">
        <v>16329</v>
      </c>
      <c r="BB1640" s="3" t="s">
        <v>16330</v>
      </c>
      <c r="BC1640" s="3" t="s">
        <v>102</v>
      </c>
      <c r="BD1640" s="3" t="s">
        <v>68</v>
      </c>
      <c r="BE1640" s="3" t="s">
        <v>16331</v>
      </c>
      <c r="BF1640" s="3" t="s">
        <v>16330</v>
      </c>
      <c r="BG1640" s="3" t="s">
        <v>16332</v>
      </c>
    </row>
    <row r="1641" spans="1:59" ht="58" x14ac:dyDescent="0.35">
      <c r="A1641" s="2" t="s">
        <v>89</v>
      </c>
      <c r="B1641" s="2" t="s">
        <v>90</v>
      </c>
      <c r="C1641" s="2" t="s">
        <v>16333</v>
      </c>
      <c r="D1641" s="2" t="s">
        <v>16334</v>
      </c>
      <c r="E1641" s="2" t="s">
        <v>16335</v>
      </c>
      <c r="G1641" s="3" t="s">
        <v>62</v>
      </c>
      <c r="I1641" s="3" t="s">
        <v>62</v>
      </c>
      <c r="J1641" s="3" t="s">
        <v>62</v>
      </c>
      <c r="K1641" s="3" t="s">
        <v>63</v>
      </c>
      <c r="L1641" s="2" t="s">
        <v>16336</v>
      </c>
      <c r="M1641" s="2" t="s">
        <v>16337</v>
      </c>
      <c r="N1641" s="3" t="s">
        <v>1482</v>
      </c>
      <c r="P1641" s="3" t="s">
        <v>64</v>
      </c>
      <c r="Q1641" s="2" t="s">
        <v>16338</v>
      </c>
      <c r="R1641" s="3" t="s">
        <v>13065</v>
      </c>
      <c r="S1641" s="4">
        <v>8</v>
      </c>
      <c r="T1641" s="4">
        <v>8</v>
      </c>
      <c r="U1641" s="5" t="s">
        <v>15824</v>
      </c>
      <c r="V1641" s="5" t="s">
        <v>15824</v>
      </c>
      <c r="W1641" s="5" t="s">
        <v>67</v>
      </c>
      <c r="X1641" s="5" t="s">
        <v>67</v>
      </c>
      <c r="Y1641" s="4">
        <v>298</v>
      </c>
      <c r="Z1641" s="4">
        <v>19</v>
      </c>
      <c r="AA1641" s="4">
        <v>22</v>
      </c>
      <c r="AB1641" s="4">
        <v>3</v>
      </c>
      <c r="AC1641" s="4">
        <v>6</v>
      </c>
      <c r="AD1641" s="4">
        <v>96</v>
      </c>
      <c r="AE1641" s="4">
        <v>99</v>
      </c>
      <c r="AF1641" s="4">
        <v>1</v>
      </c>
      <c r="AG1641" s="4">
        <v>4</v>
      </c>
      <c r="AH1641" s="4">
        <v>86</v>
      </c>
      <c r="AI1641" s="4">
        <v>87</v>
      </c>
      <c r="AJ1641" s="4">
        <v>13</v>
      </c>
      <c r="AK1641" s="4">
        <v>16</v>
      </c>
      <c r="AL1641" s="4">
        <v>46</v>
      </c>
      <c r="AM1641" s="4">
        <v>46</v>
      </c>
      <c r="AN1641" s="4">
        <v>0</v>
      </c>
      <c r="AO1641" s="4">
        <v>0</v>
      </c>
      <c r="AP1641" s="4">
        <v>14</v>
      </c>
      <c r="AQ1641" s="4">
        <v>16</v>
      </c>
      <c r="AR1641" s="3" t="s">
        <v>62</v>
      </c>
      <c r="AS1641" s="3" t="s">
        <v>62</v>
      </c>
      <c r="AT1641" s="3" t="s">
        <v>61</v>
      </c>
      <c r="AU1641" s="6" t="str">
        <f>HYPERLINK("http://catalog.hathitrust.org/Record/000435211","HathiTrust Record")</f>
        <v>HathiTrust Record</v>
      </c>
      <c r="AV1641" s="6" t="str">
        <f>HYPERLINK("http://mcgill.on.worldcat.org/oclc/13064684","Catalog Record")</f>
        <v>Catalog Record</v>
      </c>
      <c r="AW1641" s="6" t="str">
        <f>HYPERLINK("http://www.worldcat.org/oclc/13064684","WorldCat Record")</f>
        <v>WorldCat Record</v>
      </c>
      <c r="AX1641" s="3" t="s">
        <v>16339</v>
      </c>
      <c r="AY1641" s="3" t="s">
        <v>16340</v>
      </c>
      <c r="AZ1641" s="3" t="s">
        <v>16341</v>
      </c>
      <c r="BA1641" s="3" t="s">
        <v>16341</v>
      </c>
      <c r="BB1641" s="3" t="s">
        <v>16342</v>
      </c>
      <c r="BC1641" s="3" t="s">
        <v>102</v>
      </c>
      <c r="BD1641" s="3" t="s">
        <v>68</v>
      </c>
      <c r="BE1641" s="3" t="s">
        <v>16343</v>
      </c>
      <c r="BF1641" s="3" t="s">
        <v>16342</v>
      </c>
      <c r="BG1641" s="3" t="s">
        <v>16344</v>
      </c>
    </row>
    <row r="1642" spans="1:59" ht="58" x14ac:dyDescent="0.35">
      <c r="A1642" s="2" t="s">
        <v>89</v>
      </c>
      <c r="B1642" s="2" t="s">
        <v>90</v>
      </c>
      <c r="C1642" s="2" t="s">
        <v>16345</v>
      </c>
      <c r="D1642" s="2" t="s">
        <v>16346</v>
      </c>
      <c r="E1642" s="2" t="s">
        <v>16347</v>
      </c>
      <c r="G1642" s="3" t="s">
        <v>62</v>
      </c>
      <c r="I1642" s="3" t="s">
        <v>62</v>
      </c>
      <c r="J1642" s="3" t="s">
        <v>62</v>
      </c>
      <c r="K1642" s="3" t="s">
        <v>63</v>
      </c>
      <c r="L1642" s="2" t="s">
        <v>16348</v>
      </c>
      <c r="M1642" s="2" t="s">
        <v>16349</v>
      </c>
      <c r="N1642" s="3" t="s">
        <v>201</v>
      </c>
      <c r="P1642" s="3" t="s">
        <v>64</v>
      </c>
      <c r="R1642" s="3" t="s">
        <v>13065</v>
      </c>
      <c r="S1642" s="4">
        <v>11</v>
      </c>
      <c r="T1642" s="4">
        <v>11</v>
      </c>
      <c r="U1642" s="5" t="s">
        <v>16350</v>
      </c>
      <c r="V1642" s="5" t="s">
        <v>16350</v>
      </c>
      <c r="W1642" s="5" t="s">
        <v>67</v>
      </c>
      <c r="X1642" s="5" t="s">
        <v>67</v>
      </c>
      <c r="Y1642" s="4">
        <v>1300</v>
      </c>
      <c r="Z1642" s="4">
        <v>59</v>
      </c>
      <c r="AA1642" s="4">
        <v>66</v>
      </c>
      <c r="AB1642" s="4">
        <v>3</v>
      </c>
      <c r="AC1642" s="4">
        <v>7</v>
      </c>
      <c r="AD1642" s="4">
        <v>145</v>
      </c>
      <c r="AE1642" s="4">
        <v>150</v>
      </c>
      <c r="AF1642" s="4">
        <v>2</v>
      </c>
      <c r="AG1642" s="4">
        <v>5</v>
      </c>
      <c r="AH1642" s="4">
        <v>110</v>
      </c>
      <c r="AI1642" s="4">
        <v>111</v>
      </c>
      <c r="AJ1642" s="4">
        <v>23</v>
      </c>
      <c r="AK1642" s="4">
        <v>26</v>
      </c>
      <c r="AL1642" s="4">
        <v>61</v>
      </c>
      <c r="AM1642" s="4">
        <v>61</v>
      </c>
      <c r="AN1642" s="4">
        <v>0</v>
      </c>
      <c r="AO1642" s="4">
        <v>0</v>
      </c>
      <c r="AP1642" s="4">
        <v>40</v>
      </c>
      <c r="AQ1642" s="4">
        <v>44</v>
      </c>
      <c r="AR1642" s="3" t="s">
        <v>62</v>
      </c>
      <c r="AS1642" s="3" t="s">
        <v>62</v>
      </c>
      <c r="AT1642" s="3" t="s">
        <v>62</v>
      </c>
      <c r="AV1642" s="6" t="str">
        <f>HYPERLINK("http://mcgill.on.worldcat.org/oclc/1527521","Catalog Record")</f>
        <v>Catalog Record</v>
      </c>
      <c r="AW1642" s="6" t="str">
        <f>HYPERLINK("http://www.worldcat.org/oclc/1527521","WorldCat Record")</f>
        <v>WorldCat Record</v>
      </c>
      <c r="AX1642" s="3" t="s">
        <v>16351</v>
      </c>
      <c r="AY1642" s="3" t="s">
        <v>16352</v>
      </c>
      <c r="AZ1642" s="3" t="s">
        <v>16353</v>
      </c>
      <c r="BA1642" s="3" t="s">
        <v>16353</v>
      </c>
      <c r="BB1642" s="3" t="s">
        <v>16354</v>
      </c>
      <c r="BC1642" s="3" t="s">
        <v>102</v>
      </c>
      <c r="BD1642" s="3" t="s">
        <v>7808</v>
      </c>
      <c r="BE1642" s="3" t="s">
        <v>16355</v>
      </c>
      <c r="BF1642" s="3" t="s">
        <v>16354</v>
      </c>
      <c r="BG1642" s="3" t="s">
        <v>16356</v>
      </c>
    </row>
    <row r="1643" spans="1:59" ht="58" x14ac:dyDescent="0.35">
      <c r="A1643" s="2" t="s">
        <v>89</v>
      </c>
      <c r="B1643" s="2" t="s">
        <v>90</v>
      </c>
      <c r="C1643" s="2" t="s">
        <v>16357</v>
      </c>
      <c r="D1643" s="2" t="s">
        <v>16358</v>
      </c>
      <c r="E1643" s="2" t="s">
        <v>16359</v>
      </c>
      <c r="G1643" s="3" t="s">
        <v>62</v>
      </c>
      <c r="I1643" s="3" t="s">
        <v>61</v>
      </c>
      <c r="J1643" s="3" t="s">
        <v>62</v>
      </c>
      <c r="K1643" s="3" t="s">
        <v>63</v>
      </c>
      <c r="L1643" s="2" t="s">
        <v>16360</v>
      </c>
      <c r="M1643" s="2" t="s">
        <v>16361</v>
      </c>
      <c r="N1643" s="3" t="s">
        <v>640</v>
      </c>
      <c r="O1643" s="2" t="s">
        <v>2458</v>
      </c>
      <c r="P1643" s="3" t="s">
        <v>64</v>
      </c>
      <c r="R1643" s="3" t="s">
        <v>13065</v>
      </c>
      <c r="S1643" s="4">
        <v>1</v>
      </c>
      <c r="T1643" s="4">
        <v>1</v>
      </c>
      <c r="U1643" s="5" t="s">
        <v>16362</v>
      </c>
      <c r="V1643" s="5" t="s">
        <v>16362</v>
      </c>
      <c r="W1643" s="5" t="s">
        <v>67</v>
      </c>
      <c r="X1643" s="5" t="s">
        <v>67</v>
      </c>
      <c r="Y1643" s="4">
        <v>10</v>
      </c>
      <c r="Z1643" s="4">
        <v>1</v>
      </c>
      <c r="AA1643" s="4">
        <v>11</v>
      </c>
      <c r="AB1643" s="4">
        <v>1</v>
      </c>
      <c r="AC1643" s="4">
        <v>5</v>
      </c>
      <c r="AD1643" s="4">
        <v>4</v>
      </c>
      <c r="AE1643" s="4">
        <v>14</v>
      </c>
      <c r="AF1643" s="4">
        <v>0</v>
      </c>
      <c r="AG1643" s="4">
        <v>2</v>
      </c>
      <c r="AH1643" s="4">
        <v>4</v>
      </c>
      <c r="AI1643" s="4">
        <v>11</v>
      </c>
      <c r="AJ1643" s="4">
        <v>0</v>
      </c>
      <c r="AK1643" s="4">
        <v>7</v>
      </c>
      <c r="AL1643" s="4">
        <v>3</v>
      </c>
      <c r="AM1643" s="4">
        <v>5</v>
      </c>
      <c r="AN1643" s="4">
        <v>0</v>
      </c>
      <c r="AO1643" s="4">
        <v>0</v>
      </c>
      <c r="AP1643" s="4">
        <v>0</v>
      </c>
      <c r="AQ1643" s="4">
        <v>6</v>
      </c>
      <c r="AR1643" s="3" t="s">
        <v>62</v>
      </c>
      <c r="AS1643" s="3" t="s">
        <v>62</v>
      </c>
      <c r="AT1643" s="3" t="s">
        <v>62</v>
      </c>
      <c r="AV1643" s="6" t="str">
        <f>HYPERLINK("http://mcgill.on.worldcat.org/oclc/56418699","Catalog Record")</f>
        <v>Catalog Record</v>
      </c>
      <c r="AW1643" s="6" t="str">
        <f>HYPERLINK("http://www.worldcat.org/oclc/56418699","WorldCat Record")</f>
        <v>WorldCat Record</v>
      </c>
      <c r="AX1643" s="3" t="s">
        <v>16363</v>
      </c>
      <c r="AY1643" s="3" t="s">
        <v>16364</v>
      </c>
      <c r="AZ1643" s="3" t="s">
        <v>16365</v>
      </c>
      <c r="BA1643" s="3" t="s">
        <v>16365</v>
      </c>
      <c r="BB1643" s="3" t="s">
        <v>16366</v>
      </c>
      <c r="BC1643" s="3" t="s">
        <v>102</v>
      </c>
      <c r="BD1643" s="3" t="s">
        <v>68</v>
      </c>
      <c r="BE1643" s="3" t="s">
        <v>16367</v>
      </c>
      <c r="BF1643" s="3" t="s">
        <v>16366</v>
      </c>
      <c r="BG1643" s="3" t="s">
        <v>16368</v>
      </c>
    </row>
    <row r="1644" spans="1:59" ht="58" x14ac:dyDescent="0.35">
      <c r="A1644" s="2" t="s">
        <v>89</v>
      </c>
      <c r="B1644" s="2" t="s">
        <v>90</v>
      </c>
      <c r="C1644" s="2" t="s">
        <v>16369</v>
      </c>
      <c r="D1644" s="2" t="s">
        <v>16370</v>
      </c>
      <c r="E1644" s="2" t="s">
        <v>16371</v>
      </c>
      <c r="G1644" s="3" t="s">
        <v>62</v>
      </c>
      <c r="I1644" s="3" t="s">
        <v>62</v>
      </c>
      <c r="J1644" s="3" t="s">
        <v>62</v>
      </c>
      <c r="K1644" s="3" t="s">
        <v>63</v>
      </c>
      <c r="M1644" s="2" t="s">
        <v>16372</v>
      </c>
      <c r="N1644" s="3" t="s">
        <v>438</v>
      </c>
      <c r="O1644" s="2" t="s">
        <v>16373</v>
      </c>
      <c r="P1644" s="3" t="s">
        <v>64</v>
      </c>
      <c r="R1644" s="3" t="s">
        <v>13065</v>
      </c>
      <c r="S1644" s="4">
        <v>1</v>
      </c>
      <c r="T1644" s="4">
        <v>1</v>
      </c>
      <c r="U1644" s="5" t="s">
        <v>16362</v>
      </c>
      <c r="V1644" s="5" t="s">
        <v>16362</v>
      </c>
      <c r="W1644" s="5" t="s">
        <v>67</v>
      </c>
      <c r="X1644" s="5" t="s">
        <v>67</v>
      </c>
      <c r="Y1644" s="4">
        <v>14</v>
      </c>
      <c r="Z1644" s="4">
        <v>6</v>
      </c>
      <c r="AA1644" s="4">
        <v>9</v>
      </c>
      <c r="AB1644" s="4">
        <v>2</v>
      </c>
      <c r="AC1644" s="4">
        <v>3</v>
      </c>
      <c r="AD1644" s="4">
        <v>4</v>
      </c>
      <c r="AE1644" s="4">
        <v>7</v>
      </c>
      <c r="AF1644" s="4">
        <v>0</v>
      </c>
      <c r="AG1644" s="4">
        <v>1</v>
      </c>
      <c r="AH1644" s="4">
        <v>4</v>
      </c>
      <c r="AI1644" s="4">
        <v>5</v>
      </c>
      <c r="AJ1644" s="4">
        <v>2</v>
      </c>
      <c r="AK1644" s="4">
        <v>5</v>
      </c>
      <c r="AL1644" s="4">
        <v>2</v>
      </c>
      <c r="AM1644" s="4">
        <v>2</v>
      </c>
      <c r="AN1644" s="4">
        <v>0</v>
      </c>
      <c r="AO1644" s="4">
        <v>0</v>
      </c>
      <c r="AP1644" s="4">
        <v>2</v>
      </c>
      <c r="AQ1644" s="4">
        <v>4</v>
      </c>
      <c r="AR1644" s="3" t="s">
        <v>62</v>
      </c>
      <c r="AS1644" s="3" t="s">
        <v>62</v>
      </c>
      <c r="AT1644" s="3" t="s">
        <v>62</v>
      </c>
      <c r="AV1644" s="6" t="str">
        <f>HYPERLINK("http://mcgill.on.worldcat.org/oclc/80723517","Catalog Record")</f>
        <v>Catalog Record</v>
      </c>
      <c r="AW1644" s="6" t="str">
        <f>HYPERLINK("http://www.worldcat.org/oclc/80723517","WorldCat Record")</f>
        <v>WorldCat Record</v>
      </c>
      <c r="AX1644" s="3" t="s">
        <v>16374</v>
      </c>
      <c r="AY1644" s="3" t="s">
        <v>16375</v>
      </c>
      <c r="AZ1644" s="3" t="s">
        <v>16376</v>
      </c>
      <c r="BA1644" s="3" t="s">
        <v>16376</v>
      </c>
      <c r="BB1644" s="3" t="s">
        <v>16377</v>
      </c>
      <c r="BC1644" s="3" t="s">
        <v>102</v>
      </c>
      <c r="BD1644" s="3" t="s">
        <v>68</v>
      </c>
      <c r="BE1644" s="3" t="s">
        <v>16378</v>
      </c>
      <c r="BF1644" s="3" t="s">
        <v>16377</v>
      </c>
      <c r="BG1644" s="3" t="s">
        <v>16379</v>
      </c>
    </row>
    <row r="1645" spans="1:59" ht="58" x14ac:dyDescent="0.35">
      <c r="A1645" s="2" t="s">
        <v>89</v>
      </c>
      <c r="B1645" s="2" t="s">
        <v>90</v>
      </c>
      <c r="C1645" s="2" t="s">
        <v>16380</v>
      </c>
      <c r="D1645" s="2" t="s">
        <v>16381</v>
      </c>
      <c r="E1645" s="2" t="s">
        <v>16382</v>
      </c>
      <c r="G1645" s="3" t="s">
        <v>62</v>
      </c>
      <c r="I1645" s="3" t="s">
        <v>62</v>
      </c>
      <c r="J1645" s="3" t="s">
        <v>61</v>
      </c>
      <c r="K1645" s="3" t="s">
        <v>63</v>
      </c>
      <c r="M1645" s="2" t="s">
        <v>16383</v>
      </c>
      <c r="N1645" s="3" t="s">
        <v>553</v>
      </c>
      <c r="O1645" s="2" t="s">
        <v>2163</v>
      </c>
      <c r="P1645" s="3" t="s">
        <v>64</v>
      </c>
      <c r="R1645" s="3" t="s">
        <v>13065</v>
      </c>
      <c r="S1645" s="4">
        <v>5</v>
      </c>
      <c r="T1645" s="4">
        <v>5</v>
      </c>
      <c r="U1645" s="5" t="s">
        <v>16384</v>
      </c>
      <c r="V1645" s="5" t="s">
        <v>16384</v>
      </c>
      <c r="W1645" s="5" t="s">
        <v>67</v>
      </c>
      <c r="X1645" s="5" t="s">
        <v>67</v>
      </c>
      <c r="Y1645" s="4">
        <v>266</v>
      </c>
      <c r="Z1645" s="4">
        <v>23</v>
      </c>
      <c r="AA1645" s="4">
        <v>59</v>
      </c>
      <c r="AB1645" s="4">
        <v>1</v>
      </c>
      <c r="AC1645" s="4">
        <v>2</v>
      </c>
      <c r="AD1645" s="4">
        <v>59</v>
      </c>
      <c r="AE1645" s="4">
        <v>111</v>
      </c>
      <c r="AF1645" s="4">
        <v>0</v>
      </c>
      <c r="AG1645" s="4">
        <v>1</v>
      </c>
      <c r="AH1645" s="4">
        <v>55</v>
      </c>
      <c r="AI1645" s="4">
        <v>92</v>
      </c>
      <c r="AJ1645" s="4">
        <v>2</v>
      </c>
      <c r="AK1645" s="4">
        <v>13</v>
      </c>
      <c r="AL1645" s="4">
        <v>33</v>
      </c>
      <c r="AM1645" s="4">
        <v>48</v>
      </c>
      <c r="AN1645" s="4">
        <v>0</v>
      </c>
      <c r="AO1645" s="4">
        <v>0</v>
      </c>
      <c r="AP1645" s="4">
        <v>5</v>
      </c>
      <c r="AQ1645" s="4">
        <v>23</v>
      </c>
      <c r="AR1645" s="3" t="s">
        <v>62</v>
      </c>
      <c r="AS1645" s="3" t="s">
        <v>62</v>
      </c>
      <c r="AT1645" s="3" t="s">
        <v>62</v>
      </c>
      <c r="AV1645" s="6" t="str">
        <f>HYPERLINK("http://mcgill.on.worldcat.org/oclc/43076805","Catalog Record")</f>
        <v>Catalog Record</v>
      </c>
      <c r="AW1645" s="6" t="str">
        <f>HYPERLINK("http://www.worldcat.org/oclc/43076805","WorldCat Record")</f>
        <v>WorldCat Record</v>
      </c>
      <c r="AX1645" s="3" t="s">
        <v>16385</v>
      </c>
      <c r="AY1645" s="3" t="s">
        <v>16386</v>
      </c>
      <c r="AZ1645" s="3" t="s">
        <v>16387</v>
      </c>
      <c r="BA1645" s="3" t="s">
        <v>16387</v>
      </c>
      <c r="BB1645" s="3" t="s">
        <v>16388</v>
      </c>
      <c r="BC1645" s="3" t="s">
        <v>102</v>
      </c>
      <c r="BD1645" s="3" t="s">
        <v>68</v>
      </c>
      <c r="BE1645" s="3" t="s">
        <v>16389</v>
      </c>
      <c r="BF1645" s="3" t="s">
        <v>16388</v>
      </c>
      <c r="BG1645" s="3" t="s">
        <v>16390</v>
      </c>
    </row>
    <row r="1646" spans="1:59" ht="58" x14ac:dyDescent="0.35">
      <c r="A1646" s="2" t="s">
        <v>89</v>
      </c>
      <c r="B1646" s="2" t="s">
        <v>90</v>
      </c>
      <c r="C1646" s="2" t="s">
        <v>16391</v>
      </c>
      <c r="D1646" s="2" t="s">
        <v>16392</v>
      </c>
      <c r="E1646" s="2" t="s">
        <v>16393</v>
      </c>
      <c r="G1646" s="3" t="s">
        <v>62</v>
      </c>
      <c r="I1646" s="3" t="s">
        <v>62</v>
      </c>
      <c r="J1646" s="3" t="s">
        <v>61</v>
      </c>
      <c r="K1646" s="3" t="s">
        <v>63</v>
      </c>
      <c r="M1646" s="2" t="s">
        <v>16394</v>
      </c>
      <c r="N1646" s="3" t="s">
        <v>2000</v>
      </c>
      <c r="O1646" s="2" t="s">
        <v>2163</v>
      </c>
      <c r="P1646" s="3" t="s">
        <v>64</v>
      </c>
      <c r="R1646" s="3" t="s">
        <v>13065</v>
      </c>
      <c r="S1646" s="4">
        <v>9</v>
      </c>
      <c r="T1646" s="4">
        <v>9</v>
      </c>
      <c r="U1646" s="5" t="s">
        <v>9127</v>
      </c>
      <c r="V1646" s="5" t="s">
        <v>9127</v>
      </c>
      <c r="W1646" s="5" t="s">
        <v>67</v>
      </c>
      <c r="X1646" s="5" t="s">
        <v>67</v>
      </c>
      <c r="Y1646" s="4">
        <v>712</v>
      </c>
      <c r="Z1646" s="4">
        <v>40</v>
      </c>
      <c r="AA1646" s="4">
        <v>59</v>
      </c>
      <c r="AB1646" s="4">
        <v>2</v>
      </c>
      <c r="AC1646" s="4">
        <v>2</v>
      </c>
      <c r="AD1646" s="4">
        <v>94</v>
      </c>
      <c r="AE1646" s="4">
        <v>111</v>
      </c>
      <c r="AF1646" s="4">
        <v>1</v>
      </c>
      <c r="AG1646" s="4">
        <v>1</v>
      </c>
      <c r="AH1646" s="4">
        <v>79</v>
      </c>
      <c r="AI1646" s="4">
        <v>92</v>
      </c>
      <c r="AJ1646" s="4">
        <v>10</v>
      </c>
      <c r="AK1646" s="4">
        <v>13</v>
      </c>
      <c r="AL1646" s="4">
        <v>41</v>
      </c>
      <c r="AM1646" s="4">
        <v>48</v>
      </c>
      <c r="AN1646" s="4">
        <v>0</v>
      </c>
      <c r="AO1646" s="4">
        <v>0</v>
      </c>
      <c r="AP1646" s="4">
        <v>18</v>
      </c>
      <c r="AQ1646" s="4">
        <v>23</v>
      </c>
      <c r="AR1646" s="3" t="s">
        <v>62</v>
      </c>
      <c r="AS1646" s="3" t="s">
        <v>62</v>
      </c>
      <c r="AT1646" s="3" t="s">
        <v>61</v>
      </c>
      <c r="AU1646" s="6" t="str">
        <f>HYPERLINK("http://catalog.hathitrust.org/Record/004538045","HathiTrust Record")</f>
        <v>HathiTrust Record</v>
      </c>
      <c r="AV1646" s="6" t="str">
        <f>HYPERLINK("http://mcgill.on.worldcat.org/oclc/36128118","Catalog Record")</f>
        <v>Catalog Record</v>
      </c>
      <c r="AW1646" s="6" t="str">
        <f>HYPERLINK("http://www.worldcat.org/oclc/36128118","WorldCat Record")</f>
        <v>WorldCat Record</v>
      </c>
      <c r="AX1646" s="3" t="s">
        <v>16385</v>
      </c>
      <c r="AY1646" s="3" t="s">
        <v>16395</v>
      </c>
      <c r="AZ1646" s="3" t="s">
        <v>16396</v>
      </c>
      <c r="BA1646" s="3" t="s">
        <v>16396</v>
      </c>
      <c r="BB1646" s="3" t="s">
        <v>16397</v>
      </c>
      <c r="BC1646" s="3" t="s">
        <v>102</v>
      </c>
      <c r="BD1646" s="3" t="s">
        <v>231</v>
      </c>
      <c r="BE1646" s="3" t="s">
        <v>16398</v>
      </c>
      <c r="BF1646" s="3" t="s">
        <v>16397</v>
      </c>
      <c r="BG1646" s="3" t="s">
        <v>16399</v>
      </c>
    </row>
    <row r="1647" spans="1:59" ht="58" x14ac:dyDescent="0.35">
      <c r="A1647" s="2" t="s">
        <v>89</v>
      </c>
      <c r="B1647" s="2" t="s">
        <v>90</v>
      </c>
      <c r="C1647" s="2" t="s">
        <v>16400</v>
      </c>
      <c r="D1647" s="2" t="s">
        <v>16401</v>
      </c>
      <c r="E1647" s="2" t="s">
        <v>16402</v>
      </c>
      <c r="G1647" s="3" t="s">
        <v>62</v>
      </c>
      <c r="I1647" s="3" t="s">
        <v>62</v>
      </c>
      <c r="J1647" s="3" t="s">
        <v>62</v>
      </c>
      <c r="K1647" s="3" t="s">
        <v>63</v>
      </c>
      <c r="M1647" s="2" t="s">
        <v>2341</v>
      </c>
      <c r="N1647" s="3" t="s">
        <v>640</v>
      </c>
      <c r="P1647" s="3" t="s">
        <v>64</v>
      </c>
      <c r="Q1647" s="2" t="s">
        <v>16403</v>
      </c>
      <c r="R1647" s="3" t="s">
        <v>13065</v>
      </c>
      <c r="S1647" s="4">
        <v>14</v>
      </c>
      <c r="T1647" s="4">
        <v>14</v>
      </c>
      <c r="U1647" s="5" t="s">
        <v>16404</v>
      </c>
      <c r="V1647" s="5" t="s">
        <v>16404</v>
      </c>
      <c r="W1647" s="5" t="s">
        <v>67</v>
      </c>
      <c r="X1647" s="5" t="s">
        <v>67</v>
      </c>
      <c r="Y1647" s="4">
        <v>285</v>
      </c>
      <c r="Z1647" s="4">
        <v>20</v>
      </c>
      <c r="AA1647" s="4">
        <v>41</v>
      </c>
      <c r="AB1647" s="4">
        <v>1</v>
      </c>
      <c r="AC1647" s="4">
        <v>8</v>
      </c>
      <c r="AD1647" s="4">
        <v>78</v>
      </c>
      <c r="AE1647" s="4">
        <v>98</v>
      </c>
      <c r="AF1647" s="4">
        <v>0</v>
      </c>
      <c r="AG1647" s="4">
        <v>5</v>
      </c>
      <c r="AH1647" s="4">
        <v>65</v>
      </c>
      <c r="AI1647" s="4">
        <v>75</v>
      </c>
      <c r="AJ1647" s="4">
        <v>15</v>
      </c>
      <c r="AK1647" s="4">
        <v>20</v>
      </c>
      <c r="AL1647" s="4">
        <v>38</v>
      </c>
      <c r="AM1647" s="4">
        <v>44</v>
      </c>
      <c r="AN1647" s="4">
        <v>0</v>
      </c>
      <c r="AO1647" s="4">
        <v>0</v>
      </c>
      <c r="AP1647" s="4">
        <v>17</v>
      </c>
      <c r="AQ1647" s="4">
        <v>28</v>
      </c>
      <c r="AR1647" s="3" t="s">
        <v>62</v>
      </c>
      <c r="AS1647" s="3" t="s">
        <v>62</v>
      </c>
      <c r="AT1647" s="3" t="s">
        <v>62</v>
      </c>
      <c r="AV1647" s="6" t="str">
        <f>HYPERLINK("http://mcgill.on.worldcat.org/oclc/51900606","Catalog Record")</f>
        <v>Catalog Record</v>
      </c>
      <c r="AW1647" s="6" t="str">
        <f>HYPERLINK("http://www.worldcat.org/oclc/51900606","WorldCat Record")</f>
        <v>WorldCat Record</v>
      </c>
      <c r="AX1647" s="3" t="s">
        <v>16405</v>
      </c>
      <c r="AY1647" s="3" t="s">
        <v>16406</v>
      </c>
      <c r="AZ1647" s="3" t="s">
        <v>16407</v>
      </c>
      <c r="BA1647" s="3" t="s">
        <v>16407</v>
      </c>
      <c r="BB1647" s="3" t="s">
        <v>16408</v>
      </c>
      <c r="BC1647" s="3" t="s">
        <v>102</v>
      </c>
      <c r="BD1647" s="3" t="s">
        <v>68</v>
      </c>
      <c r="BE1647" s="3" t="s">
        <v>16409</v>
      </c>
      <c r="BF1647" s="3" t="s">
        <v>16408</v>
      </c>
      <c r="BG1647" s="3" t="s">
        <v>16410</v>
      </c>
    </row>
    <row r="1648" spans="1:59" ht="58" x14ac:dyDescent="0.35">
      <c r="A1648" s="2" t="s">
        <v>89</v>
      </c>
      <c r="B1648" s="2" t="s">
        <v>90</v>
      </c>
      <c r="C1648" s="2" t="s">
        <v>16411</v>
      </c>
      <c r="D1648" s="2" t="s">
        <v>16412</v>
      </c>
      <c r="E1648" s="2" t="s">
        <v>16413</v>
      </c>
      <c r="G1648" s="3" t="s">
        <v>62</v>
      </c>
      <c r="I1648" s="3" t="s">
        <v>62</v>
      </c>
      <c r="J1648" s="3" t="s">
        <v>62</v>
      </c>
      <c r="K1648" s="3" t="s">
        <v>63</v>
      </c>
      <c r="M1648" s="2" t="s">
        <v>12496</v>
      </c>
      <c r="N1648" s="3" t="s">
        <v>1038</v>
      </c>
      <c r="P1648" s="3" t="s">
        <v>64</v>
      </c>
      <c r="Q1648" s="2" t="s">
        <v>16414</v>
      </c>
      <c r="R1648" s="3" t="s">
        <v>13065</v>
      </c>
      <c r="S1648" s="4">
        <v>2</v>
      </c>
      <c r="T1648" s="4">
        <v>2</v>
      </c>
      <c r="U1648" s="5" t="s">
        <v>16415</v>
      </c>
      <c r="V1648" s="5" t="s">
        <v>16415</v>
      </c>
      <c r="W1648" s="5" t="s">
        <v>67</v>
      </c>
      <c r="X1648" s="5" t="s">
        <v>67</v>
      </c>
      <c r="Y1648" s="4">
        <v>23</v>
      </c>
      <c r="Z1648" s="4">
        <v>1</v>
      </c>
      <c r="AA1648" s="4">
        <v>1</v>
      </c>
      <c r="AB1648" s="4">
        <v>1</v>
      </c>
      <c r="AC1648" s="4">
        <v>1</v>
      </c>
      <c r="AD1648" s="4">
        <v>6</v>
      </c>
      <c r="AE1648" s="4">
        <v>6</v>
      </c>
      <c r="AF1648" s="4">
        <v>0</v>
      </c>
      <c r="AG1648" s="4">
        <v>0</v>
      </c>
      <c r="AH1648" s="4">
        <v>5</v>
      </c>
      <c r="AI1648" s="4">
        <v>5</v>
      </c>
      <c r="AJ1648" s="4">
        <v>0</v>
      </c>
      <c r="AK1648" s="4">
        <v>0</v>
      </c>
      <c r="AL1648" s="4">
        <v>4</v>
      </c>
      <c r="AM1648" s="4">
        <v>4</v>
      </c>
      <c r="AN1648" s="4">
        <v>0</v>
      </c>
      <c r="AO1648" s="4">
        <v>0</v>
      </c>
      <c r="AP1648" s="4">
        <v>0</v>
      </c>
      <c r="AQ1648" s="4">
        <v>0</v>
      </c>
      <c r="AR1648" s="3" t="s">
        <v>62</v>
      </c>
      <c r="AS1648" s="3" t="s">
        <v>62</v>
      </c>
      <c r="AT1648" s="3" t="s">
        <v>62</v>
      </c>
      <c r="AV1648" s="6" t="str">
        <f>HYPERLINK("http://mcgill.on.worldcat.org/oclc/934475917","Catalog Record")</f>
        <v>Catalog Record</v>
      </c>
      <c r="AW1648" s="6" t="str">
        <f>HYPERLINK("http://www.worldcat.org/oclc/934475917","WorldCat Record")</f>
        <v>WorldCat Record</v>
      </c>
      <c r="AX1648" s="3" t="s">
        <v>16416</v>
      </c>
      <c r="AY1648" s="3" t="s">
        <v>16417</v>
      </c>
      <c r="AZ1648" s="3" t="s">
        <v>16418</v>
      </c>
      <c r="BA1648" s="3" t="s">
        <v>16418</v>
      </c>
      <c r="BB1648" s="3" t="s">
        <v>16419</v>
      </c>
      <c r="BC1648" s="3" t="s">
        <v>102</v>
      </c>
      <c r="BD1648" s="3" t="s">
        <v>68</v>
      </c>
      <c r="BE1648" s="3" t="s">
        <v>16420</v>
      </c>
      <c r="BF1648" s="3" t="s">
        <v>16419</v>
      </c>
      <c r="BG1648" s="3" t="s">
        <v>16421</v>
      </c>
    </row>
    <row r="1649" spans="1:59" ht="58" x14ac:dyDescent="0.35">
      <c r="A1649" s="2" t="s">
        <v>89</v>
      </c>
      <c r="B1649" s="2" t="s">
        <v>90</v>
      </c>
      <c r="C1649" s="2" t="s">
        <v>16422</v>
      </c>
      <c r="D1649" s="2" t="s">
        <v>16423</v>
      </c>
      <c r="E1649" s="2" t="s">
        <v>16424</v>
      </c>
      <c r="G1649" s="3" t="s">
        <v>62</v>
      </c>
      <c r="I1649" s="3" t="s">
        <v>62</v>
      </c>
      <c r="J1649" s="3" t="s">
        <v>62</v>
      </c>
      <c r="K1649" s="3" t="s">
        <v>63</v>
      </c>
      <c r="L1649" s="2" t="s">
        <v>16425</v>
      </c>
      <c r="M1649" s="2" t="s">
        <v>7656</v>
      </c>
      <c r="N1649" s="3" t="s">
        <v>726</v>
      </c>
      <c r="P1649" s="3" t="s">
        <v>64</v>
      </c>
      <c r="Q1649" s="2" t="s">
        <v>16426</v>
      </c>
      <c r="R1649" s="3" t="s">
        <v>13065</v>
      </c>
      <c r="S1649" s="4">
        <v>1</v>
      </c>
      <c r="T1649" s="4">
        <v>1</v>
      </c>
      <c r="U1649" s="5" t="s">
        <v>598</v>
      </c>
      <c r="V1649" s="5" t="s">
        <v>598</v>
      </c>
      <c r="W1649" s="5" t="s">
        <v>67</v>
      </c>
      <c r="X1649" s="5" t="s">
        <v>67</v>
      </c>
      <c r="Y1649" s="4">
        <v>35</v>
      </c>
      <c r="Z1649" s="4">
        <v>2</v>
      </c>
      <c r="AA1649" s="4">
        <v>12</v>
      </c>
      <c r="AB1649" s="4">
        <v>1</v>
      </c>
      <c r="AC1649" s="4">
        <v>5</v>
      </c>
      <c r="AD1649" s="4">
        <v>17</v>
      </c>
      <c r="AE1649" s="4">
        <v>34</v>
      </c>
      <c r="AF1649" s="4">
        <v>0</v>
      </c>
      <c r="AG1649" s="4">
        <v>2</v>
      </c>
      <c r="AH1649" s="4">
        <v>15</v>
      </c>
      <c r="AI1649" s="4">
        <v>26</v>
      </c>
      <c r="AJ1649" s="4">
        <v>0</v>
      </c>
      <c r="AK1649" s="4">
        <v>6</v>
      </c>
      <c r="AL1649" s="4">
        <v>13</v>
      </c>
      <c r="AM1649" s="4">
        <v>19</v>
      </c>
      <c r="AN1649" s="4">
        <v>0</v>
      </c>
      <c r="AO1649" s="4">
        <v>0</v>
      </c>
      <c r="AP1649" s="4">
        <v>1</v>
      </c>
      <c r="AQ1649" s="4">
        <v>9</v>
      </c>
      <c r="AR1649" s="3" t="s">
        <v>62</v>
      </c>
      <c r="AS1649" s="3" t="s">
        <v>62</v>
      </c>
      <c r="AT1649" s="3" t="s">
        <v>62</v>
      </c>
      <c r="AV1649" s="6" t="str">
        <f>HYPERLINK("http://mcgill.on.worldcat.org/oclc/988290470","Catalog Record")</f>
        <v>Catalog Record</v>
      </c>
      <c r="AW1649" s="6" t="str">
        <f>HYPERLINK("http://www.worldcat.org/oclc/988290470","WorldCat Record")</f>
        <v>WorldCat Record</v>
      </c>
      <c r="AX1649" s="3" t="s">
        <v>16427</v>
      </c>
      <c r="AY1649" s="3" t="s">
        <v>16428</v>
      </c>
      <c r="AZ1649" s="3" t="s">
        <v>16429</v>
      </c>
      <c r="BA1649" s="3" t="s">
        <v>16429</v>
      </c>
      <c r="BB1649" s="3" t="s">
        <v>16430</v>
      </c>
      <c r="BC1649" s="3" t="s">
        <v>102</v>
      </c>
      <c r="BD1649" s="3" t="s">
        <v>68</v>
      </c>
      <c r="BE1649" s="3" t="s">
        <v>16431</v>
      </c>
      <c r="BF1649" s="3" t="s">
        <v>16430</v>
      </c>
      <c r="BG1649" s="3" t="s">
        <v>16432</v>
      </c>
    </row>
    <row r="1650" spans="1:59" ht="58" x14ac:dyDescent="0.35">
      <c r="A1650" s="2" t="s">
        <v>89</v>
      </c>
      <c r="B1650" s="2" t="s">
        <v>90</v>
      </c>
      <c r="C1650" s="2" t="s">
        <v>16433</v>
      </c>
      <c r="D1650" s="2" t="s">
        <v>16434</v>
      </c>
      <c r="E1650" s="2" t="s">
        <v>16435</v>
      </c>
      <c r="G1650" s="3" t="s">
        <v>62</v>
      </c>
      <c r="I1650" s="3" t="s">
        <v>61</v>
      </c>
      <c r="J1650" s="3" t="s">
        <v>62</v>
      </c>
      <c r="K1650" s="3" t="s">
        <v>63</v>
      </c>
      <c r="L1650" s="2" t="s">
        <v>16436</v>
      </c>
      <c r="M1650" s="2" t="s">
        <v>16437</v>
      </c>
      <c r="N1650" s="3" t="s">
        <v>2000</v>
      </c>
      <c r="P1650" s="3" t="s">
        <v>64</v>
      </c>
      <c r="Q1650" s="2" t="s">
        <v>16438</v>
      </c>
      <c r="R1650" s="3" t="s">
        <v>13065</v>
      </c>
      <c r="S1650" s="4">
        <v>22</v>
      </c>
      <c r="T1650" s="4">
        <v>55</v>
      </c>
      <c r="U1650" s="5" t="s">
        <v>16439</v>
      </c>
      <c r="V1650" s="5" t="s">
        <v>16440</v>
      </c>
      <c r="W1650" s="5" t="s">
        <v>67</v>
      </c>
      <c r="X1650" s="5" t="s">
        <v>67</v>
      </c>
      <c r="Y1650" s="4">
        <v>456</v>
      </c>
      <c r="Z1650" s="4">
        <v>28</v>
      </c>
      <c r="AA1650" s="4">
        <v>128</v>
      </c>
      <c r="AB1650" s="4">
        <v>2</v>
      </c>
      <c r="AC1650" s="4">
        <v>19</v>
      </c>
      <c r="AD1650" s="4">
        <v>106</v>
      </c>
      <c r="AE1650" s="4">
        <v>156</v>
      </c>
      <c r="AF1650" s="4">
        <v>1</v>
      </c>
      <c r="AG1650" s="4">
        <v>8</v>
      </c>
      <c r="AH1650" s="4">
        <v>91</v>
      </c>
      <c r="AI1650" s="4">
        <v>110</v>
      </c>
      <c r="AJ1650" s="4">
        <v>17</v>
      </c>
      <c r="AK1650" s="4">
        <v>27</v>
      </c>
      <c r="AL1650" s="4">
        <v>51</v>
      </c>
      <c r="AM1650" s="4">
        <v>58</v>
      </c>
      <c r="AN1650" s="4">
        <v>0</v>
      </c>
      <c r="AO1650" s="4">
        <v>1</v>
      </c>
      <c r="AP1650" s="4">
        <v>22</v>
      </c>
      <c r="AQ1650" s="4">
        <v>56</v>
      </c>
      <c r="AR1650" s="3" t="s">
        <v>62</v>
      </c>
      <c r="AS1650" s="3" t="s">
        <v>62</v>
      </c>
      <c r="AT1650" s="3" t="s">
        <v>62</v>
      </c>
      <c r="AV1650" s="6" t="str">
        <f>HYPERLINK("http://mcgill.on.worldcat.org/oclc/32893943","Catalog Record")</f>
        <v>Catalog Record</v>
      </c>
      <c r="AW1650" s="6" t="str">
        <f>HYPERLINK("http://www.worldcat.org/oclc/32893943","WorldCat Record")</f>
        <v>WorldCat Record</v>
      </c>
      <c r="AX1650" s="3" t="s">
        <v>16441</v>
      </c>
      <c r="AY1650" s="3" t="s">
        <v>16442</v>
      </c>
      <c r="AZ1650" s="3" t="s">
        <v>16443</v>
      </c>
      <c r="BA1650" s="3" t="s">
        <v>16443</v>
      </c>
      <c r="BB1650" s="3" t="s">
        <v>16444</v>
      </c>
      <c r="BC1650" s="3" t="s">
        <v>102</v>
      </c>
      <c r="BD1650" s="3" t="s">
        <v>68</v>
      </c>
      <c r="BE1650" s="3" t="s">
        <v>16445</v>
      </c>
      <c r="BF1650" s="3" t="s">
        <v>16444</v>
      </c>
      <c r="BG1650" s="3" t="s">
        <v>16446</v>
      </c>
    </row>
    <row r="1651" spans="1:59" ht="58" x14ac:dyDescent="0.35">
      <c r="A1651" s="2" t="s">
        <v>89</v>
      </c>
      <c r="B1651" s="2" t="s">
        <v>90</v>
      </c>
      <c r="C1651" s="2" t="s">
        <v>16447</v>
      </c>
      <c r="D1651" s="2" t="s">
        <v>16448</v>
      </c>
      <c r="E1651" s="2" t="s">
        <v>16449</v>
      </c>
      <c r="G1651" s="3" t="s">
        <v>62</v>
      </c>
      <c r="I1651" s="3" t="s">
        <v>62</v>
      </c>
      <c r="J1651" s="3" t="s">
        <v>62</v>
      </c>
      <c r="K1651" s="3" t="s">
        <v>63</v>
      </c>
      <c r="M1651" s="2" t="s">
        <v>16450</v>
      </c>
      <c r="N1651" s="3" t="s">
        <v>1455</v>
      </c>
      <c r="P1651" s="3" t="s">
        <v>64</v>
      </c>
      <c r="Q1651" s="2" t="s">
        <v>16451</v>
      </c>
      <c r="R1651" s="3" t="s">
        <v>13065</v>
      </c>
      <c r="S1651" s="4">
        <v>1</v>
      </c>
      <c r="T1651" s="4">
        <v>1</v>
      </c>
      <c r="W1651" s="5" t="s">
        <v>67</v>
      </c>
      <c r="X1651" s="5" t="s">
        <v>67</v>
      </c>
      <c r="Y1651" s="4">
        <v>13</v>
      </c>
      <c r="Z1651" s="4">
        <v>1</v>
      </c>
      <c r="AA1651" s="4">
        <v>52</v>
      </c>
      <c r="AB1651" s="4">
        <v>1</v>
      </c>
      <c r="AC1651" s="4">
        <v>8</v>
      </c>
      <c r="AD1651" s="4">
        <v>3</v>
      </c>
      <c r="AE1651" s="4">
        <v>68</v>
      </c>
      <c r="AF1651" s="4">
        <v>0</v>
      </c>
      <c r="AG1651" s="4">
        <v>5</v>
      </c>
      <c r="AH1651" s="4">
        <v>3</v>
      </c>
      <c r="AI1651" s="4">
        <v>46</v>
      </c>
      <c r="AJ1651" s="4">
        <v>0</v>
      </c>
      <c r="AK1651" s="4">
        <v>16</v>
      </c>
      <c r="AL1651" s="4">
        <v>1</v>
      </c>
      <c r="AM1651" s="4">
        <v>24</v>
      </c>
      <c r="AN1651" s="4">
        <v>0</v>
      </c>
      <c r="AO1651" s="4">
        <v>0</v>
      </c>
      <c r="AP1651" s="4">
        <v>0</v>
      </c>
      <c r="AQ1651" s="4">
        <v>26</v>
      </c>
      <c r="AR1651" s="3" t="s">
        <v>62</v>
      </c>
      <c r="AS1651" s="3" t="s">
        <v>62</v>
      </c>
      <c r="AT1651" s="3" t="s">
        <v>62</v>
      </c>
      <c r="AV1651" s="6" t="str">
        <f>HYPERLINK("http://mcgill.on.worldcat.org/oclc/907132909","Catalog Record")</f>
        <v>Catalog Record</v>
      </c>
      <c r="AW1651" s="6" t="str">
        <f>HYPERLINK("http://www.worldcat.org/oclc/907132909","WorldCat Record")</f>
        <v>WorldCat Record</v>
      </c>
      <c r="AX1651" s="3" t="s">
        <v>16452</v>
      </c>
      <c r="AY1651" s="3" t="s">
        <v>16453</v>
      </c>
      <c r="AZ1651" s="3" t="s">
        <v>16454</v>
      </c>
      <c r="BA1651" s="3" t="s">
        <v>16454</v>
      </c>
      <c r="BB1651" s="3" t="s">
        <v>16455</v>
      </c>
      <c r="BC1651" s="3" t="s">
        <v>102</v>
      </c>
      <c r="BD1651" s="3" t="s">
        <v>231</v>
      </c>
      <c r="BE1651" s="3" t="s">
        <v>16456</v>
      </c>
      <c r="BF1651" s="3" t="s">
        <v>16455</v>
      </c>
      <c r="BG1651" s="3" t="s">
        <v>16457</v>
      </c>
    </row>
    <row r="1652" spans="1:59" ht="58" x14ac:dyDescent="0.35">
      <c r="A1652" s="2" t="s">
        <v>89</v>
      </c>
      <c r="B1652" s="2" t="s">
        <v>90</v>
      </c>
      <c r="C1652" s="2" t="s">
        <v>16458</v>
      </c>
      <c r="D1652" s="2" t="s">
        <v>16459</v>
      </c>
      <c r="E1652" s="2" t="s">
        <v>16460</v>
      </c>
      <c r="G1652" s="3" t="s">
        <v>62</v>
      </c>
      <c r="I1652" s="3" t="s">
        <v>61</v>
      </c>
      <c r="J1652" s="3" t="s">
        <v>61</v>
      </c>
      <c r="K1652" s="3" t="s">
        <v>63</v>
      </c>
      <c r="L1652" s="2" t="s">
        <v>16461</v>
      </c>
      <c r="M1652" s="2" t="s">
        <v>16462</v>
      </c>
      <c r="N1652" s="3" t="s">
        <v>481</v>
      </c>
      <c r="P1652" s="3" t="s">
        <v>64</v>
      </c>
      <c r="Q1652" s="2" t="s">
        <v>16463</v>
      </c>
      <c r="R1652" s="3" t="s">
        <v>13065</v>
      </c>
      <c r="S1652" s="4">
        <v>57</v>
      </c>
      <c r="T1652" s="4">
        <v>201</v>
      </c>
      <c r="U1652" s="5" t="s">
        <v>16464</v>
      </c>
      <c r="V1652" s="5" t="s">
        <v>16465</v>
      </c>
      <c r="W1652" s="5" t="s">
        <v>67</v>
      </c>
      <c r="X1652" s="5" t="s">
        <v>67</v>
      </c>
      <c r="Y1652" s="4">
        <v>289</v>
      </c>
      <c r="Z1652" s="4">
        <v>10</v>
      </c>
      <c r="AA1652" s="4">
        <v>93</v>
      </c>
      <c r="AB1652" s="4">
        <v>2</v>
      </c>
      <c r="AC1652" s="4">
        <v>8</v>
      </c>
      <c r="AD1652" s="4">
        <v>28</v>
      </c>
      <c r="AE1652" s="4">
        <v>156</v>
      </c>
      <c r="AF1652" s="4">
        <v>0</v>
      </c>
      <c r="AG1652" s="4">
        <v>4</v>
      </c>
      <c r="AH1652" s="4">
        <v>26</v>
      </c>
      <c r="AI1652" s="4">
        <v>117</v>
      </c>
      <c r="AJ1652" s="4">
        <v>2</v>
      </c>
      <c r="AK1652" s="4">
        <v>26</v>
      </c>
      <c r="AL1652" s="4">
        <v>15</v>
      </c>
      <c r="AM1652" s="4">
        <v>62</v>
      </c>
      <c r="AN1652" s="4">
        <v>0</v>
      </c>
      <c r="AO1652" s="4">
        <v>0</v>
      </c>
      <c r="AP1652" s="4">
        <v>2</v>
      </c>
      <c r="AQ1652" s="4">
        <v>46</v>
      </c>
      <c r="AR1652" s="3" t="s">
        <v>62</v>
      </c>
      <c r="AS1652" s="3" t="s">
        <v>62</v>
      </c>
      <c r="AT1652" s="3" t="s">
        <v>61</v>
      </c>
      <c r="AU1652" s="6" t="str">
        <f>HYPERLINK("http://catalog.hathitrust.org/Record/009671912","HathiTrust Record")</f>
        <v>HathiTrust Record</v>
      </c>
      <c r="AV1652" s="6" t="str">
        <f>HYPERLINK("http://mcgill.on.worldcat.org/oclc/36112109","Catalog Record")</f>
        <v>Catalog Record</v>
      </c>
      <c r="AW1652" s="6" t="str">
        <f>HYPERLINK("http://www.worldcat.org/oclc/36112109","WorldCat Record")</f>
        <v>WorldCat Record</v>
      </c>
      <c r="AX1652" s="3" t="s">
        <v>16466</v>
      </c>
      <c r="AY1652" s="3" t="s">
        <v>16467</v>
      </c>
      <c r="AZ1652" s="3" t="s">
        <v>16468</v>
      </c>
      <c r="BA1652" s="3" t="s">
        <v>16468</v>
      </c>
      <c r="BB1652" s="3" t="s">
        <v>16469</v>
      </c>
      <c r="BC1652" s="3" t="s">
        <v>102</v>
      </c>
      <c r="BD1652" s="3" t="s">
        <v>68</v>
      </c>
      <c r="BE1652" s="3" t="s">
        <v>16470</v>
      </c>
      <c r="BF1652" s="3" t="s">
        <v>16469</v>
      </c>
      <c r="BG1652" s="3" t="s">
        <v>16471</v>
      </c>
    </row>
    <row r="1653" spans="1:59" ht="72.5" x14ac:dyDescent="0.35">
      <c r="A1653" s="2" t="s">
        <v>89</v>
      </c>
      <c r="B1653" s="2" t="s">
        <v>90</v>
      </c>
      <c r="C1653" s="2" t="s">
        <v>16472</v>
      </c>
      <c r="D1653" s="2" t="s">
        <v>16473</v>
      </c>
      <c r="E1653" s="2" t="s">
        <v>16474</v>
      </c>
      <c r="G1653" s="3" t="s">
        <v>62</v>
      </c>
      <c r="I1653" s="3" t="s">
        <v>62</v>
      </c>
      <c r="J1653" s="3" t="s">
        <v>62</v>
      </c>
      <c r="K1653" s="3" t="s">
        <v>63</v>
      </c>
      <c r="L1653" s="2" t="s">
        <v>16475</v>
      </c>
      <c r="M1653" s="2" t="s">
        <v>16476</v>
      </c>
      <c r="N1653" s="3" t="s">
        <v>712</v>
      </c>
      <c r="O1653" s="2" t="s">
        <v>16477</v>
      </c>
      <c r="P1653" s="3" t="s">
        <v>64</v>
      </c>
      <c r="R1653" s="3" t="s">
        <v>13065</v>
      </c>
      <c r="S1653" s="4">
        <v>11</v>
      </c>
      <c r="T1653" s="4">
        <v>11</v>
      </c>
      <c r="U1653" s="5" t="s">
        <v>797</v>
      </c>
      <c r="V1653" s="5" t="s">
        <v>797</v>
      </c>
      <c r="W1653" s="5" t="s">
        <v>67</v>
      </c>
      <c r="X1653" s="5" t="s">
        <v>67</v>
      </c>
      <c r="Y1653" s="4">
        <v>2562</v>
      </c>
      <c r="Z1653" s="4">
        <v>69</v>
      </c>
      <c r="AA1653" s="4">
        <v>104</v>
      </c>
      <c r="AB1653" s="4">
        <v>4</v>
      </c>
      <c r="AC1653" s="4">
        <v>15</v>
      </c>
      <c r="AD1653" s="4">
        <v>116</v>
      </c>
      <c r="AE1653" s="4">
        <v>138</v>
      </c>
      <c r="AF1653" s="4">
        <v>1</v>
      </c>
      <c r="AG1653" s="4">
        <v>6</v>
      </c>
      <c r="AH1653" s="4">
        <v>97</v>
      </c>
      <c r="AI1653" s="4">
        <v>108</v>
      </c>
      <c r="AJ1653" s="4">
        <v>15</v>
      </c>
      <c r="AK1653" s="4">
        <v>23</v>
      </c>
      <c r="AL1653" s="4">
        <v>55</v>
      </c>
      <c r="AM1653" s="4">
        <v>59</v>
      </c>
      <c r="AN1653" s="4">
        <v>0</v>
      </c>
      <c r="AO1653" s="4">
        <v>0</v>
      </c>
      <c r="AP1653" s="4">
        <v>24</v>
      </c>
      <c r="AQ1653" s="4">
        <v>36</v>
      </c>
      <c r="AR1653" s="3" t="s">
        <v>62</v>
      </c>
      <c r="AS1653" s="3" t="s">
        <v>62</v>
      </c>
      <c r="AT1653" s="3" t="s">
        <v>61</v>
      </c>
      <c r="AU1653" s="6" t="str">
        <f>HYPERLINK("http://catalog.hathitrust.org/Record/102324868","HathiTrust Record")</f>
        <v>HathiTrust Record</v>
      </c>
      <c r="AV1653" s="6" t="str">
        <f>HYPERLINK("http://mcgill.on.worldcat.org/oclc/876012030","Catalog Record")</f>
        <v>Catalog Record</v>
      </c>
      <c r="AW1653" s="6" t="str">
        <f>HYPERLINK("http://www.worldcat.org/oclc/876012030","WorldCat Record")</f>
        <v>WorldCat Record</v>
      </c>
      <c r="AX1653" s="3" t="s">
        <v>16478</v>
      </c>
      <c r="AY1653" s="3" t="s">
        <v>16479</v>
      </c>
      <c r="AZ1653" s="3" t="s">
        <v>16480</v>
      </c>
      <c r="BA1653" s="3" t="s">
        <v>16480</v>
      </c>
      <c r="BB1653" s="3" t="s">
        <v>16481</v>
      </c>
      <c r="BC1653" s="3" t="s">
        <v>102</v>
      </c>
      <c r="BD1653" s="3" t="s">
        <v>231</v>
      </c>
      <c r="BE1653" s="3" t="s">
        <v>16482</v>
      </c>
      <c r="BF1653" s="3" t="s">
        <v>16481</v>
      </c>
      <c r="BG1653" s="3" t="s">
        <v>16483</v>
      </c>
    </row>
    <row r="1654" spans="1:59" ht="58" x14ac:dyDescent="0.35">
      <c r="A1654" s="2" t="s">
        <v>89</v>
      </c>
      <c r="B1654" s="2" t="s">
        <v>90</v>
      </c>
      <c r="C1654" s="2" t="s">
        <v>16484</v>
      </c>
      <c r="D1654" s="2" t="s">
        <v>16485</v>
      </c>
      <c r="E1654" s="2" t="s">
        <v>16486</v>
      </c>
      <c r="G1654" s="3" t="s">
        <v>62</v>
      </c>
      <c r="I1654" s="3" t="s">
        <v>62</v>
      </c>
      <c r="J1654" s="3" t="s">
        <v>62</v>
      </c>
      <c r="K1654" s="3" t="s">
        <v>63</v>
      </c>
      <c r="L1654" s="2" t="s">
        <v>16487</v>
      </c>
      <c r="M1654" s="2" t="s">
        <v>16488</v>
      </c>
      <c r="N1654" s="3" t="s">
        <v>129</v>
      </c>
      <c r="P1654" s="3" t="s">
        <v>64</v>
      </c>
      <c r="R1654" s="3" t="s">
        <v>13065</v>
      </c>
      <c r="S1654" s="4">
        <v>2</v>
      </c>
      <c r="T1654" s="4">
        <v>2</v>
      </c>
      <c r="U1654" s="5" t="s">
        <v>2680</v>
      </c>
      <c r="V1654" s="5" t="s">
        <v>2680</v>
      </c>
      <c r="W1654" s="5" t="s">
        <v>67</v>
      </c>
      <c r="X1654" s="5" t="s">
        <v>67</v>
      </c>
      <c r="Y1654" s="4">
        <v>574</v>
      </c>
      <c r="Z1654" s="4">
        <v>30</v>
      </c>
      <c r="AA1654" s="4">
        <v>34</v>
      </c>
      <c r="AB1654" s="4">
        <v>1</v>
      </c>
      <c r="AC1654" s="4">
        <v>4</v>
      </c>
      <c r="AD1654" s="4">
        <v>42</v>
      </c>
      <c r="AE1654" s="4">
        <v>43</v>
      </c>
      <c r="AF1654" s="4">
        <v>0</v>
      </c>
      <c r="AG1654" s="4">
        <v>0</v>
      </c>
      <c r="AH1654" s="4">
        <v>36</v>
      </c>
      <c r="AI1654" s="4">
        <v>37</v>
      </c>
      <c r="AJ1654" s="4">
        <v>6</v>
      </c>
      <c r="AK1654" s="4">
        <v>6</v>
      </c>
      <c r="AL1654" s="4">
        <v>19</v>
      </c>
      <c r="AM1654" s="4">
        <v>19</v>
      </c>
      <c r="AN1654" s="4">
        <v>0</v>
      </c>
      <c r="AO1654" s="4">
        <v>0</v>
      </c>
      <c r="AP1654" s="4">
        <v>7</v>
      </c>
      <c r="AQ1654" s="4">
        <v>7</v>
      </c>
      <c r="AR1654" s="3" t="s">
        <v>62</v>
      </c>
      <c r="AS1654" s="3" t="s">
        <v>62</v>
      </c>
      <c r="AT1654" s="3" t="s">
        <v>62</v>
      </c>
      <c r="AV1654" s="6" t="str">
        <f>HYPERLINK("http://mcgill.on.worldcat.org/oclc/827256522","Catalog Record")</f>
        <v>Catalog Record</v>
      </c>
      <c r="AW1654" s="6" t="str">
        <f>HYPERLINK("http://www.worldcat.org/oclc/827256522","WorldCat Record")</f>
        <v>WorldCat Record</v>
      </c>
      <c r="AX1654" s="3" t="s">
        <v>16489</v>
      </c>
      <c r="AY1654" s="3" t="s">
        <v>16490</v>
      </c>
      <c r="AZ1654" s="3" t="s">
        <v>16491</v>
      </c>
      <c r="BA1654" s="3" t="s">
        <v>16491</v>
      </c>
      <c r="BB1654" s="3" t="s">
        <v>16492</v>
      </c>
      <c r="BC1654" s="3" t="s">
        <v>102</v>
      </c>
      <c r="BD1654" s="3" t="s">
        <v>68</v>
      </c>
      <c r="BE1654" s="3" t="s">
        <v>16493</v>
      </c>
      <c r="BF1654" s="3" t="s">
        <v>16492</v>
      </c>
      <c r="BG1654" s="3" t="s">
        <v>16494</v>
      </c>
    </row>
    <row r="1655" spans="1:59" ht="72.5" x14ac:dyDescent="0.35">
      <c r="A1655" s="2" t="s">
        <v>89</v>
      </c>
      <c r="B1655" s="2" t="s">
        <v>90</v>
      </c>
      <c r="C1655" s="2" t="s">
        <v>16495</v>
      </c>
      <c r="D1655" s="2" t="s">
        <v>16496</v>
      </c>
      <c r="E1655" s="2" t="s">
        <v>16497</v>
      </c>
      <c r="G1655" s="3" t="s">
        <v>62</v>
      </c>
      <c r="I1655" s="3" t="s">
        <v>62</v>
      </c>
      <c r="J1655" s="3" t="s">
        <v>62</v>
      </c>
      <c r="K1655" s="3" t="s">
        <v>63</v>
      </c>
      <c r="L1655" s="2" t="s">
        <v>16498</v>
      </c>
      <c r="M1655" s="2" t="s">
        <v>16499</v>
      </c>
      <c r="N1655" s="3" t="s">
        <v>684</v>
      </c>
      <c r="O1655" s="2" t="s">
        <v>16477</v>
      </c>
      <c r="P1655" s="3" t="s">
        <v>64</v>
      </c>
      <c r="R1655" s="3" t="s">
        <v>13065</v>
      </c>
      <c r="S1655" s="4">
        <v>22</v>
      </c>
      <c r="T1655" s="4">
        <v>22</v>
      </c>
      <c r="U1655" s="5" t="s">
        <v>931</v>
      </c>
      <c r="V1655" s="5" t="s">
        <v>931</v>
      </c>
      <c r="W1655" s="5" t="s">
        <v>67</v>
      </c>
      <c r="X1655" s="5" t="s">
        <v>67</v>
      </c>
      <c r="Y1655" s="4">
        <v>4082</v>
      </c>
      <c r="Z1655" s="4">
        <v>126</v>
      </c>
      <c r="AA1655" s="4">
        <v>152</v>
      </c>
      <c r="AB1655" s="4">
        <v>6</v>
      </c>
      <c r="AC1655" s="4">
        <v>13</v>
      </c>
      <c r="AD1655" s="4">
        <v>139</v>
      </c>
      <c r="AE1655" s="4">
        <v>143</v>
      </c>
      <c r="AF1655" s="4">
        <v>1</v>
      </c>
      <c r="AG1655" s="4">
        <v>3</v>
      </c>
      <c r="AH1655" s="4">
        <v>107</v>
      </c>
      <c r="AI1655" s="4">
        <v>108</v>
      </c>
      <c r="AJ1655" s="4">
        <v>16</v>
      </c>
      <c r="AK1655" s="4">
        <v>19</v>
      </c>
      <c r="AL1655" s="4">
        <v>59</v>
      </c>
      <c r="AM1655" s="4">
        <v>59</v>
      </c>
      <c r="AN1655" s="4">
        <v>0</v>
      </c>
      <c r="AO1655" s="4">
        <v>0</v>
      </c>
      <c r="AP1655" s="4">
        <v>38</v>
      </c>
      <c r="AQ1655" s="4">
        <v>41</v>
      </c>
      <c r="AR1655" s="3" t="s">
        <v>62</v>
      </c>
      <c r="AS1655" s="3" t="s">
        <v>62</v>
      </c>
      <c r="AT1655" s="3" t="s">
        <v>62</v>
      </c>
      <c r="AV1655" s="6" t="str">
        <f>HYPERLINK("http://mcgill.on.worldcat.org/oclc/713189055","Catalog Record")</f>
        <v>Catalog Record</v>
      </c>
      <c r="AW1655" s="6" t="str">
        <f>HYPERLINK("http://www.worldcat.org/oclc/713189055","WorldCat Record")</f>
        <v>WorldCat Record</v>
      </c>
      <c r="AX1655" s="3" t="s">
        <v>16500</v>
      </c>
      <c r="AY1655" s="3" t="s">
        <v>16501</v>
      </c>
      <c r="AZ1655" s="3" t="s">
        <v>16502</v>
      </c>
      <c r="BA1655" s="3" t="s">
        <v>16502</v>
      </c>
      <c r="BB1655" s="3" t="s">
        <v>16503</v>
      </c>
      <c r="BC1655" s="3" t="s">
        <v>102</v>
      </c>
      <c r="BD1655" s="3" t="s">
        <v>231</v>
      </c>
      <c r="BE1655" s="3" t="s">
        <v>16504</v>
      </c>
      <c r="BF1655" s="3" t="s">
        <v>16503</v>
      </c>
      <c r="BG1655" s="3" t="s">
        <v>16505</v>
      </c>
    </row>
    <row r="1656" spans="1:59" ht="58" x14ac:dyDescent="0.35">
      <c r="A1656" s="2" t="s">
        <v>89</v>
      </c>
      <c r="B1656" s="2" t="s">
        <v>90</v>
      </c>
      <c r="C1656" s="2" t="s">
        <v>16506</v>
      </c>
      <c r="D1656" s="2" t="s">
        <v>16507</v>
      </c>
      <c r="E1656" s="2" t="s">
        <v>16508</v>
      </c>
      <c r="G1656" s="3" t="s">
        <v>62</v>
      </c>
      <c r="I1656" s="3" t="s">
        <v>62</v>
      </c>
      <c r="J1656" s="3" t="s">
        <v>62</v>
      </c>
      <c r="K1656" s="3" t="s">
        <v>63</v>
      </c>
      <c r="L1656" s="2" t="s">
        <v>16509</v>
      </c>
      <c r="M1656" s="2" t="s">
        <v>16510</v>
      </c>
      <c r="N1656" s="3" t="s">
        <v>2136</v>
      </c>
      <c r="P1656" s="3" t="s">
        <v>64</v>
      </c>
      <c r="R1656" s="3" t="s">
        <v>13065</v>
      </c>
      <c r="S1656" s="4">
        <v>11</v>
      </c>
      <c r="T1656" s="4">
        <v>11</v>
      </c>
      <c r="U1656" s="5" t="s">
        <v>2680</v>
      </c>
      <c r="V1656" s="5" t="s">
        <v>2680</v>
      </c>
      <c r="W1656" s="5" t="s">
        <v>67</v>
      </c>
      <c r="X1656" s="5" t="s">
        <v>67</v>
      </c>
      <c r="Y1656" s="4">
        <v>993</v>
      </c>
      <c r="Z1656" s="4">
        <v>46</v>
      </c>
      <c r="AA1656" s="4">
        <v>49</v>
      </c>
      <c r="AB1656" s="4">
        <v>3</v>
      </c>
      <c r="AC1656" s="4">
        <v>6</v>
      </c>
      <c r="AD1656" s="4">
        <v>81</v>
      </c>
      <c r="AE1656" s="4">
        <v>83</v>
      </c>
      <c r="AF1656" s="4">
        <v>0</v>
      </c>
      <c r="AG1656" s="4">
        <v>2</v>
      </c>
      <c r="AH1656" s="4">
        <v>70</v>
      </c>
      <c r="AI1656" s="4">
        <v>71</v>
      </c>
      <c r="AJ1656" s="4">
        <v>7</v>
      </c>
      <c r="AK1656" s="4">
        <v>8</v>
      </c>
      <c r="AL1656" s="4">
        <v>44</v>
      </c>
      <c r="AM1656" s="4">
        <v>44</v>
      </c>
      <c r="AN1656" s="4">
        <v>0</v>
      </c>
      <c r="AO1656" s="4">
        <v>0</v>
      </c>
      <c r="AP1656" s="4">
        <v>11</v>
      </c>
      <c r="AQ1656" s="4">
        <v>13</v>
      </c>
      <c r="AR1656" s="3" t="s">
        <v>62</v>
      </c>
      <c r="AS1656" s="3" t="s">
        <v>62</v>
      </c>
      <c r="AT1656" s="3" t="s">
        <v>61</v>
      </c>
      <c r="AU1656" s="6" t="str">
        <f>HYPERLINK("http://catalog.hathitrust.org/Record/005022807","HathiTrust Record")</f>
        <v>HathiTrust Record</v>
      </c>
      <c r="AV1656" s="6" t="str">
        <f>HYPERLINK("http://mcgill.on.worldcat.org/oclc/57527651","Catalog Record")</f>
        <v>Catalog Record</v>
      </c>
      <c r="AW1656" s="6" t="str">
        <f>HYPERLINK("http://www.worldcat.org/oclc/57527651","WorldCat Record")</f>
        <v>WorldCat Record</v>
      </c>
      <c r="AX1656" s="3" t="s">
        <v>16511</v>
      </c>
      <c r="AY1656" s="3" t="s">
        <v>16512</v>
      </c>
      <c r="AZ1656" s="3" t="s">
        <v>16513</v>
      </c>
      <c r="BA1656" s="3" t="s">
        <v>16513</v>
      </c>
      <c r="BB1656" s="3" t="s">
        <v>16514</v>
      </c>
      <c r="BC1656" s="3" t="s">
        <v>102</v>
      </c>
      <c r="BD1656" s="3" t="s">
        <v>68</v>
      </c>
      <c r="BE1656" s="3" t="s">
        <v>16515</v>
      </c>
      <c r="BF1656" s="3" t="s">
        <v>16514</v>
      </c>
      <c r="BG1656" s="3" t="s">
        <v>16516</v>
      </c>
    </row>
    <row r="1657" spans="1:59" ht="58" x14ac:dyDescent="0.35">
      <c r="A1657" s="2" t="s">
        <v>89</v>
      </c>
      <c r="B1657" s="2" t="s">
        <v>90</v>
      </c>
      <c r="C1657" s="2" t="s">
        <v>16517</v>
      </c>
      <c r="D1657" s="2" t="s">
        <v>16518</v>
      </c>
      <c r="E1657" s="2" t="s">
        <v>16519</v>
      </c>
      <c r="G1657" s="3" t="s">
        <v>62</v>
      </c>
      <c r="I1657" s="3" t="s">
        <v>62</v>
      </c>
      <c r="J1657" s="3" t="s">
        <v>62</v>
      </c>
      <c r="K1657" s="3" t="s">
        <v>63</v>
      </c>
      <c r="L1657" s="2" t="s">
        <v>16509</v>
      </c>
      <c r="M1657" s="2" t="s">
        <v>16520</v>
      </c>
      <c r="N1657" s="3" t="s">
        <v>424</v>
      </c>
      <c r="P1657" s="3" t="s">
        <v>64</v>
      </c>
      <c r="R1657" s="3" t="s">
        <v>13065</v>
      </c>
      <c r="S1657" s="4">
        <v>41</v>
      </c>
      <c r="T1657" s="4">
        <v>41</v>
      </c>
      <c r="U1657" s="5" t="s">
        <v>2680</v>
      </c>
      <c r="V1657" s="5" t="s">
        <v>2680</v>
      </c>
      <c r="W1657" s="5" t="s">
        <v>67</v>
      </c>
      <c r="X1657" s="5" t="s">
        <v>67</v>
      </c>
      <c r="Y1657" s="4">
        <v>307</v>
      </c>
      <c r="Z1657" s="4">
        <v>12</v>
      </c>
      <c r="AA1657" s="4">
        <v>16</v>
      </c>
      <c r="AB1657" s="4">
        <v>2</v>
      </c>
      <c r="AC1657" s="4">
        <v>6</v>
      </c>
      <c r="AD1657" s="4">
        <v>45</v>
      </c>
      <c r="AE1657" s="4">
        <v>49</v>
      </c>
      <c r="AF1657" s="4">
        <v>1</v>
      </c>
      <c r="AG1657" s="4">
        <v>3</v>
      </c>
      <c r="AH1657" s="4">
        <v>42</v>
      </c>
      <c r="AI1657" s="4">
        <v>44</v>
      </c>
      <c r="AJ1657" s="4">
        <v>4</v>
      </c>
      <c r="AK1657" s="4">
        <v>5</v>
      </c>
      <c r="AL1657" s="4">
        <v>30</v>
      </c>
      <c r="AM1657" s="4">
        <v>31</v>
      </c>
      <c r="AN1657" s="4">
        <v>0</v>
      </c>
      <c r="AO1657" s="4">
        <v>0</v>
      </c>
      <c r="AP1657" s="4">
        <v>4</v>
      </c>
      <c r="AQ1657" s="4">
        <v>5</v>
      </c>
      <c r="AR1657" s="3" t="s">
        <v>62</v>
      </c>
      <c r="AS1657" s="3" t="s">
        <v>62</v>
      </c>
      <c r="AT1657" s="3" t="s">
        <v>62</v>
      </c>
      <c r="AV1657" s="6" t="str">
        <f>HYPERLINK("http://mcgill.on.worldcat.org/oclc/16831071","Catalog Record")</f>
        <v>Catalog Record</v>
      </c>
      <c r="AW1657" s="6" t="str">
        <f>HYPERLINK("http://www.worldcat.org/oclc/16831071","WorldCat Record")</f>
        <v>WorldCat Record</v>
      </c>
      <c r="AX1657" s="3" t="s">
        <v>16521</v>
      </c>
      <c r="AY1657" s="3" t="s">
        <v>16522</v>
      </c>
      <c r="AZ1657" s="3" t="s">
        <v>16523</v>
      </c>
      <c r="BA1657" s="3" t="s">
        <v>16523</v>
      </c>
      <c r="BB1657" s="3" t="s">
        <v>16524</v>
      </c>
      <c r="BC1657" s="3" t="s">
        <v>102</v>
      </c>
      <c r="BD1657" s="3" t="s">
        <v>68</v>
      </c>
      <c r="BE1657" s="3" t="s">
        <v>16525</v>
      </c>
      <c r="BF1657" s="3" t="s">
        <v>16524</v>
      </c>
      <c r="BG1657" s="3" t="s">
        <v>16526</v>
      </c>
    </row>
    <row r="1658" spans="1:59" ht="58" x14ac:dyDescent="0.35">
      <c r="A1658" s="2" t="s">
        <v>89</v>
      </c>
      <c r="B1658" s="2" t="s">
        <v>90</v>
      </c>
      <c r="C1658" s="2" t="s">
        <v>16527</v>
      </c>
      <c r="D1658" s="2" t="s">
        <v>16528</v>
      </c>
      <c r="E1658" s="2" t="s">
        <v>16529</v>
      </c>
      <c r="G1658" s="3" t="s">
        <v>62</v>
      </c>
      <c r="I1658" s="3" t="s">
        <v>61</v>
      </c>
      <c r="J1658" s="3" t="s">
        <v>62</v>
      </c>
      <c r="K1658" s="3" t="s">
        <v>63</v>
      </c>
      <c r="L1658" s="2" t="s">
        <v>16530</v>
      </c>
      <c r="M1658" s="2" t="s">
        <v>16531</v>
      </c>
      <c r="N1658" s="3" t="s">
        <v>1722</v>
      </c>
      <c r="O1658" s="2" t="s">
        <v>1941</v>
      </c>
      <c r="P1658" s="3" t="s">
        <v>64</v>
      </c>
      <c r="R1658" s="3" t="s">
        <v>13065</v>
      </c>
      <c r="S1658" s="4">
        <v>35</v>
      </c>
      <c r="T1658" s="4">
        <v>111</v>
      </c>
      <c r="U1658" s="5" t="s">
        <v>8965</v>
      </c>
      <c r="V1658" s="5" t="s">
        <v>15606</v>
      </c>
      <c r="W1658" s="5" t="s">
        <v>67</v>
      </c>
      <c r="X1658" s="5" t="s">
        <v>67</v>
      </c>
      <c r="Y1658" s="4">
        <v>4132</v>
      </c>
      <c r="Z1658" s="4">
        <v>101</v>
      </c>
      <c r="AA1658" s="4">
        <v>156</v>
      </c>
      <c r="AB1658" s="4">
        <v>7</v>
      </c>
      <c r="AC1658" s="4">
        <v>10</v>
      </c>
      <c r="AD1658" s="4">
        <v>97</v>
      </c>
      <c r="AE1658" s="4">
        <v>114</v>
      </c>
      <c r="AF1658" s="4">
        <v>0</v>
      </c>
      <c r="AG1658" s="4">
        <v>0</v>
      </c>
      <c r="AH1658" s="4">
        <v>80</v>
      </c>
      <c r="AI1658" s="4">
        <v>91</v>
      </c>
      <c r="AJ1658" s="4">
        <v>14</v>
      </c>
      <c r="AK1658" s="4">
        <v>17</v>
      </c>
      <c r="AL1658" s="4">
        <v>45</v>
      </c>
      <c r="AM1658" s="4">
        <v>50</v>
      </c>
      <c r="AN1658" s="4">
        <v>0</v>
      </c>
      <c r="AO1658" s="4">
        <v>0</v>
      </c>
      <c r="AP1658" s="4">
        <v>17</v>
      </c>
      <c r="AQ1658" s="4">
        <v>26</v>
      </c>
      <c r="AR1658" s="3" t="s">
        <v>62</v>
      </c>
      <c r="AS1658" s="3" t="s">
        <v>62</v>
      </c>
      <c r="AT1658" s="3" t="s">
        <v>61</v>
      </c>
      <c r="AU1658" s="6" t="str">
        <f>HYPERLINK("http://catalog.hathitrust.org/Record/005837683","HathiTrust Record")</f>
        <v>HathiTrust Record</v>
      </c>
      <c r="AV1658" s="6" t="str">
        <f>HYPERLINK("http://mcgill.on.worldcat.org/oclc/183266069","Catalog Record")</f>
        <v>Catalog Record</v>
      </c>
      <c r="AW1658" s="6" t="str">
        <f>HYPERLINK("http://www.worldcat.org/oclc/183266069","WorldCat Record")</f>
        <v>WorldCat Record</v>
      </c>
      <c r="AX1658" s="3" t="s">
        <v>16532</v>
      </c>
      <c r="AY1658" s="3" t="s">
        <v>16533</v>
      </c>
      <c r="AZ1658" s="3" t="s">
        <v>16534</v>
      </c>
      <c r="BA1658" s="3" t="s">
        <v>16534</v>
      </c>
      <c r="BB1658" s="3" t="s">
        <v>16535</v>
      </c>
      <c r="BC1658" s="3" t="s">
        <v>102</v>
      </c>
      <c r="BD1658" s="3" t="s">
        <v>68</v>
      </c>
      <c r="BE1658" s="3" t="s">
        <v>16536</v>
      </c>
      <c r="BF1658" s="3" t="s">
        <v>16535</v>
      </c>
      <c r="BG1658" s="3" t="s">
        <v>16537</v>
      </c>
    </row>
    <row r="1659" spans="1:59" ht="58" x14ac:dyDescent="0.35">
      <c r="A1659" s="2" t="s">
        <v>89</v>
      </c>
      <c r="B1659" s="2" t="s">
        <v>90</v>
      </c>
      <c r="C1659" s="2" t="s">
        <v>16527</v>
      </c>
      <c r="D1659" s="2" t="s">
        <v>16528</v>
      </c>
      <c r="E1659" s="2" t="s">
        <v>16529</v>
      </c>
      <c r="G1659" s="3" t="s">
        <v>62</v>
      </c>
      <c r="I1659" s="3" t="s">
        <v>61</v>
      </c>
      <c r="J1659" s="3" t="s">
        <v>62</v>
      </c>
      <c r="K1659" s="3" t="s">
        <v>63</v>
      </c>
      <c r="L1659" s="2" t="s">
        <v>16530</v>
      </c>
      <c r="M1659" s="2" t="s">
        <v>16531</v>
      </c>
      <c r="N1659" s="3" t="s">
        <v>1722</v>
      </c>
      <c r="O1659" s="2" t="s">
        <v>1941</v>
      </c>
      <c r="P1659" s="3" t="s">
        <v>64</v>
      </c>
      <c r="R1659" s="3" t="s">
        <v>13065</v>
      </c>
      <c r="S1659" s="4">
        <v>35</v>
      </c>
      <c r="T1659" s="4">
        <v>111</v>
      </c>
      <c r="U1659" s="5" t="s">
        <v>15743</v>
      </c>
      <c r="V1659" s="5" t="s">
        <v>15606</v>
      </c>
      <c r="W1659" s="5" t="s">
        <v>67</v>
      </c>
      <c r="X1659" s="5" t="s">
        <v>67</v>
      </c>
      <c r="Y1659" s="4">
        <v>4132</v>
      </c>
      <c r="Z1659" s="4">
        <v>101</v>
      </c>
      <c r="AA1659" s="4">
        <v>156</v>
      </c>
      <c r="AB1659" s="4">
        <v>7</v>
      </c>
      <c r="AC1659" s="4">
        <v>10</v>
      </c>
      <c r="AD1659" s="4">
        <v>97</v>
      </c>
      <c r="AE1659" s="4">
        <v>114</v>
      </c>
      <c r="AF1659" s="4">
        <v>0</v>
      </c>
      <c r="AG1659" s="4">
        <v>0</v>
      </c>
      <c r="AH1659" s="4">
        <v>80</v>
      </c>
      <c r="AI1659" s="4">
        <v>91</v>
      </c>
      <c r="AJ1659" s="4">
        <v>14</v>
      </c>
      <c r="AK1659" s="4">
        <v>17</v>
      </c>
      <c r="AL1659" s="4">
        <v>45</v>
      </c>
      <c r="AM1659" s="4">
        <v>50</v>
      </c>
      <c r="AN1659" s="4">
        <v>0</v>
      </c>
      <c r="AO1659" s="4">
        <v>0</v>
      </c>
      <c r="AP1659" s="4">
        <v>17</v>
      </c>
      <c r="AQ1659" s="4">
        <v>26</v>
      </c>
      <c r="AR1659" s="3" t="s">
        <v>62</v>
      </c>
      <c r="AS1659" s="3" t="s">
        <v>62</v>
      </c>
      <c r="AT1659" s="3" t="s">
        <v>61</v>
      </c>
      <c r="AU1659" s="6" t="str">
        <f>HYPERLINK("http://catalog.hathitrust.org/Record/005837683","HathiTrust Record")</f>
        <v>HathiTrust Record</v>
      </c>
      <c r="AV1659" s="6" t="str">
        <f>HYPERLINK("http://mcgill.on.worldcat.org/oclc/183266069","Catalog Record")</f>
        <v>Catalog Record</v>
      </c>
      <c r="AW1659" s="6" t="str">
        <f>HYPERLINK("http://www.worldcat.org/oclc/183266069","WorldCat Record")</f>
        <v>WorldCat Record</v>
      </c>
      <c r="AX1659" s="3" t="s">
        <v>16532</v>
      </c>
      <c r="AY1659" s="3" t="s">
        <v>16533</v>
      </c>
      <c r="AZ1659" s="3" t="s">
        <v>16534</v>
      </c>
      <c r="BA1659" s="3" t="s">
        <v>16534</v>
      </c>
      <c r="BB1659" s="3" t="s">
        <v>16538</v>
      </c>
      <c r="BC1659" s="3" t="s">
        <v>102</v>
      </c>
      <c r="BD1659" s="3" t="s">
        <v>68</v>
      </c>
      <c r="BE1659" s="3" t="s">
        <v>16536</v>
      </c>
      <c r="BF1659" s="3" t="s">
        <v>16538</v>
      </c>
      <c r="BG1659" s="3" t="s">
        <v>16539</v>
      </c>
    </row>
    <row r="1660" spans="1:59" ht="58" x14ac:dyDescent="0.35">
      <c r="A1660" s="2" t="s">
        <v>89</v>
      </c>
      <c r="B1660" s="2" t="s">
        <v>90</v>
      </c>
      <c r="C1660" s="2" t="s">
        <v>16527</v>
      </c>
      <c r="D1660" s="2" t="s">
        <v>16528</v>
      </c>
      <c r="E1660" s="2" t="s">
        <v>16529</v>
      </c>
      <c r="G1660" s="3" t="s">
        <v>62</v>
      </c>
      <c r="I1660" s="3" t="s">
        <v>61</v>
      </c>
      <c r="J1660" s="3" t="s">
        <v>62</v>
      </c>
      <c r="K1660" s="3" t="s">
        <v>63</v>
      </c>
      <c r="L1660" s="2" t="s">
        <v>16530</v>
      </c>
      <c r="M1660" s="2" t="s">
        <v>16531</v>
      </c>
      <c r="N1660" s="3" t="s">
        <v>1722</v>
      </c>
      <c r="O1660" s="2" t="s">
        <v>1941</v>
      </c>
      <c r="P1660" s="3" t="s">
        <v>64</v>
      </c>
      <c r="R1660" s="3" t="s">
        <v>13065</v>
      </c>
      <c r="S1660" s="4">
        <v>39</v>
      </c>
      <c r="T1660" s="4">
        <v>111</v>
      </c>
      <c r="U1660" s="5" t="s">
        <v>15606</v>
      </c>
      <c r="V1660" s="5" t="s">
        <v>15606</v>
      </c>
      <c r="W1660" s="5" t="s">
        <v>67</v>
      </c>
      <c r="X1660" s="5" t="s">
        <v>67</v>
      </c>
      <c r="Y1660" s="4">
        <v>4132</v>
      </c>
      <c r="Z1660" s="4">
        <v>101</v>
      </c>
      <c r="AA1660" s="4">
        <v>156</v>
      </c>
      <c r="AB1660" s="4">
        <v>7</v>
      </c>
      <c r="AC1660" s="4">
        <v>10</v>
      </c>
      <c r="AD1660" s="4">
        <v>97</v>
      </c>
      <c r="AE1660" s="4">
        <v>114</v>
      </c>
      <c r="AF1660" s="4">
        <v>0</v>
      </c>
      <c r="AG1660" s="4">
        <v>0</v>
      </c>
      <c r="AH1660" s="4">
        <v>80</v>
      </c>
      <c r="AI1660" s="4">
        <v>91</v>
      </c>
      <c r="AJ1660" s="4">
        <v>14</v>
      </c>
      <c r="AK1660" s="4">
        <v>17</v>
      </c>
      <c r="AL1660" s="4">
        <v>45</v>
      </c>
      <c r="AM1660" s="4">
        <v>50</v>
      </c>
      <c r="AN1660" s="4">
        <v>0</v>
      </c>
      <c r="AO1660" s="4">
        <v>0</v>
      </c>
      <c r="AP1660" s="4">
        <v>17</v>
      </c>
      <c r="AQ1660" s="4">
        <v>26</v>
      </c>
      <c r="AR1660" s="3" t="s">
        <v>62</v>
      </c>
      <c r="AS1660" s="3" t="s">
        <v>62</v>
      </c>
      <c r="AT1660" s="3" t="s">
        <v>61</v>
      </c>
      <c r="AU1660" s="6" t="str">
        <f>HYPERLINK("http://catalog.hathitrust.org/Record/005837683","HathiTrust Record")</f>
        <v>HathiTrust Record</v>
      </c>
      <c r="AV1660" s="6" t="str">
        <f>HYPERLINK("http://mcgill.on.worldcat.org/oclc/183266069","Catalog Record")</f>
        <v>Catalog Record</v>
      </c>
      <c r="AW1660" s="6" t="str">
        <f>HYPERLINK("http://www.worldcat.org/oclc/183266069","WorldCat Record")</f>
        <v>WorldCat Record</v>
      </c>
      <c r="AX1660" s="3" t="s">
        <v>16532</v>
      </c>
      <c r="AY1660" s="3" t="s">
        <v>16533</v>
      </c>
      <c r="AZ1660" s="3" t="s">
        <v>16534</v>
      </c>
      <c r="BA1660" s="3" t="s">
        <v>16534</v>
      </c>
      <c r="BB1660" s="3" t="s">
        <v>16540</v>
      </c>
      <c r="BC1660" s="3" t="s">
        <v>102</v>
      </c>
      <c r="BD1660" s="3" t="s">
        <v>68</v>
      </c>
      <c r="BE1660" s="3" t="s">
        <v>16536</v>
      </c>
      <c r="BF1660" s="3" t="s">
        <v>16540</v>
      </c>
      <c r="BG1660" s="3" t="s">
        <v>16541</v>
      </c>
    </row>
    <row r="1661" spans="1:59" ht="58" x14ac:dyDescent="0.35">
      <c r="A1661" s="2" t="s">
        <v>89</v>
      </c>
      <c r="B1661" s="2" t="s">
        <v>90</v>
      </c>
      <c r="C1661" s="2" t="s">
        <v>16542</v>
      </c>
      <c r="D1661" s="2" t="s">
        <v>16543</v>
      </c>
      <c r="E1661" s="2" t="s">
        <v>16544</v>
      </c>
      <c r="G1661" s="3" t="s">
        <v>62</v>
      </c>
      <c r="I1661" s="3" t="s">
        <v>62</v>
      </c>
      <c r="J1661" s="3" t="s">
        <v>62</v>
      </c>
      <c r="K1661" s="3" t="s">
        <v>63</v>
      </c>
      <c r="L1661" s="2" t="s">
        <v>16545</v>
      </c>
      <c r="M1661" s="2" t="s">
        <v>12096</v>
      </c>
      <c r="N1661" s="3" t="s">
        <v>596</v>
      </c>
      <c r="P1661" s="3" t="s">
        <v>64</v>
      </c>
      <c r="R1661" s="3" t="s">
        <v>13065</v>
      </c>
      <c r="S1661" s="4">
        <v>3</v>
      </c>
      <c r="T1661" s="4">
        <v>3</v>
      </c>
      <c r="U1661" s="5" t="s">
        <v>16546</v>
      </c>
      <c r="V1661" s="5" t="s">
        <v>16546</v>
      </c>
      <c r="W1661" s="5" t="s">
        <v>67</v>
      </c>
      <c r="X1661" s="5" t="s">
        <v>67</v>
      </c>
      <c r="Y1661" s="4">
        <v>901</v>
      </c>
      <c r="Z1661" s="4">
        <v>49</v>
      </c>
      <c r="AA1661" s="4">
        <v>61</v>
      </c>
      <c r="AB1661" s="4">
        <v>3</v>
      </c>
      <c r="AC1661" s="4">
        <v>8</v>
      </c>
      <c r="AD1661" s="4">
        <v>132</v>
      </c>
      <c r="AE1661" s="4">
        <v>142</v>
      </c>
      <c r="AF1661" s="4">
        <v>1</v>
      </c>
      <c r="AG1661" s="4">
        <v>5</v>
      </c>
      <c r="AH1661" s="4">
        <v>105</v>
      </c>
      <c r="AI1661" s="4">
        <v>107</v>
      </c>
      <c r="AJ1661" s="4">
        <v>21</v>
      </c>
      <c r="AK1661" s="4">
        <v>25</v>
      </c>
      <c r="AL1661" s="4">
        <v>58</v>
      </c>
      <c r="AM1661" s="4">
        <v>59</v>
      </c>
      <c r="AN1661" s="4">
        <v>0</v>
      </c>
      <c r="AO1661" s="4">
        <v>0</v>
      </c>
      <c r="AP1661" s="4">
        <v>35</v>
      </c>
      <c r="AQ1661" s="4">
        <v>43</v>
      </c>
      <c r="AR1661" s="3" t="s">
        <v>62</v>
      </c>
      <c r="AS1661" s="3" t="s">
        <v>62</v>
      </c>
      <c r="AT1661" s="3" t="s">
        <v>62</v>
      </c>
      <c r="AV1661" s="6" t="str">
        <f>HYPERLINK("http://mcgill.on.worldcat.org/oclc/47054696","Catalog Record")</f>
        <v>Catalog Record</v>
      </c>
      <c r="AW1661" s="6" t="str">
        <f>HYPERLINK("http://www.worldcat.org/oclc/47054696","WorldCat Record")</f>
        <v>WorldCat Record</v>
      </c>
      <c r="AX1661" s="3" t="s">
        <v>16547</v>
      </c>
      <c r="AY1661" s="3" t="s">
        <v>16548</v>
      </c>
      <c r="AZ1661" s="3" t="s">
        <v>16549</v>
      </c>
      <c r="BA1661" s="3" t="s">
        <v>16549</v>
      </c>
      <c r="BB1661" s="3" t="s">
        <v>16550</v>
      </c>
      <c r="BC1661" s="3" t="s">
        <v>102</v>
      </c>
      <c r="BD1661" s="3" t="s">
        <v>68</v>
      </c>
      <c r="BE1661" s="3" t="s">
        <v>16551</v>
      </c>
      <c r="BF1661" s="3" t="s">
        <v>16550</v>
      </c>
      <c r="BG1661" s="3" t="s">
        <v>16552</v>
      </c>
    </row>
    <row r="1662" spans="1:59" ht="58" x14ac:dyDescent="0.35">
      <c r="A1662" s="2" t="s">
        <v>89</v>
      </c>
      <c r="B1662" s="2" t="s">
        <v>90</v>
      </c>
      <c r="C1662" s="2" t="s">
        <v>16553</v>
      </c>
      <c r="D1662" s="2" t="s">
        <v>16554</v>
      </c>
      <c r="E1662" s="2" t="s">
        <v>16555</v>
      </c>
      <c r="G1662" s="3" t="s">
        <v>62</v>
      </c>
      <c r="I1662" s="3" t="s">
        <v>62</v>
      </c>
      <c r="J1662" s="3" t="s">
        <v>62</v>
      </c>
      <c r="K1662" s="3" t="s">
        <v>63</v>
      </c>
      <c r="L1662" s="2" t="s">
        <v>16556</v>
      </c>
      <c r="M1662" s="2" t="s">
        <v>16557</v>
      </c>
      <c r="N1662" s="3" t="s">
        <v>553</v>
      </c>
      <c r="O1662" s="2" t="s">
        <v>2163</v>
      </c>
      <c r="P1662" s="3" t="s">
        <v>64</v>
      </c>
      <c r="R1662" s="3" t="s">
        <v>13065</v>
      </c>
      <c r="S1662" s="4">
        <v>15</v>
      </c>
      <c r="T1662" s="4">
        <v>15</v>
      </c>
      <c r="U1662" s="5" t="s">
        <v>2226</v>
      </c>
      <c r="V1662" s="5" t="s">
        <v>2226</v>
      </c>
      <c r="W1662" s="5" t="s">
        <v>67</v>
      </c>
      <c r="X1662" s="5" t="s">
        <v>67</v>
      </c>
      <c r="Y1662" s="4">
        <v>639</v>
      </c>
      <c r="Z1662" s="4">
        <v>15</v>
      </c>
      <c r="AA1662" s="4">
        <v>24</v>
      </c>
      <c r="AB1662" s="4">
        <v>1</v>
      </c>
      <c r="AC1662" s="4">
        <v>5</v>
      </c>
      <c r="AD1662" s="4">
        <v>95</v>
      </c>
      <c r="AE1662" s="4">
        <v>104</v>
      </c>
      <c r="AF1662" s="4">
        <v>0</v>
      </c>
      <c r="AG1662" s="4">
        <v>1</v>
      </c>
      <c r="AH1662" s="4">
        <v>89</v>
      </c>
      <c r="AI1662" s="4">
        <v>93</v>
      </c>
      <c r="AJ1662" s="4">
        <v>8</v>
      </c>
      <c r="AK1662" s="4">
        <v>11</v>
      </c>
      <c r="AL1662" s="4">
        <v>48</v>
      </c>
      <c r="AM1662" s="4">
        <v>50</v>
      </c>
      <c r="AN1662" s="4">
        <v>0</v>
      </c>
      <c r="AO1662" s="4">
        <v>0</v>
      </c>
      <c r="AP1662" s="4">
        <v>9</v>
      </c>
      <c r="AQ1662" s="4">
        <v>14</v>
      </c>
      <c r="AR1662" s="3" t="s">
        <v>62</v>
      </c>
      <c r="AS1662" s="3" t="s">
        <v>62</v>
      </c>
      <c r="AT1662" s="3" t="s">
        <v>62</v>
      </c>
      <c r="AV1662" s="6" t="str">
        <f>HYPERLINK("http://mcgill.on.worldcat.org/oclc/40105877","Catalog Record")</f>
        <v>Catalog Record</v>
      </c>
      <c r="AW1662" s="6" t="str">
        <f>HYPERLINK("http://www.worldcat.org/oclc/40105877","WorldCat Record")</f>
        <v>WorldCat Record</v>
      </c>
      <c r="AX1662" s="3" t="s">
        <v>16558</v>
      </c>
      <c r="AY1662" s="3" t="s">
        <v>16559</v>
      </c>
      <c r="AZ1662" s="3" t="s">
        <v>16560</v>
      </c>
      <c r="BA1662" s="3" t="s">
        <v>16560</v>
      </c>
      <c r="BB1662" s="3" t="s">
        <v>16561</v>
      </c>
      <c r="BC1662" s="3" t="s">
        <v>102</v>
      </c>
      <c r="BD1662" s="3" t="s">
        <v>68</v>
      </c>
      <c r="BE1662" s="3" t="s">
        <v>16562</v>
      </c>
      <c r="BF1662" s="3" t="s">
        <v>16561</v>
      </c>
      <c r="BG1662" s="3" t="s">
        <v>16563</v>
      </c>
    </row>
    <row r="1663" spans="1:59" ht="58" x14ac:dyDescent="0.35">
      <c r="A1663" s="2" t="s">
        <v>89</v>
      </c>
      <c r="B1663" s="2" t="s">
        <v>90</v>
      </c>
      <c r="C1663" s="2" t="s">
        <v>16564</v>
      </c>
      <c r="D1663" s="2" t="s">
        <v>16565</v>
      </c>
      <c r="E1663" s="2" t="s">
        <v>16566</v>
      </c>
      <c r="G1663" s="3" t="s">
        <v>62</v>
      </c>
      <c r="I1663" s="3" t="s">
        <v>62</v>
      </c>
      <c r="J1663" s="3" t="s">
        <v>62</v>
      </c>
      <c r="K1663" s="3" t="s">
        <v>63</v>
      </c>
      <c r="L1663" s="2" t="s">
        <v>16567</v>
      </c>
      <c r="M1663" s="2" t="s">
        <v>16568</v>
      </c>
      <c r="N1663" s="3" t="s">
        <v>893</v>
      </c>
      <c r="P1663" s="3" t="s">
        <v>85</v>
      </c>
      <c r="R1663" s="3" t="s">
        <v>13065</v>
      </c>
      <c r="S1663" s="4">
        <v>1</v>
      </c>
      <c r="T1663" s="4">
        <v>1</v>
      </c>
      <c r="U1663" s="5" t="s">
        <v>16569</v>
      </c>
      <c r="V1663" s="5" t="s">
        <v>16569</v>
      </c>
      <c r="W1663" s="5" t="s">
        <v>67</v>
      </c>
      <c r="X1663" s="5" t="s">
        <v>67</v>
      </c>
      <c r="Y1663" s="4">
        <v>1</v>
      </c>
      <c r="Z1663" s="4">
        <v>1</v>
      </c>
      <c r="AA1663" s="4">
        <v>2</v>
      </c>
      <c r="AB1663" s="4">
        <v>1</v>
      </c>
      <c r="AC1663" s="4">
        <v>2</v>
      </c>
      <c r="AD1663" s="4">
        <v>0</v>
      </c>
      <c r="AE1663" s="4">
        <v>1</v>
      </c>
      <c r="AF1663" s="4">
        <v>0</v>
      </c>
      <c r="AG1663" s="4">
        <v>1</v>
      </c>
      <c r="AH1663" s="4">
        <v>0</v>
      </c>
      <c r="AI1663" s="4">
        <v>0</v>
      </c>
      <c r="AJ1663" s="4">
        <v>0</v>
      </c>
      <c r="AK1663" s="4">
        <v>1</v>
      </c>
      <c r="AL1663" s="4">
        <v>0</v>
      </c>
      <c r="AM1663" s="4">
        <v>0</v>
      </c>
      <c r="AN1663" s="4">
        <v>0</v>
      </c>
      <c r="AO1663" s="4">
        <v>0</v>
      </c>
      <c r="AP1663" s="4">
        <v>0</v>
      </c>
      <c r="AQ1663" s="4">
        <v>0</v>
      </c>
      <c r="AR1663" s="3" t="s">
        <v>61</v>
      </c>
      <c r="AS1663" s="3" t="s">
        <v>62</v>
      </c>
      <c r="AT1663" s="3" t="s">
        <v>62</v>
      </c>
      <c r="AV1663" s="6" t="str">
        <f>HYPERLINK("http://mcgill.on.worldcat.org/oclc/427192166","Catalog Record")</f>
        <v>Catalog Record</v>
      </c>
      <c r="AW1663" s="6" t="str">
        <f>HYPERLINK("http://www.worldcat.org/oclc/427192166","WorldCat Record")</f>
        <v>WorldCat Record</v>
      </c>
      <c r="AX1663" s="3" t="s">
        <v>16570</v>
      </c>
      <c r="AY1663" s="3" t="s">
        <v>16571</v>
      </c>
      <c r="AZ1663" s="3" t="s">
        <v>16572</v>
      </c>
      <c r="BA1663" s="3" t="s">
        <v>16572</v>
      </c>
      <c r="BB1663" s="3" t="s">
        <v>16573</v>
      </c>
      <c r="BC1663" s="3" t="s">
        <v>102</v>
      </c>
      <c r="BD1663" s="3" t="s">
        <v>68</v>
      </c>
      <c r="BF1663" s="3" t="s">
        <v>16573</v>
      </c>
      <c r="BG1663" s="3" t="s">
        <v>16574</v>
      </c>
    </row>
    <row r="1664" spans="1:59" ht="58" x14ac:dyDescent="0.35">
      <c r="A1664" s="2" t="s">
        <v>89</v>
      </c>
      <c r="B1664" s="2" t="s">
        <v>90</v>
      </c>
      <c r="C1664" s="2" t="s">
        <v>16575</v>
      </c>
      <c r="D1664" s="2" t="s">
        <v>16576</v>
      </c>
      <c r="E1664" s="2" t="s">
        <v>16577</v>
      </c>
      <c r="G1664" s="3" t="s">
        <v>62</v>
      </c>
      <c r="I1664" s="3" t="s">
        <v>61</v>
      </c>
      <c r="J1664" s="3" t="s">
        <v>62</v>
      </c>
      <c r="K1664" s="3" t="s">
        <v>63</v>
      </c>
      <c r="L1664" s="2" t="s">
        <v>16578</v>
      </c>
      <c r="M1664" s="2" t="s">
        <v>16579</v>
      </c>
      <c r="N1664" s="3" t="s">
        <v>3062</v>
      </c>
      <c r="P1664" s="3" t="s">
        <v>64</v>
      </c>
      <c r="R1664" s="3" t="s">
        <v>13065</v>
      </c>
      <c r="S1664" s="4">
        <v>33</v>
      </c>
      <c r="T1664" s="4">
        <v>41</v>
      </c>
      <c r="U1664" s="5" t="s">
        <v>16580</v>
      </c>
      <c r="V1664" s="5" t="s">
        <v>16580</v>
      </c>
      <c r="W1664" s="5" t="s">
        <v>67</v>
      </c>
      <c r="X1664" s="5" t="s">
        <v>67</v>
      </c>
      <c r="Y1664" s="4">
        <v>503</v>
      </c>
      <c r="Z1664" s="4">
        <v>27</v>
      </c>
      <c r="AA1664" s="4">
        <v>29</v>
      </c>
      <c r="AB1664" s="4">
        <v>2</v>
      </c>
      <c r="AC1664" s="4">
        <v>3</v>
      </c>
      <c r="AD1664" s="4">
        <v>112</v>
      </c>
      <c r="AE1664" s="4">
        <v>115</v>
      </c>
      <c r="AF1664" s="4">
        <v>1</v>
      </c>
      <c r="AG1664" s="4">
        <v>2</v>
      </c>
      <c r="AH1664" s="4">
        <v>94</v>
      </c>
      <c r="AI1664" s="4">
        <v>96</v>
      </c>
      <c r="AJ1664" s="4">
        <v>15</v>
      </c>
      <c r="AK1664" s="4">
        <v>17</v>
      </c>
      <c r="AL1664" s="4">
        <v>51</v>
      </c>
      <c r="AM1664" s="4">
        <v>52</v>
      </c>
      <c r="AN1664" s="4">
        <v>0</v>
      </c>
      <c r="AO1664" s="4">
        <v>0</v>
      </c>
      <c r="AP1664" s="4">
        <v>23</v>
      </c>
      <c r="AQ1664" s="4">
        <v>24</v>
      </c>
      <c r="AR1664" s="3" t="s">
        <v>62</v>
      </c>
      <c r="AS1664" s="3" t="s">
        <v>62</v>
      </c>
      <c r="AT1664" s="3" t="s">
        <v>62</v>
      </c>
      <c r="AV1664" s="6" t="str">
        <f>HYPERLINK("http://mcgill.on.worldcat.org/oclc/20826134","Catalog Record")</f>
        <v>Catalog Record</v>
      </c>
      <c r="AW1664" s="6" t="str">
        <f>HYPERLINK("http://www.worldcat.org/oclc/20826134","WorldCat Record")</f>
        <v>WorldCat Record</v>
      </c>
      <c r="AX1664" s="3" t="s">
        <v>16581</v>
      </c>
      <c r="AY1664" s="3" t="s">
        <v>16582</v>
      </c>
      <c r="AZ1664" s="3" t="s">
        <v>16583</v>
      </c>
      <c r="BA1664" s="3" t="s">
        <v>16583</v>
      </c>
      <c r="BB1664" s="3" t="s">
        <v>16584</v>
      </c>
      <c r="BC1664" s="3" t="s">
        <v>102</v>
      </c>
      <c r="BD1664" s="3" t="s">
        <v>68</v>
      </c>
      <c r="BE1664" s="3" t="s">
        <v>16585</v>
      </c>
      <c r="BF1664" s="3" t="s">
        <v>16584</v>
      </c>
      <c r="BG1664" s="3" t="s">
        <v>16586</v>
      </c>
    </row>
    <row r="1665" spans="1:59" ht="58" x14ac:dyDescent="0.35">
      <c r="A1665" s="2" t="s">
        <v>89</v>
      </c>
      <c r="B1665" s="2" t="s">
        <v>90</v>
      </c>
      <c r="C1665" s="2" t="s">
        <v>16587</v>
      </c>
      <c r="D1665" s="2" t="s">
        <v>16588</v>
      </c>
      <c r="E1665" s="2" t="s">
        <v>16589</v>
      </c>
      <c r="G1665" s="3" t="s">
        <v>62</v>
      </c>
      <c r="I1665" s="3" t="s">
        <v>62</v>
      </c>
      <c r="J1665" s="3" t="s">
        <v>62</v>
      </c>
      <c r="K1665" s="3" t="s">
        <v>63</v>
      </c>
      <c r="L1665" s="2" t="s">
        <v>16590</v>
      </c>
      <c r="M1665" s="2" t="s">
        <v>16591</v>
      </c>
      <c r="N1665" s="3" t="s">
        <v>438</v>
      </c>
      <c r="P1665" s="3" t="s">
        <v>64</v>
      </c>
      <c r="R1665" s="3" t="s">
        <v>13065</v>
      </c>
      <c r="S1665" s="4">
        <v>19</v>
      </c>
      <c r="T1665" s="4">
        <v>19</v>
      </c>
      <c r="U1665" s="5" t="s">
        <v>16580</v>
      </c>
      <c r="V1665" s="5" t="s">
        <v>16580</v>
      </c>
      <c r="W1665" s="5" t="s">
        <v>67</v>
      </c>
      <c r="X1665" s="5" t="s">
        <v>67</v>
      </c>
      <c r="Y1665" s="4">
        <v>665</v>
      </c>
      <c r="Z1665" s="4">
        <v>33</v>
      </c>
      <c r="AA1665" s="4">
        <v>105</v>
      </c>
      <c r="AB1665" s="4">
        <v>2</v>
      </c>
      <c r="AC1665" s="4">
        <v>17</v>
      </c>
      <c r="AD1665" s="4">
        <v>112</v>
      </c>
      <c r="AE1665" s="4">
        <v>154</v>
      </c>
      <c r="AF1665" s="4">
        <v>1</v>
      </c>
      <c r="AG1665" s="4">
        <v>8</v>
      </c>
      <c r="AH1665" s="4">
        <v>97</v>
      </c>
      <c r="AI1665" s="4">
        <v>112</v>
      </c>
      <c r="AJ1665" s="4">
        <v>17</v>
      </c>
      <c r="AK1665" s="4">
        <v>27</v>
      </c>
      <c r="AL1665" s="4">
        <v>49</v>
      </c>
      <c r="AM1665" s="4">
        <v>57</v>
      </c>
      <c r="AN1665" s="4">
        <v>0</v>
      </c>
      <c r="AO1665" s="4">
        <v>0</v>
      </c>
      <c r="AP1665" s="4">
        <v>23</v>
      </c>
      <c r="AQ1665" s="4">
        <v>51</v>
      </c>
      <c r="AR1665" s="3" t="s">
        <v>62</v>
      </c>
      <c r="AS1665" s="3" t="s">
        <v>62</v>
      </c>
      <c r="AT1665" s="3" t="s">
        <v>62</v>
      </c>
      <c r="AV1665" s="6" t="str">
        <f>HYPERLINK("http://mcgill.on.worldcat.org/oclc/20294635","Catalog Record")</f>
        <v>Catalog Record</v>
      </c>
      <c r="AW1665" s="6" t="str">
        <f>HYPERLINK("http://www.worldcat.org/oclc/20294635","WorldCat Record")</f>
        <v>WorldCat Record</v>
      </c>
      <c r="AX1665" s="3" t="s">
        <v>16592</v>
      </c>
      <c r="AY1665" s="3" t="s">
        <v>16593</v>
      </c>
      <c r="AZ1665" s="3" t="s">
        <v>16594</v>
      </c>
      <c r="BA1665" s="3" t="s">
        <v>16594</v>
      </c>
      <c r="BB1665" s="3" t="s">
        <v>16595</v>
      </c>
      <c r="BC1665" s="3" t="s">
        <v>102</v>
      </c>
      <c r="BD1665" s="3" t="s">
        <v>68</v>
      </c>
      <c r="BE1665" s="3" t="s">
        <v>16596</v>
      </c>
      <c r="BF1665" s="3" t="s">
        <v>16595</v>
      </c>
      <c r="BG1665" s="3" t="s">
        <v>16597</v>
      </c>
    </row>
    <row r="1666" spans="1:59" ht="58" x14ac:dyDescent="0.35">
      <c r="A1666" s="2" t="s">
        <v>89</v>
      </c>
      <c r="B1666" s="2" t="s">
        <v>90</v>
      </c>
      <c r="C1666" s="2" t="s">
        <v>16598</v>
      </c>
      <c r="D1666" s="2" t="s">
        <v>16599</v>
      </c>
      <c r="E1666" s="2" t="s">
        <v>16600</v>
      </c>
      <c r="G1666" s="3" t="s">
        <v>62</v>
      </c>
      <c r="I1666" s="3" t="s">
        <v>61</v>
      </c>
      <c r="J1666" s="3" t="s">
        <v>62</v>
      </c>
      <c r="K1666" s="3" t="s">
        <v>63</v>
      </c>
      <c r="L1666" s="2" t="s">
        <v>16601</v>
      </c>
      <c r="M1666" s="2" t="s">
        <v>16602</v>
      </c>
      <c r="N1666" s="3" t="s">
        <v>3062</v>
      </c>
      <c r="P1666" s="3" t="s">
        <v>64</v>
      </c>
      <c r="Q1666" s="2" t="s">
        <v>16603</v>
      </c>
      <c r="R1666" s="3" t="s">
        <v>13065</v>
      </c>
      <c r="S1666" s="4">
        <v>35</v>
      </c>
      <c r="T1666" s="4">
        <v>46</v>
      </c>
      <c r="U1666" s="5" t="s">
        <v>16604</v>
      </c>
      <c r="V1666" s="5" t="s">
        <v>16604</v>
      </c>
      <c r="W1666" s="5" t="s">
        <v>67</v>
      </c>
      <c r="X1666" s="5" t="s">
        <v>67</v>
      </c>
      <c r="Y1666" s="4">
        <v>586</v>
      </c>
      <c r="Z1666" s="4">
        <v>24</v>
      </c>
      <c r="AA1666" s="4">
        <v>24</v>
      </c>
      <c r="AB1666" s="4">
        <v>2</v>
      </c>
      <c r="AC1666" s="4">
        <v>2</v>
      </c>
      <c r="AD1666" s="4">
        <v>105</v>
      </c>
      <c r="AE1666" s="4">
        <v>105</v>
      </c>
      <c r="AF1666" s="4">
        <v>0</v>
      </c>
      <c r="AG1666" s="4">
        <v>0</v>
      </c>
      <c r="AH1666" s="4">
        <v>89</v>
      </c>
      <c r="AI1666" s="4">
        <v>89</v>
      </c>
      <c r="AJ1666" s="4">
        <v>15</v>
      </c>
      <c r="AK1666" s="4">
        <v>15</v>
      </c>
      <c r="AL1666" s="4">
        <v>53</v>
      </c>
      <c r="AM1666" s="4">
        <v>53</v>
      </c>
      <c r="AN1666" s="4">
        <v>0</v>
      </c>
      <c r="AO1666" s="4">
        <v>0</v>
      </c>
      <c r="AP1666" s="4">
        <v>18</v>
      </c>
      <c r="AQ1666" s="4">
        <v>18</v>
      </c>
      <c r="AR1666" s="3" t="s">
        <v>62</v>
      </c>
      <c r="AS1666" s="3" t="s">
        <v>62</v>
      </c>
      <c r="AT1666" s="3" t="s">
        <v>61</v>
      </c>
      <c r="AU1666" s="6" t="str">
        <f>HYPERLINK("http://catalog.hathitrust.org/Record/002479813","HathiTrust Record")</f>
        <v>HathiTrust Record</v>
      </c>
      <c r="AV1666" s="6" t="str">
        <f>HYPERLINK("http://mcgill.on.worldcat.org/oclc/21522159","Catalog Record")</f>
        <v>Catalog Record</v>
      </c>
      <c r="AW1666" s="6" t="str">
        <f>HYPERLINK("http://www.worldcat.org/oclc/21522159","WorldCat Record")</f>
        <v>WorldCat Record</v>
      </c>
      <c r="AX1666" s="3" t="s">
        <v>16605</v>
      </c>
      <c r="AY1666" s="3" t="s">
        <v>16606</v>
      </c>
      <c r="AZ1666" s="3" t="s">
        <v>16607</v>
      </c>
      <c r="BA1666" s="3" t="s">
        <v>16607</v>
      </c>
      <c r="BB1666" s="3" t="s">
        <v>16608</v>
      </c>
      <c r="BC1666" s="3" t="s">
        <v>102</v>
      </c>
      <c r="BD1666" s="3" t="s">
        <v>68</v>
      </c>
      <c r="BE1666" s="3" t="s">
        <v>16609</v>
      </c>
      <c r="BF1666" s="3" t="s">
        <v>16608</v>
      </c>
      <c r="BG1666" s="3" t="s">
        <v>16610</v>
      </c>
    </row>
    <row r="1667" spans="1:59" ht="58" x14ac:dyDescent="0.35">
      <c r="A1667" s="2" t="s">
        <v>89</v>
      </c>
      <c r="B1667" s="2" t="s">
        <v>90</v>
      </c>
      <c r="C1667" s="2" t="s">
        <v>16611</v>
      </c>
      <c r="D1667" s="2" t="s">
        <v>16612</v>
      </c>
      <c r="E1667" s="2" t="s">
        <v>16613</v>
      </c>
      <c r="G1667" s="3" t="s">
        <v>62</v>
      </c>
      <c r="I1667" s="3" t="s">
        <v>61</v>
      </c>
      <c r="J1667" s="3" t="s">
        <v>62</v>
      </c>
      <c r="K1667" s="3" t="s">
        <v>63</v>
      </c>
      <c r="L1667" s="2" t="s">
        <v>16614</v>
      </c>
      <c r="M1667" s="2" t="s">
        <v>16591</v>
      </c>
      <c r="N1667" s="3" t="s">
        <v>438</v>
      </c>
      <c r="P1667" s="3" t="s">
        <v>64</v>
      </c>
      <c r="Q1667" s="2" t="s">
        <v>16615</v>
      </c>
      <c r="R1667" s="3" t="s">
        <v>13065</v>
      </c>
      <c r="S1667" s="4">
        <v>23</v>
      </c>
      <c r="T1667" s="4">
        <v>43</v>
      </c>
      <c r="U1667" s="5" t="s">
        <v>16616</v>
      </c>
      <c r="V1667" s="5" t="s">
        <v>16617</v>
      </c>
      <c r="W1667" s="5" t="s">
        <v>67</v>
      </c>
      <c r="X1667" s="5" t="s">
        <v>67</v>
      </c>
      <c r="Y1667" s="4">
        <v>444</v>
      </c>
      <c r="Z1667" s="4">
        <v>24</v>
      </c>
      <c r="AA1667" s="4">
        <v>99</v>
      </c>
      <c r="AB1667" s="4">
        <v>2</v>
      </c>
      <c r="AC1667" s="4">
        <v>17</v>
      </c>
      <c r="AD1667" s="4">
        <v>112</v>
      </c>
      <c r="AE1667" s="4">
        <v>152</v>
      </c>
      <c r="AF1667" s="4">
        <v>1</v>
      </c>
      <c r="AG1667" s="4">
        <v>8</v>
      </c>
      <c r="AH1667" s="4">
        <v>96</v>
      </c>
      <c r="AI1667" s="4">
        <v>109</v>
      </c>
      <c r="AJ1667" s="4">
        <v>19</v>
      </c>
      <c r="AK1667" s="4">
        <v>28</v>
      </c>
      <c r="AL1667" s="4">
        <v>56</v>
      </c>
      <c r="AM1667" s="4">
        <v>60</v>
      </c>
      <c r="AN1667" s="4">
        <v>0</v>
      </c>
      <c r="AO1667" s="4">
        <v>0</v>
      </c>
      <c r="AP1667" s="4">
        <v>20</v>
      </c>
      <c r="AQ1667" s="4">
        <v>48</v>
      </c>
      <c r="AR1667" s="3" t="s">
        <v>62</v>
      </c>
      <c r="AS1667" s="3" t="s">
        <v>62</v>
      </c>
      <c r="AT1667" s="3" t="s">
        <v>62</v>
      </c>
      <c r="AV1667" s="6" t="str">
        <f>HYPERLINK("http://mcgill.on.worldcat.org/oclc/20489607","Catalog Record")</f>
        <v>Catalog Record</v>
      </c>
      <c r="AW1667" s="6" t="str">
        <f>HYPERLINK("http://www.worldcat.org/oclc/20489607","WorldCat Record")</f>
        <v>WorldCat Record</v>
      </c>
      <c r="AX1667" s="3" t="s">
        <v>16618</v>
      </c>
      <c r="AY1667" s="3" t="s">
        <v>16619</v>
      </c>
      <c r="AZ1667" s="3" t="s">
        <v>16620</v>
      </c>
      <c r="BA1667" s="3" t="s">
        <v>16620</v>
      </c>
      <c r="BB1667" s="3" t="s">
        <v>16621</v>
      </c>
      <c r="BC1667" s="3" t="s">
        <v>102</v>
      </c>
      <c r="BD1667" s="3" t="s">
        <v>68</v>
      </c>
      <c r="BE1667" s="3" t="s">
        <v>16622</v>
      </c>
      <c r="BF1667" s="3" t="s">
        <v>16621</v>
      </c>
      <c r="BG1667" s="3" t="s">
        <v>16623</v>
      </c>
    </row>
    <row r="1668" spans="1:59" ht="58" x14ac:dyDescent="0.35">
      <c r="A1668" s="2" t="s">
        <v>89</v>
      </c>
      <c r="B1668" s="2" t="s">
        <v>90</v>
      </c>
      <c r="C1668" s="2" t="s">
        <v>16624</v>
      </c>
      <c r="D1668" s="2" t="s">
        <v>16625</v>
      </c>
      <c r="E1668" s="2" t="s">
        <v>16626</v>
      </c>
      <c r="G1668" s="3" t="s">
        <v>62</v>
      </c>
      <c r="I1668" s="3" t="s">
        <v>62</v>
      </c>
      <c r="J1668" s="3" t="s">
        <v>62</v>
      </c>
      <c r="K1668" s="3" t="s">
        <v>63</v>
      </c>
      <c r="L1668" s="2" t="s">
        <v>16627</v>
      </c>
      <c r="M1668" s="2" t="s">
        <v>16628</v>
      </c>
      <c r="N1668" s="3" t="s">
        <v>539</v>
      </c>
      <c r="P1668" s="3" t="s">
        <v>64</v>
      </c>
      <c r="R1668" s="3" t="s">
        <v>13065</v>
      </c>
      <c r="S1668" s="4">
        <v>13</v>
      </c>
      <c r="T1668" s="4">
        <v>13</v>
      </c>
      <c r="U1668" s="5" t="s">
        <v>4665</v>
      </c>
      <c r="V1668" s="5" t="s">
        <v>4665</v>
      </c>
      <c r="W1668" s="5" t="s">
        <v>67</v>
      </c>
      <c r="X1668" s="5" t="s">
        <v>67</v>
      </c>
      <c r="Y1668" s="4">
        <v>890</v>
      </c>
      <c r="Z1668" s="4">
        <v>32</v>
      </c>
      <c r="AA1668" s="4">
        <v>44</v>
      </c>
      <c r="AB1668" s="4">
        <v>3</v>
      </c>
      <c r="AC1668" s="4">
        <v>5</v>
      </c>
      <c r="AD1668" s="4">
        <v>113</v>
      </c>
      <c r="AE1668" s="4">
        <v>125</v>
      </c>
      <c r="AF1668" s="4">
        <v>2</v>
      </c>
      <c r="AG1668" s="4">
        <v>4</v>
      </c>
      <c r="AH1668" s="4">
        <v>96</v>
      </c>
      <c r="AI1668" s="4">
        <v>100</v>
      </c>
      <c r="AJ1668" s="4">
        <v>15</v>
      </c>
      <c r="AK1668" s="4">
        <v>20</v>
      </c>
      <c r="AL1668" s="4">
        <v>53</v>
      </c>
      <c r="AM1668" s="4">
        <v>53</v>
      </c>
      <c r="AN1668" s="4">
        <v>0</v>
      </c>
      <c r="AO1668" s="4">
        <v>0</v>
      </c>
      <c r="AP1668" s="4">
        <v>22</v>
      </c>
      <c r="AQ1668" s="4">
        <v>31</v>
      </c>
      <c r="AR1668" s="3" t="s">
        <v>62</v>
      </c>
      <c r="AS1668" s="3" t="s">
        <v>62</v>
      </c>
      <c r="AT1668" s="3" t="s">
        <v>62</v>
      </c>
      <c r="AV1668" s="6" t="str">
        <f>HYPERLINK("http://mcgill.on.worldcat.org/oclc/39007119","Catalog Record")</f>
        <v>Catalog Record</v>
      </c>
      <c r="AW1668" s="6" t="str">
        <f>HYPERLINK("http://www.worldcat.org/oclc/39007119","WorldCat Record")</f>
        <v>WorldCat Record</v>
      </c>
      <c r="AX1668" s="3" t="s">
        <v>16629</v>
      </c>
      <c r="AY1668" s="3" t="s">
        <v>16630</v>
      </c>
      <c r="AZ1668" s="3" t="s">
        <v>16631</v>
      </c>
      <c r="BA1668" s="3" t="s">
        <v>16631</v>
      </c>
      <c r="BB1668" s="3" t="s">
        <v>16632</v>
      </c>
      <c r="BC1668" s="3" t="s">
        <v>102</v>
      </c>
      <c r="BD1668" s="3" t="s">
        <v>68</v>
      </c>
      <c r="BE1668" s="3" t="s">
        <v>16633</v>
      </c>
      <c r="BF1668" s="3" t="s">
        <v>16632</v>
      </c>
      <c r="BG1668" s="3" t="s">
        <v>16634</v>
      </c>
    </row>
    <row r="1669" spans="1:59" ht="58" x14ac:dyDescent="0.35">
      <c r="A1669" s="2" t="s">
        <v>89</v>
      </c>
      <c r="B1669" s="2" t="s">
        <v>90</v>
      </c>
      <c r="C1669" s="2" t="s">
        <v>16635</v>
      </c>
      <c r="D1669" s="2" t="s">
        <v>16636</v>
      </c>
      <c r="E1669" s="2" t="s">
        <v>16637</v>
      </c>
      <c r="G1669" s="3" t="s">
        <v>62</v>
      </c>
      <c r="I1669" s="3" t="s">
        <v>61</v>
      </c>
      <c r="J1669" s="3" t="s">
        <v>62</v>
      </c>
      <c r="K1669" s="3" t="s">
        <v>63</v>
      </c>
      <c r="L1669" s="2" t="s">
        <v>16638</v>
      </c>
      <c r="M1669" s="2" t="s">
        <v>16639</v>
      </c>
      <c r="N1669" s="3" t="s">
        <v>285</v>
      </c>
      <c r="P1669" s="3" t="s">
        <v>64</v>
      </c>
      <c r="Q1669" s="2" t="s">
        <v>16640</v>
      </c>
      <c r="R1669" s="3" t="s">
        <v>13065</v>
      </c>
      <c r="S1669" s="4">
        <v>0</v>
      </c>
      <c r="T1669" s="4">
        <v>3</v>
      </c>
      <c r="V1669" s="5" t="s">
        <v>6325</v>
      </c>
      <c r="W1669" s="5" t="s">
        <v>67</v>
      </c>
      <c r="X1669" s="5" t="s">
        <v>67</v>
      </c>
      <c r="Y1669" s="4">
        <v>358</v>
      </c>
      <c r="Z1669" s="4">
        <v>17</v>
      </c>
      <c r="AA1669" s="4">
        <v>18</v>
      </c>
      <c r="AB1669" s="4">
        <v>1</v>
      </c>
      <c r="AC1669" s="4">
        <v>2</v>
      </c>
      <c r="AD1669" s="4">
        <v>59</v>
      </c>
      <c r="AE1669" s="4">
        <v>60</v>
      </c>
      <c r="AF1669" s="4">
        <v>0</v>
      </c>
      <c r="AG1669" s="4">
        <v>1</v>
      </c>
      <c r="AH1669" s="4">
        <v>49</v>
      </c>
      <c r="AI1669" s="4">
        <v>49</v>
      </c>
      <c r="AJ1669" s="4">
        <v>8</v>
      </c>
      <c r="AK1669" s="4">
        <v>8</v>
      </c>
      <c r="AL1669" s="4">
        <v>29</v>
      </c>
      <c r="AM1669" s="4">
        <v>29</v>
      </c>
      <c r="AN1669" s="4">
        <v>0</v>
      </c>
      <c r="AO1669" s="4">
        <v>0</v>
      </c>
      <c r="AP1669" s="4">
        <v>13</v>
      </c>
      <c r="AQ1669" s="4">
        <v>14</v>
      </c>
      <c r="AR1669" s="3" t="s">
        <v>62</v>
      </c>
      <c r="AS1669" s="3" t="s">
        <v>62</v>
      </c>
      <c r="AT1669" s="3" t="s">
        <v>61</v>
      </c>
      <c r="AU1669" s="6" t="str">
        <f>HYPERLINK("http://catalog.hathitrust.org/Record/000696136","HathiTrust Record")</f>
        <v>HathiTrust Record</v>
      </c>
      <c r="AV1669" s="6" t="str">
        <f>HYPERLINK("http://mcgill.on.worldcat.org/oclc/4592599","Catalog Record")</f>
        <v>Catalog Record</v>
      </c>
      <c r="AW1669" s="6" t="str">
        <f>HYPERLINK("http://www.worldcat.org/oclc/4592599","WorldCat Record")</f>
        <v>WorldCat Record</v>
      </c>
      <c r="AX1669" s="3" t="s">
        <v>16641</v>
      </c>
      <c r="AY1669" s="3" t="s">
        <v>16642</v>
      </c>
      <c r="AZ1669" s="3" t="s">
        <v>16643</v>
      </c>
      <c r="BA1669" s="3" t="s">
        <v>16643</v>
      </c>
      <c r="BB1669" s="3" t="s">
        <v>16644</v>
      </c>
      <c r="BC1669" s="3" t="s">
        <v>102</v>
      </c>
      <c r="BD1669" s="3" t="s">
        <v>68</v>
      </c>
      <c r="BE1669" s="3" t="s">
        <v>16645</v>
      </c>
      <c r="BF1669" s="3" t="s">
        <v>16644</v>
      </c>
      <c r="BG1669" s="3" t="s">
        <v>16646</v>
      </c>
    </row>
    <row r="1670" spans="1:59" ht="58" x14ac:dyDescent="0.35">
      <c r="A1670" s="2" t="s">
        <v>89</v>
      </c>
      <c r="B1670" s="2" t="s">
        <v>90</v>
      </c>
      <c r="C1670" s="2" t="s">
        <v>16647</v>
      </c>
      <c r="D1670" s="2" t="s">
        <v>16648</v>
      </c>
      <c r="E1670" s="2" t="s">
        <v>16649</v>
      </c>
      <c r="G1670" s="3" t="s">
        <v>62</v>
      </c>
      <c r="I1670" s="3" t="s">
        <v>61</v>
      </c>
      <c r="J1670" s="3" t="s">
        <v>62</v>
      </c>
      <c r="K1670" s="3" t="s">
        <v>63</v>
      </c>
      <c r="M1670" s="2" t="s">
        <v>16650</v>
      </c>
      <c r="N1670" s="3" t="s">
        <v>1467</v>
      </c>
      <c r="P1670" s="3" t="s">
        <v>64</v>
      </c>
      <c r="R1670" s="3" t="s">
        <v>13065</v>
      </c>
      <c r="S1670" s="4">
        <v>1</v>
      </c>
      <c r="T1670" s="4">
        <v>2</v>
      </c>
      <c r="U1670" s="5" t="s">
        <v>16651</v>
      </c>
      <c r="V1670" s="5" t="s">
        <v>6325</v>
      </c>
      <c r="W1670" s="5" t="s">
        <v>67</v>
      </c>
      <c r="X1670" s="5" t="s">
        <v>67</v>
      </c>
      <c r="Y1670" s="4">
        <v>162</v>
      </c>
      <c r="Z1670" s="4">
        <v>10</v>
      </c>
      <c r="AA1670" s="4">
        <v>15</v>
      </c>
      <c r="AB1670" s="4">
        <v>1</v>
      </c>
      <c r="AC1670" s="4">
        <v>2</v>
      </c>
      <c r="AD1670" s="4">
        <v>52</v>
      </c>
      <c r="AE1670" s="4">
        <v>87</v>
      </c>
      <c r="AF1670" s="4">
        <v>0</v>
      </c>
      <c r="AG1670" s="4">
        <v>1</v>
      </c>
      <c r="AH1670" s="4">
        <v>48</v>
      </c>
      <c r="AI1670" s="4">
        <v>79</v>
      </c>
      <c r="AJ1670" s="4">
        <v>7</v>
      </c>
      <c r="AK1670" s="4">
        <v>11</v>
      </c>
      <c r="AL1670" s="4">
        <v>26</v>
      </c>
      <c r="AM1670" s="4">
        <v>47</v>
      </c>
      <c r="AN1670" s="4">
        <v>0</v>
      </c>
      <c r="AO1670" s="4">
        <v>0</v>
      </c>
      <c r="AP1670" s="4">
        <v>8</v>
      </c>
      <c r="AQ1670" s="4">
        <v>12</v>
      </c>
      <c r="AR1670" s="3" t="s">
        <v>62</v>
      </c>
      <c r="AS1670" s="3" t="s">
        <v>62</v>
      </c>
      <c r="AT1670" s="3" t="s">
        <v>62</v>
      </c>
      <c r="AV1670" s="6" t="str">
        <f>HYPERLINK("http://mcgill.on.worldcat.org/oclc/958282","Catalog Record")</f>
        <v>Catalog Record</v>
      </c>
      <c r="AW1670" s="6" t="str">
        <f>HYPERLINK("http://www.worldcat.org/oclc/958282","WorldCat Record")</f>
        <v>WorldCat Record</v>
      </c>
      <c r="AX1670" s="3" t="s">
        <v>16652</v>
      </c>
      <c r="AY1670" s="3" t="s">
        <v>16653</v>
      </c>
      <c r="AZ1670" s="3" t="s">
        <v>16654</v>
      </c>
      <c r="BA1670" s="3" t="s">
        <v>16654</v>
      </c>
      <c r="BB1670" s="3" t="s">
        <v>16655</v>
      </c>
      <c r="BC1670" s="3" t="s">
        <v>102</v>
      </c>
      <c r="BD1670" s="3" t="s">
        <v>68</v>
      </c>
      <c r="BF1670" s="3" t="s">
        <v>16655</v>
      </c>
      <c r="BG1670" s="3" t="s">
        <v>16656</v>
      </c>
    </row>
    <row r="1671" spans="1:59" ht="58" x14ac:dyDescent="0.35">
      <c r="A1671" s="2" t="s">
        <v>89</v>
      </c>
      <c r="B1671" s="2" t="s">
        <v>90</v>
      </c>
      <c r="C1671" s="2" t="s">
        <v>16657</v>
      </c>
      <c r="D1671" s="2" t="s">
        <v>16658</v>
      </c>
      <c r="E1671" s="2" t="s">
        <v>16659</v>
      </c>
      <c r="G1671" s="3" t="s">
        <v>62</v>
      </c>
      <c r="I1671" s="3" t="s">
        <v>62</v>
      </c>
      <c r="J1671" s="3" t="s">
        <v>62</v>
      </c>
      <c r="K1671" s="3" t="s">
        <v>63</v>
      </c>
      <c r="L1671" s="2" t="s">
        <v>16660</v>
      </c>
      <c r="M1671" s="2" t="s">
        <v>16661</v>
      </c>
      <c r="N1671" s="3" t="s">
        <v>880</v>
      </c>
      <c r="P1671" s="3" t="s">
        <v>64</v>
      </c>
      <c r="Q1671" s="2" t="s">
        <v>16662</v>
      </c>
      <c r="R1671" s="3" t="s">
        <v>13065</v>
      </c>
      <c r="S1671" s="4">
        <v>3</v>
      </c>
      <c r="T1671" s="4">
        <v>3</v>
      </c>
      <c r="U1671" s="5" t="s">
        <v>16663</v>
      </c>
      <c r="V1671" s="5" t="s">
        <v>16663</v>
      </c>
      <c r="W1671" s="5" t="s">
        <v>67</v>
      </c>
      <c r="X1671" s="5" t="s">
        <v>67</v>
      </c>
      <c r="Y1671" s="4">
        <v>49</v>
      </c>
      <c r="Z1671" s="4">
        <v>2</v>
      </c>
      <c r="AA1671" s="4">
        <v>24</v>
      </c>
      <c r="AB1671" s="4">
        <v>1</v>
      </c>
      <c r="AC1671" s="4">
        <v>7</v>
      </c>
      <c r="AD1671" s="4">
        <v>17</v>
      </c>
      <c r="AE1671" s="4">
        <v>70</v>
      </c>
      <c r="AF1671" s="4">
        <v>0</v>
      </c>
      <c r="AG1671" s="4">
        <v>3</v>
      </c>
      <c r="AH1671" s="4">
        <v>17</v>
      </c>
      <c r="AI1671" s="4">
        <v>57</v>
      </c>
      <c r="AJ1671" s="4">
        <v>1</v>
      </c>
      <c r="AK1671" s="4">
        <v>16</v>
      </c>
      <c r="AL1671" s="4">
        <v>11</v>
      </c>
      <c r="AM1671" s="4">
        <v>32</v>
      </c>
      <c r="AN1671" s="4">
        <v>0</v>
      </c>
      <c r="AO1671" s="4">
        <v>0</v>
      </c>
      <c r="AP1671" s="4">
        <v>1</v>
      </c>
      <c r="AQ1671" s="4">
        <v>18</v>
      </c>
      <c r="AR1671" s="3" t="s">
        <v>62</v>
      </c>
      <c r="AS1671" s="3" t="s">
        <v>62</v>
      </c>
      <c r="AT1671" s="3" t="s">
        <v>62</v>
      </c>
      <c r="AV1671" s="6" t="str">
        <f>HYPERLINK("http://mcgill.on.worldcat.org/oclc/557704189","Catalog Record")</f>
        <v>Catalog Record</v>
      </c>
      <c r="AW1671" s="6" t="str">
        <f>HYPERLINK("http://www.worldcat.org/oclc/557704189","WorldCat Record")</f>
        <v>WorldCat Record</v>
      </c>
      <c r="AX1671" s="3" t="s">
        <v>16664</v>
      </c>
      <c r="AY1671" s="3" t="s">
        <v>16665</v>
      </c>
      <c r="AZ1671" s="3" t="s">
        <v>16666</v>
      </c>
      <c r="BA1671" s="3" t="s">
        <v>16666</v>
      </c>
      <c r="BB1671" s="3" t="s">
        <v>16667</v>
      </c>
      <c r="BC1671" s="3" t="s">
        <v>102</v>
      </c>
      <c r="BD1671" s="3" t="s">
        <v>68</v>
      </c>
      <c r="BE1671" s="3" t="s">
        <v>16668</v>
      </c>
      <c r="BF1671" s="3" t="s">
        <v>16667</v>
      </c>
      <c r="BG1671" s="3" t="s">
        <v>16669</v>
      </c>
    </row>
    <row r="1672" spans="1:59" ht="58" x14ac:dyDescent="0.35">
      <c r="A1672" s="2" t="s">
        <v>89</v>
      </c>
      <c r="B1672" s="2" t="s">
        <v>90</v>
      </c>
      <c r="C1672" s="2" t="s">
        <v>16670</v>
      </c>
      <c r="D1672" s="2" t="s">
        <v>16671</v>
      </c>
      <c r="E1672" s="2" t="s">
        <v>16672</v>
      </c>
      <c r="G1672" s="3" t="s">
        <v>62</v>
      </c>
      <c r="I1672" s="3" t="s">
        <v>62</v>
      </c>
      <c r="J1672" s="3" t="s">
        <v>62</v>
      </c>
      <c r="K1672" s="3" t="s">
        <v>63</v>
      </c>
      <c r="L1672" s="2" t="s">
        <v>16673</v>
      </c>
      <c r="M1672" s="2" t="s">
        <v>16674</v>
      </c>
      <c r="N1672" s="3" t="s">
        <v>1482</v>
      </c>
      <c r="P1672" s="3" t="s">
        <v>64</v>
      </c>
      <c r="Q1672" s="2" t="s">
        <v>10499</v>
      </c>
      <c r="R1672" s="3" t="s">
        <v>13065</v>
      </c>
      <c r="S1672" s="4">
        <v>338</v>
      </c>
      <c r="T1672" s="4">
        <v>338</v>
      </c>
      <c r="U1672" s="5" t="s">
        <v>16675</v>
      </c>
      <c r="V1672" s="5" t="s">
        <v>16675</v>
      </c>
      <c r="W1672" s="5" t="s">
        <v>67</v>
      </c>
      <c r="X1672" s="5" t="s">
        <v>67</v>
      </c>
      <c r="Y1672" s="4">
        <v>500</v>
      </c>
      <c r="Z1672" s="4">
        <v>30</v>
      </c>
      <c r="AA1672" s="4">
        <v>33</v>
      </c>
      <c r="AB1672" s="4">
        <v>3</v>
      </c>
      <c r="AC1672" s="4">
        <v>6</v>
      </c>
      <c r="AD1672" s="4">
        <v>105</v>
      </c>
      <c r="AE1672" s="4">
        <v>108</v>
      </c>
      <c r="AF1672" s="4">
        <v>1</v>
      </c>
      <c r="AG1672" s="4">
        <v>4</v>
      </c>
      <c r="AH1672" s="4">
        <v>87</v>
      </c>
      <c r="AI1672" s="4">
        <v>88</v>
      </c>
      <c r="AJ1672" s="4">
        <v>21</v>
      </c>
      <c r="AK1672" s="4">
        <v>24</v>
      </c>
      <c r="AL1672" s="4">
        <v>45</v>
      </c>
      <c r="AM1672" s="4">
        <v>45</v>
      </c>
      <c r="AN1672" s="4">
        <v>0</v>
      </c>
      <c r="AO1672" s="4">
        <v>0</v>
      </c>
      <c r="AP1672" s="4">
        <v>22</v>
      </c>
      <c r="AQ1672" s="4">
        <v>24</v>
      </c>
      <c r="AR1672" s="3" t="s">
        <v>62</v>
      </c>
      <c r="AS1672" s="3" t="s">
        <v>62</v>
      </c>
      <c r="AT1672" s="3" t="s">
        <v>61</v>
      </c>
      <c r="AU1672" s="6" t="str">
        <f>HYPERLINK("http://catalog.hathitrust.org/Record/000590044","HathiTrust Record")</f>
        <v>HathiTrust Record</v>
      </c>
      <c r="AV1672" s="6" t="str">
        <f>HYPERLINK("http://mcgill.on.worldcat.org/oclc/12806981","Catalog Record")</f>
        <v>Catalog Record</v>
      </c>
      <c r="AW1672" s="6" t="str">
        <f>HYPERLINK("http://www.worldcat.org/oclc/12806981","WorldCat Record")</f>
        <v>WorldCat Record</v>
      </c>
      <c r="AX1672" s="3" t="s">
        <v>16676</v>
      </c>
      <c r="AY1672" s="3" t="s">
        <v>16677</v>
      </c>
      <c r="AZ1672" s="3" t="s">
        <v>16678</v>
      </c>
      <c r="BA1672" s="3" t="s">
        <v>16678</v>
      </c>
      <c r="BB1672" s="3" t="s">
        <v>16679</v>
      </c>
      <c r="BC1672" s="3" t="s">
        <v>102</v>
      </c>
      <c r="BD1672" s="3" t="s">
        <v>68</v>
      </c>
      <c r="BE1672" s="3" t="s">
        <v>16680</v>
      </c>
      <c r="BF1672" s="3" t="s">
        <v>16679</v>
      </c>
      <c r="BG1672" s="3" t="s">
        <v>16681</v>
      </c>
    </row>
    <row r="1673" spans="1:59" ht="58" x14ac:dyDescent="0.35">
      <c r="A1673" s="2" t="s">
        <v>89</v>
      </c>
      <c r="B1673" s="2" t="s">
        <v>90</v>
      </c>
      <c r="C1673" s="2" t="s">
        <v>16682</v>
      </c>
      <c r="D1673" s="2" t="s">
        <v>16683</v>
      </c>
      <c r="E1673" s="2" t="s">
        <v>16684</v>
      </c>
      <c r="G1673" s="3" t="s">
        <v>62</v>
      </c>
      <c r="I1673" s="3" t="s">
        <v>62</v>
      </c>
      <c r="J1673" s="3" t="s">
        <v>62</v>
      </c>
      <c r="K1673" s="3" t="s">
        <v>63</v>
      </c>
      <c r="L1673" s="2" t="s">
        <v>16685</v>
      </c>
      <c r="M1673" s="2" t="s">
        <v>16686</v>
      </c>
      <c r="N1673" s="3" t="s">
        <v>2000</v>
      </c>
      <c r="P1673" s="3" t="s">
        <v>64</v>
      </c>
      <c r="R1673" s="3" t="s">
        <v>13065</v>
      </c>
      <c r="S1673" s="4">
        <v>10</v>
      </c>
      <c r="T1673" s="4">
        <v>10</v>
      </c>
      <c r="U1673" s="5" t="s">
        <v>3749</v>
      </c>
      <c r="V1673" s="5" t="s">
        <v>3749</v>
      </c>
      <c r="W1673" s="5" t="s">
        <v>67</v>
      </c>
      <c r="X1673" s="5" t="s">
        <v>67</v>
      </c>
      <c r="Y1673" s="4">
        <v>449</v>
      </c>
      <c r="Z1673" s="4">
        <v>22</v>
      </c>
      <c r="AA1673" s="4">
        <v>24</v>
      </c>
      <c r="AB1673" s="4">
        <v>2</v>
      </c>
      <c r="AC1673" s="4">
        <v>4</v>
      </c>
      <c r="AD1673" s="4">
        <v>79</v>
      </c>
      <c r="AE1673" s="4">
        <v>81</v>
      </c>
      <c r="AF1673" s="4">
        <v>1</v>
      </c>
      <c r="AG1673" s="4">
        <v>3</v>
      </c>
      <c r="AH1673" s="4">
        <v>67</v>
      </c>
      <c r="AI1673" s="4">
        <v>68</v>
      </c>
      <c r="AJ1673" s="4">
        <v>10</v>
      </c>
      <c r="AK1673" s="4">
        <v>12</v>
      </c>
      <c r="AL1673" s="4">
        <v>35</v>
      </c>
      <c r="AM1673" s="4">
        <v>35</v>
      </c>
      <c r="AN1673" s="4">
        <v>0</v>
      </c>
      <c r="AO1673" s="4">
        <v>0</v>
      </c>
      <c r="AP1673" s="4">
        <v>14</v>
      </c>
      <c r="AQ1673" s="4">
        <v>15</v>
      </c>
      <c r="AR1673" s="3" t="s">
        <v>62</v>
      </c>
      <c r="AS1673" s="3" t="s">
        <v>62</v>
      </c>
      <c r="AT1673" s="3" t="s">
        <v>61</v>
      </c>
      <c r="AU1673" s="6" t="str">
        <f>HYPERLINK("http://catalog.hathitrust.org/Record/003108138","HathiTrust Record")</f>
        <v>HathiTrust Record</v>
      </c>
      <c r="AV1673" s="6" t="str">
        <f>HYPERLINK("http://mcgill.on.worldcat.org/oclc/34029785","Catalog Record")</f>
        <v>Catalog Record</v>
      </c>
      <c r="AW1673" s="6" t="str">
        <f>HYPERLINK("http://www.worldcat.org/oclc/34029785","WorldCat Record")</f>
        <v>WorldCat Record</v>
      </c>
      <c r="AX1673" s="3" t="s">
        <v>16687</v>
      </c>
      <c r="AY1673" s="3" t="s">
        <v>16688</v>
      </c>
      <c r="AZ1673" s="3" t="s">
        <v>16689</v>
      </c>
      <c r="BA1673" s="3" t="s">
        <v>16689</v>
      </c>
      <c r="BB1673" s="3" t="s">
        <v>16690</v>
      </c>
      <c r="BC1673" s="3" t="s">
        <v>102</v>
      </c>
      <c r="BD1673" s="3" t="s">
        <v>68</v>
      </c>
      <c r="BE1673" s="3" t="s">
        <v>16691</v>
      </c>
      <c r="BF1673" s="3" t="s">
        <v>16690</v>
      </c>
      <c r="BG1673" s="3" t="s">
        <v>16692</v>
      </c>
    </row>
    <row r="1674" spans="1:59" ht="58" x14ac:dyDescent="0.35">
      <c r="A1674" s="2" t="s">
        <v>89</v>
      </c>
      <c r="B1674" s="2" t="s">
        <v>90</v>
      </c>
      <c r="C1674" s="2" t="s">
        <v>16693</v>
      </c>
      <c r="D1674" s="2" t="s">
        <v>16694</v>
      </c>
      <c r="E1674" s="2" t="s">
        <v>16695</v>
      </c>
      <c r="G1674" s="3" t="s">
        <v>62</v>
      </c>
      <c r="I1674" s="3" t="s">
        <v>61</v>
      </c>
      <c r="J1674" s="3" t="s">
        <v>62</v>
      </c>
      <c r="K1674" s="3" t="s">
        <v>63</v>
      </c>
      <c r="L1674" s="2" t="s">
        <v>16696</v>
      </c>
      <c r="M1674" s="2" t="s">
        <v>16697</v>
      </c>
      <c r="N1674" s="3" t="s">
        <v>2985</v>
      </c>
      <c r="P1674" s="3" t="s">
        <v>64</v>
      </c>
      <c r="R1674" s="3" t="s">
        <v>13065</v>
      </c>
      <c r="S1674" s="4">
        <v>34</v>
      </c>
      <c r="T1674" s="4">
        <v>61</v>
      </c>
      <c r="U1674" s="5" t="s">
        <v>15386</v>
      </c>
      <c r="V1674" s="5" t="s">
        <v>2729</v>
      </c>
      <c r="W1674" s="5" t="s">
        <v>67</v>
      </c>
      <c r="X1674" s="5" t="s">
        <v>67</v>
      </c>
      <c r="Y1674" s="4">
        <v>97</v>
      </c>
      <c r="Z1674" s="4">
        <v>13</v>
      </c>
      <c r="AA1674" s="4">
        <v>13</v>
      </c>
      <c r="AB1674" s="4">
        <v>2</v>
      </c>
      <c r="AC1674" s="4">
        <v>2</v>
      </c>
      <c r="AD1674" s="4">
        <v>15</v>
      </c>
      <c r="AE1674" s="4">
        <v>15</v>
      </c>
      <c r="AF1674" s="4">
        <v>1</v>
      </c>
      <c r="AG1674" s="4">
        <v>1</v>
      </c>
      <c r="AH1674" s="4">
        <v>10</v>
      </c>
      <c r="AI1674" s="4">
        <v>10</v>
      </c>
      <c r="AJ1674" s="4">
        <v>7</v>
      </c>
      <c r="AK1674" s="4">
        <v>7</v>
      </c>
      <c r="AL1674" s="4">
        <v>4</v>
      </c>
      <c r="AM1674" s="4">
        <v>4</v>
      </c>
      <c r="AN1674" s="4">
        <v>0</v>
      </c>
      <c r="AO1674" s="4">
        <v>0</v>
      </c>
      <c r="AP1674" s="4">
        <v>10</v>
      </c>
      <c r="AQ1674" s="4">
        <v>10</v>
      </c>
      <c r="AR1674" s="3" t="s">
        <v>62</v>
      </c>
      <c r="AS1674" s="3" t="s">
        <v>62</v>
      </c>
      <c r="AT1674" s="3" t="s">
        <v>61</v>
      </c>
      <c r="AU1674" s="6" t="str">
        <f>HYPERLINK("http://catalog.hathitrust.org/Record/009325109","HathiTrust Record")</f>
        <v>HathiTrust Record</v>
      </c>
      <c r="AV1674" s="6" t="str">
        <f>HYPERLINK("http://mcgill.on.worldcat.org/oclc/148790399","Catalog Record")</f>
        <v>Catalog Record</v>
      </c>
      <c r="AW1674" s="6" t="str">
        <f>HYPERLINK("http://www.worldcat.org/oclc/148790399","WorldCat Record")</f>
        <v>WorldCat Record</v>
      </c>
      <c r="AX1674" s="3" t="s">
        <v>16698</v>
      </c>
      <c r="AY1674" s="3" t="s">
        <v>16699</v>
      </c>
      <c r="AZ1674" s="3" t="s">
        <v>16700</v>
      </c>
      <c r="BA1674" s="3" t="s">
        <v>16700</v>
      </c>
      <c r="BB1674" s="3" t="s">
        <v>16701</v>
      </c>
      <c r="BC1674" s="3" t="s">
        <v>102</v>
      </c>
      <c r="BD1674" s="3" t="s">
        <v>68</v>
      </c>
      <c r="BE1674" s="3" t="s">
        <v>16702</v>
      </c>
      <c r="BF1674" s="3" t="s">
        <v>16701</v>
      </c>
      <c r="BG1674" s="3" t="s">
        <v>16703</v>
      </c>
    </row>
    <row r="1675" spans="1:59" ht="58" x14ac:dyDescent="0.35">
      <c r="A1675" s="2" t="s">
        <v>89</v>
      </c>
      <c r="B1675" s="2" t="s">
        <v>90</v>
      </c>
      <c r="C1675" s="2" t="s">
        <v>16693</v>
      </c>
      <c r="D1675" s="2" t="s">
        <v>16694</v>
      </c>
      <c r="E1675" s="2" t="s">
        <v>16695</v>
      </c>
      <c r="G1675" s="3" t="s">
        <v>62</v>
      </c>
      <c r="I1675" s="3" t="s">
        <v>61</v>
      </c>
      <c r="J1675" s="3" t="s">
        <v>62</v>
      </c>
      <c r="K1675" s="3" t="s">
        <v>63</v>
      </c>
      <c r="L1675" s="2" t="s">
        <v>16696</v>
      </c>
      <c r="M1675" s="2" t="s">
        <v>16697</v>
      </c>
      <c r="N1675" s="3" t="s">
        <v>2985</v>
      </c>
      <c r="P1675" s="3" t="s">
        <v>64</v>
      </c>
      <c r="R1675" s="3" t="s">
        <v>13065</v>
      </c>
      <c r="S1675" s="4">
        <v>27</v>
      </c>
      <c r="T1675" s="4">
        <v>61</v>
      </c>
      <c r="U1675" s="5" t="s">
        <v>2729</v>
      </c>
      <c r="V1675" s="5" t="s">
        <v>2729</v>
      </c>
      <c r="W1675" s="5" t="s">
        <v>67</v>
      </c>
      <c r="X1675" s="5" t="s">
        <v>67</v>
      </c>
      <c r="Y1675" s="4">
        <v>97</v>
      </c>
      <c r="Z1675" s="4">
        <v>13</v>
      </c>
      <c r="AA1675" s="4">
        <v>13</v>
      </c>
      <c r="AB1675" s="4">
        <v>2</v>
      </c>
      <c r="AC1675" s="4">
        <v>2</v>
      </c>
      <c r="AD1675" s="4">
        <v>15</v>
      </c>
      <c r="AE1675" s="4">
        <v>15</v>
      </c>
      <c r="AF1675" s="4">
        <v>1</v>
      </c>
      <c r="AG1675" s="4">
        <v>1</v>
      </c>
      <c r="AH1675" s="4">
        <v>10</v>
      </c>
      <c r="AI1675" s="4">
        <v>10</v>
      </c>
      <c r="AJ1675" s="4">
        <v>7</v>
      </c>
      <c r="AK1675" s="4">
        <v>7</v>
      </c>
      <c r="AL1675" s="4">
        <v>4</v>
      </c>
      <c r="AM1675" s="4">
        <v>4</v>
      </c>
      <c r="AN1675" s="4">
        <v>0</v>
      </c>
      <c r="AO1675" s="4">
        <v>0</v>
      </c>
      <c r="AP1675" s="4">
        <v>10</v>
      </c>
      <c r="AQ1675" s="4">
        <v>10</v>
      </c>
      <c r="AR1675" s="3" t="s">
        <v>62</v>
      </c>
      <c r="AS1675" s="3" t="s">
        <v>62</v>
      </c>
      <c r="AT1675" s="3" t="s">
        <v>61</v>
      </c>
      <c r="AU1675" s="6" t="str">
        <f>HYPERLINK("http://catalog.hathitrust.org/Record/009325109","HathiTrust Record")</f>
        <v>HathiTrust Record</v>
      </c>
      <c r="AV1675" s="6" t="str">
        <f>HYPERLINK("http://mcgill.on.worldcat.org/oclc/148790399","Catalog Record")</f>
        <v>Catalog Record</v>
      </c>
      <c r="AW1675" s="6" t="str">
        <f>HYPERLINK("http://www.worldcat.org/oclc/148790399","WorldCat Record")</f>
        <v>WorldCat Record</v>
      </c>
      <c r="AX1675" s="3" t="s">
        <v>16698</v>
      </c>
      <c r="AY1675" s="3" t="s">
        <v>16699</v>
      </c>
      <c r="AZ1675" s="3" t="s">
        <v>16700</v>
      </c>
      <c r="BA1675" s="3" t="s">
        <v>16700</v>
      </c>
      <c r="BB1675" s="3" t="s">
        <v>16704</v>
      </c>
      <c r="BC1675" s="3" t="s">
        <v>102</v>
      </c>
      <c r="BD1675" s="3" t="s">
        <v>68</v>
      </c>
      <c r="BE1675" s="3" t="s">
        <v>16702</v>
      </c>
      <c r="BF1675" s="3" t="s">
        <v>16704</v>
      </c>
      <c r="BG1675" s="3" t="s">
        <v>16705</v>
      </c>
    </row>
    <row r="1676" spans="1:59" ht="58" x14ac:dyDescent="0.35">
      <c r="A1676" s="2" t="s">
        <v>89</v>
      </c>
      <c r="B1676" s="2" t="s">
        <v>90</v>
      </c>
      <c r="C1676" s="2" t="s">
        <v>16706</v>
      </c>
      <c r="D1676" s="2" t="s">
        <v>16707</v>
      </c>
      <c r="E1676" s="2" t="s">
        <v>16708</v>
      </c>
      <c r="G1676" s="3" t="s">
        <v>62</v>
      </c>
      <c r="I1676" s="3" t="s">
        <v>62</v>
      </c>
      <c r="J1676" s="3" t="s">
        <v>62</v>
      </c>
      <c r="K1676" s="3" t="s">
        <v>63</v>
      </c>
      <c r="M1676" s="2" t="s">
        <v>16709</v>
      </c>
      <c r="N1676" s="3" t="s">
        <v>2000</v>
      </c>
      <c r="P1676" s="3" t="s">
        <v>64</v>
      </c>
      <c r="Q1676" s="2" t="s">
        <v>16710</v>
      </c>
      <c r="R1676" s="3" t="s">
        <v>13065</v>
      </c>
      <c r="S1676" s="4">
        <v>7</v>
      </c>
      <c r="T1676" s="4">
        <v>7</v>
      </c>
      <c r="U1676" s="5" t="s">
        <v>2808</v>
      </c>
      <c r="V1676" s="5" t="s">
        <v>2808</v>
      </c>
      <c r="W1676" s="5" t="s">
        <v>67</v>
      </c>
      <c r="X1676" s="5" t="s">
        <v>67</v>
      </c>
      <c r="Y1676" s="4">
        <v>113</v>
      </c>
      <c r="Z1676" s="4">
        <v>8</v>
      </c>
      <c r="AA1676" s="4">
        <v>10</v>
      </c>
      <c r="AB1676" s="4">
        <v>2</v>
      </c>
      <c r="AC1676" s="4">
        <v>4</v>
      </c>
      <c r="AD1676" s="4">
        <v>34</v>
      </c>
      <c r="AE1676" s="4">
        <v>36</v>
      </c>
      <c r="AF1676" s="4">
        <v>1</v>
      </c>
      <c r="AG1676" s="4">
        <v>3</v>
      </c>
      <c r="AH1676" s="4">
        <v>30</v>
      </c>
      <c r="AI1676" s="4">
        <v>31</v>
      </c>
      <c r="AJ1676" s="4">
        <v>6</v>
      </c>
      <c r="AK1676" s="4">
        <v>8</v>
      </c>
      <c r="AL1676" s="4">
        <v>17</v>
      </c>
      <c r="AM1676" s="4">
        <v>17</v>
      </c>
      <c r="AN1676" s="4">
        <v>0</v>
      </c>
      <c r="AO1676" s="4">
        <v>0</v>
      </c>
      <c r="AP1676" s="4">
        <v>6</v>
      </c>
      <c r="AQ1676" s="4">
        <v>7</v>
      </c>
      <c r="AR1676" s="3" t="s">
        <v>62</v>
      </c>
      <c r="AS1676" s="3" t="s">
        <v>62</v>
      </c>
      <c r="AT1676" s="3" t="s">
        <v>61</v>
      </c>
      <c r="AU1676" s="6" t="str">
        <f>HYPERLINK("http://catalog.hathitrust.org/Record/003089532","HathiTrust Record")</f>
        <v>HathiTrust Record</v>
      </c>
      <c r="AV1676" s="6" t="str">
        <f>HYPERLINK("http://mcgill.on.worldcat.org/oclc/35648057","Catalog Record")</f>
        <v>Catalog Record</v>
      </c>
      <c r="AW1676" s="6" t="str">
        <f>HYPERLINK("http://www.worldcat.org/oclc/35648057","WorldCat Record")</f>
        <v>WorldCat Record</v>
      </c>
      <c r="AX1676" s="3" t="s">
        <v>16711</v>
      </c>
      <c r="AY1676" s="3" t="s">
        <v>16712</v>
      </c>
      <c r="AZ1676" s="3" t="s">
        <v>16713</v>
      </c>
      <c r="BA1676" s="3" t="s">
        <v>16713</v>
      </c>
      <c r="BB1676" s="3" t="s">
        <v>16714</v>
      </c>
      <c r="BC1676" s="3" t="s">
        <v>102</v>
      </c>
      <c r="BD1676" s="3" t="s">
        <v>68</v>
      </c>
      <c r="BE1676" s="3" t="s">
        <v>16715</v>
      </c>
      <c r="BF1676" s="3" t="s">
        <v>16714</v>
      </c>
      <c r="BG1676" s="3" t="s">
        <v>16716</v>
      </c>
    </row>
    <row r="1677" spans="1:59" ht="58" x14ac:dyDescent="0.35">
      <c r="A1677" s="2" t="s">
        <v>89</v>
      </c>
      <c r="B1677" s="2" t="s">
        <v>90</v>
      </c>
      <c r="C1677" s="2" t="s">
        <v>16717</v>
      </c>
      <c r="D1677" s="2" t="s">
        <v>16718</v>
      </c>
      <c r="E1677" s="2" t="s">
        <v>16719</v>
      </c>
      <c r="G1677" s="3" t="s">
        <v>62</v>
      </c>
      <c r="I1677" s="3" t="s">
        <v>62</v>
      </c>
      <c r="J1677" s="3" t="s">
        <v>62</v>
      </c>
      <c r="K1677" s="3" t="s">
        <v>63</v>
      </c>
      <c r="M1677" s="2" t="s">
        <v>12282</v>
      </c>
      <c r="N1677" s="3" t="s">
        <v>698</v>
      </c>
      <c r="P1677" s="3" t="s">
        <v>64</v>
      </c>
      <c r="R1677" s="3" t="s">
        <v>13065</v>
      </c>
      <c r="S1677" s="4">
        <v>0</v>
      </c>
      <c r="T1677" s="4">
        <v>0</v>
      </c>
      <c r="W1677" s="5" t="s">
        <v>67</v>
      </c>
      <c r="X1677" s="5" t="s">
        <v>67</v>
      </c>
      <c r="Y1677" s="4">
        <v>42</v>
      </c>
      <c r="Z1677" s="4">
        <v>4</v>
      </c>
      <c r="AA1677" s="4">
        <v>10</v>
      </c>
      <c r="AB1677" s="4">
        <v>1</v>
      </c>
      <c r="AC1677" s="4">
        <v>3</v>
      </c>
      <c r="AD1677" s="4">
        <v>15</v>
      </c>
      <c r="AE1677" s="4">
        <v>21</v>
      </c>
      <c r="AF1677" s="4">
        <v>0</v>
      </c>
      <c r="AG1677" s="4">
        <v>0</v>
      </c>
      <c r="AH1677" s="4">
        <v>13</v>
      </c>
      <c r="AI1677" s="4">
        <v>16</v>
      </c>
      <c r="AJ1677" s="4">
        <v>3</v>
      </c>
      <c r="AK1677" s="4">
        <v>4</v>
      </c>
      <c r="AL1677" s="4">
        <v>9</v>
      </c>
      <c r="AM1677" s="4">
        <v>12</v>
      </c>
      <c r="AN1677" s="4">
        <v>0</v>
      </c>
      <c r="AO1677" s="4">
        <v>0</v>
      </c>
      <c r="AP1677" s="4">
        <v>3</v>
      </c>
      <c r="AQ1677" s="4">
        <v>6</v>
      </c>
      <c r="AR1677" s="3" t="s">
        <v>62</v>
      </c>
      <c r="AS1677" s="3" t="s">
        <v>62</v>
      </c>
      <c r="AT1677" s="3" t="s">
        <v>62</v>
      </c>
      <c r="AV1677" s="6" t="str">
        <f>HYPERLINK("http://mcgill.on.worldcat.org/oclc/743298837","Catalog Record")</f>
        <v>Catalog Record</v>
      </c>
      <c r="AW1677" s="6" t="str">
        <f>HYPERLINK("http://www.worldcat.org/oclc/743298837","WorldCat Record")</f>
        <v>WorldCat Record</v>
      </c>
      <c r="AX1677" s="3" t="s">
        <v>16720</v>
      </c>
      <c r="AY1677" s="3" t="s">
        <v>16721</v>
      </c>
      <c r="AZ1677" s="3" t="s">
        <v>16722</v>
      </c>
      <c r="BA1677" s="3" t="s">
        <v>16722</v>
      </c>
      <c r="BB1677" s="3" t="s">
        <v>16723</v>
      </c>
      <c r="BC1677" s="3" t="s">
        <v>102</v>
      </c>
      <c r="BD1677" s="3" t="s">
        <v>68</v>
      </c>
      <c r="BE1677" s="3" t="s">
        <v>16724</v>
      </c>
      <c r="BF1677" s="3" t="s">
        <v>16723</v>
      </c>
      <c r="BG1677" s="3" t="s">
        <v>16725</v>
      </c>
    </row>
    <row r="1678" spans="1:59" ht="58" x14ac:dyDescent="0.35">
      <c r="A1678" s="2" t="s">
        <v>89</v>
      </c>
      <c r="B1678" s="2" t="s">
        <v>90</v>
      </c>
      <c r="C1678" s="2" t="s">
        <v>16726</v>
      </c>
      <c r="D1678" s="2" t="s">
        <v>16727</v>
      </c>
      <c r="E1678" s="2" t="s">
        <v>16728</v>
      </c>
      <c r="G1678" s="3" t="s">
        <v>62</v>
      </c>
      <c r="I1678" s="3" t="s">
        <v>61</v>
      </c>
      <c r="J1678" s="3" t="s">
        <v>62</v>
      </c>
      <c r="K1678" s="3" t="s">
        <v>63</v>
      </c>
      <c r="L1678" s="2" t="s">
        <v>16729</v>
      </c>
      <c r="M1678" s="2" t="s">
        <v>16730</v>
      </c>
      <c r="N1678" s="3" t="s">
        <v>640</v>
      </c>
      <c r="P1678" s="3" t="s">
        <v>64</v>
      </c>
      <c r="R1678" s="3" t="s">
        <v>13065</v>
      </c>
      <c r="S1678" s="4">
        <v>25</v>
      </c>
      <c r="T1678" s="4">
        <v>53</v>
      </c>
      <c r="U1678" s="5" t="s">
        <v>10139</v>
      </c>
      <c r="V1678" s="5" t="s">
        <v>4211</v>
      </c>
      <c r="W1678" s="5" t="s">
        <v>67</v>
      </c>
      <c r="X1678" s="5" t="s">
        <v>67</v>
      </c>
      <c r="Y1678" s="4">
        <v>193</v>
      </c>
      <c r="Z1678" s="4">
        <v>19</v>
      </c>
      <c r="AA1678" s="4">
        <v>45</v>
      </c>
      <c r="AB1678" s="4">
        <v>1</v>
      </c>
      <c r="AC1678" s="4">
        <v>10</v>
      </c>
      <c r="AD1678" s="4">
        <v>36</v>
      </c>
      <c r="AE1678" s="4">
        <v>97</v>
      </c>
      <c r="AF1678" s="4">
        <v>0</v>
      </c>
      <c r="AG1678" s="4">
        <v>6</v>
      </c>
      <c r="AH1678" s="4">
        <v>26</v>
      </c>
      <c r="AI1678" s="4">
        <v>70</v>
      </c>
      <c r="AJ1678" s="4">
        <v>10</v>
      </c>
      <c r="AK1678" s="4">
        <v>20</v>
      </c>
      <c r="AL1678" s="4">
        <v>9</v>
      </c>
      <c r="AM1678" s="4">
        <v>34</v>
      </c>
      <c r="AN1678" s="4">
        <v>0</v>
      </c>
      <c r="AO1678" s="4">
        <v>0</v>
      </c>
      <c r="AP1678" s="4">
        <v>14</v>
      </c>
      <c r="AQ1678" s="4">
        <v>36</v>
      </c>
      <c r="AR1678" s="3" t="s">
        <v>62</v>
      </c>
      <c r="AS1678" s="3" t="s">
        <v>62</v>
      </c>
      <c r="AT1678" s="3" t="s">
        <v>61</v>
      </c>
      <c r="AU1678" s="6" t="str">
        <f>HYPERLINK("http://catalog.hathitrust.org/Record/004368919","HathiTrust Record")</f>
        <v>HathiTrust Record</v>
      </c>
      <c r="AV1678" s="6" t="str">
        <f>HYPERLINK("http://mcgill.on.worldcat.org/oclc/52486445","Catalog Record")</f>
        <v>Catalog Record</v>
      </c>
      <c r="AW1678" s="6" t="str">
        <f>HYPERLINK("http://www.worldcat.org/oclc/52486445","WorldCat Record")</f>
        <v>WorldCat Record</v>
      </c>
      <c r="AX1678" s="3" t="s">
        <v>16731</v>
      </c>
      <c r="AY1678" s="3" t="s">
        <v>16732</v>
      </c>
      <c r="AZ1678" s="3" t="s">
        <v>16733</v>
      </c>
      <c r="BA1678" s="3" t="s">
        <v>16733</v>
      </c>
      <c r="BB1678" s="3" t="s">
        <v>16734</v>
      </c>
      <c r="BC1678" s="3" t="s">
        <v>102</v>
      </c>
      <c r="BD1678" s="3" t="s">
        <v>68</v>
      </c>
      <c r="BE1678" s="3" t="s">
        <v>16735</v>
      </c>
      <c r="BF1678" s="3" t="s">
        <v>16734</v>
      </c>
      <c r="BG1678" s="3" t="s">
        <v>16736</v>
      </c>
    </row>
    <row r="1679" spans="1:59" ht="58" x14ac:dyDescent="0.35">
      <c r="A1679" s="2" t="s">
        <v>89</v>
      </c>
      <c r="B1679" s="2" t="s">
        <v>90</v>
      </c>
      <c r="C1679" s="2" t="s">
        <v>16726</v>
      </c>
      <c r="D1679" s="2" t="s">
        <v>16727</v>
      </c>
      <c r="E1679" s="2" t="s">
        <v>16728</v>
      </c>
      <c r="G1679" s="3" t="s">
        <v>62</v>
      </c>
      <c r="I1679" s="3" t="s">
        <v>61</v>
      </c>
      <c r="J1679" s="3" t="s">
        <v>62</v>
      </c>
      <c r="K1679" s="3" t="s">
        <v>63</v>
      </c>
      <c r="L1679" s="2" t="s">
        <v>16729</v>
      </c>
      <c r="M1679" s="2" t="s">
        <v>16730</v>
      </c>
      <c r="N1679" s="3" t="s">
        <v>640</v>
      </c>
      <c r="P1679" s="3" t="s">
        <v>64</v>
      </c>
      <c r="R1679" s="3" t="s">
        <v>13065</v>
      </c>
      <c r="S1679" s="4">
        <v>28</v>
      </c>
      <c r="T1679" s="4">
        <v>53</v>
      </c>
      <c r="U1679" s="5" t="s">
        <v>4211</v>
      </c>
      <c r="V1679" s="5" t="s">
        <v>4211</v>
      </c>
      <c r="W1679" s="5" t="s">
        <v>67</v>
      </c>
      <c r="X1679" s="5" t="s">
        <v>67</v>
      </c>
      <c r="Y1679" s="4">
        <v>193</v>
      </c>
      <c r="Z1679" s="4">
        <v>19</v>
      </c>
      <c r="AA1679" s="4">
        <v>45</v>
      </c>
      <c r="AB1679" s="4">
        <v>1</v>
      </c>
      <c r="AC1679" s="4">
        <v>10</v>
      </c>
      <c r="AD1679" s="4">
        <v>36</v>
      </c>
      <c r="AE1679" s="4">
        <v>97</v>
      </c>
      <c r="AF1679" s="4">
        <v>0</v>
      </c>
      <c r="AG1679" s="4">
        <v>6</v>
      </c>
      <c r="AH1679" s="4">
        <v>26</v>
      </c>
      <c r="AI1679" s="4">
        <v>70</v>
      </c>
      <c r="AJ1679" s="4">
        <v>10</v>
      </c>
      <c r="AK1679" s="4">
        <v>20</v>
      </c>
      <c r="AL1679" s="4">
        <v>9</v>
      </c>
      <c r="AM1679" s="4">
        <v>34</v>
      </c>
      <c r="AN1679" s="4">
        <v>0</v>
      </c>
      <c r="AO1679" s="4">
        <v>0</v>
      </c>
      <c r="AP1679" s="4">
        <v>14</v>
      </c>
      <c r="AQ1679" s="4">
        <v>36</v>
      </c>
      <c r="AR1679" s="3" t="s">
        <v>62</v>
      </c>
      <c r="AS1679" s="3" t="s">
        <v>62</v>
      </c>
      <c r="AT1679" s="3" t="s">
        <v>61</v>
      </c>
      <c r="AU1679" s="6" t="str">
        <f>HYPERLINK("http://catalog.hathitrust.org/Record/004368919","HathiTrust Record")</f>
        <v>HathiTrust Record</v>
      </c>
      <c r="AV1679" s="6" t="str">
        <f>HYPERLINK("http://mcgill.on.worldcat.org/oclc/52486445","Catalog Record")</f>
        <v>Catalog Record</v>
      </c>
      <c r="AW1679" s="6" t="str">
        <f>HYPERLINK("http://www.worldcat.org/oclc/52486445","WorldCat Record")</f>
        <v>WorldCat Record</v>
      </c>
      <c r="AX1679" s="3" t="s">
        <v>16731</v>
      </c>
      <c r="AY1679" s="3" t="s">
        <v>16732</v>
      </c>
      <c r="AZ1679" s="3" t="s">
        <v>16733</v>
      </c>
      <c r="BA1679" s="3" t="s">
        <v>16733</v>
      </c>
      <c r="BB1679" s="3" t="s">
        <v>16737</v>
      </c>
      <c r="BC1679" s="3" t="s">
        <v>102</v>
      </c>
      <c r="BD1679" s="3" t="s">
        <v>68</v>
      </c>
      <c r="BE1679" s="3" t="s">
        <v>16735</v>
      </c>
      <c r="BF1679" s="3" t="s">
        <v>16737</v>
      </c>
      <c r="BG1679" s="3" t="s">
        <v>16738</v>
      </c>
    </row>
    <row r="1680" spans="1:59" ht="58" x14ac:dyDescent="0.35">
      <c r="A1680" s="2" t="s">
        <v>89</v>
      </c>
      <c r="B1680" s="2" t="s">
        <v>90</v>
      </c>
      <c r="C1680" s="2" t="s">
        <v>16739</v>
      </c>
      <c r="D1680" s="2" t="s">
        <v>16740</v>
      </c>
      <c r="E1680" s="2" t="s">
        <v>16741</v>
      </c>
      <c r="G1680" s="3" t="s">
        <v>62</v>
      </c>
      <c r="I1680" s="3" t="s">
        <v>62</v>
      </c>
      <c r="J1680" s="3" t="s">
        <v>62</v>
      </c>
      <c r="K1680" s="3" t="s">
        <v>63</v>
      </c>
      <c r="M1680" s="2" t="s">
        <v>16742</v>
      </c>
      <c r="N1680" s="3" t="s">
        <v>2975</v>
      </c>
      <c r="O1680" s="2" t="s">
        <v>2163</v>
      </c>
      <c r="P1680" s="3" t="s">
        <v>64</v>
      </c>
      <c r="R1680" s="3" t="s">
        <v>13065</v>
      </c>
      <c r="S1680" s="4">
        <v>18</v>
      </c>
      <c r="T1680" s="4">
        <v>18</v>
      </c>
      <c r="U1680" s="5" t="s">
        <v>14354</v>
      </c>
      <c r="V1680" s="5" t="s">
        <v>14354</v>
      </c>
      <c r="W1680" s="5" t="s">
        <v>67</v>
      </c>
      <c r="X1680" s="5" t="s">
        <v>67</v>
      </c>
      <c r="Y1680" s="4">
        <v>612</v>
      </c>
      <c r="Z1680" s="4">
        <v>31</v>
      </c>
      <c r="AA1680" s="4">
        <v>44</v>
      </c>
      <c r="AB1680" s="4">
        <v>3</v>
      </c>
      <c r="AC1680" s="4">
        <v>7</v>
      </c>
      <c r="AD1680" s="4">
        <v>90</v>
      </c>
      <c r="AE1680" s="4">
        <v>117</v>
      </c>
      <c r="AF1680" s="4">
        <v>1</v>
      </c>
      <c r="AG1680" s="4">
        <v>5</v>
      </c>
      <c r="AH1680" s="4">
        <v>78</v>
      </c>
      <c r="AI1680" s="4">
        <v>96</v>
      </c>
      <c r="AJ1680" s="4">
        <v>10</v>
      </c>
      <c r="AK1680" s="4">
        <v>19</v>
      </c>
      <c r="AL1680" s="4">
        <v>43</v>
      </c>
      <c r="AM1680" s="4">
        <v>52</v>
      </c>
      <c r="AN1680" s="4">
        <v>0</v>
      </c>
      <c r="AO1680" s="4">
        <v>0</v>
      </c>
      <c r="AP1680" s="4">
        <v>17</v>
      </c>
      <c r="AQ1680" s="4">
        <v>27</v>
      </c>
      <c r="AR1680" s="3" t="s">
        <v>62</v>
      </c>
      <c r="AS1680" s="3" t="s">
        <v>62</v>
      </c>
      <c r="AT1680" s="3" t="s">
        <v>62</v>
      </c>
      <c r="AV1680" s="6" t="str">
        <f>HYPERLINK("http://mcgill.on.worldcat.org/oclc/45419038","Catalog Record")</f>
        <v>Catalog Record</v>
      </c>
      <c r="AW1680" s="6" t="str">
        <f>HYPERLINK("http://www.worldcat.org/oclc/45419038","WorldCat Record")</f>
        <v>WorldCat Record</v>
      </c>
      <c r="AX1680" s="3" t="s">
        <v>16743</v>
      </c>
      <c r="AY1680" s="3" t="s">
        <v>16744</v>
      </c>
      <c r="AZ1680" s="3" t="s">
        <v>16745</v>
      </c>
      <c r="BA1680" s="3" t="s">
        <v>16745</v>
      </c>
      <c r="BB1680" s="3" t="s">
        <v>16746</v>
      </c>
      <c r="BC1680" s="3" t="s">
        <v>102</v>
      </c>
      <c r="BD1680" s="3" t="s">
        <v>68</v>
      </c>
      <c r="BE1680" s="3" t="s">
        <v>16747</v>
      </c>
      <c r="BF1680" s="3" t="s">
        <v>16746</v>
      </c>
      <c r="BG1680" s="3" t="s">
        <v>16748</v>
      </c>
    </row>
    <row r="1681" spans="1:59" ht="58" x14ac:dyDescent="0.35">
      <c r="A1681" s="2" t="s">
        <v>89</v>
      </c>
      <c r="B1681" s="2" t="s">
        <v>90</v>
      </c>
      <c r="C1681" s="2" t="s">
        <v>16749</v>
      </c>
      <c r="D1681" s="2" t="s">
        <v>16750</v>
      </c>
      <c r="E1681" s="2" t="s">
        <v>16751</v>
      </c>
      <c r="G1681" s="3" t="s">
        <v>62</v>
      </c>
      <c r="I1681" s="3" t="s">
        <v>61</v>
      </c>
      <c r="J1681" s="3" t="s">
        <v>62</v>
      </c>
      <c r="K1681" s="3" t="s">
        <v>63</v>
      </c>
      <c r="L1681" s="2" t="s">
        <v>16752</v>
      </c>
      <c r="M1681" s="2" t="s">
        <v>12716</v>
      </c>
      <c r="N1681" s="3" t="s">
        <v>568</v>
      </c>
      <c r="P1681" s="3" t="s">
        <v>64</v>
      </c>
      <c r="R1681" s="3" t="s">
        <v>13065</v>
      </c>
      <c r="S1681" s="4">
        <v>8</v>
      </c>
      <c r="T1681" s="4">
        <v>28</v>
      </c>
      <c r="U1681" s="5" t="s">
        <v>16753</v>
      </c>
      <c r="V1681" s="5" t="s">
        <v>2729</v>
      </c>
      <c r="W1681" s="5" t="s">
        <v>67</v>
      </c>
      <c r="X1681" s="5" t="s">
        <v>67</v>
      </c>
      <c r="Y1681" s="4">
        <v>265</v>
      </c>
      <c r="Z1681" s="4">
        <v>19</v>
      </c>
      <c r="AA1681" s="4">
        <v>26</v>
      </c>
      <c r="AB1681" s="4">
        <v>1</v>
      </c>
      <c r="AC1681" s="4">
        <v>8</v>
      </c>
      <c r="AD1681" s="4">
        <v>55</v>
      </c>
      <c r="AE1681" s="4">
        <v>59</v>
      </c>
      <c r="AF1681" s="4">
        <v>0</v>
      </c>
      <c r="AG1681" s="4">
        <v>3</v>
      </c>
      <c r="AH1681" s="4">
        <v>47</v>
      </c>
      <c r="AI1681" s="4">
        <v>49</v>
      </c>
      <c r="AJ1681" s="4">
        <v>11</v>
      </c>
      <c r="AK1681" s="4">
        <v>13</v>
      </c>
      <c r="AL1681" s="4">
        <v>29</v>
      </c>
      <c r="AM1681" s="4">
        <v>30</v>
      </c>
      <c r="AN1681" s="4">
        <v>0</v>
      </c>
      <c r="AO1681" s="4">
        <v>0</v>
      </c>
      <c r="AP1681" s="4">
        <v>14</v>
      </c>
      <c r="AQ1681" s="4">
        <v>17</v>
      </c>
      <c r="AR1681" s="3" t="s">
        <v>62</v>
      </c>
      <c r="AS1681" s="3" t="s">
        <v>62</v>
      </c>
      <c r="AT1681" s="3" t="s">
        <v>62</v>
      </c>
      <c r="AV1681" s="6" t="str">
        <f>HYPERLINK("http://mcgill.on.worldcat.org/oclc/43641359","Catalog Record")</f>
        <v>Catalog Record</v>
      </c>
      <c r="AW1681" s="6" t="str">
        <f>HYPERLINK("http://www.worldcat.org/oclc/43641359","WorldCat Record")</f>
        <v>WorldCat Record</v>
      </c>
      <c r="AX1681" s="3" t="s">
        <v>16754</v>
      </c>
      <c r="AY1681" s="3" t="s">
        <v>16755</v>
      </c>
      <c r="AZ1681" s="3" t="s">
        <v>16756</v>
      </c>
      <c r="BA1681" s="3" t="s">
        <v>16756</v>
      </c>
      <c r="BB1681" s="3" t="s">
        <v>16757</v>
      </c>
      <c r="BC1681" s="3" t="s">
        <v>102</v>
      </c>
      <c r="BD1681" s="3" t="s">
        <v>68</v>
      </c>
      <c r="BE1681" s="3" t="s">
        <v>16758</v>
      </c>
      <c r="BF1681" s="3" t="s">
        <v>16757</v>
      </c>
      <c r="BG1681" s="3" t="s">
        <v>16759</v>
      </c>
    </row>
    <row r="1682" spans="1:59" ht="58" x14ac:dyDescent="0.35">
      <c r="A1682" s="2" t="s">
        <v>89</v>
      </c>
      <c r="B1682" s="2" t="s">
        <v>90</v>
      </c>
      <c r="C1682" s="2" t="s">
        <v>16749</v>
      </c>
      <c r="D1682" s="2" t="s">
        <v>16750</v>
      </c>
      <c r="E1682" s="2" t="s">
        <v>16751</v>
      </c>
      <c r="G1682" s="3" t="s">
        <v>62</v>
      </c>
      <c r="I1682" s="3" t="s">
        <v>61</v>
      </c>
      <c r="J1682" s="3" t="s">
        <v>62</v>
      </c>
      <c r="K1682" s="3" t="s">
        <v>63</v>
      </c>
      <c r="L1682" s="2" t="s">
        <v>16752</v>
      </c>
      <c r="M1682" s="2" t="s">
        <v>12716</v>
      </c>
      <c r="N1682" s="3" t="s">
        <v>568</v>
      </c>
      <c r="P1682" s="3" t="s">
        <v>64</v>
      </c>
      <c r="R1682" s="3" t="s">
        <v>13065</v>
      </c>
      <c r="S1682" s="4">
        <v>20</v>
      </c>
      <c r="T1682" s="4">
        <v>28</v>
      </c>
      <c r="U1682" s="5" t="s">
        <v>2729</v>
      </c>
      <c r="V1682" s="5" t="s">
        <v>2729</v>
      </c>
      <c r="W1682" s="5" t="s">
        <v>67</v>
      </c>
      <c r="X1682" s="5" t="s">
        <v>67</v>
      </c>
      <c r="Y1682" s="4">
        <v>265</v>
      </c>
      <c r="Z1682" s="4">
        <v>19</v>
      </c>
      <c r="AA1682" s="4">
        <v>26</v>
      </c>
      <c r="AB1682" s="4">
        <v>1</v>
      </c>
      <c r="AC1682" s="4">
        <v>8</v>
      </c>
      <c r="AD1682" s="4">
        <v>55</v>
      </c>
      <c r="AE1682" s="4">
        <v>59</v>
      </c>
      <c r="AF1682" s="4">
        <v>0</v>
      </c>
      <c r="AG1682" s="4">
        <v>3</v>
      </c>
      <c r="AH1682" s="4">
        <v>47</v>
      </c>
      <c r="AI1682" s="4">
        <v>49</v>
      </c>
      <c r="AJ1682" s="4">
        <v>11</v>
      </c>
      <c r="AK1682" s="4">
        <v>13</v>
      </c>
      <c r="AL1682" s="4">
        <v>29</v>
      </c>
      <c r="AM1682" s="4">
        <v>30</v>
      </c>
      <c r="AN1682" s="4">
        <v>0</v>
      </c>
      <c r="AO1682" s="4">
        <v>0</v>
      </c>
      <c r="AP1682" s="4">
        <v>14</v>
      </c>
      <c r="AQ1682" s="4">
        <v>17</v>
      </c>
      <c r="AR1682" s="3" t="s">
        <v>62</v>
      </c>
      <c r="AS1682" s="3" t="s">
        <v>62</v>
      </c>
      <c r="AT1682" s="3" t="s">
        <v>62</v>
      </c>
      <c r="AV1682" s="6" t="str">
        <f>HYPERLINK("http://mcgill.on.worldcat.org/oclc/43641359","Catalog Record")</f>
        <v>Catalog Record</v>
      </c>
      <c r="AW1682" s="6" t="str">
        <f>HYPERLINK("http://www.worldcat.org/oclc/43641359","WorldCat Record")</f>
        <v>WorldCat Record</v>
      </c>
      <c r="AX1682" s="3" t="s">
        <v>16754</v>
      </c>
      <c r="AY1682" s="3" t="s">
        <v>16755</v>
      </c>
      <c r="AZ1682" s="3" t="s">
        <v>16756</v>
      </c>
      <c r="BA1682" s="3" t="s">
        <v>16756</v>
      </c>
      <c r="BB1682" s="3" t="s">
        <v>16760</v>
      </c>
      <c r="BC1682" s="3" t="s">
        <v>102</v>
      </c>
      <c r="BD1682" s="3" t="s">
        <v>68</v>
      </c>
      <c r="BE1682" s="3" t="s">
        <v>16758</v>
      </c>
      <c r="BF1682" s="3" t="s">
        <v>16760</v>
      </c>
      <c r="BG1682" s="3" t="s">
        <v>16761</v>
      </c>
    </row>
    <row r="1683" spans="1:59" ht="58" x14ac:dyDescent="0.35">
      <c r="A1683" s="2" t="s">
        <v>89</v>
      </c>
      <c r="B1683" s="2" t="s">
        <v>90</v>
      </c>
      <c r="C1683" s="2" t="s">
        <v>16762</v>
      </c>
      <c r="D1683" s="2" t="s">
        <v>16763</v>
      </c>
      <c r="E1683" s="2" t="s">
        <v>16764</v>
      </c>
      <c r="G1683" s="3" t="s">
        <v>62</v>
      </c>
      <c r="I1683" s="3" t="s">
        <v>62</v>
      </c>
      <c r="J1683" s="3" t="s">
        <v>62</v>
      </c>
      <c r="K1683" s="3" t="s">
        <v>63</v>
      </c>
      <c r="L1683" s="2" t="s">
        <v>16765</v>
      </c>
      <c r="M1683" s="2" t="s">
        <v>15932</v>
      </c>
      <c r="N1683" s="3" t="s">
        <v>1038</v>
      </c>
      <c r="O1683" s="2" t="s">
        <v>11716</v>
      </c>
      <c r="P1683" s="3" t="s">
        <v>64</v>
      </c>
      <c r="R1683" s="3" t="s">
        <v>13065</v>
      </c>
      <c r="S1683" s="4">
        <v>18</v>
      </c>
      <c r="T1683" s="4">
        <v>18</v>
      </c>
      <c r="U1683" s="5" t="s">
        <v>16766</v>
      </c>
      <c r="V1683" s="5" t="s">
        <v>16766</v>
      </c>
      <c r="W1683" s="5" t="s">
        <v>67</v>
      </c>
      <c r="X1683" s="5" t="s">
        <v>67</v>
      </c>
      <c r="Y1683" s="4">
        <v>21</v>
      </c>
      <c r="Z1683" s="4">
        <v>3</v>
      </c>
      <c r="AA1683" s="4">
        <v>29</v>
      </c>
      <c r="AB1683" s="4">
        <v>1</v>
      </c>
      <c r="AC1683" s="4">
        <v>6</v>
      </c>
      <c r="AD1683" s="4">
        <v>2</v>
      </c>
      <c r="AE1683" s="4">
        <v>30</v>
      </c>
      <c r="AF1683" s="4">
        <v>0</v>
      </c>
      <c r="AG1683" s="4">
        <v>2</v>
      </c>
      <c r="AH1683" s="4">
        <v>2</v>
      </c>
      <c r="AI1683" s="4">
        <v>23</v>
      </c>
      <c r="AJ1683" s="4">
        <v>1</v>
      </c>
      <c r="AK1683" s="4">
        <v>8</v>
      </c>
      <c r="AL1683" s="4">
        <v>0</v>
      </c>
      <c r="AM1683" s="4">
        <v>12</v>
      </c>
      <c r="AN1683" s="4">
        <v>0</v>
      </c>
      <c r="AO1683" s="4">
        <v>5</v>
      </c>
      <c r="AP1683" s="4">
        <v>1</v>
      </c>
      <c r="AQ1683" s="4">
        <v>12</v>
      </c>
      <c r="AR1683" s="3" t="s">
        <v>62</v>
      </c>
      <c r="AS1683" s="3" t="s">
        <v>62</v>
      </c>
      <c r="AT1683" s="3" t="s">
        <v>62</v>
      </c>
      <c r="AV1683" s="6" t="str">
        <f>HYPERLINK("http://mcgill.on.worldcat.org/oclc/898408378","Catalog Record")</f>
        <v>Catalog Record</v>
      </c>
      <c r="AW1683" s="6" t="str">
        <f>HYPERLINK("http://www.worldcat.org/oclc/898408378","WorldCat Record")</f>
        <v>WorldCat Record</v>
      </c>
      <c r="AX1683" s="3" t="s">
        <v>16767</v>
      </c>
      <c r="AY1683" s="3" t="s">
        <v>16768</v>
      </c>
      <c r="AZ1683" s="3" t="s">
        <v>16769</v>
      </c>
      <c r="BA1683" s="3" t="s">
        <v>16769</v>
      </c>
      <c r="BB1683" s="3" t="s">
        <v>16770</v>
      </c>
      <c r="BC1683" s="3" t="s">
        <v>102</v>
      </c>
      <c r="BD1683" s="3" t="s">
        <v>68</v>
      </c>
      <c r="BE1683" s="3" t="s">
        <v>16771</v>
      </c>
      <c r="BF1683" s="3" t="s">
        <v>16770</v>
      </c>
      <c r="BG1683" s="3" t="s">
        <v>16772</v>
      </c>
    </row>
    <row r="1684" spans="1:59" ht="58" x14ac:dyDescent="0.35">
      <c r="A1684" s="2" t="s">
        <v>89</v>
      </c>
      <c r="B1684" s="2" t="s">
        <v>90</v>
      </c>
      <c r="C1684" s="2" t="s">
        <v>16773</v>
      </c>
      <c r="D1684" s="2" t="s">
        <v>16774</v>
      </c>
      <c r="E1684" s="2" t="s">
        <v>16775</v>
      </c>
      <c r="G1684" s="3" t="s">
        <v>62</v>
      </c>
      <c r="I1684" s="3" t="s">
        <v>62</v>
      </c>
      <c r="J1684" s="3" t="s">
        <v>62</v>
      </c>
      <c r="K1684" s="3" t="s">
        <v>63</v>
      </c>
      <c r="L1684" s="2" t="s">
        <v>16578</v>
      </c>
      <c r="M1684" s="2" t="s">
        <v>16776</v>
      </c>
      <c r="N1684" s="3" t="s">
        <v>596</v>
      </c>
      <c r="O1684" s="2" t="s">
        <v>2986</v>
      </c>
      <c r="P1684" s="3" t="s">
        <v>64</v>
      </c>
      <c r="R1684" s="3" t="s">
        <v>13065</v>
      </c>
      <c r="S1684" s="4">
        <v>7</v>
      </c>
      <c r="T1684" s="4">
        <v>7</v>
      </c>
      <c r="U1684" s="5" t="s">
        <v>9629</v>
      </c>
      <c r="V1684" s="5" t="s">
        <v>9629</v>
      </c>
      <c r="W1684" s="5" t="s">
        <v>67</v>
      </c>
      <c r="X1684" s="5" t="s">
        <v>67</v>
      </c>
      <c r="Y1684" s="4">
        <v>194</v>
      </c>
      <c r="Z1684" s="4">
        <v>11</v>
      </c>
      <c r="AA1684" s="4">
        <v>11</v>
      </c>
      <c r="AB1684" s="4">
        <v>2</v>
      </c>
      <c r="AC1684" s="4">
        <v>2</v>
      </c>
      <c r="AD1684" s="4">
        <v>60</v>
      </c>
      <c r="AE1684" s="4">
        <v>60</v>
      </c>
      <c r="AF1684" s="4">
        <v>0</v>
      </c>
      <c r="AG1684" s="4">
        <v>0</v>
      </c>
      <c r="AH1684" s="4">
        <v>55</v>
      </c>
      <c r="AI1684" s="4">
        <v>55</v>
      </c>
      <c r="AJ1684" s="4">
        <v>8</v>
      </c>
      <c r="AK1684" s="4">
        <v>8</v>
      </c>
      <c r="AL1684" s="4">
        <v>31</v>
      </c>
      <c r="AM1684" s="4">
        <v>31</v>
      </c>
      <c r="AN1684" s="4">
        <v>0</v>
      </c>
      <c r="AO1684" s="4">
        <v>0</v>
      </c>
      <c r="AP1684" s="4">
        <v>8</v>
      </c>
      <c r="AQ1684" s="4">
        <v>8</v>
      </c>
      <c r="AR1684" s="3" t="s">
        <v>62</v>
      </c>
      <c r="AS1684" s="3" t="s">
        <v>62</v>
      </c>
      <c r="AT1684" s="3" t="s">
        <v>62</v>
      </c>
      <c r="AV1684" s="6" t="str">
        <f>HYPERLINK("http://mcgill.on.worldcat.org/oclc/48408450","Catalog Record")</f>
        <v>Catalog Record</v>
      </c>
      <c r="AW1684" s="6" t="str">
        <f>HYPERLINK("http://www.worldcat.org/oclc/48408450","WorldCat Record")</f>
        <v>WorldCat Record</v>
      </c>
      <c r="AX1684" s="3" t="s">
        <v>16777</v>
      </c>
      <c r="AY1684" s="3" t="s">
        <v>16778</v>
      </c>
      <c r="AZ1684" s="3" t="s">
        <v>16779</v>
      </c>
      <c r="BA1684" s="3" t="s">
        <v>16779</v>
      </c>
      <c r="BB1684" s="3" t="s">
        <v>16780</v>
      </c>
      <c r="BC1684" s="3" t="s">
        <v>102</v>
      </c>
      <c r="BD1684" s="3" t="s">
        <v>68</v>
      </c>
      <c r="BE1684" s="3" t="s">
        <v>16781</v>
      </c>
      <c r="BF1684" s="3" t="s">
        <v>16780</v>
      </c>
      <c r="BG1684" s="3" t="s">
        <v>16782</v>
      </c>
    </row>
    <row r="1685" spans="1:59" ht="101.5" x14ac:dyDescent="0.35">
      <c r="A1685" s="2" t="s">
        <v>89</v>
      </c>
      <c r="B1685" s="2" t="s">
        <v>12301</v>
      </c>
      <c r="C1685" s="2" t="s">
        <v>16783</v>
      </c>
      <c r="D1685" s="2" t="s">
        <v>16784</v>
      </c>
      <c r="E1685" s="2" t="s">
        <v>16785</v>
      </c>
      <c r="G1685" s="3" t="s">
        <v>62</v>
      </c>
      <c r="I1685" s="3" t="s">
        <v>61</v>
      </c>
      <c r="J1685" s="3" t="s">
        <v>62</v>
      </c>
      <c r="K1685" s="3" t="s">
        <v>63</v>
      </c>
      <c r="L1685" s="2" t="s">
        <v>16786</v>
      </c>
      <c r="M1685" s="2" t="s">
        <v>16787</v>
      </c>
      <c r="N1685" s="3" t="s">
        <v>553</v>
      </c>
      <c r="P1685" s="3" t="s">
        <v>64</v>
      </c>
      <c r="R1685" s="3" t="s">
        <v>13065</v>
      </c>
      <c r="S1685" s="4">
        <v>26</v>
      </c>
      <c r="T1685" s="4">
        <v>50</v>
      </c>
      <c r="U1685" s="5" t="s">
        <v>3820</v>
      </c>
      <c r="V1685" s="5" t="s">
        <v>3820</v>
      </c>
      <c r="W1685" s="5" t="s">
        <v>67</v>
      </c>
      <c r="X1685" s="5" t="s">
        <v>67</v>
      </c>
      <c r="Y1685" s="4">
        <v>368</v>
      </c>
      <c r="Z1685" s="4">
        <v>18</v>
      </c>
      <c r="AA1685" s="4">
        <v>24</v>
      </c>
      <c r="AB1685" s="4">
        <v>2</v>
      </c>
      <c r="AC1685" s="4">
        <v>6</v>
      </c>
      <c r="AD1685" s="4">
        <v>98</v>
      </c>
      <c r="AE1685" s="4">
        <v>103</v>
      </c>
      <c r="AF1685" s="4">
        <v>1</v>
      </c>
      <c r="AG1685" s="4">
        <v>3</v>
      </c>
      <c r="AH1685" s="4">
        <v>89</v>
      </c>
      <c r="AI1685" s="4">
        <v>90</v>
      </c>
      <c r="AJ1685" s="4">
        <v>12</v>
      </c>
      <c r="AK1685" s="4">
        <v>14</v>
      </c>
      <c r="AL1685" s="4">
        <v>53</v>
      </c>
      <c r="AM1685" s="4">
        <v>54</v>
      </c>
      <c r="AN1685" s="4">
        <v>0</v>
      </c>
      <c r="AO1685" s="4">
        <v>0</v>
      </c>
      <c r="AP1685" s="4">
        <v>14</v>
      </c>
      <c r="AQ1685" s="4">
        <v>18</v>
      </c>
      <c r="AR1685" s="3" t="s">
        <v>62</v>
      </c>
      <c r="AS1685" s="3" t="s">
        <v>62</v>
      </c>
      <c r="AT1685" s="3" t="s">
        <v>62</v>
      </c>
      <c r="AV1685" s="6" t="str">
        <f>HYPERLINK("http://mcgill.on.worldcat.org/oclc/39354251","Catalog Record")</f>
        <v>Catalog Record</v>
      </c>
      <c r="AW1685" s="6" t="str">
        <f>HYPERLINK("http://www.worldcat.org/oclc/39354251","WorldCat Record")</f>
        <v>WorldCat Record</v>
      </c>
      <c r="AX1685" s="3" t="s">
        <v>16788</v>
      </c>
      <c r="AY1685" s="3" t="s">
        <v>16789</v>
      </c>
      <c r="AZ1685" s="3" t="s">
        <v>16790</v>
      </c>
      <c r="BA1685" s="3" t="s">
        <v>16790</v>
      </c>
      <c r="BB1685" s="3" t="s">
        <v>16791</v>
      </c>
      <c r="BC1685" s="3" t="s">
        <v>102</v>
      </c>
      <c r="BD1685" s="3" t="s">
        <v>68</v>
      </c>
      <c r="BE1685" s="3" t="s">
        <v>16792</v>
      </c>
      <c r="BF1685" s="3" t="s">
        <v>16791</v>
      </c>
      <c r="BG1685" s="3" t="s">
        <v>16793</v>
      </c>
    </row>
    <row r="1686" spans="1:59" ht="101.5" x14ac:dyDescent="0.35">
      <c r="A1686" s="2" t="s">
        <v>89</v>
      </c>
      <c r="B1686" s="2" t="s">
        <v>12301</v>
      </c>
      <c r="C1686" s="2" t="s">
        <v>16783</v>
      </c>
      <c r="D1686" s="2" t="s">
        <v>16784</v>
      </c>
      <c r="E1686" s="2" t="s">
        <v>16785</v>
      </c>
      <c r="G1686" s="3" t="s">
        <v>62</v>
      </c>
      <c r="I1686" s="3" t="s">
        <v>61</v>
      </c>
      <c r="J1686" s="3" t="s">
        <v>62</v>
      </c>
      <c r="K1686" s="3" t="s">
        <v>63</v>
      </c>
      <c r="L1686" s="2" t="s">
        <v>16786</v>
      </c>
      <c r="M1686" s="2" t="s">
        <v>16787</v>
      </c>
      <c r="N1686" s="3" t="s">
        <v>553</v>
      </c>
      <c r="P1686" s="3" t="s">
        <v>64</v>
      </c>
      <c r="R1686" s="3" t="s">
        <v>13065</v>
      </c>
      <c r="S1686" s="4">
        <v>24</v>
      </c>
      <c r="T1686" s="4">
        <v>50</v>
      </c>
      <c r="U1686" s="5" t="s">
        <v>3820</v>
      </c>
      <c r="V1686" s="5" t="s">
        <v>3820</v>
      </c>
      <c r="W1686" s="5" t="s">
        <v>67</v>
      </c>
      <c r="X1686" s="5" t="s">
        <v>67</v>
      </c>
      <c r="Y1686" s="4">
        <v>368</v>
      </c>
      <c r="Z1686" s="4">
        <v>18</v>
      </c>
      <c r="AA1686" s="4">
        <v>24</v>
      </c>
      <c r="AB1686" s="4">
        <v>2</v>
      </c>
      <c r="AC1686" s="4">
        <v>6</v>
      </c>
      <c r="AD1686" s="4">
        <v>98</v>
      </c>
      <c r="AE1686" s="4">
        <v>103</v>
      </c>
      <c r="AF1686" s="4">
        <v>1</v>
      </c>
      <c r="AG1686" s="4">
        <v>3</v>
      </c>
      <c r="AH1686" s="4">
        <v>89</v>
      </c>
      <c r="AI1686" s="4">
        <v>90</v>
      </c>
      <c r="AJ1686" s="4">
        <v>12</v>
      </c>
      <c r="AK1686" s="4">
        <v>14</v>
      </c>
      <c r="AL1686" s="4">
        <v>53</v>
      </c>
      <c r="AM1686" s="4">
        <v>54</v>
      </c>
      <c r="AN1686" s="4">
        <v>0</v>
      </c>
      <c r="AO1686" s="4">
        <v>0</v>
      </c>
      <c r="AP1686" s="4">
        <v>14</v>
      </c>
      <c r="AQ1686" s="4">
        <v>18</v>
      </c>
      <c r="AR1686" s="3" t="s">
        <v>62</v>
      </c>
      <c r="AS1686" s="3" t="s">
        <v>62</v>
      </c>
      <c r="AT1686" s="3" t="s">
        <v>62</v>
      </c>
      <c r="AV1686" s="6" t="str">
        <f>HYPERLINK("http://mcgill.on.worldcat.org/oclc/39354251","Catalog Record")</f>
        <v>Catalog Record</v>
      </c>
      <c r="AW1686" s="6" t="str">
        <f>HYPERLINK("http://www.worldcat.org/oclc/39354251","WorldCat Record")</f>
        <v>WorldCat Record</v>
      </c>
      <c r="AX1686" s="3" t="s">
        <v>16788</v>
      </c>
      <c r="AY1686" s="3" t="s">
        <v>16789</v>
      </c>
      <c r="AZ1686" s="3" t="s">
        <v>16790</v>
      </c>
      <c r="BA1686" s="3" t="s">
        <v>16790</v>
      </c>
      <c r="BB1686" s="3" t="s">
        <v>16794</v>
      </c>
      <c r="BC1686" s="3" t="s">
        <v>102</v>
      </c>
      <c r="BD1686" s="3" t="s">
        <v>68</v>
      </c>
      <c r="BE1686" s="3" t="s">
        <v>16792</v>
      </c>
      <c r="BF1686" s="3" t="s">
        <v>16794</v>
      </c>
      <c r="BG1686" s="3" t="s">
        <v>16795</v>
      </c>
    </row>
    <row r="1687" spans="1:59" ht="58" x14ac:dyDescent="0.35">
      <c r="A1687" s="2" t="s">
        <v>89</v>
      </c>
      <c r="B1687" s="2" t="s">
        <v>90</v>
      </c>
      <c r="C1687" s="2" t="s">
        <v>16796</v>
      </c>
      <c r="D1687" s="2" t="s">
        <v>16797</v>
      </c>
      <c r="E1687" s="2" t="s">
        <v>16798</v>
      </c>
      <c r="G1687" s="3" t="s">
        <v>62</v>
      </c>
      <c r="I1687" s="3" t="s">
        <v>61</v>
      </c>
      <c r="J1687" s="3" t="s">
        <v>62</v>
      </c>
      <c r="K1687" s="3" t="s">
        <v>63</v>
      </c>
      <c r="L1687" s="2" t="s">
        <v>16799</v>
      </c>
      <c r="M1687" s="2" t="s">
        <v>16800</v>
      </c>
      <c r="N1687" s="3" t="s">
        <v>509</v>
      </c>
      <c r="P1687" s="3" t="s">
        <v>64</v>
      </c>
      <c r="Q1687" s="2" t="s">
        <v>16801</v>
      </c>
      <c r="R1687" s="3" t="s">
        <v>13065</v>
      </c>
      <c r="S1687" s="4">
        <v>4</v>
      </c>
      <c r="T1687" s="4">
        <v>22</v>
      </c>
      <c r="U1687" s="5" t="s">
        <v>16802</v>
      </c>
      <c r="V1687" s="5" t="s">
        <v>16802</v>
      </c>
      <c r="W1687" s="5" t="s">
        <v>67</v>
      </c>
      <c r="X1687" s="5" t="s">
        <v>67</v>
      </c>
      <c r="Y1687" s="4">
        <v>485</v>
      </c>
      <c r="Z1687" s="4">
        <v>26</v>
      </c>
      <c r="AA1687" s="4">
        <v>97</v>
      </c>
      <c r="AB1687" s="4">
        <v>2</v>
      </c>
      <c r="AC1687" s="4">
        <v>18</v>
      </c>
      <c r="AD1687" s="4">
        <v>104</v>
      </c>
      <c r="AE1687" s="4">
        <v>149</v>
      </c>
      <c r="AF1687" s="4">
        <v>1</v>
      </c>
      <c r="AG1687" s="4">
        <v>8</v>
      </c>
      <c r="AH1687" s="4">
        <v>88</v>
      </c>
      <c r="AI1687" s="4">
        <v>108</v>
      </c>
      <c r="AJ1687" s="4">
        <v>15</v>
      </c>
      <c r="AK1687" s="4">
        <v>26</v>
      </c>
      <c r="AL1687" s="4">
        <v>48</v>
      </c>
      <c r="AM1687" s="4">
        <v>56</v>
      </c>
      <c r="AN1687" s="4">
        <v>0</v>
      </c>
      <c r="AO1687" s="4">
        <v>0</v>
      </c>
      <c r="AP1687" s="4">
        <v>22</v>
      </c>
      <c r="AQ1687" s="4">
        <v>50</v>
      </c>
      <c r="AR1687" s="3" t="s">
        <v>62</v>
      </c>
      <c r="AS1687" s="3" t="s">
        <v>62</v>
      </c>
      <c r="AT1687" s="3" t="s">
        <v>62</v>
      </c>
      <c r="AV1687" s="6" t="str">
        <f>HYPERLINK("http://mcgill.on.worldcat.org/oclc/30319011","Catalog Record")</f>
        <v>Catalog Record</v>
      </c>
      <c r="AW1687" s="6" t="str">
        <f>HYPERLINK("http://www.worldcat.org/oclc/30319011","WorldCat Record")</f>
        <v>WorldCat Record</v>
      </c>
      <c r="AX1687" s="3" t="s">
        <v>16803</v>
      </c>
      <c r="AY1687" s="3" t="s">
        <v>16804</v>
      </c>
      <c r="AZ1687" s="3" t="s">
        <v>16805</v>
      </c>
      <c r="BA1687" s="3" t="s">
        <v>16805</v>
      </c>
      <c r="BB1687" s="3" t="s">
        <v>16806</v>
      </c>
      <c r="BC1687" s="3" t="s">
        <v>102</v>
      </c>
      <c r="BD1687" s="3" t="s">
        <v>68</v>
      </c>
      <c r="BE1687" s="3" t="s">
        <v>16807</v>
      </c>
      <c r="BF1687" s="3" t="s">
        <v>16806</v>
      </c>
      <c r="BG1687" s="3" t="s">
        <v>16808</v>
      </c>
    </row>
    <row r="1688" spans="1:59" ht="58" x14ac:dyDescent="0.35">
      <c r="A1688" s="2" t="s">
        <v>89</v>
      </c>
      <c r="B1688" s="2" t="s">
        <v>90</v>
      </c>
      <c r="C1688" s="2" t="s">
        <v>16809</v>
      </c>
      <c r="D1688" s="2" t="s">
        <v>16810</v>
      </c>
      <c r="E1688" s="2" t="s">
        <v>16811</v>
      </c>
      <c r="G1688" s="3" t="s">
        <v>62</v>
      </c>
      <c r="I1688" s="3" t="s">
        <v>62</v>
      </c>
      <c r="J1688" s="3" t="s">
        <v>62</v>
      </c>
      <c r="K1688" s="3" t="s">
        <v>63</v>
      </c>
      <c r="L1688" s="2" t="s">
        <v>16812</v>
      </c>
      <c r="M1688" s="2" t="s">
        <v>16813</v>
      </c>
      <c r="N1688" s="3" t="s">
        <v>129</v>
      </c>
      <c r="P1688" s="3" t="s">
        <v>64</v>
      </c>
      <c r="Q1688" s="2" t="s">
        <v>16814</v>
      </c>
      <c r="R1688" s="3" t="s">
        <v>13065</v>
      </c>
      <c r="S1688" s="4">
        <v>0</v>
      </c>
      <c r="T1688" s="4">
        <v>0</v>
      </c>
      <c r="W1688" s="5" t="s">
        <v>13768</v>
      </c>
      <c r="X1688" s="5" t="s">
        <v>13768</v>
      </c>
      <c r="Y1688" s="4">
        <v>495</v>
      </c>
      <c r="Z1688" s="4">
        <v>21</v>
      </c>
      <c r="AA1688" s="4">
        <v>34</v>
      </c>
      <c r="AB1688" s="4">
        <v>3</v>
      </c>
      <c r="AC1688" s="4">
        <v>5</v>
      </c>
      <c r="AD1688" s="4">
        <v>34</v>
      </c>
      <c r="AE1688" s="4">
        <v>57</v>
      </c>
      <c r="AF1688" s="4">
        <v>2</v>
      </c>
      <c r="AG1688" s="4">
        <v>3</v>
      </c>
      <c r="AH1688" s="4">
        <v>26</v>
      </c>
      <c r="AI1688" s="4">
        <v>43</v>
      </c>
      <c r="AJ1688" s="4">
        <v>6</v>
      </c>
      <c r="AK1688" s="4">
        <v>12</v>
      </c>
      <c r="AL1688" s="4">
        <v>14</v>
      </c>
      <c r="AM1688" s="4">
        <v>22</v>
      </c>
      <c r="AN1688" s="4">
        <v>0</v>
      </c>
      <c r="AO1688" s="4">
        <v>0</v>
      </c>
      <c r="AP1688" s="4">
        <v>11</v>
      </c>
      <c r="AQ1688" s="4">
        <v>18</v>
      </c>
      <c r="AR1688" s="3" t="s">
        <v>62</v>
      </c>
      <c r="AS1688" s="3" t="s">
        <v>62</v>
      </c>
      <c r="AT1688" s="3" t="s">
        <v>62</v>
      </c>
      <c r="AV1688" s="6" t="str">
        <f>HYPERLINK("http://mcgill.on.worldcat.org/oclc/836557453","Catalog Record")</f>
        <v>Catalog Record</v>
      </c>
      <c r="AW1688" s="6" t="str">
        <f>HYPERLINK("http://www.worldcat.org/oclc/836557453","WorldCat Record")</f>
        <v>WorldCat Record</v>
      </c>
      <c r="AX1688" s="3" t="s">
        <v>16815</v>
      </c>
      <c r="AY1688" s="3" t="s">
        <v>16816</v>
      </c>
      <c r="AZ1688" s="3" t="s">
        <v>16817</v>
      </c>
      <c r="BA1688" s="3" t="s">
        <v>16817</v>
      </c>
      <c r="BB1688" s="3" t="s">
        <v>16818</v>
      </c>
      <c r="BC1688" s="3" t="s">
        <v>102</v>
      </c>
      <c r="BD1688" s="3" t="s">
        <v>68</v>
      </c>
      <c r="BE1688" s="3" t="s">
        <v>16819</v>
      </c>
      <c r="BF1688" s="3" t="s">
        <v>16818</v>
      </c>
      <c r="BG1688" s="3" t="s">
        <v>16820</v>
      </c>
    </row>
    <row r="1689" spans="1:59" ht="58" x14ac:dyDescent="0.35">
      <c r="A1689" s="2" t="s">
        <v>89</v>
      </c>
      <c r="B1689" s="2" t="s">
        <v>90</v>
      </c>
      <c r="C1689" s="2" t="s">
        <v>16821</v>
      </c>
      <c r="D1689" s="2" t="s">
        <v>16822</v>
      </c>
      <c r="E1689" s="2" t="s">
        <v>16823</v>
      </c>
      <c r="G1689" s="3" t="s">
        <v>62</v>
      </c>
      <c r="H1689" s="3" t="s">
        <v>916</v>
      </c>
      <c r="I1689" s="3" t="s">
        <v>62</v>
      </c>
      <c r="J1689" s="3" t="s">
        <v>62</v>
      </c>
      <c r="K1689" s="3" t="s">
        <v>63</v>
      </c>
      <c r="L1689" s="2" t="s">
        <v>16824</v>
      </c>
      <c r="M1689" s="2" t="s">
        <v>16825</v>
      </c>
      <c r="N1689" s="3" t="s">
        <v>2085</v>
      </c>
      <c r="O1689" s="2" t="s">
        <v>8443</v>
      </c>
      <c r="P1689" s="3" t="s">
        <v>64</v>
      </c>
      <c r="R1689" s="3" t="s">
        <v>13065</v>
      </c>
      <c r="S1689" s="4">
        <v>0</v>
      </c>
      <c r="T1689" s="4">
        <v>0</v>
      </c>
      <c r="W1689" s="5" t="s">
        <v>16075</v>
      </c>
      <c r="X1689" s="5" t="s">
        <v>16075</v>
      </c>
      <c r="Y1689" s="4">
        <v>44</v>
      </c>
      <c r="Z1689" s="4">
        <v>4</v>
      </c>
      <c r="AA1689" s="4">
        <v>83</v>
      </c>
      <c r="AB1689" s="4">
        <v>1</v>
      </c>
      <c r="AC1689" s="4">
        <v>17</v>
      </c>
      <c r="AD1689" s="4">
        <v>3</v>
      </c>
      <c r="AE1689" s="4">
        <v>111</v>
      </c>
      <c r="AF1689" s="4">
        <v>0</v>
      </c>
      <c r="AG1689" s="4">
        <v>10</v>
      </c>
      <c r="AH1689" s="4">
        <v>3</v>
      </c>
      <c r="AI1689" s="4">
        <v>75</v>
      </c>
      <c r="AJ1689" s="4">
        <v>0</v>
      </c>
      <c r="AK1689" s="4">
        <v>20</v>
      </c>
      <c r="AL1689" s="4">
        <v>2</v>
      </c>
      <c r="AM1689" s="4">
        <v>38</v>
      </c>
      <c r="AN1689" s="4">
        <v>0</v>
      </c>
      <c r="AO1689" s="4">
        <v>0</v>
      </c>
      <c r="AP1689" s="4">
        <v>0</v>
      </c>
      <c r="AQ1689" s="4">
        <v>42</v>
      </c>
      <c r="AR1689" s="3" t="s">
        <v>62</v>
      </c>
      <c r="AS1689" s="3" t="s">
        <v>62</v>
      </c>
      <c r="AT1689" s="3" t="s">
        <v>62</v>
      </c>
      <c r="AV1689" s="6" t="str">
        <f>HYPERLINK("http://mcgill.on.worldcat.org/oclc/1014025201","Catalog Record")</f>
        <v>Catalog Record</v>
      </c>
      <c r="AW1689" s="6" t="str">
        <f>HYPERLINK("http://www.worldcat.org/oclc/1014025201","WorldCat Record")</f>
        <v>WorldCat Record</v>
      </c>
      <c r="AX1689" s="3" t="s">
        <v>16826</v>
      </c>
      <c r="AY1689" s="3" t="s">
        <v>16827</v>
      </c>
      <c r="AZ1689" s="3" t="s">
        <v>16828</v>
      </c>
      <c r="BA1689" s="3" t="s">
        <v>16828</v>
      </c>
      <c r="BB1689" s="3" t="s">
        <v>16829</v>
      </c>
      <c r="BC1689" s="3" t="s">
        <v>102</v>
      </c>
      <c r="BD1689" s="3" t="s">
        <v>68</v>
      </c>
      <c r="BE1689" s="3" t="s">
        <v>16830</v>
      </c>
      <c r="BF1689" s="3" t="s">
        <v>16829</v>
      </c>
      <c r="BG1689" s="3" t="s">
        <v>16831</v>
      </c>
    </row>
    <row r="1690" spans="1:59" ht="72.5" x14ac:dyDescent="0.35">
      <c r="A1690" s="2" t="s">
        <v>89</v>
      </c>
      <c r="B1690" s="2" t="s">
        <v>1231</v>
      </c>
      <c r="C1690" s="2" t="s">
        <v>16832</v>
      </c>
      <c r="D1690" s="2" t="s">
        <v>16833</v>
      </c>
      <c r="E1690" s="2" t="s">
        <v>16834</v>
      </c>
      <c r="G1690" s="3" t="s">
        <v>62</v>
      </c>
      <c r="I1690" s="3" t="s">
        <v>62</v>
      </c>
      <c r="J1690" s="3" t="s">
        <v>62</v>
      </c>
      <c r="K1690" s="3" t="s">
        <v>63</v>
      </c>
      <c r="L1690" s="2" t="s">
        <v>16835</v>
      </c>
      <c r="M1690" s="2" t="s">
        <v>11186</v>
      </c>
      <c r="N1690" s="3" t="s">
        <v>698</v>
      </c>
      <c r="P1690" s="3" t="s">
        <v>64</v>
      </c>
      <c r="Q1690" s="2" t="s">
        <v>16836</v>
      </c>
      <c r="R1690" s="3" t="s">
        <v>13065</v>
      </c>
      <c r="S1690" s="4">
        <v>6</v>
      </c>
      <c r="T1690" s="4">
        <v>6</v>
      </c>
      <c r="U1690" s="5" t="s">
        <v>16837</v>
      </c>
      <c r="V1690" s="5" t="s">
        <v>16837</v>
      </c>
      <c r="W1690" s="5" t="s">
        <v>67</v>
      </c>
      <c r="X1690" s="5" t="s">
        <v>67</v>
      </c>
      <c r="Y1690" s="4">
        <v>297</v>
      </c>
      <c r="Z1690" s="4">
        <v>23</v>
      </c>
      <c r="AA1690" s="4">
        <v>52</v>
      </c>
      <c r="AB1690" s="4">
        <v>2</v>
      </c>
      <c r="AC1690" s="4">
        <v>8</v>
      </c>
      <c r="AD1690" s="4">
        <v>59</v>
      </c>
      <c r="AE1690" s="4">
        <v>95</v>
      </c>
      <c r="AF1690" s="4">
        <v>1</v>
      </c>
      <c r="AG1690" s="4">
        <v>4</v>
      </c>
      <c r="AH1690" s="4">
        <v>47</v>
      </c>
      <c r="AI1690" s="4">
        <v>73</v>
      </c>
      <c r="AJ1690" s="4">
        <v>14</v>
      </c>
      <c r="AK1690" s="4">
        <v>24</v>
      </c>
      <c r="AL1690" s="4">
        <v>22</v>
      </c>
      <c r="AM1690" s="4">
        <v>33</v>
      </c>
      <c r="AN1690" s="4">
        <v>0</v>
      </c>
      <c r="AO1690" s="4">
        <v>0</v>
      </c>
      <c r="AP1690" s="4">
        <v>19</v>
      </c>
      <c r="AQ1690" s="4">
        <v>33</v>
      </c>
      <c r="AR1690" s="3" t="s">
        <v>62</v>
      </c>
      <c r="AS1690" s="3" t="s">
        <v>62</v>
      </c>
      <c r="AT1690" s="3" t="s">
        <v>62</v>
      </c>
      <c r="AV1690" s="6" t="str">
        <f>HYPERLINK("http://mcgill.on.worldcat.org/oclc/676728549","Catalog Record")</f>
        <v>Catalog Record</v>
      </c>
      <c r="AW1690" s="6" t="str">
        <f>HYPERLINK("http://www.worldcat.org/oclc/676728549","WorldCat Record")</f>
        <v>WorldCat Record</v>
      </c>
      <c r="AX1690" s="3" t="s">
        <v>16838</v>
      </c>
      <c r="AY1690" s="3" t="s">
        <v>16839</v>
      </c>
      <c r="AZ1690" s="3" t="s">
        <v>16840</v>
      </c>
      <c r="BA1690" s="3" t="s">
        <v>16840</v>
      </c>
      <c r="BB1690" s="3" t="s">
        <v>16841</v>
      </c>
      <c r="BC1690" s="3" t="s">
        <v>102</v>
      </c>
      <c r="BD1690" s="3" t="s">
        <v>68</v>
      </c>
      <c r="BE1690" s="3" t="s">
        <v>16842</v>
      </c>
      <c r="BF1690" s="3" t="s">
        <v>16841</v>
      </c>
      <c r="BG1690" s="3" t="s">
        <v>16843</v>
      </c>
    </row>
    <row r="1691" spans="1:59" ht="101.5" x14ac:dyDescent="0.35">
      <c r="A1691" s="2" t="s">
        <v>89</v>
      </c>
      <c r="B1691" s="2" t="s">
        <v>12301</v>
      </c>
      <c r="C1691" s="2" t="s">
        <v>16844</v>
      </c>
      <c r="D1691" s="2" t="s">
        <v>16845</v>
      </c>
      <c r="E1691" s="2" t="s">
        <v>16846</v>
      </c>
      <c r="G1691" s="3" t="s">
        <v>62</v>
      </c>
      <c r="I1691" s="3" t="s">
        <v>61</v>
      </c>
      <c r="J1691" s="3" t="s">
        <v>61</v>
      </c>
      <c r="K1691" s="3" t="s">
        <v>63</v>
      </c>
      <c r="M1691" s="2" t="s">
        <v>16847</v>
      </c>
      <c r="N1691" s="3" t="s">
        <v>2985</v>
      </c>
      <c r="O1691" s="2" t="s">
        <v>11716</v>
      </c>
      <c r="P1691" s="3" t="s">
        <v>64</v>
      </c>
      <c r="R1691" s="3" t="s">
        <v>13065</v>
      </c>
      <c r="S1691" s="4">
        <v>154</v>
      </c>
      <c r="T1691" s="4">
        <v>252</v>
      </c>
      <c r="U1691" s="5" t="s">
        <v>16848</v>
      </c>
      <c r="V1691" s="5" t="s">
        <v>16849</v>
      </c>
      <c r="W1691" s="5" t="s">
        <v>67</v>
      </c>
      <c r="X1691" s="5" t="s">
        <v>67</v>
      </c>
      <c r="Y1691" s="4">
        <v>710</v>
      </c>
      <c r="Z1691" s="4">
        <v>38</v>
      </c>
      <c r="AA1691" s="4">
        <v>125</v>
      </c>
      <c r="AB1691" s="4">
        <v>4</v>
      </c>
      <c r="AC1691" s="4">
        <v>23</v>
      </c>
      <c r="AD1691" s="4">
        <v>102</v>
      </c>
      <c r="AE1691" s="4">
        <v>165</v>
      </c>
      <c r="AF1691" s="4">
        <v>2</v>
      </c>
      <c r="AG1691" s="4">
        <v>10</v>
      </c>
      <c r="AH1691" s="4">
        <v>86</v>
      </c>
      <c r="AI1691" s="4">
        <v>115</v>
      </c>
      <c r="AJ1691" s="4">
        <v>14</v>
      </c>
      <c r="AK1691" s="4">
        <v>28</v>
      </c>
      <c r="AL1691" s="4">
        <v>54</v>
      </c>
      <c r="AM1691" s="4">
        <v>61</v>
      </c>
      <c r="AN1691" s="4">
        <v>0</v>
      </c>
      <c r="AO1691" s="4">
        <v>0</v>
      </c>
      <c r="AP1691" s="4">
        <v>22</v>
      </c>
      <c r="AQ1691" s="4">
        <v>58</v>
      </c>
      <c r="AR1691" s="3" t="s">
        <v>62</v>
      </c>
      <c r="AS1691" s="3" t="s">
        <v>62</v>
      </c>
      <c r="AT1691" s="3" t="s">
        <v>62</v>
      </c>
      <c r="AV1691" s="6" t="str">
        <f>HYPERLINK("http://mcgill.on.worldcat.org/oclc/311310321","Catalog Record")</f>
        <v>Catalog Record</v>
      </c>
      <c r="AW1691" s="6" t="str">
        <f>HYPERLINK("http://www.worldcat.org/oclc/311310321","WorldCat Record")</f>
        <v>WorldCat Record</v>
      </c>
      <c r="AX1691" s="3" t="s">
        <v>16850</v>
      </c>
      <c r="AY1691" s="3" t="s">
        <v>16851</v>
      </c>
      <c r="AZ1691" s="3" t="s">
        <v>16852</v>
      </c>
      <c r="BA1691" s="3" t="s">
        <v>16852</v>
      </c>
      <c r="BB1691" s="3" t="s">
        <v>16853</v>
      </c>
      <c r="BC1691" s="3" t="s">
        <v>102</v>
      </c>
      <c r="BD1691" s="3" t="s">
        <v>68</v>
      </c>
      <c r="BE1691" s="3" t="s">
        <v>16854</v>
      </c>
      <c r="BF1691" s="3" t="s">
        <v>16853</v>
      </c>
      <c r="BG1691" s="3" t="s">
        <v>16855</v>
      </c>
    </row>
    <row r="1692" spans="1:59" ht="101.5" x14ac:dyDescent="0.35">
      <c r="A1692" s="2" t="s">
        <v>89</v>
      </c>
      <c r="B1692" s="2" t="s">
        <v>12301</v>
      </c>
      <c r="C1692" s="2" t="s">
        <v>16844</v>
      </c>
      <c r="D1692" s="2" t="s">
        <v>16845</v>
      </c>
      <c r="E1692" s="2" t="s">
        <v>16846</v>
      </c>
      <c r="G1692" s="3" t="s">
        <v>62</v>
      </c>
      <c r="I1692" s="3" t="s">
        <v>61</v>
      </c>
      <c r="J1692" s="3" t="s">
        <v>61</v>
      </c>
      <c r="K1692" s="3" t="s">
        <v>63</v>
      </c>
      <c r="M1692" s="2" t="s">
        <v>16847</v>
      </c>
      <c r="N1692" s="3" t="s">
        <v>2985</v>
      </c>
      <c r="O1692" s="2" t="s">
        <v>11716</v>
      </c>
      <c r="P1692" s="3" t="s">
        <v>64</v>
      </c>
      <c r="R1692" s="3" t="s">
        <v>13065</v>
      </c>
      <c r="S1692" s="4">
        <v>98</v>
      </c>
      <c r="T1692" s="4">
        <v>252</v>
      </c>
      <c r="U1692" s="5" t="s">
        <v>16849</v>
      </c>
      <c r="V1692" s="5" t="s">
        <v>16849</v>
      </c>
      <c r="W1692" s="5" t="s">
        <v>67</v>
      </c>
      <c r="X1692" s="5" t="s">
        <v>67</v>
      </c>
      <c r="Y1692" s="4">
        <v>710</v>
      </c>
      <c r="Z1692" s="4">
        <v>38</v>
      </c>
      <c r="AA1692" s="4">
        <v>125</v>
      </c>
      <c r="AB1692" s="4">
        <v>4</v>
      </c>
      <c r="AC1692" s="4">
        <v>23</v>
      </c>
      <c r="AD1692" s="4">
        <v>102</v>
      </c>
      <c r="AE1692" s="4">
        <v>165</v>
      </c>
      <c r="AF1692" s="4">
        <v>2</v>
      </c>
      <c r="AG1692" s="4">
        <v>10</v>
      </c>
      <c r="AH1692" s="4">
        <v>86</v>
      </c>
      <c r="AI1692" s="4">
        <v>115</v>
      </c>
      <c r="AJ1692" s="4">
        <v>14</v>
      </c>
      <c r="AK1692" s="4">
        <v>28</v>
      </c>
      <c r="AL1692" s="4">
        <v>54</v>
      </c>
      <c r="AM1692" s="4">
        <v>61</v>
      </c>
      <c r="AN1692" s="4">
        <v>0</v>
      </c>
      <c r="AO1692" s="4">
        <v>0</v>
      </c>
      <c r="AP1692" s="4">
        <v>22</v>
      </c>
      <c r="AQ1692" s="4">
        <v>58</v>
      </c>
      <c r="AR1692" s="3" t="s">
        <v>62</v>
      </c>
      <c r="AS1692" s="3" t="s">
        <v>62</v>
      </c>
      <c r="AT1692" s="3" t="s">
        <v>62</v>
      </c>
      <c r="AV1692" s="6" t="str">
        <f>HYPERLINK("http://mcgill.on.worldcat.org/oclc/311310321","Catalog Record")</f>
        <v>Catalog Record</v>
      </c>
      <c r="AW1692" s="6" t="str">
        <f>HYPERLINK("http://www.worldcat.org/oclc/311310321","WorldCat Record")</f>
        <v>WorldCat Record</v>
      </c>
      <c r="AX1692" s="3" t="s">
        <v>16850</v>
      </c>
      <c r="AY1692" s="3" t="s">
        <v>16851</v>
      </c>
      <c r="AZ1692" s="3" t="s">
        <v>16852</v>
      </c>
      <c r="BA1692" s="3" t="s">
        <v>16852</v>
      </c>
      <c r="BB1692" s="3" t="s">
        <v>16856</v>
      </c>
      <c r="BC1692" s="3" t="s">
        <v>102</v>
      </c>
      <c r="BD1692" s="3" t="s">
        <v>68</v>
      </c>
      <c r="BE1692" s="3" t="s">
        <v>16854</v>
      </c>
      <c r="BF1692" s="3" t="s">
        <v>16856</v>
      </c>
      <c r="BG1692" s="3" t="s">
        <v>16857</v>
      </c>
    </row>
    <row r="1693" spans="1:59" ht="101.5" x14ac:dyDescent="0.35">
      <c r="A1693" s="2" t="s">
        <v>89</v>
      </c>
      <c r="B1693" s="2" t="s">
        <v>12301</v>
      </c>
      <c r="C1693" s="2" t="s">
        <v>16858</v>
      </c>
      <c r="D1693" s="2" t="s">
        <v>16859</v>
      </c>
      <c r="E1693" s="2" t="s">
        <v>16860</v>
      </c>
      <c r="G1693" s="3" t="s">
        <v>62</v>
      </c>
      <c r="I1693" s="3" t="s">
        <v>62</v>
      </c>
      <c r="J1693" s="3" t="s">
        <v>62</v>
      </c>
      <c r="K1693" s="3" t="s">
        <v>63</v>
      </c>
      <c r="L1693" s="2" t="s">
        <v>16861</v>
      </c>
      <c r="M1693" s="2" t="s">
        <v>16862</v>
      </c>
      <c r="N1693" s="3" t="s">
        <v>698</v>
      </c>
      <c r="O1693" s="2" t="s">
        <v>16863</v>
      </c>
      <c r="P1693" s="3" t="s">
        <v>64</v>
      </c>
      <c r="R1693" s="3" t="s">
        <v>13065</v>
      </c>
      <c r="S1693" s="4">
        <v>22</v>
      </c>
      <c r="T1693" s="4">
        <v>22</v>
      </c>
      <c r="U1693" s="5" t="s">
        <v>2015</v>
      </c>
      <c r="V1693" s="5" t="s">
        <v>2015</v>
      </c>
      <c r="W1693" s="5" t="s">
        <v>67</v>
      </c>
      <c r="X1693" s="5" t="s">
        <v>67</v>
      </c>
      <c r="Y1693" s="4">
        <v>70</v>
      </c>
      <c r="Z1693" s="4">
        <v>4</v>
      </c>
      <c r="AA1693" s="4">
        <v>52</v>
      </c>
      <c r="AB1693" s="4">
        <v>2</v>
      </c>
      <c r="AC1693" s="4">
        <v>15</v>
      </c>
      <c r="AD1693" s="4">
        <v>16</v>
      </c>
      <c r="AE1693" s="4">
        <v>111</v>
      </c>
      <c r="AF1693" s="4">
        <v>1</v>
      </c>
      <c r="AG1693" s="4">
        <v>9</v>
      </c>
      <c r="AH1693" s="4">
        <v>14</v>
      </c>
      <c r="AI1693" s="4">
        <v>85</v>
      </c>
      <c r="AJ1693" s="4">
        <v>2</v>
      </c>
      <c r="AK1693" s="4">
        <v>25</v>
      </c>
      <c r="AL1693" s="4">
        <v>10</v>
      </c>
      <c r="AM1693" s="4">
        <v>46</v>
      </c>
      <c r="AN1693" s="4">
        <v>0</v>
      </c>
      <c r="AO1693" s="4">
        <v>0</v>
      </c>
      <c r="AP1693" s="4">
        <v>2</v>
      </c>
      <c r="AQ1693" s="4">
        <v>34</v>
      </c>
      <c r="AR1693" s="3" t="s">
        <v>62</v>
      </c>
      <c r="AS1693" s="3" t="s">
        <v>62</v>
      </c>
      <c r="AT1693" s="3" t="s">
        <v>62</v>
      </c>
      <c r="AV1693" s="6" t="str">
        <f>HYPERLINK("http://mcgill.on.worldcat.org/oclc/798263818","Catalog Record")</f>
        <v>Catalog Record</v>
      </c>
      <c r="AW1693" s="6" t="str">
        <f>HYPERLINK("http://www.worldcat.org/oclc/798263818","WorldCat Record")</f>
        <v>WorldCat Record</v>
      </c>
      <c r="AX1693" s="3" t="s">
        <v>16864</v>
      </c>
      <c r="AY1693" s="3" t="s">
        <v>16865</v>
      </c>
      <c r="AZ1693" s="3" t="s">
        <v>16866</v>
      </c>
      <c r="BA1693" s="3" t="s">
        <v>16866</v>
      </c>
      <c r="BB1693" s="3" t="s">
        <v>16867</v>
      </c>
      <c r="BC1693" s="3" t="s">
        <v>102</v>
      </c>
      <c r="BD1693" s="3" t="s">
        <v>68</v>
      </c>
      <c r="BE1693" s="3" t="s">
        <v>16868</v>
      </c>
      <c r="BF1693" s="3" t="s">
        <v>16867</v>
      </c>
      <c r="BG1693" s="3" t="s">
        <v>16869</v>
      </c>
    </row>
    <row r="1694" spans="1:59" ht="58" x14ac:dyDescent="0.35">
      <c r="A1694" s="2" t="s">
        <v>89</v>
      </c>
      <c r="B1694" s="2" t="s">
        <v>90</v>
      </c>
      <c r="C1694" s="2" t="s">
        <v>16870</v>
      </c>
      <c r="D1694" s="2" t="s">
        <v>16871</v>
      </c>
      <c r="E1694" s="2" t="s">
        <v>16872</v>
      </c>
      <c r="G1694" s="3" t="s">
        <v>62</v>
      </c>
      <c r="I1694" s="3" t="s">
        <v>62</v>
      </c>
      <c r="J1694" s="3" t="s">
        <v>61</v>
      </c>
      <c r="K1694" s="3" t="s">
        <v>63</v>
      </c>
      <c r="L1694" s="2" t="s">
        <v>16873</v>
      </c>
      <c r="M1694" s="2" t="s">
        <v>16874</v>
      </c>
      <c r="N1694" s="3" t="s">
        <v>880</v>
      </c>
      <c r="O1694" s="2" t="s">
        <v>2163</v>
      </c>
      <c r="P1694" s="3" t="s">
        <v>64</v>
      </c>
      <c r="R1694" s="3" t="s">
        <v>13065</v>
      </c>
      <c r="S1694" s="4">
        <v>4</v>
      </c>
      <c r="T1694" s="4">
        <v>4</v>
      </c>
      <c r="U1694" s="5" t="s">
        <v>88</v>
      </c>
      <c r="V1694" s="5" t="s">
        <v>88</v>
      </c>
      <c r="W1694" s="5" t="s">
        <v>67</v>
      </c>
      <c r="X1694" s="5" t="s">
        <v>67</v>
      </c>
      <c r="Y1694" s="4">
        <v>273</v>
      </c>
      <c r="Z1694" s="4">
        <v>9</v>
      </c>
      <c r="AA1694" s="4">
        <v>62</v>
      </c>
      <c r="AB1694" s="4">
        <v>2</v>
      </c>
      <c r="AC1694" s="4">
        <v>9</v>
      </c>
      <c r="AD1694" s="4">
        <v>19</v>
      </c>
      <c r="AE1694" s="4">
        <v>124</v>
      </c>
      <c r="AF1694" s="4">
        <v>1</v>
      </c>
      <c r="AG1694" s="4">
        <v>5</v>
      </c>
      <c r="AH1694" s="4">
        <v>16</v>
      </c>
      <c r="AI1694" s="4">
        <v>99</v>
      </c>
      <c r="AJ1694" s="4">
        <v>5</v>
      </c>
      <c r="AK1694" s="4">
        <v>23</v>
      </c>
      <c r="AL1694" s="4">
        <v>9</v>
      </c>
      <c r="AM1694" s="4">
        <v>53</v>
      </c>
      <c r="AN1694" s="4">
        <v>0</v>
      </c>
      <c r="AO1694" s="4">
        <v>5</v>
      </c>
      <c r="AP1694" s="4">
        <v>6</v>
      </c>
      <c r="AQ1694" s="4">
        <v>32</v>
      </c>
      <c r="AR1694" s="3" t="s">
        <v>62</v>
      </c>
      <c r="AS1694" s="3" t="s">
        <v>62</v>
      </c>
      <c r="AT1694" s="3" t="s">
        <v>62</v>
      </c>
      <c r="AV1694" s="6" t="str">
        <f>HYPERLINK("http://mcgill.on.worldcat.org/oclc/615926697","Catalog Record")</f>
        <v>Catalog Record</v>
      </c>
      <c r="AW1694" s="6" t="str">
        <f>HYPERLINK("http://www.worldcat.org/oclc/615926697","WorldCat Record")</f>
        <v>WorldCat Record</v>
      </c>
      <c r="AX1694" s="3" t="s">
        <v>16875</v>
      </c>
      <c r="AY1694" s="3" t="s">
        <v>16876</v>
      </c>
      <c r="AZ1694" s="3" t="s">
        <v>16877</v>
      </c>
      <c r="BA1694" s="3" t="s">
        <v>16877</v>
      </c>
      <c r="BB1694" s="3" t="s">
        <v>16878</v>
      </c>
      <c r="BC1694" s="3" t="s">
        <v>102</v>
      </c>
      <c r="BD1694" s="3" t="s">
        <v>68</v>
      </c>
      <c r="BE1694" s="3" t="s">
        <v>16879</v>
      </c>
      <c r="BF1694" s="3" t="s">
        <v>16878</v>
      </c>
      <c r="BG1694" s="3" t="s">
        <v>16880</v>
      </c>
    </row>
    <row r="1695" spans="1:59" ht="101.5" x14ac:dyDescent="0.35">
      <c r="A1695" s="2" t="s">
        <v>89</v>
      </c>
      <c r="B1695" s="2" t="s">
        <v>12301</v>
      </c>
      <c r="C1695" s="2" t="s">
        <v>16881</v>
      </c>
      <c r="D1695" s="2" t="s">
        <v>16882</v>
      </c>
      <c r="E1695" s="2" t="s">
        <v>16883</v>
      </c>
      <c r="G1695" s="3" t="s">
        <v>62</v>
      </c>
      <c r="I1695" s="3" t="s">
        <v>61</v>
      </c>
      <c r="J1695" s="3" t="s">
        <v>62</v>
      </c>
      <c r="K1695" s="3" t="s">
        <v>63</v>
      </c>
      <c r="L1695" s="2" t="s">
        <v>16884</v>
      </c>
      <c r="M1695" s="2" t="s">
        <v>16885</v>
      </c>
      <c r="N1695" s="3" t="s">
        <v>1455</v>
      </c>
      <c r="O1695" s="2" t="s">
        <v>16886</v>
      </c>
      <c r="P1695" s="3" t="s">
        <v>64</v>
      </c>
      <c r="R1695" s="3" t="s">
        <v>13065</v>
      </c>
      <c r="S1695" s="4">
        <v>23</v>
      </c>
      <c r="T1695" s="4">
        <v>43</v>
      </c>
      <c r="U1695" s="5" t="s">
        <v>16887</v>
      </c>
      <c r="V1695" s="5" t="s">
        <v>16887</v>
      </c>
      <c r="W1695" s="5" t="s">
        <v>67</v>
      </c>
      <c r="X1695" s="5" t="s">
        <v>67</v>
      </c>
      <c r="Y1695" s="4">
        <v>417</v>
      </c>
      <c r="Z1695" s="4">
        <v>16</v>
      </c>
      <c r="AA1695" s="4">
        <v>30</v>
      </c>
      <c r="AB1695" s="4">
        <v>3</v>
      </c>
      <c r="AC1695" s="4">
        <v>7</v>
      </c>
      <c r="AD1695" s="4">
        <v>61</v>
      </c>
      <c r="AE1695" s="4">
        <v>93</v>
      </c>
      <c r="AF1695" s="4">
        <v>1</v>
      </c>
      <c r="AG1695" s="4">
        <v>4</v>
      </c>
      <c r="AH1695" s="4">
        <v>53</v>
      </c>
      <c r="AI1695" s="4">
        <v>78</v>
      </c>
      <c r="AJ1695" s="4">
        <v>7</v>
      </c>
      <c r="AK1695" s="4">
        <v>15</v>
      </c>
      <c r="AL1695" s="4">
        <v>36</v>
      </c>
      <c r="AM1695" s="4">
        <v>46</v>
      </c>
      <c r="AN1695" s="4">
        <v>0</v>
      </c>
      <c r="AO1695" s="4">
        <v>0</v>
      </c>
      <c r="AP1695" s="4">
        <v>9</v>
      </c>
      <c r="AQ1695" s="4">
        <v>20</v>
      </c>
      <c r="AR1695" s="3" t="s">
        <v>62</v>
      </c>
      <c r="AS1695" s="3" t="s">
        <v>62</v>
      </c>
      <c r="AT1695" s="3" t="s">
        <v>62</v>
      </c>
      <c r="AV1695" s="6" t="str">
        <f>HYPERLINK("http://mcgill.on.worldcat.org/oclc/913477191","Catalog Record")</f>
        <v>Catalog Record</v>
      </c>
      <c r="AW1695" s="6" t="str">
        <f>HYPERLINK("http://www.worldcat.org/oclc/913477191","WorldCat Record")</f>
        <v>WorldCat Record</v>
      </c>
      <c r="AX1695" s="3" t="s">
        <v>16888</v>
      </c>
      <c r="AY1695" s="3" t="s">
        <v>16889</v>
      </c>
      <c r="AZ1695" s="3" t="s">
        <v>16890</v>
      </c>
      <c r="BA1695" s="3" t="s">
        <v>16890</v>
      </c>
      <c r="BB1695" s="3" t="s">
        <v>16891</v>
      </c>
      <c r="BC1695" s="3" t="s">
        <v>102</v>
      </c>
      <c r="BD1695" s="3" t="s">
        <v>68</v>
      </c>
      <c r="BE1695" s="3" t="s">
        <v>16892</v>
      </c>
      <c r="BF1695" s="3" t="s">
        <v>16891</v>
      </c>
      <c r="BG1695" s="3" t="s">
        <v>16893</v>
      </c>
    </row>
    <row r="1696" spans="1:59" ht="101.5" x14ac:dyDescent="0.35">
      <c r="A1696" s="2" t="s">
        <v>89</v>
      </c>
      <c r="B1696" s="2" t="s">
        <v>12301</v>
      </c>
      <c r="C1696" s="2" t="s">
        <v>16881</v>
      </c>
      <c r="D1696" s="2" t="s">
        <v>16882</v>
      </c>
      <c r="E1696" s="2" t="s">
        <v>16883</v>
      </c>
      <c r="G1696" s="3" t="s">
        <v>62</v>
      </c>
      <c r="I1696" s="3" t="s">
        <v>61</v>
      </c>
      <c r="J1696" s="3" t="s">
        <v>62</v>
      </c>
      <c r="K1696" s="3" t="s">
        <v>63</v>
      </c>
      <c r="L1696" s="2" t="s">
        <v>16884</v>
      </c>
      <c r="M1696" s="2" t="s">
        <v>16885</v>
      </c>
      <c r="N1696" s="3" t="s">
        <v>1455</v>
      </c>
      <c r="O1696" s="2" t="s">
        <v>16886</v>
      </c>
      <c r="P1696" s="3" t="s">
        <v>64</v>
      </c>
      <c r="R1696" s="3" t="s">
        <v>13065</v>
      </c>
      <c r="S1696" s="4">
        <v>20</v>
      </c>
      <c r="T1696" s="4">
        <v>43</v>
      </c>
      <c r="U1696" s="5" t="s">
        <v>16894</v>
      </c>
      <c r="V1696" s="5" t="s">
        <v>16887</v>
      </c>
      <c r="W1696" s="5" t="s">
        <v>67</v>
      </c>
      <c r="X1696" s="5" t="s">
        <v>67</v>
      </c>
      <c r="Y1696" s="4">
        <v>417</v>
      </c>
      <c r="Z1696" s="4">
        <v>16</v>
      </c>
      <c r="AA1696" s="4">
        <v>30</v>
      </c>
      <c r="AB1696" s="4">
        <v>3</v>
      </c>
      <c r="AC1696" s="4">
        <v>7</v>
      </c>
      <c r="AD1696" s="4">
        <v>61</v>
      </c>
      <c r="AE1696" s="4">
        <v>93</v>
      </c>
      <c r="AF1696" s="4">
        <v>1</v>
      </c>
      <c r="AG1696" s="4">
        <v>4</v>
      </c>
      <c r="AH1696" s="4">
        <v>53</v>
      </c>
      <c r="AI1696" s="4">
        <v>78</v>
      </c>
      <c r="AJ1696" s="4">
        <v>7</v>
      </c>
      <c r="AK1696" s="4">
        <v>15</v>
      </c>
      <c r="AL1696" s="4">
        <v>36</v>
      </c>
      <c r="AM1696" s="4">
        <v>46</v>
      </c>
      <c r="AN1696" s="4">
        <v>0</v>
      </c>
      <c r="AO1696" s="4">
        <v>0</v>
      </c>
      <c r="AP1696" s="4">
        <v>9</v>
      </c>
      <c r="AQ1696" s="4">
        <v>20</v>
      </c>
      <c r="AR1696" s="3" t="s">
        <v>62</v>
      </c>
      <c r="AS1696" s="3" t="s">
        <v>62</v>
      </c>
      <c r="AT1696" s="3" t="s">
        <v>62</v>
      </c>
      <c r="AV1696" s="6" t="str">
        <f>HYPERLINK("http://mcgill.on.worldcat.org/oclc/913477191","Catalog Record")</f>
        <v>Catalog Record</v>
      </c>
      <c r="AW1696" s="6" t="str">
        <f>HYPERLINK("http://www.worldcat.org/oclc/913477191","WorldCat Record")</f>
        <v>WorldCat Record</v>
      </c>
      <c r="AX1696" s="3" t="s">
        <v>16888</v>
      </c>
      <c r="AY1696" s="3" t="s">
        <v>16889</v>
      </c>
      <c r="AZ1696" s="3" t="s">
        <v>16890</v>
      </c>
      <c r="BA1696" s="3" t="s">
        <v>16890</v>
      </c>
      <c r="BB1696" s="3" t="s">
        <v>16895</v>
      </c>
      <c r="BC1696" s="3" t="s">
        <v>102</v>
      </c>
      <c r="BD1696" s="3" t="s">
        <v>68</v>
      </c>
      <c r="BE1696" s="3" t="s">
        <v>16892</v>
      </c>
      <c r="BF1696" s="3" t="s">
        <v>16895</v>
      </c>
      <c r="BG1696" s="3" t="s">
        <v>16896</v>
      </c>
    </row>
    <row r="1697" spans="1:59" ht="58" x14ac:dyDescent="0.35">
      <c r="A1697" s="2" t="s">
        <v>89</v>
      </c>
      <c r="B1697" s="2" t="s">
        <v>90</v>
      </c>
      <c r="C1697" s="2" t="s">
        <v>16897</v>
      </c>
      <c r="D1697" s="2" t="s">
        <v>16898</v>
      </c>
      <c r="E1697" s="2" t="s">
        <v>16899</v>
      </c>
      <c r="G1697" s="3" t="s">
        <v>62</v>
      </c>
      <c r="I1697" s="3" t="s">
        <v>61</v>
      </c>
      <c r="J1697" s="3" t="s">
        <v>61</v>
      </c>
      <c r="K1697" s="3" t="s">
        <v>63</v>
      </c>
      <c r="L1697" s="2" t="s">
        <v>16900</v>
      </c>
      <c r="M1697" s="2" t="s">
        <v>16901</v>
      </c>
      <c r="N1697" s="3" t="s">
        <v>355</v>
      </c>
      <c r="O1697" s="2" t="s">
        <v>2986</v>
      </c>
      <c r="P1697" s="3" t="s">
        <v>64</v>
      </c>
      <c r="R1697" s="3" t="s">
        <v>13065</v>
      </c>
      <c r="S1697" s="4">
        <v>0</v>
      </c>
      <c r="T1697" s="4">
        <v>85</v>
      </c>
      <c r="V1697" s="5" t="s">
        <v>16902</v>
      </c>
      <c r="W1697" s="5" t="s">
        <v>67</v>
      </c>
      <c r="X1697" s="5" t="s">
        <v>67</v>
      </c>
      <c r="Y1697" s="4">
        <v>468</v>
      </c>
      <c r="Z1697" s="4">
        <v>20</v>
      </c>
      <c r="AA1697" s="4">
        <v>80</v>
      </c>
      <c r="AB1697" s="4">
        <v>3</v>
      </c>
      <c r="AC1697" s="4">
        <v>16</v>
      </c>
      <c r="AD1697" s="4">
        <v>84</v>
      </c>
      <c r="AE1697" s="4">
        <v>150</v>
      </c>
      <c r="AF1697" s="4">
        <v>1</v>
      </c>
      <c r="AG1697" s="4">
        <v>8</v>
      </c>
      <c r="AH1697" s="4">
        <v>73</v>
      </c>
      <c r="AI1697" s="4">
        <v>112</v>
      </c>
      <c r="AJ1697" s="4">
        <v>15</v>
      </c>
      <c r="AK1697" s="4">
        <v>29</v>
      </c>
      <c r="AL1697" s="4">
        <v>45</v>
      </c>
      <c r="AM1697" s="4">
        <v>61</v>
      </c>
      <c r="AN1697" s="4">
        <v>0</v>
      </c>
      <c r="AO1697" s="4">
        <v>0</v>
      </c>
      <c r="AP1697" s="4">
        <v>14</v>
      </c>
      <c r="AQ1697" s="4">
        <v>44</v>
      </c>
      <c r="AR1697" s="3" t="s">
        <v>62</v>
      </c>
      <c r="AS1697" s="3" t="s">
        <v>62</v>
      </c>
      <c r="AT1697" s="3" t="s">
        <v>61</v>
      </c>
      <c r="AU1697" s="6" t="str">
        <f>HYPERLINK("http://catalog.hathitrust.org/Record/000245329","HathiTrust Record")</f>
        <v>HathiTrust Record</v>
      </c>
      <c r="AV1697" s="6" t="str">
        <f>HYPERLINK("http://mcgill.on.worldcat.org/oclc/9197831","Catalog Record")</f>
        <v>Catalog Record</v>
      </c>
      <c r="AW1697" s="6" t="str">
        <f>HYPERLINK("http://www.worldcat.org/oclc/9197831","WorldCat Record")</f>
        <v>WorldCat Record</v>
      </c>
      <c r="AX1697" s="3" t="s">
        <v>16903</v>
      </c>
      <c r="AY1697" s="3" t="s">
        <v>16904</v>
      </c>
      <c r="AZ1697" s="3" t="s">
        <v>16905</v>
      </c>
      <c r="BA1697" s="3" t="s">
        <v>16905</v>
      </c>
      <c r="BB1697" s="3" t="s">
        <v>16906</v>
      </c>
      <c r="BC1697" s="3" t="s">
        <v>102</v>
      </c>
      <c r="BD1697" s="3" t="s">
        <v>68</v>
      </c>
      <c r="BE1697" s="3" t="s">
        <v>16907</v>
      </c>
      <c r="BF1697" s="3" t="s">
        <v>16906</v>
      </c>
      <c r="BG1697" s="3" t="s">
        <v>16908</v>
      </c>
    </row>
    <row r="1698" spans="1:59" ht="116" x14ac:dyDescent="0.35">
      <c r="A1698" s="2" t="s">
        <v>89</v>
      </c>
      <c r="B1698" s="2" t="s">
        <v>3312</v>
      </c>
      <c r="C1698" s="2" t="s">
        <v>16909</v>
      </c>
      <c r="D1698" s="2" t="s">
        <v>16910</v>
      </c>
      <c r="E1698" s="2" t="s">
        <v>16911</v>
      </c>
      <c r="G1698" s="3" t="s">
        <v>62</v>
      </c>
      <c r="I1698" s="3" t="s">
        <v>62</v>
      </c>
      <c r="J1698" s="3" t="s">
        <v>62</v>
      </c>
      <c r="K1698" s="3" t="s">
        <v>63</v>
      </c>
      <c r="M1698" s="2" t="s">
        <v>16912</v>
      </c>
      <c r="N1698" s="3" t="s">
        <v>712</v>
      </c>
      <c r="O1698" s="2" t="s">
        <v>15263</v>
      </c>
      <c r="P1698" s="3" t="s">
        <v>15264</v>
      </c>
      <c r="Q1698" s="2" t="s">
        <v>16913</v>
      </c>
      <c r="R1698" s="3" t="s">
        <v>13065</v>
      </c>
      <c r="S1698" s="4">
        <v>0</v>
      </c>
      <c r="T1698" s="4">
        <v>0</v>
      </c>
      <c r="W1698" s="5" t="s">
        <v>67</v>
      </c>
      <c r="X1698" s="5" t="s">
        <v>67</v>
      </c>
      <c r="Y1698" s="4">
        <v>10</v>
      </c>
      <c r="Z1698" s="4">
        <v>1</v>
      </c>
      <c r="AA1698" s="4">
        <v>1</v>
      </c>
      <c r="AB1698" s="4">
        <v>1</v>
      </c>
      <c r="AC1698" s="4">
        <v>1</v>
      </c>
      <c r="AD1698" s="4">
        <v>8</v>
      </c>
      <c r="AE1698" s="4">
        <v>8</v>
      </c>
      <c r="AF1698" s="4">
        <v>0</v>
      </c>
      <c r="AG1698" s="4">
        <v>0</v>
      </c>
      <c r="AH1698" s="4">
        <v>8</v>
      </c>
      <c r="AI1698" s="4">
        <v>8</v>
      </c>
      <c r="AJ1698" s="4">
        <v>0</v>
      </c>
      <c r="AK1698" s="4">
        <v>0</v>
      </c>
      <c r="AL1698" s="4">
        <v>7</v>
      </c>
      <c r="AM1698" s="4">
        <v>7</v>
      </c>
      <c r="AN1698" s="4">
        <v>0</v>
      </c>
      <c r="AO1698" s="4">
        <v>0</v>
      </c>
      <c r="AP1698" s="4">
        <v>0</v>
      </c>
      <c r="AQ1698" s="4">
        <v>0</v>
      </c>
      <c r="AR1698" s="3" t="s">
        <v>62</v>
      </c>
      <c r="AS1698" s="3" t="s">
        <v>62</v>
      </c>
      <c r="AT1698" s="3" t="s">
        <v>62</v>
      </c>
      <c r="AV1698" s="6" t="str">
        <f>HYPERLINK("http://mcgill.on.worldcat.org/oclc/896817809","Catalog Record")</f>
        <v>Catalog Record</v>
      </c>
      <c r="AW1698" s="6" t="str">
        <f>HYPERLINK("http://www.worldcat.org/oclc/896817809","WorldCat Record")</f>
        <v>WorldCat Record</v>
      </c>
      <c r="AX1698" s="3" t="s">
        <v>16914</v>
      </c>
      <c r="AY1698" s="3" t="s">
        <v>16915</v>
      </c>
      <c r="AZ1698" s="3" t="s">
        <v>16916</v>
      </c>
      <c r="BA1698" s="3" t="s">
        <v>16916</v>
      </c>
      <c r="BB1698" s="3" t="s">
        <v>16917</v>
      </c>
      <c r="BC1698" s="3" t="s">
        <v>102</v>
      </c>
      <c r="BD1698" s="3" t="s">
        <v>68</v>
      </c>
      <c r="BE1698" s="3" t="s">
        <v>16918</v>
      </c>
      <c r="BF1698" s="3" t="s">
        <v>16917</v>
      </c>
      <c r="BG1698" s="3" t="s">
        <v>16919</v>
      </c>
    </row>
    <row r="1699" spans="1:59" ht="58" x14ac:dyDescent="0.35">
      <c r="A1699" s="2" t="s">
        <v>89</v>
      </c>
      <c r="B1699" s="2" t="s">
        <v>90</v>
      </c>
      <c r="C1699" s="2" t="s">
        <v>16920</v>
      </c>
      <c r="D1699" s="2" t="s">
        <v>16921</v>
      </c>
      <c r="E1699" s="2" t="s">
        <v>16922</v>
      </c>
      <c r="G1699" s="3" t="s">
        <v>62</v>
      </c>
      <c r="I1699" s="3" t="s">
        <v>62</v>
      </c>
      <c r="J1699" s="3" t="s">
        <v>62</v>
      </c>
      <c r="K1699" s="3" t="s">
        <v>63</v>
      </c>
      <c r="M1699" s="2" t="s">
        <v>16923</v>
      </c>
      <c r="N1699" s="3" t="s">
        <v>3062</v>
      </c>
      <c r="P1699" s="3" t="s">
        <v>64</v>
      </c>
      <c r="R1699" s="3" t="s">
        <v>13065</v>
      </c>
      <c r="S1699" s="4">
        <v>2</v>
      </c>
      <c r="T1699" s="4">
        <v>2</v>
      </c>
      <c r="U1699" s="5" t="s">
        <v>16924</v>
      </c>
      <c r="V1699" s="5" t="s">
        <v>16924</v>
      </c>
      <c r="W1699" s="5" t="s">
        <v>67</v>
      </c>
      <c r="X1699" s="5" t="s">
        <v>67</v>
      </c>
      <c r="Y1699" s="4">
        <v>180</v>
      </c>
      <c r="Z1699" s="4">
        <v>12</v>
      </c>
      <c r="AA1699" s="4">
        <v>17</v>
      </c>
      <c r="AB1699" s="4">
        <v>1</v>
      </c>
      <c r="AC1699" s="4">
        <v>5</v>
      </c>
      <c r="AD1699" s="4">
        <v>74</v>
      </c>
      <c r="AE1699" s="4">
        <v>77</v>
      </c>
      <c r="AF1699" s="4">
        <v>0</v>
      </c>
      <c r="AG1699" s="4">
        <v>2</v>
      </c>
      <c r="AH1699" s="4">
        <v>66</v>
      </c>
      <c r="AI1699" s="4">
        <v>66</v>
      </c>
      <c r="AJ1699" s="4">
        <v>9</v>
      </c>
      <c r="AK1699" s="4">
        <v>12</v>
      </c>
      <c r="AL1699" s="4">
        <v>43</v>
      </c>
      <c r="AM1699" s="4">
        <v>43</v>
      </c>
      <c r="AN1699" s="4">
        <v>0</v>
      </c>
      <c r="AO1699" s="4">
        <v>0</v>
      </c>
      <c r="AP1699" s="4">
        <v>10</v>
      </c>
      <c r="AQ1699" s="4">
        <v>12</v>
      </c>
      <c r="AR1699" s="3" t="s">
        <v>62</v>
      </c>
      <c r="AS1699" s="3" t="s">
        <v>62</v>
      </c>
      <c r="AT1699" s="3" t="s">
        <v>61</v>
      </c>
      <c r="AU1699" s="6" t="str">
        <f>HYPERLINK("http://catalog.hathitrust.org/Record/002501799","HathiTrust Record")</f>
        <v>HathiTrust Record</v>
      </c>
      <c r="AV1699" s="6" t="str">
        <f>HYPERLINK("http://mcgill.on.worldcat.org/oclc/27810927","Catalog Record")</f>
        <v>Catalog Record</v>
      </c>
      <c r="AW1699" s="6" t="str">
        <f>HYPERLINK("http://www.worldcat.org/oclc/27810927","WorldCat Record")</f>
        <v>WorldCat Record</v>
      </c>
      <c r="AX1699" s="3" t="s">
        <v>16925</v>
      </c>
      <c r="AY1699" s="3" t="s">
        <v>16926</v>
      </c>
      <c r="AZ1699" s="3" t="s">
        <v>16927</v>
      </c>
      <c r="BA1699" s="3" t="s">
        <v>16927</v>
      </c>
      <c r="BB1699" s="3" t="s">
        <v>16928</v>
      </c>
      <c r="BC1699" s="3" t="s">
        <v>102</v>
      </c>
      <c r="BD1699" s="3" t="s">
        <v>68</v>
      </c>
      <c r="BE1699" s="3" t="s">
        <v>16929</v>
      </c>
      <c r="BF1699" s="3" t="s">
        <v>16928</v>
      </c>
      <c r="BG1699" s="3" t="s">
        <v>16930</v>
      </c>
    </row>
    <row r="1700" spans="1:59" ht="101.5" x14ac:dyDescent="0.35">
      <c r="A1700" s="2" t="s">
        <v>89</v>
      </c>
      <c r="B1700" s="2" t="s">
        <v>12301</v>
      </c>
      <c r="C1700" s="2" t="s">
        <v>16931</v>
      </c>
      <c r="D1700" s="2" t="s">
        <v>16932</v>
      </c>
      <c r="E1700" s="2" t="s">
        <v>16933</v>
      </c>
      <c r="G1700" s="3" t="s">
        <v>62</v>
      </c>
      <c r="I1700" s="3" t="s">
        <v>61</v>
      </c>
      <c r="J1700" s="3" t="s">
        <v>61</v>
      </c>
      <c r="K1700" s="3" t="s">
        <v>63</v>
      </c>
      <c r="L1700" s="2" t="s">
        <v>16934</v>
      </c>
      <c r="M1700" s="2" t="s">
        <v>16935</v>
      </c>
      <c r="N1700" s="3" t="s">
        <v>1722</v>
      </c>
      <c r="P1700" s="3" t="s">
        <v>64</v>
      </c>
      <c r="R1700" s="3" t="s">
        <v>13065</v>
      </c>
      <c r="S1700" s="4">
        <v>14</v>
      </c>
      <c r="T1700" s="4">
        <v>138</v>
      </c>
      <c r="U1700" s="5" t="s">
        <v>16936</v>
      </c>
      <c r="V1700" s="5" t="s">
        <v>15954</v>
      </c>
      <c r="W1700" s="5" t="s">
        <v>67</v>
      </c>
      <c r="X1700" s="5" t="s">
        <v>67</v>
      </c>
      <c r="Y1700" s="4">
        <v>3</v>
      </c>
      <c r="Z1700" s="4">
        <v>1</v>
      </c>
      <c r="AA1700" s="4">
        <v>1</v>
      </c>
      <c r="AB1700" s="4">
        <v>1</v>
      </c>
      <c r="AC1700" s="4">
        <v>1</v>
      </c>
      <c r="AD1700" s="4">
        <v>1</v>
      </c>
      <c r="AE1700" s="4">
        <v>1</v>
      </c>
      <c r="AF1700" s="4">
        <v>0</v>
      </c>
      <c r="AG1700" s="4">
        <v>0</v>
      </c>
      <c r="AH1700" s="4">
        <v>1</v>
      </c>
      <c r="AI1700" s="4">
        <v>1</v>
      </c>
      <c r="AJ1700" s="4">
        <v>0</v>
      </c>
      <c r="AK1700" s="4">
        <v>0</v>
      </c>
      <c r="AL1700" s="4">
        <v>0</v>
      </c>
      <c r="AM1700" s="4">
        <v>0</v>
      </c>
      <c r="AN1700" s="4">
        <v>0</v>
      </c>
      <c r="AO1700" s="4">
        <v>0</v>
      </c>
      <c r="AP1700" s="4">
        <v>0</v>
      </c>
      <c r="AQ1700" s="4">
        <v>0</v>
      </c>
      <c r="AR1700" s="3" t="s">
        <v>62</v>
      </c>
      <c r="AS1700" s="3" t="s">
        <v>62</v>
      </c>
      <c r="AT1700" s="3" t="s">
        <v>62</v>
      </c>
      <c r="AV1700" s="6" t="str">
        <f>HYPERLINK("http://mcgill.on.worldcat.org/oclc/251199659","Catalog Record")</f>
        <v>Catalog Record</v>
      </c>
      <c r="AW1700" s="6" t="str">
        <f>HYPERLINK("http://www.worldcat.org/oclc/251199659","WorldCat Record")</f>
        <v>WorldCat Record</v>
      </c>
      <c r="AX1700" s="3" t="s">
        <v>16937</v>
      </c>
      <c r="AY1700" s="3" t="s">
        <v>16938</v>
      </c>
      <c r="AZ1700" s="3" t="s">
        <v>16939</v>
      </c>
      <c r="BA1700" s="3" t="s">
        <v>16939</v>
      </c>
      <c r="BB1700" s="3" t="s">
        <v>16940</v>
      </c>
      <c r="BC1700" s="3" t="s">
        <v>102</v>
      </c>
      <c r="BD1700" s="3" t="s">
        <v>68</v>
      </c>
      <c r="BE1700" s="3" t="s">
        <v>16941</v>
      </c>
      <c r="BF1700" s="3" t="s">
        <v>16940</v>
      </c>
      <c r="BG1700" s="3" t="s">
        <v>16942</v>
      </c>
    </row>
    <row r="1701" spans="1:59" ht="101.5" x14ac:dyDescent="0.35">
      <c r="A1701" s="2" t="s">
        <v>89</v>
      </c>
      <c r="B1701" s="2" t="s">
        <v>12301</v>
      </c>
      <c r="C1701" s="2" t="s">
        <v>16931</v>
      </c>
      <c r="D1701" s="2" t="s">
        <v>16932</v>
      </c>
      <c r="E1701" s="2" t="s">
        <v>16933</v>
      </c>
      <c r="G1701" s="3" t="s">
        <v>62</v>
      </c>
      <c r="I1701" s="3" t="s">
        <v>61</v>
      </c>
      <c r="J1701" s="3" t="s">
        <v>61</v>
      </c>
      <c r="K1701" s="3" t="s">
        <v>63</v>
      </c>
      <c r="L1701" s="2" t="s">
        <v>16934</v>
      </c>
      <c r="M1701" s="2" t="s">
        <v>16935</v>
      </c>
      <c r="N1701" s="3" t="s">
        <v>1722</v>
      </c>
      <c r="P1701" s="3" t="s">
        <v>64</v>
      </c>
      <c r="R1701" s="3" t="s">
        <v>13065</v>
      </c>
      <c r="S1701" s="4">
        <v>100</v>
      </c>
      <c r="T1701" s="4">
        <v>138</v>
      </c>
      <c r="U1701" s="5" t="s">
        <v>15954</v>
      </c>
      <c r="V1701" s="5" t="s">
        <v>15954</v>
      </c>
      <c r="W1701" s="5" t="s">
        <v>67</v>
      </c>
      <c r="X1701" s="5" t="s">
        <v>67</v>
      </c>
      <c r="Y1701" s="4">
        <v>3</v>
      </c>
      <c r="Z1701" s="4">
        <v>1</v>
      </c>
      <c r="AA1701" s="4">
        <v>1</v>
      </c>
      <c r="AB1701" s="4">
        <v>1</v>
      </c>
      <c r="AC1701" s="4">
        <v>1</v>
      </c>
      <c r="AD1701" s="4">
        <v>1</v>
      </c>
      <c r="AE1701" s="4">
        <v>1</v>
      </c>
      <c r="AF1701" s="4">
        <v>0</v>
      </c>
      <c r="AG1701" s="4">
        <v>0</v>
      </c>
      <c r="AH1701" s="4">
        <v>1</v>
      </c>
      <c r="AI1701" s="4">
        <v>1</v>
      </c>
      <c r="AJ1701" s="4">
        <v>0</v>
      </c>
      <c r="AK1701" s="4">
        <v>0</v>
      </c>
      <c r="AL1701" s="4">
        <v>0</v>
      </c>
      <c r="AM1701" s="4">
        <v>0</v>
      </c>
      <c r="AN1701" s="4">
        <v>0</v>
      </c>
      <c r="AO1701" s="4">
        <v>0</v>
      </c>
      <c r="AP1701" s="4">
        <v>0</v>
      </c>
      <c r="AQ1701" s="4">
        <v>0</v>
      </c>
      <c r="AR1701" s="3" t="s">
        <v>62</v>
      </c>
      <c r="AS1701" s="3" t="s">
        <v>62</v>
      </c>
      <c r="AT1701" s="3" t="s">
        <v>62</v>
      </c>
      <c r="AV1701" s="6" t="str">
        <f>HYPERLINK("http://mcgill.on.worldcat.org/oclc/251199659","Catalog Record")</f>
        <v>Catalog Record</v>
      </c>
      <c r="AW1701" s="6" t="str">
        <f>HYPERLINK("http://www.worldcat.org/oclc/251199659","WorldCat Record")</f>
        <v>WorldCat Record</v>
      </c>
      <c r="AX1701" s="3" t="s">
        <v>16937</v>
      </c>
      <c r="AY1701" s="3" t="s">
        <v>16938</v>
      </c>
      <c r="AZ1701" s="3" t="s">
        <v>16939</v>
      </c>
      <c r="BA1701" s="3" t="s">
        <v>16939</v>
      </c>
      <c r="BB1701" s="3" t="s">
        <v>16943</v>
      </c>
      <c r="BC1701" s="3" t="s">
        <v>102</v>
      </c>
      <c r="BD1701" s="3" t="s">
        <v>68</v>
      </c>
      <c r="BE1701" s="3" t="s">
        <v>16941</v>
      </c>
      <c r="BF1701" s="3" t="s">
        <v>16943</v>
      </c>
      <c r="BG1701" s="3" t="s">
        <v>16944</v>
      </c>
    </row>
    <row r="1702" spans="1:59" ht="101.5" x14ac:dyDescent="0.35">
      <c r="A1702" s="2" t="s">
        <v>89</v>
      </c>
      <c r="B1702" s="2" t="s">
        <v>12301</v>
      </c>
      <c r="C1702" s="2" t="s">
        <v>16931</v>
      </c>
      <c r="D1702" s="2" t="s">
        <v>16932</v>
      </c>
      <c r="E1702" s="2" t="s">
        <v>16933</v>
      </c>
      <c r="G1702" s="3" t="s">
        <v>62</v>
      </c>
      <c r="I1702" s="3" t="s">
        <v>61</v>
      </c>
      <c r="J1702" s="3" t="s">
        <v>61</v>
      </c>
      <c r="K1702" s="3" t="s">
        <v>63</v>
      </c>
      <c r="L1702" s="2" t="s">
        <v>16934</v>
      </c>
      <c r="M1702" s="2" t="s">
        <v>16935</v>
      </c>
      <c r="N1702" s="3" t="s">
        <v>1722</v>
      </c>
      <c r="P1702" s="3" t="s">
        <v>64</v>
      </c>
      <c r="R1702" s="3" t="s">
        <v>13065</v>
      </c>
      <c r="S1702" s="4">
        <v>24</v>
      </c>
      <c r="T1702" s="4">
        <v>138</v>
      </c>
      <c r="U1702" s="5" t="s">
        <v>3441</v>
      </c>
      <c r="V1702" s="5" t="s">
        <v>15954</v>
      </c>
      <c r="W1702" s="5" t="s">
        <v>67</v>
      </c>
      <c r="X1702" s="5" t="s">
        <v>67</v>
      </c>
      <c r="Y1702" s="4">
        <v>3</v>
      </c>
      <c r="Z1702" s="4">
        <v>1</v>
      </c>
      <c r="AA1702" s="4">
        <v>1</v>
      </c>
      <c r="AB1702" s="4">
        <v>1</v>
      </c>
      <c r="AC1702" s="4">
        <v>1</v>
      </c>
      <c r="AD1702" s="4">
        <v>1</v>
      </c>
      <c r="AE1702" s="4">
        <v>1</v>
      </c>
      <c r="AF1702" s="4">
        <v>0</v>
      </c>
      <c r="AG1702" s="4">
        <v>0</v>
      </c>
      <c r="AH1702" s="4">
        <v>1</v>
      </c>
      <c r="AI1702" s="4">
        <v>1</v>
      </c>
      <c r="AJ1702" s="4">
        <v>0</v>
      </c>
      <c r="AK1702" s="4">
        <v>0</v>
      </c>
      <c r="AL1702" s="4">
        <v>0</v>
      </c>
      <c r="AM1702" s="4">
        <v>0</v>
      </c>
      <c r="AN1702" s="4">
        <v>0</v>
      </c>
      <c r="AO1702" s="4">
        <v>0</v>
      </c>
      <c r="AP1702" s="4">
        <v>0</v>
      </c>
      <c r="AQ1702" s="4">
        <v>0</v>
      </c>
      <c r="AR1702" s="3" t="s">
        <v>62</v>
      </c>
      <c r="AS1702" s="3" t="s">
        <v>62</v>
      </c>
      <c r="AT1702" s="3" t="s">
        <v>62</v>
      </c>
      <c r="AV1702" s="6" t="str">
        <f>HYPERLINK("http://mcgill.on.worldcat.org/oclc/251199659","Catalog Record")</f>
        <v>Catalog Record</v>
      </c>
      <c r="AW1702" s="6" t="str">
        <f>HYPERLINK("http://www.worldcat.org/oclc/251199659","WorldCat Record")</f>
        <v>WorldCat Record</v>
      </c>
      <c r="AX1702" s="3" t="s">
        <v>16937</v>
      </c>
      <c r="AY1702" s="3" t="s">
        <v>16938</v>
      </c>
      <c r="AZ1702" s="3" t="s">
        <v>16939</v>
      </c>
      <c r="BA1702" s="3" t="s">
        <v>16939</v>
      </c>
      <c r="BB1702" s="3" t="s">
        <v>16945</v>
      </c>
      <c r="BC1702" s="3" t="s">
        <v>102</v>
      </c>
      <c r="BD1702" s="3" t="s">
        <v>68</v>
      </c>
      <c r="BE1702" s="3" t="s">
        <v>16941</v>
      </c>
      <c r="BF1702" s="3" t="s">
        <v>16945</v>
      </c>
      <c r="BG1702" s="3" t="s">
        <v>16946</v>
      </c>
    </row>
    <row r="1703" spans="1:59" ht="101.5" x14ac:dyDescent="0.35">
      <c r="A1703" s="2" t="s">
        <v>89</v>
      </c>
      <c r="B1703" s="2" t="s">
        <v>12301</v>
      </c>
      <c r="C1703" s="2" t="s">
        <v>16947</v>
      </c>
      <c r="D1703" s="2" t="s">
        <v>16948</v>
      </c>
      <c r="E1703" s="2" t="s">
        <v>16949</v>
      </c>
      <c r="G1703" s="3" t="s">
        <v>62</v>
      </c>
      <c r="I1703" s="3" t="s">
        <v>61</v>
      </c>
      <c r="J1703" s="3" t="s">
        <v>61</v>
      </c>
      <c r="K1703" s="3" t="s">
        <v>63</v>
      </c>
      <c r="L1703" s="2" t="s">
        <v>16950</v>
      </c>
      <c r="M1703" s="2" t="s">
        <v>16951</v>
      </c>
      <c r="N1703" s="3" t="s">
        <v>684</v>
      </c>
      <c r="O1703" s="2" t="s">
        <v>2986</v>
      </c>
      <c r="P1703" s="3" t="s">
        <v>64</v>
      </c>
      <c r="R1703" s="3" t="s">
        <v>13065</v>
      </c>
      <c r="S1703" s="4">
        <v>28</v>
      </c>
      <c r="T1703" s="4">
        <v>352</v>
      </c>
      <c r="U1703" s="5" t="s">
        <v>15935</v>
      </c>
      <c r="V1703" s="5" t="s">
        <v>15935</v>
      </c>
      <c r="W1703" s="5" t="s">
        <v>67</v>
      </c>
      <c r="X1703" s="5" t="s">
        <v>67</v>
      </c>
      <c r="Y1703" s="4">
        <v>4</v>
      </c>
      <c r="Z1703" s="4">
        <v>1</v>
      </c>
      <c r="AA1703" s="4">
        <v>1</v>
      </c>
      <c r="AB1703" s="4">
        <v>1</v>
      </c>
      <c r="AC1703" s="4">
        <v>1</v>
      </c>
      <c r="AD1703" s="4">
        <v>0</v>
      </c>
      <c r="AE1703" s="4">
        <v>1</v>
      </c>
      <c r="AF1703" s="4">
        <v>0</v>
      </c>
      <c r="AG1703" s="4">
        <v>0</v>
      </c>
      <c r="AH1703" s="4">
        <v>0</v>
      </c>
      <c r="AI1703" s="4">
        <v>1</v>
      </c>
      <c r="AJ1703" s="4">
        <v>0</v>
      </c>
      <c r="AK1703" s="4">
        <v>0</v>
      </c>
      <c r="AL1703" s="4">
        <v>0</v>
      </c>
      <c r="AM1703" s="4">
        <v>0</v>
      </c>
      <c r="AN1703" s="4">
        <v>0</v>
      </c>
      <c r="AO1703" s="4">
        <v>0</v>
      </c>
      <c r="AP1703" s="4">
        <v>0</v>
      </c>
      <c r="AQ1703" s="4">
        <v>0</v>
      </c>
      <c r="AR1703" s="3" t="s">
        <v>62</v>
      </c>
      <c r="AS1703" s="3" t="s">
        <v>62</v>
      </c>
      <c r="AT1703" s="3" t="s">
        <v>62</v>
      </c>
      <c r="AV1703" s="6" t="str">
        <f>HYPERLINK("http://mcgill.on.worldcat.org/oclc/775570405","Catalog Record")</f>
        <v>Catalog Record</v>
      </c>
      <c r="AW1703" s="6" t="str">
        <f>HYPERLINK("http://www.worldcat.org/oclc/775570405","WorldCat Record")</f>
        <v>WorldCat Record</v>
      </c>
      <c r="AX1703" s="3" t="s">
        <v>16937</v>
      </c>
      <c r="AY1703" s="3" t="s">
        <v>16952</v>
      </c>
      <c r="AZ1703" s="3" t="s">
        <v>16953</v>
      </c>
      <c r="BA1703" s="3" t="s">
        <v>16953</v>
      </c>
      <c r="BB1703" s="3" t="s">
        <v>16954</v>
      </c>
      <c r="BC1703" s="3" t="s">
        <v>102</v>
      </c>
      <c r="BD1703" s="3" t="s">
        <v>68</v>
      </c>
      <c r="BE1703" s="3" t="s">
        <v>16955</v>
      </c>
      <c r="BF1703" s="3" t="s">
        <v>16954</v>
      </c>
      <c r="BG1703" s="3" t="s">
        <v>16956</v>
      </c>
    </row>
    <row r="1704" spans="1:59" ht="101.5" x14ac:dyDescent="0.35">
      <c r="A1704" s="2" t="s">
        <v>89</v>
      </c>
      <c r="B1704" s="2" t="s">
        <v>12301</v>
      </c>
      <c r="C1704" s="2" t="s">
        <v>16947</v>
      </c>
      <c r="D1704" s="2" t="s">
        <v>16948</v>
      </c>
      <c r="E1704" s="2" t="s">
        <v>16949</v>
      </c>
      <c r="G1704" s="3" t="s">
        <v>62</v>
      </c>
      <c r="I1704" s="3" t="s">
        <v>61</v>
      </c>
      <c r="J1704" s="3" t="s">
        <v>61</v>
      </c>
      <c r="K1704" s="3" t="s">
        <v>63</v>
      </c>
      <c r="L1704" s="2" t="s">
        <v>16950</v>
      </c>
      <c r="M1704" s="2" t="s">
        <v>16951</v>
      </c>
      <c r="N1704" s="3" t="s">
        <v>684</v>
      </c>
      <c r="O1704" s="2" t="s">
        <v>2986</v>
      </c>
      <c r="P1704" s="3" t="s">
        <v>64</v>
      </c>
      <c r="R1704" s="3" t="s">
        <v>13065</v>
      </c>
      <c r="S1704" s="4">
        <v>107</v>
      </c>
      <c r="T1704" s="4">
        <v>352</v>
      </c>
      <c r="U1704" s="5" t="s">
        <v>16849</v>
      </c>
      <c r="V1704" s="5" t="s">
        <v>15935</v>
      </c>
      <c r="W1704" s="5" t="s">
        <v>67</v>
      </c>
      <c r="X1704" s="5" t="s">
        <v>67</v>
      </c>
      <c r="Y1704" s="4">
        <v>4</v>
      </c>
      <c r="Z1704" s="4">
        <v>1</v>
      </c>
      <c r="AA1704" s="4">
        <v>1</v>
      </c>
      <c r="AB1704" s="4">
        <v>1</v>
      </c>
      <c r="AC1704" s="4">
        <v>1</v>
      </c>
      <c r="AD1704" s="4">
        <v>0</v>
      </c>
      <c r="AE1704" s="4">
        <v>1</v>
      </c>
      <c r="AF1704" s="4">
        <v>0</v>
      </c>
      <c r="AG1704" s="4">
        <v>0</v>
      </c>
      <c r="AH1704" s="4">
        <v>0</v>
      </c>
      <c r="AI1704" s="4">
        <v>1</v>
      </c>
      <c r="AJ1704" s="4">
        <v>0</v>
      </c>
      <c r="AK1704" s="4">
        <v>0</v>
      </c>
      <c r="AL1704" s="4">
        <v>0</v>
      </c>
      <c r="AM1704" s="4">
        <v>0</v>
      </c>
      <c r="AN1704" s="4">
        <v>0</v>
      </c>
      <c r="AO1704" s="4">
        <v>0</v>
      </c>
      <c r="AP1704" s="4">
        <v>0</v>
      </c>
      <c r="AQ1704" s="4">
        <v>0</v>
      </c>
      <c r="AR1704" s="3" t="s">
        <v>62</v>
      </c>
      <c r="AS1704" s="3" t="s">
        <v>62</v>
      </c>
      <c r="AT1704" s="3" t="s">
        <v>62</v>
      </c>
      <c r="AV1704" s="6" t="str">
        <f>HYPERLINK("http://mcgill.on.worldcat.org/oclc/775570405","Catalog Record")</f>
        <v>Catalog Record</v>
      </c>
      <c r="AW1704" s="6" t="str">
        <f>HYPERLINK("http://www.worldcat.org/oclc/775570405","WorldCat Record")</f>
        <v>WorldCat Record</v>
      </c>
      <c r="AX1704" s="3" t="s">
        <v>16937</v>
      </c>
      <c r="AY1704" s="3" t="s">
        <v>16952</v>
      </c>
      <c r="AZ1704" s="3" t="s">
        <v>16953</v>
      </c>
      <c r="BA1704" s="3" t="s">
        <v>16953</v>
      </c>
      <c r="BB1704" s="3" t="s">
        <v>16957</v>
      </c>
      <c r="BC1704" s="3" t="s">
        <v>102</v>
      </c>
      <c r="BD1704" s="3" t="s">
        <v>68</v>
      </c>
      <c r="BE1704" s="3" t="s">
        <v>16955</v>
      </c>
      <c r="BF1704" s="3" t="s">
        <v>16957</v>
      </c>
      <c r="BG1704" s="3" t="s">
        <v>16958</v>
      </c>
    </row>
    <row r="1705" spans="1:59" ht="101.5" x14ac:dyDescent="0.35">
      <c r="A1705" s="2" t="s">
        <v>89</v>
      </c>
      <c r="B1705" s="2" t="s">
        <v>12301</v>
      </c>
      <c r="C1705" s="2" t="s">
        <v>16947</v>
      </c>
      <c r="D1705" s="2" t="s">
        <v>16948</v>
      </c>
      <c r="E1705" s="2" t="s">
        <v>16949</v>
      </c>
      <c r="G1705" s="3" t="s">
        <v>62</v>
      </c>
      <c r="I1705" s="3" t="s">
        <v>61</v>
      </c>
      <c r="J1705" s="3" t="s">
        <v>61</v>
      </c>
      <c r="K1705" s="3" t="s">
        <v>63</v>
      </c>
      <c r="L1705" s="2" t="s">
        <v>16950</v>
      </c>
      <c r="M1705" s="2" t="s">
        <v>16951</v>
      </c>
      <c r="N1705" s="3" t="s">
        <v>684</v>
      </c>
      <c r="O1705" s="2" t="s">
        <v>2986</v>
      </c>
      <c r="P1705" s="3" t="s">
        <v>64</v>
      </c>
      <c r="R1705" s="3" t="s">
        <v>13065</v>
      </c>
      <c r="S1705" s="4">
        <v>103</v>
      </c>
      <c r="T1705" s="4">
        <v>352</v>
      </c>
      <c r="U1705" s="5" t="s">
        <v>4468</v>
      </c>
      <c r="V1705" s="5" t="s">
        <v>15935</v>
      </c>
      <c r="W1705" s="5" t="s">
        <v>67</v>
      </c>
      <c r="X1705" s="5" t="s">
        <v>67</v>
      </c>
      <c r="Y1705" s="4">
        <v>4</v>
      </c>
      <c r="Z1705" s="4">
        <v>1</v>
      </c>
      <c r="AA1705" s="4">
        <v>1</v>
      </c>
      <c r="AB1705" s="4">
        <v>1</v>
      </c>
      <c r="AC1705" s="4">
        <v>1</v>
      </c>
      <c r="AD1705" s="4">
        <v>0</v>
      </c>
      <c r="AE1705" s="4">
        <v>1</v>
      </c>
      <c r="AF1705" s="4">
        <v>0</v>
      </c>
      <c r="AG1705" s="4">
        <v>0</v>
      </c>
      <c r="AH1705" s="4">
        <v>0</v>
      </c>
      <c r="AI1705" s="4">
        <v>1</v>
      </c>
      <c r="AJ1705" s="4">
        <v>0</v>
      </c>
      <c r="AK1705" s="4">
        <v>0</v>
      </c>
      <c r="AL1705" s="4">
        <v>0</v>
      </c>
      <c r="AM1705" s="4">
        <v>0</v>
      </c>
      <c r="AN1705" s="4">
        <v>0</v>
      </c>
      <c r="AO1705" s="4">
        <v>0</v>
      </c>
      <c r="AP1705" s="4">
        <v>0</v>
      </c>
      <c r="AQ1705" s="4">
        <v>0</v>
      </c>
      <c r="AR1705" s="3" t="s">
        <v>62</v>
      </c>
      <c r="AS1705" s="3" t="s">
        <v>62</v>
      </c>
      <c r="AT1705" s="3" t="s">
        <v>62</v>
      </c>
      <c r="AV1705" s="6" t="str">
        <f>HYPERLINK("http://mcgill.on.worldcat.org/oclc/775570405","Catalog Record")</f>
        <v>Catalog Record</v>
      </c>
      <c r="AW1705" s="6" t="str">
        <f>HYPERLINK("http://www.worldcat.org/oclc/775570405","WorldCat Record")</f>
        <v>WorldCat Record</v>
      </c>
      <c r="AX1705" s="3" t="s">
        <v>16937</v>
      </c>
      <c r="AY1705" s="3" t="s">
        <v>16952</v>
      </c>
      <c r="AZ1705" s="3" t="s">
        <v>16953</v>
      </c>
      <c r="BA1705" s="3" t="s">
        <v>16953</v>
      </c>
      <c r="BB1705" s="3" t="s">
        <v>16959</v>
      </c>
      <c r="BC1705" s="3" t="s">
        <v>102</v>
      </c>
      <c r="BD1705" s="3" t="s">
        <v>68</v>
      </c>
      <c r="BE1705" s="3" t="s">
        <v>16955</v>
      </c>
      <c r="BF1705" s="3" t="s">
        <v>16959</v>
      </c>
      <c r="BG1705" s="3" t="s">
        <v>16960</v>
      </c>
    </row>
    <row r="1706" spans="1:59" ht="101.5" x14ac:dyDescent="0.35">
      <c r="A1706" s="2" t="s">
        <v>89</v>
      </c>
      <c r="B1706" s="2" t="s">
        <v>12301</v>
      </c>
      <c r="C1706" s="2" t="s">
        <v>16947</v>
      </c>
      <c r="D1706" s="2" t="s">
        <v>16948</v>
      </c>
      <c r="E1706" s="2" t="s">
        <v>16949</v>
      </c>
      <c r="G1706" s="3" t="s">
        <v>62</v>
      </c>
      <c r="I1706" s="3" t="s">
        <v>61</v>
      </c>
      <c r="J1706" s="3" t="s">
        <v>61</v>
      </c>
      <c r="K1706" s="3" t="s">
        <v>63</v>
      </c>
      <c r="L1706" s="2" t="s">
        <v>16950</v>
      </c>
      <c r="M1706" s="2" t="s">
        <v>16951</v>
      </c>
      <c r="N1706" s="3" t="s">
        <v>684</v>
      </c>
      <c r="O1706" s="2" t="s">
        <v>2986</v>
      </c>
      <c r="P1706" s="3" t="s">
        <v>64</v>
      </c>
      <c r="R1706" s="3" t="s">
        <v>13065</v>
      </c>
      <c r="S1706" s="4">
        <v>114</v>
      </c>
      <c r="T1706" s="4">
        <v>352</v>
      </c>
      <c r="U1706" s="5" t="s">
        <v>16074</v>
      </c>
      <c r="V1706" s="5" t="s">
        <v>15935</v>
      </c>
      <c r="W1706" s="5" t="s">
        <v>67</v>
      </c>
      <c r="X1706" s="5" t="s">
        <v>67</v>
      </c>
      <c r="Y1706" s="4">
        <v>4</v>
      </c>
      <c r="Z1706" s="4">
        <v>1</v>
      </c>
      <c r="AA1706" s="4">
        <v>1</v>
      </c>
      <c r="AB1706" s="4">
        <v>1</v>
      </c>
      <c r="AC1706" s="4">
        <v>1</v>
      </c>
      <c r="AD1706" s="4">
        <v>0</v>
      </c>
      <c r="AE1706" s="4">
        <v>1</v>
      </c>
      <c r="AF1706" s="4">
        <v>0</v>
      </c>
      <c r="AG1706" s="4">
        <v>0</v>
      </c>
      <c r="AH1706" s="4">
        <v>0</v>
      </c>
      <c r="AI1706" s="4">
        <v>1</v>
      </c>
      <c r="AJ1706" s="4">
        <v>0</v>
      </c>
      <c r="AK1706" s="4">
        <v>0</v>
      </c>
      <c r="AL1706" s="4">
        <v>0</v>
      </c>
      <c r="AM1706" s="4">
        <v>0</v>
      </c>
      <c r="AN1706" s="4">
        <v>0</v>
      </c>
      <c r="AO1706" s="4">
        <v>0</v>
      </c>
      <c r="AP1706" s="4">
        <v>0</v>
      </c>
      <c r="AQ1706" s="4">
        <v>0</v>
      </c>
      <c r="AR1706" s="3" t="s">
        <v>62</v>
      </c>
      <c r="AS1706" s="3" t="s">
        <v>62</v>
      </c>
      <c r="AT1706" s="3" t="s">
        <v>62</v>
      </c>
      <c r="AV1706" s="6" t="str">
        <f>HYPERLINK("http://mcgill.on.worldcat.org/oclc/775570405","Catalog Record")</f>
        <v>Catalog Record</v>
      </c>
      <c r="AW1706" s="6" t="str">
        <f>HYPERLINK("http://www.worldcat.org/oclc/775570405","WorldCat Record")</f>
        <v>WorldCat Record</v>
      </c>
      <c r="AX1706" s="3" t="s">
        <v>16937</v>
      </c>
      <c r="AY1706" s="3" t="s">
        <v>16952</v>
      </c>
      <c r="AZ1706" s="3" t="s">
        <v>16953</v>
      </c>
      <c r="BA1706" s="3" t="s">
        <v>16953</v>
      </c>
      <c r="BB1706" s="3" t="s">
        <v>16961</v>
      </c>
      <c r="BC1706" s="3" t="s">
        <v>102</v>
      </c>
      <c r="BD1706" s="3" t="s">
        <v>68</v>
      </c>
      <c r="BE1706" s="3" t="s">
        <v>16955</v>
      </c>
      <c r="BF1706" s="3" t="s">
        <v>16961</v>
      </c>
      <c r="BG1706" s="3" t="s">
        <v>16962</v>
      </c>
    </row>
    <row r="1707" spans="1:59" ht="58" x14ac:dyDescent="0.35">
      <c r="A1707" s="2" t="s">
        <v>89</v>
      </c>
      <c r="B1707" s="2" t="s">
        <v>90</v>
      </c>
      <c r="C1707" s="2" t="s">
        <v>16963</v>
      </c>
      <c r="D1707" s="2" t="s">
        <v>16964</v>
      </c>
      <c r="E1707" s="2" t="s">
        <v>16965</v>
      </c>
      <c r="G1707" s="3" t="s">
        <v>62</v>
      </c>
      <c r="I1707" s="3" t="s">
        <v>62</v>
      </c>
      <c r="J1707" s="3" t="s">
        <v>62</v>
      </c>
      <c r="K1707" s="3" t="s">
        <v>63</v>
      </c>
      <c r="L1707" s="2" t="s">
        <v>16966</v>
      </c>
      <c r="M1707" s="2" t="s">
        <v>8373</v>
      </c>
      <c r="N1707" s="3" t="s">
        <v>880</v>
      </c>
      <c r="P1707" s="3" t="s">
        <v>64</v>
      </c>
      <c r="R1707" s="3" t="s">
        <v>13065</v>
      </c>
      <c r="S1707" s="4">
        <v>5</v>
      </c>
      <c r="T1707" s="4">
        <v>5</v>
      </c>
      <c r="U1707" s="5" t="s">
        <v>16967</v>
      </c>
      <c r="V1707" s="5" t="s">
        <v>16967</v>
      </c>
      <c r="W1707" s="5" t="s">
        <v>67</v>
      </c>
      <c r="X1707" s="5" t="s">
        <v>67</v>
      </c>
      <c r="Y1707" s="4">
        <v>89</v>
      </c>
      <c r="Z1707" s="4">
        <v>7</v>
      </c>
      <c r="AA1707" s="4">
        <v>73</v>
      </c>
      <c r="AB1707" s="4">
        <v>2</v>
      </c>
      <c r="AC1707" s="4">
        <v>14</v>
      </c>
      <c r="AD1707" s="4">
        <v>26</v>
      </c>
      <c r="AE1707" s="4">
        <v>90</v>
      </c>
      <c r="AF1707" s="4">
        <v>1</v>
      </c>
      <c r="AG1707" s="4">
        <v>8</v>
      </c>
      <c r="AH1707" s="4">
        <v>21</v>
      </c>
      <c r="AI1707" s="4">
        <v>58</v>
      </c>
      <c r="AJ1707" s="4">
        <v>5</v>
      </c>
      <c r="AK1707" s="4">
        <v>18</v>
      </c>
      <c r="AL1707" s="4">
        <v>16</v>
      </c>
      <c r="AM1707" s="4">
        <v>31</v>
      </c>
      <c r="AN1707" s="4">
        <v>0</v>
      </c>
      <c r="AO1707" s="4">
        <v>0</v>
      </c>
      <c r="AP1707" s="4">
        <v>6</v>
      </c>
      <c r="AQ1707" s="4">
        <v>38</v>
      </c>
      <c r="AR1707" s="3" t="s">
        <v>62</v>
      </c>
      <c r="AS1707" s="3" t="s">
        <v>62</v>
      </c>
      <c r="AT1707" s="3" t="s">
        <v>62</v>
      </c>
      <c r="AV1707" s="6" t="str">
        <f>HYPERLINK("http://mcgill.on.worldcat.org/oclc/636911230","Catalog Record")</f>
        <v>Catalog Record</v>
      </c>
      <c r="AW1707" s="6" t="str">
        <f>HYPERLINK("http://www.worldcat.org/oclc/636911230","WorldCat Record")</f>
        <v>WorldCat Record</v>
      </c>
      <c r="AX1707" s="3" t="s">
        <v>16968</v>
      </c>
      <c r="AY1707" s="3" t="s">
        <v>16969</v>
      </c>
      <c r="AZ1707" s="3" t="s">
        <v>16970</v>
      </c>
      <c r="BA1707" s="3" t="s">
        <v>16970</v>
      </c>
      <c r="BB1707" s="3" t="s">
        <v>16971</v>
      </c>
      <c r="BC1707" s="3" t="s">
        <v>102</v>
      </c>
      <c r="BD1707" s="3" t="s">
        <v>68</v>
      </c>
      <c r="BE1707" s="3" t="s">
        <v>16972</v>
      </c>
      <c r="BF1707" s="3" t="s">
        <v>16971</v>
      </c>
      <c r="BG1707" s="3" t="s">
        <v>16973</v>
      </c>
    </row>
    <row r="1708" spans="1:59" ht="101.5" x14ac:dyDescent="0.35">
      <c r="A1708" s="2" t="s">
        <v>89</v>
      </c>
      <c r="B1708" s="2" t="s">
        <v>12301</v>
      </c>
      <c r="C1708" s="2" t="s">
        <v>16974</v>
      </c>
      <c r="D1708" s="2" t="s">
        <v>16975</v>
      </c>
      <c r="E1708" s="2" t="s">
        <v>16976</v>
      </c>
      <c r="G1708" s="3" t="s">
        <v>62</v>
      </c>
      <c r="I1708" s="3" t="s">
        <v>61</v>
      </c>
      <c r="J1708" s="3" t="s">
        <v>62</v>
      </c>
      <c r="K1708" s="3" t="s">
        <v>63</v>
      </c>
      <c r="L1708" s="2" t="s">
        <v>16977</v>
      </c>
      <c r="M1708" s="2" t="s">
        <v>16978</v>
      </c>
      <c r="N1708" s="3" t="s">
        <v>596</v>
      </c>
      <c r="P1708" s="3" t="s">
        <v>64</v>
      </c>
      <c r="R1708" s="3" t="s">
        <v>13065</v>
      </c>
      <c r="S1708" s="4">
        <v>77</v>
      </c>
      <c r="T1708" s="4">
        <v>108</v>
      </c>
      <c r="U1708" s="5" t="s">
        <v>16979</v>
      </c>
      <c r="V1708" s="5" t="s">
        <v>16404</v>
      </c>
      <c r="W1708" s="5" t="s">
        <v>67</v>
      </c>
      <c r="X1708" s="5" t="s">
        <v>67</v>
      </c>
      <c r="Y1708" s="4">
        <v>388</v>
      </c>
      <c r="Z1708" s="4">
        <v>24</v>
      </c>
      <c r="AA1708" s="4">
        <v>98</v>
      </c>
      <c r="AB1708" s="4">
        <v>4</v>
      </c>
      <c r="AC1708" s="4">
        <v>16</v>
      </c>
      <c r="AD1708" s="4">
        <v>96</v>
      </c>
      <c r="AE1708" s="4">
        <v>150</v>
      </c>
      <c r="AF1708" s="4">
        <v>2</v>
      </c>
      <c r="AG1708" s="4">
        <v>9</v>
      </c>
      <c r="AH1708" s="4">
        <v>82</v>
      </c>
      <c r="AI1708" s="4">
        <v>107</v>
      </c>
      <c r="AJ1708" s="4">
        <v>15</v>
      </c>
      <c r="AK1708" s="4">
        <v>26</v>
      </c>
      <c r="AL1708" s="4">
        <v>48</v>
      </c>
      <c r="AM1708" s="4">
        <v>56</v>
      </c>
      <c r="AN1708" s="4">
        <v>0</v>
      </c>
      <c r="AO1708" s="4">
        <v>0</v>
      </c>
      <c r="AP1708" s="4">
        <v>21</v>
      </c>
      <c r="AQ1708" s="4">
        <v>51</v>
      </c>
      <c r="AR1708" s="3" t="s">
        <v>62</v>
      </c>
      <c r="AS1708" s="3" t="s">
        <v>62</v>
      </c>
      <c r="AT1708" s="3" t="s">
        <v>62</v>
      </c>
      <c r="AV1708" s="6" t="str">
        <f>HYPERLINK("http://mcgill.on.worldcat.org/oclc/47705787","Catalog Record")</f>
        <v>Catalog Record</v>
      </c>
      <c r="AW1708" s="6" t="str">
        <f>HYPERLINK("http://www.worldcat.org/oclc/47705787","WorldCat Record")</f>
        <v>WorldCat Record</v>
      </c>
      <c r="AX1708" s="3" t="s">
        <v>16980</v>
      </c>
      <c r="AY1708" s="3" t="s">
        <v>16981</v>
      </c>
      <c r="AZ1708" s="3" t="s">
        <v>16982</v>
      </c>
      <c r="BA1708" s="3" t="s">
        <v>16982</v>
      </c>
      <c r="BB1708" s="3" t="s">
        <v>16983</v>
      </c>
      <c r="BC1708" s="3" t="s">
        <v>102</v>
      </c>
      <c r="BD1708" s="3" t="s">
        <v>68</v>
      </c>
      <c r="BE1708" s="3" t="s">
        <v>16984</v>
      </c>
      <c r="BF1708" s="3" t="s">
        <v>16983</v>
      </c>
      <c r="BG1708" s="3" t="s">
        <v>16985</v>
      </c>
    </row>
    <row r="1709" spans="1:59" ht="101.5" x14ac:dyDescent="0.35">
      <c r="A1709" s="2" t="s">
        <v>89</v>
      </c>
      <c r="B1709" s="2" t="s">
        <v>12301</v>
      </c>
      <c r="C1709" s="2" t="s">
        <v>16974</v>
      </c>
      <c r="D1709" s="2" t="s">
        <v>16975</v>
      </c>
      <c r="E1709" s="2" t="s">
        <v>16976</v>
      </c>
      <c r="G1709" s="3" t="s">
        <v>62</v>
      </c>
      <c r="I1709" s="3" t="s">
        <v>61</v>
      </c>
      <c r="J1709" s="3" t="s">
        <v>62</v>
      </c>
      <c r="K1709" s="3" t="s">
        <v>63</v>
      </c>
      <c r="L1709" s="2" t="s">
        <v>16977</v>
      </c>
      <c r="M1709" s="2" t="s">
        <v>16978</v>
      </c>
      <c r="N1709" s="3" t="s">
        <v>596</v>
      </c>
      <c r="P1709" s="3" t="s">
        <v>64</v>
      </c>
      <c r="R1709" s="3" t="s">
        <v>13065</v>
      </c>
      <c r="S1709" s="4">
        <v>31</v>
      </c>
      <c r="T1709" s="4">
        <v>108</v>
      </c>
      <c r="U1709" s="5" t="s">
        <v>16404</v>
      </c>
      <c r="V1709" s="5" t="s">
        <v>16404</v>
      </c>
      <c r="W1709" s="5" t="s">
        <v>67</v>
      </c>
      <c r="X1709" s="5" t="s">
        <v>67</v>
      </c>
      <c r="Y1709" s="4">
        <v>388</v>
      </c>
      <c r="Z1709" s="4">
        <v>24</v>
      </c>
      <c r="AA1709" s="4">
        <v>98</v>
      </c>
      <c r="AB1709" s="4">
        <v>4</v>
      </c>
      <c r="AC1709" s="4">
        <v>16</v>
      </c>
      <c r="AD1709" s="4">
        <v>96</v>
      </c>
      <c r="AE1709" s="4">
        <v>150</v>
      </c>
      <c r="AF1709" s="4">
        <v>2</v>
      </c>
      <c r="AG1709" s="4">
        <v>9</v>
      </c>
      <c r="AH1709" s="4">
        <v>82</v>
      </c>
      <c r="AI1709" s="4">
        <v>107</v>
      </c>
      <c r="AJ1709" s="4">
        <v>15</v>
      </c>
      <c r="AK1709" s="4">
        <v>26</v>
      </c>
      <c r="AL1709" s="4">
        <v>48</v>
      </c>
      <c r="AM1709" s="4">
        <v>56</v>
      </c>
      <c r="AN1709" s="4">
        <v>0</v>
      </c>
      <c r="AO1709" s="4">
        <v>0</v>
      </c>
      <c r="AP1709" s="4">
        <v>21</v>
      </c>
      <c r="AQ1709" s="4">
        <v>51</v>
      </c>
      <c r="AR1709" s="3" t="s">
        <v>62</v>
      </c>
      <c r="AS1709" s="3" t="s">
        <v>62</v>
      </c>
      <c r="AT1709" s="3" t="s">
        <v>62</v>
      </c>
      <c r="AV1709" s="6" t="str">
        <f>HYPERLINK("http://mcgill.on.worldcat.org/oclc/47705787","Catalog Record")</f>
        <v>Catalog Record</v>
      </c>
      <c r="AW1709" s="6" t="str">
        <f>HYPERLINK("http://www.worldcat.org/oclc/47705787","WorldCat Record")</f>
        <v>WorldCat Record</v>
      </c>
      <c r="AX1709" s="3" t="s">
        <v>16980</v>
      </c>
      <c r="AY1709" s="3" t="s">
        <v>16981</v>
      </c>
      <c r="AZ1709" s="3" t="s">
        <v>16982</v>
      </c>
      <c r="BA1709" s="3" t="s">
        <v>16982</v>
      </c>
      <c r="BB1709" s="3" t="s">
        <v>16986</v>
      </c>
      <c r="BC1709" s="3" t="s">
        <v>102</v>
      </c>
      <c r="BD1709" s="3" t="s">
        <v>68</v>
      </c>
      <c r="BE1709" s="3" t="s">
        <v>16984</v>
      </c>
      <c r="BF1709" s="3" t="s">
        <v>16986</v>
      </c>
      <c r="BG1709" s="3" t="s">
        <v>16987</v>
      </c>
    </row>
    <row r="1710" spans="1:59" ht="58" x14ac:dyDescent="0.35">
      <c r="A1710" s="2" t="s">
        <v>89</v>
      </c>
      <c r="B1710" s="2" t="s">
        <v>90</v>
      </c>
      <c r="C1710" s="2" t="s">
        <v>16988</v>
      </c>
      <c r="D1710" s="2" t="s">
        <v>16989</v>
      </c>
      <c r="E1710" s="2" t="s">
        <v>16990</v>
      </c>
      <c r="G1710" s="3" t="s">
        <v>62</v>
      </c>
      <c r="I1710" s="3" t="s">
        <v>62</v>
      </c>
      <c r="J1710" s="3" t="s">
        <v>62</v>
      </c>
      <c r="K1710" s="3" t="s">
        <v>63</v>
      </c>
      <c r="L1710" s="2" t="s">
        <v>16991</v>
      </c>
      <c r="M1710" s="2" t="s">
        <v>16992</v>
      </c>
      <c r="N1710" s="3" t="s">
        <v>355</v>
      </c>
      <c r="P1710" s="3" t="s">
        <v>64</v>
      </c>
      <c r="Q1710" s="2" t="s">
        <v>16993</v>
      </c>
      <c r="R1710" s="3" t="s">
        <v>13065</v>
      </c>
      <c r="S1710" s="4">
        <v>3</v>
      </c>
      <c r="T1710" s="4">
        <v>3</v>
      </c>
      <c r="U1710" s="5" t="s">
        <v>7837</v>
      </c>
      <c r="V1710" s="5" t="s">
        <v>7837</v>
      </c>
      <c r="W1710" s="5" t="s">
        <v>67</v>
      </c>
      <c r="X1710" s="5" t="s">
        <v>67</v>
      </c>
      <c r="Y1710" s="4">
        <v>179</v>
      </c>
      <c r="Z1710" s="4">
        <v>13</v>
      </c>
      <c r="AA1710" s="4">
        <v>17</v>
      </c>
      <c r="AB1710" s="4">
        <v>1</v>
      </c>
      <c r="AC1710" s="4">
        <v>2</v>
      </c>
      <c r="AD1710" s="4">
        <v>30</v>
      </c>
      <c r="AE1710" s="4">
        <v>33</v>
      </c>
      <c r="AF1710" s="4">
        <v>0</v>
      </c>
      <c r="AG1710" s="4">
        <v>1</v>
      </c>
      <c r="AH1710" s="4">
        <v>24</v>
      </c>
      <c r="AI1710" s="4">
        <v>26</v>
      </c>
      <c r="AJ1710" s="4">
        <v>6</v>
      </c>
      <c r="AK1710" s="4">
        <v>8</v>
      </c>
      <c r="AL1710" s="4">
        <v>15</v>
      </c>
      <c r="AM1710" s="4">
        <v>16</v>
      </c>
      <c r="AN1710" s="4">
        <v>0</v>
      </c>
      <c r="AO1710" s="4">
        <v>0</v>
      </c>
      <c r="AP1710" s="4">
        <v>9</v>
      </c>
      <c r="AQ1710" s="4">
        <v>11</v>
      </c>
      <c r="AR1710" s="3" t="s">
        <v>62</v>
      </c>
      <c r="AS1710" s="3" t="s">
        <v>62</v>
      </c>
      <c r="AT1710" s="3" t="s">
        <v>62</v>
      </c>
      <c r="AV1710" s="6" t="str">
        <f>HYPERLINK("http://mcgill.on.worldcat.org/oclc/10855068","Catalog Record")</f>
        <v>Catalog Record</v>
      </c>
      <c r="AW1710" s="6" t="str">
        <f>HYPERLINK("http://www.worldcat.org/oclc/10855068","WorldCat Record")</f>
        <v>WorldCat Record</v>
      </c>
      <c r="AX1710" s="3" t="s">
        <v>16994</v>
      </c>
      <c r="AY1710" s="3" t="s">
        <v>16995</v>
      </c>
      <c r="AZ1710" s="3" t="s">
        <v>16996</v>
      </c>
      <c r="BA1710" s="3" t="s">
        <v>16996</v>
      </c>
      <c r="BB1710" s="3" t="s">
        <v>16997</v>
      </c>
      <c r="BC1710" s="3" t="s">
        <v>102</v>
      </c>
      <c r="BD1710" s="3" t="s">
        <v>68</v>
      </c>
      <c r="BE1710" s="3" t="s">
        <v>16998</v>
      </c>
      <c r="BF1710" s="3" t="s">
        <v>16997</v>
      </c>
      <c r="BG1710" s="3" t="s">
        <v>16999</v>
      </c>
    </row>
    <row r="1711" spans="1:59" ht="58" x14ac:dyDescent="0.35">
      <c r="A1711" s="2" t="s">
        <v>89</v>
      </c>
      <c r="B1711" s="2" t="s">
        <v>90</v>
      </c>
      <c r="C1711" s="2" t="s">
        <v>17000</v>
      </c>
      <c r="D1711" s="2" t="s">
        <v>17001</v>
      </c>
      <c r="E1711" s="2" t="s">
        <v>17002</v>
      </c>
      <c r="G1711" s="3" t="s">
        <v>62</v>
      </c>
      <c r="I1711" s="3" t="s">
        <v>62</v>
      </c>
      <c r="J1711" s="3" t="s">
        <v>62</v>
      </c>
      <c r="K1711" s="3" t="s">
        <v>63</v>
      </c>
      <c r="L1711" s="2" t="s">
        <v>17003</v>
      </c>
      <c r="M1711" s="2" t="s">
        <v>17004</v>
      </c>
      <c r="N1711" s="3" t="s">
        <v>201</v>
      </c>
      <c r="O1711" s="2" t="s">
        <v>8350</v>
      </c>
      <c r="P1711" s="3" t="s">
        <v>64</v>
      </c>
      <c r="R1711" s="3" t="s">
        <v>13065</v>
      </c>
      <c r="S1711" s="4">
        <v>2</v>
      </c>
      <c r="T1711" s="4">
        <v>2</v>
      </c>
      <c r="U1711" s="5" t="s">
        <v>17005</v>
      </c>
      <c r="V1711" s="5" t="s">
        <v>17005</v>
      </c>
      <c r="W1711" s="5" t="s">
        <v>67</v>
      </c>
      <c r="X1711" s="5" t="s">
        <v>67</v>
      </c>
      <c r="Y1711" s="4">
        <v>77</v>
      </c>
      <c r="Z1711" s="4">
        <v>6</v>
      </c>
      <c r="AA1711" s="4">
        <v>10</v>
      </c>
      <c r="AB1711" s="4">
        <v>1</v>
      </c>
      <c r="AC1711" s="4">
        <v>1</v>
      </c>
      <c r="AD1711" s="4">
        <v>22</v>
      </c>
      <c r="AE1711" s="4">
        <v>41</v>
      </c>
      <c r="AF1711" s="4">
        <v>0</v>
      </c>
      <c r="AG1711" s="4">
        <v>0</v>
      </c>
      <c r="AH1711" s="4">
        <v>19</v>
      </c>
      <c r="AI1711" s="4">
        <v>34</v>
      </c>
      <c r="AJ1711" s="4">
        <v>3</v>
      </c>
      <c r="AK1711" s="4">
        <v>5</v>
      </c>
      <c r="AL1711" s="4">
        <v>8</v>
      </c>
      <c r="AM1711" s="4">
        <v>17</v>
      </c>
      <c r="AN1711" s="4">
        <v>0</v>
      </c>
      <c r="AO1711" s="4">
        <v>0</v>
      </c>
      <c r="AP1711" s="4">
        <v>3</v>
      </c>
      <c r="AQ1711" s="4">
        <v>7</v>
      </c>
      <c r="AR1711" s="3" t="s">
        <v>62</v>
      </c>
      <c r="AS1711" s="3" t="s">
        <v>62</v>
      </c>
      <c r="AT1711" s="3" t="s">
        <v>62</v>
      </c>
      <c r="AV1711" s="6" t="str">
        <f>HYPERLINK("http://mcgill.on.worldcat.org/oclc/2150805","Catalog Record")</f>
        <v>Catalog Record</v>
      </c>
      <c r="AW1711" s="6" t="str">
        <f>HYPERLINK("http://www.worldcat.org/oclc/2150805","WorldCat Record")</f>
        <v>WorldCat Record</v>
      </c>
      <c r="AX1711" s="3" t="s">
        <v>17006</v>
      </c>
      <c r="AY1711" s="3" t="s">
        <v>17007</v>
      </c>
      <c r="AZ1711" s="3" t="s">
        <v>17008</v>
      </c>
      <c r="BA1711" s="3" t="s">
        <v>17008</v>
      </c>
      <c r="BB1711" s="3" t="s">
        <v>17009</v>
      </c>
      <c r="BC1711" s="3" t="s">
        <v>102</v>
      </c>
      <c r="BD1711" s="3" t="s">
        <v>68</v>
      </c>
      <c r="BE1711" s="3" t="s">
        <v>17010</v>
      </c>
      <c r="BF1711" s="3" t="s">
        <v>17009</v>
      </c>
      <c r="BG1711" s="3" t="s">
        <v>17011</v>
      </c>
    </row>
    <row r="1712" spans="1:59" ht="58" x14ac:dyDescent="0.35">
      <c r="A1712" s="2" t="s">
        <v>89</v>
      </c>
      <c r="B1712" s="2" t="s">
        <v>90</v>
      </c>
      <c r="C1712" s="2" t="s">
        <v>17012</v>
      </c>
      <c r="D1712" s="2" t="s">
        <v>17013</v>
      </c>
      <c r="E1712" s="2" t="s">
        <v>17014</v>
      </c>
      <c r="F1712" s="3" t="s">
        <v>17015</v>
      </c>
      <c r="G1712" s="3" t="s">
        <v>61</v>
      </c>
      <c r="I1712" s="3" t="s">
        <v>62</v>
      </c>
      <c r="J1712" s="3" t="s">
        <v>61</v>
      </c>
      <c r="K1712" s="3" t="s">
        <v>63</v>
      </c>
      <c r="L1712" s="2" t="s">
        <v>17016</v>
      </c>
      <c r="M1712" s="2" t="s">
        <v>17017</v>
      </c>
      <c r="N1712" s="3" t="s">
        <v>880</v>
      </c>
      <c r="O1712" s="2" t="s">
        <v>17018</v>
      </c>
      <c r="P1712" s="3" t="s">
        <v>64</v>
      </c>
      <c r="Q1712" s="2" t="s">
        <v>17019</v>
      </c>
      <c r="R1712" s="3" t="s">
        <v>13065</v>
      </c>
      <c r="S1712" s="4">
        <v>13</v>
      </c>
      <c r="T1712" s="4">
        <v>34</v>
      </c>
      <c r="U1712" s="5" t="s">
        <v>1845</v>
      </c>
      <c r="V1712" s="5" t="s">
        <v>1845</v>
      </c>
      <c r="W1712" s="5" t="s">
        <v>67</v>
      </c>
      <c r="X1712" s="5" t="s">
        <v>67</v>
      </c>
      <c r="Y1712" s="4">
        <v>136</v>
      </c>
      <c r="Z1712" s="4">
        <v>16</v>
      </c>
      <c r="AA1712" s="4">
        <v>88</v>
      </c>
      <c r="AB1712" s="4">
        <v>4</v>
      </c>
      <c r="AC1712" s="4">
        <v>20</v>
      </c>
      <c r="AD1712" s="4">
        <v>20</v>
      </c>
      <c r="AE1712" s="4">
        <v>133</v>
      </c>
      <c r="AF1712" s="4">
        <v>0</v>
      </c>
      <c r="AG1712" s="4">
        <v>10</v>
      </c>
      <c r="AH1712" s="4">
        <v>18</v>
      </c>
      <c r="AI1712" s="4">
        <v>97</v>
      </c>
      <c r="AJ1712" s="4">
        <v>4</v>
      </c>
      <c r="AK1712" s="4">
        <v>26</v>
      </c>
      <c r="AL1712" s="4">
        <v>13</v>
      </c>
      <c r="AM1712" s="4">
        <v>52</v>
      </c>
      <c r="AN1712" s="4">
        <v>0</v>
      </c>
      <c r="AO1712" s="4">
        <v>0</v>
      </c>
      <c r="AP1712" s="4">
        <v>5</v>
      </c>
      <c r="AQ1712" s="4">
        <v>42</v>
      </c>
      <c r="AR1712" s="3" t="s">
        <v>62</v>
      </c>
      <c r="AS1712" s="3" t="s">
        <v>62</v>
      </c>
      <c r="AT1712" s="3" t="s">
        <v>61</v>
      </c>
      <c r="AU1712" s="6" t="str">
        <f>HYPERLINK("http://catalog.hathitrust.org/Record/009671974","HathiTrust Record")</f>
        <v>HathiTrust Record</v>
      </c>
      <c r="AV1712" s="6" t="str">
        <f>HYPERLINK("http://mcgill.on.worldcat.org/oclc/229033668","Catalog Record")</f>
        <v>Catalog Record</v>
      </c>
      <c r="AW1712" s="6" t="str">
        <f>HYPERLINK("http://www.worldcat.org/oclc/229033668","WorldCat Record")</f>
        <v>WorldCat Record</v>
      </c>
      <c r="AX1712" s="3" t="s">
        <v>17020</v>
      </c>
      <c r="AY1712" s="3" t="s">
        <v>17021</v>
      </c>
      <c r="AZ1712" s="3" t="s">
        <v>17022</v>
      </c>
      <c r="BA1712" s="3" t="s">
        <v>17022</v>
      </c>
      <c r="BB1712" s="3" t="s">
        <v>17023</v>
      </c>
      <c r="BC1712" s="3" t="s">
        <v>102</v>
      </c>
      <c r="BD1712" s="3" t="s">
        <v>68</v>
      </c>
      <c r="BE1712" s="3" t="s">
        <v>17024</v>
      </c>
      <c r="BF1712" s="3" t="s">
        <v>17023</v>
      </c>
      <c r="BG1712" s="3" t="s">
        <v>17025</v>
      </c>
    </row>
    <row r="1713" spans="1:59" ht="58" x14ac:dyDescent="0.35">
      <c r="A1713" s="2" t="s">
        <v>89</v>
      </c>
      <c r="B1713" s="2" t="s">
        <v>90</v>
      </c>
      <c r="C1713" s="2" t="s">
        <v>17026</v>
      </c>
      <c r="D1713" s="2" t="s">
        <v>17027</v>
      </c>
      <c r="E1713" s="2" t="s">
        <v>17028</v>
      </c>
      <c r="G1713" s="3" t="s">
        <v>62</v>
      </c>
      <c r="I1713" s="3" t="s">
        <v>62</v>
      </c>
      <c r="J1713" s="3" t="s">
        <v>61</v>
      </c>
      <c r="K1713" s="3" t="s">
        <v>63</v>
      </c>
      <c r="L1713" s="2" t="s">
        <v>17016</v>
      </c>
      <c r="M1713" s="2" t="s">
        <v>17029</v>
      </c>
      <c r="N1713" s="3" t="s">
        <v>698</v>
      </c>
      <c r="O1713" s="2" t="s">
        <v>17030</v>
      </c>
      <c r="P1713" s="3" t="s">
        <v>64</v>
      </c>
      <c r="R1713" s="3" t="s">
        <v>13065</v>
      </c>
      <c r="S1713" s="4">
        <v>20</v>
      </c>
      <c r="T1713" s="4">
        <v>20</v>
      </c>
      <c r="U1713" s="5" t="s">
        <v>3863</v>
      </c>
      <c r="V1713" s="5" t="s">
        <v>3863</v>
      </c>
      <c r="W1713" s="5" t="s">
        <v>67</v>
      </c>
      <c r="X1713" s="5" t="s">
        <v>67</v>
      </c>
      <c r="Y1713" s="4">
        <v>145</v>
      </c>
      <c r="Z1713" s="4">
        <v>11</v>
      </c>
      <c r="AA1713" s="4">
        <v>88</v>
      </c>
      <c r="AB1713" s="4">
        <v>1</v>
      </c>
      <c r="AC1713" s="4">
        <v>20</v>
      </c>
      <c r="AD1713" s="4">
        <v>16</v>
      </c>
      <c r="AE1713" s="4">
        <v>133</v>
      </c>
      <c r="AF1713" s="4">
        <v>0</v>
      </c>
      <c r="AG1713" s="4">
        <v>10</v>
      </c>
      <c r="AH1713" s="4">
        <v>15</v>
      </c>
      <c r="AI1713" s="4">
        <v>97</v>
      </c>
      <c r="AJ1713" s="4">
        <v>1</v>
      </c>
      <c r="AK1713" s="4">
        <v>26</v>
      </c>
      <c r="AL1713" s="4">
        <v>9</v>
      </c>
      <c r="AM1713" s="4">
        <v>52</v>
      </c>
      <c r="AN1713" s="4">
        <v>0</v>
      </c>
      <c r="AO1713" s="4">
        <v>0</v>
      </c>
      <c r="AP1713" s="4">
        <v>2</v>
      </c>
      <c r="AQ1713" s="4">
        <v>42</v>
      </c>
      <c r="AR1713" s="3" t="s">
        <v>62</v>
      </c>
      <c r="AS1713" s="3" t="s">
        <v>62</v>
      </c>
      <c r="AT1713" s="3" t="s">
        <v>62</v>
      </c>
      <c r="AV1713" s="6" t="str">
        <f>HYPERLINK("http://mcgill.on.worldcat.org/oclc/699760794","Catalog Record")</f>
        <v>Catalog Record</v>
      </c>
      <c r="AW1713" s="6" t="str">
        <f>HYPERLINK("http://www.worldcat.org/oclc/699760794","WorldCat Record")</f>
        <v>WorldCat Record</v>
      </c>
      <c r="AX1713" s="3" t="s">
        <v>17020</v>
      </c>
      <c r="AY1713" s="3" t="s">
        <v>17031</v>
      </c>
      <c r="AZ1713" s="3" t="s">
        <v>17032</v>
      </c>
      <c r="BA1713" s="3" t="s">
        <v>17032</v>
      </c>
      <c r="BB1713" s="3" t="s">
        <v>17033</v>
      </c>
      <c r="BC1713" s="3" t="s">
        <v>102</v>
      </c>
      <c r="BD1713" s="3" t="s">
        <v>68</v>
      </c>
      <c r="BE1713" s="3" t="s">
        <v>17034</v>
      </c>
      <c r="BF1713" s="3" t="s">
        <v>17033</v>
      </c>
      <c r="BG1713" s="3" t="s">
        <v>17035</v>
      </c>
    </row>
    <row r="1714" spans="1:59" ht="101.5" x14ac:dyDescent="0.35">
      <c r="A1714" s="2" t="s">
        <v>89</v>
      </c>
      <c r="B1714" s="2" t="s">
        <v>12301</v>
      </c>
      <c r="C1714" s="2" t="s">
        <v>17036</v>
      </c>
      <c r="D1714" s="2" t="s">
        <v>17037</v>
      </c>
      <c r="E1714" s="2" t="s">
        <v>17038</v>
      </c>
      <c r="G1714" s="3" t="s">
        <v>62</v>
      </c>
      <c r="I1714" s="3" t="s">
        <v>61</v>
      </c>
      <c r="J1714" s="3" t="s">
        <v>61</v>
      </c>
      <c r="K1714" s="3" t="s">
        <v>63</v>
      </c>
      <c r="L1714" s="2" t="s">
        <v>17039</v>
      </c>
      <c r="M1714" s="2" t="s">
        <v>17040</v>
      </c>
      <c r="N1714" s="3" t="s">
        <v>712</v>
      </c>
      <c r="O1714" s="2" t="s">
        <v>16034</v>
      </c>
      <c r="P1714" s="3" t="s">
        <v>64</v>
      </c>
      <c r="R1714" s="3" t="s">
        <v>13065</v>
      </c>
      <c r="S1714" s="4">
        <v>23</v>
      </c>
      <c r="T1714" s="4">
        <v>28</v>
      </c>
      <c r="U1714" s="5" t="s">
        <v>16887</v>
      </c>
      <c r="V1714" s="5" t="s">
        <v>16766</v>
      </c>
      <c r="W1714" s="5" t="s">
        <v>67</v>
      </c>
      <c r="X1714" s="5" t="s">
        <v>67</v>
      </c>
      <c r="Y1714" s="4">
        <v>100</v>
      </c>
      <c r="Z1714" s="4">
        <v>8</v>
      </c>
      <c r="AA1714" s="4">
        <v>65</v>
      </c>
      <c r="AB1714" s="4">
        <v>3</v>
      </c>
      <c r="AC1714" s="4">
        <v>20</v>
      </c>
      <c r="AD1714" s="4">
        <v>23</v>
      </c>
      <c r="AE1714" s="4">
        <v>125</v>
      </c>
      <c r="AF1714" s="4">
        <v>1</v>
      </c>
      <c r="AG1714" s="4">
        <v>9</v>
      </c>
      <c r="AH1714" s="4">
        <v>21</v>
      </c>
      <c r="AI1714" s="4">
        <v>90</v>
      </c>
      <c r="AJ1714" s="4">
        <v>4</v>
      </c>
      <c r="AK1714" s="4">
        <v>26</v>
      </c>
      <c r="AL1714" s="4">
        <v>11</v>
      </c>
      <c r="AM1714" s="4">
        <v>49</v>
      </c>
      <c r="AN1714" s="4">
        <v>0</v>
      </c>
      <c r="AO1714" s="4">
        <v>0</v>
      </c>
      <c r="AP1714" s="4">
        <v>6</v>
      </c>
      <c r="AQ1714" s="4">
        <v>44</v>
      </c>
      <c r="AR1714" s="3" t="s">
        <v>62</v>
      </c>
      <c r="AS1714" s="3" t="s">
        <v>62</v>
      </c>
      <c r="AT1714" s="3" t="s">
        <v>62</v>
      </c>
      <c r="AV1714" s="6" t="str">
        <f>HYPERLINK("http://mcgill.on.worldcat.org/oclc/847126203","Catalog Record")</f>
        <v>Catalog Record</v>
      </c>
      <c r="AW1714" s="6" t="str">
        <f>HYPERLINK("http://www.worldcat.org/oclc/847126203","WorldCat Record")</f>
        <v>WorldCat Record</v>
      </c>
      <c r="AX1714" s="3" t="s">
        <v>17041</v>
      </c>
      <c r="AY1714" s="3" t="s">
        <v>17042</v>
      </c>
      <c r="AZ1714" s="3" t="s">
        <v>17043</v>
      </c>
      <c r="BA1714" s="3" t="s">
        <v>17043</v>
      </c>
      <c r="BB1714" s="3" t="s">
        <v>17044</v>
      </c>
      <c r="BC1714" s="3" t="s">
        <v>102</v>
      </c>
      <c r="BD1714" s="3" t="s">
        <v>68</v>
      </c>
      <c r="BE1714" s="3" t="s">
        <v>17045</v>
      </c>
      <c r="BF1714" s="3" t="s">
        <v>17044</v>
      </c>
      <c r="BG1714" s="3" t="s">
        <v>17046</v>
      </c>
    </row>
    <row r="1715" spans="1:59" ht="101.5" x14ac:dyDescent="0.35">
      <c r="A1715" s="2" t="s">
        <v>89</v>
      </c>
      <c r="B1715" s="2" t="s">
        <v>12301</v>
      </c>
      <c r="C1715" s="2" t="s">
        <v>17036</v>
      </c>
      <c r="D1715" s="2" t="s">
        <v>17037</v>
      </c>
      <c r="E1715" s="2" t="s">
        <v>17038</v>
      </c>
      <c r="G1715" s="3" t="s">
        <v>62</v>
      </c>
      <c r="I1715" s="3" t="s">
        <v>61</v>
      </c>
      <c r="J1715" s="3" t="s">
        <v>61</v>
      </c>
      <c r="K1715" s="3" t="s">
        <v>63</v>
      </c>
      <c r="L1715" s="2" t="s">
        <v>17039</v>
      </c>
      <c r="M1715" s="2" t="s">
        <v>17040</v>
      </c>
      <c r="N1715" s="3" t="s">
        <v>712</v>
      </c>
      <c r="O1715" s="2" t="s">
        <v>16034</v>
      </c>
      <c r="P1715" s="3" t="s">
        <v>64</v>
      </c>
      <c r="R1715" s="3" t="s">
        <v>13065</v>
      </c>
      <c r="S1715" s="4">
        <v>5</v>
      </c>
      <c r="T1715" s="4">
        <v>28</v>
      </c>
      <c r="U1715" s="5" t="s">
        <v>16766</v>
      </c>
      <c r="V1715" s="5" t="s">
        <v>16766</v>
      </c>
      <c r="W1715" s="5" t="s">
        <v>67</v>
      </c>
      <c r="X1715" s="5" t="s">
        <v>67</v>
      </c>
      <c r="Y1715" s="4">
        <v>100</v>
      </c>
      <c r="Z1715" s="4">
        <v>8</v>
      </c>
      <c r="AA1715" s="4">
        <v>65</v>
      </c>
      <c r="AB1715" s="4">
        <v>3</v>
      </c>
      <c r="AC1715" s="4">
        <v>20</v>
      </c>
      <c r="AD1715" s="4">
        <v>23</v>
      </c>
      <c r="AE1715" s="4">
        <v>125</v>
      </c>
      <c r="AF1715" s="4">
        <v>1</v>
      </c>
      <c r="AG1715" s="4">
        <v>9</v>
      </c>
      <c r="AH1715" s="4">
        <v>21</v>
      </c>
      <c r="AI1715" s="4">
        <v>90</v>
      </c>
      <c r="AJ1715" s="4">
        <v>4</v>
      </c>
      <c r="AK1715" s="4">
        <v>26</v>
      </c>
      <c r="AL1715" s="4">
        <v>11</v>
      </c>
      <c r="AM1715" s="4">
        <v>49</v>
      </c>
      <c r="AN1715" s="4">
        <v>0</v>
      </c>
      <c r="AO1715" s="4">
        <v>0</v>
      </c>
      <c r="AP1715" s="4">
        <v>6</v>
      </c>
      <c r="AQ1715" s="4">
        <v>44</v>
      </c>
      <c r="AR1715" s="3" t="s">
        <v>62</v>
      </c>
      <c r="AS1715" s="3" t="s">
        <v>62</v>
      </c>
      <c r="AT1715" s="3" t="s">
        <v>62</v>
      </c>
      <c r="AV1715" s="6" t="str">
        <f>HYPERLINK("http://mcgill.on.worldcat.org/oclc/847126203","Catalog Record")</f>
        <v>Catalog Record</v>
      </c>
      <c r="AW1715" s="6" t="str">
        <f>HYPERLINK("http://www.worldcat.org/oclc/847126203","WorldCat Record")</f>
        <v>WorldCat Record</v>
      </c>
      <c r="AX1715" s="3" t="s">
        <v>17041</v>
      </c>
      <c r="AY1715" s="3" t="s">
        <v>17042</v>
      </c>
      <c r="AZ1715" s="3" t="s">
        <v>17043</v>
      </c>
      <c r="BA1715" s="3" t="s">
        <v>17043</v>
      </c>
      <c r="BB1715" s="3" t="s">
        <v>17047</v>
      </c>
      <c r="BC1715" s="3" t="s">
        <v>102</v>
      </c>
      <c r="BD1715" s="3" t="s">
        <v>68</v>
      </c>
      <c r="BE1715" s="3" t="s">
        <v>17045</v>
      </c>
      <c r="BF1715" s="3" t="s">
        <v>17047</v>
      </c>
      <c r="BG1715" s="3" t="s">
        <v>17048</v>
      </c>
    </row>
    <row r="1716" spans="1:59" ht="58" x14ac:dyDescent="0.35">
      <c r="A1716" s="2" t="s">
        <v>89</v>
      </c>
      <c r="B1716" s="2" t="s">
        <v>90</v>
      </c>
      <c r="C1716" s="2" t="s">
        <v>17049</v>
      </c>
      <c r="D1716" s="2" t="s">
        <v>17050</v>
      </c>
      <c r="E1716" s="2" t="s">
        <v>17051</v>
      </c>
      <c r="G1716" s="3" t="s">
        <v>62</v>
      </c>
      <c r="I1716" s="3" t="s">
        <v>62</v>
      </c>
      <c r="J1716" s="3" t="s">
        <v>62</v>
      </c>
      <c r="K1716" s="3" t="s">
        <v>63</v>
      </c>
      <c r="L1716" s="2" t="s">
        <v>17052</v>
      </c>
      <c r="M1716" s="2" t="s">
        <v>17040</v>
      </c>
      <c r="N1716" s="3" t="s">
        <v>712</v>
      </c>
      <c r="O1716" s="2" t="s">
        <v>17053</v>
      </c>
      <c r="P1716" s="3" t="s">
        <v>64</v>
      </c>
      <c r="R1716" s="3" t="s">
        <v>13065</v>
      </c>
      <c r="S1716" s="4">
        <v>2</v>
      </c>
      <c r="T1716" s="4">
        <v>2</v>
      </c>
      <c r="U1716" s="5" t="s">
        <v>2496</v>
      </c>
      <c r="V1716" s="5" t="s">
        <v>2496</v>
      </c>
      <c r="W1716" s="5" t="s">
        <v>67</v>
      </c>
      <c r="X1716" s="5" t="s">
        <v>67</v>
      </c>
      <c r="Y1716" s="4">
        <v>75</v>
      </c>
      <c r="Z1716" s="4">
        <v>6</v>
      </c>
      <c r="AA1716" s="4">
        <v>13</v>
      </c>
      <c r="AB1716" s="4">
        <v>2</v>
      </c>
      <c r="AC1716" s="4">
        <v>7</v>
      </c>
      <c r="AD1716" s="4">
        <v>15</v>
      </c>
      <c r="AE1716" s="4">
        <v>17</v>
      </c>
      <c r="AF1716" s="4">
        <v>1</v>
      </c>
      <c r="AG1716" s="4">
        <v>3</v>
      </c>
      <c r="AH1716" s="4">
        <v>11</v>
      </c>
      <c r="AI1716" s="4">
        <v>12</v>
      </c>
      <c r="AJ1716" s="4">
        <v>1</v>
      </c>
      <c r="AK1716" s="4">
        <v>3</v>
      </c>
      <c r="AL1716" s="4">
        <v>7</v>
      </c>
      <c r="AM1716" s="4">
        <v>7</v>
      </c>
      <c r="AN1716" s="4">
        <v>0</v>
      </c>
      <c r="AO1716" s="4">
        <v>0</v>
      </c>
      <c r="AP1716" s="4">
        <v>4</v>
      </c>
      <c r="AQ1716" s="4">
        <v>5</v>
      </c>
      <c r="AR1716" s="3" t="s">
        <v>62</v>
      </c>
      <c r="AS1716" s="3" t="s">
        <v>62</v>
      </c>
      <c r="AT1716" s="3" t="s">
        <v>62</v>
      </c>
      <c r="AV1716" s="6" t="str">
        <f>HYPERLINK("http://mcgill.on.worldcat.org/oclc/808413763","Catalog Record")</f>
        <v>Catalog Record</v>
      </c>
      <c r="AW1716" s="6" t="str">
        <f>HYPERLINK("http://www.worldcat.org/oclc/808413763","WorldCat Record")</f>
        <v>WorldCat Record</v>
      </c>
      <c r="AX1716" s="3" t="s">
        <v>17054</v>
      </c>
      <c r="AY1716" s="3" t="s">
        <v>17055</v>
      </c>
      <c r="AZ1716" s="3" t="s">
        <v>17056</v>
      </c>
      <c r="BA1716" s="3" t="s">
        <v>17056</v>
      </c>
      <c r="BB1716" s="3" t="s">
        <v>17057</v>
      </c>
      <c r="BC1716" s="3" t="s">
        <v>102</v>
      </c>
      <c r="BD1716" s="3" t="s">
        <v>68</v>
      </c>
      <c r="BE1716" s="3" t="s">
        <v>17058</v>
      </c>
      <c r="BF1716" s="3" t="s">
        <v>17057</v>
      </c>
      <c r="BG1716" s="3" t="s">
        <v>17059</v>
      </c>
    </row>
    <row r="1717" spans="1:59" ht="58" x14ac:dyDescent="0.35">
      <c r="A1717" s="2" t="s">
        <v>89</v>
      </c>
      <c r="B1717" s="2" t="s">
        <v>90</v>
      </c>
      <c r="C1717" s="2" t="s">
        <v>17060</v>
      </c>
      <c r="D1717" s="2" t="s">
        <v>17061</v>
      </c>
      <c r="E1717" s="2" t="s">
        <v>17062</v>
      </c>
      <c r="G1717" s="3" t="s">
        <v>62</v>
      </c>
      <c r="I1717" s="3" t="s">
        <v>61</v>
      </c>
      <c r="J1717" s="3" t="s">
        <v>61</v>
      </c>
      <c r="K1717" s="3" t="s">
        <v>63</v>
      </c>
      <c r="L1717" s="2" t="s">
        <v>17063</v>
      </c>
      <c r="M1717" s="2" t="s">
        <v>14579</v>
      </c>
      <c r="N1717" s="3" t="s">
        <v>129</v>
      </c>
      <c r="O1717" s="2" t="s">
        <v>17030</v>
      </c>
      <c r="P1717" s="3" t="s">
        <v>64</v>
      </c>
      <c r="R1717" s="3" t="s">
        <v>13065</v>
      </c>
      <c r="S1717" s="4">
        <v>17</v>
      </c>
      <c r="T1717" s="4">
        <v>29</v>
      </c>
      <c r="U1717" s="5" t="s">
        <v>17064</v>
      </c>
      <c r="V1717" s="5" t="s">
        <v>17064</v>
      </c>
      <c r="W1717" s="5" t="s">
        <v>67</v>
      </c>
      <c r="X1717" s="5" t="s">
        <v>67</v>
      </c>
      <c r="Y1717" s="4">
        <v>100</v>
      </c>
      <c r="Z1717" s="4">
        <v>11</v>
      </c>
      <c r="AA1717" s="4">
        <v>52</v>
      </c>
      <c r="AB1717" s="4">
        <v>3</v>
      </c>
      <c r="AC1717" s="4">
        <v>10</v>
      </c>
      <c r="AD1717" s="4">
        <v>12</v>
      </c>
      <c r="AE1717" s="4">
        <v>81</v>
      </c>
      <c r="AF1717" s="4">
        <v>1</v>
      </c>
      <c r="AG1717" s="4">
        <v>3</v>
      </c>
      <c r="AH1717" s="4">
        <v>10</v>
      </c>
      <c r="AI1717" s="4">
        <v>67</v>
      </c>
      <c r="AJ1717" s="4">
        <v>2</v>
      </c>
      <c r="AK1717" s="4">
        <v>15</v>
      </c>
      <c r="AL1717" s="4">
        <v>7</v>
      </c>
      <c r="AM1717" s="4">
        <v>34</v>
      </c>
      <c r="AN1717" s="4">
        <v>0</v>
      </c>
      <c r="AO1717" s="4">
        <v>0</v>
      </c>
      <c r="AP1717" s="4">
        <v>2</v>
      </c>
      <c r="AQ1717" s="4">
        <v>23</v>
      </c>
      <c r="AR1717" s="3" t="s">
        <v>62</v>
      </c>
      <c r="AS1717" s="3" t="s">
        <v>62</v>
      </c>
      <c r="AT1717" s="3" t="s">
        <v>62</v>
      </c>
      <c r="AV1717" s="6" t="str">
        <f>HYPERLINK("http://mcgill.on.worldcat.org/oclc/758397869","Catalog Record")</f>
        <v>Catalog Record</v>
      </c>
      <c r="AW1717" s="6" t="str">
        <f>HYPERLINK("http://www.worldcat.org/oclc/758397869","WorldCat Record")</f>
        <v>WorldCat Record</v>
      </c>
      <c r="AX1717" s="3" t="s">
        <v>17065</v>
      </c>
      <c r="AY1717" s="3" t="s">
        <v>17066</v>
      </c>
      <c r="AZ1717" s="3" t="s">
        <v>17067</v>
      </c>
      <c r="BA1717" s="3" t="s">
        <v>17067</v>
      </c>
      <c r="BB1717" s="3" t="s">
        <v>17068</v>
      </c>
      <c r="BC1717" s="3" t="s">
        <v>102</v>
      </c>
      <c r="BD1717" s="3" t="s">
        <v>68</v>
      </c>
      <c r="BE1717" s="3" t="s">
        <v>17069</v>
      </c>
      <c r="BF1717" s="3" t="s">
        <v>17068</v>
      </c>
      <c r="BG1717" s="3" t="s">
        <v>17070</v>
      </c>
    </row>
    <row r="1718" spans="1:59" ht="87" x14ac:dyDescent="0.35">
      <c r="A1718" s="2" t="s">
        <v>89</v>
      </c>
      <c r="B1718" s="2" t="s">
        <v>15860</v>
      </c>
      <c r="C1718" s="2" t="s">
        <v>17060</v>
      </c>
      <c r="D1718" s="2" t="s">
        <v>17061</v>
      </c>
      <c r="E1718" s="2" t="s">
        <v>17062</v>
      </c>
      <c r="G1718" s="3" t="s">
        <v>62</v>
      </c>
      <c r="I1718" s="3" t="s">
        <v>61</v>
      </c>
      <c r="J1718" s="3" t="s">
        <v>61</v>
      </c>
      <c r="K1718" s="3" t="s">
        <v>63</v>
      </c>
      <c r="L1718" s="2" t="s">
        <v>17063</v>
      </c>
      <c r="M1718" s="2" t="s">
        <v>14579</v>
      </c>
      <c r="N1718" s="3" t="s">
        <v>129</v>
      </c>
      <c r="O1718" s="2" t="s">
        <v>17030</v>
      </c>
      <c r="P1718" s="3" t="s">
        <v>64</v>
      </c>
      <c r="R1718" s="3" t="s">
        <v>13065</v>
      </c>
      <c r="S1718" s="4">
        <v>12</v>
      </c>
      <c r="T1718" s="4">
        <v>29</v>
      </c>
      <c r="U1718" s="5" t="s">
        <v>2459</v>
      </c>
      <c r="V1718" s="5" t="s">
        <v>17064</v>
      </c>
      <c r="W1718" s="5" t="s">
        <v>67</v>
      </c>
      <c r="X1718" s="5" t="s">
        <v>67</v>
      </c>
      <c r="Y1718" s="4">
        <v>100</v>
      </c>
      <c r="Z1718" s="4">
        <v>11</v>
      </c>
      <c r="AA1718" s="4">
        <v>52</v>
      </c>
      <c r="AB1718" s="4">
        <v>3</v>
      </c>
      <c r="AC1718" s="4">
        <v>10</v>
      </c>
      <c r="AD1718" s="4">
        <v>12</v>
      </c>
      <c r="AE1718" s="4">
        <v>81</v>
      </c>
      <c r="AF1718" s="4">
        <v>1</v>
      </c>
      <c r="AG1718" s="4">
        <v>3</v>
      </c>
      <c r="AH1718" s="4">
        <v>10</v>
      </c>
      <c r="AI1718" s="4">
        <v>67</v>
      </c>
      <c r="AJ1718" s="4">
        <v>2</v>
      </c>
      <c r="AK1718" s="4">
        <v>15</v>
      </c>
      <c r="AL1718" s="4">
        <v>7</v>
      </c>
      <c r="AM1718" s="4">
        <v>34</v>
      </c>
      <c r="AN1718" s="4">
        <v>0</v>
      </c>
      <c r="AO1718" s="4">
        <v>0</v>
      </c>
      <c r="AP1718" s="4">
        <v>2</v>
      </c>
      <c r="AQ1718" s="4">
        <v>23</v>
      </c>
      <c r="AR1718" s="3" t="s">
        <v>62</v>
      </c>
      <c r="AS1718" s="3" t="s">
        <v>62</v>
      </c>
      <c r="AT1718" s="3" t="s">
        <v>62</v>
      </c>
      <c r="AV1718" s="6" t="str">
        <f>HYPERLINK("http://mcgill.on.worldcat.org/oclc/758397869","Catalog Record")</f>
        <v>Catalog Record</v>
      </c>
      <c r="AW1718" s="6" t="str">
        <f>HYPERLINK("http://www.worldcat.org/oclc/758397869","WorldCat Record")</f>
        <v>WorldCat Record</v>
      </c>
      <c r="AX1718" s="3" t="s">
        <v>17065</v>
      </c>
      <c r="AY1718" s="3" t="s">
        <v>17066</v>
      </c>
      <c r="AZ1718" s="3" t="s">
        <v>17067</v>
      </c>
      <c r="BA1718" s="3" t="s">
        <v>17067</v>
      </c>
      <c r="BB1718" s="3" t="s">
        <v>17071</v>
      </c>
      <c r="BC1718" s="3" t="s">
        <v>102</v>
      </c>
      <c r="BD1718" s="3" t="s">
        <v>68</v>
      </c>
      <c r="BE1718" s="3" t="s">
        <v>17069</v>
      </c>
      <c r="BF1718" s="3" t="s">
        <v>17071</v>
      </c>
      <c r="BG1718" s="3" t="s">
        <v>17072</v>
      </c>
    </row>
    <row r="1719" spans="1:59" ht="87" x14ac:dyDescent="0.35">
      <c r="A1719" s="2" t="s">
        <v>89</v>
      </c>
      <c r="B1719" s="2" t="s">
        <v>15860</v>
      </c>
      <c r="C1719" s="2" t="s">
        <v>17073</v>
      </c>
      <c r="D1719" s="2" t="s">
        <v>17074</v>
      </c>
      <c r="E1719" s="2" t="s">
        <v>17075</v>
      </c>
      <c r="G1719" s="3" t="s">
        <v>62</v>
      </c>
      <c r="I1719" s="3" t="s">
        <v>62</v>
      </c>
      <c r="J1719" s="3" t="s">
        <v>61</v>
      </c>
      <c r="K1719" s="3" t="s">
        <v>63</v>
      </c>
      <c r="L1719" s="2" t="s">
        <v>17063</v>
      </c>
      <c r="M1719" s="2" t="s">
        <v>17076</v>
      </c>
      <c r="N1719" s="3" t="s">
        <v>1455</v>
      </c>
      <c r="O1719" s="2" t="s">
        <v>15933</v>
      </c>
      <c r="P1719" s="3" t="s">
        <v>64</v>
      </c>
      <c r="R1719" s="3" t="s">
        <v>13065</v>
      </c>
      <c r="S1719" s="4">
        <v>35</v>
      </c>
      <c r="T1719" s="4">
        <v>35</v>
      </c>
      <c r="U1719" s="5" t="s">
        <v>13499</v>
      </c>
      <c r="V1719" s="5" t="s">
        <v>13499</v>
      </c>
      <c r="W1719" s="5" t="s">
        <v>67</v>
      </c>
      <c r="X1719" s="5" t="s">
        <v>67</v>
      </c>
      <c r="Y1719" s="4">
        <v>111</v>
      </c>
      <c r="Z1719" s="4">
        <v>5</v>
      </c>
      <c r="AA1719" s="4">
        <v>52</v>
      </c>
      <c r="AB1719" s="4">
        <v>1</v>
      </c>
      <c r="AC1719" s="4">
        <v>10</v>
      </c>
      <c r="AD1719" s="4">
        <v>17</v>
      </c>
      <c r="AE1719" s="4">
        <v>81</v>
      </c>
      <c r="AF1719" s="4">
        <v>0</v>
      </c>
      <c r="AG1719" s="4">
        <v>3</v>
      </c>
      <c r="AH1719" s="4">
        <v>15</v>
      </c>
      <c r="AI1719" s="4">
        <v>67</v>
      </c>
      <c r="AJ1719" s="4">
        <v>0</v>
      </c>
      <c r="AK1719" s="4">
        <v>15</v>
      </c>
      <c r="AL1719" s="4">
        <v>14</v>
      </c>
      <c r="AM1719" s="4">
        <v>34</v>
      </c>
      <c r="AN1719" s="4">
        <v>0</v>
      </c>
      <c r="AO1719" s="4">
        <v>0</v>
      </c>
      <c r="AP1719" s="4">
        <v>1</v>
      </c>
      <c r="AQ1719" s="4">
        <v>23</v>
      </c>
      <c r="AR1719" s="3" t="s">
        <v>62</v>
      </c>
      <c r="AS1719" s="3" t="s">
        <v>62</v>
      </c>
      <c r="AT1719" s="3" t="s">
        <v>62</v>
      </c>
      <c r="AV1719" s="6" t="str">
        <f>HYPERLINK("http://mcgill.on.worldcat.org/oclc/862095888","Catalog Record")</f>
        <v>Catalog Record</v>
      </c>
      <c r="AW1719" s="6" t="str">
        <f>HYPERLINK("http://www.worldcat.org/oclc/862095888","WorldCat Record")</f>
        <v>WorldCat Record</v>
      </c>
      <c r="AX1719" s="3" t="s">
        <v>17065</v>
      </c>
      <c r="AY1719" s="3" t="s">
        <v>17077</v>
      </c>
      <c r="AZ1719" s="3" t="s">
        <v>17078</v>
      </c>
      <c r="BA1719" s="3" t="s">
        <v>17078</v>
      </c>
      <c r="BB1719" s="3" t="s">
        <v>17079</v>
      </c>
      <c r="BC1719" s="3" t="s">
        <v>102</v>
      </c>
      <c r="BD1719" s="3" t="s">
        <v>231</v>
      </c>
      <c r="BE1719" s="3" t="s">
        <v>17080</v>
      </c>
      <c r="BF1719" s="3" t="s">
        <v>17079</v>
      </c>
      <c r="BG1719" s="3" t="s">
        <v>17081</v>
      </c>
    </row>
    <row r="1720" spans="1:59" ht="58" x14ac:dyDescent="0.35">
      <c r="A1720" s="2" t="s">
        <v>89</v>
      </c>
      <c r="B1720" s="2" t="s">
        <v>90</v>
      </c>
      <c r="C1720" s="2" t="s">
        <v>17082</v>
      </c>
      <c r="D1720" s="2" t="s">
        <v>17083</v>
      </c>
      <c r="E1720" s="2" t="s">
        <v>17084</v>
      </c>
      <c r="G1720" s="3" t="s">
        <v>62</v>
      </c>
      <c r="I1720" s="3" t="s">
        <v>62</v>
      </c>
      <c r="J1720" s="3" t="s">
        <v>61</v>
      </c>
      <c r="K1720" s="3" t="s">
        <v>63</v>
      </c>
      <c r="L1720" s="2" t="s">
        <v>17085</v>
      </c>
      <c r="M1720" s="2" t="s">
        <v>17086</v>
      </c>
      <c r="N1720" s="3" t="s">
        <v>1455</v>
      </c>
      <c r="O1720" s="2" t="s">
        <v>17087</v>
      </c>
      <c r="P1720" s="3" t="s">
        <v>64</v>
      </c>
      <c r="R1720" s="3" t="s">
        <v>13065</v>
      </c>
      <c r="S1720" s="4">
        <v>1</v>
      </c>
      <c r="T1720" s="4">
        <v>1</v>
      </c>
      <c r="U1720" s="5" t="s">
        <v>17088</v>
      </c>
      <c r="V1720" s="5" t="s">
        <v>17088</v>
      </c>
      <c r="W1720" s="5" t="s">
        <v>67</v>
      </c>
      <c r="X1720" s="5" t="s">
        <v>67</v>
      </c>
      <c r="Y1720" s="4">
        <v>8</v>
      </c>
      <c r="Z1720" s="4">
        <v>2</v>
      </c>
      <c r="AA1720" s="4">
        <v>2</v>
      </c>
      <c r="AB1720" s="4">
        <v>1</v>
      </c>
      <c r="AC1720" s="4">
        <v>1</v>
      </c>
      <c r="AD1720" s="4">
        <v>0</v>
      </c>
      <c r="AE1720" s="4">
        <v>1</v>
      </c>
      <c r="AF1720" s="4">
        <v>0</v>
      </c>
      <c r="AG1720" s="4">
        <v>0</v>
      </c>
      <c r="AH1720" s="4">
        <v>0</v>
      </c>
      <c r="AI1720" s="4">
        <v>1</v>
      </c>
      <c r="AJ1720" s="4">
        <v>0</v>
      </c>
      <c r="AK1720" s="4">
        <v>0</v>
      </c>
      <c r="AL1720" s="4">
        <v>0</v>
      </c>
      <c r="AM1720" s="4">
        <v>0</v>
      </c>
      <c r="AN1720" s="4">
        <v>0</v>
      </c>
      <c r="AO1720" s="4">
        <v>0</v>
      </c>
      <c r="AP1720" s="4">
        <v>0</v>
      </c>
      <c r="AQ1720" s="4">
        <v>0</v>
      </c>
      <c r="AR1720" s="3" t="s">
        <v>62</v>
      </c>
      <c r="AS1720" s="3" t="s">
        <v>62</v>
      </c>
      <c r="AT1720" s="3" t="s">
        <v>62</v>
      </c>
      <c r="AV1720" s="6" t="str">
        <f>HYPERLINK("http://mcgill.on.worldcat.org/oclc/910882956","Catalog Record")</f>
        <v>Catalog Record</v>
      </c>
      <c r="AW1720" s="6" t="str">
        <f>HYPERLINK("http://www.worldcat.org/oclc/910882956","WorldCat Record")</f>
        <v>WorldCat Record</v>
      </c>
      <c r="AX1720" s="3" t="s">
        <v>17089</v>
      </c>
      <c r="AY1720" s="3" t="s">
        <v>17090</v>
      </c>
      <c r="AZ1720" s="3" t="s">
        <v>17091</v>
      </c>
      <c r="BA1720" s="3" t="s">
        <v>17091</v>
      </c>
      <c r="BB1720" s="3" t="s">
        <v>17092</v>
      </c>
      <c r="BC1720" s="3" t="s">
        <v>102</v>
      </c>
      <c r="BD1720" s="3" t="s">
        <v>68</v>
      </c>
      <c r="BE1720" s="3" t="s">
        <v>17093</v>
      </c>
      <c r="BF1720" s="3" t="s">
        <v>17092</v>
      </c>
      <c r="BG1720" s="3" t="s">
        <v>17094</v>
      </c>
    </row>
    <row r="1721" spans="1:59" ht="101.5" x14ac:dyDescent="0.35">
      <c r="A1721" s="2" t="s">
        <v>89</v>
      </c>
      <c r="B1721" s="2" t="s">
        <v>12301</v>
      </c>
      <c r="C1721" s="2" t="s">
        <v>17095</v>
      </c>
      <c r="D1721" s="2" t="s">
        <v>17096</v>
      </c>
      <c r="E1721" s="2" t="s">
        <v>17097</v>
      </c>
      <c r="G1721" s="3" t="s">
        <v>62</v>
      </c>
      <c r="I1721" s="3" t="s">
        <v>61</v>
      </c>
      <c r="J1721" s="3" t="s">
        <v>62</v>
      </c>
      <c r="K1721" s="3" t="s">
        <v>63</v>
      </c>
      <c r="L1721" s="2" t="s">
        <v>17098</v>
      </c>
      <c r="M1721" s="2" t="s">
        <v>17099</v>
      </c>
      <c r="N1721" s="3" t="s">
        <v>1722</v>
      </c>
      <c r="P1721" s="3" t="s">
        <v>64</v>
      </c>
      <c r="R1721" s="3" t="s">
        <v>13065</v>
      </c>
      <c r="S1721" s="4">
        <v>23</v>
      </c>
      <c r="T1721" s="4">
        <v>71</v>
      </c>
      <c r="U1721" s="5" t="s">
        <v>17100</v>
      </c>
      <c r="V1721" s="5" t="s">
        <v>2521</v>
      </c>
      <c r="W1721" s="5" t="s">
        <v>67</v>
      </c>
      <c r="X1721" s="5" t="s">
        <v>67</v>
      </c>
      <c r="Y1721" s="4">
        <v>93</v>
      </c>
      <c r="Z1721" s="4">
        <v>8</v>
      </c>
      <c r="AA1721" s="4">
        <v>10</v>
      </c>
      <c r="AB1721" s="4">
        <v>1</v>
      </c>
      <c r="AC1721" s="4">
        <v>3</v>
      </c>
      <c r="AD1721" s="4">
        <v>15</v>
      </c>
      <c r="AE1721" s="4">
        <v>16</v>
      </c>
      <c r="AF1721" s="4">
        <v>0</v>
      </c>
      <c r="AG1721" s="4">
        <v>1</v>
      </c>
      <c r="AH1721" s="4">
        <v>12</v>
      </c>
      <c r="AI1721" s="4">
        <v>12</v>
      </c>
      <c r="AJ1721" s="4">
        <v>2</v>
      </c>
      <c r="AK1721" s="4">
        <v>2</v>
      </c>
      <c r="AL1721" s="4">
        <v>9</v>
      </c>
      <c r="AM1721" s="4">
        <v>9</v>
      </c>
      <c r="AN1721" s="4">
        <v>0</v>
      </c>
      <c r="AO1721" s="4">
        <v>0</v>
      </c>
      <c r="AP1721" s="4">
        <v>2</v>
      </c>
      <c r="AQ1721" s="4">
        <v>3</v>
      </c>
      <c r="AR1721" s="3" t="s">
        <v>62</v>
      </c>
      <c r="AS1721" s="3" t="s">
        <v>62</v>
      </c>
      <c r="AT1721" s="3" t="s">
        <v>62</v>
      </c>
      <c r="AV1721" s="6" t="str">
        <f>HYPERLINK("http://mcgill.on.worldcat.org/oclc/123112157","Catalog Record")</f>
        <v>Catalog Record</v>
      </c>
      <c r="AW1721" s="6" t="str">
        <f>HYPERLINK("http://www.worldcat.org/oclc/123112157","WorldCat Record")</f>
        <v>WorldCat Record</v>
      </c>
      <c r="AX1721" s="3" t="s">
        <v>17101</v>
      </c>
      <c r="AY1721" s="3" t="s">
        <v>17102</v>
      </c>
      <c r="AZ1721" s="3" t="s">
        <v>17103</v>
      </c>
      <c r="BA1721" s="3" t="s">
        <v>17103</v>
      </c>
      <c r="BB1721" s="3" t="s">
        <v>17104</v>
      </c>
      <c r="BC1721" s="3" t="s">
        <v>102</v>
      </c>
      <c r="BD1721" s="3" t="s">
        <v>68</v>
      </c>
      <c r="BE1721" s="3" t="s">
        <v>17105</v>
      </c>
      <c r="BF1721" s="3" t="s">
        <v>17104</v>
      </c>
      <c r="BG1721" s="3" t="s">
        <v>17106</v>
      </c>
    </row>
    <row r="1722" spans="1:59" ht="101.5" x14ac:dyDescent="0.35">
      <c r="A1722" s="2" t="s">
        <v>89</v>
      </c>
      <c r="B1722" s="2" t="s">
        <v>12301</v>
      </c>
      <c r="C1722" s="2" t="s">
        <v>17095</v>
      </c>
      <c r="D1722" s="2" t="s">
        <v>17096</v>
      </c>
      <c r="E1722" s="2" t="s">
        <v>17097</v>
      </c>
      <c r="G1722" s="3" t="s">
        <v>62</v>
      </c>
      <c r="I1722" s="3" t="s">
        <v>61</v>
      </c>
      <c r="J1722" s="3" t="s">
        <v>62</v>
      </c>
      <c r="K1722" s="3" t="s">
        <v>63</v>
      </c>
      <c r="L1722" s="2" t="s">
        <v>17098</v>
      </c>
      <c r="M1722" s="2" t="s">
        <v>17099</v>
      </c>
      <c r="N1722" s="3" t="s">
        <v>1722</v>
      </c>
      <c r="P1722" s="3" t="s">
        <v>64</v>
      </c>
      <c r="R1722" s="3" t="s">
        <v>13065</v>
      </c>
      <c r="S1722" s="4">
        <v>48</v>
      </c>
      <c r="T1722" s="4">
        <v>71</v>
      </c>
      <c r="U1722" s="5" t="s">
        <v>2521</v>
      </c>
      <c r="V1722" s="5" t="s">
        <v>2521</v>
      </c>
      <c r="W1722" s="5" t="s">
        <v>67</v>
      </c>
      <c r="X1722" s="5" t="s">
        <v>67</v>
      </c>
      <c r="Y1722" s="4">
        <v>93</v>
      </c>
      <c r="Z1722" s="4">
        <v>8</v>
      </c>
      <c r="AA1722" s="4">
        <v>10</v>
      </c>
      <c r="AB1722" s="4">
        <v>1</v>
      </c>
      <c r="AC1722" s="4">
        <v>3</v>
      </c>
      <c r="AD1722" s="4">
        <v>15</v>
      </c>
      <c r="AE1722" s="4">
        <v>16</v>
      </c>
      <c r="AF1722" s="4">
        <v>0</v>
      </c>
      <c r="AG1722" s="4">
        <v>1</v>
      </c>
      <c r="AH1722" s="4">
        <v>12</v>
      </c>
      <c r="AI1722" s="4">
        <v>12</v>
      </c>
      <c r="AJ1722" s="4">
        <v>2</v>
      </c>
      <c r="AK1722" s="4">
        <v>2</v>
      </c>
      <c r="AL1722" s="4">
        <v>9</v>
      </c>
      <c r="AM1722" s="4">
        <v>9</v>
      </c>
      <c r="AN1722" s="4">
        <v>0</v>
      </c>
      <c r="AO1722" s="4">
        <v>0</v>
      </c>
      <c r="AP1722" s="4">
        <v>2</v>
      </c>
      <c r="AQ1722" s="4">
        <v>3</v>
      </c>
      <c r="AR1722" s="3" t="s">
        <v>62</v>
      </c>
      <c r="AS1722" s="3" t="s">
        <v>62</v>
      </c>
      <c r="AT1722" s="3" t="s">
        <v>62</v>
      </c>
      <c r="AV1722" s="6" t="str">
        <f>HYPERLINK("http://mcgill.on.worldcat.org/oclc/123112157","Catalog Record")</f>
        <v>Catalog Record</v>
      </c>
      <c r="AW1722" s="6" t="str">
        <f>HYPERLINK("http://www.worldcat.org/oclc/123112157","WorldCat Record")</f>
        <v>WorldCat Record</v>
      </c>
      <c r="AX1722" s="3" t="s">
        <v>17101</v>
      </c>
      <c r="AY1722" s="3" t="s">
        <v>17102</v>
      </c>
      <c r="AZ1722" s="3" t="s">
        <v>17103</v>
      </c>
      <c r="BA1722" s="3" t="s">
        <v>17103</v>
      </c>
      <c r="BB1722" s="3" t="s">
        <v>17107</v>
      </c>
      <c r="BC1722" s="3" t="s">
        <v>102</v>
      </c>
      <c r="BD1722" s="3" t="s">
        <v>68</v>
      </c>
      <c r="BE1722" s="3" t="s">
        <v>17105</v>
      </c>
      <c r="BF1722" s="3" t="s">
        <v>17107</v>
      </c>
      <c r="BG1722" s="3" t="s">
        <v>17108</v>
      </c>
    </row>
    <row r="1723" spans="1:59" ht="58" x14ac:dyDescent="0.35">
      <c r="A1723" s="2" t="s">
        <v>89</v>
      </c>
      <c r="B1723" s="2" t="s">
        <v>90</v>
      </c>
      <c r="C1723" s="2" t="s">
        <v>17109</v>
      </c>
      <c r="D1723" s="2" t="s">
        <v>17110</v>
      </c>
      <c r="E1723" s="2" t="s">
        <v>17111</v>
      </c>
      <c r="G1723" s="3" t="s">
        <v>62</v>
      </c>
      <c r="I1723" s="3" t="s">
        <v>61</v>
      </c>
      <c r="J1723" s="3" t="s">
        <v>62</v>
      </c>
      <c r="K1723" s="3" t="s">
        <v>63</v>
      </c>
      <c r="L1723" s="2" t="s">
        <v>17112</v>
      </c>
      <c r="M1723" s="2" t="s">
        <v>17113</v>
      </c>
      <c r="N1723" s="3" t="s">
        <v>712</v>
      </c>
      <c r="O1723" s="2" t="s">
        <v>17114</v>
      </c>
      <c r="P1723" s="3" t="s">
        <v>64</v>
      </c>
      <c r="R1723" s="3" t="s">
        <v>13065</v>
      </c>
      <c r="S1723" s="4">
        <v>0</v>
      </c>
      <c r="T1723" s="4">
        <v>0</v>
      </c>
      <c r="W1723" s="5" t="s">
        <v>67</v>
      </c>
      <c r="X1723" s="5" t="s">
        <v>67</v>
      </c>
      <c r="Y1723" s="4">
        <v>3</v>
      </c>
      <c r="Z1723" s="4">
        <v>1</v>
      </c>
      <c r="AA1723" s="4">
        <v>8</v>
      </c>
      <c r="AB1723" s="4">
        <v>1</v>
      </c>
      <c r="AC1723" s="4">
        <v>3</v>
      </c>
      <c r="AD1723" s="4">
        <v>0</v>
      </c>
      <c r="AE1723" s="4">
        <v>15</v>
      </c>
      <c r="AF1723" s="4">
        <v>0</v>
      </c>
      <c r="AG1723" s="4">
        <v>1</v>
      </c>
      <c r="AH1723" s="4">
        <v>0</v>
      </c>
      <c r="AI1723" s="4">
        <v>13</v>
      </c>
      <c r="AJ1723" s="4">
        <v>0</v>
      </c>
      <c r="AK1723" s="4">
        <v>1</v>
      </c>
      <c r="AL1723" s="4">
        <v>0</v>
      </c>
      <c r="AM1723" s="4">
        <v>8</v>
      </c>
      <c r="AN1723" s="4">
        <v>0</v>
      </c>
      <c r="AO1723" s="4">
        <v>0</v>
      </c>
      <c r="AP1723" s="4">
        <v>0</v>
      </c>
      <c r="AQ1723" s="4">
        <v>2</v>
      </c>
      <c r="AR1723" s="3" t="s">
        <v>62</v>
      </c>
      <c r="AS1723" s="3" t="s">
        <v>62</v>
      </c>
      <c r="AT1723" s="3" t="s">
        <v>62</v>
      </c>
      <c r="AV1723" s="6" t="str">
        <f>HYPERLINK("http://mcgill.on.worldcat.org/oclc/979875208","Catalog Record")</f>
        <v>Catalog Record</v>
      </c>
      <c r="AW1723" s="6" t="str">
        <f>HYPERLINK("http://www.worldcat.org/oclc/979875208","WorldCat Record")</f>
        <v>WorldCat Record</v>
      </c>
      <c r="AX1723" s="3" t="s">
        <v>17115</v>
      </c>
      <c r="AY1723" s="3" t="s">
        <v>17116</v>
      </c>
      <c r="AZ1723" s="3" t="s">
        <v>17117</v>
      </c>
      <c r="BA1723" s="3" t="s">
        <v>17117</v>
      </c>
      <c r="BB1723" s="3" t="s">
        <v>17118</v>
      </c>
      <c r="BC1723" s="3" t="s">
        <v>102</v>
      </c>
      <c r="BD1723" s="3" t="s">
        <v>68</v>
      </c>
      <c r="BE1723" s="3" t="s">
        <v>17119</v>
      </c>
      <c r="BF1723" s="3" t="s">
        <v>17118</v>
      </c>
      <c r="BG1723" s="3" t="s">
        <v>17120</v>
      </c>
    </row>
    <row r="1724" spans="1:59" ht="58" x14ac:dyDescent="0.35">
      <c r="A1724" s="2" t="s">
        <v>89</v>
      </c>
      <c r="B1724" s="2" t="s">
        <v>90</v>
      </c>
      <c r="C1724" s="2" t="s">
        <v>17109</v>
      </c>
      <c r="D1724" s="2" t="s">
        <v>17110</v>
      </c>
      <c r="E1724" s="2" t="s">
        <v>17111</v>
      </c>
      <c r="G1724" s="3" t="s">
        <v>62</v>
      </c>
      <c r="I1724" s="3" t="s">
        <v>61</v>
      </c>
      <c r="J1724" s="3" t="s">
        <v>62</v>
      </c>
      <c r="K1724" s="3" t="s">
        <v>63</v>
      </c>
      <c r="L1724" s="2" t="s">
        <v>17112</v>
      </c>
      <c r="M1724" s="2" t="s">
        <v>17113</v>
      </c>
      <c r="N1724" s="3" t="s">
        <v>712</v>
      </c>
      <c r="O1724" s="2" t="s">
        <v>17114</v>
      </c>
      <c r="P1724" s="3" t="s">
        <v>64</v>
      </c>
      <c r="R1724" s="3" t="s">
        <v>13065</v>
      </c>
      <c r="S1724" s="4">
        <v>0</v>
      </c>
      <c r="T1724" s="4">
        <v>0</v>
      </c>
      <c r="W1724" s="5" t="s">
        <v>67</v>
      </c>
      <c r="X1724" s="5" t="s">
        <v>67</v>
      </c>
      <c r="Y1724" s="4">
        <v>3</v>
      </c>
      <c r="Z1724" s="4">
        <v>1</v>
      </c>
      <c r="AA1724" s="4">
        <v>8</v>
      </c>
      <c r="AB1724" s="4">
        <v>1</v>
      </c>
      <c r="AC1724" s="4">
        <v>3</v>
      </c>
      <c r="AD1724" s="4">
        <v>0</v>
      </c>
      <c r="AE1724" s="4">
        <v>15</v>
      </c>
      <c r="AF1724" s="4">
        <v>0</v>
      </c>
      <c r="AG1724" s="4">
        <v>1</v>
      </c>
      <c r="AH1724" s="4">
        <v>0</v>
      </c>
      <c r="AI1724" s="4">
        <v>13</v>
      </c>
      <c r="AJ1724" s="4">
        <v>0</v>
      </c>
      <c r="AK1724" s="4">
        <v>1</v>
      </c>
      <c r="AL1724" s="4">
        <v>0</v>
      </c>
      <c r="AM1724" s="4">
        <v>8</v>
      </c>
      <c r="AN1724" s="4">
        <v>0</v>
      </c>
      <c r="AO1724" s="4">
        <v>0</v>
      </c>
      <c r="AP1724" s="4">
        <v>0</v>
      </c>
      <c r="AQ1724" s="4">
        <v>2</v>
      </c>
      <c r="AR1724" s="3" t="s">
        <v>62</v>
      </c>
      <c r="AS1724" s="3" t="s">
        <v>62</v>
      </c>
      <c r="AT1724" s="3" t="s">
        <v>62</v>
      </c>
      <c r="AV1724" s="6" t="str">
        <f>HYPERLINK("http://mcgill.on.worldcat.org/oclc/979875208","Catalog Record")</f>
        <v>Catalog Record</v>
      </c>
      <c r="AW1724" s="6" t="str">
        <f>HYPERLINK("http://www.worldcat.org/oclc/979875208","WorldCat Record")</f>
        <v>WorldCat Record</v>
      </c>
      <c r="AX1724" s="3" t="s">
        <v>17115</v>
      </c>
      <c r="AY1724" s="3" t="s">
        <v>17116</v>
      </c>
      <c r="AZ1724" s="3" t="s">
        <v>17117</v>
      </c>
      <c r="BA1724" s="3" t="s">
        <v>17117</v>
      </c>
      <c r="BB1724" s="3" t="s">
        <v>17121</v>
      </c>
      <c r="BC1724" s="3" t="s">
        <v>102</v>
      </c>
      <c r="BD1724" s="3" t="s">
        <v>68</v>
      </c>
      <c r="BE1724" s="3" t="s">
        <v>17119</v>
      </c>
      <c r="BF1724" s="3" t="s">
        <v>17121</v>
      </c>
      <c r="BG1724" s="3" t="s">
        <v>17122</v>
      </c>
    </row>
    <row r="1725" spans="1:59" ht="58" x14ac:dyDescent="0.35">
      <c r="A1725" s="2" t="s">
        <v>89</v>
      </c>
      <c r="B1725" s="2" t="s">
        <v>90</v>
      </c>
      <c r="C1725" s="2" t="s">
        <v>17123</v>
      </c>
      <c r="D1725" s="2" t="s">
        <v>17124</v>
      </c>
      <c r="E1725" s="2" t="s">
        <v>17125</v>
      </c>
      <c r="G1725" s="3" t="s">
        <v>62</v>
      </c>
      <c r="I1725" s="3" t="s">
        <v>61</v>
      </c>
      <c r="J1725" s="3" t="s">
        <v>62</v>
      </c>
      <c r="K1725" s="3" t="s">
        <v>63</v>
      </c>
      <c r="L1725" s="2" t="s">
        <v>17126</v>
      </c>
      <c r="M1725" s="2" t="s">
        <v>17127</v>
      </c>
      <c r="N1725" s="3" t="s">
        <v>712</v>
      </c>
      <c r="P1725" s="3" t="s">
        <v>64</v>
      </c>
      <c r="R1725" s="3" t="s">
        <v>13065</v>
      </c>
      <c r="S1725" s="4">
        <v>4</v>
      </c>
      <c r="T1725" s="4">
        <v>21</v>
      </c>
      <c r="U1725" s="5" t="s">
        <v>3243</v>
      </c>
      <c r="V1725" s="5" t="s">
        <v>17128</v>
      </c>
      <c r="W1725" s="5" t="s">
        <v>1338</v>
      </c>
      <c r="X1725" s="5" t="s">
        <v>1338</v>
      </c>
      <c r="Y1725" s="4">
        <v>776</v>
      </c>
      <c r="Z1725" s="4">
        <v>30</v>
      </c>
      <c r="AA1725" s="4">
        <v>51</v>
      </c>
      <c r="AB1725" s="4">
        <v>5</v>
      </c>
      <c r="AC1725" s="4">
        <v>12</v>
      </c>
      <c r="AD1725" s="4">
        <v>45</v>
      </c>
      <c r="AE1725" s="4">
        <v>76</v>
      </c>
      <c r="AF1725" s="4">
        <v>1</v>
      </c>
      <c r="AG1725" s="4">
        <v>6</v>
      </c>
      <c r="AH1725" s="4">
        <v>39</v>
      </c>
      <c r="AI1725" s="4">
        <v>58</v>
      </c>
      <c r="AJ1725" s="4">
        <v>5</v>
      </c>
      <c r="AK1725" s="4">
        <v>13</v>
      </c>
      <c r="AL1725" s="4">
        <v>22</v>
      </c>
      <c r="AM1725" s="4">
        <v>31</v>
      </c>
      <c r="AN1725" s="4">
        <v>0</v>
      </c>
      <c r="AO1725" s="4">
        <v>0</v>
      </c>
      <c r="AP1725" s="4">
        <v>7</v>
      </c>
      <c r="AQ1725" s="4">
        <v>20</v>
      </c>
      <c r="AR1725" s="3" t="s">
        <v>62</v>
      </c>
      <c r="AS1725" s="3" t="s">
        <v>62</v>
      </c>
      <c r="AT1725" s="3" t="s">
        <v>62</v>
      </c>
      <c r="AV1725" s="6" t="str">
        <f>HYPERLINK("http://mcgill.on.worldcat.org/oclc/829055899","Catalog Record")</f>
        <v>Catalog Record</v>
      </c>
      <c r="AW1725" s="6" t="str">
        <f>HYPERLINK("http://www.worldcat.org/oclc/829055899","WorldCat Record")</f>
        <v>WorldCat Record</v>
      </c>
      <c r="AX1725" s="3" t="s">
        <v>17129</v>
      </c>
      <c r="AY1725" s="3" t="s">
        <v>17130</v>
      </c>
      <c r="AZ1725" s="3" t="s">
        <v>17131</v>
      </c>
      <c r="BA1725" s="3" t="s">
        <v>17131</v>
      </c>
      <c r="BB1725" s="3" t="s">
        <v>17132</v>
      </c>
      <c r="BC1725" s="3" t="s">
        <v>102</v>
      </c>
      <c r="BD1725" s="3" t="s">
        <v>68</v>
      </c>
      <c r="BE1725" s="3" t="s">
        <v>17133</v>
      </c>
      <c r="BF1725" s="3" t="s">
        <v>17132</v>
      </c>
      <c r="BG1725" s="3" t="s">
        <v>17134</v>
      </c>
    </row>
    <row r="1726" spans="1:59" ht="58" x14ac:dyDescent="0.35">
      <c r="A1726" s="2" t="s">
        <v>89</v>
      </c>
      <c r="B1726" s="2" t="s">
        <v>90</v>
      </c>
      <c r="C1726" s="2" t="s">
        <v>17123</v>
      </c>
      <c r="D1726" s="2" t="s">
        <v>17124</v>
      </c>
      <c r="E1726" s="2" t="s">
        <v>17125</v>
      </c>
      <c r="G1726" s="3" t="s">
        <v>62</v>
      </c>
      <c r="I1726" s="3" t="s">
        <v>61</v>
      </c>
      <c r="J1726" s="3" t="s">
        <v>62</v>
      </c>
      <c r="K1726" s="3" t="s">
        <v>63</v>
      </c>
      <c r="L1726" s="2" t="s">
        <v>17126</v>
      </c>
      <c r="M1726" s="2" t="s">
        <v>17127</v>
      </c>
      <c r="N1726" s="3" t="s">
        <v>712</v>
      </c>
      <c r="P1726" s="3" t="s">
        <v>64</v>
      </c>
      <c r="R1726" s="3" t="s">
        <v>13065</v>
      </c>
      <c r="S1726" s="4">
        <v>13</v>
      </c>
      <c r="T1726" s="4">
        <v>21</v>
      </c>
      <c r="U1726" s="5" t="s">
        <v>17135</v>
      </c>
      <c r="V1726" s="5" t="s">
        <v>17128</v>
      </c>
      <c r="W1726" s="5" t="s">
        <v>1338</v>
      </c>
      <c r="X1726" s="5" t="s">
        <v>1338</v>
      </c>
      <c r="Y1726" s="4">
        <v>776</v>
      </c>
      <c r="Z1726" s="4">
        <v>30</v>
      </c>
      <c r="AA1726" s="4">
        <v>51</v>
      </c>
      <c r="AB1726" s="4">
        <v>5</v>
      </c>
      <c r="AC1726" s="4">
        <v>12</v>
      </c>
      <c r="AD1726" s="4">
        <v>45</v>
      </c>
      <c r="AE1726" s="4">
        <v>76</v>
      </c>
      <c r="AF1726" s="4">
        <v>1</v>
      </c>
      <c r="AG1726" s="4">
        <v>6</v>
      </c>
      <c r="AH1726" s="4">
        <v>39</v>
      </c>
      <c r="AI1726" s="4">
        <v>58</v>
      </c>
      <c r="AJ1726" s="4">
        <v>5</v>
      </c>
      <c r="AK1726" s="4">
        <v>13</v>
      </c>
      <c r="AL1726" s="4">
        <v>22</v>
      </c>
      <c r="AM1726" s="4">
        <v>31</v>
      </c>
      <c r="AN1726" s="4">
        <v>0</v>
      </c>
      <c r="AO1726" s="4">
        <v>0</v>
      </c>
      <c r="AP1726" s="4">
        <v>7</v>
      </c>
      <c r="AQ1726" s="4">
        <v>20</v>
      </c>
      <c r="AR1726" s="3" t="s">
        <v>62</v>
      </c>
      <c r="AS1726" s="3" t="s">
        <v>62</v>
      </c>
      <c r="AT1726" s="3" t="s">
        <v>62</v>
      </c>
      <c r="AV1726" s="6" t="str">
        <f>HYPERLINK("http://mcgill.on.worldcat.org/oclc/829055899","Catalog Record")</f>
        <v>Catalog Record</v>
      </c>
      <c r="AW1726" s="6" t="str">
        <f>HYPERLINK("http://www.worldcat.org/oclc/829055899","WorldCat Record")</f>
        <v>WorldCat Record</v>
      </c>
      <c r="AX1726" s="3" t="s">
        <v>17129</v>
      </c>
      <c r="AY1726" s="3" t="s">
        <v>17130</v>
      </c>
      <c r="AZ1726" s="3" t="s">
        <v>17131</v>
      </c>
      <c r="BA1726" s="3" t="s">
        <v>17131</v>
      </c>
      <c r="BB1726" s="3" t="s">
        <v>17136</v>
      </c>
      <c r="BC1726" s="3" t="s">
        <v>102</v>
      </c>
      <c r="BD1726" s="3" t="s">
        <v>68</v>
      </c>
      <c r="BE1726" s="3" t="s">
        <v>17133</v>
      </c>
      <c r="BF1726" s="3" t="s">
        <v>17136</v>
      </c>
      <c r="BG1726" s="3" t="s">
        <v>17137</v>
      </c>
    </row>
    <row r="1727" spans="1:59" ht="58" x14ac:dyDescent="0.35">
      <c r="A1727" s="2" t="s">
        <v>89</v>
      </c>
      <c r="B1727" s="2" t="s">
        <v>90</v>
      </c>
      <c r="C1727" s="2" t="s">
        <v>17123</v>
      </c>
      <c r="D1727" s="2" t="s">
        <v>17124</v>
      </c>
      <c r="E1727" s="2" t="s">
        <v>17125</v>
      </c>
      <c r="G1727" s="3" t="s">
        <v>62</v>
      </c>
      <c r="I1727" s="3" t="s">
        <v>61</v>
      </c>
      <c r="J1727" s="3" t="s">
        <v>62</v>
      </c>
      <c r="K1727" s="3" t="s">
        <v>63</v>
      </c>
      <c r="L1727" s="2" t="s">
        <v>17126</v>
      </c>
      <c r="M1727" s="2" t="s">
        <v>17127</v>
      </c>
      <c r="N1727" s="3" t="s">
        <v>712</v>
      </c>
      <c r="P1727" s="3" t="s">
        <v>64</v>
      </c>
      <c r="R1727" s="3" t="s">
        <v>13065</v>
      </c>
      <c r="S1727" s="4">
        <v>4</v>
      </c>
      <c r="T1727" s="4">
        <v>21</v>
      </c>
      <c r="U1727" s="5" t="s">
        <v>17128</v>
      </c>
      <c r="V1727" s="5" t="s">
        <v>17128</v>
      </c>
      <c r="W1727" s="5" t="s">
        <v>1338</v>
      </c>
      <c r="X1727" s="5" t="s">
        <v>1338</v>
      </c>
      <c r="Y1727" s="4">
        <v>776</v>
      </c>
      <c r="Z1727" s="4">
        <v>30</v>
      </c>
      <c r="AA1727" s="4">
        <v>51</v>
      </c>
      <c r="AB1727" s="4">
        <v>5</v>
      </c>
      <c r="AC1727" s="4">
        <v>12</v>
      </c>
      <c r="AD1727" s="4">
        <v>45</v>
      </c>
      <c r="AE1727" s="4">
        <v>76</v>
      </c>
      <c r="AF1727" s="4">
        <v>1</v>
      </c>
      <c r="AG1727" s="4">
        <v>6</v>
      </c>
      <c r="AH1727" s="4">
        <v>39</v>
      </c>
      <c r="AI1727" s="4">
        <v>58</v>
      </c>
      <c r="AJ1727" s="4">
        <v>5</v>
      </c>
      <c r="AK1727" s="4">
        <v>13</v>
      </c>
      <c r="AL1727" s="4">
        <v>22</v>
      </c>
      <c r="AM1727" s="4">
        <v>31</v>
      </c>
      <c r="AN1727" s="4">
        <v>0</v>
      </c>
      <c r="AO1727" s="4">
        <v>0</v>
      </c>
      <c r="AP1727" s="4">
        <v>7</v>
      </c>
      <c r="AQ1727" s="4">
        <v>20</v>
      </c>
      <c r="AR1727" s="3" t="s">
        <v>62</v>
      </c>
      <c r="AS1727" s="3" t="s">
        <v>62</v>
      </c>
      <c r="AT1727" s="3" t="s">
        <v>62</v>
      </c>
      <c r="AV1727" s="6" t="str">
        <f>HYPERLINK("http://mcgill.on.worldcat.org/oclc/829055899","Catalog Record")</f>
        <v>Catalog Record</v>
      </c>
      <c r="AW1727" s="6" t="str">
        <f>HYPERLINK("http://www.worldcat.org/oclc/829055899","WorldCat Record")</f>
        <v>WorldCat Record</v>
      </c>
      <c r="AX1727" s="3" t="s">
        <v>17129</v>
      </c>
      <c r="AY1727" s="3" t="s">
        <v>17130</v>
      </c>
      <c r="AZ1727" s="3" t="s">
        <v>17131</v>
      </c>
      <c r="BA1727" s="3" t="s">
        <v>17131</v>
      </c>
      <c r="BB1727" s="3" t="s">
        <v>17138</v>
      </c>
      <c r="BC1727" s="3" t="s">
        <v>102</v>
      </c>
      <c r="BD1727" s="3" t="s">
        <v>68</v>
      </c>
      <c r="BE1727" s="3" t="s">
        <v>17133</v>
      </c>
      <c r="BF1727" s="3" t="s">
        <v>17138</v>
      </c>
      <c r="BG1727" s="3" t="s">
        <v>17139</v>
      </c>
    </row>
    <row r="1728" spans="1:59" ht="58" x14ac:dyDescent="0.35">
      <c r="A1728" s="2" t="s">
        <v>89</v>
      </c>
      <c r="B1728" s="2" t="s">
        <v>90</v>
      </c>
      <c r="C1728" s="2" t="s">
        <v>17140</v>
      </c>
      <c r="D1728" s="2" t="s">
        <v>17141</v>
      </c>
      <c r="E1728" s="2" t="s">
        <v>17142</v>
      </c>
      <c r="G1728" s="3" t="s">
        <v>62</v>
      </c>
      <c r="I1728" s="3" t="s">
        <v>62</v>
      </c>
      <c r="J1728" s="3" t="s">
        <v>62</v>
      </c>
      <c r="K1728" s="3" t="s">
        <v>63</v>
      </c>
      <c r="L1728" s="2" t="s">
        <v>17143</v>
      </c>
      <c r="M1728" s="2" t="s">
        <v>17144</v>
      </c>
      <c r="N1728" s="3" t="s">
        <v>129</v>
      </c>
      <c r="P1728" s="3" t="s">
        <v>64</v>
      </c>
      <c r="R1728" s="3" t="s">
        <v>13065</v>
      </c>
      <c r="S1728" s="4">
        <v>2</v>
      </c>
      <c r="T1728" s="4">
        <v>2</v>
      </c>
      <c r="U1728" s="5" t="s">
        <v>11100</v>
      </c>
      <c r="V1728" s="5" t="s">
        <v>11100</v>
      </c>
      <c r="W1728" s="5" t="s">
        <v>67</v>
      </c>
      <c r="X1728" s="5" t="s">
        <v>67</v>
      </c>
      <c r="Y1728" s="4">
        <v>98</v>
      </c>
      <c r="Z1728" s="4">
        <v>7</v>
      </c>
      <c r="AA1728" s="4">
        <v>21</v>
      </c>
      <c r="AB1728" s="4">
        <v>2</v>
      </c>
      <c r="AC1728" s="4">
        <v>5</v>
      </c>
      <c r="AD1728" s="4">
        <v>10</v>
      </c>
      <c r="AE1728" s="4">
        <v>36</v>
      </c>
      <c r="AF1728" s="4">
        <v>1</v>
      </c>
      <c r="AG1728" s="4">
        <v>2</v>
      </c>
      <c r="AH1728" s="4">
        <v>8</v>
      </c>
      <c r="AI1728" s="4">
        <v>28</v>
      </c>
      <c r="AJ1728" s="4">
        <v>1</v>
      </c>
      <c r="AK1728" s="4">
        <v>8</v>
      </c>
      <c r="AL1728" s="4">
        <v>6</v>
      </c>
      <c r="AM1728" s="4">
        <v>15</v>
      </c>
      <c r="AN1728" s="4">
        <v>0</v>
      </c>
      <c r="AO1728" s="4">
        <v>0</v>
      </c>
      <c r="AP1728" s="4">
        <v>2</v>
      </c>
      <c r="AQ1728" s="4">
        <v>10</v>
      </c>
      <c r="AR1728" s="3" t="s">
        <v>62</v>
      </c>
      <c r="AS1728" s="3" t="s">
        <v>62</v>
      </c>
      <c r="AT1728" s="3" t="s">
        <v>62</v>
      </c>
      <c r="AV1728" s="6" t="str">
        <f>HYPERLINK("http://mcgill.on.worldcat.org/oclc/820107651","Catalog Record")</f>
        <v>Catalog Record</v>
      </c>
      <c r="AW1728" s="6" t="str">
        <f>HYPERLINK("http://www.worldcat.org/oclc/820107651","WorldCat Record")</f>
        <v>WorldCat Record</v>
      </c>
      <c r="AX1728" s="3" t="s">
        <v>17145</v>
      </c>
      <c r="AY1728" s="3" t="s">
        <v>17146</v>
      </c>
      <c r="AZ1728" s="3" t="s">
        <v>17147</v>
      </c>
      <c r="BA1728" s="3" t="s">
        <v>17147</v>
      </c>
      <c r="BB1728" s="3" t="s">
        <v>17148</v>
      </c>
      <c r="BC1728" s="3" t="s">
        <v>102</v>
      </c>
      <c r="BD1728" s="3" t="s">
        <v>68</v>
      </c>
      <c r="BE1728" s="3" t="s">
        <v>17149</v>
      </c>
      <c r="BF1728" s="3" t="s">
        <v>17148</v>
      </c>
      <c r="BG1728" s="3" t="s">
        <v>17150</v>
      </c>
    </row>
    <row r="1729" spans="1:59" ht="58" x14ac:dyDescent="0.35">
      <c r="A1729" s="2" t="s">
        <v>89</v>
      </c>
      <c r="B1729" s="2" t="s">
        <v>90</v>
      </c>
      <c r="C1729" s="2" t="s">
        <v>17151</v>
      </c>
      <c r="D1729" s="2" t="s">
        <v>17152</v>
      </c>
      <c r="E1729" s="2" t="s">
        <v>17153</v>
      </c>
      <c r="G1729" s="3" t="s">
        <v>62</v>
      </c>
      <c r="I1729" s="3" t="s">
        <v>62</v>
      </c>
      <c r="J1729" s="3" t="s">
        <v>62</v>
      </c>
      <c r="K1729" s="3" t="s">
        <v>63</v>
      </c>
      <c r="L1729" s="2" t="s">
        <v>17154</v>
      </c>
      <c r="M1729" s="2" t="s">
        <v>17155</v>
      </c>
      <c r="N1729" s="3" t="s">
        <v>866</v>
      </c>
      <c r="P1729" s="3" t="s">
        <v>64</v>
      </c>
      <c r="Q1729" s="2" t="s">
        <v>17156</v>
      </c>
      <c r="R1729" s="3" t="s">
        <v>13065</v>
      </c>
      <c r="S1729" s="4">
        <v>6</v>
      </c>
      <c r="T1729" s="4">
        <v>6</v>
      </c>
      <c r="U1729" s="5" t="s">
        <v>5564</v>
      </c>
      <c r="V1729" s="5" t="s">
        <v>5564</v>
      </c>
      <c r="W1729" s="5" t="s">
        <v>67</v>
      </c>
      <c r="X1729" s="5" t="s">
        <v>67</v>
      </c>
      <c r="Y1729" s="4">
        <v>322</v>
      </c>
      <c r="Z1729" s="4">
        <v>19</v>
      </c>
      <c r="AA1729" s="4">
        <v>20</v>
      </c>
      <c r="AB1729" s="4">
        <v>2</v>
      </c>
      <c r="AC1729" s="4">
        <v>2</v>
      </c>
      <c r="AD1729" s="4">
        <v>69</v>
      </c>
      <c r="AE1729" s="4">
        <v>70</v>
      </c>
      <c r="AF1729" s="4">
        <v>1</v>
      </c>
      <c r="AG1729" s="4">
        <v>1</v>
      </c>
      <c r="AH1729" s="4">
        <v>57</v>
      </c>
      <c r="AI1729" s="4">
        <v>57</v>
      </c>
      <c r="AJ1729" s="4">
        <v>11</v>
      </c>
      <c r="AK1729" s="4">
        <v>11</v>
      </c>
      <c r="AL1729" s="4">
        <v>37</v>
      </c>
      <c r="AM1729" s="4">
        <v>37</v>
      </c>
      <c r="AN1729" s="4">
        <v>0</v>
      </c>
      <c r="AO1729" s="4">
        <v>0</v>
      </c>
      <c r="AP1729" s="4">
        <v>14</v>
      </c>
      <c r="AQ1729" s="4">
        <v>15</v>
      </c>
      <c r="AR1729" s="3" t="s">
        <v>62</v>
      </c>
      <c r="AS1729" s="3" t="s">
        <v>62</v>
      </c>
      <c r="AT1729" s="3" t="s">
        <v>61</v>
      </c>
      <c r="AU1729" s="6" t="str">
        <f>HYPERLINK("http://catalog.hathitrust.org/Record/000420757","HathiTrust Record")</f>
        <v>HathiTrust Record</v>
      </c>
      <c r="AV1729" s="6" t="str">
        <f>HYPERLINK("http://mcgill.on.worldcat.org/oclc/591988","Catalog Record")</f>
        <v>Catalog Record</v>
      </c>
      <c r="AW1729" s="6" t="str">
        <f>HYPERLINK("http://www.worldcat.org/oclc/591988","WorldCat Record")</f>
        <v>WorldCat Record</v>
      </c>
      <c r="AX1729" s="3" t="s">
        <v>17157</v>
      </c>
      <c r="AY1729" s="3" t="s">
        <v>17158</v>
      </c>
      <c r="AZ1729" s="3" t="s">
        <v>17159</v>
      </c>
      <c r="BA1729" s="3" t="s">
        <v>17159</v>
      </c>
      <c r="BB1729" s="3" t="s">
        <v>17160</v>
      </c>
      <c r="BC1729" s="3" t="s">
        <v>102</v>
      </c>
      <c r="BD1729" s="3" t="s">
        <v>68</v>
      </c>
      <c r="BE1729" s="3" t="s">
        <v>17161</v>
      </c>
      <c r="BF1729" s="3" t="s">
        <v>17160</v>
      </c>
      <c r="BG1729" s="3" t="s">
        <v>17162</v>
      </c>
    </row>
    <row r="1730" spans="1:59" ht="58" x14ac:dyDescent="0.35">
      <c r="A1730" s="2" t="s">
        <v>89</v>
      </c>
      <c r="B1730" s="2" t="s">
        <v>90</v>
      </c>
      <c r="C1730" s="2" t="s">
        <v>17163</v>
      </c>
      <c r="D1730" s="2" t="s">
        <v>17164</v>
      </c>
      <c r="E1730" s="2" t="s">
        <v>17165</v>
      </c>
      <c r="G1730" s="3" t="s">
        <v>62</v>
      </c>
      <c r="I1730" s="3" t="s">
        <v>62</v>
      </c>
      <c r="J1730" s="3" t="s">
        <v>62</v>
      </c>
      <c r="K1730" s="3" t="s">
        <v>63</v>
      </c>
      <c r="L1730" s="2" t="s">
        <v>17166</v>
      </c>
      <c r="M1730" s="2" t="s">
        <v>17167</v>
      </c>
      <c r="N1730" s="3" t="s">
        <v>2985</v>
      </c>
      <c r="O1730" s="2" t="s">
        <v>17168</v>
      </c>
      <c r="P1730" s="3" t="s">
        <v>64</v>
      </c>
      <c r="R1730" s="3" t="s">
        <v>13065</v>
      </c>
      <c r="S1730" s="4">
        <v>14</v>
      </c>
      <c r="T1730" s="4">
        <v>14</v>
      </c>
      <c r="U1730" s="5" t="s">
        <v>14513</v>
      </c>
      <c r="V1730" s="5" t="s">
        <v>14513</v>
      </c>
      <c r="W1730" s="5" t="s">
        <v>67</v>
      </c>
      <c r="X1730" s="5" t="s">
        <v>67</v>
      </c>
      <c r="Y1730" s="4">
        <v>219</v>
      </c>
      <c r="Z1730" s="4">
        <v>9</v>
      </c>
      <c r="AA1730" s="4">
        <v>28</v>
      </c>
      <c r="AB1730" s="4">
        <v>3</v>
      </c>
      <c r="AC1730" s="4">
        <v>6</v>
      </c>
      <c r="AD1730" s="4">
        <v>42</v>
      </c>
      <c r="AE1730" s="4">
        <v>68</v>
      </c>
      <c r="AF1730" s="4">
        <v>1</v>
      </c>
      <c r="AG1730" s="4">
        <v>2</v>
      </c>
      <c r="AH1730" s="4">
        <v>35</v>
      </c>
      <c r="AI1730" s="4">
        <v>55</v>
      </c>
      <c r="AJ1730" s="4">
        <v>5</v>
      </c>
      <c r="AK1730" s="4">
        <v>12</v>
      </c>
      <c r="AL1730" s="4">
        <v>25</v>
      </c>
      <c r="AM1730" s="4">
        <v>34</v>
      </c>
      <c r="AN1730" s="4">
        <v>0</v>
      </c>
      <c r="AO1730" s="4">
        <v>0</v>
      </c>
      <c r="AP1730" s="4">
        <v>7</v>
      </c>
      <c r="AQ1730" s="4">
        <v>15</v>
      </c>
      <c r="AR1730" s="3" t="s">
        <v>62</v>
      </c>
      <c r="AS1730" s="3" t="s">
        <v>62</v>
      </c>
      <c r="AT1730" s="3" t="s">
        <v>62</v>
      </c>
      <c r="AV1730" s="6" t="str">
        <f>HYPERLINK("http://mcgill.on.worldcat.org/oclc/301885973","Catalog Record")</f>
        <v>Catalog Record</v>
      </c>
      <c r="AW1730" s="6" t="str">
        <f>HYPERLINK("http://www.worldcat.org/oclc/301885973","WorldCat Record")</f>
        <v>WorldCat Record</v>
      </c>
      <c r="AX1730" s="3" t="s">
        <v>17169</v>
      </c>
      <c r="AY1730" s="3" t="s">
        <v>17170</v>
      </c>
      <c r="AZ1730" s="3" t="s">
        <v>17171</v>
      </c>
      <c r="BA1730" s="3" t="s">
        <v>17171</v>
      </c>
      <c r="BB1730" s="3" t="s">
        <v>17172</v>
      </c>
      <c r="BC1730" s="3" t="s">
        <v>102</v>
      </c>
      <c r="BD1730" s="3" t="s">
        <v>231</v>
      </c>
      <c r="BE1730" s="3" t="s">
        <v>17173</v>
      </c>
      <c r="BF1730" s="3" t="s">
        <v>17172</v>
      </c>
      <c r="BG1730" s="3" t="s">
        <v>17174</v>
      </c>
    </row>
    <row r="1731" spans="1:59" ht="58" x14ac:dyDescent="0.35">
      <c r="A1731" s="2" t="s">
        <v>89</v>
      </c>
      <c r="B1731" s="2" t="s">
        <v>90</v>
      </c>
      <c r="C1731" s="2" t="s">
        <v>17175</v>
      </c>
      <c r="D1731" s="2" t="s">
        <v>17176</v>
      </c>
      <c r="E1731" s="2" t="s">
        <v>17177</v>
      </c>
      <c r="G1731" s="3" t="s">
        <v>62</v>
      </c>
      <c r="I1731" s="3" t="s">
        <v>61</v>
      </c>
      <c r="J1731" s="3" t="s">
        <v>62</v>
      </c>
      <c r="K1731" s="3" t="s">
        <v>63</v>
      </c>
      <c r="L1731" s="2" t="s">
        <v>17178</v>
      </c>
      <c r="M1731" s="2" t="s">
        <v>17179</v>
      </c>
      <c r="N1731" s="3" t="s">
        <v>2985</v>
      </c>
      <c r="P1731" s="3" t="s">
        <v>64</v>
      </c>
      <c r="R1731" s="3" t="s">
        <v>13065</v>
      </c>
      <c r="S1731" s="4">
        <v>32</v>
      </c>
      <c r="T1731" s="4">
        <v>79</v>
      </c>
      <c r="U1731" s="5" t="s">
        <v>2026</v>
      </c>
      <c r="V1731" s="5" t="s">
        <v>2026</v>
      </c>
      <c r="W1731" s="5" t="s">
        <v>67</v>
      </c>
      <c r="X1731" s="5" t="s">
        <v>67</v>
      </c>
      <c r="Y1731" s="4">
        <v>76</v>
      </c>
      <c r="Z1731" s="4">
        <v>7</v>
      </c>
      <c r="AA1731" s="4">
        <v>32</v>
      </c>
      <c r="AB1731" s="4">
        <v>3</v>
      </c>
      <c r="AC1731" s="4">
        <v>10</v>
      </c>
      <c r="AD1731" s="4">
        <v>18</v>
      </c>
      <c r="AE1731" s="4">
        <v>53</v>
      </c>
      <c r="AF1731" s="4">
        <v>1</v>
      </c>
      <c r="AG1731" s="4">
        <v>6</v>
      </c>
      <c r="AH1731" s="4">
        <v>17</v>
      </c>
      <c r="AI1731" s="4">
        <v>39</v>
      </c>
      <c r="AJ1731" s="4">
        <v>3</v>
      </c>
      <c r="AK1731" s="4">
        <v>12</v>
      </c>
      <c r="AL1731" s="4">
        <v>11</v>
      </c>
      <c r="AM1731" s="4">
        <v>22</v>
      </c>
      <c r="AN1731" s="4">
        <v>0</v>
      </c>
      <c r="AO1731" s="4">
        <v>0</v>
      </c>
      <c r="AP1731" s="4">
        <v>3</v>
      </c>
      <c r="AQ1731" s="4">
        <v>18</v>
      </c>
      <c r="AR1731" s="3" t="s">
        <v>62</v>
      </c>
      <c r="AS1731" s="3" t="s">
        <v>62</v>
      </c>
      <c r="AT1731" s="3" t="s">
        <v>62</v>
      </c>
      <c r="AV1731" s="6" t="str">
        <f>HYPERLINK("http://mcgill.on.worldcat.org/oclc/227920208","Catalog Record")</f>
        <v>Catalog Record</v>
      </c>
      <c r="AW1731" s="6" t="str">
        <f>HYPERLINK("http://www.worldcat.org/oclc/227920208","WorldCat Record")</f>
        <v>WorldCat Record</v>
      </c>
      <c r="AX1731" s="3" t="s">
        <v>17180</v>
      </c>
      <c r="AY1731" s="3" t="s">
        <v>17181</v>
      </c>
      <c r="AZ1731" s="3" t="s">
        <v>17182</v>
      </c>
      <c r="BA1731" s="3" t="s">
        <v>17182</v>
      </c>
      <c r="BB1731" s="3" t="s">
        <v>17183</v>
      </c>
      <c r="BC1731" s="3" t="s">
        <v>102</v>
      </c>
      <c r="BD1731" s="3" t="s">
        <v>68</v>
      </c>
      <c r="BE1731" s="3" t="s">
        <v>17184</v>
      </c>
      <c r="BF1731" s="3" t="s">
        <v>17183</v>
      </c>
      <c r="BG1731" s="3" t="s">
        <v>17185</v>
      </c>
    </row>
    <row r="1732" spans="1:59" ht="58" x14ac:dyDescent="0.35">
      <c r="A1732" s="2" t="s">
        <v>89</v>
      </c>
      <c r="B1732" s="2" t="s">
        <v>90</v>
      </c>
      <c r="C1732" s="2" t="s">
        <v>17186</v>
      </c>
      <c r="D1732" s="2" t="s">
        <v>17187</v>
      </c>
      <c r="E1732" s="2" t="s">
        <v>17188</v>
      </c>
      <c r="G1732" s="3" t="s">
        <v>62</v>
      </c>
      <c r="I1732" s="3" t="s">
        <v>62</v>
      </c>
      <c r="J1732" s="3" t="s">
        <v>62</v>
      </c>
      <c r="K1732" s="3" t="s">
        <v>63</v>
      </c>
      <c r="L1732" s="2" t="s">
        <v>17189</v>
      </c>
      <c r="M1732" s="2" t="s">
        <v>17190</v>
      </c>
      <c r="N1732" s="3" t="s">
        <v>726</v>
      </c>
      <c r="O1732" s="2" t="s">
        <v>8443</v>
      </c>
      <c r="P1732" s="3" t="s">
        <v>64</v>
      </c>
      <c r="R1732" s="3" t="s">
        <v>13065</v>
      </c>
      <c r="S1732" s="4">
        <v>5</v>
      </c>
      <c r="T1732" s="4">
        <v>5</v>
      </c>
      <c r="U1732" s="5" t="s">
        <v>931</v>
      </c>
      <c r="V1732" s="5" t="s">
        <v>931</v>
      </c>
      <c r="W1732" s="5" t="s">
        <v>67</v>
      </c>
      <c r="X1732" s="5" t="s">
        <v>67</v>
      </c>
      <c r="Y1732" s="4">
        <v>45</v>
      </c>
      <c r="Z1732" s="4">
        <v>8</v>
      </c>
      <c r="AA1732" s="4">
        <v>20</v>
      </c>
      <c r="AB1732" s="4">
        <v>2</v>
      </c>
      <c r="AC1732" s="4">
        <v>7</v>
      </c>
      <c r="AD1732" s="4">
        <v>17</v>
      </c>
      <c r="AE1732" s="4">
        <v>40</v>
      </c>
      <c r="AF1732" s="4">
        <v>1</v>
      </c>
      <c r="AG1732" s="4">
        <v>4</v>
      </c>
      <c r="AH1732" s="4">
        <v>14</v>
      </c>
      <c r="AI1732" s="4">
        <v>31</v>
      </c>
      <c r="AJ1732" s="4">
        <v>6</v>
      </c>
      <c r="AK1732" s="4">
        <v>11</v>
      </c>
      <c r="AL1732" s="4">
        <v>8</v>
      </c>
      <c r="AM1732" s="4">
        <v>17</v>
      </c>
      <c r="AN1732" s="4">
        <v>0</v>
      </c>
      <c r="AO1732" s="4">
        <v>0</v>
      </c>
      <c r="AP1732" s="4">
        <v>7</v>
      </c>
      <c r="AQ1732" s="4">
        <v>13</v>
      </c>
      <c r="AR1732" s="3" t="s">
        <v>62</v>
      </c>
      <c r="AS1732" s="3" t="s">
        <v>62</v>
      </c>
      <c r="AT1732" s="3" t="s">
        <v>62</v>
      </c>
      <c r="AV1732" s="6" t="str">
        <f>HYPERLINK("http://mcgill.on.worldcat.org/oclc/993096785","Catalog Record")</f>
        <v>Catalog Record</v>
      </c>
      <c r="AW1732" s="6" t="str">
        <f>HYPERLINK("http://www.worldcat.org/oclc/993096785","WorldCat Record")</f>
        <v>WorldCat Record</v>
      </c>
      <c r="AX1732" s="3" t="s">
        <v>17191</v>
      </c>
      <c r="AY1732" s="3" t="s">
        <v>17192</v>
      </c>
      <c r="AZ1732" s="3" t="s">
        <v>17193</v>
      </c>
      <c r="BA1732" s="3" t="s">
        <v>17193</v>
      </c>
      <c r="BB1732" s="3" t="s">
        <v>17194</v>
      </c>
      <c r="BC1732" s="3" t="s">
        <v>102</v>
      </c>
      <c r="BD1732" s="3" t="s">
        <v>68</v>
      </c>
      <c r="BE1732" s="3" t="s">
        <v>17195</v>
      </c>
      <c r="BF1732" s="3" t="s">
        <v>17194</v>
      </c>
      <c r="BG1732" s="3" t="s">
        <v>17196</v>
      </c>
    </row>
    <row r="1733" spans="1:59" ht="58" x14ac:dyDescent="0.35">
      <c r="A1733" s="2" t="s">
        <v>89</v>
      </c>
      <c r="B1733" s="2" t="s">
        <v>90</v>
      </c>
      <c r="C1733" s="2" t="s">
        <v>17197</v>
      </c>
      <c r="D1733" s="2" t="s">
        <v>17198</v>
      </c>
      <c r="E1733" s="2" t="s">
        <v>17199</v>
      </c>
      <c r="G1733" s="3" t="s">
        <v>62</v>
      </c>
      <c r="H1733" s="3" t="s">
        <v>916</v>
      </c>
      <c r="I1733" s="3" t="s">
        <v>62</v>
      </c>
      <c r="J1733" s="3" t="s">
        <v>62</v>
      </c>
      <c r="K1733" s="3" t="s">
        <v>63</v>
      </c>
      <c r="L1733" s="2" t="s">
        <v>17200</v>
      </c>
      <c r="M1733" s="2" t="s">
        <v>17201</v>
      </c>
      <c r="N1733" s="3" t="s">
        <v>741</v>
      </c>
      <c r="P1733" s="3" t="s">
        <v>64</v>
      </c>
      <c r="Q1733" s="2" t="s">
        <v>17202</v>
      </c>
      <c r="R1733" s="3" t="s">
        <v>13065</v>
      </c>
      <c r="S1733" s="4">
        <v>2</v>
      </c>
      <c r="T1733" s="4">
        <v>2</v>
      </c>
      <c r="W1733" s="5" t="s">
        <v>10648</v>
      </c>
      <c r="X1733" s="5" t="s">
        <v>10648</v>
      </c>
      <c r="Y1733" s="4">
        <v>12</v>
      </c>
      <c r="Z1733" s="4">
        <v>1</v>
      </c>
      <c r="AA1733" s="4">
        <v>16</v>
      </c>
      <c r="AB1733" s="4">
        <v>1</v>
      </c>
      <c r="AC1733" s="4">
        <v>7</v>
      </c>
      <c r="AD1733" s="4">
        <v>1</v>
      </c>
      <c r="AE1733" s="4">
        <v>38</v>
      </c>
      <c r="AF1733" s="4">
        <v>0</v>
      </c>
      <c r="AG1733" s="4">
        <v>4</v>
      </c>
      <c r="AH1733" s="4">
        <v>1</v>
      </c>
      <c r="AI1733" s="4">
        <v>29</v>
      </c>
      <c r="AJ1733" s="4">
        <v>0</v>
      </c>
      <c r="AK1733" s="4">
        <v>10</v>
      </c>
      <c r="AL1733" s="4">
        <v>0</v>
      </c>
      <c r="AM1733" s="4">
        <v>14</v>
      </c>
      <c r="AN1733" s="4">
        <v>0</v>
      </c>
      <c r="AO1733" s="4">
        <v>0</v>
      </c>
      <c r="AP1733" s="4">
        <v>0</v>
      </c>
      <c r="AQ1733" s="4">
        <v>13</v>
      </c>
      <c r="AR1733" s="3" t="s">
        <v>62</v>
      </c>
      <c r="AS1733" s="3" t="s">
        <v>62</v>
      </c>
      <c r="AT1733" s="3" t="s">
        <v>62</v>
      </c>
      <c r="AV1733" s="6" t="str">
        <f>HYPERLINK("http://mcgill.on.worldcat.org/oclc/1097294129","Catalog Record")</f>
        <v>Catalog Record</v>
      </c>
      <c r="AW1733" s="6" t="str">
        <f>HYPERLINK("http://www.worldcat.org/oclc/1097294129","WorldCat Record")</f>
        <v>WorldCat Record</v>
      </c>
      <c r="AX1733" s="3" t="s">
        <v>17203</v>
      </c>
      <c r="AY1733" s="3" t="s">
        <v>17204</v>
      </c>
      <c r="AZ1733" s="3" t="s">
        <v>17205</v>
      </c>
      <c r="BA1733" s="3" t="s">
        <v>17205</v>
      </c>
      <c r="BB1733" s="3" t="s">
        <v>17206</v>
      </c>
      <c r="BC1733" s="3" t="s">
        <v>102</v>
      </c>
      <c r="BD1733" s="3" t="s">
        <v>231</v>
      </c>
      <c r="BE1733" s="3" t="s">
        <v>17207</v>
      </c>
      <c r="BF1733" s="3" t="s">
        <v>17206</v>
      </c>
      <c r="BG1733" s="3" t="s">
        <v>17208</v>
      </c>
    </row>
    <row r="1734" spans="1:59" ht="58" x14ac:dyDescent="0.35">
      <c r="A1734" s="2" t="s">
        <v>89</v>
      </c>
      <c r="B1734" s="2" t="s">
        <v>90</v>
      </c>
      <c r="C1734" s="2" t="s">
        <v>17209</v>
      </c>
      <c r="D1734" s="2" t="s">
        <v>17210</v>
      </c>
      <c r="E1734" s="2" t="s">
        <v>17211</v>
      </c>
      <c r="G1734" s="3" t="s">
        <v>62</v>
      </c>
      <c r="I1734" s="3" t="s">
        <v>62</v>
      </c>
      <c r="J1734" s="3" t="s">
        <v>62</v>
      </c>
      <c r="K1734" s="3" t="s">
        <v>63</v>
      </c>
      <c r="L1734" s="2" t="s">
        <v>17212</v>
      </c>
      <c r="M1734" s="2" t="s">
        <v>17190</v>
      </c>
      <c r="N1734" s="3" t="s">
        <v>726</v>
      </c>
      <c r="P1734" s="3" t="s">
        <v>64</v>
      </c>
      <c r="R1734" s="3" t="s">
        <v>13065</v>
      </c>
      <c r="S1734" s="4">
        <v>3</v>
      </c>
      <c r="T1734" s="4">
        <v>3</v>
      </c>
      <c r="W1734" s="5" t="s">
        <v>17213</v>
      </c>
      <c r="X1734" s="5" t="s">
        <v>17213</v>
      </c>
      <c r="Y1734" s="4">
        <v>16</v>
      </c>
      <c r="Z1734" s="4">
        <v>1</v>
      </c>
      <c r="AA1734" s="4">
        <v>68</v>
      </c>
      <c r="AB1734" s="4">
        <v>1</v>
      </c>
      <c r="AC1734" s="4">
        <v>14</v>
      </c>
      <c r="AD1734" s="4">
        <v>2</v>
      </c>
      <c r="AE1734" s="4">
        <v>78</v>
      </c>
      <c r="AF1734" s="4">
        <v>0</v>
      </c>
      <c r="AG1734" s="4">
        <v>8</v>
      </c>
      <c r="AH1734" s="4">
        <v>2</v>
      </c>
      <c r="AI1734" s="4">
        <v>50</v>
      </c>
      <c r="AJ1734" s="4">
        <v>0</v>
      </c>
      <c r="AK1734" s="4">
        <v>16</v>
      </c>
      <c r="AL1734" s="4">
        <v>0</v>
      </c>
      <c r="AM1734" s="4">
        <v>23</v>
      </c>
      <c r="AN1734" s="4">
        <v>0</v>
      </c>
      <c r="AO1734" s="4">
        <v>0</v>
      </c>
      <c r="AP1734" s="4">
        <v>0</v>
      </c>
      <c r="AQ1734" s="4">
        <v>33</v>
      </c>
      <c r="AR1734" s="3" t="s">
        <v>62</v>
      </c>
      <c r="AS1734" s="3" t="s">
        <v>62</v>
      </c>
      <c r="AT1734" s="3" t="s">
        <v>62</v>
      </c>
      <c r="AV1734" s="6" t="str">
        <f>HYPERLINK("http://mcgill.on.worldcat.org/oclc/1005103912","Catalog Record")</f>
        <v>Catalog Record</v>
      </c>
      <c r="AW1734" s="6" t="str">
        <f>HYPERLINK("http://www.worldcat.org/oclc/1005103912","WorldCat Record")</f>
        <v>WorldCat Record</v>
      </c>
      <c r="AX1734" s="3" t="s">
        <v>17214</v>
      </c>
      <c r="AY1734" s="3" t="s">
        <v>17215</v>
      </c>
      <c r="AZ1734" s="3" t="s">
        <v>17216</v>
      </c>
      <c r="BA1734" s="3" t="s">
        <v>17216</v>
      </c>
      <c r="BB1734" s="3" t="s">
        <v>17217</v>
      </c>
      <c r="BC1734" s="3" t="s">
        <v>102</v>
      </c>
      <c r="BD1734" s="3" t="s">
        <v>231</v>
      </c>
      <c r="BE1734" s="3" t="s">
        <v>17218</v>
      </c>
      <c r="BF1734" s="3" t="s">
        <v>17217</v>
      </c>
      <c r="BG1734" s="3" t="s">
        <v>17219</v>
      </c>
    </row>
    <row r="1735" spans="1:59" ht="101.5" x14ac:dyDescent="0.35">
      <c r="A1735" s="2" t="s">
        <v>89</v>
      </c>
      <c r="B1735" s="2" t="s">
        <v>12301</v>
      </c>
      <c r="C1735" s="2" t="s">
        <v>17220</v>
      </c>
      <c r="D1735" s="2" t="s">
        <v>17221</v>
      </c>
      <c r="E1735" s="2" t="s">
        <v>17222</v>
      </c>
      <c r="G1735" s="3" t="s">
        <v>62</v>
      </c>
      <c r="I1735" s="3" t="s">
        <v>61</v>
      </c>
      <c r="J1735" s="3" t="s">
        <v>61</v>
      </c>
      <c r="K1735" s="3" t="s">
        <v>63</v>
      </c>
      <c r="L1735" s="2" t="s">
        <v>17223</v>
      </c>
      <c r="M1735" s="2" t="s">
        <v>17224</v>
      </c>
      <c r="N1735" s="3" t="s">
        <v>726</v>
      </c>
      <c r="O1735" s="2" t="s">
        <v>8443</v>
      </c>
      <c r="P1735" s="3" t="s">
        <v>64</v>
      </c>
      <c r="R1735" s="3" t="s">
        <v>13065</v>
      </c>
      <c r="S1735" s="4">
        <v>3</v>
      </c>
      <c r="T1735" s="4">
        <v>18</v>
      </c>
      <c r="U1735" s="5" t="s">
        <v>80</v>
      </c>
      <c r="V1735" s="5" t="s">
        <v>13420</v>
      </c>
      <c r="W1735" s="5" t="s">
        <v>67</v>
      </c>
      <c r="X1735" s="5" t="s">
        <v>67</v>
      </c>
      <c r="Y1735" s="4">
        <v>62</v>
      </c>
      <c r="Z1735" s="4">
        <v>5</v>
      </c>
      <c r="AA1735" s="4">
        <v>26</v>
      </c>
      <c r="AB1735" s="4">
        <v>1</v>
      </c>
      <c r="AC1735" s="4">
        <v>6</v>
      </c>
      <c r="AD1735" s="4">
        <v>13</v>
      </c>
      <c r="AE1735" s="4">
        <v>48</v>
      </c>
      <c r="AF1735" s="4">
        <v>0</v>
      </c>
      <c r="AG1735" s="4">
        <v>3</v>
      </c>
      <c r="AH1735" s="4">
        <v>12</v>
      </c>
      <c r="AI1735" s="4">
        <v>39</v>
      </c>
      <c r="AJ1735" s="4">
        <v>2</v>
      </c>
      <c r="AK1735" s="4">
        <v>10</v>
      </c>
      <c r="AL1735" s="4">
        <v>7</v>
      </c>
      <c r="AM1735" s="4">
        <v>21</v>
      </c>
      <c r="AN1735" s="4">
        <v>0</v>
      </c>
      <c r="AO1735" s="4">
        <v>0</v>
      </c>
      <c r="AP1735" s="4">
        <v>2</v>
      </c>
      <c r="AQ1735" s="4">
        <v>10</v>
      </c>
      <c r="AR1735" s="3" t="s">
        <v>62</v>
      </c>
      <c r="AS1735" s="3" t="s">
        <v>62</v>
      </c>
      <c r="AT1735" s="3" t="s">
        <v>62</v>
      </c>
      <c r="AV1735" s="6" t="str">
        <f>HYPERLINK("http://mcgill.on.worldcat.org/oclc/964820811","Catalog Record")</f>
        <v>Catalog Record</v>
      </c>
      <c r="AW1735" s="6" t="str">
        <f>HYPERLINK("http://www.worldcat.org/oclc/964820811","WorldCat Record")</f>
        <v>WorldCat Record</v>
      </c>
      <c r="AX1735" s="3" t="s">
        <v>17225</v>
      </c>
      <c r="AY1735" s="3" t="s">
        <v>17226</v>
      </c>
      <c r="AZ1735" s="3" t="s">
        <v>17227</v>
      </c>
      <c r="BA1735" s="3" t="s">
        <v>17227</v>
      </c>
      <c r="BB1735" s="3" t="s">
        <v>17228</v>
      </c>
      <c r="BC1735" s="3" t="s">
        <v>102</v>
      </c>
      <c r="BD1735" s="3" t="s">
        <v>68</v>
      </c>
      <c r="BE1735" s="3" t="s">
        <v>17229</v>
      </c>
      <c r="BF1735" s="3" t="s">
        <v>17228</v>
      </c>
      <c r="BG1735" s="3" t="s">
        <v>17230</v>
      </c>
    </row>
    <row r="1736" spans="1:59" ht="101.5" x14ac:dyDescent="0.35">
      <c r="A1736" s="2" t="s">
        <v>89</v>
      </c>
      <c r="B1736" s="2" t="s">
        <v>12301</v>
      </c>
      <c r="C1736" s="2" t="s">
        <v>17220</v>
      </c>
      <c r="D1736" s="2" t="s">
        <v>17221</v>
      </c>
      <c r="E1736" s="2" t="s">
        <v>17222</v>
      </c>
      <c r="G1736" s="3" t="s">
        <v>62</v>
      </c>
      <c r="I1736" s="3" t="s">
        <v>61</v>
      </c>
      <c r="J1736" s="3" t="s">
        <v>61</v>
      </c>
      <c r="K1736" s="3" t="s">
        <v>63</v>
      </c>
      <c r="L1736" s="2" t="s">
        <v>17223</v>
      </c>
      <c r="M1736" s="2" t="s">
        <v>17224</v>
      </c>
      <c r="N1736" s="3" t="s">
        <v>726</v>
      </c>
      <c r="O1736" s="2" t="s">
        <v>8443</v>
      </c>
      <c r="P1736" s="3" t="s">
        <v>64</v>
      </c>
      <c r="R1736" s="3" t="s">
        <v>13065</v>
      </c>
      <c r="S1736" s="4">
        <v>4</v>
      </c>
      <c r="T1736" s="4">
        <v>18</v>
      </c>
      <c r="U1736" s="5" t="s">
        <v>4771</v>
      </c>
      <c r="V1736" s="5" t="s">
        <v>13420</v>
      </c>
      <c r="W1736" s="5" t="s">
        <v>67</v>
      </c>
      <c r="X1736" s="5" t="s">
        <v>67</v>
      </c>
      <c r="Y1736" s="4">
        <v>62</v>
      </c>
      <c r="Z1736" s="4">
        <v>5</v>
      </c>
      <c r="AA1736" s="4">
        <v>26</v>
      </c>
      <c r="AB1736" s="4">
        <v>1</v>
      </c>
      <c r="AC1736" s="4">
        <v>6</v>
      </c>
      <c r="AD1736" s="4">
        <v>13</v>
      </c>
      <c r="AE1736" s="4">
        <v>48</v>
      </c>
      <c r="AF1736" s="4">
        <v>0</v>
      </c>
      <c r="AG1736" s="4">
        <v>3</v>
      </c>
      <c r="AH1736" s="4">
        <v>12</v>
      </c>
      <c r="AI1736" s="4">
        <v>39</v>
      </c>
      <c r="AJ1736" s="4">
        <v>2</v>
      </c>
      <c r="AK1736" s="4">
        <v>10</v>
      </c>
      <c r="AL1736" s="4">
        <v>7</v>
      </c>
      <c r="AM1736" s="4">
        <v>21</v>
      </c>
      <c r="AN1736" s="4">
        <v>0</v>
      </c>
      <c r="AO1736" s="4">
        <v>0</v>
      </c>
      <c r="AP1736" s="4">
        <v>2</v>
      </c>
      <c r="AQ1736" s="4">
        <v>10</v>
      </c>
      <c r="AR1736" s="3" t="s">
        <v>62</v>
      </c>
      <c r="AS1736" s="3" t="s">
        <v>62</v>
      </c>
      <c r="AT1736" s="3" t="s">
        <v>62</v>
      </c>
      <c r="AV1736" s="6" t="str">
        <f>HYPERLINK("http://mcgill.on.worldcat.org/oclc/964820811","Catalog Record")</f>
        <v>Catalog Record</v>
      </c>
      <c r="AW1736" s="6" t="str">
        <f>HYPERLINK("http://www.worldcat.org/oclc/964820811","WorldCat Record")</f>
        <v>WorldCat Record</v>
      </c>
      <c r="AX1736" s="3" t="s">
        <v>17225</v>
      </c>
      <c r="AY1736" s="3" t="s">
        <v>17226</v>
      </c>
      <c r="AZ1736" s="3" t="s">
        <v>17227</v>
      </c>
      <c r="BA1736" s="3" t="s">
        <v>17227</v>
      </c>
      <c r="BB1736" s="3" t="s">
        <v>17231</v>
      </c>
      <c r="BC1736" s="3" t="s">
        <v>102</v>
      </c>
      <c r="BD1736" s="3" t="s">
        <v>68</v>
      </c>
      <c r="BE1736" s="3" t="s">
        <v>17229</v>
      </c>
      <c r="BF1736" s="3" t="s">
        <v>17231</v>
      </c>
      <c r="BG1736" s="3" t="s">
        <v>17232</v>
      </c>
    </row>
    <row r="1737" spans="1:59" ht="101.5" x14ac:dyDescent="0.35">
      <c r="A1737" s="2" t="s">
        <v>89</v>
      </c>
      <c r="B1737" s="2" t="s">
        <v>12301</v>
      </c>
      <c r="C1737" s="2" t="s">
        <v>17220</v>
      </c>
      <c r="D1737" s="2" t="s">
        <v>17221</v>
      </c>
      <c r="E1737" s="2" t="s">
        <v>17222</v>
      </c>
      <c r="G1737" s="3" t="s">
        <v>62</v>
      </c>
      <c r="I1737" s="3" t="s">
        <v>61</v>
      </c>
      <c r="J1737" s="3" t="s">
        <v>61</v>
      </c>
      <c r="K1737" s="3" t="s">
        <v>63</v>
      </c>
      <c r="L1737" s="2" t="s">
        <v>17223</v>
      </c>
      <c r="M1737" s="2" t="s">
        <v>17224</v>
      </c>
      <c r="N1737" s="3" t="s">
        <v>726</v>
      </c>
      <c r="O1737" s="2" t="s">
        <v>8443</v>
      </c>
      <c r="P1737" s="3" t="s">
        <v>64</v>
      </c>
      <c r="R1737" s="3" t="s">
        <v>13065</v>
      </c>
      <c r="S1737" s="4">
        <v>7</v>
      </c>
      <c r="T1737" s="4">
        <v>18</v>
      </c>
      <c r="U1737" s="5" t="s">
        <v>13420</v>
      </c>
      <c r="V1737" s="5" t="s">
        <v>13420</v>
      </c>
      <c r="W1737" s="5" t="s">
        <v>67</v>
      </c>
      <c r="X1737" s="5" t="s">
        <v>67</v>
      </c>
      <c r="Y1737" s="4">
        <v>62</v>
      </c>
      <c r="Z1737" s="4">
        <v>5</v>
      </c>
      <c r="AA1737" s="4">
        <v>26</v>
      </c>
      <c r="AB1737" s="4">
        <v>1</v>
      </c>
      <c r="AC1737" s="4">
        <v>6</v>
      </c>
      <c r="AD1737" s="4">
        <v>13</v>
      </c>
      <c r="AE1737" s="4">
        <v>48</v>
      </c>
      <c r="AF1737" s="4">
        <v>0</v>
      </c>
      <c r="AG1737" s="4">
        <v>3</v>
      </c>
      <c r="AH1737" s="4">
        <v>12</v>
      </c>
      <c r="AI1737" s="4">
        <v>39</v>
      </c>
      <c r="AJ1737" s="4">
        <v>2</v>
      </c>
      <c r="AK1737" s="4">
        <v>10</v>
      </c>
      <c r="AL1737" s="4">
        <v>7</v>
      </c>
      <c r="AM1737" s="4">
        <v>21</v>
      </c>
      <c r="AN1737" s="4">
        <v>0</v>
      </c>
      <c r="AO1737" s="4">
        <v>0</v>
      </c>
      <c r="AP1737" s="4">
        <v>2</v>
      </c>
      <c r="AQ1737" s="4">
        <v>10</v>
      </c>
      <c r="AR1737" s="3" t="s">
        <v>62</v>
      </c>
      <c r="AS1737" s="3" t="s">
        <v>62</v>
      </c>
      <c r="AT1737" s="3" t="s">
        <v>62</v>
      </c>
      <c r="AV1737" s="6" t="str">
        <f>HYPERLINK("http://mcgill.on.worldcat.org/oclc/964820811","Catalog Record")</f>
        <v>Catalog Record</v>
      </c>
      <c r="AW1737" s="6" t="str">
        <f>HYPERLINK("http://www.worldcat.org/oclc/964820811","WorldCat Record")</f>
        <v>WorldCat Record</v>
      </c>
      <c r="AX1737" s="3" t="s">
        <v>17225</v>
      </c>
      <c r="AY1737" s="3" t="s">
        <v>17226</v>
      </c>
      <c r="AZ1737" s="3" t="s">
        <v>17227</v>
      </c>
      <c r="BA1737" s="3" t="s">
        <v>17227</v>
      </c>
      <c r="BB1737" s="3" t="s">
        <v>17233</v>
      </c>
      <c r="BC1737" s="3" t="s">
        <v>102</v>
      </c>
      <c r="BD1737" s="3" t="s">
        <v>68</v>
      </c>
      <c r="BE1737" s="3" t="s">
        <v>17229</v>
      </c>
      <c r="BF1737" s="3" t="s">
        <v>17233</v>
      </c>
      <c r="BG1737" s="3" t="s">
        <v>17234</v>
      </c>
    </row>
    <row r="1738" spans="1:59" ht="101.5" x14ac:dyDescent="0.35">
      <c r="A1738" s="2" t="s">
        <v>89</v>
      </c>
      <c r="B1738" s="2" t="s">
        <v>12301</v>
      </c>
      <c r="C1738" s="2" t="s">
        <v>17220</v>
      </c>
      <c r="D1738" s="2" t="s">
        <v>17221</v>
      </c>
      <c r="E1738" s="2" t="s">
        <v>17222</v>
      </c>
      <c r="G1738" s="3" t="s">
        <v>62</v>
      </c>
      <c r="I1738" s="3" t="s">
        <v>61</v>
      </c>
      <c r="J1738" s="3" t="s">
        <v>61</v>
      </c>
      <c r="K1738" s="3" t="s">
        <v>63</v>
      </c>
      <c r="L1738" s="2" t="s">
        <v>17223</v>
      </c>
      <c r="M1738" s="2" t="s">
        <v>17224</v>
      </c>
      <c r="N1738" s="3" t="s">
        <v>726</v>
      </c>
      <c r="O1738" s="2" t="s">
        <v>8443</v>
      </c>
      <c r="P1738" s="3" t="s">
        <v>64</v>
      </c>
      <c r="R1738" s="3" t="s">
        <v>13065</v>
      </c>
      <c r="S1738" s="4">
        <v>4</v>
      </c>
      <c r="T1738" s="4">
        <v>18</v>
      </c>
      <c r="U1738" s="5" t="s">
        <v>17235</v>
      </c>
      <c r="V1738" s="5" t="s">
        <v>13420</v>
      </c>
      <c r="W1738" s="5" t="s">
        <v>67</v>
      </c>
      <c r="X1738" s="5" t="s">
        <v>67</v>
      </c>
      <c r="Y1738" s="4">
        <v>62</v>
      </c>
      <c r="Z1738" s="4">
        <v>5</v>
      </c>
      <c r="AA1738" s="4">
        <v>26</v>
      </c>
      <c r="AB1738" s="4">
        <v>1</v>
      </c>
      <c r="AC1738" s="4">
        <v>6</v>
      </c>
      <c r="AD1738" s="4">
        <v>13</v>
      </c>
      <c r="AE1738" s="4">
        <v>48</v>
      </c>
      <c r="AF1738" s="4">
        <v>0</v>
      </c>
      <c r="AG1738" s="4">
        <v>3</v>
      </c>
      <c r="AH1738" s="4">
        <v>12</v>
      </c>
      <c r="AI1738" s="4">
        <v>39</v>
      </c>
      <c r="AJ1738" s="4">
        <v>2</v>
      </c>
      <c r="AK1738" s="4">
        <v>10</v>
      </c>
      <c r="AL1738" s="4">
        <v>7</v>
      </c>
      <c r="AM1738" s="4">
        <v>21</v>
      </c>
      <c r="AN1738" s="4">
        <v>0</v>
      </c>
      <c r="AO1738" s="4">
        <v>0</v>
      </c>
      <c r="AP1738" s="4">
        <v>2</v>
      </c>
      <c r="AQ1738" s="4">
        <v>10</v>
      </c>
      <c r="AR1738" s="3" t="s">
        <v>62</v>
      </c>
      <c r="AS1738" s="3" t="s">
        <v>62</v>
      </c>
      <c r="AT1738" s="3" t="s">
        <v>62</v>
      </c>
      <c r="AV1738" s="6" t="str">
        <f>HYPERLINK("http://mcgill.on.worldcat.org/oclc/964820811","Catalog Record")</f>
        <v>Catalog Record</v>
      </c>
      <c r="AW1738" s="6" t="str">
        <f>HYPERLINK("http://www.worldcat.org/oclc/964820811","WorldCat Record")</f>
        <v>WorldCat Record</v>
      </c>
      <c r="AX1738" s="3" t="s">
        <v>17225</v>
      </c>
      <c r="AY1738" s="3" t="s">
        <v>17226</v>
      </c>
      <c r="AZ1738" s="3" t="s">
        <v>17227</v>
      </c>
      <c r="BA1738" s="3" t="s">
        <v>17227</v>
      </c>
      <c r="BB1738" s="3" t="s">
        <v>17236</v>
      </c>
      <c r="BC1738" s="3" t="s">
        <v>102</v>
      </c>
      <c r="BD1738" s="3" t="s">
        <v>68</v>
      </c>
      <c r="BE1738" s="3" t="s">
        <v>17229</v>
      </c>
      <c r="BF1738" s="3" t="s">
        <v>17236</v>
      </c>
      <c r="BG1738" s="3" t="s">
        <v>17237</v>
      </c>
    </row>
    <row r="1739" spans="1:59" ht="87" x14ac:dyDescent="0.35">
      <c r="A1739" s="2" t="s">
        <v>89</v>
      </c>
      <c r="B1739" s="2" t="s">
        <v>15860</v>
      </c>
      <c r="C1739" s="2" t="s">
        <v>17238</v>
      </c>
      <c r="D1739" s="2" t="s">
        <v>17239</v>
      </c>
      <c r="E1739" s="2" t="s">
        <v>17240</v>
      </c>
      <c r="G1739" s="3" t="s">
        <v>62</v>
      </c>
      <c r="I1739" s="3" t="s">
        <v>62</v>
      </c>
      <c r="J1739" s="3" t="s">
        <v>62</v>
      </c>
      <c r="K1739" s="3" t="s">
        <v>63</v>
      </c>
      <c r="L1739" s="2" t="s">
        <v>17241</v>
      </c>
      <c r="M1739" s="2" t="s">
        <v>17242</v>
      </c>
      <c r="N1739" s="3" t="s">
        <v>726</v>
      </c>
      <c r="P1739" s="3" t="s">
        <v>64</v>
      </c>
      <c r="R1739" s="3" t="s">
        <v>13065</v>
      </c>
      <c r="S1739" s="4">
        <v>0</v>
      </c>
      <c r="T1739" s="4">
        <v>0</v>
      </c>
      <c r="W1739" s="5" t="s">
        <v>67</v>
      </c>
      <c r="X1739" s="5" t="s">
        <v>67</v>
      </c>
      <c r="Y1739" s="4">
        <v>17</v>
      </c>
      <c r="Z1739" s="4">
        <v>1</v>
      </c>
      <c r="AA1739" s="4">
        <v>13</v>
      </c>
      <c r="AB1739" s="4">
        <v>1</v>
      </c>
      <c r="AC1739" s="4">
        <v>4</v>
      </c>
      <c r="AD1739" s="4">
        <v>4</v>
      </c>
      <c r="AE1739" s="4">
        <v>28</v>
      </c>
      <c r="AF1739" s="4">
        <v>0</v>
      </c>
      <c r="AG1739" s="4">
        <v>2</v>
      </c>
      <c r="AH1739" s="4">
        <v>4</v>
      </c>
      <c r="AI1739" s="4">
        <v>22</v>
      </c>
      <c r="AJ1739" s="4">
        <v>0</v>
      </c>
      <c r="AK1739" s="4">
        <v>6</v>
      </c>
      <c r="AL1739" s="4">
        <v>1</v>
      </c>
      <c r="AM1739" s="4">
        <v>11</v>
      </c>
      <c r="AN1739" s="4">
        <v>0</v>
      </c>
      <c r="AO1739" s="4">
        <v>0</v>
      </c>
      <c r="AP1739" s="4">
        <v>0</v>
      </c>
      <c r="AQ1739" s="4">
        <v>7</v>
      </c>
      <c r="AR1739" s="3" t="s">
        <v>62</v>
      </c>
      <c r="AS1739" s="3" t="s">
        <v>62</v>
      </c>
      <c r="AT1739" s="3" t="s">
        <v>62</v>
      </c>
      <c r="AV1739" s="6" t="str">
        <f>HYPERLINK("http://mcgill.on.worldcat.org/oclc/985359138","Catalog Record")</f>
        <v>Catalog Record</v>
      </c>
      <c r="AW1739" s="6" t="str">
        <f>HYPERLINK("http://www.worldcat.org/oclc/985359138","WorldCat Record")</f>
        <v>WorldCat Record</v>
      </c>
      <c r="AX1739" s="3" t="s">
        <v>17243</v>
      </c>
      <c r="AY1739" s="3" t="s">
        <v>17244</v>
      </c>
      <c r="AZ1739" s="3" t="s">
        <v>17245</v>
      </c>
      <c r="BA1739" s="3" t="s">
        <v>17245</v>
      </c>
      <c r="BB1739" s="3" t="s">
        <v>17246</v>
      </c>
      <c r="BC1739" s="3" t="s">
        <v>102</v>
      </c>
      <c r="BD1739" s="3" t="s">
        <v>68</v>
      </c>
      <c r="BE1739" s="3" t="s">
        <v>17247</v>
      </c>
      <c r="BF1739" s="3" t="s">
        <v>17246</v>
      </c>
      <c r="BG1739" s="3" t="s">
        <v>17248</v>
      </c>
    </row>
    <row r="1740" spans="1:59" ht="58" x14ac:dyDescent="0.35">
      <c r="A1740" s="2" t="s">
        <v>89</v>
      </c>
      <c r="B1740" s="2" t="s">
        <v>90</v>
      </c>
      <c r="C1740" s="2" t="s">
        <v>17249</v>
      </c>
      <c r="D1740" s="2" t="s">
        <v>17250</v>
      </c>
      <c r="E1740" s="2" t="s">
        <v>17251</v>
      </c>
      <c r="G1740" s="3" t="s">
        <v>62</v>
      </c>
      <c r="I1740" s="3" t="s">
        <v>62</v>
      </c>
      <c r="J1740" s="3" t="s">
        <v>62</v>
      </c>
      <c r="K1740" s="3" t="s">
        <v>63</v>
      </c>
      <c r="L1740" s="2" t="s">
        <v>17252</v>
      </c>
      <c r="M1740" s="2" t="s">
        <v>17253</v>
      </c>
      <c r="N1740" s="3" t="s">
        <v>1455</v>
      </c>
      <c r="O1740" s="2" t="s">
        <v>17254</v>
      </c>
      <c r="P1740" s="3" t="s">
        <v>64</v>
      </c>
      <c r="R1740" s="3" t="s">
        <v>13065</v>
      </c>
      <c r="S1740" s="4">
        <v>11</v>
      </c>
      <c r="T1740" s="4">
        <v>11</v>
      </c>
      <c r="U1740" s="5" t="s">
        <v>17255</v>
      </c>
      <c r="V1740" s="5" t="s">
        <v>17255</v>
      </c>
      <c r="W1740" s="5" t="s">
        <v>67</v>
      </c>
      <c r="X1740" s="5" t="s">
        <v>67</v>
      </c>
      <c r="Y1740" s="4">
        <v>59</v>
      </c>
      <c r="Z1740" s="4">
        <v>2</v>
      </c>
      <c r="AA1740" s="4">
        <v>23</v>
      </c>
      <c r="AB1740" s="4">
        <v>1</v>
      </c>
      <c r="AC1740" s="4">
        <v>3</v>
      </c>
      <c r="AD1740" s="4">
        <v>3</v>
      </c>
      <c r="AE1740" s="4">
        <v>52</v>
      </c>
      <c r="AF1740" s="4">
        <v>0</v>
      </c>
      <c r="AG1740" s="4">
        <v>2</v>
      </c>
      <c r="AH1740" s="4">
        <v>3</v>
      </c>
      <c r="AI1740" s="4">
        <v>45</v>
      </c>
      <c r="AJ1740" s="4">
        <v>0</v>
      </c>
      <c r="AK1740" s="4">
        <v>6</v>
      </c>
      <c r="AL1740" s="4">
        <v>1</v>
      </c>
      <c r="AM1740" s="4">
        <v>20</v>
      </c>
      <c r="AN1740" s="4">
        <v>0</v>
      </c>
      <c r="AO1740" s="4">
        <v>13</v>
      </c>
      <c r="AP1740" s="4">
        <v>0</v>
      </c>
      <c r="AQ1740" s="4">
        <v>9</v>
      </c>
      <c r="AR1740" s="3" t="s">
        <v>62</v>
      </c>
      <c r="AS1740" s="3" t="s">
        <v>62</v>
      </c>
      <c r="AT1740" s="3" t="s">
        <v>62</v>
      </c>
      <c r="AV1740" s="6" t="str">
        <f>HYPERLINK("http://mcgill.on.worldcat.org/oclc/898154085","Catalog Record")</f>
        <v>Catalog Record</v>
      </c>
      <c r="AW1740" s="6" t="str">
        <f>HYPERLINK("http://www.worldcat.org/oclc/898154085","WorldCat Record")</f>
        <v>WorldCat Record</v>
      </c>
      <c r="AX1740" s="3" t="s">
        <v>17256</v>
      </c>
      <c r="AY1740" s="3" t="s">
        <v>17257</v>
      </c>
      <c r="AZ1740" s="3" t="s">
        <v>17258</v>
      </c>
      <c r="BA1740" s="3" t="s">
        <v>17258</v>
      </c>
      <c r="BB1740" s="3" t="s">
        <v>17259</v>
      </c>
      <c r="BC1740" s="3" t="s">
        <v>102</v>
      </c>
      <c r="BD1740" s="3" t="s">
        <v>231</v>
      </c>
      <c r="BE1740" s="3" t="s">
        <v>17260</v>
      </c>
      <c r="BF1740" s="3" t="s">
        <v>17259</v>
      </c>
      <c r="BG1740" s="3" t="s">
        <v>17261</v>
      </c>
    </row>
    <row r="1741" spans="1:59" ht="58" x14ac:dyDescent="0.35">
      <c r="A1741" s="2" t="s">
        <v>89</v>
      </c>
      <c r="B1741" s="2" t="s">
        <v>90</v>
      </c>
      <c r="C1741" s="2" t="s">
        <v>17262</v>
      </c>
      <c r="D1741" s="2" t="s">
        <v>17263</v>
      </c>
      <c r="E1741" s="2" t="s">
        <v>17264</v>
      </c>
      <c r="G1741" s="3" t="s">
        <v>62</v>
      </c>
      <c r="I1741" s="3" t="s">
        <v>62</v>
      </c>
      <c r="J1741" s="3" t="s">
        <v>62</v>
      </c>
      <c r="K1741" s="3" t="s">
        <v>63</v>
      </c>
      <c r="L1741" s="2" t="s">
        <v>17265</v>
      </c>
      <c r="M1741" s="2" t="s">
        <v>17266</v>
      </c>
      <c r="N1741" s="3" t="s">
        <v>2136</v>
      </c>
      <c r="P1741" s="3" t="s">
        <v>64</v>
      </c>
      <c r="R1741" s="3" t="s">
        <v>13065</v>
      </c>
      <c r="S1741" s="4">
        <v>2</v>
      </c>
      <c r="T1741" s="4">
        <v>2</v>
      </c>
      <c r="U1741" s="5" t="s">
        <v>6462</v>
      </c>
      <c r="V1741" s="5" t="s">
        <v>6462</v>
      </c>
      <c r="W1741" s="5" t="s">
        <v>67</v>
      </c>
      <c r="X1741" s="5" t="s">
        <v>67</v>
      </c>
      <c r="Y1741" s="4">
        <v>115</v>
      </c>
      <c r="Z1741" s="4">
        <v>8</v>
      </c>
      <c r="AA1741" s="4">
        <v>45</v>
      </c>
      <c r="AB1741" s="4">
        <v>2</v>
      </c>
      <c r="AC1741" s="4">
        <v>8</v>
      </c>
      <c r="AD1741" s="4">
        <v>28</v>
      </c>
      <c r="AE1741" s="4">
        <v>64</v>
      </c>
      <c r="AF1741" s="4">
        <v>0</v>
      </c>
      <c r="AG1741" s="4">
        <v>3</v>
      </c>
      <c r="AH1741" s="4">
        <v>27</v>
      </c>
      <c r="AI1741" s="4">
        <v>48</v>
      </c>
      <c r="AJ1741" s="4">
        <v>5</v>
      </c>
      <c r="AK1741" s="4">
        <v>14</v>
      </c>
      <c r="AL1741" s="4">
        <v>8</v>
      </c>
      <c r="AM1741" s="4">
        <v>16</v>
      </c>
      <c r="AN1741" s="4">
        <v>0</v>
      </c>
      <c r="AO1741" s="4">
        <v>0</v>
      </c>
      <c r="AP1741" s="4">
        <v>5</v>
      </c>
      <c r="AQ1741" s="4">
        <v>21</v>
      </c>
      <c r="AR1741" s="3" t="s">
        <v>62</v>
      </c>
      <c r="AS1741" s="3" t="s">
        <v>62</v>
      </c>
      <c r="AT1741" s="3" t="s">
        <v>62</v>
      </c>
      <c r="AV1741" s="6" t="str">
        <f>HYPERLINK("http://mcgill.on.worldcat.org/oclc/57393314","Catalog Record")</f>
        <v>Catalog Record</v>
      </c>
      <c r="AW1741" s="6" t="str">
        <f>HYPERLINK("http://www.worldcat.org/oclc/57393314","WorldCat Record")</f>
        <v>WorldCat Record</v>
      </c>
      <c r="AX1741" s="3" t="s">
        <v>17267</v>
      </c>
      <c r="AY1741" s="3" t="s">
        <v>17268</v>
      </c>
      <c r="AZ1741" s="3" t="s">
        <v>17269</v>
      </c>
      <c r="BA1741" s="3" t="s">
        <v>17269</v>
      </c>
      <c r="BB1741" s="3" t="s">
        <v>17270</v>
      </c>
      <c r="BC1741" s="3" t="s">
        <v>102</v>
      </c>
      <c r="BD1741" s="3" t="s">
        <v>68</v>
      </c>
      <c r="BE1741" s="3" t="s">
        <v>17271</v>
      </c>
      <c r="BF1741" s="3" t="s">
        <v>17270</v>
      </c>
      <c r="BG1741" s="3" t="s">
        <v>17272</v>
      </c>
    </row>
    <row r="1742" spans="1:59" ht="58" x14ac:dyDescent="0.35">
      <c r="A1742" s="2" t="s">
        <v>89</v>
      </c>
      <c r="B1742" s="2" t="s">
        <v>90</v>
      </c>
      <c r="C1742" s="2" t="s">
        <v>17273</v>
      </c>
      <c r="D1742" s="2" t="s">
        <v>17274</v>
      </c>
      <c r="E1742" s="2" t="s">
        <v>17275</v>
      </c>
      <c r="G1742" s="3" t="s">
        <v>62</v>
      </c>
      <c r="I1742" s="3" t="s">
        <v>62</v>
      </c>
      <c r="J1742" s="3" t="s">
        <v>62</v>
      </c>
      <c r="K1742" s="3" t="s">
        <v>63</v>
      </c>
      <c r="L1742" s="2" t="s">
        <v>17276</v>
      </c>
      <c r="M1742" s="2" t="s">
        <v>17277</v>
      </c>
      <c r="N1742" s="3" t="s">
        <v>712</v>
      </c>
      <c r="P1742" s="3" t="s">
        <v>64</v>
      </c>
      <c r="R1742" s="3" t="s">
        <v>13065</v>
      </c>
      <c r="S1742" s="4">
        <v>0</v>
      </c>
      <c r="T1742" s="4">
        <v>0</v>
      </c>
      <c r="W1742" s="5" t="s">
        <v>67</v>
      </c>
      <c r="X1742" s="5" t="s">
        <v>67</v>
      </c>
      <c r="Y1742" s="4">
        <v>293</v>
      </c>
      <c r="Z1742" s="4">
        <v>18</v>
      </c>
      <c r="AA1742" s="4">
        <v>29</v>
      </c>
      <c r="AB1742" s="4">
        <v>2</v>
      </c>
      <c r="AC1742" s="4">
        <v>6</v>
      </c>
      <c r="AD1742" s="4">
        <v>63</v>
      </c>
      <c r="AE1742" s="4">
        <v>80</v>
      </c>
      <c r="AF1742" s="4">
        <v>1</v>
      </c>
      <c r="AG1742" s="4">
        <v>3</v>
      </c>
      <c r="AH1742" s="4">
        <v>51</v>
      </c>
      <c r="AI1742" s="4">
        <v>66</v>
      </c>
      <c r="AJ1742" s="4">
        <v>7</v>
      </c>
      <c r="AK1742" s="4">
        <v>11</v>
      </c>
      <c r="AL1742" s="4">
        <v>29</v>
      </c>
      <c r="AM1742" s="4">
        <v>35</v>
      </c>
      <c r="AN1742" s="4">
        <v>0</v>
      </c>
      <c r="AO1742" s="4">
        <v>0</v>
      </c>
      <c r="AP1742" s="4">
        <v>14</v>
      </c>
      <c r="AQ1742" s="4">
        <v>19</v>
      </c>
      <c r="AR1742" s="3" t="s">
        <v>62</v>
      </c>
      <c r="AS1742" s="3" t="s">
        <v>62</v>
      </c>
      <c r="AT1742" s="3" t="s">
        <v>62</v>
      </c>
      <c r="AV1742" s="6" t="str">
        <f>HYPERLINK("http://mcgill.on.worldcat.org/oclc/827694995","Catalog Record")</f>
        <v>Catalog Record</v>
      </c>
      <c r="AW1742" s="6" t="str">
        <f>HYPERLINK("http://www.worldcat.org/oclc/827694995","WorldCat Record")</f>
        <v>WorldCat Record</v>
      </c>
      <c r="AX1742" s="3" t="s">
        <v>17278</v>
      </c>
      <c r="AY1742" s="3" t="s">
        <v>17279</v>
      </c>
      <c r="AZ1742" s="3" t="s">
        <v>17280</v>
      </c>
      <c r="BA1742" s="3" t="s">
        <v>17280</v>
      </c>
      <c r="BB1742" s="3" t="s">
        <v>17281</v>
      </c>
      <c r="BC1742" s="3" t="s">
        <v>102</v>
      </c>
      <c r="BD1742" s="3" t="s">
        <v>68</v>
      </c>
      <c r="BE1742" s="3" t="s">
        <v>17282</v>
      </c>
      <c r="BF1742" s="3" t="s">
        <v>17281</v>
      </c>
      <c r="BG1742" s="3" t="s">
        <v>17283</v>
      </c>
    </row>
    <row r="1743" spans="1:59" ht="58" x14ac:dyDescent="0.35">
      <c r="A1743" s="2" t="s">
        <v>89</v>
      </c>
      <c r="B1743" s="2" t="s">
        <v>90</v>
      </c>
      <c r="C1743" s="2" t="s">
        <v>17284</v>
      </c>
      <c r="D1743" s="2" t="s">
        <v>17285</v>
      </c>
      <c r="E1743" s="2" t="s">
        <v>17286</v>
      </c>
      <c r="G1743" s="3" t="s">
        <v>62</v>
      </c>
      <c r="I1743" s="3" t="s">
        <v>62</v>
      </c>
      <c r="J1743" s="3" t="s">
        <v>62</v>
      </c>
      <c r="K1743" s="3" t="s">
        <v>63</v>
      </c>
      <c r="L1743" s="2" t="s">
        <v>17287</v>
      </c>
      <c r="M1743" s="2" t="s">
        <v>17288</v>
      </c>
      <c r="N1743" s="3" t="s">
        <v>1722</v>
      </c>
      <c r="P1743" s="3" t="s">
        <v>64</v>
      </c>
      <c r="Q1743" s="2" t="s">
        <v>17289</v>
      </c>
      <c r="R1743" s="3" t="s">
        <v>13065</v>
      </c>
      <c r="S1743" s="4">
        <v>2</v>
      </c>
      <c r="T1743" s="4">
        <v>2</v>
      </c>
      <c r="U1743" s="5" t="s">
        <v>17290</v>
      </c>
      <c r="V1743" s="5" t="s">
        <v>17290</v>
      </c>
      <c r="W1743" s="5" t="s">
        <v>67</v>
      </c>
      <c r="X1743" s="5" t="s">
        <v>67</v>
      </c>
      <c r="Y1743" s="4">
        <v>84</v>
      </c>
      <c r="Z1743" s="4">
        <v>4</v>
      </c>
      <c r="AA1743" s="4">
        <v>22</v>
      </c>
      <c r="AB1743" s="4">
        <v>3</v>
      </c>
      <c r="AC1743" s="4">
        <v>7</v>
      </c>
      <c r="AD1743" s="4">
        <v>21</v>
      </c>
      <c r="AE1743" s="4">
        <v>46</v>
      </c>
      <c r="AF1743" s="4">
        <v>1</v>
      </c>
      <c r="AG1743" s="4">
        <v>4</v>
      </c>
      <c r="AH1743" s="4">
        <v>19</v>
      </c>
      <c r="AI1743" s="4">
        <v>35</v>
      </c>
      <c r="AJ1743" s="4">
        <v>2</v>
      </c>
      <c r="AK1743" s="4">
        <v>9</v>
      </c>
      <c r="AL1743" s="4">
        <v>10</v>
      </c>
      <c r="AM1743" s="4">
        <v>18</v>
      </c>
      <c r="AN1743" s="4">
        <v>0</v>
      </c>
      <c r="AO1743" s="4">
        <v>0</v>
      </c>
      <c r="AP1743" s="4">
        <v>2</v>
      </c>
      <c r="AQ1743" s="4">
        <v>12</v>
      </c>
      <c r="AR1743" s="3" t="s">
        <v>62</v>
      </c>
      <c r="AS1743" s="3" t="s">
        <v>62</v>
      </c>
      <c r="AT1743" s="3" t="s">
        <v>62</v>
      </c>
      <c r="AV1743" s="6" t="str">
        <f>HYPERLINK("http://mcgill.on.worldcat.org/oclc/154806675","Catalog Record")</f>
        <v>Catalog Record</v>
      </c>
      <c r="AW1743" s="6" t="str">
        <f>HYPERLINK("http://www.worldcat.org/oclc/154806675","WorldCat Record")</f>
        <v>WorldCat Record</v>
      </c>
      <c r="AX1743" s="3" t="s">
        <v>17291</v>
      </c>
      <c r="AY1743" s="3" t="s">
        <v>17292</v>
      </c>
      <c r="AZ1743" s="3" t="s">
        <v>17293</v>
      </c>
      <c r="BA1743" s="3" t="s">
        <v>17293</v>
      </c>
      <c r="BB1743" s="3" t="s">
        <v>17294</v>
      </c>
      <c r="BC1743" s="3" t="s">
        <v>102</v>
      </c>
      <c r="BD1743" s="3" t="s">
        <v>68</v>
      </c>
      <c r="BE1743" s="3" t="s">
        <v>17295</v>
      </c>
      <c r="BF1743" s="3" t="s">
        <v>17294</v>
      </c>
      <c r="BG1743" s="3" t="s">
        <v>17296</v>
      </c>
    </row>
    <row r="1744" spans="1:59" ht="101.5" x14ac:dyDescent="0.35">
      <c r="A1744" s="2" t="s">
        <v>89</v>
      </c>
      <c r="B1744" s="2" t="s">
        <v>12301</v>
      </c>
      <c r="C1744" s="2" t="s">
        <v>17297</v>
      </c>
      <c r="D1744" s="2" t="s">
        <v>17298</v>
      </c>
      <c r="E1744" s="2" t="s">
        <v>17299</v>
      </c>
      <c r="G1744" s="3" t="s">
        <v>62</v>
      </c>
      <c r="I1744" s="3" t="s">
        <v>61</v>
      </c>
      <c r="J1744" s="3" t="s">
        <v>61</v>
      </c>
      <c r="K1744" s="3" t="s">
        <v>63</v>
      </c>
      <c r="L1744" s="2" t="s">
        <v>17300</v>
      </c>
      <c r="M1744" s="2" t="s">
        <v>17301</v>
      </c>
      <c r="N1744" s="3" t="s">
        <v>1038</v>
      </c>
      <c r="O1744" s="2" t="s">
        <v>15933</v>
      </c>
      <c r="P1744" s="3" t="s">
        <v>64</v>
      </c>
      <c r="R1744" s="3" t="s">
        <v>13065</v>
      </c>
      <c r="S1744" s="4">
        <v>22</v>
      </c>
      <c r="T1744" s="4">
        <v>44</v>
      </c>
      <c r="U1744" s="5" t="s">
        <v>17302</v>
      </c>
      <c r="V1744" s="5" t="s">
        <v>8293</v>
      </c>
      <c r="W1744" s="5" t="s">
        <v>67</v>
      </c>
      <c r="X1744" s="5" t="s">
        <v>67</v>
      </c>
      <c r="Y1744" s="4">
        <v>108</v>
      </c>
      <c r="Z1744" s="4">
        <v>13</v>
      </c>
      <c r="AA1744" s="4">
        <v>80</v>
      </c>
      <c r="AB1744" s="4">
        <v>2</v>
      </c>
      <c r="AC1744" s="4">
        <v>19</v>
      </c>
      <c r="AD1744" s="4">
        <v>26</v>
      </c>
      <c r="AE1744" s="4">
        <v>144</v>
      </c>
      <c r="AF1744" s="4">
        <v>1</v>
      </c>
      <c r="AG1744" s="4">
        <v>8</v>
      </c>
      <c r="AH1744" s="4">
        <v>22</v>
      </c>
      <c r="AI1744" s="4">
        <v>109</v>
      </c>
      <c r="AJ1744" s="4">
        <v>8</v>
      </c>
      <c r="AK1744" s="4">
        <v>26</v>
      </c>
      <c r="AL1744" s="4">
        <v>11</v>
      </c>
      <c r="AM1744" s="4">
        <v>59</v>
      </c>
      <c r="AN1744" s="4">
        <v>0</v>
      </c>
      <c r="AO1744" s="4">
        <v>0</v>
      </c>
      <c r="AP1744" s="4">
        <v>8</v>
      </c>
      <c r="AQ1744" s="4">
        <v>41</v>
      </c>
      <c r="AR1744" s="3" t="s">
        <v>62</v>
      </c>
      <c r="AS1744" s="3" t="s">
        <v>62</v>
      </c>
      <c r="AT1744" s="3" t="s">
        <v>62</v>
      </c>
      <c r="AV1744" s="6" t="str">
        <f>HYPERLINK("http://mcgill.on.worldcat.org/oclc/907941065","Catalog Record")</f>
        <v>Catalog Record</v>
      </c>
      <c r="AW1744" s="6" t="str">
        <f>HYPERLINK("http://www.worldcat.org/oclc/907941065","WorldCat Record")</f>
        <v>WorldCat Record</v>
      </c>
      <c r="AX1744" s="3" t="s">
        <v>17303</v>
      </c>
      <c r="AY1744" s="3" t="s">
        <v>17304</v>
      </c>
      <c r="AZ1744" s="3" t="s">
        <v>17305</v>
      </c>
      <c r="BA1744" s="3" t="s">
        <v>17305</v>
      </c>
      <c r="BB1744" s="3" t="s">
        <v>17306</v>
      </c>
      <c r="BC1744" s="3" t="s">
        <v>102</v>
      </c>
      <c r="BD1744" s="3" t="s">
        <v>68</v>
      </c>
      <c r="BE1744" s="3" t="s">
        <v>17307</v>
      </c>
      <c r="BF1744" s="3" t="s">
        <v>17306</v>
      </c>
      <c r="BG1744" s="3" t="s">
        <v>17308</v>
      </c>
    </row>
    <row r="1745" spans="1:59" ht="101.5" x14ac:dyDescent="0.35">
      <c r="A1745" s="2" t="s">
        <v>89</v>
      </c>
      <c r="B1745" s="2" t="s">
        <v>12301</v>
      </c>
      <c r="C1745" s="2" t="s">
        <v>17297</v>
      </c>
      <c r="D1745" s="2" t="s">
        <v>17298</v>
      </c>
      <c r="E1745" s="2" t="s">
        <v>17299</v>
      </c>
      <c r="G1745" s="3" t="s">
        <v>62</v>
      </c>
      <c r="I1745" s="3" t="s">
        <v>61</v>
      </c>
      <c r="J1745" s="3" t="s">
        <v>61</v>
      </c>
      <c r="K1745" s="3" t="s">
        <v>63</v>
      </c>
      <c r="L1745" s="2" t="s">
        <v>17300</v>
      </c>
      <c r="M1745" s="2" t="s">
        <v>17301</v>
      </c>
      <c r="N1745" s="3" t="s">
        <v>1038</v>
      </c>
      <c r="O1745" s="2" t="s">
        <v>15933</v>
      </c>
      <c r="P1745" s="3" t="s">
        <v>64</v>
      </c>
      <c r="R1745" s="3" t="s">
        <v>13065</v>
      </c>
      <c r="S1745" s="4">
        <v>22</v>
      </c>
      <c r="T1745" s="4">
        <v>44</v>
      </c>
      <c r="U1745" s="5" t="s">
        <v>8293</v>
      </c>
      <c r="V1745" s="5" t="s">
        <v>8293</v>
      </c>
      <c r="W1745" s="5" t="s">
        <v>67</v>
      </c>
      <c r="X1745" s="5" t="s">
        <v>67</v>
      </c>
      <c r="Y1745" s="4">
        <v>108</v>
      </c>
      <c r="Z1745" s="4">
        <v>13</v>
      </c>
      <c r="AA1745" s="4">
        <v>80</v>
      </c>
      <c r="AB1745" s="4">
        <v>2</v>
      </c>
      <c r="AC1745" s="4">
        <v>19</v>
      </c>
      <c r="AD1745" s="4">
        <v>26</v>
      </c>
      <c r="AE1745" s="4">
        <v>144</v>
      </c>
      <c r="AF1745" s="4">
        <v>1</v>
      </c>
      <c r="AG1745" s="4">
        <v>8</v>
      </c>
      <c r="AH1745" s="4">
        <v>22</v>
      </c>
      <c r="AI1745" s="4">
        <v>109</v>
      </c>
      <c r="AJ1745" s="4">
        <v>8</v>
      </c>
      <c r="AK1745" s="4">
        <v>26</v>
      </c>
      <c r="AL1745" s="4">
        <v>11</v>
      </c>
      <c r="AM1745" s="4">
        <v>59</v>
      </c>
      <c r="AN1745" s="4">
        <v>0</v>
      </c>
      <c r="AO1745" s="4">
        <v>0</v>
      </c>
      <c r="AP1745" s="4">
        <v>8</v>
      </c>
      <c r="AQ1745" s="4">
        <v>41</v>
      </c>
      <c r="AR1745" s="3" t="s">
        <v>62</v>
      </c>
      <c r="AS1745" s="3" t="s">
        <v>62</v>
      </c>
      <c r="AT1745" s="3" t="s">
        <v>62</v>
      </c>
      <c r="AV1745" s="6" t="str">
        <f>HYPERLINK("http://mcgill.on.worldcat.org/oclc/907941065","Catalog Record")</f>
        <v>Catalog Record</v>
      </c>
      <c r="AW1745" s="6" t="str">
        <f>HYPERLINK("http://www.worldcat.org/oclc/907941065","WorldCat Record")</f>
        <v>WorldCat Record</v>
      </c>
      <c r="AX1745" s="3" t="s">
        <v>17303</v>
      </c>
      <c r="AY1745" s="3" t="s">
        <v>17304</v>
      </c>
      <c r="AZ1745" s="3" t="s">
        <v>17305</v>
      </c>
      <c r="BA1745" s="3" t="s">
        <v>17305</v>
      </c>
      <c r="BB1745" s="3" t="s">
        <v>17309</v>
      </c>
      <c r="BC1745" s="3" t="s">
        <v>102</v>
      </c>
      <c r="BD1745" s="3" t="s">
        <v>68</v>
      </c>
      <c r="BE1745" s="3" t="s">
        <v>17307</v>
      </c>
      <c r="BF1745" s="3" t="s">
        <v>17309</v>
      </c>
      <c r="BG1745" s="3" t="s">
        <v>17310</v>
      </c>
    </row>
    <row r="1746" spans="1:59" ht="101.5" x14ac:dyDescent="0.35">
      <c r="A1746" s="2" t="s">
        <v>89</v>
      </c>
      <c r="B1746" s="2" t="s">
        <v>12301</v>
      </c>
      <c r="C1746" s="2" t="s">
        <v>17311</v>
      </c>
      <c r="D1746" s="2" t="s">
        <v>17312</v>
      </c>
      <c r="E1746" s="2" t="s">
        <v>17313</v>
      </c>
      <c r="G1746" s="3" t="s">
        <v>62</v>
      </c>
      <c r="I1746" s="3" t="s">
        <v>62</v>
      </c>
      <c r="J1746" s="3" t="s">
        <v>62</v>
      </c>
      <c r="K1746" s="3" t="s">
        <v>63</v>
      </c>
      <c r="L1746" s="2" t="s">
        <v>17314</v>
      </c>
      <c r="M1746" s="2" t="s">
        <v>17315</v>
      </c>
      <c r="N1746" s="3" t="s">
        <v>880</v>
      </c>
      <c r="P1746" s="3" t="s">
        <v>64</v>
      </c>
      <c r="Q1746" s="2" t="s">
        <v>17316</v>
      </c>
      <c r="R1746" s="3" t="s">
        <v>13065</v>
      </c>
      <c r="S1746" s="4">
        <v>26</v>
      </c>
      <c r="T1746" s="4">
        <v>26</v>
      </c>
      <c r="U1746" s="5" t="s">
        <v>5743</v>
      </c>
      <c r="V1746" s="5" t="s">
        <v>5743</v>
      </c>
      <c r="W1746" s="5" t="s">
        <v>67</v>
      </c>
      <c r="X1746" s="5" t="s">
        <v>67</v>
      </c>
      <c r="Y1746" s="4">
        <v>105</v>
      </c>
      <c r="Z1746" s="4">
        <v>14</v>
      </c>
      <c r="AA1746" s="4">
        <v>36</v>
      </c>
      <c r="AB1746" s="4">
        <v>2</v>
      </c>
      <c r="AC1746" s="4">
        <v>7</v>
      </c>
      <c r="AD1746" s="4">
        <v>41</v>
      </c>
      <c r="AE1746" s="4">
        <v>105</v>
      </c>
      <c r="AF1746" s="4">
        <v>1</v>
      </c>
      <c r="AG1746" s="4">
        <v>4</v>
      </c>
      <c r="AH1746" s="4">
        <v>33</v>
      </c>
      <c r="AI1746" s="4">
        <v>84</v>
      </c>
      <c r="AJ1746" s="4">
        <v>7</v>
      </c>
      <c r="AK1746" s="4">
        <v>17</v>
      </c>
      <c r="AL1746" s="4">
        <v>23</v>
      </c>
      <c r="AM1746" s="4">
        <v>48</v>
      </c>
      <c r="AN1746" s="4">
        <v>0</v>
      </c>
      <c r="AO1746" s="4">
        <v>0</v>
      </c>
      <c r="AP1746" s="4">
        <v>10</v>
      </c>
      <c r="AQ1746" s="4">
        <v>24</v>
      </c>
      <c r="AR1746" s="3" t="s">
        <v>62</v>
      </c>
      <c r="AS1746" s="3" t="s">
        <v>62</v>
      </c>
      <c r="AT1746" s="3" t="s">
        <v>61</v>
      </c>
      <c r="AU1746" s="6" t="str">
        <f>HYPERLINK("http://catalog.hathitrust.org/Record/007485344","HathiTrust Record")</f>
        <v>HathiTrust Record</v>
      </c>
      <c r="AV1746" s="6" t="str">
        <f>HYPERLINK("http://mcgill.on.worldcat.org/oclc/268788318","Catalog Record")</f>
        <v>Catalog Record</v>
      </c>
      <c r="AW1746" s="6" t="str">
        <f>HYPERLINK("http://www.worldcat.org/oclc/268788318","WorldCat Record")</f>
        <v>WorldCat Record</v>
      </c>
      <c r="AX1746" s="3" t="s">
        <v>17317</v>
      </c>
      <c r="AY1746" s="3" t="s">
        <v>17318</v>
      </c>
      <c r="AZ1746" s="3" t="s">
        <v>17319</v>
      </c>
      <c r="BA1746" s="3" t="s">
        <v>17319</v>
      </c>
      <c r="BB1746" s="3" t="s">
        <v>17320</v>
      </c>
      <c r="BC1746" s="3" t="s">
        <v>102</v>
      </c>
      <c r="BD1746" s="3" t="s">
        <v>68</v>
      </c>
      <c r="BE1746" s="3" t="s">
        <v>17321</v>
      </c>
      <c r="BF1746" s="3" t="s">
        <v>17320</v>
      </c>
      <c r="BG1746" s="3" t="s">
        <v>17322</v>
      </c>
    </row>
    <row r="1747" spans="1:59" ht="101.5" x14ac:dyDescent="0.35">
      <c r="A1747" s="2" t="s">
        <v>89</v>
      </c>
      <c r="B1747" s="2" t="s">
        <v>12301</v>
      </c>
      <c r="C1747" s="2" t="s">
        <v>17323</v>
      </c>
      <c r="D1747" s="2" t="s">
        <v>17324</v>
      </c>
      <c r="E1747" s="2" t="s">
        <v>17325</v>
      </c>
      <c r="G1747" s="3" t="s">
        <v>62</v>
      </c>
      <c r="I1747" s="3" t="s">
        <v>62</v>
      </c>
      <c r="J1747" s="3" t="s">
        <v>62</v>
      </c>
      <c r="K1747" s="3" t="s">
        <v>63</v>
      </c>
      <c r="L1747" s="2" t="s">
        <v>17326</v>
      </c>
      <c r="M1747" s="2" t="s">
        <v>17327</v>
      </c>
      <c r="N1747" s="3" t="s">
        <v>2985</v>
      </c>
      <c r="O1747" s="2" t="s">
        <v>8443</v>
      </c>
      <c r="P1747" s="3" t="s">
        <v>64</v>
      </c>
      <c r="R1747" s="3" t="s">
        <v>13065</v>
      </c>
      <c r="S1747" s="4">
        <v>4</v>
      </c>
      <c r="T1747" s="4">
        <v>4</v>
      </c>
      <c r="U1747" s="5" t="s">
        <v>3110</v>
      </c>
      <c r="V1747" s="5" t="s">
        <v>3110</v>
      </c>
      <c r="W1747" s="5" t="s">
        <v>67</v>
      </c>
      <c r="X1747" s="5" t="s">
        <v>67</v>
      </c>
      <c r="Y1747" s="4">
        <v>4</v>
      </c>
      <c r="Z1747" s="4">
        <v>1</v>
      </c>
      <c r="AA1747" s="4">
        <v>51</v>
      </c>
      <c r="AB1747" s="4">
        <v>1</v>
      </c>
      <c r="AC1747" s="4">
        <v>10</v>
      </c>
      <c r="AD1747" s="4">
        <v>0</v>
      </c>
      <c r="AE1747" s="4">
        <v>96</v>
      </c>
      <c r="AF1747" s="4">
        <v>0</v>
      </c>
      <c r="AG1747" s="4">
        <v>5</v>
      </c>
      <c r="AH1747" s="4">
        <v>0</v>
      </c>
      <c r="AI1747" s="4">
        <v>69</v>
      </c>
      <c r="AJ1747" s="4">
        <v>0</v>
      </c>
      <c r="AK1747" s="4">
        <v>22</v>
      </c>
      <c r="AL1747" s="4">
        <v>0</v>
      </c>
      <c r="AM1747" s="4">
        <v>39</v>
      </c>
      <c r="AN1747" s="4">
        <v>0</v>
      </c>
      <c r="AO1747" s="4">
        <v>0</v>
      </c>
      <c r="AP1747" s="4">
        <v>0</v>
      </c>
      <c r="AQ1747" s="4">
        <v>34</v>
      </c>
      <c r="AR1747" s="3" t="s">
        <v>62</v>
      </c>
      <c r="AS1747" s="3" t="s">
        <v>62</v>
      </c>
      <c r="AT1747" s="3" t="s">
        <v>62</v>
      </c>
      <c r="AV1747" s="6" t="str">
        <f>HYPERLINK("http://mcgill.on.worldcat.org/oclc/947875259","Catalog Record")</f>
        <v>Catalog Record</v>
      </c>
      <c r="AW1747" s="6" t="str">
        <f>HYPERLINK("http://www.worldcat.org/oclc/947875259","WorldCat Record")</f>
        <v>WorldCat Record</v>
      </c>
      <c r="AX1747" s="3" t="s">
        <v>17328</v>
      </c>
      <c r="AY1747" s="3" t="s">
        <v>17329</v>
      </c>
      <c r="AZ1747" s="3" t="s">
        <v>17330</v>
      </c>
      <c r="BA1747" s="3" t="s">
        <v>17330</v>
      </c>
      <c r="BB1747" s="3" t="s">
        <v>17331</v>
      </c>
      <c r="BC1747" s="3" t="s">
        <v>102</v>
      </c>
      <c r="BD1747" s="3" t="s">
        <v>68</v>
      </c>
      <c r="BE1747" s="3" t="s">
        <v>17332</v>
      </c>
      <c r="BF1747" s="3" t="s">
        <v>17331</v>
      </c>
      <c r="BG1747" s="3" t="s">
        <v>17333</v>
      </c>
    </row>
    <row r="1748" spans="1:59" ht="101.5" x14ac:dyDescent="0.35">
      <c r="A1748" s="2" t="s">
        <v>89</v>
      </c>
      <c r="B1748" s="2" t="s">
        <v>12301</v>
      </c>
      <c r="C1748" s="2" t="s">
        <v>17334</v>
      </c>
      <c r="D1748" s="2" t="s">
        <v>17335</v>
      </c>
      <c r="E1748" s="2" t="s">
        <v>17336</v>
      </c>
      <c r="G1748" s="3" t="s">
        <v>62</v>
      </c>
      <c r="I1748" s="3" t="s">
        <v>62</v>
      </c>
      <c r="J1748" s="3" t="s">
        <v>62</v>
      </c>
      <c r="K1748" s="3" t="s">
        <v>63</v>
      </c>
      <c r="L1748" s="2" t="s">
        <v>17326</v>
      </c>
      <c r="M1748" s="2" t="s">
        <v>17337</v>
      </c>
      <c r="N1748" s="3" t="s">
        <v>880</v>
      </c>
      <c r="O1748" s="2" t="s">
        <v>2986</v>
      </c>
      <c r="P1748" s="3" t="s">
        <v>64</v>
      </c>
      <c r="R1748" s="3" t="s">
        <v>13065</v>
      </c>
      <c r="S1748" s="4">
        <v>5</v>
      </c>
      <c r="T1748" s="4">
        <v>5</v>
      </c>
      <c r="U1748" s="5" t="s">
        <v>541</v>
      </c>
      <c r="V1748" s="5" t="s">
        <v>541</v>
      </c>
      <c r="W1748" s="5" t="s">
        <v>67</v>
      </c>
      <c r="X1748" s="5" t="s">
        <v>67</v>
      </c>
      <c r="Y1748" s="4">
        <v>119</v>
      </c>
      <c r="Z1748" s="4">
        <v>14</v>
      </c>
      <c r="AA1748" s="4">
        <v>38</v>
      </c>
      <c r="AB1748" s="4">
        <v>2</v>
      </c>
      <c r="AC1748" s="4">
        <v>10</v>
      </c>
      <c r="AD1748" s="4">
        <v>23</v>
      </c>
      <c r="AE1748" s="4">
        <v>59</v>
      </c>
      <c r="AF1748" s="4">
        <v>1</v>
      </c>
      <c r="AG1748" s="4">
        <v>6</v>
      </c>
      <c r="AH1748" s="4">
        <v>16</v>
      </c>
      <c r="AI1748" s="4">
        <v>45</v>
      </c>
      <c r="AJ1748" s="4">
        <v>8</v>
      </c>
      <c r="AK1748" s="4">
        <v>18</v>
      </c>
      <c r="AL1748" s="4">
        <v>11</v>
      </c>
      <c r="AM1748" s="4">
        <v>24</v>
      </c>
      <c r="AN1748" s="4">
        <v>0</v>
      </c>
      <c r="AO1748" s="4">
        <v>0</v>
      </c>
      <c r="AP1748" s="4">
        <v>9</v>
      </c>
      <c r="AQ1748" s="4">
        <v>23</v>
      </c>
      <c r="AR1748" s="3" t="s">
        <v>62</v>
      </c>
      <c r="AS1748" s="3" t="s">
        <v>62</v>
      </c>
      <c r="AT1748" s="3" t="s">
        <v>62</v>
      </c>
      <c r="AV1748" s="6" t="str">
        <f>HYPERLINK("http://mcgill.on.worldcat.org/oclc/609304030","Catalog Record")</f>
        <v>Catalog Record</v>
      </c>
      <c r="AW1748" s="6" t="str">
        <f>HYPERLINK("http://www.worldcat.org/oclc/609304030","WorldCat Record")</f>
        <v>WorldCat Record</v>
      </c>
      <c r="AX1748" s="3" t="s">
        <v>17338</v>
      </c>
      <c r="AY1748" s="3" t="s">
        <v>17339</v>
      </c>
      <c r="AZ1748" s="3" t="s">
        <v>17340</v>
      </c>
      <c r="BA1748" s="3" t="s">
        <v>17340</v>
      </c>
      <c r="BB1748" s="3" t="s">
        <v>17341</v>
      </c>
      <c r="BC1748" s="3" t="s">
        <v>102</v>
      </c>
      <c r="BD1748" s="3" t="s">
        <v>68</v>
      </c>
      <c r="BE1748" s="3" t="s">
        <v>17342</v>
      </c>
      <c r="BF1748" s="3" t="s">
        <v>17341</v>
      </c>
      <c r="BG1748" s="3" t="s">
        <v>17343</v>
      </c>
    </row>
    <row r="1749" spans="1:59" ht="72.5" x14ac:dyDescent="0.35">
      <c r="A1749" s="2" t="s">
        <v>89</v>
      </c>
      <c r="B1749" s="2" t="s">
        <v>90</v>
      </c>
      <c r="C1749" s="2" t="s">
        <v>17344</v>
      </c>
      <c r="D1749" s="2" t="s">
        <v>17345</v>
      </c>
      <c r="E1749" s="2" t="s">
        <v>17346</v>
      </c>
      <c r="G1749" s="3" t="s">
        <v>62</v>
      </c>
      <c r="I1749" s="3" t="s">
        <v>62</v>
      </c>
      <c r="J1749" s="3" t="s">
        <v>62</v>
      </c>
      <c r="K1749" s="3" t="s">
        <v>63</v>
      </c>
      <c r="M1749" s="2" t="s">
        <v>17347</v>
      </c>
      <c r="N1749" s="3" t="s">
        <v>625</v>
      </c>
      <c r="P1749" s="3" t="s">
        <v>64</v>
      </c>
      <c r="Q1749" s="2" t="s">
        <v>17348</v>
      </c>
      <c r="R1749" s="3" t="s">
        <v>13065</v>
      </c>
      <c r="S1749" s="4">
        <v>8</v>
      </c>
      <c r="T1749" s="4">
        <v>8</v>
      </c>
      <c r="U1749" s="5" t="s">
        <v>17349</v>
      </c>
      <c r="V1749" s="5" t="s">
        <v>17349</v>
      </c>
      <c r="W1749" s="5" t="s">
        <v>67</v>
      </c>
      <c r="X1749" s="5" t="s">
        <v>67</v>
      </c>
      <c r="Y1749" s="4">
        <v>134</v>
      </c>
      <c r="Z1749" s="4">
        <v>15</v>
      </c>
      <c r="AA1749" s="4">
        <v>15</v>
      </c>
      <c r="AB1749" s="4">
        <v>1</v>
      </c>
      <c r="AC1749" s="4">
        <v>1</v>
      </c>
      <c r="AD1749" s="4">
        <v>44</v>
      </c>
      <c r="AE1749" s="4">
        <v>44</v>
      </c>
      <c r="AF1749" s="4">
        <v>0</v>
      </c>
      <c r="AG1749" s="4">
        <v>0</v>
      </c>
      <c r="AH1749" s="4">
        <v>37</v>
      </c>
      <c r="AI1749" s="4">
        <v>37</v>
      </c>
      <c r="AJ1749" s="4">
        <v>8</v>
      </c>
      <c r="AK1749" s="4">
        <v>8</v>
      </c>
      <c r="AL1749" s="4">
        <v>21</v>
      </c>
      <c r="AM1749" s="4">
        <v>21</v>
      </c>
      <c r="AN1749" s="4">
        <v>0</v>
      </c>
      <c r="AO1749" s="4">
        <v>0</v>
      </c>
      <c r="AP1749" s="4">
        <v>11</v>
      </c>
      <c r="AQ1749" s="4">
        <v>11</v>
      </c>
      <c r="AR1749" s="3" t="s">
        <v>62</v>
      </c>
      <c r="AS1749" s="3" t="s">
        <v>62</v>
      </c>
      <c r="AT1749" s="3" t="s">
        <v>61</v>
      </c>
      <c r="AU1749" s="6" t="str">
        <f>HYPERLINK("http://catalog.hathitrust.org/Record/004927651","HathiTrust Record")</f>
        <v>HathiTrust Record</v>
      </c>
      <c r="AV1749" s="6" t="str">
        <f>HYPERLINK("http://mcgill.on.worldcat.org/oclc/52943073","Catalog Record")</f>
        <v>Catalog Record</v>
      </c>
      <c r="AW1749" s="6" t="str">
        <f>HYPERLINK("http://www.worldcat.org/oclc/52943073","WorldCat Record")</f>
        <v>WorldCat Record</v>
      </c>
      <c r="AX1749" s="3" t="s">
        <v>17350</v>
      </c>
      <c r="AY1749" s="3" t="s">
        <v>17351</v>
      </c>
      <c r="AZ1749" s="3" t="s">
        <v>17352</v>
      </c>
      <c r="BA1749" s="3" t="s">
        <v>17352</v>
      </c>
      <c r="BB1749" s="3" t="s">
        <v>17353</v>
      </c>
      <c r="BC1749" s="3" t="s">
        <v>102</v>
      </c>
      <c r="BD1749" s="3" t="s">
        <v>68</v>
      </c>
      <c r="BE1749" s="3" t="s">
        <v>17354</v>
      </c>
      <c r="BF1749" s="3" t="s">
        <v>17353</v>
      </c>
      <c r="BG1749" s="3" t="s">
        <v>17355</v>
      </c>
    </row>
    <row r="1750" spans="1:59" ht="72.5" x14ac:dyDescent="0.35">
      <c r="A1750" s="2" t="s">
        <v>89</v>
      </c>
      <c r="B1750" s="2" t="s">
        <v>90</v>
      </c>
      <c r="C1750" s="2" t="s">
        <v>17356</v>
      </c>
      <c r="D1750" s="2" t="s">
        <v>17357</v>
      </c>
      <c r="E1750" s="2" t="s">
        <v>17358</v>
      </c>
      <c r="G1750" s="3" t="s">
        <v>62</v>
      </c>
      <c r="I1750" s="3" t="s">
        <v>62</v>
      </c>
      <c r="J1750" s="3" t="s">
        <v>62</v>
      </c>
      <c r="K1750" s="3" t="s">
        <v>63</v>
      </c>
      <c r="L1750" s="2" t="s">
        <v>17359</v>
      </c>
      <c r="M1750" s="2" t="s">
        <v>17360</v>
      </c>
      <c r="N1750" s="3" t="s">
        <v>684</v>
      </c>
      <c r="O1750" s="2" t="s">
        <v>2163</v>
      </c>
      <c r="P1750" s="3" t="s">
        <v>64</v>
      </c>
      <c r="R1750" s="3" t="s">
        <v>13065</v>
      </c>
      <c r="S1750" s="4">
        <v>6</v>
      </c>
      <c r="T1750" s="4">
        <v>6</v>
      </c>
      <c r="U1750" s="5" t="s">
        <v>17361</v>
      </c>
      <c r="V1750" s="5" t="s">
        <v>17361</v>
      </c>
      <c r="W1750" s="5" t="s">
        <v>67</v>
      </c>
      <c r="X1750" s="5" t="s">
        <v>67</v>
      </c>
      <c r="Y1750" s="4">
        <v>215</v>
      </c>
      <c r="Z1750" s="4">
        <v>15</v>
      </c>
      <c r="AA1750" s="4">
        <v>24</v>
      </c>
      <c r="AB1750" s="4">
        <v>2</v>
      </c>
      <c r="AC1750" s="4">
        <v>5</v>
      </c>
      <c r="AD1750" s="4">
        <v>34</v>
      </c>
      <c r="AE1750" s="4">
        <v>41</v>
      </c>
      <c r="AF1750" s="4">
        <v>1</v>
      </c>
      <c r="AG1750" s="4">
        <v>2</v>
      </c>
      <c r="AH1750" s="4">
        <v>27</v>
      </c>
      <c r="AI1750" s="4">
        <v>31</v>
      </c>
      <c r="AJ1750" s="4">
        <v>6</v>
      </c>
      <c r="AK1750" s="4">
        <v>9</v>
      </c>
      <c r="AL1750" s="4">
        <v>14</v>
      </c>
      <c r="AM1750" s="4">
        <v>16</v>
      </c>
      <c r="AN1750" s="4">
        <v>0</v>
      </c>
      <c r="AO1750" s="4">
        <v>0</v>
      </c>
      <c r="AP1750" s="4">
        <v>8</v>
      </c>
      <c r="AQ1750" s="4">
        <v>11</v>
      </c>
      <c r="AR1750" s="3" t="s">
        <v>62</v>
      </c>
      <c r="AS1750" s="3" t="s">
        <v>62</v>
      </c>
      <c r="AT1750" s="3" t="s">
        <v>62</v>
      </c>
      <c r="AV1750" s="6" t="str">
        <f>HYPERLINK("http://mcgill.on.worldcat.org/oclc/711045699","Catalog Record")</f>
        <v>Catalog Record</v>
      </c>
      <c r="AW1750" s="6" t="str">
        <f>HYPERLINK("http://www.worldcat.org/oclc/711045699","WorldCat Record")</f>
        <v>WorldCat Record</v>
      </c>
      <c r="AX1750" s="3" t="s">
        <v>17362</v>
      </c>
      <c r="AY1750" s="3" t="s">
        <v>17363</v>
      </c>
      <c r="AZ1750" s="3" t="s">
        <v>17364</v>
      </c>
      <c r="BA1750" s="3" t="s">
        <v>17364</v>
      </c>
      <c r="BB1750" s="3" t="s">
        <v>17365</v>
      </c>
      <c r="BC1750" s="3" t="s">
        <v>102</v>
      </c>
      <c r="BD1750" s="3" t="s">
        <v>68</v>
      </c>
      <c r="BE1750" s="3" t="s">
        <v>17366</v>
      </c>
      <c r="BF1750" s="3" t="s">
        <v>17365</v>
      </c>
      <c r="BG1750" s="3" t="s">
        <v>17367</v>
      </c>
    </row>
    <row r="1751" spans="1:59" ht="72.5" x14ac:dyDescent="0.35">
      <c r="A1751" s="2" t="s">
        <v>89</v>
      </c>
      <c r="B1751" s="2" t="s">
        <v>90</v>
      </c>
      <c r="C1751" s="2" t="s">
        <v>17368</v>
      </c>
      <c r="D1751" s="2" t="s">
        <v>17369</v>
      </c>
      <c r="E1751" s="2" t="s">
        <v>17370</v>
      </c>
      <c r="G1751" s="3" t="s">
        <v>62</v>
      </c>
      <c r="I1751" s="3" t="s">
        <v>62</v>
      </c>
      <c r="J1751" s="3" t="s">
        <v>62</v>
      </c>
      <c r="K1751" s="3" t="s">
        <v>63</v>
      </c>
      <c r="L1751" s="2" t="s">
        <v>17371</v>
      </c>
      <c r="M1751" s="2" t="s">
        <v>17372</v>
      </c>
      <c r="N1751" s="3" t="s">
        <v>684</v>
      </c>
      <c r="O1751" s="2" t="s">
        <v>2163</v>
      </c>
      <c r="P1751" s="3" t="s">
        <v>64</v>
      </c>
      <c r="R1751" s="3" t="s">
        <v>13065</v>
      </c>
      <c r="S1751" s="4">
        <v>0</v>
      </c>
      <c r="T1751" s="4">
        <v>0</v>
      </c>
      <c r="W1751" s="5" t="s">
        <v>67</v>
      </c>
      <c r="X1751" s="5" t="s">
        <v>67</v>
      </c>
      <c r="Y1751" s="4">
        <v>68</v>
      </c>
      <c r="Z1751" s="4">
        <v>1</v>
      </c>
      <c r="AA1751" s="4">
        <v>47</v>
      </c>
      <c r="AB1751" s="4">
        <v>1</v>
      </c>
      <c r="AC1751" s="4">
        <v>6</v>
      </c>
      <c r="AD1751" s="4">
        <v>2</v>
      </c>
      <c r="AE1751" s="4">
        <v>73</v>
      </c>
      <c r="AF1751" s="4">
        <v>0</v>
      </c>
      <c r="AG1751" s="4">
        <v>1</v>
      </c>
      <c r="AH1751" s="4">
        <v>2</v>
      </c>
      <c r="AI1751" s="4">
        <v>66</v>
      </c>
      <c r="AJ1751" s="4">
        <v>0</v>
      </c>
      <c r="AK1751" s="4">
        <v>8</v>
      </c>
      <c r="AL1751" s="4">
        <v>1</v>
      </c>
      <c r="AM1751" s="4">
        <v>38</v>
      </c>
      <c r="AN1751" s="4">
        <v>0</v>
      </c>
      <c r="AO1751" s="4">
        <v>0</v>
      </c>
      <c r="AP1751" s="4">
        <v>0</v>
      </c>
      <c r="AQ1751" s="4">
        <v>10</v>
      </c>
      <c r="AR1751" s="3" t="s">
        <v>62</v>
      </c>
      <c r="AS1751" s="3" t="s">
        <v>62</v>
      </c>
      <c r="AT1751" s="3" t="s">
        <v>62</v>
      </c>
      <c r="AV1751" s="6" t="str">
        <f>HYPERLINK("http://mcgill.on.worldcat.org/oclc/811855495","Catalog Record")</f>
        <v>Catalog Record</v>
      </c>
      <c r="AW1751" s="6" t="str">
        <f>HYPERLINK("http://www.worldcat.org/oclc/811855495","WorldCat Record")</f>
        <v>WorldCat Record</v>
      </c>
      <c r="AX1751" s="3" t="s">
        <v>17373</v>
      </c>
      <c r="AY1751" s="3" t="s">
        <v>17374</v>
      </c>
      <c r="AZ1751" s="3" t="s">
        <v>17375</v>
      </c>
      <c r="BA1751" s="3" t="s">
        <v>17375</v>
      </c>
      <c r="BB1751" s="3" t="s">
        <v>17376</v>
      </c>
      <c r="BC1751" s="3" t="s">
        <v>102</v>
      </c>
      <c r="BD1751" s="3" t="s">
        <v>68</v>
      </c>
      <c r="BE1751" s="3" t="s">
        <v>17377</v>
      </c>
      <c r="BF1751" s="3" t="s">
        <v>17376</v>
      </c>
      <c r="BG1751" s="3" t="s">
        <v>17378</v>
      </c>
    </row>
    <row r="1752" spans="1:59" ht="58" x14ac:dyDescent="0.35">
      <c r="A1752" s="2" t="s">
        <v>89</v>
      </c>
      <c r="B1752" s="2" t="s">
        <v>90</v>
      </c>
      <c r="C1752" s="2" t="s">
        <v>17379</v>
      </c>
      <c r="D1752" s="2" t="s">
        <v>17380</v>
      </c>
      <c r="E1752" s="2" t="s">
        <v>17381</v>
      </c>
      <c r="G1752" s="3" t="s">
        <v>62</v>
      </c>
      <c r="I1752" s="3" t="s">
        <v>62</v>
      </c>
      <c r="J1752" s="3" t="s">
        <v>62</v>
      </c>
      <c r="K1752" s="3" t="s">
        <v>63</v>
      </c>
      <c r="L1752" s="2" t="s">
        <v>17382</v>
      </c>
      <c r="M1752" s="2" t="s">
        <v>17383</v>
      </c>
      <c r="N1752" s="3" t="s">
        <v>1455</v>
      </c>
      <c r="P1752" s="3" t="s">
        <v>64</v>
      </c>
      <c r="R1752" s="3" t="s">
        <v>13065</v>
      </c>
      <c r="S1752" s="4">
        <v>0</v>
      </c>
      <c r="T1752" s="4">
        <v>0</v>
      </c>
      <c r="W1752" s="5" t="s">
        <v>67</v>
      </c>
      <c r="X1752" s="5" t="s">
        <v>67</v>
      </c>
      <c r="Y1752" s="4">
        <v>49</v>
      </c>
      <c r="Z1752" s="4">
        <v>3</v>
      </c>
      <c r="AA1752" s="4">
        <v>19</v>
      </c>
      <c r="AB1752" s="4">
        <v>1</v>
      </c>
      <c r="AC1752" s="4">
        <v>6</v>
      </c>
      <c r="AD1752" s="4">
        <v>12</v>
      </c>
      <c r="AE1752" s="4">
        <v>38</v>
      </c>
      <c r="AF1752" s="4">
        <v>0</v>
      </c>
      <c r="AG1752" s="4">
        <v>3</v>
      </c>
      <c r="AH1752" s="4">
        <v>10</v>
      </c>
      <c r="AI1752" s="4">
        <v>29</v>
      </c>
      <c r="AJ1752" s="4">
        <v>1</v>
      </c>
      <c r="AK1752" s="4">
        <v>8</v>
      </c>
      <c r="AL1752" s="4">
        <v>5</v>
      </c>
      <c r="AM1752" s="4">
        <v>14</v>
      </c>
      <c r="AN1752" s="4">
        <v>0</v>
      </c>
      <c r="AO1752" s="4">
        <v>0</v>
      </c>
      <c r="AP1752" s="4">
        <v>2</v>
      </c>
      <c r="AQ1752" s="4">
        <v>11</v>
      </c>
      <c r="AR1752" s="3" t="s">
        <v>62</v>
      </c>
      <c r="AS1752" s="3" t="s">
        <v>62</v>
      </c>
      <c r="AT1752" s="3" t="s">
        <v>62</v>
      </c>
      <c r="AV1752" s="6" t="str">
        <f>HYPERLINK("http://mcgill.on.worldcat.org/oclc/884665068","Catalog Record")</f>
        <v>Catalog Record</v>
      </c>
      <c r="AW1752" s="6" t="str">
        <f>HYPERLINK("http://www.worldcat.org/oclc/884665068","WorldCat Record")</f>
        <v>WorldCat Record</v>
      </c>
      <c r="AX1752" s="3" t="s">
        <v>17384</v>
      </c>
      <c r="AY1752" s="3" t="s">
        <v>17385</v>
      </c>
      <c r="AZ1752" s="3" t="s">
        <v>17386</v>
      </c>
      <c r="BA1752" s="3" t="s">
        <v>17386</v>
      </c>
      <c r="BB1752" s="3" t="s">
        <v>17387</v>
      </c>
      <c r="BC1752" s="3" t="s">
        <v>102</v>
      </c>
      <c r="BD1752" s="3" t="s">
        <v>68</v>
      </c>
      <c r="BE1752" s="3" t="s">
        <v>17388</v>
      </c>
      <c r="BF1752" s="3" t="s">
        <v>17387</v>
      </c>
      <c r="BG1752" s="3" t="s">
        <v>17389</v>
      </c>
    </row>
    <row r="1753" spans="1:59" ht="58" x14ac:dyDescent="0.35">
      <c r="A1753" s="2" t="s">
        <v>89</v>
      </c>
      <c r="B1753" s="2" t="s">
        <v>90</v>
      </c>
      <c r="C1753" s="2" t="s">
        <v>17390</v>
      </c>
      <c r="D1753" s="2" t="s">
        <v>17391</v>
      </c>
      <c r="E1753" s="2" t="s">
        <v>17392</v>
      </c>
      <c r="G1753" s="3" t="s">
        <v>62</v>
      </c>
      <c r="I1753" s="3" t="s">
        <v>62</v>
      </c>
      <c r="J1753" s="3" t="s">
        <v>62</v>
      </c>
      <c r="K1753" s="3" t="s">
        <v>63</v>
      </c>
      <c r="L1753" s="2" t="s">
        <v>17393</v>
      </c>
      <c r="M1753" s="2" t="s">
        <v>14984</v>
      </c>
      <c r="N1753" s="3" t="s">
        <v>438</v>
      </c>
      <c r="P1753" s="3" t="s">
        <v>64</v>
      </c>
      <c r="R1753" s="3" t="s">
        <v>13065</v>
      </c>
      <c r="S1753" s="4">
        <v>6</v>
      </c>
      <c r="T1753" s="4">
        <v>6</v>
      </c>
      <c r="U1753" s="5" t="s">
        <v>10619</v>
      </c>
      <c r="V1753" s="5" t="s">
        <v>10619</v>
      </c>
      <c r="W1753" s="5" t="s">
        <v>67</v>
      </c>
      <c r="X1753" s="5" t="s">
        <v>67</v>
      </c>
      <c r="Y1753" s="4">
        <v>103</v>
      </c>
      <c r="Z1753" s="4">
        <v>10</v>
      </c>
      <c r="AA1753" s="4">
        <v>10</v>
      </c>
      <c r="AB1753" s="4">
        <v>1</v>
      </c>
      <c r="AC1753" s="4">
        <v>1</v>
      </c>
      <c r="AD1753" s="4">
        <v>33</v>
      </c>
      <c r="AE1753" s="4">
        <v>33</v>
      </c>
      <c r="AF1753" s="4">
        <v>0</v>
      </c>
      <c r="AG1753" s="4">
        <v>0</v>
      </c>
      <c r="AH1753" s="4">
        <v>30</v>
      </c>
      <c r="AI1753" s="4">
        <v>30</v>
      </c>
      <c r="AJ1753" s="4">
        <v>6</v>
      </c>
      <c r="AK1753" s="4">
        <v>6</v>
      </c>
      <c r="AL1753" s="4">
        <v>14</v>
      </c>
      <c r="AM1753" s="4">
        <v>14</v>
      </c>
      <c r="AN1753" s="4">
        <v>0</v>
      </c>
      <c r="AO1753" s="4">
        <v>0</v>
      </c>
      <c r="AP1753" s="4">
        <v>6</v>
      </c>
      <c r="AQ1753" s="4">
        <v>6</v>
      </c>
      <c r="AR1753" s="3" t="s">
        <v>62</v>
      </c>
      <c r="AS1753" s="3" t="s">
        <v>62</v>
      </c>
      <c r="AT1753" s="3" t="s">
        <v>61</v>
      </c>
      <c r="AU1753" s="6" t="str">
        <f>HYPERLINK("http://catalog.hathitrust.org/Record/007901983","HathiTrust Record")</f>
        <v>HathiTrust Record</v>
      </c>
      <c r="AV1753" s="6" t="str">
        <f>HYPERLINK("http://mcgill.on.worldcat.org/oclc/20489145","Catalog Record")</f>
        <v>Catalog Record</v>
      </c>
      <c r="AW1753" s="6" t="str">
        <f>HYPERLINK("http://www.worldcat.org/oclc/20489145","WorldCat Record")</f>
        <v>WorldCat Record</v>
      </c>
      <c r="AX1753" s="3" t="s">
        <v>17394</v>
      </c>
      <c r="AY1753" s="3" t="s">
        <v>17395</v>
      </c>
      <c r="AZ1753" s="3" t="s">
        <v>17396</v>
      </c>
      <c r="BA1753" s="3" t="s">
        <v>17396</v>
      </c>
      <c r="BB1753" s="3" t="s">
        <v>17397</v>
      </c>
      <c r="BC1753" s="3" t="s">
        <v>102</v>
      </c>
      <c r="BD1753" s="3" t="s">
        <v>68</v>
      </c>
      <c r="BE1753" s="3" t="s">
        <v>17398</v>
      </c>
      <c r="BF1753" s="3" t="s">
        <v>17397</v>
      </c>
      <c r="BG1753" s="3" t="s">
        <v>17399</v>
      </c>
    </row>
    <row r="1754" spans="1:59" ht="58" x14ac:dyDescent="0.35">
      <c r="A1754" s="2" t="s">
        <v>89</v>
      </c>
      <c r="B1754" s="2" t="s">
        <v>90</v>
      </c>
      <c r="C1754" s="2" t="s">
        <v>17400</v>
      </c>
      <c r="D1754" s="2" t="s">
        <v>17401</v>
      </c>
      <c r="E1754" s="2" t="s">
        <v>17402</v>
      </c>
      <c r="G1754" s="3" t="s">
        <v>62</v>
      </c>
      <c r="I1754" s="3" t="s">
        <v>62</v>
      </c>
      <c r="J1754" s="3" t="s">
        <v>62</v>
      </c>
      <c r="K1754" s="3" t="s">
        <v>63</v>
      </c>
      <c r="M1754" s="2" t="s">
        <v>17403</v>
      </c>
      <c r="N1754" s="3" t="s">
        <v>438</v>
      </c>
      <c r="P1754" s="3" t="s">
        <v>64</v>
      </c>
      <c r="Q1754" s="2" t="s">
        <v>17404</v>
      </c>
      <c r="R1754" s="3" t="s">
        <v>13065</v>
      </c>
      <c r="S1754" s="4">
        <v>3</v>
      </c>
      <c r="T1754" s="4">
        <v>3</v>
      </c>
      <c r="U1754" s="5" t="s">
        <v>7311</v>
      </c>
      <c r="V1754" s="5" t="s">
        <v>7311</v>
      </c>
      <c r="W1754" s="5" t="s">
        <v>67</v>
      </c>
      <c r="X1754" s="5" t="s">
        <v>67</v>
      </c>
      <c r="Y1754" s="4">
        <v>6</v>
      </c>
      <c r="Z1754" s="4">
        <v>2</v>
      </c>
      <c r="AA1754" s="4">
        <v>2</v>
      </c>
      <c r="AB1754" s="4">
        <v>1</v>
      </c>
      <c r="AC1754" s="4">
        <v>1</v>
      </c>
      <c r="AD1754" s="4">
        <v>2</v>
      </c>
      <c r="AE1754" s="4">
        <v>2</v>
      </c>
      <c r="AF1754" s="4">
        <v>0</v>
      </c>
      <c r="AG1754" s="4">
        <v>0</v>
      </c>
      <c r="AH1754" s="4">
        <v>1</v>
      </c>
      <c r="AI1754" s="4">
        <v>1</v>
      </c>
      <c r="AJ1754" s="4">
        <v>1</v>
      </c>
      <c r="AK1754" s="4">
        <v>1</v>
      </c>
      <c r="AL1754" s="4">
        <v>1</v>
      </c>
      <c r="AM1754" s="4">
        <v>1</v>
      </c>
      <c r="AN1754" s="4">
        <v>0</v>
      </c>
      <c r="AO1754" s="4">
        <v>0</v>
      </c>
      <c r="AP1754" s="4">
        <v>0</v>
      </c>
      <c r="AQ1754" s="4">
        <v>0</v>
      </c>
      <c r="AR1754" s="3" t="s">
        <v>62</v>
      </c>
      <c r="AS1754" s="3" t="s">
        <v>62</v>
      </c>
      <c r="AT1754" s="3" t="s">
        <v>62</v>
      </c>
      <c r="AV1754" s="6" t="str">
        <f>HYPERLINK("http://mcgill.on.worldcat.org/oclc/27042489","Catalog Record")</f>
        <v>Catalog Record</v>
      </c>
      <c r="AW1754" s="6" t="str">
        <f>HYPERLINK("http://www.worldcat.org/oclc/27042489","WorldCat Record")</f>
        <v>WorldCat Record</v>
      </c>
      <c r="AX1754" s="3" t="s">
        <v>17405</v>
      </c>
      <c r="AY1754" s="3" t="s">
        <v>17406</v>
      </c>
      <c r="AZ1754" s="3" t="s">
        <v>17407</v>
      </c>
      <c r="BA1754" s="3" t="s">
        <v>17407</v>
      </c>
      <c r="BB1754" s="3" t="s">
        <v>17408</v>
      </c>
      <c r="BC1754" s="3" t="s">
        <v>102</v>
      </c>
      <c r="BD1754" s="3" t="s">
        <v>68</v>
      </c>
      <c r="BF1754" s="3" t="s">
        <v>17408</v>
      </c>
      <c r="BG1754" s="3" t="s">
        <v>17409</v>
      </c>
    </row>
    <row r="1755" spans="1:59" ht="58" x14ac:dyDescent="0.35">
      <c r="A1755" s="2" t="s">
        <v>89</v>
      </c>
      <c r="B1755" s="2" t="s">
        <v>90</v>
      </c>
      <c r="C1755" s="2" t="s">
        <v>17410</v>
      </c>
      <c r="D1755" s="2" t="s">
        <v>17411</v>
      </c>
      <c r="E1755" s="2" t="s">
        <v>17412</v>
      </c>
      <c r="G1755" s="3" t="s">
        <v>62</v>
      </c>
      <c r="I1755" s="3" t="s">
        <v>62</v>
      </c>
      <c r="J1755" s="3" t="s">
        <v>62</v>
      </c>
      <c r="K1755" s="3" t="s">
        <v>63</v>
      </c>
      <c r="L1755" s="2" t="s">
        <v>17413</v>
      </c>
      <c r="M1755" s="2" t="s">
        <v>17414</v>
      </c>
      <c r="N1755" s="3" t="s">
        <v>880</v>
      </c>
      <c r="P1755" s="3" t="s">
        <v>64</v>
      </c>
      <c r="Q1755" s="2" t="s">
        <v>17415</v>
      </c>
      <c r="R1755" s="3" t="s">
        <v>13065</v>
      </c>
      <c r="S1755" s="4">
        <v>0</v>
      </c>
      <c r="T1755" s="4">
        <v>0</v>
      </c>
      <c r="W1755" s="5" t="s">
        <v>67</v>
      </c>
      <c r="X1755" s="5" t="s">
        <v>67</v>
      </c>
      <c r="Y1755" s="4">
        <v>50</v>
      </c>
      <c r="Z1755" s="4">
        <v>5</v>
      </c>
      <c r="AA1755" s="4">
        <v>100</v>
      </c>
      <c r="AB1755" s="4">
        <v>1</v>
      </c>
      <c r="AC1755" s="4">
        <v>17</v>
      </c>
      <c r="AD1755" s="4">
        <v>21</v>
      </c>
      <c r="AE1755" s="4">
        <v>104</v>
      </c>
      <c r="AF1755" s="4">
        <v>0</v>
      </c>
      <c r="AG1755" s="4">
        <v>8</v>
      </c>
      <c r="AH1755" s="4">
        <v>19</v>
      </c>
      <c r="AI1755" s="4">
        <v>67</v>
      </c>
      <c r="AJ1755" s="4">
        <v>3</v>
      </c>
      <c r="AK1755" s="4">
        <v>18</v>
      </c>
      <c r="AL1755" s="4">
        <v>11</v>
      </c>
      <c r="AM1755" s="4">
        <v>33</v>
      </c>
      <c r="AN1755" s="4">
        <v>0</v>
      </c>
      <c r="AO1755" s="4">
        <v>0</v>
      </c>
      <c r="AP1755" s="4">
        <v>4</v>
      </c>
      <c r="AQ1755" s="4">
        <v>41</v>
      </c>
      <c r="AR1755" s="3" t="s">
        <v>62</v>
      </c>
      <c r="AS1755" s="3" t="s">
        <v>62</v>
      </c>
      <c r="AT1755" s="3" t="s">
        <v>62</v>
      </c>
      <c r="AV1755" s="6" t="str">
        <f>HYPERLINK("http://mcgill.on.worldcat.org/oclc/669738864","Catalog Record")</f>
        <v>Catalog Record</v>
      </c>
      <c r="AW1755" s="6" t="str">
        <f>HYPERLINK("http://www.worldcat.org/oclc/669738864","WorldCat Record")</f>
        <v>WorldCat Record</v>
      </c>
      <c r="AX1755" s="3" t="s">
        <v>17416</v>
      </c>
      <c r="AY1755" s="3" t="s">
        <v>17417</v>
      </c>
      <c r="AZ1755" s="3" t="s">
        <v>17418</v>
      </c>
      <c r="BA1755" s="3" t="s">
        <v>17418</v>
      </c>
      <c r="BB1755" s="3" t="s">
        <v>17419</v>
      </c>
      <c r="BC1755" s="3" t="s">
        <v>102</v>
      </c>
      <c r="BD1755" s="3" t="s">
        <v>68</v>
      </c>
      <c r="BE1755" s="3" t="s">
        <v>17420</v>
      </c>
      <c r="BF1755" s="3" t="s">
        <v>17419</v>
      </c>
      <c r="BG1755" s="3" t="s">
        <v>17421</v>
      </c>
    </row>
    <row r="1756" spans="1:59" ht="72.5" x14ac:dyDescent="0.35">
      <c r="A1756" s="2" t="s">
        <v>89</v>
      </c>
      <c r="B1756" s="2" t="s">
        <v>90</v>
      </c>
      <c r="C1756" s="2" t="s">
        <v>17422</v>
      </c>
      <c r="D1756" s="2" t="s">
        <v>17423</v>
      </c>
      <c r="E1756" s="2" t="s">
        <v>17424</v>
      </c>
      <c r="G1756" s="3" t="s">
        <v>62</v>
      </c>
      <c r="I1756" s="3" t="s">
        <v>61</v>
      </c>
      <c r="J1756" s="3" t="s">
        <v>62</v>
      </c>
      <c r="K1756" s="3" t="s">
        <v>63</v>
      </c>
      <c r="L1756" s="2" t="s">
        <v>17425</v>
      </c>
      <c r="M1756" s="2" t="s">
        <v>17426</v>
      </c>
      <c r="N1756" s="3" t="s">
        <v>655</v>
      </c>
      <c r="O1756" s="2" t="s">
        <v>17427</v>
      </c>
      <c r="P1756" s="3" t="s">
        <v>64</v>
      </c>
      <c r="Q1756" s="2" t="s">
        <v>17428</v>
      </c>
      <c r="R1756" s="3" t="s">
        <v>13065</v>
      </c>
      <c r="S1756" s="4">
        <v>2</v>
      </c>
      <c r="T1756" s="4">
        <v>48</v>
      </c>
      <c r="U1756" s="5" t="s">
        <v>17429</v>
      </c>
      <c r="V1756" s="5" t="s">
        <v>17128</v>
      </c>
      <c r="W1756" s="5" t="s">
        <v>67</v>
      </c>
      <c r="X1756" s="5" t="s">
        <v>67</v>
      </c>
      <c r="Y1756" s="4">
        <v>678</v>
      </c>
      <c r="Z1756" s="4">
        <v>33</v>
      </c>
      <c r="AA1756" s="4">
        <v>43</v>
      </c>
      <c r="AB1756" s="4">
        <v>4</v>
      </c>
      <c r="AC1756" s="4">
        <v>6</v>
      </c>
      <c r="AD1756" s="4">
        <v>44</v>
      </c>
      <c r="AE1756" s="4">
        <v>66</v>
      </c>
      <c r="AF1756" s="4">
        <v>1</v>
      </c>
      <c r="AG1756" s="4">
        <v>2</v>
      </c>
      <c r="AH1756" s="4">
        <v>37</v>
      </c>
      <c r="AI1756" s="4">
        <v>54</v>
      </c>
      <c r="AJ1756" s="4">
        <v>1</v>
      </c>
      <c r="AK1756" s="4">
        <v>7</v>
      </c>
      <c r="AL1756" s="4">
        <v>21</v>
      </c>
      <c r="AM1756" s="4">
        <v>29</v>
      </c>
      <c r="AN1756" s="4">
        <v>0</v>
      </c>
      <c r="AO1756" s="4">
        <v>0</v>
      </c>
      <c r="AP1756" s="4">
        <v>5</v>
      </c>
      <c r="AQ1756" s="4">
        <v>11</v>
      </c>
      <c r="AR1756" s="3" t="s">
        <v>62</v>
      </c>
      <c r="AS1756" s="3" t="s">
        <v>62</v>
      </c>
      <c r="AT1756" s="3" t="s">
        <v>62</v>
      </c>
      <c r="AV1756" s="6" t="str">
        <f>HYPERLINK("http://mcgill.on.worldcat.org/oclc/71252517","Catalog Record")</f>
        <v>Catalog Record</v>
      </c>
      <c r="AW1756" s="6" t="str">
        <f>HYPERLINK("http://www.worldcat.org/oclc/71252517","WorldCat Record")</f>
        <v>WorldCat Record</v>
      </c>
      <c r="AX1756" s="3" t="s">
        <v>17430</v>
      </c>
      <c r="AY1756" s="3" t="s">
        <v>17431</v>
      </c>
      <c r="AZ1756" s="3" t="s">
        <v>17432</v>
      </c>
      <c r="BA1756" s="3" t="s">
        <v>17432</v>
      </c>
      <c r="BB1756" s="3" t="s">
        <v>17433</v>
      </c>
      <c r="BC1756" s="3" t="s">
        <v>102</v>
      </c>
      <c r="BD1756" s="3" t="s">
        <v>68</v>
      </c>
      <c r="BE1756" s="3" t="s">
        <v>17434</v>
      </c>
      <c r="BF1756" s="3" t="s">
        <v>17433</v>
      </c>
      <c r="BG1756" s="3" t="s">
        <v>17435</v>
      </c>
    </row>
    <row r="1757" spans="1:59" ht="72.5" x14ac:dyDescent="0.35">
      <c r="A1757" s="2" t="s">
        <v>89</v>
      </c>
      <c r="B1757" s="2" t="s">
        <v>90</v>
      </c>
      <c r="C1757" s="2" t="s">
        <v>17422</v>
      </c>
      <c r="D1757" s="2" t="s">
        <v>17423</v>
      </c>
      <c r="E1757" s="2" t="s">
        <v>17424</v>
      </c>
      <c r="G1757" s="3" t="s">
        <v>62</v>
      </c>
      <c r="I1757" s="3" t="s">
        <v>61</v>
      </c>
      <c r="J1757" s="3" t="s">
        <v>62</v>
      </c>
      <c r="K1757" s="3" t="s">
        <v>63</v>
      </c>
      <c r="L1757" s="2" t="s">
        <v>17425</v>
      </c>
      <c r="M1757" s="2" t="s">
        <v>17426</v>
      </c>
      <c r="N1757" s="3" t="s">
        <v>655</v>
      </c>
      <c r="O1757" s="2" t="s">
        <v>17427</v>
      </c>
      <c r="P1757" s="3" t="s">
        <v>64</v>
      </c>
      <c r="Q1757" s="2" t="s">
        <v>17428</v>
      </c>
      <c r="R1757" s="3" t="s">
        <v>13065</v>
      </c>
      <c r="S1757" s="4">
        <v>5</v>
      </c>
      <c r="T1757" s="4">
        <v>48</v>
      </c>
      <c r="U1757" s="5" t="s">
        <v>6462</v>
      </c>
      <c r="V1757" s="5" t="s">
        <v>17128</v>
      </c>
      <c r="W1757" s="5" t="s">
        <v>67</v>
      </c>
      <c r="X1757" s="5" t="s">
        <v>67</v>
      </c>
      <c r="Y1757" s="4">
        <v>678</v>
      </c>
      <c r="Z1757" s="4">
        <v>33</v>
      </c>
      <c r="AA1757" s="4">
        <v>43</v>
      </c>
      <c r="AB1757" s="4">
        <v>4</v>
      </c>
      <c r="AC1757" s="4">
        <v>6</v>
      </c>
      <c r="AD1757" s="4">
        <v>44</v>
      </c>
      <c r="AE1757" s="4">
        <v>66</v>
      </c>
      <c r="AF1757" s="4">
        <v>1</v>
      </c>
      <c r="AG1757" s="4">
        <v>2</v>
      </c>
      <c r="AH1757" s="4">
        <v>37</v>
      </c>
      <c r="AI1757" s="4">
        <v>54</v>
      </c>
      <c r="AJ1757" s="4">
        <v>1</v>
      </c>
      <c r="AK1757" s="4">
        <v>7</v>
      </c>
      <c r="AL1757" s="4">
        <v>21</v>
      </c>
      <c r="AM1757" s="4">
        <v>29</v>
      </c>
      <c r="AN1757" s="4">
        <v>0</v>
      </c>
      <c r="AO1757" s="4">
        <v>0</v>
      </c>
      <c r="AP1757" s="4">
        <v>5</v>
      </c>
      <c r="AQ1757" s="4">
        <v>11</v>
      </c>
      <c r="AR1757" s="3" t="s">
        <v>62</v>
      </c>
      <c r="AS1757" s="3" t="s">
        <v>62</v>
      </c>
      <c r="AT1757" s="3" t="s">
        <v>62</v>
      </c>
      <c r="AV1757" s="6" t="str">
        <f>HYPERLINK("http://mcgill.on.worldcat.org/oclc/71252517","Catalog Record")</f>
        <v>Catalog Record</v>
      </c>
      <c r="AW1757" s="6" t="str">
        <f>HYPERLINK("http://www.worldcat.org/oclc/71252517","WorldCat Record")</f>
        <v>WorldCat Record</v>
      </c>
      <c r="AX1757" s="3" t="s">
        <v>17430</v>
      </c>
      <c r="AY1757" s="3" t="s">
        <v>17431</v>
      </c>
      <c r="AZ1757" s="3" t="s">
        <v>17432</v>
      </c>
      <c r="BA1757" s="3" t="s">
        <v>17432</v>
      </c>
      <c r="BB1757" s="3" t="s">
        <v>17436</v>
      </c>
      <c r="BC1757" s="3" t="s">
        <v>102</v>
      </c>
      <c r="BD1757" s="3" t="s">
        <v>68</v>
      </c>
      <c r="BE1757" s="3" t="s">
        <v>17434</v>
      </c>
      <c r="BF1757" s="3" t="s">
        <v>17436</v>
      </c>
      <c r="BG1757" s="3" t="s">
        <v>17437</v>
      </c>
    </row>
    <row r="1758" spans="1:59" ht="72.5" x14ac:dyDescent="0.35">
      <c r="A1758" s="2" t="s">
        <v>89</v>
      </c>
      <c r="B1758" s="2" t="s">
        <v>90</v>
      </c>
      <c r="C1758" s="2" t="s">
        <v>17422</v>
      </c>
      <c r="D1758" s="2" t="s">
        <v>17423</v>
      </c>
      <c r="E1758" s="2" t="s">
        <v>17424</v>
      </c>
      <c r="G1758" s="3" t="s">
        <v>62</v>
      </c>
      <c r="I1758" s="3" t="s">
        <v>61</v>
      </c>
      <c r="J1758" s="3" t="s">
        <v>62</v>
      </c>
      <c r="K1758" s="3" t="s">
        <v>63</v>
      </c>
      <c r="L1758" s="2" t="s">
        <v>17425</v>
      </c>
      <c r="M1758" s="2" t="s">
        <v>17426</v>
      </c>
      <c r="N1758" s="3" t="s">
        <v>655</v>
      </c>
      <c r="O1758" s="2" t="s">
        <v>17427</v>
      </c>
      <c r="P1758" s="3" t="s">
        <v>64</v>
      </c>
      <c r="Q1758" s="2" t="s">
        <v>17428</v>
      </c>
      <c r="R1758" s="3" t="s">
        <v>13065</v>
      </c>
      <c r="S1758" s="4">
        <v>11</v>
      </c>
      <c r="T1758" s="4">
        <v>48</v>
      </c>
      <c r="U1758" s="5" t="s">
        <v>17128</v>
      </c>
      <c r="V1758" s="5" t="s">
        <v>17128</v>
      </c>
      <c r="W1758" s="5" t="s">
        <v>67</v>
      </c>
      <c r="X1758" s="5" t="s">
        <v>67</v>
      </c>
      <c r="Y1758" s="4">
        <v>678</v>
      </c>
      <c r="Z1758" s="4">
        <v>33</v>
      </c>
      <c r="AA1758" s="4">
        <v>43</v>
      </c>
      <c r="AB1758" s="4">
        <v>4</v>
      </c>
      <c r="AC1758" s="4">
        <v>6</v>
      </c>
      <c r="AD1758" s="4">
        <v>44</v>
      </c>
      <c r="AE1758" s="4">
        <v>66</v>
      </c>
      <c r="AF1758" s="4">
        <v>1</v>
      </c>
      <c r="AG1758" s="4">
        <v>2</v>
      </c>
      <c r="AH1758" s="4">
        <v>37</v>
      </c>
      <c r="AI1758" s="4">
        <v>54</v>
      </c>
      <c r="AJ1758" s="4">
        <v>1</v>
      </c>
      <c r="AK1758" s="4">
        <v>7</v>
      </c>
      <c r="AL1758" s="4">
        <v>21</v>
      </c>
      <c r="AM1758" s="4">
        <v>29</v>
      </c>
      <c r="AN1758" s="4">
        <v>0</v>
      </c>
      <c r="AO1758" s="4">
        <v>0</v>
      </c>
      <c r="AP1758" s="4">
        <v>5</v>
      </c>
      <c r="AQ1758" s="4">
        <v>11</v>
      </c>
      <c r="AR1758" s="3" t="s">
        <v>62</v>
      </c>
      <c r="AS1758" s="3" t="s">
        <v>62</v>
      </c>
      <c r="AT1758" s="3" t="s">
        <v>62</v>
      </c>
      <c r="AV1758" s="6" t="str">
        <f>HYPERLINK("http://mcgill.on.worldcat.org/oclc/71252517","Catalog Record")</f>
        <v>Catalog Record</v>
      </c>
      <c r="AW1758" s="6" t="str">
        <f>HYPERLINK("http://www.worldcat.org/oclc/71252517","WorldCat Record")</f>
        <v>WorldCat Record</v>
      </c>
      <c r="AX1758" s="3" t="s">
        <v>17430</v>
      </c>
      <c r="AY1758" s="3" t="s">
        <v>17431</v>
      </c>
      <c r="AZ1758" s="3" t="s">
        <v>17432</v>
      </c>
      <c r="BA1758" s="3" t="s">
        <v>17432</v>
      </c>
      <c r="BB1758" s="3" t="s">
        <v>17438</v>
      </c>
      <c r="BC1758" s="3" t="s">
        <v>102</v>
      </c>
      <c r="BD1758" s="3" t="s">
        <v>68</v>
      </c>
      <c r="BE1758" s="3" t="s">
        <v>17434</v>
      </c>
      <c r="BF1758" s="3" t="s">
        <v>17438</v>
      </c>
      <c r="BG1758" s="3" t="s">
        <v>17439</v>
      </c>
    </row>
    <row r="1759" spans="1:59" ht="72.5" x14ac:dyDescent="0.35">
      <c r="A1759" s="2" t="s">
        <v>89</v>
      </c>
      <c r="B1759" s="2" t="s">
        <v>90</v>
      </c>
      <c r="C1759" s="2" t="s">
        <v>17422</v>
      </c>
      <c r="D1759" s="2" t="s">
        <v>17423</v>
      </c>
      <c r="E1759" s="2" t="s">
        <v>17424</v>
      </c>
      <c r="G1759" s="3" t="s">
        <v>62</v>
      </c>
      <c r="I1759" s="3" t="s">
        <v>61</v>
      </c>
      <c r="J1759" s="3" t="s">
        <v>62</v>
      </c>
      <c r="K1759" s="3" t="s">
        <v>63</v>
      </c>
      <c r="L1759" s="2" t="s">
        <v>17425</v>
      </c>
      <c r="M1759" s="2" t="s">
        <v>17426</v>
      </c>
      <c r="N1759" s="3" t="s">
        <v>655</v>
      </c>
      <c r="O1759" s="2" t="s">
        <v>17427</v>
      </c>
      <c r="P1759" s="3" t="s">
        <v>64</v>
      </c>
      <c r="Q1759" s="2" t="s">
        <v>17428</v>
      </c>
      <c r="R1759" s="3" t="s">
        <v>13065</v>
      </c>
      <c r="S1759" s="4">
        <v>30</v>
      </c>
      <c r="T1759" s="4">
        <v>48</v>
      </c>
      <c r="U1759" s="5" t="s">
        <v>15457</v>
      </c>
      <c r="V1759" s="5" t="s">
        <v>17128</v>
      </c>
      <c r="W1759" s="5" t="s">
        <v>67</v>
      </c>
      <c r="X1759" s="5" t="s">
        <v>67</v>
      </c>
      <c r="Y1759" s="4">
        <v>678</v>
      </c>
      <c r="Z1759" s="4">
        <v>33</v>
      </c>
      <c r="AA1759" s="4">
        <v>43</v>
      </c>
      <c r="AB1759" s="4">
        <v>4</v>
      </c>
      <c r="AC1759" s="4">
        <v>6</v>
      </c>
      <c r="AD1759" s="4">
        <v>44</v>
      </c>
      <c r="AE1759" s="4">
        <v>66</v>
      </c>
      <c r="AF1759" s="4">
        <v>1</v>
      </c>
      <c r="AG1759" s="4">
        <v>2</v>
      </c>
      <c r="AH1759" s="4">
        <v>37</v>
      </c>
      <c r="AI1759" s="4">
        <v>54</v>
      </c>
      <c r="AJ1759" s="4">
        <v>1</v>
      </c>
      <c r="AK1759" s="4">
        <v>7</v>
      </c>
      <c r="AL1759" s="4">
        <v>21</v>
      </c>
      <c r="AM1759" s="4">
        <v>29</v>
      </c>
      <c r="AN1759" s="4">
        <v>0</v>
      </c>
      <c r="AO1759" s="4">
        <v>0</v>
      </c>
      <c r="AP1759" s="4">
        <v>5</v>
      </c>
      <c r="AQ1759" s="4">
        <v>11</v>
      </c>
      <c r="AR1759" s="3" t="s">
        <v>62</v>
      </c>
      <c r="AS1759" s="3" t="s">
        <v>62</v>
      </c>
      <c r="AT1759" s="3" t="s">
        <v>62</v>
      </c>
      <c r="AV1759" s="6" t="str">
        <f>HYPERLINK("http://mcgill.on.worldcat.org/oclc/71252517","Catalog Record")</f>
        <v>Catalog Record</v>
      </c>
      <c r="AW1759" s="6" t="str">
        <f>HYPERLINK("http://www.worldcat.org/oclc/71252517","WorldCat Record")</f>
        <v>WorldCat Record</v>
      </c>
      <c r="AX1759" s="3" t="s">
        <v>17430</v>
      </c>
      <c r="AY1759" s="3" t="s">
        <v>17431</v>
      </c>
      <c r="AZ1759" s="3" t="s">
        <v>17432</v>
      </c>
      <c r="BA1759" s="3" t="s">
        <v>17432</v>
      </c>
      <c r="BB1759" s="3" t="s">
        <v>17440</v>
      </c>
      <c r="BC1759" s="3" t="s">
        <v>102</v>
      </c>
      <c r="BD1759" s="3" t="s">
        <v>68</v>
      </c>
      <c r="BE1759" s="3" t="s">
        <v>17434</v>
      </c>
      <c r="BF1759" s="3" t="s">
        <v>17440</v>
      </c>
      <c r="BG1759" s="3" t="s">
        <v>17441</v>
      </c>
    </row>
    <row r="1760" spans="1:59" ht="58" x14ac:dyDescent="0.35">
      <c r="A1760" s="2" t="s">
        <v>89</v>
      </c>
      <c r="B1760" s="2" t="s">
        <v>90</v>
      </c>
      <c r="C1760" s="2" t="s">
        <v>17442</v>
      </c>
      <c r="D1760" s="2" t="s">
        <v>17443</v>
      </c>
      <c r="E1760" s="2" t="s">
        <v>17444</v>
      </c>
      <c r="G1760" s="3" t="s">
        <v>62</v>
      </c>
      <c r="I1760" s="3" t="s">
        <v>61</v>
      </c>
      <c r="J1760" s="3" t="s">
        <v>61</v>
      </c>
      <c r="K1760" s="3" t="s">
        <v>63</v>
      </c>
      <c r="L1760" s="2" t="s">
        <v>17445</v>
      </c>
      <c r="M1760" s="2" t="s">
        <v>17446</v>
      </c>
      <c r="N1760" s="3" t="s">
        <v>684</v>
      </c>
      <c r="P1760" s="3" t="s">
        <v>64</v>
      </c>
      <c r="R1760" s="3" t="s">
        <v>13065</v>
      </c>
      <c r="S1760" s="4">
        <v>10</v>
      </c>
      <c r="T1760" s="4">
        <v>12</v>
      </c>
      <c r="U1760" s="5" t="s">
        <v>17447</v>
      </c>
      <c r="V1760" s="5" t="s">
        <v>17448</v>
      </c>
      <c r="W1760" s="5" t="s">
        <v>67</v>
      </c>
      <c r="X1760" s="5" t="s">
        <v>67</v>
      </c>
      <c r="Y1760" s="4">
        <v>825</v>
      </c>
      <c r="Z1760" s="4">
        <v>34</v>
      </c>
      <c r="AA1760" s="4">
        <v>63</v>
      </c>
      <c r="AB1760" s="4">
        <v>3</v>
      </c>
      <c r="AC1760" s="4">
        <v>14</v>
      </c>
      <c r="AD1760" s="4">
        <v>34</v>
      </c>
      <c r="AE1760" s="4">
        <v>73</v>
      </c>
      <c r="AF1760" s="4">
        <v>0</v>
      </c>
      <c r="AG1760" s="4">
        <v>5</v>
      </c>
      <c r="AH1760" s="4">
        <v>30</v>
      </c>
      <c r="AI1760" s="4">
        <v>56</v>
      </c>
      <c r="AJ1760" s="4">
        <v>3</v>
      </c>
      <c r="AK1760" s="4">
        <v>13</v>
      </c>
      <c r="AL1760" s="4">
        <v>14</v>
      </c>
      <c r="AM1760" s="4">
        <v>27</v>
      </c>
      <c r="AN1760" s="4">
        <v>0</v>
      </c>
      <c r="AO1760" s="4">
        <v>0</v>
      </c>
      <c r="AP1760" s="4">
        <v>7</v>
      </c>
      <c r="AQ1760" s="4">
        <v>23</v>
      </c>
      <c r="AR1760" s="3" t="s">
        <v>62</v>
      </c>
      <c r="AS1760" s="3" t="s">
        <v>62</v>
      </c>
      <c r="AT1760" s="3" t="s">
        <v>62</v>
      </c>
      <c r="AV1760" s="6" t="str">
        <f>HYPERLINK("http://mcgill.on.worldcat.org/oclc/751583472","Catalog Record")</f>
        <v>Catalog Record</v>
      </c>
      <c r="AW1760" s="6" t="str">
        <f>HYPERLINK("http://www.worldcat.org/oclc/751583472","WorldCat Record")</f>
        <v>WorldCat Record</v>
      </c>
      <c r="AX1760" s="3" t="s">
        <v>17449</v>
      </c>
      <c r="AY1760" s="3" t="s">
        <v>17450</v>
      </c>
      <c r="AZ1760" s="3" t="s">
        <v>17451</v>
      </c>
      <c r="BA1760" s="3" t="s">
        <v>17451</v>
      </c>
      <c r="BB1760" s="3" t="s">
        <v>17452</v>
      </c>
      <c r="BC1760" s="3" t="s">
        <v>102</v>
      </c>
      <c r="BD1760" s="3" t="s">
        <v>68</v>
      </c>
      <c r="BE1760" s="3" t="s">
        <v>17453</v>
      </c>
      <c r="BF1760" s="3" t="s">
        <v>17452</v>
      </c>
      <c r="BG1760" s="3" t="s">
        <v>17454</v>
      </c>
    </row>
    <row r="1761" spans="1:59" ht="58" x14ac:dyDescent="0.35">
      <c r="A1761" s="2" t="s">
        <v>89</v>
      </c>
      <c r="B1761" s="2" t="s">
        <v>90</v>
      </c>
      <c r="C1761" s="2" t="s">
        <v>17442</v>
      </c>
      <c r="D1761" s="2" t="s">
        <v>17443</v>
      </c>
      <c r="E1761" s="2" t="s">
        <v>17444</v>
      </c>
      <c r="G1761" s="3" t="s">
        <v>62</v>
      </c>
      <c r="I1761" s="3" t="s">
        <v>61</v>
      </c>
      <c r="J1761" s="3" t="s">
        <v>61</v>
      </c>
      <c r="K1761" s="3" t="s">
        <v>63</v>
      </c>
      <c r="L1761" s="2" t="s">
        <v>17445</v>
      </c>
      <c r="M1761" s="2" t="s">
        <v>17446</v>
      </c>
      <c r="N1761" s="3" t="s">
        <v>684</v>
      </c>
      <c r="P1761" s="3" t="s">
        <v>64</v>
      </c>
      <c r="R1761" s="3" t="s">
        <v>13065</v>
      </c>
      <c r="S1761" s="4">
        <v>2</v>
      </c>
      <c r="T1761" s="4">
        <v>12</v>
      </c>
      <c r="U1761" s="5" t="s">
        <v>17448</v>
      </c>
      <c r="V1761" s="5" t="s">
        <v>17448</v>
      </c>
      <c r="W1761" s="5" t="s">
        <v>67</v>
      </c>
      <c r="X1761" s="5" t="s">
        <v>67</v>
      </c>
      <c r="Y1761" s="4">
        <v>825</v>
      </c>
      <c r="Z1761" s="4">
        <v>34</v>
      </c>
      <c r="AA1761" s="4">
        <v>63</v>
      </c>
      <c r="AB1761" s="4">
        <v>3</v>
      </c>
      <c r="AC1761" s="4">
        <v>14</v>
      </c>
      <c r="AD1761" s="4">
        <v>34</v>
      </c>
      <c r="AE1761" s="4">
        <v>73</v>
      </c>
      <c r="AF1761" s="4">
        <v>0</v>
      </c>
      <c r="AG1761" s="4">
        <v>5</v>
      </c>
      <c r="AH1761" s="4">
        <v>30</v>
      </c>
      <c r="AI1761" s="4">
        <v>56</v>
      </c>
      <c r="AJ1761" s="4">
        <v>3</v>
      </c>
      <c r="AK1761" s="4">
        <v>13</v>
      </c>
      <c r="AL1761" s="4">
        <v>14</v>
      </c>
      <c r="AM1761" s="4">
        <v>27</v>
      </c>
      <c r="AN1761" s="4">
        <v>0</v>
      </c>
      <c r="AO1761" s="4">
        <v>0</v>
      </c>
      <c r="AP1761" s="4">
        <v>7</v>
      </c>
      <c r="AQ1761" s="4">
        <v>23</v>
      </c>
      <c r="AR1761" s="3" t="s">
        <v>62</v>
      </c>
      <c r="AS1761" s="3" t="s">
        <v>62</v>
      </c>
      <c r="AT1761" s="3" t="s">
        <v>62</v>
      </c>
      <c r="AV1761" s="6" t="str">
        <f>HYPERLINK("http://mcgill.on.worldcat.org/oclc/751583472","Catalog Record")</f>
        <v>Catalog Record</v>
      </c>
      <c r="AW1761" s="6" t="str">
        <f>HYPERLINK("http://www.worldcat.org/oclc/751583472","WorldCat Record")</f>
        <v>WorldCat Record</v>
      </c>
      <c r="AX1761" s="3" t="s">
        <v>17449</v>
      </c>
      <c r="AY1761" s="3" t="s">
        <v>17450</v>
      </c>
      <c r="AZ1761" s="3" t="s">
        <v>17451</v>
      </c>
      <c r="BA1761" s="3" t="s">
        <v>17451</v>
      </c>
      <c r="BB1761" s="3" t="s">
        <v>17455</v>
      </c>
      <c r="BC1761" s="3" t="s">
        <v>102</v>
      </c>
      <c r="BD1761" s="3" t="s">
        <v>68</v>
      </c>
      <c r="BE1761" s="3" t="s">
        <v>17453</v>
      </c>
      <c r="BF1761" s="3" t="s">
        <v>17455</v>
      </c>
      <c r="BG1761" s="3" t="s">
        <v>17456</v>
      </c>
    </row>
    <row r="1762" spans="1:59" ht="58" x14ac:dyDescent="0.35">
      <c r="A1762" s="2" t="s">
        <v>89</v>
      </c>
      <c r="B1762" s="2" t="s">
        <v>90</v>
      </c>
      <c r="C1762" s="2" t="s">
        <v>17457</v>
      </c>
      <c r="D1762" s="2" t="s">
        <v>17458</v>
      </c>
      <c r="E1762" s="2" t="s">
        <v>17444</v>
      </c>
      <c r="G1762" s="3" t="s">
        <v>62</v>
      </c>
      <c r="I1762" s="3" t="s">
        <v>62</v>
      </c>
      <c r="J1762" s="3" t="s">
        <v>61</v>
      </c>
      <c r="K1762" s="3" t="s">
        <v>63</v>
      </c>
      <c r="L1762" s="2" t="s">
        <v>17126</v>
      </c>
      <c r="M1762" s="2" t="s">
        <v>17459</v>
      </c>
      <c r="N1762" s="3" t="s">
        <v>712</v>
      </c>
      <c r="P1762" s="3" t="s">
        <v>64</v>
      </c>
      <c r="R1762" s="3" t="s">
        <v>13065</v>
      </c>
      <c r="S1762" s="4">
        <v>38</v>
      </c>
      <c r="T1762" s="4">
        <v>38</v>
      </c>
      <c r="U1762" s="5" t="s">
        <v>17128</v>
      </c>
      <c r="V1762" s="5" t="s">
        <v>17128</v>
      </c>
      <c r="W1762" s="5" t="s">
        <v>67</v>
      </c>
      <c r="X1762" s="5" t="s">
        <v>67</v>
      </c>
      <c r="Y1762" s="4">
        <v>276</v>
      </c>
      <c r="Z1762" s="4">
        <v>6</v>
      </c>
      <c r="AA1762" s="4">
        <v>63</v>
      </c>
      <c r="AB1762" s="4">
        <v>1</v>
      </c>
      <c r="AC1762" s="4">
        <v>14</v>
      </c>
      <c r="AD1762" s="4">
        <v>9</v>
      </c>
      <c r="AE1762" s="4">
        <v>73</v>
      </c>
      <c r="AF1762" s="4">
        <v>0</v>
      </c>
      <c r="AG1762" s="4">
        <v>5</v>
      </c>
      <c r="AH1762" s="4">
        <v>9</v>
      </c>
      <c r="AI1762" s="4">
        <v>56</v>
      </c>
      <c r="AJ1762" s="4">
        <v>1</v>
      </c>
      <c r="AK1762" s="4">
        <v>13</v>
      </c>
      <c r="AL1762" s="4">
        <v>4</v>
      </c>
      <c r="AM1762" s="4">
        <v>27</v>
      </c>
      <c r="AN1762" s="4">
        <v>0</v>
      </c>
      <c r="AO1762" s="4">
        <v>0</v>
      </c>
      <c r="AP1762" s="4">
        <v>1</v>
      </c>
      <c r="AQ1762" s="4">
        <v>23</v>
      </c>
      <c r="AR1762" s="3" t="s">
        <v>62</v>
      </c>
      <c r="AS1762" s="3" t="s">
        <v>62</v>
      </c>
      <c r="AT1762" s="3" t="s">
        <v>62</v>
      </c>
      <c r="AV1762" s="6" t="str">
        <f>HYPERLINK("http://mcgill.on.worldcat.org/oclc/871305670","Catalog Record")</f>
        <v>Catalog Record</v>
      </c>
      <c r="AW1762" s="6" t="str">
        <f>HYPERLINK("http://www.worldcat.org/oclc/871305670","WorldCat Record")</f>
        <v>WorldCat Record</v>
      </c>
      <c r="AX1762" s="3" t="s">
        <v>17449</v>
      </c>
      <c r="AY1762" s="3" t="s">
        <v>17460</v>
      </c>
      <c r="AZ1762" s="3" t="s">
        <v>17461</v>
      </c>
      <c r="BA1762" s="3" t="s">
        <v>17461</v>
      </c>
      <c r="BB1762" s="3" t="s">
        <v>17462</v>
      </c>
      <c r="BC1762" s="3" t="s">
        <v>102</v>
      </c>
      <c r="BD1762" s="3" t="s">
        <v>231</v>
      </c>
      <c r="BE1762" s="3" t="s">
        <v>17463</v>
      </c>
      <c r="BF1762" s="3" t="s">
        <v>17462</v>
      </c>
      <c r="BG1762" s="3" t="s">
        <v>17464</v>
      </c>
    </row>
    <row r="1763" spans="1:59" ht="72.5" x14ac:dyDescent="0.35">
      <c r="A1763" s="2" t="s">
        <v>89</v>
      </c>
      <c r="B1763" s="2" t="s">
        <v>90</v>
      </c>
      <c r="C1763" s="2" t="s">
        <v>17465</v>
      </c>
      <c r="D1763" s="2" t="s">
        <v>17466</v>
      </c>
      <c r="E1763" s="2" t="s">
        <v>17467</v>
      </c>
      <c r="G1763" s="3" t="s">
        <v>62</v>
      </c>
      <c r="I1763" s="3" t="s">
        <v>62</v>
      </c>
      <c r="J1763" s="3" t="s">
        <v>62</v>
      </c>
      <c r="K1763" s="3" t="s">
        <v>63</v>
      </c>
      <c r="M1763" s="2" t="s">
        <v>17468</v>
      </c>
      <c r="N1763" s="3" t="s">
        <v>129</v>
      </c>
      <c r="P1763" s="3" t="s">
        <v>64</v>
      </c>
      <c r="Q1763" s="2" t="s">
        <v>17469</v>
      </c>
      <c r="R1763" s="3" t="s">
        <v>13065</v>
      </c>
      <c r="S1763" s="4">
        <v>1</v>
      </c>
      <c r="T1763" s="4">
        <v>1</v>
      </c>
      <c r="U1763" s="5" t="s">
        <v>17470</v>
      </c>
      <c r="V1763" s="5" t="s">
        <v>17470</v>
      </c>
      <c r="W1763" s="5" t="s">
        <v>67</v>
      </c>
      <c r="X1763" s="5" t="s">
        <v>67</v>
      </c>
      <c r="Y1763" s="4">
        <v>25</v>
      </c>
      <c r="Z1763" s="4">
        <v>1</v>
      </c>
      <c r="AA1763" s="4">
        <v>1</v>
      </c>
      <c r="AB1763" s="4">
        <v>1</v>
      </c>
      <c r="AC1763" s="4">
        <v>1</v>
      </c>
      <c r="AD1763" s="4">
        <v>6</v>
      </c>
      <c r="AE1763" s="4">
        <v>6</v>
      </c>
      <c r="AF1763" s="4">
        <v>0</v>
      </c>
      <c r="AG1763" s="4">
        <v>0</v>
      </c>
      <c r="AH1763" s="4">
        <v>6</v>
      </c>
      <c r="AI1763" s="4">
        <v>6</v>
      </c>
      <c r="AJ1763" s="4">
        <v>0</v>
      </c>
      <c r="AK1763" s="4">
        <v>0</v>
      </c>
      <c r="AL1763" s="4">
        <v>3</v>
      </c>
      <c r="AM1763" s="4">
        <v>3</v>
      </c>
      <c r="AN1763" s="4">
        <v>0</v>
      </c>
      <c r="AO1763" s="4">
        <v>0</v>
      </c>
      <c r="AP1763" s="4">
        <v>0</v>
      </c>
      <c r="AQ1763" s="4">
        <v>0</v>
      </c>
      <c r="AR1763" s="3" t="s">
        <v>62</v>
      </c>
      <c r="AS1763" s="3" t="s">
        <v>62</v>
      </c>
      <c r="AT1763" s="3" t="s">
        <v>62</v>
      </c>
      <c r="AV1763" s="6" t="str">
        <f>HYPERLINK("http://mcgill.on.worldcat.org/oclc/779259290","Catalog Record")</f>
        <v>Catalog Record</v>
      </c>
      <c r="AW1763" s="6" t="str">
        <f>HYPERLINK("http://www.worldcat.org/oclc/779259290","WorldCat Record")</f>
        <v>WorldCat Record</v>
      </c>
      <c r="AX1763" s="3" t="s">
        <v>17471</v>
      </c>
      <c r="AY1763" s="3" t="s">
        <v>17472</v>
      </c>
      <c r="AZ1763" s="3" t="s">
        <v>17473</v>
      </c>
      <c r="BA1763" s="3" t="s">
        <v>17473</v>
      </c>
      <c r="BB1763" s="3" t="s">
        <v>17474</v>
      </c>
      <c r="BC1763" s="3" t="s">
        <v>102</v>
      </c>
      <c r="BD1763" s="3" t="s">
        <v>68</v>
      </c>
      <c r="BE1763" s="3" t="s">
        <v>17475</v>
      </c>
      <c r="BF1763" s="3" t="s">
        <v>17474</v>
      </c>
      <c r="BG1763" s="3" t="s">
        <v>17476</v>
      </c>
    </row>
    <row r="1764" spans="1:59" ht="87" x14ac:dyDescent="0.35">
      <c r="A1764" s="2" t="s">
        <v>89</v>
      </c>
      <c r="B1764" s="2" t="s">
        <v>17477</v>
      </c>
      <c r="C1764" s="2" t="s">
        <v>17478</v>
      </c>
      <c r="D1764" s="2" t="s">
        <v>17479</v>
      </c>
      <c r="E1764" s="2" t="s">
        <v>17480</v>
      </c>
      <c r="G1764" s="3" t="s">
        <v>62</v>
      </c>
      <c r="I1764" s="3" t="s">
        <v>62</v>
      </c>
      <c r="J1764" s="3" t="s">
        <v>61</v>
      </c>
      <c r="K1764" s="3" t="s">
        <v>63</v>
      </c>
      <c r="L1764" s="2" t="s">
        <v>17481</v>
      </c>
      <c r="M1764" s="2" t="s">
        <v>14579</v>
      </c>
      <c r="N1764" s="3" t="s">
        <v>129</v>
      </c>
      <c r="O1764" s="2" t="s">
        <v>17427</v>
      </c>
      <c r="P1764" s="3" t="s">
        <v>64</v>
      </c>
      <c r="R1764" s="3" t="s">
        <v>13065</v>
      </c>
      <c r="S1764" s="4">
        <v>8</v>
      </c>
      <c r="T1764" s="4">
        <v>8</v>
      </c>
      <c r="U1764" s="5" t="s">
        <v>13084</v>
      </c>
      <c r="V1764" s="5" t="s">
        <v>13084</v>
      </c>
      <c r="W1764" s="5" t="s">
        <v>67</v>
      </c>
      <c r="X1764" s="5" t="s">
        <v>67</v>
      </c>
      <c r="Y1764" s="4">
        <v>120</v>
      </c>
      <c r="Z1764" s="4">
        <v>5</v>
      </c>
      <c r="AA1764" s="4">
        <v>20</v>
      </c>
      <c r="AB1764" s="4">
        <v>1</v>
      </c>
      <c r="AC1764" s="4">
        <v>6</v>
      </c>
      <c r="AD1764" s="4">
        <v>12</v>
      </c>
      <c r="AE1764" s="4">
        <v>29</v>
      </c>
      <c r="AF1764" s="4">
        <v>0</v>
      </c>
      <c r="AG1764" s="4">
        <v>2</v>
      </c>
      <c r="AH1764" s="4">
        <v>12</v>
      </c>
      <c r="AI1764" s="4">
        <v>25</v>
      </c>
      <c r="AJ1764" s="4">
        <v>0</v>
      </c>
      <c r="AK1764" s="4">
        <v>2</v>
      </c>
      <c r="AL1764" s="4">
        <v>9</v>
      </c>
      <c r="AM1764" s="4">
        <v>17</v>
      </c>
      <c r="AN1764" s="4">
        <v>0</v>
      </c>
      <c r="AO1764" s="4">
        <v>0</v>
      </c>
      <c r="AP1764" s="4">
        <v>0</v>
      </c>
      <c r="AQ1764" s="4">
        <v>3</v>
      </c>
      <c r="AR1764" s="3" t="s">
        <v>62</v>
      </c>
      <c r="AS1764" s="3" t="s">
        <v>62</v>
      </c>
      <c r="AT1764" s="3" t="s">
        <v>62</v>
      </c>
      <c r="AV1764" s="6" t="str">
        <f>HYPERLINK("http://mcgill.on.worldcat.org/oclc/758397867","Catalog Record")</f>
        <v>Catalog Record</v>
      </c>
      <c r="AW1764" s="6" t="str">
        <f>HYPERLINK("http://www.worldcat.org/oclc/758397867","WorldCat Record")</f>
        <v>WorldCat Record</v>
      </c>
      <c r="AX1764" s="3" t="s">
        <v>17482</v>
      </c>
      <c r="AY1764" s="3" t="s">
        <v>17483</v>
      </c>
      <c r="AZ1764" s="3" t="s">
        <v>17484</v>
      </c>
      <c r="BA1764" s="3" t="s">
        <v>17484</v>
      </c>
      <c r="BB1764" s="3" t="s">
        <v>17485</v>
      </c>
      <c r="BC1764" s="3" t="s">
        <v>102</v>
      </c>
      <c r="BD1764" s="3" t="s">
        <v>68</v>
      </c>
      <c r="BE1764" s="3" t="s">
        <v>17486</v>
      </c>
      <c r="BF1764" s="3" t="s">
        <v>17485</v>
      </c>
      <c r="BG1764" s="3" t="s">
        <v>17487</v>
      </c>
    </row>
    <row r="1765" spans="1:59" ht="87" x14ac:dyDescent="0.35">
      <c r="A1765" s="2" t="s">
        <v>89</v>
      </c>
      <c r="B1765" s="2" t="s">
        <v>90</v>
      </c>
      <c r="C1765" s="2" t="s">
        <v>17488</v>
      </c>
      <c r="D1765" s="2" t="s">
        <v>17489</v>
      </c>
      <c r="E1765" s="2" t="s">
        <v>17490</v>
      </c>
      <c r="G1765" s="3" t="s">
        <v>62</v>
      </c>
      <c r="I1765" s="3" t="s">
        <v>62</v>
      </c>
      <c r="J1765" s="3" t="s">
        <v>62</v>
      </c>
      <c r="K1765" s="3" t="s">
        <v>63</v>
      </c>
      <c r="L1765" s="2" t="s">
        <v>17491</v>
      </c>
      <c r="M1765" s="2" t="s">
        <v>17492</v>
      </c>
      <c r="N1765" s="3" t="s">
        <v>466</v>
      </c>
      <c r="O1765" s="2" t="s">
        <v>17493</v>
      </c>
      <c r="P1765" s="3" t="s">
        <v>64</v>
      </c>
      <c r="R1765" s="3" t="s">
        <v>13065</v>
      </c>
      <c r="S1765" s="4">
        <v>9</v>
      </c>
      <c r="T1765" s="4">
        <v>9</v>
      </c>
      <c r="U1765" s="5" t="s">
        <v>4816</v>
      </c>
      <c r="V1765" s="5" t="s">
        <v>4816</v>
      </c>
      <c r="W1765" s="5" t="s">
        <v>67</v>
      </c>
      <c r="X1765" s="5" t="s">
        <v>67</v>
      </c>
      <c r="Y1765" s="4">
        <v>51</v>
      </c>
      <c r="Z1765" s="4">
        <v>5</v>
      </c>
      <c r="AA1765" s="4">
        <v>10</v>
      </c>
      <c r="AB1765" s="4">
        <v>1</v>
      </c>
      <c r="AC1765" s="4">
        <v>2</v>
      </c>
      <c r="AD1765" s="4">
        <v>16</v>
      </c>
      <c r="AE1765" s="4">
        <v>53</v>
      </c>
      <c r="AF1765" s="4">
        <v>0</v>
      </c>
      <c r="AG1765" s="4">
        <v>1</v>
      </c>
      <c r="AH1765" s="4">
        <v>14</v>
      </c>
      <c r="AI1765" s="4">
        <v>45</v>
      </c>
      <c r="AJ1765" s="4">
        <v>3</v>
      </c>
      <c r="AK1765" s="4">
        <v>6</v>
      </c>
      <c r="AL1765" s="4">
        <v>9</v>
      </c>
      <c r="AM1765" s="4">
        <v>31</v>
      </c>
      <c r="AN1765" s="4">
        <v>0</v>
      </c>
      <c r="AO1765" s="4">
        <v>0</v>
      </c>
      <c r="AP1765" s="4">
        <v>4</v>
      </c>
      <c r="AQ1765" s="4">
        <v>9</v>
      </c>
      <c r="AR1765" s="3" t="s">
        <v>62</v>
      </c>
      <c r="AS1765" s="3" t="s">
        <v>62</v>
      </c>
      <c r="AT1765" s="3" t="s">
        <v>62</v>
      </c>
      <c r="AV1765" s="6" t="str">
        <f>HYPERLINK("http://mcgill.on.worldcat.org/oclc/28395699","Catalog Record")</f>
        <v>Catalog Record</v>
      </c>
      <c r="AW1765" s="6" t="str">
        <f>HYPERLINK("http://www.worldcat.org/oclc/28395699","WorldCat Record")</f>
        <v>WorldCat Record</v>
      </c>
      <c r="AX1765" s="3" t="s">
        <v>17494</v>
      </c>
      <c r="AY1765" s="3" t="s">
        <v>17495</v>
      </c>
      <c r="AZ1765" s="3" t="s">
        <v>17496</v>
      </c>
      <c r="BA1765" s="3" t="s">
        <v>17496</v>
      </c>
      <c r="BB1765" s="3" t="s">
        <v>17497</v>
      </c>
      <c r="BC1765" s="3" t="s">
        <v>102</v>
      </c>
      <c r="BD1765" s="3" t="s">
        <v>68</v>
      </c>
      <c r="BF1765" s="3" t="s">
        <v>17497</v>
      </c>
      <c r="BG1765" s="3" t="s">
        <v>17498</v>
      </c>
    </row>
    <row r="1766" spans="1:59" ht="58" x14ac:dyDescent="0.35">
      <c r="A1766" s="2" t="s">
        <v>89</v>
      </c>
      <c r="B1766" s="2" t="s">
        <v>90</v>
      </c>
      <c r="C1766" s="2" t="s">
        <v>17499</v>
      </c>
      <c r="D1766" s="2" t="s">
        <v>17500</v>
      </c>
      <c r="E1766" s="2" t="s">
        <v>17501</v>
      </c>
      <c r="G1766" s="3" t="s">
        <v>62</v>
      </c>
      <c r="I1766" s="3" t="s">
        <v>62</v>
      </c>
      <c r="J1766" s="3" t="s">
        <v>61</v>
      </c>
      <c r="K1766" s="3" t="s">
        <v>63</v>
      </c>
      <c r="L1766" s="2" t="s">
        <v>17502</v>
      </c>
      <c r="M1766" s="2" t="s">
        <v>17503</v>
      </c>
      <c r="N1766" s="3" t="s">
        <v>553</v>
      </c>
      <c r="O1766" s="2" t="s">
        <v>2986</v>
      </c>
      <c r="P1766" s="3" t="s">
        <v>64</v>
      </c>
      <c r="R1766" s="3" t="s">
        <v>13065</v>
      </c>
      <c r="S1766" s="4">
        <v>16</v>
      </c>
      <c r="T1766" s="4">
        <v>16</v>
      </c>
      <c r="U1766" s="5" t="s">
        <v>17504</v>
      </c>
      <c r="V1766" s="5" t="s">
        <v>17504</v>
      </c>
      <c r="W1766" s="5" t="s">
        <v>67</v>
      </c>
      <c r="X1766" s="5" t="s">
        <v>67</v>
      </c>
      <c r="Y1766" s="4">
        <v>196</v>
      </c>
      <c r="Z1766" s="4">
        <v>9</v>
      </c>
      <c r="AA1766" s="4">
        <v>34</v>
      </c>
      <c r="AB1766" s="4">
        <v>2</v>
      </c>
      <c r="AC1766" s="4">
        <v>5</v>
      </c>
      <c r="AD1766" s="4">
        <v>31</v>
      </c>
      <c r="AE1766" s="4">
        <v>74</v>
      </c>
      <c r="AF1766" s="4">
        <v>1</v>
      </c>
      <c r="AG1766" s="4">
        <v>3</v>
      </c>
      <c r="AH1766" s="4">
        <v>29</v>
      </c>
      <c r="AI1766" s="4">
        <v>63</v>
      </c>
      <c r="AJ1766" s="4">
        <v>3</v>
      </c>
      <c r="AK1766" s="4">
        <v>11</v>
      </c>
      <c r="AL1766" s="4">
        <v>14</v>
      </c>
      <c r="AM1766" s="4">
        <v>32</v>
      </c>
      <c r="AN1766" s="4">
        <v>0</v>
      </c>
      <c r="AO1766" s="4">
        <v>0</v>
      </c>
      <c r="AP1766" s="4">
        <v>5</v>
      </c>
      <c r="AQ1766" s="4">
        <v>16</v>
      </c>
      <c r="AR1766" s="3" t="s">
        <v>62</v>
      </c>
      <c r="AS1766" s="3" t="s">
        <v>62</v>
      </c>
      <c r="AT1766" s="3" t="s">
        <v>61</v>
      </c>
      <c r="AU1766" s="6" t="str">
        <f>HYPERLINK("http://catalog.hathitrust.org/Record/003352078","HathiTrust Record")</f>
        <v>HathiTrust Record</v>
      </c>
      <c r="AV1766" s="6" t="str">
        <f>HYPERLINK("http://mcgill.on.worldcat.org/oclc/41213086","Catalog Record")</f>
        <v>Catalog Record</v>
      </c>
      <c r="AW1766" s="6" t="str">
        <f>HYPERLINK("http://www.worldcat.org/oclc/41213086","WorldCat Record")</f>
        <v>WorldCat Record</v>
      </c>
      <c r="AX1766" s="3" t="s">
        <v>17505</v>
      </c>
      <c r="AY1766" s="3" t="s">
        <v>17506</v>
      </c>
      <c r="AZ1766" s="3" t="s">
        <v>17507</v>
      </c>
      <c r="BA1766" s="3" t="s">
        <v>17507</v>
      </c>
      <c r="BB1766" s="3" t="s">
        <v>17508</v>
      </c>
      <c r="BC1766" s="3" t="s">
        <v>102</v>
      </c>
      <c r="BD1766" s="3" t="s">
        <v>68</v>
      </c>
      <c r="BE1766" s="3" t="s">
        <v>17509</v>
      </c>
      <c r="BF1766" s="3" t="s">
        <v>17508</v>
      </c>
      <c r="BG1766" s="3" t="s">
        <v>17510</v>
      </c>
    </row>
    <row r="1767" spans="1:59" ht="58" x14ac:dyDescent="0.35">
      <c r="A1767" s="2" t="s">
        <v>89</v>
      </c>
      <c r="B1767" s="2" t="s">
        <v>90</v>
      </c>
      <c r="C1767" s="2" t="s">
        <v>17511</v>
      </c>
      <c r="D1767" s="2" t="s">
        <v>17512</v>
      </c>
      <c r="E1767" s="2" t="s">
        <v>17513</v>
      </c>
      <c r="G1767" s="3" t="s">
        <v>62</v>
      </c>
      <c r="I1767" s="3" t="s">
        <v>62</v>
      </c>
      <c r="J1767" s="3" t="s">
        <v>62</v>
      </c>
      <c r="K1767" s="3" t="s">
        <v>63</v>
      </c>
      <c r="L1767" s="2" t="s">
        <v>17514</v>
      </c>
      <c r="M1767" s="2" t="s">
        <v>17515</v>
      </c>
      <c r="N1767" s="3" t="s">
        <v>2000</v>
      </c>
      <c r="P1767" s="3" t="s">
        <v>64</v>
      </c>
      <c r="Q1767" s="2" t="s">
        <v>17516</v>
      </c>
      <c r="R1767" s="3" t="s">
        <v>13065</v>
      </c>
      <c r="S1767" s="4">
        <v>12</v>
      </c>
      <c r="T1767" s="4">
        <v>12</v>
      </c>
      <c r="U1767" s="5" t="s">
        <v>17517</v>
      </c>
      <c r="V1767" s="5" t="s">
        <v>17517</v>
      </c>
      <c r="W1767" s="5" t="s">
        <v>67</v>
      </c>
      <c r="X1767" s="5" t="s">
        <v>67</v>
      </c>
      <c r="Y1767" s="4">
        <v>152</v>
      </c>
      <c r="Z1767" s="4">
        <v>9</v>
      </c>
      <c r="AA1767" s="4">
        <v>16</v>
      </c>
      <c r="AB1767" s="4">
        <v>1</v>
      </c>
      <c r="AC1767" s="4">
        <v>2</v>
      </c>
      <c r="AD1767" s="4">
        <v>51</v>
      </c>
      <c r="AE1767" s="4">
        <v>71</v>
      </c>
      <c r="AF1767" s="4">
        <v>0</v>
      </c>
      <c r="AG1767" s="4">
        <v>1</v>
      </c>
      <c r="AH1767" s="4">
        <v>49</v>
      </c>
      <c r="AI1767" s="4">
        <v>62</v>
      </c>
      <c r="AJ1767" s="4">
        <v>3</v>
      </c>
      <c r="AK1767" s="4">
        <v>8</v>
      </c>
      <c r="AL1767" s="4">
        <v>31</v>
      </c>
      <c r="AM1767" s="4">
        <v>39</v>
      </c>
      <c r="AN1767" s="4">
        <v>0</v>
      </c>
      <c r="AO1767" s="4">
        <v>0</v>
      </c>
      <c r="AP1767" s="4">
        <v>4</v>
      </c>
      <c r="AQ1767" s="4">
        <v>10</v>
      </c>
      <c r="AR1767" s="3" t="s">
        <v>62</v>
      </c>
      <c r="AS1767" s="3" t="s">
        <v>62</v>
      </c>
      <c r="AT1767" s="3" t="s">
        <v>62</v>
      </c>
      <c r="AV1767" s="6" t="str">
        <f>HYPERLINK("http://mcgill.on.worldcat.org/oclc/35171429","Catalog Record")</f>
        <v>Catalog Record</v>
      </c>
      <c r="AW1767" s="6" t="str">
        <f>HYPERLINK("http://www.worldcat.org/oclc/35171429","WorldCat Record")</f>
        <v>WorldCat Record</v>
      </c>
      <c r="AX1767" s="3" t="s">
        <v>17518</v>
      </c>
      <c r="AY1767" s="3" t="s">
        <v>17519</v>
      </c>
      <c r="AZ1767" s="3" t="s">
        <v>17520</v>
      </c>
      <c r="BA1767" s="3" t="s">
        <v>17520</v>
      </c>
      <c r="BB1767" s="3" t="s">
        <v>17521</v>
      </c>
      <c r="BC1767" s="3" t="s">
        <v>102</v>
      </c>
      <c r="BD1767" s="3" t="s">
        <v>68</v>
      </c>
      <c r="BE1767" s="3" t="s">
        <v>17522</v>
      </c>
      <c r="BF1767" s="3" t="s">
        <v>17521</v>
      </c>
      <c r="BG1767" s="3" t="s">
        <v>17523</v>
      </c>
    </row>
    <row r="1768" spans="1:59" ht="58" x14ac:dyDescent="0.35">
      <c r="A1768" s="2" t="s">
        <v>89</v>
      </c>
      <c r="B1768" s="2" t="s">
        <v>90</v>
      </c>
      <c r="C1768" s="2" t="s">
        <v>17524</v>
      </c>
      <c r="D1768" s="2" t="s">
        <v>17525</v>
      </c>
      <c r="E1768" s="2" t="s">
        <v>17526</v>
      </c>
      <c r="G1768" s="3" t="s">
        <v>62</v>
      </c>
      <c r="I1768" s="3" t="s">
        <v>62</v>
      </c>
      <c r="J1768" s="3" t="s">
        <v>62</v>
      </c>
      <c r="K1768" s="3" t="s">
        <v>63</v>
      </c>
      <c r="L1768" s="2" t="s">
        <v>17527</v>
      </c>
      <c r="M1768" s="2" t="s">
        <v>17528</v>
      </c>
      <c r="N1768" s="3" t="s">
        <v>129</v>
      </c>
      <c r="P1768" s="3" t="s">
        <v>64</v>
      </c>
      <c r="Q1768" s="2" t="s">
        <v>17529</v>
      </c>
      <c r="R1768" s="3" t="s">
        <v>13065</v>
      </c>
      <c r="S1768" s="4">
        <v>0</v>
      </c>
      <c r="T1768" s="4">
        <v>0</v>
      </c>
      <c r="W1768" s="5" t="s">
        <v>4735</v>
      </c>
      <c r="X1768" s="5" t="s">
        <v>4735</v>
      </c>
      <c r="Y1768" s="4">
        <v>74</v>
      </c>
      <c r="Z1768" s="4">
        <v>6</v>
      </c>
      <c r="AA1768" s="4">
        <v>34</v>
      </c>
      <c r="AB1768" s="4">
        <v>1</v>
      </c>
      <c r="AC1768" s="4">
        <v>6</v>
      </c>
      <c r="AD1768" s="4">
        <v>42</v>
      </c>
      <c r="AE1768" s="4">
        <v>93</v>
      </c>
      <c r="AF1768" s="4">
        <v>0</v>
      </c>
      <c r="AG1768" s="4">
        <v>2</v>
      </c>
      <c r="AH1768" s="4">
        <v>41</v>
      </c>
      <c r="AI1768" s="4">
        <v>76</v>
      </c>
      <c r="AJ1768" s="4">
        <v>4</v>
      </c>
      <c r="AK1768" s="4">
        <v>14</v>
      </c>
      <c r="AL1768" s="4">
        <v>24</v>
      </c>
      <c r="AM1768" s="4">
        <v>42</v>
      </c>
      <c r="AN1768" s="4">
        <v>0</v>
      </c>
      <c r="AO1768" s="4">
        <v>0</v>
      </c>
      <c r="AP1768" s="4">
        <v>4</v>
      </c>
      <c r="AQ1768" s="4">
        <v>24</v>
      </c>
      <c r="AR1768" s="3" t="s">
        <v>62</v>
      </c>
      <c r="AS1768" s="3" t="s">
        <v>62</v>
      </c>
      <c r="AT1768" s="3" t="s">
        <v>62</v>
      </c>
      <c r="AV1768" s="6" t="str">
        <f>HYPERLINK("http://mcgill.on.worldcat.org/oclc/861665728","Catalog Record")</f>
        <v>Catalog Record</v>
      </c>
      <c r="AW1768" s="6" t="str">
        <f>HYPERLINK("http://www.worldcat.org/oclc/861665728","WorldCat Record")</f>
        <v>WorldCat Record</v>
      </c>
      <c r="AX1768" s="3" t="s">
        <v>17530</v>
      </c>
      <c r="AY1768" s="3" t="s">
        <v>17531</v>
      </c>
      <c r="AZ1768" s="3" t="s">
        <v>17532</v>
      </c>
      <c r="BA1768" s="3" t="s">
        <v>17532</v>
      </c>
      <c r="BB1768" s="3" t="s">
        <v>17533</v>
      </c>
      <c r="BC1768" s="3" t="s">
        <v>102</v>
      </c>
      <c r="BD1768" s="3" t="s">
        <v>68</v>
      </c>
      <c r="BE1768" s="3" t="s">
        <v>17534</v>
      </c>
      <c r="BF1768" s="3" t="s">
        <v>17533</v>
      </c>
      <c r="BG1768" s="3" t="s">
        <v>17535</v>
      </c>
    </row>
    <row r="1769" spans="1:59" ht="58" x14ac:dyDescent="0.35">
      <c r="A1769" s="2" t="s">
        <v>89</v>
      </c>
      <c r="B1769" s="2" t="s">
        <v>90</v>
      </c>
      <c r="C1769" s="2" t="s">
        <v>17536</v>
      </c>
      <c r="D1769" s="2" t="s">
        <v>17537</v>
      </c>
      <c r="E1769" s="2" t="s">
        <v>17538</v>
      </c>
      <c r="G1769" s="3" t="s">
        <v>62</v>
      </c>
      <c r="I1769" s="3" t="s">
        <v>62</v>
      </c>
      <c r="J1769" s="3" t="s">
        <v>62</v>
      </c>
      <c r="K1769" s="3" t="s">
        <v>63</v>
      </c>
      <c r="L1769" s="2" t="s">
        <v>17539</v>
      </c>
      <c r="M1769" s="2" t="s">
        <v>17540</v>
      </c>
      <c r="N1769" s="3" t="s">
        <v>539</v>
      </c>
      <c r="P1769" s="3" t="s">
        <v>64</v>
      </c>
      <c r="Q1769" s="2" t="s">
        <v>17541</v>
      </c>
      <c r="R1769" s="3" t="s">
        <v>13065</v>
      </c>
      <c r="S1769" s="4">
        <v>2</v>
      </c>
      <c r="T1769" s="4">
        <v>2</v>
      </c>
      <c r="U1769" s="5" t="s">
        <v>2099</v>
      </c>
      <c r="V1769" s="5" t="s">
        <v>2099</v>
      </c>
      <c r="W1769" s="5" t="s">
        <v>67</v>
      </c>
      <c r="X1769" s="5" t="s">
        <v>67</v>
      </c>
      <c r="Y1769" s="4">
        <v>311</v>
      </c>
      <c r="Z1769" s="4">
        <v>22</v>
      </c>
      <c r="AA1769" s="4">
        <v>25</v>
      </c>
      <c r="AB1769" s="4">
        <v>1</v>
      </c>
      <c r="AC1769" s="4">
        <v>2</v>
      </c>
      <c r="AD1769" s="4">
        <v>46</v>
      </c>
      <c r="AE1769" s="4">
        <v>48</v>
      </c>
      <c r="AF1769" s="4">
        <v>0</v>
      </c>
      <c r="AG1769" s="4">
        <v>1</v>
      </c>
      <c r="AH1769" s="4">
        <v>43</v>
      </c>
      <c r="AI1769" s="4">
        <v>43</v>
      </c>
      <c r="AJ1769" s="4">
        <v>4</v>
      </c>
      <c r="AK1769" s="4">
        <v>5</v>
      </c>
      <c r="AL1769" s="4">
        <v>25</v>
      </c>
      <c r="AM1769" s="4">
        <v>25</v>
      </c>
      <c r="AN1769" s="4">
        <v>0</v>
      </c>
      <c r="AO1769" s="4">
        <v>0</v>
      </c>
      <c r="AP1769" s="4">
        <v>4</v>
      </c>
      <c r="AQ1769" s="4">
        <v>6</v>
      </c>
      <c r="AR1769" s="3" t="s">
        <v>62</v>
      </c>
      <c r="AS1769" s="3" t="s">
        <v>62</v>
      </c>
      <c r="AT1769" s="3" t="s">
        <v>61</v>
      </c>
      <c r="AU1769" s="6" t="str">
        <f>HYPERLINK("http://catalog.hathitrust.org/Record/003967219","HathiTrust Record")</f>
        <v>HathiTrust Record</v>
      </c>
      <c r="AV1769" s="6" t="str">
        <f>HYPERLINK("http://mcgill.on.worldcat.org/oclc/37107208","Catalog Record")</f>
        <v>Catalog Record</v>
      </c>
      <c r="AW1769" s="6" t="str">
        <f>HYPERLINK("http://www.worldcat.org/oclc/37107208","WorldCat Record")</f>
        <v>WorldCat Record</v>
      </c>
      <c r="AX1769" s="3" t="s">
        <v>17542</v>
      </c>
      <c r="AY1769" s="3" t="s">
        <v>17543</v>
      </c>
      <c r="AZ1769" s="3" t="s">
        <v>17544</v>
      </c>
      <c r="BA1769" s="3" t="s">
        <v>17544</v>
      </c>
      <c r="BB1769" s="3" t="s">
        <v>17545</v>
      </c>
      <c r="BC1769" s="3" t="s">
        <v>102</v>
      </c>
      <c r="BD1769" s="3" t="s">
        <v>68</v>
      </c>
      <c r="BE1769" s="3" t="s">
        <v>17546</v>
      </c>
      <c r="BF1769" s="3" t="s">
        <v>17545</v>
      </c>
      <c r="BG1769" s="3" t="s">
        <v>17547</v>
      </c>
    </row>
    <row r="1770" spans="1:59" ht="58" x14ac:dyDescent="0.35">
      <c r="A1770" s="2" t="s">
        <v>89</v>
      </c>
      <c r="B1770" s="2" t="s">
        <v>90</v>
      </c>
      <c r="C1770" s="2" t="s">
        <v>17548</v>
      </c>
      <c r="D1770" s="2" t="s">
        <v>17549</v>
      </c>
      <c r="E1770" s="2" t="s">
        <v>17550</v>
      </c>
      <c r="G1770" s="3" t="s">
        <v>62</v>
      </c>
      <c r="I1770" s="3" t="s">
        <v>62</v>
      </c>
      <c r="J1770" s="3" t="s">
        <v>62</v>
      </c>
      <c r="K1770" s="3" t="s">
        <v>63</v>
      </c>
      <c r="M1770" s="2" t="s">
        <v>17551</v>
      </c>
      <c r="N1770" s="3" t="s">
        <v>2985</v>
      </c>
      <c r="P1770" s="3" t="s">
        <v>64</v>
      </c>
      <c r="Q1770" s="2" t="s">
        <v>17552</v>
      </c>
      <c r="R1770" s="3" t="s">
        <v>13065</v>
      </c>
      <c r="S1770" s="4">
        <v>15</v>
      </c>
      <c r="T1770" s="4">
        <v>15</v>
      </c>
      <c r="U1770" s="5" t="s">
        <v>8532</v>
      </c>
      <c r="V1770" s="5" t="s">
        <v>8532</v>
      </c>
      <c r="W1770" s="5" t="s">
        <v>67</v>
      </c>
      <c r="X1770" s="5" t="s">
        <v>67</v>
      </c>
      <c r="Y1770" s="4">
        <v>204</v>
      </c>
      <c r="Z1770" s="4">
        <v>14</v>
      </c>
      <c r="AA1770" s="4">
        <v>34</v>
      </c>
      <c r="AB1770" s="4">
        <v>1</v>
      </c>
      <c r="AC1770" s="4">
        <v>4</v>
      </c>
      <c r="AD1770" s="4">
        <v>58</v>
      </c>
      <c r="AE1770" s="4">
        <v>78</v>
      </c>
      <c r="AF1770" s="4">
        <v>0</v>
      </c>
      <c r="AG1770" s="4">
        <v>3</v>
      </c>
      <c r="AH1770" s="4">
        <v>49</v>
      </c>
      <c r="AI1770" s="4">
        <v>62</v>
      </c>
      <c r="AJ1770" s="4">
        <v>9</v>
      </c>
      <c r="AK1770" s="4">
        <v>18</v>
      </c>
      <c r="AL1770" s="4">
        <v>27</v>
      </c>
      <c r="AM1770" s="4">
        <v>32</v>
      </c>
      <c r="AN1770" s="4">
        <v>0</v>
      </c>
      <c r="AO1770" s="4">
        <v>0</v>
      </c>
      <c r="AP1770" s="4">
        <v>12</v>
      </c>
      <c r="AQ1770" s="4">
        <v>26</v>
      </c>
      <c r="AR1770" s="3" t="s">
        <v>62</v>
      </c>
      <c r="AS1770" s="3" t="s">
        <v>62</v>
      </c>
      <c r="AT1770" s="3" t="s">
        <v>62</v>
      </c>
      <c r="AV1770" s="6" t="str">
        <f>HYPERLINK("http://mcgill.on.worldcat.org/oclc/216616537","Catalog Record")</f>
        <v>Catalog Record</v>
      </c>
      <c r="AW1770" s="6" t="str">
        <f>HYPERLINK("http://www.worldcat.org/oclc/216616537","WorldCat Record")</f>
        <v>WorldCat Record</v>
      </c>
      <c r="AX1770" s="3" t="s">
        <v>17553</v>
      </c>
      <c r="AY1770" s="3" t="s">
        <v>17554</v>
      </c>
      <c r="AZ1770" s="3" t="s">
        <v>17555</v>
      </c>
      <c r="BA1770" s="3" t="s">
        <v>17555</v>
      </c>
      <c r="BB1770" s="3" t="s">
        <v>17556</v>
      </c>
      <c r="BC1770" s="3" t="s">
        <v>102</v>
      </c>
      <c r="BD1770" s="3" t="s">
        <v>68</v>
      </c>
      <c r="BE1770" s="3" t="s">
        <v>17557</v>
      </c>
      <c r="BF1770" s="3" t="s">
        <v>17556</v>
      </c>
      <c r="BG1770" s="3" t="s">
        <v>17558</v>
      </c>
    </row>
    <row r="1771" spans="1:59" ht="58" x14ac:dyDescent="0.35">
      <c r="A1771" s="2" t="s">
        <v>89</v>
      </c>
      <c r="B1771" s="2" t="s">
        <v>90</v>
      </c>
      <c r="C1771" s="2" t="s">
        <v>17559</v>
      </c>
      <c r="D1771" s="2" t="s">
        <v>17560</v>
      </c>
      <c r="E1771" s="2" t="s">
        <v>17561</v>
      </c>
      <c r="G1771" s="3" t="s">
        <v>62</v>
      </c>
      <c r="I1771" s="3" t="s">
        <v>62</v>
      </c>
      <c r="J1771" s="3" t="s">
        <v>62</v>
      </c>
      <c r="K1771" s="3" t="s">
        <v>63</v>
      </c>
      <c r="M1771" s="2" t="s">
        <v>17562</v>
      </c>
      <c r="N1771" s="3" t="s">
        <v>2000</v>
      </c>
      <c r="P1771" s="3" t="s">
        <v>64</v>
      </c>
      <c r="R1771" s="3" t="s">
        <v>13065</v>
      </c>
      <c r="S1771" s="4">
        <v>29</v>
      </c>
      <c r="T1771" s="4">
        <v>29</v>
      </c>
      <c r="U1771" s="5" t="s">
        <v>17563</v>
      </c>
      <c r="V1771" s="5" t="s">
        <v>17563</v>
      </c>
      <c r="W1771" s="5" t="s">
        <v>67</v>
      </c>
      <c r="X1771" s="5" t="s">
        <v>67</v>
      </c>
      <c r="Y1771" s="4">
        <v>213</v>
      </c>
      <c r="Z1771" s="4">
        <v>14</v>
      </c>
      <c r="AA1771" s="4">
        <v>14</v>
      </c>
      <c r="AB1771" s="4">
        <v>2</v>
      </c>
      <c r="AC1771" s="4">
        <v>2</v>
      </c>
      <c r="AD1771" s="4">
        <v>68</v>
      </c>
      <c r="AE1771" s="4">
        <v>68</v>
      </c>
      <c r="AF1771" s="4">
        <v>1</v>
      </c>
      <c r="AG1771" s="4">
        <v>1</v>
      </c>
      <c r="AH1771" s="4">
        <v>61</v>
      </c>
      <c r="AI1771" s="4">
        <v>61</v>
      </c>
      <c r="AJ1771" s="4">
        <v>11</v>
      </c>
      <c r="AK1771" s="4">
        <v>11</v>
      </c>
      <c r="AL1771" s="4">
        <v>35</v>
      </c>
      <c r="AM1771" s="4">
        <v>35</v>
      </c>
      <c r="AN1771" s="4">
        <v>5</v>
      </c>
      <c r="AO1771" s="4">
        <v>5</v>
      </c>
      <c r="AP1771" s="4">
        <v>12</v>
      </c>
      <c r="AQ1771" s="4">
        <v>12</v>
      </c>
      <c r="AR1771" s="3" t="s">
        <v>62</v>
      </c>
      <c r="AS1771" s="3" t="s">
        <v>62</v>
      </c>
      <c r="AT1771" s="3" t="s">
        <v>61</v>
      </c>
      <c r="AU1771" s="6" t="str">
        <f>HYPERLINK("http://catalog.hathitrust.org/Record/102219498","HathiTrust Record")</f>
        <v>HathiTrust Record</v>
      </c>
      <c r="AV1771" s="6" t="str">
        <f>HYPERLINK("http://mcgill.on.worldcat.org/oclc/34558696","Catalog Record")</f>
        <v>Catalog Record</v>
      </c>
      <c r="AW1771" s="6" t="str">
        <f>HYPERLINK("http://www.worldcat.org/oclc/34558696","WorldCat Record")</f>
        <v>WorldCat Record</v>
      </c>
      <c r="AX1771" s="3" t="s">
        <v>17564</v>
      </c>
      <c r="AY1771" s="3" t="s">
        <v>17565</v>
      </c>
      <c r="AZ1771" s="3" t="s">
        <v>17566</v>
      </c>
      <c r="BA1771" s="3" t="s">
        <v>17566</v>
      </c>
      <c r="BB1771" s="3" t="s">
        <v>17567</v>
      </c>
      <c r="BC1771" s="3" t="s">
        <v>102</v>
      </c>
      <c r="BD1771" s="3" t="s">
        <v>68</v>
      </c>
      <c r="BE1771" s="3" t="s">
        <v>17568</v>
      </c>
      <c r="BF1771" s="3" t="s">
        <v>17567</v>
      </c>
      <c r="BG1771" s="3" t="s">
        <v>17569</v>
      </c>
    </row>
    <row r="1772" spans="1:59" ht="58" x14ac:dyDescent="0.35">
      <c r="A1772" s="2" t="s">
        <v>89</v>
      </c>
      <c r="B1772" s="2" t="s">
        <v>90</v>
      </c>
      <c r="C1772" s="2" t="s">
        <v>17570</v>
      </c>
      <c r="D1772" s="2" t="s">
        <v>17571</v>
      </c>
      <c r="E1772" s="2" t="s">
        <v>17572</v>
      </c>
      <c r="G1772" s="3" t="s">
        <v>62</v>
      </c>
      <c r="I1772" s="3" t="s">
        <v>62</v>
      </c>
      <c r="J1772" s="3" t="s">
        <v>62</v>
      </c>
      <c r="K1772" s="3" t="s">
        <v>63</v>
      </c>
      <c r="L1772" s="2" t="s">
        <v>17573</v>
      </c>
      <c r="M1772" s="2" t="s">
        <v>17574</v>
      </c>
      <c r="N1772" s="3" t="s">
        <v>625</v>
      </c>
      <c r="P1772" s="3" t="s">
        <v>64</v>
      </c>
      <c r="R1772" s="3" t="s">
        <v>13065</v>
      </c>
      <c r="S1772" s="4">
        <v>13</v>
      </c>
      <c r="T1772" s="4">
        <v>13</v>
      </c>
      <c r="U1772" s="5" t="s">
        <v>17575</v>
      </c>
      <c r="V1772" s="5" t="s">
        <v>17575</v>
      </c>
      <c r="W1772" s="5" t="s">
        <v>67</v>
      </c>
      <c r="X1772" s="5" t="s">
        <v>67</v>
      </c>
      <c r="Y1772" s="4">
        <v>314</v>
      </c>
      <c r="Z1772" s="4">
        <v>20</v>
      </c>
      <c r="AA1772" s="4">
        <v>30</v>
      </c>
      <c r="AB1772" s="4">
        <v>2</v>
      </c>
      <c r="AC1772" s="4">
        <v>5</v>
      </c>
      <c r="AD1772" s="4">
        <v>71</v>
      </c>
      <c r="AE1772" s="4">
        <v>88</v>
      </c>
      <c r="AF1772" s="4">
        <v>1</v>
      </c>
      <c r="AG1772" s="4">
        <v>3</v>
      </c>
      <c r="AH1772" s="4">
        <v>62</v>
      </c>
      <c r="AI1772" s="4">
        <v>73</v>
      </c>
      <c r="AJ1772" s="4">
        <v>9</v>
      </c>
      <c r="AK1772" s="4">
        <v>16</v>
      </c>
      <c r="AL1772" s="4">
        <v>34</v>
      </c>
      <c r="AM1772" s="4">
        <v>40</v>
      </c>
      <c r="AN1772" s="4">
        <v>0</v>
      </c>
      <c r="AO1772" s="4">
        <v>0</v>
      </c>
      <c r="AP1772" s="4">
        <v>13</v>
      </c>
      <c r="AQ1772" s="4">
        <v>20</v>
      </c>
      <c r="AR1772" s="3" t="s">
        <v>62</v>
      </c>
      <c r="AS1772" s="3" t="s">
        <v>62</v>
      </c>
      <c r="AT1772" s="3" t="s">
        <v>62</v>
      </c>
      <c r="AV1772" s="6" t="str">
        <f>HYPERLINK("http://mcgill.on.worldcat.org/oclc/52214874","Catalog Record")</f>
        <v>Catalog Record</v>
      </c>
      <c r="AW1772" s="6" t="str">
        <f>HYPERLINK("http://www.worldcat.org/oclc/52214874","WorldCat Record")</f>
        <v>WorldCat Record</v>
      </c>
      <c r="AX1772" s="3" t="s">
        <v>17576</v>
      </c>
      <c r="AY1772" s="3" t="s">
        <v>17577</v>
      </c>
      <c r="AZ1772" s="3" t="s">
        <v>17578</v>
      </c>
      <c r="BA1772" s="3" t="s">
        <v>17578</v>
      </c>
      <c r="BB1772" s="3" t="s">
        <v>17579</v>
      </c>
      <c r="BC1772" s="3" t="s">
        <v>102</v>
      </c>
      <c r="BD1772" s="3" t="s">
        <v>68</v>
      </c>
      <c r="BE1772" s="3" t="s">
        <v>17580</v>
      </c>
      <c r="BF1772" s="3" t="s">
        <v>17579</v>
      </c>
      <c r="BG1772" s="3" t="s">
        <v>17581</v>
      </c>
    </row>
    <row r="1773" spans="1:59" ht="58" x14ac:dyDescent="0.35">
      <c r="A1773" s="2" t="s">
        <v>89</v>
      </c>
      <c r="B1773" s="2" t="s">
        <v>90</v>
      </c>
      <c r="C1773" s="2" t="s">
        <v>17582</v>
      </c>
      <c r="D1773" s="2" t="s">
        <v>17583</v>
      </c>
      <c r="E1773" s="2" t="s">
        <v>17584</v>
      </c>
      <c r="G1773" s="3" t="s">
        <v>62</v>
      </c>
      <c r="I1773" s="3" t="s">
        <v>61</v>
      </c>
      <c r="J1773" s="3" t="s">
        <v>62</v>
      </c>
      <c r="K1773" s="3" t="s">
        <v>63</v>
      </c>
      <c r="L1773" s="2" t="s">
        <v>17585</v>
      </c>
      <c r="M1773" s="2" t="s">
        <v>17586</v>
      </c>
      <c r="N1773" s="3" t="s">
        <v>481</v>
      </c>
      <c r="P1773" s="3" t="s">
        <v>64</v>
      </c>
      <c r="R1773" s="3" t="s">
        <v>13065</v>
      </c>
      <c r="S1773" s="4">
        <v>40</v>
      </c>
      <c r="T1773" s="4">
        <v>62</v>
      </c>
      <c r="U1773" s="5" t="s">
        <v>17587</v>
      </c>
      <c r="V1773" s="5" t="s">
        <v>84</v>
      </c>
      <c r="W1773" s="5" t="s">
        <v>67</v>
      </c>
      <c r="X1773" s="5" t="s">
        <v>67</v>
      </c>
      <c r="Y1773" s="4">
        <v>846</v>
      </c>
      <c r="Z1773" s="4">
        <v>48</v>
      </c>
      <c r="AA1773" s="4">
        <v>77</v>
      </c>
      <c r="AB1773" s="4">
        <v>4</v>
      </c>
      <c r="AC1773" s="4">
        <v>12</v>
      </c>
      <c r="AD1773" s="4">
        <v>117</v>
      </c>
      <c r="AE1773" s="4">
        <v>143</v>
      </c>
      <c r="AF1773" s="4">
        <v>2</v>
      </c>
      <c r="AG1773" s="4">
        <v>6</v>
      </c>
      <c r="AH1773" s="4">
        <v>95</v>
      </c>
      <c r="AI1773" s="4">
        <v>111</v>
      </c>
      <c r="AJ1773" s="4">
        <v>17</v>
      </c>
      <c r="AK1773" s="4">
        <v>26</v>
      </c>
      <c r="AL1773" s="4">
        <v>52</v>
      </c>
      <c r="AM1773" s="4">
        <v>58</v>
      </c>
      <c r="AN1773" s="4">
        <v>0</v>
      </c>
      <c r="AO1773" s="4">
        <v>0</v>
      </c>
      <c r="AP1773" s="4">
        <v>28</v>
      </c>
      <c r="AQ1773" s="4">
        <v>41</v>
      </c>
      <c r="AR1773" s="3" t="s">
        <v>62</v>
      </c>
      <c r="AS1773" s="3" t="s">
        <v>62</v>
      </c>
      <c r="AT1773" s="3" t="s">
        <v>62</v>
      </c>
      <c r="AV1773" s="6" t="str">
        <f>HYPERLINK("http://mcgill.on.worldcat.org/oclc/36446940","Catalog Record")</f>
        <v>Catalog Record</v>
      </c>
      <c r="AW1773" s="6" t="str">
        <f>HYPERLINK("http://www.worldcat.org/oclc/36446940","WorldCat Record")</f>
        <v>WorldCat Record</v>
      </c>
      <c r="AX1773" s="3" t="s">
        <v>17588</v>
      </c>
      <c r="AY1773" s="3" t="s">
        <v>17589</v>
      </c>
      <c r="AZ1773" s="3" t="s">
        <v>17590</v>
      </c>
      <c r="BA1773" s="3" t="s">
        <v>17590</v>
      </c>
      <c r="BB1773" s="3" t="s">
        <v>17591</v>
      </c>
      <c r="BC1773" s="3" t="s">
        <v>102</v>
      </c>
      <c r="BD1773" s="3" t="s">
        <v>68</v>
      </c>
      <c r="BE1773" s="3" t="s">
        <v>17592</v>
      </c>
      <c r="BF1773" s="3" t="s">
        <v>17591</v>
      </c>
      <c r="BG1773" s="3" t="s">
        <v>17593</v>
      </c>
    </row>
    <row r="1774" spans="1:59" ht="58" x14ac:dyDescent="0.35">
      <c r="A1774" s="2" t="s">
        <v>89</v>
      </c>
      <c r="B1774" s="2" t="s">
        <v>90</v>
      </c>
      <c r="C1774" s="2" t="s">
        <v>17582</v>
      </c>
      <c r="D1774" s="2" t="s">
        <v>17583</v>
      </c>
      <c r="E1774" s="2" t="s">
        <v>17584</v>
      </c>
      <c r="G1774" s="3" t="s">
        <v>62</v>
      </c>
      <c r="I1774" s="3" t="s">
        <v>61</v>
      </c>
      <c r="J1774" s="3" t="s">
        <v>62</v>
      </c>
      <c r="K1774" s="3" t="s">
        <v>63</v>
      </c>
      <c r="L1774" s="2" t="s">
        <v>17585</v>
      </c>
      <c r="M1774" s="2" t="s">
        <v>17586</v>
      </c>
      <c r="N1774" s="3" t="s">
        <v>481</v>
      </c>
      <c r="P1774" s="3" t="s">
        <v>64</v>
      </c>
      <c r="R1774" s="3" t="s">
        <v>13065</v>
      </c>
      <c r="S1774" s="4">
        <v>22</v>
      </c>
      <c r="T1774" s="4">
        <v>62</v>
      </c>
      <c r="U1774" s="5" t="s">
        <v>84</v>
      </c>
      <c r="V1774" s="5" t="s">
        <v>84</v>
      </c>
      <c r="W1774" s="5" t="s">
        <v>67</v>
      </c>
      <c r="X1774" s="5" t="s">
        <v>67</v>
      </c>
      <c r="Y1774" s="4">
        <v>846</v>
      </c>
      <c r="Z1774" s="4">
        <v>48</v>
      </c>
      <c r="AA1774" s="4">
        <v>77</v>
      </c>
      <c r="AB1774" s="4">
        <v>4</v>
      </c>
      <c r="AC1774" s="4">
        <v>12</v>
      </c>
      <c r="AD1774" s="4">
        <v>117</v>
      </c>
      <c r="AE1774" s="4">
        <v>143</v>
      </c>
      <c r="AF1774" s="4">
        <v>2</v>
      </c>
      <c r="AG1774" s="4">
        <v>6</v>
      </c>
      <c r="AH1774" s="4">
        <v>95</v>
      </c>
      <c r="AI1774" s="4">
        <v>111</v>
      </c>
      <c r="AJ1774" s="4">
        <v>17</v>
      </c>
      <c r="AK1774" s="4">
        <v>26</v>
      </c>
      <c r="AL1774" s="4">
        <v>52</v>
      </c>
      <c r="AM1774" s="4">
        <v>58</v>
      </c>
      <c r="AN1774" s="4">
        <v>0</v>
      </c>
      <c r="AO1774" s="4">
        <v>0</v>
      </c>
      <c r="AP1774" s="4">
        <v>28</v>
      </c>
      <c r="AQ1774" s="4">
        <v>41</v>
      </c>
      <c r="AR1774" s="3" t="s">
        <v>62</v>
      </c>
      <c r="AS1774" s="3" t="s">
        <v>62</v>
      </c>
      <c r="AT1774" s="3" t="s">
        <v>62</v>
      </c>
      <c r="AV1774" s="6" t="str">
        <f>HYPERLINK("http://mcgill.on.worldcat.org/oclc/36446940","Catalog Record")</f>
        <v>Catalog Record</v>
      </c>
      <c r="AW1774" s="6" t="str">
        <f>HYPERLINK("http://www.worldcat.org/oclc/36446940","WorldCat Record")</f>
        <v>WorldCat Record</v>
      </c>
      <c r="AX1774" s="3" t="s">
        <v>17588</v>
      </c>
      <c r="AY1774" s="3" t="s">
        <v>17589</v>
      </c>
      <c r="AZ1774" s="3" t="s">
        <v>17590</v>
      </c>
      <c r="BA1774" s="3" t="s">
        <v>17590</v>
      </c>
      <c r="BB1774" s="3" t="s">
        <v>17594</v>
      </c>
      <c r="BC1774" s="3" t="s">
        <v>102</v>
      </c>
      <c r="BD1774" s="3" t="s">
        <v>231</v>
      </c>
      <c r="BE1774" s="3" t="s">
        <v>17592</v>
      </c>
      <c r="BF1774" s="3" t="s">
        <v>17594</v>
      </c>
      <c r="BG1774" s="3" t="s">
        <v>17595</v>
      </c>
    </row>
    <row r="1775" spans="1:59" ht="58" x14ac:dyDescent="0.35">
      <c r="A1775" s="2" t="s">
        <v>89</v>
      </c>
      <c r="B1775" s="2" t="s">
        <v>90</v>
      </c>
      <c r="C1775" s="2" t="s">
        <v>17596</v>
      </c>
      <c r="D1775" s="2" t="s">
        <v>17597</v>
      </c>
      <c r="E1775" s="2" t="s">
        <v>17598</v>
      </c>
      <c r="G1775" s="3" t="s">
        <v>62</v>
      </c>
      <c r="I1775" s="3" t="s">
        <v>62</v>
      </c>
      <c r="J1775" s="3" t="s">
        <v>62</v>
      </c>
      <c r="K1775" s="3" t="s">
        <v>63</v>
      </c>
      <c r="M1775" s="2" t="s">
        <v>17599</v>
      </c>
      <c r="N1775" s="3" t="s">
        <v>1722</v>
      </c>
      <c r="P1775" s="3" t="s">
        <v>64</v>
      </c>
      <c r="Q1775" s="2" t="s">
        <v>17600</v>
      </c>
      <c r="R1775" s="3" t="s">
        <v>13065</v>
      </c>
      <c r="S1775" s="4">
        <v>4</v>
      </c>
      <c r="T1775" s="4">
        <v>4</v>
      </c>
      <c r="U1775" s="5" t="s">
        <v>17563</v>
      </c>
      <c r="V1775" s="5" t="s">
        <v>17563</v>
      </c>
      <c r="W1775" s="5" t="s">
        <v>67</v>
      </c>
      <c r="X1775" s="5" t="s">
        <v>67</v>
      </c>
      <c r="Y1775" s="4">
        <v>144</v>
      </c>
      <c r="Z1775" s="4">
        <v>5</v>
      </c>
      <c r="AA1775" s="4">
        <v>12</v>
      </c>
      <c r="AB1775" s="4">
        <v>2</v>
      </c>
      <c r="AC1775" s="4">
        <v>5</v>
      </c>
      <c r="AD1775" s="4">
        <v>43</v>
      </c>
      <c r="AE1775" s="4">
        <v>50</v>
      </c>
      <c r="AF1775" s="4">
        <v>0</v>
      </c>
      <c r="AG1775" s="4">
        <v>1</v>
      </c>
      <c r="AH1775" s="4">
        <v>41</v>
      </c>
      <c r="AI1775" s="4">
        <v>44</v>
      </c>
      <c r="AJ1775" s="4">
        <v>2</v>
      </c>
      <c r="AK1775" s="4">
        <v>5</v>
      </c>
      <c r="AL1775" s="4">
        <v>27</v>
      </c>
      <c r="AM1775" s="4">
        <v>29</v>
      </c>
      <c r="AN1775" s="4">
        <v>0</v>
      </c>
      <c r="AO1775" s="4">
        <v>0</v>
      </c>
      <c r="AP1775" s="4">
        <v>2</v>
      </c>
      <c r="AQ1775" s="4">
        <v>7</v>
      </c>
      <c r="AR1775" s="3" t="s">
        <v>62</v>
      </c>
      <c r="AS1775" s="3" t="s">
        <v>62</v>
      </c>
      <c r="AT1775" s="3" t="s">
        <v>62</v>
      </c>
      <c r="AV1775" s="6" t="str">
        <f>HYPERLINK("http://mcgill.on.worldcat.org/oclc/229035581","Catalog Record")</f>
        <v>Catalog Record</v>
      </c>
      <c r="AW1775" s="6" t="str">
        <f>HYPERLINK("http://www.worldcat.org/oclc/229035581","WorldCat Record")</f>
        <v>WorldCat Record</v>
      </c>
      <c r="AX1775" s="3" t="s">
        <v>17601</v>
      </c>
      <c r="AY1775" s="3" t="s">
        <v>17602</v>
      </c>
      <c r="AZ1775" s="3" t="s">
        <v>17603</v>
      </c>
      <c r="BA1775" s="3" t="s">
        <v>17603</v>
      </c>
      <c r="BB1775" s="3" t="s">
        <v>17604</v>
      </c>
      <c r="BC1775" s="3" t="s">
        <v>102</v>
      </c>
      <c r="BD1775" s="3" t="s">
        <v>68</v>
      </c>
      <c r="BE1775" s="3" t="s">
        <v>17605</v>
      </c>
      <c r="BF1775" s="3" t="s">
        <v>17604</v>
      </c>
      <c r="BG1775" s="3" t="s">
        <v>17606</v>
      </c>
    </row>
    <row r="1776" spans="1:59" ht="58" x14ac:dyDescent="0.35">
      <c r="A1776" s="2" t="s">
        <v>89</v>
      </c>
      <c r="B1776" s="2" t="s">
        <v>90</v>
      </c>
      <c r="C1776" s="2" t="s">
        <v>17607</v>
      </c>
      <c r="D1776" s="2" t="s">
        <v>17608</v>
      </c>
      <c r="E1776" s="2" t="s">
        <v>17609</v>
      </c>
      <c r="G1776" s="3" t="s">
        <v>62</v>
      </c>
      <c r="I1776" s="3" t="s">
        <v>62</v>
      </c>
      <c r="J1776" s="3" t="s">
        <v>62</v>
      </c>
      <c r="K1776" s="3" t="s">
        <v>63</v>
      </c>
      <c r="L1776" s="2" t="s">
        <v>17610</v>
      </c>
      <c r="M1776" s="2" t="s">
        <v>17611</v>
      </c>
      <c r="N1776" s="3" t="s">
        <v>539</v>
      </c>
      <c r="P1776" s="3" t="s">
        <v>64</v>
      </c>
      <c r="R1776" s="3" t="s">
        <v>13065</v>
      </c>
      <c r="S1776" s="4">
        <v>6</v>
      </c>
      <c r="T1776" s="4">
        <v>6</v>
      </c>
      <c r="U1776" s="5" t="s">
        <v>17612</v>
      </c>
      <c r="V1776" s="5" t="s">
        <v>17612</v>
      </c>
      <c r="W1776" s="5" t="s">
        <v>67</v>
      </c>
      <c r="X1776" s="5" t="s">
        <v>67</v>
      </c>
      <c r="Y1776" s="4">
        <v>203</v>
      </c>
      <c r="Z1776" s="4">
        <v>17</v>
      </c>
      <c r="AA1776" s="4">
        <v>17</v>
      </c>
      <c r="AB1776" s="4">
        <v>1</v>
      </c>
      <c r="AC1776" s="4">
        <v>1</v>
      </c>
      <c r="AD1776" s="4">
        <v>37</v>
      </c>
      <c r="AE1776" s="4">
        <v>37</v>
      </c>
      <c r="AF1776" s="4">
        <v>0</v>
      </c>
      <c r="AG1776" s="4">
        <v>0</v>
      </c>
      <c r="AH1776" s="4">
        <v>31</v>
      </c>
      <c r="AI1776" s="4">
        <v>31</v>
      </c>
      <c r="AJ1776" s="4">
        <v>6</v>
      </c>
      <c r="AK1776" s="4">
        <v>6</v>
      </c>
      <c r="AL1776" s="4">
        <v>15</v>
      </c>
      <c r="AM1776" s="4">
        <v>15</v>
      </c>
      <c r="AN1776" s="4">
        <v>5</v>
      </c>
      <c r="AO1776" s="4">
        <v>5</v>
      </c>
      <c r="AP1776" s="4">
        <v>9</v>
      </c>
      <c r="AQ1776" s="4">
        <v>9</v>
      </c>
      <c r="AR1776" s="3" t="s">
        <v>62</v>
      </c>
      <c r="AS1776" s="3" t="s">
        <v>62</v>
      </c>
      <c r="AT1776" s="3" t="s">
        <v>61</v>
      </c>
      <c r="AU1776" s="6" t="str">
        <f>HYPERLINK("http://catalog.hathitrust.org/Record/101992440","HathiTrust Record")</f>
        <v>HathiTrust Record</v>
      </c>
      <c r="AV1776" s="6" t="str">
        <f>HYPERLINK("http://mcgill.on.worldcat.org/oclc/36909613","Catalog Record")</f>
        <v>Catalog Record</v>
      </c>
      <c r="AW1776" s="6" t="str">
        <f>HYPERLINK("http://www.worldcat.org/oclc/36909613","WorldCat Record")</f>
        <v>WorldCat Record</v>
      </c>
      <c r="AX1776" s="3" t="s">
        <v>17613</v>
      </c>
      <c r="AY1776" s="3" t="s">
        <v>17614</v>
      </c>
      <c r="AZ1776" s="3" t="s">
        <v>17615</v>
      </c>
      <c r="BA1776" s="3" t="s">
        <v>17615</v>
      </c>
      <c r="BB1776" s="3" t="s">
        <v>17616</v>
      </c>
      <c r="BC1776" s="3" t="s">
        <v>102</v>
      </c>
      <c r="BD1776" s="3" t="s">
        <v>68</v>
      </c>
      <c r="BE1776" s="3" t="s">
        <v>17617</v>
      </c>
      <c r="BF1776" s="3" t="s">
        <v>17616</v>
      </c>
      <c r="BG1776" s="3" t="s">
        <v>17618</v>
      </c>
    </row>
    <row r="1777" spans="1:59" ht="101.5" x14ac:dyDescent="0.35">
      <c r="A1777" s="2" t="s">
        <v>89</v>
      </c>
      <c r="B1777" s="2" t="s">
        <v>12301</v>
      </c>
      <c r="C1777" s="2" t="s">
        <v>17619</v>
      </c>
      <c r="D1777" s="2" t="s">
        <v>17620</v>
      </c>
      <c r="E1777" s="2" t="s">
        <v>17621</v>
      </c>
      <c r="G1777" s="3" t="s">
        <v>62</v>
      </c>
      <c r="I1777" s="3" t="s">
        <v>61</v>
      </c>
      <c r="J1777" s="3" t="s">
        <v>61</v>
      </c>
      <c r="K1777" s="3" t="s">
        <v>63</v>
      </c>
      <c r="L1777" s="2" t="s">
        <v>17622</v>
      </c>
      <c r="M1777" s="2" t="s">
        <v>17623</v>
      </c>
      <c r="N1777" s="3" t="s">
        <v>625</v>
      </c>
      <c r="O1777" s="2" t="s">
        <v>17427</v>
      </c>
      <c r="P1777" s="3" t="s">
        <v>64</v>
      </c>
      <c r="Q1777" s="2" t="s">
        <v>17624</v>
      </c>
      <c r="R1777" s="3" t="s">
        <v>13065</v>
      </c>
      <c r="S1777" s="4">
        <v>110</v>
      </c>
      <c r="T1777" s="4">
        <v>112</v>
      </c>
      <c r="U1777" s="5" t="s">
        <v>14092</v>
      </c>
      <c r="V1777" s="5" t="s">
        <v>10654</v>
      </c>
      <c r="W1777" s="5" t="s">
        <v>67</v>
      </c>
      <c r="X1777" s="5" t="s">
        <v>67</v>
      </c>
      <c r="Y1777" s="4">
        <v>175</v>
      </c>
      <c r="Z1777" s="4">
        <v>16</v>
      </c>
      <c r="AA1777" s="4">
        <v>98</v>
      </c>
      <c r="AB1777" s="4">
        <v>3</v>
      </c>
      <c r="AC1777" s="4">
        <v>21</v>
      </c>
      <c r="AD1777" s="4">
        <v>25</v>
      </c>
      <c r="AE1777" s="4">
        <v>155</v>
      </c>
      <c r="AF1777" s="4">
        <v>1</v>
      </c>
      <c r="AG1777" s="4">
        <v>9</v>
      </c>
      <c r="AH1777" s="4">
        <v>19</v>
      </c>
      <c r="AI1777" s="4">
        <v>112</v>
      </c>
      <c r="AJ1777" s="4">
        <v>8</v>
      </c>
      <c r="AK1777" s="4">
        <v>27</v>
      </c>
      <c r="AL1777" s="4">
        <v>12</v>
      </c>
      <c r="AM1777" s="4">
        <v>59</v>
      </c>
      <c r="AN1777" s="4">
        <v>0</v>
      </c>
      <c r="AO1777" s="4">
        <v>3</v>
      </c>
      <c r="AP1777" s="4">
        <v>10</v>
      </c>
      <c r="AQ1777" s="4">
        <v>52</v>
      </c>
      <c r="AR1777" s="3" t="s">
        <v>62</v>
      </c>
      <c r="AS1777" s="3" t="s">
        <v>62</v>
      </c>
      <c r="AT1777" s="3" t="s">
        <v>62</v>
      </c>
      <c r="AV1777" s="6" t="str">
        <f>HYPERLINK("http://mcgill.on.worldcat.org/oclc/53797180","Catalog Record")</f>
        <v>Catalog Record</v>
      </c>
      <c r="AW1777" s="6" t="str">
        <f>HYPERLINK("http://www.worldcat.org/oclc/53797180","WorldCat Record")</f>
        <v>WorldCat Record</v>
      </c>
      <c r="AX1777" s="3" t="s">
        <v>17625</v>
      </c>
      <c r="AY1777" s="3" t="s">
        <v>17626</v>
      </c>
      <c r="AZ1777" s="3" t="s">
        <v>17627</v>
      </c>
      <c r="BA1777" s="3" t="s">
        <v>17627</v>
      </c>
      <c r="BB1777" s="3" t="s">
        <v>17628</v>
      </c>
      <c r="BC1777" s="3" t="s">
        <v>102</v>
      </c>
      <c r="BD1777" s="3" t="s">
        <v>68</v>
      </c>
      <c r="BE1777" s="3" t="s">
        <v>17629</v>
      </c>
      <c r="BF1777" s="3" t="s">
        <v>17628</v>
      </c>
      <c r="BG1777" s="3" t="s">
        <v>17630</v>
      </c>
    </row>
    <row r="1778" spans="1:59" ht="101.5" x14ac:dyDescent="0.35">
      <c r="A1778" s="2" t="s">
        <v>89</v>
      </c>
      <c r="B1778" s="2" t="s">
        <v>12301</v>
      </c>
      <c r="C1778" s="2" t="s">
        <v>17631</v>
      </c>
      <c r="D1778" s="2" t="s">
        <v>17632</v>
      </c>
      <c r="E1778" s="2" t="s">
        <v>17621</v>
      </c>
      <c r="G1778" s="3" t="s">
        <v>62</v>
      </c>
      <c r="I1778" s="3" t="s">
        <v>61</v>
      </c>
      <c r="J1778" s="3" t="s">
        <v>61</v>
      </c>
      <c r="K1778" s="3" t="s">
        <v>63</v>
      </c>
      <c r="L1778" s="2" t="s">
        <v>17622</v>
      </c>
      <c r="M1778" s="2" t="s">
        <v>17633</v>
      </c>
      <c r="N1778" s="3" t="s">
        <v>2985</v>
      </c>
      <c r="O1778" s="2" t="s">
        <v>17018</v>
      </c>
      <c r="P1778" s="3" t="s">
        <v>64</v>
      </c>
      <c r="R1778" s="3" t="s">
        <v>13065</v>
      </c>
      <c r="S1778" s="4">
        <v>106</v>
      </c>
      <c r="T1778" s="4">
        <v>228</v>
      </c>
      <c r="U1778" s="5" t="s">
        <v>16936</v>
      </c>
      <c r="V1778" s="5" t="s">
        <v>16936</v>
      </c>
      <c r="W1778" s="5" t="s">
        <v>67</v>
      </c>
      <c r="X1778" s="5" t="s">
        <v>67</v>
      </c>
      <c r="Y1778" s="4">
        <v>341</v>
      </c>
      <c r="Z1778" s="4">
        <v>28</v>
      </c>
      <c r="AA1778" s="4">
        <v>98</v>
      </c>
      <c r="AB1778" s="4">
        <v>2</v>
      </c>
      <c r="AC1778" s="4">
        <v>21</v>
      </c>
      <c r="AD1778" s="4">
        <v>66</v>
      </c>
      <c r="AE1778" s="4">
        <v>155</v>
      </c>
      <c r="AF1778" s="4">
        <v>1</v>
      </c>
      <c r="AG1778" s="4">
        <v>9</v>
      </c>
      <c r="AH1778" s="4">
        <v>52</v>
      </c>
      <c r="AI1778" s="4">
        <v>112</v>
      </c>
      <c r="AJ1778" s="4">
        <v>12</v>
      </c>
      <c r="AK1778" s="4">
        <v>27</v>
      </c>
      <c r="AL1778" s="4">
        <v>35</v>
      </c>
      <c r="AM1778" s="4">
        <v>59</v>
      </c>
      <c r="AN1778" s="4">
        <v>0</v>
      </c>
      <c r="AO1778" s="4">
        <v>3</v>
      </c>
      <c r="AP1778" s="4">
        <v>19</v>
      </c>
      <c r="AQ1778" s="4">
        <v>52</v>
      </c>
      <c r="AR1778" s="3" t="s">
        <v>62</v>
      </c>
      <c r="AS1778" s="3" t="s">
        <v>62</v>
      </c>
      <c r="AT1778" s="3" t="s">
        <v>62</v>
      </c>
      <c r="AV1778" s="6" t="str">
        <f>HYPERLINK("http://mcgill.on.worldcat.org/oclc/260208396","Catalog Record")</f>
        <v>Catalog Record</v>
      </c>
      <c r="AW1778" s="6" t="str">
        <f>HYPERLINK("http://www.worldcat.org/oclc/260208396","WorldCat Record")</f>
        <v>WorldCat Record</v>
      </c>
      <c r="AX1778" s="3" t="s">
        <v>17625</v>
      </c>
      <c r="AY1778" s="3" t="s">
        <v>17634</v>
      </c>
      <c r="AZ1778" s="3" t="s">
        <v>17635</v>
      </c>
      <c r="BA1778" s="3" t="s">
        <v>17635</v>
      </c>
      <c r="BB1778" s="3" t="s">
        <v>17636</v>
      </c>
      <c r="BC1778" s="3" t="s">
        <v>102</v>
      </c>
      <c r="BD1778" s="3" t="s">
        <v>68</v>
      </c>
      <c r="BE1778" s="3" t="s">
        <v>17637</v>
      </c>
      <c r="BF1778" s="3" t="s">
        <v>17636</v>
      </c>
      <c r="BG1778" s="3" t="s">
        <v>17638</v>
      </c>
    </row>
    <row r="1779" spans="1:59" ht="101.5" x14ac:dyDescent="0.35">
      <c r="A1779" s="2" t="s">
        <v>89</v>
      </c>
      <c r="B1779" s="2" t="s">
        <v>12301</v>
      </c>
      <c r="C1779" s="2" t="s">
        <v>17631</v>
      </c>
      <c r="D1779" s="2" t="s">
        <v>17632</v>
      </c>
      <c r="E1779" s="2" t="s">
        <v>17621</v>
      </c>
      <c r="G1779" s="3" t="s">
        <v>62</v>
      </c>
      <c r="I1779" s="3" t="s">
        <v>61</v>
      </c>
      <c r="J1779" s="3" t="s">
        <v>61</v>
      </c>
      <c r="K1779" s="3" t="s">
        <v>63</v>
      </c>
      <c r="L1779" s="2" t="s">
        <v>17622</v>
      </c>
      <c r="M1779" s="2" t="s">
        <v>17633</v>
      </c>
      <c r="N1779" s="3" t="s">
        <v>2985</v>
      </c>
      <c r="O1779" s="2" t="s">
        <v>17018</v>
      </c>
      <c r="P1779" s="3" t="s">
        <v>64</v>
      </c>
      <c r="R1779" s="3" t="s">
        <v>13065</v>
      </c>
      <c r="S1779" s="4">
        <v>11</v>
      </c>
      <c r="T1779" s="4">
        <v>228</v>
      </c>
      <c r="U1779" s="5" t="s">
        <v>173</v>
      </c>
      <c r="V1779" s="5" t="s">
        <v>16936</v>
      </c>
      <c r="W1779" s="5" t="s">
        <v>67</v>
      </c>
      <c r="X1779" s="5" t="s">
        <v>67</v>
      </c>
      <c r="Y1779" s="4">
        <v>341</v>
      </c>
      <c r="Z1779" s="4">
        <v>28</v>
      </c>
      <c r="AA1779" s="4">
        <v>98</v>
      </c>
      <c r="AB1779" s="4">
        <v>2</v>
      </c>
      <c r="AC1779" s="4">
        <v>21</v>
      </c>
      <c r="AD1779" s="4">
        <v>66</v>
      </c>
      <c r="AE1779" s="4">
        <v>155</v>
      </c>
      <c r="AF1779" s="4">
        <v>1</v>
      </c>
      <c r="AG1779" s="4">
        <v>9</v>
      </c>
      <c r="AH1779" s="4">
        <v>52</v>
      </c>
      <c r="AI1779" s="4">
        <v>112</v>
      </c>
      <c r="AJ1779" s="4">
        <v>12</v>
      </c>
      <c r="AK1779" s="4">
        <v>27</v>
      </c>
      <c r="AL1779" s="4">
        <v>35</v>
      </c>
      <c r="AM1779" s="4">
        <v>59</v>
      </c>
      <c r="AN1779" s="4">
        <v>0</v>
      </c>
      <c r="AO1779" s="4">
        <v>3</v>
      </c>
      <c r="AP1779" s="4">
        <v>19</v>
      </c>
      <c r="AQ1779" s="4">
        <v>52</v>
      </c>
      <c r="AR1779" s="3" t="s">
        <v>62</v>
      </c>
      <c r="AS1779" s="3" t="s">
        <v>62</v>
      </c>
      <c r="AT1779" s="3" t="s">
        <v>62</v>
      </c>
      <c r="AV1779" s="6" t="str">
        <f>HYPERLINK("http://mcgill.on.worldcat.org/oclc/260208396","Catalog Record")</f>
        <v>Catalog Record</v>
      </c>
      <c r="AW1779" s="6" t="str">
        <f>HYPERLINK("http://www.worldcat.org/oclc/260208396","WorldCat Record")</f>
        <v>WorldCat Record</v>
      </c>
      <c r="AX1779" s="3" t="s">
        <v>17625</v>
      </c>
      <c r="AY1779" s="3" t="s">
        <v>17634</v>
      </c>
      <c r="AZ1779" s="3" t="s">
        <v>17635</v>
      </c>
      <c r="BA1779" s="3" t="s">
        <v>17635</v>
      </c>
      <c r="BB1779" s="3" t="s">
        <v>17639</v>
      </c>
      <c r="BC1779" s="3" t="s">
        <v>102</v>
      </c>
      <c r="BD1779" s="3" t="s">
        <v>68</v>
      </c>
      <c r="BE1779" s="3" t="s">
        <v>17637</v>
      </c>
      <c r="BF1779" s="3" t="s">
        <v>17639</v>
      </c>
      <c r="BG1779" s="3" t="s">
        <v>17640</v>
      </c>
    </row>
    <row r="1780" spans="1:59" ht="101.5" x14ac:dyDescent="0.35">
      <c r="A1780" s="2" t="s">
        <v>89</v>
      </c>
      <c r="B1780" s="2" t="s">
        <v>12301</v>
      </c>
      <c r="C1780" s="2" t="s">
        <v>17631</v>
      </c>
      <c r="D1780" s="2" t="s">
        <v>17632</v>
      </c>
      <c r="E1780" s="2" t="s">
        <v>17621</v>
      </c>
      <c r="G1780" s="3" t="s">
        <v>62</v>
      </c>
      <c r="I1780" s="3" t="s">
        <v>61</v>
      </c>
      <c r="J1780" s="3" t="s">
        <v>61</v>
      </c>
      <c r="K1780" s="3" t="s">
        <v>63</v>
      </c>
      <c r="L1780" s="2" t="s">
        <v>17622</v>
      </c>
      <c r="M1780" s="2" t="s">
        <v>17633</v>
      </c>
      <c r="N1780" s="3" t="s">
        <v>2985</v>
      </c>
      <c r="O1780" s="2" t="s">
        <v>17018</v>
      </c>
      <c r="P1780" s="3" t="s">
        <v>64</v>
      </c>
      <c r="R1780" s="3" t="s">
        <v>13065</v>
      </c>
      <c r="S1780" s="4">
        <v>111</v>
      </c>
      <c r="T1780" s="4">
        <v>228</v>
      </c>
      <c r="U1780" s="5" t="s">
        <v>3291</v>
      </c>
      <c r="V1780" s="5" t="s">
        <v>16936</v>
      </c>
      <c r="W1780" s="5" t="s">
        <v>67</v>
      </c>
      <c r="X1780" s="5" t="s">
        <v>67</v>
      </c>
      <c r="Y1780" s="4">
        <v>341</v>
      </c>
      <c r="Z1780" s="4">
        <v>28</v>
      </c>
      <c r="AA1780" s="4">
        <v>98</v>
      </c>
      <c r="AB1780" s="4">
        <v>2</v>
      </c>
      <c r="AC1780" s="4">
        <v>21</v>
      </c>
      <c r="AD1780" s="4">
        <v>66</v>
      </c>
      <c r="AE1780" s="4">
        <v>155</v>
      </c>
      <c r="AF1780" s="4">
        <v>1</v>
      </c>
      <c r="AG1780" s="4">
        <v>9</v>
      </c>
      <c r="AH1780" s="4">
        <v>52</v>
      </c>
      <c r="AI1780" s="4">
        <v>112</v>
      </c>
      <c r="AJ1780" s="4">
        <v>12</v>
      </c>
      <c r="AK1780" s="4">
        <v>27</v>
      </c>
      <c r="AL1780" s="4">
        <v>35</v>
      </c>
      <c r="AM1780" s="4">
        <v>59</v>
      </c>
      <c r="AN1780" s="4">
        <v>0</v>
      </c>
      <c r="AO1780" s="4">
        <v>3</v>
      </c>
      <c r="AP1780" s="4">
        <v>19</v>
      </c>
      <c r="AQ1780" s="4">
        <v>52</v>
      </c>
      <c r="AR1780" s="3" t="s">
        <v>62</v>
      </c>
      <c r="AS1780" s="3" t="s">
        <v>62</v>
      </c>
      <c r="AT1780" s="3" t="s">
        <v>62</v>
      </c>
      <c r="AV1780" s="6" t="str">
        <f>HYPERLINK("http://mcgill.on.worldcat.org/oclc/260208396","Catalog Record")</f>
        <v>Catalog Record</v>
      </c>
      <c r="AW1780" s="6" t="str">
        <f>HYPERLINK("http://www.worldcat.org/oclc/260208396","WorldCat Record")</f>
        <v>WorldCat Record</v>
      </c>
      <c r="AX1780" s="3" t="s">
        <v>17625</v>
      </c>
      <c r="AY1780" s="3" t="s">
        <v>17634</v>
      </c>
      <c r="AZ1780" s="3" t="s">
        <v>17635</v>
      </c>
      <c r="BA1780" s="3" t="s">
        <v>17635</v>
      </c>
      <c r="BB1780" s="3" t="s">
        <v>17641</v>
      </c>
      <c r="BC1780" s="3" t="s">
        <v>102</v>
      </c>
      <c r="BD1780" s="3" t="s">
        <v>68</v>
      </c>
      <c r="BE1780" s="3" t="s">
        <v>17637</v>
      </c>
      <c r="BF1780" s="3" t="s">
        <v>17641</v>
      </c>
      <c r="BG1780" s="3" t="s">
        <v>17642</v>
      </c>
    </row>
    <row r="1781" spans="1:59" ht="58" x14ac:dyDescent="0.35">
      <c r="A1781" s="2" t="s">
        <v>89</v>
      </c>
      <c r="B1781" s="2" t="s">
        <v>90</v>
      </c>
      <c r="C1781" s="2" t="s">
        <v>17643</v>
      </c>
      <c r="D1781" s="2" t="s">
        <v>17644</v>
      </c>
      <c r="E1781" s="2" t="s">
        <v>17645</v>
      </c>
      <c r="G1781" s="3" t="s">
        <v>62</v>
      </c>
      <c r="I1781" s="3" t="s">
        <v>61</v>
      </c>
      <c r="J1781" s="3" t="s">
        <v>61</v>
      </c>
      <c r="K1781" s="3" t="s">
        <v>63</v>
      </c>
      <c r="L1781" s="2" t="s">
        <v>17646</v>
      </c>
      <c r="M1781" s="2" t="s">
        <v>17647</v>
      </c>
      <c r="N1781" s="3" t="s">
        <v>2136</v>
      </c>
      <c r="O1781" s="2" t="s">
        <v>17648</v>
      </c>
      <c r="P1781" s="3" t="s">
        <v>64</v>
      </c>
      <c r="R1781" s="3" t="s">
        <v>13065</v>
      </c>
      <c r="S1781" s="4">
        <v>8</v>
      </c>
      <c r="T1781" s="4">
        <v>52</v>
      </c>
      <c r="U1781" s="5" t="s">
        <v>17649</v>
      </c>
      <c r="V1781" s="5" t="s">
        <v>7896</v>
      </c>
      <c r="W1781" s="5" t="s">
        <v>67</v>
      </c>
      <c r="X1781" s="5" t="s">
        <v>67</v>
      </c>
      <c r="Y1781" s="4">
        <v>276</v>
      </c>
      <c r="Z1781" s="4">
        <v>15</v>
      </c>
      <c r="AA1781" s="4">
        <v>74</v>
      </c>
      <c r="AB1781" s="4">
        <v>1</v>
      </c>
      <c r="AC1781" s="4">
        <v>18</v>
      </c>
      <c r="AD1781" s="4">
        <v>54</v>
      </c>
      <c r="AE1781" s="4">
        <v>129</v>
      </c>
      <c r="AF1781" s="4">
        <v>0</v>
      </c>
      <c r="AG1781" s="4">
        <v>9</v>
      </c>
      <c r="AH1781" s="4">
        <v>49</v>
      </c>
      <c r="AI1781" s="4">
        <v>94</v>
      </c>
      <c r="AJ1781" s="4">
        <v>8</v>
      </c>
      <c r="AK1781" s="4">
        <v>26</v>
      </c>
      <c r="AL1781" s="4">
        <v>31</v>
      </c>
      <c r="AM1781" s="4">
        <v>51</v>
      </c>
      <c r="AN1781" s="4">
        <v>0</v>
      </c>
      <c r="AO1781" s="4">
        <v>0</v>
      </c>
      <c r="AP1781" s="4">
        <v>8</v>
      </c>
      <c r="AQ1781" s="4">
        <v>43</v>
      </c>
      <c r="AR1781" s="3" t="s">
        <v>62</v>
      </c>
      <c r="AS1781" s="3" t="s">
        <v>62</v>
      </c>
      <c r="AT1781" s="3" t="s">
        <v>61</v>
      </c>
      <c r="AU1781" s="6" t="str">
        <f>HYPERLINK("http://catalog.hathitrust.org/Record/005554849","HathiTrust Record")</f>
        <v>HathiTrust Record</v>
      </c>
      <c r="AV1781" s="6" t="str">
        <f>HYPERLINK("http://mcgill.on.worldcat.org/oclc/55588229","Catalog Record")</f>
        <v>Catalog Record</v>
      </c>
      <c r="AW1781" s="6" t="str">
        <f>HYPERLINK("http://www.worldcat.org/oclc/55588229","WorldCat Record")</f>
        <v>WorldCat Record</v>
      </c>
      <c r="AX1781" s="3" t="s">
        <v>17650</v>
      </c>
      <c r="AY1781" s="3" t="s">
        <v>17651</v>
      </c>
      <c r="AZ1781" s="3" t="s">
        <v>17652</v>
      </c>
      <c r="BA1781" s="3" t="s">
        <v>17652</v>
      </c>
      <c r="BB1781" s="3" t="s">
        <v>17653</v>
      </c>
      <c r="BC1781" s="3" t="s">
        <v>102</v>
      </c>
      <c r="BD1781" s="3" t="s">
        <v>68</v>
      </c>
      <c r="BE1781" s="3" t="s">
        <v>17654</v>
      </c>
      <c r="BF1781" s="3" t="s">
        <v>17653</v>
      </c>
      <c r="BG1781" s="3" t="s">
        <v>17655</v>
      </c>
    </row>
    <row r="1782" spans="1:59" ht="72.5" x14ac:dyDescent="0.35">
      <c r="A1782" s="2" t="s">
        <v>89</v>
      </c>
      <c r="B1782" s="2" t="s">
        <v>90</v>
      </c>
      <c r="C1782" s="2" t="s">
        <v>17656</v>
      </c>
      <c r="D1782" s="2" t="s">
        <v>17657</v>
      </c>
      <c r="E1782" s="2" t="s">
        <v>17658</v>
      </c>
      <c r="G1782" s="3" t="s">
        <v>62</v>
      </c>
      <c r="I1782" s="3" t="s">
        <v>62</v>
      </c>
      <c r="J1782" s="3" t="s">
        <v>62</v>
      </c>
      <c r="K1782" s="3" t="s">
        <v>63</v>
      </c>
      <c r="L1782" s="2" t="s">
        <v>17659</v>
      </c>
      <c r="M1782" s="2" t="s">
        <v>17660</v>
      </c>
      <c r="N1782" s="3" t="s">
        <v>568</v>
      </c>
      <c r="O1782" s="2" t="s">
        <v>2163</v>
      </c>
      <c r="P1782" s="3" t="s">
        <v>64</v>
      </c>
      <c r="R1782" s="3" t="s">
        <v>13065</v>
      </c>
      <c r="S1782" s="4">
        <v>5</v>
      </c>
      <c r="T1782" s="4">
        <v>5</v>
      </c>
      <c r="U1782" s="5" t="s">
        <v>2026</v>
      </c>
      <c r="V1782" s="5" t="s">
        <v>2026</v>
      </c>
      <c r="W1782" s="5" t="s">
        <v>67</v>
      </c>
      <c r="X1782" s="5" t="s">
        <v>67</v>
      </c>
      <c r="Y1782" s="4">
        <v>542</v>
      </c>
      <c r="Z1782" s="4">
        <v>26</v>
      </c>
      <c r="AA1782" s="4">
        <v>28</v>
      </c>
      <c r="AB1782" s="4">
        <v>2</v>
      </c>
      <c r="AC1782" s="4">
        <v>3</v>
      </c>
      <c r="AD1782" s="4">
        <v>74</v>
      </c>
      <c r="AE1782" s="4">
        <v>76</v>
      </c>
      <c r="AF1782" s="4">
        <v>0</v>
      </c>
      <c r="AG1782" s="4">
        <v>1</v>
      </c>
      <c r="AH1782" s="4">
        <v>65</v>
      </c>
      <c r="AI1782" s="4">
        <v>66</v>
      </c>
      <c r="AJ1782" s="4">
        <v>7</v>
      </c>
      <c r="AK1782" s="4">
        <v>9</v>
      </c>
      <c r="AL1782" s="4">
        <v>34</v>
      </c>
      <c r="AM1782" s="4">
        <v>34</v>
      </c>
      <c r="AN1782" s="4">
        <v>0</v>
      </c>
      <c r="AO1782" s="4">
        <v>0</v>
      </c>
      <c r="AP1782" s="4">
        <v>10</v>
      </c>
      <c r="AQ1782" s="4">
        <v>12</v>
      </c>
      <c r="AR1782" s="3" t="s">
        <v>62</v>
      </c>
      <c r="AS1782" s="3" t="s">
        <v>62</v>
      </c>
      <c r="AT1782" s="3" t="s">
        <v>61</v>
      </c>
      <c r="AU1782" s="6" t="str">
        <f>HYPERLINK("http://catalog.hathitrust.org/Record/004118318","HathiTrust Record")</f>
        <v>HathiTrust Record</v>
      </c>
      <c r="AV1782" s="6" t="str">
        <f>HYPERLINK("http://mcgill.on.worldcat.org/oclc/43520955","Catalog Record")</f>
        <v>Catalog Record</v>
      </c>
      <c r="AW1782" s="6" t="str">
        <f>HYPERLINK("http://www.worldcat.org/oclc/43520955","WorldCat Record")</f>
        <v>WorldCat Record</v>
      </c>
      <c r="AX1782" s="3" t="s">
        <v>17661</v>
      </c>
      <c r="AY1782" s="3" t="s">
        <v>17662</v>
      </c>
      <c r="AZ1782" s="3" t="s">
        <v>17663</v>
      </c>
      <c r="BA1782" s="3" t="s">
        <v>17663</v>
      </c>
      <c r="BB1782" s="3" t="s">
        <v>17664</v>
      </c>
      <c r="BC1782" s="3" t="s">
        <v>102</v>
      </c>
      <c r="BD1782" s="3" t="s">
        <v>68</v>
      </c>
      <c r="BE1782" s="3" t="s">
        <v>17665</v>
      </c>
      <c r="BF1782" s="3" t="s">
        <v>17664</v>
      </c>
      <c r="BG1782" s="3" t="s">
        <v>17666</v>
      </c>
    </row>
    <row r="1783" spans="1:59" ht="58" x14ac:dyDescent="0.35">
      <c r="A1783" s="2" t="s">
        <v>89</v>
      </c>
      <c r="B1783" s="2" t="s">
        <v>90</v>
      </c>
      <c r="C1783" s="2" t="s">
        <v>17667</v>
      </c>
      <c r="D1783" s="2" t="s">
        <v>17668</v>
      </c>
      <c r="E1783" s="2" t="s">
        <v>17669</v>
      </c>
      <c r="G1783" s="3" t="s">
        <v>62</v>
      </c>
      <c r="I1783" s="3" t="s">
        <v>61</v>
      </c>
      <c r="J1783" s="3" t="s">
        <v>62</v>
      </c>
      <c r="K1783" s="3" t="s">
        <v>63</v>
      </c>
      <c r="L1783" s="2" t="s">
        <v>17670</v>
      </c>
      <c r="M1783" s="2" t="s">
        <v>17671</v>
      </c>
      <c r="N1783" s="3" t="s">
        <v>553</v>
      </c>
      <c r="P1783" s="3" t="s">
        <v>64</v>
      </c>
      <c r="Q1783" s="2" t="s">
        <v>17289</v>
      </c>
      <c r="R1783" s="3" t="s">
        <v>13065</v>
      </c>
      <c r="S1783" s="4">
        <v>0</v>
      </c>
      <c r="T1783" s="4">
        <v>3</v>
      </c>
      <c r="V1783" s="5" t="s">
        <v>17672</v>
      </c>
      <c r="W1783" s="5" t="s">
        <v>67</v>
      </c>
      <c r="X1783" s="5" t="s">
        <v>67</v>
      </c>
      <c r="Y1783" s="4">
        <v>176</v>
      </c>
      <c r="Z1783" s="4">
        <v>11</v>
      </c>
      <c r="AA1783" s="4">
        <v>28</v>
      </c>
      <c r="AB1783" s="4">
        <v>1</v>
      </c>
      <c r="AC1783" s="4">
        <v>7</v>
      </c>
      <c r="AD1783" s="4">
        <v>43</v>
      </c>
      <c r="AE1783" s="4">
        <v>67</v>
      </c>
      <c r="AF1783" s="4">
        <v>0</v>
      </c>
      <c r="AG1783" s="4">
        <v>5</v>
      </c>
      <c r="AH1783" s="4">
        <v>39</v>
      </c>
      <c r="AI1783" s="4">
        <v>54</v>
      </c>
      <c r="AJ1783" s="4">
        <v>7</v>
      </c>
      <c r="AK1783" s="4">
        <v>14</v>
      </c>
      <c r="AL1783" s="4">
        <v>17</v>
      </c>
      <c r="AM1783" s="4">
        <v>25</v>
      </c>
      <c r="AN1783" s="4">
        <v>0</v>
      </c>
      <c r="AO1783" s="4">
        <v>0</v>
      </c>
      <c r="AP1783" s="4">
        <v>9</v>
      </c>
      <c r="AQ1783" s="4">
        <v>19</v>
      </c>
      <c r="AR1783" s="3" t="s">
        <v>62</v>
      </c>
      <c r="AS1783" s="3" t="s">
        <v>62</v>
      </c>
      <c r="AT1783" s="3" t="s">
        <v>62</v>
      </c>
      <c r="AV1783" s="6" t="str">
        <f>HYPERLINK("http://mcgill.on.worldcat.org/oclc/41017368","Catalog Record")</f>
        <v>Catalog Record</v>
      </c>
      <c r="AW1783" s="6" t="str">
        <f>HYPERLINK("http://www.worldcat.org/oclc/41017368","WorldCat Record")</f>
        <v>WorldCat Record</v>
      </c>
      <c r="AX1783" s="3" t="s">
        <v>17673</v>
      </c>
      <c r="AY1783" s="3" t="s">
        <v>17674</v>
      </c>
      <c r="AZ1783" s="3" t="s">
        <v>17675</v>
      </c>
      <c r="BA1783" s="3" t="s">
        <v>17675</v>
      </c>
      <c r="BB1783" s="3" t="s">
        <v>17676</v>
      </c>
      <c r="BC1783" s="3" t="s">
        <v>102</v>
      </c>
      <c r="BD1783" s="3" t="s">
        <v>68</v>
      </c>
      <c r="BE1783" s="3" t="s">
        <v>17677</v>
      </c>
      <c r="BF1783" s="3" t="s">
        <v>17676</v>
      </c>
      <c r="BG1783" s="3" t="s">
        <v>17678</v>
      </c>
    </row>
    <row r="1784" spans="1:59" ht="58" x14ac:dyDescent="0.35">
      <c r="A1784" s="2" t="s">
        <v>89</v>
      </c>
      <c r="B1784" s="2" t="s">
        <v>90</v>
      </c>
      <c r="C1784" s="2" t="s">
        <v>17679</v>
      </c>
      <c r="D1784" s="2" t="s">
        <v>17680</v>
      </c>
      <c r="E1784" s="2" t="s">
        <v>17681</v>
      </c>
      <c r="G1784" s="3" t="s">
        <v>62</v>
      </c>
      <c r="I1784" s="3" t="s">
        <v>62</v>
      </c>
      <c r="J1784" s="3" t="s">
        <v>62</v>
      </c>
      <c r="K1784" s="3" t="s">
        <v>63</v>
      </c>
      <c r="L1784" s="2" t="s">
        <v>17682</v>
      </c>
      <c r="M1784" s="2" t="s">
        <v>17683</v>
      </c>
      <c r="N1784" s="3" t="s">
        <v>712</v>
      </c>
      <c r="P1784" s="3" t="s">
        <v>64</v>
      </c>
      <c r="R1784" s="3" t="s">
        <v>13065</v>
      </c>
      <c r="S1784" s="4">
        <v>0</v>
      </c>
      <c r="T1784" s="4">
        <v>0</v>
      </c>
      <c r="W1784" s="5" t="s">
        <v>67</v>
      </c>
      <c r="X1784" s="5" t="s">
        <v>67</v>
      </c>
      <c r="Y1784" s="4">
        <v>28</v>
      </c>
      <c r="Z1784" s="4">
        <v>4</v>
      </c>
      <c r="AA1784" s="4">
        <v>11</v>
      </c>
      <c r="AB1784" s="4">
        <v>1</v>
      </c>
      <c r="AC1784" s="4">
        <v>3</v>
      </c>
      <c r="AD1784" s="4">
        <v>7</v>
      </c>
      <c r="AE1784" s="4">
        <v>12</v>
      </c>
      <c r="AF1784" s="4">
        <v>0</v>
      </c>
      <c r="AG1784" s="4">
        <v>0</v>
      </c>
      <c r="AH1784" s="4">
        <v>6</v>
      </c>
      <c r="AI1784" s="4">
        <v>11</v>
      </c>
      <c r="AJ1784" s="4">
        <v>1</v>
      </c>
      <c r="AK1784" s="4">
        <v>1</v>
      </c>
      <c r="AL1784" s="4">
        <v>4</v>
      </c>
      <c r="AM1784" s="4">
        <v>5</v>
      </c>
      <c r="AN1784" s="4">
        <v>0</v>
      </c>
      <c r="AO1784" s="4">
        <v>0</v>
      </c>
      <c r="AP1784" s="4">
        <v>2</v>
      </c>
      <c r="AQ1784" s="4">
        <v>2</v>
      </c>
      <c r="AR1784" s="3" t="s">
        <v>62</v>
      </c>
      <c r="AS1784" s="3" t="s">
        <v>62</v>
      </c>
      <c r="AT1784" s="3" t="s">
        <v>62</v>
      </c>
      <c r="AV1784" s="6" t="str">
        <f>HYPERLINK("http://mcgill.on.worldcat.org/oclc/884314700","Catalog Record")</f>
        <v>Catalog Record</v>
      </c>
      <c r="AW1784" s="6" t="str">
        <f>HYPERLINK("http://www.worldcat.org/oclc/884314700","WorldCat Record")</f>
        <v>WorldCat Record</v>
      </c>
      <c r="AX1784" s="3" t="s">
        <v>17684</v>
      </c>
      <c r="AY1784" s="3" t="s">
        <v>17685</v>
      </c>
      <c r="AZ1784" s="3" t="s">
        <v>17686</v>
      </c>
      <c r="BA1784" s="3" t="s">
        <v>17686</v>
      </c>
      <c r="BB1784" s="3" t="s">
        <v>17687</v>
      </c>
      <c r="BC1784" s="3" t="s">
        <v>102</v>
      </c>
      <c r="BD1784" s="3" t="s">
        <v>68</v>
      </c>
      <c r="BE1784" s="3" t="s">
        <v>17688</v>
      </c>
      <c r="BF1784" s="3" t="s">
        <v>17687</v>
      </c>
      <c r="BG1784" s="3" t="s">
        <v>17689</v>
      </c>
    </row>
    <row r="1785" spans="1:59" ht="101.5" x14ac:dyDescent="0.35">
      <c r="A1785" s="2" t="s">
        <v>89</v>
      </c>
      <c r="B1785" s="2" t="s">
        <v>12301</v>
      </c>
      <c r="C1785" s="2" t="s">
        <v>17690</v>
      </c>
      <c r="D1785" s="2" t="s">
        <v>17691</v>
      </c>
      <c r="E1785" s="2" t="s">
        <v>17692</v>
      </c>
      <c r="G1785" s="3" t="s">
        <v>62</v>
      </c>
      <c r="I1785" s="3" t="s">
        <v>62</v>
      </c>
      <c r="J1785" s="3" t="s">
        <v>62</v>
      </c>
      <c r="K1785" s="3" t="s">
        <v>63</v>
      </c>
      <c r="L1785" s="2" t="s">
        <v>17622</v>
      </c>
      <c r="M1785" s="2" t="s">
        <v>17040</v>
      </c>
      <c r="N1785" s="3" t="s">
        <v>712</v>
      </c>
      <c r="O1785" s="2" t="s">
        <v>8443</v>
      </c>
      <c r="P1785" s="3" t="s">
        <v>64</v>
      </c>
      <c r="R1785" s="3" t="s">
        <v>13065</v>
      </c>
      <c r="S1785" s="4">
        <v>9</v>
      </c>
      <c r="T1785" s="4">
        <v>9</v>
      </c>
      <c r="U1785" s="5" t="s">
        <v>17693</v>
      </c>
      <c r="V1785" s="5" t="s">
        <v>17693</v>
      </c>
      <c r="W1785" s="5" t="s">
        <v>67</v>
      </c>
      <c r="X1785" s="5" t="s">
        <v>67</v>
      </c>
      <c r="Y1785" s="4">
        <v>69</v>
      </c>
      <c r="Z1785" s="4">
        <v>10</v>
      </c>
      <c r="AA1785" s="4">
        <v>24</v>
      </c>
      <c r="AB1785" s="4">
        <v>1</v>
      </c>
      <c r="AC1785" s="4">
        <v>5</v>
      </c>
      <c r="AD1785" s="4">
        <v>10</v>
      </c>
      <c r="AE1785" s="4">
        <v>48</v>
      </c>
      <c r="AF1785" s="4">
        <v>0</v>
      </c>
      <c r="AG1785" s="4">
        <v>2</v>
      </c>
      <c r="AH1785" s="4">
        <v>9</v>
      </c>
      <c r="AI1785" s="4">
        <v>41</v>
      </c>
      <c r="AJ1785" s="4">
        <v>3</v>
      </c>
      <c r="AK1785" s="4">
        <v>8</v>
      </c>
      <c r="AL1785" s="4">
        <v>5</v>
      </c>
      <c r="AM1785" s="4">
        <v>25</v>
      </c>
      <c r="AN1785" s="4">
        <v>0</v>
      </c>
      <c r="AO1785" s="4">
        <v>0</v>
      </c>
      <c r="AP1785" s="4">
        <v>3</v>
      </c>
      <c r="AQ1785" s="4">
        <v>9</v>
      </c>
      <c r="AR1785" s="3" t="s">
        <v>62</v>
      </c>
      <c r="AS1785" s="3" t="s">
        <v>62</v>
      </c>
      <c r="AT1785" s="3" t="s">
        <v>62</v>
      </c>
      <c r="AV1785" s="6" t="str">
        <f>HYPERLINK("http://mcgill.on.worldcat.org/oclc/862053077","Catalog Record")</f>
        <v>Catalog Record</v>
      </c>
      <c r="AW1785" s="6" t="str">
        <f>HYPERLINK("http://www.worldcat.org/oclc/862053077","WorldCat Record")</f>
        <v>WorldCat Record</v>
      </c>
      <c r="AX1785" s="3" t="s">
        <v>17694</v>
      </c>
      <c r="AY1785" s="3" t="s">
        <v>17695</v>
      </c>
      <c r="AZ1785" s="3" t="s">
        <v>17696</v>
      </c>
      <c r="BA1785" s="3" t="s">
        <v>17696</v>
      </c>
      <c r="BB1785" s="3" t="s">
        <v>17697</v>
      </c>
      <c r="BC1785" s="3" t="s">
        <v>102</v>
      </c>
      <c r="BD1785" s="3" t="s">
        <v>68</v>
      </c>
      <c r="BE1785" s="3" t="s">
        <v>17698</v>
      </c>
      <c r="BF1785" s="3" t="s">
        <v>17697</v>
      </c>
      <c r="BG1785" s="3" t="s">
        <v>17699</v>
      </c>
    </row>
    <row r="1786" spans="1:59" ht="188.5" x14ac:dyDescent="0.35">
      <c r="A1786" s="2" t="s">
        <v>89</v>
      </c>
      <c r="B1786" s="2" t="s">
        <v>12301</v>
      </c>
      <c r="C1786" s="2" t="s">
        <v>17700</v>
      </c>
      <c r="D1786" s="2" t="s">
        <v>17701</v>
      </c>
      <c r="E1786" s="2" t="s">
        <v>17702</v>
      </c>
      <c r="G1786" s="3" t="s">
        <v>62</v>
      </c>
      <c r="I1786" s="3" t="s">
        <v>61</v>
      </c>
      <c r="J1786" s="3" t="s">
        <v>61</v>
      </c>
      <c r="K1786" s="3" t="s">
        <v>63</v>
      </c>
      <c r="L1786" s="2" t="s">
        <v>16900</v>
      </c>
      <c r="M1786" s="2" t="s">
        <v>17076</v>
      </c>
      <c r="N1786" s="3" t="s">
        <v>1455</v>
      </c>
      <c r="O1786" s="2" t="s">
        <v>17703</v>
      </c>
      <c r="P1786" s="3" t="s">
        <v>64</v>
      </c>
      <c r="R1786" s="3" t="s">
        <v>13065</v>
      </c>
      <c r="S1786" s="4">
        <v>23</v>
      </c>
      <c r="T1786" s="4">
        <v>44</v>
      </c>
      <c r="U1786" s="5" t="s">
        <v>84</v>
      </c>
      <c r="V1786" s="5" t="s">
        <v>16849</v>
      </c>
      <c r="W1786" s="5" t="s">
        <v>67</v>
      </c>
      <c r="X1786" s="5" t="s">
        <v>67</v>
      </c>
      <c r="Y1786" s="4">
        <v>154</v>
      </c>
      <c r="Z1786" s="4">
        <v>9</v>
      </c>
      <c r="AA1786" s="4">
        <v>79</v>
      </c>
      <c r="AB1786" s="4">
        <v>1</v>
      </c>
      <c r="AC1786" s="4">
        <v>18</v>
      </c>
      <c r="AD1786" s="4">
        <v>28</v>
      </c>
      <c r="AE1786" s="4">
        <v>136</v>
      </c>
      <c r="AF1786" s="4">
        <v>0</v>
      </c>
      <c r="AG1786" s="4">
        <v>8</v>
      </c>
      <c r="AH1786" s="4">
        <v>25</v>
      </c>
      <c r="AI1786" s="4">
        <v>100</v>
      </c>
      <c r="AJ1786" s="4">
        <v>2</v>
      </c>
      <c r="AK1786" s="4">
        <v>27</v>
      </c>
      <c r="AL1786" s="4">
        <v>16</v>
      </c>
      <c r="AM1786" s="4">
        <v>55</v>
      </c>
      <c r="AN1786" s="4">
        <v>0</v>
      </c>
      <c r="AO1786" s="4">
        <v>0</v>
      </c>
      <c r="AP1786" s="4">
        <v>4</v>
      </c>
      <c r="AQ1786" s="4">
        <v>43</v>
      </c>
      <c r="AR1786" s="3" t="s">
        <v>62</v>
      </c>
      <c r="AS1786" s="3" t="s">
        <v>62</v>
      </c>
      <c r="AT1786" s="3" t="s">
        <v>62</v>
      </c>
      <c r="AV1786" s="6" t="str">
        <f>HYPERLINK("http://mcgill.on.worldcat.org/oclc/870646449","Catalog Record")</f>
        <v>Catalog Record</v>
      </c>
      <c r="AW1786" s="6" t="str">
        <f>HYPERLINK("http://www.worldcat.org/oclc/870646449","WorldCat Record")</f>
        <v>WorldCat Record</v>
      </c>
      <c r="AX1786" s="3" t="s">
        <v>17704</v>
      </c>
      <c r="AY1786" s="3" t="s">
        <v>17705</v>
      </c>
      <c r="AZ1786" s="3" t="s">
        <v>17706</v>
      </c>
      <c r="BA1786" s="3" t="s">
        <v>17706</v>
      </c>
      <c r="BB1786" s="3" t="s">
        <v>17707</v>
      </c>
      <c r="BC1786" s="3" t="s">
        <v>102</v>
      </c>
      <c r="BD1786" s="3" t="s">
        <v>68</v>
      </c>
      <c r="BE1786" s="3" t="s">
        <v>17708</v>
      </c>
      <c r="BF1786" s="3" t="s">
        <v>17707</v>
      </c>
      <c r="BG1786" s="3" t="s">
        <v>17709</v>
      </c>
    </row>
    <row r="1787" spans="1:59" ht="188.5" x14ac:dyDescent="0.35">
      <c r="A1787" s="2" t="s">
        <v>89</v>
      </c>
      <c r="B1787" s="2" t="s">
        <v>12301</v>
      </c>
      <c r="C1787" s="2" t="s">
        <v>17700</v>
      </c>
      <c r="D1787" s="2" t="s">
        <v>17701</v>
      </c>
      <c r="E1787" s="2" t="s">
        <v>17702</v>
      </c>
      <c r="G1787" s="3" t="s">
        <v>62</v>
      </c>
      <c r="I1787" s="3" t="s">
        <v>61</v>
      </c>
      <c r="J1787" s="3" t="s">
        <v>61</v>
      </c>
      <c r="K1787" s="3" t="s">
        <v>63</v>
      </c>
      <c r="L1787" s="2" t="s">
        <v>16900</v>
      </c>
      <c r="M1787" s="2" t="s">
        <v>17076</v>
      </c>
      <c r="N1787" s="3" t="s">
        <v>1455</v>
      </c>
      <c r="O1787" s="2" t="s">
        <v>17703</v>
      </c>
      <c r="P1787" s="3" t="s">
        <v>64</v>
      </c>
      <c r="R1787" s="3" t="s">
        <v>13065</v>
      </c>
      <c r="S1787" s="4">
        <v>21</v>
      </c>
      <c r="T1787" s="4">
        <v>44</v>
      </c>
      <c r="U1787" s="5" t="s">
        <v>16849</v>
      </c>
      <c r="V1787" s="5" t="s">
        <v>16849</v>
      </c>
      <c r="W1787" s="5" t="s">
        <v>67</v>
      </c>
      <c r="X1787" s="5" t="s">
        <v>67</v>
      </c>
      <c r="Y1787" s="4">
        <v>154</v>
      </c>
      <c r="Z1787" s="4">
        <v>9</v>
      </c>
      <c r="AA1787" s="4">
        <v>79</v>
      </c>
      <c r="AB1787" s="4">
        <v>1</v>
      </c>
      <c r="AC1787" s="4">
        <v>18</v>
      </c>
      <c r="AD1787" s="4">
        <v>28</v>
      </c>
      <c r="AE1787" s="4">
        <v>136</v>
      </c>
      <c r="AF1787" s="4">
        <v>0</v>
      </c>
      <c r="AG1787" s="4">
        <v>8</v>
      </c>
      <c r="AH1787" s="4">
        <v>25</v>
      </c>
      <c r="AI1787" s="4">
        <v>100</v>
      </c>
      <c r="AJ1787" s="4">
        <v>2</v>
      </c>
      <c r="AK1787" s="4">
        <v>27</v>
      </c>
      <c r="AL1787" s="4">
        <v>16</v>
      </c>
      <c r="AM1787" s="4">
        <v>55</v>
      </c>
      <c r="AN1787" s="4">
        <v>0</v>
      </c>
      <c r="AO1787" s="4">
        <v>0</v>
      </c>
      <c r="AP1787" s="4">
        <v>4</v>
      </c>
      <c r="AQ1787" s="4">
        <v>43</v>
      </c>
      <c r="AR1787" s="3" t="s">
        <v>62</v>
      </c>
      <c r="AS1787" s="3" t="s">
        <v>62</v>
      </c>
      <c r="AT1787" s="3" t="s">
        <v>62</v>
      </c>
      <c r="AV1787" s="6" t="str">
        <f>HYPERLINK("http://mcgill.on.worldcat.org/oclc/870646449","Catalog Record")</f>
        <v>Catalog Record</v>
      </c>
      <c r="AW1787" s="6" t="str">
        <f>HYPERLINK("http://www.worldcat.org/oclc/870646449","WorldCat Record")</f>
        <v>WorldCat Record</v>
      </c>
      <c r="AX1787" s="3" t="s">
        <v>17704</v>
      </c>
      <c r="AY1787" s="3" t="s">
        <v>17705</v>
      </c>
      <c r="AZ1787" s="3" t="s">
        <v>17706</v>
      </c>
      <c r="BA1787" s="3" t="s">
        <v>17706</v>
      </c>
      <c r="BB1787" s="3" t="s">
        <v>17710</v>
      </c>
      <c r="BC1787" s="3" t="s">
        <v>102</v>
      </c>
      <c r="BD1787" s="3" t="s">
        <v>68</v>
      </c>
      <c r="BE1787" s="3" t="s">
        <v>17708</v>
      </c>
      <c r="BF1787" s="3" t="s">
        <v>17710</v>
      </c>
      <c r="BG1787" s="3" t="s">
        <v>17711</v>
      </c>
    </row>
    <row r="1788" spans="1:59" ht="58" x14ac:dyDescent="0.35">
      <c r="A1788" s="2" t="s">
        <v>89</v>
      </c>
      <c r="B1788" s="2" t="s">
        <v>90</v>
      </c>
      <c r="C1788" s="2" t="s">
        <v>17712</v>
      </c>
      <c r="D1788" s="2" t="s">
        <v>17713</v>
      </c>
      <c r="E1788" s="2" t="s">
        <v>17714</v>
      </c>
      <c r="G1788" s="3" t="s">
        <v>62</v>
      </c>
      <c r="I1788" s="3" t="s">
        <v>62</v>
      </c>
      <c r="J1788" s="3" t="s">
        <v>62</v>
      </c>
      <c r="K1788" s="3" t="s">
        <v>63</v>
      </c>
      <c r="L1788" s="2" t="s">
        <v>17715</v>
      </c>
      <c r="M1788" s="2" t="s">
        <v>17716</v>
      </c>
      <c r="N1788" s="3" t="s">
        <v>726</v>
      </c>
      <c r="P1788" s="3" t="s">
        <v>64</v>
      </c>
      <c r="R1788" s="3" t="s">
        <v>13065</v>
      </c>
      <c r="S1788" s="4">
        <v>5</v>
      </c>
      <c r="T1788" s="4">
        <v>5</v>
      </c>
      <c r="U1788" s="5" t="s">
        <v>9640</v>
      </c>
      <c r="V1788" s="5" t="s">
        <v>9640</v>
      </c>
      <c r="W1788" s="5" t="s">
        <v>67</v>
      </c>
      <c r="X1788" s="5" t="s">
        <v>67</v>
      </c>
      <c r="Y1788" s="4">
        <v>43</v>
      </c>
      <c r="Z1788" s="4">
        <v>3</v>
      </c>
      <c r="AA1788" s="4">
        <v>19</v>
      </c>
      <c r="AB1788" s="4">
        <v>1</v>
      </c>
      <c r="AC1788" s="4">
        <v>6</v>
      </c>
      <c r="AD1788" s="4">
        <v>8</v>
      </c>
      <c r="AE1788" s="4">
        <v>31</v>
      </c>
      <c r="AF1788" s="4">
        <v>0</v>
      </c>
      <c r="AG1788" s="4">
        <v>3</v>
      </c>
      <c r="AH1788" s="4">
        <v>8</v>
      </c>
      <c r="AI1788" s="4">
        <v>23</v>
      </c>
      <c r="AJ1788" s="4">
        <v>0</v>
      </c>
      <c r="AK1788" s="4">
        <v>7</v>
      </c>
      <c r="AL1788" s="4">
        <v>5</v>
      </c>
      <c r="AM1788" s="4">
        <v>12</v>
      </c>
      <c r="AN1788" s="4">
        <v>0</v>
      </c>
      <c r="AO1788" s="4">
        <v>0</v>
      </c>
      <c r="AP1788" s="4">
        <v>1</v>
      </c>
      <c r="AQ1788" s="4">
        <v>10</v>
      </c>
      <c r="AR1788" s="3" t="s">
        <v>62</v>
      </c>
      <c r="AS1788" s="3" t="s">
        <v>62</v>
      </c>
      <c r="AT1788" s="3" t="s">
        <v>62</v>
      </c>
      <c r="AV1788" s="6" t="str">
        <f>HYPERLINK("http://mcgill.on.worldcat.org/oclc/905344076","Catalog Record")</f>
        <v>Catalog Record</v>
      </c>
      <c r="AW1788" s="6" t="str">
        <f>HYPERLINK("http://www.worldcat.org/oclc/905344076","WorldCat Record")</f>
        <v>WorldCat Record</v>
      </c>
      <c r="AX1788" s="3" t="s">
        <v>17717</v>
      </c>
      <c r="AY1788" s="3" t="s">
        <v>17718</v>
      </c>
      <c r="AZ1788" s="3" t="s">
        <v>17719</v>
      </c>
      <c r="BA1788" s="3" t="s">
        <v>17719</v>
      </c>
      <c r="BB1788" s="3" t="s">
        <v>17720</v>
      </c>
      <c r="BC1788" s="3" t="s">
        <v>102</v>
      </c>
      <c r="BD1788" s="3" t="s">
        <v>68</v>
      </c>
      <c r="BE1788" s="3" t="s">
        <v>17721</v>
      </c>
      <c r="BF1788" s="3" t="s">
        <v>17720</v>
      </c>
      <c r="BG1788" s="3" t="s">
        <v>17722</v>
      </c>
    </row>
    <row r="1789" spans="1:59" ht="87" x14ac:dyDescent="0.35">
      <c r="A1789" s="2" t="s">
        <v>89</v>
      </c>
      <c r="B1789" s="2" t="s">
        <v>15860</v>
      </c>
      <c r="C1789" s="2" t="s">
        <v>17723</v>
      </c>
      <c r="D1789" s="2" t="s">
        <v>17724</v>
      </c>
      <c r="E1789" s="2" t="s">
        <v>17725</v>
      </c>
      <c r="G1789" s="3" t="s">
        <v>62</v>
      </c>
      <c r="I1789" s="3" t="s">
        <v>62</v>
      </c>
      <c r="J1789" s="3" t="s">
        <v>62</v>
      </c>
      <c r="K1789" s="3" t="s">
        <v>63</v>
      </c>
      <c r="L1789" s="2" t="s">
        <v>17726</v>
      </c>
      <c r="M1789" s="2" t="s">
        <v>17727</v>
      </c>
      <c r="N1789" s="3" t="s">
        <v>726</v>
      </c>
      <c r="O1789" s="2" t="s">
        <v>6519</v>
      </c>
      <c r="P1789" s="3" t="s">
        <v>64</v>
      </c>
      <c r="Q1789" s="2" t="s">
        <v>17728</v>
      </c>
      <c r="R1789" s="3" t="s">
        <v>13065</v>
      </c>
      <c r="S1789" s="4">
        <v>5</v>
      </c>
      <c r="T1789" s="4">
        <v>5</v>
      </c>
      <c r="U1789" s="5" t="s">
        <v>4898</v>
      </c>
      <c r="V1789" s="5" t="s">
        <v>4898</v>
      </c>
      <c r="W1789" s="5" t="s">
        <v>67</v>
      </c>
      <c r="X1789" s="5" t="s">
        <v>67</v>
      </c>
      <c r="Y1789" s="4">
        <v>140</v>
      </c>
      <c r="Z1789" s="4">
        <v>4</v>
      </c>
      <c r="AA1789" s="4">
        <v>24</v>
      </c>
      <c r="AB1789" s="4">
        <v>1</v>
      </c>
      <c r="AC1789" s="4">
        <v>5</v>
      </c>
      <c r="AD1789" s="4">
        <v>2</v>
      </c>
      <c r="AE1789" s="4">
        <v>40</v>
      </c>
      <c r="AF1789" s="4">
        <v>0</v>
      </c>
      <c r="AG1789" s="4">
        <v>2</v>
      </c>
      <c r="AH1789" s="4">
        <v>2</v>
      </c>
      <c r="AI1789" s="4">
        <v>31</v>
      </c>
      <c r="AJ1789" s="4">
        <v>0</v>
      </c>
      <c r="AK1789" s="4">
        <v>8</v>
      </c>
      <c r="AL1789" s="4">
        <v>2</v>
      </c>
      <c r="AM1789" s="4">
        <v>18</v>
      </c>
      <c r="AN1789" s="4">
        <v>0</v>
      </c>
      <c r="AO1789" s="4">
        <v>0</v>
      </c>
      <c r="AP1789" s="4">
        <v>0</v>
      </c>
      <c r="AQ1789" s="4">
        <v>10</v>
      </c>
      <c r="AR1789" s="3" t="s">
        <v>62</v>
      </c>
      <c r="AS1789" s="3" t="s">
        <v>62</v>
      </c>
      <c r="AT1789" s="3" t="s">
        <v>62</v>
      </c>
      <c r="AV1789" s="6" t="str">
        <f>HYPERLINK("http://mcgill.on.worldcat.org/oclc/1001952674","Catalog Record")</f>
        <v>Catalog Record</v>
      </c>
      <c r="AW1789" s="6" t="str">
        <f>HYPERLINK("http://www.worldcat.org/oclc/1001952674","WorldCat Record")</f>
        <v>WorldCat Record</v>
      </c>
      <c r="AX1789" s="3" t="s">
        <v>17729</v>
      </c>
      <c r="AY1789" s="3" t="s">
        <v>17730</v>
      </c>
      <c r="AZ1789" s="3" t="s">
        <v>17731</v>
      </c>
      <c r="BA1789" s="3" t="s">
        <v>17731</v>
      </c>
      <c r="BB1789" s="3" t="s">
        <v>17732</v>
      </c>
      <c r="BC1789" s="3" t="s">
        <v>102</v>
      </c>
      <c r="BD1789" s="3" t="s">
        <v>68</v>
      </c>
      <c r="BE1789" s="3" t="s">
        <v>17733</v>
      </c>
      <c r="BF1789" s="3" t="s">
        <v>17732</v>
      </c>
      <c r="BG1789" s="3" t="s">
        <v>17734</v>
      </c>
    </row>
    <row r="1790" spans="1:59" ht="72.5" x14ac:dyDescent="0.35">
      <c r="A1790" s="2" t="s">
        <v>89</v>
      </c>
      <c r="B1790" s="2" t="s">
        <v>90</v>
      </c>
      <c r="C1790" s="2" t="s">
        <v>17735</v>
      </c>
      <c r="D1790" s="2" t="s">
        <v>17736</v>
      </c>
      <c r="E1790" s="2" t="s">
        <v>17737</v>
      </c>
      <c r="G1790" s="3" t="s">
        <v>62</v>
      </c>
      <c r="I1790" s="3" t="s">
        <v>62</v>
      </c>
      <c r="J1790" s="3" t="s">
        <v>62</v>
      </c>
      <c r="K1790" s="3" t="s">
        <v>63</v>
      </c>
      <c r="L1790" s="2" t="s">
        <v>17738</v>
      </c>
      <c r="M1790" s="2" t="s">
        <v>17739</v>
      </c>
      <c r="N1790" s="3" t="s">
        <v>396</v>
      </c>
      <c r="P1790" s="3" t="s">
        <v>64</v>
      </c>
      <c r="Q1790" s="2" t="s">
        <v>17740</v>
      </c>
      <c r="R1790" s="3" t="s">
        <v>13065</v>
      </c>
      <c r="S1790" s="4">
        <v>6</v>
      </c>
      <c r="T1790" s="4">
        <v>6</v>
      </c>
      <c r="U1790" s="5" t="s">
        <v>10012</v>
      </c>
      <c r="V1790" s="5" t="s">
        <v>10012</v>
      </c>
      <c r="W1790" s="5" t="s">
        <v>67</v>
      </c>
      <c r="X1790" s="5" t="s">
        <v>67</v>
      </c>
      <c r="Y1790" s="4">
        <v>138</v>
      </c>
      <c r="Z1790" s="4">
        <v>2</v>
      </c>
      <c r="AA1790" s="4">
        <v>2</v>
      </c>
      <c r="AB1790" s="4">
        <v>1</v>
      </c>
      <c r="AC1790" s="4">
        <v>1</v>
      </c>
      <c r="AD1790" s="4">
        <v>38</v>
      </c>
      <c r="AE1790" s="4">
        <v>38</v>
      </c>
      <c r="AF1790" s="4">
        <v>0</v>
      </c>
      <c r="AG1790" s="4">
        <v>0</v>
      </c>
      <c r="AH1790" s="4">
        <v>37</v>
      </c>
      <c r="AI1790" s="4">
        <v>37</v>
      </c>
      <c r="AJ1790" s="4">
        <v>1</v>
      </c>
      <c r="AK1790" s="4">
        <v>1</v>
      </c>
      <c r="AL1790" s="4">
        <v>23</v>
      </c>
      <c r="AM1790" s="4">
        <v>23</v>
      </c>
      <c r="AN1790" s="4">
        <v>0</v>
      </c>
      <c r="AO1790" s="4">
        <v>0</v>
      </c>
      <c r="AP1790" s="4">
        <v>1</v>
      </c>
      <c r="AQ1790" s="4">
        <v>1</v>
      </c>
      <c r="AR1790" s="3" t="s">
        <v>62</v>
      </c>
      <c r="AS1790" s="3" t="s">
        <v>62</v>
      </c>
      <c r="AT1790" s="3" t="s">
        <v>61</v>
      </c>
      <c r="AU1790" s="6" t="str">
        <f>HYPERLINK("http://catalog.hathitrust.org/Record/010078931","HathiTrust Record")</f>
        <v>HathiTrust Record</v>
      </c>
      <c r="AV1790" s="6" t="str">
        <f>HYPERLINK("http://mcgill.on.worldcat.org/oclc/11812117","Catalog Record")</f>
        <v>Catalog Record</v>
      </c>
      <c r="AW1790" s="6" t="str">
        <f>HYPERLINK("http://www.worldcat.org/oclc/11812117","WorldCat Record")</f>
        <v>WorldCat Record</v>
      </c>
      <c r="AX1790" s="3" t="s">
        <v>17741</v>
      </c>
      <c r="AY1790" s="3" t="s">
        <v>17742</v>
      </c>
      <c r="AZ1790" s="3" t="s">
        <v>17743</v>
      </c>
      <c r="BA1790" s="3" t="s">
        <v>17743</v>
      </c>
      <c r="BB1790" s="3" t="s">
        <v>17744</v>
      </c>
      <c r="BC1790" s="3" t="s">
        <v>102</v>
      </c>
      <c r="BD1790" s="3" t="s">
        <v>68</v>
      </c>
      <c r="BE1790" s="3" t="s">
        <v>17745</v>
      </c>
      <c r="BF1790" s="3" t="s">
        <v>17744</v>
      </c>
      <c r="BG1790" s="3" t="s">
        <v>17746</v>
      </c>
    </row>
    <row r="1791" spans="1:59" ht="58" x14ac:dyDescent="0.35">
      <c r="A1791" s="2" t="s">
        <v>89</v>
      </c>
      <c r="B1791" s="2" t="s">
        <v>90</v>
      </c>
      <c r="C1791" s="2" t="s">
        <v>17747</v>
      </c>
      <c r="D1791" s="2" t="s">
        <v>17748</v>
      </c>
      <c r="E1791" s="2" t="s">
        <v>17749</v>
      </c>
      <c r="G1791" s="3" t="s">
        <v>62</v>
      </c>
      <c r="I1791" s="3" t="s">
        <v>62</v>
      </c>
      <c r="J1791" s="3" t="s">
        <v>62</v>
      </c>
      <c r="K1791" s="3" t="s">
        <v>63</v>
      </c>
      <c r="L1791" s="2" t="s">
        <v>17750</v>
      </c>
      <c r="M1791" s="2" t="s">
        <v>17751</v>
      </c>
      <c r="N1791" s="3" t="s">
        <v>726</v>
      </c>
      <c r="O1791" s="2" t="s">
        <v>1941</v>
      </c>
      <c r="P1791" s="3" t="s">
        <v>64</v>
      </c>
      <c r="R1791" s="3" t="s">
        <v>13065</v>
      </c>
      <c r="S1791" s="4">
        <v>2</v>
      </c>
      <c r="T1791" s="4">
        <v>2</v>
      </c>
      <c r="U1791" s="5" t="s">
        <v>17517</v>
      </c>
      <c r="V1791" s="5" t="s">
        <v>17517</v>
      </c>
      <c r="W1791" s="5" t="s">
        <v>67</v>
      </c>
      <c r="X1791" s="5" t="s">
        <v>67</v>
      </c>
      <c r="Y1791" s="4">
        <v>909</v>
      </c>
      <c r="Z1791" s="4">
        <v>22</v>
      </c>
      <c r="AA1791" s="4">
        <v>30</v>
      </c>
      <c r="AB1791" s="4">
        <v>2</v>
      </c>
      <c r="AC1791" s="4">
        <v>8</v>
      </c>
      <c r="AD1791" s="4">
        <v>64</v>
      </c>
      <c r="AE1791" s="4">
        <v>74</v>
      </c>
      <c r="AF1791" s="4">
        <v>0</v>
      </c>
      <c r="AG1791" s="4">
        <v>2</v>
      </c>
      <c r="AH1791" s="4">
        <v>56</v>
      </c>
      <c r="AI1791" s="4">
        <v>63</v>
      </c>
      <c r="AJ1791" s="4">
        <v>5</v>
      </c>
      <c r="AK1791" s="4">
        <v>6</v>
      </c>
      <c r="AL1791" s="4">
        <v>37</v>
      </c>
      <c r="AM1791" s="4">
        <v>40</v>
      </c>
      <c r="AN1791" s="4">
        <v>0</v>
      </c>
      <c r="AO1791" s="4">
        <v>0</v>
      </c>
      <c r="AP1791" s="4">
        <v>10</v>
      </c>
      <c r="AQ1791" s="4">
        <v>12</v>
      </c>
      <c r="AR1791" s="3" t="s">
        <v>62</v>
      </c>
      <c r="AS1791" s="3" t="s">
        <v>62</v>
      </c>
      <c r="AT1791" s="3" t="s">
        <v>62</v>
      </c>
      <c r="AV1791" s="6" t="str">
        <f>HYPERLINK("http://mcgill.on.worldcat.org/oclc/989120655","Catalog Record")</f>
        <v>Catalog Record</v>
      </c>
      <c r="AW1791" s="6" t="str">
        <f>HYPERLINK("http://www.worldcat.org/oclc/989120655","WorldCat Record")</f>
        <v>WorldCat Record</v>
      </c>
      <c r="AX1791" s="3" t="s">
        <v>17752</v>
      </c>
      <c r="AY1791" s="3" t="s">
        <v>17753</v>
      </c>
      <c r="AZ1791" s="3" t="s">
        <v>17754</v>
      </c>
      <c r="BA1791" s="3" t="s">
        <v>17754</v>
      </c>
      <c r="BB1791" s="3" t="s">
        <v>17755</v>
      </c>
      <c r="BC1791" s="3" t="s">
        <v>102</v>
      </c>
      <c r="BD1791" s="3" t="s">
        <v>68</v>
      </c>
      <c r="BE1791" s="3" t="s">
        <v>17756</v>
      </c>
      <c r="BF1791" s="3" t="s">
        <v>17755</v>
      </c>
      <c r="BG1791" s="3" t="s">
        <v>17757</v>
      </c>
    </row>
    <row r="1792" spans="1:59" ht="58" x14ac:dyDescent="0.35">
      <c r="A1792" s="2" t="s">
        <v>89</v>
      </c>
      <c r="B1792" s="2" t="s">
        <v>90</v>
      </c>
      <c r="C1792" s="2" t="s">
        <v>17758</v>
      </c>
      <c r="D1792" s="2" t="s">
        <v>17759</v>
      </c>
      <c r="E1792" s="2" t="s">
        <v>17760</v>
      </c>
      <c r="G1792" s="3" t="s">
        <v>62</v>
      </c>
      <c r="I1792" s="3" t="s">
        <v>62</v>
      </c>
      <c r="J1792" s="3" t="s">
        <v>62</v>
      </c>
      <c r="K1792" s="3" t="s">
        <v>63</v>
      </c>
      <c r="L1792" s="2" t="s">
        <v>17761</v>
      </c>
      <c r="M1792" s="2" t="s">
        <v>17762</v>
      </c>
      <c r="N1792" s="3" t="s">
        <v>553</v>
      </c>
      <c r="P1792" s="3" t="s">
        <v>64</v>
      </c>
      <c r="Q1792" s="2" t="s">
        <v>17763</v>
      </c>
      <c r="R1792" s="3" t="s">
        <v>13065</v>
      </c>
      <c r="S1792" s="4">
        <v>8</v>
      </c>
      <c r="T1792" s="4">
        <v>8</v>
      </c>
      <c r="U1792" s="5" t="s">
        <v>7311</v>
      </c>
      <c r="V1792" s="5" t="s">
        <v>7311</v>
      </c>
      <c r="W1792" s="5" t="s">
        <v>67</v>
      </c>
      <c r="X1792" s="5" t="s">
        <v>67</v>
      </c>
      <c r="Y1792" s="4">
        <v>345</v>
      </c>
      <c r="Z1792" s="4">
        <v>22</v>
      </c>
      <c r="AA1792" s="4">
        <v>67</v>
      </c>
      <c r="AB1792" s="4">
        <v>1</v>
      </c>
      <c r="AC1792" s="4">
        <v>11</v>
      </c>
      <c r="AD1792" s="4">
        <v>89</v>
      </c>
      <c r="AE1792" s="4">
        <v>126</v>
      </c>
      <c r="AF1792" s="4">
        <v>0</v>
      </c>
      <c r="AG1792" s="4">
        <v>4</v>
      </c>
      <c r="AH1792" s="4">
        <v>76</v>
      </c>
      <c r="AI1792" s="4">
        <v>102</v>
      </c>
      <c r="AJ1792" s="4">
        <v>11</v>
      </c>
      <c r="AK1792" s="4">
        <v>18</v>
      </c>
      <c r="AL1792" s="4">
        <v>48</v>
      </c>
      <c r="AM1792" s="4">
        <v>56</v>
      </c>
      <c r="AN1792" s="4">
        <v>0</v>
      </c>
      <c r="AO1792" s="4">
        <v>0</v>
      </c>
      <c r="AP1792" s="4">
        <v>17</v>
      </c>
      <c r="AQ1792" s="4">
        <v>30</v>
      </c>
      <c r="AR1792" s="3" t="s">
        <v>62</v>
      </c>
      <c r="AS1792" s="3" t="s">
        <v>62</v>
      </c>
      <c r="AT1792" s="3" t="s">
        <v>62</v>
      </c>
      <c r="AV1792" s="6" t="str">
        <f>HYPERLINK("http://mcgill.on.worldcat.org/oclc/40230293","Catalog Record")</f>
        <v>Catalog Record</v>
      </c>
      <c r="AW1792" s="6" t="str">
        <f>HYPERLINK("http://www.worldcat.org/oclc/40230293","WorldCat Record")</f>
        <v>WorldCat Record</v>
      </c>
      <c r="AX1792" s="3" t="s">
        <v>17764</v>
      </c>
      <c r="AY1792" s="3" t="s">
        <v>17765</v>
      </c>
      <c r="AZ1792" s="3" t="s">
        <v>17766</v>
      </c>
      <c r="BA1792" s="3" t="s">
        <v>17766</v>
      </c>
      <c r="BB1792" s="3" t="s">
        <v>17767</v>
      </c>
      <c r="BC1792" s="3" t="s">
        <v>102</v>
      </c>
      <c r="BD1792" s="3" t="s">
        <v>68</v>
      </c>
      <c r="BE1792" s="3" t="s">
        <v>17768</v>
      </c>
      <c r="BF1792" s="3" t="s">
        <v>17767</v>
      </c>
      <c r="BG1792" s="3" t="s">
        <v>17769</v>
      </c>
    </row>
    <row r="1793" spans="1:59" ht="58" x14ac:dyDescent="0.35">
      <c r="A1793" s="2" t="s">
        <v>89</v>
      </c>
      <c r="B1793" s="2" t="s">
        <v>90</v>
      </c>
      <c r="C1793" s="2" t="s">
        <v>17770</v>
      </c>
      <c r="D1793" s="2" t="s">
        <v>17771</v>
      </c>
      <c r="E1793" s="2" t="s">
        <v>17772</v>
      </c>
      <c r="G1793" s="3" t="s">
        <v>62</v>
      </c>
      <c r="I1793" s="3" t="s">
        <v>62</v>
      </c>
      <c r="J1793" s="3" t="s">
        <v>62</v>
      </c>
      <c r="K1793" s="3" t="s">
        <v>63</v>
      </c>
      <c r="M1793" s="2" t="s">
        <v>17773</v>
      </c>
      <c r="N1793" s="3" t="s">
        <v>880</v>
      </c>
      <c r="P1793" s="3" t="s">
        <v>64</v>
      </c>
      <c r="Q1793" s="2" t="s">
        <v>17774</v>
      </c>
      <c r="R1793" s="3" t="s">
        <v>13065</v>
      </c>
      <c r="S1793" s="4">
        <v>0</v>
      </c>
      <c r="T1793" s="4">
        <v>0</v>
      </c>
      <c r="W1793" s="5" t="s">
        <v>67</v>
      </c>
      <c r="X1793" s="5" t="s">
        <v>67</v>
      </c>
      <c r="Y1793" s="4">
        <v>106</v>
      </c>
      <c r="Z1793" s="4">
        <v>11</v>
      </c>
      <c r="AA1793" s="4">
        <v>96</v>
      </c>
      <c r="AB1793" s="4">
        <v>1</v>
      </c>
      <c r="AC1793" s="4">
        <v>17</v>
      </c>
      <c r="AD1793" s="4">
        <v>39</v>
      </c>
      <c r="AE1793" s="4">
        <v>105</v>
      </c>
      <c r="AF1793" s="4">
        <v>0</v>
      </c>
      <c r="AG1793" s="4">
        <v>8</v>
      </c>
      <c r="AH1793" s="4">
        <v>32</v>
      </c>
      <c r="AI1793" s="4">
        <v>68</v>
      </c>
      <c r="AJ1793" s="4">
        <v>8</v>
      </c>
      <c r="AK1793" s="4">
        <v>21</v>
      </c>
      <c r="AL1793" s="4">
        <v>21</v>
      </c>
      <c r="AM1793" s="4">
        <v>36</v>
      </c>
      <c r="AN1793" s="4">
        <v>0</v>
      </c>
      <c r="AO1793" s="4">
        <v>0</v>
      </c>
      <c r="AP1793" s="4">
        <v>9</v>
      </c>
      <c r="AQ1793" s="4">
        <v>43</v>
      </c>
      <c r="AR1793" s="3" t="s">
        <v>62</v>
      </c>
      <c r="AS1793" s="3" t="s">
        <v>62</v>
      </c>
      <c r="AT1793" s="3" t="s">
        <v>62</v>
      </c>
      <c r="AV1793" s="6" t="str">
        <f>HYPERLINK("http://mcgill.on.worldcat.org/oclc/466333841","Catalog Record")</f>
        <v>Catalog Record</v>
      </c>
      <c r="AW1793" s="6" t="str">
        <f>HYPERLINK("http://www.worldcat.org/oclc/466333841","WorldCat Record")</f>
        <v>WorldCat Record</v>
      </c>
      <c r="AX1793" s="3" t="s">
        <v>17775</v>
      </c>
      <c r="AY1793" s="3" t="s">
        <v>17776</v>
      </c>
      <c r="AZ1793" s="3" t="s">
        <v>17777</v>
      </c>
      <c r="BA1793" s="3" t="s">
        <v>17777</v>
      </c>
      <c r="BB1793" s="3" t="s">
        <v>17778</v>
      </c>
      <c r="BC1793" s="3" t="s">
        <v>102</v>
      </c>
      <c r="BD1793" s="3" t="s">
        <v>68</v>
      </c>
      <c r="BE1793" s="3" t="s">
        <v>17779</v>
      </c>
      <c r="BF1793" s="3" t="s">
        <v>17778</v>
      </c>
      <c r="BG1793" s="3" t="s">
        <v>17780</v>
      </c>
    </row>
    <row r="1794" spans="1:59" ht="58" x14ac:dyDescent="0.35">
      <c r="A1794" s="2" t="s">
        <v>89</v>
      </c>
      <c r="B1794" s="2" t="s">
        <v>90</v>
      </c>
      <c r="C1794" s="2" t="s">
        <v>17781</v>
      </c>
      <c r="D1794" s="2" t="s">
        <v>17782</v>
      </c>
      <c r="E1794" s="2" t="s">
        <v>17783</v>
      </c>
      <c r="G1794" s="3" t="s">
        <v>62</v>
      </c>
      <c r="I1794" s="3" t="s">
        <v>62</v>
      </c>
      <c r="J1794" s="3" t="s">
        <v>62</v>
      </c>
      <c r="K1794" s="3" t="s">
        <v>63</v>
      </c>
      <c r="L1794" s="2" t="s">
        <v>17784</v>
      </c>
      <c r="M1794" s="2" t="s">
        <v>17785</v>
      </c>
      <c r="N1794" s="3" t="s">
        <v>726</v>
      </c>
      <c r="P1794" s="3" t="s">
        <v>64</v>
      </c>
      <c r="R1794" s="3" t="s">
        <v>13065</v>
      </c>
      <c r="S1794" s="4">
        <v>0</v>
      </c>
      <c r="T1794" s="4">
        <v>0</v>
      </c>
      <c r="W1794" s="5" t="s">
        <v>67</v>
      </c>
      <c r="X1794" s="5" t="s">
        <v>67</v>
      </c>
      <c r="Y1794" s="4">
        <v>23</v>
      </c>
      <c r="Z1794" s="4">
        <v>2</v>
      </c>
      <c r="AA1794" s="4">
        <v>27</v>
      </c>
      <c r="AB1794" s="4">
        <v>1</v>
      </c>
      <c r="AC1794" s="4">
        <v>9</v>
      </c>
      <c r="AD1794" s="4">
        <v>2</v>
      </c>
      <c r="AE1794" s="4">
        <v>54</v>
      </c>
      <c r="AF1794" s="4">
        <v>0</v>
      </c>
      <c r="AG1794" s="4">
        <v>6</v>
      </c>
      <c r="AH1794" s="4">
        <v>2</v>
      </c>
      <c r="AI1794" s="4">
        <v>41</v>
      </c>
      <c r="AJ1794" s="4">
        <v>0</v>
      </c>
      <c r="AK1794" s="4">
        <v>10</v>
      </c>
      <c r="AL1794" s="4">
        <v>2</v>
      </c>
      <c r="AM1794" s="4">
        <v>26</v>
      </c>
      <c r="AN1794" s="4">
        <v>0</v>
      </c>
      <c r="AO1794" s="4">
        <v>0</v>
      </c>
      <c r="AP1794" s="4">
        <v>0</v>
      </c>
      <c r="AQ1794" s="4">
        <v>15</v>
      </c>
      <c r="AR1794" s="3" t="s">
        <v>62</v>
      </c>
      <c r="AS1794" s="3" t="s">
        <v>62</v>
      </c>
      <c r="AT1794" s="3" t="s">
        <v>62</v>
      </c>
      <c r="AV1794" s="6" t="str">
        <f>HYPERLINK("http://mcgill.on.worldcat.org/oclc/967752561","Catalog Record")</f>
        <v>Catalog Record</v>
      </c>
      <c r="AW1794" s="6" t="str">
        <f>HYPERLINK("http://www.worldcat.org/oclc/967752561","WorldCat Record")</f>
        <v>WorldCat Record</v>
      </c>
      <c r="AX1794" s="3" t="s">
        <v>17786</v>
      </c>
      <c r="AY1794" s="3" t="s">
        <v>17787</v>
      </c>
      <c r="AZ1794" s="3" t="s">
        <v>17788</v>
      </c>
      <c r="BA1794" s="3" t="s">
        <v>17788</v>
      </c>
      <c r="BB1794" s="3" t="s">
        <v>17789</v>
      </c>
      <c r="BC1794" s="3" t="s">
        <v>102</v>
      </c>
      <c r="BD1794" s="3" t="s">
        <v>68</v>
      </c>
      <c r="BE1794" s="3" t="s">
        <v>17790</v>
      </c>
      <c r="BF1794" s="3" t="s">
        <v>17789</v>
      </c>
      <c r="BG1794" s="3" t="s">
        <v>17791</v>
      </c>
    </row>
    <row r="1795" spans="1:59" ht="58" x14ac:dyDescent="0.35">
      <c r="A1795" s="2" t="s">
        <v>89</v>
      </c>
      <c r="B1795" s="2" t="s">
        <v>90</v>
      </c>
      <c r="C1795" s="2" t="s">
        <v>17792</v>
      </c>
      <c r="D1795" s="2" t="s">
        <v>17793</v>
      </c>
      <c r="E1795" s="2" t="s">
        <v>17794</v>
      </c>
      <c r="G1795" s="3" t="s">
        <v>62</v>
      </c>
      <c r="I1795" s="3" t="s">
        <v>62</v>
      </c>
      <c r="J1795" s="3" t="s">
        <v>62</v>
      </c>
      <c r="K1795" s="3" t="s">
        <v>63</v>
      </c>
      <c r="M1795" s="2" t="s">
        <v>17795</v>
      </c>
      <c r="N1795" s="3" t="s">
        <v>684</v>
      </c>
      <c r="P1795" s="3" t="s">
        <v>64</v>
      </c>
      <c r="Q1795" s="2" t="s">
        <v>17796</v>
      </c>
      <c r="R1795" s="3" t="s">
        <v>13065</v>
      </c>
      <c r="S1795" s="4">
        <v>0</v>
      </c>
      <c r="T1795" s="4">
        <v>0</v>
      </c>
      <c r="W1795" s="5" t="s">
        <v>67</v>
      </c>
      <c r="X1795" s="5" t="s">
        <v>67</v>
      </c>
      <c r="Y1795" s="4">
        <v>86</v>
      </c>
      <c r="Z1795" s="4">
        <v>5</v>
      </c>
      <c r="AA1795" s="4">
        <v>9</v>
      </c>
      <c r="AB1795" s="4">
        <v>1</v>
      </c>
      <c r="AC1795" s="4">
        <v>1</v>
      </c>
      <c r="AD1795" s="4">
        <v>46</v>
      </c>
      <c r="AE1795" s="4">
        <v>55</v>
      </c>
      <c r="AF1795" s="4">
        <v>0</v>
      </c>
      <c r="AG1795" s="4">
        <v>0</v>
      </c>
      <c r="AH1795" s="4">
        <v>44</v>
      </c>
      <c r="AI1795" s="4">
        <v>52</v>
      </c>
      <c r="AJ1795" s="4">
        <v>2</v>
      </c>
      <c r="AK1795" s="4">
        <v>6</v>
      </c>
      <c r="AL1795" s="4">
        <v>25</v>
      </c>
      <c r="AM1795" s="4">
        <v>28</v>
      </c>
      <c r="AN1795" s="4">
        <v>0</v>
      </c>
      <c r="AO1795" s="4">
        <v>0</v>
      </c>
      <c r="AP1795" s="4">
        <v>3</v>
      </c>
      <c r="AQ1795" s="4">
        <v>7</v>
      </c>
      <c r="AR1795" s="3" t="s">
        <v>62</v>
      </c>
      <c r="AS1795" s="3" t="s">
        <v>62</v>
      </c>
      <c r="AT1795" s="3" t="s">
        <v>62</v>
      </c>
      <c r="AV1795" s="6" t="str">
        <f>HYPERLINK("http://mcgill.on.worldcat.org/oclc/729347956","Catalog Record")</f>
        <v>Catalog Record</v>
      </c>
      <c r="AW1795" s="6" t="str">
        <f>HYPERLINK("http://www.worldcat.org/oclc/729347956","WorldCat Record")</f>
        <v>WorldCat Record</v>
      </c>
      <c r="AX1795" s="3" t="s">
        <v>17797</v>
      </c>
      <c r="AY1795" s="3" t="s">
        <v>17798</v>
      </c>
      <c r="AZ1795" s="3" t="s">
        <v>17799</v>
      </c>
      <c r="BA1795" s="3" t="s">
        <v>17799</v>
      </c>
      <c r="BB1795" s="3" t="s">
        <v>17800</v>
      </c>
      <c r="BC1795" s="3" t="s">
        <v>102</v>
      </c>
      <c r="BD1795" s="3" t="s">
        <v>68</v>
      </c>
      <c r="BE1795" s="3" t="s">
        <v>17801</v>
      </c>
      <c r="BF1795" s="3" t="s">
        <v>17800</v>
      </c>
      <c r="BG1795" s="3" t="s">
        <v>17802</v>
      </c>
    </row>
    <row r="1796" spans="1:59" ht="101.5" x14ac:dyDescent="0.35">
      <c r="A1796" s="2" t="s">
        <v>89</v>
      </c>
      <c r="B1796" s="2" t="s">
        <v>17803</v>
      </c>
      <c r="C1796" s="2" t="s">
        <v>17804</v>
      </c>
      <c r="D1796" s="2" t="s">
        <v>17805</v>
      </c>
      <c r="E1796" s="2" t="s">
        <v>17806</v>
      </c>
      <c r="G1796" s="3" t="s">
        <v>62</v>
      </c>
      <c r="I1796" s="3" t="s">
        <v>62</v>
      </c>
      <c r="J1796" s="3" t="s">
        <v>62</v>
      </c>
      <c r="K1796" s="3" t="s">
        <v>63</v>
      </c>
      <c r="L1796" s="2" t="s">
        <v>17807</v>
      </c>
      <c r="M1796" s="2" t="s">
        <v>17808</v>
      </c>
      <c r="N1796" s="3" t="s">
        <v>129</v>
      </c>
      <c r="O1796" s="2" t="s">
        <v>8443</v>
      </c>
      <c r="P1796" s="3" t="s">
        <v>64</v>
      </c>
      <c r="Q1796" s="2" t="s">
        <v>17809</v>
      </c>
      <c r="R1796" s="3" t="s">
        <v>13065</v>
      </c>
      <c r="S1796" s="4">
        <v>3</v>
      </c>
      <c r="T1796" s="4">
        <v>3</v>
      </c>
      <c r="U1796" s="5" t="s">
        <v>17810</v>
      </c>
      <c r="V1796" s="5" t="s">
        <v>17810</v>
      </c>
      <c r="W1796" s="5" t="s">
        <v>67</v>
      </c>
      <c r="X1796" s="5" t="s">
        <v>67</v>
      </c>
      <c r="Y1796" s="4">
        <v>7</v>
      </c>
      <c r="Z1796" s="4">
        <v>2</v>
      </c>
      <c r="AA1796" s="4">
        <v>2</v>
      </c>
      <c r="AB1796" s="4">
        <v>1</v>
      </c>
      <c r="AC1796" s="4">
        <v>1</v>
      </c>
      <c r="AD1796" s="4">
        <v>1</v>
      </c>
      <c r="AE1796" s="4">
        <v>1</v>
      </c>
      <c r="AF1796" s="4">
        <v>0</v>
      </c>
      <c r="AG1796" s="4">
        <v>0</v>
      </c>
      <c r="AH1796" s="4">
        <v>0</v>
      </c>
      <c r="AI1796" s="4">
        <v>0</v>
      </c>
      <c r="AJ1796" s="4">
        <v>1</v>
      </c>
      <c r="AK1796" s="4">
        <v>1</v>
      </c>
      <c r="AL1796" s="4">
        <v>0</v>
      </c>
      <c r="AM1796" s="4">
        <v>0</v>
      </c>
      <c r="AN1796" s="4">
        <v>0</v>
      </c>
      <c r="AO1796" s="4">
        <v>0</v>
      </c>
      <c r="AP1796" s="4">
        <v>1</v>
      </c>
      <c r="AQ1796" s="4">
        <v>1</v>
      </c>
      <c r="AR1796" s="3" t="s">
        <v>62</v>
      </c>
      <c r="AS1796" s="3" t="s">
        <v>62</v>
      </c>
      <c r="AT1796" s="3" t="s">
        <v>62</v>
      </c>
      <c r="AV1796" s="6" t="str">
        <f>HYPERLINK("http://mcgill.on.worldcat.org/oclc/878908407","Catalog Record")</f>
        <v>Catalog Record</v>
      </c>
      <c r="AW1796" s="6" t="str">
        <f>HYPERLINK("http://www.worldcat.org/oclc/878908407","WorldCat Record")</f>
        <v>WorldCat Record</v>
      </c>
      <c r="AX1796" s="3" t="s">
        <v>17811</v>
      </c>
      <c r="AY1796" s="3" t="s">
        <v>17812</v>
      </c>
      <c r="AZ1796" s="3" t="s">
        <v>17813</v>
      </c>
      <c r="BA1796" s="3" t="s">
        <v>17813</v>
      </c>
      <c r="BB1796" s="3" t="s">
        <v>17814</v>
      </c>
      <c r="BC1796" s="3" t="s">
        <v>102</v>
      </c>
      <c r="BD1796" s="3" t="s">
        <v>68</v>
      </c>
      <c r="BF1796" s="3" t="s">
        <v>17814</v>
      </c>
      <c r="BG1796" s="3" t="s">
        <v>17815</v>
      </c>
    </row>
    <row r="1797" spans="1:59" ht="72.5" x14ac:dyDescent="0.35">
      <c r="A1797" s="2" t="s">
        <v>89</v>
      </c>
      <c r="B1797" s="2" t="s">
        <v>90</v>
      </c>
      <c r="C1797" s="2" t="s">
        <v>17816</v>
      </c>
      <c r="D1797" s="2" t="s">
        <v>17817</v>
      </c>
      <c r="E1797" s="2" t="s">
        <v>17818</v>
      </c>
      <c r="G1797" s="3" t="s">
        <v>62</v>
      </c>
      <c r="I1797" s="3" t="s">
        <v>62</v>
      </c>
      <c r="J1797" s="3" t="s">
        <v>62</v>
      </c>
      <c r="K1797" s="3" t="s">
        <v>63</v>
      </c>
      <c r="M1797" s="2" t="s">
        <v>17819</v>
      </c>
      <c r="N1797" s="3" t="s">
        <v>741</v>
      </c>
      <c r="P1797" s="3" t="s">
        <v>64</v>
      </c>
      <c r="R1797" s="3" t="s">
        <v>13065</v>
      </c>
      <c r="S1797" s="4">
        <v>0</v>
      </c>
      <c r="T1797" s="4">
        <v>0</v>
      </c>
      <c r="W1797" s="5" t="s">
        <v>5991</v>
      </c>
      <c r="X1797" s="5" t="s">
        <v>5991</v>
      </c>
      <c r="Y1797" s="4">
        <v>13</v>
      </c>
      <c r="Z1797" s="4">
        <v>2</v>
      </c>
      <c r="AA1797" s="4">
        <v>3</v>
      </c>
      <c r="AB1797" s="4">
        <v>1</v>
      </c>
      <c r="AC1797" s="4">
        <v>2</v>
      </c>
      <c r="AD1797" s="4">
        <v>3</v>
      </c>
      <c r="AE1797" s="4">
        <v>5</v>
      </c>
      <c r="AF1797" s="4">
        <v>0</v>
      </c>
      <c r="AG1797" s="4">
        <v>1</v>
      </c>
      <c r="AH1797" s="4">
        <v>2</v>
      </c>
      <c r="AI1797" s="4">
        <v>3</v>
      </c>
      <c r="AJ1797" s="4">
        <v>1</v>
      </c>
      <c r="AK1797" s="4">
        <v>1</v>
      </c>
      <c r="AL1797" s="4">
        <v>2</v>
      </c>
      <c r="AM1797" s="4">
        <v>2</v>
      </c>
      <c r="AN1797" s="4">
        <v>0</v>
      </c>
      <c r="AO1797" s="4">
        <v>0</v>
      </c>
      <c r="AP1797" s="4">
        <v>1</v>
      </c>
      <c r="AQ1797" s="4">
        <v>2</v>
      </c>
      <c r="AR1797" s="3" t="s">
        <v>62</v>
      </c>
      <c r="AS1797" s="3" t="s">
        <v>62</v>
      </c>
      <c r="AT1797" s="3" t="s">
        <v>62</v>
      </c>
      <c r="AV1797" s="6" t="str">
        <f>HYPERLINK("http://mcgill.on.worldcat.org/oclc/1117456398","Catalog Record")</f>
        <v>Catalog Record</v>
      </c>
      <c r="AW1797" s="6" t="str">
        <f>HYPERLINK("http://www.worldcat.org/oclc/1117456398","WorldCat Record")</f>
        <v>WorldCat Record</v>
      </c>
      <c r="AX1797" s="3" t="s">
        <v>17820</v>
      </c>
      <c r="AY1797" s="3" t="s">
        <v>17821</v>
      </c>
      <c r="AZ1797" s="3" t="s">
        <v>17822</v>
      </c>
      <c r="BA1797" s="3" t="s">
        <v>17822</v>
      </c>
      <c r="BB1797" s="3" t="s">
        <v>17823</v>
      </c>
      <c r="BC1797" s="3" t="s">
        <v>102</v>
      </c>
      <c r="BD1797" s="3" t="s">
        <v>68</v>
      </c>
      <c r="BE1797" s="3" t="s">
        <v>17824</v>
      </c>
      <c r="BF1797" s="3" t="s">
        <v>17823</v>
      </c>
      <c r="BG1797" s="3" t="s">
        <v>17825</v>
      </c>
    </row>
    <row r="1798" spans="1:59" ht="58" x14ac:dyDescent="0.35">
      <c r="A1798" s="2" t="s">
        <v>89</v>
      </c>
      <c r="B1798" s="2" t="s">
        <v>90</v>
      </c>
      <c r="C1798" s="2" t="s">
        <v>17826</v>
      </c>
      <c r="D1798" s="2" t="s">
        <v>17827</v>
      </c>
      <c r="E1798" s="2" t="s">
        <v>17828</v>
      </c>
      <c r="G1798" s="3" t="s">
        <v>62</v>
      </c>
      <c r="I1798" s="3" t="s">
        <v>62</v>
      </c>
      <c r="J1798" s="3" t="s">
        <v>61</v>
      </c>
      <c r="K1798" s="3" t="s">
        <v>63</v>
      </c>
      <c r="L1798" s="2" t="s">
        <v>17829</v>
      </c>
      <c r="M1798" s="2" t="s">
        <v>17830</v>
      </c>
      <c r="N1798" s="3" t="s">
        <v>1455</v>
      </c>
      <c r="O1798" s="2" t="s">
        <v>17053</v>
      </c>
      <c r="P1798" s="3" t="s">
        <v>64</v>
      </c>
      <c r="R1798" s="3" t="s">
        <v>13065</v>
      </c>
      <c r="S1798" s="4">
        <v>4</v>
      </c>
      <c r="T1798" s="4">
        <v>4</v>
      </c>
      <c r="U1798" s="5" t="s">
        <v>2767</v>
      </c>
      <c r="V1798" s="5" t="s">
        <v>2767</v>
      </c>
      <c r="W1798" s="5" t="s">
        <v>67</v>
      </c>
      <c r="X1798" s="5" t="s">
        <v>67</v>
      </c>
      <c r="Y1798" s="4">
        <v>113</v>
      </c>
      <c r="Z1798" s="4">
        <v>9</v>
      </c>
      <c r="AA1798" s="4">
        <v>62</v>
      </c>
      <c r="AB1798" s="4">
        <v>1</v>
      </c>
      <c r="AC1798" s="4">
        <v>13</v>
      </c>
      <c r="AD1798" s="4">
        <v>18</v>
      </c>
      <c r="AE1798" s="4">
        <v>125</v>
      </c>
      <c r="AF1798" s="4">
        <v>0</v>
      </c>
      <c r="AG1798" s="4">
        <v>7</v>
      </c>
      <c r="AH1798" s="4">
        <v>14</v>
      </c>
      <c r="AI1798" s="4">
        <v>98</v>
      </c>
      <c r="AJ1798" s="4">
        <v>6</v>
      </c>
      <c r="AK1798" s="4">
        <v>24</v>
      </c>
      <c r="AL1798" s="4">
        <v>7</v>
      </c>
      <c r="AM1798" s="4">
        <v>51</v>
      </c>
      <c r="AN1798" s="4">
        <v>0</v>
      </c>
      <c r="AO1798" s="4">
        <v>0</v>
      </c>
      <c r="AP1798" s="4">
        <v>7</v>
      </c>
      <c r="AQ1798" s="4">
        <v>34</v>
      </c>
      <c r="AR1798" s="3" t="s">
        <v>62</v>
      </c>
      <c r="AS1798" s="3" t="s">
        <v>62</v>
      </c>
      <c r="AT1798" s="3" t="s">
        <v>62</v>
      </c>
      <c r="AV1798" s="6" t="str">
        <f>HYPERLINK("http://mcgill.on.worldcat.org/oclc/893452682","Catalog Record")</f>
        <v>Catalog Record</v>
      </c>
      <c r="AW1798" s="6" t="str">
        <f>HYPERLINK("http://www.worldcat.org/oclc/893452682","WorldCat Record")</f>
        <v>WorldCat Record</v>
      </c>
      <c r="AX1798" s="3" t="s">
        <v>17831</v>
      </c>
      <c r="AY1798" s="3" t="s">
        <v>17832</v>
      </c>
      <c r="AZ1798" s="3" t="s">
        <v>17833</v>
      </c>
      <c r="BA1798" s="3" t="s">
        <v>17833</v>
      </c>
      <c r="BB1798" s="3" t="s">
        <v>17834</v>
      </c>
      <c r="BC1798" s="3" t="s">
        <v>102</v>
      </c>
      <c r="BD1798" s="3" t="s">
        <v>68</v>
      </c>
      <c r="BE1798" s="3" t="s">
        <v>17835</v>
      </c>
      <c r="BF1798" s="3" t="s">
        <v>17834</v>
      </c>
      <c r="BG1798" s="3" t="s">
        <v>17836</v>
      </c>
    </row>
    <row r="1799" spans="1:59" ht="58" x14ac:dyDescent="0.35">
      <c r="A1799" s="2" t="s">
        <v>89</v>
      </c>
      <c r="B1799" s="2" t="s">
        <v>90</v>
      </c>
      <c r="C1799" s="2" t="s">
        <v>17837</v>
      </c>
      <c r="D1799" s="2" t="s">
        <v>17838</v>
      </c>
      <c r="E1799" s="2" t="s">
        <v>17839</v>
      </c>
      <c r="G1799" s="3" t="s">
        <v>62</v>
      </c>
      <c r="I1799" s="3" t="s">
        <v>62</v>
      </c>
      <c r="J1799" s="3" t="s">
        <v>62</v>
      </c>
      <c r="K1799" s="3" t="s">
        <v>63</v>
      </c>
      <c r="L1799" s="2" t="s">
        <v>17840</v>
      </c>
      <c r="M1799" s="2" t="s">
        <v>17841</v>
      </c>
      <c r="N1799" s="3" t="s">
        <v>596</v>
      </c>
      <c r="P1799" s="3" t="s">
        <v>64</v>
      </c>
      <c r="R1799" s="3" t="s">
        <v>13065</v>
      </c>
      <c r="S1799" s="4">
        <v>4</v>
      </c>
      <c r="T1799" s="4">
        <v>4</v>
      </c>
      <c r="U1799" s="5" t="s">
        <v>17842</v>
      </c>
      <c r="V1799" s="5" t="s">
        <v>17842</v>
      </c>
      <c r="W1799" s="5" t="s">
        <v>67</v>
      </c>
      <c r="X1799" s="5" t="s">
        <v>67</v>
      </c>
      <c r="Y1799" s="4">
        <v>186</v>
      </c>
      <c r="Z1799" s="4">
        <v>16</v>
      </c>
      <c r="AA1799" s="4">
        <v>27</v>
      </c>
      <c r="AB1799" s="4">
        <v>1</v>
      </c>
      <c r="AC1799" s="4">
        <v>7</v>
      </c>
      <c r="AD1799" s="4">
        <v>40</v>
      </c>
      <c r="AE1799" s="4">
        <v>51</v>
      </c>
      <c r="AF1799" s="4">
        <v>0</v>
      </c>
      <c r="AG1799" s="4">
        <v>3</v>
      </c>
      <c r="AH1799" s="4">
        <v>35</v>
      </c>
      <c r="AI1799" s="4">
        <v>41</v>
      </c>
      <c r="AJ1799" s="4">
        <v>6</v>
      </c>
      <c r="AK1799" s="4">
        <v>12</v>
      </c>
      <c r="AL1799" s="4">
        <v>17</v>
      </c>
      <c r="AM1799" s="4">
        <v>19</v>
      </c>
      <c r="AN1799" s="4">
        <v>0</v>
      </c>
      <c r="AO1799" s="4">
        <v>0</v>
      </c>
      <c r="AP1799" s="4">
        <v>8</v>
      </c>
      <c r="AQ1799" s="4">
        <v>16</v>
      </c>
      <c r="AR1799" s="3" t="s">
        <v>62</v>
      </c>
      <c r="AS1799" s="3" t="s">
        <v>62</v>
      </c>
      <c r="AT1799" s="3" t="s">
        <v>62</v>
      </c>
      <c r="AV1799" s="6" t="str">
        <f>HYPERLINK("http://mcgill.on.worldcat.org/oclc/47521397","Catalog Record")</f>
        <v>Catalog Record</v>
      </c>
      <c r="AW1799" s="6" t="str">
        <f>HYPERLINK("http://www.worldcat.org/oclc/47521397","WorldCat Record")</f>
        <v>WorldCat Record</v>
      </c>
      <c r="AX1799" s="3" t="s">
        <v>17843</v>
      </c>
      <c r="AY1799" s="3" t="s">
        <v>17844</v>
      </c>
      <c r="AZ1799" s="3" t="s">
        <v>17845</v>
      </c>
      <c r="BA1799" s="3" t="s">
        <v>17845</v>
      </c>
      <c r="BB1799" s="3" t="s">
        <v>17846</v>
      </c>
      <c r="BC1799" s="3" t="s">
        <v>102</v>
      </c>
      <c r="BD1799" s="3" t="s">
        <v>68</v>
      </c>
      <c r="BE1799" s="3" t="s">
        <v>17847</v>
      </c>
      <c r="BF1799" s="3" t="s">
        <v>17846</v>
      </c>
      <c r="BG1799" s="3" t="s">
        <v>17848</v>
      </c>
    </row>
    <row r="1800" spans="1:59" ht="58" x14ac:dyDescent="0.35">
      <c r="A1800" s="2" t="s">
        <v>89</v>
      </c>
      <c r="B1800" s="2" t="s">
        <v>90</v>
      </c>
      <c r="C1800" s="2" t="s">
        <v>17849</v>
      </c>
      <c r="D1800" s="2" t="s">
        <v>17850</v>
      </c>
      <c r="E1800" s="2" t="s">
        <v>17851</v>
      </c>
      <c r="G1800" s="3" t="s">
        <v>62</v>
      </c>
      <c r="I1800" s="3" t="s">
        <v>62</v>
      </c>
      <c r="J1800" s="3" t="s">
        <v>62</v>
      </c>
      <c r="K1800" s="3" t="s">
        <v>63</v>
      </c>
      <c r="L1800" s="2" t="s">
        <v>17393</v>
      </c>
      <c r="M1800" s="2" t="s">
        <v>17852</v>
      </c>
      <c r="N1800" s="3" t="s">
        <v>115</v>
      </c>
      <c r="P1800" s="3" t="s">
        <v>64</v>
      </c>
      <c r="R1800" s="3" t="s">
        <v>13065</v>
      </c>
      <c r="S1800" s="4">
        <v>15</v>
      </c>
      <c r="T1800" s="4">
        <v>15</v>
      </c>
      <c r="U1800" s="5" t="s">
        <v>10619</v>
      </c>
      <c r="V1800" s="5" t="s">
        <v>10619</v>
      </c>
      <c r="W1800" s="5" t="s">
        <v>67</v>
      </c>
      <c r="X1800" s="5" t="s">
        <v>67</v>
      </c>
      <c r="Y1800" s="4">
        <v>181</v>
      </c>
      <c r="Z1800" s="4">
        <v>11</v>
      </c>
      <c r="AA1800" s="4">
        <v>13</v>
      </c>
      <c r="AB1800" s="4">
        <v>2</v>
      </c>
      <c r="AC1800" s="4">
        <v>4</v>
      </c>
      <c r="AD1800" s="4">
        <v>53</v>
      </c>
      <c r="AE1800" s="4">
        <v>55</v>
      </c>
      <c r="AF1800" s="4">
        <v>1</v>
      </c>
      <c r="AG1800" s="4">
        <v>3</v>
      </c>
      <c r="AH1800" s="4">
        <v>49</v>
      </c>
      <c r="AI1800" s="4">
        <v>50</v>
      </c>
      <c r="AJ1800" s="4">
        <v>6</v>
      </c>
      <c r="AK1800" s="4">
        <v>8</v>
      </c>
      <c r="AL1800" s="4">
        <v>23</v>
      </c>
      <c r="AM1800" s="4">
        <v>23</v>
      </c>
      <c r="AN1800" s="4">
        <v>0</v>
      </c>
      <c r="AO1800" s="4">
        <v>0</v>
      </c>
      <c r="AP1800" s="4">
        <v>7</v>
      </c>
      <c r="AQ1800" s="4">
        <v>9</v>
      </c>
      <c r="AR1800" s="3" t="s">
        <v>62</v>
      </c>
      <c r="AS1800" s="3" t="s">
        <v>62</v>
      </c>
      <c r="AT1800" s="3" t="s">
        <v>61</v>
      </c>
      <c r="AU1800" s="6" t="str">
        <f>HYPERLINK("http://catalog.hathitrust.org/Record/001541823","HathiTrust Record")</f>
        <v>HathiTrust Record</v>
      </c>
      <c r="AV1800" s="6" t="str">
        <f>HYPERLINK("http://mcgill.on.worldcat.org/oclc/18833220","Catalog Record")</f>
        <v>Catalog Record</v>
      </c>
      <c r="AW1800" s="6" t="str">
        <f>HYPERLINK("http://www.worldcat.org/oclc/18833220","WorldCat Record")</f>
        <v>WorldCat Record</v>
      </c>
      <c r="AX1800" s="3" t="s">
        <v>17853</v>
      </c>
      <c r="AY1800" s="3" t="s">
        <v>17854</v>
      </c>
      <c r="AZ1800" s="3" t="s">
        <v>17855</v>
      </c>
      <c r="BA1800" s="3" t="s">
        <v>17855</v>
      </c>
      <c r="BB1800" s="3" t="s">
        <v>17856</v>
      </c>
      <c r="BC1800" s="3" t="s">
        <v>102</v>
      </c>
      <c r="BD1800" s="3" t="s">
        <v>68</v>
      </c>
      <c r="BE1800" s="3" t="s">
        <v>17857</v>
      </c>
      <c r="BF1800" s="3" t="s">
        <v>17856</v>
      </c>
      <c r="BG1800" s="3" t="s">
        <v>17858</v>
      </c>
    </row>
    <row r="1801" spans="1:59" ht="58" x14ac:dyDescent="0.35">
      <c r="A1801" s="2" t="s">
        <v>89</v>
      </c>
      <c r="B1801" s="2" t="s">
        <v>90</v>
      </c>
      <c r="C1801" s="2" t="s">
        <v>17859</v>
      </c>
      <c r="D1801" s="2" t="s">
        <v>17860</v>
      </c>
      <c r="E1801" s="2" t="s">
        <v>17861</v>
      </c>
      <c r="G1801" s="3" t="s">
        <v>62</v>
      </c>
      <c r="I1801" s="3" t="s">
        <v>61</v>
      </c>
      <c r="J1801" s="3" t="s">
        <v>62</v>
      </c>
      <c r="K1801" s="3" t="s">
        <v>63</v>
      </c>
      <c r="L1801" s="2" t="s">
        <v>17862</v>
      </c>
      <c r="M1801" s="2" t="s">
        <v>17863</v>
      </c>
      <c r="N1801" s="3" t="s">
        <v>1195</v>
      </c>
      <c r="P1801" s="3" t="s">
        <v>64</v>
      </c>
      <c r="R1801" s="3" t="s">
        <v>13065</v>
      </c>
      <c r="S1801" s="4">
        <v>105</v>
      </c>
      <c r="T1801" s="4">
        <v>750</v>
      </c>
      <c r="U1801" s="5" t="s">
        <v>16848</v>
      </c>
      <c r="V1801" s="5" t="s">
        <v>16848</v>
      </c>
      <c r="W1801" s="5" t="s">
        <v>67</v>
      </c>
      <c r="X1801" s="5" t="s">
        <v>67</v>
      </c>
      <c r="Y1801" s="4">
        <v>366</v>
      </c>
      <c r="Z1801" s="4">
        <v>38</v>
      </c>
      <c r="AA1801" s="4">
        <v>51</v>
      </c>
      <c r="AB1801" s="4">
        <v>3</v>
      </c>
      <c r="AC1801" s="4">
        <v>15</v>
      </c>
      <c r="AD1801" s="4">
        <v>92</v>
      </c>
      <c r="AE1801" s="4">
        <v>99</v>
      </c>
      <c r="AF1801" s="4">
        <v>1</v>
      </c>
      <c r="AG1801" s="4">
        <v>6</v>
      </c>
      <c r="AH1801" s="4">
        <v>75</v>
      </c>
      <c r="AI1801" s="4">
        <v>77</v>
      </c>
      <c r="AJ1801" s="4">
        <v>19</v>
      </c>
      <c r="AK1801" s="4">
        <v>23</v>
      </c>
      <c r="AL1801" s="4">
        <v>42</v>
      </c>
      <c r="AM1801" s="4">
        <v>42</v>
      </c>
      <c r="AN1801" s="4">
        <v>0</v>
      </c>
      <c r="AO1801" s="4">
        <v>0</v>
      </c>
      <c r="AP1801" s="4">
        <v>26</v>
      </c>
      <c r="AQ1801" s="4">
        <v>31</v>
      </c>
      <c r="AR1801" s="3" t="s">
        <v>62</v>
      </c>
      <c r="AS1801" s="3" t="s">
        <v>62</v>
      </c>
      <c r="AT1801" s="3" t="s">
        <v>62</v>
      </c>
      <c r="AV1801" s="6" t="str">
        <f>HYPERLINK("http://mcgill.on.worldcat.org/oclc/57422612","Catalog Record")</f>
        <v>Catalog Record</v>
      </c>
      <c r="AW1801" s="6" t="str">
        <f>HYPERLINK("http://www.worldcat.org/oclc/57422612","WorldCat Record")</f>
        <v>WorldCat Record</v>
      </c>
      <c r="AX1801" s="3" t="s">
        <v>17864</v>
      </c>
      <c r="AY1801" s="3" t="s">
        <v>17865</v>
      </c>
      <c r="AZ1801" s="3" t="s">
        <v>17866</v>
      </c>
      <c r="BA1801" s="3" t="s">
        <v>17866</v>
      </c>
      <c r="BB1801" s="3" t="s">
        <v>17867</v>
      </c>
      <c r="BC1801" s="3" t="s">
        <v>102</v>
      </c>
      <c r="BD1801" s="3" t="s">
        <v>68</v>
      </c>
      <c r="BE1801" s="3" t="s">
        <v>17868</v>
      </c>
      <c r="BF1801" s="3" t="s">
        <v>17867</v>
      </c>
      <c r="BG1801" s="3" t="s">
        <v>17869</v>
      </c>
    </row>
    <row r="1802" spans="1:59" ht="58" x14ac:dyDescent="0.35">
      <c r="A1802" s="2" t="s">
        <v>89</v>
      </c>
      <c r="B1802" s="2" t="s">
        <v>90</v>
      </c>
      <c r="C1802" s="2" t="s">
        <v>17859</v>
      </c>
      <c r="D1802" s="2" t="s">
        <v>17860</v>
      </c>
      <c r="E1802" s="2" t="s">
        <v>17861</v>
      </c>
      <c r="G1802" s="3" t="s">
        <v>62</v>
      </c>
      <c r="I1802" s="3" t="s">
        <v>61</v>
      </c>
      <c r="J1802" s="3" t="s">
        <v>62</v>
      </c>
      <c r="K1802" s="3" t="s">
        <v>63</v>
      </c>
      <c r="L1802" s="2" t="s">
        <v>17862</v>
      </c>
      <c r="M1802" s="2" t="s">
        <v>17863</v>
      </c>
      <c r="N1802" s="3" t="s">
        <v>1195</v>
      </c>
      <c r="P1802" s="3" t="s">
        <v>64</v>
      </c>
      <c r="R1802" s="3" t="s">
        <v>13065</v>
      </c>
      <c r="S1802" s="4">
        <v>559</v>
      </c>
      <c r="T1802" s="4">
        <v>750</v>
      </c>
      <c r="U1802" s="5" t="s">
        <v>6944</v>
      </c>
      <c r="V1802" s="5" t="s">
        <v>16848</v>
      </c>
      <c r="W1802" s="5" t="s">
        <v>67</v>
      </c>
      <c r="X1802" s="5" t="s">
        <v>67</v>
      </c>
      <c r="Y1802" s="4">
        <v>366</v>
      </c>
      <c r="Z1802" s="4">
        <v>38</v>
      </c>
      <c r="AA1802" s="4">
        <v>51</v>
      </c>
      <c r="AB1802" s="4">
        <v>3</v>
      </c>
      <c r="AC1802" s="4">
        <v>15</v>
      </c>
      <c r="AD1802" s="4">
        <v>92</v>
      </c>
      <c r="AE1802" s="4">
        <v>99</v>
      </c>
      <c r="AF1802" s="4">
        <v>1</v>
      </c>
      <c r="AG1802" s="4">
        <v>6</v>
      </c>
      <c r="AH1802" s="4">
        <v>75</v>
      </c>
      <c r="AI1802" s="4">
        <v>77</v>
      </c>
      <c r="AJ1802" s="4">
        <v>19</v>
      </c>
      <c r="AK1802" s="4">
        <v>23</v>
      </c>
      <c r="AL1802" s="4">
        <v>42</v>
      </c>
      <c r="AM1802" s="4">
        <v>42</v>
      </c>
      <c r="AN1802" s="4">
        <v>0</v>
      </c>
      <c r="AO1802" s="4">
        <v>0</v>
      </c>
      <c r="AP1802" s="4">
        <v>26</v>
      </c>
      <c r="AQ1802" s="4">
        <v>31</v>
      </c>
      <c r="AR1802" s="3" t="s">
        <v>62</v>
      </c>
      <c r="AS1802" s="3" t="s">
        <v>62</v>
      </c>
      <c r="AT1802" s="3" t="s">
        <v>62</v>
      </c>
      <c r="AV1802" s="6" t="str">
        <f>HYPERLINK("http://mcgill.on.worldcat.org/oclc/57422612","Catalog Record")</f>
        <v>Catalog Record</v>
      </c>
      <c r="AW1802" s="6" t="str">
        <f>HYPERLINK("http://www.worldcat.org/oclc/57422612","WorldCat Record")</f>
        <v>WorldCat Record</v>
      </c>
      <c r="AX1802" s="3" t="s">
        <v>17864</v>
      </c>
      <c r="AY1802" s="3" t="s">
        <v>17865</v>
      </c>
      <c r="AZ1802" s="3" t="s">
        <v>17866</v>
      </c>
      <c r="BA1802" s="3" t="s">
        <v>17866</v>
      </c>
      <c r="BB1802" s="3" t="s">
        <v>17870</v>
      </c>
      <c r="BC1802" s="3" t="s">
        <v>102</v>
      </c>
      <c r="BD1802" s="3" t="s">
        <v>68</v>
      </c>
      <c r="BE1802" s="3" t="s">
        <v>17868</v>
      </c>
      <c r="BF1802" s="3" t="s">
        <v>17870</v>
      </c>
      <c r="BG1802" s="3" t="s">
        <v>17871</v>
      </c>
    </row>
    <row r="1803" spans="1:59" ht="101.5" x14ac:dyDescent="0.35">
      <c r="A1803" s="2" t="s">
        <v>89</v>
      </c>
      <c r="B1803" s="2" t="s">
        <v>12301</v>
      </c>
      <c r="C1803" s="2" t="s">
        <v>17859</v>
      </c>
      <c r="D1803" s="2" t="s">
        <v>17860</v>
      </c>
      <c r="E1803" s="2" t="s">
        <v>17861</v>
      </c>
      <c r="G1803" s="3" t="s">
        <v>62</v>
      </c>
      <c r="I1803" s="3" t="s">
        <v>61</v>
      </c>
      <c r="J1803" s="3" t="s">
        <v>62</v>
      </c>
      <c r="K1803" s="3" t="s">
        <v>63</v>
      </c>
      <c r="L1803" s="2" t="s">
        <v>17862</v>
      </c>
      <c r="M1803" s="2" t="s">
        <v>17863</v>
      </c>
      <c r="N1803" s="3" t="s">
        <v>1195</v>
      </c>
      <c r="P1803" s="3" t="s">
        <v>64</v>
      </c>
      <c r="R1803" s="3" t="s">
        <v>13065</v>
      </c>
      <c r="S1803" s="4">
        <v>86</v>
      </c>
      <c r="T1803" s="4">
        <v>750</v>
      </c>
      <c r="U1803" s="5" t="s">
        <v>16848</v>
      </c>
      <c r="V1803" s="5" t="s">
        <v>16848</v>
      </c>
      <c r="W1803" s="5" t="s">
        <v>67</v>
      </c>
      <c r="X1803" s="5" t="s">
        <v>67</v>
      </c>
      <c r="Y1803" s="4">
        <v>366</v>
      </c>
      <c r="Z1803" s="4">
        <v>38</v>
      </c>
      <c r="AA1803" s="4">
        <v>51</v>
      </c>
      <c r="AB1803" s="4">
        <v>3</v>
      </c>
      <c r="AC1803" s="4">
        <v>15</v>
      </c>
      <c r="AD1803" s="4">
        <v>92</v>
      </c>
      <c r="AE1803" s="4">
        <v>99</v>
      </c>
      <c r="AF1803" s="4">
        <v>1</v>
      </c>
      <c r="AG1803" s="4">
        <v>6</v>
      </c>
      <c r="AH1803" s="4">
        <v>75</v>
      </c>
      <c r="AI1803" s="4">
        <v>77</v>
      </c>
      <c r="AJ1803" s="4">
        <v>19</v>
      </c>
      <c r="AK1803" s="4">
        <v>23</v>
      </c>
      <c r="AL1803" s="4">
        <v>42</v>
      </c>
      <c r="AM1803" s="4">
        <v>42</v>
      </c>
      <c r="AN1803" s="4">
        <v>0</v>
      </c>
      <c r="AO1803" s="4">
        <v>0</v>
      </c>
      <c r="AP1803" s="4">
        <v>26</v>
      </c>
      <c r="AQ1803" s="4">
        <v>31</v>
      </c>
      <c r="AR1803" s="3" t="s">
        <v>62</v>
      </c>
      <c r="AS1803" s="3" t="s">
        <v>62</v>
      </c>
      <c r="AT1803" s="3" t="s">
        <v>62</v>
      </c>
      <c r="AV1803" s="6" t="str">
        <f>HYPERLINK("http://mcgill.on.worldcat.org/oclc/57422612","Catalog Record")</f>
        <v>Catalog Record</v>
      </c>
      <c r="AW1803" s="6" t="str">
        <f>HYPERLINK("http://www.worldcat.org/oclc/57422612","WorldCat Record")</f>
        <v>WorldCat Record</v>
      </c>
      <c r="AX1803" s="3" t="s">
        <v>17864</v>
      </c>
      <c r="AY1803" s="3" t="s">
        <v>17865</v>
      </c>
      <c r="AZ1803" s="3" t="s">
        <v>17866</v>
      </c>
      <c r="BA1803" s="3" t="s">
        <v>17866</v>
      </c>
      <c r="BB1803" s="3" t="s">
        <v>17872</v>
      </c>
      <c r="BC1803" s="3" t="s">
        <v>102</v>
      </c>
      <c r="BD1803" s="3" t="s">
        <v>68</v>
      </c>
      <c r="BE1803" s="3" t="s">
        <v>17868</v>
      </c>
      <c r="BF1803" s="3" t="s">
        <v>17872</v>
      </c>
      <c r="BG1803" s="3" t="s">
        <v>17873</v>
      </c>
    </row>
    <row r="1804" spans="1:59" ht="58" x14ac:dyDescent="0.35">
      <c r="A1804" s="2" t="s">
        <v>89</v>
      </c>
      <c r="B1804" s="2" t="s">
        <v>90</v>
      </c>
      <c r="C1804" s="2" t="s">
        <v>17874</v>
      </c>
      <c r="D1804" s="2" t="s">
        <v>17875</v>
      </c>
      <c r="E1804" s="2" t="s">
        <v>17876</v>
      </c>
      <c r="G1804" s="3" t="s">
        <v>62</v>
      </c>
      <c r="I1804" s="3" t="s">
        <v>62</v>
      </c>
      <c r="J1804" s="3" t="s">
        <v>62</v>
      </c>
      <c r="K1804" s="3" t="s">
        <v>63</v>
      </c>
      <c r="L1804" s="2" t="s">
        <v>17877</v>
      </c>
      <c r="M1804" s="2" t="s">
        <v>17878</v>
      </c>
      <c r="N1804" s="3" t="s">
        <v>880</v>
      </c>
      <c r="P1804" s="3" t="s">
        <v>64</v>
      </c>
      <c r="R1804" s="3" t="s">
        <v>13065</v>
      </c>
      <c r="S1804" s="4">
        <v>2</v>
      </c>
      <c r="T1804" s="4">
        <v>2</v>
      </c>
      <c r="U1804" s="5" t="s">
        <v>17879</v>
      </c>
      <c r="V1804" s="5" t="s">
        <v>17879</v>
      </c>
      <c r="W1804" s="5" t="s">
        <v>67</v>
      </c>
      <c r="X1804" s="5" t="s">
        <v>67</v>
      </c>
      <c r="Y1804" s="4">
        <v>52</v>
      </c>
      <c r="Z1804" s="4">
        <v>10</v>
      </c>
      <c r="AA1804" s="4">
        <v>10</v>
      </c>
      <c r="AB1804" s="4">
        <v>1</v>
      </c>
      <c r="AC1804" s="4">
        <v>1</v>
      </c>
      <c r="AD1804" s="4">
        <v>27</v>
      </c>
      <c r="AE1804" s="4">
        <v>28</v>
      </c>
      <c r="AF1804" s="4">
        <v>0</v>
      </c>
      <c r="AG1804" s="4">
        <v>0</v>
      </c>
      <c r="AH1804" s="4">
        <v>24</v>
      </c>
      <c r="AI1804" s="4">
        <v>25</v>
      </c>
      <c r="AJ1804" s="4">
        <v>7</v>
      </c>
      <c r="AK1804" s="4">
        <v>7</v>
      </c>
      <c r="AL1804" s="4">
        <v>18</v>
      </c>
      <c r="AM1804" s="4">
        <v>18</v>
      </c>
      <c r="AN1804" s="4">
        <v>0</v>
      </c>
      <c r="AO1804" s="4">
        <v>0</v>
      </c>
      <c r="AP1804" s="4">
        <v>8</v>
      </c>
      <c r="AQ1804" s="4">
        <v>8</v>
      </c>
      <c r="AR1804" s="3" t="s">
        <v>62</v>
      </c>
      <c r="AS1804" s="3" t="s">
        <v>62</v>
      </c>
      <c r="AT1804" s="3" t="s">
        <v>62</v>
      </c>
      <c r="AV1804" s="6" t="str">
        <f>HYPERLINK("http://mcgill.on.worldcat.org/oclc/659712216","Catalog Record")</f>
        <v>Catalog Record</v>
      </c>
      <c r="AW1804" s="6" t="str">
        <f>HYPERLINK("http://www.worldcat.org/oclc/659712216","WorldCat Record")</f>
        <v>WorldCat Record</v>
      </c>
      <c r="AX1804" s="3" t="s">
        <v>17880</v>
      </c>
      <c r="AY1804" s="3" t="s">
        <v>17881</v>
      </c>
      <c r="AZ1804" s="3" t="s">
        <v>17882</v>
      </c>
      <c r="BA1804" s="3" t="s">
        <v>17882</v>
      </c>
      <c r="BB1804" s="3" t="s">
        <v>17883</v>
      </c>
      <c r="BC1804" s="3" t="s">
        <v>102</v>
      </c>
      <c r="BD1804" s="3" t="s">
        <v>68</v>
      </c>
      <c r="BE1804" s="3" t="s">
        <v>17884</v>
      </c>
      <c r="BF1804" s="3" t="s">
        <v>17883</v>
      </c>
      <c r="BG1804" s="3" t="s">
        <v>17885</v>
      </c>
    </row>
    <row r="1805" spans="1:59" ht="58" x14ac:dyDescent="0.35">
      <c r="A1805" s="2" t="s">
        <v>89</v>
      </c>
      <c r="B1805" s="2" t="s">
        <v>90</v>
      </c>
      <c r="C1805" s="2" t="s">
        <v>17886</v>
      </c>
      <c r="D1805" s="2" t="s">
        <v>17887</v>
      </c>
      <c r="E1805" s="2" t="s">
        <v>17888</v>
      </c>
      <c r="G1805" s="3" t="s">
        <v>62</v>
      </c>
      <c r="I1805" s="3" t="s">
        <v>62</v>
      </c>
      <c r="J1805" s="3" t="s">
        <v>62</v>
      </c>
      <c r="K1805" s="3" t="s">
        <v>63</v>
      </c>
      <c r="L1805" s="2" t="s">
        <v>17889</v>
      </c>
      <c r="M1805" s="2" t="s">
        <v>17890</v>
      </c>
      <c r="N1805" s="3" t="s">
        <v>880</v>
      </c>
      <c r="P1805" s="3" t="s">
        <v>64</v>
      </c>
      <c r="Q1805" s="2" t="s">
        <v>17891</v>
      </c>
      <c r="R1805" s="3" t="s">
        <v>13065</v>
      </c>
      <c r="S1805" s="4">
        <v>0</v>
      </c>
      <c r="T1805" s="4">
        <v>0</v>
      </c>
      <c r="W1805" s="5" t="s">
        <v>67</v>
      </c>
      <c r="X1805" s="5" t="s">
        <v>67</v>
      </c>
      <c r="Y1805" s="4">
        <v>46</v>
      </c>
      <c r="Z1805" s="4">
        <v>6</v>
      </c>
      <c r="AA1805" s="4">
        <v>93</v>
      </c>
      <c r="AB1805" s="4">
        <v>2</v>
      </c>
      <c r="AC1805" s="4">
        <v>18</v>
      </c>
      <c r="AD1805" s="4">
        <v>12</v>
      </c>
      <c r="AE1805" s="4">
        <v>95</v>
      </c>
      <c r="AF1805" s="4">
        <v>1</v>
      </c>
      <c r="AG1805" s="4">
        <v>9</v>
      </c>
      <c r="AH1805" s="4">
        <v>8</v>
      </c>
      <c r="AI1805" s="4">
        <v>59</v>
      </c>
      <c r="AJ1805" s="4">
        <v>3</v>
      </c>
      <c r="AK1805" s="4">
        <v>17</v>
      </c>
      <c r="AL1805" s="4">
        <v>2</v>
      </c>
      <c r="AM1805" s="4">
        <v>29</v>
      </c>
      <c r="AN1805" s="4">
        <v>0</v>
      </c>
      <c r="AO1805" s="4">
        <v>0</v>
      </c>
      <c r="AP1805" s="4">
        <v>5</v>
      </c>
      <c r="AQ1805" s="4">
        <v>41</v>
      </c>
      <c r="AR1805" s="3" t="s">
        <v>62</v>
      </c>
      <c r="AS1805" s="3" t="s">
        <v>62</v>
      </c>
      <c r="AT1805" s="3" t="s">
        <v>62</v>
      </c>
      <c r="AV1805" s="6" t="str">
        <f>HYPERLINK("http://mcgill.on.worldcat.org/oclc/466333847","Catalog Record")</f>
        <v>Catalog Record</v>
      </c>
      <c r="AW1805" s="6" t="str">
        <f>HYPERLINK("http://www.worldcat.org/oclc/466333847","WorldCat Record")</f>
        <v>WorldCat Record</v>
      </c>
      <c r="AX1805" s="3" t="s">
        <v>17892</v>
      </c>
      <c r="AY1805" s="3" t="s">
        <v>17893</v>
      </c>
      <c r="AZ1805" s="3" t="s">
        <v>17894</v>
      </c>
      <c r="BA1805" s="3" t="s">
        <v>17894</v>
      </c>
      <c r="BB1805" s="3" t="s">
        <v>17895</v>
      </c>
      <c r="BC1805" s="3" t="s">
        <v>102</v>
      </c>
      <c r="BD1805" s="3" t="s">
        <v>68</v>
      </c>
      <c r="BE1805" s="3" t="s">
        <v>17896</v>
      </c>
      <c r="BF1805" s="3" t="s">
        <v>17895</v>
      </c>
      <c r="BG1805" s="3" t="s">
        <v>17897</v>
      </c>
    </row>
    <row r="1806" spans="1:59" ht="101.5" x14ac:dyDescent="0.35">
      <c r="A1806" s="2" t="s">
        <v>89</v>
      </c>
      <c r="B1806" s="2" t="s">
        <v>12301</v>
      </c>
      <c r="C1806" s="2" t="s">
        <v>17898</v>
      </c>
      <c r="D1806" s="2" t="s">
        <v>17899</v>
      </c>
      <c r="E1806" s="2" t="s">
        <v>17900</v>
      </c>
      <c r="G1806" s="3" t="s">
        <v>62</v>
      </c>
      <c r="I1806" s="3" t="s">
        <v>62</v>
      </c>
      <c r="J1806" s="3" t="s">
        <v>61</v>
      </c>
      <c r="K1806" s="3" t="s">
        <v>63</v>
      </c>
      <c r="L1806" s="2" t="s">
        <v>17901</v>
      </c>
      <c r="M1806" s="2" t="s">
        <v>17902</v>
      </c>
      <c r="N1806" s="3" t="s">
        <v>698</v>
      </c>
      <c r="O1806" s="2" t="s">
        <v>17648</v>
      </c>
      <c r="P1806" s="3" t="s">
        <v>64</v>
      </c>
      <c r="R1806" s="3" t="s">
        <v>13065</v>
      </c>
      <c r="S1806" s="4">
        <v>29</v>
      </c>
      <c r="T1806" s="4">
        <v>29</v>
      </c>
      <c r="U1806" s="5" t="s">
        <v>17903</v>
      </c>
      <c r="V1806" s="5" t="s">
        <v>17903</v>
      </c>
      <c r="W1806" s="5" t="s">
        <v>67</v>
      </c>
      <c r="X1806" s="5" t="s">
        <v>67</v>
      </c>
      <c r="Y1806" s="4">
        <v>256</v>
      </c>
      <c r="Z1806" s="4">
        <v>14</v>
      </c>
      <c r="AA1806" s="4">
        <v>100</v>
      </c>
      <c r="AB1806" s="4">
        <v>3</v>
      </c>
      <c r="AC1806" s="4">
        <v>28</v>
      </c>
      <c r="AD1806" s="4">
        <v>58</v>
      </c>
      <c r="AE1806" s="4">
        <v>150</v>
      </c>
      <c r="AF1806" s="4">
        <v>1</v>
      </c>
      <c r="AG1806" s="4">
        <v>8</v>
      </c>
      <c r="AH1806" s="4">
        <v>50</v>
      </c>
      <c r="AI1806" s="4">
        <v>112</v>
      </c>
      <c r="AJ1806" s="4">
        <v>8</v>
      </c>
      <c r="AK1806" s="4">
        <v>28</v>
      </c>
      <c r="AL1806" s="4">
        <v>30</v>
      </c>
      <c r="AM1806" s="4">
        <v>60</v>
      </c>
      <c r="AN1806" s="4">
        <v>0</v>
      </c>
      <c r="AO1806" s="4">
        <v>0</v>
      </c>
      <c r="AP1806" s="4">
        <v>10</v>
      </c>
      <c r="AQ1806" s="4">
        <v>46</v>
      </c>
      <c r="AR1806" s="3" t="s">
        <v>62</v>
      </c>
      <c r="AS1806" s="3" t="s">
        <v>62</v>
      </c>
      <c r="AT1806" s="3" t="s">
        <v>62</v>
      </c>
      <c r="AV1806" s="6" t="str">
        <f>HYPERLINK("http://mcgill.on.worldcat.org/oclc/755102367","Catalog Record")</f>
        <v>Catalog Record</v>
      </c>
      <c r="AW1806" s="6" t="str">
        <f>HYPERLINK("http://www.worldcat.org/oclc/755102367","WorldCat Record")</f>
        <v>WorldCat Record</v>
      </c>
      <c r="AX1806" s="3" t="s">
        <v>17904</v>
      </c>
      <c r="AY1806" s="3" t="s">
        <v>17905</v>
      </c>
      <c r="AZ1806" s="3" t="s">
        <v>17906</v>
      </c>
      <c r="BA1806" s="3" t="s">
        <v>17906</v>
      </c>
      <c r="BB1806" s="3" t="s">
        <v>17907</v>
      </c>
      <c r="BC1806" s="3" t="s">
        <v>102</v>
      </c>
      <c r="BD1806" s="3" t="s">
        <v>68</v>
      </c>
      <c r="BE1806" s="3" t="s">
        <v>17908</v>
      </c>
      <c r="BF1806" s="3" t="s">
        <v>17907</v>
      </c>
      <c r="BG1806" s="3" t="s">
        <v>17909</v>
      </c>
    </row>
    <row r="1807" spans="1:59" ht="116" x14ac:dyDescent="0.35">
      <c r="A1807" s="2" t="s">
        <v>89</v>
      </c>
      <c r="B1807" s="2" t="s">
        <v>3312</v>
      </c>
      <c r="C1807" s="2" t="s">
        <v>17910</v>
      </c>
      <c r="D1807" s="2" t="s">
        <v>17911</v>
      </c>
      <c r="E1807" s="2" t="s">
        <v>17912</v>
      </c>
      <c r="G1807" s="3" t="s">
        <v>62</v>
      </c>
      <c r="I1807" s="3" t="s">
        <v>62</v>
      </c>
      <c r="J1807" s="3" t="s">
        <v>62</v>
      </c>
      <c r="K1807" s="3" t="s">
        <v>63</v>
      </c>
      <c r="M1807" s="2" t="s">
        <v>17913</v>
      </c>
      <c r="N1807" s="3" t="s">
        <v>1455</v>
      </c>
      <c r="O1807" s="2" t="s">
        <v>15263</v>
      </c>
      <c r="P1807" s="3" t="s">
        <v>15264</v>
      </c>
      <c r="Q1807" s="2" t="s">
        <v>17914</v>
      </c>
      <c r="R1807" s="3" t="s">
        <v>13065</v>
      </c>
      <c r="S1807" s="4">
        <v>2</v>
      </c>
      <c r="T1807" s="4">
        <v>2</v>
      </c>
      <c r="U1807" s="5" t="s">
        <v>17100</v>
      </c>
      <c r="V1807" s="5" t="s">
        <v>17100</v>
      </c>
      <c r="W1807" s="5" t="s">
        <v>67</v>
      </c>
      <c r="X1807" s="5" t="s">
        <v>67</v>
      </c>
      <c r="Y1807" s="4">
        <v>9</v>
      </c>
      <c r="Z1807" s="4">
        <v>1</v>
      </c>
      <c r="AA1807" s="4">
        <v>1</v>
      </c>
      <c r="AB1807" s="4">
        <v>1</v>
      </c>
      <c r="AC1807" s="4">
        <v>1</v>
      </c>
      <c r="AD1807" s="4">
        <v>7</v>
      </c>
      <c r="AE1807" s="4">
        <v>7</v>
      </c>
      <c r="AF1807" s="4">
        <v>0</v>
      </c>
      <c r="AG1807" s="4">
        <v>0</v>
      </c>
      <c r="AH1807" s="4">
        <v>7</v>
      </c>
      <c r="AI1807" s="4">
        <v>7</v>
      </c>
      <c r="AJ1807" s="4">
        <v>0</v>
      </c>
      <c r="AK1807" s="4">
        <v>0</v>
      </c>
      <c r="AL1807" s="4">
        <v>6</v>
      </c>
      <c r="AM1807" s="4">
        <v>6</v>
      </c>
      <c r="AN1807" s="4">
        <v>0</v>
      </c>
      <c r="AO1807" s="4">
        <v>0</v>
      </c>
      <c r="AP1807" s="4">
        <v>0</v>
      </c>
      <c r="AQ1807" s="4">
        <v>0</v>
      </c>
      <c r="AR1807" s="3" t="s">
        <v>62</v>
      </c>
      <c r="AS1807" s="3" t="s">
        <v>62</v>
      </c>
      <c r="AT1807" s="3" t="s">
        <v>62</v>
      </c>
      <c r="AV1807" s="6" t="str">
        <f>HYPERLINK("http://mcgill.on.worldcat.org/oclc/921824692","Catalog Record")</f>
        <v>Catalog Record</v>
      </c>
      <c r="AW1807" s="6" t="str">
        <f>HYPERLINK("http://www.worldcat.org/oclc/921824692","WorldCat Record")</f>
        <v>WorldCat Record</v>
      </c>
      <c r="AX1807" s="3" t="s">
        <v>17915</v>
      </c>
      <c r="AY1807" s="3" t="s">
        <v>17916</v>
      </c>
      <c r="AZ1807" s="3" t="s">
        <v>17917</v>
      </c>
      <c r="BA1807" s="3" t="s">
        <v>17917</v>
      </c>
      <c r="BB1807" s="3" t="s">
        <v>17918</v>
      </c>
      <c r="BC1807" s="3" t="s">
        <v>102</v>
      </c>
      <c r="BD1807" s="3" t="s">
        <v>68</v>
      </c>
      <c r="BE1807" s="3" t="s">
        <v>17919</v>
      </c>
      <c r="BF1807" s="3" t="s">
        <v>17918</v>
      </c>
      <c r="BG1807" s="3" t="s">
        <v>17920</v>
      </c>
    </row>
    <row r="1808" spans="1:59" ht="58" x14ac:dyDescent="0.35">
      <c r="A1808" s="2" t="s">
        <v>89</v>
      </c>
      <c r="B1808" s="2" t="s">
        <v>90</v>
      </c>
      <c r="C1808" s="2" t="s">
        <v>17921</v>
      </c>
      <c r="D1808" s="2" t="s">
        <v>17922</v>
      </c>
      <c r="E1808" s="2" t="s">
        <v>17923</v>
      </c>
      <c r="G1808" s="3" t="s">
        <v>62</v>
      </c>
      <c r="I1808" s="3" t="s">
        <v>62</v>
      </c>
      <c r="J1808" s="3" t="s">
        <v>62</v>
      </c>
      <c r="K1808" s="3" t="s">
        <v>63</v>
      </c>
      <c r="M1808" s="2" t="s">
        <v>17924</v>
      </c>
      <c r="N1808" s="3" t="s">
        <v>726</v>
      </c>
      <c r="P1808" s="3" t="s">
        <v>64</v>
      </c>
      <c r="R1808" s="3" t="s">
        <v>13065</v>
      </c>
      <c r="S1808" s="4">
        <v>0</v>
      </c>
      <c r="T1808" s="4">
        <v>0</v>
      </c>
      <c r="W1808" s="5" t="s">
        <v>67</v>
      </c>
      <c r="X1808" s="5" t="s">
        <v>67</v>
      </c>
      <c r="Y1808" s="4">
        <v>56</v>
      </c>
      <c r="Z1808" s="4">
        <v>5</v>
      </c>
      <c r="AA1808" s="4">
        <v>17</v>
      </c>
      <c r="AB1808" s="4">
        <v>1</v>
      </c>
      <c r="AC1808" s="4">
        <v>7</v>
      </c>
      <c r="AD1808" s="4">
        <v>19</v>
      </c>
      <c r="AE1808" s="4">
        <v>42</v>
      </c>
      <c r="AF1808" s="4">
        <v>0</v>
      </c>
      <c r="AG1808" s="4">
        <v>3</v>
      </c>
      <c r="AH1808" s="4">
        <v>18</v>
      </c>
      <c r="AI1808" s="4">
        <v>33</v>
      </c>
      <c r="AJ1808" s="4">
        <v>3</v>
      </c>
      <c r="AK1808" s="4">
        <v>10</v>
      </c>
      <c r="AL1808" s="4">
        <v>13</v>
      </c>
      <c r="AM1808" s="4">
        <v>23</v>
      </c>
      <c r="AN1808" s="4">
        <v>0</v>
      </c>
      <c r="AO1808" s="4">
        <v>0</v>
      </c>
      <c r="AP1808" s="4">
        <v>3</v>
      </c>
      <c r="AQ1808" s="4">
        <v>11</v>
      </c>
      <c r="AR1808" s="3" t="s">
        <v>62</v>
      </c>
      <c r="AS1808" s="3" t="s">
        <v>62</v>
      </c>
      <c r="AT1808" s="3" t="s">
        <v>62</v>
      </c>
      <c r="AV1808" s="6" t="str">
        <f>HYPERLINK("http://mcgill.on.worldcat.org/oclc/960905576","Catalog Record")</f>
        <v>Catalog Record</v>
      </c>
      <c r="AW1808" s="6" t="str">
        <f>HYPERLINK("http://www.worldcat.org/oclc/960905576","WorldCat Record")</f>
        <v>WorldCat Record</v>
      </c>
      <c r="AX1808" s="3" t="s">
        <v>17925</v>
      </c>
      <c r="AY1808" s="3" t="s">
        <v>17926</v>
      </c>
      <c r="AZ1808" s="3" t="s">
        <v>17927</v>
      </c>
      <c r="BA1808" s="3" t="s">
        <v>17927</v>
      </c>
      <c r="BB1808" s="3" t="s">
        <v>17928</v>
      </c>
      <c r="BC1808" s="3" t="s">
        <v>102</v>
      </c>
      <c r="BD1808" s="3" t="s">
        <v>68</v>
      </c>
      <c r="BE1808" s="3" t="s">
        <v>17929</v>
      </c>
      <c r="BF1808" s="3" t="s">
        <v>17928</v>
      </c>
      <c r="BG1808" s="3" t="s">
        <v>17930</v>
      </c>
    </row>
    <row r="1809" spans="1:59" ht="72.5" x14ac:dyDescent="0.35">
      <c r="A1809" s="2" t="s">
        <v>89</v>
      </c>
      <c r="B1809" s="2" t="s">
        <v>90</v>
      </c>
      <c r="C1809" s="2" t="s">
        <v>17931</v>
      </c>
      <c r="D1809" s="2" t="s">
        <v>17932</v>
      </c>
      <c r="E1809" s="2" t="s">
        <v>17933</v>
      </c>
      <c r="G1809" s="3" t="s">
        <v>62</v>
      </c>
      <c r="I1809" s="3" t="s">
        <v>61</v>
      </c>
      <c r="J1809" s="3" t="s">
        <v>62</v>
      </c>
      <c r="K1809" s="3" t="s">
        <v>63</v>
      </c>
      <c r="L1809" s="2" t="s">
        <v>17934</v>
      </c>
      <c r="M1809" s="2" t="s">
        <v>17935</v>
      </c>
      <c r="N1809" s="3" t="s">
        <v>1038</v>
      </c>
      <c r="P1809" s="3" t="s">
        <v>64</v>
      </c>
      <c r="R1809" s="3" t="s">
        <v>13065</v>
      </c>
      <c r="S1809" s="4">
        <v>8</v>
      </c>
      <c r="T1809" s="4">
        <v>18</v>
      </c>
      <c r="U1809" s="5" t="s">
        <v>17936</v>
      </c>
      <c r="V1809" s="5" t="s">
        <v>3291</v>
      </c>
      <c r="W1809" s="5" t="s">
        <v>67</v>
      </c>
      <c r="X1809" s="5" t="s">
        <v>67</v>
      </c>
      <c r="Y1809" s="4">
        <v>80</v>
      </c>
      <c r="Z1809" s="4">
        <v>9</v>
      </c>
      <c r="AA1809" s="4">
        <v>84</v>
      </c>
      <c r="AB1809" s="4">
        <v>2</v>
      </c>
      <c r="AC1809" s="4">
        <v>13</v>
      </c>
      <c r="AD1809" s="4">
        <v>7</v>
      </c>
      <c r="AE1809" s="4">
        <v>143</v>
      </c>
      <c r="AF1809" s="4">
        <v>1</v>
      </c>
      <c r="AG1809" s="4">
        <v>7</v>
      </c>
      <c r="AH1809" s="4">
        <v>4</v>
      </c>
      <c r="AI1809" s="4">
        <v>111</v>
      </c>
      <c r="AJ1809" s="4">
        <v>3</v>
      </c>
      <c r="AK1809" s="4">
        <v>25</v>
      </c>
      <c r="AL1809" s="4">
        <v>1</v>
      </c>
      <c r="AM1809" s="4">
        <v>61</v>
      </c>
      <c r="AN1809" s="4">
        <v>0</v>
      </c>
      <c r="AO1809" s="4">
        <v>0</v>
      </c>
      <c r="AP1809" s="4">
        <v>5</v>
      </c>
      <c r="AQ1809" s="4">
        <v>39</v>
      </c>
      <c r="AR1809" s="3" t="s">
        <v>62</v>
      </c>
      <c r="AS1809" s="3" t="s">
        <v>62</v>
      </c>
      <c r="AT1809" s="3" t="s">
        <v>62</v>
      </c>
      <c r="AV1809" s="6" t="str">
        <f>HYPERLINK("http://mcgill.on.worldcat.org/oclc/958464372","Catalog Record")</f>
        <v>Catalog Record</v>
      </c>
      <c r="AW1809" s="6" t="str">
        <f>HYPERLINK("http://www.worldcat.org/oclc/958464372","WorldCat Record")</f>
        <v>WorldCat Record</v>
      </c>
      <c r="AX1809" s="3" t="s">
        <v>17937</v>
      </c>
      <c r="AY1809" s="3" t="s">
        <v>17938</v>
      </c>
      <c r="AZ1809" s="3" t="s">
        <v>17939</v>
      </c>
      <c r="BA1809" s="3" t="s">
        <v>17939</v>
      </c>
      <c r="BB1809" s="3" t="s">
        <v>17940</v>
      </c>
      <c r="BC1809" s="3" t="s">
        <v>102</v>
      </c>
      <c r="BD1809" s="3" t="s">
        <v>17941</v>
      </c>
      <c r="BE1809" s="3" t="s">
        <v>17942</v>
      </c>
      <c r="BF1809" s="3" t="s">
        <v>17940</v>
      </c>
      <c r="BG1809" s="3" t="s">
        <v>17943</v>
      </c>
    </row>
    <row r="1810" spans="1:59" ht="72.5" x14ac:dyDescent="0.35">
      <c r="A1810" s="2" t="s">
        <v>89</v>
      </c>
      <c r="B1810" s="2" t="s">
        <v>90</v>
      </c>
      <c r="C1810" s="2" t="s">
        <v>17931</v>
      </c>
      <c r="D1810" s="2" t="s">
        <v>17932</v>
      </c>
      <c r="E1810" s="2" t="s">
        <v>17933</v>
      </c>
      <c r="G1810" s="3" t="s">
        <v>62</v>
      </c>
      <c r="I1810" s="3" t="s">
        <v>61</v>
      </c>
      <c r="J1810" s="3" t="s">
        <v>62</v>
      </c>
      <c r="K1810" s="3" t="s">
        <v>63</v>
      </c>
      <c r="L1810" s="2" t="s">
        <v>17934</v>
      </c>
      <c r="M1810" s="2" t="s">
        <v>17935</v>
      </c>
      <c r="N1810" s="3" t="s">
        <v>1038</v>
      </c>
      <c r="P1810" s="3" t="s">
        <v>64</v>
      </c>
      <c r="R1810" s="3" t="s">
        <v>13065</v>
      </c>
      <c r="S1810" s="4">
        <v>10</v>
      </c>
      <c r="T1810" s="4">
        <v>18</v>
      </c>
      <c r="U1810" s="5" t="s">
        <v>3291</v>
      </c>
      <c r="V1810" s="5" t="s">
        <v>3291</v>
      </c>
      <c r="W1810" s="5" t="s">
        <v>67</v>
      </c>
      <c r="X1810" s="5" t="s">
        <v>67</v>
      </c>
      <c r="Y1810" s="4">
        <v>80</v>
      </c>
      <c r="Z1810" s="4">
        <v>9</v>
      </c>
      <c r="AA1810" s="4">
        <v>84</v>
      </c>
      <c r="AB1810" s="4">
        <v>2</v>
      </c>
      <c r="AC1810" s="4">
        <v>13</v>
      </c>
      <c r="AD1810" s="4">
        <v>7</v>
      </c>
      <c r="AE1810" s="4">
        <v>143</v>
      </c>
      <c r="AF1810" s="4">
        <v>1</v>
      </c>
      <c r="AG1810" s="4">
        <v>7</v>
      </c>
      <c r="AH1810" s="4">
        <v>4</v>
      </c>
      <c r="AI1810" s="4">
        <v>111</v>
      </c>
      <c r="AJ1810" s="4">
        <v>3</v>
      </c>
      <c r="AK1810" s="4">
        <v>25</v>
      </c>
      <c r="AL1810" s="4">
        <v>1</v>
      </c>
      <c r="AM1810" s="4">
        <v>61</v>
      </c>
      <c r="AN1810" s="4">
        <v>0</v>
      </c>
      <c r="AO1810" s="4">
        <v>0</v>
      </c>
      <c r="AP1810" s="4">
        <v>5</v>
      </c>
      <c r="AQ1810" s="4">
        <v>39</v>
      </c>
      <c r="AR1810" s="3" t="s">
        <v>62</v>
      </c>
      <c r="AS1810" s="3" t="s">
        <v>62</v>
      </c>
      <c r="AT1810" s="3" t="s">
        <v>62</v>
      </c>
      <c r="AV1810" s="6" t="str">
        <f>HYPERLINK("http://mcgill.on.worldcat.org/oclc/958464372","Catalog Record")</f>
        <v>Catalog Record</v>
      </c>
      <c r="AW1810" s="6" t="str">
        <f>HYPERLINK("http://www.worldcat.org/oclc/958464372","WorldCat Record")</f>
        <v>WorldCat Record</v>
      </c>
      <c r="AX1810" s="3" t="s">
        <v>17937</v>
      </c>
      <c r="AY1810" s="3" t="s">
        <v>17938</v>
      </c>
      <c r="AZ1810" s="3" t="s">
        <v>17939</v>
      </c>
      <c r="BA1810" s="3" t="s">
        <v>17939</v>
      </c>
      <c r="BB1810" s="3" t="s">
        <v>17944</v>
      </c>
      <c r="BC1810" s="3" t="s">
        <v>102</v>
      </c>
      <c r="BD1810" s="3" t="s">
        <v>68</v>
      </c>
      <c r="BE1810" s="3" t="s">
        <v>17942</v>
      </c>
      <c r="BF1810" s="3" t="s">
        <v>17944</v>
      </c>
      <c r="BG1810" s="3" t="s">
        <v>17945</v>
      </c>
    </row>
    <row r="1811" spans="1:59" ht="72.5" x14ac:dyDescent="0.35">
      <c r="A1811" s="2" t="s">
        <v>89</v>
      </c>
      <c r="B1811" s="2" t="s">
        <v>90</v>
      </c>
      <c r="C1811" s="2" t="s">
        <v>17946</v>
      </c>
      <c r="D1811" s="2" t="s">
        <v>17947</v>
      </c>
      <c r="E1811" s="2" t="s">
        <v>17948</v>
      </c>
      <c r="G1811" s="3" t="s">
        <v>62</v>
      </c>
      <c r="I1811" s="3" t="s">
        <v>62</v>
      </c>
      <c r="J1811" s="3" t="s">
        <v>62</v>
      </c>
      <c r="K1811" s="3" t="s">
        <v>63</v>
      </c>
      <c r="L1811" s="2" t="s">
        <v>17949</v>
      </c>
      <c r="M1811" s="2" t="s">
        <v>17950</v>
      </c>
      <c r="N1811" s="3" t="s">
        <v>2085</v>
      </c>
      <c r="P1811" s="3" t="s">
        <v>64</v>
      </c>
      <c r="Q1811" s="2" t="s">
        <v>17951</v>
      </c>
      <c r="R1811" s="3" t="s">
        <v>13065</v>
      </c>
      <c r="S1811" s="4">
        <v>1</v>
      </c>
      <c r="T1811" s="4">
        <v>1</v>
      </c>
      <c r="W1811" s="5" t="s">
        <v>67</v>
      </c>
      <c r="X1811" s="5" t="s">
        <v>67</v>
      </c>
      <c r="Y1811" s="4">
        <v>122</v>
      </c>
      <c r="Z1811" s="4">
        <v>6</v>
      </c>
      <c r="AA1811" s="4">
        <v>16</v>
      </c>
      <c r="AB1811" s="4">
        <v>1</v>
      </c>
      <c r="AC1811" s="4">
        <v>4</v>
      </c>
      <c r="AD1811" s="4">
        <v>29</v>
      </c>
      <c r="AE1811" s="4">
        <v>47</v>
      </c>
      <c r="AF1811" s="4">
        <v>0</v>
      </c>
      <c r="AG1811" s="4">
        <v>1</v>
      </c>
      <c r="AH1811" s="4">
        <v>25</v>
      </c>
      <c r="AI1811" s="4">
        <v>40</v>
      </c>
      <c r="AJ1811" s="4">
        <v>4</v>
      </c>
      <c r="AK1811" s="4">
        <v>9</v>
      </c>
      <c r="AL1811" s="4">
        <v>16</v>
      </c>
      <c r="AM1811" s="4">
        <v>23</v>
      </c>
      <c r="AN1811" s="4">
        <v>0</v>
      </c>
      <c r="AO1811" s="4">
        <v>0</v>
      </c>
      <c r="AP1811" s="4">
        <v>4</v>
      </c>
      <c r="AQ1811" s="4">
        <v>11</v>
      </c>
      <c r="AR1811" s="3" t="s">
        <v>62</v>
      </c>
      <c r="AS1811" s="3" t="s">
        <v>62</v>
      </c>
      <c r="AT1811" s="3" t="s">
        <v>62</v>
      </c>
      <c r="AV1811" s="6" t="str">
        <f>HYPERLINK("http://mcgill.on.worldcat.org/oclc/1031849573","Catalog Record")</f>
        <v>Catalog Record</v>
      </c>
      <c r="AW1811" s="6" t="str">
        <f>HYPERLINK("http://www.worldcat.org/oclc/1031849573","WorldCat Record")</f>
        <v>WorldCat Record</v>
      </c>
      <c r="AX1811" s="3" t="s">
        <v>17952</v>
      </c>
      <c r="AY1811" s="3" t="s">
        <v>17953</v>
      </c>
      <c r="AZ1811" s="3" t="s">
        <v>17954</v>
      </c>
      <c r="BA1811" s="3" t="s">
        <v>17954</v>
      </c>
      <c r="BB1811" s="3" t="s">
        <v>17955</v>
      </c>
      <c r="BC1811" s="3" t="s">
        <v>102</v>
      </c>
      <c r="BD1811" s="3" t="s">
        <v>231</v>
      </c>
      <c r="BE1811" s="3" t="s">
        <v>17956</v>
      </c>
      <c r="BF1811" s="3" t="s">
        <v>17955</v>
      </c>
      <c r="BG1811" s="3" t="s">
        <v>17957</v>
      </c>
    </row>
    <row r="1812" spans="1:59" ht="58" x14ac:dyDescent="0.35">
      <c r="A1812" s="2" t="s">
        <v>89</v>
      </c>
      <c r="B1812" s="2" t="s">
        <v>90</v>
      </c>
      <c r="C1812" s="2" t="s">
        <v>17958</v>
      </c>
      <c r="D1812" s="2" t="s">
        <v>17959</v>
      </c>
      <c r="E1812" s="2" t="s">
        <v>17960</v>
      </c>
      <c r="F1812" s="3" t="s">
        <v>17961</v>
      </c>
      <c r="G1812" s="3" t="s">
        <v>61</v>
      </c>
      <c r="I1812" s="3" t="s">
        <v>62</v>
      </c>
      <c r="J1812" s="3" t="s">
        <v>62</v>
      </c>
      <c r="K1812" s="3" t="s">
        <v>63</v>
      </c>
      <c r="L1812" s="2" t="s">
        <v>17962</v>
      </c>
      <c r="M1812" s="2" t="s">
        <v>17963</v>
      </c>
      <c r="N1812" s="3" t="s">
        <v>698</v>
      </c>
      <c r="P1812" s="3" t="s">
        <v>64</v>
      </c>
      <c r="R1812" s="3" t="s">
        <v>13065</v>
      </c>
      <c r="S1812" s="4">
        <v>0</v>
      </c>
      <c r="T1812" s="4">
        <v>3</v>
      </c>
      <c r="V1812" s="5" t="s">
        <v>4712</v>
      </c>
      <c r="W1812" s="5" t="s">
        <v>67</v>
      </c>
      <c r="X1812" s="5" t="s">
        <v>67</v>
      </c>
      <c r="Y1812" s="4">
        <v>57</v>
      </c>
      <c r="Z1812" s="4">
        <v>3</v>
      </c>
      <c r="AA1812" s="4">
        <v>16</v>
      </c>
      <c r="AB1812" s="4">
        <v>1</v>
      </c>
      <c r="AC1812" s="4">
        <v>3</v>
      </c>
      <c r="AD1812" s="4">
        <v>3</v>
      </c>
      <c r="AE1812" s="4">
        <v>26</v>
      </c>
      <c r="AF1812" s="4">
        <v>0</v>
      </c>
      <c r="AG1812" s="4">
        <v>2</v>
      </c>
      <c r="AH1812" s="4">
        <v>3</v>
      </c>
      <c r="AI1812" s="4">
        <v>19</v>
      </c>
      <c r="AJ1812" s="4">
        <v>0</v>
      </c>
      <c r="AK1812" s="4">
        <v>7</v>
      </c>
      <c r="AL1812" s="4">
        <v>2</v>
      </c>
      <c r="AM1812" s="4">
        <v>10</v>
      </c>
      <c r="AN1812" s="4">
        <v>0</v>
      </c>
      <c r="AO1812" s="4">
        <v>0</v>
      </c>
      <c r="AP1812" s="4">
        <v>0</v>
      </c>
      <c r="AQ1812" s="4">
        <v>8</v>
      </c>
      <c r="AR1812" s="3" t="s">
        <v>62</v>
      </c>
      <c r="AS1812" s="3" t="s">
        <v>62</v>
      </c>
      <c r="AT1812" s="3" t="s">
        <v>62</v>
      </c>
      <c r="AV1812" s="6" t="str">
        <f>HYPERLINK("http://mcgill.on.worldcat.org/oclc/820956133","Catalog Record")</f>
        <v>Catalog Record</v>
      </c>
      <c r="AW1812" s="6" t="str">
        <f>HYPERLINK("http://www.worldcat.org/oclc/820956133","WorldCat Record")</f>
        <v>WorldCat Record</v>
      </c>
      <c r="AX1812" s="3" t="s">
        <v>17964</v>
      </c>
      <c r="AY1812" s="3" t="s">
        <v>17965</v>
      </c>
      <c r="AZ1812" s="3" t="s">
        <v>17966</v>
      </c>
      <c r="BA1812" s="3" t="s">
        <v>17966</v>
      </c>
      <c r="BB1812" s="3" t="s">
        <v>17967</v>
      </c>
      <c r="BC1812" s="3" t="s">
        <v>102</v>
      </c>
      <c r="BD1812" s="3" t="s">
        <v>68</v>
      </c>
      <c r="BE1812" s="3" t="s">
        <v>17968</v>
      </c>
      <c r="BF1812" s="3" t="s">
        <v>17967</v>
      </c>
      <c r="BG1812" s="3" t="s">
        <v>17969</v>
      </c>
    </row>
    <row r="1813" spans="1:59" ht="72.5" x14ac:dyDescent="0.35">
      <c r="A1813" s="2" t="s">
        <v>89</v>
      </c>
      <c r="B1813" s="2" t="s">
        <v>90</v>
      </c>
      <c r="C1813" s="2" t="s">
        <v>17970</v>
      </c>
      <c r="D1813" s="2" t="s">
        <v>17971</v>
      </c>
      <c r="E1813" s="2" t="s">
        <v>17972</v>
      </c>
      <c r="G1813" s="3" t="s">
        <v>62</v>
      </c>
      <c r="I1813" s="3" t="s">
        <v>62</v>
      </c>
      <c r="J1813" s="3" t="s">
        <v>62</v>
      </c>
      <c r="K1813" s="3" t="s">
        <v>63</v>
      </c>
      <c r="L1813" s="2" t="s">
        <v>17973</v>
      </c>
      <c r="M1813" s="2" t="s">
        <v>17974</v>
      </c>
      <c r="N1813" s="3" t="s">
        <v>712</v>
      </c>
      <c r="P1813" s="3" t="s">
        <v>64</v>
      </c>
      <c r="Q1813" s="2" t="s">
        <v>17975</v>
      </c>
      <c r="R1813" s="3" t="s">
        <v>13065</v>
      </c>
      <c r="S1813" s="4">
        <v>2</v>
      </c>
      <c r="T1813" s="4">
        <v>2</v>
      </c>
      <c r="U1813" s="5" t="s">
        <v>2226</v>
      </c>
      <c r="V1813" s="5" t="s">
        <v>2226</v>
      </c>
      <c r="W1813" s="5" t="s">
        <v>67</v>
      </c>
      <c r="X1813" s="5" t="s">
        <v>67</v>
      </c>
      <c r="Y1813" s="4">
        <v>3</v>
      </c>
      <c r="Z1813" s="4">
        <v>1</v>
      </c>
      <c r="AA1813" s="4">
        <v>80</v>
      </c>
      <c r="AB1813" s="4">
        <v>1</v>
      </c>
      <c r="AC1813" s="4">
        <v>14</v>
      </c>
      <c r="AD1813" s="4">
        <v>0</v>
      </c>
      <c r="AE1813" s="4">
        <v>95</v>
      </c>
      <c r="AF1813" s="4">
        <v>0</v>
      </c>
      <c r="AG1813" s="4">
        <v>8</v>
      </c>
      <c r="AH1813" s="4">
        <v>0</v>
      </c>
      <c r="AI1813" s="4">
        <v>61</v>
      </c>
      <c r="AJ1813" s="4">
        <v>0</v>
      </c>
      <c r="AK1813" s="4">
        <v>18</v>
      </c>
      <c r="AL1813" s="4">
        <v>0</v>
      </c>
      <c r="AM1813" s="4">
        <v>29</v>
      </c>
      <c r="AN1813" s="4">
        <v>0</v>
      </c>
      <c r="AO1813" s="4">
        <v>0</v>
      </c>
      <c r="AP1813" s="4">
        <v>0</v>
      </c>
      <c r="AQ1813" s="4">
        <v>39</v>
      </c>
      <c r="AR1813" s="3" t="s">
        <v>62</v>
      </c>
      <c r="AS1813" s="3" t="s">
        <v>62</v>
      </c>
      <c r="AT1813" s="3" t="s">
        <v>62</v>
      </c>
      <c r="AV1813" s="6" t="str">
        <f>HYPERLINK("http://mcgill.on.worldcat.org/oclc/898316202","Catalog Record")</f>
        <v>Catalog Record</v>
      </c>
      <c r="AW1813" s="6" t="str">
        <f>HYPERLINK("http://www.worldcat.org/oclc/898316202","WorldCat Record")</f>
        <v>WorldCat Record</v>
      </c>
      <c r="AX1813" s="3" t="s">
        <v>17976</v>
      </c>
      <c r="AY1813" s="3" t="s">
        <v>17977</v>
      </c>
      <c r="AZ1813" s="3" t="s">
        <v>17978</v>
      </c>
      <c r="BA1813" s="3" t="s">
        <v>17978</v>
      </c>
      <c r="BB1813" s="3" t="s">
        <v>17979</v>
      </c>
      <c r="BC1813" s="3" t="s">
        <v>102</v>
      </c>
      <c r="BD1813" s="3" t="s">
        <v>68</v>
      </c>
      <c r="BE1813" s="3" t="s">
        <v>17980</v>
      </c>
      <c r="BF1813" s="3" t="s">
        <v>17979</v>
      </c>
      <c r="BG1813" s="3" t="s">
        <v>17981</v>
      </c>
    </row>
    <row r="1814" spans="1:59" ht="58" x14ac:dyDescent="0.35">
      <c r="A1814" s="2" t="s">
        <v>89</v>
      </c>
      <c r="B1814" s="2" t="s">
        <v>90</v>
      </c>
      <c r="C1814" s="2" t="s">
        <v>17982</v>
      </c>
      <c r="D1814" s="2" t="s">
        <v>17983</v>
      </c>
      <c r="E1814" s="2" t="s">
        <v>17984</v>
      </c>
      <c r="G1814" s="3" t="s">
        <v>62</v>
      </c>
      <c r="I1814" s="3" t="s">
        <v>62</v>
      </c>
      <c r="J1814" s="3" t="s">
        <v>62</v>
      </c>
      <c r="K1814" s="3" t="s">
        <v>63</v>
      </c>
      <c r="L1814" s="2" t="s">
        <v>17985</v>
      </c>
      <c r="M1814" s="2" t="s">
        <v>17986</v>
      </c>
      <c r="N1814" s="3" t="s">
        <v>2985</v>
      </c>
      <c r="P1814" s="3" t="s">
        <v>64</v>
      </c>
      <c r="Q1814" s="2" t="s">
        <v>17987</v>
      </c>
      <c r="R1814" s="3" t="s">
        <v>13065</v>
      </c>
      <c r="S1814" s="4">
        <v>4</v>
      </c>
      <c r="T1814" s="4">
        <v>4</v>
      </c>
      <c r="U1814" s="5" t="s">
        <v>9672</v>
      </c>
      <c r="V1814" s="5" t="s">
        <v>9672</v>
      </c>
      <c r="W1814" s="5" t="s">
        <v>67</v>
      </c>
      <c r="X1814" s="5" t="s">
        <v>67</v>
      </c>
      <c r="Y1814" s="4">
        <v>100</v>
      </c>
      <c r="Z1814" s="4">
        <v>16</v>
      </c>
      <c r="AA1814" s="4">
        <v>17</v>
      </c>
      <c r="AB1814" s="4">
        <v>1</v>
      </c>
      <c r="AC1814" s="4">
        <v>2</v>
      </c>
      <c r="AD1814" s="4">
        <v>33</v>
      </c>
      <c r="AE1814" s="4">
        <v>34</v>
      </c>
      <c r="AF1814" s="4">
        <v>0</v>
      </c>
      <c r="AG1814" s="4">
        <v>1</v>
      </c>
      <c r="AH1814" s="4">
        <v>25</v>
      </c>
      <c r="AI1814" s="4">
        <v>25</v>
      </c>
      <c r="AJ1814" s="4">
        <v>10</v>
      </c>
      <c r="AK1814" s="4">
        <v>11</v>
      </c>
      <c r="AL1814" s="4">
        <v>12</v>
      </c>
      <c r="AM1814" s="4">
        <v>12</v>
      </c>
      <c r="AN1814" s="4">
        <v>0</v>
      </c>
      <c r="AO1814" s="4">
        <v>0</v>
      </c>
      <c r="AP1814" s="4">
        <v>13</v>
      </c>
      <c r="AQ1814" s="4">
        <v>13</v>
      </c>
      <c r="AR1814" s="3" t="s">
        <v>62</v>
      </c>
      <c r="AS1814" s="3" t="s">
        <v>62</v>
      </c>
      <c r="AT1814" s="3" t="s">
        <v>62</v>
      </c>
      <c r="AV1814" s="6" t="str">
        <f>HYPERLINK("http://mcgill.on.worldcat.org/oclc/263498187","Catalog Record")</f>
        <v>Catalog Record</v>
      </c>
      <c r="AW1814" s="6" t="str">
        <f>HYPERLINK("http://www.worldcat.org/oclc/263498187","WorldCat Record")</f>
        <v>WorldCat Record</v>
      </c>
      <c r="AX1814" s="3" t="s">
        <v>17988</v>
      </c>
      <c r="AY1814" s="3" t="s">
        <v>17989</v>
      </c>
      <c r="AZ1814" s="3" t="s">
        <v>17990</v>
      </c>
      <c r="BA1814" s="3" t="s">
        <v>17990</v>
      </c>
      <c r="BB1814" s="3" t="s">
        <v>17991</v>
      </c>
      <c r="BC1814" s="3" t="s">
        <v>102</v>
      </c>
      <c r="BD1814" s="3" t="s">
        <v>68</v>
      </c>
      <c r="BE1814" s="3" t="s">
        <v>17992</v>
      </c>
      <c r="BF1814" s="3" t="s">
        <v>17991</v>
      </c>
      <c r="BG1814" s="3" t="s">
        <v>17993</v>
      </c>
    </row>
    <row r="1815" spans="1:59" ht="101.5" x14ac:dyDescent="0.35">
      <c r="A1815" s="2" t="s">
        <v>89</v>
      </c>
      <c r="B1815" s="2" t="s">
        <v>12301</v>
      </c>
      <c r="C1815" s="2" t="s">
        <v>17994</v>
      </c>
      <c r="D1815" s="2" t="s">
        <v>17995</v>
      </c>
      <c r="E1815" s="2" t="s">
        <v>17996</v>
      </c>
      <c r="G1815" s="3" t="s">
        <v>62</v>
      </c>
      <c r="I1815" s="3" t="s">
        <v>62</v>
      </c>
      <c r="J1815" s="3" t="s">
        <v>62</v>
      </c>
      <c r="K1815" s="3" t="s">
        <v>63</v>
      </c>
      <c r="M1815" s="2" t="s">
        <v>17997</v>
      </c>
      <c r="N1815" s="3" t="s">
        <v>698</v>
      </c>
      <c r="O1815" s="2" t="s">
        <v>17427</v>
      </c>
      <c r="P1815" s="3" t="s">
        <v>64</v>
      </c>
      <c r="R1815" s="3" t="s">
        <v>13065</v>
      </c>
      <c r="S1815" s="4">
        <v>49</v>
      </c>
      <c r="T1815" s="4">
        <v>49</v>
      </c>
      <c r="U1815" s="5" t="s">
        <v>2521</v>
      </c>
      <c r="V1815" s="5" t="s">
        <v>2521</v>
      </c>
      <c r="W1815" s="5" t="s">
        <v>67</v>
      </c>
      <c r="X1815" s="5" t="s">
        <v>67</v>
      </c>
      <c r="Y1815" s="4">
        <v>109</v>
      </c>
      <c r="Z1815" s="4">
        <v>11</v>
      </c>
      <c r="AA1815" s="4">
        <v>12</v>
      </c>
      <c r="AB1815" s="4">
        <v>4</v>
      </c>
      <c r="AC1815" s="4">
        <v>5</v>
      </c>
      <c r="AD1815" s="4">
        <v>17</v>
      </c>
      <c r="AE1815" s="4">
        <v>18</v>
      </c>
      <c r="AF1815" s="4">
        <v>1</v>
      </c>
      <c r="AG1815" s="4">
        <v>2</v>
      </c>
      <c r="AH1815" s="4">
        <v>12</v>
      </c>
      <c r="AI1815" s="4">
        <v>12</v>
      </c>
      <c r="AJ1815" s="4">
        <v>3</v>
      </c>
      <c r="AK1815" s="4">
        <v>4</v>
      </c>
      <c r="AL1815" s="4">
        <v>8</v>
      </c>
      <c r="AM1815" s="4">
        <v>8</v>
      </c>
      <c r="AN1815" s="4">
        <v>0</v>
      </c>
      <c r="AO1815" s="4">
        <v>0</v>
      </c>
      <c r="AP1815" s="4">
        <v>6</v>
      </c>
      <c r="AQ1815" s="4">
        <v>7</v>
      </c>
      <c r="AR1815" s="3" t="s">
        <v>62</v>
      </c>
      <c r="AS1815" s="3" t="s">
        <v>62</v>
      </c>
      <c r="AT1815" s="3" t="s">
        <v>62</v>
      </c>
      <c r="AV1815" s="6" t="str">
        <f>HYPERLINK("http://mcgill.on.worldcat.org/oclc/694172133","Catalog Record")</f>
        <v>Catalog Record</v>
      </c>
      <c r="AW1815" s="6" t="str">
        <f>HYPERLINK("http://www.worldcat.org/oclc/694172133","WorldCat Record")</f>
        <v>WorldCat Record</v>
      </c>
      <c r="AX1815" s="3" t="s">
        <v>17998</v>
      </c>
      <c r="AY1815" s="3" t="s">
        <v>17999</v>
      </c>
      <c r="AZ1815" s="3" t="s">
        <v>18000</v>
      </c>
      <c r="BA1815" s="3" t="s">
        <v>18000</v>
      </c>
      <c r="BB1815" s="3" t="s">
        <v>18001</v>
      </c>
      <c r="BC1815" s="3" t="s">
        <v>102</v>
      </c>
      <c r="BD1815" s="3" t="s">
        <v>231</v>
      </c>
      <c r="BE1815" s="3" t="s">
        <v>18002</v>
      </c>
      <c r="BF1815" s="3" t="s">
        <v>18001</v>
      </c>
      <c r="BG1815" s="3" t="s">
        <v>18003</v>
      </c>
    </row>
    <row r="1816" spans="1:59" ht="101.5" x14ac:dyDescent="0.35">
      <c r="A1816" s="2" t="s">
        <v>89</v>
      </c>
      <c r="B1816" s="2" t="s">
        <v>12301</v>
      </c>
      <c r="C1816" s="2" t="s">
        <v>18004</v>
      </c>
      <c r="D1816" s="2" t="s">
        <v>18005</v>
      </c>
      <c r="E1816" s="2" t="s">
        <v>18006</v>
      </c>
      <c r="G1816" s="3" t="s">
        <v>62</v>
      </c>
      <c r="I1816" s="3" t="s">
        <v>61</v>
      </c>
      <c r="J1816" s="3" t="s">
        <v>61</v>
      </c>
      <c r="K1816" s="3" t="s">
        <v>63</v>
      </c>
      <c r="L1816" s="2" t="s">
        <v>18007</v>
      </c>
      <c r="M1816" s="2" t="s">
        <v>18008</v>
      </c>
      <c r="N1816" s="3" t="s">
        <v>712</v>
      </c>
      <c r="O1816" s="2" t="s">
        <v>17053</v>
      </c>
      <c r="P1816" s="3" t="s">
        <v>64</v>
      </c>
      <c r="Q1816" s="2" t="s">
        <v>18009</v>
      </c>
      <c r="R1816" s="3" t="s">
        <v>13065</v>
      </c>
      <c r="S1816" s="4">
        <v>24</v>
      </c>
      <c r="T1816" s="4">
        <v>132</v>
      </c>
      <c r="U1816" s="5" t="s">
        <v>18010</v>
      </c>
      <c r="V1816" s="5" t="s">
        <v>18011</v>
      </c>
      <c r="W1816" s="5" t="s">
        <v>67</v>
      </c>
      <c r="X1816" s="5" t="s">
        <v>67</v>
      </c>
      <c r="Y1816" s="4">
        <v>25</v>
      </c>
      <c r="Z1816" s="4">
        <v>4</v>
      </c>
      <c r="AA1816" s="4">
        <v>134</v>
      </c>
      <c r="AB1816" s="4">
        <v>1</v>
      </c>
      <c r="AC1816" s="4">
        <v>26</v>
      </c>
      <c r="AD1816" s="4">
        <v>5</v>
      </c>
      <c r="AE1816" s="4">
        <v>163</v>
      </c>
      <c r="AF1816" s="4">
        <v>0</v>
      </c>
      <c r="AG1816" s="4">
        <v>10</v>
      </c>
      <c r="AH1816" s="4">
        <v>2</v>
      </c>
      <c r="AI1816" s="4">
        <v>111</v>
      </c>
      <c r="AJ1816" s="4">
        <v>2</v>
      </c>
      <c r="AK1816" s="4">
        <v>28</v>
      </c>
      <c r="AL1816" s="4">
        <v>1</v>
      </c>
      <c r="AM1816" s="4">
        <v>60</v>
      </c>
      <c r="AN1816" s="4">
        <v>0</v>
      </c>
      <c r="AO1816" s="4">
        <v>0</v>
      </c>
      <c r="AP1816" s="4">
        <v>3</v>
      </c>
      <c r="AQ1816" s="4">
        <v>59</v>
      </c>
      <c r="AR1816" s="3" t="s">
        <v>62</v>
      </c>
      <c r="AS1816" s="3" t="s">
        <v>62</v>
      </c>
      <c r="AT1816" s="3" t="s">
        <v>62</v>
      </c>
      <c r="AV1816" s="6" t="str">
        <f>HYPERLINK("http://mcgill.on.worldcat.org/oclc/871482317","Catalog Record")</f>
        <v>Catalog Record</v>
      </c>
      <c r="AW1816" s="6" t="str">
        <f>HYPERLINK("http://www.worldcat.org/oclc/871482317","WorldCat Record")</f>
        <v>WorldCat Record</v>
      </c>
      <c r="AX1816" s="3" t="s">
        <v>18012</v>
      </c>
      <c r="AY1816" s="3" t="s">
        <v>18013</v>
      </c>
      <c r="AZ1816" s="3" t="s">
        <v>18014</v>
      </c>
      <c r="BA1816" s="3" t="s">
        <v>18014</v>
      </c>
      <c r="BB1816" s="3" t="s">
        <v>18015</v>
      </c>
      <c r="BC1816" s="3" t="s">
        <v>102</v>
      </c>
      <c r="BD1816" s="3" t="s">
        <v>68</v>
      </c>
      <c r="BE1816" s="3" t="s">
        <v>18016</v>
      </c>
      <c r="BF1816" s="3" t="s">
        <v>18015</v>
      </c>
      <c r="BG1816" s="3" t="s">
        <v>18017</v>
      </c>
    </row>
    <row r="1817" spans="1:59" ht="101.5" x14ac:dyDescent="0.35">
      <c r="A1817" s="2" t="s">
        <v>89</v>
      </c>
      <c r="B1817" s="2" t="s">
        <v>12301</v>
      </c>
      <c r="C1817" s="2" t="s">
        <v>18004</v>
      </c>
      <c r="D1817" s="2" t="s">
        <v>18005</v>
      </c>
      <c r="E1817" s="2" t="s">
        <v>18006</v>
      </c>
      <c r="G1817" s="3" t="s">
        <v>62</v>
      </c>
      <c r="I1817" s="3" t="s">
        <v>61</v>
      </c>
      <c r="J1817" s="3" t="s">
        <v>61</v>
      </c>
      <c r="K1817" s="3" t="s">
        <v>63</v>
      </c>
      <c r="L1817" s="2" t="s">
        <v>18007</v>
      </c>
      <c r="M1817" s="2" t="s">
        <v>18008</v>
      </c>
      <c r="N1817" s="3" t="s">
        <v>712</v>
      </c>
      <c r="O1817" s="2" t="s">
        <v>17053</v>
      </c>
      <c r="P1817" s="3" t="s">
        <v>64</v>
      </c>
      <c r="Q1817" s="2" t="s">
        <v>18009</v>
      </c>
      <c r="R1817" s="3" t="s">
        <v>13065</v>
      </c>
      <c r="S1817" s="4">
        <v>20</v>
      </c>
      <c r="T1817" s="4">
        <v>132</v>
      </c>
      <c r="U1817" s="5" t="s">
        <v>16060</v>
      </c>
      <c r="V1817" s="5" t="s">
        <v>18011</v>
      </c>
      <c r="W1817" s="5" t="s">
        <v>67</v>
      </c>
      <c r="X1817" s="5" t="s">
        <v>67</v>
      </c>
      <c r="Y1817" s="4">
        <v>25</v>
      </c>
      <c r="Z1817" s="4">
        <v>4</v>
      </c>
      <c r="AA1817" s="4">
        <v>134</v>
      </c>
      <c r="AB1817" s="4">
        <v>1</v>
      </c>
      <c r="AC1817" s="4">
        <v>26</v>
      </c>
      <c r="AD1817" s="4">
        <v>5</v>
      </c>
      <c r="AE1817" s="4">
        <v>163</v>
      </c>
      <c r="AF1817" s="4">
        <v>0</v>
      </c>
      <c r="AG1817" s="4">
        <v>10</v>
      </c>
      <c r="AH1817" s="4">
        <v>2</v>
      </c>
      <c r="AI1817" s="4">
        <v>111</v>
      </c>
      <c r="AJ1817" s="4">
        <v>2</v>
      </c>
      <c r="AK1817" s="4">
        <v>28</v>
      </c>
      <c r="AL1817" s="4">
        <v>1</v>
      </c>
      <c r="AM1817" s="4">
        <v>60</v>
      </c>
      <c r="AN1817" s="4">
        <v>0</v>
      </c>
      <c r="AO1817" s="4">
        <v>0</v>
      </c>
      <c r="AP1817" s="4">
        <v>3</v>
      </c>
      <c r="AQ1817" s="4">
        <v>59</v>
      </c>
      <c r="AR1817" s="3" t="s">
        <v>62</v>
      </c>
      <c r="AS1817" s="3" t="s">
        <v>62</v>
      </c>
      <c r="AT1817" s="3" t="s">
        <v>62</v>
      </c>
      <c r="AV1817" s="6" t="str">
        <f>HYPERLINK("http://mcgill.on.worldcat.org/oclc/871482317","Catalog Record")</f>
        <v>Catalog Record</v>
      </c>
      <c r="AW1817" s="6" t="str">
        <f>HYPERLINK("http://www.worldcat.org/oclc/871482317","WorldCat Record")</f>
        <v>WorldCat Record</v>
      </c>
      <c r="AX1817" s="3" t="s">
        <v>18012</v>
      </c>
      <c r="AY1817" s="3" t="s">
        <v>18013</v>
      </c>
      <c r="AZ1817" s="3" t="s">
        <v>18014</v>
      </c>
      <c r="BA1817" s="3" t="s">
        <v>18014</v>
      </c>
      <c r="BB1817" s="3" t="s">
        <v>18018</v>
      </c>
      <c r="BC1817" s="3" t="s">
        <v>102</v>
      </c>
      <c r="BD1817" s="3" t="s">
        <v>68</v>
      </c>
      <c r="BE1817" s="3" t="s">
        <v>18016</v>
      </c>
      <c r="BF1817" s="3" t="s">
        <v>18018</v>
      </c>
      <c r="BG1817" s="3" t="s">
        <v>18019</v>
      </c>
    </row>
    <row r="1818" spans="1:59" ht="101.5" x14ac:dyDescent="0.35">
      <c r="A1818" s="2" t="s">
        <v>89</v>
      </c>
      <c r="B1818" s="2" t="s">
        <v>12301</v>
      </c>
      <c r="C1818" s="2" t="s">
        <v>18004</v>
      </c>
      <c r="D1818" s="2" t="s">
        <v>18005</v>
      </c>
      <c r="E1818" s="2" t="s">
        <v>18006</v>
      </c>
      <c r="G1818" s="3" t="s">
        <v>62</v>
      </c>
      <c r="I1818" s="3" t="s">
        <v>61</v>
      </c>
      <c r="J1818" s="3" t="s">
        <v>61</v>
      </c>
      <c r="K1818" s="3" t="s">
        <v>63</v>
      </c>
      <c r="L1818" s="2" t="s">
        <v>18007</v>
      </c>
      <c r="M1818" s="2" t="s">
        <v>18008</v>
      </c>
      <c r="N1818" s="3" t="s">
        <v>712</v>
      </c>
      <c r="O1818" s="2" t="s">
        <v>17053</v>
      </c>
      <c r="P1818" s="3" t="s">
        <v>64</v>
      </c>
      <c r="Q1818" s="2" t="s">
        <v>18009</v>
      </c>
      <c r="R1818" s="3" t="s">
        <v>13065</v>
      </c>
      <c r="S1818" s="4">
        <v>29</v>
      </c>
      <c r="T1818" s="4">
        <v>132</v>
      </c>
      <c r="U1818" s="5" t="s">
        <v>18020</v>
      </c>
      <c r="V1818" s="5" t="s">
        <v>18011</v>
      </c>
      <c r="W1818" s="5" t="s">
        <v>67</v>
      </c>
      <c r="X1818" s="5" t="s">
        <v>67</v>
      </c>
      <c r="Y1818" s="4">
        <v>25</v>
      </c>
      <c r="Z1818" s="4">
        <v>4</v>
      </c>
      <c r="AA1818" s="4">
        <v>134</v>
      </c>
      <c r="AB1818" s="4">
        <v>1</v>
      </c>
      <c r="AC1818" s="4">
        <v>26</v>
      </c>
      <c r="AD1818" s="4">
        <v>5</v>
      </c>
      <c r="AE1818" s="4">
        <v>163</v>
      </c>
      <c r="AF1818" s="4">
        <v>0</v>
      </c>
      <c r="AG1818" s="4">
        <v>10</v>
      </c>
      <c r="AH1818" s="4">
        <v>2</v>
      </c>
      <c r="AI1818" s="4">
        <v>111</v>
      </c>
      <c r="AJ1818" s="4">
        <v>2</v>
      </c>
      <c r="AK1818" s="4">
        <v>28</v>
      </c>
      <c r="AL1818" s="4">
        <v>1</v>
      </c>
      <c r="AM1818" s="4">
        <v>60</v>
      </c>
      <c r="AN1818" s="4">
        <v>0</v>
      </c>
      <c r="AO1818" s="4">
        <v>0</v>
      </c>
      <c r="AP1818" s="4">
        <v>3</v>
      </c>
      <c r="AQ1818" s="4">
        <v>59</v>
      </c>
      <c r="AR1818" s="3" t="s">
        <v>62</v>
      </c>
      <c r="AS1818" s="3" t="s">
        <v>62</v>
      </c>
      <c r="AT1818" s="3" t="s">
        <v>62</v>
      </c>
      <c r="AV1818" s="6" t="str">
        <f>HYPERLINK("http://mcgill.on.worldcat.org/oclc/871482317","Catalog Record")</f>
        <v>Catalog Record</v>
      </c>
      <c r="AW1818" s="6" t="str">
        <f>HYPERLINK("http://www.worldcat.org/oclc/871482317","WorldCat Record")</f>
        <v>WorldCat Record</v>
      </c>
      <c r="AX1818" s="3" t="s">
        <v>18012</v>
      </c>
      <c r="AY1818" s="3" t="s">
        <v>18013</v>
      </c>
      <c r="AZ1818" s="3" t="s">
        <v>18014</v>
      </c>
      <c r="BA1818" s="3" t="s">
        <v>18014</v>
      </c>
      <c r="BB1818" s="3" t="s">
        <v>18021</v>
      </c>
      <c r="BC1818" s="3" t="s">
        <v>102</v>
      </c>
      <c r="BD1818" s="3" t="s">
        <v>68</v>
      </c>
      <c r="BE1818" s="3" t="s">
        <v>18016</v>
      </c>
      <c r="BF1818" s="3" t="s">
        <v>18021</v>
      </c>
      <c r="BG1818" s="3" t="s">
        <v>18022</v>
      </c>
    </row>
    <row r="1819" spans="1:59" ht="72.5" x14ac:dyDescent="0.35">
      <c r="A1819" s="2" t="s">
        <v>89</v>
      </c>
      <c r="B1819" s="2" t="s">
        <v>18023</v>
      </c>
      <c r="C1819" s="2" t="s">
        <v>18004</v>
      </c>
      <c r="D1819" s="2" t="s">
        <v>18005</v>
      </c>
      <c r="E1819" s="2" t="s">
        <v>18006</v>
      </c>
      <c r="G1819" s="3" t="s">
        <v>62</v>
      </c>
      <c r="I1819" s="3" t="s">
        <v>61</v>
      </c>
      <c r="J1819" s="3" t="s">
        <v>61</v>
      </c>
      <c r="K1819" s="3" t="s">
        <v>63</v>
      </c>
      <c r="L1819" s="2" t="s">
        <v>18007</v>
      </c>
      <c r="M1819" s="2" t="s">
        <v>18008</v>
      </c>
      <c r="N1819" s="3" t="s">
        <v>712</v>
      </c>
      <c r="O1819" s="2" t="s">
        <v>17053</v>
      </c>
      <c r="P1819" s="3" t="s">
        <v>64</v>
      </c>
      <c r="Q1819" s="2" t="s">
        <v>18009</v>
      </c>
      <c r="R1819" s="3" t="s">
        <v>13065</v>
      </c>
      <c r="S1819" s="4">
        <v>30</v>
      </c>
      <c r="T1819" s="4">
        <v>132</v>
      </c>
      <c r="U1819" s="5" t="s">
        <v>18024</v>
      </c>
      <c r="V1819" s="5" t="s">
        <v>18011</v>
      </c>
      <c r="W1819" s="5" t="s">
        <v>67</v>
      </c>
      <c r="X1819" s="5" t="s">
        <v>67</v>
      </c>
      <c r="Y1819" s="4">
        <v>25</v>
      </c>
      <c r="Z1819" s="4">
        <v>4</v>
      </c>
      <c r="AA1819" s="4">
        <v>134</v>
      </c>
      <c r="AB1819" s="4">
        <v>1</v>
      </c>
      <c r="AC1819" s="4">
        <v>26</v>
      </c>
      <c r="AD1819" s="4">
        <v>5</v>
      </c>
      <c r="AE1819" s="4">
        <v>163</v>
      </c>
      <c r="AF1819" s="4">
        <v>0</v>
      </c>
      <c r="AG1819" s="4">
        <v>10</v>
      </c>
      <c r="AH1819" s="4">
        <v>2</v>
      </c>
      <c r="AI1819" s="4">
        <v>111</v>
      </c>
      <c r="AJ1819" s="4">
        <v>2</v>
      </c>
      <c r="AK1819" s="4">
        <v>28</v>
      </c>
      <c r="AL1819" s="4">
        <v>1</v>
      </c>
      <c r="AM1819" s="4">
        <v>60</v>
      </c>
      <c r="AN1819" s="4">
        <v>0</v>
      </c>
      <c r="AO1819" s="4">
        <v>0</v>
      </c>
      <c r="AP1819" s="4">
        <v>3</v>
      </c>
      <c r="AQ1819" s="4">
        <v>59</v>
      </c>
      <c r="AR1819" s="3" t="s">
        <v>62</v>
      </c>
      <c r="AS1819" s="3" t="s">
        <v>62</v>
      </c>
      <c r="AT1819" s="3" t="s">
        <v>62</v>
      </c>
      <c r="AV1819" s="6" t="str">
        <f>HYPERLINK("http://mcgill.on.worldcat.org/oclc/871482317","Catalog Record")</f>
        <v>Catalog Record</v>
      </c>
      <c r="AW1819" s="6" t="str">
        <f>HYPERLINK("http://www.worldcat.org/oclc/871482317","WorldCat Record")</f>
        <v>WorldCat Record</v>
      </c>
      <c r="AX1819" s="3" t="s">
        <v>18012</v>
      </c>
      <c r="AY1819" s="3" t="s">
        <v>18013</v>
      </c>
      <c r="AZ1819" s="3" t="s">
        <v>18014</v>
      </c>
      <c r="BA1819" s="3" t="s">
        <v>18014</v>
      </c>
      <c r="BB1819" s="3" t="s">
        <v>18025</v>
      </c>
      <c r="BC1819" s="3" t="s">
        <v>102</v>
      </c>
      <c r="BD1819" s="3" t="s">
        <v>68</v>
      </c>
      <c r="BE1819" s="3" t="s">
        <v>18016</v>
      </c>
      <c r="BF1819" s="3" t="s">
        <v>18025</v>
      </c>
      <c r="BG1819" s="3" t="s">
        <v>18026</v>
      </c>
    </row>
    <row r="1820" spans="1:59" ht="101.5" x14ac:dyDescent="0.35">
      <c r="A1820" s="2" t="s">
        <v>89</v>
      </c>
      <c r="B1820" s="2" t="s">
        <v>12301</v>
      </c>
      <c r="C1820" s="2" t="s">
        <v>18004</v>
      </c>
      <c r="D1820" s="2" t="s">
        <v>18005</v>
      </c>
      <c r="E1820" s="2" t="s">
        <v>18006</v>
      </c>
      <c r="G1820" s="3" t="s">
        <v>62</v>
      </c>
      <c r="I1820" s="3" t="s">
        <v>61</v>
      </c>
      <c r="J1820" s="3" t="s">
        <v>61</v>
      </c>
      <c r="K1820" s="3" t="s">
        <v>63</v>
      </c>
      <c r="L1820" s="2" t="s">
        <v>18007</v>
      </c>
      <c r="M1820" s="2" t="s">
        <v>18008</v>
      </c>
      <c r="N1820" s="3" t="s">
        <v>712</v>
      </c>
      <c r="O1820" s="2" t="s">
        <v>17053</v>
      </c>
      <c r="P1820" s="3" t="s">
        <v>64</v>
      </c>
      <c r="Q1820" s="2" t="s">
        <v>18009</v>
      </c>
      <c r="R1820" s="3" t="s">
        <v>13065</v>
      </c>
      <c r="S1820" s="4">
        <v>29</v>
      </c>
      <c r="T1820" s="4">
        <v>132</v>
      </c>
      <c r="U1820" s="5" t="s">
        <v>18011</v>
      </c>
      <c r="V1820" s="5" t="s">
        <v>18011</v>
      </c>
      <c r="W1820" s="5" t="s">
        <v>67</v>
      </c>
      <c r="X1820" s="5" t="s">
        <v>67</v>
      </c>
      <c r="Y1820" s="4">
        <v>25</v>
      </c>
      <c r="Z1820" s="4">
        <v>4</v>
      </c>
      <c r="AA1820" s="4">
        <v>134</v>
      </c>
      <c r="AB1820" s="4">
        <v>1</v>
      </c>
      <c r="AC1820" s="4">
        <v>26</v>
      </c>
      <c r="AD1820" s="4">
        <v>5</v>
      </c>
      <c r="AE1820" s="4">
        <v>163</v>
      </c>
      <c r="AF1820" s="4">
        <v>0</v>
      </c>
      <c r="AG1820" s="4">
        <v>10</v>
      </c>
      <c r="AH1820" s="4">
        <v>2</v>
      </c>
      <c r="AI1820" s="4">
        <v>111</v>
      </c>
      <c r="AJ1820" s="4">
        <v>2</v>
      </c>
      <c r="AK1820" s="4">
        <v>28</v>
      </c>
      <c r="AL1820" s="4">
        <v>1</v>
      </c>
      <c r="AM1820" s="4">
        <v>60</v>
      </c>
      <c r="AN1820" s="4">
        <v>0</v>
      </c>
      <c r="AO1820" s="4">
        <v>0</v>
      </c>
      <c r="AP1820" s="4">
        <v>3</v>
      </c>
      <c r="AQ1820" s="4">
        <v>59</v>
      </c>
      <c r="AR1820" s="3" t="s">
        <v>62</v>
      </c>
      <c r="AS1820" s="3" t="s">
        <v>62</v>
      </c>
      <c r="AT1820" s="3" t="s">
        <v>62</v>
      </c>
      <c r="AV1820" s="6" t="str">
        <f>HYPERLINK("http://mcgill.on.worldcat.org/oclc/871482317","Catalog Record")</f>
        <v>Catalog Record</v>
      </c>
      <c r="AW1820" s="6" t="str">
        <f>HYPERLINK("http://www.worldcat.org/oclc/871482317","WorldCat Record")</f>
        <v>WorldCat Record</v>
      </c>
      <c r="AX1820" s="3" t="s">
        <v>18012</v>
      </c>
      <c r="AY1820" s="3" t="s">
        <v>18013</v>
      </c>
      <c r="AZ1820" s="3" t="s">
        <v>18014</v>
      </c>
      <c r="BA1820" s="3" t="s">
        <v>18014</v>
      </c>
      <c r="BB1820" s="3" t="s">
        <v>18027</v>
      </c>
      <c r="BC1820" s="3" t="s">
        <v>102</v>
      </c>
      <c r="BD1820" s="3" t="s">
        <v>68</v>
      </c>
      <c r="BE1820" s="3" t="s">
        <v>18016</v>
      </c>
      <c r="BF1820" s="3" t="s">
        <v>18027</v>
      </c>
      <c r="BG1820" s="3" t="s">
        <v>18028</v>
      </c>
    </row>
    <row r="1821" spans="1:59" ht="101.5" x14ac:dyDescent="0.35">
      <c r="A1821" s="2" t="s">
        <v>89</v>
      </c>
      <c r="B1821" s="2" t="s">
        <v>12301</v>
      </c>
      <c r="C1821" s="2" t="s">
        <v>18029</v>
      </c>
      <c r="D1821" s="2" t="s">
        <v>18030</v>
      </c>
      <c r="E1821" s="2" t="s">
        <v>18031</v>
      </c>
      <c r="F1821" s="3" t="s">
        <v>18032</v>
      </c>
      <c r="G1821" s="3" t="s">
        <v>62</v>
      </c>
      <c r="I1821" s="3" t="s">
        <v>61</v>
      </c>
      <c r="J1821" s="3" t="s">
        <v>61</v>
      </c>
      <c r="K1821" s="3" t="s">
        <v>63</v>
      </c>
      <c r="L1821" s="2" t="s">
        <v>18033</v>
      </c>
      <c r="M1821" s="2" t="s">
        <v>18034</v>
      </c>
      <c r="N1821" s="3" t="s">
        <v>2985</v>
      </c>
      <c r="O1821" s="2" t="s">
        <v>10722</v>
      </c>
      <c r="P1821" s="3" t="s">
        <v>64</v>
      </c>
      <c r="R1821" s="3" t="s">
        <v>13065</v>
      </c>
      <c r="S1821" s="4">
        <v>169</v>
      </c>
      <c r="T1821" s="4">
        <v>354</v>
      </c>
      <c r="U1821" s="5" t="s">
        <v>18035</v>
      </c>
      <c r="V1821" s="5" t="s">
        <v>18035</v>
      </c>
      <c r="W1821" s="5" t="s">
        <v>67</v>
      </c>
      <c r="X1821" s="5" t="s">
        <v>67</v>
      </c>
      <c r="Y1821" s="4">
        <v>288</v>
      </c>
      <c r="Z1821" s="4">
        <v>19</v>
      </c>
      <c r="AA1821" s="4">
        <v>134</v>
      </c>
      <c r="AB1821" s="4">
        <v>3</v>
      </c>
      <c r="AC1821" s="4">
        <v>26</v>
      </c>
      <c r="AD1821" s="4">
        <v>60</v>
      </c>
      <c r="AE1821" s="4">
        <v>163</v>
      </c>
      <c r="AF1821" s="4">
        <v>0</v>
      </c>
      <c r="AG1821" s="4">
        <v>10</v>
      </c>
      <c r="AH1821" s="4">
        <v>50</v>
      </c>
      <c r="AI1821" s="4">
        <v>111</v>
      </c>
      <c r="AJ1821" s="4">
        <v>9</v>
      </c>
      <c r="AK1821" s="4">
        <v>28</v>
      </c>
      <c r="AL1821" s="4">
        <v>36</v>
      </c>
      <c r="AM1821" s="4">
        <v>60</v>
      </c>
      <c r="AN1821" s="4">
        <v>0</v>
      </c>
      <c r="AO1821" s="4">
        <v>0</v>
      </c>
      <c r="AP1821" s="4">
        <v>11</v>
      </c>
      <c r="AQ1821" s="4">
        <v>59</v>
      </c>
      <c r="AR1821" s="3" t="s">
        <v>62</v>
      </c>
      <c r="AS1821" s="3" t="s">
        <v>62</v>
      </c>
      <c r="AT1821" s="3" t="s">
        <v>62</v>
      </c>
      <c r="AV1821" s="6" t="str">
        <f>HYPERLINK("http://mcgill.on.worldcat.org/oclc/232002245","Catalog Record")</f>
        <v>Catalog Record</v>
      </c>
      <c r="AW1821" s="6" t="str">
        <f>HYPERLINK("http://www.worldcat.org/oclc/232002245","WorldCat Record")</f>
        <v>WorldCat Record</v>
      </c>
      <c r="AX1821" s="3" t="s">
        <v>18012</v>
      </c>
      <c r="AY1821" s="3" t="s">
        <v>18036</v>
      </c>
      <c r="AZ1821" s="3" t="s">
        <v>18037</v>
      </c>
      <c r="BA1821" s="3" t="s">
        <v>18037</v>
      </c>
      <c r="BB1821" s="3" t="s">
        <v>18038</v>
      </c>
      <c r="BC1821" s="3" t="s">
        <v>102</v>
      </c>
      <c r="BD1821" s="3" t="s">
        <v>68</v>
      </c>
      <c r="BE1821" s="3" t="s">
        <v>18039</v>
      </c>
      <c r="BF1821" s="3" t="s">
        <v>18038</v>
      </c>
      <c r="BG1821" s="3" t="s">
        <v>18040</v>
      </c>
    </row>
    <row r="1822" spans="1:59" ht="101.5" x14ac:dyDescent="0.35">
      <c r="A1822" s="2" t="s">
        <v>89</v>
      </c>
      <c r="B1822" s="2" t="s">
        <v>12301</v>
      </c>
      <c r="C1822" s="2" t="s">
        <v>18029</v>
      </c>
      <c r="D1822" s="2" t="s">
        <v>18030</v>
      </c>
      <c r="E1822" s="2" t="s">
        <v>18031</v>
      </c>
      <c r="F1822" s="3" t="s">
        <v>18032</v>
      </c>
      <c r="G1822" s="3" t="s">
        <v>62</v>
      </c>
      <c r="I1822" s="3" t="s">
        <v>61</v>
      </c>
      <c r="J1822" s="3" t="s">
        <v>61</v>
      </c>
      <c r="K1822" s="3" t="s">
        <v>63</v>
      </c>
      <c r="L1822" s="2" t="s">
        <v>18033</v>
      </c>
      <c r="M1822" s="2" t="s">
        <v>18034</v>
      </c>
      <c r="N1822" s="3" t="s">
        <v>2985</v>
      </c>
      <c r="O1822" s="2" t="s">
        <v>10722</v>
      </c>
      <c r="P1822" s="3" t="s">
        <v>64</v>
      </c>
      <c r="R1822" s="3" t="s">
        <v>13065</v>
      </c>
      <c r="S1822" s="4">
        <v>185</v>
      </c>
      <c r="T1822" s="4">
        <v>354</v>
      </c>
      <c r="U1822" s="5" t="s">
        <v>16130</v>
      </c>
      <c r="V1822" s="5" t="s">
        <v>18035</v>
      </c>
      <c r="W1822" s="5" t="s">
        <v>67</v>
      </c>
      <c r="X1822" s="5" t="s">
        <v>67</v>
      </c>
      <c r="Y1822" s="4">
        <v>288</v>
      </c>
      <c r="Z1822" s="4">
        <v>19</v>
      </c>
      <c r="AA1822" s="4">
        <v>134</v>
      </c>
      <c r="AB1822" s="4">
        <v>3</v>
      </c>
      <c r="AC1822" s="4">
        <v>26</v>
      </c>
      <c r="AD1822" s="4">
        <v>60</v>
      </c>
      <c r="AE1822" s="4">
        <v>163</v>
      </c>
      <c r="AF1822" s="4">
        <v>0</v>
      </c>
      <c r="AG1822" s="4">
        <v>10</v>
      </c>
      <c r="AH1822" s="4">
        <v>50</v>
      </c>
      <c r="AI1822" s="4">
        <v>111</v>
      </c>
      <c r="AJ1822" s="4">
        <v>9</v>
      </c>
      <c r="AK1822" s="4">
        <v>28</v>
      </c>
      <c r="AL1822" s="4">
        <v>36</v>
      </c>
      <c r="AM1822" s="4">
        <v>60</v>
      </c>
      <c r="AN1822" s="4">
        <v>0</v>
      </c>
      <c r="AO1822" s="4">
        <v>0</v>
      </c>
      <c r="AP1822" s="4">
        <v>11</v>
      </c>
      <c r="AQ1822" s="4">
        <v>59</v>
      </c>
      <c r="AR1822" s="3" t="s">
        <v>62</v>
      </c>
      <c r="AS1822" s="3" t="s">
        <v>62</v>
      </c>
      <c r="AT1822" s="3" t="s">
        <v>62</v>
      </c>
      <c r="AV1822" s="6" t="str">
        <f>HYPERLINK("http://mcgill.on.worldcat.org/oclc/232002245","Catalog Record")</f>
        <v>Catalog Record</v>
      </c>
      <c r="AW1822" s="6" t="str">
        <f>HYPERLINK("http://www.worldcat.org/oclc/232002245","WorldCat Record")</f>
        <v>WorldCat Record</v>
      </c>
      <c r="AX1822" s="3" t="s">
        <v>18012</v>
      </c>
      <c r="AY1822" s="3" t="s">
        <v>18036</v>
      </c>
      <c r="AZ1822" s="3" t="s">
        <v>18037</v>
      </c>
      <c r="BA1822" s="3" t="s">
        <v>18037</v>
      </c>
      <c r="BB1822" s="3" t="s">
        <v>18041</v>
      </c>
      <c r="BC1822" s="3" t="s">
        <v>102</v>
      </c>
      <c r="BD1822" s="3" t="s">
        <v>68</v>
      </c>
      <c r="BE1822" s="3" t="s">
        <v>18039</v>
      </c>
      <c r="BF1822" s="3" t="s">
        <v>18041</v>
      </c>
      <c r="BG1822" s="3" t="s">
        <v>18042</v>
      </c>
    </row>
    <row r="1823" spans="1:59" ht="58" x14ac:dyDescent="0.35">
      <c r="A1823" s="2" t="s">
        <v>89</v>
      </c>
      <c r="B1823" s="2" t="s">
        <v>90</v>
      </c>
      <c r="C1823" s="2" t="s">
        <v>18043</v>
      </c>
      <c r="D1823" s="2" t="s">
        <v>18044</v>
      </c>
      <c r="E1823" s="2" t="s">
        <v>18045</v>
      </c>
      <c r="G1823" s="3" t="s">
        <v>62</v>
      </c>
      <c r="I1823" s="3" t="s">
        <v>62</v>
      </c>
      <c r="J1823" s="3" t="s">
        <v>62</v>
      </c>
      <c r="K1823" s="3" t="s">
        <v>63</v>
      </c>
      <c r="L1823" s="2" t="s">
        <v>18046</v>
      </c>
      <c r="M1823" s="2" t="s">
        <v>18047</v>
      </c>
      <c r="N1823" s="3" t="s">
        <v>1038</v>
      </c>
      <c r="P1823" s="3" t="s">
        <v>64</v>
      </c>
      <c r="Q1823" s="2" t="s">
        <v>18048</v>
      </c>
      <c r="R1823" s="3" t="s">
        <v>13065</v>
      </c>
      <c r="S1823" s="4">
        <v>0</v>
      </c>
      <c r="T1823" s="4">
        <v>0</v>
      </c>
      <c r="W1823" s="5" t="s">
        <v>67</v>
      </c>
      <c r="X1823" s="5" t="s">
        <v>67</v>
      </c>
      <c r="Y1823" s="4">
        <v>13</v>
      </c>
      <c r="Z1823" s="4">
        <v>2</v>
      </c>
      <c r="AA1823" s="4">
        <v>15</v>
      </c>
      <c r="AB1823" s="4">
        <v>1</v>
      </c>
      <c r="AC1823" s="4">
        <v>3</v>
      </c>
      <c r="AD1823" s="4">
        <v>3</v>
      </c>
      <c r="AE1823" s="4">
        <v>19</v>
      </c>
      <c r="AF1823" s="4">
        <v>0</v>
      </c>
      <c r="AG1823" s="4">
        <v>0</v>
      </c>
      <c r="AH1823" s="4">
        <v>3</v>
      </c>
      <c r="AI1823" s="4">
        <v>17</v>
      </c>
      <c r="AJ1823" s="4">
        <v>1</v>
      </c>
      <c r="AK1823" s="4">
        <v>4</v>
      </c>
      <c r="AL1823" s="4">
        <v>2</v>
      </c>
      <c r="AM1823" s="4">
        <v>11</v>
      </c>
      <c r="AN1823" s="4">
        <v>0</v>
      </c>
      <c r="AO1823" s="4">
        <v>0</v>
      </c>
      <c r="AP1823" s="4">
        <v>1</v>
      </c>
      <c r="AQ1823" s="4">
        <v>6</v>
      </c>
      <c r="AR1823" s="3" t="s">
        <v>62</v>
      </c>
      <c r="AS1823" s="3" t="s">
        <v>62</v>
      </c>
      <c r="AT1823" s="3" t="s">
        <v>62</v>
      </c>
      <c r="AV1823" s="6" t="str">
        <f>HYPERLINK("http://mcgill.on.worldcat.org/oclc/960738289","Catalog Record")</f>
        <v>Catalog Record</v>
      </c>
      <c r="AW1823" s="6" t="str">
        <f>HYPERLINK("http://www.worldcat.org/oclc/960738289","WorldCat Record")</f>
        <v>WorldCat Record</v>
      </c>
      <c r="AX1823" s="3" t="s">
        <v>18049</v>
      </c>
      <c r="AY1823" s="3" t="s">
        <v>18050</v>
      </c>
      <c r="AZ1823" s="3" t="s">
        <v>18051</v>
      </c>
      <c r="BA1823" s="3" t="s">
        <v>18051</v>
      </c>
      <c r="BB1823" s="3" t="s">
        <v>18052</v>
      </c>
      <c r="BC1823" s="3" t="s">
        <v>102</v>
      </c>
      <c r="BD1823" s="3" t="s">
        <v>68</v>
      </c>
      <c r="BE1823" s="3" t="s">
        <v>18053</v>
      </c>
      <c r="BF1823" s="3" t="s">
        <v>18052</v>
      </c>
      <c r="BG1823" s="3" t="s">
        <v>18054</v>
      </c>
    </row>
    <row r="1824" spans="1:59" ht="58" x14ac:dyDescent="0.35">
      <c r="A1824" s="2" t="s">
        <v>89</v>
      </c>
      <c r="B1824" s="2" t="s">
        <v>90</v>
      </c>
      <c r="C1824" s="2" t="s">
        <v>18055</v>
      </c>
      <c r="D1824" s="2" t="s">
        <v>18056</v>
      </c>
      <c r="E1824" s="2" t="s">
        <v>18057</v>
      </c>
      <c r="F1824" s="3" t="s">
        <v>18058</v>
      </c>
      <c r="G1824" s="3" t="s">
        <v>62</v>
      </c>
      <c r="I1824" s="3" t="s">
        <v>62</v>
      </c>
      <c r="J1824" s="3" t="s">
        <v>61</v>
      </c>
      <c r="K1824" s="3" t="s">
        <v>63</v>
      </c>
      <c r="L1824" s="2" t="s">
        <v>18059</v>
      </c>
      <c r="M1824" s="2" t="s">
        <v>18060</v>
      </c>
      <c r="N1824" s="3" t="s">
        <v>640</v>
      </c>
      <c r="O1824" s="2" t="s">
        <v>2458</v>
      </c>
      <c r="P1824" s="3" t="s">
        <v>64</v>
      </c>
      <c r="Q1824" s="2" t="s">
        <v>18061</v>
      </c>
      <c r="R1824" s="3" t="s">
        <v>13065</v>
      </c>
      <c r="S1824" s="4">
        <v>36</v>
      </c>
      <c r="T1824" s="4">
        <v>36</v>
      </c>
      <c r="U1824" s="5" t="s">
        <v>5681</v>
      </c>
      <c r="V1824" s="5" t="s">
        <v>5681</v>
      </c>
      <c r="W1824" s="5" t="s">
        <v>67</v>
      </c>
      <c r="X1824" s="5" t="s">
        <v>67</v>
      </c>
      <c r="Y1824" s="4">
        <v>131</v>
      </c>
      <c r="Z1824" s="4">
        <v>4</v>
      </c>
      <c r="AA1824" s="4">
        <v>27</v>
      </c>
      <c r="AB1824" s="4">
        <v>1</v>
      </c>
      <c r="AC1824" s="4">
        <v>10</v>
      </c>
      <c r="AD1824" s="4">
        <v>25</v>
      </c>
      <c r="AE1824" s="4">
        <v>81</v>
      </c>
      <c r="AF1824" s="4">
        <v>0</v>
      </c>
      <c r="AG1824" s="4">
        <v>5</v>
      </c>
      <c r="AH1824" s="4">
        <v>23</v>
      </c>
      <c r="AI1824" s="4">
        <v>69</v>
      </c>
      <c r="AJ1824" s="4">
        <v>2</v>
      </c>
      <c r="AK1824" s="4">
        <v>13</v>
      </c>
      <c r="AL1824" s="4">
        <v>13</v>
      </c>
      <c r="AM1824" s="4">
        <v>38</v>
      </c>
      <c r="AN1824" s="4">
        <v>0</v>
      </c>
      <c r="AO1824" s="4">
        <v>0</v>
      </c>
      <c r="AP1824" s="4">
        <v>2</v>
      </c>
      <c r="AQ1824" s="4">
        <v>19</v>
      </c>
      <c r="AR1824" s="3" t="s">
        <v>62</v>
      </c>
      <c r="AS1824" s="3" t="s">
        <v>62</v>
      </c>
      <c r="AT1824" s="3" t="s">
        <v>62</v>
      </c>
      <c r="AV1824" s="6" t="str">
        <f>HYPERLINK("http://mcgill.on.worldcat.org/oclc/52208671","Catalog Record")</f>
        <v>Catalog Record</v>
      </c>
      <c r="AW1824" s="6" t="str">
        <f>HYPERLINK("http://www.worldcat.org/oclc/52208671","WorldCat Record")</f>
        <v>WorldCat Record</v>
      </c>
      <c r="AX1824" s="3" t="s">
        <v>18062</v>
      </c>
      <c r="AY1824" s="3" t="s">
        <v>18063</v>
      </c>
      <c r="AZ1824" s="3" t="s">
        <v>18064</v>
      </c>
      <c r="BA1824" s="3" t="s">
        <v>18064</v>
      </c>
      <c r="BB1824" s="3" t="s">
        <v>18065</v>
      </c>
      <c r="BC1824" s="3" t="s">
        <v>102</v>
      </c>
      <c r="BD1824" s="3" t="s">
        <v>231</v>
      </c>
      <c r="BE1824" s="3" t="s">
        <v>18066</v>
      </c>
      <c r="BF1824" s="3" t="s">
        <v>18065</v>
      </c>
      <c r="BG1824" s="3" t="s">
        <v>18067</v>
      </c>
    </row>
    <row r="1825" spans="1:59" ht="58" x14ac:dyDescent="0.35">
      <c r="A1825" s="2" t="s">
        <v>89</v>
      </c>
      <c r="B1825" s="2" t="s">
        <v>90</v>
      </c>
      <c r="C1825" s="2" t="s">
        <v>18068</v>
      </c>
      <c r="D1825" s="2" t="s">
        <v>18069</v>
      </c>
      <c r="E1825" s="2" t="s">
        <v>18070</v>
      </c>
      <c r="G1825" s="3" t="s">
        <v>62</v>
      </c>
      <c r="I1825" s="3" t="s">
        <v>61</v>
      </c>
      <c r="J1825" s="3" t="s">
        <v>61</v>
      </c>
      <c r="K1825" s="3" t="s">
        <v>63</v>
      </c>
      <c r="L1825" s="2" t="s">
        <v>18071</v>
      </c>
      <c r="M1825" s="2" t="s">
        <v>18072</v>
      </c>
      <c r="N1825" s="3" t="s">
        <v>893</v>
      </c>
      <c r="P1825" s="3" t="s">
        <v>64</v>
      </c>
      <c r="Q1825" s="2" t="s">
        <v>18061</v>
      </c>
      <c r="R1825" s="3" t="s">
        <v>13065</v>
      </c>
      <c r="S1825" s="4">
        <v>20</v>
      </c>
      <c r="T1825" s="4">
        <v>57</v>
      </c>
      <c r="U1825" s="5" t="s">
        <v>16269</v>
      </c>
      <c r="V1825" s="5" t="s">
        <v>16269</v>
      </c>
      <c r="W1825" s="5" t="s">
        <v>67</v>
      </c>
      <c r="X1825" s="5" t="s">
        <v>67</v>
      </c>
      <c r="Y1825" s="4">
        <v>449</v>
      </c>
      <c r="Z1825" s="4">
        <v>28</v>
      </c>
      <c r="AA1825" s="4">
        <v>66</v>
      </c>
      <c r="AB1825" s="4">
        <v>2</v>
      </c>
      <c r="AC1825" s="4">
        <v>20</v>
      </c>
      <c r="AD1825" s="4">
        <v>101</v>
      </c>
      <c r="AE1825" s="4">
        <v>143</v>
      </c>
      <c r="AF1825" s="4">
        <v>1</v>
      </c>
      <c r="AG1825" s="4">
        <v>8</v>
      </c>
      <c r="AH1825" s="4">
        <v>84</v>
      </c>
      <c r="AI1825" s="4">
        <v>111</v>
      </c>
      <c r="AJ1825" s="4">
        <v>17</v>
      </c>
      <c r="AK1825" s="4">
        <v>28</v>
      </c>
      <c r="AL1825" s="4">
        <v>46</v>
      </c>
      <c r="AM1825" s="4">
        <v>56</v>
      </c>
      <c r="AN1825" s="4">
        <v>0</v>
      </c>
      <c r="AO1825" s="4">
        <v>0</v>
      </c>
      <c r="AP1825" s="4">
        <v>23</v>
      </c>
      <c r="AQ1825" s="4">
        <v>42</v>
      </c>
      <c r="AR1825" s="3" t="s">
        <v>62</v>
      </c>
      <c r="AS1825" s="3" t="s">
        <v>62</v>
      </c>
      <c r="AT1825" s="3" t="s">
        <v>61</v>
      </c>
      <c r="AU1825" s="6" t="str">
        <f>HYPERLINK("http://catalog.hathitrust.org/Record/000763965","HathiTrust Record")</f>
        <v>HathiTrust Record</v>
      </c>
      <c r="AV1825" s="6" t="str">
        <f>HYPERLINK("http://mcgill.on.worldcat.org/oclc/7551103","Catalog Record")</f>
        <v>Catalog Record</v>
      </c>
      <c r="AW1825" s="6" t="str">
        <f>HYPERLINK("http://www.worldcat.org/oclc/7551103","WorldCat Record")</f>
        <v>WorldCat Record</v>
      </c>
      <c r="AX1825" s="3" t="s">
        <v>18073</v>
      </c>
      <c r="AY1825" s="3" t="s">
        <v>18074</v>
      </c>
      <c r="AZ1825" s="3" t="s">
        <v>18075</v>
      </c>
      <c r="BA1825" s="3" t="s">
        <v>18075</v>
      </c>
      <c r="BB1825" s="3" t="s">
        <v>18076</v>
      </c>
      <c r="BC1825" s="3" t="s">
        <v>102</v>
      </c>
      <c r="BD1825" s="3" t="s">
        <v>68</v>
      </c>
      <c r="BE1825" s="3" t="s">
        <v>18077</v>
      </c>
      <c r="BF1825" s="3" t="s">
        <v>18076</v>
      </c>
      <c r="BG1825" s="3" t="s">
        <v>18078</v>
      </c>
    </row>
    <row r="1826" spans="1:59" ht="72.5" x14ac:dyDescent="0.35">
      <c r="A1826" s="2" t="s">
        <v>89</v>
      </c>
      <c r="B1826" s="2" t="s">
        <v>90</v>
      </c>
      <c r="C1826" s="2" t="s">
        <v>18079</v>
      </c>
      <c r="D1826" s="2" t="s">
        <v>18080</v>
      </c>
      <c r="E1826" s="2" t="s">
        <v>18081</v>
      </c>
      <c r="G1826" s="3" t="s">
        <v>62</v>
      </c>
      <c r="I1826" s="3" t="s">
        <v>62</v>
      </c>
      <c r="J1826" s="3" t="s">
        <v>62</v>
      </c>
      <c r="K1826" s="3" t="s">
        <v>63</v>
      </c>
      <c r="M1826" s="2" t="s">
        <v>11173</v>
      </c>
      <c r="N1826" s="3" t="s">
        <v>880</v>
      </c>
      <c r="P1826" s="3" t="s">
        <v>64</v>
      </c>
      <c r="Q1826" s="2" t="s">
        <v>18082</v>
      </c>
      <c r="R1826" s="3" t="s">
        <v>13065</v>
      </c>
      <c r="S1826" s="4">
        <v>0</v>
      </c>
      <c r="T1826" s="4">
        <v>0</v>
      </c>
      <c r="W1826" s="5" t="s">
        <v>67</v>
      </c>
      <c r="X1826" s="5" t="s">
        <v>67</v>
      </c>
      <c r="Y1826" s="4">
        <v>653</v>
      </c>
      <c r="Z1826" s="4">
        <v>34</v>
      </c>
      <c r="AA1826" s="4">
        <v>108</v>
      </c>
      <c r="AB1826" s="4">
        <v>3</v>
      </c>
      <c r="AC1826" s="4">
        <v>17</v>
      </c>
      <c r="AD1826" s="4">
        <v>77</v>
      </c>
      <c r="AE1826" s="4">
        <v>117</v>
      </c>
      <c r="AF1826" s="4">
        <v>2</v>
      </c>
      <c r="AG1826" s="4">
        <v>8</v>
      </c>
      <c r="AH1826" s="4">
        <v>61</v>
      </c>
      <c r="AI1826" s="4">
        <v>78</v>
      </c>
      <c r="AJ1826" s="4">
        <v>15</v>
      </c>
      <c r="AK1826" s="4">
        <v>23</v>
      </c>
      <c r="AL1826" s="4">
        <v>32</v>
      </c>
      <c r="AM1826" s="4">
        <v>41</v>
      </c>
      <c r="AN1826" s="4">
        <v>0</v>
      </c>
      <c r="AO1826" s="4">
        <v>0</v>
      </c>
      <c r="AP1826" s="4">
        <v>22</v>
      </c>
      <c r="AQ1826" s="4">
        <v>47</v>
      </c>
      <c r="AR1826" s="3" t="s">
        <v>62</v>
      </c>
      <c r="AS1826" s="3" t="s">
        <v>62</v>
      </c>
      <c r="AT1826" s="3" t="s">
        <v>62</v>
      </c>
      <c r="AV1826" s="6" t="str">
        <f>HYPERLINK("http://mcgill.on.worldcat.org/oclc/560546407","Catalog Record")</f>
        <v>Catalog Record</v>
      </c>
      <c r="AW1826" s="6" t="str">
        <f>HYPERLINK("http://www.worldcat.org/oclc/560546407","WorldCat Record")</f>
        <v>WorldCat Record</v>
      </c>
      <c r="AX1826" s="3" t="s">
        <v>18083</v>
      </c>
      <c r="AY1826" s="3" t="s">
        <v>18084</v>
      </c>
      <c r="AZ1826" s="3" t="s">
        <v>18085</v>
      </c>
      <c r="BA1826" s="3" t="s">
        <v>18085</v>
      </c>
      <c r="BB1826" s="3" t="s">
        <v>18086</v>
      </c>
      <c r="BC1826" s="3" t="s">
        <v>102</v>
      </c>
      <c r="BD1826" s="3" t="s">
        <v>68</v>
      </c>
      <c r="BE1826" s="3" t="s">
        <v>18087</v>
      </c>
      <c r="BF1826" s="3" t="s">
        <v>18086</v>
      </c>
      <c r="BG1826" s="3" t="s">
        <v>18088</v>
      </c>
    </row>
    <row r="1827" spans="1:59" ht="58" x14ac:dyDescent="0.35">
      <c r="A1827" s="2" t="s">
        <v>89</v>
      </c>
      <c r="B1827" s="2" t="s">
        <v>90</v>
      </c>
      <c r="C1827" s="2" t="s">
        <v>18089</v>
      </c>
      <c r="D1827" s="2" t="s">
        <v>18090</v>
      </c>
      <c r="E1827" s="2" t="s">
        <v>18091</v>
      </c>
      <c r="G1827" s="3" t="s">
        <v>62</v>
      </c>
      <c r="I1827" s="3" t="s">
        <v>62</v>
      </c>
      <c r="J1827" s="3" t="s">
        <v>62</v>
      </c>
      <c r="K1827" s="3" t="s">
        <v>63</v>
      </c>
      <c r="L1827" s="2" t="s">
        <v>18092</v>
      </c>
      <c r="M1827" s="2" t="s">
        <v>18093</v>
      </c>
      <c r="N1827" s="3" t="s">
        <v>568</v>
      </c>
      <c r="P1827" s="3" t="s">
        <v>64</v>
      </c>
      <c r="R1827" s="3" t="s">
        <v>13065</v>
      </c>
      <c r="S1827" s="4">
        <v>42</v>
      </c>
      <c r="T1827" s="4">
        <v>42</v>
      </c>
      <c r="U1827" s="5" t="s">
        <v>357</v>
      </c>
      <c r="V1827" s="5" t="s">
        <v>357</v>
      </c>
      <c r="W1827" s="5" t="s">
        <v>67</v>
      </c>
      <c r="X1827" s="5" t="s">
        <v>67</v>
      </c>
      <c r="Y1827" s="4">
        <v>73</v>
      </c>
      <c r="Z1827" s="4">
        <v>46</v>
      </c>
      <c r="AA1827" s="4">
        <v>152</v>
      </c>
      <c r="AB1827" s="4">
        <v>2</v>
      </c>
      <c r="AC1827" s="4">
        <v>23</v>
      </c>
      <c r="AD1827" s="4">
        <v>41</v>
      </c>
      <c r="AE1827" s="4">
        <v>168</v>
      </c>
      <c r="AF1827" s="4">
        <v>1</v>
      </c>
      <c r="AG1827" s="4">
        <v>10</v>
      </c>
      <c r="AH1827" s="4">
        <v>19</v>
      </c>
      <c r="AI1827" s="4">
        <v>113</v>
      </c>
      <c r="AJ1827" s="4">
        <v>18</v>
      </c>
      <c r="AK1827" s="4">
        <v>30</v>
      </c>
      <c r="AL1827" s="4">
        <v>9</v>
      </c>
      <c r="AM1827" s="4">
        <v>58</v>
      </c>
      <c r="AN1827" s="4">
        <v>0</v>
      </c>
      <c r="AO1827" s="4">
        <v>0</v>
      </c>
      <c r="AP1827" s="4">
        <v>29</v>
      </c>
      <c r="AQ1827" s="4">
        <v>61</v>
      </c>
      <c r="AR1827" s="3" t="s">
        <v>61</v>
      </c>
      <c r="AS1827" s="3" t="s">
        <v>62</v>
      </c>
      <c r="AT1827" s="3" t="s">
        <v>62</v>
      </c>
      <c r="AV1827" s="6" t="str">
        <f>HYPERLINK("http://mcgill.on.worldcat.org/oclc/43507865","Catalog Record")</f>
        <v>Catalog Record</v>
      </c>
      <c r="AW1827" s="6" t="str">
        <f>HYPERLINK("http://www.worldcat.org/oclc/43507865","WorldCat Record")</f>
        <v>WorldCat Record</v>
      </c>
      <c r="AX1827" s="3" t="s">
        <v>18094</v>
      </c>
      <c r="AY1827" s="3" t="s">
        <v>18095</v>
      </c>
      <c r="AZ1827" s="3" t="s">
        <v>18096</v>
      </c>
      <c r="BA1827" s="3" t="s">
        <v>18096</v>
      </c>
      <c r="BB1827" s="3" t="s">
        <v>18097</v>
      </c>
      <c r="BC1827" s="3" t="s">
        <v>102</v>
      </c>
      <c r="BD1827" s="3" t="s">
        <v>68</v>
      </c>
      <c r="BE1827" s="3" t="s">
        <v>18098</v>
      </c>
      <c r="BF1827" s="3" t="s">
        <v>18097</v>
      </c>
      <c r="BG1827" s="3" t="s">
        <v>18099</v>
      </c>
    </row>
    <row r="1828" spans="1:59" ht="58" x14ac:dyDescent="0.35">
      <c r="A1828" s="2" t="s">
        <v>89</v>
      </c>
      <c r="B1828" s="2" t="s">
        <v>90</v>
      </c>
      <c r="C1828" s="2" t="s">
        <v>18100</v>
      </c>
      <c r="D1828" s="2" t="s">
        <v>18101</v>
      </c>
      <c r="E1828" s="2" t="s">
        <v>18102</v>
      </c>
      <c r="G1828" s="3" t="s">
        <v>62</v>
      </c>
      <c r="I1828" s="3" t="s">
        <v>62</v>
      </c>
      <c r="J1828" s="3" t="s">
        <v>62</v>
      </c>
      <c r="K1828" s="3" t="s">
        <v>63</v>
      </c>
      <c r="M1828" s="2" t="s">
        <v>18103</v>
      </c>
      <c r="N1828" s="3" t="s">
        <v>2000</v>
      </c>
      <c r="P1828" s="3" t="s">
        <v>64</v>
      </c>
      <c r="R1828" s="3" t="s">
        <v>13065</v>
      </c>
      <c r="S1828" s="4">
        <v>33</v>
      </c>
      <c r="T1828" s="4">
        <v>33</v>
      </c>
      <c r="U1828" s="5" t="s">
        <v>18104</v>
      </c>
      <c r="V1828" s="5" t="s">
        <v>18104</v>
      </c>
      <c r="W1828" s="5" t="s">
        <v>67</v>
      </c>
      <c r="X1828" s="5" t="s">
        <v>67</v>
      </c>
      <c r="Y1828" s="4">
        <v>348</v>
      </c>
      <c r="Z1828" s="4">
        <v>18</v>
      </c>
      <c r="AA1828" s="4">
        <v>22</v>
      </c>
      <c r="AB1828" s="4">
        <v>1</v>
      </c>
      <c r="AC1828" s="4">
        <v>3</v>
      </c>
      <c r="AD1828" s="4">
        <v>71</v>
      </c>
      <c r="AE1828" s="4">
        <v>74</v>
      </c>
      <c r="AF1828" s="4">
        <v>0</v>
      </c>
      <c r="AG1828" s="4">
        <v>1</v>
      </c>
      <c r="AH1828" s="4">
        <v>61</v>
      </c>
      <c r="AI1828" s="4">
        <v>62</v>
      </c>
      <c r="AJ1828" s="4">
        <v>8</v>
      </c>
      <c r="AK1828" s="4">
        <v>10</v>
      </c>
      <c r="AL1828" s="4">
        <v>37</v>
      </c>
      <c r="AM1828" s="4">
        <v>38</v>
      </c>
      <c r="AN1828" s="4">
        <v>0</v>
      </c>
      <c r="AO1828" s="4">
        <v>0</v>
      </c>
      <c r="AP1828" s="4">
        <v>12</v>
      </c>
      <c r="AQ1828" s="4">
        <v>14</v>
      </c>
      <c r="AR1828" s="3" t="s">
        <v>62</v>
      </c>
      <c r="AS1828" s="3" t="s">
        <v>62</v>
      </c>
      <c r="AT1828" s="3" t="s">
        <v>61</v>
      </c>
      <c r="AU1828" s="6" t="str">
        <f>HYPERLINK("http://catalog.hathitrust.org/Record/003959821","HathiTrust Record")</f>
        <v>HathiTrust Record</v>
      </c>
      <c r="AV1828" s="6" t="str">
        <f>HYPERLINK("http://mcgill.on.worldcat.org/oclc/34474655","Catalog Record")</f>
        <v>Catalog Record</v>
      </c>
      <c r="AW1828" s="6" t="str">
        <f>HYPERLINK("http://www.worldcat.org/oclc/34474655","WorldCat Record")</f>
        <v>WorldCat Record</v>
      </c>
      <c r="AX1828" s="3" t="s">
        <v>18105</v>
      </c>
      <c r="AY1828" s="3" t="s">
        <v>18106</v>
      </c>
      <c r="AZ1828" s="3" t="s">
        <v>18107</v>
      </c>
      <c r="BA1828" s="3" t="s">
        <v>18107</v>
      </c>
      <c r="BB1828" s="3" t="s">
        <v>18108</v>
      </c>
      <c r="BC1828" s="3" t="s">
        <v>102</v>
      </c>
      <c r="BD1828" s="3" t="s">
        <v>68</v>
      </c>
      <c r="BE1828" s="3" t="s">
        <v>18109</v>
      </c>
      <c r="BF1828" s="3" t="s">
        <v>18108</v>
      </c>
      <c r="BG1828" s="3" t="s">
        <v>18110</v>
      </c>
    </row>
    <row r="1829" spans="1:59" ht="58" x14ac:dyDescent="0.35">
      <c r="A1829" s="2" t="s">
        <v>89</v>
      </c>
      <c r="B1829" s="2" t="s">
        <v>90</v>
      </c>
      <c r="C1829" s="2" t="s">
        <v>18111</v>
      </c>
      <c r="D1829" s="2" t="s">
        <v>18112</v>
      </c>
      <c r="E1829" s="2" t="s">
        <v>18113</v>
      </c>
      <c r="G1829" s="3" t="s">
        <v>62</v>
      </c>
      <c r="I1829" s="3" t="s">
        <v>62</v>
      </c>
      <c r="J1829" s="3" t="s">
        <v>62</v>
      </c>
      <c r="K1829" s="3" t="s">
        <v>63</v>
      </c>
      <c r="M1829" s="2" t="s">
        <v>18114</v>
      </c>
      <c r="N1829" s="3" t="s">
        <v>568</v>
      </c>
      <c r="P1829" s="3" t="s">
        <v>64</v>
      </c>
      <c r="R1829" s="3" t="s">
        <v>13065</v>
      </c>
      <c r="S1829" s="4">
        <v>31</v>
      </c>
      <c r="T1829" s="4">
        <v>31</v>
      </c>
      <c r="U1829" s="5" t="s">
        <v>5146</v>
      </c>
      <c r="V1829" s="5" t="s">
        <v>5146</v>
      </c>
      <c r="W1829" s="5" t="s">
        <v>67</v>
      </c>
      <c r="X1829" s="5" t="s">
        <v>67</v>
      </c>
      <c r="Y1829" s="4">
        <v>457</v>
      </c>
      <c r="Z1829" s="4">
        <v>38</v>
      </c>
      <c r="AA1829" s="4">
        <v>51</v>
      </c>
      <c r="AB1829" s="4">
        <v>3</v>
      </c>
      <c r="AC1829" s="4">
        <v>8</v>
      </c>
      <c r="AD1829" s="4">
        <v>99</v>
      </c>
      <c r="AE1829" s="4">
        <v>115</v>
      </c>
      <c r="AF1829" s="4">
        <v>1</v>
      </c>
      <c r="AG1829" s="4">
        <v>5</v>
      </c>
      <c r="AH1829" s="4">
        <v>78</v>
      </c>
      <c r="AI1829" s="4">
        <v>86</v>
      </c>
      <c r="AJ1829" s="4">
        <v>19</v>
      </c>
      <c r="AK1829" s="4">
        <v>25</v>
      </c>
      <c r="AL1829" s="4">
        <v>46</v>
      </c>
      <c r="AM1829" s="4">
        <v>48</v>
      </c>
      <c r="AN1829" s="4">
        <v>0</v>
      </c>
      <c r="AO1829" s="4">
        <v>0</v>
      </c>
      <c r="AP1829" s="4">
        <v>29</v>
      </c>
      <c r="AQ1829" s="4">
        <v>38</v>
      </c>
      <c r="AR1829" s="3" t="s">
        <v>62</v>
      </c>
      <c r="AS1829" s="3" t="s">
        <v>62</v>
      </c>
      <c r="AT1829" s="3" t="s">
        <v>62</v>
      </c>
      <c r="AV1829" s="6" t="str">
        <f>HYPERLINK("http://mcgill.on.worldcat.org/oclc/59454857","Catalog Record")</f>
        <v>Catalog Record</v>
      </c>
      <c r="AW1829" s="6" t="str">
        <f>HYPERLINK("http://www.worldcat.org/oclc/59454857","WorldCat Record")</f>
        <v>WorldCat Record</v>
      </c>
      <c r="AX1829" s="3" t="s">
        <v>18115</v>
      </c>
      <c r="AY1829" s="3" t="s">
        <v>18116</v>
      </c>
      <c r="AZ1829" s="3" t="s">
        <v>18117</v>
      </c>
      <c r="BA1829" s="3" t="s">
        <v>18117</v>
      </c>
      <c r="BB1829" s="3" t="s">
        <v>18118</v>
      </c>
      <c r="BC1829" s="3" t="s">
        <v>102</v>
      </c>
      <c r="BD1829" s="3" t="s">
        <v>68</v>
      </c>
      <c r="BE1829" s="3" t="s">
        <v>18119</v>
      </c>
      <c r="BF1829" s="3" t="s">
        <v>18118</v>
      </c>
      <c r="BG1829" s="3" t="s">
        <v>18120</v>
      </c>
    </row>
    <row r="1830" spans="1:59" ht="58" x14ac:dyDescent="0.35">
      <c r="A1830" s="2" t="s">
        <v>89</v>
      </c>
      <c r="B1830" s="2" t="s">
        <v>90</v>
      </c>
      <c r="C1830" s="2" t="s">
        <v>18121</v>
      </c>
      <c r="D1830" s="2" t="s">
        <v>18122</v>
      </c>
      <c r="E1830" s="2" t="s">
        <v>18123</v>
      </c>
      <c r="G1830" s="3" t="s">
        <v>62</v>
      </c>
      <c r="I1830" s="3" t="s">
        <v>62</v>
      </c>
      <c r="J1830" s="3" t="s">
        <v>62</v>
      </c>
      <c r="K1830" s="3" t="s">
        <v>63</v>
      </c>
      <c r="M1830" s="2" t="s">
        <v>9881</v>
      </c>
      <c r="N1830" s="3" t="s">
        <v>698</v>
      </c>
      <c r="P1830" s="3" t="s">
        <v>64</v>
      </c>
      <c r="Q1830" s="2" t="s">
        <v>18124</v>
      </c>
      <c r="R1830" s="3" t="s">
        <v>13065</v>
      </c>
      <c r="S1830" s="4">
        <v>2</v>
      </c>
      <c r="T1830" s="4">
        <v>2</v>
      </c>
      <c r="U1830" s="5" t="s">
        <v>18125</v>
      </c>
      <c r="V1830" s="5" t="s">
        <v>18125</v>
      </c>
      <c r="W1830" s="5" t="s">
        <v>67</v>
      </c>
      <c r="X1830" s="5" t="s">
        <v>67</v>
      </c>
      <c r="Y1830" s="4">
        <v>43</v>
      </c>
      <c r="Z1830" s="4">
        <v>4</v>
      </c>
      <c r="AA1830" s="4">
        <v>98</v>
      </c>
      <c r="AB1830" s="4">
        <v>1</v>
      </c>
      <c r="AC1830" s="4">
        <v>14</v>
      </c>
      <c r="AD1830" s="4">
        <v>17</v>
      </c>
      <c r="AE1830" s="4">
        <v>90</v>
      </c>
      <c r="AF1830" s="4">
        <v>0</v>
      </c>
      <c r="AG1830" s="4">
        <v>8</v>
      </c>
      <c r="AH1830" s="4">
        <v>13</v>
      </c>
      <c r="AI1830" s="4">
        <v>53</v>
      </c>
      <c r="AJ1830" s="4">
        <v>2</v>
      </c>
      <c r="AK1830" s="4">
        <v>19</v>
      </c>
      <c r="AL1830" s="4">
        <v>11</v>
      </c>
      <c r="AM1830" s="4">
        <v>27</v>
      </c>
      <c r="AN1830" s="4">
        <v>0</v>
      </c>
      <c r="AO1830" s="4">
        <v>0</v>
      </c>
      <c r="AP1830" s="4">
        <v>3</v>
      </c>
      <c r="AQ1830" s="4">
        <v>42</v>
      </c>
      <c r="AR1830" s="3" t="s">
        <v>62</v>
      </c>
      <c r="AS1830" s="3" t="s">
        <v>62</v>
      </c>
      <c r="AT1830" s="3" t="s">
        <v>62</v>
      </c>
      <c r="AV1830" s="6" t="str">
        <f>HYPERLINK("http://mcgill.on.worldcat.org/oclc/820106429","Catalog Record")</f>
        <v>Catalog Record</v>
      </c>
      <c r="AW1830" s="6" t="str">
        <f>HYPERLINK("http://www.worldcat.org/oclc/820106429","WorldCat Record")</f>
        <v>WorldCat Record</v>
      </c>
      <c r="AX1830" s="3" t="s">
        <v>18126</v>
      </c>
      <c r="AY1830" s="3" t="s">
        <v>18127</v>
      </c>
      <c r="AZ1830" s="3" t="s">
        <v>18128</v>
      </c>
      <c r="BA1830" s="3" t="s">
        <v>18128</v>
      </c>
      <c r="BB1830" s="3" t="s">
        <v>18129</v>
      </c>
      <c r="BC1830" s="3" t="s">
        <v>102</v>
      </c>
      <c r="BD1830" s="3" t="s">
        <v>68</v>
      </c>
      <c r="BE1830" s="3" t="s">
        <v>18130</v>
      </c>
      <c r="BF1830" s="3" t="s">
        <v>18129</v>
      </c>
      <c r="BG1830" s="3" t="s">
        <v>18131</v>
      </c>
    </row>
    <row r="1831" spans="1:59" ht="58" x14ac:dyDescent="0.35">
      <c r="A1831" s="2" t="s">
        <v>89</v>
      </c>
      <c r="B1831" s="2" t="s">
        <v>90</v>
      </c>
      <c r="C1831" s="2" t="s">
        <v>18132</v>
      </c>
      <c r="D1831" s="2" t="s">
        <v>18133</v>
      </c>
      <c r="E1831" s="2" t="s">
        <v>18134</v>
      </c>
      <c r="G1831" s="3" t="s">
        <v>62</v>
      </c>
      <c r="I1831" s="3" t="s">
        <v>62</v>
      </c>
      <c r="J1831" s="3" t="s">
        <v>62</v>
      </c>
      <c r="K1831" s="3" t="s">
        <v>63</v>
      </c>
      <c r="L1831" s="2" t="s">
        <v>18135</v>
      </c>
      <c r="M1831" s="2" t="s">
        <v>18136</v>
      </c>
      <c r="N1831" s="3" t="s">
        <v>1482</v>
      </c>
      <c r="P1831" s="3" t="s">
        <v>64</v>
      </c>
      <c r="Q1831" s="2" t="s">
        <v>18137</v>
      </c>
      <c r="R1831" s="3" t="s">
        <v>13065</v>
      </c>
      <c r="S1831" s="4">
        <v>4</v>
      </c>
      <c r="T1831" s="4">
        <v>4</v>
      </c>
      <c r="U1831" s="5" t="s">
        <v>18138</v>
      </c>
      <c r="V1831" s="5" t="s">
        <v>18138</v>
      </c>
      <c r="W1831" s="5" t="s">
        <v>67</v>
      </c>
      <c r="X1831" s="5" t="s">
        <v>67</v>
      </c>
      <c r="Y1831" s="4">
        <v>362</v>
      </c>
      <c r="Z1831" s="4">
        <v>20</v>
      </c>
      <c r="AA1831" s="4">
        <v>23</v>
      </c>
      <c r="AB1831" s="4">
        <v>1</v>
      </c>
      <c r="AC1831" s="4">
        <v>4</v>
      </c>
      <c r="AD1831" s="4">
        <v>104</v>
      </c>
      <c r="AE1831" s="4">
        <v>109</v>
      </c>
      <c r="AF1831" s="4">
        <v>0</v>
      </c>
      <c r="AG1831" s="4">
        <v>3</v>
      </c>
      <c r="AH1831" s="4">
        <v>92</v>
      </c>
      <c r="AI1831" s="4">
        <v>95</v>
      </c>
      <c r="AJ1831" s="4">
        <v>15</v>
      </c>
      <c r="AK1831" s="4">
        <v>17</v>
      </c>
      <c r="AL1831" s="4">
        <v>53</v>
      </c>
      <c r="AM1831" s="4">
        <v>53</v>
      </c>
      <c r="AN1831" s="4">
        <v>0</v>
      </c>
      <c r="AO1831" s="4">
        <v>0</v>
      </c>
      <c r="AP1831" s="4">
        <v>16</v>
      </c>
      <c r="AQ1831" s="4">
        <v>19</v>
      </c>
      <c r="AR1831" s="3" t="s">
        <v>62</v>
      </c>
      <c r="AS1831" s="3" t="s">
        <v>62</v>
      </c>
      <c r="AT1831" s="3" t="s">
        <v>62</v>
      </c>
      <c r="AV1831" s="6" t="str">
        <f>HYPERLINK("http://mcgill.on.worldcat.org/oclc/12970534","Catalog Record")</f>
        <v>Catalog Record</v>
      </c>
      <c r="AW1831" s="6" t="str">
        <f>HYPERLINK("http://www.worldcat.org/oclc/12970534","WorldCat Record")</f>
        <v>WorldCat Record</v>
      </c>
      <c r="AX1831" s="3" t="s">
        <v>18139</v>
      </c>
      <c r="AY1831" s="3" t="s">
        <v>18140</v>
      </c>
      <c r="AZ1831" s="3" t="s">
        <v>18141</v>
      </c>
      <c r="BA1831" s="3" t="s">
        <v>18141</v>
      </c>
      <c r="BB1831" s="3" t="s">
        <v>18142</v>
      </c>
      <c r="BC1831" s="3" t="s">
        <v>102</v>
      </c>
      <c r="BD1831" s="3" t="s">
        <v>68</v>
      </c>
      <c r="BE1831" s="3" t="s">
        <v>18143</v>
      </c>
      <c r="BF1831" s="3" t="s">
        <v>18142</v>
      </c>
      <c r="BG1831" s="3" t="s">
        <v>18144</v>
      </c>
    </row>
    <row r="1832" spans="1:59" ht="58" x14ac:dyDescent="0.35">
      <c r="A1832" s="2" t="s">
        <v>89</v>
      </c>
      <c r="B1832" s="2" t="s">
        <v>90</v>
      </c>
      <c r="C1832" s="2" t="s">
        <v>18145</v>
      </c>
      <c r="D1832" s="2" t="s">
        <v>18146</v>
      </c>
      <c r="E1832" s="2" t="s">
        <v>18147</v>
      </c>
      <c r="G1832" s="3" t="s">
        <v>62</v>
      </c>
      <c r="I1832" s="3" t="s">
        <v>62</v>
      </c>
      <c r="J1832" s="3" t="s">
        <v>62</v>
      </c>
      <c r="K1832" s="3" t="s">
        <v>63</v>
      </c>
      <c r="M1832" s="2" t="s">
        <v>18148</v>
      </c>
      <c r="N1832" s="3" t="s">
        <v>553</v>
      </c>
      <c r="P1832" s="3" t="s">
        <v>64</v>
      </c>
      <c r="R1832" s="3" t="s">
        <v>13065</v>
      </c>
      <c r="S1832" s="4">
        <v>8</v>
      </c>
      <c r="T1832" s="4">
        <v>8</v>
      </c>
      <c r="U1832" s="5" t="s">
        <v>18138</v>
      </c>
      <c r="V1832" s="5" t="s">
        <v>18138</v>
      </c>
      <c r="W1832" s="5" t="s">
        <v>67</v>
      </c>
      <c r="X1832" s="5" t="s">
        <v>67</v>
      </c>
      <c r="Y1832" s="4">
        <v>117</v>
      </c>
      <c r="Z1832" s="4">
        <v>11</v>
      </c>
      <c r="AA1832" s="4">
        <v>18</v>
      </c>
      <c r="AB1832" s="4">
        <v>2</v>
      </c>
      <c r="AC1832" s="4">
        <v>3</v>
      </c>
      <c r="AD1832" s="4">
        <v>29</v>
      </c>
      <c r="AE1832" s="4">
        <v>80</v>
      </c>
      <c r="AF1832" s="4">
        <v>1</v>
      </c>
      <c r="AG1832" s="4">
        <v>1</v>
      </c>
      <c r="AH1832" s="4">
        <v>23</v>
      </c>
      <c r="AI1832" s="4">
        <v>71</v>
      </c>
      <c r="AJ1832" s="4">
        <v>7</v>
      </c>
      <c r="AK1832" s="4">
        <v>10</v>
      </c>
      <c r="AL1832" s="4">
        <v>12</v>
      </c>
      <c r="AM1832" s="4">
        <v>41</v>
      </c>
      <c r="AN1832" s="4">
        <v>0</v>
      </c>
      <c r="AO1832" s="4">
        <v>0</v>
      </c>
      <c r="AP1832" s="4">
        <v>8</v>
      </c>
      <c r="AQ1832" s="4">
        <v>12</v>
      </c>
      <c r="AR1832" s="3" t="s">
        <v>62</v>
      </c>
      <c r="AS1832" s="3" t="s">
        <v>62</v>
      </c>
      <c r="AT1832" s="3" t="s">
        <v>62</v>
      </c>
      <c r="AV1832" s="6" t="str">
        <f>HYPERLINK("http://mcgill.on.worldcat.org/oclc/42517768","Catalog Record")</f>
        <v>Catalog Record</v>
      </c>
      <c r="AW1832" s="6" t="str">
        <f>HYPERLINK("http://www.worldcat.org/oclc/42517768","WorldCat Record")</f>
        <v>WorldCat Record</v>
      </c>
      <c r="AX1832" s="3" t="s">
        <v>18149</v>
      </c>
      <c r="AY1832" s="3" t="s">
        <v>18150</v>
      </c>
      <c r="AZ1832" s="3" t="s">
        <v>18151</v>
      </c>
      <c r="BA1832" s="3" t="s">
        <v>18151</v>
      </c>
      <c r="BB1832" s="3" t="s">
        <v>18152</v>
      </c>
      <c r="BC1832" s="3" t="s">
        <v>102</v>
      </c>
      <c r="BD1832" s="3" t="s">
        <v>68</v>
      </c>
      <c r="BE1832" s="3" t="s">
        <v>18153</v>
      </c>
      <c r="BF1832" s="3" t="s">
        <v>18152</v>
      </c>
      <c r="BG1832" s="3" t="s">
        <v>18154</v>
      </c>
    </row>
    <row r="1833" spans="1:59" ht="58" x14ac:dyDescent="0.35">
      <c r="A1833" s="2" t="s">
        <v>89</v>
      </c>
      <c r="B1833" s="2" t="s">
        <v>90</v>
      </c>
      <c r="C1833" s="2" t="s">
        <v>18155</v>
      </c>
      <c r="D1833" s="2" t="s">
        <v>18156</v>
      </c>
      <c r="E1833" s="2" t="s">
        <v>18157</v>
      </c>
      <c r="G1833" s="3" t="s">
        <v>62</v>
      </c>
      <c r="I1833" s="3" t="s">
        <v>62</v>
      </c>
      <c r="J1833" s="3" t="s">
        <v>62</v>
      </c>
      <c r="K1833" s="3" t="s">
        <v>63</v>
      </c>
      <c r="M1833" s="2" t="s">
        <v>18158</v>
      </c>
      <c r="N1833" s="3" t="s">
        <v>553</v>
      </c>
      <c r="P1833" s="3" t="s">
        <v>64</v>
      </c>
      <c r="Q1833" s="2" t="s">
        <v>18159</v>
      </c>
      <c r="R1833" s="3" t="s">
        <v>13065</v>
      </c>
      <c r="S1833" s="4">
        <v>22</v>
      </c>
      <c r="T1833" s="4">
        <v>22</v>
      </c>
      <c r="U1833" s="5" t="s">
        <v>18138</v>
      </c>
      <c r="V1833" s="5" t="s">
        <v>18138</v>
      </c>
      <c r="W1833" s="5" t="s">
        <v>67</v>
      </c>
      <c r="X1833" s="5" t="s">
        <v>67</v>
      </c>
      <c r="Y1833" s="4">
        <v>708</v>
      </c>
      <c r="Z1833" s="4">
        <v>38</v>
      </c>
      <c r="AA1833" s="4">
        <v>133</v>
      </c>
      <c r="AB1833" s="4">
        <v>2</v>
      </c>
      <c r="AC1833" s="4">
        <v>18</v>
      </c>
      <c r="AD1833" s="4">
        <v>113</v>
      </c>
      <c r="AE1833" s="4">
        <v>155</v>
      </c>
      <c r="AF1833" s="4">
        <v>1</v>
      </c>
      <c r="AG1833" s="4">
        <v>9</v>
      </c>
      <c r="AH1833" s="4">
        <v>95</v>
      </c>
      <c r="AI1833" s="4">
        <v>108</v>
      </c>
      <c r="AJ1833" s="4">
        <v>18</v>
      </c>
      <c r="AK1833" s="4">
        <v>27</v>
      </c>
      <c r="AL1833" s="4">
        <v>50</v>
      </c>
      <c r="AM1833" s="4">
        <v>55</v>
      </c>
      <c r="AN1833" s="4">
        <v>0</v>
      </c>
      <c r="AO1833" s="4">
        <v>0</v>
      </c>
      <c r="AP1833" s="4">
        <v>26</v>
      </c>
      <c r="AQ1833" s="4">
        <v>57</v>
      </c>
      <c r="AR1833" s="3" t="s">
        <v>62</v>
      </c>
      <c r="AS1833" s="3" t="s">
        <v>62</v>
      </c>
      <c r="AT1833" s="3" t="s">
        <v>62</v>
      </c>
      <c r="AV1833" s="6" t="str">
        <f>HYPERLINK("http://mcgill.on.worldcat.org/oclc/39235692","Catalog Record")</f>
        <v>Catalog Record</v>
      </c>
      <c r="AW1833" s="6" t="str">
        <f>HYPERLINK("http://www.worldcat.org/oclc/39235692","WorldCat Record")</f>
        <v>WorldCat Record</v>
      </c>
      <c r="AX1833" s="3" t="s">
        <v>18160</v>
      </c>
      <c r="AY1833" s="3" t="s">
        <v>18161</v>
      </c>
      <c r="AZ1833" s="3" t="s">
        <v>18162</v>
      </c>
      <c r="BA1833" s="3" t="s">
        <v>18162</v>
      </c>
      <c r="BB1833" s="3" t="s">
        <v>18163</v>
      </c>
      <c r="BC1833" s="3" t="s">
        <v>102</v>
      </c>
      <c r="BD1833" s="3" t="s">
        <v>68</v>
      </c>
      <c r="BE1833" s="3" t="s">
        <v>18164</v>
      </c>
      <c r="BF1833" s="3" t="s">
        <v>18163</v>
      </c>
      <c r="BG1833" s="3" t="s">
        <v>18165</v>
      </c>
    </row>
    <row r="1834" spans="1:59" ht="58" x14ac:dyDescent="0.35">
      <c r="A1834" s="2" t="s">
        <v>89</v>
      </c>
      <c r="B1834" s="2" t="s">
        <v>90</v>
      </c>
      <c r="C1834" s="2" t="s">
        <v>18166</v>
      </c>
      <c r="D1834" s="2" t="s">
        <v>18167</v>
      </c>
      <c r="E1834" s="2" t="s">
        <v>18168</v>
      </c>
      <c r="G1834" s="3" t="s">
        <v>62</v>
      </c>
      <c r="I1834" s="3" t="s">
        <v>62</v>
      </c>
      <c r="J1834" s="3" t="s">
        <v>62</v>
      </c>
      <c r="K1834" s="3" t="s">
        <v>63</v>
      </c>
      <c r="M1834" s="2" t="s">
        <v>18169</v>
      </c>
      <c r="N1834" s="3" t="s">
        <v>1038</v>
      </c>
      <c r="P1834" s="3" t="s">
        <v>64</v>
      </c>
      <c r="Q1834" s="2" t="s">
        <v>18170</v>
      </c>
      <c r="R1834" s="3" t="s">
        <v>13065</v>
      </c>
      <c r="S1834" s="4">
        <v>3</v>
      </c>
      <c r="T1834" s="4">
        <v>3</v>
      </c>
      <c r="U1834" s="5" t="s">
        <v>5681</v>
      </c>
      <c r="V1834" s="5" t="s">
        <v>5681</v>
      </c>
      <c r="W1834" s="5" t="s">
        <v>67</v>
      </c>
      <c r="X1834" s="5" t="s">
        <v>67</v>
      </c>
      <c r="Y1834" s="4">
        <v>194</v>
      </c>
      <c r="Z1834" s="4">
        <v>13</v>
      </c>
      <c r="AA1834" s="4">
        <v>37</v>
      </c>
      <c r="AB1834" s="4">
        <v>3</v>
      </c>
      <c r="AC1834" s="4">
        <v>11</v>
      </c>
      <c r="AD1834" s="4">
        <v>45</v>
      </c>
      <c r="AE1834" s="4">
        <v>82</v>
      </c>
      <c r="AF1834" s="4">
        <v>1</v>
      </c>
      <c r="AG1834" s="4">
        <v>5</v>
      </c>
      <c r="AH1834" s="4">
        <v>36</v>
      </c>
      <c r="AI1834" s="4">
        <v>64</v>
      </c>
      <c r="AJ1834" s="4">
        <v>5</v>
      </c>
      <c r="AK1834" s="4">
        <v>13</v>
      </c>
      <c r="AL1834" s="4">
        <v>23</v>
      </c>
      <c r="AM1834" s="4">
        <v>38</v>
      </c>
      <c r="AN1834" s="4">
        <v>0</v>
      </c>
      <c r="AO1834" s="4">
        <v>0</v>
      </c>
      <c r="AP1834" s="4">
        <v>10</v>
      </c>
      <c r="AQ1834" s="4">
        <v>23</v>
      </c>
      <c r="AR1834" s="3" t="s">
        <v>62</v>
      </c>
      <c r="AS1834" s="3" t="s">
        <v>62</v>
      </c>
      <c r="AT1834" s="3" t="s">
        <v>62</v>
      </c>
      <c r="AV1834" s="6" t="str">
        <f>HYPERLINK("http://mcgill.on.worldcat.org/oclc/930875140","Catalog Record")</f>
        <v>Catalog Record</v>
      </c>
      <c r="AW1834" s="6" t="str">
        <f>HYPERLINK("http://www.worldcat.org/oclc/930875140","WorldCat Record")</f>
        <v>WorldCat Record</v>
      </c>
      <c r="AX1834" s="3" t="s">
        <v>18171</v>
      </c>
      <c r="AY1834" s="3" t="s">
        <v>18172</v>
      </c>
      <c r="AZ1834" s="3" t="s">
        <v>18173</v>
      </c>
      <c r="BA1834" s="3" t="s">
        <v>18173</v>
      </c>
      <c r="BB1834" s="3" t="s">
        <v>18174</v>
      </c>
      <c r="BC1834" s="3" t="s">
        <v>102</v>
      </c>
      <c r="BD1834" s="3" t="s">
        <v>68</v>
      </c>
      <c r="BE1834" s="3" t="s">
        <v>18175</v>
      </c>
      <c r="BF1834" s="3" t="s">
        <v>18174</v>
      </c>
      <c r="BG1834" s="3" t="s">
        <v>18176</v>
      </c>
    </row>
    <row r="1835" spans="1:59" ht="58" x14ac:dyDescent="0.35">
      <c r="A1835" s="2" t="s">
        <v>89</v>
      </c>
      <c r="B1835" s="2" t="s">
        <v>90</v>
      </c>
      <c r="C1835" s="2" t="s">
        <v>18177</v>
      </c>
      <c r="D1835" s="2" t="s">
        <v>18178</v>
      </c>
      <c r="E1835" s="2" t="s">
        <v>18179</v>
      </c>
      <c r="G1835" s="3" t="s">
        <v>62</v>
      </c>
      <c r="I1835" s="3" t="s">
        <v>62</v>
      </c>
      <c r="J1835" s="3" t="s">
        <v>62</v>
      </c>
      <c r="K1835" s="3" t="s">
        <v>63</v>
      </c>
      <c r="M1835" s="2" t="s">
        <v>13557</v>
      </c>
      <c r="N1835" s="3" t="s">
        <v>880</v>
      </c>
      <c r="P1835" s="3" t="s">
        <v>64</v>
      </c>
      <c r="Q1835" s="2" t="s">
        <v>18180</v>
      </c>
      <c r="R1835" s="3" t="s">
        <v>13065</v>
      </c>
      <c r="S1835" s="4">
        <v>3</v>
      </c>
      <c r="T1835" s="4">
        <v>3</v>
      </c>
      <c r="U1835" s="5" t="s">
        <v>18181</v>
      </c>
      <c r="V1835" s="5" t="s">
        <v>18181</v>
      </c>
      <c r="W1835" s="5" t="s">
        <v>67</v>
      </c>
      <c r="X1835" s="5" t="s">
        <v>67</v>
      </c>
      <c r="Y1835" s="4">
        <v>205</v>
      </c>
      <c r="Z1835" s="4">
        <v>13</v>
      </c>
      <c r="AA1835" s="4">
        <v>101</v>
      </c>
      <c r="AB1835" s="4">
        <v>1</v>
      </c>
      <c r="AC1835" s="4">
        <v>18</v>
      </c>
      <c r="AD1835" s="4">
        <v>50</v>
      </c>
      <c r="AE1835" s="4">
        <v>124</v>
      </c>
      <c r="AF1835" s="4">
        <v>0</v>
      </c>
      <c r="AG1835" s="4">
        <v>9</v>
      </c>
      <c r="AH1835" s="4">
        <v>44</v>
      </c>
      <c r="AI1835" s="4">
        <v>84</v>
      </c>
      <c r="AJ1835" s="4">
        <v>6</v>
      </c>
      <c r="AK1835" s="4">
        <v>23</v>
      </c>
      <c r="AL1835" s="4">
        <v>30</v>
      </c>
      <c r="AM1835" s="4">
        <v>47</v>
      </c>
      <c r="AN1835" s="4">
        <v>0</v>
      </c>
      <c r="AO1835" s="4">
        <v>0</v>
      </c>
      <c r="AP1835" s="4">
        <v>9</v>
      </c>
      <c r="AQ1835" s="4">
        <v>47</v>
      </c>
      <c r="AR1835" s="3" t="s">
        <v>62</v>
      </c>
      <c r="AS1835" s="3" t="s">
        <v>62</v>
      </c>
      <c r="AT1835" s="3" t="s">
        <v>62</v>
      </c>
      <c r="AV1835" s="6" t="str">
        <f>HYPERLINK("http://mcgill.on.worldcat.org/oclc/650215677","Catalog Record")</f>
        <v>Catalog Record</v>
      </c>
      <c r="AW1835" s="6" t="str">
        <f>HYPERLINK("http://www.worldcat.org/oclc/650215677","WorldCat Record")</f>
        <v>WorldCat Record</v>
      </c>
      <c r="AX1835" s="3" t="s">
        <v>18182</v>
      </c>
      <c r="AY1835" s="3" t="s">
        <v>18183</v>
      </c>
      <c r="AZ1835" s="3" t="s">
        <v>18184</v>
      </c>
      <c r="BA1835" s="3" t="s">
        <v>18184</v>
      </c>
      <c r="BB1835" s="3" t="s">
        <v>18185</v>
      </c>
      <c r="BC1835" s="3" t="s">
        <v>102</v>
      </c>
      <c r="BD1835" s="3" t="s">
        <v>68</v>
      </c>
      <c r="BE1835" s="3" t="s">
        <v>18186</v>
      </c>
      <c r="BF1835" s="3" t="s">
        <v>18185</v>
      </c>
      <c r="BG1835" s="3" t="s">
        <v>18187</v>
      </c>
    </row>
    <row r="1836" spans="1:59" ht="58" x14ac:dyDescent="0.35">
      <c r="A1836" s="2" t="s">
        <v>89</v>
      </c>
      <c r="B1836" s="2" t="s">
        <v>90</v>
      </c>
      <c r="C1836" s="2" t="s">
        <v>18188</v>
      </c>
      <c r="D1836" s="2" t="s">
        <v>18189</v>
      </c>
      <c r="E1836" s="2" t="s">
        <v>18190</v>
      </c>
      <c r="G1836" s="3" t="s">
        <v>62</v>
      </c>
      <c r="I1836" s="3" t="s">
        <v>62</v>
      </c>
      <c r="J1836" s="3" t="s">
        <v>62</v>
      </c>
      <c r="K1836" s="3" t="s">
        <v>63</v>
      </c>
      <c r="M1836" s="2" t="s">
        <v>18191</v>
      </c>
      <c r="N1836" s="3" t="s">
        <v>698</v>
      </c>
      <c r="P1836" s="3" t="s">
        <v>64</v>
      </c>
      <c r="Q1836" s="2" t="s">
        <v>18192</v>
      </c>
      <c r="R1836" s="3" t="s">
        <v>13065</v>
      </c>
      <c r="S1836" s="4">
        <v>2</v>
      </c>
      <c r="T1836" s="4">
        <v>2</v>
      </c>
      <c r="U1836" s="5" t="s">
        <v>18138</v>
      </c>
      <c r="V1836" s="5" t="s">
        <v>18138</v>
      </c>
      <c r="W1836" s="5" t="s">
        <v>67</v>
      </c>
      <c r="X1836" s="5" t="s">
        <v>67</v>
      </c>
      <c r="Y1836" s="4">
        <v>38</v>
      </c>
      <c r="Z1836" s="4">
        <v>12</v>
      </c>
      <c r="AA1836" s="4">
        <v>12</v>
      </c>
      <c r="AB1836" s="4">
        <v>2</v>
      </c>
      <c r="AC1836" s="4">
        <v>2</v>
      </c>
      <c r="AD1836" s="4">
        <v>20</v>
      </c>
      <c r="AE1836" s="4">
        <v>20</v>
      </c>
      <c r="AF1836" s="4">
        <v>1</v>
      </c>
      <c r="AG1836" s="4">
        <v>1</v>
      </c>
      <c r="AH1836" s="4">
        <v>16</v>
      </c>
      <c r="AI1836" s="4">
        <v>16</v>
      </c>
      <c r="AJ1836" s="4">
        <v>8</v>
      </c>
      <c r="AK1836" s="4">
        <v>8</v>
      </c>
      <c r="AL1836" s="4">
        <v>9</v>
      </c>
      <c r="AM1836" s="4">
        <v>9</v>
      </c>
      <c r="AN1836" s="4">
        <v>0</v>
      </c>
      <c r="AO1836" s="4">
        <v>0</v>
      </c>
      <c r="AP1836" s="4">
        <v>9</v>
      </c>
      <c r="AQ1836" s="4">
        <v>9</v>
      </c>
      <c r="AR1836" s="3" t="s">
        <v>62</v>
      </c>
      <c r="AS1836" s="3" t="s">
        <v>62</v>
      </c>
      <c r="AT1836" s="3" t="s">
        <v>62</v>
      </c>
      <c r="AV1836" s="6" t="str">
        <f>HYPERLINK("http://mcgill.on.worldcat.org/oclc/820783215","Catalog Record")</f>
        <v>Catalog Record</v>
      </c>
      <c r="AW1836" s="6" t="str">
        <f>HYPERLINK("http://www.worldcat.org/oclc/820783215","WorldCat Record")</f>
        <v>WorldCat Record</v>
      </c>
      <c r="AX1836" s="3" t="s">
        <v>18193</v>
      </c>
      <c r="AY1836" s="3" t="s">
        <v>18194</v>
      </c>
      <c r="AZ1836" s="3" t="s">
        <v>18195</v>
      </c>
      <c r="BA1836" s="3" t="s">
        <v>18195</v>
      </c>
      <c r="BB1836" s="3" t="s">
        <v>18196</v>
      </c>
      <c r="BC1836" s="3" t="s">
        <v>102</v>
      </c>
      <c r="BD1836" s="3" t="s">
        <v>68</v>
      </c>
      <c r="BE1836" s="3" t="s">
        <v>18197</v>
      </c>
      <c r="BF1836" s="3" t="s">
        <v>18196</v>
      </c>
      <c r="BG1836" s="3" t="s">
        <v>18198</v>
      </c>
    </row>
    <row r="1837" spans="1:59" ht="58" x14ac:dyDescent="0.35">
      <c r="A1837" s="2" t="s">
        <v>89</v>
      </c>
      <c r="B1837" s="2" t="s">
        <v>90</v>
      </c>
      <c r="C1837" s="2" t="s">
        <v>18199</v>
      </c>
      <c r="D1837" s="2" t="s">
        <v>18200</v>
      </c>
      <c r="E1837" s="2" t="s">
        <v>18201</v>
      </c>
      <c r="G1837" s="3" t="s">
        <v>62</v>
      </c>
      <c r="I1837" s="3" t="s">
        <v>62</v>
      </c>
      <c r="J1837" s="3" t="s">
        <v>62</v>
      </c>
      <c r="K1837" s="3" t="s">
        <v>63</v>
      </c>
      <c r="L1837" s="2" t="s">
        <v>18202</v>
      </c>
      <c r="M1837" s="2" t="s">
        <v>18203</v>
      </c>
      <c r="N1837" s="3" t="s">
        <v>684</v>
      </c>
      <c r="P1837" s="3" t="s">
        <v>64</v>
      </c>
      <c r="R1837" s="3" t="s">
        <v>13065</v>
      </c>
      <c r="S1837" s="4">
        <v>16</v>
      </c>
      <c r="T1837" s="4">
        <v>16</v>
      </c>
      <c r="U1837" s="5" t="s">
        <v>6214</v>
      </c>
      <c r="V1837" s="5" t="s">
        <v>6214</v>
      </c>
      <c r="W1837" s="5" t="s">
        <v>67</v>
      </c>
      <c r="X1837" s="5" t="s">
        <v>67</v>
      </c>
      <c r="Y1837" s="4">
        <v>393</v>
      </c>
      <c r="Z1837" s="4">
        <v>15</v>
      </c>
      <c r="AA1837" s="4">
        <v>54</v>
      </c>
      <c r="AB1837" s="4">
        <v>2</v>
      </c>
      <c r="AC1837" s="4">
        <v>9</v>
      </c>
      <c r="AD1837" s="4">
        <v>60</v>
      </c>
      <c r="AE1837" s="4">
        <v>101</v>
      </c>
      <c r="AF1837" s="4">
        <v>0</v>
      </c>
      <c r="AG1837" s="4">
        <v>5</v>
      </c>
      <c r="AH1837" s="4">
        <v>52</v>
      </c>
      <c r="AI1837" s="4">
        <v>79</v>
      </c>
      <c r="AJ1837" s="4">
        <v>10</v>
      </c>
      <c r="AK1837" s="4">
        <v>18</v>
      </c>
      <c r="AL1837" s="4">
        <v>28</v>
      </c>
      <c r="AM1837" s="4">
        <v>39</v>
      </c>
      <c r="AN1837" s="4">
        <v>0</v>
      </c>
      <c r="AO1837" s="4">
        <v>0</v>
      </c>
      <c r="AP1837" s="4">
        <v>12</v>
      </c>
      <c r="AQ1837" s="4">
        <v>29</v>
      </c>
      <c r="AR1837" s="3" t="s">
        <v>62</v>
      </c>
      <c r="AS1837" s="3" t="s">
        <v>62</v>
      </c>
      <c r="AT1837" s="3" t="s">
        <v>62</v>
      </c>
      <c r="AV1837" s="6" t="str">
        <f>HYPERLINK("http://mcgill.on.worldcat.org/oclc/635494717","Catalog Record")</f>
        <v>Catalog Record</v>
      </c>
      <c r="AW1837" s="6" t="str">
        <f>HYPERLINK("http://www.worldcat.org/oclc/635494717","WorldCat Record")</f>
        <v>WorldCat Record</v>
      </c>
      <c r="AX1837" s="3" t="s">
        <v>18204</v>
      </c>
      <c r="AY1837" s="3" t="s">
        <v>18205</v>
      </c>
      <c r="AZ1837" s="3" t="s">
        <v>18206</v>
      </c>
      <c r="BA1837" s="3" t="s">
        <v>18206</v>
      </c>
      <c r="BB1837" s="3" t="s">
        <v>18207</v>
      </c>
      <c r="BC1837" s="3" t="s">
        <v>102</v>
      </c>
      <c r="BD1837" s="3" t="s">
        <v>68</v>
      </c>
      <c r="BE1837" s="3" t="s">
        <v>18208</v>
      </c>
      <c r="BF1837" s="3" t="s">
        <v>18207</v>
      </c>
      <c r="BG1837" s="3" t="s">
        <v>18209</v>
      </c>
    </row>
    <row r="1838" spans="1:59" ht="58" x14ac:dyDescent="0.35">
      <c r="A1838" s="2" t="s">
        <v>89</v>
      </c>
      <c r="B1838" s="2" t="s">
        <v>90</v>
      </c>
      <c r="C1838" s="2" t="s">
        <v>18210</v>
      </c>
      <c r="D1838" s="2" t="s">
        <v>18211</v>
      </c>
      <c r="E1838" s="2" t="s">
        <v>18212</v>
      </c>
      <c r="G1838" s="3" t="s">
        <v>62</v>
      </c>
      <c r="I1838" s="3" t="s">
        <v>62</v>
      </c>
      <c r="J1838" s="3" t="s">
        <v>62</v>
      </c>
      <c r="K1838" s="3" t="s">
        <v>63</v>
      </c>
      <c r="L1838" s="2" t="s">
        <v>18213</v>
      </c>
      <c r="M1838" s="2" t="s">
        <v>18214</v>
      </c>
      <c r="N1838" s="3" t="s">
        <v>539</v>
      </c>
      <c r="P1838" s="3" t="s">
        <v>64</v>
      </c>
      <c r="R1838" s="3" t="s">
        <v>13065</v>
      </c>
      <c r="S1838" s="4">
        <v>11</v>
      </c>
      <c r="T1838" s="4">
        <v>11</v>
      </c>
      <c r="U1838" s="5" t="s">
        <v>9305</v>
      </c>
      <c r="V1838" s="5" t="s">
        <v>9305</v>
      </c>
      <c r="W1838" s="5" t="s">
        <v>67</v>
      </c>
      <c r="X1838" s="5" t="s">
        <v>67</v>
      </c>
      <c r="Y1838" s="4">
        <v>763</v>
      </c>
      <c r="Z1838" s="4">
        <v>38</v>
      </c>
      <c r="AA1838" s="4">
        <v>48</v>
      </c>
      <c r="AB1838" s="4">
        <v>3</v>
      </c>
      <c r="AC1838" s="4">
        <v>4</v>
      </c>
      <c r="AD1838" s="4">
        <v>120</v>
      </c>
      <c r="AE1838" s="4">
        <v>126</v>
      </c>
      <c r="AF1838" s="4">
        <v>1</v>
      </c>
      <c r="AG1838" s="4">
        <v>2</v>
      </c>
      <c r="AH1838" s="4">
        <v>100</v>
      </c>
      <c r="AI1838" s="4">
        <v>103</v>
      </c>
      <c r="AJ1838" s="4">
        <v>17</v>
      </c>
      <c r="AK1838" s="4">
        <v>18</v>
      </c>
      <c r="AL1838" s="4">
        <v>54</v>
      </c>
      <c r="AM1838" s="4">
        <v>54</v>
      </c>
      <c r="AN1838" s="4">
        <v>0</v>
      </c>
      <c r="AO1838" s="4">
        <v>0</v>
      </c>
      <c r="AP1838" s="4">
        <v>26</v>
      </c>
      <c r="AQ1838" s="4">
        <v>31</v>
      </c>
      <c r="AR1838" s="3" t="s">
        <v>62</v>
      </c>
      <c r="AS1838" s="3" t="s">
        <v>62</v>
      </c>
      <c r="AT1838" s="3" t="s">
        <v>61</v>
      </c>
      <c r="AU1838" s="6" t="str">
        <f>HYPERLINK("http://catalog.hathitrust.org/Record/003999098","HathiTrust Record")</f>
        <v>HathiTrust Record</v>
      </c>
      <c r="AV1838" s="6" t="str">
        <f>HYPERLINK("http://mcgill.on.worldcat.org/oclc/38432577","Catalog Record")</f>
        <v>Catalog Record</v>
      </c>
      <c r="AW1838" s="6" t="str">
        <f>HYPERLINK("http://www.worldcat.org/oclc/38432577","WorldCat Record")</f>
        <v>WorldCat Record</v>
      </c>
      <c r="AX1838" s="3" t="s">
        <v>18215</v>
      </c>
      <c r="AY1838" s="3" t="s">
        <v>18216</v>
      </c>
      <c r="AZ1838" s="3" t="s">
        <v>18217</v>
      </c>
      <c r="BA1838" s="3" t="s">
        <v>18217</v>
      </c>
      <c r="BB1838" s="3" t="s">
        <v>18218</v>
      </c>
      <c r="BC1838" s="3" t="s">
        <v>102</v>
      </c>
      <c r="BD1838" s="3" t="s">
        <v>68</v>
      </c>
      <c r="BE1838" s="3" t="s">
        <v>18219</v>
      </c>
      <c r="BF1838" s="3" t="s">
        <v>18218</v>
      </c>
      <c r="BG1838" s="3" t="s">
        <v>18220</v>
      </c>
    </row>
    <row r="1839" spans="1:59" ht="58" x14ac:dyDescent="0.35">
      <c r="A1839" s="2" t="s">
        <v>89</v>
      </c>
      <c r="B1839" s="2" t="s">
        <v>90</v>
      </c>
      <c r="C1839" s="2" t="s">
        <v>18221</v>
      </c>
      <c r="D1839" s="2" t="s">
        <v>18222</v>
      </c>
      <c r="E1839" s="2" t="s">
        <v>18223</v>
      </c>
      <c r="G1839" s="3" t="s">
        <v>62</v>
      </c>
      <c r="I1839" s="3" t="s">
        <v>62</v>
      </c>
      <c r="J1839" s="3" t="s">
        <v>62</v>
      </c>
      <c r="K1839" s="3" t="s">
        <v>63</v>
      </c>
      <c r="M1839" s="2" t="s">
        <v>18224</v>
      </c>
      <c r="N1839" s="3" t="s">
        <v>684</v>
      </c>
      <c r="P1839" s="3" t="s">
        <v>64</v>
      </c>
      <c r="Q1839" s="2" t="s">
        <v>18225</v>
      </c>
      <c r="R1839" s="3" t="s">
        <v>13065</v>
      </c>
      <c r="S1839" s="4">
        <v>0</v>
      </c>
      <c r="T1839" s="4">
        <v>0</v>
      </c>
      <c r="W1839" s="5" t="s">
        <v>67</v>
      </c>
      <c r="X1839" s="5" t="s">
        <v>67</v>
      </c>
      <c r="Y1839" s="4">
        <v>135</v>
      </c>
      <c r="Z1839" s="4">
        <v>15</v>
      </c>
      <c r="AA1839" s="4">
        <v>43</v>
      </c>
      <c r="AB1839" s="4">
        <v>2</v>
      </c>
      <c r="AC1839" s="4">
        <v>10</v>
      </c>
      <c r="AD1839" s="4">
        <v>36</v>
      </c>
      <c r="AE1839" s="4">
        <v>74</v>
      </c>
      <c r="AF1839" s="4">
        <v>1</v>
      </c>
      <c r="AG1839" s="4">
        <v>6</v>
      </c>
      <c r="AH1839" s="4">
        <v>32</v>
      </c>
      <c r="AI1839" s="4">
        <v>55</v>
      </c>
      <c r="AJ1839" s="4">
        <v>9</v>
      </c>
      <c r="AK1839" s="4">
        <v>20</v>
      </c>
      <c r="AL1839" s="4">
        <v>18</v>
      </c>
      <c r="AM1839" s="4">
        <v>28</v>
      </c>
      <c r="AN1839" s="4">
        <v>0</v>
      </c>
      <c r="AO1839" s="4">
        <v>0</v>
      </c>
      <c r="AP1839" s="4">
        <v>9</v>
      </c>
      <c r="AQ1839" s="4">
        <v>28</v>
      </c>
      <c r="AR1839" s="3" t="s">
        <v>62</v>
      </c>
      <c r="AS1839" s="3" t="s">
        <v>62</v>
      </c>
      <c r="AT1839" s="3" t="s">
        <v>62</v>
      </c>
      <c r="AV1839" s="6" t="str">
        <f>HYPERLINK("http://mcgill.on.worldcat.org/oclc/682145201","Catalog Record")</f>
        <v>Catalog Record</v>
      </c>
      <c r="AW1839" s="6" t="str">
        <f>HYPERLINK("http://www.worldcat.org/oclc/682145201","WorldCat Record")</f>
        <v>WorldCat Record</v>
      </c>
      <c r="AX1839" s="3" t="s">
        <v>18226</v>
      </c>
      <c r="AY1839" s="3" t="s">
        <v>18227</v>
      </c>
      <c r="AZ1839" s="3" t="s">
        <v>18228</v>
      </c>
      <c r="BA1839" s="3" t="s">
        <v>18228</v>
      </c>
      <c r="BB1839" s="3" t="s">
        <v>18229</v>
      </c>
      <c r="BC1839" s="3" t="s">
        <v>102</v>
      </c>
      <c r="BD1839" s="3" t="s">
        <v>68</v>
      </c>
      <c r="BE1839" s="3" t="s">
        <v>18230</v>
      </c>
      <c r="BF1839" s="3" t="s">
        <v>18229</v>
      </c>
      <c r="BG1839" s="3" t="s">
        <v>18231</v>
      </c>
    </row>
    <row r="1840" spans="1:59" ht="58" x14ac:dyDescent="0.35">
      <c r="A1840" s="2" t="s">
        <v>89</v>
      </c>
      <c r="B1840" s="2" t="s">
        <v>90</v>
      </c>
      <c r="C1840" s="2" t="s">
        <v>18232</v>
      </c>
      <c r="D1840" s="2" t="s">
        <v>18233</v>
      </c>
      <c r="E1840" s="2" t="s">
        <v>18234</v>
      </c>
      <c r="G1840" s="3" t="s">
        <v>62</v>
      </c>
      <c r="I1840" s="3" t="s">
        <v>62</v>
      </c>
      <c r="J1840" s="3" t="s">
        <v>62</v>
      </c>
      <c r="K1840" s="3" t="s">
        <v>63</v>
      </c>
      <c r="L1840" s="2" t="s">
        <v>18235</v>
      </c>
      <c r="M1840" s="2" t="s">
        <v>18236</v>
      </c>
      <c r="N1840" s="3" t="s">
        <v>1722</v>
      </c>
      <c r="P1840" s="3" t="s">
        <v>64</v>
      </c>
      <c r="Q1840" s="2" t="s">
        <v>18237</v>
      </c>
      <c r="R1840" s="3" t="s">
        <v>13065</v>
      </c>
      <c r="S1840" s="4">
        <v>8</v>
      </c>
      <c r="T1840" s="4">
        <v>8</v>
      </c>
      <c r="U1840" s="5" t="s">
        <v>66</v>
      </c>
      <c r="V1840" s="5" t="s">
        <v>66</v>
      </c>
      <c r="W1840" s="5" t="s">
        <v>67</v>
      </c>
      <c r="X1840" s="5" t="s">
        <v>67</v>
      </c>
      <c r="Y1840" s="4">
        <v>429</v>
      </c>
      <c r="Z1840" s="4">
        <v>34</v>
      </c>
      <c r="AA1840" s="4">
        <v>36</v>
      </c>
      <c r="AB1840" s="4">
        <v>4</v>
      </c>
      <c r="AC1840" s="4">
        <v>6</v>
      </c>
      <c r="AD1840" s="4">
        <v>80</v>
      </c>
      <c r="AE1840" s="4">
        <v>80</v>
      </c>
      <c r="AF1840" s="4">
        <v>2</v>
      </c>
      <c r="AG1840" s="4">
        <v>2</v>
      </c>
      <c r="AH1840" s="4">
        <v>64</v>
      </c>
      <c r="AI1840" s="4">
        <v>64</v>
      </c>
      <c r="AJ1840" s="4">
        <v>11</v>
      </c>
      <c r="AK1840" s="4">
        <v>11</v>
      </c>
      <c r="AL1840" s="4">
        <v>31</v>
      </c>
      <c r="AM1840" s="4">
        <v>31</v>
      </c>
      <c r="AN1840" s="4">
        <v>0</v>
      </c>
      <c r="AO1840" s="4">
        <v>0</v>
      </c>
      <c r="AP1840" s="4">
        <v>24</v>
      </c>
      <c r="AQ1840" s="4">
        <v>24</v>
      </c>
      <c r="AR1840" s="3" t="s">
        <v>62</v>
      </c>
      <c r="AS1840" s="3" t="s">
        <v>62</v>
      </c>
      <c r="AT1840" s="3" t="s">
        <v>62</v>
      </c>
      <c r="AV1840" s="6" t="str">
        <f>HYPERLINK("http://mcgill.on.worldcat.org/oclc/228275783","Catalog Record")</f>
        <v>Catalog Record</v>
      </c>
      <c r="AW1840" s="6" t="str">
        <f>HYPERLINK("http://www.worldcat.org/oclc/228275783","WorldCat Record")</f>
        <v>WorldCat Record</v>
      </c>
      <c r="AX1840" s="3" t="s">
        <v>18238</v>
      </c>
      <c r="AY1840" s="3" t="s">
        <v>18239</v>
      </c>
      <c r="AZ1840" s="3" t="s">
        <v>18240</v>
      </c>
      <c r="BA1840" s="3" t="s">
        <v>18240</v>
      </c>
      <c r="BB1840" s="3" t="s">
        <v>18241</v>
      </c>
      <c r="BC1840" s="3" t="s">
        <v>102</v>
      </c>
      <c r="BD1840" s="3" t="s">
        <v>68</v>
      </c>
      <c r="BE1840" s="3" t="s">
        <v>18242</v>
      </c>
      <c r="BF1840" s="3" t="s">
        <v>18241</v>
      </c>
      <c r="BG1840" s="3" t="s">
        <v>18243</v>
      </c>
    </row>
    <row r="1841" spans="1:59" ht="58" x14ac:dyDescent="0.35">
      <c r="A1841" s="2" t="s">
        <v>89</v>
      </c>
      <c r="B1841" s="2" t="s">
        <v>90</v>
      </c>
      <c r="C1841" s="2" t="s">
        <v>18244</v>
      </c>
      <c r="D1841" s="2" t="s">
        <v>18245</v>
      </c>
      <c r="E1841" s="2" t="s">
        <v>18246</v>
      </c>
      <c r="G1841" s="3" t="s">
        <v>62</v>
      </c>
      <c r="I1841" s="3" t="s">
        <v>62</v>
      </c>
      <c r="J1841" s="3" t="s">
        <v>62</v>
      </c>
      <c r="K1841" s="3" t="s">
        <v>63</v>
      </c>
      <c r="L1841" s="2" t="s">
        <v>18247</v>
      </c>
      <c r="M1841" s="2" t="s">
        <v>18248</v>
      </c>
      <c r="N1841" s="3" t="s">
        <v>698</v>
      </c>
      <c r="P1841" s="3" t="s">
        <v>64</v>
      </c>
      <c r="R1841" s="3" t="s">
        <v>13065</v>
      </c>
      <c r="S1841" s="4">
        <v>0</v>
      </c>
      <c r="T1841" s="4">
        <v>0</v>
      </c>
      <c r="W1841" s="5" t="s">
        <v>67</v>
      </c>
      <c r="X1841" s="5" t="s">
        <v>67</v>
      </c>
      <c r="Y1841" s="4">
        <v>208</v>
      </c>
      <c r="Z1841" s="4">
        <v>17</v>
      </c>
      <c r="AA1841" s="4">
        <v>17</v>
      </c>
      <c r="AB1841" s="4">
        <v>2</v>
      </c>
      <c r="AC1841" s="4">
        <v>2</v>
      </c>
      <c r="AD1841" s="4">
        <v>64</v>
      </c>
      <c r="AE1841" s="4">
        <v>64</v>
      </c>
      <c r="AF1841" s="4">
        <v>1</v>
      </c>
      <c r="AG1841" s="4">
        <v>1</v>
      </c>
      <c r="AH1841" s="4">
        <v>53</v>
      </c>
      <c r="AI1841" s="4">
        <v>53</v>
      </c>
      <c r="AJ1841" s="4">
        <v>12</v>
      </c>
      <c r="AK1841" s="4">
        <v>12</v>
      </c>
      <c r="AL1841" s="4">
        <v>31</v>
      </c>
      <c r="AM1841" s="4">
        <v>31</v>
      </c>
      <c r="AN1841" s="4">
        <v>0</v>
      </c>
      <c r="AO1841" s="4">
        <v>0</v>
      </c>
      <c r="AP1841" s="4">
        <v>14</v>
      </c>
      <c r="AQ1841" s="4">
        <v>14</v>
      </c>
      <c r="AR1841" s="3" t="s">
        <v>62</v>
      </c>
      <c r="AS1841" s="3" t="s">
        <v>62</v>
      </c>
      <c r="AT1841" s="3" t="s">
        <v>62</v>
      </c>
      <c r="AV1841" s="6" t="str">
        <f>HYPERLINK("http://mcgill.on.worldcat.org/oclc/744296659","Catalog Record")</f>
        <v>Catalog Record</v>
      </c>
      <c r="AW1841" s="6" t="str">
        <f>HYPERLINK("http://www.worldcat.org/oclc/744296659","WorldCat Record")</f>
        <v>WorldCat Record</v>
      </c>
      <c r="AX1841" s="3" t="s">
        <v>18249</v>
      </c>
      <c r="AY1841" s="3" t="s">
        <v>18250</v>
      </c>
      <c r="AZ1841" s="3" t="s">
        <v>18251</v>
      </c>
      <c r="BA1841" s="3" t="s">
        <v>18251</v>
      </c>
      <c r="BB1841" s="3" t="s">
        <v>18252</v>
      </c>
      <c r="BC1841" s="3" t="s">
        <v>102</v>
      </c>
      <c r="BD1841" s="3" t="s">
        <v>68</v>
      </c>
      <c r="BE1841" s="3" t="s">
        <v>18253</v>
      </c>
      <c r="BF1841" s="3" t="s">
        <v>18252</v>
      </c>
      <c r="BG1841" s="3" t="s">
        <v>18254</v>
      </c>
    </row>
    <row r="1842" spans="1:59" ht="58" x14ac:dyDescent="0.35">
      <c r="A1842" s="2" t="s">
        <v>89</v>
      </c>
      <c r="B1842" s="2" t="s">
        <v>90</v>
      </c>
      <c r="C1842" s="2" t="s">
        <v>18255</v>
      </c>
      <c r="D1842" s="2" t="s">
        <v>18256</v>
      </c>
      <c r="E1842" s="2" t="s">
        <v>18257</v>
      </c>
      <c r="G1842" s="3" t="s">
        <v>62</v>
      </c>
      <c r="I1842" s="3" t="s">
        <v>62</v>
      </c>
      <c r="J1842" s="3" t="s">
        <v>62</v>
      </c>
      <c r="K1842" s="3" t="s">
        <v>63</v>
      </c>
      <c r="M1842" s="2" t="s">
        <v>18258</v>
      </c>
      <c r="N1842" s="3" t="s">
        <v>553</v>
      </c>
      <c r="P1842" s="3" t="s">
        <v>64</v>
      </c>
      <c r="R1842" s="3" t="s">
        <v>13065</v>
      </c>
      <c r="S1842" s="4">
        <v>30</v>
      </c>
      <c r="T1842" s="4">
        <v>30</v>
      </c>
      <c r="U1842" s="5" t="s">
        <v>18259</v>
      </c>
      <c r="V1842" s="5" t="s">
        <v>18259</v>
      </c>
      <c r="W1842" s="5" t="s">
        <v>67</v>
      </c>
      <c r="X1842" s="5" t="s">
        <v>67</v>
      </c>
      <c r="Y1842" s="4">
        <v>364</v>
      </c>
      <c r="Z1842" s="4">
        <v>20</v>
      </c>
      <c r="AA1842" s="4">
        <v>22</v>
      </c>
      <c r="AB1842" s="4">
        <v>2</v>
      </c>
      <c r="AC1842" s="4">
        <v>4</v>
      </c>
      <c r="AD1842" s="4">
        <v>91</v>
      </c>
      <c r="AE1842" s="4">
        <v>93</v>
      </c>
      <c r="AF1842" s="4">
        <v>1</v>
      </c>
      <c r="AG1842" s="4">
        <v>3</v>
      </c>
      <c r="AH1842" s="4">
        <v>79</v>
      </c>
      <c r="AI1842" s="4">
        <v>79</v>
      </c>
      <c r="AJ1842" s="4">
        <v>13</v>
      </c>
      <c r="AK1842" s="4">
        <v>15</v>
      </c>
      <c r="AL1842" s="4">
        <v>44</v>
      </c>
      <c r="AM1842" s="4">
        <v>44</v>
      </c>
      <c r="AN1842" s="4">
        <v>0</v>
      </c>
      <c r="AO1842" s="4">
        <v>0</v>
      </c>
      <c r="AP1842" s="4">
        <v>17</v>
      </c>
      <c r="AQ1842" s="4">
        <v>18</v>
      </c>
      <c r="AR1842" s="3" t="s">
        <v>62</v>
      </c>
      <c r="AS1842" s="3" t="s">
        <v>62</v>
      </c>
      <c r="AT1842" s="3" t="s">
        <v>61</v>
      </c>
      <c r="AU1842" s="6" t="str">
        <f>HYPERLINK("http://catalog.hathitrust.org/Record/003448511","HathiTrust Record")</f>
        <v>HathiTrust Record</v>
      </c>
      <c r="AV1842" s="6" t="str">
        <f>HYPERLINK("http://mcgill.on.worldcat.org/oclc/40251473","Catalog Record")</f>
        <v>Catalog Record</v>
      </c>
      <c r="AW1842" s="6" t="str">
        <f>HYPERLINK("http://www.worldcat.org/oclc/40251473","WorldCat Record")</f>
        <v>WorldCat Record</v>
      </c>
      <c r="AX1842" s="3" t="s">
        <v>18260</v>
      </c>
      <c r="AY1842" s="3" t="s">
        <v>18261</v>
      </c>
      <c r="AZ1842" s="3" t="s">
        <v>18262</v>
      </c>
      <c r="BA1842" s="3" t="s">
        <v>18262</v>
      </c>
      <c r="BB1842" s="3" t="s">
        <v>18263</v>
      </c>
      <c r="BC1842" s="3" t="s">
        <v>102</v>
      </c>
      <c r="BD1842" s="3" t="s">
        <v>68</v>
      </c>
      <c r="BE1842" s="3" t="s">
        <v>18264</v>
      </c>
      <c r="BF1842" s="3" t="s">
        <v>18263</v>
      </c>
      <c r="BG1842" s="3" t="s">
        <v>18265</v>
      </c>
    </row>
    <row r="1843" spans="1:59" ht="58" x14ac:dyDescent="0.35">
      <c r="A1843" s="2" t="s">
        <v>89</v>
      </c>
      <c r="B1843" s="2" t="s">
        <v>90</v>
      </c>
      <c r="C1843" s="2" t="s">
        <v>18266</v>
      </c>
      <c r="D1843" s="2" t="s">
        <v>18267</v>
      </c>
      <c r="E1843" s="2" t="s">
        <v>18268</v>
      </c>
      <c r="G1843" s="3" t="s">
        <v>62</v>
      </c>
      <c r="I1843" s="3" t="s">
        <v>62</v>
      </c>
      <c r="J1843" s="3" t="s">
        <v>62</v>
      </c>
      <c r="K1843" s="3" t="s">
        <v>63</v>
      </c>
      <c r="M1843" s="2" t="s">
        <v>18269</v>
      </c>
      <c r="N1843" s="3" t="s">
        <v>2000</v>
      </c>
      <c r="P1843" s="3" t="s">
        <v>64</v>
      </c>
      <c r="R1843" s="3" t="s">
        <v>13065</v>
      </c>
      <c r="S1843" s="4">
        <v>22</v>
      </c>
      <c r="T1843" s="4">
        <v>22</v>
      </c>
      <c r="U1843" s="5" t="s">
        <v>9305</v>
      </c>
      <c r="V1843" s="5" t="s">
        <v>9305</v>
      </c>
      <c r="W1843" s="5" t="s">
        <v>67</v>
      </c>
      <c r="X1843" s="5" t="s">
        <v>67</v>
      </c>
      <c r="Y1843" s="4">
        <v>271</v>
      </c>
      <c r="Z1843" s="4">
        <v>20</v>
      </c>
      <c r="AA1843" s="4">
        <v>21</v>
      </c>
      <c r="AB1843" s="4">
        <v>1</v>
      </c>
      <c r="AC1843" s="4">
        <v>2</v>
      </c>
      <c r="AD1843" s="4">
        <v>70</v>
      </c>
      <c r="AE1843" s="4">
        <v>71</v>
      </c>
      <c r="AF1843" s="4">
        <v>0</v>
      </c>
      <c r="AG1843" s="4">
        <v>1</v>
      </c>
      <c r="AH1843" s="4">
        <v>59</v>
      </c>
      <c r="AI1843" s="4">
        <v>59</v>
      </c>
      <c r="AJ1843" s="4">
        <v>10</v>
      </c>
      <c r="AK1843" s="4">
        <v>11</v>
      </c>
      <c r="AL1843" s="4">
        <v>33</v>
      </c>
      <c r="AM1843" s="4">
        <v>33</v>
      </c>
      <c r="AN1843" s="4">
        <v>0</v>
      </c>
      <c r="AO1843" s="4">
        <v>0</v>
      </c>
      <c r="AP1843" s="4">
        <v>14</v>
      </c>
      <c r="AQ1843" s="4">
        <v>14</v>
      </c>
      <c r="AR1843" s="3" t="s">
        <v>62</v>
      </c>
      <c r="AS1843" s="3" t="s">
        <v>62</v>
      </c>
      <c r="AT1843" s="3" t="s">
        <v>61</v>
      </c>
      <c r="AU1843" s="6" t="str">
        <f>HYPERLINK("http://catalog.hathitrust.org/Record/003062497","HathiTrust Record")</f>
        <v>HathiTrust Record</v>
      </c>
      <c r="AV1843" s="6" t="str">
        <f>HYPERLINK("http://mcgill.on.worldcat.org/oclc/33865047","Catalog Record")</f>
        <v>Catalog Record</v>
      </c>
      <c r="AW1843" s="6" t="str">
        <f>HYPERLINK("http://www.worldcat.org/oclc/33865047","WorldCat Record")</f>
        <v>WorldCat Record</v>
      </c>
      <c r="AX1843" s="3" t="s">
        <v>18270</v>
      </c>
      <c r="AY1843" s="3" t="s">
        <v>18271</v>
      </c>
      <c r="AZ1843" s="3" t="s">
        <v>18272</v>
      </c>
      <c r="BA1843" s="3" t="s">
        <v>18272</v>
      </c>
      <c r="BB1843" s="3" t="s">
        <v>18273</v>
      </c>
      <c r="BC1843" s="3" t="s">
        <v>102</v>
      </c>
      <c r="BD1843" s="3" t="s">
        <v>68</v>
      </c>
      <c r="BE1843" s="3" t="s">
        <v>18274</v>
      </c>
      <c r="BF1843" s="3" t="s">
        <v>18273</v>
      </c>
      <c r="BG1843" s="3" t="s">
        <v>18275</v>
      </c>
    </row>
    <row r="1844" spans="1:59" ht="58" x14ac:dyDescent="0.35">
      <c r="A1844" s="2" t="s">
        <v>89</v>
      </c>
      <c r="B1844" s="2" t="s">
        <v>90</v>
      </c>
      <c r="C1844" s="2" t="s">
        <v>18276</v>
      </c>
      <c r="D1844" s="2" t="s">
        <v>18277</v>
      </c>
      <c r="E1844" s="2" t="s">
        <v>18278</v>
      </c>
      <c r="G1844" s="3" t="s">
        <v>62</v>
      </c>
      <c r="I1844" s="3" t="s">
        <v>62</v>
      </c>
      <c r="J1844" s="3" t="s">
        <v>62</v>
      </c>
      <c r="K1844" s="3" t="s">
        <v>63</v>
      </c>
      <c r="M1844" s="2" t="s">
        <v>18279</v>
      </c>
      <c r="N1844" s="3" t="s">
        <v>880</v>
      </c>
      <c r="P1844" s="3" t="s">
        <v>64</v>
      </c>
      <c r="R1844" s="3" t="s">
        <v>13065</v>
      </c>
      <c r="S1844" s="4">
        <v>7</v>
      </c>
      <c r="T1844" s="4">
        <v>7</v>
      </c>
      <c r="U1844" s="5" t="s">
        <v>4435</v>
      </c>
      <c r="V1844" s="5" t="s">
        <v>4435</v>
      </c>
      <c r="W1844" s="5" t="s">
        <v>67</v>
      </c>
      <c r="X1844" s="5" t="s">
        <v>67</v>
      </c>
      <c r="Y1844" s="4">
        <v>184</v>
      </c>
      <c r="Z1844" s="4">
        <v>10</v>
      </c>
      <c r="AA1844" s="4">
        <v>29</v>
      </c>
      <c r="AB1844" s="4">
        <v>2</v>
      </c>
      <c r="AC1844" s="4">
        <v>11</v>
      </c>
      <c r="AD1844" s="4">
        <v>46</v>
      </c>
      <c r="AE1844" s="4">
        <v>68</v>
      </c>
      <c r="AF1844" s="4">
        <v>1</v>
      </c>
      <c r="AG1844" s="4">
        <v>7</v>
      </c>
      <c r="AH1844" s="4">
        <v>40</v>
      </c>
      <c r="AI1844" s="4">
        <v>53</v>
      </c>
      <c r="AJ1844" s="4">
        <v>9</v>
      </c>
      <c r="AK1844" s="4">
        <v>18</v>
      </c>
      <c r="AL1844" s="4">
        <v>25</v>
      </c>
      <c r="AM1844" s="4">
        <v>31</v>
      </c>
      <c r="AN1844" s="4">
        <v>0</v>
      </c>
      <c r="AO1844" s="4">
        <v>0</v>
      </c>
      <c r="AP1844" s="4">
        <v>9</v>
      </c>
      <c r="AQ1844" s="4">
        <v>22</v>
      </c>
      <c r="AR1844" s="3" t="s">
        <v>62</v>
      </c>
      <c r="AS1844" s="3" t="s">
        <v>62</v>
      </c>
      <c r="AT1844" s="3" t="s">
        <v>62</v>
      </c>
      <c r="AV1844" s="6" t="str">
        <f>HYPERLINK("http://mcgill.on.worldcat.org/oclc/229022796","Catalog Record")</f>
        <v>Catalog Record</v>
      </c>
      <c r="AW1844" s="6" t="str">
        <f>HYPERLINK("http://www.worldcat.org/oclc/229022796","WorldCat Record")</f>
        <v>WorldCat Record</v>
      </c>
      <c r="AX1844" s="3" t="s">
        <v>18280</v>
      </c>
      <c r="AY1844" s="3" t="s">
        <v>18281</v>
      </c>
      <c r="AZ1844" s="3" t="s">
        <v>18282</v>
      </c>
      <c r="BA1844" s="3" t="s">
        <v>18282</v>
      </c>
      <c r="BB1844" s="3" t="s">
        <v>18283</v>
      </c>
      <c r="BC1844" s="3" t="s">
        <v>102</v>
      </c>
      <c r="BD1844" s="3" t="s">
        <v>68</v>
      </c>
      <c r="BE1844" s="3" t="s">
        <v>18284</v>
      </c>
      <c r="BF1844" s="3" t="s">
        <v>18283</v>
      </c>
      <c r="BG1844" s="3" t="s">
        <v>18285</v>
      </c>
    </row>
    <row r="1845" spans="1:59" ht="58" x14ac:dyDescent="0.35">
      <c r="A1845" s="2" t="s">
        <v>89</v>
      </c>
      <c r="B1845" s="2" t="s">
        <v>90</v>
      </c>
      <c r="C1845" s="2" t="s">
        <v>18286</v>
      </c>
      <c r="D1845" s="2" t="s">
        <v>18287</v>
      </c>
      <c r="E1845" s="2" t="s">
        <v>18288</v>
      </c>
      <c r="G1845" s="3" t="s">
        <v>62</v>
      </c>
      <c r="I1845" s="3" t="s">
        <v>61</v>
      </c>
      <c r="J1845" s="3" t="s">
        <v>62</v>
      </c>
      <c r="K1845" s="3" t="s">
        <v>63</v>
      </c>
      <c r="L1845" s="2" t="s">
        <v>16324</v>
      </c>
      <c r="M1845" s="2" t="s">
        <v>18289</v>
      </c>
      <c r="N1845" s="3" t="s">
        <v>524</v>
      </c>
      <c r="P1845" s="3" t="s">
        <v>64</v>
      </c>
      <c r="R1845" s="3" t="s">
        <v>13065</v>
      </c>
      <c r="S1845" s="4">
        <v>16</v>
      </c>
      <c r="T1845" s="4">
        <v>18</v>
      </c>
      <c r="U1845" s="5" t="s">
        <v>3534</v>
      </c>
      <c r="V1845" s="5" t="s">
        <v>8351</v>
      </c>
      <c r="W1845" s="5" t="s">
        <v>67</v>
      </c>
      <c r="X1845" s="5" t="s">
        <v>67</v>
      </c>
      <c r="Y1845" s="4">
        <v>1101</v>
      </c>
      <c r="Z1845" s="4">
        <v>60</v>
      </c>
      <c r="AA1845" s="4">
        <v>78</v>
      </c>
      <c r="AB1845" s="4">
        <v>2</v>
      </c>
      <c r="AC1845" s="4">
        <v>10</v>
      </c>
      <c r="AD1845" s="4">
        <v>132</v>
      </c>
      <c r="AE1845" s="4">
        <v>150</v>
      </c>
      <c r="AF1845" s="4">
        <v>1</v>
      </c>
      <c r="AG1845" s="4">
        <v>6</v>
      </c>
      <c r="AH1845" s="4">
        <v>103</v>
      </c>
      <c r="AI1845" s="4">
        <v>112</v>
      </c>
      <c r="AJ1845" s="4">
        <v>18</v>
      </c>
      <c r="AK1845" s="4">
        <v>25</v>
      </c>
      <c r="AL1845" s="4">
        <v>57</v>
      </c>
      <c r="AM1845" s="4">
        <v>60</v>
      </c>
      <c r="AN1845" s="4">
        <v>0</v>
      </c>
      <c r="AO1845" s="4">
        <v>0</v>
      </c>
      <c r="AP1845" s="4">
        <v>34</v>
      </c>
      <c r="AQ1845" s="4">
        <v>45</v>
      </c>
      <c r="AR1845" s="3" t="s">
        <v>62</v>
      </c>
      <c r="AS1845" s="3" t="s">
        <v>62</v>
      </c>
      <c r="AT1845" s="3" t="s">
        <v>61</v>
      </c>
      <c r="AU1845" s="6" t="str">
        <f>HYPERLINK("http://catalog.hathitrust.org/Record/003019857","HathiTrust Record")</f>
        <v>HathiTrust Record</v>
      </c>
      <c r="AV1845" s="6" t="str">
        <f>HYPERLINK("http://mcgill.on.worldcat.org/oclc/33078560","Catalog Record")</f>
        <v>Catalog Record</v>
      </c>
      <c r="AW1845" s="6" t="str">
        <f>HYPERLINK("http://www.worldcat.org/oclc/33078560","WorldCat Record")</f>
        <v>WorldCat Record</v>
      </c>
      <c r="AX1845" s="3" t="s">
        <v>18290</v>
      </c>
      <c r="AY1845" s="3" t="s">
        <v>18291</v>
      </c>
      <c r="AZ1845" s="3" t="s">
        <v>18292</v>
      </c>
      <c r="BA1845" s="3" t="s">
        <v>18292</v>
      </c>
      <c r="BB1845" s="3" t="s">
        <v>18293</v>
      </c>
      <c r="BC1845" s="3" t="s">
        <v>102</v>
      </c>
      <c r="BD1845" s="3" t="s">
        <v>68</v>
      </c>
      <c r="BE1845" s="3" t="s">
        <v>18294</v>
      </c>
      <c r="BF1845" s="3" t="s">
        <v>18293</v>
      </c>
      <c r="BG1845" s="3" t="s">
        <v>18295</v>
      </c>
    </row>
    <row r="1846" spans="1:59" ht="58" x14ac:dyDescent="0.35">
      <c r="A1846" s="2" t="s">
        <v>89</v>
      </c>
      <c r="B1846" s="2" t="s">
        <v>90</v>
      </c>
      <c r="C1846" s="2" t="s">
        <v>18296</v>
      </c>
      <c r="D1846" s="2" t="s">
        <v>18297</v>
      </c>
      <c r="E1846" s="2" t="s">
        <v>18298</v>
      </c>
      <c r="G1846" s="3" t="s">
        <v>62</v>
      </c>
      <c r="I1846" s="3" t="s">
        <v>62</v>
      </c>
      <c r="J1846" s="3" t="s">
        <v>62</v>
      </c>
      <c r="K1846" s="3" t="s">
        <v>63</v>
      </c>
      <c r="L1846" s="2" t="s">
        <v>18299</v>
      </c>
      <c r="M1846" s="2" t="s">
        <v>18300</v>
      </c>
      <c r="N1846" s="3" t="s">
        <v>1195</v>
      </c>
      <c r="P1846" s="3" t="s">
        <v>64</v>
      </c>
      <c r="R1846" s="3" t="s">
        <v>13065</v>
      </c>
      <c r="S1846" s="4">
        <v>29</v>
      </c>
      <c r="T1846" s="4">
        <v>29</v>
      </c>
      <c r="U1846" s="5" t="s">
        <v>18301</v>
      </c>
      <c r="V1846" s="5" t="s">
        <v>18301</v>
      </c>
      <c r="W1846" s="5" t="s">
        <v>67</v>
      </c>
      <c r="X1846" s="5" t="s">
        <v>67</v>
      </c>
      <c r="Y1846" s="4">
        <v>913</v>
      </c>
      <c r="Z1846" s="4">
        <v>48</v>
      </c>
      <c r="AA1846" s="4">
        <v>61</v>
      </c>
      <c r="AB1846" s="4">
        <v>2</v>
      </c>
      <c r="AC1846" s="4">
        <v>9</v>
      </c>
      <c r="AD1846" s="4">
        <v>122</v>
      </c>
      <c r="AE1846" s="4">
        <v>130</v>
      </c>
      <c r="AF1846" s="4">
        <v>1</v>
      </c>
      <c r="AG1846" s="4">
        <v>5</v>
      </c>
      <c r="AH1846" s="4">
        <v>101</v>
      </c>
      <c r="AI1846" s="4">
        <v>104</v>
      </c>
      <c r="AJ1846" s="4">
        <v>16</v>
      </c>
      <c r="AK1846" s="4">
        <v>22</v>
      </c>
      <c r="AL1846" s="4">
        <v>54</v>
      </c>
      <c r="AM1846" s="4">
        <v>55</v>
      </c>
      <c r="AN1846" s="4">
        <v>0</v>
      </c>
      <c r="AO1846" s="4">
        <v>0</v>
      </c>
      <c r="AP1846" s="4">
        <v>27</v>
      </c>
      <c r="AQ1846" s="4">
        <v>33</v>
      </c>
      <c r="AR1846" s="3" t="s">
        <v>62</v>
      </c>
      <c r="AS1846" s="3" t="s">
        <v>62</v>
      </c>
      <c r="AT1846" s="3" t="s">
        <v>61</v>
      </c>
      <c r="AU1846" s="6" t="str">
        <f>HYPERLINK("http://catalog.hathitrust.org/Record/005295979","HathiTrust Record")</f>
        <v>HathiTrust Record</v>
      </c>
      <c r="AV1846" s="6" t="str">
        <f>HYPERLINK("http://mcgill.on.worldcat.org/oclc/62533774","Catalog Record")</f>
        <v>Catalog Record</v>
      </c>
      <c r="AW1846" s="6" t="str">
        <f>HYPERLINK("http://www.worldcat.org/oclc/62533774","WorldCat Record")</f>
        <v>WorldCat Record</v>
      </c>
      <c r="AX1846" s="3" t="s">
        <v>18302</v>
      </c>
      <c r="AY1846" s="3" t="s">
        <v>18303</v>
      </c>
      <c r="AZ1846" s="3" t="s">
        <v>18304</v>
      </c>
      <c r="BA1846" s="3" t="s">
        <v>18304</v>
      </c>
      <c r="BB1846" s="3" t="s">
        <v>18305</v>
      </c>
      <c r="BC1846" s="3" t="s">
        <v>102</v>
      </c>
      <c r="BD1846" s="3" t="s">
        <v>231</v>
      </c>
      <c r="BE1846" s="3" t="s">
        <v>18306</v>
      </c>
      <c r="BF1846" s="3" t="s">
        <v>18305</v>
      </c>
      <c r="BG1846" s="3" t="s">
        <v>18307</v>
      </c>
    </row>
    <row r="1847" spans="1:59" ht="116" x14ac:dyDescent="0.35">
      <c r="A1847" s="2" t="s">
        <v>89</v>
      </c>
      <c r="B1847" s="2" t="s">
        <v>90</v>
      </c>
      <c r="C1847" s="2" t="s">
        <v>18308</v>
      </c>
      <c r="D1847" s="2" t="s">
        <v>18309</v>
      </c>
      <c r="E1847" s="2" t="s">
        <v>18310</v>
      </c>
      <c r="G1847" s="3" t="s">
        <v>62</v>
      </c>
      <c r="I1847" s="3" t="s">
        <v>62</v>
      </c>
      <c r="J1847" s="3" t="s">
        <v>62</v>
      </c>
      <c r="K1847" s="3" t="s">
        <v>63</v>
      </c>
      <c r="M1847" s="2" t="s">
        <v>18311</v>
      </c>
      <c r="N1847" s="3" t="s">
        <v>129</v>
      </c>
      <c r="P1847" s="3" t="s">
        <v>64</v>
      </c>
      <c r="R1847" s="3" t="s">
        <v>13065</v>
      </c>
      <c r="S1847" s="4">
        <v>0</v>
      </c>
      <c r="T1847" s="4">
        <v>0</v>
      </c>
      <c r="W1847" s="5" t="s">
        <v>67</v>
      </c>
      <c r="X1847" s="5" t="s">
        <v>67</v>
      </c>
      <c r="Y1847" s="4">
        <v>75</v>
      </c>
      <c r="Z1847" s="4">
        <v>3</v>
      </c>
      <c r="AA1847" s="4">
        <v>85</v>
      </c>
      <c r="AB1847" s="4">
        <v>1</v>
      </c>
      <c r="AC1847" s="4">
        <v>14</v>
      </c>
      <c r="AD1847" s="4">
        <v>31</v>
      </c>
      <c r="AE1847" s="4">
        <v>114</v>
      </c>
      <c r="AF1847" s="4">
        <v>0</v>
      </c>
      <c r="AG1847" s="4">
        <v>8</v>
      </c>
      <c r="AH1847" s="4">
        <v>31</v>
      </c>
      <c r="AI1847" s="4">
        <v>78</v>
      </c>
      <c r="AJ1847" s="4">
        <v>1</v>
      </c>
      <c r="AK1847" s="4">
        <v>21</v>
      </c>
      <c r="AL1847" s="4">
        <v>17</v>
      </c>
      <c r="AM1847" s="4">
        <v>40</v>
      </c>
      <c r="AN1847" s="4">
        <v>0</v>
      </c>
      <c r="AO1847" s="4">
        <v>0</v>
      </c>
      <c r="AP1847" s="4">
        <v>1</v>
      </c>
      <c r="AQ1847" s="4">
        <v>42</v>
      </c>
      <c r="AR1847" s="3" t="s">
        <v>62</v>
      </c>
      <c r="AS1847" s="3" t="s">
        <v>62</v>
      </c>
      <c r="AT1847" s="3" t="s">
        <v>62</v>
      </c>
      <c r="AV1847" s="6" t="str">
        <f>HYPERLINK("http://mcgill.on.worldcat.org/oclc/859754025","Catalog Record")</f>
        <v>Catalog Record</v>
      </c>
      <c r="AW1847" s="6" t="str">
        <f>HYPERLINK("http://www.worldcat.org/oclc/859754025","WorldCat Record")</f>
        <v>WorldCat Record</v>
      </c>
      <c r="AX1847" s="3" t="s">
        <v>18312</v>
      </c>
      <c r="AY1847" s="3" t="s">
        <v>18313</v>
      </c>
      <c r="AZ1847" s="3" t="s">
        <v>18314</v>
      </c>
      <c r="BA1847" s="3" t="s">
        <v>18314</v>
      </c>
      <c r="BB1847" s="3" t="s">
        <v>18315</v>
      </c>
      <c r="BC1847" s="3" t="s">
        <v>102</v>
      </c>
      <c r="BD1847" s="3" t="s">
        <v>68</v>
      </c>
      <c r="BE1847" s="3" t="s">
        <v>18316</v>
      </c>
      <c r="BF1847" s="3" t="s">
        <v>18315</v>
      </c>
      <c r="BG1847" s="3" t="s">
        <v>18317</v>
      </c>
    </row>
    <row r="1848" spans="1:59" ht="58" x14ac:dyDescent="0.35">
      <c r="A1848" s="2" t="s">
        <v>89</v>
      </c>
      <c r="B1848" s="2" t="s">
        <v>90</v>
      </c>
      <c r="C1848" s="2" t="s">
        <v>18318</v>
      </c>
      <c r="D1848" s="2" t="s">
        <v>18319</v>
      </c>
      <c r="E1848" s="2" t="s">
        <v>18320</v>
      </c>
      <c r="G1848" s="3" t="s">
        <v>62</v>
      </c>
      <c r="H1848" s="3" t="s">
        <v>916</v>
      </c>
      <c r="I1848" s="3" t="s">
        <v>62</v>
      </c>
      <c r="J1848" s="3" t="s">
        <v>62</v>
      </c>
      <c r="K1848" s="3" t="s">
        <v>63</v>
      </c>
      <c r="L1848" s="2" t="s">
        <v>18321</v>
      </c>
      <c r="M1848" s="2" t="s">
        <v>18322</v>
      </c>
      <c r="N1848" s="3" t="s">
        <v>741</v>
      </c>
      <c r="P1848" s="3" t="s">
        <v>64</v>
      </c>
      <c r="R1848" s="3" t="s">
        <v>13065</v>
      </c>
      <c r="S1848" s="4">
        <v>1</v>
      </c>
      <c r="T1848" s="4">
        <v>1</v>
      </c>
      <c r="W1848" s="5" t="s">
        <v>12308</v>
      </c>
      <c r="X1848" s="5" t="s">
        <v>12308</v>
      </c>
      <c r="Y1848" s="4">
        <v>208</v>
      </c>
      <c r="Z1848" s="4">
        <v>8</v>
      </c>
      <c r="AA1848" s="4">
        <v>12</v>
      </c>
      <c r="AB1848" s="4">
        <v>1</v>
      </c>
      <c r="AC1848" s="4">
        <v>3</v>
      </c>
      <c r="AD1848" s="4">
        <v>48</v>
      </c>
      <c r="AE1848" s="4">
        <v>52</v>
      </c>
      <c r="AF1848" s="4">
        <v>0</v>
      </c>
      <c r="AG1848" s="4">
        <v>0</v>
      </c>
      <c r="AH1848" s="4">
        <v>42</v>
      </c>
      <c r="AI1848" s="4">
        <v>45</v>
      </c>
      <c r="AJ1848" s="4">
        <v>3</v>
      </c>
      <c r="AK1848" s="4">
        <v>4</v>
      </c>
      <c r="AL1848" s="4">
        <v>24</v>
      </c>
      <c r="AM1848" s="4">
        <v>26</v>
      </c>
      <c r="AN1848" s="4">
        <v>0</v>
      </c>
      <c r="AO1848" s="4">
        <v>0</v>
      </c>
      <c r="AP1848" s="4">
        <v>6</v>
      </c>
      <c r="AQ1848" s="4">
        <v>8</v>
      </c>
      <c r="AR1848" s="3" t="s">
        <v>62</v>
      </c>
      <c r="AS1848" s="3" t="s">
        <v>62</v>
      </c>
      <c r="AT1848" s="3" t="s">
        <v>62</v>
      </c>
      <c r="AV1848" s="6" t="str">
        <f>HYPERLINK("http://mcgill.on.worldcat.org/oclc/1108161188","Catalog Record")</f>
        <v>Catalog Record</v>
      </c>
      <c r="AW1848" s="6" t="str">
        <f>HYPERLINK("http://www.worldcat.org/oclc/1108161188","WorldCat Record")</f>
        <v>WorldCat Record</v>
      </c>
      <c r="AX1848" s="3" t="s">
        <v>18323</v>
      </c>
      <c r="AY1848" s="3" t="s">
        <v>18324</v>
      </c>
      <c r="AZ1848" s="3" t="s">
        <v>18325</v>
      </c>
      <c r="BA1848" s="3" t="s">
        <v>18325</v>
      </c>
      <c r="BB1848" s="3" t="s">
        <v>18326</v>
      </c>
      <c r="BC1848" s="3" t="s">
        <v>102</v>
      </c>
      <c r="BD1848" s="3" t="s">
        <v>231</v>
      </c>
      <c r="BE1848" s="3" t="s">
        <v>18327</v>
      </c>
      <c r="BF1848" s="3" t="s">
        <v>18326</v>
      </c>
      <c r="BG1848" s="3" t="s">
        <v>18328</v>
      </c>
    </row>
    <row r="1849" spans="1:59" ht="58" x14ac:dyDescent="0.35">
      <c r="A1849" s="2" t="s">
        <v>89</v>
      </c>
      <c r="B1849" s="2" t="s">
        <v>90</v>
      </c>
      <c r="C1849" s="2" t="s">
        <v>18329</v>
      </c>
      <c r="D1849" s="2" t="s">
        <v>18330</v>
      </c>
      <c r="E1849" s="2" t="s">
        <v>18331</v>
      </c>
      <c r="G1849" s="3" t="s">
        <v>62</v>
      </c>
      <c r="I1849" s="3" t="s">
        <v>62</v>
      </c>
      <c r="J1849" s="3" t="s">
        <v>61</v>
      </c>
      <c r="K1849" s="3" t="s">
        <v>63</v>
      </c>
      <c r="L1849" s="2" t="s">
        <v>18332</v>
      </c>
      <c r="M1849" s="2" t="s">
        <v>18333</v>
      </c>
      <c r="N1849" s="3" t="s">
        <v>129</v>
      </c>
      <c r="O1849" s="2" t="s">
        <v>18334</v>
      </c>
      <c r="P1849" s="3" t="s">
        <v>64</v>
      </c>
      <c r="R1849" s="3" t="s">
        <v>13065</v>
      </c>
      <c r="S1849" s="4">
        <v>4</v>
      </c>
      <c r="T1849" s="4">
        <v>4</v>
      </c>
      <c r="U1849" s="5" t="s">
        <v>3413</v>
      </c>
      <c r="V1849" s="5" t="s">
        <v>3413</v>
      </c>
      <c r="W1849" s="5" t="s">
        <v>67</v>
      </c>
      <c r="X1849" s="5" t="s">
        <v>67</v>
      </c>
      <c r="Y1849" s="4">
        <v>111</v>
      </c>
      <c r="Z1849" s="4">
        <v>4</v>
      </c>
      <c r="AA1849" s="4">
        <v>60</v>
      </c>
      <c r="AB1849" s="4">
        <v>1</v>
      </c>
      <c r="AC1849" s="4">
        <v>11</v>
      </c>
      <c r="AD1849" s="4">
        <v>13</v>
      </c>
      <c r="AE1849" s="4">
        <v>102</v>
      </c>
      <c r="AF1849" s="4">
        <v>0</v>
      </c>
      <c r="AG1849" s="4">
        <v>4</v>
      </c>
      <c r="AH1849" s="4">
        <v>11</v>
      </c>
      <c r="AI1849" s="4">
        <v>82</v>
      </c>
      <c r="AJ1849" s="4">
        <v>1</v>
      </c>
      <c r="AK1849" s="4">
        <v>18</v>
      </c>
      <c r="AL1849" s="4">
        <v>6</v>
      </c>
      <c r="AM1849" s="4">
        <v>42</v>
      </c>
      <c r="AN1849" s="4">
        <v>0</v>
      </c>
      <c r="AO1849" s="4">
        <v>5</v>
      </c>
      <c r="AP1849" s="4">
        <v>2</v>
      </c>
      <c r="AQ1849" s="4">
        <v>29</v>
      </c>
      <c r="AR1849" s="3" t="s">
        <v>62</v>
      </c>
      <c r="AS1849" s="3" t="s">
        <v>62</v>
      </c>
      <c r="AT1849" s="3" t="s">
        <v>62</v>
      </c>
      <c r="AV1849" s="6" t="str">
        <f>HYPERLINK("http://mcgill.on.worldcat.org/oclc/780100102","Catalog Record")</f>
        <v>Catalog Record</v>
      </c>
      <c r="AW1849" s="6" t="str">
        <f>HYPERLINK("http://www.worldcat.org/oclc/780100102","WorldCat Record")</f>
        <v>WorldCat Record</v>
      </c>
      <c r="AX1849" s="3" t="s">
        <v>18335</v>
      </c>
      <c r="AY1849" s="3" t="s">
        <v>18336</v>
      </c>
      <c r="AZ1849" s="3" t="s">
        <v>18337</v>
      </c>
      <c r="BA1849" s="3" t="s">
        <v>18337</v>
      </c>
      <c r="BB1849" s="3" t="s">
        <v>18338</v>
      </c>
      <c r="BC1849" s="3" t="s">
        <v>102</v>
      </c>
      <c r="BD1849" s="3" t="s">
        <v>231</v>
      </c>
      <c r="BE1849" s="3" t="s">
        <v>18339</v>
      </c>
      <c r="BF1849" s="3" t="s">
        <v>18338</v>
      </c>
      <c r="BG1849" s="3" t="s">
        <v>18340</v>
      </c>
    </row>
    <row r="1850" spans="1:59" ht="58" x14ac:dyDescent="0.35">
      <c r="A1850" s="2" t="s">
        <v>89</v>
      </c>
      <c r="B1850" s="2" t="s">
        <v>90</v>
      </c>
      <c r="C1850" s="2" t="s">
        <v>18341</v>
      </c>
      <c r="D1850" s="2" t="s">
        <v>18342</v>
      </c>
      <c r="E1850" s="2" t="s">
        <v>18343</v>
      </c>
      <c r="G1850" s="3" t="s">
        <v>62</v>
      </c>
      <c r="I1850" s="3" t="s">
        <v>62</v>
      </c>
      <c r="J1850" s="3" t="s">
        <v>61</v>
      </c>
      <c r="K1850" s="3" t="s">
        <v>63</v>
      </c>
      <c r="L1850" s="2" t="s">
        <v>18344</v>
      </c>
      <c r="M1850" s="2" t="s">
        <v>18345</v>
      </c>
      <c r="N1850" s="3" t="s">
        <v>129</v>
      </c>
      <c r="O1850" s="2" t="s">
        <v>11716</v>
      </c>
      <c r="P1850" s="3" t="s">
        <v>64</v>
      </c>
      <c r="R1850" s="3" t="s">
        <v>13065</v>
      </c>
      <c r="S1850" s="4">
        <v>1</v>
      </c>
      <c r="T1850" s="4">
        <v>1</v>
      </c>
      <c r="U1850" s="5" t="s">
        <v>2872</v>
      </c>
      <c r="V1850" s="5" t="s">
        <v>2872</v>
      </c>
      <c r="W1850" s="5" t="s">
        <v>67</v>
      </c>
      <c r="X1850" s="5" t="s">
        <v>67</v>
      </c>
      <c r="Y1850" s="4">
        <v>256</v>
      </c>
      <c r="Z1850" s="4">
        <v>21</v>
      </c>
      <c r="AA1850" s="4">
        <v>71</v>
      </c>
      <c r="AB1850" s="4">
        <v>1</v>
      </c>
      <c r="AC1850" s="4">
        <v>9</v>
      </c>
      <c r="AD1850" s="4">
        <v>32</v>
      </c>
      <c r="AE1850" s="4">
        <v>108</v>
      </c>
      <c r="AF1850" s="4">
        <v>0</v>
      </c>
      <c r="AG1850" s="4">
        <v>4</v>
      </c>
      <c r="AH1850" s="4">
        <v>28</v>
      </c>
      <c r="AI1850" s="4">
        <v>83</v>
      </c>
      <c r="AJ1850" s="4">
        <v>2</v>
      </c>
      <c r="AK1850" s="4">
        <v>18</v>
      </c>
      <c r="AL1850" s="4">
        <v>13</v>
      </c>
      <c r="AM1850" s="4">
        <v>44</v>
      </c>
      <c r="AN1850" s="4">
        <v>0</v>
      </c>
      <c r="AO1850" s="4">
        <v>0</v>
      </c>
      <c r="AP1850" s="4">
        <v>5</v>
      </c>
      <c r="AQ1850" s="4">
        <v>30</v>
      </c>
      <c r="AR1850" s="3" t="s">
        <v>62</v>
      </c>
      <c r="AS1850" s="3" t="s">
        <v>62</v>
      </c>
      <c r="AT1850" s="3" t="s">
        <v>62</v>
      </c>
      <c r="AV1850" s="6" t="str">
        <f>HYPERLINK("http://mcgill.on.worldcat.org/oclc/828625598","Catalog Record")</f>
        <v>Catalog Record</v>
      </c>
      <c r="AW1850" s="6" t="str">
        <f>HYPERLINK("http://www.worldcat.org/oclc/828625598","WorldCat Record")</f>
        <v>WorldCat Record</v>
      </c>
      <c r="AX1850" s="3" t="s">
        <v>18346</v>
      </c>
      <c r="AY1850" s="3" t="s">
        <v>18347</v>
      </c>
      <c r="AZ1850" s="3" t="s">
        <v>18348</v>
      </c>
      <c r="BA1850" s="3" t="s">
        <v>18348</v>
      </c>
      <c r="BB1850" s="3" t="s">
        <v>18349</v>
      </c>
      <c r="BC1850" s="3" t="s">
        <v>102</v>
      </c>
      <c r="BD1850" s="3" t="s">
        <v>68</v>
      </c>
      <c r="BE1850" s="3" t="s">
        <v>18350</v>
      </c>
      <c r="BF1850" s="3" t="s">
        <v>18349</v>
      </c>
      <c r="BG1850" s="3" t="s">
        <v>18351</v>
      </c>
    </row>
    <row r="1851" spans="1:59" ht="72.5" x14ac:dyDescent="0.35">
      <c r="A1851" s="2" t="s">
        <v>89</v>
      </c>
      <c r="B1851" s="2" t="s">
        <v>90</v>
      </c>
      <c r="C1851" s="2" t="s">
        <v>18352</v>
      </c>
      <c r="D1851" s="2" t="s">
        <v>18353</v>
      </c>
      <c r="E1851" s="2" t="s">
        <v>18354</v>
      </c>
      <c r="F1851" s="3" t="s">
        <v>18355</v>
      </c>
      <c r="G1851" s="3" t="s">
        <v>61</v>
      </c>
      <c r="I1851" s="3" t="s">
        <v>61</v>
      </c>
      <c r="J1851" s="3" t="s">
        <v>61</v>
      </c>
      <c r="K1851" s="3" t="s">
        <v>63</v>
      </c>
      <c r="L1851" s="2" t="s">
        <v>18356</v>
      </c>
      <c r="M1851" s="2" t="s">
        <v>18357</v>
      </c>
      <c r="N1851" s="3" t="s">
        <v>640</v>
      </c>
      <c r="O1851" s="2" t="s">
        <v>2986</v>
      </c>
      <c r="P1851" s="3" t="s">
        <v>64</v>
      </c>
      <c r="R1851" s="3" t="s">
        <v>13065</v>
      </c>
      <c r="S1851" s="4">
        <v>7</v>
      </c>
      <c r="T1851" s="4">
        <v>15</v>
      </c>
      <c r="U1851" s="5" t="s">
        <v>4040</v>
      </c>
      <c r="V1851" s="5" t="s">
        <v>4040</v>
      </c>
      <c r="W1851" s="5" t="s">
        <v>67</v>
      </c>
      <c r="X1851" s="5" t="s">
        <v>67</v>
      </c>
      <c r="Y1851" s="4">
        <v>131</v>
      </c>
      <c r="Z1851" s="4">
        <v>12</v>
      </c>
      <c r="AA1851" s="4">
        <v>18</v>
      </c>
      <c r="AB1851" s="4">
        <v>2</v>
      </c>
      <c r="AC1851" s="4">
        <v>2</v>
      </c>
      <c r="AD1851" s="4">
        <v>25</v>
      </c>
      <c r="AE1851" s="4">
        <v>42</v>
      </c>
      <c r="AF1851" s="4">
        <v>1</v>
      </c>
      <c r="AG1851" s="4">
        <v>1</v>
      </c>
      <c r="AH1851" s="4">
        <v>21</v>
      </c>
      <c r="AI1851" s="4">
        <v>36</v>
      </c>
      <c r="AJ1851" s="4">
        <v>5</v>
      </c>
      <c r="AK1851" s="4">
        <v>8</v>
      </c>
      <c r="AL1851" s="4">
        <v>12</v>
      </c>
      <c r="AM1851" s="4">
        <v>19</v>
      </c>
      <c r="AN1851" s="4">
        <v>0</v>
      </c>
      <c r="AO1851" s="4">
        <v>0</v>
      </c>
      <c r="AP1851" s="4">
        <v>6</v>
      </c>
      <c r="AQ1851" s="4">
        <v>10</v>
      </c>
      <c r="AR1851" s="3" t="s">
        <v>62</v>
      </c>
      <c r="AS1851" s="3" t="s">
        <v>62</v>
      </c>
      <c r="AT1851" s="3" t="s">
        <v>61</v>
      </c>
      <c r="AU1851" s="6" t="str">
        <f>HYPERLINK("http://catalog.hathitrust.org/Record/004761345","HathiTrust Record")</f>
        <v>HathiTrust Record</v>
      </c>
      <c r="AV1851" s="6" t="str">
        <f>HYPERLINK("http://mcgill.on.worldcat.org/oclc/50937217","Catalog Record")</f>
        <v>Catalog Record</v>
      </c>
      <c r="AW1851" s="6" t="str">
        <f>HYPERLINK("http://www.worldcat.org/oclc/50937217","WorldCat Record")</f>
        <v>WorldCat Record</v>
      </c>
      <c r="AX1851" s="3" t="s">
        <v>18358</v>
      </c>
      <c r="AY1851" s="3" t="s">
        <v>18359</v>
      </c>
      <c r="AZ1851" s="3" t="s">
        <v>18360</v>
      </c>
      <c r="BA1851" s="3" t="s">
        <v>18360</v>
      </c>
      <c r="BB1851" s="3" t="s">
        <v>18361</v>
      </c>
      <c r="BC1851" s="3" t="s">
        <v>102</v>
      </c>
      <c r="BD1851" s="3" t="s">
        <v>68</v>
      </c>
      <c r="BE1851" s="3" t="s">
        <v>18362</v>
      </c>
      <c r="BF1851" s="3" t="s">
        <v>18361</v>
      </c>
      <c r="BG1851" s="3" t="s">
        <v>18363</v>
      </c>
    </row>
    <row r="1852" spans="1:59" ht="72.5" x14ac:dyDescent="0.35">
      <c r="A1852" s="2" t="s">
        <v>89</v>
      </c>
      <c r="B1852" s="2" t="s">
        <v>90</v>
      </c>
      <c r="C1852" s="2" t="s">
        <v>18364</v>
      </c>
      <c r="D1852" s="2" t="s">
        <v>18365</v>
      </c>
      <c r="E1852" s="2" t="s">
        <v>18354</v>
      </c>
      <c r="G1852" s="3" t="s">
        <v>62</v>
      </c>
      <c r="I1852" s="3" t="s">
        <v>62</v>
      </c>
      <c r="J1852" s="3" t="s">
        <v>61</v>
      </c>
      <c r="K1852" s="3" t="s">
        <v>63</v>
      </c>
      <c r="L1852" s="2" t="s">
        <v>18356</v>
      </c>
      <c r="M1852" s="2" t="s">
        <v>18366</v>
      </c>
      <c r="N1852" s="3" t="s">
        <v>655</v>
      </c>
      <c r="O1852" s="2" t="s">
        <v>2458</v>
      </c>
      <c r="P1852" s="3" t="s">
        <v>64</v>
      </c>
      <c r="R1852" s="3" t="s">
        <v>13065</v>
      </c>
      <c r="S1852" s="4">
        <v>4</v>
      </c>
      <c r="T1852" s="4">
        <v>4</v>
      </c>
      <c r="U1852" s="5" t="s">
        <v>6738</v>
      </c>
      <c r="V1852" s="5" t="s">
        <v>6738</v>
      </c>
      <c r="W1852" s="5" t="s">
        <v>67</v>
      </c>
      <c r="X1852" s="5" t="s">
        <v>67</v>
      </c>
      <c r="Y1852" s="4">
        <v>165</v>
      </c>
      <c r="Z1852" s="4">
        <v>10</v>
      </c>
      <c r="AA1852" s="4">
        <v>18</v>
      </c>
      <c r="AB1852" s="4">
        <v>1</v>
      </c>
      <c r="AC1852" s="4">
        <v>2</v>
      </c>
      <c r="AD1852" s="4">
        <v>25</v>
      </c>
      <c r="AE1852" s="4">
        <v>42</v>
      </c>
      <c r="AF1852" s="4">
        <v>0</v>
      </c>
      <c r="AG1852" s="4">
        <v>1</v>
      </c>
      <c r="AH1852" s="4">
        <v>23</v>
      </c>
      <c r="AI1852" s="4">
        <v>36</v>
      </c>
      <c r="AJ1852" s="4">
        <v>4</v>
      </c>
      <c r="AK1852" s="4">
        <v>8</v>
      </c>
      <c r="AL1852" s="4">
        <v>12</v>
      </c>
      <c r="AM1852" s="4">
        <v>19</v>
      </c>
      <c r="AN1852" s="4">
        <v>0</v>
      </c>
      <c r="AO1852" s="4">
        <v>0</v>
      </c>
      <c r="AP1852" s="4">
        <v>5</v>
      </c>
      <c r="AQ1852" s="4">
        <v>10</v>
      </c>
      <c r="AR1852" s="3" t="s">
        <v>62</v>
      </c>
      <c r="AS1852" s="3" t="s">
        <v>62</v>
      </c>
      <c r="AT1852" s="3" t="s">
        <v>62</v>
      </c>
      <c r="AV1852" s="6" t="str">
        <f>HYPERLINK("http://mcgill.on.worldcat.org/oclc/61211417","Catalog Record")</f>
        <v>Catalog Record</v>
      </c>
      <c r="AW1852" s="6" t="str">
        <f>HYPERLINK("http://www.worldcat.org/oclc/61211417","WorldCat Record")</f>
        <v>WorldCat Record</v>
      </c>
      <c r="AX1852" s="3" t="s">
        <v>18358</v>
      </c>
      <c r="AY1852" s="3" t="s">
        <v>18367</v>
      </c>
      <c r="AZ1852" s="3" t="s">
        <v>18368</v>
      </c>
      <c r="BA1852" s="3" t="s">
        <v>18368</v>
      </c>
      <c r="BB1852" s="3" t="s">
        <v>18369</v>
      </c>
      <c r="BC1852" s="3" t="s">
        <v>102</v>
      </c>
      <c r="BD1852" s="3" t="s">
        <v>68</v>
      </c>
      <c r="BE1852" s="3" t="s">
        <v>18370</v>
      </c>
      <c r="BF1852" s="3" t="s">
        <v>18369</v>
      </c>
      <c r="BG1852" s="3" t="s">
        <v>18371</v>
      </c>
    </row>
    <row r="1853" spans="1:59" ht="72.5" x14ac:dyDescent="0.35">
      <c r="A1853" s="2" t="s">
        <v>89</v>
      </c>
      <c r="B1853" s="2" t="s">
        <v>90</v>
      </c>
      <c r="C1853" s="2" t="s">
        <v>18372</v>
      </c>
      <c r="D1853" s="2" t="s">
        <v>18373</v>
      </c>
      <c r="E1853" s="2" t="s">
        <v>18374</v>
      </c>
      <c r="G1853" s="3" t="s">
        <v>62</v>
      </c>
      <c r="I1853" s="3" t="s">
        <v>61</v>
      </c>
      <c r="J1853" s="3" t="s">
        <v>62</v>
      </c>
      <c r="K1853" s="3" t="s">
        <v>63</v>
      </c>
      <c r="L1853" s="2" t="s">
        <v>18375</v>
      </c>
      <c r="M1853" s="2" t="s">
        <v>18376</v>
      </c>
      <c r="N1853" s="3" t="s">
        <v>2136</v>
      </c>
      <c r="P1853" s="3" t="s">
        <v>64</v>
      </c>
      <c r="R1853" s="3" t="s">
        <v>13065</v>
      </c>
      <c r="S1853" s="4">
        <v>3</v>
      </c>
      <c r="T1853" s="4">
        <v>13</v>
      </c>
      <c r="U1853" s="5" t="s">
        <v>18377</v>
      </c>
      <c r="V1853" s="5" t="s">
        <v>2175</v>
      </c>
      <c r="W1853" s="5" t="s">
        <v>67</v>
      </c>
      <c r="X1853" s="5" t="s">
        <v>67</v>
      </c>
      <c r="Y1853" s="4">
        <v>867</v>
      </c>
      <c r="Z1853" s="4">
        <v>53</v>
      </c>
      <c r="AA1853" s="4">
        <v>73</v>
      </c>
      <c r="AB1853" s="4">
        <v>3</v>
      </c>
      <c r="AC1853" s="4">
        <v>10</v>
      </c>
      <c r="AD1853" s="4">
        <v>113</v>
      </c>
      <c r="AE1853" s="4">
        <v>129</v>
      </c>
      <c r="AF1853" s="4">
        <v>0</v>
      </c>
      <c r="AG1853" s="4">
        <v>5</v>
      </c>
      <c r="AH1853" s="4">
        <v>95</v>
      </c>
      <c r="AI1853" s="4">
        <v>103</v>
      </c>
      <c r="AJ1853" s="4">
        <v>17</v>
      </c>
      <c r="AK1853" s="4">
        <v>26</v>
      </c>
      <c r="AL1853" s="4">
        <v>48</v>
      </c>
      <c r="AM1853" s="4">
        <v>51</v>
      </c>
      <c r="AN1853" s="4">
        <v>0</v>
      </c>
      <c r="AO1853" s="4">
        <v>0</v>
      </c>
      <c r="AP1853" s="4">
        <v>24</v>
      </c>
      <c r="AQ1853" s="4">
        <v>33</v>
      </c>
      <c r="AR1853" s="3" t="s">
        <v>62</v>
      </c>
      <c r="AS1853" s="3" t="s">
        <v>62</v>
      </c>
      <c r="AT1853" s="3" t="s">
        <v>62</v>
      </c>
      <c r="AV1853" s="6" t="str">
        <f>HYPERLINK("http://mcgill.on.worldcat.org/oclc/65183407","Catalog Record")</f>
        <v>Catalog Record</v>
      </c>
      <c r="AW1853" s="6" t="str">
        <f>HYPERLINK("http://www.worldcat.org/oclc/65183407","WorldCat Record")</f>
        <v>WorldCat Record</v>
      </c>
      <c r="AX1853" s="3" t="s">
        <v>18378</v>
      </c>
      <c r="AY1853" s="3" t="s">
        <v>18379</v>
      </c>
      <c r="AZ1853" s="3" t="s">
        <v>18380</v>
      </c>
      <c r="BA1853" s="3" t="s">
        <v>18380</v>
      </c>
      <c r="BB1853" s="3" t="s">
        <v>18381</v>
      </c>
      <c r="BC1853" s="3" t="s">
        <v>102</v>
      </c>
      <c r="BD1853" s="3" t="s">
        <v>68</v>
      </c>
      <c r="BE1853" s="3" t="s">
        <v>18382</v>
      </c>
      <c r="BF1853" s="3" t="s">
        <v>18381</v>
      </c>
      <c r="BG1853" s="3" t="s">
        <v>18383</v>
      </c>
    </row>
    <row r="1854" spans="1:59" ht="72.5" x14ac:dyDescent="0.35">
      <c r="A1854" s="2" t="s">
        <v>89</v>
      </c>
      <c r="B1854" s="2" t="s">
        <v>90</v>
      </c>
      <c r="C1854" s="2" t="s">
        <v>18372</v>
      </c>
      <c r="D1854" s="2" t="s">
        <v>18373</v>
      </c>
      <c r="E1854" s="2" t="s">
        <v>18374</v>
      </c>
      <c r="G1854" s="3" t="s">
        <v>62</v>
      </c>
      <c r="I1854" s="3" t="s">
        <v>61</v>
      </c>
      <c r="J1854" s="3" t="s">
        <v>62</v>
      </c>
      <c r="K1854" s="3" t="s">
        <v>63</v>
      </c>
      <c r="L1854" s="2" t="s">
        <v>18375</v>
      </c>
      <c r="M1854" s="2" t="s">
        <v>18376</v>
      </c>
      <c r="N1854" s="3" t="s">
        <v>2136</v>
      </c>
      <c r="P1854" s="3" t="s">
        <v>64</v>
      </c>
      <c r="R1854" s="3" t="s">
        <v>13065</v>
      </c>
      <c r="S1854" s="4">
        <v>10</v>
      </c>
      <c r="T1854" s="4">
        <v>13</v>
      </c>
      <c r="U1854" s="5" t="s">
        <v>2175</v>
      </c>
      <c r="V1854" s="5" t="s">
        <v>2175</v>
      </c>
      <c r="W1854" s="5" t="s">
        <v>67</v>
      </c>
      <c r="X1854" s="5" t="s">
        <v>67</v>
      </c>
      <c r="Y1854" s="4">
        <v>867</v>
      </c>
      <c r="Z1854" s="4">
        <v>53</v>
      </c>
      <c r="AA1854" s="4">
        <v>73</v>
      </c>
      <c r="AB1854" s="4">
        <v>3</v>
      </c>
      <c r="AC1854" s="4">
        <v>10</v>
      </c>
      <c r="AD1854" s="4">
        <v>113</v>
      </c>
      <c r="AE1854" s="4">
        <v>129</v>
      </c>
      <c r="AF1854" s="4">
        <v>0</v>
      </c>
      <c r="AG1854" s="4">
        <v>5</v>
      </c>
      <c r="AH1854" s="4">
        <v>95</v>
      </c>
      <c r="AI1854" s="4">
        <v>103</v>
      </c>
      <c r="AJ1854" s="4">
        <v>17</v>
      </c>
      <c r="AK1854" s="4">
        <v>26</v>
      </c>
      <c r="AL1854" s="4">
        <v>48</v>
      </c>
      <c r="AM1854" s="4">
        <v>51</v>
      </c>
      <c r="AN1854" s="4">
        <v>0</v>
      </c>
      <c r="AO1854" s="4">
        <v>0</v>
      </c>
      <c r="AP1854" s="4">
        <v>24</v>
      </c>
      <c r="AQ1854" s="4">
        <v>33</v>
      </c>
      <c r="AR1854" s="3" t="s">
        <v>62</v>
      </c>
      <c r="AS1854" s="3" t="s">
        <v>62</v>
      </c>
      <c r="AT1854" s="3" t="s">
        <v>62</v>
      </c>
      <c r="AV1854" s="6" t="str">
        <f>HYPERLINK("http://mcgill.on.worldcat.org/oclc/65183407","Catalog Record")</f>
        <v>Catalog Record</v>
      </c>
      <c r="AW1854" s="6" t="str">
        <f>HYPERLINK("http://www.worldcat.org/oclc/65183407","WorldCat Record")</f>
        <v>WorldCat Record</v>
      </c>
      <c r="AX1854" s="3" t="s">
        <v>18378</v>
      </c>
      <c r="AY1854" s="3" t="s">
        <v>18379</v>
      </c>
      <c r="AZ1854" s="3" t="s">
        <v>18380</v>
      </c>
      <c r="BA1854" s="3" t="s">
        <v>18380</v>
      </c>
      <c r="BB1854" s="3" t="s">
        <v>18384</v>
      </c>
      <c r="BC1854" s="3" t="s">
        <v>102</v>
      </c>
      <c r="BD1854" s="3" t="s">
        <v>68</v>
      </c>
      <c r="BE1854" s="3" t="s">
        <v>18382</v>
      </c>
      <c r="BF1854" s="3" t="s">
        <v>18384</v>
      </c>
      <c r="BG1854" s="3" t="s">
        <v>18385</v>
      </c>
    </row>
    <row r="1855" spans="1:59" ht="58" x14ac:dyDescent="0.35">
      <c r="A1855" s="2" t="s">
        <v>89</v>
      </c>
      <c r="B1855" s="2" t="s">
        <v>90</v>
      </c>
      <c r="C1855" s="2" t="s">
        <v>18386</v>
      </c>
      <c r="D1855" s="2" t="s">
        <v>18387</v>
      </c>
      <c r="E1855" s="2" t="s">
        <v>18388</v>
      </c>
      <c r="G1855" s="3" t="s">
        <v>62</v>
      </c>
      <c r="I1855" s="3" t="s">
        <v>61</v>
      </c>
      <c r="J1855" s="3" t="s">
        <v>62</v>
      </c>
      <c r="K1855" s="3" t="s">
        <v>63</v>
      </c>
      <c r="L1855" s="2" t="s">
        <v>18389</v>
      </c>
      <c r="M1855" s="2" t="s">
        <v>18390</v>
      </c>
      <c r="N1855" s="3" t="s">
        <v>2136</v>
      </c>
      <c r="P1855" s="3" t="s">
        <v>64</v>
      </c>
      <c r="R1855" s="3" t="s">
        <v>13065</v>
      </c>
      <c r="S1855" s="4">
        <v>32</v>
      </c>
      <c r="T1855" s="4">
        <v>100</v>
      </c>
      <c r="U1855" s="5" t="s">
        <v>8024</v>
      </c>
      <c r="V1855" s="5" t="s">
        <v>8024</v>
      </c>
      <c r="W1855" s="5" t="s">
        <v>67</v>
      </c>
      <c r="X1855" s="5" t="s">
        <v>67</v>
      </c>
      <c r="Y1855" s="4">
        <v>224</v>
      </c>
      <c r="Z1855" s="4">
        <v>16</v>
      </c>
      <c r="AA1855" s="4">
        <v>24</v>
      </c>
      <c r="AB1855" s="4">
        <v>3</v>
      </c>
      <c r="AC1855" s="4">
        <v>4</v>
      </c>
      <c r="AD1855" s="4">
        <v>41</v>
      </c>
      <c r="AE1855" s="4">
        <v>50</v>
      </c>
      <c r="AF1855" s="4">
        <v>2</v>
      </c>
      <c r="AG1855" s="4">
        <v>3</v>
      </c>
      <c r="AH1855" s="4">
        <v>35</v>
      </c>
      <c r="AI1855" s="4">
        <v>40</v>
      </c>
      <c r="AJ1855" s="4">
        <v>7</v>
      </c>
      <c r="AK1855" s="4">
        <v>12</v>
      </c>
      <c r="AL1855" s="4">
        <v>15</v>
      </c>
      <c r="AM1855" s="4">
        <v>18</v>
      </c>
      <c r="AN1855" s="4">
        <v>0</v>
      </c>
      <c r="AO1855" s="4">
        <v>0</v>
      </c>
      <c r="AP1855" s="4">
        <v>9</v>
      </c>
      <c r="AQ1855" s="4">
        <v>14</v>
      </c>
      <c r="AR1855" s="3" t="s">
        <v>62</v>
      </c>
      <c r="AS1855" s="3" t="s">
        <v>62</v>
      </c>
      <c r="AT1855" s="3" t="s">
        <v>62</v>
      </c>
      <c r="AV1855" s="6" t="str">
        <f>HYPERLINK("http://mcgill.on.worldcat.org/oclc/56672048","Catalog Record")</f>
        <v>Catalog Record</v>
      </c>
      <c r="AW1855" s="6" t="str">
        <f>HYPERLINK("http://www.worldcat.org/oclc/56672048","WorldCat Record")</f>
        <v>WorldCat Record</v>
      </c>
      <c r="AX1855" s="3" t="s">
        <v>18391</v>
      </c>
      <c r="AY1855" s="3" t="s">
        <v>18392</v>
      </c>
      <c r="AZ1855" s="3" t="s">
        <v>18393</v>
      </c>
      <c r="BA1855" s="3" t="s">
        <v>18393</v>
      </c>
      <c r="BB1855" s="3" t="s">
        <v>18394</v>
      </c>
      <c r="BC1855" s="3" t="s">
        <v>102</v>
      </c>
      <c r="BD1855" s="3" t="s">
        <v>231</v>
      </c>
      <c r="BE1855" s="3" t="s">
        <v>18395</v>
      </c>
      <c r="BF1855" s="3" t="s">
        <v>18394</v>
      </c>
      <c r="BG1855" s="3" t="s">
        <v>18396</v>
      </c>
    </row>
    <row r="1856" spans="1:59" ht="58" x14ac:dyDescent="0.35">
      <c r="A1856" s="2" t="s">
        <v>89</v>
      </c>
      <c r="B1856" s="2" t="s">
        <v>90</v>
      </c>
      <c r="C1856" s="2" t="s">
        <v>18397</v>
      </c>
      <c r="D1856" s="2" t="s">
        <v>18398</v>
      </c>
      <c r="E1856" s="2" t="s">
        <v>18331</v>
      </c>
      <c r="G1856" s="3" t="s">
        <v>62</v>
      </c>
      <c r="I1856" s="3" t="s">
        <v>61</v>
      </c>
      <c r="J1856" s="3" t="s">
        <v>61</v>
      </c>
      <c r="K1856" s="3" t="s">
        <v>63</v>
      </c>
      <c r="L1856" s="2" t="s">
        <v>18399</v>
      </c>
      <c r="M1856" s="2" t="s">
        <v>18400</v>
      </c>
      <c r="N1856" s="3" t="s">
        <v>684</v>
      </c>
      <c r="O1856" s="2" t="s">
        <v>17030</v>
      </c>
      <c r="P1856" s="3" t="s">
        <v>64</v>
      </c>
      <c r="R1856" s="3" t="s">
        <v>13065</v>
      </c>
      <c r="S1856" s="4">
        <v>25</v>
      </c>
      <c r="T1856" s="4">
        <v>43</v>
      </c>
      <c r="U1856" s="5" t="s">
        <v>4989</v>
      </c>
      <c r="V1856" s="5" t="s">
        <v>10262</v>
      </c>
      <c r="W1856" s="5" t="s">
        <v>67</v>
      </c>
      <c r="X1856" s="5" t="s">
        <v>67</v>
      </c>
      <c r="Y1856" s="4">
        <v>108</v>
      </c>
      <c r="Z1856" s="4">
        <v>10</v>
      </c>
      <c r="AA1856" s="4">
        <v>60</v>
      </c>
      <c r="AB1856" s="4">
        <v>1</v>
      </c>
      <c r="AC1856" s="4">
        <v>11</v>
      </c>
      <c r="AD1856" s="4">
        <v>13</v>
      </c>
      <c r="AE1856" s="4">
        <v>102</v>
      </c>
      <c r="AF1856" s="4">
        <v>0</v>
      </c>
      <c r="AG1856" s="4">
        <v>4</v>
      </c>
      <c r="AH1856" s="4">
        <v>11</v>
      </c>
      <c r="AI1856" s="4">
        <v>82</v>
      </c>
      <c r="AJ1856" s="4">
        <v>3</v>
      </c>
      <c r="AK1856" s="4">
        <v>18</v>
      </c>
      <c r="AL1856" s="4">
        <v>6</v>
      </c>
      <c r="AM1856" s="4">
        <v>42</v>
      </c>
      <c r="AN1856" s="4">
        <v>0</v>
      </c>
      <c r="AO1856" s="4">
        <v>5</v>
      </c>
      <c r="AP1856" s="4">
        <v>4</v>
      </c>
      <c r="AQ1856" s="4">
        <v>29</v>
      </c>
      <c r="AR1856" s="3" t="s">
        <v>62</v>
      </c>
      <c r="AS1856" s="3" t="s">
        <v>62</v>
      </c>
      <c r="AT1856" s="3" t="s">
        <v>62</v>
      </c>
      <c r="AV1856" s="6" t="str">
        <f>HYPERLINK("http://mcgill.on.worldcat.org/oclc/501945175","Catalog Record")</f>
        <v>Catalog Record</v>
      </c>
      <c r="AW1856" s="6" t="str">
        <f>HYPERLINK("http://www.worldcat.org/oclc/501945175","WorldCat Record")</f>
        <v>WorldCat Record</v>
      </c>
      <c r="AX1856" s="3" t="s">
        <v>18335</v>
      </c>
      <c r="AY1856" s="3" t="s">
        <v>18401</v>
      </c>
      <c r="AZ1856" s="3" t="s">
        <v>18402</v>
      </c>
      <c r="BA1856" s="3" t="s">
        <v>18402</v>
      </c>
      <c r="BB1856" s="3" t="s">
        <v>18403</v>
      </c>
      <c r="BC1856" s="3" t="s">
        <v>102</v>
      </c>
      <c r="BD1856" s="3" t="s">
        <v>68</v>
      </c>
      <c r="BE1856" s="3" t="s">
        <v>18404</v>
      </c>
      <c r="BF1856" s="3" t="s">
        <v>18403</v>
      </c>
      <c r="BG1856" s="3" t="s">
        <v>18405</v>
      </c>
    </row>
    <row r="1857" spans="1:59" ht="58" x14ac:dyDescent="0.35">
      <c r="A1857" s="2" t="s">
        <v>89</v>
      </c>
      <c r="B1857" s="2" t="s">
        <v>90</v>
      </c>
      <c r="C1857" s="2" t="s">
        <v>18406</v>
      </c>
      <c r="D1857" s="2" t="s">
        <v>18407</v>
      </c>
      <c r="E1857" s="2" t="s">
        <v>18408</v>
      </c>
      <c r="G1857" s="3" t="s">
        <v>62</v>
      </c>
      <c r="I1857" s="3" t="s">
        <v>62</v>
      </c>
      <c r="J1857" s="3" t="s">
        <v>62</v>
      </c>
      <c r="K1857" s="3" t="s">
        <v>63</v>
      </c>
      <c r="L1857" s="2" t="s">
        <v>18409</v>
      </c>
      <c r="M1857" s="2" t="s">
        <v>18410</v>
      </c>
      <c r="N1857" s="3" t="s">
        <v>1722</v>
      </c>
      <c r="P1857" s="3" t="s">
        <v>64</v>
      </c>
      <c r="R1857" s="3" t="s">
        <v>13065</v>
      </c>
      <c r="S1857" s="4">
        <v>9</v>
      </c>
      <c r="T1857" s="4">
        <v>9</v>
      </c>
      <c r="U1857" s="5" t="s">
        <v>18411</v>
      </c>
      <c r="V1857" s="5" t="s">
        <v>18411</v>
      </c>
      <c r="W1857" s="5" t="s">
        <v>67</v>
      </c>
      <c r="X1857" s="5" t="s">
        <v>67</v>
      </c>
      <c r="Y1857" s="4">
        <v>214</v>
      </c>
      <c r="Z1857" s="4">
        <v>12</v>
      </c>
      <c r="AA1857" s="4">
        <v>23</v>
      </c>
      <c r="AB1857" s="4">
        <v>1</v>
      </c>
      <c r="AC1857" s="4">
        <v>5</v>
      </c>
      <c r="AD1857" s="4">
        <v>42</v>
      </c>
      <c r="AE1857" s="4">
        <v>50</v>
      </c>
      <c r="AF1857" s="4">
        <v>0</v>
      </c>
      <c r="AG1857" s="4">
        <v>2</v>
      </c>
      <c r="AH1857" s="4">
        <v>38</v>
      </c>
      <c r="AI1857" s="4">
        <v>42</v>
      </c>
      <c r="AJ1857" s="4">
        <v>5</v>
      </c>
      <c r="AK1857" s="4">
        <v>9</v>
      </c>
      <c r="AL1857" s="4">
        <v>22</v>
      </c>
      <c r="AM1857" s="4">
        <v>22</v>
      </c>
      <c r="AN1857" s="4">
        <v>0</v>
      </c>
      <c r="AO1857" s="4">
        <v>0</v>
      </c>
      <c r="AP1857" s="4">
        <v>6</v>
      </c>
      <c r="AQ1857" s="4">
        <v>10</v>
      </c>
      <c r="AR1857" s="3" t="s">
        <v>62</v>
      </c>
      <c r="AS1857" s="3" t="s">
        <v>62</v>
      </c>
      <c r="AT1857" s="3" t="s">
        <v>62</v>
      </c>
      <c r="AV1857" s="6" t="str">
        <f>HYPERLINK("http://mcgill.on.worldcat.org/oclc/220006961","Catalog Record")</f>
        <v>Catalog Record</v>
      </c>
      <c r="AW1857" s="6" t="str">
        <f>HYPERLINK("http://www.worldcat.org/oclc/220006961","WorldCat Record")</f>
        <v>WorldCat Record</v>
      </c>
      <c r="AX1857" s="3" t="s">
        <v>18412</v>
      </c>
      <c r="AY1857" s="3" t="s">
        <v>18413</v>
      </c>
      <c r="AZ1857" s="3" t="s">
        <v>18414</v>
      </c>
      <c r="BA1857" s="3" t="s">
        <v>18414</v>
      </c>
      <c r="BB1857" s="3" t="s">
        <v>18415</v>
      </c>
      <c r="BC1857" s="3" t="s">
        <v>102</v>
      </c>
      <c r="BD1857" s="3" t="s">
        <v>68</v>
      </c>
      <c r="BE1857" s="3" t="s">
        <v>18416</v>
      </c>
      <c r="BF1857" s="3" t="s">
        <v>18415</v>
      </c>
      <c r="BG1857" s="3" t="s">
        <v>18417</v>
      </c>
    </row>
    <row r="1858" spans="1:59" ht="58" x14ac:dyDescent="0.35">
      <c r="A1858" s="2" t="s">
        <v>89</v>
      </c>
      <c r="B1858" s="2" t="s">
        <v>90</v>
      </c>
      <c r="C1858" s="2" t="s">
        <v>18418</v>
      </c>
      <c r="D1858" s="2" t="s">
        <v>18419</v>
      </c>
      <c r="E1858" s="2" t="s">
        <v>18420</v>
      </c>
      <c r="G1858" s="3" t="s">
        <v>62</v>
      </c>
      <c r="I1858" s="3" t="s">
        <v>62</v>
      </c>
      <c r="J1858" s="3" t="s">
        <v>62</v>
      </c>
      <c r="K1858" s="3" t="s">
        <v>63</v>
      </c>
      <c r="L1858" s="2" t="s">
        <v>18421</v>
      </c>
      <c r="M1858" s="2" t="s">
        <v>18422</v>
      </c>
      <c r="N1858" s="3" t="s">
        <v>481</v>
      </c>
      <c r="P1858" s="3" t="s">
        <v>64</v>
      </c>
      <c r="Q1858" s="2" t="s">
        <v>10499</v>
      </c>
      <c r="R1858" s="3" t="s">
        <v>13065</v>
      </c>
      <c r="S1858" s="4">
        <v>17</v>
      </c>
      <c r="T1858" s="4">
        <v>17</v>
      </c>
      <c r="U1858" s="5" t="s">
        <v>16979</v>
      </c>
      <c r="V1858" s="5" t="s">
        <v>16979</v>
      </c>
      <c r="W1858" s="5" t="s">
        <v>67</v>
      </c>
      <c r="X1858" s="5" t="s">
        <v>67</v>
      </c>
      <c r="Y1858" s="4">
        <v>227</v>
      </c>
      <c r="Z1858" s="4">
        <v>14</v>
      </c>
      <c r="AA1858" s="4">
        <v>20</v>
      </c>
      <c r="AB1858" s="4">
        <v>1</v>
      </c>
      <c r="AC1858" s="4">
        <v>4</v>
      </c>
      <c r="AD1858" s="4">
        <v>70</v>
      </c>
      <c r="AE1858" s="4">
        <v>77</v>
      </c>
      <c r="AF1858" s="4">
        <v>0</v>
      </c>
      <c r="AG1858" s="4">
        <v>3</v>
      </c>
      <c r="AH1858" s="4">
        <v>67</v>
      </c>
      <c r="AI1858" s="4">
        <v>70</v>
      </c>
      <c r="AJ1858" s="4">
        <v>8</v>
      </c>
      <c r="AK1858" s="4">
        <v>12</v>
      </c>
      <c r="AL1858" s="4">
        <v>36</v>
      </c>
      <c r="AM1858" s="4">
        <v>36</v>
      </c>
      <c r="AN1858" s="4">
        <v>0</v>
      </c>
      <c r="AO1858" s="4">
        <v>0</v>
      </c>
      <c r="AP1858" s="4">
        <v>9</v>
      </c>
      <c r="AQ1858" s="4">
        <v>15</v>
      </c>
      <c r="AR1858" s="3" t="s">
        <v>62</v>
      </c>
      <c r="AS1858" s="3" t="s">
        <v>62</v>
      </c>
      <c r="AT1858" s="3" t="s">
        <v>61</v>
      </c>
      <c r="AU1858" s="6" t="str">
        <f>HYPERLINK("http://catalog.hathitrust.org/Record/003180857","HathiTrust Record")</f>
        <v>HathiTrust Record</v>
      </c>
      <c r="AV1858" s="6" t="str">
        <f>HYPERLINK("http://mcgill.on.worldcat.org/oclc/37132574","Catalog Record")</f>
        <v>Catalog Record</v>
      </c>
      <c r="AW1858" s="6" t="str">
        <f>HYPERLINK("http://www.worldcat.org/oclc/37132574","WorldCat Record")</f>
        <v>WorldCat Record</v>
      </c>
      <c r="AX1858" s="3" t="s">
        <v>18423</v>
      </c>
      <c r="AY1858" s="3" t="s">
        <v>18424</v>
      </c>
      <c r="AZ1858" s="3" t="s">
        <v>18425</v>
      </c>
      <c r="BA1858" s="3" t="s">
        <v>18425</v>
      </c>
      <c r="BB1858" s="3" t="s">
        <v>18426</v>
      </c>
      <c r="BC1858" s="3" t="s">
        <v>102</v>
      </c>
      <c r="BD1858" s="3" t="s">
        <v>231</v>
      </c>
      <c r="BE1858" s="3" t="s">
        <v>18427</v>
      </c>
      <c r="BF1858" s="3" t="s">
        <v>18426</v>
      </c>
      <c r="BG1858" s="3" t="s">
        <v>18428</v>
      </c>
    </row>
    <row r="1859" spans="1:59" ht="58" x14ac:dyDescent="0.35">
      <c r="A1859" s="2" t="s">
        <v>89</v>
      </c>
      <c r="B1859" s="2" t="s">
        <v>90</v>
      </c>
      <c r="C1859" s="2" t="s">
        <v>18429</v>
      </c>
      <c r="D1859" s="2" t="s">
        <v>18430</v>
      </c>
      <c r="E1859" s="2" t="s">
        <v>18431</v>
      </c>
      <c r="F1859" s="3" t="s">
        <v>102</v>
      </c>
      <c r="G1859" s="3" t="s">
        <v>62</v>
      </c>
      <c r="I1859" s="3" t="s">
        <v>62</v>
      </c>
      <c r="J1859" s="3" t="s">
        <v>62</v>
      </c>
      <c r="K1859" s="3" t="s">
        <v>63</v>
      </c>
      <c r="L1859" s="2" t="s">
        <v>18432</v>
      </c>
      <c r="M1859" s="2" t="s">
        <v>18433</v>
      </c>
      <c r="N1859" s="3" t="s">
        <v>509</v>
      </c>
      <c r="P1859" s="3" t="s">
        <v>64</v>
      </c>
      <c r="R1859" s="3" t="s">
        <v>13065</v>
      </c>
      <c r="S1859" s="4">
        <v>47</v>
      </c>
      <c r="T1859" s="4">
        <v>47</v>
      </c>
      <c r="U1859" s="5" t="s">
        <v>5821</v>
      </c>
      <c r="V1859" s="5" t="s">
        <v>5821</v>
      </c>
      <c r="W1859" s="5" t="s">
        <v>67</v>
      </c>
      <c r="X1859" s="5" t="s">
        <v>67</v>
      </c>
      <c r="Y1859" s="4">
        <v>57</v>
      </c>
      <c r="Z1859" s="4">
        <v>2</v>
      </c>
      <c r="AA1859" s="4">
        <v>2</v>
      </c>
      <c r="AB1859" s="4">
        <v>1</v>
      </c>
      <c r="AC1859" s="4">
        <v>1</v>
      </c>
      <c r="AD1859" s="4">
        <v>6</v>
      </c>
      <c r="AE1859" s="4">
        <v>6</v>
      </c>
      <c r="AF1859" s="4">
        <v>0</v>
      </c>
      <c r="AG1859" s="4">
        <v>0</v>
      </c>
      <c r="AH1859" s="4">
        <v>5</v>
      </c>
      <c r="AI1859" s="4">
        <v>5</v>
      </c>
      <c r="AJ1859" s="4">
        <v>1</v>
      </c>
      <c r="AK1859" s="4">
        <v>1</v>
      </c>
      <c r="AL1859" s="4">
        <v>2</v>
      </c>
      <c r="AM1859" s="4">
        <v>2</v>
      </c>
      <c r="AN1859" s="4">
        <v>0</v>
      </c>
      <c r="AO1859" s="4">
        <v>0</v>
      </c>
      <c r="AP1859" s="4">
        <v>0</v>
      </c>
      <c r="AQ1859" s="4">
        <v>0</v>
      </c>
      <c r="AR1859" s="3" t="s">
        <v>62</v>
      </c>
      <c r="AS1859" s="3" t="s">
        <v>62</v>
      </c>
      <c r="AT1859" s="3" t="s">
        <v>62</v>
      </c>
      <c r="AV1859" s="6" t="str">
        <f>HYPERLINK("http://mcgill.on.worldcat.org/oclc/31304889","Catalog Record")</f>
        <v>Catalog Record</v>
      </c>
      <c r="AW1859" s="6" t="str">
        <f>HYPERLINK("http://www.worldcat.org/oclc/31304889","WorldCat Record")</f>
        <v>WorldCat Record</v>
      </c>
      <c r="AX1859" s="3" t="s">
        <v>18434</v>
      </c>
      <c r="AY1859" s="3" t="s">
        <v>18435</v>
      </c>
      <c r="AZ1859" s="3" t="s">
        <v>18436</v>
      </c>
      <c r="BA1859" s="3" t="s">
        <v>18436</v>
      </c>
      <c r="BB1859" s="3" t="s">
        <v>18437</v>
      </c>
      <c r="BC1859" s="3" t="s">
        <v>102</v>
      </c>
      <c r="BD1859" s="3" t="s">
        <v>68</v>
      </c>
      <c r="BE1859" s="3" t="s">
        <v>18438</v>
      </c>
      <c r="BF1859" s="3" t="s">
        <v>18437</v>
      </c>
      <c r="BG1859" s="3" t="s">
        <v>18439</v>
      </c>
    </row>
    <row r="1860" spans="1:59" ht="58" x14ac:dyDescent="0.35">
      <c r="A1860" s="2" t="s">
        <v>89</v>
      </c>
      <c r="B1860" s="2" t="s">
        <v>90</v>
      </c>
      <c r="C1860" s="2" t="s">
        <v>18440</v>
      </c>
      <c r="D1860" s="2" t="s">
        <v>18441</v>
      </c>
      <c r="E1860" s="2" t="s">
        <v>18442</v>
      </c>
      <c r="G1860" s="3" t="s">
        <v>62</v>
      </c>
      <c r="I1860" s="3" t="s">
        <v>62</v>
      </c>
      <c r="J1860" s="3" t="s">
        <v>61</v>
      </c>
      <c r="K1860" s="3" t="s">
        <v>63</v>
      </c>
      <c r="M1860" s="2" t="s">
        <v>18443</v>
      </c>
      <c r="N1860" s="3" t="s">
        <v>1722</v>
      </c>
      <c r="O1860" s="2" t="s">
        <v>2986</v>
      </c>
      <c r="P1860" s="3" t="s">
        <v>64</v>
      </c>
      <c r="R1860" s="3" t="s">
        <v>13065</v>
      </c>
      <c r="S1860" s="4">
        <v>15</v>
      </c>
      <c r="T1860" s="4">
        <v>15</v>
      </c>
      <c r="U1860" s="5" t="s">
        <v>468</v>
      </c>
      <c r="V1860" s="5" t="s">
        <v>468</v>
      </c>
      <c r="W1860" s="5" t="s">
        <v>67</v>
      </c>
      <c r="X1860" s="5" t="s">
        <v>67</v>
      </c>
      <c r="Y1860" s="4">
        <v>237</v>
      </c>
      <c r="Z1860" s="4">
        <v>41</v>
      </c>
      <c r="AA1860" s="4">
        <v>65</v>
      </c>
      <c r="AB1860" s="4">
        <v>3</v>
      </c>
      <c r="AC1860" s="4">
        <v>10</v>
      </c>
      <c r="AD1860" s="4">
        <v>66</v>
      </c>
      <c r="AE1860" s="4">
        <v>129</v>
      </c>
      <c r="AF1860" s="4">
        <v>1</v>
      </c>
      <c r="AG1860" s="4">
        <v>5</v>
      </c>
      <c r="AH1860" s="4">
        <v>49</v>
      </c>
      <c r="AI1860" s="4">
        <v>104</v>
      </c>
      <c r="AJ1860" s="4">
        <v>15</v>
      </c>
      <c r="AK1860" s="4">
        <v>24</v>
      </c>
      <c r="AL1860" s="4">
        <v>24</v>
      </c>
      <c r="AM1860" s="4">
        <v>51</v>
      </c>
      <c r="AN1860" s="4">
        <v>0</v>
      </c>
      <c r="AO1860" s="4">
        <v>0</v>
      </c>
      <c r="AP1860" s="4">
        <v>24</v>
      </c>
      <c r="AQ1860" s="4">
        <v>35</v>
      </c>
      <c r="AR1860" s="3" t="s">
        <v>62</v>
      </c>
      <c r="AS1860" s="3" t="s">
        <v>62</v>
      </c>
      <c r="AT1860" s="3" t="s">
        <v>61</v>
      </c>
      <c r="AU1860" s="6" t="str">
        <f>HYPERLINK("http://catalog.hathitrust.org/Record/006308757","HathiTrust Record")</f>
        <v>HathiTrust Record</v>
      </c>
      <c r="AV1860" s="6" t="str">
        <f>HYPERLINK("http://mcgill.on.worldcat.org/oclc/199464527","Catalog Record")</f>
        <v>Catalog Record</v>
      </c>
      <c r="AW1860" s="6" t="str">
        <f>HYPERLINK("http://www.worldcat.org/oclc/199464527","WorldCat Record")</f>
        <v>WorldCat Record</v>
      </c>
      <c r="AX1860" s="3" t="s">
        <v>18444</v>
      </c>
      <c r="AY1860" s="3" t="s">
        <v>18445</v>
      </c>
      <c r="AZ1860" s="3" t="s">
        <v>18446</v>
      </c>
      <c r="BA1860" s="3" t="s">
        <v>18446</v>
      </c>
      <c r="BB1860" s="3" t="s">
        <v>18447</v>
      </c>
      <c r="BC1860" s="3" t="s">
        <v>102</v>
      </c>
      <c r="BD1860" s="3" t="s">
        <v>68</v>
      </c>
      <c r="BE1860" s="3" t="s">
        <v>18448</v>
      </c>
      <c r="BF1860" s="3" t="s">
        <v>18447</v>
      </c>
      <c r="BG1860" s="3" t="s">
        <v>18449</v>
      </c>
    </row>
    <row r="1861" spans="1:59" ht="58" x14ac:dyDescent="0.35">
      <c r="A1861" s="2" t="s">
        <v>89</v>
      </c>
      <c r="B1861" s="2" t="s">
        <v>90</v>
      </c>
      <c r="C1861" s="2" t="s">
        <v>18450</v>
      </c>
      <c r="D1861" s="2" t="s">
        <v>18451</v>
      </c>
      <c r="E1861" s="2" t="s">
        <v>18452</v>
      </c>
      <c r="G1861" s="3" t="s">
        <v>62</v>
      </c>
      <c r="I1861" s="3" t="s">
        <v>61</v>
      </c>
      <c r="J1861" s="3" t="s">
        <v>61</v>
      </c>
      <c r="K1861" s="3" t="s">
        <v>63</v>
      </c>
      <c r="L1861" s="2" t="s">
        <v>18453</v>
      </c>
      <c r="M1861" s="2" t="s">
        <v>18454</v>
      </c>
      <c r="N1861" s="3" t="s">
        <v>655</v>
      </c>
      <c r="O1861" s="2" t="s">
        <v>17018</v>
      </c>
      <c r="P1861" s="3" t="s">
        <v>64</v>
      </c>
      <c r="R1861" s="3" t="s">
        <v>13065</v>
      </c>
      <c r="S1861" s="4">
        <v>79</v>
      </c>
      <c r="T1861" s="4">
        <v>108</v>
      </c>
      <c r="U1861" s="5" t="s">
        <v>18455</v>
      </c>
      <c r="V1861" s="5" t="s">
        <v>6955</v>
      </c>
      <c r="W1861" s="5" t="s">
        <v>67</v>
      </c>
      <c r="X1861" s="5" t="s">
        <v>67</v>
      </c>
      <c r="Y1861" s="4">
        <v>190</v>
      </c>
      <c r="Z1861" s="4">
        <v>17</v>
      </c>
      <c r="AA1861" s="4">
        <v>70</v>
      </c>
      <c r="AB1861" s="4">
        <v>1</v>
      </c>
      <c r="AC1861" s="4">
        <v>17</v>
      </c>
      <c r="AD1861" s="4">
        <v>31</v>
      </c>
      <c r="AE1861" s="4">
        <v>113</v>
      </c>
      <c r="AF1861" s="4">
        <v>0</v>
      </c>
      <c r="AG1861" s="4">
        <v>8</v>
      </c>
      <c r="AH1861" s="4">
        <v>25</v>
      </c>
      <c r="AI1861" s="4">
        <v>86</v>
      </c>
      <c r="AJ1861" s="4">
        <v>6</v>
      </c>
      <c r="AK1861" s="4">
        <v>20</v>
      </c>
      <c r="AL1861" s="4">
        <v>10</v>
      </c>
      <c r="AM1861" s="4">
        <v>43</v>
      </c>
      <c r="AN1861" s="4">
        <v>0</v>
      </c>
      <c r="AO1861" s="4">
        <v>0</v>
      </c>
      <c r="AP1861" s="4">
        <v>10</v>
      </c>
      <c r="AQ1861" s="4">
        <v>36</v>
      </c>
      <c r="AR1861" s="3" t="s">
        <v>62</v>
      </c>
      <c r="AS1861" s="3" t="s">
        <v>62</v>
      </c>
      <c r="AT1861" s="3" t="s">
        <v>62</v>
      </c>
      <c r="AV1861" s="6" t="str">
        <f>HYPERLINK("http://mcgill.on.worldcat.org/oclc/68622917","Catalog Record")</f>
        <v>Catalog Record</v>
      </c>
      <c r="AW1861" s="6" t="str">
        <f>HYPERLINK("http://www.worldcat.org/oclc/68622917","WorldCat Record")</f>
        <v>WorldCat Record</v>
      </c>
      <c r="AX1861" s="3" t="s">
        <v>18456</v>
      </c>
      <c r="AY1861" s="3" t="s">
        <v>18457</v>
      </c>
      <c r="AZ1861" s="3" t="s">
        <v>18458</v>
      </c>
      <c r="BA1861" s="3" t="s">
        <v>18458</v>
      </c>
      <c r="BB1861" s="3" t="s">
        <v>18459</v>
      </c>
      <c r="BC1861" s="3" t="s">
        <v>102</v>
      </c>
      <c r="BD1861" s="3" t="s">
        <v>68</v>
      </c>
      <c r="BE1861" s="3" t="s">
        <v>18460</v>
      </c>
      <c r="BF1861" s="3" t="s">
        <v>18459</v>
      </c>
      <c r="BG1861" s="3" t="s">
        <v>18461</v>
      </c>
    </row>
    <row r="1862" spans="1:59" ht="58" x14ac:dyDescent="0.35">
      <c r="A1862" s="2" t="s">
        <v>89</v>
      </c>
      <c r="B1862" s="2" t="s">
        <v>90</v>
      </c>
      <c r="C1862" s="2" t="s">
        <v>18462</v>
      </c>
      <c r="D1862" s="2" t="s">
        <v>18463</v>
      </c>
      <c r="E1862" s="2" t="s">
        <v>18464</v>
      </c>
      <c r="G1862" s="3" t="s">
        <v>62</v>
      </c>
      <c r="I1862" s="3" t="s">
        <v>62</v>
      </c>
      <c r="J1862" s="3" t="s">
        <v>61</v>
      </c>
      <c r="K1862" s="3" t="s">
        <v>63</v>
      </c>
      <c r="L1862" s="2" t="s">
        <v>18453</v>
      </c>
      <c r="M1862" s="2" t="s">
        <v>18465</v>
      </c>
      <c r="N1862" s="3" t="s">
        <v>2985</v>
      </c>
      <c r="O1862" s="2" t="s">
        <v>17030</v>
      </c>
      <c r="P1862" s="3" t="s">
        <v>64</v>
      </c>
      <c r="R1862" s="3" t="s">
        <v>13065</v>
      </c>
      <c r="S1862" s="4">
        <v>46</v>
      </c>
      <c r="T1862" s="4">
        <v>46</v>
      </c>
      <c r="U1862" s="5" t="s">
        <v>6141</v>
      </c>
      <c r="V1862" s="5" t="s">
        <v>6141</v>
      </c>
      <c r="W1862" s="5" t="s">
        <v>67</v>
      </c>
      <c r="X1862" s="5" t="s">
        <v>67</v>
      </c>
      <c r="Y1862" s="4">
        <v>150</v>
      </c>
      <c r="Z1862" s="4">
        <v>12</v>
      </c>
      <c r="AA1862" s="4">
        <v>70</v>
      </c>
      <c r="AB1862" s="4">
        <v>2</v>
      </c>
      <c r="AC1862" s="4">
        <v>17</v>
      </c>
      <c r="AD1862" s="4">
        <v>23</v>
      </c>
      <c r="AE1862" s="4">
        <v>113</v>
      </c>
      <c r="AF1862" s="4">
        <v>0</v>
      </c>
      <c r="AG1862" s="4">
        <v>8</v>
      </c>
      <c r="AH1862" s="4">
        <v>21</v>
      </c>
      <c r="AI1862" s="4">
        <v>86</v>
      </c>
      <c r="AJ1862" s="4">
        <v>1</v>
      </c>
      <c r="AK1862" s="4">
        <v>20</v>
      </c>
      <c r="AL1862" s="4">
        <v>17</v>
      </c>
      <c r="AM1862" s="4">
        <v>43</v>
      </c>
      <c r="AN1862" s="4">
        <v>0</v>
      </c>
      <c r="AO1862" s="4">
        <v>0</v>
      </c>
      <c r="AP1862" s="4">
        <v>2</v>
      </c>
      <c r="AQ1862" s="4">
        <v>36</v>
      </c>
      <c r="AR1862" s="3" t="s">
        <v>62</v>
      </c>
      <c r="AS1862" s="3" t="s">
        <v>62</v>
      </c>
      <c r="AT1862" s="3" t="s">
        <v>62</v>
      </c>
      <c r="AV1862" s="6" t="str">
        <f>HYPERLINK("http://mcgill.on.worldcat.org/oclc/185026609","Catalog Record")</f>
        <v>Catalog Record</v>
      </c>
      <c r="AW1862" s="6" t="str">
        <f>HYPERLINK("http://www.worldcat.org/oclc/185026609","WorldCat Record")</f>
        <v>WorldCat Record</v>
      </c>
      <c r="AX1862" s="3" t="s">
        <v>18456</v>
      </c>
      <c r="AY1862" s="3" t="s">
        <v>18466</v>
      </c>
      <c r="AZ1862" s="3" t="s">
        <v>18467</v>
      </c>
      <c r="BA1862" s="3" t="s">
        <v>18467</v>
      </c>
      <c r="BB1862" s="3" t="s">
        <v>18468</v>
      </c>
      <c r="BC1862" s="3" t="s">
        <v>102</v>
      </c>
      <c r="BD1862" s="3" t="s">
        <v>231</v>
      </c>
      <c r="BE1862" s="3" t="s">
        <v>18469</v>
      </c>
      <c r="BF1862" s="3" t="s">
        <v>18468</v>
      </c>
      <c r="BG1862" s="3" t="s">
        <v>18470</v>
      </c>
    </row>
    <row r="1863" spans="1:59" ht="58" x14ac:dyDescent="0.35">
      <c r="A1863" s="2" t="s">
        <v>89</v>
      </c>
      <c r="B1863" s="2" t="s">
        <v>90</v>
      </c>
      <c r="C1863" s="2" t="s">
        <v>18471</v>
      </c>
      <c r="D1863" s="2" t="s">
        <v>18472</v>
      </c>
      <c r="E1863" s="2" t="s">
        <v>18473</v>
      </c>
      <c r="G1863" s="3" t="s">
        <v>62</v>
      </c>
      <c r="I1863" s="3" t="s">
        <v>62</v>
      </c>
      <c r="J1863" s="3" t="s">
        <v>62</v>
      </c>
      <c r="K1863" s="3" t="s">
        <v>63</v>
      </c>
      <c r="M1863" s="2" t="s">
        <v>18474</v>
      </c>
      <c r="N1863" s="3" t="s">
        <v>640</v>
      </c>
      <c r="P1863" s="3" t="s">
        <v>64</v>
      </c>
      <c r="Q1863" s="2" t="s">
        <v>18475</v>
      </c>
      <c r="R1863" s="3" t="s">
        <v>13065</v>
      </c>
      <c r="S1863" s="4">
        <v>5</v>
      </c>
      <c r="T1863" s="4">
        <v>5</v>
      </c>
      <c r="U1863" s="5" t="s">
        <v>18476</v>
      </c>
      <c r="V1863" s="5" t="s">
        <v>18476</v>
      </c>
      <c r="W1863" s="5" t="s">
        <v>67</v>
      </c>
      <c r="X1863" s="5" t="s">
        <v>67</v>
      </c>
      <c r="Y1863" s="4">
        <v>79</v>
      </c>
      <c r="Z1863" s="4">
        <v>5</v>
      </c>
      <c r="AA1863" s="4">
        <v>5</v>
      </c>
      <c r="AB1863" s="4">
        <v>1</v>
      </c>
      <c r="AC1863" s="4">
        <v>1</v>
      </c>
      <c r="AD1863" s="4">
        <v>30</v>
      </c>
      <c r="AE1863" s="4">
        <v>30</v>
      </c>
      <c r="AF1863" s="4">
        <v>0</v>
      </c>
      <c r="AG1863" s="4">
        <v>0</v>
      </c>
      <c r="AH1863" s="4">
        <v>28</v>
      </c>
      <c r="AI1863" s="4">
        <v>28</v>
      </c>
      <c r="AJ1863" s="4">
        <v>4</v>
      </c>
      <c r="AK1863" s="4">
        <v>4</v>
      </c>
      <c r="AL1863" s="4">
        <v>16</v>
      </c>
      <c r="AM1863" s="4">
        <v>16</v>
      </c>
      <c r="AN1863" s="4">
        <v>0</v>
      </c>
      <c r="AO1863" s="4">
        <v>0</v>
      </c>
      <c r="AP1863" s="4">
        <v>4</v>
      </c>
      <c r="AQ1863" s="4">
        <v>4</v>
      </c>
      <c r="AR1863" s="3" t="s">
        <v>62</v>
      </c>
      <c r="AS1863" s="3" t="s">
        <v>62</v>
      </c>
      <c r="AT1863" s="3" t="s">
        <v>62</v>
      </c>
      <c r="AV1863" s="6" t="str">
        <f>HYPERLINK("http://mcgill.on.worldcat.org/oclc/54427966","Catalog Record")</f>
        <v>Catalog Record</v>
      </c>
      <c r="AW1863" s="6" t="str">
        <f>HYPERLINK("http://www.worldcat.org/oclc/54427966","WorldCat Record")</f>
        <v>WorldCat Record</v>
      </c>
      <c r="AX1863" s="3" t="s">
        <v>18477</v>
      </c>
      <c r="AY1863" s="3" t="s">
        <v>18478</v>
      </c>
      <c r="AZ1863" s="3" t="s">
        <v>18479</v>
      </c>
      <c r="BA1863" s="3" t="s">
        <v>18479</v>
      </c>
      <c r="BB1863" s="3" t="s">
        <v>18480</v>
      </c>
      <c r="BC1863" s="3" t="s">
        <v>102</v>
      </c>
      <c r="BD1863" s="3" t="s">
        <v>68</v>
      </c>
      <c r="BE1863" s="3" t="s">
        <v>18481</v>
      </c>
      <c r="BF1863" s="3" t="s">
        <v>18480</v>
      </c>
      <c r="BG1863" s="3" t="s">
        <v>18482</v>
      </c>
    </row>
    <row r="1864" spans="1:59" ht="58" x14ac:dyDescent="0.35">
      <c r="A1864" s="2" t="s">
        <v>89</v>
      </c>
      <c r="B1864" s="2" t="s">
        <v>90</v>
      </c>
      <c r="C1864" s="2" t="s">
        <v>18483</v>
      </c>
      <c r="D1864" s="2" t="s">
        <v>18484</v>
      </c>
      <c r="E1864" s="2" t="s">
        <v>18485</v>
      </c>
      <c r="G1864" s="3" t="s">
        <v>62</v>
      </c>
      <c r="I1864" s="3" t="s">
        <v>62</v>
      </c>
      <c r="J1864" s="3" t="s">
        <v>62</v>
      </c>
      <c r="K1864" s="3" t="s">
        <v>63</v>
      </c>
      <c r="L1864" s="2" t="s">
        <v>18486</v>
      </c>
      <c r="M1864" s="2" t="s">
        <v>18487</v>
      </c>
      <c r="N1864" s="3" t="s">
        <v>355</v>
      </c>
      <c r="P1864" s="3" t="s">
        <v>64</v>
      </c>
      <c r="R1864" s="3" t="s">
        <v>13065</v>
      </c>
      <c r="S1864" s="4">
        <v>7</v>
      </c>
      <c r="T1864" s="4">
        <v>7</v>
      </c>
      <c r="U1864" s="5" t="s">
        <v>6462</v>
      </c>
      <c r="V1864" s="5" t="s">
        <v>6462</v>
      </c>
      <c r="W1864" s="5" t="s">
        <v>67</v>
      </c>
      <c r="X1864" s="5" t="s">
        <v>67</v>
      </c>
      <c r="Y1864" s="4">
        <v>241</v>
      </c>
      <c r="Z1864" s="4">
        <v>15</v>
      </c>
      <c r="AA1864" s="4">
        <v>22</v>
      </c>
      <c r="AB1864" s="4">
        <v>1</v>
      </c>
      <c r="AC1864" s="4">
        <v>6</v>
      </c>
      <c r="AD1864" s="4">
        <v>53</v>
      </c>
      <c r="AE1864" s="4">
        <v>58</v>
      </c>
      <c r="AF1864" s="4">
        <v>0</v>
      </c>
      <c r="AG1864" s="4">
        <v>4</v>
      </c>
      <c r="AH1864" s="4">
        <v>47</v>
      </c>
      <c r="AI1864" s="4">
        <v>49</v>
      </c>
      <c r="AJ1864" s="4">
        <v>11</v>
      </c>
      <c r="AK1864" s="4">
        <v>15</v>
      </c>
      <c r="AL1864" s="4">
        <v>27</v>
      </c>
      <c r="AM1864" s="4">
        <v>28</v>
      </c>
      <c r="AN1864" s="4">
        <v>0</v>
      </c>
      <c r="AO1864" s="4">
        <v>0</v>
      </c>
      <c r="AP1864" s="4">
        <v>10</v>
      </c>
      <c r="AQ1864" s="4">
        <v>14</v>
      </c>
      <c r="AR1864" s="3" t="s">
        <v>62</v>
      </c>
      <c r="AS1864" s="3" t="s">
        <v>62</v>
      </c>
      <c r="AT1864" s="3" t="s">
        <v>61</v>
      </c>
      <c r="AU1864" s="6" t="str">
        <f>HYPERLINK("http://catalog.hathitrust.org/Record/009506737","HathiTrust Record")</f>
        <v>HathiTrust Record</v>
      </c>
      <c r="AV1864" s="6" t="str">
        <f>HYPERLINK("http://mcgill.on.worldcat.org/oclc/10744402","Catalog Record")</f>
        <v>Catalog Record</v>
      </c>
      <c r="AW1864" s="6" t="str">
        <f>HYPERLINK("http://www.worldcat.org/oclc/10744402","WorldCat Record")</f>
        <v>WorldCat Record</v>
      </c>
      <c r="AX1864" s="3" t="s">
        <v>18488</v>
      </c>
      <c r="AY1864" s="3" t="s">
        <v>18489</v>
      </c>
      <c r="AZ1864" s="3" t="s">
        <v>18490</v>
      </c>
      <c r="BA1864" s="3" t="s">
        <v>18490</v>
      </c>
      <c r="BB1864" s="3" t="s">
        <v>18491</v>
      </c>
      <c r="BC1864" s="3" t="s">
        <v>102</v>
      </c>
      <c r="BD1864" s="3" t="s">
        <v>68</v>
      </c>
      <c r="BE1864" s="3" t="s">
        <v>18492</v>
      </c>
      <c r="BF1864" s="3" t="s">
        <v>18491</v>
      </c>
      <c r="BG1864" s="3" t="s">
        <v>18493</v>
      </c>
    </row>
    <row r="1865" spans="1:59" ht="101.5" x14ac:dyDescent="0.35">
      <c r="A1865" s="2" t="s">
        <v>89</v>
      </c>
      <c r="B1865" s="2" t="s">
        <v>12301</v>
      </c>
      <c r="C1865" s="2" t="s">
        <v>18494</v>
      </c>
      <c r="D1865" s="2" t="s">
        <v>18495</v>
      </c>
      <c r="E1865" s="2" t="s">
        <v>18496</v>
      </c>
      <c r="G1865" s="3" t="s">
        <v>62</v>
      </c>
      <c r="I1865" s="3" t="s">
        <v>61</v>
      </c>
      <c r="J1865" s="3" t="s">
        <v>61</v>
      </c>
      <c r="K1865" s="3" t="s">
        <v>63</v>
      </c>
      <c r="L1865" s="2" t="s">
        <v>18497</v>
      </c>
      <c r="M1865" s="2" t="s">
        <v>18498</v>
      </c>
      <c r="N1865" s="3" t="s">
        <v>625</v>
      </c>
      <c r="O1865" s="2" t="s">
        <v>2458</v>
      </c>
      <c r="P1865" s="3" t="s">
        <v>64</v>
      </c>
      <c r="R1865" s="3" t="s">
        <v>13065</v>
      </c>
      <c r="S1865" s="4">
        <v>20</v>
      </c>
      <c r="T1865" s="4">
        <v>61</v>
      </c>
      <c r="U1865" s="5" t="s">
        <v>2872</v>
      </c>
      <c r="V1865" s="5" t="s">
        <v>12308</v>
      </c>
      <c r="W1865" s="5" t="s">
        <v>67</v>
      </c>
      <c r="X1865" s="5" t="s">
        <v>67</v>
      </c>
      <c r="Y1865" s="4">
        <v>408</v>
      </c>
      <c r="Z1865" s="4">
        <v>32</v>
      </c>
      <c r="AA1865" s="4">
        <v>51</v>
      </c>
      <c r="AB1865" s="4">
        <v>3</v>
      </c>
      <c r="AC1865" s="4">
        <v>9</v>
      </c>
      <c r="AD1865" s="4">
        <v>78</v>
      </c>
      <c r="AE1865" s="4">
        <v>106</v>
      </c>
      <c r="AF1865" s="4">
        <v>1</v>
      </c>
      <c r="AG1865" s="4">
        <v>5</v>
      </c>
      <c r="AH1865" s="4">
        <v>65</v>
      </c>
      <c r="AI1865" s="4">
        <v>86</v>
      </c>
      <c r="AJ1865" s="4">
        <v>14</v>
      </c>
      <c r="AK1865" s="4">
        <v>20</v>
      </c>
      <c r="AL1865" s="4">
        <v>39</v>
      </c>
      <c r="AM1865" s="4">
        <v>49</v>
      </c>
      <c r="AN1865" s="4">
        <v>0</v>
      </c>
      <c r="AO1865" s="4">
        <v>0</v>
      </c>
      <c r="AP1865" s="4">
        <v>22</v>
      </c>
      <c r="AQ1865" s="4">
        <v>31</v>
      </c>
      <c r="AR1865" s="3" t="s">
        <v>62</v>
      </c>
      <c r="AS1865" s="3" t="s">
        <v>62</v>
      </c>
      <c r="AT1865" s="3" t="s">
        <v>61</v>
      </c>
      <c r="AU1865" s="6" t="str">
        <f>HYPERLINK("http://catalog.hathitrust.org/Record/003821740","HathiTrust Record")</f>
        <v>HathiTrust Record</v>
      </c>
      <c r="AV1865" s="6" t="str">
        <f>HYPERLINK("http://mcgill.on.worldcat.org/oclc/49977005","Catalog Record")</f>
        <v>Catalog Record</v>
      </c>
      <c r="AW1865" s="6" t="str">
        <f>HYPERLINK("http://www.worldcat.org/oclc/49977005","WorldCat Record")</f>
        <v>WorldCat Record</v>
      </c>
      <c r="AX1865" s="3" t="s">
        <v>18499</v>
      </c>
      <c r="AY1865" s="3" t="s">
        <v>18500</v>
      </c>
      <c r="AZ1865" s="3" t="s">
        <v>18501</v>
      </c>
      <c r="BA1865" s="3" t="s">
        <v>18501</v>
      </c>
      <c r="BB1865" s="3" t="s">
        <v>18502</v>
      </c>
      <c r="BC1865" s="3" t="s">
        <v>102</v>
      </c>
      <c r="BD1865" s="3" t="s">
        <v>68</v>
      </c>
      <c r="BE1865" s="3" t="s">
        <v>18503</v>
      </c>
      <c r="BF1865" s="3" t="s">
        <v>18502</v>
      </c>
      <c r="BG1865" s="3" t="s">
        <v>18504</v>
      </c>
    </row>
    <row r="1866" spans="1:59" ht="101.5" x14ac:dyDescent="0.35">
      <c r="A1866" s="2" t="s">
        <v>89</v>
      </c>
      <c r="B1866" s="2" t="s">
        <v>12301</v>
      </c>
      <c r="C1866" s="2" t="s">
        <v>18494</v>
      </c>
      <c r="D1866" s="2" t="s">
        <v>18495</v>
      </c>
      <c r="E1866" s="2" t="s">
        <v>18496</v>
      </c>
      <c r="G1866" s="3" t="s">
        <v>62</v>
      </c>
      <c r="I1866" s="3" t="s">
        <v>61</v>
      </c>
      <c r="J1866" s="3" t="s">
        <v>61</v>
      </c>
      <c r="K1866" s="3" t="s">
        <v>63</v>
      </c>
      <c r="L1866" s="2" t="s">
        <v>18497</v>
      </c>
      <c r="M1866" s="2" t="s">
        <v>18498</v>
      </c>
      <c r="N1866" s="3" t="s">
        <v>625</v>
      </c>
      <c r="O1866" s="2" t="s">
        <v>2458</v>
      </c>
      <c r="P1866" s="3" t="s">
        <v>64</v>
      </c>
      <c r="R1866" s="3" t="s">
        <v>13065</v>
      </c>
      <c r="S1866" s="4">
        <v>11</v>
      </c>
      <c r="T1866" s="4">
        <v>61</v>
      </c>
      <c r="U1866" s="5" t="s">
        <v>12308</v>
      </c>
      <c r="V1866" s="5" t="s">
        <v>12308</v>
      </c>
      <c r="W1866" s="5" t="s">
        <v>67</v>
      </c>
      <c r="X1866" s="5" t="s">
        <v>67</v>
      </c>
      <c r="Y1866" s="4">
        <v>408</v>
      </c>
      <c r="Z1866" s="4">
        <v>32</v>
      </c>
      <c r="AA1866" s="4">
        <v>51</v>
      </c>
      <c r="AB1866" s="4">
        <v>3</v>
      </c>
      <c r="AC1866" s="4">
        <v>9</v>
      </c>
      <c r="AD1866" s="4">
        <v>78</v>
      </c>
      <c r="AE1866" s="4">
        <v>106</v>
      </c>
      <c r="AF1866" s="4">
        <v>1</v>
      </c>
      <c r="AG1866" s="4">
        <v>5</v>
      </c>
      <c r="AH1866" s="4">
        <v>65</v>
      </c>
      <c r="AI1866" s="4">
        <v>86</v>
      </c>
      <c r="AJ1866" s="4">
        <v>14</v>
      </c>
      <c r="AK1866" s="4">
        <v>20</v>
      </c>
      <c r="AL1866" s="4">
        <v>39</v>
      </c>
      <c r="AM1866" s="4">
        <v>49</v>
      </c>
      <c r="AN1866" s="4">
        <v>0</v>
      </c>
      <c r="AO1866" s="4">
        <v>0</v>
      </c>
      <c r="AP1866" s="4">
        <v>22</v>
      </c>
      <c r="AQ1866" s="4">
        <v>31</v>
      </c>
      <c r="AR1866" s="3" t="s">
        <v>62</v>
      </c>
      <c r="AS1866" s="3" t="s">
        <v>62</v>
      </c>
      <c r="AT1866" s="3" t="s">
        <v>61</v>
      </c>
      <c r="AU1866" s="6" t="str">
        <f>HYPERLINK("http://catalog.hathitrust.org/Record/003821740","HathiTrust Record")</f>
        <v>HathiTrust Record</v>
      </c>
      <c r="AV1866" s="6" t="str">
        <f>HYPERLINK("http://mcgill.on.worldcat.org/oclc/49977005","Catalog Record")</f>
        <v>Catalog Record</v>
      </c>
      <c r="AW1866" s="6" t="str">
        <f>HYPERLINK("http://www.worldcat.org/oclc/49977005","WorldCat Record")</f>
        <v>WorldCat Record</v>
      </c>
      <c r="AX1866" s="3" t="s">
        <v>18499</v>
      </c>
      <c r="AY1866" s="3" t="s">
        <v>18500</v>
      </c>
      <c r="AZ1866" s="3" t="s">
        <v>18501</v>
      </c>
      <c r="BA1866" s="3" t="s">
        <v>18501</v>
      </c>
      <c r="BB1866" s="3" t="s">
        <v>18505</v>
      </c>
      <c r="BC1866" s="3" t="s">
        <v>102</v>
      </c>
      <c r="BD1866" s="3" t="s">
        <v>68</v>
      </c>
      <c r="BE1866" s="3" t="s">
        <v>18503</v>
      </c>
      <c r="BF1866" s="3" t="s">
        <v>18505</v>
      </c>
      <c r="BG1866" s="3" t="s">
        <v>18506</v>
      </c>
    </row>
    <row r="1867" spans="1:59" ht="101.5" x14ac:dyDescent="0.35">
      <c r="A1867" s="2" t="s">
        <v>89</v>
      </c>
      <c r="B1867" s="2" t="s">
        <v>12301</v>
      </c>
      <c r="C1867" s="2" t="s">
        <v>18494</v>
      </c>
      <c r="D1867" s="2" t="s">
        <v>18495</v>
      </c>
      <c r="E1867" s="2" t="s">
        <v>18496</v>
      </c>
      <c r="G1867" s="3" t="s">
        <v>62</v>
      </c>
      <c r="I1867" s="3" t="s">
        <v>61</v>
      </c>
      <c r="J1867" s="3" t="s">
        <v>61</v>
      </c>
      <c r="K1867" s="3" t="s">
        <v>63</v>
      </c>
      <c r="L1867" s="2" t="s">
        <v>18497</v>
      </c>
      <c r="M1867" s="2" t="s">
        <v>18498</v>
      </c>
      <c r="N1867" s="3" t="s">
        <v>625</v>
      </c>
      <c r="O1867" s="2" t="s">
        <v>2458</v>
      </c>
      <c r="P1867" s="3" t="s">
        <v>64</v>
      </c>
      <c r="R1867" s="3" t="s">
        <v>13065</v>
      </c>
      <c r="S1867" s="4">
        <v>13</v>
      </c>
      <c r="T1867" s="4">
        <v>61</v>
      </c>
      <c r="U1867" s="5" t="s">
        <v>17587</v>
      </c>
      <c r="V1867" s="5" t="s">
        <v>12308</v>
      </c>
      <c r="W1867" s="5" t="s">
        <v>67</v>
      </c>
      <c r="X1867" s="5" t="s">
        <v>67</v>
      </c>
      <c r="Y1867" s="4">
        <v>408</v>
      </c>
      <c r="Z1867" s="4">
        <v>32</v>
      </c>
      <c r="AA1867" s="4">
        <v>51</v>
      </c>
      <c r="AB1867" s="4">
        <v>3</v>
      </c>
      <c r="AC1867" s="4">
        <v>9</v>
      </c>
      <c r="AD1867" s="4">
        <v>78</v>
      </c>
      <c r="AE1867" s="4">
        <v>106</v>
      </c>
      <c r="AF1867" s="4">
        <v>1</v>
      </c>
      <c r="AG1867" s="4">
        <v>5</v>
      </c>
      <c r="AH1867" s="4">
        <v>65</v>
      </c>
      <c r="AI1867" s="4">
        <v>86</v>
      </c>
      <c r="AJ1867" s="4">
        <v>14</v>
      </c>
      <c r="AK1867" s="4">
        <v>20</v>
      </c>
      <c r="AL1867" s="4">
        <v>39</v>
      </c>
      <c r="AM1867" s="4">
        <v>49</v>
      </c>
      <c r="AN1867" s="4">
        <v>0</v>
      </c>
      <c r="AO1867" s="4">
        <v>0</v>
      </c>
      <c r="AP1867" s="4">
        <v>22</v>
      </c>
      <c r="AQ1867" s="4">
        <v>31</v>
      </c>
      <c r="AR1867" s="3" t="s">
        <v>62</v>
      </c>
      <c r="AS1867" s="3" t="s">
        <v>62</v>
      </c>
      <c r="AT1867" s="3" t="s">
        <v>61</v>
      </c>
      <c r="AU1867" s="6" t="str">
        <f>HYPERLINK("http://catalog.hathitrust.org/Record/003821740","HathiTrust Record")</f>
        <v>HathiTrust Record</v>
      </c>
      <c r="AV1867" s="6" t="str">
        <f>HYPERLINK("http://mcgill.on.worldcat.org/oclc/49977005","Catalog Record")</f>
        <v>Catalog Record</v>
      </c>
      <c r="AW1867" s="6" t="str">
        <f>HYPERLINK("http://www.worldcat.org/oclc/49977005","WorldCat Record")</f>
        <v>WorldCat Record</v>
      </c>
      <c r="AX1867" s="3" t="s">
        <v>18499</v>
      </c>
      <c r="AY1867" s="3" t="s">
        <v>18500</v>
      </c>
      <c r="AZ1867" s="3" t="s">
        <v>18501</v>
      </c>
      <c r="BA1867" s="3" t="s">
        <v>18501</v>
      </c>
      <c r="BB1867" s="3" t="s">
        <v>18507</v>
      </c>
      <c r="BC1867" s="3" t="s">
        <v>102</v>
      </c>
      <c r="BD1867" s="3" t="s">
        <v>68</v>
      </c>
      <c r="BE1867" s="3" t="s">
        <v>18503</v>
      </c>
      <c r="BF1867" s="3" t="s">
        <v>18507</v>
      </c>
      <c r="BG1867" s="3" t="s">
        <v>18508</v>
      </c>
    </row>
    <row r="1868" spans="1:59" ht="101.5" x14ac:dyDescent="0.35">
      <c r="A1868" s="2" t="s">
        <v>89</v>
      </c>
      <c r="B1868" s="2" t="s">
        <v>12301</v>
      </c>
      <c r="C1868" s="2" t="s">
        <v>18494</v>
      </c>
      <c r="D1868" s="2" t="s">
        <v>18495</v>
      </c>
      <c r="E1868" s="2" t="s">
        <v>18496</v>
      </c>
      <c r="G1868" s="3" t="s">
        <v>62</v>
      </c>
      <c r="I1868" s="3" t="s">
        <v>61</v>
      </c>
      <c r="J1868" s="3" t="s">
        <v>61</v>
      </c>
      <c r="K1868" s="3" t="s">
        <v>63</v>
      </c>
      <c r="L1868" s="2" t="s">
        <v>18497</v>
      </c>
      <c r="M1868" s="2" t="s">
        <v>18498</v>
      </c>
      <c r="N1868" s="3" t="s">
        <v>625</v>
      </c>
      <c r="O1868" s="2" t="s">
        <v>2458</v>
      </c>
      <c r="P1868" s="3" t="s">
        <v>64</v>
      </c>
      <c r="R1868" s="3" t="s">
        <v>13065</v>
      </c>
      <c r="S1868" s="4">
        <v>17</v>
      </c>
      <c r="T1868" s="4">
        <v>61</v>
      </c>
      <c r="U1868" s="5" t="s">
        <v>258</v>
      </c>
      <c r="V1868" s="5" t="s">
        <v>12308</v>
      </c>
      <c r="W1868" s="5" t="s">
        <v>67</v>
      </c>
      <c r="X1868" s="5" t="s">
        <v>67</v>
      </c>
      <c r="Y1868" s="4">
        <v>408</v>
      </c>
      <c r="Z1868" s="4">
        <v>32</v>
      </c>
      <c r="AA1868" s="4">
        <v>51</v>
      </c>
      <c r="AB1868" s="4">
        <v>3</v>
      </c>
      <c r="AC1868" s="4">
        <v>9</v>
      </c>
      <c r="AD1868" s="4">
        <v>78</v>
      </c>
      <c r="AE1868" s="4">
        <v>106</v>
      </c>
      <c r="AF1868" s="4">
        <v>1</v>
      </c>
      <c r="AG1868" s="4">
        <v>5</v>
      </c>
      <c r="AH1868" s="4">
        <v>65</v>
      </c>
      <c r="AI1868" s="4">
        <v>86</v>
      </c>
      <c r="AJ1868" s="4">
        <v>14</v>
      </c>
      <c r="AK1868" s="4">
        <v>20</v>
      </c>
      <c r="AL1868" s="4">
        <v>39</v>
      </c>
      <c r="AM1868" s="4">
        <v>49</v>
      </c>
      <c r="AN1868" s="4">
        <v>0</v>
      </c>
      <c r="AO1868" s="4">
        <v>0</v>
      </c>
      <c r="AP1868" s="4">
        <v>22</v>
      </c>
      <c r="AQ1868" s="4">
        <v>31</v>
      </c>
      <c r="AR1868" s="3" t="s">
        <v>62</v>
      </c>
      <c r="AS1868" s="3" t="s">
        <v>62</v>
      </c>
      <c r="AT1868" s="3" t="s">
        <v>61</v>
      </c>
      <c r="AU1868" s="6" t="str">
        <f>HYPERLINK("http://catalog.hathitrust.org/Record/003821740","HathiTrust Record")</f>
        <v>HathiTrust Record</v>
      </c>
      <c r="AV1868" s="6" t="str">
        <f>HYPERLINK("http://mcgill.on.worldcat.org/oclc/49977005","Catalog Record")</f>
        <v>Catalog Record</v>
      </c>
      <c r="AW1868" s="6" t="str">
        <f>HYPERLINK("http://www.worldcat.org/oclc/49977005","WorldCat Record")</f>
        <v>WorldCat Record</v>
      </c>
      <c r="AX1868" s="3" t="s">
        <v>18499</v>
      </c>
      <c r="AY1868" s="3" t="s">
        <v>18500</v>
      </c>
      <c r="AZ1868" s="3" t="s">
        <v>18501</v>
      </c>
      <c r="BA1868" s="3" t="s">
        <v>18501</v>
      </c>
      <c r="BB1868" s="3" t="s">
        <v>18509</v>
      </c>
      <c r="BC1868" s="3" t="s">
        <v>102</v>
      </c>
      <c r="BD1868" s="3" t="s">
        <v>68</v>
      </c>
      <c r="BE1868" s="3" t="s">
        <v>18503</v>
      </c>
      <c r="BF1868" s="3" t="s">
        <v>18509</v>
      </c>
      <c r="BG1868" s="3" t="s">
        <v>18510</v>
      </c>
    </row>
    <row r="1869" spans="1:59" ht="58" x14ac:dyDescent="0.35">
      <c r="A1869" s="2" t="s">
        <v>89</v>
      </c>
      <c r="B1869" s="2" t="s">
        <v>90</v>
      </c>
      <c r="C1869" s="2" t="s">
        <v>18511</v>
      </c>
      <c r="D1869" s="2" t="s">
        <v>18512</v>
      </c>
      <c r="E1869" s="2" t="s">
        <v>18513</v>
      </c>
      <c r="G1869" s="3" t="s">
        <v>62</v>
      </c>
      <c r="I1869" s="3" t="s">
        <v>61</v>
      </c>
      <c r="J1869" s="3" t="s">
        <v>61</v>
      </c>
      <c r="K1869" s="3" t="s">
        <v>63</v>
      </c>
      <c r="L1869" s="2" t="s">
        <v>18514</v>
      </c>
      <c r="M1869" s="2" t="s">
        <v>18515</v>
      </c>
      <c r="N1869" s="3" t="s">
        <v>596</v>
      </c>
      <c r="O1869" s="2" t="s">
        <v>2458</v>
      </c>
      <c r="P1869" s="3" t="s">
        <v>64</v>
      </c>
      <c r="Q1869" s="2" t="s">
        <v>18516</v>
      </c>
      <c r="R1869" s="3" t="s">
        <v>13065</v>
      </c>
      <c r="S1869" s="4">
        <v>21</v>
      </c>
      <c r="T1869" s="4">
        <v>68</v>
      </c>
      <c r="U1869" s="5" t="s">
        <v>18517</v>
      </c>
      <c r="V1869" s="5" t="s">
        <v>18518</v>
      </c>
      <c r="W1869" s="5" t="s">
        <v>67</v>
      </c>
      <c r="X1869" s="5" t="s">
        <v>67</v>
      </c>
      <c r="Y1869" s="4">
        <v>261</v>
      </c>
      <c r="Z1869" s="4">
        <v>12</v>
      </c>
      <c r="AA1869" s="4">
        <v>40</v>
      </c>
      <c r="AB1869" s="4">
        <v>3</v>
      </c>
      <c r="AC1869" s="4">
        <v>6</v>
      </c>
      <c r="AD1869" s="4">
        <v>40</v>
      </c>
      <c r="AE1869" s="4">
        <v>99</v>
      </c>
      <c r="AF1869" s="4">
        <v>1</v>
      </c>
      <c r="AG1869" s="4">
        <v>2</v>
      </c>
      <c r="AH1869" s="4">
        <v>34</v>
      </c>
      <c r="AI1869" s="4">
        <v>85</v>
      </c>
      <c r="AJ1869" s="4">
        <v>3</v>
      </c>
      <c r="AK1869" s="4">
        <v>13</v>
      </c>
      <c r="AL1869" s="4">
        <v>25</v>
      </c>
      <c r="AM1869" s="4">
        <v>47</v>
      </c>
      <c r="AN1869" s="4">
        <v>0</v>
      </c>
      <c r="AO1869" s="4">
        <v>0</v>
      </c>
      <c r="AP1869" s="4">
        <v>3</v>
      </c>
      <c r="AQ1869" s="4">
        <v>15</v>
      </c>
      <c r="AR1869" s="3" t="s">
        <v>62</v>
      </c>
      <c r="AS1869" s="3" t="s">
        <v>62</v>
      </c>
      <c r="AT1869" s="3" t="s">
        <v>62</v>
      </c>
      <c r="AV1869" s="6" t="str">
        <f>HYPERLINK("http://mcgill.on.worldcat.org/oclc/50291258","Catalog Record")</f>
        <v>Catalog Record</v>
      </c>
      <c r="AW1869" s="6" t="str">
        <f>HYPERLINK("http://www.worldcat.org/oclc/50291258","WorldCat Record")</f>
        <v>WorldCat Record</v>
      </c>
      <c r="AX1869" s="3" t="s">
        <v>18519</v>
      </c>
      <c r="AY1869" s="3" t="s">
        <v>18520</v>
      </c>
      <c r="AZ1869" s="3" t="s">
        <v>18521</v>
      </c>
      <c r="BA1869" s="3" t="s">
        <v>18521</v>
      </c>
      <c r="BB1869" s="3" t="s">
        <v>18522</v>
      </c>
      <c r="BC1869" s="3" t="s">
        <v>102</v>
      </c>
      <c r="BD1869" s="3" t="s">
        <v>68</v>
      </c>
      <c r="BE1869" s="3" t="s">
        <v>18523</v>
      </c>
      <c r="BF1869" s="3" t="s">
        <v>18522</v>
      </c>
      <c r="BG1869" s="3" t="s">
        <v>18524</v>
      </c>
    </row>
    <row r="1870" spans="1:59" ht="101.5" x14ac:dyDescent="0.35">
      <c r="A1870" s="2" t="s">
        <v>89</v>
      </c>
      <c r="B1870" s="2" t="s">
        <v>12301</v>
      </c>
      <c r="C1870" s="2" t="s">
        <v>18525</v>
      </c>
      <c r="D1870" s="2" t="s">
        <v>18526</v>
      </c>
      <c r="E1870" s="2" t="s">
        <v>18527</v>
      </c>
      <c r="G1870" s="3" t="s">
        <v>62</v>
      </c>
      <c r="I1870" s="3" t="s">
        <v>61</v>
      </c>
      <c r="J1870" s="3" t="s">
        <v>62</v>
      </c>
      <c r="K1870" s="3" t="s">
        <v>63</v>
      </c>
      <c r="L1870" s="2" t="s">
        <v>18528</v>
      </c>
      <c r="M1870" s="2" t="s">
        <v>17076</v>
      </c>
      <c r="N1870" s="3" t="s">
        <v>1455</v>
      </c>
      <c r="O1870" s="2" t="s">
        <v>7791</v>
      </c>
      <c r="P1870" s="3" t="s">
        <v>64</v>
      </c>
      <c r="R1870" s="3" t="s">
        <v>13065</v>
      </c>
      <c r="S1870" s="4">
        <v>7</v>
      </c>
      <c r="T1870" s="4">
        <v>11</v>
      </c>
      <c r="U1870" s="5" t="s">
        <v>84</v>
      </c>
      <c r="V1870" s="5" t="s">
        <v>84</v>
      </c>
      <c r="W1870" s="5" t="s">
        <v>67</v>
      </c>
      <c r="X1870" s="5" t="s">
        <v>67</v>
      </c>
      <c r="Y1870" s="4">
        <v>48</v>
      </c>
      <c r="Z1870" s="4">
        <v>4</v>
      </c>
      <c r="AA1870" s="4">
        <v>22</v>
      </c>
      <c r="AB1870" s="4">
        <v>1</v>
      </c>
      <c r="AC1870" s="4">
        <v>9</v>
      </c>
      <c r="AD1870" s="4">
        <v>9</v>
      </c>
      <c r="AE1870" s="4">
        <v>46</v>
      </c>
      <c r="AF1870" s="4">
        <v>0</v>
      </c>
      <c r="AG1870" s="4">
        <v>4</v>
      </c>
      <c r="AH1870" s="4">
        <v>7</v>
      </c>
      <c r="AI1870" s="4">
        <v>37</v>
      </c>
      <c r="AJ1870" s="4">
        <v>0</v>
      </c>
      <c r="AK1870" s="4">
        <v>8</v>
      </c>
      <c r="AL1870" s="4">
        <v>5</v>
      </c>
      <c r="AM1870" s="4">
        <v>24</v>
      </c>
      <c r="AN1870" s="4">
        <v>0</v>
      </c>
      <c r="AO1870" s="4">
        <v>0</v>
      </c>
      <c r="AP1870" s="4">
        <v>1</v>
      </c>
      <c r="AQ1870" s="4">
        <v>11</v>
      </c>
      <c r="AR1870" s="3" t="s">
        <v>62</v>
      </c>
      <c r="AS1870" s="3" t="s">
        <v>62</v>
      </c>
      <c r="AT1870" s="3" t="s">
        <v>62</v>
      </c>
      <c r="AV1870" s="6" t="str">
        <f>HYPERLINK("http://mcgill.on.worldcat.org/oclc/876667099","Catalog Record")</f>
        <v>Catalog Record</v>
      </c>
      <c r="AW1870" s="6" t="str">
        <f>HYPERLINK("http://www.worldcat.org/oclc/876667099","WorldCat Record")</f>
        <v>WorldCat Record</v>
      </c>
      <c r="AX1870" s="3" t="s">
        <v>18529</v>
      </c>
      <c r="AY1870" s="3" t="s">
        <v>18530</v>
      </c>
      <c r="AZ1870" s="3" t="s">
        <v>18531</v>
      </c>
      <c r="BA1870" s="3" t="s">
        <v>18531</v>
      </c>
      <c r="BB1870" s="3" t="s">
        <v>18532</v>
      </c>
      <c r="BC1870" s="3" t="s">
        <v>102</v>
      </c>
      <c r="BD1870" s="3" t="s">
        <v>68</v>
      </c>
      <c r="BE1870" s="3" t="s">
        <v>18533</v>
      </c>
      <c r="BF1870" s="3" t="s">
        <v>18532</v>
      </c>
      <c r="BG1870" s="3" t="s">
        <v>18534</v>
      </c>
    </row>
    <row r="1871" spans="1:59" ht="101.5" x14ac:dyDescent="0.35">
      <c r="A1871" s="2" t="s">
        <v>89</v>
      </c>
      <c r="B1871" s="2" t="s">
        <v>12301</v>
      </c>
      <c r="C1871" s="2" t="s">
        <v>18525</v>
      </c>
      <c r="D1871" s="2" t="s">
        <v>18526</v>
      </c>
      <c r="E1871" s="2" t="s">
        <v>18527</v>
      </c>
      <c r="G1871" s="3" t="s">
        <v>62</v>
      </c>
      <c r="I1871" s="3" t="s">
        <v>61</v>
      </c>
      <c r="J1871" s="3" t="s">
        <v>62</v>
      </c>
      <c r="K1871" s="3" t="s">
        <v>63</v>
      </c>
      <c r="L1871" s="2" t="s">
        <v>18528</v>
      </c>
      <c r="M1871" s="2" t="s">
        <v>17076</v>
      </c>
      <c r="N1871" s="3" t="s">
        <v>1455</v>
      </c>
      <c r="O1871" s="2" t="s">
        <v>7791</v>
      </c>
      <c r="P1871" s="3" t="s">
        <v>64</v>
      </c>
      <c r="R1871" s="3" t="s">
        <v>13065</v>
      </c>
      <c r="S1871" s="4">
        <v>4</v>
      </c>
      <c r="T1871" s="4">
        <v>11</v>
      </c>
      <c r="U1871" s="5" t="s">
        <v>18535</v>
      </c>
      <c r="V1871" s="5" t="s">
        <v>84</v>
      </c>
      <c r="W1871" s="5" t="s">
        <v>67</v>
      </c>
      <c r="X1871" s="5" t="s">
        <v>67</v>
      </c>
      <c r="Y1871" s="4">
        <v>48</v>
      </c>
      <c r="Z1871" s="4">
        <v>4</v>
      </c>
      <c r="AA1871" s="4">
        <v>22</v>
      </c>
      <c r="AB1871" s="4">
        <v>1</v>
      </c>
      <c r="AC1871" s="4">
        <v>9</v>
      </c>
      <c r="AD1871" s="4">
        <v>9</v>
      </c>
      <c r="AE1871" s="4">
        <v>46</v>
      </c>
      <c r="AF1871" s="4">
        <v>0</v>
      </c>
      <c r="AG1871" s="4">
        <v>4</v>
      </c>
      <c r="AH1871" s="4">
        <v>7</v>
      </c>
      <c r="AI1871" s="4">
        <v>37</v>
      </c>
      <c r="AJ1871" s="4">
        <v>0</v>
      </c>
      <c r="AK1871" s="4">
        <v>8</v>
      </c>
      <c r="AL1871" s="4">
        <v>5</v>
      </c>
      <c r="AM1871" s="4">
        <v>24</v>
      </c>
      <c r="AN1871" s="4">
        <v>0</v>
      </c>
      <c r="AO1871" s="4">
        <v>0</v>
      </c>
      <c r="AP1871" s="4">
        <v>1</v>
      </c>
      <c r="AQ1871" s="4">
        <v>11</v>
      </c>
      <c r="AR1871" s="3" t="s">
        <v>62</v>
      </c>
      <c r="AS1871" s="3" t="s">
        <v>62</v>
      </c>
      <c r="AT1871" s="3" t="s">
        <v>62</v>
      </c>
      <c r="AV1871" s="6" t="str">
        <f>HYPERLINK("http://mcgill.on.worldcat.org/oclc/876667099","Catalog Record")</f>
        <v>Catalog Record</v>
      </c>
      <c r="AW1871" s="6" t="str">
        <f>HYPERLINK("http://www.worldcat.org/oclc/876667099","WorldCat Record")</f>
        <v>WorldCat Record</v>
      </c>
      <c r="AX1871" s="3" t="s">
        <v>18529</v>
      </c>
      <c r="AY1871" s="3" t="s">
        <v>18530</v>
      </c>
      <c r="AZ1871" s="3" t="s">
        <v>18531</v>
      </c>
      <c r="BA1871" s="3" t="s">
        <v>18531</v>
      </c>
      <c r="BB1871" s="3" t="s">
        <v>18536</v>
      </c>
      <c r="BC1871" s="3" t="s">
        <v>102</v>
      </c>
      <c r="BD1871" s="3" t="s">
        <v>68</v>
      </c>
      <c r="BE1871" s="3" t="s">
        <v>18533</v>
      </c>
      <c r="BF1871" s="3" t="s">
        <v>18536</v>
      </c>
      <c r="BG1871" s="3" t="s">
        <v>18537</v>
      </c>
    </row>
    <row r="1872" spans="1:59" ht="72.5" x14ac:dyDescent="0.35">
      <c r="A1872" s="2" t="s">
        <v>89</v>
      </c>
      <c r="B1872" s="2" t="s">
        <v>90</v>
      </c>
      <c r="C1872" s="2" t="s">
        <v>18538</v>
      </c>
      <c r="D1872" s="2" t="s">
        <v>18539</v>
      </c>
      <c r="E1872" s="2" t="s">
        <v>18540</v>
      </c>
      <c r="G1872" s="3" t="s">
        <v>62</v>
      </c>
      <c r="I1872" s="3" t="s">
        <v>62</v>
      </c>
      <c r="J1872" s="3" t="s">
        <v>62</v>
      </c>
      <c r="K1872" s="3" t="s">
        <v>63</v>
      </c>
      <c r="L1872" s="2" t="s">
        <v>18541</v>
      </c>
      <c r="M1872" s="2" t="s">
        <v>18542</v>
      </c>
      <c r="N1872" s="3" t="s">
        <v>129</v>
      </c>
      <c r="P1872" s="3" t="s">
        <v>64</v>
      </c>
      <c r="R1872" s="3" t="s">
        <v>13065</v>
      </c>
      <c r="S1872" s="4">
        <v>4</v>
      </c>
      <c r="T1872" s="4">
        <v>4</v>
      </c>
      <c r="U1872" s="5" t="s">
        <v>18543</v>
      </c>
      <c r="V1872" s="5" t="s">
        <v>18543</v>
      </c>
      <c r="W1872" s="5" t="s">
        <v>1338</v>
      </c>
      <c r="X1872" s="5" t="s">
        <v>1338</v>
      </c>
      <c r="Y1872" s="4">
        <v>917</v>
      </c>
      <c r="Z1872" s="4">
        <v>44</v>
      </c>
      <c r="AA1872" s="4">
        <v>50</v>
      </c>
      <c r="AB1872" s="4">
        <v>3</v>
      </c>
      <c r="AC1872" s="4">
        <v>7</v>
      </c>
      <c r="AD1872" s="4">
        <v>96</v>
      </c>
      <c r="AE1872" s="4">
        <v>102</v>
      </c>
      <c r="AF1872" s="4">
        <v>1</v>
      </c>
      <c r="AG1872" s="4">
        <v>3</v>
      </c>
      <c r="AH1872" s="4">
        <v>79</v>
      </c>
      <c r="AI1872" s="4">
        <v>83</v>
      </c>
      <c r="AJ1872" s="4">
        <v>13</v>
      </c>
      <c r="AK1872" s="4">
        <v>16</v>
      </c>
      <c r="AL1872" s="4">
        <v>44</v>
      </c>
      <c r="AM1872" s="4">
        <v>46</v>
      </c>
      <c r="AN1872" s="4">
        <v>0</v>
      </c>
      <c r="AO1872" s="4">
        <v>0</v>
      </c>
      <c r="AP1872" s="4">
        <v>22</v>
      </c>
      <c r="AQ1872" s="4">
        <v>24</v>
      </c>
      <c r="AR1872" s="3" t="s">
        <v>62</v>
      </c>
      <c r="AS1872" s="3" t="s">
        <v>62</v>
      </c>
      <c r="AT1872" s="3" t="s">
        <v>62</v>
      </c>
      <c r="AV1872" s="6" t="str">
        <f>HYPERLINK("http://mcgill.on.worldcat.org/oclc/837144847","Catalog Record")</f>
        <v>Catalog Record</v>
      </c>
      <c r="AW1872" s="6" t="str">
        <f>HYPERLINK("http://www.worldcat.org/oclc/837144847","WorldCat Record")</f>
        <v>WorldCat Record</v>
      </c>
      <c r="AX1872" s="3" t="s">
        <v>18544</v>
      </c>
      <c r="AY1872" s="3" t="s">
        <v>18545</v>
      </c>
      <c r="AZ1872" s="3" t="s">
        <v>18546</v>
      </c>
      <c r="BA1872" s="3" t="s">
        <v>18546</v>
      </c>
      <c r="BB1872" s="3" t="s">
        <v>18547</v>
      </c>
      <c r="BC1872" s="3" t="s">
        <v>102</v>
      </c>
      <c r="BD1872" s="3" t="s">
        <v>68</v>
      </c>
      <c r="BE1872" s="3" t="s">
        <v>18548</v>
      </c>
      <c r="BF1872" s="3" t="s">
        <v>18547</v>
      </c>
      <c r="BG1872" s="3" t="s">
        <v>18549</v>
      </c>
    </row>
    <row r="1873" spans="1:59" ht="72.5" x14ac:dyDescent="0.35">
      <c r="A1873" s="2" t="s">
        <v>89</v>
      </c>
      <c r="B1873" s="2" t="s">
        <v>90</v>
      </c>
      <c r="C1873" s="2" t="s">
        <v>18550</v>
      </c>
      <c r="D1873" s="2" t="s">
        <v>18551</v>
      </c>
      <c r="E1873" s="2" t="s">
        <v>18552</v>
      </c>
      <c r="G1873" s="3" t="s">
        <v>62</v>
      </c>
      <c r="I1873" s="3" t="s">
        <v>62</v>
      </c>
      <c r="J1873" s="3" t="s">
        <v>62</v>
      </c>
      <c r="K1873" s="3" t="s">
        <v>63</v>
      </c>
      <c r="L1873" s="2" t="s">
        <v>18553</v>
      </c>
      <c r="M1873" s="2" t="s">
        <v>18554</v>
      </c>
      <c r="N1873" s="3" t="s">
        <v>698</v>
      </c>
      <c r="P1873" s="3" t="s">
        <v>64</v>
      </c>
      <c r="Q1873" s="2" t="s">
        <v>18555</v>
      </c>
      <c r="R1873" s="3" t="s">
        <v>13065</v>
      </c>
      <c r="S1873" s="4">
        <v>0</v>
      </c>
      <c r="T1873" s="4">
        <v>0</v>
      </c>
      <c r="W1873" s="5" t="s">
        <v>67</v>
      </c>
      <c r="X1873" s="5" t="s">
        <v>67</v>
      </c>
      <c r="Y1873" s="4">
        <v>44</v>
      </c>
      <c r="Z1873" s="4">
        <v>3</v>
      </c>
      <c r="AA1873" s="4">
        <v>21</v>
      </c>
      <c r="AB1873" s="4">
        <v>1</v>
      </c>
      <c r="AC1873" s="4">
        <v>8</v>
      </c>
      <c r="AD1873" s="4">
        <v>19</v>
      </c>
      <c r="AE1873" s="4">
        <v>58</v>
      </c>
      <c r="AF1873" s="4">
        <v>0</v>
      </c>
      <c r="AG1873" s="4">
        <v>4</v>
      </c>
      <c r="AH1873" s="4">
        <v>16</v>
      </c>
      <c r="AI1873" s="4">
        <v>48</v>
      </c>
      <c r="AJ1873" s="4">
        <v>1</v>
      </c>
      <c r="AK1873" s="4">
        <v>12</v>
      </c>
      <c r="AL1873" s="4">
        <v>14</v>
      </c>
      <c r="AM1873" s="4">
        <v>30</v>
      </c>
      <c r="AN1873" s="4">
        <v>0</v>
      </c>
      <c r="AO1873" s="4">
        <v>0</v>
      </c>
      <c r="AP1873" s="4">
        <v>2</v>
      </c>
      <c r="AQ1873" s="4">
        <v>14</v>
      </c>
      <c r="AR1873" s="3" t="s">
        <v>62</v>
      </c>
      <c r="AS1873" s="3" t="s">
        <v>62</v>
      </c>
      <c r="AT1873" s="3" t="s">
        <v>62</v>
      </c>
      <c r="AV1873" s="6" t="str">
        <f>HYPERLINK("http://mcgill.on.worldcat.org/oclc/401167994","Catalog Record")</f>
        <v>Catalog Record</v>
      </c>
      <c r="AW1873" s="6" t="str">
        <f>HYPERLINK("http://www.worldcat.org/oclc/401167994","WorldCat Record")</f>
        <v>WorldCat Record</v>
      </c>
      <c r="AX1873" s="3" t="s">
        <v>18556</v>
      </c>
      <c r="AY1873" s="3" t="s">
        <v>18557</v>
      </c>
      <c r="AZ1873" s="3" t="s">
        <v>18558</v>
      </c>
      <c r="BA1873" s="3" t="s">
        <v>18558</v>
      </c>
      <c r="BB1873" s="3" t="s">
        <v>18559</v>
      </c>
      <c r="BC1873" s="3" t="s">
        <v>102</v>
      </c>
      <c r="BD1873" s="3" t="s">
        <v>68</v>
      </c>
      <c r="BE1873" s="3" t="s">
        <v>18560</v>
      </c>
      <c r="BF1873" s="3" t="s">
        <v>18559</v>
      </c>
      <c r="BG1873" s="3" t="s">
        <v>18561</v>
      </c>
    </row>
    <row r="1874" spans="1:59" ht="72.5" x14ac:dyDescent="0.35">
      <c r="A1874" s="2" t="s">
        <v>89</v>
      </c>
      <c r="B1874" s="2" t="s">
        <v>90</v>
      </c>
      <c r="C1874" s="2" t="s">
        <v>18562</v>
      </c>
      <c r="D1874" s="2" t="s">
        <v>18563</v>
      </c>
      <c r="E1874" s="2" t="s">
        <v>18564</v>
      </c>
      <c r="G1874" s="3" t="s">
        <v>62</v>
      </c>
      <c r="I1874" s="3" t="s">
        <v>62</v>
      </c>
      <c r="J1874" s="3" t="s">
        <v>62</v>
      </c>
      <c r="K1874" s="3" t="s">
        <v>63</v>
      </c>
      <c r="L1874" s="2" t="s">
        <v>18565</v>
      </c>
      <c r="M1874" s="2" t="s">
        <v>18566</v>
      </c>
      <c r="N1874" s="3" t="s">
        <v>1455</v>
      </c>
      <c r="P1874" s="3" t="s">
        <v>64</v>
      </c>
      <c r="R1874" s="3" t="s">
        <v>13065</v>
      </c>
      <c r="S1874" s="4">
        <v>5</v>
      </c>
      <c r="T1874" s="4">
        <v>5</v>
      </c>
      <c r="U1874" s="5" t="s">
        <v>468</v>
      </c>
      <c r="V1874" s="5" t="s">
        <v>468</v>
      </c>
      <c r="W1874" s="5" t="s">
        <v>67</v>
      </c>
      <c r="X1874" s="5" t="s">
        <v>67</v>
      </c>
      <c r="Y1874" s="4">
        <v>84</v>
      </c>
      <c r="Z1874" s="4">
        <v>6</v>
      </c>
      <c r="AA1874" s="4">
        <v>18</v>
      </c>
      <c r="AB1874" s="4">
        <v>1</v>
      </c>
      <c r="AC1874" s="4">
        <v>4</v>
      </c>
      <c r="AD1874" s="4">
        <v>20</v>
      </c>
      <c r="AE1874" s="4">
        <v>43</v>
      </c>
      <c r="AF1874" s="4">
        <v>0</v>
      </c>
      <c r="AG1874" s="4">
        <v>2</v>
      </c>
      <c r="AH1874" s="4">
        <v>18</v>
      </c>
      <c r="AI1874" s="4">
        <v>34</v>
      </c>
      <c r="AJ1874" s="4">
        <v>3</v>
      </c>
      <c r="AK1874" s="4">
        <v>10</v>
      </c>
      <c r="AL1874" s="4">
        <v>9</v>
      </c>
      <c r="AM1874" s="4">
        <v>17</v>
      </c>
      <c r="AN1874" s="4">
        <v>0</v>
      </c>
      <c r="AO1874" s="4">
        <v>0</v>
      </c>
      <c r="AP1874" s="4">
        <v>4</v>
      </c>
      <c r="AQ1874" s="4">
        <v>12</v>
      </c>
      <c r="AR1874" s="3" t="s">
        <v>62</v>
      </c>
      <c r="AS1874" s="3" t="s">
        <v>62</v>
      </c>
      <c r="AT1874" s="3" t="s">
        <v>62</v>
      </c>
      <c r="AV1874" s="6" t="str">
        <f>HYPERLINK("http://mcgill.on.worldcat.org/oclc/866616567","Catalog Record")</f>
        <v>Catalog Record</v>
      </c>
      <c r="AW1874" s="6" t="str">
        <f>HYPERLINK("http://www.worldcat.org/oclc/866616567","WorldCat Record")</f>
        <v>WorldCat Record</v>
      </c>
      <c r="AX1874" s="3" t="s">
        <v>18567</v>
      </c>
      <c r="AY1874" s="3" t="s">
        <v>18568</v>
      </c>
      <c r="AZ1874" s="3" t="s">
        <v>18569</v>
      </c>
      <c r="BA1874" s="3" t="s">
        <v>18569</v>
      </c>
      <c r="BB1874" s="3" t="s">
        <v>18570</v>
      </c>
      <c r="BC1874" s="3" t="s">
        <v>102</v>
      </c>
      <c r="BD1874" s="3" t="s">
        <v>231</v>
      </c>
      <c r="BE1874" s="3" t="s">
        <v>18571</v>
      </c>
      <c r="BF1874" s="3" t="s">
        <v>18570</v>
      </c>
      <c r="BG1874" s="3" t="s">
        <v>18572</v>
      </c>
    </row>
    <row r="1875" spans="1:59" ht="72.5" x14ac:dyDescent="0.35">
      <c r="A1875" s="2" t="s">
        <v>89</v>
      </c>
      <c r="B1875" s="2" t="s">
        <v>90</v>
      </c>
      <c r="C1875" s="2" t="s">
        <v>18573</v>
      </c>
      <c r="D1875" s="2" t="s">
        <v>18574</v>
      </c>
      <c r="E1875" s="2" t="s">
        <v>18575</v>
      </c>
      <c r="G1875" s="3" t="s">
        <v>62</v>
      </c>
      <c r="I1875" s="3" t="s">
        <v>62</v>
      </c>
      <c r="J1875" s="3" t="s">
        <v>62</v>
      </c>
      <c r="K1875" s="3" t="s">
        <v>63</v>
      </c>
      <c r="L1875" s="2" t="s">
        <v>18576</v>
      </c>
      <c r="M1875" s="2" t="s">
        <v>18577</v>
      </c>
      <c r="N1875" s="3" t="s">
        <v>1455</v>
      </c>
      <c r="O1875" s="2" t="s">
        <v>8443</v>
      </c>
      <c r="P1875" s="3" t="s">
        <v>64</v>
      </c>
      <c r="Q1875" s="2" t="s">
        <v>18578</v>
      </c>
      <c r="R1875" s="3" t="s">
        <v>13065</v>
      </c>
      <c r="S1875" s="4">
        <v>3</v>
      </c>
      <c r="T1875" s="4">
        <v>3</v>
      </c>
      <c r="U1875" s="5" t="s">
        <v>4966</v>
      </c>
      <c r="V1875" s="5" t="s">
        <v>4966</v>
      </c>
      <c r="W1875" s="5" t="s">
        <v>67</v>
      </c>
      <c r="X1875" s="5" t="s">
        <v>67</v>
      </c>
      <c r="Y1875" s="4">
        <v>66</v>
      </c>
      <c r="Z1875" s="4">
        <v>2</v>
      </c>
      <c r="AA1875" s="4">
        <v>38</v>
      </c>
      <c r="AB1875" s="4">
        <v>1</v>
      </c>
      <c r="AC1875" s="4">
        <v>8</v>
      </c>
      <c r="AD1875" s="4">
        <v>13</v>
      </c>
      <c r="AE1875" s="4">
        <v>65</v>
      </c>
      <c r="AF1875" s="4">
        <v>0</v>
      </c>
      <c r="AG1875" s="4">
        <v>5</v>
      </c>
      <c r="AH1875" s="4">
        <v>13</v>
      </c>
      <c r="AI1875" s="4">
        <v>51</v>
      </c>
      <c r="AJ1875" s="4">
        <v>0</v>
      </c>
      <c r="AK1875" s="4">
        <v>9</v>
      </c>
      <c r="AL1875" s="4">
        <v>10</v>
      </c>
      <c r="AM1875" s="4">
        <v>28</v>
      </c>
      <c r="AN1875" s="4">
        <v>0</v>
      </c>
      <c r="AO1875" s="4">
        <v>0</v>
      </c>
      <c r="AP1875" s="4">
        <v>0</v>
      </c>
      <c r="AQ1875" s="4">
        <v>17</v>
      </c>
      <c r="AR1875" s="3" t="s">
        <v>62</v>
      </c>
      <c r="AS1875" s="3" t="s">
        <v>62</v>
      </c>
      <c r="AT1875" s="3" t="s">
        <v>62</v>
      </c>
      <c r="AV1875" s="6" t="str">
        <f>HYPERLINK("http://mcgill.on.worldcat.org/oclc/862096372","Catalog Record")</f>
        <v>Catalog Record</v>
      </c>
      <c r="AW1875" s="6" t="str">
        <f>HYPERLINK("http://www.worldcat.org/oclc/862096372","WorldCat Record")</f>
        <v>WorldCat Record</v>
      </c>
      <c r="AX1875" s="3" t="s">
        <v>18579</v>
      </c>
      <c r="AY1875" s="3" t="s">
        <v>18580</v>
      </c>
      <c r="AZ1875" s="3" t="s">
        <v>18581</v>
      </c>
      <c r="BA1875" s="3" t="s">
        <v>18581</v>
      </c>
      <c r="BB1875" s="3" t="s">
        <v>18582</v>
      </c>
      <c r="BC1875" s="3" t="s">
        <v>102</v>
      </c>
      <c r="BD1875" s="3" t="s">
        <v>231</v>
      </c>
      <c r="BE1875" s="3" t="s">
        <v>18583</v>
      </c>
      <c r="BF1875" s="3" t="s">
        <v>18582</v>
      </c>
      <c r="BG1875" s="3" t="s">
        <v>18584</v>
      </c>
    </row>
    <row r="1876" spans="1:59" ht="72.5" x14ac:dyDescent="0.35">
      <c r="A1876" s="2" t="s">
        <v>89</v>
      </c>
      <c r="B1876" s="2" t="s">
        <v>90</v>
      </c>
      <c r="C1876" s="2" t="s">
        <v>18585</v>
      </c>
      <c r="D1876" s="2" t="s">
        <v>18586</v>
      </c>
      <c r="E1876" s="2" t="s">
        <v>18587</v>
      </c>
      <c r="G1876" s="3" t="s">
        <v>62</v>
      </c>
      <c r="I1876" s="3" t="s">
        <v>62</v>
      </c>
      <c r="J1876" s="3" t="s">
        <v>62</v>
      </c>
      <c r="K1876" s="3" t="s">
        <v>63</v>
      </c>
      <c r="L1876" s="2" t="s">
        <v>18588</v>
      </c>
      <c r="M1876" s="2" t="s">
        <v>12669</v>
      </c>
      <c r="N1876" s="3" t="s">
        <v>684</v>
      </c>
      <c r="P1876" s="3" t="s">
        <v>64</v>
      </c>
      <c r="Q1876" s="2" t="s">
        <v>18589</v>
      </c>
      <c r="R1876" s="3" t="s">
        <v>13065</v>
      </c>
      <c r="S1876" s="4">
        <v>5</v>
      </c>
      <c r="T1876" s="4">
        <v>5</v>
      </c>
      <c r="U1876" s="5" t="s">
        <v>7089</v>
      </c>
      <c r="V1876" s="5" t="s">
        <v>7089</v>
      </c>
      <c r="W1876" s="5" t="s">
        <v>67</v>
      </c>
      <c r="X1876" s="5" t="s">
        <v>67</v>
      </c>
      <c r="Y1876" s="4">
        <v>64</v>
      </c>
      <c r="Z1876" s="4">
        <v>3</v>
      </c>
      <c r="AA1876" s="4">
        <v>23</v>
      </c>
      <c r="AB1876" s="4">
        <v>1</v>
      </c>
      <c r="AC1876" s="4">
        <v>8</v>
      </c>
      <c r="AD1876" s="4">
        <v>13</v>
      </c>
      <c r="AE1876" s="4">
        <v>53</v>
      </c>
      <c r="AF1876" s="4">
        <v>0</v>
      </c>
      <c r="AG1876" s="4">
        <v>4</v>
      </c>
      <c r="AH1876" s="4">
        <v>11</v>
      </c>
      <c r="AI1876" s="4">
        <v>41</v>
      </c>
      <c r="AJ1876" s="4">
        <v>1</v>
      </c>
      <c r="AK1876" s="4">
        <v>15</v>
      </c>
      <c r="AL1876" s="4">
        <v>8</v>
      </c>
      <c r="AM1876" s="4">
        <v>22</v>
      </c>
      <c r="AN1876" s="4">
        <v>0</v>
      </c>
      <c r="AO1876" s="4">
        <v>0</v>
      </c>
      <c r="AP1876" s="4">
        <v>2</v>
      </c>
      <c r="AQ1876" s="4">
        <v>18</v>
      </c>
      <c r="AR1876" s="3" t="s">
        <v>62</v>
      </c>
      <c r="AS1876" s="3" t="s">
        <v>62</v>
      </c>
      <c r="AT1876" s="3" t="s">
        <v>62</v>
      </c>
      <c r="AV1876" s="6" t="str">
        <f>HYPERLINK("http://mcgill.on.worldcat.org/oclc/746598786","Catalog Record")</f>
        <v>Catalog Record</v>
      </c>
      <c r="AW1876" s="6" t="str">
        <f>HYPERLINK("http://www.worldcat.org/oclc/746598786","WorldCat Record")</f>
        <v>WorldCat Record</v>
      </c>
      <c r="AX1876" s="3" t="s">
        <v>18590</v>
      </c>
      <c r="AY1876" s="3" t="s">
        <v>18591</v>
      </c>
      <c r="AZ1876" s="3" t="s">
        <v>18592</v>
      </c>
      <c r="BA1876" s="3" t="s">
        <v>18592</v>
      </c>
      <c r="BB1876" s="3" t="s">
        <v>18593</v>
      </c>
      <c r="BC1876" s="3" t="s">
        <v>102</v>
      </c>
      <c r="BD1876" s="3" t="s">
        <v>68</v>
      </c>
      <c r="BE1876" s="3" t="s">
        <v>18594</v>
      </c>
      <c r="BF1876" s="3" t="s">
        <v>18593</v>
      </c>
      <c r="BG1876" s="3" t="s">
        <v>18595</v>
      </c>
    </row>
    <row r="1877" spans="1:59" ht="72.5" x14ac:dyDescent="0.35">
      <c r="A1877" s="2" t="s">
        <v>89</v>
      </c>
      <c r="B1877" s="2" t="s">
        <v>90</v>
      </c>
      <c r="C1877" s="2" t="s">
        <v>18596</v>
      </c>
      <c r="D1877" s="2" t="s">
        <v>18597</v>
      </c>
      <c r="E1877" s="2" t="s">
        <v>18598</v>
      </c>
      <c r="G1877" s="3" t="s">
        <v>62</v>
      </c>
      <c r="I1877" s="3" t="s">
        <v>62</v>
      </c>
      <c r="J1877" s="3" t="s">
        <v>62</v>
      </c>
      <c r="K1877" s="3" t="s">
        <v>63</v>
      </c>
      <c r="M1877" s="2" t="s">
        <v>18599</v>
      </c>
      <c r="N1877" s="3" t="s">
        <v>2975</v>
      </c>
      <c r="P1877" s="3" t="s">
        <v>64</v>
      </c>
      <c r="Q1877" s="2" t="s">
        <v>18600</v>
      </c>
      <c r="R1877" s="3" t="s">
        <v>13065</v>
      </c>
      <c r="S1877" s="4">
        <v>9</v>
      </c>
      <c r="T1877" s="4">
        <v>9</v>
      </c>
      <c r="U1877" s="5" t="s">
        <v>18601</v>
      </c>
      <c r="V1877" s="5" t="s">
        <v>18601</v>
      </c>
      <c r="W1877" s="5" t="s">
        <v>67</v>
      </c>
      <c r="X1877" s="5" t="s">
        <v>67</v>
      </c>
      <c r="Y1877" s="4">
        <v>192</v>
      </c>
      <c r="Z1877" s="4">
        <v>13</v>
      </c>
      <c r="AA1877" s="4">
        <v>16</v>
      </c>
      <c r="AB1877" s="4">
        <v>2</v>
      </c>
      <c r="AC1877" s="4">
        <v>5</v>
      </c>
      <c r="AD1877" s="4">
        <v>58</v>
      </c>
      <c r="AE1877" s="4">
        <v>61</v>
      </c>
      <c r="AF1877" s="4">
        <v>0</v>
      </c>
      <c r="AG1877" s="4">
        <v>3</v>
      </c>
      <c r="AH1877" s="4">
        <v>54</v>
      </c>
      <c r="AI1877" s="4">
        <v>55</v>
      </c>
      <c r="AJ1877" s="4">
        <v>6</v>
      </c>
      <c r="AK1877" s="4">
        <v>9</v>
      </c>
      <c r="AL1877" s="4">
        <v>29</v>
      </c>
      <c r="AM1877" s="4">
        <v>29</v>
      </c>
      <c r="AN1877" s="4">
        <v>0</v>
      </c>
      <c r="AO1877" s="4">
        <v>0</v>
      </c>
      <c r="AP1877" s="4">
        <v>8</v>
      </c>
      <c r="AQ1877" s="4">
        <v>10</v>
      </c>
      <c r="AR1877" s="3" t="s">
        <v>62</v>
      </c>
      <c r="AS1877" s="3" t="s">
        <v>62</v>
      </c>
      <c r="AT1877" s="3" t="s">
        <v>62</v>
      </c>
      <c r="AV1877" s="6" t="str">
        <f>HYPERLINK("http://mcgill.on.worldcat.org/oclc/45917144","Catalog Record")</f>
        <v>Catalog Record</v>
      </c>
      <c r="AW1877" s="6" t="str">
        <f>HYPERLINK("http://www.worldcat.org/oclc/45917144","WorldCat Record")</f>
        <v>WorldCat Record</v>
      </c>
      <c r="AX1877" s="3" t="s">
        <v>18602</v>
      </c>
      <c r="AY1877" s="3" t="s">
        <v>18603</v>
      </c>
      <c r="AZ1877" s="3" t="s">
        <v>18604</v>
      </c>
      <c r="BA1877" s="3" t="s">
        <v>18604</v>
      </c>
      <c r="BB1877" s="3" t="s">
        <v>18605</v>
      </c>
      <c r="BC1877" s="3" t="s">
        <v>102</v>
      </c>
      <c r="BD1877" s="3" t="s">
        <v>68</v>
      </c>
      <c r="BE1877" s="3" t="s">
        <v>18606</v>
      </c>
      <c r="BF1877" s="3" t="s">
        <v>18605</v>
      </c>
      <c r="BG1877" s="3" t="s">
        <v>18607</v>
      </c>
    </row>
    <row r="1878" spans="1:59" ht="72.5" x14ac:dyDescent="0.35">
      <c r="A1878" s="2" t="s">
        <v>89</v>
      </c>
      <c r="B1878" s="2" t="s">
        <v>90</v>
      </c>
      <c r="C1878" s="2" t="s">
        <v>18608</v>
      </c>
      <c r="D1878" s="2" t="s">
        <v>18609</v>
      </c>
      <c r="E1878" s="2" t="s">
        <v>18610</v>
      </c>
      <c r="G1878" s="3" t="s">
        <v>62</v>
      </c>
      <c r="I1878" s="3" t="s">
        <v>62</v>
      </c>
      <c r="J1878" s="3" t="s">
        <v>62</v>
      </c>
      <c r="K1878" s="3" t="s">
        <v>63</v>
      </c>
      <c r="L1878" s="2" t="s">
        <v>18611</v>
      </c>
      <c r="M1878" s="2" t="s">
        <v>18612</v>
      </c>
      <c r="N1878" s="3" t="s">
        <v>880</v>
      </c>
      <c r="P1878" s="3" t="s">
        <v>64</v>
      </c>
      <c r="Q1878" s="2" t="s">
        <v>18613</v>
      </c>
      <c r="R1878" s="3" t="s">
        <v>13065</v>
      </c>
      <c r="S1878" s="4">
        <v>0</v>
      </c>
      <c r="T1878" s="4">
        <v>0</v>
      </c>
      <c r="W1878" s="5" t="s">
        <v>67</v>
      </c>
      <c r="X1878" s="5" t="s">
        <v>67</v>
      </c>
      <c r="Y1878" s="4">
        <v>31</v>
      </c>
      <c r="Z1878" s="4">
        <v>2</v>
      </c>
      <c r="AA1878" s="4">
        <v>95</v>
      </c>
      <c r="AB1878" s="4">
        <v>1</v>
      </c>
      <c r="AC1878" s="4">
        <v>17</v>
      </c>
      <c r="AD1878" s="4">
        <v>8</v>
      </c>
      <c r="AE1878" s="4">
        <v>100</v>
      </c>
      <c r="AF1878" s="4">
        <v>0</v>
      </c>
      <c r="AG1878" s="4">
        <v>8</v>
      </c>
      <c r="AH1878" s="4">
        <v>7</v>
      </c>
      <c r="AI1878" s="4">
        <v>63</v>
      </c>
      <c r="AJ1878" s="4">
        <v>1</v>
      </c>
      <c r="AK1878" s="4">
        <v>19</v>
      </c>
      <c r="AL1878" s="4">
        <v>3</v>
      </c>
      <c r="AM1878" s="4">
        <v>30</v>
      </c>
      <c r="AN1878" s="4">
        <v>0</v>
      </c>
      <c r="AO1878" s="4">
        <v>0</v>
      </c>
      <c r="AP1878" s="4">
        <v>1</v>
      </c>
      <c r="AQ1878" s="4">
        <v>41</v>
      </c>
      <c r="AR1878" s="3" t="s">
        <v>62</v>
      </c>
      <c r="AS1878" s="3" t="s">
        <v>62</v>
      </c>
      <c r="AT1878" s="3" t="s">
        <v>62</v>
      </c>
      <c r="AV1878" s="6" t="str">
        <f>HYPERLINK("http://mcgill.on.worldcat.org/oclc/669738925","Catalog Record")</f>
        <v>Catalog Record</v>
      </c>
      <c r="AW1878" s="6" t="str">
        <f>HYPERLINK("http://www.worldcat.org/oclc/669738925","WorldCat Record")</f>
        <v>WorldCat Record</v>
      </c>
      <c r="AX1878" s="3" t="s">
        <v>18614</v>
      </c>
      <c r="AY1878" s="3" t="s">
        <v>18615</v>
      </c>
      <c r="AZ1878" s="3" t="s">
        <v>18616</v>
      </c>
      <c r="BA1878" s="3" t="s">
        <v>18616</v>
      </c>
      <c r="BB1878" s="3" t="s">
        <v>18617</v>
      </c>
      <c r="BC1878" s="3" t="s">
        <v>102</v>
      </c>
      <c r="BD1878" s="3" t="s">
        <v>68</v>
      </c>
      <c r="BE1878" s="3" t="s">
        <v>18618</v>
      </c>
      <c r="BF1878" s="3" t="s">
        <v>18617</v>
      </c>
      <c r="BG1878" s="3" t="s">
        <v>18619</v>
      </c>
    </row>
    <row r="1879" spans="1:59" ht="72.5" x14ac:dyDescent="0.35">
      <c r="A1879" s="2" t="s">
        <v>89</v>
      </c>
      <c r="B1879" s="2" t="s">
        <v>90</v>
      </c>
      <c r="C1879" s="2" t="s">
        <v>18620</v>
      </c>
      <c r="D1879" s="2" t="s">
        <v>18621</v>
      </c>
      <c r="E1879" s="2" t="s">
        <v>18622</v>
      </c>
      <c r="G1879" s="3" t="s">
        <v>62</v>
      </c>
      <c r="I1879" s="3" t="s">
        <v>62</v>
      </c>
      <c r="J1879" s="3" t="s">
        <v>61</v>
      </c>
      <c r="K1879" s="3" t="s">
        <v>63</v>
      </c>
      <c r="L1879" s="2" t="s">
        <v>18623</v>
      </c>
      <c r="M1879" s="2" t="s">
        <v>18624</v>
      </c>
      <c r="N1879" s="3" t="s">
        <v>712</v>
      </c>
      <c r="O1879" s="2" t="s">
        <v>8443</v>
      </c>
      <c r="P1879" s="3" t="s">
        <v>64</v>
      </c>
      <c r="R1879" s="3" t="s">
        <v>13065</v>
      </c>
      <c r="S1879" s="4">
        <v>10</v>
      </c>
      <c r="T1879" s="4">
        <v>10</v>
      </c>
      <c r="U1879" s="5" t="s">
        <v>13499</v>
      </c>
      <c r="V1879" s="5" t="s">
        <v>13499</v>
      </c>
      <c r="W1879" s="5" t="s">
        <v>67</v>
      </c>
      <c r="X1879" s="5" t="s">
        <v>67</v>
      </c>
      <c r="Y1879" s="4">
        <v>141</v>
      </c>
      <c r="Z1879" s="4">
        <v>14</v>
      </c>
      <c r="AA1879" s="4">
        <v>43</v>
      </c>
      <c r="AB1879" s="4">
        <v>2</v>
      </c>
      <c r="AC1879" s="4">
        <v>11</v>
      </c>
      <c r="AD1879" s="4">
        <v>39</v>
      </c>
      <c r="AE1879" s="4">
        <v>96</v>
      </c>
      <c r="AF1879" s="4">
        <v>1</v>
      </c>
      <c r="AG1879" s="4">
        <v>8</v>
      </c>
      <c r="AH1879" s="4">
        <v>33</v>
      </c>
      <c r="AI1879" s="4">
        <v>72</v>
      </c>
      <c r="AJ1879" s="4">
        <v>9</v>
      </c>
      <c r="AK1879" s="4">
        <v>22</v>
      </c>
      <c r="AL1879" s="4">
        <v>19</v>
      </c>
      <c r="AM1879" s="4">
        <v>44</v>
      </c>
      <c r="AN1879" s="4">
        <v>0</v>
      </c>
      <c r="AO1879" s="4">
        <v>0</v>
      </c>
      <c r="AP1879" s="4">
        <v>11</v>
      </c>
      <c r="AQ1879" s="4">
        <v>29</v>
      </c>
      <c r="AR1879" s="3" t="s">
        <v>62</v>
      </c>
      <c r="AS1879" s="3" t="s">
        <v>62</v>
      </c>
      <c r="AT1879" s="3" t="s">
        <v>62</v>
      </c>
      <c r="AV1879" s="6" t="str">
        <f>HYPERLINK("http://mcgill.on.worldcat.org/oclc/900001321","Catalog Record")</f>
        <v>Catalog Record</v>
      </c>
      <c r="AW1879" s="6" t="str">
        <f>HYPERLINK("http://www.worldcat.org/oclc/900001321","WorldCat Record")</f>
        <v>WorldCat Record</v>
      </c>
      <c r="AX1879" s="3" t="s">
        <v>18625</v>
      </c>
      <c r="AY1879" s="3" t="s">
        <v>18626</v>
      </c>
      <c r="AZ1879" s="3" t="s">
        <v>18627</v>
      </c>
      <c r="BA1879" s="3" t="s">
        <v>18627</v>
      </c>
      <c r="BB1879" s="3" t="s">
        <v>18628</v>
      </c>
      <c r="BC1879" s="3" t="s">
        <v>102</v>
      </c>
      <c r="BD1879" s="3" t="s">
        <v>231</v>
      </c>
      <c r="BE1879" s="3" t="s">
        <v>18629</v>
      </c>
      <c r="BF1879" s="3" t="s">
        <v>18628</v>
      </c>
      <c r="BG1879" s="3" t="s">
        <v>18630</v>
      </c>
    </row>
    <row r="1880" spans="1:59" ht="101.5" x14ac:dyDescent="0.35">
      <c r="A1880" s="2" t="s">
        <v>89</v>
      </c>
      <c r="B1880" s="2" t="s">
        <v>12301</v>
      </c>
      <c r="C1880" s="2" t="s">
        <v>18631</v>
      </c>
      <c r="D1880" s="2" t="s">
        <v>18632</v>
      </c>
      <c r="E1880" s="2" t="s">
        <v>18633</v>
      </c>
      <c r="G1880" s="3" t="s">
        <v>62</v>
      </c>
      <c r="I1880" s="3" t="s">
        <v>62</v>
      </c>
      <c r="J1880" s="3" t="s">
        <v>61</v>
      </c>
      <c r="K1880" s="3" t="s">
        <v>63</v>
      </c>
      <c r="M1880" s="2" t="s">
        <v>18634</v>
      </c>
      <c r="N1880" s="3" t="s">
        <v>698</v>
      </c>
      <c r="O1880" s="2" t="s">
        <v>17648</v>
      </c>
      <c r="P1880" s="3" t="s">
        <v>64</v>
      </c>
      <c r="Q1880" s="2" t="s">
        <v>18635</v>
      </c>
      <c r="R1880" s="3" t="s">
        <v>13065</v>
      </c>
      <c r="S1880" s="4">
        <v>33</v>
      </c>
      <c r="T1880" s="4">
        <v>33</v>
      </c>
      <c r="U1880" s="5" t="s">
        <v>18636</v>
      </c>
      <c r="V1880" s="5" t="s">
        <v>18636</v>
      </c>
      <c r="W1880" s="5" t="s">
        <v>67</v>
      </c>
      <c r="X1880" s="5" t="s">
        <v>67</v>
      </c>
      <c r="Y1880" s="4">
        <v>108</v>
      </c>
      <c r="Z1880" s="4">
        <v>14</v>
      </c>
      <c r="AA1880" s="4">
        <v>55</v>
      </c>
      <c r="AB1880" s="4">
        <v>3</v>
      </c>
      <c r="AC1880" s="4">
        <v>15</v>
      </c>
      <c r="AD1880" s="4">
        <v>39</v>
      </c>
      <c r="AE1880" s="4">
        <v>126</v>
      </c>
      <c r="AF1880" s="4">
        <v>1</v>
      </c>
      <c r="AG1880" s="4">
        <v>8</v>
      </c>
      <c r="AH1880" s="4">
        <v>30</v>
      </c>
      <c r="AI1880" s="4">
        <v>95</v>
      </c>
      <c r="AJ1880" s="4">
        <v>6</v>
      </c>
      <c r="AK1880" s="4">
        <v>26</v>
      </c>
      <c r="AL1880" s="4">
        <v>18</v>
      </c>
      <c r="AM1880" s="4">
        <v>56</v>
      </c>
      <c r="AN1880" s="4">
        <v>0</v>
      </c>
      <c r="AO1880" s="4">
        <v>0</v>
      </c>
      <c r="AP1880" s="4">
        <v>11</v>
      </c>
      <c r="AQ1880" s="4">
        <v>38</v>
      </c>
      <c r="AR1880" s="3" t="s">
        <v>62</v>
      </c>
      <c r="AS1880" s="3" t="s">
        <v>62</v>
      </c>
      <c r="AT1880" s="3" t="s">
        <v>62</v>
      </c>
      <c r="AV1880" s="6" t="str">
        <f>HYPERLINK("http://mcgill.on.worldcat.org/oclc/746622042","Catalog Record")</f>
        <v>Catalog Record</v>
      </c>
      <c r="AW1880" s="6" t="str">
        <f>HYPERLINK("http://www.worldcat.org/oclc/746622042","WorldCat Record")</f>
        <v>WorldCat Record</v>
      </c>
      <c r="AX1880" s="3" t="s">
        <v>18637</v>
      </c>
      <c r="AY1880" s="3" t="s">
        <v>18638</v>
      </c>
      <c r="AZ1880" s="3" t="s">
        <v>18639</v>
      </c>
      <c r="BA1880" s="3" t="s">
        <v>18639</v>
      </c>
      <c r="BB1880" s="3" t="s">
        <v>18640</v>
      </c>
      <c r="BC1880" s="3" t="s">
        <v>102</v>
      </c>
      <c r="BD1880" s="3" t="s">
        <v>68</v>
      </c>
      <c r="BE1880" s="3" t="s">
        <v>18641</v>
      </c>
      <c r="BF1880" s="3" t="s">
        <v>18640</v>
      </c>
      <c r="BG1880" s="3" t="s">
        <v>18642</v>
      </c>
    </row>
    <row r="1881" spans="1:59" ht="58" x14ac:dyDescent="0.35">
      <c r="A1881" s="2" t="s">
        <v>89</v>
      </c>
      <c r="B1881" s="2" t="s">
        <v>90</v>
      </c>
      <c r="C1881" s="2" t="s">
        <v>18643</v>
      </c>
      <c r="D1881" s="2" t="s">
        <v>18644</v>
      </c>
      <c r="E1881" s="2" t="s">
        <v>18645</v>
      </c>
      <c r="G1881" s="3" t="s">
        <v>62</v>
      </c>
      <c r="I1881" s="3" t="s">
        <v>62</v>
      </c>
      <c r="J1881" s="3" t="s">
        <v>62</v>
      </c>
      <c r="K1881" s="3" t="s">
        <v>63</v>
      </c>
      <c r="M1881" s="2" t="s">
        <v>18646</v>
      </c>
      <c r="N1881" s="3" t="s">
        <v>880</v>
      </c>
      <c r="P1881" s="3" t="s">
        <v>64</v>
      </c>
      <c r="Q1881" s="2" t="s">
        <v>18647</v>
      </c>
      <c r="R1881" s="3" t="s">
        <v>13065</v>
      </c>
      <c r="S1881" s="4">
        <v>0</v>
      </c>
      <c r="T1881" s="4">
        <v>0</v>
      </c>
      <c r="W1881" s="5" t="s">
        <v>67</v>
      </c>
      <c r="X1881" s="5" t="s">
        <v>67</v>
      </c>
      <c r="Y1881" s="4">
        <v>63</v>
      </c>
      <c r="Z1881" s="4">
        <v>6</v>
      </c>
      <c r="AA1881" s="4">
        <v>36</v>
      </c>
      <c r="AB1881" s="4">
        <v>1</v>
      </c>
      <c r="AC1881" s="4">
        <v>10</v>
      </c>
      <c r="AD1881" s="4">
        <v>18</v>
      </c>
      <c r="AE1881" s="4">
        <v>85</v>
      </c>
      <c r="AF1881" s="4">
        <v>0</v>
      </c>
      <c r="AG1881" s="4">
        <v>6</v>
      </c>
      <c r="AH1881" s="4">
        <v>17</v>
      </c>
      <c r="AI1881" s="4">
        <v>62</v>
      </c>
      <c r="AJ1881" s="4">
        <v>5</v>
      </c>
      <c r="AK1881" s="4">
        <v>17</v>
      </c>
      <c r="AL1881" s="4">
        <v>7</v>
      </c>
      <c r="AM1881" s="4">
        <v>29</v>
      </c>
      <c r="AN1881" s="4">
        <v>0</v>
      </c>
      <c r="AO1881" s="4">
        <v>0</v>
      </c>
      <c r="AP1881" s="4">
        <v>5</v>
      </c>
      <c r="AQ1881" s="4">
        <v>30</v>
      </c>
      <c r="AR1881" s="3" t="s">
        <v>62</v>
      </c>
      <c r="AS1881" s="3" t="s">
        <v>62</v>
      </c>
      <c r="AT1881" s="3" t="s">
        <v>62</v>
      </c>
      <c r="AV1881" s="6" t="str">
        <f>HYPERLINK("http://mcgill.on.worldcat.org/oclc/619662411","Catalog Record")</f>
        <v>Catalog Record</v>
      </c>
      <c r="AW1881" s="6" t="str">
        <f>HYPERLINK("http://www.worldcat.org/oclc/619662411","WorldCat Record")</f>
        <v>WorldCat Record</v>
      </c>
      <c r="AX1881" s="3" t="s">
        <v>18648</v>
      </c>
      <c r="AY1881" s="3" t="s">
        <v>18649</v>
      </c>
      <c r="AZ1881" s="3" t="s">
        <v>18650</v>
      </c>
      <c r="BA1881" s="3" t="s">
        <v>18650</v>
      </c>
      <c r="BB1881" s="3" t="s">
        <v>18651</v>
      </c>
      <c r="BC1881" s="3" t="s">
        <v>102</v>
      </c>
      <c r="BD1881" s="3" t="s">
        <v>68</v>
      </c>
      <c r="BE1881" s="3" t="s">
        <v>18652</v>
      </c>
      <c r="BF1881" s="3" t="s">
        <v>18651</v>
      </c>
      <c r="BG1881" s="3" t="s">
        <v>18653</v>
      </c>
    </row>
    <row r="1882" spans="1:59" ht="58" x14ac:dyDescent="0.35">
      <c r="A1882" s="2" t="s">
        <v>89</v>
      </c>
      <c r="B1882" s="2" t="s">
        <v>90</v>
      </c>
      <c r="C1882" s="2" t="s">
        <v>18654</v>
      </c>
      <c r="D1882" s="2" t="s">
        <v>18655</v>
      </c>
      <c r="E1882" s="2" t="s">
        <v>18656</v>
      </c>
      <c r="G1882" s="3" t="s">
        <v>62</v>
      </c>
      <c r="I1882" s="3" t="s">
        <v>62</v>
      </c>
      <c r="J1882" s="3" t="s">
        <v>62</v>
      </c>
      <c r="K1882" s="3" t="s">
        <v>63</v>
      </c>
      <c r="M1882" s="2" t="s">
        <v>17986</v>
      </c>
      <c r="N1882" s="3" t="s">
        <v>2985</v>
      </c>
      <c r="P1882" s="3" t="s">
        <v>64</v>
      </c>
      <c r="Q1882" s="2" t="s">
        <v>18657</v>
      </c>
      <c r="R1882" s="3" t="s">
        <v>13065</v>
      </c>
      <c r="S1882" s="4">
        <v>6</v>
      </c>
      <c r="T1882" s="4">
        <v>6</v>
      </c>
      <c r="U1882" s="5" t="s">
        <v>18138</v>
      </c>
      <c r="V1882" s="5" t="s">
        <v>18138</v>
      </c>
      <c r="W1882" s="5" t="s">
        <v>67</v>
      </c>
      <c r="X1882" s="5" t="s">
        <v>67</v>
      </c>
      <c r="Y1882" s="4">
        <v>181</v>
      </c>
      <c r="Z1882" s="4">
        <v>20</v>
      </c>
      <c r="AA1882" s="4">
        <v>21</v>
      </c>
      <c r="AB1882" s="4">
        <v>3</v>
      </c>
      <c r="AC1882" s="4">
        <v>4</v>
      </c>
      <c r="AD1882" s="4">
        <v>54</v>
      </c>
      <c r="AE1882" s="4">
        <v>55</v>
      </c>
      <c r="AF1882" s="4">
        <v>1</v>
      </c>
      <c r="AG1882" s="4">
        <v>2</v>
      </c>
      <c r="AH1882" s="4">
        <v>45</v>
      </c>
      <c r="AI1882" s="4">
        <v>45</v>
      </c>
      <c r="AJ1882" s="4">
        <v>11</v>
      </c>
      <c r="AK1882" s="4">
        <v>12</v>
      </c>
      <c r="AL1882" s="4">
        <v>31</v>
      </c>
      <c r="AM1882" s="4">
        <v>31</v>
      </c>
      <c r="AN1882" s="4">
        <v>0</v>
      </c>
      <c r="AO1882" s="4">
        <v>0</v>
      </c>
      <c r="AP1882" s="4">
        <v>15</v>
      </c>
      <c r="AQ1882" s="4">
        <v>16</v>
      </c>
      <c r="AR1882" s="3" t="s">
        <v>62</v>
      </c>
      <c r="AS1882" s="3" t="s">
        <v>62</v>
      </c>
      <c r="AT1882" s="3" t="s">
        <v>61</v>
      </c>
      <c r="AU1882" s="6" t="str">
        <f>HYPERLINK("http://catalog.hathitrust.org/Record/005957161","HathiTrust Record")</f>
        <v>HathiTrust Record</v>
      </c>
      <c r="AV1882" s="6" t="str">
        <f>HYPERLINK("http://mcgill.on.worldcat.org/oclc/220101109","Catalog Record")</f>
        <v>Catalog Record</v>
      </c>
      <c r="AW1882" s="6" t="str">
        <f>HYPERLINK("http://www.worldcat.org/oclc/220101109","WorldCat Record")</f>
        <v>WorldCat Record</v>
      </c>
      <c r="AX1882" s="3" t="s">
        <v>18658</v>
      </c>
      <c r="AY1882" s="3" t="s">
        <v>18659</v>
      </c>
      <c r="AZ1882" s="3" t="s">
        <v>18660</v>
      </c>
      <c r="BA1882" s="3" t="s">
        <v>18660</v>
      </c>
      <c r="BB1882" s="3" t="s">
        <v>18661</v>
      </c>
      <c r="BC1882" s="3" t="s">
        <v>102</v>
      </c>
      <c r="BD1882" s="3" t="s">
        <v>68</v>
      </c>
      <c r="BE1882" s="3" t="s">
        <v>18662</v>
      </c>
      <c r="BF1882" s="3" t="s">
        <v>18661</v>
      </c>
      <c r="BG1882" s="3" t="s">
        <v>18663</v>
      </c>
    </row>
    <row r="1883" spans="1:59" ht="58" x14ac:dyDescent="0.35">
      <c r="A1883" s="2" t="s">
        <v>89</v>
      </c>
      <c r="B1883" s="2" t="s">
        <v>90</v>
      </c>
      <c r="C1883" s="2" t="s">
        <v>18664</v>
      </c>
      <c r="D1883" s="2" t="s">
        <v>18665</v>
      </c>
      <c r="E1883" s="2" t="s">
        <v>18666</v>
      </c>
      <c r="G1883" s="3" t="s">
        <v>62</v>
      </c>
      <c r="I1883" s="3" t="s">
        <v>62</v>
      </c>
      <c r="J1883" s="3" t="s">
        <v>62</v>
      </c>
      <c r="K1883" s="3" t="s">
        <v>63</v>
      </c>
      <c r="L1883" s="2" t="s">
        <v>18667</v>
      </c>
      <c r="M1883" s="2" t="s">
        <v>18668</v>
      </c>
      <c r="N1883" s="3" t="s">
        <v>1455</v>
      </c>
      <c r="P1883" s="3" t="s">
        <v>64</v>
      </c>
      <c r="R1883" s="3" t="s">
        <v>13065</v>
      </c>
      <c r="S1883" s="4">
        <v>0</v>
      </c>
      <c r="T1883" s="4">
        <v>0</v>
      </c>
      <c r="W1883" s="5" t="s">
        <v>67</v>
      </c>
      <c r="X1883" s="5" t="s">
        <v>67</v>
      </c>
      <c r="Y1883" s="4">
        <v>41</v>
      </c>
      <c r="Z1883" s="4">
        <v>4</v>
      </c>
      <c r="AA1883" s="4">
        <v>13</v>
      </c>
      <c r="AB1883" s="4">
        <v>1</v>
      </c>
      <c r="AC1883" s="4">
        <v>6</v>
      </c>
      <c r="AD1883" s="4">
        <v>13</v>
      </c>
      <c r="AE1883" s="4">
        <v>28</v>
      </c>
      <c r="AF1883" s="4">
        <v>0</v>
      </c>
      <c r="AG1883" s="4">
        <v>2</v>
      </c>
      <c r="AH1883" s="4">
        <v>13</v>
      </c>
      <c r="AI1883" s="4">
        <v>25</v>
      </c>
      <c r="AJ1883" s="4">
        <v>2</v>
      </c>
      <c r="AK1883" s="4">
        <v>8</v>
      </c>
      <c r="AL1883" s="4">
        <v>9</v>
      </c>
      <c r="AM1883" s="4">
        <v>15</v>
      </c>
      <c r="AN1883" s="4">
        <v>0</v>
      </c>
      <c r="AO1883" s="4">
        <v>0</v>
      </c>
      <c r="AP1883" s="4">
        <v>2</v>
      </c>
      <c r="AQ1883" s="4">
        <v>7</v>
      </c>
      <c r="AR1883" s="3" t="s">
        <v>62</v>
      </c>
      <c r="AS1883" s="3" t="s">
        <v>62</v>
      </c>
      <c r="AT1883" s="3" t="s">
        <v>62</v>
      </c>
      <c r="AV1883" s="6" t="str">
        <f>HYPERLINK("http://mcgill.on.worldcat.org/oclc/893202681","Catalog Record")</f>
        <v>Catalog Record</v>
      </c>
      <c r="AW1883" s="6" t="str">
        <f>HYPERLINK("http://www.worldcat.org/oclc/893202681","WorldCat Record")</f>
        <v>WorldCat Record</v>
      </c>
      <c r="AX1883" s="3" t="s">
        <v>18669</v>
      </c>
      <c r="AY1883" s="3" t="s">
        <v>18670</v>
      </c>
      <c r="AZ1883" s="3" t="s">
        <v>18671</v>
      </c>
      <c r="BA1883" s="3" t="s">
        <v>18671</v>
      </c>
      <c r="BB1883" s="3" t="s">
        <v>18672</v>
      </c>
      <c r="BC1883" s="3" t="s">
        <v>102</v>
      </c>
      <c r="BD1883" s="3" t="s">
        <v>68</v>
      </c>
      <c r="BE1883" s="3" t="s">
        <v>18673</v>
      </c>
      <c r="BF1883" s="3" t="s">
        <v>18672</v>
      </c>
      <c r="BG1883" s="3" t="s">
        <v>18674</v>
      </c>
    </row>
    <row r="1884" spans="1:59" ht="58" x14ac:dyDescent="0.35">
      <c r="A1884" s="2" t="s">
        <v>89</v>
      </c>
      <c r="B1884" s="2" t="s">
        <v>90</v>
      </c>
      <c r="C1884" s="2" t="s">
        <v>18675</v>
      </c>
      <c r="D1884" s="2" t="s">
        <v>18676</v>
      </c>
      <c r="E1884" s="2" t="s">
        <v>18677</v>
      </c>
      <c r="G1884" s="3" t="s">
        <v>62</v>
      </c>
      <c r="I1884" s="3" t="s">
        <v>62</v>
      </c>
      <c r="J1884" s="3" t="s">
        <v>62</v>
      </c>
      <c r="K1884" s="3" t="s">
        <v>63</v>
      </c>
      <c r="L1884" s="2" t="s">
        <v>18678</v>
      </c>
      <c r="M1884" s="2" t="s">
        <v>18679</v>
      </c>
      <c r="N1884" s="3" t="s">
        <v>129</v>
      </c>
      <c r="P1884" s="3" t="s">
        <v>64</v>
      </c>
      <c r="Q1884" s="2" t="s">
        <v>18680</v>
      </c>
      <c r="R1884" s="3" t="s">
        <v>13065</v>
      </c>
      <c r="S1884" s="4">
        <v>3</v>
      </c>
      <c r="T1884" s="4">
        <v>3</v>
      </c>
      <c r="U1884" s="5" t="s">
        <v>18681</v>
      </c>
      <c r="V1884" s="5" t="s">
        <v>18681</v>
      </c>
      <c r="W1884" s="5" t="s">
        <v>67</v>
      </c>
      <c r="X1884" s="5" t="s">
        <v>67</v>
      </c>
      <c r="Y1884" s="4">
        <v>85</v>
      </c>
      <c r="Z1884" s="4">
        <v>9</v>
      </c>
      <c r="AA1884" s="4">
        <v>79</v>
      </c>
      <c r="AB1884" s="4">
        <v>1</v>
      </c>
      <c r="AC1884" s="4">
        <v>12</v>
      </c>
      <c r="AD1884" s="4">
        <v>27</v>
      </c>
      <c r="AE1884" s="4">
        <v>94</v>
      </c>
      <c r="AF1884" s="4">
        <v>0</v>
      </c>
      <c r="AG1884" s="4">
        <v>6</v>
      </c>
      <c r="AH1884" s="4">
        <v>24</v>
      </c>
      <c r="AI1884" s="4">
        <v>66</v>
      </c>
      <c r="AJ1884" s="4">
        <v>6</v>
      </c>
      <c r="AK1884" s="4">
        <v>20</v>
      </c>
      <c r="AL1884" s="4">
        <v>14</v>
      </c>
      <c r="AM1884" s="4">
        <v>35</v>
      </c>
      <c r="AN1884" s="4">
        <v>0</v>
      </c>
      <c r="AO1884" s="4">
        <v>0</v>
      </c>
      <c r="AP1884" s="4">
        <v>7</v>
      </c>
      <c r="AQ1884" s="4">
        <v>32</v>
      </c>
      <c r="AR1884" s="3" t="s">
        <v>62</v>
      </c>
      <c r="AS1884" s="3" t="s">
        <v>62</v>
      </c>
      <c r="AT1884" s="3" t="s">
        <v>62</v>
      </c>
      <c r="AV1884" s="6" t="str">
        <f>HYPERLINK("http://mcgill.on.worldcat.org/oclc/855705718","Catalog Record")</f>
        <v>Catalog Record</v>
      </c>
      <c r="AW1884" s="6" t="str">
        <f>HYPERLINK("http://www.worldcat.org/oclc/855705718","WorldCat Record")</f>
        <v>WorldCat Record</v>
      </c>
      <c r="AX1884" s="3" t="s">
        <v>18682</v>
      </c>
      <c r="AY1884" s="3" t="s">
        <v>18683</v>
      </c>
      <c r="AZ1884" s="3" t="s">
        <v>18684</v>
      </c>
      <c r="BA1884" s="3" t="s">
        <v>18684</v>
      </c>
      <c r="BB1884" s="3" t="s">
        <v>18685</v>
      </c>
      <c r="BC1884" s="3" t="s">
        <v>102</v>
      </c>
      <c r="BD1884" s="3" t="s">
        <v>68</v>
      </c>
      <c r="BE1884" s="3" t="s">
        <v>18686</v>
      </c>
      <c r="BF1884" s="3" t="s">
        <v>18685</v>
      </c>
      <c r="BG1884" s="3" t="s">
        <v>18687</v>
      </c>
    </row>
    <row r="1885" spans="1:59" ht="58" x14ac:dyDescent="0.35">
      <c r="A1885" s="2" t="s">
        <v>89</v>
      </c>
      <c r="B1885" s="2" t="s">
        <v>90</v>
      </c>
      <c r="C1885" s="2" t="s">
        <v>18688</v>
      </c>
      <c r="D1885" s="2" t="s">
        <v>18689</v>
      </c>
      <c r="E1885" s="2" t="s">
        <v>18690</v>
      </c>
      <c r="G1885" s="3" t="s">
        <v>62</v>
      </c>
      <c r="I1885" s="3" t="s">
        <v>62</v>
      </c>
      <c r="J1885" s="3" t="s">
        <v>62</v>
      </c>
      <c r="K1885" s="3" t="s">
        <v>63</v>
      </c>
      <c r="M1885" s="2" t="s">
        <v>18691</v>
      </c>
      <c r="N1885" s="3" t="s">
        <v>1722</v>
      </c>
      <c r="P1885" s="3" t="s">
        <v>64</v>
      </c>
      <c r="Q1885" s="2" t="s">
        <v>18692</v>
      </c>
      <c r="R1885" s="3" t="s">
        <v>13065</v>
      </c>
      <c r="S1885" s="4">
        <v>2</v>
      </c>
      <c r="T1885" s="4">
        <v>2</v>
      </c>
      <c r="U1885" s="5" t="s">
        <v>7472</v>
      </c>
      <c r="V1885" s="5" t="s">
        <v>7472</v>
      </c>
      <c r="W1885" s="5" t="s">
        <v>67</v>
      </c>
      <c r="X1885" s="5" t="s">
        <v>67</v>
      </c>
      <c r="Y1885" s="4">
        <v>70</v>
      </c>
      <c r="Z1885" s="4">
        <v>5</v>
      </c>
      <c r="AA1885" s="4">
        <v>44</v>
      </c>
      <c r="AB1885" s="4">
        <v>1</v>
      </c>
      <c r="AC1885" s="4">
        <v>10</v>
      </c>
      <c r="AD1885" s="4">
        <v>27</v>
      </c>
      <c r="AE1885" s="4">
        <v>108</v>
      </c>
      <c r="AF1885" s="4">
        <v>0</v>
      </c>
      <c r="AG1885" s="4">
        <v>7</v>
      </c>
      <c r="AH1885" s="4">
        <v>24</v>
      </c>
      <c r="AI1885" s="4">
        <v>78</v>
      </c>
      <c r="AJ1885" s="4">
        <v>3</v>
      </c>
      <c r="AK1885" s="4">
        <v>22</v>
      </c>
      <c r="AL1885" s="4">
        <v>16</v>
      </c>
      <c r="AM1885" s="4">
        <v>38</v>
      </c>
      <c r="AN1885" s="4">
        <v>0</v>
      </c>
      <c r="AO1885" s="4">
        <v>0</v>
      </c>
      <c r="AP1885" s="4">
        <v>3</v>
      </c>
      <c r="AQ1885" s="4">
        <v>38</v>
      </c>
      <c r="AR1885" s="3" t="s">
        <v>62</v>
      </c>
      <c r="AS1885" s="3" t="s">
        <v>62</v>
      </c>
      <c r="AT1885" s="3" t="s">
        <v>62</v>
      </c>
      <c r="AV1885" s="6" t="str">
        <f>HYPERLINK("http://mcgill.on.worldcat.org/oclc/233932660","Catalog Record")</f>
        <v>Catalog Record</v>
      </c>
      <c r="AW1885" s="6" t="str">
        <f>HYPERLINK("http://www.worldcat.org/oclc/233932660","WorldCat Record")</f>
        <v>WorldCat Record</v>
      </c>
      <c r="AX1885" s="3" t="s">
        <v>18693</v>
      </c>
      <c r="AY1885" s="3" t="s">
        <v>18694</v>
      </c>
      <c r="AZ1885" s="3" t="s">
        <v>18695</v>
      </c>
      <c r="BA1885" s="3" t="s">
        <v>18695</v>
      </c>
      <c r="BB1885" s="3" t="s">
        <v>18696</v>
      </c>
      <c r="BC1885" s="3" t="s">
        <v>102</v>
      </c>
      <c r="BD1885" s="3" t="s">
        <v>68</v>
      </c>
      <c r="BE1885" s="3" t="s">
        <v>18697</v>
      </c>
      <c r="BF1885" s="3" t="s">
        <v>18696</v>
      </c>
      <c r="BG1885" s="3" t="s">
        <v>18698</v>
      </c>
    </row>
    <row r="1886" spans="1:59" ht="58" x14ac:dyDescent="0.35">
      <c r="A1886" s="2" t="s">
        <v>89</v>
      </c>
      <c r="B1886" s="2" t="s">
        <v>90</v>
      </c>
      <c r="C1886" s="2" t="s">
        <v>18699</v>
      </c>
      <c r="D1886" s="2" t="s">
        <v>18700</v>
      </c>
      <c r="E1886" s="2" t="s">
        <v>18701</v>
      </c>
      <c r="G1886" s="3" t="s">
        <v>62</v>
      </c>
      <c r="I1886" s="3" t="s">
        <v>62</v>
      </c>
      <c r="J1886" s="3" t="s">
        <v>62</v>
      </c>
      <c r="K1886" s="3" t="s">
        <v>63</v>
      </c>
      <c r="L1886" s="2" t="s">
        <v>18702</v>
      </c>
      <c r="M1886" s="2" t="s">
        <v>18703</v>
      </c>
      <c r="N1886" s="3" t="s">
        <v>880</v>
      </c>
      <c r="P1886" s="3" t="s">
        <v>64</v>
      </c>
      <c r="R1886" s="3" t="s">
        <v>13065</v>
      </c>
      <c r="S1886" s="4">
        <v>2</v>
      </c>
      <c r="T1886" s="4">
        <v>2</v>
      </c>
      <c r="U1886" s="5" t="s">
        <v>18704</v>
      </c>
      <c r="V1886" s="5" t="s">
        <v>18704</v>
      </c>
      <c r="W1886" s="5" t="s">
        <v>67</v>
      </c>
      <c r="X1886" s="5" t="s">
        <v>67</v>
      </c>
      <c r="Y1886" s="4">
        <v>123</v>
      </c>
      <c r="Z1886" s="4">
        <v>12</v>
      </c>
      <c r="AA1886" s="4">
        <v>46</v>
      </c>
      <c r="AB1886" s="4">
        <v>2</v>
      </c>
      <c r="AC1886" s="4">
        <v>11</v>
      </c>
      <c r="AD1886" s="4">
        <v>34</v>
      </c>
      <c r="AE1886" s="4">
        <v>93</v>
      </c>
      <c r="AF1886" s="4">
        <v>1</v>
      </c>
      <c r="AG1886" s="4">
        <v>7</v>
      </c>
      <c r="AH1886" s="4">
        <v>28</v>
      </c>
      <c r="AI1886" s="4">
        <v>73</v>
      </c>
      <c r="AJ1886" s="4">
        <v>8</v>
      </c>
      <c r="AK1886" s="4">
        <v>20</v>
      </c>
      <c r="AL1886" s="4">
        <v>16</v>
      </c>
      <c r="AM1886" s="4">
        <v>39</v>
      </c>
      <c r="AN1886" s="4">
        <v>0</v>
      </c>
      <c r="AO1886" s="4">
        <v>0</v>
      </c>
      <c r="AP1886" s="4">
        <v>8</v>
      </c>
      <c r="AQ1886" s="4">
        <v>26</v>
      </c>
      <c r="AR1886" s="3" t="s">
        <v>62</v>
      </c>
      <c r="AS1886" s="3" t="s">
        <v>62</v>
      </c>
      <c r="AT1886" s="3" t="s">
        <v>62</v>
      </c>
      <c r="AV1886" s="6" t="str">
        <f>HYPERLINK("http://mcgill.on.worldcat.org/oclc/463634335","Catalog Record")</f>
        <v>Catalog Record</v>
      </c>
      <c r="AW1886" s="6" t="str">
        <f>HYPERLINK("http://www.worldcat.org/oclc/463634335","WorldCat Record")</f>
        <v>WorldCat Record</v>
      </c>
      <c r="AX1886" s="3" t="s">
        <v>18705</v>
      </c>
      <c r="AY1886" s="3" t="s">
        <v>18706</v>
      </c>
      <c r="AZ1886" s="3" t="s">
        <v>18707</v>
      </c>
      <c r="BA1886" s="3" t="s">
        <v>18707</v>
      </c>
      <c r="BB1886" s="3" t="s">
        <v>18708</v>
      </c>
      <c r="BC1886" s="3" t="s">
        <v>102</v>
      </c>
      <c r="BD1886" s="3" t="s">
        <v>68</v>
      </c>
      <c r="BE1886" s="3" t="s">
        <v>18709</v>
      </c>
      <c r="BF1886" s="3" t="s">
        <v>18708</v>
      </c>
      <c r="BG1886" s="3" t="s">
        <v>18710</v>
      </c>
    </row>
    <row r="1887" spans="1:59" ht="58" x14ac:dyDescent="0.35">
      <c r="A1887" s="2" t="s">
        <v>89</v>
      </c>
      <c r="B1887" s="2" t="s">
        <v>90</v>
      </c>
      <c r="C1887" s="2" t="s">
        <v>18711</v>
      </c>
      <c r="D1887" s="2" t="s">
        <v>18712</v>
      </c>
      <c r="E1887" s="2" t="s">
        <v>18713</v>
      </c>
      <c r="G1887" s="3" t="s">
        <v>62</v>
      </c>
      <c r="I1887" s="3" t="s">
        <v>62</v>
      </c>
      <c r="J1887" s="3" t="s">
        <v>62</v>
      </c>
      <c r="K1887" s="3" t="s">
        <v>63</v>
      </c>
      <c r="L1887" s="2" t="s">
        <v>18714</v>
      </c>
      <c r="M1887" s="2" t="s">
        <v>18715</v>
      </c>
      <c r="N1887" s="3" t="s">
        <v>596</v>
      </c>
      <c r="P1887" s="3" t="s">
        <v>64</v>
      </c>
      <c r="Q1887" s="2" t="s">
        <v>18716</v>
      </c>
      <c r="R1887" s="3" t="s">
        <v>13065</v>
      </c>
      <c r="S1887" s="4">
        <v>6</v>
      </c>
      <c r="T1887" s="4">
        <v>6</v>
      </c>
      <c r="U1887" s="5" t="s">
        <v>10809</v>
      </c>
      <c r="V1887" s="5" t="s">
        <v>10809</v>
      </c>
      <c r="W1887" s="5" t="s">
        <v>67</v>
      </c>
      <c r="X1887" s="5" t="s">
        <v>67</v>
      </c>
      <c r="Y1887" s="4">
        <v>51</v>
      </c>
      <c r="Z1887" s="4">
        <v>4</v>
      </c>
      <c r="AA1887" s="4">
        <v>10</v>
      </c>
      <c r="AB1887" s="4">
        <v>1</v>
      </c>
      <c r="AC1887" s="4">
        <v>2</v>
      </c>
      <c r="AD1887" s="4">
        <v>27</v>
      </c>
      <c r="AE1887" s="4">
        <v>51</v>
      </c>
      <c r="AF1887" s="4">
        <v>0</v>
      </c>
      <c r="AG1887" s="4">
        <v>1</v>
      </c>
      <c r="AH1887" s="4">
        <v>23</v>
      </c>
      <c r="AI1887" s="4">
        <v>45</v>
      </c>
      <c r="AJ1887" s="4">
        <v>3</v>
      </c>
      <c r="AK1887" s="4">
        <v>7</v>
      </c>
      <c r="AL1887" s="4">
        <v>17</v>
      </c>
      <c r="AM1887" s="4">
        <v>30</v>
      </c>
      <c r="AN1887" s="4">
        <v>0</v>
      </c>
      <c r="AO1887" s="4">
        <v>0</v>
      </c>
      <c r="AP1887" s="4">
        <v>3</v>
      </c>
      <c r="AQ1887" s="4">
        <v>8</v>
      </c>
      <c r="AR1887" s="3" t="s">
        <v>62</v>
      </c>
      <c r="AS1887" s="3" t="s">
        <v>62</v>
      </c>
      <c r="AT1887" s="3" t="s">
        <v>62</v>
      </c>
      <c r="AV1887" s="6" t="str">
        <f>HYPERLINK("http://mcgill.on.worldcat.org/oclc/50417462","Catalog Record")</f>
        <v>Catalog Record</v>
      </c>
      <c r="AW1887" s="6" t="str">
        <f>HYPERLINK("http://www.worldcat.org/oclc/50417462","WorldCat Record")</f>
        <v>WorldCat Record</v>
      </c>
      <c r="AX1887" s="3" t="s">
        <v>18717</v>
      </c>
      <c r="AY1887" s="3" t="s">
        <v>18718</v>
      </c>
      <c r="AZ1887" s="3" t="s">
        <v>18719</v>
      </c>
      <c r="BA1887" s="3" t="s">
        <v>18719</v>
      </c>
      <c r="BB1887" s="3" t="s">
        <v>18720</v>
      </c>
      <c r="BC1887" s="3" t="s">
        <v>102</v>
      </c>
      <c r="BD1887" s="3" t="s">
        <v>68</v>
      </c>
      <c r="BE1887" s="3" t="s">
        <v>18721</v>
      </c>
      <c r="BF1887" s="3" t="s">
        <v>18720</v>
      </c>
      <c r="BG1887" s="3" t="s">
        <v>18722</v>
      </c>
    </row>
    <row r="1888" spans="1:59" ht="58" x14ac:dyDescent="0.35">
      <c r="A1888" s="2" t="s">
        <v>89</v>
      </c>
      <c r="B1888" s="2" t="s">
        <v>90</v>
      </c>
      <c r="C1888" s="2" t="s">
        <v>18723</v>
      </c>
      <c r="D1888" s="2" t="s">
        <v>18724</v>
      </c>
      <c r="E1888" s="2" t="s">
        <v>18725</v>
      </c>
      <c r="G1888" s="3" t="s">
        <v>62</v>
      </c>
      <c r="I1888" s="3" t="s">
        <v>62</v>
      </c>
      <c r="J1888" s="3" t="s">
        <v>62</v>
      </c>
      <c r="K1888" s="3" t="s">
        <v>63</v>
      </c>
      <c r="M1888" s="2" t="s">
        <v>18726</v>
      </c>
      <c r="N1888" s="3" t="s">
        <v>2136</v>
      </c>
      <c r="P1888" s="3" t="s">
        <v>64</v>
      </c>
      <c r="R1888" s="3" t="s">
        <v>13065</v>
      </c>
      <c r="S1888" s="4">
        <v>3</v>
      </c>
      <c r="T1888" s="4">
        <v>3</v>
      </c>
      <c r="U1888" s="5" t="s">
        <v>14267</v>
      </c>
      <c r="V1888" s="5" t="s">
        <v>14267</v>
      </c>
      <c r="W1888" s="5" t="s">
        <v>67</v>
      </c>
      <c r="X1888" s="5" t="s">
        <v>67</v>
      </c>
      <c r="Y1888" s="4">
        <v>294</v>
      </c>
      <c r="Z1888" s="4">
        <v>26</v>
      </c>
      <c r="AA1888" s="4">
        <v>27</v>
      </c>
      <c r="AB1888" s="4">
        <v>2</v>
      </c>
      <c r="AC1888" s="4">
        <v>3</v>
      </c>
      <c r="AD1888" s="4">
        <v>84</v>
      </c>
      <c r="AE1888" s="4">
        <v>85</v>
      </c>
      <c r="AF1888" s="4">
        <v>1</v>
      </c>
      <c r="AG1888" s="4">
        <v>2</v>
      </c>
      <c r="AH1888" s="4">
        <v>69</v>
      </c>
      <c r="AI1888" s="4">
        <v>69</v>
      </c>
      <c r="AJ1888" s="4">
        <v>16</v>
      </c>
      <c r="AK1888" s="4">
        <v>17</v>
      </c>
      <c r="AL1888" s="4">
        <v>38</v>
      </c>
      <c r="AM1888" s="4">
        <v>38</v>
      </c>
      <c r="AN1888" s="4">
        <v>0</v>
      </c>
      <c r="AO1888" s="4">
        <v>0</v>
      </c>
      <c r="AP1888" s="4">
        <v>22</v>
      </c>
      <c r="AQ1888" s="4">
        <v>22</v>
      </c>
      <c r="AR1888" s="3" t="s">
        <v>62</v>
      </c>
      <c r="AS1888" s="3" t="s">
        <v>62</v>
      </c>
      <c r="AT1888" s="3" t="s">
        <v>62</v>
      </c>
      <c r="AV1888" s="6" t="str">
        <f>HYPERLINK("http://mcgill.on.worldcat.org/oclc/56481497","Catalog Record")</f>
        <v>Catalog Record</v>
      </c>
      <c r="AW1888" s="6" t="str">
        <f>HYPERLINK("http://www.worldcat.org/oclc/56481497","WorldCat Record")</f>
        <v>WorldCat Record</v>
      </c>
      <c r="AX1888" s="3" t="s">
        <v>18727</v>
      </c>
      <c r="AY1888" s="3" t="s">
        <v>18728</v>
      </c>
      <c r="AZ1888" s="3" t="s">
        <v>18729</v>
      </c>
      <c r="BA1888" s="3" t="s">
        <v>18729</v>
      </c>
      <c r="BB1888" s="3" t="s">
        <v>18730</v>
      </c>
      <c r="BC1888" s="3" t="s">
        <v>102</v>
      </c>
      <c r="BD1888" s="3" t="s">
        <v>68</v>
      </c>
      <c r="BE1888" s="3" t="s">
        <v>18731</v>
      </c>
      <c r="BF1888" s="3" t="s">
        <v>18730</v>
      </c>
      <c r="BG1888" s="3" t="s">
        <v>18732</v>
      </c>
    </row>
    <row r="1889" spans="1:59" ht="58" x14ac:dyDescent="0.35">
      <c r="A1889" s="2" t="s">
        <v>89</v>
      </c>
      <c r="B1889" s="2" t="s">
        <v>90</v>
      </c>
      <c r="C1889" s="2" t="s">
        <v>18733</v>
      </c>
      <c r="D1889" s="2" t="s">
        <v>18734</v>
      </c>
      <c r="E1889" s="2" t="s">
        <v>18735</v>
      </c>
      <c r="G1889" s="3" t="s">
        <v>62</v>
      </c>
      <c r="I1889" s="3" t="s">
        <v>62</v>
      </c>
      <c r="J1889" s="3" t="s">
        <v>62</v>
      </c>
      <c r="K1889" s="3" t="s">
        <v>63</v>
      </c>
      <c r="M1889" s="2" t="s">
        <v>18736</v>
      </c>
      <c r="N1889" s="3" t="s">
        <v>524</v>
      </c>
      <c r="P1889" s="3" t="s">
        <v>64</v>
      </c>
      <c r="Q1889" s="2" t="s">
        <v>18737</v>
      </c>
      <c r="R1889" s="3" t="s">
        <v>13065</v>
      </c>
      <c r="S1889" s="4">
        <v>21</v>
      </c>
      <c r="T1889" s="4">
        <v>21</v>
      </c>
      <c r="U1889" s="5" t="s">
        <v>11483</v>
      </c>
      <c r="V1889" s="5" t="s">
        <v>11483</v>
      </c>
      <c r="W1889" s="5" t="s">
        <v>67</v>
      </c>
      <c r="X1889" s="5" t="s">
        <v>67</v>
      </c>
      <c r="Y1889" s="4">
        <v>588</v>
      </c>
      <c r="Z1889" s="4">
        <v>27</v>
      </c>
      <c r="AA1889" s="4">
        <v>62</v>
      </c>
      <c r="AB1889" s="4">
        <v>2</v>
      </c>
      <c r="AC1889" s="4">
        <v>11</v>
      </c>
      <c r="AD1889" s="4">
        <v>94</v>
      </c>
      <c r="AE1889" s="4">
        <v>112</v>
      </c>
      <c r="AF1889" s="4">
        <v>1</v>
      </c>
      <c r="AG1889" s="4">
        <v>7</v>
      </c>
      <c r="AH1889" s="4">
        <v>80</v>
      </c>
      <c r="AI1889" s="4">
        <v>87</v>
      </c>
      <c r="AJ1889" s="4">
        <v>15</v>
      </c>
      <c r="AK1889" s="4">
        <v>20</v>
      </c>
      <c r="AL1889" s="4">
        <v>45</v>
      </c>
      <c r="AM1889" s="4">
        <v>47</v>
      </c>
      <c r="AN1889" s="4">
        <v>0</v>
      </c>
      <c r="AO1889" s="4">
        <v>0</v>
      </c>
      <c r="AP1889" s="4">
        <v>20</v>
      </c>
      <c r="AQ1889" s="4">
        <v>31</v>
      </c>
      <c r="AR1889" s="3" t="s">
        <v>62</v>
      </c>
      <c r="AS1889" s="3" t="s">
        <v>62</v>
      </c>
      <c r="AT1889" s="3" t="s">
        <v>61</v>
      </c>
      <c r="AU1889" s="6" t="str">
        <f>HYPERLINK("http://catalog.hathitrust.org/Record/003041323","HathiTrust Record")</f>
        <v>HathiTrust Record</v>
      </c>
      <c r="AV1889" s="6" t="str">
        <f>HYPERLINK("http://mcgill.on.worldcat.org/oclc/30663651","Catalog Record")</f>
        <v>Catalog Record</v>
      </c>
      <c r="AW1889" s="6" t="str">
        <f>HYPERLINK("http://www.worldcat.org/oclc/30663651","WorldCat Record")</f>
        <v>WorldCat Record</v>
      </c>
      <c r="AX1889" s="3" t="s">
        <v>18738</v>
      </c>
      <c r="AY1889" s="3" t="s">
        <v>18739</v>
      </c>
      <c r="AZ1889" s="3" t="s">
        <v>18740</v>
      </c>
      <c r="BA1889" s="3" t="s">
        <v>18740</v>
      </c>
      <c r="BB1889" s="3" t="s">
        <v>18741</v>
      </c>
      <c r="BC1889" s="3" t="s">
        <v>102</v>
      </c>
      <c r="BD1889" s="3" t="s">
        <v>68</v>
      </c>
      <c r="BE1889" s="3" t="s">
        <v>18742</v>
      </c>
      <c r="BF1889" s="3" t="s">
        <v>18741</v>
      </c>
      <c r="BG1889" s="3" t="s">
        <v>18743</v>
      </c>
    </row>
    <row r="1890" spans="1:59" ht="58" x14ac:dyDescent="0.35">
      <c r="A1890" s="2" t="s">
        <v>89</v>
      </c>
      <c r="B1890" s="2" t="s">
        <v>90</v>
      </c>
      <c r="C1890" s="2" t="s">
        <v>18744</v>
      </c>
      <c r="D1890" s="2" t="s">
        <v>18745</v>
      </c>
      <c r="E1890" s="2" t="s">
        <v>18746</v>
      </c>
      <c r="G1890" s="3" t="s">
        <v>62</v>
      </c>
      <c r="I1890" s="3" t="s">
        <v>62</v>
      </c>
      <c r="J1890" s="3" t="s">
        <v>62</v>
      </c>
      <c r="K1890" s="3" t="s">
        <v>63</v>
      </c>
      <c r="M1890" s="2" t="s">
        <v>18747</v>
      </c>
      <c r="N1890" s="3" t="s">
        <v>684</v>
      </c>
      <c r="P1890" s="3" t="s">
        <v>64</v>
      </c>
      <c r="Q1890" s="2" t="s">
        <v>18748</v>
      </c>
      <c r="R1890" s="3" t="s">
        <v>13065</v>
      </c>
      <c r="S1890" s="4">
        <v>2</v>
      </c>
      <c r="T1890" s="4">
        <v>2</v>
      </c>
      <c r="U1890" s="5" t="s">
        <v>18749</v>
      </c>
      <c r="V1890" s="5" t="s">
        <v>18749</v>
      </c>
      <c r="W1890" s="5" t="s">
        <v>67</v>
      </c>
      <c r="X1890" s="5" t="s">
        <v>67</v>
      </c>
      <c r="Y1890" s="4">
        <v>82</v>
      </c>
      <c r="Z1890" s="4">
        <v>7</v>
      </c>
      <c r="AA1890" s="4">
        <v>33</v>
      </c>
      <c r="AB1890" s="4">
        <v>1</v>
      </c>
      <c r="AC1890" s="4">
        <v>7</v>
      </c>
      <c r="AD1890" s="4">
        <v>29</v>
      </c>
      <c r="AE1890" s="4">
        <v>78</v>
      </c>
      <c r="AF1890" s="4">
        <v>0</v>
      </c>
      <c r="AG1890" s="4">
        <v>2</v>
      </c>
      <c r="AH1890" s="4">
        <v>23</v>
      </c>
      <c r="AI1890" s="4">
        <v>63</v>
      </c>
      <c r="AJ1890" s="4">
        <v>2</v>
      </c>
      <c r="AK1890" s="4">
        <v>11</v>
      </c>
      <c r="AL1890" s="4">
        <v>17</v>
      </c>
      <c r="AM1890" s="4">
        <v>37</v>
      </c>
      <c r="AN1890" s="4">
        <v>0</v>
      </c>
      <c r="AO1890" s="4">
        <v>0</v>
      </c>
      <c r="AP1890" s="4">
        <v>5</v>
      </c>
      <c r="AQ1890" s="4">
        <v>19</v>
      </c>
      <c r="AR1890" s="3" t="s">
        <v>62</v>
      </c>
      <c r="AS1890" s="3" t="s">
        <v>62</v>
      </c>
      <c r="AT1890" s="3" t="s">
        <v>62</v>
      </c>
      <c r="AV1890" s="6" t="str">
        <f>HYPERLINK("http://mcgill.on.worldcat.org/oclc/606777117","Catalog Record")</f>
        <v>Catalog Record</v>
      </c>
      <c r="AW1890" s="6" t="str">
        <f>HYPERLINK("http://www.worldcat.org/oclc/606777117","WorldCat Record")</f>
        <v>WorldCat Record</v>
      </c>
      <c r="AX1890" s="3" t="s">
        <v>18750</v>
      </c>
      <c r="AY1890" s="3" t="s">
        <v>18751</v>
      </c>
      <c r="AZ1890" s="3" t="s">
        <v>18752</v>
      </c>
      <c r="BA1890" s="3" t="s">
        <v>18752</v>
      </c>
      <c r="BB1890" s="3" t="s">
        <v>18753</v>
      </c>
      <c r="BC1890" s="3" t="s">
        <v>102</v>
      </c>
      <c r="BD1890" s="3" t="s">
        <v>68</v>
      </c>
      <c r="BE1890" s="3" t="s">
        <v>18754</v>
      </c>
      <c r="BF1890" s="3" t="s">
        <v>18753</v>
      </c>
      <c r="BG1890" s="3" t="s">
        <v>18755</v>
      </c>
    </row>
    <row r="1891" spans="1:59" ht="58" x14ac:dyDescent="0.35">
      <c r="A1891" s="2" t="s">
        <v>89</v>
      </c>
      <c r="B1891" s="2" t="s">
        <v>90</v>
      </c>
      <c r="C1891" s="2" t="s">
        <v>18756</v>
      </c>
      <c r="D1891" s="2" t="s">
        <v>18757</v>
      </c>
      <c r="E1891" s="2" t="s">
        <v>18758</v>
      </c>
      <c r="G1891" s="3" t="s">
        <v>62</v>
      </c>
      <c r="I1891" s="3" t="s">
        <v>62</v>
      </c>
      <c r="J1891" s="3" t="s">
        <v>62</v>
      </c>
      <c r="K1891" s="3" t="s">
        <v>63</v>
      </c>
      <c r="M1891" s="2" t="s">
        <v>18759</v>
      </c>
      <c r="N1891" s="3" t="s">
        <v>698</v>
      </c>
      <c r="P1891" s="3" t="s">
        <v>64</v>
      </c>
      <c r="R1891" s="3" t="s">
        <v>13065</v>
      </c>
      <c r="S1891" s="4">
        <v>0</v>
      </c>
      <c r="T1891" s="4">
        <v>0</v>
      </c>
      <c r="W1891" s="5" t="s">
        <v>67</v>
      </c>
      <c r="X1891" s="5" t="s">
        <v>67</v>
      </c>
      <c r="Y1891" s="4">
        <v>61</v>
      </c>
      <c r="Z1891" s="4">
        <v>11</v>
      </c>
      <c r="AA1891" s="4">
        <v>52</v>
      </c>
      <c r="AB1891" s="4">
        <v>2</v>
      </c>
      <c r="AC1891" s="4">
        <v>17</v>
      </c>
      <c r="AD1891" s="4">
        <v>20</v>
      </c>
      <c r="AE1891" s="4">
        <v>106</v>
      </c>
      <c r="AF1891" s="4">
        <v>0</v>
      </c>
      <c r="AG1891" s="4">
        <v>9</v>
      </c>
      <c r="AH1891" s="4">
        <v>15</v>
      </c>
      <c r="AI1891" s="4">
        <v>74</v>
      </c>
      <c r="AJ1891" s="4">
        <v>7</v>
      </c>
      <c r="AK1891" s="4">
        <v>21</v>
      </c>
      <c r="AL1891" s="4">
        <v>9</v>
      </c>
      <c r="AM1891" s="4">
        <v>39</v>
      </c>
      <c r="AN1891" s="4">
        <v>0</v>
      </c>
      <c r="AO1891" s="4">
        <v>0</v>
      </c>
      <c r="AP1891" s="4">
        <v>8</v>
      </c>
      <c r="AQ1891" s="4">
        <v>38</v>
      </c>
      <c r="AR1891" s="3" t="s">
        <v>62</v>
      </c>
      <c r="AS1891" s="3" t="s">
        <v>62</v>
      </c>
      <c r="AT1891" s="3" t="s">
        <v>62</v>
      </c>
      <c r="AV1891" s="6" t="str">
        <f>HYPERLINK("http://mcgill.on.worldcat.org/oclc/755004152","Catalog Record")</f>
        <v>Catalog Record</v>
      </c>
      <c r="AW1891" s="6" t="str">
        <f>HYPERLINK("http://www.worldcat.org/oclc/755004152","WorldCat Record")</f>
        <v>WorldCat Record</v>
      </c>
      <c r="AX1891" s="3" t="s">
        <v>18760</v>
      </c>
      <c r="AY1891" s="3" t="s">
        <v>18761</v>
      </c>
      <c r="AZ1891" s="3" t="s">
        <v>18762</v>
      </c>
      <c r="BA1891" s="3" t="s">
        <v>18762</v>
      </c>
      <c r="BB1891" s="3" t="s">
        <v>18763</v>
      </c>
      <c r="BC1891" s="3" t="s">
        <v>102</v>
      </c>
      <c r="BD1891" s="3" t="s">
        <v>68</v>
      </c>
      <c r="BE1891" s="3" t="s">
        <v>18764</v>
      </c>
      <c r="BF1891" s="3" t="s">
        <v>18763</v>
      </c>
      <c r="BG1891" s="3" t="s">
        <v>18765</v>
      </c>
    </row>
    <row r="1892" spans="1:59" ht="58" x14ac:dyDescent="0.35">
      <c r="A1892" s="2" t="s">
        <v>89</v>
      </c>
      <c r="B1892" s="2" t="s">
        <v>90</v>
      </c>
      <c r="C1892" s="2" t="s">
        <v>18766</v>
      </c>
      <c r="D1892" s="2" t="s">
        <v>18767</v>
      </c>
      <c r="E1892" s="2" t="s">
        <v>18768</v>
      </c>
      <c r="G1892" s="3" t="s">
        <v>62</v>
      </c>
      <c r="I1892" s="3" t="s">
        <v>62</v>
      </c>
      <c r="J1892" s="3" t="s">
        <v>62</v>
      </c>
      <c r="K1892" s="3" t="s">
        <v>63</v>
      </c>
      <c r="L1892" s="2" t="s">
        <v>18769</v>
      </c>
      <c r="M1892" s="2" t="s">
        <v>18770</v>
      </c>
      <c r="N1892" s="3" t="s">
        <v>1455</v>
      </c>
      <c r="P1892" s="3" t="s">
        <v>64</v>
      </c>
      <c r="R1892" s="3" t="s">
        <v>13065</v>
      </c>
      <c r="S1892" s="4">
        <v>5</v>
      </c>
      <c r="T1892" s="4">
        <v>5</v>
      </c>
      <c r="U1892" s="5" t="s">
        <v>9672</v>
      </c>
      <c r="V1892" s="5" t="s">
        <v>9672</v>
      </c>
      <c r="W1892" s="5" t="s">
        <v>67</v>
      </c>
      <c r="X1892" s="5" t="s">
        <v>67</v>
      </c>
      <c r="Y1892" s="4">
        <v>82</v>
      </c>
      <c r="Z1892" s="4">
        <v>9</v>
      </c>
      <c r="AA1892" s="4">
        <v>20</v>
      </c>
      <c r="AB1892" s="4">
        <v>1</v>
      </c>
      <c r="AC1892" s="4">
        <v>5</v>
      </c>
      <c r="AD1892" s="4">
        <v>30</v>
      </c>
      <c r="AE1892" s="4">
        <v>41</v>
      </c>
      <c r="AF1892" s="4">
        <v>0</v>
      </c>
      <c r="AG1892" s="4">
        <v>1</v>
      </c>
      <c r="AH1892" s="4">
        <v>27</v>
      </c>
      <c r="AI1892" s="4">
        <v>34</v>
      </c>
      <c r="AJ1892" s="4">
        <v>5</v>
      </c>
      <c r="AK1892" s="4">
        <v>10</v>
      </c>
      <c r="AL1892" s="4">
        <v>17</v>
      </c>
      <c r="AM1892" s="4">
        <v>21</v>
      </c>
      <c r="AN1892" s="4">
        <v>0</v>
      </c>
      <c r="AO1892" s="4">
        <v>0</v>
      </c>
      <c r="AP1892" s="4">
        <v>6</v>
      </c>
      <c r="AQ1892" s="4">
        <v>12</v>
      </c>
      <c r="AR1892" s="3" t="s">
        <v>62</v>
      </c>
      <c r="AS1892" s="3" t="s">
        <v>62</v>
      </c>
      <c r="AT1892" s="3" t="s">
        <v>62</v>
      </c>
      <c r="AV1892" s="6" t="str">
        <f>HYPERLINK("http://mcgill.on.worldcat.org/oclc/881656192","Catalog Record")</f>
        <v>Catalog Record</v>
      </c>
      <c r="AW1892" s="6" t="str">
        <f>HYPERLINK("http://www.worldcat.org/oclc/881656192","WorldCat Record")</f>
        <v>WorldCat Record</v>
      </c>
      <c r="AX1892" s="3" t="s">
        <v>18771</v>
      </c>
      <c r="AY1892" s="3" t="s">
        <v>18772</v>
      </c>
      <c r="AZ1892" s="3" t="s">
        <v>18773</v>
      </c>
      <c r="BA1892" s="3" t="s">
        <v>18773</v>
      </c>
      <c r="BB1892" s="3" t="s">
        <v>18774</v>
      </c>
      <c r="BC1892" s="3" t="s">
        <v>102</v>
      </c>
      <c r="BD1892" s="3" t="s">
        <v>68</v>
      </c>
      <c r="BE1892" s="3" t="s">
        <v>18775</v>
      </c>
      <c r="BF1892" s="3" t="s">
        <v>18774</v>
      </c>
      <c r="BG1892" s="3" t="s">
        <v>18776</v>
      </c>
    </row>
    <row r="1893" spans="1:59" ht="58" x14ac:dyDescent="0.35">
      <c r="A1893" s="2" t="s">
        <v>89</v>
      </c>
      <c r="B1893" s="2" t="s">
        <v>90</v>
      </c>
      <c r="C1893" s="2" t="s">
        <v>18777</v>
      </c>
      <c r="D1893" s="2" t="s">
        <v>18778</v>
      </c>
      <c r="E1893" s="2" t="s">
        <v>18779</v>
      </c>
      <c r="G1893" s="3" t="s">
        <v>62</v>
      </c>
      <c r="I1893" s="3" t="s">
        <v>62</v>
      </c>
      <c r="J1893" s="3" t="s">
        <v>62</v>
      </c>
      <c r="K1893" s="3" t="s">
        <v>63</v>
      </c>
      <c r="L1893" s="2" t="s">
        <v>18780</v>
      </c>
      <c r="M1893" s="2" t="s">
        <v>18781</v>
      </c>
      <c r="N1893" s="3" t="s">
        <v>539</v>
      </c>
      <c r="P1893" s="3" t="s">
        <v>64</v>
      </c>
      <c r="Q1893" s="2" t="s">
        <v>18782</v>
      </c>
      <c r="R1893" s="3" t="s">
        <v>13065</v>
      </c>
      <c r="S1893" s="4">
        <v>17</v>
      </c>
      <c r="T1893" s="4">
        <v>17</v>
      </c>
      <c r="U1893" s="5" t="s">
        <v>18783</v>
      </c>
      <c r="V1893" s="5" t="s">
        <v>18783</v>
      </c>
      <c r="W1893" s="5" t="s">
        <v>67</v>
      </c>
      <c r="X1893" s="5" t="s">
        <v>67</v>
      </c>
      <c r="Y1893" s="4">
        <v>186</v>
      </c>
      <c r="Z1893" s="4">
        <v>14</v>
      </c>
      <c r="AA1893" s="4">
        <v>14</v>
      </c>
      <c r="AB1893" s="4">
        <v>2</v>
      </c>
      <c r="AC1893" s="4">
        <v>2</v>
      </c>
      <c r="AD1893" s="4">
        <v>39</v>
      </c>
      <c r="AE1893" s="4">
        <v>39</v>
      </c>
      <c r="AF1893" s="4">
        <v>1</v>
      </c>
      <c r="AG1893" s="4">
        <v>1</v>
      </c>
      <c r="AH1893" s="4">
        <v>32</v>
      </c>
      <c r="AI1893" s="4">
        <v>32</v>
      </c>
      <c r="AJ1893" s="4">
        <v>9</v>
      </c>
      <c r="AK1893" s="4">
        <v>9</v>
      </c>
      <c r="AL1893" s="4">
        <v>17</v>
      </c>
      <c r="AM1893" s="4">
        <v>17</v>
      </c>
      <c r="AN1893" s="4">
        <v>0</v>
      </c>
      <c r="AO1893" s="4">
        <v>0</v>
      </c>
      <c r="AP1893" s="4">
        <v>11</v>
      </c>
      <c r="AQ1893" s="4">
        <v>11</v>
      </c>
      <c r="AR1893" s="3" t="s">
        <v>62</v>
      </c>
      <c r="AS1893" s="3" t="s">
        <v>62</v>
      </c>
      <c r="AT1893" s="3" t="s">
        <v>61</v>
      </c>
      <c r="AU1893" s="6" t="str">
        <f>HYPERLINK("http://catalog.hathitrust.org/Record/003954966","HathiTrust Record")</f>
        <v>HathiTrust Record</v>
      </c>
      <c r="AV1893" s="6" t="str">
        <f>HYPERLINK("http://mcgill.on.worldcat.org/oclc/37917259","Catalog Record")</f>
        <v>Catalog Record</v>
      </c>
      <c r="AW1893" s="6" t="str">
        <f>HYPERLINK("http://www.worldcat.org/oclc/37917259","WorldCat Record")</f>
        <v>WorldCat Record</v>
      </c>
      <c r="AX1893" s="3" t="s">
        <v>18784</v>
      </c>
      <c r="AY1893" s="3" t="s">
        <v>18785</v>
      </c>
      <c r="AZ1893" s="3" t="s">
        <v>18786</v>
      </c>
      <c r="BA1893" s="3" t="s">
        <v>18786</v>
      </c>
      <c r="BB1893" s="3" t="s">
        <v>18787</v>
      </c>
      <c r="BC1893" s="3" t="s">
        <v>102</v>
      </c>
      <c r="BD1893" s="3" t="s">
        <v>68</v>
      </c>
      <c r="BE1893" s="3" t="s">
        <v>18788</v>
      </c>
      <c r="BF1893" s="3" t="s">
        <v>18787</v>
      </c>
      <c r="BG1893" s="3" t="s">
        <v>18789</v>
      </c>
    </row>
    <row r="1894" spans="1:59" ht="58" x14ac:dyDescent="0.35">
      <c r="A1894" s="2" t="s">
        <v>89</v>
      </c>
      <c r="B1894" s="2" t="s">
        <v>90</v>
      </c>
      <c r="C1894" s="2" t="s">
        <v>18790</v>
      </c>
      <c r="D1894" s="2" t="s">
        <v>18791</v>
      </c>
      <c r="E1894" s="2" t="s">
        <v>18792</v>
      </c>
      <c r="G1894" s="3" t="s">
        <v>62</v>
      </c>
      <c r="I1894" s="3" t="s">
        <v>62</v>
      </c>
      <c r="J1894" s="3" t="s">
        <v>62</v>
      </c>
      <c r="K1894" s="3" t="s">
        <v>63</v>
      </c>
      <c r="L1894" s="2" t="s">
        <v>18793</v>
      </c>
      <c r="M1894" s="2" t="s">
        <v>18794</v>
      </c>
      <c r="N1894" s="3" t="s">
        <v>698</v>
      </c>
      <c r="P1894" s="3" t="s">
        <v>64</v>
      </c>
      <c r="R1894" s="3" t="s">
        <v>13065</v>
      </c>
      <c r="S1894" s="4">
        <v>16</v>
      </c>
      <c r="T1894" s="4">
        <v>16</v>
      </c>
      <c r="U1894" s="5" t="s">
        <v>18795</v>
      </c>
      <c r="V1894" s="5" t="s">
        <v>18795</v>
      </c>
      <c r="W1894" s="5" t="s">
        <v>67</v>
      </c>
      <c r="X1894" s="5" t="s">
        <v>67</v>
      </c>
      <c r="Y1894" s="4">
        <v>419</v>
      </c>
      <c r="Z1894" s="4">
        <v>33</v>
      </c>
      <c r="AA1894" s="4">
        <v>68</v>
      </c>
      <c r="AB1894" s="4">
        <v>2</v>
      </c>
      <c r="AC1894" s="4">
        <v>7</v>
      </c>
      <c r="AD1894" s="4">
        <v>89</v>
      </c>
      <c r="AE1894" s="4">
        <v>108</v>
      </c>
      <c r="AF1894" s="4">
        <v>1</v>
      </c>
      <c r="AG1894" s="4">
        <v>4</v>
      </c>
      <c r="AH1894" s="4">
        <v>73</v>
      </c>
      <c r="AI1894" s="4">
        <v>80</v>
      </c>
      <c r="AJ1894" s="4">
        <v>17</v>
      </c>
      <c r="AK1894" s="4">
        <v>23</v>
      </c>
      <c r="AL1894" s="4">
        <v>41</v>
      </c>
      <c r="AM1894" s="4">
        <v>45</v>
      </c>
      <c r="AN1894" s="4">
        <v>0</v>
      </c>
      <c r="AO1894" s="4">
        <v>0</v>
      </c>
      <c r="AP1894" s="4">
        <v>24</v>
      </c>
      <c r="AQ1894" s="4">
        <v>35</v>
      </c>
      <c r="AR1894" s="3" t="s">
        <v>62</v>
      </c>
      <c r="AS1894" s="3" t="s">
        <v>62</v>
      </c>
      <c r="AT1894" s="3" t="s">
        <v>62</v>
      </c>
      <c r="AV1894" s="6" t="str">
        <f>HYPERLINK("http://mcgill.on.worldcat.org/oclc/796277401","Catalog Record")</f>
        <v>Catalog Record</v>
      </c>
      <c r="AW1894" s="6" t="str">
        <f>HYPERLINK("http://www.worldcat.org/oclc/796277401","WorldCat Record")</f>
        <v>WorldCat Record</v>
      </c>
      <c r="AX1894" s="3" t="s">
        <v>18796</v>
      </c>
      <c r="AY1894" s="3" t="s">
        <v>18797</v>
      </c>
      <c r="AZ1894" s="3" t="s">
        <v>18798</v>
      </c>
      <c r="BA1894" s="3" t="s">
        <v>18798</v>
      </c>
      <c r="BB1894" s="3" t="s">
        <v>18799</v>
      </c>
      <c r="BC1894" s="3" t="s">
        <v>102</v>
      </c>
      <c r="BD1894" s="3" t="s">
        <v>68</v>
      </c>
      <c r="BE1894" s="3" t="s">
        <v>18800</v>
      </c>
      <c r="BF1894" s="3" t="s">
        <v>18799</v>
      </c>
      <c r="BG1894" s="3" t="s">
        <v>18801</v>
      </c>
    </row>
    <row r="1895" spans="1:59" ht="58" x14ac:dyDescent="0.35">
      <c r="A1895" s="2" t="s">
        <v>89</v>
      </c>
      <c r="B1895" s="2" t="s">
        <v>90</v>
      </c>
      <c r="C1895" s="2" t="s">
        <v>18802</v>
      </c>
      <c r="D1895" s="2" t="s">
        <v>18803</v>
      </c>
      <c r="E1895" s="2" t="s">
        <v>18804</v>
      </c>
      <c r="G1895" s="3" t="s">
        <v>62</v>
      </c>
      <c r="I1895" s="3" t="s">
        <v>62</v>
      </c>
      <c r="J1895" s="3" t="s">
        <v>62</v>
      </c>
      <c r="K1895" s="3" t="s">
        <v>63</v>
      </c>
      <c r="L1895" s="2" t="s">
        <v>18805</v>
      </c>
      <c r="M1895" s="2" t="s">
        <v>18806</v>
      </c>
      <c r="N1895" s="3" t="s">
        <v>880</v>
      </c>
      <c r="P1895" s="3" t="s">
        <v>64</v>
      </c>
      <c r="Q1895" s="2" t="s">
        <v>18807</v>
      </c>
      <c r="R1895" s="3" t="s">
        <v>13065</v>
      </c>
      <c r="S1895" s="4">
        <v>4</v>
      </c>
      <c r="T1895" s="4">
        <v>4</v>
      </c>
      <c r="U1895" s="5" t="s">
        <v>18808</v>
      </c>
      <c r="V1895" s="5" t="s">
        <v>18808</v>
      </c>
      <c r="W1895" s="5" t="s">
        <v>67</v>
      </c>
      <c r="X1895" s="5" t="s">
        <v>67</v>
      </c>
      <c r="Y1895" s="4">
        <v>102</v>
      </c>
      <c r="Z1895" s="4">
        <v>9</v>
      </c>
      <c r="AA1895" s="4">
        <v>98</v>
      </c>
      <c r="AB1895" s="4">
        <v>1</v>
      </c>
      <c r="AC1895" s="4">
        <v>17</v>
      </c>
      <c r="AD1895" s="4">
        <v>43</v>
      </c>
      <c r="AE1895" s="4">
        <v>120</v>
      </c>
      <c r="AF1895" s="4">
        <v>0</v>
      </c>
      <c r="AG1895" s="4">
        <v>8</v>
      </c>
      <c r="AH1895" s="4">
        <v>38</v>
      </c>
      <c r="AI1895" s="4">
        <v>82</v>
      </c>
      <c r="AJ1895" s="4">
        <v>5</v>
      </c>
      <c r="AK1895" s="4">
        <v>22</v>
      </c>
      <c r="AL1895" s="4">
        <v>22</v>
      </c>
      <c r="AM1895" s="4">
        <v>42</v>
      </c>
      <c r="AN1895" s="4">
        <v>0</v>
      </c>
      <c r="AO1895" s="4">
        <v>0</v>
      </c>
      <c r="AP1895" s="4">
        <v>7</v>
      </c>
      <c r="AQ1895" s="4">
        <v>44</v>
      </c>
      <c r="AR1895" s="3" t="s">
        <v>62</v>
      </c>
      <c r="AS1895" s="3" t="s">
        <v>62</v>
      </c>
      <c r="AT1895" s="3" t="s">
        <v>62</v>
      </c>
      <c r="AV1895" s="6" t="str">
        <f>HYPERLINK("http://mcgill.on.worldcat.org/oclc/491919035","Catalog Record")</f>
        <v>Catalog Record</v>
      </c>
      <c r="AW1895" s="6" t="str">
        <f>HYPERLINK("http://www.worldcat.org/oclc/491919035","WorldCat Record")</f>
        <v>WorldCat Record</v>
      </c>
      <c r="AX1895" s="3" t="s">
        <v>18809</v>
      </c>
      <c r="AY1895" s="3" t="s">
        <v>18810</v>
      </c>
      <c r="AZ1895" s="3" t="s">
        <v>18811</v>
      </c>
      <c r="BA1895" s="3" t="s">
        <v>18811</v>
      </c>
      <c r="BB1895" s="3" t="s">
        <v>18812</v>
      </c>
      <c r="BC1895" s="3" t="s">
        <v>102</v>
      </c>
      <c r="BD1895" s="3" t="s">
        <v>68</v>
      </c>
      <c r="BE1895" s="3" t="s">
        <v>18813</v>
      </c>
      <c r="BF1895" s="3" t="s">
        <v>18812</v>
      </c>
      <c r="BG1895" s="3" t="s">
        <v>18814</v>
      </c>
    </row>
    <row r="1896" spans="1:59" ht="58" x14ac:dyDescent="0.35">
      <c r="A1896" s="2" t="s">
        <v>89</v>
      </c>
      <c r="B1896" s="2" t="s">
        <v>90</v>
      </c>
      <c r="C1896" s="2" t="s">
        <v>18815</v>
      </c>
      <c r="D1896" s="2" t="s">
        <v>18816</v>
      </c>
      <c r="E1896" s="2" t="s">
        <v>18817</v>
      </c>
      <c r="G1896" s="3" t="s">
        <v>62</v>
      </c>
      <c r="I1896" s="3" t="s">
        <v>61</v>
      </c>
      <c r="J1896" s="3" t="s">
        <v>62</v>
      </c>
      <c r="K1896" s="3" t="s">
        <v>63</v>
      </c>
      <c r="L1896" s="2" t="s">
        <v>18818</v>
      </c>
      <c r="M1896" s="2" t="s">
        <v>18819</v>
      </c>
      <c r="N1896" s="3" t="s">
        <v>1077</v>
      </c>
      <c r="P1896" s="3" t="s">
        <v>64</v>
      </c>
      <c r="R1896" s="3" t="s">
        <v>13065</v>
      </c>
      <c r="S1896" s="4">
        <v>29</v>
      </c>
      <c r="T1896" s="4">
        <v>53</v>
      </c>
      <c r="U1896" s="5" t="s">
        <v>12393</v>
      </c>
      <c r="V1896" s="5" t="s">
        <v>12393</v>
      </c>
      <c r="W1896" s="5" t="s">
        <v>67</v>
      </c>
      <c r="X1896" s="5" t="s">
        <v>67</v>
      </c>
      <c r="Y1896" s="4">
        <v>1149</v>
      </c>
      <c r="Z1896" s="4">
        <v>53</v>
      </c>
      <c r="AA1896" s="4">
        <v>70</v>
      </c>
      <c r="AB1896" s="4">
        <v>2</v>
      </c>
      <c r="AC1896" s="4">
        <v>11</v>
      </c>
      <c r="AD1896" s="4">
        <v>124</v>
      </c>
      <c r="AE1896" s="4">
        <v>133</v>
      </c>
      <c r="AF1896" s="4">
        <v>1</v>
      </c>
      <c r="AG1896" s="4">
        <v>4</v>
      </c>
      <c r="AH1896" s="4">
        <v>102</v>
      </c>
      <c r="AI1896" s="4">
        <v>106</v>
      </c>
      <c r="AJ1896" s="4">
        <v>21</v>
      </c>
      <c r="AK1896" s="4">
        <v>25</v>
      </c>
      <c r="AL1896" s="4">
        <v>53</v>
      </c>
      <c r="AM1896" s="4">
        <v>54</v>
      </c>
      <c r="AN1896" s="4">
        <v>0</v>
      </c>
      <c r="AO1896" s="4">
        <v>0</v>
      </c>
      <c r="AP1896" s="4">
        <v>31</v>
      </c>
      <c r="AQ1896" s="4">
        <v>36</v>
      </c>
      <c r="AR1896" s="3" t="s">
        <v>62</v>
      </c>
      <c r="AS1896" s="3" t="s">
        <v>62</v>
      </c>
      <c r="AT1896" s="3" t="s">
        <v>61</v>
      </c>
      <c r="AU1896" s="6" t="str">
        <f>HYPERLINK("http://catalog.hathitrust.org/Record/002716265","HathiTrust Record")</f>
        <v>HathiTrust Record</v>
      </c>
      <c r="AV1896" s="6" t="str">
        <f>HYPERLINK("http://mcgill.on.worldcat.org/oclc/26855275","Catalog Record")</f>
        <v>Catalog Record</v>
      </c>
      <c r="AW1896" s="6" t="str">
        <f>HYPERLINK("http://www.worldcat.org/oclc/26855275","WorldCat Record")</f>
        <v>WorldCat Record</v>
      </c>
      <c r="AX1896" s="3" t="s">
        <v>18820</v>
      </c>
      <c r="AY1896" s="3" t="s">
        <v>18821</v>
      </c>
      <c r="AZ1896" s="3" t="s">
        <v>18822</v>
      </c>
      <c r="BA1896" s="3" t="s">
        <v>18822</v>
      </c>
      <c r="BB1896" s="3" t="s">
        <v>18823</v>
      </c>
      <c r="BC1896" s="3" t="s">
        <v>102</v>
      </c>
      <c r="BD1896" s="3" t="s">
        <v>68</v>
      </c>
      <c r="BE1896" s="3" t="s">
        <v>18824</v>
      </c>
      <c r="BF1896" s="3" t="s">
        <v>18823</v>
      </c>
      <c r="BG1896" s="3" t="s">
        <v>18825</v>
      </c>
    </row>
    <row r="1897" spans="1:59" ht="58" x14ac:dyDescent="0.35">
      <c r="A1897" s="2" t="s">
        <v>89</v>
      </c>
      <c r="B1897" s="2" t="s">
        <v>90</v>
      </c>
      <c r="C1897" s="2" t="s">
        <v>18815</v>
      </c>
      <c r="D1897" s="2" t="s">
        <v>18816</v>
      </c>
      <c r="E1897" s="2" t="s">
        <v>18817</v>
      </c>
      <c r="G1897" s="3" t="s">
        <v>62</v>
      </c>
      <c r="I1897" s="3" t="s">
        <v>61</v>
      </c>
      <c r="J1897" s="3" t="s">
        <v>62</v>
      </c>
      <c r="K1897" s="3" t="s">
        <v>63</v>
      </c>
      <c r="L1897" s="2" t="s">
        <v>18818</v>
      </c>
      <c r="M1897" s="2" t="s">
        <v>18819</v>
      </c>
      <c r="N1897" s="3" t="s">
        <v>1077</v>
      </c>
      <c r="P1897" s="3" t="s">
        <v>64</v>
      </c>
      <c r="R1897" s="3" t="s">
        <v>13065</v>
      </c>
      <c r="S1897" s="4">
        <v>7</v>
      </c>
      <c r="T1897" s="4">
        <v>53</v>
      </c>
      <c r="U1897" s="5" t="s">
        <v>18826</v>
      </c>
      <c r="V1897" s="5" t="s">
        <v>12393</v>
      </c>
      <c r="W1897" s="5" t="s">
        <v>67</v>
      </c>
      <c r="X1897" s="5" t="s">
        <v>67</v>
      </c>
      <c r="Y1897" s="4">
        <v>1149</v>
      </c>
      <c r="Z1897" s="4">
        <v>53</v>
      </c>
      <c r="AA1897" s="4">
        <v>70</v>
      </c>
      <c r="AB1897" s="4">
        <v>2</v>
      </c>
      <c r="AC1897" s="4">
        <v>11</v>
      </c>
      <c r="AD1897" s="4">
        <v>124</v>
      </c>
      <c r="AE1897" s="4">
        <v>133</v>
      </c>
      <c r="AF1897" s="4">
        <v>1</v>
      </c>
      <c r="AG1897" s="4">
        <v>4</v>
      </c>
      <c r="AH1897" s="4">
        <v>102</v>
      </c>
      <c r="AI1897" s="4">
        <v>106</v>
      </c>
      <c r="AJ1897" s="4">
        <v>21</v>
      </c>
      <c r="AK1897" s="4">
        <v>25</v>
      </c>
      <c r="AL1897" s="4">
        <v>53</v>
      </c>
      <c r="AM1897" s="4">
        <v>54</v>
      </c>
      <c r="AN1897" s="4">
        <v>0</v>
      </c>
      <c r="AO1897" s="4">
        <v>0</v>
      </c>
      <c r="AP1897" s="4">
        <v>31</v>
      </c>
      <c r="AQ1897" s="4">
        <v>36</v>
      </c>
      <c r="AR1897" s="3" t="s">
        <v>62</v>
      </c>
      <c r="AS1897" s="3" t="s">
        <v>62</v>
      </c>
      <c r="AT1897" s="3" t="s">
        <v>61</v>
      </c>
      <c r="AU1897" s="6" t="str">
        <f>HYPERLINK("http://catalog.hathitrust.org/Record/002716265","HathiTrust Record")</f>
        <v>HathiTrust Record</v>
      </c>
      <c r="AV1897" s="6" t="str">
        <f>HYPERLINK("http://mcgill.on.worldcat.org/oclc/26855275","Catalog Record")</f>
        <v>Catalog Record</v>
      </c>
      <c r="AW1897" s="6" t="str">
        <f>HYPERLINK("http://www.worldcat.org/oclc/26855275","WorldCat Record")</f>
        <v>WorldCat Record</v>
      </c>
      <c r="AX1897" s="3" t="s">
        <v>18820</v>
      </c>
      <c r="AY1897" s="3" t="s">
        <v>18821</v>
      </c>
      <c r="AZ1897" s="3" t="s">
        <v>18822</v>
      </c>
      <c r="BA1897" s="3" t="s">
        <v>18822</v>
      </c>
      <c r="BB1897" s="3" t="s">
        <v>18827</v>
      </c>
      <c r="BC1897" s="3" t="s">
        <v>102</v>
      </c>
      <c r="BD1897" s="3" t="s">
        <v>68</v>
      </c>
      <c r="BE1897" s="3" t="s">
        <v>18824</v>
      </c>
      <c r="BF1897" s="3" t="s">
        <v>18827</v>
      </c>
      <c r="BG1897" s="3" t="s">
        <v>18828</v>
      </c>
    </row>
    <row r="1898" spans="1:59" ht="58" x14ac:dyDescent="0.35">
      <c r="A1898" s="2" t="s">
        <v>89</v>
      </c>
      <c r="B1898" s="2" t="s">
        <v>90</v>
      </c>
      <c r="C1898" s="2" t="s">
        <v>18815</v>
      </c>
      <c r="D1898" s="2" t="s">
        <v>18816</v>
      </c>
      <c r="E1898" s="2" t="s">
        <v>18817</v>
      </c>
      <c r="G1898" s="3" t="s">
        <v>62</v>
      </c>
      <c r="I1898" s="3" t="s">
        <v>61</v>
      </c>
      <c r="J1898" s="3" t="s">
        <v>62</v>
      </c>
      <c r="K1898" s="3" t="s">
        <v>63</v>
      </c>
      <c r="L1898" s="2" t="s">
        <v>18818</v>
      </c>
      <c r="M1898" s="2" t="s">
        <v>18819</v>
      </c>
      <c r="N1898" s="3" t="s">
        <v>1077</v>
      </c>
      <c r="P1898" s="3" t="s">
        <v>64</v>
      </c>
      <c r="R1898" s="3" t="s">
        <v>13065</v>
      </c>
      <c r="S1898" s="4">
        <v>17</v>
      </c>
      <c r="T1898" s="4">
        <v>53</v>
      </c>
      <c r="U1898" s="5" t="s">
        <v>18829</v>
      </c>
      <c r="V1898" s="5" t="s">
        <v>12393</v>
      </c>
      <c r="W1898" s="5" t="s">
        <v>67</v>
      </c>
      <c r="X1898" s="5" t="s">
        <v>67</v>
      </c>
      <c r="Y1898" s="4">
        <v>1149</v>
      </c>
      <c r="Z1898" s="4">
        <v>53</v>
      </c>
      <c r="AA1898" s="4">
        <v>70</v>
      </c>
      <c r="AB1898" s="4">
        <v>2</v>
      </c>
      <c r="AC1898" s="4">
        <v>11</v>
      </c>
      <c r="AD1898" s="4">
        <v>124</v>
      </c>
      <c r="AE1898" s="4">
        <v>133</v>
      </c>
      <c r="AF1898" s="4">
        <v>1</v>
      </c>
      <c r="AG1898" s="4">
        <v>4</v>
      </c>
      <c r="AH1898" s="4">
        <v>102</v>
      </c>
      <c r="AI1898" s="4">
        <v>106</v>
      </c>
      <c r="AJ1898" s="4">
        <v>21</v>
      </c>
      <c r="AK1898" s="4">
        <v>25</v>
      </c>
      <c r="AL1898" s="4">
        <v>53</v>
      </c>
      <c r="AM1898" s="4">
        <v>54</v>
      </c>
      <c r="AN1898" s="4">
        <v>0</v>
      </c>
      <c r="AO1898" s="4">
        <v>0</v>
      </c>
      <c r="AP1898" s="4">
        <v>31</v>
      </c>
      <c r="AQ1898" s="4">
        <v>36</v>
      </c>
      <c r="AR1898" s="3" t="s">
        <v>62</v>
      </c>
      <c r="AS1898" s="3" t="s">
        <v>62</v>
      </c>
      <c r="AT1898" s="3" t="s">
        <v>61</v>
      </c>
      <c r="AU1898" s="6" t="str">
        <f>HYPERLINK("http://catalog.hathitrust.org/Record/002716265","HathiTrust Record")</f>
        <v>HathiTrust Record</v>
      </c>
      <c r="AV1898" s="6" t="str">
        <f>HYPERLINK("http://mcgill.on.worldcat.org/oclc/26855275","Catalog Record")</f>
        <v>Catalog Record</v>
      </c>
      <c r="AW1898" s="6" t="str">
        <f>HYPERLINK("http://www.worldcat.org/oclc/26855275","WorldCat Record")</f>
        <v>WorldCat Record</v>
      </c>
      <c r="AX1898" s="3" t="s">
        <v>18820</v>
      </c>
      <c r="AY1898" s="3" t="s">
        <v>18821</v>
      </c>
      <c r="AZ1898" s="3" t="s">
        <v>18822</v>
      </c>
      <c r="BA1898" s="3" t="s">
        <v>18822</v>
      </c>
      <c r="BB1898" s="3" t="s">
        <v>18830</v>
      </c>
      <c r="BC1898" s="3" t="s">
        <v>102</v>
      </c>
      <c r="BD1898" s="3" t="s">
        <v>68</v>
      </c>
      <c r="BE1898" s="3" t="s">
        <v>18824</v>
      </c>
      <c r="BF1898" s="3" t="s">
        <v>18830</v>
      </c>
      <c r="BG1898" s="3" t="s">
        <v>18831</v>
      </c>
    </row>
    <row r="1899" spans="1:59" ht="72.5" x14ac:dyDescent="0.35">
      <c r="A1899" s="2" t="s">
        <v>89</v>
      </c>
      <c r="B1899" s="2" t="s">
        <v>90</v>
      </c>
      <c r="C1899" s="2" t="s">
        <v>18832</v>
      </c>
      <c r="D1899" s="2" t="s">
        <v>18833</v>
      </c>
      <c r="E1899" s="2" t="s">
        <v>18834</v>
      </c>
      <c r="G1899" s="3" t="s">
        <v>62</v>
      </c>
      <c r="I1899" s="3" t="s">
        <v>62</v>
      </c>
      <c r="J1899" s="3" t="s">
        <v>62</v>
      </c>
      <c r="K1899" s="3" t="s">
        <v>63</v>
      </c>
      <c r="M1899" s="2" t="s">
        <v>18835</v>
      </c>
      <c r="N1899" s="3" t="s">
        <v>2985</v>
      </c>
      <c r="P1899" s="3" t="s">
        <v>64</v>
      </c>
      <c r="Q1899" s="2" t="s">
        <v>18836</v>
      </c>
      <c r="R1899" s="3" t="s">
        <v>13065</v>
      </c>
      <c r="S1899" s="4">
        <v>9</v>
      </c>
      <c r="T1899" s="4">
        <v>9</v>
      </c>
      <c r="U1899" s="5" t="s">
        <v>18837</v>
      </c>
      <c r="V1899" s="5" t="s">
        <v>18837</v>
      </c>
      <c r="W1899" s="5" t="s">
        <v>67</v>
      </c>
      <c r="X1899" s="5" t="s">
        <v>67</v>
      </c>
      <c r="Y1899" s="4">
        <v>82</v>
      </c>
      <c r="Z1899" s="4">
        <v>7</v>
      </c>
      <c r="AA1899" s="4">
        <v>17</v>
      </c>
      <c r="AB1899" s="4">
        <v>3</v>
      </c>
      <c r="AC1899" s="4">
        <v>10</v>
      </c>
      <c r="AD1899" s="4">
        <v>16</v>
      </c>
      <c r="AE1899" s="4">
        <v>28</v>
      </c>
      <c r="AF1899" s="4">
        <v>1</v>
      </c>
      <c r="AG1899" s="4">
        <v>5</v>
      </c>
      <c r="AH1899" s="4">
        <v>13</v>
      </c>
      <c r="AI1899" s="4">
        <v>19</v>
      </c>
      <c r="AJ1899" s="4">
        <v>4</v>
      </c>
      <c r="AK1899" s="4">
        <v>9</v>
      </c>
      <c r="AL1899" s="4">
        <v>5</v>
      </c>
      <c r="AM1899" s="4">
        <v>8</v>
      </c>
      <c r="AN1899" s="4">
        <v>0</v>
      </c>
      <c r="AO1899" s="4">
        <v>0</v>
      </c>
      <c r="AP1899" s="4">
        <v>4</v>
      </c>
      <c r="AQ1899" s="4">
        <v>10</v>
      </c>
      <c r="AR1899" s="3" t="s">
        <v>62</v>
      </c>
      <c r="AS1899" s="3" t="s">
        <v>62</v>
      </c>
      <c r="AT1899" s="3" t="s">
        <v>62</v>
      </c>
      <c r="AV1899" s="6" t="str">
        <f>HYPERLINK("http://mcgill.on.worldcat.org/oclc/276406231","Catalog Record")</f>
        <v>Catalog Record</v>
      </c>
      <c r="AW1899" s="6" t="str">
        <f>HYPERLINK("http://www.worldcat.org/oclc/276406231","WorldCat Record")</f>
        <v>WorldCat Record</v>
      </c>
      <c r="AX1899" s="3" t="s">
        <v>18838</v>
      </c>
      <c r="AY1899" s="3" t="s">
        <v>18839</v>
      </c>
      <c r="AZ1899" s="3" t="s">
        <v>18840</v>
      </c>
      <c r="BA1899" s="3" t="s">
        <v>18840</v>
      </c>
      <c r="BB1899" s="3" t="s">
        <v>18841</v>
      </c>
      <c r="BC1899" s="3" t="s">
        <v>102</v>
      </c>
      <c r="BD1899" s="3" t="s">
        <v>68</v>
      </c>
      <c r="BE1899" s="3" t="s">
        <v>18842</v>
      </c>
      <c r="BF1899" s="3" t="s">
        <v>18841</v>
      </c>
      <c r="BG1899" s="3" t="s">
        <v>18843</v>
      </c>
    </row>
    <row r="1900" spans="1:59" ht="58" x14ac:dyDescent="0.35">
      <c r="A1900" s="2" t="s">
        <v>89</v>
      </c>
      <c r="B1900" s="2" t="s">
        <v>90</v>
      </c>
      <c r="C1900" s="2" t="s">
        <v>18844</v>
      </c>
      <c r="D1900" s="2" t="s">
        <v>18845</v>
      </c>
      <c r="E1900" s="2" t="s">
        <v>18846</v>
      </c>
      <c r="G1900" s="3" t="s">
        <v>62</v>
      </c>
      <c r="I1900" s="3" t="s">
        <v>62</v>
      </c>
      <c r="J1900" s="3" t="s">
        <v>62</v>
      </c>
      <c r="K1900" s="3" t="s">
        <v>63</v>
      </c>
      <c r="M1900" s="2" t="s">
        <v>18847</v>
      </c>
      <c r="N1900" s="3" t="s">
        <v>1038</v>
      </c>
      <c r="P1900" s="3" t="s">
        <v>64</v>
      </c>
      <c r="Q1900" s="2" t="s">
        <v>18848</v>
      </c>
      <c r="R1900" s="3" t="s">
        <v>13065</v>
      </c>
      <c r="S1900" s="4">
        <v>2</v>
      </c>
      <c r="T1900" s="4">
        <v>2</v>
      </c>
      <c r="U1900" s="5" t="s">
        <v>7181</v>
      </c>
      <c r="V1900" s="5" t="s">
        <v>7181</v>
      </c>
      <c r="W1900" s="5" t="s">
        <v>67</v>
      </c>
      <c r="X1900" s="5" t="s">
        <v>67</v>
      </c>
      <c r="Y1900" s="4">
        <v>10</v>
      </c>
      <c r="Z1900" s="4">
        <v>4</v>
      </c>
      <c r="AA1900" s="4">
        <v>4</v>
      </c>
      <c r="AB1900" s="4">
        <v>3</v>
      </c>
      <c r="AC1900" s="4">
        <v>3</v>
      </c>
      <c r="AD1900" s="4">
        <v>8</v>
      </c>
      <c r="AE1900" s="4">
        <v>8</v>
      </c>
      <c r="AF1900" s="4">
        <v>1</v>
      </c>
      <c r="AG1900" s="4">
        <v>1</v>
      </c>
      <c r="AH1900" s="4">
        <v>7</v>
      </c>
      <c r="AI1900" s="4">
        <v>7</v>
      </c>
      <c r="AJ1900" s="4">
        <v>2</v>
      </c>
      <c r="AK1900" s="4">
        <v>2</v>
      </c>
      <c r="AL1900" s="4">
        <v>4</v>
      </c>
      <c r="AM1900" s="4">
        <v>4</v>
      </c>
      <c r="AN1900" s="4">
        <v>0</v>
      </c>
      <c r="AO1900" s="4">
        <v>0</v>
      </c>
      <c r="AP1900" s="4">
        <v>2</v>
      </c>
      <c r="AQ1900" s="4">
        <v>2</v>
      </c>
      <c r="AR1900" s="3" t="s">
        <v>62</v>
      </c>
      <c r="AS1900" s="3" t="s">
        <v>62</v>
      </c>
      <c r="AT1900" s="3" t="s">
        <v>62</v>
      </c>
      <c r="AV1900" s="6" t="str">
        <f>HYPERLINK("http://mcgill.on.worldcat.org/oclc/967790592","Catalog Record")</f>
        <v>Catalog Record</v>
      </c>
      <c r="AW1900" s="6" t="str">
        <f>HYPERLINK("http://www.worldcat.org/oclc/967790592","WorldCat Record")</f>
        <v>WorldCat Record</v>
      </c>
      <c r="AX1900" s="3" t="s">
        <v>18849</v>
      </c>
      <c r="AY1900" s="3" t="s">
        <v>18850</v>
      </c>
      <c r="AZ1900" s="3" t="s">
        <v>18851</v>
      </c>
      <c r="BA1900" s="3" t="s">
        <v>18851</v>
      </c>
      <c r="BB1900" s="3" t="s">
        <v>18852</v>
      </c>
      <c r="BC1900" s="3" t="s">
        <v>102</v>
      </c>
      <c r="BD1900" s="3" t="s">
        <v>68</v>
      </c>
      <c r="BE1900" s="3" t="s">
        <v>18853</v>
      </c>
      <c r="BF1900" s="3" t="s">
        <v>18852</v>
      </c>
      <c r="BG1900" s="3" t="s">
        <v>18854</v>
      </c>
    </row>
    <row r="1901" spans="1:59" ht="72.5" x14ac:dyDescent="0.35">
      <c r="A1901" s="2" t="s">
        <v>89</v>
      </c>
      <c r="B1901" s="2" t="s">
        <v>90</v>
      </c>
      <c r="C1901" s="2" t="s">
        <v>18855</v>
      </c>
      <c r="D1901" s="2" t="s">
        <v>18856</v>
      </c>
      <c r="E1901" s="2" t="s">
        <v>18857</v>
      </c>
      <c r="F1901" s="3" t="s">
        <v>2217</v>
      </c>
      <c r="G1901" s="3" t="s">
        <v>61</v>
      </c>
      <c r="I1901" s="3" t="s">
        <v>62</v>
      </c>
      <c r="J1901" s="3" t="s">
        <v>62</v>
      </c>
      <c r="K1901" s="3" t="s">
        <v>63</v>
      </c>
      <c r="L1901" s="2" t="s">
        <v>18858</v>
      </c>
      <c r="M1901" s="2" t="s">
        <v>18859</v>
      </c>
      <c r="N1901" s="3" t="s">
        <v>1077</v>
      </c>
      <c r="P1901" s="3" t="s">
        <v>64</v>
      </c>
      <c r="Q1901" s="2" t="s">
        <v>18860</v>
      </c>
      <c r="R1901" s="3" t="s">
        <v>13065</v>
      </c>
      <c r="S1901" s="4">
        <v>0</v>
      </c>
      <c r="T1901" s="4">
        <v>2</v>
      </c>
      <c r="V1901" s="5" t="s">
        <v>18861</v>
      </c>
      <c r="W1901" s="5" t="s">
        <v>67</v>
      </c>
      <c r="X1901" s="5" t="s">
        <v>67</v>
      </c>
      <c r="Y1901" s="4">
        <v>83</v>
      </c>
      <c r="Z1901" s="4">
        <v>8</v>
      </c>
      <c r="AA1901" s="4">
        <v>10</v>
      </c>
      <c r="AB1901" s="4">
        <v>2</v>
      </c>
      <c r="AC1901" s="4">
        <v>4</v>
      </c>
      <c r="AD1901" s="4">
        <v>32</v>
      </c>
      <c r="AE1901" s="4">
        <v>35</v>
      </c>
      <c r="AF1901" s="4">
        <v>0</v>
      </c>
      <c r="AG1901" s="4">
        <v>2</v>
      </c>
      <c r="AH1901" s="4">
        <v>29</v>
      </c>
      <c r="AI1901" s="4">
        <v>30</v>
      </c>
      <c r="AJ1901" s="4">
        <v>5</v>
      </c>
      <c r="AK1901" s="4">
        <v>7</v>
      </c>
      <c r="AL1901" s="4">
        <v>20</v>
      </c>
      <c r="AM1901" s="4">
        <v>20</v>
      </c>
      <c r="AN1901" s="4">
        <v>0</v>
      </c>
      <c r="AO1901" s="4">
        <v>0</v>
      </c>
      <c r="AP1901" s="4">
        <v>4</v>
      </c>
      <c r="AQ1901" s="4">
        <v>5</v>
      </c>
      <c r="AR1901" s="3" t="s">
        <v>62</v>
      </c>
      <c r="AS1901" s="3" t="s">
        <v>62</v>
      </c>
      <c r="AT1901" s="3" t="s">
        <v>61</v>
      </c>
      <c r="AU1901" s="6" t="str">
        <f>HYPERLINK("http://catalog.hathitrust.org/Record/002871242","HathiTrust Record")</f>
        <v>HathiTrust Record</v>
      </c>
      <c r="AV1901" s="6" t="str">
        <f>HYPERLINK("http://mcgill.on.worldcat.org/oclc/29050558","Catalog Record")</f>
        <v>Catalog Record</v>
      </c>
      <c r="AW1901" s="6" t="str">
        <f>HYPERLINK("http://www.worldcat.org/oclc/29050558","WorldCat Record")</f>
        <v>WorldCat Record</v>
      </c>
      <c r="AX1901" s="3" t="s">
        <v>18862</v>
      </c>
      <c r="AY1901" s="3" t="s">
        <v>18863</v>
      </c>
      <c r="AZ1901" s="3" t="s">
        <v>18864</v>
      </c>
      <c r="BA1901" s="3" t="s">
        <v>18864</v>
      </c>
      <c r="BB1901" s="3" t="s">
        <v>18865</v>
      </c>
      <c r="BC1901" s="3" t="s">
        <v>102</v>
      </c>
      <c r="BD1901" s="3" t="s">
        <v>68</v>
      </c>
      <c r="BE1901" s="3" t="s">
        <v>18866</v>
      </c>
      <c r="BF1901" s="3" t="s">
        <v>18865</v>
      </c>
      <c r="BG1901" s="3" t="s">
        <v>18867</v>
      </c>
    </row>
    <row r="1902" spans="1:59" ht="72.5" x14ac:dyDescent="0.35">
      <c r="A1902" s="2" t="s">
        <v>89</v>
      </c>
      <c r="B1902" s="2" t="s">
        <v>90</v>
      </c>
      <c r="C1902" s="2" t="s">
        <v>18855</v>
      </c>
      <c r="D1902" s="2" t="s">
        <v>18856</v>
      </c>
      <c r="E1902" s="2" t="s">
        <v>18857</v>
      </c>
      <c r="F1902" s="3" t="s">
        <v>2233</v>
      </c>
      <c r="G1902" s="3" t="s">
        <v>61</v>
      </c>
      <c r="I1902" s="3" t="s">
        <v>62</v>
      </c>
      <c r="J1902" s="3" t="s">
        <v>62</v>
      </c>
      <c r="K1902" s="3" t="s">
        <v>63</v>
      </c>
      <c r="L1902" s="2" t="s">
        <v>18858</v>
      </c>
      <c r="M1902" s="2" t="s">
        <v>18859</v>
      </c>
      <c r="N1902" s="3" t="s">
        <v>1077</v>
      </c>
      <c r="P1902" s="3" t="s">
        <v>64</v>
      </c>
      <c r="Q1902" s="2" t="s">
        <v>18860</v>
      </c>
      <c r="R1902" s="3" t="s">
        <v>13065</v>
      </c>
      <c r="S1902" s="4">
        <v>2</v>
      </c>
      <c r="T1902" s="4">
        <v>2</v>
      </c>
      <c r="U1902" s="5" t="s">
        <v>18861</v>
      </c>
      <c r="V1902" s="5" t="s">
        <v>18861</v>
      </c>
      <c r="W1902" s="5" t="s">
        <v>67</v>
      </c>
      <c r="X1902" s="5" t="s">
        <v>67</v>
      </c>
      <c r="Y1902" s="4">
        <v>83</v>
      </c>
      <c r="Z1902" s="4">
        <v>8</v>
      </c>
      <c r="AA1902" s="4">
        <v>10</v>
      </c>
      <c r="AB1902" s="4">
        <v>2</v>
      </c>
      <c r="AC1902" s="4">
        <v>4</v>
      </c>
      <c r="AD1902" s="4">
        <v>32</v>
      </c>
      <c r="AE1902" s="4">
        <v>35</v>
      </c>
      <c r="AF1902" s="4">
        <v>0</v>
      </c>
      <c r="AG1902" s="4">
        <v>2</v>
      </c>
      <c r="AH1902" s="4">
        <v>29</v>
      </c>
      <c r="AI1902" s="4">
        <v>30</v>
      </c>
      <c r="AJ1902" s="4">
        <v>5</v>
      </c>
      <c r="AK1902" s="4">
        <v>7</v>
      </c>
      <c r="AL1902" s="4">
        <v>20</v>
      </c>
      <c r="AM1902" s="4">
        <v>20</v>
      </c>
      <c r="AN1902" s="4">
        <v>0</v>
      </c>
      <c r="AO1902" s="4">
        <v>0</v>
      </c>
      <c r="AP1902" s="4">
        <v>4</v>
      </c>
      <c r="AQ1902" s="4">
        <v>5</v>
      </c>
      <c r="AR1902" s="3" t="s">
        <v>62</v>
      </c>
      <c r="AS1902" s="3" t="s">
        <v>62</v>
      </c>
      <c r="AT1902" s="3" t="s">
        <v>61</v>
      </c>
      <c r="AU1902" s="6" t="str">
        <f>HYPERLINK("http://catalog.hathitrust.org/Record/002871242","HathiTrust Record")</f>
        <v>HathiTrust Record</v>
      </c>
      <c r="AV1902" s="6" t="str">
        <f>HYPERLINK("http://mcgill.on.worldcat.org/oclc/29050558","Catalog Record")</f>
        <v>Catalog Record</v>
      </c>
      <c r="AW1902" s="6" t="str">
        <f>HYPERLINK("http://www.worldcat.org/oclc/29050558","WorldCat Record")</f>
        <v>WorldCat Record</v>
      </c>
      <c r="AX1902" s="3" t="s">
        <v>18862</v>
      </c>
      <c r="AY1902" s="3" t="s">
        <v>18863</v>
      </c>
      <c r="AZ1902" s="3" t="s">
        <v>18864</v>
      </c>
      <c r="BA1902" s="3" t="s">
        <v>18864</v>
      </c>
      <c r="BB1902" s="3" t="s">
        <v>18868</v>
      </c>
      <c r="BC1902" s="3" t="s">
        <v>102</v>
      </c>
      <c r="BD1902" s="3" t="s">
        <v>68</v>
      </c>
      <c r="BE1902" s="3" t="s">
        <v>18866</v>
      </c>
      <c r="BF1902" s="3" t="s">
        <v>18868</v>
      </c>
      <c r="BG1902" s="3" t="s">
        <v>18869</v>
      </c>
    </row>
    <row r="1903" spans="1:59" ht="58" x14ac:dyDescent="0.35">
      <c r="A1903" s="2" t="s">
        <v>89</v>
      </c>
      <c r="B1903" s="2" t="s">
        <v>90</v>
      </c>
      <c r="C1903" s="2" t="s">
        <v>18870</v>
      </c>
      <c r="D1903" s="2" t="s">
        <v>18871</v>
      </c>
      <c r="E1903" s="2" t="s">
        <v>18872</v>
      </c>
      <c r="G1903" s="3" t="s">
        <v>62</v>
      </c>
      <c r="I1903" s="3" t="s">
        <v>62</v>
      </c>
      <c r="J1903" s="3" t="s">
        <v>62</v>
      </c>
      <c r="K1903" s="3" t="s">
        <v>63</v>
      </c>
      <c r="L1903" s="2" t="s">
        <v>18873</v>
      </c>
      <c r="M1903" s="2" t="s">
        <v>18874</v>
      </c>
      <c r="N1903" s="3" t="s">
        <v>1038</v>
      </c>
      <c r="O1903" s="2" t="s">
        <v>1941</v>
      </c>
      <c r="P1903" s="3" t="s">
        <v>64</v>
      </c>
      <c r="Q1903" s="2" t="s">
        <v>18875</v>
      </c>
      <c r="R1903" s="3" t="s">
        <v>13065</v>
      </c>
      <c r="S1903" s="4">
        <v>7</v>
      </c>
      <c r="T1903" s="4">
        <v>7</v>
      </c>
      <c r="U1903" s="5" t="s">
        <v>12393</v>
      </c>
      <c r="V1903" s="5" t="s">
        <v>12393</v>
      </c>
      <c r="W1903" s="5" t="s">
        <v>67</v>
      </c>
      <c r="X1903" s="5" t="s">
        <v>67</v>
      </c>
      <c r="Y1903" s="4">
        <v>166</v>
      </c>
      <c r="Z1903" s="4">
        <v>13</v>
      </c>
      <c r="AA1903" s="4">
        <v>21</v>
      </c>
      <c r="AB1903" s="4">
        <v>3</v>
      </c>
      <c r="AC1903" s="4">
        <v>6</v>
      </c>
      <c r="AD1903" s="4">
        <v>33</v>
      </c>
      <c r="AE1903" s="4">
        <v>53</v>
      </c>
      <c r="AF1903" s="4">
        <v>1</v>
      </c>
      <c r="AG1903" s="4">
        <v>4</v>
      </c>
      <c r="AH1903" s="4">
        <v>27</v>
      </c>
      <c r="AI1903" s="4">
        <v>43</v>
      </c>
      <c r="AJ1903" s="4">
        <v>7</v>
      </c>
      <c r="AK1903" s="4">
        <v>13</v>
      </c>
      <c r="AL1903" s="4">
        <v>20</v>
      </c>
      <c r="AM1903" s="4">
        <v>28</v>
      </c>
      <c r="AN1903" s="4">
        <v>0</v>
      </c>
      <c r="AO1903" s="4">
        <v>0</v>
      </c>
      <c r="AP1903" s="4">
        <v>8</v>
      </c>
      <c r="AQ1903" s="4">
        <v>16</v>
      </c>
      <c r="AR1903" s="3" t="s">
        <v>62</v>
      </c>
      <c r="AS1903" s="3" t="s">
        <v>62</v>
      </c>
      <c r="AT1903" s="3" t="s">
        <v>62</v>
      </c>
      <c r="AV1903" s="6" t="str">
        <f>HYPERLINK("http://mcgill.on.worldcat.org/oclc/932003094","Catalog Record")</f>
        <v>Catalog Record</v>
      </c>
      <c r="AW1903" s="6" t="str">
        <f>HYPERLINK("http://www.worldcat.org/oclc/932003094","WorldCat Record")</f>
        <v>WorldCat Record</v>
      </c>
      <c r="AX1903" s="3" t="s">
        <v>18876</v>
      </c>
      <c r="AY1903" s="3" t="s">
        <v>18877</v>
      </c>
      <c r="AZ1903" s="3" t="s">
        <v>18878</v>
      </c>
      <c r="BA1903" s="3" t="s">
        <v>18878</v>
      </c>
      <c r="BB1903" s="3" t="s">
        <v>18879</v>
      </c>
      <c r="BC1903" s="3" t="s">
        <v>102</v>
      </c>
      <c r="BD1903" s="3" t="s">
        <v>68</v>
      </c>
      <c r="BE1903" s="3" t="s">
        <v>18880</v>
      </c>
      <c r="BF1903" s="3" t="s">
        <v>18879</v>
      </c>
      <c r="BG1903" s="3" t="s">
        <v>18881</v>
      </c>
    </row>
    <row r="1904" spans="1:59" ht="58" x14ac:dyDescent="0.35">
      <c r="A1904" s="2" t="s">
        <v>89</v>
      </c>
      <c r="B1904" s="2" t="s">
        <v>90</v>
      </c>
      <c r="C1904" s="2" t="s">
        <v>18882</v>
      </c>
      <c r="D1904" s="2" t="s">
        <v>18883</v>
      </c>
      <c r="E1904" s="2" t="s">
        <v>18884</v>
      </c>
      <c r="G1904" s="3" t="s">
        <v>62</v>
      </c>
      <c r="I1904" s="3" t="s">
        <v>62</v>
      </c>
      <c r="J1904" s="3" t="s">
        <v>62</v>
      </c>
      <c r="K1904" s="3" t="s">
        <v>63</v>
      </c>
      <c r="L1904" s="2" t="s">
        <v>18885</v>
      </c>
      <c r="M1904" s="2" t="s">
        <v>18886</v>
      </c>
      <c r="N1904" s="3" t="s">
        <v>1077</v>
      </c>
      <c r="P1904" s="3" t="s">
        <v>64</v>
      </c>
      <c r="R1904" s="3" t="s">
        <v>13065</v>
      </c>
      <c r="S1904" s="4">
        <v>28</v>
      </c>
      <c r="T1904" s="4">
        <v>28</v>
      </c>
      <c r="U1904" s="5" t="s">
        <v>2226</v>
      </c>
      <c r="V1904" s="5" t="s">
        <v>2226</v>
      </c>
      <c r="W1904" s="5" t="s">
        <v>67</v>
      </c>
      <c r="X1904" s="5" t="s">
        <v>67</v>
      </c>
      <c r="Y1904" s="4">
        <v>260</v>
      </c>
      <c r="Z1904" s="4">
        <v>19</v>
      </c>
      <c r="AA1904" s="4">
        <v>46</v>
      </c>
      <c r="AB1904" s="4">
        <v>1</v>
      </c>
      <c r="AC1904" s="4">
        <v>8</v>
      </c>
      <c r="AD1904" s="4">
        <v>48</v>
      </c>
      <c r="AE1904" s="4">
        <v>120</v>
      </c>
      <c r="AF1904" s="4">
        <v>0</v>
      </c>
      <c r="AG1904" s="4">
        <v>5</v>
      </c>
      <c r="AH1904" s="4">
        <v>36</v>
      </c>
      <c r="AI1904" s="4">
        <v>94</v>
      </c>
      <c r="AJ1904" s="4">
        <v>8</v>
      </c>
      <c r="AK1904" s="4">
        <v>23</v>
      </c>
      <c r="AL1904" s="4">
        <v>22</v>
      </c>
      <c r="AM1904" s="4">
        <v>53</v>
      </c>
      <c r="AN1904" s="4">
        <v>0</v>
      </c>
      <c r="AO1904" s="4">
        <v>0</v>
      </c>
      <c r="AP1904" s="4">
        <v>14</v>
      </c>
      <c r="AQ1904" s="4">
        <v>31</v>
      </c>
      <c r="AR1904" s="3" t="s">
        <v>62</v>
      </c>
      <c r="AS1904" s="3" t="s">
        <v>62</v>
      </c>
      <c r="AT1904" s="3" t="s">
        <v>61</v>
      </c>
      <c r="AU1904" s="6" t="str">
        <f>HYPERLINK("http://catalog.hathitrust.org/Record/007550905","HathiTrust Record")</f>
        <v>HathiTrust Record</v>
      </c>
      <c r="AV1904" s="6" t="str">
        <f>HYPERLINK("http://mcgill.on.worldcat.org/oclc/27814295","Catalog Record")</f>
        <v>Catalog Record</v>
      </c>
      <c r="AW1904" s="6" t="str">
        <f>HYPERLINK("http://www.worldcat.org/oclc/27814295","WorldCat Record")</f>
        <v>WorldCat Record</v>
      </c>
      <c r="AX1904" s="3" t="s">
        <v>18887</v>
      </c>
      <c r="AY1904" s="3" t="s">
        <v>18888</v>
      </c>
      <c r="AZ1904" s="3" t="s">
        <v>18889</v>
      </c>
      <c r="BA1904" s="3" t="s">
        <v>18889</v>
      </c>
      <c r="BB1904" s="3" t="s">
        <v>18890</v>
      </c>
      <c r="BC1904" s="3" t="s">
        <v>102</v>
      </c>
      <c r="BD1904" s="3" t="s">
        <v>68</v>
      </c>
      <c r="BE1904" s="3" t="s">
        <v>18891</v>
      </c>
      <c r="BF1904" s="3" t="s">
        <v>18890</v>
      </c>
      <c r="BG1904" s="3" t="s">
        <v>18892</v>
      </c>
    </row>
    <row r="1905" spans="1:59" ht="58" x14ac:dyDescent="0.35">
      <c r="A1905" s="2" t="s">
        <v>89</v>
      </c>
      <c r="B1905" s="2" t="s">
        <v>90</v>
      </c>
      <c r="C1905" s="2" t="s">
        <v>18893</v>
      </c>
      <c r="D1905" s="2" t="s">
        <v>18894</v>
      </c>
      <c r="E1905" s="2" t="s">
        <v>18895</v>
      </c>
      <c r="G1905" s="3" t="s">
        <v>62</v>
      </c>
      <c r="I1905" s="3" t="s">
        <v>62</v>
      </c>
      <c r="J1905" s="3" t="s">
        <v>62</v>
      </c>
      <c r="K1905" s="3" t="s">
        <v>63</v>
      </c>
      <c r="L1905" s="2" t="s">
        <v>18896</v>
      </c>
      <c r="M1905" s="2" t="s">
        <v>18897</v>
      </c>
      <c r="N1905" s="3" t="s">
        <v>880</v>
      </c>
      <c r="P1905" s="3" t="s">
        <v>64</v>
      </c>
      <c r="R1905" s="3" t="s">
        <v>13065</v>
      </c>
      <c r="S1905" s="4">
        <v>5</v>
      </c>
      <c r="T1905" s="4">
        <v>5</v>
      </c>
      <c r="U1905" s="5" t="s">
        <v>18898</v>
      </c>
      <c r="V1905" s="5" t="s">
        <v>18898</v>
      </c>
      <c r="W1905" s="5" t="s">
        <v>67</v>
      </c>
      <c r="X1905" s="5" t="s">
        <v>67</v>
      </c>
      <c r="Y1905" s="4">
        <v>276</v>
      </c>
      <c r="Z1905" s="4">
        <v>23</v>
      </c>
      <c r="AA1905" s="4">
        <v>43</v>
      </c>
      <c r="AB1905" s="4">
        <v>3</v>
      </c>
      <c r="AC1905" s="4">
        <v>11</v>
      </c>
      <c r="AD1905" s="4">
        <v>65</v>
      </c>
      <c r="AE1905" s="4">
        <v>93</v>
      </c>
      <c r="AF1905" s="4">
        <v>1</v>
      </c>
      <c r="AG1905" s="4">
        <v>6</v>
      </c>
      <c r="AH1905" s="4">
        <v>52</v>
      </c>
      <c r="AI1905" s="4">
        <v>70</v>
      </c>
      <c r="AJ1905" s="4">
        <v>14</v>
      </c>
      <c r="AK1905" s="4">
        <v>21</v>
      </c>
      <c r="AL1905" s="4">
        <v>34</v>
      </c>
      <c r="AM1905" s="4">
        <v>39</v>
      </c>
      <c r="AN1905" s="4">
        <v>0</v>
      </c>
      <c r="AO1905" s="4">
        <v>0</v>
      </c>
      <c r="AP1905" s="4">
        <v>19</v>
      </c>
      <c r="AQ1905" s="4">
        <v>30</v>
      </c>
      <c r="AR1905" s="3" t="s">
        <v>62</v>
      </c>
      <c r="AS1905" s="3" t="s">
        <v>62</v>
      </c>
      <c r="AT1905" s="3" t="s">
        <v>62</v>
      </c>
      <c r="AV1905" s="6" t="str">
        <f>HYPERLINK("http://mcgill.on.worldcat.org/oclc/431936033","Catalog Record")</f>
        <v>Catalog Record</v>
      </c>
      <c r="AW1905" s="6" t="str">
        <f>HYPERLINK("http://www.worldcat.org/oclc/431936033","WorldCat Record")</f>
        <v>WorldCat Record</v>
      </c>
      <c r="AX1905" s="3" t="s">
        <v>18899</v>
      </c>
      <c r="AY1905" s="3" t="s">
        <v>18900</v>
      </c>
      <c r="AZ1905" s="3" t="s">
        <v>18901</v>
      </c>
      <c r="BA1905" s="3" t="s">
        <v>18901</v>
      </c>
      <c r="BB1905" s="3" t="s">
        <v>18902</v>
      </c>
      <c r="BC1905" s="3" t="s">
        <v>102</v>
      </c>
      <c r="BD1905" s="3" t="s">
        <v>68</v>
      </c>
      <c r="BE1905" s="3" t="s">
        <v>18903</v>
      </c>
      <c r="BF1905" s="3" t="s">
        <v>18902</v>
      </c>
      <c r="BG1905" s="3" t="s">
        <v>18904</v>
      </c>
    </row>
    <row r="1906" spans="1:59" ht="58" x14ac:dyDescent="0.35">
      <c r="A1906" s="2" t="s">
        <v>89</v>
      </c>
      <c r="B1906" s="2" t="s">
        <v>90</v>
      </c>
      <c r="C1906" s="2" t="s">
        <v>18905</v>
      </c>
      <c r="D1906" s="2" t="s">
        <v>18906</v>
      </c>
      <c r="E1906" s="2" t="s">
        <v>18907</v>
      </c>
      <c r="G1906" s="3" t="s">
        <v>62</v>
      </c>
      <c r="I1906" s="3" t="s">
        <v>62</v>
      </c>
      <c r="J1906" s="3" t="s">
        <v>62</v>
      </c>
      <c r="K1906" s="3" t="s">
        <v>63</v>
      </c>
      <c r="L1906" s="2" t="s">
        <v>18908</v>
      </c>
      <c r="M1906" s="2" t="s">
        <v>18224</v>
      </c>
      <c r="N1906" s="3" t="s">
        <v>684</v>
      </c>
      <c r="P1906" s="3" t="s">
        <v>64</v>
      </c>
      <c r="Q1906" s="2" t="s">
        <v>18836</v>
      </c>
      <c r="R1906" s="3" t="s">
        <v>13065</v>
      </c>
      <c r="S1906" s="4">
        <v>3</v>
      </c>
      <c r="T1906" s="4">
        <v>3</v>
      </c>
      <c r="U1906" s="5" t="s">
        <v>18909</v>
      </c>
      <c r="V1906" s="5" t="s">
        <v>18909</v>
      </c>
      <c r="W1906" s="5" t="s">
        <v>67</v>
      </c>
      <c r="X1906" s="5" t="s">
        <v>67</v>
      </c>
      <c r="Y1906" s="4">
        <v>137</v>
      </c>
      <c r="Z1906" s="4">
        <v>17</v>
      </c>
      <c r="AA1906" s="4">
        <v>20</v>
      </c>
      <c r="AB1906" s="4">
        <v>2</v>
      </c>
      <c r="AC1906" s="4">
        <v>5</v>
      </c>
      <c r="AD1906" s="4">
        <v>51</v>
      </c>
      <c r="AE1906" s="4">
        <v>53</v>
      </c>
      <c r="AF1906" s="4">
        <v>1</v>
      </c>
      <c r="AG1906" s="4">
        <v>1</v>
      </c>
      <c r="AH1906" s="4">
        <v>42</v>
      </c>
      <c r="AI1906" s="4">
        <v>43</v>
      </c>
      <c r="AJ1906" s="4">
        <v>13</v>
      </c>
      <c r="AK1906" s="4">
        <v>13</v>
      </c>
      <c r="AL1906" s="4">
        <v>22</v>
      </c>
      <c r="AM1906" s="4">
        <v>24</v>
      </c>
      <c r="AN1906" s="4">
        <v>0</v>
      </c>
      <c r="AO1906" s="4">
        <v>0</v>
      </c>
      <c r="AP1906" s="4">
        <v>14</v>
      </c>
      <c r="AQ1906" s="4">
        <v>14</v>
      </c>
      <c r="AR1906" s="3" t="s">
        <v>62</v>
      </c>
      <c r="AS1906" s="3" t="s">
        <v>62</v>
      </c>
      <c r="AT1906" s="3" t="s">
        <v>62</v>
      </c>
      <c r="AV1906" s="6" t="str">
        <f>HYPERLINK("http://mcgill.on.worldcat.org/oclc/641535526","Catalog Record")</f>
        <v>Catalog Record</v>
      </c>
      <c r="AW1906" s="6" t="str">
        <f>HYPERLINK("http://www.worldcat.org/oclc/641535526","WorldCat Record")</f>
        <v>WorldCat Record</v>
      </c>
      <c r="AX1906" s="3" t="s">
        <v>18910</v>
      </c>
      <c r="AY1906" s="3" t="s">
        <v>18911</v>
      </c>
      <c r="AZ1906" s="3" t="s">
        <v>18912</v>
      </c>
      <c r="BA1906" s="3" t="s">
        <v>18912</v>
      </c>
      <c r="BB1906" s="3" t="s">
        <v>18913</v>
      </c>
      <c r="BC1906" s="3" t="s">
        <v>102</v>
      </c>
      <c r="BD1906" s="3" t="s">
        <v>68</v>
      </c>
      <c r="BE1906" s="3" t="s">
        <v>18914</v>
      </c>
      <c r="BF1906" s="3" t="s">
        <v>18913</v>
      </c>
      <c r="BG1906" s="3" t="s">
        <v>18915</v>
      </c>
    </row>
    <row r="1907" spans="1:59" ht="72.5" x14ac:dyDescent="0.35">
      <c r="A1907" s="2" t="s">
        <v>89</v>
      </c>
      <c r="B1907" s="2" t="s">
        <v>90</v>
      </c>
      <c r="C1907" s="2" t="s">
        <v>18916</v>
      </c>
      <c r="D1907" s="2" t="s">
        <v>18917</v>
      </c>
      <c r="E1907" s="2" t="s">
        <v>18918</v>
      </c>
      <c r="G1907" s="3" t="s">
        <v>62</v>
      </c>
      <c r="I1907" s="3" t="s">
        <v>62</v>
      </c>
      <c r="J1907" s="3" t="s">
        <v>62</v>
      </c>
      <c r="K1907" s="3" t="s">
        <v>63</v>
      </c>
      <c r="L1907" s="2" t="s">
        <v>18919</v>
      </c>
      <c r="M1907" s="2" t="s">
        <v>18920</v>
      </c>
      <c r="N1907" s="3" t="s">
        <v>698</v>
      </c>
      <c r="P1907" s="3" t="s">
        <v>64</v>
      </c>
      <c r="Q1907" s="2" t="s">
        <v>18921</v>
      </c>
      <c r="R1907" s="3" t="s">
        <v>13065</v>
      </c>
      <c r="S1907" s="4">
        <v>0</v>
      </c>
      <c r="T1907" s="4">
        <v>0</v>
      </c>
      <c r="W1907" s="5" t="s">
        <v>67</v>
      </c>
      <c r="X1907" s="5" t="s">
        <v>67</v>
      </c>
      <c r="Y1907" s="4">
        <v>22</v>
      </c>
      <c r="Z1907" s="4">
        <v>3</v>
      </c>
      <c r="AA1907" s="4">
        <v>19</v>
      </c>
      <c r="AB1907" s="4">
        <v>1</v>
      </c>
      <c r="AC1907" s="4">
        <v>7</v>
      </c>
      <c r="AD1907" s="4">
        <v>5</v>
      </c>
      <c r="AE1907" s="4">
        <v>45</v>
      </c>
      <c r="AF1907" s="4">
        <v>0</v>
      </c>
      <c r="AG1907" s="4">
        <v>3</v>
      </c>
      <c r="AH1907" s="4">
        <v>3</v>
      </c>
      <c r="AI1907" s="4">
        <v>37</v>
      </c>
      <c r="AJ1907" s="4">
        <v>1</v>
      </c>
      <c r="AK1907" s="4">
        <v>11</v>
      </c>
      <c r="AL1907" s="4">
        <v>1</v>
      </c>
      <c r="AM1907" s="4">
        <v>21</v>
      </c>
      <c r="AN1907" s="4">
        <v>0</v>
      </c>
      <c r="AO1907" s="4">
        <v>0</v>
      </c>
      <c r="AP1907" s="4">
        <v>2</v>
      </c>
      <c r="AQ1907" s="4">
        <v>14</v>
      </c>
      <c r="AR1907" s="3" t="s">
        <v>62</v>
      </c>
      <c r="AS1907" s="3" t="s">
        <v>62</v>
      </c>
      <c r="AT1907" s="3" t="s">
        <v>62</v>
      </c>
      <c r="AV1907" s="6" t="str">
        <f>HYPERLINK("http://mcgill.on.worldcat.org/oclc/791643270","Catalog Record")</f>
        <v>Catalog Record</v>
      </c>
      <c r="AW1907" s="6" t="str">
        <f>HYPERLINK("http://www.worldcat.org/oclc/791643270","WorldCat Record")</f>
        <v>WorldCat Record</v>
      </c>
      <c r="AX1907" s="3" t="s">
        <v>18922</v>
      </c>
      <c r="AY1907" s="3" t="s">
        <v>18923</v>
      </c>
      <c r="AZ1907" s="3" t="s">
        <v>18924</v>
      </c>
      <c r="BA1907" s="3" t="s">
        <v>18924</v>
      </c>
      <c r="BB1907" s="3" t="s">
        <v>18925</v>
      </c>
      <c r="BC1907" s="3" t="s">
        <v>102</v>
      </c>
      <c r="BD1907" s="3" t="s">
        <v>68</v>
      </c>
      <c r="BE1907" s="3" t="s">
        <v>18926</v>
      </c>
      <c r="BF1907" s="3" t="s">
        <v>18925</v>
      </c>
      <c r="BG1907" s="3" t="s">
        <v>18927</v>
      </c>
    </row>
    <row r="1908" spans="1:59" ht="72.5" x14ac:dyDescent="0.35">
      <c r="A1908" s="2" t="s">
        <v>89</v>
      </c>
      <c r="B1908" s="2" t="s">
        <v>90</v>
      </c>
      <c r="C1908" s="2" t="s">
        <v>18928</v>
      </c>
      <c r="D1908" s="2" t="s">
        <v>18929</v>
      </c>
      <c r="E1908" s="2" t="s">
        <v>18930</v>
      </c>
      <c r="G1908" s="3" t="s">
        <v>62</v>
      </c>
      <c r="I1908" s="3" t="s">
        <v>61</v>
      </c>
      <c r="J1908" s="3" t="s">
        <v>62</v>
      </c>
      <c r="K1908" s="3" t="s">
        <v>63</v>
      </c>
      <c r="L1908" s="2" t="s">
        <v>18931</v>
      </c>
      <c r="M1908" s="2" t="s">
        <v>18932</v>
      </c>
      <c r="N1908" s="3" t="s">
        <v>524</v>
      </c>
      <c r="P1908" s="3" t="s">
        <v>64</v>
      </c>
      <c r="Q1908" s="2" t="s">
        <v>18933</v>
      </c>
      <c r="R1908" s="3" t="s">
        <v>13065</v>
      </c>
      <c r="S1908" s="4">
        <v>4</v>
      </c>
      <c r="T1908" s="4">
        <v>50</v>
      </c>
      <c r="U1908" s="5" t="s">
        <v>10809</v>
      </c>
      <c r="V1908" s="5" t="s">
        <v>10809</v>
      </c>
      <c r="W1908" s="5" t="s">
        <v>67</v>
      </c>
      <c r="X1908" s="5" t="s">
        <v>67</v>
      </c>
      <c r="Y1908" s="4">
        <v>569</v>
      </c>
      <c r="Z1908" s="4">
        <v>33</v>
      </c>
      <c r="AA1908" s="4">
        <v>42</v>
      </c>
      <c r="AB1908" s="4">
        <v>2</v>
      </c>
      <c r="AC1908" s="4">
        <v>6</v>
      </c>
      <c r="AD1908" s="4">
        <v>110</v>
      </c>
      <c r="AE1908" s="4">
        <v>124</v>
      </c>
      <c r="AF1908" s="4">
        <v>1</v>
      </c>
      <c r="AG1908" s="4">
        <v>4</v>
      </c>
      <c r="AH1908" s="4">
        <v>91</v>
      </c>
      <c r="AI1908" s="4">
        <v>99</v>
      </c>
      <c r="AJ1908" s="4">
        <v>20</v>
      </c>
      <c r="AK1908" s="4">
        <v>25</v>
      </c>
      <c r="AL1908" s="4">
        <v>50</v>
      </c>
      <c r="AM1908" s="4">
        <v>52</v>
      </c>
      <c r="AN1908" s="4">
        <v>0</v>
      </c>
      <c r="AO1908" s="4">
        <v>0</v>
      </c>
      <c r="AP1908" s="4">
        <v>24</v>
      </c>
      <c r="AQ1908" s="4">
        <v>31</v>
      </c>
      <c r="AR1908" s="3" t="s">
        <v>62</v>
      </c>
      <c r="AS1908" s="3" t="s">
        <v>62</v>
      </c>
      <c r="AT1908" s="3" t="s">
        <v>62</v>
      </c>
      <c r="AV1908" s="6" t="str">
        <f>HYPERLINK("http://mcgill.on.worldcat.org/oclc/31740382","Catalog Record")</f>
        <v>Catalog Record</v>
      </c>
      <c r="AW1908" s="6" t="str">
        <f>HYPERLINK("http://www.worldcat.org/oclc/31740382","WorldCat Record")</f>
        <v>WorldCat Record</v>
      </c>
      <c r="AX1908" s="3" t="s">
        <v>18934</v>
      </c>
      <c r="AY1908" s="3" t="s">
        <v>18935</v>
      </c>
      <c r="AZ1908" s="3" t="s">
        <v>18936</v>
      </c>
      <c r="BA1908" s="3" t="s">
        <v>18936</v>
      </c>
      <c r="BB1908" s="3" t="s">
        <v>18937</v>
      </c>
      <c r="BC1908" s="3" t="s">
        <v>102</v>
      </c>
      <c r="BD1908" s="3" t="s">
        <v>68</v>
      </c>
      <c r="BE1908" s="3" t="s">
        <v>18938</v>
      </c>
      <c r="BF1908" s="3" t="s">
        <v>18937</v>
      </c>
      <c r="BG1908" s="3" t="s">
        <v>18939</v>
      </c>
    </row>
    <row r="1909" spans="1:59" ht="72.5" x14ac:dyDescent="0.35">
      <c r="A1909" s="2" t="s">
        <v>89</v>
      </c>
      <c r="B1909" s="2" t="s">
        <v>90</v>
      </c>
      <c r="C1909" s="2" t="s">
        <v>18928</v>
      </c>
      <c r="D1909" s="2" t="s">
        <v>18929</v>
      </c>
      <c r="E1909" s="2" t="s">
        <v>18930</v>
      </c>
      <c r="G1909" s="3" t="s">
        <v>62</v>
      </c>
      <c r="I1909" s="3" t="s">
        <v>61</v>
      </c>
      <c r="J1909" s="3" t="s">
        <v>62</v>
      </c>
      <c r="K1909" s="3" t="s">
        <v>63</v>
      </c>
      <c r="L1909" s="2" t="s">
        <v>18931</v>
      </c>
      <c r="M1909" s="2" t="s">
        <v>18932</v>
      </c>
      <c r="N1909" s="3" t="s">
        <v>524</v>
      </c>
      <c r="P1909" s="3" t="s">
        <v>64</v>
      </c>
      <c r="Q1909" s="2" t="s">
        <v>18933</v>
      </c>
      <c r="R1909" s="3" t="s">
        <v>13065</v>
      </c>
      <c r="S1909" s="4">
        <v>46</v>
      </c>
      <c r="T1909" s="4">
        <v>50</v>
      </c>
      <c r="U1909" s="5" t="s">
        <v>3413</v>
      </c>
      <c r="V1909" s="5" t="s">
        <v>10809</v>
      </c>
      <c r="W1909" s="5" t="s">
        <v>67</v>
      </c>
      <c r="X1909" s="5" t="s">
        <v>67</v>
      </c>
      <c r="Y1909" s="4">
        <v>569</v>
      </c>
      <c r="Z1909" s="4">
        <v>33</v>
      </c>
      <c r="AA1909" s="4">
        <v>42</v>
      </c>
      <c r="AB1909" s="4">
        <v>2</v>
      </c>
      <c r="AC1909" s="4">
        <v>6</v>
      </c>
      <c r="AD1909" s="4">
        <v>110</v>
      </c>
      <c r="AE1909" s="4">
        <v>124</v>
      </c>
      <c r="AF1909" s="4">
        <v>1</v>
      </c>
      <c r="AG1909" s="4">
        <v>4</v>
      </c>
      <c r="AH1909" s="4">
        <v>91</v>
      </c>
      <c r="AI1909" s="4">
        <v>99</v>
      </c>
      <c r="AJ1909" s="4">
        <v>20</v>
      </c>
      <c r="AK1909" s="4">
        <v>25</v>
      </c>
      <c r="AL1909" s="4">
        <v>50</v>
      </c>
      <c r="AM1909" s="4">
        <v>52</v>
      </c>
      <c r="AN1909" s="4">
        <v>0</v>
      </c>
      <c r="AO1909" s="4">
        <v>0</v>
      </c>
      <c r="AP1909" s="4">
        <v>24</v>
      </c>
      <c r="AQ1909" s="4">
        <v>31</v>
      </c>
      <c r="AR1909" s="3" t="s">
        <v>62</v>
      </c>
      <c r="AS1909" s="3" t="s">
        <v>62</v>
      </c>
      <c r="AT1909" s="3" t="s">
        <v>62</v>
      </c>
      <c r="AV1909" s="6" t="str">
        <f>HYPERLINK("http://mcgill.on.worldcat.org/oclc/31740382","Catalog Record")</f>
        <v>Catalog Record</v>
      </c>
      <c r="AW1909" s="6" t="str">
        <f>HYPERLINK("http://www.worldcat.org/oclc/31740382","WorldCat Record")</f>
        <v>WorldCat Record</v>
      </c>
      <c r="AX1909" s="3" t="s">
        <v>18934</v>
      </c>
      <c r="AY1909" s="3" t="s">
        <v>18935</v>
      </c>
      <c r="AZ1909" s="3" t="s">
        <v>18936</v>
      </c>
      <c r="BA1909" s="3" t="s">
        <v>18936</v>
      </c>
      <c r="BB1909" s="3" t="s">
        <v>18940</v>
      </c>
      <c r="BC1909" s="3" t="s">
        <v>102</v>
      </c>
      <c r="BD1909" s="3" t="s">
        <v>68</v>
      </c>
      <c r="BE1909" s="3" t="s">
        <v>18938</v>
      </c>
      <c r="BF1909" s="3" t="s">
        <v>18940</v>
      </c>
      <c r="BG1909" s="3" t="s">
        <v>18941</v>
      </c>
    </row>
    <row r="1910" spans="1:59" ht="58" x14ac:dyDescent="0.35">
      <c r="A1910" s="2" t="s">
        <v>89</v>
      </c>
      <c r="B1910" s="2" t="s">
        <v>90</v>
      </c>
      <c r="C1910" s="2" t="s">
        <v>18942</v>
      </c>
      <c r="D1910" s="2" t="s">
        <v>18943</v>
      </c>
      <c r="E1910" s="2" t="s">
        <v>18944</v>
      </c>
      <c r="G1910" s="3" t="s">
        <v>62</v>
      </c>
      <c r="I1910" s="3" t="s">
        <v>62</v>
      </c>
      <c r="J1910" s="3" t="s">
        <v>62</v>
      </c>
      <c r="K1910" s="3" t="s">
        <v>63</v>
      </c>
      <c r="L1910" s="2" t="s">
        <v>18945</v>
      </c>
      <c r="M1910" s="2" t="s">
        <v>18946</v>
      </c>
      <c r="N1910" s="3" t="s">
        <v>684</v>
      </c>
      <c r="P1910" s="3" t="s">
        <v>64</v>
      </c>
      <c r="Q1910" s="2" t="s">
        <v>18947</v>
      </c>
      <c r="R1910" s="3" t="s">
        <v>13065</v>
      </c>
      <c r="S1910" s="4">
        <v>0</v>
      </c>
      <c r="T1910" s="4">
        <v>0</v>
      </c>
      <c r="W1910" s="5" t="s">
        <v>67</v>
      </c>
      <c r="X1910" s="5" t="s">
        <v>67</v>
      </c>
      <c r="Y1910" s="4">
        <v>77</v>
      </c>
      <c r="Z1910" s="4">
        <v>8</v>
      </c>
      <c r="AA1910" s="4">
        <v>24</v>
      </c>
      <c r="AB1910" s="4">
        <v>1</v>
      </c>
      <c r="AC1910" s="4">
        <v>8</v>
      </c>
      <c r="AD1910" s="4">
        <v>18</v>
      </c>
      <c r="AE1910" s="4">
        <v>57</v>
      </c>
      <c r="AF1910" s="4">
        <v>0</v>
      </c>
      <c r="AG1910" s="4">
        <v>4</v>
      </c>
      <c r="AH1910" s="4">
        <v>13</v>
      </c>
      <c r="AI1910" s="4">
        <v>45</v>
      </c>
      <c r="AJ1910" s="4">
        <v>4</v>
      </c>
      <c r="AK1910" s="4">
        <v>15</v>
      </c>
      <c r="AL1910" s="4">
        <v>10</v>
      </c>
      <c r="AM1910" s="4">
        <v>26</v>
      </c>
      <c r="AN1910" s="4">
        <v>0</v>
      </c>
      <c r="AO1910" s="4">
        <v>0</v>
      </c>
      <c r="AP1910" s="4">
        <v>6</v>
      </c>
      <c r="AQ1910" s="4">
        <v>18</v>
      </c>
      <c r="AR1910" s="3" t="s">
        <v>62</v>
      </c>
      <c r="AS1910" s="3" t="s">
        <v>62</v>
      </c>
      <c r="AT1910" s="3" t="s">
        <v>62</v>
      </c>
      <c r="AV1910" s="6" t="str">
        <f>HYPERLINK("http://mcgill.on.worldcat.org/oclc/772397832","Catalog Record")</f>
        <v>Catalog Record</v>
      </c>
      <c r="AW1910" s="6" t="str">
        <f>HYPERLINK("http://www.worldcat.org/oclc/772397832","WorldCat Record")</f>
        <v>WorldCat Record</v>
      </c>
      <c r="AX1910" s="3" t="s">
        <v>18948</v>
      </c>
      <c r="AY1910" s="3" t="s">
        <v>18949</v>
      </c>
      <c r="AZ1910" s="3" t="s">
        <v>18950</v>
      </c>
      <c r="BA1910" s="3" t="s">
        <v>18950</v>
      </c>
      <c r="BB1910" s="3" t="s">
        <v>18951</v>
      </c>
      <c r="BC1910" s="3" t="s">
        <v>102</v>
      </c>
      <c r="BD1910" s="3" t="s">
        <v>68</v>
      </c>
      <c r="BE1910" s="3" t="s">
        <v>18951</v>
      </c>
      <c r="BF1910" s="3" t="s">
        <v>18951</v>
      </c>
      <c r="BG1910" s="3" t="s">
        <v>18952</v>
      </c>
    </row>
    <row r="1911" spans="1:59" ht="58" x14ac:dyDescent="0.35">
      <c r="A1911" s="2" t="s">
        <v>89</v>
      </c>
      <c r="B1911" s="2" t="s">
        <v>90</v>
      </c>
      <c r="C1911" s="2" t="s">
        <v>18953</v>
      </c>
      <c r="D1911" s="2" t="s">
        <v>18954</v>
      </c>
      <c r="E1911" s="2" t="s">
        <v>18955</v>
      </c>
      <c r="G1911" s="3" t="s">
        <v>62</v>
      </c>
      <c r="I1911" s="3" t="s">
        <v>61</v>
      </c>
      <c r="J1911" s="3" t="s">
        <v>61</v>
      </c>
      <c r="K1911" s="3" t="s">
        <v>63</v>
      </c>
      <c r="L1911" s="2" t="s">
        <v>18956</v>
      </c>
      <c r="M1911" s="2" t="s">
        <v>18957</v>
      </c>
      <c r="N1911" s="3" t="s">
        <v>596</v>
      </c>
      <c r="P1911" s="3" t="s">
        <v>64</v>
      </c>
      <c r="R1911" s="3" t="s">
        <v>13065</v>
      </c>
      <c r="S1911" s="4">
        <v>21</v>
      </c>
      <c r="T1911" s="4">
        <v>42</v>
      </c>
      <c r="U1911" s="5" t="s">
        <v>18958</v>
      </c>
      <c r="V1911" s="5" t="s">
        <v>4876</v>
      </c>
      <c r="W1911" s="5" t="s">
        <v>67</v>
      </c>
      <c r="X1911" s="5" t="s">
        <v>67</v>
      </c>
      <c r="Y1911" s="4">
        <v>419</v>
      </c>
      <c r="Z1911" s="4">
        <v>39</v>
      </c>
      <c r="AA1911" s="4">
        <v>79</v>
      </c>
      <c r="AB1911" s="4">
        <v>3</v>
      </c>
      <c r="AC1911" s="4">
        <v>15</v>
      </c>
      <c r="AD1911" s="4">
        <v>80</v>
      </c>
      <c r="AE1911" s="4">
        <v>139</v>
      </c>
      <c r="AF1911" s="4">
        <v>1</v>
      </c>
      <c r="AG1911" s="4">
        <v>8</v>
      </c>
      <c r="AH1911" s="4">
        <v>61</v>
      </c>
      <c r="AI1911" s="4">
        <v>102</v>
      </c>
      <c r="AJ1911" s="4">
        <v>17</v>
      </c>
      <c r="AK1911" s="4">
        <v>27</v>
      </c>
      <c r="AL1911" s="4">
        <v>33</v>
      </c>
      <c r="AM1911" s="4">
        <v>52</v>
      </c>
      <c r="AN1911" s="4">
        <v>0</v>
      </c>
      <c r="AO1911" s="4">
        <v>0</v>
      </c>
      <c r="AP1911" s="4">
        <v>25</v>
      </c>
      <c r="AQ1911" s="4">
        <v>47</v>
      </c>
      <c r="AR1911" s="3" t="s">
        <v>62</v>
      </c>
      <c r="AS1911" s="3" t="s">
        <v>62</v>
      </c>
      <c r="AT1911" s="3" t="s">
        <v>61</v>
      </c>
      <c r="AU1911" s="6" t="str">
        <f>HYPERLINK("http://catalog.hathitrust.org/Record/009672781","HathiTrust Record")</f>
        <v>HathiTrust Record</v>
      </c>
      <c r="AV1911" s="6" t="str">
        <f>HYPERLINK("http://mcgill.on.worldcat.org/oclc/48265540","Catalog Record")</f>
        <v>Catalog Record</v>
      </c>
      <c r="AW1911" s="6" t="str">
        <f>HYPERLINK("http://www.worldcat.org/oclc/48265540","WorldCat Record")</f>
        <v>WorldCat Record</v>
      </c>
      <c r="AX1911" s="3" t="s">
        <v>18959</v>
      </c>
      <c r="AY1911" s="3" t="s">
        <v>18960</v>
      </c>
      <c r="AZ1911" s="3" t="s">
        <v>18961</v>
      </c>
      <c r="BA1911" s="3" t="s">
        <v>18961</v>
      </c>
      <c r="BB1911" s="3" t="s">
        <v>18962</v>
      </c>
      <c r="BC1911" s="3" t="s">
        <v>102</v>
      </c>
      <c r="BD1911" s="3" t="s">
        <v>68</v>
      </c>
      <c r="BE1911" s="3" t="s">
        <v>18963</v>
      </c>
      <c r="BF1911" s="3" t="s">
        <v>18962</v>
      </c>
      <c r="BG1911" s="3" t="s">
        <v>18964</v>
      </c>
    </row>
    <row r="1912" spans="1:59" ht="58" x14ac:dyDescent="0.35">
      <c r="A1912" s="2" t="s">
        <v>89</v>
      </c>
      <c r="B1912" s="2" t="s">
        <v>90</v>
      </c>
      <c r="C1912" s="2" t="s">
        <v>18965</v>
      </c>
      <c r="D1912" s="2" t="s">
        <v>18966</v>
      </c>
      <c r="E1912" s="2" t="s">
        <v>18967</v>
      </c>
      <c r="G1912" s="3" t="s">
        <v>62</v>
      </c>
      <c r="I1912" s="3" t="s">
        <v>62</v>
      </c>
      <c r="J1912" s="3" t="s">
        <v>61</v>
      </c>
      <c r="K1912" s="3" t="s">
        <v>63</v>
      </c>
      <c r="L1912" s="2" t="s">
        <v>18956</v>
      </c>
      <c r="M1912" s="2" t="s">
        <v>18968</v>
      </c>
      <c r="N1912" s="3" t="s">
        <v>655</v>
      </c>
      <c r="O1912" s="2" t="s">
        <v>2986</v>
      </c>
      <c r="P1912" s="3" t="s">
        <v>64</v>
      </c>
      <c r="R1912" s="3" t="s">
        <v>13065</v>
      </c>
      <c r="S1912" s="4">
        <v>13</v>
      </c>
      <c r="T1912" s="4">
        <v>13</v>
      </c>
      <c r="U1912" s="5" t="s">
        <v>6129</v>
      </c>
      <c r="V1912" s="5" t="s">
        <v>6129</v>
      </c>
      <c r="W1912" s="5" t="s">
        <v>67</v>
      </c>
      <c r="X1912" s="5" t="s">
        <v>67</v>
      </c>
      <c r="Y1912" s="4">
        <v>367</v>
      </c>
      <c r="Z1912" s="4">
        <v>27</v>
      </c>
      <c r="AA1912" s="4">
        <v>79</v>
      </c>
      <c r="AB1912" s="4">
        <v>3</v>
      </c>
      <c r="AC1912" s="4">
        <v>15</v>
      </c>
      <c r="AD1912" s="4">
        <v>70</v>
      </c>
      <c r="AE1912" s="4">
        <v>139</v>
      </c>
      <c r="AF1912" s="4">
        <v>1</v>
      </c>
      <c r="AG1912" s="4">
        <v>8</v>
      </c>
      <c r="AH1912" s="4">
        <v>59</v>
      </c>
      <c r="AI1912" s="4">
        <v>102</v>
      </c>
      <c r="AJ1912" s="4">
        <v>15</v>
      </c>
      <c r="AK1912" s="4">
        <v>27</v>
      </c>
      <c r="AL1912" s="4">
        <v>34</v>
      </c>
      <c r="AM1912" s="4">
        <v>52</v>
      </c>
      <c r="AN1912" s="4">
        <v>0</v>
      </c>
      <c r="AO1912" s="4">
        <v>0</v>
      </c>
      <c r="AP1912" s="4">
        <v>19</v>
      </c>
      <c r="AQ1912" s="4">
        <v>47</v>
      </c>
      <c r="AR1912" s="3" t="s">
        <v>62</v>
      </c>
      <c r="AS1912" s="3" t="s">
        <v>62</v>
      </c>
      <c r="AT1912" s="3" t="s">
        <v>62</v>
      </c>
      <c r="AV1912" s="6" t="str">
        <f>HYPERLINK("http://mcgill.on.worldcat.org/oclc/71350546","Catalog Record")</f>
        <v>Catalog Record</v>
      </c>
      <c r="AW1912" s="6" t="str">
        <f>HYPERLINK("http://www.worldcat.org/oclc/71350546","WorldCat Record")</f>
        <v>WorldCat Record</v>
      </c>
      <c r="AX1912" s="3" t="s">
        <v>18959</v>
      </c>
      <c r="AY1912" s="3" t="s">
        <v>18969</v>
      </c>
      <c r="AZ1912" s="3" t="s">
        <v>18970</v>
      </c>
      <c r="BA1912" s="3" t="s">
        <v>18970</v>
      </c>
      <c r="BB1912" s="3" t="s">
        <v>18971</v>
      </c>
      <c r="BC1912" s="3" t="s">
        <v>102</v>
      </c>
      <c r="BD1912" s="3" t="s">
        <v>68</v>
      </c>
      <c r="BE1912" s="3" t="s">
        <v>18972</v>
      </c>
      <c r="BF1912" s="3" t="s">
        <v>18971</v>
      </c>
      <c r="BG1912" s="3" t="s">
        <v>18973</v>
      </c>
    </row>
    <row r="1913" spans="1:59" ht="58" x14ac:dyDescent="0.35">
      <c r="A1913" s="2" t="s">
        <v>89</v>
      </c>
      <c r="B1913" s="2" t="s">
        <v>90</v>
      </c>
      <c r="C1913" s="2" t="s">
        <v>18974</v>
      </c>
      <c r="D1913" s="2" t="s">
        <v>18975</v>
      </c>
      <c r="E1913" s="2" t="s">
        <v>18976</v>
      </c>
      <c r="G1913" s="3" t="s">
        <v>62</v>
      </c>
      <c r="I1913" s="3" t="s">
        <v>62</v>
      </c>
      <c r="J1913" s="3" t="s">
        <v>61</v>
      </c>
      <c r="K1913" s="3" t="s">
        <v>63</v>
      </c>
      <c r="L1913" s="2" t="s">
        <v>18977</v>
      </c>
      <c r="M1913" s="2" t="s">
        <v>18978</v>
      </c>
      <c r="N1913" s="3" t="s">
        <v>684</v>
      </c>
      <c r="O1913" s="2" t="s">
        <v>2458</v>
      </c>
      <c r="P1913" s="3" t="s">
        <v>64</v>
      </c>
      <c r="R1913" s="3" t="s">
        <v>13065</v>
      </c>
      <c r="S1913" s="4">
        <v>18</v>
      </c>
      <c r="T1913" s="4">
        <v>18</v>
      </c>
      <c r="U1913" s="5" t="s">
        <v>18979</v>
      </c>
      <c r="V1913" s="5" t="s">
        <v>18979</v>
      </c>
      <c r="W1913" s="5" t="s">
        <v>67</v>
      </c>
      <c r="X1913" s="5" t="s">
        <v>67</v>
      </c>
      <c r="Y1913" s="4">
        <v>261</v>
      </c>
      <c r="Z1913" s="4">
        <v>16</v>
      </c>
      <c r="AA1913" s="4">
        <v>79</v>
      </c>
      <c r="AB1913" s="4">
        <v>2</v>
      </c>
      <c r="AC1913" s="4">
        <v>15</v>
      </c>
      <c r="AD1913" s="4">
        <v>41</v>
      </c>
      <c r="AE1913" s="4">
        <v>139</v>
      </c>
      <c r="AF1913" s="4">
        <v>1</v>
      </c>
      <c r="AG1913" s="4">
        <v>8</v>
      </c>
      <c r="AH1913" s="4">
        <v>32</v>
      </c>
      <c r="AI1913" s="4">
        <v>102</v>
      </c>
      <c r="AJ1913" s="4">
        <v>11</v>
      </c>
      <c r="AK1913" s="4">
        <v>27</v>
      </c>
      <c r="AL1913" s="4">
        <v>22</v>
      </c>
      <c r="AM1913" s="4">
        <v>52</v>
      </c>
      <c r="AN1913" s="4">
        <v>0</v>
      </c>
      <c r="AO1913" s="4">
        <v>0</v>
      </c>
      <c r="AP1913" s="4">
        <v>14</v>
      </c>
      <c r="AQ1913" s="4">
        <v>47</v>
      </c>
      <c r="AR1913" s="3" t="s">
        <v>62</v>
      </c>
      <c r="AS1913" s="3" t="s">
        <v>62</v>
      </c>
      <c r="AT1913" s="3" t="s">
        <v>62</v>
      </c>
      <c r="AV1913" s="6" t="str">
        <f>HYPERLINK("http://mcgill.on.worldcat.org/oclc/707725930","Catalog Record")</f>
        <v>Catalog Record</v>
      </c>
      <c r="AW1913" s="6" t="str">
        <f>HYPERLINK("http://www.worldcat.org/oclc/707725930","WorldCat Record")</f>
        <v>WorldCat Record</v>
      </c>
      <c r="AX1913" s="3" t="s">
        <v>18959</v>
      </c>
      <c r="AY1913" s="3" t="s">
        <v>18980</v>
      </c>
      <c r="AZ1913" s="3" t="s">
        <v>18981</v>
      </c>
      <c r="BA1913" s="3" t="s">
        <v>18981</v>
      </c>
      <c r="BB1913" s="3" t="s">
        <v>18982</v>
      </c>
      <c r="BC1913" s="3" t="s">
        <v>102</v>
      </c>
      <c r="BD1913" s="3" t="s">
        <v>68</v>
      </c>
      <c r="BE1913" s="3" t="s">
        <v>18983</v>
      </c>
      <c r="BF1913" s="3" t="s">
        <v>18982</v>
      </c>
      <c r="BG1913" s="3" t="s">
        <v>18984</v>
      </c>
    </row>
    <row r="1914" spans="1:59" ht="58" x14ac:dyDescent="0.35">
      <c r="A1914" s="2" t="s">
        <v>89</v>
      </c>
      <c r="B1914" s="2" t="s">
        <v>90</v>
      </c>
      <c r="C1914" s="2" t="s">
        <v>18985</v>
      </c>
      <c r="D1914" s="2" t="s">
        <v>18986</v>
      </c>
      <c r="E1914" s="2" t="s">
        <v>18987</v>
      </c>
      <c r="G1914" s="3" t="s">
        <v>62</v>
      </c>
      <c r="I1914" s="3" t="s">
        <v>62</v>
      </c>
      <c r="J1914" s="3" t="s">
        <v>62</v>
      </c>
      <c r="K1914" s="3" t="s">
        <v>63</v>
      </c>
      <c r="L1914" s="2" t="s">
        <v>18977</v>
      </c>
      <c r="M1914" s="2" t="s">
        <v>18988</v>
      </c>
      <c r="N1914" s="3" t="s">
        <v>698</v>
      </c>
      <c r="P1914" s="3" t="s">
        <v>64</v>
      </c>
      <c r="Q1914" s="2" t="s">
        <v>18989</v>
      </c>
      <c r="R1914" s="3" t="s">
        <v>13065</v>
      </c>
      <c r="S1914" s="4">
        <v>2</v>
      </c>
      <c r="T1914" s="4">
        <v>2</v>
      </c>
      <c r="U1914" s="5" t="s">
        <v>8674</v>
      </c>
      <c r="V1914" s="5" t="s">
        <v>8674</v>
      </c>
      <c r="W1914" s="5" t="s">
        <v>67</v>
      </c>
      <c r="X1914" s="5" t="s">
        <v>67</v>
      </c>
      <c r="Y1914" s="4">
        <v>36</v>
      </c>
      <c r="Z1914" s="4">
        <v>2</v>
      </c>
      <c r="AA1914" s="4">
        <v>18</v>
      </c>
      <c r="AB1914" s="4">
        <v>1</v>
      </c>
      <c r="AC1914" s="4">
        <v>6</v>
      </c>
      <c r="AD1914" s="4">
        <v>6</v>
      </c>
      <c r="AE1914" s="4">
        <v>45</v>
      </c>
      <c r="AF1914" s="4">
        <v>0</v>
      </c>
      <c r="AG1914" s="4">
        <v>2</v>
      </c>
      <c r="AH1914" s="4">
        <v>5</v>
      </c>
      <c r="AI1914" s="4">
        <v>38</v>
      </c>
      <c r="AJ1914" s="4">
        <v>1</v>
      </c>
      <c r="AK1914" s="4">
        <v>10</v>
      </c>
      <c r="AL1914" s="4">
        <v>2</v>
      </c>
      <c r="AM1914" s="4">
        <v>20</v>
      </c>
      <c r="AN1914" s="4">
        <v>0</v>
      </c>
      <c r="AO1914" s="4">
        <v>0</v>
      </c>
      <c r="AP1914" s="4">
        <v>1</v>
      </c>
      <c r="AQ1914" s="4">
        <v>14</v>
      </c>
      <c r="AR1914" s="3" t="s">
        <v>62</v>
      </c>
      <c r="AS1914" s="3" t="s">
        <v>62</v>
      </c>
      <c r="AT1914" s="3" t="s">
        <v>62</v>
      </c>
      <c r="AV1914" s="6" t="str">
        <f>HYPERLINK("http://mcgill.on.worldcat.org/oclc/798611504","Catalog Record")</f>
        <v>Catalog Record</v>
      </c>
      <c r="AW1914" s="6" t="str">
        <f>HYPERLINK("http://www.worldcat.org/oclc/798611504","WorldCat Record")</f>
        <v>WorldCat Record</v>
      </c>
      <c r="AX1914" s="3" t="s">
        <v>18990</v>
      </c>
      <c r="AY1914" s="3" t="s">
        <v>18991</v>
      </c>
      <c r="AZ1914" s="3" t="s">
        <v>18992</v>
      </c>
      <c r="BA1914" s="3" t="s">
        <v>18992</v>
      </c>
      <c r="BB1914" s="3" t="s">
        <v>18993</v>
      </c>
      <c r="BC1914" s="3" t="s">
        <v>102</v>
      </c>
      <c r="BD1914" s="3" t="s">
        <v>68</v>
      </c>
      <c r="BE1914" s="3" t="s">
        <v>18994</v>
      </c>
      <c r="BF1914" s="3" t="s">
        <v>18993</v>
      </c>
      <c r="BG1914" s="3" t="s">
        <v>18995</v>
      </c>
    </row>
    <row r="1915" spans="1:59" ht="58" x14ac:dyDescent="0.35">
      <c r="A1915" s="2" t="s">
        <v>89</v>
      </c>
      <c r="B1915" s="2" t="s">
        <v>90</v>
      </c>
      <c r="C1915" s="2" t="s">
        <v>18996</v>
      </c>
      <c r="D1915" s="2" t="s">
        <v>18997</v>
      </c>
      <c r="E1915" s="2" t="s">
        <v>18998</v>
      </c>
      <c r="G1915" s="3" t="s">
        <v>62</v>
      </c>
      <c r="I1915" s="3" t="s">
        <v>62</v>
      </c>
      <c r="J1915" s="3" t="s">
        <v>61</v>
      </c>
      <c r="K1915" s="3" t="s">
        <v>63</v>
      </c>
      <c r="L1915" s="2" t="s">
        <v>18999</v>
      </c>
      <c r="M1915" s="2" t="s">
        <v>17315</v>
      </c>
      <c r="N1915" s="3" t="s">
        <v>880</v>
      </c>
      <c r="O1915" s="2" t="s">
        <v>17648</v>
      </c>
      <c r="P1915" s="3" t="s">
        <v>64</v>
      </c>
      <c r="R1915" s="3" t="s">
        <v>13065</v>
      </c>
      <c r="S1915" s="4">
        <v>20</v>
      </c>
      <c r="T1915" s="4">
        <v>20</v>
      </c>
      <c r="U1915" s="5" t="s">
        <v>19000</v>
      </c>
      <c r="V1915" s="5" t="s">
        <v>19000</v>
      </c>
      <c r="W1915" s="5" t="s">
        <v>67</v>
      </c>
      <c r="X1915" s="5" t="s">
        <v>67</v>
      </c>
      <c r="Y1915" s="4">
        <v>252</v>
      </c>
      <c r="Z1915" s="4">
        <v>21</v>
      </c>
      <c r="AA1915" s="4">
        <v>77</v>
      </c>
      <c r="AB1915" s="4">
        <v>3</v>
      </c>
      <c r="AC1915" s="4">
        <v>17</v>
      </c>
      <c r="AD1915" s="4">
        <v>53</v>
      </c>
      <c r="AE1915" s="4">
        <v>153</v>
      </c>
      <c r="AF1915" s="4">
        <v>1</v>
      </c>
      <c r="AG1915" s="4">
        <v>8</v>
      </c>
      <c r="AH1915" s="4">
        <v>45</v>
      </c>
      <c r="AI1915" s="4">
        <v>115</v>
      </c>
      <c r="AJ1915" s="4">
        <v>10</v>
      </c>
      <c r="AK1915" s="4">
        <v>28</v>
      </c>
      <c r="AL1915" s="4">
        <v>30</v>
      </c>
      <c r="AM1915" s="4">
        <v>59</v>
      </c>
      <c r="AN1915" s="4">
        <v>0</v>
      </c>
      <c r="AO1915" s="4">
        <v>0</v>
      </c>
      <c r="AP1915" s="4">
        <v>13</v>
      </c>
      <c r="AQ1915" s="4">
        <v>45</v>
      </c>
      <c r="AR1915" s="3" t="s">
        <v>62</v>
      </c>
      <c r="AS1915" s="3" t="s">
        <v>62</v>
      </c>
      <c r="AT1915" s="3" t="s">
        <v>62</v>
      </c>
      <c r="AV1915" s="6" t="str">
        <f>HYPERLINK("http://mcgill.on.worldcat.org/oclc/244066651","Catalog Record")</f>
        <v>Catalog Record</v>
      </c>
      <c r="AW1915" s="6" t="str">
        <f>HYPERLINK("http://www.worldcat.org/oclc/244066651","WorldCat Record")</f>
        <v>WorldCat Record</v>
      </c>
      <c r="AX1915" s="3" t="s">
        <v>19001</v>
      </c>
      <c r="AY1915" s="3" t="s">
        <v>19002</v>
      </c>
      <c r="AZ1915" s="3" t="s">
        <v>19003</v>
      </c>
      <c r="BA1915" s="3" t="s">
        <v>19003</v>
      </c>
      <c r="BB1915" s="3" t="s">
        <v>19004</v>
      </c>
      <c r="BC1915" s="3" t="s">
        <v>102</v>
      </c>
      <c r="BD1915" s="3" t="s">
        <v>68</v>
      </c>
      <c r="BE1915" s="3" t="s">
        <v>19005</v>
      </c>
      <c r="BF1915" s="3" t="s">
        <v>19004</v>
      </c>
      <c r="BG1915" s="3" t="s">
        <v>19006</v>
      </c>
    </row>
    <row r="1916" spans="1:59" ht="58" x14ac:dyDescent="0.35">
      <c r="A1916" s="2" t="s">
        <v>89</v>
      </c>
      <c r="B1916" s="2" t="s">
        <v>90</v>
      </c>
      <c r="C1916" s="2" t="s">
        <v>19007</v>
      </c>
      <c r="D1916" s="2" t="s">
        <v>19008</v>
      </c>
      <c r="E1916" s="2" t="s">
        <v>19009</v>
      </c>
      <c r="G1916" s="3" t="s">
        <v>62</v>
      </c>
      <c r="I1916" s="3" t="s">
        <v>62</v>
      </c>
      <c r="J1916" s="3" t="s">
        <v>62</v>
      </c>
      <c r="K1916" s="3" t="s">
        <v>63</v>
      </c>
      <c r="M1916" s="2" t="s">
        <v>12282</v>
      </c>
      <c r="N1916" s="3" t="s">
        <v>698</v>
      </c>
      <c r="P1916" s="3" t="s">
        <v>64</v>
      </c>
      <c r="R1916" s="3" t="s">
        <v>13065</v>
      </c>
      <c r="S1916" s="4">
        <v>0</v>
      </c>
      <c r="T1916" s="4">
        <v>0</v>
      </c>
      <c r="W1916" s="5" t="s">
        <v>67</v>
      </c>
      <c r="X1916" s="5" t="s">
        <v>67</v>
      </c>
      <c r="Y1916" s="4">
        <v>54</v>
      </c>
      <c r="Z1916" s="4">
        <v>6</v>
      </c>
      <c r="AA1916" s="4">
        <v>11</v>
      </c>
      <c r="AB1916" s="4">
        <v>1</v>
      </c>
      <c r="AC1916" s="4">
        <v>3</v>
      </c>
      <c r="AD1916" s="4">
        <v>18</v>
      </c>
      <c r="AE1916" s="4">
        <v>26</v>
      </c>
      <c r="AF1916" s="4">
        <v>0</v>
      </c>
      <c r="AG1916" s="4">
        <v>0</v>
      </c>
      <c r="AH1916" s="4">
        <v>16</v>
      </c>
      <c r="AI1916" s="4">
        <v>20</v>
      </c>
      <c r="AJ1916" s="4">
        <v>4</v>
      </c>
      <c r="AK1916" s="4">
        <v>6</v>
      </c>
      <c r="AL1916" s="4">
        <v>9</v>
      </c>
      <c r="AM1916" s="4">
        <v>14</v>
      </c>
      <c r="AN1916" s="4">
        <v>0</v>
      </c>
      <c r="AO1916" s="4">
        <v>0</v>
      </c>
      <c r="AP1916" s="4">
        <v>4</v>
      </c>
      <c r="AQ1916" s="4">
        <v>7</v>
      </c>
      <c r="AR1916" s="3" t="s">
        <v>62</v>
      </c>
      <c r="AS1916" s="3" t="s">
        <v>62</v>
      </c>
      <c r="AT1916" s="3" t="s">
        <v>62</v>
      </c>
      <c r="AV1916" s="6" t="str">
        <f>HYPERLINK("http://mcgill.on.worldcat.org/oclc/769141358","Catalog Record")</f>
        <v>Catalog Record</v>
      </c>
      <c r="AW1916" s="6" t="str">
        <f>HYPERLINK("http://www.worldcat.org/oclc/769141358","WorldCat Record")</f>
        <v>WorldCat Record</v>
      </c>
      <c r="AX1916" s="3" t="s">
        <v>19010</v>
      </c>
      <c r="AY1916" s="3" t="s">
        <v>19011</v>
      </c>
      <c r="AZ1916" s="3" t="s">
        <v>19012</v>
      </c>
      <c r="BA1916" s="3" t="s">
        <v>19012</v>
      </c>
      <c r="BB1916" s="3" t="s">
        <v>19013</v>
      </c>
      <c r="BC1916" s="3" t="s">
        <v>102</v>
      </c>
      <c r="BD1916" s="3" t="s">
        <v>68</v>
      </c>
      <c r="BE1916" s="3" t="s">
        <v>19014</v>
      </c>
      <c r="BF1916" s="3" t="s">
        <v>19013</v>
      </c>
      <c r="BG1916" s="3" t="s">
        <v>19015</v>
      </c>
    </row>
    <row r="1917" spans="1:59" ht="58" x14ac:dyDescent="0.35">
      <c r="A1917" s="2" t="s">
        <v>89</v>
      </c>
      <c r="B1917" s="2" t="s">
        <v>90</v>
      </c>
      <c r="C1917" s="2" t="s">
        <v>19016</v>
      </c>
      <c r="D1917" s="2" t="s">
        <v>19017</v>
      </c>
      <c r="E1917" s="2" t="s">
        <v>19018</v>
      </c>
      <c r="G1917" s="3" t="s">
        <v>62</v>
      </c>
      <c r="I1917" s="3" t="s">
        <v>62</v>
      </c>
      <c r="J1917" s="3" t="s">
        <v>62</v>
      </c>
      <c r="K1917" s="3" t="s">
        <v>63</v>
      </c>
      <c r="M1917" s="2" t="s">
        <v>18224</v>
      </c>
      <c r="N1917" s="3" t="s">
        <v>684</v>
      </c>
      <c r="P1917" s="3" t="s">
        <v>64</v>
      </c>
      <c r="R1917" s="3" t="s">
        <v>13065</v>
      </c>
      <c r="S1917" s="4">
        <v>3</v>
      </c>
      <c r="T1917" s="4">
        <v>3</v>
      </c>
      <c r="U1917" s="5" t="s">
        <v>18518</v>
      </c>
      <c r="V1917" s="5" t="s">
        <v>18518</v>
      </c>
      <c r="W1917" s="5" t="s">
        <v>67</v>
      </c>
      <c r="X1917" s="5" t="s">
        <v>67</v>
      </c>
      <c r="Y1917" s="4">
        <v>128</v>
      </c>
      <c r="Z1917" s="4">
        <v>18</v>
      </c>
      <c r="AA1917" s="4">
        <v>31</v>
      </c>
      <c r="AB1917" s="4">
        <v>1</v>
      </c>
      <c r="AC1917" s="4">
        <v>7</v>
      </c>
      <c r="AD1917" s="4">
        <v>41</v>
      </c>
      <c r="AE1917" s="4">
        <v>58</v>
      </c>
      <c r="AF1917" s="4">
        <v>0</v>
      </c>
      <c r="AG1917" s="4">
        <v>3</v>
      </c>
      <c r="AH1917" s="4">
        <v>32</v>
      </c>
      <c r="AI1917" s="4">
        <v>46</v>
      </c>
      <c r="AJ1917" s="4">
        <v>7</v>
      </c>
      <c r="AK1917" s="4">
        <v>14</v>
      </c>
      <c r="AL1917" s="4">
        <v>23</v>
      </c>
      <c r="AM1917" s="4">
        <v>28</v>
      </c>
      <c r="AN1917" s="4">
        <v>0</v>
      </c>
      <c r="AO1917" s="4">
        <v>0</v>
      </c>
      <c r="AP1917" s="4">
        <v>10</v>
      </c>
      <c r="AQ1917" s="4">
        <v>18</v>
      </c>
      <c r="AR1917" s="3" t="s">
        <v>62</v>
      </c>
      <c r="AS1917" s="3" t="s">
        <v>62</v>
      </c>
      <c r="AT1917" s="3" t="s">
        <v>62</v>
      </c>
      <c r="AV1917" s="6" t="str">
        <f>HYPERLINK("http://mcgill.on.worldcat.org/oclc/649417497","Catalog Record")</f>
        <v>Catalog Record</v>
      </c>
      <c r="AW1917" s="6" t="str">
        <f>HYPERLINK("http://www.worldcat.org/oclc/649417497","WorldCat Record")</f>
        <v>WorldCat Record</v>
      </c>
      <c r="AX1917" s="3" t="s">
        <v>19019</v>
      </c>
      <c r="AY1917" s="3" t="s">
        <v>19020</v>
      </c>
      <c r="AZ1917" s="3" t="s">
        <v>19021</v>
      </c>
      <c r="BA1917" s="3" t="s">
        <v>19021</v>
      </c>
      <c r="BB1917" s="3" t="s">
        <v>19022</v>
      </c>
      <c r="BC1917" s="3" t="s">
        <v>102</v>
      </c>
      <c r="BD1917" s="3" t="s">
        <v>231</v>
      </c>
      <c r="BE1917" s="3" t="s">
        <v>19023</v>
      </c>
      <c r="BF1917" s="3" t="s">
        <v>19022</v>
      </c>
      <c r="BG1917" s="3" t="s">
        <v>19024</v>
      </c>
    </row>
    <row r="1918" spans="1:59" ht="58" x14ac:dyDescent="0.35">
      <c r="A1918" s="2" t="s">
        <v>89</v>
      </c>
      <c r="B1918" s="2" t="s">
        <v>90</v>
      </c>
      <c r="C1918" s="2" t="s">
        <v>19025</v>
      </c>
      <c r="D1918" s="2" t="s">
        <v>19026</v>
      </c>
      <c r="E1918" s="2" t="s">
        <v>19027</v>
      </c>
      <c r="G1918" s="3" t="s">
        <v>62</v>
      </c>
      <c r="I1918" s="3" t="s">
        <v>62</v>
      </c>
      <c r="J1918" s="3" t="s">
        <v>62</v>
      </c>
      <c r="K1918" s="3" t="s">
        <v>63</v>
      </c>
      <c r="L1918" s="2" t="s">
        <v>19028</v>
      </c>
      <c r="M1918" s="2" t="s">
        <v>19029</v>
      </c>
      <c r="N1918" s="3" t="s">
        <v>553</v>
      </c>
      <c r="P1918" s="3" t="s">
        <v>64</v>
      </c>
      <c r="R1918" s="3" t="s">
        <v>13065</v>
      </c>
      <c r="S1918" s="4">
        <v>9</v>
      </c>
      <c r="T1918" s="4">
        <v>9</v>
      </c>
      <c r="U1918" s="5" t="s">
        <v>18518</v>
      </c>
      <c r="V1918" s="5" t="s">
        <v>18518</v>
      </c>
      <c r="W1918" s="5" t="s">
        <v>67</v>
      </c>
      <c r="X1918" s="5" t="s">
        <v>67</v>
      </c>
      <c r="Y1918" s="4">
        <v>218</v>
      </c>
      <c r="Z1918" s="4">
        <v>13</v>
      </c>
      <c r="AA1918" s="4">
        <v>22</v>
      </c>
      <c r="AB1918" s="4">
        <v>1</v>
      </c>
      <c r="AC1918" s="4">
        <v>7</v>
      </c>
      <c r="AD1918" s="4">
        <v>68</v>
      </c>
      <c r="AE1918" s="4">
        <v>93</v>
      </c>
      <c r="AF1918" s="4">
        <v>0</v>
      </c>
      <c r="AG1918" s="4">
        <v>3</v>
      </c>
      <c r="AH1918" s="4">
        <v>60</v>
      </c>
      <c r="AI1918" s="4">
        <v>83</v>
      </c>
      <c r="AJ1918" s="4">
        <v>9</v>
      </c>
      <c r="AK1918" s="4">
        <v>14</v>
      </c>
      <c r="AL1918" s="4">
        <v>33</v>
      </c>
      <c r="AM1918" s="4">
        <v>43</v>
      </c>
      <c r="AN1918" s="4">
        <v>0</v>
      </c>
      <c r="AO1918" s="4">
        <v>0</v>
      </c>
      <c r="AP1918" s="4">
        <v>9</v>
      </c>
      <c r="AQ1918" s="4">
        <v>13</v>
      </c>
      <c r="AR1918" s="3" t="s">
        <v>62</v>
      </c>
      <c r="AS1918" s="3" t="s">
        <v>62</v>
      </c>
      <c r="AT1918" s="3" t="s">
        <v>62</v>
      </c>
      <c r="AV1918" s="6" t="str">
        <f>HYPERLINK("http://mcgill.on.worldcat.org/oclc/39985534","Catalog Record")</f>
        <v>Catalog Record</v>
      </c>
      <c r="AW1918" s="6" t="str">
        <f>HYPERLINK("http://www.worldcat.org/oclc/39985534","WorldCat Record")</f>
        <v>WorldCat Record</v>
      </c>
      <c r="AX1918" s="3" t="s">
        <v>19030</v>
      </c>
      <c r="AY1918" s="3" t="s">
        <v>19031</v>
      </c>
      <c r="AZ1918" s="3" t="s">
        <v>19032</v>
      </c>
      <c r="BA1918" s="3" t="s">
        <v>19032</v>
      </c>
      <c r="BB1918" s="3" t="s">
        <v>19033</v>
      </c>
      <c r="BC1918" s="3" t="s">
        <v>102</v>
      </c>
      <c r="BD1918" s="3" t="s">
        <v>231</v>
      </c>
      <c r="BE1918" s="3" t="s">
        <v>19034</v>
      </c>
      <c r="BF1918" s="3" t="s">
        <v>19033</v>
      </c>
      <c r="BG1918" s="3" t="s">
        <v>19035</v>
      </c>
    </row>
    <row r="1919" spans="1:59" ht="58" x14ac:dyDescent="0.35">
      <c r="A1919" s="2" t="s">
        <v>89</v>
      </c>
      <c r="B1919" s="2" t="s">
        <v>90</v>
      </c>
      <c r="C1919" s="2" t="s">
        <v>19036</v>
      </c>
      <c r="D1919" s="2" t="s">
        <v>19037</v>
      </c>
      <c r="E1919" s="2" t="s">
        <v>19038</v>
      </c>
      <c r="G1919" s="3" t="s">
        <v>62</v>
      </c>
      <c r="I1919" s="3" t="s">
        <v>62</v>
      </c>
      <c r="J1919" s="3" t="s">
        <v>62</v>
      </c>
      <c r="K1919" s="3" t="s">
        <v>63</v>
      </c>
      <c r="M1919" s="2" t="s">
        <v>19039</v>
      </c>
      <c r="N1919" s="3" t="s">
        <v>1077</v>
      </c>
      <c r="P1919" s="3" t="s">
        <v>64</v>
      </c>
      <c r="R1919" s="3" t="s">
        <v>13065</v>
      </c>
      <c r="S1919" s="4">
        <v>29</v>
      </c>
      <c r="T1919" s="4">
        <v>29</v>
      </c>
      <c r="U1919" s="5" t="s">
        <v>19040</v>
      </c>
      <c r="V1919" s="5" t="s">
        <v>19040</v>
      </c>
      <c r="W1919" s="5" t="s">
        <v>67</v>
      </c>
      <c r="X1919" s="5" t="s">
        <v>67</v>
      </c>
      <c r="Y1919" s="4">
        <v>274</v>
      </c>
      <c r="Z1919" s="4">
        <v>14</v>
      </c>
      <c r="AA1919" s="4">
        <v>20</v>
      </c>
      <c r="AB1919" s="4">
        <v>2</v>
      </c>
      <c r="AC1919" s="4">
        <v>8</v>
      </c>
      <c r="AD1919" s="4">
        <v>68</v>
      </c>
      <c r="AE1919" s="4">
        <v>73</v>
      </c>
      <c r="AF1919" s="4">
        <v>1</v>
      </c>
      <c r="AG1919" s="4">
        <v>3</v>
      </c>
      <c r="AH1919" s="4">
        <v>60</v>
      </c>
      <c r="AI1919" s="4">
        <v>63</v>
      </c>
      <c r="AJ1919" s="4">
        <v>10</v>
      </c>
      <c r="AK1919" s="4">
        <v>11</v>
      </c>
      <c r="AL1919" s="4">
        <v>32</v>
      </c>
      <c r="AM1919" s="4">
        <v>34</v>
      </c>
      <c r="AN1919" s="4">
        <v>0</v>
      </c>
      <c r="AO1919" s="4">
        <v>0</v>
      </c>
      <c r="AP1919" s="4">
        <v>10</v>
      </c>
      <c r="AQ1919" s="4">
        <v>12</v>
      </c>
      <c r="AR1919" s="3" t="s">
        <v>62</v>
      </c>
      <c r="AS1919" s="3" t="s">
        <v>62</v>
      </c>
      <c r="AT1919" s="3" t="s">
        <v>61</v>
      </c>
      <c r="AU1919" s="6" t="str">
        <f>HYPERLINK("http://catalog.hathitrust.org/Record/002714754","HathiTrust Record")</f>
        <v>HathiTrust Record</v>
      </c>
      <c r="AV1919" s="6" t="str">
        <f>HYPERLINK("http://mcgill.on.worldcat.org/oclc/28462671","Catalog Record")</f>
        <v>Catalog Record</v>
      </c>
      <c r="AW1919" s="6" t="str">
        <f>HYPERLINK("http://www.worldcat.org/oclc/28462671","WorldCat Record")</f>
        <v>WorldCat Record</v>
      </c>
      <c r="AX1919" s="3" t="s">
        <v>19041</v>
      </c>
      <c r="AY1919" s="3" t="s">
        <v>19042</v>
      </c>
      <c r="AZ1919" s="3" t="s">
        <v>19043</v>
      </c>
      <c r="BA1919" s="3" t="s">
        <v>19043</v>
      </c>
      <c r="BB1919" s="3" t="s">
        <v>19044</v>
      </c>
      <c r="BC1919" s="3" t="s">
        <v>102</v>
      </c>
      <c r="BD1919" s="3" t="s">
        <v>68</v>
      </c>
      <c r="BE1919" s="3" t="s">
        <v>19045</v>
      </c>
      <c r="BF1919" s="3" t="s">
        <v>19044</v>
      </c>
      <c r="BG1919" s="3" t="s">
        <v>19046</v>
      </c>
    </row>
    <row r="1920" spans="1:59" ht="58" x14ac:dyDescent="0.35">
      <c r="A1920" s="2" t="s">
        <v>89</v>
      </c>
      <c r="B1920" s="2" t="s">
        <v>90</v>
      </c>
      <c r="C1920" s="2" t="s">
        <v>19047</v>
      </c>
      <c r="D1920" s="2" t="s">
        <v>19048</v>
      </c>
      <c r="E1920" s="2" t="s">
        <v>19049</v>
      </c>
      <c r="G1920" s="3" t="s">
        <v>62</v>
      </c>
      <c r="I1920" s="3" t="s">
        <v>62</v>
      </c>
      <c r="J1920" s="3" t="s">
        <v>62</v>
      </c>
      <c r="K1920" s="3" t="s">
        <v>63</v>
      </c>
      <c r="L1920" s="2" t="s">
        <v>19050</v>
      </c>
      <c r="M1920" s="2" t="s">
        <v>19051</v>
      </c>
      <c r="N1920" s="3" t="s">
        <v>726</v>
      </c>
      <c r="P1920" s="3" t="s">
        <v>64</v>
      </c>
      <c r="R1920" s="3" t="s">
        <v>13065</v>
      </c>
      <c r="S1920" s="4">
        <v>0</v>
      </c>
      <c r="T1920" s="4">
        <v>0</v>
      </c>
      <c r="W1920" s="5" t="s">
        <v>67</v>
      </c>
      <c r="X1920" s="5" t="s">
        <v>67</v>
      </c>
      <c r="Y1920" s="4">
        <v>69</v>
      </c>
      <c r="Z1920" s="4">
        <v>3</v>
      </c>
      <c r="AA1920" s="4">
        <v>3</v>
      </c>
      <c r="AB1920" s="4">
        <v>2</v>
      </c>
      <c r="AC1920" s="4">
        <v>2</v>
      </c>
      <c r="AD1920" s="4">
        <v>13</v>
      </c>
      <c r="AE1920" s="4">
        <v>13</v>
      </c>
      <c r="AF1920" s="4">
        <v>1</v>
      </c>
      <c r="AG1920" s="4">
        <v>1</v>
      </c>
      <c r="AH1920" s="4">
        <v>11</v>
      </c>
      <c r="AI1920" s="4">
        <v>11</v>
      </c>
      <c r="AJ1920" s="4">
        <v>2</v>
      </c>
      <c r="AK1920" s="4">
        <v>2</v>
      </c>
      <c r="AL1920" s="4">
        <v>8</v>
      </c>
      <c r="AM1920" s="4">
        <v>8</v>
      </c>
      <c r="AN1920" s="4">
        <v>0</v>
      </c>
      <c r="AO1920" s="4">
        <v>0</v>
      </c>
      <c r="AP1920" s="4">
        <v>2</v>
      </c>
      <c r="AQ1920" s="4">
        <v>2</v>
      </c>
      <c r="AR1920" s="3" t="s">
        <v>62</v>
      </c>
      <c r="AS1920" s="3" t="s">
        <v>62</v>
      </c>
      <c r="AT1920" s="3" t="s">
        <v>62</v>
      </c>
      <c r="AV1920" s="6" t="str">
        <f>HYPERLINK("http://mcgill.on.worldcat.org/oclc/972091942","Catalog Record")</f>
        <v>Catalog Record</v>
      </c>
      <c r="AW1920" s="6" t="str">
        <f>HYPERLINK("http://www.worldcat.org/oclc/972091942","WorldCat Record")</f>
        <v>WorldCat Record</v>
      </c>
      <c r="AX1920" s="3" t="s">
        <v>19052</v>
      </c>
      <c r="AY1920" s="3" t="s">
        <v>19053</v>
      </c>
      <c r="AZ1920" s="3" t="s">
        <v>19054</v>
      </c>
      <c r="BA1920" s="3" t="s">
        <v>19054</v>
      </c>
      <c r="BB1920" s="3" t="s">
        <v>19055</v>
      </c>
      <c r="BC1920" s="3" t="s">
        <v>102</v>
      </c>
      <c r="BD1920" s="3" t="s">
        <v>68</v>
      </c>
      <c r="BE1920" s="3" t="s">
        <v>19056</v>
      </c>
      <c r="BF1920" s="3" t="s">
        <v>19055</v>
      </c>
      <c r="BG1920" s="3" t="s">
        <v>19057</v>
      </c>
    </row>
    <row r="1921" spans="1:59" ht="72.5" x14ac:dyDescent="0.35">
      <c r="A1921" s="2" t="s">
        <v>89</v>
      </c>
      <c r="B1921" s="2" t="s">
        <v>90</v>
      </c>
      <c r="C1921" s="2" t="s">
        <v>19058</v>
      </c>
      <c r="D1921" s="2" t="s">
        <v>19059</v>
      </c>
      <c r="E1921" s="2" t="s">
        <v>19060</v>
      </c>
      <c r="F1921" s="3" t="s">
        <v>13127</v>
      </c>
      <c r="G1921" s="3" t="s">
        <v>62</v>
      </c>
      <c r="I1921" s="3" t="s">
        <v>62</v>
      </c>
      <c r="J1921" s="3" t="s">
        <v>62</v>
      </c>
      <c r="K1921" s="3" t="s">
        <v>63</v>
      </c>
      <c r="L1921" s="2" t="s">
        <v>19061</v>
      </c>
      <c r="M1921" s="2" t="s">
        <v>19062</v>
      </c>
      <c r="N1921" s="3" t="s">
        <v>553</v>
      </c>
      <c r="P1921" s="3" t="s">
        <v>64</v>
      </c>
      <c r="R1921" s="3" t="s">
        <v>13065</v>
      </c>
      <c r="S1921" s="4">
        <v>42</v>
      </c>
      <c r="T1921" s="4">
        <v>42</v>
      </c>
      <c r="U1921" s="5" t="s">
        <v>6462</v>
      </c>
      <c r="V1921" s="5" t="s">
        <v>6462</v>
      </c>
      <c r="W1921" s="5" t="s">
        <v>67</v>
      </c>
      <c r="X1921" s="5" t="s">
        <v>67</v>
      </c>
      <c r="Y1921" s="4">
        <v>151</v>
      </c>
      <c r="Z1921" s="4">
        <v>8</v>
      </c>
      <c r="AA1921" s="4">
        <v>10</v>
      </c>
      <c r="AB1921" s="4">
        <v>3</v>
      </c>
      <c r="AC1921" s="4">
        <v>3</v>
      </c>
      <c r="AD1921" s="4">
        <v>19</v>
      </c>
      <c r="AE1921" s="4">
        <v>20</v>
      </c>
      <c r="AF1921" s="4">
        <v>0</v>
      </c>
      <c r="AG1921" s="4">
        <v>0</v>
      </c>
      <c r="AH1921" s="4">
        <v>18</v>
      </c>
      <c r="AI1921" s="4">
        <v>19</v>
      </c>
      <c r="AJ1921" s="4">
        <v>1</v>
      </c>
      <c r="AK1921" s="4">
        <v>2</v>
      </c>
      <c r="AL1921" s="4">
        <v>9</v>
      </c>
      <c r="AM1921" s="4">
        <v>9</v>
      </c>
      <c r="AN1921" s="4">
        <v>0</v>
      </c>
      <c r="AO1921" s="4">
        <v>0</v>
      </c>
      <c r="AP1921" s="4">
        <v>1</v>
      </c>
      <c r="AQ1921" s="4">
        <v>2</v>
      </c>
      <c r="AR1921" s="3" t="s">
        <v>62</v>
      </c>
      <c r="AS1921" s="3" t="s">
        <v>62</v>
      </c>
      <c r="AT1921" s="3" t="s">
        <v>62</v>
      </c>
      <c r="AV1921" s="6" t="str">
        <f>HYPERLINK("http://mcgill.on.worldcat.org/oclc/40267532","Catalog Record")</f>
        <v>Catalog Record</v>
      </c>
      <c r="AW1921" s="6" t="str">
        <f>HYPERLINK("http://www.worldcat.org/oclc/40267532","WorldCat Record")</f>
        <v>WorldCat Record</v>
      </c>
      <c r="AX1921" s="3" t="s">
        <v>19063</v>
      </c>
      <c r="AY1921" s="3" t="s">
        <v>19064</v>
      </c>
      <c r="AZ1921" s="3" t="s">
        <v>19065</v>
      </c>
      <c r="BA1921" s="3" t="s">
        <v>19065</v>
      </c>
      <c r="BB1921" s="3" t="s">
        <v>19066</v>
      </c>
      <c r="BC1921" s="3" t="s">
        <v>102</v>
      </c>
      <c r="BD1921" s="3" t="s">
        <v>68</v>
      </c>
      <c r="BE1921" s="3" t="s">
        <v>19067</v>
      </c>
      <c r="BF1921" s="3" t="s">
        <v>19066</v>
      </c>
      <c r="BG1921" s="3" t="s">
        <v>19068</v>
      </c>
    </row>
    <row r="1922" spans="1:59" ht="72.5" x14ac:dyDescent="0.35">
      <c r="A1922" s="2" t="s">
        <v>89</v>
      </c>
      <c r="B1922" s="2" t="s">
        <v>90</v>
      </c>
      <c r="C1922" s="2" t="s">
        <v>19069</v>
      </c>
      <c r="D1922" s="2" t="s">
        <v>19070</v>
      </c>
      <c r="E1922" s="2" t="s">
        <v>19071</v>
      </c>
      <c r="G1922" s="3" t="s">
        <v>62</v>
      </c>
      <c r="I1922" s="3" t="s">
        <v>62</v>
      </c>
      <c r="J1922" s="3" t="s">
        <v>62</v>
      </c>
      <c r="K1922" s="3" t="s">
        <v>63</v>
      </c>
      <c r="M1922" s="2" t="s">
        <v>19072</v>
      </c>
      <c r="N1922" s="3" t="s">
        <v>655</v>
      </c>
      <c r="P1922" s="3" t="s">
        <v>64</v>
      </c>
      <c r="Q1922" s="2" t="s">
        <v>19073</v>
      </c>
      <c r="R1922" s="3" t="s">
        <v>13065</v>
      </c>
      <c r="S1922" s="4">
        <v>3</v>
      </c>
      <c r="T1922" s="4">
        <v>3</v>
      </c>
      <c r="U1922" s="5" t="s">
        <v>598</v>
      </c>
      <c r="V1922" s="5" t="s">
        <v>598</v>
      </c>
      <c r="W1922" s="5" t="s">
        <v>67</v>
      </c>
      <c r="X1922" s="5" t="s">
        <v>67</v>
      </c>
      <c r="Y1922" s="4">
        <v>133</v>
      </c>
      <c r="Z1922" s="4">
        <v>10</v>
      </c>
      <c r="AA1922" s="4">
        <v>14</v>
      </c>
      <c r="AB1922" s="4">
        <v>1</v>
      </c>
      <c r="AC1922" s="4">
        <v>4</v>
      </c>
      <c r="AD1922" s="4">
        <v>24</v>
      </c>
      <c r="AE1922" s="4">
        <v>26</v>
      </c>
      <c r="AF1922" s="4">
        <v>0</v>
      </c>
      <c r="AG1922" s="4">
        <v>0</v>
      </c>
      <c r="AH1922" s="4">
        <v>19</v>
      </c>
      <c r="AI1922" s="4">
        <v>21</v>
      </c>
      <c r="AJ1922" s="4">
        <v>6</v>
      </c>
      <c r="AK1922" s="4">
        <v>7</v>
      </c>
      <c r="AL1922" s="4">
        <v>11</v>
      </c>
      <c r="AM1922" s="4">
        <v>11</v>
      </c>
      <c r="AN1922" s="4">
        <v>0</v>
      </c>
      <c r="AO1922" s="4">
        <v>0</v>
      </c>
      <c r="AP1922" s="4">
        <v>8</v>
      </c>
      <c r="AQ1922" s="4">
        <v>9</v>
      </c>
      <c r="AR1922" s="3" t="s">
        <v>62</v>
      </c>
      <c r="AS1922" s="3" t="s">
        <v>62</v>
      </c>
      <c r="AT1922" s="3" t="s">
        <v>61</v>
      </c>
      <c r="AU1922" s="6" t="str">
        <f>HYPERLINK("http://catalog.hathitrust.org/Record/005547615","HathiTrust Record")</f>
        <v>HathiTrust Record</v>
      </c>
      <c r="AV1922" s="6" t="str">
        <f>HYPERLINK("http://mcgill.on.worldcat.org/oclc/72149513","Catalog Record")</f>
        <v>Catalog Record</v>
      </c>
      <c r="AW1922" s="6" t="str">
        <f>HYPERLINK("http://www.worldcat.org/oclc/72149513","WorldCat Record")</f>
        <v>WorldCat Record</v>
      </c>
      <c r="AX1922" s="3" t="s">
        <v>19074</v>
      </c>
      <c r="AY1922" s="3" t="s">
        <v>19075</v>
      </c>
      <c r="AZ1922" s="3" t="s">
        <v>19076</v>
      </c>
      <c r="BA1922" s="3" t="s">
        <v>19076</v>
      </c>
      <c r="BB1922" s="3" t="s">
        <v>19077</v>
      </c>
      <c r="BC1922" s="3" t="s">
        <v>102</v>
      </c>
      <c r="BD1922" s="3" t="s">
        <v>68</v>
      </c>
      <c r="BE1922" s="3" t="s">
        <v>19078</v>
      </c>
      <c r="BF1922" s="3" t="s">
        <v>19077</v>
      </c>
      <c r="BG1922" s="3" t="s">
        <v>19079</v>
      </c>
    </row>
    <row r="1923" spans="1:59" ht="72.5" x14ac:dyDescent="0.35">
      <c r="A1923" s="2" t="s">
        <v>89</v>
      </c>
      <c r="B1923" s="2" t="s">
        <v>90</v>
      </c>
      <c r="C1923" s="2" t="s">
        <v>19080</v>
      </c>
      <c r="D1923" s="2" t="s">
        <v>19081</v>
      </c>
      <c r="E1923" s="2" t="s">
        <v>19082</v>
      </c>
      <c r="G1923" s="3" t="s">
        <v>62</v>
      </c>
      <c r="I1923" s="3" t="s">
        <v>62</v>
      </c>
      <c r="J1923" s="3" t="s">
        <v>62</v>
      </c>
      <c r="K1923" s="3" t="s">
        <v>63</v>
      </c>
      <c r="L1923" s="2" t="s">
        <v>19083</v>
      </c>
      <c r="M1923" s="2" t="s">
        <v>19084</v>
      </c>
      <c r="N1923" s="3" t="s">
        <v>596</v>
      </c>
      <c r="P1923" s="3" t="s">
        <v>64</v>
      </c>
      <c r="R1923" s="3" t="s">
        <v>13065</v>
      </c>
      <c r="S1923" s="4">
        <v>15</v>
      </c>
      <c r="T1923" s="4">
        <v>15</v>
      </c>
      <c r="U1923" s="5" t="s">
        <v>314</v>
      </c>
      <c r="V1923" s="5" t="s">
        <v>314</v>
      </c>
      <c r="W1923" s="5" t="s">
        <v>67</v>
      </c>
      <c r="X1923" s="5" t="s">
        <v>67</v>
      </c>
      <c r="Y1923" s="4">
        <v>1027</v>
      </c>
      <c r="Z1923" s="4">
        <v>52</v>
      </c>
      <c r="AA1923" s="4">
        <v>79</v>
      </c>
      <c r="AB1923" s="4">
        <v>5</v>
      </c>
      <c r="AC1923" s="4">
        <v>11</v>
      </c>
      <c r="AD1923" s="4">
        <v>115</v>
      </c>
      <c r="AE1923" s="4">
        <v>131</v>
      </c>
      <c r="AF1923" s="4">
        <v>1</v>
      </c>
      <c r="AG1923" s="4">
        <v>4</v>
      </c>
      <c r="AH1923" s="4">
        <v>94</v>
      </c>
      <c r="AI1923" s="4">
        <v>104</v>
      </c>
      <c r="AJ1923" s="4">
        <v>18</v>
      </c>
      <c r="AK1923" s="4">
        <v>20</v>
      </c>
      <c r="AL1923" s="4">
        <v>51</v>
      </c>
      <c r="AM1923" s="4">
        <v>53</v>
      </c>
      <c r="AN1923" s="4">
        <v>0</v>
      </c>
      <c r="AO1923" s="4">
        <v>0</v>
      </c>
      <c r="AP1923" s="4">
        <v>29</v>
      </c>
      <c r="AQ1923" s="4">
        <v>35</v>
      </c>
      <c r="AR1923" s="3" t="s">
        <v>62</v>
      </c>
      <c r="AS1923" s="3" t="s">
        <v>62</v>
      </c>
      <c r="AT1923" s="3" t="s">
        <v>62</v>
      </c>
      <c r="AV1923" s="6" t="str">
        <f>HYPERLINK("http://mcgill.on.worldcat.org/oclc/47922733","Catalog Record")</f>
        <v>Catalog Record</v>
      </c>
      <c r="AW1923" s="6" t="str">
        <f>HYPERLINK("http://www.worldcat.org/oclc/47922733","WorldCat Record")</f>
        <v>WorldCat Record</v>
      </c>
      <c r="AX1923" s="3" t="s">
        <v>19085</v>
      </c>
      <c r="AY1923" s="3" t="s">
        <v>19086</v>
      </c>
      <c r="AZ1923" s="3" t="s">
        <v>19087</v>
      </c>
      <c r="BA1923" s="3" t="s">
        <v>19087</v>
      </c>
      <c r="BB1923" s="3" t="s">
        <v>19088</v>
      </c>
      <c r="BC1923" s="3" t="s">
        <v>102</v>
      </c>
      <c r="BD1923" s="3" t="s">
        <v>68</v>
      </c>
      <c r="BE1923" s="3" t="s">
        <v>19089</v>
      </c>
      <c r="BF1923" s="3" t="s">
        <v>19088</v>
      </c>
      <c r="BG1923" s="3" t="s">
        <v>19090</v>
      </c>
    </row>
    <row r="1924" spans="1:59" ht="58" x14ac:dyDescent="0.35">
      <c r="A1924" s="2" t="s">
        <v>89</v>
      </c>
      <c r="B1924" s="2" t="s">
        <v>90</v>
      </c>
      <c r="C1924" s="2" t="s">
        <v>19091</v>
      </c>
      <c r="D1924" s="2" t="s">
        <v>19092</v>
      </c>
      <c r="E1924" s="2" t="s">
        <v>19093</v>
      </c>
      <c r="G1924" s="3" t="s">
        <v>62</v>
      </c>
      <c r="I1924" s="3" t="s">
        <v>62</v>
      </c>
      <c r="J1924" s="3" t="s">
        <v>62</v>
      </c>
      <c r="K1924" s="3" t="s">
        <v>63</v>
      </c>
      <c r="M1924" s="2" t="s">
        <v>19094</v>
      </c>
      <c r="N1924" s="3" t="s">
        <v>568</v>
      </c>
      <c r="P1924" s="3" t="s">
        <v>64</v>
      </c>
      <c r="Q1924" s="2" t="s">
        <v>19095</v>
      </c>
      <c r="R1924" s="3" t="s">
        <v>13065</v>
      </c>
      <c r="S1924" s="4">
        <v>2</v>
      </c>
      <c r="T1924" s="4">
        <v>2</v>
      </c>
      <c r="U1924" s="5" t="s">
        <v>468</v>
      </c>
      <c r="V1924" s="5" t="s">
        <v>468</v>
      </c>
      <c r="W1924" s="5" t="s">
        <v>67</v>
      </c>
      <c r="X1924" s="5" t="s">
        <v>67</v>
      </c>
      <c r="Y1924" s="4">
        <v>115</v>
      </c>
      <c r="Z1924" s="4">
        <v>10</v>
      </c>
      <c r="AA1924" s="4">
        <v>13</v>
      </c>
      <c r="AB1924" s="4">
        <v>2</v>
      </c>
      <c r="AC1924" s="4">
        <v>3</v>
      </c>
      <c r="AD1924" s="4">
        <v>57</v>
      </c>
      <c r="AE1924" s="4">
        <v>61</v>
      </c>
      <c r="AF1924" s="4">
        <v>0</v>
      </c>
      <c r="AG1924" s="4">
        <v>0</v>
      </c>
      <c r="AH1924" s="4">
        <v>52</v>
      </c>
      <c r="AI1924" s="4">
        <v>55</v>
      </c>
      <c r="AJ1924" s="4">
        <v>7</v>
      </c>
      <c r="AK1924" s="4">
        <v>8</v>
      </c>
      <c r="AL1924" s="4">
        <v>34</v>
      </c>
      <c r="AM1924" s="4">
        <v>34</v>
      </c>
      <c r="AN1924" s="4">
        <v>0</v>
      </c>
      <c r="AO1924" s="4">
        <v>0</v>
      </c>
      <c r="AP1924" s="4">
        <v>7</v>
      </c>
      <c r="AQ1924" s="4">
        <v>9</v>
      </c>
      <c r="AR1924" s="3" t="s">
        <v>62</v>
      </c>
      <c r="AS1924" s="3" t="s">
        <v>62</v>
      </c>
      <c r="AT1924" s="3" t="s">
        <v>62</v>
      </c>
      <c r="AV1924" s="6" t="str">
        <f>HYPERLINK("http://mcgill.on.worldcat.org/oclc/44883655","Catalog Record")</f>
        <v>Catalog Record</v>
      </c>
      <c r="AW1924" s="6" t="str">
        <f>HYPERLINK("http://www.worldcat.org/oclc/44883655","WorldCat Record")</f>
        <v>WorldCat Record</v>
      </c>
      <c r="AX1924" s="3" t="s">
        <v>19096</v>
      </c>
      <c r="AY1924" s="3" t="s">
        <v>19097</v>
      </c>
      <c r="AZ1924" s="3" t="s">
        <v>19098</v>
      </c>
      <c r="BA1924" s="3" t="s">
        <v>19098</v>
      </c>
      <c r="BB1924" s="3" t="s">
        <v>19099</v>
      </c>
      <c r="BC1924" s="3" t="s">
        <v>102</v>
      </c>
      <c r="BD1924" s="3" t="s">
        <v>68</v>
      </c>
      <c r="BE1924" s="3" t="s">
        <v>19100</v>
      </c>
      <c r="BF1924" s="3" t="s">
        <v>19099</v>
      </c>
      <c r="BG1924" s="3" t="s">
        <v>19101</v>
      </c>
    </row>
    <row r="1925" spans="1:59" ht="58" x14ac:dyDescent="0.35">
      <c r="A1925" s="2" t="s">
        <v>89</v>
      </c>
      <c r="B1925" s="2" t="s">
        <v>90</v>
      </c>
      <c r="C1925" s="2" t="s">
        <v>19102</v>
      </c>
      <c r="D1925" s="2" t="s">
        <v>19103</v>
      </c>
      <c r="E1925" s="2" t="s">
        <v>19104</v>
      </c>
      <c r="G1925" s="3" t="s">
        <v>62</v>
      </c>
      <c r="I1925" s="3" t="s">
        <v>62</v>
      </c>
      <c r="J1925" s="3" t="s">
        <v>61</v>
      </c>
      <c r="K1925" s="3" t="s">
        <v>63</v>
      </c>
      <c r="M1925" s="2" t="s">
        <v>19105</v>
      </c>
      <c r="N1925" s="3" t="s">
        <v>684</v>
      </c>
      <c r="O1925" s="2" t="s">
        <v>2986</v>
      </c>
      <c r="P1925" s="3" t="s">
        <v>64</v>
      </c>
      <c r="Q1925" s="2" t="s">
        <v>19106</v>
      </c>
      <c r="R1925" s="3" t="s">
        <v>13065</v>
      </c>
      <c r="S1925" s="4">
        <v>2</v>
      </c>
      <c r="T1925" s="4">
        <v>2</v>
      </c>
      <c r="U1925" s="5" t="s">
        <v>12900</v>
      </c>
      <c r="V1925" s="5" t="s">
        <v>12900</v>
      </c>
      <c r="W1925" s="5" t="s">
        <v>67</v>
      </c>
      <c r="X1925" s="5" t="s">
        <v>67</v>
      </c>
      <c r="Y1925" s="4">
        <v>90</v>
      </c>
      <c r="Z1925" s="4">
        <v>10</v>
      </c>
      <c r="AA1925" s="4">
        <v>41</v>
      </c>
      <c r="AB1925" s="4">
        <v>1</v>
      </c>
      <c r="AC1925" s="4">
        <v>8</v>
      </c>
      <c r="AD1925" s="4">
        <v>34</v>
      </c>
      <c r="AE1925" s="4">
        <v>116</v>
      </c>
      <c r="AF1925" s="4">
        <v>0</v>
      </c>
      <c r="AG1925" s="4">
        <v>5</v>
      </c>
      <c r="AH1925" s="4">
        <v>31</v>
      </c>
      <c r="AI1925" s="4">
        <v>95</v>
      </c>
      <c r="AJ1925" s="4">
        <v>9</v>
      </c>
      <c r="AK1925" s="4">
        <v>27</v>
      </c>
      <c r="AL1925" s="4">
        <v>16</v>
      </c>
      <c r="AM1925" s="4">
        <v>52</v>
      </c>
      <c r="AN1925" s="4">
        <v>0</v>
      </c>
      <c r="AO1925" s="4">
        <v>0</v>
      </c>
      <c r="AP1925" s="4">
        <v>9</v>
      </c>
      <c r="AQ1925" s="4">
        <v>29</v>
      </c>
      <c r="AR1925" s="3" t="s">
        <v>62</v>
      </c>
      <c r="AS1925" s="3" t="s">
        <v>62</v>
      </c>
      <c r="AT1925" s="3" t="s">
        <v>62</v>
      </c>
      <c r="AV1925" s="6" t="str">
        <f>HYPERLINK("http://mcgill.on.worldcat.org/oclc/645673495","Catalog Record")</f>
        <v>Catalog Record</v>
      </c>
      <c r="AW1925" s="6" t="str">
        <f>HYPERLINK("http://www.worldcat.org/oclc/645673495","WorldCat Record")</f>
        <v>WorldCat Record</v>
      </c>
      <c r="AX1925" s="3" t="s">
        <v>19107</v>
      </c>
      <c r="AY1925" s="3" t="s">
        <v>19108</v>
      </c>
      <c r="AZ1925" s="3" t="s">
        <v>19109</v>
      </c>
      <c r="BA1925" s="3" t="s">
        <v>19109</v>
      </c>
      <c r="BB1925" s="3" t="s">
        <v>19110</v>
      </c>
      <c r="BC1925" s="3" t="s">
        <v>102</v>
      </c>
      <c r="BD1925" s="3" t="s">
        <v>68</v>
      </c>
      <c r="BE1925" s="3" t="s">
        <v>19111</v>
      </c>
      <c r="BF1925" s="3" t="s">
        <v>19110</v>
      </c>
      <c r="BG1925" s="3" t="s">
        <v>19112</v>
      </c>
    </row>
    <row r="1926" spans="1:59" ht="58" x14ac:dyDescent="0.35">
      <c r="A1926" s="2" t="s">
        <v>89</v>
      </c>
      <c r="B1926" s="2" t="s">
        <v>90</v>
      </c>
      <c r="C1926" s="2" t="s">
        <v>19113</v>
      </c>
      <c r="D1926" s="2" t="s">
        <v>19114</v>
      </c>
      <c r="E1926" s="2" t="s">
        <v>19115</v>
      </c>
      <c r="G1926" s="3" t="s">
        <v>62</v>
      </c>
      <c r="I1926" s="3" t="s">
        <v>62</v>
      </c>
      <c r="J1926" s="3" t="s">
        <v>61</v>
      </c>
      <c r="K1926" s="3" t="s">
        <v>63</v>
      </c>
      <c r="L1926" s="2" t="s">
        <v>19116</v>
      </c>
      <c r="M1926" s="2" t="s">
        <v>19117</v>
      </c>
      <c r="N1926" s="3" t="s">
        <v>596</v>
      </c>
      <c r="P1926" s="3" t="s">
        <v>64</v>
      </c>
      <c r="Q1926" s="2" t="s">
        <v>19118</v>
      </c>
      <c r="R1926" s="3" t="s">
        <v>13065</v>
      </c>
      <c r="S1926" s="4">
        <v>11</v>
      </c>
      <c r="T1926" s="4">
        <v>11</v>
      </c>
      <c r="U1926" s="5" t="s">
        <v>19000</v>
      </c>
      <c r="V1926" s="5" t="s">
        <v>19000</v>
      </c>
      <c r="W1926" s="5" t="s">
        <v>67</v>
      </c>
      <c r="X1926" s="5" t="s">
        <v>67</v>
      </c>
      <c r="Y1926" s="4">
        <v>169</v>
      </c>
      <c r="Z1926" s="4">
        <v>12</v>
      </c>
      <c r="AA1926" s="4">
        <v>98</v>
      </c>
      <c r="AB1926" s="4">
        <v>2</v>
      </c>
      <c r="AC1926" s="4">
        <v>17</v>
      </c>
      <c r="AD1926" s="4">
        <v>57</v>
      </c>
      <c r="AE1926" s="4">
        <v>128</v>
      </c>
      <c r="AF1926" s="4">
        <v>1</v>
      </c>
      <c r="AG1926" s="4">
        <v>8</v>
      </c>
      <c r="AH1926" s="4">
        <v>52</v>
      </c>
      <c r="AI1926" s="4">
        <v>92</v>
      </c>
      <c r="AJ1926" s="4">
        <v>8</v>
      </c>
      <c r="AK1926" s="4">
        <v>23</v>
      </c>
      <c r="AL1926" s="4">
        <v>32</v>
      </c>
      <c r="AM1926" s="4">
        <v>47</v>
      </c>
      <c r="AN1926" s="4">
        <v>0</v>
      </c>
      <c r="AO1926" s="4">
        <v>0</v>
      </c>
      <c r="AP1926" s="4">
        <v>9</v>
      </c>
      <c r="AQ1926" s="4">
        <v>44</v>
      </c>
      <c r="AR1926" s="3" t="s">
        <v>62</v>
      </c>
      <c r="AS1926" s="3" t="s">
        <v>62</v>
      </c>
      <c r="AT1926" s="3" t="s">
        <v>62</v>
      </c>
      <c r="AV1926" s="6" t="str">
        <f>HYPERLINK("http://mcgill.on.worldcat.org/oclc/49824718","Catalog Record")</f>
        <v>Catalog Record</v>
      </c>
      <c r="AW1926" s="6" t="str">
        <f>HYPERLINK("http://www.worldcat.org/oclc/49824718","WorldCat Record")</f>
        <v>WorldCat Record</v>
      </c>
      <c r="AX1926" s="3" t="s">
        <v>19119</v>
      </c>
      <c r="AY1926" s="3" t="s">
        <v>19120</v>
      </c>
      <c r="AZ1926" s="3" t="s">
        <v>19121</v>
      </c>
      <c r="BA1926" s="3" t="s">
        <v>19121</v>
      </c>
      <c r="BB1926" s="3" t="s">
        <v>19122</v>
      </c>
      <c r="BC1926" s="3" t="s">
        <v>102</v>
      </c>
      <c r="BD1926" s="3" t="s">
        <v>68</v>
      </c>
      <c r="BE1926" s="3" t="s">
        <v>19123</v>
      </c>
      <c r="BF1926" s="3" t="s">
        <v>19122</v>
      </c>
      <c r="BG1926" s="3" t="s">
        <v>19124</v>
      </c>
    </row>
    <row r="1927" spans="1:59" ht="72.5" x14ac:dyDescent="0.35">
      <c r="A1927" s="2" t="s">
        <v>89</v>
      </c>
      <c r="B1927" s="2" t="s">
        <v>90</v>
      </c>
      <c r="C1927" s="2" t="s">
        <v>19125</v>
      </c>
      <c r="D1927" s="2" t="s">
        <v>19126</v>
      </c>
      <c r="E1927" s="2" t="s">
        <v>19127</v>
      </c>
      <c r="G1927" s="3" t="s">
        <v>62</v>
      </c>
      <c r="I1927" s="3" t="s">
        <v>62</v>
      </c>
      <c r="J1927" s="3" t="s">
        <v>62</v>
      </c>
      <c r="K1927" s="3" t="s">
        <v>63</v>
      </c>
      <c r="M1927" s="2" t="s">
        <v>19128</v>
      </c>
      <c r="N1927" s="3" t="s">
        <v>880</v>
      </c>
      <c r="P1927" s="3" t="s">
        <v>64</v>
      </c>
      <c r="Q1927" s="2" t="s">
        <v>19129</v>
      </c>
      <c r="R1927" s="3" t="s">
        <v>13065</v>
      </c>
      <c r="S1927" s="4">
        <v>5</v>
      </c>
      <c r="T1927" s="4">
        <v>5</v>
      </c>
      <c r="U1927" s="5" t="s">
        <v>10908</v>
      </c>
      <c r="V1927" s="5" t="s">
        <v>10908</v>
      </c>
      <c r="W1927" s="5" t="s">
        <v>67</v>
      </c>
      <c r="X1927" s="5" t="s">
        <v>67</v>
      </c>
      <c r="Y1927" s="4">
        <v>121</v>
      </c>
      <c r="Z1927" s="4">
        <v>9</v>
      </c>
      <c r="AA1927" s="4">
        <v>77</v>
      </c>
      <c r="AB1927" s="4">
        <v>1</v>
      </c>
      <c r="AC1927" s="4">
        <v>14</v>
      </c>
      <c r="AD1927" s="4">
        <v>48</v>
      </c>
      <c r="AE1927" s="4">
        <v>111</v>
      </c>
      <c r="AF1927" s="4">
        <v>0</v>
      </c>
      <c r="AG1927" s="4">
        <v>8</v>
      </c>
      <c r="AH1927" s="4">
        <v>42</v>
      </c>
      <c r="AI1927" s="4">
        <v>78</v>
      </c>
      <c r="AJ1927" s="4">
        <v>6</v>
      </c>
      <c r="AK1927" s="4">
        <v>20</v>
      </c>
      <c r="AL1927" s="4">
        <v>31</v>
      </c>
      <c r="AM1927" s="4">
        <v>45</v>
      </c>
      <c r="AN1927" s="4">
        <v>0</v>
      </c>
      <c r="AO1927" s="4">
        <v>0</v>
      </c>
      <c r="AP1927" s="4">
        <v>6</v>
      </c>
      <c r="AQ1927" s="4">
        <v>39</v>
      </c>
      <c r="AR1927" s="3" t="s">
        <v>62</v>
      </c>
      <c r="AS1927" s="3" t="s">
        <v>62</v>
      </c>
      <c r="AT1927" s="3" t="s">
        <v>62</v>
      </c>
      <c r="AV1927" s="6" t="str">
        <f>HYPERLINK("http://mcgill.on.worldcat.org/oclc/437089483","Catalog Record")</f>
        <v>Catalog Record</v>
      </c>
      <c r="AW1927" s="6" t="str">
        <f>HYPERLINK("http://www.worldcat.org/oclc/437089483","WorldCat Record")</f>
        <v>WorldCat Record</v>
      </c>
      <c r="AX1927" s="3" t="s">
        <v>19130</v>
      </c>
      <c r="AY1927" s="3" t="s">
        <v>19131</v>
      </c>
      <c r="AZ1927" s="3" t="s">
        <v>19132</v>
      </c>
      <c r="BA1927" s="3" t="s">
        <v>19132</v>
      </c>
      <c r="BB1927" s="3" t="s">
        <v>19133</v>
      </c>
      <c r="BC1927" s="3" t="s">
        <v>102</v>
      </c>
      <c r="BD1927" s="3" t="s">
        <v>68</v>
      </c>
      <c r="BE1927" s="3" t="s">
        <v>19134</v>
      </c>
      <c r="BF1927" s="3" t="s">
        <v>19133</v>
      </c>
      <c r="BG1927" s="3" t="s">
        <v>19135</v>
      </c>
    </row>
    <row r="1928" spans="1:59" ht="58" x14ac:dyDescent="0.35">
      <c r="A1928" s="2" t="s">
        <v>89</v>
      </c>
      <c r="B1928" s="2" t="s">
        <v>90</v>
      </c>
      <c r="C1928" s="2" t="s">
        <v>19136</v>
      </c>
      <c r="D1928" s="2" t="s">
        <v>19137</v>
      </c>
      <c r="E1928" s="2" t="s">
        <v>19138</v>
      </c>
      <c r="G1928" s="3" t="s">
        <v>62</v>
      </c>
      <c r="I1928" s="3" t="s">
        <v>62</v>
      </c>
      <c r="J1928" s="3" t="s">
        <v>62</v>
      </c>
      <c r="K1928" s="3" t="s">
        <v>63</v>
      </c>
      <c r="L1928" s="2" t="s">
        <v>19139</v>
      </c>
      <c r="M1928" s="2" t="s">
        <v>19140</v>
      </c>
      <c r="N1928" s="3" t="s">
        <v>568</v>
      </c>
      <c r="P1928" s="3" t="s">
        <v>64</v>
      </c>
      <c r="Q1928" s="2" t="s">
        <v>19129</v>
      </c>
      <c r="R1928" s="3" t="s">
        <v>13065</v>
      </c>
      <c r="S1928" s="4">
        <v>4</v>
      </c>
      <c r="T1928" s="4">
        <v>4</v>
      </c>
      <c r="U1928" s="5" t="s">
        <v>10908</v>
      </c>
      <c r="V1928" s="5" t="s">
        <v>10908</v>
      </c>
      <c r="W1928" s="5" t="s">
        <v>67</v>
      </c>
      <c r="X1928" s="5" t="s">
        <v>67</v>
      </c>
      <c r="Y1928" s="4">
        <v>251</v>
      </c>
      <c r="Z1928" s="4">
        <v>11</v>
      </c>
      <c r="AA1928" s="4">
        <v>16</v>
      </c>
      <c r="AB1928" s="4">
        <v>2</v>
      </c>
      <c r="AC1928" s="4">
        <v>5</v>
      </c>
      <c r="AD1928" s="4">
        <v>76</v>
      </c>
      <c r="AE1928" s="4">
        <v>82</v>
      </c>
      <c r="AF1928" s="4">
        <v>1</v>
      </c>
      <c r="AG1928" s="4">
        <v>3</v>
      </c>
      <c r="AH1928" s="4">
        <v>69</v>
      </c>
      <c r="AI1928" s="4">
        <v>72</v>
      </c>
      <c r="AJ1928" s="4">
        <v>9</v>
      </c>
      <c r="AK1928" s="4">
        <v>11</v>
      </c>
      <c r="AL1928" s="4">
        <v>44</v>
      </c>
      <c r="AM1928" s="4">
        <v>46</v>
      </c>
      <c r="AN1928" s="4">
        <v>0</v>
      </c>
      <c r="AO1928" s="4">
        <v>0</v>
      </c>
      <c r="AP1928" s="4">
        <v>9</v>
      </c>
      <c r="AQ1928" s="4">
        <v>12</v>
      </c>
      <c r="AR1928" s="3" t="s">
        <v>62</v>
      </c>
      <c r="AS1928" s="3" t="s">
        <v>62</v>
      </c>
      <c r="AT1928" s="3" t="s">
        <v>62</v>
      </c>
      <c r="AV1928" s="6" t="str">
        <f>HYPERLINK("http://mcgill.on.worldcat.org/oclc/41017359","Catalog Record")</f>
        <v>Catalog Record</v>
      </c>
      <c r="AW1928" s="6" t="str">
        <f>HYPERLINK("http://www.worldcat.org/oclc/41017359","WorldCat Record")</f>
        <v>WorldCat Record</v>
      </c>
      <c r="AX1928" s="3" t="s">
        <v>19141</v>
      </c>
      <c r="AY1928" s="3" t="s">
        <v>19142</v>
      </c>
      <c r="AZ1928" s="3" t="s">
        <v>19143</v>
      </c>
      <c r="BA1928" s="3" t="s">
        <v>19143</v>
      </c>
      <c r="BB1928" s="3" t="s">
        <v>19144</v>
      </c>
      <c r="BC1928" s="3" t="s">
        <v>102</v>
      </c>
      <c r="BD1928" s="3" t="s">
        <v>68</v>
      </c>
      <c r="BE1928" s="3" t="s">
        <v>19145</v>
      </c>
      <c r="BF1928" s="3" t="s">
        <v>19144</v>
      </c>
      <c r="BG1928" s="3" t="s">
        <v>19146</v>
      </c>
    </row>
    <row r="1929" spans="1:59" ht="58" x14ac:dyDescent="0.35">
      <c r="A1929" s="2" t="s">
        <v>89</v>
      </c>
      <c r="B1929" s="2" t="s">
        <v>90</v>
      </c>
      <c r="C1929" s="2" t="s">
        <v>19147</v>
      </c>
      <c r="D1929" s="2" t="s">
        <v>19148</v>
      </c>
      <c r="E1929" s="2" t="s">
        <v>19149</v>
      </c>
      <c r="G1929" s="3" t="s">
        <v>62</v>
      </c>
      <c r="I1929" s="3" t="s">
        <v>62</v>
      </c>
      <c r="J1929" s="3" t="s">
        <v>62</v>
      </c>
      <c r="K1929" s="3" t="s">
        <v>63</v>
      </c>
      <c r="L1929" s="2" t="s">
        <v>19150</v>
      </c>
      <c r="M1929" s="2" t="s">
        <v>19151</v>
      </c>
      <c r="N1929" s="3" t="s">
        <v>1077</v>
      </c>
      <c r="P1929" s="3" t="s">
        <v>64</v>
      </c>
      <c r="Q1929" s="2" t="s">
        <v>19152</v>
      </c>
      <c r="R1929" s="3" t="s">
        <v>13065</v>
      </c>
      <c r="S1929" s="4">
        <v>3</v>
      </c>
      <c r="T1929" s="4">
        <v>3</v>
      </c>
      <c r="U1929" s="5" t="s">
        <v>19153</v>
      </c>
      <c r="V1929" s="5" t="s">
        <v>19153</v>
      </c>
      <c r="W1929" s="5" t="s">
        <v>67</v>
      </c>
      <c r="X1929" s="5" t="s">
        <v>67</v>
      </c>
      <c r="Y1929" s="4">
        <v>259</v>
      </c>
      <c r="Z1929" s="4">
        <v>13</v>
      </c>
      <c r="AA1929" s="4">
        <v>13</v>
      </c>
      <c r="AB1929" s="4">
        <v>1</v>
      </c>
      <c r="AC1929" s="4">
        <v>1</v>
      </c>
      <c r="AD1929" s="4">
        <v>93</v>
      </c>
      <c r="AE1929" s="4">
        <v>93</v>
      </c>
      <c r="AF1929" s="4">
        <v>0</v>
      </c>
      <c r="AG1929" s="4">
        <v>0</v>
      </c>
      <c r="AH1929" s="4">
        <v>85</v>
      </c>
      <c r="AI1929" s="4">
        <v>85</v>
      </c>
      <c r="AJ1929" s="4">
        <v>10</v>
      </c>
      <c r="AK1929" s="4">
        <v>10</v>
      </c>
      <c r="AL1929" s="4">
        <v>51</v>
      </c>
      <c r="AM1929" s="4">
        <v>51</v>
      </c>
      <c r="AN1929" s="4">
        <v>0</v>
      </c>
      <c r="AO1929" s="4">
        <v>0</v>
      </c>
      <c r="AP1929" s="4">
        <v>11</v>
      </c>
      <c r="AQ1929" s="4">
        <v>11</v>
      </c>
      <c r="AR1929" s="3" t="s">
        <v>62</v>
      </c>
      <c r="AS1929" s="3" t="s">
        <v>62</v>
      </c>
      <c r="AT1929" s="3" t="s">
        <v>62</v>
      </c>
      <c r="AV1929" s="6" t="str">
        <f>HYPERLINK("http://mcgill.on.worldcat.org/oclc/26931730","Catalog Record")</f>
        <v>Catalog Record</v>
      </c>
      <c r="AW1929" s="6" t="str">
        <f>HYPERLINK("http://www.worldcat.org/oclc/26931730","WorldCat Record")</f>
        <v>WorldCat Record</v>
      </c>
      <c r="AX1929" s="3" t="s">
        <v>19154</v>
      </c>
      <c r="AY1929" s="3" t="s">
        <v>19155</v>
      </c>
      <c r="AZ1929" s="3" t="s">
        <v>19156</v>
      </c>
      <c r="BA1929" s="3" t="s">
        <v>19156</v>
      </c>
      <c r="BB1929" s="3" t="s">
        <v>19157</v>
      </c>
      <c r="BC1929" s="3" t="s">
        <v>102</v>
      </c>
      <c r="BD1929" s="3" t="s">
        <v>68</v>
      </c>
      <c r="BE1929" s="3" t="s">
        <v>19158</v>
      </c>
      <c r="BF1929" s="3" t="s">
        <v>19157</v>
      </c>
      <c r="BG1929" s="3" t="s">
        <v>19159</v>
      </c>
    </row>
    <row r="1930" spans="1:59" ht="58" x14ac:dyDescent="0.35">
      <c r="A1930" s="2" t="s">
        <v>89</v>
      </c>
      <c r="B1930" s="2" t="s">
        <v>90</v>
      </c>
      <c r="C1930" s="2" t="s">
        <v>19160</v>
      </c>
      <c r="D1930" s="2" t="s">
        <v>19161</v>
      </c>
      <c r="E1930" s="2" t="s">
        <v>19162</v>
      </c>
      <c r="G1930" s="3" t="s">
        <v>62</v>
      </c>
      <c r="I1930" s="3" t="s">
        <v>62</v>
      </c>
      <c r="J1930" s="3" t="s">
        <v>62</v>
      </c>
      <c r="K1930" s="3" t="s">
        <v>63</v>
      </c>
      <c r="L1930" s="2" t="s">
        <v>19163</v>
      </c>
      <c r="M1930" s="2" t="s">
        <v>19164</v>
      </c>
      <c r="N1930" s="3" t="s">
        <v>1722</v>
      </c>
      <c r="P1930" s="3" t="s">
        <v>64</v>
      </c>
      <c r="R1930" s="3" t="s">
        <v>13065</v>
      </c>
      <c r="S1930" s="4">
        <v>10</v>
      </c>
      <c r="T1930" s="4">
        <v>10</v>
      </c>
      <c r="U1930" s="5" t="s">
        <v>468</v>
      </c>
      <c r="V1930" s="5" t="s">
        <v>468</v>
      </c>
      <c r="W1930" s="5" t="s">
        <v>67</v>
      </c>
      <c r="X1930" s="5" t="s">
        <v>67</v>
      </c>
      <c r="Y1930" s="4">
        <v>84</v>
      </c>
      <c r="Z1930" s="4">
        <v>9</v>
      </c>
      <c r="AA1930" s="4">
        <v>9</v>
      </c>
      <c r="AB1930" s="4">
        <v>3</v>
      </c>
      <c r="AC1930" s="4">
        <v>3</v>
      </c>
      <c r="AD1930" s="4">
        <v>39</v>
      </c>
      <c r="AE1930" s="4">
        <v>39</v>
      </c>
      <c r="AF1930" s="4">
        <v>1</v>
      </c>
      <c r="AG1930" s="4">
        <v>1</v>
      </c>
      <c r="AH1930" s="4">
        <v>36</v>
      </c>
      <c r="AI1930" s="4">
        <v>36</v>
      </c>
      <c r="AJ1930" s="4">
        <v>5</v>
      </c>
      <c r="AK1930" s="4">
        <v>5</v>
      </c>
      <c r="AL1930" s="4">
        <v>22</v>
      </c>
      <c r="AM1930" s="4">
        <v>22</v>
      </c>
      <c r="AN1930" s="4">
        <v>0</v>
      </c>
      <c r="AO1930" s="4">
        <v>0</v>
      </c>
      <c r="AP1930" s="4">
        <v>7</v>
      </c>
      <c r="AQ1930" s="4">
        <v>7</v>
      </c>
      <c r="AR1930" s="3" t="s">
        <v>62</v>
      </c>
      <c r="AS1930" s="3" t="s">
        <v>62</v>
      </c>
      <c r="AT1930" s="3" t="s">
        <v>61</v>
      </c>
      <c r="AU1930" s="6" t="str">
        <f>HYPERLINK("http://catalog.hathitrust.org/Record/005959346","HathiTrust Record")</f>
        <v>HathiTrust Record</v>
      </c>
      <c r="AV1930" s="6" t="str">
        <f>HYPERLINK("http://mcgill.on.worldcat.org/oclc/229023321","Catalog Record")</f>
        <v>Catalog Record</v>
      </c>
      <c r="AW1930" s="6" t="str">
        <f>HYPERLINK("http://www.worldcat.org/oclc/229023321","WorldCat Record")</f>
        <v>WorldCat Record</v>
      </c>
      <c r="AX1930" s="3" t="s">
        <v>19165</v>
      </c>
      <c r="AY1930" s="3" t="s">
        <v>19166</v>
      </c>
      <c r="AZ1930" s="3" t="s">
        <v>19167</v>
      </c>
      <c r="BA1930" s="3" t="s">
        <v>19167</v>
      </c>
      <c r="BB1930" s="3" t="s">
        <v>19168</v>
      </c>
      <c r="BC1930" s="3" t="s">
        <v>102</v>
      </c>
      <c r="BD1930" s="3" t="s">
        <v>68</v>
      </c>
      <c r="BE1930" s="3" t="s">
        <v>19169</v>
      </c>
      <c r="BF1930" s="3" t="s">
        <v>19168</v>
      </c>
      <c r="BG1930" s="3" t="s">
        <v>19170</v>
      </c>
    </row>
    <row r="1931" spans="1:59" ht="101.5" x14ac:dyDescent="0.35">
      <c r="A1931" s="2" t="s">
        <v>89</v>
      </c>
      <c r="B1931" s="2" t="s">
        <v>12301</v>
      </c>
      <c r="C1931" s="2" t="s">
        <v>19171</v>
      </c>
      <c r="D1931" s="2" t="s">
        <v>19172</v>
      </c>
      <c r="E1931" s="2" t="s">
        <v>19173</v>
      </c>
      <c r="G1931" s="3" t="s">
        <v>62</v>
      </c>
      <c r="I1931" s="3" t="s">
        <v>61</v>
      </c>
      <c r="J1931" s="3" t="s">
        <v>61</v>
      </c>
      <c r="K1931" s="3" t="s">
        <v>63</v>
      </c>
      <c r="L1931" s="2" t="s">
        <v>17052</v>
      </c>
      <c r="M1931" s="2" t="s">
        <v>19174</v>
      </c>
      <c r="N1931" s="3" t="s">
        <v>1195</v>
      </c>
      <c r="O1931" s="2" t="s">
        <v>2986</v>
      </c>
      <c r="P1931" s="3" t="s">
        <v>64</v>
      </c>
      <c r="R1931" s="3" t="s">
        <v>13065</v>
      </c>
      <c r="S1931" s="4">
        <v>10</v>
      </c>
      <c r="T1931" s="4">
        <v>69</v>
      </c>
      <c r="U1931" s="5" t="s">
        <v>3820</v>
      </c>
      <c r="V1931" s="5" t="s">
        <v>3310</v>
      </c>
      <c r="W1931" s="5" t="s">
        <v>67</v>
      </c>
      <c r="X1931" s="5" t="s">
        <v>67</v>
      </c>
      <c r="Y1931" s="4">
        <v>190</v>
      </c>
      <c r="Z1931" s="4">
        <v>17</v>
      </c>
      <c r="AA1931" s="4">
        <v>39</v>
      </c>
      <c r="AB1931" s="4">
        <v>2</v>
      </c>
      <c r="AC1931" s="4">
        <v>10</v>
      </c>
      <c r="AD1931" s="4">
        <v>25</v>
      </c>
      <c r="AE1931" s="4">
        <v>55</v>
      </c>
      <c r="AF1931" s="4">
        <v>1</v>
      </c>
      <c r="AG1931" s="4">
        <v>5</v>
      </c>
      <c r="AH1931" s="4">
        <v>19</v>
      </c>
      <c r="AI1931" s="4">
        <v>40</v>
      </c>
      <c r="AJ1931" s="4">
        <v>6</v>
      </c>
      <c r="AK1931" s="4">
        <v>15</v>
      </c>
      <c r="AL1931" s="4">
        <v>12</v>
      </c>
      <c r="AM1931" s="4">
        <v>19</v>
      </c>
      <c r="AN1931" s="4">
        <v>0</v>
      </c>
      <c r="AO1931" s="4">
        <v>0</v>
      </c>
      <c r="AP1931" s="4">
        <v>8</v>
      </c>
      <c r="AQ1931" s="4">
        <v>21</v>
      </c>
      <c r="AR1931" s="3" t="s">
        <v>62</v>
      </c>
      <c r="AS1931" s="3" t="s">
        <v>62</v>
      </c>
      <c r="AT1931" s="3" t="s">
        <v>61</v>
      </c>
      <c r="AU1931" s="6" t="str">
        <f>HYPERLINK("http://catalog.hathitrust.org/Record/005964709","HathiTrust Record")</f>
        <v>HathiTrust Record</v>
      </c>
      <c r="AV1931" s="6" t="str">
        <f>HYPERLINK("http://mcgill.on.worldcat.org/oclc/60544745","Catalog Record")</f>
        <v>Catalog Record</v>
      </c>
      <c r="AW1931" s="6" t="str">
        <f>HYPERLINK("http://www.worldcat.org/oclc/60544745","WorldCat Record")</f>
        <v>WorldCat Record</v>
      </c>
      <c r="AX1931" s="3" t="s">
        <v>19175</v>
      </c>
      <c r="AY1931" s="3" t="s">
        <v>19176</v>
      </c>
      <c r="AZ1931" s="3" t="s">
        <v>19177</v>
      </c>
      <c r="BA1931" s="3" t="s">
        <v>19177</v>
      </c>
      <c r="BB1931" s="3" t="s">
        <v>19178</v>
      </c>
      <c r="BC1931" s="3" t="s">
        <v>102</v>
      </c>
      <c r="BD1931" s="3" t="s">
        <v>68</v>
      </c>
      <c r="BE1931" s="3" t="s">
        <v>19179</v>
      </c>
      <c r="BF1931" s="3" t="s">
        <v>19178</v>
      </c>
      <c r="BG1931" s="3" t="s">
        <v>19180</v>
      </c>
    </row>
    <row r="1932" spans="1:59" ht="101.5" x14ac:dyDescent="0.35">
      <c r="A1932" s="2" t="s">
        <v>89</v>
      </c>
      <c r="B1932" s="2" t="s">
        <v>12301</v>
      </c>
      <c r="C1932" s="2" t="s">
        <v>19171</v>
      </c>
      <c r="D1932" s="2" t="s">
        <v>19172</v>
      </c>
      <c r="E1932" s="2" t="s">
        <v>19173</v>
      </c>
      <c r="G1932" s="3" t="s">
        <v>62</v>
      </c>
      <c r="I1932" s="3" t="s">
        <v>61</v>
      </c>
      <c r="J1932" s="3" t="s">
        <v>61</v>
      </c>
      <c r="K1932" s="3" t="s">
        <v>63</v>
      </c>
      <c r="L1932" s="2" t="s">
        <v>17052</v>
      </c>
      <c r="M1932" s="2" t="s">
        <v>19174</v>
      </c>
      <c r="N1932" s="3" t="s">
        <v>1195</v>
      </c>
      <c r="O1932" s="2" t="s">
        <v>2986</v>
      </c>
      <c r="P1932" s="3" t="s">
        <v>64</v>
      </c>
      <c r="R1932" s="3" t="s">
        <v>13065</v>
      </c>
      <c r="S1932" s="4">
        <v>6</v>
      </c>
      <c r="T1932" s="4">
        <v>69</v>
      </c>
      <c r="U1932" s="5" t="s">
        <v>3310</v>
      </c>
      <c r="V1932" s="5" t="s">
        <v>3310</v>
      </c>
      <c r="W1932" s="5" t="s">
        <v>67</v>
      </c>
      <c r="X1932" s="5" t="s">
        <v>67</v>
      </c>
      <c r="Y1932" s="4">
        <v>190</v>
      </c>
      <c r="Z1932" s="4">
        <v>17</v>
      </c>
      <c r="AA1932" s="4">
        <v>39</v>
      </c>
      <c r="AB1932" s="4">
        <v>2</v>
      </c>
      <c r="AC1932" s="4">
        <v>10</v>
      </c>
      <c r="AD1932" s="4">
        <v>25</v>
      </c>
      <c r="AE1932" s="4">
        <v>55</v>
      </c>
      <c r="AF1932" s="4">
        <v>1</v>
      </c>
      <c r="AG1932" s="4">
        <v>5</v>
      </c>
      <c r="AH1932" s="4">
        <v>19</v>
      </c>
      <c r="AI1932" s="4">
        <v>40</v>
      </c>
      <c r="AJ1932" s="4">
        <v>6</v>
      </c>
      <c r="AK1932" s="4">
        <v>15</v>
      </c>
      <c r="AL1932" s="4">
        <v>12</v>
      </c>
      <c r="AM1932" s="4">
        <v>19</v>
      </c>
      <c r="AN1932" s="4">
        <v>0</v>
      </c>
      <c r="AO1932" s="4">
        <v>0</v>
      </c>
      <c r="AP1932" s="4">
        <v>8</v>
      </c>
      <c r="AQ1932" s="4">
        <v>21</v>
      </c>
      <c r="AR1932" s="3" t="s">
        <v>62</v>
      </c>
      <c r="AS1932" s="3" t="s">
        <v>62</v>
      </c>
      <c r="AT1932" s="3" t="s">
        <v>61</v>
      </c>
      <c r="AU1932" s="6" t="str">
        <f>HYPERLINK("http://catalog.hathitrust.org/Record/005964709","HathiTrust Record")</f>
        <v>HathiTrust Record</v>
      </c>
      <c r="AV1932" s="6" t="str">
        <f>HYPERLINK("http://mcgill.on.worldcat.org/oclc/60544745","Catalog Record")</f>
        <v>Catalog Record</v>
      </c>
      <c r="AW1932" s="6" t="str">
        <f>HYPERLINK("http://www.worldcat.org/oclc/60544745","WorldCat Record")</f>
        <v>WorldCat Record</v>
      </c>
      <c r="AX1932" s="3" t="s">
        <v>19175</v>
      </c>
      <c r="AY1932" s="3" t="s">
        <v>19176</v>
      </c>
      <c r="AZ1932" s="3" t="s">
        <v>19177</v>
      </c>
      <c r="BA1932" s="3" t="s">
        <v>19177</v>
      </c>
      <c r="BB1932" s="3" t="s">
        <v>19181</v>
      </c>
      <c r="BC1932" s="3" t="s">
        <v>102</v>
      </c>
      <c r="BD1932" s="3" t="s">
        <v>68</v>
      </c>
      <c r="BE1932" s="3" t="s">
        <v>19179</v>
      </c>
      <c r="BF1932" s="3" t="s">
        <v>19181</v>
      </c>
      <c r="BG1932" s="3" t="s">
        <v>19182</v>
      </c>
    </row>
    <row r="1933" spans="1:59" ht="58" x14ac:dyDescent="0.35">
      <c r="A1933" s="2" t="s">
        <v>89</v>
      </c>
      <c r="B1933" s="2" t="s">
        <v>90</v>
      </c>
      <c r="C1933" s="2" t="s">
        <v>19183</v>
      </c>
      <c r="D1933" s="2" t="s">
        <v>19184</v>
      </c>
      <c r="E1933" s="2" t="s">
        <v>19185</v>
      </c>
      <c r="G1933" s="3" t="s">
        <v>62</v>
      </c>
      <c r="I1933" s="3" t="s">
        <v>62</v>
      </c>
      <c r="J1933" s="3" t="s">
        <v>62</v>
      </c>
      <c r="K1933" s="3" t="s">
        <v>63</v>
      </c>
      <c r="L1933" s="2" t="s">
        <v>19186</v>
      </c>
      <c r="M1933" s="2" t="s">
        <v>19187</v>
      </c>
      <c r="N1933" s="3" t="s">
        <v>2975</v>
      </c>
      <c r="P1933" s="3" t="s">
        <v>64</v>
      </c>
      <c r="Q1933" s="2" t="s">
        <v>19188</v>
      </c>
      <c r="R1933" s="3" t="s">
        <v>13065</v>
      </c>
      <c r="S1933" s="4">
        <v>2</v>
      </c>
      <c r="T1933" s="4">
        <v>2</v>
      </c>
      <c r="U1933" s="5" t="s">
        <v>19189</v>
      </c>
      <c r="V1933" s="5" t="s">
        <v>19189</v>
      </c>
      <c r="W1933" s="5" t="s">
        <v>67</v>
      </c>
      <c r="X1933" s="5" t="s">
        <v>67</v>
      </c>
      <c r="Y1933" s="4">
        <v>163</v>
      </c>
      <c r="Z1933" s="4">
        <v>9</v>
      </c>
      <c r="AA1933" s="4">
        <v>14</v>
      </c>
      <c r="AB1933" s="4">
        <v>2</v>
      </c>
      <c r="AC1933" s="4">
        <v>5</v>
      </c>
      <c r="AD1933" s="4">
        <v>51</v>
      </c>
      <c r="AE1933" s="4">
        <v>59</v>
      </c>
      <c r="AF1933" s="4">
        <v>1</v>
      </c>
      <c r="AG1933" s="4">
        <v>3</v>
      </c>
      <c r="AH1933" s="4">
        <v>46</v>
      </c>
      <c r="AI1933" s="4">
        <v>51</v>
      </c>
      <c r="AJ1933" s="4">
        <v>7</v>
      </c>
      <c r="AK1933" s="4">
        <v>9</v>
      </c>
      <c r="AL1933" s="4">
        <v>30</v>
      </c>
      <c r="AM1933" s="4">
        <v>32</v>
      </c>
      <c r="AN1933" s="4">
        <v>2</v>
      </c>
      <c r="AO1933" s="4">
        <v>2</v>
      </c>
      <c r="AP1933" s="4">
        <v>6</v>
      </c>
      <c r="AQ1933" s="4">
        <v>10</v>
      </c>
      <c r="AR1933" s="3" t="s">
        <v>62</v>
      </c>
      <c r="AS1933" s="3" t="s">
        <v>62</v>
      </c>
      <c r="AT1933" s="3" t="s">
        <v>61</v>
      </c>
      <c r="AU1933" s="6" t="str">
        <f>HYPERLINK("http://catalog.hathitrust.org/Record/004172116","HathiTrust Record")</f>
        <v>HathiTrust Record</v>
      </c>
      <c r="AV1933" s="6" t="str">
        <f>HYPERLINK("http://mcgill.on.worldcat.org/oclc/40821115","Catalog Record")</f>
        <v>Catalog Record</v>
      </c>
      <c r="AW1933" s="6" t="str">
        <f>HYPERLINK("http://www.worldcat.org/oclc/40821115","WorldCat Record")</f>
        <v>WorldCat Record</v>
      </c>
      <c r="AX1933" s="3" t="s">
        <v>19190</v>
      </c>
      <c r="AY1933" s="3" t="s">
        <v>19191</v>
      </c>
      <c r="AZ1933" s="3" t="s">
        <v>19192</v>
      </c>
      <c r="BA1933" s="3" t="s">
        <v>19192</v>
      </c>
      <c r="BB1933" s="3" t="s">
        <v>19193</v>
      </c>
      <c r="BC1933" s="3" t="s">
        <v>102</v>
      </c>
      <c r="BD1933" s="3" t="s">
        <v>68</v>
      </c>
      <c r="BE1933" s="3" t="s">
        <v>19194</v>
      </c>
      <c r="BF1933" s="3" t="s">
        <v>19193</v>
      </c>
      <c r="BG1933" s="3" t="s">
        <v>19195</v>
      </c>
    </row>
    <row r="1934" spans="1:59" ht="58" x14ac:dyDescent="0.35">
      <c r="A1934" s="2" t="s">
        <v>89</v>
      </c>
      <c r="B1934" s="2" t="s">
        <v>90</v>
      </c>
      <c r="C1934" s="2" t="s">
        <v>19196</v>
      </c>
      <c r="D1934" s="2" t="s">
        <v>19197</v>
      </c>
      <c r="E1934" s="2" t="s">
        <v>19198</v>
      </c>
      <c r="G1934" s="3" t="s">
        <v>62</v>
      </c>
      <c r="I1934" s="3" t="s">
        <v>62</v>
      </c>
      <c r="J1934" s="3" t="s">
        <v>62</v>
      </c>
      <c r="K1934" s="3" t="s">
        <v>63</v>
      </c>
      <c r="M1934" s="2" t="s">
        <v>19199</v>
      </c>
      <c r="N1934" s="3" t="s">
        <v>698</v>
      </c>
      <c r="P1934" s="3" t="s">
        <v>64</v>
      </c>
      <c r="Q1934" s="2" t="s">
        <v>19200</v>
      </c>
      <c r="R1934" s="3" t="s">
        <v>13065</v>
      </c>
      <c r="S1934" s="4">
        <v>0</v>
      </c>
      <c r="T1934" s="4">
        <v>0</v>
      </c>
      <c r="W1934" s="5" t="s">
        <v>67</v>
      </c>
      <c r="X1934" s="5" t="s">
        <v>67</v>
      </c>
      <c r="Y1934" s="4">
        <v>82</v>
      </c>
      <c r="Z1934" s="4">
        <v>8</v>
      </c>
      <c r="AA1934" s="4">
        <v>49</v>
      </c>
      <c r="AB1934" s="4">
        <v>2</v>
      </c>
      <c r="AC1934" s="4">
        <v>7</v>
      </c>
      <c r="AD1934" s="4">
        <v>20</v>
      </c>
      <c r="AE1934" s="4">
        <v>50</v>
      </c>
      <c r="AF1934" s="4">
        <v>1</v>
      </c>
      <c r="AG1934" s="4">
        <v>2</v>
      </c>
      <c r="AH1934" s="4">
        <v>16</v>
      </c>
      <c r="AI1934" s="4">
        <v>33</v>
      </c>
      <c r="AJ1934" s="4">
        <v>6</v>
      </c>
      <c r="AK1934" s="4">
        <v>12</v>
      </c>
      <c r="AL1934" s="4">
        <v>11</v>
      </c>
      <c r="AM1934" s="4">
        <v>23</v>
      </c>
      <c r="AN1934" s="4">
        <v>0</v>
      </c>
      <c r="AO1934" s="4">
        <v>0</v>
      </c>
      <c r="AP1934" s="4">
        <v>6</v>
      </c>
      <c r="AQ1934" s="4">
        <v>20</v>
      </c>
      <c r="AR1934" s="3" t="s">
        <v>62</v>
      </c>
      <c r="AS1934" s="3" t="s">
        <v>62</v>
      </c>
      <c r="AT1934" s="3" t="s">
        <v>62</v>
      </c>
      <c r="AV1934" s="6" t="str">
        <f>HYPERLINK("http://mcgill.on.worldcat.org/oclc/587104211","Catalog Record")</f>
        <v>Catalog Record</v>
      </c>
      <c r="AW1934" s="6" t="str">
        <f>HYPERLINK("http://www.worldcat.org/oclc/587104211","WorldCat Record")</f>
        <v>WorldCat Record</v>
      </c>
      <c r="AX1934" s="3" t="s">
        <v>19201</v>
      </c>
      <c r="AY1934" s="3" t="s">
        <v>19202</v>
      </c>
      <c r="AZ1934" s="3" t="s">
        <v>19203</v>
      </c>
      <c r="BA1934" s="3" t="s">
        <v>19203</v>
      </c>
      <c r="BB1934" s="3" t="s">
        <v>19204</v>
      </c>
      <c r="BC1934" s="3" t="s">
        <v>102</v>
      </c>
      <c r="BD1934" s="3" t="s">
        <v>68</v>
      </c>
      <c r="BE1934" s="3" t="s">
        <v>19205</v>
      </c>
      <c r="BF1934" s="3" t="s">
        <v>19204</v>
      </c>
      <c r="BG1934" s="3" t="s">
        <v>19206</v>
      </c>
    </row>
    <row r="1935" spans="1:59" ht="58" x14ac:dyDescent="0.35">
      <c r="A1935" s="2" t="s">
        <v>89</v>
      </c>
      <c r="B1935" s="2" t="s">
        <v>90</v>
      </c>
      <c r="C1935" s="2" t="s">
        <v>19207</v>
      </c>
      <c r="D1935" s="2" t="s">
        <v>19208</v>
      </c>
      <c r="E1935" s="2" t="s">
        <v>19209</v>
      </c>
      <c r="G1935" s="3" t="s">
        <v>62</v>
      </c>
      <c r="I1935" s="3" t="s">
        <v>62</v>
      </c>
      <c r="J1935" s="3" t="s">
        <v>61</v>
      </c>
      <c r="K1935" s="3" t="s">
        <v>63</v>
      </c>
      <c r="L1935" s="2" t="s">
        <v>19210</v>
      </c>
      <c r="M1935" s="2" t="s">
        <v>19211</v>
      </c>
      <c r="N1935" s="3" t="s">
        <v>625</v>
      </c>
      <c r="O1935" s="2" t="s">
        <v>2986</v>
      </c>
      <c r="P1935" s="3" t="s">
        <v>64</v>
      </c>
      <c r="R1935" s="3" t="s">
        <v>13065</v>
      </c>
      <c r="S1935" s="4">
        <v>6</v>
      </c>
      <c r="T1935" s="4">
        <v>6</v>
      </c>
      <c r="U1935" s="5" t="s">
        <v>19212</v>
      </c>
      <c r="V1935" s="5" t="s">
        <v>19212</v>
      </c>
      <c r="W1935" s="5" t="s">
        <v>67</v>
      </c>
      <c r="X1935" s="5" t="s">
        <v>67</v>
      </c>
      <c r="Y1935" s="4">
        <v>166</v>
      </c>
      <c r="Z1935" s="4">
        <v>12</v>
      </c>
      <c r="AA1935" s="4">
        <v>60</v>
      </c>
      <c r="AB1935" s="4">
        <v>1</v>
      </c>
      <c r="AC1935" s="4">
        <v>10</v>
      </c>
      <c r="AD1935" s="4">
        <v>35</v>
      </c>
      <c r="AE1935" s="4">
        <v>98</v>
      </c>
      <c r="AF1935" s="4">
        <v>0</v>
      </c>
      <c r="AG1935" s="4">
        <v>4</v>
      </c>
      <c r="AH1935" s="4">
        <v>32</v>
      </c>
      <c r="AI1935" s="4">
        <v>79</v>
      </c>
      <c r="AJ1935" s="4">
        <v>6</v>
      </c>
      <c r="AK1935" s="4">
        <v>21</v>
      </c>
      <c r="AL1935" s="4">
        <v>19</v>
      </c>
      <c r="AM1935" s="4">
        <v>43</v>
      </c>
      <c r="AN1935" s="4">
        <v>0</v>
      </c>
      <c r="AO1935" s="4">
        <v>2</v>
      </c>
      <c r="AP1935" s="4">
        <v>7</v>
      </c>
      <c r="AQ1935" s="4">
        <v>30</v>
      </c>
      <c r="AR1935" s="3" t="s">
        <v>62</v>
      </c>
      <c r="AS1935" s="3" t="s">
        <v>62</v>
      </c>
      <c r="AT1935" s="3" t="s">
        <v>61</v>
      </c>
      <c r="AU1935" s="6" t="str">
        <f>HYPERLINK("http://catalog.hathitrust.org/Record/008326619","HathiTrust Record")</f>
        <v>HathiTrust Record</v>
      </c>
      <c r="AV1935" s="6" t="str">
        <f>HYPERLINK("http://mcgill.on.worldcat.org/oclc/51437757","Catalog Record")</f>
        <v>Catalog Record</v>
      </c>
      <c r="AW1935" s="6" t="str">
        <f>HYPERLINK("http://www.worldcat.org/oclc/51437757","WorldCat Record")</f>
        <v>WorldCat Record</v>
      </c>
      <c r="AX1935" s="3" t="s">
        <v>19213</v>
      </c>
      <c r="AY1935" s="3" t="s">
        <v>19214</v>
      </c>
      <c r="AZ1935" s="3" t="s">
        <v>19215</v>
      </c>
      <c r="BA1935" s="3" t="s">
        <v>19215</v>
      </c>
      <c r="BB1935" s="3" t="s">
        <v>19216</v>
      </c>
      <c r="BC1935" s="3" t="s">
        <v>102</v>
      </c>
      <c r="BD1935" s="3" t="s">
        <v>68</v>
      </c>
      <c r="BE1935" s="3" t="s">
        <v>19217</v>
      </c>
      <c r="BF1935" s="3" t="s">
        <v>19216</v>
      </c>
      <c r="BG1935" s="3" t="s">
        <v>19218</v>
      </c>
    </row>
    <row r="1936" spans="1:59" ht="58" x14ac:dyDescent="0.35">
      <c r="A1936" s="2" t="s">
        <v>89</v>
      </c>
      <c r="B1936" s="2" t="s">
        <v>90</v>
      </c>
      <c r="C1936" s="2" t="s">
        <v>19219</v>
      </c>
      <c r="D1936" s="2" t="s">
        <v>19220</v>
      </c>
      <c r="E1936" s="2" t="s">
        <v>19221</v>
      </c>
      <c r="G1936" s="3" t="s">
        <v>62</v>
      </c>
      <c r="I1936" s="3" t="s">
        <v>61</v>
      </c>
      <c r="J1936" s="3" t="s">
        <v>61</v>
      </c>
      <c r="K1936" s="3" t="s">
        <v>63</v>
      </c>
      <c r="L1936" s="2" t="s">
        <v>18453</v>
      </c>
      <c r="M1936" s="2" t="s">
        <v>19222</v>
      </c>
      <c r="N1936" s="3" t="s">
        <v>1722</v>
      </c>
      <c r="O1936" s="2" t="s">
        <v>17648</v>
      </c>
      <c r="P1936" s="3" t="s">
        <v>64</v>
      </c>
      <c r="R1936" s="3" t="s">
        <v>13065</v>
      </c>
      <c r="S1936" s="4">
        <v>33</v>
      </c>
      <c r="T1936" s="4">
        <v>126</v>
      </c>
      <c r="U1936" s="5" t="s">
        <v>19223</v>
      </c>
      <c r="V1936" s="5" t="s">
        <v>1579</v>
      </c>
      <c r="W1936" s="5" t="s">
        <v>67</v>
      </c>
      <c r="X1936" s="5" t="s">
        <v>67</v>
      </c>
      <c r="Y1936" s="4">
        <v>167</v>
      </c>
      <c r="Z1936" s="4">
        <v>15</v>
      </c>
      <c r="AA1936" s="4">
        <v>57</v>
      </c>
      <c r="AB1936" s="4">
        <v>1</v>
      </c>
      <c r="AC1936" s="4">
        <v>8</v>
      </c>
      <c r="AD1936" s="4">
        <v>28</v>
      </c>
      <c r="AE1936" s="4">
        <v>92</v>
      </c>
      <c r="AF1936" s="4">
        <v>0</v>
      </c>
      <c r="AG1936" s="4">
        <v>5</v>
      </c>
      <c r="AH1936" s="4">
        <v>25</v>
      </c>
      <c r="AI1936" s="4">
        <v>72</v>
      </c>
      <c r="AJ1936" s="4">
        <v>6</v>
      </c>
      <c r="AK1936" s="4">
        <v>23</v>
      </c>
      <c r="AL1936" s="4">
        <v>13</v>
      </c>
      <c r="AM1936" s="4">
        <v>37</v>
      </c>
      <c r="AN1936" s="4">
        <v>0</v>
      </c>
      <c r="AO1936" s="4">
        <v>5</v>
      </c>
      <c r="AP1936" s="4">
        <v>7</v>
      </c>
      <c r="AQ1936" s="4">
        <v>31</v>
      </c>
      <c r="AR1936" s="3" t="s">
        <v>62</v>
      </c>
      <c r="AS1936" s="3" t="s">
        <v>62</v>
      </c>
      <c r="AT1936" s="3" t="s">
        <v>61</v>
      </c>
      <c r="AU1936" s="6" t="str">
        <f>HYPERLINK("http://catalog.hathitrust.org/Record/008326625","HathiTrust Record")</f>
        <v>HathiTrust Record</v>
      </c>
      <c r="AV1936" s="6" t="str">
        <f>HYPERLINK("http://mcgill.on.worldcat.org/oclc/76786769","Catalog Record")</f>
        <v>Catalog Record</v>
      </c>
      <c r="AW1936" s="6" t="str">
        <f>HYPERLINK("http://www.worldcat.org/oclc/76786769","WorldCat Record")</f>
        <v>WorldCat Record</v>
      </c>
      <c r="AX1936" s="3" t="s">
        <v>19224</v>
      </c>
      <c r="AY1936" s="3" t="s">
        <v>19225</v>
      </c>
      <c r="AZ1936" s="3" t="s">
        <v>19226</v>
      </c>
      <c r="BA1936" s="3" t="s">
        <v>19226</v>
      </c>
      <c r="BB1936" s="3" t="s">
        <v>19227</v>
      </c>
      <c r="BC1936" s="3" t="s">
        <v>102</v>
      </c>
      <c r="BD1936" s="3" t="s">
        <v>68</v>
      </c>
      <c r="BE1936" s="3" t="s">
        <v>19228</v>
      </c>
      <c r="BF1936" s="3" t="s">
        <v>19227</v>
      </c>
      <c r="BG1936" s="3" t="s">
        <v>19229</v>
      </c>
    </row>
    <row r="1937" spans="1:59" ht="58" x14ac:dyDescent="0.35">
      <c r="A1937" s="2" t="s">
        <v>89</v>
      </c>
      <c r="B1937" s="2" t="s">
        <v>90</v>
      </c>
      <c r="C1937" s="2" t="s">
        <v>19219</v>
      </c>
      <c r="D1937" s="2" t="s">
        <v>19220</v>
      </c>
      <c r="E1937" s="2" t="s">
        <v>19221</v>
      </c>
      <c r="G1937" s="3" t="s">
        <v>62</v>
      </c>
      <c r="I1937" s="3" t="s">
        <v>61</v>
      </c>
      <c r="J1937" s="3" t="s">
        <v>61</v>
      </c>
      <c r="K1937" s="3" t="s">
        <v>63</v>
      </c>
      <c r="L1937" s="2" t="s">
        <v>18453</v>
      </c>
      <c r="M1937" s="2" t="s">
        <v>19222</v>
      </c>
      <c r="N1937" s="3" t="s">
        <v>1722</v>
      </c>
      <c r="O1937" s="2" t="s">
        <v>17648</v>
      </c>
      <c r="P1937" s="3" t="s">
        <v>64</v>
      </c>
      <c r="R1937" s="3" t="s">
        <v>13065</v>
      </c>
      <c r="S1937" s="4">
        <v>57</v>
      </c>
      <c r="T1937" s="4">
        <v>126</v>
      </c>
      <c r="U1937" s="5" t="s">
        <v>1579</v>
      </c>
      <c r="V1937" s="5" t="s">
        <v>1579</v>
      </c>
      <c r="W1937" s="5" t="s">
        <v>67</v>
      </c>
      <c r="X1937" s="5" t="s">
        <v>67</v>
      </c>
      <c r="Y1937" s="4">
        <v>167</v>
      </c>
      <c r="Z1937" s="4">
        <v>15</v>
      </c>
      <c r="AA1937" s="4">
        <v>57</v>
      </c>
      <c r="AB1937" s="4">
        <v>1</v>
      </c>
      <c r="AC1937" s="4">
        <v>8</v>
      </c>
      <c r="AD1937" s="4">
        <v>28</v>
      </c>
      <c r="AE1937" s="4">
        <v>92</v>
      </c>
      <c r="AF1937" s="4">
        <v>0</v>
      </c>
      <c r="AG1937" s="4">
        <v>5</v>
      </c>
      <c r="AH1937" s="4">
        <v>25</v>
      </c>
      <c r="AI1937" s="4">
        <v>72</v>
      </c>
      <c r="AJ1937" s="4">
        <v>6</v>
      </c>
      <c r="AK1937" s="4">
        <v>23</v>
      </c>
      <c r="AL1937" s="4">
        <v>13</v>
      </c>
      <c r="AM1937" s="4">
        <v>37</v>
      </c>
      <c r="AN1937" s="4">
        <v>0</v>
      </c>
      <c r="AO1937" s="4">
        <v>5</v>
      </c>
      <c r="AP1937" s="4">
        <v>7</v>
      </c>
      <c r="AQ1937" s="4">
        <v>31</v>
      </c>
      <c r="AR1937" s="3" t="s">
        <v>62</v>
      </c>
      <c r="AS1937" s="3" t="s">
        <v>62</v>
      </c>
      <c r="AT1937" s="3" t="s">
        <v>61</v>
      </c>
      <c r="AU1937" s="6" t="str">
        <f>HYPERLINK("http://catalog.hathitrust.org/Record/008326625","HathiTrust Record")</f>
        <v>HathiTrust Record</v>
      </c>
      <c r="AV1937" s="6" t="str">
        <f>HYPERLINK("http://mcgill.on.worldcat.org/oclc/76786769","Catalog Record")</f>
        <v>Catalog Record</v>
      </c>
      <c r="AW1937" s="6" t="str">
        <f>HYPERLINK("http://www.worldcat.org/oclc/76786769","WorldCat Record")</f>
        <v>WorldCat Record</v>
      </c>
      <c r="AX1937" s="3" t="s">
        <v>19224</v>
      </c>
      <c r="AY1937" s="3" t="s">
        <v>19225</v>
      </c>
      <c r="AZ1937" s="3" t="s">
        <v>19226</v>
      </c>
      <c r="BA1937" s="3" t="s">
        <v>19226</v>
      </c>
      <c r="BB1937" s="3" t="s">
        <v>19230</v>
      </c>
      <c r="BC1937" s="3" t="s">
        <v>102</v>
      </c>
      <c r="BD1937" s="3" t="s">
        <v>231</v>
      </c>
      <c r="BE1937" s="3" t="s">
        <v>19228</v>
      </c>
      <c r="BF1937" s="3" t="s">
        <v>19230</v>
      </c>
      <c r="BG1937" s="3" t="s">
        <v>19231</v>
      </c>
    </row>
    <row r="1938" spans="1:59" ht="58" x14ac:dyDescent="0.35">
      <c r="A1938" s="2" t="s">
        <v>89</v>
      </c>
      <c r="B1938" s="2" t="s">
        <v>90</v>
      </c>
      <c r="C1938" s="2" t="s">
        <v>19219</v>
      </c>
      <c r="D1938" s="2" t="s">
        <v>19220</v>
      </c>
      <c r="E1938" s="2" t="s">
        <v>19221</v>
      </c>
      <c r="G1938" s="3" t="s">
        <v>62</v>
      </c>
      <c r="I1938" s="3" t="s">
        <v>61</v>
      </c>
      <c r="J1938" s="3" t="s">
        <v>61</v>
      </c>
      <c r="K1938" s="3" t="s">
        <v>63</v>
      </c>
      <c r="L1938" s="2" t="s">
        <v>18453</v>
      </c>
      <c r="M1938" s="2" t="s">
        <v>19222</v>
      </c>
      <c r="N1938" s="3" t="s">
        <v>1722</v>
      </c>
      <c r="O1938" s="2" t="s">
        <v>17648</v>
      </c>
      <c r="P1938" s="3" t="s">
        <v>64</v>
      </c>
      <c r="R1938" s="3" t="s">
        <v>13065</v>
      </c>
      <c r="S1938" s="4">
        <v>36</v>
      </c>
      <c r="T1938" s="4">
        <v>126</v>
      </c>
      <c r="U1938" s="5" t="s">
        <v>5160</v>
      </c>
      <c r="V1938" s="5" t="s">
        <v>1579</v>
      </c>
      <c r="W1938" s="5" t="s">
        <v>67</v>
      </c>
      <c r="X1938" s="5" t="s">
        <v>67</v>
      </c>
      <c r="Y1938" s="4">
        <v>167</v>
      </c>
      <c r="Z1938" s="4">
        <v>15</v>
      </c>
      <c r="AA1938" s="4">
        <v>57</v>
      </c>
      <c r="AB1938" s="4">
        <v>1</v>
      </c>
      <c r="AC1938" s="4">
        <v>8</v>
      </c>
      <c r="AD1938" s="4">
        <v>28</v>
      </c>
      <c r="AE1938" s="4">
        <v>92</v>
      </c>
      <c r="AF1938" s="4">
        <v>0</v>
      </c>
      <c r="AG1938" s="4">
        <v>5</v>
      </c>
      <c r="AH1938" s="4">
        <v>25</v>
      </c>
      <c r="AI1938" s="4">
        <v>72</v>
      </c>
      <c r="AJ1938" s="4">
        <v>6</v>
      </c>
      <c r="AK1938" s="4">
        <v>23</v>
      </c>
      <c r="AL1938" s="4">
        <v>13</v>
      </c>
      <c r="AM1938" s="4">
        <v>37</v>
      </c>
      <c r="AN1938" s="4">
        <v>0</v>
      </c>
      <c r="AO1938" s="4">
        <v>5</v>
      </c>
      <c r="AP1938" s="4">
        <v>7</v>
      </c>
      <c r="AQ1938" s="4">
        <v>31</v>
      </c>
      <c r="AR1938" s="3" t="s">
        <v>62</v>
      </c>
      <c r="AS1938" s="3" t="s">
        <v>62</v>
      </c>
      <c r="AT1938" s="3" t="s">
        <v>61</v>
      </c>
      <c r="AU1938" s="6" t="str">
        <f>HYPERLINK("http://catalog.hathitrust.org/Record/008326625","HathiTrust Record")</f>
        <v>HathiTrust Record</v>
      </c>
      <c r="AV1938" s="6" t="str">
        <f>HYPERLINK("http://mcgill.on.worldcat.org/oclc/76786769","Catalog Record")</f>
        <v>Catalog Record</v>
      </c>
      <c r="AW1938" s="6" t="str">
        <f>HYPERLINK("http://www.worldcat.org/oclc/76786769","WorldCat Record")</f>
        <v>WorldCat Record</v>
      </c>
      <c r="AX1938" s="3" t="s">
        <v>19224</v>
      </c>
      <c r="AY1938" s="3" t="s">
        <v>19225</v>
      </c>
      <c r="AZ1938" s="3" t="s">
        <v>19226</v>
      </c>
      <c r="BA1938" s="3" t="s">
        <v>19226</v>
      </c>
      <c r="BB1938" s="3" t="s">
        <v>19232</v>
      </c>
      <c r="BC1938" s="3" t="s">
        <v>102</v>
      </c>
      <c r="BD1938" s="3" t="s">
        <v>68</v>
      </c>
      <c r="BE1938" s="3" t="s">
        <v>19228</v>
      </c>
      <c r="BF1938" s="3" t="s">
        <v>19232</v>
      </c>
      <c r="BG1938" s="3" t="s">
        <v>19233</v>
      </c>
    </row>
    <row r="1939" spans="1:59" ht="58" x14ac:dyDescent="0.35">
      <c r="A1939" s="2" t="s">
        <v>89</v>
      </c>
      <c r="B1939" s="2" t="s">
        <v>90</v>
      </c>
      <c r="C1939" s="2" t="s">
        <v>19234</v>
      </c>
      <c r="D1939" s="2" t="s">
        <v>19235</v>
      </c>
      <c r="E1939" s="2" t="s">
        <v>19221</v>
      </c>
      <c r="G1939" s="3" t="s">
        <v>62</v>
      </c>
      <c r="I1939" s="3" t="s">
        <v>61</v>
      </c>
      <c r="J1939" s="3" t="s">
        <v>61</v>
      </c>
      <c r="K1939" s="3" t="s">
        <v>63</v>
      </c>
      <c r="L1939" s="2" t="s">
        <v>18453</v>
      </c>
      <c r="M1939" s="2" t="s">
        <v>19236</v>
      </c>
      <c r="N1939" s="3" t="s">
        <v>684</v>
      </c>
      <c r="O1939" s="2" t="s">
        <v>17427</v>
      </c>
      <c r="P1939" s="3" t="s">
        <v>64</v>
      </c>
      <c r="R1939" s="3" t="s">
        <v>13065</v>
      </c>
      <c r="S1939" s="4">
        <v>62</v>
      </c>
      <c r="T1939" s="4">
        <v>146</v>
      </c>
      <c r="U1939" s="5" t="s">
        <v>15964</v>
      </c>
      <c r="V1939" s="5" t="s">
        <v>19237</v>
      </c>
      <c r="W1939" s="5" t="s">
        <v>67</v>
      </c>
      <c r="X1939" s="5" t="s">
        <v>67</v>
      </c>
      <c r="Y1939" s="4">
        <v>95</v>
      </c>
      <c r="Z1939" s="4">
        <v>10</v>
      </c>
      <c r="AA1939" s="4">
        <v>57</v>
      </c>
      <c r="AB1939" s="4">
        <v>1</v>
      </c>
      <c r="AC1939" s="4">
        <v>8</v>
      </c>
      <c r="AD1939" s="4">
        <v>14</v>
      </c>
      <c r="AE1939" s="4">
        <v>92</v>
      </c>
      <c r="AF1939" s="4">
        <v>0</v>
      </c>
      <c r="AG1939" s="4">
        <v>5</v>
      </c>
      <c r="AH1939" s="4">
        <v>12</v>
      </c>
      <c r="AI1939" s="4">
        <v>72</v>
      </c>
      <c r="AJ1939" s="4">
        <v>6</v>
      </c>
      <c r="AK1939" s="4">
        <v>23</v>
      </c>
      <c r="AL1939" s="4">
        <v>6</v>
      </c>
      <c r="AM1939" s="4">
        <v>37</v>
      </c>
      <c r="AN1939" s="4">
        <v>0</v>
      </c>
      <c r="AO1939" s="4">
        <v>5</v>
      </c>
      <c r="AP1939" s="4">
        <v>7</v>
      </c>
      <c r="AQ1939" s="4">
        <v>31</v>
      </c>
      <c r="AR1939" s="3" t="s">
        <v>62</v>
      </c>
      <c r="AS1939" s="3" t="s">
        <v>62</v>
      </c>
      <c r="AT1939" s="3" t="s">
        <v>62</v>
      </c>
      <c r="AV1939" s="6" t="str">
        <f>HYPERLINK("http://mcgill.on.worldcat.org/oclc/457156389","Catalog Record")</f>
        <v>Catalog Record</v>
      </c>
      <c r="AW1939" s="6" t="str">
        <f>HYPERLINK("http://www.worldcat.org/oclc/457156389","WorldCat Record")</f>
        <v>WorldCat Record</v>
      </c>
      <c r="AX1939" s="3" t="s">
        <v>19224</v>
      </c>
      <c r="AY1939" s="3" t="s">
        <v>19238</v>
      </c>
      <c r="AZ1939" s="3" t="s">
        <v>19239</v>
      </c>
      <c r="BA1939" s="3" t="s">
        <v>19239</v>
      </c>
      <c r="BB1939" s="3" t="s">
        <v>19240</v>
      </c>
      <c r="BC1939" s="3" t="s">
        <v>102</v>
      </c>
      <c r="BD1939" s="3" t="s">
        <v>68</v>
      </c>
      <c r="BE1939" s="3" t="s">
        <v>19241</v>
      </c>
      <c r="BF1939" s="3" t="s">
        <v>19240</v>
      </c>
      <c r="BG1939" s="3" t="s">
        <v>19242</v>
      </c>
    </row>
    <row r="1940" spans="1:59" ht="58" x14ac:dyDescent="0.35">
      <c r="A1940" s="2" t="s">
        <v>89</v>
      </c>
      <c r="B1940" s="2" t="s">
        <v>90</v>
      </c>
      <c r="C1940" s="2" t="s">
        <v>19234</v>
      </c>
      <c r="D1940" s="2" t="s">
        <v>19235</v>
      </c>
      <c r="E1940" s="2" t="s">
        <v>19221</v>
      </c>
      <c r="G1940" s="3" t="s">
        <v>62</v>
      </c>
      <c r="I1940" s="3" t="s">
        <v>61</v>
      </c>
      <c r="J1940" s="3" t="s">
        <v>61</v>
      </c>
      <c r="K1940" s="3" t="s">
        <v>63</v>
      </c>
      <c r="L1940" s="2" t="s">
        <v>18453</v>
      </c>
      <c r="M1940" s="2" t="s">
        <v>19236</v>
      </c>
      <c r="N1940" s="3" t="s">
        <v>684</v>
      </c>
      <c r="O1940" s="2" t="s">
        <v>17427</v>
      </c>
      <c r="P1940" s="3" t="s">
        <v>64</v>
      </c>
      <c r="R1940" s="3" t="s">
        <v>13065</v>
      </c>
      <c r="S1940" s="4">
        <v>84</v>
      </c>
      <c r="T1940" s="4">
        <v>146</v>
      </c>
      <c r="U1940" s="5" t="s">
        <v>19237</v>
      </c>
      <c r="V1940" s="5" t="s">
        <v>19237</v>
      </c>
      <c r="W1940" s="5" t="s">
        <v>67</v>
      </c>
      <c r="X1940" s="5" t="s">
        <v>67</v>
      </c>
      <c r="Y1940" s="4">
        <v>95</v>
      </c>
      <c r="Z1940" s="4">
        <v>10</v>
      </c>
      <c r="AA1940" s="4">
        <v>57</v>
      </c>
      <c r="AB1940" s="4">
        <v>1</v>
      </c>
      <c r="AC1940" s="4">
        <v>8</v>
      </c>
      <c r="AD1940" s="4">
        <v>14</v>
      </c>
      <c r="AE1940" s="4">
        <v>92</v>
      </c>
      <c r="AF1940" s="4">
        <v>0</v>
      </c>
      <c r="AG1940" s="4">
        <v>5</v>
      </c>
      <c r="AH1940" s="4">
        <v>12</v>
      </c>
      <c r="AI1940" s="4">
        <v>72</v>
      </c>
      <c r="AJ1940" s="4">
        <v>6</v>
      </c>
      <c r="AK1940" s="4">
        <v>23</v>
      </c>
      <c r="AL1940" s="4">
        <v>6</v>
      </c>
      <c r="AM1940" s="4">
        <v>37</v>
      </c>
      <c r="AN1940" s="4">
        <v>0</v>
      </c>
      <c r="AO1940" s="4">
        <v>5</v>
      </c>
      <c r="AP1940" s="4">
        <v>7</v>
      </c>
      <c r="AQ1940" s="4">
        <v>31</v>
      </c>
      <c r="AR1940" s="3" t="s">
        <v>62</v>
      </c>
      <c r="AS1940" s="3" t="s">
        <v>62</v>
      </c>
      <c r="AT1940" s="3" t="s">
        <v>62</v>
      </c>
      <c r="AV1940" s="6" t="str">
        <f>HYPERLINK("http://mcgill.on.worldcat.org/oclc/457156389","Catalog Record")</f>
        <v>Catalog Record</v>
      </c>
      <c r="AW1940" s="6" t="str">
        <f>HYPERLINK("http://www.worldcat.org/oclc/457156389","WorldCat Record")</f>
        <v>WorldCat Record</v>
      </c>
      <c r="AX1940" s="3" t="s">
        <v>19224</v>
      </c>
      <c r="AY1940" s="3" t="s">
        <v>19238</v>
      </c>
      <c r="AZ1940" s="3" t="s">
        <v>19239</v>
      </c>
      <c r="BA1940" s="3" t="s">
        <v>19239</v>
      </c>
      <c r="BB1940" s="3" t="s">
        <v>19243</v>
      </c>
      <c r="BC1940" s="3" t="s">
        <v>102</v>
      </c>
      <c r="BD1940" s="3" t="s">
        <v>231</v>
      </c>
      <c r="BE1940" s="3" t="s">
        <v>19241</v>
      </c>
      <c r="BF1940" s="3" t="s">
        <v>19243</v>
      </c>
      <c r="BG1940" s="3" t="s">
        <v>19244</v>
      </c>
    </row>
    <row r="1941" spans="1:59" ht="58" x14ac:dyDescent="0.35">
      <c r="A1941" s="2" t="s">
        <v>89</v>
      </c>
      <c r="B1941" s="2" t="s">
        <v>90</v>
      </c>
      <c r="C1941" s="2" t="s">
        <v>19245</v>
      </c>
      <c r="D1941" s="2" t="s">
        <v>19246</v>
      </c>
      <c r="E1941" s="2" t="s">
        <v>19247</v>
      </c>
      <c r="G1941" s="3" t="s">
        <v>62</v>
      </c>
      <c r="I1941" s="3" t="s">
        <v>62</v>
      </c>
      <c r="J1941" s="3" t="s">
        <v>61</v>
      </c>
      <c r="K1941" s="3" t="s">
        <v>63</v>
      </c>
      <c r="L1941" s="2" t="s">
        <v>19248</v>
      </c>
      <c r="M1941" s="2" t="s">
        <v>19249</v>
      </c>
      <c r="N1941" s="3" t="s">
        <v>1722</v>
      </c>
      <c r="O1941" s="2" t="s">
        <v>16059</v>
      </c>
      <c r="P1941" s="3" t="s">
        <v>64</v>
      </c>
      <c r="R1941" s="3" t="s">
        <v>13065</v>
      </c>
      <c r="S1941" s="4">
        <v>1</v>
      </c>
      <c r="T1941" s="4">
        <v>1</v>
      </c>
      <c r="U1941" s="5" t="s">
        <v>19212</v>
      </c>
      <c r="V1941" s="5" t="s">
        <v>19212</v>
      </c>
      <c r="W1941" s="5" t="s">
        <v>67</v>
      </c>
      <c r="X1941" s="5" t="s">
        <v>67</v>
      </c>
      <c r="Y1941" s="4">
        <v>137</v>
      </c>
      <c r="Z1941" s="4">
        <v>16</v>
      </c>
      <c r="AA1941" s="4">
        <v>75</v>
      </c>
      <c r="AB1941" s="4">
        <v>2</v>
      </c>
      <c r="AC1941" s="4">
        <v>16</v>
      </c>
      <c r="AD1941" s="4">
        <v>24</v>
      </c>
      <c r="AE1941" s="4">
        <v>103</v>
      </c>
      <c r="AF1941" s="4">
        <v>0</v>
      </c>
      <c r="AG1941" s="4">
        <v>9</v>
      </c>
      <c r="AH1941" s="4">
        <v>22</v>
      </c>
      <c r="AI1941" s="4">
        <v>75</v>
      </c>
      <c r="AJ1941" s="4">
        <v>5</v>
      </c>
      <c r="AK1941" s="4">
        <v>22</v>
      </c>
      <c r="AL1941" s="4">
        <v>14</v>
      </c>
      <c r="AM1941" s="4">
        <v>39</v>
      </c>
      <c r="AN1941" s="4">
        <v>5</v>
      </c>
      <c r="AO1941" s="4">
        <v>7</v>
      </c>
      <c r="AP1941" s="4">
        <v>6</v>
      </c>
      <c r="AQ1941" s="4">
        <v>35</v>
      </c>
      <c r="AR1941" s="3" t="s">
        <v>62</v>
      </c>
      <c r="AS1941" s="3" t="s">
        <v>62</v>
      </c>
      <c r="AT1941" s="3" t="s">
        <v>61</v>
      </c>
      <c r="AU1941" s="6" t="str">
        <f>HYPERLINK("http://catalog.hathitrust.org/Record/102052671","HathiTrust Record")</f>
        <v>HathiTrust Record</v>
      </c>
      <c r="AV1941" s="6" t="str">
        <f>HYPERLINK("http://mcgill.on.worldcat.org/oclc/80019989","Catalog Record")</f>
        <v>Catalog Record</v>
      </c>
      <c r="AW1941" s="6" t="str">
        <f>HYPERLINK("http://www.worldcat.org/oclc/80019989","WorldCat Record")</f>
        <v>WorldCat Record</v>
      </c>
      <c r="AX1941" s="3" t="s">
        <v>19250</v>
      </c>
      <c r="AY1941" s="3" t="s">
        <v>19251</v>
      </c>
      <c r="AZ1941" s="3" t="s">
        <v>19252</v>
      </c>
      <c r="BA1941" s="3" t="s">
        <v>19252</v>
      </c>
      <c r="BB1941" s="3" t="s">
        <v>19253</v>
      </c>
      <c r="BC1941" s="3" t="s">
        <v>102</v>
      </c>
      <c r="BD1941" s="3" t="s">
        <v>68</v>
      </c>
      <c r="BE1941" s="3" t="s">
        <v>19254</v>
      </c>
      <c r="BF1941" s="3" t="s">
        <v>19253</v>
      </c>
      <c r="BG1941" s="3" t="s">
        <v>19255</v>
      </c>
    </row>
    <row r="1942" spans="1:59" ht="58" x14ac:dyDescent="0.35">
      <c r="A1942" s="2" t="s">
        <v>89</v>
      </c>
      <c r="B1942" s="2" t="s">
        <v>90</v>
      </c>
      <c r="C1942" s="2" t="s">
        <v>19256</v>
      </c>
      <c r="D1942" s="2" t="s">
        <v>19257</v>
      </c>
      <c r="E1942" s="2" t="s">
        <v>19247</v>
      </c>
      <c r="G1942" s="3" t="s">
        <v>62</v>
      </c>
      <c r="I1942" s="3" t="s">
        <v>62</v>
      </c>
      <c r="J1942" s="3" t="s">
        <v>61</v>
      </c>
      <c r="K1942" s="3" t="s">
        <v>63</v>
      </c>
      <c r="L1942" s="2" t="s">
        <v>19248</v>
      </c>
      <c r="M1942" s="2" t="s">
        <v>19236</v>
      </c>
      <c r="N1942" s="3" t="s">
        <v>684</v>
      </c>
      <c r="O1942" s="2" t="s">
        <v>17018</v>
      </c>
      <c r="P1942" s="3" t="s">
        <v>64</v>
      </c>
      <c r="R1942" s="3" t="s">
        <v>13065</v>
      </c>
      <c r="S1942" s="4">
        <v>3</v>
      </c>
      <c r="T1942" s="4">
        <v>3</v>
      </c>
      <c r="U1942" s="5" t="s">
        <v>18898</v>
      </c>
      <c r="V1942" s="5" t="s">
        <v>18898</v>
      </c>
      <c r="W1942" s="5" t="s">
        <v>67</v>
      </c>
      <c r="X1942" s="5" t="s">
        <v>67</v>
      </c>
      <c r="Y1942" s="4">
        <v>122</v>
      </c>
      <c r="Z1942" s="4">
        <v>10</v>
      </c>
      <c r="AA1942" s="4">
        <v>75</v>
      </c>
      <c r="AB1942" s="4">
        <v>1</v>
      </c>
      <c r="AC1942" s="4">
        <v>16</v>
      </c>
      <c r="AD1942" s="4">
        <v>13</v>
      </c>
      <c r="AE1942" s="4">
        <v>103</v>
      </c>
      <c r="AF1942" s="4">
        <v>0</v>
      </c>
      <c r="AG1942" s="4">
        <v>9</v>
      </c>
      <c r="AH1942" s="4">
        <v>12</v>
      </c>
      <c r="AI1942" s="4">
        <v>75</v>
      </c>
      <c r="AJ1942" s="4">
        <v>3</v>
      </c>
      <c r="AK1942" s="4">
        <v>22</v>
      </c>
      <c r="AL1942" s="4">
        <v>8</v>
      </c>
      <c r="AM1942" s="4">
        <v>39</v>
      </c>
      <c r="AN1942" s="4">
        <v>0</v>
      </c>
      <c r="AO1942" s="4">
        <v>7</v>
      </c>
      <c r="AP1942" s="4">
        <v>4</v>
      </c>
      <c r="AQ1942" s="4">
        <v>35</v>
      </c>
      <c r="AR1942" s="3" t="s">
        <v>62</v>
      </c>
      <c r="AS1942" s="3" t="s">
        <v>62</v>
      </c>
      <c r="AT1942" s="3" t="s">
        <v>62</v>
      </c>
      <c r="AV1942" s="6" t="str">
        <f>HYPERLINK("http://mcgill.on.worldcat.org/oclc/429227850","Catalog Record")</f>
        <v>Catalog Record</v>
      </c>
      <c r="AW1942" s="6" t="str">
        <f>HYPERLINK("http://www.worldcat.org/oclc/429227850","WorldCat Record")</f>
        <v>WorldCat Record</v>
      </c>
      <c r="AX1942" s="3" t="s">
        <v>19250</v>
      </c>
      <c r="AY1942" s="3" t="s">
        <v>19258</v>
      </c>
      <c r="AZ1942" s="3" t="s">
        <v>19259</v>
      </c>
      <c r="BA1942" s="3" t="s">
        <v>19259</v>
      </c>
      <c r="BB1942" s="3" t="s">
        <v>19260</v>
      </c>
      <c r="BC1942" s="3" t="s">
        <v>102</v>
      </c>
      <c r="BD1942" s="3" t="s">
        <v>68</v>
      </c>
      <c r="BE1942" s="3" t="s">
        <v>19261</v>
      </c>
      <c r="BF1942" s="3" t="s">
        <v>19260</v>
      </c>
      <c r="BG1942" s="3" t="s">
        <v>19262</v>
      </c>
    </row>
    <row r="1943" spans="1:59" ht="58" x14ac:dyDescent="0.35">
      <c r="A1943" s="2" t="s">
        <v>89</v>
      </c>
      <c r="B1943" s="2" t="s">
        <v>90</v>
      </c>
      <c r="C1943" s="2" t="s">
        <v>19263</v>
      </c>
      <c r="D1943" s="2" t="s">
        <v>19264</v>
      </c>
      <c r="E1943" s="2" t="s">
        <v>19265</v>
      </c>
      <c r="G1943" s="3" t="s">
        <v>62</v>
      </c>
      <c r="I1943" s="3" t="s">
        <v>62</v>
      </c>
      <c r="J1943" s="3" t="s">
        <v>62</v>
      </c>
      <c r="K1943" s="3" t="s">
        <v>63</v>
      </c>
      <c r="M1943" s="2" t="s">
        <v>14633</v>
      </c>
      <c r="N1943" s="3" t="s">
        <v>129</v>
      </c>
      <c r="P1943" s="3" t="s">
        <v>64</v>
      </c>
      <c r="Q1943" s="2" t="s">
        <v>19266</v>
      </c>
      <c r="R1943" s="3" t="s">
        <v>13065</v>
      </c>
      <c r="S1943" s="4">
        <v>6</v>
      </c>
      <c r="T1943" s="4">
        <v>6</v>
      </c>
      <c r="U1943" s="5" t="s">
        <v>105</v>
      </c>
      <c r="V1943" s="5" t="s">
        <v>105</v>
      </c>
      <c r="W1943" s="5" t="s">
        <v>67</v>
      </c>
      <c r="X1943" s="5" t="s">
        <v>67</v>
      </c>
      <c r="Y1943" s="4">
        <v>116</v>
      </c>
      <c r="Z1943" s="4">
        <v>13</v>
      </c>
      <c r="AA1943" s="4">
        <v>23</v>
      </c>
      <c r="AB1943" s="4">
        <v>1</v>
      </c>
      <c r="AC1943" s="4">
        <v>6</v>
      </c>
      <c r="AD1943" s="4">
        <v>37</v>
      </c>
      <c r="AE1943" s="4">
        <v>57</v>
      </c>
      <c r="AF1943" s="4">
        <v>0</v>
      </c>
      <c r="AG1943" s="4">
        <v>2</v>
      </c>
      <c r="AH1943" s="4">
        <v>32</v>
      </c>
      <c r="AI1943" s="4">
        <v>48</v>
      </c>
      <c r="AJ1943" s="4">
        <v>10</v>
      </c>
      <c r="AK1943" s="4">
        <v>14</v>
      </c>
      <c r="AL1943" s="4">
        <v>20</v>
      </c>
      <c r="AM1943" s="4">
        <v>30</v>
      </c>
      <c r="AN1943" s="4">
        <v>0</v>
      </c>
      <c r="AO1943" s="4">
        <v>0</v>
      </c>
      <c r="AP1943" s="4">
        <v>10</v>
      </c>
      <c r="AQ1943" s="4">
        <v>15</v>
      </c>
      <c r="AR1943" s="3" t="s">
        <v>62</v>
      </c>
      <c r="AS1943" s="3" t="s">
        <v>62</v>
      </c>
      <c r="AT1943" s="3" t="s">
        <v>62</v>
      </c>
      <c r="AV1943" s="6" t="str">
        <f>HYPERLINK("http://mcgill.on.worldcat.org/oclc/754734489","Catalog Record")</f>
        <v>Catalog Record</v>
      </c>
      <c r="AW1943" s="6" t="str">
        <f>HYPERLINK("http://www.worldcat.org/oclc/754734489","WorldCat Record")</f>
        <v>WorldCat Record</v>
      </c>
      <c r="AX1943" s="3" t="s">
        <v>19267</v>
      </c>
      <c r="AY1943" s="3" t="s">
        <v>19268</v>
      </c>
      <c r="AZ1943" s="3" t="s">
        <v>19269</v>
      </c>
      <c r="BA1943" s="3" t="s">
        <v>19269</v>
      </c>
      <c r="BB1943" s="3" t="s">
        <v>19270</v>
      </c>
      <c r="BC1943" s="3" t="s">
        <v>102</v>
      </c>
      <c r="BD1943" s="3" t="s">
        <v>68</v>
      </c>
      <c r="BE1943" s="3" t="s">
        <v>19271</v>
      </c>
      <c r="BF1943" s="3" t="s">
        <v>19270</v>
      </c>
      <c r="BG1943" s="3" t="s">
        <v>19272</v>
      </c>
    </row>
    <row r="1944" spans="1:59" ht="58" x14ac:dyDescent="0.35">
      <c r="A1944" s="2" t="s">
        <v>89</v>
      </c>
      <c r="B1944" s="2" t="s">
        <v>90</v>
      </c>
      <c r="C1944" s="2" t="s">
        <v>19273</v>
      </c>
      <c r="D1944" s="2" t="s">
        <v>19274</v>
      </c>
      <c r="E1944" s="2" t="s">
        <v>19275</v>
      </c>
      <c r="G1944" s="3" t="s">
        <v>62</v>
      </c>
      <c r="I1944" s="3" t="s">
        <v>62</v>
      </c>
      <c r="J1944" s="3" t="s">
        <v>61</v>
      </c>
      <c r="K1944" s="3" t="s">
        <v>63</v>
      </c>
      <c r="L1944" s="2" t="s">
        <v>19276</v>
      </c>
      <c r="M1944" s="2" t="s">
        <v>17029</v>
      </c>
      <c r="N1944" s="3" t="s">
        <v>698</v>
      </c>
      <c r="O1944" s="2" t="s">
        <v>17648</v>
      </c>
      <c r="P1944" s="3" t="s">
        <v>64</v>
      </c>
      <c r="R1944" s="3" t="s">
        <v>13065</v>
      </c>
      <c r="S1944" s="4">
        <v>2</v>
      </c>
      <c r="T1944" s="4">
        <v>2</v>
      </c>
      <c r="U1944" s="5" t="s">
        <v>2645</v>
      </c>
      <c r="V1944" s="5" t="s">
        <v>2645</v>
      </c>
      <c r="W1944" s="5" t="s">
        <v>67</v>
      </c>
      <c r="X1944" s="5" t="s">
        <v>67</v>
      </c>
      <c r="Y1944" s="4">
        <v>56</v>
      </c>
      <c r="Z1944" s="4">
        <v>2</v>
      </c>
      <c r="AA1944" s="4">
        <v>33</v>
      </c>
      <c r="AB1944" s="4">
        <v>1</v>
      </c>
      <c r="AC1944" s="4">
        <v>6</v>
      </c>
      <c r="AD1944" s="4">
        <v>12</v>
      </c>
      <c r="AE1944" s="4">
        <v>65</v>
      </c>
      <c r="AF1944" s="4">
        <v>0</v>
      </c>
      <c r="AG1944" s="4">
        <v>3</v>
      </c>
      <c r="AH1944" s="4">
        <v>12</v>
      </c>
      <c r="AI1944" s="4">
        <v>56</v>
      </c>
      <c r="AJ1944" s="4">
        <v>0</v>
      </c>
      <c r="AK1944" s="4">
        <v>11</v>
      </c>
      <c r="AL1944" s="4">
        <v>9</v>
      </c>
      <c r="AM1944" s="4">
        <v>29</v>
      </c>
      <c r="AN1944" s="4">
        <v>0</v>
      </c>
      <c r="AO1944" s="4">
        <v>2</v>
      </c>
      <c r="AP1944" s="4">
        <v>0</v>
      </c>
      <c r="AQ1944" s="4">
        <v>17</v>
      </c>
      <c r="AR1944" s="3" t="s">
        <v>62</v>
      </c>
      <c r="AS1944" s="3" t="s">
        <v>62</v>
      </c>
      <c r="AT1944" s="3" t="s">
        <v>62</v>
      </c>
      <c r="AV1944" s="6" t="str">
        <f>HYPERLINK("http://mcgill.on.worldcat.org/oclc/710815938","Catalog Record")</f>
        <v>Catalog Record</v>
      </c>
      <c r="AW1944" s="6" t="str">
        <f>HYPERLINK("http://www.worldcat.org/oclc/710815938","WorldCat Record")</f>
        <v>WorldCat Record</v>
      </c>
      <c r="AX1944" s="3" t="s">
        <v>19277</v>
      </c>
      <c r="AY1944" s="3" t="s">
        <v>19278</v>
      </c>
      <c r="AZ1944" s="3" t="s">
        <v>19279</v>
      </c>
      <c r="BA1944" s="3" t="s">
        <v>19279</v>
      </c>
      <c r="BB1944" s="3" t="s">
        <v>19280</v>
      </c>
      <c r="BC1944" s="3" t="s">
        <v>102</v>
      </c>
      <c r="BD1944" s="3" t="s">
        <v>68</v>
      </c>
      <c r="BE1944" s="3" t="s">
        <v>19281</v>
      </c>
      <c r="BF1944" s="3" t="s">
        <v>19280</v>
      </c>
      <c r="BG1944" s="3" t="s">
        <v>19282</v>
      </c>
    </row>
    <row r="1945" spans="1:59" ht="72.5" x14ac:dyDescent="0.35">
      <c r="A1945" s="2" t="s">
        <v>89</v>
      </c>
      <c r="B1945" s="2" t="s">
        <v>90</v>
      </c>
      <c r="C1945" s="2" t="s">
        <v>19283</v>
      </c>
      <c r="D1945" s="2" t="s">
        <v>19284</v>
      </c>
      <c r="E1945" s="2" t="s">
        <v>19285</v>
      </c>
      <c r="G1945" s="3" t="s">
        <v>62</v>
      </c>
      <c r="I1945" s="3" t="s">
        <v>61</v>
      </c>
      <c r="J1945" s="3" t="s">
        <v>61</v>
      </c>
      <c r="K1945" s="3" t="s">
        <v>63</v>
      </c>
      <c r="L1945" s="2" t="s">
        <v>19286</v>
      </c>
      <c r="M1945" s="2" t="s">
        <v>19287</v>
      </c>
      <c r="N1945" s="3" t="s">
        <v>655</v>
      </c>
      <c r="O1945" s="2" t="s">
        <v>19288</v>
      </c>
      <c r="P1945" s="3" t="s">
        <v>64</v>
      </c>
      <c r="R1945" s="3" t="s">
        <v>13065</v>
      </c>
      <c r="S1945" s="4">
        <v>14</v>
      </c>
      <c r="T1945" s="4">
        <v>16</v>
      </c>
      <c r="U1945" s="5" t="s">
        <v>19289</v>
      </c>
      <c r="V1945" s="5" t="s">
        <v>19290</v>
      </c>
      <c r="W1945" s="5" t="s">
        <v>67</v>
      </c>
      <c r="X1945" s="5" t="s">
        <v>67</v>
      </c>
      <c r="Y1945" s="4">
        <v>218</v>
      </c>
      <c r="Z1945" s="4">
        <v>19</v>
      </c>
      <c r="AA1945" s="4">
        <v>73</v>
      </c>
      <c r="AB1945" s="4">
        <v>2</v>
      </c>
      <c r="AC1945" s="4">
        <v>8</v>
      </c>
      <c r="AD1945" s="4">
        <v>37</v>
      </c>
      <c r="AE1945" s="4">
        <v>113</v>
      </c>
      <c r="AF1945" s="4">
        <v>1</v>
      </c>
      <c r="AG1945" s="4">
        <v>4</v>
      </c>
      <c r="AH1945" s="4">
        <v>29</v>
      </c>
      <c r="AI1945" s="4">
        <v>87</v>
      </c>
      <c r="AJ1945" s="4">
        <v>9</v>
      </c>
      <c r="AK1945" s="4">
        <v>20</v>
      </c>
      <c r="AL1945" s="4">
        <v>16</v>
      </c>
      <c r="AM1945" s="4">
        <v>44</v>
      </c>
      <c r="AN1945" s="4">
        <v>0</v>
      </c>
      <c r="AO1945" s="4">
        <v>0</v>
      </c>
      <c r="AP1945" s="4">
        <v>13</v>
      </c>
      <c r="AQ1945" s="4">
        <v>36</v>
      </c>
      <c r="AR1945" s="3" t="s">
        <v>62</v>
      </c>
      <c r="AS1945" s="3" t="s">
        <v>62</v>
      </c>
      <c r="AT1945" s="3" t="s">
        <v>61</v>
      </c>
      <c r="AU1945" s="6" t="str">
        <f>HYPERLINK("http://catalog.hathitrust.org/Record/008326645","HathiTrust Record")</f>
        <v>HathiTrust Record</v>
      </c>
      <c r="AV1945" s="6" t="str">
        <f>HYPERLINK("http://mcgill.on.worldcat.org/oclc/61362886","Catalog Record")</f>
        <v>Catalog Record</v>
      </c>
      <c r="AW1945" s="6" t="str">
        <f>HYPERLINK("http://www.worldcat.org/oclc/61362886","WorldCat Record")</f>
        <v>WorldCat Record</v>
      </c>
      <c r="AX1945" s="3" t="s">
        <v>19291</v>
      </c>
      <c r="AY1945" s="3" t="s">
        <v>19292</v>
      </c>
      <c r="AZ1945" s="3" t="s">
        <v>19293</v>
      </c>
      <c r="BA1945" s="3" t="s">
        <v>19293</v>
      </c>
      <c r="BB1945" s="3" t="s">
        <v>19294</v>
      </c>
      <c r="BC1945" s="3" t="s">
        <v>102</v>
      </c>
      <c r="BD1945" s="3" t="s">
        <v>68</v>
      </c>
      <c r="BE1945" s="3" t="s">
        <v>19295</v>
      </c>
      <c r="BF1945" s="3" t="s">
        <v>19294</v>
      </c>
      <c r="BG1945" s="3" t="s">
        <v>19296</v>
      </c>
    </row>
    <row r="1946" spans="1:59" ht="72.5" x14ac:dyDescent="0.35">
      <c r="A1946" s="2" t="s">
        <v>89</v>
      </c>
      <c r="B1946" s="2" t="s">
        <v>90</v>
      </c>
      <c r="C1946" s="2" t="s">
        <v>19283</v>
      </c>
      <c r="D1946" s="2" t="s">
        <v>19284</v>
      </c>
      <c r="E1946" s="2" t="s">
        <v>19285</v>
      </c>
      <c r="G1946" s="3" t="s">
        <v>62</v>
      </c>
      <c r="I1946" s="3" t="s">
        <v>61</v>
      </c>
      <c r="J1946" s="3" t="s">
        <v>61</v>
      </c>
      <c r="K1946" s="3" t="s">
        <v>63</v>
      </c>
      <c r="L1946" s="2" t="s">
        <v>19286</v>
      </c>
      <c r="M1946" s="2" t="s">
        <v>19287</v>
      </c>
      <c r="N1946" s="3" t="s">
        <v>655</v>
      </c>
      <c r="O1946" s="2" t="s">
        <v>19288</v>
      </c>
      <c r="P1946" s="3" t="s">
        <v>64</v>
      </c>
      <c r="R1946" s="3" t="s">
        <v>13065</v>
      </c>
      <c r="S1946" s="4">
        <v>2</v>
      </c>
      <c r="T1946" s="4">
        <v>16</v>
      </c>
      <c r="U1946" s="5" t="s">
        <v>19290</v>
      </c>
      <c r="V1946" s="5" t="s">
        <v>19290</v>
      </c>
      <c r="W1946" s="5" t="s">
        <v>67</v>
      </c>
      <c r="X1946" s="5" t="s">
        <v>67</v>
      </c>
      <c r="Y1946" s="4">
        <v>218</v>
      </c>
      <c r="Z1946" s="4">
        <v>19</v>
      </c>
      <c r="AA1946" s="4">
        <v>73</v>
      </c>
      <c r="AB1946" s="4">
        <v>2</v>
      </c>
      <c r="AC1946" s="4">
        <v>8</v>
      </c>
      <c r="AD1946" s="4">
        <v>37</v>
      </c>
      <c r="AE1946" s="4">
        <v>113</v>
      </c>
      <c r="AF1946" s="4">
        <v>1</v>
      </c>
      <c r="AG1946" s="4">
        <v>4</v>
      </c>
      <c r="AH1946" s="4">
        <v>29</v>
      </c>
      <c r="AI1946" s="4">
        <v>87</v>
      </c>
      <c r="AJ1946" s="4">
        <v>9</v>
      </c>
      <c r="AK1946" s="4">
        <v>20</v>
      </c>
      <c r="AL1946" s="4">
        <v>16</v>
      </c>
      <c r="AM1946" s="4">
        <v>44</v>
      </c>
      <c r="AN1946" s="4">
        <v>0</v>
      </c>
      <c r="AO1946" s="4">
        <v>0</v>
      </c>
      <c r="AP1946" s="4">
        <v>13</v>
      </c>
      <c r="AQ1946" s="4">
        <v>36</v>
      </c>
      <c r="AR1946" s="3" t="s">
        <v>62</v>
      </c>
      <c r="AS1946" s="3" t="s">
        <v>62</v>
      </c>
      <c r="AT1946" s="3" t="s">
        <v>61</v>
      </c>
      <c r="AU1946" s="6" t="str">
        <f>HYPERLINK("http://catalog.hathitrust.org/Record/008326645","HathiTrust Record")</f>
        <v>HathiTrust Record</v>
      </c>
      <c r="AV1946" s="6" t="str">
        <f>HYPERLINK("http://mcgill.on.worldcat.org/oclc/61362886","Catalog Record")</f>
        <v>Catalog Record</v>
      </c>
      <c r="AW1946" s="6" t="str">
        <f>HYPERLINK("http://www.worldcat.org/oclc/61362886","WorldCat Record")</f>
        <v>WorldCat Record</v>
      </c>
      <c r="AX1946" s="3" t="s">
        <v>19291</v>
      </c>
      <c r="AY1946" s="3" t="s">
        <v>19292</v>
      </c>
      <c r="AZ1946" s="3" t="s">
        <v>19293</v>
      </c>
      <c r="BA1946" s="3" t="s">
        <v>19293</v>
      </c>
      <c r="BB1946" s="3" t="s">
        <v>19297</v>
      </c>
      <c r="BC1946" s="3" t="s">
        <v>102</v>
      </c>
      <c r="BD1946" s="3" t="s">
        <v>68</v>
      </c>
      <c r="BE1946" s="3" t="s">
        <v>19295</v>
      </c>
      <c r="BF1946" s="3" t="s">
        <v>19297</v>
      </c>
      <c r="BG1946" s="3" t="s">
        <v>19298</v>
      </c>
    </row>
    <row r="1947" spans="1:59" ht="72.5" x14ac:dyDescent="0.35">
      <c r="A1947" s="2" t="s">
        <v>89</v>
      </c>
      <c r="B1947" s="2" t="s">
        <v>90</v>
      </c>
      <c r="C1947" s="2" t="s">
        <v>19299</v>
      </c>
      <c r="D1947" s="2" t="s">
        <v>19300</v>
      </c>
      <c r="E1947" s="2" t="s">
        <v>19301</v>
      </c>
      <c r="G1947" s="3" t="s">
        <v>62</v>
      </c>
      <c r="I1947" s="3" t="s">
        <v>62</v>
      </c>
      <c r="J1947" s="3" t="s">
        <v>62</v>
      </c>
      <c r="K1947" s="3" t="s">
        <v>63</v>
      </c>
      <c r="L1947" s="2" t="s">
        <v>19302</v>
      </c>
      <c r="M1947" s="2" t="s">
        <v>16661</v>
      </c>
      <c r="N1947" s="3" t="s">
        <v>880</v>
      </c>
      <c r="P1947" s="3" t="s">
        <v>64</v>
      </c>
      <c r="Q1947" s="2" t="s">
        <v>19303</v>
      </c>
      <c r="R1947" s="3" t="s">
        <v>13065</v>
      </c>
      <c r="S1947" s="4">
        <v>1</v>
      </c>
      <c r="T1947" s="4">
        <v>1</v>
      </c>
      <c r="U1947" s="5" t="s">
        <v>12991</v>
      </c>
      <c r="V1947" s="5" t="s">
        <v>12991</v>
      </c>
      <c r="W1947" s="5" t="s">
        <v>67</v>
      </c>
      <c r="X1947" s="5" t="s">
        <v>67</v>
      </c>
      <c r="Y1947" s="4">
        <v>114</v>
      </c>
      <c r="Z1947" s="4">
        <v>4</v>
      </c>
      <c r="AA1947" s="4">
        <v>22</v>
      </c>
      <c r="AB1947" s="4">
        <v>1</v>
      </c>
      <c r="AC1947" s="4">
        <v>7</v>
      </c>
      <c r="AD1947" s="4">
        <v>14</v>
      </c>
      <c r="AE1947" s="4">
        <v>54</v>
      </c>
      <c r="AF1947" s="4">
        <v>0</v>
      </c>
      <c r="AG1947" s="4">
        <v>3</v>
      </c>
      <c r="AH1947" s="4">
        <v>13</v>
      </c>
      <c r="AI1947" s="4">
        <v>45</v>
      </c>
      <c r="AJ1947" s="4">
        <v>3</v>
      </c>
      <c r="AK1947" s="4">
        <v>14</v>
      </c>
      <c r="AL1947" s="4">
        <v>8</v>
      </c>
      <c r="AM1947" s="4">
        <v>26</v>
      </c>
      <c r="AN1947" s="4">
        <v>0</v>
      </c>
      <c r="AO1947" s="4">
        <v>0</v>
      </c>
      <c r="AP1947" s="4">
        <v>3</v>
      </c>
      <c r="AQ1947" s="4">
        <v>16</v>
      </c>
      <c r="AR1947" s="3" t="s">
        <v>62</v>
      </c>
      <c r="AS1947" s="3" t="s">
        <v>62</v>
      </c>
      <c r="AT1947" s="3" t="s">
        <v>62</v>
      </c>
      <c r="AV1947" s="6" t="str">
        <f>HYPERLINK("http://mcgill.on.worldcat.org/oclc/317467203","Catalog Record")</f>
        <v>Catalog Record</v>
      </c>
      <c r="AW1947" s="6" t="str">
        <f>HYPERLINK("http://www.worldcat.org/oclc/317467203","WorldCat Record")</f>
        <v>WorldCat Record</v>
      </c>
      <c r="AX1947" s="3" t="s">
        <v>19304</v>
      </c>
      <c r="AY1947" s="3" t="s">
        <v>19305</v>
      </c>
      <c r="AZ1947" s="3" t="s">
        <v>19306</v>
      </c>
      <c r="BA1947" s="3" t="s">
        <v>19306</v>
      </c>
      <c r="BB1947" s="3" t="s">
        <v>19307</v>
      </c>
      <c r="BC1947" s="3" t="s">
        <v>102</v>
      </c>
      <c r="BD1947" s="3" t="s">
        <v>68</v>
      </c>
      <c r="BE1947" s="3" t="s">
        <v>19308</v>
      </c>
      <c r="BF1947" s="3" t="s">
        <v>19307</v>
      </c>
      <c r="BG1947" s="3" t="s">
        <v>19309</v>
      </c>
    </row>
    <row r="1948" spans="1:59" ht="58" x14ac:dyDescent="0.35">
      <c r="A1948" s="2" t="s">
        <v>89</v>
      </c>
      <c r="B1948" s="2" t="s">
        <v>90</v>
      </c>
      <c r="C1948" s="2" t="s">
        <v>19310</v>
      </c>
      <c r="D1948" s="2" t="s">
        <v>19311</v>
      </c>
      <c r="E1948" s="2" t="s">
        <v>19312</v>
      </c>
      <c r="G1948" s="3" t="s">
        <v>62</v>
      </c>
      <c r="I1948" s="3" t="s">
        <v>62</v>
      </c>
      <c r="J1948" s="3" t="s">
        <v>62</v>
      </c>
      <c r="K1948" s="3" t="s">
        <v>63</v>
      </c>
      <c r="L1948" s="2" t="s">
        <v>19313</v>
      </c>
      <c r="M1948" s="2" t="s">
        <v>19314</v>
      </c>
      <c r="N1948" s="3" t="s">
        <v>1722</v>
      </c>
      <c r="P1948" s="3" t="s">
        <v>64</v>
      </c>
      <c r="R1948" s="3" t="s">
        <v>13065</v>
      </c>
      <c r="S1948" s="4">
        <v>32</v>
      </c>
      <c r="T1948" s="4">
        <v>32</v>
      </c>
      <c r="U1948" s="5" t="s">
        <v>19315</v>
      </c>
      <c r="V1948" s="5" t="s">
        <v>19315</v>
      </c>
      <c r="W1948" s="5" t="s">
        <v>67</v>
      </c>
      <c r="X1948" s="5" t="s">
        <v>67</v>
      </c>
      <c r="Y1948" s="4">
        <v>504</v>
      </c>
      <c r="Z1948" s="4">
        <v>26</v>
      </c>
      <c r="AA1948" s="4">
        <v>45</v>
      </c>
      <c r="AB1948" s="4">
        <v>4</v>
      </c>
      <c r="AC1948" s="4">
        <v>16</v>
      </c>
      <c r="AD1948" s="4">
        <v>91</v>
      </c>
      <c r="AE1948" s="4">
        <v>107</v>
      </c>
      <c r="AF1948" s="4">
        <v>2</v>
      </c>
      <c r="AG1948" s="4">
        <v>8</v>
      </c>
      <c r="AH1948" s="4">
        <v>76</v>
      </c>
      <c r="AI1948" s="4">
        <v>83</v>
      </c>
      <c r="AJ1948" s="4">
        <v>14</v>
      </c>
      <c r="AK1948" s="4">
        <v>19</v>
      </c>
      <c r="AL1948" s="4">
        <v>44</v>
      </c>
      <c r="AM1948" s="4">
        <v>47</v>
      </c>
      <c r="AN1948" s="4">
        <v>0</v>
      </c>
      <c r="AO1948" s="4">
        <v>0</v>
      </c>
      <c r="AP1948" s="4">
        <v>21</v>
      </c>
      <c r="AQ1948" s="4">
        <v>30</v>
      </c>
      <c r="AR1948" s="3" t="s">
        <v>62</v>
      </c>
      <c r="AS1948" s="3" t="s">
        <v>62</v>
      </c>
      <c r="AT1948" s="3" t="s">
        <v>62</v>
      </c>
      <c r="AV1948" s="6" t="str">
        <f>HYPERLINK("http://mcgill.on.worldcat.org/oclc/190786122","Catalog Record")</f>
        <v>Catalog Record</v>
      </c>
      <c r="AW1948" s="6" t="str">
        <f>HYPERLINK("http://www.worldcat.org/oclc/190786122","WorldCat Record")</f>
        <v>WorldCat Record</v>
      </c>
      <c r="AX1948" s="3" t="s">
        <v>19316</v>
      </c>
      <c r="AY1948" s="3" t="s">
        <v>19317</v>
      </c>
      <c r="AZ1948" s="3" t="s">
        <v>19318</v>
      </c>
      <c r="BA1948" s="3" t="s">
        <v>19318</v>
      </c>
      <c r="BB1948" s="3" t="s">
        <v>19319</v>
      </c>
      <c r="BC1948" s="3" t="s">
        <v>102</v>
      </c>
      <c r="BD1948" s="3" t="s">
        <v>68</v>
      </c>
      <c r="BE1948" s="3" t="s">
        <v>19320</v>
      </c>
      <c r="BF1948" s="3" t="s">
        <v>19319</v>
      </c>
      <c r="BG1948" s="3" t="s">
        <v>19321</v>
      </c>
    </row>
    <row r="1949" spans="1:59" ht="72.5" x14ac:dyDescent="0.35">
      <c r="A1949" s="2" t="s">
        <v>89</v>
      </c>
      <c r="B1949" s="2" t="s">
        <v>90</v>
      </c>
      <c r="C1949" s="2" t="s">
        <v>19322</v>
      </c>
      <c r="D1949" s="2" t="s">
        <v>19323</v>
      </c>
      <c r="E1949" s="2" t="s">
        <v>19324</v>
      </c>
      <c r="F1949" s="3" t="s">
        <v>2233</v>
      </c>
      <c r="G1949" s="3" t="s">
        <v>61</v>
      </c>
      <c r="I1949" s="3" t="s">
        <v>62</v>
      </c>
      <c r="J1949" s="3" t="s">
        <v>62</v>
      </c>
      <c r="K1949" s="3" t="s">
        <v>63</v>
      </c>
      <c r="L1949" s="2" t="s">
        <v>19325</v>
      </c>
      <c r="M1949" s="2" t="s">
        <v>19326</v>
      </c>
      <c r="N1949" s="3" t="s">
        <v>596</v>
      </c>
      <c r="P1949" s="3" t="s">
        <v>64</v>
      </c>
      <c r="R1949" s="3" t="s">
        <v>13065</v>
      </c>
      <c r="S1949" s="4">
        <v>3</v>
      </c>
      <c r="T1949" s="4">
        <v>12</v>
      </c>
      <c r="U1949" s="5" t="s">
        <v>7461</v>
      </c>
      <c r="V1949" s="5" t="s">
        <v>7461</v>
      </c>
      <c r="W1949" s="5" t="s">
        <v>67</v>
      </c>
      <c r="X1949" s="5" t="s">
        <v>67</v>
      </c>
      <c r="Y1949" s="4">
        <v>69</v>
      </c>
      <c r="Z1949" s="4">
        <v>2</v>
      </c>
      <c r="AA1949" s="4">
        <v>3</v>
      </c>
      <c r="AB1949" s="4">
        <v>1</v>
      </c>
      <c r="AC1949" s="4">
        <v>1</v>
      </c>
      <c r="AD1949" s="4">
        <v>32</v>
      </c>
      <c r="AE1949" s="4">
        <v>33</v>
      </c>
      <c r="AF1949" s="4">
        <v>0</v>
      </c>
      <c r="AG1949" s="4">
        <v>0</v>
      </c>
      <c r="AH1949" s="4">
        <v>31</v>
      </c>
      <c r="AI1949" s="4">
        <v>31</v>
      </c>
      <c r="AJ1949" s="4">
        <v>1</v>
      </c>
      <c r="AK1949" s="4">
        <v>2</v>
      </c>
      <c r="AL1949" s="4">
        <v>17</v>
      </c>
      <c r="AM1949" s="4">
        <v>17</v>
      </c>
      <c r="AN1949" s="4">
        <v>0</v>
      </c>
      <c r="AO1949" s="4">
        <v>0</v>
      </c>
      <c r="AP1949" s="4">
        <v>1</v>
      </c>
      <c r="AQ1949" s="4">
        <v>2</v>
      </c>
      <c r="AR1949" s="3" t="s">
        <v>62</v>
      </c>
      <c r="AS1949" s="3" t="s">
        <v>62</v>
      </c>
      <c r="AT1949" s="3" t="s">
        <v>62</v>
      </c>
      <c r="AV1949" s="6" t="str">
        <f>HYPERLINK("http://mcgill.on.worldcat.org/oclc/50123241","Catalog Record")</f>
        <v>Catalog Record</v>
      </c>
      <c r="AW1949" s="6" t="str">
        <f>HYPERLINK("http://www.worldcat.org/oclc/50123241","WorldCat Record")</f>
        <v>WorldCat Record</v>
      </c>
      <c r="AX1949" s="3" t="s">
        <v>19327</v>
      </c>
      <c r="AY1949" s="3" t="s">
        <v>19328</v>
      </c>
      <c r="AZ1949" s="3" t="s">
        <v>19329</v>
      </c>
      <c r="BA1949" s="3" t="s">
        <v>19329</v>
      </c>
      <c r="BB1949" s="3" t="s">
        <v>19330</v>
      </c>
      <c r="BC1949" s="3" t="s">
        <v>102</v>
      </c>
      <c r="BD1949" s="3" t="s">
        <v>231</v>
      </c>
      <c r="BE1949" s="3" t="s">
        <v>19331</v>
      </c>
      <c r="BF1949" s="3" t="s">
        <v>19330</v>
      </c>
      <c r="BG1949" s="3" t="s">
        <v>19332</v>
      </c>
    </row>
    <row r="1950" spans="1:59" ht="72.5" x14ac:dyDescent="0.35">
      <c r="A1950" s="2" t="s">
        <v>89</v>
      </c>
      <c r="B1950" s="2" t="s">
        <v>90</v>
      </c>
      <c r="C1950" s="2" t="s">
        <v>19322</v>
      </c>
      <c r="D1950" s="2" t="s">
        <v>19323</v>
      </c>
      <c r="E1950" s="2" t="s">
        <v>19324</v>
      </c>
      <c r="F1950" s="3" t="s">
        <v>2217</v>
      </c>
      <c r="G1950" s="3" t="s">
        <v>61</v>
      </c>
      <c r="I1950" s="3" t="s">
        <v>62</v>
      </c>
      <c r="J1950" s="3" t="s">
        <v>62</v>
      </c>
      <c r="K1950" s="3" t="s">
        <v>63</v>
      </c>
      <c r="L1950" s="2" t="s">
        <v>19325</v>
      </c>
      <c r="M1950" s="2" t="s">
        <v>19326</v>
      </c>
      <c r="N1950" s="3" t="s">
        <v>596</v>
      </c>
      <c r="P1950" s="3" t="s">
        <v>64</v>
      </c>
      <c r="R1950" s="3" t="s">
        <v>13065</v>
      </c>
      <c r="S1950" s="4">
        <v>9</v>
      </c>
      <c r="T1950" s="4">
        <v>12</v>
      </c>
      <c r="U1950" s="5" t="s">
        <v>7461</v>
      </c>
      <c r="V1950" s="5" t="s">
        <v>7461</v>
      </c>
      <c r="W1950" s="5" t="s">
        <v>67</v>
      </c>
      <c r="X1950" s="5" t="s">
        <v>67</v>
      </c>
      <c r="Y1950" s="4">
        <v>69</v>
      </c>
      <c r="Z1950" s="4">
        <v>2</v>
      </c>
      <c r="AA1950" s="4">
        <v>3</v>
      </c>
      <c r="AB1950" s="4">
        <v>1</v>
      </c>
      <c r="AC1950" s="4">
        <v>1</v>
      </c>
      <c r="AD1950" s="4">
        <v>32</v>
      </c>
      <c r="AE1950" s="4">
        <v>33</v>
      </c>
      <c r="AF1950" s="4">
        <v>0</v>
      </c>
      <c r="AG1950" s="4">
        <v>0</v>
      </c>
      <c r="AH1950" s="4">
        <v>31</v>
      </c>
      <c r="AI1950" s="4">
        <v>31</v>
      </c>
      <c r="AJ1950" s="4">
        <v>1</v>
      </c>
      <c r="AK1950" s="4">
        <v>2</v>
      </c>
      <c r="AL1950" s="4">
        <v>17</v>
      </c>
      <c r="AM1950" s="4">
        <v>17</v>
      </c>
      <c r="AN1950" s="4">
        <v>0</v>
      </c>
      <c r="AO1950" s="4">
        <v>0</v>
      </c>
      <c r="AP1950" s="4">
        <v>1</v>
      </c>
      <c r="AQ1950" s="4">
        <v>2</v>
      </c>
      <c r="AR1950" s="3" t="s">
        <v>62</v>
      </c>
      <c r="AS1950" s="3" t="s">
        <v>62</v>
      </c>
      <c r="AT1950" s="3" t="s">
        <v>62</v>
      </c>
      <c r="AV1950" s="6" t="str">
        <f>HYPERLINK("http://mcgill.on.worldcat.org/oclc/50123241","Catalog Record")</f>
        <v>Catalog Record</v>
      </c>
      <c r="AW1950" s="6" t="str">
        <f>HYPERLINK("http://www.worldcat.org/oclc/50123241","WorldCat Record")</f>
        <v>WorldCat Record</v>
      </c>
      <c r="AX1950" s="3" t="s">
        <v>19327</v>
      </c>
      <c r="AY1950" s="3" t="s">
        <v>19328</v>
      </c>
      <c r="AZ1950" s="3" t="s">
        <v>19329</v>
      </c>
      <c r="BA1950" s="3" t="s">
        <v>19329</v>
      </c>
      <c r="BB1950" s="3" t="s">
        <v>19333</v>
      </c>
      <c r="BC1950" s="3" t="s">
        <v>102</v>
      </c>
      <c r="BD1950" s="3" t="s">
        <v>231</v>
      </c>
      <c r="BE1950" s="3" t="s">
        <v>19331</v>
      </c>
      <c r="BF1950" s="3" t="s">
        <v>19333</v>
      </c>
      <c r="BG1950" s="3" t="s">
        <v>19334</v>
      </c>
    </row>
    <row r="1951" spans="1:59" ht="58" x14ac:dyDescent="0.35">
      <c r="A1951" s="2" t="s">
        <v>89</v>
      </c>
      <c r="B1951" s="2" t="s">
        <v>90</v>
      </c>
      <c r="C1951" s="2" t="s">
        <v>19335</v>
      </c>
      <c r="D1951" s="2" t="s">
        <v>19336</v>
      </c>
      <c r="E1951" s="2" t="s">
        <v>19337</v>
      </c>
      <c r="G1951" s="3" t="s">
        <v>62</v>
      </c>
      <c r="I1951" s="3" t="s">
        <v>62</v>
      </c>
      <c r="J1951" s="3" t="s">
        <v>62</v>
      </c>
      <c r="K1951" s="3" t="s">
        <v>63</v>
      </c>
      <c r="L1951" s="2" t="s">
        <v>19338</v>
      </c>
      <c r="M1951" s="2" t="s">
        <v>19339</v>
      </c>
      <c r="N1951" s="3" t="s">
        <v>2000</v>
      </c>
      <c r="P1951" s="3" t="s">
        <v>64</v>
      </c>
      <c r="Q1951" s="2" t="s">
        <v>19340</v>
      </c>
      <c r="R1951" s="3" t="s">
        <v>13065</v>
      </c>
      <c r="S1951" s="4">
        <v>8</v>
      </c>
      <c r="T1951" s="4">
        <v>8</v>
      </c>
      <c r="U1951" s="5" t="s">
        <v>3595</v>
      </c>
      <c r="V1951" s="5" t="s">
        <v>3595</v>
      </c>
      <c r="W1951" s="5" t="s">
        <v>67</v>
      </c>
      <c r="X1951" s="5" t="s">
        <v>67</v>
      </c>
      <c r="Y1951" s="4">
        <v>269</v>
      </c>
      <c r="Z1951" s="4">
        <v>18</v>
      </c>
      <c r="AA1951" s="4">
        <v>98</v>
      </c>
      <c r="AB1951" s="4">
        <v>2</v>
      </c>
      <c r="AC1951" s="4">
        <v>17</v>
      </c>
      <c r="AD1951" s="4">
        <v>82</v>
      </c>
      <c r="AE1951" s="4">
        <v>129</v>
      </c>
      <c r="AF1951" s="4">
        <v>1</v>
      </c>
      <c r="AG1951" s="4">
        <v>8</v>
      </c>
      <c r="AH1951" s="4">
        <v>73</v>
      </c>
      <c r="AI1951" s="4">
        <v>92</v>
      </c>
      <c r="AJ1951" s="4">
        <v>13</v>
      </c>
      <c r="AK1951" s="4">
        <v>25</v>
      </c>
      <c r="AL1951" s="4">
        <v>35</v>
      </c>
      <c r="AM1951" s="4">
        <v>41</v>
      </c>
      <c r="AN1951" s="4">
        <v>0</v>
      </c>
      <c r="AO1951" s="4">
        <v>0</v>
      </c>
      <c r="AP1951" s="4">
        <v>15</v>
      </c>
      <c r="AQ1951" s="4">
        <v>48</v>
      </c>
      <c r="AR1951" s="3" t="s">
        <v>62</v>
      </c>
      <c r="AS1951" s="3" t="s">
        <v>62</v>
      </c>
      <c r="AT1951" s="3" t="s">
        <v>62</v>
      </c>
      <c r="AV1951" s="6" t="str">
        <f>HYPERLINK("http://mcgill.on.worldcat.org/oclc/34966380","Catalog Record")</f>
        <v>Catalog Record</v>
      </c>
      <c r="AW1951" s="6" t="str">
        <f>HYPERLINK("http://www.worldcat.org/oclc/34966380","WorldCat Record")</f>
        <v>WorldCat Record</v>
      </c>
      <c r="AX1951" s="3" t="s">
        <v>19341</v>
      </c>
      <c r="AY1951" s="3" t="s">
        <v>19342</v>
      </c>
      <c r="AZ1951" s="3" t="s">
        <v>19343</v>
      </c>
      <c r="BA1951" s="3" t="s">
        <v>19343</v>
      </c>
      <c r="BB1951" s="3" t="s">
        <v>19344</v>
      </c>
      <c r="BC1951" s="3" t="s">
        <v>102</v>
      </c>
      <c r="BD1951" s="3" t="s">
        <v>68</v>
      </c>
      <c r="BE1951" s="3" t="s">
        <v>19345</v>
      </c>
      <c r="BF1951" s="3" t="s">
        <v>19344</v>
      </c>
      <c r="BG1951" s="3" t="s">
        <v>19346</v>
      </c>
    </row>
    <row r="1952" spans="1:59" ht="58" x14ac:dyDescent="0.35">
      <c r="A1952" s="2" t="s">
        <v>89</v>
      </c>
      <c r="B1952" s="2" t="s">
        <v>90</v>
      </c>
      <c r="C1952" s="2" t="s">
        <v>19347</v>
      </c>
      <c r="D1952" s="2" t="s">
        <v>19348</v>
      </c>
      <c r="E1952" s="2" t="s">
        <v>19349</v>
      </c>
      <c r="G1952" s="3" t="s">
        <v>62</v>
      </c>
      <c r="I1952" s="3" t="s">
        <v>62</v>
      </c>
      <c r="J1952" s="3" t="s">
        <v>62</v>
      </c>
      <c r="K1952" s="3" t="s">
        <v>63</v>
      </c>
      <c r="L1952" s="2" t="s">
        <v>19350</v>
      </c>
      <c r="M1952" s="2" t="s">
        <v>19351</v>
      </c>
      <c r="N1952" s="3" t="s">
        <v>684</v>
      </c>
      <c r="P1952" s="3" t="s">
        <v>64</v>
      </c>
      <c r="Q1952" s="2" t="s">
        <v>19352</v>
      </c>
      <c r="R1952" s="3" t="s">
        <v>13065</v>
      </c>
      <c r="S1952" s="4">
        <v>2</v>
      </c>
      <c r="T1952" s="4">
        <v>2</v>
      </c>
      <c r="U1952" s="5" t="s">
        <v>19353</v>
      </c>
      <c r="V1952" s="5" t="s">
        <v>19353</v>
      </c>
      <c r="W1952" s="5" t="s">
        <v>67</v>
      </c>
      <c r="X1952" s="5" t="s">
        <v>67</v>
      </c>
      <c r="Y1952" s="4">
        <v>140</v>
      </c>
      <c r="Z1952" s="4">
        <v>21</v>
      </c>
      <c r="AA1952" s="4">
        <v>25</v>
      </c>
      <c r="AB1952" s="4">
        <v>2</v>
      </c>
      <c r="AC1952" s="4">
        <v>6</v>
      </c>
      <c r="AD1952" s="4">
        <v>52</v>
      </c>
      <c r="AE1952" s="4">
        <v>56</v>
      </c>
      <c r="AF1952" s="4">
        <v>1</v>
      </c>
      <c r="AG1952" s="4">
        <v>5</v>
      </c>
      <c r="AH1952" s="4">
        <v>42</v>
      </c>
      <c r="AI1952" s="4">
        <v>43</v>
      </c>
      <c r="AJ1952" s="4">
        <v>14</v>
      </c>
      <c r="AK1952" s="4">
        <v>17</v>
      </c>
      <c r="AL1952" s="4">
        <v>25</v>
      </c>
      <c r="AM1952" s="4">
        <v>25</v>
      </c>
      <c r="AN1952" s="4">
        <v>0</v>
      </c>
      <c r="AO1952" s="4">
        <v>0</v>
      </c>
      <c r="AP1952" s="4">
        <v>17</v>
      </c>
      <c r="AQ1952" s="4">
        <v>20</v>
      </c>
      <c r="AR1952" s="3" t="s">
        <v>62</v>
      </c>
      <c r="AS1952" s="3" t="s">
        <v>62</v>
      </c>
      <c r="AT1952" s="3" t="s">
        <v>62</v>
      </c>
      <c r="AV1952" s="6" t="str">
        <f>HYPERLINK("http://mcgill.on.worldcat.org/oclc/705568286","Catalog Record")</f>
        <v>Catalog Record</v>
      </c>
      <c r="AW1952" s="6" t="str">
        <f>HYPERLINK("http://www.worldcat.org/oclc/705568286","WorldCat Record")</f>
        <v>WorldCat Record</v>
      </c>
      <c r="AX1952" s="3" t="s">
        <v>19354</v>
      </c>
      <c r="AY1952" s="3" t="s">
        <v>19355</v>
      </c>
      <c r="AZ1952" s="3" t="s">
        <v>19356</v>
      </c>
      <c r="BA1952" s="3" t="s">
        <v>19356</v>
      </c>
      <c r="BB1952" s="3" t="s">
        <v>19357</v>
      </c>
      <c r="BC1952" s="3" t="s">
        <v>102</v>
      </c>
      <c r="BD1952" s="3" t="s">
        <v>68</v>
      </c>
      <c r="BE1952" s="3" t="s">
        <v>19358</v>
      </c>
      <c r="BF1952" s="3" t="s">
        <v>19357</v>
      </c>
      <c r="BG1952" s="3" t="s">
        <v>19359</v>
      </c>
    </row>
    <row r="1953" spans="1:59" ht="58" x14ac:dyDescent="0.35">
      <c r="A1953" s="2" t="s">
        <v>89</v>
      </c>
      <c r="B1953" s="2" t="s">
        <v>90</v>
      </c>
      <c r="C1953" s="2" t="s">
        <v>19360</v>
      </c>
      <c r="D1953" s="2" t="s">
        <v>19361</v>
      </c>
      <c r="E1953" s="2" t="s">
        <v>19362</v>
      </c>
      <c r="G1953" s="3" t="s">
        <v>62</v>
      </c>
      <c r="I1953" s="3" t="s">
        <v>62</v>
      </c>
      <c r="J1953" s="3" t="s">
        <v>62</v>
      </c>
      <c r="K1953" s="3" t="s">
        <v>63</v>
      </c>
      <c r="L1953" s="2" t="s">
        <v>19363</v>
      </c>
      <c r="M1953" s="2" t="s">
        <v>19364</v>
      </c>
      <c r="N1953" s="3" t="s">
        <v>880</v>
      </c>
      <c r="P1953" s="3" t="s">
        <v>64</v>
      </c>
      <c r="R1953" s="3" t="s">
        <v>13065</v>
      </c>
      <c r="S1953" s="4">
        <v>10</v>
      </c>
      <c r="T1953" s="4">
        <v>10</v>
      </c>
      <c r="U1953" s="5" t="s">
        <v>19365</v>
      </c>
      <c r="V1953" s="5" t="s">
        <v>19365</v>
      </c>
      <c r="W1953" s="5" t="s">
        <v>67</v>
      </c>
      <c r="X1953" s="5" t="s">
        <v>67</v>
      </c>
      <c r="Y1953" s="4">
        <v>54</v>
      </c>
      <c r="Z1953" s="4">
        <v>4</v>
      </c>
      <c r="AA1953" s="4">
        <v>35</v>
      </c>
      <c r="AB1953" s="4">
        <v>1</v>
      </c>
      <c r="AC1953" s="4">
        <v>11</v>
      </c>
      <c r="AD1953" s="4">
        <v>22</v>
      </c>
      <c r="AE1953" s="4">
        <v>94</v>
      </c>
      <c r="AF1953" s="4">
        <v>0</v>
      </c>
      <c r="AG1953" s="4">
        <v>7</v>
      </c>
      <c r="AH1953" s="4">
        <v>20</v>
      </c>
      <c r="AI1953" s="4">
        <v>69</v>
      </c>
      <c r="AJ1953" s="4">
        <v>2</v>
      </c>
      <c r="AK1953" s="4">
        <v>15</v>
      </c>
      <c r="AL1953" s="4">
        <v>12</v>
      </c>
      <c r="AM1953" s="4">
        <v>36</v>
      </c>
      <c r="AN1953" s="4">
        <v>0</v>
      </c>
      <c r="AO1953" s="4">
        <v>0</v>
      </c>
      <c r="AP1953" s="4">
        <v>3</v>
      </c>
      <c r="AQ1953" s="4">
        <v>29</v>
      </c>
      <c r="AR1953" s="3" t="s">
        <v>62</v>
      </c>
      <c r="AS1953" s="3" t="s">
        <v>62</v>
      </c>
      <c r="AT1953" s="3" t="s">
        <v>62</v>
      </c>
      <c r="AV1953" s="6" t="str">
        <f>HYPERLINK("http://mcgill.on.worldcat.org/oclc/646114575","Catalog Record")</f>
        <v>Catalog Record</v>
      </c>
      <c r="AW1953" s="6" t="str">
        <f>HYPERLINK("http://www.worldcat.org/oclc/646114575","WorldCat Record")</f>
        <v>WorldCat Record</v>
      </c>
      <c r="AX1953" s="3" t="s">
        <v>19366</v>
      </c>
      <c r="AY1953" s="3" t="s">
        <v>19367</v>
      </c>
      <c r="AZ1953" s="3" t="s">
        <v>19368</v>
      </c>
      <c r="BA1953" s="3" t="s">
        <v>19368</v>
      </c>
      <c r="BB1953" s="3" t="s">
        <v>19369</v>
      </c>
      <c r="BC1953" s="3" t="s">
        <v>102</v>
      </c>
      <c r="BD1953" s="3" t="s">
        <v>68</v>
      </c>
      <c r="BE1953" s="3" t="s">
        <v>19370</v>
      </c>
      <c r="BF1953" s="3" t="s">
        <v>19369</v>
      </c>
      <c r="BG1953" s="3" t="s">
        <v>19371</v>
      </c>
    </row>
    <row r="1954" spans="1:59" ht="58" x14ac:dyDescent="0.35">
      <c r="A1954" s="2" t="s">
        <v>89</v>
      </c>
      <c r="B1954" s="2" t="s">
        <v>90</v>
      </c>
      <c r="C1954" s="2" t="s">
        <v>19372</v>
      </c>
      <c r="D1954" s="2" t="s">
        <v>19373</v>
      </c>
      <c r="E1954" s="2" t="s">
        <v>19374</v>
      </c>
      <c r="G1954" s="3" t="s">
        <v>62</v>
      </c>
      <c r="I1954" s="3" t="s">
        <v>62</v>
      </c>
      <c r="J1954" s="3" t="s">
        <v>62</v>
      </c>
      <c r="K1954" s="3" t="s">
        <v>63</v>
      </c>
      <c r="M1954" s="2" t="s">
        <v>19375</v>
      </c>
      <c r="N1954" s="3" t="s">
        <v>698</v>
      </c>
      <c r="P1954" s="3" t="s">
        <v>64</v>
      </c>
      <c r="Q1954" s="2" t="s">
        <v>12817</v>
      </c>
      <c r="R1954" s="3" t="s">
        <v>13065</v>
      </c>
      <c r="S1954" s="4">
        <v>0</v>
      </c>
      <c r="T1954" s="4">
        <v>0</v>
      </c>
      <c r="W1954" s="5" t="s">
        <v>67</v>
      </c>
      <c r="X1954" s="5" t="s">
        <v>67</v>
      </c>
      <c r="Y1954" s="4">
        <v>33</v>
      </c>
      <c r="Z1954" s="4">
        <v>6</v>
      </c>
      <c r="AA1954" s="4">
        <v>12</v>
      </c>
      <c r="AB1954" s="4">
        <v>1</v>
      </c>
      <c r="AC1954" s="4">
        <v>3</v>
      </c>
      <c r="AD1954" s="4">
        <v>11</v>
      </c>
      <c r="AE1954" s="4">
        <v>16</v>
      </c>
      <c r="AF1954" s="4">
        <v>0</v>
      </c>
      <c r="AG1954" s="4">
        <v>0</v>
      </c>
      <c r="AH1954" s="4">
        <v>9</v>
      </c>
      <c r="AI1954" s="4">
        <v>12</v>
      </c>
      <c r="AJ1954" s="4">
        <v>4</v>
      </c>
      <c r="AK1954" s="4">
        <v>6</v>
      </c>
      <c r="AL1954" s="4">
        <v>4</v>
      </c>
      <c r="AM1954" s="4">
        <v>6</v>
      </c>
      <c r="AN1954" s="4">
        <v>0</v>
      </c>
      <c r="AO1954" s="4">
        <v>0</v>
      </c>
      <c r="AP1954" s="4">
        <v>4</v>
      </c>
      <c r="AQ1954" s="4">
        <v>7</v>
      </c>
      <c r="AR1954" s="3" t="s">
        <v>62</v>
      </c>
      <c r="AS1954" s="3" t="s">
        <v>62</v>
      </c>
      <c r="AT1954" s="3" t="s">
        <v>62</v>
      </c>
      <c r="AV1954" s="6" t="str">
        <f>HYPERLINK("http://mcgill.on.worldcat.org/oclc/768800748","Catalog Record")</f>
        <v>Catalog Record</v>
      </c>
      <c r="AW1954" s="6" t="str">
        <f>HYPERLINK("http://www.worldcat.org/oclc/768800748","WorldCat Record")</f>
        <v>WorldCat Record</v>
      </c>
      <c r="AX1954" s="3" t="s">
        <v>19376</v>
      </c>
      <c r="AY1954" s="3" t="s">
        <v>19377</v>
      </c>
      <c r="AZ1954" s="3" t="s">
        <v>19378</v>
      </c>
      <c r="BA1954" s="3" t="s">
        <v>19378</v>
      </c>
      <c r="BB1954" s="3" t="s">
        <v>19379</v>
      </c>
      <c r="BC1954" s="3" t="s">
        <v>102</v>
      </c>
      <c r="BD1954" s="3" t="s">
        <v>68</v>
      </c>
      <c r="BE1954" s="3" t="s">
        <v>19380</v>
      </c>
      <c r="BF1954" s="3" t="s">
        <v>19379</v>
      </c>
      <c r="BG1954" s="3" t="s">
        <v>19381</v>
      </c>
    </row>
    <row r="1955" spans="1:59" ht="72.5" x14ac:dyDescent="0.35">
      <c r="A1955" s="2" t="s">
        <v>89</v>
      </c>
      <c r="B1955" s="2" t="s">
        <v>18023</v>
      </c>
      <c r="C1955" s="2" t="s">
        <v>19382</v>
      </c>
      <c r="D1955" s="2" t="s">
        <v>19383</v>
      </c>
      <c r="E1955" s="2" t="s">
        <v>19384</v>
      </c>
      <c r="G1955" s="3" t="s">
        <v>62</v>
      </c>
      <c r="I1955" s="3" t="s">
        <v>62</v>
      </c>
      <c r="J1955" s="3" t="s">
        <v>62</v>
      </c>
      <c r="K1955" s="3" t="s">
        <v>63</v>
      </c>
      <c r="M1955" s="2" t="s">
        <v>19385</v>
      </c>
      <c r="N1955" s="3" t="s">
        <v>2985</v>
      </c>
      <c r="O1955" s="2" t="s">
        <v>2163</v>
      </c>
      <c r="P1955" s="3" t="s">
        <v>64</v>
      </c>
      <c r="R1955" s="3" t="s">
        <v>13065</v>
      </c>
      <c r="S1955" s="4">
        <v>4</v>
      </c>
      <c r="T1955" s="4">
        <v>4</v>
      </c>
      <c r="U1955" s="5" t="s">
        <v>19386</v>
      </c>
      <c r="V1955" s="5" t="s">
        <v>19386</v>
      </c>
      <c r="W1955" s="5" t="s">
        <v>67</v>
      </c>
      <c r="X1955" s="5" t="s">
        <v>67</v>
      </c>
      <c r="Y1955" s="4">
        <v>2</v>
      </c>
      <c r="Z1955" s="4">
        <v>1</v>
      </c>
      <c r="AA1955" s="4">
        <v>1</v>
      </c>
      <c r="AB1955" s="4">
        <v>1</v>
      </c>
      <c r="AC1955" s="4">
        <v>1</v>
      </c>
      <c r="AD1955" s="4">
        <v>1</v>
      </c>
      <c r="AE1955" s="4">
        <v>1</v>
      </c>
      <c r="AF1955" s="4">
        <v>0</v>
      </c>
      <c r="AG1955" s="4">
        <v>0</v>
      </c>
      <c r="AH1955" s="4">
        <v>1</v>
      </c>
      <c r="AI1955" s="4">
        <v>1</v>
      </c>
      <c r="AJ1955" s="4">
        <v>0</v>
      </c>
      <c r="AK1955" s="4">
        <v>0</v>
      </c>
      <c r="AL1955" s="4">
        <v>1</v>
      </c>
      <c r="AM1955" s="4">
        <v>1</v>
      </c>
      <c r="AN1955" s="4">
        <v>0</v>
      </c>
      <c r="AO1955" s="4">
        <v>0</v>
      </c>
      <c r="AP1955" s="4">
        <v>0</v>
      </c>
      <c r="AQ1955" s="4">
        <v>0</v>
      </c>
      <c r="AR1955" s="3" t="s">
        <v>62</v>
      </c>
      <c r="AS1955" s="3" t="s">
        <v>62</v>
      </c>
      <c r="AT1955" s="3" t="s">
        <v>62</v>
      </c>
      <c r="AV1955" s="6" t="str">
        <f>HYPERLINK("http://mcgill.on.worldcat.org/oclc/326879606","Catalog Record")</f>
        <v>Catalog Record</v>
      </c>
      <c r="AW1955" s="6" t="str">
        <f>HYPERLINK("http://www.worldcat.org/oclc/326879606","WorldCat Record")</f>
        <v>WorldCat Record</v>
      </c>
      <c r="AX1955" s="3" t="s">
        <v>19387</v>
      </c>
      <c r="AY1955" s="3" t="s">
        <v>19388</v>
      </c>
      <c r="AZ1955" s="3" t="s">
        <v>19389</v>
      </c>
      <c r="BA1955" s="3" t="s">
        <v>19389</v>
      </c>
      <c r="BB1955" s="3" t="s">
        <v>19390</v>
      </c>
      <c r="BC1955" s="3" t="s">
        <v>102</v>
      </c>
      <c r="BD1955" s="3" t="s">
        <v>68</v>
      </c>
      <c r="BF1955" s="3" t="s">
        <v>19390</v>
      </c>
      <c r="BG1955" s="3" t="s">
        <v>19391</v>
      </c>
    </row>
    <row r="1956" spans="1:59" ht="58" x14ac:dyDescent="0.35">
      <c r="A1956" s="2" t="s">
        <v>89</v>
      </c>
      <c r="B1956" s="2" t="s">
        <v>90</v>
      </c>
      <c r="C1956" s="2" t="s">
        <v>19392</v>
      </c>
      <c r="D1956" s="2" t="s">
        <v>19393</v>
      </c>
      <c r="E1956" s="2" t="s">
        <v>19394</v>
      </c>
      <c r="G1956" s="3" t="s">
        <v>62</v>
      </c>
      <c r="I1956" s="3" t="s">
        <v>62</v>
      </c>
      <c r="J1956" s="3" t="s">
        <v>62</v>
      </c>
      <c r="K1956" s="3" t="s">
        <v>63</v>
      </c>
      <c r="M1956" s="2" t="s">
        <v>19395</v>
      </c>
      <c r="N1956" s="3" t="s">
        <v>880</v>
      </c>
      <c r="P1956" s="3" t="s">
        <v>64</v>
      </c>
      <c r="Q1956" s="2" t="s">
        <v>19396</v>
      </c>
      <c r="R1956" s="3" t="s">
        <v>13065</v>
      </c>
      <c r="S1956" s="4">
        <v>4</v>
      </c>
      <c r="T1956" s="4">
        <v>4</v>
      </c>
      <c r="U1956" s="5" t="s">
        <v>4134</v>
      </c>
      <c r="V1956" s="5" t="s">
        <v>4134</v>
      </c>
      <c r="W1956" s="5" t="s">
        <v>67</v>
      </c>
      <c r="X1956" s="5" t="s">
        <v>67</v>
      </c>
      <c r="Y1956" s="4">
        <v>52</v>
      </c>
      <c r="Z1956" s="4">
        <v>5</v>
      </c>
      <c r="AA1956" s="4">
        <v>110</v>
      </c>
      <c r="AB1956" s="4">
        <v>1</v>
      </c>
      <c r="AC1956" s="4">
        <v>17</v>
      </c>
      <c r="AD1956" s="4">
        <v>23</v>
      </c>
      <c r="AE1956" s="4">
        <v>113</v>
      </c>
      <c r="AF1956" s="4">
        <v>0</v>
      </c>
      <c r="AG1956" s="4">
        <v>8</v>
      </c>
      <c r="AH1956" s="4">
        <v>21</v>
      </c>
      <c r="AI1956" s="4">
        <v>73</v>
      </c>
      <c r="AJ1956" s="4">
        <v>2</v>
      </c>
      <c r="AK1956" s="4">
        <v>23</v>
      </c>
      <c r="AL1956" s="4">
        <v>10</v>
      </c>
      <c r="AM1956" s="4">
        <v>36</v>
      </c>
      <c r="AN1956" s="4">
        <v>0</v>
      </c>
      <c r="AO1956" s="4">
        <v>0</v>
      </c>
      <c r="AP1956" s="4">
        <v>4</v>
      </c>
      <c r="AQ1956" s="4">
        <v>48</v>
      </c>
      <c r="AR1956" s="3" t="s">
        <v>62</v>
      </c>
      <c r="AS1956" s="3" t="s">
        <v>62</v>
      </c>
      <c r="AT1956" s="3" t="s">
        <v>62</v>
      </c>
      <c r="AV1956" s="6" t="str">
        <f>HYPERLINK("http://mcgill.on.worldcat.org/oclc/617619230","Catalog Record")</f>
        <v>Catalog Record</v>
      </c>
      <c r="AW1956" s="6" t="str">
        <f>HYPERLINK("http://www.worldcat.org/oclc/617619230","WorldCat Record")</f>
        <v>WorldCat Record</v>
      </c>
      <c r="AX1956" s="3" t="s">
        <v>19397</v>
      </c>
      <c r="AY1956" s="3" t="s">
        <v>19398</v>
      </c>
      <c r="AZ1956" s="3" t="s">
        <v>19399</v>
      </c>
      <c r="BA1956" s="3" t="s">
        <v>19399</v>
      </c>
      <c r="BB1956" s="3" t="s">
        <v>19400</v>
      </c>
      <c r="BC1956" s="3" t="s">
        <v>102</v>
      </c>
      <c r="BD1956" s="3" t="s">
        <v>231</v>
      </c>
      <c r="BE1956" s="3" t="s">
        <v>19401</v>
      </c>
      <c r="BF1956" s="3" t="s">
        <v>19400</v>
      </c>
      <c r="BG1956" s="3" t="s">
        <v>19402</v>
      </c>
    </row>
    <row r="1957" spans="1:59" ht="116" x14ac:dyDescent="0.35">
      <c r="A1957" s="2" t="s">
        <v>89</v>
      </c>
      <c r="B1957" s="2" t="s">
        <v>90</v>
      </c>
      <c r="C1957" s="2" t="s">
        <v>19403</v>
      </c>
      <c r="D1957" s="2" t="s">
        <v>19404</v>
      </c>
      <c r="E1957" s="2" t="s">
        <v>19405</v>
      </c>
      <c r="G1957" s="3" t="s">
        <v>62</v>
      </c>
      <c r="I1957" s="3" t="s">
        <v>62</v>
      </c>
      <c r="J1957" s="3" t="s">
        <v>62</v>
      </c>
      <c r="K1957" s="3" t="s">
        <v>63</v>
      </c>
      <c r="L1957" s="2" t="s">
        <v>19406</v>
      </c>
      <c r="M1957" s="2" t="s">
        <v>19407</v>
      </c>
      <c r="N1957" s="3" t="s">
        <v>880</v>
      </c>
      <c r="P1957" s="3" t="s">
        <v>64</v>
      </c>
      <c r="R1957" s="3" t="s">
        <v>13065</v>
      </c>
      <c r="S1957" s="4">
        <v>3</v>
      </c>
      <c r="T1957" s="4">
        <v>3</v>
      </c>
      <c r="U1957" s="5" t="s">
        <v>468</v>
      </c>
      <c r="V1957" s="5" t="s">
        <v>468</v>
      </c>
      <c r="W1957" s="5" t="s">
        <v>67</v>
      </c>
      <c r="X1957" s="5" t="s">
        <v>67</v>
      </c>
      <c r="Y1957" s="4">
        <v>64</v>
      </c>
      <c r="Z1957" s="4">
        <v>6</v>
      </c>
      <c r="AA1957" s="4">
        <v>103</v>
      </c>
      <c r="AB1957" s="4">
        <v>1</v>
      </c>
      <c r="AC1957" s="4">
        <v>17</v>
      </c>
      <c r="AD1957" s="4">
        <v>34</v>
      </c>
      <c r="AE1957" s="4">
        <v>115</v>
      </c>
      <c r="AF1957" s="4">
        <v>0</v>
      </c>
      <c r="AG1957" s="4">
        <v>8</v>
      </c>
      <c r="AH1957" s="4">
        <v>31</v>
      </c>
      <c r="AI1957" s="4">
        <v>75</v>
      </c>
      <c r="AJ1957" s="4">
        <v>2</v>
      </c>
      <c r="AK1957" s="4">
        <v>21</v>
      </c>
      <c r="AL1957" s="4">
        <v>16</v>
      </c>
      <c r="AM1957" s="4">
        <v>41</v>
      </c>
      <c r="AN1957" s="4">
        <v>0</v>
      </c>
      <c r="AO1957" s="4">
        <v>0</v>
      </c>
      <c r="AP1957" s="4">
        <v>3</v>
      </c>
      <c r="AQ1957" s="4">
        <v>44</v>
      </c>
      <c r="AR1957" s="3" t="s">
        <v>62</v>
      </c>
      <c r="AS1957" s="3" t="s">
        <v>62</v>
      </c>
      <c r="AT1957" s="3" t="s">
        <v>62</v>
      </c>
      <c r="AV1957" s="6" t="str">
        <f>HYPERLINK("http://mcgill.on.worldcat.org/oclc/681774035","Catalog Record")</f>
        <v>Catalog Record</v>
      </c>
      <c r="AW1957" s="6" t="str">
        <f>HYPERLINK("http://www.worldcat.org/oclc/681774035","WorldCat Record")</f>
        <v>WorldCat Record</v>
      </c>
      <c r="AX1957" s="3" t="s">
        <v>19408</v>
      </c>
      <c r="AY1957" s="3" t="s">
        <v>19409</v>
      </c>
      <c r="AZ1957" s="3" t="s">
        <v>19410</v>
      </c>
      <c r="BA1957" s="3" t="s">
        <v>19410</v>
      </c>
      <c r="BB1957" s="3" t="s">
        <v>19411</v>
      </c>
      <c r="BC1957" s="3" t="s">
        <v>102</v>
      </c>
      <c r="BD1957" s="3" t="s">
        <v>231</v>
      </c>
      <c r="BE1957" s="3" t="s">
        <v>19412</v>
      </c>
      <c r="BF1957" s="3" t="s">
        <v>19411</v>
      </c>
      <c r="BG1957" s="3" t="s">
        <v>19413</v>
      </c>
    </row>
    <row r="1958" spans="1:59" ht="72.5" x14ac:dyDescent="0.35">
      <c r="A1958" s="2" t="s">
        <v>89</v>
      </c>
      <c r="B1958" s="2" t="s">
        <v>90</v>
      </c>
      <c r="C1958" s="2" t="s">
        <v>19414</v>
      </c>
      <c r="D1958" s="2" t="s">
        <v>19415</v>
      </c>
      <c r="E1958" s="2" t="s">
        <v>19416</v>
      </c>
      <c r="G1958" s="3" t="s">
        <v>62</v>
      </c>
      <c r="I1958" s="3" t="s">
        <v>62</v>
      </c>
      <c r="J1958" s="3" t="s">
        <v>62</v>
      </c>
      <c r="K1958" s="3" t="s">
        <v>63</v>
      </c>
      <c r="M1958" s="2" t="s">
        <v>12282</v>
      </c>
      <c r="N1958" s="3" t="s">
        <v>698</v>
      </c>
      <c r="P1958" s="3" t="s">
        <v>64</v>
      </c>
      <c r="R1958" s="3" t="s">
        <v>13065</v>
      </c>
      <c r="S1958" s="4">
        <v>1</v>
      </c>
      <c r="T1958" s="4">
        <v>1</v>
      </c>
      <c r="U1958" s="5" t="s">
        <v>19417</v>
      </c>
      <c r="V1958" s="5" t="s">
        <v>19417</v>
      </c>
      <c r="W1958" s="5" t="s">
        <v>67</v>
      </c>
      <c r="X1958" s="5" t="s">
        <v>67</v>
      </c>
      <c r="Y1958" s="4">
        <v>44</v>
      </c>
      <c r="Z1958" s="4">
        <v>8</v>
      </c>
      <c r="AA1958" s="4">
        <v>15</v>
      </c>
      <c r="AB1958" s="4">
        <v>1</v>
      </c>
      <c r="AC1958" s="4">
        <v>3</v>
      </c>
      <c r="AD1958" s="4">
        <v>22</v>
      </c>
      <c r="AE1958" s="4">
        <v>29</v>
      </c>
      <c r="AF1958" s="4">
        <v>0</v>
      </c>
      <c r="AG1958" s="4">
        <v>0</v>
      </c>
      <c r="AH1958" s="4">
        <v>21</v>
      </c>
      <c r="AI1958" s="4">
        <v>25</v>
      </c>
      <c r="AJ1958" s="4">
        <v>5</v>
      </c>
      <c r="AK1958" s="4">
        <v>8</v>
      </c>
      <c r="AL1958" s="4">
        <v>12</v>
      </c>
      <c r="AM1958" s="4">
        <v>15</v>
      </c>
      <c r="AN1958" s="4">
        <v>0</v>
      </c>
      <c r="AO1958" s="4">
        <v>0</v>
      </c>
      <c r="AP1958" s="4">
        <v>5</v>
      </c>
      <c r="AQ1958" s="4">
        <v>9</v>
      </c>
      <c r="AR1958" s="3" t="s">
        <v>62</v>
      </c>
      <c r="AS1958" s="3" t="s">
        <v>62</v>
      </c>
      <c r="AT1958" s="3" t="s">
        <v>62</v>
      </c>
      <c r="AV1958" s="6" t="str">
        <f>HYPERLINK("http://mcgill.on.worldcat.org/oclc/766606925","Catalog Record")</f>
        <v>Catalog Record</v>
      </c>
      <c r="AW1958" s="6" t="str">
        <f>HYPERLINK("http://www.worldcat.org/oclc/766606925","WorldCat Record")</f>
        <v>WorldCat Record</v>
      </c>
      <c r="AX1958" s="3" t="s">
        <v>19418</v>
      </c>
      <c r="AY1958" s="3" t="s">
        <v>19419</v>
      </c>
      <c r="AZ1958" s="3" t="s">
        <v>19420</v>
      </c>
      <c r="BA1958" s="3" t="s">
        <v>19420</v>
      </c>
      <c r="BB1958" s="3" t="s">
        <v>19421</v>
      </c>
      <c r="BC1958" s="3" t="s">
        <v>102</v>
      </c>
      <c r="BD1958" s="3" t="s">
        <v>68</v>
      </c>
      <c r="BE1958" s="3" t="s">
        <v>19422</v>
      </c>
      <c r="BF1958" s="3" t="s">
        <v>19421</v>
      </c>
      <c r="BG1958" s="3" t="s">
        <v>19423</v>
      </c>
    </row>
    <row r="1959" spans="1:59" ht="58" x14ac:dyDescent="0.35">
      <c r="A1959" s="2" t="s">
        <v>89</v>
      </c>
      <c r="B1959" s="2" t="s">
        <v>90</v>
      </c>
      <c r="C1959" s="2" t="s">
        <v>19424</v>
      </c>
      <c r="D1959" s="2" t="s">
        <v>19425</v>
      </c>
      <c r="E1959" s="2" t="s">
        <v>19426</v>
      </c>
      <c r="G1959" s="3" t="s">
        <v>62</v>
      </c>
      <c r="I1959" s="3" t="s">
        <v>62</v>
      </c>
      <c r="J1959" s="3" t="s">
        <v>61</v>
      </c>
      <c r="K1959" s="3" t="s">
        <v>63</v>
      </c>
      <c r="L1959" s="2" t="s">
        <v>19427</v>
      </c>
      <c r="M1959" s="2" t="s">
        <v>19428</v>
      </c>
      <c r="N1959" s="3" t="s">
        <v>684</v>
      </c>
      <c r="O1959" s="2" t="s">
        <v>2163</v>
      </c>
      <c r="P1959" s="3" t="s">
        <v>64</v>
      </c>
      <c r="R1959" s="3" t="s">
        <v>13065</v>
      </c>
      <c r="S1959" s="4">
        <v>20</v>
      </c>
      <c r="T1959" s="4">
        <v>20</v>
      </c>
      <c r="U1959" s="5" t="s">
        <v>10809</v>
      </c>
      <c r="V1959" s="5" t="s">
        <v>10809</v>
      </c>
      <c r="W1959" s="5" t="s">
        <v>67</v>
      </c>
      <c r="X1959" s="5" t="s">
        <v>67</v>
      </c>
      <c r="Y1959" s="4">
        <v>221</v>
      </c>
      <c r="Z1959" s="4">
        <v>16</v>
      </c>
      <c r="AA1959" s="4">
        <v>51</v>
      </c>
      <c r="AB1959" s="4">
        <v>1</v>
      </c>
      <c r="AC1959" s="4">
        <v>6</v>
      </c>
      <c r="AD1959" s="4">
        <v>52</v>
      </c>
      <c r="AE1959" s="4">
        <v>133</v>
      </c>
      <c r="AF1959" s="4">
        <v>0</v>
      </c>
      <c r="AG1959" s="4">
        <v>4</v>
      </c>
      <c r="AH1959" s="4">
        <v>44</v>
      </c>
      <c r="AI1959" s="4">
        <v>108</v>
      </c>
      <c r="AJ1959" s="4">
        <v>9</v>
      </c>
      <c r="AK1959" s="4">
        <v>23</v>
      </c>
      <c r="AL1959" s="4">
        <v>26</v>
      </c>
      <c r="AM1959" s="4">
        <v>57</v>
      </c>
      <c r="AN1959" s="4">
        <v>0</v>
      </c>
      <c r="AO1959" s="4">
        <v>0</v>
      </c>
      <c r="AP1959" s="4">
        <v>12</v>
      </c>
      <c r="AQ1959" s="4">
        <v>35</v>
      </c>
      <c r="AR1959" s="3" t="s">
        <v>62</v>
      </c>
      <c r="AS1959" s="3" t="s">
        <v>62</v>
      </c>
      <c r="AT1959" s="3" t="s">
        <v>62</v>
      </c>
      <c r="AV1959" s="6" t="str">
        <f>HYPERLINK("http://mcgill.on.worldcat.org/oclc/656556106","Catalog Record")</f>
        <v>Catalog Record</v>
      </c>
      <c r="AW1959" s="6" t="str">
        <f>HYPERLINK("http://www.worldcat.org/oclc/656556106","WorldCat Record")</f>
        <v>WorldCat Record</v>
      </c>
      <c r="AX1959" s="3" t="s">
        <v>19429</v>
      </c>
      <c r="AY1959" s="3" t="s">
        <v>19430</v>
      </c>
      <c r="AZ1959" s="3" t="s">
        <v>19431</v>
      </c>
      <c r="BA1959" s="3" t="s">
        <v>19431</v>
      </c>
      <c r="BB1959" s="3" t="s">
        <v>19432</v>
      </c>
      <c r="BC1959" s="3" t="s">
        <v>102</v>
      </c>
      <c r="BD1959" s="3" t="s">
        <v>68</v>
      </c>
      <c r="BE1959" s="3" t="s">
        <v>19433</v>
      </c>
      <c r="BF1959" s="3" t="s">
        <v>19432</v>
      </c>
      <c r="BG1959" s="3" t="s">
        <v>19434</v>
      </c>
    </row>
    <row r="1960" spans="1:59" ht="58" x14ac:dyDescent="0.35">
      <c r="A1960" s="2" t="s">
        <v>89</v>
      </c>
      <c r="B1960" s="2" t="s">
        <v>90</v>
      </c>
      <c r="C1960" s="2" t="s">
        <v>19435</v>
      </c>
      <c r="D1960" s="2" t="s">
        <v>19436</v>
      </c>
      <c r="E1960" s="2" t="s">
        <v>19437</v>
      </c>
      <c r="G1960" s="3" t="s">
        <v>62</v>
      </c>
      <c r="I1960" s="3" t="s">
        <v>61</v>
      </c>
      <c r="J1960" s="3" t="s">
        <v>62</v>
      </c>
      <c r="K1960" s="3" t="s">
        <v>63</v>
      </c>
      <c r="L1960" s="2" t="s">
        <v>19438</v>
      </c>
      <c r="M1960" s="2" t="s">
        <v>19439</v>
      </c>
      <c r="N1960" s="3" t="s">
        <v>396</v>
      </c>
      <c r="P1960" s="3" t="s">
        <v>64</v>
      </c>
      <c r="R1960" s="3" t="s">
        <v>13065</v>
      </c>
      <c r="S1960" s="4">
        <v>5</v>
      </c>
      <c r="T1960" s="4">
        <v>16</v>
      </c>
      <c r="U1960" s="5" t="s">
        <v>18020</v>
      </c>
      <c r="V1960" s="5" t="s">
        <v>18020</v>
      </c>
      <c r="W1960" s="5" t="s">
        <v>67</v>
      </c>
      <c r="X1960" s="5" t="s">
        <v>67</v>
      </c>
      <c r="Y1960" s="4">
        <v>1014</v>
      </c>
      <c r="Z1960" s="4">
        <v>43</v>
      </c>
      <c r="AA1960" s="4">
        <v>58</v>
      </c>
      <c r="AB1960" s="4">
        <v>2</v>
      </c>
      <c r="AC1960" s="4">
        <v>8</v>
      </c>
      <c r="AD1960" s="4">
        <v>123</v>
      </c>
      <c r="AE1960" s="4">
        <v>142</v>
      </c>
      <c r="AF1960" s="4">
        <v>0</v>
      </c>
      <c r="AG1960" s="4">
        <v>4</v>
      </c>
      <c r="AH1960" s="4">
        <v>100</v>
      </c>
      <c r="AI1960" s="4">
        <v>111</v>
      </c>
      <c r="AJ1960" s="4">
        <v>20</v>
      </c>
      <c r="AK1960" s="4">
        <v>26</v>
      </c>
      <c r="AL1960" s="4">
        <v>53</v>
      </c>
      <c r="AM1960" s="4">
        <v>62</v>
      </c>
      <c r="AN1960" s="4">
        <v>0</v>
      </c>
      <c r="AO1960" s="4">
        <v>0</v>
      </c>
      <c r="AP1960" s="4">
        <v>28</v>
      </c>
      <c r="AQ1960" s="4">
        <v>36</v>
      </c>
      <c r="AR1960" s="3" t="s">
        <v>62</v>
      </c>
      <c r="AS1960" s="3" t="s">
        <v>62</v>
      </c>
      <c r="AT1960" s="3" t="s">
        <v>61</v>
      </c>
      <c r="AU1960" s="6" t="str">
        <f>HYPERLINK("http://catalog.hathitrust.org/Record/000378719","HathiTrust Record")</f>
        <v>HathiTrust Record</v>
      </c>
      <c r="AV1960" s="6" t="str">
        <f>HYPERLINK("http://mcgill.on.worldcat.org/oclc/12050954","Catalog Record")</f>
        <v>Catalog Record</v>
      </c>
      <c r="AW1960" s="6" t="str">
        <f>HYPERLINK("http://www.worldcat.org/oclc/12050954","WorldCat Record")</f>
        <v>WorldCat Record</v>
      </c>
      <c r="AX1960" s="3" t="s">
        <v>19440</v>
      </c>
      <c r="AY1960" s="3" t="s">
        <v>19441</v>
      </c>
      <c r="AZ1960" s="3" t="s">
        <v>19442</v>
      </c>
      <c r="BA1960" s="3" t="s">
        <v>19442</v>
      </c>
      <c r="BB1960" s="3" t="s">
        <v>19443</v>
      </c>
      <c r="BC1960" s="3" t="s">
        <v>102</v>
      </c>
      <c r="BD1960" s="3" t="s">
        <v>68</v>
      </c>
      <c r="BE1960" s="3" t="s">
        <v>19444</v>
      </c>
      <c r="BF1960" s="3" t="s">
        <v>19443</v>
      </c>
      <c r="BG1960" s="3" t="s">
        <v>19445</v>
      </c>
    </row>
    <row r="1961" spans="1:59" ht="58" x14ac:dyDescent="0.35">
      <c r="A1961" s="2" t="s">
        <v>89</v>
      </c>
      <c r="B1961" s="2" t="s">
        <v>90</v>
      </c>
      <c r="C1961" s="2" t="s">
        <v>19446</v>
      </c>
      <c r="D1961" s="2" t="s">
        <v>19447</v>
      </c>
      <c r="E1961" s="2" t="s">
        <v>19448</v>
      </c>
      <c r="G1961" s="3" t="s">
        <v>62</v>
      </c>
      <c r="I1961" s="3" t="s">
        <v>62</v>
      </c>
      <c r="J1961" s="3" t="s">
        <v>62</v>
      </c>
      <c r="K1961" s="3" t="s">
        <v>63</v>
      </c>
      <c r="L1961" s="2" t="s">
        <v>19449</v>
      </c>
      <c r="M1961" s="2" t="s">
        <v>19450</v>
      </c>
      <c r="N1961" s="3" t="s">
        <v>1467</v>
      </c>
      <c r="P1961" s="3" t="s">
        <v>64</v>
      </c>
      <c r="Q1961" s="2" t="s">
        <v>19451</v>
      </c>
      <c r="R1961" s="3" t="s">
        <v>13065</v>
      </c>
      <c r="S1961" s="4">
        <v>3</v>
      </c>
      <c r="T1961" s="4">
        <v>3</v>
      </c>
      <c r="U1961" s="5" t="s">
        <v>2473</v>
      </c>
      <c r="V1961" s="5" t="s">
        <v>2473</v>
      </c>
      <c r="W1961" s="5" t="s">
        <v>67</v>
      </c>
      <c r="X1961" s="5" t="s">
        <v>67</v>
      </c>
      <c r="Y1961" s="4">
        <v>955</v>
      </c>
      <c r="Z1961" s="4">
        <v>41</v>
      </c>
      <c r="AA1961" s="4">
        <v>118</v>
      </c>
      <c r="AB1961" s="4">
        <v>2</v>
      </c>
      <c r="AC1961" s="4">
        <v>19</v>
      </c>
      <c r="AD1961" s="4">
        <v>123</v>
      </c>
      <c r="AE1961" s="4">
        <v>163</v>
      </c>
      <c r="AF1961" s="4">
        <v>0</v>
      </c>
      <c r="AG1961" s="4">
        <v>8</v>
      </c>
      <c r="AH1961" s="4">
        <v>97</v>
      </c>
      <c r="AI1961" s="4">
        <v>113</v>
      </c>
      <c r="AJ1961" s="4">
        <v>16</v>
      </c>
      <c r="AK1961" s="4">
        <v>26</v>
      </c>
      <c r="AL1961" s="4">
        <v>55</v>
      </c>
      <c r="AM1961" s="4">
        <v>63</v>
      </c>
      <c r="AN1961" s="4">
        <v>0</v>
      </c>
      <c r="AO1961" s="4">
        <v>0</v>
      </c>
      <c r="AP1961" s="4">
        <v>33</v>
      </c>
      <c r="AQ1961" s="4">
        <v>57</v>
      </c>
      <c r="AR1961" s="3" t="s">
        <v>62</v>
      </c>
      <c r="AS1961" s="3" t="s">
        <v>62</v>
      </c>
      <c r="AT1961" s="3" t="s">
        <v>61</v>
      </c>
      <c r="AU1961" s="6" t="str">
        <f>HYPERLINK("http://catalog.hathitrust.org/Record/000418715","HathiTrust Record")</f>
        <v>HathiTrust Record</v>
      </c>
      <c r="AV1961" s="6" t="str">
        <f>HYPERLINK("http://mcgill.on.worldcat.org/oclc/680434","Catalog Record")</f>
        <v>Catalog Record</v>
      </c>
      <c r="AW1961" s="6" t="str">
        <f>HYPERLINK("http://www.worldcat.org/oclc/680434","WorldCat Record")</f>
        <v>WorldCat Record</v>
      </c>
      <c r="AX1961" s="3" t="s">
        <v>19452</v>
      </c>
      <c r="AY1961" s="3" t="s">
        <v>19453</v>
      </c>
      <c r="AZ1961" s="3" t="s">
        <v>19454</v>
      </c>
      <c r="BA1961" s="3" t="s">
        <v>19454</v>
      </c>
      <c r="BB1961" s="3" t="s">
        <v>19455</v>
      </c>
      <c r="BC1961" s="3" t="s">
        <v>102</v>
      </c>
      <c r="BD1961" s="3" t="s">
        <v>68</v>
      </c>
      <c r="BE1961" s="3" t="s">
        <v>19456</v>
      </c>
      <c r="BF1961" s="3" t="s">
        <v>19455</v>
      </c>
      <c r="BG1961" s="3" t="s">
        <v>19457</v>
      </c>
    </row>
    <row r="1962" spans="1:59" ht="58" x14ac:dyDescent="0.35">
      <c r="A1962" s="2" t="s">
        <v>89</v>
      </c>
      <c r="B1962" s="2" t="s">
        <v>90</v>
      </c>
      <c r="C1962" s="2" t="s">
        <v>19458</v>
      </c>
      <c r="D1962" s="2" t="s">
        <v>19459</v>
      </c>
      <c r="E1962" s="2" t="s">
        <v>19460</v>
      </c>
      <c r="G1962" s="3" t="s">
        <v>62</v>
      </c>
      <c r="I1962" s="3" t="s">
        <v>62</v>
      </c>
      <c r="J1962" s="3" t="s">
        <v>62</v>
      </c>
      <c r="K1962" s="3" t="s">
        <v>63</v>
      </c>
      <c r="L1962" s="2" t="s">
        <v>19461</v>
      </c>
      <c r="M1962" s="2" t="s">
        <v>19462</v>
      </c>
      <c r="N1962" s="3" t="s">
        <v>1038</v>
      </c>
      <c r="P1962" s="3" t="s">
        <v>64</v>
      </c>
      <c r="R1962" s="3" t="s">
        <v>13065</v>
      </c>
      <c r="S1962" s="4">
        <v>0</v>
      </c>
      <c r="T1962" s="4">
        <v>0</v>
      </c>
      <c r="W1962" s="5" t="s">
        <v>67</v>
      </c>
      <c r="X1962" s="5" t="s">
        <v>67</v>
      </c>
      <c r="Y1962" s="4">
        <v>741</v>
      </c>
      <c r="Z1962" s="4">
        <v>24</v>
      </c>
      <c r="AA1962" s="4">
        <v>27</v>
      </c>
      <c r="AB1962" s="4">
        <v>2</v>
      </c>
      <c r="AC1962" s="4">
        <v>4</v>
      </c>
      <c r="AD1962" s="4">
        <v>46</v>
      </c>
      <c r="AE1962" s="4">
        <v>47</v>
      </c>
      <c r="AF1962" s="4">
        <v>0</v>
      </c>
      <c r="AG1962" s="4">
        <v>0</v>
      </c>
      <c r="AH1962" s="4">
        <v>43</v>
      </c>
      <c r="AI1962" s="4">
        <v>44</v>
      </c>
      <c r="AJ1962" s="4">
        <v>3</v>
      </c>
      <c r="AK1962" s="4">
        <v>3</v>
      </c>
      <c r="AL1962" s="4">
        <v>26</v>
      </c>
      <c r="AM1962" s="4">
        <v>26</v>
      </c>
      <c r="AN1962" s="4">
        <v>0</v>
      </c>
      <c r="AO1962" s="4">
        <v>0</v>
      </c>
      <c r="AP1962" s="4">
        <v>6</v>
      </c>
      <c r="AQ1962" s="4">
        <v>6</v>
      </c>
      <c r="AR1962" s="3" t="s">
        <v>62</v>
      </c>
      <c r="AS1962" s="3" t="s">
        <v>62</v>
      </c>
      <c r="AT1962" s="3" t="s">
        <v>62</v>
      </c>
      <c r="AV1962" s="6" t="str">
        <f>HYPERLINK("http://mcgill.on.worldcat.org/oclc/932576610","Catalog Record")</f>
        <v>Catalog Record</v>
      </c>
      <c r="AW1962" s="6" t="str">
        <f>HYPERLINK("http://www.worldcat.org/oclc/932576610","WorldCat Record")</f>
        <v>WorldCat Record</v>
      </c>
      <c r="AX1962" s="3" t="s">
        <v>19463</v>
      </c>
      <c r="AY1962" s="3" t="s">
        <v>19464</v>
      </c>
      <c r="AZ1962" s="3" t="s">
        <v>19465</v>
      </c>
      <c r="BA1962" s="3" t="s">
        <v>19465</v>
      </c>
      <c r="BB1962" s="3" t="s">
        <v>19466</v>
      </c>
      <c r="BC1962" s="3" t="s">
        <v>102</v>
      </c>
      <c r="BD1962" s="3" t="s">
        <v>68</v>
      </c>
      <c r="BE1962" s="3" t="s">
        <v>19467</v>
      </c>
      <c r="BF1962" s="3" t="s">
        <v>19466</v>
      </c>
      <c r="BG1962" s="3" t="s">
        <v>19468</v>
      </c>
    </row>
    <row r="1963" spans="1:59" ht="58" x14ac:dyDescent="0.35">
      <c r="A1963" s="2" t="s">
        <v>89</v>
      </c>
      <c r="B1963" s="2" t="s">
        <v>90</v>
      </c>
      <c r="C1963" s="2" t="s">
        <v>19469</v>
      </c>
      <c r="D1963" s="2" t="s">
        <v>19470</v>
      </c>
      <c r="E1963" s="2" t="s">
        <v>19471</v>
      </c>
      <c r="G1963" s="3" t="s">
        <v>62</v>
      </c>
      <c r="I1963" s="3" t="s">
        <v>62</v>
      </c>
      <c r="J1963" s="3" t="s">
        <v>62</v>
      </c>
      <c r="K1963" s="3" t="s">
        <v>63</v>
      </c>
      <c r="L1963" s="2" t="s">
        <v>19472</v>
      </c>
      <c r="M1963" s="2" t="s">
        <v>19473</v>
      </c>
      <c r="N1963" s="3" t="s">
        <v>712</v>
      </c>
      <c r="P1963" s="3" t="s">
        <v>64</v>
      </c>
      <c r="R1963" s="3" t="s">
        <v>13065</v>
      </c>
      <c r="S1963" s="4">
        <v>3</v>
      </c>
      <c r="T1963" s="4">
        <v>3</v>
      </c>
      <c r="U1963" s="5" t="s">
        <v>19474</v>
      </c>
      <c r="V1963" s="5" t="s">
        <v>19474</v>
      </c>
      <c r="W1963" s="5" t="s">
        <v>67</v>
      </c>
      <c r="X1963" s="5" t="s">
        <v>67</v>
      </c>
      <c r="Y1963" s="4">
        <v>73</v>
      </c>
      <c r="Z1963" s="4">
        <v>1</v>
      </c>
      <c r="AA1963" s="4">
        <v>1</v>
      </c>
      <c r="AB1963" s="4">
        <v>1</v>
      </c>
      <c r="AC1963" s="4">
        <v>1</v>
      </c>
      <c r="AD1963" s="4">
        <v>3</v>
      </c>
      <c r="AE1963" s="4">
        <v>3</v>
      </c>
      <c r="AF1963" s="4">
        <v>0</v>
      </c>
      <c r="AG1963" s="4">
        <v>0</v>
      </c>
      <c r="AH1963" s="4">
        <v>3</v>
      </c>
      <c r="AI1963" s="4">
        <v>3</v>
      </c>
      <c r="AJ1963" s="4">
        <v>0</v>
      </c>
      <c r="AK1963" s="4">
        <v>0</v>
      </c>
      <c r="AL1963" s="4">
        <v>2</v>
      </c>
      <c r="AM1963" s="4">
        <v>2</v>
      </c>
      <c r="AN1963" s="4">
        <v>0</v>
      </c>
      <c r="AO1963" s="4">
        <v>0</v>
      </c>
      <c r="AP1963" s="4">
        <v>0</v>
      </c>
      <c r="AQ1963" s="4">
        <v>0</v>
      </c>
      <c r="AR1963" s="3" t="s">
        <v>62</v>
      </c>
      <c r="AS1963" s="3" t="s">
        <v>62</v>
      </c>
      <c r="AT1963" s="3" t="s">
        <v>62</v>
      </c>
      <c r="AV1963" s="6" t="str">
        <f>HYPERLINK("http://mcgill.on.worldcat.org/oclc/881024587","Catalog Record")</f>
        <v>Catalog Record</v>
      </c>
      <c r="AW1963" s="6" t="str">
        <f>HYPERLINK("http://www.worldcat.org/oclc/881024587","WorldCat Record")</f>
        <v>WorldCat Record</v>
      </c>
      <c r="AX1963" s="3" t="s">
        <v>19475</v>
      </c>
      <c r="AY1963" s="3" t="s">
        <v>19476</v>
      </c>
      <c r="AZ1963" s="3" t="s">
        <v>19477</v>
      </c>
      <c r="BA1963" s="3" t="s">
        <v>19477</v>
      </c>
      <c r="BB1963" s="3" t="s">
        <v>19478</v>
      </c>
      <c r="BC1963" s="3" t="s">
        <v>102</v>
      </c>
      <c r="BD1963" s="3" t="s">
        <v>68</v>
      </c>
      <c r="BE1963" s="3" t="s">
        <v>19479</v>
      </c>
      <c r="BF1963" s="3" t="s">
        <v>19478</v>
      </c>
      <c r="BG1963" s="3" t="s">
        <v>19480</v>
      </c>
    </row>
    <row r="1964" spans="1:59" ht="58" x14ac:dyDescent="0.35">
      <c r="A1964" s="2" t="s">
        <v>89</v>
      </c>
      <c r="B1964" s="2" t="s">
        <v>90</v>
      </c>
      <c r="C1964" s="2" t="s">
        <v>19481</v>
      </c>
      <c r="D1964" s="2" t="s">
        <v>19482</v>
      </c>
      <c r="E1964" s="2" t="s">
        <v>19483</v>
      </c>
      <c r="G1964" s="3" t="s">
        <v>62</v>
      </c>
      <c r="I1964" s="3" t="s">
        <v>62</v>
      </c>
      <c r="J1964" s="3" t="s">
        <v>62</v>
      </c>
      <c r="K1964" s="3" t="s">
        <v>63</v>
      </c>
      <c r="L1964" s="2" t="s">
        <v>19484</v>
      </c>
      <c r="M1964" s="2" t="s">
        <v>19485</v>
      </c>
      <c r="N1964" s="3" t="s">
        <v>129</v>
      </c>
      <c r="P1964" s="3" t="s">
        <v>64</v>
      </c>
      <c r="R1964" s="3" t="s">
        <v>13065</v>
      </c>
      <c r="S1964" s="4">
        <v>2</v>
      </c>
      <c r="T1964" s="4">
        <v>2</v>
      </c>
      <c r="U1964" s="5" t="s">
        <v>19486</v>
      </c>
      <c r="V1964" s="5" t="s">
        <v>19486</v>
      </c>
      <c r="W1964" s="5" t="s">
        <v>67</v>
      </c>
      <c r="X1964" s="5" t="s">
        <v>67</v>
      </c>
      <c r="Y1964" s="4">
        <v>82</v>
      </c>
      <c r="Z1964" s="4">
        <v>2</v>
      </c>
      <c r="AA1964" s="4">
        <v>5</v>
      </c>
      <c r="AB1964" s="4">
        <v>1</v>
      </c>
      <c r="AC1964" s="4">
        <v>2</v>
      </c>
      <c r="AD1964" s="4">
        <v>3</v>
      </c>
      <c r="AE1964" s="4">
        <v>7</v>
      </c>
      <c r="AF1964" s="4">
        <v>0</v>
      </c>
      <c r="AG1964" s="4">
        <v>0</v>
      </c>
      <c r="AH1964" s="4">
        <v>3</v>
      </c>
      <c r="AI1964" s="4">
        <v>6</v>
      </c>
      <c r="AJ1964" s="4">
        <v>0</v>
      </c>
      <c r="AK1964" s="4">
        <v>0</v>
      </c>
      <c r="AL1964" s="4">
        <v>1</v>
      </c>
      <c r="AM1964" s="4">
        <v>4</v>
      </c>
      <c r="AN1964" s="4">
        <v>0</v>
      </c>
      <c r="AO1964" s="4">
        <v>0</v>
      </c>
      <c r="AP1964" s="4">
        <v>0</v>
      </c>
      <c r="AQ1964" s="4">
        <v>1</v>
      </c>
      <c r="AR1964" s="3" t="s">
        <v>62</v>
      </c>
      <c r="AS1964" s="3" t="s">
        <v>62</v>
      </c>
      <c r="AT1964" s="3" t="s">
        <v>62</v>
      </c>
      <c r="AV1964" s="6" t="str">
        <f>HYPERLINK("http://mcgill.on.worldcat.org/oclc/819520983","Catalog Record")</f>
        <v>Catalog Record</v>
      </c>
      <c r="AW1964" s="6" t="str">
        <f>HYPERLINK("http://www.worldcat.org/oclc/819520983","WorldCat Record")</f>
        <v>WorldCat Record</v>
      </c>
      <c r="AX1964" s="3" t="s">
        <v>19487</v>
      </c>
      <c r="AY1964" s="3" t="s">
        <v>19488</v>
      </c>
      <c r="AZ1964" s="3" t="s">
        <v>19489</v>
      </c>
      <c r="BA1964" s="3" t="s">
        <v>19489</v>
      </c>
      <c r="BB1964" s="3" t="s">
        <v>19490</v>
      </c>
      <c r="BC1964" s="3" t="s">
        <v>102</v>
      </c>
      <c r="BD1964" s="3" t="s">
        <v>68</v>
      </c>
      <c r="BE1964" s="3" t="s">
        <v>19491</v>
      </c>
      <c r="BF1964" s="3" t="s">
        <v>19490</v>
      </c>
      <c r="BG1964" s="3" t="s">
        <v>19492</v>
      </c>
    </row>
    <row r="1965" spans="1:59" ht="58" x14ac:dyDescent="0.35">
      <c r="A1965" s="2" t="s">
        <v>89</v>
      </c>
      <c r="B1965" s="2" t="s">
        <v>90</v>
      </c>
      <c r="C1965" s="2" t="s">
        <v>19493</v>
      </c>
      <c r="D1965" s="2" t="s">
        <v>19494</v>
      </c>
      <c r="E1965" s="2" t="s">
        <v>19495</v>
      </c>
      <c r="G1965" s="3" t="s">
        <v>62</v>
      </c>
      <c r="I1965" s="3" t="s">
        <v>62</v>
      </c>
      <c r="J1965" s="3" t="s">
        <v>62</v>
      </c>
      <c r="K1965" s="3" t="s">
        <v>63</v>
      </c>
      <c r="L1965" s="2" t="s">
        <v>19496</v>
      </c>
      <c r="M1965" s="2" t="s">
        <v>4023</v>
      </c>
      <c r="N1965" s="3" t="s">
        <v>596</v>
      </c>
      <c r="P1965" s="3" t="s">
        <v>64</v>
      </c>
      <c r="Q1965" s="2" t="s">
        <v>19497</v>
      </c>
      <c r="R1965" s="3" t="s">
        <v>13065</v>
      </c>
      <c r="S1965" s="4">
        <v>11</v>
      </c>
      <c r="T1965" s="4">
        <v>11</v>
      </c>
      <c r="U1965" s="5" t="s">
        <v>8592</v>
      </c>
      <c r="V1965" s="5" t="s">
        <v>8592</v>
      </c>
      <c r="W1965" s="5" t="s">
        <v>67</v>
      </c>
      <c r="X1965" s="5" t="s">
        <v>67</v>
      </c>
      <c r="Y1965" s="4">
        <v>835</v>
      </c>
      <c r="Z1965" s="4">
        <v>40</v>
      </c>
      <c r="AA1965" s="4">
        <v>47</v>
      </c>
      <c r="AB1965" s="4">
        <v>5</v>
      </c>
      <c r="AC1965" s="4">
        <v>8</v>
      </c>
      <c r="AD1965" s="4">
        <v>97</v>
      </c>
      <c r="AE1965" s="4">
        <v>104</v>
      </c>
      <c r="AF1965" s="4">
        <v>2</v>
      </c>
      <c r="AG1965" s="4">
        <v>4</v>
      </c>
      <c r="AH1965" s="4">
        <v>76</v>
      </c>
      <c r="AI1965" s="4">
        <v>79</v>
      </c>
      <c r="AJ1965" s="4">
        <v>13</v>
      </c>
      <c r="AK1965" s="4">
        <v>16</v>
      </c>
      <c r="AL1965" s="4">
        <v>46</v>
      </c>
      <c r="AM1965" s="4">
        <v>48</v>
      </c>
      <c r="AN1965" s="4">
        <v>0</v>
      </c>
      <c r="AO1965" s="4">
        <v>0</v>
      </c>
      <c r="AP1965" s="4">
        <v>24</v>
      </c>
      <c r="AQ1965" s="4">
        <v>28</v>
      </c>
      <c r="AR1965" s="3" t="s">
        <v>62</v>
      </c>
      <c r="AS1965" s="3" t="s">
        <v>62</v>
      </c>
      <c r="AT1965" s="3" t="s">
        <v>62</v>
      </c>
      <c r="AV1965" s="6" t="str">
        <f>HYPERLINK("http://mcgill.on.worldcat.org/oclc/49936189","Catalog Record")</f>
        <v>Catalog Record</v>
      </c>
      <c r="AW1965" s="6" t="str">
        <f>HYPERLINK("http://www.worldcat.org/oclc/49936189","WorldCat Record")</f>
        <v>WorldCat Record</v>
      </c>
      <c r="AX1965" s="3" t="s">
        <v>19498</v>
      </c>
      <c r="AY1965" s="3" t="s">
        <v>19499</v>
      </c>
      <c r="AZ1965" s="3" t="s">
        <v>19500</v>
      </c>
      <c r="BA1965" s="3" t="s">
        <v>19500</v>
      </c>
      <c r="BB1965" s="3" t="s">
        <v>19501</v>
      </c>
      <c r="BC1965" s="3" t="s">
        <v>102</v>
      </c>
      <c r="BD1965" s="3" t="s">
        <v>231</v>
      </c>
      <c r="BE1965" s="3" t="s">
        <v>19502</v>
      </c>
      <c r="BF1965" s="3" t="s">
        <v>19501</v>
      </c>
      <c r="BG1965" s="3" t="s">
        <v>19503</v>
      </c>
    </row>
    <row r="1966" spans="1:59" ht="58" x14ac:dyDescent="0.35">
      <c r="A1966" s="2" t="s">
        <v>89</v>
      </c>
      <c r="B1966" s="2" t="s">
        <v>90</v>
      </c>
      <c r="C1966" s="2" t="s">
        <v>19504</v>
      </c>
      <c r="D1966" s="2" t="s">
        <v>19505</v>
      </c>
      <c r="E1966" s="2" t="s">
        <v>19506</v>
      </c>
      <c r="G1966" s="3" t="s">
        <v>62</v>
      </c>
      <c r="I1966" s="3" t="s">
        <v>61</v>
      </c>
      <c r="J1966" s="3" t="s">
        <v>62</v>
      </c>
      <c r="K1966" s="3" t="s">
        <v>63</v>
      </c>
      <c r="L1966" s="2" t="s">
        <v>19507</v>
      </c>
      <c r="M1966" s="2" t="s">
        <v>19508</v>
      </c>
      <c r="N1966" s="3" t="s">
        <v>1639</v>
      </c>
      <c r="P1966" s="3" t="s">
        <v>64</v>
      </c>
      <c r="Q1966" s="2" t="s">
        <v>19509</v>
      </c>
      <c r="R1966" s="3" t="s">
        <v>13065</v>
      </c>
      <c r="S1966" s="4">
        <v>13</v>
      </c>
      <c r="T1966" s="4">
        <v>13</v>
      </c>
      <c r="U1966" s="5" t="s">
        <v>14456</v>
      </c>
      <c r="V1966" s="5" t="s">
        <v>14456</v>
      </c>
      <c r="W1966" s="5" t="s">
        <v>67</v>
      </c>
      <c r="X1966" s="5" t="s">
        <v>67</v>
      </c>
      <c r="Y1966" s="4">
        <v>937</v>
      </c>
      <c r="Z1966" s="4">
        <v>38</v>
      </c>
      <c r="AA1966" s="4">
        <v>67</v>
      </c>
      <c r="AB1966" s="4">
        <v>3</v>
      </c>
      <c r="AC1966" s="4">
        <v>5</v>
      </c>
      <c r="AD1966" s="4">
        <v>95</v>
      </c>
      <c r="AE1966" s="4">
        <v>130</v>
      </c>
      <c r="AF1966" s="4">
        <v>1</v>
      </c>
      <c r="AG1966" s="4">
        <v>3</v>
      </c>
      <c r="AH1966" s="4">
        <v>72</v>
      </c>
      <c r="AI1966" s="4">
        <v>97</v>
      </c>
      <c r="AJ1966" s="4">
        <v>11</v>
      </c>
      <c r="AK1966" s="4">
        <v>18</v>
      </c>
      <c r="AL1966" s="4">
        <v>43</v>
      </c>
      <c r="AM1966" s="4">
        <v>54</v>
      </c>
      <c r="AN1966" s="4">
        <v>0</v>
      </c>
      <c r="AO1966" s="4">
        <v>0</v>
      </c>
      <c r="AP1966" s="4">
        <v>26</v>
      </c>
      <c r="AQ1966" s="4">
        <v>40</v>
      </c>
      <c r="AR1966" s="3" t="s">
        <v>62</v>
      </c>
      <c r="AS1966" s="3" t="s">
        <v>62</v>
      </c>
      <c r="AT1966" s="3" t="s">
        <v>62</v>
      </c>
      <c r="AV1966" s="6" t="str">
        <f>HYPERLINK("http://mcgill.on.worldcat.org/oclc/118178","Catalog Record")</f>
        <v>Catalog Record</v>
      </c>
      <c r="AW1966" s="6" t="str">
        <f>HYPERLINK("http://www.worldcat.org/oclc/118178","WorldCat Record")</f>
        <v>WorldCat Record</v>
      </c>
      <c r="AX1966" s="3" t="s">
        <v>19510</v>
      </c>
      <c r="AY1966" s="3" t="s">
        <v>19511</v>
      </c>
      <c r="AZ1966" s="3" t="s">
        <v>19512</v>
      </c>
      <c r="BA1966" s="3" t="s">
        <v>19512</v>
      </c>
      <c r="BB1966" s="3" t="s">
        <v>19513</v>
      </c>
      <c r="BC1966" s="3" t="s">
        <v>102</v>
      </c>
      <c r="BD1966" s="3" t="s">
        <v>68</v>
      </c>
      <c r="BE1966" s="3" t="s">
        <v>19514</v>
      </c>
      <c r="BF1966" s="3" t="s">
        <v>19513</v>
      </c>
      <c r="BG1966" s="3" t="s">
        <v>19515</v>
      </c>
    </row>
    <row r="1967" spans="1:59" ht="58" x14ac:dyDescent="0.35">
      <c r="A1967" s="2" t="s">
        <v>89</v>
      </c>
      <c r="B1967" s="2" t="s">
        <v>90</v>
      </c>
      <c r="C1967" s="2" t="s">
        <v>19516</v>
      </c>
      <c r="D1967" s="2" t="s">
        <v>19517</v>
      </c>
      <c r="E1967" s="2" t="s">
        <v>19518</v>
      </c>
      <c r="G1967" s="3" t="s">
        <v>62</v>
      </c>
      <c r="I1967" s="3" t="s">
        <v>62</v>
      </c>
      <c r="J1967" s="3" t="s">
        <v>62</v>
      </c>
      <c r="K1967" s="3" t="s">
        <v>63</v>
      </c>
      <c r="L1967" s="2" t="s">
        <v>19519</v>
      </c>
      <c r="M1967" s="2" t="s">
        <v>19520</v>
      </c>
      <c r="N1967" s="3" t="s">
        <v>6259</v>
      </c>
      <c r="P1967" s="3" t="s">
        <v>64</v>
      </c>
      <c r="R1967" s="3" t="s">
        <v>13065</v>
      </c>
      <c r="S1967" s="4">
        <v>9</v>
      </c>
      <c r="T1967" s="4">
        <v>9</v>
      </c>
      <c r="U1967" s="5" t="s">
        <v>8791</v>
      </c>
      <c r="V1967" s="5" t="s">
        <v>8791</v>
      </c>
      <c r="W1967" s="5" t="s">
        <v>67</v>
      </c>
      <c r="X1967" s="5" t="s">
        <v>67</v>
      </c>
      <c r="Y1967" s="4">
        <v>1013</v>
      </c>
      <c r="Z1967" s="4">
        <v>33</v>
      </c>
      <c r="AA1967" s="4">
        <v>66</v>
      </c>
      <c r="AB1967" s="4">
        <v>1</v>
      </c>
      <c r="AC1967" s="4">
        <v>10</v>
      </c>
      <c r="AD1967" s="4">
        <v>119</v>
      </c>
      <c r="AE1967" s="4">
        <v>142</v>
      </c>
      <c r="AF1967" s="4">
        <v>0</v>
      </c>
      <c r="AG1967" s="4">
        <v>5</v>
      </c>
      <c r="AH1967" s="4">
        <v>97</v>
      </c>
      <c r="AI1967" s="4">
        <v>111</v>
      </c>
      <c r="AJ1967" s="4">
        <v>16</v>
      </c>
      <c r="AK1967" s="4">
        <v>25</v>
      </c>
      <c r="AL1967" s="4">
        <v>51</v>
      </c>
      <c r="AM1967" s="4">
        <v>59</v>
      </c>
      <c r="AN1967" s="4">
        <v>0</v>
      </c>
      <c r="AO1967" s="4">
        <v>5</v>
      </c>
      <c r="AP1967" s="4">
        <v>27</v>
      </c>
      <c r="AQ1967" s="4">
        <v>38</v>
      </c>
      <c r="AR1967" s="3" t="s">
        <v>62</v>
      </c>
      <c r="AS1967" s="3" t="s">
        <v>62</v>
      </c>
      <c r="AT1967" s="3" t="s">
        <v>61</v>
      </c>
      <c r="AU1967" s="6" t="str">
        <f>HYPERLINK("http://catalog.hathitrust.org/Record/000007115","HathiTrust Record")</f>
        <v>HathiTrust Record</v>
      </c>
      <c r="AV1967" s="6" t="str">
        <f>HYPERLINK("http://mcgill.on.worldcat.org/oclc/525772","Catalog Record")</f>
        <v>Catalog Record</v>
      </c>
      <c r="AW1967" s="6" t="str">
        <f>HYPERLINK("http://www.worldcat.org/oclc/525772","WorldCat Record")</f>
        <v>WorldCat Record</v>
      </c>
      <c r="AX1967" s="3" t="s">
        <v>19521</v>
      </c>
      <c r="AY1967" s="3" t="s">
        <v>19522</v>
      </c>
      <c r="AZ1967" s="3" t="s">
        <v>19523</v>
      </c>
      <c r="BA1967" s="3" t="s">
        <v>19523</v>
      </c>
      <c r="BB1967" s="3" t="s">
        <v>19524</v>
      </c>
      <c r="BC1967" s="3" t="s">
        <v>102</v>
      </c>
      <c r="BD1967" s="3" t="s">
        <v>68</v>
      </c>
      <c r="BF1967" s="3" t="s">
        <v>19524</v>
      </c>
      <c r="BG1967" s="3" t="s">
        <v>19525</v>
      </c>
    </row>
    <row r="1968" spans="1:59" ht="58" x14ac:dyDescent="0.35">
      <c r="A1968" s="2" t="s">
        <v>89</v>
      </c>
      <c r="B1968" s="2" t="s">
        <v>90</v>
      </c>
      <c r="C1968" s="2" t="s">
        <v>19526</v>
      </c>
      <c r="D1968" s="2" t="s">
        <v>19527</v>
      </c>
      <c r="E1968" s="2" t="s">
        <v>19528</v>
      </c>
      <c r="G1968" s="3" t="s">
        <v>62</v>
      </c>
      <c r="I1968" s="3" t="s">
        <v>62</v>
      </c>
      <c r="J1968" s="3" t="s">
        <v>61</v>
      </c>
      <c r="K1968" s="3" t="s">
        <v>63</v>
      </c>
      <c r="L1968" s="2" t="s">
        <v>19529</v>
      </c>
      <c r="M1968" s="2" t="s">
        <v>19530</v>
      </c>
      <c r="N1968" s="3" t="s">
        <v>2975</v>
      </c>
      <c r="O1968" s="2" t="s">
        <v>19531</v>
      </c>
      <c r="P1968" s="3" t="s">
        <v>64</v>
      </c>
      <c r="R1968" s="3" t="s">
        <v>13065</v>
      </c>
      <c r="S1968" s="4">
        <v>11</v>
      </c>
      <c r="T1968" s="4">
        <v>11</v>
      </c>
      <c r="U1968" s="5" t="s">
        <v>13800</v>
      </c>
      <c r="V1968" s="5" t="s">
        <v>13800</v>
      </c>
      <c r="W1968" s="5" t="s">
        <v>67</v>
      </c>
      <c r="X1968" s="5" t="s">
        <v>67</v>
      </c>
      <c r="Y1968" s="4">
        <v>299</v>
      </c>
      <c r="Z1968" s="4">
        <v>14</v>
      </c>
      <c r="AA1968" s="4">
        <v>95</v>
      </c>
      <c r="AB1968" s="4">
        <v>2</v>
      </c>
      <c r="AC1968" s="4">
        <v>11</v>
      </c>
      <c r="AD1968" s="4">
        <v>28</v>
      </c>
      <c r="AE1968" s="4">
        <v>153</v>
      </c>
      <c r="AF1968" s="4">
        <v>0</v>
      </c>
      <c r="AG1968" s="4">
        <v>7</v>
      </c>
      <c r="AH1968" s="4">
        <v>22</v>
      </c>
      <c r="AI1968" s="4">
        <v>114</v>
      </c>
      <c r="AJ1968" s="4">
        <v>3</v>
      </c>
      <c r="AK1968" s="4">
        <v>25</v>
      </c>
      <c r="AL1968" s="4">
        <v>12</v>
      </c>
      <c r="AM1968" s="4">
        <v>59</v>
      </c>
      <c r="AN1968" s="4">
        <v>0</v>
      </c>
      <c r="AO1968" s="4">
        <v>0</v>
      </c>
      <c r="AP1968" s="4">
        <v>8</v>
      </c>
      <c r="AQ1968" s="4">
        <v>46</v>
      </c>
      <c r="AR1968" s="3" t="s">
        <v>62</v>
      </c>
      <c r="AS1968" s="3" t="s">
        <v>62</v>
      </c>
      <c r="AT1968" s="3" t="s">
        <v>62</v>
      </c>
      <c r="AV1968" s="6" t="str">
        <f>HYPERLINK("http://mcgill.on.worldcat.org/oclc/49853587","Catalog Record")</f>
        <v>Catalog Record</v>
      </c>
      <c r="AW1968" s="6" t="str">
        <f>HYPERLINK("http://www.worldcat.org/oclc/49853587","WorldCat Record")</f>
        <v>WorldCat Record</v>
      </c>
      <c r="AX1968" s="3" t="s">
        <v>19532</v>
      </c>
      <c r="AY1968" s="3" t="s">
        <v>19533</v>
      </c>
      <c r="AZ1968" s="3" t="s">
        <v>19534</v>
      </c>
      <c r="BA1968" s="3" t="s">
        <v>19534</v>
      </c>
      <c r="BB1968" s="3" t="s">
        <v>19535</v>
      </c>
      <c r="BC1968" s="3" t="s">
        <v>102</v>
      </c>
      <c r="BD1968" s="3" t="s">
        <v>231</v>
      </c>
      <c r="BE1968" s="3" t="s">
        <v>19536</v>
      </c>
      <c r="BF1968" s="3" t="s">
        <v>19535</v>
      </c>
      <c r="BG1968" s="3" t="s">
        <v>19537</v>
      </c>
    </row>
    <row r="1969" spans="1:59" ht="72.5" x14ac:dyDescent="0.35">
      <c r="A1969" s="2" t="s">
        <v>89</v>
      </c>
      <c r="B1969" s="2" t="s">
        <v>90</v>
      </c>
      <c r="C1969" s="2" t="s">
        <v>19538</v>
      </c>
      <c r="D1969" s="2" t="s">
        <v>19539</v>
      </c>
      <c r="E1969" s="2" t="s">
        <v>19540</v>
      </c>
      <c r="G1969" s="3" t="s">
        <v>62</v>
      </c>
      <c r="I1969" s="3" t="s">
        <v>62</v>
      </c>
      <c r="J1969" s="3" t="s">
        <v>62</v>
      </c>
      <c r="K1969" s="3" t="s">
        <v>63</v>
      </c>
      <c r="L1969" s="2" t="s">
        <v>19541</v>
      </c>
      <c r="M1969" s="2" t="s">
        <v>19542</v>
      </c>
      <c r="N1969" s="3" t="s">
        <v>726</v>
      </c>
      <c r="P1969" s="3" t="s">
        <v>64</v>
      </c>
      <c r="R1969" s="3" t="s">
        <v>13065</v>
      </c>
      <c r="S1969" s="4">
        <v>6</v>
      </c>
      <c r="T1969" s="4">
        <v>6</v>
      </c>
      <c r="U1969" s="5" t="s">
        <v>19543</v>
      </c>
      <c r="V1969" s="5" t="s">
        <v>19543</v>
      </c>
      <c r="W1969" s="5" t="s">
        <v>67</v>
      </c>
      <c r="X1969" s="5" t="s">
        <v>67</v>
      </c>
      <c r="Y1969" s="4">
        <v>307</v>
      </c>
      <c r="Z1969" s="4">
        <v>8</v>
      </c>
      <c r="AA1969" s="4">
        <v>11</v>
      </c>
      <c r="AB1969" s="4">
        <v>1</v>
      </c>
      <c r="AC1969" s="4">
        <v>3</v>
      </c>
      <c r="AD1969" s="4">
        <v>22</v>
      </c>
      <c r="AE1969" s="4">
        <v>23</v>
      </c>
      <c r="AF1969" s="4">
        <v>0</v>
      </c>
      <c r="AG1969" s="4">
        <v>0</v>
      </c>
      <c r="AH1969" s="4">
        <v>18</v>
      </c>
      <c r="AI1969" s="4">
        <v>19</v>
      </c>
      <c r="AJ1969" s="4">
        <v>2</v>
      </c>
      <c r="AK1969" s="4">
        <v>2</v>
      </c>
      <c r="AL1969" s="4">
        <v>11</v>
      </c>
      <c r="AM1969" s="4">
        <v>11</v>
      </c>
      <c r="AN1969" s="4">
        <v>0</v>
      </c>
      <c r="AO1969" s="4">
        <v>0</v>
      </c>
      <c r="AP1969" s="4">
        <v>4</v>
      </c>
      <c r="AQ1969" s="4">
        <v>4</v>
      </c>
      <c r="AR1969" s="3" t="s">
        <v>62</v>
      </c>
      <c r="AS1969" s="3" t="s">
        <v>62</v>
      </c>
      <c r="AT1969" s="3" t="s">
        <v>62</v>
      </c>
      <c r="AV1969" s="6" t="str">
        <f>HYPERLINK("http://mcgill.on.worldcat.org/oclc/957744327","Catalog Record")</f>
        <v>Catalog Record</v>
      </c>
      <c r="AW1969" s="6" t="str">
        <f>HYPERLINK("http://www.worldcat.org/oclc/957744327","WorldCat Record")</f>
        <v>WorldCat Record</v>
      </c>
      <c r="AX1969" s="3" t="s">
        <v>19544</v>
      </c>
      <c r="AY1969" s="3" t="s">
        <v>19545</v>
      </c>
      <c r="AZ1969" s="3" t="s">
        <v>19546</v>
      </c>
      <c r="BA1969" s="3" t="s">
        <v>19546</v>
      </c>
      <c r="BB1969" s="3" t="s">
        <v>19547</v>
      </c>
      <c r="BC1969" s="3" t="s">
        <v>102</v>
      </c>
      <c r="BD1969" s="3" t="s">
        <v>231</v>
      </c>
      <c r="BE1969" s="3" t="s">
        <v>19548</v>
      </c>
      <c r="BF1969" s="3" t="s">
        <v>19547</v>
      </c>
      <c r="BG1969" s="3" t="s">
        <v>19549</v>
      </c>
    </row>
    <row r="1970" spans="1:59" ht="58" x14ac:dyDescent="0.35">
      <c r="A1970" s="2" t="s">
        <v>89</v>
      </c>
      <c r="B1970" s="2" t="s">
        <v>90</v>
      </c>
      <c r="C1970" s="2" t="s">
        <v>19550</v>
      </c>
      <c r="D1970" s="2" t="s">
        <v>19551</v>
      </c>
      <c r="E1970" s="2" t="s">
        <v>19552</v>
      </c>
      <c r="G1970" s="3" t="s">
        <v>62</v>
      </c>
      <c r="I1970" s="3" t="s">
        <v>61</v>
      </c>
      <c r="J1970" s="3" t="s">
        <v>62</v>
      </c>
      <c r="K1970" s="3" t="s">
        <v>63</v>
      </c>
      <c r="L1970" s="2" t="s">
        <v>19553</v>
      </c>
      <c r="M1970" s="2" t="s">
        <v>19554</v>
      </c>
      <c r="N1970" s="3" t="s">
        <v>2000</v>
      </c>
      <c r="P1970" s="3" t="s">
        <v>64</v>
      </c>
      <c r="R1970" s="3" t="s">
        <v>13065</v>
      </c>
      <c r="S1970" s="4">
        <v>2</v>
      </c>
      <c r="T1970" s="4">
        <v>5</v>
      </c>
      <c r="U1970" s="5" t="s">
        <v>19543</v>
      </c>
      <c r="V1970" s="5" t="s">
        <v>19543</v>
      </c>
      <c r="W1970" s="5" t="s">
        <v>67</v>
      </c>
      <c r="X1970" s="5" t="s">
        <v>67</v>
      </c>
      <c r="Y1970" s="4">
        <v>812</v>
      </c>
      <c r="Z1970" s="4">
        <v>23</v>
      </c>
      <c r="AA1970" s="4">
        <v>25</v>
      </c>
      <c r="AB1970" s="4">
        <v>3</v>
      </c>
      <c r="AC1970" s="4">
        <v>4</v>
      </c>
      <c r="AD1970" s="4">
        <v>59</v>
      </c>
      <c r="AE1970" s="4">
        <v>62</v>
      </c>
      <c r="AF1970" s="4">
        <v>0</v>
      </c>
      <c r="AG1970" s="4">
        <v>1</v>
      </c>
      <c r="AH1970" s="4">
        <v>53</v>
      </c>
      <c r="AI1970" s="4">
        <v>54</v>
      </c>
      <c r="AJ1970" s="4">
        <v>3</v>
      </c>
      <c r="AK1970" s="4">
        <v>4</v>
      </c>
      <c r="AL1970" s="4">
        <v>26</v>
      </c>
      <c r="AM1970" s="4">
        <v>27</v>
      </c>
      <c r="AN1970" s="4">
        <v>0</v>
      </c>
      <c r="AO1970" s="4">
        <v>0</v>
      </c>
      <c r="AP1970" s="4">
        <v>8</v>
      </c>
      <c r="AQ1970" s="4">
        <v>10</v>
      </c>
      <c r="AR1970" s="3" t="s">
        <v>62</v>
      </c>
      <c r="AS1970" s="3" t="s">
        <v>62</v>
      </c>
      <c r="AT1970" s="3" t="s">
        <v>61</v>
      </c>
      <c r="AU1970" s="6" t="str">
        <f>HYPERLINK("http://catalog.hathitrust.org/Record/003091480","HathiTrust Record")</f>
        <v>HathiTrust Record</v>
      </c>
      <c r="AV1970" s="6" t="str">
        <f>HYPERLINK("http://mcgill.on.worldcat.org/oclc/33898062","Catalog Record")</f>
        <v>Catalog Record</v>
      </c>
      <c r="AW1970" s="6" t="str">
        <f>HYPERLINK("http://www.worldcat.org/oclc/33898062","WorldCat Record")</f>
        <v>WorldCat Record</v>
      </c>
      <c r="AX1970" s="3" t="s">
        <v>19555</v>
      </c>
      <c r="AY1970" s="3" t="s">
        <v>19556</v>
      </c>
      <c r="AZ1970" s="3" t="s">
        <v>19557</v>
      </c>
      <c r="BA1970" s="3" t="s">
        <v>19557</v>
      </c>
      <c r="BB1970" s="3" t="s">
        <v>19558</v>
      </c>
      <c r="BC1970" s="3" t="s">
        <v>102</v>
      </c>
      <c r="BD1970" s="3" t="s">
        <v>68</v>
      </c>
      <c r="BE1970" s="3" t="s">
        <v>19559</v>
      </c>
      <c r="BF1970" s="3" t="s">
        <v>19558</v>
      </c>
      <c r="BG1970" s="3" t="s">
        <v>19560</v>
      </c>
    </row>
    <row r="1971" spans="1:59" ht="72.5" x14ac:dyDescent="0.35">
      <c r="A1971" s="2" t="s">
        <v>89</v>
      </c>
      <c r="B1971" s="2" t="s">
        <v>1231</v>
      </c>
      <c r="C1971" s="2" t="s">
        <v>19561</v>
      </c>
      <c r="D1971" s="2" t="s">
        <v>19562</v>
      </c>
      <c r="E1971" s="2" t="s">
        <v>19563</v>
      </c>
      <c r="G1971" s="3" t="s">
        <v>62</v>
      </c>
      <c r="I1971" s="3" t="s">
        <v>62</v>
      </c>
      <c r="J1971" s="3" t="s">
        <v>61</v>
      </c>
      <c r="K1971" s="3" t="s">
        <v>63</v>
      </c>
      <c r="L1971" s="2" t="s">
        <v>19564</v>
      </c>
      <c r="M1971" s="2" t="s">
        <v>19565</v>
      </c>
      <c r="N1971" s="3" t="s">
        <v>852</v>
      </c>
      <c r="O1971" s="2" t="s">
        <v>19566</v>
      </c>
      <c r="P1971" s="3" t="s">
        <v>64</v>
      </c>
      <c r="R1971" s="3" t="s">
        <v>13065</v>
      </c>
      <c r="S1971" s="4">
        <v>6</v>
      </c>
      <c r="T1971" s="4">
        <v>6</v>
      </c>
      <c r="U1971" s="5" t="s">
        <v>5023</v>
      </c>
      <c r="V1971" s="5" t="s">
        <v>5023</v>
      </c>
      <c r="W1971" s="5" t="s">
        <v>67</v>
      </c>
      <c r="X1971" s="5" t="s">
        <v>67</v>
      </c>
      <c r="Y1971" s="4">
        <v>785</v>
      </c>
      <c r="Z1971" s="4">
        <v>32</v>
      </c>
      <c r="AA1971" s="4">
        <v>51</v>
      </c>
      <c r="AB1971" s="4">
        <v>1</v>
      </c>
      <c r="AC1971" s="4">
        <v>6</v>
      </c>
      <c r="AD1971" s="4">
        <v>108</v>
      </c>
      <c r="AE1971" s="4">
        <v>149</v>
      </c>
      <c r="AF1971" s="4">
        <v>0</v>
      </c>
      <c r="AG1971" s="4">
        <v>5</v>
      </c>
      <c r="AH1971" s="4">
        <v>89</v>
      </c>
      <c r="AI1971" s="4">
        <v>116</v>
      </c>
      <c r="AJ1971" s="4">
        <v>16</v>
      </c>
      <c r="AK1971" s="4">
        <v>23</v>
      </c>
      <c r="AL1971" s="4">
        <v>50</v>
      </c>
      <c r="AM1971" s="4">
        <v>62</v>
      </c>
      <c r="AN1971" s="4">
        <v>0</v>
      </c>
      <c r="AO1971" s="4">
        <v>1</v>
      </c>
      <c r="AP1971" s="4">
        <v>25</v>
      </c>
      <c r="AQ1971" s="4">
        <v>39</v>
      </c>
      <c r="AR1971" s="3" t="s">
        <v>62</v>
      </c>
      <c r="AS1971" s="3" t="s">
        <v>62</v>
      </c>
      <c r="AT1971" s="3" t="s">
        <v>61</v>
      </c>
      <c r="AU1971" s="6" t="str">
        <f>HYPERLINK("http://catalog.hathitrust.org/Record/000388205","HathiTrust Record")</f>
        <v>HathiTrust Record</v>
      </c>
      <c r="AV1971" s="6" t="str">
        <f>HYPERLINK("http://mcgill.on.worldcat.org/oclc/232272","Catalog Record")</f>
        <v>Catalog Record</v>
      </c>
      <c r="AW1971" s="6" t="str">
        <f>HYPERLINK("http://www.worldcat.org/oclc/232272","WorldCat Record")</f>
        <v>WorldCat Record</v>
      </c>
      <c r="AX1971" s="3" t="s">
        <v>19567</v>
      </c>
      <c r="AY1971" s="3" t="s">
        <v>19568</v>
      </c>
      <c r="AZ1971" s="3" t="s">
        <v>19569</v>
      </c>
      <c r="BA1971" s="3" t="s">
        <v>19569</v>
      </c>
      <c r="BB1971" s="3" t="s">
        <v>19570</v>
      </c>
      <c r="BC1971" s="3" t="s">
        <v>102</v>
      </c>
      <c r="BD1971" s="3" t="s">
        <v>68</v>
      </c>
      <c r="BF1971" s="3" t="s">
        <v>19570</v>
      </c>
      <c r="BG1971" s="3" t="s">
        <v>19571</v>
      </c>
    </row>
    <row r="1972" spans="1:59" ht="58" x14ac:dyDescent="0.35">
      <c r="A1972" s="2" t="s">
        <v>89</v>
      </c>
      <c r="B1972" s="2" t="s">
        <v>90</v>
      </c>
      <c r="C1972" s="2" t="s">
        <v>19572</v>
      </c>
      <c r="D1972" s="2" t="s">
        <v>19573</v>
      </c>
      <c r="E1972" s="2" t="s">
        <v>19574</v>
      </c>
      <c r="G1972" s="3" t="s">
        <v>62</v>
      </c>
      <c r="I1972" s="3" t="s">
        <v>62</v>
      </c>
      <c r="J1972" s="3" t="s">
        <v>62</v>
      </c>
      <c r="K1972" s="3" t="s">
        <v>63</v>
      </c>
      <c r="L1972" s="2" t="s">
        <v>19575</v>
      </c>
      <c r="M1972" s="2" t="s">
        <v>19576</v>
      </c>
      <c r="N1972" s="3" t="s">
        <v>129</v>
      </c>
      <c r="P1972" s="3" t="s">
        <v>64</v>
      </c>
      <c r="R1972" s="3" t="s">
        <v>13065</v>
      </c>
      <c r="S1972" s="4">
        <v>2</v>
      </c>
      <c r="T1972" s="4">
        <v>2</v>
      </c>
      <c r="U1972" s="5" t="s">
        <v>19577</v>
      </c>
      <c r="V1972" s="5" t="s">
        <v>19577</v>
      </c>
      <c r="W1972" s="5" t="s">
        <v>1338</v>
      </c>
      <c r="X1972" s="5" t="s">
        <v>1338</v>
      </c>
      <c r="Y1972" s="4">
        <v>993</v>
      </c>
      <c r="Z1972" s="4">
        <v>28</v>
      </c>
      <c r="AA1972" s="4">
        <v>40</v>
      </c>
      <c r="AB1972" s="4">
        <v>2</v>
      </c>
      <c r="AC1972" s="4">
        <v>5</v>
      </c>
      <c r="AD1972" s="4">
        <v>63</v>
      </c>
      <c r="AE1972" s="4">
        <v>69</v>
      </c>
      <c r="AF1972" s="4">
        <v>1</v>
      </c>
      <c r="AG1972" s="4">
        <v>1</v>
      </c>
      <c r="AH1972" s="4">
        <v>56</v>
      </c>
      <c r="AI1972" s="4">
        <v>59</v>
      </c>
      <c r="AJ1972" s="4">
        <v>5</v>
      </c>
      <c r="AK1972" s="4">
        <v>7</v>
      </c>
      <c r="AL1972" s="4">
        <v>30</v>
      </c>
      <c r="AM1972" s="4">
        <v>31</v>
      </c>
      <c r="AN1972" s="4">
        <v>0</v>
      </c>
      <c r="AO1972" s="4">
        <v>0</v>
      </c>
      <c r="AP1972" s="4">
        <v>9</v>
      </c>
      <c r="AQ1972" s="4">
        <v>13</v>
      </c>
      <c r="AR1972" s="3" t="s">
        <v>62</v>
      </c>
      <c r="AS1972" s="3" t="s">
        <v>62</v>
      </c>
      <c r="AT1972" s="3" t="s">
        <v>62</v>
      </c>
      <c r="AV1972" s="6" t="str">
        <f>HYPERLINK("http://mcgill.on.worldcat.org/oclc/808413612","Catalog Record")</f>
        <v>Catalog Record</v>
      </c>
      <c r="AW1972" s="6" t="str">
        <f>HYPERLINK("http://www.worldcat.org/oclc/808413612","WorldCat Record")</f>
        <v>WorldCat Record</v>
      </c>
      <c r="AX1972" s="3" t="s">
        <v>19578</v>
      </c>
      <c r="AY1972" s="3" t="s">
        <v>19579</v>
      </c>
      <c r="AZ1972" s="3" t="s">
        <v>19580</v>
      </c>
      <c r="BA1972" s="3" t="s">
        <v>19580</v>
      </c>
      <c r="BB1972" s="3" t="s">
        <v>19581</v>
      </c>
      <c r="BC1972" s="3" t="s">
        <v>102</v>
      </c>
      <c r="BD1972" s="3" t="s">
        <v>68</v>
      </c>
      <c r="BE1972" s="3" t="s">
        <v>19582</v>
      </c>
      <c r="BF1972" s="3" t="s">
        <v>19581</v>
      </c>
      <c r="BG1972" s="3" t="s">
        <v>19583</v>
      </c>
    </row>
    <row r="1973" spans="1:59" ht="58" x14ac:dyDescent="0.35">
      <c r="A1973" s="2" t="s">
        <v>89</v>
      </c>
      <c r="B1973" s="2" t="s">
        <v>6791</v>
      </c>
      <c r="C1973" s="2" t="s">
        <v>19584</v>
      </c>
      <c r="D1973" s="2" t="s">
        <v>19585</v>
      </c>
      <c r="E1973" s="2" t="s">
        <v>19586</v>
      </c>
      <c r="G1973" s="3" t="s">
        <v>62</v>
      </c>
      <c r="I1973" s="3" t="s">
        <v>62</v>
      </c>
      <c r="J1973" s="3" t="s">
        <v>62</v>
      </c>
      <c r="K1973" s="3" t="s">
        <v>63</v>
      </c>
      <c r="L1973" s="2" t="s">
        <v>6578</v>
      </c>
      <c r="M1973" s="2" t="s">
        <v>19587</v>
      </c>
      <c r="N1973" s="3" t="s">
        <v>698</v>
      </c>
      <c r="P1973" s="3" t="s">
        <v>64</v>
      </c>
      <c r="R1973" s="3" t="s">
        <v>13065</v>
      </c>
      <c r="S1973" s="4">
        <v>13</v>
      </c>
      <c r="T1973" s="4">
        <v>13</v>
      </c>
      <c r="U1973" s="5" t="s">
        <v>19588</v>
      </c>
      <c r="V1973" s="5" t="s">
        <v>19588</v>
      </c>
      <c r="W1973" s="5" t="s">
        <v>67</v>
      </c>
      <c r="X1973" s="5" t="s">
        <v>67</v>
      </c>
      <c r="Y1973" s="4">
        <v>1319</v>
      </c>
      <c r="Z1973" s="4">
        <v>43</v>
      </c>
      <c r="AA1973" s="4">
        <v>53</v>
      </c>
      <c r="AB1973" s="4">
        <v>5</v>
      </c>
      <c r="AC1973" s="4">
        <v>6</v>
      </c>
      <c r="AD1973" s="4">
        <v>77</v>
      </c>
      <c r="AE1973" s="4">
        <v>88</v>
      </c>
      <c r="AF1973" s="4">
        <v>1</v>
      </c>
      <c r="AG1973" s="4">
        <v>1</v>
      </c>
      <c r="AH1973" s="4">
        <v>67</v>
      </c>
      <c r="AI1973" s="4">
        <v>75</v>
      </c>
      <c r="AJ1973" s="4">
        <v>11</v>
      </c>
      <c r="AK1973" s="4">
        <v>12</v>
      </c>
      <c r="AL1973" s="4">
        <v>39</v>
      </c>
      <c r="AM1973" s="4">
        <v>41</v>
      </c>
      <c r="AN1973" s="4">
        <v>0</v>
      </c>
      <c r="AO1973" s="4">
        <v>0</v>
      </c>
      <c r="AP1973" s="4">
        <v>14</v>
      </c>
      <c r="AQ1973" s="4">
        <v>18</v>
      </c>
      <c r="AR1973" s="3" t="s">
        <v>62</v>
      </c>
      <c r="AS1973" s="3" t="s">
        <v>62</v>
      </c>
      <c r="AT1973" s="3" t="s">
        <v>62</v>
      </c>
      <c r="AV1973" s="6" t="str">
        <f>HYPERLINK("http://mcgill.on.worldcat.org/oclc/772100958","Catalog Record")</f>
        <v>Catalog Record</v>
      </c>
      <c r="AW1973" s="6" t="str">
        <f>HYPERLINK("http://www.worldcat.org/oclc/772100958","WorldCat Record")</f>
        <v>WorldCat Record</v>
      </c>
      <c r="AX1973" s="3" t="s">
        <v>19589</v>
      </c>
      <c r="AY1973" s="3" t="s">
        <v>19590</v>
      </c>
      <c r="AZ1973" s="3" t="s">
        <v>19591</v>
      </c>
      <c r="BA1973" s="3" t="s">
        <v>19591</v>
      </c>
      <c r="BB1973" s="3" t="s">
        <v>19592</v>
      </c>
      <c r="BC1973" s="3" t="s">
        <v>102</v>
      </c>
      <c r="BD1973" s="3" t="s">
        <v>231</v>
      </c>
      <c r="BE1973" s="3" t="s">
        <v>19593</v>
      </c>
      <c r="BF1973" s="3" t="s">
        <v>19592</v>
      </c>
      <c r="BG1973" s="3" t="s">
        <v>19594</v>
      </c>
    </row>
    <row r="1974" spans="1:59" ht="58" x14ac:dyDescent="0.35">
      <c r="A1974" s="2" t="s">
        <v>89</v>
      </c>
      <c r="B1974" s="2" t="s">
        <v>90</v>
      </c>
      <c r="C1974" s="2" t="s">
        <v>19595</v>
      </c>
      <c r="D1974" s="2" t="s">
        <v>19596</v>
      </c>
      <c r="E1974" s="2" t="s">
        <v>19597</v>
      </c>
      <c r="F1974" s="3" t="s">
        <v>2214</v>
      </c>
      <c r="G1974" s="3" t="s">
        <v>61</v>
      </c>
      <c r="I1974" s="3" t="s">
        <v>62</v>
      </c>
      <c r="J1974" s="3" t="s">
        <v>62</v>
      </c>
      <c r="K1974" s="3" t="s">
        <v>63</v>
      </c>
      <c r="L1974" s="2" t="s">
        <v>19598</v>
      </c>
      <c r="M1974" s="2" t="s">
        <v>19599</v>
      </c>
      <c r="N1974" s="3" t="s">
        <v>186</v>
      </c>
      <c r="O1974" s="2" t="s">
        <v>2458</v>
      </c>
      <c r="P1974" s="3" t="s">
        <v>64</v>
      </c>
      <c r="R1974" s="3" t="s">
        <v>13065</v>
      </c>
      <c r="S1974" s="4">
        <v>23</v>
      </c>
      <c r="T1974" s="4">
        <v>94</v>
      </c>
      <c r="U1974" s="5" t="s">
        <v>14456</v>
      </c>
      <c r="V1974" s="5" t="s">
        <v>14456</v>
      </c>
      <c r="W1974" s="5" t="s">
        <v>67</v>
      </c>
      <c r="X1974" s="5" t="s">
        <v>67</v>
      </c>
      <c r="Y1974" s="4">
        <v>12</v>
      </c>
      <c r="Z1974" s="4">
        <v>7</v>
      </c>
      <c r="AA1974" s="4">
        <v>21</v>
      </c>
      <c r="AB1974" s="4">
        <v>2</v>
      </c>
      <c r="AC1974" s="4">
        <v>3</v>
      </c>
      <c r="AD1974" s="4">
        <v>4</v>
      </c>
      <c r="AE1974" s="4">
        <v>21</v>
      </c>
      <c r="AF1974" s="4">
        <v>0</v>
      </c>
      <c r="AG1974" s="4">
        <v>1</v>
      </c>
      <c r="AH1974" s="4">
        <v>3</v>
      </c>
      <c r="AI1974" s="4">
        <v>15</v>
      </c>
      <c r="AJ1974" s="4">
        <v>2</v>
      </c>
      <c r="AK1974" s="4">
        <v>11</v>
      </c>
      <c r="AL1974" s="4">
        <v>0</v>
      </c>
      <c r="AM1974" s="4">
        <v>6</v>
      </c>
      <c r="AN1974" s="4">
        <v>0</v>
      </c>
      <c r="AO1974" s="4">
        <v>0</v>
      </c>
      <c r="AP1974" s="4">
        <v>3</v>
      </c>
      <c r="AQ1974" s="4">
        <v>14</v>
      </c>
      <c r="AR1974" s="3" t="s">
        <v>62</v>
      </c>
      <c r="AS1974" s="3" t="s">
        <v>62</v>
      </c>
      <c r="AT1974" s="3" t="s">
        <v>62</v>
      </c>
      <c r="AV1974" s="6" t="str">
        <f>HYPERLINK("http://mcgill.on.worldcat.org/oclc/223263539","Catalog Record")</f>
        <v>Catalog Record</v>
      </c>
      <c r="AW1974" s="6" t="str">
        <f>HYPERLINK("http://www.worldcat.org/oclc/223263539","WorldCat Record")</f>
        <v>WorldCat Record</v>
      </c>
      <c r="AX1974" s="3" t="s">
        <v>19600</v>
      </c>
      <c r="AY1974" s="3" t="s">
        <v>19601</v>
      </c>
      <c r="AZ1974" s="3" t="s">
        <v>19602</v>
      </c>
      <c r="BA1974" s="3" t="s">
        <v>19602</v>
      </c>
      <c r="BB1974" s="3" t="s">
        <v>19603</v>
      </c>
      <c r="BC1974" s="3" t="s">
        <v>102</v>
      </c>
      <c r="BD1974" s="3" t="s">
        <v>68</v>
      </c>
      <c r="BE1974" s="3" t="s">
        <v>19604</v>
      </c>
      <c r="BF1974" s="3" t="s">
        <v>19603</v>
      </c>
      <c r="BG1974" s="3" t="s">
        <v>19605</v>
      </c>
    </row>
    <row r="1975" spans="1:59" ht="58" x14ac:dyDescent="0.35">
      <c r="A1975" s="2" t="s">
        <v>89</v>
      </c>
      <c r="B1975" s="2" t="s">
        <v>90</v>
      </c>
      <c r="C1975" s="2" t="s">
        <v>19595</v>
      </c>
      <c r="D1975" s="2" t="s">
        <v>19596</v>
      </c>
      <c r="E1975" s="2" t="s">
        <v>19597</v>
      </c>
      <c r="F1975" s="3" t="s">
        <v>2233</v>
      </c>
      <c r="G1975" s="3" t="s">
        <v>61</v>
      </c>
      <c r="I1975" s="3" t="s">
        <v>62</v>
      </c>
      <c r="J1975" s="3" t="s">
        <v>62</v>
      </c>
      <c r="K1975" s="3" t="s">
        <v>63</v>
      </c>
      <c r="L1975" s="2" t="s">
        <v>19598</v>
      </c>
      <c r="M1975" s="2" t="s">
        <v>19599</v>
      </c>
      <c r="N1975" s="3" t="s">
        <v>186</v>
      </c>
      <c r="O1975" s="2" t="s">
        <v>2458</v>
      </c>
      <c r="P1975" s="3" t="s">
        <v>64</v>
      </c>
      <c r="R1975" s="3" t="s">
        <v>13065</v>
      </c>
      <c r="S1975" s="4">
        <v>25</v>
      </c>
      <c r="T1975" s="4">
        <v>94</v>
      </c>
      <c r="U1975" s="5" t="s">
        <v>19606</v>
      </c>
      <c r="V1975" s="5" t="s">
        <v>14456</v>
      </c>
      <c r="W1975" s="5" t="s">
        <v>67</v>
      </c>
      <c r="X1975" s="5" t="s">
        <v>67</v>
      </c>
      <c r="Y1975" s="4">
        <v>12</v>
      </c>
      <c r="Z1975" s="4">
        <v>7</v>
      </c>
      <c r="AA1975" s="4">
        <v>21</v>
      </c>
      <c r="AB1975" s="4">
        <v>2</v>
      </c>
      <c r="AC1975" s="4">
        <v>3</v>
      </c>
      <c r="AD1975" s="4">
        <v>4</v>
      </c>
      <c r="AE1975" s="4">
        <v>21</v>
      </c>
      <c r="AF1975" s="4">
        <v>0</v>
      </c>
      <c r="AG1975" s="4">
        <v>1</v>
      </c>
      <c r="AH1975" s="4">
        <v>3</v>
      </c>
      <c r="AI1975" s="4">
        <v>15</v>
      </c>
      <c r="AJ1975" s="4">
        <v>2</v>
      </c>
      <c r="AK1975" s="4">
        <v>11</v>
      </c>
      <c r="AL1975" s="4">
        <v>0</v>
      </c>
      <c r="AM1975" s="4">
        <v>6</v>
      </c>
      <c r="AN1975" s="4">
        <v>0</v>
      </c>
      <c r="AO1975" s="4">
        <v>0</v>
      </c>
      <c r="AP1975" s="4">
        <v>3</v>
      </c>
      <c r="AQ1975" s="4">
        <v>14</v>
      </c>
      <c r="AR1975" s="3" t="s">
        <v>62</v>
      </c>
      <c r="AS1975" s="3" t="s">
        <v>62</v>
      </c>
      <c r="AT1975" s="3" t="s">
        <v>62</v>
      </c>
      <c r="AV1975" s="6" t="str">
        <f>HYPERLINK("http://mcgill.on.worldcat.org/oclc/223263539","Catalog Record")</f>
        <v>Catalog Record</v>
      </c>
      <c r="AW1975" s="6" t="str">
        <f>HYPERLINK("http://www.worldcat.org/oclc/223263539","WorldCat Record")</f>
        <v>WorldCat Record</v>
      </c>
      <c r="AX1975" s="3" t="s">
        <v>19600</v>
      </c>
      <c r="AY1975" s="3" t="s">
        <v>19601</v>
      </c>
      <c r="AZ1975" s="3" t="s">
        <v>19602</v>
      </c>
      <c r="BA1975" s="3" t="s">
        <v>19602</v>
      </c>
      <c r="BB1975" s="3" t="s">
        <v>19607</v>
      </c>
      <c r="BC1975" s="3" t="s">
        <v>102</v>
      </c>
      <c r="BD1975" s="3" t="s">
        <v>68</v>
      </c>
      <c r="BE1975" s="3" t="s">
        <v>19604</v>
      </c>
      <c r="BF1975" s="3" t="s">
        <v>19607</v>
      </c>
      <c r="BG1975" s="3" t="s">
        <v>19608</v>
      </c>
    </row>
    <row r="1976" spans="1:59" ht="58" x14ac:dyDescent="0.35">
      <c r="A1976" s="2" t="s">
        <v>89</v>
      </c>
      <c r="B1976" s="2" t="s">
        <v>90</v>
      </c>
      <c r="C1976" s="2" t="s">
        <v>19595</v>
      </c>
      <c r="D1976" s="2" t="s">
        <v>19596</v>
      </c>
      <c r="E1976" s="2" t="s">
        <v>19597</v>
      </c>
      <c r="F1976" s="3" t="s">
        <v>2217</v>
      </c>
      <c r="G1976" s="3" t="s">
        <v>61</v>
      </c>
      <c r="I1976" s="3" t="s">
        <v>62</v>
      </c>
      <c r="J1976" s="3" t="s">
        <v>62</v>
      </c>
      <c r="K1976" s="3" t="s">
        <v>63</v>
      </c>
      <c r="L1976" s="2" t="s">
        <v>19598</v>
      </c>
      <c r="M1976" s="2" t="s">
        <v>19599</v>
      </c>
      <c r="N1976" s="3" t="s">
        <v>186</v>
      </c>
      <c r="O1976" s="2" t="s">
        <v>2458</v>
      </c>
      <c r="P1976" s="3" t="s">
        <v>64</v>
      </c>
      <c r="R1976" s="3" t="s">
        <v>13065</v>
      </c>
      <c r="S1976" s="4">
        <v>27</v>
      </c>
      <c r="T1976" s="4">
        <v>94</v>
      </c>
      <c r="U1976" s="5" t="s">
        <v>19606</v>
      </c>
      <c r="V1976" s="5" t="s">
        <v>14456</v>
      </c>
      <c r="W1976" s="5" t="s">
        <v>67</v>
      </c>
      <c r="X1976" s="5" t="s">
        <v>67</v>
      </c>
      <c r="Y1976" s="4">
        <v>12</v>
      </c>
      <c r="Z1976" s="4">
        <v>7</v>
      </c>
      <c r="AA1976" s="4">
        <v>21</v>
      </c>
      <c r="AB1976" s="4">
        <v>2</v>
      </c>
      <c r="AC1976" s="4">
        <v>3</v>
      </c>
      <c r="AD1976" s="4">
        <v>4</v>
      </c>
      <c r="AE1976" s="4">
        <v>21</v>
      </c>
      <c r="AF1976" s="4">
        <v>0</v>
      </c>
      <c r="AG1976" s="4">
        <v>1</v>
      </c>
      <c r="AH1976" s="4">
        <v>3</v>
      </c>
      <c r="AI1976" s="4">
        <v>15</v>
      </c>
      <c r="AJ1976" s="4">
        <v>2</v>
      </c>
      <c r="AK1976" s="4">
        <v>11</v>
      </c>
      <c r="AL1976" s="4">
        <v>0</v>
      </c>
      <c r="AM1976" s="4">
        <v>6</v>
      </c>
      <c r="AN1976" s="4">
        <v>0</v>
      </c>
      <c r="AO1976" s="4">
        <v>0</v>
      </c>
      <c r="AP1976" s="4">
        <v>3</v>
      </c>
      <c r="AQ1976" s="4">
        <v>14</v>
      </c>
      <c r="AR1976" s="3" t="s">
        <v>62</v>
      </c>
      <c r="AS1976" s="3" t="s">
        <v>62</v>
      </c>
      <c r="AT1976" s="3" t="s">
        <v>62</v>
      </c>
      <c r="AV1976" s="6" t="str">
        <f>HYPERLINK("http://mcgill.on.worldcat.org/oclc/223263539","Catalog Record")</f>
        <v>Catalog Record</v>
      </c>
      <c r="AW1976" s="6" t="str">
        <f>HYPERLINK("http://www.worldcat.org/oclc/223263539","WorldCat Record")</f>
        <v>WorldCat Record</v>
      </c>
      <c r="AX1976" s="3" t="s">
        <v>19600</v>
      </c>
      <c r="AY1976" s="3" t="s">
        <v>19601</v>
      </c>
      <c r="AZ1976" s="3" t="s">
        <v>19602</v>
      </c>
      <c r="BA1976" s="3" t="s">
        <v>19602</v>
      </c>
      <c r="BB1976" s="3" t="s">
        <v>19609</v>
      </c>
      <c r="BC1976" s="3" t="s">
        <v>102</v>
      </c>
      <c r="BD1976" s="3" t="s">
        <v>68</v>
      </c>
      <c r="BE1976" s="3" t="s">
        <v>19604</v>
      </c>
      <c r="BF1976" s="3" t="s">
        <v>19609</v>
      </c>
      <c r="BG1976" s="3" t="s">
        <v>19610</v>
      </c>
    </row>
    <row r="1977" spans="1:59" ht="58" x14ac:dyDescent="0.35">
      <c r="A1977" s="2" t="s">
        <v>89</v>
      </c>
      <c r="B1977" s="2" t="s">
        <v>90</v>
      </c>
      <c r="C1977" s="2" t="s">
        <v>19595</v>
      </c>
      <c r="D1977" s="2" t="s">
        <v>19596</v>
      </c>
      <c r="E1977" s="2" t="s">
        <v>19597</v>
      </c>
      <c r="F1977" s="3" t="s">
        <v>2248</v>
      </c>
      <c r="G1977" s="3" t="s">
        <v>61</v>
      </c>
      <c r="I1977" s="3" t="s">
        <v>62</v>
      </c>
      <c r="J1977" s="3" t="s">
        <v>62</v>
      </c>
      <c r="K1977" s="3" t="s">
        <v>63</v>
      </c>
      <c r="L1977" s="2" t="s">
        <v>19598</v>
      </c>
      <c r="M1977" s="2" t="s">
        <v>19599</v>
      </c>
      <c r="N1977" s="3" t="s">
        <v>186</v>
      </c>
      <c r="O1977" s="2" t="s">
        <v>2458</v>
      </c>
      <c r="P1977" s="3" t="s">
        <v>64</v>
      </c>
      <c r="R1977" s="3" t="s">
        <v>13065</v>
      </c>
      <c r="S1977" s="4">
        <v>19</v>
      </c>
      <c r="T1977" s="4">
        <v>94</v>
      </c>
      <c r="U1977" s="5" t="s">
        <v>14456</v>
      </c>
      <c r="V1977" s="5" t="s">
        <v>14456</v>
      </c>
      <c r="W1977" s="5" t="s">
        <v>67</v>
      </c>
      <c r="X1977" s="5" t="s">
        <v>67</v>
      </c>
      <c r="Y1977" s="4">
        <v>12</v>
      </c>
      <c r="Z1977" s="4">
        <v>7</v>
      </c>
      <c r="AA1977" s="4">
        <v>21</v>
      </c>
      <c r="AB1977" s="4">
        <v>2</v>
      </c>
      <c r="AC1977" s="4">
        <v>3</v>
      </c>
      <c r="AD1977" s="4">
        <v>4</v>
      </c>
      <c r="AE1977" s="4">
        <v>21</v>
      </c>
      <c r="AF1977" s="4">
        <v>0</v>
      </c>
      <c r="AG1977" s="4">
        <v>1</v>
      </c>
      <c r="AH1977" s="4">
        <v>3</v>
      </c>
      <c r="AI1977" s="4">
        <v>15</v>
      </c>
      <c r="AJ1977" s="4">
        <v>2</v>
      </c>
      <c r="AK1977" s="4">
        <v>11</v>
      </c>
      <c r="AL1977" s="4">
        <v>0</v>
      </c>
      <c r="AM1977" s="4">
        <v>6</v>
      </c>
      <c r="AN1977" s="4">
        <v>0</v>
      </c>
      <c r="AO1977" s="4">
        <v>0</v>
      </c>
      <c r="AP1977" s="4">
        <v>3</v>
      </c>
      <c r="AQ1977" s="4">
        <v>14</v>
      </c>
      <c r="AR1977" s="3" t="s">
        <v>62</v>
      </c>
      <c r="AS1977" s="3" t="s">
        <v>62</v>
      </c>
      <c r="AT1977" s="3" t="s">
        <v>62</v>
      </c>
      <c r="AV1977" s="6" t="str">
        <f>HYPERLINK("http://mcgill.on.worldcat.org/oclc/223263539","Catalog Record")</f>
        <v>Catalog Record</v>
      </c>
      <c r="AW1977" s="6" t="str">
        <f>HYPERLINK("http://www.worldcat.org/oclc/223263539","WorldCat Record")</f>
        <v>WorldCat Record</v>
      </c>
      <c r="AX1977" s="3" t="s">
        <v>19600</v>
      </c>
      <c r="AY1977" s="3" t="s">
        <v>19601</v>
      </c>
      <c r="AZ1977" s="3" t="s">
        <v>19602</v>
      </c>
      <c r="BA1977" s="3" t="s">
        <v>19602</v>
      </c>
      <c r="BB1977" s="3" t="s">
        <v>19611</v>
      </c>
      <c r="BC1977" s="3" t="s">
        <v>102</v>
      </c>
      <c r="BD1977" s="3" t="s">
        <v>68</v>
      </c>
      <c r="BE1977" s="3" t="s">
        <v>19604</v>
      </c>
      <c r="BF1977" s="3" t="s">
        <v>19611</v>
      </c>
      <c r="BG1977" s="3" t="s">
        <v>19612</v>
      </c>
    </row>
    <row r="1978" spans="1:59" ht="58" x14ac:dyDescent="0.35">
      <c r="A1978" s="2" t="s">
        <v>89</v>
      </c>
      <c r="B1978" s="2" t="s">
        <v>90</v>
      </c>
      <c r="C1978" s="2" t="s">
        <v>19613</v>
      </c>
      <c r="D1978" s="2" t="s">
        <v>19614</v>
      </c>
      <c r="E1978" s="2" t="s">
        <v>19615</v>
      </c>
      <c r="F1978" s="3" t="s">
        <v>2217</v>
      </c>
      <c r="G1978" s="3" t="s">
        <v>61</v>
      </c>
      <c r="I1978" s="3" t="s">
        <v>62</v>
      </c>
      <c r="J1978" s="3" t="s">
        <v>62</v>
      </c>
      <c r="K1978" s="3" t="s">
        <v>63</v>
      </c>
      <c r="L1978" s="2" t="s">
        <v>19616</v>
      </c>
      <c r="M1978" s="2" t="s">
        <v>19617</v>
      </c>
      <c r="N1978" s="3" t="s">
        <v>19618</v>
      </c>
      <c r="P1978" s="3" t="s">
        <v>1881</v>
      </c>
      <c r="R1978" s="3" t="s">
        <v>13065</v>
      </c>
      <c r="S1978" s="4">
        <v>7</v>
      </c>
      <c r="T1978" s="4">
        <v>12</v>
      </c>
      <c r="U1978" s="5" t="s">
        <v>19543</v>
      </c>
      <c r="V1978" s="5" t="s">
        <v>19543</v>
      </c>
      <c r="W1978" s="5" t="s">
        <v>67</v>
      </c>
      <c r="X1978" s="5" t="s">
        <v>67</v>
      </c>
      <c r="Y1978" s="4">
        <v>1</v>
      </c>
      <c r="Z1978" s="4">
        <v>1</v>
      </c>
      <c r="AA1978" s="4">
        <v>1</v>
      </c>
      <c r="AB1978" s="4">
        <v>1</v>
      </c>
      <c r="AC1978" s="4">
        <v>1</v>
      </c>
      <c r="AD1978" s="4">
        <v>0</v>
      </c>
      <c r="AE1978" s="4">
        <v>0</v>
      </c>
      <c r="AF1978" s="4">
        <v>0</v>
      </c>
      <c r="AG1978" s="4">
        <v>0</v>
      </c>
      <c r="AH1978" s="4">
        <v>0</v>
      </c>
      <c r="AI1978" s="4">
        <v>0</v>
      </c>
      <c r="AJ1978" s="4">
        <v>0</v>
      </c>
      <c r="AK1978" s="4">
        <v>0</v>
      </c>
      <c r="AL1978" s="4">
        <v>0</v>
      </c>
      <c r="AM1978" s="4">
        <v>0</v>
      </c>
      <c r="AN1978" s="4">
        <v>0</v>
      </c>
      <c r="AO1978" s="4">
        <v>0</v>
      </c>
      <c r="AP1978" s="4">
        <v>0</v>
      </c>
      <c r="AQ1978" s="4">
        <v>0</v>
      </c>
      <c r="AR1978" s="3" t="s">
        <v>62</v>
      </c>
      <c r="AS1978" s="3" t="s">
        <v>62</v>
      </c>
      <c r="AT1978" s="3" t="s">
        <v>62</v>
      </c>
      <c r="AV1978" s="6" t="str">
        <f>HYPERLINK("http://mcgill.on.worldcat.org/oclc/427506593","Catalog Record")</f>
        <v>Catalog Record</v>
      </c>
      <c r="AW1978" s="6" t="str">
        <f>HYPERLINK("http://www.worldcat.org/oclc/427506593","WorldCat Record")</f>
        <v>WorldCat Record</v>
      </c>
      <c r="AX1978" s="3" t="s">
        <v>19619</v>
      </c>
      <c r="AY1978" s="3" t="s">
        <v>19620</v>
      </c>
      <c r="AZ1978" s="3" t="s">
        <v>19621</v>
      </c>
      <c r="BA1978" s="3" t="s">
        <v>19621</v>
      </c>
      <c r="BB1978" s="3" t="s">
        <v>19622</v>
      </c>
      <c r="BC1978" s="3" t="s">
        <v>102</v>
      </c>
      <c r="BD1978" s="3" t="s">
        <v>68</v>
      </c>
      <c r="BF1978" s="3" t="s">
        <v>19622</v>
      </c>
      <c r="BG1978" s="3" t="s">
        <v>19623</v>
      </c>
    </row>
    <row r="1979" spans="1:59" ht="58" x14ac:dyDescent="0.35">
      <c r="A1979" s="2" t="s">
        <v>89</v>
      </c>
      <c r="B1979" s="2" t="s">
        <v>90</v>
      </c>
      <c r="C1979" s="2" t="s">
        <v>19613</v>
      </c>
      <c r="D1979" s="2" t="s">
        <v>19614</v>
      </c>
      <c r="E1979" s="2" t="s">
        <v>19615</v>
      </c>
      <c r="F1979" s="3" t="s">
        <v>2233</v>
      </c>
      <c r="G1979" s="3" t="s">
        <v>61</v>
      </c>
      <c r="I1979" s="3" t="s">
        <v>62</v>
      </c>
      <c r="J1979" s="3" t="s">
        <v>62</v>
      </c>
      <c r="K1979" s="3" t="s">
        <v>63</v>
      </c>
      <c r="L1979" s="2" t="s">
        <v>19616</v>
      </c>
      <c r="M1979" s="2" t="s">
        <v>19617</v>
      </c>
      <c r="N1979" s="3" t="s">
        <v>19618</v>
      </c>
      <c r="P1979" s="3" t="s">
        <v>1881</v>
      </c>
      <c r="R1979" s="3" t="s">
        <v>13065</v>
      </c>
      <c r="S1979" s="4">
        <v>5</v>
      </c>
      <c r="T1979" s="4">
        <v>12</v>
      </c>
      <c r="U1979" s="5" t="s">
        <v>19624</v>
      </c>
      <c r="V1979" s="5" t="s">
        <v>19543</v>
      </c>
      <c r="W1979" s="5" t="s">
        <v>67</v>
      </c>
      <c r="X1979" s="5" t="s">
        <v>67</v>
      </c>
      <c r="Y1979" s="4">
        <v>1</v>
      </c>
      <c r="Z1979" s="4">
        <v>1</v>
      </c>
      <c r="AA1979" s="4">
        <v>1</v>
      </c>
      <c r="AB1979" s="4">
        <v>1</v>
      </c>
      <c r="AC1979" s="4">
        <v>1</v>
      </c>
      <c r="AD1979" s="4">
        <v>0</v>
      </c>
      <c r="AE1979" s="4">
        <v>0</v>
      </c>
      <c r="AF1979" s="4">
        <v>0</v>
      </c>
      <c r="AG1979" s="4">
        <v>0</v>
      </c>
      <c r="AH1979" s="4">
        <v>0</v>
      </c>
      <c r="AI1979" s="4">
        <v>0</v>
      </c>
      <c r="AJ1979" s="4">
        <v>0</v>
      </c>
      <c r="AK1979" s="4">
        <v>0</v>
      </c>
      <c r="AL1979" s="4">
        <v>0</v>
      </c>
      <c r="AM1979" s="4">
        <v>0</v>
      </c>
      <c r="AN1979" s="4">
        <v>0</v>
      </c>
      <c r="AO1979" s="4">
        <v>0</v>
      </c>
      <c r="AP1979" s="4">
        <v>0</v>
      </c>
      <c r="AQ1979" s="4">
        <v>0</v>
      </c>
      <c r="AR1979" s="3" t="s">
        <v>62</v>
      </c>
      <c r="AS1979" s="3" t="s">
        <v>62</v>
      </c>
      <c r="AT1979" s="3" t="s">
        <v>62</v>
      </c>
      <c r="AV1979" s="6" t="str">
        <f>HYPERLINK("http://mcgill.on.worldcat.org/oclc/427506593","Catalog Record")</f>
        <v>Catalog Record</v>
      </c>
      <c r="AW1979" s="6" t="str">
        <f>HYPERLINK("http://www.worldcat.org/oclc/427506593","WorldCat Record")</f>
        <v>WorldCat Record</v>
      </c>
      <c r="AX1979" s="3" t="s">
        <v>19619</v>
      </c>
      <c r="AY1979" s="3" t="s">
        <v>19620</v>
      </c>
      <c r="AZ1979" s="3" t="s">
        <v>19621</v>
      </c>
      <c r="BA1979" s="3" t="s">
        <v>19621</v>
      </c>
      <c r="BB1979" s="3" t="s">
        <v>19625</v>
      </c>
      <c r="BC1979" s="3" t="s">
        <v>102</v>
      </c>
      <c r="BD1979" s="3" t="s">
        <v>68</v>
      </c>
      <c r="BF1979" s="3" t="s">
        <v>19625</v>
      </c>
      <c r="BG1979" s="3" t="s">
        <v>19626</v>
      </c>
    </row>
    <row r="1980" spans="1:59" ht="58" x14ac:dyDescent="0.35">
      <c r="A1980" s="2" t="s">
        <v>89</v>
      </c>
      <c r="B1980" s="2" t="s">
        <v>90</v>
      </c>
      <c r="C1980" s="2" t="s">
        <v>19627</v>
      </c>
      <c r="D1980" s="2" t="s">
        <v>19628</v>
      </c>
      <c r="E1980" s="2" t="s">
        <v>19629</v>
      </c>
      <c r="G1980" s="3" t="s">
        <v>62</v>
      </c>
      <c r="I1980" s="3" t="s">
        <v>62</v>
      </c>
      <c r="J1980" s="3" t="s">
        <v>61</v>
      </c>
      <c r="K1980" s="3" t="s">
        <v>63</v>
      </c>
      <c r="L1980" s="2" t="s">
        <v>19630</v>
      </c>
      <c r="M1980" s="2" t="s">
        <v>19631</v>
      </c>
      <c r="N1980" s="3" t="s">
        <v>809</v>
      </c>
      <c r="O1980" s="2" t="s">
        <v>19632</v>
      </c>
      <c r="P1980" s="3" t="s">
        <v>64</v>
      </c>
      <c r="R1980" s="3" t="s">
        <v>13065</v>
      </c>
      <c r="S1980" s="4">
        <v>12</v>
      </c>
      <c r="T1980" s="4">
        <v>12</v>
      </c>
      <c r="U1980" s="5" t="s">
        <v>19633</v>
      </c>
      <c r="V1980" s="5" t="s">
        <v>19633</v>
      </c>
      <c r="W1980" s="5" t="s">
        <v>67</v>
      </c>
      <c r="X1980" s="5" t="s">
        <v>67</v>
      </c>
      <c r="Y1980" s="4">
        <v>37</v>
      </c>
      <c r="Z1980" s="4">
        <v>4</v>
      </c>
      <c r="AA1980" s="4">
        <v>83</v>
      </c>
      <c r="AB1980" s="4">
        <v>1</v>
      </c>
      <c r="AC1980" s="4">
        <v>9</v>
      </c>
      <c r="AD1980" s="4">
        <v>9</v>
      </c>
      <c r="AE1980" s="4">
        <v>160</v>
      </c>
      <c r="AF1980" s="4">
        <v>0</v>
      </c>
      <c r="AG1980" s="4">
        <v>4</v>
      </c>
      <c r="AH1980" s="4">
        <v>9</v>
      </c>
      <c r="AI1980" s="4">
        <v>117</v>
      </c>
      <c r="AJ1980" s="4">
        <v>3</v>
      </c>
      <c r="AK1980" s="4">
        <v>27</v>
      </c>
      <c r="AL1980" s="4">
        <v>6</v>
      </c>
      <c r="AM1980" s="4">
        <v>63</v>
      </c>
      <c r="AN1980" s="4">
        <v>0</v>
      </c>
      <c r="AO1980" s="4">
        <v>2</v>
      </c>
      <c r="AP1980" s="4">
        <v>3</v>
      </c>
      <c r="AQ1980" s="4">
        <v>49</v>
      </c>
      <c r="AR1980" s="3" t="s">
        <v>62</v>
      </c>
      <c r="AS1980" s="3" t="s">
        <v>62</v>
      </c>
      <c r="AT1980" s="3" t="s">
        <v>62</v>
      </c>
      <c r="AV1980" s="6" t="str">
        <f>HYPERLINK("http://mcgill.on.worldcat.org/oclc/855990","Catalog Record")</f>
        <v>Catalog Record</v>
      </c>
      <c r="AW1980" s="6" t="str">
        <f>HYPERLINK("http://www.worldcat.org/oclc/855990","WorldCat Record")</f>
        <v>WorldCat Record</v>
      </c>
      <c r="AX1980" s="3" t="s">
        <v>19634</v>
      </c>
      <c r="AY1980" s="3" t="s">
        <v>19635</v>
      </c>
      <c r="AZ1980" s="3" t="s">
        <v>19636</v>
      </c>
      <c r="BA1980" s="3" t="s">
        <v>19636</v>
      </c>
      <c r="BB1980" s="3" t="s">
        <v>19637</v>
      </c>
      <c r="BC1980" s="3" t="s">
        <v>102</v>
      </c>
      <c r="BD1980" s="3" t="s">
        <v>68</v>
      </c>
      <c r="BF1980" s="3" t="s">
        <v>19637</v>
      </c>
      <c r="BG1980" s="3" t="s">
        <v>19638</v>
      </c>
    </row>
    <row r="1981" spans="1:59" ht="58" x14ac:dyDescent="0.35">
      <c r="A1981" s="2" t="s">
        <v>89</v>
      </c>
      <c r="B1981" s="2" t="s">
        <v>90</v>
      </c>
      <c r="C1981" s="2" t="s">
        <v>19639</v>
      </c>
      <c r="D1981" s="2" t="s">
        <v>19640</v>
      </c>
      <c r="E1981" s="2" t="s">
        <v>19641</v>
      </c>
      <c r="G1981" s="3" t="s">
        <v>62</v>
      </c>
      <c r="I1981" s="3" t="s">
        <v>62</v>
      </c>
      <c r="J1981" s="3" t="s">
        <v>62</v>
      </c>
      <c r="K1981" s="3" t="s">
        <v>916</v>
      </c>
      <c r="L1981" s="2" t="s">
        <v>19642</v>
      </c>
      <c r="M1981" s="2" t="s">
        <v>19643</v>
      </c>
      <c r="N1981" s="3" t="s">
        <v>2740</v>
      </c>
      <c r="P1981" s="3" t="s">
        <v>64</v>
      </c>
      <c r="R1981" s="3" t="s">
        <v>13065</v>
      </c>
      <c r="S1981" s="4">
        <v>8</v>
      </c>
      <c r="T1981" s="4">
        <v>8</v>
      </c>
      <c r="U1981" s="5" t="s">
        <v>13420</v>
      </c>
      <c r="V1981" s="5" t="s">
        <v>13420</v>
      </c>
      <c r="W1981" s="5" t="s">
        <v>67</v>
      </c>
      <c r="X1981" s="5" t="s">
        <v>67</v>
      </c>
      <c r="Y1981" s="4">
        <v>1</v>
      </c>
      <c r="Z1981" s="4">
        <v>1</v>
      </c>
      <c r="AA1981" s="4">
        <v>35</v>
      </c>
      <c r="AB1981" s="4">
        <v>1</v>
      </c>
      <c r="AC1981" s="4">
        <v>4</v>
      </c>
      <c r="AD1981" s="4">
        <v>0</v>
      </c>
      <c r="AE1981" s="4">
        <v>97</v>
      </c>
      <c r="AF1981" s="4">
        <v>0</v>
      </c>
      <c r="AG1981" s="4">
        <v>2</v>
      </c>
      <c r="AH1981" s="4">
        <v>0</v>
      </c>
      <c r="AI1981" s="4">
        <v>83</v>
      </c>
      <c r="AJ1981" s="4">
        <v>0</v>
      </c>
      <c r="AK1981" s="4">
        <v>13</v>
      </c>
      <c r="AL1981" s="4">
        <v>0</v>
      </c>
      <c r="AM1981" s="4">
        <v>43</v>
      </c>
      <c r="AN1981" s="4">
        <v>0</v>
      </c>
      <c r="AO1981" s="4">
        <v>8</v>
      </c>
      <c r="AP1981" s="4">
        <v>0</v>
      </c>
      <c r="AQ1981" s="4">
        <v>22</v>
      </c>
      <c r="AR1981" s="3" t="s">
        <v>62</v>
      </c>
      <c r="AS1981" s="3" t="s">
        <v>62</v>
      </c>
      <c r="AT1981" s="3" t="s">
        <v>62</v>
      </c>
      <c r="AV1981" s="6" t="str">
        <f>HYPERLINK("http://mcgill.on.worldcat.org/oclc/61598706","Catalog Record")</f>
        <v>Catalog Record</v>
      </c>
      <c r="AW1981" s="6" t="str">
        <f>HYPERLINK("http://www.worldcat.org/oclc/61598706","WorldCat Record")</f>
        <v>WorldCat Record</v>
      </c>
      <c r="AX1981" s="3" t="s">
        <v>19644</v>
      </c>
      <c r="AY1981" s="3" t="s">
        <v>19645</v>
      </c>
      <c r="AZ1981" s="3" t="s">
        <v>19646</v>
      </c>
      <c r="BA1981" s="3" t="s">
        <v>19646</v>
      </c>
      <c r="BB1981" s="3" t="s">
        <v>19647</v>
      </c>
      <c r="BC1981" s="3" t="s">
        <v>102</v>
      </c>
      <c r="BD1981" s="3" t="s">
        <v>68</v>
      </c>
      <c r="BF1981" s="3" t="s">
        <v>19647</v>
      </c>
      <c r="BG1981" s="3" t="s">
        <v>19648</v>
      </c>
    </row>
    <row r="1982" spans="1:59" ht="58" x14ac:dyDescent="0.35">
      <c r="A1982" s="2" t="s">
        <v>89</v>
      </c>
      <c r="B1982" s="2" t="s">
        <v>90</v>
      </c>
      <c r="C1982" s="2" t="s">
        <v>19649</v>
      </c>
      <c r="D1982" s="2" t="s">
        <v>19650</v>
      </c>
      <c r="E1982" s="2" t="s">
        <v>19651</v>
      </c>
      <c r="G1982" s="3" t="s">
        <v>62</v>
      </c>
      <c r="I1982" s="3" t="s">
        <v>62</v>
      </c>
      <c r="J1982" s="3" t="s">
        <v>62</v>
      </c>
      <c r="K1982" s="3" t="s">
        <v>63</v>
      </c>
      <c r="L1982" s="2" t="s">
        <v>6616</v>
      </c>
      <c r="M1982" s="2" t="s">
        <v>19652</v>
      </c>
      <c r="N1982" s="3" t="s">
        <v>2110</v>
      </c>
      <c r="P1982" s="3" t="s">
        <v>64</v>
      </c>
      <c r="R1982" s="3" t="s">
        <v>13065</v>
      </c>
      <c r="S1982" s="4">
        <v>42</v>
      </c>
      <c r="T1982" s="4">
        <v>42</v>
      </c>
      <c r="U1982" s="5" t="s">
        <v>2473</v>
      </c>
      <c r="V1982" s="5" t="s">
        <v>2473</v>
      </c>
      <c r="W1982" s="5" t="s">
        <v>67</v>
      </c>
      <c r="X1982" s="5" t="s">
        <v>67</v>
      </c>
      <c r="Y1982" s="4">
        <v>1185</v>
      </c>
      <c r="Z1982" s="4">
        <v>49</v>
      </c>
      <c r="AA1982" s="4">
        <v>55</v>
      </c>
      <c r="AB1982" s="4">
        <v>1</v>
      </c>
      <c r="AC1982" s="4">
        <v>5</v>
      </c>
      <c r="AD1982" s="4">
        <v>106</v>
      </c>
      <c r="AE1982" s="4">
        <v>109</v>
      </c>
      <c r="AF1982" s="4">
        <v>0</v>
      </c>
      <c r="AG1982" s="4">
        <v>1</v>
      </c>
      <c r="AH1982" s="4">
        <v>87</v>
      </c>
      <c r="AI1982" s="4">
        <v>87</v>
      </c>
      <c r="AJ1982" s="4">
        <v>16</v>
      </c>
      <c r="AK1982" s="4">
        <v>17</v>
      </c>
      <c r="AL1982" s="4">
        <v>45</v>
      </c>
      <c r="AM1982" s="4">
        <v>45</v>
      </c>
      <c r="AN1982" s="4">
        <v>0</v>
      </c>
      <c r="AO1982" s="4">
        <v>0</v>
      </c>
      <c r="AP1982" s="4">
        <v>26</v>
      </c>
      <c r="AQ1982" s="4">
        <v>29</v>
      </c>
      <c r="AR1982" s="3" t="s">
        <v>62</v>
      </c>
      <c r="AS1982" s="3" t="s">
        <v>62</v>
      </c>
      <c r="AT1982" s="3" t="s">
        <v>62</v>
      </c>
      <c r="AV1982" s="6" t="str">
        <f>HYPERLINK("http://mcgill.on.worldcat.org/oclc/4036396","Catalog Record")</f>
        <v>Catalog Record</v>
      </c>
      <c r="AW1982" s="6" t="str">
        <f>HYPERLINK("http://www.worldcat.org/oclc/4036396","WorldCat Record")</f>
        <v>WorldCat Record</v>
      </c>
      <c r="AX1982" s="3" t="s">
        <v>19653</v>
      </c>
      <c r="AY1982" s="3" t="s">
        <v>19654</v>
      </c>
      <c r="AZ1982" s="3" t="s">
        <v>19655</v>
      </c>
      <c r="BA1982" s="3" t="s">
        <v>19655</v>
      </c>
      <c r="BB1982" s="3" t="s">
        <v>19656</v>
      </c>
      <c r="BC1982" s="3" t="s">
        <v>102</v>
      </c>
      <c r="BD1982" s="3" t="s">
        <v>68</v>
      </c>
      <c r="BE1982" s="3" t="s">
        <v>19657</v>
      </c>
      <c r="BF1982" s="3" t="s">
        <v>19656</v>
      </c>
      <c r="BG1982" s="3" t="s">
        <v>19658</v>
      </c>
    </row>
    <row r="1983" spans="1:59" ht="58" x14ac:dyDescent="0.35">
      <c r="A1983" s="2" t="s">
        <v>89</v>
      </c>
      <c r="B1983" s="2" t="s">
        <v>90</v>
      </c>
      <c r="C1983" s="2" t="s">
        <v>19659</v>
      </c>
      <c r="D1983" s="2" t="s">
        <v>19660</v>
      </c>
      <c r="E1983" s="2" t="s">
        <v>19661</v>
      </c>
      <c r="G1983" s="3" t="s">
        <v>62</v>
      </c>
      <c r="I1983" s="3" t="s">
        <v>62</v>
      </c>
      <c r="J1983" s="3" t="s">
        <v>62</v>
      </c>
      <c r="K1983" s="3" t="s">
        <v>63</v>
      </c>
      <c r="L1983" s="2" t="s">
        <v>6616</v>
      </c>
      <c r="M1983" s="2" t="s">
        <v>19662</v>
      </c>
      <c r="N1983" s="3" t="s">
        <v>186</v>
      </c>
      <c r="P1983" s="3" t="s">
        <v>64</v>
      </c>
      <c r="Q1983" s="2" t="s">
        <v>19663</v>
      </c>
      <c r="R1983" s="3" t="s">
        <v>13065</v>
      </c>
      <c r="S1983" s="4">
        <v>17</v>
      </c>
      <c r="T1983" s="4">
        <v>17</v>
      </c>
      <c r="U1983" s="5" t="s">
        <v>19543</v>
      </c>
      <c r="V1983" s="5" t="s">
        <v>19543</v>
      </c>
      <c r="W1983" s="5" t="s">
        <v>67</v>
      </c>
      <c r="X1983" s="5" t="s">
        <v>67</v>
      </c>
      <c r="Y1983" s="4">
        <v>85</v>
      </c>
      <c r="Z1983" s="4">
        <v>7</v>
      </c>
      <c r="AA1983" s="4">
        <v>9</v>
      </c>
      <c r="AB1983" s="4">
        <v>1</v>
      </c>
      <c r="AC1983" s="4">
        <v>1</v>
      </c>
      <c r="AD1983" s="4">
        <v>22</v>
      </c>
      <c r="AE1983" s="4">
        <v>24</v>
      </c>
      <c r="AF1983" s="4">
        <v>0</v>
      </c>
      <c r="AG1983" s="4">
        <v>0</v>
      </c>
      <c r="AH1983" s="4">
        <v>20</v>
      </c>
      <c r="AI1983" s="4">
        <v>20</v>
      </c>
      <c r="AJ1983" s="4">
        <v>4</v>
      </c>
      <c r="AK1983" s="4">
        <v>4</v>
      </c>
      <c r="AL1983" s="4">
        <v>12</v>
      </c>
      <c r="AM1983" s="4">
        <v>12</v>
      </c>
      <c r="AN1983" s="4">
        <v>0</v>
      </c>
      <c r="AO1983" s="4">
        <v>0</v>
      </c>
      <c r="AP1983" s="4">
        <v>5</v>
      </c>
      <c r="AQ1983" s="4">
        <v>7</v>
      </c>
      <c r="AR1983" s="3" t="s">
        <v>62</v>
      </c>
      <c r="AS1983" s="3" t="s">
        <v>61</v>
      </c>
      <c r="AT1983" s="3" t="s">
        <v>62</v>
      </c>
      <c r="AU1983" s="6" t="str">
        <f>HYPERLINK("http://catalog.hathitrust.org/Record/004435243","HathiTrust Record")</f>
        <v>HathiTrust Record</v>
      </c>
      <c r="AV1983" s="6" t="str">
        <f>HYPERLINK("http://mcgill.on.worldcat.org/oclc/1500018","Catalog Record")</f>
        <v>Catalog Record</v>
      </c>
      <c r="AW1983" s="6" t="str">
        <f>HYPERLINK("http://www.worldcat.org/oclc/1500018","WorldCat Record")</f>
        <v>WorldCat Record</v>
      </c>
      <c r="AX1983" s="3" t="s">
        <v>19664</v>
      </c>
      <c r="AY1983" s="3" t="s">
        <v>19665</v>
      </c>
      <c r="AZ1983" s="3" t="s">
        <v>19666</v>
      </c>
      <c r="BA1983" s="3" t="s">
        <v>19666</v>
      </c>
      <c r="BB1983" s="3" t="s">
        <v>19667</v>
      </c>
      <c r="BC1983" s="3" t="s">
        <v>102</v>
      </c>
      <c r="BD1983" s="3" t="s">
        <v>68</v>
      </c>
      <c r="BE1983" s="3" t="s">
        <v>19668</v>
      </c>
      <c r="BF1983" s="3" t="s">
        <v>19667</v>
      </c>
      <c r="BG1983" s="3" t="s">
        <v>19669</v>
      </c>
    </row>
    <row r="1984" spans="1:59" ht="58" x14ac:dyDescent="0.35">
      <c r="A1984" s="2" t="s">
        <v>89</v>
      </c>
      <c r="B1984" s="2" t="s">
        <v>90</v>
      </c>
      <c r="C1984" s="2" t="s">
        <v>19670</v>
      </c>
      <c r="D1984" s="2" t="s">
        <v>19671</v>
      </c>
      <c r="E1984" s="2" t="s">
        <v>19672</v>
      </c>
      <c r="G1984" s="3" t="s">
        <v>62</v>
      </c>
      <c r="I1984" s="3" t="s">
        <v>62</v>
      </c>
      <c r="J1984" s="3" t="s">
        <v>62</v>
      </c>
      <c r="K1984" s="3" t="s">
        <v>63</v>
      </c>
      <c r="L1984" s="2" t="s">
        <v>19673</v>
      </c>
      <c r="M1984" s="2" t="s">
        <v>19674</v>
      </c>
      <c r="N1984" s="3" t="s">
        <v>285</v>
      </c>
      <c r="P1984" s="3" t="s">
        <v>64</v>
      </c>
      <c r="Q1984" s="2" t="s">
        <v>19675</v>
      </c>
      <c r="R1984" s="3" t="s">
        <v>13065</v>
      </c>
      <c r="S1984" s="4">
        <v>9</v>
      </c>
      <c r="T1984" s="4">
        <v>9</v>
      </c>
      <c r="U1984" s="5" t="s">
        <v>6441</v>
      </c>
      <c r="V1984" s="5" t="s">
        <v>6441</v>
      </c>
      <c r="W1984" s="5" t="s">
        <v>67</v>
      </c>
      <c r="X1984" s="5" t="s">
        <v>67</v>
      </c>
      <c r="Y1984" s="4">
        <v>5</v>
      </c>
      <c r="Z1984" s="4">
        <v>4</v>
      </c>
      <c r="AA1984" s="4">
        <v>6</v>
      </c>
      <c r="AB1984" s="4">
        <v>1</v>
      </c>
      <c r="AC1984" s="4">
        <v>1</v>
      </c>
      <c r="AD1984" s="4">
        <v>3</v>
      </c>
      <c r="AE1984" s="4">
        <v>5</v>
      </c>
      <c r="AF1984" s="4">
        <v>0</v>
      </c>
      <c r="AG1984" s="4">
        <v>0</v>
      </c>
      <c r="AH1984" s="4">
        <v>1</v>
      </c>
      <c r="AI1984" s="4">
        <v>2</v>
      </c>
      <c r="AJ1984" s="4">
        <v>2</v>
      </c>
      <c r="AK1984" s="4">
        <v>3</v>
      </c>
      <c r="AL1984" s="4">
        <v>0</v>
      </c>
      <c r="AM1984" s="4">
        <v>0</v>
      </c>
      <c r="AN1984" s="4">
        <v>0</v>
      </c>
      <c r="AO1984" s="4">
        <v>0</v>
      </c>
      <c r="AP1984" s="4">
        <v>2</v>
      </c>
      <c r="AQ1984" s="4">
        <v>4</v>
      </c>
      <c r="AR1984" s="3" t="s">
        <v>61</v>
      </c>
      <c r="AS1984" s="3" t="s">
        <v>62</v>
      </c>
      <c r="AT1984" s="3" t="s">
        <v>62</v>
      </c>
      <c r="AV1984" s="6" t="str">
        <f>HYPERLINK("http://mcgill.on.worldcat.org/oclc/15922308","Catalog Record")</f>
        <v>Catalog Record</v>
      </c>
      <c r="AW1984" s="6" t="str">
        <f>HYPERLINK("http://www.worldcat.org/oclc/15922308","WorldCat Record")</f>
        <v>WorldCat Record</v>
      </c>
      <c r="AX1984" s="3" t="s">
        <v>19676</v>
      </c>
      <c r="AY1984" s="3" t="s">
        <v>19677</v>
      </c>
      <c r="AZ1984" s="3" t="s">
        <v>19678</v>
      </c>
      <c r="BA1984" s="3" t="s">
        <v>19678</v>
      </c>
      <c r="BB1984" s="3" t="s">
        <v>19679</v>
      </c>
      <c r="BC1984" s="3" t="s">
        <v>102</v>
      </c>
      <c r="BD1984" s="3" t="s">
        <v>68</v>
      </c>
      <c r="BE1984" s="3" t="s">
        <v>19680</v>
      </c>
      <c r="BF1984" s="3" t="s">
        <v>19679</v>
      </c>
      <c r="BG1984" s="3" t="s">
        <v>19681</v>
      </c>
    </row>
    <row r="1985" spans="1:59" ht="58" x14ac:dyDescent="0.35">
      <c r="A1985" s="2" t="s">
        <v>89</v>
      </c>
      <c r="B1985" s="2" t="s">
        <v>90</v>
      </c>
      <c r="C1985" s="2" t="s">
        <v>19682</v>
      </c>
      <c r="D1985" s="2" t="s">
        <v>19683</v>
      </c>
      <c r="E1985" s="2" t="s">
        <v>19684</v>
      </c>
      <c r="F1985" s="3" t="s">
        <v>19685</v>
      </c>
      <c r="G1985" s="3" t="s">
        <v>61</v>
      </c>
      <c r="I1985" s="3" t="s">
        <v>62</v>
      </c>
      <c r="J1985" s="3" t="s">
        <v>62</v>
      </c>
      <c r="K1985" s="3" t="s">
        <v>63</v>
      </c>
      <c r="L1985" s="2" t="s">
        <v>19686</v>
      </c>
      <c r="M1985" s="2" t="s">
        <v>19687</v>
      </c>
      <c r="N1985" s="3" t="s">
        <v>19688</v>
      </c>
      <c r="P1985" s="3" t="s">
        <v>85</v>
      </c>
      <c r="R1985" s="3" t="s">
        <v>13065</v>
      </c>
      <c r="S1985" s="4">
        <v>6</v>
      </c>
      <c r="T1985" s="4">
        <v>11</v>
      </c>
      <c r="U1985" s="5" t="s">
        <v>19689</v>
      </c>
      <c r="V1985" s="5" t="s">
        <v>13420</v>
      </c>
      <c r="W1985" s="5" t="s">
        <v>67</v>
      </c>
      <c r="X1985" s="5" t="s">
        <v>67</v>
      </c>
      <c r="Y1985" s="4">
        <v>60</v>
      </c>
      <c r="Z1985" s="4">
        <v>4</v>
      </c>
      <c r="AA1985" s="4">
        <v>23</v>
      </c>
      <c r="AB1985" s="4">
        <v>1</v>
      </c>
      <c r="AC1985" s="4">
        <v>6</v>
      </c>
      <c r="AD1985" s="4">
        <v>35</v>
      </c>
      <c r="AE1985" s="4">
        <v>71</v>
      </c>
      <c r="AF1985" s="4">
        <v>0</v>
      </c>
      <c r="AG1985" s="4">
        <v>3</v>
      </c>
      <c r="AH1985" s="4">
        <v>32</v>
      </c>
      <c r="AI1985" s="4">
        <v>60</v>
      </c>
      <c r="AJ1985" s="4">
        <v>2</v>
      </c>
      <c r="AK1985" s="4">
        <v>6</v>
      </c>
      <c r="AL1985" s="4">
        <v>25</v>
      </c>
      <c r="AM1985" s="4">
        <v>41</v>
      </c>
      <c r="AN1985" s="4">
        <v>0</v>
      </c>
      <c r="AO1985" s="4">
        <v>0</v>
      </c>
      <c r="AP1985" s="4">
        <v>3</v>
      </c>
      <c r="AQ1985" s="4">
        <v>13</v>
      </c>
      <c r="AR1985" s="3" t="s">
        <v>62</v>
      </c>
      <c r="AS1985" s="3" t="s">
        <v>62</v>
      </c>
      <c r="AT1985" s="3" t="s">
        <v>62</v>
      </c>
      <c r="AU1985" s="6" t="str">
        <f>HYPERLINK("http://catalog.hathitrust.org/Record/000389732","HathiTrust Record")</f>
        <v>HathiTrust Record</v>
      </c>
      <c r="AV1985" s="6" t="str">
        <f>HYPERLINK("http://mcgill.on.worldcat.org/oclc/2174697","Catalog Record")</f>
        <v>Catalog Record</v>
      </c>
      <c r="AW1985" s="6" t="str">
        <f>HYPERLINK("http://www.worldcat.org/oclc/2174697","WorldCat Record")</f>
        <v>WorldCat Record</v>
      </c>
      <c r="AX1985" s="3" t="s">
        <v>19690</v>
      </c>
      <c r="AY1985" s="3" t="s">
        <v>19691</v>
      </c>
      <c r="AZ1985" s="3" t="s">
        <v>19692</v>
      </c>
      <c r="BA1985" s="3" t="s">
        <v>19692</v>
      </c>
      <c r="BB1985" s="3" t="s">
        <v>19693</v>
      </c>
      <c r="BC1985" s="3" t="s">
        <v>102</v>
      </c>
      <c r="BD1985" s="3" t="s">
        <v>231</v>
      </c>
      <c r="BF1985" s="3" t="s">
        <v>19693</v>
      </c>
      <c r="BG1985" s="3" t="s">
        <v>19694</v>
      </c>
    </row>
    <row r="1986" spans="1:59" ht="58" x14ac:dyDescent="0.35">
      <c r="A1986" s="2" t="s">
        <v>89</v>
      </c>
      <c r="B1986" s="2" t="s">
        <v>90</v>
      </c>
      <c r="C1986" s="2" t="s">
        <v>19682</v>
      </c>
      <c r="D1986" s="2" t="s">
        <v>19683</v>
      </c>
      <c r="E1986" s="2" t="s">
        <v>19684</v>
      </c>
      <c r="F1986" s="3" t="s">
        <v>19695</v>
      </c>
      <c r="G1986" s="3" t="s">
        <v>61</v>
      </c>
      <c r="I1986" s="3" t="s">
        <v>62</v>
      </c>
      <c r="J1986" s="3" t="s">
        <v>62</v>
      </c>
      <c r="K1986" s="3" t="s">
        <v>63</v>
      </c>
      <c r="L1986" s="2" t="s">
        <v>19686</v>
      </c>
      <c r="M1986" s="2" t="s">
        <v>19687</v>
      </c>
      <c r="N1986" s="3" t="s">
        <v>19688</v>
      </c>
      <c r="P1986" s="3" t="s">
        <v>85</v>
      </c>
      <c r="R1986" s="3" t="s">
        <v>13065</v>
      </c>
      <c r="S1986" s="4">
        <v>5</v>
      </c>
      <c r="T1986" s="4">
        <v>11</v>
      </c>
      <c r="U1986" s="5" t="s">
        <v>13420</v>
      </c>
      <c r="V1986" s="5" t="s">
        <v>13420</v>
      </c>
      <c r="W1986" s="5" t="s">
        <v>67</v>
      </c>
      <c r="X1986" s="5" t="s">
        <v>67</v>
      </c>
      <c r="Y1986" s="4">
        <v>60</v>
      </c>
      <c r="Z1986" s="4">
        <v>4</v>
      </c>
      <c r="AA1986" s="4">
        <v>23</v>
      </c>
      <c r="AB1986" s="4">
        <v>1</v>
      </c>
      <c r="AC1986" s="4">
        <v>6</v>
      </c>
      <c r="AD1986" s="4">
        <v>35</v>
      </c>
      <c r="AE1986" s="4">
        <v>71</v>
      </c>
      <c r="AF1986" s="4">
        <v>0</v>
      </c>
      <c r="AG1986" s="4">
        <v>3</v>
      </c>
      <c r="AH1986" s="4">
        <v>32</v>
      </c>
      <c r="AI1986" s="4">
        <v>60</v>
      </c>
      <c r="AJ1986" s="4">
        <v>2</v>
      </c>
      <c r="AK1986" s="4">
        <v>6</v>
      </c>
      <c r="AL1986" s="4">
        <v>25</v>
      </c>
      <c r="AM1986" s="4">
        <v>41</v>
      </c>
      <c r="AN1986" s="4">
        <v>0</v>
      </c>
      <c r="AO1986" s="4">
        <v>0</v>
      </c>
      <c r="AP1986" s="4">
        <v>3</v>
      </c>
      <c r="AQ1986" s="4">
        <v>13</v>
      </c>
      <c r="AR1986" s="3" t="s">
        <v>62</v>
      </c>
      <c r="AS1986" s="3" t="s">
        <v>62</v>
      </c>
      <c r="AT1986" s="3" t="s">
        <v>62</v>
      </c>
      <c r="AU1986" s="6" t="str">
        <f>HYPERLINK("http://catalog.hathitrust.org/Record/000389732","HathiTrust Record")</f>
        <v>HathiTrust Record</v>
      </c>
      <c r="AV1986" s="6" t="str">
        <f>HYPERLINK("http://mcgill.on.worldcat.org/oclc/2174697","Catalog Record")</f>
        <v>Catalog Record</v>
      </c>
      <c r="AW1986" s="6" t="str">
        <f>HYPERLINK("http://www.worldcat.org/oclc/2174697","WorldCat Record")</f>
        <v>WorldCat Record</v>
      </c>
      <c r="AX1986" s="3" t="s">
        <v>19690</v>
      </c>
      <c r="AY1986" s="3" t="s">
        <v>19691</v>
      </c>
      <c r="AZ1986" s="3" t="s">
        <v>19692</v>
      </c>
      <c r="BA1986" s="3" t="s">
        <v>19692</v>
      </c>
      <c r="BB1986" s="3" t="s">
        <v>19696</v>
      </c>
      <c r="BC1986" s="3" t="s">
        <v>102</v>
      </c>
      <c r="BD1986" s="3" t="s">
        <v>68</v>
      </c>
      <c r="BF1986" s="3" t="s">
        <v>19696</v>
      </c>
      <c r="BG1986" s="3" t="s">
        <v>19697</v>
      </c>
    </row>
    <row r="1987" spans="1:59" ht="58" x14ac:dyDescent="0.35">
      <c r="A1987" s="2" t="s">
        <v>89</v>
      </c>
      <c r="B1987" s="2" t="s">
        <v>90</v>
      </c>
      <c r="C1987" s="2" t="s">
        <v>19698</v>
      </c>
      <c r="D1987" s="2" t="s">
        <v>19699</v>
      </c>
      <c r="E1987" s="2" t="s">
        <v>19700</v>
      </c>
      <c r="G1987" s="3" t="s">
        <v>62</v>
      </c>
      <c r="I1987" s="3" t="s">
        <v>62</v>
      </c>
      <c r="J1987" s="3" t="s">
        <v>62</v>
      </c>
      <c r="K1987" s="3" t="s">
        <v>63</v>
      </c>
      <c r="L1987" s="2" t="s">
        <v>19701</v>
      </c>
      <c r="M1987" s="2" t="s">
        <v>19702</v>
      </c>
      <c r="N1987" s="3" t="s">
        <v>698</v>
      </c>
      <c r="O1987" s="2" t="s">
        <v>2163</v>
      </c>
      <c r="P1987" s="3" t="s">
        <v>64</v>
      </c>
      <c r="R1987" s="3" t="s">
        <v>13065</v>
      </c>
      <c r="S1987" s="4">
        <v>4</v>
      </c>
      <c r="T1987" s="4">
        <v>4</v>
      </c>
      <c r="U1987" s="5" t="s">
        <v>19703</v>
      </c>
      <c r="V1987" s="5" t="s">
        <v>19703</v>
      </c>
      <c r="W1987" s="5" t="s">
        <v>67</v>
      </c>
      <c r="X1987" s="5" t="s">
        <v>67</v>
      </c>
      <c r="Y1987" s="4">
        <v>144</v>
      </c>
      <c r="Z1987" s="4">
        <v>7</v>
      </c>
      <c r="AA1987" s="4">
        <v>11</v>
      </c>
      <c r="AB1987" s="4">
        <v>1</v>
      </c>
      <c r="AC1987" s="4">
        <v>3</v>
      </c>
      <c r="AD1987" s="4">
        <v>8</v>
      </c>
      <c r="AE1987" s="4">
        <v>15</v>
      </c>
      <c r="AF1987" s="4">
        <v>0</v>
      </c>
      <c r="AG1987" s="4">
        <v>1</v>
      </c>
      <c r="AH1987" s="4">
        <v>8</v>
      </c>
      <c r="AI1987" s="4">
        <v>14</v>
      </c>
      <c r="AJ1987" s="4">
        <v>1</v>
      </c>
      <c r="AK1987" s="4">
        <v>2</v>
      </c>
      <c r="AL1987" s="4">
        <v>4</v>
      </c>
      <c r="AM1987" s="4">
        <v>8</v>
      </c>
      <c r="AN1987" s="4">
        <v>0</v>
      </c>
      <c r="AO1987" s="4">
        <v>0</v>
      </c>
      <c r="AP1987" s="4">
        <v>1</v>
      </c>
      <c r="AQ1987" s="4">
        <v>3</v>
      </c>
      <c r="AR1987" s="3" t="s">
        <v>62</v>
      </c>
      <c r="AS1987" s="3" t="s">
        <v>62</v>
      </c>
      <c r="AT1987" s="3" t="s">
        <v>62</v>
      </c>
      <c r="AV1987" s="6" t="str">
        <f>HYPERLINK("http://mcgill.on.worldcat.org/oclc/727703477","Catalog Record")</f>
        <v>Catalog Record</v>
      </c>
      <c r="AW1987" s="6" t="str">
        <f>HYPERLINK("http://www.worldcat.org/oclc/727703477","WorldCat Record")</f>
        <v>WorldCat Record</v>
      </c>
      <c r="AX1987" s="3" t="s">
        <v>19704</v>
      </c>
      <c r="AY1987" s="3" t="s">
        <v>19705</v>
      </c>
      <c r="AZ1987" s="3" t="s">
        <v>19706</v>
      </c>
      <c r="BA1987" s="3" t="s">
        <v>19706</v>
      </c>
      <c r="BB1987" s="3" t="s">
        <v>19707</v>
      </c>
      <c r="BC1987" s="3" t="s">
        <v>102</v>
      </c>
      <c r="BD1987" s="3" t="s">
        <v>68</v>
      </c>
      <c r="BE1987" s="3" t="s">
        <v>19708</v>
      </c>
      <c r="BF1987" s="3" t="s">
        <v>19707</v>
      </c>
      <c r="BG1987" s="3" t="s">
        <v>19709</v>
      </c>
    </row>
    <row r="1988" spans="1:59" ht="58" x14ac:dyDescent="0.35">
      <c r="A1988" s="2" t="s">
        <v>89</v>
      </c>
      <c r="B1988" s="2" t="s">
        <v>90</v>
      </c>
      <c r="C1988" s="2" t="s">
        <v>19710</v>
      </c>
      <c r="D1988" s="2" t="s">
        <v>19711</v>
      </c>
      <c r="E1988" s="2" t="s">
        <v>19712</v>
      </c>
      <c r="G1988" s="3" t="s">
        <v>62</v>
      </c>
      <c r="I1988" s="3" t="s">
        <v>62</v>
      </c>
      <c r="J1988" s="3" t="s">
        <v>62</v>
      </c>
      <c r="K1988" s="3" t="s">
        <v>63</v>
      </c>
      <c r="L1988" s="2" t="s">
        <v>19713</v>
      </c>
      <c r="M1988" s="2" t="s">
        <v>19714</v>
      </c>
      <c r="N1988" s="3" t="s">
        <v>496</v>
      </c>
      <c r="P1988" s="3" t="s">
        <v>64</v>
      </c>
      <c r="R1988" s="3" t="s">
        <v>13065</v>
      </c>
      <c r="S1988" s="4">
        <v>8</v>
      </c>
      <c r="T1988" s="4">
        <v>8</v>
      </c>
      <c r="U1988" s="5" t="s">
        <v>19715</v>
      </c>
      <c r="V1988" s="5" t="s">
        <v>19715</v>
      </c>
      <c r="W1988" s="5" t="s">
        <v>67</v>
      </c>
      <c r="X1988" s="5" t="s">
        <v>67</v>
      </c>
      <c r="Y1988" s="4">
        <v>525</v>
      </c>
      <c r="Z1988" s="4">
        <v>16</v>
      </c>
      <c r="AA1988" s="4">
        <v>32</v>
      </c>
      <c r="AB1988" s="4">
        <v>1</v>
      </c>
      <c r="AC1988" s="4">
        <v>5</v>
      </c>
      <c r="AD1988" s="4">
        <v>74</v>
      </c>
      <c r="AE1988" s="4">
        <v>94</v>
      </c>
      <c r="AF1988" s="4">
        <v>0</v>
      </c>
      <c r="AG1988" s="4">
        <v>2</v>
      </c>
      <c r="AH1988" s="4">
        <v>69</v>
      </c>
      <c r="AI1988" s="4">
        <v>83</v>
      </c>
      <c r="AJ1988" s="4">
        <v>9</v>
      </c>
      <c r="AK1988" s="4">
        <v>15</v>
      </c>
      <c r="AL1988" s="4">
        <v>37</v>
      </c>
      <c r="AM1988" s="4">
        <v>43</v>
      </c>
      <c r="AN1988" s="4">
        <v>0</v>
      </c>
      <c r="AO1988" s="4">
        <v>5</v>
      </c>
      <c r="AP1988" s="4">
        <v>12</v>
      </c>
      <c r="AQ1988" s="4">
        <v>21</v>
      </c>
      <c r="AR1988" s="3" t="s">
        <v>62</v>
      </c>
      <c r="AS1988" s="3" t="s">
        <v>62</v>
      </c>
      <c r="AT1988" s="3" t="s">
        <v>61</v>
      </c>
      <c r="AU1988" s="6" t="str">
        <f>HYPERLINK("http://catalog.hathitrust.org/Record/000379646","HathiTrust Record")</f>
        <v>HathiTrust Record</v>
      </c>
      <c r="AV1988" s="6" t="str">
        <f>HYPERLINK("http://mcgill.on.worldcat.org/oclc/525652","Catalog Record")</f>
        <v>Catalog Record</v>
      </c>
      <c r="AW1988" s="6" t="str">
        <f>HYPERLINK("http://www.worldcat.org/oclc/525652","WorldCat Record")</f>
        <v>WorldCat Record</v>
      </c>
      <c r="AX1988" s="3" t="s">
        <v>19716</v>
      </c>
      <c r="AY1988" s="3" t="s">
        <v>19717</v>
      </c>
      <c r="AZ1988" s="3" t="s">
        <v>19718</v>
      </c>
      <c r="BA1988" s="3" t="s">
        <v>19718</v>
      </c>
      <c r="BB1988" s="3" t="s">
        <v>19719</v>
      </c>
      <c r="BC1988" s="3" t="s">
        <v>102</v>
      </c>
      <c r="BD1988" s="3" t="s">
        <v>68</v>
      </c>
      <c r="BF1988" s="3" t="s">
        <v>19719</v>
      </c>
      <c r="BG1988" s="3" t="s">
        <v>19720</v>
      </c>
    </row>
    <row r="1989" spans="1:59" ht="58" x14ac:dyDescent="0.35">
      <c r="A1989" s="2" t="s">
        <v>89</v>
      </c>
      <c r="B1989" s="2" t="s">
        <v>90</v>
      </c>
      <c r="C1989" s="2" t="s">
        <v>19721</v>
      </c>
      <c r="D1989" s="2" t="s">
        <v>19722</v>
      </c>
      <c r="E1989" s="2" t="s">
        <v>19723</v>
      </c>
      <c r="G1989" s="3" t="s">
        <v>62</v>
      </c>
      <c r="I1989" s="3" t="s">
        <v>62</v>
      </c>
      <c r="J1989" s="3" t="s">
        <v>62</v>
      </c>
      <c r="K1989" s="3" t="s">
        <v>63</v>
      </c>
      <c r="L1989" s="2" t="s">
        <v>19724</v>
      </c>
      <c r="M1989" s="2" t="s">
        <v>19725</v>
      </c>
      <c r="N1989" s="3" t="s">
        <v>2740</v>
      </c>
      <c r="O1989" s="2" t="s">
        <v>2458</v>
      </c>
      <c r="P1989" s="3" t="s">
        <v>64</v>
      </c>
      <c r="R1989" s="3" t="s">
        <v>13065</v>
      </c>
      <c r="S1989" s="4">
        <v>2</v>
      </c>
      <c r="T1989" s="4">
        <v>2</v>
      </c>
      <c r="U1989" s="5" t="s">
        <v>19726</v>
      </c>
      <c r="V1989" s="5" t="s">
        <v>19726</v>
      </c>
      <c r="W1989" s="5" t="s">
        <v>67</v>
      </c>
      <c r="X1989" s="5" t="s">
        <v>67</v>
      </c>
      <c r="Y1989" s="4">
        <v>35</v>
      </c>
      <c r="Z1989" s="4">
        <v>3</v>
      </c>
      <c r="AA1989" s="4">
        <v>11</v>
      </c>
      <c r="AB1989" s="4">
        <v>1</v>
      </c>
      <c r="AC1989" s="4">
        <v>2</v>
      </c>
      <c r="AD1989" s="4">
        <v>10</v>
      </c>
      <c r="AE1989" s="4">
        <v>72</v>
      </c>
      <c r="AF1989" s="4">
        <v>0</v>
      </c>
      <c r="AG1989" s="4">
        <v>0</v>
      </c>
      <c r="AH1989" s="4">
        <v>9</v>
      </c>
      <c r="AI1989" s="4">
        <v>65</v>
      </c>
      <c r="AJ1989" s="4">
        <v>2</v>
      </c>
      <c r="AK1989" s="4">
        <v>7</v>
      </c>
      <c r="AL1989" s="4">
        <v>6</v>
      </c>
      <c r="AM1989" s="4">
        <v>43</v>
      </c>
      <c r="AN1989" s="4">
        <v>0</v>
      </c>
      <c r="AO1989" s="4">
        <v>0</v>
      </c>
      <c r="AP1989" s="4">
        <v>2</v>
      </c>
      <c r="AQ1989" s="4">
        <v>9</v>
      </c>
      <c r="AR1989" s="3" t="s">
        <v>62</v>
      </c>
      <c r="AS1989" s="3" t="s">
        <v>62</v>
      </c>
      <c r="AT1989" s="3" t="s">
        <v>62</v>
      </c>
      <c r="AV1989" s="6" t="str">
        <f>HYPERLINK("http://mcgill.on.worldcat.org/oclc/9678859","Catalog Record")</f>
        <v>Catalog Record</v>
      </c>
      <c r="AW1989" s="6" t="str">
        <f>HYPERLINK("http://www.worldcat.org/oclc/9678859","WorldCat Record")</f>
        <v>WorldCat Record</v>
      </c>
      <c r="AX1989" s="3" t="s">
        <v>19727</v>
      </c>
      <c r="AY1989" s="3" t="s">
        <v>19728</v>
      </c>
      <c r="AZ1989" s="3" t="s">
        <v>19729</v>
      </c>
      <c r="BA1989" s="3" t="s">
        <v>19729</v>
      </c>
      <c r="BB1989" s="3" t="s">
        <v>19730</v>
      </c>
      <c r="BC1989" s="3" t="s">
        <v>102</v>
      </c>
      <c r="BD1989" s="3" t="s">
        <v>68</v>
      </c>
      <c r="BF1989" s="3" t="s">
        <v>19730</v>
      </c>
      <c r="BG1989" s="3" t="s">
        <v>19731</v>
      </c>
    </row>
    <row r="1990" spans="1:59" ht="58" x14ac:dyDescent="0.35">
      <c r="A1990" s="2" t="s">
        <v>89</v>
      </c>
      <c r="B1990" s="2" t="s">
        <v>90</v>
      </c>
      <c r="C1990" s="2" t="s">
        <v>19732</v>
      </c>
      <c r="D1990" s="2" t="s">
        <v>19733</v>
      </c>
      <c r="E1990" s="2" t="s">
        <v>19734</v>
      </c>
      <c r="G1990" s="3" t="s">
        <v>62</v>
      </c>
      <c r="I1990" s="3" t="s">
        <v>62</v>
      </c>
      <c r="J1990" s="3" t="s">
        <v>62</v>
      </c>
      <c r="K1990" s="3" t="s">
        <v>63</v>
      </c>
      <c r="L1990" s="2" t="s">
        <v>19735</v>
      </c>
      <c r="M1990" s="2" t="s">
        <v>19736</v>
      </c>
      <c r="N1990" s="3" t="s">
        <v>712</v>
      </c>
      <c r="P1990" s="3" t="s">
        <v>64</v>
      </c>
      <c r="R1990" s="3" t="s">
        <v>13065</v>
      </c>
      <c r="S1990" s="4">
        <v>2</v>
      </c>
      <c r="T1990" s="4">
        <v>2</v>
      </c>
      <c r="U1990" s="5" t="s">
        <v>19737</v>
      </c>
      <c r="V1990" s="5" t="s">
        <v>19737</v>
      </c>
      <c r="W1990" s="5" t="s">
        <v>67</v>
      </c>
      <c r="X1990" s="5" t="s">
        <v>67</v>
      </c>
      <c r="Y1990" s="4">
        <v>180</v>
      </c>
      <c r="Z1990" s="4">
        <v>4</v>
      </c>
      <c r="AA1990" s="4">
        <v>7</v>
      </c>
      <c r="AB1990" s="4">
        <v>1</v>
      </c>
      <c r="AC1990" s="4">
        <v>2</v>
      </c>
      <c r="AD1990" s="4">
        <v>21</v>
      </c>
      <c r="AE1990" s="4">
        <v>21</v>
      </c>
      <c r="AF1990" s="4">
        <v>0</v>
      </c>
      <c r="AG1990" s="4">
        <v>0</v>
      </c>
      <c r="AH1990" s="4">
        <v>20</v>
      </c>
      <c r="AI1990" s="4">
        <v>20</v>
      </c>
      <c r="AJ1990" s="4">
        <v>3</v>
      </c>
      <c r="AK1990" s="4">
        <v>3</v>
      </c>
      <c r="AL1990" s="4">
        <v>14</v>
      </c>
      <c r="AM1990" s="4">
        <v>14</v>
      </c>
      <c r="AN1990" s="4">
        <v>0</v>
      </c>
      <c r="AO1990" s="4">
        <v>0</v>
      </c>
      <c r="AP1990" s="4">
        <v>3</v>
      </c>
      <c r="AQ1990" s="4">
        <v>3</v>
      </c>
      <c r="AR1990" s="3" t="s">
        <v>62</v>
      </c>
      <c r="AS1990" s="3" t="s">
        <v>62</v>
      </c>
      <c r="AT1990" s="3" t="s">
        <v>62</v>
      </c>
      <c r="AV1990" s="6" t="str">
        <f>HYPERLINK("http://mcgill.on.worldcat.org/oclc/869786497","Catalog Record")</f>
        <v>Catalog Record</v>
      </c>
      <c r="AW1990" s="6" t="str">
        <f>HYPERLINK("http://www.worldcat.org/oclc/869786497","WorldCat Record")</f>
        <v>WorldCat Record</v>
      </c>
      <c r="AX1990" s="3" t="s">
        <v>19738</v>
      </c>
      <c r="AY1990" s="3" t="s">
        <v>19739</v>
      </c>
      <c r="AZ1990" s="3" t="s">
        <v>19740</v>
      </c>
      <c r="BA1990" s="3" t="s">
        <v>19740</v>
      </c>
      <c r="BB1990" s="3" t="s">
        <v>19741</v>
      </c>
      <c r="BC1990" s="3" t="s">
        <v>102</v>
      </c>
      <c r="BD1990" s="3" t="s">
        <v>68</v>
      </c>
      <c r="BE1990" s="3" t="s">
        <v>19742</v>
      </c>
      <c r="BF1990" s="3" t="s">
        <v>19741</v>
      </c>
      <c r="BG1990" s="3" t="s">
        <v>19743</v>
      </c>
    </row>
    <row r="1991" spans="1:59" ht="58" x14ac:dyDescent="0.35">
      <c r="A1991" s="2" t="s">
        <v>89</v>
      </c>
      <c r="B1991" s="2" t="s">
        <v>90</v>
      </c>
      <c r="C1991" s="2" t="s">
        <v>19744</v>
      </c>
      <c r="D1991" s="2" t="s">
        <v>19745</v>
      </c>
      <c r="E1991" s="2" t="s">
        <v>19746</v>
      </c>
      <c r="G1991" s="3" t="s">
        <v>62</v>
      </c>
      <c r="I1991" s="3" t="s">
        <v>62</v>
      </c>
      <c r="J1991" s="3" t="s">
        <v>62</v>
      </c>
      <c r="K1991" s="3" t="s">
        <v>63</v>
      </c>
      <c r="L1991" s="2" t="s">
        <v>19747</v>
      </c>
      <c r="M1991" s="2" t="s">
        <v>19748</v>
      </c>
      <c r="N1991" s="3" t="s">
        <v>712</v>
      </c>
      <c r="P1991" s="3" t="s">
        <v>64</v>
      </c>
      <c r="R1991" s="3" t="s">
        <v>13065</v>
      </c>
      <c r="S1991" s="4">
        <v>18</v>
      </c>
      <c r="T1991" s="4">
        <v>18</v>
      </c>
      <c r="U1991" s="5" t="s">
        <v>3842</v>
      </c>
      <c r="V1991" s="5" t="s">
        <v>3842</v>
      </c>
      <c r="W1991" s="5" t="s">
        <v>67</v>
      </c>
      <c r="X1991" s="5" t="s">
        <v>67</v>
      </c>
      <c r="Y1991" s="4">
        <v>1876</v>
      </c>
      <c r="Z1991" s="4">
        <v>55</v>
      </c>
      <c r="AA1991" s="4">
        <v>69</v>
      </c>
      <c r="AB1991" s="4">
        <v>6</v>
      </c>
      <c r="AC1991" s="4">
        <v>13</v>
      </c>
      <c r="AD1991" s="4">
        <v>99</v>
      </c>
      <c r="AE1991" s="4">
        <v>110</v>
      </c>
      <c r="AF1991" s="4">
        <v>1</v>
      </c>
      <c r="AG1991" s="4">
        <v>4</v>
      </c>
      <c r="AH1991" s="4">
        <v>83</v>
      </c>
      <c r="AI1991" s="4">
        <v>92</v>
      </c>
      <c r="AJ1991" s="4">
        <v>14</v>
      </c>
      <c r="AK1991" s="4">
        <v>17</v>
      </c>
      <c r="AL1991" s="4">
        <v>47</v>
      </c>
      <c r="AM1991" s="4">
        <v>49</v>
      </c>
      <c r="AN1991" s="4">
        <v>0</v>
      </c>
      <c r="AO1991" s="4">
        <v>0</v>
      </c>
      <c r="AP1991" s="4">
        <v>22</v>
      </c>
      <c r="AQ1991" s="4">
        <v>26</v>
      </c>
      <c r="AR1991" s="3" t="s">
        <v>62</v>
      </c>
      <c r="AS1991" s="3" t="s">
        <v>62</v>
      </c>
      <c r="AT1991" s="3" t="s">
        <v>62</v>
      </c>
      <c r="AV1991" s="6" t="str">
        <f>HYPERLINK("http://mcgill.on.worldcat.org/oclc/861479092","Catalog Record")</f>
        <v>Catalog Record</v>
      </c>
      <c r="AW1991" s="6" t="str">
        <f>HYPERLINK("http://www.worldcat.org/oclc/861479092","WorldCat Record")</f>
        <v>WorldCat Record</v>
      </c>
      <c r="AX1991" s="3" t="s">
        <v>19749</v>
      </c>
      <c r="AY1991" s="3" t="s">
        <v>19750</v>
      </c>
      <c r="AZ1991" s="3" t="s">
        <v>19751</v>
      </c>
      <c r="BA1991" s="3" t="s">
        <v>19751</v>
      </c>
      <c r="BB1991" s="3" t="s">
        <v>19752</v>
      </c>
      <c r="BC1991" s="3" t="s">
        <v>102</v>
      </c>
      <c r="BD1991" s="3" t="s">
        <v>1790</v>
      </c>
      <c r="BE1991" s="3" t="s">
        <v>19753</v>
      </c>
      <c r="BF1991" s="3" t="s">
        <v>19752</v>
      </c>
      <c r="BG1991" s="3" t="s">
        <v>19754</v>
      </c>
    </row>
    <row r="1992" spans="1:59" ht="58" x14ac:dyDescent="0.35">
      <c r="A1992" s="2" t="s">
        <v>89</v>
      </c>
      <c r="B1992" s="2" t="s">
        <v>90</v>
      </c>
      <c r="C1992" s="2" t="s">
        <v>19755</v>
      </c>
      <c r="D1992" s="2" t="s">
        <v>19756</v>
      </c>
      <c r="E1992" s="2" t="s">
        <v>19757</v>
      </c>
      <c r="G1992" s="3" t="s">
        <v>62</v>
      </c>
      <c r="I1992" s="3" t="s">
        <v>62</v>
      </c>
      <c r="J1992" s="3" t="s">
        <v>62</v>
      </c>
      <c r="K1992" s="3" t="s">
        <v>63</v>
      </c>
      <c r="L1992" s="2" t="s">
        <v>19758</v>
      </c>
      <c r="M1992" s="2" t="s">
        <v>19759</v>
      </c>
      <c r="N1992" s="3" t="s">
        <v>2985</v>
      </c>
      <c r="O1992" s="2" t="s">
        <v>19760</v>
      </c>
      <c r="P1992" s="3" t="s">
        <v>1881</v>
      </c>
      <c r="Q1992" s="2" t="s">
        <v>19761</v>
      </c>
      <c r="R1992" s="3" t="s">
        <v>13065</v>
      </c>
      <c r="S1992" s="4">
        <v>1</v>
      </c>
      <c r="T1992" s="4">
        <v>1</v>
      </c>
      <c r="U1992" s="5" t="s">
        <v>19762</v>
      </c>
      <c r="V1992" s="5" t="s">
        <v>19762</v>
      </c>
      <c r="W1992" s="5" t="s">
        <v>67</v>
      </c>
      <c r="X1992" s="5" t="s">
        <v>67</v>
      </c>
      <c r="Y1992" s="4">
        <v>90</v>
      </c>
      <c r="Z1992" s="4">
        <v>4</v>
      </c>
      <c r="AA1992" s="4">
        <v>4</v>
      </c>
      <c r="AB1992" s="4">
        <v>2</v>
      </c>
      <c r="AC1992" s="4">
        <v>2</v>
      </c>
      <c r="AD1992" s="4">
        <v>41</v>
      </c>
      <c r="AE1992" s="4">
        <v>41</v>
      </c>
      <c r="AF1992" s="4">
        <v>0</v>
      </c>
      <c r="AG1992" s="4">
        <v>0</v>
      </c>
      <c r="AH1992" s="4">
        <v>39</v>
      </c>
      <c r="AI1992" s="4">
        <v>39</v>
      </c>
      <c r="AJ1992" s="4">
        <v>2</v>
      </c>
      <c r="AK1992" s="4">
        <v>2</v>
      </c>
      <c r="AL1992" s="4">
        <v>29</v>
      </c>
      <c r="AM1992" s="4">
        <v>29</v>
      </c>
      <c r="AN1992" s="4">
        <v>0</v>
      </c>
      <c r="AO1992" s="4">
        <v>0</v>
      </c>
      <c r="AP1992" s="4">
        <v>2</v>
      </c>
      <c r="AQ1992" s="4">
        <v>2</v>
      </c>
      <c r="AR1992" s="3" t="s">
        <v>62</v>
      </c>
      <c r="AS1992" s="3" t="s">
        <v>62</v>
      </c>
      <c r="AT1992" s="3" t="s">
        <v>62</v>
      </c>
      <c r="AV1992" s="6" t="str">
        <f>HYPERLINK("http://mcgill.on.worldcat.org/oclc/419645469","Catalog Record")</f>
        <v>Catalog Record</v>
      </c>
      <c r="AW1992" s="6" t="str">
        <f>HYPERLINK("http://www.worldcat.org/oclc/419645469","WorldCat Record")</f>
        <v>WorldCat Record</v>
      </c>
      <c r="AX1992" s="3" t="s">
        <v>19763</v>
      </c>
      <c r="AY1992" s="3" t="s">
        <v>19764</v>
      </c>
      <c r="AZ1992" s="3" t="s">
        <v>19765</v>
      </c>
      <c r="BA1992" s="3" t="s">
        <v>19765</v>
      </c>
      <c r="BB1992" s="3" t="s">
        <v>19766</v>
      </c>
      <c r="BC1992" s="3" t="s">
        <v>102</v>
      </c>
      <c r="BD1992" s="3" t="s">
        <v>68</v>
      </c>
      <c r="BE1992" s="3" t="s">
        <v>19767</v>
      </c>
      <c r="BF1992" s="3" t="s">
        <v>19766</v>
      </c>
      <c r="BG1992" s="3" t="s">
        <v>19768</v>
      </c>
    </row>
    <row r="1993" spans="1:59" ht="58" x14ac:dyDescent="0.35">
      <c r="A1993" s="2" t="s">
        <v>89</v>
      </c>
      <c r="B1993" s="2" t="s">
        <v>90</v>
      </c>
      <c r="C1993" s="2" t="s">
        <v>19769</v>
      </c>
      <c r="D1993" s="2" t="s">
        <v>19770</v>
      </c>
      <c r="E1993" s="2" t="s">
        <v>19771</v>
      </c>
      <c r="G1993" s="3" t="s">
        <v>62</v>
      </c>
      <c r="I1993" s="3" t="s">
        <v>62</v>
      </c>
      <c r="J1993" s="3" t="s">
        <v>62</v>
      </c>
      <c r="K1993" s="3" t="s">
        <v>63</v>
      </c>
      <c r="L1993" s="2" t="s">
        <v>19772</v>
      </c>
      <c r="M1993" s="2" t="s">
        <v>19773</v>
      </c>
      <c r="N1993" s="3" t="s">
        <v>684</v>
      </c>
      <c r="P1993" s="3" t="s">
        <v>64</v>
      </c>
      <c r="Q1993" s="2" t="s">
        <v>19774</v>
      </c>
      <c r="R1993" s="3" t="s">
        <v>13065</v>
      </c>
      <c r="S1993" s="4">
        <v>1</v>
      </c>
      <c r="T1993" s="4">
        <v>1</v>
      </c>
      <c r="U1993" s="5" t="s">
        <v>19775</v>
      </c>
      <c r="V1993" s="5" t="s">
        <v>19775</v>
      </c>
      <c r="W1993" s="5" t="s">
        <v>67</v>
      </c>
      <c r="X1993" s="5" t="s">
        <v>67</v>
      </c>
      <c r="Y1993" s="4">
        <v>329</v>
      </c>
      <c r="Z1993" s="4">
        <v>17</v>
      </c>
      <c r="AA1993" s="4">
        <v>98</v>
      </c>
      <c r="AB1993" s="4">
        <v>2</v>
      </c>
      <c r="AC1993" s="4">
        <v>18</v>
      </c>
      <c r="AD1993" s="4">
        <v>59</v>
      </c>
      <c r="AE1993" s="4">
        <v>121</v>
      </c>
      <c r="AF1993" s="4">
        <v>1</v>
      </c>
      <c r="AG1993" s="4">
        <v>8</v>
      </c>
      <c r="AH1993" s="4">
        <v>50</v>
      </c>
      <c r="AI1993" s="4">
        <v>83</v>
      </c>
      <c r="AJ1993" s="4">
        <v>8</v>
      </c>
      <c r="AK1993" s="4">
        <v>22</v>
      </c>
      <c r="AL1993" s="4">
        <v>32</v>
      </c>
      <c r="AM1993" s="4">
        <v>46</v>
      </c>
      <c r="AN1993" s="4">
        <v>0</v>
      </c>
      <c r="AO1993" s="4">
        <v>0</v>
      </c>
      <c r="AP1993" s="4">
        <v>14</v>
      </c>
      <c r="AQ1993" s="4">
        <v>45</v>
      </c>
      <c r="AR1993" s="3" t="s">
        <v>62</v>
      </c>
      <c r="AS1993" s="3" t="s">
        <v>62</v>
      </c>
      <c r="AT1993" s="3" t="s">
        <v>62</v>
      </c>
      <c r="AV1993" s="6" t="str">
        <f>HYPERLINK("http://mcgill.on.worldcat.org/oclc/760290943","Catalog Record")</f>
        <v>Catalog Record</v>
      </c>
      <c r="AW1993" s="6" t="str">
        <f>HYPERLINK("http://www.worldcat.org/oclc/760290943","WorldCat Record")</f>
        <v>WorldCat Record</v>
      </c>
      <c r="AX1993" s="3" t="s">
        <v>19776</v>
      </c>
      <c r="AY1993" s="3" t="s">
        <v>19777</v>
      </c>
      <c r="AZ1993" s="3" t="s">
        <v>19778</v>
      </c>
      <c r="BA1993" s="3" t="s">
        <v>19778</v>
      </c>
      <c r="BB1993" s="3" t="s">
        <v>19779</v>
      </c>
      <c r="BC1993" s="3" t="s">
        <v>102</v>
      </c>
      <c r="BD1993" s="3" t="s">
        <v>68</v>
      </c>
      <c r="BE1993" s="3" t="s">
        <v>19780</v>
      </c>
      <c r="BF1993" s="3" t="s">
        <v>19779</v>
      </c>
      <c r="BG1993" s="3" t="s">
        <v>19781</v>
      </c>
    </row>
    <row r="1994" spans="1:59" ht="58" x14ac:dyDescent="0.35">
      <c r="A1994" s="2" t="s">
        <v>89</v>
      </c>
      <c r="B1994" s="2" t="s">
        <v>90</v>
      </c>
      <c r="C1994" s="2" t="s">
        <v>19782</v>
      </c>
      <c r="D1994" s="2" t="s">
        <v>19783</v>
      </c>
      <c r="E1994" s="2" t="s">
        <v>19784</v>
      </c>
      <c r="G1994" s="3" t="s">
        <v>62</v>
      </c>
      <c r="I1994" s="3" t="s">
        <v>62</v>
      </c>
      <c r="J1994" s="3" t="s">
        <v>62</v>
      </c>
      <c r="K1994" s="3" t="s">
        <v>63</v>
      </c>
      <c r="L1994" s="2" t="s">
        <v>19785</v>
      </c>
      <c r="M1994" s="2" t="s">
        <v>19786</v>
      </c>
      <c r="N1994" s="3" t="s">
        <v>1455</v>
      </c>
      <c r="P1994" s="3" t="s">
        <v>64</v>
      </c>
      <c r="R1994" s="3" t="s">
        <v>13065</v>
      </c>
      <c r="S1994" s="4">
        <v>0</v>
      </c>
      <c r="T1994" s="4">
        <v>0</v>
      </c>
      <c r="W1994" s="5" t="s">
        <v>67</v>
      </c>
      <c r="X1994" s="5" t="s">
        <v>67</v>
      </c>
      <c r="Y1994" s="4">
        <v>249</v>
      </c>
      <c r="Z1994" s="4">
        <v>13</v>
      </c>
      <c r="AA1994" s="4">
        <v>14</v>
      </c>
      <c r="AB1994" s="4">
        <v>1</v>
      </c>
      <c r="AC1994" s="4">
        <v>2</v>
      </c>
      <c r="AD1994" s="4">
        <v>38</v>
      </c>
      <c r="AE1994" s="4">
        <v>42</v>
      </c>
      <c r="AF1994" s="4">
        <v>0</v>
      </c>
      <c r="AG1994" s="4">
        <v>0</v>
      </c>
      <c r="AH1994" s="4">
        <v>33</v>
      </c>
      <c r="AI1994" s="4">
        <v>37</v>
      </c>
      <c r="AJ1994" s="4">
        <v>5</v>
      </c>
      <c r="AK1994" s="4">
        <v>5</v>
      </c>
      <c r="AL1994" s="4">
        <v>19</v>
      </c>
      <c r="AM1994" s="4">
        <v>22</v>
      </c>
      <c r="AN1994" s="4">
        <v>0</v>
      </c>
      <c r="AO1994" s="4">
        <v>0</v>
      </c>
      <c r="AP1994" s="4">
        <v>7</v>
      </c>
      <c r="AQ1994" s="4">
        <v>7</v>
      </c>
      <c r="AR1994" s="3" t="s">
        <v>62</v>
      </c>
      <c r="AS1994" s="3" t="s">
        <v>62</v>
      </c>
      <c r="AT1994" s="3" t="s">
        <v>62</v>
      </c>
      <c r="AV1994" s="6" t="str">
        <f>HYPERLINK("http://mcgill.on.worldcat.org/oclc/893016856","Catalog Record")</f>
        <v>Catalog Record</v>
      </c>
      <c r="AW1994" s="6" t="str">
        <f>HYPERLINK("http://www.worldcat.org/oclc/893016856","WorldCat Record")</f>
        <v>WorldCat Record</v>
      </c>
      <c r="AX1994" s="3" t="s">
        <v>19787</v>
      </c>
      <c r="AY1994" s="3" t="s">
        <v>19788</v>
      </c>
      <c r="AZ1994" s="3" t="s">
        <v>19789</v>
      </c>
      <c r="BA1994" s="3" t="s">
        <v>19789</v>
      </c>
      <c r="BB1994" s="3" t="s">
        <v>19790</v>
      </c>
      <c r="BC1994" s="3" t="s">
        <v>102</v>
      </c>
      <c r="BD1994" s="3" t="s">
        <v>68</v>
      </c>
      <c r="BE1994" s="3" t="s">
        <v>19791</v>
      </c>
      <c r="BF1994" s="3" t="s">
        <v>19790</v>
      </c>
      <c r="BG1994" s="3" t="s">
        <v>19792</v>
      </c>
    </row>
    <row r="1995" spans="1:59" ht="58" x14ac:dyDescent="0.35">
      <c r="A1995" s="2" t="s">
        <v>89</v>
      </c>
      <c r="B1995" s="2" t="s">
        <v>90</v>
      </c>
      <c r="C1995" s="2" t="s">
        <v>19793</v>
      </c>
      <c r="D1995" s="2" t="s">
        <v>19794</v>
      </c>
      <c r="E1995" s="2" t="s">
        <v>19795</v>
      </c>
      <c r="G1995" s="3" t="s">
        <v>62</v>
      </c>
      <c r="I1995" s="3" t="s">
        <v>62</v>
      </c>
      <c r="J1995" s="3" t="s">
        <v>62</v>
      </c>
      <c r="K1995" s="3" t="s">
        <v>63</v>
      </c>
      <c r="L1995" s="2" t="s">
        <v>14511</v>
      </c>
      <c r="M1995" s="2" t="s">
        <v>19796</v>
      </c>
      <c r="N1995" s="3" t="s">
        <v>129</v>
      </c>
      <c r="P1995" s="3" t="s">
        <v>64</v>
      </c>
      <c r="R1995" s="3" t="s">
        <v>13065</v>
      </c>
      <c r="S1995" s="4">
        <v>2</v>
      </c>
      <c r="T1995" s="4">
        <v>2</v>
      </c>
      <c r="U1995" s="5" t="s">
        <v>2714</v>
      </c>
      <c r="V1995" s="5" t="s">
        <v>2714</v>
      </c>
      <c r="W1995" s="5" t="s">
        <v>67</v>
      </c>
      <c r="X1995" s="5" t="s">
        <v>67</v>
      </c>
      <c r="Y1995" s="4">
        <v>540</v>
      </c>
      <c r="Z1995" s="4">
        <v>18</v>
      </c>
      <c r="AA1995" s="4">
        <v>21</v>
      </c>
      <c r="AB1995" s="4">
        <v>3</v>
      </c>
      <c r="AC1995" s="4">
        <v>6</v>
      </c>
      <c r="AD1995" s="4">
        <v>56</v>
      </c>
      <c r="AE1995" s="4">
        <v>60</v>
      </c>
      <c r="AF1995" s="4">
        <v>0</v>
      </c>
      <c r="AG1995" s="4">
        <v>1</v>
      </c>
      <c r="AH1995" s="4">
        <v>53</v>
      </c>
      <c r="AI1995" s="4">
        <v>55</v>
      </c>
      <c r="AJ1995" s="4">
        <v>6</v>
      </c>
      <c r="AK1995" s="4">
        <v>7</v>
      </c>
      <c r="AL1995" s="4">
        <v>25</v>
      </c>
      <c r="AM1995" s="4">
        <v>26</v>
      </c>
      <c r="AN1995" s="4">
        <v>0</v>
      </c>
      <c r="AO1995" s="4">
        <v>0</v>
      </c>
      <c r="AP1995" s="4">
        <v>7</v>
      </c>
      <c r="AQ1995" s="4">
        <v>8</v>
      </c>
      <c r="AR1995" s="3" t="s">
        <v>62</v>
      </c>
      <c r="AS1995" s="3" t="s">
        <v>62</v>
      </c>
      <c r="AT1995" s="3" t="s">
        <v>62</v>
      </c>
      <c r="AV1995" s="6" t="str">
        <f>HYPERLINK("http://mcgill.on.worldcat.org/oclc/818738062","Catalog Record")</f>
        <v>Catalog Record</v>
      </c>
      <c r="AW1995" s="6" t="str">
        <f>HYPERLINK("http://www.worldcat.org/oclc/818738062","WorldCat Record")</f>
        <v>WorldCat Record</v>
      </c>
      <c r="AX1995" s="3" t="s">
        <v>19797</v>
      </c>
      <c r="AY1995" s="3" t="s">
        <v>19798</v>
      </c>
      <c r="AZ1995" s="3" t="s">
        <v>19799</v>
      </c>
      <c r="BA1995" s="3" t="s">
        <v>19799</v>
      </c>
      <c r="BB1995" s="3" t="s">
        <v>19800</v>
      </c>
      <c r="BC1995" s="3" t="s">
        <v>102</v>
      </c>
      <c r="BD1995" s="3" t="s">
        <v>68</v>
      </c>
      <c r="BE1995" s="3" t="s">
        <v>19801</v>
      </c>
      <c r="BF1995" s="3" t="s">
        <v>19800</v>
      </c>
      <c r="BG1995" s="3" t="s">
        <v>19802</v>
      </c>
    </row>
    <row r="1996" spans="1:59" ht="58" x14ac:dyDescent="0.35">
      <c r="A1996" s="2" t="s">
        <v>89</v>
      </c>
      <c r="B1996" s="2" t="s">
        <v>90</v>
      </c>
      <c r="C1996" s="2" t="s">
        <v>19803</v>
      </c>
      <c r="D1996" s="2" t="s">
        <v>19804</v>
      </c>
      <c r="E1996" s="2" t="s">
        <v>19805</v>
      </c>
      <c r="G1996" s="3" t="s">
        <v>62</v>
      </c>
      <c r="I1996" s="3" t="s">
        <v>62</v>
      </c>
      <c r="J1996" s="3" t="s">
        <v>62</v>
      </c>
      <c r="K1996" s="3" t="s">
        <v>63</v>
      </c>
      <c r="L1996" s="2" t="s">
        <v>14511</v>
      </c>
      <c r="M1996" s="2" t="s">
        <v>19806</v>
      </c>
      <c r="N1996" s="3" t="s">
        <v>712</v>
      </c>
      <c r="P1996" s="3" t="s">
        <v>64</v>
      </c>
      <c r="R1996" s="3" t="s">
        <v>13065</v>
      </c>
      <c r="S1996" s="4">
        <v>1</v>
      </c>
      <c r="T1996" s="4">
        <v>1</v>
      </c>
      <c r="U1996" s="5" t="s">
        <v>13420</v>
      </c>
      <c r="V1996" s="5" t="s">
        <v>13420</v>
      </c>
      <c r="W1996" s="5" t="s">
        <v>67</v>
      </c>
      <c r="X1996" s="5" t="s">
        <v>67</v>
      </c>
      <c r="Y1996" s="4">
        <v>253</v>
      </c>
      <c r="Z1996" s="4">
        <v>12</v>
      </c>
      <c r="AA1996" s="4">
        <v>15</v>
      </c>
      <c r="AB1996" s="4">
        <v>2</v>
      </c>
      <c r="AC1996" s="4">
        <v>4</v>
      </c>
      <c r="AD1996" s="4">
        <v>34</v>
      </c>
      <c r="AE1996" s="4">
        <v>38</v>
      </c>
      <c r="AF1996" s="4">
        <v>0</v>
      </c>
      <c r="AG1996" s="4">
        <v>1</v>
      </c>
      <c r="AH1996" s="4">
        <v>32</v>
      </c>
      <c r="AI1996" s="4">
        <v>35</v>
      </c>
      <c r="AJ1996" s="4">
        <v>5</v>
      </c>
      <c r="AK1996" s="4">
        <v>6</v>
      </c>
      <c r="AL1996" s="4">
        <v>17</v>
      </c>
      <c r="AM1996" s="4">
        <v>19</v>
      </c>
      <c r="AN1996" s="4">
        <v>0</v>
      </c>
      <c r="AO1996" s="4">
        <v>0</v>
      </c>
      <c r="AP1996" s="4">
        <v>5</v>
      </c>
      <c r="AQ1996" s="4">
        <v>6</v>
      </c>
      <c r="AR1996" s="3" t="s">
        <v>62</v>
      </c>
      <c r="AS1996" s="3" t="s">
        <v>62</v>
      </c>
      <c r="AT1996" s="3" t="s">
        <v>62</v>
      </c>
      <c r="AV1996" s="6" t="str">
        <f>HYPERLINK("http://mcgill.on.worldcat.org/oclc/863198369","Catalog Record")</f>
        <v>Catalog Record</v>
      </c>
      <c r="AW1996" s="6" t="str">
        <f>HYPERLINK("http://www.worldcat.org/oclc/863198369","WorldCat Record")</f>
        <v>WorldCat Record</v>
      </c>
      <c r="AX1996" s="3" t="s">
        <v>19807</v>
      </c>
      <c r="AY1996" s="3" t="s">
        <v>19808</v>
      </c>
      <c r="AZ1996" s="3" t="s">
        <v>19809</v>
      </c>
      <c r="BA1996" s="3" t="s">
        <v>19809</v>
      </c>
      <c r="BB1996" s="3" t="s">
        <v>19810</v>
      </c>
      <c r="BC1996" s="3" t="s">
        <v>102</v>
      </c>
      <c r="BD1996" s="3" t="s">
        <v>68</v>
      </c>
      <c r="BE1996" s="3" t="s">
        <v>19811</v>
      </c>
      <c r="BF1996" s="3" t="s">
        <v>19810</v>
      </c>
      <c r="BG1996" s="3" t="s">
        <v>19812</v>
      </c>
    </row>
    <row r="1997" spans="1:59" ht="58" x14ac:dyDescent="0.35">
      <c r="A1997" s="2" t="s">
        <v>89</v>
      </c>
      <c r="B1997" s="2" t="s">
        <v>90</v>
      </c>
      <c r="C1997" s="2" t="s">
        <v>19813</v>
      </c>
      <c r="D1997" s="2" t="s">
        <v>19814</v>
      </c>
      <c r="E1997" s="2" t="s">
        <v>19815</v>
      </c>
      <c r="G1997" s="3" t="s">
        <v>62</v>
      </c>
      <c r="I1997" s="3" t="s">
        <v>62</v>
      </c>
      <c r="J1997" s="3" t="s">
        <v>62</v>
      </c>
      <c r="K1997" s="3" t="s">
        <v>63</v>
      </c>
      <c r="L1997" s="2" t="s">
        <v>19816</v>
      </c>
      <c r="M1997" s="2" t="s">
        <v>19817</v>
      </c>
      <c r="N1997" s="3" t="s">
        <v>129</v>
      </c>
      <c r="P1997" s="3" t="s">
        <v>64</v>
      </c>
      <c r="R1997" s="3" t="s">
        <v>13065</v>
      </c>
      <c r="S1997" s="4">
        <v>5</v>
      </c>
      <c r="T1997" s="4">
        <v>5</v>
      </c>
      <c r="U1997" s="5" t="s">
        <v>12308</v>
      </c>
      <c r="V1997" s="5" t="s">
        <v>12308</v>
      </c>
      <c r="W1997" s="5" t="s">
        <v>67</v>
      </c>
      <c r="X1997" s="5" t="s">
        <v>67</v>
      </c>
      <c r="Y1997" s="4">
        <v>160</v>
      </c>
      <c r="Z1997" s="4">
        <v>5</v>
      </c>
      <c r="AA1997" s="4">
        <v>41</v>
      </c>
      <c r="AB1997" s="4">
        <v>1</v>
      </c>
      <c r="AC1997" s="4">
        <v>6</v>
      </c>
      <c r="AD1997" s="4">
        <v>11</v>
      </c>
      <c r="AE1997" s="4">
        <v>65</v>
      </c>
      <c r="AF1997" s="4">
        <v>0</v>
      </c>
      <c r="AG1997" s="4">
        <v>1</v>
      </c>
      <c r="AH1997" s="4">
        <v>9</v>
      </c>
      <c r="AI1997" s="4">
        <v>55</v>
      </c>
      <c r="AJ1997" s="4">
        <v>2</v>
      </c>
      <c r="AK1997" s="4">
        <v>11</v>
      </c>
      <c r="AL1997" s="4">
        <v>4</v>
      </c>
      <c r="AM1997" s="4">
        <v>35</v>
      </c>
      <c r="AN1997" s="4">
        <v>0</v>
      </c>
      <c r="AO1997" s="4">
        <v>0</v>
      </c>
      <c r="AP1997" s="4">
        <v>4</v>
      </c>
      <c r="AQ1997" s="4">
        <v>13</v>
      </c>
      <c r="AR1997" s="3" t="s">
        <v>62</v>
      </c>
      <c r="AS1997" s="3" t="s">
        <v>62</v>
      </c>
      <c r="AT1997" s="3" t="s">
        <v>62</v>
      </c>
      <c r="AV1997" s="6" t="str">
        <f>HYPERLINK("http://mcgill.on.worldcat.org/oclc/859223856","Catalog Record")</f>
        <v>Catalog Record</v>
      </c>
      <c r="AW1997" s="6" t="str">
        <f>HYPERLINK("http://www.worldcat.org/oclc/859223856","WorldCat Record")</f>
        <v>WorldCat Record</v>
      </c>
      <c r="AX1997" s="3" t="s">
        <v>19818</v>
      </c>
      <c r="AY1997" s="3" t="s">
        <v>19819</v>
      </c>
      <c r="AZ1997" s="3" t="s">
        <v>19820</v>
      </c>
      <c r="BA1997" s="3" t="s">
        <v>19820</v>
      </c>
      <c r="BB1997" s="3" t="s">
        <v>19821</v>
      </c>
      <c r="BC1997" s="3" t="s">
        <v>102</v>
      </c>
      <c r="BD1997" s="3" t="s">
        <v>68</v>
      </c>
      <c r="BE1997" s="3" t="s">
        <v>19822</v>
      </c>
      <c r="BF1997" s="3" t="s">
        <v>19821</v>
      </c>
      <c r="BG1997" s="3" t="s">
        <v>19823</v>
      </c>
    </row>
    <row r="1998" spans="1:59" ht="58" x14ac:dyDescent="0.35">
      <c r="A1998" s="2" t="s">
        <v>89</v>
      </c>
      <c r="B1998" s="2" t="s">
        <v>90</v>
      </c>
      <c r="C1998" s="2" t="s">
        <v>19824</v>
      </c>
      <c r="D1998" s="2" t="s">
        <v>19825</v>
      </c>
      <c r="E1998" s="2" t="s">
        <v>19826</v>
      </c>
      <c r="G1998" s="3" t="s">
        <v>62</v>
      </c>
      <c r="I1998" s="3" t="s">
        <v>62</v>
      </c>
      <c r="J1998" s="3" t="s">
        <v>62</v>
      </c>
      <c r="K1998" s="3" t="s">
        <v>63</v>
      </c>
      <c r="L1998" s="2" t="s">
        <v>19827</v>
      </c>
      <c r="M1998" s="2" t="s">
        <v>19828</v>
      </c>
      <c r="N1998" s="3" t="s">
        <v>712</v>
      </c>
      <c r="P1998" s="3" t="s">
        <v>64</v>
      </c>
      <c r="R1998" s="3" t="s">
        <v>13065</v>
      </c>
      <c r="S1998" s="4">
        <v>1</v>
      </c>
      <c r="T1998" s="4">
        <v>1</v>
      </c>
      <c r="U1998" s="5" t="s">
        <v>2401</v>
      </c>
      <c r="V1998" s="5" t="s">
        <v>2401</v>
      </c>
      <c r="W1998" s="5" t="s">
        <v>67</v>
      </c>
      <c r="X1998" s="5" t="s">
        <v>67</v>
      </c>
      <c r="Y1998" s="4">
        <v>522</v>
      </c>
      <c r="Z1998" s="4">
        <v>18</v>
      </c>
      <c r="AA1998" s="4">
        <v>23</v>
      </c>
      <c r="AB1998" s="4">
        <v>2</v>
      </c>
      <c r="AC1998" s="4">
        <v>6</v>
      </c>
      <c r="AD1998" s="4">
        <v>50</v>
      </c>
      <c r="AE1998" s="4">
        <v>54</v>
      </c>
      <c r="AF1998" s="4">
        <v>0</v>
      </c>
      <c r="AG1998" s="4">
        <v>1</v>
      </c>
      <c r="AH1998" s="4">
        <v>44</v>
      </c>
      <c r="AI1998" s="4">
        <v>46</v>
      </c>
      <c r="AJ1998" s="4">
        <v>5</v>
      </c>
      <c r="AK1998" s="4">
        <v>5</v>
      </c>
      <c r="AL1998" s="4">
        <v>28</v>
      </c>
      <c r="AM1998" s="4">
        <v>28</v>
      </c>
      <c r="AN1998" s="4">
        <v>0</v>
      </c>
      <c r="AO1998" s="4">
        <v>0</v>
      </c>
      <c r="AP1998" s="4">
        <v>8</v>
      </c>
      <c r="AQ1998" s="4">
        <v>10</v>
      </c>
      <c r="AR1998" s="3" t="s">
        <v>62</v>
      </c>
      <c r="AS1998" s="3" t="s">
        <v>62</v>
      </c>
      <c r="AT1998" s="3" t="s">
        <v>62</v>
      </c>
      <c r="AV1998" s="6" t="str">
        <f>HYPERLINK("http://mcgill.on.worldcat.org/oclc/794041256","Catalog Record")</f>
        <v>Catalog Record</v>
      </c>
      <c r="AW1998" s="6" t="str">
        <f>HYPERLINK("http://www.worldcat.org/oclc/794041256","WorldCat Record")</f>
        <v>WorldCat Record</v>
      </c>
      <c r="AX1998" s="3" t="s">
        <v>19829</v>
      </c>
      <c r="AY1998" s="3" t="s">
        <v>19830</v>
      </c>
      <c r="AZ1998" s="3" t="s">
        <v>19831</v>
      </c>
      <c r="BA1998" s="3" t="s">
        <v>19831</v>
      </c>
      <c r="BB1998" s="3" t="s">
        <v>19832</v>
      </c>
      <c r="BC1998" s="3" t="s">
        <v>102</v>
      </c>
      <c r="BD1998" s="3" t="s">
        <v>68</v>
      </c>
      <c r="BE1998" s="3" t="s">
        <v>19833</v>
      </c>
      <c r="BF1998" s="3" t="s">
        <v>19832</v>
      </c>
      <c r="BG1998" s="3" t="s">
        <v>19834</v>
      </c>
    </row>
    <row r="1999" spans="1:59" ht="58" x14ac:dyDescent="0.35">
      <c r="A1999" s="2" t="s">
        <v>89</v>
      </c>
      <c r="B1999" s="2" t="s">
        <v>90</v>
      </c>
      <c r="C1999" s="2" t="s">
        <v>19835</v>
      </c>
      <c r="D1999" s="2" t="s">
        <v>19836</v>
      </c>
      <c r="E1999" s="2" t="s">
        <v>19837</v>
      </c>
      <c r="G1999" s="3" t="s">
        <v>62</v>
      </c>
      <c r="I1999" s="3" t="s">
        <v>62</v>
      </c>
      <c r="J1999" s="3" t="s">
        <v>62</v>
      </c>
      <c r="K1999" s="3" t="s">
        <v>63</v>
      </c>
      <c r="L1999" s="2" t="s">
        <v>19838</v>
      </c>
      <c r="M1999" s="2" t="s">
        <v>19839</v>
      </c>
      <c r="N1999" s="3" t="s">
        <v>596</v>
      </c>
      <c r="O1999" s="2" t="s">
        <v>19840</v>
      </c>
      <c r="P1999" s="3" t="s">
        <v>85</v>
      </c>
      <c r="Q1999" s="2" t="s">
        <v>19841</v>
      </c>
      <c r="R1999" s="3" t="s">
        <v>13065</v>
      </c>
      <c r="S1999" s="4">
        <v>5</v>
      </c>
      <c r="T1999" s="4">
        <v>5</v>
      </c>
      <c r="U1999" s="5" t="s">
        <v>3541</v>
      </c>
      <c r="V1999" s="5" t="s">
        <v>3541</v>
      </c>
      <c r="W1999" s="5" t="s">
        <v>67</v>
      </c>
      <c r="X1999" s="5" t="s">
        <v>67</v>
      </c>
      <c r="Y1999" s="4">
        <v>2</v>
      </c>
      <c r="Z1999" s="4">
        <v>1</v>
      </c>
      <c r="AA1999" s="4">
        <v>13</v>
      </c>
      <c r="AB1999" s="4">
        <v>1</v>
      </c>
      <c r="AC1999" s="4">
        <v>3</v>
      </c>
      <c r="AD1999" s="4">
        <v>1</v>
      </c>
      <c r="AE1999" s="4">
        <v>54</v>
      </c>
      <c r="AF1999" s="4">
        <v>0</v>
      </c>
      <c r="AG1999" s="4">
        <v>2</v>
      </c>
      <c r="AH1999" s="4">
        <v>1</v>
      </c>
      <c r="AI1999" s="4">
        <v>48</v>
      </c>
      <c r="AJ1999" s="4">
        <v>0</v>
      </c>
      <c r="AK1999" s="4">
        <v>10</v>
      </c>
      <c r="AL1999" s="4">
        <v>0</v>
      </c>
      <c r="AM1999" s="4">
        <v>31</v>
      </c>
      <c r="AN1999" s="4">
        <v>0</v>
      </c>
      <c r="AO1999" s="4">
        <v>0</v>
      </c>
      <c r="AP1999" s="4">
        <v>0</v>
      </c>
      <c r="AQ1999" s="4">
        <v>9</v>
      </c>
      <c r="AR1999" s="3" t="s">
        <v>62</v>
      </c>
      <c r="AS1999" s="3" t="s">
        <v>62</v>
      </c>
      <c r="AT1999" s="3" t="s">
        <v>61</v>
      </c>
      <c r="AU1999" s="6" t="str">
        <f>HYPERLINK("http://catalog.hathitrust.org/Record/003170253","HathiTrust Record")</f>
        <v>HathiTrust Record</v>
      </c>
      <c r="AV1999" s="6" t="str">
        <f>HYPERLINK("http://mcgill.on.worldcat.org/oclc/427782773","Catalog Record")</f>
        <v>Catalog Record</v>
      </c>
      <c r="AW1999" s="6" t="str">
        <f>HYPERLINK("http://www.worldcat.org/oclc/427782773","WorldCat Record")</f>
        <v>WorldCat Record</v>
      </c>
      <c r="AX1999" s="3" t="s">
        <v>19842</v>
      </c>
      <c r="AY1999" s="3" t="s">
        <v>19843</v>
      </c>
      <c r="AZ1999" s="3" t="s">
        <v>19844</v>
      </c>
      <c r="BA1999" s="3" t="s">
        <v>19844</v>
      </c>
      <c r="BB1999" s="3" t="s">
        <v>19845</v>
      </c>
      <c r="BC1999" s="3" t="s">
        <v>102</v>
      </c>
      <c r="BD1999" s="3" t="s">
        <v>68</v>
      </c>
      <c r="BE1999" s="3" t="s">
        <v>19846</v>
      </c>
      <c r="BF1999" s="3" t="s">
        <v>19845</v>
      </c>
      <c r="BG1999" s="3" t="s">
        <v>19847</v>
      </c>
    </row>
    <row r="2000" spans="1:59" ht="58" x14ac:dyDescent="0.35">
      <c r="A2000" s="2" t="s">
        <v>89</v>
      </c>
      <c r="B2000" s="2" t="s">
        <v>6791</v>
      </c>
      <c r="C2000" s="2" t="s">
        <v>19848</v>
      </c>
      <c r="D2000" s="2" t="s">
        <v>19849</v>
      </c>
      <c r="E2000" s="2" t="s">
        <v>19850</v>
      </c>
      <c r="F2000" s="3" t="s">
        <v>6306</v>
      </c>
      <c r="G2000" s="3" t="s">
        <v>61</v>
      </c>
      <c r="I2000" s="3" t="s">
        <v>62</v>
      </c>
      <c r="J2000" s="3" t="s">
        <v>61</v>
      </c>
      <c r="K2000" s="3" t="s">
        <v>63</v>
      </c>
      <c r="M2000" s="2" t="s">
        <v>19851</v>
      </c>
      <c r="N2000" s="3" t="s">
        <v>201</v>
      </c>
      <c r="P2000" s="3" t="s">
        <v>64</v>
      </c>
      <c r="R2000" s="3" t="s">
        <v>13065</v>
      </c>
      <c r="S2000" s="4">
        <v>11</v>
      </c>
      <c r="T2000" s="4">
        <v>11</v>
      </c>
      <c r="U2000" s="5" t="s">
        <v>16165</v>
      </c>
      <c r="V2000" s="5" t="s">
        <v>16165</v>
      </c>
      <c r="W2000" s="5" t="s">
        <v>67</v>
      </c>
      <c r="X2000" s="5" t="s">
        <v>67</v>
      </c>
      <c r="Y2000" s="4">
        <v>2</v>
      </c>
      <c r="Z2000" s="4">
        <v>2</v>
      </c>
      <c r="AA2000" s="4">
        <v>13</v>
      </c>
      <c r="AB2000" s="4">
        <v>1</v>
      </c>
      <c r="AC2000" s="4">
        <v>1</v>
      </c>
      <c r="AD2000" s="4">
        <v>1</v>
      </c>
      <c r="AE2000" s="4">
        <v>9</v>
      </c>
      <c r="AF2000" s="4">
        <v>0</v>
      </c>
      <c r="AG2000" s="4">
        <v>0</v>
      </c>
      <c r="AH2000" s="4">
        <v>1</v>
      </c>
      <c r="AI2000" s="4">
        <v>5</v>
      </c>
      <c r="AJ2000" s="4">
        <v>1</v>
      </c>
      <c r="AK2000" s="4">
        <v>6</v>
      </c>
      <c r="AL2000" s="4">
        <v>0</v>
      </c>
      <c r="AM2000" s="4">
        <v>1</v>
      </c>
      <c r="AN2000" s="4">
        <v>0</v>
      </c>
      <c r="AO2000" s="4">
        <v>0</v>
      </c>
      <c r="AP2000" s="4">
        <v>1</v>
      </c>
      <c r="AQ2000" s="4">
        <v>9</v>
      </c>
      <c r="AR2000" s="3" t="s">
        <v>61</v>
      </c>
      <c r="AS2000" s="3" t="s">
        <v>62</v>
      </c>
      <c r="AT2000" s="3" t="s">
        <v>62</v>
      </c>
      <c r="AV2000" s="6" t="str">
        <f>HYPERLINK("http://mcgill.on.worldcat.org/oclc/461594321","Catalog Record")</f>
        <v>Catalog Record</v>
      </c>
      <c r="AW2000" s="6" t="str">
        <f>HYPERLINK("http://www.worldcat.org/oclc/461594321","WorldCat Record")</f>
        <v>WorldCat Record</v>
      </c>
      <c r="AX2000" s="3" t="s">
        <v>19852</v>
      </c>
      <c r="AY2000" s="3" t="s">
        <v>19853</v>
      </c>
      <c r="AZ2000" s="3" t="s">
        <v>19854</v>
      </c>
      <c r="BA2000" s="3" t="s">
        <v>19854</v>
      </c>
      <c r="BB2000" s="3" t="s">
        <v>19855</v>
      </c>
      <c r="BC2000" s="3" t="s">
        <v>102</v>
      </c>
      <c r="BD2000" s="3" t="s">
        <v>68</v>
      </c>
      <c r="BE2000" s="3" t="s">
        <v>19856</v>
      </c>
      <c r="BF2000" s="3" t="s">
        <v>19855</v>
      </c>
      <c r="BG2000" s="3" t="s">
        <v>19857</v>
      </c>
    </row>
    <row r="2001" spans="1:59" ht="58" x14ac:dyDescent="0.35">
      <c r="A2001" s="2" t="s">
        <v>89</v>
      </c>
      <c r="B2001" s="2" t="s">
        <v>90</v>
      </c>
      <c r="C2001" s="2" t="s">
        <v>19858</v>
      </c>
      <c r="D2001" s="2" t="s">
        <v>19859</v>
      </c>
      <c r="E2001" s="2" t="s">
        <v>19860</v>
      </c>
      <c r="F2001" s="3" t="s">
        <v>19861</v>
      </c>
      <c r="G2001" s="3" t="s">
        <v>61</v>
      </c>
      <c r="I2001" s="3" t="s">
        <v>62</v>
      </c>
      <c r="J2001" s="3" t="s">
        <v>62</v>
      </c>
      <c r="K2001" s="3" t="s">
        <v>63</v>
      </c>
      <c r="M2001" s="2" t="s">
        <v>19862</v>
      </c>
      <c r="N2001" s="3" t="s">
        <v>396</v>
      </c>
      <c r="P2001" s="3" t="s">
        <v>64</v>
      </c>
      <c r="R2001" s="3" t="s">
        <v>13065</v>
      </c>
      <c r="S2001" s="4">
        <v>2</v>
      </c>
      <c r="T2001" s="4">
        <v>2</v>
      </c>
      <c r="U2001" s="5" t="s">
        <v>17100</v>
      </c>
      <c r="V2001" s="5" t="s">
        <v>17100</v>
      </c>
      <c r="W2001" s="5" t="s">
        <v>67</v>
      </c>
      <c r="X2001" s="5" t="s">
        <v>67</v>
      </c>
      <c r="Y2001" s="4">
        <v>26</v>
      </c>
      <c r="Z2001" s="4">
        <v>1</v>
      </c>
      <c r="AA2001" s="4">
        <v>1</v>
      </c>
      <c r="AB2001" s="4">
        <v>1</v>
      </c>
      <c r="AC2001" s="4">
        <v>1</v>
      </c>
      <c r="AD2001" s="4">
        <v>6</v>
      </c>
      <c r="AE2001" s="4">
        <v>17</v>
      </c>
      <c r="AF2001" s="4">
        <v>0</v>
      </c>
      <c r="AG2001" s="4">
        <v>0</v>
      </c>
      <c r="AH2001" s="4">
        <v>6</v>
      </c>
      <c r="AI2001" s="4">
        <v>16</v>
      </c>
      <c r="AJ2001" s="4">
        <v>0</v>
      </c>
      <c r="AK2001" s="4">
        <v>0</v>
      </c>
      <c r="AL2001" s="4">
        <v>5</v>
      </c>
      <c r="AM2001" s="4">
        <v>10</v>
      </c>
      <c r="AN2001" s="4">
        <v>0</v>
      </c>
      <c r="AO2001" s="4">
        <v>0</v>
      </c>
      <c r="AP2001" s="4">
        <v>0</v>
      </c>
      <c r="AQ2001" s="4">
        <v>0</v>
      </c>
      <c r="AR2001" s="3" t="s">
        <v>62</v>
      </c>
      <c r="AS2001" s="3" t="s">
        <v>62</v>
      </c>
      <c r="AT2001" s="3" t="s">
        <v>62</v>
      </c>
      <c r="AV2001" s="6" t="str">
        <f>HYPERLINK("http://mcgill.on.worldcat.org/oclc/12014045","Catalog Record")</f>
        <v>Catalog Record</v>
      </c>
      <c r="AW2001" s="6" t="str">
        <f>HYPERLINK("http://www.worldcat.org/oclc/12014045","WorldCat Record")</f>
        <v>WorldCat Record</v>
      </c>
      <c r="AX2001" s="3" t="s">
        <v>19863</v>
      </c>
      <c r="AY2001" s="3" t="s">
        <v>19864</v>
      </c>
      <c r="AZ2001" s="3" t="s">
        <v>19865</v>
      </c>
      <c r="BA2001" s="3" t="s">
        <v>19865</v>
      </c>
      <c r="BB2001" s="3" t="s">
        <v>19866</v>
      </c>
      <c r="BC2001" s="3" t="s">
        <v>102</v>
      </c>
      <c r="BD2001" s="3" t="s">
        <v>68</v>
      </c>
      <c r="BE2001" s="3" t="s">
        <v>19867</v>
      </c>
      <c r="BF2001" s="3" t="s">
        <v>19866</v>
      </c>
      <c r="BG2001" s="3" t="s">
        <v>19868</v>
      </c>
    </row>
    <row r="2002" spans="1:59" ht="58" x14ac:dyDescent="0.35">
      <c r="A2002" s="2" t="s">
        <v>89</v>
      </c>
      <c r="B2002" s="2" t="s">
        <v>90</v>
      </c>
      <c r="C2002" s="2" t="s">
        <v>19869</v>
      </c>
      <c r="D2002" s="2" t="s">
        <v>19870</v>
      </c>
      <c r="E2002" s="2" t="s">
        <v>19871</v>
      </c>
      <c r="G2002" s="3" t="s">
        <v>62</v>
      </c>
      <c r="I2002" s="3" t="s">
        <v>62</v>
      </c>
      <c r="J2002" s="3" t="s">
        <v>62</v>
      </c>
      <c r="K2002" s="3" t="s">
        <v>63</v>
      </c>
      <c r="L2002" s="2" t="s">
        <v>19872</v>
      </c>
      <c r="M2002" s="2" t="s">
        <v>19873</v>
      </c>
      <c r="N2002" s="3" t="s">
        <v>78</v>
      </c>
      <c r="P2002" s="3" t="s">
        <v>64</v>
      </c>
      <c r="R2002" s="3" t="s">
        <v>13065</v>
      </c>
      <c r="S2002" s="4">
        <v>3</v>
      </c>
      <c r="T2002" s="4">
        <v>3</v>
      </c>
      <c r="U2002" s="5" t="s">
        <v>19874</v>
      </c>
      <c r="V2002" s="5" t="s">
        <v>19874</v>
      </c>
      <c r="W2002" s="5" t="s">
        <v>67</v>
      </c>
      <c r="X2002" s="5" t="s">
        <v>67</v>
      </c>
      <c r="Y2002" s="4">
        <v>226</v>
      </c>
      <c r="Z2002" s="4">
        <v>14</v>
      </c>
      <c r="AA2002" s="4">
        <v>14</v>
      </c>
      <c r="AB2002" s="4">
        <v>1</v>
      </c>
      <c r="AC2002" s="4">
        <v>1</v>
      </c>
      <c r="AD2002" s="4">
        <v>74</v>
      </c>
      <c r="AE2002" s="4">
        <v>75</v>
      </c>
      <c r="AF2002" s="4">
        <v>0</v>
      </c>
      <c r="AG2002" s="4">
        <v>0</v>
      </c>
      <c r="AH2002" s="4">
        <v>66</v>
      </c>
      <c r="AI2002" s="4">
        <v>67</v>
      </c>
      <c r="AJ2002" s="4">
        <v>8</v>
      </c>
      <c r="AK2002" s="4">
        <v>8</v>
      </c>
      <c r="AL2002" s="4">
        <v>38</v>
      </c>
      <c r="AM2002" s="4">
        <v>39</v>
      </c>
      <c r="AN2002" s="4">
        <v>0</v>
      </c>
      <c r="AO2002" s="4">
        <v>0</v>
      </c>
      <c r="AP2002" s="4">
        <v>12</v>
      </c>
      <c r="AQ2002" s="4">
        <v>12</v>
      </c>
      <c r="AR2002" s="3" t="s">
        <v>62</v>
      </c>
      <c r="AS2002" s="3" t="s">
        <v>62</v>
      </c>
      <c r="AT2002" s="3" t="s">
        <v>62</v>
      </c>
      <c r="AU2002" s="6" t="str">
        <f>HYPERLINK("http://catalog.hathitrust.org/Record/001883874","HathiTrust Record")</f>
        <v>HathiTrust Record</v>
      </c>
      <c r="AV2002" s="6" t="str">
        <f>HYPERLINK("http://mcgill.on.worldcat.org/oclc/988458","Catalog Record")</f>
        <v>Catalog Record</v>
      </c>
      <c r="AW2002" s="6" t="str">
        <f>HYPERLINK("http://www.worldcat.org/oclc/988458","WorldCat Record")</f>
        <v>WorldCat Record</v>
      </c>
      <c r="AX2002" s="3" t="s">
        <v>19875</v>
      </c>
      <c r="AY2002" s="3" t="s">
        <v>19876</v>
      </c>
      <c r="AZ2002" s="3" t="s">
        <v>19877</v>
      </c>
      <c r="BA2002" s="3" t="s">
        <v>19877</v>
      </c>
      <c r="BB2002" s="3" t="s">
        <v>19878</v>
      </c>
      <c r="BC2002" s="3" t="s">
        <v>102</v>
      </c>
      <c r="BD2002" s="3" t="s">
        <v>68</v>
      </c>
      <c r="BF2002" s="3" t="s">
        <v>19878</v>
      </c>
      <c r="BG2002" s="3" t="s">
        <v>19879</v>
      </c>
    </row>
    <row r="2003" spans="1:59" ht="58" x14ac:dyDescent="0.35">
      <c r="A2003" s="2" t="s">
        <v>89</v>
      </c>
      <c r="B2003" s="2" t="s">
        <v>90</v>
      </c>
      <c r="C2003" s="2" t="s">
        <v>19880</v>
      </c>
      <c r="D2003" s="2" t="s">
        <v>19881</v>
      </c>
      <c r="E2003" s="2" t="s">
        <v>19882</v>
      </c>
      <c r="G2003" s="3" t="s">
        <v>62</v>
      </c>
      <c r="I2003" s="3" t="s">
        <v>62</v>
      </c>
      <c r="J2003" s="3" t="s">
        <v>62</v>
      </c>
      <c r="K2003" s="3" t="s">
        <v>63</v>
      </c>
      <c r="L2003" s="2" t="s">
        <v>19883</v>
      </c>
      <c r="M2003" s="2" t="s">
        <v>19884</v>
      </c>
      <c r="N2003" s="3" t="s">
        <v>19885</v>
      </c>
      <c r="O2003" s="2" t="s">
        <v>2986</v>
      </c>
      <c r="P2003" s="3" t="s">
        <v>64</v>
      </c>
      <c r="Q2003" s="2" t="s">
        <v>19886</v>
      </c>
      <c r="R2003" s="3" t="s">
        <v>13065</v>
      </c>
      <c r="S2003" s="4">
        <v>6</v>
      </c>
      <c r="T2003" s="4">
        <v>6</v>
      </c>
      <c r="U2003" s="5" t="s">
        <v>19887</v>
      </c>
      <c r="V2003" s="5" t="s">
        <v>19887</v>
      </c>
      <c r="W2003" s="5" t="s">
        <v>67</v>
      </c>
      <c r="X2003" s="5" t="s">
        <v>67</v>
      </c>
      <c r="Y2003" s="4">
        <v>1</v>
      </c>
      <c r="Z2003" s="4">
        <v>1</v>
      </c>
      <c r="AA2003" s="4">
        <v>2</v>
      </c>
      <c r="AB2003" s="4">
        <v>1</v>
      </c>
      <c r="AC2003" s="4">
        <v>1</v>
      </c>
      <c r="AD2003" s="4">
        <v>0</v>
      </c>
      <c r="AE2003" s="4">
        <v>2</v>
      </c>
      <c r="AF2003" s="4">
        <v>0</v>
      </c>
      <c r="AG2003" s="4">
        <v>0</v>
      </c>
      <c r="AH2003" s="4">
        <v>0</v>
      </c>
      <c r="AI2003" s="4">
        <v>1</v>
      </c>
      <c r="AJ2003" s="4">
        <v>0</v>
      </c>
      <c r="AK2003" s="4">
        <v>0</v>
      </c>
      <c r="AL2003" s="4">
        <v>0</v>
      </c>
      <c r="AM2003" s="4">
        <v>1</v>
      </c>
      <c r="AN2003" s="4">
        <v>0</v>
      </c>
      <c r="AO2003" s="4">
        <v>0</v>
      </c>
      <c r="AP2003" s="4">
        <v>0</v>
      </c>
      <c r="AQ2003" s="4">
        <v>1</v>
      </c>
      <c r="AR2003" s="3" t="s">
        <v>62</v>
      </c>
      <c r="AS2003" s="3" t="s">
        <v>62</v>
      </c>
      <c r="AT2003" s="3" t="s">
        <v>62</v>
      </c>
      <c r="AV2003" s="6" t="str">
        <f>HYPERLINK("http://mcgill.on.worldcat.org/oclc/61600102","Catalog Record")</f>
        <v>Catalog Record</v>
      </c>
      <c r="AW2003" s="6" t="str">
        <f>HYPERLINK("http://www.worldcat.org/oclc/61600102","WorldCat Record")</f>
        <v>WorldCat Record</v>
      </c>
      <c r="AX2003" s="3" t="s">
        <v>19888</v>
      </c>
      <c r="AY2003" s="3" t="s">
        <v>19889</v>
      </c>
      <c r="AZ2003" s="3" t="s">
        <v>19890</v>
      </c>
      <c r="BA2003" s="3" t="s">
        <v>19890</v>
      </c>
      <c r="BB2003" s="3" t="s">
        <v>19891</v>
      </c>
      <c r="BC2003" s="3" t="s">
        <v>102</v>
      </c>
      <c r="BD2003" s="3" t="s">
        <v>68</v>
      </c>
      <c r="BF2003" s="3" t="s">
        <v>19891</v>
      </c>
      <c r="BG2003" s="3" t="s">
        <v>19892</v>
      </c>
    </row>
    <row r="2004" spans="1:59" ht="87" x14ac:dyDescent="0.35">
      <c r="A2004" s="2" t="s">
        <v>89</v>
      </c>
      <c r="B2004" s="2" t="s">
        <v>90</v>
      </c>
      <c r="C2004" s="2" t="s">
        <v>19893</v>
      </c>
      <c r="D2004" s="2" t="s">
        <v>19894</v>
      </c>
      <c r="E2004" s="2" t="s">
        <v>19895</v>
      </c>
      <c r="G2004" s="3" t="s">
        <v>62</v>
      </c>
      <c r="I2004" s="3" t="s">
        <v>62</v>
      </c>
      <c r="J2004" s="3" t="s">
        <v>62</v>
      </c>
      <c r="K2004" s="3" t="s">
        <v>63</v>
      </c>
      <c r="M2004" s="2" t="s">
        <v>19896</v>
      </c>
      <c r="N2004" s="3" t="s">
        <v>2975</v>
      </c>
      <c r="P2004" s="3" t="s">
        <v>64</v>
      </c>
      <c r="R2004" s="3" t="s">
        <v>13065</v>
      </c>
      <c r="S2004" s="4">
        <v>5</v>
      </c>
      <c r="T2004" s="4">
        <v>5</v>
      </c>
      <c r="U2004" s="5" t="s">
        <v>10665</v>
      </c>
      <c r="V2004" s="5" t="s">
        <v>10665</v>
      </c>
      <c r="W2004" s="5" t="s">
        <v>67</v>
      </c>
      <c r="X2004" s="5" t="s">
        <v>67</v>
      </c>
      <c r="Y2004" s="4">
        <v>634</v>
      </c>
      <c r="Z2004" s="4">
        <v>29</v>
      </c>
      <c r="AA2004" s="4">
        <v>48</v>
      </c>
      <c r="AB2004" s="4">
        <v>3</v>
      </c>
      <c r="AC2004" s="4">
        <v>6</v>
      </c>
      <c r="AD2004" s="4">
        <v>96</v>
      </c>
      <c r="AE2004" s="4">
        <v>121</v>
      </c>
      <c r="AF2004" s="4">
        <v>1</v>
      </c>
      <c r="AG2004" s="4">
        <v>2</v>
      </c>
      <c r="AH2004" s="4">
        <v>83</v>
      </c>
      <c r="AI2004" s="4">
        <v>98</v>
      </c>
      <c r="AJ2004" s="4">
        <v>12</v>
      </c>
      <c r="AK2004" s="4">
        <v>15</v>
      </c>
      <c r="AL2004" s="4">
        <v>41</v>
      </c>
      <c r="AM2004" s="4">
        <v>50</v>
      </c>
      <c r="AN2004" s="4">
        <v>0</v>
      </c>
      <c r="AO2004" s="4">
        <v>0</v>
      </c>
      <c r="AP2004" s="4">
        <v>18</v>
      </c>
      <c r="AQ2004" s="4">
        <v>28</v>
      </c>
      <c r="AR2004" s="3" t="s">
        <v>62</v>
      </c>
      <c r="AS2004" s="3" t="s">
        <v>62</v>
      </c>
      <c r="AT2004" s="3" t="s">
        <v>62</v>
      </c>
      <c r="AV2004" s="6" t="str">
        <f>HYPERLINK("http://mcgill.on.worldcat.org/oclc/48544780","Catalog Record")</f>
        <v>Catalog Record</v>
      </c>
      <c r="AW2004" s="6" t="str">
        <f>HYPERLINK("http://www.worldcat.org/oclc/48544780","WorldCat Record")</f>
        <v>WorldCat Record</v>
      </c>
      <c r="AX2004" s="3" t="s">
        <v>19897</v>
      </c>
      <c r="AY2004" s="3" t="s">
        <v>19898</v>
      </c>
      <c r="AZ2004" s="3" t="s">
        <v>19899</v>
      </c>
      <c r="BA2004" s="3" t="s">
        <v>19899</v>
      </c>
      <c r="BB2004" s="3" t="s">
        <v>19900</v>
      </c>
      <c r="BC2004" s="3" t="s">
        <v>102</v>
      </c>
      <c r="BD2004" s="3" t="s">
        <v>68</v>
      </c>
      <c r="BE2004" s="3" t="s">
        <v>19901</v>
      </c>
      <c r="BF2004" s="3" t="s">
        <v>19900</v>
      </c>
      <c r="BG2004" s="3" t="s">
        <v>19902</v>
      </c>
    </row>
    <row r="2005" spans="1:59" ht="58" x14ac:dyDescent="0.35">
      <c r="A2005" s="2" t="s">
        <v>89</v>
      </c>
      <c r="B2005" s="2" t="s">
        <v>90</v>
      </c>
      <c r="C2005" s="2" t="s">
        <v>19903</v>
      </c>
      <c r="D2005" s="2" t="s">
        <v>19904</v>
      </c>
      <c r="E2005" s="2" t="s">
        <v>19905</v>
      </c>
      <c r="G2005" s="3" t="s">
        <v>62</v>
      </c>
      <c r="I2005" s="3" t="s">
        <v>62</v>
      </c>
      <c r="J2005" s="3" t="s">
        <v>62</v>
      </c>
      <c r="K2005" s="3" t="s">
        <v>63</v>
      </c>
      <c r="L2005" s="2" t="s">
        <v>19906</v>
      </c>
      <c r="M2005" s="2" t="s">
        <v>19907</v>
      </c>
      <c r="N2005" s="3" t="s">
        <v>880</v>
      </c>
      <c r="O2005" s="2" t="s">
        <v>19908</v>
      </c>
      <c r="P2005" s="3" t="s">
        <v>64</v>
      </c>
      <c r="R2005" s="3" t="s">
        <v>13065</v>
      </c>
      <c r="S2005" s="4">
        <v>1</v>
      </c>
      <c r="T2005" s="4">
        <v>1</v>
      </c>
      <c r="U2005" s="5" t="s">
        <v>19909</v>
      </c>
      <c r="V2005" s="5" t="s">
        <v>19909</v>
      </c>
      <c r="W2005" s="5" t="s">
        <v>67</v>
      </c>
      <c r="X2005" s="5" t="s">
        <v>67</v>
      </c>
      <c r="Y2005" s="4">
        <v>101</v>
      </c>
      <c r="Z2005" s="4">
        <v>5</v>
      </c>
      <c r="AA2005" s="4">
        <v>6</v>
      </c>
      <c r="AB2005" s="4">
        <v>1</v>
      </c>
      <c r="AC2005" s="4">
        <v>2</v>
      </c>
      <c r="AD2005" s="4">
        <v>16</v>
      </c>
      <c r="AE2005" s="4">
        <v>17</v>
      </c>
      <c r="AF2005" s="4">
        <v>0</v>
      </c>
      <c r="AG2005" s="4">
        <v>1</v>
      </c>
      <c r="AH2005" s="4">
        <v>12</v>
      </c>
      <c r="AI2005" s="4">
        <v>12</v>
      </c>
      <c r="AJ2005" s="4">
        <v>3</v>
      </c>
      <c r="AK2005" s="4">
        <v>4</v>
      </c>
      <c r="AL2005" s="4">
        <v>10</v>
      </c>
      <c r="AM2005" s="4">
        <v>10</v>
      </c>
      <c r="AN2005" s="4">
        <v>0</v>
      </c>
      <c r="AO2005" s="4">
        <v>0</v>
      </c>
      <c r="AP2005" s="4">
        <v>4</v>
      </c>
      <c r="AQ2005" s="4">
        <v>5</v>
      </c>
      <c r="AR2005" s="3" t="s">
        <v>62</v>
      </c>
      <c r="AS2005" s="3" t="s">
        <v>62</v>
      </c>
      <c r="AT2005" s="3" t="s">
        <v>62</v>
      </c>
      <c r="AV2005" s="6" t="str">
        <f>HYPERLINK("http://mcgill.on.worldcat.org/oclc/263147007","Catalog Record")</f>
        <v>Catalog Record</v>
      </c>
      <c r="AW2005" s="6" t="str">
        <f>HYPERLINK("http://www.worldcat.org/oclc/263147007","WorldCat Record")</f>
        <v>WorldCat Record</v>
      </c>
      <c r="AX2005" s="3" t="s">
        <v>19910</v>
      </c>
      <c r="AY2005" s="3" t="s">
        <v>19911</v>
      </c>
      <c r="AZ2005" s="3" t="s">
        <v>19912</v>
      </c>
      <c r="BA2005" s="3" t="s">
        <v>19912</v>
      </c>
      <c r="BB2005" s="3" t="s">
        <v>19913</v>
      </c>
      <c r="BC2005" s="3" t="s">
        <v>102</v>
      </c>
      <c r="BD2005" s="3" t="s">
        <v>68</v>
      </c>
      <c r="BE2005" s="3" t="s">
        <v>19914</v>
      </c>
      <c r="BF2005" s="3" t="s">
        <v>19913</v>
      </c>
      <c r="BG2005" s="3" t="s">
        <v>19915</v>
      </c>
    </row>
    <row r="2006" spans="1:59" ht="58" x14ac:dyDescent="0.35">
      <c r="A2006" s="2" t="s">
        <v>89</v>
      </c>
      <c r="B2006" s="2" t="s">
        <v>90</v>
      </c>
      <c r="C2006" s="2" t="s">
        <v>19916</v>
      </c>
      <c r="D2006" s="2" t="s">
        <v>19917</v>
      </c>
      <c r="E2006" s="2" t="s">
        <v>19918</v>
      </c>
      <c r="G2006" s="3" t="s">
        <v>62</v>
      </c>
      <c r="I2006" s="3" t="s">
        <v>62</v>
      </c>
      <c r="J2006" s="3" t="s">
        <v>61</v>
      </c>
      <c r="K2006" s="3" t="s">
        <v>63</v>
      </c>
      <c r="L2006" s="2" t="s">
        <v>19919</v>
      </c>
      <c r="M2006" s="2" t="s">
        <v>19920</v>
      </c>
      <c r="N2006" s="3" t="s">
        <v>438</v>
      </c>
      <c r="O2006" s="2" t="s">
        <v>10722</v>
      </c>
      <c r="P2006" s="3" t="s">
        <v>64</v>
      </c>
      <c r="R2006" s="3" t="s">
        <v>13065</v>
      </c>
      <c r="S2006" s="4">
        <v>3</v>
      </c>
      <c r="T2006" s="4">
        <v>3</v>
      </c>
      <c r="U2006" s="5" t="s">
        <v>18301</v>
      </c>
      <c r="V2006" s="5" t="s">
        <v>18301</v>
      </c>
      <c r="W2006" s="5" t="s">
        <v>67</v>
      </c>
      <c r="X2006" s="5" t="s">
        <v>67</v>
      </c>
      <c r="Y2006" s="4">
        <v>185</v>
      </c>
      <c r="Z2006" s="4">
        <v>11</v>
      </c>
      <c r="AA2006" s="4">
        <v>51</v>
      </c>
      <c r="AB2006" s="4">
        <v>1</v>
      </c>
      <c r="AC2006" s="4">
        <v>8</v>
      </c>
      <c r="AD2006" s="4">
        <v>40</v>
      </c>
      <c r="AE2006" s="4">
        <v>115</v>
      </c>
      <c r="AF2006" s="4">
        <v>0</v>
      </c>
      <c r="AG2006" s="4">
        <v>4</v>
      </c>
      <c r="AH2006" s="4">
        <v>34</v>
      </c>
      <c r="AI2006" s="4">
        <v>89</v>
      </c>
      <c r="AJ2006" s="4">
        <v>5</v>
      </c>
      <c r="AK2006" s="4">
        <v>19</v>
      </c>
      <c r="AL2006" s="4">
        <v>13</v>
      </c>
      <c r="AM2006" s="4">
        <v>43</v>
      </c>
      <c r="AN2006" s="4">
        <v>0</v>
      </c>
      <c r="AO2006" s="4">
        <v>9</v>
      </c>
      <c r="AP2006" s="4">
        <v>9</v>
      </c>
      <c r="AQ2006" s="4">
        <v>36</v>
      </c>
      <c r="AR2006" s="3" t="s">
        <v>62</v>
      </c>
      <c r="AS2006" s="3" t="s">
        <v>62</v>
      </c>
      <c r="AT2006" s="3" t="s">
        <v>62</v>
      </c>
      <c r="AV2006" s="6" t="str">
        <f>HYPERLINK("http://mcgill.on.worldcat.org/oclc/20453111","Catalog Record")</f>
        <v>Catalog Record</v>
      </c>
      <c r="AW2006" s="6" t="str">
        <f>HYPERLINK("http://www.worldcat.org/oclc/20453111","WorldCat Record")</f>
        <v>WorldCat Record</v>
      </c>
      <c r="AX2006" s="3" t="s">
        <v>19921</v>
      </c>
      <c r="AY2006" s="3" t="s">
        <v>19922</v>
      </c>
      <c r="AZ2006" s="3" t="s">
        <v>19923</v>
      </c>
      <c r="BA2006" s="3" t="s">
        <v>19923</v>
      </c>
      <c r="BB2006" s="3" t="s">
        <v>19924</v>
      </c>
      <c r="BC2006" s="3" t="s">
        <v>102</v>
      </c>
      <c r="BD2006" s="3" t="s">
        <v>68</v>
      </c>
      <c r="BE2006" s="3" t="s">
        <v>19925</v>
      </c>
      <c r="BF2006" s="3" t="s">
        <v>19924</v>
      </c>
      <c r="BG2006" s="3" t="s">
        <v>19926</v>
      </c>
    </row>
    <row r="2007" spans="1:59" ht="58" x14ac:dyDescent="0.35">
      <c r="A2007" s="2" t="s">
        <v>89</v>
      </c>
      <c r="B2007" s="2" t="s">
        <v>90</v>
      </c>
      <c r="C2007" s="2" t="s">
        <v>19927</v>
      </c>
      <c r="D2007" s="2" t="s">
        <v>19928</v>
      </c>
      <c r="E2007" s="2" t="s">
        <v>19929</v>
      </c>
      <c r="G2007" s="3" t="s">
        <v>62</v>
      </c>
      <c r="I2007" s="3" t="s">
        <v>62</v>
      </c>
      <c r="J2007" s="3" t="s">
        <v>62</v>
      </c>
      <c r="K2007" s="3" t="s">
        <v>63</v>
      </c>
      <c r="L2007" s="2" t="s">
        <v>19930</v>
      </c>
      <c r="M2007" s="2" t="s">
        <v>19931</v>
      </c>
      <c r="N2007" s="3" t="s">
        <v>1482</v>
      </c>
      <c r="P2007" s="3" t="s">
        <v>64</v>
      </c>
      <c r="Q2007" s="2" t="s">
        <v>8072</v>
      </c>
      <c r="R2007" s="3" t="s">
        <v>13065</v>
      </c>
      <c r="S2007" s="4">
        <v>5</v>
      </c>
      <c r="T2007" s="4">
        <v>5</v>
      </c>
      <c r="U2007" s="5" t="s">
        <v>19932</v>
      </c>
      <c r="V2007" s="5" t="s">
        <v>19932</v>
      </c>
      <c r="W2007" s="5" t="s">
        <v>67</v>
      </c>
      <c r="X2007" s="5" t="s">
        <v>67</v>
      </c>
      <c r="Y2007" s="4">
        <v>303</v>
      </c>
      <c r="Z2007" s="4">
        <v>25</v>
      </c>
      <c r="AA2007" s="4">
        <v>27</v>
      </c>
      <c r="AB2007" s="4">
        <v>2</v>
      </c>
      <c r="AC2007" s="4">
        <v>4</v>
      </c>
      <c r="AD2007" s="4">
        <v>104</v>
      </c>
      <c r="AE2007" s="4">
        <v>106</v>
      </c>
      <c r="AF2007" s="4">
        <v>1</v>
      </c>
      <c r="AG2007" s="4">
        <v>3</v>
      </c>
      <c r="AH2007" s="4">
        <v>90</v>
      </c>
      <c r="AI2007" s="4">
        <v>91</v>
      </c>
      <c r="AJ2007" s="4">
        <v>14</v>
      </c>
      <c r="AK2007" s="4">
        <v>16</v>
      </c>
      <c r="AL2007" s="4">
        <v>49</v>
      </c>
      <c r="AM2007" s="4">
        <v>49</v>
      </c>
      <c r="AN2007" s="4">
        <v>0</v>
      </c>
      <c r="AO2007" s="4">
        <v>0</v>
      </c>
      <c r="AP2007" s="4">
        <v>21</v>
      </c>
      <c r="AQ2007" s="4">
        <v>22</v>
      </c>
      <c r="AR2007" s="3" t="s">
        <v>62</v>
      </c>
      <c r="AS2007" s="3" t="s">
        <v>62</v>
      </c>
      <c r="AT2007" s="3" t="s">
        <v>61</v>
      </c>
      <c r="AU2007" s="6" t="str">
        <f>HYPERLINK("http://catalog.hathitrust.org/Record/000656950","HathiTrust Record")</f>
        <v>HathiTrust Record</v>
      </c>
      <c r="AV2007" s="6" t="str">
        <f>HYPERLINK("http://mcgill.on.worldcat.org/oclc/11113569","Catalog Record")</f>
        <v>Catalog Record</v>
      </c>
      <c r="AW2007" s="6" t="str">
        <f>HYPERLINK("http://www.worldcat.org/oclc/11113569","WorldCat Record")</f>
        <v>WorldCat Record</v>
      </c>
      <c r="AX2007" s="3" t="s">
        <v>19933</v>
      </c>
      <c r="AY2007" s="3" t="s">
        <v>19934</v>
      </c>
      <c r="AZ2007" s="3" t="s">
        <v>19935</v>
      </c>
      <c r="BA2007" s="3" t="s">
        <v>19935</v>
      </c>
      <c r="BB2007" s="3" t="s">
        <v>19936</v>
      </c>
      <c r="BC2007" s="3" t="s">
        <v>102</v>
      </c>
      <c r="BD2007" s="3" t="s">
        <v>68</v>
      </c>
      <c r="BE2007" s="3" t="s">
        <v>19937</v>
      </c>
      <c r="BF2007" s="3" t="s">
        <v>19936</v>
      </c>
      <c r="BG2007" s="3" t="s">
        <v>19938</v>
      </c>
    </row>
    <row r="2008" spans="1:59" ht="101.5" x14ac:dyDescent="0.35">
      <c r="A2008" s="2" t="s">
        <v>89</v>
      </c>
      <c r="B2008" s="2" t="s">
        <v>6791</v>
      </c>
      <c r="C2008" s="2" t="s">
        <v>19939</v>
      </c>
      <c r="D2008" s="2" t="s">
        <v>19940</v>
      </c>
      <c r="E2008" s="2" t="s">
        <v>19941</v>
      </c>
      <c r="G2008" s="3" t="s">
        <v>62</v>
      </c>
      <c r="I2008" s="3" t="s">
        <v>62</v>
      </c>
      <c r="J2008" s="3" t="s">
        <v>61</v>
      </c>
      <c r="K2008" s="3" t="s">
        <v>63</v>
      </c>
      <c r="L2008" s="2" t="s">
        <v>19942</v>
      </c>
      <c r="M2008" s="2" t="s">
        <v>14377</v>
      </c>
      <c r="N2008" s="3" t="s">
        <v>568</v>
      </c>
      <c r="O2008" s="2" t="s">
        <v>19943</v>
      </c>
      <c r="P2008" s="3" t="s">
        <v>64</v>
      </c>
      <c r="Q2008" s="2" t="s">
        <v>19944</v>
      </c>
      <c r="R2008" s="3" t="s">
        <v>13065</v>
      </c>
      <c r="S2008" s="4">
        <v>5</v>
      </c>
      <c r="T2008" s="4">
        <v>5</v>
      </c>
      <c r="U2008" s="5" t="s">
        <v>13117</v>
      </c>
      <c r="V2008" s="5" t="s">
        <v>13117</v>
      </c>
      <c r="W2008" s="5" t="s">
        <v>67</v>
      </c>
      <c r="X2008" s="5" t="s">
        <v>67</v>
      </c>
      <c r="Y2008" s="4">
        <v>375</v>
      </c>
      <c r="Z2008" s="4">
        <v>13</v>
      </c>
      <c r="AA2008" s="4">
        <v>55</v>
      </c>
      <c r="AB2008" s="4">
        <v>2</v>
      </c>
      <c r="AC2008" s="4">
        <v>9</v>
      </c>
      <c r="AD2008" s="4">
        <v>59</v>
      </c>
      <c r="AE2008" s="4">
        <v>131</v>
      </c>
      <c r="AF2008" s="4">
        <v>1</v>
      </c>
      <c r="AG2008" s="4">
        <v>5</v>
      </c>
      <c r="AH2008" s="4">
        <v>51</v>
      </c>
      <c r="AI2008" s="4">
        <v>107</v>
      </c>
      <c r="AJ2008" s="4">
        <v>6</v>
      </c>
      <c r="AK2008" s="4">
        <v>22</v>
      </c>
      <c r="AL2008" s="4">
        <v>28</v>
      </c>
      <c r="AM2008" s="4">
        <v>53</v>
      </c>
      <c r="AN2008" s="4">
        <v>0</v>
      </c>
      <c r="AO2008" s="4">
        <v>0</v>
      </c>
      <c r="AP2008" s="4">
        <v>9</v>
      </c>
      <c r="AQ2008" s="4">
        <v>34</v>
      </c>
      <c r="AR2008" s="3" t="s">
        <v>62</v>
      </c>
      <c r="AS2008" s="3" t="s">
        <v>62</v>
      </c>
      <c r="AT2008" s="3" t="s">
        <v>62</v>
      </c>
      <c r="AV2008" s="6" t="str">
        <f>HYPERLINK("http://mcgill.on.worldcat.org/oclc/41951300","Catalog Record")</f>
        <v>Catalog Record</v>
      </c>
      <c r="AW2008" s="6" t="str">
        <f>HYPERLINK("http://www.worldcat.org/oclc/41951300","WorldCat Record")</f>
        <v>WorldCat Record</v>
      </c>
      <c r="AX2008" s="3" t="s">
        <v>19945</v>
      </c>
      <c r="AY2008" s="3" t="s">
        <v>19946</v>
      </c>
      <c r="AZ2008" s="3" t="s">
        <v>19947</v>
      </c>
      <c r="BA2008" s="3" t="s">
        <v>19947</v>
      </c>
      <c r="BB2008" s="3" t="s">
        <v>19948</v>
      </c>
      <c r="BC2008" s="3" t="s">
        <v>102</v>
      </c>
      <c r="BD2008" s="3" t="s">
        <v>231</v>
      </c>
      <c r="BE2008" s="3" t="s">
        <v>19949</v>
      </c>
      <c r="BF2008" s="3" t="s">
        <v>19948</v>
      </c>
      <c r="BG2008" s="3" t="s">
        <v>19950</v>
      </c>
    </row>
    <row r="2009" spans="1:59" ht="58" x14ac:dyDescent="0.35">
      <c r="A2009" s="2" t="s">
        <v>89</v>
      </c>
      <c r="B2009" s="2" t="s">
        <v>6791</v>
      </c>
      <c r="C2009" s="2" t="s">
        <v>19951</v>
      </c>
      <c r="D2009" s="2" t="s">
        <v>19952</v>
      </c>
      <c r="E2009" s="2" t="s">
        <v>19953</v>
      </c>
      <c r="G2009" s="3" t="s">
        <v>62</v>
      </c>
      <c r="I2009" s="3" t="s">
        <v>62</v>
      </c>
      <c r="J2009" s="3" t="s">
        <v>62</v>
      </c>
      <c r="K2009" s="3" t="s">
        <v>63</v>
      </c>
      <c r="L2009" s="2" t="s">
        <v>19954</v>
      </c>
      <c r="M2009" s="2" t="s">
        <v>19955</v>
      </c>
      <c r="N2009" s="3" t="s">
        <v>726</v>
      </c>
      <c r="P2009" s="3" t="s">
        <v>64</v>
      </c>
      <c r="R2009" s="3" t="s">
        <v>13065</v>
      </c>
      <c r="S2009" s="4">
        <v>3</v>
      </c>
      <c r="T2009" s="4">
        <v>3</v>
      </c>
      <c r="U2009" s="5" t="s">
        <v>19956</v>
      </c>
      <c r="V2009" s="5" t="s">
        <v>19956</v>
      </c>
      <c r="W2009" s="5" t="s">
        <v>67</v>
      </c>
      <c r="X2009" s="5" t="s">
        <v>67</v>
      </c>
      <c r="Y2009" s="4">
        <v>79</v>
      </c>
      <c r="Z2009" s="4">
        <v>10</v>
      </c>
      <c r="AA2009" s="4">
        <v>10</v>
      </c>
      <c r="AB2009" s="4">
        <v>2</v>
      </c>
      <c r="AC2009" s="4">
        <v>2</v>
      </c>
      <c r="AD2009" s="4">
        <v>13</v>
      </c>
      <c r="AE2009" s="4">
        <v>13</v>
      </c>
      <c r="AF2009" s="4">
        <v>1</v>
      </c>
      <c r="AG2009" s="4">
        <v>1</v>
      </c>
      <c r="AH2009" s="4">
        <v>9</v>
      </c>
      <c r="AI2009" s="4">
        <v>9</v>
      </c>
      <c r="AJ2009" s="4">
        <v>5</v>
      </c>
      <c r="AK2009" s="4">
        <v>5</v>
      </c>
      <c r="AL2009" s="4">
        <v>4</v>
      </c>
      <c r="AM2009" s="4">
        <v>4</v>
      </c>
      <c r="AN2009" s="4">
        <v>0</v>
      </c>
      <c r="AO2009" s="4">
        <v>0</v>
      </c>
      <c r="AP2009" s="4">
        <v>6</v>
      </c>
      <c r="AQ2009" s="4">
        <v>6</v>
      </c>
      <c r="AR2009" s="3" t="s">
        <v>62</v>
      </c>
      <c r="AS2009" s="3" t="s">
        <v>62</v>
      </c>
      <c r="AT2009" s="3" t="s">
        <v>62</v>
      </c>
      <c r="AV2009" s="6" t="str">
        <f>HYPERLINK("http://mcgill.on.worldcat.org/oclc/956959739","Catalog Record")</f>
        <v>Catalog Record</v>
      </c>
      <c r="AW2009" s="6" t="str">
        <f>HYPERLINK("http://www.worldcat.org/oclc/956959739","WorldCat Record")</f>
        <v>WorldCat Record</v>
      </c>
      <c r="AX2009" s="3" t="s">
        <v>19957</v>
      </c>
      <c r="AY2009" s="3" t="s">
        <v>19958</v>
      </c>
      <c r="AZ2009" s="3" t="s">
        <v>19959</v>
      </c>
      <c r="BA2009" s="3" t="s">
        <v>19959</v>
      </c>
      <c r="BB2009" s="3" t="s">
        <v>19960</v>
      </c>
      <c r="BC2009" s="3" t="s">
        <v>102</v>
      </c>
      <c r="BD2009" s="3" t="s">
        <v>68</v>
      </c>
      <c r="BE2009" s="3" t="s">
        <v>19961</v>
      </c>
      <c r="BF2009" s="3" t="s">
        <v>19960</v>
      </c>
      <c r="BG2009" s="3" t="s">
        <v>19962</v>
      </c>
    </row>
    <row r="2010" spans="1:59" ht="58" x14ac:dyDescent="0.35">
      <c r="A2010" s="2" t="s">
        <v>89</v>
      </c>
      <c r="B2010" s="2" t="s">
        <v>90</v>
      </c>
      <c r="C2010" s="2" t="s">
        <v>19963</v>
      </c>
      <c r="D2010" s="2" t="s">
        <v>19964</v>
      </c>
      <c r="E2010" s="2" t="s">
        <v>19965</v>
      </c>
      <c r="G2010" s="3" t="s">
        <v>62</v>
      </c>
      <c r="I2010" s="3" t="s">
        <v>62</v>
      </c>
      <c r="J2010" s="3" t="s">
        <v>61</v>
      </c>
      <c r="K2010" s="3" t="s">
        <v>63</v>
      </c>
      <c r="L2010" s="2" t="s">
        <v>19966</v>
      </c>
      <c r="M2010" s="2" t="s">
        <v>19967</v>
      </c>
      <c r="N2010" s="3" t="s">
        <v>539</v>
      </c>
      <c r="O2010" s="2" t="s">
        <v>2458</v>
      </c>
      <c r="P2010" s="3" t="s">
        <v>64</v>
      </c>
      <c r="R2010" s="3" t="s">
        <v>13065</v>
      </c>
      <c r="S2010" s="4">
        <v>8</v>
      </c>
      <c r="T2010" s="4">
        <v>8</v>
      </c>
      <c r="U2010" s="5" t="s">
        <v>6663</v>
      </c>
      <c r="V2010" s="5" t="s">
        <v>6663</v>
      </c>
      <c r="W2010" s="5" t="s">
        <v>67</v>
      </c>
      <c r="X2010" s="5" t="s">
        <v>67</v>
      </c>
      <c r="Y2010" s="4">
        <v>203</v>
      </c>
      <c r="Z2010" s="4">
        <v>15</v>
      </c>
      <c r="AA2010" s="4">
        <v>78</v>
      </c>
      <c r="AB2010" s="4">
        <v>2</v>
      </c>
      <c r="AC2010" s="4">
        <v>14</v>
      </c>
      <c r="AD2010" s="4">
        <v>45</v>
      </c>
      <c r="AE2010" s="4">
        <v>120</v>
      </c>
      <c r="AF2010" s="4">
        <v>1</v>
      </c>
      <c r="AG2010" s="4">
        <v>6</v>
      </c>
      <c r="AH2010" s="4">
        <v>38</v>
      </c>
      <c r="AI2010" s="4">
        <v>80</v>
      </c>
      <c r="AJ2010" s="4">
        <v>7</v>
      </c>
      <c r="AK2010" s="4">
        <v>20</v>
      </c>
      <c r="AL2010" s="4">
        <v>19</v>
      </c>
      <c r="AM2010" s="4">
        <v>42</v>
      </c>
      <c r="AN2010" s="4">
        <v>0</v>
      </c>
      <c r="AO2010" s="4">
        <v>0</v>
      </c>
      <c r="AP2010" s="4">
        <v>11</v>
      </c>
      <c r="AQ2010" s="4">
        <v>45</v>
      </c>
      <c r="AR2010" s="3" t="s">
        <v>62</v>
      </c>
      <c r="AS2010" s="3" t="s">
        <v>62</v>
      </c>
      <c r="AT2010" s="3" t="s">
        <v>61</v>
      </c>
      <c r="AU2010" s="6" t="str">
        <f>HYPERLINK("http://catalog.hathitrust.org/Record/003965258","HathiTrust Record")</f>
        <v>HathiTrust Record</v>
      </c>
      <c r="AV2010" s="6" t="str">
        <f>HYPERLINK("http://mcgill.on.worldcat.org/oclc/37001652","Catalog Record")</f>
        <v>Catalog Record</v>
      </c>
      <c r="AW2010" s="6" t="str">
        <f>HYPERLINK("http://www.worldcat.org/oclc/37001652","WorldCat Record")</f>
        <v>WorldCat Record</v>
      </c>
      <c r="AX2010" s="3" t="s">
        <v>19968</v>
      </c>
      <c r="AY2010" s="3" t="s">
        <v>19969</v>
      </c>
      <c r="AZ2010" s="3" t="s">
        <v>19970</v>
      </c>
      <c r="BA2010" s="3" t="s">
        <v>19970</v>
      </c>
      <c r="BB2010" s="3" t="s">
        <v>19971</v>
      </c>
      <c r="BC2010" s="3" t="s">
        <v>102</v>
      </c>
      <c r="BD2010" s="3" t="s">
        <v>68</v>
      </c>
      <c r="BE2010" s="3" t="s">
        <v>19972</v>
      </c>
      <c r="BF2010" s="3" t="s">
        <v>19971</v>
      </c>
      <c r="BG2010" s="3" t="s">
        <v>19973</v>
      </c>
    </row>
    <row r="2011" spans="1:59" ht="58" x14ac:dyDescent="0.35">
      <c r="A2011" s="2" t="s">
        <v>89</v>
      </c>
      <c r="B2011" s="2" t="s">
        <v>90</v>
      </c>
      <c r="C2011" s="2" t="s">
        <v>19974</v>
      </c>
      <c r="D2011" s="2" t="s">
        <v>19975</v>
      </c>
      <c r="E2011" s="2" t="s">
        <v>19976</v>
      </c>
      <c r="G2011" s="3" t="s">
        <v>62</v>
      </c>
      <c r="I2011" s="3" t="s">
        <v>62</v>
      </c>
      <c r="J2011" s="3" t="s">
        <v>62</v>
      </c>
      <c r="K2011" s="3" t="s">
        <v>63</v>
      </c>
      <c r="L2011" s="2" t="s">
        <v>19977</v>
      </c>
      <c r="M2011" s="2" t="s">
        <v>19978</v>
      </c>
      <c r="N2011" s="3" t="s">
        <v>424</v>
      </c>
      <c r="P2011" s="3" t="s">
        <v>64</v>
      </c>
      <c r="R2011" s="3" t="s">
        <v>13065</v>
      </c>
      <c r="S2011" s="4">
        <v>11</v>
      </c>
      <c r="T2011" s="4">
        <v>11</v>
      </c>
      <c r="U2011" s="5" t="s">
        <v>19979</v>
      </c>
      <c r="V2011" s="5" t="s">
        <v>19979</v>
      </c>
      <c r="W2011" s="5" t="s">
        <v>67</v>
      </c>
      <c r="X2011" s="5" t="s">
        <v>67</v>
      </c>
      <c r="Y2011" s="4">
        <v>419</v>
      </c>
      <c r="Z2011" s="4">
        <v>28</v>
      </c>
      <c r="AA2011" s="4">
        <v>37</v>
      </c>
      <c r="AB2011" s="4">
        <v>3</v>
      </c>
      <c r="AC2011" s="4">
        <v>8</v>
      </c>
      <c r="AD2011" s="4">
        <v>101</v>
      </c>
      <c r="AE2011" s="4">
        <v>111</v>
      </c>
      <c r="AF2011" s="4">
        <v>1</v>
      </c>
      <c r="AG2011" s="4">
        <v>5</v>
      </c>
      <c r="AH2011" s="4">
        <v>88</v>
      </c>
      <c r="AI2011" s="4">
        <v>94</v>
      </c>
      <c r="AJ2011" s="4">
        <v>16</v>
      </c>
      <c r="AK2011" s="4">
        <v>23</v>
      </c>
      <c r="AL2011" s="4">
        <v>49</v>
      </c>
      <c r="AM2011" s="4">
        <v>51</v>
      </c>
      <c r="AN2011" s="4">
        <v>0</v>
      </c>
      <c r="AO2011" s="4">
        <v>0</v>
      </c>
      <c r="AP2011" s="4">
        <v>22</v>
      </c>
      <c r="AQ2011" s="4">
        <v>28</v>
      </c>
      <c r="AR2011" s="3" t="s">
        <v>62</v>
      </c>
      <c r="AS2011" s="3" t="s">
        <v>62</v>
      </c>
      <c r="AT2011" s="3" t="s">
        <v>62</v>
      </c>
      <c r="AV2011" s="6" t="str">
        <f>HYPERLINK("http://mcgill.on.worldcat.org/oclc/17300907","Catalog Record")</f>
        <v>Catalog Record</v>
      </c>
      <c r="AW2011" s="6" t="str">
        <f>HYPERLINK("http://www.worldcat.org/oclc/17300907","WorldCat Record")</f>
        <v>WorldCat Record</v>
      </c>
      <c r="AX2011" s="3" t="s">
        <v>19980</v>
      </c>
      <c r="AY2011" s="3" t="s">
        <v>19981</v>
      </c>
      <c r="AZ2011" s="3" t="s">
        <v>19982</v>
      </c>
      <c r="BA2011" s="3" t="s">
        <v>19982</v>
      </c>
      <c r="BB2011" s="3" t="s">
        <v>19983</v>
      </c>
      <c r="BC2011" s="3" t="s">
        <v>102</v>
      </c>
      <c r="BD2011" s="3" t="s">
        <v>68</v>
      </c>
      <c r="BE2011" s="3" t="s">
        <v>19984</v>
      </c>
      <c r="BF2011" s="3" t="s">
        <v>19983</v>
      </c>
      <c r="BG2011" s="3" t="s">
        <v>19985</v>
      </c>
    </row>
    <row r="2012" spans="1:59" ht="58" x14ac:dyDescent="0.35">
      <c r="A2012" s="2" t="s">
        <v>89</v>
      </c>
      <c r="B2012" s="2" t="s">
        <v>6791</v>
      </c>
      <c r="C2012" s="2" t="s">
        <v>19986</v>
      </c>
      <c r="D2012" s="2" t="s">
        <v>19987</v>
      </c>
      <c r="E2012" s="2" t="s">
        <v>19988</v>
      </c>
      <c r="G2012" s="3" t="s">
        <v>62</v>
      </c>
      <c r="I2012" s="3" t="s">
        <v>62</v>
      </c>
      <c r="J2012" s="3" t="s">
        <v>62</v>
      </c>
      <c r="K2012" s="3" t="s">
        <v>63</v>
      </c>
      <c r="L2012" s="2" t="s">
        <v>19989</v>
      </c>
      <c r="M2012" s="2" t="s">
        <v>19990</v>
      </c>
      <c r="N2012" s="3" t="s">
        <v>596</v>
      </c>
      <c r="P2012" s="3" t="s">
        <v>64</v>
      </c>
      <c r="R2012" s="3" t="s">
        <v>13065</v>
      </c>
      <c r="S2012" s="4">
        <v>19</v>
      </c>
      <c r="T2012" s="4">
        <v>19</v>
      </c>
      <c r="U2012" s="5" t="s">
        <v>14331</v>
      </c>
      <c r="V2012" s="5" t="s">
        <v>14331</v>
      </c>
      <c r="W2012" s="5" t="s">
        <v>67</v>
      </c>
      <c r="X2012" s="5" t="s">
        <v>67</v>
      </c>
      <c r="Y2012" s="4">
        <v>266</v>
      </c>
      <c r="Z2012" s="4">
        <v>16</v>
      </c>
      <c r="AA2012" s="4">
        <v>17</v>
      </c>
      <c r="AB2012" s="4">
        <v>1</v>
      </c>
      <c r="AC2012" s="4">
        <v>2</v>
      </c>
      <c r="AD2012" s="4">
        <v>49</v>
      </c>
      <c r="AE2012" s="4">
        <v>51</v>
      </c>
      <c r="AF2012" s="4">
        <v>0</v>
      </c>
      <c r="AG2012" s="4">
        <v>1</v>
      </c>
      <c r="AH2012" s="4">
        <v>41</v>
      </c>
      <c r="AI2012" s="4">
        <v>42</v>
      </c>
      <c r="AJ2012" s="4">
        <v>7</v>
      </c>
      <c r="AK2012" s="4">
        <v>8</v>
      </c>
      <c r="AL2012" s="4">
        <v>20</v>
      </c>
      <c r="AM2012" s="4">
        <v>20</v>
      </c>
      <c r="AN2012" s="4">
        <v>0</v>
      </c>
      <c r="AO2012" s="4">
        <v>0</v>
      </c>
      <c r="AP2012" s="4">
        <v>10</v>
      </c>
      <c r="AQ2012" s="4">
        <v>11</v>
      </c>
      <c r="AR2012" s="3" t="s">
        <v>62</v>
      </c>
      <c r="AS2012" s="3" t="s">
        <v>62</v>
      </c>
      <c r="AT2012" s="3" t="s">
        <v>61</v>
      </c>
      <c r="AU2012" s="6" t="str">
        <f>HYPERLINK("http://catalog.hathitrust.org/Record/004302645","HathiTrust Record")</f>
        <v>HathiTrust Record</v>
      </c>
      <c r="AV2012" s="6" t="str">
        <f>HYPERLINK("http://mcgill.on.worldcat.org/oclc/48003191","Catalog Record")</f>
        <v>Catalog Record</v>
      </c>
      <c r="AW2012" s="6" t="str">
        <f>HYPERLINK("http://www.worldcat.org/oclc/48003191","WorldCat Record")</f>
        <v>WorldCat Record</v>
      </c>
      <c r="AX2012" s="3" t="s">
        <v>19991</v>
      </c>
      <c r="AY2012" s="3" t="s">
        <v>19992</v>
      </c>
      <c r="AZ2012" s="3" t="s">
        <v>19993</v>
      </c>
      <c r="BA2012" s="3" t="s">
        <v>19993</v>
      </c>
      <c r="BB2012" s="3" t="s">
        <v>19994</v>
      </c>
      <c r="BC2012" s="3" t="s">
        <v>102</v>
      </c>
      <c r="BD2012" s="3" t="s">
        <v>231</v>
      </c>
      <c r="BE2012" s="3" t="s">
        <v>19995</v>
      </c>
      <c r="BF2012" s="3" t="s">
        <v>19994</v>
      </c>
      <c r="BG2012" s="3" t="s">
        <v>19996</v>
      </c>
    </row>
    <row r="2013" spans="1:59" ht="58" x14ac:dyDescent="0.35">
      <c r="A2013" s="2" t="s">
        <v>89</v>
      </c>
      <c r="B2013" s="2" t="s">
        <v>90</v>
      </c>
      <c r="C2013" s="2" t="s">
        <v>19997</v>
      </c>
      <c r="D2013" s="2" t="s">
        <v>19998</v>
      </c>
      <c r="E2013" s="2" t="s">
        <v>19999</v>
      </c>
      <c r="G2013" s="3" t="s">
        <v>62</v>
      </c>
      <c r="I2013" s="3" t="s">
        <v>62</v>
      </c>
      <c r="J2013" s="3" t="s">
        <v>62</v>
      </c>
      <c r="K2013" s="3" t="s">
        <v>63</v>
      </c>
      <c r="M2013" s="2" t="s">
        <v>20000</v>
      </c>
      <c r="N2013" s="3" t="s">
        <v>2975</v>
      </c>
      <c r="P2013" s="3" t="s">
        <v>64</v>
      </c>
      <c r="Q2013" s="2" t="s">
        <v>20001</v>
      </c>
      <c r="R2013" s="3" t="s">
        <v>13065</v>
      </c>
      <c r="S2013" s="4">
        <v>8</v>
      </c>
      <c r="T2013" s="4">
        <v>8</v>
      </c>
      <c r="U2013" s="5" t="s">
        <v>9474</v>
      </c>
      <c r="V2013" s="5" t="s">
        <v>9474</v>
      </c>
      <c r="W2013" s="5" t="s">
        <v>67</v>
      </c>
      <c r="X2013" s="5" t="s">
        <v>67</v>
      </c>
      <c r="Y2013" s="4">
        <v>459</v>
      </c>
      <c r="Z2013" s="4">
        <v>20</v>
      </c>
      <c r="AA2013" s="4">
        <v>25</v>
      </c>
      <c r="AB2013" s="4">
        <v>2</v>
      </c>
      <c r="AC2013" s="4">
        <v>6</v>
      </c>
      <c r="AD2013" s="4">
        <v>80</v>
      </c>
      <c r="AE2013" s="4">
        <v>87</v>
      </c>
      <c r="AF2013" s="4">
        <v>1</v>
      </c>
      <c r="AG2013" s="4">
        <v>2</v>
      </c>
      <c r="AH2013" s="4">
        <v>69</v>
      </c>
      <c r="AI2013" s="4">
        <v>74</v>
      </c>
      <c r="AJ2013" s="4">
        <v>11</v>
      </c>
      <c r="AK2013" s="4">
        <v>12</v>
      </c>
      <c r="AL2013" s="4">
        <v>37</v>
      </c>
      <c r="AM2013" s="4">
        <v>40</v>
      </c>
      <c r="AN2013" s="4">
        <v>0</v>
      </c>
      <c r="AO2013" s="4">
        <v>0</v>
      </c>
      <c r="AP2013" s="4">
        <v>17</v>
      </c>
      <c r="AQ2013" s="4">
        <v>18</v>
      </c>
      <c r="AR2013" s="3" t="s">
        <v>62</v>
      </c>
      <c r="AS2013" s="3" t="s">
        <v>62</v>
      </c>
      <c r="AT2013" s="3" t="s">
        <v>62</v>
      </c>
      <c r="AV2013" s="6" t="str">
        <f>HYPERLINK("http://mcgill.on.worldcat.org/oclc/45861743","Catalog Record")</f>
        <v>Catalog Record</v>
      </c>
      <c r="AW2013" s="6" t="str">
        <f>HYPERLINK("http://www.worldcat.org/oclc/45861743","WorldCat Record")</f>
        <v>WorldCat Record</v>
      </c>
      <c r="AX2013" s="3" t="s">
        <v>20002</v>
      </c>
      <c r="AY2013" s="3" t="s">
        <v>20003</v>
      </c>
      <c r="AZ2013" s="3" t="s">
        <v>20004</v>
      </c>
      <c r="BA2013" s="3" t="s">
        <v>20004</v>
      </c>
      <c r="BB2013" s="3" t="s">
        <v>20005</v>
      </c>
      <c r="BC2013" s="3" t="s">
        <v>102</v>
      </c>
      <c r="BD2013" s="3" t="s">
        <v>68</v>
      </c>
      <c r="BE2013" s="3" t="s">
        <v>20006</v>
      </c>
      <c r="BF2013" s="3" t="s">
        <v>20005</v>
      </c>
      <c r="BG2013" s="3" t="s">
        <v>20007</v>
      </c>
    </row>
    <row r="2014" spans="1:59" ht="58" x14ac:dyDescent="0.35">
      <c r="A2014" s="2" t="s">
        <v>89</v>
      </c>
      <c r="B2014" s="2" t="s">
        <v>90</v>
      </c>
      <c r="C2014" s="2" t="s">
        <v>20008</v>
      </c>
      <c r="D2014" s="2" t="s">
        <v>20009</v>
      </c>
      <c r="E2014" s="2" t="s">
        <v>19918</v>
      </c>
      <c r="G2014" s="3" t="s">
        <v>62</v>
      </c>
      <c r="I2014" s="3" t="s">
        <v>62</v>
      </c>
      <c r="J2014" s="3" t="s">
        <v>61</v>
      </c>
      <c r="K2014" s="3" t="s">
        <v>63</v>
      </c>
      <c r="L2014" s="2" t="s">
        <v>19919</v>
      </c>
      <c r="M2014" s="2" t="s">
        <v>20010</v>
      </c>
      <c r="N2014" s="3" t="s">
        <v>655</v>
      </c>
      <c r="O2014" s="2" t="s">
        <v>17030</v>
      </c>
      <c r="P2014" s="3" t="s">
        <v>64</v>
      </c>
      <c r="R2014" s="3" t="s">
        <v>13065</v>
      </c>
      <c r="S2014" s="4">
        <v>60</v>
      </c>
      <c r="T2014" s="4">
        <v>60</v>
      </c>
      <c r="U2014" s="5" t="s">
        <v>5459</v>
      </c>
      <c r="V2014" s="5" t="s">
        <v>5459</v>
      </c>
      <c r="W2014" s="5" t="s">
        <v>67</v>
      </c>
      <c r="X2014" s="5" t="s">
        <v>67</v>
      </c>
      <c r="Y2014" s="4">
        <v>130</v>
      </c>
      <c r="Z2014" s="4">
        <v>10</v>
      </c>
      <c r="AA2014" s="4">
        <v>51</v>
      </c>
      <c r="AB2014" s="4">
        <v>2</v>
      </c>
      <c r="AC2014" s="4">
        <v>8</v>
      </c>
      <c r="AD2014" s="4">
        <v>21</v>
      </c>
      <c r="AE2014" s="4">
        <v>115</v>
      </c>
      <c r="AF2014" s="4">
        <v>1</v>
      </c>
      <c r="AG2014" s="4">
        <v>4</v>
      </c>
      <c r="AH2014" s="4">
        <v>17</v>
      </c>
      <c r="AI2014" s="4">
        <v>89</v>
      </c>
      <c r="AJ2014" s="4">
        <v>4</v>
      </c>
      <c r="AK2014" s="4">
        <v>19</v>
      </c>
      <c r="AL2014" s="4">
        <v>9</v>
      </c>
      <c r="AM2014" s="4">
        <v>43</v>
      </c>
      <c r="AN2014" s="4">
        <v>0</v>
      </c>
      <c r="AO2014" s="4">
        <v>9</v>
      </c>
      <c r="AP2014" s="4">
        <v>6</v>
      </c>
      <c r="AQ2014" s="4">
        <v>36</v>
      </c>
      <c r="AR2014" s="3" t="s">
        <v>62</v>
      </c>
      <c r="AS2014" s="3" t="s">
        <v>62</v>
      </c>
      <c r="AT2014" s="3" t="s">
        <v>62</v>
      </c>
      <c r="AV2014" s="6" t="str">
        <f>HYPERLINK("http://mcgill.on.worldcat.org/oclc/60590218","Catalog Record")</f>
        <v>Catalog Record</v>
      </c>
      <c r="AW2014" s="6" t="str">
        <f>HYPERLINK("http://www.worldcat.org/oclc/60590218","WorldCat Record")</f>
        <v>WorldCat Record</v>
      </c>
      <c r="AX2014" s="3" t="s">
        <v>19921</v>
      </c>
      <c r="AY2014" s="3" t="s">
        <v>20011</v>
      </c>
      <c r="AZ2014" s="3" t="s">
        <v>20012</v>
      </c>
      <c r="BA2014" s="3" t="s">
        <v>20012</v>
      </c>
      <c r="BB2014" s="3" t="s">
        <v>20013</v>
      </c>
      <c r="BC2014" s="3" t="s">
        <v>102</v>
      </c>
      <c r="BD2014" s="3" t="s">
        <v>68</v>
      </c>
      <c r="BE2014" s="3" t="s">
        <v>20014</v>
      </c>
      <c r="BF2014" s="3" t="s">
        <v>20013</v>
      </c>
      <c r="BG2014" s="3" t="s">
        <v>20015</v>
      </c>
    </row>
    <row r="2015" spans="1:59" ht="58" x14ac:dyDescent="0.35">
      <c r="A2015" s="2" t="s">
        <v>89</v>
      </c>
      <c r="B2015" s="2" t="s">
        <v>90</v>
      </c>
      <c r="C2015" s="2" t="s">
        <v>20016</v>
      </c>
      <c r="D2015" s="2" t="s">
        <v>20017</v>
      </c>
      <c r="E2015" s="2" t="s">
        <v>20018</v>
      </c>
      <c r="F2015" s="3" t="s">
        <v>20019</v>
      </c>
      <c r="G2015" s="3" t="s">
        <v>62</v>
      </c>
      <c r="I2015" s="3" t="s">
        <v>61</v>
      </c>
      <c r="J2015" s="3" t="s">
        <v>62</v>
      </c>
      <c r="K2015" s="3" t="s">
        <v>63</v>
      </c>
      <c r="L2015" s="2" t="s">
        <v>19919</v>
      </c>
      <c r="M2015" s="2" t="s">
        <v>17315</v>
      </c>
      <c r="N2015" s="3" t="s">
        <v>880</v>
      </c>
      <c r="O2015" s="2" t="s">
        <v>19908</v>
      </c>
      <c r="P2015" s="3" t="s">
        <v>64</v>
      </c>
      <c r="R2015" s="3" t="s">
        <v>13065</v>
      </c>
      <c r="S2015" s="4">
        <v>33</v>
      </c>
      <c r="T2015" s="4">
        <v>41</v>
      </c>
      <c r="U2015" s="5" t="s">
        <v>20020</v>
      </c>
      <c r="V2015" s="5" t="s">
        <v>20020</v>
      </c>
      <c r="W2015" s="5" t="s">
        <v>67</v>
      </c>
      <c r="X2015" s="5" t="s">
        <v>67</v>
      </c>
      <c r="Y2015" s="4">
        <v>17</v>
      </c>
      <c r="Z2015" s="4">
        <v>4</v>
      </c>
      <c r="AA2015" s="4">
        <v>9</v>
      </c>
      <c r="AB2015" s="4">
        <v>1</v>
      </c>
      <c r="AC2015" s="4">
        <v>3</v>
      </c>
      <c r="AD2015" s="4">
        <v>2</v>
      </c>
      <c r="AE2015" s="4">
        <v>20</v>
      </c>
      <c r="AF2015" s="4">
        <v>0</v>
      </c>
      <c r="AG2015" s="4">
        <v>2</v>
      </c>
      <c r="AH2015" s="4">
        <v>1</v>
      </c>
      <c r="AI2015" s="4">
        <v>17</v>
      </c>
      <c r="AJ2015" s="4">
        <v>0</v>
      </c>
      <c r="AK2015" s="4">
        <v>4</v>
      </c>
      <c r="AL2015" s="4">
        <v>0</v>
      </c>
      <c r="AM2015" s="4">
        <v>4</v>
      </c>
      <c r="AN2015" s="4">
        <v>0</v>
      </c>
      <c r="AO2015" s="4">
        <v>0</v>
      </c>
      <c r="AP2015" s="4">
        <v>1</v>
      </c>
      <c r="AQ2015" s="4">
        <v>4</v>
      </c>
      <c r="AR2015" s="3" t="s">
        <v>62</v>
      </c>
      <c r="AS2015" s="3" t="s">
        <v>62</v>
      </c>
      <c r="AT2015" s="3" t="s">
        <v>62</v>
      </c>
      <c r="AV2015" s="6" t="str">
        <f>HYPERLINK("http://mcgill.on.worldcat.org/oclc/252921413","Catalog Record")</f>
        <v>Catalog Record</v>
      </c>
      <c r="AW2015" s="6" t="str">
        <f>HYPERLINK("http://www.worldcat.org/oclc/252921413","WorldCat Record")</f>
        <v>WorldCat Record</v>
      </c>
      <c r="AX2015" s="3" t="s">
        <v>20021</v>
      </c>
      <c r="AY2015" s="3" t="s">
        <v>20022</v>
      </c>
      <c r="AZ2015" s="3" t="s">
        <v>20023</v>
      </c>
      <c r="BA2015" s="3" t="s">
        <v>20023</v>
      </c>
      <c r="BB2015" s="3" t="s">
        <v>20024</v>
      </c>
      <c r="BC2015" s="3" t="s">
        <v>102</v>
      </c>
      <c r="BD2015" s="3" t="s">
        <v>231</v>
      </c>
      <c r="BE2015" s="3" t="s">
        <v>20025</v>
      </c>
      <c r="BF2015" s="3" t="s">
        <v>20024</v>
      </c>
      <c r="BG2015" s="3" t="s">
        <v>20026</v>
      </c>
    </row>
    <row r="2016" spans="1:59" ht="58" x14ac:dyDescent="0.35">
      <c r="A2016" s="2" t="s">
        <v>89</v>
      </c>
      <c r="B2016" s="2" t="s">
        <v>90</v>
      </c>
      <c r="C2016" s="2" t="s">
        <v>20027</v>
      </c>
      <c r="D2016" s="2" t="s">
        <v>20028</v>
      </c>
      <c r="E2016" s="2" t="s">
        <v>20029</v>
      </c>
      <c r="G2016" s="3" t="s">
        <v>62</v>
      </c>
      <c r="H2016" s="3" t="s">
        <v>916</v>
      </c>
      <c r="I2016" s="3" t="s">
        <v>62</v>
      </c>
      <c r="J2016" s="3" t="s">
        <v>62</v>
      </c>
      <c r="K2016" s="3" t="s">
        <v>63</v>
      </c>
      <c r="L2016" s="2" t="s">
        <v>20030</v>
      </c>
      <c r="M2016" s="2" t="s">
        <v>20031</v>
      </c>
      <c r="N2016" s="3" t="s">
        <v>1038</v>
      </c>
      <c r="O2016" s="2" t="s">
        <v>1941</v>
      </c>
      <c r="P2016" s="3" t="s">
        <v>64</v>
      </c>
      <c r="R2016" s="3" t="s">
        <v>13065</v>
      </c>
      <c r="S2016" s="4">
        <v>0</v>
      </c>
      <c r="T2016" s="4">
        <v>0</v>
      </c>
      <c r="W2016" s="5" t="s">
        <v>20032</v>
      </c>
      <c r="X2016" s="5" t="s">
        <v>20032</v>
      </c>
      <c r="Y2016" s="4">
        <v>606</v>
      </c>
      <c r="Z2016" s="4">
        <v>30</v>
      </c>
      <c r="AA2016" s="4">
        <v>64</v>
      </c>
      <c r="AB2016" s="4">
        <v>2</v>
      </c>
      <c r="AC2016" s="4">
        <v>7</v>
      </c>
      <c r="AD2016" s="4">
        <v>39</v>
      </c>
      <c r="AE2016" s="4">
        <v>78</v>
      </c>
      <c r="AF2016" s="4">
        <v>1</v>
      </c>
      <c r="AG2016" s="4">
        <v>3</v>
      </c>
      <c r="AH2016" s="4">
        <v>32</v>
      </c>
      <c r="AI2016" s="4">
        <v>58</v>
      </c>
      <c r="AJ2016" s="4">
        <v>10</v>
      </c>
      <c r="AK2016" s="4">
        <v>16</v>
      </c>
      <c r="AL2016" s="4">
        <v>13</v>
      </c>
      <c r="AM2016" s="4">
        <v>27</v>
      </c>
      <c r="AN2016" s="4">
        <v>0</v>
      </c>
      <c r="AO2016" s="4">
        <v>0</v>
      </c>
      <c r="AP2016" s="4">
        <v>12</v>
      </c>
      <c r="AQ2016" s="4">
        <v>26</v>
      </c>
      <c r="AR2016" s="3" t="s">
        <v>62</v>
      </c>
      <c r="AS2016" s="3" t="s">
        <v>62</v>
      </c>
      <c r="AT2016" s="3" t="s">
        <v>62</v>
      </c>
      <c r="AV2016" s="6" t="str">
        <f>HYPERLINK("http://mcgill.on.worldcat.org/oclc/917888599","Catalog Record")</f>
        <v>Catalog Record</v>
      </c>
      <c r="AW2016" s="6" t="str">
        <f>HYPERLINK("http://www.worldcat.org/oclc/917888599","WorldCat Record")</f>
        <v>WorldCat Record</v>
      </c>
      <c r="AX2016" s="3" t="s">
        <v>20033</v>
      </c>
      <c r="AY2016" s="3" t="s">
        <v>20034</v>
      </c>
      <c r="AZ2016" s="3" t="s">
        <v>20035</v>
      </c>
      <c r="BA2016" s="3" t="s">
        <v>20035</v>
      </c>
      <c r="BB2016" s="3" t="s">
        <v>20036</v>
      </c>
      <c r="BC2016" s="3" t="s">
        <v>102</v>
      </c>
      <c r="BD2016" s="3" t="s">
        <v>68</v>
      </c>
      <c r="BE2016" s="3" t="s">
        <v>20037</v>
      </c>
      <c r="BF2016" s="3" t="s">
        <v>20036</v>
      </c>
      <c r="BG2016" s="3" t="s">
        <v>20038</v>
      </c>
    </row>
    <row r="2017" spans="1:59" ht="58" x14ac:dyDescent="0.35">
      <c r="A2017" s="2" t="s">
        <v>89</v>
      </c>
      <c r="B2017" s="2" t="s">
        <v>90</v>
      </c>
      <c r="C2017" s="2" t="s">
        <v>20039</v>
      </c>
      <c r="D2017" s="2" t="s">
        <v>20040</v>
      </c>
      <c r="E2017" s="2" t="s">
        <v>20041</v>
      </c>
      <c r="F2017" s="3" t="s">
        <v>17015</v>
      </c>
      <c r="G2017" s="3" t="s">
        <v>62</v>
      </c>
      <c r="I2017" s="3" t="s">
        <v>62</v>
      </c>
      <c r="J2017" s="3" t="s">
        <v>62</v>
      </c>
      <c r="K2017" s="3" t="s">
        <v>63</v>
      </c>
      <c r="L2017" s="2" t="s">
        <v>20042</v>
      </c>
      <c r="M2017" s="2" t="s">
        <v>20043</v>
      </c>
      <c r="N2017" s="3" t="s">
        <v>625</v>
      </c>
      <c r="P2017" s="3" t="s">
        <v>64</v>
      </c>
      <c r="R2017" s="3" t="s">
        <v>13065</v>
      </c>
      <c r="S2017" s="4">
        <v>10</v>
      </c>
      <c r="T2017" s="4">
        <v>10</v>
      </c>
      <c r="U2017" s="5" t="s">
        <v>20044</v>
      </c>
      <c r="V2017" s="5" t="s">
        <v>20044</v>
      </c>
      <c r="W2017" s="5" t="s">
        <v>67</v>
      </c>
      <c r="X2017" s="5" t="s">
        <v>67</v>
      </c>
      <c r="Y2017" s="4">
        <v>286</v>
      </c>
      <c r="Z2017" s="4">
        <v>14</v>
      </c>
      <c r="AA2017" s="4">
        <v>19</v>
      </c>
      <c r="AB2017" s="4">
        <v>1</v>
      </c>
      <c r="AC2017" s="4">
        <v>4</v>
      </c>
      <c r="AD2017" s="4">
        <v>52</v>
      </c>
      <c r="AE2017" s="4">
        <v>56</v>
      </c>
      <c r="AF2017" s="4">
        <v>0</v>
      </c>
      <c r="AG2017" s="4">
        <v>2</v>
      </c>
      <c r="AH2017" s="4">
        <v>43</v>
      </c>
      <c r="AI2017" s="4">
        <v>44</v>
      </c>
      <c r="AJ2017" s="4">
        <v>6</v>
      </c>
      <c r="AK2017" s="4">
        <v>8</v>
      </c>
      <c r="AL2017" s="4">
        <v>20</v>
      </c>
      <c r="AM2017" s="4">
        <v>20</v>
      </c>
      <c r="AN2017" s="4">
        <v>0</v>
      </c>
      <c r="AO2017" s="4">
        <v>0</v>
      </c>
      <c r="AP2017" s="4">
        <v>11</v>
      </c>
      <c r="AQ2017" s="4">
        <v>13</v>
      </c>
      <c r="AR2017" s="3" t="s">
        <v>62</v>
      </c>
      <c r="AS2017" s="3" t="s">
        <v>62</v>
      </c>
      <c r="AT2017" s="3" t="s">
        <v>62</v>
      </c>
      <c r="AV2017" s="6" t="str">
        <f>HYPERLINK("http://mcgill.on.worldcat.org/oclc/50604794","Catalog Record")</f>
        <v>Catalog Record</v>
      </c>
      <c r="AW2017" s="6" t="str">
        <f>HYPERLINK("http://www.worldcat.org/oclc/50604794","WorldCat Record")</f>
        <v>WorldCat Record</v>
      </c>
      <c r="AX2017" s="3" t="s">
        <v>20045</v>
      </c>
      <c r="AY2017" s="3" t="s">
        <v>20046</v>
      </c>
      <c r="AZ2017" s="3" t="s">
        <v>20047</v>
      </c>
      <c r="BA2017" s="3" t="s">
        <v>20047</v>
      </c>
      <c r="BB2017" s="3" t="s">
        <v>20048</v>
      </c>
      <c r="BC2017" s="3" t="s">
        <v>102</v>
      </c>
      <c r="BD2017" s="3" t="s">
        <v>231</v>
      </c>
      <c r="BE2017" s="3" t="s">
        <v>20049</v>
      </c>
      <c r="BF2017" s="3" t="s">
        <v>20048</v>
      </c>
      <c r="BG2017" s="3" t="s">
        <v>20050</v>
      </c>
    </row>
    <row r="2018" spans="1:59" ht="72.5" x14ac:dyDescent="0.35">
      <c r="A2018" s="2" t="s">
        <v>89</v>
      </c>
      <c r="B2018" s="2" t="s">
        <v>90</v>
      </c>
      <c r="C2018" s="2" t="s">
        <v>20051</v>
      </c>
      <c r="D2018" s="2" t="s">
        <v>20052</v>
      </c>
      <c r="E2018" s="2" t="s">
        <v>20053</v>
      </c>
      <c r="G2018" s="3" t="s">
        <v>62</v>
      </c>
      <c r="I2018" s="3" t="s">
        <v>62</v>
      </c>
      <c r="J2018" s="3" t="s">
        <v>62</v>
      </c>
      <c r="K2018" s="3" t="s">
        <v>63</v>
      </c>
      <c r="M2018" s="2" t="s">
        <v>19955</v>
      </c>
      <c r="N2018" s="3" t="s">
        <v>726</v>
      </c>
      <c r="P2018" s="3" t="s">
        <v>64</v>
      </c>
      <c r="R2018" s="3" t="s">
        <v>13065</v>
      </c>
      <c r="S2018" s="4">
        <v>0</v>
      </c>
      <c r="T2018" s="4">
        <v>0</v>
      </c>
      <c r="W2018" s="5" t="s">
        <v>67</v>
      </c>
      <c r="X2018" s="5" t="s">
        <v>67</v>
      </c>
      <c r="Y2018" s="4">
        <v>104</v>
      </c>
      <c r="Z2018" s="4">
        <v>13</v>
      </c>
      <c r="AA2018" s="4">
        <v>13</v>
      </c>
      <c r="AB2018" s="4">
        <v>2</v>
      </c>
      <c r="AC2018" s="4">
        <v>2</v>
      </c>
      <c r="AD2018" s="4">
        <v>24</v>
      </c>
      <c r="AE2018" s="4">
        <v>24</v>
      </c>
      <c r="AF2018" s="4">
        <v>1</v>
      </c>
      <c r="AG2018" s="4">
        <v>1</v>
      </c>
      <c r="AH2018" s="4">
        <v>17</v>
      </c>
      <c r="AI2018" s="4">
        <v>17</v>
      </c>
      <c r="AJ2018" s="4">
        <v>4</v>
      </c>
      <c r="AK2018" s="4">
        <v>4</v>
      </c>
      <c r="AL2018" s="4">
        <v>9</v>
      </c>
      <c r="AM2018" s="4">
        <v>9</v>
      </c>
      <c r="AN2018" s="4">
        <v>0</v>
      </c>
      <c r="AO2018" s="4">
        <v>0</v>
      </c>
      <c r="AP2018" s="4">
        <v>8</v>
      </c>
      <c r="AQ2018" s="4">
        <v>8</v>
      </c>
      <c r="AR2018" s="3" t="s">
        <v>62</v>
      </c>
      <c r="AS2018" s="3" t="s">
        <v>62</v>
      </c>
      <c r="AT2018" s="3" t="s">
        <v>62</v>
      </c>
      <c r="AV2018" s="6" t="str">
        <f>HYPERLINK("http://mcgill.on.worldcat.org/oclc/951955903","Catalog Record")</f>
        <v>Catalog Record</v>
      </c>
      <c r="AW2018" s="6" t="str">
        <f>HYPERLINK("http://www.worldcat.org/oclc/951955903","WorldCat Record")</f>
        <v>WorldCat Record</v>
      </c>
      <c r="AX2018" s="3" t="s">
        <v>20054</v>
      </c>
      <c r="AY2018" s="3" t="s">
        <v>20055</v>
      </c>
      <c r="AZ2018" s="3" t="s">
        <v>20056</v>
      </c>
      <c r="BA2018" s="3" t="s">
        <v>20056</v>
      </c>
      <c r="BB2018" s="3" t="s">
        <v>20057</v>
      </c>
      <c r="BC2018" s="3" t="s">
        <v>102</v>
      </c>
      <c r="BD2018" s="3" t="s">
        <v>68</v>
      </c>
      <c r="BE2018" s="3" t="s">
        <v>20058</v>
      </c>
      <c r="BF2018" s="3" t="s">
        <v>20057</v>
      </c>
      <c r="BG2018" s="3" t="s">
        <v>20059</v>
      </c>
    </row>
    <row r="2019" spans="1:59" ht="58" x14ac:dyDescent="0.35">
      <c r="A2019" s="2" t="s">
        <v>89</v>
      </c>
      <c r="B2019" s="2" t="s">
        <v>90</v>
      </c>
      <c r="C2019" s="2" t="s">
        <v>20060</v>
      </c>
      <c r="D2019" s="2" t="s">
        <v>20061</v>
      </c>
      <c r="E2019" s="2" t="s">
        <v>20062</v>
      </c>
      <c r="G2019" s="3" t="s">
        <v>62</v>
      </c>
      <c r="I2019" s="3" t="s">
        <v>61</v>
      </c>
      <c r="J2019" s="3" t="s">
        <v>62</v>
      </c>
      <c r="K2019" s="3" t="s">
        <v>63</v>
      </c>
      <c r="L2019" s="2" t="s">
        <v>20063</v>
      </c>
      <c r="M2019" s="2" t="s">
        <v>20064</v>
      </c>
      <c r="N2019" s="3" t="s">
        <v>1195</v>
      </c>
      <c r="O2019" s="2" t="s">
        <v>2986</v>
      </c>
      <c r="P2019" s="3" t="s">
        <v>64</v>
      </c>
      <c r="R2019" s="3" t="s">
        <v>13065</v>
      </c>
      <c r="S2019" s="4">
        <v>37</v>
      </c>
      <c r="T2019" s="4">
        <v>93</v>
      </c>
      <c r="U2019" s="5" t="s">
        <v>10665</v>
      </c>
      <c r="V2019" s="5" t="s">
        <v>19486</v>
      </c>
      <c r="W2019" s="5" t="s">
        <v>67</v>
      </c>
      <c r="X2019" s="5" t="s">
        <v>67</v>
      </c>
      <c r="Y2019" s="4">
        <v>177</v>
      </c>
      <c r="Z2019" s="4">
        <v>17</v>
      </c>
      <c r="AA2019" s="4">
        <v>24</v>
      </c>
      <c r="AB2019" s="4">
        <v>1</v>
      </c>
      <c r="AC2019" s="4">
        <v>2</v>
      </c>
      <c r="AD2019" s="4">
        <v>24</v>
      </c>
      <c r="AE2019" s="4">
        <v>28</v>
      </c>
      <c r="AF2019" s="4">
        <v>0</v>
      </c>
      <c r="AG2019" s="4">
        <v>0</v>
      </c>
      <c r="AH2019" s="4">
        <v>16</v>
      </c>
      <c r="AI2019" s="4">
        <v>19</v>
      </c>
      <c r="AJ2019" s="4">
        <v>7</v>
      </c>
      <c r="AK2019" s="4">
        <v>8</v>
      </c>
      <c r="AL2019" s="4">
        <v>8</v>
      </c>
      <c r="AM2019" s="4">
        <v>10</v>
      </c>
      <c r="AN2019" s="4">
        <v>0</v>
      </c>
      <c r="AO2019" s="4">
        <v>0</v>
      </c>
      <c r="AP2019" s="4">
        <v>12</v>
      </c>
      <c r="AQ2019" s="4">
        <v>13</v>
      </c>
      <c r="AR2019" s="3" t="s">
        <v>62</v>
      </c>
      <c r="AS2019" s="3" t="s">
        <v>62</v>
      </c>
      <c r="AT2019" s="3" t="s">
        <v>62</v>
      </c>
      <c r="AV2019" s="6" t="str">
        <f>HYPERLINK("http://mcgill.on.worldcat.org/oclc/63164894","Catalog Record")</f>
        <v>Catalog Record</v>
      </c>
      <c r="AW2019" s="6" t="str">
        <f>HYPERLINK("http://www.worldcat.org/oclc/63164894","WorldCat Record")</f>
        <v>WorldCat Record</v>
      </c>
      <c r="AX2019" s="3" t="s">
        <v>20065</v>
      </c>
      <c r="AY2019" s="3" t="s">
        <v>20066</v>
      </c>
      <c r="AZ2019" s="3" t="s">
        <v>20067</v>
      </c>
      <c r="BA2019" s="3" t="s">
        <v>20067</v>
      </c>
      <c r="BB2019" s="3" t="s">
        <v>20068</v>
      </c>
      <c r="BC2019" s="3" t="s">
        <v>102</v>
      </c>
      <c r="BD2019" s="3" t="s">
        <v>68</v>
      </c>
      <c r="BE2019" s="3" t="s">
        <v>20069</v>
      </c>
      <c r="BF2019" s="3" t="s">
        <v>20068</v>
      </c>
      <c r="BG2019" s="3" t="s">
        <v>20070</v>
      </c>
    </row>
    <row r="2020" spans="1:59" ht="58" x14ac:dyDescent="0.35">
      <c r="A2020" s="2" t="s">
        <v>89</v>
      </c>
      <c r="B2020" s="2" t="s">
        <v>90</v>
      </c>
      <c r="C2020" s="2" t="s">
        <v>20071</v>
      </c>
      <c r="D2020" s="2" t="s">
        <v>20072</v>
      </c>
      <c r="E2020" s="2" t="s">
        <v>20073</v>
      </c>
      <c r="G2020" s="3" t="s">
        <v>62</v>
      </c>
      <c r="I2020" s="3" t="s">
        <v>62</v>
      </c>
      <c r="J2020" s="3" t="s">
        <v>61</v>
      </c>
      <c r="K2020" s="3" t="s">
        <v>63</v>
      </c>
      <c r="L2020" s="2" t="s">
        <v>20074</v>
      </c>
      <c r="M2020" s="2" t="s">
        <v>20075</v>
      </c>
      <c r="N2020" s="3" t="s">
        <v>880</v>
      </c>
      <c r="O2020" s="2" t="s">
        <v>17427</v>
      </c>
      <c r="P2020" s="3" t="s">
        <v>64</v>
      </c>
      <c r="R2020" s="3" t="s">
        <v>13065</v>
      </c>
      <c r="S2020" s="4">
        <v>2</v>
      </c>
      <c r="T2020" s="4">
        <v>2</v>
      </c>
      <c r="U2020" s="5" t="s">
        <v>20076</v>
      </c>
      <c r="V2020" s="5" t="s">
        <v>20076</v>
      </c>
      <c r="W2020" s="5" t="s">
        <v>67</v>
      </c>
      <c r="X2020" s="5" t="s">
        <v>67</v>
      </c>
      <c r="Y2020" s="4">
        <v>124</v>
      </c>
      <c r="Z2020" s="4">
        <v>5</v>
      </c>
      <c r="AA2020" s="4">
        <v>42</v>
      </c>
      <c r="AB2020" s="4">
        <v>2</v>
      </c>
      <c r="AC2020" s="4">
        <v>7</v>
      </c>
      <c r="AD2020" s="4">
        <v>10</v>
      </c>
      <c r="AE2020" s="4">
        <v>81</v>
      </c>
      <c r="AF2020" s="4">
        <v>0</v>
      </c>
      <c r="AG2020" s="4">
        <v>3</v>
      </c>
      <c r="AH2020" s="4">
        <v>9</v>
      </c>
      <c r="AI2020" s="4">
        <v>64</v>
      </c>
      <c r="AJ2020" s="4">
        <v>1</v>
      </c>
      <c r="AK2020" s="4">
        <v>16</v>
      </c>
      <c r="AL2020" s="4">
        <v>3</v>
      </c>
      <c r="AM2020" s="4">
        <v>31</v>
      </c>
      <c r="AN2020" s="4">
        <v>0</v>
      </c>
      <c r="AO2020" s="4">
        <v>0</v>
      </c>
      <c r="AP2020" s="4">
        <v>2</v>
      </c>
      <c r="AQ2020" s="4">
        <v>25</v>
      </c>
      <c r="AR2020" s="3" t="s">
        <v>62</v>
      </c>
      <c r="AS2020" s="3" t="s">
        <v>62</v>
      </c>
      <c r="AT2020" s="3" t="s">
        <v>62</v>
      </c>
      <c r="AV2020" s="6" t="str">
        <f>HYPERLINK("http://mcgill.on.worldcat.org/oclc/244767075","Catalog Record")</f>
        <v>Catalog Record</v>
      </c>
      <c r="AW2020" s="6" t="str">
        <f>HYPERLINK("http://www.worldcat.org/oclc/244767075","WorldCat Record")</f>
        <v>WorldCat Record</v>
      </c>
      <c r="AX2020" s="3" t="s">
        <v>20077</v>
      </c>
      <c r="AY2020" s="3" t="s">
        <v>20078</v>
      </c>
      <c r="AZ2020" s="3" t="s">
        <v>20079</v>
      </c>
      <c r="BA2020" s="3" t="s">
        <v>20079</v>
      </c>
      <c r="BB2020" s="3" t="s">
        <v>20080</v>
      </c>
      <c r="BC2020" s="3" t="s">
        <v>102</v>
      </c>
      <c r="BD2020" s="3" t="s">
        <v>68</v>
      </c>
      <c r="BE2020" s="3" t="s">
        <v>20081</v>
      </c>
      <c r="BF2020" s="3" t="s">
        <v>20080</v>
      </c>
      <c r="BG2020" s="3" t="s">
        <v>20082</v>
      </c>
    </row>
    <row r="2021" spans="1:59" ht="58" x14ac:dyDescent="0.35">
      <c r="A2021" s="2" t="s">
        <v>89</v>
      </c>
      <c r="B2021" s="2" t="s">
        <v>6791</v>
      </c>
      <c r="C2021" s="2" t="s">
        <v>20083</v>
      </c>
      <c r="D2021" s="2" t="s">
        <v>20084</v>
      </c>
      <c r="E2021" s="2" t="s">
        <v>20085</v>
      </c>
      <c r="G2021" s="3" t="s">
        <v>62</v>
      </c>
      <c r="I2021" s="3" t="s">
        <v>62</v>
      </c>
      <c r="J2021" s="3" t="s">
        <v>61</v>
      </c>
      <c r="K2021" s="3" t="s">
        <v>63</v>
      </c>
      <c r="L2021" s="2" t="s">
        <v>20086</v>
      </c>
      <c r="M2021" s="2" t="s">
        <v>20087</v>
      </c>
      <c r="N2021" s="3" t="s">
        <v>712</v>
      </c>
      <c r="O2021" s="2" t="s">
        <v>8443</v>
      </c>
      <c r="P2021" s="3" t="s">
        <v>64</v>
      </c>
      <c r="Q2021" s="2" t="s">
        <v>20001</v>
      </c>
      <c r="R2021" s="3" t="s">
        <v>13065</v>
      </c>
      <c r="S2021" s="4">
        <v>3</v>
      </c>
      <c r="T2021" s="4">
        <v>3</v>
      </c>
      <c r="U2021" s="5" t="s">
        <v>13117</v>
      </c>
      <c r="V2021" s="5" t="s">
        <v>13117</v>
      </c>
      <c r="W2021" s="5" t="s">
        <v>67</v>
      </c>
      <c r="X2021" s="5" t="s">
        <v>67</v>
      </c>
      <c r="Y2021" s="4">
        <v>115</v>
      </c>
      <c r="Z2021" s="4">
        <v>7</v>
      </c>
      <c r="AA2021" s="4">
        <v>85</v>
      </c>
      <c r="AB2021" s="4">
        <v>1</v>
      </c>
      <c r="AC2021" s="4">
        <v>16</v>
      </c>
      <c r="AD2021" s="4">
        <v>27</v>
      </c>
      <c r="AE2021" s="4">
        <v>125</v>
      </c>
      <c r="AF2021" s="4">
        <v>0</v>
      </c>
      <c r="AG2021" s="4">
        <v>8</v>
      </c>
      <c r="AH2021" s="4">
        <v>23</v>
      </c>
      <c r="AI2021" s="4">
        <v>89</v>
      </c>
      <c r="AJ2021" s="4">
        <v>4</v>
      </c>
      <c r="AK2021" s="4">
        <v>24</v>
      </c>
      <c r="AL2021" s="4">
        <v>14</v>
      </c>
      <c r="AM2021" s="4">
        <v>45</v>
      </c>
      <c r="AN2021" s="4">
        <v>0</v>
      </c>
      <c r="AO2021" s="4">
        <v>0</v>
      </c>
      <c r="AP2021" s="4">
        <v>4</v>
      </c>
      <c r="AQ2021" s="4">
        <v>44</v>
      </c>
      <c r="AR2021" s="3" t="s">
        <v>62</v>
      </c>
      <c r="AS2021" s="3" t="s">
        <v>62</v>
      </c>
      <c r="AT2021" s="3" t="s">
        <v>62</v>
      </c>
      <c r="AV2021" s="6" t="str">
        <f>HYPERLINK("http://mcgill.on.worldcat.org/oclc/858778288","Catalog Record")</f>
        <v>Catalog Record</v>
      </c>
      <c r="AW2021" s="6" t="str">
        <f>HYPERLINK("http://www.worldcat.org/oclc/858778288","WorldCat Record")</f>
        <v>WorldCat Record</v>
      </c>
      <c r="AX2021" s="3" t="s">
        <v>20088</v>
      </c>
      <c r="AY2021" s="3" t="s">
        <v>20089</v>
      </c>
      <c r="AZ2021" s="3" t="s">
        <v>20090</v>
      </c>
      <c r="BA2021" s="3" t="s">
        <v>20090</v>
      </c>
      <c r="BB2021" s="3" t="s">
        <v>20091</v>
      </c>
      <c r="BC2021" s="3" t="s">
        <v>102</v>
      </c>
      <c r="BD2021" s="3" t="s">
        <v>231</v>
      </c>
      <c r="BE2021" s="3" t="s">
        <v>20092</v>
      </c>
      <c r="BF2021" s="3" t="s">
        <v>20091</v>
      </c>
      <c r="BG2021" s="3" t="s">
        <v>20093</v>
      </c>
    </row>
    <row r="2022" spans="1:59" ht="58" x14ac:dyDescent="0.35">
      <c r="A2022" s="2" t="s">
        <v>89</v>
      </c>
      <c r="B2022" s="2" t="s">
        <v>90</v>
      </c>
      <c r="C2022" s="2" t="s">
        <v>20094</v>
      </c>
      <c r="D2022" s="2" t="s">
        <v>20095</v>
      </c>
      <c r="E2022" s="2" t="s">
        <v>20096</v>
      </c>
      <c r="G2022" s="3" t="s">
        <v>62</v>
      </c>
      <c r="I2022" s="3" t="s">
        <v>62</v>
      </c>
      <c r="J2022" s="3" t="s">
        <v>62</v>
      </c>
      <c r="K2022" s="3" t="s">
        <v>63</v>
      </c>
      <c r="L2022" s="2" t="s">
        <v>20097</v>
      </c>
      <c r="M2022" s="2" t="s">
        <v>20098</v>
      </c>
      <c r="N2022" s="3" t="s">
        <v>1038</v>
      </c>
      <c r="P2022" s="3" t="s">
        <v>64</v>
      </c>
      <c r="R2022" s="3" t="s">
        <v>13065</v>
      </c>
      <c r="S2022" s="4">
        <v>0</v>
      </c>
      <c r="T2022" s="4">
        <v>0</v>
      </c>
      <c r="W2022" s="5" t="s">
        <v>67</v>
      </c>
      <c r="X2022" s="5" t="s">
        <v>67</v>
      </c>
      <c r="Y2022" s="4">
        <v>60</v>
      </c>
      <c r="Z2022" s="4">
        <v>5</v>
      </c>
      <c r="AA2022" s="4">
        <v>10</v>
      </c>
      <c r="AB2022" s="4">
        <v>2</v>
      </c>
      <c r="AC2022" s="4">
        <v>6</v>
      </c>
      <c r="AD2022" s="4">
        <v>17</v>
      </c>
      <c r="AE2022" s="4">
        <v>31</v>
      </c>
      <c r="AF2022" s="4">
        <v>1</v>
      </c>
      <c r="AG2022" s="4">
        <v>2</v>
      </c>
      <c r="AH2022" s="4">
        <v>13</v>
      </c>
      <c r="AI2022" s="4">
        <v>26</v>
      </c>
      <c r="AJ2022" s="4">
        <v>3</v>
      </c>
      <c r="AK2022" s="4">
        <v>5</v>
      </c>
      <c r="AL2022" s="4">
        <v>9</v>
      </c>
      <c r="AM2022" s="4">
        <v>17</v>
      </c>
      <c r="AN2022" s="4">
        <v>0</v>
      </c>
      <c r="AO2022" s="4">
        <v>0</v>
      </c>
      <c r="AP2022" s="4">
        <v>4</v>
      </c>
      <c r="AQ2022" s="4">
        <v>6</v>
      </c>
      <c r="AR2022" s="3" t="s">
        <v>62</v>
      </c>
      <c r="AS2022" s="3" t="s">
        <v>62</v>
      </c>
      <c r="AT2022" s="3" t="s">
        <v>62</v>
      </c>
      <c r="AV2022" s="6" t="str">
        <f>HYPERLINK("http://mcgill.on.worldcat.org/oclc/907188720","Catalog Record")</f>
        <v>Catalog Record</v>
      </c>
      <c r="AW2022" s="6" t="str">
        <f>HYPERLINK("http://www.worldcat.org/oclc/907188720","WorldCat Record")</f>
        <v>WorldCat Record</v>
      </c>
      <c r="AX2022" s="3" t="s">
        <v>20099</v>
      </c>
      <c r="AY2022" s="3" t="s">
        <v>20100</v>
      </c>
      <c r="AZ2022" s="3" t="s">
        <v>20101</v>
      </c>
      <c r="BA2022" s="3" t="s">
        <v>20101</v>
      </c>
      <c r="BB2022" s="3" t="s">
        <v>20102</v>
      </c>
      <c r="BC2022" s="3" t="s">
        <v>102</v>
      </c>
      <c r="BD2022" s="3" t="s">
        <v>68</v>
      </c>
      <c r="BE2022" s="3" t="s">
        <v>20103</v>
      </c>
      <c r="BF2022" s="3" t="s">
        <v>20102</v>
      </c>
      <c r="BG2022" s="3" t="s">
        <v>20104</v>
      </c>
    </row>
    <row r="2023" spans="1:59" ht="58" x14ac:dyDescent="0.35">
      <c r="A2023" s="2" t="s">
        <v>89</v>
      </c>
      <c r="B2023" s="2" t="s">
        <v>90</v>
      </c>
      <c r="C2023" s="2" t="s">
        <v>20105</v>
      </c>
      <c r="D2023" s="2" t="s">
        <v>20106</v>
      </c>
      <c r="E2023" s="2" t="s">
        <v>20107</v>
      </c>
      <c r="G2023" s="3" t="s">
        <v>62</v>
      </c>
      <c r="I2023" s="3" t="s">
        <v>62</v>
      </c>
      <c r="J2023" s="3" t="s">
        <v>62</v>
      </c>
      <c r="K2023" s="3" t="s">
        <v>63</v>
      </c>
      <c r="L2023" s="2" t="s">
        <v>20108</v>
      </c>
      <c r="M2023" s="2" t="s">
        <v>20109</v>
      </c>
      <c r="N2023" s="3" t="s">
        <v>684</v>
      </c>
      <c r="P2023" s="3" t="s">
        <v>64</v>
      </c>
      <c r="R2023" s="3" t="s">
        <v>13065</v>
      </c>
      <c r="S2023" s="4">
        <v>1</v>
      </c>
      <c r="T2023" s="4">
        <v>1</v>
      </c>
      <c r="U2023" s="5" t="s">
        <v>9622</v>
      </c>
      <c r="V2023" s="5" t="s">
        <v>9622</v>
      </c>
      <c r="W2023" s="5" t="s">
        <v>67</v>
      </c>
      <c r="X2023" s="5" t="s">
        <v>67</v>
      </c>
      <c r="Y2023" s="4">
        <v>611</v>
      </c>
      <c r="Z2023" s="4">
        <v>29</v>
      </c>
      <c r="AA2023" s="4">
        <v>40</v>
      </c>
      <c r="AB2023" s="4">
        <v>3</v>
      </c>
      <c r="AC2023" s="4">
        <v>11</v>
      </c>
      <c r="AD2023" s="4">
        <v>68</v>
      </c>
      <c r="AE2023" s="4">
        <v>77</v>
      </c>
      <c r="AF2023" s="4">
        <v>2</v>
      </c>
      <c r="AG2023" s="4">
        <v>6</v>
      </c>
      <c r="AH2023" s="4">
        <v>53</v>
      </c>
      <c r="AI2023" s="4">
        <v>59</v>
      </c>
      <c r="AJ2023" s="4">
        <v>12</v>
      </c>
      <c r="AK2023" s="4">
        <v>18</v>
      </c>
      <c r="AL2023" s="4">
        <v>33</v>
      </c>
      <c r="AM2023" s="4">
        <v>34</v>
      </c>
      <c r="AN2023" s="4">
        <v>0</v>
      </c>
      <c r="AO2023" s="4">
        <v>0</v>
      </c>
      <c r="AP2023" s="4">
        <v>17</v>
      </c>
      <c r="AQ2023" s="4">
        <v>23</v>
      </c>
      <c r="AR2023" s="3" t="s">
        <v>62</v>
      </c>
      <c r="AS2023" s="3" t="s">
        <v>62</v>
      </c>
      <c r="AT2023" s="3" t="s">
        <v>62</v>
      </c>
      <c r="AV2023" s="6" t="str">
        <f>HYPERLINK("http://mcgill.on.worldcat.org/oclc/690084566","Catalog Record")</f>
        <v>Catalog Record</v>
      </c>
      <c r="AW2023" s="6" t="str">
        <f>HYPERLINK("http://www.worldcat.org/oclc/690084566","WorldCat Record")</f>
        <v>WorldCat Record</v>
      </c>
      <c r="AX2023" s="3" t="s">
        <v>20110</v>
      </c>
      <c r="AY2023" s="3" t="s">
        <v>20111</v>
      </c>
      <c r="AZ2023" s="3" t="s">
        <v>20112</v>
      </c>
      <c r="BA2023" s="3" t="s">
        <v>20112</v>
      </c>
      <c r="BB2023" s="3" t="s">
        <v>20113</v>
      </c>
      <c r="BC2023" s="3" t="s">
        <v>102</v>
      </c>
      <c r="BD2023" s="3" t="s">
        <v>68</v>
      </c>
      <c r="BE2023" s="3" t="s">
        <v>20114</v>
      </c>
      <c r="BF2023" s="3" t="s">
        <v>20113</v>
      </c>
      <c r="BG2023" s="3" t="s">
        <v>20115</v>
      </c>
    </row>
    <row r="2024" spans="1:59" ht="58" x14ac:dyDescent="0.35">
      <c r="A2024" s="2" t="s">
        <v>89</v>
      </c>
      <c r="B2024" s="2" t="s">
        <v>90</v>
      </c>
      <c r="C2024" s="2" t="s">
        <v>20116</v>
      </c>
      <c r="D2024" s="2" t="s">
        <v>20117</v>
      </c>
      <c r="E2024" s="2" t="s">
        <v>20118</v>
      </c>
      <c r="G2024" s="3" t="s">
        <v>62</v>
      </c>
      <c r="I2024" s="3" t="s">
        <v>61</v>
      </c>
      <c r="J2024" s="3" t="s">
        <v>61</v>
      </c>
      <c r="K2024" s="3" t="s">
        <v>63</v>
      </c>
      <c r="M2024" s="2" t="s">
        <v>20119</v>
      </c>
      <c r="N2024" s="3" t="s">
        <v>684</v>
      </c>
      <c r="O2024" s="2" t="s">
        <v>20120</v>
      </c>
      <c r="P2024" s="3" t="s">
        <v>64</v>
      </c>
      <c r="R2024" s="3" t="s">
        <v>13065</v>
      </c>
      <c r="S2024" s="4">
        <v>98</v>
      </c>
      <c r="T2024" s="4">
        <v>280</v>
      </c>
      <c r="U2024" s="5" t="s">
        <v>20121</v>
      </c>
      <c r="V2024" s="5" t="s">
        <v>20121</v>
      </c>
      <c r="W2024" s="5" t="s">
        <v>67</v>
      </c>
      <c r="X2024" s="5" t="s">
        <v>67</v>
      </c>
      <c r="Y2024" s="4">
        <v>21</v>
      </c>
      <c r="Z2024" s="4">
        <v>19</v>
      </c>
      <c r="AA2024" s="4">
        <v>78</v>
      </c>
      <c r="AB2024" s="4">
        <v>1</v>
      </c>
      <c r="AC2024" s="4">
        <v>14</v>
      </c>
      <c r="AD2024" s="4">
        <v>13</v>
      </c>
      <c r="AE2024" s="4">
        <v>120</v>
      </c>
      <c r="AF2024" s="4">
        <v>0</v>
      </c>
      <c r="AG2024" s="4">
        <v>6</v>
      </c>
      <c r="AH2024" s="4">
        <v>6</v>
      </c>
      <c r="AI2024" s="4">
        <v>80</v>
      </c>
      <c r="AJ2024" s="4">
        <v>8</v>
      </c>
      <c r="AK2024" s="4">
        <v>20</v>
      </c>
      <c r="AL2024" s="4">
        <v>1</v>
      </c>
      <c r="AM2024" s="4">
        <v>42</v>
      </c>
      <c r="AN2024" s="4">
        <v>0</v>
      </c>
      <c r="AO2024" s="4">
        <v>0</v>
      </c>
      <c r="AP2024" s="4">
        <v>13</v>
      </c>
      <c r="AQ2024" s="4">
        <v>45</v>
      </c>
      <c r="AR2024" s="3" t="s">
        <v>61</v>
      </c>
      <c r="AS2024" s="3" t="s">
        <v>62</v>
      </c>
      <c r="AT2024" s="3" t="s">
        <v>62</v>
      </c>
      <c r="AV2024" s="6" t="str">
        <f>HYPERLINK("http://mcgill.on.worldcat.org/oclc/499431315","Catalog Record")</f>
        <v>Catalog Record</v>
      </c>
      <c r="AW2024" s="6" t="str">
        <f>HYPERLINK("http://www.worldcat.org/oclc/499431315","WorldCat Record")</f>
        <v>WorldCat Record</v>
      </c>
      <c r="AX2024" s="3" t="s">
        <v>19968</v>
      </c>
      <c r="AY2024" s="3" t="s">
        <v>20122</v>
      </c>
      <c r="AZ2024" s="3" t="s">
        <v>20123</v>
      </c>
      <c r="BA2024" s="3" t="s">
        <v>20123</v>
      </c>
      <c r="BB2024" s="3" t="s">
        <v>20124</v>
      </c>
      <c r="BC2024" s="3" t="s">
        <v>102</v>
      </c>
      <c r="BD2024" s="3" t="s">
        <v>68</v>
      </c>
      <c r="BE2024" s="3" t="s">
        <v>20125</v>
      </c>
      <c r="BF2024" s="3" t="s">
        <v>20124</v>
      </c>
      <c r="BG2024" s="3" t="s">
        <v>20126</v>
      </c>
    </row>
    <row r="2025" spans="1:59" ht="58" x14ac:dyDescent="0.35">
      <c r="A2025" s="2" t="s">
        <v>89</v>
      </c>
      <c r="B2025" s="2" t="s">
        <v>90</v>
      </c>
      <c r="C2025" s="2" t="s">
        <v>20116</v>
      </c>
      <c r="D2025" s="2" t="s">
        <v>20117</v>
      </c>
      <c r="E2025" s="2" t="s">
        <v>20118</v>
      </c>
      <c r="G2025" s="3" t="s">
        <v>62</v>
      </c>
      <c r="I2025" s="3" t="s">
        <v>61</v>
      </c>
      <c r="J2025" s="3" t="s">
        <v>61</v>
      </c>
      <c r="K2025" s="3" t="s">
        <v>63</v>
      </c>
      <c r="M2025" s="2" t="s">
        <v>20119</v>
      </c>
      <c r="N2025" s="3" t="s">
        <v>684</v>
      </c>
      <c r="O2025" s="2" t="s">
        <v>20120</v>
      </c>
      <c r="P2025" s="3" t="s">
        <v>64</v>
      </c>
      <c r="R2025" s="3" t="s">
        <v>13065</v>
      </c>
      <c r="S2025" s="4">
        <v>99</v>
      </c>
      <c r="T2025" s="4">
        <v>280</v>
      </c>
      <c r="U2025" s="5" t="s">
        <v>20127</v>
      </c>
      <c r="V2025" s="5" t="s">
        <v>20121</v>
      </c>
      <c r="W2025" s="5" t="s">
        <v>67</v>
      </c>
      <c r="X2025" s="5" t="s">
        <v>67</v>
      </c>
      <c r="Y2025" s="4">
        <v>21</v>
      </c>
      <c r="Z2025" s="4">
        <v>19</v>
      </c>
      <c r="AA2025" s="4">
        <v>78</v>
      </c>
      <c r="AB2025" s="4">
        <v>1</v>
      </c>
      <c r="AC2025" s="4">
        <v>14</v>
      </c>
      <c r="AD2025" s="4">
        <v>13</v>
      </c>
      <c r="AE2025" s="4">
        <v>120</v>
      </c>
      <c r="AF2025" s="4">
        <v>0</v>
      </c>
      <c r="AG2025" s="4">
        <v>6</v>
      </c>
      <c r="AH2025" s="4">
        <v>6</v>
      </c>
      <c r="AI2025" s="4">
        <v>80</v>
      </c>
      <c r="AJ2025" s="4">
        <v>8</v>
      </c>
      <c r="AK2025" s="4">
        <v>20</v>
      </c>
      <c r="AL2025" s="4">
        <v>1</v>
      </c>
      <c r="AM2025" s="4">
        <v>42</v>
      </c>
      <c r="AN2025" s="4">
        <v>0</v>
      </c>
      <c r="AO2025" s="4">
        <v>0</v>
      </c>
      <c r="AP2025" s="4">
        <v>13</v>
      </c>
      <c r="AQ2025" s="4">
        <v>45</v>
      </c>
      <c r="AR2025" s="3" t="s">
        <v>61</v>
      </c>
      <c r="AS2025" s="3" t="s">
        <v>62</v>
      </c>
      <c r="AT2025" s="3" t="s">
        <v>62</v>
      </c>
      <c r="AV2025" s="6" t="str">
        <f>HYPERLINK("http://mcgill.on.worldcat.org/oclc/499431315","Catalog Record")</f>
        <v>Catalog Record</v>
      </c>
      <c r="AW2025" s="6" t="str">
        <f>HYPERLINK("http://www.worldcat.org/oclc/499431315","WorldCat Record")</f>
        <v>WorldCat Record</v>
      </c>
      <c r="AX2025" s="3" t="s">
        <v>19968</v>
      </c>
      <c r="AY2025" s="3" t="s">
        <v>20122</v>
      </c>
      <c r="AZ2025" s="3" t="s">
        <v>20123</v>
      </c>
      <c r="BA2025" s="3" t="s">
        <v>20123</v>
      </c>
      <c r="BB2025" s="3" t="s">
        <v>20128</v>
      </c>
      <c r="BC2025" s="3" t="s">
        <v>102</v>
      </c>
      <c r="BD2025" s="3" t="s">
        <v>68</v>
      </c>
      <c r="BE2025" s="3" t="s">
        <v>20125</v>
      </c>
      <c r="BF2025" s="3" t="s">
        <v>20128</v>
      </c>
      <c r="BG2025" s="3" t="s">
        <v>20129</v>
      </c>
    </row>
    <row r="2026" spans="1:59" ht="58" x14ac:dyDescent="0.35">
      <c r="A2026" s="2" t="s">
        <v>89</v>
      </c>
      <c r="B2026" s="2" t="s">
        <v>90</v>
      </c>
      <c r="C2026" s="2" t="s">
        <v>20116</v>
      </c>
      <c r="D2026" s="2" t="s">
        <v>20117</v>
      </c>
      <c r="E2026" s="2" t="s">
        <v>20118</v>
      </c>
      <c r="G2026" s="3" t="s">
        <v>62</v>
      </c>
      <c r="I2026" s="3" t="s">
        <v>61</v>
      </c>
      <c r="J2026" s="3" t="s">
        <v>61</v>
      </c>
      <c r="K2026" s="3" t="s">
        <v>63</v>
      </c>
      <c r="M2026" s="2" t="s">
        <v>20119</v>
      </c>
      <c r="N2026" s="3" t="s">
        <v>684</v>
      </c>
      <c r="O2026" s="2" t="s">
        <v>20120</v>
      </c>
      <c r="P2026" s="3" t="s">
        <v>64</v>
      </c>
      <c r="R2026" s="3" t="s">
        <v>13065</v>
      </c>
      <c r="S2026" s="4">
        <v>83</v>
      </c>
      <c r="T2026" s="4">
        <v>280</v>
      </c>
      <c r="U2026" s="5" t="s">
        <v>20121</v>
      </c>
      <c r="V2026" s="5" t="s">
        <v>20121</v>
      </c>
      <c r="W2026" s="5" t="s">
        <v>67</v>
      </c>
      <c r="X2026" s="5" t="s">
        <v>67</v>
      </c>
      <c r="Y2026" s="4">
        <v>21</v>
      </c>
      <c r="Z2026" s="4">
        <v>19</v>
      </c>
      <c r="AA2026" s="4">
        <v>78</v>
      </c>
      <c r="AB2026" s="4">
        <v>1</v>
      </c>
      <c r="AC2026" s="4">
        <v>14</v>
      </c>
      <c r="AD2026" s="4">
        <v>13</v>
      </c>
      <c r="AE2026" s="4">
        <v>120</v>
      </c>
      <c r="AF2026" s="4">
        <v>0</v>
      </c>
      <c r="AG2026" s="4">
        <v>6</v>
      </c>
      <c r="AH2026" s="4">
        <v>6</v>
      </c>
      <c r="AI2026" s="4">
        <v>80</v>
      </c>
      <c r="AJ2026" s="4">
        <v>8</v>
      </c>
      <c r="AK2026" s="4">
        <v>20</v>
      </c>
      <c r="AL2026" s="4">
        <v>1</v>
      </c>
      <c r="AM2026" s="4">
        <v>42</v>
      </c>
      <c r="AN2026" s="4">
        <v>0</v>
      </c>
      <c r="AO2026" s="4">
        <v>0</v>
      </c>
      <c r="AP2026" s="4">
        <v>13</v>
      </c>
      <c r="AQ2026" s="4">
        <v>45</v>
      </c>
      <c r="AR2026" s="3" t="s">
        <v>61</v>
      </c>
      <c r="AS2026" s="3" t="s">
        <v>62</v>
      </c>
      <c r="AT2026" s="3" t="s">
        <v>62</v>
      </c>
      <c r="AV2026" s="6" t="str">
        <f>HYPERLINK("http://mcgill.on.worldcat.org/oclc/499431315","Catalog Record")</f>
        <v>Catalog Record</v>
      </c>
      <c r="AW2026" s="6" t="str">
        <f>HYPERLINK("http://www.worldcat.org/oclc/499431315","WorldCat Record")</f>
        <v>WorldCat Record</v>
      </c>
      <c r="AX2026" s="3" t="s">
        <v>19968</v>
      </c>
      <c r="AY2026" s="3" t="s">
        <v>20122</v>
      </c>
      <c r="AZ2026" s="3" t="s">
        <v>20123</v>
      </c>
      <c r="BA2026" s="3" t="s">
        <v>20123</v>
      </c>
      <c r="BB2026" s="3" t="s">
        <v>20130</v>
      </c>
      <c r="BC2026" s="3" t="s">
        <v>102</v>
      </c>
      <c r="BD2026" s="3" t="s">
        <v>68</v>
      </c>
      <c r="BE2026" s="3" t="s">
        <v>20125</v>
      </c>
      <c r="BF2026" s="3" t="s">
        <v>20130</v>
      </c>
      <c r="BG2026" s="3" t="s">
        <v>20131</v>
      </c>
    </row>
    <row r="2027" spans="1:59" ht="58" x14ac:dyDescent="0.35">
      <c r="A2027" s="2" t="s">
        <v>89</v>
      </c>
      <c r="B2027" s="2" t="s">
        <v>90</v>
      </c>
      <c r="C2027" s="2" t="s">
        <v>20132</v>
      </c>
      <c r="D2027" s="2" t="s">
        <v>20133</v>
      </c>
      <c r="E2027" s="2" t="s">
        <v>20134</v>
      </c>
      <c r="G2027" s="3" t="s">
        <v>62</v>
      </c>
      <c r="I2027" s="3" t="s">
        <v>62</v>
      </c>
      <c r="J2027" s="3" t="s">
        <v>62</v>
      </c>
      <c r="K2027" s="3" t="s">
        <v>63</v>
      </c>
      <c r="M2027" s="2" t="s">
        <v>20135</v>
      </c>
      <c r="N2027" s="3" t="s">
        <v>640</v>
      </c>
      <c r="P2027" s="3" t="s">
        <v>64</v>
      </c>
      <c r="Q2027" s="2" t="s">
        <v>20001</v>
      </c>
      <c r="R2027" s="3" t="s">
        <v>13065</v>
      </c>
      <c r="S2027" s="4">
        <v>8</v>
      </c>
      <c r="T2027" s="4">
        <v>8</v>
      </c>
      <c r="U2027" s="5" t="s">
        <v>13095</v>
      </c>
      <c r="V2027" s="5" t="s">
        <v>13095</v>
      </c>
      <c r="W2027" s="5" t="s">
        <v>67</v>
      </c>
      <c r="X2027" s="5" t="s">
        <v>67</v>
      </c>
      <c r="Y2027" s="4">
        <v>590</v>
      </c>
      <c r="Z2027" s="4">
        <v>19</v>
      </c>
      <c r="AA2027" s="4">
        <v>77</v>
      </c>
      <c r="AB2027" s="4">
        <v>1</v>
      </c>
      <c r="AC2027" s="4">
        <v>15</v>
      </c>
      <c r="AD2027" s="4">
        <v>77</v>
      </c>
      <c r="AE2027" s="4">
        <v>125</v>
      </c>
      <c r="AF2027" s="4">
        <v>0</v>
      </c>
      <c r="AG2027" s="4">
        <v>8</v>
      </c>
      <c r="AH2027" s="4">
        <v>68</v>
      </c>
      <c r="AI2027" s="4">
        <v>91</v>
      </c>
      <c r="AJ2027" s="4">
        <v>9</v>
      </c>
      <c r="AK2027" s="4">
        <v>22</v>
      </c>
      <c r="AL2027" s="4">
        <v>32</v>
      </c>
      <c r="AM2027" s="4">
        <v>43</v>
      </c>
      <c r="AN2027" s="4">
        <v>0</v>
      </c>
      <c r="AO2027" s="4">
        <v>0</v>
      </c>
      <c r="AP2027" s="4">
        <v>15</v>
      </c>
      <c r="AQ2027" s="4">
        <v>41</v>
      </c>
      <c r="AR2027" s="3" t="s">
        <v>62</v>
      </c>
      <c r="AS2027" s="3" t="s">
        <v>62</v>
      </c>
      <c r="AT2027" s="3" t="s">
        <v>61</v>
      </c>
      <c r="AU2027" s="6" t="str">
        <f>HYPERLINK("http://catalog.hathitrust.org/Record/004909651","HathiTrust Record")</f>
        <v>HathiTrust Record</v>
      </c>
      <c r="AV2027" s="6" t="str">
        <f>HYPERLINK("http://mcgill.on.worldcat.org/oclc/51223726","Catalog Record")</f>
        <v>Catalog Record</v>
      </c>
      <c r="AW2027" s="6" t="str">
        <f>HYPERLINK("http://www.worldcat.org/oclc/51223726","WorldCat Record")</f>
        <v>WorldCat Record</v>
      </c>
      <c r="AX2027" s="3" t="s">
        <v>20136</v>
      </c>
      <c r="AY2027" s="3" t="s">
        <v>20137</v>
      </c>
      <c r="AZ2027" s="3" t="s">
        <v>20138</v>
      </c>
      <c r="BA2027" s="3" t="s">
        <v>20138</v>
      </c>
      <c r="BB2027" s="3" t="s">
        <v>20139</v>
      </c>
      <c r="BC2027" s="3" t="s">
        <v>102</v>
      </c>
      <c r="BD2027" s="3" t="s">
        <v>231</v>
      </c>
      <c r="BE2027" s="3" t="s">
        <v>20140</v>
      </c>
      <c r="BF2027" s="3" t="s">
        <v>20139</v>
      </c>
      <c r="BG2027" s="3" t="s">
        <v>20141</v>
      </c>
    </row>
    <row r="2028" spans="1:59" ht="58" x14ac:dyDescent="0.35">
      <c r="A2028" s="2" t="s">
        <v>89</v>
      </c>
      <c r="B2028" s="2" t="s">
        <v>6791</v>
      </c>
      <c r="C2028" s="2" t="s">
        <v>20142</v>
      </c>
      <c r="D2028" s="2" t="s">
        <v>20143</v>
      </c>
      <c r="E2028" s="2" t="s">
        <v>20144</v>
      </c>
      <c r="G2028" s="3" t="s">
        <v>62</v>
      </c>
      <c r="I2028" s="3" t="s">
        <v>62</v>
      </c>
      <c r="J2028" s="3" t="s">
        <v>62</v>
      </c>
      <c r="K2028" s="3" t="s">
        <v>63</v>
      </c>
      <c r="M2028" s="2" t="s">
        <v>14826</v>
      </c>
      <c r="N2028" s="3" t="s">
        <v>640</v>
      </c>
      <c r="P2028" s="3" t="s">
        <v>64</v>
      </c>
      <c r="R2028" s="3" t="s">
        <v>13065</v>
      </c>
      <c r="S2028" s="4">
        <v>19</v>
      </c>
      <c r="T2028" s="4">
        <v>19</v>
      </c>
      <c r="U2028" s="5" t="s">
        <v>14331</v>
      </c>
      <c r="V2028" s="5" t="s">
        <v>14331</v>
      </c>
      <c r="W2028" s="5" t="s">
        <v>67</v>
      </c>
      <c r="X2028" s="5" t="s">
        <v>67</v>
      </c>
      <c r="Y2028" s="4">
        <v>343</v>
      </c>
      <c r="Z2028" s="4">
        <v>33</v>
      </c>
      <c r="AA2028" s="4">
        <v>33</v>
      </c>
      <c r="AB2028" s="4">
        <v>1</v>
      </c>
      <c r="AC2028" s="4">
        <v>1</v>
      </c>
      <c r="AD2028" s="4">
        <v>54</v>
      </c>
      <c r="AE2028" s="4">
        <v>54</v>
      </c>
      <c r="AF2028" s="4">
        <v>0</v>
      </c>
      <c r="AG2028" s="4">
        <v>0</v>
      </c>
      <c r="AH2028" s="4">
        <v>40</v>
      </c>
      <c r="AI2028" s="4">
        <v>40</v>
      </c>
      <c r="AJ2028" s="4">
        <v>13</v>
      </c>
      <c r="AK2028" s="4">
        <v>13</v>
      </c>
      <c r="AL2028" s="4">
        <v>13</v>
      </c>
      <c r="AM2028" s="4">
        <v>13</v>
      </c>
      <c r="AN2028" s="4">
        <v>0</v>
      </c>
      <c r="AO2028" s="4">
        <v>0</v>
      </c>
      <c r="AP2028" s="4">
        <v>23</v>
      </c>
      <c r="AQ2028" s="4">
        <v>23</v>
      </c>
      <c r="AR2028" s="3" t="s">
        <v>62</v>
      </c>
      <c r="AS2028" s="3" t="s">
        <v>62</v>
      </c>
      <c r="AT2028" s="3" t="s">
        <v>61</v>
      </c>
      <c r="AU2028" s="6" t="str">
        <f>HYPERLINK("http://catalog.hathitrust.org/Record/008326709","HathiTrust Record")</f>
        <v>HathiTrust Record</v>
      </c>
      <c r="AV2028" s="6" t="str">
        <f>HYPERLINK("http://mcgill.on.worldcat.org/oclc/53796945","Catalog Record")</f>
        <v>Catalog Record</v>
      </c>
      <c r="AW2028" s="6" t="str">
        <f>HYPERLINK("http://www.worldcat.org/oclc/53796945","WorldCat Record")</f>
        <v>WorldCat Record</v>
      </c>
      <c r="AX2028" s="3" t="s">
        <v>20145</v>
      </c>
      <c r="AY2028" s="3" t="s">
        <v>20146</v>
      </c>
      <c r="AZ2028" s="3" t="s">
        <v>20147</v>
      </c>
      <c r="BA2028" s="3" t="s">
        <v>20147</v>
      </c>
      <c r="BB2028" s="3" t="s">
        <v>20148</v>
      </c>
      <c r="BC2028" s="3" t="s">
        <v>102</v>
      </c>
      <c r="BD2028" s="3" t="s">
        <v>231</v>
      </c>
      <c r="BE2028" s="3" t="s">
        <v>20149</v>
      </c>
      <c r="BF2028" s="3" t="s">
        <v>20148</v>
      </c>
      <c r="BG2028" s="3" t="s">
        <v>20150</v>
      </c>
    </row>
    <row r="2029" spans="1:59" ht="58" x14ac:dyDescent="0.35">
      <c r="A2029" s="2" t="s">
        <v>89</v>
      </c>
      <c r="B2029" s="2" t="s">
        <v>90</v>
      </c>
      <c r="C2029" s="2" t="s">
        <v>20151</v>
      </c>
      <c r="D2029" s="2" t="s">
        <v>20152</v>
      </c>
      <c r="E2029" s="2" t="s">
        <v>20153</v>
      </c>
      <c r="G2029" s="3" t="s">
        <v>62</v>
      </c>
      <c r="I2029" s="3" t="s">
        <v>61</v>
      </c>
      <c r="J2029" s="3" t="s">
        <v>62</v>
      </c>
      <c r="K2029" s="3" t="s">
        <v>63</v>
      </c>
      <c r="M2029" s="2" t="s">
        <v>20154</v>
      </c>
      <c r="N2029" s="3" t="s">
        <v>640</v>
      </c>
      <c r="O2029" s="2" t="s">
        <v>20155</v>
      </c>
      <c r="P2029" s="3" t="s">
        <v>64</v>
      </c>
      <c r="R2029" s="3" t="s">
        <v>13065</v>
      </c>
      <c r="S2029" s="4">
        <v>6</v>
      </c>
      <c r="T2029" s="4">
        <v>8</v>
      </c>
      <c r="U2029" s="5" t="s">
        <v>13095</v>
      </c>
      <c r="V2029" s="5" t="s">
        <v>13095</v>
      </c>
      <c r="W2029" s="5" t="s">
        <v>67</v>
      </c>
      <c r="X2029" s="5" t="s">
        <v>67</v>
      </c>
      <c r="Y2029" s="4">
        <v>177</v>
      </c>
      <c r="Z2029" s="4">
        <v>11</v>
      </c>
      <c r="AA2029" s="4">
        <v>26</v>
      </c>
      <c r="AB2029" s="4">
        <v>2</v>
      </c>
      <c r="AC2029" s="4">
        <v>3</v>
      </c>
      <c r="AD2029" s="4">
        <v>27</v>
      </c>
      <c r="AE2029" s="4">
        <v>46</v>
      </c>
      <c r="AF2029" s="4">
        <v>1</v>
      </c>
      <c r="AG2029" s="4">
        <v>1</v>
      </c>
      <c r="AH2029" s="4">
        <v>20</v>
      </c>
      <c r="AI2029" s="4">
        <v>32</v>
      </c>
      <c r="AJ2029" s="4">
        <v>5</v>
      </c>
      <c r="AK2029" s="4">
        <v>9</v>
      </c>
      <c r="AL2029" s="4">
        <v>10</v>
      </c>
      <c r="AM2029" s="4">
        <v>14</v>
      </c>
      <c r="AN2029" s="4">
        <v>0</v>
      </c>
      <c r="AO2029" s="4">
        <v>0</v>
      </c>
      <c r="AP2029" s="4">
        <v>7</v>
      </c>
      <c r="AQ2029" s="4">
        <v>18</v>
      </c>
      <c r="AR2029" s="3" t="s">
        <v>62</v>
      </c>
      <c r="AS2029" s="3" t="s">
        <v>62</v>
      </c>
      <c r="AT2029" s="3" t="s">
        <v>62</v>
      </c>
      <c r="AV2029" s="6" t="str">
        <f>HYPERLINK("http://mcgill.on.worldcat.org/oclc/52980623","Catalog Record")</f>
        <v>Catalog Record</v>
      </c>
      <c r="AW2029" s="6" t="str">
        <f>HYPERLINK("http://www.worldcat.org/oclc/52980623","WorldCat Record")</f>
        <v>WorldCat Record</v>
      </c>
      <c r="AX2029" s="3" t="s">
        <v>20156</v>
      </c>
      <c r="AY2029" s="3" t="s">
        <v>20157</v>
      </c>
      <c r="AZ2029" s="3" t="s">
        <v>20158</v>
      </c>
      <c r="BA2029" s="3" t="s">
        <v>20158</v>
      </c>
      <c r="BB2029" s="3" t="s">
        <v>20159</v>
      </c>
      <c r="BC2029" s="3" t="s">
        <v>102</v>
      </c>
      <c r="BD2029" s="3" t="s">
        <v>68</v>
      </c>
      <c r="BE2029" s="3" t="s">
        <v>20160</v>
      </c>
      <c r="BF2029" s="3" t="s">
        <v>20159</v>
      </c>
      <c r="BG2029" s="3" t="s">
        <v>20161</v>
      </c>
    </row>
    <row r="2030" spans="1:59" ht="58" x14ac:dyDescent="0.35">
      <c r="A2030" s="2" t="s">
        <v>89</v>
      </c>
      <c r="B2030" s="2" t="s">
        <v>90</v>
      </c>
      <c r="C2030" s="2" t="s">
        <v>20151</v>
      </c>
      <c r="D2030" s="2" t="s">
        <v>20152</v>
      </c>
      <c r="E2030" s="2" t="s">
        <v>20153</v>
      </c>
      <c r="G2030" s="3" t="s">
        <v>62</v>
      </c>
      <c r="I2030" s="3" t="s">
        <v>61</v>
      </c>
      <c r="J2030" s="3" t="s">
        <v>62</v>
      </c>
      <c r="K2030" s="3" t="s">
        <v>63</v>
      </c>
      <c r="M2030" s="2" t="s">
        <v>20154</v>
      </c>
      <c r="N2030" s="3" t="s">
        <v>640</v>
      </c>
      <c r="O2030" s="2" t="s">
        <v>20155</v>
      </c>
      <c r="P2030" s="3" t="s">
        <v>64</v>
      </c>
      <c r="R2030" s="3" t="s">
        <v>13065</v>
      </c>
      <c r="S2030" s="4">
        <v>2</v>
      </c>
      <c r="T2030" s="4">
        <v>8</v>
      </c>
      <c r="U2030" s="5" t="s">
        <v>20162</v>
      </c>
      <c r="V2030" s="5" t="s">
        <v>13095</v>
      </c>
      <c r="W2030" s="5" t="s">
        <v>67</v>
      </c>
      <c r="X2030" s="5" t="s">
        <v>67</v>
      </c>
      <c r="Y2030" s="4">
        <v>177</v>
      </c>
      <c r="Z2030" s="4">
        <v>11</v>
      </c>
      <c r="AA2030" s="4">
        <v>26</v>
      </c>
      <c r="AB2030" s="4">
        <v>2</v>
      </c>
      <c r="AC2030" s="4">
        <v>3</v>
      </c>
      <c r="AD2030" s="4">
        <v>27</v>
      </c>
      <c r="AE2030" s="4">
        <v>46</v>
      </c>
      <c r="AF2030" s="4">
        <v>1</v>
      </c>
      <c r="AG2030" s="4">
        <v>1</v>
      </c>
      <c r="AH2030" s="4">
        <v>20</v>
      </c>
      <c r="AI2030" s="4">
        <v>32</v>
      </c>
      <c r="AJ2030" s="4">
        <v>5</v>
      </c>
      <c r="AK2030" s="4">
        <v>9</v>
      </c>
      <c r="AL2030" s="4">
        <v>10</v>
      </c>
      <c r="AM2030" s="4">
        <v>14</v>
      </c>
      <c r="AN2030" s="4">
        <v>0</v>
      </c>
      <c r="AO2030" s="4">
        <v>0</v>
      </c>
      <c r="AP2030" s="4">
        <v>7</v>
      </c>
      <c r="AQ2030" s="4">
        <v>18</v>
      </c>
      <c r="AR2030" s="3" t="s">
        <v>62</v>
      </c>
      <c r="AS2030" s="3" t="s">
        <v>62</v>
      </c>
      <c r="AT2030" s="3" t="s">
        <v>62</v>
      </c>
      <c r="AV2030" s="6" t="str">
        <f>HYPERLINK("http://mcgill.on.worldcat.org/oclc/52980623","Catalog Record")</f>
        <v>Catalog Record</v>
      </c>
      <c r="AW2030" s="6" t="str">
        <f>HYPERLINK("http://www.worldcat.org/oclc/52980623","WorldCat Record")</f>
        <v>WorldCat Record</v>
      </c>
      <c r="AX2030" s="3" t="s">
        <v>20156</v>
      </c>
      <c r="AY2030" s="3" t="s">
        <v>20157</v>
      </c>
      <c r="AZ2030" s="3" t="s">
        <v>20158</v>
      </c>
      <c r="BA2030" s="3" t="s">
        <v>20158</v>
      </c>
      <c r="BB2030" s="3" t="s">
        <v>20163</v>
      </c>
      <c r="BC2030" s="3" t="s">
        <v>102</v>
      </c>
      <c r="BD2030" s="3" t="s">
        <v>68</v>
      </c>
      <c r="BE2030" s="3" t="s">
        <v>20160</v>
      </c>
      <c r="BF2030" s="3" t="s">
        <v>20163</v>
      </c>
      <c r="BG2030" s="3" t="s">
        <v>20164</v>
      </c>
    </row>
    <row r="2031" spans="1:59" ht="58" x14ac:dyDescent="0.35">
      <c r="A2031" s="2" t="s">
        <v>89</v>
      </c>
      <c r="B2031" s="2" t="s">
        <v>90</v>
      </c>
      <c r="C2031" s="2" t="s">
        <v>20165</v>
      </c>
      <c r="D2031" s="2" t="s">
        <v>20166</v>
      </c>
      <c r="E2031" s="2" t="s">
        <v>20167</v>
      </c>
      <c r="F2031" s="3" t="s">
        <v>20168</v>
      </c>
      <c r="G2031" s="3" t="s">
        <v>62</v>
      </c>
      <c r="I2031" s="3" t="s">
        <v>62</v>
      </c>
      <c r="J2031" s="3" t="s">
        <v>61</v>
      </c>
      <c r="K2031" s="3" t="s">
        <v>63</v>
      </c>
      <c r="L2031" s="2" t="s">
        <v>20169</v>
      </c>
      <c r="M2031" s="2" t="s">
        <v>20170</v>
      </c>
      <c r="N2031" s="3" t="s">
        <v>640</v>
      </c>
      <c r="O2031" s="2" t="s">
        <v>15933</v>
      </c>
      <c r="P2031" s="3" t="s">
        <v>64</v>
      </c>
      <c r="R2031" s="3" t="s">
        <v>13065</v>
      </c>
      <c r="S2031" s="4">
        <v>2</v>
      </c>
      <c r="T2031" s="4">
        <v>2</v>
      </c>
      <c r="U2031" s="5" t="s">
        <v>20171</v>
      </c>
      <c r="V2031" s="5" t="s">
        <v>20171</v>
      </c>
      <c r="W2031" s="5" t="s">
        <v>67</v>
      </c>
      <c r="X2031" s="5" t="s">
        <v>67</v>
      </c>
      <c r="Y2031" s="4">
        <v>99</v>
      </c>
      <c r="Z2031" s="4">
        <v>4</v>
      </c>
      <c r="AA2031" s="4">
        <v>38</v>
      </c>
      <c r="AB2031" s="4">
        <v>2</v>
      </c>
      <c r="AC2031" s="4">
        <v>7</v>
      </c>
      <c r="AD2031" s="4">
        <v>12</v>
      </c>
      <c r="AE2031" s="4">
        <v>102</v>
      </c>
      <c r="AF2031" s="4">
        <v>1</v>
      </c>
      <c r="AG2031" s="4">
        <v>5</v>
      </c>
      <c r="AH2031" s="4">
        <v>10</v>
      </c>
      <c r="AI2031" s="4">
        <v>83</v>
      </c>
      <c r="AJ2031" s="4">
        <v>2</v>
      </c>
      <c r="AK2031" s="4">
        <v>19</v>
      </c>
      <c r="AL2031" s="4">
        <v>2</v>
      </c>
      <c r="AM2031" s="4">
        <v>36</v>
      </c>
      <c r="AN2031" s="4">
        <v>3</v>
      </c>
      <c r="AO2031" s="4">
        <v>6</v>
      </c>
      <c r="AP2031" s="4">
        <v>3</v>
      </c>
      <c r="AQ2031" s="4">
        <v>29</v>
      </c>
      <c r="AR2031" s="3" t="s">
        <v>62</v>
      </c>
      <c r="AS2031" s="3" t="s">
        <v>62</v>
      </c>
      <c r="AT2031" s="3" t="s">
        <v>61</v>
      </c>
      <c r="AU2031" s="6" t="str">
        <f>HYPERLINK("http://catalog.hathitrust.org/Record/102028879","HathiTrust Record")</f>
        <v>HathiTrust Record</v>
      </c>
      <c r="AV2031" s="6" t="str">
        <f>HYPERLINK("http://mcgill.on.worldcat.org/oclc/53208886","Catalog Record")</f>
        <v>Catalog Record</v>
      </c>
      <c r="AW2031" s="6" t="str">
        <f>HYPERLINK("http://www.worldcat.org/oclc/53208886","WorldCat Record")</f>
        <v>WorldCat Record</v>
      </c>
      <c r="AX2031" s="3" t="s">
        <v>20172</v>
      </c>
      <c r="AY2031" s="3" t="s">
        <v>20173</v>
      </c>
      <c r="AZ2031" s="3" t="s">
        <v>20174</v>
      </c>
      <c r="BA2031" s="3" t="s">
        <v>20174</v>
      </c>
      <c r="BB2031" s="3" t="s">
        <v>20175</v>
      </c>
      <c r="BC2031" s="3" t="s">
        <v>102</v>
      </c>
      <c r="BD2031" s="3" t="s">
        <v>68</v>
      </c>
      <c r="BE2031" s="3" t="s">
        <v>20176</v>
      </c>
      <c r="BF2031" s="3" t="s">
        <v>20175</v>
      </c>
      <c r="BG2031" s="3" t="s">
        <v>20177</v>
      </c>
    </row>
    <row r="2032" spans="1:59" ht="58" x14ac:dyDescent="0.35">
      <c r="A2032" s="2" t="s">
        <v>89</v>
      </c>
      <c r="B2032" s="2" t="s">
        <v>90</v>
      </c>
      <c r="C2032" s="2" t="s">
        <v>20178</v>
      </c>
      <c r="D2032" s="2" t="s">
        <v>20179</v>
      </c>
      <c r="E2032" s="2" t="s">
        <v>20180</v>
      </c>
      <c r="G2032" s="3" t="s">
        <v>62</v>
      </c>
      <c r="I2032" s="3" t="s">
        <v>62</v>
      </c>
      <c r="J2032" s="3" t="s">
        <v>62</v>
      </c>
      <c r="K2032" s="3" t="s">
        <v>63</v>
      </c>
      <c r="L2032" s="2" t="s">
        <v>20181</v>
      </c>
      <c r="M2032" s="2" t="s">
        <v>20182</v>
      </c>
      <c r="N2032" s="3" t="s">
        <v>2975</v>
      </c>
      <c r="P2032" s="3" t="s">
        <v>64</v>
      </c>
      <c r="R2032" s="3" t="s">
        <v>13065</v>
      </c>
      <c r="S2032" s="4">
        <v>12</v>
      </c>
      <c r="T2032" s="4">
        <v>12</v>
      </c>
      <c r="U2032" s="5" t="s">
        <v>3388</v>
      </c>
      <c r="V2032" s="5" t="s">
        <v>3388</v>
      </c>
      <c r="W2032" s="5" t="s">
        <v>67</v>
      </c>
      <c r="X2032" s="5" t="s">
        <v>67</v>
      </c>
      <c r="Y2032" s="4">
        <v>668</v>
      </c>
      <c r="Z2032" s="4">
        <v>23</v>
      </c>
      <c r="AA2032" s="4">
        <v>33</v>
      </c>
      <c r="AB2032" s="4">
        <v>3</v>
      </c>
      <c r="AC2032" s="4">
        <v>7</v>
      </c>
      <c r="AD2032" s="4">
        <v>92</v>
      </c>
      <c r="AE2032" s="4">
        <v>104</v>
      </c>
      <c r="AF2032" s="4">
        <v>2</v>
      </c>
      <c r="AG2032" s="4">
        <v>4</v>
      </c>
      <c r="AH2032" s="4">
        <v>79</v>
      </c>
      <c r="AI2032" s="4">
        <v>87</v>
      </c>
      <c r="AJ2032" s="4">
        <v>12</v>
      </c>
      <c r="AK2032" s="4">
        <v>15</v>
      </c>
      <c r="AL2032" s="4">
        <v>41</v>
      </c>
      <c r="AM2032" s="4">
        <v>44</v>
      </c>
      <c r="AN2032" s="4">
        <v>0</v>
      </c>
      <c r="AO2032" s="4">
        <v>0</v>
      </c>
      <c r="AP2032" s="4">
        <v>19</v>
      </c>
      <c r="AQ2032" s="4">
        <v>25</v>
      </c>
      <c r="AR2032" s="3" t="s">
        <v>62</v>
      </c>
      <c r="AS2032" s="3" t="s">
        <v>62</v>
      </c>
      <c r="AT2032" s="3" t="s">
        <v>62</v>
      </c>
      <c r="AV2032" s="6" t="str">
        <f>HYPERLINK("http://mcgill.on.worldcat.org/oclc/46793207","Catalog Record")</f>
        <v>Catalog Record</v>
      </c>
      <c r="AW2032" s="6" t="str">
        <f>HYPERLINK("http://www.worldcat.org/oclc/46793207","WorldCat Record")</f>
        <v>WorldCat Record</v>
      </c>
      <c r="AX2032" s="3" t="s">
        <v>20183</v>
      </c>
      <c r="AY2032" s="3" t="s">
        <v>20184</v>
      </c>
      <c r="AZ2032" s="3" t="s">
        <v>20185</v>
      </c>
      <c r="BA2032" s="3" t="s">
        <v>20185</v>
      </c>
      <c r="BB2032" s="3" t="s">
        <v>20186</v>
      </c>
      <c r="BC2032" s="3" t="s">
        <v>102</v>
      </c>
      <c r="BD2032" s="3" t="s">
        <v>68</v>
      </c>
      <c r="BE2032" s="3" t="s">
        <v>20187</v>
      </c>
      <c r="BF2032" s="3" t="s">
        <v>20186</v>
      </c>
      <c r="BG2032" s="3" t="s">
        <v>20188</v>
      </c>
    </row>
    <row r="2033" spans="1:59" ht="72.5" x14ac:dyDescent="0.35">
      <c r="A2033" s="2" t="s">
        <v>89</v>
      </c>
      <c r="B2033" s="2" t="s">
        <v>90</v>
      </c>
      <c r="C2033" s="2" t="s">
        <v>20189</v>
      </c>
      <c r="D2033" s="2" t="s">
        <v>20190</v>
      </c>
      <c r="E2033" s="2" t="s">
        <v>20191</v>
      </c>
      <c r="G2033" s="3" t="s">
        <v>62</v>
      </c>
      <c r="I2033" s="3" t="s">
        <v>62</v>
      </c>
      <c r="J2033" s="3" t="s">
        <v>62</v>
      </c>
      <c r="K2033" s="3" t="s">
        <v>63</v>
      </c>
      <c r="L2033" s="2" t="s">
        <v>20192</v>
      </c>
      <c r="M2033" s="2" t="s">
        <v>13128</v>
      </c>
      <c r="N2033" s="3" t="s">
        <v>880</v>
      </c>
      <c r="P2033" s="3" t="s">
        <v>64</v>
      </c>
      <c r="Q2033" s="2" t="s">
        <v>20193</v>
      </c>
      <c r="R2033" s="3" t="s">
        <v>13065</v>
      </c>
      <c r="S2033" s="4">
        <v>6</v>
      </c>
      <c r="T2033" s="4">
        <v>6</v>
      </c>
      <c r="U2033" s="5" t="s">
        <v>6683</v>
      </c>
      <c r="V2033" s="5" t="s">
        <v>6683</v>
      </c>
      <c r="W2033" s="5" t="s">
        <v>67</v>
      </c>
      <c r="X2033" s="5" t="s">
        <v>67</v>
      </c>
      <c r="Y2033" s="4">
        <v>184</v>
      </c>
      <c r="Z2033" s="4">
        <v>21</v>
      </c>
      <c r="AA2033" s="4">
        <v>24</v>
      </c>
      <c r="AB2033" s="4">
        <v>3</v>
      </c>
      <c r="AC2033" s="4">
        <v>6</v>
      </c>
      <c r="AD2033" s="4">
        <v>44</v>
      </c>
      <c r="AE2033" s="4">
        <v>46</v>
      </c>
      <c r="AF2033" s="4">
        <v>2</v>
      </c>
      <c r="AG2033" s="4">
        <v>4</v>
      </c>
      <c r="AH2033" s="4">
        <v>33</v>
      </c>
      <c r="AI2033" s="4">
        <v>34</v>
      </c>
      <c r="AJ2033" s="4">
        <v>12</v>
      </c>
      <c r="AK2033" s="4">
        <v>14</v>
      </c>
      <c r="AL2033" s="4">
        <v>16</v>
      </c>
      <c r="AM2033" s="4">
        <v>16</v>
      </c>
      <c r="AN2033" s="4">
        <v>0</v>
      </c>
      <c r="AO2033" s="4">
        <v>0</v>
      </c>
      <c r="AP2033" s="4">
        <v>17</v>
      </c>
      <c r="AQ2033" s="4">
        <v>19</v>
      </c>
      <c r="AR2033" s="3" t="s">
        <v>62</v>
      </c>
      <c r="AS2033" s="3" t="s">
        <v>62</v>
      </c>
      <c r="AT2033" s="3" t="s">
        <v>62</v>
      </c>
      <c r="AV2033" s="6" t="str">
        <f>HYPERLINK("http://mcgill.on.worldcat.org/oclc/521753857","Catalog Record")</f>
        <v>Catalog Record</v>
      </c>
      <c r="AW2033" s="6" t="str">
        <f>HYPERLINK("http://www.worldcat.org/oclc/521753857","WorldCat Record")</f>
        <v>WorldCat Record</v>
      </c>
      <c r="AX2033" s="3" t="s">
        <v>20194</v>
      </c>
      <c r="AY2033" s="3" t="s">
        <v>20195</v>
      </c>
      <c r="AZ2033" s="3" t="s">
        <v>20196</v>
      </c>
      <c r="BA2033" s="3" t="s">
        <v>20196</v>
      </c>
      <c r="BB2033" s="3" t="s">
        <v>20197</v>
      </c>
      <c r="BC2033" s="3" t="s">
        <v>102</v>
      </c>
      <c r="BD2033" s="3" t="s">
        <v>68</v>
      </c>
      <c r="BE2033" s="3" t="s">
        <v>20198</v>
      </c>
      <c r="BF2033" s="3" t="s">
        <v>20197</v>
      </c>
      <c r="BG2033" s="3" t="s">
        <v>20199</v>
      </c>
    </row>
    <row r="2034" spans="1:59" ht="58" x14ac:dyDescent="0.35">
      <c r="A2034" s="2" t="s">
        <v>89</v>
      </c>
      <c r="B2034" s="2" t="s">
        <v>90</v>
      </c>
      <c r="C2034" s="2" t="s">
        <v>20200</v>
      </c>
      <c r="D2034" s="2" t="s">
        <v>20201</v>
      </c>
      <c r="E2034" s="2" t="s">
        <v>20202</v>
      </c>
      <c r="G2034" s="3" t="s">
        <v>62</v>
      </c>
      <c r="I2034" s="3" t="s">
        <v>62</v>
      </c>
      <c r="J2034" s="3" t="s">
        <v>62</v>
      </c>
      <c r="K2034" s="3" t="s">
        <v>63</v>
      </c>
      <c r="M2034" s="2" t="s">
        <v>20135</v>
      </c>
      <c r="N2034" s="3" t="s">
        <v>640</v>
      </c>
      <c r="P2034" s="3" t="s">
        <v>64</v>
      </c>
      <c r="Q2034" s="2" t="s">
        <v>20001</v>
      </c>
      <c r="R2034" s="3" t="s">
        <v>13065</v>
      </c>
      <c r="S2034" s="4">
        <v>6</v>
      </c>
      <c r="T2034" s="4">
        <v>6</v>
      </c>
      <c r="U2034" s="5" t="s">
        <v>2831</v>
      </c>
      <c r="V2034" s="5" t="s">
        <v>2831</v>
      </c>
      <c r="W2034" s="5" t="s">
        <v>67</v>
      </c>
      <c r="X2034" s="5" t="s">
        <v>67</v>
      </c>
      <c r="Y2034" s="4">
        <v>182</v>
      </c>
      <c r="Z2034" s="4">
        <v>11</v>
      </c>
      <c r="AA2034" s="4">
        <v>15</v>
      </c>
      <c r="AB2034" s="4">
        <v>1</v>
      </c>
      <c r="AC2034" s="4">
        <v>4</v>
      </c>
      <c r="AD2034" s="4">
        <v>52</v>
      </c>
      <c r="AE2034" s="4">
        <v>64</v>
      </c>
      <c r="AF2034" s="4">
        <v>0</v>
      </c>
      <c r="AG2034" s="4">
        <v>0</v>
      </c>
      <c r="AH2034" s="4">
        <v>49</v>
      </c>
      <c r="AI2034" s="4">
        <v>61</v>
      </c>
      <c r="AJ2034" s="4">
        <v>6</v>
      </c>
      <c r="AK2034" s="4">
        <v>7</v>
      </c>
      <c r="AL2034" s="4">
        <v>27</v>
      </c>
      <c r="AM2034" s="4">
        <v>31</v>
      </c>
      <c r="AN2034" s="4">
        <v>0</v>
      </c>
      <c r="AO2034" s="4">
        <v>0</v>
      </c>
      <c r="AP2034" s="4">
        <v>8</v>
      </c>
      <c r="AQ2034" s="4">
        <v>9</v>
      </c>
      <c r="AR2034" s="3" t="s">
        <v>62</v>
      </c>
      <c r="AS2034" s="3" t="s">
        <v>62</v>
      </c>
      <c r="AT2034" s="3" t="s">
        <v>62</v>
      </c>
      <c r="AV2034" s="6" t="str">
        <f>HYPERLINK("http://mcgill.on.worldcat.org/oclc/53285161","Catalog Record")</f>
        <v>Catalog Record</v>
      </c>
      <c r="AW2034" s="6" t="str">
        <f>HYPERLINK("http://www.worldcat.org/oclc/53285161","WorldCat Record")</f>
        <v>WorldCat Record</v>
      </c>
      <c r="AX2034" s="3" t="s">
        <v>20203</v>
      </c>
      <c r="AY2034" s="3" t="s">
        <v>20204</v>
      </c>
      <c r="AZ2034" s="3" t="s">
        <v>20205</v>
      </c>
      <c r="BA2034" s="3" t="s">
        <v>20205</v>
      </c>
      <c r="BB2034" s="3" t="s">
        <v>20206</v>
      </c>
      <c r="BC2034" s="3" t="s">
        <v>102</v>
      </c>
      <c r="BD2034" s="3" t="s">
        <v>68</v>
      </c>
      <c r="BE2034" s="3" t="s">
        <v>20207</v>
      </c>
      <c r="BF2034" s="3" t="s">
        <v>20206</v>
      </c>
      <c r="BG2034" s="3" t="s">
        <v>20208</v>
      </c>
    </row>
    <row r="2035" spans="1:59" ht="58" x14ac:dyDescent="0.35">
      <c r="A2035" s="2" t="s">
        <v>89</v>
      </c>
      <c r="B2035" s="2" t="s">
        <v>6791</v>
      </c>
      <c r="C2035" s="2" t="s">
        <v>20209</v>
      </c>
      <c r="D2035" s="2" t="s">
        <v>20210</v>
      </c>
      <c r="E2035" s="2" t="s">
        <v>20211</v>
      </c>
      <c r="G2035" s="3" t="s">
        <v>62</v>
      </c>
      <c r="I2035" s="3" t="s">
        <v>62</v>
      </c>
      <c r="J2035" s="3" t="s">
        <v>62</v>
      </c>
      <c r="K2035" s="3" t="s">
        <v>63</v>
      </c>
      <c r="M2035" s="2" t="s">
        <v>20212</v>
      </c>
      <c r="N2035" s="3" t="s">
        <v>712</v>
      </c>
      <c r="P2035" s="3" t="s">
        <v>64</v>
      </c>
      <c r="Q2035" s="2" t="s">
        <v>20213</v>
      </c>
      <c r="R2035" s="3" t="s">
        <v>13065</v>
      </c>
      <c r="S2035" s="4">
        <v>15</v>
      </c>
      <c r="T2035" s="4">
        <v>15</v>
      </c>
      <c r="W2035" s="5" t="s">
        <v>67</v>
      </c>
      <c r="X2035" s="5" t="s">
        <v>67</v>
      </c>
      <c r="Y2035" s="4">
        <v>222</v>
      </c>
      <c r="Z2035" s="4">
        <v>12</v>
      </c>
      <c r="AA2035" s="4">
        <v>19</v>
      </c>
      <c r="AB2035" s="4">
        <v>1</v>
      </c>
      <c r="AC2035" s="4">
        <v>6</v>
      </c>
      <c r="AD2035" s="4">
        <v>50</v>
      </c>
      <c r="AE2035" s="4">
        <v>59</v>
      </c>
      <c r="AF2035" s="4">
        <v>0</v>
      </c>
      <c r="AG2035" s="4">
        <v>2</v>
      </c>
      <c r="AH2035" s="4">
        <v>42</v>
      </c>
      <c r="AI2035" s="4">
        <v>49</v>
      </c>
      <c r="AJ2035" s="4">
        <v>7</v>
      </c>
      <c r="AK2035" s="4">
        <v>10</v>
      </c>
      <c r="AL2035" s="4">
        <v>25</v>
      </c>
      <c r="AM2035" s="4">
        <v>29</v>
      </c>
      <c r="AN2035" s="4">
        <v>0</v>
      </c>
      <c r="AO2035" s="4">
        <v>0</v>
      </c>
      <c r="AP2035" s="4">
        <v>10</v>
      </c>
      <c r="AQ2035" s="4">
        <v>13</v>
      </c>
      <c r="AR2035" s="3" t="s">
        <v>62</v>
      </c>
      <c r="AS2035" s="3" t="s">
        <v>62</v>
      </c>
      <c r="AT2035" s="3" t="s">
        <v>62</v>
      </c>
      <c r="AV2035" s="6" t="str">
        <f>HYPERLINK("http://mcgill.on.worldcat.org/oclc/869066581","Catalog Record")</f>
        <v>Catalog Record</v>
      </c>
      <c r="AW2035" s="6" t="str">
        <f>HYPERLINK("http://www.worldcat.org/oclc/869066581","WorldCat Record")</f>
        <v>WorldCat Record</v>
      </c>
      <c r="AX2035" s="3" t="s">
        <v>20214</v>
      </c>
      <c r="AY2035" s="3" t="s">
        <v>20215</v>
      </c>
      <c r="AZ2035" s="3" t="s">
        <v>20216</v>
      </c>
      <c r="BA2035" s="3" t="s">
        <v>20216</v>
      </c>
      <c r="BB2035" s="3" t="s">
        <v>20217</v>
      </c>
      <c r="BC2035" s="3" t="s">
        <v>102</v>
      </c>
      <c r="BD2035" s="3" t="s">
        <v>231</v>
      </c>
      <c r="BE2035" s="3" t="s">
        <v>20218</v>
      </c>
      <c r="BF2035" s="3" t="s">
        <v>20217</v>
      </c>
      <c r="BG2035" s="3" t="s">
        <v>20219</v>
      </c>
    </row>
    <row r="2036" spans="1:59" ht="72.5" x14ac:dyDescent="0.35">
      <c r="A2036" s="2" t="s">
        <v>89</v>
      </c>
      <c r="B2036" s="2" t="s">
        <v>90</v>
      </c>
      <c r="C2036" s="2" t="s">
        <v>20220</v>
      </c>
      <c r="D2036" s="2" t="s">
        <v>20221</v>
      </c>
      <c r="E2036" s="2" t="s">
        <v>20222</v>
      </c>
      <c r="F2036" s="3" t="s">
        <v>14825</v>
      </c>
      <c r="G2036" s="3" t="s">
        <v>62</v>
      </c>
      <c r="I2036" s="3" t="s">
        <v>62</v>
      </c>
      <c r="J2036" s="3" t="s">
        <v>61</v>
      </c>
      <c r="K2036" s="3" t="s">
        <v>63</v>
      </c>
      <c r="M2036" s="2" t="s">
        <v>20223</v>
      </c>
      <c r="N2036" s="3" t="s">
        <v>640</v>
      </c>
      <c r="O2036" s="2" t="s">
        <v>20224</v>
      </c>
      <c r="P2036" s="3" t="s">
        <v>64</v>
      </c>
      <c r="R2036" s="3" t="s">
        <v>13065</v>
      </c>
      <c r="S2036" s="4">
        <v>2</v>
      </c>
      <c r="T2036" s="4">
        <v>2</v>
      </c>
      <c r="U2036" s="5" t="s">
        <v>20225</v>
      </c>
      <c r="V2036" s="5" t="s">
        <v>20225</v>
      </c>
      <c r="W2036" s="5" t="s">
        <v>67</v>
      </c>
      <c r="X2036" s="5" t="s">
        <v>67</v>
      </c>
      <c r="Y2036" s="4">
        <v>118</v>
      </c>
      <c r="Z2036" s="4">
        <v>3</v>
      </c>
      <c r="AA2036" s="4">
        <v>21</v>
      </c>
      <c r="AB2036" s="4">
        <v>1</v>
      </c>
      <c r="AC2036" s="4">
        <v>6</v>
      </c>
      <c r="AD2036" s="4">
        <v>22</v>
      </c>
      <c r="AE2036" s="4">
        <v>70</v>
      </c>
      <c r="AF2036" s="4">
        <v>0</v>
      </c>
      <c r="AG2036" s="4">
        <v>4</v>
      </c>
      <c r="AH2036" s="4">
        <v>20</v>
      </c>
      <c r="AI2036" s="4">
        <v>58</v>
      </c>
      <c r="AJ2036" s="4">
        <v>2</v>
      </c>
      <c r="AK2036" s="4">
        <v>14</v>
      </c>
      <c r="AL2036" s="4">
        <v>8</v>
      </c>
      <c r="AM2036" s="4">
        <v>25</v>
      </c>
      <c r="AN2036" s="4">
        <v>5</v>
      </c>
      <c r="AO2036" s="4">
        <v>5</v>
      </c>
      <c r="AP2036" s="4">
        <v>2</v>
      </c>
      <c r="AQ2036" s="4">
        <v>18</v>
      </c>
      <c r="AR2036" s="3" t="s">
        <v>62</v>
      </c>
      <c r="AS2036" s="3" t="s">
        <v>62</v>
      </c>
      <c r="AT2036" s="3" t="s">
        <v>61</v>
      </c>
      <c r="AU2036" s="6" t="str">
        <f>HYPERLINK("http://catalog.hathitrust.org/Record/009325252","HathiTrust Record")</f>
        <v>HathiTrust Record</v>
      </c>
      <c r="AV2036" s="6" t="str">
        <f>HYPERLINK("http://mcgill.on.worldcat.org/oclc/54046452","Catalog Record")</f>
        <v>Catalog Record</v>
      </c>
      <c r="AW2036" s="6" t="str">
        <f>HYPERLINK("http://www.worldcat.org/oclc/54046452","WorldCat Record")</f>
        <v>WorldCat Record</v>
      </c>
      <c r="AX2036" s="3" t="s">
        <v>20226</v>
      </c>
      <c r="AY2036" s="3" t="s">
        <v>20227</v>
      </c>
      <c r="AZ2036" s="3" t="s">
        <v>20228</v>
      </c>
      <c r="BA2036" s="3" t="s">
        <v>20228</v>
      </c>
      <c r="BB2036" s="3" t="s">
        <v>20229</v>
      </c>
      <c r="BC2036" s="3" t="s">
        <v>102</v>
      </c>
      <c r="BD2036" s="3" t="s">
        <v>68</v>
      </c>
      <c r="BE2036" s="3" t="s">
        <v>20230</v>
      </c>
      <c r="BF2036" s="3" t="s">
        <v>20229</v>
      </c>
      <c r="BG2036" s="3" t="s">
        <v>20231</v>
      </c>
    </row>
    <row r="2037" spans="1:59" ht="58" x14ac:dyDescent="0.35">
      <c r="A2037" s="2" t="s">
        <v>89</v>
      </c>
      <c r="B2037" s="2" t="s">
        <v>90</v>
      </c>
      <c r="C2037" s="2" t="s">
        <v>20232</v>
      </c>
      <c r="D2037" s="2" t="s">
        <v>20233</v>
      </c>
      <c r="E2037" s="2" t="s">
        <v>20234</v>
      </c>
      <c r="G2037" s="3" t="s">
        <v>62</v>
      </c>
      <c r="I2037" s="3" t="s">
        <v>62</v>
      </c>
      <c r="J2037" s="3" t="s">
        <v>62</v>
      </c>
      <c r="K2037" s="3" t="s">
        <v>63</v>
      </c>
      <c r="L2037" s="2" t="s">
        <v>20235</v>
      </c>
      <c r="M2037" s="2" t="s">
        <v>20236</v>
      </c>
      <c r="N2037" s="3" t="s">
        <v>625</v>
      </c>
      <c r="P2037" s="3" t="s">
        <v>64</v>
      </c>
      <c r="R2037" s="3" t="s">
        <v>13065</v>
      </c>
      <c r="S2037" s="4">
        <v>15</v>
      </c>
      <c r="T2037" s="4">
        <v>15</v>
      </c>
      <c r="U2037" s="5" t="s">
        <v>3978</v>
      </c>
      <c r="V2037" s="5" t="s">
        <v>3978</v>
      </c>
      <c r="W2037" s="5" t="s">
        <v>67</v>
      </c>
      <c r="X2037" s="5" t="s">
        <v>67</v>
      </c>
      <c r="Y2037" s="4">
        <v>83</v>
      </c>
      <c r="Z2037" s="4">
        <v>74</v>
      </c>
      <c r="AA2037" s="4">
        <v>104</v>
      </c>
      <c r="AB2037" s="4">
        <v>4</v>
      </c>
      <c r="AC2037" s="4">
        <v>11</v>
      </c>
      <c r="AD2037" s="4">
        <v>23</v>
      </c>
      <c r="AE2037" s="4">
        <v>64</v>
      </c>
      <c r="AF2037" s="4">
        <v>1</v>
      </c>
      <c r="AG2037" s="4">
        <v>5</v>
      </c>
      <c r="AH2037" s="4">
        <v>7</v>
      </c>
      <c r="AI2037" s="4">
        <v>35</v>
      </c>
      <c r="AJ2037" s="4">
        <v>10</v>
      </c>
      <c r="AK2037" s="4">
        <v>19</v>
      </c>
      <c r="AL2037" s="4">
        <v>2</v>
      </c>
      <c r="AM2037" s="4">
        <v>12</v>
      </c>
      <c r="AN2037" s="4">
        <v>0</v>
      </c>
      <c r="AO2037" s="4">
        <v>0</v>
      </c>
      <c r="AP2037" s="4">
        <v>21</v>
      </c>
      <c r="AQ2037" s="4">
        <v>38</v>
      </c>
      <c r="AR2037" s="3" t="s">
        <v>61</v>
      </c>
      <c r="AS2037" s="3" t="s">
        <v>62</v>
      </c>
      <c r="AT2037" s="3" t="s">
        <v>62</v>
      </c>
      <c r="AV2037" s="6" t="str">
        <f>HYPERLINK("http://mcgill.on.worldcat.org/oclc/51925166","Catalog Record")</f>
        <v>Catalog Record</v>
      </c>
      <c r="AW2037" s="6" t="str">
        <f>HYPERLINK("http://www.worldcat.org/oclc/51925166","WorldCat Record")</f>
        <v>WorldCat Record</v>
      </c>
      <c r="AX2037" s="3" t="s">
        <v>20237</v>
      </c>
      <c r="AY2037" s="3" t="s">
        <v>20238</v>
      </c>
      <c r="AZ2037" s="3" t="s">
        <v>20239</v>
      </c>
      <c r="BA2037" s="3" t="s">
        <v>20239</v>
      </c>
      <c r="BB2037" s="3" t="s">
        <v>20240</v>
      </c>
      <c r="BC2037" s="3" t="s">
        <v>102</v>
      </c>
      <c r="BD2037" s="3" t="s">
        <v>68</v>
      </c>
      <c r="BE2037" s="3" t="s">
        <v>20241</v>
      </c>
      <c r="BF2037" s="3" t="s">
        <v>20240</v>
      </c>
      <c r="BG2037" s="3" t="s">
        <v>20242</v>
      </c>
    </row>
    <row r="2038" spans="1:59" ht="58" x14ac:dyDescent="0.35">
      <c r="A2038" s="2" t="s">
        <v>89</v>
      </c>
      <c r="B2038" s="2" t="s">
        <v>90</v>
      </c>
      <c r="C2038" s="2" t="s">
        <v>20243</v>
      </c>
      <c r="D2038" s="2" t="s">
        <v>20244</v>
      </c>
      <c r="E2038" s="2" t="s">
        <v>20245</v>
      </c>
      <c r="G2038" s="3" t="s">
        <v>62</v>
      </c>
      <c r="I2038" s="3" t="s">
        <v>62</v>
      </c>
      <c r="J2038" s="3" t="s">
        <v>62</v>
      </c>
      <c r="K2038" s="3" t="s">
        <v>63</v>
      </c>
      <c r="L2038" s="2" t="s">
        <v>20246</v>
      </c>
      <c r="M2038" s="2" t="s">
        <v>20247</v>
      </c>
      <c r="N2038" s="3" t="s">
        <v>1455</v>
      </c>
      <c r="P2038" s="3" t="s">
        <v>64</v>
      </c>
      <c r="R2038" s="3" t="s">
        <v>13065</v>
      </c>
      <c r="S2038" s="4">
        <v>0</v>
      </c>
      <c r="T2038" s="4">
        <v>0</v>
      </c>
      <c r="W2038" s="5" t="s">
        <v>67</v>
      </c>
      <c r="X2038" s="5" t="s">
        <v>67</v>
      </c>
      <c r="Y2038" s="4">
        <v>68</v>
      </c>
      <c r="Z2038" s="4">
        <v>6</v>
      </c>
      <c r="AA2038" s="4">
        <v>8</v>
      </c>
      <c r="AB2038" s="4">
        <v>1</v>
      </c>
      <c r="AC2038" s="4">
        <v>3</v>
      </c>
      <c r="AD2038" s="4">
        <v>22</v>
      </c>
      <c r="AE2038" s="4">
        <v>22</v>
      </c>
      <c r="AF2038" s="4">
        <v>0</v>
      </c>
      <c r="AG2038" s="4">
        <v>0</v>
      </c>
      <c r="AH2038" s="4">
        <v>21</v>
      </c>
      <c r="AI2038" s="4">
        <v>21</v>
      </c>
      <c r="AJ2038" s="4">
        <v>4</v>
      </c>
      <c r="AK2038" s="4">
        <v>4</v>
      </c>
      <c r="AL2038" s="4">
        <v>11</v>
      </c>
      <c r="AM2038" s="4">
        <v>11</v>
      </c>
      <c r="AN2038" s="4">
        <v>0</v>
      </c>
      <c r="AO2038" s="4">
        <v>0</v>
      </c>
      <c r="AP2038" s="4">
        <v>4</v>
      </c>
      <c r="AQ2038" s="4">
        <v>4</v>
      </c>
      <c r="AR2038" s="3" t="s">
        <v>62</v>
      </c>
      <c r="AS2038" s="3" t="s">
        <v>62</v>
      </c>
      <c r="AT2038" s="3" t="s">
        <v>62</v>
      </c>
      <c r="AV2038" s="6" t="str">
        <f>HYPERLINK("http://mcgill.on.worldcat.org/oclc/894105527","Catalog Record")</f>
        <v>Catalog Record</v>
      </c>
      <c r="AW2038" s="6" t="str">
        <f>HYPERLINK("http://www.worldcat.org/oclc/894105527","WorldCat Record")</f>
        <v>WorldCat Record</v>
      </c>
      <c r="AX2038" s="3" t="s">
        <v>20248</v>
      </c>
      <c r="AY2038" s="3" t="s">
        <v>20249</v>
      </c>
      <c r="AZ2038" s="3" t="s">
        <v>20250</v>
      </c>
      <c r="BA2038" s="3" t="s">
        <v>20250</v>
      </c>
      <c r="BB2038" s="3" t="s">
        <v>20251</v>
      </c>
      <c r="BC2038" s="3" t="s">
        <v>102</v>
      </c>
      <c r="BD2038" s="3" t="s">
        <v>68</v>
      </c>
      <c r="BE2038" s="3" t="s">
        <v>20252</v>
      </c>
      <c r="BF2038" s="3" t="s">
        <v>20251</v>
      </c>
      <c r="BG2038" s="3" t="s">
        <v>20253</v>
      </c>
    </row>
    <row r="2039" spans="1:59" ht="58" x14ac:dyDescent="0.35">
      <c r="A2039" s="2" t="s">
        <v>89</v>
      </c>
      <c r="B2039" s="2" t="s">
        <v>90</v>
      </c>
      <c r="C2039" s="2" t="s">
        <v>20254</v>
      </c>
      <c r="D2039" s="2" t="s">
        <v>20255</v>
      </c>
      <c r="E2039" s="2" t="s">
        <v>20256</v>
      </c>
      <c r="G2039" s="3" t="s">
        <v>62</v>
      </c>
      <c r="I2039" s="3" t="s">
        <v>62</v>
      </c>
      <c r="J2039" s="3" t="s">
        <v>62</v>
      </c>
      <c r="K2039" s="3" t="s">
        <v>63</v>
      </c>
      <c r="L2039" s="2" t="s">
        <v>20257</v>
      </c>
      <c r="M2039" s="2" t="s">
        <v>20258</v>
      </c>
      <c r="N2039" s="3" t="s">
        <v>2985</v>
      </c>
      <c r="P2039" s="3" t="s">
        <v>64</v>
      </c>
      <c r="Q2039" s="2" t="s">
        <v>20001</v>
      </c>
      <c r="R2039" s="3" t="s">
        <v>13065</v>
      </c>
      <c r="S2039" s="4">
        <v>3</v>
      </c>
      <c r="T2039" s="4">
        <v>3</v>
      </c>
      <c r="U2039" s="5" t="s">
        <v>5334</v>
      </c>
      <c r="V2039" s="5" t="s">
        <v>5334</v>
      </c>
      <c r="W2039" s="5" t="s">
        <v>67</v>
      </c>
      <c r="X2039" s="5" t="s">
        <v>67</v>
      </c>
      <c r="Y2039" s="4">
        <v>238</v>
      </c>
      <c r="Z2039" s="4">
        <v>13</v>
      </c>
      <c r="AA2039" s="4">
        <v>20</v>
      </c>
      <c r="AB2039" s="4">
        <v>2</v>
      </c>
      <c r="AC2039" s="4">
        <v>7</v>
      </c>
      <c r="AD2039" s="4">
        <v>57</v>
      </c>
      <c r="AE2039" s="4">
        <v>70</v>
      </c>
      <c r="AF2039" s="4">
        <v>1</v>
      </c>
      <c r="AG2039" s="4">
        <v>3</v>
      </c>
      <c r="AH2039" s="4">
        <v>49</v>
      </c>
      <c r="AI2039" s="4">
        <v>61</v>
      </c>
      <c r="AJ2039" s="4">
        <v>11</v>
      </c>
      <c r="AK2039" s="4">
        <v>14</v>
      </c>
      <c r="AL2039" s="4">
        <v>30</v>
      </c>
      <c r="AM2039" s="4">
        <v>36</v>
      </c>
      <c r="AN2039" s="4">
        <v>0</v>
      </c>
      <c r="AO2039" s="4">
        <v>0</v>
      </c>
      <c r="AP2039" s="4">
        <v>11</v>
      </c>
      <c r="AQ2039" s="4">
        <v>14</v>
      </c>
      <c r="AR2039" s="3" t="s">
        <v>62</v>
      </c>
      <c r="AS2039" s="3" t="s">
        <v>62</v>
      </c>
      <c r="AT2039" s="3" t="s">
        <v>62</v>
      </c>
      <c r="AV2039" s="6" t="str">
        <f>HYPERLINK("http://mcgill.on.worldcat.org/oclc/237402521","Catalog Record")</f>
        <v>Catalog Record</v>
      </c>
      <c r="AW2039" s="6" t="str">
        <f>HYPERLINK("http://www.worldcat.org/oclc/237402521","WorldCat Record")</f>
        <v>WorldCat Record</v>
      </c>
      <c r="AX2039" s="3" t="s">
        <v>20259</v>
      </c>
      <c r="AY2039" s="3" t="s">
        <v>20260</v>
      </c>
      <c r="AZ2039" s="3" t="s">
        <v>20261</v>
      </c>
      <c r="BA2039" s="3" t="s">
        <v>20261</v>
      </c>
      <c r="BB2039" s="3" t="s">
        <v>20262</v>
      </c>
      <c r="BC2039" s="3" t="s">
        <v>102</v>
      </c>
      <c r="BD2039" s="3" t="s">
        <v>68</v>
      </c>
      <c r="BE2039" s="3" t="s">
        <v>20263</v>
      </c>
      <c r="BF2039" s="3" t="s">
        <v>20262</v>
      </c>
      <c r="BG2039" s="3" t="s">
        <v>20264</v>
      </c>
    </row>
    <row r="2040" spans="1:59" ht="58" x14ac:dyDescent="0.35">
      <c r="A2040" s="2" t="s">
        <v>89</v>
      </c>
      <c r="B2040" s="2" t="s">
        <v>6791</v>
      </c>
      <c r="C2040" s="2" t="s">
        <v>20265</v>
      </c>
      <c r="D2040" s="2" t="s">
        <v>20266</v>
      </c>
      <c r="E2040" s="2" t="s">
        <v>20267</v>
      </c>
      <c r="G2040" s="3" t="s">
        <v>62</v>
      </c>
      <c r="I2040" s="3" t="s">
        <v>62</v>
      </c>
      <c r="J2040" s="3" t="s">
        <v>62</v>
      </c>
      <c r="K2040" s="3" t="s">
        <v>63</v>
      </c>
      <c r="L2040" s="2" t="s">
        <v>20268</v>
      </c>
      <c r="M2040" s="2" t="s">
        <v>20269</v>
      </c>
      <c r="N2040" s="3" t="s">
        <v>1455</v>
      </c>
      <c r="P2040" s="3" t="s">
        <v>64</v>
      </c>
      <c r="Q2040" s="2" t="s">
        <v>20270</v>
      </c>
      <c r="R2040" s="3" t="s">
        <v>13065</v>
      </c>
      <c r="S2040" s="4">
        <v>15</v>
      </c>
      <c r="T2040" s="4">
        <v>15</v>
      </c>
      <c r="W2040" s="5" t="s">
        <v>67</v>
      </c>
      <c r="X2040" s="5" t="s">
        <v>67</v>
      </c>
      <c r="Y2040" s="4">
        <v>68</v>
      </c>
      <c r="Z2040" s="4">
        <v>9</v>
      </c>
      <c r="AA2040" s="4">
        <v>10</v>
      </c>
      <c r="AB2040" s="4">
        <v>2</v>
      </c>
      <c r="AC2040" s="4">
        <v>3</v>
      </c>
      <c r="AD2040" s="4">
        <v>22</v>
      </c>
      <c r="AE2040" s="4">
        <v>23</v>
      </c>
      <c r="AF2040" s="4">
        <v>1</v>
      </c>
      <c r="AG2040" s="4">
        <v>2</v>
      </c>
      <c r="AH2040" s="4">
        <v>16</v>
      </c>
      <c r="AI2040" s="4">
        <v>17</v>
      </c>
      <c r="AJ2040" s="4">
        <v>6</v>
      </c>
      <c r="AK2040" s="4">
        <v>7</v>
      </c>
      <c r="AL2040" s="4">
        <v>11</v>
      </c>
      <c r="AM2040" s="4">
        <v>11</v>
      </c>
      <c r="AN2040" s="4">
        <v>0</v>
      </c>
      <c r="AO2040" s="4">
        <v>0</v>
      </c>
      <c r="AP2040" s="4">
        <v>7</v>
      </c>
      <c r="AQ2040" s="4">
        <v>8</v>
      </c>
      <c r="AR2040" s="3" t="s">
        <v>62</v>
      </c>
      <c r="AS2040" s="3" t="s">
        <v>62</v>
      </c>
      <c r="AT2040" s="3" t="s">
        <v>62</v>
      </c>
      <c r="AV2040" s="6" t="str">
        <f>HYPERLINK("http://mcgill.on.worldcat.org/oclc/879370724","Catalog Record")</f>
        <v>Catalog Record</v>
      </c>
      <c r="AW2040" s="6" t="str">
        <f>HYPERLINK("http://www.worldcat.org/oclc/879370724","WorldCat Record")</f>
        <v>WorldCat Record</v>
      </c>
      <c r="AX2040" s="3" t="s">
        <v>20271</v>
      </c>
      <c r="AY2040" s="3" t="s">
        <v>20272</v>
      </c>
      <c r="AZ2040" s="3" t="s">
        <v>20273</v>
      </c>
      <c r="BA2040" s="3" t="s">
        <v>20273</v>
      </c>
      <c r="BB2040" s="3" t="s">
        <v>20274</v>
      </c>
      <c r="BC2040" s="3" t="s">
        <v>102</v>
      </c>
      <c r="BD2040" s="3" t="s">
        <v>231</v>
      </c>
      <c r="BE2040" s="3" t="s">
        <v>20275</v>
      </c>
      <c r="BF2040" s="3" t="s">
        <v>20274</v>
      </c>
      <c r="BG2040" s="3" t="s">
        <v>20276</v>
      </c>
    </row>
    <row r="2041" spans="1:59" ht="58" x14ac:dyDescent="0.35">
      <c r="A2041" s="2" t="s">
        <v>89</v>
      </c>
      <c r="B2041" s="2" t="s">
        <v>90</v>
      </c>
      <c r="C2041" s="2" t="s">
        <v>20277</v>
      </c>
      <c r="D2041" s="2" t="s">
        <v>20278</v>
      </c>
      <c r="E2041" s="2" t="s">
        <v>20279</v>
      </c>
      <c r="G2041" s="3" t="s">
        <v>62</v>
      </c>
      <c r="I2041" s="3" t="s">
        <v>62</v>
      </c>
      <c r="J2041" s="3" t="s">
        <v>62</v>
      </c>
      <c r="K2041" s="3" t="s">
        <v>63</v>
      </c>
      <c r="M2041" s="2" t="s">
        <v>20154</v>
      </c>
      <c r="N2041" s="3" t="s">
        <v>640</v>
      </c>
      <c r="O2041" s="2" t="s">
        <v>2986</v>
      </c>
      <c r="P2041" s="3" t="s">
        <v>64</v>
      </c>
      <c r="Q2041" s="2" t="s">
        <v>20280</v>
      </c>
      <c r="R2041" s="3" t="s">
        <v>13065</v>
      </c>
      <c r="S2041" s="4">
        <v>5</v>
      </c>
      <c r="T2041" s="4">
        <v>5</v>
      </c>
      <c r="U2041" s="5" t="s">
        <v>20281</v>
      </c>
      <c r="V2041" s="5" t="s">
        <v>20281</v>
      </c>
      <c r="W2041" s="5" t="s">
        <v>67</v>
      </c>
      <c r="X2041" s="5" t="s">
        <v>67</v>
      </c>
      <c r="Y2041" s="4">
        <v>107</v>
      </c>
      <c r="Z2041" s="4">
        <v>12</v>
      </c>
      <c r="AA2041" s="4">
        <v>21</v>
      </c>
      <c r="AB2041" s="4">
        <v>1</v>
      </c>
      <c r="AC2041" s="4">
        <v>2</v>
      </c>
      <c r="AD2041" s="4">
        <v>27</v>
      </c>
      <c r="AE2041" s="4">
        <v>47</v>
      </c>
      <c r="AF2041" s="4">
        <v>0</v>
      </c>
      <c r="AG2041" s="4">
        <v>1</v>
      </c>
      <c r="AH2041" s="4">
        <v>22</v>
      </c>
      <c r="AI2041" s="4">
        <v>34</v>
      </c>
      <c r="AJ2041" s="4">
        <v>8</v>
      </c>
      <c r="AK2041" s="4">
        <v>11</v>
      </c>
      <c r="AL2041" s="4">
        <v>7</v>
      </c>
      <c r="AM2041" s="4">
        <v>15</v>
      </c>
      <c r="AN2041" s="4">
        <v>0</v>
      </c>
      <c r="AO2041" s="4">
        <v>0</v>
      </c>
      <c r="AP2041" s="4">
        <v>9</v>
      </c>
      <c r="AQ2041" s="4">
        <v>17</v>
      </c>
      <c r="AR2041" s="3" t="s">
        <v>62</v>
      </c>
      <c r="AS2041" s="3" t="s">
        <v>62</v>
      </c>
      <c r="AT2041" s="3" t="s">
        <v>62</v>
      </c>
      <c r="AV2041" s="6" t="str">
        <f>HYPERLINK("http://mcgill.on.worldcat.org/oclc/53285271","Catalog Record")</f>
        <v>Catalog Record</v>
      </c>
      <c r="AW2041" s="6" t="str">
        <f>HYPERLINK("http://www.worldcat.org/oclc/53285271","WorldCat Record")</f>
        <v>WorldCat Record</v>
      </c>
      <c r="AX2041" s="3" t="s">
        <v>20282</v>
      </c>
      <c r="AY2041" s="3" t="s">
        <v>20283</v>
      </c>
      <c r="AZ2041" s="3" t="s">
        <v>20284</v>
      </c>
      <c r="BA2041" s="3" t="s">
        <v>20284</v>
      </c>
      <c r="BB2041" s="3" t="s">
        <v>20285</v>
      </c>
      <c r="BC2041" s="3" t="s">
        <v>102</v>
      </c>
      <c r="BD2041" s="3" t="s">
        <v>68</v>
      </c>
      <c r="BE2041" s="3" t="s">
        <v>20286</v>
      </c>
      <c r="BF2041" s="3" t="s">
        <v>20285</v>
      </c>
      <c r="BG2041" s="3" t="s">
        <v>20287</v>
      </c>
    </row>
    <row r="2042" spans="1:59" ht="58" x14ac:dyDescent="0.35">
      <c r="A2042" s="2" t="s">
        <v>89</v>
      </c>
      <c r="B2042" s="2" t="s">
        <v>90</v>
      </c>
      <c r="C2042" s="2" t="s">
        <v>20288</v>
      </c>
      <c r="D2042" s="2" t="s">
        <v>20289</v>
      </c>
      <c r="E2042" s="2" t="s">
        <v>20290</v>
      </c>
      <c r="G2042" s="3" t="s">
        <v>62</v>
      </c>
      <c r="I2042" s="3" t="s">
        <v>62</v>
      </c>
      <c r="J2042" s="3" t="s">
        <v>62</v>
      </c>
      <c r="K2042" s="3" t="s">
        <v>63</v>
      </c>
      <c r="M2042" s="2" t="s">
        <v>20291</v>
      </c>
      <c r="N2042" s="3" t="s">
        <v>625</v>
      </c>
      <c r="P2042" s="3" t="s">
        <v>64</v>
      </c>
      <c r="R2042" s="3" t="s">
        <v>13065</v>
      </c>
      <c r="S2042" s="4">
        <v>6</v>
      </c>
      <c r="T2042" s="4">
        <v>6</v>
      </c>
      <c r="U2042" s="5" t="s">
        <v>20281</v>
      </c>
      <c r="V2042" s="5" t="s">
        <v>20281</v>
      </c>
      <c r="W2042" s="5" t="s">
        <v>67</v>
      </c>
      <c r="X2042" s="5" t="s">
        <v>67</v>
      </c>
      <c r="Y2042" s="4">
        <v>202</v>
      </c>
      <c r="Z2042" s="4">
        <v>8</v>
      </c>
      <c r="AA2042" s="4">
        <v>71</v>
      </c>
      <c r="AB2042" s="4">
        <v>2</v>
      </c>
      <c r="AC2042" s="4">
        <v>15</v>
      </c>
      <c r="AD2042" s="4">
        <v>35</v>
      </c>
      <c r="AE2042" s="4">
        <v>102</v>
      </c>
      <c r="AF2042" s="4">
        <v>1</v>
      </c>
      <c r="AG2042" s="4">
        <v>8</v>
      </c>
      <c r="AH2042" s="4">
        <v>31</v>
      </c>
      <c r="AI2042" s="4">
        <v>70</v>
      </c>
      <c r="AJ2042" s="4">
        <v>5</v>
      </c>
      <c r="AK2042" s="4">
        <v>19</v>
      </c>
      <c r="AL2042" s="4">
        <v>16</v>
      </c>
      <c r="AM2042" s="4">
        <v>34</v>
      </c>
      <c r="AN2042" s="4">
        <v>0</v>
      </c>
      <c r="AO2042" s="4">
        <v>0</v>
      </c>
      <c r="AP2042" s="4">
        <v>7</v>
      </c>
      <c r="AQ2042" s="4">
        <v>37</v>
      </c>
      <c r="AR2042" s="3" t="s">
        <v>62</v>
      </c>
      <c r="AS2042" s="3" t="s">
        <v>62</v>
      </c>
      <c r="AT2042" s="3" t="s">
        <v>62</v>
      </c>
      <c r="AV2042" s="6" t="str">
        <f>HYPERLINK("http://mcgill.on.worldcat.org/oclc/48834720","Catalog Record")</f>
        <v>Catalog Record</v>
      </c>
      <c r="AW2042" s="6" t="str">
        <f>HYPERLINK("http://www.worldcat.org/oclc/48834720","WorldCat Record")</f>
        <v>WorldCat Record</v>
      </c>
      <c r="AX2042" s="3" t="s">
        <v>20292</v>
      </c>
      <c r="AY2042" s="3" t="s">
        <v>20293</v>
      </c>
      <c r="AZ2042" s="3" t="s">
        <v>20294</v>
      </c>
      <c r="BA2042" s="3" t="s">
        <v>20294</v>
      </c>
      <c r="BB2042" s="3" t="s">
        <v>20295</v>
      </c>
      <c r="BC2042" s="3" t="s">
        <v>102</v>
      </c>
      <c r="BD2042" s="3" t="s">
        <v>68</v>
      </c>
      <c r="BE2042" s="3" t="s">
        <v>20296</v>
      </c>
      <c r="BF2042" s="3" t="s">
        <v>20295</v>
      </c>
      <c r="BG2042" s="3" t="s">
        <v>20297</v>
      </c>
    </row>
    <row r="2043" spans="1:59" ht="58" x14ac:dyDescent="0.35">
      <c r="A2043" s="2" t="s">
        <v>89</v>
      </c>
      <c r="B2043" s="2" t="s">
        <v>90</v>
      </c>
      <c r="C2043" s="2" t="s">
        <v>20298</v>
      </c>
      <c r="D2043" s="2" t="s">
        <v>20299</v>
      </c>
      <c r="E2043" s="2" t="s">
        <v>19965</v>
      </c>
      <c r="G2043" s="3" t="s">
        <v>62</v>
      </c>
      <c r="I2043" s="3" t="s">
        <v>62</v>
      </c>
      <c r="J2043" s="3" t="s">
        <v>61</v>
      </c>
      <c r="K2043" s="3" t="s">
        <v>63</v>
      </c>
      <c r="L2043" s="2" t="s">
        <v>19966</v>
      </c>
      <c r="M2043" s="2" t="s">
        <v>20300</v>
      </c>
      <c r="N2043" s="3" t="s">
        <v>655</v>
      </c>
      <c r="O2043" s="2" t="s">
        <v>17427</v>
      </c>
      <c r="P2043" s="3" t="s">
        <v>64</v>
      </c>
      <c r="R2043" s="3" t="s">
        <v>13065</v>
      </c>
      <c r="S2043" s="4">
        <v>34</v>
      </c>
      <c r="T2043" s="4">
        <v>34</v>
      </c>
      <c r="U2043" s="5" t="s">
        <v>20281</v>
      </c>
      <c r="V2043" s="5" t="s">
        <v>20281</v>
      </c>
      <c r="W2043" s="5" t="s">
        <v>67</v>
      </c>
      <c r="X2043" s="5" t="s">
        <v>67</v>
      </c>
      <c r="Y2043" s="4">
        <v>223</v>
      </c>
      <c r="Z2043" s="4">
        <v>12</v>
      </c>
      <c r="AA2043" s="4">
        <v>78</v>
      </c>
      <c r="AB2043" s="4">
        <v>1</v>
      </c>
      <c r="AC2043" s="4">
        <v>14</v>
      </c>
      <c r="AD2043" s="4">
        <v>37</v>
      </c>
      <c r="AE2043" s="4">
        <v>120</v>
      </c>
      <c r="AF2043" s="4">
        <v>0</v>
      </c>
      <c r="AG2043" s="4">
        <v>6</v>
      </c>
      <c r="AH2043" s="4">
        <v>30</v>
      </c>
      <c r="AI2043" s="4">
        <v>80</v>
      </c>
      <c r="AJ2043" s="4">
        <v>4</v>
      </c>
      <c r="AK2043" s="4">
        <v>20</v>
      </c>
      <c r="AL2043" s="4">
        <v>19</v>
      </c>
      <c r="AM2043" s="4">
        <v>42</v>
      </c>
      <c r="AN2043" s="4">
        <v>0</v>
      </c>
      <c r="AO2043" s="4">
        <v>0</v>
      </c>
      <c r="AP2043" s="4">
        <v>7</v>
      </c>
      <c r="AQ2043" s="4">
        <v>45</v>
      </c>
      <c r="AR2043" s="3" t="s">
        <v>62</v>
      </c>
      <c r="AS2043" s="3" t="s">
        <v>62</v>
      </c>
      <c r="AT2043" s="3" t="s">
        <v>61</v>
      </c>
      <c r="AU2043" s="6" t="str">
        <f>HYPERLINK("http://catalog.hathitrust.org/Record/005690202","HathiTrust Record")</f>
        <v>HathiTrust Record</v>
      </c>
      <c r="AV2043" s="6" t="str">
        <f>HYPERLINK("http://mcgill.on.worldcat.org/oclc/62331079","Catalog Record")</f>
        <v>Catalog Record</v>
      </c>
      <c r="AW2043" s="6" t="str">
        <f>HYPERLINK("http://www.worldcat.org/oclc/62331079","WorldCat Record")</f>
        <v>WorldCat Record</v>
      </c>
      <c r="AX2043" s="3" t="s">
        <v>19968</v>
      </c>
      <c r="AY2043" s="3" t="s">
        <v>20301</v>
      </c>
      <c r="AZ2043" s="3" t="s">
        <v>20302</v>
      </c>
      <c r="BA2043" s="3" t="s">
        <v>20302</v>
      </c>
      <c r="BB2043" s="3" t="s">
        <v>20303</v>
      </c>
      <c r="BC2043" s="3" t="s">
        <v>102</v>
      </c>
      <c r="BD2043" s="3" t="s">
        <v>68</v>
      </c>
      <c r="BE2043" s="3" t="s">
        <v>20304</v>
      </c>
      <c r="BF2043" s="3" t="s">
        <v>20303</v>
      </c>
      <c r="BG2043" s="3" t="s">
        <v>20305</v>
      </c>
    </row>
    <row r="2044" spans="1:59" ht="58" x14ac:dyDescent="0.35">
      <c r="A2044" s="2" t="s">
        <v>89</v>
      </c>
      <c r="B2044" s="2" t="s">
        <v>90</v>
      </c>
      <c r="C2044" s="2" t="s">
        <v>20306</v>
      </c>
      <c r="D2044" s="2" t="s">
        <v>20307</v>
      </c>
      <c r="E2044" s="2" t="s">
        <v>20308</v>
      </c>
      <c r="G2044" s="3" t="s">
        <v>62</v>
      </c>
      <c r="I2044" s="3" t="s">
        <v>62</v>
      </c>
      <c r="J2044" s="3" t="s">
        <v>61</v>
      </c>
      <c r="K2044" s="3" t="s">
        <v>63</v>
      </c>
      <c r="L2044" s="2" t="s">
        <v>19966</v>
      </c>
      <c r="M2044" s="2" t="s">
        <v>20309</v>
      </c>
      <c r="N2044" s="3" t="s">
        <v>1722</v>
      </c>
      <c r="O2044" s="2" t="s">
        <v>20310</v>
      </c>
      <c r="P2044" s="3" t="s">
        <v>64</v>
      </c>
      <c r="R2044" s="3" t="s">
        <v>13065</v>
      </c>
      <c r="S2044" s="4">
        <v>30</v>
      </c>
      <c r="T2044" s="4">
        <v>30</v>
      </c>
      <c r="U2044" s="5" t="s">
        <v>20311</v>
      </c>
      <c r="V2044" s="5" t="s">
        <v>20311</v>
      </c>
      <c r="W2044" s="5" t="s">
        <v>67</v>
      </c>
      <c r="X2044" s="5" t="s">
        <v>67</v>
      </c>
      <c r="Y2044" s="4">
        <v>33</v>
      </c>
      <c r="Z2044" s="4">
        <v>28</v>
      </c>
      <c r="AA2044" s="4">
        <v>78</v>
      </c>
      <c r="AB2044" s="4">
        <v>1</v>
      </c>
      <c r="AC2044" s="4">
        <v>14</v>
      </c>
      <c r="AD2044" s="4">
        <v>20</v>
      </c>
      <c r="AE2044" s="4">
        <v>120</v>
      </c>
      <c r="AF2044" s="4">
        <v>0</v>
      </c>
      <c r="AG2044" s="4">
        <v>6</v>
      </c>
      <c r="AH2044" s="4">
        <v>7</v>
      </c>
      <c r="AI2044" s="4">
        <v>80</v>
      </c>
      <c r="AJ2044" s="4">
        <v>10</v>
      </c>
      <c r="AK2044" s="4">
        <v>20</v>
      </c>
      <c r="AL2044" s="4">
        <v>1</v>
      </c>
      <c r="AM2044" s="4">
        <v>42</v>
      </c>
      <c r="AN2044" s="4">
        <v>0</v>
      </c>
      <c r="AO2044" s="4">
        <v>0</v>
      </c>
      <c r="AP2044" s="4">
        <v>19</v>
      </c>
      <c r="AQ2044" s="4">
        <v>45</v>
      </c>
      <c r="AR2044" s="3" t="s">
        <v>61</v>
      </c>
      <c r="AS2044" s="3" t="s">
        <v>62</v>
      </c>
      <c r="AT2044" s="3" t="s">
        <v>62</v>
      </c>
      <c r="AV2044" s="6" t="str">
        <f>HYPERLINK("http://mcgill.on.worldcat.org/oclc/85737393","Catalog Record")</f>
        <v>Catalog Record</v>
      </c>
      <c r="AW2044" s="6" t="str">
        <f>HYPERLINK("http://www.worldcat.org/oclc/85737393","WorldCat Record")</f>
        <v>WorldCat Record</v>
      </c>
      <c r="AX2044" s="3" t="s">
        <v>19968</v>
      </c>
      <c r="AY2044" s="3" t="s">
        <v>20312</v>
      </c>
      <c r="AZ2044" s="3" t="s">
        <v>20313</v>
      </c>
      <c r="BA2044" s="3" t="s">
        <v>20313</v>
      </c>
      <c r="BB2044" s="3" t="s">
        <v>20314</v>
      </c>
      <c r="BC2044" s="3" t="s">
        <v>102</v>
      </c>
      <c r="BD2044" s="3" t="s">
        <v>68</v>
      </c>
      <c r="BE2044" s="3" t="s">
        <v>20315</v>
      </c>
      <c r="BF2044" s="3" t="s">
        <v>20314</v>
      </c>
      <c r="BG2044" s="3" t="s">
        <v>20316</v>
      </c>
    </row>
    <row r="2045" spans="1:59" ht="58" x14ac:dyDescent="0.35">
      <c r="A2045" s="2" t="s">
        <v>89</v>
      </c>
      <c r="B2045" s="2" t="s">
        <v>90</v>
      </c>
      <c r="C2045" s="2" t="s">
        <v>20317</v>
      </c>
      <c r="D2045" s="2" t="s">
        <v>20318</v>
      </c>
      <c r="E2045" s="2" t="s">
        <v>20319</v>
      </c>
      <c r="G2045" s="3" t="s">
        <v>62</v>
      </c>
      <c r="I2045" s="3" t="s">
        <v>62</v>
      </c>
      <c r="J2045" s="3" t="s">
        <v>62</v>
      </c>
      <c r="K2045" s="3" t="s">
        <v>63</v>
      </c>
      <c r="L2045" s="2" t="s">
        <v>20320</v>
      </c>
      <c r="M2045" s="2" t="s">
        <v>20321</v>
      </c>
      <c r="N2045" s="3" t="s">
        <v>129</v>
      </c>
      <c r="P2045" s="3" t="s">
        <v>64</v>
      </c>
      <c r="R2045" s="3" t="s">
        <v>13065</v>
      </c>
      <c r="S2045" s="4">
        <v>0</v>
      </c>
      <c r="T2045" s="4">
        <v>0</v>
      </c>
      <c r="W2045" s="5" t="s">
        <v>67</v>
      </c>
      <c r="X2045" s="5" t="s">
        <v>67</v>
      </c>
      <c r="Y2045" s="4">
        <v>27</v>
      </c>
      <c r="Z2045" s="4">
        <v>1</v>
      </c>
      <c r="AA2045" s="4">
        <v>1</v>
      </c>
      <c r="AB2045" s="4">
        <v>1</v>
      </c>
      <c r="AC2045" s="4">
        <v>1</v>
      </c>
      <c r="AD2045" s="4">
        <v>4</v>
      </c>
      <c r="AE2045" s="4">
        <v>4</v>
      </c>
      <c r="AF2045" s="4">
        <v>0</v>
      </c>
      <c r="AG2045" s="4">
        <v>0</v>
      </c>
      <c r="AH2045" s="4">
        <v>3</v>
      </c>
      <c r="AI2045" s="4">
        <v>3</v>
      </c>
      <c r="AJ2045" s="4">
        <v>0</v>
      </c>
      <c r="AK2045" s="4">
        <v>0</v>
      </c>
      <c r="AL2045" s="4">
        <v>2</v>
      </c>
      <c r="AM2045" s="4">
        <v>2</v>
      </c>
      <c r="AN2045" s="4">
        <v>0</v>
      </c>
      <c r="AO2045" s="4">
        <v>0</v>
      </c>
      <c r="AP2045" s="4">
        <v>0</v>
      </c>
      <c r="AQ2045" s="4">
        <v>0</v>
      </c>
      <c r="AR2045" s="3" t="s">
        <v>62</v>
      </c>
      <c r="AS2045" s="3" t="s">
        <v>62</v>
      </c>
      <c r="AT2045" s="3" t="s">
        <v>62</v>
      </c>
      <c r="AV2045" s="6" t="str">
        <f>HYPERLINK("http://mcgill.on.worldcat.org/oclc/778421168","Catalog Record")</f>
        <v>Catalog Record</v>
      </c>
      <c r="AW2045" s="6" t="str">
        <f>HYPERLINK("http://www.worldcat.org/oclc/778421168","WorldCat Record")</f>
        <v>WorldCat Record</v>
      </c>
      <c r="AX2045" s="3" t="s">
        <v>20322</v>
      </c>
      <c r="AY2045" s="3" t="s">
        <v>20323</v>
      </c>
      <c r="AZ2045" s="3" t="s">
        <v>20324</v>
      </c>
      <c r="BA2045" s="3" t="s">
        <v>20324</v>
      </c>
      <c r="BB2045" s="3" t="s">
        <v>20325</v>
      </c>
      <c r="BC2045" s="3" t="s">
        <v>102</v>
      </c>
      <c r="BD2045" s="3" t="s">
        <v>68</v>
      </c>
      <c r="BE2045" s="3" t="s">
        <v>20326</v>
      </c>
      <c r="BF2045" s="3" t="s">
        <v>20325</v>
      </c>
      <c r="BG2045" s="3" t="s">
        <v>20327</v>
      </c>
    </row>
    <row r="2046" spans="1:59" ht="58" x14ac:dyDescent="0.35">
      <c r="A2046" s="2" t="s">
        <v>89</v>
      </c>
      <c r="B2046" s="2" t="s">
        <v>6791</v>
      </c>
      <c r="C2046" s="2" t="s">
        <v>20328</v>
      </c>
      <c r="D2046" s="2" t="s">
        <v>20329</v>
      </c>
      <c r="E2046" s="2" t="s">
        <v>20330</v>
      </c>
      <c r="G2046" s="3" t="s">
        <v>62</v>
      </c>
      <c r="I2046" s="3" t="s">
        <v>62</v>
      </c>
      <c r="J2046" s="3" t="s">
        <v>62</v>
      </c>
      <c r="K2046" s="3" t="s">
        <v>63</v>
      </c>
      <c r="L2046" s="2" t="s">
        <v>20331</v>
      </c>
      <c r="M2046" s="2" t="s">
        <v>20332</v>
      </c>
      <c r="N2046" s="3" t="s">
        <v>640</v>
      </c>
      <c r="P2046" s="3" t="s">
        <v>64</v>
      </c>
      <c r="R2046" s="3" t="s">
        <v>13065</v>
      </c>
      <c r="S2046" s="4">
        <v>18</v>
      </c>
      <c r="T2046" s="4">
        <v>18</v>
      </c>
      <c r="U2046" s="5" t="s">
        <v>14331</v>
      </c>
      <c r="V2046" s="5" t="s">
        <v>14331</v>
      </c>
      <c r="W2046" s="5" t="s">
        <v>67</v>
      </c>
      <c r="X2046" s="5" t="s">
        <v>67</v>
      </c>
      <c r="Y2046" s="4">
        <v>366</v>
      </c>
      <c r="Z2046" s="4">
        <v>23</v>
      </c>
      <c r="AA2046" s="4">
        <v>24</v>
      </c>
      <c r="AB2046" s="4">
        <v>1</v>
      </c>
      <c r="AC2046" s="4">
        <v>1</v>
      </c>
      <c r="AD2046" s="4">
        <v>75</v>
      </c>
      <c r="AE2046" s="4">
        <v>76</v>
      </c>
      <c r="AF2046" s="4">
        <v>0</v>
      </c>
      <c r="AG2046" s="4">
        <v>0</v>
      </c>
      <c r="AH2046" s="4">
        <v>63</v>
      </c>
      <c r="AI2046" s="4">
        <v>63</v>
      </c>
      <c r="AJ2046" s="4">
        <v>13</v>
      </c>
      <c r="AK2046" s="4">
        <v>13</v>
      </c>
      <c r="AL2046" s="4">
        <v>30</v>
      </c>
      <c r="AM2046" s="4">
        <v>30</v>
      </c>
      <c r="AN2046" s="4">
        <v>0</v>
      </c>
      <c r="AO2046" s="4">
        <v>0</v>
      </c>
      <c r="AP2046" s="4">
        <v>17</v>
      </c>
      <c r="AQ2046" s="4">
        <v>18</v>
      </c>
      <c r="AR2046" s="3" t="s">
        <v>62</v>
      </c>
      <c r="AS2046" s="3" t="s">
        <v>62</v>
      </c>
      <c r="AT2046" s="3" t="s">
        <v>62</v>
      </c>
      <c r="AV2046" s="6" t="str">
        <f>HYPERLINK("http://mcgill.on.worldcat.org/oclc/53325071","Catalog Record")</f>
        <v>Catalog Record</v>
      </c>
      <c r="AW2046" s="6" t="str">
        <f>HYPERLINK("http://www.worldcat.org/oclc/53325071","WorldCat Record")</f>
        <v>WorldCat Record</v>
      </c>
      <c r="AX2046" s="3" t="s">
        <v>20333</v>
      </c>
      <c r="AY2046" s="3" t="s">
        <v>20334</v>
      </c>
      <c r="AZ2046" s="3" t="s">
        <v>20335</v>
      </c>
      <c r="BA2046" s="3" t="s">
        <v>20335</v>
      </c>
      <c r="BB2046" s="3" t="s">
        <v>20336</v>
      </c>
      <c r="BC2046" s="3" t="s">
        <v>102</v>
      </c>
      <c r="BD2046" s="3" t="s">
        <v>231</v>
      </c>
      <c r="BE2046" s="3" t="s">
        <v>20337</v>
      </c>
      <c r="BF2046" s="3" t="s">
        <v>20336</v>
      </c>
      <c r="BG2046" s="3" t="s">
        <v>20338</v>
      </c>
    </row>
    <row r="2047" spans="1:59" ht="58" x14ac:dyDescent="0.35">
      <c r="A2047" s="2" t="s">
        <v>89</v>
      </c>
      <c r="B2047" s="2" t="s">
        <v>90</v>
      </c>
      <c r="C2047" s="2" t="s">
        <v>20339</v>
      </c>
      <c r="D2047" s="2" t="s">
        <v>20340</v>
      </c>
      <c r="E2047" s="2" t="s">
        <v>20341</v>
      </c>
      <c r="G2047" s="3" t="s">
        <v>62</v>
      </c>
      <c r="I2047" s="3" t="s">
        <v>62</v>
      </c>
      <c r="J2047" s="3" t="s">
        <v>62</v>
      </c>
      <c r="K2047" s="3" t="s">
        <v>63</v>
      </c>
      <c r="L2047" s="2" t="s">
        <v>20342</v>
      </c>
      <c r="M2047" s="2" t="s">
        <v>20343</v>
      </c>
      <c r="N2047" s="3" t="s">
        <v>1038</v>
      </c>
      <c r="P2047" s="3" t="s">
        <v>64</v>
      </c>
      <c r="R2047" s="3" t="s">
        <v>13065</v>
      </c>
      <c r="S2047" s="4">
        <v>0</v>
      </c>
      <c r="T2047" s="4">
        <v>0</v>
      </c>
      <c r="W2047" s="5" t="s">
        <v>67</v>
      </c>
      <c r="X2047" s="5" t="s">
        <v>67</v>
      </c>
      <c r="Y2047" s="4">
        <v>53</v>
      </c>
      <c r="Z2047" s="4">
        <v>4</v>
      </c>
      <c r="AA2047" s="4">
        <v>4</v>
      </c>
      <c r="AB2047" s="4">
        <v>2</v>
      </c>
      <c r="AC2047" s="4">
        <v>2</v>
      </c>
      <c r="AD2047" s="4">
        <v>11</v>
      </c>
      <c r="AE2047" s="4">
        <v>11</v>
      </c>
      <c r="AF2047" s="4">
        <v>1</v>
      </c>
      <c r="AG2047" s="4">
        <v>1</v>
      </c>
      <c r="AH2047" s="4">
        <v>9</v>
      </c>
      <c r="AI2047" s="4">
        <v>9</v>
      </c>
      <c r="AJ2047" s="4">
        <v>2</v>
      </c>
      <c r="AK2047" s="4">
        <v>2</v>
      </c>
      <c r="AL2047" s="4">
        <v>3</v>
      </c>
      <c r="AM2047" s="4">
        <v>3</v>
      </c>
      <c r="AN2047" s="4">
        <v>0</v>
      </c>
      <c r="AO2047" s="4">
        <v>0</v>
      </c>
      <c r="AP2047" s="4">
        <v>2</v>
      </c>
      <c r="AQ2047" s="4">
        <v>2</v>
      </c>
      <c r="AR2047" s="3" t="s">
        <v>62</v>
      </c>
      <c r="AS2047" s="3" t="s">
        <v>62</v>
      </c>
      <c r="AT2047" s="3" t="s">
        <v>62</v>
      </c>
      <c r="AV2047" s="6" t="str">
        <f>HYPERLINK("http://mcgill.on.worldcat.org/oclc/938390429","Catalog Record")</f>
        <v>Catalog Record</v>
      </c>
      <c r="AW2047" s="6" t="str">
        <f>HYPERLINK("http://www.worldcat.org/oclc/938390429","WorldCat Record")</f>
        <v>WorldCat Record</v>
      </c>
      <c r="AX2047" s="3" t="s">
        <v>20344</v>
      </c>
      <c r="AY2047" s="3" t="s">
        <v>20345</v>
      </c>
      <c r="AZ2047" s="3" t="s">
        <v>20346</v>
      </c>
      <c r="BA2047" s="3" t="s">
        <v>20346</v>
      </c>
      <c r="BB2047" s="3" t="s">
        <v>20347</v>
      </c>
      <c r="BC2047" s="3" t="s">
        <v>102</v>
      </c>
      <c r="BD2047" s="3" t="s">
        <v>68</v>
      </c>
      <c r="BE2047" s="3" t="s">
        <v>20348</v>
      </c>
      <c r="BF2047" s="3" t="s">
        <v>20347</v>
      </c>
      <c r="BG2047" s="3" t="s">
        <v>20349</v>
      </c>
    </row>
    <row r="2048" spans="1:59" ht="58" x14ac:dyDescent="0.35">
      <c r="A2048" s="2" t="s">
        <v>89</v>
      </c>
      <c r="B2048" s="2" t="s">
        <v>90</v>
      </c>
      <c r="C2048" s="2" t="s">
        <v>20350</v>
      </c>
      <c r="D2048" s="2" t="s">
        <v>20351</v>
      </c>
      <c r="E2048" s="2" t="s">
        <v>20352</v>
      </c>
      <c r="G2048" s="3" t="s">
        <v>62</v>
      </c>
      <c r="I2048" s="3" t="s">
        <v>62</v>
      </c>
      <c r="J2048" s="3" t="s">
        <v>61</v>
      </c>
      <c r="K2048" s="3" t="s">
        <v>63</v>
      </c>
      <c r="L2048" s="2" t="s">
        <v>20353</v>
      </c>
      <c r="M2048" s="2" t="s">
        <v>20354</v>
      </c>
      <c r="N2048" s="3" t="s">
        <v>1195</v>
      </c>
      <c r="O2048" s="2" t="s">
        <v>2986</v>
      </c>
      <c r="P2048" s="3" t="s">
        <v>64</v>
      </c>
      <c r="R2048" s="3" t="s">
        <v>13065</v>
      </c>
      <c r="S2048" s="4">
        <v>9</v>
      </c>
      <c r="T2048" s="4">
        <v>9</v>
      </c>
      <c r="U2048" s="5" t="s">
        <v>20355</v>
      </c>
      <c r="V2048" s="5" t="s">
        <v>20355</v>
      </c>
      <c r="W2048" s="5" t="s">
        <v>67</v>
      </c>
      <c r="X2048" s="5" t="s">
        <v>67</v>
      </c>
      <c r="Y2048" s="4">
        <v>108</v>
      </c>
      <c r="Z2048" s="4">
        <v>2</v>
      </c>
      <c r="AA2048" s="4">
        <v>22</v>
      </c>
      <c r="AB2048" s="4">
        <v>1</v>
      </c>
      <c r="AC2048" s="4">
        <v>6</v>
      </c>
      <c r="AD2048" s="4">
        <v>20</v>
      </c>
      <c r="AE2048" s="4">
        <v>82</v>
      </c>
      <c r="AF2048" s="4">
        <v>0</v>
      </c>
      <c r="AG2048" s="4">
        <v>2</v>
      </c>
      <c r="AH2048" s="4">
        <v>19</v>
      </c>
      <c r="AI2048" s="4">
        <v>71</v>
      </c>
      <c r="AJ2048" s="4">
        <v>1</v>
      </c>
      <c r="AK2048" s="4">
        <v>14</v>
      </c>
      <c r="AL2048" s="4">
        <v>11</v>
      </c>
      <c r="AM2048" s="4">
        <v>35</v>
      </c>
      <c r="AN2048" s="4">
        <v>0</v>
      </c>
      <c r="AO2048" s="4">
        <v>0</v>
      </c>
      <c r="AP2048" s="4">
        <v>1</v>
      </c>
      <c r="AQ2048" s="4">
        <v>15</v>
      </c>
      <c r="AR2048" s="3" t="s">
        <v>62</v>
      </c>
      <c r="AS2048" s="3" t="s">
        <v>62</v>
      </c>
      <c r="AT2048" s="3" t="s">
        <v>62</v>
      </c>
      <c r="AV2048" s="6" t="str">
        <f>HYPERLINK("http://mcgill.on.worldcat.org/oclc/61758657","Catalog Record")</f>
        <v>Catalog Record</v>
      </c>
      <c r="AW2048" s="6" t="str">
        <f>HYPERLINK("http://www.worldcat.org/oclc/61758657","WorldCat Record")</f>
        <v>WorldCat Record</v>
      </c>
      <c r="AX2048" s="3" t="s">
        <v>20356</v>
      </c>
      <c r="AY2048" s="3" t="s">
        <v>20357</v>
      </c>
      <c r="AZ2048" s="3" t="s">
        <v>20358</v>
      </c>
      <c r="BA2048" s="3" t="s">
        <v>20358</v>
      </c>
      <c r="BB2048" s="3" t="s">
        <v>20359</v>
      </c>
      <c r="BC2048" s="3" t="s">
        <v>102</v>
      </c>
      <c r="BD2048" s="3" t="s">
        <v>68</v>
      </c>
      <c r="BE2048" s="3" t="s">
        <v>20360</v>
      </c>
      <c r="BF2048" s="3" t="s">
        <v>20359</v>
      </c>
      <c r="BG2048" s="3" t="s">
        <v>20361</v>
      </c>
    </row>
    <row r="2049" spans="1:59" ht="58" x14ac:dyDescent="0.35">
      <c r="A2049" s="2" t="s">
        <v>89</v>
      </c>
      <c r="B2049" s="2" t="s">
        <v>90</v>
      </c>
      <c r="C2049" s="2" t="s">
        <v>20362</v>
      </c>
      <c r="D2049" s="2" t="s">
        <v>20363</v>
      </c>
      <c r="E2049" s="2" t="s">
        <v>20364</v>
      </c>
      <c r="G2049" s="3" t="s">
        <v>62</v>
      </c>
      <c r="I2049" s="3" t="s">
        <v>62</v>
      </c>
      <c r="J2049" s="3" t="s">
        <v>62</v>
      </c>
      <c r="K2049" s="3" t="s">
        <v>63</v>
      </c>
      <c r="L2049" s="2" t="s">
        <v>20365</v>
      </c>
      <c r="M2049" s="2" t="s">
        <v>20366</v>
      </c>
      <c r="N2049" s="3" t="s">
        <v>1038</v>
      </c>
      <c r="P2049" s="3" t="s">
        <v>64</v>
      </c>
      <c r="R2049" s="3" t="s">
        <v>13065</v>
      </c>
      <c r="S2049" s="4">
        <v>4</v>
      </c>
      <c r="T2049" s="4">
        <v>4</v>
      </c>
      <c r="U2049" s="5" t="s">
        <v>16060</v>
      </c>
      <c r="V2049" s="5" t="s">
        <v>16060</v>
      </c>
      <c r="W2049" s="5" t="s">
        <v>67</v>
      </c>
      <c r="X2049" s="5" t="s">
        <v>67</v>
      </c>
      <c r="Y2049" s="4">
        <v>36</v>
      </c>
      <c r="Z2049" s="4">
        <v>3</v>
      </c>
      <c r="AA2049" s="4">
        <v>10</v>
      </c>
      <c r="AB2049" s="4">
        <v>1</v>
      </c>
      <c r="AC2049" s="4">
        <v>1</v>
      </c>
      <c r="AD2049" s="4">
        <v>12</v>
      </c>
      <c r="AE2049" s="4">
        <v>43</v>
      </c>
      <c r="AF2049" s="4">
        <v>0</v>
      </c>
      <c r="AG2049" s="4">
        <v>0</v>
      </c>
      <c r="AH2049" s="4">
        <v>12</v>
      </c>
      <c r="AI2049" s="4">
        <v>40</v>
      </c>
      <c r="AJ2049" s="4">
        <v>1</v>
      </c>
      <c r="AK2049" s="4">
        <v>5</v>
      </c>
      <c r="AL2049" s="4">
        <v>6</v>
      </c>
      <c r="AM2049" s="4">
        <v>25</v>
      </c>
      <c r="AN2049" s="4">
        <v>0</v>
      </c>
      <c r="AO2049" s="4">
        <v>0</v>
      </c>
      <c r="AP2049" s="4">
        <v>1</v>
      </c>
      <c r="AQ2049" s="4">
        <v>7</v>
      </c>
      <c r="AR2049" s="3" t="s">
        <v>62</v>
      </c>
      <c r="AS2049" s="3" t="s">
        <v>62</v>
      </c>
      <c r="AT2049" s="3" t="s">
        <v>62</v>
      </c>
      <c r="AV2049" s="6" t="str">
        <f>HYPERLINK("http://mcgill.on.worldcat.org/oclc/956969458","Catalog Record")</f>
        <v>Catalog Record</v>
      </c>
      <c r="AW2049" s="6" t="str">
        <f>HYPERLINK("http://www.worldcat.org/oclc/956969458","WorldCat Record")</f>
        <v>WorldCat Record</v>
      </c>
      <c r="AX2049" s="3" t="s">
        <v>20367</v>
      </c>
      <c r="AY2049" s="3" t="s">
        <v>20368</v>
      </c>
      <c r="AZ2049" s="3" t="s">
        <v>20369</v>
      </c>
      <c r="BA2049" s="3" t="s">
        <v>20369</v>
      </c>
      <c r="BB2049" s="3" t="s">
        <v>20370</v>
      </c>
      <c r="BC2049" s="3" t="s">
        <v>102</v>
      </c>
      <c r="BD2049" s="3" t="s">
        <v>68</v>
      </c>
      <c r="BE2049" s="3" t="s">
        <v>20371</v>
      </c>
      <c r="BF2049" s="3" t="s">
        <v>20370</v>
      </c>
      <c r="BG2049" s="3" t="s">
        <v>20372</v>
      </c>
    </row>
    <row r="2050" spans="1:59" ht="58" x14ac:dyDescent="0.35">
      <c r="A2050" s="2" t="s">
        <v>89</v>
      </c>
      <c r="B2050" s="2" t="s">
        <v>90</v>
      </c>
      <c r="C2050" s="2" t="s">
        <v>20373</v>
      </c>
      <c r="D2050" s="2" t="s">
        <v>20374</v>
      </c>
      <c r="E2050" s="2" t="s">
        <v>20375</v>
      </c>
      <c r="G2050" s="3" t="s">
        <v>62</v>
      </c>
      <c r="I2050" s="3" t="s">
        <v>62</v>
      </c>
      <c r="J2050" s="3" t="s">
        <v>61</v>
      </c>
      <c r="K2050" s="3" t="s">
        <v>63</v>
      </c>
      <c r="L2050" s="2" t="s">
        <v>20376</v>
      </c>
      <c r="M2050" s="2" t="s">
        <v>7575</v>
      </c>
      <c r="N2050" s="3" t="s">
        <v>481</v>
      </c>
      <c r="P2050" s="3" t="s">
        <v>64</v>
      </c>
      <c r="R2050" s="3" t="s">
        <v>13065</v>
      </c>
      <c r="S2050" s="4">
        <v>14</v>
      </c>
      <c r="T2050" s="4">
        <v>14</v>
      </c>
      <c r="U2050" s="5" t="s">
        <v>20377</v>
      </c>
      <c r="V2050" s="5" t="s">
        <v>20377</v>
      </c>
      <c r="W2050" s="5" t="s">
        <v>67</v>
      </c>
      <c r="X2050" s="5" t="s">
        <v>67</v>
      </c>
      <c r="Y2050" s="4">
        <v>1307</v>
      </c>
      <c r="Z2050" s="4">
        <v>53</v>
      </c>
      <c r="AA2050" s="4">
        <v>130</v>
      </c>
      <c r="AB2050" s="4">
        <v>4</v>
      </c>
      <c r="AC2050" s="4">
        <v>15</v>
      </c>
      <c r="AD2050" s="4">
        <v>135</v>
      </c>
      <c r="AE2050" s="4">
        <v>162</v>
      </c>
      <c r="AF2050" s="4">
        <v>2</v>
      </c>
      <c r="AG2050" s="4">
        <v>8</v>
      </c>
      <c r="AH2050" s="4">
        <v>107</v>
      </c>
      <c r="AI2050" s="4">
        <v>115</v>
      </c>
      <c r="AJ2050" s="4">
        <v>17</v>
      </c>
      <c r="AK2050" s="4">
        <v>27</v>
      </c>
      <c r="AL2050" s="4">
        <v>58</v>
      </c>
      <c r="AM2050" s="4">
        <v>61</v>
      </c>
      <c r="AN2050" s="4">
        <v>0</v>
      </c>
      <c r="AO2050" s="4">
        <v>0</v>
      </c>
      <c r="AP2050" s="4">
        <v>34</v>
      </c>
      <c r="AQ2050" s="4">
        <v>55</v>
      </c>
      <c r="AR2050" s="3" t="s">
        <v>62</v>
      </c>
      <c r="AS2050" s="3" t="s">
        <v>62</v>
      </c>
      <c r="AT2050" s="3" t="s">
        <v>61</v>
      </c>
      <c r="AU2050" s="6" t="str">
        <f>HYPERLINK("http://catalog.hathitrust.org/Record/003949064","HathiTrust Record")</f>
        <v>HathiTrust Record</v>
      </c>
      <c r="AV2050" s="6" t="str">
        <f>HYPERLINK("http://mcgill.on.worldcat.org/oclc/36159480","Catalog Record")</f>
        <v>Catalog Record</v>
      </c>
      <c r="AW2050" s="6" t="str">
        <f>HYPERLINK("http://www.worldcat.org/oclc/36159480","WorldCat Record")</f>
        <v>WorldCat Record</v>
      </c>
      <c r="AX2050" s="3" t="s">
        <v>20378</v>
      </c>
      <c r="AY2050" s="3" t="s">
        <v>20379</v>
      </c>
      <c r="AZ2050" s="3" t="s">
        <v>20380</v>
      </c>
      <c r="BA2050" s="3" t="s">
        <v>20380</v>
      </c>
      <c r="BB2050" s="3" t="s">
        <v>20381</v>
      </c>
      <c r="BC2050" s="3" t="s">
        <v>102</v>
      </c>
      <c r="BD2050" s="3" t="s">
        <v>68</v>
      </c>
      <c r="BE2050" s="3" t="s">
        <v>20382</v>
      </c>
      <c r="BF2050" s="3" t="s">
        <v>20381</v>
      </c>
      <c r="BG2050" s="3" t="s">
        <v>20383</v>
      </c>
    </row>
    <row r="2051" spans="1:59" ht="58" x14ac:dyDescent="0.35">
      <c r="A2051" s="2" t="s">
        <v>89</v>
      </c>
      <c r="B2051" s="2" t="s">
        <v>90</v>
      </c>
      <c r="C2051" s="2" t="s">
        <v>20384</v>
      </c>
      <c r="D2051" s="2" t="s">
        <v>20385</v>
      </c>
      <c r="E2051" s="2" t="s">
        <v>20386</v>
      </c>
      <c r="G2051" s="3" t="s">
        <v>62</v>
      </c>
      <c r="I2051" s="3" t="s">
        <v>62</v>
      </c>
      <c r="J2051" s="3" t="s">
        <v>62</v>
      </c>
      <c r="K2051" s="3" t="s">
        <v>63</v>
      </c>
      <c r="L2051" s="2" t="s">
        <v>20387</v>
      </c>
      <c r="M2051" s="2" t="s">
        <v>20388</v>
      </c>
      <c r="N2051" s="3" t="s">
        <v>712</v>
      </c>
      <c r="P2051" s="3" t="s">
        <v>64</v>
      </c>
      <c r="R2051" s="3" t="s">
        <v>13065</v>
      </c>
      <c r="S2051" s="4">
        <v>0</v>
      </c>
      <c r="T2051" s="4">
        <v>0</v>
      </c>
      <c r="W2051" s="5" t="s">
        <v>67</v>
      </c>
      <c r="X2051" s="5" t="s">
        <v>67</v>
      </c>
      <c r="Y2051" s="4">
        <v>76</v>
      </c>
      <c r="Z2051" s="4">
        <v>3</v>
      </c>
      <c r="AA2051" s="4">
        <v>7</v>
      </c>
      <c r="AB2051" s="4">
        <v>1</v>
      </c>
      <c r="AC2051" s="4">
        <v>2</v>
      </c>
      <c r="AD2051" s="4">
        <v>4</v>
      </c>
      <c r="AE2051" s="4">
        <v>10</v>
      </c>
      <c r="AF2051" s="4">
        <v>0</v>
      </c>
      <c r="AG2051" s="4">
        <v>0</v>
      </c>
      <c r="AH2051" s="4">
        <v>4</v>
      </c>
      <c r="AI2051" s="4">
        <v>9</v>
      </c>
      <c r="AJ2051" s="4">
        <v>1</v>
      </c>
      <c r="AK2051" s="4">
        <v>3</v>
      </c>
      <c r="AL2051" s="4">
        <v>3</v>
      </c>
      <c r="AM2051" s="4">
        <v>6</v>
      </c>
      <c r="AN2051" s="4">
        <v>0</v>
      </c>
      <c r="AO2051" s="4">
        <v>0</v>
      </c>
      <c r="AP2051" s="4">
        <v>1</v>
      </c>
      <c r="AQ2051" s="4">
        <v>3</v>
      </c>
      <c r="AR2051" s="3" t="s">
        <v>62</v>
      </c>
      <c r="AS2051" s="3" t="s">
        <v>62</v>
      </c>
      <c r="AT2051" s="3" t="s">
        <v>62</v>
      </c>
      <c r="AV2051" s="6" t="str">
        <f>HYPERLINK("http://mcgill.on.worldcat.org/oclc/890007987","Catalog Record")</f>
        <v>Catalog Record</v>
      </c>
      <c r="AW2051" s="6" t="str">
        <f>HYPERLINK("http://www.worldcat.org/oclc/890007987","WorldCat Record")</f>
        <v>WorldCat Record</v>
      </c>
      <c r="AX2051" s="3" t="s">
        <v>20389</v>
      </c>
      <c r="AY2051" s="3" t="s">
        <v>20390</v>
      </c>
      <c r="AZ2051" s="3" t="s">
        <v>20391</v>
      </c>
      <c r="BA2051" s="3" t="s">
        <v>20391</v>
      </c>
      <c r="BB2051" s="3" t="s">
        <v>20392</v>
      </c>
      <c r="BC2051" s="3" t="s">
        <v>102</v>
      </c>
      <c r="BD2051" s="3" t="s">
        <v>68</v>
      </c>
      <c r="BE2051" s="3" t="s">
        <v>20393</v>
      </c>
      <c r="BF2051" s="3" t="s">
        <v>20392</v>
      </c>
      <c r="BG2051" s="3" t="s">
        <v>20394</v>
      </c>
    </row>
    <row r="2052" spans="1:59" ht="87" x14ac:dyDescent="0.35">
      <c r="A2052" s="2" t="s">
        <v>89</v>
      </c>
      <c r="B2052" s="2" t="s">
        <v>11757</v>
      </c>
      <c r="C2052" s="2" t="s">
        <v>20395</v>
      </c>
      <c r="D2052" s="2" t="s">
        <v>20396</v>
      </c>
      <c r="E2052" s="2" t="s">
        <v>20397</v>
      </c>
      <c r="G2052" s="3" t="s">
        <v>62</v>
      </c>
      <c r="I2052" s="3" t="s">
        <v>62</v>
      </c>
      <c r="J2052" s="3" t="s">
        <v>62</v>
      </c>
      <c r="K2052" s="3" t="s">
        <v>63</v>
      </c>
      <c r="M2052" s="2" t="s">
        <v>13128</v>
      </c>
      <c r="N2052" s="3" t="s">
        <v>880</v>
      </c>
      <c r="P2052" s="3" t="s">
        <v>64</v>
      </c>
      <c r="Q2052" s="2" t="s">
        <v>20193</v>
      </c>
      <c r="R2052" s="3" t="s">
        <v>13065</v>
      </c>
      <c r="S2052" s="4">
        <v>0</v>
      </c>
      <c r="T2052" s="4">
        <v>0</v>
      </c>
      <c r="W2052" s="5" t="s">
        <v>67</v>
      </c>
      <c r="X2052" s="5" t="s">
        <v>67</v>
      </c>
      <c r="Y2052" s="4">
        <v>158</v>
      </c>
      <c r="Z2052" s="4">
        <v>17</v>
      </c>
      <c r="AA2052" s="4">
        <v>18</v>
      </c>
      <c r="AB2052" s="4">
        <v>2</v>
      </c>
      <c r="AC2052" s="4">
        <v>3</v>
      </c>
      <c r="AD2052" s="4">
        <v>37</v>
      </c>
      <c r="AE2052" s="4">
        <v>38</v>
      </c>
      <c r="AF2052" s="4">
        <v>1</v>
      </c>
      <c r="AG2052" s="4">
        <v>2</v>
      </c>
      <c r="AH2052" s="4">
        <v>30</v>
      </c>
      <c r="AI2052" s="4">
        <v>31</v>
      </c>
      <c r="AJ2052" s="4">
        <v>9</v>
      </c>
      <c r="AK2052" s="4">
        <v>10</v>
      </c>
      <c r="AL2052" s="4">
        <v>16</v>
      </c>
      <c r="AM2052" s="4">
        <v>16</v>
      </c>
      <c r="AN2052" s="4">
        <v>0</v>
      </c>
      <c r="AO2052" s="4">
        <v>0</v>
      </c>
      <c r="AP2052" s="4">
        <v>12</v>
      </c>
      <c r="AQ2052" s="4">
        <v>13</v>
      </c>
      <c r="AR2052" s="3" t="s">
        <v>62</v>
      </c>
      <c r="AS2052" s="3" t="s">
        <v>62</v>
      </c>
      <c r="AT2052" s="3" t="s">
        <v>62</v>
      </c>
      <c r="AV2052" s="6" t="str">
        <f>HYPERLINK("http://mcgill.on.worldcat.org/oclc/526812672","Catalog Record")</f>
        <v>Catalog Record</v>
      </c>
      <c r="AW2052" s="6" t="str">
        <f>HYPERLINK("http://www.worldcat.org/oclc/526812672","WorldCat Record")</f>
        <v>WorldCat Record</v>
      </c>
      <c r="AX2052" s="3" t="s">
        <v>20398</v>
      </c>
      <c r="AY2052" s="3" t="s">
        <v>20399</v>
      </c>
      <c r="AZ2052" s="3" t="s">
        <v>20400</v>
      </c>
      <c r="BA2052" s="3" t="s">
        <v>20400</v>
      </c>
      <c r="BB2052" s="3" t="s">
        <v>20401</v>
      </c>
      <c r="BC2052" s="3" t="s">
        <v>102</v>
      </c>
      <c r="BD2052" s="3" t="s">
        <v>68</v>
      </c>
      <c r="BE2052" s="3" t="s">
        <v>20402</v>
      </c>
      <c r="BF2052" s="3" t="s">
        <v>20401</v>
      </c>
      <c r="BG2052" s="3" t="s">
        <v>20403</v>
      </c>
    </row>
    <row r="2053" spans="1:59" ht="58" x14ac:dyDescent="0.35">
      <c r="A2053" s="2" t="s">
        <v>89</v>
      </c>
      <c r="B2053" s="2" t="s">
        <v>6791</v>
      </c>
      <c r="C2053" s="2" t="s">
        <v>20404</v>
      </c>
      <c r="D2053" s="2" t="s">
        <v>20405</v>
      </c>
      <c r="E2053" s="2" t="s">
        <v>20406</v>
      </c>
      <c r="G2053" s="3" t="s">
        <v>62</v>
      </c>
      <c r="I2053" s="3" t="s">
        <v>62</v>
      </c>
      <c r="J2053" s="3" t="s">
        <v>62</v>
      </c>
      <c r="K2053" s="3" t="s">
        <v>63</v>
      </c>
      <c r="L2053" s="2" t="s">
        <v>20407</v>
      </c>
      <c r="M2053" s="2" t="s">
        <v>20408</v>
      </c>
      <c r="N2053" s="3" t="s">
        <v>2000</v>
      </c>
      <c r="P2053" s="3" t="s">
        <v>64</v>
      </c>
      <c r="Q2053" s="2" t="s">
        <v>8072</v>
      </c>
      <c r="R2053" s="3" t="s">
        <v>13065</v>
      </c>
      <c r="S2053" s="4">
        <v>4</v>
      </c>
      <c r="T2053" s="4">
        <v>4</v>
      </c>
      <c r="U2053" s="5" t="s">
        <v>13117</v>
      </c>
      <c r="V2053" s="5" t="s">
        <v>13117</v>
      </c>
      <c r="W2053" s="5" t="s">
        <v>67</v>
      </c>
      <c r="X2053" s="5" t="s">
        <v>67</v>
      </c>
      <c r="Y2053" s="4">
        <v>106</v>
      </c>
      <c r="Z2053" s="4">
        <v>7</v>
      </c>
      <c r="AA2053" s="4">
        <v>12</v>
      </c>
      <c r="AB2053" s="4">
        <v>1</v>
      </c>
      <c r="AC2053" s="4">
        <v>4</v>
      </c>
      <c r="AD2053" s="4">
        <v>32</v>
      </c>
      <c r="AE2053" s="4">
        <v>55</v>
      </c>
      <c r="AF2053" s="4">
        <v>0</v>
      </c>
      <c r="AG2053" s="4">
        <v>0</v>
      </c>
      <c r="AH2053" s="4">
        <v>29</v>
      </c>
      <c r="AI2053" s="4">
        <v>50</v>
      </c>
      <c r="AJ2053" s="4">
        <v>4</v>
      </c>
      <c r="AK2053" s="4">
        <v>6</v>
      </c>
      <c r="AL2053" s="4">
        <v>12</v>
      </c>
      <c r="AM2053" s="4">
        <v>25</v>
      </c>
      <c r="AN2053" s="4">
        <v>0</v>
      </c>
      <c r="AO2053" s="4">
        <v>0</v>
      </c>
      <c r="AP2053" s="4">
        <v>6</v>
      </c>
      <c r="AQ2053" s="4">
        <v>8</v>
      </c>
      <c r="AR2053" s="3" t="s">
        <v>62</v>
      </c>
      <c r="AS2053" s="3" t="s">
        <v>62</v>
      </c>
      <c r="AT2053" s="3" t="s">
        <v>61</v>
      </c>
      <c r="AU2053" s="6" t="str">
        <f>HYPERLINK("http://catalog.hathitrust.org/Record/003097825","HathiTrust Record")</f>
        <v>HathiTrust Record</v>
      </c>
      <c r="AV2053" s="6" t="str">
        <f>HYPERLINK("http://mcgill.on.worldcat.org/oclc/34077198","Catalog Record")</f>
        <v>Catalog Record</v>
      </c>
      <c r="AW2053" s="6" t="str">
        <f>HYPERLINK("http://www.worldcat.org/oclc/34077198","WorldCat Record")</f>
        <v>WorldCat Record</v>
      </c>
      <c r="AX2053" s="3" t="s">
        <v>20409</v>
      </c>
      <c r="AY2053" s="3" t="s">
        <v>20410</v>
      </c>
      <c r="AZ2053" s="3" t="s">
        <v>20411</v>
      </c>
      <c r="BA2053" s="3" t="s">
        <v>20411</v>
      </c>
      <c r="BB2053" s="3" t="s">
        <v>20412</v>
      </c>
      <c r="BC2053" s="3" t="s">
        <v>102</v>
      </c>
      <c r="BD2053" s="3" t="s">
        <v>231</v>
      </c>
      <c r="BE2053" s="3" t="s">
        <v>20413</v>
      </c>
      <c r="BF2053" s="3" t="s">
        <v>20412</v>
      </c>
      <c r="BG2053" s="3" t="s">
        <v>20414</v>
      </c>
    </row>
    <row r="2054" spans="1:59" ht="58" x14ac:dyDescent="0.35">
      <c r="A2054" s="2" t="s">
        <v>89</v>
      </c>
      <c r="B2054" s="2" t="s">
        <v>90</v>
      </c>
      <c r="C2054" s="2" t="s">
        <v>20415</v>
      </c>
      <c r="D2054" s="2" t="s">
        <v>20416</v>
      </c>
      <c r="E2054" s="2" t="s">
        <v>20417</v>
      </c>
      <c r="G2054" s="3" t="s">
        <v>62</v>
      </c>
      <c r="I2054" s="3" t="s">
        <v>61</v>
      </c>
      <c r="J2054" s="3" t="s">
        <v>62</v>
      </c>
      <c r="K2054" s="3" t="s">
        <v>63</v>
      </c>
      <c r="L2054" s="2" t="s">
        <v>20418</v>
      </c>
      <c r="M2054" s="2" t="s">
        <v>20419</v>
      </c>
      <c r="N2054" s="3" t="s">
        <v>852</v>
      </c>
      <c r="P2054" s="3" t="s">
        <v>64</v>
      </c>
      <c r="R2054" s="3" t="s">
        <v>13065</v>
      </c>
      <c r="S2054" s="4">
        <v>16</v>
      </c>
      <c r="T2054" s="4">
        <v>29</v>
      </c>
      <c r="U2054" s="5" t="s">
        <v>20420</v>
      </c>
      <c r="V2054" s="5" t="s">
        <v>9447</v>
      </c>
      <c r="W2054" s="5" t="s">
        <v>67</v>
      </c>
      <c r="X2054" s="5" t="s">
        <v>67</v>
      </c>
      <c r="Y2054" s="4">
        <v>1386</v>
      </c>
      <c r="Z2054" s="4">
        <v>53</v>
      </c>
      <c r="AA2054" s="4">
        <v>69</v>
      </c>
      <c r="AB2054" s="4">
        <v>3</v>
      </c>
      <c r="AC2054" s="4">
        <v>11</v>
      </c>
      <c r="AD2054" s="4">
        <v>138</v>
      </c>
      <c r="AE2054" s="4">
        <v>146</v>
      </c>
      <c r="AF2054" s="4">
        <v>2</v>
      </c>
      <c r="AG2054" s="4">
        <v>6</v>
      </c>
      <c r="AH2054" s="4">
        <v>109</v>
      </c>
      <c r="AI2054" s="4">
        <v>111</v>
      </c>
      <c r="AJ2054" s="4">
        <v>22</v>
      </c>
      <c r="AK2054" s="4">
        <v>27</v>
      </c>
      <c r="AL2054" s="4">
        <v>58</v>
      </c>
      <c r="AM2054" s="4">
        <v>59</v>
      </c>
      <c r="AN2054" s="4">
        <v>0</v>
      </c>
      <c r="AO2054" s="4">
        <v>0</v>
      </c>
      <c r="AP2054" s="4">
        <v>35</v>
      </c>
      <c r="AQ2054" s="4">
        <v>41</v>
      </c>
      <c r="AR2054" s="3" t="s">
        <v>62</v>
      </c>
      <c r="AS2054" s="3" t="s">
        <v>62</v>
      </c>
      <c r="AT2054" s="3" t="s">
        <v>61</v>
      </c>
      <c r="AU2054" s="6" t="str">
        <f>HYPERLINK("http://catalog.hathitrust.org/Record/000420946","HathiTrust Record")</f>
        <v>HathiTrust Record</v>
      </c>
      <c r="AV2054" s="6" t="str">
        <f>HYPERLINK("http://mcgill.on.worldcat.org/oclc/21420","Catalog Record")</f>
        <v>Catalog Record</v>
      </c>
      <c r="AW2054" s="6" t="str">
        <f>HYPERLINK("http://www.worldcat.org/oclc/21420","WorldCat Record")</f>
        <v>WorldCat Record</v>
      </c>
      <c r="AX2054" s="3" t="s">
        <v>20421</v>
      </c>
      <c r="AY2054" s="3" t="s">
        <v>20422</v>
      </c>
      <c r="AZ2054" s="3" t="s">
        <v>20423</v>
      </c>
      <c r="BA2054" s="3" t="s">
        <v>20423</v>
      </c>
      <c r="BB2054" s="3" t="s">
        <v>20424</v>
      </c>
      <c r="BC2054" s="3" t="s">
        <v>102</v>
      </c>
      <c r="BD2054" s="3" t="s">
        <v>68</v>
      </c>
      <c r="BE2054" s="3" t="s">
        <v>20425</v>
      </c>
      <c r="BF2054" s="3" t="s">
        <v>20424</v>
      </c>
      <c r="BG2054" s="3" t="s">
        <v>20426</v>
      </c>
    </row>
    <row r="2055" spans="1:59" ht="72.5" x14ac:dyDescent="0.35">
      <c r="A2055" s="2" t="s">
        <v>89</v>
      </c>
      <c r="B2055" s="2" t="s">
        <v>1231</v>
      </c>
      <c r="C2055" s="2" t="s">
        <v>20415</v>
      </c>
      <c r="D2055" s="2" t="s">
        <v>20416</v>
      </c>
      <c r="E2055" s="2" t="s">
        <v>20417</v>
      </c>
      <c r="G2055" s="3" t="s">
        <v>62</v>
      </c>
      <c r="I2055" s="3" t="s">
        <v>61</v>
      </c>
      <c r="J2055" s="3" t="s">
        <v>62</v>
      </c>
      <c r="K2055" s="3" t="s">
        <v>63</v>
      </c>
      <c r="L2055" s="2" t="s">
        <v>20418</v>
      </c>
      <c r="M2055" s="2" t="s">
        <v>20419</v>
      </c>
      <c r="N2055" s="3" t="s">
        <v>852</v>
      </c>
      <c r="P2055" s="3" t="s">
        <v>64</v>
      </c>
      <c r="R2055" s="3" t="s">
        <v>13065</v>
      </c>
      <c r="S2055" s="4">
        <v>4</v>
      </c>
      <c r="T2055" s="4">
        <v>29</v>
      </c>
      <c r="U2055" s="5" t="s">
        <v>20427</v>
      </c>
      <c r="V2055" s="5" t="s">
        <v>9447</v>
      </c>
      <c r="W2055" s="5" t="s">
        <v>67</v>
      </c>
      <c r="X2055" s="5" t="s">
        <v>67</v>
      </c>
      <c r="Y2055" s="4">
        <v>1386</v>
      </c>
      <c r="Z2055" s="4">
        <v>53</v>
      </c>
      <c r="AA2055" s="4">
        <v>69</v>
      </c>
      <c r="AB2055" s="4">
        <v>3</v>
      </c>
      <c r="AC2055" s="4">
        <v>11</v>
      </c>
      <c r="AD2055" s="4">
        <v>138</v>
      </c>
      <c r="AE2055" s="4">
        <v>146</v>
      </c>
      <c r="AF2055" s="4">
        <v>2</v>
      </c>
      <c r="AG2055" s="4">
        <v>6</v>
      </c>
      <c r="AH2055" s="4">
        <v>109</v>
      </c>
      <c r="AI2055" s="4">
        <v>111</v>
      </c>
      <c r="AJ2055" s="4">
        <v>22</v>
      </c>
      <c r="AK2055" s="4">
        <v>27</v>
      </c>
      <c r="AL2055" s="4">
        <v>58</v>
      </c>
      <c r="AM2055" s="4">
        <v>59</v>
      </c>
      <c r="AN2055" s="4">
        <v>0</v>
      </c>
      <c r="AO2055" s="4">
        <v>0</v>
      </c>
      <c r="AP2055" s="4">
        <v>35</v>
      </c>
      <c r="AQ2055" s="4">
        <v>41</v>
      </c>
      <c r="AR2055" s="3" t="s">
        <v>62</v>
      </c>
      <c r="AS2055" s="3" t="s">
        <v>62</v>
      </c>
      <c r="AT2055" s="3" t="s">
        <v>61</v>
      </c>
      <c r="AU2055" s="6" t="str">
        <f>HYPERLINK("http://catalog.hathitrust.org/Record/000420946","HathiTrust Record")</f>
        <v>HathiTrust Record</v>
      </c>
      <c r="AV2055" s="6" t="str">
        <f>HYPERLINK("http://mcgill.on.worldcat.org/oclc/21420","Catalog Record")</f>
        <v>Catalog Record</v>
      </c>
      <c r="AW2055" s="6" t="str">
        <f>HYPERLINK("http://www.worldcat.org/oclc/21420","WorldCat Record")</f>
        <v>WorldCat Record</v>
      </c>
      <c r="AX2055" s="3" t="s">
        <v>20421</v>
      </c>
      <c r="AY2055" s="3" t="s">
        <v>20422</v>
      </c>
      <c r="AZ2055" s="3" t="s">
        <v>20423</v>
      </c>
      <c r="BA2055" s="3" t="s">
        <v>20423</v>
      </c>
      <c r="BB2055" s="3" t="s">
        <v>20428</v>
      </c>
      <c r="BC2055" s="3" t="s">
        <v>102</v>
      </c>
      <c r="BD2055" s="3" t="s">
        <v>68</v>
      </c>
      <c r="BE2055" s="3" t="s">
        <v>20425</v>
      </c>
      <c r="BF2055" s="3" t="s">
        <v>20428</v>
      </c>
      <c r="BG2055" s="3" t="s">
        <v>20429</v>
      </c>
    </row>
    <row r="2056" spans="1:59" ht="58" x14ac:dyDescent="0.35">
      <c r="A2056" s="2" t="s">
        <v>89</v>
      </c>
      <c r="B2056" s="2" t="s">
        <v>90</v>
      </c>
      <c r="C2056" s="2" t="s">
        <v>20430</v>
      </c>
      <c r="D2056" s="2" t="s">
        <v>20431</v>
      </c>
      <c r="E2056" s="2" t="s">
        <v>20432</v>
      </c>
      <c r="G2056" s="3" t="s">
        <v>62</v>
      </c>
      <c r="I2056" s="3" t="s">
        <v>62</v>
      </c>
      <c r="J2056" s="3" t="s">
        <v>62</v>
      </c>
      <c r="K2056" s="3" t="s">
        <v>63</v>
      </c>
      <c r="L2056" s="2" t="s">
        <v>20433</v>
      </c>
      <c r="M2056" s="2" t="s">
        <v>20434</v>
      </c>
      <c r="N2056" s="3" t="s">
        <v>201</v>
      </c>
      <c r="P2056" s="3" t="s">
        <v>64</v>
      </c>
      <c r="Q2056" s="2" t="s">
        <v>20435</v>
      </c>
      <c r="R2056" s="3" t="s">
        <v>13065</v>
      </c>
      <c r="S2056" s="4">
        <v>6</v>
      </c>
      <c r="T2056" s="4">
        <v>6</v>
      </c>
      <c r="U2056" s="5" t="s">
        <v>14456</v>
      </c>
      <c r="V2056" s="5" t="s">
        <v>14456</v>
      </c>
      <c r="W2056" s="5" t="s">
        <v>67</v>
      </c>
      <c r="X2056" s="5" t="s">
        <v>67</v>
      </c>
      <c r="Y2056" s="4">
        <v>450</v>
      </c>
      <c r="Z2056" s="4">
        <v>16</v>
      </c>
      <c r="AA2056" s="4">
        <v>16</v>
      </c>
      <c r="AB2056" s="4">
        <v>1</v>
      </c>
      <c r="AC2056" s="4">
        <v>1</v>
      </c>
      <c r="AD2056" s="4">
        <v>33</v>
      </c>
      <c r="AE2056" s="4">
        <v>33</v>
      </c>
      <c r="AF2056" s="4">
        <v>0</v>
      </c>
      <c r="AG2056" s="4">
        <v>0</v>
      </c>
      <c r="AH2056" s="4">
        <v>31</v>
      </c>
      <c r="AI2056" s="4">
        <v>31</v>
      </c>
      <c r="AJ2056" s="4">
        <v>5</v>
      </c>
      <c r="AK2056" s="4">
        <v>5</v>
      </c>
      <c r="AL2056" s="4">
        <v>16</v>
      </c>
      <c r="AM2056" s="4">
        <v>16</v>
      </c>
      <c r="AN2056" s="4">
        <v>0</v>
      </c>
      <c r="AO2056" s="4">
        <v>0</v>
      </c>
      <c r="AP2056" s="4">
        <v>6</v>
      </c>
      <c r="AQ2056" s="4">
        <v>6</v>
      </c>
      <c r="AR2056" s="3" t="s">
        <v>62</v>
      </c>
      <c r="AS2056" s="3" t="s">
        <v>62</v>
      </c>
      <c r="AT2056" s="3" t="s">
        <v>62</v>
      </c>
      <c r="AV2056" s="6" t="str">
        <f>HYPERLINK("http://mcgill.on.worldcat.org/oclc/1339624","Catalog Record")</f>
        <v>Catalog Record</v>
      </c>
      <c r="AW2056" s="6" t="str">
        <f>HYPERLINK("http://www.worldcat.org/oclc/1339624","WorldCat Record")</f>
        <v>WorldCat Record</v>
      </c>
      <c r="AX2056" s="3" t="s">
        <v>20436</v>
      </c>
      <c r="AY2056" s="3" t="s">
        <v>20437</v>
      </c>
      <c r="AZ2056" s="3" t="s">
        <v>20438</v>
      </c>
      <c r="BA2056" s="3" t="s">
        <v>20438</v>
      </c>
      <c r="BB2056" s="3" t="s">
        <v>20439</v>
      </c>
      <c r="BC2056" s="3" t="s">
        <v>102</v>
      </c>
      <c r="BD2056" s="3" t="s">
        <v>68</v>
      </c>
      <c r="BE2056" s="3" t="s">
        <v>20440</v>
      </c>
      <c r="BF2056" s="3" t="s">
        <v>20439</v>
      </c>
      <c r="BG2056" s="3" t="s">
        <v>20441</v>
      </c>
    </row>
    <row r="2057" spans="1:59" ht="58" x14ac:dyDescent="0.35">
      <c r="A2057" s="2" t="s">
        <v>89</v>
      </c>
      <c r="B2057" s="2" t="s">
        <v>90</v>
      </c>
      <c r="C2057" s="2" t="s">
        <v>20442</v>
      </c>
      <c r="D2057" s="2" t="s">
        <v>20443</v>
      </c>
      <c r="E2057" s="2" t="s">
        <v>20444</v>
      </c>
      <c r="G2057" s="3" t="s">
        <v>62</v>
      </c>
      <c r="I2057" s="3" t="s">
        <v>62</v>
      </c>
      <c r="J2057" s="3" t="s">
        <v>62</v>
      </c>
      <c r="K2057" s="3" t="s">
        <v>916</v>
      </c>
      <c r="L2057" s="2" t="s">
        <v>20445</v>
      </c>
      <c r="M2057" s="2" t="s">
        <v>20446</v>
      </c>
      <c r="N2057" s="3" t="s">
        <v>19618</v>
      </c>
      <c r="P2057" s="3" t="s">
        <v>64</v>
      </c>
      <c r="R2057" s="3" t="s">
        <v>13065</v>
      </c>
      <c r="S2057" s="4">
        <v>1</v>
      </c>
      <c r="T2057" s="4">
        <v>1</v>
      </c>
      <c r="U2057" s="5" t="s">
        <v>20447</v>
      </c>
      <c r="V2057" s="5" t="s">
        <v>20447</v>
      </c>
      <c r="W2057" s="5" t="s">
        <v>67</v>
      </c>
      <c r="X2057" s="5" t="s">
        <v>67</v>
      </c>
      <c r="Y2057" s="4">
        <v>6</v>
      </c>
      <c r="Z2057" s="4">
        <v>1</v>
      </c>
      <c r="AA2057" s="4">
        <v>6</v>
      </c>
      <c r="AB2057" s="4">
        <v>1</v>
      </c>
      <c r="AC2057" s="4">
        <v>2</v>
      </c>
      <c r="AD2057" s="4">
        <v>4</v>
      </c>
      <c r="AE2057" s="4">
        <v>21</v>
      </c>
      <c r="AF2057" s="4">
        <v>0</v>
      </c>
      <c r="AG2057" s="4">
        <v>0</v>
      </c>
      <c r="AH2057" s="4">
        <v>4</v>
      </c>
      <c r="AI2057" s="4">
        <v>16</v>
      </c>
      <c r="AJ2057" s="4">
        <v>0</v>
      </c>
      <c r="AK2057" s="4">
        <v>2</v>
      </c>
      <c r="AL2057" s="4">
        <v>4</v>
      </c>
      <c r="AM2057" s="4">
        <v>15</v>
      </c>
      <c r="AN2057" s="4">
        <v>0</v>
      </c>
      <c r="AO2057" s="4">
        <v>0</v>
      </c>
      <c r="AP2057" s="4">
        <v>0</v>
      </c>
      <c r="AQ2057" s="4">
        <v>4</v>
      </c>
      <c r="AR2057" s="3" t="s">
        <v>62</v>
      </c>
      <c r="AS2057" s="3" t="s">
        <v>62</v>
      </c>
      <c r="AT2057" s="3" t="s">
        <v>62</v>
      </c>
      <c r="AV2057" s="6" t="str">
        <f>HYPERLINK("http://mcgill.on.worldcat.org/oclc/9490280","Catalog Record")</f>
        <v>Catalog Record</v>
      </c>
      <c r="AW2057" s="6" t="str">
        <f>HYPERLINK("http://www.worldcat.org/oclc/9490280","WorldCat Record")</f>
        <v>WorldCat Record</v>
      </c>
      <c r="AX2057" s="3" t="s">
        <v>20448</v>
      </c>
      <c r="AY2057" s="3" t="s">
        <v>20449</v>
      </c>
      <c r="AZ2057" s="3" t="s">
        <v>20450</v>
      </c>
      <c r="BA2057" s="3" t="s">
        <v>20450</v>
      </c>
      <c r="BB2057" s="3" t="s">
        <v>20451</v>
      </c>
      <c r="BC2057" s="3" t="s">
        <v>102</v>
      </c>
      <c r="BD2057" s="3" t="s">
        <v>68</v>
      </c>
      <c r="BF2057" s="3" t="s">
        <v>20451</v>
      </c>
      <c r="BG2057" s="3" t="s">
        <v>20452</v>
      </c>
    </row>
    <row r="2058" spans="1:59" ht="58" x14ac:dyDescent="0.35">
      <c r="A2058" s="2" t="s">
        <v>89</v>
      </c>
      <c r="B2058" s="2" t="s">
        <v>90</v>
      </c>
      <c r="C2058" s="2" t="s">
        <v>20453</v>
      </c>
      <c r="D2058" s="2" t="s">
        <v>20454</v>
      </c>
      <c r="E2058" s="2" t="s">
        <v>20455</v>
      </c>
      <c r="G2058" s="3" t="s">
        <v>62</v>
      </c>
      <c r="I2058" s="3" t="s">
        <v>62</v>
      </c>
      <c r="J2058" s="3" t="s">
        <v>62</v>
      </c>
      <c r="K2058" s="3" t="s">
        <v>63</v>
      </c>
      <c r="L2058" s="2" t="s">
        <v>20456</v>
      </c>
      <c r="M2058" s="2" t="s">
        <v>20457</v>
      </c>
      <c r="N2058" s="3" t="s">
        <v>976</v>
      </c>
      <c r="P2058" s="3" t="s">
        <v>64</v>
      </c>
      <c r="R2058" s="3" t="s">
        <v>13065</v>
      </c>
      <c r="S2058" s="4">
        <v>5</v>
      </c>
      <c r="T2058" s="4">
        <v>5</v>
      </c>
      <c r="U2058" s="5" t="s">
        <v>20447</v>
      </c>
      <c r="V2058" s="5" t="s">
        <v>20447</v>
      </c>
      <c r="W2058" s="5" t="s">
        <v>67</v>
      </c>
      <c r="X2058" s="5" t="s">
        <v>67</v>
      </c>
      <c r="Y2058" s="4">
        <v>52</v>
      </c>
      <c r="Z2058" s="4">
        <v>2</v>
      </c>
      <c r="AA2058" s="4">
        <v>3</v>
      </c>
      <c r="AB2058" s="4">
        <v>1</v>
      </c>
      <c r="AC2058" s="4">
        <v>1</v>
      </c>
      <c r="AD2058" s="4">
        <v>19</v>
      </c>
      <c r="AE2058" s="4">
        <v>23</v>
      </c>
      <c r="AF2058" s="4">
        <v>0</v>
      </c>
      <c r="AG2058" s="4">
        <v>0</v>
      </c>
      <c r="AH2058" s="4">
        <v>19</v>
      </c>
      <c r="AI2058" s="4">
        <v>21</v>
      </c>
      <c r="AJ2058" s="4">
        <v>1</v>
      </c>
      <c r="AK2058" s="4">
        <v>1</v>
      </c>
      <c r="AL2058" s="4">
        <v>15</v>
      </c>
      <c r="AM2058" s="4">
        <v>17</v>
      </c>
      <c r="AN2058" s="4">
        <v>0</v>
      </c>
      <c r="AO2058" s="4">
        <v>0</v>
      </c>
      <c r="AP2058" s="4">
        <v>1</v>
      </c>
      <c r="AQ2058" s="4">
        <v>2</v>
      </c>
      <c r="AR2058" s="3" t="s">
        <v>62</v>
      </c>
      <c r="AS2058" s="3" t="s">
        <v>62</v>
      </c>
      <c r="AT2058" s="3" t="s">
        <v>62</v>
      </c>
      <c r="AU2058" s="6" t="str">
        <f>HYPERLINK("http://catalog.hathitrust.org/Record/006537543","HathiTrust Record")</f>
        <v>HathiTrust Record</v>
      </c>
      <c r="AV2058" s="6" t="str">
        <f>HYPERLINK("http://mcgill.on.worldcat.org/oclc/1010815","Catalog Record")</f>
        <v>Catalog Record</v>
      </c>
      <c r="AW2058" s="6" t="str">
        <f>HYPERLINK("http://www.worldcat.org/oclc/1010815","WorldCat Record")</f>
        <v>WorldCat Record</v>
      </c>
      <c r="AX2058" s="3" t="s">
        <v>20458</v>
      </c>
      <c r="AY2058" s="3" t="s">
        <v>20459</v>
      </c>
      <c r="AZ2058" s="3" t="s">
        <v>20460</v>
      </c>
      <c r="BA2058" s="3" t="s">
        <v>20460</v>
      </c>
      <c r="BB2058" s="3" t="s">
        <v>20461</v>
      </c>
      <c r="BC2058" s="3" t="s">
        <v>102</v>
      </c>
      <c r="BD2058" s="3" t="s">
        <v>68</v>
      </c>
      <c r="BF2058" s="3" t="s">
        <v>20461</v>
      </c>
      <c r="BG2058" s="3" t="s">
        <v>20462</v>
      </c>
    </row>
    <row r="2059" spans="1:59" ht="58" x14ac:dyDescent="0.35">
      <c r="A2059" s="2" t="s">
        <v>89</v>
      </c>
      <c r="B2059" s="2" t="s">
        <v>90</v>
      </c>
      <c r="C2059" s="2" t="s">
        <v>20463</v>
      </c>
      <c r="D2059" s="2" t="s">
        <v>20464</v>
      </c>
      <c r="E2059" s="2" t="s">
        <v>20465</v>
      </c>
      <c r="G2059" s="3" t="s">
        <v>62</v>
      </c>
      <c r="I2059" s="3" t="s">
        <v>62</v>
      </c>
      <c r="J2059" s="3" t="s">
        <v>62</v>
      </c>
      <c r="K2059" s="3" t="s">
        <v>63</v>
      </c>
      <c r="L2059" s="2" t="s">
        <v>20466</v>
      </c>
      <c r="M2059" s="2" t="s">
        <v>20467</v>
      </c>
      <c r="N2059" s="3" t="s">
        <v>13194</v>
      </c>
      <c r="P2059" s="3" t="s">
        <v>64</v>
      </c>
      <c r="Q2059" s="2" t="s">
        <v>20468</v>
      </c>
      <c r="R2059" s="3" t="s">
        <v>13065</v>
      </c>
      <c r="S2059" s="4">
        <v>12</v>
      </c>
      <c r="T2059" s="4">
        <v>12</v>
      </c>
      <c r="U2059" s="5" t="s">
        <v>19887</v>
      </c>
      <c r="V2059" s="5" t="s">
        <v>19887</v>
      </c>
      <c r="W2059" s="5" t="s">
        <v>67</v>
      </c>
      <c r="X2059" s="5" t="s">
        <v>67</v>
      </c>
      <c r="Y2059" s="4">
        <v>11</v>
      </c>
      <c r="Z2059" s="4">
        <v>1</v>
      </c>
      <c r="AA2059" s="4">
        <v>2</v>
      </c>
      <c r="AB2059" s="4">
        <v>1</v>
      </c>
      <c r="AC2059" s="4">
        <v>1</v>
      </c>
      <c r="AD2059" s="4">
        <v>7</v>
      </c>
      <c r="AE2059" s="4">
        <v>12</v>
      </c>
      <c r="AF2059" s="4">
        <v>0</v>
      </c>
      <c r="AG2059" s="4">
        <v>0</v>
      </c>
      <c r="AH2059" s="4">
        <v>7</v>
      </c>
      <c r="AI2059" s="4">
        <v>11</v>
      </c>
      <c r="AJ2059" s="4">
        <v>0</v>
      </c>
      <c r="AK2059" s="4">
        <v>0</v>
      </c>
      <c r="AL2059" s="4">
        <v>5</v>
      </c>
      <c r="AM2059" s="4">
        <v>7</v>
      </c>
      <c r="AN2059" s="4">
        <v>0</v>
      </c>
      <c r="AO2059" s="4">
        <v>0</v>
      </c>
      <c r="AP2059" s="4">
        <v>0</v>
      </c>
      <c r="AQ2059" s="4">
        <v>1</v>
      </c>
      <c r="AR2059" s="3" t="s">
        <v>62</v>
      </c>
      <c r="AS2059" s="3" t="s">
        <v>61</v>
      </c>
      <c r="AT2059" s="3" t="s">
        <v>62</v>
      </c>
      <c r="AU2059" s="6" t="str">
        <f>HYPERLINK("http://catalog.hathitrust.org/Record/008872068","HathiTrust Record")</f>
        <v>HathiTrust Record</v>
      </c>
      <c r="AV2059" s="6" t="str">
        <f>HYPERLINK("http://mcgill.on.worldcat.org/oclc/32716750","Catalog Record")</f>
        <v>Catalog Record</v>
      </c>
      <c r="AW2059" s="6" t="str">
        <f>HYPERLINK("http://www.worldcat.org/oclc/32716750","WorldCat Record")</f>
        <v>WorldCat Record</v>
      </c>
      <c r="AX2059" s="3" t="s">
        <v>20469</v>
      </c>
      <c r="AY2059" s="3" t="s">
        <v>20470</v>
      </c>
      <c r="AZ2059" s="3" t="s">
        <v>20471</v>
      </c>
      <c r="BA2059" s="3" t="s">
        <v>20471</v>
      </c>
      <c r="BB2059" s="3" t="s">
        <v>20472</v>
      </c>
      <c r="BC2059" s="3" t="s">
        <v>102</v>
      </c>
      <c r="BD2059" s="3" t="s">
        <v>68</v>
      </c>
      <c r="BF2059" s="3" t="s">
        <v>20472</v>
      </c>
      <c r="BG2059" s="3" t="s">
        <v>20473</v>
      </c>
    </row>
    <row r="2060" spans="1:59" ht="58" x14ac:dyDescent="0.35">
      <c r="A2060" s="2" t="s">
        <v>89</v>
      </c>
      <c r="B2060" s="2" t="s">
        <v>90</v>
      </c>
      <c r="C2060" s="2" t="s">
        <v>20474</v>
      </c>
      <c r="D2060" s="2" t="s">
        <v>20475</v>
      </c>
      <c r="E2060" s="2" t="s">
        <v>20476</v>
      </c>
      <c r="G2060" s="3" t="s">
        <v>62</v>
      </c>
      <c r="I2060" s="3" t="s">
        <v>62</v>
      </c>
      <c r="J2060" s="3" t="s">
        <v>62</v>
      </c>
      <c r="K2060" s="3" t="s">
        <v>63</v>
      </c>
      <c r="L2060" s="2" t="s">
        <v>20477</v>
      </c>
      <c r="M2060" s="2" t="s">
        <v>20478</v>
      </c>
      <c r="N2060" s="3" t="s">
        <v>698</v>
      </c>
      <c r="P2060" s="3" t="s">
        <v>64</v>
      </c>
      <c r="R2060" s="3" t="s">
        <v>13065</v>
      </c>
      <c r="S2060" s="4">
        <v>1</v>
      </c>
      <c r="T2060" s="4">
        <v>1</v>
      </c>
      <c r="U2060" s="5" t="s">
        <v>20479</v>
      </c>
      <c r="V2060" s="5" t="s">
        <v>20479</v>
      </c>
      <c r="W2060" s="5" t="s">
        <v>67</v>
      </c>
      <c r="X2060" s="5" t="s">
        <v>67</v>
      </c>
      <c r="Y2060" s="4">
        <v>98</v>
      </c>
      <c r="Z2060" s="4">
        <v>8</v>
      </c>
      <c r="AA2060" s="4">
        <v>69</v>
      </c>
      <c r="AB2060" s="4">
        <v>1</v>
      </c>
      <c r="AC2060" s="4">
        <v>14</v>
      </c>
      <c r="AD2060" s="4">
        <v>21</v>
      </c>
      <c r="AE2060" s="4">
        <v>83</v>
      </c>
      <c r="AF2060" s="4">
        <v>0</v>
      </c>
      <c r="AG2060" s="4">
        <v>8</v>
      </c>
      <c r="AH2060" s="4">
        <v>18</v>
      </c>
      <c r="AI2060" s="4">
        <v>55</v>
      </c>
      <c r="AJ2060" s="4">
        <v>3</v>
      </c>
      <c r="AK2060" s="4">
        <v>18</v>
      </c>
      <c r="AL2060" s="4">
        <v>11</v>
      </c>
      <c r="AM2060" s="4">
        <v>27</v>
      </c>
      <c r="AN2060" s="4">
        <v>0</v>
      </c>
      <c r="AO2060" s="4">
        <v>0</v>
      </c>
      <c r="AP2060" s="4">
        <v>4</v>
      </c>
      <c r="AQ2060" s="4">
        <v>35</v>
      </c>
      <c r="AR2060" s="3" t="s">
        <v>62</v>
      </c>
      <c r="AS2060" s="3" t="s">
        <v>62</v>
      </c>
      <c r="AT2060" s="3" t="s">
        <v>62</v>
      </c>
      <c r="AV2060" s="6" t="str">
        <f>HYPERLINK("http://mcgill.on.worldcat.org/oclc/698327964","Catalog Record")</f>
        <v>Catalog Record</v>
      </c>
      <c r="AW2060" s="6" t="str">
        <f>HYPERLINK("http://www.worldcat.org/oclc/698327964","WorldCat Record")</f>
        <v>WorldCat Record</v>
      </c>
      <c r="AX2060" s="3" t="s">
        <v>20480</v>
      </c>
      <c r="AY2060" s="3" t="s">
        <v>20481</v>
      </c>
      <c r="AZ2060" s="3" t="s">
        <v>20482</v>
      </c>
      <c r="BA2060" s="3" t="s">
        <v>20482</v>
      </c>
      <c r="BB2060" s="3" t="s">
        <v>20483</v>
      </c>
      <c r="BC2060" s="3" t="s">
        <v>102</v>
      </c>
      <c r="BD2060" s="3" t="s">
        <v>68</v>
      </c>
      <c r="BE2060" s="3" t="s">
        <v>20484</v>
      </c>
      <c r="BF2060" s="3" t="s">
        <v>20483</v>
      </c>
      <c r="BG2060" s="3" t="s">
        <v>20485</v>
      </c>
    </row>
    <row r="2061" spans="1:59" ht="116" x14ac:dyDescent="0.35">
      <c r="A2061" s="2" t="s">
        <v>89</v>
      </c>
      <c r="B2061" s="2" t="s">
        <v>90</v>
      </c>
      <c r="C2061" s="2" t="s">
        <v>20486</v>
      </c>
      <c r="D2061" s="2" t="s">
        <v>20487</v>
      </c>
      <c r="E2061" s="2" t="s">
        <v>20488</v>
      </c>
      <c r="G2061" s="3" t="s">
        <v>62</v>
      </c>
      <c r="I2061" s="3" t="s">
        <v>61</v>
      </c>
      <c r="J2061" s="3" t="s">
        <v>62</v>
      </c>
      <c r="K2061" s="3" t="s">
        <v>63</v>
      </c>
      <c r="L2061" s="2" t="s">
        <v>20489</v>
      </c>
      <c r="M2061" s="2" t="s">
        <v>20490</v>
      </c>
      <c r="N2061" s="3" t="s">
        <v>880</v>
      </c>
      <c r="O2061" s="2" t="s">
        <v>20491</v>
      </c>
      <c r="P2061" s="3" t="s">
        <v>64</v>
      </c>
      <c r="R2061" s="3" t="s">
        <v>13065</v>
      </c>
      <c r="S2061" s="4">
        <v>16</v>
      </c>
      <c r="T2061" s="4">
        <v>137</v>
      </c>
      <c r="U2061" s="5" t="s">
        <v>20492</v>
      </c>
      <c r="V2061" s="5" t="s">
        <v>20492</v>
      </c>
      <c r="W2061" s="5" t="s">
        <v>67</v>
      </c>
      <c r="X2061" s="5" t="s">
        <v>67</v>
      </c>
      <c r="Y2061" s="4">
        <v>16</v>
      </c>
      <c r="Z2061" s="4">
        <v>2</v>
      </c>
      <c r="AA2061" s="4">
        <v>2</v>
      </c>
      <c r="AB2061" s="4">
        <v>2</v>
      </c>
      <c r="AC2061" s="4">
        <v>2</v>
      </c>
      <c r="AD2061" s="4">
        <v>1</v>
      </c>
      <c r="AE2061" s="4">
        <v>2</v>
      </c>
      <c r="AF2061" s="4">
        <v>0</v>
      </c>
      <c r="AG2061" s="4">
        <v>0</v>
      </c>
      <c r="AH2061" s="4">
        <v>1</v>
      </c>
      <c r="AI2061" s="4">
        <v>2</v>
      </c>
      <c r="AJ2061" s="4">
        <v>0</v>
      </c>
      <c r="AK2061" s="4">
        <v>0</v>
      </c>
      <c r="AL2061" s="4">
        <v>0</v>
      </c>
      <c r="AM2061" s="4">
        <v>1</v>
      </c>
      <c r="AN2061" s="4">
        <v>0</v>
      </c>
      <c r="AO2061" s="4">
        <v>0</v>
      </c>
      <c r="AP2061" s="4">
        <v>0</v>
      </c>
      <c r="AQ2061" s="4">
        <v>0</v>
      </c>
      <c r="AR2061" s="3" t="s">
        <v>62</v>
      </c>
      <c r="AS2061" s="3" t="s">
        <v>62</v>
      </c>
      <c r="AT2061" s="3" t="s">
        <v>62</v>
      </c>
      <c r="AV2061" s="6" t="str">
        <f>HYPERLINK("http://mcgill.on.worldcat.org/oclc/317746845","Catalog Record")</f>
        <v>Catalog Record</v>
      </c>
      <c r="AW2061" s="6" t="str">
        <f>HYPERLINK("http://www.worldcat.org/oclc/317746845","WorldCat Record")</f>
        <v>WorldCat Record</v>
      </c>
      <c r="AX2061" s="3" t="s">
        <v>20493</v>
      </c>
      <c r="AY2061" s="3" t="s">
        <v>20494</v>
      </c>
      <c r="AZ2061" s="3" t="s">
        <v>20495</v>
      </c>
      <c r="BA2061" s="3" t="s">
        <v>20495</v>
      </c>
      <c r="BB2061" s="3" t="s">
        <v>20496</v>
      </c>
      <c r="BC2061" s="3" t="s">
        <v>102</v>
      </c>
      <c r="BD2061" s="3" t="s">
        <v>68</v>
      </c>
      <c r="BE2061" s="3" t="s">
        <v>20497</v>
      </c>
      <c r="BF2061" s="3" t="s">
        <v>20496</v>
      </c>
      <c r="BG2061" s="3" t="s">
        <v>20498</v>
      </c>
    </row>
    <row r="2062" spans="1:59" ht="116" x14ac:dyDescent="0.35">
      <c r="A2062" s="2" t="s">
        <v>89</v>
      </c>
      <c r="B2062" s="2" t="s">
        <v>90</v>
      </c>
      <c r="C2062" s="2" t="s">
        <v>20486</v>
      </c>
      <c r="D2062" s="2" t="s">
        <v>20487</v>
      </c>
      <c r="E2062" s="2" t="s">
        <v>20488</v>
      </c>
      <c r="G2062" s="3" t="s">
        <v>62</v>
      </c>
      <c r="I2062" s="3" t="s">
        <v>61</v>
      </c>
      <c r="J2062" s="3" t="s">
        <v>62</v>
      </c>
      <c r="K2062" s="3" t="s">
        <v>63</v>
      </c>
      <c r="L2062" s="2" t="s">
        <v>20489</v>
      </c>
      <c r="M2062" s="2" t="s">
        <v>20490</v>
      </c>
      <c r="N2062" s="3" t="s">
        <v>880</v>
      </c>
      <c r="O2062" s="2" t="s">
        <v>20491</v>
      </c>
      <c r="P2062" s="3" t="s">
        <v>64</v>
      </c>
      <c r="R2062" s="3" t="s">
        <v>13065</v>
      </c>
      <c r="S2062" s="4">
        <v>121</v>
      </c>
      <c r="T2062" s="4">
        <v>137</v>
      </c>
      <c r="U2062" s="5" t="s">
        <v>8791</v>
      </c>
      <c r="V2062" s="5" t="s">
        <v>20492</v>
      </c>
      <c r="W2062" s="5" t="s">
        <v>67</v>
      </c>
      <c r="X2062" s="5" t="s">
        <v>67</v>
      </c>
      <c r="Y2062" s="4">
        <v>16</v>
      </c>
      <c r="Z2062" s="4">
        <v>2</v>
      </c>
      <c r="AA2062" s="4">
        <v>2</v>
      </c>
      <c r="AB2062" s="4">
        <v>2</v>
      </c>
      <c r="AC2062" s="4">
        <v>2</v>
      </c>
      <c r="AD2062" s="4">
        <v>1</v>
      </c>
      <c r="AE2062" s="4">
        <v>2</v>
      </c>
      <c r="AF2062" s="4">
        <v>0</v>
      </c>
      <c r="AG2062" s="4">
        <v>0</v>
      </c>
      <c r="AH2062" s="4">
        <v>1</v>
      </c>
      <c r="AI2062" s="4">
        <v>2</v>
      </c>
      <c r="AJ2062" s="4">
        <v>0</v>
      </c>
      <c r="AK2062" s="4">
        <v>0</v>
      </c>
      <c r="AL2062" s="4">
        <v>0</v>
      </c>
      <c r="AM2062" s="4">
        <v>1</v>
      </c>
      <c r="AN2062" s="4">
        <v>0</v>
      </c>
      <c r="AO2062" s="4">
        <v>0</v>
      </c>
      <c r="AP2062" s="4">
        <v>0</v>
      </c>
      <c r="AQ2062" s="4">
        <v>0</v>
      </c>
      <c r="AR2062" s="3" t="s">
        <v>62</v>
      </c>
      <c r="AS2062" s="3" t="s">
        <v>62</v>
      </c>
      <c r="AT2062" s="3" t="s">
        <v>62</v>
      </c>
      <c r="AV2062" s="6" t="str">
        <f>HYPERLINK("http://mcgill.on.worldcat.org/oclc/317746845","Catalog Record")</f>
        <v>Catalog Record</v>
      </c>
      <c r="AW2062" s="6" t="str">
        <f>HYPERLINK("http://www.worldcat.org/oclc/317746845","WorldCat Record")</f>
        <v>WorldCat Record</v>
      </c>
      <c r="AX2062" s="3" t="s">
        <v>20493</v>
      </c>
      <c r="AY2062" s="3" t="s">
        <v>20494</v>
      </c>
      <c r="AZ2062" s="3" t="s">
        <v>20495</v>
      </c>
      <c r="BA2062" s="3" t="s">
        <v>20495</v>
      </c>
      <c r="BB2062" s="3" t="s">
        <v>20499</v>
      </c>
      <c r="BC2062" s="3" t="s">
        <v>102</v>
      </c>
      <c r="BD2062" s="3" t="s">
        <v>68</v>
      </c>
      <c r="BE2062" s="3" t="s">
        <v>20497</v>
      </c>
      <c r="BF2062" s="3" t="s">
        <v>20499</v>
      </c>
      <c r="BG2062" s="3" t="s">
        <v>20500</v>
      </c>
    </row>
    <row r="2063" spans="1:59" ht="58" x14ac:dyDescent="0.35">
      <c r="A2063" s="2" t="s">
        <v>89</v>
      </c>
      <c r="B2063" s="2" t="s">
        <v>90</v>
      </c>
      <c r="C2063" s="2" t="s">
        <v>20501</v>
      </c>
      <c r="D2063" s="2" t="s">
        <v>20502</v>
      </c>
      <c r="E2063" s="2" t="s">
        <v>20503</v>
      </c>
      <c r="G2063" s="3" t="s">
        <v>62</v>
      </c>
      <c r="I2063" s="3" t="s">
        <v>61</v>
      </c>
      <c r="J2063" s="3" t="s">
        <v>61</v>
      </c>
      <c r="K2063" s="3" t="s">
        <v>63</v>
      </c>
      <c r="M2063" s="2" t="s">
        <v>20504</v>
      </c>
      <c r="N2063" s="3" t="s">
        <v>129</v>
      </c>
      <c r="O2063" s="2" t="s">
        <v>20505</v>
      </c>
      <c r="P2063" s="3" t="s">
        <v>64</v>
      </c>
      <c r="R2063" s="3" t="s">
        <v>13065</v>
      </c>
      <c r="S2063" s="4">
        <v>176</v>
      </c>
      <c r="T2063" s="4">
        <v>391</v>
      </c>
      <c r="U2063" s="5" t="s">
        <v>20506</v>
      </c>
      <c r="V2063" s="5" t="s">
        <v>10648</v>
      </c>
      <c r="W2063" s="5" t="s">
        <v>67</v>
      </c>
      <c r="X2063" s="5" t="s">
        <v>67</v>
      </c>
      <c r="Y2063" s="4">
        <v>1</v>
      </c>
      <c r="Z2063" s="4">
        <v>1</v>
      </c>
      <c r="AA2063" s="4">
        <v>1</v>
      </c>
      <c r="AB2063" s="4">
        <v>1</v>
      </c>
      <c r="AC2063" s="4">
        <v>1</v>
      </c>
      <c r="AD2063" s="4">
        <v>0</v>
      </c>
      <c r="AE2063" s="4">
        <v>0</v>
      </c>
      <c r="AF2063" s="4">
        <v>0</v>
      </c>
      <c r="AG2063" s="4">
        <v>0</v>
      </c>
      <c r="AH2063" s="4">
        <v>0</v>
      </c>
      <c r="AI2063" s="4">
        <v>0</v>
      </c>
      <c r="AJ2063" s="4">
        <v>0</v>
      </c>
      <c r="AK2063" s="4">
        <v>0</v>
      </c>
      <c r="AL2063" s="4">
        <v>0</v>
      </c>
      <c r="AM2063" s="4">
        <v>0</v>
      </c>
      <c r="AN2063" s="4">
        <v>0</v>
      </c>
      <c r="AO2063" s="4">
        <v>0</v>
      </c>
      <c r="AP2063" s="4">
        <v>0</v>
      </c>
      <c r="AQ2063" s="4">
        <v>0</v>
      </c>
      <c r="AR2063" s="3" t="s">
        <v>61</v>
      </c>
      <c r="AS2063" s="3" t="s">
        <v>62</v>
      </c>
      <c r="AT2063" s="3" t="s">
        <v>62</v>
      </c>
      <c r="AV2063" s="6" t="str">
        <f>HYPERLINK("http://mcgill.on.worldcat.org/oclc/793804664","Catalog Record")</f>
        <v>Catalog Record</v>
      </c>
      <c r="AW2063" s="6" t="str">
        <f>HYPERLINK("http://www.worldcat.org/oclc/793804664","WorldCat Record")</f>
        <v>WorldCat Record</v>
      </c>
      <c r="AX2063" s="3" t="s">
        <v>20507</v>
      </c>
      <c r="AY2063" s="3" t="s">
        <v>20508</v>
      </c>
      <c r="AZ2063" s="3" t="s">
        <v>20509</v>
      </c>
      <c r="BA2063" s="3" t="s">
        <v>20509</v>
      </c>
      <c r="BB2063" s="3" t="s">
        <v>20510</v>
      </c>
      <c r="BC2063" s="3" t="s">
        <v>102</v>
      </c>
      <c r="BD2063" s="3" t="s">
        <v>68</v>
      </c>
      <c r="BE2063" s="3" t="s">
        <v>20511</v>
      </c>
      <c r="BF2063" s="3" t="s">
        <v>20510</v>
      </c>
      <c r="BG2063" s="3" t="s">
        <v>20512</v>
      </c>
    </row>
    <row r="2064" spans="1:59" ht="58" x14ac:dyDescent="0.35">
      <c r="A2064" s="2" t="s">
        <v>89</v>
      </c>
      <c r="B2064" s="2" t="s">
        <v>90</v>
      </c>
      <c r="C2064" s="2" t="s">
        <v>20501</v>
      </c>
      <c r="D2064" s="2" t="s">
        <v>20502</v>
      </c>
      <c r="E2064" s="2" t="s">
        <v>20503</v>
      </c>
      <c r="G2064" s="3" t="s">
        <v>62</v>
      </c>
      <c r="I2064" s="3" t="s">
        <v>61</v>
      </c>
      <c r="J2064" s="3" t="s">
        <v>61</v>
      </c>
      <c r="K2064" s="3" t="s">
        <v>63</v>
      </c>
      <c r="M2064" s="2" t="s">
        <v>20504</v>
      </c>
      <c r="N2064" s="3" t="s">
        <v>129</v>
      </c>
      <c r="O2064" s="2" t="s">
        <v>20505</v>
      </c>
      <c r="P2064" s="3" t="s">
        <v>64</v>
      </c>
      <c r="R2064" s="3" t="s">
        <v>13065</v>
      </c>
      <c r="S2064" s="4">
        <v>34</v>
      </c>
      <c r="T2064" s="4">
        <v>391</v>
      </c>
      <c r="U2064" s="5" t="s">
        <v>10648</v>
      </c>
      <c r="V2064" s="5" t="s">
        <v>10648</v>
      </c>
      <c r="W2064" s="5" t="s">
        <v>67</v>
      </c>
      <c r="X2064" s="5" t="s">
        <v>67</v>
      </c>
      <c r="Y2064" s="4">
        <v>1</v>
      </c>
      <c r="Z2064" s="4">
        <v>1</v>
      </c>
      <c r="AA2064" s="4">
        <v>1</v>
      </c>
      <c r="AB2064" s="4">
        <v>1</v>
      </c>
      <c r="AC2064" s="4">
        <v>1</v>
      </c>
      <c r="AD2064" s="4">
        <v>0</v>
      </c>
      <c r="AE2064" s="4">
        <v>0</v>
      </c>
      <c r="AF2064" s="4">
        <v>0</v>
      </c>
      <c r="AG2064" s="4">
        <v>0</v>
      </c>
      <c r="AH2064" s="4">
        <v>0</v>
      </c>
      <c r="AI2064" s="4">
        <v>0</v>
      </c>
      <c r="AJ2064" s="4">
        <v>0</v>
      </c>
      <c r="AK2064" s="4">
        <v>0</v>
      </c>
      <c r="AL2064" s="4">
        <v>0</v>
      </c>
      <c r="AM2064" s="4">
        <v>0</v>
      </c>
      <c r="AN2064" s="4">
        <v>0</v>
      </c>
      <c r="AO2064" s="4">
        <v>0</v>
      </c>
      <c r="AP2064" s="4">
        <v>0</v>
      </c>
      <c r="AQ2064" s="4">
        <v>0</v>
      </c>
      <c r="AR2064" s="3" t="s">
        <v>61</v>
      </c>
      <c r="AS2064" s="3" t="s">
        <v>62</v>
      </c>
      <c r="AT2064" s="3" t="s">
        <v>62</v>
      </c>
      <c r="AV2064" s="6" t="str">
        <f>HYPERLINK("http://mcgill.on.worldcat.org/oclc/793804664","Catalog Record")</f>
        <v>Catalog Record</v>
      </c>
      <c r="AW2064" s="6" t="str">
        <f>HYPERLINK("http://www.worldcat.org/oclc/793804664","WorldCat Record")</f>
        <v>WorldCat Record</v>
      </c>
      <c r="AX2064" s="3" t="s">
        <v>20507</v>
      </c>
      <c r="AY2064" s="3" t="s">
        <v>20508</v>
      </c>
      <c r="AZ2064" s="3" t="s">
        <v>20509</v>
      </c>
      <c r="BA2064" s="3" t="s">
        <v>20509</v>
      </c>
      <c r="BB2064" s="3" t="s">
        <v>20513</v>
      </c>
      <c r="BC2064" s="3" t="s">
        <v>102</v>
      </c>
      <c r="BD2064" s="3" t="s">
        <v>68</v>
      </c>
      <c r="BE2064" s="3" t="s">
        <v>20511</v>
      </c>
      <c r="BF2064" s="3" t="s">
        <v>20513</v>
      </c>
      <c r="BG2064" s="3" t="s">
        <v>20514</v>
      </c>
    </row>
    <row r="2065" spans="1:59" ht="58" x14ac:dyDescent="0.35">
      <c r="A2065" s="2" t="s">
        <v>89</v>
      </c>
      <c r="B2065" s="2" t="s">
        <v>90</v>
      </c>
      <c r="C2065" s="2" t="s">
        <v>20501</v>
      </c>
      <c r="D2065" s="2" t="s">
        <v>20502</v>
      </c>
      <c r="E2065" s="2" t="s">
        <v>20503</v>
      </c>
      <c r="G2065" s="3" t="s">
        <v>62</v>
      </c>
      <c r="I2065" s="3" t="s">
        <v>61</v>
      </c>
      <c r="J2065" s="3" t="s">
        <v>61</v>
      </c>
      <c r="K2065" s="3" t="s">
        <v>63</v>
      </c>
      <c r="M2065" s="2" t="s">
        <v>20504</v>
      </c>
      <c r="N2065" s="3" t="s">
        <v>129</v>
      </c>
      <c r="O2065" s="2" t="s">
        <v>20505</v>
      </c>
      <c r="P2065" s="3" t="s">
        <v>64</v>
      </c>
      <c r="R2065" s="3" t="s">
        <v>13065</v>
      </c>
      <c r="S2065" s="4">
        <v>181</v>
      </c>
      <c r="T2065" s="4">
        <v>391</v>
      </c>
      <c r="U2065" s="5" t="s">
        <v>3243</v>
      </c>
      <c r="V2065" s="5" t="s">
        <v>10648</v>
      </c>
      <c r="W2065" s="5" t="s">
        <v>67</v>
      </c>
      <c r="X2065" s="5" t="s">
        <v>67</v>
      </c>
      <c r="Y2065" s="4">
        <v>1</v>
      </c>
      <c r="Z2065" s="4">
        <v>1</v>
      </c>
      <c r="AA2065" s="4">
        <v>1</v>
      </c>
      <c r="AB2065" s="4">
        <v>1</v>
      </c>
      <c r="AC2065" s="4">
        <v>1</v>
      </c>
      <c r="AD2065" s="4">
        <v>0</v>
      </c>
      <c r="AE2065" s="4">
        <v>0</v>
      </c>
      <c r="AF2065" s="4">
        <v>0</v>
      </c>
      <c r="AG2065" s="4">
        <v>0</v>
      </c>
      <c r="AH2065" s="4">
        <v>0</v>
      </c>
      <c r="AI2065" s="4">
        <v>0</v>
      </c>
      <c r="AJ2065" s="4">
        <v>0</v>
      </c>
      <c r="AK2065" s="4">
        <v>0</v>
      </c>
      <c r="AL2065" s="4">
        <v>0</v>
      </c>
      <c r="AM2065" s="4">
        <v>0</v>
      </c>
      <c r="AN2065" s="4">
        <v>0</v>
      </c>
      <c r="AO2065" s="4">
        <v>0</v>
      </c>
      <c r="AP2065" s="4">
        <v>0</v>
      </c>
      <c r="AQ2065" s="4">
        <v>0</v>
      </c>
      <c r="AR2065" s="3" t="s">
        <v>61</v>
      </c>
      <c r="AS2065" s="3" t="s">
        <v>62</v>
      </c>
      <c r="AT2065" s="3" t="s">
        <v>62</v>
      </c>
      <c r="AV2065" s="6" t="str">
        <f>HYPERLINK("http://mcgill.on.worldcat.org/oclc/793804664","Catalog Record")</f>
        <v>Catalog Record</v>
      </c>
      <c r="AW2065" s="6" t="str">
        <f>HYPERLINK("http://www.worldcat.org/oclc/793804664","WorldCat Record")</f>
        <v>WorldCat Record</v>
      </c>
      <c r="AX2065" s="3" t="s">
        <v>20507</v>
      </c>
      <c r="AY2065" s="3" t="s">
        <v>20508</v>
      </c>
      <c r="AZ2065" s="3" t="s">
        <v>20509</v>
      </c>
      <c r="BA2065" s="3" t="s">
        <v>20509</v>
      </c>
      <c r="BB2065" s="3" t="s">
        <v>20515</v>
      </c>
      <c r="BC2065" s="3" t="s">
        <v>102</v>
      </c>
      <c r="BD2065" s="3" t="s">
        <v>68</v>
      </c>
      <c r="BE2065" s="3" t="s">
        <v>20511</v>
      </c>
      <c r="BF2065" s="3" t="s">
        <v>20515</v>
      </c>
      <c r="BG2065" s="3" t="s">
        <v>20516</v>
      </c>
    </row>
    <row r="2066" spans="1:59" ht="87" x14ac:dyDescent="0.35">
      <c r="A2066" s="2" t="s">
        <v>89</v>
      </c>
      <c r="B2066" s="2" t="s">
        <v>15860</v>
      </c>
      <c r="C2066" s="2" t="s">
        <v>20517</v>
      </c>
      <c r="D2066" s="2" t="s">
        <v>20518</v>
      </c>
      <c r="E2066" s="2" t="s">
        <v>20519</v>
      </c>
      <c r="G2066" s="3" t="s">
        <v>62</v>
      </c>
      <c r="I2066" s="3" t="s">
        <v>61</v>
      </c>
      <c r="J2066" s="3" t="s">
        <v>62</v>
      </c>
      <c r="K2066" s="3" t="s">
        <v>63</v>
      </c>
      <c r="L2066" s="2" t="s">
        <v>15810</v>
      </c>
      <c r="M2066" s="2" t="s">
        <v>20520</v>
      </c>
      <c r="N2066" s="3" t="s">
        <v>1038</v>
      </c>
      <c r="O2066" s="2" t="s">
        <v>20521</v>
      </c>
      <c r="P2066" s="3" t="s">
        <v>64</v>
      </c>
      <c r="R2066" s="3" t="s">
        <v>13065</v>
      </c>
      <c r="S2066" s="4">
        <v>147</v>
      </c>
      <c r="T2066" s="4">
        <v>463</v>
      </c>
      <c r="U2066" s="5" t="s">
        <v>8815</v>
      </c>
      <c r="V2066" s="5" t="s">
        <v>20522</v>
      </c>
      <c r="W2066" s="5" t="s">
        <v>67</v>
      </c>
      <c r="X2066" s="5" t="s">
        <v>67</v>
      </c>
      <c r="Y2066" s="4">
        <v>1</v>
      </c>
      <c r="Z2066" s="4">
        <v>1</v>
      </c>
      <c r="AA2066" s="4">
        <v>1</v>
      </c>
      <c r="AB2066" s="4">
        <v>1</v>
      </c>
      <c r="AC2066" s="4">
        <v>1</v>
      </c>
      <c r="AD2066" s="4">
        <v>0</v>
      </c>
      <c r="AE2066" s="4">
        <v>0</v>
      </c>
      <c r="AF2066" s="4">
        <v>0</v>
      </c>
      <c r="AG2066" s="4">
        <v>0</v>
      </c>
      <c r="AH2066" s="4">
        <v>0</v>
      </c>
      <c r="AI2066" s="4">
        <v>0</v>
      </c>
      <c r="AJ2066" s="4">
        <v>0</v>
      </c>
      <c r="AK2066" s="4">
        <v>0</v>
      </c>
      <c r="AL2066" s="4">
        <v>0</v>
      </c>
      <c r="AM2066" s="4">
        <v>0</v>
      </c>
      <c r="AN2066" s="4">
        <v>0</v>
      </c>
      <c r="AO2066" s="4">
        <v>0</v>
      </c>
      <c r="AP2066" s="4">
        <v>0</v>
      </c>
      <c r="AQ2066" s="4">
        <v>0</v>
      </c>
      <c r="AR2066" s="3" t="s">
        <v>61</v>
      </c>
      <c r="AS2066" s="3" t="s">
        <v>62</v>
      </c>
      <c r="AT2066" s="3" t="s">
        <v>62</v>
      </c>
      <c r="AV2066" s="6" t="str">
        <f>HYPERLINK("http://mcgill.on.worldcat.org/oclc/932067876","Catalog Record")</f>
        <v>Catalog Record</v>
      </c>
      <c r="AW2066" s="6" t="str">
        <f>HYPERLINK("http://www.worldcat.org/oclc/932067876","WorldCat Record")</f>
        <v>WorldCat Record</v>
      </c>
      <c r="AX2066" s="3" t="s">
        <v>20523</v>
      </c>
      <c r="AY2066" s="3" t="s">
        <v>20524</v>
      </c>
      <c r="AZ2066" s="3" t="s">
        <v>20525</v>
      </c>
      <c r="BA2066" s="3" t="s">
        <v>20525</v>
      </c>
      <c r="BB2066" s="3" t="s">
        <v>20526</v>
      </c>
      <c r="BC2066" s="3" t="s">
        <v>102</v>
      </c>
      <c r="BD2066" s="3" t="s">
        <v>68</v>
      </c>
      <c r="BE2066" s="3" t="s">
        <v>20527</v>
      </c>
      <c r="BF2066" s="3" t="s">
        <v>20526</v>
      </c>
      <c r="BG2066" s="3" t="s">
        <v>20528</v>
      </c>
    </row>
    <row r="2067" spans="1:59" ht="87" x14ac:dyDescent="0.35">
      <c r="A2067" s="2" t="s">
        <v>89</v>
      </c>
      <c r="B2067" s="2" t="s">
        <v>15860</v>
      </c>
      <c r="C2067" s="2" t="s">
        <v>20517</v>
      </c>
      <c r="D2067" s="2" t="s">
        <v>20518</v>
      </c>
      <c r="E2067" s="2" t="s">
        <v>20519</v>
      </c>
      <c r="G2067" s="3" t="s">
        <v>62</v>
      </c>
      <c r="I2067" s="3" t="s">
        <v>61</v>
      </c>
      <c r="J2067" s="3" t="s">
        <v>62</v>
      </c>
      <c r="K2067" s="3" t="s">
        <v>63</v>
      </c>
      <c r="L2067" s="2" t="s">
        <v>15810</v>
      </c>
      <c r="M2067" s="2" t="s">
        <v>20520</v>
      </c>
      <c r="N2067" s="3" t="s">
        <v>1038</v>
      </c>
      <c r="O2067" s="2" t="s">
        <v>20521</v>
      </c>
      <c r="P2067" s="3" t="s">
        <v>64</v>
      </c>
      <c r="R2067" s="3" t="s">
        <v>13065</v>
      </c>
      <c r="S2067" s="4">
        <v>128</v>
      </c>
      <c r="T2067" s="4">
        <v>463</v>
      </c>
      <c r="U2067" s="5" t="s">
        <v>10070</v>
      </c>
      <c r="V2067" s="5" t="s">
        <v>20522</v>
      </c>
      <c r="W2067" s="5" t="s">
        <v>67</v>
      </c>
      <c r="X2067" s="5" t="s">
        <v>67</v>
      </c>
      <c r="Y2067" s="4">
        <v>1</v>
      </c>
      <c r="Z2067" s="4">
        <v>1</v>
      </c>
      <c r="AA2067" s="4">
        <v>1</v>
      </c>
      <c r="AB2067" s="4">
        <v>1</v>
      </c>
      <c r="AC2067" s="4">
        <v>1</v>
      </c>
      <c r="AD2067" s="4">
        <v>0</v>
      </c>
      <c r="AE2067" s="4">
        <v>0</v>
      </c>
      <c r="AF2067" s="4">
        <v>0</v>
      </c>
      <c r="AG2067" s="4">
        <v>0</v>
      </c>
      <c r="AH2067" s="4">
        <v>0</v>
      </c>
      <c r="AI2067" s="4">
        <v>0</v>
      </c>
      <c r="AJ2067" s="4">
        <v>0</v>
      </c>
      <c r="AK2067" s="4">
        <v>0</v>
      </c>
      <c r="AL2067" s="4">
        <v>0</v>
      </c>
      <c r="AM2067" s="4">
        <v>0</v>
      </c>
      <c r="AN2067" s="4">
        <v>0</v>
      </c>
      <c r="AO2067" s="4">
        <v>0</v>
      </c>
      <c r="AP2067" s="4">
        <v>0</v>
      </c>
      <c r="AQ2067" s="4">
        <v>0</v>
      </c>
      <c r="AR2067" s="3" t="s">
        <v>61</v>
      </c>
      <c r="AS2067" s="3" t="s">
        <v>62</v>
      </c>
      <c r="AT2067" s="3" t="s">
        <v>62</v>
      </c>
      <c r="AV2067" s="6" t="str">
        <f>HYPERLINK("http://mcgill.on.worldcat.org/oclc/932067876","Catalog Record")</f>
        <v>Catalog Record</v>
      </c>
      <c r="AW2067" s="6" t="str">
        <f>HYPERLINK("http://www.worldcat.org/oclc/932067876","WorldCat Record")</f>
        <v>WorldCat Record</v>
      </c>
      <c r="AX2067" s="3" t="s">
        <v>20523</v>
      </c>
      <c r="AY2067" s="3" t="s">
        <v>20524</v>
      </c>
      <c r="AZ2067" s="3" t="s">
        <v>20525</v>
      </c>
      <c r="BA2067" s="3" t="s">
        <v>20525</v>
      </c>
      <c r="BB2067" s="3" t="s">
        <v>20529</v>
      </c>
      <c r="BC2067" s="3" t="s">
        <v>102</v>
      </c>
      <c r="BD2067" s="3" t="s">
        <v>68</v>
      </c>
      <c r="BE2067" s="3" t="s">
        <v>20527</v>
      </c>
      <c r="BF2067" s="3" t="s">
        <v>20529</v>
      </c>
      <c r="BG2067" s="3" t="s">
        <v>20530</v>
      </c>
    </row>
    <row r="2068" spans="1:59" ht="87" x14ac:dyDescent="0.35">
      <c r="A2068" s="2" t="s">
        <v>89</v>
      </c>
      <c r="B2068" s="2" t="s">
        <v>15860</v>
      </c>
      <c r="C2068" s="2" t="s">
        <v>20517</v>
      </c>
      <c r="D2068" s="2" t="s">
        <v>20518</v>
      </c>
      <c r="E2068" s="2" t="s">
        <v>20519</v>
      </c>
      <c r="G2068" s="3" t="s">
        <v>62</v>
      </c>
      <c r="I2068" s="3" t="s">
        <v>61</v>
      </c>
      <c r="J2068" s="3" t="s">
        <v>62</v>
      </c>
      <c r="K2068" s="3" t="s">
        <v>63</v>
      </c>
      <c r="L2068" s="2" t="s">
        <v>15810</v>
      </c>
      <c r="M2068" s="2" t="s">
        <v>20520</v>
      </c>
      <c r="N2068" s="3" t="s">
        <v>1038</v>
      </c>
      <c r="O2068" s="2" t="s">
        <v>20521</v>
      </c>
      <c r="P2068" s="3" t="s">
        <v>64</v>
      </c>
      <c r="R2068" s="3" t="s">
        <v>13065</v>
      </c>
      <c r="S2068" s="4">
        <v>95</v>
      </c>
      <c r="T2068" s="4">
        <v>463</v>
      </c>
      <c r="U2068" s="5" t="s">
        <v>20522</v>
      </c>
      <c r="V2068" s="5" t="s">
        <v>20522</v>
      </c>
      <c r="W2068" s="5" t="s">
        <v>67</v>
      </c>
      <c r="X2068" s="5" t="s">
        <v>67</v>
      </c>
      <c r="Y2068" s="4">
        <v>1</v>
      </c>
      <c r="Z2068" s="4">
        <v>1</v>
      </c>
      <c r="AA2068" s="4">
        <v>1</v>
      </c>
      <c r="AB2068" s="4">
        <v>1</v>
      </c>
      <c r="AC2068" s="4">
        <v>1</v>
      </c>
      <c r="AD2068" s="4">
        <v>0</v>
      </c>
      <c r="AE2068" s="4">
        <v>0</v>
      </c>
      <c r="AF2068" s="4">
        <v>0</v>
      </c>
      <c r="AG2068" s="4">
        <v>0</v>
      </c>
      <c r="AH2068" s="4">
        <v>0</v>
      </c>
      <c r="AI2068" s="4">
        <v>0</v>
      </c>
      <c r="AJ2068" s="4">
        <v>0</v>
      </c>
      <c r="AK2068" s="4">
        <v>0</v>
      </c>
      <c r="AL2068" s="4">
        <v>0</v>
      </c>
      <c r="AM2068" s="4">
        <v>0</v>
      </c>
      <c r="AN2068" s="4">
        <v>0</v>
      </c>
      <c r="AO2068" s="4">
        <v>0</v>
      </c>
      <c r="AP2068" s="4">
        <v>0</v>
      </c>
      <c r="AQ2068" s="4">
        <v>0</v>
      </c>
      <c r="AR2068" s="3" t="s">
        <v>61</v>
      </c>
      <c r="AS2068" s="3" t="s">
        <v>62</v>
      </c>
      <c r="AT2068" s="3" t="s">
        <v>62</v>
      </c>
      <c r="AV2068" s="6" t="str">
        <f>HYPERLINK("http://mcgill.on.worldcat.org/oclc/932067876","Catalog Record")</f>
        <v>Catalog Record</v>
      </c>
      <c r="AW2068" s="6" t="str">
        <f>HYPERLINK("http://www.worldcat.org/oclc/932067876","WorldCat Record")</f>
        <v>WorldCat Record</v>
      </c>
      <c r="AX2068" s="3" t="s">
        <v>20523</v>
      </c>
      <c r="AY2068" s="3" t="s">
        <v>20524</v>
      </c>
      <c r="AZ2068" s="3" t="s">
        <v>20525</v>
      </c>
      <c r="BA2068" s="3" t="s">
        <v>20525</v>
      </c>
      <c r="BB2068" s="3" t="s">
        <v>20531</v>
      </c>
      <c r="BC2068" s="3" t="s">
        <v>102</v>
      </c>
      <c r="BD2068" s="3" t="s">
        <v>68</v>
      </c>
      <c r="BE2068" s="3" t="s">
        <v>20527</v>
      </c>
      <c r="BF2068" s="3" t="s">
        <v>20531</v>
      </c>
      <c r="BG2068" s="3" t="s">
        <v>20532</v>
      </c>
    </row>
    <row r="2069" spans="1:59" ht="87" x14ac:dyDescent="0.35">
      <c r="A2069" s="2" t="s">
        <v>89</v>
      </c>
      <c r="B2069" s="2" t="s">
        <v>15860</v>
      </c>
      <c r="C2069" s="2" t="s">
        <v>20517</v>
      </c>
      <c r="D2069" s="2" t="s">
        <v>20518</v>
      </c>
      <c r="E2069" s="2" t="s">
        <v>20519</v>
      </c>
      <c r="G2069" s="3" t="s">
        <v>62</v>
      </c>
      <c r="I2069" s="3" t="s">
        <v>61</v>
      </c>
      <c r="J2069" s="3" t="s">
        <v>62</v>
      </c>
      <c r="K2069" s="3" t="s">
        <v>63</v>
      </c>
      <c r="L2069" s="2" t="s">
        <v>15810</v>
      </c>
      <c r="M2069" s="2" t="s">
        <v>20520</v>
      </c>
      <c r="N2069" s="3" t="s">
        <v>1038</v>
      </c>
      <c r="O2069" s="2" t="s">
        <v>20521</v>
      </c>
      <c r="P2069" s="3" t="s">
        <v>64</v>
      </c>
      <c r="R2069" s="3" t="s">
        <v>13065</v>
      </c>
      <c r="S2069" s="4">
        <v>93</v>
      </c>
      <c r="T2069" s="4">
        <v>463</v>
      </c>
      <c r="U2069" s="5" t="s">
        <v>8815</v>
      </c>
      <c r="V2069" s="5" t="s">
        <v>20522</v>
      </c>
      <c r="W2069" s="5" t="s">
        <v>67</v>
      </c>
      <c r="X2069" s="5" t="s">
        <v>67</v>
      </c>
      <c r="Y2069" s="4">
        <v>1</v>
      </c>
      <c r="Z2069" s="4">
        <v>1</v>
      </c>
      <c r="AA2069" s="4">
        <v>1</v>
      </c>
      <c r="AB2069" s="4">
        <v>1</v>
      </c>
      <c r="AC2069" s="4">
        <v>1</v>
      </c>
      <c r="AD2069" s="4">
        <v>0</v>
      </c>
      <c r="AE2069" s="4">
        <v>0</v>
      </c>
      <c r="AF2069" s="4">
        <v>0</v>
      </c>
      <c r="AG2069" s="4">
        <v>0</v>
      </c>
      <c r="AH2069" s="4">
        <v>0</v>
      </c>
      <c r="AI2069" s="4">
        <v>0</v>
      </c>
      <c r="AJ2069" s="4">
        <v>0</v>
      </c>
      <c r="AK2069" s="4">
        <v>0</v>
      </c>
      <c r="AL2069" s="4">
        <v>0</v>
      </c>
      <c r="AM2069" s="4">
        <v>0</v>
      </c>
      <c r="AN2069" s="4">
        <v>0</v>
      </c>
      <c r="AO2069" s="4">
        <v>0</v>
      </c>
      <c r="AP2069" s="4">
        <v>0</v>
      </c>
      <c r="AQ2069" s="4">
        <v>0</v>
      </c>
      <c r="AR2069" s="3" t="s">
        <v>61</v>
      </c>
      <c r="AS2069" s="3" t="s">
        <v>62</v>
      </c>
      <c r="AT2069" s="3" t="s">
        <v>62</v>
      </c>
      <c r="AV2069" s="6" t="str">
        <f>HYPERLINK("http://mcgill.on.worldcat.org/oclc/932067876","Catalog Record")</f>
        <v>Catalog Record</v>
      </c>
      <c r="AW2069" s="6" t="str">
        <f>HYPERLINK("http://www.worldcat.org/oclc/932067876","WorldCat Record")</f>
        <v>WorldCat Record</v>
      </c>
      <c r="AX2069" s="3" t="s">
        <v>20523</v>
      </c>
      <c r="AY2069" s="3" t="s">
        <v>20524</v>
      </c>
      <c r="AZ2069" s="3" t="s">
        <v>20525</v>
      </c>
      <c r="BA2069" s="3" t="s">
        <v>20525</v>
      </c>
      <c r="BB2069" s="3" t="s">
        <v>20533</v>
      </c>
      <c r="BC2069" s="3" t="s">
        <v>102</v>
      </c>
      <c r="BD2069" s="3" t="s">
        <v>68</v>
      </c>
      <c r="BE2069" s="3" t="s">
        <v>20527</v>
      </c>
      <c r="BF2069" s="3" t="s">
        <v>20533</v>
      </c>
      <c r="BG2069" s="3" t="s">
        <v>20534</v>
      </c>
    </row>
    <row r="2070" spans="1:59" ht="87" x14ac:dyDescent="0.35">
      <c r="A2070" s="2" t="s">
        <v>89</v>
      </c>
      <c r="B2070" s="2" t="s">
        <v>15860</v>
      </c>
      <c r="C2070" s="2" t="s">
        <v>20535</v>
      </c>
      <c r="D2070" s="2" t="s">
        <v>20536</v>
      </c>
      <c r="E2070" s="2" t="s">
        <v>20537</v>
      </c>
      <c r="G2070" s="3" t="s">
        <v>62</v>
      </c>
      <c r="I2070" s="3" t="s">
        <v>61</v>
      </c>
      <c r="J2070" s="3" t="s">
        <v>61</v>
      </c>
      <c r="K2070" s="3" t="s">
        <v>63</v>
      </c>
      <c r="L2070" s="2" t="s">
        <v>15810</v>
      </c>
      <c r="M2070" s="2" t="s">
        <v>20520</v>
      </c>
      <c r="N2070" s="3" t="s">
        <v>1038</v>
      </c>
      <c r="O2070" s="2" t="s">
        <v>20521</v>
      </c>
      <c r="P2070" s="3" t="s">
        <v>64</v>
      </c>
      <c r="R2070" s="3" t="s">
        <v>13065</v>
      </c>
      <c r="S2070" s="4">
        <v>217</v>
      </c>
      <c r="T2070" s="4">
        <v>686</v>
      </c>
      <c r="U2070" s="5" t="s">
        <v>16362</v>
      </c>
      <c r="V2070" s="5" t="s">
        <v>15871</v>
      </c>
      <c r="W2070" s="5" t="s">
        <v>67</v>
      </c>
      <c r="X2070" s="5" t="s">
        <v>67</v>
      </c>
      <c r="Y2070" s="4">
        <v>1</v>
      </c>
      <c r="Z2070" s="4">
        <v>1</v>
      </c>
      <c r="AA2070" s="4">
        <v>1</v>
      </c>
      <c r="AB2070" s="4">
        <v>1</v>
      </c>
      <c r="AC2070" s="4">
        <v>1</v>
      </c>
      <c r="AD2070" s="4">
        <v>0</v>
      </c>
      <c r="AE2070" s="4">
        <v>0</v>
      </c>
      <c r="AF2070" s="4">
        <v>0</v>
      </c>
      <c r="AG2070" s="4">
        <v>0</v>
      </c>
      <c r="AH2070" s="4">
        <v>0</v>
      </c>
      <c r="AI2070" s="4">
        <v>0</v>
      </c>
      <c r="AJ2070" s="4">
        <v>0</v>
      </c>
      <c r="AK2070" s="4">
        <v>0</v>
      </c>
      <c r="AL2070" s="4">
        <v>0</v>
      </c>
      <c r="AM2070" s="4">
        <v>0</v>
      </c>
      <c r="AN2070" s="4">
        <v>0</v>
      </c>
      <c r="AO2070" s="4">
        <v>0</v>
      </c>
      <c r="AP2070" s="4">
        <v>0</v>
      </c>
      <c r="AQ2070" s="4">
        <v>0</v>
      </c>
      <c r="AR2070" s="3" t="s">
        <v>61</v>
      </c>
      <c r="AS2070" s="3" t="s">
        <v>62</v>
      </c>
      <c r="AT2070" s="3" t="s">
        <v>62</v>
      </c>
      <c r="AV2070" s="6" t="str">
        <f>HYPERLINK("http://mcgill.on.worldcat.org/oclc/934439978","Catalog Record")</f>
        <v>Catalog Record</v>
      </c>
      <c r="AW2070" s="6" t="str">
        <f>HYPERLINK("http://www.worldcat.org/oclc/934439978","WorldCat Record")</f>
        <v>WorldCat Record</v>
      </c>
      <c r="AX2070" s="3" t="s">
        <v>20507</v>
      </c>
      <c r="AY2070" s="3" t="s">
        <v>20538</v>
      </c>
      <c r="AZ2070" s="3" t="s">
        <v>20539</v>
      </c>
      <c r="BA2070" s="3" t="s">
        <v>20539</v>
      </c>
      <c r="BB2070" s="3" t="s">
        <v>20540</v>
      </c>
      <c r="BC2070" s="3" t="s">
        <v>102</v>
      </c>
      <c r="BD2070" s="3" t="s">
        <v>68</v>
      </c>
      <c r="BE2070" s="3" t="s">
        <v>20541</v>
      </c>
      <c r="BF2070" s="3" t="s">
        <v>20540</v>
      </c>
      <c r="BG2070" s="3" t="s">
        <v>20542</v>
      </c>
    </row>
    <row r="2071" spans="1:59" ht="87" x14ac:dyDescent="0.35">
      <c r="A2071" s="2" t="s">
        <v>89</v>
      </c>
      <c r="B2071" s="2" t="s">
        <v>15860</v>
      </c>
      <c r="C2071" s="2" t="s">
        <v>20535</v>
      </c>
      <c r="D2071" s="2" t="s">
        <v>20536</v>
      </c>
      <c r="E2071" s="2" t="s">
        <v>20537</v>
      </c>
      <c r="G2071" s="3" t="s">
        <v>62</v>
      </c>
      <c r="I2071" s="3" t="s">
        <v>61</v>
      </c>
      <c r="J2071" s="3" t="s">
        <v>61</v>
      </c>
      <c r="K2071" s="3" t="s">
        <v>63</v>
      </c>
      <c r="L2071" s="2" t="s">
        <v>15810</v>
      </c>
      <c r="M2071" s="2" t="s">
        <v>20520</v>
      </c>
      <c r="N2071" s="3" t="s">
        <v>1038</v>
      </c>
      <c r="O2071" s="2" t="s">
        <v>20521</v>
      </c>
      <c r="P2071" s="3" t="s">
        <v>64</v>
      </c>
      <c r="R2071" s="3" t="s">
        <v>13065</v>
      </c>
      <c r="S2071" s="4">
        <v>168</v>
      </c>
      <c r="T2071" s="4">
        <v>686</v>
      </c>
      <c r="U2071" s="5" t="s">
        <v>15871</v>
      </c>
      <c r="V2071" s="5" t="s">
        <v>15871</v>
      </c>
      <c r="W2071" s="5" t="s">
        <v>67</v>
      </c>
      <c r="X2071" s="5" t="s">
        <v>67</v>
      </c>
      <c r="Y2071" s="4">
        <v>1</v>
      </c>
      <c r="Z2071" s="4">
        <v>1</v>
      </c>
      <c r="AA2071" s="4">
        <v>1</v>
      </c>
      <c r="AB2071" s="4">
        <v>1</v>
      </c>
      <c r="AC2071" s="4">
        <v>1</v>
      </c>
      <c r="AD2071" s="4">
        <v>0</v>
      </c>
      <c r="AE2071" s="4">
        <v>0</v>
      </c>
      <c r="AF2071" s="4">
        <v>0</v>
      </c>
      <c r="AG2071" s="4">
        <v>0</v>
      </c>
      <c r="AH2071" s="4">
        <v>0</v>
      </c>
      <c r="AI2071" s="4">
        <v>0</v>
      </c>
      <c r="AJ2071" s="4">
        <v>0</v>
      </c>
      <c r="AK2071" s="4">
        <v>0</v>
      </c>
      <c r="AL2071" s="4">
        <v>0</v>
      </c>
      <c r="AM2071" s="4">
        <v>0</v>
      </c>
      <c r="AN2071" s="4">
        <v>0</v>
      </c>
      <c r="AO2071" s="4">
        <v>0</v>
      </c>
      <c r="AP2071" s="4">
        <v>0</v>
      </c>
      <c r="AQ2071" s="4">
        <v>0</v>
      </c>
      <c r="AR2071" s="3" t="s">
        <v>61</v>
      </c>
      <c r="AS2071" s="3" t="s">
        <v>62</v>
      </c>
      <c r="AT2071" s="3" t="s">
        <v>62</v>
      </c>
      <c r="AV2071" s="6" t="str">
        <f>HYPERLINK("http://mcgill.on.worldcat.org/oclc/934439978","Catalog Record")</f>
        <v>Catalog Record</v>
      </c>
      <c r="AW2071" s="6" t="str">
        <f>HYPERLINK("http://www.worldcat.org/oclc/934439978","WorldCat Record")</f>
        <v>WorldCat Record</v>
      </c>
      <c r="AX2071" s="3" t="s">
        <v>20507</v>
      </c>
      <c r="AY2071" s="3" t="s">
        <v>20538</v>
      </c>
      <c r="AZ2071" s="3" t="s">
        <v>20539</v>
      </c>
      <c r="BA2071" s="3" t="s">
        <v>20539</v>
      </c>
      <c r="BB2071" s="3" t="s">
        <v>20543</v>
      </c>
      <c r="BC2071" s="3" t="s">
        <v>102</v>
      </c>
      <c r="BD2071" s="3" t="s">
        <v>68</v>
      </c>
      <c r="BE2071" s="3" t="s">
        <v>20541</v>
      </c>
      <c r="BF2071" s="3" t="s">
        <v>20543</v>
      </c>
      <c r="BG2071" s="3" t="s">
        <v>20544</v>
      </c>
    </row>
    <row r="2072" spans="1:59" ht="87" x14ac:dyDescent="0.35">
      <c r="A2072" s="2" t="s">
        <v>89</v>
      </c>
      <c r="B2072" s="2" t="s">
        <v>15860</v>
      </c>
      <c r="C2072" s="2" t="s">
        <v>20535</v>
      </c>
      <c r="D2072" s="2" t="s">
        <v>20536</v>
      </c>
      <c r="E2072" s="2" t="s">
        <v>20537</v>
      </c>
      <c r="G2072" s="3" t="s">
        <v>62</v>
      </c>
      <c r="I2072" s="3" t="s">
        <v>61</v>
      </c>
      <c r="J2072" s="3" t="s">
        <v>61</v>
      </c>
      <c r="K2072" s="3" t="s">
        <v>63</v>
      </c>
      <c r="L2072" s="2" t="s">
        <v>15810</v>
      </c>
      <c r="M2072" s="2" t="s">
        <v>20520</v>
      </c>
      <c r="N2072" s="3" t="s">
        <v>1038</v>
      </c>
      <c r="O2072" s="2" t="s">
        <v>20521</v>
      </c>
      <c r="P2072" s="3" t="s">
        <v>64</v>
      </c>
      <c r="R2072" s="3" t="s">
        <v>13065</v>
      </c>
      <c r="S2072" s="4">
        <v>146</v>
      </c>
      <c r="T2072" s="4">
        <v>686</v>
      </c>
      <c r="U2072" s="5" t="s">
        <v>9665</v>
      </c>
      <c r="V2072" s="5" t="s">
        <v>15871</v>
      </c>
      <c r="W2072" s="5" t="s">
        <v>67</v>
      </c>
      <c r="X2072" s="5" t="s">
        <v>67</v>
      </c>
      <c r="Y2072" s="4">
        <v>1</v>
      </c>
      <c r="Z2072" s="4">
        <v>1</v>
      </c>
      <c r="AA2072" s="4">
        <v>1</v>
      </c>
      <c r="AB2072" s="4">
        <v>1</v>
      </c>
      <c r="AC2072" s="4">
        <v>1</v>
      </c>
      <c r="AD2072" s="4">
        <v>0</v>
      </c>
      <c r="AE2072" s="4">
        <v>0</v>
      </c>
      <c r="AF2072" s="4">
        <v>0</v>
      </c>
      <c r="AG2072" s="4">
        <v>0</v>
      </c>
      <c r="AH2072" s="4">
        <v>0</v>
      </c>
      <c r="AI2072" s="4">
        <v>0</v>
      </c>
      <c r="AJ2072" s="4">
        <v>0</v>
      </c>
      <c r="AK2072" s="4">
        <v>0</v>
      </c>
      <c r="AL2072" s="4">
        <v>0</v>
      </c>
      <c r="AM2072" s="4">
        <v>0</v>
      </c>
      <c r="AN2072" s="4">
        <v>0</v>
      </c>
      <c r="AO2072" s="4">
        <v>0</v>
      </c>
      <c r="AP2072" s="4">
        <v>0</v>
      </c>
      <c r="AQ2072" s="4">
        <v>0</v>
      </c>
      <c r="AR2072" s="3" t="s">
        <v>61</v>
      </c>
      <c r="AS2072" s="3" t="s">
        <v>62</v>
      </c>
      <c r="AT2072" s="3" t="s">
        <v>62</v>
      </c>
      <c r="AV2072" s="6" t="str">
        <f>HYPERLINK("http://mcgill.on.worldcat.org/oclc/934439978","Catalog Record")</f>
        <v>Catalog Record</v>
      </c>
      <c r="AW2072" s="6" t="str">
        <f>HYPERLINK("http://www.worldcat.org/oclc/934439978","WorldCat Record")</f>
        <v>WorldCat Record</v>
      </c>
      <c r="AX2072" s="3" t="s">
        <v>20507</v>
      </c>
      <c r="AY2072" s="3" t="s">
        <v>20538</v>
      </c>
      <c r="AZ2072" s="3" t="s">
        <v>20539</v>
      </c>
      <c r="BA2072" s="3" t="s">
        <v>20539</v>
      </c>
      <c r="BB2072" s="3" t="s">
        <v>20545</v>
      </c>
      <c r="BC2072" s="3" t="s">
        <v>102</v>
      </c>
      <c r="BD2072" s="3" t="s">
        <v>68</v>
      </c>
      <c r="BE2072" s="3" t="s">
        <v>20541</v>
      </c>
      <c r="BF2072" s="3" t="s">
        <v>20545</v>
      </c>
      <c r="BG2072" s="3" t="s">
        <v>20546</v>
      </c>
    </row>
    <row r="2073" spans="1:59" ht="87" x14ac:dyDescent="0.35">
      <c r="A2073" s="2" t="s">
        <v>89</v>
      </c>
      <c r="B2073" s="2" t="s">
        <v>15860</v>
      </c>
      <c r="C2073" s="2" t="s">
        <v>20535</v>
      </c>
      <c r="D2073" s="2" t="s">
        <v>20536</v>
      </c>
      <c r="E2073" s="2" t="s">
        <v>20537</v>
      </c>
      <c r="G2073" s="3" t="s">
        <v>62</v>
      </c>
      <c r="I2073" s="3" t="s">
        <v>61</v>
      </c>
      <c r="J2073" s="3" t="s">
        <v>61</v>
      </c>
      <c r="K2073" s="3" t="s">
        <v>63</v>
      </c>
      <c r="L2073" s="2" t="s">
        <v>15810</v>
      </c>
      <c r="M2073" s="2" t="s">
        <v>20520</v>
      </c>
      <c r="N2073" s="3" t="s">
        <v>1038</v>
      </c>
      <c r="O2073" s="2" t="s">
        <v>20521</v>
      </c>
      <c r="P2073" s="3" t="s">
        <v>64</v>
      </c>
      <c r="R2073" s="3" t="s">
        <v>13065</v>
      </c>
      <c r="S2073" s="4">
        <v>155</v>
      </c>
      <c r="T2073" s="4">
        <v>686</v>
      </c>
      <c r="U2073" s="5" t="s">
        <v>16936</v>
      </c>
      <c r="V2073" s="5" t="s">
        <v>15871</v>
      </c>
      <c r="W2073" s="5" t="s">
        <v>67</v>
      </c>
      <c r="X2073" s="5" t="s">
        <v>67</v>
      </c>
      <c r="Y2073" s="4">
        <v>1</v>
      </c>
      <c r="Z2073" s="4">
        <v>1</v>
      </c>
      <c r="AA2073" s="4">
        <v>1</v>
      </c>
      <c r="AB2073" s="4">
        <v>1</v>
      </c>
      <c r="AC2073" s="4">
        <v>1</v>
      </c>
      <c r="AD2073" s="4">
        <v>0</v>
      </c>
      <c r="AE2073" s="4">
        <v>0</v>
      </c>
      <c r="AF2073" s="4">
        <v>0</v>
      </c>
      <c r="AG2073" s="4">
        <v>0</v>
      </c>
      <c r="AH2073" s="4">
        <v>0</v>
      </c>
      <c r="AI2073" s="4">
        <v>0</v>
      </c>
      <c r="AJ2073" s="4">
        <v>0</v>
      </c>
      <c r="AK2073" s="4">
        <v>0</v>
      </c>
      <c r="AL2073" s="4">
        <v>0</v>
      </c>
      <c r="AM2073" s="4">
        <v>0</v>
      </c>
      <c r="AN2073" s="4">
        <v>0</v>
      </c>
      <c r="AO2073" s="4">
        <v>0</v>
      </c>
      <c r="AP2073" s="4">
        <v>0</v>
      </c>
      <c r="AQ2073" s="4">
        <v>0</v>
      </c>
      <c r="AR2073" s="3" t="s">
        <v>61</v>
      </c>
      <c r="AS2073" s="3" t="s">
        <v>62</v>
      </c>
      <c r="AT2073" s="3" t="s">
        <v>62</v>
      </c>
      <c r="AV2073" s="6" t="str">
        <f>HYPERLINK("http://mcgill.on.worldcat.org/oclc/934439978","Catalog Record")</f>
        <v>Catalog Record</v>
      </c>
      <c r="AW2073" s="6" t="str">
        <f>HYPERLINK("http://www.worldcat.org/oclc/934439978","WorldCat Record")</f>
        <v>WorldCat Record</v>
      </c>
      <c r="AX2073" s="3" t="s">
        <v>20507</v>
      </c>
      <c r="AY2073" s="3" t="s">
        <v>20538</v>
      </c>
      <c r="AZ2073" s="3" t="s">
        <v>20539</v>
      </c>
      <c r="BA2073" s="3" t="s">
        <v>20539</v>
      </c>
      <c r="BB2073" s="3" t="s">
        <v>20547</v>
      </c>
      <c r="BC2073" s="3" t="s">
        <v>102</v>
      </c>
      <c r="BD2073" s="3" t="s">
        <v>68</v>
      </c>
      <c r="BE2073" s="3" t="s">
        <v>20541</v>
      </c>
      <c r="BF2073" s="3" t="s">
        <v>20547</v>
      </c>
      <c r="BG2073" s="3" t="s">
        <v>20548</v>
      </c>
    </row>
    <row r="2074" spans="1:59" ht="58" x14ac:dyDescent="0.35">
      <c r="A2074" s="2" t="s">
        <v>89</v>
      </c>
      <c r="B2074" s="2" t="s">
        <v>90</v>
      </c>
      <c r="C2074" s="2" t="s">
        <v>20549</v>
      </c>
      <c r="D2074" s="2" t="s">
        <v>20550</v>
      </c>
      <c r="E2074" s="2" t="s">
        <v>20551</v>
      </c>
      <c r="G2074" s="3" t="s">
        <v>62</v>
      </c>
      <c r="I2074" s="3" t="s">
        <v>61</v>
      </c>
      <c r="J2074" s="3" t="s">
        <v>62</v>
      </c>
      <c r="K2074" s="3" t="s">
        <v>63</v>
      </c>
      <c r="M2074" s="2" t="s">
        <v>20552</v>
      </c>
      <c r="N2074" s="3" t="s">
        <v>698</v>
      </c>
      <c r="O2074" s="2" t="s">
        <v>20553</v>
      </c>
      <c r="P2074" s="3" t="s">
        <v>64</v>
      </c>
      <c r="R2074" s="3" t="s">
        <v>13065</v>
      </c>
      <c r="S2074" s="4">
        <v>76</v>
      </c>
      <c r="T2074" s="4">
        <v>179</v>
      </c>
      <c r="U2074" s="5" t="s">
        <v>20492</v>
      </c>
      <c r="V2074" s="5" t="s">
        <v>20492</v>
      </c>
      <c r="W2074" s="5" t="s">
        <v>67</v>
      </c>
      <c r="X2074" s="5" t="s">
        <v>67</v>
      </c>
      <c r="Y2074" s="4">
        <v>1</v>
      </c>
      <c r="Z2074" s="4">
        <v>1</v>
      </c>
      <c r="AA2074" s="4">
        <v>1</v>
      </c>
      <c r="AB2074" s="4">
        <v>1</v>
      </c>
      <c r="AC2074" s="4">
        <v>1</v>
      </c>
      <c r="AD2074" s="4">
        <v>0</v>
      </c>
      <c r="AE2074" s="4">
        <v>0</v>
      </c>
      <c r="AF2074" s="4">
        <v>0</v>
      </c>
      <c r="AG2074" s="4">
        <v>0</v>
      </c>
      <c r="AH2074" s="4">
        <v>0</v>
      </c>
      <c r="AI2074" s="4">
        <v>0</v>
      </c>
      <c r="AJ2074" s="4">
        <v>0</v>
      </c>
      <c r="AK2074" s="4">
        <v>0</v>
      </c>
      <c r="AL2074" s="4">
        <v>0</v>
      </c>
      <c r="AM2074" s="4">
        <v>0</v>
      </c>
      <c r="AN2074" s="4">
        <v>0</v>
      </c>
      <c r="AO2074" s="4">
        <v>0</v>
      </c>
      <c r="AP2074" s="4">
        <v>0</v>
      </c>
      <c r="AQ2074" s="4">
        <v>0</v>
      </c>
      <c r="AR2074" s="3" t="s">
        <v>61</v>
      </c>
      <c r="AS2074" s="3" t="s">
        <v>62</v>
      </c>
      <c r="AT2074" s="3" t="s">
        <v>62</v>
      </c>
      <c r="AV2074" s="6" t="str">
        <f>HYPERLINK("http://mcgill.on.worldcat.org/oclc/1051223477","Catalog Record")</f>
        <v>Catalog Record</v>
      </c>
      <c r="AW2074" s="6" t="str">
        <f>HYPERLINK("http://www.worldcat.org/oclc/1051223477","WorldCat Record")</f>
        <v>WorldCat Record</v>
      </c>
      <c r="AX2074" s="3" t="s">
        <v>20554</v>
      </c>
      <c r="AY2074" s="3" t="s">
        <v>20555</v>
      </c>
      <c r="AZ2074" s="3" t="s">
        <v>20556</v>
      </c>
      <c r="BA2074" s="3" t="s">
        <v>20556</v>
      </c>
      <c r="BB2074" s="3" t="s">
        <v>20557</v>
      </c>
      <c r="BC2074" s="3" t="s">
        <v>102</v>
      </c>
      <c r="BD2074" s="3" t="s">
        <v>68</v>
      </c>
      <c r="BE2074" s="3" t="s">
        <v>20558</v>
      </c>
      <c r="BF2074" s="3" t="s">
        <v>20557</v>
      </c>
      <c r="BG2074" s="3" t="s">
        <v>20559</v>
      </c>
    </row>
    <row r="2075" spans="1:59" ht="58" x14ac:dyDescent="0.35">
      <c r="A2075" s="2" t="s">
        <v>89</v>
      </c>
      <c r="B2075" s="2" t="s">
        <v>90</v>
      </c>
      <c r="C2075" s="2" t="s">
        <v>20549</v>
      </c>
      <c r="D2075" s="2" t="s">
        <v>20550</v>
      </c>
      <c r="E2075" s="2" t="s">
        <v>20551</v>
      </c>
      <c r="G2075" s="3" t="s">
        <v>62</v>
      </c>
      <c r="I2075" s="3" t="s">
        <v>61</v>
      </c>
      <c r="J2075" s="3" t="s">
        <v>62</v>
      </c>
      <c r="K2075" s="3" t="s">
        <v>63</v>
      </c>
      <c r="M2075" s="2" t="s">
        <v>20552</v>
      </c>
      <c r="N2075" s="3" t="s">
        <v>698</v>
      </c>
      <c r="O2075" s="2" t="s">
        <v>20553</v>
      </c>
      <c r="P2075" s="3" t="s">
        <v>64</v>
      </c>
      <c r="R2075" s="3" t="s">
        <v>13065</v>
      </c>
      <c r="S2075" s="4">
        <v>103</v>
      </c>
      <c r="T2075" s="4">
        <v>179</v>
      </c>
      <c r="U2075" s="5" t="s">
        <v>1252</v>
      </c>
      <c r="V2075" s="5" t="s">
        <v>20492</v>
      </c>
      <c r="W2075" s="5" t="s">
        <v>67</v>
      </c>
      <c r="X2075" s="5" t="s">
        <v>67</v>
      </c>
      <c r="Y2075" s="4">
        <v>1</v>
      </c>
      <c r="Z2075" s="4">
        <v>1</v>
      </c>
      <c r="AA2075" s="4">
        <v>1</v>
      </c>
      <c r="AB2075" s="4">
        <v>1</v>
      </c>
      <c r="AC2075" s="4">
        <v>1</v>
      </c>
      <c r="AD2075" s="4">
        <v>0</v>
      </c>
      <c r="AE2075" s="4">
        <v>0</v>
      </c>
      <c r="AF2075" s="4">
        <v>0</v>
      </c>
      <c r="AG2075" s="4">
        <v>0</v>
      </c>
      <c r="AH2075" s="4">
        <v>0</v>
      </c>
      <c r="AI2075" s="4">
        <v>0</v>
      </c>
      <c r="AJ2075" s="4">
        <v>0</v>
      </c>
      <c r="AK2075" s="4">
        <v>0</v>
      </c>
      <c r="AL2075" s="4">
        <v>0</v>
      </c>
      <c r="AM2075" s="4">
        <v>0</v>
      </c>
      <c r="AN2075" s="4">
        <v>0</v>
      </c>
      <c r="AO2075" s="4">
        <v>0</v>
      </c>
      <c r="AP2075" s="4">
        <v>0</v>
      </c>
      <c r="AQ2075" s="4">
        <v>0</v>
      </c>
      <c r="AR2075" s="3" t="s">
        <v>61</v>
      </c>
      <c r="AS2075" s="3" t="s">
        <v>62</v>
      </c>
      <c r="AT2075" s="3" t="s">
        <v>62</v>
      </c>
      <c r="AV2075" s="6" t="str">
        <f>HYPERLINK("http://mcgill.on.worldcat.org/oclc/1051223477","Catalog Record")</f>
        <v>Catalog Record</v>
      </c>
      <c r="AW2075" s="6" t="str">
        <f>HYPERLINK("http://www.worldcat.org/oclc/1051223477","WorldCat Record")</f>
        <v>WorldCat Record</v>
      </c>
      <c r="AX2075" s="3" t="s">
        <v>20554</v>
      </c>
      <c r="AY2075" s="3" t="s">
        <v>20555</v>
      </c>
      <c r="AZ2075" s="3" t="s">
        <v>20556</v>
      </c>
      <c r="BA2075" s="3" t="s">
        <v>20556</v>
      </c>
      <c r="BB2075" s="3" t="s">
        <v>20560</v>
      </c>
      <c r="BC2075" s="3" t="s">
        <v>102</v>
      </c>
      <c r="BD2075" s="3" t="s">
        <v>68</v>
      </c>
      <c r="BE2075" s="3" t="s">
        <v>20558</v>
      </c>
      <c r="BF2075" s="3" t="s">
        <v>20560</v>
      </c>
      <c r="BG2075" s="3" t="s">
        <v>20561</v>
      </c>
    </row>
    <row r="2076" spans="1:59" ht="58" x14ac:dyDescent="0.35">
      <c r="A2076" s="2" t="s">
        <v>89</v>
      </c>
      <c r="B2076" s="2" t="s">
        <v>90</v>
      </c>
      <c r="C2076" s="2" t="s">
        <v>20562</v>
      </c>
      <c r="D2076" s="2" t="s">
        <v>20563</v>
      </c>
      <c r="E2076" s="2" t="s">
        <v>20564</v>
      </c>
      <c r="G2076" s="3" t="s">
        <v>62</v>
      </c>
      <c r="I2076" s="3" t="s">
        <v>61</v>
      </c>
      <c r="J2076" s="3" t="s">
        <v>62</v>
      </c>
      <c r="K2076" s="3" t="s">
        <v>63</v>
      </c>
      <c r="L2076" s="2" t="s">
        <v>20565</v>
      </c>
      <c r="M2076" s="2" t="s">
        <v>20566</v>
      </c>
      <c r="N2076" s="3" t="s">
        <v>698</v>
      </c>
      <c r="P2076" s="3" t="s">
        <v>64</v>
      </c>
      <c r="R2076" s="3" t="s">
        <v>13065</v>
      </c>
      <c r="S2076" s="4">
        <v>61</v>
      </c>
      <c r="T2076" s="4">
        <v>134</v>
      </c>
      <c r="U2076" s="5" t="s">
        <v>20567</v>
      </c>
      <c r="V2076" s="5" t="s">
        <v>20568</v>
      </c>
      <c r="W2076" s="5" t="s">
        <v>67</v>
      </c>
      <c r="X2076" s="5" t="s">
        <v>67</v>
      </c>
      <c r="Y2076" s="4">
        <v>2</v>
      </c>
      <c r="Z2076" s="4">
        <v>1</v>
      </c>
      <c r="AA2076" s="4">
        <v>1</v>
      </c>
      <c r="AB2076" s="4">
        <v>1</v>
      </c>
      <c r="AC2076" s="4">
        <v>1</v>
      </c>
      <c r="AD2076" s="4">
        <v>0</v>
      </c>
      <c r="AE2076" s="4">
        <v>0</v>
      </c>
      <c r="AF2076" s="4">
        <v>0</v>
      </c>
      <c r="AG2076" s="4">
        <v>0</v>
      </c>
      <c r="AH2076" s="4">
        <v>0</v>
      </c>
      <c r="AI2076" s="4">
        <v>0</v>
      </c>
      <c r="AJ2076" s="4">
        <v>0</v>
      </c>
      <c r="AK2076" s="4">
        <v>0</v>
      </c>
      <c r="AL2076" s="4">
        <v>0</v>
      </c>
      <c r="AM2076" s="4">
        <v>0</v>
      </c>
      <c r="AN2076" s="4">
        <v>0</v>
      </c>
      <c r="AO2076" s="4">
        <v>0</v>
      </c>
      <c r="AP2076" s="4">
        <v>0</v>
      </c>
      <c r="AQ2076" s="4">
        <v>0</v>
      </c>
      <c r="AR2076" s="3" t="s">
        <v>62</v>
      </c>
      <c r="AS2076" s="3" t="s">
        <v>62</v>
      </c>
      <c r="AT2076" s="3" t="s">
        <v>62</v>
      </c>
      <c r="AV2076" s="6" t="str">
        <f>HYPERLINK("http://mcgill.on.worldcat.org/oclc/754085058","Catalog Record")</f>
        <v>Catalog Record</v>
      </c>
      <c r="AW2076" s="6" t="str">
        <f>HYPERLINK("http://www.worldcat.org/oclc/754085058","WorldCat Record")</f>
        <v>WorldCat Record</v>
      </c>
      <c r="AX2076" s="3" t="s">
        <v>20569</v>
      </c>
      <c r="AY2076" s="3" t="s">
        <v>20570</v>
      </c>
      <c r="AZ2076" s="3" t="s">
        <v>20571</v>
      </c>
      <c r="BA2076" s="3" t="s">
        <v>20571</v>
      </c>
      <c r="BB2076" s="3" t="s">
        <v>20572</v>
      </c>
      <c r="BC2076" s="3" t="s">
        <v>102</v>
      </c>
      <c r="BD2076" s="3" t="s">
        <v>68</v>
      </c>
      <c r="BE2076" s="3" t="s">
        <v>20573</v>
      </c>
      <c r="BF2076" s="3" t="s">
        <v>20572</v>
      </c>
      <c r="BG2076" s="3" t="s">
        <v>20574</v>
      </c>
    </row>
    <row r="2077" spans="1:59" ht="58" x14ac:dyDescent="0.35">
      <c r="A2077" s="2" t="s">
        <v>89</v>
      </c>
      <c r="B2077" s="2" t="s">
        <v>90</v>
      </c>
      <c r="C2077" s="2" t="s">
        <v>20562</v>
      </c>
      <c r="D2077" s="2" t="s">
        <v>20563</v>
      </c>
      <c r="E2077" s="2" t="s">
        <v>20564</v>
      </c>
      <c r="G2077" s="3" t="s">
        <v>62</v>
      </c>
      <c r="I2077" s="3" t="s">
        <v>61</v>
      </c>
      <c r="J2077" s="3" t="s">
        <v>62</v>
      </c>
      <c r="K2077" s="3" t="s">
        <v>63</v>
      </c>
      <c r="L2077" s="2" t="s">
        <v>20565</v>
      </c>
      <c r="M2077" s="2" t="s">
        <v>20566</v>
      </c>
      <c r="N2077" s="3" t="s">
        <v>698</v>
      </c>
      <c r="P2077" s="3" t="s">
        <v>64</v>
      </c>
      <c r="R2077" s="3" t="s">
        <v>13065</v>
      </c>
      <c r="S2077" s="4">
        <v>49</v>
      </c>
      <c r="T2077" s="4">
        <v>134</v>
      </c>
      <c r="U2077" s="5" t="s">
        <v>20568</v>
      </c>
      <c r="V2077" s="5" t="s">
        <v>20568</v>
      </c>
      <c r="W2077" s="5" t="s">
        <v>67</v>
      </c>
      <c r="X2077" s="5" t="s">
        <v>67</v>
      </c>
      <c r="Y2077" s="4">
        <v>2</v>
      </c>
      <c r="Z2077" s="4">
        <v>1</v>
      </c>
      <c r="AA2077" s="4">
        <v>1</v>
      </c>
      <c r="AB2077" s="4">
        <v>1</v>
      </c>
      <c r="AC2077" s="4">
        <v>1</v>
      </c>
      <c r="AD2077" s="4">
        <v>0</v>
      </c>
      <c r="AE2077" s="4">
        <v>0</v>
      </c>
      <c r="AF2077" s="4">
        <v>0</v>
      </c>
      <c r="AG2077" s="4">
        <v>0</v>
      </c>
      <c r="AH2077" s="4">
        <v>0</v>
      </c>
      <c r="AI2077" s="4">
        <v>0</v>
      </c>
      <c r="AJ2077" s="4">
        <v>0</v>
      </c>
      <c r="AK2077" s="4">
        <v>0</v>
      </c>
      <c r="AL2077" s="4">
        <v>0</v>
      </c>
      <c r="AM2077" s="4">
        <v>0</v>
      </c>
      <c r="AN2077" s="4">
        <v>0</v>
      </c>
      <c r="AO2077" s="4">
        <v>0</v>
      </c>
      <c r="AP2077" s="4">
        <v>0</v>
      </c>
      <c r="AQ2077" s="4">
        <v>0</v>
      </c>
      <c r="AR2077" s="3" t="s">
        <v>62</v>
      </c>
      <c r="AS2077" s="3" t="s">
        <v>62</v>
      </c>
      <c r="AT2077" s="3" t="s">
        <v>62</v>
      </c>
      <c r="AV2077" s="6" t="str">
        <f>HYPERLINK("http://mcgill.on.worldcat.org/oclc/754085058","Catalog Record")</f>
        <v>Catalog Record</v>
      </c>
      <c r="AW2077" s="6" t="str">
        <f>HYPERLINK("http://www.worldcat.org/oclc/754085058","WorldCat Record")</f>
        <v>WorldCat Record</v>
      </c>
      <c r="AX2077" s="3" t="s">
        <v>20569</v>
      </c>
      <c r="AY2077" s="3" t="s">
        <v>20570</v>
      </c>
      <c r="AZ2077" s="3" t="s">
        <v>20571</v>
      </c>
      <c r="BA2077" s="3" t="s">
        <v>20571</v>
      </c>
      <c r="BB2077" s="3" t="s">
        <v>20575</v>
      </c>
      <c r="BC2077" s="3" t="s">
        <v>102</v>
      </c>
      <c r="BD2077" s="3" t="s">
        <v>68</v>
      </c>
      <c r="BE2077" s="3" t="s">
        <v>20573</v>
      </c>
      <c r="BF2077" s="3" t="s">
        <v>20575</v>
      </c>
      <c r="BG2077" s="3" t="s">
        <v>20576</v>
      </c>
    </row>
    <row r="2078" spans="1:59" ht="58" x14ac:dyDescent="0.35">
      <c r="A2078" s="2" t="s">
        <v>89</v>
      </c>
      <c r="B2078" s="2" t="s">
        <v>90</v>
      </c>
      <c r="C2078" s="2" t="s">
        <v>20577</v>
      </c>
      <c r="D2078" s="2" t="s">
        <v>20578</v>
      </c>
      <c r="E2078" s="2" t="s">
        <v>20579</v>
      </c>
      <c r="G2078" s="3" t="s">
        <v>62</v>
      </c>
      <c r="I2078" s="3" t="s">
        <v>62</v>
      </c>
      <c r="J2078" s="3" t="s">
        <v>62</v>
      </c>
      <c r="K2078" s="3" t="s">
        <v>63</v>
      </c>
      <c r="L2078" s="2" t="s">
        <v>20580</v>
      </c>
      <c r="M2078" s="2" t="s">
        <v>20581</v>
      </c>
      <c r="N2078" s="3" t="s">
        <v>2924</v>
      </c>
      <c r="P2078" s="3" t="s">
        <v>64</v>
      </c>
      <c r="Q2078" s="2" t="s">
        <v>15043</v>
      </c>
      <c r="R2078" s="3" t="s">
        <v>13065</v>
      </c>
      <c r="S2078" s="4">
        <v>1</v>
      </c>
      <c r="T2078" s="4">
        <v>1</v>
      </c>
      <c r="U2078" s="5" t="s">
        <v>20582</v>
      </c>
      <c r="V2078" s="5" t="s">
        <v>20582</v>
      </c>
      <c r="W2078" s="5" t="s">
        <v>67</v>
      </c>
      <c r="X2078" s="5" t="s">
        <v>67</v>
      </c>
      <c r="Y2078" s="4">
        <v>544</v>
      </c>
      <c r="Z2078" s="4">
        <v>28</v>
      </c>
      <c r="AA2078" s="4">
        <v>32</v>
      </c>
      <c r="AB2078" s="4">
        <v>3</v>
      </c>
      <c r="AC2078" s="4">
        <v>6</v>
      </c>
      <c r="AD2078" s="4">
        <v>107</v>
      </c>
      <c r="AE2078" s="4">
        <v>110</v>
      </c>
      <c r="AF2078" s="4">
        <v>1</v>
      </c>
      <c r="AG2078" s="4">
        <v>3</v>
      </c>
      <c r="AH2078" s="4">
        <v>90</v>
      </c>
      <c r="AI2078" s="4">
        <v>91</v>
      </c>
      <c r="AJ2078" s="4">
        <v>18</v>
      </c>
      <c r="AK2078" s="4">
        <v>21</v>
      </c>
      <c r="AL2078" s="4">
        <v>51</v>
      </c>
      <c r="AM2078" s="4">
        <v>51</v>
      </c>
      <c r="AN2078" s="4">
        <v>0</v>
      </c>
      <c r="AO2078" s="4">
        <v>0</v>
      </c>
      <c r="AP2078" s="4">
        <v>25</v>
      </c>
      <c r="AQ2078" s="4">
        <v>27</v>
      </c>
      <c r="AR2078" s="3" t="s">
        <v>62</v>
      </c>
      <c r="AS2078" s="3" t="s">
        <v>62</v>
      </c>
      <c r="AT2078" s="3" t="s">
        <v>62</v>
      </c>
      <c r="AV2078" s="6" t="str">
        <f>HYPERLINK("http://mcgill.on.worldcat.org/oclc/713413","Catalog Record")</f>
        <v>Catalog Record</v>
      </c>
      <c r="AW2078" s="6" t="str">
        <f>HYPERLINK("http://www.worldcat.org/oclc/713413","WorldCat Record")</f>
        <v>WorldCat Record</v>
      </c>
      <c r="AX2078" s="3" t="s">
        <v>20583</v>
      </c>
      <c r="AY2078" s="3" t="s">
        <v>20584</v>
      </c>
      <c r="AZ2078" s="3" t="s">
        <v>20585</v>
      </c>
      <c r="BA2078" s="3" t="s">
        <v>20585</v>
      </c>
      <c r="BB2078" s="3" t="s">
        <v>20586</v>
      </c>
      <c r="BC2078" s="3" t="s">
        <v>102</v>
      </c>
      <c r="BD2078" s="3" t="s">
        <v>68</v>
      </c>
      <c r="BF2078" s="3" t="s">
        <v>20586</v>
      </c>
      <c r="BG2078" s="3" t="s">
        <v>20587</v>
      </c>
    </row>
    <row r="2079" spans="1:59" ht="58" x14ac:dyDescent="0.35">
      <c r="A2079" s="2" t="s">
        <v>89</v>
      </c>
      <c r="B2079" s="2" t="s">
        <v>90</v>
      </c>
      <c r="C2079" s="2" t="s">
        <v>20588</v>
      </c>
      <c r="D2079" s="2" t="s">
        <v>20589</v>
      </c>
      <c r="E2079" s="2" t="s">
        <v>20590</v>
      </c>
      <c r="G2079" s="3" t="s">
        <v>62</v>
      </c>
      <c r="I2079" s="3" t="s">
        <v>62</v>
      </c>
      <c r="J2079" s="3" t="s">
        <v>61</v>
      </c>
      <c r="K2079" s="3" t="s">
        <v>63</v>
      </c>
      <c r="L2079" s="2" t="s">
        <v>14511</v>
      </c>
      <c r="M2079" s="2" t="s">
        <v>20591</v>
      </c>
      <c r="N2079" s="3" t="s">
        <v>568</v>
      </c>
      <c r="P2079" s="3" t="s">
        <v>64</v>
      </c>
      <c r="Q2079" s="2" t="s">
        <v>20592</v>
      </c>
      <c r="R2079" s="3" t="s">
        <v>13065</v>
      </c>
      <c r="S2079" s="4">
        <v>6</v>
      </c>
      <c r="T2079" s="4">
        <v>6</v>
      </c>
      <c r="U2079" s="5" t="s">
        <v>9358</v>
      </c>
      <c r="V2079" s="5" t="s">
        <v>9358</v>
      </c>
      <c r="W2079" s="5" t="s">
        <v>67</v>
      </c>
      <c r="X2079" s="5" t="s">
        <v>67</v>
      </c>
      <c r="Y2079" s="4">
        <v>164</v>
      </c>
      <c r="Z2079" s="4">
        <v>7</v>
      </c>
      <c r="AA2079" s="4">
        <v>7</v>
      </c>
      <c r="AB2079" s="4">
        <v>1</v>
      </c>
      <c r="AC2079" s="4">
        <v>1</v>
      </c>
      <c r="AD2079" s="4">
        <v>41</v>
      </c>
      <c r="AE2079" s="4">
        <v>48</v>
      </c>
      <c r="AF2079" s="4">
        <v>0</v>
      </c>
      <c r="AG2079" s="4">
        <v>0</v>
      </c>
      <c r="AH2079" s="4">
        <v>37</v>
      </c>
      <c r="AI2079" s="4">
        <v>44</v>
      </c>
      <c r="AJ2079" s="4">
        <v>6</v>
      </c>
      <c r="AK2079" s="4">
        <v>6</v>
      </c>
      <c r="AL2079" s="4">
        <v>17</v>
      </c>
      <c r="AM2079" s="4">
        <v>20</v>
      </c>
      <c r="AN2079" s="4">
        <v>0</v>
      </c>
      <c r="AO2079" s="4">
        <v>0</v>
      </c>
      <c r="AP2079" s="4">
        <v>6</v>
      </c>
      <c r="AQ2079" s="4">
        <v>6</v>
      </c>
      <c r="AR2079" s="3" t="s">
        <v>62</v>
      </c>
      <c r="AS2079" s="3" t="s">
        <v>62</v>
      </c>
      <c r="AT2079" s="3" t="s">
        <v>62</v>
      </c>
      <c r="AV2079" s="6" t="str">
        <f>HYPERLINK("http://mcgill.on.worldcat.org/oclc/44883566","Catalog Record")</f>
        <v>Catalog Record</v>
      </c>
      <c r="AW2079" s="6" t="str">
        <f>HYPERLINK("http://www.worldcat.org/oclc/44883566","WorldCat Record")</f>
        <v>WorldCat Record</v>
      </c>
      <c r="AX2079" s="3" t="s">
        <v>20593</v>
      </c>
      <c r="AY2079" s="3" t="s">
        <v>20594</v>
      </c>
      <c r="AZ2079" s="3" t="s">
        <v>20595</v>
      </c>
      <c r="BA2079" s="3" t="s">
        <v>20595</v>
      </c>
      <c r="BB2079" s="3" t="s">
        <v>20596</v>
      </c>
      <c r="BC2079" s="3" t="s">
        <v>102</v>
      </c>
      <c r="BD2079" s="3" t="s">
        <v>68</v>
      </c>
      <c r="BE2079" s="3" t="s">
        <v>20597</v>
      </c>
      <c r="BF2079" s="3" t="s">
        <v>20596</v>
      </c>
      <c r="BG2079" s="3" t="s">
        <v>20598</v>
      </c>
    </row>
    <row r="2080" spans="1:59" ht="101.5" x14ac:dyDescent="0.35">
      <c r="A2080" s="2" t="s">
        <v>89</v>
      </c>
      <c r="B2080" s="2" t="s">
        <v>12301</v>
      </c>
      <c r="C2080" s="2" t="s">
        <v>20599</v>
      </c>
      <c r="D2080" s="2" t="s">
        <v>20600</v>
      </c>
      <c r="E2080" s="2" t="s">
        <v>20601</v>
      </c>
      <c r="G2080" s="3" t="s">
        <v>62</v>
      </c>
      <c r="I2080" s="3" t="s">
        <v>61</v>
      </c>
      <c r="J2080" s="3" t="s">
        <v>62</v>
      </c>
      <c r="K2080" s="3" t="s">
        <v>63</v>
      </c>
      <c r="L2080" s="2" t="s">
        <v>20602</v>
      </c>
      <c r="M2080" s="2" t="s">
        <v>20603</v>
      </c>
      <c r="N2080" s="3" t="s">
        <v>640</v>
      </c>
      <c r="O2080" s="2" t="s">
        <v>11716</v>
      </c>
      <c r="P2080" s="3" t="s">
        <v>64</v>
      </c>
      <c r="R2080" s="3" t="s">
        <v>13065</v>
      </c>
      <c r="S2080" s="4">
        <v>268</v>
      </c>
      <c r="T2080" s="4">
        <v>915</v>
      </c>
      <c r="U2080" s="5" t="s">
        <v>20604</v>
      </c>
      <c r="V2080" s="5" t="s">
        <v>20604</v>
      </c>
      <c r="W2080" s="5" t="s">
        <v>67</v>
      </c>
      <c r="X2080" s="5" t="s">
        <v>67</v>
      </c>
      <c r="Y2080" s="4">
        <v>379</v>
      </c>
      <c r="Z2080" s="4">
        <v>31</v>
      </c>
      <c r="AA2080" s="4">
        <v>54</v>
      </c>
      <c r="AB2080" s="4">
        <v>2</v>
      </c>
      <c r="AC2080" s="4">
        <v>8</v>
      </c>
      <c r="AD2080" s="4">
        <v>98</v>
      </c>
      <c r="AE2080" s="4">
        <v>129</v>
      </c>
      <c r="AF2080" s="4">
        <v>1</v>
      </c>
      <c r="AG2080" s="4">
        <v>6</v>
      </c>
      <c r="AH2080" s="4">
        <v>81</v>
      </c>
      <c r="AI2080" s="4">
        <v>96</v>
      </c>
      <c r="AJ2080" s="4">
        <v>17</v>
      </c>
      <c r="AK2080" s="4">
        <v>25</v>
      </c>
      <c r="AL2080" s="4">
        <v>54</v>
      </c>
      <c r="AM2080" s="4">
        <v>58</v>
      </c>
      <c r="AN2080" s="4">
        <v>0</v>
      </c>
      <c r="AO2080" s="4">
        <v>0</v>
      </c>
      <c r="AP2080" s="4">
        <v>25</v>
      </c>
      <c r="AQ2080" s="4">
        <v>42</v>
      </c>
      <c r="AR2080" s="3" t="s">
        <v>62</v>
      </c>
      <c r="AS2080" s="3" t="s">
        <v>62</v>
      </c>
      <c r="AT2080" s="3" t="s">
        <v>62</v>
      </c>
      <c r="AV2080" s="6" t="str">
        <f>HYPERLINK("http://mcgill.on.worldcat.org/oclc/52559229","Catalog Record")</f>
        <v>Catalog Record</v>
      </c>
      <c r="AW2080" s="6" t="str">
        <f>HYPERLINK("http://www.worldcat.org/oclc/52559229","WorldCat Record")</f>
        <v>WorldCat Record</v>
      </c>
      <c r="AX2080" s="3" t="s">
        <v>20605</v>
      </c>
      <c r="AY2080" s="3" t="s">
        <v>20606</v>
      </c>
      <c r="AZ2080" s="3" t="s">
        <v>20607</v>
      </c>
      <c r="BA2080" s="3" t="s">
        <v>20607</v>
      </c>
      <c r="BB2080" s="3" t="s">
        <v>20608</v>
      </c>
      <c r="BC2080" s="3" t="s">
        <v>102</v>
      </c>
      <c r="BD2080" s="3" t="s">
        <v>68</v>
      </c>
      <c r="BE2080" s="3" t="s">
        <v>20609</v>
      </c>
      <c r="BF2080" s="3" t="s">
        <v>20608</v>
      </c>
      <c r="BG2080" s="3" t="s">
        <v>20610</v>
      </c>
    </row>
    <row r="2081" spans="1:59" ht="101.5" x14ac:dyDescent="0.35">
      <c r="A2081" s="2" t="s">
        <v>89</v>
      </c>
      <c r="B2081" s="2" t="s">
        <v>12301</v>
      </c>
      <c r="C2081" s="2" t="s">
        <v>20599</v>
      </c>
      <c r="D2081" s="2" t="s">
        <v>20600</v>
      </c>
      <c r="E2081" s="2" t="s">
        <v>20601</v>
      </c>
      <c r="G2081" s="3" t="s">
        <v>62</v>
      </c>
      <c r="I2081" s="3" t="s">
        <v>61</v>
      </c>
      <c r="J2081" s="3" t="s">
        <v>62</v>
      </c>
      <c r="K2081" s="3" t="s">
        <v>63</v>
      </c>
      <c r="L2081" s="2" t="s">
        <v>20602</v>
      </c>
      <c r="M2081" s="2" t="s">
        <v>20603</v>
      </c>
      <c r="N2081" s="3" t="s">
        <v>640</v>
      </c>
      <c r="O2081" s="2" t="s">
        <v>11716</v>
      </c>
      <c r="P2081" s="3" t="s">
        <v>64</v>
      </c>
      <c r="R2081" s="3" t="s">
        <v>13065</v>
      </c>
      <c r="S2081" s="4">
        <v>302</v>
      </c>
      <c r="T2081" s="4">
        <v>915</v>
      </c>
      <c r="U2081" s="5" t="s">
        <v>12070</v>
      </c>
      <c r="V2081" s="5" t="s">
        <v>20604</v>
      </c>
      <c r="W2081" s="5" t="s">
        <v>67</v>
      </c>
      <c r="X2081" s="5" t="s">
        <v>67</v>
      </c>
      <c r="Y2081" s="4">
        <v>379</v>
      </c>
      <c r="Z2081" s="4">
        <v>31</v>
      </c>
      <c r="AA2081" s="4">
        <v>54</v>
      </c>
      <c r="AB2081" s="4">
        <v>2</v>
      </c>
      <c r="AC2081" s="4">
        <v>8</v>
      </c>
      <c r="AD2081" s="4">
        <v>98</v>
      </c>
      <c r="AE2081" s="4">
        <v>129</v>
      </c>
      <c r="AF2081" s="4">
        <v>1</v>
      </c>
      <c r="AG2081" s="4">
        <v>6</v>
      </c>
      <c r="AH2081" s="4">
        <v>81</v>
      </c>
      <c r="AI2081" s="4">
        <v>96</v>
      </c>
      <c r="AJ2081" s="4">
        <v>17</v>
      </c>
      <c r="AK2081" s="4">
        <v>25</v>
      </c>
      <c r="AL2081" s="4">
        <v>54</v>
      </c>
      <c r="AM2081" s="4">
        <v>58</v>
      </c>
      <c r="AN2081" s="4">
        <v>0</v>
      </c>
      <c r="AO2081" s="4">
        <v>0</v>
      </c>
      <c r="AP2081" s="4">
        <v>25</v>
      </c>
      <c r="AQ2081" s="4">
        <v>42</v>
      </c>
      <c r="AR2081" s="3" t="s">
        <v>62</v>
      </c>
      <c r="AS2081" s="3" t="s">
        <v>62</v>
      </c>
      <c r="AT2081" s="3" t="s">
        <v>62</v>
      </c>
      <c r="AV2081" s="6" t="str">
        <f>HYPERLINK("http://mcgill.on.worldcat.org/oclc/52559229","Catalog Record")</f>
        <v>Catalog Record</v>
      </c>
      <c r="AW2081" s="6" t="str">
        <f>HYPERLINK("http://www.worldcat.org/oclc/52559229","WorldCat Record")</f>
        <v>WorldCat Record</v>
      </c>
      <c r="AX2081" s="3" t="s">
        <v>20605</v>
      </c>
      <c r="AY2081" s="3" t="s">
        <v>20606</v>
      </c>
      <c r="AZ2081" s="3" t="s">
        <v>20607</v>
      </c>
      <c r="BA2081" s="3" t="s">
        <v>20607</v>
      </c>
      <c r="BB2081" s="3" t="s">
        <v>20611</v>
      </c>
      <c r="BC2081" s="3" t="s">
        <v>102</v>
      </c>
      <c r="BD2081" s="3" t="s">
        <v>68</v>
      </c>
      <c r="BE2081" s="3" t="s">
        <v>20609</v>
      </c>
      <c r="BF2081" s="3" t="s">
        <v>20611</v>
      </c>
      <c r="BG2081" s="3" t="s">
        <v>20612</v>
      </c>
    </row>
    <row r="2082" spans="1:59" ht="101.5" x14ac:dyDescent="0.35">
      <c r="A2082" s="2" t="s">
        <v>89</v>
      </c>
      <c r="B2082" s="2" t="s">
        <v>12301</v>
      </c>
      <c r="C2082" s="2" t="s">
        <v>20599</v>
      </c>
      <c r="D2082" s="2" t="s">
        <v>20600</v>
      </c>
      <c r="E2082" s="2" t="s">
        <v>20601</v>
      </c>
      <c r="G2082" s="3" t="s">
        <v>62</v>
      </c>
      <c r="I2082" s="3" t="s">
        <v>61</v>
      </c>
      <c r="J2082" s="3" t="s">
        <v>62</v>
      </c>
      <c r="K2082" s="3" t="s">
        <v>63</v>
      </c>
      <c r="L2082" s="2" t="s">
        <v>20602</v>
      </c>
      <c r="M2082" s="2" t="s">
        <v>20603</v>
      </c>
      <c r="N2082" s="3" t="s">
        <v>640</v>
      </c>
      <c r="O2082" s="2" t="s">
        <v>11716</v>
      </c>
      <c r="P2082" s="3" t="s">
        <v>64</v>
      </c>
      <c r="R2082" s="3" t="s">
        <v>13065</v>
      </c>
      <c r="S2082" s="4">
        <v>345</v>
      </c>
      <c r="T2082" s="4">
        <v>915</v>
      </c>
      <c r="U2082" s="5" t="s">
        <v>12548</v>
      </c>
      <c r="V2082" s="5" t="s">
        <v>20604</v>
      </c>
      <c r="W2082" s="5" t="s">
        <v>67</v>
      </c>
      <c r="X2082" s="5" t="s">
        <v>67</v>
      </c>
      <c r="Y2082" s="4">
        <v>379</v>
      </c>
      <c r="Z2082" s="4">
        <v>31</v>
      </c>
      <c r="AA2082" s="4">
        <v>54</v>
      </c>
      <c r="AB2082" s="4">
        <v>2</v>
      </c>
      <c r="AC2082" s="4">
        <v>8</v>
      </c>
      <c r="AD2082" s="4">
        <v>98</v>
      </c>
      <c r="AE2082" s="4">
        <v>129</v>
      </c>
      <c r="AF2082" s="4">
        <v>1</v>
      </c>
      <c r="AG2082" s="4">
        <v>6</v>
      </c>
      <c r="AH2082" s="4">
        <v>81</v>
      </c>
      <c r="AI2082" s="4">
        <v>96</v>
      </c>
      <c r="AJ2082" s="4">
        <v>17</v>
      </c>
      <c r="AK2082" s="4">
        <v>25</v>
      </c>
      <c r="AL2082" s="4">
        <v>54</v>
      </c>
      <c r="AM2082" s="4">
        <v>58</v>
      </c>
      <c r="AN2082" s="4">
        <v>0</v>
      </c>
      <c r="AO2082" s="4">
        <v>0</v>
      </c>
      <c r="AP2082" s="4">
        <v>25</v>
      </c>
      <c r="AQ2082" s="4">
        <v>42</v>
      </c>
      <c r="AR2082" s="3" t="s">
        <v>62</v>
      </c>
      <c r="AS2082" s="3" t="s">
        <v>62</v>
      </c>
      <c r="AT2082" s="3" t="s">
        <v>62</v>
      </c>
      <c r="AV2082" s="6" t="str">
        <f>HYPERLINK("http://mcgill.on.worldcat.org/oclc/52559229","Catalog Record")</f>
        <v>Catalog Record</v>
      </c>
      <c r="AW2082" s="6" t="str">
        <f>HYPERLINK("http://www.worldcat.org/oclc/52559229","WorldCat Record")</f>
        <v>WorldCat Record</v>
      </c>
      <c r="AX2082" s="3" t="s">
        <v>20605</v>
      </c>
      <c r="AY2082" s="3" t="s">
        <v>20606</v>
      </c>
      <c r="AZ2082" s="3" t="s">
        <v>20607</v>
      </c>
      <c r="BA2082" s="3" t="s">
        <v>20607</v>
      </c>
      <c r="BB2082" s="3" t="s">
        <v>20613</v>
      </c>
      <c r="BC2082" s="3" t="s">
        <v>102</v>
      </c>
      <c r="BD2082" s="3" t="s">
        <v>68</v>
      </c>
      <c r="BE2082" s="3" t="s">
        <v>20609</v>
      </c>
      <c r="BF2082" s="3" t="s">
        <v>20613</v>
      </c>
      <c r="BG2082" s="3" t="s">
        <v>20614</v>
      </c>
    </row>
    <row r="2083" spans="1:59" ht="58" x14ac:dyDescent="0.35">
      <c r="A2083" s="2" t="s">
        <v>89</v>
      </c>
      <c r="B2083" s="2" t="s">
        <v>90</v>
      </c>
      <c r="C2083" s="2" t="s">
        <v>20615</v>
      </c>
      <c r="D2083" s="2" t="s">
        <v>20616</v>
      </c>
      <c r="E2083" s="2" t="s">
        <v>20617</v>
      </c>
      <c r="G2083" s="3" t="s">
        <v>62</v>
      </c>
      <c r="I2083" s="3" t="s">
        <v>62</v>
      </c>
      <c r="J2083" s="3" t="s">
        <v>62</v>
      </c>
      <c r="K2083" s="3" t="s">
        <v>63</v>
      </c>
      <c r="L2083" s="2" t="s">
        <v>20618</v>
      </c>
      <c r="M2083" s="2" t="s">
        <v>20619</v>
      </c>
      <c r="N2083" s="3" t="s">
        <v>396</v>
      </c>
      <c r="P2083" s="3" t="s">
        <v>64</v>
      </c>
      <c r="R2083" s="3" t="s">
        <v>13065</v>
      </c>
      <c r="S2083" s="4">
        <v>25</v>
      </c>
      <c r="T2083" s="4">
        <v>25</v>
      </c>
      <c r="U2083" s="5" t="s">
        <v>13723</v>
      </c>
      <c r="V2083" s="5" t="s">
        <v>13723</v>
      </c>
      <c r="W2083" s="5" t="s">
        <v>67</v>
      </c>
      <c r="X2083" s="5" t="s">
        <v>67</v>
      </c>
      <c r="Y2083" s="4">
        <v>584</v>
      </c>
      <c r="Z2083" s="4">
        <v>34</v>
      </c>
      <c r="AA2083" s="4">
        <v>41</v>
      </c>
      <c r="AB2083" s="4">
        <v>2</v>
      </c>
      <c r="AC2083" s="4">
        <v>7</v>
      </c>
      <c r="AD2083" s="4">
        <v>119</v>
      </c>
      <c r="AE2083" s="4">
        <v>122</v>
      </c>
      <c r="AF2083" s="4">
        <v>1</v>
      </c>
      <c r="AG2083" s="4">
        <v>4</v>
      </c>
      <c r="AH2083" s="4">
        <v>98</v>
      </c>
      <c r="AI2083" s="4">
        <v>99</v>
      </c>
      <c r="AJ2083" s="4">
        <v>22</v>
      </c>
      <c r="AK2083" s="4">
        <v>25</v>
      </c>
      <c r="AL2083" s="4">
        <v>52</v>
      </c>
      <c r="AM2083" s="4">
        <v>52</v>
      </c>
      <c r="AN2083" s="4">
        <v>0</v>
      </c>
      <c r="AO2083" s="4">
        <v>0</v>
      </c>
      <c r="AP2083" s="4">
        <v>29</v>
      </c>
      <c r="AQ2083" s="4">
        <v>32</v>
      </c>
      <c r="AR2083" s="3" t="s">
        <v>62</v>
      </c>
      <c r="AS2083" s="3" t="s">
        <v>62</v>
      </c>
      <c r="AT2083" s="3" t="s">
        <v>62</v>
      </c>
      <c r="AV2083" s="6" t="str">
        <f>HYPERLINK("http://mcgill.on.worldcat.org/oclc/11316168","Catalog Record")</f>
        <v>Catalog Record</v>
      </c>
      <c r="AW2083" s="6" t="str">
        <f>HYPERLINK("http://www.worldcat.org/oclc/11316168","WorldCat Record")</f>
        <v>WorldCat Record</v>
      </c>
      <c r="AX2083" s="3" t="s">
        <v>20620</v>
      </c>
      <c r="AY2083" s="3" t="s">
        <v>20621</v>
      </c>
      <c r="AZ2083" s="3" t="s">
        <v>20622</v>
      </c>
      <c r="BA2083" s="3" t="s">
        <v>20622</v>
      </c>
      <c r="BB2083" s="3" t="s">
        <v>20623</v>
      </c>
      <c r="BC2083" s="3" t="s">
        <v>102</v>
      </c>
      <c r="BD2083" s="3" t="s">
        <v>231</v>
      </c>
      <c r="BE2083" s="3" t="s">
        <v>20624</v>
      </c>
      <c r="BF2083" s="3" t="s">
        <v>20623</v>
      </c>
      <c r="BG2083" s="3" t="s">
        <v>20625</v>
      </c>
    </row>
    <row r="2084" spans="1:59" ht="58" x14ac:dyDescent="0.35">
      <c r="A2084" s="2" t="s">
        <v>89</v>
      </c>
      <c r="B2084" s="2" t="s">
        <v>90</v>
      </c>
      <c r="C2084" s="2" t="s">
        <v>20626</v>
      </c>
      <c r="D2084" s="2" t="s">
        <v>20627</v>
      </c>
      <c r="E2084" s="2" t="s">
        <v>20628</v>
      </c>
      <c r="G2084" s="3" t="s">
        <v>62</v>
      </c>
      <c r="I2084" s="3" t="s">
        <v>62</v>
      </c>
      <c r="J2084" s="3" t="s">
        <v>61</v>
      </c>
      <c r="K2084" s="3" t="s">
        <v>63</v>
      </c>
      <c r="L2084" s="2" t="s">
        <v>20629</v>
      </c>
      <c r="M2084" s="2" t="s">
        <v>20630</v>
      </c>
      <c r="N2084" s="3" t="s">
        <v>640</v>
      </c>
      <c r="O2084" s="2" t="s">
        <v>20631</v>
      </c>
      <c r="P2084" s="3" t="s">
        <v>64</v>
      </c>
      <c r="R2084" s="3" t="s">
        <v>13065</v>
      </c>
      <c r="S2084" s="4">
        <v>2</v>
      </c>
      <c r="T2084" s="4">
        <v>2</v>
      </c>
      <c r="U2084" s="5" t="s">
        <v>6955</v>
      </c>
      <c r="V2084" s="5" t="s">
        <v>6955</v>
      </c>
      <c r="W2084" s="5" t="s">
        <v>67</v>
      </c>
      <c r="X2084" s="5" t="s">
        <v>67</v>
      </c>
      <c r="Y2084" s="4">
        <v>143</v>
      </c>
      <c r="Z2084" s="4">
        <v>7</v>
      </c>
      <c r="AA2084" s="4">
        <v>49</v>
      </c>
      <c r="AB2084" s="4">
        <v>1</v>
      </c>
      <c r="AC2084" s="4">
        <v>6</v>
      </c>
      <c r="AD2084" s="4">
        <v>17</v>
      </c>
      <c r="AE2084" s="4">
        <v>114</v>
      </c>
      <c r="AF2084" s="4">
        <v>0</v>
      </c>
      <c r="AG2084" s="4">
        <v>3</v>
      </c>
      <c r="AH2084" s="4">
        <v>16</v>
      </c>
      <c r="AI2084" s="4">
        <v>93</v>
      </c>
      <c r="AJ2084" s="4">
        <v>3</v>
      </c>
      <c r="AK2084" s="4">
        <v>17</v>
      </c>
      <c r="AL2084" s="4">
        <v>7</v>
      </c>
      <c r="AM2084" s="4">
        <v>54</v>
      </c>
      <c r="AN2084" s="4">
        <v>0</v>
      </c>
      <c r="AO2084" s="4">
        <v>0</v>
      </c>
      <c r="AP2084" s="4">
        <v>4</v>
      </c>
      <c r="AQ2084" s="4">
        <v>24</v>
      </c>
      <c r="AR2084" s="3" t="s">
        <v>62</v>
      </c>
      <c r="AS2084" s="3" t="s">
        <v>62</v>
      </c>
      <c r="AT2084" s="3" t="s">
        <v>62</v>
      </c>
      <c r="AV2084" s="6" t="str">
        <f>HYPERLINK("http://mcgill.on.worldcat.org/oclc/55472617","Catalog Record")</f>
        <v>Catalog Record</v>
      </c>
      <c r="AW2084" s="6" t="str">
        <f>HYPERLINK("http://www.worldcat.org/oclc/55472617","WorldCat Record")</f>
        <v>WorldCat Record</v>
      </c>
      <c r="AX2084" s="3" t="s">
        <v>20632</v>
      </c>
      <c r="AY2084" s="3" t="s">
        <v>20633</v>
      </c>
      <c r="AZ2084" s="3" t="s">
        <v>20634</v>
      </c>
      <c r="BA2084" s="3" t="s">
        <v>20634</v>
      </c>
      <c r="BB2084" s="3" t="s">
        <v>20635</v>
      </c>
      <c r="BC2084" s="3" t="s">
        <v>102</v>
      </c>
      <c r="BD2084" s="3" t="s">
        <v>68</v>
      </c>
      <c r="BE2084" s="3" t="s">
        <v>20636</v>
      </c>
      <c r="BF2084" s="3" t="s">
        <v>20635</v>
      </c>
      <c r="BG2084" s="3" t="s">
        <v>20637</v>
      </c>
    </row>
    <row r="2085" spans="1:59" ht="58" x14ac:dyDescent="0.35">
      <c r="A2085" s="2" t="s">
        <v>89</v>
      </c>
      <c r="B2085" s="2" t="s">
        <v>90</v>
      </c>
      <c r="C2085" s="2" t="s">
        <v>20638</v>
      </c>
      <c r="D2085" s="2" t="s">
        <v>20639</v>
      </c>
      <c r="E2085" s="2" t="s">
        <v>20640</v>
      </c>
      <c r="G2085" s="3" t="s">
        <v>62</v>
      </c>
      <c r="I2085" s="3" t="s">
        <v>62</v>
      </c>
      <c r="J2085" s="3" t="s">
        <v>62</v>
      </c>
      <c r="K2085" s="3" t="s">
        <v>7988</v>
      </c>
      <c r="L2085" s="2" t="s">
        <v>20641</v>
      </c>
      <c r="M2085" s="2" t="s">
        <v>20642</v>
      </c>
      <c r="N2085" s="3" t="s">
        <v>13196</v>
      </c>
      <c r="O2085" s="2" t="s">
        <v>20643</v>
      </c>
      <c r="P2085" s="3" t="s">
        <v>64</v>
      </c>
      <c r="R2085" s="3" t="s">
        <v>13065</v>
      </c>
      <c r="S2085" s="4">
        <v>4</v>
      </c>
      <c r="T2085" s="4">
        <v>4</v>
      </c>
      <c r="U2085" s="5" t="s">
        <v>20644</v>
      </c>
      <c r="V2085" s="5" t="s">
        <v>20644</v>
      </c>
      <c r="W2085" s="5" t="s">
        <v>67</v>
      </c>
      <c r="X2085" s="5" t="s">
        <v>67</v>
      </c>
      <c r="Y2085" s="4">
        <v>185</v>
      </c>
      <c r="Z2085" s="4">
        <v>10</v>
      </c>
      <c r="AA2085" s="4">
        <v>38</v>
      </c>
      <c r="AB2085" s="4">
        <v>1</v>
      </c>
      <c r="AC2085" s="4">
        <v>3</v>
      </c>
      <c r="AD2085" s="4">
        <v>68</v>
      </c>
      <c r="AE2085" s="4">
        <v>111</v>
      </c>
      <c r="AF2085" s="4">
        <v>0</v>
      </c>
      <c r="AG2085" s="4">
        <v>1</v>
      </c>
      <c r="AH2085" s="4">
        <v>63</v>
      </c>
      <c r="AI2085" s="4">
        <v>94</v>
      </c>
      <c r="AJ2085" s="4">
        <v>4</v>
      </c>
      <c r="AK2085" s="4">
        <v>17</v>
      </c>
      <c r="AL2085" s="4">
        <v>42</v>
      </c>
      <c r="AM2085" s="4">
        <v>52</v>
      </c>
      <c r="AN2085" s="4">
        <v>0</v>
      </c>
      <c r="AO2085" s="4">
        <v>0</v>
      </c>
      <c r="AP2085" s="4">
        <v>7</v>
      </c>
      <c r="AQ2085" s="4">
        <v>25</v>
      </c>
      <c r="AR2085" s="3" t="s">
        <v>62</v>
      </c>
      <c r="AS2085" s="3" t="s">
        <v>61</v>
      </c>
      <c r="AT2085" s="3" t="s">
        <v>62</v>
      </c>
      <c r="AU2085" s="6" t="str">
        <f>HYPERLINK("http://catalog.hathitrust.org/Record/000585464","HathiTrust Record")</f>
        <v>HathiTrust Record</v>
      </c>
      <c r="AV2085" s="6" t="str">
        <f>HYPERLINK("http://mcgill.on.worldcat.org/oclc/1475947","Catalog Record")</f>
        <v>Catalog Record</v>
      </c>
      <c r="AW2085" s="6" t="str">
        <f>HYPERLINK("http://www.worldcat.org/oclc/1475947","WorldCat Record")</f>
        <v>WorldCat Record</v>
      </c>
      <c r="AX2085" s="3" t="s">
        <v>20645</v>
      </c>
      <c r="AY2085" s="3" t="s">
        <v>20646</v>
      </c>
      <c r="AZ2085" s="3" t="s">
        <v>20647</v>
      </c>
      <c r="BA2085" s="3" t="s">
        <v>20647</v>
      </c>
      <c r="BB2085" s="3" t="s">
        <v>20648</v>
      </c>
      <c r="BC2085" s="3" t="s">
        <v>102</v>
      </c>
      <c r="BD2085" s="3" t="s">
        <v>68</v>
      </c>
      <c r="BF2085" s="3" t="s">
        <v>20648</v>
      </c>
      <c r="BG2085" s="3" t="s">
        <v>20649</v>
      </c>
    </row>
    <row r="2086" spans="1:59" ht="87" x14ac:dyDescent="0.35">
      <c r="A2086" s="2" t="s">
        <v>89</v>
      </c>
      <c r="B2086" s="2" t="s">
        <v>11757</v>
      </c>
      <c r="C2086" s="2" t="s">
        <v>20650</v>
      </c>
      <c r="D2086" s="2" t="s">
        <v>20651</v>
      </c>
      <c r="E2086" s="2" t="s">
        <v>20652</v>
      </c>
      <c r="G2086" s="3" t="s">
        <v>62</v>
      </c>
      <c r="I2086" s="3" t="s">
        <v>62</v>
      </c>
      <c r="J2086" s="3" t="s">
        <v>62</v>
      </c>
      <c r="K2086" s="3" t="s">
        <v>63</v>
      </c>
      <c r="M2086" s="2" t="s">
        <v>20653</v>
      </c>
      <c r="N2086" s="3" t="s">
        <v>684</v>
      </c>
      <c r="P2086" s="3" t="s">
        <v>64</v>
      </c>
      <c r="Q2086" s="2" t="s">
        <v>20654</v>
      </c>
      <c r="R2086" s="3" t="s">
        <v>13065</v>
      </c>
      <c r="S2086" s="4">
        <v>0</v>
      </c>
      <c r="T2086" s="4">
        <v>0</v>
      </c>
      <c r="W2086" s="5" t="s">
        <v>67</v>
      </c>
      <c r="X2086" s="5" t="s">
        <v>67</v>
      </c>
      <c r="Y2086" s="4">
        <v>131</v>
      </c>
      <c r="Z2086" s="4">
        <v>15</v>
      </c>
      <c r="AA2086" s="4">
        <v>18</v>
      </c>
      <c r="AB2086" s="4">
        <v>2</v>
      </c>
      <c r="AC2086" s="4">
        <v>5</v>
      </c>
      <c r="AD2086" s="4">
        <v>49</v>
      </c>
      <c r="AE2086" s="4">
        <v>51</v>
      </c>
      <c r="AF2086" s="4">
        <v>1</v>
      </c>
      <c r="AG2086" s="4">
        <v>3</v>
      </c>
      <c r="AH2086" s="4">
        <v>39</v>
      </c>
      <c r="AI2086" s="4">
        <v>40</v>
      </c>
      <c r="AJ2086" s="4">
        <v>9</v>
      </c>
      <c r="AK2086" s="4">
        <v>11</v>
      </c>
      <c r="AL2086" s="4">
        <v>23</v>
      </c>
      <c r="AM2086" s="4">
        <v>23</v>
      </c>
      <c r="AN2086" s="4">
        <v>0</v>
      </c>
      <c r="AO2086" s="4">
        <v>0</v>
      </c>
      <c r="AP2086" s="4">
        <v>14</v>
      </c>
      <c r="AQ2086" s="4">
        <v>16</v>
      </c>
      <c r="AR2086" s="3" t="s">
        <v>62</v>
      </c>
      <c r="AS2086" s="3" t="s">
        <v>62</v>
      </c>
      <c r="AT2086" s="3" t="s">
        <v>62</v>
      </c>
      <c r="AV2086" s="6" t="str">
        <f>HYPERLINK("http://mcgill.on.worldcat.org/oclc/707023063","Catalog Record")</f>
        <v>Catalog Record</v>
      </c>
      <c r="AW2086" s="6" t="str">
        <f>HYPERLINK("http://www.worldcat.org/oclc/707023063","WorldCat Record")</f>
        <v>WorldCat Record</v>
      </c>
      <c r="AX2086" s="3" t="s">
        <v>20655</v>
      </c>
      <c r="AY2086" s="3" t="s">
        <v>20656</v>
      </c>
      <c r="AZ2086" s="3" t="s">
        <v>20657</v>
      </c>
      <c r="BA2086" s="3" t="s">
        <v>20657</v>
      </c>
      <c r="BB2086" s="3" t="s">
        <v>20658</v>
      </c>
      <c r="BC2086" s="3" t="s">
        <v>102</v>
      </c>
      <c r="BD2086" s="3" t="s">
        <v>68</v>
      </c>
      <c r="BE2086" s="3" t="s">
        <v>20659</v>
      </c>
      <c r="BF2086" s="3" t="s">
        <v>20658</v>
      </c>
      <c r="BG2086" s="3" t="s">
        <v>20660</v>
      </c>
    </row>
    <row r="2087" spans="1:59" ht="58" x14ac:dyDescent="0.35">
      <c r="A2087" s="2" t="s">
        <v>89</v>
      </c>
      <c r="B2087" s="2" t="s">
        <v>90</v>
      </c>
      <c r="C2087" s="2" t="s">
        <v>20661</v>
      </c>
      <c r="D2087" s="2" t="s">
        <v>20662</v>
      </c>
      <c r="E2087" s="2" t="s">
        <v>20663</v>
      </c>
      <c r="G2087" s="3" t="s">
        <v>62</v>
      </c>
      <c r="I2087" s="3" t="s">
        <v>62</v>
      </c>
      <c r="J2087" s="3" t="s">
        <v>62</v>
      </c>
      <c r="K2087" s="3" t="s">
        <v>63</v>
      </c>
      <c r="L2087" s="2" t="s">
        <v>20664</v>
      </c>
      <c r="M2087" s="2" t="s">
        <v>20665</v>
      </c>
      <c r="N2087" s="3" t="s">
        <v>1467</v>
      </c>
      <c r="P2087" s="3" t="s">
        <v>64</v>
      </c>
      <c r="Q2087" s="2" t="s">
        <v>20666</v>
      </c>
      <c r="R2087" s="3" t="s">
        <v>13065</v>
      </c>
      <c r="S2087" s="4">
        <v>9</v>
      </c>
      <c r="T2087" s="4">
        <v>9</v>
      </c>
      <c r="U2087" s="5" t="s">
        <v>9684</v>
      </c>
      <c r="V2087" s="5" t="s">
        <v>9684</v>
      </c>
      <c r="W2087" s="5" t="s">
        <v>67</v>
      </c>
      <c r="X2087" s="5" t="s">
        <v>67</v>
      </c>
      <c r="Y2087" s="4">
        <v>2</v>
      </c>
      <c r="Z2087" s="4">
        <v>1</v>
      </c>
      <c r="AA2087" s="4">
        <v>35</v>
      </c>
      <c r="AB2087" s="4">
        <v>1</v>
      </c>
      <c r="AC2087" s="4">
        <v>6</v>
      </c>
      <c r="AD2087" s="4">
        <v>0</v>
      </c>
      <c r="AE2087" s="4">
        <v>132</v>
      </c>
      <c r="AF2087" s="4">
        <v>0</v>
      </c>
      <c r="AG2087" s="4">
        <v>4</v>
      </c>
      <c r="AH2087" s="4">
        <v>0</v>
      </c>
      <c r="AI2087" s="4">
        <v>108</v>
      </c>
      <c r="AJ2087" s="4">
        <v>0</v>
      </c>
      <c r="AK2087" s="4">
        <v>22</v>
      </c>
      <c r="AL2087" s="4">
        <v>0</v>
      </c>
      <c r="AM2087" s="4">
        <v>61</v>
      </c>
      <c r="AN2087" s="4">
        <v>0</v>
      </c>
      <c r="AO2087" s="4">
        <v>0</v>
      </c>
      <c r="AP2087" s="4">
        <v>0</v>
      </c>
      <c r="AQ2087" s="4">
        <v>30</v>
      </c>
      <c r="AR2087" s="3" t="s">
        <v>62</v>
      </c>
      <c r="AS2087" s="3" t="s">
        <v>62</v>
      </c>
      <c r="AT2087" s="3" t="s">
        <v>62</v>
      </c>
      <c r="AV2087" s="6" t="str">
        <f>HYPERLINK("http://mcgill.on.worldcat.org/oclc/427506467","Catalog Record")</f>
        <v>Catalog Record</v>
      </c>
      <c r="AW2087" s="6" t="str">
        <f>HYPERLINK("http://www.worldcat.org/oclc/427506467","WorldCat Record")</f>
        <v>WorldCat Record</v>
      </c>
      <c r="AX2087" s="3" t="s">
        <v>20667</v>
      </c>
      <c r="AY2087" s="3" t="s">
        <v>20668</v>
      </c>
      <c r="AZ2087" s="3" t="s">
        <v>20669</v>
      </c>
      <c r="BA2087" s="3" t="s">
        <v>20669</v>
      </c>
      <c r="BB2087" s="3" t="s">
        <v>20670</v>
      </c>
      <c r="BC2087" s="3" t="s">
        <v>102</v>
      </c>
      <c r="BD2087" s="3" t="s">
        <v>68</v>
      </c>
      <c r="BE2087" s="3" t="s">
        <v>20671</v>
      </c>
      <c r="BF2087" s="3" t="s">
        <v>20670</v>
      </c>
      <c r="BG2087" s="3" t="s">
        <v>20672</v>
      </c>
    </row>
    <row r="2088" spans="1:59" ht="58" x14ac:dyDescent="0.35">
      <c r="A2088" s="2" t="s">
        <v>89</v>
      </c>
      <c r="B2088" s="2" t="s">
        <v>90</v>
      </c>
      <c r="C2088" s="2" t="s">
        <v>20673</v>
      </c>
      <c r="D2088" s="2" t="s">
        <v>20674</v>
      </c>
      <c r="E2088" s="2" t="s">
        <v>20675</v>
      </c>
      <c r="G2088" s="3" t="s">
        <v>62</v>
      </c>
      <c r="I2088" s="3" t="s">
        <v>61</v>
      </c>
      <c r="J2088" s="3" t="s">
        <v>61</v>
      </c>
      <c r="K2088" s="3" t="s">
        <v>63</v>
      </c>
      <c r="L2088" s="2" t="s">
        <v>20676</v>
      </c>
      <c r="M2088" s="2" t="s">
        <v>20677</v>
      </c>
      <c r="N2088" s="3" t="s">
        <v>285</v>
      </c>
      <c r="O2088" s="2" t="s">
        <v>8350</v>
      </c>
      <c r="P2088" s="3" t="s">
        <v>64</v>
      </c>
      <c r="R2088" s="3" t="s">
        <v>13065</v>
      </c>
      <c r="S2088" s="4">
        <v>10</v>
      </c>
      <c r="T2088" s="4">
        <v>89</v>
      </c>
      <c r="U2088" s="5" t="s">
        <v>3427</v>
      </c>
      <c r="V2088" s="5" t="s">
        <v>3427</v>
      </c>
      <c r="W2088" s="5" t="s">
        <v>67</v>
      </c>
      <c r="X2088" s="5" t="s">
        <v>67</v>
      </c>
      <c r="Y2088" s="4">
        <v>119</v>
      </c>
      <c r="Z2088" s="4">
        <v>6</v>
      </c>
      <c r="AA2088" s="4">
        <v>44</v>
      </c>
      <c r="AB2088" s="4">
        <v>1</v>
      </c>
      <c r="AC2088" s="4">
        <v>7</v>
      </c>
      <c r="AD2088" s="4">
        <v>19</v>
      </c>
      <c r="AE2088" s="4">
        <v>84</v>
      </c>
      <c r="AF2088" s="4">
        <v>0</v>
      </c>
      <c r="AG2088" s="4">
        <v>5</v>
      </c>
      <c r="AH2088" s="4">
        <v>16</v>
      </c>
      <c r="AI2088" s="4">
        <v>65</v>
      </c>
      <c r="AJ2088" s="4">
        <v>4</v>
      </c>
      <c r="AK2088" s="4">
        <v>18</v>
      </c>
      <c r="AL2088" s="4">
        <v>7</v>
      </c>
      <c r="AM2088" s="4">
        <v>32</v>
      </c>
      <c r="AN2088" s="4">
        <v>0</v>
      </c>
      <c r="AO2088" s="4">
        <v>0</v>
      </c>
      <c r="AP2088" s="4">
        <v>5</v>
      </c>
      <c r="AQ2088" s="4">
        <v>27</v>
      </c>
      <c r="AR2088" s="3" t="s">
        <v>62</v>
      </c>
      <c r="AS2088" s="3" t="s">
        <v>62</v>
      </c>
      <c r="AT2088" s="3" t="s">
        <v>61</v>
      </c>
      <c r="AU2088" s="6" t="str">
        <f>HYPERLINK("http://catalog.hathitrust.org/Record/009373844","HathiTrust Record")</f>
        <v>HathiTrust Record</v>
      </c>
      <c r="AV2088" s="6" t="str">
        <f>HYPERLINK("http://mcgill.on.worldcat.org/oclc/4804271","Catalog Record")</f>
        <v>Catalog Record</v>
      </c>
      <c r="AW2088" s="6" t="str">
        <f>HYPERLINK("http://www.worldcat.org/oclc/4804271","WorldCat Record")</f>
        <v>WorldCat Record</v>
      </c>
      <c r="AX2088" s="3" t="s">
        <v>20678</v>
      </c>
      <c r="AY2088" s="3" t="s">
        <v>20679</v>
      </c>
      <c r="AZ2088" s="3" t="s">
        <v>20680</v>
      </c>
      <c r="BA2088" s="3" t="s">
        <v>20680</v>
      </c>
      <c r="BB2088" s="3" t="s">
        <v>20681</v>
      </c>
      <c r="BC2088" s="3" t="s">
        <v>102</v>
      </c>
      <c r="BD2088" s="3" t="s">
        <v>68</v>
      </c>
      <c r="BE2088" s="3" t="s">
        <v>20682</v>
      </c>
      <c r="BF2088" s="3" t="s">
        <v>20681</v>
      </c>
      <c r="BG2088" s="3" t="s">
        <v>20683</v>
      </c>
    </row>
    <row r="2089" spans="1:59" ht="101.5" x14ac:dyDescent="0.35">
      <c r="A2089" s="2" t="s">
        <v>89</v>
      </c>
      <c r="B2089" s="2" t="s">
        <v>12301</v>
      </c>
      <c r="C2089" s="2" t="s">
        <v>20684</v>
      </c>
      <c r="D2089" s="2" t="s">
        <v>20685</v>
      </c>
      <c r="E2089" s="2" t="s">
        <v>20686</v>
      </c>
      <c r="G2089" s="3" t="s">
        <v>62</v>
      </c>
      <c r="I2089" s="3" t="s">
        <v>61</v>
      </c>
      <c r="J2089" s="3" t="s">
        <v>62</v>
      </c>
      <c r="K2089" s="3" t="s">
        <v>63</v>
      </c>
      <c r="L2089" s="2" t="s">
        <v>20687</v>
      </c>
      <c r="M2089" s="2" t="s">
        <v>20688</v>
      </c>
      <c r="N2089" s="3" t="s">
        <v>640</v>
      </c>
      <c r="O2089" s="2" t="s">
        <v>2986</v>
      </c>
      <c r="P2089" s="3" t="s">
        <v>64</v>
      </c>
      <c r="R2089" s="3" t="s">
        <v>13065</v>
      </c>
      <c r="S2089" s="4">
        <v>76</v>
      </c>
      <c r="T2089" s="4">
        <v>543</v>
      </c>
      <c r="U2089" s="5" t="s">
        <v>20689</v>
      </c>
      <c r="V2089" s="5" t="s">
        <v>15917</v>
      </c>
      <c r="W2089" s="5" t="s">
        <v>67</v>
      </c>
      <c r="X2089" s="5" t="s">
        <v>67</v>
      </c>
      <c r="Y2089" s="4">
        <v>49</v>
      </c>
      <c r="Z2089" s="4">
        <v>15</v>
      </c>
      <c r="AA2089" s="4">
        <v>22</v>
      </c>
      <c r="AB2089" s="4">
        <v>2</v>
      </c>
      <c r="AC2089" s="4">
        <v>2</v>
      </c>
      <c r="AD2089" s="4">
        <v>8</v>
      </c>
      <c r="AE2089" s="4">
        <v>15</v>
      </c>
      <c r="AF2089" s="4">
        <v>1</v>
      </c>
      <c r="AG2089" s="4">
        <v>1</v>
      </c>
      <c r="AH2089" s="4">
        <v>6</v>
      </c>
      <c r="AI2089" s="4">
        <v>9</v>
      </c>
      <c r="AJ2089" s="4">
        <v>5</v>
      </c>
      <c r="AK2089" s="4">
        <v>9</v>
      </c>
      <c r="AL2089" s="4">
        <v>2</v>
      </c>
      <c r="AM2089" s="4">
        <v>3</v>
      </c>
      <c r="AN2089" s="4">
        <v>0</v>
      </c>
      <c r="AO2089" s="4">
        <v>0</v>
      </c>
      <c r="AP2089" s="4">
        <v>5</v>
      </c>
      <c r="AQ2089" s="4">
        <v>11</v>
      </c>
      <c r="AR2089" s="3" t="s">
        <v>61</v>
      </c>
      <c r="AS2089" s="3" t="s">
        <v>62</v>
      </c>
      <c r="AT2089" s="3" t="s">
        <v>62</v>
      </c>
      <c r="AV2089" s="6" t="str">
        <f>HYPERLINK("http://mcgill.on.worldcat.org/oclc/50495823","Catalog Record")</f>
        <v>Catalog Record</v>
      </c>
      <c r="AW2089" s="6" t="str">
        <f>HYPERLINK("http://www.worldcat.org/oclc/50495823","WorldCat Record")</f>
        <v>WorldCat Record</v>
      </c>
      <c r="AX2089" s="3" t="s">
        <v>20690</v>
      </c>
      <c r="AY2089" s="3" t="s">
        <v>20691</v>
      </c>
      <c r="AZ2089" s="3" t="s">
        <v>20692</v>
      </c>
      <c r="BA2089" s="3" t="s">
        <v>20692</v>
      </c>
      <c r="BB2089" s="3" t="s">
        <v>20693</v>
      </c>
      <c r="BC2089" s="3" t="s">
        <v>102</v>
      </c>
      <c r="BD2089" s="3" t="s">
        <v>68</v>
      </c>
      <c r="BE2089" s="3" t="s">
        <v>20694</v>
      </c>
      <c r="BF2089" s="3" t="s">
        <v>20693</v>
      </c>
      <c r="BG2089" s="3" t="s">
        <v>20695</v>
      </c>
    </row>
    <row r="2090" spans="1:59" ht="101.5" x14ac:dyDescent="0.35">
      <c r="A2090" s="2" t="s">
        <v>89</v>
      </c>
      <c r="B2090" s="2" t="s">
        <v>12301</v>
      </c>
      <c r="C2090" s="2" t="s">
        <v>20684</v>
      </c>
      <c r="D2090" s="2" t="s">
        <v>20685</v>
      </c>
      <c r="E2090" s="2" t="s">
        <v>20686</v>
      </c>
      <c r="G2090" s="3" t="s">
        <v>62</v>
      </c>
      <c r="I2090" s="3" t="s">
        <v>61</v>
      </c>
      <c r="J2090" s="3" t="s">
        <v>62</v>
      </c>
      <c r="K2090" s="3" t="s">
        <v>63</v>
      </c>
      <c r="L2090" s="2" t="s">
        <v>20687</v>
      </c>
      <c r="M2090" s="2" t="s">
        <v>20688</v>
      </c>
      <c r="N2090" s="3" t="s">
        <v>640</v>
      </c>
      <c r="O2090" s="2" t="s">
        <v>2986</v>
      </c>
      <c r="P2090" s="3" t="s">
        <v>64</v>
      </c>
      <c r="R2090" s="3" t="s">
        <v>13065</v>
      </c>
      <c r="S2090" s="4">
        <v>191</v>
      </c>
      <c r="T2090" s="4">
        <v>543</v>
      </c>
      <c r="U2090" s="5" t="s">
        <v>12842</v>
      </c>
      <c r="V2090" s="5" t="s">
        <v>15917</v>
      </c>
      <c r="W2090" s="5" t="s">
        <v>67</v>
      </c>
      <c r="X2090" s="5" t="s">
        <v>67</v>
      </c>
      <c r="Y2090" s="4">
        <v>49</v>
      </c>
      <c r="Z2090" s="4">
        <v>15</v>
      </c>
      <c r="AA2090" s="4">
        <v>22</v>
      </c>
      <c r="AB2090" s="4">
        <v>2</v>
      </c>
      <c r="AC2090" s="4">
        <v>2</v>
      </c>
      <c r="AD2090" s="4">
        <v>8</v>
      </c>
      <c r="AE2090" s="4">
        <v>15</v>
      </c>
      <c r="AF2090" s="4">
        <v>1</v>
      </c>
      <c r="AG2090" s="4">
        <v>1</v>
      </c>
      <c r="AH2090" s="4">
        <v>6</v>
      </c>
      <c r="AI2090" s="4">
        <v>9</v>
      </c>
      <c r="AJ2090" s="4">
        <v>5</v>
      </c>
      <c r="AK2090" s="4">
        <v>9</v>
      </c>
      <c r="AL2090" s="4">
        <v>2</v>
      </c>
      <c r="AM2090" s="4">
        <v>3</v>
      </c>
      <c r="AN2090" s="4">
        <v>0</v>
      </c>
      <c r="AO2090" s="4">
        <v>0</v>
      </c>
      <c r="AP2090" s="4">
        <v>5</v>
      </c>
      <c r="AQ2090" s="4">
        <v>11</v>
      </c>
      <c r="AR2090" s="3" t="s">
        <v>61</v>
      </c>
      <c r="AS2090" s="3" t="s">
        <v>62</v>
      </c>
      <c r="AT2090" s="3" t="s">
        <v>62</v>
      </c>
      <c r="AV2090" s="6" t="str">
        <f>HYPERLINK("http://mcgill.on.worldcat.org/oclc/50495823","Catalog Record")</f>
        <v>Catalog Record</v>
      </c>
      <c r="AW2090" s="6" t="str">
        <f>HYPERLINK("http://www.worldcat.org/oclc/50495823","WorldCat Record")</f>
        <v>WorldCat Record</v>
      </c>
      <c r="AX2090" s="3" t="s">
        <v>20690</v>
      </c>
      <c r="AY2090" s="3" t="s">
        <v>20691</v>
      </c>
      <c r="AZ2090" s="3" t="s">
        <v>20692</v>
      </c>
      <c r="BA2090" s="3" t="s">
        <v>20692</v>
      </c>
      <c r="BB2090" s="3" t="s">
        <v>20696</v>
      </c>
      <c r="BC2090" s="3" t="s">
        <v>102</v>
      </c>
      <c r="BD2090" s="3" t="s">
        <v>68</v>
      </c>
      <c r="BE2090" s="3" t="s">
        <v>20694</v>
      </c>
      <c r="BF2090" s="3" t="s">
        <v>20696</v>
      </c>
      <c r="BG2090" s="3" t="s">
        <v>20697</v>
      </c>
    </row>
    <row r="2091" spans="1:59" ht="101.5" x14ac:dyDescent="0.35">
      <c r="A2091" s="2" t="s">
        <v>89</v>
      </c>
      <c r="B2091" s="2" t="s">
        <v>12301</v>
      </c>
      <c r="C2091" s="2" t="s">
        <v>20684</v>
      </c>
      <c r="D2091" s="2" t="s">
        <v>20685</v>
      </c>
      <c r="E2091" s="2" t="s">
        <v>20686</v>
      </c>
      <c r="G2091" s="3" t="s">
        <v>62</v>
      </c>
      <c r="I2091" s="3" t="s">
        <v>61</v>
      </c>
      <c r="J2091" s="3" t="s">
        <v>62</v>
      </c>
      <c r="K2091" s="3" t="s">
        <v>63</v>
      </c>
      <c r="L2091" s="2" t="s">
        <v>20687</v>
      </c>
      <c r="M2091" s="2" t="s">
        <v>20688</v>
      </c>
      <c r="N2091" s="3" t="s">
        <v>640</v>
      </c>
      <c r="O2091" s="2" t="s">
        <v>2986</v>
      </c>
      <c r="P2091" s="3" t="s">
        <v>64</v>
      </c>
      <c r="R2091" s="3" t="s">
        <v>13065</v>
      </c>
      <c r="S2091" s="4">
        <v>186</v>
      </c>
      <c r="T2091" s="4">
        <v>543</v>
      </c>
      <c r="U2091" s="5" t="s">
        <v>15917</v>
      </c>
      <c r="V2091" s="5" t="s">
        <v>15917</v>
      </c>
      <c r="W2091" s="5" t="s">
        <v>67</v>
      </c>
      <c r="X2091" s="5" t="s">
        <v>67</v>
      </c>
      <c r="Y2091" s="4">
        <v>49</v>
      </c>
      <c r="Z2091" s="4">
        <v>15</v>
      </c>
      <c r="AA2091" s="4">
        <v>22</v>
      </c>
      <c r="AB2091" s="4">
        <v>2</v>
      </c>
      <c r="AC2091" s="4">
        <v>2</v>
      </c>
      <c r="AD2091" s="4">
        <v>8</v>
      </c>
      <c r="AE2091" s="4">
        <v>15</v>
      </c>
      <c r="AF2091" s="4">
        <v>1</v>
      </c>
      <c r="AG2091" s="4">
        <v>1</v>
      </c>
      <c r="AH2091" s="4">
        <v>6</v>
      </c>
      <c r="AI2091" s="4">
        <v>9</v>
      </c>
      <c r="AJ2091" s="4">
        <v>5</v>
      </c>
      <c r="AK2091" s="4">
        <v>9</v>
      </c>
      <c r="AL2091" s="4">
        <v>2</v>
      </c>
      <c r="AM2091" s="4">
        <v>3</v>
      </c>
      <c r="AN2091" s="4">
        <v>0</v>
      </c>
      <c r="AO2091" s="4">
        <v>0</v>
      </c>
      <c r="AP2091" s="4">
        <v>5</v>
      </c>
      <c r="AQ2091" s="4">
        <v>11</v>
      </c>
      <c r="AR2091" s="3" t="s">
        <v>61</v>
      </c>
      <c r="AS2091" s="3" t="s">
        <v>62</v>
      </c>
      <c r="AT2091" s="3" t="s">
        <v>62</v>
      </c>
      <c r="AV2091" s="6" t="str">
        <f>HYPERLINK("http://mcgill.on.worldcat.org/oclc/50495823","Catalog Record")</f>
        <v>Catalog Record</v>
      </c>
      <c r="AW2091" s="6" t="str">
        <f>HYPERLINK("http://www.worldcat.org/oclc/50495823","WorldCat Record")</f>
        <v>WorldCat Record</v>
      </c>
      <c r="AX2091" s="3" t="s">
        <v>20690</v>
      </c>
      <c r="AY2091" s="3" t="s">
        <v>20691</v>
      </c>
      <c r="AZ2091" s="3" t="s">
        <v>20692</v>
      </c>
      <c r="BA2091" s="3" t="s">
        <v>20692</v>
      </c>
      <c r="BB2091" s="3" t="s">
        <v>20698</v>
      </c>
      <c r="BC2091" s="3" t="s">
        <v>102</v>
      </c>
      <c r="BD2091" s="3" t="s">
        <v>68</v>
      </c>
      <c r="BE2091" s="3" t="s">
        <v>20694</v>
      </c>
      <c r="BF2091" s="3" t="s">
        <v>20698</v>
      </c>
      <c r="BG2091" s="3" t="s">
        <v>20699</v>
      </c>
    </row>
    <row r="2092" spans="1:59" ht="101.5" x14ac:dyDescent="0.35">
      <c r="A2092" s="2" t="s">
        <v>89</v>
      </c>
      <c r="B2092" s="2" t="s">
        <v>12301</v>
      </c>
      <c r="C2092" s="2" t="s">
        <v>20684</v>
      </c>
      <c r="D2092" s="2" t="s">
        <v>20685</v>
      </c>
      <c r="E2092" s="2" t="s">
        <v>20686</v>
      </c>
      <c r="G2092" s="3" t="s">
        <v>62</v>
      </c>
      <c r="I2092" s="3" t="s">
        <v>61</v>
      </c>
      <c r="J2092" s="3" t="s">
        <v>62</v>
      </c>
      <c r="K2092" s="3" t="s">
        <v>63</v>
      </c>
      <c r="L2092" s="2" t="s">
        <v>20687</v>
      </c>
      <c r="M2092" s="2" t="s">
        <v>20688</v>
      </c>
      <c r="N2092" s="3" t="s">
        <v>640</v>
      </c>
      <c r="O2092" s="2" t="s">
        <v>2986</v>
      </c>
      <c r="P2092" s="3" t="s">
        <v>64</v>
      </c>
      <c r="R2092" s="3" t="s">
        <v>13065</v>
      </c>
      <c r="S2092" s="4">
        <v>65</v>
      </c>
      <c r="T2092" s="4">
        <v>543</v>
      </c>
      <c r="U2092" s="5" t="s">
        <v>16936</v>
      </c>
      <c r="V2092" s="5" t="s">
        <v>15917</v>
      </c>
      <c r="W2092" s="5" t="s">
        <v>67</v>
      </c>
      <c r="X2092" s="5" t="s">
        <v>67</v>
      </c>
      <c r="Y2092" s="4">
        <v>49</v>
      </c>
      <c r="Z2092" s="4">
        <v>15</v>
      </c>
      <c r="AA2092" s="4">
        <v>22</v>
      </c>
      <c r="AB2092" s="4">
        <v>2</v>
      </c>
      <c r="AC2092" s="4">
        <v>2</v>
      </c>
      <c r="AD2092" s="4">
        <v>8</v>
      </c>
      <c r="AE2092" s="4">
        <v>15</v>
      </c>
      <c r="AF2092" s="4">
        <v>1</v>
      </c>
      <c r="AG2092" s="4">
        <v>1</v>
      </c>
      <c r="AH2092" s="4">
        <v>6</v>
      </c>
      <c r="AI2092" s="4">
        <v>9</v>
      </c>
      <c r="AJ2092" s="4">
        <v>5</v>
      </c>
      <c r="AK2092" s="4">
        <v>9</v>
      </c>
      <c r="AL2092" s="4">
        <v>2</v>
      </c>
      <c r="AM2092" s="4">
        <v>3</v>
      </c>
      <c r="AN2092" s="4">
        <v>0</v>
      </c>
      <c r="AO2092" s="4">
        <v>0</v>
      </c>
      <c r="AP2092" s="4">
        <v>5</v>
      </c>
      <c r="AQ2092" s="4">
        <v>11</v>
      </c>
      <c r="AR2092" s="3" t="s">
        <v>61</v>
      </c>
      <c r="AS2092" s="3" t="s">
        <v>62</v>
      </c>
      <c r="AT2092" s="3" t="s">
        <v>62</v>
      </c>
      <c r="AV2092" s="6" t="str">
        <f>HYPERLINK("http://mcgill.on.worldcat.org/oclc/50495823","Catalog Record")</f>
        <v>Catalog Record</v>
      </c>
      <c r="AW2092" s="6" t="str">
        <f>HYPERLINK("http://www.worldcat.org/oclc/50495823","WorldCat Record")</f>
        <v>WorldCat Record</v>
      </c>
      <c r="AX2092" s="3" t="s">
        <v>20690</v>
      </c>
      <c r="AY2092" s="3" t="s">
        <v>20691</v>
      </c>
      <c r="AZ2092" s="3" t="s">
        <v>20692</v>
      </c>
      <c r="BA2092" s="3" t="s">
        <v>20692</v>
      </c>
      <c r="BB2092" s="3" t="s">
        <v>20700</v>
      </c>
      <c r="BC2092" s="3" t="s">
        <v>102</v>
      </c>
      <c r="BD2092" s="3" t="s">
        <v>68</v>
      </c>
      <c r="BE2092" s="3" t="s">
        <v>20694</v>
      </c>
      <c r="BF2092" s="3" t="s">
        <v>20700</v>
      </c>
      <c r="BG2092" s="3" t="s">
        <v>20701</v>
      </c>
    </row>
    <row r="2093" spans="1:59" ht="101.5" x14ac:dyDescent="0.35">
      <c r="A2093" s="2" t="s">
        <v>89</v>
      </c>
      <c r="B2093" s="2" t="s">
        <v>12301</v>
      </c>
      <c r="C2093" s="2" t="s">
        <v>20684</v>
      </c>
      <c r="D2093" s="2" t="s">
        <v>20685</v>
      </c>
      <c r="E2093" s="2" t="s">
        <v>20686</v>
      </c>
      <c r="G2093" s="3" t="s">
        <v>62</v>
      </c>
      <c r="I2093" s="3" t="s">
        <v>61</v>
      </c>
      <c r="J2093" s="3" t="s">
        <v>62</v>
      </c>
      <c r="K2093" s="3" t="s">
        <v>63</v>
      </c>
      <c r="L2093" s="2" t="s">
        <v>20687</v>
      </c>
      <c r="M2093" s="2" t="s">
        <v>20688</v>
      </c>
      <c r="N2093" s="3" t="s">
        <v>640</v>
      </c>
      <c r="O2093" s="2" t="s">
        <v>2986</v>
      </c>
      <c r="P2093" s="3" t="s">
        <v>64</v>
      </c>
      <c r="R2093" s="3" t="s">
        <v>13065</v>
      </c>
      <c r="S2093" s="4">
        <v>25</v>
      </c>
      <c r="T2093" s="4">
        <v>543</v>
      </c>
      <c r="U2093" s="5" t="s">
        <v>12842</v>
      </c>
      <c r="V2093" s="5" t="s">
        <v>15917</v>
      </c>
      <c r="W2093" s="5" t="s">
        <v>67</v>
      </c>
      <c r="X2093" s="5" t="s">
        <v>67</v>
      </c>
      <c r="Y2093" s="4">
        <v>49</v>
      </c>
      <c r="Z2093" s="4">
        <v>15</v>
      </c>
      <c r="AA2093" s="4">
        <v>22</v>
      </c>
      <c r="AB2093" s="4">
        <v>2</v>
      </c>
      <c r="AC2093" s="4">
        <v>2</v>
      </c>
      <c r="AD2093" s="4">
        <v>8</v>
      </c>
      <c r="AE2093" s="4">
        <v>15</v>
      </c>
      <c r="AF2093" s="4">
        <v>1</v>
      </c>
      <c r="AG2093" s="4">
        <v>1</v>
      </c>
      <c r="AH2093" s="4">
        <v>6</v>
      </c>
      <c r="AI2093" s="4">
        <v>9</v>
      </c>
      <c r="AJ2093" s="4">
        <v>5</v>
      </c>
      <c r="AK2093" s="4">
        <v>9</v>
      </c>
      <c r="AL2093" s="4">
        <v>2</v>
      </c>
      <c r="AM2093" s="4">
        <v>3</v>
      </c>
      <c r="AN2093" s="4">
        <v>0</v>
      </c>
      <c r="AO2093" s="4">
        <v>0</v>
      </c>
      <c r="AP2093" s="4">
        <v>5</v>
      </c>
      <c r="AQ2093" s="4">
        <v>11</v>
      </c>
      <c r="AR2093" s="3" t="s">
        <v>61</v>
      </c>
      <c r="AS2093" s="3" t="s">
        <v>62</v>
      </c>
      <c r="AT2093" s="3" t="s">
        <v>62</v>
      </c>
      <c r="AV2093" s="6" t="str">
        <f>HYPERLINK("http://mcgill.on.worldcat.org/oclc/50495823","Catalog Record")</f>
        <v>Catalog Record</v>
      </c>
      <c r="AW2093" s="6" t="str">
        <f>HYPERLINK("http://www.worldcat.org/oclc/50495823","WorldCat Record")</f>
        <v>WorldCat Record</v>
      </c>
      <c r="AX2093" s="3" t="s">
        <v>20690</v>
      </c>
      <c r="AY2093" s="3" t="s">
        <v>20691</v>
      </c>
      <c r="AZ2093" s="3" t="s">
        <v>20692</v>
      </c>
      <c r="BA2093" s="3" t="s">
        <v>20692</v>
      </c>
      <c r="BB2093" s="3" t="s">
        <v>20702</v>
      </c>
      <c r="BC2093" s="3" t="s">
        <v>102</v>
      </c>
      <c r="BD2093" s="3" t="s">
        <v>68</v>
      </c>
      <c r="BE2093" s="3" t="s">
        <v>20694</v>
      </c>
      <c r="BF2093" s="3" t="s">
        <v>20702</v>
      </c>
      <c r="BG2093" s="3" t="s">
        <v>20703</v>
      </c>
    </row>
    <row r="2094" spans="1:59" ht="58" x14ac:dyDescent="0.35">
      <c r="A2094" s="2" t="s">
        <v>89</v>
      </c>
      <c r="B2094" s="2" t="s">
        <v>90</v>
      </c>
      <c r="C2094" s="2" t="s">
        <v>20704</v>
      </c>
      <c r="D2094" s="2" t="s">
        <v>20705</v>
      </c>
      <c r="E2094" s="2" t="s">
        <v>20706</v>
      </c>
      <c r="G2094" s="3" t="s">
        <v>62</v>
      </c>
      <c r="I2094" s="3" t="s">
        <v>62</v>
      </c>
      <c r="J2094" s="3" t="s">
        <v>61</v>
      </c>
      <c r="K2094" s="3" t="s">
        <v>63</v>
      </c>
      <c r="L2094" s="2" t="s">
        <v>20707</v>
      </c>
      <c r="M2094" s="2" t="s">
        <v>20708</v>
      </c>
      <c r="N2094" s="3" t="s">
        <v>1038</v>
      </c>
      <c r="O2094" s="2" t="s">
        <v>17053</v>
      </c>
      <c r="P2094" s="3" t="s">
        <v>64</v>
      </c>
      <c r="R2094" s="3" t="s">
        <v>13065</v>
      </c>
      <c r="S2094" s="4">
        <v>14</v>
      </c>
      <c r="T2094" s="4">
        <v>14</v>
      </c>
      <c r="U2094" s="5" t="s">
        <v>14432</v>
      </c>
      <c r="V2094" s="5" t="s">
        <v>14432</v>
      </c>
      <c r="W2094" s="5" t="s">
        <v>67</v>
      </c>
      <c r="X2094" s="5" t="s">
        <v>67</v>
      </c>
      <c r="Y2094" s="4">
        <v>128</v>
      </c>
      <c r="Z2094" s="4">
        <v>5</v>
      </c>
      <c r="AA2094" s="4">
        <v>37</v>
      </c>
      <c r="AB2094" s="4">
        <v>2</v>
      </c>
      <c r="AC2094" s="4">
        <v>8</v>
      </c>
      <c r="AD2094" s="4">
        <v>34</v>
      </c>
      <c r="AE2094" s="4">
        <v>103</v>
      </c>
      <c r="AF2094" s="4">
        <v>1</v>
      </c>
      <c r="AG2094" s="4">
        <v>6</v>
      </c>
      <c r="AH2094" s="4">
        <v>32</v>
      </c>
      <c r="AI2094" s="4">
        <v>81</v>
      </c>
      <c r="AJ2094" s="4">
        <v>2</v>
      </c>
      <c r="AK2094" s="4">
        <v>22</v>
      </c>
      <c r="AL2094" s="4">
        <v>20</v>
      </c>
      <c r="AM2094" s="4">
        <v>45</v>
      </c>
      <c r="AN2094" s="4">
        <v>0</v>
      </c>
      <c r="AO2094" s="4">
        <v>0</v>
      </c>
      <c r="AP2094" s="4">
        <v>4</v>
      </c>
      <c r="AQ2094" s="4">
        <v>30</v>
      </c>
      <c r="AR2094" s="3" t="s">
        <v>62</v>
      </c>
      <c r="AS2094" s="3" t="s">
        <v>62</v>
      </c>
      <c r="AT2094" s="3" t="s">
        <v>62</v>
      </c>
      <c r="AV2094" s="6" t="str">
        <f>HYPERLINK("http://mcgill.on.worldcat.org/oclc/956503593","Catalog Record")</f>
        <v>Catalog Record</v>
      </c>
      <c r="AW2094" s="6" t="str">
        <f>HYPERLINK("http://www.worldcat.org/oclc/956503593","WorldCat Record")</f>
        <v>WorldCat Record</v>
      </c>
      <c r="AX2094" s="3" t="s">
        <v>20709</v>
      </c>
      <c r="AY2094" s="3" t="s">
        <v>20710</v>
      </c>
      <c r="AZ2094" s="3" t="s">
        <v>20711</v>
      </c>
      <c r="BA2094" s="3" t="s">
        <v>20711</v>
      </c>
      <c r="BB2094" s="3" t="s">
        <v>20712</v>
      </c>
      <c r="BC2094" s="3" t="s">
        <v>102</v>
      </c>
      <c r="BD2094" s="3" t="s">
        <v>68</v>
      </c>
      <c r="BE2094" s="3" t="s">
        <v>20713</v>
      </c>
      <c r="BF2094" s="3" t="s">
        <v>20712</v>
      </c>
      <c r="BG2094" s="3" t="s">
        <v>20714</v>
      </c>
    </row>
    <row r="2095" spans="1:59" ht="101.5" x14ac:dyDescent="0.35">
      <c r="A2095" s="2" t="s">
        <v>89</v>
      </c>
      <c r="B2095" s="2" t="s">
        <v>12301</v>
      </c>
      <c r="C2095" s="2" t="s">
        <v>20715</v>
      </c>
      <c r="D2095" s="2" t="s">
        <v>20716</v>
      </c>
      <c r="E2095" s="2" t="s">
        <v>20717</v>
      </c>
      <c r="G2095" s="3" t="s">
        <v>62</v>
      </c>
      <c r="I2095" s="3" t="s">
        <v>61</v>
      </c>
      <c r="J2095" s="3" t="s">
        <v>61</v>
      </c>
      <c r="K2095" s="3" t="s">
        <v>63</v>
      </c>
      <c r="L2095" s="2" t="s">
        <v>20718</v>
      </c>
      <c r="M2095" s="2" t="s">
        <v>20719</v>
      </c>
      <c r="N2095" s="3" t="s">
        <v>2085</v>
      </c>
      <c r="O2095" s="2" t="s">
        <v>16034</v>
      </c>
      <c r="P2095" s="3" t="s">
        <v>64</v>
      </c>
      <c r="Q2095" s="2" t="s">
        <v>20720</v>
      </c>
      <c r="R2095" s="3" t="s">
        <v>13065</v>
      </c>
      <c r="S2095" s="4">
        <v>38</v>
      </c>
      <c r="T2095" s="4">
        <v>215</v>
      </c>
      <c r="U2095" s="5" t="s">
        <v>16849</v>
      </c>
      <c r="V2095" s="5" t="s">
        <v>16849</v>
      </c>
      <c r="W2095" s="5" t="s">
        <v>67</v>
      </c>
      <c r="X2095" s="5" t="s">
        <v>67</v>
      </c>
      <c r="Y2095" s="4">
        <v>78</v>
      </c>
      <c r="Z2095" s="4">
        <v>5</v>
      </c>
      <c r="AA2095" s="4">
        <v>50</v>
      </c>
      <c r="AB2095" s="4">
        <v>1</v>
      </c>
      <c r="AC2095" s="4">
        <v>12</v>
      </c>
      <c r="AD2095" s="4">
        <v>9</v>
      </c>
      <c r="AE2095" s="4">
        <v>70</v>
      </c>
      <c r="AF2095" s="4">
        <v>0</v>
      </c>
      <c r="AG2095" s="4">
        <v>6</v>
      </c>
      <c r="AH2095" s="4">
        <v>7</v>
      </c>
      <c r="AI2095" s="4">
        <v>55</v>
      </c>
      <c r="AJ2095" s="4">
        <v>3</v>
      </c>
      <c r="AK2095" s="4">
        <v>16</v>
      </c>
      <c r="AL2095" s="4">
        <v>5</v>
      </c>
      <c r="AM2095" s="4">
        <v>28</v>
      </c>
      <c r="AN2095" s="4">
        <v>0</v>
      </c>
      <c r="AO2095" s="4">
        <v>0</v>
      </c>
      <c r="AP2095" s="4">
        <v>3</v>
      </c>
      <c r="AQ2095" s="4">
        <v>21</v>
      </c>
      <c r="AR2095" s="3" t="s">
        <v>62</v>
      </c>
      <c r="AS2095" s="3" t="s">
        <v>62</v>
      </c>
      <c r="AT2095" s="3" t="s">
        <v>62</v>
      </c>
      <c r="AV2095" s="6" t="str">
        <f>HYPERLINK("http://mcgill.on.worldcat.org/oclc/1011218203","Catalog Record")</f>
        <v>Catalog Record</v>
      </c>
      <c r="AW2095" s="6" t="str">
        <f>HYPERLINK("http://www.worldcat.org/oclc/1011218203","WorldCat Record")</f>
        <v>WorldCat Record</v>
      </c>
      <c r="AX2095" s="3" t="s">
        <v>20721</v>
      </c>
      <c r="AY2095" s="3" t="s">
        <v>20722</v>
      </c>
      <c r="AZ2095" s="3" t="s">
        <v>20723</v>
      </c>
      <c r="BA2095" s="3" t="s">
        <v>20723</v>
      </c>
      <c r="BB2095" s="3" t="s">
        <v>20724</v>
      </c>
      <c r="BC2095" s="3" t="s">
        <v>102</v>
      </c>
      <c r="BD2095" s="3" t="s">
        <v>68</v>
      </c>
      <c r="BE2095" s="3" t="s">
        <v>20725</v>
      </c>
      <c r="BF2095" s="3" t="s">
        <v>20724</v>
      </c>
      <c r="BG2095" s="3" t="s">
        <v>20726</v>
      </c>
    </row>
    <row r="2096" spans="1:59" ht="101.5" x14ac:dyDescent="0.35">
      <c r="A2096" s="2" t="s">
        <v>89</v>
      </c>
      <c r="B2096" s="2" t="s">
        <v>12301</v>
      </c>
      <c r="C2096" s="2" t="s">
        <v>20715</v>
      </c>
      <c r="D2096" s="2" t="s">
        <v>20716</v>
      </c>
      <c r="E2096" s="2" t="s">
        <v>20717</v>
      </c>
      <c r="G2096" s="3" t="s">
        <v>62</v>
      </c>
      <c r="I2096" s="3" t="s">
        <v>61</v>
      </c>
      <c r="J2096" s="3" t="s">
        <v>61</v>
      </c>
      <c r="K2096" s="3" t="s">
        <v>63</v>
      </c>
      <c r="L2096" s="2" t="s">
        <v>20718</v>
      </c>
      <c r="M2096" s="2" t="s">
        <v>20719</v>
      </c>
      <c r="N2096" s="3" t="s">
        <v>2085</v>
      </c>
      <c r="O2096" s="2" t="s">
        <v>16034</v>
      </c>
      <c r="P2096" s="3" t="s">
        <v>64</v>
      </c>
      <c r="Q2096" s="2" t="s">
        <v>20720</v>
      </c>
      <c r="R2096" s="3" t="s">
        <v>13065</v>
      </c>
      <c r="S2096" s="4">
        <v>39</v>
      </c>
      <c r="T2096" s="4">
        <v>215</v>
      </c>
      <c r="U2096" s="5" t="s">
        <v>20727</v>
      </c>
      <c r="V2096" s="5" t="s">
        <v>16849</v>
      </c>
      <c r="W2096" s="5" t="s">
        <v>67</v>
      </c>
      <c r="X2096" s="5" t="s">
        <v>67</v>
      </c>
      <c r="Y2096" s="4">
        <v>78</v>
      </c>
      <c r="Z2096" s="4">
        <v>5</v>
      </c>
      <c r="AA2096" s="4">
        <v>50</v>
      </c>
      <c r="AB2096" s="4">
        <v>1</v>
      </c>
      <c r="AC2096" s="4">
        <v>12</v>
      </c>
      <c r="AD2096" s="4">
        <v>9</v>
      </c>
      <c r="AE2096" s="4">
        <v>70</v>
      </c>
      <c r="AF2096" s="4">
        <v>0</v>
      </c>
      <c r="AG2096" s="4">
        <v>6</v>
      </c>
      <c r="AH2096" s="4">
        <v>7</v>
      </c>
      <c r="AI2096" s="4">
        <v>55</v>
      </c>
      <c r="AJ2096" s="4">
        <v>3</v>
      </c>
      <c r="AK2096" s="4">
        <v>16</v>
      </c>
      <c r="AL2096" s="4">
        <v>5</v>
      </c>
      <c r="AM2096" s="4">
        <v>28</v>
      </c>
      <c r="AN2096" s="4">
        <v>0</v>
      </c>
      <c r="AO2096" s="4">
        <v>0</v>
      </c>
      <c r="AP2096" s="4">
        <v>3</v>
      </c>
      <c r="AQ2096" s="4">
        <v>21</v>
      </c>
      <c r="AR2096" s="3" t="s">
        <v>62</v>
      </c>
      <c r="AS2096" s="3" t="s">
        <v>62</v>
      </c>
      <c r="AT2096" s="3" t="s">
        <v>62</v>
      </c>
      <c r="AV2096" s="6" t="str">
        <f>HYPERLINK("http://mcgill.on.worldcat.org/oclc/1011218203","Catalog Record")</f>
        <v>Catalog Record</v>
      </c>
      <c r="AW2096" s="6" t="str">
        <f>HYPERLINK("http://www.worldcat.org/oclc/1011218203","WorldCat Record")</f>
        <v>WorldCat Record</v>
      </c>
      <c r="AX2096" s="3" t="s">
        <v>20721</v>
      </c>
      <c r="AY2096" s="3" t="s">
        <v>20722</v>
      </c>
      <c r="AZ2096" s="3" t="s">
        <v>20723</v>
      </c>
      <c r="BA2096" s="3" t="s">
        <v>20723</v>
      </c>
      <c r="BB2096" s="3" t="s">
        <v>20728</v>
      </c>
      <c r="BC2096" s="3" t="s">
        <v>102</v>
      </c>
      <c r="BD2096" s="3" t="s">
        <v>68</v>
      </c>
      <c r="BE2096" s="3" t="s">
        <v>20725</v>
      </c>
      <c r="BF2096" s="3" t="s">
        <v>20728</v>
      </c>
      <c r="BG2096" s="3" t="s">
        <v>20729</v>
      </c>
    </row>
    <row r="2097" spans="1:59" ht="101.5" x14ac:dyDescent="0.35">
      <c r="A2097" s="2" t="s">
        <v>89</v>
      </c>
      <c r="B2097" s="2" t="s">
        <v>12301</v>
      </c>
      <c r="C2097" s="2" t="s">
        <v>20715</v>
      </c>
      <c r="D2097" s="2" t="s">
        <v>20716</v>
      </c>
      <c r="E2097" s="2" t="s">
        <v>20717</v>
      </c>
      <c r="G2097" s="3" t="s">
        <v>62</v>
      </c>
      <c r="I2097" s="3" t="s">
        <v>61</v>
      </c>
      <c r="J2097" s="3" t="s">
        <v>61</v>
      </c>
      <c r="K2097" s="3" t="s">
        <v>63</v>
      </c>
      <c r="L2097" s="2" t="s">
        <v>20718</v>
      </c>
      <c r="M2097" s="2" t="s">
        <v>20719</v>
      </c>
      <c r="N2097" s="3" t="s">
        <v>2085</v>
      </c>
      <c r="O2097" s="2" t="s">
        <v>16034</v>
      </c>
      <c r="P2097" s="3" t="s">
        <v>64</v>
      </c>
      <c r="Q2097" s="2" t="s">
        <v>20720</v>
      </c>
      <c r="R2097" s="3" t="s">
        <v>13065</v>
      </c>
      <c r="S2097" s="4">
        <v>55</v>
      </c>
      <c r="T2097" s="4">
        <v>215</v>
      </c>
      <c r="U2097" s="5" t="s">
        <v>15954</v>
      </c>
      <c r="V2097" s="5" t="s">
        <v>16849</v>
      </c>
      <c r="W2097" s="5" t="s">
        <v>67</v>
      </c>
      <c r="X2097" s="5" t="s">
        <v>67</v>
      </c>
      <c r="Y2097" s="4">
        <v>78</v>
      </c>
      <c r="Z2097" s="4">
        <v>5</v>
      </c>
      <c r="AA2097" s="4">
        <v>50</v>
      </c>
      <c r="AB2097" s="4">
        <v>1</v>
      </c>
      <c r="AC2097" s="4">
        <v>12</v>
      </c>
      <c r="AD2097" s="4">
        <v>9</v>
      </c>
      <c r="AE2097" s="4">
        <v>70</v>
      </c>
      <c r="AF2097" s="4">
        <v>0</v>
      </c>
      <c r="AG2097" s="4">
        <v>6</v>
      </c>
      <c r="AH2097" s="4">
        <v>7</v>
      </c>
      <c r="AI2097" s="4">
        <v>55</v>
      </c>
      <c r="AJ2097" s="4">
        <v>3</v>
      </c>
      <c r="AK2097" s="4">
        <v>16</v>
      </c>
      <c r="AL2097" s="4">
        <v>5</v>
      </c>
      <c r="AM2097" s="4">
        <v>28</v>
      </c>
      <c r="AN2097" s="4">
        <v>0</v>
      </c>
      <c r="AO2097" s="4">
        <v>0</v>
      </c>
      <c r="AP2097" s="4">
        <v>3</v>
      </c>
      <c r="AQ2097" s="4">
        <v>21</v>
      </c>
      <c r="AR2097" s="3" t="s">
        <v>62</v>
      </c>
      <c r="AS2097" s="3" t="s">
        <v>62</v>
      </c>
      <c r="AT2097" s="3" t="s">
        <v>62</v>
      </c>
      <c r="AV2097" s="6" t="str">
        <f>HYPERLINK("http://mcgill.on.worldcat.org/oclc/1011218203","Catalog Record")</f>
        <v>Catalog Record</v>
      </c>
      <c r="AW2097" s="6" t="str">
        <f>HYPERLINK("http://www.worldcat.org/oclc/1011218203","WorldCat Record")</f>
        <v>WorldCat Record</v>
      </c>
      <c r="AX2097" s="3" t="s">
        <v>20721</v>
      </c>
      <c r="AY2097" s="3" t="s">
        <v>20722</v>
      </c>
      <c r="AZ2097" s="3" t="s">
        <v>20723</v>
      </c>
      <c r="BA2097" s="3" t="s">
        <v>20723</v>
      </c>
      <c r="BB2097" s="3" t="s">
        <v>20730</v>
      </c>
      <c r="BC2097" s="3" t="s">
        <v>102</v>
      </c>
      <c r="BD2097" s="3" t="s">
        <v>68</v>
      </c>
      <c r="BE2097" s="3" t="s">
        <v>20725</v>
      </c>
      <c r="BF2097" s="3" t="s">
        <v>20730</v>
      </c>
      <c r="BG2097" s="3" t="s">
        <v>20731</v>
      </c>
    </row>
    <row r="2098" spans="1:59" ht="101.5" x14ac:dyDescent="0.35">
      <c r="A2098" s="2" t="s">
        <v>89</v>
      </c>
      <c r="B2098" s="2" t="s">
        <v>12301</v>
      </c>
      <c r="C2098" s="2" t="s">
        <v>20715</v>
      </c>
      <c r="D2098" s="2" t="s">
        <v>20716</v>
      </c>
      <c r="E2098" s="2" t="s">
        <v>20717</v>
      </c>
      <c r="G2098" s="3" t="s">
        <v>62</v>
      </c>
      <c r="I2098" s="3" t="s">
        <v>61</v>
      </c>
      <c r="J2098" s="3" t="s">
        <v>61</v>
      </c>
      <c r="K2098" s="3" t="s">
        <v>63</v>
      </c>
      <c r="L2098" s="2" t="s">
        <v>20718</v>
      </c>
      <c r="M2098" s="2" t="s">
        <v>20719</v>
      </c>
      <c r="N2098" s="3" t="s">
        <v>2085</v>
      </c>
      <c r="O2098" s="2" t="s">
        <v>16034</v>
      </c>
      <c r="P2098" s="3" t="s">
        <v>64</v>
      </c>
      <c r="Q2098" s="2" t="s">
        <v>20720</v>
      </c>
      <c r="R2098" s="3" t="s">
        <v>13065</v>
      </c>
      <c r="S2098" s="4">
        <v>51</v>
      </c>
      <c r="T2098" s="4">
        <v>215</v>
      </c>
      <c r="U2098" s="5" t="s">
        <v>12369</v>
      </c>
      <c r="V2098" s="5" t="s">
        <v>16849</v>
      </c>
      <c r="W2098" s="5" t="s">
        <v>67</v>
      </c>
      <c r="X2098" s="5" t="s">
        <v>67</v>
      </c>
      <c r="Y2098" s="4">
        <v>78</v>
      </c>
      <c r="Z2098" s="4">
        <v>5</v>
      </c>
      <c r="AA2098" s="4">
        <v>50</v>
      </c>
      <c r="AB2098" s="4">
        <v>1</v>
      </c>
      <c r="AC2098" s="4">
        <v>12</v>
      </c>
      <c r="AD2098" s="4">
        <v>9</v>
      </c>
      <c r="AE2098" s="4">
        <v>70</v>
      </c>
      <c r="AF2098" s="4">
        <v>0</v>
      </c>
      <c r="AG2098" s="4">
        <v>6</v>
      </c>
      <c r="AH2098" s="4">
        <v>7</v>
      </c>
      <c r="AI2098" s="4">
        <v>55</v>
      </c>
      <c r="AJ2098" s="4">
        <v>3</v>
      </c>
      <c r="AK2098" s="4">
        <v>16</v>
      </c>
      <c r="AL2098" s="4">
        <v>5</v>
      </c>
      <c r="AM2098" s="4">
        <v>28</v>
      </c>
      <c r="AN2098" s="4">
        <v>0</v>
      </c>
      <c r="AO2098" s="4">
        <v>0</v>
      </c>
      <c r="AP2098" s="4">
        <v>3</v>
      </c>
      <c r="AQ2098" s="4">
        <v>21</v>
      </c>
      <c r="AR2098" s="3" t="s">
        <v>62</v>
      </c>
      <c r="AS2098" s="3" t="s">
        <v>62</v>
      </c>
      <c r="AT2098" s="3" t="s">
        <v>62</v>
      </c>
      <c r="AV2098" s="6" t="str">
        <f>HYPERLINK("http://mcgill.on.worldcat.org/oclc/1011218203","Catalog Record")</f>
        <v>Catalog Record</v>
      </c>
      <c r="AW2098" s="6" t="str">
        <f>HYPERLINK("http://www.worldcat.org/oclc/1011218203","WorldCat Record")</f>
        <v>WorldCat Record</v>
      </c>
      <c r="AX2098" s="3" t="s">
        <v>20721</v>
      </c>
      <c r="AY2098" s="3" t="s">
        <v>20722</v>
      </c>
      <c r="AZ2098" s="3" t="s">
        <v>20723</v>
      </c>
      <c r="BA2098" s="3" t="s">
        <v>20723</v>
      </c>
      <c r="BB2098" s="3" t="s">
        <v>20732</v>
      </c>
      <c r="BC2098" s="3" t="s">
        <v>102</v>
      </c>
      <c r="BD2098" s="3" t="s">
        <v>68</v>
      </c>
      <c r="BE2098" s="3" t="s">
        <v>20725</v>
      </c>
      <c r="BF2098" s="3" t="s">
        <v>20732</v>
      </c>
      <c r="BG2098" s="3" t="s">
        <v>20733</v>
      </c>
    </row>
    <row r="2099" spans="1:59" ht="101.5" x14ac:dyDescent="0.35">
      <c r="A2099" s="2" t="s">
        <v>89</v>
      </c>
      <c r="B2099" s="2" t="s">
        <v>12301</v>
      </c>
      <c r="C2099" s="2" t="s">
        <v>20715</v>
      </c>
      <c r="D2099" s="2" t="s">
        <v>20716</v>
      </c>
      <c r="E2099" s="2" t="s">
        <v>20717</v>
      </c>
      <c r="G2099" s="3" t="s">
        <v>62</v>
      </c>
      <c r="I2099" s="3" t="s">
        <v>61</v>
      </c>
      <c r="J2099" s="3" t="s">
        <v>61</v>
      </c>
      <c r="K2099" s="3" t="s">
        <v>63</v>
      </c>
      <c r="L2099" s="2" t="s">
        <v>20718</v>
      </c>
      <c r="M2099" s="2" t="s">
        <v>20719</v>
      </c>
      <c r="N2099" s="3" t="s">
        <v>2085</v>
      </c>
      <c r="O2099" s="2" t="s">
        <v>16034</v>
      </c>
      <c r="P2099" s="3" t="s">
        <v>64</v>
      </c>
      <c r="Q2099" s="2" t="s">
        <v>20720</v>
      </c>
      <c r="R2099" s="3" t="s">
        <v>13065</v>
      </c>
      <c r="S2099" s="4">
        <v>32</v>
      </c>
      <c r="T2099" s="4">
        <v>215</v>
      </c>
      <c r="U2099" s="5" t="s">
        <v>12369</v>
      </c>
      <c r="V2099" s="5" t="s">
        <v>16849</v>
      </c>
      <c r="W2099" s="5" t="s">
        <v>67</v>
      </c>
      <c r="X2099" s="5" t="s">
        <v>67</v>
      </c>
      <c r="Y2099" s="4">
        <v>78</v>
      </c>
      <c r="Z2099" s="4">
        <v>5</v>
      </c>
      <c r="AA2099" s="4">
        <v>50</v>
      </c>
      <c r="AB2099" s="4">
        <v>1</v>
      </c>
      <c r="AC2099" s="4">
        <v>12</v>
      </c>
      <c r="AD2099" s="4">
        <v>9</v>
      </c>
      <c r="AE2099" s="4">
        <v>70</v>
      </c>
      <c r="AF2099" s="4">
        <v>0</v>
      </c>
      <c r="AG2099" s="4">
        <v>6</v>
      </c>
      <c r="AH2099" s="4">
        <v>7</v>
      </c>
      <c r="AI2099" s="4">
        <v>55</v>
      </c>
      <c r="AJ2099" s="4">
        <v>3</v>
      </c>
      <c r="AK2099" s="4">
        <v>16</v>
      </c>
      <c r="AL2099" s="4">
        <v>5</v>
      </c>
      <c r="AM2099" s="4">
        <v>28</v>
      </c>
      <c r="AN2099" s="4">
        <v>0</v>
      </c>
      <c r="AO2099" s="4">
        <v>0</v>
      </c>
      <c r="AP2099" s="4">
        <v>3</v>
      </c>
      <c r="AQ2099" s="4">
        <v>21</v>
      </c>
      <c r="AR2099" s="3" t="s">
        <v>62</v>
      </c>
      <c r="AS2099" s="3" t="s">
        <v>62</v>
      </c>
      <c r="AT2099" s="3" t="s">
        <v>62</v>
      </c>
      <c r="AV2099" s="6" t="str">
        <f>HYPERLINK("http://mcgill.on.worldcat.org/oclc/1011218203","Catalog Record")</f>
        <v>Catalog Record</v>
      </c>
      <c r="AW2099" s="6" t="str">
        <f>HYPERLINK("http://www.worldcat.org/oclc/1011218203","WorldCat Record")</f>
        <v>WorldCat Record</v>
      </c>
      <c r="AX2099" s="3" t="s">
        <v>20721</v>
      </c>
      <c r="AY2099" s="3" t="s">
        <v>20722</v>
      </c>
      <c r="AZ2099" s="3" t="s">
        <v>20723</v>
      </c>
      <c r="BA2099" s="3" t="s">
        <v>20723</v>
      </c>
      <c r="BB2099" s="3" t="s">
        <v>20734</v>
      </c>
      <c r="BC2099" s="3" t="s">
        <v>102</v>
      </c>
      <c r="BD2099" s="3" t="s">
        <v>68</v>
      </c>
      <c r="BE2099" s="3" t="s">
        <v>20725</v>
      </c>
      <c r="BF2099" s="3" t="s">
        <v>20734</v>
      </c>
      <c r="BG2099" s="3" t="s">
        <v>20735</v>
      </c>
    </row>
    <row r="2100" spans="1:59" ht="58" x14ac:dyDescent="0.35">
      <c r="A2100" s="2" t="s">
        <v>89</v>
      </c>
      <c r="B2100" s="2" t="s">
        <v>90</v>
      </c>
      <c r="C2100" s="2" t="s">
        <v>20736</v>
      </c>
      <c r="D2100" s="2" t="s">
        <v>20737</v>
      </c>
      <c r="E2100" s="2" t="s">
        <v>20738</v>
      </c>
      <c r="G2100" s="3" t="s">
        <v>62</v>
      </c>
      <c r="I2100" s="3" t="s">
        <v>61</v>
      </c>
      <c r="J2100" s="3" t="s">
        <v>61</v>
      </c>
      <c r="K2100" s="3" t="s">
        <v>63</v>
      </c>
      <c r="L2100" s="2" t="s">
        <v>20739</v>
      </c>
      <c r="M2100" s="2" t="s">
        <v>20740</v>
      </c>
      <c r="N2100" s="3" t="s">
        <v>625</v>
      </c>
      <c r="P2100" s="3" t="s">
        <v>64</v>
      </c>
      <c r="R2100" s="3" t="s">
        <v>13065</v>
      </c>
      <c r="S2100" s="4">
        <v>35</v>
      </c>
      <c r="T2100" s="4">
        <v>182</v>
      </c>
      <c r="U2100" s="5" t="s">
        <v>3427</v>
      </c>
      <c r="V2100" s="5" t="s">
        <v>3427</v>
      </c>
      <c r="W2100" s="5" t="s">
        <v>67</v>
      </c>
      <c r="X2100" s="5" t="s">
        <v>67</v>
      </c>
      <c r="Y2100" s="4">
        <v>119</v>
      </c>
      <c r="Z2100" s="4">
        <v>15</v>
      </c>
      <c r="AA2100" s="4">
        <v>41</v>
      </c>
      <c r="AB2100" s="4">
        <v>2</v>
      </c>
      <c r="AC2100" s="4">
        <v>8</v>
      </c>
      <c r="AD2100" s="4">
        <v>23</v>
      </c>
      <c r="AE2100" s="4">
        <v>65</v>
      </c>
      <c r="AF2100" s="4">
        <v>0</v>
      </c>
      <c r="AG2100" s="4">
        <v>4</v>
      </c>
      <c r="AH2100" s="4">
        <v>17</v>
      </c>
      <c r="AI2100" s="4">
        <v>51</v>
      </c>
      <c r="AJ2100" s="4">
        <v>7</v>
      </c>
      <c r="AK2100" s="4">
        <v>17</v>
      </c>
      <c r="AL2100" s="4">
        <v>5</v>
      </c>
      <c r="AM2100" s="4">
        <v>24</v>
      </c>
      <c r="AN2100" s="4">
        <v>0</v>
      </c>
      <c r="AO2100" s="4">
        <v>0</v>
      </c>
      <c r="AP2100" s="4">
        <v>8</v>
      </c>
      <c r="AQ2100" s="4">
        <v>22</v>
      </c>
      <c r="AR2100" s="3" t="s">
        <v>62</v>
      </c>
      <c r="AS2100" s="3" t="s">
        <v>62</v>
      </c>
      <c r="AT2100" s="3" t="s">
        <v>61</v>
      </c>
      <c r="AU2100" s="6" t="str">
        <f>HYPERLINK("http://catalog.hathitrust.org/Record/004215393","HathiTrust Record")</f>
        <v>HathiTrust Record</v>
      </c>
      <c r="AV2100" s="6" t="str">
        <f>HYPERLINK("http://mcgill.on.worldcat.org/oclc/48449487","Catalog Record")</f>
        <v>Catalog Record</v>
      </c>
      <c r="AW2100" s="6" t="str">
        <f>HYPERLINK("http://www.worldcat.org/oclc/48449487","WorldCat Record")</f>
        <v>WorldCat Record</v>
      </c>
      <c r="AX2100" s="3" t="s">
        <v>20741</v>
      </c>
      <c r="AY2100" s="3" t="s">
        <v>20742</v>
      </c>
      <c r="AZ2100" s="3" t="s">
        <v>20743</v>
      </c>
      <c r="BA2100" s="3" t="s">
        <v>20743</v>
      </c>
      <c r="BB2100" s="3" t="s">
        <v>20744</v>
      </c>
      <c r="BC2100" s="3" t="s">
        <v>102</v>
      </c>
      <c r="BD2100" s="3" t="s">
        <v>68</v>
      </c>
      <c r="BE2100" s="3" t="s">
        <v>20745</v>
      </c>
      <c r="BF2100" s="3" t="s">
        <v>20744</v>
      </c>
      <c r="BG2100" s="3" t="s">
        <v>20746</v>
      </c>
    </row>
    <row r="2101" spans="1:59" ht="58" x14ac:dyDescent="0.35">
      <c r="A2101" s="2" t="s">
        <v>89</v>
      </c>
      <c r="B2101" s="2" t="s">
        <v>90</v>
      </c>
      <c r="C2101" s="2" t="s">
        <v>20747</v>
      </c>
      <c r="D2101" s="2" t="s">
        <v>20748</v>
      </c>
      <c r="E2101" s="2" t="s">
        <v>20749</v>
      </c>
      <c r="G2101" s="3" t="s">
        <v>62</v>
      </c>
      <c r="I2101" s="3" t="s">
        <v>62</v>
      </c>
      <c r="J2101" s="3" t="s">
        <v>62</v>
      </c>
      <c r="K2101" s="3" t="s">
        <v>63</v>
      </c>
      <c r="L2101" s="2" t="s">
        <v>20750</v>
      </c>
      <c r="M2101" s="2" t="s">
        <v>20751</v>
      </c>
      <c r="N2101" s="3" t="s">
        <v>880</v>
      </c>
      <c r="P2101" s="3" t="s">
        <v>64</v>
      </c>
      <c r="Q2101" s="2" t="s">
        <v>20752</v>
      </c>
      <c r="R2101" s="3" t="s">
        <v>13065</v>
      </c>
      <c r="S2101" s="4">
        <v>0</v>
      </c>
      <c r="T2101" s="4">
        <v>0</v>
      </c>
      <c r="W2101" s="5" t="s">
        <v>67</v>
      </c>
      <c r="X2101" s="5" t="s">
        <v>67</v>
      </c>
      <c r="Y2101" s="4">
        <v>225</v>
      </c>
      <c r="Z2101" s="4">
        <v>28</v>
      </c>
      <c r="AA2101" s="4">
        <v>110</v>
      </c>
      <c r="AB2101" s="4">
        <v>2</v>
      </c>
      <c r="AC2101" s="4">
        <v>18</v>
      </c>
      <c r="AD2101" s="4">
        <v>91</v>
      </c>
      <c r="AE2101" s="4">
        <v>143</v>
      </c>
      <c r="AF2101" s="4">
        <v>1</v>
      </c>
      <c r="AG2101" s="4">
        <v>8</v>
      </c>
      <c r="AH2101" s="4">
        <v>74</v>
      </c>
      <c r="AI2101" s="4">
        <v>100</v>
      </c>
      <c r="AJ2101" s="4">
        <v>20</v>
      </c>
      <c r="AK2101" s="4">
        <v>26</v>
      </c>
      <c r="AL2101" s="4">
        <v>45</v>
      </c>
      <c r="AM2101" s="4">
        <v>55</v>
      </c>
      <c r="AN2101" s="4">
        <v>0</v>
      </c>
      <c r="AO2101" s="4">
        <v>0</v>
      </c>
      <c r="AP2101" s="4">
        <v>22</v>
      </c>
      <c r="AQ2101" s="4">
        <v>50</v>
      </c>
      <c r="AR2101" s="3" t="s">
        <v>62</v>
      </c>
      <c r="AS2101" s="3" t="s">
        <v>62</v>
      </c>
      <c r="AT2101" s="3" t="s">
        <v>62</v>
      </c>
      <c r="AV2101" s="6" t="str">
        <f>HYPERLINK("http://mcgill.on.worldcat.org/oclc/461270987","Catalog Record")</f>
        <v>Catalog Record</v>
      </c>
      <c r="AW2101" s="6" t="str">
        <f>HYPERLINK("http://www.worldcat.org/oclc/461270987","WorldCat Record")</f>
        <v>WorldCat Record</v>
      </c>
      <c r="AX2101" s="3" t="s">
        <v>20753</v>
      </c>
      <c r="AY2101" s="3" t="s">
        <v>20754</v>
      </c>
      <c r="AZ2101" s="3" t="s">
        <v>20755</v>
      </c>
      <c r="BA2101" s="3" t="s">
        <v>20755</v>
      </c>
      <c r="BB2101" s="3" t="s">
        <v>20756</v>
      </c>
      <c r="BC2101" s="3" t="s">
        <v>102</v>
      </c>
      <c r="BD2101" s="3" t="s">
        <v>68</v>
      </c>
      <c r="BE2101" s="3" t="s">
        <v>20757</v>
      </c>
      <c r="BF2101" s="3" t="s">
        <v>20756</v>
      </c>
      <c r="BG2101" s="3" t="s">
        <v>20758</v>
      </c>
    </row>
    <row r="2102" spans="1:59" ht="58" x14ac:dyDescent="0.35">
      <c r="A2102" s="2" t="s">
        <v>89</v>
      </c>
      <c r="B2102" s="2" t="s">
        <v>90</v>
      </c>
      <c r="C2102" s="2" t="s">
        <v>20759</v>
      </c>
      <c r="D2102" s="2" t="s">
        <v>20760</v>
      </c>
      <c r="E2102" s="2" t="s">
        <v>20761</v>
      </c>
      <c r="G2102" s="3" t="s">
        <v>62</v>
      </c>
      <c r="I2102" s="3" t="s">
        <v>62</v>
      </c>
      <c r="J2102" s="3" t="s">
        <v>62</v>
      </c>
      <c r="K2102" s="3" t="s">
        <v>63</v>
      </c>
      <c r="L2102" s="2" t="s">
        <v>20762</v>
      </c>
      <c r="M2102" s="2" t="s">
        <v>20763</v>
      </c>
      <c r="N2102" s="3" t="s">
        <v>355</v>
      </c>
      <c r="P2102" s="3" t="s">
        <v>64</v>
      </c>
      <c r="Q2102" s="2" t="s">
        <v>20764</v>
      </c>
      <c r="R2102" s="3" t="s">
        <v>13065</v>
      </c>
      <c r="S2102" s="4">
        <v>16</v>
      </c>
      <c r="T2102" s="4">
        <v>16</v>
      </c>
      <c r="U2102" s="5" t="s">
        <v>9684</v>
      </c>
      <c r="V2102" s="5" t="s">
        <v>9684</v>
      </c>
      <c r="W2102" s="5" t="s">
        <v>67</v>
      </c>
      <c r="X2102" s="5" t="s">
        <v>67</v>
      </c>
      <c r="Y2102" s="4">
        <v>16</v>
      </c>
      <c r="Z2102" s="4">
        <v>10</v>
      </c>
      <c r="AA2102" s="4">
        <v>80</v>
      </c>
      <c r="AB2102" s="4">
        <v>9</v>
      </c>
      <c r="AC2102" s="4">
        <v>16</v>
      </c>
      <c r="AD2102" s="4">
        <v>5</v>
      </c>
      <c r="AE2102" s="4">
        <v>137</v>
      </c>
      <c r="AF2102" s="4">
        <v>5</v>
      </c>
      <c r="AG2102" s="4">
        <v>7</v>
      </c>
      <c r="AH2102" s="4">
        <v>1</v>
      </c>
      <c r="AI2102" s="4">
        <v>104</v>
      </c>
      <c r="AJ2102" s="4">
        <v>3</v>
      </c>
      <c r="AK2102" s="4">
        <v>22</v>
      </c>
      <c r="AL2102" s="4">
        <v>0</v>
      </c>
      <c r="AM2102" s="4">
        <v>56</v>
      </c>
      <c r="AN2102" s="4">
        <v>0</v>
      </c>
      <c r="AO2102" s="4">
        <v>5</v>
      </c>
      <c r="AP2102" s="4">
        <v>4</v>
      </c>
      <c r="AQ2102" s="4">
        <v>40</v>
      </c>
      <c r="AR2102" s="3" t="s">
        <v>62</v>
      </c>
      <c r="AS2102" s="3" t="s">
        <v>62</v>
      </c>
      <c r="AT2102" s="3" t="s">
        <v>61</v>
      </c>
      <c r="AU2102" s="6" t="str">
        <f>HYPERLINK("http://catalog.hathitrust.org/Record/000410459","HathiTrust Record")</f>
        <v>HathiTrust Record</v>
      </c>
      <c r="AV2102" s="6" t="str">
        <f>HYPERLINK("http://mcgill.on.worldcat.org/oclc/300448045","Catalog Record")</f>
        <v>Catalog Record</v>
      </c>
      <c r="AW2102" s="6" t="str">
        <f>HYPERLINK("http://www.worldcat.org/oclc/300448045","WorldCat Record")</f>
        <v>WorldCat Record</v>
      </c>
      <c r="AX2102" s="3" t="s">
        <v>20765</v>
      </c>
      <c r="AY2102" s="3" t="s">
        <v>20766</v>
      </c>
      <c r="AZ2102" s="3" t="s">
        <v>20767</v>
      </c>
      <c r="BA2102" s="3" t="s">
        <v>20767</v>
      </c>
      <c r="BB2102" s="3" t="s">
        <v>20768</v>
      </c>
      <c r="BC2102" s="3" t="s">
        <v>102</v>
      </c>
      <c r="BD2102" s="3" t="s">
        <v>68</v>
      </c>
      <c r="BE2102" s="3" t="s">
        <v>20769</v>
      </c>
      <c r="BF2102" s="3" t="s">
        <v>20768</v>
      </c>
      <c r="BG2102" s="3" t="s">
        <v>20770</v>
      </c>
    </row>
    <row r="2103" spans="1:59" ht="58" x14ac:dyDescent="0.35">
      <c r="A2103" s="2" t="s">
        <v>89</v>
      </c>
      <c r="B2103" s="2" t="s">
        <v>90</v>
      </c>
      <c r="C2103" s="2" t="s">
        <v>20771</v>
      </c>
      <c r="D2103" s="2" t="s">
        <v>20772</v>
      </c>
      <c r="E2103" s="2" t="s">
        <v>20773</v>
      </c>
      <c r="G2103" s="3" t="s">
        <v>62</v>
      </c>
      <c r="I2103" s="3" t="s">
        <v>62</v>
      </c>
      <c r="J2103" s="3" t="s">
        <v>61</v>
      </c>
      <c r="K2103" s="3" t="s">
        <v>63</v>
      </c>
      <c r="L2103" s="2" t="s">
        <v>20774</v>
      </c>
      <c r="M2103" s="2" t="s">
        <v>20775</v>
      </c>
      <c r="N2103" s="3" t="s">
        <v>1195</v>
      </c>
      <c r="P2103" s="3" t="s">
        <v>64</v>
      </c>
      <c r="Q2103" s="2" t="s">
        <v>20776</v>
      </c>
      <c r="R2103" s="3" t="s">
        <v>13065</v>
      </c>
      <c r="S2103" s="4">
        <v>10</v>
      </c>
      <c r="T2103" s="4">
        <v>10</v>
      </c>
      <c r="U2103" s="5" t="s">
        <v>11785</v>
      </c>
      <c r="V2103" s="5" t="s">
        <v>11785</v>
      </c>
      <c r="W2103" s="5" t="s">
        <v>67</v>
      </c>
      <c r="X2103" s="5" t="s">
        <v>67</v>
      </c>
      <c r="Y2103" s="4">
        <v>80</v>
      </c>
      <c r="Z2103" s="4">
        <v>5</v>
      </c>
      <c r="AA2103" s="4">
        <v>46</v>
      </c>
      <c r="AB2103" s="4">
        <v>1</v>
      </c>
      <c r="AC2103" s="4">
        <v>15</v>
      </c>
      <c r="AD2103" s="4">
        <v>17</v>
      </c>
      <c r="AE2103" s="4">
        <v>125</v>
      </c>
      <c r="AF2103" s="4">
        <v>0</v>
      </c>
      <c r="AG2103" s="4">
        <v>7</v>
      </c>
      <c r="AH2103" s="4">
        <v>14</v>
      </c>
      <c r="AI2103" s="4">
        <v>103</v>
      </c>
      <c r="AJ2103" s="4">
        <v>2</v>
      </c>
      <c r="AK2103" s="4">
        <v>20</v>
      </c>
      <c r="AL2103" s="4">
        <v>8</v>
      </c>
      <c r="AM2103" s="4">
        <v>53</v>
      </c>
      <c r="AN2103" s="4">
        <v>0</v>
      </c>
      <c r="AO2103" s="4">
        <v>0</v>
      </c>
      <c r="AP2103" s="4">
        <v>3</v>
      </c>
      <c r="AQ2103" s="4">
        <v>29</v>
      </c>
      <c r="AR2103" s="3" t="s">
        <v>62</v>
      </c>
      <c r="AS2103" s="3" t="s">
        <v>62</v>
      </c>
      <c r="AT2103" s="3" t="s">
        <v>61</v>
      </c>
      <c r="AU2103" s="6" t="str">
        <f>HYPERLINK("http://catalog.hathitrust.org/Record/008326406","HathiTrust Record")</f>
        <v>HathiTrust Record</v>
      </c>
      <c r="AV2103" s="6" t="str">
        <f>HYPERLINK("http://mcgill.on.worldcat.org/oclc/70232417","Catalog Record")</f>
        <v>Catalog Record</v>
      </c>
      <c r="AW2103" s="6" t="str">
        <f>HYPERLINK("http://www.worldcat.org/oclc/70232417","WorldCat Record")</f>
        <v>WorldCat Record</v>
      </c>
      <c r="AX2103" s="3" t="s">
        <v>20777</v>
      </c>
      <c r="AY2103" s="3" t="s">
        <v>20778</v>
      </c>
      <c r="AZ2103" s="3" t="s">
        <v>20779</v>
      </c>
      <c r="BA2103" s="3" t="s">
        <v>20779</v>
      </c>
      <c r="BB2103" s="3" t="s">
        <v>20780</v>
      </c>
      <c r="BC2103" s="3" t="s">
        <v>102</v>
      </c>
      <c r="BD2103" s="3" t="s">
        <v>68</v>
      </c>
      <c r="BE2103" s="3" t="s">
        <v>20781</v>
      </c>
      <c r="BF2103" s="3" t="s">
        <v>20780</v>
      </c>
      <c r="BG2103" s="3" t="s">
        <v>20782</v>
      </c>
    </row>
    <row r="2104" spans="1:59" ht="58" x14ac:dyDescent="0.35">
      <c r="A2104" s="2" t="s">
        <v>89</v>
      </c>
      <c r="B2104" s="2" t="s">
        <v>90</v>
      </c>
      <c r="C2104" s="2" t="s">
        <v>20783</v>
      </c>
      <c r="D2104" s="2" t="s">
        <v>20784</v>
      </c>
      <c r="E2104" s="2" t="s">
        <v>20785</v>
      </c>
      <c r="G2104" s="3" t="s">
        <v>61</v>
      </c>
      <c r="I2104" s="3" t="s">
        <v>62</v>
      </c>
      <c r="J2104" s="3" t="s">
        <v>62</v>
      </c>
      <c r="K2104" s="3" t="s">
        <v>63</v>
      </c>
      <c r="L2104" s="2" t="s">
        <v>20786</v>
      </c>
      <c r="M2104" s="2" t="s">
        <v>20787</v>
      </c>
      <c r="N2104" s="3" t="s">
        <v>20788</v>
      </c>
      <c r="P2104" s="3" t="s">
        <v>64</v>
      </c>
      <c r="Q2104" s="2" t="s">
        <v>20789</v>
      </c>
      <c r="R2104" s="3" t="s">
        <v>13065</v>
      </c>
      <c r="S2104" s="4">
        <v>5</v>
      </c>
      <c r="T2104" s="4">
        <v>5</v>
      </c>
      <c r="U2104" s="5" t="s">
        <v>19689</v>
      </c>
      <c r="V2104" s="5" t="s">
        <v>19689</v>
      </c>
      <c r="W2104" s="5" t="s">
        <v>67</v>
      </c>
      <c r="X2104" s="5" t="s">
        <v>67</v>
      </c>
      <c r="Y2104" s="4">
        <v>331</v>
      </c>
      <c r="Z2104" s="4">
        <v>14</v>
      </c>
      <c r="AA2104" s="4">
        <v>33</v>
      </c>
      <c r="AB2104" s="4">
        <v>2</v>
      </c>
      <c r="AC2104" s="4">
        <v>2</v>
      </c>
      <c r="AD2104" s="4">
        <v>80</v>
      </c>
      <c r="AE2104" s="4">
        <v>112</v>
      </c>
      <c r="AF2104" s="4">
        <v>1</v>
      </c>
      <c r="AG2104" s="4">
        <v>1</v>
      </c>
      <c r="AH2104" s="4">
        <v>71</v>
      </c>
      <c r="AI2104" s="4">
        <v>93</v>
      </c>
      <c r="AJ2104" s="4">
        <v>10</v>
      </c>
      <c r="AK2104" s="4">
        <v>19</v>
      </c>
      <c r="AL2104" s="4">
        <v>42</v>
      </c>
      <c r="AM2104" s="4">
        <v>51</v>
      </c>
      <c r="AN2104" s="4">
        <v>0</v>
      </c>
      <c r="AO2104" s="4">
        <v>0</v>
      </c>
      <c r="AP2104" s="4">
        <v>11</v>
      </c>
      <c r="AQ2104" s="4">
        <v>25</v>
      </c>
      <c r="AR2104" s="3" t="s">
        <v>62</v>
      </c>
      <c r="AS2104" s="3" t="s">
        <v>62</v>
      </c>
      <c r="AT2104" s="3" t="s">
        <v>61</v>
      </c>
      <c r="AU2104" s="6" t="str">
        <f>HYPERLINK("http://catalog.hathitrust.org/Record/000587902","HathiTrust Record")</f>
        <v>HathiTrust Record</v>
      </c>
      <c r="AV2104" s="6" t="str">
        <f>HYPERLINK("http://mcgill.on.worldcat.org/oclc/2659317","Catalog Record")</f>
        <v>Catalog Record</v>
      </c>
      <c r="AW2104" s="6" t="str">
        <f>HYPERLINK("http://www.worldcat.org/oclc/2659317","WorldCat Record")</f>
        <v>WorldCat Record</v>
      </c>
      <c r="AX2104" s="3" t="s">
        <v>20790</v>
      </c>
      <c r="AY2104" s="3" t="s">
        <v>20791</v>
      </c>
      <c r="AZ2104" s="3" t="s">
        <v>20792</v>
      </c>
      <c r="BA2104" s="3" t="s">
        <v>20792</v>
      </c>
      <c r="BB2104" s="3" t="s">
        <v>20793</v>
      </c>
      <c r="BC2104" s="3" t="s">
        <v>102</v>
      </c>
      <c r="BD2104" s="3" t="s">
        <v>231</v>
      </c>
      <c r="BE2104" s="3" t="s">
        <v>20794</v>
      </c>
      <c r="BF2104" s="3" t="s">
        <v>20793</v>
      </c>
      <c r="BG2104" s="3" t="s">
        <v>20795</v>
      </c>
    </row>
    <row r="2105" spans="1:59" ht="58" x14ac:dyDescent="0.35">
      <c r="A2105" s="2" t="s">
        <v>89</v>
      </c>
      <c r="B2105" s="2" t="s">
        <v>90</v>
      </c>
      <c r="C2105" s="2" t="s">
        <v>20796</v>
      </c>
      <c r="D2105" s="2" t="s">
        <v>20797</v>
      </c>
      <c r="E2105" s="2" t="s">
        <v>20798</v>
      </c>
      <c r="G2105" s="3" t="s">
        <v>62</v>
      </c>
      <c r="I2105" s="3" t="s">
        <v>62</v>
      </c>
      <c r="J2105" s="3" t="s">
        <v>62</v>
      </c>
      <c r="K2105" s="3" t="s">
        <v>916</v>
      </c>
      <c r="L2105" s="2" t="s">
        <v>20786</v>
      </c>
      <c r="M2105" s="2" t="s">
        <v>20799</v>
      </c>
      <c r="N2105" s="3" t="s">
        <v>239</v>
      </c>
      <c r="P2105" s="3" t="s">
        <v>64</v>
      </c>
      <c r="R2105" s="3" t="s">
        <v>13065</v>
      </c>
      <c r="S2105" s="4">
        <v>3</v>
      </c>
      <c r="T2105" s="4">
        <v>3</v>
      </c>
      <c r="U2105" s="5" t="s">
        <v>1252</v>
      </c>
      <c r="V2105" s="5" t="s">
        <v>1252</v>
      </c>
      <c r="W2105" s="5" t="s">
        <v>67</v>
      </c>
      <c r="X2105" s="5" t="s">
        <v>67</v>
      </c>
      <c r="Y2105" s="4">
        <v>430</v>
      </c>
      <c r="Z2105" s="4">
        <v>16</v>
      </c>
      <c r="AA2105" s="4">
        <v>24</v>
      </c>
      <c r="AB2105" s="4">
        <v>1</v>
      </c>
      <c r="AC2105" s="4">
        <v>3</v>
      </c>
      <c r="AD2105" s="4">
        <v>96</v>
      </c>
      <c r="AE2105" s="4">
        <v>107</v>
      </c>
      <c r="AF2105" s="4">
        <v>0</v>
      </c>
      <c r="AG2105" s="4">
        <v>2</v>
      </c>
      <c r="AH2105" s="4">
        <v>84</v>
      </c>
      <c r="AI2105" s="4">
        <v>92</v>
      </c>
      <c r="AJ2105" s="4">
        <v>11</v>
      </c>
      <c r="AK2105" s="4">
        <v>16</v>
      </c>
      <c r="AL2105" s="4">
        <v>49</v>
      </c>
      <c r="AM2105" s="4">
        <v>54</v>
      </c>
      <c r="AN2105" s="4">
        <v>0</v>
      </c>
      <c r="AO2105" s="4">
        <v>0</v>
      </c>
      <c r="AP2105" s="4">
        <v>15</v>
      </c>
      <c r="AQ2105" s="4">
        <v>20</v>
      </c>
      <c r="AR2105" s="3" t="s">
        <v>62</v>
      </c>
      <c r="AS2105" s="3" t="s">
        <v>61</v>
      </c>
      <c r="AT2105" s="3" t="s">
        <v>62</v>
      </c>
      <c r="AU2105" s="6" t="str">
        <f>HYPERLINK("http://catalog.hathitrust.org/Record/000466251","HathiTrust Record")</f>
        <v>HathiTrust Record</v>
      </c>
      <c r="AV2105" s="6" t="str">
        <f>HYPERLINK("http://mcgill.on.worldcat.org/oclc/2219815","Catalog Record")</f>
        <v>Catalog Record</v>
      </c>
      <c r="AW2105" s="6" t="str">
        <f>HYPERLINK("http://www.worldcat.org/oclc/2219815","WorldCat Record")</f>
        <v>WorldCat Record</v>
      </c>
      <c r="AX2105" s="3" t="s">
        <v>20800</v>
      </c>
      <c r="AY2105" s="3" t="s">
        <v>20801</v>
      </c>
      <c r="AZ2105" s="3" t="s">
        <v>20802</v>
      </c>
      <c r="BA2105" s="3" t="s">
        <v>20802</v>
      </c>
      <c r="BB2105" s="3" t="s">
        <v>20803</v>
      </c>
      <c r="BC2105" s="3" t="s">
        <v>102</v>
      </c>
      <c r="BD2105" s="3" t="s">
        <v>68</v>
      </c>
      <c r="BF2105" s="3" t="s">
        <v>20803</v>
      </c>
      <c r="BG2105" s="3" t="s">
        <v>20804</v>
      </c>
    </row>
    <row r="2106" spans="1:59" ht="58" x14ac:dyDescent="0.35">
      <c r="A2106" s="2" t="s">
        <v>89</v>
      </c>
      <c r="B2106" s="2" t="s">
        <v>90</v>
      </c>
      <c r="C2106" s="2" t="s">
        <v>20805</v>
      </c>
      <c r="D2106" s="2" t="s">
        <v>20806</v>
      </c>
      <c r="E2106" s="2" t="s">
        <v>20807</v>
      </c>
      <c r="G2106" s="3" t="s">
        <v>62</v>
      </c>
      <c r="I2106" s="3" t="s">
        <v>61</v>
      </c>
      <c r="J2106" s="3" t="s">
        <v>61</v>
      </c>
      <c r="K2106" s="3" t="s">
        <v>63</v>
      </c>
      <c r="L2106" s="2" t="s">
        <v>20808</v>
      </c>
      <c r="M2106" s="2" t="s">
        <v>20809</v>
      </c>
      <c r="N2106" s="3" t="s">
        <v>1305</v>
      </c>
      <c r="P2106" s="3" t="s">
        <v>64</v>
      </c>
      <c r="Q2106" s="2" t="s">
        <v>15065</v>
      </c>
      <c r="R2106" s="3" t="s">
        <v>13065</v>
      </c>
      <c r="S2106" s="4">
        <v>3</v>
      </c>
      <c r="T2106" s="4">
        <v>8</v>
      </c>
      <c r="U2106" s="5" t="s">
        <v>20810</v>
      </c>
      <c r="V2106" s="5" t="s">
        <v>3243</v>
      </c>
      <c r="W2106" s="5" t="s">
        <v>67</v>
      </c>
      <c r="X2106" s="5" t="s">
        <v>67</v>
      </c>
      <c r="Y2106" s="4">
        <v>223</v>
      </c>
      <c r="Z2106" s="4">
        <v>7</v>
      </c>
      <c r="AA2106" s="4">
        <v>65</v>
      </c>
      <c r="AB2106" s="4">
        <v>1</v>
      </c>
      <c r="AC2106" s="4">
        <v>11</v>
      </c>
      <c r="AD2106" s="4">
        <v>63</v>
      </c>
      <c r="AE2106" s="4">
        <v>157</v>
      </c>
      <c r="AF2106" s="4">
        <v>0</v>
      </c>
      <c r="AG2106" s="4">
        <v>7</v>
      </c>
      <c r="AH2106" s="4">
        <v>58</v>
      </c>
      <c r="AI2106" s="4">
        <v>117</v>
      </c>
      <c r="AJ2106" s="4">
        <v>4</v>
      </c>
      <c r="AK2106" s="4">
        <v>27</v>
      </c>
      <c r="AL2106" s="4">
        <v>33</v>
      </c>
      <c r="AM2106" s="4">
        <v>61</v>
      </c>
      <c r="AN2106" s="4">
        <v>0</v>
      </c>
      <c r="AO2106" s="4">
        <v>1</v>
      </c>
      <c r="AP2106" s="4">
        <v>6</v>
      </c>
      <c r="AQ2106" s="4">
        <v>48</v>
      </c>
      <c r="AR2106" s="3" t="s">
        <v>62</v>
      </c>
      <c r="AS2106" s="3" t="s">
        <v>62</v>
      </c>
      <c r="AT2106" s="3" t="s">
        <v>61</v>
      </c>
      <c r="AU2106" s="6" t="str">
        <f>HYPERLINK("http://catalog.hathitrust.org/Record/000470834","HathiTrust Record")</f>
        <v>HathiTrust Record</v>
      </c>
      <c r="AV2106" s="6" t="str">
        <f>HYPERLINK("http://mcgill.on.worldcat.org/oclc/879664","Catalog Record")</f>
        <v>Catalog Record</v>
      </c>
      <c r="AW2106" s="6" t="str">
        <f>HYPERLINK("http://www.worldcat.org/oclc/879664","WorldCat Record")</f>
        <v>WorldCat Record</v>
      </c>
      <c r="AX2106" s="3" t="s">
        <v>20811</v>
      </c>
      <c r="AY2106" s="3" t="s">
        <v>20812</v>
      </c>
      <c r="AZ2106" s="3" t="s">
        <v>20813</v>
      </c>
      <c r="BA2106" s="3" t="s">
        <v>20813</v>
      </c>
      <c r="BB2106" s="3" t="s">
        <v>20814</v>
      </c>
      <c r="BC2106" s="3" t="s">
        <v>102</v>
      </c>
      <c r="BD2106" s="3" t="s">
        <v>68</v>
      </c>
      <c r="BF2106" s="3" t="s">
        <v>20814</v>
      </c>
      <c r="BG2106" s="3" t="s">
        <v>20815</v>
      </c>
    </row>
    <row r="2107" spans="1:59" ht="58" x14ac:dyDescent="0.35">
      <c r="A2107" s="2" t="s">
        <v>89</v>
      </c>
      <c r="B2107" s="2" t="s">
        <v>90</v>
      </c>
      <c r="C2107" s="2" t="s">
        <v>20816</v>
      </c>
      <c r="D2107" s="2" t="s">
        <v>20817</v>
      </c>
      <c r="E2107" s="2" t="s">
        <v>20818</v>
      </c>
      <c r="G2107" s="3" t="s">
        <v>62</v>
      </c>
      <c r="I2107" s="3" t="s">
        <v>61</v>
      </c>
      <c r="J2107" s="3" t="s">
        <v>61</v>
      </c>
      <c r="K2107" s="3" t="s">
        <v>63</v>
      </c>
      <c r="L2107" s="2" t="s">
        <v>20819</v>
      </c>
      <c r="M2107" s="2" t="s">
        <v>20820</v>
      </c>
      <c r="N2107" s="3" t="s">
        <v>930</v>
      </c>
      <c r="O2107" s="2" t="s">
        <v>10722</v>
      </c>
      <c r="P2107" s="3" t="s">
        <v>64</v>
      </c>
      <c r="R2107" s="3" t="s">
        <v>13065</v>
      </c>
      <c r="S2107" s="4">
        <v>23</v>
      </c>
      <c r="T2107" s="4">
        <v>24</v>
      </c>
      <c r="U2107" s="5" t="s">
        <v>13420</v>
      </c>
      <c r="V2107" s="5" t="s">
        <v>13420</v>
      </c>
      <c r="W2107" s="5" t="s">
        <v>67</v>
      </c>
      <c r="X2107" s="5" t="s">
        <v>67</v>
      </c>
      <c r="Y2107" s="4">
        <v>542</v>
      </c>
      <c r="Z2107" s="4">
        <v>19</v>
      </c>
      <c r="AA2107" s="4">
        <v>65</v>
      </c>
      <c r="AB2107" s="4">
        <v>3</v>
      </c>
      <c r="AC2107" s="4">
        <v>11</v>
      </c>
      <c r="AD2107" s="4">
        <v>74</v>
      </c>
      <c r="AE2107" s="4">
        <v>157</v>
      </c>
      <c r="AF2107" s="4">
        <v>2</v>
      </c>
      <c r="AG2107" s="4">
        <v>7</v>
      </c>
      <c r="AH2107" s="4">
        <v>63</v>
      </c>
      <c r="AI2107" s="4">
        <v>117</v>
      </c>
      <c r="AJ2107" s="4">
        <v>5</v>
      </c>
      <c r="AK2107" s="4">
        <v>27</v>
      </c>
      <c r="AL2107" s="4">
        <v>41</v>
      </c>
      <c r="AM2107" s="4">
        <v>61</v>
      </c>
      <c r="AN2107" s="4">
        <v>0</v>
      </c>
      <c r="AO2107" s="4">
        <v>1</v>
      </c>
      <c r="AP2107" s="4">
        <v>12</v>
      </c>
      <c r="AQ2107" s="4">
        <v>48</v>
      </c>
      <c r="AR2107" s="3" t="s">
        <v>62</v>
      </c>
      <c r="AS2107" s="3" t="s">
        <v>62</v>
      </c>
      <c r="AT2107" s="3" t="s">
        <v>61</v>
      </c>
      <c r="AU2107" s="6" t="str">
        <f>HYPERLINK("http://catalog.hathitrust.org/Record/000470947","HathiTrust Record")</f>
        <v>HathiTrust Record</v>
      </c>
      <c r="AV2107" s="6" t="str">
        <f>HYPERLINK("http://mcgill.on.worldcat.org/oclc/525455","Catalog Record")</f>
        <v>Catalog Record</v>
      </c>
      <c r="AW2107" s="6" t="str">
        <f>HYPERLINK("http://www.worldcat.org/oclc/525455","WorldCat Record")</f>
        <v>WorldCat Record</v>
      </c>
      <c r="AX2107" s="3" t="s">
        <v>20811</v>
      </c>
      <c r="AY2107" s="3" t="s">
        <v>20821</v>
      </c>
      <c r="AZ2107" s="3" t="s">
        <v>20822</v>
      </c>
      <c r="BA2107" s="3" t="s">
        <v>20822</v>
      </c>
      <c r="BB2107" s="3" t="s">
        <v>20823</v>
      </c>
      <c r="BC2107" s="3" t="s">
        <v>102</v>
      </c>
      <c r="BD2107" s="3" t="s">
        <v>68</v>
      </c>
      <c r="BF2107" s="3" t="s">
        <v>20823</v>
      </c>
      <c r="BG2107" s="3" t="s">
        <v>20824</v>
      </c>
    </row>
    <row r="2108" spans="1:59" ht="58" x14ac:dyDescent="0.35">
      <c r="A2108" s="2" t="s">
        <v>89</v>
      </c>
      <c r="B2108" s="2" t="s">
        <v>90</v>
      </c>
      <c r="C2108" s="2" t="s">
        <v>20825</v>
      </c>
      <c r="D2108" s="2" t="s">
        <v>20826</v>
      </c>
      <c r="E2108" s="2" t="s">
        <v>20827</v>
      </c>
      <c r="G2108" s="3" t="s">
        <v>62</v>
      </c>
      <c r="I2108" s="3" t="s">
        <v>62</v>
      </c>
      <c r="J2108" s="3" t="s">
        <v>62</v>
      </c>
      <c r="K2108" s="3" t="s">
        <v>63</v>
      </c>
      <c r="L2108" s="2" t="s">
        <v>20828</v>
      </c>
      <c r="M2108" s="2" t="s">
        <v>20829</v>
      </c>
      <c r="N2108" s="3" t="s">
        <v>157</v>
      </c>
      <c r="P2108" s="3" t="s">
        <v>64</v>
      </c>
      <c r="R2108" s="3" t="s">
        <v>13065</v>
      </c>
      <c r="S2108" s="4">
        <v>3</v>
      </c>
      <c r="T2108" s="4">
        <v>3</v>
      </c>
      <c r="U2108" s="5" t="s">
        <v>4363</v>
      </c>
      <c r="V2108" s="5" t="s">
        <v>4363</v>
      </c>
      <c r="W2108" s="5" t="s">
        <v>67</v>
      </c>
      <c r="X2108" s="5" t="s">
        <v>67</v>
      </c>
      <c r="Y2108" s="4">
        <v>652</v>
      </c>
      <c r="Z2108" s="4">
        <v>36</v>
      </c>
      <c r="AA2108" s="4">
        <v>39</v>
      </c>
      <c r="AB2108" s="4">
        <v>3</v>
      </c>
      <c r="AC2108" s="4">
        <v>5</v>
      </c>
      <c r="AD2108" s="4">
        <v>110</v>
      </c>
      <c r="AE2108" s="4">
        <v>113</v>
      </c>
      <c r="AF2108" s="4">
        <v>2</v>
      </c>
      <c r="AG2108" s="4">
        <v>4</v>
      </c>
      <c r="AH2108" s="4">
        <v>86</v>
      </c>
      <c r="AI2108" s="4">
        <v>87</v>
      </c>
      <c r="AJ2108" s="4">
        <v>16</v>
      </c>
      <c r="AK2108" s="4">
        <v>18</v>
      </c>
      <c r="AL2108" s="4">
        <v>51</v>
      </c>
      <c r="AM2108" s="4">
        <v>51</v>
      </c>
      <c r="AN2108" s="4">
        <v>0</v>
      </c>
      <c r="AO2108" s="4">
        <v>0</v>
      </c>
      <c r="AP2108" s="4">
        <v>29</v>
      </c>
      <c r="AQ2108" s="4">
        <v>31</v>
      </c>
      <c r="AR2108" s="3" t="s">
        <v>62</v>
      </c>
      <c r="AS2108" s="3" t="s">
        <v>62</v>
      </c>
      <c r="AT2108" s="3" t="s">
        <v>62</v>
      </c>
      <c r="AV2108" s="6" t="str">
        <f>HYPERLINK("http://mcgill.on.worldcat.org/oclc/1194979","Catalog Record")</f>
        <v>Catalog Record</v>
      </c>
      <c r="AW2108" s="6" t="str">
        <f>HYPERLINK("http://www.worldcat.org/oclc/1194979","WorldCat Record")</f>
        <v>WorldCat Record</v>
      </c>
      <c r="AX2108" s="3" t="s">
        <v>20830</v>
      </c>
      <c r="AY2108" s="3" t="s">
        <v>20831</v>
      </c>
      <c r="AZ2108" s="3" t="s">
        <v>20832</v>
      </c>
      <c r="BA2108" s="3" t="s">
        <v>20832</v>
      </c>
      <c r="BB2108" s="3" t="s">
        <v>20833</v>
      </c>
      <c r="BC2108" s="3" t="s">
        <v>102</v>
      </c>
      <c r="BD2108" s="3" t="s">
        <v>68</v>
      </c>
      <c r="BE2108" s="3" t="s">
        <v>20834</v>
      </c>
      <c r="BF2108" s="3" t="s">
        <v>20833</v>
      </c>
      <c r="BG2108" s="3" t="s">
        <v>20835</v>
      </c>
    </row>
    <row r="2109" spans="1:59" ht="58" x14ac:dyDescent="0.35">
      <c r="A2109" s="2" t="s">
        <v>89</v>
      </c>
      <c r="B2109" s="2" t="s">
        <v>90</v>
      </c>
      <c r="C2109" s="2" t="s">
        <v>20836</v>
      </c>
      <c r="D2109" s="2" t="s">
        <v>20837</v>
      </c>
      <c r="E2109" s="2" t="s">
        <v>20838</v>
      </c>
      <c r="G2109" s="3" t="s">
        <v>62</v>
      </c>
      <c r="I2109" s="3" t="s">
        <v>62</v>
      </c>
      <c r="J2109" s="3" t="s">
        <v>62</v>
      </c>
      <c r="K2109" s="3" t="s">
        <v>63</v>
      </c>
      <c r="M2109" s="2" t="s">
        <v>6702</v>
      </c>
      <c r="N2109" s="3" t="s">
        <v>509</v>
      </c>
      <c r="P2109" s="3" t="s">
        <v>64</v>
      </c>
      <c r="Q2109" s="2" t="s">
        <v>20839</v>
      </c>
      <c r="R2109" s="3" t="s">
        <v>13065</v>
      </c>
      <c r="S2109" s="4">
        <v>4</v>
      </c>
      <c r="T2109" s="4">
        <v>4</v>
      </c>
      <c r="U2109" s="5" t="s">
        <v>20840</v>
      </c>
      <c r="V2109" s="5" t="s">
        <v>20840</v>
      </c>
      <c r="W2109" s="5" t="s">
        <v>67</v>
      </c>
      <c r="X2109" s="5" t="s">
        <v>67</v>
      </c>
      <c r="Y2109" s="4">
        <v>148</v>
      </c>
      <c r="Z2109" s="4">
        <v>10</v>
      </c>
      <c r="AA2109" s="4">
        <v>12</v>
      </c>
      <c r="AB2109" s="4">
        <v>1</v>
      </c>
      <c r="AC2109" s="4">
        <v>2</v>
      </c>
      <c r="AD2109" s="4">
        <v>71</v>
      </c>
      <c r="AE2109" s="4">
        <v>75</v>
      </c>
      <c r="AF2109" s="4">
        <v>0</v>
      </c>
      <c r="AG2109" s="4">
        <v>1</v>
      </c>
      <c r="AH2109" s="4">
        <v>68</v>
      </c>
      <c r="AI2109" s="4">
        <v>70</v>
      </c>
      <c r="AJ2109" s="4">
        <v>8</v>
      </c>
      <c r="AK2109" s="4">
        <v>9</v>
      </c>
      <c r="AL2109" s="4">
        <v>39</v>
      </c>
      <c r="AM2109" s="4">
        <v>41</v>
      </c>
      <c r="AN2109" s="4">
        <v>0</v>
      </c>
      <c r="AO2109" s="4">
        <v>0</v>
      </c>
      <c r="AP2109" s="4">
        <v>7</v>
      </c>
      <c r="AQ2109" s="4">
        <v>8</v>
      </c>
      <c r="AR2109" s="3" t="s">
        <v>62</v>
      </c>
      <c r="AS2109" s="3" t="s">
        <v>62</v>
      </c>
      <c r="AT2109" s="3" t="s">
        <v>62</v>
      </c>
      <c r="AV2109" s="6" t="str">
        <f>HYPERLINK("http://mcgill.on.worldcat.org/oclc/29564183","Catalog Record")</f>
        <v>Catalog Record</v>
      </c>
      <c r="AW2109" s="6" t="str">
        <f>HYPERLINK("http://www.worldcat.org/oclc/29564183","WorldCat Record")</f>
        <v>WorldCat Record</v>
      </c>
      <c r="AX2109" s="3" t="s">
        <v>20841</v>
      </c>
      <c r="AY2109" s="3" t="s">
        <v>20842</v>
      </c>
      <c r="AZ2109" s="3" t="s">
        <v>20843</v>
      </c>
      <c r="BA2109" s="3" t="s">
        <v>20843</v>
      </c>
      <c r="BB2109" s="3" t="s">
        <v>20844</v>
      </c>
      <c r="BC2109" s="3" t="s">
        <v>102</v>
      </c>
      <c r="BD2109" s="3" t="s">
        <v>68</v>
      </c>
      <c r="BE2109" s="3" t="s">
        <v>20845</v>
      </c>
      <c r="BF2109" s="3" t="s">
        <v>20844</v>
      </c>
      <c r="BG2109" s="3" t="s">
        <v>20846</v>
      </c>
    </row>
    <row r="2110" spans="1:59" ht="58" x14ac:dyDescent="0.35">
      <c r="A2110" s="2" t="s">
        <v>89</v>
      </c>
      <c r="B2110" s="2" t="s">
        <v>90</v>
      </c>
      <c r="C2110" s="2" t="s">
        <v>20847</v>
      </c>
      <c r="D2110" s="2" t="s">
        <v>20848</v>
      </c>
      <c r="E2110" s="2" t="s">
        <v>20849</v>
      </c>
      <c r="G2110" s="3" t="s">
        <v>61</v>
      </c>
      <c r="I2110" s="3" t="s">
        <v>62</v>
      </c>
      <c r="J2110" s="3" t="s">
        <v>62</v>
      </c>
      <c r="K2110" s="3" t="s">
        <v>63</v>
      </c>
      <c r="L2110" s="2" t="s">
        <v>20850</v>
      </c>
      <c r="M2110" s="2" t="s">
        <v>20851</v>
      </c>
      <c r="N2110" s="3" t="s">
        <v>2445</v>
      </c>
      <c r="P2110" s="3" t="s">
        <v>64</v>
      </c>
      <c r="R2110" s="3" t="s">
        <v>13065</v>
      </c>
      <c r="S2110" s="4">
        <v>1</v>
      </c>
      <c r="T2110" s="4">
        <v>1</v>
      </c>
      <c r="U2110" s="5" t="s">
        <v>13420</v>
      </c>
      <c r="V2110" s="5" t="s">
        <v>13420</v>
      </c>
      <c r="W2110" s="5" t="s">
        <v>67</v>
      </c>
      <c r="X2110" s="5" t="s">
        <v>67</v>
      </c>
      <c r="Y2110" s="4">
        <v>431</v>
      </c>
      <c r="Z2110" s="4">
        <v>13</v>
      </c>
      <c r="AA2110" s="4">
        <v>34</v>
      </c>
      <c r="AB2110" s="4">
        <v>1</v>
      </c>
      <c r="AC2110" s="4">
        <v>6</v>
      </c>
      <c r="AD2110" s="4">
        <v>89</v>
      </c>
      <c r="AE2110" s="4">
        <v>129</v>
      </c>
      <c r="AF2110" s="4">
        <v>0</v>
      </c>
      <c r="AG2110" s="4">
        <v>4</v>
      </c>
      <c r="AH2110" s="4">
        <v>78</v>
      </c>
      <c r="AI2110" s="4">
        <v>109</v>
      </c>
      <c r="AJ2110" s="4">
        <v>8</v>
      </c>
      <c r="AK2110" s="4">
        <v>20</v>
      </c>
      <c r="AL2110" s="4">
        <v>46</v>
      </c>
      <c r="AM2110" s="4">
        <v>59</v>
      </c>
      <c r="AN2110" s="4">
        <v>0</v>
      </c>
      <c r="AO2110" s="4">
        <v>4</v>
      </c>
      <c r="AP2110" s="4">
        <v>12</v>
      </c>
      <c r="AQ2110" s="4">
        <v>27</v>
      </c>
      <c r="AR2110" s="3" t="s">
        <v>62</v>
      </c>
      <c r="AS2110" s="3" t="s">
        <v>62</v>
      </c>
      <c r="AT2110" s="3" t="s">
        <v>62</v>
      </c>
      <c r="AU2110" s="6" t="str">
        <f>HYPERLINK("http://catalog.hathitrust.org/Record/101817784","HathiTrust Record")</f>
        <v>HathiTrust Record</v>
      </c>
      <c r="AV2110" s="6" t="str">
        <f>HYPERLINK("http://mcgill.on.worldcat.org/oclc/525586","Catalog Record")</f>
        <v>Catalog Record</v>
      </c>
      <c r="AW2110" s="6" t="str">
        <f>HYPERLINK("http://www.worldcat.org/oclc/525586","WorldCat Record")</f>
        <v>WorldCat Record</v>
      </c>
      <c r="AX2110" s="3" t="s">
        <v>20852</v>
      </c>
      <c r="AY2110" s="3" t="s">
        <v>20853</v>
      </c>
      <c r="AZ2110" s="3" t="s">
        <v>20854</v>
      </c>
      <c r="BA2110" s="3" t="s">
        <v>20854</v>
      </c>
      <c r="BB2110" s="3" t="s">
        <v>20855</v>
      </c>
      <c r="BC2110" s="3" t="s">
        <v>102</v>
      </c>
      <c r="BD2110" s="3" t="s">
        <v>68</v>
      </c>
      <c r="BF2110" s="3" t="s">
        <v>20855</v>
      </c>
      <c r="BG2110" s="3" t="s">
        <v>20856</v>
      </c>
    </row>
    <row r="2111" spans="1:59" ht="58" x14ac:dyDescent="0.35">
      <c r="A2111" s="2" t="s">
        <v>89</v>
      </c>
      <c r="B2111" s="2" t="s">
        <v>90</v>
      </c>
      <c r="C2111" s="2" t="s">
        <v>20857</v>
      </c>
      <c r="D2111" s="2" t="s">
        <v>20858</v>
      </c>
      <c r="E2111" s="2" t="s">
        <v>20859</v>
      </c>
      <c r="G2111" s="3" t="s">
        <v>62</v>
      </c>
      <c r="I2111" s="3" t="s">
        <v>61</v>
      </c>
      <c r="J2111" s="3" t="s">
        <v>62</v>
      </c>
      <c r="K2111" s="3" t="s">
        <v>63</v>
      </c>
      <c r="L2111" s="2" t="s">
        <v>20860</v>
      </c>
      <c r="M2111" s="2" t="s">
        <v>20861</v>
      </c>
      <c r="N2111" s="3" t="s">
        <v>2445</v>
      </c>
      <c r="P2111" s="3" t="s">
        <v>64</v>
      </c>
      <c r="Q2111" s="2" t="s">
        <v>20862</v>
      </c>
      <c r="R2111" s="3" t="s">
        <v>13065</v>
      </c>
      <c r="S2111" s="4">
        <v>13</v>
      </c>
      <c r="T2111" s="4">
        <v>14</v>
      </c>
      <c r="U2111" s="5" t="s">
        <v>20863</v>
      </c>
      <c r="V2111" s="5" t="s">
        <v>6962</v>
      </c>
      <c r="W2111" s="5" t="s">
        <v>67</v>
      </c>
      <c r="X2111" s="5" t="s">
        <v>67</v>
      </c>
      <c r="Y2111" s="4">
        <v>445</v>
      </c>
      <c r="Z2111" s="4">
        <v>23</v>
      </c>
      <c r="AA2111" s="4">
        <v>32</v>
      </c>
      <c r="AB2111" s="4">
        <v>2</v>
      </c>
      <c r="AC2111" s="4">
        <v>8</v>
      </c>
      <c r="AD2111" s="4">
        <v>118</v>
      </c>
      <c r="AE2111" s="4">
        <v>125</v>
      </c>
      <c r="AF2111" s="4">
        <v>1</v>
      </c>
      <c r="AG2111" s="4">
        <v>5</v>
      </c>
      <c r="AH2111" s="4">
        <v>103</v>
      </c>
      <c r="AI2111" s="4">
        <v>106</v>
      </c>
      <c r="AJ2111" s="4">
        <v>15</v>
      </c>
      <c r="AK2111" s="4">
        <v>19</v>
      </c>
      <c r="AL2111" s="4">
        <v>59</v>
      </c>
      <c r="AM2111" s="4">
        <v>59</v>
      </c>
      <c r="AN2111" s="4">
        <v>0</v>
      </c>
      <c r="AO2111" s="4">
        <v>0</v>
      </c>
      <c r="AP2111" s="4">
        <v>19</v>
      </c>
      <c r="AQ2111" s="4">
        <v>23</v>
      </c>
      <c r="AR2111" s="3" t="s">
        <v>62</v>
      </c>
      <c r="AS2111" s="3" t="s">
        <v>62</v>
      </c>
      <c r="AT2111" s="3" t="s">
        <v>62</v>
      </c>
      <c r="AV2111" s="6" t="str">
        <f>HYPERLINK("http://mcgill.on.worldcat.org/oclc/527315","Catalog Record")</f>
        <v>Catalog Record</v>
      </c>
      <c r="AW2111" s="6" t="str">
        <f>HYPERLINK("http://www.worldcat.org/oclc/527315","WorldCat Record")</f>
        <v>WorldCat Record</v>
      </c>
      <c r="AX2111" s="3" t="s">
        <v>20864</v>
      </c>
      <c r="AY2111" s="3" t="s">
        <v>20865</v>
      </c>
      <c r="AZ2111" s="3" t="s">
        <v>20866</v>
      </c>
      <c r="BA2111" s="3" t="s">
        <v>20866</v>
      </c>
      <c r="BB2111" s="3" t="s">
        <v>20867</v>
      </c>
      <c r="BC2111" s="3" t="s">
        <v>102</v>
      </c>
      <c r="BD2111" s="3" t="s">
        <v>68</v>
      </c>
      <c r="BE2111" s="3" t="s">
        <v>20868</v>
      </c>
      <c r="BF2111" s="3" t="s">
        <v>20867</v>
      </c>
      <c r="BG2111" s="3" t="s">
        <v>20869</v>
      </c>
    </row>
    <row r="2112" spans="1:59" ht="58" x14ac:dyDescent="0.35">
      <c r="A2112" s="2" t="s">
        <v>89</v>
      </c>
      <c r="B2112" s="2" t="s">
        <v>90</v>
      </c>
      <c r="C2112" s="2" t="s">
        <v>20870</v>
      </c>
      <c r="D2112" s="2" t="s">
        <v>20871</v>
      </c>
      <c r="E2112" s="2" t="s">
        <v>20872</v>
      </c>
      <c r="F2112" s="3" t="s">
        <v>2233</v>
      </c>
      <c r="G2112" s="3" t="s">
        <v>61</v>
      </c>
      <c r="I2112" s="3" t="s">
        <v>62</v>
      </c>
      <c r="J2112" s="3" t="s">
        <v>62</v>
      </c>
      <c r="K2112" s="3" t="s">
        <v>63</v>
      </c>
      <c r="L2112" s="2" t="s">
        <v>20873</v>
      </c>
      <c r="M2112" s="2" t="s">
        <v>20874</v>
      </c>
      <c r="N2112" s="3" t="s">
        <v>2727</v>
      </c>
      <c r="P2112" s="3" t="s">
        <v>64</v>
      </c>
      <c r="R2112" s="3" t="s">
        <v>13065</v>
      </c>
      <c r="S2112" s="4">
        <v>1</v>
      </c>
      <c r="T2112" s="4">
        <v>2</v>
      </c>
      <c r="U2112" s="5" t="s">
        <v>14217</v>
      </c>
      <c r="V2112" s="5" t="s">
        <v>14217</v>
      </c>
      <c r="W2112" s="5" t="s">
        <v>67</v>
      </c>
      <c r="X2112" s="5" t="s">
        <v>67</v>
      </c>
      <c r="Y2112" s="4">
        <v>259</v>
      </c>
      <c r="Z2112" s="4">
        <v>6</v>
      </c>
      <c r="AA2112" s="4">
        <v>20</v>
      </c>
      <c r="AB2112" s="4">
        <v>1</v>
      </c>
      <c r="AC2112" s="4">
        <v>3</v>
      </c>
      <c r="AD2112" s="4">
        <v>84</v>
      </c>
      <c r="AE2112" s="4">
        <v>109</v>
      </c>
      <c r="AF2112" s="4">
        <v>0</v>
      </c>
      <c r="AG2112" s="4">
        <v>2</v>
      </c>
      <c r="AH2112" s="4">
        <v>80</v>
      </c>
      <c r="AI2112" s="4">
        <v>95</v>
      </c>
      <c r="AJ2112" s="4">
        <v>3</v>
      </c>
      <c r="AK2112" s="4">
        <v>14</v>
      </c>
      <c r="AL2112" s="4">
        <v>50</v>
      </c>
      <c r="AM2112" s="4">
        <v>57</v>
      </c>
      <c r="AN2112" s="4">
        <v>0</v>
      </c>
      <c r="AO2112" s="4">
        <v>0</v>
      </c>
      <c r="AP2112" s="4">
        <v>3</v>
      </c>
      <c r="AQ2112" s="4">
        <v>16</v>
      </c>
      <c r="AR2112" s="3" t="s">
        <v>62</v>
      </c>
      <c r="AS2112" s="3" t="s">
        <v>62</v>
      </c>
      <c r="AT2112" s="3" t="s">
        <v>61</v>
      </c>
      <c r="AU2112" s="6" t="str">
        <f>HYPERLINK("http://catalog.hathitrust.org/Record/000587955","HathiTrust Record")</f>
        <v>HathiTrust Record</v>
      </c>
      <c r="AV2112" s="6" t="str">
        <f>HYPERLINK("http://mcgill.on.worldcat.org/oclc/816003","Catalog Record")</f>
        <v>Catalog Record</v>
      </c>
      <c r="AW2112" s="6" t="str">
        <f>HYPERLINK("http://www.worldcat.org/oclc/816003","WorldCat Record")</f>
        <v>WorldCat Record</v>
      </c>
      <c r="AX2112" s="3" t="s">
        <v>20875</v>
      </c>
      <c r="AY2112" s="3" t="s">
        <v>20876</v>
      </c>
      <c r="AZ2112" s="3" t="s">
        <v>20877</v>
      </c>
      <c r="BA2112" s="3" t="s">
        <v>20877</v>
      </c>
      <c r="BB2112" s="3" t="s">
        <v>20878</v>
      </c>
      <c r="BC2112" s="3" t="s">
        <v>102</v>
      </c>
      <c r="BD2112" s="3" t="s">
        <v>68</v>
      </c>
      <c r="BF2112" s="3" t="s">
        <v>20878</v>
      </c>
      <c r="BG2112" s="3" t="s">
        <v>20879</v>
      </c>
    </row>
    <row r="2113" spans="1:59" ht="58" x14ac:dyDescent="0.35">
      <c r="A2113" s="2" t="s">
        <v>89</v>
      </c>
      <c r="B2113" s="2" t="s">
        <v>90</v>
      </c>
      <c r="C2113" s="2" t="s">
        <v>20870</v>
      </c>
      <c r="D2113" s="2" t="s">
        <v>20871</v>
      </c>
      <c r="E2113" s="2" t="s">
        <v>20872</v>
      </c>
      <c r="F2113" s="3" t="s">
        <v>2217</v>
      </c>
      <c r="G2113" s="3" t="s">
        <v>61</v>
      </c>
      <c r="I2113" s="3" t="s">
        <v>62</v>
      </c>
      <c r="J2113" s="3" t="s">
        <v>62</v>
      </c>
      <c r="K2113" s="3" t="s">
        <v>63</v>
      </c>
      <c r="L2113" s="2" t="s">
        <v>20873</v>
      </c>
      <c r="M2113" s="2" t="s">
        <v>20874</v>
      </c>
      <c r="N2113" s="3" t="s">
        <v>2727</v>
      </c>
      <c r="P2113" s="3" t="s">
        <v>64</v>
      </c>
      <c r="R2113" s="3" t="s">
        <v>13065</v>
      </c>
      <c r="S2113" s="4">
        <v>1</v>
      </c>
      <c r="T2113" s="4">
        <v>2</v>
      </c>
      <c r="U2113" s="5" t="s">
        <v>14217</v>
      </c>
      <c r="V2113" s="5" t="s">
        <v>14217</v>
      </c>
      <c r="W2113" s="5" t="s">
        <v>67</v>
      </c>
      <c r="X2113" s="5" t="s">
        <v>67</v>
      </c>
      <c r="Y2113" s="4">
        <v>259</v>
      </c>
      <c r="Z2113" s="4">
        <v>6</v>
      </c>
      <c r="AA2113" s="4">
        <v>20</v>
      </c>
      <c r="AB2113" s="4">
        <v>1</v>
      </c>
      <c r="AC2113" s="4">
        <v>3</v>
      </c>
      <c r="AD2113" s="4">
        <v>84</v>
      </c>
      <c r="AE2113" s="4">
        <v>109</v>
      </c>
      <c r="AF2113" s="4">
        <v>0</v>
      </c>
      <c r="AG2113" s="4">
        <v>2</v>
      </c>
      <c r="AH2113" s="4">
        <v>80</v>
      </c>
      <c r="AI2113" s="4">
        <v>95</v>
      </c>
      <c r="AJ2113" s="4">
        <v>3</v>
      </c>
      <c r="AK2113" s="4">
        <v>14</v>
      </c>
      <c r="AL2113" s="4">
        <v>50</v>
      </c>
      <c r="AM2113" s="4">
        <v>57</v>
      </c>
      <c r="AN2113" s="4">
        <v>0</v>
      </c>
      <c r="AO2113" s="4">
        <v>0</v>
      </c>
      <c r="AP2113" s="4">
        <v>3</v>
      </c>
      <c r="AQ2113" s="4">
        <v>16</v>
      </c>
      <c r="AR2113" s="3" t="s">
        <v>62</v>
      </c>
      <c r="AS2113" s="3" t="s">
        <v>62</v>
      </c>
      <c r="AT2113" s="3" t="s">
        <v>61</v>
      </c>
      <c r="AU2113" s="6" t="str">
        <f>HYPERLINK("http://catalog.hathitrust.org/Record/000587955","HathiTrust Record")</f>
        <v>HathiTrust Record</v>
      </c>
      <c r="AV2113" s="6" t="str">
        <f>HYPERLINK("http://mcgill.on.worldcat.org/oclc/816003","Catalog Record")</f>
        <v>Catalog Record</v>
      </c>
      <c r="AW2113" s="6" t="str">
        <f>HYPERLINK("http://www.worldcat.org/oclc/816003","WorldCat Record")</f>
        <v>WorldCat Record</v>
      </c>
      <c r="AX2113" s="3" t="s">
        <v>20875</v>
      </c>
      <c r="AY2113" s="3" t="s">
        <v>20876</v>
      </c>
      <c r="AZ2113" s="3" t="s">
        <v>20877</v>
      </c>
      <c r="BA2113" s="3" t="s">
        <v>20877</v>
      </c>
      <c r="BB2113" s="3" t="s">
        <v>20880</v>
      </c>
      <c r="BC2113" s="3" t="s">
        <v>102</v>
      </c>
      <c r="BD2113" s="3" t="s">
        <v>68</v>
      </c>
      <c r="BF2113" s="3" t="s">
        <v>20880</v>
      </c>
      <c r="BG2113" s="3" t="s">
        <v>20881</v>
      </c>
    </row>
    <row r="2114" spans="1:59" ht="58" x14ac:dyDescent="0.35">
      <c r="A2114" s="2" t="s">
        <v>89</v>
      </c>
      <c r="B2114" s="2" t="s">
        <v>90</v>
      </c>
      <c r="C2114" s="2" t="s">
        <v>20882</v>
      </c>
      <c r="D2114" s="2" t="s">
        <v>20883</v>
      </c>
      <c r="E2114" s="2" t="s">
        <v>20884</v>
      </c>
      <c r="G2114" s="3" t="s">
        <v>62</v>
      </c>
      <c r="I2114" s="3" t="s">
        <v>62</v>
      </c>
      <c r="J2114" s="3" t="s">
        <v>62</v>
      </c>
      <c r="K2114" s="3" t="s">
        <v>63</v>
      </c>
      <c r="L2114" s="2" t="s">
        <v>20885</v>
      </c>
      <c r="M2114" s="2" t="s">
        <v>20886</v>
      </c>
      <c r="N2114" s="3" t="s">
        <v>698</v>
      </c>
      <c r="O2114" s="2" t="s">
        <v>1674</v>
      </c>
      <c r="P2114" s="3" t="s">
        <v>1675</v>
      </c>
      <c r="R2114" s="3" t="s">
        <v>13065</v>
      </c>
      <c r="S2114" s="4">
        <v>0</v>
      </c>
      <c r="T2114" s="4">
        <v>0</v>
      </c>
      <c r="W2114" s="5" t="s">
        <v>67</v>
      </c>
      <c r="X2114" s="5" t="s">
        <v>67</v>
      </c>
      <c r="Y2114" s="4">
        <v>12</v>
      </c>
      <c r="Z2114" s="4">
        <v>2</v>
      </c>
      <c r="AA2114" s="4">
        <v>2</v>
      </c>
      <c r="AB2114" s="4">
        <v>1</v>
      </c>
      <c r="AC2114" s="4">
        <v>1</v>
      </c>
      <c r="AD2114" s="4">
        <v>7</v>
      </c>
      <c r="AE2114" s="4">
        <v>7</v>
      </c>
      <c r="AF2114" s="4">
        <v>0</v>
      </c>
      <c r="AG2114" s="4">
        <v>0</v>
      </c>
      <c r="AH2114" s="4">
        <v>7</v>
      </c>
      <c r="AI2114" s="4">
        <v>7</v>
      </c>
      <c r="AJ2114" s="4">
        <v>1</v>
      </c>
      <c r="AK2114" s="4">
        <v>1</v>
      </c>
      <c r="AL2114" s="4">
        <v>6</v>
      </c>
      <c r="AM2114" s="4">
        <v>6</v>
      </c>
      <c r="AN2114" s="4">
        <v>0</v>
      </c>
      <c r="AO2114" s="4">
        <v>0</v>
      </c>
      <c r="AP2114" s="4">
        <v>1</v>
      </c>
      <c r="AQ2114" s="4">
        <v>1</v>
      </c>
      <c r="AR2114" s="3" t="s">
        <v>62</v>
      </c>
      <c r="AS2114" s="3" t="s">
        <v>62</v>
      </c>
      <c r="AT2114" s="3" t="s">
        <v>62</v>
      </c>
      <c r="AV2114" s="6" t="str">
        <f>HYPERLINK("http://mcgill.on.worldcat.org/oclc/838077438","Catalog Record")</f>
        <v>Catalog Record</v>
      </c>
      <c r="AW2114" s="6" t="str">
        <f>HYPERLINK("http://www.worldcat.org/oclc/838077438","WorldCat Record")</f>
        <v>WorldCat Record</v>
      </c>
      <c r="AX2114" s="3" t="s">
        <v>20887</v>
      </c>
      <c r="AY2114" s="3" t="s">
        <v>20888</v>
      </c>
      <c r="AZ2114" s="3" t="s">
        <v>20889</v>
      </c>
      <c r="BA2114" s="3" t="s">
        <v>20889</v>
      </c>
      <c r="BB2114" s="3" t="s">
        <v>20890</v>
      </c>
      <c r="BC2114" s="3" t="s">
        <v>102</v>
      </c>
      <c r="BD2114" s="3" t="s">
        <v>68</v>
      </c>
      <c r="BE2114" s="3" t="s">
        <v>20891</v>
      </c>
      <c r="BF2114" s="3" t="s">
        <v>20890</v>
      </c>
      <c r="BG2114" s="3" t="s">
        <v>20892</v>
      </c>
    </row>
    <row r="2115" spans="1:59" ht="58" x14ac:dyDescent="0.35">
      <c r="A2115" s="2" t="s">
        <v>89</v>
      </c>
      <c r="B2115" s="2" t="s">
        <v>90</v>
      </c>
      <c r="C2115" s="2" t="s">
        <v>20893</v>
      </c>
      <c r="D2115" s="2" t="s">
        <v>20894</v>
      </c>
      <c r="E2115" s="2" t="s">
        <v>20895</v>
      </c>
      <c r="G2115" s="3" t="s">
        <v>62</v>
      </c>
      <c r="I2115" s="3" t="s">
        <v>62</v>
      </c>
      <c r="J2115" s="3" t="s">
        <v>62</v>
      </c>
      <c r="K2115" s="3" t="s">
        <v>63</v>
      </c>
      <c r="L2115" s="2" t="s">
        <v>20896</v>
      </c>
      <c r="M2115" s="2" t="s">
        <v>20897</v>
      </c>
      <c r="N2115" s="3" t="s">
        <v>2702</v>
      </c>
      <c r="P2115" s="3" t="s">
        <v>1881</v>
      </c>
      <c r="Q2115" s="2" t="s">
        <v>20898</v>
      </c>
      <c r="R2115" s="3" t="s">
        <v>13065</v>
      </c>
      <c r="S2115" s="4">
        <v>5</v>
      </c>
      <c r="T2115" s="4">
        <v>5</v>
      </c>
      <c r="U2115" s="5" t="s">
        <v>6918</v>
      </c>
      <c r="V2115" s="5" t="s">
        <v>6918</v>
      </c>
      <c r="W2115" s="5" t="s">
        <v>67</v>
      </c>
      <c r="X2115" s="5" t="s">
        <v>67</v>
      </c>
      <c r="Y2115" s="4">
        <v>185</v>
      </c>
      <c r="Z2115" s="4">
        <v>10</v>
      </c>
      <c r="AA2115" s="4">
        <v>10</v>
      </c>
      <c r="AB2115" s="4">
        <v>1</v>
      </c>
      <c r="AC2115" s="4">
        <v>1</v>
      </c>
      <c r="AD2115" s="4">
        <v>81</v>
      </c>
      <c r="AE2115" s="4">
        <v>83</v>
      </c>
      <c r="AF2115" s="4">
        <v>0</v>
      </c>
      <c r="AG2115" s="4">
        <v>0</v>
      </c>
      <c r="AH2115" s="4">
        <v>75</v>
      </c>
      <c r="AI2115" s="4">
        <v>77</v>
      </c>
      <c r="AJ2115" s="4">
        <v>7</v>
      </c>
      <c r="AK2115" s="4">
        <v>7</v>
      </c>
      <c r="AL2115" s="4">
        <v>49</v>
      </c>
      <c r="AM2115" s="4">
        <v>50</v>
      </c>
      <c r="AN2115" s="4">
        <v>0</v>
      </c>
      <c r="AO2115" s="4">
        <v>2</v>
      </c>
      <c r="AP2115" s="4">
        <v>7</v>
      </c>
      <c r="AQ2115" s="4">
        <v>7</v>
      </c>
      <c r="AR2115" s="3" t="s">
        <v>62</v>
      </c>
      <c r="AS2115" s="3" t="s">
        <v>62</v>
      </c>
      <c r="AT2115" s="3" t="s">
        <v>61</v>
      </c>
      <c r="AU2115" s="6" t="str">
        <f>HYPERLINK("http://catalog.hathitrust.org/Record/000421800","HathiTrust Record")</f>
        <v>HathiTrust Record</v>
      </c>
      <c r="AV2115" s="6" t="str">
        <f>HYPERLINK("http://mcgill.on.worldcat.org/oclc/887931","Catalog Record")</f>
        <v>Catalog Record</v>
      </c>
      <c r="AW2115" s="6" t="str">
        <f>HYPERLINK("http://www.worldcat.org/oclc/887931","WorldCat Record")</f>
        <v>WorldCat Record</v>
      </c>
      <c r="AX2115" s="3" t="s">
        <v>20899</v>
      </c>
      <c r="AY2115" s="3" t="s">
        <v>20900</v>
      </c>
      <c r="AZ2115" s="3" t="s">
        <v>20901</v>
      </c>
      <c r="BA2115" s="3" t="s">
        <v>20901</v>
      </c>
      <c r="BB2115" s="3" t="s">
        <v>20902</v>
      </c>
      <c r="BC2115" s="3" t="s">
        <v>102</v>
      </c>
      <c r="BD2115" s="3" t="s">
        <v>231</v>
      </c>
      <c r="BF2115" s="3" t="s">
        <v>20902</v>
      </c>
      <c r="BG2115" s="3" t="s">
        <v>20903</v>
      </c>
    </row>
    <row r="2116" spans="1:59" ht="58" x14ac:dyDescent="0.35">
      <c r="A2116" s="2" t="s">
        <v>89</v>
      </c>
      <c r="B2116" s="2" t="s">
        <v>90</v>
      </c>
      <c r="C2116" s="2" t="s">
        <v>20904</v>
      </c>
      <c r="D2116" s="2" t="s">
        <v>20905</v>
      </c>
      <c r="E2116" s="2" t="s">
        <v>20906</v>
      </c>
      <c r="G2116" s="3" t="s">
        <v>62</v>
      </c>
      <c r="I2116" s="3" t="s">
        <v>62</v>
      </c>
      <c r="J2116" s="3" t="s">
        <v>61</v>
      </c>
      <c r="K2116" s="3" t="s">
        <v>63</v>
      </c>
      <c r="L2116" s="2" t="s">
        <v>20907</v>
      </c>
      <c r="M2116" s="2" t="s">
        <v>20908</v>
      </c>
      <c r="N2116" s="3" t="s">
        <v>509</v>
      </c>
      <c r="O2116" s="2" t="s">
        <v>2986</v>
      </c>
      <c r="P2116" s="3" t="s">
        <v>64</v>
      </c>
      <c r="Q2116" s="2" t="s">
        <v>20909</v>
      </c>
      <c r="R2116" s="3" t="s">
        <v>13065</v>
      </c>
      <c r="S2116" s="4">
        <v>27</v>
      </c>
      <c r="T2116" s="4">
        <v>27</v>
      </c>
      <c r="U2116" s="5" t="s">
        <v>20910</v>
      </c>
      <c r="V2116" s="5" t="s">
        <v>20910</v>
      </c>
      <c r="W2116" s="5" t="s">
        <v>67</v>
      </c>
      <c r="X2116" s="5" t="s">
        <v>67</v>
      </c>
      <c r="Y2116" s="4">
        <v>354</v>
      </c>
      <c r="Z2116" s="4">
        <v>26</v>
      </c>
      <c r="AA2116" s="4">
        <v>41</v>
      </c>
      <c r="AB2116" s="4">
        <v>2</v>
      </c>
      <c r="AC2116" s="4">
        <v>5</v>
      </c>
      <c r="AD2116" s="4">
        <v>105</v>
      </c>
      <c r="AE2116" s="4">
        <v>138</v>
      </c>
      <c r="AF2116" s="4">
        <v>1</v>
      </c>
      <c r="AG2116" s="4">
        <v>3</v>
      </c>
      <c r="AH2116" s="4">
        <v>89</v>
      </c>
      <c r="AI2116" s="4">
        <v>112</v>
      </c>
      <c r="AJ2116" s="4">
        <v>20</v>
      </c>
      <c r="AK2116" s="4">
        <v>25</v>
      </c>
      <c r="AL2116" s="4">
        <v>50</v>
      </c>
      <c r="AM2116" s="4">
        <v>61</v>
      </c>
      <c r="AN2116" s="4">
        <v>0</v>
      </c>
      <c r="AO2116" s="4">
        <v>0</v>
      </c>
      <c r="AP2116" s="4">
        <v>21</v>
      </c>
      <c r="AQ2116" s="4">
        <v>33</v>
      </c>
      <c r="AR2116" s="3" t="s">
        <v>62</v>
      </c>
      <c r="AS2116" s="3" t="s">
        <v>62</v>
      </c>
      <c r="AT2116" s="3" t="s">
        <v>61</v>
      </c>
      <c r="AU2116" s="6" t="str">
        <f>HYPERLINK("http://catalog.hathitrust.org/Record/002889537","HathiTrust Record")</f>
        <v>HathiTrust Record</v>
      </c>
      <c r="AV2116" s="6" t="str">
        <f>HYPERLINK("http://mcgill.on.worldcat.org/oclc/29667945","Catalog Record")</f>
        <v>Catalog Record</v>
      </c>
      <c r="AW2116" s="6" t="str">
        <f>HYPERLINK("http://www.worldcat.org/oclc/29667945","WorldCat Record")</f>
        <v>WorldCat Record</v>
      </c>
      <c r="AX2116" s="3" t="s">
        <v>20911</v>
      </c>
      <c r="AY2116" s="3" t="s">
        <v>20912</v>
      </c>
      <c r="AZ2116" s="3" t="s">
        <v>20913</v>
      </c>
      <c r="BA2116" s="3" t="s">
        <v>20913</v>
      </c>
      <c r="BB2116" s="3" t="s">
        <v>20914</v>
      </c>
      <c r="BC2116" s="3" t="s">
        <v>102</v>
      </c>
      <c r="BD2116" s="3" t="s">
        <v>68</v>
      </c>
      <c r="BE2116" s="3" t="s">
        <v>20915</v>
      </c>
      <c r="BF2116" s="3" t="s">
        <v>20914</v>
      </c>
      <c r="BG2116" s="3" t="s">
        <v>20916</v>
      </c>
    </row>
    <row r="2117" spans="1:59" ht="58" x14ac:dyDescent="0.35">
      <c r="A2117" s="2" t="s">
        <v>89</v>
      </c>
      <c r="B2117" s="2" t="s">
        <v>90</v>
      </c>
      <c r="C2117" s="2" t="s">
        <v>20917</v>
      </c>
      <c r="D2117" s="2" t="s">
        <v>20918</v>
      </c>
      <c r="E2117" s="2" t="s">
        <v>20919</v>
      </c>
      <c r="G2117" s="3" t="s">
        <v>62</v>
      </c>
      <c r="I2117" s="3" t="s">
        <v>62</v>
      </c>
      <c r="J2117" s="3" t="s">
        <v>62</v>
      </c>
      <c r="K2117" s="3" t="s">
        <v>63</v>
      </c>
      <c r="L2117" s="2" t="s">
        <v>20920</v>
      </c>
      <c r="M2117" s="2" t="s">
        <v>20921</v>
      </c>
      <c r="N2117" s="3" t="s">
        <v>809</v>
      </c>
      <c r="P2117" s="3" t="s">
        <v>64</v>
      </c>
      <c r="Q2117" s="2" t="s">
        <v>20922</v>
      </c>
      <c r="R2117" s="3" t="s">
        <v>13065</v>
      </c>
      <c r="S2117" s="4">
        <v>9</v>
      </c>
      <c r="T2117" s="4">
        <v>9</v>
      </c>
      <c r="U2117" s="5" t="s">
        <v>10773</v>
      </c>
      <c r="V2117" s="5" t="s">
        <v>10773</v>
      </c>
      <c r="W2117" s="5" t="s">
        <v>67</v>
      </c>
      <c r="X2117" s="5" t="s">
        <v>67</v>
      </c>
      <c r="Y2117" s="4">
        <v>1051</v>
      </c>
      <c r="Z2117" s="4">
        <v>36</v>
      </c>
      <c r="AA2117" s="4">
        <v>97</v>
      </c>
      <c r="AB2117" s="4">
        <v>2</v>
      </c>
      <c r="AC2117" s="4">
        <v>15</v>
      </c>
      <c r="AD2117" s="4">
        <v>128</v>
      </c>
      <c r="AE2117" s="4">
        <v>157</v>
      </c>
      <c r="AF2117" s="4">
        <v>1</v>
      </c>
      <c r="AG2117" s="4">
        <v>8</v>
      </c>
      <c r="AH2117" s="4">
        <v>104</v>
      </c>
      <c r="AI2117" s="4">
        <v>112</v>
      </c>
      <c r="AJ2117" s="4">
        <v>20</v>
      </c>
      <c r="AK2117" s="4">
        <v>27</v>
      </c>
      <c r="AL2117" s="4">
        <v>55</v>
      </c>
      <c r="AM2117" s="4">
        <v>60</v>
      </c>
      <c r="AN2117" s="4">
        <v>0</v>
      </c>
      <c r="AO2117" s="4">
        <v>0</v>
      </c>
      <c r="AP2117" s="4">
        <v>32</v>
      </c>
      <c r="AQ2117" s="4">
        <v>52</v>
      </c>
      <c r="AR2117" s="3" t="s">
        <v>62</v>
      </c>
      <c r="AS2117" s="3" t="s">
        <v>62</v>
      </c>
      <c r="AT2117" s="3" t="s">
        <v>61</v>
      </c>
      <c r="AU2117" s="6" t="str">
        <f>HYPERLINK("http://catalog.hathitrust.org/Record/000424140","HathiTrust Record")</f>
        <v>HathiTrust Record</v>
      </c>
      <c r="AV2117" s="6" t="str">
        <f>HYPERLINK("http://mcgill.on.worldcat.org/oclc/526977","Catalog Record")</f>
        <v>Catalog Record</v>
      </c>
      <c r="AW2117" s="6" t="str">
        <f>HYPERLINK("http://www.worldcat.org/oclc/526977","WorldCat Record")</f>
        <v>WorldCat Record</v>
      </c>
      <c r="AX2117" s="3" t="s">
        <v>20923</v>
      </c>
      <c r="AY2117" s="3" t="s">
        <v>20924</v>
      </c>
      <c r="AZ2117" s="3" t="s">
        <v>20925</v>
      </c>
      <c r="BA2117" s="3" t="s">
        <v>20925</v>
      </c>
      <c r="BB2117" s="3" t="s">
        <v>20926</v>
      </c>
      <c r="BC2117" s="3" t="s">
        <v>102</v>
      </c>
      <c r="BD2117" s="3" t="s">
        <v>68</v>
      </c>
      <c r="BE2117" s="3" t="s">
        <v>20927</v>
      </c>
      <c r="BF2117" s="3" t="s">
        <v>20926</v>
      </c>
      <c r="BG2117" s="3" t="s">
        <v>20928</v>
      </c>
    </row>
    <row r="2118" spans="1:59" ht="58" x14ac:dyDescent="0.35">
      <c r="A2118" s="2" t="s">
        <v>89</v>
      </c>
      <c r="B2118" s="2" t="s">
        <v>90</v>
      </c>
      <c r="C2118" s="2" t="s">
        <v>20929</v>
      </c>
      <c r="D2118" s="2" t="s">
        <v>20930</v>
      </c>
      <c r="E2118" s="2" t="s">
        <v>20931</v>
      </c>
      <c r="G2118" s="3" t="s">
        <v>62</v>
      </c>
      <c r="I2118" s="3" t="s">
        <v>62</v>
      </c>
      <c r="J2118" s="3" t="s">
        <v>62</v>
      </c>
      <c r="K2118" s="3" t="s">
        <v>63</v>
      </c>
      <c r="L2118" s="2" t="s">
        <v>20932</v>
      </c>
      <c r="M2118" s="2" t="s">
        <v>20933</v>
      </c>
      <c r="N2118" s="3" t="s">
        <v>1662</v>
      </c>
      <c r="P2118" s="3" t="s">
        <v>64</v>
      </c>
      <c r="Q2118" s="2" t="s">
        <v>7944</v>
      </c>
      <c r="R2118" s="3" t="s">
        <v>13065</v>
      </c>
      <c r="S2118" s="4">
        <v>4</v>
      </c>
      <c r="T2118" s="4">
        <v>4</v>
      </c>
      <c r="U2118" s="5" t="s">
        <v>20934</v>
      </c>
      <c r="V2118" s="5" t="s">
        <v>20934</v>
      </c>
      <c r="W2118" s="5" t="s">
        <v>67</v>
      </c>
      <c r="X2118" s="5" t="s">
        <v>67</v>
      </c>
      <c r="Y2118" s="4">
        <v>412</v>
      </c>
      <c r="Z2118" s="4">
        <v>24</v>
      </c>
      <c r="AA2118" s="4">
        <v>43</v>
      </c>
      <c r="AB2118" s="4">
        <v>2</v>
      </c>
      <c r="AC2118" s="4">
        <v>8</v>
      </c>
      <c r="AD2118" s="4">
        <v>118</v>
      </c>
      <c r="AE2118" s="4">
        <v>138</v>
      </c>
      <c r="AF2118" s="4">
        <v>1</v>
      </c>
      <c r="AG2118" s="4">
        <v>4</v>
      </c>
      <c r="AH2118" s="4">
        <v>101</v>
      </c>
      <c r="AI2118" s="4">
        <v>110</v>
      </c>
      <c r="AJ2118" s="4">
        <v>16</v>
      </c>
      <c r="AK2118" s="4">
        <v>24</v>
      </c>
      <c r="AL2118" s="4">
        <v>61</v>
      </c>
      <c r="AM2118" s="4">
        <v>63</v>
      </c>
      <c r="AN2118" s="4">
        <v>0</v>
      </c>
      <c r="AO2118" s="4">
        <v>5</v>
      </c>
      <c r="AP2118" s="4">
        <v>21</v>
      </c>
      <c r="AQ2118" s="4">
        <v>34</v>
      </c>
      <c r="AR2118" s="3" t="s">
        <v>62</v>
      </c>
      <c r="AS2118" s="3" t="s">
        <v>62</v>
      </c>
      <c r="AT2118" s="3" t="s">
        <v>61</v>
      </c>
      <c r="AU2118" s="6" t="str">
        <f>HYPERLINK("http://catalog.hathitrust.org/Record/000618185","HathiTrust Record")</f>
        <v>HathiTrust Record</v>
      </c>
      <c r="AV2118" s="6" t="str">
        <f>HYPERLINK("http://mcgill.on.worldcat.org/oclc/339836","Catalog Record")</f>
        <v>Catalog Record</v>
      </c>
      <c r="AW2118" s="6" t="str">
        <f>HYPERLINK("http://www.worldcat.org/oclc/339836","WorldCat Record")</f>
        <v>WorldCat Record</v>
      </c>
      <c r="AX2118" s="3" t="s">
        <v>20935</v>
      </c>
      <c r="AY2118" s="3" t="s">
        <v>20936</v>
      </c>
      <c r="AZ2118" s="3" t="s">
        <v>20937</v>
      </c>
      <c r="BA2118" s="3" t="s">
        <v>20937</v>
      </c>
      <c r="BB2118" s="3" t="s">
        <v>20938</v>
      </c>
      <c r="BC2118" s="3" t="s">
        <v>102</v>
      </c>
      <c r="BD2118" s="3" t="s">
        <v>68</v>
      </c>
      <c r="BF2118" s="3" t="s">
        <v>20938</v>
      </c>
      <c r="BG2118" s="3" t="s">
        <v>20939</v>
      </c>
    </row>
    <row r="2119" spans="1:59" ht="58" x14ac:dyDescent="0.35">
      <c r="A2119" s="2" t="s">
        <v>89</v>
      </c>
      <c r="B2119" s="2" t="s">
        <v>90</v>
      </c>
      <c r="C2119" s="2" t="s">
        <v>20940</v>
      </c>
      <c r="D2119" s="2" t="s">
        <v>20941</v>
      </c>
      <c r="E2119" s="2" t="s">
        <v>20942</v>
      </c>
      <c r="G2119" s="3" t="s">
        <v>62</v>
      </c>
      <c r="I2119" s="3" t="s">
        <v>62</v>
      </c>
      <c r="J2119" s="3" t="s">
        <v>61</v>
      </c>
      <c r="K2119" s="3" t="s">
        <v>63</v>
      </c>
      <c r="L2119" s="2" t="s">
        <v>20943</v>
      </c>
      <c r="M2119" s="2" t="s">
        <v>20944</v>
      </c>
      <c r="N2119" s="3" t="s">
        <v>2305</v>
      </c>
      <c r="O2119" s="2" t="s">
        <v>20945</v>
      </c>
      <c r="P2119" s="3" t="s">
        <v>64</v>
      </c>
      <c r="Q2119" s="2" t="s">
        <v>7944</v>
      </c>
      <c r="R2119" s="3" t="s">
        <v>13065</v>
      </c>
      <c r="S2119" s="4">
        <v>10</v>
      </c>
      <c r="T2119" s="4">
        <v>10</v>
      </c>
      <c r="U2119" s="5" t="s">
        <v>20946</v>
      </c>
      <c r="V2119" s="5" t="s">
        <v>20946</v>
      </c>
      <c r="W2119" s="5" t="s">
        <v>67</v>
      </c>
      <c r="X2119" s="5" t="s">
        <v>67</v>
      </c>
      <c r="Y2119" s="4">
        <v>282</v>
      </c>
      <c r="Z2119" s="4">
        <v>14</v>
      </c>
      <c r="AA2119" s="4">
        <v>44</v>
      </c>
      <c r="AB2119" s="4">
        <v>1</v>
      </c>
      <c r="AC2119" s="4">
        <v>6</v>
      </c>
      <c r="AD2119" s="4">
        <v>75</v>
      </c>
      <c r="AE2119" s="4">
        <v>137</v>
      </c>
      <c r="AF2119" s="4">
        <v>0</v>
      </c>
      <c r="AG2119" s="4">
        <v>4</v>
      </c>
      <c r="AH2119" s="4">
        <v>67</v>
      </c>
      <c r="AI2119" s="4">
        <v>111</v>
      </c>
      <c r="AJ2119" s="4">
        <v>9</v>
      </c>
      <c r="AK2119" s="4">
        <v>27</v>
      </c>
      <c r="AL2119" s="4">
        <v>39</v>
      </c>
      <c r="AM2119" s="4">
        <v>60</v>
      </c>
      <c r="AN2119" s="4">
        <v>0</v>
      </c>
      <c r="AO2119" s="4">
        <v>0</v>
      </c>
      <c r="AP2119" s="4">
        <v>13</v>
      </c>
      <c r="AQ2119" s="4">
        <v>34</v>
      </c>
      <c r="AR2119" s="3" t="s">
        <v>62</v>
      </c>
      <c r="AS2119" s="3" t="s">
        <v>62</v>
      </c>
      <c r="AT2119" s="3" t="s">
        <v>61</v>
      </c>
      <c r="AU2119" s="6" t="str">
        <f>HYPERLINK("http://catalog.hathitrust.org/Record/000425049","HathiTrust Record")</f>
        <v>HathiTrust Record</v>
      </c>
      <c r="AV2119" s="6" t="str">
        <f>HYPERLINK("http://mcgill.on.worldcat.org/oclc/1887574","Catalog Record")</f>
        <v>Catalog Record</v>
      </c>
      <c r="AW2119" s="6" t="str">
        <f>HYPERLINK("http://www.worldcat.org/oclc/1887574","WorldCat Record")</f>
        <v>WorldCat Record</v>
      </c>
      <c r="AX2119" s="3" t="s">
        <v>20947</v>
      </c>
      <c r="AY2119" s="3" t="s">
        <v>20948</v>
      </c>
      <c r="AZ2119" s="3" t="s">
        <v>20949</v>
      </c>
      <c r="BA2119" s="3" t="s">
        <v>20949</v>
      </c>
      <c r="BB2119" s="3" t="s">
        <v>20950</v>
      </c>
      <c r="BC2119" s="3" t="s">
        <v>102</v>
      </c>
      <c r="BD2119" s="3" t="s">
        <v>68</v>
      </c>
      <c r="BF2119" s="3" t="s">
        <v>20950</v>
      </c>
      <c r="BG2119" s="3" t="s">
        <v>20951</v>
      </c>
    </row>
    <row r="2120" spans="1:59" ht="101.5" x14ac:dyDescent="0.35">
      <c r="A2120" s="2" t="s">
        <v>89</v>
      </c>
      <c r="B2120" s="2" t="s">
        <v>90</v>
      </c>
      <c r="C2120" s="2" t="s">
        <v>20952</v>
      </c>
      <c r="D2120" s="2" t="s">
        <v>20953</v>
      </c>
      <c r="E2120" s="2" t="s">
        <v>20954</v>
      </c>
      <c r="G2120" s="3" t="s">
        <v>62</v>
      </c>
      <c r="I2120" s="3" t="s">
        <v>62</v>
      </c>
      <c r="J2120" s="3" t="s">
        <v>62</v>
      </c>
      <c r="K2120" s="3" t="s">
        <v>63</v>
      </c>
      <c r="L2120" s="2" t="s">
        <v>20943</v>
      </c>
      <c r="M2120" s="2" t="s">
        <v>20955</v>
      </c>
      <c r="N2120" s="3" t="s">
        <v>7622</v>
      </c>
      <c r="O2120" s="2" t="s">
        <v>20956</v>
      </c>
      <c r="P2120" s="3" t="s">
        <v>1881</v>
      </c>
      <c r="Q2120" s="2" t="s">
        <v>20957</v>
      </c>
      <c r="R2120" s="3" t="s">
        <v>13065</v>
      </c>
      <c r="S2120" s="4">
        <v>1</v>
      </c>
      <c r="T2120" s="4">
        <v>1</v>
      </c>
      <c r="U2120" s="5" t="s">
        <v>2589</v>
      </c>
      <c r="V2120" s="5" t="s">
        <v>2589</v>
      </c>
      <c r="W2120" s="5" t="s">
        <v>67</v>
      </c>
      <c r="X2120" s="5" t="s">
        <v>67</v>
      </c>
      <c r="Y2120" s="4">
        <v>160</v>
      </c>
      <c r="Z2120" s="4">
        <v>6</v>
      </c>
      <c r="AA2120" s="4">
        <v>14</v>
      </c>
      <c r="AB2120" s="4">
        <v>1</v>
      </c>
      <c r="AC2120" s="4">
        <v>2</v>
      </c>
      <c r="AD2120" s="4">
        <v>53</v>
      </c>
      <c r="AE2120" s="4">
        <v>86</v>
      </c>
      <c r="AF2120" s="4">
        <v>0</v>
      </c>
      <c r="AG2120" s="4">
        <v>1</v>
      </c>
      <c r="AH2120" s="4">
        <v>50</v>
      </c>
      <c r="AI2120" s="4">
        <v>81</v>
      </c>
      <c r="AJ2120" s="4">
        <v>4</v>
      </c>
      <c r="AK2120" s="4">
        <v>9</v>
      </c>
      <c r="AL2120" s="4">
        <v>35</v>
      </c>
      <c r="AM2120" s="4">
        <v>50</v>
      </c>
      <c r="AN2120" s="4">
        <v>0</v>
      </c>
      <c r="AO2120" s="4">
        <v>0</v>
      </c>
      <c r="AP2120" s="4">
        <v>4</v>
      </c>
      <c r="AQ2120" s="4">
        <v>10</v>
      </c>
      <c r="AR2120" s="3" t="s">
        <v>62</v>
      </c>
      <c r="AS2120" s="3" t="s">
        <v>62</v>
      </c>
      <c r="AT2120" s="3" t="s">
        <v>61</v>
      </c>
      <c r="AU2120" s="6" t="str">
        <f>HYPERLINK("http://catalog.hathitrust.org/Record/000435712","HathiTrust Record")</f>
        <v>HathiTrust Record</v>
      </c>
      <c r="AV2120" s="6" t="str">
        <f>HYPERLINK("http://mcgill.on.worldcat.org/oclc/5281666","Catalog Record")</f>
        <v>Catalog Record</v>
      </c>
      <c r="AW2120" s="6" t="str">
        <f>HYPERLINK("http://www.worldcat.org/oclc/5281666","WorldCat Record")</f>
        <v>WorldCat Record</v>
      </c>
      <c r="AX2120" s="3" t="s">
        <v>20958</v>
      </c>
      <c r="AY2120" s="3" t="s">
        <v>20959</v>
      </c>
      <c r="AZ2120" s="3" t="s">
        <v>20960</v>
      </c>
      <c r="BA2120" s="3" t="s">
        <v>20960</v>
      </c>
      <c r="BB2120" s="3" t="s">
        <v>20961</v>
      </c>
      <c r="BC2120" s="3" t="s">
        <v>102</v>
      </c>
      <c r="BD2120" s="3" t="s">
        <v>68</v>
      </c>
      <c r="BF2120" s="3" t="s">
        <v>20961</v>
      </c>
      <c r="BG2120" s="3" t="s">
        <v>20962</v>
      </c>
    </row>
    <row r="2121" spans="1:59" ht="58" x14ac:dyDescent="0.35">
      <c r="A2121" s="2" t="s">
        <v>89</v>
      </c>
      <c r="B2121" s="2" t="s">
        <v>90</v>
      </c>
      <c r="C2121" s="2" t="s">
        <v>20963</v>
      </c>
      <c r="D2121" s="2" t="s">
        <v>20964</v>
      </c>
      <c r="E2121" s="2" t="s">
        <v>20965</v>
      </c>
      <c r="G2121" s="3" t="s">
        <v>62</v>
      </c>
      <c r="I2121" s="3" t="s">
        <v>61</v>
      </c>
      <c r="J2121" s="3" t="s">
        <v>62</v>
      </c>
      <c r="K2121" s="3" t="s">
        <v>63</v>
      </c>
      <c r="L2121" s="2" t="s">
        <v>20966</v>
      </c>
      <c r="M2121" s="2" t="s">
        <v>1999</v>
      </c>
      <c r="N2121" s="3" t="s">
        <v>2000</v>
      </c>
      <c r="P2121" s="3" t="s">
        <v>64</v>
      </c>
      <c r="R2121" s="3" t="s">
        <v>13065</v>
      </c>
      <c r="S2121" s="4">
        <v>52</v>
      </c>
      <c r="T2121" s="4">
        <v>123</v>
      </c>
      <c r="U2121" s="5" t="s">
        <v>20967</v>
      </c>
      <c r="V2121" s="5" t="s">
        <v>14432</v>
      </c>
      <c r="W2121" s="5" t="s">
        <v>1338</v>
      </c>
      <c r="X2121" s="5" t="s">
        <v>1338</v>
      </c>
      <c r="Y2121" s="4">
        <v>321</v>
      </c>
      <c r="Z2121" s="4">
        <v>19</v>
      </c>
      <c r="AA2121" s="4">
        <v>20</v>
      </c>
      <c r="AB2121" s="4">
        <v>2</v>
      </c>
      <c r="AC2121" s="4">
        <v>3</v>
      </c>
      <c r="AD2121" s="4">
        <v>81</v>
      </c>
      <c r="AE2121" s="4">
        <v>82</v>
      </c>
      <c r="AF2121" s="4">
        <v>1</v>
      </c>
      <c r="AG2121" s="4">
        <v>2</v>
      </c>
      <c r="AH2121" s="4">
        <v>68</v>
      </c>
      <c r="AI2121" s="4">
        <v>68</v>
      </c>
      <c r="AJ2121" s="4">
        <v>7</v>
      </c>
      <c r="AK2121" s="4">
        <v>8</v>
      </c>
      <c r="AL2121" s="4">
        <v>41</v>
      </c>
      <c r="AM2121" s="4">
        <v>41</v>
      </c>
      <c r="AN2121" s="4">
        <v>0</v>
      </c>
      <c r="AO2121" s="4">
        <v>0</v>
      </c>
      <c r="AP2121" s="4">
        <v>16</v>
      </c>
      <c r="AQ2121" s="4">
        <v>17</v>
      </c>
      <c r="AR2121" s="3" t="s">
        <v>62</v>
      </c>
      <c r="AS2121" s="3" t="s">
        <v>62</v>
      </c>
      <c r="AT2121" s="3" t="s">
        <v>62</v>
      </c>
      <c r="AV2121" s="6" t="str">
        <f>HYPERLINK("http://mcgill.on.worldcat.org/oclc/33818819","Catalog Record")</f>
        <v>Catalog Record</v>
      </c>
      <c r="AW2121" s="6" t="str">
        <f>HYPERLINK("http://www.worldcat.org/oclc/33818819","WorldCat Record")</f>
        <v>WorldCat Record</v>
      </c>
      <c r="AX2121" s="3" t="s">
        <v>20968</v>
      </c>
      <c r="AY2121" s="3" t="s">
        <v>20969</v>
      </c>
      <c r="AZ2121" s="3" t="s">
        <v>20970</v>
      </c>
      <c r="BA2121" s="3" t="s">
        <v>20970</v>
      </c>
      <c r="BB2121" s="3" t="s">
        <v>20971</v>
      </c>
      <c r="BC2121" s="3" t="s">
        <v>102</v>
      </c>
      <c r="BD2121" s="3" t="s">
        <v>68</v>
      </c>
      <c r="BE2121" s="3" t="s">
        <v>20972</v>
      </c>
      <c r="BF2121" s="3" t="s">
        <v>20971</v>
      </c>
      <c r="BG2121" s="3" t="s">
        <v>20973</v>
      </c>
    </row>
    <row r="2122" spans="1:59" ht="58" x14ac:dyDescent="0.35">
      <c r="A2122" s="2" t="s">
        <v>89</v>
      </c>
      <c r="B2122" s="2" t="s">
        <v>90</v>
      </c>
      <c r="C2122" s="2" t="s">
        <v>20963</v>
      </c>
      <c r="D2122" s="2" t="s">
        <v>20964</v>
      </c>
      <c r="E2122" s="2" t="s">
        <v>20965</v>
      </c>
      <c r="G2122" s="3" t="s">
        <v>62</v>
      </c>
      <c r="I2122" s="3" t="s">
        <v>61</v>
      </c>
      <c r="J2122" s="3" t="s">
        <v>62</v>
      </c>
      <c r="K2122" s="3" t="s">
        <v>63</v>
      </c>
      <c r="L2122" s="2" t="s">
        <v>20966</v>
      </c>
      <c r="M2122" s="2" t="s">
        <v>1999</v>
      </c>
      <c r="N2122" s="3" t="s">
        <v>2000</v>
      </c>
      <c r="P2122" s="3" t="s">
        <v>64</v>
      </c>
      <c r="R2122" s="3" t="s">
        <v>13065</v>
      </c>
      <c r="S2122" s="4">
        <v>39</v>
      </c>
      <c r="T2122" s="4">
        <v>123</v>
      </c>
      <c r="U2122" s="5" t="s">
        <v>14432</v>
      </c>
      <c r="V2122" s="5" t="s">
        <v>14432</v>
      </c>
      <c r="W2122" s="5" t="s">
        <v>1338</v>
      </c>
      <c r="X2122" s="5" t="s">
        <v>1338</v>
      </c>
      <c r="Y2122" s="4">
        <v>321</v>
      </c>
      <c r="Z2122" s="4">
        <v>19</v>
      </c>
      <c r="AA2122" s="4">
        <v>20</v>
      </c>
      <c r="AB2122" s="4">
        <v>2</v>
      </c>
      <c r="AC2122" s="4">
        <v>3</v>
      </c>
      <c r="AD2122" s="4">
        <v>81</v>
      </c>
      <c r="AE2122" s="4">
        <v>82</v>
      </c>
      <c r="AF2122" s="4">
        <v>1</v>
      </c>
      <c r="AG2122" s="4">
        <v>2</v>
      </c>
      <c r="AH2122" s="4">
        <v>68</v>
      </c>
      <c r="AI2122" s="4">
        <v>68</v>
      </c>
      <c r="AJ2122" s="4">
        <v>7</v>
      </c>
      <c r="AK2122" s="4">
        <v>8</v>
      </c>
      <c r="AL2122" s="4">
        <v>41</v>
      </c>
      <c r="AM2122" s="4">
        <v>41</v>
      </c>
      <c r="AN2122" s="4">
        <v>0</v>
      </c>
      <c r="AO2122" s="4">
        <v>0</v>
      </c>
      <c r="AP2122" s="4">
        <v>16</v>
      </c>
      <c r="AQ2122" s="4">
        <v>17</v>
      </c>
      <c r="AR2122" s="3" t="s">
        <v>62</v>
      </c>
      <c r="AS2122" s="3" t="s">
        <v>62</v>
      </c>
      <c r="AT2122" s="3" t="s">
        <v>62</v>
      </c>
      <c r="AV2122" s="6" t="str">
        <f>HYPERLINK("http://mcgill.on.worldcat.org/oclc/33818819","Catalog Record")</f>
        <v>Catalog Record</v>
      </c>
      <c r="AW2122" s="6" t="str">
        <f>HYPERLINK("http://www.worldcat.org/oclc/33818819","WorldCat Record")</f>
        <v>WorldCat Record</v>
      </c>
      <c r="AX2122" s="3" t="s">
        <v>20968</v>
      </c>
      <c r="AY2122" s="3" t="s">
        <v>20969</v>
      </c>
      <c r="AZ2122" s="3" t="s">
        <v>20970</v>
      </c>
      <c r="BA2122" s="3" t="s">
        <v>20970</v>
      </c>
      <c r="BB2122" s="3" t="s">
        <v>20974</v>
      </c>
      <c r="BC2122" s="3" t="s">
        <v>102</v>
      </c>
      <c r="BD2122" s="3" t="s">
        <v>68</v>
      </c>
      <c r="BE2122" s="3" t="s">
        <v>20972</v>
      </c>
      <c r="BF2122" s="3" t="s">
        <v>20974</v>
      </c>
      <c r="BG2122" s="3" t="s">
        <v>20975</v>
      </c>
    </row>
    <row r="2123" spans="1:59" ht="58" x14ac:dyDescent="0.35">
      <c r="A2123" s="2" t="s">
        <v>89</v>
      </c>
      <c r="B2123" s="2" t="s">
        <v>90</v>
      </c>
      <c r="C2123" s="2" t="s">
        <v>20963</v>
      </c>
      <c r="D2123" s="2" t="s">
        <v>20964</v>
      </c>
      <c r="E2123" s="2" t="s">
        <v>20965</v>
      </c>
      <c r="G2123" s="3" t="s">
        <v>62</v>
      </c>
      <c r="I2123" s="3" t="s">
        <v>61</v>
      </c>
      <c r="J2123" s="3" t="s">
        <v>62</v>
      </c>
      <c r="K2123" s="3" t="s">
        <v>63</v>
      </c>
      <c r="L2123" s="2" t="s">
        <v>20966</v>
      </c>
      <c r="M2123" s="2" t="s">
        <v>1999</v>
      </c>
      <c r="N2123" s="3" t="s">
        <v>2000</v>
      </c>
      <c r="P2123" s="3" t="s">
        <v>64</v>
      </c>
      <c r="R2123" s="3" t="s">
        <v>13065</v>
      </c>
      <c r="S2123" s="4">
        <v>32</v>
      </c>
      <c r="T2123" s="4">
        <v>123</v>
      </c>
      <c r="U2123" s="5" t="s">
        <v>20976</v>
      </c>
      <c r="V2123" s="5" t="s">
        <v>14432</v>
      </c>
      <c r="W2123" s="5" t="s">
        <v>1338</v>
      </c>
      <c r="X2123" s="5" t="s">
        <v>1338</v>
      </c>
      <c r="Y2123" s="4">
        <v>321</v>
      </c>
      <c r="Z2123" s="4">
        <v>19</v>
      </c>
      <c r="AA2123" s="4">
        <v>20</v>
      </c>
      <c r="AB2123" s="4">
        <v>2</v>
      </c>
      <c r="AC2123" s="4">
        <v>3</v>
      </c>
      <c r="AD2123" s="4">
        <v>81</v>
      </c>
      <c r="AE2123" s="4">
        <v>82</v>
      </c>
      <c r="AF2123" s="4">
        <v>1</v>
      </c>
      <c r="AG2123" s="4">
        <v>2</v>
      </c>
      <c r="AH2123" s="4">
        <v>68</v>
      </c>
      <c r="AI2123" s="4">
        <v>68</v>
      </c>
      <c r="AJ2123" s="4">
        <v>7</v>
      </c>
      <c r="AK2123" s="4">
        <v>8</v>
      </c>
      <c r="AL2123" s="4">
        <v>41</v>
      </c>
      <c r="AM2123" s="4">
        <v>41</v>
      </c>
      <c r="AN2123" s="4">
        <v>0</v>
      </c>
      <c r="AO2123" s="4">
        <v>0</v>
      </c>
      <c r="AP2123" s="4">
        <v>16</v>
      </c>
      <c r="AQ2123" s="4">
        <v>17</v>
      </c>
      <c r="AR2123" s="3" t="s">
        <v>62</v>
      </c>
      <c r="AS2123" s="3" t="s">
        <v>62</v>
      </c>
      <c r="AT2123" s="3" t="s">
        <v>62</v>
      </c>
      <c r="AV2123" s="6" t="str">
        <f>HYPERLINK("http://mcgill.on.worldcat.org/oclc/33818819","Catalog Record")</f>
        <v>Catalog Record</v>
      </c>
      <c r="AW2123" s="6" t="str">
        <f>HYPERLINK("http://www.worldcat.org/oclc/33818819","WorldCat Record")</f>
        <v>WorldCat Record</v>
      </c>
      <c r="AX2123" s="3" t="s">
        <v>20968</v>
      </c>
      <c r="AY2123" s="3" t="s">
        <v>20969</v>
      </c>
      <c r="AZ2123" s="3" t="s">
        <v>20970</v>
      </c>
      <c r="BA2123" s="3" t="s">
        <v>20970</v>
      </c>
      <c r="BB2123" s="3" t="s">
        <v>20977</v>
      </c>
      <c r="BC2123" s="3" t="s">
        <v>102</v>
      </c>
      <c r="BD2123" s="3" t="s">
        <v>231</v>
      </c>
      <c r="BE2123" s="3" t="s">
        <v>20972</v>
      </c>
      <c r="BF2123" s="3" t="s">
        <v>20977</v>
      </c>
      <c r="BG2123" s="3" t="s">
        <v>20978</v>
      </c>
    </row>
    <row r="2124" spans="1:59" ht="58" x14ac:dyDescent="0.35">
      <c r="A2124" s="2" t="s">
        <v>89</v>
      </c>
      <c r="B2124" s="2" t="s">
        <v>90</v>
      </c>
      <c r="C2124" s="2" t="s">
        <v>20979</v>
      </c>
      <c r="D2124" s="2" t="s">
        <v>20980</v>
      </c>
      <c r="E2124" s="2" t="s">
        <v>20981</v>
      </c>
      <c r="G2124" s="3" t="s">
        <v>62</v>
      </c>
      <c r="I2124" s="3" t="s">
        <v>62</v>
      </c>
      <c r="J2124" s="3" t="s">
        <v>62</v>
      </c>
      <c r="K2124" s="3" t="s">
        <v>63</v>
      </c>
      <c r="L2124" s="2" t="s">
        <v>20982</v>
      </c>
      <c r="M2124" s="2" t="s">
        <v>13545</v>
      </c>
      <c r="N2124" s="3" t="s">
        <v>712</v>
      </c>
      <c r="P2124" s="3" t="s">
        <v>64</v>
      </c>
      <c r="Q2124" s="2" t="s">
        <v>20983</v>
      </c>
      <c r="R2124" s="3" t="s">
        <v>13065</v>
      </c>
      <c r="S2124" s="4">
        <v>3</v>
      </c>
      <c r="T2124" s="4">
        <v>3</v>
      </c>
      <c r="U2124" s="5" t="s">
        <v>20582</v>
      </c>
      <c r="V2124" s="5" t="s">
        <v>20582</v>
      </c>
      <c r="W2124" s="5" t="s">
        <v>67</v>
      </c>
      <c r="X2124" s="5" t="s">
        <v>67</v>
      </c>
      <c r="Y2124" s="4">
        <v>44</v>
      </c>
      <c r="Z2124" s="4">
        <v>2</v>
      </c>
      <c r="AA2124" s="4">
        <v>47</v>
      </c>
      <c r="AB2124" s="4">
        <v>1</v>
      </c>
      <c r="AC2124" s="4">
        <v>5</v>
      </c>
      <c r="AD2124" s="4">
        <v>15</v>
      </c>
      <c r="AE2124" s="4">
        <v>62</v>
      </c>
      <c r="AF2124" s="4">
        <v>0</v>
      </c>
      <c r="AG2124" s="4">
        <v>3</v>
      </c>
      <c r="AH2124" s="4">
        <v>13</v>
      </c>
      <c r="AI2124" s="4">
        <v>42</v>
      </c>
      <c r="AJ2124" s="4">
        <v>1</v>
      </c>
      <c r="AK2124" s="4">
        <v>17</v>
      </c>
      <c r="AL2124" s="4">
        <v>8</v>
      </c>
      <c r="AM2124" s="4">
        <v>22</v>
      </c>
      <c r="AN2124" s="4">
        <v>0</v>
      </c>
      <c r="AO2124" s="4">
        <v>0</v>
      </c>
      <c r="AP2124" s="4">
        <v>1</v>
      </c>
      <c r="AQ2124" s="4">
        <v>25</v>
      </c>
      <c r="AR2124" s="3" t="s">
        <v>62</v>
      </c>
      <c r="AS2124" s="3" t="s">
        <v>62</v>
      </c>
      <c r="AT2124" s="3" t="s">
        <v>62</v>
      </c>
      <c r="AV2124" s="6" t="str">
        <f>HYPERLINK("http://mcgill.on.worldcat.org/oclc/839397392","Catalog Record")</f>
        <v>Catalog Record</v>
      </c>
      <c r="AW2124" s="6" t="str">
        <f>HYPERLINK("http://www.worldcat.org/oclc/839397392","WorldCat Record")</f>
        <v>WorldCat Record</v>
      </c>
      <c r="AX2124" s="3" t="s">
        <v>20984</v>
      </c>
      <c r="AY2124" s="3" t="s">
        <v>20985</v>
      </c>
      <c r="AZ2124" s="3" t="s">
        <v>20986</v>
      </c>
      <c r="BA2124" s="3" t="s">
        <v>20986</v>
      </c>
      <c r="BB2124" s="3" t="s">
        <v>20987</v>
      </c>
      <c r="BC2124" s="3" t="s">
        <v>102</v>
      </c>
      <c r="BD2124" s="3" t="s">
        <v>231</v>
      </c>
      <c r="BE2124" s="3" t="s">
        <v>20988</v>
      </c>
      <c r="BF2124" s="3" t="s">
        <v>20987</v>
      </c>
      <c r="BG2124" s="3" t="s">
        <v>20989</v>
      </c>
    </row>
    <row r="2125" spans="1:59" ht="58" x14ac:dyDescent="0.35">
      <c r="A2125" s="2" t="s">
        <v>89</v>
      </c>
      <c r="B2125" s="2" t="s">
        <v>90</v>
      </c>
      <c r="C2125" s="2" t="s">
        <v>20990</v>
      </c>
      <c r="D2125" s="2" t="s">
        <v>20991</v>
      </c>
      <c r="E2125" s="2" t="s">
        <v>20992</v>
      </c>
      <c r="G2125" s="3" t="s">
        <v>62</v>
      </c>
      <c r="I2125" s="3" t="s">
        <v>61</v>
      </c>
      <c r="J2125" s="3" t="s">
        <v>62</v>
      </c>
      <c r="K2125" s="3" t="s">
        <v>63</v>
      </c>
      <c r="L2125" s="2" t="s">
        <v>20993</v>
      </c>
      <c r="M2125" s="2" t="s">
        <v>20994</v>
      </c>
      <c r="N2125" s="3" t="s">
        <v>6048</v>
      </c>
      <c r="P2125" s="3" t="s">
        <v>64</v>
      </c>
      <c r="Q2125" s="2" t="s">
        <v>15065</v>
      </c>
      <c r="R2125" s="3" t="s">
        <v>13065</v>
      </c>
      <c r="S2125" s="4">
        <v>6</v>
      </c>
      <c r="T2125" s="4">
        <v>6</v>
      </c>
      <c r="U2125" s="5" t="s">
        <v>8165</v>
      </c>
      <c r="V2125" s="5" t="s">
        <v>8165</v>
      </c>
      <c r="W2125" s="5" t="s">
        <v>67</v>
      </c>
      <c r="X2125" s="5" t="s">
        <v>67</v>
      </c>
      <c r="Y2125" s="4">
        <v>157</v>
      </c>
      <c r="Z2125" s="4">
        <v>10</v>
      </c>
      <c r="AA2125" s="4">
        <v>11</v>
      </c>
      <c r="AB2125" s="4">
        <v>2</v>
      </c>
      <c r="AC2125" s="4">
        <v>2</v>
      </c>
      <c r="AD2125" s="4">
        <v>61</v>
      </c>
      <c r="AE2125" s="4">
        <v>62</v>
      </c>
      <c r="AF2125" s="4">
        <v>1</v>
      </c>
      <c r="AG2125" s="4">
        <v>1</v>
      </c>
      <c r="AH2125" s="4">
        <v>55</v>
      </c>
      <c r="AI2125" s="4">
        <v>56</v>
      </c>
      <c r="AJ2125" s="4">
        <v>9</v>
      </c>
      <c r="AK2125" s="4">
        <v>10</v>
      </c>
      <c r="AL2125" s="4">
        <v>33</v>
      </c>
      <c r="AM2125" s="4">
        <v>33</v>
      </c>
      <c r="AN2125" s="4">
        <v>0</v>
      </c>
      <c r="AO2125" s="4">
        <v>0</v>
      </c>
      <c r="AP2125" s="4">
        <v>9</v>
      </c>
      <c r="AQ2125" s="4">
        <v>10</v>
      </c>
      <c r="AR2125" s="3" t="s">
        <v>61</v>
      </c>
      <c r="AS2125" s="3" t="s">
        <v>62</v>
      </c>
      <c r="AT2125" s="3" t="s">
        <v>61</v>
      </c>
      <c r="AU2125" s="6" t="str">
        <f>HYPERLINK("http://catalog.hathitrust.org/Record/000359735","HathiTrust Record")</f>
        <v>HathiTrust Record</v>
      </c>
      <c r="AV2125" s="6" t="str">
        <f>HYPERLINK("http://mcgill.on.worldcat.org/oclc/588171","Catalog Record")</f>
        <v>Catalog Record</v>
      </c>
      <c r="AW2125" s="6" t="str">
        <f>HYPERLINK("http://www.worldcat.org/oclc/588171","WorldCat Record")</f>
        <v>WorldCat Record</v>
      </c>
      <c r="AX2125" s="3" t="s">
        <v>20995</v>
      </c>
      <c r="AY2125" s="3" t="s">
        <v>20996</v>
      </c>
      <c r="AZ2125" s="3" t="s">
        <v>20997</v>
      </c>
      <c r="BA2125" s="3" t="s">
        <v>20997</v>
      </c>
      <c r="BB2125" s="3" t="s">
        <v>20998</v>
      </c>
      <c r="BC2125" s="3" t="s">
        <v>102</v>
      </c>
      <c r="BD2125" s="3" t="s">
        <v>68</v>
      </c>
      <c r="BF2125" s="3" t="s">
        <v>20998</v>
      </c>
      <c r="BG2125" s="3" t="s">
        <v>20999</v>
      </c>
    </row>
    <row r="2126" spans="1:59" ht="58" x14ac:dyDescent="0.35">
      <c r="A2126" s="2" t="s">
        <v>89</v>
      </c>
      <c r="B2126" s="2" t="s">
        <v>90</v>
      </c>
      <c r="C2126" s="2" t="s">
        <v>21000</v>
      </c>
      <c r="D2126" s="2" t="s">
        <v>21001</v>
      </c>
      <c r="E2126" s="2" t="s">
        <v>21002</v>
      </c>
      <c r="G2126" s="3" t="s">
        <v>62</v>
      </c>
      <c r="I2126" s="3" t="s">
        <v>61</v>
      </c>
      <c r="J2126" s="3" t="s">
        <v>62</v>
      </c>
      <c r="K2126" s="3" t="s">
        <v>63</v>
      </c>
      <c r="L2126" s="2" t="s">
        <v>21003</v>
      </c>
      <c r="M2126" s="2" t="s">
        <v>21004</v>
      </c>
      <c r="N2126" s="3" t="s">
        <v>930</v>
      </c>
      <c r="P2126" s="3" t="s">
        <v>64</v>
      </c>
      <c r="Q2126" s="2" t="s">
        <v>21005</v>
      </c>
      <c r="R2126" s="3" t="s">
        <v>13065</v>
      </c>
      <c r="S2126" s="4">
        <v>13</v>
      </c>
      <c r="T2126" s="4">
        <v>13</v>
      </c>
      <c r="U2126" s="5" t="s">
        <v>8165</v>
      </c>
      <c r="V2126" s="5" t="s">
        <v>8165</v>
      </c>
      <c r="W2126" s="5" t="s">
        <v>67</v>
      </c>
      <c r="X2126" s="5" t="s">
        <v>67</v>
      </c>
      <c r="Y2126" s="4">
        <v>859</v>
      </c>
      <c r="Z2126" s="4">
        <v>32</v>
      </c>
      <c r="AA2126" s="4">
        <v>58</v>
      </c>
      <c r="AB2126" s="4">
        <v>2</v>
      </c>
      <c r="AC2126" s="4">
        <v>11</v>
      </c>
      <c r="AD2126" s="4">
        <v>121</v>
      </c>
      <c r="AE2126" s="4">
        <v>142</v>
      </c>
      <c r="AF2126" s="4">
        <v>1</v>
      </c>
      <c r="AG2126" s="4">
        <v>6</v>
      </c>
      <c r="AH2126" s="4">
        <v>98</v>
      </c>
      <c r="AI2126" s="4">
        <v>108</v>
      </c>
      <c r="AJ2126" s="4">
        <v>17</v>
      </c>
      <c r="AK2126" s="4">
        <v>27</v>
      </c>
      <c r="AL2126" s="4">
        <v>54</v>
      </c>
      <c r="AM2126" s="4">
        <v>58</v>
      </c>
      <c r="AN2126" s="4">
        <v>5</v>
      </c>
      <c r="AO2126" s="4">
        <v>5</v>
      </c>
      <c r="AP2126" s="4">
        <v>28</v>
      </c>
      <c r="AQ2126" s="4">
        <v>42</v>
      </c>
      <c r="AR2126" s="3" t="s">
        <v>62</v>
      </c>
      <c r="AS2126" s="3" t="s">
        <v>62</v>
      </c>
      <c r="AT2126" s="3" t="s">
        <v>61</v>
      </c>
      <c r="AU2126" s="6" t="str">
        <f>HYPERLINK("http://catalog.hathitrust.org/Record/000103413","HathiTrust Record")</f>
        <v>HathiTrust Record</v>
      </c>
      <c r="AV2126" s="6" t="str">
        <f>HYPERLINK("http://mcgill.on.worldcat.org/oclc/523910","Catalog Record")</f>
        <v>Catalog Record</v>
      </c>
      <c r="AW2126" s="6" t="str">
        <f>HYPERLINK("http://www.worldcat.org/oclc/523910","WorldCat Record")</f>
        <v>WorldCat Record</v>
      </c>
      <c r="AX2126" s="3" t="s">
        <v>21006</v>
      </c>
      <c r="AY2126" s="3" t="s">
        <v>21007</v>
      </c>
      <c r="AZ2126" s="3" t="s">
        <v>21008</v>
      </c>
      <c r="BA2126" s="3" t="s">
        <v>21008</v>
      </c>
      <c r="BB2126" s="3" t="s">
        <v>21009</v>
      </c>
      <c r="BC2126" s="3" t="s">
        <v>102</v>
      </c>
      <c r="BD2126" s="3" t="s">
        <v>68</v>
      </c>
      <c r="BF2126" s="3" t="s">
        <v>21009</v>
      </c>
      <c r="BG2126" s="3" t="s">
        <v>21010</v>
      </c>
    </row>
    <row r="2127" spans="1:59" ht="58" x14ac:dyDescent="0.35">
      <c r="A2127" s="2" t="s">
        <v>89</v>
      </c>
      <c r="B2127" s="2" t="s">
        <v>90</v>
      </c>
      <c r="C2127" s="2" t="s">
        <v>21011</v>
      </c>
      <c r="D2127" s="2" t="s">
        <v>21012</v>
      </c>
      <c r="E2127" s="2" t="s">
        <v>21013</v>
      </c>
      <c r="G2127" s="3" t="s">
        <v>62</v>
      </c>
      <c r="I2127" s="3" t="s">
        <v>62</v>
      </c>
      <c r="J2127" s="3" t="s">
        <v>62</v>
      </c>
      <c r="K2127" s="3" t="s">
        <v>63</v>
      </c>
      <c r="M2127" s="2" t="s">
        <v>21014</v>
      </c>
      <c r="N2127" s="3" t="s">
        <v>2924</v>
      </c>
      <c r="P2127" s="3" t="s">
        <v>64</v>
      </c>
      <c r="R2127" s="3" t="s">
        <v>13065</v>
      </c>
      <c r="S2127" s="4">
        <v>4</v>
      </c>
      <c r="T2127" s="4">
        <v>4</v>
      </c>
      <c r="U2127" s="5" t="s">
        <v>1183</v>
      </c>
      <c r="V2127" s="5" t="s">
        <v>1183</v>
      </c>
      <c r="W2127" s="5" t="s">
        <v>67</v>
      </c>
      <c r="X2127" s="5" t="s">
        <v>67</v>
      </c>
      <c r="Y2127" s="4">
        <v>538</v>
      </c>
      <c r="Z2127" s="4">
        <v>32</v>
      </c>
      <c r="AA2127" s="4">
        <v>40</v>
      </c>
      <c r="AB2127" s="4">
        <v>2</v>
      </c>
      <c r="AC2127" s="4">
        <v>7</v>
      </c>
      <c r="AD2127" s="4">
        <v>121</v>
      </c>
      <c r="AE2127" s="4">
        <v>129</v>
      </c>
      <c r="AF2127" s="4">
        <v>1</v>
      </c>
      <c r="AG2127" s="4">
        <v>5</v>
      </c>
      <c r="AH2127" s="4">
        <v>103</v>
      </c>
      <c r="AI2127" s="4">
        <v>105</v>
      </c>
      <c r="AJ2127" s="4">
        <v>19</v>
      </c>
      <c r="AK2127" s="4">
        <v>23</v>
      </c>
      <c r="AL2127" s="4">
        <v>58</v>
      </c>
      <c r="AM2127" s="4">
        <v>58</v>
      </c>
      <c r="AN2127" s="4">
        <v>0</v>
      </c>
      <c r="AO2127" s="4">
        <v>0</v>
      </c>
      <c r="AP2127" s="4">
        <v>26</v>
      </c>
      <c r="AQ2127" s="4">
        <v>32</v>
      </c>
      <c r="AR2127" s="3" t="s">
        <v>62</v>
      </c>
      <c r="AS2127" s="3" t="s">
        <v>62</v>
      </c>
      <c r="AT2127" s="3" t="s">
        <v>61</v>
      </c>
      <c r="AU2127" s="6" t="str">
        <f>HYPERLINK("http://catalog.hathitrust.org/Record/000465478","HathiTrust Record")</f>
        <v>HathiTrust Record</v>
      </c>
      <c r="AV2127" s="6" t="str">
        <f>HYPERLINK("http://mcgill.on.worldcat.org/oclc/232930","Catalog Record")</f>
        <v>Catalog Record</v>
      </c>
      <c r="AW2127" s="6" t="str">
        <f>HYPERLINK("http://www.worldcat.org/oclc/232930","WorldCat Record")</f>
        <v>WorldCat Record</v>
      </c>
      <c r="AX2127" s="3" t="s">
        <v>21015</v>
      </c>
      <c r="AY2127" s="3" t="s">
        <v>21016</v>
      </c>
      <c r="AZ2127" s="3" t="s">
        <v>21017</v>
      </c>
      <c r="BA2127" s="3" t="s">
        <v>21017</v>
      </c>
      <c r="BB2127" s="3" t="s">
        <v>21018</v>
      </c>
      <c r="BC2127" s="3" t="s">
        <v>102</v>
      </c>
      <c r="BD2127" s="3" t="s">
        <v>68</v>
      </c>
      <c r="BE2127" s="3" t="s">
        <v>21019</v>
      </c>
      <c r="BF2127" s="3" t="s">
        <v>21018</v>
      </c>
      <c r="BG2127" s="3" t="s">
        <v>21020</v>
      </c>
    </row>
    <row r="2128" spans="1:59" ht="58" x14ac:dyDescent="0.35">
      <c r="A2128" s="2" t="s">
        <v>89</v>
      </c>
      <c r="B2128" s="2" t="s">
        <v>90</v>
      </c>
      <c r="C2128" s="2" t="s">
        <v>21021</v>
      </c>
      <c r="D2128" s="2" t="s">
        <v>21022</v>
      </c>
      <c r="E2128" s="2" t="s">
        <v>21023</v>
      </c>
      <c r="G2128" s="3" t="s">
        <v>62</v>
      </c>
      <c r="I2128" s="3" t="s">
        <v>62</v>
      </c>
      <c r="J2128" s="3" t="s">
        <v>61</v>
      </c>
      <c r="K2128" s="3" t="s">
        <v>63</v>
      </c>
      <c r="L2128" s="2" t="s">
        <v>21024</v>
      </c>
      <c r="M2128" s="2" t="s">
        <v>21025</v>
      </c>
      <c r="N2128" s="3" t="s">
        <v>838</v>
      </c>
      <c r="P2128" s="3" t="s">
        <v>64</v>
      </c>
      <c r="Q2128" s="2" t="s">
        <v>21026</v>
      </c>
      <c r="R2128" s="3" t="s">
        <v>13065</v>
      </c>
      <c r="S2128" s="4">
        <v>66</v>
      </c>
      <c r="T2128" s="4">
        <v>66</v>
      </c>
      <c r="U2128" s="5" t="s">
        <v>21027</v>
      </c>
      <c r="V2128" s="5" t="s">
        <v>21027</v>
      </c>
      <c r="W2128" s="5" t="s">
        <v>67</v>
      </c>
      <c r="X2128" s="5" t="s">
        <v>67</v>
      </c>
      <c r="Y2128" s="4">
        <v>6</v>
      </c>
      <c r="Z2128" s="4">
        <v>1</v>
      </c>
      <c r="AA2128" s="4">
        <v>58</v>
      </c>
      <c r="AB2128" s="4">
        <v>1</v>
      </c>
      <c r="AC2128" s="4">
        <v>11</v>
      </c>
      <c r="AD2128" s="4">
        <v>1</v>
      </c>
      <c r="AE2128" s="4">
        <v>142</v>
      </c>
      <c r="AF2128" s="4">
        <v>0</v>
      </c>
      <c r="AG2128" s="4">
        <v>8</v>
      </c>
      <c r="AH2128" s="4">
        <v>1</v>
      </c>
      <c r="AI2128" s="4">
        <v>109</v>
      </c>
      <c r="AJ2128" s="4">
        <v>0</v>
      </c>
      <c r="AK2128" s="4">
        <v>28</v>
      </c>
      <c r="AL2128" s="4">
        <v>1</v>
      </c>
      <c r="AM2128" s="4">
        <v>57</v>
      </c>
      <c r="AN2128" s="4">
        <v>0</v>
      </c>
      <c r="AO2128" s="4">
        <v>0</v>
      </c>
      <c r="AP2128" s="4">
        <v>0</v>
      </c>
      <c r="AQ2128" s="4">
        <v>42</v>
      </c>
      <c r="AR2128" s="3" t="s">
        <v>62</v>
      </c>
      <c r="AS2128" s="3" t="s">
        <v>62</v>
      </c>
      <c r="AT2128" s="3" t="s">
        <v>61</v>
      </c>
      <c r="AU2128" s="6" t="str">
        <f>HYPERLINK("http://catalog.hathitrust.org/Record/000468432","HathiTrust Record")</f>
        <v>HathiTrust Record</v>
      </c>
      <c r="AV2128" s="6" t="str">
        <f>HYPERLINK("http://mcgill.on.worldcat.org/oclc/427506551","Catalog Record")</f>
        <v>Catalog Record</v>
      </c>
      <c r="AW2128" s="6" t="str">
        <f>HYPERLINK("http://www.worldcat.org/oclc/427506551","WorldCat Record")</f>
        <v>WorldCat Record</v>
      </c>
      <c r="AX2128" s="3" t="s">
        <v>21028</v>
      </c>
      <c r="AY2128" s="3" t="s">
        <v>21029</v>
      </c>
      <c r="AZ2128" s="3" t="s">
        <v>21030</v>
      </c>
      <c r="BA2128" s="3" t="s">
        <v>21030</v>
      </c>
      <c r="BB2128" s="3" t="s">
        <v>21031</v>
      </c>
      <c r="BC2128" s="3" t="s">
        <v>102</v>
      </c>
      <c r="BD2128" s="3" t="s">
        <v>68</v>
      </c>
      <c r="BE2128" s="3" t="s">
        <v>21032</v>
      </c>
      <c r="BF2128" s="3" t="s">
        <v>21031</v>
      </c>
      <c r="BG2128" s="3" t="s">
        <v>21033</v>
      </c>
    </row>
    <row r="2129" spans="1:59" ht="58" x14ac:dyDescent="0.35">
      <c r="A2129" s="2" t="s">
        <v>89</v>
      </c>
      <c r="B2129" s="2" t="s">
        <v>90</v>
      </c>
      <c r="C2129" s="2" t="s">
        <v>21034</v>
      </c>
      <c r="D2129" s="2" t="s">
        <v>21035</v>
      </c>
      <c r="E2129" s="2" t="s">
        <v>21036</v>
      </c>
      <c r="G2129" s="3" t="s">
        <v>62</v>
      </c>
      <c r="I2129" s="3" t="s">
        <v>62</v>
      </c>
      <c r="J2129" s="3" t="s">
        <v>62</v>
      </c>
      <c r="K2129" s="3" t="s">
        <v>63</v>
      </c>
      <c r="L2129" s="2" t="s">
        <v>13980</v>
      </c>
      <c r="M2129" s="2" t="s">
        <v>21037</v>
      </c>
      <c r="N2129" s="3" t="s">
        <v>21038</v>
      </c>
      <c r="P2129" s="3" t="s">
        <v>64</v>
      </c>
      <c r="Q2129" s="2" t="s">
        <v>21039</v>
      </c>
      <c r="R2129" s="3" t="s">
        <v>13065</v>
      </c>
      <c r="S2129" s="4">
        <v>2</v>
      </c>
      <c r="T2129" s="4">
        <v>2</v>
      </c>
      <c r="U2129" s="5" t="s">
        <v>3572</v>
      </c>
      <c r="V2129" s="5" t="s">
        <v>3572</v>
      </c>
      <c r="W2129" s="5" t="s">
        <v>67</v>
      </c>
      <c r="X2129" s="5" t="s">
        <v>67</v>
      </c>
      <c r="Y2129" s="4">
        <v>217</v>
      </c>
      <c r="Z2129" s="4">
        <v>9</v>
      </c>
      <c r="AA2129" s="4">
        <v>22</v>
      </c>
      <c r="AB2129" s="4">
        <v>2</v>
      </c>
      <c r="AC2129" s="4">
        <v>2</v>
      </c>
      <c r="AD2129" s="4">
        <v>80</v>
      </c>
      <c r="AE2129" s="4">
        <v>88</v>
      </c>
      <c r="AF2129" s="4">
        <v>0</v>
      </c>
      <c r="AG2129" s="4">
        <v>0</v>
      </c>
      <c r="AH2129" s="4">
        <v>75</v>
      </c>
      <c r="AI2129" s="4">
        <v>78</v>
      </c>
      <c r="AJ2129" s="4">
        <v>5</v>
      </c>
      <c r="AK2129" s="4">
        <v>7</v>
      </c>
      <c r="AL2129" s="4">
        <v>46</v>
      </c>
      <c r="AM2129" s="4">
        <v>47</v>
      </c>
      <c r="AN2129" s="4">
        <v>0</v>
      </c>
      <c r="AO2129" s="4">
        <v>0</v>
      </c>
      <c r="AP2129" s="4">
        <v>5</v>
      </c>
      <c r="AQ2129" s="4">
        <v>11</v>
      </c>
      <c r="AR2129" s="3" t="s">
        <v>62</v>
      </c>
      <c r="AS2129" s="3" t="s">
        <v>61</v>
      </c>
      <c r="AT2129" s="3" t="s">
        <v>62</v>
      </c>
      <c r="AU2129" s="6" t="str">
        <f>HYPERLINK("http://catalog.hathitrust.org/Record/000469533","HathiTrust Record")</f>
        <v>HathiTrust Record</v>
      </c>
      <c r="AV2129" s="6" t="str">
        <f>HYPERLINK("http://mcgill.on.worldcat.org/oclc/2016780","Catalog Record")</f>
        <v>Catalog Record</v>
      </c>
      <c r="AW2129" s="6" t="str">
        <f>HYPERLINK("http://www.worldcat.org/oclc/2016780","WorldCat Record")</f>
        <v>WorldCat Record</v>
      </c>
      <c r="AX2129" s="3" t="s">
        <v>21040</v>
      </c>
      <c r="AY2129" s="3" t="s">
        <v>21041</v>
      </c>
      <c r="AZ2129" s="3" t="s">
        <v>21042</v>
      </c>
      <c r="BA2129" s="3" t="s">
        <v>21042</v>
      </c>
      <c r="BB2129" s="3" t="s">
        <v>21043</v>
      </c>
      <c r="BC2129" s="3" t="s">
        <v>102</v>
      </c>
      <c r="BD2129" s="3" t="s">
        <v>68</v>
      </c>
      <c r="BF2129" s="3" t="s">
        <v>21043</v>
      </c>
      <c r="BG2129" s="3" t="s">
        <v>21044</v>
      </c>
    </row>
    <row r="2130" spans="1:59" ht="58" x14ac:dyDescent="0.35">
      <c r="A2130" s="2" t="s">
        <v>89</v>
      </c>
      <c r="B2130" s="2" t="s">
        <v>90</v>
      </c>
      <c r="C2130" s="2" t="s">
        <v>21045</v>
      </c>
      <c r="D2130" s="2" t="s">
        <v>21046</v>
      </c>
      <c r="E2130" s="2" t="s">
        <v>21047</v>
      </c>
      <c r="G2130" s="3" t="s">
        <v>61</v>
      </c>
      <c r="I2130" s="3" t="s">
        <v>62</v>
      </c>
      <c r="J2130" s="3" t="s">
        <v>62</v>
      </c>
      <c r="K2130" s="3" t="s">
        <v>63</v>
      </c>
      <c r="L2130" s="2" t="s">
        <v>9079</v>
      </c>
      <c r="M2130" s="2" t="s">
        <v>21048</v>
      </c>
      <c r="N2130" s="3" t="s">
        <v>5051</v>
      </c>
      <c r="P2130" s="3" t="s">
        <v>64</v>
      </c>
      <c r="R2130" s="3" t="s">
        <v>13065</v>
      </c>
      <c r="S2130" s="4">
        <v>7</v>
      </c>
      <c r="T2130" s="4">
        <v>7</v>
      </c>
      <c r="U2130" s="5" t="s">
        <v>12283</v>
      </c>
      <c r="V2130" s="5" t="s">
        <v>12283</v>
      </c>
      <c r="W2130" s="5" t="s">
        <v>67</v>
      </c>
      <c r="X2130" s="5" t="s">
        <v>67</v>
      </c>
      <c r="Y2130" s="4">
        <v>132</v>
      </c>
      <c r="Z2130" s="4">
        <v>9</v>
      </c>
      <c r="AA2130" s="4">
        <v>29</v>
      </c>
      <c r="AB2130" s="4">
        <v>1</v>
      </c>
      <c r="AC2130" s="4">
        <v>4</v>
      </c>
      <c r="AD2130" s="4">
        <v>58</v>
      </c>
      <c r="AE2130" s="4">
        <v>121</v>
      </c>
      <c r="AF2130" s="4">
        <v>0</v>
      </c>
      <c r="AG2130" s="4">
        <v>3</v>
      </c>
      <c r="AH2130" s="4">
        <v>55</v>
      </c>
      <c r="AI2130" s="4">
        <v>102</v>
      </c>
      <c r="AJ2130" s="4">
        <v>8</v>
      </c>
      <c r="AK2130" s="4">
        <v>19</v>
      </c>
      <c r="AL2130" s="4">
        <v>33</v>
      </c>
      <c r="AM2130" s="4">
        <v>57</v>
      </c>
      <c r="AN2130" s="4">
        <v>0</v>
      </c>
      <c r="AO2130" s="4">
        <v>0</v>
      </c>
      <c r="AP2130" s="4">
        <v>8</v>
      </c>
      <c r="AQ2130" s="4">
        <v>25</v>
      </c>
      <c r="AR2130" s="3" t="s">
        <v>62</v>
      </c>
      <c r="AS2130" s="3" t="s">
        <v>61</v>
      </c>
      <c r="AT2130" s="3" t="s">
        <v>62</v>
      </c>
      <c r="AU2130" s="6" t="str">
        <f>HYPERLINK("http://catalog.hathitrust.org/Record/005830963","HathiTrust Record")</f>
        <v>HathiTrust Record</v>
      </c>
      <c r="AV2130" s="6" t="str">
        <f>HYPERLINK("http://mcgill.on.worldcat.org/oclc/1739101","Catalog Record")</f>
        <v>Catalog Record</v>
      </c>
      <c r="AW2130" s="6" t="str">
        <f>HYPERLINK("http://www.worldcat.org/oclc/1739101","WorldCat Record")</f>
        <v>WorldCat Record</v>
      </c>
      <c r="AX2130" s="3" t="s">
        <v>21049</v>
      </c>
      <c r="AY2130" s="3" t="s">
        <v>21050</v>
      </c>
      <c r="AZ2130" s="3" t="s">
        <v>21051</v>
      </c>
      <c r="BA2130" s="3" t="s">
        <v>21051</v>
      </c>
      <c r="BB2130" s="3" t="s">
        <v>21052</v>
      </c>
      <c r="BC2130" s="3" t="s">
        <v>102</v>
      </c>
      <c r="BD2130" s="3" t="s">
        <v>231</v>
      </c>
      <c r="BF2130" s="3" t="s">
        <v>21052</v>
      </c>
      <c r="BG2130" s="3" t="s">
        <v>21053</v>
      </c>
    </row>
    <row r="2131" spans="1:59" ht="58" x14ac:dyDescent="0.35">
      <c r="A2131" s="2" t="s">
        <v>89</v>
      </c>
      <c r="B2131" s="2" t="s">
        <v>90</v>
      </c>
      <c r="C2131" s="2" t="s">
        <v>21054</v>
      </c>
      <c r="D2131" s="2" t="s">
        <v>21055</v>
      </c>
      <c r="E2131" s="2" t="s">
        <v>21056</v>
      </c>
      <c r="G2131" s="3" t="s">
        <v>62</v>
      </c>
      <c r="I2131" s="3" t="s">
        <v>62</v>
      </c>
      <c r="J2131" s="3" t="s">
        <v>62</v>
      </c>
      <c r="K2131" s="3" t="s">
        <v>63</v>
      </c>
      <c r="L2131" s="2" t="s">
        <v>21057</v>
      </c>
      <c r="M2131" s="2" t="s">
        <v>21058</v>
      </c>
      <c r="N2131" s="3" t="s">
        <v>21059</v>
      </c>
      <c r="P2131" s="3" t="s">
        <v>64</v>
      </c>
      <c r="R2131" s="3" t="s">
        <v>13065</v>
      </c>
      <c r="S2131" s="4">
        <v>8</v>
      </c>
      <c r="T2131" s="4">
        <v>8</v>
      </c>
      <c r="U2131" s="5" t="s">
        <v>20946</v>
      </c>
      <c r="V2131" s="5" t="s">
        <v>20946</v>
      </c>
      <c r="W2131" s="5" t="s">
        <v>67</v>
      </c>
      <c r="X2131" s="5" t="s">
        <v>67</v>
      </c>
      <c r="Y2131" s="4">
        <v>84</v>
      </c>
      <c r="Z2131" s="4">
        <v>3</v>
      </c>
      <c r="AA2131" s="4">
        <v>27</v>
      </c>
      <c r="AB2131" s="4">
        <v>1</v>
      </c>
      <c r="AC2131" s="4">
        <v>3</v>
      </c>
      <c r="AD2131" s="4">
        <v>28</v>
      </c>
      <c r="AE2131" s="4">
        <v>82</v>
      </c>
      <c r="AF2131" s="4">
        <v>0</v>
      </c>
      <c r="AG2131" s="4">
        <v>1</v>
      </c>
      <c r="AH2131" s="4">
        <v>27</v>
      </c>
      <c r="AI2131" s="4">
        <v>70</v>
      </c>
      <c r="AJ2131" s="4">
        <v>1</v>
      </c>
      <c r="AK2131" s="4">
        <v>10</v>
      </c>
      <c r="AL2131" s="4">
        <v>18</v>
      </c>
      <c r="AM2131" s="4">
        <v>48</v>
      </c>
      <c r="AN2131" s="4">
        <v>0</v>
      </c>
      <c r="AO2131" s="4">
        <v>0</v>
      </c>
      <c r="AP2131" s="4">
        <v>2</v>
      </c>
      <c r="AQ2131" s="4">
        <v>15</v>
      </c>
      <c r="AR2131" s="3" t="s">
        <v>62</v>
      </c>
      <c r="AS2131" s="3" t="s">
        <v>61</v>
      </c>
      <c r="AT2131" s="3" t="s">
        <v>62</v>
      </c>
      <c r="AU2131" s="6" t="str">
        <f>HYPERLINK("http://catalog.hathitrust.org/Record/008629521","HathiTrust Record")</f>
        <v>HathiTrust Record</v>
      </c>
      <c r="AV2131" s="6" t="str">
        <f>HYPERLINK("http://mcgill.on.worldcat.org/oclc/1039048","Catalog Record")</f>
        <v>Catalog Record</v>
      </c>
      <c r="AW2131" s="6" t="str">
        <f>HYPERLINK("http://www.worldcat.org/oclc/1039048","WorldCat Record")</f>
        <v>WorldCat Record</v>
      </c>
      <c r="AX2131" s="3" t="s">
        <v>21060</v>
      </c>
      <c r="AY2131" s="3" t="s">
        <v>21061</v>
      </c>
      <c r="AZ2131" s="3" t="s">
        <v>21062</v>
      </c>
      <c r="BA2131" s="3" t="s">
        <v>21062</v>
      </c>
      <c r="BB2131" s="3" t="s">
        <v>21063</v>
      </c>
      <c r="BC2131" s="3" t="s">
        <v>102</v>
      </c>
      <c r="BD2131" s="3" t="s">
        <v>68</v>
      </c>
      <c r="BF2131" s="3" t="s">
        <v>21063</v>
      </c>
      <c r="BG2131" s="3" t="s">
        <v>21064</v>
      </c>
    </row>
    <row r="2132" spans="1:59" ht="58" x14ac:dyDescent="0.35">
      <c r="A2132" s="2" t="s">
        <v>89</v>
      </c>
      <c r="B2132" s="2" t="s">
        <v>90</v>
      </c>
      <c r="C2132" s="2" t="s">
        <v>21065</v>
      </c>
      <c r="D2132" s="2" t="s">
        <v>21066</v>
      </c>
      <c r="E2132" s="2" t="s">
        <v>21067</v>
      </c>
      <c r="G2132" s="3" t="s">
        <v>62</v>
      </c>
      <c r="I2132" s="3" t="s">
        <v>62</v>
      </c>
      <c r="J2132" s="3" t="s">
        <v>61</v>
      </c>
      <c r="K2132" s="3" t="s">
        <v>916</v>
      </c>
      <c r="L2132" s="2" t="s">
        <v>21068</v>
      </c>
      <c r="M2132" s="2" t="s">
        <v>21069</v>
      </c>
      <c r="N2132" s="3" t="s">
        <v>21070</v>
      </c>
      <c r="P2132" s="3" t="s">
        <v>64</v>
      </c>
      <c r="Q2132" s="2" t="s">
        <v>21071</v>
      </c>
      <c r="R2132" s="3" t="s">
        <v>13065</v>
      </c>
      <c r="S2132" s="4">
        <v>3</v>
      </c>
      <c r="T2132" s="4">
        <v>3</v>
      </c>
      <c r="U2132" s="5" t="s">
        <v>3572</v>
      </c>
      <c r="V2132" s="5" t="s">
        <v>3572</v>
      </c>
      <c r="W2132" s="5" t="s">
        <v>67</v>
      </c>
      <c r="X2132" s="5" t="s">
        <v>67</v>
      </c>
      <c r="Y2132" s="4">
        <v>71</v>
      </c>
      <c r="Z2132" s="4">
        <v>3</v>
      </c>
      <c r="AA2132" s="4">
        <v>17</v>
      </c>
      <c r="AB2132" s="4">
        <v>1</v>
      </c>
      <c r="AC2132" s="4">
        <v>1</v>
      </c>
      <c r="AD2132" s="4">
        <v>25</v>
      </c>
      <c r="AE2132" s="4">
        <v>85</v>
      </c>
      <c r="AF2132" s="4">
        <v>0</v>
      </c>
      <c r="AG2132" s="4">
        <v>0</v>
      </c>
      <c r="AH2132" s="4">
        <v>22</v>
      </c>
      <c r="AI2132" s="4">
        <v>75</v>
      </c>
      <c r="AJ2132" s="4">
        <v>1</v>
      </c>
      <c r="AK2132" s="4">
        <v>10</v>
      </c>
      <c r="AL2132" s="4">
        <v>17</v>
      </c>
      <c r="AM2132" s="4">
        <v>51</v>
      </c>
      <c r="AN2132" s="4">
        <v>0</v>
      </c>
      <c r="AO2132" s="4">
        <v>0</v>
      </c>
      <c r="AP2132" s="4">
        <v>1</v>
      </c>
      <c r="AQ2132" s="4">
        <v>12</v>
      </c>
      <c r="AR2132" s="3" t="s">
        <v>62</v>
      </c>
      <c r="AS2132" s="3" t="s">
        <v>61</v>
      </c>
      <c r="AT2132" s="3" t="s">
        <v>62</v>
      </c>
      <c r="AU2132" s="6" t="str">
        <f>HYPERLINK("http://catalog.hathitrust.org/Record/000470285","HathiTrust Record")</f>
        <v>HathiTrust Record</v>
      </c>
      <c r="AV2132" s="6" t="str">
        <f>HYPERLINK("http://mcgill.on.worldcat.org/oclc/3832313","Catalog Record")</f>
        <v>Catalog Record</v>
      </c>
      <c r="AW2132" s="6" t="str">
        <f>HYPERLINK("http://www.worldcat.org/oclc/3832313","WorldCat Record")</f>
        <v>WorldCat Record</v>
      </c>
      <c r="AX2132" s="3" t="s">
        <v>21072</v>
      </c>
      <c r="AY2132" s="3" t="s">
        <v>21073</v>
      </c>
      <c r="AZ2132" s="3" t="s">
        <v>21074</v>
      </c>
      <c r="BA2132" s="3" t="s">
        <v>21074</v>
      </c>
      <c r="BB2132" s="3" t="s">
        <v>21075</v>
      </c>
      <c r="BC2132" s="3" t="s">
        <v>102</v>
      </c>
      <c r="BD2132" s="3" t="s">
        <v>68</v>
      </c>
      <c r="BF2132" s="3" t="s">
        <v>21075</v>
      </c>
      <c r="BG2132" s="3" t="s">
        <v>21076</v>
      </c>
    </row>
    <row r="2133" spans="1:59" ht="58" x14ac:dyDescent="0.35">
      <c r="A2133" s="2" t="s">
        <v>89</v>
      </c>
      <c r="B2133" s="2" t="s">
        <v>90</v>
      </c>
      <c r="C2133" s="2" t="s">
        <v>21077</v>
      </c>
      <c r="D2133" s="2" t="s">
        <v>21078</v>
      </c>
      <c r="E2133" s="2" t="s">
        <v>21079</v>
      </c>
      <c r="G2133" s="3" t="s">
        <v>62</v>
      </c>
      <c r="I2133" s="3" t="s">
        <v>61</v>
      </c>
      <c r="J2133" s="3" t="s">
        <v>62</v>
      </c>
      <c r="K2133" s="3" t="s">
        <v>916</v>
      </c>
      <c r="L2133" s="2" t="s">
        <v>21080</v>
      </c>
      <c r="M2133" s="2" t="s">
        <v>21081</v>
      </c>
      <c r="N2133" s="3" t="s">
        <v>13197</v>
      </c>
      <c r="O2133" s="2" t="s">
        <v>21082</v>
      </c>
      <c r="P2133" s="3" t="s">
        <v>64</v>
      </c>
      <c r="R2133" s="3" t="s">
        <v>13065</v>
      </c>
      <c r="S2133" s="4">
        <v>2</v>
      </c>
      <c r="T2133" s="4">
        <v>2</v>
      </c>
      <c r="U2133" s="5" t="s">
        <v>12158</v>
      </c>
      <c r="V2133" s="5" t="s">
        <v>12158</v>
      </c>
      <c r="W2133" s="5" t="s">
        <v>67</v>
      </c>
      <c r="X2133" s="5" t="s">
        <v>67</v>
      </c>
      <c r="Y2133" s="4">
        <v>267</v>
      </c>
      <c r="Z2133" s="4">
        <v>9</v>
      </c>
      <c r="AA2133" s="4">
        <v>27</v>
      </c>
      <c r="AB2133" s="4">
        <v>1</v>
      </c>
      <c r="AC2133" s="4">
        <v>2</v>
      </c>
      <c r="AD2133" s="4">
        <v>70</v>
      </c>
      <c r="AE2133" s="4">
        <v>117</v>
      </c>
      <c r="AF2133" s="4">
        <v>0</v>
      </c>
      <c r="AG2133" s="4">
        <v>1</v>
      </c>
      <c r="AH2133" s="4">
        <v>64</v>
      </c>
      <c r="AI2133" s="4">
        <v>101</v>
      </c>
      <c r="AJ2133" s="4">
        <v>6</v>
      </c>
      <c r="AK2133" s="4">
        <v>18</v>
      </c>
      <c r="AL2133" s="4">
        <v>36</v>
      </c>
      <c r="AM2133" s="4">
        <v>59</v>
      </c>
      <c r="AN2133" s="4">
        <v>0</v>
      </c>
      <c r="AO2133" s="4">
        <v>0</v>
      </c>
      <c r="AP2133" s="4">
        <v>6</v>
      </c>
      <c r="AQ2133" s="4">
        <v>20</v>
      </c>
      <c r="AR2133" s="3" t="s">
        <v>62</v>
      </c>
      <c r="AS2133" s="3" t="s">
        <v>61</v>
      </c>
      <c r="AT2133" s="3" t="s">
        <v>62</v>
      </c>
      <c r="AU2133" s="6" t="str">
        <f>HYPERLINK("http://catalog.hathitrust.org/Record/000576518","HathiTrust Record")</f>
        <v>HathiTrust Record</v>
      </c>
      <c r="AV2133" s="6" t="str">
        <f>HYPERLINK("http://mcgill.on.worldcat.org/oclc/1029908","Catalog Record")</f>
        <v>Catalog Record</v>
      </c>
      <c r="AW2133" s="6" t="str">
        <f>HYPERLINK("http://www.worldcat.org/oclc/1029908","WorldCat Record")</f>
        <v>WorldCat Record</v>
      </c>
      <c r="AX2133" s="3" t="s">
        <v>21083</v>
      </c>
      <c r="AY2133" s="3" t="s">
        <v>21084</v>
      </c>
      <c r="AZ2133" s="3" t="s">
        <v>21085</v>
      </c>
      <c r="BA2133" s="3" t="s">
        <v>21085</v>
      </c>
      <c r="BB2133" s="3" t="s">
        <v>21086</v>
      </c>
      <c r="BC2133" s="3" t="s">
        <v>102</v>
      </c>
      <c r="BD2133" s="3" t="s">
        <v>68</v>
      </c>
      <c r="BF2133" s="3" t="s">
        <v>21086</v>
      </c>
      <c r="BG2133" s="3" t="s">
        <v>21087</v>
      </c>
    </row>
    <row r="2134" spans="1:59" ht="58" x14ac:dyDescent="0.35">
      <c r="A2134" s="2" t="s">
        <v>89</v>
      </c>
      <c r="B2134" s="2" t="s">
        <v>90</v>
      </c>
      <c r="C2134" s="2" t="s">
        <v>21088</v>
      </c>
      <c r="D2134" s="2" t="s">
        <v>21089</v>
      </c>
      <c r="E2134" s="2" t="s">
        <v>21090</v>
      </c>
      <c r="G2134" s="3" t="s">
        <v>62</v>
      </c>
      <c r="I2134" s="3" t="s">
        <v>62</v>
      </c>
      <c r="J2134" s="3" t="s">
        <v>62</v>
      </c>
      <c r="K2134" s="3" t="s">
        <v>63</v>
      </c>
      <c r="L2134" s="2" t="s">
        <v>21091</v>
      </c>
      <c r="M2134" s="2" t="s">
        <v>21092</v>
      </c>
      <c r="N2134" s="3" t="s">
        <v>755</v>
      </c>
      <c r="P2134" s="3" t="s">
        <v>64</v>
      </c>
      <c r="R2134" s="3" t="s">
        <v>13065</v>
      </c>
      <c r="S2134" s="4">
        <v>7</v>
      </c>
      <c r="T2134" s="4">
        <v>7</v>
      </c>
      <c r="U2134" s="5" t="s">
        <v>2245</v>
      </c>
      <c r="V2134" s="5" t="s">
        <v>2245</v>
      </c>
      <c r="W2134" s="5" t="s">
        <v>67</v>
      </c>
      <c r="X2134" s="5" t="s">
        <v>67</v>
      </c>
      <c r="Y2134" s="4">
        <v>578</v>
      </c>
      <c r="Z2134" s="4">
        <v>34</v>
      </c>
      <c r="AA2134" s="4">
        <v>41</v>
      </c>
      <c r="AB2134" s="4">
        <v>1</v>
      </c>
      <c r="AC2134" s="4">
        <v>7</v>
      </c>
      <c r="AD2134" s="4">
        <v>107</v>
      </c>
      <c r="AE2134" s="4">
        <v>113</v>
      </c>
      <c r="AF2134" s="4">
        <v>0</v>
      </c>
      <c r="AG2134" s="4">
        <v>5</v>
      </c>
      <c r="AH2134" s="4">
        <v>91</v>
      </c>
      <c r="AI2134" s="4">
        <v>92</v>
      </c>
      <c r="AJ2134" s="4">
        <v>16</v>
      </c>
      <c r="AK2134" s="4">
        <v>20</v>
      </c>
      <c r="AL2134" s="4">
        <v>53</v>
      </c>
      <c r="AM2134" s="4">
        <v>53</v>
      </c>
      <c r="AN2134" s="4">
        <v>0</v>
      </c>
      <c r="AO2134" s="4">
        <v>0</v>
      </c>
      <c r="AP2134" s="4">
        <v>21</v>
      </c>
      <c r="AQ2134" s="4">
        <v>26</v>
      </c>
      <c r="AR2134" s="3" t="s">
        <v>62</v>
      </c>
      <c r="AS2134" s="3" t="s">
        <v>62</v>
      </c>
      <c r="AT2134" s="3" t="s">
        <v>61</v>
      </c>
      <c r="AU2134" s="6" t="str">
        <f>HYPERLINK("http://catalog.hathitrust.org/Record/000467177","HathiTrust Record")</f>
        <v>HathiTrust Record</v>
      </c>
      <c r="AV2134" s="6" t="str">
        <f>HYPERLINK("http://mcgill.on.worldcat.org/oclc/523829","Catalog Record")</f>
        <v>Catalog Record</v>
      </c>
      <c r="AW2134" s="6" t="str">
        <f>HYPERLINK("http://www.worldcat.org/oclc/523829","WorldCat Record")</f>
        <v>WorldCat Record</v>
      </c>
      <c r="AX2134" s="3" t="s">
        <v>21093</v>
      </c>
      <c r="AY2134" s="3" t="s">
        <v>21094</v>
      </c>
      <c r="AZ2134" s="3" t="s">
        <v>21095</v>
      </c>
      <c r="BA2134" s="3" t="s">
        <v>21095</v>
      </c>
      <c r="BB2134" s="3" t="s">
        <v>21096</v>
      </c>
      <c r="BC2134" s="3" t="s">
        <v>102</v>
      </c>
      <c r="BD2134" s="3" t="s">
        <v>231</v>
      </c>
      <c r="BE2134" s="3" t="s">
        <v>21097</v>
      </c>
      <c r="BF2134" s="3" t="s">
        <v>21096</v>
      </c>
      <c r="BG2134" s="3" t="s">
        <v>21098</v>
      </c>
    </row>
    <row r="2135" spans="1:59" ht="58" x14ac:dyDescent="0.35">
      <c r="A2135" s="2" t="s">
        <v>89</v>
      </c>
      <c r="B2135" s="2" t="s">
        <v>90</v>
      </c>
      <c r="C2135" s="2" t="s">
        <v>21099</v>
      </c>
      <c r="D2135" s="2" t="s">
        <v>21100</v>
      </c>
      <c r="E2135" s="2" t="s">
        <v>21101</v>
      </c>
      <c r="G2135" s="3" t="s">
        <v>62</v>
      </c>
      <c r="I2135" s="3" t="s">
        <v>62</v>
      </c>
      <c r="J2135" s="3" t="s">
        <v>61</v>
      </c>
      <c r="K2135" s="3" t="s">
        <v>63</v>
      </c>
      <c r="L2135" s="2" t="s">
        <v>21102</v>
      </c>
      <c r="M2135" s="2" t="s">
        <v>21103</v>
      </c>
      <c r="N2135" s="3" t="s">
        <v>2445</v>
      </c>
      <c r="P2135" s="3" t="s">
        <v>64</v>
      </c>
      <c r="Q2135" s="2" t="s">
        <v>20720</v>
      </c>
      <c r="R2135" s="3" t="s">
        <v>13065</v>
      </c>
      <c r="S2135" s="4">
        <v>8</v>
      </c>
      <c r="T2135" s="4">
        <v>8</v>
      </c>
      <c r="U2135" s="5" t="s">
        <v>21104</v>
      </c>
      <c r="V2135" s="5" t="s">
        <v>21104</v>
      </c>
      <c r="W2135" s="5" t="s">
        <v>67</v>
      </c>
      <c r="X2135" s="5" t="s">
        <v>67</v>
      </c>
      <c r="Y2135" s="4">
        <v>542</v>
      </c>
      <c r="Z2135" s="4">
        <v>28</v>
      </c>
      <c r="AA2135" s="4">
        <v>60</v>
      </c>
      <c r="AB2135" s="4">
        <v>1</v>
      </c>
      <c r="AC2135" s="4">
        <v>12</v>
      </c>
      <c r="AD2135" s="4">
        <v>99</v>
      </c>
      <c r="AE2135" s="4">
        <v>123</v>
      </c>
      <c r="AF2135" s="4">
        <v>0</v>
      </c>
      <c r="AG2135" s="4">
        <v>7</v>
      </c>
      <c r="AH2135" s="4">
        <v>83</v>
      </c>
      <c r="AI2135" s="4">
        <v>94</v>
      </c>
      <c r="AJ2135" s="4">
        <v>14</v>
      </c>
      <c r="AK2135" s="4">
        <v>25</v>
      </c>
      <c r="AL2135" s="4">
        <v>50</v>
      </c>
      <c r="AM2135" s="4">
        <v>56</v>
      </c>
      <c r="AN2135" s="4">
        <v>5</v>
      </c>
      <c r="AO2135" s="4">
        <v>5</v>
      </c>
      <c r="AP2135" s="4">
        <v>20</v>
      </c>
      <c r="AQ2135" s="4">
        <v>37</v>
      </c>
      <c r="AR2135" s="3" t="s">
        <v>62</v>
      </c>
      <c r="AS2135" s="3" t="s">
        <v>62</v>
      </c>
      <c r="AT2135" s="3" t="s">
        <v>61</v>
      </c>
      <c r="AU2135" s="6" t="str">
        <f>HYPERLINK("http://catalog.hathitrust.org/Record/000307458","HathiTrust Record")</f>
        <v>HathiTrust Record</v>
      </c>
      <c r="AV2135" s="6" t="str">
        <f>HYPERLINK("http://mcgill.on.worldcat.org/oclc/4791564","Catalog Record")</f>
        <v>Catalog Record</v>
      </c>
      <c r="AW2135" s="6" t="str">
        <f>HYPERLINK("http://www.worldcat.org/oclc/4791564","WorldCat Record")</f>
        <v>WorldCat Record</v>
      </c>
      <c r="AX2135" s="3" t="s">
        <v>21105</v>
      </c>
      <c r="AY2135" s="3" t="s">
        <v>21106</v>
      </c>
      <c r="AZ2135" s="3" t="s">
        <v>21107</v>
      </c>
      <c r="BA2135" s="3" t="s">
        <v>21107</v>
      </c>
      <c r="BB2135" s="3" t="s">
        <v>21108</v>
      </c>
      <c r="BC2135" s="3" t="s">
        <v>102</v>
      </c>
      <c r="BD2135" s="3" t="s">
        <v>68</v>
      </c>
      <c r="BF2135" s="3" t="s">
        <v>21108</v>
      </c>
      <c r="BG2135" s="3" t="s">
        <v>21109</v>
      </c>
    </row>
    <row r="2136" spans="1:59" ht="58" x14ac:dyDescent="0.35">
      <c r="A2136" s="2" t="s">
        <v>89</v>
      </c>
      <c r="B2136" s="2" t="s">
        <v>90</v>
      </c>
      <c r="C2136" s="2" t="s">
        <v>21110</v>
      </c>
      <c r="D2136" s="2" t="s">
        <v>21111</v>
      </c>
      <c r="E2136" s="2" t="s">
        <v>21112</v>
      </c>
      <c r="G2136" s="3" t="s">
        <v>62</v>
      </c>
      <c r="I2136" s="3" t="s">
        <v>61</v>
      </c>
      <c r="J2136" s="3" t="s">
        <v>62</v>
      </c>
      <c r="K2136" s="3" t="s">
        <v>63</v>
      </c>
      <c r="L2136" s="2" t="s">
        <v>21113</v>
      </c>
      <c r="M2136" s="2" t="s">
        <v>21114</v>
      </c>
      <c r="N2136" s="3" t="s">
        <v>852</v>
      </c>
      <c r="P2136" s="3" t="s">
        <v>64</v>
      </c>
      <c r="R2136" s="3" t="s">
        <v>13065</v>
      </c>
      <c r="S2136" s="4">
        <v>9</v>
      </c>
      <c r="T2136" s="4">
        <v>25</v>
      </c>
      <c r="U2136" s="5" t="s">
        <v>21115</v>
      </c>
      <c r="V2136" s="5" t="s">
        <v>107</v>
      </c>
      <c r="W2136" s="5" t="s">
        <v>67</v>
      </c>
      <c r="X2136" s="5" t="s">
        <v>67</v>
      </c>
      <c r="Y2136" s="4">
        <v>443</v>
      </c>
      <c r="Z2136" s="4">
        <v>24</v>
      </c>
      <c r="AA2136" s="4">
        <v>27</v>
      </c>
      <c r="AB2136" s="4">
        <v>1</v>
      </c>
      <c r="AC2136" s="4">
        <v>4</v>
      </c>
      <c r="AD2136" s="4">
        <v>89</v>
      </c>
      <c r="AE2136" s="4">
        <v>91</v>
      </c>
      <c r="AF2136" s="4">
        <v>0</v>
      </c>
      <c r="AG2136" s="4">
        <v>2</v>
      </c>
      <c r="AH2136" s="4">
        <v>77</v>
      </c>
      <c r="AI2136" s="4">
        <v>78</v>
      </c>
      <c r="AJ2136" s="4">
        <v>14</v>
      </c>
      <c r="AK2136" s="4">
        <v>16</v>
      </c>
      <c r="AL2136" s="4">
        <v>43</v>
      </c>
      <c r="AM2136" s="4">
        <v>43</v>
      </c>
      <c r="AN2136" s="4">
        <v>0</v>
      </c>
      <c r="AO2136" s="4">
        <v>0</v>
      </c>
      <c r="AP2136" s="4">
        <v>20</v>
      </c>
      <c r="AQ2136" s="4">
        <v>21</v>
      </c>
      <c r="AR2136" s="3" t="s">
        <v>62</v>
      </c>
      <c r="AS2136" s="3" t="s">
        <v>62</v>
      </c>
      <c r="AT2136" s="3" t="s">
        <v>62</v>
      </c>
      <c r="AV2136" s="6" t="str">
        <f>HYPERLINK("http://mcgill.on.worldcat.org/oclc/12209","Catalog Record")</f>
        <v>Catalog Record</v>
      </c>
      <c r="AW2136" s="6" t="str">
        <f>HYPERLINK("http://www.worldcat.org/oclc/12209","WorldCat Record")</f>
        <v>WorldCat Record</v>
      </c>
      <c r="AX2136" s="3" t="s">
        <v>21116</v>
      </c>
      <c r="AY2136" s="3" t="s">
        <v>21117</v>
      </c>
      <c r="AZ2136" s="3" t="s">
        <v>21118</v>
      </c>
      <c r="BA2136" s="3" t="s">
        <v>21118</v>
      </c>
      <c r="BB2136" s="3" t="s">
        <v>21119</v>
      </c>
      <c r="BC2136" s="3" t="s">
        <v>102</v>
      </c>
      <c r="BD2136" s="3" t="s">
        <v>68</v>
      </c>
      <c r="BF2136" s="3" t="s">
        <v>21119</v>
      </c>
      <c r="BG2136" s="3" t="s">
        <v>21120</v>
      </c>
    </row>
    <row r="2137" spans="1:59" ht="58" x14ac:dyDescent="0.35">
      <c r="A2137" s="2" t="s">
        <v>89</v>
      </c>
      <c r="B2137" s="2" t="s">
        <v>90</v>
      </c>
      <c r="C2137" s="2" t="s">
        <v>21121</v>
      </c>
      <c r="D2137" s="2" t="s">
        <v>21122</v>
      </c>
      <c r="E2137" s="2" t="s">
        <v>21123</v>
      </c>
      <c r="G2137" s="3" t="s">
        <v>62</v>
      </c>
      <c r="I2137" s="3" t="s">
        <v>61</v>
      </c>
      <c r="J2137" s="3" t="s">
        <v>62</v>
      </c>
      <c r="K2137" s="3" t="s">
        <v>63</v>
      </c>
      <c r="L2137" s="2" t="s">
        <v>21124</v>
      </c>
      <c r="M2137" s="2" t="s">
        <v>21125</v>
      </c>
      <c r="N2137" s="3" t="s">
        <v>1467</v>
      </c>
      <c r="P2137" s="3" t="s">
        <v>64</v>
      </c>
      <c r="Q2137" s="2" t="s">
        <v>21126</v>
      </c>
      <c r="R2137" s="3" t="s">
        <v>13065</v>
      </c>
      <c r="S2137" s="4">
        <v>0</v>
      </c>
      <c r="T2137" s="4">
        <v>13</v>
      </c>
      <c r="V2137" s="5" t="s">
        <v>21127</v>
      </c>
      <c r="W2137" s="5" t="s">
        <v>67</v>
      </c>
      <c r="X2137" s="5" t="s">
        <v>67</v>
      </c>
      <c r="Y2137" s="4">
        <v>560</v>
      </c>
      <c r="Z2137" s="4">
        <v>33</v>
      </c>
      <c r="AA2137" s="4">
        <v>45</v>
      </c>
      <c r="AB2137" s="4">
        <v>2</v>
      </c>
      <c r="AC2137" s="4">
        <v>9</v>
      </c>
      <c r="AD2137" s="4">
        <v>120</v>
      </c>
      <c r="AE2137" s="4">
        <v>135</v>
      </c>
      <c r="AF2137" s="4">
        <v>1</v>
      </c>
      <c r="AG2137" s="4">
        <v>5</v>
      </c>
      <c r="AH2137" s="4">
        <v>99</v>
      </c>
      <c r="AI2137" s="4">
        <v>108</v>
      </c>
      <c r="AJ2137" s="4">
        <v>18</v>
      </c>
      <c r="AK2137" s="4">
        <v>24</v>
      </c>
      <c r="AL2137" s="4">
        <v>56</v>
      </c>
      <c r="AM2137" s="4">
        <v>57</v>
      </c>
      <c r="AN2137" s="4">
        <v>0</v>
      </c>
      <c r="AO2137" s="4">
        <v>1</v>
      </c>
      <c r="AP2137" s="4">
        <v>27</v>
      </c>
      <c r="AQ2137" s="4">
        <v>35</v>
      </c>
      <c r="AR2137" s="3" t="s">
        <v>62</v>
      </c>
      <c r="AS2137" s="3" t="s">
        <v>62</v>
      </c>
      <c r="AT2137" s="3" t="s">
        <v>61</v>
      </c>
      <c r="AU2137" s="6" t="str">
        <f>HYPERLINK("http://catalog.hathitrust.org/Record/000466651","HathiTrust Record")</f>
        <v>HathiTrust Record</v>
      </c>
      <c r="AV2137" s="6" t="str">
        <f>HYPERLINK("http://mcgill.on.worldcat.org/oclc/526290","Catalog Record")</f>
        <v>Catalog Record</v>
      </c>
      <c r="AW2137" s="6" t="str">
        <f>HYPERLINK("http://www.worldcat.org/oclc/526290","WorldCat Record")</f>
        <v>WorldCat Record</v>
      </c>
      <c r="AX2137" s="3" t="s">
        <v>21128</v>
      </c>
      <c r="AY2137" s="3" t="s">
        <v>21129</v>
      </c>
      <c r="AZ2137" s="3" t="s">
        <v>21130</v>
      </c>
      <c r="BA2137" s="3" t="s">
        <v>21130</v>
      </c>
      <c r="BB2137" s="3" t="s">
        <v>21131</v>
      </c>
      <c r="BC2137" s="3" t="s">
        <v>102</v>
      </c>
      <c r="BD2137" s="3" t="s">
        <v>68</v>
      </c>
      <c r="BE2137" s="3" t="s">
        <v>21132</v>
      </c>
      <c r="BF2137" s="3" t="s">
        <v>21131</v>
      </c>
      <c r="BG2137" s="3" t="s">
        <v>21133</v>
      </c>
    </row>
    <row r="2138" spans="1:59" ht="58" x14ac:dyDescent="0.35">
      <c r="A2138" s="2" t="s">
        <v>89</v>
      </c>
      <c r="B2138" s="2" t="s">
        <v>90</v>
      </c>
      <c r="C2138" s="2" t="s">
        <v>21134</v>
      </c>
      <c r="D2138" s="2" t="s">
        <v>21135</v>
      </c>
      <c r="E2138" s="2" t="s">
        <v>21136</v>
      </c>
      <c r="G2138" s="3" t="s">
        <v>62</v>
      </c>
      <c r="I2138" s="3" t="s">
        <v>62</v>
      </c>
      <c r="J2138" s="3" t="s">
        <v>62</v>
      </c>
      <c r="K2138" s="3" t="s">
        <v>63</v>
      </c>
      <c r="L2138" s="2" t="s">
        <v>21137</v>
      </c>
      <c r="M2138" s="2" t="s">
        <v>21138</v>
      </c>
      <c r="N2138" s="3" t="s">
        <v>7359</v>
      </c>
      <c r="P2138" s="3" t="s">
        <v>64</v>
      </c>
      <c r="R2138" s="3" t="s">
        <v>13065</v>
      </c>
      <c r="S2138" s="4">
        <v>3</v>
      </c>
      <c r="T2138" s="4">
        <v>3</v>
      </c>
      <c r="U2138" s="5" t="s">
        <v>20946</v>
      </c>
      <c r="V2138" s="5" t="s">
        <v>20946</v>
      </c>
      <c r="W2138" s="5" t="s">
        <v>67</v>
      </c>
      <c r="X2138" s="5" t="s">
        <v>67</v>
      </c>
      <c r="Y2138" s="4">
        <v>1</v>
      </c>
      <c r="Z2138" s="4">
        <v>1</v>
      </c>
      <c r="AA2138" s="4">
        <v>31</v>
      </c>
      <c r="AB2138" s="4">
        <v>1</v>
      </c>
      <c r="AC2138" s="4">
        <v>2</v>
      </c>
      <c r="AD2138" s="4">
        <v>0</v>
      </c>
      <c r="AE2138" s="4">
        <v>120</v>
      </c>
      <c r="AF2138" s="4">
        <v>0</v>
      </c>
      <c r="AG2138" s="4">
        <v>1</v>
      </c>
      <c r="AH2138" s="4">
        <v>0</v>
      </c>
      <c r="AI2138" s="4">
        <v>101</v>
      </c>
      <c r="AJ2138" s="4">
        <v>0</v>
      </c>
      <c r="AK2138" s="4">
        <v>17</v>
      </c>
      <c r="AL2138" s="4">
        <v>0</v>
      </c>
      <c r="AM2138" s="4">
        <v>55</v>
      </c>
      <c r="AN2138" s="4">
        <v>0</v>
      </c>
      <c r="AO2138" s="4">
        <v>3</v>
      </c>
      <c r="AP2138" s="4">
        <v>0</v>
      </c>
      <c r="AQ2138" s="4">
        <v>27</v>
      </c>
      <c r="AR2138" s="3" t="s">
        <v>62</v>
      </c>
      <c r="AS2138" s="3" t="s">
        <v>62</v>
      </c>
      <c r="AT2138" s="3" t="s">
        <v>62</v>
      </c>
      <c r="AV2138" s="6" t="str">
        <f>HYPERLINK("http://mcgill.on.worldcat.org/oclc/427850853","Catalog Record")</f>
        <v>Catalog Record</v>
      </c>
      <c r="AW2138" s="6" t="str">
        <f>HYPERLINK("http://www.worldcat.org/oclc/427850853","WorldCat Record")</f>
        <v>WorldCat Record</v>
      </c>
      <c r="AX2138" s="3" t="s">
        <v>21139</v>
      </c>
      <c r="AY2138" s="3" t="s">
        <v>21140</v>
      </c>
      <c r="AZ2138" s="3" t="s">
        <v>21141</v>
      </c>
      <c r="BA2138" s="3" t="s">
        <v>21141</v>
      </c>
      <c r="BB2138" s="3" t="s">
        <v>21142</v>
      </c>
      <c r="BC2138" s="3" t="s">
        <v>102</v>
      </c>
      <c r="BD2138" s="3" t="s">
        <v>68</v>
      </c>
      <c r="BF2138" s="3" t="s">
        <v>21142</v>
      </c>
      <c r="BG2138" s="3" t="s">
        <v>21143</v>
      </c>
    </row>
    <row r="2139" spans="1:59" ht="58" x14ac:dyDescent="0.35">
      <c r="A2139" s="2" t="s">
        <v>89</v>
      </c>
      <c r="B2139" s="2" t="s">
        <v>90</v>
      </c>
      <c r="C2139" s="2" t="s">
        <v>21144</v>
      </c>
      <c r="D2139" s="2" t="s">
        <v>21145</v>
      </c>
      <c r="E2139" s="2" t="s">
        <v>21146</v>
      </c>
      <c r="G2139" s="3" t="s">
        <v>62</v>
      </c>
      <c r="I2139" s="3" t="s">
        <v>62</v>
      </c>
      <c r="J2139" s="3" t="s">
        <v>62</v>
      </c>
      <c r="K2139" s="3" t="s">
        <v>63</v>
      </c>
      <c r="L2139" s="2" t="s">
        <v>21147</v>
      </c>
      <c r="M2139" s="2" t="s">
        <v>21148</v>
      </c>
      <c r="N2139" s="3" t="s">
        <v>919</v>
      </c>
      <c r="P2139" s="3" t="s">
        <v>64</v>
      </c>
      <c r="R2139" s="3" t="s">
        <v>13065</v>
      </c>
      <c r="S2139" s="4">
        <v>2</v>
      </c>
      <c r="T2139" s="4">
        <v>2</v>
      </c>
      <c r="U2139" s="5" t="s">
        <v>14288</v>
      </c>
      <c r="V2139" s="5" t="s">
        <v>14288</v>
      </c>
      <c r="W2139" s="5" t="s">
        <v>67</v>
      </c>
      <c r="X2139" s="5" t="s">
        <v>67</v>
      </c>
      <c r="Y2139" s="4">
        <v>259</v>
      </c>
      <c r="Z2139" s="4">
        <v>11</v>
      </c>
      <c r="AA2139" s="4">
        <v>13</v>
      </c>
      <c r="AB2139" s="4">
        <v>2</v>
      </c>
      <c r="AC2139" s="4">
        <v>4</v>
      </c>
      <c r="AD2139" s="4">
        <v>87</v>
      </c>
      <c r="AE2139" s="4">
        <v>88</v>
      </c>
      <c r="AF2139" s="4">
        <v>1</v>
      </c>
      <c r="AG2139" s="4">
        <v>2</v>
      </c>
      <c r="AH2139" s="4">
        <v>80</v>
      </c>
      <c r="AI2139" s="4">
        <v>80</v>
      </c>
      <c r="AJ2139" s="4">
        <v>7</v>
      </c>
      <c r="AK2139" s="4">
        <v>8</v>
      </c>
      <c r="AL2139" s="4">
        <v>54</v>
      </c>
      <c r="AM2139" s="4">
        <v>54</v>
      </c>
      <c r="AN2139" s="4">
        <v>0</v>
      </c>
      <c r="AO2139" s="4">
        <v>0</v>
      </c>
      <c r="AP2139" s="4">
        <v>8</v>
      </c>
      <c r="AQ2139" s="4">
        <v>9</v>
      </c>
      <c r="AR2139" s="3" t="s">
        <v>62</v>
      </c>
      <c r="AS2139" s="3" t="s">
        <v>62</v>
      </c>
      <c r="AT2139" s="3" t="s">
        <v>62</v>
      </c>
      <c r="AU2139" s="6" t="str">
        <f>HYPERLINK("http://catalog.hathitrust.org/Record/000421833","HathiTrust Record")</f>
        <v>HathiTrust Record</v>
      </c>
      <c r="AV2139" s="6" t="str">
        <f>HYPERLINK("http://mcgill.on.worldcat.org/oclc/784730","Catalog Record")</f>
        <v>Catalog Record</v>
      </c>
      <c r="AW2139" s="6" t="str">
        <f>HYPERLINK("http://www.worldcat.org/oclc/784730","WorldCat Record")</f>
        <v>WorldCat Record</v>
      </c>
      <c r="AX2139" s="3" t="s">
        <v>21149</v>
      </c>
      <c r="AY2139" s="3" t="s">
        <v>21150</v>
      </c>
      <c r="AZ2139" s="3" t="s">
        <v>21151</v>
      </c>
      <c r="BA2139" s="3" t="s">
        <v>21151</v>
      </c>
      <c r="BB2139" s="3" t="s">
        <v>21152</v>
      </c>
      <c r="BC2139" s="3" t="s">
        <v>102</v>
      </c>
      <c r="BD2139" s="3" t="s">
        <v>68</v>
      </c>
      <c r="BF2139" s="3" t="s">
        <v>21152</v>
      </c>
      <c r="BG2139" s="3" t="s">
        <v>21153</v>
      </c>
    </row>
    <row r="2140" spans="1:59" ht="72.5" x14ac:dyDescent="0.35">
      <c r="A2140" s="2" t="s">
        <v>89</v>
      </c>
      <c r="B2140" s="2" t="s">
        <v>90</v>
      </c>
      <c r="C2140" s="2" t="s">
        <v>21154</v>
      </c>
      <c r="D2140" s="2" t="s">
        <v>21155</v>
      </c>
      <c r="E2140" s="2" t="s">
        <v>21156</v>
      </c>
      <c r="G2140" s="3" t="s">
        <v>62</v>
      </c>
      <c r="I2140" s="3" t="s">
        <v>62</v>
      </c>
      <c r="J2140" s="3" t="s">
        <v>62</v>
      </c>
      <c r="K2140" s="3" t="s">
        <v>63</v>
      </c>
      <c r="L2140" s="2" t="s">
        <v>21157</v>
      </c>
      <c r="M2140" s="2" t="s">
        <v>21158</v>
      </c>
      <c r="N2140" s="3" t="s">
        <v>880</v>
      </c>
      <c r="P2140" s="3" t="s">
        <v>64</v>
      </c>
      <c r="R2140" s="3" t="s">
        <v>13065</v>
      </c>
      <c r="S2140" s="4">
        <v>0</v>
      </c>
      <c r="T2140" s="4">
        <v>0</v>
      </c>
      <c r="W2140" s="5" t="s">
        <v>67</v>
      </c>
      <c r="X2140" s="5" t="s">
        <v>67</v>
      </c>
      <c r="Y2140" s="4">
        <v>172</v>
      </c>
      <c r="Z2140" s="4">
        <v>19</v>
      </c>
      <c r="AA2140" s="4">
        <v>21</v>
      </c>
      <c r="AB2140" s="4">
        <v>2</v>
      </c>
      <c r="AC2140" s="4">
        <v>4</v>
      </c>
      <c r="AD2140" s="4">
        <v>66</v>
      </c>
      <c r="AE2140" s="4">
        <v>71</v>
      </c>
      <c r="AF2140" s="4">
        <v>1</v>
      </c>
      <c r="AG2140" s="4">
        <v>3</v>
      </c>
      <c r="AH2140" s="4">
        <v>54</v>
      </c>
      <c r="AI2140" s="4">
        <v>57</v>
      </c>
      <c r="AJ2140" s="4">
        <v>14</v>
      </c>
      <c r="AK2140" s="4">
        <v>16</v>
      </c>
      <c r="AL2140" s="4">
        <v>34</v>
      </c>
      <c r="AM2140" s="4">
        <v>35</v>
      </c>
      <c r="AN2140" s="4">
        <v>0</v>
      </c>
      <c r="AO2140" s="4">
        <v>0</v>
      </c>
      <c r="AP2140" s="4">
        <v>17</v>
      </c>
      <c r="AQ2140" s="4">
        <v>19</v>
      </c>
      <c r="AR2140" s="3" t="s">
        <v>62</v>
      </c>
      <c r="AS2140" s="3" t="s">
        <v>62</v>
      </c>
      <c r="AT2140" s="3" t="s">
        <v>62</v>
      </c>
      <c r="AV2140" s="6" t="str">
        <f>HYPERLINK("http://mcgill.on.worldcat.org/oclc/290460960","Catalog Record")</f>
        <v>Catalog Record</v>
      </c>
      <c r="AW2140" s="6" t="str">
        <f>HYPERLINK("http://www.worldcat.org/oclc/290460960","WorldCat Record")</f>
        <v>WorldCat Record</v>
      </c>
      <c r="AX2140" s="3" t="s">
        <v>21159</v>
      </c>
      <c r="AY2140" s="3" t="s">
        <v>21160</v>
      </c>
      <c r="AZ2140" s="3" t="s">
        <v>21161</v>
      </c>
      <c r="BA2140" s="3" t="s">
        <v>21161</v>
      </c>
      <c r="BB2140" s="3" t="s">
        <v>21162</v>
      </c>
      <c r="BC2140" s="3" t="s">
        <v>102</v>
      </c>
      <c r="BD2140" s="3" t="s">
        <v>68</v>
      </c>
      <c r="BE2140" s="3" t="s">
        <v>21163</v>
      </c>
      <c r="BF2140" s="3" t="s">
        <v>21162</v>
      </c>
      <c r="BG2140" s="3" t="s">
        <v>21164</v>
      </c>
    </row>
    <row r="2141" spans="1:59" ht="58" x14ac:dyDescent="0.35">
      <c r="A2141" s="2" t="s">
        <v>89</v>
      </c>
      <c r="B2141" s="2" t="s">
        <v>90</v>
      </c>
      <c r="C2141" s="2" t="s">
        <v>21165</v>
      </c>
      <c r="D2141" s="2" t="s">
        <v>21166</v>
      </c>
      <c r="E2141" s="2" t="s">
        <v>21167</v>
      </c>
      <c r="G2141" s="3" t="s">
        <v>62</v>
      </c>
      <c r="I2141" s="3" t="s">
        <v>61</v>
      </c>
      <c r="J2141" s="3" t="s">
        <v>61</v>
      </c>
      <c r="K2141" s="3" t="s">
        <v>63</v>
      </c>
      <c r="L2141" s="2" t="s">
        <v>21168</v>
      </c>
      <c r="M2141" s="2" t="s">
        <v>21169</v>
      </c>
      <c r="N2141" s="3" t="s">
        <v>129</v>
      </c>
      <c r="O2141" s="2" t="s">
        <v>2458</v>
      </c>
      <c r="P2141" s="3" t="s">
        <v>64</v>
      </c>
      <c r="R2141" s="3" t="s">
        <v>13065</v>
      </c>
      <c r="S2141" s="4">
        <v>12</v>
      </c>
      <c r="T2141" s="4">
        <v>44</v>
      </c>
      <c r="U2141" s="5" t="s">
        <v>16073</v>
      </c>
      <c r="V2141" s="5" t="s">
        <v>16073</v>
      </c>
      <c r="W2141" s="5" t="s">
        <v>67</v>
      </c>
      <c r="X2141" s="5" t="s">
        <v>67</v>
      </c>
      <c r="Y2141" s="4">
        <v>220</v>
      </c>
      <c r="Z2141" s="4">
        <v>13</v>
      </c>
      <c r="AA2141" s="4">
        <v>54</v>
      </c>
      <c r="AB2141" s="4">
        <v>1</v>
      </c>
      <c r="AC2141" s="4">
        <v>12</v>
      </c>
      <c r="AD2141" s="4">
        <v>65</v>
      </c>
      <c r="AE2141" s="4">
        <v>132</v>
      </c>
      <c r="AF2141" s="4">
        <v>0</v>
      </c>
      <c r="AG2141" s="4">
        <v>7</v>
      </c>
      <c r="AH2141" s="4">
        <v>57</v>
      </c>
      <c r="AI2141" s="4">
        <v>100</v>
      </c>
      <c r="AJ2141" s="4">
        <v>8</v>
      </c>
      <c r="AK2141" s="4">
        <v>24</v>
      </c>
      <c r="AL2141" s="4">
        <v>36</v>
      </c>
      <c r="AM2141" s="4">
        <v>57</v>
      </c>
      <c r="AN2141" s="4">
        <v>0</v>
      </c>
      <c r="AO2141" s="4">
        <v>5</v>
      </c>
      <c r="AP2141" s="4">
        <v>12</v>
      </c>
      <c r="AQ2141" s="4">
        <v>39</v>
      </c>
      <c r="AR2141" s="3" t="s">
        <v>62</v>
      </c>
      <c r="AS2141" s="3" t="s">
        <v>62</v>
      </c>
      <c r="AT2141" s="3" t="s">
        <v>62</v>
      </c>
      <c r="AV2141" s="6" t="str">
        <f>HYPERLINK("http://mcgill.on.worldcat.org/oclc/761858892","Catalog Record")</f>
        <v>Catalog Record</v>
      </c>
      <c r="AW2141" s="6" t="str">
        <f>HYPERLINK("http://www.worldcat.org/oclc/761858892","WorldCat Record")</f>
        <v>WorldCat Record</v>
      </c>
      <c r="AX2141" s="3" t="s">
        <v>21170</v>
      </c>
      <c r="AY2141" s="3" t="s">
        <v>21171</v>
      </c>
      <c r="AZ2141" s="3" t="s">
        <v>21172</v>
      </c>
      <c r="BA2141" s="3" t="s">
        <v>21172</v>
      </c>
      <c r="BB2141" s="3" t="s">
        <v>21173</v>
      </c>
      <c r="BC2141" s="3" t="s">
        <v>102</v>
      </c>
      <c r="BD2141" s="3" t="s">
        <v>68</v>
      </c>
      <c r="BE2141" s="3" t="s">
        <v>21174</v>
      </c>
      <c r="BF2141" s="3" t="s">
        <v>21173</v>
      </c>
      <c r="BG2141" s="3" t="s">
        <v>21175</v>
      </c>
    </row>
    <row r="2142" spans="1:59" ht="58" x14ac:dyDescent="0.35">
      <c r="A2142" s="2" t="s">
        <v>89</v>
      </c>
      <c r="B2142" s="2" t="s">
        <v>90</v>
      </c>
      <c r="C2142" s="2" t="s">
        <v>21176</v>
      </c>
      <c r="D2142" s="2" t="s">
        <v>21177</v>
      </c>
      <c r="E2142" s="2" t="s">
        <v>21178</v>
      </c>
      <c r="G2142" s="3" t="s">
        <v>62</v>
      </c>
      <c r="I2142" s="3" t="s">
        <v>61</v>
      </c>
      <c r="J2142" s="3" t="s">
        <v>62</v>
      </c>
      <c r="K2142" s="3" t="s">
        <v>63</v>
      </c>
      <c r="L2142" s="2" t="s">
        <v>21179</v>
      </c>
      <c r="M2142" s="2" t="s">
        <v>21180</v>
      </c>
      <c r="N2142" s="3" t="s">
        <v>466</v>
      </c>
      <c r="P2142" s="3" t="s">
        <v>64</v>
      </c>
      <c r="R2142" s="3" t="s">
        <v>13065</v>
      </c>
      <c r="S2142" s="4">
        <v>55</v>
      </c>
      <c r="T2142" s="4">
        <v>130</v>
      </c>
      <c r="U2142" s="5" t="s">
        <v>21181</v>
      </c>
      <c r="V2142" s="5" t="s">
        <v>21181</v>
      </c>
      <c r="W2142" s="5" t="s">
        <v>67</v>
      </c>
      <c r="X2142" s="5" t="s">
        <v>67</v>
      </c>
      <c r="Y2142" s="4">
        <v>356</v>
      </c>
      <c r="Z2142" s="4">
        <v>24</v>
      </c>
      <c r="AA2142" s="4">
        <v>27</v>
      </c>
      <c r="AB2142" s="4">
        <v>2</v>
      </c>
      <c r="AC2142" s="4">
        <v>5</v>
      </c>
      <c r="AD2142" s="4">
        <v>79</v>
      </c>
      <c r="AE2142" s="4">
        <v>82</v>
      </c>
      <c r="AF2142" s="4">
        <v>1</v>
      </c>
      <c r="AG2142" s="4">
        <v>4</v>
      </c>
      <c r="AH2142" s="4">
        <v>67</v>
      </c>
      <c r="AI2142" s="4">
        <v>67</v>
      </c>
      <c r="AJ2142" s="4">
        <v>13</v>
      </c>
      <c r="AK2142" s="4">
        <v>15</v>
      </c>
      <c r="AL2142" s="4">
        <v>43</v>
      </c>
      <c r="AM2142" s="4">
        <v>43</v>
      </c>
      <c r="AN2142" s="4">
        <v>0</v>
      </c>
      <c r="AO2142" s="4">
        <v>0</v>
      </c>
      <c r="AP2142" s="4">
        <v>19</v>
      </c>
      <c r="AQ2142" s="4">
        <v>21</v>
      </c>
      <c r="AR2142" s="3" t="s">
        <v>62</v>
      </c>
      <c r="AS2142" s="3" t="s">
        <v>62</v>
      </c>
      <c r="AT2142" s="3" t="s">
        <v>62</v>
      </c>
      <c r="AV2142" s="6" t="str">
        <f>HYPERLINK("http://mcgill.on.worldcat.org/oclc/25182877","Catalog Record")</f>
        <v>Catalog Record</v>
      </c>
      <c r="AW2142" s="6" t="str">
        <f>HYPERLINK("http://www.worldcat.org/oclc/25182877","WorldCat Record")</f>
        <v>WorldCat Record</v>
      </c>
      <c r="AX2142" s="3" t="s">
        <v>21182</v>
      </c>
      <c r="AY2142" s="3" t="s">
        <v>21183</v>
      </c>
      <c r="AZ2142" s="3" t="s">
        <v>21184</v>
      </c>
      <c r="BA2142" s="3" t="s">
        <v>21184</v>
      </c>
      <c r="BB2142" s="3" t="s">
        <v>21185</v>
      </c>
      <c r="BC2142" s="3" t="s">
        <v>102</v>
      </c>
      <c r="BD2142" s="3" t="s">
        <v>68</v>
      </c>
      <c r="BE2142" s="3" t="s">
        <v>21186</v>
      </c>
      <c r="BF2142" s="3" t="s">
        <v>21185</v>
      </c>
      <c r="BG2142" s="3" t="s">
        <v>21187</v>
      </c>
    </row>
    <row r="2143" spans="1:59" ht="58" x14ac:dyDescent="0.35">
      <c r="A2143" s="2" t="s">
        <v>89</v>
      </c>
      <c r="B2143" s="2" t="s">
        <v>90</v>
      </c>
      <c r="C2143" s="2" t="s">
        <v>21176</v>
      </c>
      <c r="D2143" s="2" t="s">
        <v>21177</v>
      </c>
      <c r="E2143" s="2" t="s">
        <v>21178</v>
      </c>
      <c r="G2143" s="3" t="s">
        <v>62</v>
      </c>
      <c r="I2143" s="3" t="s">
        <v>61</v>
      </c>
      <c r="J2143" s="3" t="s">
        <v>62</v>
      </c>
      <c r="K2143" s="3" t="s">
        <v>63</v>
      </c>
      <c r="L2143" s="2" t="s">
        <v>21179</v>
      </c>
      <c r="M2143" s="2" t="s">
        <v>21180</v>
      </c>
      <c r="N2143" s="3" t="s">
        <v>466</v>
      </c>
      <c r="P2143" s="3" t="s">
        <v>64</v>
      </c>
      <c r="R2143" s="3" t="s">
        <v>13065</v>
      </c>
      <c r="S2143" s="4">
        <v>39</v>
      </c>
      <c r="T2143" s="4">
        <v>130</v>
      </c>
      <c r="U2143" s="5" t="s">
        <v>6962</v>
      </c>
      <c r="V2143" s="5" t="s">
        <v>21181</v>
      </c>
      <c r="W2143" s="5" t="s">
        <v>67</v>
      </c>
      <c r="X2143" s="5" t="s">
        <v>67</v>
      </c>
      <c r="Y2143" s="4">
        <v>356</v>
      </c>
      <c r="Z2143" s="4">
        <v>24</v>
      </c>
      <c r="AA2143" s="4">
        <v>27</v>
      </c>
      <c r="AB2143" s="4">
        <v>2</v>
      </c>
      <c r="AC2143" s="4">
        <v>5</v>
      </c>
      <c r="AD2143" s="4">
        <v>79</v>
      </c>
      <c r="AE2143" s="4">
        <v>82</v>
      </c>
      <c r="AF2143" s="4">
        <v>1</v>
      </c>
      <c r="AG2143" s="4">
        <v>4</v>
      </c>
      <c r="AH2143" s="4">
        <v>67</v>
      </c>
      <c r="AI2143" s="4">
        <v>67</v>
      </c>
      <c r="AJ2143" s="4">
        <v>13</v>
      </c>
      <c r="AK2143" s="4">
        <v>15</v>
      </c>
      <c r="AL2143" s="4">
        <v>43</v>
      </c>
      <c r="AM2143" s="4">
        <v>43</v>
      </c>
      <c r="AN2143" s="4">
        <v>0</v>
      </c>
      <c r="AO2143" s="4">
        <v>0</v>
      </c>
      <c r="AP2143" s="4">
        <v>19</v>
      </c>
      <c r="AQ2143" s="4">
        <v>21</v>
      </c>
      <c r="AR2143" s="3" t="s">
        <v>62</v>
      </c>
      <c r="AS2143" s="3" t="s">
        <v>62</v>
      </c>
      <c r="AT2143" s="3" t="s">
        <v>62</v>
      </c>
      <c r="AV2143" s="6" t="str">
        <f>HYPERLINK("http://mcgill.on.worldcat.org/oclc/25182877","Catalog Record")</f>
        <v>Catalog Record</v>
      </c>
      <c r="AW2143" s="6" t="str">
        <f>HYPERLINK("http://www.worldcat.org/oclc/25182877","WorldCat Record")</f>
        <v>WorldCat Record</v>
      </c>
      <c r="AX2143" s="3" t="s">
        <v>21182</v>
      </c>
      <c r="AY2143" s="3" t="s">
        <v>21183</v>
      </c>
      <c r="AZ2143" s="3" t="s">
        <v>21184</v>
      </c>
      <c r="BA2143" s="3" t="s">
        <v>21184</v>
      </c>
      <c r="BB2143" s="3" t="s">
        <v>21188</v>
      </c>
      <c r="BC2143" s="3" t="s">
        <v>102</v>
      </c>
      <c r="BD2143" s="3" t="s">
        <v>68</v>
      </c>
      <c r="BE2143" s="3" t="s">
        <v>21186</v>
      </c>
      <c r="BF2143" s="3" t="s">
        <v>21188</v>
      </c>
      <c r="BG2143" s="3" t="s">
        <v>21189</v>
      </c>
    </row>
    <row r="2144" spans="1:59" ht="58" x14ac:dyDescent="0.35">
      <c r="A2144" s="2" t="s">
        <v>89</v>
      </c>
      <c r="B2144" s="2" t="s">
        <v>90</v>
      </c>
      <c r="C2144" s="2" t="s">
        <v>21176</v>
      </c>
      <c r="D2144" s="2" t="s">
        <v>21177</v>
      </c>
      <c r="E2144" s="2" t="s">
        <v>21178</v>
      </c>
      <c r="G2144" s="3" t="s">
        <v>62</v>
      </c>
      <c r="I2144" s="3" t="s">
        <v>61</v>
      </c>
      <c r="J2144" s="3" t="s">
        <v>62</v>
      </c>
      <c r="K2144" s="3" t="s">
        <v>63</v>
      </c>
      <c r="L2144" s="2" t="s">
        <v>21179</v>
      </c>
      <c r="M2144" s="2" t="s">
        <v>21180</v>
      </c>
      <c r="N2144" s="3" t="s">
        <v>466</v>
      </c>
      <c r="P2144" s="3" t="s">
        <v>64</v>
      </c>
      <c r="R2144" s="3" t="s">
        <v>13065</v>
      </c>
      <c r="S2144" s="4">
        <v>36</v>
      </c>
      <c r="T2144" s="4">
        <v>130</v>
      </c>
      <c r="U2144" s="5" t="s">
        <v>21190</v>
      </c>
      <c r="V2144" s="5" t="s">
        <v>21181</v>
      </c>
      <c r="W2144" s="5" t="s">
        <v>67</v>
      </c>
      <c r="X2144" s="5" t="s">
        <v>67</v>
      </c>
      <c r="Y2144" s="4">
        <v>356</v>
      </c>
      <c r="Z2144" s="4">
        <v>24</v>
      </c>
      <c r="AA2144" s="4">
        <v>27</v>
      </c>
      <c r="AB2144" s="4">
        <v>2</v>
      </c>
      <c r="AC2144" s="4">
        <v>5</v>
      </c>
      <c r="AD2144" s="4">
        <v>79</v>
      </c>
      <c r="AE2144" s="4">
        <v>82</v>
      </c>
      <c r="AF2144" s="4">
        <v>1</v>
      </c>
      <c r="AG2144" s="4">
        <v>4</v>
      </c>
      <c r="AH2144" s="4">
        <v>67</v>
      </c>
      <c r="AI2144" s="4">
        <v>67</v>
      </c>
      <c r="AJ2144" s="4">
        <v>13</v>
      </c>
      <c r="AK2144" s="4">
        <v>15</v>
      </c>
      <c r="AL2144" s="4">
        <v>43</v>
      </c>
      <c r="AM2144" s="4">
        <v>43</v>
      </c>
      <c r="AN2144" s="4">
        <v>0</v>
      </c>
      <c r="AO2144" s="4">
        <v>0</v>
      </c>
      <c r="AP2144" s="4">
        <v>19</v>
      </c>
      <c r="AQ2144" s="4">
        <v>21</v>
      </c>
      <c r="AR2144" s="3" t="s">
        <v>62</v>
      </c>
      <c r="AS2144" s="3" t="s">
        <v>62</v>
      </c>
      <c r="AT2144" s="3" t="s">
        <v>62</v>
      </c>
      <c r="AV2144" s="6" t="str">
        <f>HYPERLINK("http://mcgill.on.worldcat.org/oclc/25182877","Catalog Record")</f>
        <v>Catalog Record</v>
      </c>
      <c r="AW2144" s="6" t="str">
        <f>HYPERLINK("http://www.worldcat.org/oclc/25182877","WorldCat Record")</f>
        <v>WorldCat Record</v>
      </c>
      <c r="AX2144" s="3" t="s">
        <v>21182</v>
      </c>
      <c r="AY2144" s="3" t="s">
        <v>21183</v>
      </c>
      <c r="AZ2144" s="3" t="s">
        <v>21184</v>
      </c>
      <c r="BA2144" s="3" t="s">
        <v>21184</v>
      </c>
      <c r="BB2144" s="3" t="s">
        <v>21191</v>
      </c>
      <c r="BC2144" s="3" t="s">
        <v>102</v>
      </c>
      <c r="BD2144" s="3" t="s">
        <v>68</v>
      </c>
      <c r="BE2144" s="3" t="s">
        <v>21186</v>
      </c>
      <c r="BF2144" s="3" t="s">
        <v>21191</v>
      </c>
      <c r="BG2144" s="3" t="s">
        <v>21192</v>
      </c>
    </row>
    <row r="2145" spans="1:59" ht="58" x14ac:dyDescent="0.35">
      <c r="A2145" s="2" t="s">
        <v>89</v>
      </c>
      <c r="B2145" s="2" t="s">
        <v>90</v>
      </c>
      <c r="C2145" s="2" t="s">
        <v>21193</v>
      </c>
      <c r="D2145" s="2" t="s">
        <v>21194</v>
      </c>
      <c r="E2145" s="2" t="s">
        <v>21195</v>
      </c>
      <c r="G2145" s="3" t="s">
        <v>62</v>
      </c>
      <c r="I2145" s="3" t="s">
        <v>62</v>
      </c>
      <c r="J2145" s="3" t="s">
        <v>62</v>
      </c>
      <c r="K2145" s="3" t="s">
        <v>63</v>
      </c>
      <c r="L2145" s="2" t="s">
        <v>21196</v>
      </c>
      <c r="M2145" s="2" t="s">
        <v>21197</v>
      </c>
      <c r="N2145" s="3" t="s">
        <v>2136</v>
      </c>
      <c r="P2145" s="3" t="s">
        <v>64</v>
      </c>
      <c r="Q2145" s="2" t="s">
        <v>21198</v>
      </c>
      <c r="R2145" s="3" t="s">
        <v>13065</v>
      </c>
      <c r="S2145" s="4">
        <v>7</v>
      </c>
      <c r="T2145" s="4">
        <v>7</v>
      </c>
      <c r="U2145" s="5" t="s">
        <v>13290</v>
      </c>
      <c r="V2145" s="5" t="s">
        <v>13290</v>
      </c>
      <c r="W2145" s="5" t="s">
        <v>67</v>
      </c>
      <c r="X2145" s="5" t="s">
        <v>67</v>
      </c>
      <c r="Y2145" s="4">
        <v>165</v>
      </c>
      <c r="Z2145" s="4">
        <v>11</v>
      </c>
      <c r="AA2145" s="4">
        <v>54</v>
      </c>
      <c r="AB2145" s="4">
        <v>2</v>
      </c>
      <c r="AC2145" s="4">
        <v>16</v>
      </c>
      <c r="AD2145" s="4">
        <v>73</v>
      </c>
      <c r="AE2145" s="4">
        <v>134</v>
      </c>
      <c r="AF2145" s="4">
        <v>1</v>
      </c>
      <c r="AG2145" s="4">
        <v>10</v>
      </c>
      <c r="AH2145" s="4">
        <v>67</v>
      </c>
      <c r="AI2145" s="4">
        <v>97</v>
      </c>
      <c r="AJ2145" s="4">
        <v>9</v>
      </c>
      <c r="AK2145" s="4">
        <v>25</v>
      </c>
      <c r="AL2145" s="4">
        <v>45</v>
      </c>
      <c r="AM2145" s="4">
        <v>56</v>
      </c>
      <c r="AN2145" s="4">
        <v>0</v>
      </c>
      <c r="AO2145" s="4">
        <v>0</v>
      </c>
      <c r="AP2145" s="4">
        <v>9</v>
      </c>
      <c r="AQ2145" s="4">
        <v>45</v>
      </c>
      <c r="AR2145" s="3" t="s">
        <v>62</v>
      </c>
      <c r="AS2145" s="3" t="s">
        <v>62</v>
      </c>
      <c r="AT2145" s="3" t="s">
        <v>62</v>
      </c>
      <c r="AV2145" s="6" t="str">
        <f>HYPERLINK("http://mcgill.on.worldcat.org/oclc/61263489","Catalog Record")</f>
        <v>Catalog Record</v>
      </c>
      <c r="AW2145" s="6" t="str">
        <f>HYPERLINK("http://www.worldcat.org/oclc/61263489","WorldCat Record")</f>
        <v>WorldCat Record</v>
      </c>
      <c r="AX2145" s="3" t="s">
        <v>21199</v>
      </c>
      <c r="AY2145" s="3" t="s">
        <v>21200</v>
      </c>
      <c r="AZ2145" s="3" t="s">
        <v>21201</v>
      </c>
      <c r="BA2145" s="3" t="s">
        <v>21201</v>
      </c>
      <c r="BB2145" s="3" t="s">
        <v>21202</v>
      </c>
      <c r="BC2145" s="3" t="s">
        <v>102</v>
      </c>
      <c r="BD2145" s="3" t="s">
        <v>68</v>
      </c>
      <c r="BE2145" s="3" t="s">
        <v>21203</v>
      </c>
      <c r="BF2145" s="3" t="s">
        <v>21202</v>
      </c>
      <c r="BG2145" s="3" t="s">
        <v>21204</v>
      </c>
    </row>
    <row r="2146" spans="1:59" ht="58" x14ac:dyDescent="0.35">
      <c r="A2146" s="2" t="s">
        <v>89</v>
      </c>
      <c r="B2146" s="2" t="s">
        <v>90</v>
      </c>
      <c r="C2146" s="2" t="s">
        <v>21205</v>
      </c>
      <c r="D2146" s="2" t="s">
        <v>21206</v>
      </c>
      <c r="E2146" s="2" t="s">
        <v>21207</v>
      </c>
      <c r="G2146" s="3" t="s">
        <v>62</v>
      </c>
      <c r="I2146" s="3" t="s">
        <v>62</v>
      </c>
      <c r="J2146" s="3" t="s">
        <v>62</v>
      </c>
      <c r="K2146" s="3" t="s">
        <v>63</v>
      </c>
      <c r="L2146" s="2" t="s">
        <v>21208</v>
      </c>
      <c r="M2146" s="2" t="s">
        <v>21209</v>
      </c>
      <c r="N2146" s="3" t="s">
        <v>880</v>
      </c>
      <c r="P2146" s="3" t="s">
        <v>64</v>
      </c>
      <c r="Q2146" s="2" t="s">
        <v>21210</v>
      </c>
      <c r="R2146" s="3" t="s">
        <v>13065</v>
      </c>
      <c r="S2146" s="4">
        <v>3</v>
      </c>
      <c r="T2146" s="4">
        <v>3</v>
      </c>
      <c r="U2146" s="5" t="s">
        <v>21211</v>
      </c>
      <c r="V2146" s="5" t="s">
        <v>21211</v>
      </c>
      <c r="W2146" s="5" t="s">
        <v>67</v>
      </c>
      <c r="X2146" s="5" t="s">
        <v>67</v>
      </c>
      <c r="Y2146" s="4">
        <v>17</v>
      </c>
      <c r="Z2146" s="4">
        <v>1</v>
      </c>
      <c r="AA2146" s="4">
        <v>39</v>
      </c>
      <c r="AB2146" s="4">
        <v>1</v>
      </c>
      <c r="AC2146" s="4">
        <v>10</v>
      </c>
      <c r="AD2146" s="4">
        <v>8</v>
      </c>
      <c r="AE2146" s="4">
        <v>88</v>
      </c>
      <c r="AF2146" s="4">
        <v>0</v>
      </c>
      <c r="AG2146" s="4">
        <v>6</v>
      </c>
      <c r="AH2146" s="4">
        <v>7</v>
      </c>
      <c r="AI2146" s="4">
        <v>61</v>
      </c>
      <c r="AJ2146" s="4">
        <v>0</v>
      </c>
      <c r="AK2146" s="4">
        <v>17</v>
      </c>
      <c r="AL2146" s="4">
        <v>5</v>
      </c>
      <c r="AM2146" s="4">
        <v>31</v>
      </c>
      <c r="AN2146" s="4">
        <v>0</v>
      </c>
      <c r="AO2146" s="4">
        <v>0</v>
      </c>
      <c r="AP2146" s="4">
        <v>0</v>
      </c>
      <c r="AQ2146" s="4">
        <v>31</v>
      </c>
      <c r="AR2146" s="3" t="s">
        <v>62</v>
      </c>
      <c r="AS2146" s="3" t="s">
        <v>62</v>
      </c>
      <c r="AT2146" s="3" t="s">
        <v>62</v>
      </c>
      <c r="AV2146" s="6" t="str">
        <f>HYPERLINK("http://mcgill.on.worldcat.org/oclc/672238008","Catalog Record")</f>
        <v>Catalog Record</v>
      </c>
      <c r="AW2146" s="6" t="str">
        <f>HYPERLINK("http://www.worldcat.org/oclc/672238008","WorldCat Record")</f>
        <v>WorldCat Record</v>
      </c>
      <c r="AX2146" s="3" t="s">
        <v>21212</v>
      </c>
      <c r="AY2146" s="3" t="s">
        <v>21213</v>
      </c>
      <c r="AZ2146" s="3" t="s">
        <v>21214</v>
      </c>
      <c r="BA2146" s="3" t="s">
        <v>21214</v>
      </c>
      <c r="BB2146" s="3" t="s">
        <v>21215</v>
      </c>
      <c r="BC2146" s="3" t="s">
        <v>102</v>
      </c>
      <c r="BD2146" s="3" t="s">
        <v>68</v>
      </c>
      <c r="BE2146" s="3" t="s">
        <v>21216</v>
      </c>
      <c r="BF2146" s="3" t="s">
        <v>21215</v>
      </c>
      <c r="BG2146" s="3" t="s">
        <v>21217</v>
      </c>
    </row>
    <row r="2147" spans="1:59" ht="58" x14ac:dyDescent="0.35">
      <c r="A2147" s="2" t="s">
        <v>89</v>
      </c>
      <c r="B2147" s="2" t="s">
        <v>90</v>
      </c>
      <c r="C2147" s="2" t="s">
        <v>21218</v>
      </c>
      <c r="D2147" s="2" t="s">
        <v>21219</v>
      </c>
      <c r="E2147" s="2" t="s">
        <v>21220</v>
      </c>
      <c r="G2147" s="3" t="s">
        <v>62</v>
      </c>
      <c r="I2147" s="3" t="s">
        <v>62</v>
      </c>
      <c r="J2147" s="3" t="s">
        <v>62</v>
      </c>
      <c r="K2147" s="3" t="s">
        <v>63</v>
      </c>
      <c r="L2147" s="2" t="s">
        <v>21221</v>
      </c>
      <c r="M2147" s="2" t="s">
        <v>21222</v>
      </c>
      <c r="N2147" s="3" t="s">
        <v>524</v>
      </c>
      <c r="O2147" s="2" t="s">
        <v>2986</v>
      </c>
      <c r="P2147" s="3" t="s">
        <v>64</v>
      </c>
      <c r="Q2147" s="2" t="s">
        <v>21223</v>
      </c>
      <c r="R2147" s="3" t="s">
        <v>13065</v>
      </c>
      <c r="S2147" s="4">
        <v>38</v>
      </c>
      <c r="T2147" s="4">
        <v>38</v>
      </c>
      <c r="U2147" s="5" t="s">
        <v>1293</v>
      </c>
      <c r="V2147" s="5" t="s">
        <v>1293</v>
      </c>
      <c r="W2147" s="5" t="s">
        <v>67</v>
      </c>
      <c r="X2147" s="5" t="s">
        <v>67</v>
      </c>
      <c r="Y2147" s="4">
        <v>207</v>
      </c>
      <c r="Z2147" s="4">
        <v>14</v>
      </c>
      <c r="AA2147" s="4">
        <v>20</v>
      </c>
      <c r="AB2147" s="4">
        <v>2</v>
      </c>
      <c r="AC2147" s="4">
        <v>5</v>
      </c>
      <c r="AD2147" s="4">
        <v>67</v>
      </c>
      <c r="AE2147" s="4">
        <v>75</v>
      </c>
      <c r="AF2147" s="4">
        <v>1</v>
      </c>
      <c r="AG2147" s="4">
        <v>1</v>
      </c>
      <c r="AH2147" s="4">
        <v>61</v>
      </c>
      <c r="AI2147" s="4">
        <v>67</v>
      </c>
      <c r="AJ2147" s="4">
        <v>9</v>
      </c>
      <c r="AK2147" s="4">
        <v>11</v>
      </c>
      <c r="AL2147" s="4">
        <v>36</v>
      </c>
      <c r="AM2147" s="4">
        <v>37</v>
      </c>
      <c r="AN2147" s="4">
        <v>0</v>
      </c>
      <c r="AO2147" s="4">
        <v>0</v>
      </c>
      <c r="AP2147" s="4">
        <v>11</v>
      </c>
      <c r="AQ2147" s="4">
        <v>14</v>
      </c>
      <c r="AR2147" s="3" t="s">
        <v>62</v>
      </c>
      <c r="AS2147" s="3" t="s">
        <v>62</v>
      </c>
      <c r="AT2147" s="3" t="s">
        <v>62</v>
      </c>
      <c r="AV2147" s="6" t="str">
        <f>HYPERLINK("http://mcgill.on.worldcat.org/oclc/32508077","Catalog Record")</f>
        <v>Catalog Record</v>
      </c>
      <c r="AW2147" s="6" t="str">
        <f>HYPERLINK("http://www.worldcat.org/oclc/32508077","WorldCat Record")</f>
        <v>WorldCat Record</v>
      </c>
      <c r="AX2147" s="3" t="s">
        <v>21224</v>
      </c>
      <c r="AY2147" s="3" t="s">
        <v>21225</v>
      </c>
      <c r="AZ2147" s="3" t="s">
        <v>21226</v>
      </c>
      <c r="BA2147" s="3" t="s">
        <v>21226</v>
      </c>
      <c r="BB2147" s="3" t="s">
        <v>21227</v>
      </c>
      <c r="BC2147" s="3" t="s">
        <v>102</v>
      </c>
      <c r="BD2147" s="3" t="s">
        <v>68</v>
      </c>
      <c r="BE2147" s="3" t="s">
        <v>21228</v>
      </c>
      <c r="BF2147" s="3" t="s">
        <v>21227</v>
      </c>
      <c r="BG2147" s="3" t="s">
        <v>21229</v>
      </c>
    </row>
    <row r="2148" spans="1:59" ht="58" x14ac:dyDescent="0.35">
      <c r="A2148" s="2" t="s">
        <v>89</v>
      </c>
      <c r="B2148" s="2" t="s">
        <v>90</v>
      </c>
      <c r="C2148" s="2" t="s">
        <v>21230</v>
      </c>
      <c r="D2148" s="2" t="s">
        <v>21231</v>
      </c>
      <c r="E2148" s="2" t="s">
        <v>21232</v>
      </c>
      <c r="G2148" s="3" t="s">
        <v>62</v>
      </c>
      <c r="I2148" s="3" t="s">
        <v>62</v>
      </c>
      <c r="J2148" s="3" t="s">
        <v>62</v>
      </c>
      <c r="K2148" s="3" t="s">
        <v>63</v>
      </c>
      <c r="L2148" s="2" t="s">
        <v>21233</v>
      </c>
      <c r="M2148" s="2" t="s">
        <v>17574</v>
      </c>
      <c r="N2148" s="3" t="s">
        <v>625</v>
      </c>
      <c r="P2148" s="3" t="s">
        <v>64</v>
      </c>
      <c r="Q2148" s="2" t="s">
        <v>21234</v>
      </c>
      <c r="R2148" s="3" t="s">
        <v>13065</v>
      </c>
      <c r="S2148" s="4">
        <v>16</v>
      </c>
      <c r="T2148" s="4">
        <v>16</v>
      </c>
      <c r="U2148" s="5" t="s">
        <v>840</v>
      </c>
      <c r="V2148" s="5" t="s">
        <v>840</v>
      </c>
      <c r="W2148" s="5" t="s">
        <v>67</v>
      </c>
      <c r="X2148" s="5" t="s">
        <v>67</v>
      </c>
      <c r="Y2148" s="4">
        <v>235</v>
      </c>
      <c r="Z2148" s="4">
        <v>17</v>
      </c>
      <c r="AA2148" s="4">
        <v>91</v>
      </c>
      <c r="AB2148" s="4">
        <v>1</v>
      </c>
      <c r="AC2148" s="4">
        <v>18</v>
      </c>
      <c r="AD2148" s="4">
        <v>89</v>
      </c>
      <c r="AE2148" s="4">
        <v>134</v>
      </c>
      <c r="AF2148" s="4">
        <v>0</v>
      </c>
      <c r="AG2148" s="4">
        <v>9</v>
      </c>
      <c r="AH2148" s="4">
        <v>81</v>
      </c>
      <c r="AI2148" s="4">
        <v>97</v>
      </c>
      <c r="AJ2148" s="4">
        <v>12</v>
      </c>
      <c r="AK2148" s="4">
        <v>23</v>
      </c>
      <c r="AL2148" s="4">
        <v>44</v>
      </c>
      <c r="AM2148" s="4">
        <v>51</v>
      </c>
      <c r="AN2148" s="4">
        <v>0</v>
      </c>
      <c r="AO2148" s="4">
        <v>0</v>
      </c>
      <c r="AP2148" s="4">
        <v>14</v>
      </c>
      <c r="AQ2148" s="4">
        <v>45</v>
      </c>
      <c r="AR2148" s="3" t="s">
        <v>62</v>
      </c>
      <c r="AS2148" s="3" t="s">
        <v>62</v>
      </c>
      <c r="AT2148" s="3" t="s">
        <v>62</v>
      </c>
      <c r="AV2148" s="6" t="str">
        <f>HYPERLINK("http://mcgill.on.worldcat.org/oclc/52475592","Catalog Record")</f>
        <v>Catalog Record</v>
      </c>
      <c r="AW2148" s="6" t="str">
        <f>HYPERLINK("http://www.worldcat.org/oclc/52475592","WorldCat Record")</f>
        <v>WorldCat Record</v>
      </c>
      <c r="AX2148" s="3" t="s">
        <v>21235</v>
      </c>
      <c r="AY2148" s="3" t="s">
        <v>21236</v>
      </c>
      <c r="AZ2148" s="3" t="s">
        <v>21237</v>
      </c>
      <c r="BA2148" s="3" t="s">
        <v>21237</v>
      </c>
      <c r="BB2148" s="3" t="s">
        <v>21238</v>
      </c>
      <c r="BC2148" s="3" t="s">
        <v>102</v>
      </c>
      <c r="BD2148" s="3" t="s">
        <v>68</v>
      </c>
      <c r="BE2148" s="3" t="s">
        <v>21239</v>
      </c>
      <c r="BF2148" s="3" t="s">
        <v>21238</v>
      </c>
      <c r="BG2148" s="3" t="s">
        <v>21240</v>
      </c>
    </row>
    <row r="2149" spans="1:59" ht="58" x14ac:dyDescent="0.35">
      <c r="A2149" s="2" t="s">
        <v>89</v>
      </c>
      <c r="B2149" s="2" t="s">
        <v>90</v>
      </c>
      <c r="C2149" s="2" t="s">
        <v>21241</v>
      </c>
      <c r="D2149" s="2" t="s">
        <v>21242</v>
      </c>
      <c r="E2149" s="2" t="s">
        <v>21243</v>
      </c>
      <c r="G2149" s="3" t="s">
        <v>62</v>
      </c>
      <c r="I2149" s="3" t="s">
        <v>61</v>
      </c>
      <c r="J2149" s="3" t="s">
        <v>61</v>
      </c>
      <c r="K2149" s="3" t="s">
        <v>63</v>
      </c>
      <c r="L2149" s="2" t="s">
        <v>21244</v>
      </c>
      <c r="M2149" s="2" t="s">
        <v>21245</v>
      </c>
      <c r="N2149" s="3" t="s">
        <v>1639</v>
      </c>
      <c r="P2149" s="3" t="s">
        <v>64</v>
      </c>
      <c r="Q2149" s="2" t="s">
        <v>21246</v>
      </c>
      <c r="R2149" s="3" t="s">
        <v>13065</v>
      </c>
      <c r="S2149" s="4">
        <v>13</v>
      </c>
      <c r="T2149" s="4">
        <v>28</v>
      </c>
      <c r="U2149" s="5" t="s">
        <v>17649</v>
      </c>
      <c r="V2149" s="5" t="s">
        <v>17649</v>
      </c>
      <c r="W2149" s="5" t="s">
        <v>67</v>
      </c>
      <c r="X2149" s="5" t="s">
        <v>67</v>
      </c>
      <c r="Y2149" s="4">
        <v>921</v>
      </c>
      <c r="Z2149" s="4">
        <v>43</v>
      </c>
      <c r="AA2149" s="4">
        <v>68</v>
      </c>
      <c r="AB2149" s="4">
        <v>3</v>
      </c>
      <c r="AC2149" s="4">
        <v>9</v>
      </c>
      <c r="AD2149" s="4">
        <v>130</v>
      </c>
      <c r="AE2149" s="4">
        <v>154</v>
      </c>
      <c r="AF2149" s="4">
        <v>1</v>
      </c>
      <c r="AG2149" s="4">
        <v>3</v>
      </c>
      <c r="AH2149" s="4">
        <v>101</v>
      </c>
      <c r="AI2149" s="4">
        <v>115</v>
      </c>
      <c r="AJ2149" s="4">
        <v>20</v>
      </c>
      <c r="AK2149" s="4">
        <v>26</v>
      </c>
      <c r="AL2149" s="4">
        <v>56</v>
      </c>
      <c r="AM2149" s="4">
        <v>64</v>
      </c>
      <c r="AN2149" s="4">
        <v>0</v>
      </c>
      <c r="AO2149" s="4">
        <v>0</v>
      </c>
      <c r="AP2149" s="4">
        <v>33</v>
      </c>
      <c r="AQ2149" s="4">
        <v>43</v>
      </c>
      <c r="AR2149" s="3" t="s">
        <v>62</v>
      </c>
      <c r="AS2149" s="3" t="s">
        <v>62</v>
      </c>
      <c r="AT2149" s="3" t="s">
        <v>61</v>
      </c>
      <c r="AU2149" s="6" t="str">
        <f>HYPERLINK("http://catalog.hathitrust.org/Record/000577727","HathiTrust Record")</f>
        <v>HathiTrust Record</v>
      </c>
      <c r="AV2149" s="6" t="str">
        <f>HYPERLINK("http://mcgill.on.worldcat.org/oclc/68544","Catalog Record")</f>
        <v>Catalog Record</v>
      </c>
      <c r="AW2149" s="6" t="str">
        <f>HYPERLINK("http://www.worldcat.org/oclc/68544","WorldCat Record")</f>
        <v>WorldCat Record</v>
      </c>
      <c r="AX2149" s="3" t="s">
        <v>21247</v>
      </c>
      <c r="AY2149" s="3" t="s">
        <v>21248</v>
      </c>
      <c r="AZ2149" s="3" t="s">
        <v>21249</v>
      </c>
      <c r="BA2149" s="3" t="s">
        <v>21249</v>
      </c>
      <c r="BB2149" s="3" t="s">
        <v>21250</v>
      </c>
      <c r="BC2149" s="3" t="s">
        <v>102</v>
      </c>
      <c r="BD2149" s="3" t="s">
        <v>68</v>
      </c>
      <c r="BE2149" s="3" t="s">
        <v>21251</v>
      </c>
      <c r="BF2149" s="3" t="s">
        <v>21250</v>
      </c>
      <c r="BG2149" s="3" t="s">
        <v>21252</v>
      </c>
    </row>
    <row r="2150" spans="1:59" ht="58" x14ac:dyDescent="0.35">
      <c r="A2150" s="2" t="s">
        <v>89</v>
      </c>
      <c r="B2150" s="2" t="s">
        <v>90</v>
      </c>
      <c r="C2150" s="2" t="s">
        <v>21253</v>
      </c>
      <c r="D2150" s="2" t="s">
        <v>21254</v>
      </c>
      <c r="E2150" s="2" t="s">
        <v>21255</v>
      </c>
      <c r="G2150" s="3" t="s">
        <v>62</v>
      </c>
      <c r="I2150" s="3" t="s">
        <v>61</v>
      </c>
      <c r="J2150" s="3" t="s">
        <v>61</v>
      </c>
      <c r="K2150" s="3" t="s">
        <v>63</v>
      </c>
      <c r="L2150" s="2" t="s">
        <v>21256</v>
      </c>
      <c r="M2150" s="2" t="s">
        <v>21257</v>
      </c>
      <c r="N2150" s="3" t="s">
        <v>327</v>
      </c>
      <c r="O2150" s="2" t="s">
        <v>21258</v>
      </c>
      <c r="P2150" s="3" t="s">
        <v>64</v>
      </c>
      <c r="Q2150" s="2" t="s">
        <v>21259</v>
      </c>
      <c r="R2150" s="3" t="s">
        <v>13065</v>
      </c>
      <c r="S2150" s="4">
        <v>33</v>
      </c>
      <c r="T2150" s="4">
        <v>64</v>
      </c>
      <c r="U2150" s="5" t="s">
        <v>8638</v>
      </c>
      <c r="V2150" s="5" t="s">
        <v>21260</v>
      </c>
      <c r="W2150" s="5" t="s">
        <v>67</v>
      </c>
      <c r="X2150" s="5" t="s">
        <v>67</v>
      </c>
      <c r="Y2150" s="4">
        <v>514</v>
      </c>
      <c r="Z2150" s="4">
        <v>26</v>
      </c>
      <c r="AA2150" s="4">
        <v>68</v>
      </c>
      <c r="AB2150" s="4">
        <v>2</v>
      </c>
      <c r="AC2150" s="4">
        <v>9</v>
      </c>
      <c r="AD2150" s="4">
        <v>91</v>
      </c>
      <c r="AE2150" s="4">
        <v>154</v>
      </c>
      <c r="AF2150" s="4">
        <v>0</v>
      </c>
      <c r="AG2150" s="4">
        <v>3</v>
      </c>
      <c r="AH2150" s="4">
        <v>80</v>
      </c>
      <c r="AI2150" s="4">
        <v>115</v>
      </c>
      <c r="AJ2150" s="4">
        <v>12</v>
      </c>
      <c r="AK2150" s="4">
        <v>26</v>
      </c>
      <c r="AL2150" s="4">
        <v>44</v>
      </c>
      <c r="AM2150" s="4">
        <v>64</v>
      </c>
      <c r="AN2150" s="4">
        <v>0</v>
      </c>
      <c r="AO2150" s="4">
        <v>0</v>
      </c>
      <c r="AP2150" s="4">
        <v>19</v>
      </c>
      <c r="AQ2150" s="4">
        <v>43</v>
      </c>
      <c r="AR2150" s="3" t="s">
        <v>62</v>
      </c>
      <c r="AS2150" s="3" t="s">
        <v>62</v>
      </c>
      <c r="AT2150" s="3" t="s">
        <v>61</v>
      </c>
      <c r="AU2150" s="6" t="str">
        <f>HYPERLINK("http://catalog.hathitrust.org/Record/000159002","HathiTrust Record")</f>
        <v>HathiTrust Record</v>
      </c>
      <c r="AV2150" s="6" t="str">
        <f>HYPERLINK("http://mcgill.on.worldcat.org/oclc/9464888","Catalog Record")</f>
        <v>Catalog Record</v>
      </c>
      <c r="AW2150" s="6" t="str">
        <f>HYPERLINK("http://www.worldcat.org/oclc/9464888","WorldCat Record")</f>
        <v>WorldCat Record</v>
      </c>
      <c r="AX2150" s="3" t="s">
        <v>21247</v>
      </c>
      <c r="AY2150" s="3" t="s">
        <v>21261</v>
      </c>
      <c r="AZ2150" s="3" t="s">
        <v>21262</v>
      </c>
      <c r="BA2150" s="3" t="s">
        <v>21262</v>
      </c>
      <c r="BB2150" s="3" t="s">
        <v>21263</v>
      </c>
      <c r="BC2150" s="3" t="s">
        <v>102</v>
      </c>
      <c r="BD2150" s="3" t="s">
        <v>68</v>
      </c>
      <c r="BE2150" s="3" t="s">
        <v>21264</v>
      </c>
      <c r="BF2150" s="3" t="s">
        <v>21263</v>
      </c>
      <c r="BG2150" s="3" t="s">
        <v>21265</v>
      </c>
    </row>
    <row r="2151" spans="1:59" ht="58" x14ac:dyDescent="0.35">
      <c r="A2151" s="2" t="s">
        <v>89</v>
      </c>
      <c r="B2151" s="2" t="s">
        <v>90</v>
      </c>
      <c r="C2151" s="2" t="s">
        <v>21253</v>
      </c>
      <c r="D2151" s="2" t="s">
        <v>21254</v>
      </c>
      <c r="E2151" s="2" t="s">
        <v>21255</v>
      </c>
      <c r="G2151" s="3" t="s">
        <v>62</v>
      </c>
      <c r="I2151" s="3" t="s">
        <v>61</v>
      </c>
      <c r="J2151" s="3" t="s">
        <v>61</v>
      </c>
      <c r="K2151" s="3" t="s">
        <v>63</v>
      </c>
      <c r="L2151" s="2" t="s">
        <v>21256</v>
      </c>
      <c r="M2151" s="2" t="s">
        <v>21257</v>
      </c>
      <c r="N2151" s="3" t="s">
        <v>327</v>
      </c>
      <c r="O2151" s="2" t="s">
        <v>21258</v>
      </c>
      <c r="P2151" s="3" t="s">
        <v>64</v>
      </c>
      <c r="Q2151" s="2" t="s">
        <v>21259</v>
      </c>
      <c r="R2151" s="3" t="s">
        <v>13065</v>
      </c>
      <c r="S2151" s="4">
        <v>12</v>
      </c>
      <c r="T2151" s="4">
        <v>64</v>
      </c>
      <c r="U2151" s="5" t="s">
        <v>21266</v>
      </c>
      <c r="V2151" s="5" t="s">
        <v>21260</v>
      </c>
      <c r="W2151" s="5" t="s">
        <v>67</v>
      </c>
      <c r="X2151" s="5" t="s">
        <v>67</v>
      </c>
      <c r="Y2151" s="4">
        <v>514</v>
      </c>
      <c r="Z2151" s="4">
        <v>26</v>
      </c>
      <c r="AA2151" s="4">
        <v>68</v>
      </c>
      <c r="AB2151" s="4">
        <v>2</v>
      </c>
      <c r="AC2151" s="4">
        <v>9</v>
      </c>
      <c r="AD2151" s="4">
        <v>91</v>
      </c>
      <c r="AE2151" s="4">
        <v>154</v>
      </c>
      <c r="AF2151" s="4">
        <v>0</v>
      </c>
      <c r="AG2151" s="4">
        <v>3</v>
      </c>
      <c r="AH2151" s="4">
        <v>80</v>
      </c>
      <c r="AI2151" s="4">
        <v>115</v>
      </c>
      <c r="AJ2151" s="4">
        <v>12</v>
      </c>
      <c r="AK2151" s="4">
        <v>26</v>
      </c>
      <c r="AL2151" s="4">
        <v>44</v>
      </c>
      <c r="AM2151" s="4">
        <v>64</v>
      </c>
      <c r="AN2151" s="4">
        <v>0</v>
      </c>
      <c r="AO2151" s="4">
        <v>0</v>
      </c>
      <c r="AP2151" s="4">
        <v>19</v>
      </c>
      <c r="AQ2151" s="4">
        <v>43</v>
      </c>
      <c r="AR2151" s="3" t="s">
        <v>62</v>
      </c>
      <c r="AS2151" s="3" t="s">
        <v>62</v>
      </c>
      <c r="AT2151" s="3" t="s">
        <v>61</v>
      </c>
      <c r="AU2151" s="6" t="str">
        <f>HYPERLINK("http://catalog.hathitrust.org/Record/000159002","HathiTrust Record")</f>
        <v>HathiTrust Record</v>
      </c>
      <c r="AV2151" s="6" t="str">
        <f>HYPERLINK("http://mcgill.on.worldcat.org/oclc/9464888","Catalog Record")</f>
        <v>Catalog Record</v>
      </c>
      <c r="AW2151" s="6" t="str">
        <f>HYPERLINK("http://www.worldcat.org/oclc/9464888","WorldCat Record")</f>
        <v>WorldCat Record</v>
      </c>
      <c r="AX2151" s="3" t="s">
        <v>21247</v>
      </c>
      <c r="AY2151" s="3" t="s">
        <v>21261</v>
      </c>
      <c r="AZ2151" s="3" t="s">
        <v>21262</v>
      </c>
      <c r="BA2151" s="3" t="s">
        <v>21262</v>
      </c>
      <c r="BB2151" s="3" t="s">
        <v>21267</v>
      </c>
      <c r="BC2151" s="3" t="s">
        <v>102</v>
      </c>
      <c r="BD2151" s="3" t="s">
        <v>68</v>
      </c>
      <c r="BE2151" s="3" t="s">
        <v>21264</v>
      </c>
      <c r="BF2151" s="3" t="s">
        <v>21267</v>
      </c>
      <c r="BG2151" s="3" t="s">
        <v>21268</v>
      </c>
    </row>
    <row r="2152" spans="1:59" ht="58" x14ac:dyDescent="0.35">
      <c r="A2152" s="2" t="s">
        <v>89</v>
      </c>
      <c r="B2152" s="2" t="s">
        <v>90</v>
      </c>
      <c r="C2152" s="2" t="s">
        <v>21269</v>
      </c>
      <c r="D2152" s="2" t="s">
        <v>21270</v>
      </c>
      <c r="E2152" s="2" t="s">
        <v>21271</v>
      </c>
      <c r="G2152" s="3" t="s">
        <v>62</v>
      </c>
      <c r="I2152" s="3" t="s">
        <v>62</v>
      </c>
      <c r="J2152" s="3" t="s">
        <v>62</v>
      </c>
      <c r="K2152" s="3" t="s">
        <v>63</v>
      </c>
      <c r="L2152" s="2" t="s">
        <v>21272</v>
      </c>
      <c r="M2152" s="2" t="s">
        <v>16628</v>
      </c>
      <c r="N2152" s="3" t="s">
        <v>539</v>
      </c>
      <c r="P2152" s="3" t="s">
        <v>64</v>
      </c>
      <c r="Q2152" s="2" t="s">
        <v>21273</v>
      </c>
      <c r="R2152" s="3" t="s">
        <v>13065</v>
      </c>
      <c r="S2152" s="4">
        <v>35</v>
      </c>
      <c r="T2152" s="4">
        <v>35</v>
      </c>
      <c r="U2152" s="5" t="s">
        <v>15209</v>
      </c>
      <c r="V2152" s="5" t="s">
        <v>15209</v>
      </c>
      <c r="W2152" s="5" t="s">
        <v>67</v>
      </c>
      <c r="X2152" s="5" t="s">
        <v>67</v>
      </c>
      <c r="Y2152" s="4">
        <v>418</v>
      </c>
      <c r="Z2152" s="4">
        <v>26</v>
      </c>
      <c r="AA2152" s="4">
        <v>72</v>
      </c>
      <c r="AB2152" s="4">
        <v>2</v>
      </c>
      <c r="AC2152" s="4">
        <v>8</v>
      </c>
      <c r="AD2152" s="4">
        <v>106</v>
      </c>
      <c r="AE2152" s="4">
        <v>137</v>
      </c>
      <c r="AF2152" s="4">
        <v>1</v>
      </c>
      <c r="AG2152" s="4">
        <v>4</v>
      </c>
      <c r="AH2152" s="4">
        <v>87</v>
      </c>
      <c r="AI2152" s="4">
        <v>103</v>
      </c>
      <c r="AJ2152" s="4">
        <v>16</v>
      </c>
      <c r="AK2152" s="4">
        <v>25</v>
      </c>
      <c r="AL2152" s="4">
        <v>54</v>
      </c>
      <c r="AM2152" s="4">
        <v>57</v>
      </c>
      <c r="AN2152" s="4">
        <v>0</v>
      </c>
      <c r="AO2152" s="4">
        <v>0</v>
      </c>
      <c r="AP2152" s="4">
        <v>24</v>
      </c>
      <c r="AQ2152" s="4">
        <v>43</v>
      </c>
      <c r="AR2152" s="3" t="s">
        <v>62</v>
      </c>
      <c r="AS2152" s="3" t="s">
        <v>62</v>
      </c>
      <c r="AT2152" s="3" t="s">
        <v>62</v>
      </c>
      <c r="AV2152" s="6" t="str">
        <f>HYPERLINK("http://mcgill.on.worldcat.org/oclc/37579964","Catalog Record")</f>
        <v>Catalog Record</v>
      </c>
      <c r="AW2152" s="6" t="str">
        <f>HYPERLINK("http://www.worldcat.org/oclc/37579964","WorldCat Record")</f>
        <v>WorldCat Record</v>
      </c>
      <c r="AX2152" s="3" t="s">
        <v>21274</v>
      </c>
      <c r="AY2152" s="3" t="s">
        <v>21275</v>
      </c>
      <c r="AZ2152" s="3" t="s">
        <v>21276</v>
      </c>
      <c r="BA2152" s="3" t="s">
        <v>21276</v>
      </c>
      <c r="BB2152" s="3" t="s">
        <v>21277</v>
      </c>
      <c r="BC2152" s="3" t="s">
        <v>102</v>
      </c>
      <c r="BD2152" s="3" t="s">
        <v>68</v>
      </c>
      <c r="BE2152" s="3" t="s">
        <v>21278</v>
      </c>
      <c r="BF2152" s="3" t="s">
        <v>21277</v>
      </c>
      <c r="BG2152" s="3" t="s">
        <v>21279</v>
      </c>
    </row>
    <row r="2153" spans="1:59" ht="58" x14ac:dyDescent="0.35">
      <c r="A2153" s="2" t="s">
        <v>89</v>
      </c>
      <c r="B2153" s="2" t="s">
        <v>90</v>
      </c>
      <c r="C2153" s="2" t="s">
        <v>21280</v>
      </c>
      <c r="D2153" s="2" t="s">
        <v>21281</v>
      </c>
      <c r="E2153" s="2" t="s">
        <v>21282</v>
      </c>
      <c r="G2153" s="3" t="s">
        <v>62</v>
      </c>
      <c r="I2153" s="3" t="s">
        <v>62</v>
      </c>
      <c r="J2153" s="3" t="s">
        <v>62</v>
      </c>
      <c r="K2153" s="3" t="s">
        <v>63</v>
      </c>
      <c r="L2153" s="2" t="s">
        <v>21283</v>
      </c>
      <c r="M2153" s="2" t="s">
        <v>21284</v>
      </c>
      <c r="N2153" s="3" t="s">
        <v>1195</v>
      </c>
      <c r="P2153" s="3" t="s">
        <v>64</v>
      </c>
      <c r="Q2153" s="2" t="s">
        <v>21285</v>
      </c>
      <c r="R2153" s="3" t="s">
        <v>13065</v>
      </c>
      <c r="S2153" s="4">
        <v>1</v>
      </c>
      <c r="T2153" s="4">
        <v>1</v>
      </c>
      <c r="U2153" s="5" t="s">
        <v>6810</v>
      </c>
      <c r="V2153" s="5" t="s">
        <v>6810</v>
      </c>
      <c r="W2153" s="5" t="s">
        <v>67</v>
      </c>
      <c r="X2153" s="5" t="s">
        <v>67</v>
      </c>
      <c r="Y2153" s="4">
        <v>109</v>
      </c>
      <c r="Z2153" s="4">
        <v>6</v>
      </c>
      <c r="AA2153" s="4">
        <v>40</v>
      </c>
      <c r="AB2153" s="4">
        <v>1</v>
      </c>
      <c r="AC2153" s="4">
        <v>11</v>
      </c>
      <c r="AD2153" s="4">
        <v>45</v>
      </c>
      <c r="AE2153" s="4">
        <v>97</v>
      </c>
      <c r="AF2153" s="4">
        <v>0</v>
      </c>
      <c r="AG2153" s="4">
        <v>6</v>
      </c>
      <c r="AH2153" s="4">
        <v>43</v>
      </c>
      <c r="AI2153" s="4">
        <v>70</v>
      </c>
      <c r="AJ2153" s="4">
        <v>5</v>
      </c>
      <c r="AK2153" s="4">
        <v>17</v>
      </c>
      <c r="AL2153" s="4">
        <v>27</v>
      </c>
      <c r="AM2153" s="4">
        <v>39</v>
      </c>
      <c r="AN2153" s="4">
        <v>0</v>
      </c>
      <c r="AO2153" s="4">
        <v>0</v>
      </c>
      <c r="AP2153" s="4">
        <v>5</v>
      </c>
      <c r="AQ2153" s="4">
        <v>34</v>
      </c>
      <c r="AR2153" s="3" t="s">
        <v>62</v>
      </c>
      <c r="AS2153" s="3" t="s">
        <v>62</v>
      </c>
      <c r="AT2153" s="3" t="s">
        <v>62</v>
      </c>
      <c r="AV2153" s="6" t="str">
        <f>HYPERLINK("http://mcgill.on.worldcat.org/oclc/70779142","Catalog Record")</f>
        <v>Catalog Record</v>
      </c>
      <c r="AW2153" s="6" t="str">
        <f>HYPERLINK("http://www.worldcat.org/oclc/70779142","WorldCat Record")</f>
        <v>WorldCat Record</v>
      </c>
      <c r="AX2153" s="3" t="s">
        <v>21286</v>
      </c>
      <c r="AY2153" s="3" t="s">
        <v>21287</v>
      </c>
      <c r="AZ2153" s="3" t="s">
        <v>21288</v>
      </c>
      <c r="BA2153" s="3" t="s">
        <v>21288</v>
      </c>
      <c r="BB2153" s="3" t="s">
        <v>21289</v>
      </c>
      <c r="BC2153" s="3" t="s">
        <v>102</v>
      </c>
      <c r="BD2153" s="3" t="s">
        <v>68</v>
      </c>
      <c r="BE2153" s="3" t="s">
        <v>21290</v>
      </c>
      <c r="BF2153" s="3" t="s">
        <v>21289</v>
      </c>
      <c r="BG2153" s="3" t="s">
        <v>21291</v>
      </c>
    </row>
    <row r="2154" spans="1:59" ht="58" x14ac:dyDescent="0.35">
      <c r="A2154" s="2" t="s">
        <v>89</v>
      </c>
      <c r="B2154" s="2" t="s">
        <v>90</v>
      </c>
      <c r="C2154" s="2" t="s">
        <v>21292</v>
      </c>
      <c r="D2154" s="2" t="s">
        <v>21293</v>
      </c>
      <c r="E2154" s="2" t="s">
        <v>21294</v>
      </c>
      <c r="G2154" s="3" t="s">
        <v>62</v>
      </c>
      <c r="I2154" s="3" t="s">
        <v>62</v>
      </c>
      <c r="J2154" s="3" t="s">
        <v>62</v>
      </c>
      <c r="K2154" s="3" t="s">
        <v>63</v>
      </c>
      <c r="L2154" s="2" t="s">
        <v>21295</v>
      </c>
      <c r="M2154" s="2" t="s">
        <v>21296</v>
      </c>
      <c r="N2154" s="3" t="s">
        <v>880</v>
      </c>
      <c r="P2154" s="3" t="s">
        <v>64</v>
      </c>
      <c r="Q2154" s="2" t="s">
        <v>21297</v>
      </c>
      <c r="R2154" s="3" t="s">
        <v>13065</v>
      </c>
      <c r="S2154" s="4">
        <v>1</v>
      </c>
      <c r="T2154" s="4">
        <v>1</v>
      </c>
      <c r="U2154" s="5" t="s">
        <v>3354</v>
      </c>
      <c r="V2154" s="5" t="s">
        <v>3354</v>
      </c>
      <c r="W2154" s="5" t="s">
        <v>67</v>
      </c>
      <c r="X2154" s="5" t="s">
        <v>67</v>
      </c>
      <c r="Y2154" s="4">
        <v>68</v>
      </c>
      <c r="Z2154" s="4">
        <v>1</v>
      </c>
      <c r="AA2154" s="4">
        <v>41</v>
      </c>
      <c r="AB2154" s="4">
        <v>1</v>
      </c>
      <c r="AC2154" s="4">
        <v>14</v>
      </c>
      <c r="AD2154" s="4">
        <v>18</v>
      </c>
      <c r="AE2154" s="4">
        <v>85</v>
      </c>
      <c r="AF2154" s="4">
        <v>0</v>
      </c>
      <c r="AG2154" s="4">
        <v>8</v>
      </c>
      <c r="AH2154" s="4">
        <v>15</v>
      </c>
      <c r="AI2154" s="4">
        <v>55</v>
      </c>
      <c r="AJ2154" s="4">
        <v>0</v>
      </c>
      <c r="AK2154" s="4">
        <v>16</v>
      </c>
      <c r="AL2154" s="4">
        <v>15</v>
      </c>
      <c r="AM2154" s="4">
        <v>32</v>
      </c>
      <c r="AN2154" s="4">
        <v>0</v>
      </c>
      <c r="AO2154" s="4">
        <v>0</v>
      </c>
      <c r="AP2154" s="4">
        <v>0</v>
      </c>
      <c r="AQ2154" s="4">
        <v>32</v>
      </c>
      <c r="AR2154" s="3" t="s">
        <v>62</v>
      </c>
      <c r="AS2154" s="3" t="s">
        <v>62</v>
      </c>
      <c r="AT2154" s="3" t="s">
        <v>62</v>
      </c>
      <c r="AV2154" s="6" t="str">
        <f>HYPERLINK("http://mcgill.on.worldcat.org/oclc/462920251","Catalog Record")</f>
        <v>Catalog Record</v>
      </c>
      <c r="AW2154" s="6" t="str">
        <f>HYPERLINK("http://www.worldcat.org/oclc/462920251","WorldCat Record")</f>
        <v>WorldCat Record</v>
      </c>
      <c r="AX2154" s="3" t="s">
        <v>21298</v>
      </c>
      <c r="AY2154" s="3" t="s">
        <v>21299</v>
      </c>
      <c r="AZ2154" s="3" t="s">
        <v>21300</v>
      </c>
      <c r="BA2154" s="3" t="s">
        <v>21300</v>
      </c>
      <c r="BB2154" s="3" t="s">
        <v>21301</v>
      </c>
      <c r="BC2154" s="3" t="s">
        <v>102</v>
      </c>
      <c r="BD2154" s="3" t="s">
        <v>68</v>
      </c>
      <c r="BE2154" s="3" t="s">
        <v>21302</v>
      </c>
      <c r="BF2154" s="3" t="s">
        <v>21301</v>
      </c>
      <c r="BG2154" s="3" t="s">
        <v>21303</v>
      </c>
    </row>
    <row r="2155" spans="1:59" ht="58" x14ac:dyDescent="0.35">
      <c r="A2155" s="2" t="s">
        <v>89</v>
      </c>
      <c r="B2155" s="2" t="s">
        <v>90</v>
      </c>
      <c r="C2155" s="2" t="s">
        <v>21304</v>
      </c>
      <c r="D2155" s="2" t="s">
        <v>21305</v>
      </c>
      <c r="E2155" s="2" t="s">
        <v>21306</v>
      </c>
      <c r="G2155" s="3" t="s">
        <v>62</v>
      </c>
      <c r="I2155" s="3" t="s">
        <v>62</v>
      </c>
      <c r="J2155" s="3" t="s">
        <v>62</v>
      </c>
      <c r="K2155" s="3" t="s">
        <v>63</v>
      </c>
      <c r="L2155" s="2" t="s">
        <v>21307</v>
      </c>
      <c r="M2155" s="2" t="s">
        <v>21308</v>
      </c>
      <c r="N2155" s="3" t="s">
        <v>539</v>
      </c>
      <c r="P2155" s="3" t="s">
        <v>64</v>
      </c>
      <c r="R2155" s="3" t="s">
        <v>13065</v>
      </c>
      <c r="S2155" s="4">
        <v>16</v>
      </c>
      <c r="T2155" s="4">
        <v>16</v>
      </c>
      <c r="U2155" s="5" t="s">
        <v>15906</v>
      </c>
      <c r="V2155" s="5" t="s">
        <v>15906</v>
      </c>
      <c r="W2155" s="5" t="s">
        <v>67</v>
      </c>
      <c r="X2155" s="5" t="s">
        <v>67</v>
      </c>
      <c r="Y2155" s="4">
        <v>425</v>
      </c>
      <c r="Z2155" s="4">
        <v>14</v>
      </c>
      <c r="AA2155" s="4">
        <v>19</v>
      </c>
      <c r="AB2155" s="4">
        <v>1</v>
      </c>
      <c r="AC2155" s="4">
        <v>2</v>
      </c>
      <c r="AD2155" s="4">
        <v>72</v>
      </c>
      <c r="AE2155" s="4">
        <v>81</v>
      </c>
      <c r="AF2155" s="4">
        <v>0</v>
      </c>
      <c r="AG2155" s="4">
        <v>0</v>
      </c>
      <c r="AH2155" s="4">
        <v>67</v>
      </c>
      <c r="AI2155" s="4">
        <v>74</v>
      </c>
      <c r="AJ2155" s="4">
        <v>6</v>
      </c>
      <c r="AK2155" s="4">
        <v>8</v>
      </c>
      <c r="AL2155" s="4">
        <v>39</v>
      </c>
      <c r="AM2155" s="4">
        <v>43</v>
      </c>
      <c r="AN2155" s="4">
        <v>0</v>
      </c>
      <c r="AO2155" s="4">
        <v>0</v>
      </c>
      <c r="AP2155" s="4">
        <v>8</v>
      </c>
      <c r="AQ2155" s="4">
        <v>11</v>
      </c>
      <c r="AR2155" s="3" t="s">
        <v>62</v>
      </c>
      <c r="AS2155" s="3" t="s">
        <v>62</v>
      </c>
      <c r="AT2155" s="3" t="s">
        <v>62</v>
      </c>
      <c r="AV2155" s="6" t="str">
        <f>HYPERLINK("http://mcgill.on.worldcat.org/oclc/38856213","Catalog Record")</f>
        <v>Catalog Record</v>
      </c>
      <c r="AW2155" s="6" t="str">
        <f>HYPERLINK("http://www.worldcat.org/oclc/38856213","WorldCat Record")</f>
        <v>WorldCat Record</v>
      </c>
      <c r="AX2155" s="3" t="s">
        <v>21309</v>
      </c>
      <c r="AY2155" s="3" t="s">
        <v>21310</v>
      </c>
      <c r="AZ2155" s="3" t="s">
        <v>21311</v>
      </c>
      <c r="BA2155" s="3" t="s">
        <v>21311</v>
      </c>
      <c r="BB2155" s="3" t="s">
        <v>21312</v>
      </c>
      <c r="BC2155" s="3" t="s">
        <v>102</v>
      </c>
      <c r="BD2155" s="3" t="s">
        <v>68</v>
      </c>
      <c r="BE2155" s="3" t="s">
        <v>21313</v>
      </c>
      <c r="BF2155" s="3" t="s">
        <v>21312</v>
      </c>
      <c r="BG2155" s="3" t="s">
        <v>21314</v>
      </c>
    </row>
    <row r="2156" spans="1:59" ht="58" x14ac:dyDescent="0.35">
      <c r="A2156" s="2" t="s">
        <v>89</v>
      </c>
      <c r="B2156" s="2" t="s">
        <v>90</v>
      </c>
      <c r="C2156" s="2" t="s">
        <v>21315</v>
      </c>
      <c r="D2156" s="2" t="s">
        <v>21316</v>
      </c>
      <c r="E2156" s="2" t="s">
        <v>21317</v>
      </c>
      <c r="G2156" s="3" t="s">
        <v>62</v>
      </c>
      <c r="I2156" s="3" t="s">
        <v>61</v>
      </c>
      <c r="J2156" s="3" t="s">
        <v>62</v>
      </c>
      <c r="K2156" s="3" t="s">
        <v>63</v>
      </c>
      <c r="L2156" s="2" t="s">
        <v>21318</v>
      </c>
      <c r="M2156" s="2" t="s">
        <v>21319</v>
      </c>
      <c r="N2156" s="3" t="s">
        <v>640</v>
      </c>
      <c r="P2156" s="3" t="s">
        <v>64</v>
      </c>
      <c r="R2156" s="3" t="s">
        <v>13065</v>
      </c>
      <c r="S2156" s="4">
        <v>386</v>
      </c>
      <c r="T2156" s="4">
        <v>582</v>
      </c>
      <c r="U2156" s="5" t="s">
        <v>6918</v>
      </c>
      <c r="V2156" s="5" t="s">
        <v>3310</v>
      </c>
      <c r="W2156" s="5" t="s">
        <v>67</v>
      </c>
      <c r="X2156" s="5" t="s">
        <v>67</v>
      </c>
      <c r="Y2156" s="4">
        <v>442</v>
      </c>
      <c r="Z2156" s="4">
        <v>34</v>
      </c>
      <c r="AA2156" s="4">
        <v>41</v>
      </c>
      <c r="AB2156" s="4">
        <v>3</v>
      </c>
      <c r="AC2156" s="4">
        <v>9</v>
      </c>
      <c r="AD2156" s="4">
        <v>99</v>
      </c>
      <c r="AE2156" s="4">
        <v>108</v>
      </c>
      <c r="AF2156" s="4">
        <v>2</v>
      </c>
      <c r="AG2156" s="4">
        <v>8</v>
      </c>
      <c r="AH2156" s="4">
        <v>82</v>
      </c>
      <c r="AI2156" s="4">
        <v>85</v>
      </c>
      <c r="AJ2156" s="4">
        <v>17</v>
      </c>
      <c r="AK2156" s="4">
        <v>21</v>
      </c>
      <c r="AL2156" s="4">
        <v>50</v>
      </c>
      <c r="AM2156" s="4">
        <v>51</v>
      </c>
      <c r="AN2156" s="4">
        <v>0</v>
      </c>
      <c r="AO2156" s="4">
        <v>0</v>
      </c>
      <c r="AP2156" s="4">
        <v>23</v>
      </c>
      <c r="AQ2156" s="4">
        <v>29</v>
      </c>
      <c r="AR2156" s="3" t="s">
        <v>62</v>
      </c>
      <c r="AS2156" s="3" t="s">
        <v>62</v>
      </c>
      <c r="AT2156" s="3" t="s">
        <v>62</v>
      </c>
      <c r="AV2156" s="6" t="str">
        <f>HYPERLINK("http://mcgill.on.worldcat.org/oclc/51769105","Catalog Record")</f>
        <v>Catalog Record</v>
      </c>
      <c r="AW2156" s="6" t="str">
        <f>HYPERLINK("http://www.worldcat.org/oclc/51769105","WorldCat Record")</f>
        <v>WorldCat Record</v>
      </c>
      <c r="AX2156" s="3" t="s">
        <v>21320</v>
      </c>
      <c r="AY2156" s="3" t="s">
        <v>21321</v>
      </c>
      <c r="AZ2156" s="3" t="s">
        <v>21322</v>
      </c>
      <c r="BA2156" s="3" t="s">
        <v>21322</v>
      </c>
      <c r="BB2156" s="3" t="s">
        <v>21323</v>
      </c>
      <c r="BC2156" s="3" t="s">
        <v>102</v>
      </c>
      <c r="BD2156" s="3" t="s">
        <v>231</v>
      </c>
      <c r="BE2156" s="3" t="s">
        <v>21324</v>
      </c>
      <c r="BF2156" s="3" t="s">
        <v>21323</v>
      </c>
      <c r="BG2156" s="3" t="s">
        <v>21325</v>
      </c>
    </row>
    <row r="2157" spans="1:59" ht="58" x14ac:dyDescent="0.35">
      <c r="A2157" s="2" t="s">
        <v>89</v>
      </c>
      <c r="B2157" s="2" t="s">
        <v>90</v>
      </c>
      <c r="C2157" s="2" t="s">
        <v>21315</v>
      </c>
      <c r="D2157" s="2" t="s">
        <v>21316</v>
      </c>
      <c r="E2157" s="2" t="s">
        <v>21317</v>
      </c>
      <c r="G2157" s="3" t="s">
        <v>62</v>
      </c>
      <c r="I2157" s="3" t="s">
        <v>61</v>
      </c>
      <c r="J2157" s="3" t="s">
        <v>62</v>
      </c>
      <c r="K2157" s="3" t="s">
        <v>63</v>
      </c>
      <c r="L2157" s="2" t="s">
        <v>21318</v>
      </c>
      <c r="M2157" s="2" t="s">
        <v>21319</v>
      </c>
      <c r="N2157" s="3" t="s">
        <v>640</v>
      </c>
      <c r="P2157" s="3" t="s">
        <v>64</v>
      </c>
      <c r="R2157" s="3" t="s">
        <v>13065</v>
      </c>
      <c r="S2157" s="4">
        <v>196</v>
      </c>
      <c r="T2157" s="4">
        <v>582</v>
      </c>
      <c r="U2157" s="5" t="s">
        <v>3310</v>
      </c>
      <c r="V2157" s="5" t="s">
        <v>3310</v>
      </c>
      <c r="W2157" s="5" t="s">
        <v>67</v>
      </c>
      <c r="X2157" s="5" t="s">
        <v>67</v>
      </c>
      <c r="Y2157" s="4">
        <v>442</v>
      </c>
      <c r="Z2157" s="4">
        <v>34</v>
      </c>
      <c r="AA2157" s="4">
        <v>41</v>
      </c>
      <c r="AB2157" s="4">
        <v>3</v>
      </c>
      <c r="AC2157" s="4">
        <v>9</v>
      </c>
      <c r="AD2157" s="4">
        <v>99</v>
      </c>
      <c r="AE2157" s="4">
        <v>108</v>
      </c>
      <c r="AF2157" s="4">
        <v>2</v>
      </c>
      <c r="AG2157" s="4">
        <v>8</v>
      </c>
      <c r="AH2157" s="4">
        <v>82</v>
      </c>
      <c r="AI2157" s="4">
        <v>85</v>
      </c>
      <c r="AJ2157" s="4">
        <v>17</v>
      </c>
      <c r="AK2157" s="4">
        <v>21</v>
      </c>
      <c r="AL2157" s="4">
        <v>50</v>
      </c>
      <c r="AM2157" s="4">
        <v>51</v>
      </c>
      <c r="AN2157" s="4">
        <v>0</v>
      </c>
      <c r="AO2157" s="4">
        <v>0</v>
      </c>
      <c r="AP2157" s="4">
        <v>23</v>
      </c>
      <c r="AQ2157" s="4">
        <v>29</v>
      </c>
      <c r="AR2157" s="3" t="s">
        <v>62</v>
      </c>
      <c r="AS2157" s="3" t="s">
        <v>62</v>
      </c>
      <c r="AT2157" s="3" t="s">
        <v>62</v>
      </c>
      <c r="AV2157" s="6" t="str">
        <f>HYPERLINK("http://mcgill.on.worldcat.org/oclc/51769105","Catalog Record")</f>
        <v>Catalog Record</v>
      </c>
      <c r="AW2157" s="6" t="str">
        <f>HYPERLINK("http://www.worldcat.org/oclc/51769105","WorldCat Record")</f>
        <v>WorldCat Record</v>
      </c>
      <c r="AX2157" s="3" t="s">
        <v>21320</v>
      </c>
      <c r="AY2157" s="3" t="s">
        <v>21321</v>
      </c>
      <c r="AZ2157" s="3" t="s">
        <v>21322</v>
      </c>
      <c r="BA2157" s="3" t="s">
        <v>21322</v>
      </c>
      <c r="BB2157" s="3" t="s">
        <v>21326</v>
      </c>
      <c r="BC2157" s="3" t="s">
        <v>102</v>
      </c>
      <c r="BD2157" s="3" t="s">
        <v>68</v>
      </c>
      <c r="BE2157" s="3" t="s">
        <v>21324</v>
      </c>
      <c r="BF2157" s="3" t="s">
        <v>21326</v>
      </c>
      <c r="BG2157" s="3" t="s">
        <v>21327</v>
      </c>
    </row>
    <row r="2158" spans="1:59" ht="58" x14ac:dyDescent="0.35">
      <c r="A2158" s="2" t="s">
        <v>89</v>
      </c>
      <c r="B2158" s="2" t="s">
        <v>90</v>
      </c>
      <c r="C2158" s="2" t="s">
        <v>21328</v>
      </c>
      <c r="D2158" s="2" t="s">
        <v>21329</v>
      </c>
      <c r="E2158" s="2" t="s">
        <v>21330</v>
      </c>
      <c r="G2158" s="3" t="s">
        <v>62</v>
      </c>
      <c r="I2158" s="3" t="s">
        <v>62</v>
      </c>
      <c r="J2158" s="3" t="s">
        <v>61</v>
      </c>
      <c r="K2158" s="3" t="s">
        <v>63</v>
      </c>
      <c r="L2158" s="2" t="s">
        <v>21331</v>
      </c>
      <c r="M2158" s="2" t="s">
        <v>21332</v>
      </c>
      <c r="N2158" s="3" t="s">
        <v>115</v>
      </c>
      <c r="P2158" s="3" t="s">
        <v>64</v>
      </c>
      <c r="R2158" s="3" t="s">
        <v>13065</v>
      </c>
      <c r="S2158" s="4">
        <v>37</v>
      </c>
      <c r="T2158" s="4">
        <v>37</v>
      </c>
      <c r="U2158" s="5" t="s">
        <v>21333</v>
      </c>
      <c r="V2158" s="5" t="s">
        <v>21333</v>
      </c>
      <c r="W2158" s="5" t="s">
        <v>67</v>
      </c>
      <c r="X2158" s="5" t="s">
        <v>67</v>
      </c>
      <c r="Y2158" s="4">
        <v>435</v>
      </c>
      <c r="Z2158" s="4">
        <v>21</v>
      </c>
      <c r="AA2158" s="4">
        <v>46</v>
      </c>
      <c r="AB2158" s="4">
        <v>2</v>
      </c>
      <c r="AC2158" s="4">
        <v>8</v>
      </c>
      <c r="AD2158" s="4">
        <v>102</v>
      </c>
      <c r="AE2158" s="4">
        <v>145</v>
      </c>
      <c r="AF2158" s="4">
        <v>1</v>
      </c>
      <c r="AG2158" s="4">
        <v>7</v>
      </c>
      <c r="AH2158" s="4">
        <v>89</v>
      </c>
      <c r="AI2158" s="4">
        <v>115</v>
      </c>
      <c r="AJ2158" s="4">
        <v>15</v>
      </c>
      <c r="AK2158" s="4">
        <v>27</v>
      </c>
      <c r="AL2158" s="4">
        <v>55</v>
      </c>
      <c r="AM2158" s="4">
        <v>64</v>
      </c>
      <c r="AN2158" s="4">
        <v>0</v>
      </c>
      <c r="AO2158" s="4">
        <v>0</v>
      </c>
      <c r="AP2158" s="4">
        <v>19</v>
      </c>
      <c r="AQ2158" s="4">
        <v>37</v>
      </c>
      <c r="AR2158" s="3" t="s">
        <v>62</v>
      </c>
      <c r="AS2158" s="3" t="s">
        <v>62</v>
      </c>
      <c r="AT2158" s="3" t="s">
        <v>62</v>
      </c>
      <c r="AV2158" s="6" t="str">
        <f>HYPERLINK("http://mcgill.on.worldcat.org/oclc/18136319","Catalog Record")</f>
        <v>Catalog Record</v>
      </c>
      <c r="AW2158" s="6" t="str">
        <f>HYPERLINK("http://www.worldcat.org/oclc/18136319","WorldCat Record")</f>
        <v>WorldCat Record</v>
      </c>
      <c r="AX2158" s="3" t="s">
        <v>21334</v>
      </c>
      <c r="AY2158" s="3" t="s">
        <v>21335</v>
      </c>
      <c r="AZ2158" s="3" t="s">
        <v>21336</v>
      </c>
      <c r="BA2158" s="3" t="s">
        <v>21336</v>
      </c>
      <c r="BB2158" s="3" t="s">
        <v>21337</v>
      </c>
      <c r="BC2158" s="3" t="s">
        <v>102</v>
      </c>
      <c r="BD2158" s="3" t="s">
        <v>68</v>
      </c>
      <c r="BE2158" s="3" t="s">
        <v>21338</v>
      </c>
      <c r="BF2158" s="3" t="s">
        <v>21337</v>
      </c>
      <c r="BG2158" s="3" t="s">
        <v>21339</v>
      </c>
    </row>
    <row r="2159" spans="1:59" ht="58" x14ac:dyDescent="0.35">
      <c r="A2159" s="2" t="s">
        <v>89</v>
      </c>
      <c r="B2159" s="2" t="s">
        <v>90</v>
      </c>
      <c r="C2159" s="2" t="s">
        <v>21340</v>
      </c>
      <c r="D2159" s="2" t="s">
        <v>21341</v>
      </c>
      <c r="E2159" s="2" t="s">
        <v>21330</v>
      </c>
      <c r="G2159" s="3" t="s">
        <v>62</v>
      </c>
      <c r="I2159" s="3" t="s">
        <v>61</v>
      </c>
      <c r="J2159" s="3" t="s">
        <v>61</v>
      </c>
      <c r="K2159" s="3" t="s">
        <v>63</v>
      </c>
      <c r="L2159" s="2" t="s">
        <v>21331</v>
      </c>
      <c r="M2159" s="2" t="s">
        <v>21342</v>
      </c>
      <c r="N2159" s="3" t="s">
        <v>655</v>
      </c>
      <c r="O2159" s="2" t="s">
        <v>10722</v>
      </c>
      <c r="P2159" s="3" t="s">
        <v>64</v>
      </c>
      <c r="R2159" s="3" t="s">
        <v>13065</v>
      </c>
      <c r="S2159" s="4">
        <v>153</v>
      </c>
      <c r="T2159" s="4">
        <v>238</v>
      </c>
      <c r="U2159" s="5" t="s">
        <v>8131</v>
      </c>
      <c r="V2159" s="5" t="s">
        <v>8131</v>
      </c>
      <c r="W2159" s="5" t="s">
        <v>67</v>
      </c>
      <c r="X2159" s="5" t="s">
        <v>67</v>
      </c>
      <c r="Y2159" s="4">
        <v>267</v>
      </c>
      <c r="Z2159" s="4">
        <v>21</v>
      </c>
      <c r="AA2159" s="4">
        <v>46</v>
      </c>
      <c r="AB2159" s="4">
        <v>2</v>
      </c>
      <c r="AC2159" s="4">
        <v>8</v>
      </c>
      <c r="AD2159" s="4">
        <v>69</v>
      </c>
      <c r="AE2159" s="4">
        <v>145</v>
      </c>
      <c r="AF2159" s="4">
        <v>1</v>
      </c>
      <c r="AG2159" s="4">
        <v>7</v>
      </c>
      <c r="AH2159" s="4">
        <v>62</v>
      </c>
      <c r="AI2159" s="4">
        <v>115</v>
      </c>
      <c r="AJ2159" s="4">
        <v>14</v>
      </c>
      <c r="AK2159" s="4">
        <v>27</v>
      </c>
      <c r="AL2159" s="4">
        <v>38</v>
      </c>
      <c r="AM2159" s="4">
        <v>64</v>
      </c>
      <c r="AN2159" s="4">
        <v>0</v>
      </c>
      <c r="AO2159" s="4">
        <v>0</v>
      </c>
      <c r="AP2159" s="4">
        <v>15</v>
      </c>
      <c r="AQ2159" s="4">
        <v>37</v>
      </c>
      <c r="AR2159" s="3" t="s">
        <v>62</v>
      </c>
      <c r="AS2159" s="3" t="s">
        <v>62</v>
      </c>
      <c r="AT2159" s="3" t="s">
        <v>62</v>
      </c>
      <c r="AV2159" s="6" t="str">
        <f>HYPERLINK("http://mcgill.on.worldcat.org/oclc/71312740","Catalog Record")</f>
        <v>Catalog Record</v>
      </c>
      <c r="AW2159" s="6" t="str">
        <f>HYPERLINK("http://www.worldcat.org/oclc/71312740","WorldCat Record")</f>
        <v>WorldCat Record</v>
      </c>
      <c r="AX2159" s="3" t="s">
        <v>21334</v>
      </c>
      <c r="AY2159" s="3" t="s">
        <v>21343</v>
      </c>
      <c r="AZ2159" s="3" t="s">
        <v>21344</v>
      </c>
      <c r="BA2159" s="3" t="s">
        <v>21344</v>
      </c>
      <c r="BB2159" s="3" t="s">
        <v>21345</v>
      </c>
      <c r="BC2159" s="3" t="s">
        <v>102</v>
      </c>
      <c r="BD2159" s="3" t="s">
        <v>231</v>
      </c>
      <c r="BE2159" s="3" t="s">
        <v>21346</v>
      </c>
      <c r="BF2159" s="3" t="s">
        <v>21345</v>
      </c>
      <c r="BG2159" s="3" t="s">
        <v>21347</v>
      </c>
    </row>
    <row r="2160" spans="1:59" ht="58" x14ac:dyDescent="0.35">
      <c r="A2160" s="2" t="s">
        <v>89</v>
      </c>
      <c r="B2160" s="2" t="s">
        <v>90</v>
      </c>
      <c r="C2160" s="2" t="s">
        <v>21340</v>
      </c>
      <c r="D2160" s="2" t="s">
        <v>21341</v>
      </c>
      <c r="E2160" s="2" t="s">
        <v>21330</v>
      </c>
      <c r="G2160" s="3" t="s">
        <v>62</v>
      </c>
      <c r="I2160" s="3" t="s">
        <v>61</v>
      </c>
      <c r="J2160" s="3" t="s">
        <v>61</v>
      </c>
      <c r="K2160" s="3" t="s">
        <v>63</v>
      </c>
      <c r="L2160" s="2" t="s">
        <v>21331</v>
      </c>
      <c r="M2160" s="2" t="s">
        <v>21342</v>
      </c>
      <c r="N2160" s="3" t="s">
        <v>655</v>
      </c>
      <c r="O2160" s="2" t="s">
        <v>10722</v>
      </c>
      <c r="P2160" s="3" t="s">
        <v>64</v>
      </c>
      <c r="R2160" s="3" t="s">
        <v>13065</v>
      </c>
      <c r="S2160" s="4">
        <v>85</v>
      </c>
      <c r="T2160" s="4">
        <v>238</v>
      </c>
      <c r="U2160" s="5" t="s">
        <v>21348</v>
      </c>
      <c r="V2160" s="5" t="s">
        <v>8131</v>
      </c>
      <c r="W2160" s="5" t="s">
        <v>67</v>
      </c>
      <c r="X2160" s="5" t="s">
        <v>67</v>
      </c>
      <c r="Y2160" s="4">
        <v>267</v>
      </c>
      <c r="Z2160" s="4">
        <v>21</v>
      </c>
      <c r="AA2160" s="4">
        <v>46</v>
      </c>
      <c r="AB2160" s="4">
        <v>2</v>
      </c>
      <c r="AC2160" s="4">
        <v>8</v>
      </c>
      <c r="AD2160" s="4">
        <v>69</v>
      </c>
      <c r="AE2160" s="4">
        <v>145</v>
      </c>
      <c r="AF2160" s="4">
        <v>1</v>
      </c>
      <c r="AG2160" s="4">
        <v>7</v>
      </c>
      <c r="AH2160" s="4">
        <v>62</v>
      </c>
      <c r="AI2160" s="4">
        <v>115</v>
      </c>
      <c r="AJ2160" s="4">
        <v>14</v>
      </c>
      <c r="AK2160" s="4">
        <v>27</v>
      </c>
      <c r="AL2160" s="4">
        <v>38</v>
      </c>
      <c r="AM2160" s="4">
        <v>64</v>
      </c>
      <c r="AN2160" s="4">
        <v>0</v>
      </c>
      <c r="AO2160" s="4">
        <v>0</v>
      </c>
      <c r="AP2160" s="4">
        <v>15</v>
      </c>
      <c r="AQ2160" s="4">
        <v>37</v>
      </c>
      <c r="AR2160" s="3" t="s">
        <v>62</v>
      </c>
      <c r="AS2160" s="3" t="s">
        <v>62</v>
      </c>
      <c r="AT2160" s="3" t="s">
        <v>62</v>
      </c>
      <c r="AV2160" s="6" t="str">
        <f>HYPERLINK("http://mcgill.on.worldcat.org/oclc/71312740","Catalog Record")</f>
        <v>Catalog Record</v>
      </c>
      <c r="AW2160" s="6" t="str">
        <f>HYPERLINK("http://www.worldcat.org/oclc/71312740","WorldCat Record")</f>
        <v>WorldCat Record</v>
      </c>
      <c r="AX2160" s="3" t="s">
        <v>21334</v>
      </c>
      <c r="AY2160" s="3" t="s">
        <v>21343</v>
      </c>
      <c r="AZ2160" s="3" t="s">
        <v>21344</v>
      </c>
      <c r="BA2160" s="3" t="s">
        <v>21344</v>
      </c>
      <c r="BB2160" s="3" t="s">
        <v>21349</v>
      </c>
      <c r="BC2160" s="3" t="s">
        <v>102</v>
      </c>
      <c r="BD2160" s="3" t="s">
        <v>68</v>
      </c>
      <c r="BE2160" s="3" t="s">
        <v>21346</v>
      </c>
      <c r="BF2160" s="3" t="s">
        <v>21349</v>
      </c>
      <c r="BG2160" s="3" t="s">
        <v>21350</v>
      </c>
    </row>
    <row r="2161" spans="1:59" ht="58" x14ac:dyDescent="0.35">
      <c r="A2161" s="2" t="s">
        <v>89</v>
      </c>
      <c r="B2161" s="2" t="s">
        <v>90</v>
      </c>
      <c r="C2161" s="2" t="s">
        <v>21351</v>
      </c>
      <c r="D2161" s="2" t="s">
        <v>21352</v>
      </c>
      <c r="E2161" s="2" t="s">
        <v>21353</v>
      </c>
      <c r="G2161" s="3" t="s">
        <v>62</v>
      </c>
      <c r="I2161" s="3" t="s">
        <v>62</v>
      </c>
      <c r="J2161" s="3" t="s">
        <v>62</v>
      </c>
      <c r="K2161" s="3" t="s">
        <v>63</v>
      </c>
      <c r="L2161" s="2" t="s">
        <v>21354</v>
      </c>
      <c r="M2161" s="2" t="s">
        <v>21355</v>
      </c>
      <c r="N2161" s="3" t="s">
        <v>655</v>
      </c>
      <c r="P2161" s="3" t="s">
        <v>64</v>
      </c>
      <c r="Q2161" s="2" t="s">
        <v>21356</v>
      </c>
      <c r="R2161" s="3" t="s">
        <v>13065</v>
      </c>
      <c r="S2161" s="4">
        <v>4</v>
      </c>
      <c r="T2161" s="4">
        <v>4</v>
      </c>
      <c r="U2161" s="5" t="s">
        <v>18259</v>
      </c>
      <c r="V2161" s="5" t="s">
        <v>18259</v>
      </c>
      <c r="W2161" s="5" t="s">
        <v>67</v>
      </c>
      <c r="X2161" s="5" t="s">
        <v>67</v>
      </c>
      <c r="Y2161" s="4">
        <v>226</v>
      </c>
      <c r="Z2161" s="4">
        <v>22</v>
      </c>
      <c r="AA2161" s="4">
        <v>30</v>
      </c>
      <c r="AB2161" s="4">
        <v>2</v>
      </c>
      <c r="AC2161" s="4">
        <v>6</v>
      </c>
      <c r="AD2161" s="4">
        <v>97</v>
      </c>
      <c r="AE2161" s="4">
        <v>106</v>
      </c>
      <c r="AF2161" s="4">
        <v>1</v>
      </c>
      <c r="AG2161" s="4">
        <v>2</v>
      </c>
      <c r="AH2161" s="4">
        <v>85</v>
      </c>
      <c r="AI2161" s="4">
        <v>90</v>
      </c>
      <c r="AJ2161" s="4">
        <v>15</v>
      </c>
      <c r="AK2161" s="4">
        <v>17</v>
      </c>
      <c r="AL2161" s="4">
        <v>47</v>
      </c>
      <c r="AM2161" s="4">
        <v>50</v>
      </c>
      <c r="AN2161" s="4">
        <v>0</v>
      </c>
      <c r="AO2161" s="4">
        <v>0</v>
      </c>
      <c r="AP2161" s="4">
        <v>19</v>
      </c>
      <c r="AQ2161" s="4">
        <v>24</v>
      </c>
      <c r="AR2161" s="3" t="s">
        <v>62</v>
      </c>
      <c r="AS2161" s="3" t="s">
        <v>62</v>
      </c>
      <c r="AT2161" s="3" t="s">
        <v>62</v>
      </c>
      <c r="AV2161" s="6" t="str">
        <f>HYPERLINK("http://mcgill.on.worldcat.org/oclc/153553897","Catalog Record")</f>
        <v>Catalog Record</v>
      </c>
      <c r="AW2161" s="6" t="str">
        <f>HYPERLINK("http://www.worldcat.org/oclc/153553897","WorldCat Record")</f>
        <v>WorldCat Record</v>
      </c>
      <c r="AX2161" s="3" t="s">
        <v>21357</v>
      </c>
      <c r="AY2161" s="3" t="s">
        <v>21358</v>
      </c>
      <c r="AZ2161" s="3" t="s">
        <v>21359</v>
      </c>
      <c r="BA2161" s="3" t="s">
        <v>21359</v>
      </c>
      <c r="BB2161" s="3" t="s">
        <v>21360</v>
      </c>
      <c r="BC2161" s="3" t="s">
        <v>102</v>
      </c>
      <c r="BD2161" s="3" t="s">
        <v>68</v>
      </c>
      <c r="BE2161" s="3" t="s">
        <v>21361</v>
      </c>
      <c r="BF2161" s="3" t="s">
        <v>21360</v>
      </c>
      <c r="BG2161" s="3" t="s">
        <v>21362</v>
      </c>
    </row>
    <row r="2162" spans="1:59" ht="58" x14ac:dyDescent="0.35">
      <c r="A2162" s="2" t="s">
        <v>89</v>
      </c>
      <c r="B2162" s="2" t="s">
        <v>90</v>
      </c>
      <c r="C2162" s="2" t="s">
        <v>21363</v>
      </c>
      <c r="D2162" s="2" t="s">
        <v>21364</v>
      </c>
      <c r="E2162" s="2" t="s">
        <v>21365</v>
      </c>
      <c r="G2162" s="3" t="s">
        <v>62</v>
      </c>
      <c r="I2162" s="3" t="s">
        <v>62</v>
      </c>
      <c r="J2162" s="3" t="s">
        <v>62</v>
      </c>
      <c r="K2162" s="3" t="s">
        <v>63</v>
      </c>
      <c r="M2162" s="2" t="s">
        <v>7049</v>
      </c>
      <c r="N2162" s="3" t="s">
        <v>438</v>
      </c>
      <c r="P2162" s="3" t="s">
        <v>64</v>
      </c>
      <c r="Q2162" s="2" t="s">
        <v>21366</v>
      </c>
      <c r="R2162" s="3" t="s">
        <v>13065</v>
      </c>
      <c r="S2162" s="4">
        <v>6</v>
      </c>
      <c r="T2162" s="4">
        <v>6</v>
      </c>
      <c r="U2162" s="5" t="s">
        <v>21367</v>
      </c>
      <c r="V2162" s="5" t="s">
        <v>21367</v>
      </c>
      <c r="W2162" s="5" t="s">
        <v>67</v>
      </c>
      <c r="X2162" s="5" t="s">
        <v>67</v>
      </c>
      <c r="Y2162" s="4">
        <v>140</v>
      </c>
      <c r="Z2162" s="4">
        <v>13</v>
      </c>
      <c r="AA2162" s="4">
        <v>14</v>
      </c>
      <c r="AB2162" s="4">
        <v>2</v>
      </c>
      <c r="AC2162" s="4">
        <v>3</v>
      </c>
      <c r="AD2162" s="4">
        <v>71</v>
      </c>
      <c r="AE2162" s="4">
        <v>73</v>
      </c>
      <c r="AF2162" s="4">
        <v>1</v>
      </c>
      <c r="AG2162" s="4">
        <v>2</v>
      </c>
      <c r="AH2162" s="4">
        <v>65</v>
      </c>
      <c r="AI2162" s="4">
        <v>66</v>
      </c>
      <c r="AJ2162" s="4">
        <v>10</v>
      </c>
      <c r="AK2162" s="4">
        <v>11</v>
      </c>
      <c r="AL2162" s="4">
        <v>40</v>
      </c>
      <c r="AM2162" s="4">
        <v>41</v>
      </c>
      <c r="AN2162" s="4">
        <v>0</v>
      </c>
      <c r="AO2162" s="4">
        <v>0</v>
      </c>
      <c r="AP2162" s="4">
        <v>11</v>
      </c>
      <c r="AQ2162" s="4">
        <v>12</v>
      </c>
      <c r="AR2162" s="3" t="s">
        <v>62</v>
      </c>
      <c r="AS2162" s="3" t="s">
        <v>62</v>
      </c>
      <c r="AT2162" s="3" t="s">
        <v>62</v>
      </c>
      <c r="AV2162" s="6" t="str">
        <f>HYPERLINK("http://mcgill.on.worldcat.org/oclc/22489835","Catalog Record")</f>
        <v>Catalog Record</v>
      </c>
      <c r="AW2162" s="6" t="str">
        <f>HYPERLINK("http://www.worldcat.org/oclc/22489835","WorldCat Record")</f>
        <v>WorldCat Record</v>
      </c>
      <c r="AX2162" s="3" t="s">
        <v>21368</v>
      </c>
      <c r="AY2162" s="3" t="s">
        <v>21369</v>
      </c>
      <c r="AZ2162" s="3" t="s">
        <v>21370</v>
      </c>
      <c r="BA2162" s="3" t="s">
        <v>21370</v>
      </c>
      <c r="BB2162" s="3" t="s">
        <v>21371</v>
      </c>
      <c r="BC2162" s="3" t="s">
        <v>102</v>
      </c>
      <c r="BD2162" s="3" t="s">
        <v>68</v>
      </c>
      <c r="BE2162" s="3" t="s">
        <v>21372</v>
      </c>
      <c r="BF2162" s="3" t="s">
        <v>21371</v>
      </c>
      <c r="BG2162" s="3" t="s">
        <v>21373</v>
      </c>
    </row>
    <row r="2163" spans="1:59" ht="58" x14ac:dyDescent="0.35">
      <c r="A2163" s="2" t="s">
        <v>89</v>
      </c>
      <c r="B2163" s="2" t="s">
        <v>90</v>
      </c>
      <c r="C2163" s="2" t="s">
        <v>21374</v>
      </c>
      <c r="D2163" s="2" t="s">
        <v>21375</v>
      </c>
      <c r="E2163" s="2" t="s">
        <v>21376</v>
      </c>
      <c r="G2163" s="3" t="s">
        <v>62</v>
      </c>
      <c r="I2163" s="3" t="s">
        <v>62</v>
      </c>
      <c r="J2163" s="3" t="s">
        <v>61</v>
      </c>
      <c r="K2163" s="3" t="s">
        <v>63</v>
      </c>
      <c r="L2163" s="2" t="s">
        <v>21377</v>
      </c>
      <c r="M2163" s="2" t="s">
        <v>21378</v>
      </c>
      <c r="N2163" s="3" t="s">
        <v>496</v>
      </c>
      <c r="P2163" s="3" t="s">
        <v>64</v>
      </c>
      <c r="R2163" s="3" t="s">
        <v>13065</v>
      </c>
      <c r="S2163" s="4">
        <v>18</v>
      </c>
      <c r="T2163" s="4">
        <v>18</v>
      </c>
      <c r="U2163" s="5" t="s">
        <v>2520</v>
      </c>
      <c r="V2163" s="5" t="s">
        <v>2520</v>
      </c>
      <c r="W2163" s="5" t="s">
        <v>67</v>
      </c>
      <c r="X2163" s="5" t="s">
        <v>67</v>
      </c>
      <c r="Y2163" s="4">
        <v>10</v>
      </c>
      <c r="Z2163" s="4">
        <v>1</v>
      </c>
      <c r="AA2163" s="4">
        <v>115</v>
      </c>
      <c r="AB2163" s="4">
        <v>1</v>
      </c>
      <c r="AC2163" s="4">
        <v>18</v>
      </c>
      <c r="AD2163" s="4">
        <v>1</v>
      </c>
      <c r="AE2163" s="4">
        <v>169</v>
      </c>
      <c r="AF2163" s="4">
        <v>0</v>
      </c>
      <c r="AG2163" s="4">
        <v>9</v>
      </c>
      <c r="AH2163" s="4">
        <v>1</v>
      </c>
      <c r="AI2163" s="4">
        <v>118</v>
      </c>
      <c r="AJ2163" s="4">
        <v>0</v>
      </c>
      <c r="AK2163" s="4">
        <v>29</v>
      </c>
      <c r="AL2163" s="4">
        <v>0</v>
      </c>
      <c r="AM2163" s="4">
        <v>64</v>
      </c>
      <c r="AN2163" s="4">
        <v>0</v>
      </c>
      <c r="AO2163" s="4">
        <v>0</v>
      </c>
      <c r="AP2163" s="4">
        <v>0</v>
      </c>
      <c r="AQ2163" s="4">
        <v>56</v>
      </c>
      <c r="AR2163" s="3" t="s">
        <v>62</v>
      </c>
      <c r="AS2163" s="3" t="s">
        <v>62</v>
      </c>
      <c r="AT2163" s="3" t="s">
        <v>62</v>
      </c>
      <c r="AV2163" s="6" t="str">
        <f>HYPERLINK("http://mcgill.on.worldcat.org/oclc/221359611","Catalog Record")</f>
        <v>Catalog Record</v>
      </c>
      <c r="AW2163" s="6" t="str">
        <f>HYPERLINK("http://www.worldcat.org/oclc/221359611","WorldCat Record")</f>
        <v>WorldCat Record</v>
      </c>
      <c r="AX2163" s="3" t="s">
        <v>21379</v>
      </c>
      <c r="AY2163" s="3" t="s">
        <v>21380</v>
      </c>
      <c r="AZ2163" s="3" t="s">
        <v>21381</v>
      </c>
      <c r="BA2163" s="3" t="s">
        <v>21381</v>
      </c>
      <c r="BB2163" s="3" t="s">
        <v>21382</v>
      </c>
      <c r="BC2163" s="3" t="s">
        <v>102</v>
      </c>
      <c r="BD2163" s="3" t="s">
        <v>68</v>
      </c>
      <c r="BF2163" s="3" t="s">
        <v>21382</v>
      </c>
      <c r="BG2163" s="3" t="s">
        <v>21383</v>
      </c>
    </row>
    <row r="2164" spans="1:59" ht="58" x14ac:dyDescent="0.35">
      <c r="A2164" s="2" t="s">
        <v>89</v>
      </c>
      <c r="B2164" s="2" t="s">
        <v>90</v>
      </c>
      <c r="C2164" s="2" t="s">
        <v>21384</v>
      </c>
      <c r="D2164" s="2" t="s">
        <v>21385</v>
      </c>
      <c r="E2164" s="2" t="s">
        <v>21386</v>
      </c>
      <c r="G2164" s="3" t="s">
        <v>62</v>
      </c>
      <c r="I2164" s="3" t="s">
        <v>61</v>
      </c>
      <c r="J2164" s="3" t="s">
        <v>62</v>
      </c>
      <c r="K2164" s="3" t="s">
        <v>63</v>
      </c>
      <c r="L2164" s="2" t="s">
        <v>21387</v>
      </c>
      <c r="M2164" s="2" t="s">
        <v>21388</v>
      </c>
      <c r="N2164" s="3" t="s">
        <v>2924</v>
      </c>
      <c r="P2164" s="3" t="s">
        <v>64</v>
      </c>
      <c r="Q2164" s="2" t="s">
        <v>21389</v>
      </c>
      <c r="R2164" s="3" t="s">
        <v>13065</v>
      </c>
      <c r="S2164" s="4">
        <v>3</v>
      </c>
      <c r="T2164" s="4">
        <v>25</v>
      </c>
      <c r="U2164" s="5" t="s">
        <v>5131</v>
      </c>
      <c r="V2164" s="5" t="s">
        <v>84</v>
      </c>
      <c r="W2164" s="5" t="s">
        <v>67</v>
      </c>
      <c r="X2164" s="5" t="s">
        <v>67</v>
      </c>
      <c r="Y2164" s="4">
        <v>411</v>
      </c>
      <c r="Z2164" s="4">
        <v>23</v>
      </c>
      <c r="AA2164" s="4">
        <v>33</v>
      </c>
      <c r="AB2164" s="4">
        <v>2</v>
      </c>
      <c r="AC2164" s="4">
        <v>9</v>
      </c>
      <c r="AD2164" s="4">
        <v>106</v>
      </c>
      <c r="AE2164" s="4">
        <v>118</v>
      </c>
      <c r="AF2164" s="4">
        <v>1</v>
      </c>
      <c r="AG2164" s="4">
        <v>4</v>
      </c>
      <c r="AH2164" s="4">
        <v>95</v>
      </c>
      <c r="AI2164" s="4">
        <v>102</v>
      </c>
      <c r="AJ2164" s="4">
        <v>18</v>
      </c>
      <c r="AK2164" s="4">
        <v>23</v>
      </c>
      <c r="AL2164" s="4">
        <v>53</v>
      </c>
      <c r="AM2164" s="4">
        <v>58</v>
      </c>
      <c r="AN2164" s="4">
        <v>0</v>
      </c>
      <c r="AO2164" s="4">
        <v>0</v>
      </c>
      <c r="AP2164" s="4">
        <v>20</v>
      </c>
      <c r="AQ2164" s="4">
        <v>25</v>
      </c>
      <c r="AR2164" s="3" t="s">
        <v>62</v>
      </c>
      <c r="AS2164" s="3" t="s">
        <v>62</v>
      </c>
      <c r="AT2164" s="3" t="s">
        <v>61</v>
      </c>
      <c r="AU2164" s="6" t="str">
        <f>HYPERLINK("http://catalog.hathitrust.org/Record/000577734","HathiTrust Record")</f>
        <v>HathiTrust Record</v>
      </c>
      <c r="AV2164" s="6" t="str">
        <f>HYPERLINK("http://mcgill.on.worldcat.org/oclc/958832","Catalog Record")</f>
        <v>Catalog Record</v>
      </c>
      <c r="AW2164" s="6" t="str">
        <f>HYPERLINK("http://www.worldcat.org/oclc/958832","WorldCat Record")</f>
        <v>WorldCat Record</v>
      </c>
      <c r="AX2164" s="3" t="s">
        <v>21390</v>
      </c>
      <c r="AY2164" s="3" t="s">
        <v>21391</v>
      </c>
      <c r="AZ2164" s="3" t="s">
        <v>21392</v>
      </c>
      <c r="BA2164" s="3" t="s">
        <v>21392</v>
      </c>
      <c r="BB2164" s="3" t="s">
        <v>21393</v>
      </c>
      <c r="BC2164" s="3" t="s">
        <v>102</v>
      </c>
      <c r="BD2164" s="3" t="s">
        <v>68</v>
      </c>
      <c r="BF2164" s="3" t="s">
        <v>21393</v>
      </c>
      <c r="BG2164" s="3" t="s">
        <v>21394</v>
      </c>
    </row>
    <row r="2165" spans="1:59" ht="58" x14ac:dyDescent="0.35">
      <c r="A2165" s="2" t="s">
        <v>89</v>
      </c>
      <c r="B2165" s="2" t="s">
        <v>90</v>
      </c>
      <c r="C2165" s="2" t="s">
        <v>21395</v>
      </c>
      <c r="D2165" s="2" t="s">
        <v>21396</v>
      </c>
      <c r="E2165" s="2" t="s">
        <v>21397</v>
      </c>
      <c r="G2165" s="3" t="s">
        <v>62</v>
      </c>
      <c r="I2165" s="3" t="s">
        <v>62</v>
      </c>
      <c r="J2165" s="3" t="s">
        <v>62</v>
      </c>
      <c r="K2165" s="3" t="s">
        <v>63</v>
      </c>
      <c r="L2165" s="2" t="s">
        <v>21398</v>
      </c>
      <c r="M2165" s="2" t="s">
        <v>21399</v>
      </c>
      <c r="N2165" s="3" t="s">
        <v>655</v>
      </c>
      <c r="P2165" s="3" t="s">
        <v>64</v>
      </c>
      <c r="Q2165" s="2" t="s">
        <v>21400</v>
      </c>
      <c r="R2165" s="3" t="s">
        <v>13065</v>
      </c>
      <c r="S2165" s="4">
        <v>8</v>
      </c>
      <c r="T2165" s="4">
        <v>8</v>
      </c>
      <c r="U2165" s="5" t="s">
        <v>15906</v>
      </c>
      <c r="V2165" s="5" t="s">
        <v>15906</v>
      </c>
      <c r="W2165" s="5" t="s">
        <v>67</v>
      </c>
      <c r="X2165" s="5" t="s">
        <v>67</v>
      </c>
      <c r="Y2165" s="4">
        <v>55</v>
      </c>
      <c r="Z2165" s="4">
        <v>7</v>
      </c>
      <c r="AA2165" s="4">
        <v>95</v>
      </c>
      <c r="AB2165" s="4">
        <v>2</v>
      </c>
      <c r="AC2165" s="4">
        <v>17</v>
      </c>
      <c r="AD2165" s="4">
        <v>23</v>
      </c>
      <c r="AE2165" s="4">
        <v>106</v>
      </c>
      <c r="AF2165" s="4">
        <v>1</v>
      </c>
      <c r="AG2165" s="4">
        <v>8</v>
      </c>
      <c r="AH2165" s="4">
        <v>20</v>
      </c>
      <c r="AI2165" s="4">
        <v>70</v>
      </c>
      <c r="AJ2165" s="4">
        <v>5</v>
      </c>
      <c r="AK2165" s="4">
        <v>20</v>
      </c>
      <c r="AL2165" s="4">
        <v>14</v>
      </c>
      <c r="AM2165" s="4">
        <v>36</v>
      </c>
      <c r="AN2165" s="4">
        <v>0</v>
      </c>
      <c r="AO2165" s="4">
        <v>0</v>
      </c>
      <c r="AP2165" s="4">
        <v>5</v>
      </c>
      <c r="AQ2165" s="4">
        <v>42</v>
      </c>
      <c r="AR2165" s="3" t="s">
        <v>62</v>
      </c>
      <c r="AS2165" s="3" t="s">
        <v>62</v>
      </c>
      <c r="AT2165" s="3" t="s">
        <v>62</v>
      </c>
      <c r="AV2165" s="6" t="str">
        <f>HYPERLINK("http://mcgill.on.worldcat.org/oclc/154672026","Catalog Record")</f>
        <v>Catalog Record</v>
      </c>
      <c r="AW2165" s="6" t="str">
        <f>HYPERLINK("http://www.worldcat.org/oclc/154672026","WorldCat Record")</f>
        <v>WorldCat Record</v>
      </c>
      <c r="AX2165" s="3" t="s">
        <v>21401</v>
      </c>
      <c r="AY2165" s="3" t="s">
        <v>21402</v>
      </c>
      <c r="AZ2165" s="3" t="s">
        <v>21403</v>
      </c>
      <c r="BA2165" s="3" t="s">
        <v>21403</v>
      </c>
      <c r="BB2165" s="3" t="s">
        <v>21404</v>
      </c>
      <c r="BC2165" s="3" t="s">
        <v>102</v>
      </c>
      <c r="BD2165" s="3" t="s">
        <v>231</v>
      </c>
      <c r="BE2165" s="3" t="s">
        <v>21405</v>
      </c>
      <c r="BF2165" s="3" t="s">
        <v>21404</v>
      </c>
      <c r="BG2165" s="3" t="s">
        <v>21406</v>
      </c>
    </row>
    <row r="2166" spans="1:59" ht="58" x14ac:dyDescent="0.35">
      <c r="A2166" s="2" t="s">
        <v>89</v>
      </c>
      <c r="B2166" s="2" t="s">
        <v>90</v>
      </c>
      <c r="C2166" s="2" t="s">
        <v>21407</v>
      </c>
      <c r="D2166" s="2" t="s">
        <v>21408</v>
      </c>
      <c r="E2166" s="2" t="s">
        <v>21409</v>
      </c>
      <c r="G2166" s="3" t="s">
        <v>62</v>
      </c>
      <c r="I2166" s="3" t="s">
        <v>62</v>
      </c>
      <c r="J2166" s="3" t="s">
        <v>62</v>
      </c>
      <c r="K2166" s="3" t="s">
        <v>63</v>
      </c>
      <c r="L2166" s="2" t="s">
        <v>21410</v>
      </c>
      <c r="M2166" s="2" t="s">
        <v>21411</v>
      </c>
      <c r="N2166" s="3" t="s">
        <v>712</v>
      </c>
      <c r="P2166" s="3" t="s">
        <v>64</v>
      </c>
      <c r="Q2166" s="2" t="s">
        <v>21412</v>
      </c>
      <c r="R2166" s="3" t="s">
        <v>13065</v>
      </c>
      <c r="S2166" s="4">
        <v>0</v>
      </c>
      <c r="T2166" s="4">
        <v>0</v>
      </c>
      <c r="W2166" s="5" t="s">
        <v>67</v>
      </c>
      <c r="X2166" s="5" t="s">
        <v>67</v>
      </c>
      <c r="Y2166" s="4">
        <v>24</v>
      </c>
      <c r="Z2166" s="4">
        <v>1</v>
      </c>
      <c r="AA2166" s="4">
        <v>63</v>
      </c>
      <c r="AB2166" s="4">
        <v>1</v>
      </c>
      <c r="AC2166" s="4">
        <v>13</v>
      </c>
      <c r="AD2166" s="4">
        <v>8</v>
      </c>
      <c r="AE2166" s="4">
        <v>74</v>
      </c>
      <c r="AF2166" s="4">
        <v>0</v>
      </c>
      <c r="AG2166" s="4">
        <v>8</v>
      </c>
      <c r="AH2166" s="4">
        <v>5</v>
      </c>
      <c r="AI2166" s="4">
        <v>40</v>
      </c>
      <c r="AJ2166" s="4">
        <v>0</v>
      </c>
      <c r="AK2166" s="4">
        <v>21</v>
      </c>
      <c r="AL2166" s="4">
        <v>5</v>
      </c>
      <c r="AM2166" s="4">
        <v>21</v>
      </c>
      <c r="AN2166" s="4">
        <v>0</v>
      </c>
      <c r="AO2166" s="4">
        <v>0</v>
      </c>
      <c r="AP2166" s="4">
        <v>0</v>
      </c>
      <c r="AQ2166" s="4">
        <v>38</v>
      </c>
      <c r="AR2166" s="3" t="s">
        <v>62</v>
      </c>
      <c r="AS2166" s="3" t="s">
        <v>62</v>
      </c>
      <c r="AT2166" s="3" t="s">
        <v>62</v>
      </c>
      <c r="AV2166" s="6" t="str">
        <f>HYPERLINK("http://mcgill.on.worldcat.org/oclc/857977734","Catalog Record")</f>
        <v>Catalog Record</v>
      </c>
      <c r="AW2166" s="6" t="str">
        <f>HYPERLINK("http://www.worldcat.org/oclc/857977734","WorldCat Record")</f>
        <v>WorldCat Record</v>
      </c>
      <c r="AX2166" s="3" t="s">
        <v>21413</v>
      </c>
      <c r="AY2166" s="3" t="s">
        <v>21414</v>
      </c>
      <c r="AZ2166" s="3" t="s">
        <v>21415</v>
      </c>
      <c r="BA2166" s="3" t="s">
        <v>21415</v>
      </c>
      <c r="BB2166" s="3" t="s">
        <v>21416</v>
      </c>
      <c r="BC2166" s="3" t="s">
        <v>102</v>
      </c>
      <c r="BD2166" s="3" t="s">
        <v>68</v>
      </c>
      <c r="BE2166" s="3" t="s">
        <v>21417</v>
      </c>
      <c r="BF2166" s="3" t="s">
        <v>21416</v>
      </c>
      <c r="BG2166" s="3" t="s">
        <v>21418</v>
      </c>
    </row>
    <row r="2167" spans="1:59" ht="72.5" x14ac:dyDescent="0.35">
      <c r="A2167" s="2" t="s">
        <v>89</v>
      </c>
      <c r="B2167" s="2" t="s">
        <v>90</v>
      </c>
      <c r="C2167" s="2" t="s">
        <v>21419</v>
      </c>
      <c r="D2167" s="2" t="s">
        <v>21420</v>
      </c>
      <c r="E2167" s="2" t="s">
        <v>21421</v>
      </c>
      <c r="G2167" s="3" t="s">
        <v>62</v>
      </c>
      <c r="I2167" s="3" t="s">
        <v>62</v>
      </c>
      <c r="J2167" s="3" t="s">
        <v>62</v>
      </c>
      <c r="K2167" s="3" t="s">
        <v>63</v>
      </c>
      <c r="L2167" s="2" t="s">
        <v>19758</v>
      </c>
      <c r="M2167" s="2" t="s">
        <v>21422</v>
      </c>
      <c r="N2167" s="3" t="s">
        <v>684</v>
      </c>
      <c r="P2167" s="3" t="s">
        <v>64</v>
      </c>
      <c r="Q2167" s="2" t="s">
        <v>21423</v>
      </c>
      <c r="R2167" s="3" t="s">
        <v>13065</v>
      </c>
      <c r="S2167" s="4">
        <v>6</v>
      </c>
      <c r="T2167" s="4">
        <v>6</v>
      </c>
      <c r="U2167" s="5" t="s">
        <v>21424</v>
      </c>
      <c r="V2167" s="5" t="s">
        <v>21424</v>
      </c>
      <c r="W2167" s="5" t="s">
        <v>67</v>
      </c>
      <c r="X2167" s="5" t="s">
        <v>67</v>
      </c>
      <c r="Y2167" s="4">
        <v>179</v>
      </c>
      <c r="Z2167" s="4">
        <v>9</v>
      </c>
      <c r="AA2167" s="4">
        <v>10</v>
      </c>
      <c r="AB2167" s="4">
        <v>2</v>
      </c>
      <c r="AC2167" s="4">
        <v>2</v>
      </c>
      <c r="AD2167" s="4">
        <v>42</v>
      </c>
      <c r="AE2167" s="4">
        <v>43</v>
      </c>
      <c r="AF2167" s="4">
        <v>1</v>
      </c>
      <c r="AG2167" s="4">
        <v>1</v>
      </c>
      <c r="AH2167" s="4">
        <v>38</v>
      </c>
      <c r="AI2167" s="4">
        <v>38</v>
      </c>
      <c r="AJ2167" s="4">
        <v>5</v>
      </c>
      <c r="AK2167" s="4">
        <v>6</v>
      </c>
      <c r="AL2167" s="4">
        <v>22</v>
      </c>
      <c r="AM2167" s="4">
        <v>22</v>
      </c>
      <c r="AN2167" s="4">
        <v>0</v>
      </c>
      <c r="AO2167" s="4">
        <v>0</v>
      </c>
      <c r="AP2167" s="4">
        <v>7</v>
      </c>
      <c r="AQ2167" s="4">
        <v>8</v>
      </c>
      <c r="AR2167" s="3" t="s">
        <v>62</v>
      </c>
      <c r="AS2167" s="3" t="s">
        <v>62</v>
      </c>
      <c r="AT2167" s="3" t="s">
        <v>62</v>
      </c>
      <c r="AV2167" s="6" t="str">
        <f>HYPERLINK("http://mcgill.on.worldcat.org/oclc/674931655","Catalog Record")</f>
        <v>Catalog Record</v>
      </c>
      <c r="AW2167" s="6" t="str">
        <f>HYPERLINK("http://www.worldcat.org/oclc/674931655","WorldCat Record")</f>
        <v>WorldCat Record</v>
      </c>
      <c r="AX2167" s="3" t="s">
        <v>21425</v>
      </c>
      <c r="AY2167" s="3" t="s">
        <v>21426</v>
      </c>
      <c r="AZ2167" s="3" t="s">
        <v>21427</v>
      </c>
      <c r="BA2167" s="3" t="s">
        <v>21427</v>
      </c>
      <c r="BB2167" s="3" t="s">
        <v>21428</v>
      </c>
      <c r="BC2167" s="3" t="s">
        <v>102</v>
      </c>
      <c r="BD2167" s="3" t="s">
        <v>68</v>
      </c>
      <c r="BE2167" s="3" t="s">
        <v>21429</v>
      </c>
      <c r="BF2167" s="3" t="s">
        <v>21428</v>
      </c>
      <c r="BG2167" s="3" t="s">
        <v>21430</v>
      </c>
    </row>
    <row r="2168" spans="1:59" ht="72.5" x14ac:dyDescent="0.35">
      <c r="A2168" s="2" t="s">
        <v>89</v>
      </c>
      <c r="B2168" s="2" t="s">
        <v>90</v>
      </c>
      <c r="C2168" s="2" t="s">
        <v>21431</v>
      </c>
      <c r="D2168" s="2" t="s">
        <v>21432</v>
      </c>
      <c r="E2168" s="2" t="s">
        <v>21433</v>
      </c>
      <c r="G2168" s="3" t="s">
        <v>62</v>
      </c>
      <c r="I2168" s="3" t="s">
        <v>62</v>
      </c>
      <c r="J2168" s="3" t="s">
        <v>62</v>
      </c>
      <c r="K2168" s="3" t="s">
        <v>63</v>
      </c>
      <c r="M2168" s="2" t="s">
        <v>3522</v>
      </c>
      <c r="N2168" s="3" t="s">
        <v>1038</v>
      </c>
      <c r="O2168" s="2" t="s">
        <v>1941</v>
      </c>
      <c r="P2168" s="3" t="s">
        <v>64</v>
      </c>
      <c r="Q2168" s="2" t="s">
        <v>21434</v>
      </c>
      <c r="R2168" s="3" t="s">
        <v>13065</v>
      </c>
      <c r="S2168" s="4">
        <v>0</v>
      </c>
      <c r="T2168" s="4">
        <v>0</v>
      </c>
      <c r="W2168" s="5" t="s">
        <v>67</v>
      </c>
      <c r="X2168" s="5" t="s">
        <v>67</v>
      </c>
      <c r="Y2168" s="4">
        <v>127</v>
      </c>
      <c r="Z2168" s="4">
        <v>14</v>
      </c>
      <c r="AA2168" s="4">
        <v>19</v>
      </c>
      <c r="AB2168" s="4">
        <v>1</v>
      </c>
      <c r="AC2168" s="4">
        <v>3</v>
      </c>
      <c r="AD2168" s="4">
        <v>48</v>
      </c>
      <c r="AE2168" s="4">
        <v>66</v>
      </c>
      <c r="AF2168" s="4">
        <v>0</v>
      </c>
      <c r="AG2168" s="4">
        <v>2</v>
      </c>
      <c r="AH2168" s="4">
        <v>43</v>
      </c>
      <c r="AI2168" s="4">
        <v>57</v>
      </c>
      <c r="AJ2168" s="4">
        <v>8</v>
      </c>
      <c r="AK2168" s="4">
        <v>13</v>
      </c>
      <c r="AL2168" s="4">
        <v>26</v>
      </c>
      <c r="AM2168" s="4">
        <v>37</v>
      </c>
      <c r="AN2168" s="4">
        <v>0</v>
      </c>
      <c r="AO2168" s="4">
        <v>0</v>
      </c>
      <c r="AP2168" s="4">
        <v>10</v>
      </c>
      <c r="AQ2168" s="4">
        <v>14</v>
      </c>
      <c r="AR2168" s="3" t="s">
        <v>62</v>
      </c>
      <c r="AS2168" s="3" t="s">
        <v>62</v>
      </c>
      <c r="AT2168" s="3" t="s">
        <v>62</v>
      </c>
      <c r="AV2168" s="6" t="str">
        <f>HYPERLINK("http://mcgill.on.worldcat.org/oclc/960039929","Catalog Record")</f>
        <v>Catalog Record</v>
      </c>
      <c r="AW2168" s="6" t="str">
        <f>HYPERLINK("http://www.worldcat.org/oclc/960039929","WorldCat Record")</f>
        <v>WorldCat Record</v>
      </c>
      <c r="AX2168" s="3" t="s">
        <v>21435</v>
      </c>
      <c r="AY2168" s="3" t="s">
        <v>21436</v>
      </c>
      <c r="AZ2168" s="3" t="s">
        <v>21437</v>
      </c>
      <c r="BA2168" s="3" t="s">
        <v>21437</v>
      </c>
      <c r="BB2168" s="3" t="s">
        <v>21438</v>
      </c>
      <c r="BC2168" s="3" t="s">
        <v>102</v>
      </c>
      <c r="BD2168" s="3" t="s">
        <v>68</v>
      </c>
      <c r="BE2168" s="3" t="s">
        <v>21439</v>
      </c>
      <c r="BF2168" s="3" t="s">
        <v>21438</v>
      </c>
      <c r="BG2168" s="3" t="s">
        <v>21440</v>
      </c>
    </row>
    <row r="2169" spans="1:59" ht="58" x14ac:dyDescent="0.35">
      <c r="A2169" s="2" t="s">
        <v>89</v>
      </c>
      <c r="B2169" s="2" t="s">
        <v>90</v>
      </c>
      <c r="C2169" s="2" t="s">
        <v>21441</v>
      </c>
      <c r="D2169" s="2" t="s">
        <v>21442</v>
      </c>
      <c r="E2169" s="2" t="s">
        <v>21443</v>
      </c>
      <c r="G2169" s="3" t="s">
        <v>62</v>
      </c>
      <c r="I2169" s="3" t="s">
        <v>62</v>
      </c>
      <c r="J2169" s="3" t="s">
        <v>62</v>
      </c>
      <c r="K2169" s="3" t="s">
        <v>63</v>
      </c>
      <c r="L2169" s="2" t="s">
        <v>21444</v>
      </c>
      <c r="M2169" s="2" t="s">
        <v>21445</v>
      </c>
      <c r="N2169" s="3" t="s">
        <v>824</v>
      </c>
      <c r="P2169" s="3" t="s">
        <v>64</v>
      </c>
      <c r="Q2169" s="2" t="s">
        <v>21446</v>
      </c>
      <c r="R2169" s="3" t="s">
        <v>13065</v>
      </c>
      <c r="S2169" s="4">
        <v>22</v>
      </c>
      <c r="T2169" s="4">
        <v>22</v>
      </c>
      <c r="U2169" s="5" t="s">
        <v>9520</v>
      </c>
      <c r="V2169" s="5" t="s">
        <v>9520</v>
      </c>
      <c r="W2169" s="5" t="s">
        <v>67</v>
      </c>
      <c r="X2169" s="5" t="s">
        <v>67</v>
      </c>
      <c r="Y2169" s="4">
        <v>331</v>
      </c>
      <c r="Z2169" s="4">
        <v>20</v>
      </c>
      <c r="AA2169" s="4">
        <v>29</v>
      </c>
      <c r="AB2169" s="4">
        <v>1</v>
      </c>
      <c r="AC2169" s="4">
        <v>6</v>
      </c>
      <c r="AD2169" s="4">
        <v>86</v>
      </c>
      <c r="AE2169" s="4">
        <v>116</v>
      </c>
      <c r="AF2169" s="4">
        <v>0</v>
      </c>
      <c r="AG2169" s="4">
        <v>5</v>
      </c>
      <c r="AH2169" s="4">
        <v>75</v>
      </c>
      <c r="AI2169" s="4">
        <v>98</v>
      </c>
      <c r="AJ2169" s="4">
        <v>13</v>
      </c>
      <c r="AK2169" s="4">
        <v>18</v>
      </c>
      <c r="AL2169" s="4">
        <v>43</v>
      </c>
      <c r="AM2169" s="4">
        <v>56</v>
      </c>
      <c r="AN2169" s="4">
        <v>0</v>
      </c>
      <c r="AO2169" s="4">
        <v>0</v>
      </c>
      <c r="AP2169" s="4">
        <v>16</v>
      </c>
      <c r="AQ2169" s="4">
        <v>24</v>
      </c>
      <c r="AR2169" s="3" t="s">
        <v>62</v>
      </c>
      <c r="AS2169" s="3" t="s">
        <v>62</v>
      </c>
      <c r="AT2169" s="3" t="s">
        <v>61</v>
      </c>
      <c r="AU2169" s="6" t="str">
        <f>HYPERLINK("http://catalog.hathitrust.org/Record/000615350","HathiTrust Record")</f>
        <v>HathiTrust Record</v>
      </c>
      <c r="AV2169" s="6" t="str">
        <f>HYPERLINK("http://mcgill.on.worldcat.org/oclc/1201051","Catalog Record")</f>
        <v>Catalog Record</v>
      </c>
      <c r="AW2169" s="6" t="str">
        <f>HYPERLINK("http://www.worldcat.org/oclc/1201051","WorldCat Record")</f>
        <v>WorldCat Record</v>
      </c>
      <c r="AX2169" s="3" t="s">
        <v>21447</v>
      </c>
      <c r="AY2169" s="3" t="s">
        <v>21448</v>
      </c>
      <c r="AZ2169" s="3" t="s">
        <v>21449</v>
      </c>
      <c r="BA2169" s="3" t="s">
        <v>21449</v>
      </c>
      <c r="BB2169" s="3" t="s">
        <v>21450</v>
      </c>
      <c r="BC2169" s="3" t="s">
        <v>102</v>
      </c>
      <c r="BD2169" s="3" t="s">
        <v>68</v>
      </c>
      <c r="BE2169" s="3" t="s">
        <v>21451</v>
      </c>
      <c r="BF2169" s="3" t="s">
        <v>21450</v>
      </c>
      <c r="BG2169" s="3" t="s">
        <v>21452</v>
      </c>
    </row>
    <row r="2170" spans="1:59" ht="58" x14ac:dyDescent="0.35">
      <c r="A2170" s="2" t="s">
        <v>89</v>
      </c>
      <c r="B2170" s="2" t="s">
        <v>90</v>
      </c>
      <c r="C2170" s="2" t="s">
        <v>21453</v>
      </c>
      <c r="D2170" s="2" t="s">
        <v>21454</v>
      </c>
      <c r="E2170" s="2" t="s">
        <v>21455</v>
      </c>
      <c r="G2170" s="3" t="s">
        <v>62</v>
      </c>
      <c r="I2170" s="3" t="s">
        <v>61</v>
      </c>
      <c r="J2170" s="3" t="s">
        <v>62</v>
      </c>
      <c r="K2170" s="3" t="s">
        <v>63</v>
      </c>
      <c r="L2170" s="2" t="s">
        <v>21456</v>
      </c>
      <c r="M2170" s="2" t="s">
        <v>21457</v>
      </c>
      <c r="N2170" s="3" t="s">
        <v>424</v>
      </c>
      <c r="P2170" s="3" t="s">
        <v>64</v>
      </c>
      <c r="R2170" s="3" t="s">
        <v>13065</v>
      </c>
      <c r="S2170" s="4">
        <v>34</v>
      </c>
      <c r="T2170" s="4">
        <v>34</v>
      </c>
      <c r="U2170" s="5" t="s">
        <v>21458</v>
      </c>
      <c r="V2170" s="5" t="s">
        <v>21458</v>
      </c>
      <c r="W2170" s="5" t="s">
        <v>67</v>
      </c>
      <c r="X2170" s="5" t="s">
        <v>67</v>
      </c>
      <c r="Y2170" s="4">
        <v>534</v>
      </c>
      <c r="Z2170" s="4">
        <v>29</v>
      </c>
      <c r="AA2170" s="4">
        <v>44</v>
      </c>
      <c r="AB2170" s="4">
        <v>2</v>
      </c>
      <c r="AC2170" s="4">
        <v>6</v>
      </c>
      <c r="AD2170" s="4">
        <v>126</v>
      </c>
      <c r="AE2170" s="4">
        <v>137</v>
      </c>
      <c r="AF2170" s="4">
        <v>1</v>
      </c>
      <c r="AG2170" s="4">
        <v>3</v>
      </c>
      <c r="AH2170" s="4">
        <v>107</v>
      </c>
      <c r="AI2170" s="4">
        <v>110</v>
      </c>
      <c r="AJ2170" s="4">
        <v>18</v>
      </c>
      <c r="AK2170" s="4">
        <v>23</v>
      </c>
      <c r="AL2170" s="4">
        <v>59</v>
      </c>
      <c r="AM2170" s="4">
        <v>59</v>
      </c>
      <c r="AN2170" s="4">
        <v>0</v>
      </c>
      <c r="AO2170" s="4">
        <v>0</v>
      </c>
      <c r="AP2170" s="4">
        <v>23</v>
      </c>
      <c r="AQ2170" s="4">
        <v>33</v>
      </c>
      <c r="AR2170" s="3" t="s">
        <v>62</v>
      </c>
      <c r="AS2170" s="3" t="s">
        <v>62</v>
      </c>
      <c r="AT2170" s="3" t="s">
        <v>62</v>
      </c>
      <c r="AV2170" s="6" t="str">
        <f>HYPERLINK("http://mcgill.on.worldcat.org/oclc/17726921","Catalog Record")</f>
        <v>Catalog Record</v>
      </c>
      <c r="AW2170" s="6" t="str">
        <f>HYPERLINK("http://www.worldcat.org/oclc/17726921","WorldCat Record")</f>
        <v>WorldCat Record</v>
      </c>
      <c r="AX2170" s="3" t="s">
        <v>21459</v>
      </c>
      <c r="AY2170" s="3" t="s">
        <v>21460</v>
      </c>
      <c r="AZ2170" s="3" t="s">
        <v>21461</v>
      </c>
      <c r="BA2170" s="3" t="s">
        <v>21461</v>
      </c>
      <c r="BB2170" s="3" t="s">
        <v>21462</v>
      </c>
      <c r="BC2170" s="3" t="s">
        <v>102</v>
      </c>
      <c r="BD2170" s="3" t="s">
        <v>231</v>
      </c>
      <c r="BE2170" s="3" t="s">
        <v>21463</v>
      </c>
      <c r="BF2170" s="3" t="s">
        <v>21462</v>
      </c>
      <c r="BG2170" s="3" t="s">
        <v>21464</v>
      </c>
    </row>
    <row r="2171" spans="1:59" ht="58" x14ac:dyDescent="0.35">
      <c r="A2171" s="2" t="s">
        <v>89</v>
      </c>
      <c r="B2171" s="2" t="s">
        <v>90</v>
      </c>
      <c r="C2171" s="2" t="s">
        <v>21465</v>
      </c>
      <c r="D2171" s="2" t="s">
        <v>21466</v>
      </c>
      <c r="E2171" s="2" t="s">
        <v>21467</v>
      </c>
      <c r="F2171" s="3" t="s">
        <v>2233</v>
      </c>
      <c r="G2171" s="3" t="s">
        <v>61</v>
      </c>
      <c r="I2171" s="3" t="s">
        <v>62</v>
      </c>
      <c r="J2171" s="3" t="s">
        <v>62</v>
      </c>
      <c r="K2171" s="3" t="s">
        <v>63</v>
      </c>
      <c r="M2171" s="2" t="s">
        <v>15352</v>
      </c>
      <c r="N2171" s="3" t="s">
        <v>1905</v>
      </c>
      <c r="P2171" s="3" t="s">
        <v>64</v>
      </c>
      <c r="R2171" s="3" t="s">
        <v>13065</v>
      </c>
      <c r="S2171" s="4">
        <v>27</v>
      </c>
      <c r="T2171" s="4">
        <v>56</v>
      </c>
      <c r="U2171" s="5" t="s">
        <v>9101</v>
      </c>
      <c r="V2171" s="5" t="s">
        <v>9101</v>
      </c>
      <c r="W2171" s="5" t="s">
        <v>67</v>
      </c>
      <c r="X2171" s="5" t="s">
        <v>67</v>
      </c>
      <c r="Y2171" s="4">
        <v>478</v>
      </c>
      <c r="Z2171" s="4">
        <v>28</v>
      </c>
      <c r="AA2171" s="4">
        <v>33</v>
      </c>
      <c r="AB2171" s="4">
        <v>3</v>
      </c>
      <c r="AC2171" s="4">
        <v>7</v>
      </c>
      <c r="AD2171" s="4">
        <v>124</v>
      </c>
      <c r="AE2171" s="4">
        <v>129</v>
      </c>
      <c r="AF2171" s="4">
        <v>1</v>
      </c>
      <c r="AG2171" s="4">
        <v>5</v>
      </c>
      <c r="AH2171" s="4">
        <v>105</v>
      </c>
      <c r="AI2171" s="4">
        <v>106</v>
      </c>
      <c r="AJ2171" s="4">
        <v>18</v>
      </c>
      <c r="AK2171" s="4">
        <v>22</v>
      </c>
      <c r="AL2171" s="4">
        <v>60</v>
      </c>
      <c r="AM2171" s="4">
        <v>60</v>
      </c>
      <c r="AN2171" s="4">
        <v>0</v>
      </c>
      <c r="AO2171" s="4">
        <v>0</v>
      </c>
      <c r="AP2171" s="4">
        <v>23</v>
      </c>
      <c r="AQ2171" s="4">
        <v>27</v>
      </c>
      <c r="AR2171" s="3" t="s">
        <v>62</v>
      </c>
      <c r="AS2171" s="3" t="s">
        <v>62</v>
      </c>
      <c r="AT2171" s="3" t="s">
        <v>62</v>
      </c>
      <c r="AV2171" s="6" t="str">
        <f>HYPERLINK("http://mcgill.on.worldcat.org/oclc/13904081","Catalog Record")</f>
        <v>Catalog Record</v>
      </c>
      <c r="AW2171" s="6" t="str">
        <f>HYPERLINK("http://www.worldcat.org/oclc/13904081","WorldCat Record")</f>
        <v>WorldCat Record</v>
      </c>
      <c r="AX2171" s="3" t="s">
        <v>21468</v>
      </c>
      <c r="AY2171" s="3" t="s">
        <v>21469</v>
      </c>
      <c r="AZ2171" s="3" t="s">
        <v>21470</v>
      </c>
      <c r="BA2171" s="3" t="s">
        <v>21470</v>
      </c>
      <c r="BB2171" s="3" t="s">
        <v>21471</v>
      </c>
      <c r="BC2171" s="3" t="s">
        <v>102</v>
      </c>
      <c r="BD2171" s="3" t="s">
        <v>231</v>
      </c>
      <c r="BE2171" s="3" t="s">
        <v>21472</v>
      </c>
      <c r="BF2171" s="3" t="s">
        <v>21471</v>
      </c>
      <c r="BG2171" s="3" t="s">
        <v>21473</v>
      </c>
    </row>
    <row r="2172" spans="1:59" ht="58" x14ac:dyDescent="0.35">
      <c r="A2172" s="2" t="s">
        <v>89</v>
      </c>
      <c r="B2172" s="2" t="s">
        <v>90</v>
      </c>
      <c r="C2172" s="2" t="s">
        <v>21465</v>
      </c>
      <c r="D2172" s="2" t="s">
        <v>21466</v>
      </c>
      <c r="E2172" s="2" t="s">
        <v>21467</v>
      </c>
      <c r="F2172" s="3" t="s">
        <v>2217</v>
      </c>
      <c r="G2172" s="3" t="s">
        <v>61</v>
      </c>
      <c r="I2172" s="3" t="s">
        <v>62</v>
      </c>
      <c r="J2172" s="3" t="s">
        <v>62</v>
      </c>
      <c r="K2172" s="3" t="s">
        <v>63</v>
      </c>
      <c r="M2172" s="2" t="s">
        <v>15352</v>
      </c>
      <c r="N2172" s="3" t="s">
        <v>1905</v>
      </c>
      <c r="P2172" s="3" t="s">
        <v>64</v>
      </c>
      <c r="R2172" s="3" t="s">
        <v>13065</v>
      </c>
      <c r="S2172" s="4">
        <v>29</v>
      </c>
      <c r="T2172" s="4">
        <v>56</v>
      </c>
      <c r="U2172" s="5" t="s">
        <v>2298</v>
      </c>
      <c r="V2172" s="5" t="s">
        <v>9101</v>
      </c>
      <c r="W2172" s="5" t="s">
        <v>67</v>
      </c>
      <c r="X2172" s="5" t="s">
        <v>67</v>
      </c>
      <c r="Y2172" s="4">
        <v>478</v>
      </c>
      <c r="Z2172" s="4">
        <v>28</v>
      </c>
      <c r="AA2172" s="4">
        <v>33</v>
      </c>
      <c r="AB2172" s="4">
        <v>3</v>
      </c>
      <c r="AC2172" s="4">
        <v>7</v>
      </c>
      <c r="AD2172" s="4">
        <v>124</v>
      </c>
      <c r="AE2172" s="4">
        <v>129</v>
      </c>
      <c r="AF2172" s="4">
        <v>1</v>
      </c>
      <c r="AG2172" s="4">
        <v>5</v>
      </c>
      <c r="AH2172" s="4">
        <v>105</v>
      </c>
      <c r="AI2172" s="4">
        <v>106</v>
      </c>
      <c r="AJ2172" s="4">
        <v>18</v>
      </c>
      <c r="AK2172" s="4">
        <v>22</v>
      </c>
      <c r="AL2172" s="4">
        <v>60</v>
      </c>
      <c r="AM2172" s="4">
        <v>60</v>
      </c>
      <c r="AN2172" s="4">
        <v>0</v>
      </c>
      <c r="AO2172" s="4">
        <v>0</v>
      </c>
      <c r="AP2172" s="4">
        <v>23</v>
      </c>
      <c r="AQ2172" s="4">
        <v>27</v>
      </c>
      <c r="AR2172" s="3" t="s">
        <v>62</v>
      </c>
      <c r="AS2172" s="3" t="s">
        <v>62</v>
      </c>
      <c r="AT2172" s="3" t="s">
        <v>62</v>
      </c>
      <c r="AV2172" s="6" t="str">
        <f>HYPERLINK("http://mcgill.on.worldcat.org/oclc/13904081","Catalog Record")</f>
        <v>Catalog Record</v>
      </c>
      <c r="AW2172" s="6" t="str">
        <f>HYPERLINK("http://www.worldcat.org/oclc/13904081","WorldCat Record")</f>
        <v>WorldCat Record</v>
      </c>
      <c r="AX2172" s="3" t="s">
        <v>21468</v>
      </c>
      <c r="AY2172" s="3" t="s">
        <v>21469</v>
      </c>
      <c r="AZ2172" s="3" t="s">
        <v>21470</v>
      </c>
      <c r="BA2172" s="3" t="s">
        <v>21470</v>
      </c>
      <c r="BB2172" s="3" t="s">
        <v>21474</v>
      </c>
      <c r="BC2172" s="3" t="s">
        <v>102</v>
      </c>
      <c r="BD2172" s="3" t="s">
        <v>68</v>
      </c>
      <c r="BE2172" s="3" t="s">
        <v>21472</v>
      </c>
      <c r="BF2172" s="3" t="s">
        <v>21474</v>
      </c>
      <c r="BG2172" s="3" t="s">
        <v>21475</v>
      </c>
    </row>
    <row r="2173" spans="1:59" ht="58" x14ac:dyDescent="0.35">
      <c r="A2173" s="2" t="s">
        <v>89</v>
      </c>
      <c r="B2173" s="2" t="s">
        <v>90</v>
      </c>
      <c r="C2173" s="2" t="s">
        <v>21476</v>
      </c>
      <c r="D2173" s="2" t="s">
        <v>21477</v>
      </c>
      <c r="E2173" s="2" t="s">
        <v>21478</v>
      </c>
      <c r="G2173" s="3" t="s">
        <v>62</v>
      </c>
      <c r="I2173" s="3" t="s">
        <v>61</v>
      </c>
      <c r="J2173" s="3" t="s">
        <v>61</v>
      </c>
      <c r="K2173" s="3" t="s">
        <v>63</v>
      </c>
      <c r="L2173" s="2" t="s">
        <v>21479</v>
      </c>
      <c r="M2173" s="2" t="s">
        <v>21480</v>
      </c>
      <c r="N2173" s="3" t="s">
        <v>106</v>
      </c>
      <c r="P2173" s="3" t="s">
        <v>64</v>
      </c>
      <c r="R2173" s="3" t="s">
        <v>13065</v>
      </c>
      <c r="S2173" s="4">
        <v>0</v>
      </c>
      <c r="T2173" s="4">
        <v>17</v>
      </c>
      <c r="V2173" s="5" t="s">
        <v>13087</v>
      </c>
      <c r="W2173" s="5" t="s">
        <v>67</v>
      </c>
      <c r="X2173" s="5" t="s">
        <v>67</v>
      </c>
      <c r="Y2173" s="4">
        <v>300</v>
      </c>
      <c r="Z2173" s="4">
        <v>18</v>
      </c>
      <c r="AA2173" s="4">
        <v>45</v>
      </c>
      <c r="AB2173" s="4">
        <v>1</v>
      </c>
      <c r="AC2173" s="4">
        <v>5</v>
      </c>
      <c r="AD2173" s="4">
        <v>96</v>
      </c>
      <c r="AE2173" s="4">
        <v>140</v>
      </c>
      <c r="AF2173" s="4">
        <v>0</v>
      </c>
      <c r="AG2173" s="4">
        <v>4</v>
      </c>
      <c r="AH2173" s="4">
        <v>83</v>
      </c>
      <c r="AI2173" s="4">
        <v>113</v>
      </c>
      <c r="AJ2173" s="4">
        <v>11</v>
      </c>
      <c r="AK2173" s="4">
        <v>26</v>
      </c>
      <c r="AL2173" s="4">
        <v>56</v>
      </c>
      <c r="AM2173" s="4">
        <v>62</v>
      </c>
      <c r="AN2173" s="4">
        <v>0</v>
      </c>
      <c r="AO2173" s="4">
        <v>4</v>
      </c>
      <c r="AP2173" s="4">
        <v>14</v>
      </c>
      <c r="AQ2173" s="4">
        <v>33</v>
      </c>
      <c r="AR2173" s="3" t="s">
        <v>62</v>
      </c>
      <c r="AS2173" s="3" t="s">
        <v>62</v>
      </c>
      <c r="AT2173" s="3" t="s">
        <v>61</v>
      </c>
      <c r="AU2173" s="6" t="str">
        <f>HYPERLINK("http://catalog.hathitrust.org/Record/000358328","HathiTrust Record")</f>
        <v>HathiTrust Record</v>
      </c>
      <c r="AV2173" s="6" t="str">
        <f>HYPERLINK("http://mcgill.on.worldcat.org/oclc/907139","Catalog Record")</f>
        <v>Catalog Record</v>
      </c>
      <c r="AW2173" s="6" t="str">
        <f>HYPERLINK("http://www.worldcat.org/oclc/907139","WorldCat Record")</f>
        <v>WorldCat Record</v>
      </c>
      <c r="AX2173" s="3" t="s">
        <v>21481</v>
      </c>
      <c r="AY2173" s="3" t="s">
        <v>21482</v>
      </c>
      <c r="AZ2173" s="3" t="s">
        <v>21483</v>
      </c>
      <c r="BA2173" s="3" t="s">
        <v>21483</v>
      </c>
      <c r="BB2173" s="3" t="s">
        <v>21484</v>
      </c>
      <c r="BC2173" s="3" t="s">
        <v>102</v>
      </c>
      <c r="BD2173" s="3" t="s">
        <v>68</v>
      </c>
      <c r="BF2173" s="3" t="s">
        <v>21484</v>
      </c>
      <c r="BG2173" s="3" t="s">
        <v>21485</v>
      </c>
    </row>
    <row r="2174" spans="1:59" ht="58" x14ac:dyDescent="0.35">
      <c r="A2174" s="2" t="s">
        <v>89</v>
      </c>
      <c r="B2174" s="2" t="s">
        <v>90</v>
      </c>
      <c r="C2174" s="2" t="s">
        <v>21486</v>
      </c>
      <c r="D2174" s="2" t="s">
        <v>21487</v>
      </c>
      <c r="E2174" s="2" t="s">
        <v>21488</v>
      </c>
      <c r="G2174" s="3" t="s">
        <v>62</v>
      </c>
      <c r="I2174" s="3" t="s">
        <v>61</v>
      </c>
      <c r="J2174" s="3" t="s">
        <v>61</v>
      </c>
      <c r="K2174" s="3" t="s">
        <v>63</v>
      </c>
      <c r="L2174" s="2" t="s">
        <v>21479</v>
      </c>
      <c r="M2174" s="2" t="s">
        <v>21489</v>
      </c>
      <c r="N2174" s="3" t="s">
        <v>1576</v>
      </c>
      <c r="O2174" s="2" t="s">
        <v>2986</v>
      </c>
      <c r="P2174" s="3" t="s">
        <v>64</v>
      </c>
      <c r="R2174" s="3" t="s">
        <v>13065</v>
      </c>
      <c r="S2174" s="4">
        <v>3</v>
      </c>
      <c r="T2174" s="4">
        <v>19</v>
      </c>
      <c r="U2174" s="5" t="s">
        <v>4999</v>
      </c>
      <c r="V2174" s="5" t="s">
        <v>4999</v>
      </c>
      <c r="W2174" s="5" t="s">
        <v>67</v>
      </c>
      <c r="X2174" s="5" t="s">
        <v>67</v>
      </c>
      <c r="Y2174" s="4">
        <v>444</v>
      </c>
      <c r="Z2174" s="4">
        <v>15</v>
      </c>
      <c r="AA2174" s="4">
        <v>45</v>
      </c>
      <c r="AB2174" s="4">
        <v>1</v>
      </c>
      <c r="AC2174" s="4">
        <v>5</v>
      </c>
      <c r="AD2174" s="4">
        <v>99</v>
      </c>
      <c r="AE2174" s="4">
        <v>140</v>
      </c>
      <c r="AF2174" s="4">
        <v>0</v>
      </c>
      <c r="AG2174" s="4">
        <v>4</v>
      </c>
      <c r="AH2174" s="4">
        <v>87</v>
      </c>
      <c r="AI2174" s="4">
        <v>113</v>
      </c>
      <c r="AJ2174" s="4">
        <v>12</v>
      </c>
      <c r="AK2174" s="4">
        <v>26</v>
      </c>
      <c r="AL2174" s="4">
        <v>55</v>
      </c>
      <c r="AM2174" s="4">
        <v>62</v>
      </c>
      <c r="AN2174" s="4">
        <v>3</v>
      </c>
      <c r="AO2174" s="4">
        <v>4</v>
      </c>
      <c r="AP2174" s="4">
        <v>13</v>
      </c>
      <c r="AQ2174" s="4">
        <v>33</v>
      </c>
      <c r="AR2174" s="3" t="s">
        <v>62</v>
      </c>
      <c r="AS2174" s="3" t="s">
        <v>62</v>
      </c>
      <c r="AT2174" s="3" t="s">
        <v>61</v>
      </c>
      <c r="AU2174" s="6" t="str">
        <f>HYPERLINK("http://catalog.hathitrust.org/Record/000358337","HathiTrust Record")</f>
        <v>HathiTrust Record</v>
      </c>
      <c r="AV2174" s="6" t="str">
        <f>HYPERLINK("http://mcgill.on.worldcat.org/oclc/527235","Catalog Record")</f>
        <v>Catalog Record</v>
      </c>
      <c r="AW2174" s="6" t="str">
        <f>HYPERLINK("http://www.worldcat.org/oclc/527235","WorldCat Record")</f>
        <v>WorldCat Record</v>
      </c>
      <c r="AX2174" s="3" t="s">
        <v>21481</v>
      </c>
      <c r="AY2174" s="3" t="s">
        <v>21490</v>
      </c>
      <c r="AZ2174" s="3" t="s">
        <v>21491</v>
      </c>
      <c r="BA2174" s="3" t="s">
        <v>21491</v>
      </c>
      <c r="BB2174" s="3" t="s">
        <v>21492</v>
      </c>
      <c r="BC2174" s="3" t="s">
        <v>102</v>
      </c>
      <c r="BD2174" s="3" t="s">
        <v>68</v>
      </c>
      <c r="BE2174" s="3" t="s">
        <v>21493</v>
      </c>
      <c r="BF2174" s="3" t="s">
        <v>21492</v>
      </c>
      <c r="BG2174" s="3" t="s">
        <v>21494</v>
      </c>
    </row>
    <row r="2175" spans="1:59" ht="101.5" x14ac:dyDescent="0.35">
      <c r="A2175" s="2" t="s">
        <v>89</v>
      </c>
      <c r="B2175" s="2" t="s">
        <v>12301</v>
      </c>
      <c r="C2175" s="2" t="s">
        <v>21495</v>
      </c>
      <c r="D2175" s="2" t="s">
        <v>21496</v>
      </c>
      <c r="E2175" s="2" t="s">
        <v>21497</v>
      </c>
      <c r="G2175" s="3" t="s">
        <v>62</v>
      </c>
      <c r="I2175" s="3" t="s">
        <v>61</v>
      </c>
      <c r="J2175" s="3" t="s">
        <v>61</v>
      </c>
      <c r="K2175" s="3" t="s">
        <v>63</v>
      </c>
      <c r="L2175" s="2" t="s">
        <v>21498</v>
      </c>
      <c r="M2175" s="2" t="s">
        <v>21499</v>
      </c>
      <c r="N2175" s="3" t="s">
        <v>1038</v>
      </c>
      <c r="O2175" s="2" t="s">
        <v>17254</v>
      </c>
      <c r="P2175" s="3" t="s">
        <v>64</v>
      </c>
      <c r="R2175" s="3" t="s">
        <v>13065</v>
      </c>
      <c r="S2175" s="4">
        <v>23</v>
      </c>
      <c r="T2175" s="4">
        <v>70</v>
      </c>
      <c r="U2175" s="5" t="s">
        <v>1593</v>
      </c>
      <c r="V2175" s="5" t="s">
        <v>21500</v>
      </c>
      <c r="W2175" s="5" t="s">
        <v>67</v>
      </c>
      <c r="X2175" s="5" t="s">
        <v>67</v>
      </c>
      <c r="Y2175" s="4">
        <v>67</v>
      </c>
      <c r="Z2175" s="4">
        <v>5</v>
      </c>
      <c r="AA2175" s="4">
        <v>63</v>
      </c>
      <c r="AB2175" s="4">
        <v>1</v>
      </c>
      <c r="AC2175" s="4">
        <v>13</v>
      </c>
      <c r="AD2175" s="4">
        <v>28</v>
      </c>
      <c r="AE2175" s="4">
        <v>133</v>
      </c>
      <c r="AF2175" s="4">
        <v>0</v>
      </c>
      <c r="AG2175" s="4">
        <v>9</v>
      </c>
      <c r="AH2175" s="4">
        <v>26</v>
      </c>
      <c r="AI2175" s="4">
        <v>102</v>
      </c>
      <c r="AJ2175" s="4">
        <v>3</v>
      </c>
      <c r="AK2175" s="4">
        <v>25</v>
      </c>
      <c r="AL2175" s="4">
        <v>13</v>
      </c>
      <c r="AM2175" s="4">
        <v>55</v>
      </c>
      <c r="AN2175" s="4">
        <v>0</v>
      </c>
      <c r="AO2175" s="4">
        <v>0</v>
      </c>
      <c r="AP2175" s="4">
        <v>4</v>
      </c>
      <c r="AQ2175" s="4">
        <v>36</v>
      </c>
      <c r="AR2175" s="3" t="s">
        <v>62</v>
      </c>
      <c r="AS2175" s="3" t="s">
        <v>62</v>
      </c>
      <c r="AT2175" s="3" t="s">
        <v>62</v>
      </c>
      <c r="AV2175" s="6" t="str">
        <f>HYPERLINK("http://mcgill.on.worldcat.org/oclc/911517789","Catalog Record")</f>
        <v>Catalog Record</v>
      </c>
      <c r="AW2175" s="6" t="str">
        <f>HYPERLINK("http://www.worldcat.org/oclc/911517789","WorldCat Record")</f>
        <v>WorldCat Record</v>
      </c>
      <c r="AX2175" s="3" t="s">
        <v>21501</v>
      </c>
      <c r="AY2175" s="3" t="s">
        <v>21502</v>
      </c>
      <c r="AZ2175" s="3" t="s">
        <v>21503</v>
      </c>
      <c r="BA2175" s="3" t="s">
        <v>21503</v>
      </c>
      <c r="BB2175" s="3" t="s">
        <v>21504</v>
      </c>
      <c r="BC2175" s="3" t="s">
        <v>102</v>
      </c>
      <c r="BD2175" s="3" t="s">
        <v>68</v>
      </c>
      <c r="BE2175" s="3" t="s">
        <v>21505</v>
      </c>
      <c r="BF2175" s="3" t="s">
        <v>21504</v>
      </c>
      <c r="BG2175" s="3" t="s">
        <v>21506</v>
      </c>
    </row>
    <row r="2176" spans="1:59" ht="101.5" x14ac:dyDescent="0.35">
      <c r="A2176" s="2" t="s">
        <v>89</v>
      </c>
      <c r="B2176" s="2" t="s">
        <v>12301</v>
      </c>
      <c r="C2176" s="2" t="s">
        <v>21495</v>
      </c>
      <c r="D2176" s="2" t="s">
        <v>21496</v>
      </c>
      <c r="E2176" s="2" t="s">
        <v>21497</v>
      </c>
      <c r="G2176" s="3" t="s">
        <v>62</v>
      </c>
      <c r="I2176" s="3" t="s">
        <v>61</v>
      </c>
      <c r="J2176" s="3" t="s">
        <v>61</v>
      </c>
      <c r="K2176" s="3" t="s">
        <v>63</v>
      </c>
      <c r="L2176" s="2" t="s">
        <v>21498</v>
      </c>
      <c r="M2176" s="2" t="s">
        <v>21499</v>
      </c>
      <c r="N2176" s="3" t="s">
        <v>1038</v>
      </c>
      <c r="O2176" s="2" t="s">
        <v>17254</v>
      </c>
      <c r="P2176" s="3" t="s">
        <v>64</v>
      </c>
      <c r="R2176" s="3" t="s">
        <v>13065</v>
      </c>
      <c r="S2176" s="4">
        <v>10</v>
      </c>
      <c r="T2176" s="4">
        <v>70</v>
      </c>
      <c r="U2176" s="5" t="s">
        <v>7837</v>
      </c>
      <c r="V2176" s="5" t="s">
        <v>21500</v>
      </c>
      <c r="W2176" s="5" t="s">
        <v>67</v>
      </c>
      <c r="X2176" s="5" t="s">
        <v>67</v>
      </c>
      <c r="Y2176" s="4">
        <v>67</v>
      </c>
      <c r="Z2176" s="4">
        <v>5</v>
      </c>
      <c r="AA2176" s="4">
        <v>63</v>
      </c>
      <c r="AB2176" s="4">
        <v>1</v>
      </c>
      <c r="AC2176" s="4">
        <v>13</v>
      </c>
      <c r="AD2176" s="4">
        <v>28</v>
      </c>
      <c r="AE2176" s="4">
        <v>133</v>
      </c>
      <c r="AF2176" s="4">
        <v>0</v>
      </c>
      <c r="AG2176" s="4">
        <v>9</v>
      </c>
      <c r="AH2176" s="4">
        <v>26</v>
      </c>
      <c r="AI2176" s="4">
        <v>102</v>
      </c>
      <c r="AJ2176" s="4">
        <v>3</v>
      </c>
      <c r="AK2176" s="4">
        <v>25</v>
      </c>
      <c r="AL2176" s="4">
        <v>13</v>
      </c>
      <c r="AM2176" s="4">
        <v>55</v>
      </c>
      <c r="AN2176" s="4">
        <v>0</v>
      </c>
      <c r="AO2176" s="4">
        <v>0</v>
      </c>
      <c r="AP2176" s="4">
        <v>4</v>
      </c>
      <c r="AQ2176" s="4">
        <v>36</v>
      </c>
      <c r="AR2176" s="3" t="s">
        <v>62</v>
      </c>
      <c r="AS2176" s="3" t="s">
        <v>62</v>
      </c>
      <c r="AT2176" s="3" t="s">
        <v>62</v>
      </c>
      <c r="AV2176" s="6" t="str">
        <f>HYPERLINK("http://mcgill.on.worldcat.org/oclc/911517789","Catalog Record")</f>
        <v>Catalog Record</v>
      </c>
      <c r="AW2176" s="6" t="str">
        <f>HYPERLINK("http://www.worldcat.org/oclc/911517789","WorldCat Record")</f>
        <v>WorldCat Record</v>
      </c>
      <c r="AX2176" s="3" t="s">
        <v>21501</v>
      </c>
      <c r="AY2176" s="3" t="s">
        <v>21502</v>
      </c>
      <c r="AZ2176" s="3" t="s">
        <v>21503</v>
      </c>
      <c r="BA2176" s="3" t="s">
        <v>21503</v>
      </c>
      <c r="BB2176" s="3" t="s">
        <v>21507</v>
      </c>
      <c r="BC2176" s="3" t="s">
        <v>102</v>
      </c>
      <c r="BD2176" s="3" t="s">
        <v>68</v>
      </c>
      <c r="BE2176" s="3" t="s">
        <v>21505</v>
      </c>
      <c r="BF2176" s="3" t="s">
        <v>21507</v>
      </c>
      <c r="BG2176" s="3" t="s">
        <v>21508</v>
      </c>
    </row>
    <row r="2177" spans="1:59" ht="101.5" x14ac:dyDescent="0.35">
      <c r="A2177" s="2" t="s">
        <v>89</v>
      </c>
      <c r="B2177" s="2" t="s">
        <v>12301</v>
      </c>
      <c r="C2177" s="2" t="s">
        <v>21495</v>
      </c>
      <c r="D2177" s="2" t="s">
        <v>21496</v>
      </c>
      <c r="E2177" s="2" t="s">
        <v>21497</v>
      </c>
      <c r="G2177" s="3" t="s">
        <v>62</v>
      </c>
      <c r="I2177" s="3" t="s">
        <v>61</v>
      </c>
      <c r="J2177" s="3" t="s">
        <v>61</v>
      </c>
      <c r="K2177" s="3" t="s">
        <v>63</v>
      </c>
      <c r="L2177" s="2" t="s">
        <v>21498</v>
      </c>
      <c r="M2177" s="2" t="s">
        <v>21499</v>
      </c>
      <c r="N2177" s="3" t="s">
        <v>1038</v>
      </c>
      <c r="O2177" s="2" t="s">
        <v>17254</v>
      </c>
      <c r="P2177" s="3" t="s">
        <v>64</v>
      </c>
      <c r="R2177" s="3" t="s">
        <v>13065</v>
      </c>
      <c r="S2177" s="4">
        <v>20</v>
      </c>
      <c r="T2177" s="4">
        <v>70</v>
      </c>
      <c r="U2177" s="5" t="s">
        <v>21500</v>
      </c>
      <c r="V2177" s="5" t="s">
        <v>21500</v>
      </c>
      <c r="W2177" s="5" t="s">
        <v>67</v>
      </c>
      <c r="X2177" s="5" t="s">
        <v>67</v>
      </c>
      <c r="Y2177" s="4">
        <v>67</v>
      </c>
      <c r="Z2177" s="4">
        <v>5</v>
      </c>
      <c r="AA2177" s="4">
        <v>63</v>
      </c>
      <c r="AB2177" s="4">
        <v>1</v>
      </c>
      <c r="AC2177" s="4">
        <v>13</v>
      </c>
      <c r="AD2177" s="4">
        <v>28</v>
      </c>
      <c r="AE2177" s="4">
        <v>133</v>
      </c>
      <c r="AF2177" s="4">
        <v>0</v>
      </c>
      <c r="AG2177" s="4">
        <v>9</v>
      </c>
      <c r="AH2177" s="4">
        <v>26</v>
      </c>
      <c r="AI2177" s="4">
        <v>102</v>
      </c>
      <c r="AJ2177" s="4">
        <v>3</v>
      </c>
      <c r="AK2177" s="4">
        <v>25</v>
      </c>
      <c r="AL2177" s="4">
        <v>13</v>
      </c>
      <c r="AM2177" s="4">
        <v>55</v>
      </c>
      <c r="AN2177" s="4">
        <v>0</v>
      </c>
      <c r="AO2177" s="4">
        <v>0</v>
      </c>
      <c r="AP2177" s="4">
        <v>4</v>
      </c>
      <c r="AQ2177" s="4">
        <v>36</v>
      </c>
      <c r="AR2177" s="3" t="s">
        <v>62</v>
      </c>
      <c r="AS2177" s="3" t="s">
        <v>62</v>
      </c>
      <c r="AT2177" s="3" t="s">
        <v>62</v>
      </c>
      <c r="AV2177" s="6" t="str">
        <f>HYPERLINK("http://mcgill.on.worldcat.org/oclc/911517789","Catalog Record")</f>
        <v>Catalog Record</v>
      </c>
      <c r="AW2177" s="6" t="str">
        <f>HYPERLINK("http://www.worldcat.org/oclc/911517789","WorldCat Record")</f>
        <v>WorldCat Record</v>
      </c>
      <c r="AX2177" s="3" t="s">
        <v>21501</v>
      </c>
      <c r="AY2177" s="3" t="s">
        <v>21502</v>
      </c>
      <c r="AZ2177" s="3" t="s">
        <v>21503</v>
      </c>
      <c r="BA2177" s="3" t="s">
        <v>21503</v>
      </c>
      <c r="BB2177" s="3" t="s">
        <v>21509</v>
      </c>
      <c r="BC2177" s="3" t="s">
        <v>102</v>
      </c>
      <c r="BD2177" s="3" t="s">
        <v>68</v>
      </c>
      <c r="BE2177" s="3" t="s">
        <v>21505</v>
      </c>
      <c r="BF2177" s="3" t="s">
        <v>21509</v>
      </c>
      <c r="BG2177" s="3" t="s">
        <v>21510</v>
      </c>
    </row>
    <row r="2178" spans="1:59" ht="101.5" x14ac:dyDescent="0.35">
      <c r="A2178" s="2" t="s">
        <v>89</v>
      </c>
      <c r="B2178" s="2" t="s">
        <v>12301</v>
      </c>
      <c r="C2178" s="2" t="s">
        <v>21495</v>
      </c>
      <c r="D2178" s="2" t="s">
        <v>21496</v>
      </c>
      <c r="E2178" s="2" t="s">
        <v>21497</v>
      </c>
      <c r="G2178" s="3" t="s">
        <v>62</v>
      </c>
      <c r="I2178" s="3" t="s">
        <v>61</v>
      </c>
      <c r="J2178" s="3" t="s">
        <v>61</v>
      </c>
      <c r="K2178" s="3" t="s">
        <v>63</v>
      </c>
      <c r="L2178" s="2" t="s">
        <v>21498</v>
      </c>
      <c r="M2178" s="2" t="s">
        <v>21499</v>
      </c>
      <c r="N2178" s="3" t="s">
        <v>1038</v>
      </c>
      <c r="O2178" s="2" t="s">
        <v>17254</v>
      </c>
      <c r="P2178" s="3" t="s">
        <v>64</v>
      </c>
      <c r="R2178" s="3" t="s">
        <v>13065</v>
      </c>
      <c r="S2178" s="4">
        <v>17</v>
      </c>
      <c r="T2178" s="4">
        <v>70</v>
      </c>
      <c r="U2178" s="5" t="s">
        <v>10793</v>
      </c>
      <c r="V2178" s="5" t="s">
        <v>21500</v>
      </c>
      <c r="W2178" s="5" t="s">
        <v>67</v>
      </c>
      <c r="X2178" s="5" t="s">
        <v>67</v>
      </c>
      <c r="Y2178" s="4">
        <v>67</v>
      </c>
      <c r="Z2178" s="4">
        <v>5</v>
      </c>
      <c r="AA2178" s="4">
        <v>63</v>
      </c>
      <c r="AB2178" s="4">
        <v>1</v>
      </c>
      <c r="AC2178" s="4">
        <v>13</v>
      </c>
      <c r="AD2178" s="4">
        <v>28</v>
      </c>
      <c r="AE2178" s="4">
        <v>133</v>
      </c>
      <c r="AF2178" s="4">
        <v>0</v>
      </c>
      <c r="AG2178" s="4">
        <v>9</v>
      </c>
      <c r="AH2178" s="4">
        <v>26</v>
      </c>
      <c r="AI2178" s="4">
        <v>102</v>
      </c>
      <c r="AJ2178" s="4">
        <v>3</v>
      </c>
      <c r="AK2178" s="4">
        <v>25</v>
      </c>
      <c r="AL2178" s="4">
        <v>13</v>
      </c>
      <c r="AM2178" s="4">
        <v>55</v>
      </c>
      <c r="AN2178" s="4">
        <v>0</v>
      </c>
      <c r="AO2178" s="4">
        <v>0</v>
      </c>
      <c r="AP2178" s="4">
        <v>4</v>
      </c>
      <c r="AQ2178" s="4">
        <v>36</v>
      </c>
      <c r="AR2178" s="3" t="s">
        <v>62</v>
      </c>
      <c r="AS2178" s="3" t="s">
        <v>62</v>
      </c>
      <c r="AT2178" s="3" t="s">
        <v>62</v>
      </c>
      <c r="AV2178" s="6" t="str">
        <f>HYPERLINK("http://mcgill.on.worldcat.org/oclc/911517789","Catalog Record")</f>
        <v>Catalog Record</v>
      </c>
      <c r="AW2178" s="6" t="str">
        <f>HYPERLINK("http://www.worldcat.org/oclc/911517789","WorldCat Record")</f>
        <v>WorldCat Record</v>
      </c>
      <c r="AX2178" s="3" t="s">
        <v>21501</v>
      </c>
      <c r="AY2178" s="3" t="s">
        <v>21502</v>
      </c>
      <c r="AZ2178" s="3" t="s">
        <v>21503</v>
      </c>
      <c r="BA2178" s="3" t="s">
        <v>21503</v>
      </c>
      <c r="BB2178" s="3" t="s">
        <v>21511</v>
      </c>
      <c r="BC2178" s="3" t="s">
        <v>102</v>
      </c>
      <c r="BD2178" s="3" t="s">
        <v>68</v>
      </c>
      <c r="BE2178" s="3" t="s">
        <v>21505</v>
      </c>
      <c r="BF2178" s="3" t="s">
        <v>21511</v>
      </c>
      <c r="BG2178" s="3" t="s">
        <v>21512</v>
      </c>
    </row>
    <row r="2179" spans="1:59" ht="101.5" x14ac:dyDescent="0.35">
      <c r="A2179" s="2" t="s">
        <v>89</v>
      </c>
      <c r="B2179" s="2" t="s">
        <v>12301</v>
      </c>
      <c r="C2179" s="2" t="s">
        <v>21513</v>
      </c>
      <c r="D2179" s="2" t="s">
        <v>21514</v>
      </c>
      <c r="E2179" s="2" t="s">
        <v>21515</v>
      </c>
      <c r="F2179" s="3" t="s">
        <v>21516</v>
      </c>
      <c r="G2179" s="3" t="s">
        <v>62</v>
      </c>
      <c r="I2179" s="3" t="s">
        <v>61</v>
      </c>
      <c r="J2179" s="3" t="s">
        <v>62</v>
      </c>
      <c r="K2179" s="3" t="s">
        <v>63</v>
      </c>
      <c r="L2179" s="2" t="s">
        <v>21517</v>
      </c>
      <c r="M2179" s="2" t="s">
        <v>21518</v>
      </c>
      <c r="N2179" s="3" t="s">
        <v>712</v>
      </c>
      <c r="O2179" s="2" t="s">
        <v>17254</v>
      </c>
      <c r="P2179" s="3" t="s">
        <v>64</v>
      </c>
      <c r="R2179" s="3" t="s">
        <v>13065</v>
      </c>
      <c r="S2179" s="4">
        <v>10</v>
      </c>
      <c r="T2179" s="4">
        <v>41</v>
      </c>
      <c r="U2179" s="5" t="s">
        <v>8351</v>
      </c>
      <c r="V2179" s="5" t="s">
        <v>1593</v>
      </c>
      <c r="W2179" s="5" t="s">
        <v>67</v>
      </c>
      <c r="X2179" s="5" t="s">
        <v>67</v>
      </c>
      <c r="Y2179" s="4">
        <v>9</v>
      </c>
      <c r="Z2179" s="4">
        <v>1</v>
      </c>
      <c r="AA2179" s="4">
        <v>1</v>
      </c>
      <c r="AB2179" s="4">
        <v>1</v>
      </c>
      <c r="AC2179" s="4">
        <v>1</v>
      </c>
      <c r="AD2179" s="4">
        <v>3</v>
      </c>
      <c r="AE2179" s="4">
        <v>3</v>
      </c>
      <c r="AF2179" s="4">
        <v>0</v>
      </c>
      <c r="AG2179" s="4">
        <v>0</v>
      </c>
      <c r="AH2179" s="4">
        <v>3</v>
      </c>
      <c r="AI2179" s="4">
        <v>3</v>
      </c>
      <c r="AJ2179" s="4">
        <v>0</v>
      </c>
      <c r="AK2179" s="4">
        <v>0</v>
      </c>
      <c r="AL2179" s="4">
        <v>1</v>
      </c>
      <c r="AM2179" s="4">
        <v>1</v>
      </c>
      <c r="AN2179" s="4">
        <v>0</v>
      </c>
      <c r="AO2179" s="4">
        <v>0</v>
      </c>
      <c r="AP2179" s="4">
        <v>0</v>
      </c>
      <c r="AQ2179" s="4">
        <v>0</v>
      </c>
      <c r="AR2179" s="3" t="s">
        <v>62</v>
      </c>
      <c r="AS2179" s="3" t="s">
        <v>62</v>
      </c>
      <c r="AT2179" s="3" t="s">
        <v>62</v>
      </c>
      <c r="AV2179" s="6" t="str">
        <f>HYPERLINK("http://mcgill.on.worldcat.org/oclc/905552039","Catalog Record")</f>
        <v>Catalog Record</v>
      </c>
      <c r="AW2179" s="6" t="str">
        <f>HYPERLINK("http://www.worldcat.org/oclc/905552039","WorldCat Record")</f>
        <v>WorldCat Record</v>
      </c>
      <c r="AX2179" s="3" t="s">
        <v>21519</v>
      </c>
      <c r="AY2179" s="3" t="s">
        <v>21520</v>
      </c>
      <c r="AZ2179" s="3" t="s">
        <v>21521</v>
      </c>
      <c r="BA2179" s="3" t="s">
        <v>21521</v>
      </c>
      <c r="BB2179" s="3" t="s">
        <v>21522</v>
      </c>
      <c r="BC2179" s="3" t="s">
        <v>102</v>
      </c>
      <c r="BD2179" s="3" t="s">
        <v>68</v>
      </c>
      <c r="BE2179" s="3" t="s">
        <v>21523</v>
      </c>
      <c r="BF2179" s="3" t="s">
        <v>21522</v>
      </c>
      <c r="BG2179" s="3" t="s">
        <v>21524</v>
      </c>
    </row>
    <row r="2180" spans="1:59" ht="101.5" x14ac:dyDescent="0.35">
      <c r="A2180" s="2" t="s">
        <v>89</v>
      </c>
      <c r="B2180" s="2" t="s">
        <v>12301</v>
      </c>
      <c r="C2180" s="2" t="s">
        <v>21513</v>
      </c>
      <c r="D2180" s="2" t="s">
        <v>21514</v>
      </c>
      <c r="E2180" s="2" t="s">
        <v>21515</v>
      </c>
      <c r="F2180" s="3" t="s">
        <v>21516</v>
      </c>
      <c r="G2180" s="3" t="s">
        <v>62</v>
      </c>
      <c r="I2180" s="3" t="s">
        <v>61</v>
      </c>
      <c r="J2180" s="3" t="s">
        <v>62</v>
      </c>
      <c r="K2180" s="3" t="s">
        <v>63</v>
      </c>
      <c r="L2180" s="2" t="s">
        <v>21517</v>
      </c>
      <c r="M2180" s="2" t="s">
        <v>21518</v>
      </c>
      <c r="N2180" s="3" t="s">
        <v>712</v>
      </c>
      <c r="O2180" s="2" t="s">
        <v>17254</v>
      </c>
      <c r="P2180" s="3" t="s">
        <v>64</v>
      </c>
      <c r="R2180" s="3" t="s">
        <v>13065</v>
      </c>
      <c r="S2180" s="4">
        <v>9</v>
      </c>
      <c r="T2180" s="4">
        <v>41</v>
      </c>
      <c r="U2180" s="5" t="s">
        <v>987</v>
      </c>
      <c r="V2180" s="5" t="s">
        <v>1593</v>
      </c>
      <c r="W2180" s="5" t="s">
        <v>67</v>
      </c>
      <c r="X2180" s="5" t="s">
        <v>67</v>
      </c>
      <c r="Y2180" s="4">
        <v>9</v>
      </c>
      <c r="Z2180" s="4">
        <v>1</v>
      </c>
      <c r="AA2180" s="4">
        <v>1</v>
      </c>
      <c r="AB2180" s="4">
        <v>1</v>
      </c>
      <c r="AC2180" s="4">
        <v>1</v>
      </c>
      <c r="AD2180" s="4">
        <v>3</v>
      </c>
      <c r="AE2180" s="4">
        <v>3</v>
      </c>
      <c r="AF2180" s="4">
        <v>0</v>
      </c>
      <c r="AG2180" s="4">
        <v>0</v>
      </c>
      <c r="AH2180" s="4">
        <v>3</v>
      </c>
      <c r="AI2180" s="4">
        <v>3</v>
      </c>
      <c r="AJ2180" s="4">
        <v>0</v>
      </c>
      <c r="AK2180" s="4">
        <v>0</v>
      </c>
      <c r="AL2180" s="4">
        <v>1</v>
      </c>
      <c r="AM2180" s="4">
        <v>1</v>
      </c>
      <c r="AN2180" s="4">
        <v>0</v>
      </c>
      <c r="AO2180" s="4">
        <v>0</v>
      </c>
      <c r="AP2180" s="4">
        <v>0</v>
      </c>
      <c r="AQ2180" s="4">
        <v>0</v>
      </c>
      <c r="AR2180" s="3" t="s">
        <v>62</v>
      </c>
      <c r="AS2180" s="3" t="s">
        <v>62</v>
      </c>
      <c r="AT2180" s="3" t="s">
        <v>62</v>
      </c>
      <c r="AV2180" s="6" t="str">
        <f>HYPERLINK("http://mcgill.on.worldcat.org/oclc/905552039","Catalog Record")</f>
        <v>Catalog Record</v>
      </c>
      <c r="AW2180" s="6" t="str">
        <f>HYPERLINK("http://www.worldcat.org/oclc/905552039","WorldCat Record")</f>
        <v>WorldCat Record</v>
      </c>
      <c r="AX2180" s="3" t="s">
        <v>21519</v>
      </c>
      <c r="AY2180" s="3" t="s">
        <v>21520</v>
      </c>
      <c r="AZ2180" s="3" t="s">
        <v>21521</v>
      </c>
      <c r="BA2180" s="3" t="s">
        <v>21521</v>
      </c>
      <c r="BB2180" s="3" t="s">
        <v>21525</v>
      </c>
      <c r="BC2180" s="3" t="s">
        <v>102</v>
      </c>
      <c r="BD2180" s="3" t="s">
        <v>68</v>
      </c>
      <c r="BE2180" s="3" t="s">
        <v>21523</v>
      </c>
      <c r="BF2180" s="3" t="s">
        <v>21525</v>
      </c>
      <c r="BG2180" s="3" t="s">
        <v>21526</v>
      </c>
    </row>
    <row r="2181" spans="1:59" ht="101.5" x14ac:dyDescent="0.35">
      <c r="A2181" s="2" t="s">
        <v>89</v>
      </c>
      <c r="B2181" s="2" t="s">
        <v>12301</v>
      </c>
      <c r="C2181" s="2" t="s">
        <v>21513</v>
      </c>
      <c r="D2181" s="2" t="s">
        <v>21514</v>
      </c>
      <c r="E2181" s="2" t="s">
        <v>21515</v>
      </c>
      <c r="F2181" s="3" t="s">
        <v>21516</v>
      </c>
      <c r="G2181" s="3" t="s">
        <v>62</v>
      </c>
      <c r="I2181" s="3" t="s">
        <v>61</v>
      </c>
      <c r="J2181" s="3" t="s">
        <v>62</v>
      </c>
      <c r="K2181" s="3" t="s">
        <v>63</v>
      </c>
      <c r="L2181" s="2" t="s">
        <v>21517</v>
      </c>
      <c r="M2181" s="2" t="s">
        <v>21518</v>
      </c>
      <c r="N2181" s="3" t="s">
        <v>712</v>
      </c>
      <c r="O2181" s="2" t="s">
        <v>17254</v>
      </c>
      <c r="P2181" s="3" t="s">
        <v>64</v>
      </c>
      <c r="R2181" s="3" t="s">
        <v>13065</v>
      </c>
      <c r="S2181" s="4">
        <v>4</v>
      </c>
      <c r="T2181" s="4">
        <v>41</v>
      </c>
      <c r="U2181" s="5" t="s">
        <v>1407</v>
      </c>
      <c r="V2181" s="5" t="s">
        <v>1593</v>
      </c>
      <c r="W2181" s="5" t="s">
        <v>67</v>
      </c>
      <c r="X2181" s="5" t="s">
        <v>67</v>
      </c>
      <c r="Y2181" s="4">
        <v>9</v>
      </c>
      <c r="Z2181" s="4">
        <v>1</v>
      </c>
      <c r="AA2181" s="4">
        <v>1</v>
      </c>
      <c r="AB2181" s="4">
        <v>1</v>
      </c>
      <c r="AC2181" s="4">
        <v>1</v>
      </c>
      <c r="AD2181" s="4">
        <v>3</v>
      </c>
      <c r="AE2181" s="4">
        <v>3</v>
      </c>
      <c r="AF2181" s="4">
        <v>0</v>
      </c>
      <c r="AG2181" s="4">
        <v>0</v>
      </c>
      <c r="AH2181" s="4">
        <v>3</v>
      </c>
      <c r="AI2181" s="4">
        <v>3</v>
      </c>
      <c r="AJ2181" s="4">
        <v>0</v>
      </c>
      <c r="AK2181" s="4">
        <v>0</v>
      </c>
      <c r="AL2181" s="4">
        <v>1</v>
      </c>
      <c r="AM2181" s="4">
        <v>1</v>
      </c>
      <c r="AN2181" s="4">
        <v>0</v>
      </c>
      <c r="AO2181" s="4">
        <v>0</v>
      </c>
      <c r="AP2181" s="4">
        <v>0</v>
      </c>
      <c r="AQ2181" s="4">
        <v>0</v>
      </c>
      <c r="AR2181" s="3" t="s">
        <v>62</v>
      </c>
      <c r="AS2181" s="3" t="s">
        <v>62</v>
      </c>
      <c r="AT2181" s="3" t="s">
        <v>62</v>
      </c>
      <c r="AV2181" s="6" t="str">
        <f>HYPERLINK("http://mcgill.on.worldcat.org/oclc/905552039","Catalog Record")</f>
        <v>Catalog Record</v>
      </c>
      <c r="AW2181" s="6" t="str">
        <f>HYPERLINK("http://www.worldcat.org/oclc/905552039","WorldCat Record")</f>
        <v>WorldCat Record</v>
      </c>
      <c r="AX2181" s="3" t="s">
        <v>21519</v>
      </c>
      <c r="AY2181" s="3" t="s">
        <v>21520</v>
      </c>
      <c r="AZ2181" s="3" t="s">
        <v>21521</v>
      </c>
      <c r="BA2181" s="3" t="s">
        <v>21521</v>
      </c>
      <c r="BB2181" s="3" t="s">
        <v>21527</v>
      </c>
      <c r="BC2181" s="3" t="s">
        <v>102</v>
      </c>
      <c r="BD2181" s="3" t="s">
        <v>68</v>
      </c>
      <c r="BE2181" s="3" t="s">
        <v>21523</v>
      </c>
      <c r="BF2181" s="3" t="s">
        <v>21527</v>
      </c>
      <c r="BG2181" s="3" t="s">
        <v>21528</v>
      </c>
    </row>
    <row r="2182" spans="1:59" ht="101.5" x14ac:dyDescent="0.35">
      <c r="A2182" s="2" t="s">
        <v>89</v>
      </c>
      <c r="B2182" s="2" t="s">
        <v>12301</v>
      </c>
      <c r="C2182" s="2" t="s">
        <v>21513</v>
      </c>
      <c r="D2182" s="2" t="s">
        <v>21514</v>
      </c>
      <c r="E2182" s="2" t="s">
        <v>21515</v>
      </c>
      <c r="F2182" s="3" t="s">
        <v>21516</v>
      </c>
      <c r="G2182" s="3" t="s">
        <v>62</v>
      </c>
      <c r="I2182" s="3" t="s">
        <v>61</v>
      </c>
      <c r="J2182" s="3" t="s">
        <v>62</v>
      </c>
      <c r="K2182" s="3" t="s">
        <v>63</v>
      </c>
      <c r="L2182" s="2" t="s">
        <v>21517</v>
      </c>
      <c r="M2182" s="2" t="s">
        <v>21518</v>
      </c>
      <c r="N2182" s="3" t="s">
        <v>712</v>
      </c>
      <c r="O2182" s="2" t="s">
        <v>17254</v>
      </c>
      <c r="P2182" s="3" t="s">
        <v>64</v>
      </c>
      <c r="R2182" s="3" t="s">
        <v>13065</v>
      </c>
      <c r="S2182" s="4">
        <v>18</v>
      </c>
      <c r="T2182" s="4">
        <v>41</v>
      </c>
      <c r="U2182" s="5" t="s">
        <v>1593</v>
      </c>
      <c r="V2182" s="5" t="s">
        <v>1593</v>
      </c>
      <c r="W2182" s="5" t="s">
        <v>67</v>
      </c>
      <c r="X2182" s="5" t="s">
        <v>67</v>
      </c>
      <c r="Y2182" s="4">
        <v>9</v>
      </c>
      <c r="Z2182" s="4">
        <v>1</v>
      </c>
      <c r="AA2182" s="4">
        <v>1</v>
      </c>
      <c r="AB2182" s="4">
        <v>1</v>
      </c>
      <c r="AC2182" s="4">
        <v>1</v>
      </c>
      <c r="AD2182" s="4">
        <v>3</v>
      </c>
      <c r="AE2182" s="4">
        <v>3</v>
      </c>
      <c r="AF2182" s="4">
        <v>0</v>
      </c>
      <c r="AG2182" s="4">
        <v>0</v>
      </c>
      <c r="AH2182" s="4">
        <v>3</v>
      </c>
      <c r="AI2182" s="4">
        <v>3</v>
      </c>
      <c r="AJ2182" s="4">
        <v>0</v>
      </c>
      <c r="AK2182" s="4">
        <v>0</v>
      </c>
      <c r="AL2182" s="4">
        <v>1</v>
      </c>
      <c r="AM2182" s="4">
        <v>1</v>
      </c>
      <c r="AN2182" s="4">
        <v>0</v>
      </c>
      <c r="AO2182" s="4">
        <v>0</v>
      </c>
      <c r="AP2182" s="4">
        <v>0</v>
      </c>
      <c r="AQ2182" s="4">
        <v>0</v>
      </c>
      <c r="AR2182" s="3" t="s">
        <v>62</v>
      </c>
      <c r="AS2182" s="3" t="s">
        <v>62</v>
      </c>
      <c r="AT2182" s="3" t="s">
        <v>62</v>
      </c>
      <c r="AV2182" s="6" t="str">
        <f>HYPERLINK("http://mcgill.on.worldcat.org/oclc/905552039","Catalog Record")</f>
        <v>Catalog Record</v>
      </c>
      <c r="AW2182" s="6" t="str">
        <f>HYPERLINK("http://www.worldcat.org/oclc/905552039","WorldCat Record")</f>
        <v>WorldCat Record</v>
      </c>
      <c r="AX2182" s="3" t="s">
        <v>21519</v>
      </c>
      <c r="AY2182" s="3" t="s">
        <v>21520</v>
      </c>
      <c r="AZ2182" s="3" t="s">
        <v>21521</v>
      </c>
      <c r="BA2182" s="3" t="s">
        <v>21521</v>
      </c>
      <c r="BB2182" s="3" t="s">
        <v>21529</v>
      </c>
      <c r="BC2182" s="3" t="s">
        <v>102</v>
      </c>
      <c r="BD2182" s="3" t="s">
        <v>68</v>
      </c>
      <c r="BE2182" s="3" t="s">
        <v>21523</v>
      </c>
      <c r="BF2182" s="3" t="s">
        <v>21529</v>
      </c>
      <c r="BG2182" s="3" t="s">
        <v>21530</v>
      </c>
    </row>
    <row r="2183" spans="1:59" ht="58" x14ac:dyDescent="0.35">
      <c r="A2183" s="2" t="s">
        <v>89</v>
      </c>
      <c r="B2183" s="2" t="s">
        <v>90</v>
      </c>
      <c r="C2183" s="2" t="s">
        <v>21531</v>
      </c>
      <c r="D2183" s="2" t="s">
        <v>21532</v>
      </c>
      <c r="E2183" s="2" t="s">
        <v>21533</v>
      </c>
      <c r="G2183" s="3" t="s">
        <v>62</v>
      </c>
      <c r="I2183" s="3" t="s">
        <v>62</v>
      </c>
      <c r="J2183" s="3" t="s">
        <v>62</v>
      </c>
      <c r="K2183" s="3" t="s">
        <v>63</v>
      </c>
      <c r="M2183" s="2" t="s">
        <v>21534</v>
      </c>
      <c r="N2183" s="3" t="s">
        <v>115</v>
      </c>
      <c r="P2183" s="3" t="s">
        <v>64</v>
      </c>
      <c r="Q2183" s="2" t="s">
        <v>1859</v>
      </c>
      <c r="R2183" s="3" t="s">
        <v>13065</v>
      </c>
      <c r="S2183" s="4">
        <v>44</v>
      </c>
      <c r="T2183" s="4">
        <v>44</v>
      </c>
      <c r="U2183" s="5" t="s">
        <v>7194</v>
      </c>
      <c r="V2183" s="5" t="s">
        <v>7194</v>
      </c>
      <c r="W2183" s="5" t="s">
        <v>67</v>
      </c>
      <c r="X2183" s="5" t="s">
        <v>67</v>
      </c>
      <c r="Y2183" s="4">
        <v>710</v>
      </c>
      <c r="Z2183" s="4">
        <v>43</v>
      </c>
      <c r="AA2183" s="4">
        <v>115</v>
      </c>
      <c r="AB2183" s="4">
        <v>4</v>
      </c>
      <c r="AC2183" s="4">
        <v>18</v>
      </c>
      <c r="AD2183" s="4">
        <v>134</v>
      </c>
      <c r="AE2183" s="4">
        <v>158</v>
      </c>
      <c r="AF2183" s="4">
        <v>2</v>
      </c>
      <c r="AG2183" s="4">
        <v>8</v>
      </c>
      <c r="AH2183" s="4">
        <v>107</v>
      </c>
      <c r="AI2183" s="4">
        <v>114</v>
      </c>
      <c r="AJ2183" s="4">
        <v>21</v>
      </c>
      <c r="AK2183" s="4">
        <v>28</v>
      </c>
      <c r="AL2183" s="4">
        <v>59</v>
      </c>
      <c r="AM2183" s="4">
        <v>61</v>
      </c>
      <c r="AN2183" s="4">
        <v>0</v>
      </c>
      <c r="AO2183" s="4">
        <v>0</v>
      </c>
      <c r="AP2183" s="4">
        <v>33</v>
      </c>
      <c r="AQ2183" s="4">
        <v>51</v>
      </c>
      <c r="AR2183" s="3" t="s">
        <v>62</v>
      </c>
      <c r="AS2183" s="3" t="s">
        <v>62</v>
      </c>
      <c r="AT2183" s="3" t="s">
        <v>62</v>
      </c>
      <c r="AV2183" s="6" t="str">
        <f>HYPERLINK("http://mcgill.on.worldcat.org/oclc/17982634","Catalog Record")</f>
        <v>Catalog Record</v>
      </c>
      <c r="AW2183" s="6" t="str">
        <f>HYPERLINK("http://www.worldcat.org/oclc/17982634","WorldCat Record")</f>
        <v>WorldCat Record</v>
      </c>
      <c r="AX2183" s="3" t="s">
        <v>21535</v>
      </c>
      <c r="AY2183" s="3" t="s">
        <v>21536</v>
      </c>
      <c r="AZ2183" s="3" t="s">
        <v>21537</v>
      </c>
      <c r="BA2183" s="3" t="s">
        <v>21537</v>
      </c>
      <c r="BB2183" s="3" t="s">
        <v>21538</v>
      </c>
      <c r="BC2183" s="3" t="s">
        <v>102</v>
      </c>
      <c r="BD2183" s="3" t="s">
        <v>231</v>
      </c>
      <c r="BE2183" s="3" t="s">
        <v>21539</v>
      </c>
      <c r="BF2183" s="3" t="s">
        <v>21538</v>
      </c>
      <c r="BG2183" s="3" t="s">
        <v>21540</v>
      </c>
    </row>
    <row r="2184" spans="1:59" ht="58" x14ac:dyDescent="0.35">
      <c r="A2184" s="2" t="s">
        <v>89</v>
      </c>
      <c r="B2184" s="2" t="s">
        <v>90</v>
      </c>
      <c r="C2184" s="2" t="s">
        <v>21541</v>
      </c>
      <c r="D2184" s="2" t="s">
        <v>21542</v>
      </c>
      <c r="E2184" s="2" t="s">
        <v>21543</v>
      </c>
      <c r="G2184" s="3" t="s">
        <v>62</v>
      </c>
      <c r="I2184" s="3" t="s">
        <v>61</v>
      </c>
      <c r="J2184" s="3" t="s">
        <v>61</v>
      </c>
      <c r="K2184" s="3" t="s">
        <v>63</v>
      </c>
      <c r="L2184" s="2" t="s">
        <v>21544</v>
      </c>
      <c r="M2184" s="2" t="s">
        <v>21545</v>
      </c>
      <c r="N2184" s="3" t="s">
        <v>2305</v>
      </c>
      <c r="O2184" s="2" t="s">
        <v>21546</v>
      </c>
      <c r="P2184" s="3" t="s">
        <v>64</v>
      </c>
      <c r="Q2184" s="2" t="s">
        <v>21547</v>
      </c>
      <c r="R2184" s="3" t="s">
        <v>13065</v>
      </c>
      <c r="S2184" s="4">
        <v>4</v>
      </c>
      <c r="T2184" s="4">
        <v>10</v>
      </c>
      <c r="U2184" s="5" t="s">
        <v>21548</v>
      </c>
      <c r="V2184" s="5" t="s">
        <v>21548</v>
      </c>
      <c r="W2184" s="5" t="s">
        <v>67</v>
      </c>
      <c r="X2184" s="5" t="s">
        <v>67</v>
      </c>
      <c r="Y2184" s="4">
        <v>410</v>
      </c>
      <c r="Z2184" s="4">
        <v>25</v>
      </c>
      <c r="AA2184" s="4">
        <v>49</v>
      </c>
      <c r="AB2184" s="4">
        <v>2</v>
      </c>
      <c r="AC2184" s="4">
        <v>7</v>
      </c>
      <c r="AD2184" s="4">
        <v>97</v>
      </c>
      <c r="AE2184" s="4">
        <v>144</v>
      </c>
      <c r="AF2184" s="4">
        <v>1</v>
      </c>
      <c r="AG2184" s="4">
        <v>5</v>
      </c>
      <c r="AH2184" s="4">
        <v>82</v>
      </c>
      <c r="AI2184" s="4">
        <v>113</v>
      </c>
      <c r="AJ2184" s="4">
        <v>15</v>
      </c>
      <c r="AK2184" s="4">
        <v>28</v>
      </c>
      <c r="AL2184" s="4">
        <v>48</v>
      </c>
      <c r="AM2184" s="4">
        <v>62</v>
      </c>
      <c r="AN2184" s="4">
        <v>0</v>
      </c>
      <c r="AO2184" s="4">
        <v>3</v>
      </c>
      <c r="AP2184" s="4">
        <v>19</v>
      </c>
      <c r="AQ2184" s="4">
        <v>37</v>
      </c>
      <c r="AR2184" s="3" t="s">
        <v>62</v>
      </c>
      <c r="AS2184" s="3" t="s">
        <v>62</v>
      </c>
      <c r="AT2184" s="3" t="s">
        <v>61</v>
      </c>
      <c r="AU2184" s="6" t="str">
        <f>HYPERLINK("http://catalog.hathitrust.org/Record/000580417","HathiTrust Record")</f>
        <v>HathiTrust Record</v>
      </c>
      <c r="AV2184" s="6" t="str">
        <f>HYPERLINK("http://mcgill.on.worldcat.org/oclc/1183155","Catalog Record")</f>
        <v>Catalog Record</v>
      </c>
      <c r="AW2184" s="6" t="str">
        <f>HYPERLINK("http://www.worldcat.org/oclc/1183155","WorldCat Record")</f>
        <v>WorldCat Record</v>
      </c>
      <c r="AX2184" s="3" t="s">
        <v>21549</v>
      </c>
      <c r="AY2184" s="3" t="s">
        <v>21550</v>
      </c>
      <c r="AZ2184" s="3" t="s">
        <v>21551</v>
      </c>
      <c r="BA2184" s="3" t="s">
        <v>21551</v>
      </c>
      <c r="BB2184" s="3" t="s">
        <v>21552</v>
      </c>
      <c r="BC2184" s="3" t="s">
        <v>102</v>
      </c>
      <c r="BD2184" s="3" t="s">
        <v>68</v>
      </c>
      <c r="BF2184" s="3" t="s">
        <v>21552</v>
      </c>
      <c r="BG2184" s="3" t="s">
        <v>21553</v>
      </c>
    </row>
    <row r="2185" spans="1:59" ht="58" x14ac:dyDescent="0.35">
      <c r="A2185" s="2" t="s">
        <v>89</v>
      </c>
      <c r="B2185" s="2" t="s">
        <v>90</v>
      </c>
      <c r="C2185" s="2" t="s">
        <v>21554</v>
      </c>
      <c r="D2185" s="2" t="s">
        <v>21555</v>
      </c>
      <c r="E2185" s="2" t="s">
        <v>21556</v>
      </c>
      <c r="F2185" s="3" t="s">
        <v>15572</v>
      </c>
      <c r="G2185" s="3" t="s">
        <v>61</v>
      </c>
      <c r="I2185" s="3" t="s">
        <v>61</v>
      </c>
      <c r="J2185" s="3" t="s">
        <v>62</v>
      </c>
      <c r="K2185" s="3" t="s">
        <v>63</v>
      </c>
      <c r="L2185" s="2" t="s">
        <v>21557</v>
      </c>
      <c r="M2185" s="2" t="s">
        <v>21558</v>
      </c>
      <c r="N2185" s="3" t="s">
        <v>396</v>
      </c>
      <c r="O2185" s="2" t="s">
        <v>2986</v>
      </c>
      <c r="P2185" s="3" t="s">
        <v>64</v>
      </c>
      <c r="Q2185" s="2" t="s">
        <v>21559</v>
      </c>
      <c r="R2185" s="3" t="s">
        <v>13065</v>
      </c>
      <c r="S2185" s="4">
        <v>20</v>
      </c>
      <c r="T2185" s="4">
        <v>88</v>
      </c>
      <c r="U2185" s="5" t="s">
        <v>21560</v>
      </c>
      <c r="V2185" s="5" t="s">
        <v>21561</v>
      </c>
      <c r="W2185" s="5" t="s">
        <v>67</v>
      </c>
      <c r="X2185" s="5" t="s">
        <v>67</v>
      </c>
      <c r="Y2185" s="4">
        <v>294</v>
      </c>
      <c r="Z2185" s="4">
        <v>31</v>
      </c>
      <c r="AA2185" s="4">
        <v>34</v>
      </c>
      <c r="AB2185" s="4">
        <v>2</v>
      </c>
      <c r="AC2185" s="4">
        <v>5</v>
      </c>
      <c r="AD2185" s="4">
        <v>96</v>
      </c>
      <c r="AE2185" s="4">
        <v>99</v>
      </c>
      <c r="AF2185" s="4">
        <v>1</v>
      </c>
      <c r="AG2185" s="4">
        <v>4</v>
      </c>
      <c r="AH2185" s="4">
        <v>79</v>
      </c>
      <c r="AI2185" s="4">
        <v>80</v>
      </c>
      <c r="AJ2185" s="4">
        <v>17</v>
      </c>
      <c r="AK2185" s="4">
        <v>20</v>
      </c>
      <c r="AL2185" s="4">
        <v>49</v>
      </c>
      <c r="AM2185" s="4">
        <v>49</v>
      </c>
      <c r="AN2185" s="4">
        <v>0</v>
      </c>
      <c r="AO2185" s="4">
        <v>0</v>
      </c>
      <c r="AP2185" s="4">
        <v>23</v>
      </c>
      <c r="AQ2185" s="4">
        <v>25</v>
      </c>
      <c r="AR2185" s="3" t="s">
        <v>62</v>
      </c>
      <c r="AS2185" s="3" t="s">
        <v>62</v>
      </c>
      <c r="AT2185" s="3" t="s">
        <v>62</v>
      </c>
      <c r="AV2185" s="6" t="str">
        <f>HYPERLINK("http://mcgill.on.worldcat.org/oclc/12134893","Catalog Record")</f>
        <v>Catalog Record</v>
      </c>
      <c r="AW2185" s="6" t="str">
        <f>HYPERLINK("http://www.worldcat.org/oclc/12134893","WorldCat Record")</f>
        <v>WorldCat Record</v>
      </c>
      <c r="AX2185" s="3" t="s">
        <v>21562</v>
      </c>
      <c r="AY2185" s="3" t="s">
        <v>21563</v>
      </c>
      <c r="AZ2185" s="3" t="s">
        <v>21564</v>
      </c>
      <c r="BA2185" s="3" t="s">
        <v>21564</v>
      </c>
      <c r="BB2185" s="3" t="s">
        <v>21565</v>
      </c>
      <c r="BC2185" s="3" t="s">
        <v>102</v>
      </c>
      <c r="BD2185" s="3" t="s">
        <v>68</v>
      </c>
      <c r="BE2185" s="3" t="s">
        <v>21566</v>
      </c>
      <c r="BF2185" s="3" t="s">
        <v>21565</v>
      </c>
      <c r="BG2185" s="3" t="s">
        <v>21567</v>
      </c>
    </row>
    <row r="2186" spans="1:59" ht="58" x14ac:dyDescent="0.35">
      <c r="A2186" s="2" t="s">
        <v>89</v>
      </c>
      <c r="B2186" s="2" t="s">
        <v>90</v>
      </c>
      <c r="C2186" s="2" t="s">
        <v>21568</v>
      </c>
      <c r="D2186" s="2" t="s">
        <v>21569</v>
      </c>
      <c r="E2186" s="2" t="s">
        <v>21570</v>
      </c>
      <c r="G2186" s="3" t="s">
        <v>62</v>
      </c>
      <c r="I2186" s="3" t="s">
        <v>62</v>
      </c>
      <c r="J2186" s="3" t="s">
        <v>61</v>
      </c>
      <c r="K2186" s="3" t="s">
        <v>63</v>
      </c>
      <c r="L2186" s="2" t="s">
        <v>21571</v>
      </c>
      <c r="M2186" s="2" t="s">
        <v>21572</v>
      </c>
      <c r="N2186" s="3" t="s">
        <v>2445</v>
      </c>
      <c r="O2186" s="2" t="s">
        <v>21573</v>
      </c>
      <c r="P2186" s="3" t="s">
        <v>64</v>
      </c>
      <c r="R2186" s="3" t="s">
        <v>13065</v>
      </c>
      <c r="S2186" s="4">
        <v>8</v>
      </c>
      <c r="T2186" s="4">
        <v>8</v>
      </c>
      <c r="U2186" s="5" t="s">
        <v>3943</v>
      </c>
      <c r="V2186" s="5" t="s">
        <v>3943</v>
      </c>
      <c r="W2186" s="5" t="s">
        <v>67</v>
      </c>
      <c r="X2186" s="5" t="s">
        <v>67</v>
      </c>
      <c r="Y2186" s="4">
        <v>179</v>
      </c>
      <c r="Z2186" s="4">
        <v>10</v>
      </c>
      <c r="AA2186" s="4">
        <v>49</v>
      </c>
      <c r="AB2186" s="4">
        <v>2</v>
      </c>
      <c r="AC2186" s="4">
        <v>9</v>
      </c>
      <c r="AD2186" s="4">
        <v>53</v>
      </c>
      <c r="AE2186" s="4">
        <v>148</v>
      </c>
      <c r="AF2186" s="4">
        <v>1</v>
      </c>
      <c r="AG2186" s="4">
        <v>7</v>
      </c>
      <c r="AH2186" s="4">
        <v>49</v>
      </c>
      <c r="AI2186" s="4">
        <v>117</v>
      </c>
      <c r="AJ2186" s="4">
        <v>6</v>
      </c>
      <c r="AK2186" s="4">
        <v>28</v>
      </c>
      <c r="AL2186" s="4">
        <v>32</v>
      </c>
      <c r="AM2186" s="4">
        <v>62</v>
      </c>
      <c r="AN2186" s="4">
        <v>0</v>
      </c>
      <c r="AO2186" s="4">
        <v>1</v>
      </c>
      <c r="AP2186" s="4">
        <v>7</v>
      </c>
      <c r="AQ2186" s="4">
        <v>38</v>
      </c>
      <c r="AR2186" s="3" t="s">
        <v>62</v>
      </c>
      <c r="AS2186" s="3" t="s">
        <v>62</v>
      </c>
      <c r="AT2186" s="3" t="s">
        <v>61</v>
      </c>
      <c r="AU2186" s="6" t="str">
        <f>HYPERLINK("http://catalog.hathitrust.org/Record/000578163","HathiTrust Record")</f>
        <v>HathiTrust Record</v>
      </c>
      <c r="AV2186" s="6" t="str">
        <f>HYPERLINK("http://mcgill.on.worldcat.org/oclc/527341","Catalog Record")</f>
        <v>Catalog Record</v>
      </c>
      <c r="AW2186" s="6" t="str">
        <f>HYPERLINK("http://www.worldcat.org/oclc/527341","WorldCat Record")</f>
        <v>WorldCat Record</v>
      </c>
      <c r="AX2186" s="3" t="s">
        <v>21574</v>
      </c>
      <c r="AY2186" s="3" t="s">
        <v>21575</v>
      </c>
      <c r="AZ2186" s="3" t="s">
        <v>21576</v>
      </c>
      <c r="BA2186" s="3" t="s">
        <v>21576</v>
      </c>
      <c r="BB2186" s="3" t="s">
        <v>21577</v>
      </c>
      <c r="BC2186" s="3" t="s">
        <v>102</v>
      </c>
      <c r="BD2186" s="3" t="s">
        <v>68</v>
      </c>
      <c r="BF2186" s="3" t="s">
        <v>21577</v>
      </c>
      <c r="BG2186" s="3" t="s">
        <v>21578</v>
      </c>
    </row>
    <row r="2187" spans="1:59" ht="58" x14ac:dyDescent="0.35">
      <c r="A2187" s="2" t="s">
        <v>89</v>
      </c>
      <c r="B2187" s="2" t="s">
        <v>90</v>
      </c>
      <c r="C2187" s="2" t="s">
        <v>21579</v>
      </c>
      <c r="D2187" s="2" t="s">
        <v>21580</v>
      </c>
      <c r="E2187" s="2" t="s">
        <v>21581</v>
      </c>
      <c r="G2187" s="3" t="s">
        <v>62</v>
      </c>
      <c r="I2187" s="3" t="s">
        <v>62</v>
      </c>
      <c r="J2187" s="3" t="s">
        <v>62</v>
      </c>
      <c r="K2187" s="3" t="s">
        <v>63</v>
      </c>
      <c r="L2187" s="2" t="s">
        <v>21582</v>
      </c>
      <c r="M2187" s="2" t="s">
        <v>21583</v>
      </c>
      <c r="N2187" s="3" t="s">
        <v>1264</v>
      </c>
      <c r="P2187" s="3" t="s">
        <v>1881</v>
      </c>
      <c r="Q2187" s="2" t="s">
        <v>21584</v>
      </c>
      <c r="R2187" s="3" t="s">
        <v>13065</v>
      </c>
      <c r="S2187" s="4">
        <v>4</v>
      </c>
      <c r="T2187" s="4">
        <v>4</v>
      </c>
      <c r="U2187" s="5" t="s">
        <v>21585</v>
      </c>
      <c r="V2187" s="5" t="s">
        <v>21585</v>
      </c>
      <c r="W2187" s="5" t="s">
        <v>67</v>
      </c>
      <c r="X2187" s="5" t="s">
        <v>67</v>
      </c>
      <c r="Y2187" s="4">
        <v>22</v>
      </c>
      <c r="Z2187" s="4">
        <v>4</v>
      </c>
      <c r="AA2187" s="4">
        <v>7</v>
      </c>
      <c r="AB2187" s="4">
        <v>1</v>
      </c>
      <c r="AC2187" s="4">
        <v>1</v>
      </c>
      <c r="AD2187" s="4">
        <v>12</v>
      </c>
      <c r="AE2187" s="4">
        <v>53</v>
      </c>
      <c r="AF2187" s="4">
        <v>0</v>
      </c>
      <c r="AG2187" s="4">
        <v>0</v>
      </c>
      <c r="AH2187" s="4">
        <v>9</v>
      </c>
      <c r="AI2187" s="4">
        <v>48</v>
      </c>
      <c r="AJ2187" s="4">
        <v>3</v>
      </c>
      <c r="AK2187" s="4">
        <v>6</v>
      </c>
      <c r="AL2187" s="4">
        <v>5</v>
      </c>
      <c r="AM2187" s="4">
        <v>36</v>
      </c>
      <c r="AN2187" s="4">
        <v>0</v>
      </c>
      <c r="AO2187" s="4">
        <v>5</v>
      </c>
      <c r="AP2187" s="4">
        <v>3</v>
      </c>
      <c r="AQ2187" s="4">
        <v>6</v>
      </c>
      <c r="AR2187" s="3" t="s">
        <v>62</v>
      </c>
      <c r="AS2187" s="3" t="s">
        <v>62</v>
      </c>
      <c r="AT2187" s="3" t="s">
        <v>61</v>
      </c>
      <c r="AU2187" s="6" t="str">
        <f>HYPERLINK("http://catalog.hathitrust.org/Record/000578745","HathiTrust Record")</f>
        <v>HathiTrust Record</v>
      </c>
      <c r="AV2187" s="6" t="str">
        <f>HYPERLINK("http://mcgill.on.worldcat.org/oclc/66781823","Catalog Record")</f>
        <v>Catalog Record</v>
      </c>
      <c r="AW2187" s="6" t="str">
        <f>HYPERLINK("http://www.worldcat.org/oclc/66781823","WorldCat Record")</f>
        <v>WorldCat Record</v>
      </c>
      <c r="AX2187" s="3" t="s">
        <v>21586</v>
      </c>
      <c r="AY2187" s="3" t="s">
        <v>21587</v>
      </c>
      <c r="AZ2187" s="3" t="s">
        <v>21588</v>
      </c>
      <c r="BA2187" s="3" t="s">
        <v>21588</v>
      </c>
      <c r="BB2187" s="3" t="s">
        <v>21589</v>
      </c>
      <c r="BC2187" s="3" t="s">
        <v>102</v>
      </c>
      <c r="BD2187" s="3" t="s">
        <v>68</v>
      </c>
      <c r="BF2187" s="3" t="s">
        <v>21589</v>
      </c>
      <c r="BG2187" s="3" t="s">
        <v>21590</v>
      </c>
    </row>
    <row r="2188" spans="1:59" ht="58" x14ac:dyDescent="0.35">
      <c r="A2188" s="2" t="s">
        <v>89</v>
      </c>
      <c r="B2188" s="2" t="s">
        <v>90</v>
      </c>
      <c r="C2188" s="2" t="s">
        <v>21591</v>
      </c>
      <c r="D2188" s="2" t="s">
        <v>21592</v>
      </c>
      <c r="E2188" s="2" t="s">
        <v>21593</v>
      </c>
      <c r="G2188" s="3" t="s">
        <v>62</v>
      </c>
      <c r="I2188" s="3" t="s">
        <v>61</v>
      </c>
      <c r="J2188" s="3" t="s">
        <v>61</v>
      </c>
      <c r="K2188" s="3" t="s">
        <v>63</v>
      </c>
      <c r="L2188" s="2" t="s">
        <v>21582</v>
      </c>
      <c r="M2188" s="2" t="s">
        <v>21594</v>
      </c>
      <c r="N2188" s="3" t="s">
        <v>7359</v>
      </c>
      <c r="P2188" s="3" t="s">
        <v>64</v>
      </c>
      <c r="R2188" s="3" t="s">
        <v>13065</v>
      </c>
      <c r="S2188" s="4">
        <v>6</v>
      </c>
      <c r="T2188" s="4">
        <v>7</v>
      </c>
      <c r="U2188" s="5" t="s">
        <v>21595</v>
      </c>
      <c r="V2188" s="5" t="s">
        <v>21596</v>
      </c>
      <c r="W2188" s="5" t="s">
        <v>67</v>
      </c>
      <c r="X2188" s="5" t="s">
        <v>67</v>
      </c>
      <c r="Y2188" s="4">
        <v>279</v>
      </c>
      <c r="Z2188" s="4">
        <v>11</v>
      </c>
      <c r="AA2188" s="4">
        <v>41</v>
      </c>
      <c r="AB2188" s="4">
        <v>1</v>
      </c>
      <c r="AC2188" s="4">
        <v>9</v>
      </c>
      <c r="AD2188" s="4">
        <v>85</v>
      </c>
      <c r="AE2188" s="4">
        <v>137</v>
      </c>
      <c r="AF2188" s="4">
        <v>0</v>
      </c>
      <c r="AG2188" s="4">
        <v>6</v>
      </c>
      <c r="AH2188" s="4">
        <v>81</v>
      </c>
      <c r="AI2188" s="4">
        <v>111</v>
      </c>
      <c r="AJ2188" s="4">
        <v>7</v>
      </c>
      <c r="AK2188" s="4">
        <v>26</v>
      </c>
      <c r="AL2188" s="4">
        <v>42</v>
      </c>
      <c r="AM2188" s="4">
        <v>61</v>
      </c>
      <c r="AN2188" s="4">
        <v>0</v>
      </c>
      <c r="AO2188" s="4">
        <v>0</v>
      </c>
      <c r="AP2188" s="4">
        <v>9</v>
      </c>
      <c r="AQ2188" s="4">
        <v>34</v>
      </c>
      <c r="AR2188" s="3" t="s">
        <v>62</v>
      </c>
      <c r="AS2188" s="3" t="s">
        <v>62</v>
      </c>
      <c r="AT2188" s="3" t="s">
        <v>62</v>
      </c>
      <c r="AU2188" s="6" t="str">
        <f>HYPERLINK("http://catalog.hathitrust.org/Record/000578208","HathiTrust Record")</f>
        <v>HathiTrust Record</v>
      </c>
      <c r="AV2188" s="6" t="str">
        <f>HYPERLINK("http://mcgill.on.worldcat.org/oclc/1039895","Catalog Record")</f>
        <v>Catalog Record</v>
      </c>
      <c r="AW2188" s="6" t="str">
        <f>HYPERLINK("http://www.worldcat.org/oclc/1039895","WorldCat Record")</f>
        <v>WorldCat Record</v>
      </c>
      <c r="AX2188" s="3" t="s">
        <v>21597</v>
      </c>
      <c r="AY2188" s="3" t="s">
        <v>21598</v>
      </c>
      <c r="AZ2188" s="3" t="s">
        <v>21599</v>
      </c>
      <c r="BA2188" s="3" t="s">
        <v>21599</v>
      </c>
      <c r="BB2188" s="3" t="s">
        <v>21600</v>
      </c>
      <c r="BC2188" s="3" t="s">
        <v>102</v>
      </c>
      <c r="BD2188" s="3" t="s">
        <v>68</v>
      </c>
      <c r="BF2188" s="3" t="s">
        <v>21600</v>
      </c>
      <c r="BG2188" s="3" t="s">
        <v>21601</v>
      </c>
    </row>
    <row r="2189" spans="1:59" ht="58" x14ac:dyDescent="0.35">
      <c r="A2189" s="2" t="s">
        <v>89</v>
      </c>
      <c r="B2189" s="2" t="s">
        <v>90</v>
      </c>
      <c r="C2189" s="2" t="s">
        <v>21602</v>
      </c>
      <c r="D2189" s="2" t="s">
        <v>21603</v>
      </c>
      <c r="E2189" s="2" t="s">
        <v>21604</v>
      </c>
      <c r="G2189" s="3" t="s">
        <v>62</v>
      </c>
      <c r="I2189" s="3" t="s">
        <v>62</v>
      </c>
      <c r="J2189" s="3" t="s">
        <v>62</v>
      </c>
      <c r="K2189" s="3" t="s">
        <v>63</v>
      </c>
      <c r="L2189" s="2" t="s">
        <v>21605</v>
      </c>
      <c r="M2189" s="2" t="s">
        <v>21606</v>
      </c>
      <c r="N2189" s="3" t="s">
        <v>21607</v>
      </c>
      <c r="O2189" s="2" t="s">
        <v>21608</v>
      </c>
      <c r="P2189" s="3" t="s">
        <v>64</v>
      </c>
      <c r="R2189" s="3" t="s">
        <v>13065</v>
      </c>
      <c r="S2189" s="4">
        <v>7</v>
      </c>
      <c r="T2189" s="4">
        <v>7</v>
      </c>
      <c r="U2189" s="5" t="s">
        <v>21609</v>
      </c>
      <c r="V2189" s="5" t="s">
        <v>21609</v>
      </c>
      <c r="W2189" s="5" t="s">
        <v>67</v>
      </c>
      <c r="X2189" s="5" t="s">
        <v>67</v>
      </c>
      <c r="Y2189" s="4">
        <v>71</v>
      </c>
      <c r="Z2189" s="4">
        <v>4</v>
      </c>
      <c r="AA2189" s="4">
        <v>20</v>
      </c>
      <c r="AB2189" s="4">
        <v>1</v>
      </c>
      <c r="AC2189" s="4">
        <v>2</v>
      </c>
      <c r="AD2189" s="4">
        <v>27</v>
      </c>
      <c r="AE2189" s="4">
        <v>63</v>
      </c>
      <c r="AF2189" s="4">
        <v>0</v>
      </c>
      <c r="AG2189" s="4">
        <v>0</v>
      </c>
      <c r="AH2189" s="4">
        <v>25</v>
      </c>
      <c r="AI2189" s="4">
        <v>56</v>
      </c>
      <c r="AJ2189" s="4">
        <v>2</v>
      </c>
      <c r="AK2189" s="4">
        <v>6</v>
      </c>
      <c r="AL2189" s="4">
        <v>17</v>
      </c>
      <c r="AM2189" s="4">
        <v>34</v>
      </c>
      <c r="AN2189" s="4">
        <v>0</v>
      </c>
      <c r="AO2189" s="4">
        <v>0</v>
      </c>
      <c r="AP2189" s="4">
        <v>2</v>
      </c>
      <c r="AQ2189" s="4">
        <v>8</v>
      </c>
      <c r="AR2189" s="3" t="s">
        <v>62</v>
      </c>
      <c r="AS2189" s="3" t="s">
        <v>61</v>
      </c>
      <c r="AT2189" s="3" t="s">
        <v>62</v>
      </c>
      <c r="AU2189" s="6" t="str">
        <f>HYPERLINK("http://catalog.hathitrust.org/Record/007664731","HathiTrust Record")</f>
        <v>HathiTrust Record</v>
      </c>
      <c r="AV2189" s="6" t="str">
        <f>HYPERLINK("http://mcgill.on.worldcat.org/oclc/1039907","Catalog Record")</f>
        <v>Catalog Record</v>
      </c>
      <c r="AW2189" s="6" t="str">
        <f>HYPERLINK("http://www.worldcat.org/oclc/1039907","WorldCat Record")</f>
        <v>WorldCat Record</v>
      </c>
      <c r="AX2189" s="3" t="s">
        <v>21610</v>
      </c>
      <c r="AY2189" s="3" t="s">
        <v>21611</v>
      </c>
      <c r="AZ2189" s="3" t="s">
        <v>21612</v>
      </c>
      <c r="BA2189" s="3" t="s">
        <v>21612</v>
      </c>
      <c r="BB2189" s="3" t="s">
        <v>21613</v>
      </c>
      <c r="BC2189" s="3" t="s">
        <v>102</v>
      </c>
      <c r="BD2189" s="3" t="s">
        <v>68</v>
      </c>
      <c r="BF2189" s="3" t="s">
        <v>21613</v>
      </c>
      <c r="BG2189" s="3" t="s">
        <v>21614</v>
      </c>
    </row>
    <row r="2190" spans="1:59" ht="58" x14ac:dyDescent="0.35">
      <c r="A2190" s="2" t="s">
        <v>89</v>
      </c>
      <c r="B2190" s="2" t="s">
        <v>90</v>
      </c>
      <c r="C2190" s="2" t="s">
        <v>21615</v>
      </c>
      <c r="D2190" s="2" t="s">
        <v>21616</v>
      </c>
      <c r="E2190" s="2" t="s">
        <v>21617</v>
      </c>
      <c r="G2190" s="3" t="s">
        <v>62</v>
      </c>
      <c r="I2190" s="3" t="s">
        <v>62</v>
      </c>
      <c r="J2190" s="3" t="s">
        <v>62</v>
      </c>
      <c r="K2190" s="3" t="s">
        <v>63</v>
      </c>
      <c r="M2190" s="2" t="s">
        <v>13453</v>
      </c>
      <c r="N2190" s="3" t="s">
        <v>684</v>
      </c>
      <c r="P2190" s="3" t="s">
        <v>64</v>
      </c>
      <c r="Q2190" s="2" t="s">
        <v>21618</v>
      </c>
      <c r="R2190" s="3" t="s">
        <v>13065</v>
      </c>
      <c r="S2190" s="4">
        <v>0</v>
      </c>
      <c r="T2190" s="4">
        <v>0</v>
      </c>
      <c r="W2190" s="5" t="s">
        <v>67</v>
      </c>
      <c r="X2190" s="5" t="s">
        <v>67</v>
      </c>
      <c r="Y2190" s="4">
        <v>58</v>
      </c>
      <c r="Z2190" s="4">
        <v>3</v>
      </c>
      <c r="AA2190" s="4">
        <v>36</v>
      </c>
      <c r="AB2190" s="4">
        <v>1</v>
      </c>
      <c r="AC2190" s="4">
        <v>8</v>
      </c>
      <c r="AD2190" s="4">
        <v>28</v>
      </c>
      <c r="AE2190" s="4">
        <v>87</v>
      </c>
      <c r="AF2190" s="4">
        <v>0</v>
      </c>
      <c r="AG2190" s="4">
        <v>4</v>
      </c>
      <c r="AH2190" s="4">
        <v>27</v>
      </c>
      <c r="AI2190" s="4">
        <v>64</v>
      </c>
      <c r="AJ2190" s="4">
        <v>1</v>
      </c>
      <c r="AK2190" s="4">
        <v>18</v>
      </c>
      <c r="AL2190" s="4">
        <v>19</v>
      </c>
      <c r="AM2190" s="4">
        <v>35</v>
      </c>
      <c r="AN2190" s="4">
        <v>0</v>
      </c>
      <c r="AO2190" s="4">
        <v>0</v>
      </c>
      <c r="AP2190" s="4">
        <v>1</v>
      </c>
      <c r="AQ2190" s="4">
        <v>30</v>
      </c>
      <c r="AR2190" s="3" t="s">
        <v>62</v>
      </c>
      <c r="AS2190" s="3" t="s">
        <v>62</v>
      </c>
      <c r="AT2190" s="3" t="s">
        <v>62</v>
      </c>
      <c r="AV2190" s="6" t="str">
        <f>HYPERLINK("http://mcgill.on.worldcat.org/oclc/662410152","Catalog Record")</f>
        <v>Catalog Record</v>
      </c>
      <c r="AW2190" s="6" t="str">
        <f>HYPERLINK("http://www.worldcat.org/oclc/662410152","WorldCat Record")</f>
        <v>WorldCat Record</v>
      </c>
      <c r="AX2190" s="3" t="s">
        <v>21619</v>
      </c>
      <c r="AY2190" s="3" t="s">
        <v>21620</v>
      </c>
      <c r="AZ2190" s="3" t="s">
        <v>21621</v>
      </c>
      <c r="BA2190" s="3" t="s">
        <v>21621</v>
      </c>
      <c r="BB2190" s="3" t="s">
        <v>21622</v>
      </c>
      <c r="BC2190" s="3" t="s">
        <v>102</v>
      </c>
      <c r="BD2190" s="3" t="s">
        <v>68</v>
      </c>
      <c r="BE2190" s="3" t="s">
        <v>21623</v>
      </c>
      <c r="BF2190" s="3" t="s">
        <v>21622</v>
      </c>
      <c r="BG2190" s="3" t="s">
        <v>21624</v>
      </c>
    </row>
    <row r="2191" spans="1:59" ht="58" x14ac:dyDescent="0.35">
      <c r="A2191" s="2" t="s">
        <v>89</v>
      </c>
      <c r="B2191" s="2" t="s">
        <v>90</v>
      </c>
      <c r="C2191" s="2" t="s">
        <v>21625</v>
      </c>
      <c r="D2191" s="2" t="s">
        <v>21626</v>
      </c>
      <c r="E2191" s="2" t="s">
        <v>21627</v>
      </c>
      <c r="G2191" s="3" t="s">
        <v>62</v>
      </c>
      <c r="I2191" s="3" t="s">
        <v>61</v>
      </c>
      <c r="J2191" s="3" t="s">
        <v>61</v>
      </c>
      <c r="K2191" s="3" t="s">
        <v>63</v>
      </c>
      <c r="L2191" s="2" t="s">
        <v>21628</v>
      </c>
      <c r="M2191" s="2" t="s">
        <v>21629</v>
      </c>
      <c r="N2191" s="3" t="s">
        <v>2445</v>
      </c>
      <c r="P2191" s="3" t="s">
        <v>64</v>
      </c>
      <c r="Q2191" s="2" t="s">
        <v>21630</v>
      </c>
      <c r="R2191" s="3" t="s">
        <v>13065</v>
      </c>
      <c r="S2191" s="4">
        <v>3</v>
      </c>
      <c r="T2191" s="4">
        <v>14</v>
      </c>
      <c r="U2191" s="5" t="s">
        <v>21631</v>
      </c>
      <c r="V2191" s="5" t="s">
        <v>3820</v>
      </c>
      <c r="W2191" s="5" t="s">
        <v>67</v>
      </c>
      <c r="X2191" s="5" t="s">
        <v>67</v>
      </c>
      <c r="Y2191" s="4">
        <v>467</v>
      </c>
      <c r="Z2191" s="4">
        <v>26</v>
      </c>
      <c r="AA2191" s="4">
        <v>40</v>
      </c>
      <c r="AB2191" s="4">
        <v>2</v>
      </c>
      <c r="AC2191" s="4">
        <v>8</v>
      </c>
      <c r="AD2191" s="4">
        <v>109</v>
      </c>
      <c r="AE2191" s="4">
        <v>136</v>
      </c>
      <c r="AF2191" s="4">
        <v>1</v>
      </c>
      <c r="AG2191" s="4">
        <v>6</v>
      </c>
      <c r="AH2191" s="4">
        <v>96</v>
      </c>
      <c r="AI2191" s="4">
        <v>112</v>
      </c>
      <c r="AJ2191" s="4">
        <v>17</v>
      </c>
      <c r="AK2191" s="4">
        <v>25</v>
      </c>
      <c r="AL2191" s="4">
        <v>54</v>
      </c>
      <c r="AM2191" s="4">
        <v>59</v>
      </c>
      <c r="AN2191" s="4">
        <v>0</v>
      </c>
      <c r="AO2191" s="4">
        <v>0</v>
      </c>
      <c r="AP2191" s="4">
        <v>21</v>
      </c>
      <c r="AQ2191" s="4">
        <v>32</v>
      </c>
      <c r="AR2191" s="3" t="s">
        <v>62</v>
      </c>
      <c r="AS2191" s="3" t="s">
        <v>61</v>
      </c>
      <c r="AT2191" s="3" t="s">
        <v>62</v>
      </c>
      <c r="AU2191" s="6" t="str">
        <f>HYPERLINK("http://catalog.hathitrust.org/Record/000357604","HathiTrust Record")</f>
        <v>HathiTrust Record</v>
      </c>
      <c r="AV2191" s="6" t="str">
        <f>HYPERLINK("http://mcgill.on.worldcat.org/oclc/528879","Catalog Record")</f>
        <v>Catalog Record</v>
      </c>
      <c r="AW2191" s="6" t="str">
        <f>HYPERLINK("http://www.worldcat.org/oclc/528879","WorldCat Record")</f>
        <v>WorldCat Record</v>
      </c>
      <c r="AX2191" s="3" t="s">
        <v>21632</v>
      </c>
      <c r="AY2191" s="3" t="s">
        <v>21633</v>
      </c>
      <c r="AZ2191" s="3" t="s">
        <v>21634</v>
      </c>
      <c r="BA2191" s="3" t="s">
        <v>21634</v>
      </c>
      <c r="BB2191" s="3" t="s">
        <v>21635</v>
      </c>
      <c r="BC2191" s="3" t="s">
        <v>102</v>
      </c>
      <c r="BD2191" s="3" t="s">
        <v>68</v>
      </c>
      <c r="BF2191" s="3" t="s">
        <v>21635</v>
      </c>
      <c r="BG2191" s="3" t="s">
        <v>21636</v>
      </c>
    </row>
    <row r="2192" spans="1:59" ht="58" x14ac:dyDescent="0.35">
      <c r="A2192" s="2" t="s">
        <v>89</v>
      </c>
      <c r="B2192" s="2" t="s">
        <v>90</v>
      </c>
      <c r="C2192" s="2" t="s">
        <v>21637</v>
      </c>
      <c r="D2192" s="2" t="s">
        <v>21638</v>
      </c>
      <c r="E2192" s="2" t="s">
        <v>21639</v>
      </c>
      <c r="G2192" s="3" t="s">
        <v>62</v>
      </c>
      <c r="I2192" s="3" t="s">
        <v>62</v>
      </c>
      <c r="J2192" s="3" t="s">
        <v>62</v>
      </c>
      <c r="K2192" s="3" t="s">
        <v>63</v>
      </c>
      <c r="L2192" s="2" t="s">
        <v>21640</v>
      </c>
      <c r="M2192" s="2" t="s">
        <v>21641</v>
      </c>
      <c r="N2192" s="3" t="s">
        <v>1639</v>
      </c>
      <c r="P2192" s="3" t="s">
        <v>64</v>
      </c>
      <c r="Q2192" s="2" t="s">
        <v>21642</v>
      </c>
      <c r="R2192" s="3" t="s">
        <v>13065</v>
      </c>
      <c r="S2192" s="4">
        <v>2</v>
      </c>
      <c r="T2192" s="4">
        <v>2</v>
      </c>
      <c r="U2192" s="5" t="s">
        <v>21643</v>
      </c>
      <c r="V2192" s="5" t="s">
        <v>21643</v>
      </c>
      <c r="W2192" s="5" t="s">
        <v>67</v>
      </c>
      <c r="X2192" s="5" t="s">
        <v>67</v>
      </c>
      <c r="Y2192" s="4">
        <v>241</v>
      </c>
      <c r="Z2192" s="4">
        <v>22</v>
      </c>
      <c r="AA2192" s="4">
        <v>34</v>
      </c>
      <c r="AB2192" s="4">
        <v>1</v>
      </c>
      <c r="AC2192" s="4">
        <v>5</v>
      </c>
      <c r="AD2192" s="4">
        <v>57</v>
      </c>
      <c r="AE2192" s="4">
        <v>87</v>
      </c>
      <c r="AF2192" s="4">
        <v>0</v>
      </c>
      <c r="AG2192" s="4">
        <v>3</v>
      </c>
      <c r="AH2192" s="4">
        <v>48</v>
      </c>
      <c r="AI2192" s="4">
        <v>68</v>
      </c>
      <c r="AJ2192" s="4">
        <v>13</v>
      </c>
      <c r="AK2192" s="4">
        <v>21</v>
      </c>
      <c r="AL2192" s="4">
        <v>31</v>
      </c>
      <c r="AM2192" s="4">
        <v>41</v>
      </c>
      <c r="AN2192" s="4">
        <v>0</v>
      </c>
      <c r="AO2192" s="4">
        <v>0</v>
      </c>
      <c r="AP2192" s="4">
        <v>16</v>
      </c>
      <c r="AQ2192" s="4">
        <v>26</v>
      </c>
      <c r="AR2192" s="3" t="s">
        <v>62</v>
      </c>
      <c r="AS2192" s="3" t="s">
        <v>62</v>
      </c>
      <c r="AT2192" s="3" t="s">
        <v>61</v>
      </c>
      <c r="AU2192" s="6" t="str">
        <f>HYPERLINK("http://catalog.hathitrust.org/Record/000356278","HathiTrust Record")</f>
        <v>HathiTrust Record</v>
      </c>
      <c r="AV2192" s="6" t="str">
        <f>HYPERLINK("http://mcgill.on.worldcat.org/oclc/140282","Catalog Record")</f>
        <v>Catalog Record</v>
      </c>
      <c r="AW2192" s="6" t="str">
        <f>HYPERLINK("http://www.worldcat.org/oclc/140282","WorldCat Record")</f>
        <v>WorldCat Record</v>
      </c>
      <c r="AX2192" s="3" t="s">
        <v>21644</v>
      </c>
      <c r="AY2192" s="3" t="s">
        <v>21645</v>
      </c>
      <c r="AZ2192" s="3" t="s">
        <v>21646</v>
      </c>
      <c r="BA2192" s="3" t="s">
        <v>21646</v>
      </c>
      <c r="BB2192" s="3" t="s">
        <v>21647</v>
      </c>
      <c r="BC2192" s="3" t="s">
        <v>102</v>
      </c>
      <c r="BD2192" s="3" t="s">
        <v>68</v>
      </c>
      <c r="BE2192" s="3" t="s">
        <v>21648</v>
      </c>
      <c r="BF2192" s="3" t="s">
        <v>21647</v>
      </c>
      <c r="BG2192" s="3" t="s">
        <v>21649</v>
      </c>
    </row>
    <row r="2193" spans="1:59" ht="58" x14ac:dyDescent="0.35">
      <c r="A2193" s="2" t="s">
        <v>89</v>
      </c>
      <c r="B2193" s="2" t="s">
        <v>90</v>
      </c>
      <c r="C2193" s="2" t="s">
        <v>21650</v>
      </c>
      <c r="D2193" s="2" t="s">
        <v>21651</v>
      </c>
      <c r="E2193" s="2" t="s">
        <v>21652</v>
      </c>
      <c r="G2193" s="3" t="s">
        <v>62</v>
      </c>
      <c r="I2193" s="3" t="s">
        <v>62</v>
      </c>
      <c r="J2193" s="3" t="s">
        <v>62</v>
      </c>
      <c r="K2193" s="3" t="s">
        <v>63</v>
      </c>
      <c r="L2193" s="2" t="s">
        <v>21653</v>
      </c>
      <c r="M2193" s="2" t="s">
        <v>21654</v>
      </c>
      <c r="N2193" s="3" t="s">
        <v>1722</v>
      </c>
      <c r="P2193" s="3" t="s">
        <v>64</v>
      </c>
      <c r="R2193" s="3" t="s">
        <v>13065</v>
      </c>
      <c r="S2193" s="4">
        <v>5</v>
      </c>
      <c r="T2193" s="4">
        <v>5</v>
      </c>
      <c r="U2193" s="5" t="s">
        <v>3595</v>
      </c>
      <c r="V2193" s="5" t="s">
        <v>3595</v>
      </c>
      <c r="W2193" s="5" t="s">
        <v>67</v>
      </c>
      <c r="X2193" s="5" t="s">
        <v>67</v>
      </c>
      <c r="Y2193" s="4">
        <v>255</v>
      </c>
      <c r="Z2193" s="4">
        <v>19</v>
      </c>
      <c r="AA2193" s="4">
        <v>121</v>
      </c>
      <c r="AB2193" s="4">
        <v>3</v>
      </c>
      <c r="AC2193" s="4">
        <v>18</v>
      </c>
      <c r="AD2193" s="4">
        <v>68</v>
      </c>
      <c r="AE2193" s="4">
        <v>142</v>
      </c>
      <c r="AF2193" s="4">
        <v>1</v>
      </c>
      <c r="AG2193" s="4">
        <v>8</v>
      </c>
      <c r="AH2193" s="4">
        <v>60</v>
      </c>
      <c r="AI2193" s="4">
        <v>96</v>
      </c>
      <c r="AJ2193" s="4">
        <v>10</v>
      </c>
      <c r="AK2193" s="4">
        <v>24</v>
      </c>
      <c r="AL2193" s="4">
        <v>34</v>
      </c>
      <c r="AM2193" s="4">
        <v>52</v>
      </c>
      <c r="AN2193" s="4">
        <v>0</v>
      </c>
      <c r="AO2193" s="4">
        <v>0</v>
      </c>
      <c r="AP2193" s="4">
        <v>14</v>
      </c>
      <c r="AQ2193" s="4">
        <v>53</v>
      </c>
      <c r="AR2193" s="3" t="s">
        <v>62</v>
      </c>
      <c r="AS2193" s="3" t="s">
        <v>62</v>
      </c>
      <c r="AT2193" s="3" t="s">
        <v>62</v>
      </c>
      <c r="AV2193" s="6" t="str">
        <f>HYPERLINK("http://mcgill.on.worldcat.org/oclc/191658554","Catalog Record")</f>
        <v>Catalog Record</v>
      </c>
      <c r="AW2193" s="6" t="str">
        <f>HYPERLINK("http://www.worldcat.org/oclc/191658554","WorldCat Record")</f>
        <v>WorldCat Record</v>
      </c>
      <c r="AX2193" s="3" t="s">
        <v>21655</v>
      </c>
      <c r="AY2193" s="3" t="s">
        <v>21656</v>
      </c>
      <c r="AZ2193" s="3" t="s">
        <v>21657</v>
      </c>
      <c r="BA2193" s="3" t="s">
        <v>21657</v>
      </c>
      <c r="BB2193" s="3" t="s">
        <v>21658</v>
      </c>
      <c r="BC2193" s="3" t="s">
        <v>102</v>
      </c>
      <c r="BD2193" s="3" t="s">
        <v>68</v>
      </c>
      <c r="BE2193" s="3" t="s">
        <v>21659</v>
      </c>
      <c r="BF2193" s="3" t="s">
        <v>21658</v>
      </c>
      <c r="BG2193" s="3" t="s">
        <v>21660</v>
      </c>
    </row>
    <row r="2194" spans="1:59" ht="101.5" x14ac:dyDescent="0.35">
      <c r="A2194" s="2" t="s">
        <v>89</v>
      </c>
      <c r="B2194" s="2" t="s">
        <v>12301</v>
      </c>
      <c r="C2194" s="2" t="s">
        <v>21661</v>
      </c>
      <c r="D2194" s="2" t="s">
        <v>21662</v>
      </c>
      <c r="E2194" s="2" t="s">
        <v>21663</v>
      </c>
      <c r="G2194" s="3" t="s">
        <v>62</v>
      </c>
      <c r="I2194" s="3" t="s">
        <v>61</v>
      </c>
      <c r="J2194" s="3" t="s">
        <v>62</v>
      </c>
      <c r="K2194" s="3" t="s">
        <v>63</v>
      </c>
      <c r="L2194" s="2" t="s">
        <v>21664</v>
      </c>
      <c r="M2194" s="2" t="s">
        <v>21665</v>
      </c>
      <c r="N2194" s="3" t="s">
        <v>684</v>
      </c>
      <c r="O2194" s="2" t="s">
        <v>2986</v>
      </c>
      <c r="P2194" s="3" t="s">
        <v>64</v>
      </c>
      <c r="Q2194" s="2" t="s">
        <v>20720</v>
      </c>
      <c r="R2194" s="3" t="s">
        <v>13065</v>
      </c>
      <c r="S2194" s="4">
        <v>97</v>
      </c>
      <c r="T2194" s="4">
        <v>197</v>
      </c>
      <c r="U2194" s="5" t="s">
        <v>9305</v>
      </c>
      <c r="V2194" s="5" t="s">
        <v>9305</v>
      </c>
      <c r="W2194" s="5" t="s">
        <v>67</v>
      </c>
      <c r="X2194" s="5" t="s">
        <v>67</v>
      </c>
      <c r="Y2194" s="4">
        <v>153</v>
      </c>
      <c r="Z2194" s="4">
        <v>11</v>
      </c>
      <c r="AA2194" s="4">
        <v>15</v>
      </c>
      <c r="AB2194" s="4">
        <v>3</v>
      </c>
      <c r="AC2194" s="4">
        <v>3</v>
      </c>
      <c r="AD2194" s="4">
        <v>27</v>
      </c>
      <c r="AE2194" s="4">
        <v>35</v>
      </c>
      <c r="AF2194" s="4">
        <v>1</v>
      </c>
      <c r="AG2194" s="4">
        <v>1</v>
      </c>
      <c r="AH2194" s="4">
        <v>25</v>
      </c>
      <c r="AI2194" s="4">
        <v>32</v>
      </c>
      <c r="AJ2194" s="4">
        <v>5</v>
      </c>
      <c r="AK2194" s="4">
        <v>6</v>
      </c>
      <c r="AL2194" s="4">
        <v>16</v>
      </c>
      <c r="AM2194" s="4">
        <v>20</v>
      </c>
      <c r="AN2194" s="4">
        <v>0</v>
      </c>
      <c r="AO2194" s="4">
        <v>0</v>
      </c>
      <c r="AP2194" s="4">
        <v>5</v>
      </c>
      <c r="AQ2194" s="4">
        <v>6</v>
      </c>
      <c r="AR2194" s="3" t="s">
        <v>62</v>
      </c>
      <c r="AS2194" s="3" t="s">
        <v>62</v>
      </c>
      <c r="AT2194" s="3" t="s">
        <v>62</v>
      </c>
      <c r="AV2194" s="6" t="str">
        <f>HYPERLINK("http://mcgill.on.worldcat.org/oclc/606789493","Catalog Record")</f>
        <v>Catalog Record</v>
      </c>
      <c r="AW2194" s="6" t="str">
        <f>HYPERLINK("http://www.worldcat.org/oclc/606789493","WorldCat Record")</f>
        <v>WorldCat Record</v>
      </c>
      <c r="AX2194" s="3" t="s">
        <v>21666</v>
      </c>
      <c r="AY2194" s="3" t="s">
        <v>21667</v>
      </c>
      <c r="AZ2194" s="3" t="s">
        <v>21668</v>
      </c>
      <c r="BA2194" s="3" t="s">
        <v>21668</v>
      </c>
      <c r="BB2194" s="3" t="s">
        <v>21669</v>
      </c>
      <c r="BC2194" s="3" t="s">
        <v>102</v>
      </c>
      <c r="BD2194" s="3" t="s">
        <v>68</v>
      </c>
      <c r="BE2194" s="3" t="s">
        <v>21670</v>
      </c>
      <c r="BF2194" s="3" t="s">
        <v>21669</v>
      </c>
      <c r="BG2194" s="3" t="s">
        <v>21671</v>
      </c>
    </row>
    <row r="2195" spans="1:59" ht="101.5" x14ac:dyDescent="0.35">
      <c r="A2195" s="2" t="s">
        <v>89</v>
      </c>
      <c r="B2195" s="2" t="s">
        <v>12301</v>
      </c>
      <c r="C2195" s="2" t="s">
        <v>21661</v>
      </c>
      <c r="D2195" s="2" t="s">
        <v>21662</v>
      </c>
      <c r="E2195" s="2" t="s">
        <v>21663</v>
      </c>
      <c r="G2195" s="3" t="s">
        <v>62</v>
      </c>
      <c r="I2195" s="3" t="s">
        <v>61</v>
      </c>
      <c r="J2195" s="3" t="s">
        <v>62</v>
      </c>
      <c r="K2195" s="3" t="s">
        <v>63</v>
      </c>
      <c r="L2195" s="2" t="s">
        <v>21664</v>
      </c>
      <c r="M2195" s="2" t="s">
        <v>21665</v>
      </c>
      <c r="N2195" s="3" t="s">
        <v>684</v>
      </c>
      <c r="O2195" s="2" t="s">
        <v>2986</v>
      </c>
      <c r="P2195" s="3" t="s">
        <v>64</v>
      </c>
      <c r="Q2195" s="2" t="s">
        <v>20720</v>
      </c>
      <c r="R2195" s="3" t="s">
        <v>13065</v>
      </c>
      <c r="S2195" s="4">
        <v>100</v>
      </c>
      <c r="T2195" s="4">
        <v>197</v>
      </c>
      <c r="U2195" s="5" t="s">
        <v>13499</v>
      </c>
      <c r="V2195" s="5" t="s">
        <v>9305</v>
      </c>
      <c r="W2195" s="5" t="s">
        <v>67</v>
      </c>
      <c r="X2195" s="5" t="s">
        <v>67</v>
      </c>
      <c r="Y2195" s="4">
        <v>153</v>
      </c>
      <c r="Z2195" s="4">
        <v>11</v>
      </c>
      <c r="AA2195" s="4">
        <v>15</v>
      </c>
      <c r="AB2195" s="4">
        <v>3</v>
      </c>
      <c r="AC2195" s="4">
        <v>3</v>
      </c>
      <c r="AD2195" s="4">
        <v>27</v>
      </c>
      <c r="AE2195" s="4">
        <v>35</v>
      </c>
      <c r="AF2195" s="4">
        <v>1</v>
      </c>
      <c r="AG2195" s="4">
        <v>1</v>
      </c>
      <c r="AH2195" s="4">
        <v>25</v>
      </c>
      <c r="AI2195" s="4">
        <v>32</v>
      </c>
      <c r="AJ2195" s="4">
        <v>5</v>
      </c>
      <c r="AK2195" s="4">
        <v>6</v>
      </c>
      <c r="AL2195" s="4">
        <v>16</v>
      </c>
      <c r="AM2195" s="4">
        <v>20</v>
      </c>
      <c r="AN2195" s="4">
        <v>0</v>
      </c>
      <c r="AO2195" s="4">
        <v>0</v>
      </c>
      <c r="AP2195" s="4">
        <v>5</v>
      </c>
      <c r="AQ2195" s="4">
        <v>6</v>
      </c>
      <c r="AR2195" s="3" t="s">
        <v>62</v>
      </c>
      <c r="AS2195" s="3" t="s">
        <v>62</v>
      </c>
      <c r="AT2195" s="3" t="s">
        <v>62</v>
      </c>
      <c r="AV2195" s="6" t="str">
        <f>HYPERLINK("http://mcgill.on.worldcat.org/oclc/606789493","Catalog Record")</f>
        <v>Catalog Record</v>
      </c>
      <c r="AW2195" s="6" t="str">
        <f>HYPERLINK("http://www.worldcat.org/oclc/606789493","WorldCat Record")</f>
        <v>WorldCat Record</v>
      </c>
      <c r="AX2195" s="3" t="s">
        <v>21666</v>
      </c>
      <c r="AY2195" s="3" t="s">
        <v>21667</v>
      </c>
      <c r="AZ2195" s="3" t="s">
        <v>21668</v>
      </c>
      <c r="BA2195" s="3" t="s">
        <v>21668</v>
      </c>
      <c r="BB2195" s="3" t="s">
        <v>21672</v>
      </c>
      <c r="BC2195" s="3" t="s">
        <v>102</v>
      </c>
      <c r="BD2195" s="3" t="s">
        <v>68</v>
      </c>
      <c r="BE2195" s="3" t="s">
        <v>21670</v>
      </c>
      <c r="BF2195" s="3" t="s">
        <v>21672</v>
      </c>
      <c r="BG2195" s="3" t="s">
        <v>21673</v>
      </c>
    </row>
    <row r="2196" spans="1:59" ht="58" x14ac:dyDescent="0.35">
      <c r="A2196" s="2" t="s">
        <v>89</v>
      </c>
      <c r="B2196" s="2" t="s">
        <v>90</v>
      </c>
      <c r="C2196" s="2" t="s">
        <v>21674</v>
      </c>
      <c r="D2196" s="2" t="s">
        <v>21675</v>
      </c>
      <c r="E2196" s="2" t="s">
        <v>21676</v>
      </c>
      <c r="G2196" s="3" t="s">
        <v>62</v>
      </c>
      <c r="I2196" s="3" t="s">
        <v>61</v>
      </c>
      <c r="J2196" s="3" t="s">
        <v>61</v>
      </c>
      <c r="K2196" s="3" t="s">
        <v>63</v>
      </c>
      <c r="L2196" s="2" t="s">
        <v>21677</v>
      </c>
      <c r="M2196" s="2" t="s">
        <v>21678</v>
      </c>
      <c r="N2196" s="3" t="s">
        <v>2924</v>
      </c>
      <c r="P2196" s="3" t="s">
        <v>64</v>
      </c>
      <c r="Q2196" s="2" t="s">
        <v>20720</v>
      </c>
      <c r="R2196" s="3" t="s">
        <v>13065</v>
      </c>
      <c r="S2196" s="4">
        <v>0</v>
      </c>
      <c r="T2196" s="4">
        <v>119</v>
      </c>
      <c r="V2196" s="5" t="s">
        <v>21679</v>
      </c>
      <c r="W2196" s="5" t="s">
        <v>67</v>
      </c>
      <c r="X2196" s="5" t="s">
        <v>67</v>
      </c>
      <c r="Y2196" s="4">
        <v>340</v>
      </c>
      <c r="Z2196" s="4">
        <v>20</v>
      </c>
      <c r="AA2196" s="4">
        <v>66</v>
      </c>
      <c r="AB2196" s="4">
        <v>2</v>
      </c>
      <c r="AC2196" s="4">
        <v>11</v>
      </c>
      <c r="AD2196" s="4">
        <v>53</v>
      </c>
      <c r="AE2196" s="4">
        <v>129</v>
      </c>
      <c r="AF2196" s="4">
        <v>1</v>
      </c>
      <c r="AG2196" s="4">
        <v>6</v>
      </c>
      <c r="AH2196" s="4">
        <v>46</v>
      </c>
      <c r="AI2196" s="4">
        <v>103</v>
      </c>
      <c r="AJ2196" s="4">
        <v>10</v>
      </c>
      <c r="AK2196" s="4">
        <v>26</v>
      </c>
      <c r="AL2196" s="4">
        <v>28</v>
      </c>
      <c r="AM2196" s="4">
        <v>55</v>
      </c>
      <c r="AN2196" s="4">
        <v>5</v>
      </c>
      <c r="AO2196" s="4">
        <v>10</v>
      </c>
      <c r="AP2196" s="4">
        <v>12</v>
      </c>
      <c r="AQ2196" s="4">
        <v>34</v>
      </c>
      <c r="AR2196" s="3" t="s">
        <v>62</v>
      </c>
      <c r="AS2196" s="3" t="s">
        <v>62</v>
      </c>
      <c r="AT2196" s="3" t="s">
        <v>61</v>
      </c>
      <c r="AU2196" s="6" t="str">
        <f>HYPERLINK("http://catalog.hathitrust.org/Record/003173654","HathiTrust Record")</f>
        <v>HathiTrust Record</v>
      </c>
      <c r="AV2196" s="6" t="str">
        <f>HYPERLINK("http://mcgill.on.worldcat.org/oclc/2324530","Catalog Record")</f>
        <v>Catalog Record</v>
      </c>
      <c r="AW2196" s="6" t="str">
        <f>HYPERLINK("http://www.worldcat.org/oclc/2324530","WorldCat Record")</f>
        <v>WorldCat Record</v>
      </c>
      <c r="AX2196" s="3" t="s">
        <v>21680</v>
      </c>
      <c r="AY2196" s="3" t="s">
        <v>21681</v>
      </c>
      <c r="AZ2196" s="3" t="s">
        <v>21682</v>
      </c>
      <c r="BA2196" s="3" t="s">
        <v>21682</v>
      </c>
      <c r="BB2196" s="3" t="s">
        <v>21683</v>
      </c>
      <c r="BC2196" s="3" t="s">
        <v>102</v>
      </c>
      <c r="BD2196" s="3" t="s">
        <v>68</v>
      </c>
      <c r="BE2196" s="3" t="s">
        <v>21684</v>
      </c>
      <c r="BF2196" s="3" t="s">
        <v>21683</v>
      </c>
      <c r="BG2196" s="3" t="s">
        <v>21685</v>
      </c>
    </row>
    <row r="2197" spans="1:59" ht="101.5" x14ac:dyDescent="0.35">
      <c r="A2197" s="2" t="s">
        <v>89</v>
      </c>
      <c r="B2197" s="2" t="s">
        <v>12301</v>
      </c>
      <c r="C2197" s="2" t="s">
        <v>21686</v>
      </c>
      <c r="D2197" s="2" t="s">
        <v>21687</v>
      </c>
      <c r="E2197" s="2" t="s">
        <v>21688</v>
      </c>
      <c r="G2197" s="3" t="s">
        <v>62</v>
      </c>
      <c r="I2197" s="3" t="s">
        <v>61</v>
      </c>
      <c r="J2197" s="3" t="s">
        <v>62</v>
      </c>
      <c r="K2197" s="3" t="s">
        <v>63</v>
      </c>
      <c r="L2197" s="2" t="s">
        <v>21689</v>
      </c>
      <c r="M2197" s="2" t="s">
        <v>21690</v>
      </c>
      <c r="N2197" s="3" t="s">
        <v>1195</v>
      </c>
      <c r="P2197" s="3" t="s">
        <v>64</v>
      </c>
      <c r="R2197" s="3" t="s">
        <v>13065</v>
      </c>
      <c r="S2197" s="4">
        <v>64</v>
      </c>
      <c r="T2197" s="4">
        <v>116</v>
      </c>
      <c r="U2197" s="5" t="s">
        <v>21691</v>
      </c>
      <c r="V2197" s="5" t="s">
        <v>8532</v>
      </c>
      <c r="W2197" s="5" t="s">
        <v>67</v>
      </c>
      <c r="X2197" s="5" t="s">
        <v>67</v>
      </c>
      <c r="Y2197" s="4">
        <v>187</v>
      </c>
      <c r="Z2197" s="4">
        <v>12</v>
      </c>
      <c r="AA2197" s="4">
        <v>25</v>
      </c>
      <c r="AB2197" s="4">
        <v>2</v>
      </c>
      <c r="AC2197" s="4">
        <v>5</v>
      </c>
      <c r="AD2197" s="4">
        <v>63</v>
      </c>
      <c r="AE2197" s="4">
        <v>78</v>
      </c>
      <c r="AF2197" s="4">
        <v>1</v>
      </c>
      <c r="AG2197" s="4">
        <v>2</v>
      </c>
      <c r="AH2197" s="4">
        <v>57</v>
      </c>
      <c r="AI2197" s="4">
        <v>68</v>
      </c>
      <c r="AJ2197" s="4">
        <v>9</v>
      </c>
      <c r="AK2197" s="4">
        <v>12</v>
      </c>
      <c r="AL2197" s="4">
        <v>33</v>
      </c>
      <c r="AM2197" s="4">
        <v>40</v>
      </c>
      <c r="AN2197" s="4">
        <v>0</v>
      </c>
      <c r="AO2197" s="4">
        <v>0</v>
      </c>
      <c r="AP2197" s="4">
        <v>10</v>
      </c>
      <c r="AQ2197" s="4">
        <v>15</v>
      </c>
      <c r="AR2197" s="3" t="s">
        <v>62</v>
      </c>
      <c r="AS2197" s="3" t="s">
        <v>62</v>
      </c>
      <c r="AT2197" s="3" t="s">
        <v>62</v>
      </c>
      <c r="AV2197" s="6" t="str">
        <f>HYPERLINK("http://mcgill.on.worldcat.org/oclc/70147423","Catalog Record")</f>
        <v>Catalog Record</v>
      </c>
      <c r="AW2197" s="6" t="str">
        <f>HYPERLINK("http://www.worldcat.org/oclc/70147423","WorldCat Record")</f>
        <v>WorldCat Record</v>
      </c>
      <c r="AX2197" s="3" t="s">
        <v>21692</v>
      </c>
      <c r="AY2197" s="3" t="s">
        <v>21693</v>
      </c>
      <c r="AZ2197" s="3" t="s">
        <v>21694</v>
      </c>
      <c r="BA2197" s="3" t="s">
        <v>21694</v>
      </c>
      <c r="BB2197" s="3" t="s">
        <v>21695</v>
      </c>
      <c r="BC2197" s="3" t="s">
        <v>102</v>
      </c>
      <c r="BD2197" s="3" t="s">
        <v>68</v>
      </c>
      <c r="BE2197" s="3" t="s">
        <v>21696</v>
      </c>
      <c r="BF2197" s="3" t="s">
        <v>21695</v>
      </c>
      <c r="BG2197" s="3" t="s">
        <v>21697</v>
      </c>
    </row>
    <row r="2198" spans="1:59" ht="101.5" x14ac:dyDescent="0.35">
      <c r="A2198" s="2" t="s">
        <v>89</v>
      </c>
      <c r="B2198" s="2" t="s">
        <v>12301</v>
      </c>
      <c r="C2198" s="2" t="s">
        <v>21686</v>
      </c>
      <c r="D2198" s="2" t="s">
        <v>21687</v>
      </c>
      <c r="E2198" s="2" t="s">
        <v>21688</v>
      </c>
      <c r="G2198" s="3" t="s">
        <v>62</v>
      </c>
      <c r="I2198" s="3" t="s">
        <v>61</v>
      </c>
      <c r="J2198" s="3" t="s">
        <v>62</v>
      </c>
      <c r="K2198" s="3" t="s">
        <v>63</v>
      </c>
      <c r="L2198" s="2" t="s">
        <v>21689</v>
      </c>
      <c r="M2198" s="2" t="s">
        <v>21690</v>
      </c>
      <c r="N2198" s="3" t="s">
        <v>1195</v>
      </c>
      <c r="P2198" s="3" t="s">
        <v>64</v>
      </c>
      <c r="R2198" s="3" t="s">
        <v>13065</v>
      </c>
      <c r="S2198" s="4">
        <v>52</v>
      </c>
      <c r="T2198" s="4">
        <v>116</v>
      </c>
      <c r="U2198" s="5" t="s">
        <v>8532</v>
      </c>
      <c r="V2198" s="5" t="s">
        <v>8532</v>
      </c>
      <c r="W2198" s="5" t="s">
        <v>67</v>
      </c>
      <c r="X2198" s="5" t="s">
        <v>67</v>
      </c>
      <c r="Y2198" s="4">
        <v>187</v>
      </c>
      <c r="Z2198" s="4">
        <v>12</v>
      </c>
      <c r="AA2198" s="4">
        <v>25</v>
      </c>
      <c r="AB2198" s="4">
        <v>2</v>
      </c>
      <c r="AC2198" s="4">
        <v>5</v>
      </c>
      <c r="AD2198" s="4">
        <v>63</v>
      </c>
      <c r="AE2198" s="4">
        <v>78</v>
      </c>
      <c r="AF2198" s="4">
        <v>1</v>
      </c>
      <c r="AG2198" s="4">
        <v>2</v>
      </c>
      <c r="AH2198" s="4">
        <v>57</v>
      </c>
      <c r="AI2198" s="4">
        <v>68</v>
      </c>
      <c r="AJ2198" s="4">
        <v>9</v>
      </c>
      <c r="AK2198" s="4">
        <v>12</v>
      </c>
      <c r="AL2198" s="4">
        <v>33</v>
      </c>
      <c r="AM2198" s="4">
        <v>40</v>
      </c>
      <c r="AN2198" s="4">
        <v>0</v>
      </c>
      <c r="AO2198" s="4">
        <v>0</v>
      </c>
      <c r="AP2198" s="4">
        <v>10</v>
      </c>
      <c r="AQ2198" s="4">
        <v>15</v>
      </c>
      <c r="AR2198" s="3" t="s">
        <v>62</v>
      </c>
      <c r="AS2198" s="3" t="s">
        <v>62</v>
      </c>
      <c r="AT2198" s="3" t="s">
        <v>62</v>
      </c>
      <c r="AV2198" s="6" t="str">
        <f>HYPERLINK("http://mcgill.on.worldcat.org/oclc/70147423","Catalog Record")</f>
        <v>Catalog Record</v>
      </c>
      <c r="AW2198" s="6" t="str">
        <f>HYPERLINK("http://www.worldcat.org/oclc/70147423","WorldCat Record")</f>
        <v>WorldCat Record</v>
      </c>
      <c r="AX2198" s="3" t="s">
        <v>21692</v>
      </c>
      <c r="AY2198" s="3" t="s">
        <v>21693</v>
      </c>
      <c r="AZ2198" s="3" t="s">
        <v>21694</v>
      </c>
      <c r="BA2198" s="3" t="s">
        <v>21694</v>
      </c>
      <c r="BB2198" s="3" t="s">
        <v>21698</v>
      </c>
      <c r="BC2198" s="3" t="s">
        <v>102</v>
      </c>
      <c r="BD2198" s="3" t="s">
        <v>68</v>
      </c>
      <c r="BE2198" s="3" t="s">
        <v>21696</v>
      </c>
      <c r="BF2198" s="3" t="s">
        <v>21698</v>
      </c>
      <c r="BG2198" s="3" t="s">
        <v>21699</v>
      </c>
    </row>
    <row r="2199" spans="1:59" ht="58" x14ac:dyDescent="0.35">
      <c r="A2199" s="2" t="s">
        <v>89</v>
      </c>
      <c r="B2199" s="2" t="s">
        <v>90</v>
      </c>
      <c r="C2199" s="2" t="s">
        <v>21700</v>
      </c>
      <c r="D2199" s="2" t="s">
        <v>21701</v>
      </c>
      <c r="E2199" s="2" t="s">
        <v>21702</v>
      </c>
      <c r="G2199" s="3" t="s">
        <v>62</v>
      </c>
      <c r="I2199" s="3" t="s">
        <v>62</v>
      </c>
      <c r="J2199" s="3" t="s">
        <v>62</v>
      </c>
      <c r="K2199" s="3" t="s">
        <v>63</v>
      </c>
      <c r="L2199" s="2" t="s">
        <v>21703</v>
      </c>
      <c r="M2199" s="2" t="s">
        <v>21704</v>
      </c>
      <c r="N2199" s="3" t="s">
        <v>866</v>
      </c>
      <c r="P2199" s="3" t="s">
        <v>64</v>
      </c>
      <c r="Q2199" s="2" t="s">
        <v>15330</v>
      </c>
      <c r="R2199" s="3" t="s">
        <v>13065</v>
      </c>
      <c r="S2199" s="4">
        <v>1</v>
      </c>
      <c r="T2199" s="4">
        <v>1</v>
      </c>
      <c r="U2199" s="5" t="s">
        <v>7732</v>
      </c>
      <c r="V2199" s="5" t="s">
        <v>7732</v>
      </c>
      <c r="W2199" s="5" t="s">
        <v>67</v>
      </c>
      <c r="X2199" s="5" t="s">
        <v>67</v>
      </c>
      <c r="Y2199" s="4">
        <v>200</v>
      </c>
      <c r="Z2199" s="4">
        <v>14</v>
      </c>
      <c r="AA2199" s="4">
        <v>18</v>
      </c>
      <c r="AB2199" s="4">
        <v>2</v>
      </c>
      <c r="AC2199" s="4">
        <v>6</v>
      </c>
      <c r="AD2199" s="4">
        <v>43</v>
      </c>
      <c r="AE2199" s="4">
        <v>47</v>
      </c>
      <c r="AF2199" s="4">
        <v>1</v>
      </c>
      <c r="AG2199" s="4">
        <v>5</v>
      </c>
      <c r="AH2199" s="4">
        <v>31</v>
      </c>
      <c r="AI2199" s="4">
        <v>32</v>
      </c>
      <c r="AJ2199" s="4">
        <v>9</v>
      </c>
      <c r="AK2199" s="4">
        <v>12</v>
      </c>
      <c r="AL2199" s="4">
        <v>22</v>
      </c>
      <c r="AM2199" s="4">
        <v>22</v>
      </c>
      <c r="AN2199" s="4">
        <v>0</v>
      </c>
      <c r="AO2199" s="4">
        <v>0</v>
      </c>
      <c r="AP2199" s="4">
        <v>12</v>
      </c>
      <c r="AQ2199" s="4">
        <v>16</v>
      </c>
      <c r="AR2199" s="3" t="s">
        <v>62</v>
      </c>
      <c r="AS2199" s="3" t="s">
        <v>62</v>
      </c>
      <c r="AT2199" s="3" t="s">
        <v>61</v>
      </c>
      <c r="AU2199" s="6" t="str">
        <f>HYPERLINK("http://catalog.hathitrust.org/Record/000189326","HathiTrust Record")</f>
        <v>HathiTrust Record</v>
      </c>
      <c r="AV2199" s="6" t="str">
        <f>HYPERLINK("http://mcgill.on.worldcat.org/oclc/43659859","Catalog Record")</f>
        <v>Catalog Record</v>
      </c>
      <c r="AW2199" s="6" t="str">
        <f>HYPERLINK("http://www.worldcat.org/oclc/43659859","WorldCat Record")</f>
        <v>WorldCat Record</v>
      </c>
      <c r="AX2199" s="3" t="s">
        <v>21705</v>
      </c>
      <c r="AY2199" s="3" t="s">
        <v>21706</v>
      </c>
      <c r="AZ2199" s="3" t="s">
        <v>21707</v>
      </c>
      <c r="BA2199" s="3" t="s">
        <v>21707</v>
      </c>
      <c r="BB2199" s="3" t="s">
        <v>21708</v>
      </c>
      <c r="BC2199" s="3" t="s">
        <v>102</v>
      </c>
      <c r="BD2199" s="3" t="s">
        <v>68</v>
      </c>
      <c r="BE2199" s="3" t="s">
        <v>21709</v>
      </c>
      <c r="BF2199" s="3" t="s">
        <v>21708</v>
      </c>
      <c r="BG2199" s="3" t="s">
        <v>21710</v>
      </c>
    </row>
    <row r="2200" spans="1:59" ht="58" x14ac:dyDescent="0.35">
      <c r="A2200" s="2" t="s">
        <v>89</v>
      </c>
      <c r="B2200" s="2" t="s">
        <v>90</v>
      </c>
      <c r="C2200" s="2" t="s">
        <v>21711</v>
      </c>
      <c r="D2200" s="2" t="s">
        <v>21712</v>
      </c>
      <c r="E2200" s="2" t="s">
        <v>21713</v>
      </c>
      <c r="G2200" s="3" t="s">
        <v>62</v>
      </c>
      <c r="I2200" s="3" t="s">
        <v>62</v>
      </c>
      <c r="J2200" s="3" t="s">
        <v>62</v>
      </c>
      <c r="K2200" s="3" t="s">
        <v>63</v>
      </c>
      <c r="L2200" s="2" t="s">
        <v>21714</v>
      </c>
      <c r="M2200" s="2" t="s">
        <v>21715</v>
      </c>
      <c r="N2200" s="3" t="s">
        <v>2136</v>
      </c>
      <c r="P2200" s="3" t="s">
        <v>64</v>
      </c>
      <c r="Q2200" s="2" t="s">
        <v>21716</v>
      </c>
      <c r="R2200" s="3" t="s">
        <v>13065</v>
      </c>
      <c r="S2200" s="4">
        <v>12</v>
      </c>
      <c r="T2200" s="4">
        <v>12</v>
      </c>
      <c r="U2200" s="5" t="s">
        <v>12158</v>
      </c>
      <c r="V2200" s="5" t="s">
        <v>12158</v>
      </c>
      <c r="W2200" s="5" t="s">
        <v>67</v>
      </c>
      <c r="X2200" s="5" t="s">
        <v>67</v>
      </c>
      <c r="Y2200" s="4">
        <v>216</v>
      </c>
      <c r="Z2200" s="4">
        <v>19</v>
      </c>
      <c r="AA2200" s="4">
        <v>54</v>
      </c>
      <c r="AB2200" s="4">
        <v>2</v>
      </c>
      <c r="AC2200" s="4">
        <v>15</v>
      </c>
      <c r="AD2200" s="4">
        <v>85</v>
      </c>
      <c r="AE2200" s="4">
        <v>130</v>
      </c>
      <c r="AF2200" s="4">
        <v>1</v>
      </c>
      <c r="AG2200" s="4">
        <v>9</v>
      </c>
      <c r="AH2200" s="4">
        <v>76</v>
      </c>
      <c r="AI2200" s="4">
        <v>96</v>
      </c>
      <c r="AJ2200" s="4">
        <v>16</v>
      </c>
      <c r="AK2200" s="4">
        <v>26</v>
      </c>
      <c r="AL2200" s="4">
        <v>43</v>
      </c>
      <c r="AM2200" s="4">
        <v>52</v>
      </c>
      <c r="AN2200" s="4">
        <v>0</v>
      </c>
      <c r="AO2200" s="4">
        <v>0</v>
      </c>
      <c r="AP2200" s="4">
        <v>17</v>
      </c>
      <c r="AQ2200" s="4">
        <v>44</v>
      </c>
      <c r="AR2200" s="3" t="s">
        <v>62</v>
      </c>
      <c r="AS2200" s="3" t="s">
        <v>62</v>
      </c>
      <c r="AT2200" s="3" t="s">
        <v>62</v>
      </c>
      <c r="AV2200" s="6" t="str">
        <f>HYPERLINK("http://mcgill.on.worldcat.org/oclc/53846549","Catalog Record")</f>
        <v>Catalog Record</v>
      </c>
      <c r="AW2200" s="6" t="str">
        <f>HYPERLINK("http://www.worldcat.org/oclc/53846549","WorldCat Record")</f>
        <v>WorldCat Record</v>
      </c>
      <c r="AX2200" s="3" t="s">
        <v>21717</v>
      </c>
      <c r="AY2200" s="3" t="s">
        <v>21718</v>
      </c>
      <c r="AZ2200" s="3" t="s">
        <v>21719</v>
      </c>
      <c r="BA2200" s="3" t="s">
        <v>21719</v>
      </c>
      <c r="BB2200" s="3" t="s">
        <v>21720</v>
      </c>
      <c r="BC2200" s="3" t="s">
        <v>102</v>
      </c>
      <c r="BD2200" s="3" t="s">
        <v>68</v>
      </c>
      <c r="BE2200" s="3" t="s">
        <v>21721</v>
      </c>
      <c r="BF2200" s="3" t="s">
        <v>21720</v>
      </c>
      <c r="BG2200" s="3" t="s">
        <v>21722</v>
      </c>
    </row>
    <row r="2201" spans="1:59" ht="58" x14ac:dyDescent="0.35">
      <c r="A2201" s="2" t="s">
        <v>89</v>
      </c>
      <c r="B2201" s="2" t="s">
        <v>90</v>
      </c>
      <c r="C2201" s="2" t="s">
        <v>21723</v>
      </c>
      <c r="D2201" s="2" t="s">
        <v>21724</v>
      </c>
      <c r="E2201" s="2" t="s">
        <v>21725</v>
      </c>
      <c r="G2201" s="3" t="s">
        <v>62</v>
      </c>
      <c r="I2201" s="3" t="s">
        <v>61</v>
      </c>
      <c r="J2201" s="3" t="s">
        <v>61</v>
      </c>
      <c r="K2201" s="3" t="s">
        <v>63</v>
      </c>
      <c r="L2201" s="2" t="s">
        <v>21726</v>
      </c>
      <c r="M2201" s="2" t="s">
        <v>21727</v>
      </c>
      <c r="N2201" s="3" t="s">
        <v>186</v>
      </c>
      <c r="O2201" s="2" t="s">
        <v>8350</v>
      </c>
      <c r="P2201" s="3" t="s">
        <v>64</v>
      </c>
      <c r="R2201" s="3" t="s">
        <v>13065</v>
      </c>
      <c r="S2201" s="4">
        <v>32</v>
      </c>
      <c r="T2201" s="4">
        <v>120</v>
      </c>
      <c r="U2201" s="5" t="s">
        <v>13290</v>
      </c>
      <c r="V2201" s="5" t="s">
        <v>6618</v>
      </c>
      <c r="W2201" s="5" t="s">
        <v>67</v>
      </c>
      <c r="X2201" s="5" t="s">
        <v>67</v>
      </c>
      <c r="Y2201" s="4">
        <v>672</v>
      </c>
      <c r="Z2201" s="4">
        <v>29</v>
      </c>
      <c r="AA2201" s="4">
        <v>113</v>
      </c>
      <c r="AB2201" s="4">
        <v>2</v>
      </c>
      <c r="AC2201" s="4">
        <v>24</v>
      </c>
      <c r="AD2201" s="4">
        <v>118</v>
      </c>
      <c r="AE2201" s="4">
        <v>160</v>
      </c>
      <c r="AF2201" s="4">
        <v>1</v>
      </c>
      <c r="AG2201" s="4">
        <v>12</v>
      </c>
      <c r="AH2201" s="4">
        <v>102</v>
      </c>
      <c r="AI2201" s="4">
        <v>113</v>
      </c>
      <c r="AJ2201" s="4">
        <v>19</v>
      </c>
      <c r="AK2201" s="4">
        <v>27</v>
      </c>
      <c r="AL2201" s="4">
        <v>59</v>
      </c>
      <c r="AM2201" s="4">
        <v>61</v>
      </c>
      <c r="AN2201" s="4">
        <v>0</v>
      </c>
      <c r="AO2201" s="4">
        <v>0</v>
      </c>
      <c r="AP2201" s="4">
        <v>25</v>
      </c>
      <c r="AQ2201" s="4">
        <v>56</v>
      </c>
      <c r="AR2201" s="3" t="s">
        <v>62</v>
      </c>
      <c r="AS2201" s="3" t="s">
        <v>62</v>
      </c>
      <c r="AT2201" s="3" t="s">
        <v>62</v>
      </c>
      <c r="AV2201" s="6" t="str">
        <f>HYPERLINK("http://mcgill.on.worldcat.org/oclc/1279526","Catalog Record")</f>
        <v>Catalog Record</v>
      </c>
      <c r="AW2201" s="6" t="str">
        <f>HYPERLINK("http://www.worldcat.org/oclc/1279526","WorldCat Record")</f>
        <v>WorldCat Record</v>
      </c>
      <c r="AX2201" s="3" t="s">
        <v>21728</v>
      </c>
      <c r="AY2201" s="3" t="s">
        <v>21729</v>
      </c>
      <c r="AZ2201" s="3" t="s">
        <v>21730</v>
      </c>
      <c r="BA2201" s="3" t="s">
        <v>21730</v>
      </c>
      <c r="BB2201" s="3" t="s">
        <v>21731</v>
      </c>
      <c r="BC2201" s="3" t="s">
        <v>102</v>
      </c>
      <c r="BD2201" s="3" t="s">
        <v>231</v>
      </c>
      <c r="BE2201" s="3" t="s">
        <v>21732</v>
      </c>
      <c r="BF2201" s="3" t="s">
        <v>21731</v>
      </c>
      <c r="BG2201" s="3" t="s">
        <v>21733</v>
      </c>
    </row>
    <row r="2202" spans="1:59" ht="58" x14ac:dyDescent="0.35">
      <c r="A2202" s="2" t="s">
        <v>89</v>
      </c>
      <c r="B2202" s="2" t="s">
        <v>90</v>
      </c>
      <c r="C2202" s="2" t="s">
        <v>21734</v>
      </c>
      <c r="D2202" s="2" t="s">
        <v>21735</v>
      </c>
      <c r="E2202" s="2" t="s">
        <v>21736</v>
      </c>
      <c r="G2202" s="3" t="s">
        <v>62</v>
      </c>
      <c r="I2202" s="3" t="s">
        <v>62</v>
      </c>
      <c r="J2202" s="3" t="s">
        <v>62</v>
      </c>
      <c r="K2202" s="3" t="s">
        <v>63</v>
      </c>
      <c r="M2202" s="2" t="s">
        <v>21737</v>
      </c>
      <c r="N2202" s="3" t="s">
        <v>655</v>
      </c>
      <c r="O2202" s="2" t="s">
        <v>2163</v>
      </c>
      <c r="P2202" s="3" t="s">
        <v>64</v>
      </c>
      <c r="R2202" s="3" t="s">
        <v>13065</v>
      </c>
      <c r="S2202" s="4">
        <v>4</v>
      </c>
      <c r="T2202" s="4">
        <v>4</v>
      </c>
      <c r="U2202" s="5" t="s">
        <v>12158</v>
      </c>
      <c r="V2202" s="5" t="s">
        <v>12158</v>
      </c>
      <c r="W2202" s="5" t="s">
        <v>67</v>
      </c>
      <c r="X2202" s="5" t="s">
        <v>67</v>
      </c>
      <c r="Y2202" s="4">
        <v>85</v>
      </c>
      <c r="Z2202" s="4">
        <v>5</v>
      </c>
      <c r="AA2202" s="4">
        <v>20</v>
      </c>
      <c r="AB2202" s="4">
        <v>1</v>
      </c>
      <c r="AC2202" s="4">
        <v>3</v>
      </c>
      <c r="AD2202" s="4">
        <v>37</v>
      </c>
      <c r="AE2202" s="4">
        <v>65</v>
      </c>
      <c r="AF2202" s="4">
        <v>0</v>
      </c>
      <c r="AG2202" s="4">
        <v>1</v>
      </c>
      <c r="AH2202" s="4">
        <v>36</v>
      </c>
      <c r="AI2202" s="4">
        <v>55</v>
      </c>
      <c r="AJ2202" s="4">
        <v>4</v>
      </c>
      <c r="AK2202" s="4">
        <v>8</v>
      </c>
      <c r="AL2202" s="4">
        <v>18</v>
      </c>
      <c r="AM2202" s="4">
        <v>29</v>
      </c>
      <c r="AN2202" s="4">
        <v>0</v>
      </c>
      <c r="AO2202" s="4">
        <v>0</v>
      </c>
      <c r="AP2202" s="4">
        <v>4</v>
      </c>
      <c r="AQ2202" s="4">
        <v>13</v>
      </c>
      <c r="AR2202" s="3" t="s">
        <v>62</v>
      </c>
      <c r="AS2202" s="3" t="s">
        <v>62</v>
      </c>
      <c r="AT2202" s="3" t="s">
        <v>62</v>
      </c>
      <c r="AV2202" s="6" t="str">
        <f>HYPERLINK("http://mcgill.on.worldcat.org/oclc/176918849","Catalog Record")</f>
        <v>Catalog Record</v>
      </c>
      <c r="AW2202" s="6" t="str">
        <f>HYPERLINK("http://www.worldcat.org/oclc/176918849","WorldCat Record")</f>
        <v>WorldCat Record</v>
      </c>
      <c r="AX2202" s="3" t="s">
        <v>21738</v>
      </c>
      <c r="AY2202" s="3" t="s">
        <v>21739</v>
      </c>
      <c r="AZ2202" s="3" t="s">
        <v>21740</v>
      </c>
      <c r="BA2202" s="3" t="s">
        <v>21740</v>
      </c>
      <c r="BB2202" s="3" t="s">
        <v>21741</v>
      </c>
      <c r="BC2202" s="3" t="s">
        <v>102</v>
      </c>
      <c r="BD2202" s="3" t="s">
        <v>68</v>
      </c>
      <c r="BE2202" s="3" t="s">
        <v>21742</v>
      </c>
      <c r="BF2202" s="3" t="s">
        <v>21741</v>
      </c>
      <c r="BG2202" s="3" t="s">
        <v>21743</v>
      </c>
    </row>
    <row r="2203" spans="1:59" ht="58" x14ac:dyDescent="0.35">
      <c r="A2203" s="2" t="s">
        <v>89</v>
      </c>
      <c r="B2203" s="2" t="s">
        <v>90</v>
      </c>
      <c r="C2203" s="2" t="s">
        <v>21744</v>
      </c>
      <c r="D2203" s="2" t="s">
        <v>21745</v>
      </c>
      <c r="E2203" s="2" t="s">
        <v>21746</v>
      </c>
      <c r="G2203" s="3" t="s">
        <v>62</v>
      </c>
      <c r="I2203" s="3" t="s">
        <v>62</v>
      </c>
      <c r="J2203" s="3" t="s">
        <v>62</v>
      </c>
      <c r="K2203" s="3" t="s">
        <v>63</v>
      </c>
      <c r="L2203" s="2" t="s">
        <v>21747</v>
      </c>
      <c r="M2203" s="2" t="s">
        <v>21748</v>
      </c>
      <c r="N2203" s="3" t="s">
        <v>21749</v>
      </c>
      <c r="P2203" s="3" t="s">
        <v>64</v>
      </c>
      <c r="R2203" s="3" t="s">
        <v>13065</v>
      </c>
      <c r="S2203" s="4">
        <v>3</v>
      </c>
      <c r="T2203" s="4">
        <v>3</v>
      </c>
      <c r="U2203" s="5" t="s">
        <v>3595</v>
      </c>
      <c r="V2203" s="5" t="s">
        <v>3595</v>
      </c>
      <c r="W2203" s="5" t="s">
        <v>67</v>
      </c>
      <c r="X2203" s="5" t="s">
        <v>67</v>
      </c>
      <c r="Y2203" s="4">
        <v>1</v>
      </c>
      <c r="Z2203" s="4">
        <v>1</v>
      </c>
      <c r="AA2203" s="4">
        <v>20</v>
      </c>
      <c r="AB2203" s="4">
        <v>1</v>
      </c>
      <c r="AC2203" s="4">
        <v>1</v>
      </c>
      <c r="AD2203" s="4">
        <v>0</v>
      </c>
      <c r="AE2203" s="4">
        <v>56</v>
      </c>
      <c r="AF2203" s="4">
        <v>0</v>
      </c>
      <c r="AG2203" s="4">
        <v>0</v>
      </c>
      <c r="AH2203" s="4">
        <v>0</v>
      </c>
      <c r="AI2203" s="4">
        <v>48</v>
      </c>
      <c r="AJ2203" s="4">
        <v>0</v>
      </c>
      <c r="AK2203" s="4">
        <v>7</v>
      </c>
      <c r="AL2203" s="4">
        <v>0</v>
      </c>
      <c r="AM2203" s="4">
        <v>29</v>
      </c>
      <c r="AN2203" s="4">
        <v>0</v>
      </c>
      <c r="AO2203" s="4">
        <v>3</v>
      </c>
      <c r="AP2203" s="4">
        <v>0</v>
      </c>
      <c r="AQ2203" s="4">
        <v>11</v>
      </c>
      <c r="AR2203" s="3" t="s">
        <v>62</v>
      </c>
      <c r="AS2203" s="3" t="s">
        <v>62</v>
      </c>
      <c r="AT2203" s="3" t="s">
        <v>62</v>
      </c>
      <c r="AV2203" s="6" t="str">
        <f>HYPERLINK("http://mcgill.on.worldcat.org/oclc/427528162","Catalog Record")</f>
        <v>Catalog Record</v>
      </c>
      <c r="AW2203" s="6" t="str">
        <f>HYPERLINK("http://www.worldcat.org/oclc/427528162","WorldCat Record")</f>
        <v>WorldCat Record</v>
      </c>
      <c r="AX2203" s="3" t="s">
        <v>21750</v>
      </c>
      <c r="AY2203" s="3" t="s">
        <v>21751</v>
      </c>
      <c r="AZ2203" s="3" t="s">
        <v>21752</v>
      </c>
      <c r="BA2203" s="3" t="s">
        <v>21752</v>
      </c>
      <c r="BB2203" s="3" t="s">
        <v>21753</v>
      </c>
      <c r="BC2203" s="3" t="s">
        <v>102</v>
      </c>
      <c r="BD2203" s="3" t="s">
        <v>68</v>
      </c>
      <c r="BF2203" s="3" t="s">
        <v>21753</v>
      </c>
      <c r="BG2203" s="3" t="s">
        <v>21754</v>
      </c>
    </row>
    <row r="2204" spans="1:59" ht="72.5" x14ac:dyDescent="0.35">
      <c r="A2204" s="2" t="s">
        <v>89</v>
      </c>
      <c r="B2204" s="2" t="s">
        <v>90</v>
      </c>
      <c r="C2204" s="2" t="s">
        <v>21755</v>
      </c>
      <c r="D2204" s="2" t="s">
        <v>21756</v>
      </c>
      <c r="E2204" s="2" t="s">
        <v>21757</v>
      </c>
      <c r="F2204" s="3" t="s">
        <v>21758</v>
      </c>
      <c r="G2204" s="3" t="s">
        <v>62</v>
      </c>
      <c r="I2204" s="3" t="s">
        <v>61</v>
      </c>
      <c r="J2204" s="3" t="s">
        <v>62</v>
      </c>
      <c r="K2204" s="3" t="s">
        <v>63</v>
      </c>
      <c r="M2204" s="2" t="s">
        <v>21759</v>
      </c>
      <c r="N2204" s="3" t="s">
        <v>1905</v>
      </c>
      <c r="P2204" s="3" t="s">
        <v>64</v>
      </c>
      <c r="Q2204" s="2" t="s">
        <v>21760</v>
      </c>
      <c r="R2204" s="3" t="s">
        <v>13065</v>
      </c>
      <c r="S2204" s="4">
        <v>0</v>
      </c>
      <c r="T2204" s="4">
        <v>1</v>
      </c>
      <c r="V2204" s="5" t="s">
        <v>840</v>
      </c>
      <c r="W2204" s="5" t="s">
        <v>67</v>
      </c>
      <c r="X2204" s="5" t="s">
        <v>67</v>
      </c>
      <c r="Y2204" s="4">
        <v>155</v>
      </c>
      <c r="Z2204" s="4">
        <v>17</v>
      </c>
      <c r="AA2204" s="4">
        <v>20</v>
      </c>
      <c r="AB2204" s="4">
        <v>1</v>
      </c>
      <c r="AC2204" s="4">
        <v>4</v>
      </c>
      <c r="AD2204" s="4">
        <v>73</v>
      </c>
      <c r="AE2204" s="4">
        <v>74</v>
      </c>
      <c r="AF2204" s="4">
        <v>0</v>
      </c>
      <c r="AG2204" s="4">
        <v>1</v>
      </c>
      <c r="AH2204" s="4">
        <v>64</v>
      </c>
      <c r="AI2204" s="4">
        <v>64</v>
      </c>
      <c r="AJ2204" s="4">
        <v>12</v>
      </c>
      <c r="AK2204" s="4">
        <v>13</v>
      </c>
      <c r="AL2204" s="4">
        <v>40</v>
      </c>
      <c r="AM2204" s="4">
        <v>40</v>
      </c>
      <c r="AN2204" s="4">
        <v>0</v>
      </c>
      <c r="AO2204" s="4">
        <v>0</v>
      </c>
      <c r="AP2204" s="4">
        <v>14</v>
      </c>
      <c r="AQ2204" s="4">
        <v>15</v>
      </c>
      <c r="AR2204" s="3" t="s">
        <v>62</v>
      </c>
      <c r="AS2204" s="3" t="s">
        <v>62</v>
      </c>
      <c r="AT2204" s="3" t="s">
        <v>62</v>
      </c>
      <c r="AV2204" s="6" t="str">
        <f>HYPERLINK("http://mcgill.on.worldcat.org/oclc/14719357","Catalog Record")</f>
        <v>Catalog Record</v>
      </c>
      <c r="AW2204" s="6" t="str">
        <f>HYPERLINK("http://www.worldcat.org/oclc/14719357","WorldCat Record")</f>
        <v>WorldCat Record</v>
      </c>
      <c r="AX2204" s="3" t="s">
        <v>21761</v>
      </c>
      <c r="AY2204" s="3" t="s">
        <v>21762</v>
      </c>
      <c r="AZ2204" s="3" t="s">
        <v>21763</v>
      </c>
      <c r="BA2204" s="3" t="s">
        <v>21763</v>
      </c>
      <c r="BB2204" s="3" t="s">
        <v>21764</v>
      </c>
      <c r="BC2204" s="3" t="s">
        <v>102</v>
      </c>
      <c r="BD2204" s="3" t="s">
        <v>68</v>
      </c>
      <c r="BE2204" s="3" t="s">
        <v>21765</v>
      </c>
      <c r="BF2204" s="3" t="s">
        <v>21764</v>
      </c>
      <c r="BG2204" s="3" t="s">
        <v>21766</v>
      </c>
    </row>
    <row r="2205" spans="1:59" ht="72.5" x14ac:dyDescent="0.35">
      <c r="A2205" s="2" t="s">
        <v>89</v>
      </c>
      <c r="B2205" s="2" t="s">
        <v>90</v>
      </c>
      <c r="C2205" s="2" t="s">
        <v>21767</v>
      </c>
      <c r="D2205" s="2" t="s">
        <v>21768</v>
      </c>
      <c r="E2205" s="2" t="s">
        <v>21769</v>
      </c>
      <c r="F2205" s="3" t="s">
        <v>8265</v>
      </c>
      <c r="G2205" s="3" t="s">
        <v>62</v>
      </c>
      <c r="I2205" s="3" t="s">
        <v>62</v>
      </c>
      <c r="J2205" s="3" t="s">
        <v>62</v>
      </c>
      <c r="K2205" s="3" t="s">
        <v>63</v>
      </c>
      <c r="M2205" s="2" t="s">
        <v>21759</v>
      </c>
      <c r="N2205" s="3" t="s">
        <v>1905</v>
      </c>
      <c r="P2205" s="3" t="s">
        <v>64</v>
      </c>
      <c r="Q2205" s="2" t="s">
        <v>21770</v>
      </c>
      <c r="R2205" s="3" t="s">
        <v>13065</v>
      </c>
      <c r="S2205" s="4">
        <v>7</v>
      </c>
      <c r="T2205" s="4">
        <v>7</v>
      </c>
      <c r="U2205" s="5" t="s">
        <v>8758</v>
      </c>
      <c r="V2205" s="5" t="s">
        <v>8758</v>
      </c>
      <c r="W2205" s="5" t="s">
        <v>67</v>
      </c>
      <c r="X2205" s="5" t="s">
        <v>67</v>
      </c>
      <c r="Y2205" s="4">
        <v>153</v>
      </c>
      <c r="Z2205" s="4">
        <v>20</v>
      </c>
      <c r="AA2205" s="4">
        <v>20</v>
      </c>
      <c r="AB2205" s="4">
        <v>2</v>
      </c>
      <c r="AC2205" s="4">
        <v>2</v>
      </c>
      <c r="AD2205" s="4">
        <v>68</v>
      </c>
      <c r="AE2205" s="4">
        <v>68</v>
      </c>
      <c r="AF2205" s="4">
        <v>1</v>
      </c>
      <c r="AG2205" s="4">
        <v>1</v>
      </c>
      <c r="AH2205" s="4">
        <v>58</v>
      </c>
      <c r="AI2205" s="4">
        <v>58</v>
      </c>
      <c r="AJ2205" s="4">
        <v>15</v>
      </c>
      <c r="AK2205" s="4">
        <v>15</v>
      </c>
      <c r="AL2205" s="4">
        <v>37</v>
      </c>
      <c r="AM2205" s="4">
        <v>37</v>
      </c>
      <c r="AN2205" s="4">
        <v>0</v>
      </c>
      <c r="AO2205" s="4">
        <v>0</v>
      </c>
      <c r="AP2205" s="4">
        <v>16</v>
      </c>
      <c r="AQ2205" s="4">
        <v>16</v>
      </c>
      <c r="AR2205" s="3" t="s">
        <v>62</v>
      </c>
      <c r="AS2205" s="3" t="s">
        <v>62</v>
      </c>
      <c r="AT2205" s="3" t="s">
        <v>62</v>
      </c>
      <c r="AV2205" s="6" t="str">
        <f>HYPERLINK("http://mcgill.on.worldcat.org/oclc/14819145","Catalog Record")</f>
        <v>Catalog Record</v>
      </c>
      <c r="AW2205" s="6" t="str">
        <f>HYPERLINK("http://www.worldcat.org/oclc/14819145","WorldCat Record")</f>
        <v>WorldCat Record</v>
      </c>
      <c r="AX2205" s="3" t="s">
        <v>21771</v>
      </c>
      <c r="AY2205" s="3" t="s">
        <v>21772</v>
      </c>
      <c r="AZ2205" s="3" t="s">
        <v>21773</v>
      </c>
      <c r="BA2205" s="3" t="s">
        <v>21773</v>
      </c>
      <c r="BB2205" s="3" t="s">
        <v>21774</v>
      </c>
      <c r="BC2205" s="3" t="s">
        <v>102</v>
      </c>
      <c r="BD2205" s="3" t="s">
        <v>68</v>
      </c>
      <c r="BE2205" s="3" t="s">
        <v>21775</v>
      </c>
      <c r="BF2205" s="3" t="s">
        <v>21774</v>
      </c>
      <c r="BG2205" s="3" t="s">
        <v>21776</v>
      </c>
    </row>
    <row r="2206" spans="1:59" ht="58" x14ac:dyDescent="0.35">
      <c r="A2206" s="2" t="s">
        <v>89</v>
      </c>
      <c r="B2206" s="2" t="s">
        <v>90</v>
      </c>
      <c r="C2206" s="2" t="s">
        <v>21777</v>
      </c>
      <c r="D2206" s="2" t="s">
        <v>21778</v>
      </c>
      <c r="E2206" s="2" t="s">
        <v>21779</v>
      </c>
      <c r="G2206" s="3" t="s">
        <v>62</v>
      </c>
      <c r="I2206" s="3" t="s">
        <v>62</v>
      </c>
      <c r="J2206" s="3" t="s">
        <v>62</v>
      </c>
      <c r="K2206" s="3" t="s">
        <v>63</v>
      </c>
      <c r="L2206" s="2" t="s">
        <v>21780</v>
      </c>
      <c r="M2206" s="2" t="s">
        <v>18736</v>
      </c>
      <c r="N2206" s="3" t="s">
        <v>524</v>
      </c>
      <c r="P2206" s="3" t="s">
        <v>64</v>
      </c>
      <c r="R2206" s="3" t="s">
        <v>13065</v>
      </c>
      <c r="S2206" s="4">
        <v>26</v>
      </c>
      <c r="T2206" s="4">
        <v>26</v>
      </c>
      <c r="U2206" s="5" t="s">
        <v>17612</v>
      </c>
      <c r="V2206" s="5" t="s">
        <v>17612</v>
      </c>
      <c r="W2206" s="5" t="s">
        <v>67</v>
      </c>
      <c r="X2206" s="5" t="s">
        <v>67</v>
      </c>
      <c r="Y2206" s="4">
        <v>579</v>
      </c>
      <c r="Z2206" s="4">
        <v>25</v>
      </c>
      <c r="AA2206" s="4">
        <v>33</v>
      </c>
      <c r="AB2206" s="4">
        <v>2</v>
      </c>
      <c r="AC2206" s="4">
        <v>9</v>
      </c>
      <c r="AD2206" s="4">
        <v>109</v>
      </c>
      <c r="AE2206" s="4">
        <v>119</v>
      </c>
      <c r="AF2206" s="4">
        <v>1</v>
      </c>
      <c r="AG2206" s="4">
        <v>5</v>
      </c>
      <c r="AH2206" s="4">
        <v>95</v>
      </c>
      <c r="AI2206" s="4">
        <v>101</v>
      </c>
      <c r="AJ2206" s="4">
        <v>11</v>
      </c>
      <c r="AK2206" s="4">
        <v>14</v>
      </c>
      <c r="AL2206" s="4">
        <v>52</v>
      </c>
      <c r="AM2206" s="4">
        <v>53</v>
      </c>
      <c r="AN2206" s="4">
        <v>0</v>
      </c>
      <c r="AO2206" s="4">
        <v>0</v>
      </c>
      <c r="AP2206" s="4">
        <v>18</v>
      </c>
      <c r="AQ2206" s="4">
        <v>22</v>
      </c>
      <c r="AR2206" s="3" t="s">
        <v>62</v>
      </c>
      <c r="AS2206" s="3" t="s">
        <v>62</v>
      </c>
      <c r="AT2206" s="3" t="s">
        <v>61</v>
      </c>
      <c r="AU2206" s="6" t="str">
        <f>HYPERLINK("http://catalog.hathitrust.org/Record/002960639","HathiTrust Record")</f>
        <v>HathiTrust Record</v>
      </c>
      <c r="AV2206" s="6" t="str">
        <f>HYPERLINK("http://mcgill.on.worldcat.org/oclc/31011850","Catalog Record")</f>
        <v>Catalog Record</v>
      </c>
      <c r="AW2206" s="6" t="str">
        <f>HYPERLINK("http://www.worldcat.org/oclc/31011850","WorldCat Record")</f>
        <v>WorldCat Record</v>
      </c>
      <c r="AX2206" s="3" t="s">
        <v>21781</v>
      </c>
      <c r="AY2206" s="3" t="s">
        <v>21782</v>
      </c>
      <c r="AZ2206" s="3" t="s">
        <v>21783</v>
      </c>
      <c r="BA2206" s="3" t="s">
        <v>21783</v>
      </c>
      <c r="BB2206" s="3" t="s">
        <v>21784</v>
      </c>
      <c r="BC2206" s="3" t="s">
        <v>102</v>
      </c>
      <c r="BD2206" s="3" t="s">
        <v>231</v>
      </c>
      <c r="BE2206" s="3" t="s">
        <v>21785</v>
      </c>
      <c r="BF2206" s="3" t="s">
        <v>21784</v>
      </c>
      <c r="BG2206" s="3" t="s">
        <v>21786</v>
      </c>
    </row>
    <row r="2207" spans="1:59" ht="58" x14ac:dyDescent="0.35">
      <c r="A2207" s="2" t="s">
        <v>89</v>
      </c>
      <c r="B2207" s="2" t="s">
        <v>90</v>
      </c>
      <c r="C2207" s="2" t="s">
        <v>21787</v>
      </c>
      <c r="D2207" s="2" t="s">
        <v>21788</v>
      </c>
      <c r="E2207" s="2" t="s">
        <v>21789</v>
      </c>
      <c r="G2207" s="3" t="s">
        <v>62</v>
      </c>
      <c r="I2207" s="3" t="s">
        <v>61</v>
      </c>
      <c r="J2207" s="3" t="s">
        <v>62</v>
      </c>
      <c r="K2207" s="3" t="s">
        <v>63</v>
      </c>
      <c r="L2207" s="2" t="s">
        <v>21790</v>
      </c>
      <c r="M2207" s="2" t="s">
        <v>21791</v>
      </c>
      <c r="N2207" s="3" t="s">
        <v>2975</v>
      </c>
      <c r="P2207" s="3" t="s">
        <v>64</v>
      </c>
      <c r="Q2207" s="2" t="s">
        <v>21792</v>
      </c>
      <c r="R2207" s="3" t="s">
        <v>13065</v>
      </c>
      <c r="S2207" s="4">
        <v>38</v>
      </c>
      <c r="T2207" s="4">
        <v>45</v>
      </c>
      <c r="U2207" s="5" t="s">
        <v>18535</v>
      </c>
      <c r="V2207" s="5" t="s">
        <v>18535</v>
      </c>
      <c r="W2207" s="5" t="s">
        <v>67</v>
      </c>
      <c r="X2207" s="5" t="s">
        <v>67</v>
      </c>
      <c r="Y2207" s="4">
        <v>455</v>
      </c>
      <c r="Z2207" s="4">
        <v>28</v>
      </c>
      <c r="AA2207" s="4">
        <v>48</v>
      </c>
      <c r="AB2207" s="4">
        <v>2</v>
      </c>
      <c r="AC2207" s="4">
        <v>9</v>
      </c>
      <c r="AD2207" s="4">
        <v>110</v>
      </c>
      <c r="AE2207" s="4">
        <v>128</v>
      </c>
      <c r="AF2207" s="4">
        <v>0</v>
      </c>
      <c r="AG2207" s="4">
        <v>5</v>
      </c>
      <c r="AH2207" s="4">
        <v>94</v>
      </c>
      <c r="AI2207" s="4">
        <v>102</v>
      </c>
      <c r="AJ2207" s="4">
        <v>13</v>
      </c>
      <c r="AK2207" s="4">
        <v>22</v>
      </c>
      <c r="AL2207" s="4">
        <v>52</v>
      </c>
      <c r="AM2207" s="4">
        <v>54</v>
      </c>
      <c r="AN2207" s="4">
        <v>0</v>
      </c>
      <c r="AO2207" s="4">
        <v>0</v>
      </c>
      <c r="AP2207" s="4">
        <v>21</v>
      </c>
      <c r="AQ2207" s="4">
        <v>35</v>
      </c>
      <c r="AR2207" s="3" t="s">
        <v>62</v>
      </c>
      <c r="AS2207" s="3" t="s">
        <v>62</v>
      </c>
      <c r="AT2207" s="3" t="s">
        <v>62</v>
      </c>
      <c r="AV2207" s="6" t="str">
        <f>HYPERLINK("http://mcgill.on.worldcat.org/oclc/46364640","Catalog Record")</f>
        <v>Catalog Record</v>
      </c>
      <c r="AW2207" s="6" t="str">
        <f>HYPERLINK("http://www.worldcat.org/oclc/46364640","WorldCat Record")</f>
        <v>WorldCat Record</v>
      </c>
      <c r="AX2207" s="3" t="s">
        <v>21793</v>
      </c>
      <c r="AY2207" s="3" t="s">
        <v>21794</v>
      </c>
      <c r="AZ2207" s="3" t="s">
        <v>21795</v>
      </c>
      <c r="BA2207" s="3" t="s">
        <v>21795</v>
      </c>
      <c r="BB2207" s="3" t="s">
        <v>21796</v>
      </c>
      <c r="BC2207" s="3" t="s">
        <v>102</v>
      </c>
      <c r="BD2207" s="3" t="s">
        <v>68</v>
      </c>
      <c r="BE2207" s="3" t="s">
        <v>21797</v>
      </c>
      <c r="BF2207" s="3" t="s">
        <v>21796</v>
      </c>
      <c r="BG2207" s="3" t="s">
        <v>21798</v>
      </c>
    </row>
    <row r="2208" spans="1:59" ht="58" x14ac:dyDescent="0.35">
      <c r="A2208" s="2" t="s">
        <v>89</v>
      </c>
      <c r="B2208" s="2" t="s">
        <v>6791</v>
      </c>
      <c r="C2208" s="2" t="s">
        <v>21787</v>
      </c>
      <c r="D2208" s="2" t="s">
        <v>21788</v>
      </c>
      <c r="E2208" s="2" t="s">
        <v>21789</v>
      </c>
      <c r="G2208" s="3" t="s">
        <v>62</v>
      </c>
      <c r="I2208" s="3" t="s">
        <v>61</v>
      </c>
      <c r="J2208" s="3" t="s">
        <v>62</v>
      </c>
      <c r="K2208" s="3" t="s">
        <v>63</v>
      </c>
      <c r="L2208" s="2" t="s">
        <v>21790</v>
      </c>
      <c r="M2208" s="2" t="s">
        <v>21791</v>
      </c>
      <c r="N2208" s="3" t="s">
        <v>2975</v>
      </c>
      <c r="P2208" s="3" t="s">
        <v>64</v>
      </c>
      <c r="Q2208" s="2" t="s">
        <v>21792</v>
      </c>
      <c r="R2208" s="3" t="s">
        <v>13065</v>
      </c>
      <c r="S2208" s="4">
        <v>7</v>
      </c>
      <c r="T2208" s="4">
        <v>45</v>
      </c>
      <c r="U2208" s="5" t="s">
        <v>18138</v>
      </c>
      <c r="V2208" s="5" t="s">
        <v>18535</v>
      </c>
      <c r="W2208" s="5" t="s">
        <v>67</v>
      </c>
      <c r="X2208" s="5" t="s">
        <v>67</v>
      </c>
      <c r="Y2208" s="4">
        <v>455</v>
      </c>
      <c r="Z2208" s="4">
        <v>28</v>
      </c>
      <c r="AA2208" s="4">
        <v>48</v>
      </c>
      <c r="AB2208" s="4">
        <v>2</v>
      </c>
      <c r="AC2208" s="4">
        <v>9</v>
      </c>
      <c r="AD2208" s="4">
        <v>110</v>
      </c>
      <c r="AE2208" s="4">
        <v>128</v>
      </c>
      <c r="AF2208" s="4">
        <v>0</v>
      </c>
      <c r="AG2208" s="4">
        <v>5</v>
      </c>
      <c r="AH2208" s="4">
        <v>94</v>
      </c>
      <c r="AI2208" s="4">
        <v>102</v>
      </c>
      <c r="AJ2208" s="4">
        <v>13</v>
      </c>
      <c r="AK2208" s="4">
        <v>22</v>
      </c>
      <c r="AL2208" s="4">
        <v>52</v>
      </c>
      <c r="AM2208" s="4">
        <v>54</v>
      </c>
      <c r="AN2208" s="4">
        <v>0</v>
      </c>
      <c r="AO2208" s="4">
        <v>0</v>
      </c>
      <c r="AP2208" s="4">
        <v>21</v>
      </c>
      <c r="AQ2208" s="4">
        <v>35</v>
      </c>
      <c r="AR2208" s="3" t="s">
        <v>62</v>
      </c>
      <c r="AS2208" s="3" t="s">
        <v>62</v>
      </c>
      <c r="AT2208" s="3" t="s">
        <v>62</v>
      </c>
      <c r="AV2208" s="6" t="str">
        <f>HYPERLINK("http://mcgill.on.worldcat.org/oclc/46364640","Catalog Record")</f>
        <v>Catalog Record</v>
      </c>
      <c r="AW2208" s="6" t="str">
        <f>HYPERLINK("http://www.worldcat.org/oclc/46364640","WorldCat Record")</f>
        <v>WorldCat Record</v>
      </c>
      <c r="AX2208" s="3" t="s">
        <v>21793</v>
      </c>
      <c r="AY2208" s="3" t="s">
        <v>21794</v>
      </c>
      <c r="AZ2208" s="3" t="s">
        <v>21795</v>
      </c>
      <c r="BA2208" s="3" t="s">
        <v>21795</v>
      </c>
      <c r="BB2208" s="3" t="s">
        <v>21799</v>
      </c>
      <c r="BC2208" s="3" t="s">
        <v>102</v>
      </c>
      <c r="BD2208" s="3" t="s">
        <v>231</v>
      </c>
      <c r="BE2208" s="3" t="s">
        <v>21797</v>
      </c>
      <c r="BF2208" s="3" t="s">
        <v>21799</v>
      </c>
      <c r="BG2208" s="3" t="s">
        <v>21800</v>
      </c>
    </row>
    <row r="2209" spans="1:59" ht="58" x14ac:dyDescent="0.35">
      <c r="A2209" s="2" t="s">
        <v>89</v>
      </c>
      <c r="B2209" s="2" t="s">
        <v>90</v>
      </c>
      <c r="C2209" s="2" t="s">
        <v>21801</v>
      </c>
      <c r="D2209" s="2" t="s">
        <v>21802</v>
      </c>
      <c r="E2209" s="2" t="s">
        <v>21803</v>
      </c>
      <c r="G2209" s="3" t="s">
        <v>62</v>
      </c>
      <c r="I2209" s="3" t="s">
        <v>62</v>
      </c>
      <c r="J2209" s="3" t="s">
        <v>62</v>
      </c>
      <c r="K2209" s="3" t="s">
        <v>63</v>
      </c>
      <c r="L2209" s="2" t="s">
        <v>21804</v>
      </c>
      <c r="M2209" s="2" t="s">
        <v>21805</v>
      </c>
      <c r="N2209" s="3" t="s">
        <v>741</v>
      </c>
      <c r="O2209" s="2" t="s">
        <v>1941</v>
      </c>
      <c r="P2209" s="3" t="s">
        <v>64</v>
      </c>
      <c r="R2209" s="3" t="s">
        <v>13065</v>
      </c>
      <c r="S2209" s="4">
        <v>3</v>
      </c>
      <c r="T2209" s="4">
        <v>3</v>
      </c>
      <c r="U2209" s="5" t="s">
        <v>2292</v>
      </c>
      <c r="V2209" s="5" t="s">
        <v>2292</v>
      </c>
      <c r="W2209" s="5" t="s">
        <v>67</v>
      </c>
      <c r="X2209" s="5" t="s">
        <v>67</v>
      </c>
      <c r="Y2209" s="4">
        <v>30</v>
      </c>
      <c r="Z2209" s="4">
        <v>4</v>
      </c>
      <c r="AA2209" s="4">
        <v>4</v>
      </c>
      <c r="AB2209" s="4">
        <v>1</v>
      </c>
      <c r="AC2209" s="4">
        <v>1</v>
      </c>
      <c r="AD2209" s="4">
        <v>12</v>
      </c>
      <c r="AE2209" s="4">
        <v>12</v>
      </c>
      <c r="AF2209" s="4">
        <v>0</v>
      </c>
      <c r="AG2209" s="4">
        <v>0</v>
      </c>
      <c r="AH2209" s="4">
        <v>10</v>
      </c>
      <c r="AI2209" s="4">
        <v>10</v>
      </c>
      <c r="AJ2209" s="4">
        <v>1</v>
      </c>
      <c r="AK2209" s="4">
        <v>1</v>
      </c>
      <c r="AL2209" s="4">
        <v>6</v>
      </c>
      <c r="AM2209" s="4">
        <v>6</v>
      </c>
      <c r="AN2209" s="4">
        <v>0</v>
      </c>
      <c r="AO2209" s="4">
        <v>0</v>
      </c>
      <c r="AP2209" s="4">
        <v>2</v>
      </c>
      <c r="AQ2209" s="4">
        <v>2</v>
      </c>
      <c r="AR2209" s="3" t="s">
        <v>62</v>
      </c>
      <c r="AS2209" s="3" t="s">
        <v>62</v>
      </c>
      <c r="AT2209" s="3" t="s">
        <v>62</v>
      </c>
      <c r="AV2209" s="6" t="str">
        <f>HYPERLINK("http://mcgill.on.worldcat.org/oclc/1007063454","Catalog Record")</f>
        <v>Catalog Record</v>
      </c>
      <c r="AW2209" s="6" t="str">
        <f>HYPERLINK("http://www.worldcat.org/oclc/1007063454","WorldCat Record")</f>
        <v>WorldCat Record</v>
      </c>
      <c r="AX2209" s="3" t="s">
        <v>21806</v>
      </c>
      <c r="AY2209" s="3" t="s">
        <v>21807</v>
      </c>
      <c r="AZ2209" s="3" t="s">
        <v>21808</v>
      </c>
      <c r="BA2209" s="3" t="s">
        <v>21808</v>
      </c>
      <c r="BB2209" s="3" t="s">
        <v>21809</v>
      </c>
      <c r="BC2209" s="3" t="s">
        <v>102</v>
      </c>
      <c r="BD2209" s="3" t="s">
        <v>68</v>
      </c>
      <c r="BE2209" s="3" t="s">
        <v>21810</v>
      </c>
      <c r="BF2209" s="3" t="s">
        <v>21809</v>
      </c>
      <c r="BG2209" s="3" t="s">
        <v>21811</v>
      </c>
    </row>
    <row r="2210" spans="1:59" ht="58" x14ac:dyDescent="0.35">
      <c r="A2210" s="2" t="s">
        <v>89</v>
      </c>
      <c r="B2210" s="2" t="s">
        <v>90</v>
      </c>
      <c r="C2210" s="2" t="s">
        <v>21812</v>
      </c>
      <c r="D2210" s="2" t="s">
        <v>21813</v>
      </c>
      <c r="E2210" s="2" t="s">
        <v>21814</v>
      </c>
      <c r="G2210" s="3" t="s">
        <v>62</v>
      </c>
      <c r="I2210" s="3" t="s">
        <v>62</v>
      </c>
      <c r="J2210" s="3" t="s">
        <v>62</v>
      </c>
      <c r="K2210" s="3" t="s">
        <v>63</v>
      </c>
      <c r="L2210" s="2" t="s">
        <v>21815</v>
      </c>
      <c r="M2210" s="2" t="s">
        <v>21816</v>
      </c>
      <c r="N2210" s="3" t="s">
        <v>2566</v>
      </c>
      <c r="P2210" s="3" t="s">
        <v>64</v>
      </c>
      <c r="Q2210" s="2" t="s">
        <v>21817</v>
      </c>
      <c r="R2210" s="3" t="s">
        <v>13065</v>
      </c>
      <c r="S2210" s="4">
        <v>38</v>
      </c>
      <c r="T2210" s="4">
        <v>38</v>
      </c>
      <c r="U2210" s="5" t="s">
        <v>6773</v>
      </c>
      <c r="V2210" s="5" t="s">
        <v>6773</v>
      </c>
      <c r="W2210" s="5" t="s">
        <v>67</v>
      </c>
      <c r="X2210" s="5" t="s">
        <v>67</v>
      </c>
      <c r="Y2210" s="4">
        <v>624</v>
      </c>
      <c r="Z2210" s="4">
        <v>33</v>
      </c>
      <c r="AA2210" s="4">
        <v>51</v>
      </c>
      <c r="AB2210" s="4">
        <v>2</v>
      </c>
      <c r="AC2210" s="4">
        <v>11</v>
      </c>
      <c r="AD2210" s="4">
        <v>103</v>
      </c>
      <c r="AE2210" s="4">
        <v>130</v>
      </c>
      <c r="AF2210" s="4">
        <v>1</v>
      </c>
      <c r="AG2210" s="4">
        <v>6</v>
      </c>
      <c r="AH2210" s="4">
        <v>85</v>
      </c>
      <c r="AI2210" s="4">
        <v>103</v>
      </c>
      <c r="AJ2210" s="4">
        <v>19</v>
      </c>
      <c r="AK2210" s="4">
        <v>26</v>
      </c>
      <c r="AL2210" s="4">
        <v>47</v>
      </c>
      <c r="AM2210" s="4">
        <v>57</v>
      </c>
      <c r="AN2210" s="4">
        <v>0</v>
      </c>
      <c r="AO2210" s="4">
        <v>0</v>
      </c>
      <c r="AP2210" s="4">
        <v>24</v>
      </c>
      <c r="AQ2210" s="4">
        <v>36</v>
      </c>
      <c r="AR2210" s="3" t="s">
        <v>62</v>
      </c>
      <c r="AS2210" s="3" t="s">
        <v>62</v>
      </c>
      <c r="AT2210" s="3" t="s">
        <v>61</v>
      </c>
      <c r="AU2210" s="6" t="str">
        <f>HYPERLINK("http://catalog.hathitrust.org/Record/000358007","HathiTrust Record")</f>
        <v>HathiTrust Record</v>
      </c>
      <c r="AV2210" s="6" t="str">
        <f>HYPERLINK("http://mcgill.on.worldcat.org/oclc/585122","Catalog Record")</f>
        <v>Catalog Record</v>
      </c>
      <c r="AW2210" s="6" t="str">
        <f>HYPERLINK("http://www.worldcat.org/oclc/585122","WorldCat Record")</f>
        <v>WorldCat Record</v>
      </c>
      <c r="AX2210" s="3" t="s">
        <v>21818</v>
      </c>
      <c r="AY2210" s="3" t="s">
        <v>21819</v>
      </c>
      <c r="AZ2210" s="3" t="s">
        <v>21820</v>
      </c>
      <c r="BA2210" s="3" t="s">
        <v>21820</v>
      </c>
      <c r="BB2210" s="3" t="s">
        <v>21821</v>
      </c>
      <c r="BC2210" s="3" t="s">
        <v>102</v>
      </c>
      <c r="BD2210" s="3" t="s">
        <v>231</v>
      </c>
      <c r="BE2210" s="3" t="s">
        <v>21822</v>
      </c>
      <c r="BF2210" s="3" t="s">
        <v>21821</v>
      </c>
      <c r="BG2210" s="3" t="s">
        <v>21823</v>
      </c>
    </row>
    <row r="2211" spans="1:59" ht="58" x14ac:dyDescent="0.35">
      <c r="A2211" s="2" t="s">
        <v>89</v>
      </c>
      <c r="B2211" s="2" t="s">
        <v>90</v>
      </c>
      <c r="C2211" s="2" t="s">
        <v>21824</v>
      </c>
      <c r="D2211" s="2" t="s">
        <v>21825</v>
      </c>
      <c r="E2211" s="2" t="s">
        <v>21826</v>
      </c>
      <c r="G2211" s="3" t="s">
        <v>62</v>
      </c>
      <c r="I2211" s="3" t="s">
        <v>62</v>
      </c>
      <c r="J2211" s="3" t="s">
        <v>62</v>
      </c>
      <c r="K2211" s="3" t="s">
        <v>63</v>
      </c>
      <c r="L2211" s="2" t="s">
        <v>21827</v>
      </c>
      <c r="M2211" s="2" t="s">
        <v>21828</v>
      </c>
      <c r="N2211" s="3" t="s">
        <v>596</v>
      </c>
      <c r="P2211" s="3" t="s">
        <v>64</v>
      </c>
      <c r="Q2211" s="2" t="s">
        <v>21829</v>
      </c>
      <c r="R2211" s="3" t="s">
        <v>13065</v>
      </c>
      <c r="S2211" s="4">
        <v>13</v>
      </c>
      <c r="T2211" s="4">
        <v>13</v>
      </c>
      <c r="U2211" s="5" t="s">
        <v>16200</v>
      </c>
      <c r="V2211" s="5" t="s">
        <v>16200</v>
      </c>
      <c r="W2211" s="5" t="s">
        <v>67</v>
      </c>
      <c r="X2211" s="5" t="s">
        <v>67</v>
      </c>
      <c r="Y2211" s="4">
        <v>391</v>
      </c>
      <c r="Z2211" s="4">
        <v>29</v>
      </c>
      <c r="AA2211" s="4">
        <v>43</v>
      </c>
      <c r="AB2211" s="4">
        <v>3</v>
      </c>
      <c r="AC2211" s="4">
        <v>10</v>
      </c>
      <c r="AD2211" s="4">
        <v>103</v>
      </c>
      <c r="AE2211" s="4">
        <v>120</v>
      </c>
      <c r="AF2211" s="4">
        <v>1</v>
      </c>
      <c r="AG2211" s="4">
        <v>6</v>
      </c>
      <c r="AH2211" s="4">
        <v>84</v>
      </c>
      <c r="AI2211" s="4">
        <v>94</v>
      </c>
      <c r="AJ2211" s="4">
        <v>14</v>
      </c>
      <c r="AK2211" s="4">
        <v>21</v>
      </c>
      <c r="AL2211" s="4">
        <v>50</v>
      </c>
      <c r="AM2211" s="4">
        <v>52</v>
      </c>
      <c r="AN2211" s="4">
        <v>0</v>
      </c>
      <c r="AO2211" s="4">
        <v>0</v>
      </c>
      <c r="AP2211" s="4">
        <v>23</v>
      </c>
      <c r="AQ2211" s="4">
        <v>33</v>
      </c>
      <c r="AR2211" s="3" t="s">
        <v>62</v>
      </c>
      <c r="AS2211" s="3" t="s">
        <v>62</v>
      </c>
      <c r="AT2211" s="3" t="s">
        <v>62</v>
      </c>
      <c r="AV2211" s="6" t="str">
        <f>HYPERLINK("http://mcgill.on.worldcat.org/oclc/49576427","Catalog Record")</f>
        <v>Catalog Record</v>
      </c>
      <c r="AW2211" s="6" t="str">
        <f>HYPERLINK("http://www.worldcat.org/oclc/49576427","WorldCat Record")</f>
        <v>WorldCat Record</v>
      </c>
      <c r="AX2211" s="3" t="s">
        <v>21830</v>
      </c>
      <c r="AY2211" s="3" t="s">
        <v>21831</v>
      </c>
      <c r="AZ2211" s="3" t="s">
        <v>21832</v>
      </c>
      <c r="BA2211" s="3" t="s">
        <v>21832</v>
      </c>
      <c r="BB2211" s="3" t="s">
        <v>21833</v>
      </c>
      <c r="BC2211" s="3" t="s">
        <v>102</v>
      </c>
      <c r="BD2211" s="3" t="s">
        <v>68</v>
      </c>
      <c r="BE2211" s="3" t="s">
        <v>21834</v>
      </c>
      <c r="BF2211" s="3" t="s">
        <v>21833</v>
      </c>
      <c r="BG2211" s="3" t="s">
        <v>21835</v>
      </c>
    </row>
    <row r="2212" spans="1:59" ht="58" x14ac:dyDescent="0.35">
      <c r="A2212" s="2" t="s">
        <v>89</v>
      </c>
      <c r="B2212" s="2" t="s">
        <v>90</v>
      </c>
      <c r="C2212" s="2" t="s">
        <v>21836</v>
      </c>
      <c r="D2212" s="2" t="s">
        <v>21837</v>
      </c>
      <c r="E2212" s="2" t="s">
        <v>21838</v>
      </c>
      <c r="G2212" s="3" t="s">
        <v>62</v>
      </c>
      <c r="I2212" s="3" t="s">
        <v>62</v>
      </c>
      <c r="J2212" s="3" t="s">
        <v>61</v>
      </c>
      <c r="K2212" s="3" t="s">
        <v>63</v>
      </c>
      <c r="L2212" s="2" t="s">
        <v>21839</v>
      </c>
      <c r="M2212" s="2" t="s">
        <v>21840</v>
      </c>
      <c r="N2212" s="3" t="s">
        <v>2566</v>
      </c>
      <c r="O2212" s="2" t="s">
        <v>21841</v>
      </c>
      <c r="P2212" s="3" t="s">
        <v>64</v>
      </c>
      <c r="R2212" s="3" t="s">
        <v>13065</v>
      </c>
      <c r="S2212" s="4">
        <v>5</v>
      </c>
      <c r="T2212" s="4">
        <v>5</v>
      </c>
      <c r="U2212" s="5" t="s">
        <v>21842</v>
      </c>
      <c r="V2212" s="5" t="s">
        <v>21842</v>
      </c>
      <c r="W2212" s="5" t="s">
        <v>67</v>
      </c>
      <c r="X2212" s="5" t="s">
        <v>67</v>
      </c>
      <c r="Y2212" s="4">
        <v>282</v>
      </c>
      <c r="Z2212" s="4">
        <v>23</v>
      </c>
      <c r="AA2212" s="4">
        <v>43</v>
      </c>
      <c r="AB2212" s="4">
        <v>3</v>
      </c>
      <c r="AC2212" s="4">
        <v>9</v>
      </c>
      <c r="AD2212" s="4">
        <v>88</v>
      </c>
      <c r="AE2212" s="4">
        <v>138</v>
      </c>
      <c r="AF2212" s="4">
        <v>1</v>
      </c>
      <c r="AG2212" s="4">
        <v>4</v>
      </c>
      <c r="AH2212" s="4">
        <v>77</v>
      </c>
      <c r="AI2212" s="4">
        <v>114</v>
      </c>
      <c r="AJ2212" s="4">
        <v>17</v>
      </c>
      <c r="AK2212" s="4">
        <v>23</v>
      </c>
      <c r="AL2212" s="4">
        <v>44</v>
      </c>
      <c r="AM2212" s="4">
        <v>62</v>
      </c>
      <c r="AN2212" s="4">
        <v>0</v>
      </c>
      <c r="AO2212" s="4">
        <v>0</v>
      </c>
      <c r="AP2212" s="4">
        <v>18</v>
      </c>
      <c r="AQ2212" s="4">
        <v>30</v>
      </c>
      <c r="AR2212" s="3" t="s">
        <v>62</v>
      </c>
      <c r="AS2212" s="3" t="s">
        <v>62</v>
      </c>
      <c r="AT2212" s="3" t="s">
        <v>61</v>
      </c>
      <c r="AU2212" s="6" t="str">
        <f>HYPERLINK("http://catalog.hathitrust.org/Record/000468135","HathiTrust Record")</f>
        <v>HathiTrust Record</v>
      </c>
      <c r="AV2212" s="6" t="str">
        <f>HYPERLINK("http://mcgill.on.worldcat.org/oclc/785822","Catalog Record")</f>
        <v>Catalog Record</v>
      </c>
      <c r="AW2212" s="6" t="str">
        <f>HYPERLINK("http://www.worldcat.org/oclc/785822","WorldCat Record")</f>
        <v>WorldCat Record</v>
      </c>
      <c r="AX2212" s="3" t="s">
        <v>21843</v>
      </c>
      <c r="AY2212" s="3" t="s">
        <v>21844</v>
      </c>
      <c r="AZ2212" s="3" t="s">
        <v>21845</v>
      </c>
      <c r="BA2212" s="3" t="s">
        <v>21845</v>
      </c>
      <c r="BB2212" s="3" t="s">
        <v>21846</v>
      </c>
      <c r="BC2212" s="3" t="s">
        <v>102</v>
      </c>
      <c r="BD2212" s="3" t="s">
        <v>68</v>
      </c>
      <c r="BE2212" s="3" t="s">
        <v>21847</v>
      </c>
      <c r="BF2212" s="3" t="s">
        <v>21846</v>
      </c>
      <c r="BG2212" s="3" t="s">
        <v>21848</v>
      </c>
    </row>
    <row r="2213" spans="1:59" ht="58" x14ac:dyDescent="0.35">
      <c r="A2213" s="2" t="s">
        <v>89</v>
      </c>
      <c r="B2213" s="2" t="s">
        <v>90</v>
      </c>
      <c r="C2213" s="2" t="s">
        <v>21849</v>
      </c>
      <c r="D2213" s="2" t="s">
        <v>21850</v>
      </c>
      <c r="E2213" s="2" t="s">
        <v>21851</v>
      </c>
      <c r="G2213" s="3" t="s">
        <v>62</v>
      </c>
      <c r="I2213" s="3" t="s">
        <v>62</v>
      </c>
      <c r="J2213" s="3" t="s">
        <v>61</v>
      </c>
      <c r="K2213" s="3" t="s">
        <v>63</v>
      </c>
      <c r="L2213" s="2" t="s">
        <v>21852</v>
      </c>
      <c r="M2213" s="2" t="s">
        <v>21853</v>
      </c>
      <c r="N2213" s="3" t="s">
        <v>2445</v>
      </c>
      <c r="P2213" s="3" t="s">
        <v>64</v>
      </c>
      <c r="Q2213" s="2" t="s">
        <v>21854</v>
      </c>
      <c r="R2213" s="3" t="s">
        <v>13065</v>
      </c>
      <c r="S2213" s="4">
        <v>4</v>
      </c>
      <c r="T2213" s="4">
        <v>4</v>
      </c>
      <c r="U2213" s="5" t="s">
        <v>7181</v>
      </c>
      <c r="V2213" s="5" t="s">
        <v>7181</v>
      </c>
      <c r="W2213" s="5" t="s">
        <v>67</v>
      </c>
      <c r="X2213" s="5" t="s">
        <v>67</v>
      </c>
      <c r="Y2213" s="4">
        <v>2</v>
      </c>
      <c r="Z2213" s="4">
        <v>1</v>
      </c>
      <c r="AA2213" s="4">
        <v>35</v>
      </c>
      <c r="AB2213" s="4">
        <v>1</v>
      </c>
      <c r="AC2213" s="4">
        <v>7</v>
      </c>
      <c r="AD2213" s="4">
        <v>0</v>
      </c>
      <c r="AE2213" s="4">
        <v>129</v>
      </c>
      <c r="AF2213" s="4">
        <v>0</v>
      </c>
      <c r="AG2213" s="4">
        <v>6</v>
      </c>
      <c r="AH2213" s="4">
        <v>0</v>
      </c>
      <c r="AI2213" s="4">
        <v>104</v>
      </c>
      <c r="AJ2213" s="4">
        <v>0</v>
      </c>
      <c r="AK2213" s="4">
        <v>24</v>
      </c>
      <c r="AL2213" s="4">
        <v>0</v>
      </c>
      <c r="AM2213" s="4">
        <v>58</v>
      </c>
      <c r="AN2213" s="4">
        <v>0</v>
      </c>
      <c r="AO2213" s="4">
        <v>0</v>
      </c>
      <c r="AP2213" s="4">
        <v>0</v>
      </c>
      <c r="AQ2213" s="4">
        <v>29</v>
      </c>
      <c r="AR2213" s="3" t="s">
        <v>62</v>
      </c>
      <c r="AS2213" s="3" t="s">
        <v>62</v>
      </c>
      <c r="AT2213" s="3" t="s">
        <v>62</v>
      </c>
      <c r="AV2213" s="6" t="str">
        <f>HYPERLINK("http://mcgill.on.worldcat.org/oclc/61600782","Catalog Record")</f>
        <v>Catalog Record</v>
      </c>
      <c r="AW2213" s="6" t="str">
        <f>HYPERLINK("http://www.worldcat.org/oclc/61600782","WorldCat Record")</f>
        <v>WorldCat Record</v>
      </c>
      <c r="AX2213" s="3" t="s">
        <v>21855</v>
      </c>
      <c r="AY2213" s="3" t="s">
        <v>21856</v>
      </c>
      <c r="AZ2213" s="3" t="s">
        <v>21857</v>
      </c>
      <c r="BA2213" s="3" t="s">
        <v>21857</v>
      </c>
      <c r="BB2213" s="3" t="s">
        <v>21858</v>
      </c>
      <c r="BC2213" s="3" t="s">
        <v>102</v>
      </c>
      <c r="BD2213" s="3" t="s">
        <v>68</v>
      </c>
      <c r="BF2213" s="3" t="s">
        <v>21858</v>
      </c>
      <c r="BG2213" s="3" t="s">
        <v>21859</v>
      </c>
    </row>
    <row r="2214" spans="1:59" ht="58" x14ac:dyDescent="0.35">
      <c r="A2214" s="2" t="s">
        <v>89</v>
      </c>
      <c r="B2214" s="2" t="s">
        <v>90</v>
      </c>
      <c r="C2214" s="2" t="s">
        <v>21860</v>
      </c>
      <c r="D2214" s="2" t="s">
        <v>21861</v>
      </c>
      <c r="E2214" s="2" t="s">
        <v>21862</v>
      </c>
      <c r="G2214" s="3" t="s">
        <v>62</v>
      </c>
      <c r="I2214" s="3" t="s">
        <v>61</v>
      </c>
      <c r="J2214" s="3" t="s">
        <v>62</v>
      </c>
      <c r="K2214" s="3" t="s">
        <v>63</v>
      </c>
      <c r="L2214" s="2" t="s">
        <v>21863</v>
      </c>
      <c r="M2214" s="2" t="s">
        <v>21864</v>
      </c>
      <c r="N2214" s="3" t="s">
        <v>954</v>
      </c>
      <c r="O2214" s="2" t="s">
        <v>21865</v>
      </c>
      <c r="P2214" s="3" t="s">
        <v>64</v>
      </c>
      <c r="R2214" s="3" t="s">
        <v>13065</v>
      </c>
      <c r="S2214" s="4">
        <v>5</v>
      </c>
      <c r="T2214" s="4">
        <v>13</v>
      </c>
      <c r="U2214" s="5" t="s">
        <v>21866</v>
      </c>
      <c r="V2214" s="5" t="s">
        <v>21867</v>
      </c>
      <c r="W2214" s="5" t="s">
        <v>67</v>
      </c>
      <c r="X2214" s="5" t="s">
        <v>67</v>
      </c>
      <c r="Y2214" s="4">
        <v>699</v>
      </c>
      <c r="Z2214" s="4">
        <v>39</v>
      </c>
      <c r="AA2214" s="4">
        <v>66</v>
      </c>
      <c r="AB2214" s="4">
        <v>2</v>
      </c>
      <c r="AC2214" s="4">
        <v>13</v>
      </c>
      <c r="AD2214" s="4">
        <v>125</v>
      </c>
      <c r="AE2214" s="4">
        <v>152</v>
      </c>
      <c r="AF2214" s="4">
        <v>1</v>
      </c>
      <c r="AG2214" s="4">
        <v>7</v>
      </c>
      <c r="AH2214" s="4">
        <v>101</v>
      </c>
      <c r="AI2214" s="4">
        <v>118</v>
      </c>
      <c r="AJ2214" s="4">
        <v>18</v>
      </c>
      <c r="AK2214" s="4">
        <v>27</v>
      </c>
      <c r="AL2214" s="4">
        <v>56</v>
      </c>
      <c r="AM2214" s="4">
        <v>62</v>
      </c>
      <c r="AN2214" s="4">
        <v>0</v>
      </c>
      <c r="AO2214" s="4">
        <v>0</v>
      </c>
      <c r="AP2214" s="4">
        <v>28</v>
      </c>
      <c r="AQ2214" s="4">
        <v>41</v>
      </c>
      <c r="AR2214" s="3" t="s">
        <v>62</v>
      </c>
      <c r="AS2214" s="3" t="s">
        <v>62</v>
      </c>
      <c r="AT2214" s="3" t="s">
        <v>61</v>
      </c>
      <c r="AU2214" s="6" t="str">
        <f>HYPERLINK("http://catalog.hathitrust.org/Record/000470553","HathiTrust Record")</f>
        <v>HathiTrust Record</v>
      </c>
      <c r="AV2214" s="6" t="str">
        <f>HYPERLINK("http://mcgill.on.worldcat.org/oclc/301749","Catalog Record")</f>
        <v>Catalog Record</v>
      </c>
      <c r="AW2214" s="6" t="str">
        <f>HYPERLINK("http://www.worldcat.org/oclc/301749","WorldCat Record")</f>
        <v>WorldCat Record</v>
      </c>
      <c r="AX2214" s="3" t="s">
        <v>21868</v>
      </c>
      <c r="AY2214" s="3" t="s">
        <v>21869</v>
      </c>
      <c r="AZ2214" s="3" t="s">
        <v>21870</v>
      </c>
      <c r="BA2214" s="3" t="s">
        <v>21870</v>
      </c>
      <c r="BB2214" s="3" t="s">
        <v>21871</v>
      </c>
      <c r="BC2214" s="3" t="s">
        <v>102</v>
      </c>
      <c r="BD2214" s="3" t="s">
        <v>68</v>
      </c>
      <c r="BF2214" s="3" t="s">
        <v>21871</v>
      </c>
      <c r="BG2214" s="3" t="s">
        <v>21872</v>
      </c>
    </row>
    <row r="2215" spans="1:59" ht="58" x14ac:dyDescent="0.35">
      <c r="A2215" s="2" t="s">
        <v>89</v>
      </c>
      <c r="B2215" s="2" t="s">
        <v>90</v>
      </c>
      <c r="C2215" s="2" t="s">
        <v>21873</v>
      </c>
      <c r="D2215" s="2" t="s">
        <v>21874</v>
      </c>
      <c r="E2215" s="2" t="s">
        <v>21875</v>
      </c>
      <c r="G2215" s="3" t="s">
        <v>62</v>
      </c>
      <c r="I2215" s="3" t="s">
        <v>61</v>
      </c>
      <c r="J2215" s="3" t="s">
        <v>62</v>
      </c>
      <c r="K2215" s="3" t="s">
        <v>63</v>
      </c>
      <c r="L2215" s="2" t="s">
        <v>21876</v>
      </c>
      <c r="M2215" s="2" t="s">
        <v>21877</v>
      </c>
      <c r="N2215" s="3" t="s">
        <v>466</v>
      </c>
      <c r="P2215" s="3" t="s">
        <v>64</v>
      </c>
      <c r="R2215" s="3" t="s">
        <v>13065</v>
      </c>
      <c r="S2215" s="4">
        <v>17</v>
      </c>
      <c r="T2215" s="4">
        <v>18</v>
      </c>
      <c r="U2215" s="5" t="s">
        <v>3749</v>
      </c>
      <c r="V2215" s="5" t="s">
        <v>21878</v>
      </c>
      <c r="W2215" s="5" t="s">
        <v>67</v>
      </c>
      <c r="X2215" s="5" t="s">
        <v>67</v>
      </c>
      <c r="Y2215" s="4">
        <v>115</v>
      </c>
      <c r="Z2215" s="4">
        <v>5</v>
      </c>
      <c r="AA2215" s="4">
        <v>19</v>
      </c>
      <c r="AB2215" s="4">
        <v>1</v>
      </c>
      <c r="AC2215" s="4">
        <v>2</v>
      </c>
      <c r="AD2215" s="4">
        <v>16</v>
      </c>
      <c r="AE2215" s="4">
        <v>46</v>
      </c>
      <c r="AF2215" s="4">
        <v>0</v>
      </c>
      <c r="AG2215" s="4">
        <v>0</v>
      </c>
      <c r="AH2215" s="4">
        <v>13</v>
      </c>
      <c r="AI2215" s="4">
        <v>37</v>
      </c>
      <c r="AJ2215" s="4">
        <v>3</v>
      </c>
      <c r="AK2215" s="4">
        <v>5</v>
      </c>
      <c r="AL2215" s="4">
        <v>7</v>
      </c>
      <c r="AM2215" s="4">
        <v>21</v>
      </c>
      <c r="AN2215" s="4">
        <v>0</v>
      </c>
      <c r="AO2215" s="4">
        <v>2</v>
      </c>
      <c r="AP2215" s="4">
        <v>4</v>
      </c>
      <c r="AQ2215" s="4">
        <v>11</v>
      </c>
      <c r="AR2215" s="3" t="s">
        <v>62</v>
      </c>
      <c r="AS2215" s="3" t="s">
        <v>62</v>
      </c>
      <c r="AT2215" s="3" t="s">
        <v>61</v>
      </c>
      <c r="AU2215" s="6" t="str">
        <f>HYPERLINK("http://catalog.hathitrust.org/Record/007988496","HathiTrust Record")</f>
        <v>HathiTrust Record</v>
      </c>
      <c r="AV2215" s="6" t="str">
        <f>HYPERLINK("http://mcgill.on.worldcat.org/oclc/26121539","Catalog Record")</f>
        <v>Catalog Record</v>
      </c>
      <c r="AW2215" s="6" t="str">
        <f>HYPERLINK("http://www.worldcat.org/oclc/26121539","WorldCat Record")</f>
        <v>WorldCat Record</v>
      </c>
      <c r="AX2215" s="3" t="s">
        <v>21879</v>
      </c>
      <c r="AY2215" s="3" t="s">
        <v>21880</v>
      </c>
      <c r="AZ2215" s="3" t="s">
        <v>21881</v>
      </c>
      <c r="BA2215" s="3" t="s">
        <v>21881</v>
      </c>
      <c r="BB2215" s="3" t="s">
        <v>21882</v>
      </c>
      <c r="BC2215" s="3" t="s">
        <v>102</v>
      </c>
      <c r="BD2215" s="3" t="s">
        <v>68</v>
      </c>
      <c r="BE2215" s="3" t="s">
        <v>21883</v>
      </c>
      <c r="BF2215" s="3" t="s">
        <v>21882</v>
      </c>
      <c r="BG2215" s="3" t="s">
        <v>21884</v>
      </c>
    </row>
    <row r="2216" spans="1:59" ht="58" x14ac:dyDescent="0.35">
      <c r="A2216" s="2" t="s">
        <v>89</v>
      </c>
      <c r="B2216" s="2" t="s">
        <v>90</v>
      </c>
      <c r="C2216" s="2" t="s">
        <v>21885</v>
      </c>
      <c r="D2216" s="2" t="s">
        <v>21886</v>
      </c>
      <c r="E2216" s="2" t="s">
        <v>21887</v>
      </c>
      <c r="G2216" s="3" t="s">
        <v>62</v>
      </c>
      <c r="I2216" s="3" t="s">
        <v>62</v>
      </c>
      <c r="J2216" s="3" t="s">
        <v>61</v>
      </c>
      <c r="K2216" s="3" t="s">
        <v>63</v>
      </c>
      <c r="L2216" s="2" t="s">
        <v>21888</v>
      </c>
      <c r="M2216" s="2" t="s">
        <v>21889</v>
      </c>
      <c r="N2216" s="3" t="s">
        <v>1576</v>
      </c>
      <c r="P2216" s="3" t="s">
        <v>64</v>
      </c>
      <c r="Q2216" s="2" t="s">
        <v>21890</v>
      </c>
      <c r="R2216" s="3" t="s">
        <v>13065</v>
      </c>
      <c r="S2216" s="4">
        <v>3</v>
      </c>
      <c r="T2216" s="4">
        <v>3</v>
      </c>
      <c r="U2216" s="5" t="s">
        <v>12627</v>
      </c>
      <c r="V2216" s="5" t="s">
        <v>12627</v>
      </c>
      <c r="W2216" s="5" t="s">
        <v>67</v>
      </c>
      <c r="X2216" s="5" t="s">
        <v>67</v>
      </c>
      <c r="Y2216" s="4">
        <v>224</v>
      </c>
      <c r="Z2216" s="4">
        <v>19</v>
      </c>
      <c r="AA2216" s="4">
        <v>26</v>
      </c>
      <c r="AB2216" s="4">
        <v>1</v>
      </c>
      <c r="AC2216" s="4">
        <v>3</v>
      </c>
      <c r="AD2216" s="4">
        <v>59</v>
      </c>
      <c r="AE2216" s="4">
        <v>93</v>
      </c>
      <c r="AF2216" s="4">
        <v>0</v>
      </c>
      <c r="AG2216" s="4">
        <v>2</v>
      </c>
      <c r="AH2216" s="4">
        <v>49</v>
      </c>
      <c r="AI2216" s="4">
        <v>77</v>
      </c>
      <c r="AJ2216" s="4">
        <v>13</v>
      </c>
      <c r="AK2216" s="4">
        <v>18</v>
      </c>
      <c r="AL2216" s="4">
        <v>29</v>
      </c>
      <c r="AM2216" s="4">
        <v>45</v>
      </c>
      <c r="AN2216" s="4">
        <v>0</v>
      </c>
      <c r="AO2216" s="4">
        <v>0</v>
      </c>
      <c r="AP2216" s="4">
        <v>15</v>
      </c>
      <c r="AQ2216" s="4">
        <v>20</v>
      </c>
      <c r="AR2216" s="3" t="s">
        <v>62</v>
      </c>
      <c r="AS2216" s="3" t="s">
        <v>62</v>
      </c>
      <c r="AT2216" s="3" t="s">
        <v>62</v>
      </c>
      <c r="AV2216" s="6" t="str">
        <f>HYPERLINK("http://mcgill.on.worldcat.org/oclc/2865014","Catalog Record")</f>
        <v>Catalog Record</v>
      </c>
      <c r="AW2216" s="6" t="str">
        <f>HYPERLINK("http://www.worldcat.org/oclc/2865014","WorldCat Record")</f>
        <v>WorldCat Record</v>
      </c>
      <c r="AX2216" s="3" t="s">
        <v>21891</v>
      </c>
      <c r="AY2216" s="3" t="s">
        <v>21892</v>
      </c>
      <c r="AZ2216" s="3" t="s">
        <v>21893</v>
      </c>
      <c r="BA2216" s="3" t="s">
        <v>21893</v>
      </c>
      <c r="BB2216" s="3" t="s">
        <v>21894</v>
      </c>
      <c r="BC2216" s="3" t="s">
        <v>102</v>
      </c>
      <c r="BD2216" s="3" t="s">
        <v>68</v>
      </c>
      <c r="BF2216" s="3" t="s">
        <v>21894</v>
      </c>
      <c r="BG2216" s="3" t="s">
        <v>21895</v>
      </c>
    </row>
    <row r="2217" spans="1:59" ht="58" x14ac:dyDescent="0.35">
      <c r="A2217" s="2" t="s">
        <v>89</v>
      </c>
      <c r="B2217" s="2" t="s">
        <v>90</v>
      </c>
      <c r="C2217" s="2" t="s">
        <v>21896</v>
      </c>
      <c r="D2217" s="2" t="s">
        <v>21897</v>
      </c>
      <c r="E2217" s="2" t="s">
        <v>21898</v>
      </c>
      <c r="G2217" s="3" t="s">
        <v>62</v>
      </c>
      <c r="I2217" s="3" t="s">
        <v>62</v>
      </c>
      <c r="J2217" s="3" t="s">
        <v>62</v>
      </c>
      <c r="K2217" s="3" t="s">
        <v>63</v>
      </c>
      <c r="L2217" s="2" t="s">
        <v>21899</v>
      </c>
      <c r="M2217" s="2" t="s">
        <v>21900</v>
      </c>
      <c r="N2217" s="3" t="s">
        <v>1038</v>
      </c>
      <c r="O2217" s="2" t="s">
        <v>8443</v>
      </c>
      <c r="P2217" s="3" t="s">
        <v>64</v>
      </c>
      <c r="R2217" s="3" t="s">
        <v>13065</v>
      </c>
      <c r="S2217" s="4">
        <v>1</v>
      </c>
      <c r="T2217" s="4">
        <v>1</v>
      </c>
      <c r="U2217" s="5" t="s">
        <v>20567</v>
      </c>
      <c r="V2217" s="5" t="s">
        <v>20567</v>
      </c>
      <c r="W2217" s="5" t="s">
        <v>67</v>
      </c>
      <c r="X2217" s="5" t="s">
        <v>67</v>
      </c>
      <c r="Y2217" s="4">
        <v>271</v>
      </c>
      <c r="Z2217" s="4">
        <v>11</v>
      </c>
      <c r="AA2217" s="4">
        <v>54</v>
      </c>
      <c r="AB2217" s="4">
        <v>1</v>
      </c>
      <c r="AC2217" s="4">
        <v>8</v>
      </c>
      <c r="AD2217" s="4">
        <v>38</v>
      </c>
      <c r="AE2217" s="4">
        <v>114</v>
      </c>
      <c r="AF2217" s="4">
        <v>0</v>
      </c>
      <c r="AG2217" s="4">
        <v>4</v>
      </c>
      <c r="AH2217" s="4">
        <v>36</v>
      </c>
      <c r="AI2217" s="4">
        <v>90</v>
      </c>
      <c r="AJ2217" s="4">
        <v>4</v>
      </c>
      <c r="AK2217" s="4">
        <v>21</v>
      </c>
      <c r="AL2217" s="4">
        <v>19</v>
      </c>
      <c r="AM2217" s="4">
        <v>44</v>
      </c>
      <c r="AN2217" s="4">
        <v>0</v>
      </c>
      <c r="AO2217" s="4">
        <v>0</v>
      </c>
      <c r="AP2217" s="4">
        <v>6</v>
      </c>
      <c r="AQ2217" s="4">
        <v>33</v>
      </c>
      <c r="AR2217" s="3" t="s">
        <v>62</v>
      </c>
      <c r="AS2217" s="3" t="s">
        <v>62</v>
      </c>
      <c r="AT2217" s="3" t="s">
        <v>62</v>
      </c>
      <c r="AV2217" s="6" t="str">
        <f>HYPERLINK("http://mcgill.on.worldcat.org/oclc/899884304","Catalog Record")</f>
        <v>Catalog Record</v>
      </c>
      <c r="AW2217" s="6" t="str">
        <f>HYPERLINK("http://www.worldcat.org/oclc/899884304","WorldCat Record")</f>
        <v>WorldCat Record</v>
      </c>
      <c r="AX2217" s="3" t="s">
        <v>21901</v>
      </c>
      <c r="AY2217" s="3" t="s">
        <v>21902</v>
      </c>
      <c r="AZ2217" s="3" t="s">
        <v>21903</v>
      </c>
      <c r="BA2217" s="3" t="s">
        <v>21903</v>
      </c>
      <c r="BB2217" s="3" t="s">
        <v>21904</v>
      </c>
      <c r="BC2217" s="3" t="s">
        <v>102</v>
      </c>
      <c r="BD2217" s="3" t="s">
        <v>68</v>
      </c>
      <c r="BE2217" s="3" t="s">
        <v>21905</v>
      </c>
      <c r="BF2217" s="3" t="s">
        <v>21904</v>
      </c>
      <c r="BG2217" s="3" t="s">
        <v>21906</v>
      </c>
    </row>
    <row r="2218" spans="1:59" ht="58" x14ac:dyDescent="0.35">
      <c r="A2218" s="2" t="s">
        <v>59</v>
      </c>
      <c r="B2218" s="2" t="s">
        <v>60</v>
      </c>
      <c r="C2218" s="2" t="s">
        <v>21907</v>
      </c>
      <c r="D2218" s="2" t="s">
        <v>21908</v>
      </c>
      <c r="E2218" s="2" t="s">
        <v>21909</v>
      </c>
      <c r="G2218" s="3" t="s">
        <v>62</v>
      </c>
      <c r="I2218" s="3" t="s">
        <v>62</v>
      </c>
      <c r="J2218" s="3" t="s">
        <v>62</v>
      </c>
      <c r="K2218" s="3" t="s">
        <v>63</v>
      </c>
      <c r="L2218" s="2" t="s">
        <v>21910</v>
      </c>
      <c r="M2218" s="2" t="s">
        <v>21911</v>
      </c>
      <c r="N2218" s="3" t="s">
        <v>852</v>
      </c>
      <c r="P2218" s="3" t="s">
        <v>64</v>
      </c>
      <c r="R2218" s="3" t="s">
        <v>13065</v>
      </c>
      <c r="S2218" s="4">
        <v>11</v>
      </c>
      <c r="T2218" s="4">
        <v>11</v>
      </c>
      <c r="U2218" s="5" t="s">
        <v>3134</v>
      </c>
      <c r="V2218" s="5" t="s">
        <v>3134</v>
      </c>
      <c r="W2218" s="5" t="s">
        <v>67</v>
      </c>
      <c r="X2218" s="5" t="s">
        <v>67</v>
      </c>
      <c r="Y2218" s="4">
        <v>106</v>
      </c>
      <c r="Z2218" s="4">
        <v>9</v>
      </c>
      <c r="AA2218" s="4">
        <v>43</v>
      </c>
      <c r="AB2218" s="4">
        <v>2</v>
      </c>
      <c r="AC2218" s="4">
        <v>6</v>
      </c>
      <c r="AD2218" s="4">
        <v>25</v>
      </c>
      <c r="AE2218" s="4">
        <v>128</v>
      </c>
      <c r="AF2218" s="4">
        <v>1</v>
      </c>
      <c r="AG2218" s="4">
        <v>5</v>
      </c>
      <c r="AH2218" s="4">
        <v>18</v>
      </c>
      <c r="AI2218" s="4">
        <v>102</v>
      </c>
      <c r="AJ2218" s="4">
        <v>4</v>
      </c>
      <c r="AK2218" s="4">
        <v>24</v>
      </c>
      <c r="AL2218" s="4">
        <v>13</v>
      </c>
      <c r="AM2218" s="4">
        <v>54</v>
      </c>
      <c r="AN2218" s="4">
        <v>0</v>
      </c>
      <c r="AO2218" s="4">
        <v>0</v>
      </c>
      <c r="AP2218" s="4">
        <v>8</v>
      </c>
      <c r="AQ2218" s="4">
        <v>33</v>
      </c>
      <c r="AR2218" s="3" t="s">
        <v>62</v>
      </c>
      <c r="AS2218" s="3" t="s">
        <v>62</v>
      </c>
      <c r="AT2218" s="3" t="s">
        <v>61</v>
      </c>
      <c r="AU2218" s="6" t="str">
        <f>HYPERLINK("http://catalog.hathitrust.org/Record/000004873","HathiTrust Record")</f>
        <v>HathiTrust Record</v>
      </c>
      <c r="AV2218" s="6" t="str">
        <f>HYPERLINK("http://mcgill.on.worldcat.org/oclc/11256260","Catalog Record")</f>
        <v>Catalog Record</v>
      </c>
      <c r="AW2218" s="6" t="str">
        <f>HYPERLINK("http://www.worldcat.org/oclc/11256260","WorldCat Record")</f>
        <v>WorldCat Record</v>
      </c>
      <c r="AX2218" s="3" t="s">
        <v>21912</v>
      </c>
      <c r="AY2218" s="3" t="s">
        <v>21913</v>
      </c>
      <c r="AZ2218" s="3" t="s">
        <v>21914</v>
      </c>
      <c r="BA2218" s="3" t="s">
        <v>21914</v>
      </c>
      <c r="BB2218" s="3" t="s">
        <v>21915</v>
      </c>
      <c r="BC2218" s="3" t="s">
        <v>102</v>
      </c>
      <c r="BD2218" s="3" t="s">
        <v>68</v>
      </c>
      <c r="BE2218" s="3" t="s">
        <v>21916</v>
      </c>
      <c r="BF2218" s="3" t="s">
        <v>21915</v>
      </c>
      <c r="BG2218" s="3" t="s">
        <v>21917</v>
      </c>
    </row>
    <row r="2219" spans="1:59" ht="101.5" x14ac:dyDescent="0.35">
      <c r="A2219" s="2" t="s">
        <v>89</v>
      </c>
      <c r="B2219" s="2" t="s">
        <v>12301</v>
      </c>
      <c r="C2219" s="2" t="s">
        <v>21918</v>
      </c>
      <c r="D2219" s="2" t="s">
        <v>21919</v>
      </c>
      <c r="E2219" s="2" t="s">
        <v>21920</v>
      </c>
      <c r="G2219" s="3" t="s">
        <v>62</v>
      </c>
      <c r="I2219" s="3" t="s">
        <v>61</v>
      </c>
      <c r="J2219" s="3" t="s">
        <v>61</v>
      </c>
      <c r="K2219" s="3" t="s">
        <v>63</v>
      </c>
      <c r="L2219" s="2" t="s">
        <v>21921</v>
      </c>
      <c r="M2219" s="2" t="s">
        <v>21922</v>
      </c>
      <c r="N2219" s="3" t="s">
        <v>698</v>
      </c>
      <c r="O2219" s="2" t="s">
        <v>17648</v>
      </c>
      <c r="P2219" s="3" t="s">
        <v>64</v>
      </c>
      <c r="R2219" s="3" t="s">
        <v>13065</v>
      </c>
      <c r="S2219" s="4">
        <v>22</v>
      </c>
      <c r="T2219" s="4">
        <v>40</v>
      </c>
      <c r="U2219" s="5" t="s">
        <v>21923</v>
      </c>
      <c r="V2219" s="5" t="s">
        <v>9672</v>
      </c>
      <c r="W2219" s="5" t="s">
        <v>67</v>
      </c>
      <c r="X2219" s="5" t="s">
        <v>67</v>
      </c>
      <c r="Y2219" s="4">
        <v>126</v>
      </c>
      <c r="Z2219" s="4">
        <v>10</v>
      </c>
      <c r="AA2219" s="4">
        <v>41</v>
      </c>
      <c r="AB2219" s="4">
        <v>1</v>
      </c>
      <c r="AC2219" s="4">
        <v>11</v>
      </c>
      <c r="AD2219" s="4">
        <v>27</v>
      </c>
      <c r="AE2219" s="4">
        <v>110</v>
      </c>
      <c r="AF2219" s="4">
        <v>0</v>
      </c>
      <c r="AG2219" s="4">
        <v>6</v>
      </c>
      <c r="AH2219" s="4">
        <v>23</v>
      </c>
      <c r="AI2219" s="4">
        <v>91</v>
      </c>
      <c r="AJ2219" s="4">
        <v>3</v>
      </c>
      <c r="AK2219" s="4">
        <v>17</v>
      </c>
      <c r="AL2219" s="4">
        <v>19</v>
      </c>
      <c r="AM2219" s="4">
        <v>54</v>
      </c>
      <c r="AN2219" s="4">
        <v>0</v>
      </c>
      <c r="AO2219" s="4">
        <v>0</v>
      </c>
      <c r="AP2219" s="4">
        <v>3</v>
      </c>
      <c r="AQ2219" s="4">
        <v>23</v>
      </c>
      <c r="AR2219" s="3" t="s">
        <v>62</v>
      </c>
      <c r="AS2219" s="3" t="s">
        <v>62</v>
      </c>
      <c r="AT2219" s="3" t="s">
        <v>62</v>
      </c>
      <c r="AV2219" s="6" t="str">
        <f>HYPERLINK("http://mcgill.on.worldcat.org/oclc/502674159","Catalog Record")</f>
        <v>Catalog Record</v>
      </c>
      <c r="AW2219" s="6" t="str">
        <f>HYPERLINK("http://www.worldcat.org/oclc/502674159","WorldCat Record")</f>
        <v>WorldCat Record</v>
      </c>
      <c r="AX2219" s="3" t="s">
        <v>21924</v>
      </c>
      <c r="AY2219" s="3" t="s">
        <v>21925</v>
      </c>
      <c r="AZ2219" s="3" t="s">
        <v>21926</v>
      </c>
      <c r="BA2219" s="3" t="s">
        <v>21926</v>
      </c>
      <c r="BB2219" s="3" t="s">
        <v>21927</v>
      </c>
      <c r="BC2219" s="3" t="s">
        <v>102</v>
      </c>
      <c r="BD2219" s="3" t="s">
        <v>68</v>
      </c>
      <c r="BE2219" s="3" t="s">
        <v>21928</v>
      </c>
      <c r="BF2219" s="3" t="s">
        <v>21927</v>
      </c>
      <c r="BG2219" s="3" t="s">
        <v>21929</v>
      </c>
    </row>
    <row r="2220" spans="1:59" ht="58" x14ac:dyDescent="0.35">
      <c r="A2220" s="2" t="s">
        <v>89</v>
      </c>
      <c r="B2220" s="2" t="s">
        <v>90</v>
      </c>
      <c r="C2220" s="2" t="s">
        <v>21930</v>
      </c>
      <c r="D2220" s="2" t="s">
        <v>21931</v>
      </c>
      <c r="E2220" s="2" t="s">
        <v>21932</v>
      </c>
      <c r="G2220" s="3" t="s">
        <v>62</v>
      </c>
      <c r="I2220" s="3" t="s">
        <v>62</v>
      </c>
      <c r="J2220" s="3" t="s">
        <v>61</v>
      </c>
      <c r="K2220" s="3" t="s">
        <v>63</v>
      </c>
      <c r="L2220" s="2" t="s">
        <v>21933</v>
      </c>
      <c r="M2220" s="2" t="s">
        <v>21934</v>
      </c>
      <c r="N2220" s="3" t="s">
        <v>893</v>
      </c>
      <c r="P2220" s="3" t="s">
        <v>64</v>
      </c>
      <c r="Q2220" s="2" t="s">
        <v>21935</v>
      </c>
      <c r="R2220" s="3" t="s">
        <v>13065</v>
      </c>
      <c r="S2220" s="4">
        <v>39</v>
      </c>
      <c r="T2220" s="4">
        <v>39</v>
      </c>
      <c r="U2220" s="5" t="s">
        <v>21936</v>
      </c>
      <c r="V2220" s="5" t="s">
        <v>21936</v>
      </c>
      <c r="W2220" s="5" t="s">
        <v>67</v>
      </c>
      <c r="X2220" s="5" t="s">
        <v>67</v>
      </c>
      <c r="Y2220" s="4">
        <v>651</v>
      </c>
      <c r="Z2220" s="4">
        <v>32</v>
      </c>
      <c r="AA2220" s="4">
        <v>56</v>
      </c>
      <c r="AB2220" s="4">
        <v>2</v>
      </c>
      <c r="AC2220" s="4">
        <v>13</v>
      </c>
      <c r="AD2220" s="4">
        <v>112</v>
      </c>
      <c r="AE2220" s="4">
        <v>145</v>
      </c>
      <c r="AF2220" s="4">
        <v>1</v>
      </c>
      <c r="AG2220" s="4">
        <v>8</v>
      </c>
      <c r="AH2220" s="4">
        <v>94</v>
      </c>
      <c r="AI2220" s="4">
        <v>112</v>
      </c>
      <c r="AJ2220" s="4">
        <v>18</v>
      </c>
      <c r="AK2220" s="4">
        <v>29</v>
      </c>
      <c r="AL2220" s="4">
        <v>53</v>
      </c>
      <c r="AM2220" s="4">
        <v>59</v>
      </c>
      <c r="AN2220" s="4">
        <v>0</v>
      </c>
      <c r="AO2220" s="4">
        <v>0</v>
      </c>
      <c r="AP2220" s="4">
        <v>24</v>
      </c>
      <c r="AQ2220" s="4">
        <v>40</v>
      </c>
      <c r="AR2220" s="3" t="s">
        <v>62</v>
      </c>
      <c r="AS2220" s="3" t="s">
        <v>62</v>
      </c>
      <c r="AT2220" s="3" t="s">
        <v>61</v>
      </c>
      <c r="AU2220" s="6" t="str">
        <f>HYPERLINK("http://catalog.hathitrust.org/Record/000221535","HathiTrust Record")</f>
        <v>HathiTrust Record</v>
      </c>
      <c r="AV2220" s="6" t="str">
        <f>HYPERLINK("http://mcgill.on.worldcat.org/oclc/7653508","Catalog Record")</f>
        <v>Catalog Record</v>
      </c>
      <c r="AW2220" s="6" t="str">
        <f>HYPERLINK("http://www.worldcat.org/oclc/7653508","WorldCat Record")</f>
        <v>WorldCat Record</v>
      </c>
      <c r="AX2220" s="3" t="s">
        <v>21937</v>
      </c>
      <c r="AY2220" s="3" t="s">
        <v>21938</v>
      </c>
      <c r="AZ2220" s="3" t="s">
        <v>21939</v>
      </c>
      <c r="BA2220" s="3" t="s">
        <v>21939</v>
      </c>
      <c r="BB2220" s="3" t="s">
        <v>21940</v>
      </c>
      <c r="BC2220" s="3" t="s">
        <v>102</v>
      </c>
      <c r="BD2220" s="3" t="s">
        <v>68</v>
      </c>
      <c r="BE2220" s="3" t="s">
        <v>21941</v>
      </c>
      <c r="BF2220" s="3" t="s">
        <v>21940</v>
      </c>
      <c r="BG2220" s="3" t="s">
        <v>21942</v>
      </c>
    </row>
    <row r="2221" spans="1:59" ht="58" x14ac:dyDescent="0.35">
      <c r="A2221" s="2" t="s">
        <v>89</v>
      </c>
      <c r="B2221" s="2" t="s">
        <v>90</v>
      </c>
      <c r="C2221" s="2" t="s">
        <v>21943</v>
      </c>
      <c r="D2221" s="2" t="s">
        <v>21944</v>
      </c>
      <c r="E2221" s="2" t="s">
        <v>21945</v>
      </c>
      <c r="G2221" s="3" t="s">
        <v>62</v>
      </c>
      <c r="I2221" s="3" t="s">
        <v>62</v>
      </c>
      <c r="J2221" s="3" t="s">
        <v>61</v>
      </c>
      <c r="K2221" s="3" t="s">
        <v>63</v>
      </c>
      <c r="L2221" s="2" t="s">
        <v>21946</v>
      </c>
      <c r="M2221" s="2" t="s">
        <v>21947</v>
      </c>
      <c r="N2221" s="3" t="s">
        <v>1291</v>
      </c>
      <c r="P2221" s="3" t="s">
        <v>64</v>
      </c>
      <c r="Q2221" s="2" t="s">
        <v>21948</v>
      </c>
      <c r="R2221" s="3" t="s">
        <v>13065</v>
      </c>
      <c r="S2221" s="4">
        <v>17</v>
      </c>
      <c r="T2221" s="4">
        <v>17</v>
      </c>
      <c r="U2221" s="5" t="s">
        <v>241</v>
      </c>
      <c r="V2221" s="5" t="s">
        <v>241</v>
      </c>
      <c r="W2221" s="5" t="s">
        <v>67</v>
      </c>
      <c r="X2221" s="5" t="s">
        <v>67</v>
      </c>
      <c r="Y2221" s="4">
        <v>633</v>
      </c>
      <c r="Z2221" s="4">
        <v>36</v>
      </c>
      <c r="AA2221" s="4">
        <v>67</v>
      </c>
      <c r="AB2221" s="4">
        <v>2</v>
      </c>
      <c r="AC2221" s="4">
        <v>15</v>
      </c>
      <c r="AD2221" s="4">
        <v>118</v>
      </c>
      <c r="AE2221" s="4">
        <v>156</v>
      </c>
      <c r="AF2221" s="4">
        <v>0</v>
      </c>
      <c r="AG2221" s="4">
        <v>9</v>
      </c>
      <c r="AH2221" s="4">
        <v>100</v>
      </c>
      <c r="AI2221" s="4">
        <v>116</v>
      </c>
      <c r="AJ2221" s="4">
        <v>16</v>
      </c>
      <c r="AK2221" s="4">
        <v>28</v>
      </c>
      <c r="AL2221" s="4">
        <v>57</v>
      </c>
      <c r="AM2221" s="4">
        <v>61</v>
      </c>
      <c r="AN2221" s="4">
        <v>0</v>
      </c>
      <c r="AO2221" s="4">
        <v>0</v>
      </c>
      <c r="AP2221" s="4">
        <v>25</v>
      </c>
      <c r="AQ2221" s="4">
        <v>48</v>
      </c>
      <c r="AR2221" s="3" t="s">
        <v>62</v>
      </c>
      <c r="AS2221" s="3" t="s">
        <v>62</v>
      </c>
      <c r="AT2221" s="3" t="s">
        <v>61</v>
      </c>
      <c r="AU2221" s="6" t="str">
        <f>HYPERLINK("http://catalog.hathitrust.org/Record/000424499","HathiTrust Record")</f>
        <v>HathiTrust Record</v>
      </c>
      <c r="AV2221" s="6" t="str">
        <f>HYPERLINK("http://mcgill.on.worldcat.org/oclc/528572","Catalog Record")</f>
        <v>Catalog Record</v>
      </c>
      <c r="AW2221" s="6" t="str">
        <f>HYPERLINK("http://www.worldcat.org/oclc/528572","WorldCat Record")</f>
        <v>WorldCat Record</v>
      </c>
      <c r="AX2221" s="3" t="s">
        <v>21949</v>
      </c>
      <c r="AY2221" s="3" t="s">
        <v>21950</v>
      </c>
      <c r="AZ2221" s="3" t="s">
        <v>21951</v>
      </c>
      <c r="BA2221" s="3" t="s">
        <v>21951</v>
      </c>
      <c r="BB2221" s="3" t="s">
        <v>21952</v>
      </c>
      <c r="BC2221" s="3" t="s">
        <v>102</v>
      </c>
      <c r="BD2221" s="3" t="s">
        <v>68</v>
      </c>
      <c r="BE2221" s="3" t="s">
        <v>21953</v>
      </c>
      <c r="BF2221" s="3" t="s">
        <v>21952</v>
      </c>
      <c r="BG2221" s="3" t="s">
        <v>21954</v>
      </c>
    </row>
    <row r="2222" spans="1:59" ht="58" x14ac:dyDescent="0.35">
      <c r="A2222" s="2" t="s">
        <v>89</v>
      </c>
      <c r="B2222" s="2" t="s">
        <v>90</v>
      </c>
      <c r="C2222" s="2" t="s">
        <v>21955</v>
      </c>
      <c r="D2222" s="2" t="s">
        <v>21956</v>
      </c>
      <c r="E2222" s="2" t="s">
        <v>21957</v>
      </c>
      <c r="F2222" s="3" t="s">
        <v>21958</v>
      </c>
      <c r="G2222" s="3" t="s">
        <v>62</v>
      </c>
      <c r="I2222" s="3" t="s">
        <v>62</v>
      </c>
      <c r="J2222" s="3" t="s">
        <v>61</v>
      </c>
      <c r="K2222" s="3" t="s">
        <v>63</v>
      </c>
      <c r="L2222" s="2" t="s">
        <v>21959</v>
      </c>
      <c r="M2222" s="2" t="s">
        <v>21960</v>
      </c>
      <c r="N2222" s="3" t="s">
        <v>625</v>
      </c>
      <c r="O2222" s="2" t="s">
        <v>21961</v>
      </c>
      <c r="P2222" s="3" t="s">
        <v>64</v>
      </c>
      <c r="R2222" s="3" t="s">
        <v>13065</v>
      </c>
      <c r="S2222" s="4">
        <v>32</v>
      </c>
      <c r="T2222" s="4">
        <v>32</v>
      </c>
      <c r="U2222" s="5" t="s">
        <v>12876</v>
      </c>
      <c r="V2222" s="5" t="s">
        <v>12876</v>
      </c>
      <c r="W2222" s="5" t="s">
        <v>67</v>
      </c>
      <c r="X2222" s="5" t="s">
        <v>67</v>
      </c>
      <c r="Y2222" s="4">
        <v>139</v>
      </c>
      <c r="Z2222" s="4">
        <v>10</v>
      </c>
      <c r="AA2222" s="4">
        <v>92</v>
      </c>
      <c r="AB2222" s="4">
        <v>1</v>
      </c>
      <c r="AC2222" s="4">
        <v>11</v>
      </c>
      <c r="AD2222" s="4">
        <v>29</v>
      </c>
      <c r="AE2222" s="4">
        <v>147</v>
      </c>
      <c r="AF2222" s="4">
        <v>0</v>
      </c>
      <c r="AG2222" s="4">
        <v>8</v>
      </c>
      <c r="AH2222" s="4">
        <v>24</v>
      </c>
      <c r="AI2222" s="4">
        <v>106</v>
      </c>
      <c r="AJ2222" s="4">
        <v>2</v>
      </c>
      <c r="AK2222" s="4">
        <v>29</v>
      </c>
      <c r="AL2222" s="4">
        <v>21</v>
      </c>
      <c r="AM2222" s="4">
        <v>60</v>
      </c>
      <c r="AN2222" s="4">
        <v>0</v>
      </c>
      <c r="AO2222" s="4">
        <v>0</v>
      </c>
      <c r="AP2222" s="4">
        <v>4</v>
      </c>
      <c r="AQ2222" s="4">
        <v>46</v>
      </c>
      <c r="AR2222" s="3" t="s">
        <v>62</v>
      </c>
      <c r="AS2222" s="3" t="s">
        <v>62</v>
      </c>
      <c r="AT2222" s="3" t="s">
        <v>62</v>
      </c>
      <c r="AV2222" s="6" t="str">
        <f>HYPERLINK("http://mcgill.on.worldcat.org/oclc/52920356","Catalog Record")</f>
        <v>Catalog Record</v>
      </c>
      <c r="AW2222" s="6" t="str">
        <f>HYPERLINK("http://www.worldcat.org/oclc/52920356","WorldCat Record")</f>
        <v>WorldCat Record</v>
      </c>
      <c r="AX2222" s="3" t="s">
        <v>21962</v>
      </c>
      <c r="AY2222" s="3" t="s">
        <v>21963</v>
      </c>
      <c r="AZ2222" s="3" t="s">
        <v>21964</v>
      </c>
      <c r="BA2222" s="3" t="s">
        <v>21964</v>
      </c>
      <c r="BB2222" s="3" t="s">
        <v>21965</v>
      </c>
      <c r="BC2222" s="3" t="s">
        <v>102</v>
      </c>
      <c r="BD2222" s="3" t="s">
        <v>68</v>
      </c>
      <c r="BE2222" s="3" t="s">
        <v>21966</v>
      </c>
      <c r="BF2222" s="3" t="s">
        <v>21965</v>
      </c>
      <c r="BG2222" s="3" t="s">
        <v>21967</v>
      </c>
    </row>
    <row r="2223" spans="1:59" ht="58" x14ac:dyDescent="0.35">
      <c r="A2223" s="2" t="s">
        <v>89</v>
      </c>
      <c r="B2223" s="2" t="s">
        <v>90</v>
      </c>
      <c r="C2223" s="2" t="s">
        <v>21968</v>
      </c>
      <c r="D2223" s="2" t="s">
        <v>21969</v>
      </c>
      <c r="E2223" s="2" t="s">
        <v>21970</v>
      </c>
      <c r="G2223" s="3" t="s">
        <v>62</v>
      </c>
      <c r="I2223" s="3" t="s">
        <v>62</v>
      </c>
      <c r="J2223" s="3" t="s">
        <v>61</v>
      </c>
      <c r="K2223" s="3" t="s">
        <v>63</v>
      </c>
      <c r="L2223" s="2" t="s">
        <v>21959</v>
      </c>
      <c r="M2223" s="2" t="s">
        <v>21971</v>
      </c>
      <c r="N2223" s="3" t="s">
        <v>2566</v>
      </c>
      <c r="P2223" s="3" t="s">
        <v>64</v>
      </c>
      <c r="R2223" s="3" t="s">
        <v>13065</v>
      </c>
      <c r="S2223" s="4">
        <v>27</v>
      </c>
      <c r="T2223" s="4">
        <v>27</v>
      </c>
      <c r="U2223" s="5" t="s">
        <v>21972</v>
      </c>
      <c r="V2223" s="5" t="s">
        <v>21972</v>
      </c>
      <c r="W2223" s="5" t="s">
        <v>67</v>
      </c>
      <c r="X2223" s="5" t="s">
        <v>67</v>
      </c>
      <c r="Y2223" s="4">
        <v>261</v>
      </c>
      <c r="Z2223" s="4">
        <v>20</v>
      </c>
      <c r="AA2223" s="4">
        <v>64</v>
      </c>
      <c r="AB2223" s="4">
        <v>2</v>
      </c>
      <c r="AC2223" s="4">
        <v>15</v>
      </c>
      <c r="AD2223" s="4">
        <v>61</v>
      </c>
      <c r="AE2223" s="4">
        <v>131</v>
      </c>
      <c r="AF2223" s="4">
        <v>1</v>
      </c>
      <c r="AG2223" s="4">
        <v>8</v>
      </c>
      <c r="AH2223" s="4">
        <v>50</v>
      </c>
      <c r="AI2223" s="4">
        <v>99</v>
      </c>
      <c r="AJ2223" s="4">
        <v>11</v>
      </c>
      <c r="AK2223" s="4">
        <v>27</v>
      </c>
      <c r="AL2223" s="4">
        <v>30</v>
      </c>
      <c r="AM2223" s="4">
        <v>52</v>
      </c>
      <c r="AN2223" s="4">
        <v>0</v>
      </c>
      <c r="AO2223" s="4">
        <v>0</v>
      </c>
      <c r="AP2223" s="4">
        <v>15</v>
      </c>
      <c r="AQ2223" s="4">
        <v>39</v>
      </c>
      <c r="AR2223" s="3" t="s">
        <v>62</v>
      </c>
      <c r="AS2223" s="3" t="s">
        <v>62</v>
      </c>
      <c r="AT2223" s="3" t="s">
        <v>61</v>
      </c>
      <c r="AU2223" s="6" t="str">
        <f>HYPERLINK("http://catalog.hathitrust.org/Record/000579089","HathiTrust Record")</f>
        <v>HathiTrust Record</v>
      </c>
      <c r="AV2223" s="6" t="str">
        <f>HYPERLINK("http://mcgill.on.worldcat.org/oclc/658117","Catalog Record")</f>
        <v>Catalog Record</v>
      </c>
      <c r="AW2223" s="6" t="str">
        <f>HYPERLINK("http://www.worldcat.org/oclc/658117","WorldCat Record")</f>
        <v>WorldCat Record</v>
      </c>
      <c r="AX2223" s="3" t="s">
        <v>21973</v>
      </c>
      <c r="AY2223" s="3" t="s">
        <v>21974</v>
      </c>
      <c r="AZ2223" s="3" t="s">
        <v>21975</v>
      </c>
      <c r="BA2223" s="3" t="s">
        <v>21975</v>
      </c>
      <c r="BB2223" s="3" t="s">
        <v>21976</v>
      </c>
      <c r="BC2223" s="3" t="s">
        <v>102</v>
      </c>
      <c r="BD2223" s="3" t="s">
        <v>68</v>
      </c>
      <c r="BE2223" s="3" t="s">
        <v>21977</v>
      </c>
      <c r="BF2223" s="3" t="s">
        <v>21976</v>
      </c>
      <c r="BG2223" s="3" t="s">
        <v>21978</v>
      </c>
    </row>
    <row r="2224" spans="1:59" ht="101.5" x14ac:dyDescent="0.35">
      <c r="A2224" s="2" t="s">
        <v>89</v>
      </c>
      <c r="B2224" s="2" t="s">
        <v>12301</v>
      </c>
      <c r="C2224" s="2" t="s">
        <v>21979</v>
      </c>
      <c r="D2224" s="2" t="s">
        <v>21980</v>
      </c>
      <c r="E2224" s="2" t="s">
        <v>21981</v>
      </c>
      <c r="G2224" s="3" t="s">
        <v>62</v>
      </c>
      <c r="I2224" s="3" t="s">
        <v>61</v>
      </c>
      <c r="J2224" s="3" t="s">
        <v>61</v>
      </c>
      <c r="K2224" s="3" t="s">
        <v>63</v>
      </c>
      <c r="L2224" s="2" t="s">
        <v>21982</v>
      </c>
      <c r="M2224" s="2" t="s">
        <v>21983</v>
      </c>
      <c r="N2224" s="3" t="s">
        <v>1722</v>
      </c>
      <c r="O2224" s="2" t="s">
        <v>19288</v>
      </c>
      <c r="P2224" s="3" t="s">
        <v>64</v>
      </c>
      <c r="R2224" s="3" t="s">
        <v>13065</v>
      </c>
      <c r="S2224" s="4">
        <v>444</v>
      </c>
      <c r="T2224" s="4">
        <v>4454</v>
      </c>
      <c r="U2224" s="5" t="s">
        <v>16060</v>
      </c>
      <c r="V2224" s="5" t="s">
        <v>12369</v>
      </c>
      <c r="W2224" s="5" t="s">
        <v>67</v>
      </c>
      <c r="X2224" s="5" t="s">
        <v>67</v>
      </c>
      <c r="Y2224" s="4">
        <v>285</v>
      </c>
      <c r="Z2224" s="4">
        <v>20</v>
      </c>
      <c r="AA2224" s="4">
        <v>64</v>
      </c>
      <c r="AB2224" s="4">
        <v>2</v>
      </c>
      <c r="AC2224" s="4">
        <v>15</v>
      </c>
      <c r="AD2224" s="4">
        <v>53</v>
      </c>
      <c r="AE2224" s="4">
        <v>131</v>
      </c>
      <c r="AF2224" s="4">
        <v>1</v>
      </c>
      <c r="AG2224" s="4">
        <v>8</v>
      </c>
      <c r="AH2224" s="4">
        <v>46</v>
      </c>
      <c r="AI2224" s="4">
        <v>99</v>
      </c>
      <c r="AJ2224" s="4">
        <v>10</v>
      </c>
      <c r="AK2224" s="4">
        <v>27</v>
      </c>
      <c r="AL2224" s="4">
        <v>27</v>
      </c>
      <c r="AM2224" s="4">
        <v>52</v>
      </c>
      <c r="AN2224" s="4">
        <v>0</v>
      </c>
      <c r="AO2224" s="4">
        <v>0</v>
      </c>
      <c r="AP2224" s="4">
        <v>12</v>
      </c>
      <c r="AQ2224" s="4">
        <v>39</v>
      </c>
      <c r="AR2224" s="3" t="s">
        <v>62</v>
      </c>
      <c r="AS2224" s="3" t="s">
        <v>62</v>
      </c>
      <c r="AT2224" s="3" t="s">
        <v>62</v>
      </c>
      <c r="AV2224" s="6" t="str">
        <f t="shared" ref="AV2224:AV2239" si="37">HYPERLINK("http://mcgill.on.worldcat.org/oclc/183886598","Catalog Record")</f>
        <v>Catalog Record</v>
      </c>
      <c r="AW2224" s="6" t="str">
        <f t="shared" ref="AW2224:AW2239" si="38">HYPERLINK("http://www.worldcat.org/oclc/183886598","WorldCat Record")</f>
        <v>WorldCat Record</v>
      </c>
      <c r="AX2224" s="3" t="s">
        <v>21973</v>
      </c>
      <c r="AY2224" s="3" t="s">
        <v>21984</v>
      </c>
      <c r="AZ2224" s="3" t="s">
        <v>21985</v>
      </c>
      <c r="BA2224" s="3" t="s">
        <v>21985</v>
      </c>
      <c r="BB2224" s="3" t="s">
        <v>21986</v>
      </c>
      <c r="BC2224" s="3" t="s">
        <v>102</v>
      </c>
      <c r="BD2224" s="3" t="s">
        <v>68</v>
      </c>
      <c r="BE2224" s="3" t="s">
        <v>21987</v>
      </c>
      <c r="BF2224" s="3" t="s">
        <v>21986</v>
      </c>
      <c r="BG2224" s="3" t="s">
        <v>21988</v>
      </c>
    </row>
    <row r="2225" spans="1:59" ht="101.5" x14ac:dyDescent="0.35">
      <c r="A2225" s="2" t="s">
        <v>89</v>
      </c>
      <c r="B2225" s="2" t="s">
        <v>12301</v>
      </c>
      <c r="C2225" s="2" t="s">
        <v>21979</v>
      </c>
      <c r="D2225" s="2" t="s">
        <v>21980</v>
      </c>
      <c r="E2225" s="2" t="s">
        <v>21981</v>
      </c>
      <c r="G2225" s="3" t="s">
        <v>62</v>
      </c>
      <c r="I2225" s="3" t="s">
        <v>61</v>
      </c>
      <c r="J2225" s="3" t="s">
        <v>61</v>
      </c>
      <c r="K2225" s="3" t="s">
        <v>63</v>
      </c>
      <c r="L2225" s="2" t="s">
        <v>21982</v>
      </c>
      <c r="M2225" s="2" t="s">
        <v>21983</v>
      </c>
      <c r="N2225" s="3" t="s">
        <v>1722</v>
      </c>
      <c r="O2225" s="2" t="s">
        <v>19288</v>
      </c>
      <c r="P2225" s="3" t="s">
        <v>64</v>
      </c>
      <c r="R2225" s="3" t="s">
        <v>13065</v>
      </c>
      <c r="S2225" s="4">
        <v>138</v>
      </c>
      <c r="T2225" s="4">
        <v>4454</v>
      </c>
      <c r="U2225" s="5" t="s">
        <v>21989</v>
      </c>
      <c r="V2225" s="5" t="s">
        <v>12369</v>
      </c>
      <c r="W2225" s="5" t="s">
        <v>67</v>
      </c>
      <c r="X2225" s="5" t="s">
        <v>67</v>
      </c>
      <c r="Y2225" s="4">
        <v>285</v>
      </c>
      <c r="Z2225" s="4">
        <v>20</v>
      </c>
      <c r="AA2225" s="4">
        <v>64</v>
      </c>
      <c r="AB2225" s="4">
        <v>2</v>
      </c>
      <c r="AC2225" s="4">
        <v>15</v>
      </c>
      <c r="AD2225" s="4">
        <v>53</v>
      </c>
      <c r="AE2225" s="4">
        <v>131</v>
      </c>
      <c r="AF2225" s="4">
        <v>1</v>
      </c>
      <c r="AG2225" s="4">
        <v>8</v>
      </c>
      <c r="AH2225" s="4">
        <v>46</v>
      </c>
      <c r="AI2225" s="4">
        <v>99</v>
      </c>
      <c r="AJ2225" s="4">
        <v>10</v>
      </c>
      <c r="AK2225" s="4">
        <v>27</v>
      </c>
      <c r="AL2225" s="4">
        <v>27</v>
      </c>
      <c r="AM2225" s="4">
        <v>52</v>
      </c>
      <c r="AN2225" s="4">
        <v>0</v>
      </c>
      <c r="AO2225" s="4">
        <v>0</v>
      </c>
      <c r="AP2225" s="4">
        <v>12</v>
      </c>
      <c r="AQ2225" s="4">
        <v>39</v>
      </c>
      <c r="AR2225" s="3" t="s">
        <v>62</v>
      </c>
      <c r="AS2225" s="3" t="s">
        <v>62</v>
      </c>
      <c r="AT2225" s="3" t="s">
        <v>62</v>
      </c>
      <c r="AV2225" s="6" t="str">
        <f t="shared" si="37"/>
        <v>Catalog Record</v>
      </c>
      <c r="AW2225" s="6" t="str">
        <f t="shared" si="38"/>
        <v>WorldCat Record</v>
      </c>
      <c r="AX2225" s="3" t="s">
        <v>21973</v>
      </c>
      <c r="AY2225" s="3" t="s">
        <v>21984</v>
      </c>
      <c r="AZ2225" s="3" t="s">
        <v>21985</v>
      </c>
      <c r="BA2225" s="3" t="s">
        <v>21985</v>
      </c>
      <c r="BB2225" s="3" t="s">
        <v>21990</v>
      </c>
      <c r="BC2225" s="3" t="s">
        <v>102</v>
      </c>
      <c r="BD2225" s="3" t="s">
        <v>68</v>
      </c>
      <c r="BE2225" s="3" t="s">
        <v>21987</v>
      </c>
      <c r="BF2225" s="3" t="s">
        <v>21990</v>
      </c>
      <c r="BG2225" s="3" t="s">
        <v>21991</v>
      </c>
    </row>
    <row r="2226" spans="1:59" ht="101.5" x14ac:dyDescent="0.35">
      <c r="A2226" s="2" t="s">
        <v>89</v>
      </c>
      <c r="B2226" s="2" t="s">
        <v>12301</v>
      </c>
      <c r="C2226" s="2" t="s">
        <v>21979</v>
      </c>
      <c r="D2226" s="2" t="s">
        <v>21980</v>
      </c>
      <c r="E2226" s="2" t="s">
        <v>21981</v>
      </c>
      <c r="G2226" s="3" t="s">
        <v>62</v>
      </c>
      <c r="I2226" s="3" t="s">
        <v>61</v>
      </c>
      <c r="J2226" s="3" t="s">
        <v>61</v>
      </c>
      <c r="K2226" s="3" t="s">
        <v>63</v>
      </c>
      <c r="L2226" s="2" t="s">
        <v>21982</v>
      </c>
      <c r="M2226" s="2" t="s">
        <v>21983</v>
      </c>
      <c r="N2226" s="3" t="s">
        <v>1722</v>
      </c>
      <c r="O2226" s="2" t="s">
        <v>19288</v>
      </c>
      <c r="P2226" s="3" t="s">
        <v>64</v>
      </c>
      <c r="R2226" s="3" t="s">
        <v>13065</v>
      </c>
      <c r="S2226" s="4">
        <v>165</v>
      </c>
      <c r="T2226" s="4">
        <v>4454</v>
      </c>
      <c r="U2226" s="5" t="s">
        <v>21992</v>
      </c>
      <c r="V2226" s="5" t="s">
        <v>12369</v>
      </c>
      <c r="W2226" s="5" t="s">
        <v>67</v>
      </c>
      <c r="X2226" s="5" t="s">
        <v>67</v>
      </c>
      <c r="Y2226" s="4">
        <v>285</v>
      </c>
      <c r="Z2226" s="4">
        <v>20</v>
      </c>
      <c r="AA2226" s="4">
        <v>64</v>
      </c>
      <c r="AB2226" s="4">
        <v>2</v>
      </c>
      <c r="AC2226" s="4">
        <v>15</v>
      </c>
      <c r="AD2226" s="4">
        <v>53</v>
      </c>
      <c r="AE2226" s="4">
        <v>131</v>
      </c>
      <c r="AF2226" s="4">
        <v>1</v>
      </c>
      <c r="AG2226" s="4">
        <v>8</v>
      </c>
      <c r="AH2226" s="4">
        <v>46</v>
      </c>
      <c r="AI2226" s="4">
        <v>99</v>
      </c>
      <c r="AJ2226" s="4">
        <v>10</v>
      </c>
      <c r="AK2226" s="4">
        <v>27</v>
      </c>
      <c r="AL2226" s="4">
        <v>27</v>
      </c>
      <c r="AM2226" s="4">
        <v>52</v>
      </c>
      <c r="AN2226" s="4">
        <v>0</v>
      </c>
      <c r="AO2226" s="4">
        <v>0</v>
      </c>
      <c r="AP2226" s="4">
        <v>12</v>
      </c>
      <c r="AQ2226" s="4">
        <v>39</v>
      </c>
      <c r="AR2226" s="3" t="s">
        <v>62</v>
      </c>
      <c r="AS2226" s="3" t="s">
        <v>62</v>
      </c>
      <c r="AT2226" s="3" t="s">
        <v>62</v>
      </c>
      <c r="AV2226" s="6" t="str">
        <f t="shared" si="37"/>
        <v>Catalog Record</v>
      </c>
      <c r="AW2226" s="6" t="str">
        <f t="shared" si="38"/>
        <v>WorldCat Record</v>
      </c>
      <c r="AX2226" s="3" t="s">
        <v>21973</v>
      </c>
      <c r="AY2226" s="3" t="s">
        <v>21984</v>
      </c>
      <c r="AZ2226" s="3" t="s">
        <v>21985</v>
      </c>
      <c r="BA2226" s="3" t="s">
        <v>21985</v>
      </c>
      <c r="BB2226" s="3" t="s">
        <v>21993</v>
      </c>
      <c r="BC2226" s="3" t="s">
        <v>102</v>
      </c>
      <c r="BD2226" s="3" t="s">
        <v>68</v>
      </c>
      <c r="BE2226" s="3" t="s">
        <v>21987</v>
      </c>
      <c r="BF2226" s="3" t="s">
        <v>21993</v>
      </c>
      <c r="BG2226" s="3" t="s">
        <v>21994</v>
      </c>
    </row>
    <row r="2227" spans="1:59" ht="101.5" x14ac:dyDescent="0.35">
      <c r="A2227" s="2" t="s">
        <v>89</v>
      </c>
      <c r="B2227" s="2" t="s">
        <v>12301</v>
      </c>
      <c r="C2227" s="2" t="s">
        <v>21979</v>
      </c>
      <c r="D2227" s="2" t="s">
        <v>21980</v>
      </c>
      <c r="E2227" s="2" t="s">
        <v>21981</v>
      </c>
      <c r="G2227" s="3" t="s">
        <v>62</v>
      </c>
      <c r="I2227" s="3" t="s">
        <v>61</v>
      </c>
      <c r="J2227" s="3" t="s">
        <v>61</v>
      </c>
      <c r="K2227" s="3" t="s">
        <v>63</v>
      </c>
      <c r="L2227" s="2" t="s">
        <v>21982</v>
      </c>
      <c r="M2227" s="2" t="s">
        <v>21983</v>
      </c>
      <c r="N2227" s="3" t="s">
        <v>1722</v>
      </c>
      <c r="O2227" s="2" t="s">
        <v>19288</v>
      </c>
      <c r="P2227" s="3" t="s">
        <v>64</v>
      </c>
      <c r="R2227" s="3" t="s">
        <v>13065</v>
      </c>
      <c r="S2227" s="4">
        <v>143</v>
      </c>
      <c r="T2227" s="4">
        <v>4454</v>
      </c>
      <c r="U2227" s="5" t="s">
        <v>2521</v>
      </c>
      <c r="V2227" s="5" t="s">
        <v>12369</v>
      </c>
      <c r="W2227" s="5" t="s">
        <v>67</v>
      </c>
      <c r="X2227" s="5" t="s">
        <v>67</v>
      </c>
      <c r="Y2227" s="4">
        <v>285</v>
      </c>
      <c r="Z2227" s="4">
        <v>20</v>
      </c>
      <c r="AA2227" s="4">
        <v>64</v>
      </c>
      <c r="AB2227" s="4">
        <v>2</v>
      </c>
      <c r="AC2227" s="4">
        <v>15</v>
      </c>
      <c r="AD2227" s="4">
        <v>53</v>
      </c>
      <c r="AE2227" s="4">
        <v>131</v>
      </c>
      <c r="AF2227" s="4">
        <v>1</v>
      </c>
      <c r="AG2227" s="4">
        <v>8</v>
      </c>
      <c r="AH2227" s="4">
        <v>46</v>
      </c>
      <c r="AI2227" s="4">
        <v>99</v>
      </c>
      <c r="AJ2227" s="4">
        <v>10</v>
      </c>
      <c r="AK2227" s="4">
        <v>27</v>
      </c>
      <c r="AL2227" s="4">
        <v>27</v>
      </c>
      <c r="AM2227" s="4">
        <v>52</v>
      </c>
      <c r="AN2227" s="4">
        <v>0</v>
      </c>
      <c r="AO2227" s="4">
        <v>0</v>
      </c>
      <c r="AP2227" s="4">
        <v>12</v>
      </c>
      <c r="AQ2227" s="4">
        <v>39</v>
      </c>
      <c r="AR2227" s="3" t="s">
        <v>62</v>
      </c>
      <c r="AS2227" s="3" t="s">
        <v>62</v>
      </c>
      <c r="AT2227" s="3" t="s">
        <v>62</v>
      </c>
      <c r="AV2227" s="6" t="str">
        <f t="shared" si="37"/>
        <v>Catalog Record</v>
      </c>
      <c r="AW2227" s="6" t="str">
        <f t="shared" si="38"/>
        <v>WorldCat Record</v>
      </c>
      <c r="AX2227" s="3" t="s">
        <v>21973</v>
      </c>
      <c r="AY2227" s="3" t="s">
        <v>21984</v>
      </c>
      <c r="AZ2227" s="3" t="s">
        <v>21985</v>
      </c>
      <c r="BA2227" s="3" t="s">
        <v>21985</v>
      </c>
      <c r="BB2227" s="3" t="s">
        <v>21995</v>
      </c>
      <c r="BC2227" s="3" t="s">
        <v>102</v>
      </c>
      <c r="BD2227" s="3" t="s">
        <v>68</v>
      </c>
      <c r="BE2227" s="3" t="s">
        <v>21987</v>
      </c>
      <c r="BF2227" s="3" t="s">
        <v>21995</v>
      </c>
      <c r="BG2227" s="3" t="s">
        <v>21996</v>
      </c>
    </row>
    <row r="2228" spans="1:59" ht="101.5" x14ac:dyDescent="0.35">
      <c r="A2228" s="2" t="s">
        <v>89</v>
      </c>
      <c r="B2228" s="2" t="s">
        <v>12301</v>
      </c>
      <c r="C2228" s="2" t="s">
        <v>21979</v>
      </c>
      <c r="D2228" s="2" t="s">
        <v>21980</v>
      </c>
      <c r="E2228" s="2" t="s">
        <v>21981</v>
      </c>
      <c r="G2228" s="3" t="s">
        <v>62</v>
      </c>
      <c r="I2228" s="3" t="s">
        <v>61</v>
      </c>
      <c r="J2228" s="3" t="s">
        <v>61</v>
      </c>
      <c r="K2228" s="3" t="s">
        <v>63</v>
      </c>
      <c r="L2228" s="2" t="s">
        <v>21982</v>
      </c>
      <c r="M2228" s="2" t="s">
        <v>21983</v>
      </c>
      <c r="N2228" s="3" t="s">
        <v>1722</v>
      </c>
      <c r="O2228" s="2" t="s">
        <v>19288</v>
      </c>
      <c r="P2228" s="3" t="s">
        <v>64</v>
      </c>
      <c r="R2228" s="3" t="s">
        <v>13065</v>
      </c>
      <c r="S2228" s="4">
        <v>535</v>
      </c>
      <c r="T2228" s="4">
        <v>4454</v>
      </c>
      <c r="U2228" s="5" t="s">
        <v>14499</v>
      </c>
      <c r="V2228" s="5" t="s">
        <v>12369</v>
      </c>
      <c r="W2228" s="5" t="s">
        <v>67</v>
      </c>
      <c r="X2228" s="5" t="s">
        <v>67</v>
      </c>
      <c r="Y2228" s="4">
        <v>285</v>
      </c>
      <c r="Z2228" s="4">
        <v>20</v>
      </c>
      <c r="AA2228" s="4">
        <v>64</v>
      </c>
      <c r="AB2228" s="4">
        <v>2</v>
      </c>
      <c r="AC2228" s="4">
        <v>15</v>
      </c>
      <c r="AD2228" s="4">
        <v>53</v>
      </c>
      <c r="AE2228" s="4">
        <v>131</v>
      </c>
      <c r="AF2228" s="4">
        <v>1</v>
      </c>
      <c r="AG2228" s="4">
        <v>8</v>
      </c>
      <c r="AH2228" s="4">
        <v>46</v>
      </c>
      <c r="AI2228" s="4">
        <v>99</v>
      </c>
      <c r="AJ2228" s="4">
        <v>10</v>
      </c>
      <c r="AK2228" s="4">
        <v>27</v>
      </c>
      <c r="AL2228" s="4">
        <v>27</v>
      </c>
      <c r="AM2228" s="4">
        <v>52</v>
      </c>
      <c r="AN2228" s="4">
        <v>0</v>
      </c>
      <c r="AO2228" s="4">
        <v>0</v>
      </c>
      <c r="AP2228" s="4">
        <v>12</v>
      </c>
      <c r="AQ2228" s="4">
        <v>39</v>
      </c>
      <c r="AR2228" s="3" t="s">
        <v>62</v>
      </c>
      <c r="AS2228" s="3" t="s">
        <v>62</v>
      </c>
      <c r="AT2228" s="3" t="s">
        <v>62</v>
      </c>
      <c r="AV2228" s="6" t="str">
        <f t="shared" si="37"/>
        <v>Catalog Record</v>
      </c>
      <c r="AW2228" s="6" t="str">
        <f t="shared" si="38"/>
        <v>WorldCat Record</v>
      </c>
      <c r="AX2228" s="3" t="s">
        <v>21973</v>
      </c>
      <c r="AY2228" s="3" t="s">
        <v>21984</v>
      </c>
      <c r="AZ2228" s="3" t="s">
        <v>21985</v>
      </c>
      <c r="BA2228" s="3" t="s">
        <v>21985</v>
      </c>
      <c r="BB2228" s="3" t="s">
        <v>21997</v>
      </c>
      <c r="BC2228" s="3" t="s">
        <v>102</v>
      </c>
      <c r="BD2228" s="3" t="s">
        <v>68</v>
      </c>
      <c r="BE2228" s="3" t="s">
        <v>21987</v>
      </c>
      <c r="BF2228" s="3" t="s">
        <v>21997</v>
      </c>
      <c r="BG2228" s="3" t="s">
        <v>21998</v>
      </c>
    </row>
    <row r="2229" spans="1:59" ht="101.5" x14ac:dyDescent="0.35">
      <c r="A2229" s="2" t="s">
        <v>89</v>
      </c>
      <c r="B2229" s="2" t="s">
        <v>12301</v>
      </c>
      <c r="C2229" s="2" t="s">
        <v>21979</v>
      </c>
      <c r="D2229" s="2" t="s">
        <v>21980</v>
      </c>
      <c r="E2229" s="2" t="s">
        <v>21981</v>
      </c>
      <c r="G2229" s="3" t="s">
        <v>62</v>
      </c>
      <c r="I2229" s="3" t="s">
        <v>61</v>
      </c>
      <c r="J2229" s="3" t="s">
        <v>61</v>
      </c>
      <c r="K2229" s="3" t="s">
        <v>63</v>
      </c>
      <c r="L2229" s="2" t="s">
        <v>21982</v>
      </c>
      <c r="M2229" s="2" t="s">
        <v>21983</v>
      </c>
      <c r="N2229" s="3" t="s">
        <v>1722</v>
      </c>
      <c r="O2229" s="2" t="s">
        <v>19288</v>
      </c>
      <c r="P2229" s="3" t="s">
        <v>64</v>
      </c>
      <c r="R2229" s="3" t="s">
        <v>13065</v>
      </c>
      <c r="S2229" s="4">
        <v>149</v>
      </c>
      <c r="T2229" s="4">
        <v>4454</v>
      </c>
      <c r="U2229" s="5" t="s">
        <v>3820</v>
      </c>
      <c r="V2229" s="5" t="s">
        <v>12369</v>
      </c>
      <c r="W2229" s="5" t="s">
        <v>67</v>
      </c>
      <c r="X2229" s="5" t="s">
        <v>67</v>
      </c>
      <c r="Y2229" s="4">
        <v>285</v>
      </c>
      <c r="Z2229" s="4">
        <v>20</v>
      </c>
      <c r="AA2229" s="4">
        <v>64</v>
      </c>
      <c r="AB2229" s="4">
        <v>2</v>
      </c>
      <c r="AC2229" s="4">
        <v>15</v>
      </c>
      <c r="AD2229" s="4">
        <v>53</v>
      </c>
      <c r="AE2229" s="4">
        <v>131</v>
      </c>
      <c r="AF2229" s="4">
        <v>1</v>
      </c>
      <c r="AG2229" s="4">
        <v>8</v>
      </c>
      <c r="AH2229" s="4">
        <v>46</v>
      </c>
      <c r="AI2229" s="4">
        <v>99</v>
      </c>
      <c r="AJ2229" s="4">
        <v>10</v>
      </c>
      <c r="AK2229" s="4">
        <v>27</v>
      </c>
      <c r="AL2229" s="4">
        <v>27</v>
      </c>
      <c r="AM2229" s="4">
        <v>52</v>
      </c>
      <c r="AN2229" s="4">
        <v>0</v>
      </c>
      <c r="AO2229" s="4">
        <v>0</v>
      </c>
      <c r="AP2229" s="4">
        <v>12</v>
      </c>
      <c r="AQ2229" s="4">
        <v>39</v>
      </c>
      <c r="AR2229" s="3" t="s">
        <v>62</v>
      </c>
      <c r="AS2229" s="3" t="s">
        <v>62</v>
      </c>
      <c r="AT2229" s="3" t="s">
        <v>62</v>
      </c>
      <c r="AV2229" s="6" t="str">
        <f t="shared" si="37"/>
        <v>Catalog Record</v>
      </c>
      <c r="AW2229" s="6" t="str">
        <f t="shared" si="38"/>
        <v>WorldCat Record</v>
      </c>
      <c r="AX2229" s="3" t="s">
        <v>21973</v>
      </c>
      <c r="AY2229" s="3" t="s">
        <v>21984</v>
      </c>
      <c r="AZ2229" s="3" t="s">
        <v>21985</v>
      </c>
      <c r="BA2229" s="3" t="s">
        <v>21985</v>
      </c>
      <c r="BB2229" s="3" t="s">
        <v>21999</v>
      </c>
      <c r="BC2229" s="3" t="s">
        <v>102</v>
      </c>
      <c r="BD2229" s="3" t="s">
        <v>68</v>
      </c>
      <c r="BE2229" s="3" t="s">
        <v>21987</v>
      </c>
      <c r="BF2229" s="3" t="s">
        <v>21999</v>
      </c>
      <c r="BG2229" s="3" t="s">
        <v>22000</v>
      </c>
    </row>
    <row r="2230" spans="1:59" ht="101.5" x14ac:dyDescent="0.35">
      <c r="A2230" s="2" t="s">
        <v>89</v>
      </c>
      <c r="B2230" s="2" t="s">
        <v>12301</v>
      </c>
      <c r="C2230" s="2" t="s">
        <v>21979</v>
      </c>
      <c r="D2230" s="2" t="s">
        <v>21980</v>
      </c>
      <c r="E2230" s="2" t="s">
        <v>21981</v>
      </c>
      <c r="G2230" s="3" t="s">
        <v>62</v>
      </c>
      <c r="I2230" s="3" t="s">
        <v>61</v>
      </c>
      <c r="J2230" s="3" t="s">
        <v>61</v>
      </c>
      <c r="K2230" s="3" t="s">
        <v>63</v>
      </c>
      <c r="L2230" s="2" t="s">
        <v>21982</v>
      </c>
      <c r="M2230" s="2" t="s">
        <v>21983</v>
      </c>
      <c r="N2230" s="3" t="s">
        <v>1722</v>
      </c>
      <c r="O2230" s="2" t="s">
        <v>19288</v>
      </c>
      <c r="P2230" s="3" t="s">
        <v>64</v>
      </c>
      <c r="R2230" s="3" t="s">
        <v>13065</v>
      </c>
      <c r="S2230" s="4">
        <v>150</v>
      </c>
      <c r="T2230" s="4">
        <v>4454</v>
      </c>
      <c r="U2230" s="5" t="s">
        <v>18024</v>
      </c>
      <c r="V2230" s="5" t="s">
        <v>12369</v>
      </c>
      <c r="W2230" s="5" t="s">
        <v>67</v>
      </c>
      <c r="X2230" s="5" t="s">
        <v>67</v>
      </c>
      <c r="Y2230" s="4">
        <v>285</v>
      </c>
      <c r="Z2230" s="4">
        <v>20</v>
      </c>
      <c r="AA2230" s="4">
        <v>64</v>
      </c>
      <c r="AB2230" s="4">
        <v>2</v>
      </c>
      <c r="AC2230" s="4">
        <v>15</v>
      </c>
      <c r="AD2230" s="4">
        <v>53</v>
      </c>
      <c r="AE2230" s="4">
        <v>131</v>
      </c>
      <c r="AF2230" s="4">
        <v>1</v>
      </c>
      <c r="AG2230" s="4">
        <v>8</v>
      </c>
      <c r="AH2230" s="4">
        <v>46</v>
      </c>
      <c r="AI2230" s="4">
        <v>99</v>
      </c>
      <c r="AJ2230" s="4">
        <v>10</v>
      </c>
      <c r="AK2230" s="4">
        <v>27</v>
      </c>
      <c r="AL2230" s="4">
        <v>27</v>
      </c>
      <c r="AM2230" s="4">
        <v>52</v>
      </c>
      <c r="AN2230" s="4">
        <v>0</v>
      </c>
      <c r="AO2230" s="4">
        <v>0</v>
      </c>
      <c r="AP2230" s="4">
        <v>12</v>
      </c>
      <c r="AQ2230" s="4">
        <v>39</v>
      </c>
      <c r="AR2230" s="3" t="s">
        <v>62</v>
      </c>
      <c r="AS2230" s="3" t="s">
        <v>62</v>
      </c>
      <c r="AT2230" s="3" t="s">
        <v>62</v>
      </c>
      <c r="AV2230" s="6" t="str">
        <f t="shared" si="37"/>
        <v>Catalog Record</v>
      </c>
      <c r="AW2230" s="6" t="str">
        <f t="shared" si="38"/>
        <v>WorldCat Record</v>
      </c>
      <c r="AX2230" s="3" t="s">
        <v>21973</v>
      </c>
      <c r="AY2230" s="3" t="s">
        <v>21984</v>
      </c>
      <c r="AZ2230" s="3" t="s">
        <v>21985</v>
      </c>
      <c r="BA2230" s="3" t="s">
        <v>21985</v>
      </c>
      <c r="BB2230" s="3" t="s">
        <v>22001</v>
      </c>
      <c r="BC2230" s="3" t="s">
        <v>102</v>
      </c>
      <c r="BD2230" s="3" t="s">
        <v>68</v>
      </c>
      <c r="BE2230" s="3" t="s">
        <v>21987</v>
      </c>
      <c r="BF2230" s="3" t="s">
        <v>22001</v>
      </c>
      <c r="BG2230" s="3" t="s">
        <v>22002</v>
      </c>
    </row>
    <row r="2231" spans="1:59" ht="101.5" x14ac:dyDescent="0.35">
      <c r="A2231" s="2" t="s">
        <v>89</v>
      </c>
      <c r="B2231" s="2" t="s">
        <v>12301</v>
      </c>
      <c r="C2231" s="2" t="s">
        <v>21979</v>
      </c>
      <c r="D2231" s="2" t="s">
        <v>21980</v>
      </c>
      <c r="E2231" s="2" t="s">
        <v>21981</v>
      </c>
      <c r="G2231" s="3" t="s">
        <v>62</v>
      </c>
      <c r="I2231" s="3" t="s">
        <v>61</v>
      </c>
      <c r="J2231" s="3" t="s">
        <v>61</v>
      </c>
      <c r="K2231" s="3" t="s">
        <v>63</v>
      </c>
      <c r="L2231" s="2" t="s">
        <v>21982</v>
      </c>
      <c r="M2231" s="2" t="s">
        <v>21983</v>
      </c>
      <c r="N2231" s="3" t="s">
        <v>1722</v>
      </c>
      <c r="O2231" s="2" t="s">
        <v>19288</v>
      </c>
      <c r="P2231" s="3" t="s">
        <v>64</v>
      </c>
      <c r="R2231" s="3" t="s">
        <v>13065</v>
      </c>
      <c r="S2231" s="4">
        <v>443</v>
      </c>
      <c r="T2231" s="4">
        <v>4454</v>
      </c>
      <c r="U2231" s="5" t="s">
        <v>6904</v>
      </c>
      <c r="V2231" s="5" t="s">
        <v>12369</v>
      </c>
      <c r="W2231" s="5" t="s">
        <v>67</v>
      </c>
      <c r="X2231" s="5" t="s">
        <v>67</v>
      </c>
      <c r="Y2231" s="4">
        <v>285</v>
      </c>
      <c r="Z2231" s="4">
        <v>20</v>
      </c>
      <c r="AA2231" s="4">
        <v>64</v>
      </c>
      <c r="AB2231" s="4">
        <v>2</v>
      </c>
      <c r="AC2231" s="4">
        <v>15</v>
      </c>
      <c r="AD2231" s="4">
        <v>53</v>
      </c>
      <c r="AE2231" s="4">
        <v>131</v>
      </c>
      <c r="AF2231" s="4">
        <v>1</v>
      </c>
      <c r="AG2231" s="4">
        <v>8</v>
      </c>
      <c r="AH2231" s="4">
        <v>46</v>
      </c>
      <c r="AI2231" s="4">
        <v>99</v>
      </c>
      <c r="AJ2231" s="4">
        <v>10</v>
      </c>
      <c r="AK2231" s="4">
        <v>27</v>
      </c>
      <c r="AL2231" s="4">
        <v>27</v>
      </c>
      <c r="AM2231" s="4">
        <v>52</v>
      </c>
      <c r="AN2231" s="4">
        <v>0</v>
      </c>
      <c r="AO2231" s="4">
        <v>0</v>
      </c>
      <c r="AP2231" s="4">
        <v>12</v>
      </c>
      <c r="AQ2231" s="4">
        <v>39</v>
      </c>
      <c r="AR2231" s="3" t="s">
        <v>62</v>
      </c>
      <c r="AS2231" s="3" t="s">
        <v>62</v>
      </c>
      <c r="AT2231" s="3" t="s">
        <v>62</v>
      </c>
      <c r="AV2231" s="6" t="str">
        <f t="shared" si="37"/>
        <v>Catalog Record</v>
      </c>
      <c r="AW2231" s="6" t="str">
        <f t="shared" si="38"/>
        <v>WorldCat Record</v>
      </c>
      <c r="AX2231" s="3" t="s">
        <v>21973</v>
      </c>
      <c r="AY2231" s="3" t="s">
        <v>21984</v>
      </c>
      <c r="AZ2231" s="3" t="s">
        <v>21985</v>
      </c>
      <c r="BA2231" s="3" t="s">
        <v>21985</v>
      </c>
      <c r="BB2231" s="3" t="s">
        <v>22003</v>
      </c>
      <c r="BC2231" s="3" t="s">
        <v>102</v>
      </c>
      <c r="BD2231" s="3" t="s">
        <v>68</v>
      </c>
      <c r="BE2231" s="3" t="s">
        <v>21987</v>
      </c>
      <c r="BF2231" s="3" t="s">
        <v>22003</v>
      </c>
      <c r="BG2231" s="3" t="s">
        <v>22004</v>
      </c>
    </row>
    <row r="2232" spans="1:59" ht="101.5" x14ac:dyDescent="0.35">
      <c r="A2232" s="2" t="s">
        <v>89</v>
      </c>
      <c r="B2232" s="2" t="s">
        <v>12301</v>
      </c>
      <c r="C2232" s="2" t="s">
        <v>21979</v>
      </c>
      <c r="D2232" s="2" t="s">
        <v>21980</v>
      </c>
      <c r="E2232" s="2" t="s">
        <v>21981</v>
      </c>
      <c r="G2232" s="3" t="s">
        <v>62</v>
      </c>
      <c r="I2232" s="3" t="s">
        <v>61</v>
      </c>
      <c r="J2232" s="3" t="s">
        <v>61</v>
      </c>
      <c r="K2232" s="3" t="s">
        <v>63</v>
      </c>
      <c r="L2232" s="2" t="s">
        <v>21982</v>
      </c>
      <c r="M2232" s="2" t="s">
        <v>21983</v>
      </c>
      <c r="N2232" s="3" t="s">
        <v>1722</v>
      </c>
      <c r="O2232" s="2" t="s">
        <v>19288</v>
      </c>
      <c r="P2232" s="3" t="s">
        <v>64</v>
      </c>
      <c r="R2232" s="3" t="s">
        <v>13065</v>
      </c>
      <c r="S2232" s="4">
        <v>147</v>
      </c>
      <c r="T2232" s="4">
        <v>4454</v>
      </c>
      <c r="U2232" s="5" t="s">
        <v>20727</v>
      </c>
      <c r="V2232" s="5" t="s">
        <v>12369</v>
      </c>
      <c r="W2232" s="5" t="s">
        <v>67</v>
      </c>
      <c r="X2232" s="5" t="s">
        <v>67</v>
      </c>
      <c r="Y2232" s="4">
        <v>285</v>
      </c>
      <c r="Z2232" s="4">
        <v>20</v>
      </c>
      <c r="AA2232" s="4">
        <v>64</v>
      </c>
      <c r="AB2232" s="4">
        <v>2</v>
      </c>
      <c r="AC2232" s="4">
        <v>15</v>
      </c>
      <c r="AD2232" s="4">
        <v>53</v>
      </c>
      <c r="AE2232" s="4">
        <v>131</v>
      </c>
      <c r="AF2232" s="4">
        <v>1</v>
      </c>
      <c r="AG2232" s="4">
        <v>8</v>
      </c>
      <c r="AH2232" s="4">
        <v>46</v>
      </c>
      <c r="AI2232" s="4">
        <v>99</v>
      </c>
      <c r="AJ2232" s="4">
        <v>10</v>
      </c>
      <c r="AK2232" s="4">
        <v>27</v>
      </c>
      <c r="AL2232" s="4">
        <v>27</v>
      </c>
      <c r="AM2232" s="4">
        <v>52</v>
      </c>
      <c r="AN2232" s="4">
        <v>0</v>
      </c>
      <c r="AO2232" s="4">
        <v>0</v>
      </c>
      <c r="AP2232" s="4">
        <v>12</v>
      </c>
      <c r="AQ2232" s="4">
        <v>39</v>
      </c>
      <c r="AR2232" s="3" t="s">
        <v>62</v>
      </c>
      <c r="AS2232" s="3" t="s">
        <v>62</v>
      </c>
      <c r="AT2232" s="3" t="s">
        <v>62</v>
      </c>
      <c r="AV2232" s="6" t="str">
        <f t="shared" si="37"/>
        <v>Catalog Record</v>
      </c>
      <c r="AW2232" s="6" t="str">
        <f t="shared" si="38"/>
        <v>WorldCat Record</v>
      </c>
      <c r="AX2232" s="3" t="s">
        <v>21973</v>
      </c>
      <c r="AY2232" s="3" t="s">
        <v>21984</v>
      </c>
      <c r="AZ2232" s="3" t="s">
        <v>21985</v>
      </c>
      <c r="BA2232" s="3" t="s">
        <v>21985</v>
      </c>
      <c r="BB2232" s="3" t="s">
        <v>22005</v>
      </c>
      <c r="BC2232" s="3" t="s">
        <v>102</v>
      </c>
      <c r="BD2232" s="3" t="s">
        <v>68</v>
      </c>
      <c r="BE2232" s="3" t="s">
        <v>21987</v>
      </c>
      <c r="BF2232" s="3" t="s">
        <v>22005</v>
      </c>
      <c r="BG2232" s="3" t="s">
        <v>22006</v>
      </c>
    </row>
    <row r="2233" spans="1:59" ht="101.5" x14ac:dyDescent="0.35">
      <c r="A2233" s="2" t="s">
        <v>89</v>
      </c>
      <c r="B2233" s="2" t="s">
        <v>12301</v>
      </c>
      <c r="C2233" s="2" t="s">
        <v>21979</v>
      </c>
      <c r="D2233" s="2" t="s">
        <v>21980</v>
      </c>
      <c r="E2233" s="2" t="s">
        <v>21981</v>
      </c>
      <c r="G2233" s="3" t="s">
        <v>62</v>
      </c>
      <c r="I2233" s="3" t="s">
        <v>61</v>
      </c>
      <c r="J2233" s="3" t="s">
        <v>61</v>
      </c>
      <c r="K2233" s="3" t="s">
        <v>63</v>
      </c>
      <c r="L2233" s="2" t="s">
        <v>21982</v>
      </c>
      <c r="M2233" s="2" t="s">
        <v>21983</v>
      </c>
      <c r="N2233" s="3" t="s">
        <v>1722</v>
      </c>
      <c r="O2233" s="2" t="s">
        <v>19288</v>
      </c>
      <c r="P2233" s="3" t="s">
        <v>64</v>
      </c>
      <c r="R2233" s="3" t="s">
        <v>13065</v>
      </c>
      <c r="S2233" s="4">
        <v>519</v>
      </c>
      <c r="T2233" s="4">
        <v>4454</v>
      </c>
      <c r="U2233" s="5" t="s">
        <v>22007</v>
      </c>
      <c r="V2233" s="5" t="s">
        <v>12369</v>
      </c>
      <c r="W2233" s="5" t="s">
        <v>67</v>
      </c>
      <c r="X2233" s="5" t="s">
        <v>67</v>
      </c>
      <c r="Y2233" s="4">
        <v>285</v>
      </c>
      <c r="Z2233" s="4">
        <v>20</v>
      </c>
      <c r="AA2233" s="4">
        <v>64</v>
      </c>
      <c r="AB2233" s="4">
        <v>2</v>
      </c>
      <c r="AC2233" s="4">
        <v>15</v>
      </c>
      <c r="AD2233" s="4">
        <v>53</v>
      </c>
      <c r="AE2233" s="4">
        <v>131</v>
      </c>
      <c r="AF2233" s="4">
        <v>1</v>
      </c>
      <c r="AG2233" s="4">
        <v>8</v>
      </c>
      <c r="AH2233" s="4">
        <v>46</v>
      </c>
      <c r="AI2233" s="4">
        <v>99</v>
      </c>
      <c r="AJ2233" s="4">
        <v>10</v>
      </c>
      <c r="AK2233" s="4">
        <v>27</v>
      </c>
      <c r="AL2233" s="4">
        <v>27</v>
      </c>
      <c r="AM2233" s="4">
        <v>52</v>
      </c>
      <c r="AN2233" s="4">
        <v>0</v>
      </c>
      <c r="AO2233" s="4">
        <v>0</v>
      </c>
      <c r="AP2233" s="4">
        <v>12</v>
      </c>
      <c r="AQ2233" s="4">
        <v>39</v>
      </c>
      <c r="AR2233" s="3" t="s">
        <v>62</v>
      </c>
      <c r="AS2233" s="3" t="s">
        <v>62</v>
      </c>
      <c r="AT2233" s="3" t="s">
        <v>62</v>
      </c>
      <c r="AV2233" s="6" t="str">
        <f t="shared" si="37"/>
        <v>Catalog Record</v>
      </c>
      <c r="AW2233" s="6" t="str">
        <f t="shared" si="38"/>
        <v>WorldCat Record</v>
      </c>
      <c r="AX2233" s="3" t="s">
        <v>21973</v>
      </c>
      <c r="AY2233" s="3" t="s">
        <v>21984</v>
      </c>
      <c r="AZ2233" s="3" t="s">
        <v>21985</v>
      </c>
      <c r="BA2233" s="3" t="s">
        <v>21985</v>
      </c>
      <c r="BB2233" s="3" t="s">
        <v>22008</v>
      </c>
      <c r="BC2233" s="3" t="s">
        <v>102</v>
      </c>
      <c r="BD2233" s="3" t="s">
        <v>68</v>
      </c>
      <c r="BE2233" s="3" t="s">
        <v>21987</v>
      </c>
      <c r="BF2233" s="3" t="s">
        <v>22008</v>
      </c>
      <c r="BG2233" s="3" t="s">
        <v>22009</v>
      </c>
    </row>
    <row r="2234" spans="1:59" ht="101.5" x14ac:dyDescent="0.35">
      <c r="A2234" s="2" t="s">
        <v>89</v>
      </c>
      <c r="B2234" s="2" t="s">
        <v>12301</v>
      </c>
      <c r="C2234" s="2" t="s">
        <v>21979</v>
      </c>
      <c r="D2234" s="2" t="s">
        <v>21980</v>
      </c>
      <c r="E2234" s="2" t="s">
        <v>21981</v>
      </c>
      <c r="G2234" s="3" t="s">
        <v>62</v>
      </c>
      <c r="I2234" s="3" t="s">
        <v>61</v>
      </c>
      <c r="J2234" s="3" t="s">
        <v>61</v>
      </c>
      <c r="K2234" s="3" t="s">
        <v>63</v>
      </c>
      <c r="L2234" s="2" t="s">
        <v>21982</v>
      </c>
      <c r="M2234" s="2" t="s">
        <v>21983</v>
      </c>
      <c r="N2234" s="3" t="s">
        <v>1722</v>
      </c>
      <c r="O2234" s="2" t="s">
        <v>19288</v>
      </c>
      <c r="P2234" s="3" t="s">
        <v>64</v>
      </c>
      <c r="R2234" s="3" t="s">
        <v>13065</v>
      </c>
      <c r="S2234" s="4">
        <v>137</v>
      </c>
      <c r="T2234" s="4">
        <v>4454</v>
      </c>
      <c r="U2234" s="5" t="s">
        <v>20604</v>
      </c>
      <c r="V2234" s="5" t="s">
        <v>12369</v>
      </c>
      <c r="W2234" s="5" t="s">
        <v>67</v>
      </c>
      <c r="X2234" s="5" t="s">
        <v>67</v>
      </c>
      <c r="Y2234" s="4">
        <v>285</v>
      </c>
      <c r="Z2234" s="4">
        <v>20</v>
      </c>
      <c r="AA2234" s="4">
        <v>64</v>
      </c>
      <c r="AB2234" s="4">
        <v>2</v>
      </c>
      <c r="AC2234" s="4">
        <v>15</v>
      </c>
      <c r="AD2234" s="4">
        <v>53</v>
      </c>
      <c r="AE2234" s="4">
        <v>131</v>
      </c>
      <c r="AF2234" s="4">
        <v>1</v>
      </c>
      <c r="AG2234" s="4">
        <v>8</v>
      </c>
      <c r="AH2234" s="4">
        <v>46</v>
      </c>
      <c r="AI2234" s="4">
        <v>99</v>
      </c>
      <c r="AJ2234" s="4">
        <v>10</v>
      </c>
      <c r="AK2234" s="4">
        <v>27</v>
      </c>
      <c r="AL2234" s="4">
        <v>27</v>
      </c>
      <c r="AM2234" s="4">
        <v>52</v>
      </c>
      <c r="AN2234" s="4">
        <v>0</v>
      </c>
      <c r="AO2234" s="4">
        <v>0</v>
      </c>
      <c r="AP2234" s="4">
        <v>12</v>
      </c>
      <c r="AQ2234" s="4">
        <v>39</v>
      </c>
      <c r="AR2234" s="3" t="s">
        <v>62</v>
      </c>
      <c r="AS2234" s="3" t="s">
        <v>62</v>
      </c>
      <c r="AT2234" s="3" t="s">
        <v>62</v>
      </c>
      <c r="AV2234" s="6" t="str">
        <f t="shared" si="37"/>
        <v>Catalog Record</v>
      </c>
      <c r="AW2234" s="6" t="str">
        <f t="shared" si="38"/>
        <v>WorldCat Record</v>
      </c>
      <c r="AX2234" s="3" t="s">
        <v>21973</v>
      </c>
      <c r="AY2234" s="3" t="s">
        <v>21984</v>
      </c>
      <c r="AZ2234" s="3" t="s">
        <v>21985</v>
      </c>
      <c r="BA2234" s="3" t="s">
        <v>21985</v>
      </c>
      <c r="BB2234" s="3" t="s">
        <v>22010</v>
      </c>
      <c r="BC2234" s="3" t="s">
        <v>102</v>
      </c>
      <c r="BD2234" s="3" t="s">
        <v>68</v>
      </c>
      <c r="BE2234" s="3" t="s">
        <v>21987</v>
      </c>
      <c r="BF2234" s="3" t="s">
        <v>22010</v>
      </c>
      <c r="BG2234" s="3" t="s">
        <v>22011</v>
      </c>
    </row>
    <row r="2235" spans="1:59" ht="101.5" x14ac:dyDescent="0.35">
      <c r="A2235" s="2" t="s">
        <v>89</v>
      </c>
      <c r="B2235" s="2" t="s">
        <v>12301</v>
      </c>
      <c r="C2235" s="2" t="s">
        <v>21979</v>
      </c>
      <c r="D2235" s="2" t="s">
        <v>21980</v>
      </c>
      <c r="E2235" s="2" t="s">
        <v>21981</v>
      </c>
      <c r="G2235" s="3" t="s">
        <v>62</v>
      </c>
      <c r="I2235" s="3" t="s">
        <v>61</v>
      </c>
      <c r="J2235" s="3" t="s">
        <v>61</v>
      </c>
      <c r="K2235" s="3" t="s">
        <v>63</v>
      </c>
      <c r="L2235" s="2" t="s">
        <v>21982</v>
      </c>
      <c r="M2235" s="2" t="s">
        <v>21983</v>
      </c>
      <c r="N2235" s="3" t="s">
        <v>1722</v>
      </c>
      <c r="O2235" s="2" t="s">
        <v>19288</v>
      </c>
      <c r="P2235" s="3" t="s">
        <v>64</v>
      </c>
      <c r="R2235" s="3" t="s">
        <v>13065</v>
      </c>
      <c r="S2235" s="4">
        <v>151</v>
      </c>
      <c r="T2235" s="4">
        <v>4454</v>
      </c>
      <c r="U2235" s="5" t="s">
        <v>21992</v>
      </c>
      <c r="V2235" s="5" t="s">
        <v>12369</v>
      </c>
      <c r="W2235" s="5" t="s">
        <v>67</v>
      </c>
      <c r="X2235" s="5" t="s">
        <v>67</v>
      </c>
      <c r="Y2235" s="4">
        <v>285</v>
      </c>
      <c r="Z2235" s="4">
        <v>20</v>
      </c>
      <c r="AA2235" s="4">
        <v>64</v>
      </c>
      <c r="AB2235" s="4">
        <v>2</v>
      </c>
      <c r="AC2235" s="4">
        <v>15</v>
      </c>
      <c r="AD2235" s="4">
        <v>53</v>
      </c>
      <c r="AE2235" s="4">
        <v>131</v>
      </c>
      <c r="AF2235" s="4">
        <v>1</v>
      </c>
      <c r="AG2235" s="4">
        <v>8</v>
      </c>
      <c r="AH2235" s="4">
        <v>46</v>
      </c>
      <c r="AI2235" s="4">
        <v>99</v>
      </c>
      <c r="AJ2235" s="4">
        <v>10</v>
      </c>
      <c r="AK2235" s="4">
        <v>27</v>
      </c>
      <c r="AL2235" s="4">
        <v>27</v>
      </c>
      <c r="AM2235" s="4">
        <v>52</v>
      </c>
      <c r="AN2235" s="4">
        <v>0</v>
      </c>
      <c r="AO2235" s="4">
        <v>0</v>
      </c>
      <c r="AP2235" s="4">
        <v>12</v>
      </c>
      <c r="AQ2235" s="4">
        <v>39</v>
      </c>
      <c r="AR2235" s="3" t="s">
        <v>62</v>
      </c>
      <c r="AS2235" s="3" t="s">
        <v>62</v>
      </c>
      <c r="AT2235" s="3" t="s">
        <v>62</v>
      </c>
      <c r="AV2235" s="6" t="str">
        <f t="shared" si="37"/>
        <v>Catalog Record</v>
      </c>
      <c r="AW2235" s="6" t="str">
        <f t="shared" si="38"/>
        <v>WorldCat Record</v>
      </c>
      <c r="AX2235" s="3" t="s">
        <v>21973</v>
      </c>
      <c r="AY2235" s="3" t="s">
        <v>21984</v>
      </c>
      <c r="AZ2235" s="3" t="s">
        <v>21985</v>
      </c>
      <c r="BA2235" s="3" t="s">
        <v>21985</v>
      </c>
      <c r="BB2235" s="3" t="s">
        <v>22012</v>
      </c>
      <c r="BC2235" s="3" t="s">
        <v>102</v>
      </c>
      <c r="BD2235" s="3" t="s">
        <v>68</v>
      </c>
      <c r="BE2235" s="3" t="s">
        <v>21987</v>
      </c>
      <c r="BF2235" s="3" t="s">
        <v>22012</v>
      </c>
      <c r="BG2235" s="3" t="s">
        <v>22013</v>
      </c>
    </row>
    <row r="2236" spans="1:59" ht="101.5" x14ac:dyDescent="0.35">
      <c r="A2236" s="2" t="s">
        <v>89</v>
      </c>
      <c r="B2236" s="2" t="s">
        <v>12301</v>
      </c>
      <c r="C2236" s="2" t="s">
        <v>21979</v>
      </c>
      <c r="D2236" s="2" t="s">
        <v>21980</v>
      </c>
      <c r="E2236" s="2" t="s">
        <v>21981</v>
      </c>
      <c r="G2236" s="3" t="s">
        <v>62</v>
      </c>
      <c r="I2236" s="3" t="s">
        <v>61</v>
      </c>
      <c r="J2236" s="3" t="s">
        <v>61</v>
      </c>
      <c r="K2236" s="3" t="s">
        <v>63</v>
      </c>
      <c r="L2236" s="2" t="s">
        <v>21982</v>
      </c>
      <c r="M2236" s="2" t="s">
        <v>21983</v>
      </c>
      <c r="N2236" s="3" t="s">
        <v>1722</v>
      </c>
      <c r="O2236" s="2" t="s">
        <v>19288</v>
      </c>
      <c r="P2236" s="3" t="s">
        <v>64</v>
      </c>
      <c r="R2236" s="3" t="s">
        <v>13065</v>
      </c>
      <c r="S2236" s="4">
        <v>134</v>
      </c>
      <c r="T2236" s="4">
        <v>4454</v>
      </c>
      <c r="U2236" s="5" t="s">
        <v>22014</v>
      </c>
      <c r="V2236" s="5" t="s">
        <v>12369</v>
      </c>
      <c r="W2236" s="5" t="s">
        <v>67</v>
      </c>
      <c r="X2236" s="5" t="s">
        <v>67</v>
      </c>
      <c r="Y2236" s="4">
        <v>285</v>
      </c>
      <c r="Z2236" s="4">
        <v>20</v>
      </c>
      <c r="AA2236" s="4">
        <v>64</v>
      </c>
      <c r="AB2236" s="4">
        <v>2</v>
      </c>
      <c r="AC2236" s="4">
        <v>15</v>
      </c>
      <c r="AD2236" s="4">
        <v>53</v>
      </c>
      <c r="AE2236" s="4">
        <v>131</v>
      </c>
      <c r="AF2236" s="4">
        <v>1</v>
      </c>
      <c r="AG2236" s="4">
        <v>8</v>
      </c>
      <c r="AH2236" s="4">
        <v>46</v>
      </c>
      <c r="AI2236" s="4">
        <v>99</v>
      </c>
      <c r="AJ2236" s="4">
        <v>10</v>
      </c>
      <c r="AK2236" s="4">
        <v>27</v>
      </c>
      <c r="AL2236" s="4">
        <v>27</v>
      </c>
      <c r="AM2236" s="4">
        <v>52</v>
      </c>
      <c r="AN2236" s="4">
        <v>0</v>
      </c>
      <c r="AO2236" s="4">
        <v>0</v>
      </c>
      <c r="AP2236" s="4">
        <v>12</v>
      </c>
      <c r="AQ2236" s="4">
        <v>39</v>
      </c>
      <c r="AR2236" s="3" t="s">
        <v>62</v>
      </c>
      <c r="AS2236" s="3" t="s">
        <v>62</v>
      </c>
      <c r="AT2236" s="3" t="s">
        <v>62</v>
      </c>
      <c r="AV2236" s="6" t="str">
        <f t="shared" si="37"/>
        <v>Catalog Record</v>
      </c>
      <c r="AW2236" s="6" t="str">
        <f t="shared" si="38"/>
        <v>WorldCat Record</v>
      </c>
      <c r="AX2236" s="3" t="s">
        <v>21973</v>
      </c>
      <c r="AY2236" s="3" t="s">
        <v>21984</v>
      </c>
      <c r="AZ2236" s="3" t="s">
        <v>21985</v>
      </c>
      <c r="BA2236" s="3" t="s">
        <v>21985</v>
      </c>
      <c r="BB2236" s="3" t="s">
        <v>22015</v>
      </c>
      <c r="BC2236" s="3" t="s">
        <v>102</v>
      </c>
      <c r="BD2236" s="3" t="s">
        <v>68</v>
      </c>
      <c r="BE2236" s="3" t="s">
        <v>21987</v>
      </c>
      <c r="BF2236" s="3" t="s">
        <v>22015</v>
      </c>
      <c r="BG2236" s="3" t="s">
        <v>22016</v>
      </c>
    </row>
    <row r="2237" spans="1:59" ht="101.5" x14ac:dyDescent="0.35">
      <c r="A2237" s="2" t="s">
        <v>89</v>
      </c>
      <c r="B2237" s="2" t="s">
        <v>12301</v>
      </c>
      <c r="C2237" s="2" t="s">
        <v>21979</v>
      </c>
      <c r="D2237" s="2" t="s">
        <v>21980</v>
      </c>
      <c r="E2237" s="2" t="s">
        <v>21981</v>
      </c>
      <c r="G2237" s="3" t="s">
        <v>62</v>
      </c>
      <c r="I2237" s="3" t="s">
        <v>61</v>
      </c>
      <c r="J2237" s="3" t="s">
        <v>61</v>
      </c>
      <c r="K2237" s="3" t="s">
        <v>63</v>
      </c>
      <c r="L2237" s="2" t="s">
        <v>21982</v>
      </c>
      <c r="M2237" s="2" t="s">
        <v>21983</v>
      </c>
      <c r="N2237" s="3" t="s">
        <v>1722</v>
      </c>
      <c r="O2237" s="2" t="s">
        <v>19288</v>
      </c>
      <c r="P2237" s="3" t="s">
        <v>64</v>
      </c>
      <c r="R2237" s="3" t="s">
        <v>13065</v>
      </c>
      <c r="S2237" s="4">
        <v>638</v>
      </c>
      <c r="T2237" s="4">
        <v>4454</v>
      </c>
      <c r="U2237" s="5" t="s">
        <v>12369</v>
      </c>
      <c r="V2237" s="5" t="s">
        <v>12369</v>
      </c>
      <c r="W2237" s="5" t="s">
        <v>67</v>
      </c>
      <c r="X2237" s="5" t="s">
        <v>67</v>
      </c>
      <c r="Y2237" s="4">
        <v>285</v>
      </c>
      <c r="Z2237" s="4">
        <v>20</v>
      </c>
      <c r="AA2237" s="4">
        <v>64</v>
      </c>
      <c r="AB2237" s="4">
        <v>2</v>
      </c>
      <c r="AC2237" s="4">
        <v>15</v>
      </c>
      <c r="AD2237" s="4">
        <v>53</v>
      </c>
      <c r="AE2237" s="4">
        <v>131</v>
      </c>
      <c r="AF2237" s="4">
        <v>1</v>
      </c>
      <c r="AG2237" s="4">
        <v>8</v>
      </c>
      <c r="AH2237" s="4">
        <v>46</v>
      </c>
      <c r="AI2237" s="4">
        <v>99</v>
      </c>
      <c r="AJ2237" s="4">
        <v>10</v>
      </c>
      <c r="AK2237" s="4">
        <v>27</v>
      </c>
      <c r="AL2237" s="4">
        <v>27</v>
      </c>
      <c r="AM2237" s="4">
        <v>52</v>
      </c>
      <c r="AN2237" s="4">
        <v>0</v>
      </c>
      <c r="AO2237" s="4">
        <v>0</v>
      </c>
      <c r="AP2237" s="4">
        <v>12</v>
      </c>
      <c r="AQ2237" s="4">
        <v>39</v>
      </c>
      <c r="AR2237" s="3" t="s">
        <v>62</v>
      </c>
      <c r="AS2237" s="3" t="s">
        <v>62</v>
      </c>
      <c r="AT2237" s="3" t="s">
        <v>62</v>
      </c>
      <c r="AV2237" s="6" t="str">
        <f t="shared" si="37"/>
        <v>Catalog Record</v>
      </c>
      <c r="AW2237" s="6" t="str">
        <f t="shared" si="38"/>
        <v>WorldCat Record</v>
      </c>
      <c r="AX2237" s="3" t="s">
        <v>21973</v>
      </c>
      <c r="AY2237" s="3" t="s">
        <v>21984</v>
      </c>
      <c r="AZ2237" s="3" t="s">
        <v>21985</v>
      </c>
      <c r="BA2237" s="3" t="s">
        <v>21985</v>
      </c>
      <c r="BB2237" s="3" t="s">
        <v>22017</v>
      </c>
      <c r="BC2237" s="3" t="s">
        <v>102</v>
      </c>
      <c r="BD2237" s="3" t="s">
        <v>68</v>
      </c>
      <c r="BE2237" s="3" t="s">
        <v>21987</v>
      </c>
      <c r="BF2237" s="3" t="s">
        <v>22017</v>
      </c>
      <c r="BG2237" s="3" t="s">
        <v>22018</v>
      </c>
    </row>
    <row r="2238" spans="1:59" ht="101.5" x14ac:dyDescent="0.35">
      <c r="A2238" s="2" t="s">
        <v>89</v>
      </c>
      <c r="B2238" s="2" t="s">
        <v>12301</v>
      </c>
      <c r="C2238" s="2" t="s">
        <v>21979</v>
      </c>
      <c r="D2238" s="2" t="s">
        <v>21980</v>
      </c>
      <c r="E2238" s="2" t="s">
        <v>21981</v>
      </c>
      <c r="G2238" s="3" t="s">
        <v>62</v>
      </c>
      <c r="I2238" s="3" t="s">
        <v>61</v>
      </c>
      <c r="J2238" s="3" t="s">
        <v>61</v>
      </c>
      <c r="K2238" s="3" t="s">
        <v>63</v>
      </c>
      <c r="L2238" s="2" t="s">
        <v>21982</v>
      </c>
      <c r="M2238" s="2" t="s">
        <v>21983</v>
      </c>
      <c r="N2238" s="3" t="s">
        <v>1722</v>
      </c>
      <c r="O2238" s="2" t="s">
        <v>19288</v>
      </c>
      <c r="P2238" s="3" t="s">
        <v>64</v>
      </c>
      <c r="R2238" s="3" t="s">
        <v>13065</v>
      </c>
      <c r="S2238" s="4">
        <v>58</v>
      </c>
      <c r="T2238" s="4">
        <v>4454</v>
      </c>
      <c r="U2238" s="5" t="s">
        <v>14499</v>
      </c>
      <c r="V2238" s="5" t="s">
        <v>12369</v>
      </c>
      <c r="W2238" s="5" t="s">
        <v>67</v>
      </c>
      <c r="X2238" s="5" t="s">
        <v>67</v>
      </c>
      <c r="Y2238" s="4">
        <v>285</v>
      </c>
      <c r="Z2238" s="4">
        <v>20</v>
      </c>
      <c r="AA2238" s="4">
        <v>64</v>
      </c>
      <c r="AB2238" s="4">
        <v>2</v>
      </c>
      <c r="AC2238" s="4">
        <v>15</v>
      </c>
      <c r="AD2238" s="4">
        <v>53</v>
      </c>
      <c r="AE2238" s="4">
        <v>131</v>
      </c>
      <c r="AF2238" s="4">
        <v>1</v>
      </c>
      <c r="AG2238" s="4">
        <v>8</v>
      </c>
      <c r="AH2238" s="4">
        <v>46</v>
      </c>
      <c r="AI2238" s="4">
        <v>99</v>
      </c>
      <c r="AJ2238" s="4">
        <v>10</v>
      </c>
      <c r="AK2238" s="4">
        <v>27</v>
      </c>
      <c r="AL2238" s="4">
        <v>27</v>
      </c>
      <c r="AM2238" s="4">
        <v>52</v>
      </c>
      <c r="AN2238" s="4">
        <v>0</v>
      </c>
      <c r="AO2238" s="4">
        <v>0</v>
      </c>
      <c r="AP2238" s="4">
        <v>12</v>
      </c>
      <c r="AQ2238" s="4">
        <v>39</v>
      </c>
      <c r="AR2238" s="3" t="s">
        <v>62</v>
      </c>
      <c r="AS2238" s="3" t="s">
        <v>62</v>
      </c>
      <c r="AT2238" s="3" t="s">
        <v>62</v>
      </c>
      <c r="AV2238" s="6" t="str">
        <f t="shared" si="37"/>
        <v>Catalog Record</v>
      </c>
      <c r="AW2238" s="6" t="str">
        <f t="shared" si="38"/>
        <v>WorldCat Record</v>
      </c>
      <c r="AX2238" s="3" t="s">
        <v>21973</v>
      </c>
      <c r="AY2238" s="3" t="s">
        <v>21984</v>
      </c>
      <c r="AZ2238" s="3" t="s">
        <v>21985</v>
      </c>
      <c r="BA2238" s="3" t="s">
        <v>21985</v>
      </c>
      <c r="BB2238" s="3" t="s">
        <v>22019</v>
      </c>
      <c r="BC2238" s="3" t="s">
        <v>102</v>
      </c>
      <c r="BD2238" s="3" t="s">
        <v>68</v>
      </c>
      <c r="BE2238" s="3" t="s">
        <v>21987</v>
      </c>
      <c r="BF2238" s="3" t="s">
        <v>22019</v>
      </c>
      <c r="BG2238" s="3" t="s">
        <v>22020</v>
      </c>
    </row>
    <row r="2239" spans="1:59" ht="101.5" x14ac:dyDescent="0.35">
      <c r="A2239" s="2" t="s">
        <v>89</v>
      </c>
      <c r="B2239" s="2" t="s">
        <v>12301</v>
      </c>
      <c r="C2239" s="2" t="s">
        <v>21979</v>
      </c>
      <c r="D2239" s="2" t="s">
        <v>21980</v>
      </c>
      <c r="E2239" s="2" t="s">
        <v>21981</v>
      </c>
      <c r="G2239" s="3" t="s">
        <v>62</v>
      </c>
      <c r="I2239" s="3" t="s">
        <v>61</v>
      </c>
      <c r="J2239" s="3" t="s">
        <v>61</v>
      </c>
      <c r="K2239" s="3" t="s">
        <v>63</v>
      </c>
      <c r="L2239" s="2" t="s">
        <v>21982</v>
      </c>
      <c r="M2239" s="2" t="s">
        <v>21983</v>
      </c>
      <c r="N2239" s="3" t="s">
        <v>1722</v>
      </c>
      <c r="O2239" s="2" t="s">
        <v>19288</v>
      </c>
      <c r="P2239" s="3" t="s">
        <v>64</v>
      </c>
      <c r="R2239" s="3" t="s">
        <v>13065</v>
      </c>
      <c r="S2239" s="4">
        <v>503</v>
      </c>
      <c r="T2239" s="4">
        <v>4454</v>
      </c>
      <c r="U2239" s="5" t="s">
        <v>12369</v>
      </c>
      <c r="V2239" s="5" t="s">
        <v>12369</v>
      </c>
      <c r="W2239" s="5" t="s">
        <v>67</v>
      </c>
      <c r="X2239" s="5" t="s">
        <v>67</v>
      </c>
      <c r="Y2239" s="4">
        <v>285</v>
      </c>
      <c r="Z2239" s="4">
        <v>20</v>
      </c>
      <c r="AA2239" s="4">
        <v>64</v>
      </c>
      <c r="AB2239" s="4">
        <v>2</v>
      </c>
      <c r="AC2239" s="4">
        <v>15</v>
      </c>
      <c r="AD2239" s="4">
        <v>53</v>
      </c>
      <c r="AE2239" s="4">
        <v>131</v>
      </c>
      <c r="AF2239" s="4">
        <v>1</v>
      </c>
      <c r="AG2239" s="4">
        <v>8</v>
      </c>
      <c r="AH2239" s="4">
        <v>46</v>
      </c>
      <c r="AI2239" s="4">
        <v>99</v>
      </c>
      <c r="AJ2239" s="4">
        <v>10</v>
      </c>
      <c r="AK2239" s="4">
        <v>27</v>
      </c>
      <c r="AL2239" s="4">
        <v>27</v>
      </c>
      <c r="AM2239" s="4">
        <v>52</v>
      </c>
      <c r="AN2239" s="4">
        <v>0</v>
      </c>
      <c r="AO2239" s="4">
        <v>0</v>
      </c>
      <c r="AP2239" s="4">
        <v>12</v>
      </c>
      <c r="AQ2239" s="4">
        <v>39</v>
      </c>
      <c r="AR2239" s="3" t="s">
        <v>62</v>
      </c>
      <c r="AS2239" s="3" t="s">
        <v>62</v>
      </c>
      <c r="AT2239" s="3" t="s">
        <v>62</v>
      </c>
      <c r="AV2239" s="6" t="str">
        <f t="shared" si="37"/>
        <v>Catalog Record</v>
      </c>
      <c r="AW2239" s="6" t="str">
        <f t="shared" si="38"/>
        <v>WorldCat Record</v>
      </c>
      <c r="AX2239" s="3" t="s">
        <v>21973</v>
      </c>
      <c r="AY2239" s="3" t="s">
        <v>21984</v>
      </c>
      <c r="AZ2239" s="3" t="s">
        <v>21985</v>
      </c>
      <c r="BA2239" s="3" t="s">
        <v>21985</v>
      </c>
      <c r="BB2239" s="3" t="s">
        <v>22021</v>
      </c>
      <c r="BC2239" s="3" t="s">
        <v>102</v>
      </c>
      <c r="BD2239" s="3" t="s">
        <v>68</v>
      </c>
      <c r="BE2239" s="3" t="s">
        <v>21987</v>
      </c>
      <c r="BF2239" s="3" t="s">
        <v>22021</v>
      </c>
      <c r="BG2239" s="3" t="s">
        <v>22022</v>
      </c>
    </row>
    <row r="2240" spans="1:59" ht="101.5" x14ac:dyDescent="0.35">
      <c r="A2240" s="2" t="s">
        <v>89</v>
      </c>
      <c r="B2240" s="2" t="s">
        <v>12301</v>
      </c>
      <c r="C2240" s="2" t="s">
        <v>22023</v>
      </c>
      <c r="D2240" s="2" t="s">
        <v>22024</v>
      </c>
      <c r="E2240" s="2" t="s">
        <v>22025</v>
      </c>
      <c r="G2240" s="3" t="s">
        <v>62</v>
      </c>
      <c r="I2240" s="3" t="s">
        <v>61</v>
      </c>
      <c r="J2240" s="3" t="s">
        <v>62</v>
      </c>
      <c r="K2240" s="3" t="s">
        <v>63</v>
      </c>
      <c r="L2240" s="2" t="s">
        <v>22026</v>
      </c>
      <c r="M2240" s="2" t="s">
        <v>22027</v>
      </c>
      <c r="N2240" s="3" t="s">
        <v>1722</v>
      </c>
      <c r="O2240" s="2" t="s">
        <v>16059</v>
      </c>
      <c r="P2240" s="3" t="s">
        <v>64</v>
      </c>
      <c r="R2240" s="3" t="s">
        <v>13065</v>
      </c>
      <c r="S2240" s="4">
        <v>896</v>
      </c>
      <c r="T2240" s="4">
        <v>2590</v>
      </c>
      <c r="U2240" s="5" t="s">
        <v>12510</v>
      </c>
      <c r="V2240" s="5" t="s">
        <v>16362</v>
      </c>
      <c r="W2240" s="5" t="s">
        <v>67</v>
      </c>
      <c r="X2240" s="5" t="s">
        <v>67</v>
      </c>
      <c r="Y2240" s="4">
        <v>15</v>
      </c>
      <c r="Z2240" s="4">
        <v>2</v>
      </c>
      <c r="AA2240" s="4">
        <v>3</v>
      </c>
      <c r="AB2240" s="4">
        <v>2</v>
      </c>
      <c r="AC2240" s="4">
        <v>3</v>
      </c>
      <c r="AD2240" s="4">
        <v>1</v>
      </c>
      <c r="AE2240" s="4">
        <v>2</v>
      </c>
      <c r="AF2240" s="4">
        <v>0</v>
      </c>
      <c r="AG2240" s="4">
        <v>1</v>
      </c>
      <c r="AH2240" s="4">
        <v>0</v>
      </c>
      <c r="AI2240" s="4">
        <v>1</v>
      </c>
      <c r="AJ2240" s="4">
        <v>0</v>
      </c>
      <c r="AK2240" s="4">
        <v>1</v>
      </c>
      <c r="AL2240" s="4">
        <v>1</v>
      </c>
      <c r="AM2240" s="4">
        <v>1</v>
      </c>
      <c r="AN2240" s="4">
        <v>0</v>
      </c>
      <c r="AO2240" s="4">
        <v>0</v>
      </c>
      <c r="AP2240" s="4">
        <v>0</v>
      </c>
      <c r="AQ2240" s="4">
        <v>1</v>
      </c>
      <c r="AR2240" s="3" t="s">
        <v>62</v>
      </c>
      <c r="AS2240" s="3" t="s">
        <v>62</v>
      </c>
      <c r="AT2240" s="3" t="s">
        <v>62</v>
      </c>
      <c r="AV2240" s="6" t="str">
        <f>HYPERLINK("http://mcgill.on.worldcat.org/oclc/213035713","Catalog Record")</f>
        <v>Catalog Record</v>
      </c>
      <c r="AW2240" s="6" t="str">
        <f>HYPERLINK("http://www.worldcat.org/oclc/213035713","WorldCat Record")</f>
        <v>WorldCat Record</v>
      </c>
      <c r="AX2240" s="3" t="s">
        <v>22028</v>
      </c>
      <c r="AY2240" s="3" t="s">
        <v>22029</v>
      </c>
      <c r="AZ2240" s="3" t="s">
        <v>22030</v>
      </c>
      <c r="BA2240" s="3" t="s">
        <v>22030</v>
      </c>
      <c r="BB2240" s="3" t="s">
        <v>22031</v>
      </c>
      <c r="BC2240" s="3" t="s">
        <v>102</v>
      </c>
      <c r="BD2240" s="3" t="s">
        <v>68</v>
      </c>
      <c r="BE2240" s="3" t="s">
        <v>22032</v>
      </c>
      <c r="BF2240" s="3" t="s">
        <v>22031</v>
      </c>
      <c r="BG2240" s="3" t="s">
        <v>22033</v>
      </c>
    </row>
    <row r="2241" spans="1:59" ht="101.5" x14ac:dyDescent="0.35">
      <c r="A2241" s="2" t="s">
        <v>89</v>
      </c>
      <c r="B2241" s="2" t="s">
        <v>12301</v>
      </c>
      <c r="C2241" s="2" t="s">
        <v>22023</v>
      </c>
      <c r="D2241" s="2" t="s">
        <v>22024</v>
      </c>
      <c r="E2241" s="2" t="s">
        <v>22025</v>
      </c>
      <c r="G2241" s="3" t="s">
        <v>62</v>
      </c>
      <c r="I2241" s="3" t="s">
        <v>61</v>
      </c>
      <c r="J2241" s="3" t="s">
        <v>62</v>
      </c>
      <c r="K2241" s="3" t="s">
        <v>63</v>
      </c>
      <c r="L2241" s="2" t="s">
        <v>22026</v>
      </c>
      <c r="M2241" s="2" t="s">
        <v>22027</v>
      </c>
      <c r="N2241" s="3" t="s">
        <v>1722</v>
      </c>
      <c r="O2241" s="2" t="s">
        <v>16059</v>
      </c>
      <c r="P2241" s="3" t="s">
        <v>64</v>
      </c>
      <c r="R2241" s="3" t="s">
        <v>13065</v>
      </c>
      <c r="S2241" s="4">
        <v>804</v>
      </c>
      <c r="T2241" s="4">
        <v>2590</v>
      </c>
      <c r="U2241" s="5" t="s">
        <v>12510</v>
      </c>
      <c r="V2241" s="5" t="s">
        <v>16362</v>
      </c>
      <c r="W2241" s="5" t="s">
        <v>67</v>
      </c>
      <c r="X2241" s="5" t="s">
        <v>67</v>
      </c>
      <c r="Y2241" s="4">
        <v>15</v>
      </c>
      <c r="Z2241" s="4">
        <v>2</v>
      </c>
      <c r="AA2241" s="4">
        <v>3</v>
      </c>
      <c r="AB2241" s="4">
        <v>2</v>
      </c>
      <c r="AC2241" s="4">
        <v>3</v>
      </c>
      <c r="AD2241" s="4">
        <v>1</v>
      </c>
      <c r="AE2241" s="4">
        <v>2</v>
      </c>
      <c r="AF2241" s="4">
        <v>0</v>
      </c>
      <c r="AG2241" s="4">
        <v>1</v>
      </c>
      <c r="AH2241" s="4">
        <v>0</v>
      </c>
      <c r="AI2241" s="4">
        <v>1</v>
      </c>
      <c r="AJ2241" s="4">
        <v>0</v>
      </c>
      <c r="AK2241" s="4">
        <v>1</v>
      </c>
      <c r="AL2241" s="4">
        <v>1</v>
      </c>
      <c r="AM2241" s="4">
        <v>1</v>
      </c>
      <c r="AN2241" s="4">
        <v>0</v>
      </c>
      <c r="AO2241" s="4">
        <v>0</v>
      </c>
      <c r="AP2241" s="4">
        <v>0</v>
      </c>
      <c r="AQ2241" s="4">
        <v>1</v>
      </c>
      <c r="AR2241" s="3" t="s">
        <v>62</v>
      </c>
      <c r="AS2241" s="3" t="s">
        <v>62</v>
      </c>
      <c r="AT2241" s="3" t="s">
        <v>62</v>
      </c>
      <c r="AV2241" s="6" t="str">
        <f>HYPERLINK("http://mcgill.on.worldcat.org/oclc/213035713","Catalog Record")</f>
        <v>Catalog Record</v>
      </c>
      <c r="AW2241" s="6" t="str">
        <f>HYPERLINK("http://www.worldcat.org/oclc/213035713","WorldCat Record")</f>
        <v>WorldCat Record</v>
      </c>
      <c r="AX2241" s="3" t="s">
        <v>22028</v>
      </c>
      <c r="AY2241" s="3" t="s">
        <v>22029</v>
      </c>
      <c r="AZ2241" s="3" t="s">
        <v>22030</v>
      </c>
      <c r="BA2241" s="3" t="s">
        <v>22030</v>
      </c>
      <c r="BB2241" s="3" t="s">
        <v>22034</v>
      </c>
      <c r="BC2241" s="3" t="s">
        <v>102</v>
      </c>
      <c r="BD2241" s="3" t="s">
        <v>68</v>
      </c>
      <c r="BE2241" s="3" t="s">
        <v>22032</v>
      </c>
      <c r="BF2241" s="3" t="s">
        <v>22034</v>
      </c>
      <c r="BG2241" s="3" t="s">
        <v>22035</v>
      </c>
    </row>
    <row r="2242" spans="1:59" ht="101.5" x14ac:dyDescent="0.35">
      <c r="A2242" s="2" t="s">
        <v>89</v>
      </c>
      <c r="B2242" s="2" t="s">
        <v>12301</v>
      </c>
      <c r="C2242" s="2" t="s">
        <v>22023</v>
      </c>
      <c r="D2242" s="2" t="s">
        <v>22024</v>
      </c>
      <c r="E2242" s="2" t="s">
        <v>22025</v>
      </c>
      <c r="G2242" s="3" t="s">
        <v>62</v>
      </c>
      <c r="I2242" s="3" t="s">
        <v>61</v>
      </c>
      <c r="J2242" s="3" t="s">
        <v>62</v>
      </c>
      <c r="K2242" s="3" t="s">
        <v>63</v>
      </c>
      <c r="L2242" s="2" t="s">
        <v>22026</v>
      </c>
      <c r="M2242" s="2" t="s">
        <v>22027</v>
      </c>
      <c r="N2242" s="3" t="s">
        <v>1722</v>
      </c>
      <c r="O2242" s="2" t="s">
        <v>16059</v>
      </c>
      <c r="P2242" s="3" t="s">
        <v>64</v>
      </c>
      <c r="R2242" s="3" t="s">
        <v>13065</v>
      </c>
      <c r="S2242" s="4">
        <v>890</v>
      </c>
      <c r="T2242" s="4">
        <v>2590</v>
      </c>
      <c r="U2242" s="5" t="s">
        <v>16362</v>
      </c>
      <c r="V2242" s="5" t="s">
        <v>16362</v>
      </c>
      <c r="W2242" s="5" t="s">
        <v>67</v>
      </c>
      <c r="X2242" s="5" t="s">
        <v>67</v>
      </c>
      <c r="Y2242" s="4">
        <v>15</v>
      </c>
      <c r="Z2242" s="4">
        <v>2</v>
      </c>
      <c r="AA2242" s="4">
        <v>3</v>
      </c>
      <c r="AB2242" s="4">
        <v>2</v>
      </c>
      <c r="AC2242" s="4">
        <v>3</v>
      </c>
      <c r="AD2242" s="4">
        <v>1</v>
      </c>
      <c r="AE2242" s="4">
        <v>2</v>
      </c>
      <c r="AF2242" s="4">
        <v>0</v>
      </c>
      <c r="AG2242" s="4">
        <v>1</v>
      </c>
      <c r="AH2242" s="4">
        <v>0</v>
      </c>
      <c r="AI2242" s="4">
        <v>1</v>
      </c>
      <c r="AJ2242" s="4">
        <v>0</v>
      </c>
      <c r="AK2242" s="4">
        <v>1</v>
      </c>
      <c r="AL2242" s="4">
        <v>1</v>
      </c>
      <c r="AM2242" s="4">
        <v>1</v>
      </c>
      <c r="AN2242" s="4">
        <v>0</v>
      </c>
      <c r="AO2242" s="4">
        <v>0</v>
      </c>
      <c r="AP2242" s="4">
        <v>0</v>
      </c>
      <c r="AQ2242" s="4">
        <v>1</v>
      </c>
      <c r="AR2242" s="3" t="s">
        <v>62</v>
      </c>
      <c r="AS2242" s="3" t="s">
        <v>62</v>
      </c>
      <c r="AT2242" s="3" t="s">
        <v>62</v>
      </c>
      <c r="AV2242" s="6" t="str">
        <f>HYPERLINK("http://mcgill.on.worldcat.org/oclc/213035713","Catalog Record")</f>
        <v>Catalog Record</v>
      </c>
      <c r="AW2242" s="6" t="str">
        <f>HYPERLINK("http://www.worldcat.org/oclc/213035713","WorldCat Record")</f>
        <v>WorldCat Record</v>
      </c>
      <c r="AX2242" s="3" t="s">
        <v>22028</v>
      </c>
      <c r="AY2242" s="3" t="s">
        <v>22029</v>
      </c>
      <c r="AZ2242" s="3" t="s">
        <v>22030</v>
      </c>
      <c r="BA2242" s="3" t="s">
        <v>22030</v>
      </c>
      <c r="BB2242" s="3" t="s">
        <v>22036</v>
      </c>
      <c r="BC2242" s="3" t="s">
        <v>102</v>
      </c>
      <c r="BD2242" s="3" t="s">
        <v>68</v>
      </c>
      <c r="BE2242" s="3" t="s">
        <v>22032</v>
      </c>
      <c r="BF2242" s="3" t="s">
        <v>22036</v>
      </c>
      <c r="BG2242" s="3" t="s">
        <v>22037</v>
      </c>
    </row>
    <row r="2243" spans="1:59" ht="58" x14ac:dyDescent="0.35">
      <c r="A2243" s="2" t="s">
        <v>89</v>
      </c>
      <c r="B2243" s="2" t="s">
        <v>90</v>
      </c>
      <c r="C2243" s="2" t="s">
        <v>22038</v>
      </c>
      <c r="D2243" s="2" t="s">
        <v>22039</v>
      </c>
      <c r="E2243" s="2" t="s">
        <v>22040</v>
      </c>
      <c r="G2243" s="3" t="s">
        <v>62</v>
      </c>
      <c r="I2243" s="3" t="s">
        <v>61</v>
      </c>
      <c r="J2243" s="3" t="s">
        <v>62</v>
      </c>
      <c r="K2243" s="3" t="s">
        <v>63</v>
      </c>
      <c r="L2243" s="2" t="s">
        <v>22041</v>
      </c>
      <c r="M2243" s="2" t="s">
        <v>22042</v>
      </c>
      <c r="N2243" s="3" t="s">
        <v>2588</v>
      </c>
      <c r="P2243" s="3" t="s">
        <v>64</v>
      </c>
      <c r="Q2243" s="2" t="s">
        <v>22043</v>
      </c>
      <c r="R2243" s="3" t="s">
        <v>13065</v>
      </c>
      <c r="S2243" s="4">
        <v>28</v>
      </c>
      <c r="T2243" s="4">
        <v>56</v>
      </c>
      <c r="U2243" s="5" t="s">
        <v>22044</v>
      </c>
      <c r="V2243" s="5" t="s">
        <v>3030</v>
      </c>
      <c r="W2243" s="5" t="s">
        <v>67</v>
      </c>
      <c r="X2243" s="5" t="s">
        <v>67</v>
      </c>
      <c r="Y2243" s="4">
        <v>790</v>
      </c>
      <c r="Z2243" s="4">
        <v>37</v>
      </c>
      <c r="AA2243" s="4">
        <v>47</v>
      </c>
      <c r="AB2243" s="4">
        <v>2</v>
      </c>
      <c r="AC2243" s="4">
        <v>11</v>
      </c>
      <c r="AD2243" s="4">
        <v>122</v>
      </c>
      <c r="AE2243" s="4">
        <v>129</v>
      </c>
      <c r="AF2243" s="4">
        <v>1</v>
      </c>
      <c r="AG2243" s="4">
        <v>7</v>
      </c>
      <c r="AH2243" s="4">
        <v>101</v>
      </c>
      <c r="AI2243" s="4">
        <v>102</v>
      </c>
      <c r="AJ2243" s="4">
        <v>21</v>
      </c>
      <c r="AK2243" s="4">
        <v>24</v>
      </c>
      <c r="AL2243" s="4">
        <v>54</v>
      </c>
      <c r="AM2243" s="4">
        <v>54</v>
      </c>
      <c r="AN2243" s="4">
        <v>0</v>
      </c>
      <c r="AO2243" s="4">
        <v>0</v>
      </c>
      <c r="AP2243" s="4">
        <v>27</v>
      </c>
      <c r="AQ2243" s="4">
        <v>33</v>
      </c>
      <c r="AR2243" s="3" t="s">
        <v>62</v>
      </c>
      <c r="AS2243" s="3" t="s">
        <v>62</v>
      </c>
      <c r="AT2243" s="3" t="s">
        <v>61</v>
      </c>
      <c r="AU2243" s="6" t="str">
        <f>HYPERLINK("http://catalog.hathitrust.org/Record/000295880","HathiTrust Record")</f>
        <v>HathiTrust Record</v>
      </c>
      <c r="AV2243" s="6" t="str">
        <f>HYPERLINK("http://mcgill.on.worldcat.org/oclc/3235470","Catalog Record")</f>
        <v>Catalog Record</v>
      </c>
      <c r="AW2243" s="6" t="str">
        <f>HYPERLINK("http://www.worldcat.org/oclc/3235470","WorldCat Record")</f>
        <v>WorldCat Record</v>
      </c>
      <c r="AX2243" s="3" t="s">
        <v>22045</v>
      </c>
      <c r="AY2243" s="3" t="s">
        <v>22046</v>
      </c>
      <c r="AZ2243" s="3" t="s">
        <v>22047</v>
      </c>
      <c r="BA2243" s="3" t="s">
        <v>22047</v>
      </c>
      <c r="BB2243" s="3" t="s">
        <v>22048</v>
      </c>
      <c r="BC2243" s="3" t="s">
        <v>102</v>
      </c>
      <c r="BD2243" s="3" t="s">
        <v>68</v>
      </c>
      <c r="BE2243" s="3" t="s">
        <v>22049</v>
      </c>
      <c r="BF2243" s="3" t="s">
        <v>22048</v>
      </c>
      <c r="BG2243" s="3" t="s">
        <v>22050</v>
      </c>
    </row>
    <row r="2244" spans="1:59" ht="58" x14ac:dyDescent="0.35">
      <c r="A2244" s="2" t="s">
        <v>89</v>
      </c>
      <c r="B2244" s="2" t="s">
        <v>90</v>
      </c>
      <c r="C2244" s="2" t="s">
        <v>22051</v>
      </c>
      <c r="D2244" s="2" t="s">
        <v>22052</v>
      </c>
      <c r="E2244" s="2" t="s">
        <v>22053</v>
      </c>
      <c r="G2244" s="3" t="s">
        <v>62</v>
      </c>
      <c r="I2244" s="3" t="s">
        <v>62</v>
      </c>
      <c r="J2244" s="3" t="s">
        <v>62</v>
      </c>
      <c r="K2244" s="3" t="s">
        <v>63</v>
      </c>
      <c r="L2244" s="2" t="s">
        <v>22054</v>
      </c>
      <c r="M2244" s="2" t="s">
        <v>22055</v>
      </c>
      <c r="N2244" s="3" t="s">
        <v>2975</v>
      </c>
      <c r="P2244" s="3" t="s">
        <v>64</v>
      </c>
      <c r="Q2244" s="2" t="s">
        <v>22056</v>
      </c>
      <c r="R2244" s="3" t="s">
        <v>13065</v>
      </c>
      <c r="S2244" s="4">
        <v>12</v>
      </c>
      <c r="T2244" s="4">
        <v>12</v>
      </c>
      <c r="U2244" s="5" t="s">
        <v>22057</v>
      </c>
      <c r="V2244" s="5" t="s">
        <v>22057</v>
      </c>
      <c r="W2244" s="5" t="s">
        <v>67</v>
      </c>
      <c r="X2244" s="5" t="s">
        <v>67</v>
      </c>
      <c r="Y2244" s="4">
        <v>280</v>
      </c>
      <c r="Z2244" s="4">
        <v>21</v>
      </c>
      <c r="AA2244" s="4">
        <v>84</v>
      </c>
      <c r="AB2244" s="4">
        <v>2</v>
      </c>
      <c r="AC2244" s="4">
        <v>14</v>
      </c>
      <c r="AD2244" s="4">
        <v>83</v>
      </c>
      <c r="AE2244" s="4">
        <v>136</v>
      </c>
      <c r="AF2244" s="4">
        <v>1</v>
      </c>
      <c r="AG2244" s="4">
        <v>8</v>
      </c>
      <c r="AH2244" s="4">
        <v>71</v>
      </c>
      <c r="AI2244" s="4">
        <v>97</v>
      </c>
      <c r="AJ2244" s="4">
        <v>17</v>
      </c>
      <c r="AK2244" s="4">
        <v>26</v>
      </c>
      <c r="AL2244" s="4">
        <v>42</v>
      </c>
      <c r="AM2244" s="4">
        <v>50</v>
      </c>
      <c r="AN2244" s="4">
        <v>0</v>
      </c>
      <c r="AO2244" s="4">
        <v>0</v>
      </c>
      <c r="AP2244" s="4">
        <v>19</v>
      </c>
      <c r="AQ2244" s="4">
        <v>48</v>
      </c>
      <c r="AR2244" s="3" t="s">
        <v>62</v>
      </c>
      <c r="AS2244" s="3" t="s">
        <v>62</v>
      </c>
      <c r="AT2244" s="3" t="s">
        <v>62</v>
      </c>
      <c r="AV2244" s="6" t="str">
        <f>HYPERLINK("http://mcgill.on.worldcat.org/oclc/47101087","Catalog Record")</f>
        <v>Catalog Record</v>
      </c>
      <c r="AW2244" s="6" t="str">
        <f>HYPERLINK("http://www.worldcat.org/oclc/47101087","WorldCat Record")</f>
        <v>WorldCat Record</v>
      </c>
      <c r="AX2244" s="3" t="s">
        <v>22058</v>
      </c>
      <c r="AY2244" s="3" t="s">
        <v>22059</v>
      </c>
      <c r="AZ2244" s="3" t="s">
        <v>22060</v>
      </c>
      <c r="BA2244" s="3" t="s">
        <v>22060</v>
      </c>
      <c r="BB2244" s="3" t="s">
        <v>22061</v>
      </c>
      <c r="BC2244" s="3" t="s">
        <v>102</v>
      </c>
      <c r="BD2244" s="3" t="s">
        <v>68</v>
      </c>
      <c r="BE2244" s="3" t="s">
        <v>22062</v>
      </c>
      <c r="BF2244" s="3" t="s">
        <v>22061</v>
      </c>
      <c r="BG2244" s="3" t="s">
        <v>22063</v>
      </c>
    </row>
    <row r="2245" spans="1:59" ht="58" x14ac:dyDescent="0.35">
      <c r="A2245" s="2" t="s">
        <v>89</v>
      </c>
      <c r="B2245" s="2" t="s">
        <v>90</v>
      </c>
      <c r="C2245" s="2" t="s">
        <v>22064</v>
      </c>
      <c r="D2245" s="2" t="s">
        <v>22065</v>
      </c>
      <c r="E2245" s="2" t="s">
        <v>22066</v>
      </c>
      <c r="G2245" s="3" t="s">
        <v>62</v>
      </c>
      <c r="I2245" s="3" t="s">
        <v>62</v>
      </c>
      <c r="J2245" s="3" t="s">
        <v>62</v>
      </c>
      <c r="K2245" s="3" t="s">
        <v>63</v>
      </c>
      <c r="L2245" s="2" t="s">
        <v>22067</v>
      </c>
      <c r="M2245" s="2" t="s">
        <v>22068</v>
      </c>
      <c r="N2245" s="3" t="s">
        <v>129</v>
      </c>
      <c r="O2245" s="2" t="s">
        <v>2458</v>
      </c>
      <c r="P2245" s="3" t="s">
        <v>64</v>
      </c>
      <c r="R2245" s="3" t="s">
        <v>13065</v>
      </c>
      <c r="S2245" s="4">
        <v>2</v>
      </c>
      <c r="T2245" s="4">
        <v>2</v>
      </c>
      <c r="U2245" s="5" t="s">
        <v>1621</v>
      </c>
      <c r="V2245" s="5" t="s">
        <v>1621</v>
      </c>
      <c r="W2245" s="5" t="s">
        <v>67</v>
      </c>
      <c r="X2245" s="5" t="s">
        <v>67</v>
      </c>
      <c r="Y2245" s="4">
        <v>103</v>
      </c>
      <c r="Z2245" s="4">
        <v>9</v>
      </c>
      <c r="AA2245" s="4">
        <v>27</v>
      </c>
      <c r="AB2245" s="4">
        <v>1</v>
      </c>
      <c r="AC2245" s="4">
        <v>4</v>
      </c>
      <c r="AD2245" s="4">
        <v>27</v>
      </c>
      <c r="AE2245" s="4">
        <v>76</v>
      </c>
      <c r="AF2245" s="4">
        <v>0</v>
      </c>
      <c r="AG2245" s="4">
        <v>3</v>
      </c>
      <c r="AH2245" s="4">
        <v>26</v>
      </c>
      <c r="AI2245" s="4">
        <v>61</v>
      </c>
      <c r="AJ2245" s="4">
        <v>7</v>
      </c>
      <c r="AK2245" s="4">
        <v>14</v>
      </c>
      <c r="AL2245" s="4">
        <v>18</v>
      </c>
      <c r="AM2245" s="4">
        <v>40</v>
      </c>
      <c r="AN2245" s="4">
        <v>0</v>
      </c>
      <c r="AO2245" s="4">
        <v>0</v>
      </c>
      <c r="AP2245" s="4">
        <v>7</v>
      </c>
      <c r="AQ2245" s="4">
        <v>21</v>
      </c>
      <c r="AR2245" s="3" t="s">
        <v>62</v>
      </c>
      <c r="AS2245" s="3" t="s">
        <v>62</v>
      </c>
      <c r="AT2245" s="3" t="s">
        <v>62</v>
      </c>
      <c r="AV2245" s="6" t="str">
        <f>HYPERLINK("http://mcgill.on.worldcat.org/oclc/794592462","Catalog Record")</f>
        <v>Catalog Record</v>
      </c>
      <c r="AW2245" s="6" t="str">
        <f>HYPERLINK("http://www.worldcat.org/oclc/794592462","WorldCat Record")</f>
        <v>WorldCat Record</v>
      </c>
      <c r="AX2245" s="3" t="s">
        <v>22069</v>
      </c>
      <c r="AY2245" s="3" t="s">
        <v>22070</v>
      </c>
      <c r="AZ2245" s="3" t="s">
        <v>22071</v>
      </c>
      <c r="BA2245" s="3" t="s">
        <v>22071</v>
      </c>
      <c r="BB2245" s="3" t="s">
        <v>22072</v>
      </c>
      <c r="BC2245" s="3" t="s">
        <v>102</v>
      </c>
      <c r="BD2245" s="3" t="s">
        <v>68</v>
      </c>
      <c r="BE2245" s="3" t="s">
        <v>22073</v>
      </c>
      <c r="BF2245" s="3" t="s">
        <v>22072</v>
      </c>
      <c r="BG2245" s="3" t="s">
        <v>22074</v>
      </c>
    </row>
    <row r="2246" spans="1:59" ht="58" x14ac:dyDescent="0.35">
      <c r="A2246" s="2" t="s">
        <v>89</v>
      </c>
      <c r="B2246" s="2" t="s">
        <v>90</v>
      </c>
      <c r="C2246" s="2" t="s">
        <v>22075</v>
      </c>
      <c r="D2246" s="2" t="s">
        <v>22076</v>
      </c>
      <c r="E2246" s="2" t="s">
        <v>22077</v>
      </c>
      <c r="G2246" s="3" t="s">
        <v>62</v>
      </c>
      <c r="I2246" s="3" t="s">
        <v>61</v>
      </c>
      <c r="J2246" s="3" t="s">
        <v>62</v>
      </c>
      <c r="K2246" s="3" t="s">
        <v>63</v>
      </c>
      <c r="L2246" s="2" t="s">
        <v>22078</v>
      </c>
      <c r="M2246" s="2" t="s">
        <v>21947</v>
      </c>
      <c r="N2246" s="3" t="s">
        <v>1291</v>
      </c>
      <c r="P2246" s="3" t="s">
        <v>64</v>
      </c>
      <c r="Q2246" s="2" t="s">
        <v>21948</v>
      </c>
      <c r="R2246" s="3" t="s">
        <v>13065</v>
      </c>
      <c r="S2246" s="4">
        <v>0</v>
      </c>
      <c r="T2246" s="4">
        <v>24</v>
      </c>
      <c r="V2246" s="5" t="s">
        <v>16142</v>
      </c>
      <c r="W2246" s="5" t="s">
        <v>67</v>
      </c>
      <c r="X2246" s="5" t="s">
        <v>67</v>
      </c>
      <c r="Y2246" s="4">
        <v>920</v>
      </c>
      <c r="Z2246" s="4">
        <v>31</v>
      </c>
      <c r="AA2246" s="4">
        <v>54</v>
      </c>
      <c r="AB2246" s="4">
        <v>2</v>
      </c>
      <c r="AC2246" s="4">
        <v>11</v>
      </c>
      <c r="AD2246" s="4">
        <v>118</v>
      </c>
      <c r="AE2246" s="4">
        <v>142</v>
      </c>
      <c r="AF2246" s="4">
        <v>1</v>
      </c>
      <c r="AG2246" s="4">
        <v>7</v>
      </c>
      <c r="AH2246" s="4">
        <v>98</v>
      </c>
      <c r="AI2246" s="4">
        <v>110</v>
      </c>
      <c r="AJ2246" s="4">
        <v>16</v>
      </c>
      <c r="AK2246" s="4">
        <v>27</v>
      </c>
      <c r="AL2246" s="4">
        <v>57</v>
      </c>
      <c r="AM2246" s="4">
        <v>61</v>
      </c>
      <c r="AN2246" s="4">
        <v>0</v>
      </c>
      <c r="AO2246" s="4">
        <v>0</v>
      </c>
      <c r="AP2246" s="4">
        <v>23</v>
      </c>
      <c r="AQ2246" s="4">
        <v>39</v>
      </c>
      <c r="AR2246" s="3" t="s">
        <v>62</v>
      </c>
      <c r="AS2246" s="3" t="s">
        <v>62</v>
      </c>
      <c r="AT2246" s="3" t="s">
        <v>61</v>
      </c>
      <c r="AU2246" s="6" t="str">
        <f>HYPERLINK("http://catalog.hathitrust.org/Record/000265207","HathiTrust Record")</f>
        <v>HathiTrust Record</v>
      </c>
      <c r="AV2246" s="6" t="str">
        <f>HYPERLINK("http://mcgill.on.worldcat.org/oclc/528590","Catalog Record")</f>
        <v>Catalog Record</v>
      </c>
      <c r="AW2246" s="6" t="str">
        <f>HYPERLINK("http://www.worldcat.org/oclc/528590","WorldCat Record")</f>
        <v>WorldCat Record</v>
      </c>
      <c r="AX2246" s="3" t="s">
        <v>22079</v>
      </c>
      <c r="AY2246" s="3" t="s">
        <v>22080</v>
      </c>
      <c r="AZ2246" s="3" t="s">
        <v>22081</v>
      </c>
      <c r="BA2246" s="3" t="s">
        <v>22081</v>
      </c>
      <c r="BB2246" s="3" t="s">
        <v>22082</v>
      </c>
      <c r="BC2246" s="3" t="s">
        <v>102</v>
      </c>
      <c r="BD2246" s="3" t="s">
        <v>68</v>
      </c>
      <c r="BE2246" s="3" t="s">
        <v>22083</v>
      </c>
      <c r="BF2246" s="3" t="s">
        <v>22082</v>
      </c>
      <c r="BG2246" s="3" t="s">
        <v>22084</v>
      </c>
    </row>
    <row r="2247" spans="1:59" ht="58" x14ac:dyDescent="0.35">
      <c r="A2247" s="2" t="s">
        <v>89</v>
      </c>
      <c r="B2247" s="2" t="s">
        <v>90</v>
      </c>
      <c r="C2247" s="2" t="s">
        <v>22085</v>
      </c>
      <c r="D2247" s="2" t="s">
        <v>22086</v>
      </c>
      <c r="E2247" s="2" t="s">
        <v>22087</v>
      </c>
      <c r="G2247" s="3" t="s">
        <v>62</v>
      </c>
      <c r="I2247" s="3" t="s">
        <v>62</v>
      </c>
      <c r="J2247" s="3" t="s">
        <v>62</v>
      </c>
      <c r="K2247" s="3" t="s">
        <v>63</v>
      </c>
      <c r="L2247" s="2" t="s">
        <v>22088</v>
      </c>
      <c r="M2247" s="2" t="s">
        <v>17403</v>
      </c>
      <c r="N2247" s="3" t="s">
        <v>438</v>
      </c>
      <c r="P2247" s="3" t="s">
        <v>64</v>
      </c>
      <c r="R2247" s="3" t="s">
        <v>13065</v>
      </c>
      <c r="S2247" s="4">
        <v>5</v>
      </c>
      <c r="T2247" s="4">
        <v>5</v>
      </c>
      <c r="U2247" s="5" t="s">
        <v>3355</v>
      </c>
      <c r="V2247" s="5" t="s">
        <v>3355</v>
      </c>
      <c r="W2247" s="5" t="s">
        <v>67</v>
      </c>
      <c r="X2247" s="5" t="s">
        <v>67</v>
      </c>
      <c r="Y2247" s="4">
        <v>243</v>
      </c>
      <c r="Z2247" s="4">
        <v>21</v>
      </c>
      <c r="AA2247" s="4">
        <v>22</v>
      </c>
      <c r="AB2247" s="4">
        <v>2</v>
      </c>
      <c r="AC2247" s="4">
        <v>3</v>
      </c>
      <c r="AD2247" s="4">
        <v>58</v>
      </c>
      <c r="AE2247" s="4">
        <v>59</v>
      </c>
      <c r="AF2247" s="4">
        <v>1</v>
      </c>
      <c r="AG2247" s="4">
        <v>2</v>
      </c>
      <c r="AH2247" s="4">
        <v>48</v>
      </c>
      <c r="AI2247" s="4">
        <v>48</v>
      </c>
      <c r="AJ2247" s="4">
        <v>11</v>
      </c>
      <c r="AK2247" s="4">
        <v>12</v>
      </c>
      <c r="AL2247" s="4">
        <v>25</v>
      </c>
      <c r="AM2247" s="4">
        <v>25</v>
      </c>
      <c r="AN2247" s="4">
        <v>4</v>
      </c>
      <c r="AO2247" s="4">
        <v>4</v>
      </c>
      <c r="AP2247" s="4">
        <v>15</v>
      </c>
      <c r="AQ2247" s="4">
        <v>16</v>
      </c>
      <c r="AR2247" s="3" t="s">
        <v>62</v>
      </c>
      <c r="AS2247" s="3" t="s">
        <v>62</v>
      </c>
      <c r="AT2247" s="3" t="s">
        <v>61</v>
      </c>
      <c r="AU2247" s="6" t="str">
        <f>HYPERLINK("http://catalog.hathitrust.org/Record/002432951","HathiTrust Record")</f>
        <v>HathiTrust Record</v>
      </c>
      <c r="AV2247" s="6" t="str">
        <f>HYPERLINK("http://mcgill.on.worldcat.org/oclc/23220095","Catalog Record")</f>
        <v>Catalog Record</v>
      </c>
      <c r="AW2247" s="6" t="str">
        <f>HYPERLINK("http://www.worldcat.org/oclc/23220095","WorldCat Record")</f>
        <v>WorldCat Record</v>
      </c>
      <c r="AX2247" s="3" t="s">
        <v>22089</v>
      </c>
      <c r="AY2247" s="3" t="s">
        <v>22090</v>
      </c>
      <c r="AZ2247" s="3" t="s">
        <v>22091</v>
      </c>
      <c r="BA2247" s="3" t="s">
        <v>22091</v>
      </c>
      <c r="BB2247" s="3" t="s">
        <v>22092</v>
      </c>
      <c r="BC2247" s="3" t="s">
        <v>102</v>
      </c>
      <c r="BD2247" s="3" t="s">
        <v>68</v>
      </c>
      <c r="BE2247" s="3" t="s">
        <v>22093</v>
      </c>
      <c r="BF2247" s="3" t="s">
        <v>22092</v>
      </c>
      <c r="BG2247" s="3" t="s">
        <v>22094</v>
      </c>
    </row>
    <row r="2248" spans="1:59" ht="58" x14ac:dyDescent="0.35">
      <c r="A2248" s="2" t="s">
        <v>89</v>
      </c>
      <c r="B2248" s="2" t="s">
        <v>90</v>
      </c>
      <c r="C2248" s="2" t="s">
        <v>22095</v>
      </c>
      <c r="D2248" s="2" t="s">
        <v>22096</v>
      </c>
      <c r="E2248" s="2" t="s">
        <v>22097</v>
      </c>
      <c r="G2248" s="3" t="s">
        <v>62</v>
      </c>
      <c r="I2248" s="3" t="s">
        <v>61</v>
      </c>
      <c r="J2248" s="3" t="s">
        <v>62</v>
      </c>
      <c r="K2248" s="3" t="s">
        <v>63</v>
      </c>
      <c r="M2248" s="2" t="s">
        <v>22098</v>
      </c>
      <c r="N2248" s="3" t="s">
        <v>285</v>
      </c>
      <c r="P2248" s="3" t="s">
        <v>64</v>
      </c>
      <c r="Q2248" s="2" t="s">
        <v>15330</v>
      </c>
      <c r="R2248" s="3" t="s">
        <v>13065</v>
      </c>
      <c r="S2248" s="4">
        <v>5</v>
      </c>
      <c r="T2248" s="4">
        <v>63</v>
      </c>
      <c r="U2248" s="5" t="s">
        <v>22099</v>
      </c>
      <c r="V2248" s="5" t="s">
        <v>22100</v>
      </c>
      <c r="W2248" s="5" t="s">
        <v>67</v>
      </c>
      <c r="X2248" s="5" t="s">
        <v>67</v>
      </c>
      <c r="Y2248" s="4">
        <v>521</v>
      </c>
      <c r="Z2248" s="4">
        <v>32</v>
      </c>
      <c r="AA2248" s="4">
        <v>40</v>
      </c>
      <c r="AB2248" s="4">
        <v>2</v>
      </c>
      <c r="AC2248" s="4">
        <v>10</v>
      </c>
      <c r="AD2248" s="4">
        <v>111</v>
      </c>
      <c r="AE2248" s="4">
        <v>115</v>
      </c>
      <c r="AF2248" s="4">
        <v>0</v>
      </c>
      <c r="AG2248" s="4">
        <v>4</v>
      </c>
      <c r="AH2248" s="4">
        <v>97</v>
      </c>
      <c r="AI2248" s="4">
        <v>98</v>
      </c>
      <c r="AJ2248" s="4">
        <v>20</v>
      </c>
      <c r="AK2248" s="4">
        <v>23</v>
      </c>
      <c r="AL2248" s="4">
        <v>55</v>
      </c>
      <c r="AM2248" s="4">
        <v>55</v>
      </c>
      <c r="AN2248" s="4">
        <v>0</v>
      </c>
      <c r="AO2248" s="4">
        <v>0</v>
      </c>
      <c r="AP2248" s="4">
        <v>23</v>
      </c>
      <c r="AQ2248" s="4">
        <v>26</v>
      </c>
      <c r="AR2248" s="3" t="s">
        <v>62</v>
      </c>
      <c r="AS2248" s="3" t="s">
        <v>62</v>
      </c>
      <c r="AT2248" s="3" t="s">
        <v>62</v>
      </c>
      <c r="AV2248" s="6" t="str">
        <f>HYPERLINK("http://mcgill.on.worldcat.org/oclc/5893246","Catalog Record")</f>
        <v>Catalog Record</v>
      </c>
      <c r="AW2248" s="6" t="str">
        <f>HYPERLINK("http://www.worldcat.org/oclc/5893246","WorldCat Record")</f>
        <v>WorldCat Record</v>
      </c>
      <c r="AX2248" s="3" t="s">
        <v>22101</v>
      </c>
      <c r="AY2248" s="3" t="s">
        <v>22102</v>
      </c>
      <c r="AZ2248" s="3" t="s">
        <v>22103</v>
      </c>
      <c r="BA2248" s="3" t="s">
        <v>22103</v>
      </c>
      <c r="BB2248" s="3" t="s">
        <v>22104</v>
      </c>
      <c r="BC2248" s="3" t="s">
        <v>102</v>
      </c>
      <c r="BD2248" s="3" t="s">
        <v>68</v>
      </c>
      <c r="BE2248" s="3" t="s">
        <v>22105</v>
      </c>
      <c r="BF2248" s="3" t="s">
        <v>22104</v>
      </c>
      <c r="BG2248" s="3" t="s">
        <v>22106</v>
      </c>
    </row>
    <row r="2249" spans="1:59" ht="58" x14ac:dyDescent="0.35">
      <c r="A2249" s="2" t="s">
        <v>89</v>
      </c>
      <c r="B2249" s="2" t="s">
        <v>90</v>
      </c>
      <c r="C2249" s="2" t="s">
        <v>22107</v>
      </c>
      <c r="D2249" s="2" t="s">
        <v>22108</v>
      </c>
      <c r="E2249" s="2" t="s">
        <v>22109</v>
      </c>
      <c r="G2249" s="3" t="s">
        <v>62</v>
      </c>
      <c r="I2249" s="3" t="s">
        <v>61</v>
      </c>
      <c r="J2249" s="3" t="s">
        <v>62</v>
      </c>
      <c r="K2249" s="3" t="s">
        <v>63</v>
      </c>
      <c r="L2249" s="2" t="s">
        <v>22110</v>
      </c>
      <c r="M2249" s="2" t="s">
        <v>22111</v>
      </c>
      <c r="N2249" s="3" t="s">
        <v>568</v>
      </c>
      <c r="P2249" s="3" t="s">
        <v>64</v>
      </c>
      <c r="R2249" s="3" t="s">
        <v>13065</v>
      </c>
      <c r="S2249" s="4">
        <v>27</v>
      </c>
      <c r="T2249" s="4">
        <v>72</v>
      </c>
      <c r="U2249" s="5" t="s">
        <v>22112</v>
      </c>
      <c r="V2249" s="5" t="s">
        <v>16362</v>
      </c>
      <c r="W2249" s="5" t="s">
        <v>67</v>
      </c>
      <c r="X2249" s="5" t="s">
        <v>67</v>
      </c>
      <c r="Y2249" s="4">
        <v>157</v>
      </c>
      <c r="Z2249" s="4">
        <v>9</v>
      </c>
      <c r="AA2249" s="4">
        <v>15</v>
      </c>
      <c r="AB2249" s="4">
        <v>2</v>
      </c>
      <c r="AC2249" s="4">
        <v>8</v>
      </c>
      <c r="AD2249" s="4">
        <v>41</v>
      </c>
      <c r="AE2249" s="4">
        <v>45</v>
      </c>
      <c r="AF2249" s="4">
        <v>0</v>
      </c>
      <c r="AG2249" s="4">
        <v>4</v>
      </c>
      <c r="AH2249" s="4">
        <v>38</v>
      </c>
      <c r="AI2249" s="4">
        <v>39</v>
      </c>
      <c r="AJ2249" s="4">
        <v>2</v>
      </c>
      <c r="AK2249" s="4">
        <v>5</v>
      </c>
      <c r="AL2249" s="4">
        <v>22</v>
      </c>
      <c r="AM2249" s="4">
        <v>22</v>
      </c>
      <c r="AN2249" s="4">
        <v>5</v>
      </c>
      <c r="AO2249" s="4">
        <v>5</v>
      </c>
      <c r="AP2249" s="4">
        <v>5</v>
      </c>
      <c r="AQ2249" s="4">
        <v>8</v>
      </c>
      <c r="AR2249" s="3" t="s">
        <v>62</v>
      </c>
      <c r="AS2249" s="3" t="s">
        <v>62</v>
      </c>
      <c r="AT2249" s="3" t="s">
        <v>61</v>
      </c>
      <c r="AU2249" s="6" t="str">
        <f>HYPERLINK("http://catalog.hathitrust.org/Record/102008083","HathiTrust Record")</f>
        <v>HathiTrust Record</v>
      </c>
      <c r="AV2249" s="6" t="str">
        <f>HYPERLINK("http://mcgill.on.worldcat.org/oclc/42397806","Catalog Record")</f>
        <v>Catalog Record</v>
      </c>
      <c r="AW2249" s="6" t="str">
        <f>HYPERLINK("http://www.worldcat.org/oclc/42397806","WorldCat Record")</f>
        <v>WorldCat Record</v>
      </c>
      <c r="AX2249" s="3" t="s">
        <v>22113</v>
      </c>
      <c r="AY2249" s="3" t="s">
        <v>22114</v>
      </c>
      <c r="AZ2249" s="3" t="s">
        <v>22115</v>
      </c>
      <c r="BA2249" s="3" t="s">
        <v>22115</v>
      </c>
      <c r="BB2249" s="3" t="s">
        <v>22116</v>
      </c>
      <c r="BC2249" s="3" t="s">
        <v>102</v>
      </c>
      <c r="BD2249" s="3" t="s">
        <v>68</v>
      </c>
      <c r="BE2249" s="3" t="s">
        <v>22117</v>
      </c>
      <c r="BF2249" s="3" t="s">
        <v>22116</v>
      </c>
      <c r="BG2249" s="3" t="s">
        <v>22118</v>
      </c>
    </row>
    <row r="2250" spans="1:59" ht="58" x14ac:dyDescent="0.35">
      <c r="A2250" s="2" t="s">
        <v>89</v>
      </c>
      <c r="B2250" s="2" t="s">
        <v>90</v>
      </c>
      <c r="C2250" s="2" t="s">
        <v>22107</v>
      </c>
      <c r="D2250" s="2" t="s">
        <v>22108</v>
      </c>
      <c r="E2250" s="2" t="s">
        <v>22109</v>
      </c>
      <c r="G2250" s="3" t="s">
        <v>62</v>
      </c>
      <c r="I2250" s="3" t="s">
        <v>61</v>
      </c>
      <c r="J2250" s="3" t="s">
        <v>62</v>
      </c>
      <c r="K2250" s="3" t="s">
        <v>63</v>
      </c>
      <c r="L2250" s="2" t="s">
        <v>22110</v>
      </c>
      <c r="M2250" s="2" t="s">
        <v>22111</v>
      </c>
      <c r="N2250" s="3" t="s">
        <v>568</v>
      </c>
      <c r="P2250" s="3" t="s">
        <v>64</v>
      </c>
      <c r="R2250" s="3" t="s">
        <v>13065</v>
      </c>
      <c r="S2250" s="4">
        <v>16</v>
      </c>
      <c r="T2250" s="4">
        <v>72</v>
      </c>
      <c r="U2250" s="5" t="s">
        <v>22119</v>
      </c>
      <c r="V2250" s="5" t="s">
        <v>16362</v>
      </c>
      <c r="W2250" s="5" t="s">
        <v>67</v>
      </c>
      <c r="X2250" s="5" t="s">
        <v>67</v>
      </c>
      <c r="Y2250" s="4">
        <v>157</v>
      </c>
      <c r="Z2250" s="4">
        <v>9</v>
      </c>
      <c r="AA2250" s="4">
        <v>15</v>
      </c>
      <c r="AB2250" s="4">
        <v>2</v>
      </c>
      <c r="AC2250" s="4">
        <v>8</v>
      </c>
      <c r="AD2250" s="4">
        <v>41</v>
      </c>
      <c r="AE2250" s="4">
        <v>45</v>
      </c>
      <c r="AF2250" s="4">
        <v>0</v>
      </c>
      <c r="AG2250" s="4">
        <v>4</v>
      </c>
      <c r="AH2250" s="4">
        <v>38</v>
      </c>
      <c r="AI2250" s="4">
        <v>39</v>
      </c>
      <c r="AJ2250" s="4">
        <v>2</v>
      </c>
      <c r="AK2250" s="4">
        <v>5</v>
      </c>
      <c r="AL2250" s="4">
        <v>22</v>
      </c>
      <c r="AM2250" s="4">
        <v>22</v>
      </c>
      <c r="AN2250" s="4">
        <v>5</v>
      </c>
      <c r="AO2250" s="4">
        <v>5</v>
      </c>
      <c r="AP2250" s="4">
        <v>5</v>
      </c>
      <c r="AQ2250" s="4">
        <v>8</v>
      </c>
      <c r="AR2250" s="3" t="s">
        <v>62</v>
      </c>
      <c r="AS2250" s="3" t="s">
        <v>62</v>
      </c>
      <c r="AT2250" s="3" t="s">
        <v>61</v>
      </c>
      <c r="AU2250" s="6" t="str">
        <f>HYPERLINK("http://catalog.hathitrust.org/Record/102008083","HathiTrust Record")</f>
        <v>HathiTrust Record</v>
      </c>
      <c r="AV2250" s="6" t="str">
        <f>HYPERLINK("http://mcgill.on.worldcat.org/oclc/42397806","Catalog Record")</f>
        <v>Catalog Record</v>
      </c>
      <c r="AW2250" s="6" t="str">
        <f>HYPERLINK("http://www.worldcat.org/oclc/42397806","WorldCat Record")</f>
        <v>WorldCat Record</v>
      </c>
      <c r="AX2250" s="3" t="s">
        <v>22113</v>
      </c>
      <c r="AY2250" s="3" t="s">
        <v>22114</v>
      </c>
      <c r="AZ2250" s="3" t="s">
        <v>22115</v>
      </c>
      <c r="BA2250" s="3" t="s">
        <v>22115</v>
      </c>
      <c r="BB2250" s="3" t="s">
        <v>22120</v>
      </c>
      <c r="BC2250" s="3" t="s">
        <v>102</v>
      </c>
      <c r="BD2250" s="3" t="s">
        <v>68</v>
      </c>
      <c r="BE2250" s="3" t="s">
        <v>22117</v>
      </c>
      <c r="BF2250" s="3" t="s">
        <v>22120</v>
      </c>
      <c r="BG2250" s="3" t="s">
        <v>22121</v>
      </c>
    </row>
    <row r="2251" spans="1:59" ht="58" x14ac:dyDescent="0.35">
      <c r="A2251" s="2" t="s">
        <v>89</v>
      </c>
      <c r="B2251" s="2" t="s">
        <v>90</v>
      </c>
      <c r="C2251" s="2" t="s">
        <v>22107</v>
      </c>
      <c r="D2251" s="2" t="s">
        <v>22108</v>
      </c>
      <c r="E2251" s="2" t="s">
        <v>22109</v>
      </c>
      <c r="G2251" s="3" t="s">
        <v>62</v>
      </c>
      <c r="I2251" s="3" t="s">
        <v>61</v>
      </c>
      <c r="J2251" s="3" t="s">
        <v>62</v>
      </c>
      <c r="K2251" s="3" t="s">
        <v>63</v>
      </c>
      <c r="L2251" s="2" t="s">
        <v>22110</v>
      </c>
      <c r="M2251" s="2" t="s">
        <v>22111</v>
      </c>
      <c r="N2251" s="3" t="s">
        <v>568</v>
      </c>
      <c r="P2251" s="3" t="s">
        <v>64</v>
      </c>
      <c r="R2251" s="3" t="s">
        <v>13065</v>
      </c>
      <c r="S2251" s="4">
        <v>6</v>
      </c>
      <c r="T2251" s="4">
        <v>72</v>
      </c>
      <c r="U2251" s="5" t="s">
        <v>16362</v>
      </c>
      <c r="V2251" s="5" t="s">
        <v>16362</v>
      </c>
      <c r="W2251" s="5" t="s">
        <v>67</v>
      </c>
      <c r="X2251" s="5" t="s">
        <v>67</v>
      </c>
      <c r="Y2251" s="4">
        <v>157</v>
      </c>
      <c r="Z2251" s="4">
        <v>9</v>
      </c>
      <c r="AA2251" s="4">
        <v>15</v>
      </c>
      <c r="AB2251" s="4">
        <v>2</v>
      </c>
      <c r="AC2251" s="4">
        <v>8</v>
      </c>
      <c r="AD2251" s="4">
        <v>41</v>
      </c>
      <c r="AE2251" s="4">
        <v>45</v>
      </c>
      <c r="AF2251" s="4">
        <v>0</v>
      </c>
      <c r="AG2251" s="4">
        <v>4</v>
      </c>
      <c r="AH2251" s="4">
        <v>38</v>
      </c>
      <c r="AI2251" s="4">
        <v>39</v>
      </c>
      <c r="AJ2251" s="4">
        <v>2</v>
      </c>
      <c r="AK2251" s="4">
        <v>5</v>
      </c>
      <c r="AL2251" s="4">
        <v>22</v>
      </c>
      <c r="AM2251" s="4">
        <v>22</v>
      </c>
      <c r="AN2251" s="4">
        <v>5</v>
      </c>
      <c r="AO2251" s="4">
        <v>5</v>
      </c>
      <c r="AP2251" s="4">
        <v>5</v>
      </c>
      <c r="AQ2251" s="4">
        <v>8</v>
      </c>
      <c r="AR2251" s="3" t="s">
        <v>62</v>
      </c>
      <c r="AS2251" s="3" t="s">
        <v>62</v>
      </c>
      <c r="AT2251" s="3" t="s">
        <v>61</v>
      </c>
      <c r="AU2251" s="6" t="str">
        <f>HYPERLINK("http://catalog.hathitrust.org/Record/102008083","HathiTrust Record")</f>
        <v>HathiTrust Record</v>
      </c>
      <c r="AV2251" s="6" t="str">
        <f>HYPERLINK("http://mcgill.on.worldcat.org/oclc/42397806","Catalog Record")</f>
        <v>Catalog Record</v>
      </c>
      <c r="AW2251" s="6" t="str">
        <f>HYPERLINK("http://www.worldcat.org/oclc/42397806","WorldCat Record")</f>
        <v>WorldCat Record</v>
      </c>
      <c r="AX2251" s="3" t="s">
        <v>22113</v>
      </c>
      <c r="AY2251" s="3" t="s">
        <v>22114</v>
      </c>
      <c r="AZ2251" s="3" t="s">
        <v>22115</v>
      </c>
      <c r="BA2251" s="3" t="s">
        <v>22115</v>
      </c>
      <c r="BB2251" s="3" t="s">
        <v>22122</v>
      </c>
      <c r="BC2251" s="3" t="s">
        <v>102</v>
      </c>
      <c r="BD2251" s="3" t="s">
        <v>68</v>
      </c>
      <c r="BE2251" s="3" t="s">
        <v>22117</v>
      </c>
      <c r="BF2251" s="3" t="s">
        <v>22122</v>
      </c>
      <c r="BG2251" s="3" t="s">
        <v>22123</v>
      </c>
    </row>
    <row r="2252" spans="1:59" ht="58" x14ac:dyDescent="0.35">
      <c r="A2252" s="2" t="s">
        <v>89</v>
      </c>
      <c r="B2252" s="2" t="s">
        <v>90</v>
      </c>
      <c r="C2252" s="2" t="s">
        <v>22124</v>
      </c>
      <c r="D2252" s="2" t="s">
        <v>22125</v>
      </c>
      <c r="E2252" s="2" t="s">
        <v>22126</v>
      </c>
      <c r="G2252" s="3" t="s">
        <v>61</v>
      </c>
      <c r="I2252" s="3" t="s">
        <v>62</v>
      </c>
      <c r="J2252" s="3" t="s">
        <v>61</v>
      </c>
      <c r="K2252" s="3" t="s">
        <v>63</v>
      </c>
      <c r="L2252" s="2" t="s">
        <v>22127</v>
      </c>
      <c r="M2252" s="2" t="s">
        <v>22128</v>
      </c>
      <c r="N2252" s="3" t="s">
        <v>1639</v>
      </c>
      <c r="O2252" s="2" t="s">
        <v>22129</v>
      </c>
      <c r="P2252" s="3" t="s">
        <v>64</v>
      </c>
      <c r="R2252" s="3" t="s">
        <v>13065</v>
      </c>
      <c r="S2252" s="4">
        <v>3</v>
      </c>
      <c r="T2252" s="4">
        <v>3</v>
      </c>
      <c r="U2252" s="5" t="s">
        <v>22130</v>
      </c>
      <c r="V2252" s="5" t="s">
        <v>22130</v>
      </c>
      <c r="W2252" s="5" t="s">
        <v>67</v>
      </c>
      <c r="X2252" s="5" t="s">
        <v>67</v>
      </c>
      <c r="Y2252" s="4">
        <v>46</v>
      </c>
      <c r="Z2252" s="4">
        <v>4</v>
      </c>
      <c r="AA2252" s="4">
        <v>70</v>
      </c>
      <c r="AB2252" s="4">
        <v>1</v>
      </c>
      <c r="AC2252" s="4">
        <v>15</v>
      </c>
      <c r="AD2252" s="4">
        <v>21</v>
      </c>
      <c r="AE2252" s="4">
        <v>148</v>
      </c>
      <c r="AF2252" s="4">
        <v>0</v>
      </c>
      <c r="AG2252" s="4">
        <v>7</v>
      </c>
      <c r="AH2252" s="4">
        <v>20</v>
      </c>
      <c r="AI2252" s="4">
        <v>112</v>
      </c>
      <c r="AJ2252" s="4">
        <v>2</v>
      </c>
      <c r="AK2252" s="4">
        <v>28</v>
      </c>
      <c r="AL2252" s="4">
        <v>13</v>
      </c>
      <c r="AM2252" s="4">
        <v>61</v>
      </c>
      <c r="AN2252" s="4">
        <v>0</v>
      </c>
      <c r="AO2252" s="4">
        <v>0</v>
      </c>
      <c r="AP2252" s="4">
        <v>3</v>
      </c>
      <c r="AQ2252" s="4">
        <v>43</v>
      </c>
      <c r="AR2252" s="3" t="s">
        <v>62</v>
      </c>
      <c r="AS2252" s="3" t="s">
        <v>62</v>
      </c>
      <c r="AT2252" s="3" t="s">
        <v>62</v>
      </c>
      <c r="AV2252" s="6" t="str">
        <f>HYPERLINK("http://mcgill.on.worldcat.org/oclc/926206","Catalog Record")</f>
        <v>Catalog Record</v>
      </c>
      <c r="AW2252" s="6" t="str">
        <f>HYPERLINK("http://www.worldcat.org/oclc/926206","WorldCat Record")</f>
        <v>WorldCat Record</v>
      </c>
      <c r="AX2252" s="3" t="s">
        <v>22131</v>
      </c>
      <c r="AY2252" s="3" t="s">
        <v>22132</v>
      </c>
      <c r="AZ2252" s="3" t="s">
        <v>22133</v>
      </c>
      <c r="BA2252" s="3" t="s">
        <v>22133</v>
      </c>
      <c r="BB2252" s="3" t="s">
        <v>22134</v>
      </c>
      <c r="BC2252" s="3" t="s">
        <v>102</v>
      </c>
      <c r="BD2252" s="3" t="s">
        <v>68</v>
      </c>
      <c r="BF2252" s="3" t="s">
        <v>22134</v>
      </c>
      <c r="BG2252" s="3" t="s">
        <v>22135</v>
      </c>
    </row>
    <row r="2253" spans="1:59" ht="58" x14ac:dyDescent="0.35">
      <c r="A2253" s="2" t="s">
        <v>89</v>
      </c>
      <c r="B2253" s="2" t="s">
        <v>90</v>
      </c>
      <c r="C2253" s="2" t="s">
        <v>22136</v>
      </c>
      <c r="D2253" s="2" t="s">
        <v>22137</v>
      </c>
      <c r="E2253" s="2" t="s">
        <v>22138</v>
      </c>
      <c r="G2253" s="3" t="s">
        <v>62</v>
      </c>
      <c r="I2253" s="3" t="s">
        <v>61</v>
      </c>
      <c r="J2253" s="3" t="s">
        <v>62</v>
      </c>
      <c r="K2253" s="3" t="s">
        <v>63</v>
      </c>
      <c r="M2253" s="2" t="s">
        <v>22139</v>
      </c>
      <c r="N2253" s="3" t="s">
        <v>327</v>
      </c>
      <c r="P2253" s="3" t="s">
        <v>64</v>
      </c>
      <c r="Q2253" s="2" t="s">
        <v>21935</v>
      </c>
      <c r="R2253" s="3" t="s">
        <v>13065</v>
      </c>
      <c r="S2253" s="4">
        <v>11</v>
      </c>
      <c r="T2253" s="4">
        <v>48</v>
      </c>
      <c r="U2253" s="5" t="s">
        <v>22140</v>
      </c>
      <c r="V2253" s="5" t="s">
        <v>17302</v>
      </c>
      <c r="W2253" s="5" t="s">
        <v>67</v>
      </c>
      <c r="X2253" s="5" t="s">
        <v>67</v>
      </c>
      <c r="Y2253" s="4">
        <v>839</v>
      </c>
      <c r="Z2253" s="4">
        <v>35</v>
      </c>
      <c r="AA2253" s="4">
        <v>46</v>
      </c>
      <c r="AB2253" s="4">
        <v>2</v>
      </c>
      <c r="AC2253" s="4">
        <v>8</v>
      </c>
      <c r="AD2253" s="4">
        <v>123</v>
      </c>
      <c r="AE2253" s="4">
        <v>137</v>
      </c>
      <c r="AF2253" s="4">
        <v>1</v>
      </c>
      <c r="AG2253" s="4">
        <v>6</v>
      </c>
      <c r="AH2253" s="4">
        <v>106</v>
      </c>
      <c r="AI2253" s="4">
        <v>112</v>
      </c>
      <c r="AJ2253" s="4">
        <v>20</v>
      </c>
      <c r="AK2253" s="4">
        <v>27</v>
      </c>
      <c r="AL2253" s="4">
        <v>57</v>
      </c>
      <c r="AM2253" s="4">
        <v>59</v>
      </c>
      <c r="AN2253" s="4">
        <v>0</v>
      </c>
      <c r="AO2253" s="4">
        <v>0</v>
      </c>
      <c r="AP2253" s="4">
        <v>26</v>
      </c>
      <c r="AQ2253" s="4">
        <v>35</v>
      </c>
      <c r="AR2253" s="3" t="s">
        <v>62</v>
      </c>
      <c r="AS2253" s="3" t="s">
        <v>62</v>
      </c>
      <c r="AT2253" s="3" t="s">
        <v>61</v>
      </c>
      <c r="AU2253" s="6" t="str">
        <f>HYPERLINK("http://catalog.hathitrust.org/Record/000312154","HathiTrust Record")</f>
        <v>HathiTrust Record</v>
      </c>
      <c r="AV2253" s="6" t="str">
        <f>HYPERLINK("http://mcgill.on.worldcat.org/oclc/8495063","Catalog Record")</f>
        <v>Catalog Record</v>
      </c>
      <c r="AW2253" s="6" t="str">
        <f>HYPERLINK("http://www.worldcat.org/oclc/8495063","WorldCat Record")</f>
        <v>WorldCat Record</v>
      </c>
      <c r="AX2253" s="3" t="s">
        <v>22141</v>
      </c>
      <c r="AY2253" s="3" t="s">
        <v>22142</v>
      </c>
      <c r="AZ2253" s="3" t="s">
        <v>22143</v>
      </c>
      <c r="BA2253" s="3" t="s">
        <v>22143</v>
      </c>
      <c r="BB2253" s="3" t="s">
        <v>22144</v>
      </c>
      <c r="BC2253" s="3" t="s">
        <v>102</v>
      </c>
      <c r="BD2253" s="3" t="s">
        <v>231</v>
      </c>
      <c r="BE2253" s="3" t="s">
        <v>22145</v>
      </c>
      <c r="BF2253" s="3" t="s">
        <v>22144</v>
      </c>
      <c r="BG2253" s="3" t="s">
        <v>22146</v>
      </c>
    </row>
    <row r="2254" spans="1:59" ht="58" x14ac:dyDescent="0.35">
      <c r="A2254" s="2" t="s">
        <v>89</v>
      </c>
      <c r="B2254" s="2" t="s">
        <v>90</v>
      </c>
      <c r="C2254" s="2" t="s">
        <v>22147</v>
      </c>
      <c r="D2254" s="2" t="s">
        <v>22148</v>
      </c>
      <c r="E2254" s="2" t="s">
        <v>22149</v>
      </c>
      <c r="G2254" s="3" t="s">
        <v>62</v>
      </c>
      <c r="I2254" s="3" t="s">
        <v>61</v>
      </c>
      <c r="J2254" s="3" t="s">
        <v>62</v>
      </c>
      <c r="K2254" s="3" t="s">
        <v>63</v>
      </c>
      <c r="L2254" s="2" t="s">
        <v>22150</v>
      </c>
      <c r="M2254" s="2" t="s">
        <v>22151</v>
      </c>
      <c r="N2254" s="3" t="s">
        <v>7359</v>
      </c>
      <c r="P2254" s="3" t="s">
        <v>64</v>
      </c>
      <c r="Q2254" s="2" t="s">
        <v>21854</v>
      </c>
      <c r="R2254" s="3" t="s">
        <v>13065</v>
      </c>
      <c r="S2254" s="4">
        <v>1</v>
      </c>
      <c r="T2254" s="4">
        <v>8</v>
      </c>
      <c r="V2254" s="5" t="s">
        <v>22152</v>
      </c>
      <c r="W2254" s="5" t="s">
        <v>67</v>
      </c>
      <c r="X2254" s="5" t="s">
        <v>67</v>
      </c>
      <c r="Y2254" s="4">
        <v>425</v>
      </c>
      <c r="Z2254" s="4">
        <v>19</v>
      </c>
      <c r="AA2254" s="4">
        <v>37</v>
      </c>
      <c r="AB2254" s="4">
        <v>1</v>
      </c>
      <c r="AC2254" s="4">
        <v>7</v>
      </c>
      <c r="AD2254" s="4">
        <v>107</v>
      </c>
      <c r="AE2254" s="4">
        <v>135</v>
      </c>
      <c r="AF2254" s="4">
        <v>0</v>
      </c>
      <c r="AG2254" s="4">
        <v>6</v>
      </c>
      <c r="AH2254" s="4">
        <v>94</v>
      </c>
      <c r="AI2254" s="4">
        <v>111</v>
      </c>
      <c r="AJ2254" s="4">
        <v>12</v>
      </c>
      <c r="AK2254" s="4">
        <v>25</v>
      </c>
      <c r="AL2254" s="4">
        <v>56</v>
      </c>
      <c r="AM2254" s="4">
        <v>61</v>
      </c>
      <c r="AN2254" s="4">
        <v>0</v>
      </c>
      <c r="AO2254" s="4">
        <v>0</v>
      </c>
      <c r="AP2254" s="4">
        <v>16</v>
      </c>
      <c r="AQ2254" s="4">
        <v>32</v>
      </c>
      <c r="AR2254" s="3" t="s">
        <v>62</v>
      </c>
      <c r="AS2254" s="3" t="s">
        <v>61</v>
      </c>
      <c r="AT2254" s="3" t="s">
        <v>62</v>
      </c>
      <c r="AU2254" s="6" t="str">
        <f>HYPERLINK("http://catalog.hathitrust.org/Record/000469182","HathiTrust Record")</f>
        <v>HathiTrust Record</v>
      </c>
      <c r="AV2254" s="6" t="str">
        <f>HYPERLINK("http://mcgill.on.worldcat.org/oclc/183957","Catalog Record")</f>
        <v>Catalog Record</v>
      </c>
      <c r="AW2254" s="6" t="str">
        <f>HYPERLINK("http://www.worldcat.org/oclc/183957","WorldCat Record")</f>
        <v>WorldCat Record</v>
      </c>
      <c r="AX2254" s="3" t="s">
        <v>22153</v>
      </c>
      <c r="AY2254" s="3" t="s">
        <v>22154</v>
      </c>
      <c r="AZ2254" s="3" t="s">
        <v>22155</v>
      </c>
      <c r="BA2254" s="3" t="s">
        <v>22155</v>
      </c>
      <c r="BB2254" s="3" t="s">
        <v>22156</v>
      </c>
      <c r="BC2254" s="3" t="s">
        <v>102</v>
      </c>
      <c r="BD2254" s="3" t="s">
        <v>231</v>
      </c>
      <c r="BF2254" s="3" t="s">
        <v>22156</v>
      </c>
      <c r="BG2254" s="3" t="s">
        <v>22157</v>
      </c>
    </row>
    <row r="2255" spans="1:59" ht="58" x14ac:dyDescent="0.35">
      <c r="A2255" s="2" t="s">
        <v>89</v>
      </c>
      <c r="B2255" s="2" t="s">
        <v>90</v>
      </c>
      <c r="C2255" s="2" t="s">
        <v>22158</v>
      </c>
      <c r="D2255" s="2" t="s">
        <v>22159</v>
      </c>
      <c r="E2255" s="2" t="s">
        <v>22160</v>
      </c>
      <c r="G2255" s="3" t="s">
        <v>62</v>
      </c>
      <c r="I2255" s="3" t="s">
        <v>62</v>
      </c>
      <c r="J2255" s="3" t="s">
        <v>61</v>
      </c>
      <c r="K2255" s="3" t="s">
        <v>63</v>
      </c>
      <c r="L2255" s="2" t="s">
        <v>22161</v>
      </c>
      <c r="M2255" s="2" t="s">
        <v>22162</v>
      </c>
      <c r="N2255" s="3" t="s">
        <v>2702</v>
      </c>
      <c r="O2255" s="2" t="s">
        <v>8350</v>
      </c>
      <c r="P2255" s="3" t="s">
        <v>64</v>
      </c>
      <c r="R2255" s="3" t="s">
        <v>13065</v>
      </c>
      <c r="S2255" s="4">
        <v>1</v>
      </c>
      <c r="T2255" s="4">
        <v>1</v>
      </c>
      <c r="U2255" s="5" t="s">
        <v>22130</v>
      </c>
      <c r="V2255" s="5" t="s">
        <v>22130</v>
      </c>
      <c r="W2255" s="5" t="s">
        <v>67</v>
      </c>
      <c r="X2255" s="5" t="s">
        <v>67</v>
      </c>
      <c r="Y2255" s="4">
        <v>1</v>
      </c>
      <c r="Z2255" s="4">
        <v>1</v>
      </c>
      <c r="AA2255" s="4">
        <v>35</v>
      </c>
      <c r="AB2255" s="4">
        <v>1</v>
      </c>
      <c r="AC2255" s="4">
        <v>3</v>
      </c>
      <c r="AD2255" s="4">
        <v>0</v>
      </c>
      <c r="AE2255" s="4">
        <v>117</v>
      </c>
      <c r="AF2255" s="4">
        <v>0</v>
      </c>
      <c r="AG2255" s="4">
        <v>2</v>
      </c>
      <c r="AH2255" s="4">
        <v>0</v>
      </c>
      <c r="AI2255" s="4">
        <v>95</v>
      </c>
      <c r="AJ2255" s="4">
        <v>0</v>
      </c>
      <c r="AK2255" s="4">
        <v>20</v>
      </c>
      <c r="AL2255" s="4">
        <v>0</v>
      </c>
      <c r="AM2255" s="4">
        <v>55</v>
      </c>
      <c r="AN2255" s="4">
        <v>0</v>
      </c>
      <c r="AO2255" s="4">
        <v>0</v>
      </c>
      <c r="AP2255" s="4">
        <v>0</v>
      </c>
      <c r="AQ2255" s="4">
        <v>27</v>
      </c>
      <c r="AR2255" s="3" t="s">
        <v>62</v>
      </c>
      <c r="AS2255" s="3" t="s">
        <v>62</v>
      </c>
      <c r="AT2255" s="3" t="s">
        <v>61</v>
      </c>
      <c r="AU2255" s="6" t="str">
        <f>HYPERLINK("http://catalog.hathitrust.org/Record/006141336","HathiTrust Record")</f>
        <v>HathiTrust Record</v>
      </c>
      <c r="AV2255" s="6" t="str">
        <f>HYPERLINK("http://mcgill.on.worldcat.org/oclc/427499820","Catalog Record")</f>
        <v>Catalog Record</v>
      </c>
      <c r="AW2255" s="6" t="str">
        <f>HYPERLINK("http://www.worldcat.org/oclc/427499820","WorldCat Record")</f>
        <v>WorldCat Record</v>
      </c>
      <c r="AX2255" s="3" t="s">
        <v>22163</v>
      </c>
      <c r="AY2255" s="3" t="s">
        <v>22164</v>
      </c>
      <c r="AZ2255" s="3" t="s">
        <v>22165</v>
      </c>
      <c r="BA2255" s="3" t="s">
        <v>22165</v>
      </c>
      <c r="BB2255" s="3" t="s">
        <v>22166</v>
      </c>
      <c r="BC2255" s="3" t="s">
        <v>102</v>
      </c>
      <c r="BD2255" s="3" t="s">
        <v>68</v>
      </c>
      <c r="BE2255" s="3" t="s">
        <v>22167</v>
      </c>
      <c r="BF2255" s="3" t="s">
        <v>22166</v>
      </c>
      <c r="BG2255" s="3" t="s">
        <v>22168</v>
      </c>
    </row>
    <row r="2256" spans="1:59" ht="58" x14ac:dyDescent="0.35">
      <c r="A2256" s="2" t="s">
        <v>89</v>
      </c>
      <c r="B2256" s="2" t="s">
        <v>90</v>
      </c>
      <c r="C2256" s="2" t="s">
        <v>22169</v>
      </c>
      <c r="D2256" s="2" t="s">
        <v>22170</v>
      </c>
      <c r="E2256" s="2" t="s">
        <v>9124</v>
      </c>
      <c r="G2256" s="3" t="s">
        <v>62</v>
      </c>
      <c r="I2256" s="3" t="s">
        <v>61</v>
      </c>
      <c r="J2256" s="3" t="s">
        <v>61</v>
      </c>
      <c r="K2256" s="3" t="s">
        <v>63</v>
      </c>
      <c r="L2256" s="2" t="s">
        <v>9125</v>
      </c>
      <c r="M2256" s="2" t="s">
        <v>9126</v>
      </c>
      <c r="N2256" s="3" t="s">
        <v>611</v>
      </c>
      <c r="P2256" s="3" t="s">
        <v>64</v>
      </c>
      <c r="R2256" s="3" t="s">
        <v>13065</v>
      </c>
      <c r="S2256" s="4">
        <v>5</v>
      </c>
      <c r="T2256" s="4">
        <v>55</v>
      </c>
      <c r="U2256" s="5" t="s">
        <v>20311</v>
      </c>
      <c r="V2256" s="5" t="s">
        <v>9127</v>
      </c>
      <c r="W2256" s="5" t="s">
        <v>67</v>
      </c>
      <c r="X2256" s="5" t="s">
        <v>67</v>
      </c>
      <c r="Y2256" s="4">
        <v>502</v>
      </c>
      <c r="Z2256" s="4">
        <v>14</v>
      </c>
      <c r="AA2256" s="4">
        <v>89</v>
      </c>
      <c r="AB2256" s="4">
        <v>3</v>
      </c>
      <c r="AC2256" s="4">
        <v>16</v>
      </c>
      <c r="AD2256" s="4">
        <v>86</v>
      </c>
      <c r="AE2256" s="4">
        <v>166</v>
      </c>
      <c r="AF2256" s="4">
        <v>1</v>
      </c>
      <c r="AG2256" s="4">
        <v>7</v>
      </c>
      <c r="AH2256" s="4">
        <v>79</v>
      </c>
      <c r="AI2256" s="4">
        <v>117</v>
      </c>
      <c r="AJ2256" s="4">
        <v>8</v>
      </c>
      <c r="AK2256" s="4">
        <v>28</v>
      </c>
      <c r="AL2256" s="4">
        <v>46</v>
      </c>
      <c r="AM2256" s="4">
        <v>62</v>
      </c>
      <c r="AN2256" s="4">
        <v>0</v>
      </c>
      <c r="AO2256" s="4">
        <v>1</v>
      </c>
      <c r="AP2256" s="4">
        <v>7</v>
      </c>
      <c r="AQ2256" s="4">
        <v>54</v>
      </c>
      <c r="AR2256" s="3" t="s">
        <v>62</v>
      </c>
      <c r="AS2256" s="3" t="s">
        <v>61</v>
      </c>
      <c r="AT2256" s="3" t="s">
        <v>62</v>
      </c>
      <c r="AU2256" s="6" t="str">
        <f>HYPERLINK("http://catalog.hathitrust.org/Record/000468482","HathiTrust Record")</f>
        <v>HathiTrust Record</v>
      </c>
      <c r="AV2256" s="6" t="str">
        <f>HYPERLINK("http://mcgill.on.worldcat.org/oclc/1022297","Catalog Record")</f>
        <v>Catalog Record</v>
      </c>
      <c r="AW2256" s="6" t="str">
        <f>HYPERLINK("http://www.worldcat.org/oclc/1022297","WorldCat Record")</f>
        <v>WorldCat Record</v>
      </c>
      <c r="AX2256" s="3" t="s">
        <v>9128</v>
      </c>
      <c r="AY2256" s="3" t="s">
        <v>9129</v>
      </c>
      <c r="AZ2256" s="3" t="s">
        <v>9130</v>
      </c>
      <c r="BA2256" s="3" t="s">
        <v>9130</v>
      </c>
      <c r="BB2256" s="3" t="s">
        <v>22171</v>
      </c>
      <c r="BC2256" s="3" t="s">
        <v>102</v>
      </c>
      <c r="BD2256" s="3" t="s">
        <v>68</v>
      </c>
      <c r="BF2256" s="3" t="s">
        <v>22171</v>
      </c>
      <c r="BG2256" s="3" t="s">
        <v>22172</v>
      </c>
    </row>
    <row r="2257" spans="1:59" ht="58" x14ac:dyDescent="0.35">
      <c r="A2257" s="2" t="s">
        <v>89</v>
      </c>
      <c r="B2257" s="2" t="s">
        <v>90</v>
      </c>
      <c r="C2257" s="2" t="s">
        <v>22173</v>
      </c>
      <c r="D2257" s="2" t="s">
        <v>22174</v>
      </c>
      <c r="E2257" s="2" t="s">
        <v>22175</v>
      </c>
      <c r="G2257" s="3" t="s">
        <v>62</v>
      </c>
      <c r="I2257" s="3" t="s">
        <v>62</v>
      </c>
      <c r="J2257" s="3" t="s">
        <v>61</v>
      </c>
      <c r="K2257" s="3" t="s">
        <v>63</v>
      </c>
      <c r="L2257" s="2" t="s">
        <v>22176</v>
      </c>
      <c r="M2257" s="2" t="s">
        <v>22177</v>
      </c>
      <c r="N2257" s="3" t="s">
        <v>553</v>
      </c>
      <c r="O2257" s="2" t="s">
        <v>22178</v>
      </c>
      <c r="P2257" s="3" t="s">
        <v>64</v>
      </c>
      <c r="R2257" s="3" t="s">
        <v>13065</v>
      </c>
      <c r="S2257" s="4">
        <v>28</v>
      </c>
      <c r="T2257" s="4">
        <v>28</v>
      </c>
      <c r="U2257" s="5" t="s">
        <v>12900</v>
      </c>
      <c r="V2257" s="5" t="s">
        <v>12900</v>
      </c>
      <c r="W2257" s="5" t="s">
        <v>67</v>
      </c>
      <c r="X2257" s="5" t="s">
        <v>67</v>
      </c>
      <c r="Y2257" s="4">
        <v>27</v>
      </c>
      <c r="Z2257" s="4">
        <v>5</v>
      </c>
      <c r="AA2257" s="4">
        <v>56</v>
      </c>
      <c r="AB2257" s="4">
        <v>2</v>
      </c>
      <c r="AC2257" s="4">
        <v>13</v>
      </c>
      <c r="AD2257" s="4">
        <v>12</v>
      </c>
      <c r="AE2257" s="4">
        <v>122</v>
      </c>
      <c r="AF2257" s="4">
        <v>0</v>
      </c>
      <c r="AG2257" s="4">
        <v>8</v>
      </c>
      <c r="AH2257" s="4">
        <v>11</v>
      </c>
      <c r="AI2257" s="4">
        <v>93</v>
      </c>
      <c r="AJ2257" s="4">
        <v>3</v>
      </c>
      <c r="AK2257" s="4">
        <v>23</v>
      </c>
      <c r="AL2257" s="4">
        <v>5</v>
      </c>
      <c r="AM2257" s="4">
        <v>56</v>
      </c>
      <c r="AN2257" s="4">
        <v>0</v>
      </c>
      <c r="AO2257" s="4">
        <v>0</v>
      </c>
      <c r="AP2257" s="4">
        <v>3</v>
      </c>
      <c r="AQ2257" s="4">
        <v>36</v>
      </c>
      <c r="AR2257" s="3" t="s">
        <v>62</v>
      </c>
      <c r="AS2257" s="3" t="s">
        <v>62</v>
      </c>
      <c r="AT2257" s="3" t="s">
        <v>61</v>
      </c>
      <c r="AU2257" s="6" t="str">
        <f>HYPERLINK("http://catalog.hathitrust.org/Record/003338531","HathiTrust Record")</f>
        <v>HathiTrust Record</v>
      </c>
      <c r="AV2257" s="6" t="str">
        <f>HYPERLINK("http://mcgill.on.worldcat.org/oclc/46450203","Catalog Record")</f>
        <v>Catalog Record</v>
      </c>
      <c r="AW2257" s="6" t="str">
        <f>HYPERLINK("http://www.worldcat.org/oclc/46450203","WorldCat Record")</f>
        <v>WorldCat Record</v>
      </c>
      <c r="AX2257" s="3" t="s">
        <v>22179</v>
      </c>
      <c r="AY2257" s="3" t="s">
        <v>22180</v>
      </c>
      <c r="AZ2257" s="3" t="s">
        <v>22181</v>
      </c>
      <c r="BA2257" s="3" t="s">
        <v>22181</v>
      </c>
      <c r="BB2257" s="3" t="s">
        <v>22182</v>
      </c>
      <c r="BC2257" s="3" t="s">
        <v>102</v>
      </c>
      <c r="BD2257" s="3" t="s">
        <v>68</v>
      </c>
      <c r="BE2257" s="3" t="s">
        <v>22183</v>
      </c>
      <c r="BF2257" s="3" t="s">
        <v>22182</v>
      </c>
      <c r="BG2257" s="3" t="s">
        <v>22184</v>
      </c>
    </row>
    <row r="2258" spans="1:59" ht="101.5" x14ac:dyDescent="0.35">
      <c r="A2258" s="2" t="s">
        <v>89</v>
      </c>
      <c r="B2258" s="2" t="s">
        <v>12301</v>
      </c>
      <c r="C2258" s="2" t="s">
        <v>22185</v>
      </c>
      <c r="D2258" s="2" t="s">
        <v>22186</v>
      </c>
      <c r="E2258" s="2" t="s">
        <v>22187</v>
      </c>
      <c r="G2258" s="3" t="s">
        <v>62</v>
      </c>
      <c r="I2258" s="3" t="s">
        <v>62</v>
      </c>
      <c r="J2258" s="3" t="s">
        <v>61</v>
      </c>
      <c r="K2258" s="3" t="s">
        <v>63</v>
      </c>
      <c r="L2258" s="2" t="s">
        <v>22188</v>
      </c>
      <c r="M2258" s="2" t="s">
        <v>22189</v>
      </c>
      <c r="N2258" s="3" t="s">
        <v>2085</v>
      </c>
      <c r="O2258" s="2" t="s">
        <v>7791</v>
      </c>
      <c r="P2258" s="3" t="s">
        <v>64</v>
      </c>
      <c r="R2258" s="3" t="s">
        <v>13065</v>
      </c>
      <c r="S2258" s="4">
        <v>11</v>
      </c>
      <c r="T2258" s="4">
        <v>11</v>
      </c>
      <c r="U2258" s="5" t="s">
        <v>22190</v>
      </c>
      <c r="V2258" s="5" t="s">
        <v>22190</v>
      </c>
      <c r="W2258" s="5" t="s">
        <v>67</v>
      </c>
      <c r="X2258" s="5" t="s">
        <v>67</v>
      </c>
      <c r="Y2258" s="4">
        <v>38</v>
      </c>
      <c r="Z2258" s="4">
        <v>5</v>
      </c>
      <c r="AA2258" s="4">
        <v>23</v>
      </c>
      <c r="AB2258" s="4">
        <v>1</v>
      </c>
      <c r="AC2258" s="4">
        <v>3</v>
      </c>
      <c r="AD2258" s="4">
        <v>16</v>
      </c>
      <c r="AE2258" s="4">
        <v>51</v>
      </c>
      <c r="AF2258" s="4">
        <v>0</v>
      </c>
      <c r="AG2258" s="4">
        <v>2</v>
      </c>
      <c r="AH2258" s="4">
        <v>11</v>
      </c>
      <c r="AI2258" s="4">
        <v>40</v>
      </c>
      <c r="AJ2258" s="4">
        <v>2</v>
      </c>
      <c r="AK2258" s="4">
        <v>14</v>
      </c>
      <c r="AL2258" s="4">
        <v>9</v>
      </c>
      <c r="AM2258" s="4">
        <v>24</v>
      </c>
      <c r="AN2258" s="4">
        <v>0</v>
      </c>
      <c r="AO2258" s="4">
        <v>0</v>
      </c>
      <c r="AP2258" s="4">
        <v>4</v>
      </c>
      <c r="AQ2258" s="4">
        <v>17</v>
      </c>
      <c r="AR2258" s="3" t="s">
        <v>62</v>
      </c>
      <c r="AS2258" s="3" t="s">
        <v>62</v>
      </c>
      <c r="AT2258" s="3" t="s">
        <v>62</v>
      </c>
      <c r="AV2258" s="6" t="str">
        <f>HYPERLINK("http://mcgill.on.worldcat.org/oclc/1029560997","Catalog Record")</f>
        <v>Catalog Record</v>
      </c>
      <c r="AW2258" s="6" t="str">
        <f>HYPERLINK("http://www.worldcat.org/oclc/1029560997","WorldCat Record")</f>
        <v>WorldCat Record</v>
      </c>
      <c r="AX2258" s="3" t="s">
        <v>22191</v>
      </c>
      <c r="AY2258" s="3" t="s">
        <v>22192</v>
      </c>
      <c r="AZ2258" s="3" t="s">
        <v>22193</v>
      </c>
      <c r="BA2258" s="3" t="s">
        <v>22193</v>
      </c>
      <c r="BB2258" s="3" t="s">
        <v>22194</v>
      </c>
      <c r="BC2258" s="3" t="s">
        <v>102</v>
      </c>
      <c r="BD2258" s="3" t="s">
        <v>68</v>
      </c>
      <c r="BE2258" s="3" t="s">
        <v>22195</v>
      </c>
      <c r="BF2258" s="3" t="s">
        <v>22194</v>
      </c>
      <c r="BG2258" s="3" t="s">
        <v>22196</v>
      </c>
    </row>
    <row r="2259" spans="1:59" ht="101.5" x14ac:dyDescent="0.35">
      <c r="A2259" s="2" t="s">
        <v>89</v>
      </c>
      <c r="B2259" s="2" t="s">
        <v>12301</v>
      </c>
      <c r="C2259" s="2" t="s">
        <v>22197</v>
      </c>
      <c r="D2259" s="2" t="s">
        <v>22198</v>
      </c>
      <c r="E2259" s="2" t="s">
        <v>22199</v>
      </c>
      <c r="G2259" s="3" t="s">
        <v>62</v>
      </c>
      <c r="I2259" s="3" t="s">
        <v>62</v>
      </c>
      <c r="J2259" s="3" t="s">
        <v>61</v>
      </c>
      <c r="K2259" s="3" t="s">
        <v>63</v>
      </c>
      <c r="L2259" s="2" t="s">
        <v>22188</v>
      </c>
      <c r="M2259" s="2" t="s">
        <v>22200</v>
      </c>
      <c r="N2259" s="3" t="s">
        <v>712</v>
      </c>
      <c r="O2259" s="2" t="s">
        <v>11716</v>
      </c>
      <c r="P2259" s="3" t="s">
        <v>64</v>
      </c>
      <c r="R2259" s="3" t="s">
        <v>13065</v>
      </c>
      <c r="S2259" s="4">
        <v>76</v>
      </c>
      <c r="T2259" s="4">
        <v>76</v>
      </c>
      <c r="U2259" s="5" t="s">
        <v>15964</v>
      </c>
      <c r="V2259" s="5" t="s">
        <v>15964</v>
      </c>
      <c r="W2259" s="5" t="s">
        <v>67</v>
      </c>
      <c r="X2259" s="5" t="s">
        <v>67</v>
      </c>
      <c r="Y2259" s="4">
        <v>55</v>
      </c>
      <c r="Z2259" s="4">
        <v>5</v>
      </c>
      <c r="AA2259" s="4">
        <v>23</v>
      </c>
      <c r="AB2259" s="4">
        <v>1</v>
      </c>
      <c r="AC2259" s="4">
        <v>3</v>
      </c>
      <c r="AD2259" s="4">
        <v>20</v>
      </c>
      <c r="AE2259" s="4">
        <v>51</v>
      </c>
      <c r="AF2259" s="4">
        <v>0</v>
      </c>
      <c r="AG2259" s="4">
        <v>2</v>
      </c>
      <c r="AH2259" s="4">
        <v>16</v>
      </c>
      <c r="AI2259" s="4">
        <v>40</v>
      </c>
      <c r="AJ2259" s="4">
        <v>2</v>
      </c>
      <c r="AK2259" s="4">
        <v>14</v>
      </c>
      <c r="AL2259" s="4">
        <v>12</v>
      </c>
      <c r="AM2259" s="4">
        <v>24</v>
      </c>
      <c r="AN2259" s="4">
        <v>0</v>
      </c>
      <c r="AO2259" s="4">
        <v>0</v>
      </c>
      <c r="AP2259" s="4">
        <v>4</v>
      </c>
      <c r="AQ2259" s="4">
        <v>17</v>
      </c>
      <c r="AR2259" s="3" t="s">
        <v>62</v>
      </c>
      <c r="AS2259" s="3" t="s">
        <v>62</v>
      </c>
      <c r="AT2259" s="3" t="s">
        <v>62</v>
      </c>
      <c r="AV2259" s="6" t="str">
        <f>HYPERLINK("http://mcgill.on.worldcat.org/oclc/879147322","Catalog Record")</f>
        <v>Catalog Record</v>
      </c>
      <c r="AW2259" s="6" t="str">
        <f>HYPERLINK("http://www.worldcat.org/oclc/879147322","WorldCat Record")</f>
        <v>WorldCat Record</v>
      </c>
      <c r="AX2259" s="3" t="s">
        <v>22191</v>
      </c>
      <c r="AY2259" s="3" t="s">
        <v>22201</v>
      </c>
      <c r="AZ2259" s="3" t="s">
        <v>22202</v>
      </c>
      <c r="BA2259" s="3" t="s">
        <v>22202</v>
      </c>
      <c r="BB2259" s="3" t="s">
        <v>22203</v>
      </c>
      <c r="BC2259" s="3" t="s">
        <v>102</v>
      </c>
      <c r="BD2259" s="3" t="s">
        <v>68</v>
      </c>
      <c r="BE2259" s="3" t="s">
        <v>22204</v>
      </c>
      <c r="BF2259" s="3" t="s">
        <v>22203</v>
      </c>
      <c r="BG2259" s="3" t="s">
        <v>22205</v>
      </c>
    </row>
    <row r="2260" spans="1:59" ht="58" x14ac:dyDescent="0.35">
      <c r="A2260" s="2" t="s">
        <v>89</v>
      </c>
      <c r="B2260" s="2" t="s">
        <v>90</v>
      </c>
      <c r="C2260" s="2" t="s">
        <v>22206</v>
      </c>
      <c r="D2260" s="2" t="s">
        <v>22207</v>
      </c>
      <c r="E2260" s="2" t="s">
        <v>22208</v>
      </c>
      <c r="G2260" s="3" t="s">
        <v>62</v>
      </c>
      <c r="I2260" s="3" t="s">
        <v>61</v>
      </c>
      <c r="J2260" s="3" t="s">
        <v>61</v>
      </c>
      <c r="K2260" s="3" t="s">
        <v>63</v>
      </c>
      <c r="L2260" s="2" t="s">
        <v>22209</v>
      </c>
      <c r="M2260" s="2" t="s">
        <v>22210</v>
      </c>
      <c r="N2260" s="3" t="s">
        <v>115</v>
      </c>
      <c r="O2260" s="2" t="s">
        <v>17427</v>
      </c>
      <c r="P2260" s="3" t="s">
        <v>64</v>
      </c>
      <c r="Q2260" s="2" t="s">
        <v>22211</v>
      </c>
      <c r="R2260" s="3" t="s">
        <v>13065</v>
      </c>
      <c r="S2260" s="4">
        <v>285</v>
      </c>
      <c r="T2260" s="4">
        <v>1411</v>
      </c>
      <c r="U2260" s="5" t="s">
        <v>10168</v>
      </c>
      <c r="V2260" s="5" t="s">
        <v>22212</v>
      </c>
      <c r="W2260" s="5" t="s">
        <v>67</v>
      </c>
      <c r="X2260" s="5" t="s">
        <v>67</v>
      </c>
      <c r="Y2260" s="4">
        <v>382</v>
      </c>
      <c r="Z2260" s="4">
        <v>22</v>
      </c>
      <c r="AA2260" s="4">
        <v>75</v>
      </c>
      <c r="AB2260" s="4">
        <v>2</v>
      </c>
      <c r="AC2260" s="4">
        <v>15</v>
      </c>
      <c r="AD2260" s="4">
        <v>70</v>
      </c>
      <c r="AE2260" s="4">
        <v>156</v>
      </c>
      <c r="AF2260" s="4">
        <v>1</v>
      </c>
      <c r="AG2260" s="4">
        <v>8</v>
      </c>
      <c r="AH2260" s="4">
        <v>58</v>
      </c>
      <c r="AI2260" s="4">
        <v>113</v>
      </c>
      <c r="AJ2260" s="4">
        <v>12</v>
      </c>
      <c r="AK2260" s="4">
        <v>28</v>
      </c>
      <c r="AL2260" s="4">
        <v>33</v>
      </c>
      <c r="AM2260" s="4">
        <v>61</v>
      </c>
      <c r="AN2260" s="4">
        <v>0</v>
      </c>
      <c r="AO2260" s="4">
        <v>0</v>
      </c>
      <c r="AP2260" s="4">
        <v>18</v>
      </c>
      <c r="AQ2260" s="4">
        <v>50</v>
      </c>
      <c r="AR2260" s="3" t="s">
        <v>62</v>
      </c>
      <c r="AS2260" s="3" t="s">
        <v>62</v>
      </c>
      <c r="AT2260" s="3" t="s">
        <v>61</v>
      </c>
      <c r="AU2260" s="6" t="str">
        <f>HYPERLINK("http://catalog.hathitrust.org/Record/001298400","HathiTrust Record")</f>
        <v>HathiTrust Record</v>
      </c>
      <c r="AV2260" s="6" t="str">
        <f>HYPERLINK("http://mcgill.on.worldcat.org/oclc/18949197","Catalog Record")</f>
        <v>Catalog Record</v>
      </c>
      <c r="AW2260" s="6" t="str">
        <f>HYPERLINK("http://www.worldcat.org/oclc/18949197","WorldCat Record")</f>
        <v>WorldCat Record</v>
      </c>
      <c r="AX2260" s="3" t="s">
        <v>22213</v>
      </c>
      <c r="AY2260" s="3" t="s">
        <v>22214</v>
      </c>
      <c r="AZ2260" s="3" t="s">
        <v>22215</v>
      </c>
      <c r="BA2260" s="3" t="s">
        <v>22215</v>
      </c>
      <c r="BB2260" s="3" t="s">
        <v>22216</v>
      </c>
      <c r="BC2260" s="3" t="s">
        <v>102</v>
      </c>
      <c r="BD2260" s="3" t="s">
        <v>68</v>
      </c>
      <c r="BE2260" s="3" t="s">
        <v>22217</v>
      </c>
      <c r="BF2260" s="3" t="s">
        <v>22216</v>
      </c>
      <c r="BG2260" s="3" t="s">
        <v>22218</v>
      </c>
    </row>
    <row r="2261" spans="1:59" ht="58" x14ac:dyDescent="0.35">
      <c r="A2261" s="2" t="s">
        <v>89</v>
      </c>
      <c r="B2261" s="2" t="s">
        <v>90</v>
      </c>
      <c r="C2261" s="2" t="s">
        <v>22206</v>
      </c>
      <c r="D2261" s="2" t="s">
        <v>22207</v>
      </c>
      <c r="E2261" s="2" t="s">
        <v>22208</v>
      </c>
      <c r="G2261" s="3" t="s">
        <v>62</v>
      </c>
      <c r="I2261" s="3" t="s">
        <v>61</v>
      </c>
      <c r="J2261" s="3" t="s">
        <v>61</v>
      </c>
      <c r="K2261" s="3" t="s">
        <v>63</v>
      </c>
      <c r="L2261" s="2" t="s">
        <v>22209</v>
      </c>
      <c r="M2261" s="2" t="s">
        <v>22210</v>
      </c>
      <c r="N2261" s="3" t="s">
        <v>115</v>
      </c>
      <c r="O2261" s="2" t="s">
        <v>17427</v>
      </c>
      <c r="P2261" s="3" t="s">
        <v>64</v>
      </c>
      <c r="Q2261" s="2" t="s">
        <v>22211</v>
      </c>
      <c r="R2261" s="3" t="s">
        <v>13065</v>
      </c>
      <c r="S2261" s="4">
        <v>610</v>
      </c>
      <c r="T2261" s="4">
        <v>1411</v>
      </c>
      <c r="U2261" s="5" t="s">
        <v>6594</v>
      </c>
      <c r="V2261" s="5" t="s">
        <v>22212</v>
      </c>
      <c r="W2261" s="5" t="s">
        <v>67</v>
      </c>
      <c r="X2261" s="5" t="s">
        <v>67</v>
      </c>
      <c r="Y2261" s="4">
        <v>382</v>
      </c>
      <c r="Z2261" s="4">
        <v>22</v>
      </c>
      <c r="AA2261" s="4">
        <v>75</v>
      </c>
      <c r="AB2261" s="4">
        <v>2</v>
      </c>
      <c r="AC2261" s="4">
        <v>15</v>
      </c>
      <c r="AD2261" s="4">
        <v>70</v>
      </c>
      <c r="AE2261" s="4">
        <v>156</v>
      </c>
      <c r="AF2261" s="4">
        <v>1</v>
      </c>
      <c r="AG2261" s="4">
        <v>8</v>
      </c>
      <c r="AH2261" s="4">
        <v>58</v>
      </c>
      <c r="AI2261" s="4">
        <v>113</v>
      </c>
      <c r="AJ2261" s="4">
        <v>12</v>
      </c>
      <c r="AK2261" s="4">
        <v>28</v>
      </c>
      <c r="AL2261" s="4">
        <v>33</v>
      </c>
      <c r="AM2261" s="4">
        <v>61</v>
      </c>
      <c r="AN2261" s="4">
        <v>0</v>
      </c>
      <c r="AO2261" s="4">
        <v>0</v>
      </c>
      <c r="AP2261" s="4">
        <v>18</v>
      </c>
      <c r="AQ2261" s="4">
        <v>50</v>
      </c>
      <c r="AR2261" s="3" t="s">
        <v>62</v>
      </c>
      <c r="AS2261" s="3" t="s">
        <v>62</v>
      </c>
      <c r="AT2261" s="3" t="s">
        <v>61</v>
      </c>
      <c r="AU2261" s="6" t="str">
        <f>HYPERLINK("http://catalog.hathitrust.org/Record/001298400","HathiTrust Record")</f>
        <v>HathiTrust Record</v>
      </c>
      <c r="AV2261" s="6" t="str">
        <f>HYPERLINK("http://mcgill.on.worldcat.org/oclc/18949197","Catalog Record")</f>
        <v>Catalog Record</v>
      </c>
      <c r="AW2261" s="6" t="str">
        <f>HYPERLINK("http://www.worldcat.org/oclc/18949197","WorldCat Record")</f>
        <v>WorldCat Record</v>
      </c>
      <c r="AX2261" s="3" t="s">
        <v>22213</v>
      </c>
      <c r="AY2261" s="3" t="s">
        <v>22214</v>
      </c>
      <c r="AZ2261" s="3" t="s">
        <v>22215</v>
      </c>
      <c r="BA2261" s="3" t="s">
        <v>22215</v>
      </c>
      <c r="BB2261" s="3" t="s">
        <v>22219</v>
      </c>
      <c r="BC2261" s="3" t="s">
        <v>102</v>
      </c>
      <c r="BD2261" s="3" t="s">
        <v>68</v>
      </c>
      <c r="BE2261" s="3" t="s">
        <v>22217</v>
      </c>
      <c r="BF2261" s="3" t="s">
        <v>22219</v>
      </c>
      <c r="BG2261" s="3" t="s">
        <v>22220</v>
      </c>
    </row>
    <row r="2262" spans="1:59" ht="58" x14ac:dyDescent="0.35">
      <c r="A2262" s="2" t="s">
        <v>89</v>
      </c>
      <c r="B2262" s="2" t="s">
        <v>90</v>
      </c>
      <c r="C2262" s="2" t="s">
        <v>22206</v>
      </c>
      <c r="D2262" s="2" t="s">
        <v>22207</v>
      </c>
      <c r="E2262" s="2" t="s">
        <v>22208</v>
      </c>
      <c r="G2262" s="3" t="s">
        <v>62</v>
      </c>
      <c r="I2262" s="3" t="s">
        <v>61</v>
      </c>
      <c r="J2262" s="3" t="s">
        <v>61</v>
      </c>
      <c r="K2262" s="3" t="s">
        <v>63</v>
      </c>
      <c r="L2262" s="2" t="s">
        <v>22209</v>
      </c>
      <c r="M2262" s="2" t="s">
        <v>22210</v>
      </c>
      <c r="N2262" s="3" t="s">
        <v>115</v>
      </c>
      <c r="O2262" s="2" t="s">
        <v>17427</v>
      </c>
      <c r="P2262" s="3" t="s">
        <v>64</v>
      </c>
      <c r="Q2262" s="2" t="s">
        <v>22211</v>
      </c>
      <c r="R2262" s="3" t="s">
        <v>13065</v>
      </c>
      <c r="S2262" s="4">
        <v>344</v>
      </c>
      <c r="T2262" s="4">
        <v>1411</v>
      </c>
      <c r="U2262" s="5" t="s">
        <v>11207</v>
      </c>
      <c r="V2262" s="5" t="s">
        <v>22212</v>
      </c>
      <c r="W2262" s="5" t="s">
        <v>67</v>
      </c>
      <c r="X2262" s="5" t="s">
        <v>67</v>
      </c>
      <c r="Y2262" s="4">
        <v>382</v>
      </c>
      <c r="Z2262" s="4">
        <v>22</v>
      </c>
      <c r="AA2262" s="4">
        <v>75</v>
      </c>
      <c r="AB2262" s="4">
        <v>2</v>
      </c>
      <c r="AC2262" s="4">
        <v>15</v>
      </c>
      <c r="AD2262" s="4">
        <v>70</v>
      </c>
      <c r="AE2262" s="4">
        <v>156</v>
      </c>
      <c r="AF2262" s="4">
        <v>1</v>
      </c>
      <c r="AG2262" s="4">
        <v>8</v>
      </c>
      <c r="AH2262" s="4">
        <v>58</v>
      </c>
      <c r="AI2262" s="4">
        <v>113</v>
      </c>
      <c r="AJ2262" s="4">
        <v>12</v>
      </c>
      <c r="AK2262" s="4">
        <v>28</v>
      </c>
      <c r="AL2262" s="4">
        <v>33</v>
      </c>
      <c r="AM2262" s="4">
        <v>61</v>
      </c>
      <c r="AN2262" s="4">
        <v>0</v>
      </c>
      <c r="AO2262" s="4">
        <v>0</v>
      </c>
      <c r="AP2262" s="4">
        <v>18</v>
      </c>
      <c r="AQ2262" s="4">
        <v>50</v>
      </c>
      <c r="AR2262" s="3" t="s">
        <v>62</v>
      </c>
      <c r="AS2262" s="3" t="s">
        <v>62</v>
      </c>
      <c r="AT2262" s="3" t="s">
        <v>61</v>
      </c>
      <c r="AU2262" s="6" t="str">
        <f>HYPERLINK("http://catalog.hathitrust.org/Record/001298400","HathiTrust Record")</f>
        <v>HathiTrust Record</v>
      </c>
      <c r="AV2262" s="6" t="str">
        <f>HYPERLINK("http://mcgill.on.worldcat.org/oclc/18949197","Catalog Record")</f>
        <v>Catalog Record</v>
      </c>
      <c r="AW2262" s="6" t="str">
        <f>HYPERLINK("http://www.worldcat.org/oclc/18949197","WorldCat Record")</f>
        <v>WorldCat Record</v>
      </c>
      <c r="AX2262" s="3" t="s">
        <v>22213</v>
      </c>
      <c r="AY2262" s="3" t="s">
        <v>22214</v>
      </c>
      <c r="AZ2262" s="3" t="s">
        <v>22215</v>
      </c>
      <c r="BA2262" s="3" t="s">
        <v>22215</v>
      </c>
      <c r="BB2262" s="3" t="s">
        <v>22221</v>
      </c>
      <c r="BC2262" s="3" t="s">
        <v>102</v>
      </c>
      <c r="BD2262" s="3" t="s">
        <v>68</v>
      </c>
      <c r="BE2262" s="3" t="s">
        <v>22217</v>
      </c>
      <c r="BF2262" s="3" t="s">
        <v>22221</v>
      </c>
      <c r="BG2262" s="3" t="s">
        <v>22222</v>
      </c>
    </row>
    <row r="2263" spans="1:59" ht="58" x14ac:dyDescent="0.35">
      <c r="A2263" s="2" t="s">
        <v>89</v>
      </c>
      <c r="B2263" s="2" t="s">
        <v>90</v>
      </c>
      <c r="C2263" s="2" t="s">
        <v>22223</v>
      </c>
      <c r="D2263" s="2" t="s">
        <v>22224</v>
      </c>
      <c r="E2263" s="2" t="s">
        <v>22208</v>
      </c>
      <c r="G2263" s="3" t="s">
        <v>62</v>
      </c>
      <c r="I2263" s="3" t="s">
        <v>61</v>
      </c>
      <c r="J2263" s="3" t="s">
        <v>61</v>
      </c>
      <c r="K2263" s="3" t="s">
        <v>63</v>
      </c>
      <c r="L2263" s="2" t="s">
        <v>22209</v>
      </c>
      <c r="M2263" s="2" t="s">
        <v>22225</v>
      </c>
      <c r="N2263" s="3" t="s">
        <v>2136</v>
      </c>
      <c r="O2263" s="2" t="s">
        <v>17427</v>
      </c>
      <c r="P2263" s="3" t="s">
        <v>64</v>
      </c>
      <c r="R2263" s="3" t="s">
        <v>13065</v>
      </c>
      <c r="S2263" s="4">
        <v>395</v>
      </c>
      <c r="T2263" s="4">
        <v>2859</v>
      </c>
      <c r="U2263" s="5" t="s">
        <v>22226</v>
      </c>
      <c r="V2263" s="5" t="s">
        <v>22226</v>
      </c>
      <c r="W2263" s="5" t="s">
        <v>67</v>
      </c>
      <c r="X2263" s="5" t="s">
        <v>67</v>
      </c>
      <c r="Y2263" s="4">
        <v>2</v>
      </c>
      <c r="Z2263" s="4">
        <v>2</v>
      </c>
      <c r="AA2263" s="4">
        <v>75</v>
      </c>
      <c r="AB2263" s="4">
        <v>2</v>
      </c>
      <c r="AC2263" s="4">
        <v>15</v>
      </c>
      <c r="AD2263" s="4">
        <v>0</v>
      </c>
      <c r="AE2263" s="4">
        <v>156</v>
      </c>
      <c r="AF2263" s="4">
        <v>0</v>
      </c>
      <c r="AG2263" s="4">
        <v>8</v>
      </c>
      <c r="AH2263" s="4">
        <v>0</v>
      </c>
      <c r="AI2263" s="4">
        <v>113</v>
      </c>
      <c r="AJ2263" s="4">
        <v>0</v>
      </c>
      <c r="AK2263" s="4">
        <v>28</v>
      </c>
      <c r="AL2263" s="4">
        <v>0</v>
      </c>
      <c r="AM2263" s="4">
        <v>61</v>
      </c>
      <c r="AN2263" s="4">
        <v>0</v>
      </c>
      <c r="AO2263" s="4">
        <v>0</v>
      </c>
      <c r="AP2263" s="4">
        <v>0</v>
      </c>
      <c r="AQ2263" s="4">
        <v>50</v>
      </c>
      <c r="AR2263" s="3" t="s">
        <v>62</v>
      </c>
      <c r="AS2263" s="3" t="s">
        <v>62</v>
      </c>
      <c r="AT2263" s="3" t="s">
        <v>62</v>
      </c>
      <c r="AV2263" s="6" t="str">
        <f t="shared" ref="AV2263:AV2270" si="39">HYPERLINK("http://mcgill.on.worldcat.org/oclc/427535701","Catalog Record")</f>
        <v>Catalog Record</v>
      </c>
      <c r="AW2263" s="6" t="str">
        <f t="shared" ref="AW2263:AW2270" si="40">HYPERLINK("http://www.worldcat.org/oclc/427535701","WorldCat Record")</f>
        <v>WorldCat Record</v>
      </c>
      <c r="AX2263" s="3" t="s">
        <v>22213</v>
      </c>
      <c r="AY2263" s="3" t="s">
        <v>22227</v>
      </c>
      <c r="AZ2263" s="3" t="s">
        <v>22228</v>
      </c>
      <c r="BA2263" s="3" t="s">
        <v>22228</v>
      </c>
      <c r="BB2263" s="3" t="s">
        <v>22229</v>
      </c>
      <c r="BC2263" s="3" t="s">
        <v>102</v>
      </c>
      <c r="BD2263" s="3" t="s">
        <v>68</v>
      </c>
      <c r="BE2263" s="3" t="s">
        <v>22230</v>
      </c>
      <c r="BF2263" s="3" t="s">
        <v>22229</v>
      </c>
      <c r="BG2263" s="3" t="s">
        <v>22231</v>
      </c>
    </row>
    <row r="2264" spans="1:59" ht="58" x14ac:dyDescent="0.35">
      <c r="A2264" s="2" t="s">
        <v>89</v>
      </c>
      <c r="B2264" s="2" t="s">
        <v>90</v>
      </c>
      <c r="C2264" s="2" t="s">
        <v>22223</v>
      </c>
      <c r="D2264" s="2" t="s">
        <v>22224</v>
      </c>
      <c r="E2264" s="2" t="s">
        <v>22208</v>
      </c>
      <c r="G2264" s="3" t="s">
        <v>62</v>
      </c>
      <c r="I2264" s="3" t="s">
        <v>61</v>
      </c>
      <c r="J2264" s="3" t="s">
        <v>61</v>
      </c>
      <c r="K2264" s="3" t="s">
        <v>63</v>
      </c>
      <c r="L2264" s="2" t="s">
        <v>22209</v>
      </c>
      <c r="M2264" s="2" t="s">
        <v>22225</v>
      </c>
      <c r="N2264" s="3" t="s">
        <v>2136</v>
      </c>
      <c r="O2264" s="2" t="s">
        <v>17427</v>
      </c>
      <c r="P2264" s="3" t="s">
        <v>64</v>
      </c>
      <c r="R2264" s="3" t="s">
        <v>13065</v>
      </c>
      <c r="S2264" s="4">
        <v>356</v>
      </c>
      <c r="T2264" s="4">
        <v>2859</v>
      </c>
      <c r="U2264" s="5" t="s">
        <v>9908</v>
      </c>
      <c r="V2264" s="5" t="s">
        <v>22226</v>
      </c>
      <c r="W2264" s="5" t="s">
        <v>67</v>
      </c>
      <c r="X2264" s="5" t="s">
        <v>67</v>
      </c>
      <c r="Y2264" s="4">
        <v>2</v>
      </c>
      <c r="Z2264" s="4">
        <v>2</v>
      </c>
      <c r="AA2264" s="4">
        <v>75</v>
      </c>
      <c r="AB2264" s="4">
        <v>2</v>
      </c>
      <c r="AC2264" s="4">
        <v>15</v>
      </c>
      <c r="AD2264" s="4">
        <v>0</v>
      </c>
      <c r="AE2264" s="4">
        <v>156</v>
      </c>
      <c r="AF2264" s="4">
        <v>0</v>
      </c>
      <c r="AG2264" s="4">
        <v>8</v>
      </c>
      <c r="AH2264" s="4">
        <v>0</v>
      </c>
      <c r="AI2264" s="4">
        <v>113</v>
      </c>
      <c r="AJ2264" s="4">
        <v>0</v>
      </c>
      <c r="AK2264" s="4">
        <v>28</v>
      </c>
      <c r="AL2264" s="4">
        <v>0</v>
      </c>
      <c r="AM2264" s="4">
        <v>61</v>
      </c>
      <c r="AN2264" s="4">
        <v>0</v>
      </c>
      <c r="AO2264" s="4">
        <v>0</v>
      </c>
      <c r="AP2264" s="4">
        <v>0</v>
      </c>
      <c r="AQ2264" s="4">
        <v>50</v>
      </c>
      <c r="AR2264" s="3" t="s">
        <v>62</v>
      </c>
      <c r="AS2264" s="3" t="s">
        <v>62</v>
      </c>
      <c r="AT2264" s="3" t="s">
        <v>62</v>
      </c>
      <c r="AV2264" s="6" t="str">
        <f t="shared" si="39"/>
        <v>Catalog Record</v>
      </c>
      <c r="AW2264" s="6" t="str">
        <f t="shared" si="40"/>
        <v>WorldCat Record</v>
      </c>
      <c r="AX2264" s="3" t="s">
        <v>22213</v>
      </c>
      <c r="AY2264" s="3" t="s">
        <v>22227</v>
      </c>
      <c r="AZ2264" s="3" t="s">
        <v>22228</v>
      </c>
      <c r="BA2264" s="3" t="s">
        <v>22228</v>
      </c>
      <c r="BB2264" s="3" t="s">
        <v>22232</v>
      </c>
      <c r="BC2264" s="3" t="s">
        <v>102</v>
      </c>
      <c r="BD2264" s="3" t="s">
        <v>68</v>
      </c>
      <c r="BE2264" s="3" t="s">
        <v>22230</v>
      </c>
      <c r="BF2264" s="3" t="s">
        <v>22232</v>
      </c>
      <c r="BG2264" s="3" t="s">
        <v>22233</v>
      </c>
    </row>
    <row r="2265" spans="1:59" ht="58" x14ac:dyDescent="0.35">
      <c r="A2265" s="2" t="s">
        <v>89</v>
      </c>
      <c r="B2265" s="2" t="s">
        <v>90</v>
      </c>
      <c r="C2265" s="2" t="s">
        <v>22223</v>
      </c>
      <c r="D2265" s="2" t="s">
        <v>22224</v>
      </c>
      <c r="E2265" s="2" t="s">
        <v>22208</v>
      </c>
      <c r="G2265" s="3" t="s">
        <v>62</v>
      </c>
      <c r="I2265" s="3" t="s">
        <v>61</v>
      </c>
      <c r="J2265" s="3" t="s">
        <v>61</v>
      </c>
      <c r="K2265" s="3" t="s">
        <v>63</v>
      </c>
      <c r="L2265" s="2" t="s">
        <v>22209</v>
      </c>
      <c r="M2265" s="2" t="s">
        <v>22225</v>
      </c>
      <c r="N2265" s="3" t="s">
        <v>2136</v>
      </c>
      <c r="O2265" s="2" t="s">
        <v>17427</v>
      </c>
      <c r="P2265" s="3" t="s">
        <v>64</v>
      </c>
      <c r="R2265" s="3" t="s">
        <v>13065</v>
      </c>
      <c r="S2265" s="4">
        <v>654</v>
      </c>
      <c r="T2265" s="4">
        <v>2859</v>
      </c>
      <c r="U2265" s="5" t="s">
        <v>10168</v>
      </c>
      <c r="V2265" s="5" t="s">
        <v>22226</v>
      </c>
      <c r="W2265" s="5" t="s">
        <v>67</v>
      </c>
      <c r="X2265" s="5" t="s">
        <v>67</v>
      </c>
      <c r="Y2265" s="4">
        <v>2</v>
      </c>
      <c r="Z2265" s="4">
        <v>2</v>
      </c>
      <c r="AA2265" s="4">
        <v>75</v>
      </c>
      <c r="AB2265" s="4">
        <v>2</v>
      </c>
      <c r="AC2265" s="4">
        <v>15</v>
      </c>
      <c r="AD2265" s="4">
        <v>0</v>
      </c>
      <c r="AE2265" s="4">
        <v>156</v>
      </c>
      <c r="AF2265" s="4">
        <v>0</v>
      </c>
      <c r="AG2265" s="4">
        <v>8</v>
      </c>
      <c r="AH2265" s="4">
        <v>0</v>
      </c>
      <c r="AI2265" s="4">
        <v>113</v>
      </c>
      <c r="AJ2265" s="4">
        <v>0</v>
      </c>
      <c r="AK2265" s="4">
        <v>28</v>
      </c>
      <c r="AL2265" s="4">
        <v>0</v>
      </c>
      <c r="AM2265" s="4">
        <v>61</v>
      </c>
      <c r="AN2265" s="4">
        <v>0</v>
      </c>
      <c r="AO2265" s="4">
        <v>0</v>
      </c>
      <c r="AP2265" s="4">
        <v>0</v>
      </c>
      <c r="AQ2265" s="4">
        <v>50</v>
      </c>
      <c r="AR2265" s="3" t="s">
        <v>62</v>
      </c>
      <c r="AS2265" s="3" t="s">
        <v>62</v>
      </c>
      <c r="AT2265" s="3" t="s">
        <v>62</v>
      </c>
      <c r="AV2265" s="6" t="str">
        <f t="shared" si="39"/>
        <v>Catalog Record</v>
      </c>
      <c r="AW2265" s="6" t="str">
        <f t="shared" si="40"/>
        <v>WorldCat Record</v>
      </c>
      <c r="AX2265" s="3" t="s">
        <v>22213</v>
      </c>
      <c r="AY2265" s="3" t="s">
        <v>22227</v>
      </c>
      <c r="AZ2265" s="3" t="s">
        <v>22228</v>
      </c>
      <c r="BA2265" s="3" t="s">
        <v>22228</v>
      </c>
      <c r="BB2265" s="3" t="s">
        <v>22234</v>
      </c>
      <c r="BC2265" s="3" t="s">
        <v>102</v>
      </c>
      <c r="BD2265" s="3" t="s">
        <v>68</v>
      </c>
      <c r="BE2265" s="3" t="s">
        <v>22230</v>
      </c>
      <c r="BF2265" s="3" t="s">
        <v>22234</v>
      </c>
      <c r="BG2265" s="3" t="s">
        <v>22235</v>
      </c>
    </row>
    <row r="2266" spans="1:59" ht="58" x14ac:dyDescent="0.35">
      <c r="A2266" s="2" t="s">
        <v>89</v>
      </c>
      <c r="B2266" s="2" t="s">
        <v>90</v>
      </c>
      <c r="C2266" s="2" t="s">
        <v>22223</v>
      </c>
      <c r="D2266" s="2" t="s">
        <v>22224</v>
      </c>
      <c r="E2266" s="2" t="s">
        <v>22208</v>
      </c>
      <c r="G2266" s="3" t="s">
        <v>62</v>
      </c>
      <c r="I2266" s="3" t="s">
        <v>61</v>
      </c>
      <c r="J2266" s="3" t="s">
        <v>61</v>
      </c>
      <c r="K2266" s="3" t="s">
        <v>63</v>
      </c>
      <c r="L2266" s="2" t="s">
        <v>22209</v>
      </c>
      <c r="M2266" s="2" t="s">
        <v>22225</v>
      </c>
      <c r="N2266" s="3" t="s">
        <v>2136</v>
      </c>
      <c r="O2266" s="2" t="s">
        <v>17427</v>
      </c>
      <c r="P2266" s="3" t="s">
        <v>64</v>
      </c>
      <c r="R2266" s="3" t="s">
        <v>13065</v>
      </c>
      <c r="S2266" s="4">
        <v>406</v>
      </c>
      <c r="T2266" s="4">
        <v>2859</v>
      </c>
      <c r="U2266" s="5" t="s">
        <v>15032</v>
      </c>
      <c r="V2266" s="5" t="s">
        <v>22226</v>
      </c>
      <c r="W2266" s="5" t="s">
        <v>67</v>
      </c>
      <c r="X2266" s="5" t="s">
        <v>67</v>
      </c>
      <c r="Y2266" s="4">
        <v>2</v>
      </c>
      <c r="Z2266" s="4">
        <v>2</v>
      </c>
      <c r="AA2266" s="4">
        <v>75</v>
      </c>
      <c r="AB2266" s="4">
        <v>2</v>
      </c>
      <c r="AC2266" s="4">
        <v>15</v>
      </c>
      <c r="AD2266" s="4">
        <v>0</v>
      </c>
      <c r="AE2266" s="4">
        <v>156</v>
      </c>
      <c r="AF2266" s="4">
        <v>0</v>
      </c>
      <c r="AG2266" s="4">
        <v>8</v>
      </c>
      <c r="AH2266" s="4">
        <v>0</v>
      </c>
      <c r="AI2266" s="4">
        <v>113</v>
      </c>
      <c r="AJ2266" s="4">
        <v>0</v>
      </c>
      <c r="AK2266" s="4">
        <v>28</v>
      </c>
      <c r="AL2266" s="4">
        <v>0</v>
      </c>
      <c r="AM2266" s="4">
        <v>61</v>
      </c>
      <c r="AN2266" s="4">
        <v>0</v>
      </c>
      <c r="AO2266" s="4">
        <v>0</v>
      </c>
      <c r="AP2266" s="4">
        <v>0</v>
      </c>
      <c r="AQ2266" s="4">
        <v>50</v>
      </c>
      <c r="AR2266" s="3" t="s">
        <v>62</v>
      </c>
      <c r="AS2266" s="3" t="s">
        <v>62</v>
      </c>
      <c r="AT2266" s="3" t="s">
        <v>62</v>
      </c>
      <c r="AV2266" s="6" t="str">
        <f t="shared" si="39"/>
        <v>Catalog Record</v>
      </c>
      <c r="AW2266" s="6" t="str">
        <f t="shared" si="40"/>
        <v>WorldCat Record</v>
      </c>
      <c r="AX2266" s="3" t="s">
        <v>22213</v>
      </c>
      <c r="AY2266" s="3" t="s">
        <v>22227</v>
      </c>
      <c r="AZ2266" s="3" t="s">
        <v>22228</v>
      </c>
      <c r="BA2266" s="3" t="s">
        <v>22228</v>
      </c>
      <c r="BB2266" s="3" t="s">
        <v>22236</v>
      </c>
      <c r="BC2266" s="3" t="s">
        <v>102</v>
      </c>
      <c r="BD2266" s="3" t="s">
        <v>68</v>
      </c>
      <c r="BE2266" s="3" t="s">
        <v>22230</v>
      </c>
      <c r="BF2266" s="3" t="s">
        <v>22236</v>
      </c>
      <c r="BG2266" s="3" t="s">
        <v>22237</v>
      </c>
    </row>
    <row r="2267" spans="1:59" ht="58" x14ac:dyDescent="0.35">
      <c r="A2267" s="2" t="s">
        <v>89</v>
      </c>
      <c r="B2267" s="2" t="s">
        <v>90</v>
      </c>
      <c r="C2267" s="2" t="s">
        <v>22223</v>
      </c>
      <c r="D2267" s="2" t="s">
        <v>22224</v>
      </c>
      <c r="E2267" s="2" t="s">
        <v>22208</v>
      </c>
      <c r="G2267" s="3" t="s">
        <v>62</v>
      </c>
      <c r="I2267" s="3" t="s">
        <v>61</v>
      </c>
      <c r="J2267" s="3" t="s">
        <v>61</v>
      </c>
      <c r="K2267" s="3" t="s">
        <v>63</v>
      </c>
      <c r="L2267" s="2" t="s">
        <v>22209</v>
      </c>
      <c r="M2267" s="2" t="s">
        <v>22225</v>
      </c>
      <c r="N2267" s="3" t="s">
        <v>2136</v>
      </c>
      <c r="O2267" s="2" t="s">
        <v>17427</v>
      </c>
      <c r="P2267" s="3" t="s">
        <v>64</v>
      </c>
      <c r="R2267" s="3" t="s">
        <v>13065</v>
      </c>
      <c r="S2267" s="4">
        <v>223</v>
      </c>
      <c r="T2267" s="4">
        <v>2859</v>
      </c>
      <c r="U2267" s="5" t="s">
        <v>22238</v>
      </c>
      <c r="V2267" s="5" t="s">
        <v>22226</v>
      </c>
      <c r="W2267" s="5" t="s">
        <v>67</v>
      </c>
      <c r="X2267" s="5" t="s">
        <v>67</v>
      </c>
      <c r="Y2267" s="4">
        <v>2</v>
      </c>
      <c r="Z2267" s="4">
        <v>2</v>
      </c>
      <c r="AA2267" s="4">
        <v>75</v>
      </c>
      <c r="AB2267" s="4">
        <v>2</v>
      </c>
      <c r="AC2267" s="4">
        <v>15</v>
      </c>
      <c r="AD2267" s="4">
        <v>0</v>
      </c>
      <c r="AE2267" s="4">
        <v>156</v>
      </c>
      <c r="AF2267" s="4">
        <v>0</v>
      </c>
      <c r="AG2267" s="4">
        <v>8</v>
      </c>
      <c r="AH2267" s="4">
        <v>0</v>
      </c>
      <c r="AI2267" s="4">
        <v>113</v>
      </c>
      <c r="AJ2267" s="4">
        <v>0</v>
      </c>
      <c r="AK2267" s="4">
        <v>28</v>
      </c>
      <c r="AL2267" s="4">
        <v>0</v>
      </c>
      <c r="AM2267" s="4">
        <v>61</v>
      </c>
      <c r="AN2267" s="4">
        <v>0</v>
      </c>
      <c r="AO2267" s="4">
        <v>0</v>
      </c>
      <c r="AP2267" s="4">
        <v>0</v>
      </c>
      <c r="AQ2267" s="4">
        <v>50</v>
      </c>
      <c r="AR2267" s="3" t="s">
        <v>62</v>
      </c>
      <c r="AS2267" s="3" t="s">
        <v>62</v>
      </c>
      <c r="AT2267" s="3" t="s">
        <v>62</v>
      </c>
      <c r="AV2267" s="6" t="str">
        <f t="shared" si="39"/>
        <v>Catalog Record</v>
      </c>
      <c r="AW2267" s="6" t="str">
        <f t="shared" si="40"/>
        <v>WorldCat Record</v>
      </c>
      <c r="AX2267" s="3" t="s">
        <v>22213</v>
      </c>
      <c r="AY2267" s="3" t="s">
        <v>22227</v>
      </c>
      <c r="AZ2267" s="3" t="s">
        <v>22228</v>
      </c>
      <c r="BA2267" s="3" t="s">
        <v>22228</v>
      </c>
      <c r="BB2267" s="3" t="s">
        <v>22239</v>
      </c>
      <c r="BC2267" s="3" t="s">
        <v>102</v>
      </c>
      <c r="BD2267" s="3" t="s">
        <v>68</v>
      </c>
      <c r="BE2267" s="3" t="s">
        <v>22230</v>
      </c>
      <c r="BF2267" s="3" t="s">
        <v>22239</v>
      </c>
      <c r="BG2267" s="3" t="s">
        <v>22240</v>
      </c>
    </row>
    <row r="2268" spans="1:59" ht="58" x14ac:dyDescent="0.35">
      <c r="A2268" s="2" t="s">
        <v>89</v>
      </c>
      <c r="B2268" s="2" t="s">
        <v>90</v>
      </c>
      <c r="C2268" s="2" t="s">
        <v>22223</v>
      </c>
      <c r="D2268" s="2" t="s">
        <v>22224</v>
      </c>
      <c r="E2268" s="2" t="s">
        <v>22208</v>
      </c>
      <c r="G2268" s="3" t="s">
        <v>62</v>
      </c>
      <c r="I2268" s="3" t="s">
        <v>61</v>
      </c>
      <c r="J2268" s="3" t="s">
        <v>61</v>
      </c>
      <c r="K2268" s="3" t="s">
        <v>63</v>
      </c>
      <c r="L2268" s="2" t="s">
        <v>22209</v>
      </c>
      <c r="M2268" s="2" t="s">
        <v>22225</v>
      </c>
      <c r="N2268" s="3" t="s">
        <v>2136</v>
      </c>
      <c r="O2268" s="2" t="s">
        <v>17427</v>
      </c>
      <c r="P2268" s="3" t="s">
        <v>64</v>
      </c>
      <c r="R2268" s="3" t="s">
        <v>13065</v>
      </c>
      <c r="S2268" s="4">
        <v>287</v>
      </c>
      <c r="T2268" s="4">
        <v>2859</v>
      </c>
      <c r="U2268" s="5" t="s">
        <v>12137</v>
      </c>
      <c r="V2268" s="5" t="s">
        <v>22226</v>
      </c>
      <c r="W2268" s="5" t="s">
        <v>67</v>
      </c>
      <c r="X2268" s="5" t="s">
        <v>67</v>
      </c>
      <c r="Y2268" s="4">
        <v>2</v>
      </c>
      <c r="Z2268" s="4">
        <v>2</v>
      </c>
      <c r="AA2268" s="4">
        <v>75</v>
      </c>
      <c r="AB2268" s="4">
        <v>2</v>
      </c>
      <c r="AC2268" s="4">
        <v>15</v>
      </c>
      <c r="AD2268" s="4">
        <v>0</v>
      </c>
      <c r="AE2268" s="4">
        <v>156</v>
      </c>
      <c r="AF2268" s="4">
        <v>0</v>
      </c>
      <c r="AG2268" s="4">
        <v>8</v>
      </c>
      <c r="AH2268" s="4">
        <v>0</v>
      </c>
      <c r="AI2268" s="4">
        <v>113</v>
      </c>
      <c r="AJ2268" s="4">
        <v>0</v>
      </c>
      <c r="AK2268" s="4">
        <v>28</v>
      </c>
      <c r="AL2268" s="4">
        <v>0</v>
      </c>
      <c r="AM2268" s="4">
        <v>61</v>
      </c>
      <c r="AN2268" s="4">
        <v>0</v>
      </c>
      <c r="AO2268" s="4">
        <v>0</v>
      </c>
      <c r="AP2268" s="4">
        <v>0</v>
      </c>
      <c r="AQ2268" s="4">
        <v>50</v>
      </c>
      <c r="AR2268" s="3" t="s">
        <v>62</v>
      </c>
      <c r="AS2268" s="3" t="s">
        <v>62</v>
      </c>
      <c r="AT2268" s="3" t="s">
        <v>62</v>
      </c>
      <c r="AV2268" s="6" t="str">
        <f t="shared" si="39"/>
        <v>Catalog Record</v>
      </c>
      <c r="AW2268" s="6" t="str">
        <f t="shared" si="40"/>
        <v>WorldCat Record</v>
      </c>
      <c r="AX2268" s="3" t="s">
        <v>22213</v>
      </c>
      <c r="AY2268" s="3" t="s">
        <v>22227</v>
      </c>
      <c r="AZ2268" s="3" t="s">
        <v>22228</v>
      </c>
      <c r="BA2268" s="3" t="s">
        <v>22228</v>
      </c>
      <c r="BB2268" s="3" t="s">
        <v>22241</v>
      </c>
      <c r="BC2268" s="3" t="s">
        <v>102</v>
      </c>
      <c r="BD2268" s="3" t="s">
        <v>231</v>
      </c>
      <c r="BE2268" s="3" t="s">
        <v>22230</v>
      </c>
      <c r="BF2268" s="3" t="s">
        <v>22241</v>
      </c>
      <c r="BG2268" s="3" t="s">
        <v>22242</v>
      </c>
    </row>
    <row r="2269" spans="1:59" ht="58" x14ac:dyDescent="0.35">
      <c r="A2269" s="2" t="s">
        <v>89</v>
      </c>
      <c r="B2269" s="2" t="s">
        <v>90</v>
      </c>
      <c r="C2269" s="2" t="s">
        <v>22223</v>
      </c>
      <c r="D2269" s="2" t="s">
        <v>22224</v>
      </c>
      <c r="E2269" s="2" t="s">
        <v>22208</v>
      </c>
      <c r="G2269" s="3" t="s">
        <v>62</v>
      </c>
      <c r="I2269" s="3" t="s">
        <v>61</v>
      </c>
      <c r="J2269" s="3" t="s">
        <v>61</v>
      </c>
      <c r="K2269" s="3" t="s">
        <v>63</v>
      </c>
      <c r="L2269" s="2" t="s">
        <v>22209</v>
      </c>
      <c r="M2269" s="2" t="s">
        <v>22225</v>
      </c>
      <c r="N2269" s="3" t="s">
        <v>2136</v>
      </c>
      <c r="O2269" s="2" t="s">
        <v>17427</v>
      </c>
      <c r="P2269" s="3" t="s">
        <v>64</v>
      </c>
      <c r="R2269" s="3" t="s">
        <v>13065</v>
      </c>
      <c r="S2269" s="4">
        <v>344</v>
      </c>
      <c r="T2269" s="4">
        <v>2859</v>
      </c>
      <c r="U2269" s="5" t="s">
        <v>22243</v>
      </c>
      <c r="V2269" s="5" t="s">
        <v>22226</v>
      </c>
      <c r="W2269" s="5" t="s">
        <v>67</v>
      </c>
      <c r="X2269" s="5" t="s">
        <v>67</v>
      </c>
      <c r="Y2269" s="4">
        <v>2</v>
      </c>
      <c r="Z2269" s="4">
        <v>2</v>
      </c>
      <c r="AA2269" s="4">
        <v>75</v>
      </c>
      <c r="AB2269" s="4">
        <v>2</v>
      </c>
      <c r="AC2269" s="4">
        <v>15</v>
      </c>
      <c r="AD2269" s="4">
        <v>0</v>
      </c>
      <c r="AE2269" s="4">
        <v>156</v>
      </c>
      <c r="AF2269" s="4">
        <v>0</v>
      </c>
      <c r="AG2269" s="4">
        <v>8</v>
      </c>
      <c r="AH2269" s="4">
        <v>0</v>
      </c>
      <c r="AI2269" s="4">
        <v>113</v>
      </c>
      <c r="AJ2269" s="4">
        <v>0</v>
      </c>
      <c r="AK2269" s="4">
        <v>28</v>
      </c>
      <c r="AL2269" s="4">
        <v>0</v>
      </c>
      <c r="AM2269" s="4">
        <v>61</v>
      </c>
      <c r="AN2269" s="4">
        <v>0</v>
      </c>
      <c r="AO2269" s="4">
        <v>0</v>
      </c>
      <c r="AP2269" s="4">
        <v>0</v>
      </c>
      <c r="AQ2269" s="4">
        <v>50</v>
      </c>
      <c r="AR2269" s="3" t="s">
        <v>62</v>
      </c>
      <c r="AS2269" s="3" t="s">
        <v>62</v>
      </c>
      <c r="AT2269" s="3" t="s">
        <v>62</v>
      </c>
      <c r="AV2269" s="6" t="str">
        <f t="shared" si="39"/>
        <v>Catalog Record</v>
      </c>
      <c r="AW2269" s="6" t="str">
        <f t="shared" si="40"/>
        <v>WorldCat Record</v>
      </c>
      <c r="AX2269" s="3" t="s">
        <v>22213</v>
      </c>
      <c r="AY2269" s="3" t="s">
        <v>22227</v>
      </c>
      <c r="AZ2269" s="3" t="s">
        <v>22228</v>
      </c>
      <c r="BA2269" s="3" t="s">
        <v>22228</v>
      </c>
      <c r="BB2269" s="3" t="s">
        <v>22244</v>
      </c>
      <c r="BC2269" s="3" t="s">
        <v>102</v>
      </c>
      <c r="BD2269" s="3" t="s">
        <v>68</v>
      </c>
      <c r="BE2269" s="3" t="s">
        <v>22230</v>
      </c>
      <c r="BF2269" s="3" t="s">
        <v>22244</v>
      </c>
      <c r="BG2269" s="3" t="s">
        <v>22245</v>
      </c>
    </row>
    <row r="2270" spans="1:59" ht="58" x14ac:dyDescent="0.35">
      <c r="A2270" s="2" t="s">
        <v>89</v>
      </c>
      <c r="B2270" s="2" t="s">
        <v>90</v>
      </c>
      <c r="C2270" s="2" t="s">
        <v>22223</v>
      </c>
      <c r="D2270" s="2" t="s">
        <v>22224</v>
      </c>
      <c r="E2270" s="2" t="s">
        <v>22208</v>
      </c>
      <c r="G2270" s="3" t="s">
        <v>62</v>
      </c>
      <c r="I2270" s="3" t="s">
        <v>61</v>
      </c>
      <c r="J2270" s="3" t="s">
        <v>61</v>
      </c>
      <c r="K2270" s="3" t="s">
        <v>63</v>
      </c>
      <c r="L2270" s="2" t="s">
        <v>22209</v>
      </c>
      <c r="M2270" s="2" t="s">
        <v>22225</v>
      </c>
      <c r="N2270" s="3" t="s">
        <v>2136</v>
      </c>
      <c r="O2270" s="2" t="s">
        <v>17427</v>
      </c>
      <c r="P2270" s="3" t="s">
        <v>64</v>
      </c>
      <c r="R2270" s="3" t="s">
        <v>13065</v>
      </c>
      <c r="S2270" s="4">
        <v>190</v>
      </c>
      <c r="T2270" s="4">
        <v>2859</v>
      </c>
      <c r="U2270" s="5" t="s">
        <v>22238</v>
      </c>
      <c r="V2270" s="5" t="s">
        <v>22226</v>
      </c>
      <c r="W2270" s="5" t="s">
        <v>67</v>
      </c>
      <c r="X2270" s="5" t="s">
        <v>67</v>
      </c>
      <c r="Y2270" s="4">
        <v>2</v>
      </c>
      <c r="Z2270" s="4">
        <v>2</v>
      </c>
      <c r="AA2270" s="4">
        <v>75</v>
      </c>
      <c r="AB2270" s="4">
        <v>2</v>
      </c>
      <c r="AC2270" s="4">
        <v>15</v>
      </c>
      <c r="AD2270" s="4">
        <v>0</v>
      </c>
      <c r="AE2270" s="4">
        <v>156</v>
      </c>
      <c r="AF2270" s="4">
        <v>0</v>
      </c>
      <c r="AG2270" s="4">
        <v>8</v>
      </c>
      <c r="AH2270" s="4">
        <v>0</v>
      </c>
      <c r="AI2270" s="4">
        <v>113</v>
      </c>
      <c r="AJ2270" s="4">
        <v>0</v>
      </c>
      <c r="AK2270" s="4">
        <v>28</v>
      </c>
      <c r="AL2270" s="4">
        <v>0</v>
      </c>
      <c r="AM2270" s="4">
        <v>61</v>
      </c>
      <c r="AN2270" s="4">
        <v>0</v>
      </c>
      <c r="AO2270" s="4">
        <v>0</v>
      </c>
      <c r="AP2270" s="4">
        <v>0</v>
      </c>
      <c r="AQ2270" s="4">
        <v>50</v>
      </c>
      <c r="AR2270" s="3" t="s">
        <v>62</v>
      </c>
      <c r="AS2270" s="3" t="s">
        <v>62</v>
      </c>
      <c r="AT2270" s="3" t="s">
        <v>62</v>
      </c>
      <c r="AV2270" s="6" t="str">
        <f t="shared" si="39"/>
        <v>Catalog Record</v>
      </c>
      <c r="AW2270" s="6" t="str">
        <f t="shared" si="40"/>
        <v>WorldCat Record</v>
      </c>
      <c r="AX2270" s="3" t="s">
        <v>22213</v>
      </c>
      <c r="AY2270" s="3" t="s">
        <v>22227</v>
      </c>
      <c r="AZ2270" s="3" t="s">
        <v>22228</v>
      </c>
      <c r="BA2270" s="3" t="s">
        <v>22228</v>
      </c>
      <c r="BB2270" s="3" t="s">
        <v>22246</v>
      </c>
      <c r="BC2270" s="3" t="s">
        <v>102</v>
      </c>
      <c r="BD2270" s="3" t="s">
        <v>68</v>
      </c>
      <c r="BE2270" s="3" t="s">
        <v>22230</v>
      </c>
      <c r="BF2270" s="3" t="s">
        <v>22246</v>
      </c>
      <c r="BG2270" s="3" t="s">
        <v>22247</v>
      </c>
    </row>
    <row r="2271" spans="1:59" ht="58" x14ac:dyDescent="0.35">
      <c r="A2271" s="2" t="s">
        <v>89</v>
      </c>
      <c r="B2271" s="2" t="s">
        <v>6791</v>
      </c>
      <c r="C2271" s="2" t="s">
        <v>22248</v>
      </c>
      <c r="D2271" s="2" t="s">
        <v>22249</v>
      </c>
      <c r="E2271" s="2" t="s">
        <v>22250</v>
      </c>
      <c r="G2271" s="3" t="s">
        <v>62</v>
      </c>
      <c r="I2271" s="3" t="s">
        <v>62</v>
      </c>
      <c r="J2271" s="3" t="s">
        <v>61</v>
      </c>
      <c r="K2271" s="3" t="s">
        <v>63</v>
      </c>
      <c r="L2271" s="2" t="s">
        <v>22251</v>
      </c>
      <c r="M2271" s="2" t="s">
        <v>22252</v>
      </c>
      <c r="N2271" s="3" t="s">
        <v>880</v>
      </c>
      <c r="O2271" s="2" t="s">
        <v>2458</v>
      </c>
      <c r="P2271" s="3" t="s">
        <v>64</v>
      </c>
      <c r="R2271" s="3" t="s">
        <v>13065</v>
      </c>
      <c r="S2271" s="4">
        <v>12</v>
      </c>
      <c r="T2271" s="4">
        <v>12</v>
      </c>
      <c r="U2271" s="5" t="s">
        <v>2151</v>
      </c>
      <c r="V2271" s="5" t="s">
        <v>2151</v>
      </c>
      <c r="W2271" s="5" t="s">
        <v>67</v>
      </c>
      <c r="X2271" s="5" t="s">
        <v>67</v>
      </c>
      <c r="Y2271" s="4">
        <v>110</v>
      </c>
      <c r="Z2271" s="4">
        <v>9</v>
      </c>
      <c r="AA2271" s="4">
        <v>116</v>
      </c>
      <c r="AB2271" s="4">
        <v>1</v>
      </c>
      <c r="AC2271" s="4">
        <v>23</v>
      </c>
      <c r="AD2271" s="4">
        <v>29</v>
      </c>
      <c r="AE2271" s="4">
        <v>137</v>
      </c>
      <c r="AF2271" s="4">
        <v>0</v>
      </c>
      <c r="AG2271" s="4">
        <v>11</v>
      </c>
      <c r="AH2271" s="4">
        <v>26</v>
      </c>
      <c r="AI2271" s="4">
        <v>92</v>
      </c>
      <c r="AJ2271" s="4">
        <v>7</v>
      </c>
      <c r="AK2271" s="4">
        <v>23</v>
      </c>
      <c r="AL2271" s="4">
        <v>17</v>
      </c>
      <c r="AM2271" s="4">
        <v>49</v>
      </c>
      <c r="AN2271" s="4">
        <v>0</v>
      </c>
      <c r="AO2271" s="4">
        <v>0</v>
      </c>
      <c r="AP2271" s="4">
        <v>7</v>
      </c>
      <c r="AQ2271" s="4">
        <v>50</v>
      </c>
      <c r="AR2271" s="3" t="s">
        <v>62</v>
      </c>
      <c r="AS2271" s="3" t="s">
        <v>62</v>
      </c>
      <c r="AT2271" s="3" t="s">
        <v>62</v>
      </c>
      <c r="AV2271" s="6" t="str">
        <f>HYPERLINK("http://mcgill.on.worldcat.org/oclc/612960471","Catalog Record")</f>
        <v>Catalog Record</v>
      </c>
      <c r="AW2271" s="6" t="str">
        <f>HYPERLINK("http://www.worldcat.org/oclc/612960471","WorldCat Record")</f>
        <v>WorldCat Record</v>
      </c>
      <c r="AX2271" s="3" t="s">
        <v>22253</v>
      </c>
      <c r="AY2271" s="3" t="s">
        <v>22254</v>
      </c>
      <c r="AZ2271" s="3" t="s">
        <v>22255</v>
      </c>
      <c r="BA2271" s="3" t="s">
        <v>22255</v>
      </c>
      <c r="BB2271" s="3" t="s">
        <v>22256</v>
      </c>
      <c r="BC2271" s="3" t="s">
        <v>102</v>
      </c>
      <c r="BD2271" s="3" t="s">
        <v>1135</v>
      </c>
      <c r="BE2271" s="3" t="s">
        <v>22257</v>
      </c>
      <c r="BF2271" s="3" t="s">
        <v>22256</v>
      </c>
      <c r="BG2271" s="3" t="s">
        <v>22258</v>
      </c>
    </row>
    <row r="2272" spans="1:59" ht="58" x14ac:dyDescent="0.35">
      <c r="A2272" s="2" t="s">
        <v>89</v>
      </c>
      <c r="B2272" s="2" t="s">
        <v>6791</v>
      </c>
      <c r="C2272" s="2" t="s">
        <v>22259</v>
      </c>
      <c r="D2272" s="2" t="s">
        <v>22260</v>
      </c>
      <c r="E2272" s="2" t="s">
        <v>22261</v>
      </c>
      <c r="G2272" s="3" t="s">
        <v>62</v>
      </c>
      <c r="I2272" s="3" t="s">
        <v>62</v>
      </c>
      <c r="J2272" s="3" t="s">
        <v>61</v>
      </c>
      <c r="K2272" s="3" t="s">
        <v>63</v>
      </c>
      <c r="L2272" s="2" t="s">
        <v>22262</v>
      </c>
      <c r="M2272" s="2" t="s">
        <v>22263</v>
      </c>
      <c r="N2272" s="3" t="s">
        <v>2136</v>
      </c>
      <c r="O2272" s="2" t="s">
        <v>22264</v>
      </c>
      <c r="P2272" s="3" t="s">
        <v>64</v>
      </c>
      <c r="R2272" s="3" t="s">
        <v>13065</v>
      </c>
      <c r="S2272" s="4">
        <v>17</v>
      </c>
      <c r="T2272" s="4">
        <v>17</v>
      </c>
      <c r="U2272" s="5" t="s">
        <v>2125</v>
      </c>
      <c r="V2272" s="5" t="s">
        <v>2125</v>
      </c>
      <c r="W2272" s="5" t="s">
        <v>67</v>
      </c>
      <c r="X2272" s="5" t="s">
        <v>67</v>
      </c>
      <c r="Y2272" s="4">
        <v>165</v>
      </c>
      <c r="Z2272" s="4">
        <v>14</v>
      </c>
      <c r="AA2272" s="4">
        <v>60</v>
      </c>
      <c r="AB2272" s="4">
        <v>1</v>
      </c>
      <c r="AC2272" s="4">
        <v>4</v>
      </c>
      <c r="AD2272" s="4">
        <v>20</v>
      </c>
      <c r="AE2272" s="4">
        <v>114</v>
      </c>
      <c r="AF2272" s="4">
        <v>0</v>
      </c>
      <c r="AG2272" s="4">
        <v>2</v>
      </c>
      <c r="AH2272" s="4">
        <v>17</v>
      </c>
      <c r="AI2272" s="4">
        <v>92</v>
      </c>
      <c r="AJ2272" s="4">
        <v>5</v>
      </c>
      <c r="AK2272" s="4">
        <v>21</v>
      </c>
      <c r="AL2272" s="4">
        <v>6</v>
      </c>
      <c r="AM2272" s="4">
        <v>52</v>
      </c>
      <c r="AN2272" s="4">
        <v>0</v>
      </c>
      <c r="AO2272" s="4">
        <v>0</v>
      </c>
      <c r="AP2272" s="4">
        <v>6</v>
      </c>
      <c r="AQ2272" s="4">
        <v>28</v>
      </c>
      <c r="AR2272" s="3" t="s">
        <v>62</v>
      </c>
      <c r="AS2272" s="3" t="s">
        <v>62</v>
      </c>
      <c r="AT2272" s="3" t="s">
        <v>62</v>
      </c>
      <c r="AV2272" s="6" t="str">
        <f>HYPERLINK("http://mcgill.on.worldcat.org/oclc/224621474","Catalog Record")</f>
        <v>Catalog Record</v>
      </c>
      <c r="AW2272" s="6" t="str">
        <f>HYPERLINK("http://www.worldcat.org/oclc/224621474","WorldCat Record")</f>
        <v>WorldCat Record</v>
      </c>
      <c r="AX2272" s="3" t="s">
        <v>22265</v>
      </c>
      <c r="AY2272" s="3" t="s">
        <v>22266</v>
      </c>
      <c r="AZ2272" s="3" t="s">
        <v>22267</v>
      </c>
      <c r="BA2272" s="3" t="s">
        <v>22267</v>
      </c>
      <c r="BB2272" s="3" t="s">
        <v>22268</v>
      </c>
      <c r="BC2272" s="3" t="s">
        <v>102</v>
      </c>
      <c r="BD2272" s="3" t="s">
        <v>68</v>
      </c>
      <c r="BE2272" s="3" t="s">
        <v>22269</v>
      </c>
      <c r="BF2272" s="3" t="s">
        <v>22268</v>
      </c>
      <c r="BG2272" s="3" t="s">
        <v>22270</v>
      </c>
    </row>
    <row r="2273" spans="1:59" ht="58" x14ac:dyDescent="0.35">
      <c r="A2273" s="2" t="s">
        <v>89</v>
      </c>
      <c r="B2273" s="2" t="s">
        <v>90</v>
      </c>
      <c r="C2273" s="2" t="s">
        <v>22271</v>
      </c>
      <c r="D2273" s="2" t="s">
        <v>22272</v>
      </c>
      <c r="E2273" s="2" t="s">
        <v>22273</v>
      </c>
      <c r="G2273" s="3" t="s">
        <v>62</v>
      </c>
      <c r="I2273" s="3" t="s">
        <v>62</v>
      </c>
      <c r="J2273" s="3" t="s">
        <v>62</v>
      </c>
      <c r="K2273" s="3" t="s">
        <v>63</v>
      </c>
      <c r="L2273" s="2" t="s">
        <v>22274</v>
      </c>
      <c r="M2273" s="2" t="s">
        <v>22275</v>
      </c>
      <c r="N2273" s="3" t="s">
        <v>87</v>
      </c>
      <c r="P2273" s="3" t="s">
        <v>64</v>
      </c>
      <c r="R2273" s="3" t="s">
        <v>13065</v>
      </c>
      <c r="S2273" s="4">
        <v>10</v>
      </c>
      <c r="T2273" s="4">
        <v>10</v>
      </c>
      <c r="U2273" s="5" t="s">
        <v>22276</v>
      </c>
      <c r="V2273" s="5" t="s">
        <v>22276</v>
      </c>
      <c r="W2273" s="5" t="s">
        <v>67</v>
      </c>
      <c r="X2273" s="5" t="s">
        <v>67</v>
      </c>
      <c r="Y2273" s="4">
        <v>134</v>
      </c>
      <c r="Z2273" s="4">
        <v>8</v>
      </c>
      <c r="AA2273" s="4">
        <v>8</v>
      </c>
      <c r="AB2273" s="4">
        <v>2</v>
      </c>
      <c r="AC2273" s="4">
        <v>2</v>
      </c>
      <c r="AD2273" s="4">
        <v>36</v>
      </c>
      <c r="AE2273" s="4">
        <v>36</v>
      </c>
      <c r="AF2273" s="4">
        <v>1</v>
      </c>
      <c r="AG2273" s="4">
        <v>1</v>
      </c>
      <c r="AH2273" s="4">
        <v>31</v>
      </c>
      <c r="AI2273" s="4">
        <v>31</v>
      </c>
      <c r="AJ2273" s="4">
        <v>6</v>
      </c>
      <c r="AK2273" s="4">
        <v>6</v>
      </c>
      <c r="AL2273" s="4">
        <v>18</v>
      </c>
      <c r="AM2273" s="4">
        <v>18</v>
      </c>
      <c r="AN2273" s="4">
        <v>0</v>
      </c>
      <c r="AO2273" s="4">
        <v>0</v>
      </c>
      <c r="AP2273" s="4">
        <v>7</v>
      </c>
      <c r="AQ2273" s="4">
        <v>7</v>
      </c>
      <c r="AR2273" s="3" t="s">
        <v>62</v>
      </c>
      <c r="AS2273" s="3" t="s">
        <v>62</v>
      </c>
      <c r="AT2273" s="3" t="s">
        <v>61</v>
      </c>
      <c r="AU2273" s="6" t="str">
        <f>HYPERLINK("http://catalog.hathitrust.org/Record/000098231","HathiTrust Record")</f>
        <v>HathiTrust Record</v>
      </c>
      <c r="AV2273" s="6" t="str">
        <f>HYPERLINK("http://mcgill.on.worldcat.org/oclc/4056783","Catalog Record")</f>
        <v>Catalog Record</v>
      </c>
      <c r="AW2273" s="6" t="str">
        <f>HYPERLINK("http://www.worldcat.org/oclc/4056783","WorldCat Record")</f>
        <v>WorldCat Record</v>
      </c>
      <c r="AX2273" s="3" t="s">
        <v>22277</v>
      </c>
      <c r="AY2273" s="3" t="s">
        <v>22278</v>
      </c>
      <c r="AZ2273" s="3" t="s">
        <v>22279</v>
      </c>
      <c r="BA2273" s="3" t="s">
        <v>22279</v>
      </c>
      <c r="BB2273" s="3" t="s">
        <v>22280</v>
      </c>
      <c r="BC2273" s="3" t="s">
        <v>102</v>
      </c>
      <c r="BD2273" s="3" t="s">
        <v>68</v>
      </c>
      <c r="BE2273" s="3" t="s">
        <v>22281</v>
      </c>
      <c r="BF2273" s="3" t="s">
        <v>22280</v>
      </c>
      <c r="BG2273" s="3" t="s">
        <v>22282</v>
      </c>
    </row>
    <row r="2274" spans="1:59" ht="58" x14ac:dyDescent="0.35">
      <c r="A2274" s="2" t="s">
        <v>89</v>
      </c>
      <c r="B2274" s="2" t="s">
        <v>90</v>
      </c>
      <c r="C2274" s="2" t="s">
        <v>22283</v>
      </c>
      <c r="D2274" s="2" t="s">
        <v>22284</v>
      </c>
      <c r="E2274" s="2" t="s">
        <v>22285</v>
      </c>
      <c r="G2274" s="3" t="s">
        <v>62</v>
      </c>
      <c r="I2274" s="3" t="s">
        <v>61</v>
      </c>
      <c r="J2274" s="3" t="s">
        <v>61</v>
      </c>
      <c r="K2274" s="3" t="s">
        <v>63</v>
      </c>
      <c r="L2274" s="2" t="s">
        <v>22286</v>
      </c>
      <c r="M2274" s="2" t="s">
        <v>22287</v>
      </c>
      <c r="N2274" s="3" t="s">
        <v>524</v>
      </c>
      <c r="P2274" s="3" t="s">
        <v>64</v>
      </c>
      <c r="R2274" s="3" t="s">
        <v>13065</v>
      </c>
      <c r="S2274" s="4">
        <v>326</v>
      </c>
      <c r="T2274" s="4">
        <v>994</v>
      </c>
      <c r="U2274" s="5" t="s">
        <v>22288</v>
      </c>
      <c r="V2274" s="5" t="s">
        <v>12137</v>
      </c>
      <c r="W2274" s="5" t="s">
        <v>67</v>
      </c>
      <c r="X2274" s="5" t="s">
        <v>67</v>
      </c>
      <c r="Y2274" s="4">
        <v>86</v>
      </c>
      <c r="Z2274" s="4">
        <v>5</v>
      </c>
      <c r="AA2274" s="4">
        <v>16</v>
      </c>
      <c r="AB2274" s="4">
        <v>1</v>
      </c>
      <c r="AC2274" s="4">
        <v>3</v>
      </c>
      <c r="AD2274" s="4">
        <v>13</v>
      </c>
      <c r="AE2274" s="4">
        <v>40</v>
      </c>
      <c r="AF2274" s="4">
        <v>0</v>
      </c>
      <c r="AG2274" s="4">
        <v>2</v>
      </c>
      <c r="AH2274" s="4">
        <v>11</v>
      </c>
      <c r="AI2274" s="4">
        <v>33</v>
      </c>
      <c r="AJ2274" s="4">
        <v>2</v>
      </c>
      <c r="AK2274" s="4">
        <v>10</v>
      </c>
      <c r="AL2274" s="4">
        <v>8</v>
      </c>
      <c r="AM2274" s="4">
        <v>17</v>
      </c>
      <c r="AN2274" s="4">
        <v>0</v>
      </c>
      <c r="AO2274" s="4">
        <v>0</v>
      </c>
      <c r="AP2274" s="4">
        <v>3</v>
      </c>
      <c r="AQ2274" s="4">
        <v>14</v>
      </c>
      <c r="AR2274" s="3" t="s">
        <v>62</v>
      </c>
      <c r="AS2274" s="3" t="s">
        <v>62</v>
      </c>
      <c r="AT2274" s="3" t="s">
        <v>62</v>
      </c>
      <c r="AV2274" s="6" t="str">
        <f>HYPERLINK("http://mcgill.on.worldcat.org/oclc/30701816","Catalog Record")</f>
        <v>Catalog Record</v>
      </c>
      <c r="AW2274" s="6" t="str">
        <f>HYPERLINK("http://www.worldcat.org/oclc/30701816","WorldCat Record")</f>
        <v>WorldCat Record</v>
      </c>
      <c r="AX2274" s="3" t="s">
        <v>22289</v>
      </c>
      <c r="AY2274" s="3" t="s">
        <v>22290</v>
      </c>
      <c r="AZ2274" s="3" t="s">
        <v>22291</v>
      </c>
      <c r="BA2274" s="3" t="s">
        <v>22291</v>
      </c>
      <c r="BB2274" s="3" t="s">
        <v>22292</v>
      </c>
      <c r="BC2274" s="3" t="s">
        <v>102</v>
      </c>
      <c r="BD2274" s="3" t="s">
        <v>68</v>
      </c>
      <c r="BE2274" s="3" t="s">
        <v>22293</v>
      </c>
      <c r="BF2274" s="3" t="s">
        <v>22292</v>
      </c>
      <c r="BG2274" s="3" t="s">
        <v>22294</v>
      </c>
    </row>
    <row r="2275" spans="1:59" ht="58" x14ac:dyDescent="0.35">
      <c r="A2275" s="2" t="s">
        <v>89</v>
      </c>
      <c r="B2275" s="2" t="s">
        <v>90</v>
      </c>
      <c r="C2275" s="2" t="s">
        <v>22283</v>
      </c>
      <c r="D2275" s="2" t="s">
        <v>22284</v>
      </c>
      <c r="E2275" s="2" t="s">
        <v>22285</v>
      </c>
      <c r="G2275" s="3" t="s">
        <v>62</v>
      </c>
      <c r="I2275" s="3" t="s">
        <v>61</v>
      </c>
      <c r="J2275" s="3" t="s">
        <v>61</v>
      </c>
      <c r="K2275" s="3" t="s">
        <v>63</v>
      </c>
      <c r="L2275" s="2" t="s">
        <v>22286</v>
      </c>
      <c r="M2275" s="2" t="s">
        <v>22287</v>
      </c>
      <c r="N2275" s="3" t="s">
        <v>524</v>
      </c>
      <c r="P2275" s="3" t="s">
        <v>64</v>
      </c>
      <c r="R2275" s="3" t="s">
        <v>13065</v>
      </c>
      <c r="S2275" s="4">
        <v>333</v>
      </c>
      <c r="T2275" s="4">
        <v>994</v>
      </c>
      <c r="U2275" s="5" t="s">
        <v>22295</v>
      </c>
      <c r="V2275" s="5" t="s">
        <v>12137</v>
      </c>
      <c r="W2275" s="5" t="s">
        <v>67</v>
      </c>
      <c r="X2275" s="5" t="s">
        <v>67</v>
      </c>
      <c r="Y2275" s="4">
        <v>86</v>
      </c>
      <c r="Z2275" s="4">
        <v>5</v>
      </c>
      <c r="AA2275" s="4">
        <v>16</v>
      </c>
      <c r="AB2275" s="4">
        <v>1</v>
      </c>
      <c r="AC2275" s="4">
        <v>3</v>
      </c>
      <c r="AD2275" s="4">
        <v>13</v>
      </c>
      <c r="AE2275" s="4">
        <v>40</v>
      </c>
      <c r="AF2275" s="4">
        <v>0</v>
      </c>
      <c r="AG2275" s="4">
        <v>2</v>
      </c>
      <c r="AH2275" s="4">
        <v>11</v>
      </c>
      <c r="AI2275" s="4">
        <v>33</v>
      </c>
      <c r="AJ2275" s="4">
        <v>2</v>
      </c>
      <c r="AK2275" s="4">
        <v>10</v>
      </c>
      <c r="AL2275" s="4">
        <v>8</v>
      </c>
      <c r="AM2275" s="4">
        <v>17</v>
      </c>
      <c r="AN2275" s="4">
        <v>0</v>
      </c>
      <c r="AO2275" s="4">
        <v>0</v>
      </c>
      <c r="AP2275" s="4">
        <v>3</v>
      </c>
      <c r="AQ2275" s="4">
        <v>14</v>
      </c>
      <c r="AR2275" s="3" t="s">
        <v>62</v>
      </c>
      <c r="AS2275" s="3" t="s">
        <v>62</v>
      </c>
      <c r="AT2275" s="3" t="s">
        <v>62</v>
      </c>
      <c r="AV2275" s="6" t="str">
        <f>HYPERLINK("http://mcgill.on.worldcat.org/oclc/30701816","Catalog Record")</f>
        <v>Catalog Record</v>
      </c>
      <c r="AW2275" s="6" t="str">
        <f>HYPERLINK("http://www.worldcat.org/oclc/30701816","WorldCat Record")</f>
        <v>WorldCat Record</v>
      </c>
      <c r="AX2275" s="3" t="s">
        <v>22289</v>
      </c>
      <c r="AY2275" s="3" t="s">
        <v>22290</v>
      </c>
      <c r="AZ2275" s="3" t="s">
        <v>22291</v>
      </c>
      <c r="BA2275" s="3" t="s">
        <v>22291</v>
      </c>
      <c r="BB2275" s="3" t="s">
        <v>22296</v>
      </c>
      <c r="BC2275" s="3" t="s">
        <v>102</v>
      </c>
      <c r="BD2275" s="3" t="s">
        <v>68</v>
      </c>
      <c r="BE2275" s="3" t="s">
        <v>22293</v>
      </c>
      <c r="BF2275" s="3" t="s">
        <v>22296</v>
      </c>
      <c r="BG2275" s="3" t="s">
        <v>22297</v>
      </c>
    </row>
    <row r="2276" spans="1:59" ht="58" x14ac:dyDescent="0.35">
      <c r="A2276" s="2" t="s">
        <v>89</v>
      </c>
      <c r="B2276" s="2" t="s">
        <v>90</v>
      </c>
      <c r="C2276" s="2" t="s">
        <v>22283</v>
      </c>
      <c r="D2276" s="2" t="s">
        <v>22284</v>
      </c>
      <c r="E2276" s="2" t="s">
        <v>22285</v>
      </c>
      <c r="G2276" s="3" t="s">
        <v>62</v>
      </c>
      <c r="I2276" s="3" t="s">
        <v>61</v>
      </c>
      <c r="J2276" s="3" t="s">
        <v>61</v>
      </c>
      <c r="K2276" s="3" t="s">
        <v>63</v>
      </c>
      <c r="L2276" s="2" t="s">
        <v>22286</v>
      </c>
      <c r="M2276" s="2" t="s">
        <v>22287</v>
      </c>
      <c r="N2276" s="3" t="s">
        <v>524</v>
      </c>
      <c r="P2276" s="3" t="s">
        <v>64</v>
      </c>
      <c r="R2276" s="3" t="s">
        <v>13065</v>
      </c>
      <c r="S2276" s="4">
        <v>315</v>
      </c>
      <c r="T2276" s="4">
        <v>994</v>
      </c>
      <c r="U2276" s="5" t="s">
        <v>12137</v>
      </c>
      <c r="V2276" s="5" t="s">
        <v>12137</v>
      </c>
      <c r="W2276" s="5" t="s">
        <v>67</v>
      </c>
      <c r="X2276" s="5" t="s">
        <v>67</v>
      </c>
      <c r="Y2276" s="4">
        <v>86</v>
      </c>
      <c r="Z2276" s="4">
        <v>5</v>
      </c>
      <c r="AA2276" s="4">
        <v>16</v>
      </c>
      <c r="AB2276" s="4">
        <v>1</v>
      </c>
      <c r="AC2276" s="4">
        <v>3</v>
      </c>
      <c r="AD2276" s="4">
        <v>13</v>
      </c>
      <c r="AE2276" s="4">
        <v>40</v>
      </c>
      <c r="AF2276" s="4">
        <v>0</v>
      </c>
      <c r="AG2276" s="4">
        <v>2</v>
      </c>
      <c r="AH2276" s="4">
        <v>11</v>
      </c>
      <c r="AI2276" s="4">
        <v>33</v>
      </c>
      <c r="AJ2276" s="4">
        <v>2</v>
      </c>
      <c r="AK2276" s="4">
        <v>10</v>
      </c>
      <c r="AL2276" s="4">
        <v>8</v>
      </c>
      <c r="AM2276" s="4">
        <v>17</v>
      </c>
      <c r="AN2276" s="4">
        <v>0</v>
      </c>
      <c r="AO2276" s="4">
        <v>0</v>
      </c>
      <c r="AP2276" s="4">
        <v>3</v>
      </c>
      <c r="AQ2276" s="4">
        <v>14</v>
      </c>
      <c r="AR2276" s="3" t="s">
        <v>62</v>
      </c>
      <c r="AS2276" s="3" t="s">
        <v>62</v>
      </c>
      <c r="AT2276" s="3" t="s">
        <v>62</v>
      </c>
      <c r="AV2276" s="6" t="str">
        <f>HYPERLINK("http://mcgill.on.worldcat.org/oclc/30701816","Catalog Record")</f>
        <v>Catalog Record</v>
      </c>
      <c r="AW2276" s="6" t="str">
        <f>HYPERLINK("http://www.worldcat.org/oclc/30701816","WorldCat Record")</f>
        <v>WorldCat Record</v>
      </c>
      <c r="AX2276" s="3" t="s">
        <v>22289</v>
      </c>
      <c r="AY2276" s="3" t="s">
        <v>22290</v>
      </c>
      <c r="AZ2276" s="3" t="s">
        <v>22291</v>
      </c>
      <c r="BA2276" s="3" t="s">
        <v>22291</v>
      </c>
      <c r="BB2276" s="3" t="s">
        <v>22298</v>
      </c>
      <c r="BC2276" s="3" t="s">
        <v>102</v>
      </c>
      <c r="BD2276" s="3" t="s">
        <v>68</v>
      </c>
      <c r="BE2276" s="3" t="s">
        <v>22293</v>
      </c>
      <c r="BF2276" s="3" t="s">
        <v>22298</v>
      </c>
      <c r="BG2276" s="3" t="s">
        <v>22299</v>
      </c>
    </row>
    <row r="2277" spans="1:59" ht="58" x14ac:dyDescent="0.35">
      <c r="A2277" s="2" t="s">
        <v>89</v>
      </c>
      <c r="B2277" s="2" t="s">
        <v>90</v>
      </c>
      <c r="C2277" s="2" t="s">
        <v>22283</v>
      </c>
      <c r="D2277" s="2" t="s">
        <v>22284</v>
      </c>
      <c r="E2277" s="2" t="s">
        <v>22285</v>
      </c>
      <c r="G2277" s="3" t="s">
        <v>62</v>
      </c>
      <c r="I2277" s="3" t="s">
        <v>61</v>
      </c>
      <c r="J2277" s="3" t="s">
        <v>61</v>
      </c>
      <c r="K2277" s="3" t="s">
        <v>63</v>
      </c>
      <c r="L2277" s="2" t="s">
        <v>22286</v>
      </c>
      <c r="M2277" s="2" t="s">
        <v>22287</v>
      </c>
      <c r="N2277" s="3" t="s">
        <v>524</v>
      </c>
      <c r="P2277" s="3" t="s">
        <v>64</v>
      </c>
      <c r="R2277" s="3" t="s">
        <v>13065</v>
      </c>
      <c r="S2277" s="4">
        <v>20</v>
      </c>
      <c r="T2277" s="4">
        <v>994</v>
      </c>
      <c r="U2277" s="5" t="s">
        <v>22300</v>
      </c>
      <c r="V2277" s="5" t="s">
        <v>12137</v>
      </c>
      <c r="W2277" s="5" t="s">
        <v>67</v>
      </c>
      <c r="X2277" s="5" t="s">
        <v>67</v>
      </c>
      <c r="Y2277" s="4">
        <v>86</v>
      </c>
      <c r="Z2277" s="4">
        <v>5</v>
      </c>
      <c r="AA2277" s="4">
        <v>16</v>
      </c>
      <c r="AB2277" s="4">
        <v>1</v>
      </c>
      <c r="AC2277" s="4">
        <v>3</v>
      </c>
      <c r="AD2277" s="4">
        <v>13</v>
      </c>
      <c r="AE2277" s="4">
        <v>40</v>
      </c>
      <c r="AF2277" s="4">
        <v>0</v>
      </c>
      <c r="AG2277" s="4">
        <v>2</v>
      </c>
      <c r="AH2277" s="4">
        <v>11</v>
      </c>
      <c r="AI2277" s="4">
        <v>33</v>
      </c>
      <c r="AJ2277" s="4">
        <v>2</v>
      </c>
      <c r="AK2277" s="4">
        <v>10</v>
      </c>
      <c r="AL2277" s="4">
        <v>8</v>
      </c>
      <c r="AM2277" s="4">
        <v>17</v>
      </c>
      <c r="AN2277" s="4">
        <v>0</v>
      </c>
      <c r="AO2277" s="4">
        <v>0</v>
      </c>
      <c r="AP2277" s="4">
        <v>3</v>
      </c>
      <c r="AQ2277" s="4">
        <v>14</v>
      </c>
      <c r="AR2277" s="3" t="s">
        <v>62</v>
      </c>
      <c r="AS2277" s="3" t="s">
        <v>62</v>
      </c>
      <c r="AT2277" s="3" t="s">
        <v>62</v>
      </c>
      <c r="AV2277" s="6" t="str">
        <f>HYPERLINK("http://mcgill.on.worldcat.org/oclc/30701816","Catalog Record")</f>
        <v>Catalog Record</v>
      </c>
      <c r="AW2277" s="6" t="str">
        <f>HYPERLINK("http://www.worldcat.org/oclc/30701816","WorldCat Record")</f>
        <v>WorldCat Record</v>
      </c>
      <c r="AX2277" s="3" t="s">
        <v>22289</v>
      </c>
      <c r="AY2277" s="3" t="s">
        <v>22290</v>
      </c>
      <c r="AZ2277" s="3" t="s">
        <v>22291</v>
      </c>
      <c r="BA2277" s="3" t="s">
        <v>22291</v>
      </c>
      <c r="BB2277" s="3" t="s">
        <v>22301</v>
      </c>
      <c r="BC2277" s="3" t="s">
        <v>102</v>
      </c>
      <c r="BD2277" s="3" t="s">
        <v>68</v>
      </c>
      <c r="BE2277" s="3" t="s">
        <v>22293</v>
      </c>
      <c r="BF2277" s="3" t="s">
        <v>22301</v>
      </c>
      <c r="BG2277" s="3" t="s">
        <v>22302</v>
      </c>
    </row>
    <row r="2278" spans="1:59" ht="58" x14ac:dyDescent="0.35">
      <c r="A2278" s="2" t="s">
        <v>89</v>
      </c>
      <c r="B2278" s="2" t="s">
        <v>90</v>
      </c>
      <c r="C2278" s="2" t="s">
        <v>22303</v>
      </c>
      <c r="D2278" s="2" t="s">
        <v>22304</v>
      </c>
      <c r="E2278" s="2" t="s">
        <v>22285</v>
      </c>
      <c r="G2278" s="3" t="s">
        <v>62</v>
      </c>
      <c r="I2278" s="3" t="s">
        <v>61</v>
      </c>
      <c r="J2278" s="3" t="s">
        <v>61</v>
      </c>
      <c r="K2278" s="3" t="s">
        <v>63</v>
      </c>
      <c r="L2278" s="2" t="s">
        <v>22286</v>
      </c>
      <c r="M2278" s="2" t="s">
        <v>22305</v>
      </c>
      <c r="N2278" s="3" t="s">
        <v>539</v>
      </c>
      <c r="O2278" s="2" t="s">
        <v>2986</v>
      </c>
      <c r="P2278" s="3" t="s">
        <v>64</v>
      </c>
      <c r="R2278" s="3" t="s">
        <v>13065</v>
      </c>
      <c r="S2278" s="4">
        <v>145</v>
      </c>
      <c r="T2278" s="4">
        <v>338</v>
      </c>
      <c r="U2278" s="5" t="s">
        <v>22306</v>
      </c>
      <c r="V2278" s="5" t="s">
        <v>10168</v>
      </c>
      <c r="W2278" s="5" t="s">
        <v>67</v>
      </c>
      <c r="X2278" s="5" t="s">
        <v>67</v>
      </c>
      <c r="Y2278" s="4">
        <v>122</v>
      </c>
      <c r="Z2278" s="4">
        <v>12</v>
      </c>
      <c r="AA2278" s="4">
        <v>16</v>
      </c>
      <c r="AB2278" s="4">
        <v>1</v>
      </c>
      <c r="AC2278" s="4">
        <v>3</v>
      </c>
      <c r="AD2278" s="4">
        <v>29</v>
      </c>
      <c r="AE2278" s="4">
        <v>40</v>
      </c>
      <c r="AF2278" s="4">
        <v>0</v>
      </c>
      <c r="AG2278" s="4">
        <v>2</v>
      </c>
      <c r="AH2278" s="4">
        <v>25</v>
      </c>
      <c r="AI2278" s="4">
        <v>33</v>
      </c>
      <c r="AJ2278" s="4">
        <v>8</v>
      </c>
      <c r="AK2278" s="4">
        <v>10</v>
      </c>
      <c r="AL2278" s="4">
        <v>12</v>
      </c>
      <c r="AM2278" s="4">
        <v>17</v>
      </c>
      <c r="AN2278" s="4">
        <v>0</v>
      </c>
      <c r="AO2278" s="4">
        <v>0</v>
      </c>
      <c r="AP2278" s="4">
        <v>10</v>
      </c>
      <c r="AQ2278" s="4">
        <v>14</v>
      </c>
      <c r="AR2278" s="3" t="s">
        <v>62</v>
      </c>
      <c r="AS2278" s="3" t="s">
        <v>62</v>
      </c>
      <c r="AT2278" s="3" t="s">
        <v>62</v>
      </c>
      <c r="AV2278" s="6" t="str">
        <f>HYPERLINK("http://mcgill.on.worldcat.org/oclc/36498954","Catalog Record")</f>
        <v>Catalog Record</v>
      </c>
      <c r="AW2278" s="6" t="str">
        <f>HYPERLINK("http://www.worldcat.org/oclc/36498954","WorldCat Record")</f>
        <v>WorldCat Record</v>
      </c>
      <c r="AX2278" s="3" t="s">
        <v>22289</v>
      </c>
      <c r="AY2278" s="3" t="s">
        <v>22307</v>
      </c>
      <c r="AZ2278" s="3" t="s">
        <v>22308</v>
      </c>
      <c r="BA2278" s="3" t="s">
        <v>22308</v>
      </c>
      <c r="BB2278" s="3" t="s">
        <v>22309</v>
      </c>
      <c r="BC2278" s="3" t="s">
        <v>102</v>
      </c>
      <c r="BD2278" s="3" t="s">
        <v>68</v>
      </c>
      <c r="BE2278" s="3" t="s">
        <v>22310</v>
      </c>
      <c r="BF2278" s="3" t="s">
        <v>22309</v>
      </c>
      <c r="BG2278" s="3" t="s">
        <v>22311</v>
      </c>
    </row>
    <row r="2279" spans="1:59" ht="58" x14ac:dyDescent="0.35">
      <c r="A2279" s="2" t="s">
        <v>89</v>
      </c>
      <c r="B2279" s="2" t="s">
        <v>90</v>
      </c>
      <c r="C2279" s="2" t="s">
        <v>22303</v>
      </c>
      <c r="D2279" s="2" t="s">
        <v>22304</v>
      </c>
      <c r="E2279" s="2" t="s">
        <v>22285</v>
      </c>
      <c r="G2279" s="3" t="s">
        <v>62</v>
      </c>
      <c r="I2279" s="3" t="s">
        <v>61</v>
      </c>
      <c r="J2279" s="3" t="s">
        <v>61</v>
      </c>
      <c r="K2279" s="3" t="s">
        <v>63</v>
      </c>
      <c r="L2279" s="2" t="s">
        <v>22286</v>
      </c>
      <c r="M2279" s="2" t="s">
        <v>22305</v>
      </c>
      <c r="N2279" s="3" t="s">
        <v>539</v>
      </c>
      <c r="O2279" s="2" t="s">
        <v>2986</v>
      </c>
      <c r="P2279" s="3" t="s">
        <v>64</v>
      </c>
      <c r="R2279" s="3" t="s">
        <v>13065</v>
      </c>
      <c r="S2279" s="4">
        <v>193</v>
      </c>
      <c r="T2279" s="4">
        <v>338</v>
      </c>
      <c r="U2279" s="5" t="s">
        <v>10168</v>
      </c>
      <c r="V2279" s="5" t="s">
        <v>10168</v>
      </c>
      <c r="W2279" s="5" t="s">
        <v>67</v>
      </c>
      <c r="X2279" s="5" t="s">
        <v>67</v>
      </c>
      <c r="Y2279" s="4">
        <v>122</v>
      </c>
      <c r="Z2279" s="4">
        <v>12</v>
      </c>
      <c r="AA2279" s="4">
        <v>16</v>
      </c>
      <c r="AB2279" s="4">
        <v>1</v>
      </c>
      <c r="AC2279" s="4">
        <v>3</v>
      </c>
      <c r="AD2279" s="4">
        <v>29</v>
      </c>
      <c r="AE2279" s="4">
        <v>40</v>
      </c>
      <c r="AF2279" s="4">
        <v>0</v>
      </c>
      <c r="AG2279" s="4">
        <v>2</v>
      </c>
      <c r="AH2279" s="4">
        <v>25</v>
      </c>
      <c r="AI2279" s="4">
        <v>33</v>
      </c>
      <c r="AJ2279" s="4">
        <v>8</v>
      </c>
      <c r="AK2279" s="4">
        <v>10</v>
      </c>
      <c r="AL2279" s="4">
        <v>12</v>
      </c>
      <c r="AM2279" s="4">
        <v>17</v>
      </c>
      <c r="AN2279" s="4">
        <v>0</v>
      </c>
      <c r="AO2279" s="4">
        <v>0</v>
      </c>
      <c r="AP2279" s="4">
        <v>10</v>
      </c>
      <c r="AQ2279" s="4">
        <v>14</v>
      </c>
      <c r="AR2279" s="3" t="s">
        <v>62</v>
      </c>
      <c r="AS2279" s="3" t="s">
        <v>62</v>
      </c>
      <c r="AT2279" s="3" t="s">
        <v>62</v>
      </c>
      <c r="AV2279" s="6" t="str">
        <f>HYPERLINK("http://mcgill.on.worldcat.org/oclc/36498954","Catalog Record")</f>
        <v>Catalog Record</v>
      </c>
      <c r="AW2279" s="6" t="str">
        <f>HYPERLINK("http://www.worldcat.org/oclc/36498954","WorldCat Record")</f>
        <v>WorldCat Record</v>
      </c>
      <c r="AX2279" s="3" t="s">
        <v>22289</v>
      </c>
      <c r="AY2279" s="3" t="s">
        <v>22307</v>
      </c>
      <c r="AZ2279" s="3" t="s">
        <v>22308</v>
      </c>
      <c r="BA2279" s="3" t="s">
        <v>22308</v>
      </c>
      <c r="BB2279" s="3" t="s">
        <v>22312</v>
      </c>
      <c r="BC2279" s="3" t="s">
        <v>102</v>
      </c>
      <c r="BD2279" s="3" t="s">
        <v>68</v>
      </c>
      <c r="BE2279" s="3" t="s">
        <v>22310</v>
      </c>
      <c r="BF2279" s="3" t="s">
        <v>22312</v>
      </c>
      <c r="BG2279" s="3" t="s">
        <v>22313</v>
      </c>
    </row>
    <row r="2280" spans="1:59" ht="72.5" x14ac:dyDescent="0.35">
      <c r="A2280" s="2" t="s">
        <v>89</v>
      </c>
      <c r="B2280" s="2" t="s">
        <v>90</v>
      </c>
      <c r="C2280" s="2" t="s">
        <v>22314</v>
      </c>
      <c r="D2280" s="2" t="s">
        <v>22315</v>
      </c>
      <c r="E2280" s="2" t="s">
        <v>22316</v>
      </c>
      <c r="F2280" s="3" t="s">
        <v>13127</v>
      </c>
      <c r="G2280" s="3" t="s">
        <v>62</v>
      </c>
      <c r="I2280" s="3" t="s">
        <v>61</v>
      </c>
      <c r="J2280" s="3" t="s">
        <v>61</v>
      </c>
      <c r="K2280" s="3" t="s">
        <v>63</v>
      </c>
      <c r="L2280" s="2" t="s">
        <v>22317</v>
      </c>
      <c r="M2280" s="2" t="s">
        <v>22318</v>
      </c>
      <c r="N2280" s="3" t="s">
        <v>568</v>
      </c>
      <c r="O2280" s="2" t="s">
        <v>22319</v>
      </c>
      <c r="P2280" s="3" t="s">
        <v>64</v>
      </c>
      <c r="R2280" s="3" t="s">
        <v>13065</v>
      </c>
      <c r="S2280" s="4">
        <v>229</v>
      </c>
      <c r="T2280" s="4">
        <v>421</v>
      </c>
      <c r="U2280" s="5" t="s">
        <v>22320</v>
      </c>
      <c r="V2280" s="5" t="s">
        <v>22320</v>
      </c>
      <c r="W2280" s="5" t="s">
        <v>67</v>
      </c>
      <c r="X2280" s="5" t="s">
        <v>67</v>
      </c>
      <c r="Y2280" s="4">
        <v>159</v>
      </c>
      <c r="Z2280" s="4">
        <v>7</v>
      </c>
      <c r="AA2280" s="4">
        <v>47</v>
      </c>
      <c r="AB2280" s="4">
        <v>1</v>
      </c>
      <c r="AC2280" s="4">
        <v>4</v>
      </c>
      <c r="AD2280" s="4">
        <v>15</v>
      </c>
      <c r="AE2280" s="4">
        <v>95</v>
      </c>
      <c r="AF2280" s="4">
        <v>0</v>
      </c>
      <c r="AG2280" s="4">
        <v>1</v>
      </c>
      <c r="AH2280" s="4">
        <v>10</v>
      </c>
      <c r="AI2280" s="4">
        <v>72</v>
      </c>
      <c r="AJ2280" s="4">
        <v>0</v>
      </c>
      <c r="AK2280" s="4">
        <v>17</v>
      </c>
      <c r="AL2280" s="4">
        <v>6</v>
      </c>
      <c r="AM2280" s="4">
        <v>38</v>
      </c>
      <c r="AN2280" s="4">
        <v>0</v>
      </c>
      <c r="AO2280" s="4">
        <v>5</v>
      </c>
      <c r="AP2280" s="4">
        <v>4</v>
      </c>
      <c r="AQ2280" s="4">
        <v>31</v>
      </c>
      <c r="AR2280" s="3" t="s">
        <v>62</v>
      </c>
      <c r="AS2280" s="3" t="s">
        <v>62</v>
      </c>
      <c r="AT2280" s="3" t="s">
        <v>62</v>
      </c>
      <c r="AV2280" s="6" t="str">
        <f>HYPERLINK("http://mcgill.on.worldcat.org/oclc/41142954","Catalog Record")</f>
        <v>Catalog Record</v>
      </c>
      <c r="AW2280" s="6" t="str">
        <f>HYPERLINK("http://www.worldcat.org/oclc/41142954","WorldCat Record")</f>
        <v>WorldCat Record</v>
      </c>
      <c r="AX2280" s="3" t="s">
        <v>22321</v>
      </c>
      <c r="AY2280" s="3" t="s">
        <v>22322</v>
      </c>
      <c r="AZ2280" s="3" t="s">
        <v>22323</v>
      </c>
      <c r="BA2280" s="3" t="s">
        <v>22323</v>
      </c>
      <c r="BB2280" s="3" t="s">
        <v>22324</v>
      </c>
      <c r="BC2280" s="3" t="s">
        <v>102</v>
      </c>
      <c r="BD2280" s="3" t="s">
        <v>231</v>
      </c>
      <c r="BE2280" s="3" t="s">
        <v>22325</v>
      </c>
      <c r="BF2280" s="3" t="s">
        <v>22324</v>
      </c>
      <c r="BG2280" s="3" t="s">
        <v>22326</v>
      </c>
    </row>
    <row r="2281" spans="1:59" ht="72.5" x14ac:dyDescent="0.35">
      <c r="A2281" s="2" t="s">
        <v>89</v>
      </c>
      <c r="B2281" s="2" t="s">
        <v>90</v>
      </c>
      <c r="C2281" s="2" t="s">
        <v>22314</v>
      </c>
      <c r="D2281" s="2" t="s">
        <v>22315</v>
      </c>
      <c r="E2281" s="2" t="s">
        <v>22316</v>
      </c>
      <c r="F2281" s="3" t="s">
        <v>13127</v>
      </c>
      <c r="G2281" s="3" t="s">
        <v>62</v>
      </c>
      <c r="I2281" s="3" t="s">
        <v>61</v>
      </c>
      <c r="J2281" s="3" t="s">
        <v>61</v>
      </c>
      <c r="K2281" s="3" t="s">
        <v>63</v>
      </c>
      <c r="L2281" s="2" t="s">
        <v>22317</v>
      </c>
      <c r="M2281" s="2" t="s">
        <v>22318</v>
      </c>
      <c r="N2281" s="3" t="s">
        <v>568</v>
      </c>
      <c r="O2281" s="2" t="s">
        <v>22319</v>
      </c>
      <c r="P2281" s="3" t="s">
        <v>64</v>
      </c>
      <c r="R2281" s="3" t="s">
        <v>13065</v>
      </c>
      <c r="S2281" s="4">
        <v>192</v>
      </c>
      <c r="T2281" s="4">
        <v>421</v>
      </c>
      <c r="U2281" s="5" t="s">
        <v>22276</v>
      </c>
      <c r="V2281" s="5" t="s">
        <v>22320</v>
      </c>
      <c r="W2281" s="5" t="s">
        <v>67</v>
      </c>
      <c r="X2281" s="5" t="s">
        <v>67</v>
      </c>
      <c r="Y2281" s="4">
        <v>159</v>
      </c>
      <c r="Z2281" s="4">
        <v>7</v>
      </c>
      <c r="AA2281" s="4">
        <v>47</v>
      </c>
      <c r="AB2281" s="4">
        <v>1</v>
      </c>
      <c r="AC2281" s="4">
        <v>4</v>
      </c>
      <c r="AD2281" s="4">
        <v>15</v>
      </c>
      <c r="AE2281" s="4">
        <v>95</v>
      </c>
      <c r="AF2281" s="4">
        <v>0</v>
      </c>
      <c r="AG2281" s="4">
        <v>1</v>
      </c>
      <c r="AH2281" s="4">
        <v>10</v>
      </c>
      <c r="AI2281" s="4">
        <v>72</v>
      </c>
      <c r="AJ2281" s="4">
        <v>0</v>
      </c>
      <c r="AK2281" s="4">
        <v>17</v>
      </c>
      <c r="AL2281" s="4">
        <v>6</v>
      </c>
      <c r="AM2281" s="4">
        <v>38</v>
      </c>
      <c r="AN2281" s="4">
        <v>0</v>
      </c>
      <c r="AO2281" s="4">
        <v>5</v>
      </c>
      <c r="AP2281" s="4">
        <v>4</v>
      </c>
      <c r="AQ2281" s="4">
        <v>31</v>
      </c>
      <c r="AR2281" s="3" t="s">
        <v>62</v>
      </c>
      <c r="AS2281" s="3" t="s">
        <v>62</v>
      </c>
      <c r="AT2281" s="3" t="s">
        <v>62</v>
      </c>
      <c r="AV2281" s="6" t="str">
        <f>HYPERLINK("http://mcgill.on.worldcat.org/oclc/41142954","Catalog Record")</f>
        <v>Catalog Record</v>
      </c>
      <c r="AW2281" s="6" t="str">
        <f>HYPERLINK("http://www.worldcat.org/oclc/41142954","WorldCat Record")</f>
        <v>WorldCat Record</v>
      </c>
      <c r="AX2281" s="3" t="s">
        <v>22321</v>
      </c>
      <c r="AY2281" s="3" t="s">
        <v>22322</v>
      </c>
      <c r="AZ2281" s="3" t="s">
        <v>22323</v>
      </c>
      <c r="BA2281" s="3" t="s">
        <v>22323</v>
      </c>
      <c r="BB2281" s="3" t="s">
        <v>22327</v>
      </c>
      <c r="BC2281" s="3" t="s">
        <v>102</v>
      </c>
      <c r="BD2281" s="3" t="s">
        <v>68</v>
      </c>
      <c r="BE2281" s="3" t="s">
        <v>22325</v>
      </c>
      <c r="BF2281" s="3" t="s">
        <v>22327</v>
      </c>
      <c r="BG2281" s="3" t="s">
        <v>22328</v>
      </c>
    </row>
    <row r="2282" spans="1:59" ht="58" x14ac:dyDescent="0.35">
      <c r="A2282" s="2" t="s">
        <v>89</v>
      </c>
      <c r="B2282" s="2" t="s">
        <v>90</v>
      </c>
      <c r="C2282" s="2" t="s">
        <v>22329</v>
      </c>
      <c r="D2282" s="2" t="s">
        <v>22330</v>
      </c>
      <c r="E2282" s="2" t="s">
        <v>22331</v>
      </c>
      <c r="G2282" s="3" t="s">
        <v>62</v>
      </c>
      <c r="I2282" s="3" t="s">
        <v>61</v>
      </c>
      <c r="J2282" s="3" t="s">
        <v>62</v>
      </c>
      <c r="K2282" s="3" t="s">
        <v>63</v>
      </c>
      <c r="L2282" s="2" t="s">
        <v>22332</v>
      </c>
      <c r="M2282" s="2" t="s">
        <v>22333</v>
      </c>
      <c r="N2282" s="3" t="s">
        <v>115</v>
      </c>
      <c r="P2282" s="3" t="s">
        <v>64</v>
      </c>
      <c r="R2282" s="3" t="s">
        <v>13065</v>
      </c>
      <c r="S2282" s="4">
        <v>25</v>
      </c>
      <c r="T2282" s="4">
        <v>48</v>
      </c>
      <c r="U2282" s="5" t="s">
        <v>22334</v>
      </c>
      <c r="V2282" s="5" t="s">
        <v>8758</v>
      </c>
      <c r="W2282" s="5" t="s">
        <v>67</v>
      </c>
      <c r="X2282" s="5" t="s">
        <v>67</v>
      </c>
      <c r="Y2282" s="4">
        <v>160</v>
      </c>
      <c r="Z2282" s="4">
        <v>18</v>
      </c>
      <c r="AA2282" s="4">
        <v>36</v>
      </c>
      <c r="AB2282" s="4">
        <v>1</v>
      </c>
      <c r="AC2282" s="4">
        <v>9</v>
      </c>
      <c r="AD2282" s="4">
        <v>50</v>
      </c>
      <c r="AE2282" s="4">
        <v>92</v>
      </c>
      <c r="AF2282" s="4">
        <v>0</v>
      </c>
      <c r="AG2282" s="4">
        <v>4</v>
      </c>
      <c r="AH2282" s="4">
        <v>41</v>
      </c>
      <c r="AI2282" s="4">
        <v>73</v>
      </c>
      <c r="AJ2282" s="4">
        <v>11</v>
      </c>
      <c r="AK2282" s="4">
        <v>20</v>
      </c>
      <c r="AL2282" s="4">
        <v>21</v>
      </c>
      <c r="AM2282" s="4">
        <v>42</v>
      </c>
      <c r="AN2282" s="4">
        <v>0</v>
      </c>
      <c r="AO2282" s="4">
        <v>0</v>
      </c>
      <c r="AP2282" s="4">
        <v>16</v>
      </c>
      <c r="AQ2282" s="4">
        <v>26</v>
      </c>
      <c r="AR2282" s="3" t="s">
        <v>62</v>
      </c>
      <c r="AS2282" s="3" t="s">
        <v>62</v>
      </c>
      <c r="AT2282" s="3" t="s">
        <v>62</v>
      </c>
      <c r="AV2282" s="6" t="str">
        <f>HYPERLINK("http://mcgill.on.worldcat.org/oclc/20946342","Catalog Record")</f>
        <v>Catalog Record</v>
      </c>
      <c r="AW2282" s="6" t="str">
        <f>HYPERLINK("http://www.worldcat.org/oclc/20946342","WorldCat Record")</f>
        <v>WorldCat Record</v>
      </c>
      <c r="AX2282" s="3" t="s">
        <v>22335</v>
      </c>
      <c r="AY2282" s="3" t="s">
        <v>22336</v>
      </c>
      <c r="AZ2282" s="3" t="s">
        <v>22337</v>
      </c>
      <c r="BA2282" s="3" t="s">
        <v>22337</v>
      </c>
      <c r="BB2282" s="3" t="s">
        <v>22338</v>
      </c>
      <c r="BC2282" s="3" t="s">
        <v>102</v>
      </c>
      <c r="BD2282" s="3" t="s">
        <v>68</v>
      </c>
      <c r="BE2282" s="3" t="s">
        <v>22339</v>
      </c>
      <c r="BF2282" s="3" t="s">
        <v>22338</v>
      </c>
      <c r="BG2282" s="3" t="s">
        <v>22340</v>
      </c>
    </row>
    <row r="2283" spans="1:59" ht="58" x14ac:dyDescent="0.35">
      <c r="A2283" s="2" t="s">
        <v>89</v>
      </c>
      <c r="B2283" s="2" t="s">
        <v>90</v>
      </c>
      <c r="C2283" s="2" t="s">
        <v>22329</v>
      </c>
      <c r="D2283" s="2" t="s">
        <v>22330</v>
      </c>
      <c r="E2283" s="2" t="s">
        <v>22331</v>
      </c>
      <c r="G2283" s="3" t="s">
        <v>62</v>
      </c>
      <c r="I2283" s="3" t="s">
        <v>61</v>
      </c>
      <c r="J2283" s="3" t="s">
        <v>62</v>
      </c>
      <c r="K2283" s="3" t="s">
        <v>63</v>
      </c>
      <c r="L2283" s="2" t="s">
        <v>22332</v>
      </c>
      <c r="M2283" s="2" t="s">
        <v>22333</v>
      </c>
      <c r="N2283" s="3" t="s">
        <v>115</v>
      </c>
      <c r="P2283" s="3" t="s">
        <v>64</v>
      </c>
      <c r="R2283" s="3" t="s">
        <v>13065</v>
      </c>
      <c r="S2283" s="4">
        <v>23</v>
      </c>
      <c r="T2283" s="4">
        <v>48</v>
      </c>
      <c r="U2283" s="5" t="s">
        <v>8758</v>
      </c>
      <c r="V2283" s="5" t="s">
        <v>8758</v>
      </c>
      <c r="W2283" s="5" t="s">
        <v>67</v>
      </c>
      <c r="X2283" s="5" t="s">
        <v>67</v>
      </c>
      <c r="Y2283" s="4">
        <v>160</v>
      </c>
      <c r="Z2283" s="4">
        <v>18</v>
      </c>
      <c r="AA2283" s="4">
        <v>36</v>
      </c>
      <c r="AB2283" s="4">
        <v>1</v>
      </c>
      <c r="AC2283" s="4">
        <v>9</v>
      </c>
      <c r="AD2283" s="4">
        <v>50</v>
      </c>
      <c r="AE2283" s="4">
        <v>92</v>
      </c>
      <c r="AF2283" s="4">
        <v>0</v>
      </c>
      <c r="AG2283" s="4">
        <v>4</v>
      </c>
      <c r="AH2283" s="4">
        <v>41</v>
      </c>
      <c r="AI2283" s="4">
        <v>73</v>
      </c>
      <c r="AJ2283" s="4">
        <v>11</v>
      </c>
      <c r="AK2283" s="4">
        <v>20</v>
      </c>
      <c r="AL2283" s="4">
        <v>21</v>
      </c>
      <c r="AM2283" s="4">
        <v>42</v>
      </c>
      <c r="AN2283" s="4">
        <v>0</v>
      </c>
      <c r="AO2283" s="4">
        <v>0</v>
      </c>
      <c r="AP2283" s="4">
        <v>16</v>
      </c>
      <c r="AQ2283" s="4">
        <v>26</v>
      </c>
      <c r="AR2283" s="3" t="s">
        <v>62</v>
      </c>
      <c r="AS2283" s="3" t="s">
        <v>62</v>
      </c>
      <c r="AT2283" s="3" t="s">
        <v>62</v>
      </c>
      <c r="AV2283" s="6" t="str">
        <f>HYPERLINK("http://mcgill.on.worldcat.org/oclc/20946342","Catalog Record")</f>
        <v>Catalog Record</v>
      </c>
      <c r="AW2283" s="6" t="str">
        <f>HYPERLINK("http://www.worldcat.org/oclc/20946342","WorldCat Record")</f>
        <v>WorldCat Record</v>
      </c>
      <c r="AX2283" s="3" t="s">
        <v>22335</v>
      </c>
      <c r="AY2283" s="3" t="s">
        <v>22336</v>
      </c>
      <c r="AZ2283" s="3" t="s">
        <v>22337</v>
      </c>
      <c r="BA2283" s="3" t="s">
        <v>22337</v>
      </c>
      <c r="BB2283" s="3" t="s">
        <v>22341</v>
      </c>
      <c r="BC2283" s="3" t="s">
        <v>102</v>
      </c>
      <c r="BD2283" s="3" t="s">
        <v>68</v>
      </c>
      <c r="BE2283" s="3" t="s">
        <v>22339</v>
      </c>
      <c r="BF2283" s="3" t="s">
        <v>22341</v>
      </c>
      <c r="BG2283" s="3" t="s">
        <v>22342</v>
      </c>
    </row>
    <row r="2284" spans="1:59" ht="58" x14ac:dyDescent="0.35">
      <c r="A2284" s="2" t="s">
        <v>89</v>
      </c>
      <c r="B2284" s="2" t="s">
        <v>90</v>
      </c>
      <c r="C2284" s="2" t="s">
        <v>22343</v>
      </c>
      <c r="D2284" s="2" t="s">
        <v>22344</v>
      </c>
      <c r="E2284" s="2" t="s">
        <v>22345</v>
      </c>
      <c r="G2284" s="3" t="s">
        <v>62</v>
      </c>
      <c r="I2284" s="3" t="s">
        <v>62</v>
      </c>
      <c r="J2284" s="3" t="s">
        <v>62</v>
      </c>
      <c r="K2284" s="3" t="s">
        <v>63</v>
      </c>
      <c r="L2284" s="2" t="s">
        <v>22346</v>
      </c>
      <c r="M2284" s="2" t="s">
        <v>22347</v>
      </c>
      <c r="N2284" s="3" t="s">
        <v>625</v>
      </c>
      <c r="O2284" s="2" t="s">
        <v>22348</v>
      </c>
      <c r="P2284" s="3" t="s">
        <v>64</v>
      </c>
      <c r="R2284" s="3" t="s">
        <v>13065</v>
      </c>
      <c r="S2284" s="4">
        <v>28</v>
      </c>
      <c r="T2284" s="4">
        <v>28</v>
      </c>
      <c r="U2284" s="5" t="s">
        <v>11207</v>
      </c>
      <c r="V2284" s="5" t="s">
        <v>11207</v>
      </c>
      <c r="W2284" s="5" t="s">
        <v>67</v>
      </c>
      <c r="X2284" s="5" t="s">
        <v>67</v>
      </c>
      <c r="Y2284" s="4">
        <v>161</v>
      </c>
      <c r="Z2284" s="4">
        <v>9</v>
      </c>
      <c r="AA2284" s="4">
        <v>57</v>
      </c>
      <c r="AB2284" s="4">
        <v>1</v>
      </c>
      <c r="AC2284" s="4">
        <v>8</v>
      </c>
      <c r="AD2284" s="4">
        <v>24</v>
      </c>
      <c r="AE2284" s="4">
        <v>94</v>
      </c>
      <c r="AF2284" s="4">
        <v>0</v>
      </c>
      <c r="AG2284" s="4">
        <v>5</v>
      </c>
      <c r="AH2284" s="4">
        <v>21</v>
      </c>
      <c r="AI2284" s="4">
        <v>71</v>
      </c>
      <c r="AJ2284" s="4">
        <v>4</v>
      </c>
      <c r="AK2284" s="4">
        <v>19</v>
      </c>
      <c r="AL2284" s="4">
        <v>11</v>
      </c>
      <c r="AM2284" s="4">
        <v>36</v>
      </c>
      <c r="AN2284" s="4">
        <v>0</v>
      </c>
      <c r="AO2284" s="4">
        <v>5</v>
      </c>
      <c r="AP2284" s="4">
        <v>5</v>
      </c>
      <c r="AQ2284" s="4">
        <v>33</v>
      </c>
      <c r="AR2284" s="3" t="s">
        <v>62</v>
      </c>
      <c r="AS2284" s="3" t="s">
        <v>62</v>
      </c>
      <c r="AT2284" s="3" t="s">
        <v>62</v>
      </c>
      <c r="AV2284" s="6" t="str">
        <f>HYPERLINK("http://mcgill.on.worldcat.org/oclc/48501155","Catalog Record")</f>
        <v>Catalog Record</v>
      </c>
      <c r="AW2284" s="6" t="str">
        <f>HYPERLINK("http://www.worldcat.org/oclc/48501155","WorldCat Record")</f>
        <v>WorldCat Record</v>
      </c>
      <c r="AX2284" s="3" t="s">
        <v>22349</v>
      </c>
      <c r="AY2284" s="3" t="s">
        <v>22350</v>
      </c>
      <c r="AZ2284" s="3" t="s">
        <v>22351</v>
      </c>
      <c r="BA2284" s="3" t="s">
        <v>22351</v>
      </c>
      <c r="BB2284" s="3" t="s">
        <v>22352</v>
      </c>
      <c r="BC2284" s="3" t="s">
        <v>102</v>
      </c>
      <c r="BD2284" s="3" t="s">
        <v>231</v>
      </c>
      <c r="BE2284" s="3" t="s">
        <v>22353</v>
      </c>
      <c r="BF2284" s="3" t="s">
        <v>22352</v>
      </c>
      <c r="BG2284" s="3" t="s">
        <v>22354</v>
      </c>
    </row>
    <row r="2285" spans="1:59" ht="58" x14ac:dyDescent="0.35">
      <c r="A2285" s="2" t="s">
        <v>89</v>
      </c>
      <c r="B2285" s="2" t="s">
        <v>90</v>
      </c>
      <c r="C2285" s="2" t="s">
        <v>22355</v>
      </c>
      <c r="D2285" s="2" t="s">
        <v>22356</v>
      </c>
      <c r="E2285" s="2" t="s">
        <v>22357</v>
      </c>
      <c r="G2285" s="3" t="s">
        <v>62</v>
      </c>
      <c r="I2285" s="3" t="s">
        <v>61</v>
      </c>
      <c r="J2285" s="3" t="s">
        <v>61</v>
      </c>
      <c r="K2285" s="3" t="s">
        <v>63</v>
      </c>
      <c r="L2285" s="2" t="s">
        <v>22358</v>
      </c>
      <c r="M2285" s="2" t="s">
        <v>22359</v>
      </c>
      <c r="N2285" s="3" t="s">
        <v>285</v>
      </c>
      <c r="O2285" s="2" t="s">
        <v>8350</v>
      </c>
      <c r="P2285" s="3" t="s">
        <v>64</v>
      </c>
      <c r="R2285" s="3" t="s">
        <v>13065</v>
      </c>
      <c r="S2285" s="4">
        <v>21</v>
      </c>
      <c r="T2285" s="4">
        <v>52</v>
      </c>
      <c r="U2285" s="5" t="s">
        <v>22360</v>
      </c>
      <c r="V2285" s="5" t="s">
        <v>22360</v>
      </c>
      <c r="W2285" s="5" t="s">
        <v>67</v>
      </c>
      <c r="X2285" s="5" t="s">
        <v>67</v>
      </c>
      <c r="Y2285" s="4">
        <v>176</v>
      </c>
      <c r="Z2285" s="4">
        <v>10</v>
      </c>
      <c r="AA2285" s="4">
        <v>25</v>
      </c>
      <c r="AB2285" s="4">
        <v>1</v>
      </c>
      <c r="AC2285" s="4">
        <v>3</v>
      </c>
      <c r="AD2285" s="4">
        <v>21</v>
      </c>
      <c r="AE2285" s="4">
        <v>71</v>
      </c>
      <c r="AF2285" s="4">
        <v>0</v>
      </c>
      <c r="AG2285" s="4">
        <v>2</v>
      </c>
      <c r="AH2285" s="4">
        <v>17</v>
      </c>
      <c r="AI2285" s="4">
        <v>57</v>
      </c>
      <c r="AJ2285" s="4">
        <v>5</v>
      </c>
      <c r="AK2285" s="4">
        <v>14</v>
      </c>
      <c r="AL2285" s="4">
        <v>8</v>
      </c>
      <c r="AM2285" s="4">
        <v>30</v>
      </c>
      <c r="AN2285" s="4">
        <v>0</v>
      </c>
      <c r="AO2285" s="4">
        <v>0</v>
      </c>
      <c r="AP2285" s="4">
        <v>7</v>
      </c>
      <c r="AQ2285" s="4">
        <v>19</v>
      </c>
      <c r="AR2285" s="3" t="s">
        <v>62</v>
      </c>
      <c r="AS2285" s="3" t="s">
        <v>62</v>
      </c>
      <c r="AT2285" s="3" t="s">
        <v>62</v>
      </c>
      <c r="AV2285" s="6" t="str">
        <f>HYPERLINK("http://mcgill.on.worldcat.org/oclc/5990782","Catalog Record")</f>
        <v>Catalog Record</v>
      </c>
      <c r="AW2285" s="6" t="str">
        <f>HYPERLINK("http://www.worldcat.org/oclc/5990782","WorldCat Record")</f>
        <v>WorldCat Record</v>
      </c>
      <c r="AX2285" s="3" t="s">
        <v>22361</v>
      </c>
      <c r="AY2285" s="3" t="s">
        <v>22362</v>
      </c>
      <c r="AZ2285" s="3" t="s">
        <v>22363</v>
      </c>
      <c r="BA2285" s="3" t="s">
        <v>22363</v>
      </c>
      <c r="BB2285" s="3" t="s">
        <v>22364</v>
      </c>
      <c r="BC2285" s="3" t="s">
        <v>102</v>
      </c>
      <c r="BD2285" s="3" t="s">
        <v>68</v>
      </c>
      <c r="BE2285" s="3" t="s">
        <v>22365</v>
      </c>
      <c r="BF2285" s="3" t="s">
        <v>22364</v>
      </c>
      <c r="BG2285" s="3" t="s">
        <v>22366</v>
      </c>
    </row>
    <row r="2286" spans="1:59" ht="101.5" x14ac:dyDescent="0.35">
      <c r="A2286" s="2" t="s">
        <v>89</v>
      </c>
      <c r="B2286" s="2" t="s">
        <v>12301</v>
      </c>
      <c r="C2286" s="2" t="s">
        <v>22367</v>
      </c>
      <c r="D2286" s="2" t="s">
        <v>22368</v>
      </c>
      <c r="E2286" s="2" t="s">
        <v>22369</v>
      </c>
      <c r="G2286" s="3" t="s">
        <v>62</v>
      </c>
      <c r="I2286" s="3" t="s">
        <v>61</v>
      </c>
      <c r="J2286" s="3" t="s">
        <v>61</v>
      </c>
      <c r="K2286" s="3" t="s">
        <v>63</v>
      </c>
      <c r="L2286" s="2" t="s">
        <v>22370</v>
      </c>
      <c r="M2286" s="2" t="s">
        <v>22371</v>
      </c>
      <c r="N2286" s="3" t="s">
        <v>726</v>
      </c>
      <c r="O2286" s="2" t="s">
        <v>22372</v>
      </c>
      <c r="P2286" s="3" t="s">
        <v>64</v>
      </c>
      <c r="R2286" s="3" t="s">
        <v>13065</v>
      </c>
      <c r="S2286" s="4">
        <v>115</v>
      </c>
      <c r="T2286" s="4">
        <v>547</v>
      </c>
      <c r="U2286" s="5" t="s">
        <v>16849</v>
      </c>
      <c r="V2286" s="5" t="s">
        <v>15935</v>
      </c>
      <c r="W2286" s="5" t="s">
        <v>67</v>
      </c>
      <c r="X2286" s="5" t="s">
        <v>67</v>
      </c>
      <c r="Y2286" s="4">
        <v>29</v>
      </c>
      <c r="Z2286" s="4">
        <v>7</v>
      </c>
      <c r="AA2286" s="4">
        <v>74</v>
      </c>
      <c r="AB2286" s="4">
        <v>1</v>
      </c>
      <c r="AC2286" s="4">
        <v>12</v>
      </c>
      <c r="AD2286" s="4">
        <v>8</v>
      </c>
      <c r="AE2286" s="4">
        <v>105</v>
      </c>
      <c r="AF2286" s="4">
        <v>0</v>
      </c>
      <c r="AG2286" s="4">
        <v>6</v>
      </c>
      <c r="AH2286" s="4">
        <v>7</v>
      </c>
      <c r="AI2286" s="4">
        <v>78</v>
      </c>
      <c r="AJ2286" s="4">
        <v>2</v>
      </c>
      <c r="AK2286" s="4">
        <v>19</v>
      </c>
      <c r="AL2286" s="4">
        <v>4</v>
      </c>
      <c r="AM2286" s="4">
        <v>45</v>
      </c>
      <c r="AN2286" s="4">
        <v>0</v>
      </c>
      <c r="AO2286" s="4">
        <v>8</v>
      </c>
      <c r="AP2286" s="4">
        <v>2</v>
      </c>
      <c r="AQ2286" s="4">
        <v>34</v>
      </c>
      <c r="AR2286" s="3" t="s">
        <v>62</v>
      </c>
      <c r="AS2286" s="3" t="s">
        <v>62</v>
      </c>
      <c r="AT2286" s="3" t="s">
        <v>62</v>
      </c>
      <c r="AV2286" s="6" t="str">
        <f>HYPERLINK("http://mcgill.on.worldcat.org/oclc/904047454","Catalog Record")</f>
        <v>Catalog Record</v>
      </c>
      <c r="AW2286" s="6" t="str">
        <f>HYPERLINK("http://www.worldcat.org/oclc/904047454","WorldCat Record")</f>
        <v>WorldCat Record</v>
      </c>
      <c r="AX2286" s="3" t="s">
        <v>22373</v>
      </c>
      <c r="AY2286" s="3" t="s">
        <v>22374</v>
      </c>
      <c r="AZ2286" s="3" t="s">
        <v>22375</v>
      </c>
      <c r="BA2286" s="3" t="s">
        <v>22375</v>
      </c>
      <c r="BB2286" s="3" t="s">
        <v>22376</v>
      </c>
      <c r="BC2286" s="3" t="s">
        <v>102</v>
      </c>
      <c r="BD2286" s="3" t="s">
        <v>68</v>
      </c>
      <c r="BE2286" s="3" t="s">
        <v>22377</v>
      </c>
      <c r="BF2286" s="3" t="s">
        <v>22376</v>
      </c>
      <c r="BG2286" s="3" t="s">
        <v>22378</v>
      </c>
    </row>
    <row r="2287" spans="1:59" ht="101.5" x14ac:dyDescent="0.35">
      <c r="A2287" s="2" t="s">
        <v>89</v>
      </c>
      <c r="B2287" s="2" t="s">
        <v>12301</v>
      </c>
      <c r="C2287" s="2" t="s">
        <v>22367</v>
      </c>
      <c r="D2287" s="2" t="s">
        <v>22368</v>
      </c>
      <c r="E2287" s="2" t="s">
        <v>22369</v>
      </c>
      <c r="G2287" s="3" t="s">
        <v>62</v>
      </c>
      <c r="I2287" s="3" t="s">
        <v>61</v>
      </c>
      <c r="J2287" s="3" t="s">
        <v>61</v>
      </c>
      <c r="K2287" s="3" t="s">
        <v>63</v>
      </c>
      <c r="L2287" s="2" t="s">
        <v>22370</v>
      </c>
      <c r="M2287" s="2" t="s">
        <v>22371</v>
      </c>
      <c r="N2287" s="3" t="s">
        <v>726</v>
      </c>
      <c r="O2287" s="2" t="s">
        <v>22372</v>
      </c>
      <c r="P2287" s="3" t="s">
        <v>64</v>
      </c>
      <c r="R2287" s="3" t="s">
        <v>13065</v>
      </c>
      <c r="S2287" s="4">
        <v>117</v>
      </c>
      <c r="T2287" s="4">
        <v>547</v>
      </c>
      <c r="U2287" s="5" t="s">
        <v>15935</v>
      </c>
      <c r="V2287" s="5" t="s">
        <v>15935</v>
      </c>
      <c r="W2287" s="5" t="s">
        <v>67</v>
      </c>
      <c r="X2287" s="5" t="s">
        <v>67</v>
      </c>
      <c r="Y2287" s="4">
        <v>29</v>
      </c>
      <c r="Z2287" s="4">
        <v>7</v>
      </c>
      <c r="AA2287" s="4">
        <v>74</v>
      </c>
      <c r="AB2287" s="4">
        <v>1</v>
      </c>
      <c r="AC2287" s="4">
        <v>12</v>
      </c>
      <c r="AD2287" s="4">
        <v>8</v>
      </c>
      <c r="AE2287" s="4">
        <v>105</v>
      </c>
      <c r="AF2287" s="4">
        <v>0</v>
      </c>
      <c r="AG2287" s="4">
        <v>6</v>
      </c>
      <c r="AH2287" s="4">
        <v>7</v>
      </c>
      <c r="AI2287" s="4">
        <v>78</v>
      </c>
      <c r="AJ2287" s="4">
        <v>2</v>
      </c>
      <c r="AK2287" s="4">
        <v>19</v>
      </c>
      <c r="AL2287" s="4">
        <v>4</v>
      </c>
      <c r="AM2287" s="4">
        <v>45</v>
      </c>
      <c r="AN2287" s="4">
        <v>0</v>
      </c>
      <c r="AO2287" s="4">
        <v>8</v>
      </c>
      <c r="AP2287" s="4">
        <v>2</v>
      </c>
      <c r="AQ2287" s="4">
        <v>34</v>
      </c>
      <c r="AR2287" s="3" t="s">
        <v>62</v>
      </c>
      <c r="AS2287" s="3" t="s">
        <v>62</v>
      </c>
      <c r="AT2287" s="3" t="s">
        <v>62</v>
      </c>
      <c r="AV2287" s="6" t="str">
        <f>HYPERLINK("http://mcgill.on.worldcat.org/oclc/904047454","Catalog Record")</f>
        <v>Catalog Record</v>
      </c>
      <c r="AW2287" s="6" t="str">
        <f>HYPERLINK("http://www.worldcat.org/oclc/904047454","WorldCat Record")</f>
        <v>WorldCat Record</v>
      </c>
      <c r="AX2287" s="3" t="s">
        <v>22373</v>
      </c>
      <c r="AY2287" s="3" t="s">
        <v>22374</v>
      </c>
      <c r="AZ2287" s="3" t="s">
        <v>22375</v>
      </c>
      <c r="BA2287" s="3" t="s">
        <v>22375</v>
      </c>
      <c r="BB2287" s="3" t="s">
        <v>22379</v>
      </c>
      <c r="BC2287" s="3" t="s">
        <v>102</v>
      </c>
      <c r="BD2287" s="3" t="s">
        <v>68</v>
      </c>
      <c r="BE2287" s="3" t="s">
        <v>22377</v>
      </c>
      <c r="BF2287" s="3" t="s">
        <v>22379</v>
      </c>
      <c r="BG2287" s="3" t="s">
        <v>22380</v>
      </c>
    </row>
    <row r="2288" spans="1:59" ht="101.5" x14ac:dyDescent="0.35">
      <c r="A2288" s="2" t="s">
        <v>89</v>
      </c>
      <c r="B2288" s="2" t="s">
        <v>12301</v>
      </c>
      <c r="C2288" s="2" t="s">
        <v>22367</v>
      </c>
      <c r="D2288" s="2" t="s">
        <v>22368</v>
      </c>
      <c r="E2288" s="2" t="s">
        <v>22369</v>
      </c>
      <c r="G2288" s="3" t="s">
        <v>62</v>
      </c>
      <c r="I2288" s="3" t="s">
        <v>61</v>
      </c>
      <c r="J2288" s="3" t="s">
        <v>61</v>
      </c>
      <c r="K2288" s="3" t="s">
        <v>63</v>
      </c>
      <c r="L2288" s="2" t="s">
        <v>22370</v>
      </c>
      <c r="M2288" s="2" t="s">
        <v>22371</v>
      </c>
      <c r="N2288" s="3" t="s">
        <v>726</v>
      </c>
      <c r="O2288" s="2" t="s">
        <v>22372</v>
      </c>
      <c r="P2288" s="3" t="s">
        <v>64</v>
      </c>
      <c r="R2288" s="3" t="s">
        <v>13065</v>
      </c>
      <c r="S2288" s="4">
        <v>96</v>
      </c>
      <c r="T2288" s="4">
        <v>547</v>
      </c>
      <c r="U2288" s="5" t="s">
        <v>15871</v>
      </c>
      <c r="V2288" s="5" t="s">
        <v>15935</v>
      </c>
      <c r="W2288" s="5" t="s">
        <v>67</v>
      </c>
      <c r="X2288" s="5" t="s">
        <v>67</v>
      </c>
      <c r="Y2288" s="4">
        <v>29</v>
      </c>
      <c r="Z2288" s="4">
        <v>7</v>
      </c>
      <c r="AA2288" s="4">
        <v>74</v>
      </c>
      <c r="AB2288" s="4">
        <v>1</v>
      </c>
      <c r="AC2288" s="4">
        <v>12</v>
      </c>
      <c r="AD2288" s="4">
        <v>8</v>
      </c>
      <c r="AE2288" s="4">
        <v>105</v>
      </c>
      <c r="AF2288" s="4">
        <v>0</v>
      </c>
      <c r="AG2288" s="4">
        <v>6</v>
      </c>
      <c r="AH2288" s="4">
        <v>7</v>
      </c>
      <c r="AI2288" s="4">
        <v>78</v>
      </c>
      <c r="AJ2288" s="4">
        <v>2</v>
      </c>
      <c r="AK2288" s="4">
        <v>19</v>
      </c>
      <c r="AL2288" s="4">
        <v>4</v>
      </c>
      <c r="AM2288" s="4">
        <v>45</v>
      </c>
      <c r="AN2288" s="4">
        <v>0</v>
      </c>
      <c r="AO2288" s="4">
        <v>8</v>
      </c>
      <c r="AP2288" s="4">
        <v>2</v>
      </c>
      <c r="AQ2288" s="4">
        <v>34</v>
      </c>
      <c r="AR2288" s="3" t="s">
        <v>62</v>
      </c>
      <c r="AS2288" s="3" t="s">
        <v>62</v>
      </c>
      <c r="AT2288" s="3" t="s">
        <v>62</v>
      </c>
      <c r="AV2288" s="6" t="str">
        <f>HYPERLINK("http://mcgill.on.worldcat.org/oclc/904047454","Catalog Record")</f>
        <v>Catalog Record</v>
      </c>
      <c r="AW2288" s="6" t="str">
        <f>HYPERLINK("http://www.worldcat.org/oclc/904047454","WorldCat Record")</f>
        <v>WorldCat Record</v>
      </c>
      <c r="AX2288" s="3" t="s">
        <v>22373</v>
      </c>
      <c r="AY2288" s="3" t="s">
        <v>22374</v>
      </c>
      <c r="AZ2288" s="3" t="s">
        <v>22375</v>
      </c>
      <c r="BA2288" s="3" t="s">
        <v>22375</v>
      </c>
      <c r="BB2288" s="3" t="s">
        <v>22381</v>
      </c>
      <c r="BC2288" s="3" t="s">
        <v>102</v>
      </c>
      <c r="BD2288" s="3" t="s">
        <v>231</v>
      </c>
      <c r="BE2288" s="3" t="s">
        <v>22377</v>
      </c>
      <c r="BF2288" s="3" t="s">
        <v>22381</v>
      </c>
      <c r="BG2288" s="3" t="s">
        <v>22382</v>
      </c>
    </row>
    <row r="2289" spans="1:59" ht="101.5" x14ac:dyDescent="0.35">
      <c r="A2289" s="2" t="s">
        <v>89</v>
      </c>
      <c r="B2289" s="2" t="s">
        <v>12301</v>
      </c>
      <c r="C2289" s="2" t="s">
        <v>22367</v>
      </c>
      <c r="D2289" s="2" t="s">
        <v>22368</v>
      </c>
      <c r="E2289" s="2" t="s">
        <v>22369</v>
      </c>
      <c r="G2289" s="3" t="s">
        <v>62</v>
      </c>
      <c r="I2289" s="3" t="s">
        <v>61</v>
      </c>
      <c r="J2289" s="3" t="s">
        <v>61</v>
      </c>
      <c r="K2289" s="3" t="s">
        <v>63</v>
      </c>
      <c r="L2289" s="2" t="s">
        <v>22370</v>
      </c>
      <c r="M2289" s="2" t="s">
        <v>22371</v>
      </c>
      <c r="N2289" s="3" t="s">
        <v>726</v>
      </c>
      <c r="O2289" s="2" t="s">
        <v>22372</v>
      </c>
      <c r="P2289" s="3" t="s">
        <v>64</v>
      </c>
      <c r="R2289" s="3" t="s">
        <v>13065</v>
      </c>
      <c r="S2289" s="4">
        <v>117</v>
      </c>
      <c r="T2289" s="4">
        <v>547</v>
      </c>
      <c r="U2289" s="5" t="s">
        <v>22007</v>
      </c>
      <c r="V2289" s="5" t="s">
        <v>15935</v>
      </c>
      <c r="W2289" s="5" t="s">
        <v>67</v>
      </c>
      <c r="X2289" s="5" t="s">
        <v>67</v>
      </c>
      <c r="Y2289" s="4">
        <v>29</v>
      </c>
      <c r="Z2289" s="4">
        <v>7</v>
      </c>
      <c r="AA2289" s="4">
        <v>74</v>
      </c>
      <c r="AB2289" s="4">
        <v>1</v>
      </c>
      <c r="AC2289" s="4">
        <v>12</v>
      </c>
      <c r="AD2289" s="4">
        <v>8</v>
      </c>
      <c r="AE2289" s="4">
        <v>105</v>
      </c>
      <c r="AF2289" s="4">
        <v>0</v>
      </c>
      <c r="AG2289" s="4">
        <v>6</v>
      </c>
      <c r="AH2289" s="4">
        <v>7</v>
      </c>
      <c r="AI2289" s="4">
        <v>78</v>
      </c>
      <c r="AJ2289" s="4">
        <v>2</v>
      </c>
      <c r="AK2289" s="4">
        <v>19</v>
      </c>
      <c r="AL2289" s="4">
        <v>4</v>
      </c>
      <c r="AM2289" s="4">
        <v>45</v>
      </c>
      <c r="AN2289" s="4">
        <v>0</v>
      </c>
      <c r="AO2289" s="4">
        <v>8</v>
      </c>
      <c r="AP2289" s="4">
        <v>2</v>
      </c>
      <c r="AQ2289" s="4">
        <v>34</v>
      </c>
      <c r="AR2289" s="3" t="s">
        <v>62</v>
      </c>
      <c r="AS2289" s="3" t="s">
        <v>62</v>
      </c>
      <c r="AT2289" s="3" t="s">
        <v>62</v>
      </c>
      <c r="AV2289" s="6" t="str">
        <f>HYPERLINK("http://mcgill.on.worldcat.org/oclc/904047454","Catalog Record")</f>
        <v>Catalog Record</v>
      </c>
      <c r="AW2289" s="6" t="str">
        <f>HYPERLINK("http://www.worldcat.org/oclc/904047454","WorldCat Record")</f>
        <v>WorldCat Record</v>
      </c>
      <c r="AX2289" s="3" t="s">
        <v>22373</v>
      </c>
      <c r="AY2289" s="3" t="s">
        <v>22374</v>
      </c>
      <c r="AZ2289" s="3" t="s">
        <v>22375</v>
      </c>
      <c r="BA2289" s="3" t="s">
        <v>22375</v>
      </c>
      <c r="BB2289" s="3" t="s">
        <v>22383</v>
      </c>
      <c r="BC2289" s="3" t="s">
        <v>102</v>
      </c>
      <c r="BD2289" s="3" t="s">
        <v>68</v>
      </c>
      <c r="BE2289" s="3" t="s">
        <v>22377</v>
      </c>
      <c r="BF2289" s="3" t="s">
        <v>22383</v>
      </c>
      <c r="BG2289" s="3" t="s">
        <v>22384</v>
      </c>
    </row>
    <row r="2290" spans="1:59" ht="101.5" x14ac:dyDescent="0.35">
      <c r="A2290" s="2" t="s">
        <v>89</v>
      </c>
      <c r="B2290" s="2" t="s">
        <v>12301</v>
      </c>
      <c r="C2290" s="2" t="s">
        <v>22367</v>
      </c>
      <c r="D2290" s="2" t="s">
        <v>22368</v>
      </c>
      <c r="E2290" s="2" t="s">
        <v>22369</v>
      </c>
      <c r="G2290" s="3" t="s">
        <v>62</v>
      </c>
      <c r="I2290" s="3" t="s">
        <v>61</v>
      </c>
      <c r="J2290" s="3" t="s">
        <v>61</v>
      </c>
      <c r="K2290" s="3" t="s">
        <v>63</v>
      </c>
      <c r="L2290" s="2" t="s">
        <v>22370</v>
      </c>
      <c r="M2290" s="2" t="s">
        <v>22371</v>
      </c>
      <c r="N2290" s="3" t="s">
        <v>726</v>
      </c>
      <c r="O2290" s="2" t="s">
        <v>22372</v>
      </c>
      <c r="P2290" s="3" t="s">
        <v>64</v>
      </c>
      <c r="R2290" s="3" t="s">
        <v>13065</v>
      </c>
      <c r="S2290" s="4">
        <v>102</v>
      </c>
      <c r="T2290" s="4">
        <v>547</v>
      </c>
      <c r="U2290" s="5" t="s">
        <v>20032</v>
      </c>
      <c r="V2290" s="5" t="s">
        <v>15935</v>
      </c>
      <c r="W2290" s="5" t="s">
        <v>67</v>
      </c>
      <c r="X2290" s="5" t="s">
        <v>67</v>
      </c>
      <c r="Y2290" s="4">
        <v>29</v>
      </c>
      <c r="Z2290" s="4">
        <v>7</v>
      </c>
      <c r="AA2290" s="4">
        <v>74</v>
      </c>
      <c r="AB2290" s="4">
        <v>1</v>
      </c>
      <c r="AC2290" s="4">
        <v>12</v>
      </c>
      <c r="AD2290" s="4">
        <v>8</v>
      </c>
      <c r="AE2290" s="4">
        <v>105</v>
      </c>
      <c r="AF2290" s="4">
        <v>0</v>
      </c>
      <c r="AG2290" s="4">
        <v>6</v>
      </c>
      <c r="AH2290" s="4">
        <v>7</v>
      </c>
      <c r="AI2290" s="4">
        <v>78</v>
      </c>
      <c r="AJ2290" s="4">
        <v>2</v>
      </c>
      <c r="AK2290" s="4">
        <v>19</v>
      </c>
      <c r="AL2290" s="4">
        <v>4</v>
      </c>
      <c r="AM2290" s="4">
        <v>45</v>
      </c>
      <c r="AN2290" s="4">
        <v>0</v>
      </c>
      <c r="AO2290" s="4">
        <v>8</v>
      </c>
      <c r="AP2290" s="4">
        <v>2</v>
      </c>
      <c r="AQ2290" s="4">
        <v>34</v>
      </c>
      <c r="AR2290" s="3" t="s">
        <v>62</v>
      </c>
      <c r="AS2290" s="3" t="s">
        <v>62</v>
      </c>
      <c r="AT2290" s="3" t="s">
        <v>62</v>
      </c>
      <c r="AV2290" s="6" t="str">
        <f>HYPERLINK("http://mcgill.on.worldcat.org/oclc/904047454","Catalog Record")</f>
        <v>Catalog Record</v>
      </c>
      <c r="AW2290" s="6" t="str">
        <f>HYPERLINK("http://www.worldcat.org/oclc/904047454","WorldCat Record")</f>
        <v>WorldCat Record</v>
      </c>
      <c r="AX2290" s="3" t="s">
        <v>22373</v>
      </c>
      <c r="AY2290" s="3" t="s">
        <v>22374</v>
      </c>
      <c r="AZ2290" s="3" t="s">
        <v>22375</v>
      </c>
      <c r="BA2290" s="3" t="s">
        <v>22375</v>
      </c>
      <c r="BB2290" s="3" t="s">
        <v>22385</v>
      </c>
      <c r="BC2290" s="3" t="s">
        <v>102</v>
      </c>
      <c r="BD2290" s="3" t="s">
        <v>68</v>
      </c>
      <c r="BE2290" s="3" t="s">
        <v>22377</v>
      </c>
      <c r="BF2290" s="3" t="s">
        <v>22385</v>
      </c>
      <c r="BG2290" s="3" t="s">
        <v>22386</v>
      </c>
    </row>
    <row r="2291" spans="1:59" ht="101.5" x14ac:dyDescent="0.35">
      <c r="A2291" s="2" t="s">
        <v>89</v>
      </c>
      <c r="B2291" s="2" t="s">
        <v>12301</v>
      </c>
      <c r="C2291" s="2" t="s">
        <v>22387</v>
      </c>
      <c r="D2291" s="2" t="s">
        <v>22388</v>
      </c>
      <c r="E2291" s="2" t="s">
        <v>22389</v>
      </c>
      <c r="F2291" s="3" t="s">
        <v>15976</v>
      </c>
      <c r="G2291" s="3" t="s">
        <v>62</v>
      </c>
      <c r="I2291" s="3" t="s">
        <v>61</v>
      </c>
      <c r="J2291" s="3" t="s">
        <v>61</v>
      </c>
      <c r="K2291" s="3" t="s">
        <v>63</v>
      </c>
      <c r="L2291" s="2" t="s">
        <v>22390</v>
      </c>
      <c r="M2291" s="2" t="s">
        <v>22391</v>
      </c>
      <c r="N2291" s="3" t="s">
        <v>726</v>
      </c>
      <c r="O2291" s="2" t="s">
        <v>22372</v>
      </c>
      <c r="P2291" s="3" t="s">
        <v>64</v>
      </c>
      <c r="R2291" s="3" t="s">
        <v>13065</v>
      </c>
      <c r="S2291" s="4">
        <v>79</v>
      </c>
      <c r="T2291" s="4">
        <v>375</v>
      </c>
      <c r="U2291" s="5" t="s">
        <v>20689</v>
      </c>
      <c r="V2291" s="5" t="s">
        <v>20604</v>
      </c>
      <c r="W2291" s="5" t="s">
        <v>67</v>
      </c>
      <c r="X2291" s="5" t="s">
        <v>67</v>
      </c>
      <c r="Y2291" s="4">
        <v>1</v>
      </c>
      <c r="Z2291" s="4">
        <v>1</v>
      </c>
      <c r="AA2291" s="4">
        <v>6</v>
      </c>
      <c r="AB2291" s="4">
        <v>1</v>
      </c>
      <c r="AC2291" s="4">
        <v>2</v>
      </c>
      <c r="AD2291" s="4">
        <v>0</v>
      </c>
      <c r="AE2291" s="4">
        <v>6</v>
      </c>
      <c r="AF2291" s="4">
        <v>0</v>
      </c>
      <c r="AG2291" s="4">
        <v>1</v>
      </c>
      <c r="AH2291" s="4">
        <v>0</v>
      </c>
      <c r="AI2291" s="4">
        <v>5</v>
      </c>
      <c r="AJ2291" s="4">
        <v>0</v>
      </c>
      <c r="AK2291" s="4">
        <v>3</v>
      </c>
      <c r="AL2291" s="4">
        <v>0</v>
      </c>
      <c r="AM2291" s="4">
        <v>2</v>
      </c>
      <c r="AN2291" s="4">
        <v>0</v>
      </c>
      <c r="AO2291" s="4">
        <v>0</v>
      </c>
      <c r="AP2291" s="4">
        <v>0</v>
      </c>
      <c r="AQ2291" s="4">
        <v>3</v>
      </c>
      <c r="AR2291" s="3" t="s">
        <v>62</v>
      </c>
      <c r="AS2291" s="3" t="s">
        <v>62</v>
      </c>
      <c r="AT2291" s="3" t="s">
        <v>62</v>
      </c>
      <c r="AV2291" s="6" t="str">
        <f>HYPERLINK("http://mcgill.on.worldcat.org/oclc/970002977","Catalog Record")</f>
        <v>Catalog Record</v>
      </c>
      <c r="AW2291" s="6" t="str">
        <f>HYPERLINK("http://www.worldcat.org/oclc/970002977","WorldCat Record")</f>
        <v>WorldCat Record</v>
      </c>
      <c r="AX2291" s="3" t="s">
        <v>22392</v>
      </c>
      <c r="AY2291" s="3" t="s">
        <v>22393</v>
      </c>
      <c r="AZ2291" s="3" t="s">
        <v>22394</v>
      </c>
      <c r="BA2291" s="3" t="s">
        <v>22394</v>
      </c>
      <c r="BB2291" s="3" t="s">
        <v>22395</v>
      </c>
      <c r="BC2291" s="3" t="s">
        <v>102</v>
      </c>
      <c r="BD2291" s="3" t="s">
        <v>68</v>
      </c>
      <c r="BE2291" s="3" t="s">
        <v>22396</v>
      </c>
      <c r="BF2291" s="3" t="s">
        <v>22395</v>
      </c>
      <c r="BG2291" s="3" t="s">
        <v>22397</v>
      </c>
    </row>
    <row r="2292" spans="1:59" ht="101.5" x14ac:dyDescent="0.35">
      <c r="A2292" s="2" t="s">
        <v>89</v>
      </c>
      <c r="B2292" s="2" t="s">
        <v>12301</v>
      </c>
      <c r="C2292" s="2" t="s">
        <v>22387</v>
      </c>
      <c r="D2292" s="2" t="s">
        <v>22388</v>
      </c>
      <c r="E2292" s="2" t="s">
        <v>22389</v>
      </c>
      <c r="F2292" s="3" t="s">
        <v>15976</v>
      </c>
      <c r="G2292" s="3" t="s">
        <v>62</v>
      </c>
      <c r="I2292" s="3" t="s">
        <v>61</v>
      </c>
      <c r="J2292" s="3" t="s">
        <v>61</v>
      </c>
      <c r="K2292" s="3" t="s">
        <v>63</v>
      </c>
      <c r="L2292" s="2" t="s">
        <v>22390</v>
      </c>
      <c r="M2292" s="2" t="s">
        <v>22391</v>
      </c>
      <c r="N2292" s="3" t="s">
        <v>726</v>
      </c>
      <c r="O2292" s="2" t="s">
        <v>22372</v>
      </c>
      <c r="P2292" s="3" t="s">
        <v>64</v>
      </c>
      <c r="R2292" s="3" t="s">
        <v>13065</v>
      </c>
      <c r="S2292" s="4">
        <v>89</v>
      </c>
      <c r="T2292" s="4">
        <v>375</v>
      </c>
      <c r="U2292" s="5" t="s">
        <v>20604</v>
      </c>
      <c r="V2292" s="5" t="s">
        <v>20604</v>
      </c>
      <c r="W2292" s="5" t="s">
        <v>67</v>
      </c>
      <c r="X2292" s="5" t="s">
        <v>67</v>
      </c>
      <c r="Y2292" s="4">
        <v>1</v>
      </c>
      <c r="Z2292" s="4">
        <v>1</v>
      </c>
      <c r="AA2292" s="4">
        <v>6</v>
      </c>
      <c r="AB2292" s="4">
        <v>1</v>
      </c>
      <c r="AC2292" s="4">
        <v>2</v>
      </c>
      <c r="AD2292" s="4">
        <v>0</v>
      </c>
      <c r="AE2292" s="4">
        <v>6</v>
      </c>
      <c r="AF2292" s="4">
        <v>0</v>
      </c>
      <c r="AG2292" s="4">
        <v>1</v>
      </c>
      <c r="AH2292" s="4">
        <v>0</v>
      </c>
      <c r="AI2292" s="4">
        <v>5</v>
      </c>
      <c r="AJ2292" s="4">
        <v>0</v>
      </c>
      <c r="AK2292" s="4">
        <v>3</v>
      </c>
      <c r="AL2292" s="4">
        <v>0</v>
      </c>
      <c r="AM2292" s="4">
        <v>2</v>
      </c>
      <c r="AN2292" s="4">
        <v>0</v>
      </c>
      <c r="AO2292" s="4">
        <v>0</v>
      </c>
      <c r="AP2292" s="4">
        <v>0</v>
      </c>
      <c r="AQ2292" s="4">
        <v>3</v>
      </c>
      <c r="AR2292" s="3" t="s">
        <v>62</v>
      </c>
      <c r="AS2292" s="3" t="s">
        <v>62</v>
      </c>
      <c r="AT2292" s="3" t="s">
        <v>62</v>
      </c>
      <c r="AV2292" s="6" t="str">
        <f>HYPERLINK("http://mcgill.on.worldcat.org/oclc/970002977","Catalog Record")</f>
        <v>Catalog Record</v>
      </c>
      <c r="AW2292" s="6" t="str">
        <f>HYPERLINK("http://www.worldcat.org/oclc/970002977","WorldCat Record")</f>
        <v>WorldCat Record</v>
      </c>
      <c r="AX2292" s="3" t="s">
        <v>22392</v>
      </c>
      <c r="AY2292" s="3" t="s">
        <v>22393</v>
      </c>
      <c r="AZ2292" s="3" t="s">
        <v>22394</v>
      </c>
      <c r="BA2292" s="3" t="s">
        <v>22394</v>
      </c>
      <c r="BB2292" s="3" t="s">
        <v>22398</v>
      </c>
      <c r="BC2292" s="3" t="s">
        <v>102</v>
      </c>
      <c r="BD2292" s="3" t="s">
        <v>231</v>
      </c>
      <c r="BE2292" s="3" t="s">
        <v>22396</v>
      </c>
      <c r="BF2292" s="3" t="s">
        <v>22398</v>
      </c>
      <c r="BG2292" s="3" t="s">
        <v>22399</v>
      </c>
    </row>
    <row r="2293" spans="1:59" ht="101.5" x14ac:dyDescent="0.35">
      <c r="A2293" s="2" t="s">
        <v>89</v>
      </c>
      <c r="B2293" s="2" t="s">
        <v>12301</v>
      </c>
      <c r="C2293" s="2" t="s">
        <v>22387</v>
      </c>
      <c r="D2293" s="2" t="s">
        <v>22388</v>
      </c>
      <c r="E2293" s="2" t="s">
        <v>22389</v>
      </c>
      <c r="F2293" s="3" t="s">
        <v>15976</v>
      </c>
      <c r="G2293" s="3" t="s">
        <v>62</v>
      </c>
      <c r="I2293" s="3" t="s">
        <v>61</v>
      </c>
      <c r="J2293" s="3" t="s">
        <v>61</v>
      </c>
      <c r="K2293" s="3" t="s">
        <v>63</v>
      </c>
      <c r="L2293" s="2" t="s">
        <v>22390</v>
      </c>
      <c r="M2293" s="2" t="s">
        <v>22391</v>
      </c>
      <c r="N2293" s="3" t="s">
        <v>726</v>
      </c>
      <c r="O2293" s="2" t="s">
        <v>22372</v>
      </c>
      <c r="P2293" s="3" t="s">
        <v>64</v>
      </c>
      <c r="R2293" s="3" t="s">
        <v>13065</v>
      </c>
      <c r="S2293" s="4">
        <v>68</v>
      </c>
      <c r="T2293" s="4">
        <v>375</v>
      </c>
      <c r="U2293" s="5" t="s">
        <v>22400</v>
      </c>
      <c r="V2293" s="5" t="s">
        <v>20604</v>
      </c>
      <c r="W2293" s="5" t="s">
        <v>67</v>
      </c>
      <c r="X2293" s="5" t="s">
        <v>67</v>
      </c>
      <c r="Y2293" s="4">
        <v>1</v>
      </c>
      <c r="Z2293" s="4">
        <v>1</v>
      </c>
      <c r="AA2293" s="4">
        <v>6</v>
      </c>
      <c r="AB2293" s="4">
        <v>1</v>
      </c>
      <c r="AC2293" s="4">
        <v>2</v>
      </c>
      <c r="AD2293" s="4">
        <v>0</v>
      </c>
      <c r="AE2293" s="4">
        <v>6</v>
      </c>
      <c r="AF2293" s="4">
        <v>0</v>
      </c>
      <c r="AG2293" s="4">
        <v>1</v>
      </c>
      <c r="AH2293" s="4">
        <v>0</v>
      </c>
      <c r="AI2293" s="4">
        <v>5</v>
      </c>
      <c r="AJ2293" s="4">
        <v>0</v>
      </c>
      <c r="AK2293" s="4">
        <v>3</v>
      </c>
      <c r="AL2293" s="4">
        <v>0</v>
      </c>
      <c r="AM2293" s="4">
        <v>2</v>
      </c>
      <c r="AN2293" s="4">
        <v>0</v>
      </c>
      <c r="AO2293" s="4">
        <v>0</v>
      </c>
      <c r="AP2293" s="4">
        <v>0</v>
      </c>
      <c r="AQ2293" s="4">
        <v>3</v>
      </c>
      <c r="AR2293" s="3" t="s">
        <v>62</v>
      </c>
      <c r="AS2293" s="3" t="s">
        <v>62</v>
      </c>
      <c r="AT2293" s="3" t="s">
        <v>62</v>
      </c>
      <c r="AV2293" s="6" t="str">
        <f>HYPERLINK("http://mcgill.on.worldcat.org/oclc/970002977","Catalog Record")</f>
        <v>Catalog Record</v>
      </c>
      <c r="AW2293" s="6" t="str">
        <f>HYPERLINK("http://www.worldcat.org/oclc/970002977","WorldCat Record")</f>
        <v>WorldCat Record</v>
      </c>
      <c r="AX2293" s="3" t="s">
        <v>22392</v>
      </c>
      <c r="AY2293" s="3" t="s">
        <v>22393</v>
      </c>
      <c r="AZ2293" s="3" t="s">
        <v>22394</v>
      </c>
      <c r="BA2293" s="3" t="s">
        <v>22394</v>
      </c>
      <c r="BB2293" s="3" t="s">
        <v>22401</v>
      </c>
      <c r="BC2293" s="3" t="s">
        <v>102</v>
      </c>
      <c r="BD2293" s="3" t="s">
        <v>68</v>
      </c>
      <c r="BE2293" s="3" t="s">
        <v>22396</v>
      </c>
      <c r="BF2293" s="3" t="s">
        <v>22401</v>
      </c>
      <c r="BG2293" s="3" t="s">
        <v>22402</v>
      </c>
    </row>
    <row r="2294" spans="1:59" ht="58" x14ac:dyDescent="0.35">
      <c r="A2294" s="2" t="s">
        <v>89</v>
      </c>
      <c r="B2294" s="2" t="s">
        <v>90</v>
      </c>
      <c r="C2294" s="2" t="s">
        <v>22403</v>
      </c>
      <c r="D2294" s="2" t="s">
        <v>22404</v>
      </c>
      <c r="E2294" s="2" t="s">
        <v>22405</v>
      </c>
      <c r="F2294" s="3" t="s">
        <v>13127</v>
      </c>
      <c r="G2294" s="3" t="s">
        <v>62</v>
      </c>
      <c r="I2294" s="3" t="s">
        <v>61</v>
      </c>
      <c r="J2294" s="3" t="s">
        <v>61</v>
      </c>
      <c r="K2294" s="3" t="s">
        <v>63</v>
      </c>
      <c r="L2294" s="2" t="s">
        <v>22406</v>
      </c>
      <c r="M2294" s="2" t="s">
        <v>22407</v>
      </c>
      <c r="N2294" s="3" t="s">
        <v>640</v>
      </c>
      <c r="O2294" s="2" t="s">
        <v>11716</v>
      </c>
      <c r="P2294" s="3" t="s">
        <v>64</v>
      </c>
      <c r="R2294" s="3" t="s">
        <v>13065</v>
      </c>
      <c r="S2294" s="4">
        <v>72</v>
      </c>
      <c r="T2294" s="4">
        <v>142</v>
      </c>
      <c r="U2294" s="5" t="s">
        <v>5040</v>
      </c>
      <c r="V2294" s="5" t="s">
        <v>5040</v>
      </c>
      <c r="W2294" s="5" t="s">
        <v>67</v>
      </c>
      <c r="X2294" s="5" t="s">
        <v>67</v>
      </c>
      <c r="Y2294" s="4">
        <v>241</v>
      </c>
      <c r="Z2294" s="4">
        <v>23</v>
      </c>
      <c r="AA2294" s="4">
        <v>65</v>
      </c>
      <c r="AB2294" s="4">
        <v>2</v>
      </c>
      <c r="AC2294" s="4">
        <v>7</v>
      </c>
      <c r="AD2294" s="4">
        <v>39</v>
      </c>
      <c r="AE2294" s="4">
        <v>108</v>
      </c>
      <c r="AF2294" s="4">
        <v>1</v>
      </c>
      <c r="AG2294" s="4">
        <v>4</v>
      </c>
      <c r="AH2294" s="4">
        <v>32</v>
      </c>
      <c r="AI2294" s="4">
        <v>82</v>
      </c>
      <c r="AJ2294" s="4">
        <v>8</v>
      </c>
      <c r="AK2294" s="4">
        <v>22</v>
      </c>
      <c r="AL2294" s="4">
        <v>19</v>
      </c>
      <c r="AM2294" s="4">
        <v>47</v>
      </c>
      <c r="AN2294" s="4">
        <v>0</v>
      </c>
      <c r="AO2294" s="4">
        <v>5</v>
      </c>
      <c r="AP2294" s="4">
        <v>11</v>
      </c>
      <c r="AQ2294" s="4">
        <v>32</v>
      </c>
      <c r="AR2294" s="3" t="s">
        <v>62</v>
      </c>
      <c r="AS2294" s="3" t="s">
        <v>62</v>
      </c>
      <c r="AT2294" s="3" t="s">
        <v>62</v>
      </c>
      <c r="AV2294" s="6" t="str">
        <f>HYPERLINK("http://mcgill.on.worldcat.org/oclc/51769291","Catalog Record")</f>
        <v>Catalog Record</v>
      </c>
      <c r="AW2294" s="6" t="str">
        <f>HYPERLINK("http://www.worldcat.org/oclc/51769291","WorldCat Record")</f>
        <v>WorldCat Record</v>
      </c>
      <c r="AX2294" s="3" t="s">
        <v>22408</v>
      </c>
      <c r="AY2294" s="3" t="s">
        <v>22409</v>
      </c>
      <c r="AZ2294" s="3" t="s">
        <v>22410</v>
      </c>
      <c r="BA2294" s="3" t="s">
        <v>22410</v>
      </c>
      <c r="BB2294" s="3" t="s">
        <v>22411</v>
      </c>
      <c r="BC2294" s="3" t="s">
        <v>102</v>
      </c>
      <c r="BD2294" s="3" t="s">
        <v>68</v>
      </c>
      <c r="BE2294" s="3" t="s">
        <v>22412</v>
      </c>
      <c r="BF2294" s="3" t="s">
        <v>22411</v>
      </c>
      <c r="BG2294" s="3" t="s">
        <v>22413</v>
      </c>
    </row>
    <row r="2295" spans="1:59" ht="58" x14ac:dyDescent="0.35">
      <c r="A2295" s="2" t="s">
        <v>89</v>
      </c>
      <c r="B2295" s="2" t="s">
        <v>90</v>
      </c>
      <c r="C2295" s="2" t="s">
        <v>22403</v>
      </c>
      <c r="D2295" s="2" t="s">
        <v>22404</v>
      </c>
      <c r="E2295" s="2" t="s">
        <v>22405</v>
      </c>
      <c r="F2295" s="3" t="s">
        <v>13127</v>
      </c>
      <c r="G2295" s="3" t="s">
        <v>62</v>
      </c>
      <c r="I2295" s="3" t="s">
        <v>61</v>
      </c>
      <c r="J2295" s="3" t="s">
        <v>61</v>
      </c>
      <c r="K2295" s="3" t="s">
        <v>63</v>
      </c>
      <c r="L2295" s="2" t="s">
        <v>22406</v>
      </c>
      <c r="M2295" s="2" t="s">
        <v>22407</v>
      </c>
      <c r="N2295" s="3" t="s">
        <v>640</v>
      </c>
      <c r="O2295" s="2" t="s">
        <v>11716</v>
      </c>
      <c r="P2295" s="3" t="s">
        <v>64</v>
      </c>
      <c r="R2295" s="3" t="s">
        <v>13065</v>
      </c>
      <c r="S2295" s="4">
        <v>70</v>
      </c>
      <c r="T2295" s="4">
        <v>142</v>
      </c>
      <c r="U2295" s="5" t="s">
        <v>22414</v>
      </c>
      <c r="V2295" s="5" t="s">
        <v>5040</v>
      </c>
      <c r="W2295" s="5" t="s">
        <v>67</v>
      </c>
      <c r="X2295" s="5" t="s">
        <v>67</v>
      </c>
      <c r="Y2295" s="4">
        <v>241</v>
      </c>
      <c r="Z2295" s="4">
        <v>23</v>
      </c>
      <c r="AA2295" s="4">
        <v>65</v>
      </c>
      <c r="AB2295" s="4">
        <v>2</v>
      </c>
      <c r="AC2295" s="4">
        <v>7</v>
      </c>
      <c r="AD2295" s="4">
        <v>39</v>
      </c>
      <c r="AE2295" s="4">
        <v>108</v>
      </c>
      <c r="AF2295" s="4">
        <v>1</v>
      </c>
      <c r="AG2295" s="4">
        <v>4</v>
      </c>
      <c r="AH2295" s="4">
        <v>32</v>
      </c>
      <c r="AI2295" s="4">
        <v>82</v>
      </c>
      <c r="AJ2295" s="4">
        <v>8</v>
      </c>
      <c r="AK2295" s="4">
        <v>22</v>
      </c>
      <c r="AL2295" s="4">
        <v>19</v>
      </c>
      <c r="AM2295" s="4">
        <v>47</v>
      </c>
      <c r="AN2295" s="4">
        <v>0</v>
      </c>
      <c r="AO2295" s="4">
        <v>5</v>
      </c>
      <c r="AP2295" s="4">
        <v>11</v>
      </c>
      <c r="AQ2295" s="4">
        <v>32</v>
      </c>
      <c r="AR2295" s="3" t="s">
        <v>62</v>
      </c>
      <c r="AS2295" s="3" t="s">
        <v>62</v>
      </c>
      <c r="AT2295" s="3" t="s">
        <v>62</v>
      </c>
      <c r="AV2295" s="6" t="str">
        <f>HYPERLINK("http://mcgill.on.worldcat.org/oclc/51769291","Catalog Record")</f>
        <v>Catalog Record</v>
      </c>
      <c r="AW2295" s="6" t="str">
        <f>HYPERLINK("http://www.worldcat.org/oclc/51769291","WorldCat Record")</f>
        <v>WorldCat Record</v>
      </c>
      <c r="AX2295" s="3" t="s">
        <v>22408</v>
      </c>
      <c r="AY2295" s="3" t="s">
        <v>22409</v>
      </c>
      <c r="AZ2295" s="3" t="s">
        <v>22410</v>
      </c>
      <c r="BA2295" s="3" t="s">
        <v>22410</v>
      </c>
      <c r="BB2295" s="3" t="s">
        <v>22415</v>
      </c>
      <c r="BC2295" s="3" t="s">
        <v>102</v>
      </c>
      <c r="BD2295" s="3" t="s">
        <v>68</v>
      </c>
      <c r="BE2295" s="3" t="s">
        <v>22412</v>
      </c>
      <c r="BF2295" s="3" t="s">
        <v>22415</v>
      </c>
      <c r="BG2295" s="3" t="s">
        <v>22416</v>
      </c>
    </row>
    <row r="2296" spans="1:59" ht="58" x14ac:dyDescent="0.35">
      <c r="A2296" s="2" t="s">
        <v>89</v>
      </c>
      <c r="B2296" s="2" t="s">
        <v>90</v>
      </c>
      <c r="C2296" s="2" t="s">
        <v>22417</v>
      </c>
      <c r="D2296" s="2" t="s">
        <v>22418</v>
      </c>
      <c r="E2296" s="2" t="s">
        <v>22405</v>
      </c>
      <c r="F2296" s="3" t="s">
        <v>13127</v>
      </c>
      <c r="G2296" s="3" t="s">
        <v>61</v>
      </c>
      <c r="I2296" s="3" t="s">
        <v>62</v>
      </c>
      <c r="J2296" s="3" t="s">
        <v>61</v>
      </c>
      <c r="K2296" s="3" t="s">
        <v>63</v>
      </c>
      <c r="L2296" s="2" t="s">
        <v>22419</v>
      </c>
      <c r="M2296" s="2" t="s">
        <v>22420</v>
      </c>
      <c r="N2296" s="3" t="s">
        <v>655</v>
      </c>
      <c r="O2296" s="2" t="s">
        <v>7791</v>
      </c>
      <c r="P2296" s="3" t="s">
        <v>64</v>
      </c>
      <c r="R2296" s="3" t="s">
        <v>13065</v>
      </c>
      <c r="S2296" s="4">
        <v>46</v>
      </c>
      <c r="T2296" s="4">
        <v>70</v>
      </c>
      <c r="U2296" s="5" t="s">
        <v>22421</v>
      </c>
      <c r="V2296" s="5" t="s">
        <v>22421</v>
      </c>
      <c r="W2296" s="5" t="s">
        <v>67</v>
      </c>
      <c r="X2296" s="5" t="s">
        <v>67</v>
      </c>
      <c r="Y2296" s="4">
        <v>159</v>
      </c>
      <c r="Z2296" s="4">
        <v>10</v>
      </c>
      <c r="AA2296" s="4">
        <v>65</v>
      </c>
      <c r="AB2296" s="4">
        <v>1</v>
      </c>
      <c r="AC2296" s="4">
        <v>7</v>
      </c>
      <c r="AD2296" s="4">
        <v>24</v>
      </c>
      <c r="AE2296" s="4">
        <v>108</v>
      </c>
      <c r="AF2296" s="4">
        <v>0</v>
      </c>
      <c r="AG2296" s="4">
        <v>4</v>
      </c>
      <c r="AH2296" s="4">
        <v>23</v>
      </c>
      <c r="AI2296" s="4">
        <v>82</v>
      </c>
      <c r="AJ2296" s="4">
        <v>5</v>
      </c>
      <c r="AK2296" s="4">
        <v>22</v>
      </c>
      <c r="AL2296" s="4">
        <v>10</v>
      </c>
      <c r="AM2296" s="4">
        <v>47</v>
      </c>
      <c r="AN2296" s="4">
        <v>5</v>
      </c>
      <c r="AO2296" s="4">
        <v>5</v>
      </c>
      <c r="AP2296" s="4">
        <v>5</v>
      </c>
      <c r="AQ2296" s="4">
        <v>32</v>
      </c>
      <c r="AR2296" s="3" t="s">
        <v>62</v>
      </c>
      <c r="AS2296" s="3" t="s">
        <v>62</v>
      </c>
      <c r="AT2296" s="3" t="s">
        <v>61</v>
      </c>
      <c r="AU2296" s="6" t="str">
        <f>HYPERLINK("http://catalog.hathitrust.org/Record/009325833","HathiTrust Record")</f>
        <v>HathiTrust Record</v>
      </c>
      <c r="AV2296" s="6" t="str">
        <f>HYPERLINK("http://mcgill.on.worldcat.org/oclc/71782786","Catalog Record")</f>
        <v>Catalog Record</v>
      </c>
      <c r="AW2296" s="6" t="str">
        <f>HYPERLINK("http://www.worldcat.org/oclc/71782786","WorldCat Record")</f>
        <v>WorldCat Record</v>
      </c>
      <c r="AX2296" s="3" t="s">
        <v>22408</v>
      </c>
      <c r="AY2296" s="3" t="s">
        <v>22422</v>
      </c>
      <c r="AZ2296" s="3" t="s">
        <v>22423</v>
      </c>
      <c r="BA2296" s="3" t="s">
        <v>22423</v>
      </c>
      <c r="BB2296" s="3" t="s">
        <v>22424</v>
      </c>
      <c r="BC2296" s="3" t="s">
        <v>102</v>
      </c>
      <c r="BD2296" s="3" t="s">
        <v>68</v>
      </c>
      <c r="BE2296" s="3" t="s">
        <v>22425</v>
      </c>
      <c r="BF2296" s="3" t="s">
        <v>22424</v>
      </c>
      <c r="BG2296" s="3" t="s">
        <v>22426</v>
      </c>
    </row>
    <row r="2297" spans="1:59" ht="58" x14ac:dyDescent="0.35">
      <c r="A2297" s="2" t="s">
        <v>89</v>
      </c>
      <c r="B2297" s="2" t="s">
        <v>90</v>
      </c>
      <c r="C2297" s="2" t="s">
        <v>22417</v>
      </c>
      <c r="D2297" s="2" t="s">
        <v>22418</v>
      </c>
      <c r="E2297" s="2" t="s">
        <v>22405</v>
      </c>
      <c r="F2297" s="3" t="s">
        <v>22427</v>
      </c>
      <c r="G2297" s="3" t="s">
        <v>61</v>
      </c>
      <c r="I2297" s="3" t="s">
        <v>62</v>
      </c>
      <c r="J2297" s="3" t="s">
        <v>61</v>
      </c>
      <c r="K2297" s="3" t="s">
        <v>63</v>
      </c>
      <c r="L2297" s="2" t="s">
        <v>22419</v>
      </c>
      <c r="M2297" s="2" t="s">
        <v>22420</v>
      </c>
      <c r="N2297" s="3" t="s">
        <v>655</v>
      </c>
      <c r="O2297" s="2" t="s">
        <v>7791</v>
      </c>
      <c r="P2297" s="3" t="s">
        <v>64</v>
      </c>
      <c r="R2297" s="3" t="s">
        <v>13065</v>
      </c>
      <c r="S2297" s="4">
        <v>24</v>
      </c>
      <c r="T2297" s="4">
        <v>70</v>
      </c>
      <c r="U2297" s="5" t="s">
        <v>22428</v>
      </c>
      <c r="V2297" s="5" t="s">
        <v>22421</v>
      </c>
      <c r="W2297" s="5" t="s">
        <v>67</v>
      </c>
      <c r="X2297" s="5" t="s">
        <v>67</v>
      </c>
      <c r="Y2297" s="4">
        <v>159</v>
      </c>
      <c r="Z2297" s="4">
        <v>10</v>
      </c>
      <c r="AA2297" s="4">
        <v>65</v>
      </c>
      <c r="AB2297" s="4">
        <v>1</v>
      </c>
      <c r="AC2297" s="4">
        <v>7</v>
      </c>
      <c r="AD2297" s="4">
        <v>24</v>
      </c>
      <c r="AE2297" s="4">
        <v>108</v>
      </c>
      <c r="AF2297" s="4">
        <v>0</v>
      </c>
      <c r="AG2297" s="4">
        <v>4</v>
      </c>
      <c r="AH2297" s="4">
        <v>23</v>
      </c>
      <c r="AI2297" s="4">
        <v>82</v>
      </c>
      <c r="AJ2297" s="4">
        <v>5</v>
      </c>
      <c r="AK2297" s="4">
        <v>22</v>
      </c>
      <c r="AL2297" s="4">
        <v>10</v>
      </c>
      <c r="AM2297" s="4">
        <v>47</v>
      </c>
      <c r="AN2297" s="4">
        <v>5</v>
      </c>
      <c r="AO2297" s="4">
        <v>5</v>
      </c>
      <c r="AP2297" s="4">
        <v>5</v>
      </c>
      <c r="AQ2297" s="4">
        <v>32</v>
      </c>
      <c r="AR2297" s="3" t="s">
        <v>62</v>
      </c>
      <c r="AS2297" s="3" t="s">
        <v>62</v>
      </c>
      <c r="AT2297" s="3" t="s">
        <v>61</v>
      </c>
      <c r="AU2297" s="6" t="str">
        <f>HYPERLINK("http://catalog.hathitrust.org/Record/009325833","HathiTrust Record")</f>
        <v>HathiTrust Record</v>
      </c>
      <c r="AV2297" s="6" t="str">
        <f>HYPERLINK("http://mcgill.on.worldcat.org/oclc/71782786","Catalog Record")</f>
        <v>Catalog Record</v>
      </c>
      <c r="AW2297" s="6" t="str">
        <f>HYPERLINK("http://www.worldcat.org/oclc/71782786","WorldCat Record")</f>
        <v>WorldCat Record</v>
      </c>
      <c r="AX2297" s="3" t="s">
        <v>22408</v>
      </c>
      <c r="AY2297" s="3" t="s">
        <v>22422</v>
      </c>
      <c r="AZ2297" s="3" t="s">
        <v>22423</v>
      </c>
      <c r="BA2297" s="3" t="s">
        <v>22423</v>
      </c>
      <c r="BB2297" s="3" t="s">
        <v>22429</v>
      </c>
      <c r="BC2297" s="3" t="s">
        <v>102</v>
      </c>
      <c r="BD2297" s="3" t="s">
        <v>68</v>
      </c>
      <c r="BE2297" s="3" t="s">
        <v>22425</v>
      </c>
      <c r="BF2297" s="3" t="s">
        <v>22429</v>
      </c>
      <c r="BG2297" s="3" t="s">
        <v>22430</v>
      </c>
    </row>
    <row r="2298" spans="1:59" ht="58" x14ac:dyDescent="0.35">
      <c r="A2298" s="2" t="s">
        <v>89</v>
      </c>
      <c r="B2298" s="2" t="s">
        <v>90</v>
      </c>
      <c r="C2298" s="2" t="s">
        <v>22431</v>
      </c>
      <c r="D2298" s="2" t="s">
        <v>22432</v>
      </c>
      <c r="E2298" s="2" t="s">
        <v>22405</v>
      </c>
      <c r="F2298" s="3" t="s">
        <v>13127</v>
      </c>
      <c r="G2298" s="3" t="s">
        <v>62</v>
      </c>
      <c r="I2298" s="3" t="s">
        <v>61</v>
      </c>
      <c r="J2298" s="3" t="s">
        <v>61</v>
      </c>
      <c r="K2298" s="3" t="s">
        <v>63</v>
      </c>
      <c r="L2298" s="2" t="s">
        <v>22419</v>
      </c>
      <c r="M2298" s="2" t="s">
        <v>22433</v>
      </c>
      <c r="N2298" s="3" t="s">
        <v>1722</v>
      </c>
      <c r="O2298" s="2" t="s">
        <v>17648</v>
      </c>
      <c r="P2298" s="3" t="s">
        <v>64</v>
      </c>
      <c r="R2298" s="3" t="s">
        <v>13065</v>
      </c>
      <c r="S2298" s="4">
        <v>91</v>
      </c>
      <c r="T2298" s="4">
        <v>167</v>
      </c>
      <c r="U2298" s="5" t="s">
        <v>22226</v>
      </c>
      <c r="V2298" s="5" t="s">
        <v>22226</v>
      </c>
      <c r="W2298" s="5" t="s">
        <v>67</v>
      </c>
      <c r="X2298" s="5" t="s">
        <v>67</v>
      </c>
      <c r="Y2298" s="4">
        <v>38</v>
      </c>
      <c r="Z2298" s="4">
        <v>2</v>
      </c>
      <c r="AA2298" s="4">
        <v>65</v>
      </c>
      <c r="AB2298" s="4">
        <v>1</v>
      </c>
      <c r="AC2298" s="4">
        <v>7</v>
      </c>
      <c r="AD2298" s="4">
        <v>4</v>
      </c>
      <c r="AE2298" s="4">
        <v>108</v>
      </c>
      <c r="AF2298" s="4">
        <v>0</v>
      </c>
      <c r="AG2298" s="4">
        <v>4</v>
      </c>
      <c r="AH2298" s="4">
        <v>4</v>
      </c>
      <c r="AI2298" s="4">
        <v>82</v>
      </c>
      <c r="AJ2298" s="4">
        <v>1</v>
      </c>
      <c r="AK2298" s="4">
        <v>22</v>
      </c>
      <c r="AL2298" s="4">
        <v>2</v>
      </c>
      <c r="AM2298" s="4">
        <v>47</v>
      </c>
      <c r="AN2298" s="4">
        <v>0</v>
      </c>
      <c r="AO2298" s="4">
        <v>5</v>
      </c>
      <c r="AP2298" s="4">
        <v>1</v>
      </c>
      <c r="AQ2298" s="4">
        <v>32</v>
      </c>
      <c r="AR2298" s="3" t="s">
        <v>62</v>
      </c>
      <c r="AS2298" s="3" t="s">
        <v>62</v>
      </c>
      <c r="AT2298" s="3" t="s">
        <v>62</v>
      </c>
      <c r="AV2298" s="6" t="str">
        <f>HYPERLINK("http://mcgill.on.worldcat.org/oclc/231582269","Catalog Record")</f>
        <v>Catalog Record</v>
      </c>
      <c r="AW2298" s="6" t="str">
        <f>HYPERLINK("http://www.worldcat.org/oclc/231582269","WorldCat Record")</f>
        <v>WorldCat Record</v>
      </c>
      <c r="AX2298" s="3" t="s">
        <v>22408</v>
      </c>
      <c r="AY2298" s="3" t="s">
        <v>22434</v>
      </c>
      <c r="AZ2298" s="3" t="s">
        <v>22435</v>
      </c>
      <c r="BA2298" s="3" t="s">
        <v>22435</v>
      </c>
      <c r="BB2298" s="3" t="s">
        <v>22436</v>
      </c>
      <c r="BC2298" s="3" t="s">
        <v>102</v>
      </c>
      <c r="BD2298" s="3" t="s">
        <v>68</v>
      </c>
      <c r="BE2298" s="3" t="s">
        <v>22437</v>
      </c>
      <c r="BF2298" s="3" t="s">
        <v>22436</v>
      </c>
      <c r="BG2298" s="3" t="s">
        <v>22438</v>
      </c>
    </row>
    <row r="2299" spans="1:59" ht="58" x14ac:dyDescent="0.35">
      <c r="A2299" s="2" t="s">
        <v>89</v>
      </c>
      <c r="B2299" s="2" t="s">
        <v>90</v>
      </c>
      <c r="C2299" s="2" t="s">
        <v>22431</v>
      </c>
      <c r="D2299" s="2" t="s">
        <v>22432</v>
      </c>
      <c r="E2299" s="2" t="s">
        <v>22405</v>
      </c>
      <c r="G2299" s="3" t="s">
        <v>62</v>
      </c>
      <c r="I2299" s="3" t="s">
        <v>61</v>
      </c>
      <c r="J2299" s="3" t="s">
        <v>61</v>
      </c>
      <c r="K2299" s="3" t="s">
        <v>63</v>
      </c>
      <c r="L2299" s="2" t="s">
        <v>22419</v>
      </c>
      <c r="M2299" s="2" t="s">
        <v>22433</v>
      </c>
      <c r="N2299" s="3" t="s">
        <v>1722</v>
      </c>
      <c r="O2299" s="2" t="s">
        <v>17648</v>
      </c>
      <c r="P2299" s="3" t="s">
        <v>64</v>
      </c>
      <c r="R2299" s="3" t="s">
        <v>13065</v>
      </c>
      <c r="S2299" s="4">
        <v>76</v>
      </c>
      <c r="T2299" s="4">
        <v>167</v>
      </c>
      <c r="U2299" s="5" t="s">
        <v>22439</v>
      </c>
      <c r="V2299" s="5" t="s">
        <v>22226</v>
      </c>
      <c r="W2299" s="5" t="s">
        <v>67</v>
      </c>
      <c r="X2299" s="5" t="s">
        <v>67</v>
      </c>
      <c r="Y2299" s="4">
        <v>38</v>
      </c>
      <c r="Z2299" s="4">
        <v>2</v>
      </c>
      <c r="AA2299" s="4">
        <v>65</v>
      </c>
      <c r="AB2299" s="4">
        <v>1</v>
      </c>
      <c r="AC2299" s="4">
        <v>7</v>
      </c>
      <c r="AD2299" s="4">
        <v>4</v>
      </c>
      <c r="AE2299" s="4">
        <v>108</v>
      </c>
      <c r="AF2299" s="4">
        <v>0</v>
      </c>
      <c r="AG2299" s="4">
        <v>4</v>
      </c>
      <c r="AH2299" s="4">
        <v>4</v>
      </c>
      <c r="AI2299" s="4">
        <v>82</v>
      </c>
      <c r="AJ2299" s="4">
        <v>1</v>
      </c>
      <c r="AK2299" s="4">
        <v>22</v>
      </c>
      <c r="AL2299" s="4">
        <v>2</v>
      </c>
      <c r="AM2299" s="4">
        <v>47</v>
      </c>
      <c r="AN2299" s="4">
        <v>0</v>
      </c>
      <c r="AO2299" s="4">
        <v>5</v>
      </c>
      <c r="AP2299" s="4">
        <v>1</v>
      </c>
      <c r="AQ2299" s="4">
        <v>32</v>
      </c>
      <c r="AR2299" s="3" t="s">
        <v>62</v>
      </c>
      <c r="AS2299" s="3" t="s">
        <v>62</v>
      </c>
      <c r="AT2299" s="3" t="s">
        <v>62</v>
      </c>
      <c r="AV2299" s="6" t="str">
        <f>HYPERLINK("http://mcgill.on.worldcat.org/oclc/231582269","Catalog Record")</f>
        <v>Catalog Record</v>
      </c>
      <c r="AW2299" s="6" t="str">
        <f>HYPERLINK("http://www.worldcat.org/oclc/231582269","WorldCat Record")</f>
        <v>WorldCat Record</v>
      </c>
      <c r="AX2299" s="3" t="s">
        <v>22408</v>
      </c>
      <c r="AY2299" s="3" t="s">
        <v>22434</v>
      </c>
      <c r="AZ2299" s="3" t="s">
        <v>22435</v>
      </c>
      <c r="BA2299" s="3" t="s">
        <v>22435</v>
      </c>
      <c r="BB2299" s="3" t="s">
        <v>22440</v>
      </c>
      <c r="BC2299" s="3" t="s">
        <v>102</v>
      </c>
      <c r="BD2299" s="3" t="s">
        <v>68</v>
      </c>
      <c r="BE2299" s="3" t="s">
        <v>22437</v>
      </c>
      <c r="BF2299" s="3" t="s">
        <v>22440</v>
      </c>
      <c r="BG2299" s="3" t="s">
        <v>22441</v>
      </c>
    </row>
    <row r="2300" spans="1:59" ht="101.5" x14ac:dyDescent="0.35">
      <c r="A2300" s="2" t="s">
        <v>89</v>
      </c>
      <c r="B2300" s="2" t="s">
        <v>17477</v>
      </c>
      <c r="C2300" s="2" t="s">
        <v>22442</v>
      </c>
      <c r="D2300" s="2" t="s">
        <v>22443</v>
      </c>
      <c r="E2300" s="2" t="s">
        <v>22444</v>
      </c>
      <c r="G2300" s="3" t="s">
        <v>62</v>
      </c>
      <c r="I2300" s="3" t="s">
        <v>61</v>
      </c>
      <c r="J2300" s="3" t="s">
        <v>61</v>
      </c>
      <c r="K2300" s="3" t="s">
        <v>63</v>
      </c>
      <c r="L2300" s="2" t="s">
        <v>22419</v>
      </c>
      <c r="M2300" s="2" t="s">
        <v>22445</v>
      </c>
      <c r="N2300" s="3" t="s">
        <v>1455</v>
      </c>
      <c r="O2300" s="2" t="s">
        <v>22446</v>
      </c>
      <c r="P2300" s="3" t="s">
        <v>64</v>
      </c>
      <c r="R2300" s="3" t="s">
        <v>13065</v>
      </c>
      <c r="S2300" s="4">
        <v>7</v>
      </c>
      <c r="T2300" s="4">
        <v>27</v>
      </c>
      <c r="U2300" s="5" t="s">
        <v>22421</v>
      </c>
      <c r="V2300" s="5" t="s">
        <v>5844</v>
      </c>
      <c r="W2300" s="5" t="s">
        <v>22014</v>
      </c>
      <c r="X2300" s="5" t="s">
        <v>17693</v>
      </c>
      <c r="Y2300" s="4">
        <v>52</v>
      </c>
      <c r="Z2300" s="4">
        <v>9</v>
      </c>
      <c r="AA2300" s="4">
        <v>65</v>
      </c>
      <c r="AB2300" s="4">
        <v>1</v>
      </c>
      <c r="AC2300" s="4">
        <v>7</v>
      </c>
      <c r="AD2300" s="4">
        <v>12</v>
      </c>
      <c r="AE2300" s="4">
        <v>108</v>
      </c>
      <c r="AF2300" s="4">
        <v>0</v>
      </c>
      <c r="AG2300" s="4">
        <v>4</v>
      </c>
      <c r="AH2300" s="4">
        <v>9</v>
      </c>
      <c r="AI2300" s="4">
        <v>82</v>
      </c>
      <c r="AJ2300" s="4">
        <v>3</v>
      </c>
      <c r="AK2300" s="4">
        <v>22</v>
      </c>
      <c r="AL2300" s="4">
        <v>3</v>
      </c>
      <c r="AM2300" s="4">
        <v>47</v>
      </c>
      <c r="AN2300" s="4">
        <v>0</v>
      </c>
      <c r="AO2300" s="4">
        <v>5</v>
      </c>
      <c r="AP2300" s="4">
        <v>5</v>
      </c>
      <c r="AQ2300" s="4">
        <v>32</v>
      </c>
      <c r="AR2300" s="3" t="s">
        <v>62</v>
      </c>
      <c r="AS2300" s="3" t="s">
        <v>62</v>
      </c>
      <c r="AT2300" s="3" t="s">
        <v>62</v>
      </c>
      <c r="AV2300" s="6" t="str">
        <f>HYPERLINK("http://mcgill.on.worldcat.org/oclc/908070547","Catalog Record")</f>
        <v>Catalog Record</v>
      </c>
      <c r="AW2300" s="6" t="str">
        <f>HYPERLINK("http://www.worldcat.org/oclc/908070547","WorldCat Record")</f>
        <v>WorldCat Record</v>
      </c>
      <c r="AX2300" s="3" t="s">
        <v>22408</v>
      </c>
      <c r="AY2300" s="3" t="s">
        <v>22447</v>
      </c>
      <c r="AZ2300" s="3" t="s">
        <v>22448</v>
      </c>
      <c r="BA2300" s="3" t="s">
        <v>22448</v>
      </c>
      <c r="BB2300" s="3" t="s">
        <v>22449</v>
      </c>
      <c r="BC2300" s="3" t="s">
        <v>102</v>
      </c>
      <c r="BD2300" s="3" t="s">
        <v>68</v>
      </c>
      <c r="BE2300" s="3" t="s">
        <v>22450</v>
      </c>
      <c r="BF2300" s="3" t="s">
        <v>22449</v>
      </c>
      <c r="BG2300" s="3" t="s">
        <v>22451</v>
      </c>
    </row>
    <row r="2301" spans="1:59" ht="101.5" x14ac:dyDescent="0.35">
      <c r="A2301" s="2" t="s">
        <v>89</v>
      </c>
      <c r="B2301" s="2" t="s">
        <v>17477</v>
      </c>
      <c r="C2301" s="2" t="s">
        <v>22442</v>
      </c>
      <c r="D2301" s="2" t="s">
        <v>22443</v>
      </c>
      <c r="E2301" s="2" t="s">
        <v>22444</v>
      </c>
      <c r="G2301" s="3" t="s">
        <v>62</v>
      </c>
      <c r="I2301" s="3" t="s">
        <v>61</v>
      </c>
      <c r="J2301" s="3" t="s">
        <v>61</v>
      </c>
      <c r="K2301" s="3" t="s">
        <v>63</v>
      </c>
      <c r="L2301" s="2" t="s">
        <v>22419</v>
      </c>
      <c r="M2301" s="2" t="s">
        <v>22445</v>
      </c>
      <c r="N2301" s="3" t="s">
        <v>1455</v>
      </c>
      <c r="O2301" s="2" t="s">
        <v>22446</v>
      </c>
      <c r="P2301" s="3" t="s">
        <v>64</v>
      </c>
      <c r="R2301" s="3" t="s">
        <v>13065</v>
      </c>
      <c r="S2301" s="4">
        <v>10</v>
      </c>
      <c r="T2301" s="4">
        <v>27</v>
      </c>
      <c r="U2301" s="5" t="s">
        <v>5844</v>
      </c>
      <c r="V2301" s="5" t="s">
        <v>5844</v>
      </c>
      <c r="W2301" s="5" t="s">
        <v>17693</v>
      </c>
      <c r="X2301" s="5" t="s">
        <v>17693</v>
      </c>
      <c r="Y2301" s="4">
        <v>52</v>
      </c>
      <c r="Z2301" s="4">
        <v>9</v>
      </c>
      <c r="AA2301" s="4">
        <v>65</v>
      </c>
      <c r="AB2301" s="4">
        <v>1</v>
      </c>
      <c r="AC2301" s="4">
        <v>7</v>
      </c>
      <c r="AD2301" s="4">
        <v>12</v>
      </c>
      <c r="AE2301" s="4">
        <v>108</v>
      </c>
      <c r="AF2301" s="4">
        <v>0</v>
      </c>
      <c r="AG2301" s="4">
        <v>4</v>
      </c>
      <c r="AH2301" s="4">
        <v>9</v>
      </c>
      <c r="AI2301" s="4">
        <v>82</v>
      </c>
      <c r="AJ2301" s="4">
        <v>3</v>
      </c>
      <c r="AK2301" s="4">
        <v>22</v>
      </c>
      <c r="AL2301" s="4">
        <v>3</v>
      </c>
      <c r="AM2301" s="4">
        <v>47</v>
      </c>
      <c r="AN2301" s="4">
        <v>0</v>
      </c>
      <c r="AO2301" s="4">
        <v>5</v>
      </c>
      <c r="AP2301" s="4">
        <v>5</v>
      </c>
      <c r="AQ2301" s="4">
        <v>32</v>
      </c>
      <c r="AR2301" s="3" t="s">
        <v>62</v>
      </c>
      <c r="AS2301" s="3" t="s">
        <v>62</v>
      </c>
      <c r="AT2301" s="3" t="s">
        <v>62</v>
      </c>
      <c r="AV2301" s="6" t="str">
        <f>HYPERLINK("http://mcgill.on.worldcat.org/oclc/908070547","Catalog Record")</f>
        <v>Catalog Record</v>
      </c>
      <c r="AW2301" s="6" t="str">
        <f>HYPERLINK("http://www.worldcat.org/oclc/908070547","WorldCat Record")</f>
        <v>WorldCat Record</v>
      </c>
      <c r="AX2301" s="3" t="s">
        <v>22408</v>
      </c>
      <c r="AY2301" s="3" t="s">
        <v>22447</v>
      </c>
      <c r="AZ2301" s="3" t="s">
        <v>22448</v>
      </c>
      <c r="BA2301" s="3" t="s">
        <v>22448</v>
      </c>
      <c r="BB2301" s="3" t="s">
        <v>22452</v>
      </c>
      <c r="BC2301" s="3" t="s">
        <v>102</v>
      </c>
      <c r="BD2301" s="3" t="s">
        <v>68</v>
      </c>
      <c r="BE2301" s="3" t="s">
        <v>22450</v>
      </c>
      <c r="BF2301" s="3" t="s">
        <v>22452</v>
      </c>
      <c r="BG2301" s="3" t="s">
        <v>22453</v>
      </c>
    </row>
    <row r="2302" spans="1:59" ht="101.5" x14ac:dyDescent="0.35">
      <c r="A2302" s="2" t="s">
        <v>89</v>
      </c>
      <c r="B2302" s="2" t="s">
        <v>17477</v>
      </c>
      <c r="C2302" s="2" t="s">
        <v>22442</v>
      </c>
      <c r="D2302" s="2" t="s">
        <v>22443</v>
      </c>
      <c r="E2302" s="2" t="s">
        <v>22444</v>
      </c>
      <c r="G2302" s="3" t="s">
        <v>62</v>
      </c>
      <c r="I2302" s="3" t="s">
        <v>61</v>
      </c>
      <c r="J2302" s="3" t="s">
        <v>61</v>
      </c>
      <c r="K2302" s="3" t="s">
        <v>63</v>
      </c>
      <c r="L2302" s="2" t="s">
        <v>22419</v>
      </c>
      <c r="M2302" s="2" t="s">
        <v>22445</v>
      </c>
      <c r="N2302" s="3" t="s">
        <v>1455</v>
      </c>
      <c r="O2302" s="2" t="s">
        <v>22446</v>
      </c>
      <c r="P2302" s="3" t="s">
        <v>64</v>
      </c>
      <c r="R2302" s="3" t="s">
        <v>13065</v>
      </c>
      <c r="S2302" s="4">
        <v>10</v>
      </c>
      <c r="T2302" s="4">
        <v>27</v>
      </c>
      <c r="U2302" s="5" t="s">
        <v>22421</v>
      </c>
      <c r="V2302" s="5" t="s">
        <v>5844</v>
      </c>
      <c r="W2302" s="5" t="s">
        <v>17693</v>
      </c>
      <c r="X2302" s="5" t="s">
        <v>17693</v>
      </c>
      <c r="Y2302" s="4">
        <v>52</v>
      </c>
      <c r="Z2302" s="4">
        <v>9</v>
      </c>
      <c r="AA2302" s="4">
        <v>65</v>
      </c>
      <c r="AB2302" s="4">
        <v>1</v>
      </c>
      <c r="AC2302" s="4">
        <v>7</v>
      </c>
      <c r="AD2302" s="4">
        <v>12</v>
      </c>
      <c r="AE2302" s="4">
        <v>108</v>
      </c>
      <c r="AF2302" s="4">
        <v>0</v>
      </c>
      <c r="AG2302" s="4">
        <v>4</v>
      </c>
      <c r="AH2302" s="4">
        <v>9</v>
      </c>
      <c r="AI2302" s="4">
        <v>82</v>
      </c>
      <c r="AJ2302" s="4">
        <v>3</v>
      </c>
      <c r="AK2302" s="4">
        <v>22</v>
      </c>
      <c r="AL2302" s="4">
        <v>3</v>
      </c>
      <c r="AM2302" s="4">
        <v>47</v>
      </c>
      <c r="AN2302" s="4">
        <v>0</v>
      </c>
      <c r="AO2302" s="4">
        <v>5</v>
      </c>
      <c r="AP2302" s="4">
        <v>5</v>
      </c>
      <c r="AQ2302" s="4">
        <v>32</v>
      </c>
      <c r="AR2302" s="3" t="s">
        <v>62</v>
      </c>
      <c r="AS2302" s="3" t="s">
        <v>62</v>
      </c>
      <c r="AT2302" s="3" t="s">
        <v>62</v>
      </c>
      <c r="AV2302" s="6" t="str">
        <f>HYPERLINK("http://mcgill.on.worldcat.org/oclc/908070547","Catalog Record")</f>
        <v>Catalog Record</v>
      </c>
      <c r="AW2302" s="6" t="str">
        <f>HYPERLINK("http://www.worldcat.org/oclc/908070547","WorldCat Record")</f>
        <v>WorldCat Record</v>
      </c>
      <c r="AX2302" s="3" t="s">
        <v>22408</v>
      </c>
      <c r="AY2302" s="3" t="s">
        <v>22447</v>
      </c>
      <c r="AZ2302" s="3" t="s">
        <v>22448</v>
      </c>
      <c r="BA2302" s="3" t="s">
        <v>22448</v>
      </c>
      <c r="BB2302" s="3" t="s">
        <v>22454</v>
      </c>
      <c r="BC2302" s="3" t="s">
        <v>102</v>
      </c>
      <c r="BD2302" s="3" t="s">
        <v>68</v>
      </c>
      <c r="BE2302" s="3" t="s">
        <v>22450</v>
      </c>
      <c r="BF2302" s="3" t="s">
        <v>22454</v>
      </c>
      <c r="BG2302" s="3" t="s">
        <v>22455</v>
      </c>
    </row>
    <row r="2303" spans="1:59" ht="58" x14ac:dyDescent="0.35">
      <c r="A2303" s="2" t="s">
        <v>89</v>
      </c>
      <c r="B2303" s="2" t="s">
        <v>90</v>
      </c>
      <c r="C2303" s="2" t="s">
        <v>22456</v>
      </c>
      <c r="D2303" s="2" t="s">
        <v>22457</v>
      </c>
      <c r="E2303" s="2" t="s">
        <v>22458</v>
      </c>
      <c r="F2303" s="3" t="s">
        <v>22459</v>
      </c>
      <c r="G2303" s="3" t="s">
        <v>61</v>
      </c>
      <c r="I2303" s="3" t="s">
        <v>62</v>
      </c>
      <c r="J2303" s="3" t="s">
        <v>61</v>
      </c>
      <c r="K2303" s="3" t="s">
        <v>63</v>
      </c>
      <c r="L2303" s="2" t="s">
        <v>22419</v>
      </c>
      <c r="M2303" s="2" t="s">
        <v>22460</v>
      </c>
      <c r="N2303" s="3" t="s">
        <v>1195</v>
      </c>
      <c r="O2303" s="2" t="s">
        <v>17648</v>
      </c>
      <c r="P2303" s="3" t="s">
        <v>64</v>
      </c>
      <c r="R2303" s="3" t="s">
        <v>13065</v>
      </c>
      <c r="S2303" s="4">
        <v>45</v>
      </c>
      <c r="T2303" s="4">
        <v>125</v>
      </c>
      <c r="U2303" s="5" t="s">
        <v>3355</v>
      </c>
      <c r="V2303" s="5" t="s">
        <v>9608</v>
      </c>
      <c r="W2303" s="5" t="s">
        <v>67</v>
      </c>
      <c r="X2303" s="5" t="s">
        <v>67</v>
      </c>
      <c r="Y2303" s="4">
        <v>226</v>
      </c>
      <c r="Z2303" s="4">
        <v>23</v>
      </c>
      <c r="AA2303" s="4">
        <v>87</v>
      </c>
      <c r="AB2303" s="4">
        <v>1</v>
      </c>
      <c r="AC2303" s="4">
        <v>13</v>
      </c>
      <c r="AD2303" s="4">
        <v>59</v>
      </c>
      <c r="AE2303" s="4">
        <v>134</v>
      </c>
      <c r="AF2303" s="4">
        <v>0</v>
      </c>
      <c r="AG2303" s="4">
        <v>7</v>
      </c>
      <c r="AH2303" s="4">
        <v>50</v>
      </c>
      <c r="AI2303" s="4">
        <v>99</v>
      </c>
      <c r="AJ2303" s="4">
        <v>8</v>
      </c>
      <c r="AK2303" s="4">
        <v>22</v>
      </c>
      <c r="AL2303" s="4">
        <v>36</v>
      </c>
      <c r="AM2303" s="4">
        <v>58</v>
      </c>
      <c r="AN2303" s="4">
        <v>0</v>
      </c>
      <c r="AO2303" s="4">
        <v>0</v>
      </c>
      <c r="AP2303" s="4">
        <v>12</v>
      </c>
      <c r="AQ2303" s="4">
        <v>39</v>
      </c>
      <c r="AR2303" s="3" t="s">
        <v>62</v>
      </c>
      <c r="AS2303" s="3" t="s">
        <v>62</v>
      </c>
      <c r="AT2303" s="3" t="s">
        <v>62</v>
      </c>
      <c r="AV2303" s="6" t="str">
        <f>HYPERLINK("http://mcgill.on.worldcat.org/oclc/63705381","Catalog Record")</f>
        <v>Catalog Record</v>
      </c>
      <c r="AW2303" s="6" t="str">
        <f>HYPERLINK("http://www.worldcat.org/oclc/63705381","WorldCat Record")</f>
        <v>WorldCat Record</v>
      </c>
      <c r="AX2303" s="3" t="s">
        <v>22461</v>
      </c>
      <c r="AY2303" s="3" t="s">
        <v>22462</v>
      </c>
      <c r="AZ2303" s="3" t="s">
        <v>22463</v>
      </c>
      <c r="BA2303" s="3" t="s">
        <v>22463</v>
      </c>
      <c r="BB2303" s="3" t="s">
        <v>22464</v>
      </c>
      <c r="BC2303" s="3" t="s">
        <v>102</v>
      </c>
      <c r="BD2303" s="3" t="s">
        <v>68</v>
      </c>
      <c r="BE2303" s="3" t="s">
        <v>22465</v>
      </c>
      <c r="BF2303" s="3" t="s">
        <v>22464</v>
      </c>
      <c r="BG2303" s="3" t="s">
        <v>22466</v>
      </c>
    </row>
    <row r="2304" spans="1:59" ht="58" x14ac:dyDescent="0.35">
      <c r="A2304" s="2" t="s">
        <v>89</v>
      </c>
      <c r="B2304" s="2" t="s">
        <v>90</v>
      </c>
      <c r="C2304" s="2" t="s">
        <v>22467</v>
      </c>
      <c r="D2304" s="2" t="s">
        <v>22468</v>
      </c>
      <c r="E2304" s="2" t="s">
        <v>22469</v>
      </c>
      <c r="G2304" s="3" t="s">
        <v>62</v>
      </c>
      <c r="I2304" s="3" t="s">
        <v>61</v>
      </c>
      <c r="J2304" s="3" t="s">
        <v>62</v>
      </c>
      <c r="K2304" s="3" t="s">
        <v>63</v>
      </c>
      <c r="L2304" s="2" t="s">
        <v>22470</v>
      </c>
      <c r="M2304" s="2" t="s">
        <v>22471</v>
      </c>
      <c r="N2304" s="3" t="s">
        <v>1905</v>
      </c>
      <c r="P2304" s="3" t="s">
        <v>64</v>
      </c>
      <c r="R2304" s="3" t="s">
        <v>13065</v>
      </c>
      <c r="S2304" s="4">
        <v>718</v>
      </c>
      <c r="T2304" s="4">
        <v>2108</v>
      </c>
      <c r="U2304" s="5" t="s">
        <v>2767</v>
      </c>
      <c r="V2304" s="5" t="s">
        <v>22472</v>
      </c>
      <c r="W2304" s="5" t="s">
        <v>67</v>
      </c>
      <c r="X2304" s="5" t="s">
        <v>67</v>
      </c>
      <c r="Y2304" s="4">
        <v>69</v>
      </c>
      <c r="Z2304" s="4">
        <v>7</v>
      </c>
      <c r="AA2304" s="4">
        <v>17</v>
      </c>
      <c r="AB2304" s="4">
        <v>2</v>
      </c>
      <c r="AC2304" s="4">
        <v>3</v>
      </c>
      <c r="AD2304" s="4">
        <v>19</v>
      </c>
      <c r="AE2304" s="4">
        <v>27</v>
      </c>
      <c r="AF2304" s="4">
        <v>0</v>
      </c>
      <c r="AG2304" s="4">
        <v>1</v>
      </c>
      <c r="AH2304" s="4">
        <v>17</v>
      </c>
      <c r="AI2304" s="4">
        <v>21</v>
      </c>
      <c r="AJ2304" s="4">
        <v>3</v>
      </c>
      <c r="AK2304" s="4">
        <v>7</v>
      </c>
      <c r="AL2304" s="4">
        <v>8</v>
      </c>
      <c r="AM2304" s="4">
        <v>11</v>
      </c>
      <c r="AN2304" s="4">
        <v>0</v>
      </c>
      <c r="AO2304" s="4">
        <v>0</v>
      </c>
      <c r="AP2304" s="4">
        <v>4</v>
      </c>
      <c r="AQ2304" s="4">
        <v>10</v>
      </c>
      <c r="AR2304" s="3" t="s">
        <v>62</v>
      </c>
      <c r="AS2304" s="3" t="s">
        <v>62</v>
      </c>
      <c r="AT2304" s="3" t="s">
        <v>61</v>
      </c>
      <c r="AU2304" s="6" t="str">
        <f>HYPERLINK("http://catalog.hathitrust.org/Record/000814799","HathiTrust Record")</f>
        <v>HathiTrust Record</v>
      </c>
      <c r="AV2304" s="6" t="str">
        <f>HYPERLINK("http://mcgill.on.worldcat.org/oclc/14377385","Catalog Record")</f>
        <v>Catalog Record</v>
      </c>
      <c r="AW2304" s="6" t="str">
        <f>HYPERLINK("http://www.worldcat.org/oclc/14377385","WorldCat Record")</f>
        <v>WorldCat Record</v>
      </c>
      <c r="AX2304" s="3" t="s">
        <v>22473</v>
      </c>
      <c r="AY2304" s="3" t="s">
        <v>22474</v>
      </c>
      <c r="AZ2304" s="3" t="s">
        <v>22475</v>
      </c>
      <c r="BA2304" s="3" t="s">
        <v>22475</v>
      </c>
      <c r="BB2304" s="3" t="s">
        <v>22476</v>
      </c>
      <c r="BC2304" s="3" t="s">
        <v>102</v>
      </c>
      <c r="BD2304" s="3" t="s">
        <v>68</v>
      </c>
      <c r="BE2304" s="3" t="s">
        <v>22477</v>
      </c>
      <c r="BF2304" s="3" t="s">
        <v>22476</v>
      </c>
      <c r="BG2304" s="3" t="s">
        <v>22478</v>
      </c>
    </row>
    <row r="2305" spans="1:59" ht="58" x14ac:dyDescent="0.35">
      <c r="A2305" s="2" t="s">
        <v>89</v>
      </c>
      <c r="B2305" s="2" t="s">
        <v>90</v>
      </c>
      <c r="C2305" s="2" t="s">
        <v>22467</v>
      </c>
      <c r="D2305" s="2" t="s">
        <v>22468</v>
      </c>
      <c r="E2305" s="2" t="s">
        <v>22469</v>
      </c>
      <c r="G2305" s="3" t="s">
        <v>62</v>
      </c>
      <c r="I2305" s="3" t="s">
        <v>61</v>
      </c>
      <c r="J2305" s="3" t="s">
        <v>62</v>
      </c>
      <c r="K2305" s="3" t="s">
        <v>63</v>
      </c>
      <c r="L2305" s="2" t="s">
        <v>22470</v>
      </c>
      <c r="M2305" s="2" t="s">
        <v>22471</v>
      </c>
      <c r="N2305" s="3" t="s">
        <v>1905</v>
      </c>
      <c r="P2305" s="3" t="s">
        <v>64</v>
      </c>
      <c r="R2305" s="3" t="s">
        <v>13065</v>
      </c>
      <c r="S2305" s="4">
        <v>118</v>
      </c>
      <c r="T2305" s="4">
        <v>2108</v>
      </c>
      <c r="U2305" s="5" t="s">
        <v>12876</v>
      </c>
      <c r="V2305" s="5" t="s">
        <v>22472</v>
      </c>
      <c r="W2305" s="5" t="s">
        <v>67</v>
      </c>
      <c r="X2305" s="5" t="s">
        <v>67</v>
      </c>
      <c r="Y2305" s="4">
        <v>69</v>
      </c>
      <c r="Z2305" s="4">
        <v>7</v>
      </c>
      <c r="AA2305" s="4">
        <v>17</v>
      </c>
      <c r="AB2305" s="4">
        <v>2</v>
      </c>
      <c r="AC2305" s="4">
        <v>3</v>
      </c>
      <c r="AD2305" s="4">
        <v>19</v>
      </c>
      <c r="AE2305" s="4">
        <v>27</v>
      </c>
      <c r="AF2305" s="4">
        <v>0</v>
      </c>
      <c r="AG2305" s="4">
        <v>1</v>
      </c>
      <c r="AH2305" s="4">
        <v>17</v>
      </c>
      <c r="AI2305" s="4">
        <v>21</v>
      </c>
      <c r="AJ2305" s="4">
        <v>3</v>
      </c>
      <c r="AK2305" s="4">
        <v>7</v>
      </c>
      <c r="AL2305" s="4">
        <v>8</v>
      </c>
      <c r="AM2305" s="4">
        <v>11</v>
      </c>
      <c r="AN2305" s="4">
        <v>0</v>
      </c>
      <c r="AO2305" s="4">
        <v>0</v>
      </c>
      <c r="AP2305" s="4">
        <v>4</v>
      </c>
      <c r="AQ2305" s="4">
        <v>10</v>
      </c>
      <c r="AR2305" s="3" t="s">
        <v>62</v>
      </c>
      <c r="AS2305" s="3" t="s">
        <v>62</v>
      </c>
      <c r="AT2305" s="3" t="s">
        <v>61</v>
      </c>
      <c r="AU2305" s="6" t="str">
        <f>HYPERLINK("http://catalog.hathitrust.org/Record/000814799","HathiTrust Record")</f>
        <v>HathiTrust Record</v>
      </c>
      <c r="AV2305" s="6" t="str">
        <f>HYPERLINK("http://mcgill.on.worldcat.org/oclc/14377385","Catalog Record")</f>
        <v>Catalog Record</v>
      </c>
      <c r="AW2305" s="6" t="str">
        <f>HYPERLINK("http://www.worldcat.org/oclc/14377385","WorldCat Record")</f>
        <v>WorldCat Record</v>
      </c>
      <c r="AX2305" s="3" t="s">
        <v>22473</v>
      </c>
      <c r="AY2305" s="3" t="s">
        <v>22474</v>
      </c>
      <c r="AZ2305" s="3" t="s">
        <v>22475</v>
      </c>
      <c r="BA2305" s="3" t="s">
        <v>22475</v>
      </c>
      <c r="BB2305" s="3" t="s">
        <v>22479</v>
      </c>
      <c r="BC2305" s="3" t="s">
        <v>102</v>
      </c>
      <c r="BD2305" s="3" t="s">
        <v>68</v>
      </c>
      <c r="BE2305" s="3" t="s">
        <v>22477</v>
      </c>
      <c r="BF2305" s="3" t="s">
        <v>22479</v>
      </c>
      <c r="BG2305" s="3" t="s">
        <v>22480</v>
      </c>
    </row>
    <row r="2306" spans="1:59" ht="58" x14ac:dyDescent="0.35">
      <c r="A2306" s="2" t="s">
        <v>89</v>
      </c>
      <c r="B2306" s="2" t="s">
        <v>90</v>
      </c>
      <c r="C2306" s="2" t="s">
        <v>22467</v>
      </c>
      <c r="D2306" s="2" t="s">
        <v>22468</v>
      </c>
      <c r="E2306" s="2" t="s">
        <v>22469</v>
      </c>
      <c r="G2306" s="3" t="s">
        <v>62</v>
      </c>
      <c r="I2306" s="3" t="s">
        <v>61</v>
      </c>
      <c r="J2306" s="3" t="s">
        <v>62</v>
      </c>
      <c r="K2306" s="3" t="s">
        <v>63</v>
      </c>
      <c r="L2306" s="2" t="s">
        <v>22470</v>
      </c>
      <c r="M2306" s="2" t="s">
        <v>22471</v>
      </c>
      <c r="N2306" s="3" t="s">
        <v>1905</v>
      </c>
      <c r="P2306" s="3" t="s">
        <v>64</v>
      </c>
      <c r="R2306" s="3" t="s">
        <v>13065</v>
      </c>
      <c r="S2306" s="4">
        <v>549</v>
      </c>
      <c r="T2306" s="4">
        <v>2108</v>
      </c>
      <c r="U2306" s="5" t="s">
        <v>19726</v>
      </c>
      <c r="V2306" s="5" t="s">
        <v>22472</v>
      </c>
      <c r="W2306" s="5" t="s">
        <v>67</v>
      </c>
      <c r="X2306" s="5" t="s">
        <v>67</v>
      </c>
      <c r="Y2306" s="4">
        <v>69</v>
      </c>
      <c r="Z2306" s="4">
        <v>7</v>
      </c>
      <c r="AA2306" s="4">
        <v>17</v>
      </c>
      <c r="AB2306" s="4">
        <v>2</v>
      </c>
      <c r="AC2306" s="4">
        <v>3</v>
      </c>
      <c r="AD2306" s="4">
        <v>19</v>
      </c>
      <c r="AE2306" s="4">
        <v>27</v>
      </c>
      <c r="AF2306" s="4">
        <v>0</v>
      </c>
      <c r="AG2306" s="4">
        <v>1</v>
      </c>
      <c r="AH2306" s="4">
        <v>17</v>
      </c>
      <c r="AI2306" s="4">
        <v>21</v>
      </c>
      <c r="AJ2306" s="4">
        <v>3</v>
      </c>
      <c r="AK2306" s="4">
        <v>7</v>
      </c>
      <c r="AL2306" s="4">
        <v>8</v>
      </c>
      <c r="AM2306" s="4">
        <v>11</v>
      </c>
      <c r="AN2306" s="4">
        <v>0</v>
      </c>
      <c r="AO2306" s="4">
        <v>0</v>
      </c>
      <c r="AP2306" s="4">
        <v>4</v>
      </c>
      <c r="AQ2306" s="4">
        <v>10</v>
      </c>
      <c r="AR2306" s="3" t="s">
        <v>62</v>
      </c>
      <c r="AS2306" s="3" t="s">
        <v>62</v>
      </c>
      <c r="AT2306" s="3" t="s">
        <v>61</v>
      </c>
      <c r="AU2306" s="6" t="str">
        <f>HYPERLINK("http://catalog.hathitrust.org/Record/000814799","HathiTrust Record")</f>
        <v>HathiTrust Record</v>
      </c>
      <c r="AV2306" s="6" t="str">
        <f>HYPERLINK("http://mcgill.on.worldcat.org/oclc/14377385","Catalog Record")</f>
        <v>Catalog Record</v>
      </c>
      <c r="AW2306" s="6" t="str">
        <f>HYPERLINK("http://www.worldcat.org/oclc/14377385","WorldCat Record")</f>
        <v>WorldCat Record</v>
      </c>
      <c r="AX2306" s="3" t="s">
        <v>22473</v>
      </c>
      <c r="AY2306" s="3" t="s">
        <v>22474</v>
      </c>
      <c r="AZ2306" s="3" t="s">
        <v>22475</v>
      </c>
      <c r="BA2306" s="3" t="s">
        <v>22475</v>
      </c>
      <c r="BB2306" s="3" t="s">
        <v>22481</v>
      </c>
      <c r="BC2306" s="3" t="s">
        <v>102</v>
      </c>
      <c r="BD2306" s="3" t="s">
        <v>68</v>
      </c>
      <c r="BE2306" s="3" t="s">
        <v>22477</v>
      </c>
      <c r="BF2306" s="3" t="s">
        <v>22481</v>
      </c>
      <c r="BG2306" s="3" t="s">
        <v>22482</v>
      </c>
    </row>
    <row r="2307" spans="1:59" ht="58" x14ac:dyDescent="0.35">
      <c r="A2307" s="2" t="s">
        <v>89</v>
      </c>
      <c r="B2307" s="2" t="s">
        <v>90</v>
      </c>
      <c r="C2307" s="2" t="s">
        <v>22467</v>
      </c>
      <c r="D2307" s="2" t="s">
        <v>22468</v>
      </c>
      <c r="E2307" s="2" t="s">
        <v>22469</v>
      </c>
      <c r="G2307" s="3" t="s">
        <v>62</v>
      </c>
      <c r="I2307" s="3" t="s">
        <v>61</v>
      </c>
      <c r="J2307" s="3" t="s">
        <v>62</v>
      </c>
      <c r="K2307" s="3" t="s">
        <v>63</v>
      </c>
      <c r="L2307" s="2" t="s">
        <v>22470</v>
      </c>
      <c r="M2307" s="2" t="s">
        <v>22471</v>
      </c>
      <c r="N2307" s="3" t="s">
        <v>1905</v>
      </c>
      <c r="P2307" s="3" t="s">
        <v>64</v>
      </c>
      <c r="R2307" s="3" t="s">
        <v>13065</v>
      </c>
      <c r="S2307" s="4">
        <v>723</v>
      </c>
      <c r="T2307" s="4">
        <v>2108</v>
      </c>
      <c r="U2307" s="5" t="s">
        <v>22472</v>
      </c>
      <c r="V2307" s="5" t="s">
        <v>22472</v>
      </c>
      <c r="W2307" s="5" t="s">
        <v>67</v>
      </c>
      <c r="X2307" s="5" t="s">
        <v>67</v>
      </c>
      <c r="Y2307" s="4">
        <v>69</v>
      </c>
      <c r="Z2307" s="4">
        <v>7</v>
      </c>
      <c r="AA2307" s="4">
        <v>17</v>
      </c>
      <c r="AB2307" s="4">
        <v>2</v>
      </c>
      <c r="AC2307" s="4">
        <v>3</v>
      </c>
      <c r="AD2307" s="4">
        <v>19</v>
      </c>
      <c r="AE2307" s="4">
        <v>27</v>
      </c>
      <c r="AF2307" s="4">
        <v>0</v>
      </c>
      <c r="AG2307" s="4">
        <v>1</v>
      </c>
      <c r="AH2307" s="4">
        <v>17</v>
      </c>
      <c r="AI2307" s="4">
        <v>21</v>
      </c>
      <c r="AJ2307" s="4">
        <v>3</v>
      </c>
      <c r="AK2307" s="4">
        <v>7</v>
      </c>
      <c r="AL2307" s="4">
        <v>8</v>
      </c>
      <c r="AM2307" s="4">
        <v>11</v>
      </c>
      <c r="AN2307" s="4">
        <v>0</v>
      </c>
      <c r="AO2307" s="4">
        <v>0</v>
      </c>
      <c r="AP2307" s="4">
        <v>4</v>
      </c>
      <c r="AQ2307" s="4">
        <v>10</v>
      </c>
      <c r="AR2307" s="3" t="s">
        <v>62</v>
      </c>
      <c r="AS2307" s="3" t="s">
        <v>62</v>
      </c>
      <c r="AT2307" s="3" t="s">
        <v>61</v>
      </c>
      <c r="AU2307" s="6" t="str">
        <f>HYPERLINK("http://catalog.hathitrust.org/Record/000814799","HathiTrust Record")</f>
        <v>HathiTrust Record</v>
      </c>
      <c r="AV2307" s="6" t="str">
        <f>HYPERLINK("http://mcgill.on.worldcat.org/oclc/14377385","Catalog Record")</f>
        <v>Catalog Record</v>
      </c>
      <c r="AW2307" s="6" t="str">
        <f>HYPERLINK("http://www.worldcat.org/oclc/14377385","WorldCat Record")</f>
        <v>WorldCat Record</v>
      </c>
      <c r="AX2307" s="3" t="s">
        <v>22473</v>
      </c>
      <c r="AY2307" s="3" t="s">
        <v>22474</v>
      </c>
      <c r="AZ2307" s="3" t="s">
        <v>22475</v>
      </c>
      <c r="BA2307" s="3" t="s">
        <v>22475</v>
      </c>
      <c r="BB2307" s="3" t="s">
        <v>22483</v>
      </c>
      <c r="BC2307" s="3" t="s">
        <v>102</v>
      </c>
      <c r="BD2307" s="3" t="s">
        <v>68</v>
      </c>
      <c r="BE2307" s="3" t="s">
        <v>22477</v>
      </c>
      <c r="BF2307" s="3" t="s">
        <v>22483</v>
      </c>
      <c r="BG2307" s="3" t="s">
        <v>22484</v>
      </c>
    </row>
    <row r="2308" spans="1:59" ht="58" x14ac:dyDescent="0.35">
      <c r="A2308" s="2" t="s">
        <v>89</v>
      </c>
      <c r="B2308" s="2" t="s">
        <v>90</v>
      </c>
      <c r="C2308" s="2" t="s">
        <v>22485</v>
      </c>
      <c r="D2308" s="2" t="s">
        <v>22486</v>
      </c>
      <c r="E2308" s="2" t="s">
        <v>22487</v>
      </c>
      <c r="G2308" s="3" t="s">
        <v>62</v>
      </c>
      <c r="I2308" s="3" t="s">
        <v>62</v>
      </c>
      <c r="J2308" s="3" t="s">
        <v>61</v>
      </c>
      <c r="K2308" s="3" t="s">
        <v>63</v>
      </c>
      <c r="L2308" s="2" t="s">
        <v>22488</v>
      </c>
      <c r="M2308" s="2" t="s">
        <v>22489</v>
      </c>
      <c r="N2308" s="3" t="s">
        <v>95</v>
      </c>
      <c r="P2308" s="3" t="s">
        <v>64</v>
      </c>
      <c r="R2308" s="3" t="s">
        <v>13065</v>
      </c>
      <c r="S2308" s="4">
        <v>47</v>
      </c>
      <c r="T2308" s="4">
        <v>47</v>
      </c>
      <c r="U2308" s="5" t="s">
        <v>3134</v>
      </c>
      <c r="V2308" s="5" t="s">
        <v>3134</v>
      </c>
      <c r="W2308" s="5" t="s">
        <v>67</v>
      </c>
      <c r="X2308" s="5" t="s">
        <v>67</v>
      </c>
      <c r="Y2308" s="4">
        <v>1028</v>
      </c>
      <c r="Z2308" s="4">
        <v>38</v>
      </c>
      <c r="AA2308" s="4">
        <v>81</v>
      </c>
      <c r="AB2308" s="4">
        <v>2</v>
      </c>
      <c r="AC2308" s="4">
        <v>8</v>
      </c>
      <c r="AD2308" s="4">
        <v>84</v>
      </c>
      <c r="AE2308" s="4">
        <v>119</v>
      </c>
      <c r="AF2308" s="4">
        <v>1</v>
      </c>
      <c r="AG2308" s="4">
        <v>4</v>
      </c>
      <c r="AH2308" s="4">
        <v>72</v>
      </c>
      <c r="AI2308" s="4">
        <v>92</v>
      </c>
      <c r="AJ2308" s="4">
        <v>12</v>
      </c>
      <c r="AK2308" s="4">
        <v>23</v>
      </c>
      <c r="AL2308" s="4">
        <v>37</v>
      </c>
      <c r="AM2308" s="4">
        <v>50</v>
      </c>
      <c r="AN2308" s="4">
        <v>0</v>
      </c>
      <c r="AO2308" s="4">
        <v>0</v>
      </c>
      <c r="AP2308" s="4">
        <v>19</v>
      </c>
      <c r="AQ2308" s="4">
        <v>35</v>
      </c>
      <c r="AR2308" s="3" t="s">
        <v>62</v>
      </c>
      <c r="AS2308" s="3" t="s">
        <v>62</v>
      </c>
      <c r="AT2308" s="3" t="s">
        <v>61</v>
      </c>
      <c r="AU2308" s="6" t="str">
        <f>HYPERLINK("http://catalog.hathitrust.org/Record/000233967","HathiTrust Record")</f>
        <v>HathiTrust Record</v>
      </c>
      <c r="AV2308" s="6" t="str">
        <f>HYPERLINK("http://mcgill.on.worldcat.org/oclc/8283507","Catalog Record")</f>
        <v>Catalog Record</v>
      </c>
      <c r="AW2308" s="6" t="str">
        <f>HYPERLINK("http://www.worldcat.org/oclc/8283507","WorldCat Record")</f>
        <v>WorldCat Record</v>
      </c>
      <c r="AX2308" s="3" t="s">
        <v>22490</v>
      </c>
      <c r="AY2308" s="3" t="s">
        <v>22491</v>
      </c>
      <c r="AZ2308" s="3" t="s">
        <v>22492</v>
      </c>
      <c r="BA2308" s="3" t="s">
        <v>22492</v>
      </c>
      <c r="BB2308" s="3" t="s">
        <v>22493</v>
      </c>
      <c r="BC2308" s="3" t="s">
        <v>102</v>
      </c>
      <c r="BD2308" s="3" t="s">
        <v>68</v>
      </c>
      <c r="BE2308" s="3" t="s">
        <v>22494</v>
      </c>
      <c r="BF2308" s="3" t="s">
        <v>22493</v>
      </c>
      <c r="BG2308" s="3" t="s">
        <v>22495</v>
      </c>
    </row>
    <row r="2309" spans="1:59" ht="58" x14ac:dyDescent="0.35">
      <c r="A2309" s="2" t="s">
        <v>89</v>
      </c>
      <c r="B2309" s="2" t="s">
        <v>90</v>
      </c>
      <c r="C2309" s="2" t="s">
        <v>22496</v>
      </c>
      <c r="D2309" s="2" t="s">
        <v>22497</v>
      </c>
      <c r="E2309" s="2" t="s">
        <v>22487</v>
      </c>
      <c r="G2309" s="3" t="s">
        <v>62</v>
      </c>
      <c r="I2309" s="3" t="s">
        <v>62</v>
      </c>
      <c r="J2309" s="3" t="s">
        <v>61</v>
      </c>
      <c r="K2309" s="3" t="s">
        <v>63</v>
      </c>
      <c r="L2309" s="2" t="s">
        <v>22488</v>
      </c>
      <c r="M2309" s="2" t="s">
        <v>22498</v>
      </c>
      <c r="N2309" s="3" t="s">
        <v>95</v>
      </c>
      <c r="P2309" s="3" t="s">
        <v>64</v>
      </c>
      <c r="Q2309" s="2" t="s">
        <v>22499</v>
      </c>
      <c r="R2309" s="3" t="s">
        <v>13065</v>
      </c>
      <c r="S2309" s="4">
        <v>21</v>
      </c>
      <c r="T2309" s="4">
        <v>21</v>
      </c>
      <c r="U2309" s="5" t="s">
        <v>22276</v>
      </c>
      <c r="V2309" s="5" t="s">
        <v>22276</v>
      </c>
      <c r="W2309" s="5" t="s">
        <v>67</v>
      </c>
      <c r="X2309" s="5" t="s">
        <v>67</v>
      </c>
      <c r="Y2309" s="4">
        <v>179</v>
      </c>
      <c r="Z2309" s="4">
        <v>21</v>
      </c>
      <c r="AA2309" s="4">
        <v>81</v>
      </c>
      <c r="AB2309" s="4">
        <v>2</v>
      </c>
      <c r="AC2309" s="4">
        <v>8</v>
      </c>
      <c r="AD2309" s="4">
        <v>23</v>
      </c>
      <c r="AE2309" s="4">
        <v>119</v>
      </c>
      <c r="AF2309" s="4">
        <v>0</v>
      </c>
      <c r="AG2309" s="4">
        <v>4</v>
      </c>
      <c r="AH2309" s="4">
        <v>17</v>
      </c>
      <c r="AI2309" s="4">
        <v>92</v>
      </c>
      <c r="AJ2309" s="4">
        <v>13</v>
      </c>
      <c r="AK2309" s="4">
        <v>23</v>
      </c>
      <c r="AL2309" s="4">
        <v>9</v>
      </c>
      <c r="AM2309" s="4">
        <v>50</v>
      </c>
      <c r="AN2309" s="4">
        <v>0</v>
      </c>
      <c r="AO2309" s="4">
        <v>0</v>
      </c>
      <c r="AP2309" s="4">
        <v>12</v>
      </c>
      <c r="AQ2309" s="4">
        <v>35</v>
      </c>
      <c r="AR2309" s="3" t="s">
        <v>62</v>
      </c>
      <c r="AS2309" s="3" t="s">
        <v>62</v>
      </c>
      <c r="AT2309" s="3" t="s">
        <v>61</v>
      </c>
      <c r="AU2309" s="6" t="str">
        <f>HYPERLINK("http://catalog.hathitrust.org/Record/000233967","HathiTrust Record")</f>
        <v>HathiTrust Record</v>
      </c>
      <c r="AV2309" s="6" t="str">
        <f>HYPERLINK("http://mcgill.on.worldcat.org/oclc/7872526","Catalog Record")</f>
        <v>Catalog Record</v>
      </c>
      <c r="AW2309" s="6" t="str">
        <f>HYPERLINK("http://www.worldcat.org/oclc/7872526","WorldCat Record")</f>
        <v>WorldCat Record</v>
      </c>
      <c r="AX2309" s="3" t="s">
        <v>22490</v>
      </c>
      <c r="AY2309" s="3" t="s">
        <v>22500</v>
      </c>
      <c r="AZ2309" s="3" t="s">
        <v>22501</v>
      </c>
      <c r="BA2309" s="3" t="s">
        <v>22501</v>
      </c>
      <c r="BB2309" s="3" t="s">
        <v>22502</v>
      </c>
      <c r="BC2309" s="3" t="s">
        <v>102</v>
      </c>
      <c r="BD2309" s="3" t="s">
        <v>68</v>
      </c>
      <c r="BE2309" s="3" t="s">
        <v>22503</v>
      </c>
      <c r="BF2309" s="3" t="s">
        <v>22502</v>
      </c>
      <c r="BG2309" s="3" t="s">
        <v>22504</v>
      </c>
    </row>
    <row r="2310" spans="1:59" ht="58" x14ac:dyDescent="0.35">
      <c r="A2310" s="2" t="s">
        <v>89</v>
      </c>
      <c r="B2310" s="2" t="s">
        <v>90</v>
      </c>
      <c r="C2310" s="2" t="s">
        <v>22505</v>
      </c>
      <c r="D2310" s="2" t="s">
        <v>22506</v>
      </c>
      <c r="E2310" s="2" t="s">
        <v>22487</v>
      </c>
      <c r="G2310" s="3" t="s">
        <v>62</v>
      </c>
      <c r="I2310" s="3" t="s">
        <v>62</v>
      </c>
      <c r="J2310" s="3" t="s">
        <v>61</v>
      </c>
      <c r="K2310" s="3" t="s">
        <v>63</v>
      </c>
      <c r="L2310" s="2" t="s">
        <v>22488</v>
      </c>
      <c r="M2310" s="2" t="s">
        <v>22507</v>
      </c>
      <c r="N2310" s="3" t="s">
        <v>3062</v>
      </c>
      <c r="P2310" s="3" t="s">
        <v>64</v>
      </c>
      <c r="R2310" s="3" t="s">
        <v>13065</v>
      </c>
      <c r="S2310" s="4">
        <v>85</v>
      </c>
      <c r="T2310" s="4">
        <v>85</v>
      </c>
      <c r="U2310" s="5" t="s">
        <v>2808</v>
      </c>
      <c r="V2310" s="5" t="s">
        <v>2808</v>
      </c>
      <c r="W2310" s="5" t="s">
        <v>67</v>
      </c>
      <c r="X2310" s="5" t="s">
        <v>67</v>
      </c>
      <c r="Y2310" s="4">
        <v>53</v>
      </c>
      <c r="Z2310" s="4">
        <v>10</v>
      </c>
      <c r="AA2310" s="4">
        <v>80</v>
      </c>
      <c r="AB2310" s="4">
        <v>0</v>
      </c>
      <c r="AC2310" s="4">
        <v>8</v>
      </c>
      <c r="AD2310" s="4">
        <v>8</v>
      </c>
      <c r="AE2310" s="4">
        <v>119</v>
      </c>
      <c r="AF2310" s="4">
        <v>0</v>
      </c>
      <c r="AG2310" s="4">
        <v>4</v>
      </c>
      <c r="AH2310" s="4">
        <v>4</v>
      </c>
      <c r="AI2310" s="4">
        <v>92</v>
      </c>
      <c r="AJ2310" s="4">
        <v>4</v>
      </c>
      <c r="AK2310" s="4">
        <v>23</v>
      </c>
      <c r="AL2310" s="4">
        <v>0</v>
      </c>
      <c r="AM2310" s="4">
        <v>50</v>
      </c>
      <c r="AN2310" s="4">
        <v>0</v>
      </c>
      <c r="AO2310" s="4">
        <v>0</v>
      </c>
      <c r="AP2310" s="4">
        <v>7</v>
      </c>
      <c r="AQ2310" s="4">
        <v>35</v>
      </c>
      <c r="AR2310" s="3" t="s">
        <v>62</v>
      </c>
      <c r="AS2310" s="3" t="s">
        <v>62</v>
      </c>
      <c r="AT2310" s="3" t="s">
        <v>62</v>
      </c>
      <c r="AV2310" s="6" t="str">
        <f>HYPERLINK("http://mcgill.on.worldcat.org/oclc/61422421","Catalog Record")</f>
        <v>Catalog Record</v>
      </c>
      <c r="AW2310" s="6" t="str">
        <f>HYPERLINK("http://www.worldcat.org/oclc/61422421","WorldCat Record")</f>
        <v>WorldCat Record</v>
      </c>
      <c r="AX2310" s="3" t="s">
        <v>22490</v>
      </c>
      <c r="AY2310" s="3" t="s">
        <v>22508</v>
      </c>
      <c r="AZ2310" s="3" t="s">
        <v>22509</v>
      </c>
      <c r="BA2310" s="3" t="s">
        <v>22509</v>
      </c>
      <c r="BB2310" s="3" t="s">
        <v>22510</v>
      </c>
      <c r="BC2310" s="3" t="s">
        <v>102</v>
      </c>
      <c r="BD2310" s="3" t="s">
        <v>231</v>
      </c>
      <c r="BE2310" s="3" t="s">
        <v>22511</v>
      </c>
      <c r="BF2310" s="3" t="s">
        <v>22510</v>
      </c>
      <c r="BG2310" s="3" t="s">
        <v>22512</v>
      </c>
    </row>
    <row r="2311" spans="1:59" ht="58" x14ac:dyDescent="0.35">
      <c r="A2311" s="2" t="s">
        <v>89</v>
      </c>
      <c r="B2311" s="2" t="s">
        <v>90</v>
      </c>
      <c r="C2311" s="2" t="s">
        <v>22513</v>
      </c>
      <c r="D2311" s="2" t="s">
        <v>22514</v>
      </c>
      <c r="E2311" s="2" t="s">
        <v>22487</v>
      </c>
      <c r="G2311" s="3" t="s">
        <v>62</v>
      </c>
      <c r="I2311" s="3" t="s">
        <v>62</v>
      </c>
      <c r="J2311" s="3" t="s">
        <v>61</v>
      </c>
      <c r="K2311" s="3" t="s">
        <v>63</v>
      </c>
      <c r="L2311" s="2" t="s">
        <v>22488</v>
      </c>
      <c r="M2311" s="2" t="s">
        <v>22515</v>
      </c>
      <c r="N2311" s="3" t="s">
        <v>640</v>
      </c>
      <c r="O2311" s="2" t="s">
        <v>22516</v>
      </c>
      <c r="P2311" s="3" t="s">
        <v>64</v>
      </c>
      <c r="Q2311" s="2" t="s">
        <v>22517</v>
      </c>
      <c r="R2311" s="3" t="s">
        <v>13065</v>
      </c>
      <c r="S2311" s="4">
        <v>24</v>
      </c>
      <c r="T2311" s="4">
        <v>24</v>
      </c>
      <c r="U2311" s="5" t="s">
        <v>22518</v>
      </c>
      <c r="V2311" s="5" t="s">
        <v>22518</v>
      </c>
      <c r="W2311" s="5" t="s">
        <v>67</v>
      </c>
      <c r="X2311" s="5" t="s">
        <v>67</v>
      </c>
      <c r="Y2311" s="4">
        <v>214</v>
      </c>
      <c r="Z2311" s="4">
        <v>12</v>
      </c>
      <c r="AA2311" s="4">
        <v>81</v>
      </c>
      <c r="AB2311" s="4">
        <v>2</v>
      </c>
      <c r="AC2311" s="4">
        <v>8</v>
      </c>
      <c r="AD2311" s="4">
        <v>19</v>
      </c>
      <c r="AE2311" s="4">
        <v>119</v>
      </c>
      <c r="AF2311" s="4">
        <v>0</v>
      </c>
      <c r="AG2311" s="4">
        <v>4</v>
      </c>
      <c r="AH2311" s="4">
        <v>16</v>
      </c>
      <c r="AI2311" s="4">
        <v>92</v>
      </c>
      <c r="AJ2311" s="4">
        <v>7</v>
      </c>
      <c r="AK2311" s="4">
        <v>23</v>
      </c>
      <c r="AL2311" s="4">
        <v>8</v>
      </c>
      <c r="AM2311" s="4">
        <v>50</v>
      </c>
      <c r="AN2311" s="4">
        <v>0</v>
      </c>
      <c r="AO2311" s="4">
        <v>0</v>
      </c>
      <c r="AP2311" s="4">
        <v>7</v>
      </c>
      <c r="AQ2311" s="4">
        <v>35</v>
      </c>
      <c r="AR2311" s="3" t="s">
        <v>62</v>
      </c>
      <c r="AS2311" s="3" t="s">
        <v>62</v>
      </c>
      <c r="AT2311" s="3" t="s">
        <v>62</v>
      </c>
      <c r="AV2311" s="6" t="str">
        <f>HYPERLINK("http://mcgill.on.worldcat.org/oclc/55962577","Catalog Record")</f>
        <v>Catalog Record</v>
      </c>
      <c r="AW2311" s="6" t="str">
        <f>HYPERLINK("http://www.worldcat.org/oclc/55962577","WorldCat Record")</f>
        <v>WorldCat Record</v>
      </c>
      <c r="AX2311" s="3" t="s">
        <v>22490</v>
      </c>
      <c r="AY2311" s="3" t="s">
        <v>22519</v>
      </c>
      <c r="AZ2311" s="3" t="s">
        <v>22520</v>
      </c>
      <c r="BA2311" s="3" t="s">
        <v>22520</v>
      </c>
      <c r="BB2311" s="3" t="s">
        <v>22521</v>
      </c>
      <c r="BC2311" s="3" t="s">
        <v>102</v>
      </c>
      <c r="BD2311" s="3" t="s">
        <v>68</v>
      </c>
      <c r="BE2311" s="3" t="s">
        <v>22522</v>
      </c>
      <c r="BF2311" s="3" t="s">
        <v>22521</v>
      </c>
      <c r="BG2311" s="3" t="s">
        <v>22523</v>
      </c>
    </row>
    <row r="2312" spans="1:59" ht="58" x14ac:dyDescent="0.35">
      <c r="A2312" s="2" t="s">
        <v>89</v>
      </c>
      <c r="B2312" s="2" t="s">
        <v>90</v>
      </c>
      <c r="C2312" s="2" t="s">
        <v>22524</v>
      </c>
      <c r="D2312" s="2" t="s">
        <v>22525</v>
      </c>
      <c r="E2312" s="2" t="s">
        <v>22526</v>
      </c>
      <c r="F2312" s="3" t="s">
        <v>13127</v>
      </c>
      <c r="G2312" s="3" t="s">
        <v>61</v>
      </c>
      <c r="I2312" s="3" t="s">
        <v>62</v>
      </c>
      <c r="J2312" s="3" t="s">
        <v>62</v>
      </c>
      <c r="K2312" s="3" t="s">
        <v>63</v>
      </c>
      <c r="M2312" s="2" t="s">
        <v>22527</v>
      </c>
      <c r="N2312" s="3" t="s">
        <v>2975</v>
      </c>
      <c r="O2312" s="2" t="s">
        <v>22528</v>
      </c>
      <c r="P2312" s="3" t="s">
        <v>64</v>
      </c>
      <c r="R2312" s="3" t="s">
        <v>13065</v>
      </c>
      <c r="S2312" s="4">
        <v>18</v>
      </c>
      <c r="T2312" s="4">
        <v>50</v>
      </c>
      <c r="U2312" s="5" t="s">
        <v>22529</v>
      </c>
      <c r="V2312" s="5" t="s">
        <v>2164</v>
      </c>
      <c r="W2312" s="5" t="s">
        <v>67</v>
      </c>
      <c r="X2312" s="5" t="s">
        <v>67</v>
      </c>
      <c r="Y2312" s="4">
        <v>20</v>
      </c>
      <c r="Z2312" s="4">
        <v>18</v>
      </c>
      <c r="AA2312" s="4">
        <v>40</v>
      </c>
      <c r="AB2312" s="4">
        <v>1</v>
      </c>
      <c r="AC2312" s="4">
        <v>3</v>
      </c>
      <c r="AD2312" s="4">
        <v>8</v>
      </c>
      <c r="AE2312" s="4">
        <v>33</v>
      </c>
      <c r="AF2312" s="4">
        <v>0</v>
      </c>
      <c r="AG2312" s="4">
        <v>2</v>
      </c>
      <c r="AH2312" s="4">
        <v>6</v>
      </c>
      <c r="AI2312" s="4">
        <v>18</v>
      </c>
      <c r="AJ2312" s="4">
        <v>7</v>
      </c>
      <c r="AK2312" s="4">
        <v>9</v>
      </c>
      <c r="AL2312" s="4">
        <v>1</v>
      </c>
      <c r="AM2312" s="4">
        <v>9</v>
      </c>
      <c r="AN2312" s="4">
        <v>0</v>
      </c>
      <c r="AO2312" s="4">
        <v>5</v>
      </c>
      <c r="AP2312" s="4">
        <v>7</v>
      </c>
      <c r="AQ2312" s="4">
        <v>20</v>
      </c>
      <c r="AR2312" s="3" t="s">
        <v>61</v>
      </c>
      <c r="AS2312" s="3" t="s">
        <v>62</v>
      </c>
      <c r="AT2312" s="3" t="s">
        <v>62</v>
      </c>
      <c r="AV2312" s="6" t="str">
        <f>HYPERLINK("http://mcgill.on.worldcat.org/oclc/44069064","Catalog Record")</f>
        <v>Catalog Record</v>
      </c>
      <c r="AW2312" s="6" t="str">
        <f>HYPERLINK("http://www.worldcat.org/oclc/44069064","WorldCat Record")</f>
        <v>WorldCat Record</v>
      </c>
      <c r="AX2312" s="3" t="s">
        <v>22530</v>
      </c>
      <c r="AY2312" s="3" t="s">
        <v>22531</v>
      </c>
      <c r="AZ2312" s="3" t="s">
        <v>22532</v>
      </c>
      <c r="BA2312" s="3" t="s">
        <v>22532</v>
      </c>
      <c r="BB2312" s="3" t="s">
        <v>22533</v>
      </c>
      <c r="BC2312" s="3" t="s">
        <v>102</v>
      </c>
      <c r="BD2312" s="3" t="s">
        <v>68</v>
      </c>
      <c r="BE2312" s="3" t="s">
        <v>22534</v>
      </c>
      <c r="BF2312" s="3" t="s">
        <v>22533</v>
      </c>
      <c r="BG2312" s="3" t="s">
        <v>22535</v>
      </c>
    </row>
    <row r="2313" spans="1:59" ht="58" x14ac:dyDescent="0.35">
      <c r="A2313" s="2" t="s">
        <v>89</v>
      </c>
      <c r="B2313" s="2" t="s">
        <v>90</v>
      </c>
      <c r="C2313" s="2" t="s">
        <v>22536</v>
      </c>
      <c r="D2313" s="2" t="s">
        <v>22537</v>
      </c>
      <c r="E2313" s="2" t="s">
        <v>22538</v>
      </c>
      <c r="G2313" s="3" t="s">
        <v>62</v>
      </c>
      <c r="I2313" s="3" t="s">
        <v>61</v>
      </c>
      <c r="J2313" s="3" t="s">
        <v>62</v>
      </c>
      <c r="K2313" s="3" t="s">
        <v>63</v>
      </c>
      <c r="L2313" s="2" t="s">
        <v>22539</v>
      </c>
      <c r="M2313" s="2" t="s">
        <v>22540</v>
      </c>
      <c r="N2313" s="3" t="s">
        <v>1482</v>
      </c>
      <c r="P2313" s="3" t="s">
        <v>64</v>
      </c>
      <c r="R2313" s="3" t="s">
        <v>13065</v>
      </c>
      <c r="S2313" s="4">
        <v>26</v>
      </c>
      <c r="T2313" s="4">
        <v>63</v>
      </c>
      <c r="U2313" s="5" t="s">
        <v>21458</v>
      </c>
      <c r="V2313" s="5" t="s">
        <v>22541</v>
      </c>
      <c r="W2313" s="5" t="s">
        <v>67</v>
      </c>
      <c r="X2313" s="5" t="s">
        <v>67</v>
      </c>
      <c r="Y2313" s="4">
        <v>873</v>
      </c>
      <c r="Z2313" s="4">
        <v>50</v>
      </c>
      <c r="AA2313" s="4">
        <v>54</v>
      </c>
      <c r="AB2313" s="4">
        <v>3</v>
      </c>
      <c r="AC2313" s="4">
        <v>7</v>
      </c>
      <c r="AD2313" s="4">
        <v>139</v>
      </c>
      <c r="AE2313" s="4">
        <v>142</v>
      </c>
      <c r="AF2313" s="4">
        <v>2</v>
      </c>
      <c r="AG2313" s="4">
        <v>5</v>
      </c>
      <c r="AH2313" s="4">
        <v>111</v>
      </c>
      <c r="AI2313" s="4">
        <v>112</v>
      </c>
      <c r="AJ2313" s="4">
        <v>21</v>
      </c>
      <c r="AK2313" s="4">
        <v>24</v>
      </c>
      <c r="AL2313" s="4">
        <v>60</v>
      </c>
      <c r="AM2313" s="4">
        <v>60</v>
      </c>
      <c r="AN2313" s="4">
        <v>0</v>
      </c>
      <c r="AO2313" s="4">
        <v>0</v>
      </c>
      <c r="AP2313" s="4">
        <v>35</v>
      </c>
      <c r="AQ2313" s="4">
        <v>37</v>
      </c>
      <c r="AR2313" s="3" t="s">
        <v>62</v>
      </c>
      <c r="AS2313" s="3" t="s">
        <v>62</v>
      </c>
      <c r="AT2313" s="3" t="s">
        <v>62</v>
      </c>
      <c r="AV2313" s="6" t="str">
        <f>HYPERLINK("http://mcgill.on.worldcat.org/oclc/13158796","Catalog Record")</f>
        <v>Catalog Record</v>
      </c>
      <c r="AW2313" s="6" t="str">
        <f>HYPERLINK("http://www.worldcat.org/oclc/13158796","WorldCat Record")</f>
        <v>WorldCat Record</v>
      </c>
      <c r="AX2313" s="3" t="s">
        <v>22542</v>
      </c>
      <c r="AY2313" s="3" t="s">
        <v>22543</v>
      </c>
      <c r="AZ2313" s="3" t="s">
        <v>22544</v>
      </c>
      <c r="BA2313" s="3" t="s">
        <v>22544</v>
      </c>
      <c r="BB2313" s="3" t="s">
        <v>22545</v>
      </c>
      <c r="BC2313" s="3" t="s">
        <v>102</v>
      </c>
      <c r="BD2313" s="3" t="s">
        <v>231</v>
      </c>
      <c r="BE2313" s="3" t="s">
        <v>22546</v>
      </c>
      <c r="BF2313" s="3" t="s">
        <v>22545</v>
      </c>
      <c r="BG2313" s="3" t="s">
        <v>22547</v>
      </c>
    </row>
    <row r="2314" spans="1:59" ht="58" x14ac:dyDescent="0.35">
      <c r="A2314" s="2" t="s">
        <v>89</v>
      </c>
      <c r="B2314" s="2" t="s">
        <v>90</v>
      </c>
      <c r="C2314" s="2" t="s">
        <v>22548</v>
      </c>
      <c r="D2314" s="2" t="s">
        <v>22549</v>
      </c>
      <c r="E2314" s="2" t="s">
        <v>22550</v>
      </c>
      <c r="G2314" s="3" t="s">
        <v>62</v>
      </c>
      <c r="I2314" s="3" t="s">
        <v>62</v>
      </c>
      <c r="J2314" s="3" t="s">
        <v>62</v>
      </c>
      <c r="K2314" s="3" t="s">
        <v>63</v>
      </c>
      <c r="M2314" s="2" t="s">
        <v>22551</v>
      </c>
      <c r="N2314" s="3" t="s">
        <v>596</v>
      </c>
      <c r="P2314" s="3" t="s">
        <v>64</v>
      </c>
      <c r="R2314" s="3" t="s">
        <v>13065</v>
      </c>
      <c r="S2314" s="4">
        <v>2</v>
      </c>
      <c r="T2314" s="4">
        <v>2</v>
      </c>
      <c r="U2314" s="5" t="s">
        <v>22552</v>
      </c>
      <c r="V2314" s="5" t="s">
        <v>22552</v>
      </c>
      <c r="W2314" s="5" t="s">
        <v>67</v>
      </c>
      <c r="X2314" s="5" t="s">
        <v>67</v>
      </c>
      <c r="Y2314" s="4">
        <v>99</v>
      </c>
      <c r="Z2314" s="4">
        <v>6</v>
      </c>
      <c r="AA2314" s="4">
        <v>6</v>
      </c>
      <c r="AB2314" s="4">
        <v>1</v>
      </c>
      <c r="AC2314" s="4">
        <v>1</v>
      </c>
      <c r="AD2314" s="4">
        <v>52</v>
      </c>
      <c r="AE2314" s="4">
        <v>52</v>
      </c>
      <c r="AF2314" s="4">
        <v>0</v>
      </c>
      <c r="AG2314" s="4">
        <v>0</v>
      </c>
      <c r="AH2314" s="4">
        <v>50</v>
      </c>
      <c r="AI2314" s="4">
        <v>50</v>
      </c>
      <c r="AJ2314" s="4">
        <v>4</v>
      </c>
      <c r="AK2314" s="4">
        <v>4</v>
      </c>
      <c r="AL2314" s="4">
        <v>32</v>
      </c>
      <c r="AM2314" s="4">
        <v>32</v>
      </c>
      <c r="AN2314" s="4">
        <v>0</v>
      </c>
      <c r="AO2314" s="4">
        <v>0</v>
      </c>
      <c r="AP2314" s="4">
        <v>4</v>
      </c>
      <c r="AQ2314" s="4">
        <v>4</v>
      </c>
      <c r="AR2314" s="3" t="s">
        <v>62</v>
      </c>
      <c r="AS2314" s="3" t="s">
        <v>62</v>
      </c>
      <c r="AT2314" s="3" t="s">
        <v>61</v>
      </c>
      <c r="AU2314" s="6" t="str">
        <f>HYPERLINK("http://catalog.hathitrust.org/Record/004953800","HathiTrust Record")</f>
        <v>HathiTrust Record</v>
      </c>
      <c r="AV2314" s="6" t="str">
        <f>HYPERLINK("http://mcgill.on.worldcat.org/oclc/51076417","Catalog Record")</f>
        <v>Catalog Record</v>
      </c>
      <c r="AW2314" s="6" t="str">
        <f>HYPERLINK("http://www.worldcat.org/oclc/51076417","WorldCat Record")</f>
        <v>WorldCat Record</v>
      </c>
      <c r="AX2314" s="3" t="s">
        <v>22553</v>
      </c>
      <c r="AY2314" s="3" t="s">
        <v>22554</v>
      </c>
      <c r="AZ2314" s="3" t="s">
        <v>22555</v>
      </c>
      <c r="BA2314" s="3" t="s">
        <v>22555</v>
      </c>
      <c r="BB2314" s="3" t="s">
        <v>22556</v>
      </c>
      <c r="BC2314" s="3" t="s">
        <v>102</v>
      </c>
      <c r="BD2314" s="3" t="s">
        <v>68</v>
      </c>
      <c r="BE2314" s="3" t="s">
        <v>22557</v>
      </c>
      <c r="BF2314" s="3" t="s">
        <v>22556</v>
      </c>
      <c r="BG2314" s="3" t="s">
        <v>22558</v>
      </c>
    </row>
    <row r="2315" spans="1:59" ht="58" x14ac:dyDescent="0.35">
      <c r="A2315" s="2" t="s">
        <v>89</v>
      </c>
      <c r="B2315" s="2" t="s">
        <v>90</v>
      </c>
      <c r="C2315" s="2" t="s">
        <v>22559</v>
      </c>
      <c r="D2315" s="2" t="s">
        <v>22560</v>
      </c>
      <c r="E2315" s="2" t="s">
        <v>22561</v>
      </c>
      <c r="G2315" s="3" t="s">
        <v>62</v>
      </c>
      <c r="I2315" s="3" t="s">
        <v>62</v>
      </c>
      <c r="J2315" s="3" t="s">
        <v>62</v>
      </c>
      <c r="K2315" s="3" t="s">
        <v>63</v>
      </c>
      <c r="M2315" s="2" t="s">
        <v>22562</v>
      </c>
      <c r="N2315" s="3" t="s">
        <v>712</v>
      </c>
      <c r="P2315" s="3" t="s">
        <v>64</v>
      </c>
      <c r="R2315" s="3" t="s">
        <v>13065</v>
      </c>
      <c r="S2315" s="4">
        <v>0</v>
      </c>
      <c r="T2315" s="4">
        <v>0</v>
      </c>
      <c r="W2315" s="5" t="s">
        <v>67</v>
      </c>
      <c r="X2315" s="5" t="s">
        <v>67</v>
      </c>
      <c r="Y2315" s="4">
        <v>48</v>
      </c>
      <c r="Z2315" s="4">
        <v>12</v>
      </c>
      <c r="AA2315" s="4">
        <v>48</v>
      </c>
      <c r="AB2315" s="4">
        <v>1</v>
      </c>
      <c r="AC2315" s="4">
        <v>5</v>
      </c>
      <c r="AD2315" s="4">
        <v>23</v>
      </c>
      <c r="AE2315" s="4">
        <v>48</v>
      </c>
      <c r="AF2315" s="4">
        <v>0</v>
      </c>
      <c r="AG2315" s="4">
        <v>1</v>
      </c>
      <c r="AH2315" s="4">
        <v>15</v>
      </c>
      <c r="AI2315" s="4">
        <v>29</v>
      </c>
      <c r="AJ2315" s="4">
        <v>5</v>
      </c>
      <c r="AK2315" s="4">
        <v>12</v>
      </c>
      <c r="AL2315" s="4">
        <v>12</v>
      </c>
      <c r="AM2315" s="4">
        <v>20</v>
      </c>
      <c r="AN2315" s="4">
        <v>0</v>
      </c>
      <c r="AO2315" s="4">
        <v>0</v>
      </c>
      <c r="AP2315" s="4">
        <v>9</v>
      </c>
      <c r="AQ2315" s="4">
        <v>21</v>
      </c>
      <c r="AR2315" s="3" t="s">
        <v>62</v>
      </c>
      <c r="AS2315" s="3" t="s">
        <v>62</v>
      </c>
      <c r="AT2315" s="3" t="s">
        <v>62</v>
      </c>
      <c r="AV2315" s="6" t="str">
        <f>HYPERLINK("http://mcgill.on.worldcat.org/oclc/861212064","Catalog Record")</f>
        <v>Catalog Record</v>
      </c>
      <c r="AW2315" s="6" t="str">
        <f>HYPERLINK("http://www.worldcat.org/oclc/861212064","WorldCat Record")</f>
        <v>WorldCat Record</v>
      </c>
      <c r="AX2315" s="3" t="s">
        <v>22563</v>
      </c>
      <c r="AY2315" s="3" t="s">
        <v>22564</v>
      </c>
      <c r="AZ2315" s="3" t="s">
        <v>22565</v>
      </c>
      <c r="BA2315" s="3" t="s">
        <v>22565</v>
      </c>
      <c r="BB2315" s="3" t="s">
        <v>22566</v>
      </c>
      <c r="BC2315" s="3" t="s">
        <v>102</v>
      </c>
      <c r="BD2315" s="3" t="s">
        <v>68</v>
      </c>
      <c r="BE2315" s="3" t="s">
        <v>22567</v>
      </c>
      <c r="BF2315" s="3" t="s">
        <v>22566</v>
      </c>
      <c r="BG2315" s="3" t="s">
        <v>22568</v>
      </c>
    </row>
    <row r="2316" spans="1:59" ht="58" x14ac:dyDescent="0.35">
      <c r="A2316" s="2" t="s">
        <v>89</v>
      </c>
      <c r="B2316" s="2" t="s">
        <v>90</v>
      </c>
      <c r="C2316" s="2" t="s">
        <v>22569</v>
      </c>
      <c r="D2316" s="2" t="s">
        <v>22570</v>
      </c>
      <c r="E2316" s="2" t="s">
        <v>22571</v>
      </c>
      <c r="G2316" s="3" t="s">
        <v>62</v>
      </c>
      <c r="I2316" s="3" t="s">
        <v>61</v>
      </c>
      <c r="J2316" s="3" t="s">
        <v>62</v>
      </c>
      <c r="K2316" s="3" t="s">
        <v>63</v>
      </c>
      <c r="L2316" s="2" t="s">
        <v>22572</v>
      </c>
      <c r="M2316" s="2" t="s">
        <v>22573</v>
      </c>
      <c r="N2316" s="3" t="s">
        <v>1482</v>
      </c>
      <c r="P2316" s="3" t="s">
        <v>64</v>
      </c>
      <c r="R2316" s="3" t="s">
        <v>13065</v>
      </c>
      <c r="S2316" s="4">
        <v>22</v>
      </c>
      <c r="T2316" s="4">
        <v>71</v>
      </c>
      <c r="U2316" s="5" t="s">
        <v>13290</v>
      </c>
      <c r="V2316" s="5" t="s">
        <v>13499</v>
      </c>
      <c r="W2316" s="5" t="s">
        <v>67</v>
      </c>
      <c r="X2316" s="5" t="s">
        <v>67</v>
      </c>
      <c r="Y2316" s="4">
        <v>1402</v>
      </c>
      <c r="Z2316" s="4">
        <v>56</v>
      </c>
      <c r="AA2316" s="4">
        <v>65</v>
      </c>
      <c r="AB2316" s="4">
        <v>3</v>
      </c>
      <c r="AC2316" s="4">
        <v>11</v>
      </c>
      <c r="AD2316" s="4">
        <v>146</v>
      </c>
      <c r="AE2316" s="4">
        <v>153</v>
      </c>
      <c r="AF2316" s="4">
        <v>2</v>
      </c>
      <c r="AG2316" s="4">
        <v>8</v>
      </c>
      <c r="AH2316" s="4">
        <v>113</v>
      </c>
      <c r="AI2316" s="4">
        <v>114</v>
      </c>
      <c r="AJ2316" s="4">
        <v>23</v>
      </c>
      <c r="AK2316" s="4">
        <v>27</v>
      </c>
      <c r="AL2316" s="4">
        <v>59</v>
      </c>
      <c r="AM2316" s="4">
        <v>59</v>
      </c>
      <c r="AN2316" s="4">
        <v>0</v>
      </c>
      <c r="AO2316" s="4">
        <v>0</v>
      </c>
      <c r="AP2316" s="4">
        <v>41</v>
      </c>
      <c r="AQ2316" s="4">
        <v>47</v>
      </c>
      <c r="AR2316" s="3" t="s">
        <v>62</v>
      </c>
      <c r="AS2316" s="3" t="s">
        <v>62</v>
      </c>
      <c r="AT2316" s="3" t="s">
        <v>61</v>
      </c>
      <c r="AU2316" s="6" t="str">
        <f>HYPERLINK("http://catalog.hathitrust.org/Record/000402058","HathiTrust Record")</f>
        <v>HathiTrust Record</v>
      </c>
      <c r="AV2316" s="6" t="str">
        <f>HYPERLINK("http://mcgill.on.worldcat.org/oclc/12972377","Catalog Record")</f>
        <v>Catalog Record</v>
      </c>
      <c r="AW2316" s="6" t="str">
        <f>HYPERLINK("http://www.worldcat.org/oclc/12972377","WorldCat Record")</f>
        <v>WorldCat Record</v>
      </c>
      <c r="AX2316" s="3" t="s">
        <v>22574</v>
      </c>
      <c r="AY2316" s="3" t="s">
        <v>22575</v>
      </c>
      <c r="AZ2316" s="3" t="s">
        <v>22576</v>
      </c>
      <c r="BA2316" s="3" t="s">
        <v>22576</v>
      </c>
      <c r="BB2316" s="3" t="s">
        <v>22577</v>
      </c>
      <c r="BC2316" s="3" t="s">
        <v>102</v>
      </c>
      <c r="BD2316" s="3" t="s">
        <v>68</v>
      </c>
      <c r="BE2316" s="3" t="s">
        <v>22578</v>
      </c>
      <c r="BF2316" s="3" t="s">
        <v>22577</v>
      </c>
      <c r="BG2316" s="3" t="s">
        <v>22579</v>
      </c>
    </row>
    <row r="2317" spans="1:59" ht="58" x14ac:dyDescent="0.35">
      <c r="A2317" s="2" t="s">
        <v>89</v>
      </c>
      <c r="B2317" s="2" t="s">
        <v>90</v>
      </c>
      <c r="C2317" s="2" t="s">
        <v>22580</v>
      </c>
      <c r="D2317" s="2" t="s">
        <v>22581</v>
      </c>
      <c r="E2317" s="2" t="s">
        <v>22582</v>
      </c>
      <c r="G2317" s="3" t="s">
        <v>62</v>
      </c>
      <c r="I2317" s="3" t="s">
        <v>61</v>
      </c>
      <c r="J2317" s="3" t="s">
        <v>61</v>
      </c>
      <c r="K2317" s="3" t="s">
        <v>63</v>
      </c>
      <c r="M2317" s="2" t="s">
        <v>22583</v>
      </c>
      <c r="N2317" s="3" t="s">
        <v>866</v>
      </c>
      <c r="P2317" s="3" t="s">
        <v>64</v>
      </c>
      <c r="Q2317" s="2" t="s">
        <v>22584</v>
      </c>
      <c r="R2317" s="3" t="s">
        <v>13065</v>
      </c>
      <c r="S2317" s="4">
        <v>0</v>
      </c>
      <c r="T2317" s="4">
        <v>5</v>
      </c>
      <c r="V2317" s="5" t="s">
        <v>22585</v>
      </c>
      <c r="W2317" s="5" t="s">
        <v>67</v>
      </c>
      <c r="X2317" s="5" t="s">
        <v>67</v>
      </c>
      <c r="Y2317" s="4">
        <v>939</v>
      </c>
      <c r="Z2317" s="4">
        <v>43</v>
      </c>
      <c r="AA2317" s="4">
        <v>67</v>
      </c>
      <c r="AB2317" s="4">
        <v>2</v>
      </c>
      <c r="AC2317" s="4">
        <v>11</v>
      </c>
      <c r="AD2317" s="4">
        <v>131</v>
      </c>
      <c r="AE2317" s="4">
        <v>154</v>
      </c>
      <c r="AF2317" s="4">
        <v>1</v>
      </c>
      <c r="AG2317" s="4">
        <v>8</v>
      </c>
      <c r="AH2317" s="4">
        <v>106</v>
      </c>
      <c r="AI2317" s="4">
        <v>114</v>
      </c>
      <c r="AJ2317" s="4">
        <v>19</v>
      </c>
      <c r="AK2317" s="4">
        <v>25</v>
      </c>
      <c r="AL2317" s="4">
        <v>58</v>
      </c>
      <c r="AM2317" s="4">
        <v>61</v>
      </c>
      <c r="AN2317" s="4">
        <v>0</v>
      </c>
      <c r="AO2317" s="4">
        <v>2</v>
      </c>
      <c r="AP2317" s="4">
        <v>32</v>
      </c>
      <c r="AQ2317" s="4">
        <v>46</v>
      </c>
      <c r="AR2317" s="3" t="s">
        <v>62</v>
      </c>
      <c r="AS2317" s="3" t="s">
        <v>62</v>
      </c>
      <c r="AT2317" s="3" t="s">
        <v>61</v>
      </c>
      <c r="AU2317" s="6" t="str">
        <f>HYPERLINK("http://catalog.hathitrust.org/Record/000579117","HathiTrust Record")</f>
        <v>HathiTrust Record</v>
      </c>
      <c r="AV2317" s="6" t="str">
        <f>HYPERLINK("http://mcgill.on.worldcat.org/oclc/364046","Catalog Record")</f>
        <v>Catalog Record</v>
      </c>
      <c r="AW2317" s="6" t="str">
        <f>HYPERLINK("http://www.worldcat.org/oclc/364046","WorldCat Record")</f>
        <v>WorldCat Record</v>
      </c>
      <c r="AX2317" s="3" t="s">
        <v>22586</v>
      </c>
      <c r="AY2317" s="3" t="s">
        <v>22587</v>
      </c>
      <c r="AZ2317" s="3" t="s">
        <v>22588</v>
      </c>
      <c r="BA2317" s="3" t="s">
        <v>22588</v>
      </c>
      <c r="BB2317" s="3" t="s">
        <v>22589</v>
      </c>
      <c r="BC2317" s="3" t="s">
        <v>102</v>
      </c>
      <c r="BD2317" s="3" t="s">
        <v>68</v>
      </c>
      <c r="BE2317" s="3" t="s">
        <v>22590</v>
      </c>
      <c r="BF2317" s="3" t="s">
        <v>22589</v>
      </c>
      <c r="BG2317" s="3" t="s">
        <v>22591</v>
      </c>
    </row>
    <row r="2318" spans="1:59" ht="58" x14ac:dyDescent="0.35">
      <c r="A2318" s="2" t="s">
        <v>59</v>
      </c>
      <c r="B2318" s="2" t="s">
        <v>60</v>
      </c>
      <c r="C2318" s="2" t="s">
        <v>22580</v>
      </c>
      <c r="D2318" s="2" t="s">
        <v>22581</v>
      </c>
      <c r="E2318" s="2" t="s">
        <v>22582</v>
      </c>
      <c r="G2318" s="3" t="s">
        <v>62</v>
      </c>
      <c r="I2318" s="3" t="s">
        <v>61</v>
      </c>
      <c r="J2318" s="3" t="s">
        <v>61</v>
      </c>
      <c r="K2318" s="3" t="s">
        <v>63</v>
      </c>
      <c r="M2318" s="2" t="s">
        <v>22583</v>
      </c>
      <c r="N2318" s="3" t="s">
        <v>866</v>
      </c>
      <c r="P2318" s="3" t="s">
        <v>64</v>
      </c>
      <c r="Q2318" s="2" t="s">
        <v>22584</v>
      </c>
      <c r="R2318" s="3" t="s">
        <v>13065</v>
      </c>
      <c r="S2318" s="4">
        <v>0</v>
      </c>
      <c r="T2318" s="4">
        <v>5</v>
      </c>
      <c r="V2318" s="5" t="s">
        <v>22585</v>
      </c>
      <c r="W2318" s="5" t="s">
        <v>67</v>
      </c>
      <c r="X2318" s="5" t="s">
        <v>67</v>
      </c>
      <c r="Y2318" s="4">
        <v>939</v>
      </c>
      <c r="Z2318" s="4">
        <v>43</v>
      </c>
      <c r="AA2318" s="4">
        <v>67</v>
      </c>
      <c r="AB2318" s="4">
        <v>2</v>
      </c>
      <c r="AC2318" s="4">
        <v>11</v>
      </c>
      <c r="AD2318" s="4">
        <v>131</v>
      </c>
      <c r="AE2318" s="4">
        <v>154</v>
      </c>
      <c r="AF2318" s="4">
        <v>1</v>
      </c>
      <c r="AG2318" s="4">
        <v>8</v>
      </c>
      <c r="AH2318" s="4">
        <v>106</v>
      </c>
      <c r="AI2318" s="4">
        <v>114</v>
      </c>
      <c r="AJ2318" s="4">
        <v>19</v>
      </c>
      <c r="AK2318" s="4">
        <v>25</v>
      </c>
      <c r="AL2318" s="4">
        <v>58</v>
      </c>
      <c r="AM2318" s="4">
        <v>61</v>
      </c>
      <c r="AN2318" s="4">
        <v>0</v>
      </c>
      <c r="AO2318" s="4">
        <v>2</v>
      </c>
      <c r="AP2318" s="4">
        <v>32</v>
      </c>
      <c r="AQ2318" s="4">
        <v>46</v>
      </c>
      <c r="AR2318" s="3" t="s">
        <v>62</v>
      </c>
      <c r="AS2318" s="3" t="s">
        <v>62</v>
      </c>
      <c r="AT2318" s="3" t="s">
        <v>61</v>
      </c>
      <c r="AU2318" s="6" t="str">
        <f>HYPERLINK("http://catalog.hathitrust.org/Record/000579117","HathiTrust Record")</f>
        <v>HathiTrust Record</v>
      </c>
      <c r="AV2318" s="6" t="str">
        <f>HYPERLINK("http://mcgill.on.worldcat.org/oclc/364046","Catalog Record")</f>
        <v>Catalog Record</v>
      </c>
      <c r="AW2318" s="6" t="str">
        <f>HYPERLINK("http://www.worldcat.org/oclc/364046","WorldCat Record")</f>
        <v>WorldCat Record</v>
      </c>
      <c r="AX2318" s="3" t="s">
        <v>22586</v>
      </c>
      <c r="AY2318" s="3" t="s">
        <v>22587</v>
      </c>
      <c r="AZ2318" s="3" t="s">
        <v>22588</v>
      </c>
      <c r="BA2318" s="3" t="s">
        <v>22588</v>
      </c>
      <c r="BB2318" s="3" t="s">
        <v>22592</v>
      </c>
      <c r="BC2318" s="3" t="s">
        <v>102</v>
      </c>
      <c r="BD2318" s="3" t="s">
        <v>68</v>
      </c>
      <c r="BE2318" s="3" t="s">
        <v>22590</v>
      </c>
      <c r="BF2318" s="3" t="s">
        <v>22592</v>
      </c>
      <c r="BG2318" s="3" t="s">
        <v>22593</v>
      </c>
    </row>
    <row r="2319" spans="1:59" ht="58" x14ac:dyDescent="0.35">
      <c r="A2319" s="2" t="s">
        <v>89</v>
      </c>
      <c r="B2319" s="2" t="s">
        <v>90</v>
      </c>
      <c r="C2319" s="2" t="s">
        <v>22594</v>
      </c>
      <c r="D2319" s="2" t="s">
        <v>22595</v>
      </c>
      <c r="E2319" s="2" t="s">
        <v>22596</v>
      </c>
      <c r="G2319" s="3" t="s">
        <v>62</v>
      </c>
      <c r="I2319" s="3" t="s">
        <v>62</v>
      </c>
      <c r="J2319" s="3" t="s">
        <v>61</v>
      </c>
      <c r="K2319" s="3" t="s">
        <v>63</v>
      </c>
      <c r="L2319" s="2" t="s">
        <v>22597</v>
      </c>
      <c r="M2319" s="2" t="s">
        <v>22598</v>
      </c>
      <c r="N2319" s="3" t="s">
        <v>1722</v>
      </c>
      <c r="O2319" s="2" t="s">
        <v>2986</v>
      </c>
      <c r="P2319" s="3" t="s">
        <v>64</v>
      </c>
      <c r="R2319" s="3" t="s">
        <v>13065</v>
      </c>
      <c r="S2319" s="4">
        <v>20</v>
      </c>
      <c r="T2319" s="4">
        <v>20</v>
      </c>
      <c r="U2319" s="5" t="s">
        <v>22599</v>
      </c>
      <c r="V2319" s="5" t="s">
        <v>22599</v>
      </c>
      <c r="W2319" s="5" t="s">
        <v>67</v>
      </c>
      <c r="X2319" s="5" t="s">
        <v>67</v>
      </c>
      <c r="Y2319" s="4">
        <v>171</v>
      </c>
      <c r="Z2319" s="4">
        <v>14</v>
      </c>
      <c r="AA2319" s="4">
        <v>32</v>
      </c>
      <c r="AB2319" s="4">
        <v>2</v>
      </c>
      <c r="AC2319" s="4">
        <v>6</v>
      </c>
      <c r="AD2319" s="4">
        <v>50</v>
      </c>
      <c r="AE2319" s="4">
        <v>95</v>
      </c>
      <c r="AF2319" s="4">
        <v>0</v>
      </c>
      <c r="AG2319" s="4">
        <v>4</v>
      </c>
      <c r="AH2319" s="4">
        <v>45</v>
      </c>
      <c r="AI2319" s="4">
        <v>80</v>
      </c>
      <c r="AJ2319" s="4">
        <v>9</v>
      </c>
      <c r="AK2319" s="4">
        <v>20</v>
      </c>
      <c r="AL2319" s="4">
        <v>30</v>
      </c>
      <c r="AM2319" s="4">
        <v>46</v>
      </c>
      <c r="AN2319" s="4">
        <v>0</v>
      </c>
      <c r="AO2319" s="4">
        <v>0</v>
      </c>
      <c r="AP2319" s="4">
        <v>10</v>
      </c>
      <c r="AQ2319" s="4">
        <v>24</v>
      </c>
      <c r="AR2319" s="3" t="s">
        <v>62</v>
      </c>
      <c r="AS2319" s="3" t="s">
        <v>62</v>
      </c>
      <c r="AT2319" s="3" t="s">
        <v>62</v>
      </c>
      <c r="AV2319" s="6" t="str">
        <f>HYPERLINK("http://mcgill.on.worldcat.org/oclc/221164304","Catalog Record")</f>
        <v>Catalog Record</v>
      </c>
      <c r="AW2319" s="6" t="str">
        <f>HYPERLINK("http://www.worldcat.org/oclc/221164304","WorldCat Record")</f>
        <v>WorldCat Record</v>
      </c>
      <c r="AX2319" s="3" t="s">
        <v>22600</v>
      </c>
      <c r="AY2319" s="3" t="s">
        <v>22601</v>
      </c>
      <c r="AZ2319" s="3" t="s">
        <v>22602</v>
      </c>
      <c r="BA2319" s="3" t="s">
        <v>22602</v>
      </c>
      <c r="BB2319" s="3" t="s">
        <v>22603</v>
      </c>
      <c r="BC2319" s="3" t="s">
        <v>102</v>
      </c>
      <c r="BD2319" s="3" t="s">
        <v>231</v>
      </c>
      <c r="BE2319" s="3" t="s">
        <v>22604</v>
      </c>
      <c r="BF2319" s="3" t="s">
        <v>22603</v>
      </c>
      <c r="BG2319" s="3" t="s">
        <v>22605</v>
      </c>
    </row>
    <row r="2320" spans="1:59" ht="58" x14ac:dyDescent="0.35">
      <c r="A2320" s="2" t="s">
        <v>89</v>
      </c>
      <c r="B2320" s="2" t="s">
        <v>90</v>
      </c>
      <c r="C2320" s="2" t="s">
        <v>22606</v>
      </c>
      <c r="D2320" s="2" t="s">
        <v>22607</v>
      </c>
      <c r="E2320" s="2" t="s">
        <v>22608</v>
      </c>
      <c r="F2320" s="3" t="s">
        <v>22609</v>
      </c>
      <c r="G2320" s="3" t="s">
        <v>62</v>
      </c>
      <c r="I2320" s="3" t="s">
        <v>61</v>
      </c>
      <c r="J2320" s="3" t="s">
        <v>61</v>
      </c>
      <c r="K2320" s="3" t="s">
        <v>63</v>
      </c>
      <c r="M2320" s="2" t="s">
        <v>22610</v>
      </c>
      <c r="N2320" s="3" t="s">
        <v>880</v>
      </c>
      <c r="O2320" s="2" t="s">
        <v>2458</v>
      </c>
      <c r="P2320" s="3" t="s">
        <v>64</v>
      </c>
      <c r="R2320" s="3" t="s">
        <v>13065</v>
      </c>
      <c r="S2320" s="4">
        <v>9</v>
      </c>
      <c r="T2320" s="4">
        <v>29</v>
      </c>
      <c r="U2320" s="5" t="s">
        <v>5085</v>
      </c>
      <c r="V2320" s="5" t="s">
        <v>5085</v>
      </c>
      <c r="W2320" s="5" t="s">
        <v>67</v>
      </c>
      <c r="X2320" s="5" t="s">
        <v>67</v>
      </c>
      <c r="Y2320" s="4">
        <v>197</v>
      </c>
      <c r="Z2320" s="4">
        <v>14</v>
      </c>
      <c r="AA2320" s="4">
        <v>32</v>
      </c>
      <c r="AB2320" s="4">
        <v>1</v>
      </c>
      <c r="AC2320" s="4">
        <v>6</v>
      </c>
      <c r="AD2320" s="4">
        <v>49</v>
      </c>
      <c r="AE2320" s="4">
        <v>95</v>
      </c>
      <c r="AF2320" s="4">
        <v>0</v>
      </c>
      <c r="AG2320" s="4">
        <v>4</v>
      </c>
      <c r="AH2320" s="4">
        <v>43</v>
      </c>
      <c r="AI2320" s="4">
        <v>80</v>
      </c>
      <c r="AJ2320" s="4">
        <v>10</v>
      </c>
      <c r="AK2320" s="4">
        <v>20</v>
      </c>
      <c r="AL2320" s="4">
        <v>27</v>
      </c>
      <c r="AM2320" s="4">
        <v>46</v>
      </c>
      <c r="AN2320" s="4">
        <v>0</v>
      </c>
      <c r="AO2320" s="4">
        <v>0</v>
      </c>
      <c r="AP2320" s="4">
        <v>11</v>
      </c>
      <c r="AQ2320" s="4">
        <v>24</v>
      </c>
      <c r="AR2320" s="3" t="s">
        <v>62</v>
      </c>
      <c r="AS2320" s="3" t="s">
        <v>62</v>
      </c>
      <c r="AT2320" s="3" t="s">
        <v>61</v>
      </c>
      <c r="AU2320" s="6" t="str">
        <f>HYPERLINK("http://catalog.hathitrust.org/Record/102324734","HathiTrust Record")</f>
        <v>HathiTrust Record</v>
      </c>
      <c r="AV2320" s="6" t="str">
        <f>HYPERLINK("http://mcgill.on.worldcat.org/oclc/654317075","Catalog Record")</f>
        <v>Catalog Record</v>
      </c>
      <c r="AW2320" s="6" t="str">
        <f>HYPERLINK("http://www.worldcat.org/oclc/654317075","WorldCat Record")</f>
        <v>WorldCat Record</v>
      </c>
      <c r="AX2320" s="3" t="s">
        <v>22600</v>
      </c>
      <c r="AY2320" s="3" t="s">
        <v>22611</v>
      </c>
      <c r="AZ2320" s="3" t="s">
        <v>22612</v>
      </c>
      <c r="BA2320" s="3" t="s">
        <v>22612</v>
      </c>
      <c r="BB2320" s="3" t="s">
        <v>22613</v>
      </c>
      <c r="BC2320" s="3" t="s">
        <v>102</v>
      </c>
      <c r="BD2320" s="3" t="s">
        <v>68</v>
      </c>
      <c r="BE2320" s="3" t="s">
        <v>22614</v>
      </c>
      <c r="BF2320" s="3" t="s">
        <v>22613</v>
      </c>
      <c r="BG2320" s="3" t="s">
        <v>22615</v>
      </c>
    </row>
    <row r="2321" spans="1:59" ht="58" x14ac:dyDescent="0.35">
      <c r="A2321" s="2" t="s">
        <v>89</v>
      </c>
      <c r="B2321" s="2" t="s">
        <v>90</v>
      </c>
      <c r="C2321" s="2" t="s">
        <v>22606</v>
      </c>
      <c r="D2321" s="2" t="s">
        <v>22607</v>
      </c>
      <c r="E2321" s="2" t="s">
        <v>22608</v>
      </c>
      <c r="G2321" s="3" t="s">
        <v>62</v>
      </c>
      <c r="I2321" s="3" t="s">
        <v>61</v>
      </c>
      <c r="J2321" s="3" t="s">
        <v>61</v>
      </c>
      <c r="K2321" s="3" t="s">
        <v>63</v>
      </c>
      <c r="M2321" s="2" t="s">
        <v>22610</v>
      </c>
      <c r="N2321" s="3" t="s">
        <v>880</v>
      </c>
      <c r="O2321" s="2" t="s">
        <v>2458</v>
      </c>
      <c r="P2321" s="3" t="s">
        <v>64</v>
      </c>
      <c r="R2321" s="3" t="s">
        <v>13065</v>
      </c>
      <c r="S2321" s="4">
        <v>20</v>
      </c>
      <c r="T2321" s="4">
        <v>29</v>
      </c>
      <c r="U2321" s="5" t="s">
        <v>22112</v>
      </c>
      <c r="V2321" s="5" t="s">
        <v>5085</v>
      </c>
      <c r="W2321" s="5" t="s">
        <v>67</v>
      </c>
      <c r="X2321" s="5" t="s">
        <v>67</v>
      </c>
      <c r="Y2321" s="4">
        <v>197</v>
      </c>
      <c r="Z2321" s="4">
        <v>14</v>
      </c>
      <c r="AA2321" s="4">
        <v>32</v>
      </c>
      <c r="AB2321" s="4">
        <v>1</v>
      </c>
      <c r="AC2321" s="4">
        <v>6</v>
      </c>
      <c r="AD2321" s="4">
        <v>49</v>
      </c>
      <c r="AE2321" s="4">
        <v>95</v>
      </c>
      <c r="AF2321" s="4">
        <v>0</v>
      </c>
      <c r="AG2321" s="4">
        <v>4</v>
      </c>
      <c r="AH2321" s="4">
        <v>43</v>
      </c>
      <c r="AI2321" s="4">
        <v>80</v>
      </c>
      <c r="AJ2321" s="4">
        <v>10</v>
      </c>
      <c r="AK2321" s="4">
        <v>20</v>
      </c>
      <c r="AL2321" s="4">
        <v>27</v>
      </c>
      <c r="AM2321" s="4">
        <v>46</v>
      </c>
      <c r="AN2321" s="4">
        <v>0</v>
      </c>
      <c r="AO2321" s="4">
        <v>0</v>
      </c>
      <c r="AP2321" s="4">
        <v>11</v>
      </c>
      <c r="AQ2321" s="4">
        <v>24</v>
      </c>
      <c r="AR2321" s="3" t="s">
        <v>62</v>
      </c>
      <c r="AS2321" s="3" t="s">
        <v>62</v>
      </c>
      <c r="AT2321" s="3" t="s">
        <v>61</v>
      </c>
      <c r="AU2321" s="6" t="str">
        <f>HYPERLINK("http://catalog.hathitrust.org/Record/102324734","HathiTrust Record")</f>
        <v>HathiTrust Record</v>
      </c>
      <c r="AV2321" s="6" t="str">
        <f>HYPERLINK("http://mcgill.on.worldcat.org/oclc/654317075","Catalog Record")</f>
        <v>Catalog Record</v>
      </c>
      <c r="AW2321" s="6" t="str">
        <f>HYPERLINK("http://www.worldcat.org/oclc/654317075","WorldCat Record")</f>
        <v>WorldCat Record</v>
      </c>
      <c r="AX2321" s="3" t="s">
        <v>22600</v>
      </c>
      <c r="AY2321" s="3" t="s">
        <v>22611</v>
      </c>
      <c r="AZ2321" s="3" t="s">
        <v>22612</v>
      </c>
      <c r="BA2321" s="3" t="s">
        <v>22612</v>
      </c>
      <c r="BB2321" s="3" t="s">
        <v>22616</v>
      </c>
      <c r="BC2321" s="3" t="s">
        <v>102</v>
      </c>
      <c r="BD2321" s="3" t="s">
        <v>68</v>
      </c>
      <c r="BE2321" s="3" t="s">
        <v>22614</v>
      </c>
      <c r="BF2321" s="3" t="s">
        <v>22616</v>
      </c>
      <c r="BG2321" s="3" t="s">
        <v>22617</v>
      </c>
    </row>
    <row r="2322" spans="1:59" ht="58" x14ac:dyDescent="0.35">
      <c r="A2322" s="2" t="s">
        <v>89</v>
      </c>
      <c r="B2322" s="2" t="s">
        <v>90</v>
      </c>
      <c r="C2322" s="2" t="s">
        <v>22618</v>
      </c>
      <c r="D2322" s="2" t="s">
        <v>22619</v>
      </c>
      <c r="E2322" s="2" t="s">
        <v>22620</v>
      </c>
      <c r="G2322" s="3" t="s">
        <v>62</v>
      </c>
      <c r="I2322" s="3" t="s">
        <v>61</v>
      </c>
      <c r="J2322" s="3" t="s">
        <v>62</v>
      </c>
      <c r="K2322" s="3" t="s">
        <v>63</v>
      </c>
      <c r="L2322" s="2" t="s">
        <v>22621</v>
      </c>
      <c r="M2322" s="2" t="s">
        <v>22622</v>
      </c>
      <c r="N2322" s="3" t="s">
        <v>481</v>
      </c>
      <c r="P2322" s="3" t="s">
        <v>64</v>
      </c>
      <c r="Q2322" s="2" t="s">
        <v>22623</v>
      </c>
      <c r="R2322" s="3" t="s">
        <v>13065</v>
      </c>
      <c r="S2322" s="4">
        <v>11</v>
      </c>
      <c r="T2322" s="4">
        <v>12</v>
      </c>
      <c r="U2322" s="5" t="s">
        <v>22624</v>
      </c>
      <c r="V2322" s="5" t="s">
        <v>22624</v>
      </c>
      <c r="W2322" s="5" t="s">
        <v>67</v>
      </c>
      <c r="X2322" s="5" t="s">
        <v>67</v>
      </c>
      <c r="Y2322" s="4">
        <v>414</v>
      </c>
      <c r="Z2322" s="4">
        <v>27</v>
      </c>
      <c r="AA2322" s="4">
        <v>59</v>
      </c>
      <c r="AB2322" s="4">
        <v>2</v>
      </c>
      <c r="AC2322" s="4">
        <v>7</v>
      </c>
      <c r="AD2322" s="4">
        <v>103</v>
      </c>
      <c r="AE2322" s="4">
        <v>120</v>
      </c>
      <c r="AF2322" s="4">
        <v>1</v>
      </c>
      <c r="AG2322" s="4">
        <v>1</v>
      </c>
      <c r="AH2322" s="4">
        <v>89</v>
      </c>
      <c r="AI2322" s="4">
        <v>98</v>
      </c>
      <c r="AJ2322" s="4">
        <v>14</v>
      </c>
      <c r="AK2322" s="4">
        <v>20</v>
      </c>
      <c r="AL2322" s="4">
        <v>51</v>
      </c>
      <c r="AM2322" s="4">
        <v>55</v>
      </c>
      <c r="AN2322" s="4">
        <v>0</v>
      </c>
      <c r="AO2322" s="4">
        <v>0</v>
      </c>
      <c r="AP2322" s="4">
        <v>21</v>
      </c>
      <c r="AQ2322" s="4">
        <v>30</v>
      </c>
      <c r="AR2322" s="3" t="s">
        <v>62</v>
      </c>
      <c r="AS2322" s="3" t="s">
        <v>62</v>
      </c>
      <c r="AT2322" s="3" t="s">
        <v>62</v>
      </c>
      <c r="AV2322" s="6" t="str">
        <f>HYPERLINK("http://mcgill.on.worldcat.org/oclc/35860947","Catalog Record")</f>
        <v>Catalog Record</v>
      </c>
      <c r="AW2322" s="6" t="str">
        <f>HYPERLINK("http://www.worldcat.org/oclc/35860947","WorldCat Record")</f>
        <v>WorldCat Record</v>
      </c>
      <c r="AX2322" s="3" t="s">
        <v>22625</v>
      </c>
      <c r="AY2322" s="3" t="s">
        <v>22626</v>
      </c>
      <c r="AZ2322" s="3" t="s">
        <v>22627</v>
      </c>
      <c r="BA2322" s="3" t="s">
        <v>22627</v>
      </c>
      <c r="BB2322" s="3" t="s">
        <v>22628</v>
      </c>
      <c r="BC2322" s="3" t="s">
        <v>102</v>
      </c>
      <c r="BD2322" s="3" t="s">
        <v>68</v>
      </c>
      <c r="BE2322" s="3" t="s">
        <v>22629</v>
      </c>
      <c r="BF2322" s="3" t="s">
        <v>22628</v>
      </c>
      <c r="BG2322" s="3" t="s">
        <v>22630</v>
      </c>
    </row>
    <row r="2323" spans="1:59" ht="58" x14ac:dyDescent="0.35">
      <c r="A2323" s="2" t="s">
        <v>89</v>
      </c>
      <c r="B2323" s="2" t="s">
        <v>90</v>
      </c>
      <c r="C2323" s="2" t="s">
        <v>22618</v>
      </c>
      <c r="D2323" s="2" t="s">
        <v>22619</v>
      </c>
      <c r="E2323" s="2" t="s">
        <v>22620</v>
      </c>
      <c r="G2323" s="3" t="s">
        <v>62</v>
      </c>
      <c r="I2323" s="3" t="s">
        <v>61</v>
      </c>
      <c r="J2323" s="3" t="s">
        <v>62</v>
      </c>
      <c r="K2323" s="3" t="s">
        <v>63</v>
      </c>
      <c r="L2323" s="2" t="s">
        <v>22621</v>
      </c>
      <c r="M2323" s="2" t="s">
        <v>22622</v>
      </c>
      <c r="N2323" s="3" t="s">
        <v>481</v>
      </c>
      <c r="P2323" s="3" t="s">
        <v>64</v>
      </c>
      <c r="Q2323" s="2" t="s">
        <v>22623</v>
      </c>
      <c r="R2323" s="3" t="s">
        <v>13065</v>
      </c>
      <c r="S2323" s="4">
        <v>1</v>
      </c>
      <c r="T2323" s="4">
        <v>12</v>
      </c>
      <c r="U2323" s="5" t="s">
        <v>22631</v>
      </c>
      <c r="V2323" s="5" t="s">
        <v>22624</v>
      </c>
      <c r="W2323" s="5" t="s">
        <v>67</v>
      </c>
      <c r="X2323" s="5" t="s">
        <v>67</v>
      </c>
      <c r="Y2323" s="4">
        <v>414</v>
      </c>
      <c r="Z2323" s="4">
        <v>27</v>
      </c>
      <c r="AA2323" s="4">
        <v>59</v>
      </c>
      <c r="AB2323" s="4">
        <v>2</v>
      </c>
      <c r="AC2323" s="4">
        <v>7</v>
      </c>
      <c r="AD2323" s="4">
        <v>103</v>
      </c>
      <c r="AE2323" s="4">
        <v>120</v>
      </c>
      <c r="AF2323" s="4">
        <v>1</v>
      </c>
      <c r="AG2323" s="4">
        <v>1</v>
      </c>
      <c r="AH2323" s="4">
        <v>89</v>
      </c>
      <c r="AI2323" s="4">
        <v>98</v>
      </c>
      <c r="AJ2323" s="4">
        <v>14</v>
      </c>
      <c r="AK2323" s="4">
        <v>20</v>
      </c>
      <c r="AL2323" s="4">
        <v>51</v>
      </c>
      <c r="AM2323" s="4">
        <v>55</v>
      </c>
      <c r="AN2323" s="4">
        <v>0</v>
      </c>
      <c r="AO2323" s="4">
        <v>0</v>
      </c>
      <c r="AP2323" s="4">
        <v>21</v>
      </c>
      <c r="AQ2323" s="4">
        <v>30</v>
      </c>
      <c r="AR2323" s="3" t="s">
        <v>62</v>
      </c>
      <c r="AS2323" s="3" t="s">
        <v>62</v>
      </c>
      <c r="AT2323" s="3" t="s">
        <v>62</v>
      </c>
      <c r="AV2323" s="6" t="str">
        <f>HYPERLINK("http://mcgill.on.worldcat.org/oclc/35860947","Catalog Record")</f>
        <v>Catalog Record</v>
      </c>
      <c r="AW2323" s="6" t="str">
        <f>HYPERLINK("http://www.worldcat.org/oclc/35860947","WorldCat Record")</f>
        <v>WorldCat Record</v>
      </c>
      <c r="AX2323" s="3" t="s">
        <v>22625</v>
      </c>
      <c r="AY2323" s="3" t="s">
        <v>22626</v>
      </c>
      <c r="AZ2323" s="3" t="s">
        <v>22627</v>
      </c>
      <c r="BA2323" s="3" t="s">
        <v>22627</v>
      </c>
      <c r="BB2323" s="3" t="s">
        <v>22632</v>
      </c>
      <c r="BC2323" s="3" t="s">
        <v>102</v>
      </c>
      <c r="BD2323" s="3" t="s">
        <v>68</v>
      </c>
      <c r="BE2323" s="3" t="s">
        <v>22629</v>
      </c>
      <c r="BF2323" s="3" t="s">
        <v>22632</v>
      </c>
      <c r="BG2323" s="3" t="s">
        <v>22633</v>
      </c>
    </row>
    <row r="2324" spans="1:59" ht="72.5" x14ac:dyDescent="0.35">
      <c r="A2324" s="2" t="s">
        <v>89</v>
      </c>
      <c r="B2324" s="2" t="s">
        <v>1231</v>
      </c>
      <c r="C2324" s="2" t="s">
        <v>22634</v>
      </c>
      <c r="D2324" s="2" t="s">
        <v>22635</v>
      </c>
      <c r="E2324" s="2" t="s">
        <v>22636</v>
      </c>
      <c r="G2324" s="3" t="s">
        <v>62</v>
      </c>
      <c r="I2324" s="3" t="s">
        <v>61</v>
      </c>
      <c r="J2324" s="3" t="s">
        <v>61</v>
      </c>
      <c r="K2324" s="3" t="s">
        <v>63</v>
      </c>
      <c r="L2324" s="2" t="s">
        <v>22637</v>
      </c>
      <c r="M2324" s="2" t="s">
        <v>22638</v>
      </c>
      <c r="N2324" s="3" t="s">
        <v>327</v>
      </c>
      <c r="P2324" s="3" t="s">
        <v>64</v>
      </c>
      <c r="R2324" s="3" t="s">
        <v>13065</v>
      </c>
      <c r="S2324" s="4">
        <v>48</v>
      </c>
      <c r="T2324" s="4">
        <v>162</v>
      </c>
      <c r="U2324" s="5" t="s">
        <v>8639</v>
      </c>
      <c r="V2324" s="5" t="s">
        <v>4816</v>
      </c>
      <c r="W2324" s="5" t="s">
        <v>67</v>
      </c>
      <c r="X2324" s="5" t="s">
        <v>67</v>
      </c>
      <c r="Y2324" s="4">
        <v>2443</v>
      </c>
      <c r="Z2324" s="4">
        <v>101</v>
      </c>
      <c r="AA2324" s="4">
        <v>156</v>
      </c>
      <c r="AB2324" s="4">
        <v>5</v>
      </c>
      <c r="AC2324" s="4">
        <v>22</v>
      </c>
      <c r="AD2324" s="4">
        <v>158</v>
      </c>
      <c r="AE2324" s="4">
        <v>175</v>
      </c>
      <c r="AF2324" s="4">
        <v>1</v>
      </c>
      <c r="AG2324" s="4">
        <v>9</v>
      </c>
      <c r="AH2324" s="4">
        <v>115</v>
      </c>
      <c r="AI2324" s="4">
        <v>119</v>
      </c>
      <c r="AJ2324" s="4">
        <v>25</v>
      </c>
      <c r="AK2324" s="4">
        <v>31</v>
      </c>
      <c r="AL2324" s="4">
        <v>63</v>
      </c>
      <c r="AM2324" s="4">
        <v>64</v>
      </c>
      <c r="AN2324" s="4">
        <v>0</v>
      </c>
      <c r="AO2324" s="4">
        <v>0</v>
      </c>
      <c r="AP2324" s="4">
        <v>45</v>
      </c>
      <c r="AQ2324" s="4">
        <v>58</v>
      </c>
      <c r="AR2324" s="3" t="s">
        <v>62</v>
      </c>
      <c r="AS2324" s="3" t="s">
        <v>62</v>
      </c>
      <c r="AT2324" s="3" t="s">
        <v>61</v>
      </c>
      <c r="AU2324" s="6" t="str">
        <f>HYPERLINK("http://catalog.hathitrust.org/Record/000314979","HathiTrust Record")</f>
        <v>HathiTrust Record</v>
      </c>
      <c r="AV2324" s="6" t="str">
        <f>HYPERLINK("http://mcgill.on.worldcat.org/oclc/9480885","Catalog Record")</f>
        <v>Catalog Record</v>
      </c>
      <c r="AW2324" s="6" t="str">
        <f>HYPERLINK("http://www.worldcat.org/oclc/9480885","WorldCat Record")</f>
        <v>WorldCat Record</v>
      </c>
      <c r="AX2324" s="3" t="s">
        <v>22639</v>
      </c>
      <c r="AY2324" s="3" t="s">
        <v>22640</v>
      </c>
      <c r="AZ2324" s="3" t="s">
        <v>22641</v>
      </c>
      <c r="BA2324" s="3" t="s">
        <v>22641</v>
      </c>
      <c r="BB2324" s="3" t="s">
        <v>22642</v>
      </c>
      <c r="BC2324" s="3" t="s">
        <v>102</v>
      </c>
      <c r="BD2324" s="3" t="s">
        <v>68</v>
      </c>
      <c r="BE2324" s="3" t="s">
        <v>22643</v>
      </c>
      <c r="BF2324" s="3" t="s">
        <v>22642</v>
      </c>
      <c r="BG2324" s="3" t="s">
        <v>22644</v>
      </c>
    </row>
    <row r="2325" spans="1:59" ht="58" x14ac:dyDescent="0.35">
      <c r="A2325" s="2" t="s">
        <v>89</v>
      </c>
      <c r="B2325" s="2" t="s">
        <v>90</v>
      </c>
      <c r="C2325" s="2" t="s">
        <v>22645</v>
      </c>
      <c r="D2325" s="2" t="s">
        <v>22646</v>
      </c>
      <c r="E2325" s="2" t="s">
        <v>22647</v>
      </c>
      <c r="G2325" s="3" t="s">
        <v>62</v>
      </c>
      <c r="I2325" s="3" t="s">
        <v>61</v>
      </c>
      <c r="J2325" s="3" t="s">
        <v>62</v>
      </c>
      <c r="K2325" s="3" t="s">
        <v>63</v>
      </c>
      <c r="L2325" s="2" t="s">
        <v>22648</v>
      </c>
      <c r="M2325" s="2" t="s">
        <v>22649</v>
      </c>
      <c r="N2325" s="3" t="s">
        <v>539</v>
      </c>
      <c r="O2325" s="2" t="s">
        <v>2986</v>
      </c>
      <c r="P2325" s="3" t="s">
        <v>64</v>
      </c>
      <c r="R2325" s="3" t="s">
        <v>13065</v>
      </c>
      <c r="S2325" s="4">
        <v>15</v>
      </c>
      <c r="T2325" s="4">
        <v>73</v>
      </c>
      <c r="U2325" s="5" t="s">
        <v>8153</v>
      </c>
      <c r="V2325" s="5" t="s">
        <v>8153</v>
      </c>
      <c r="W2325" s="5" t="s">
        <v>67</v>
      </c>
      <c r="X2325" s="5" t="s">
        <v>67</v>
      </c>
      <c r="Y2325" s="4">
        <v>85</v>
      </c>
      <c r="Z2325" s="4">
        <v>10</v>
      </c>
      <c r="AA2325" s="4">
        <v>122</v>
      </c>
      <c r="AB2325" s="4">
        <v>3</v>
      </c>
      <c r="AC2325" s="4">
        <v>24</v>
      </c>
      <c r="AD2325" s="4">
        <v>26</v>
      </c>
      <c r="AE2325" s="4">
        <v>143</v>
      </c>
      <c r="AF2325" s="4">
        <v>1</v>
      </c>
      <c r="AG2325" s="4">
        <v>12</v>
      </c>
      <c r="AH2325" s="4">
        <v>19</v>
      </c>
      <c r="AI2325" s="4">
        <v>99</v>
      </c>
      <c r="AJ2325" s="4">
        <v>7</v>
      </c>
      <c r="AK2325" s="4">
        <v>25</v>
      </c>
      <c r="AL2325" s="4">
        <v>13</v>
      </c>
      <c r="AM2325" s="4">
        <v>54</v>
      </c>
      <c r="AN2325" s="4">
        <v>0</v>
      </c>
      <c r="AO2325" s="4">
        <v>0</v>
      </c>
      <c r="AP2325" s="4">
        <v>7</v>
      </c>
      <c r="AQ2325" s="4">
        <v>50</v>
      </c>
      <c r="AR2325" s="3" t="s">
        <v>62</v>
      </c>
      <c r="AS2325" s="3" t="s">
        <v>62</v>
      </c>
      <c r="AT2325" s="3" t="s">
        <v>62</v>
      </c>
      <c r="AV2325" s="6" t="str">
        <f>HYPERLINK("http://mcgill.on.worldcat.org/oclc/41183073","Catalog Record")</f>
        <v>Catalog Record</v>
      </c>
      <c r="AW2325" s="6" t="str">
        <f>HYPERLINK("http://www.worldcat.org/oclc/41183073","WorldCat Record")</f>
        <v>WorldCat Record</v>
      </c>
      <c r="AX2325" s="3" t="s">
        <v>22650</v>
      </c>
      <c r="AY2325" s="3" t="s">
        <v>22651</v>
      </c>
      <c r="AZ2325" s="3" t="s">
        <v>22652</v>
      </c>
      <c r="BA2325" s="3" t="s">
        <v>22652</v>
      </c>
      <c r="BB2325" s="3" t="s">
        <v>22653</v>
      </c>
      <c r="BC2325" s="3" t="s">
        <v>102</v>
      </c>
      <c r="BD2325" s="3" t="s">
        <v>68</v>
      </c>
      <c r="BE2325" s="3" t="s">
        <v>22654</v>
      </c>
      <c r="BF2325" s="3" t="s">
        <v>22653</v>
      </c>
      <c r="BG2325" s="3" t="s">
        <v>22655</v>
      </c>
    </row>
    <row r="2326" spans="1:59" ht="58" x14ac:dyDescent="0.35">
      <c r="A2326" s="2" t="s">
        <v>89</v>
      </c>
      <c r="B2326" s="2" t="s">
        <v>90</v>
      </c>
      <c r="C2326" s="2" t="s">
        <v>22656</v>
      </c>
      <c r="D2326" s="2" t="s">
        <v>22657</v>
      </c>
      <c r="E2326" s="2" t="s">
        <v>22658</v>
      </c>
      <c r="G2326" s="3" t="s">
        <v>62</v>
      </c>
      <c r="I2326" s="3" t="s">
        <v>62</v>
      </c>
      <c r="J2326" s="3" t="s">
        <v>61</v>
      </c>
      <c r="K2326" s="3" t="s">
        <v>63</v>
      </c>
      <c r="L2326" s="2" t="s">
        <v>22659</v>
      </c>
      <c r="M2326" s="2" t="s">
        <v>22660</v>
      </c>
      <c r="N2326" s="3" t="s">
        <v>1195</v>
      </c>
      <c r="P2326" s="3" t="s">
        <v>64</v>
      </c>
      <c r="R2326" s="3" t="s">
        <v>13065</v>
      </c>
      <c r="S2326" s="4">
        <v>48</v>
      </c>
      <c r="T2326" s="4">
        <v>48</v>
      </c>
      <c r="U2326" s="5" t="s">
        <v>21561</v>
      </c>
      <c r="V2326" s="5" t="s">
        <v>21561</v>
      </c>
      <c r="W2326" s="5" t="s">
        <v>67</v>
      </c>
      <c r="X2326" s="5" t="s">
        <v>67</v>
      </c>
      <c r="Y2326" s="4">
        <v>136</v>
      </c>
      <c r="Z2326" s="4">
        <v>9</v>
      </c>
      <c r="AA2326" s="4">
        <v>23</v>
      </c>
      <c r="AB2326" s="4">
        <v>1</v>
      </c>
      <c r="AC2326" s="4">
        <v>6</v>
      </c>
      <c r="AD2326" s="4">
        <v>44</v>
      </c>
      <c r="AE2326" s="4">
        <v>98</v>
      </c>
      <c r="AF2326" s="4">
        <v>0</v>
      </c>
      <c r="AG2326" s="4">
        <v>5</v>
      </c>
      <c r="AH2326" s="4">
        <v>41</v>
      </c>
      <c r="AI2326" s="4">
        <v>86</v>
      </c>
      <c r="AJ2326" s="4">
        <v>6</v>
      </c>
      <c r="AK2326" s="4">
        <v>15</v>
      </c>
      <c r="AL2326" s="4">
        <v>29</v>
      </c>
      <c r="AM2326" s="4">
        <v>51</v>
      </c>
      <c r="AN2326" s="4">
        <v>0</v>
      </c>
      <c r="AO2326" s="4">
        <v>0</v>
      </c>
      <c r="AP2326" s="4">
        <v>7</v>
      </c>
      <c r="AQ2326" s="4">
        <v>18</v>
      </c>
      <c r="AR2326" s="3" t="s">
        <v>62</v>
      </c>
      <c r="AS2326" s="3" t="s">
        <v>62</v>
      </c>
      <c r="AT2326" s="3" t="s">
        <v>62</v>
      </c>
      <c r="AV2326" s="6" t="str">
        <f>HYPERLINK("http://mcgill.on.worldcat.org/oclc/62781022","Catalog Record")</f>
        <v>Catalog Record</v>
      </c>
      <c r="AW2326" s="6" t="str">
        <f>HYPERLINK("http://www.worldcat.org/oclc/62781022","WorldCat Record")</f>
        <v>WorldCat Record</v>
      </c>
      <c r="AX2326" s="3" t="s">
        <v>22661</v>
      </c>
      <c r="AY2326" s="3" t="s">
        <v>22662</v>
      </c>
      <c r="AZ2326" s="3" t="s">
        <v>22663</v>
      </c>
      <c r="BA2326" s="3" t="s">
        <v>22663</v>
      </c>
      <c r="BB2326" s="3" t="s">
        <v>22664</v>
      </c>
      <c r="BC2326" s="3" t="s">
        <v>102</v>
      </c>
      <c r="BD2326" s="3" t="s">
        <v>68</v>
      </c>
      <c r="BE2326" s="3" t="s">
        <v>22665</v>
      </c>
      <c r="BF2326" s="3" t="s">
        <v>22664</v>
      </c>
      <c r="BG2326" s="3" t="s">
        <v>22666</v>
      </c>
    </row>
    <row r="2327" spans="1:59" ht="58" x14ac:dyDescent="0.35">
      <c r="A2327" s="2" t="s">
        <v>89</v>
      </c>
      <c r="B2327" s="2" t="s">
        <v>90</v>
      </c>
      <c r="C2327" s="2" t="s">
        <v>22667</v>
      </c>
      <c r="D2327" s="2" t="s">
        <v>22668</v>
      </c>
      <c r="E2327" s="2" t="s">
        <v>22669</v>
      </c>
      <c r="G2327" s="3" t="s">
        <v>62</v>
      </c>
      <c r="I2327" s="3" t="s">
        <v>62</v>
      </c>
      <c r="J2327" s="3" t="s">
        <v>61</v>
      </c>
      <c r="K2327" s="3" t="s">
        <v>63</v>
      </c>
      <c r="L2327" s="2" t="s">
        <v>22670</v>
      </c>
      <c r="M2327" s="2" t="s">
        <v>22671</v>
      </c>
      <c r="N2327" s="3" t="s">
        <v>129</v>
      </c>
      <c r="O2327" s="2" t="s">
        <v>22672</v>
      </c>
      <c r="P2327" s="3" t="s">
        <v>64</v>
      </c>
      <c r="R2327" s="3" t="s">
        <v>13065</v>
      </c>
      <c r="S2327" s="4">
        <v>18</v>
      </c>
      <c r="T2327" s="4">
        <v>18</v>
      </c>
      <c r="U2327" s="5" t="s">
        <v>9474</v>
      </c>
      <c r="V2327" s="5" t="s">
        <v>9474</v>
      </c>
      <c r="W2327" s="5" t="s">
        <v>67</v>
      </c>
      <c r="X2327" s="5" t="s">
        <v>67</v>
      </c>
      <c r="Y2327" s="4">
        <v>172</v>
      </c>
      <c r="Z2327" s="4">
        <v>10</v>
      </c>
      <c r="AA2327" s="4">
        <v>23</v>
      </c>
      <c r="AB2327" s="4">
        <v>2</v>
      </c>
      <c r="AC2327" s="4">
        <v>6</v>
      </c>
      <c r="AD2327" s="4">
        <v>50</v>
      </c>
      <c r="AE2327" s="4">
        <v>98</v>
      </c>
      <c r="AF2327" s="4">
        <v>1</v>
      </c>
      <c r="AG2327" s="4">
        <v>5</v>
      </c>
      <c r="AH2327" s="4">
        <v>46</v>
      </c>
      <c r="AI2327" s="4">
        <v>86</v>
      </c>
      <c r="AJ2327" s="4">
        <v>7</v>
      </c>
      <c r="AK2327" s="4">
        <v>15</v>
      </c>
      <c r="AL2327" s="4">
        <v>32</v>
      </c>
      <c r="AM2327" s="4">
        <v>51</v>
      </c>
      <c r="AN2327" s="4">
        <v>0</v>
      </c>
      <c r="AO2327" s="4">
        <v>0</v>
      </c>
      <c r="AP2327" s="4">
        <v>8</v>
      </c>
      <c r="AQ2327" s="4">
        <v>18</v>
      </c>
      <c r="AR2327" s="3" t="s">
        <v>62</v>
      </c>
      <c r="AS2327" s="3" t="s">
        <v>62</v>
      </c>
      <c r="AT2327" s="3" t="s">
        <v>62</v>
      </c>
      <c r="AV2327" s="6" t="str">
        <f>HYPERLINK("http://mcgill.on.worldcat.org/oclc/812567075","Catalog Record")</f>
        <v>Catalog Record</v>
      </c>
      <c r="AW2327" s="6" t="str">
        <f>HYPERLINK("http://www.worldcat.org/oclc/812567075","WorldCat Record")</f>
        <v>WorldCat Record</v>
      </c>
      <c r="AX2327" s="3" t="s">
        <v>22661</v>
      </c>
      <c r="AY2327" s="3" t="s">
        <v>22673</v>
      </c>
      <c r="AZ2327" s="3" t="s">
        <v>22674</v>
      </c>
      <c r="BA2327" s="3" t="s">
        <v>22674</v>
      </c>
      <c r="BB2327" s="3" t="s">
        <v>22675</v>
      </c>
      <c r="BC2327" s="3" t="s">
        <v>102</v>
      </c>
      <c r="BD2327" s="3" t="s">
        <v>68</v>
      </c>
      <c r="BE2327" s="3" t="s">
        <v>22676</v>
      </c>
      <c r="BF2327" s="3" t="s">
        <v>22675</v>
      </c>
      <c r="BG2327" s="3" t="s">
        <v>22677</v>
      </c>
    </row>
    <row r="2328" spans="1:59" ht="58" x14ac:dyDescent="0.35">
      <c r="A2328" s="2" t="s">
        <v>89</v>
      </c>
      <c r="B2328" s="2" t="s">
        <v>90</v>
      </c>
      <c r="C2328" s="2" t="s">
        <v>22678</v>
      </c>
      <c r="D2328" s="2" t="s">
        <v>22679</v>
      </c>
      <c r="E2328" s="2" t="s">
        <v>22680</v>
      </c>
      <c r="G2328" s="3" t="s">
        <v>62</v>
      </c>
      <c r="I2328" s="3" t="s">
        <v>62</v>
      </c>
      <c r="J2328" s="3" t="s">
        <v>62</v>
      </c>
      <c r="K2328" s="3" t="s">
        <v>63</v>
      </c>
      <c r="L2328" s="2" t="s">
        <v>22681</v>
      </c>
      <c r="M2328" s="2" t="s">
        <v>22682</v>
      </c>
      <c r="N2328" s="3" t="s">
        <v>655</v>
      </c>
      <c r="P2328" s="3" t="s">
        <v>64</v>
      </c>
      <c r="R2328" s="3" t="s">
        <v>13065</v>
      </c>
      <c r="S2328" s="4">
        <v>27</v>
      </c>
      <c r="T2328" s="4">
        <v>27</v>
      </c>
      <c r="U2328" s="5" t="s">
        <v>22683</v>
      </c>
      <c r="V2328" s="5" t="s">
        <v>22683</v>
      </c>
      <c r="W2328" s="5" t="s">
        <v>67</v>
      </c>
      <c r="X2328" s="5" t="s">
        <v>67</v>
      </c>
      <c r="Y2328" s="4">
        <v>193</v>
      </c>
      <c r="Z2328" s="4">
        <v>11</v>
      </c>
      <c r="AA2328" s="4">
        <v>23</v>
      </c>
      <c r="AB2328" s="4">
        <v>2</v>
      </c>
      <c r="AC2328" s="4">
        <v>7</v>
      </c>
      <c r="AD2328" s="4">
        <v>39</v>
      </c>
      <c r="AE2328" s="4">
        <v>69</v>
      </c>
      <c r="AF2328" s="4">
        <v>1</v>
      </c>
      <c r="AG2328" s="4">
        <v>3</v>
      </c>
      <c r="AH2328" s="4">
        <v>34</v>
      </c>
      <c r="AI2328" s="4">
        <v>56</v>
      </c>
      <c r="AJ2328" s="4">
        <v>7</v>
      </c>
      <c r="AK2328" s="4">
        <v>13</v>
      </c>
      <c r="AL2328" s="4">
        <v>16</v>
      </c>
      <c r="AM2328" s="4">
        <v>30</v>
      </c>
      <c r="AN2328" s="4">
        <v>0</v>
      </c>
      <c r="AO2328" s="4">
        <v>0</v>
      </c>
      <c r="AP2328" s="4">
        <v>10</v>
      </c>
      <c r="AQ2328" s="4">
        <v>18</v>
      </c>
      <c r="AR2328" s="3" t="s">
        <v>62</v>
      </c>
      <c r="AS2328" s="3" t="s">
        <v>62</v>
      </c>
      <c r="AT2328" s="3" t="s">
        <v>62</v>
      </c>
      <c r="AV2328" s="6" t="str">
        <f>HYPERLINK("http://mcgill.on.worldcat.org/oclc/65469403","Catalog Record")</f>
        <v>Catalog Record</v>
      </c>
      <c r="AW2328" s="6" t="str">
        <f>HYPERLINK("http://www.worldcat.org/oclc/65469403","WorldCat Record")</f>
        <v>WorldCat Record</v>
      </c>
      <c r="AX2328" s="3" t="s">
        <v>22684</v>
      </c>
      <c r="AY2328" s="3" t="s">
        <v>22685</v>
      </c>
      <c r="AZ2328" s="3" t="s">
        <v>22686</v>
      </c>
      <c r="BA2328" s="3" t="s">
        <v>22686</v>
      </c>
      <c r="BB2328" s="3" t="s">
        <v>22687</v>
      </c>
      <c r="BC2328" s="3" t="s">
        <v>102</v>
      </c>
      <c r="BD2328" s="3" t="s">
        <v>231</v>
      </c>
      <c r="BE2328" s="3" t="s">
        <v>22688</v>
      </c>
      <c r="BF2328" s="3" t="s">
        <v>22687</v>
      </c>
      <c r="BG2328" s="3" t="s">
        <v>22689</v>
      </c>
    </row>
    <row r="2329" spans="1:59" ht="58" x14ac:dyDescent="0.35">
      <c r="A2329" s="2" t="s">
        <v>89</v>
      </c>
      <c r="B2329" s="2" t="s">
        <v>90</v>
      </c>
      <c r="C2329" s="2" t="s">
        <v>22690</v>
      </c>
      <c r="D2329" s="2" t="s">
        <v>22691</v>
      </c>
      <c r="E2329" s="2" t="s">
        <v>22692</v>
      </c>
      <c r="G2329" s="3" t="s">
        <v>62</v>
      </c>
      <c r="I2329" s="3" t="s">
        <v>62</v>
      </c>
      <c r="J2329" s="3" t="s">
        <v>61</v>
      </c>
      <c r="K2329" s="3" t="s">
        <v>63</v>
      </c>
      <c r="L2329" s="2" t="s">
        <v>22693</v>
      </c>
      <c r="M2329" s="2" t="s">
        <v>22694</v>
      </c>
      <c r="N2329" s="3" t="s">
        <v>2136</v>
      </c>
      <c r="P2329" s="3" t="s">
        <v>64</v>
      </c>
      <c r="R2329" s="3" t="s">
        <v>13065</v>
      </c>
      <c r="S2329" s="4">
        <v>51</v>
      </c>
      <c r="T2329" s="4">
        <v>51</v>
      </c>
      <c r="U2329" s="5" t="s">
        <v>22695</v>
      </c>
      <c r="V2329" s="5" t="s">
        <v>22695</v>
      </c>
      <c r="W2329" s="5" t="s">
        <v>67</v>
      </c>
      <c r="X2329" s="5" t="s">
        <v>67</v>
      </c>
      <c r="Y2329" s="4">
        <v>147</v>
      </c>
      <c r="Z2329" s="4">
        <v>4</v>
      </c>
      <c r="AA2329" s="4">
        <v>25</v>
      </c>
      <c r="AB2329" s="4">
        <v>1</v>
      </c>
      <c r="AC2329" s="4">
        <v>8</v>
      </c>
      <c r="AD2329" s="4">
        <v>45</v>
      </c>
      <c r="AE2329" s="4">
        <v>90</v>
      </c>
      <c r="AF2329" s="4">
        <v>0</v>
      </c>
      <c r="AG2329" s="4">
        <v>5</v>
      </c>
      <c r="AH2329" s="4">
        <v>42</v>
      </c>
      <c r="AI2329" s="4">
        <v>76</v>
      </c>
      <c r="AJ2329" s="4">
        <v>2</v>
      </c>
      <c r="AK2329" s="4">
        <v>14</v>
      </c>
      <c r="AL2329" s="4">
        <v>27</v>
      </c>
      <c r="AM2329" s="4">
        <v>47</v>
      </c>
      <c r="AN2329" s="4">
        <v>0</v>
      </c>
      <c r="AO2329" s="4">
        <v>0</v>
      </c>
      <c r="AP2329" s="4">
        <v>3</v>
      </c>
      <c r="AQ2329" s="4">
        <v>19</v>
      </c>
      <c r="AR2329" s="3" t="s">
        <v>62</v>
      </c>
      <c r="AS2329" s="3" t="s">
        <v>62</v>
      </c>
      <c r="AT2329" s="3" t="s">
        <v>62</v>
      </c>
      <c r="AV2329" s="6" t="str">
        <f>HYPERLINK("http://mcgill.on.worldcat.org/oclc/61102236","Catalog Record")</f>
        <v>Catalog Record</v>
      </c>
      <c r="AW2329" s="6" t="str">
        <f>HYPERLINK("http://www.worldcat.org/oclc/61102236","WorldCat Record")</f>
        <v>WorldCat Record</v>
      </c>
      <c r="AX2329" s="3" t="s">
        <v>22696</v>
      </c>
      <c r="AY2329" s="3" t="s">
        <v>22697</v>
      </c>
      <c r="AZ2329" s="3" t="s">
        <v>22698</v>
      </c>
      <c r="BA2329" s="3" t="s">
        <v>22698</v>
      </c>
      <c r="BB2329" s="3" t="s">
        <v>22699</v>
      </c>
      <c r="BC2329" s="3" t="s">
        <v>102</v>
      </c>
      <c r="BD2329" s="3" t="s">
        <v>68</v>
      </c>
      <c r="BE2329" s="3" t="s">
        <v>22700</v>
      </c>
      <c r="BF2329" s="3" t="s">
        <v>22699</v>
      </c>
      <c r="BG2329" s="3" t="s">
        <v>22701</v>
      </c>
    </row>
    <row r="2330" spans="1:59" ht="58" x14ac:dyDescent="0.35">
      <c r="A2330" s="2" t="s">
        <v>89</v>
      </c>
      <c r="B2330" s="2" t="s">
        <v>90</v>
      </c>
      <c r="C2330" s="2" t="s">
        <v>22702</v>
      </c>
      <c r="D2330" s="2" t="s">
        <v>22703</v>
      </c>
      <c r="E2330" s="2" t="s">
        <v>22692</v>
      </c>
      <c r="G2330" s="3" t="s">
        <v>62</v>
      </c>
      <c r="I2330" s="3" t="s">
        <v>62</v>
      </c>
      <c r="J2330" s="3" t="s">
        <v>61</v>
      </c>
      <c r="K2330" s="3" t="s">
        <v>63</v>
      </c>
      <c r="L2330" s="2" t="s">
        <v>22693</v>
      </c>
      <c r="M2330" s="2" t="s">
        <v>22704</v>
      </c>
      <c r="N2330" s="3" t="s">
        <v>698</v>
      </c>
      <c r="O2330" s="2" t="s">
        <v>2458</v>
      </c>
      <c r="P2330" s="3" t="s">
        <v>64</v>
      </c>
      <c r="R2330" s="3" t="s">
        <v>13065</v>
      </c>
      <c r="S2330" s="4">
        <v>19</v>
      </c>
      <c r="T2330" s="4">
        <v>19</v>
      </c>
      <c r="U2330" s="5" t="s">
        <v>8131</v>
      </c>
      <c r="V2330" s="5" t="s">
        <v>8131</v>
      </c>
      <c r="W2330" s="5" t="s">
        <v>67</v>
      </c>
      <c r="X2330" s="5" t="s">
        <v>67</v>
      </c>
      <c r="Y2330" s="4">
        <v>164</v>
      </c>
      <c r="Z2330" s="4">
        <v>11</v>
      </c>
      <c r="AA2330" s="4">
        <v>25</v>
      </c>
      <c r="AB2330" s="4">
        <v>1</v>
      </c>
      <c r="AC2330" s="4">
        <v>8</v>
      </c>
      <c r="AD2330" s="4">
        <v>41</v>
      </c>
      <c r="AE2330" s="4">
        <v>90</v>
      </c>
      <c r="AF2330" s="4">
        <v>0</v>
      </c>
      <c r="AG2330" s="4">
        <v>5</v>
      </c>
      <c r="AH2330" s="4">
        <v>37</v>
      </c>
      <c r="AI2330" s="4">
        <v>76</v>
      </c>
      <c r="AJ2330" s="4">
        <v>8</v>
      </c>
      <c r="AK2330" s="4">
        <v>14</v>
      </c>
      <c r="AL2330" s="4">
        <v>24</v>
      </c>
      <c r="AM2330" s="4">
        <v>47</v>
      </c>
      <c r="AN2330" s="4">
        <v>0</v>
      </c>
      <c r="AO2330" s="4">
        <v>0</v>
      </c>
      <c r="AP2330" s="4">
        <v>8</v>
      </c>
      <c r="AQ2330" s="4">
        <v>19</v>
      </c>
      <c r="AR2330" s="3" t="s">
        <v>62</v>
      </c>
      <c r="AS2330" s="3" t="s">
        <v>62</v>
      </c>
      <c r="AT2330" s="3" t="s">
        <v>62</v>
      </c>
      <c r="AV2330" s="6" t="str">
        <f>HYPERLINK("http://mcgill.on.worldcat.org/oclc/806017135","Catalog Record")</f>
        <v>Catalog Record</v>
      </c>
      <c r="AW2330" s="6" t="str">
        <f>HYPERLINK("http://www.worldcat.org/oclc/806017135","WorldCat Record")</f>
        <v>WorldCat Record</v>
      </c>
      <c r="AX2330" s="3" t="s">
        <v>22696</v>
      </c>
      <c r="AY2330" s="3" t="s">
        <v>22705</v>
      </c>
      <c r="AZ2330" s="3" t="s">
        <v>22706</v>
      </c>
      <c r="BA2330" s="3" t="s">
        <v>22706</v>
      </c>
      <c r="BB2330" s="3" t="s">
        <v>22707</v>
      </c>
      <c r="BC2330" s="3" t="s">
        <v>102</v>
      </c>
      <c r="BD2330" s="3" t="s">
        <v>68</v>
      </c>
      <c r="BE2330" s="3" t="s">
        <v>22708</v>
      </c>
      <c r="BF2330" s="3" t="s">
        <v>22707</v>
      </c>
      <c r="BG2330" s="3" t="s">
        <v>22709</v>
      </c>
    </row>
    <row r="2331" spans="1:59" ht="58" x14ac:dyDescent="0.35">
      <c r="A2331" s="2" t="s">
        <v>89</v>
      </c>
      <c r="B2331" s="2" t="s">
        <v>90</v>
      </c>
      <c r="C2331" s="2" t="s">
        <v>22710</v>
      </c>
      <c r="D2331" s="2" t="s">
        <v>22711</v>
      </c>
      <c r="E2331" s="2" t="s">
        <v>22712</v>
      </c>
      <c r="G2331" s="3" t="s">
        <v>62</v>
      </c>
      <c r="I2331" s="3" t="s">
        <v>61</v>
      </c>
      <c r="J2331" s="3" t="s">
        <v>62</v>
      </c>
      <c r="K2331" s="3" t="s">
        <v>63</v>
      </c>
      <c r="L2331" s="2" t="s">
        <v>22713</v>
      </c>
      <c r="M2331" s="2" t="s">
        <v>22714</v>
      </c>
      <c r="N2331" s="3" t="s">
        <v>3062</v>
      </c>
      <c r="O2331" s="2" t="s">
        <v>2458</v>
      </c>
      <c r="P2331" s="3" t="s">
        <v>64</v>
      </c>
      <c r="Q2331" s="2" t="s">
        <v>22715</v>
      </c>
      <c r="R2331" s="3" t="s">
        <v>13065</v>
      </c>
      <c r="S2331" s="4">
        <v>34</v>
      </c>
      <c r="T2331" s="4">
        <v>91</v>
      </c>
      <c r="U2331" s="5" t="s">
        <v>22716</v>
      </c>
      <c r="V2331" s="5" t="s">
        <v>21878</v>
      </c>
      <c r="W2331" s="5" t="s">
        <v>67</v>
      </c>
      <c r="X2331" s="5" t="s">
        <v>67</v>
      </c>
      <c r="Y2331" s="4">
        <v>115</v>
      </c>
      <c r="Z2331" s="4">
        <v>8</v>
      </c>
      <c r="AA2331" s="4">
        <v>13</v>
      </c>
      <c r="AB2331" s="4">
        <v>1</v>
      </c>
      <c r="AC2331" s="4">
        <v>3</v>
      </c>
      <c r="AD2331" s="4">
        <v>25</v>
      </c>
      <c r="AE2331" s="4">
        <v>38</v>
      </c>
      <c r="AF2331" s="4">
        <v>0</v>
      </c>
      <c r="AG2331" s="4">
        <v>1</v>
      </c>
      <c r="AH2331" s="4">
        <v>24</v>
      </c>
      <c r="AI2331" s="4">
        <v>34</v>
      </c>
      <c r="AJ2331" s="4">
        <v>1</v>
      </c>
      <c r="AK2331" s="4">
        <v>4</v>
      </c>
      <c r="AL2331" s="4">
        <v>13</v>
      </c>
      <c r="AM2331" s="4">
        <v>19</v>
      </c>
      <c r="AN2331" s="4">
        <v>0</v>
      </c>
      <c r="AO2331" s="4">
        <v>0</v>
      </c>
      <c r="AP2331" s="4">
        <v>2</v>
      </c>
      <c r="AQ2331" s="4">
        <v>3</v>
      </c>
      <c r="AR2331" s="3" t="s">
        <v>62</v>
      </c>
      <c r="AS2331" s="3" t="s">
        <v>62</v>
      </c>
      <c r="AT2331" s="3" t="s">
        <v>61</v>
      </c>
      <c r="AU2331" s="6" t="str">
        <f>HYPERLINK("http://catalog.hathitrust.org/Record/008328318","HathiTrust Record")</f>
        <v>HathiTrust Record</v>
      </c>
      <c r="AV2331" s="6" t="str">
        <f>HYPERLINK("http://mcgill.on.worldcat.org/oclc/24508741","Catalog Record")</f>
        <v>Catalog Record</v>
      </c>
      <c r="AW2331" s="6" t="str">
        <f>HYPERLINK("http://www.worldcat.org/oclc/24508741","WorldCat Record")</f>
        <v>WorldCat Record</v>
      </c>
      <c r="AX2331" s="3" t="s">
        <v>22717</v>
      </c>
      <c r="AY2331" s="3" t="s">
        <v>22718</v>
      </c>
      <c r="AZ2331" s="3" t="s">
        <v>22719</v>
      </c>
      <c r="BA2331" s="3" t="s">
        <v>22719</v>
      </c>
      <c r="BB2331" s="3" t="s">
        <v>22720</v>
      </c>
      <c r="BC2331" s="3" t="s">
        <v>102</v>
      </c>
      <c r="BD2331" s="3" t="s">
        <v>68</v>
      </c>
      <c r="BE2331" s="3" t="s">
        <v>22721</v>
      </c>
      <c r="BF2331" s="3" t="s">
        <v>22720</v>
      </c>
      <c r="BG2331" s="3" t="s">
        <v>22722</v>
      </c>
    </row>
    <row r="2332" spans="1:59" ht="58" x14ac:dyDescent="0.35">
      <c r="A2332" s="2" t="s">
        <v>89</v>
      </c>
      <c r="B2332" s="2" t="s">
        <v>90</v>
      </c>
      <c r="C2332" s="2" t="s">
        <v>22723</v>
      </c>
      <c r="D2332" s="2" t="s">
        <v>22724</v>
      </c>
      <c r="E2332" s="2" t="s">
        <v>22725</v>
      </c>
      <c r="G2332" s="3" t="s">
        <v>62</v>
      </c>
      <c r="I2332" s="3" t="s">
        <v>62</v>
      </c>
      <c r="J2332" s="3" t="s">
        <v>61</v>
      </c>
      <c r="K2332" s="3" t="s">
        <v>63</v>
      </c>
      <c r="L2332" s="2" t="s">
        <v>22726</v>
      </c>
      <c r="M2332" s="2" t="s">
        <v>22727</v>
      </c>
      <c r="N2332" s="3" t="s">
        <v>698</v>
      </c>
      <c r="O2332" s="2" t="s">
        <v>11716</v>
      </c>
      <c r="P2332" s="3" t="s">
        <v>64</v>
      </c>
      <c r="R2332" s="3" t="s">
        <v>13065</v>
      </c>
      <c r="S2332" s="4">
        <v>17</v>
      </c>
      <c r="T2332" s="4">
        <v>17</v>
      </c>
      <c r="U2332" s="5" t="s">
        <v>8131</v>
      </c>
      <c r="V2332" s="5" t="s">
        <v>8131</v>
      </c>
      <c r="W2332" s="5" t="s">
        <v>67</v>
      </c>
      <c r="X2332" s="5" t="s">
        <v>67</v>
      </c>
      <c r="Y2332" s="4">
        <v>232</v>
      </c>
      <c r="Z2332" s="4">
        <v>9</v>
      </c>
      <c r="AA2332" s="4">
        <v>21</v>
      </c>
      <c r="AB2332" s="4">
        <v>1</v>
      </c>
      <c r="AC2332" s="4">
        <v>5</v>
      </c>
      <c r="AD2332" s="4">
        <v>49</v>
      </c>
      <c r="AE2332" s="4">
        <v>78</v>
      </c>
      <c r="AF2332" s="4">
        <v>0</v>
      </c>
      <c r="AG2332" s="4">
        <v>4</v>
      </c>
      <c r="AH2332" s="4">
        <v>44</v>
      </c>
      <c r="AI2332" s="4">
        <v>65</v>
      </c>
      <c r="AJ2332" s="4">
        <v>4</v>
      </c>
      <c r="AK2332" s="4">
        <v>11</v>
      </c>
      <c r="AL2332" s="4">
        <v>28</v>
      </c>
      <c r="AM2332" s="4">
        <v>41</v>
      </c>
      <c r="AN2332" s="4">
        <v>0</v>
      </c>
      <c r="AO2332" s="4">
        <v>0</v>
      </c>
      <c r="AP2332" s="4">
        <v>6</v>
      </c>
      <c r="AQ2332" s="4">
        <v>17</v>
      </c>
      <c r="AR2332" s="3" t="s">
        <v>62</v>
      </c>
      <c r="AS2332" s="3" t="s">
        <v>62</v>
      </c>
      <c r="AT2332" s="3" t="s">
        <v>62</v>
      </c>
      <c r="AV2332" s="6" t="str">
        <f>HYPERLINK("http://mcgill.on.worldcat.org/oclc/772973777","Catalog Record")</f>
        <v>Catalog Record</v>
      </c>
      <c r="AW2332" s="6" t="str">
        <f>HYPERLINK("http://www.worldcat.org/oclc/772973777","WorldCat Record")</f>
        <v>WorldCat Record</v>
      </c>
      <c r="AX2332" s="3" t="s">
        <v>22728</v>
      </c>
      <c r="AY2332" s="3" t="s">
        <v>22729</v>
      </c>
      <c r="AZ2332" s="3" t="s">
        <v>22730</v>
      </c>
      <c r="BA2332" s="3" t="s">
        <v>22730</v>
      </c>
      <c r="BB2332" s="3" t="s">
        <v>22731</v>
      </c>
      <c r="BC2332" s="3" t="s">
        <v>102</v>
      </c>
      <c r="BD2332" s="3" t="s">
        <v>231</v>
      </c>
      <c r="BE2332" s="3" t="s">
        <v>22732</v>
      </c>
      <c r="BF2332" s="3" t="s">
        <v>22731</v>
      </c>
      <c r="BG2332" s="3" t="s">
        <v>22733</v>
      </c>
    </row>
    <row r="2333" spans="1:59" ht="58" x14ac:dyDescent="0.35">
      <c r="A2333" s="2" t="s">
        <v>89</v>
      </c>
      <c r="B2333" s="2" t="s">
        <v>90</v>
      </c>
      <c r="C2333" s="2" t="s">
        <v>22734</v>
      </c>
      <c r="D2333" s="2" t="s">
        <v>22735</v>
      </c>
      <c r="E2333" s="2" t="s">
        <v>22736</v>
      </c>
      <c r="G2333" s="3" t="s">
        <v>62</v>
      </c>
      <c r="I2333" s="3" t="s">
        <v>62</v>
      </c>
      <c r="J2333" s="3" t="s">
        <v>62</v>
      </c>
      <c r="K2333" s="3" t="s">
        <v>63</v>
      </c>
      <c r="L2333" s="2" t="s">
        <v>22737</v>
      </c>
      <c r="M2333" s="2" t="s">
        <v>22738</v>
      </c>
      <c r="N2333" s="3" t="s">
        <v>2136</v>
      </c>
      <c r="P2333" s="3" t="s">
        <v>64</v>
      </c>
      <c r="R2333" s="3" t="s">
        <v>13065</v>
      </c>
      <c r="S2333" s="4">
        <v>29</v>
      </c>
      <c r="T2333" s="4">
        <v>29</v>
      </c>
      <c r="U2333" s="5" t="s">
        <v>22320</v>
      </c>
      <c r="V2333" s="5" t="s">
        <v>22320</v>
      </c>
      <c r="W2333" s="5" t="s">
        <v>67</v>
      </c>
      <c r="X2333" s="5" t="s">
        <v>67</v>
      </c>
      <c r="Y2333" s="4">
        <v>83</v>
      </c>
      <c r="Z2333" s="4">
        <v>6</v>
      </c>
      <c r="AA2333" s="4">
        <v>6</v>
      </c>
      <c r="AB2333" s="4">
        <v>1</v>
      </c>
      <c r="AC2333" s="4">
        <v>1</v>
      </c>
      <c r="AD2333" s="4">
        <v>36</v>
      </c>
      <c r="AE2333" s="4">
        <v>36</v>
      </c>
      <c r="AF2333" s="4">
        <v>0</v>
      </c>
      <c r="AG2333" s="4">
        <v>0</v>
      </c>
      <c r="AH2333" s="4">
        <v>35</v>
      </c>
      <c r="AI2333" s="4">
        <v>35</v>
      </c>
      <c r="AJ2333" s="4">
        <v>5</v>
      </c>
      <c r="AK2333" s="4">
        <v>5</v>
      </c>
      <c r="AL2333" s="4">
        <v>19</v>
      </c>
      <c r="AM2333" s="4">
        <v>19</v>
      </c>
      <c r="AN2333" s="4">
        <v>0</v>
      </c>
      <c r="AO2333" s="4">
        <v>0</v>
      </c>
      <c r="AP2333" s="4">
        <v>5</v>
      </c>
      <c r="AQ2333" s="4">
        <v>5</v>
      </c>
      <c r="AR2333" s="3" t="s">
        <v>62</v>
      </c>
      <c r="AS2333" s="3" t="s">
        <v>62</v>
      </c>
      <c r="AT2333" s="3" t="s">
        <v>61</v>
      </c>
      <c r="AU2333" s="6" t="str">
        <f>HYPERLINK("http://catalog.hathitrust.org/Record/008328320","HathiTrust Record")</f>
        <v>HathiTrust Record</v>
      </c>
      <c r="AV2333" s="6" t="str">
        <f>HYPERLINK("http://mcgill.on.worldcat.org/oclc/63202610","Catalog Record")</f>
        <v>Catalog Record</v>
      </c>
      <c r="AW2333" s="6" t="str">
        <f>HYPERLINK("http://www.worldcat.org/oclc/63202610","WorldCat Record")</f>
        <v>WorldCat Record</v>
      </c>
      <c r="AX2333" s="3" t="s">
        <v>22739</v>
      </c>
      <c r="AY2333" s="3" t="s">
        <v>22740</v>
      </c>
      <c r="AZ2333" s="3" t="s">
        <v>22741</v>
      </c>
      <c r="BA2333" s="3" t="s">
        <v>22741</v>
      </c>
      <c r="BB2333" s="3" t="s">
        <v>22742</v>
      </c>
      <c r="BC2333" s="3" t="s">
        <v>102</v>
      </c>
      <c r="BD2333" s="3" t="s">
        <v>231</v>
      </c>
      <c r="BE2333" s="3" t="s">
        <v>22743</v>
      </c>
      <c r="BF2333" s="3" t="s">
        <v>22742</v>
      </c>
      <c r="BG2333" s="3" t="s">
        <v>22744</v>
      </c>
    </row>
    <row r="2334" spans="1:59" ht="58" x14ac:dyDescent="0.35">
      <c r="A2334" s="2" t="s">
        <v>89</v>
      </c>
      <c r="B2334" s="2" t="s">
        <v>90</v>
      </c>
      <c r="C2334" s="2" t="s">
        <v>22745</v>
      </c>
      <c r="D2334" s="2" t="s">
        <v>22746</v>
      </c>
      <c r="E2334" s="2" t="s">
        <v>22747</v>
      </c>
      <c r="G2334" s="3" t="s">
        <v>62</v>
      </c>
      <c r="I2334" s="3" t="s">
        <v>61</v>
      </c>
      <c r="J2334" s="3" t="s">
        <v>61</v>
      </c>
      <c r="K2334" s="3" t="s">
        <v>63</v>
      </c>
      <c r="L2334" s="2" t="s">
        <v>22748</v>
      </c>
      <c r="M2334" s="2" t="s">
        <v>22749</v>
      </c>
      <c r="N2334" s="3" t="s">
        <v>655</v>
      </c>
      <c r="O2334" s="2" t="s">
        <v>10722</v>
      </c>
      <c r="P2334" s="3" t="s">
        <v>64</v>
      </c>
      <c r="R2334" s="3" t="s">
        <v>13065</v>
      </c>
      <c r="S2334" s="4">
        <v>51</v>
      </c>
      <c r="T2334" s="4">
        <v>89</v>
      </c>
      <c r="U2334" s="5" t="s">
        <v>8131</v>
      </c>
      <c r="V2334" s="5" t="s">
        <v>8131</v>
      </c>
      <c r="W2334" s="5" t="s">
        <v>67</v>
      </c>
      <c r="X2334" s="5" t="s">
        <v>67</v>
      </c>
      <c r="Y2334" s="4">
        <v>228</v>
      </c>
      <c r="Z2334" s="4">
        <v>18</v>
      </c>
      <c r="AA2334" s="4">
        <v>32</v>
      </c>
      <c r="AB2334" s="4">
        <v>2</v>
      </c>
      <c r="AC2334" s="4">
        <v>8</v>
      </c>
      <c r="AD2334" s="4">
        <v>68</v>
      </c>
      <c r="AE2334" s="4">
        <v>115</v>
      </c>
      <c r="AF2334" s="4">
        <v>1</v>
      </c>
      <c r="AG2334" s="4">
        <v>5</v>
      </c>
      <c r="AH2334" s="4">
        <v>61</v>
      </c>
      <c r="AI2334" s="4">
        <v>99</v>
      </c>
      <c r="AJ2334" s="4">
        <v>13</v>
      </c>
      <c r="AK2334" s="4">
        <v>18</v>
      </c>
      <c r="AL2334" s="4">
        <v>39</v>
      </c>
      <c r="AM2334" s="4">
        <v>56</v>
      </c>
      <c r="AN2334" s="4">
        <v>0</v>
      </c>
      <c r="AO2334" s="4">
        <v>0</v>
      </c>
      <c r="AP2334" s="4">
        <v>14</v>
      </c>
      <c r="AQ2334" s="4">
        <v>24</v>
      </c>
      <c r="AR2334" s="3" t="s">
        <v>62</v>
      </c>
      <c r="AS2334" s="3" t="s">
        <v>62</v>
      </c>
      <c r="AT2334" s="3" t="s">
        <v>62</v>
      </c>
      <c r="AV2334" s="6" t="str">
        <f>HYPERLINK("http://mcgill.on.worldcat.org/oclc/70867113","Catalog Record")</f>
        <v>Catalog Record</v>
      </c>
      <c r="AW2334" s="6" t="str">
        <f>HYPERLINK("http://www.worldcat.org/oclc/70867113","WorldCat Record")</f>
        <v>WorldCat Record</v>
      </c>
      <c r="AX2334" s="3" t="s">
        <v>22750</v>
      </c>
      <c r="AY2334" s="3" t="s">
        <v>22751</v>
      </c>
      <c r="AZ2334" s="3" t="s">
        <v>22752</v>
      </c>
      <c r="BA2334" s="3" t="s">
        <v>22752</v>
      </c>
      <c r="BB2334" s="3" t="s">
        <v>22753</v>
      </c>
      <c r="BC2334" s="3" t="s">
        <v>102</v>
      </c>
      <c r="BD2334" s="3" t="s">
        <v>68</v>
      </c>
      <c r="BE2334" s="3" t="s">
        <v>22754</v>
      </c>
      <c r="BF2334" s="3" t="s">
        <v>22753</v>
      </c>
      <c r="BG2334" s="3" t="s">
        <v>22755</v>
      </c>
    </row>
    <row r="2335" spans="1:59" ht="58" x14ac:dyDescent="0.35">
      <c r="A2335" s="2" t="s">
        <v>89</v>
      </c>
      <c r="B2335" s="2" t="s">
        <v>90</v>
      </c>
      <c r="C2335" s="2" t="s">
        <v>22756</v>
      </c>
      <c r="D2335" s="2" t="s">
        <v>22757</v>
      </c>
      <c r="E2335" s="2" t="s">
        <v>22758</v>
      </c>
      <c r="G2335" s="3" t="s">
        <v>62</v>
      </c>
      <c r="I2335" s="3" t="s">
        <v>62</v>
      </c>
      <c r="J2335" s="3" t="s">
        <v>61</v>
      </c>
      <c r="K2335" s="3" t="s">
        <v>63</v>
      </c>
      <c r="L2335" s="2" t="s">
        <v>22759</v>
      </c>
      <c r="M2335" s="2" t="s">
        <v>10463</v>
      </c>
      <c r="N2335" s="3" t="s">
        <v>2975</v>
      </c>
      <c r="O2335" s="2" t="s">
        <v>2986</v>
      </c>
      <c r="P2335" s="3" t="s">
        <v>64</v>
      </c>
      <c r="R2335" s="3" t="s">
        <v>13065</v>
      </c>
      <c r="S2335" s="4">
        <v>10</v>
      </c>
      <c r="T2335" s="4">
        <v>10</v>
      </c>
      <c r="U2335" s="5" t="s">
        <v>22760</v>
      </c>
      <c r="V2335" s="5" t="s">
        <v>22760</v>
      </c>
      <c r="W2335" s="5" t="s">
        <v>67</v>
      </c>
      <c r="X2335" s="5" t="s">
        <v>67</v>
      </c>
      <c r="Y2335" s="4">
        <v>186</v>
      </c>
      <c r="Z2335" s="4">
        <v>8</v>
      </c>
      <c r="AA2335" s="4">
        <v>43</v>
      </c>
      <c r="AB2335" s="4">
        <v>1</v>
      </c>
      <c r="AC2335" s="4">
        <v>12</v>
      </c>
      <c r="AD2335" s="4">
        <v>53</v>
      </c>
      <c r="AE2335" s="4">
        <v>123</v>
      </c>
      <c r="AF2335" s="4">
        <v>0</v>
      </c>
      <c r="AG2335" s="4">
        <v>7</v>
      </c>
      <c r="AH2335" s="4">
        <v>49</v>
      </c>
      <c r="AI2335" s="4">
        <v>99</v>
      </c>
      <c r="AJ2335" s="4">
        <v>6</v>
      </c>
      <c r="AK2335" s="4">
        <v>23</v>
      </c>
      <c r="AL2335" s="4">
        <v>28</v>
      </c>
      <c r="AM2335" s="4">
        <v>52</v>
      </c>
      <c r="AN2335" s="4">
        <v>0</v>
      </c>
      <c r="AO2335" s="4">
        <v>0</v>
      </c>
      <c r="AP2335" s="4">
        <v>5</v>
      </c>
      <c r="AQ2335" s="4">
        <v>31</v>
      </c>
      <c r="AR2335" s="3" t="s">
        <v>62</v>
      </c>
      <c r="AS2335" s="3" t="s">
        <v>62</v>
      </c>
      <c r="AT2335" s="3" t="s">
        <v>61</v>
      </c>
      <c r="AU2335" s="6" t="str">
        <f>HYPERLINK("http://catalog.hathitrust.org/Record/008328305","HathiTrust Record")</f>
        <v>HathiTrust Record</v>
      </c>
      <c r="AV2335" s="6" t="str">
        <f>HYPERLINK("http://mcgill.on.worldcat.org/oclc/45493417","Catalog Record")</f>
        <v>Catalog Record</v>
      </c>
      <c r="AW2335" s="6" t="str">
        <f>HYPERLINK("http://www.worldcat.org/oclc/45493417","WorldCat Record")</f>
        <v>WorldCat Record</v>
      </c>
      <c r="AX2335" s="3" t="s">
        <v>22761</v>
      </c>
      <c r="AY2335" s="3" t="s">
        <v>22762</v>
      </c>
      <c r="AZ2335" s="3" t="s">
        <v>22763</v>
      </c>
      <c r="BA2335" s="3" t="s">
        <v>22763</v>
      </c>
      <c r="BB2335" s="3" t="s">
        <v>22764</v>
      </c>
      <c r="BC2335" s="3" t="s">
        <v>102</v>
      </c>
      <c r="BD2335" s="3" t="s">
        <v>68</v>
      </c>
      <c r="BE2335" s="3" t="s">
        <v>22765</v>
      </c>
      <c r="BF2335" s="3" t="s">
        <v>22764</v>
      </c>
      <c r="BG2335" s="3" t="s">
        <v>22766</v>
      </c>
    </row>
    <row r="2336" spans="1:59" ht="58" x14ac:dyDescent="0.35">
      <c r="A2336" s="2" t="s">
        <v>89</v>
      </c>
      <c r="B2336" s="2" t="s">
        <v>90</v>
      </c>
      <c r="C2336" s="2" t="s">
        <v>22767</v>
      </c>
      <c r="D2336" s="2" t="s">
        <v>22768</v>
      </c>
      <c r="E2336" s="2" t="s">
        <v>22769</v>
      </c>
      <c r="G2336" s="3" t="s">
        <v>62</v>
      </c>
      <c r="I2336" s="3" t="s">
        <v>62</v>
      </c>
      <c r="J2336" s="3" t="s">
        <v>62</v>
      </c>
      <c r="K2336" s="3" t="s">
        <v>63</v>
      </c>
      <c r="M2336" s="2" t="s">
        <v>22770</v>
      </c>
      <c r="N2336" s="3" t="s">
        <v>1195</v>
      </c>
      <c r="P2336" s="3" t="s">
        <v>64</v>
      </c>
      <c r="R2336" s="3" t="s">
        <v>13065</v>
      </c>
      <c r="S2336" s="4">
        <v>16</v>
      </c>
      <c r="T2336" s="4">
        <v>16</v>
      </c>
      <c r="U2336" s="5" t="s">
        <v>4064</v>
      </c>
      <c r="V2336" s="5" t="s">
        <v>4064</v>
      </c>
      <c r="W2336" s="5" t="s">
        <v>67</v>
      </c>
      <c r="X2336" s="5" t="s">
        <v>67</v>
      </c>
      <c r="Y2336" s="4">
        <v>37</v>
      </c>
      <c r="Z2336" s="4">
        <v>3</v>
      </c>
      <c r="AA2336" s="4">
        <v>4</v>
      </c>
      <c r="AB2336" s="4">
        <v>1</v>
      </c>
      <c r="AC2336" s="4">
        <v>2</v>
      </c>
      <c r="AD2336" s="4">
        <v>13</v>
      </c>
      <c r="AE2336" s="4">
        <v>14</v>
      </c>
      <c r="AF2336" s="4">
        <v>0</v>
      </c>
      <c r="AG2336" s="4">
        <v>1</v>
      </c>
      <c r="AH2336" s="4">
        <v>11</v>
      </c>
      <c r="AI2336" s="4">
        <v>11</v>
      </c>
      <c r="AJ2336" s="4">
        <v>2</v>
      </c>
      <c r="AK2336" s="4">
        <v>2</v>
      </c>
      <c r="AL2336" s="4">
        <v>10</v>
      </c>
      <c r="AM2336" s="4">
        <v>10</v>
      </c>
      <c r="AN2336" s="4">
        <v>0</v>
      </c>
      <c r="AO2336" s="4">
        <v>0</v>
      </c>
      <c r="AP2336" s="4">
        <v>2</v>
      </c>
      <c r="AQ2336" s="4">
        <v>3</v>
      </c>
      <c r="AR2336" s="3" t="s">
        <v>62</v>
      </c>
      <c r="AS2336" s="3" t="s">
        <v>62</v>
      </c>
      <c r="AT2336" s="3" t="s">
        <v>62</v>
      </c>
      <c r="AV2336" s="6" t="str">
        <f>HYPERLINK("http://mcgill.on.worldcat.org/oclc/76786781","Catalog Record")</f>
        <v>Catalog Record</v>
      </c>
      <c r="AW2336" s="6" t="str">
        <f>HYPERLINK("http://www.worldcat.org/oclc/76786781","WorldCat Record")</f>
        <v>WorldCat Record</v>
      </c>
      <c r="AX2336" s="3" t="s">
        <v>22771</v>
      </c>
      <c r="AY2336" s="3" t="s">
        <v>22772</v>
      </c>
      <c r="AZ2336" s="3" t="s">
        <v>22773</v>
      </c>
      <c r="BA2336" s="3" t="s">
        <v>22773</v>
      </c>
      <c r="BB2336" s="3" t="s">
        <v>22774</v>
      </c>
      <c r="BC2336" s="3" t="s">
        <v>102</v>
      </c>
      <c r="BD2336" s="3" t="s">
        <v>68</v>
      </c>
      <c r="BE2336" s="3" t="s">
        <v>22775</v>
      </c>
      <c r="BF2336" s="3" t="s">
        <v>22774</v>
      </c>
      <c r="BG2336" s="3" t="s">
        <v>22776</v>
      </c>
    </row>
    <row r="2337" spans="1:59" ht="58" x14ac:dyDescent="0.35">
      <c r="A2337" s="2" t="s">
        <v>89</v>
      </c>
      <c r="B2337" s="2" t="s">
        <v>90</v>
      </c>
      <c r="C2337" s="2" t="s">
        <v>22777</v>
      </c>
      <c r="D2337" s="2" t="s">
        <v>22778</v>
      </c>
      <c r="E2337" s="2" t="s">
        <v>22779</v>
      </c>
      <c r="G2337" s="3" t="s">
        <v>62</v>
      </c>
      <c r="I2337" s="3" t="s">
        <v>62</v>
      </c>
      <c r="J2337" s="3" t="s">
        <v>62</v>
      </c>
      <c r="K2337" s="3" t="s">
        <v>63</v>
      </c>
      <c r="L2337" s="2" t="s">
        <v>22780</v>
      </c>
      <c r="M2337" s="2" t="s">
        <v>19199</v>
      </c>
      <c r="N2337" s="3" t="s">
        <v>698</v>
      </c>
      <c r="P2337" s="3" t="s">
        <v>64</v>
      </c>
      <c r="R2337" s="3" t="s">
        <v>13065</v>
      </c>
      <c r="S2337" s="4">
        <v>15</v>
      </c>
      <c r="T2337" s="4">
        <v>15</v>
      </c>
      <c r="U2337" s="5" t="s">
        <v>16617</v>
      </c>
      <c r="V2337" s="5" t="s">
        <v>16617</v>
      </c>
      <c r="W2337" s="5" t="s">
        <v>67</v>
      </c>
      <c r="X2337" s="5" t="s">
        <v>67</v>
      </c>
      <c r="Y2337" s="4">
        <v>138</v>
      </c>
      <c r="Z2337" s="4">
        <v>8</v>
      </c>
      <c r="AA2337" s="4">
        <v>17</v>
      </c>
      <c r="AB2337" s="4">
        <v>1</v>
      </c>
      <c r="AC2337" s="4">
        <v>5</v>
      </c>
      <c r="AD2337" s="4">
        <v>39</v>
      </c>
      <c r="AE2337" s="4">
        <v>47</v>
      </c>
      <c r="AF2337" s="4">
        <v>0</v>
      </c>
      <c r="AG2337" s="4">
        <v>1</v>
      </c>
      <c r="AH2337" s="4">
        <v>35</v>
      </c>
      <c r="AI2337" s="4">
        <v>42</v>
      </c>
      <c r="AJ2337" s="4">
        <v>5</v>
      </c>
      <c r="AK2337" s="4">
        <v>9</v>
      </c>
      <c r="AL2337" s="4">
        <v>20</v>
      </c>
      <c r="AM2337" s="4">
        <v>21</v>
      </c>
      <c r="AN2337" s="4">
        <v>0</v>
      </c>
      <c r="AO2337" s="4">
        <v>0</v>
      </c>
      <c r="AP2337" s="4">
        <v>7</v>
      </c>
      <c r="AQ2337" s="4">
        <v>12</v>
      </c>
      <c r="AR2337" s="3" t="s">
        <v>62</v>
      </c>
      <c r="AS2337" s="3" t="s">
        <v>62</v>
      </c>
      <c r="AT2337" s="3" t="s">
        <v>62</v>
      </c>
      <c r="AV2337" s="6" t="str">
        <f>HYPERLINK("http://mcgill.on.worldcat.org/oclc/724641053","Catalog Record")</f>
        <v>Catalog Record</v>
      </c>
      <c r="AW2337" s="6" t="str">
        <f>HYPERLINK("http://www.worldcat.org/oclc/724641053","WorldCat Record")</f>
        <v>WorldCat Record</v>
      </c>
      <c r="AX2337" s="3" t="s">
        <v>22781</v>
      </c>
      <c r="AY2337" s="3" t="s">
        <v>22782</v>
      </c>
      <c r="AZ2337" s="3" t="s">
        <v>22783</v>
      </c>
      <c r="BA2337" s="3" t="s">
        <v>22783</v>
      </c>
      <c r="BB2337" s="3" t="s">
        <v>22784</v>
      </c>
      <c r="BC2337" s="3" t="s">
        <v>102</v>
      </c>
      <c r="BD2337" s="3" t="s">
        <v>68</v>
      </c>
      <c r="BE2337" s="3" t="s">
        <v>22785</v>
      </c>
      <c r="BF2337" s="3" t="s">
        <v>22784</v>
      </c>
      <c r="BG2337" s="3" t="s">
        <v>22786</v>
      </c>
    </row>
    <row r="2338" spans="1:59" ht="58" x14ac:dyDescent="0.35">
      <c r="A2338" s="2" t="s">
        <v>89</v>
      </c>
      <c r="B2338" s="2" t="s">
        <v>90</v>
      </c>
      <c r="C2338" s="2" t="s">
        <v>22787</v>
      </c>
      <c r="D2338" s="2" t="s">
        <v>22788</v>
      </c>
      <c r="E2338" s="2" t="s">
        <v>22789</v>
      </c>
      <c r="G2338" s="3" t="s">
        <v>62</v>
      </c>
      <c r="I2338" s="3" t="s">
        <v>62</v>
      </c>
      <c r="J2338" s="3" t="s">
        <v>62</v>
      </c>
      <c r="K2338" s="3" t="s">
        <v>63</v>
      </c>
      <c r="L2338" s="2" t="s">
        <v>22790</v>
      </c>
      <c r="M2338" s="2" t="s">
        <v>22791</v>
      </c>
      <c r="N2338" s="3" t="s">
        <v>2985</v>
      </c>
      <c r="O2338" s="2" t="s">
        <v>2163</v>
      </c>
      <c r="P2338" s="3" t="s">
        <v>64</v>
      </c>
      <c r="R2338" s="3" t="s">
        <v>13065</v>
      </c>
      <c r="S2338" s="4">
        <v>26</v>
      </c>
      <c r="T2338" s="4">
        <v>26</v>
      </c>
      <c r="U2338" s="5" t="s">
        <v>17672</v>
      </c>
      <c r="V2338" s="5" t="s">
        <v>17672</v>
      </c>
      <c r="W2338" s="5" t="s">
        <v>67</v>
      </c>
      <c r="X2338" s="5" t="s">
        <v>67</v>
      </c>
      <c r="Y2338" s="4">
        <v>229</v>
      </c>
      <c r="Z2338" s="4">
        <v>14</v>
      </c>
      <c r="AA2338" s="4">
        <v>18</v>
      </c>
      <c r="AB2338" s="4">
        <v>2</v>
      </c>
      <c r="AC2338" s="4">
        <v>5</v>
      </c>
      <c r="AD2338" s="4">
        <v>74</v>
      </c>
      <c r="AE2338" s="4">
        <v>78</v>
      </c>
      <c r="AF2338" s="4">
        <v>0</v>
      </c>
      <c r="AG2338" s="4">
        <v>3</v>
      </c>
      <c r="AH2338" s="4">
        <v>64</v>
      </c>
      <c r="AI2338" s="4">
        <v>65</v>
      </c>
      <c r="AJ2338" s="4">
        <v>7</v>
      </c>
      <c r="AK2338" s="4">
        <v>9</v>
      </c>
      <c r="AL2338" s="4">
        <v>44</v>
      </c>
      <c r="AM2338" s="4">
        <v>44</v>
      </c>
      <c r="AN2338" s="4">
        <v>0</v>
      </c>
      <c r="AO2338" s="4">
        <v>0</v>
      </c>
      <c r="AP2338" s="4">
        <v>11</v>
      </c>
      <c r="AQ2338" s="4">
        <v>15</v>
      </c>
      <c r="AR2338" s="3" t="s">
        <v>62</v>
      </c>
      <c r="AS2338" s="3" t="s">
        <v>62</v>
      </c>
      <c r="AT2338" s="3" t="s">
        <v>62</v>
      </c>
      <c r="AV2338" s="6" t="str">
        <f>HYPERLINK("http://mcgill.on.worldcat.org/oclc/297146677","Catalog Record")</f>
        <v>Catalog Record</v>
      </c>
      <c r="AW2338" s="6" t="str">
        <f>HYPERLINK("http://www.worldcat.org/oclc/297146677","WorldCat Record")</f>
        <v>WorldCat Record</v>
      </c>
      <c r="AX2338" s="3" t="s">
        <v>22792</v>
      </c>
      <c r="AY2338" s="3" t="s">
        <v>22793</v>
      </c>
      <c r="AZ2338" s="3" t="s">
        <v>22794</v>
      </c>
      <c r="BA2338" s="3" t="s">
        <v>22794</v>
      </c>
      <c r="BB2338" s="3" t="s">
        <v>22795</v>
      </c>
      <c r="BC2338" s="3" t="s">
        <v>102</v>
      </c>
      <c r="BD2338" s="3" t="s">
        <v>231</v>
      </c>
      <c r="BE2338" s="3" t="s">
        <v>22796</v>
      </c>
      <c r="BF2338" s="3" t="s">
        <v>22795</v>
      </c>
      <c r="BG2338" s="3" t="s">
        <v>22797</v>
      </c>
    </row>
    <row r="2339" spans="1:59" ht="58" x14ac:dyDescent="0.35">
      <c r="A2339" s="2" t="s">
        <v>89</v>
      </c>
      <c r="B2339" s="2" t="s">
        <v>90</v>
      </c>
      <c r="C2339" s="2" t="s">
        <v>22798</v>
      </c>
      <c r="D2339" s="2" t="s">
        <v>22799</v>
      </c>
      <c r="E2339" s="2" t="s">
        <v>22800</v>
      </c>
      <c r="G2339" s="3" t="s">
        <v>62</v>
      </c>
      <c r="I2339" s="3" t="s">
        <v>62</v>
      </c>
      <c r="J2339" s="3" t="s">
        <v>62</v>
      </c>
      <c r="K2339" s="3" t="s">
        <v>63</v>
      </c>
      <c r="L2339" s="2" t="s">
        <v>22801</v>
      </c>
      <c r="M2339" s="2" t="s">
        <v>22802</v>
      </c>
      <c r="N2339" s="3" t="s">
        <v>2985</v>
      </c>
      <c r="P2339" s="3" t="s">
        <v>64</v>
      </c>
      <c r="R2339" s="3" t="s">
        <v>13065</v>
      </c>
      <c r="S2339" s="4">
        <v>30</v>
      </c>
      <c r="T2339" s="4">
        <v>30</v>
      </c>
      <c r="U2339" s="5" t="s">
        <v>11207</v>
      </c>
      <c r="V2339" s="5" t="s">
        <v>11207</v>
      </c>
      <c r="W2339" s="5" t="s">
        <v>67</v>
      </c>
      <c r="X2339" s="5" t="s">
        <v>67</v>
      </c>
      <c r="Y2339" s="4">
        <v>95</v>
      </c>
      <c r="Z2339" s="4">
        <v>10</v>
      </c>
      <c r="AA2339" s="4">
        <v>96</v>
      </c>
      <c r="AB2339" s="4">
        <v>2</v>
      </c>
      <c r="AC2339" s="4">
        <v>19</v>
      </c>
      <c r="AD2339" s="4">
        <v>27</v>
      </c>
      <c r="AE2339" s="4">
        <v>112</v>
      </c>
      <c r="AF2339" s="4">
        <v>0</v>
      </c>
      <c r="AG2339" s="4">
        <v>9</v>
      </c>
      <c r="AH2339" s="4">
        <v>26</v>
      </c>
      <c r="AI2339" s="4">
        <v>74</v>
      </c>
      <c r="AJ2339" s="4">
        <v>6</v>
      </c>
      <c r="AK2339" s="4">
        <v>23</v>
      </c>
      <c r="AL2339" s="4">
        <v>14</v>
      </c>
      <c r="AM2339" s="4">
        <v>37</v>
      </c>
      <c r="AN2339" s="4">
        <v>0</v>
      </c>
      <c r="AO2339" s="4">
        <v>0</v>
      </c>
      <c r="AP2339" s="4">
        <v>7</v>
      </c>
      <c r="AQ2339" s="4">
        <v>46</v>
      </c>
      <c r="AR2339" s="3" t="s">
        <v>62</v>
      </c>
      <c r="AS2339" s="3" t="s">
        <v>62</v>
      </c>
      <c r="AT2339" s="3" t="s">
        <v>62</v>
      </c>
      <c r="AV2339" s="6" t="str">
        <f>HYPERLINK("http://mcgill.on.worldcat.org/oclc/440554767","Catalog Record")</f>
        <v>Catalog Record</v>
      </c>
      <c r="AW2339" s="6" t="str">
        <f>HYPERLINK("http://www.worldcat.org/oclc/440554767","WorldCat Record")</f>
        <v>WorldCat Record</v>
      </c>
      <c r="AX2339" s="3" t="s">
        <v>22803</v>
      </c>
      <c r="AY2339" s="3" t="s">
        <v>22804</v>
      </c>
      <c r="AZ2339" s="3" t="s">
        <v>22805</v>
      </c>
      <c r="BA2339" s="3" t="s">
        <v>22805</v>
      </c>
      <c r="BB2339" s="3" t="s">
        <v>22806</v>
      </c>
      <c r="BC2339" s="3" t="s">
        <v>102</v>
      </c>
      <c r="BD2339" s="3" t="s">
        <v>231</v>
      </c>
      <c r="BE2339" s="3" t="s">
        <v>22807</v>
      </c>
      <c r="BF2339" s="3" t="s">
        <v>22806</v>
      </c>
      <c r="BG2339" s="3" t="s">
        <v>22808</v>
      </c>
    </row>
    <row r="2340" spans="1:59" ht="58" x14ac:dyDescent="0.35">
      <c r="A2340" s="2" t="s">
        <v>89</v>
      </c>
      <c r="B2340" s="2" t="s">
        <v>90</v>
      </c>
      <c r="C2340" s="2" t="s">
        <v>22809</v>
      </c>
      <c r="D2340" s="2" t="s">
        <v>22810</v>
      </c>
      <c r="E2340" s="2" t="s">
        <v>22811</v>
      </c>
      <c r="G2340" s="3" t="s">
        <v>62</v>
      </c>
      <c r="I2340" s="3" t="s">
        <v>61</v>
      </c>
      <c r="J2340" s="3" t="s">
        <v>62</v>
      </c>
      <c r="K2340" s="3" t="s">
        <v>63</v>
      </c>
      <c r="L2340" s="2" t="s">
        <v>22812</v>
      </c>
      <c r="M2340" s="2" t="s">
        <v>22813</v>
      </c>
      <c r="N2340" s="3" t="s">
        <v>106</v>
      </c>
      <c r="P2340" s="3" t="s">
        <v>64</v>
      </c>
      <c r="R2340" s="3" t="s">
        <v>13065</v>
      </c>
      <c r="S2340" s="4">
        <v>4</v>
      </c>
      <c r="T2340" s="4">
        <v>4</v>
      </c>
      <c r="U2340" s="5" t="s">
        <v>22814</v>
      </c>
      <c r="V2340" s="5" t="s">
        <v>22814</v>
      </c>
      <c r="W2340" s="5" t="s">
        <v>67</v>
      </c>
      <c r="X2340" s="5" t="s">
        <v>67</v>
      </c>
      <c r="Y2340" s="4">
        <v>560</v>
      </c>
      <c r="Z2340" s="4">
        <v>26</v>
      </c>
      <c r="AA2340" s="4">
        <v>35</v>
      </c>
      <c r="AB2340" s="4">
        <v>1</v>
      </c>
      <c r="AC2340" s="4">
        <v>4</v>
      </c>
      <c r="AD2340" s="4">
        <v>112</v>
      </c>
      <c r="AE2340" s="4">
        <v>124</v>
      </c>
      <c r="AF2340" s="4">
        <v>0</v>
      </c>
      <c r="AG2340" s="4">
        <v>3</v>
      </c>
      <c r="AH2340" s="4">
        <v>102</v>
      </c>
      <c r="AI2340" s="4">
        <v>109</v>
      </c>
      <c r="AJ2340" s="4">
        <v>10</v>
      </c>
      <c r="AK2340" s="4">
        <v>17</v>
      </c>
      <c r="AL2340" s="4">
        <v>54</v>
      </c>
      <c r="AM2340" s="4">
        <v>57</v>
      </c>
      <c r="AN2340" s="4">
        <v>0</v>
      </c>
      <c r="AO2340" s="4">
        <v>0</v>
      </c>
      <c r="AP2340" s="4">
        <v>17</v>
      </c>
      <c r="AQ2340" s="4">
        <v>23</v>
      </c>
      <c r="AR2340" s="3" t="s">
        <v>62</v>
      </c>
      <c r="AS2340" s="3" t="s">
        <v>62</v>
      </c>
      <c r="AT2340" s="3" t="s">
        <v>61</v>
      </c>
      <c r="AU2340" s="6" t="str">
        <f>HYPERLINK("http://catalog.hathitrust.org/Record/000469338","HathiTrust Record")</f>
        <v>HathiTrust Record</v>
      </c>
      <c r="AV2340" s="6" t="str">
        <f>HYPERLINK("http://mcgill.on.worldcat.org/oclc/180364","Catalog Record")</f>
        <v>Catalog Record</v>
      </c>
      <c r="AW2340" s="6" t="str">
        <f>HYPERLINK("http://www.worldcat.org/oclc/180364","WorldCat Record")</f>
        <v>WorldCat Record</v>
      </c>
      <c r="AX2340" s="3" t="s">
        <v>22815</v>
      </c>
      <c r="AY2340" s="3" t="s">
        <v>22816</v>
      </c>
      <c r="AZ2340" s="3" t="s">
        <v>22817</v>
      </c>
      <c r="BA2340" s="3" t="s">
        <v>22817</v>
      </c>
      <c r="BB2340" s="3" t="s">
        <v>22818</v>
      </c>
      <c r="BC2340" s="3" t="s">
        <v>102</v>
      </c>
      <c r="BD2340" s="3" t="s">
        <v>68</v>
      </c>
      <c r="BE2340" s="3" t="s">
        <v>22819</v>
      </c>
      <c r="BF2340" s="3" t="s">
        <v>22818</v>
      </c>
      <c r="BG2340" s="3" t="s">
        <v>22820</v>
      </c>
    </row>
    <row r="2341" spans="1:59" ht="58" x14ac:dyDescent="0.35">
      <c r="A2341" s="2" t="s">
        <v>89</v>
      </c>
      <c r="B2341" s="2" t="s">
        <v>90</v>
      </c>
      <c r="C2341" s="2" t="s">
        <v>22809</v>
      </c>
      <c r="D2341" s="2" t="s">
        <v>22810</v>
      </c>
      <c r="E2341" s="2" t="s">
        <v>22811</v>
      </c>
      <c r="G2341" s="3" t="s">
        <v>62</v>
      </c>
      <c r="I2341" s="3" t="s">
        <v>61</v>
      </c>
      <c r="J2341" s="3" t="s">
        <v>62</v>
      </c>
      <c r="K2341" s="3" t="s">
        <v>63</v>
      </c>
      <c r="L2341" s="2" t="s">
        <v>22812</v>
      </c>
      <c r="M2341" s="2" t="s">
        <v>22813</v>
      </c>
      <c r="N2341" s="3" t="s">
        <v>106</v>
      </c>
      <c r="P2341" s="3" t="s">
        <v>64</v>
      </c>
      <c r="R2341" s="3" t="s">
        <v>13065</v>
      </c>
      <c r="S2341" s="4">
        <v>0</v>
      </c>
      <c r="T2341" s="4">
        <v>4</v>
      </c>
      <c r="V2341" s="5" t="s">
        <v>22814</v>
      </c>
      <c r="W2341" s="5" t="s">
        <v>67</v>
      </c>
      <c r="X2341" s="5" t="s">
        <v>67</v>
      </c>
      <c r="Y2341" s="4">
        <v>560</v>
      </c>
      <c r="Z2341" s="4">
        <v>26</v>
      </c>
      <c r="AA2341" s="4">
        <v>35</v>
      </c>
      <c r="AB2341" s="4">
        <v>1</v>
      </c>
      <c r="AC2341" s="4">
        <v>4</v>
      </c>
      <c r="AD2341" s="4">
        <v>112</v>
      </c>
      <c r="AE2341" s="4">
        <v>124</v>
      </c>
      <c r="AF2341" s="4">
        <v>0</v>
      </c>
      <c r="AG2341" s="4">
        <v>3</v>
      </c>
      <c r="AH2341" s="4">
        <v>102</v>
      </c>
      <c r="AI2341" s="4">
        <v>109</v>
      </c>
      <c r="AJ2341" s="4">
        <v>10</v>
      </c>
      <c r="AK2341" s="4">
        <v>17</v>
      </c>
      <c r="AL2341" s="4">
        <v>54</v>
      </c>
      <c r="AM2341" s="4">
        <v>57</v>
      </c>
      <c r="AN2341" s="4">
        <v>0</v>
      </c>
      <c r="AO2341" s="4">
        <v>0</v>
      </c>
      <c r="AP2341" s="4">
        <v>17</v>
      </c>
      <c r="AQ2341" s="4">
        <v>23</v>
      </c>
      <c r="AR2341" s="3" t="s">
        <v>62</v>
      </c>
      <c r="AS2341" s="3" t="s">
        <v>62</v>
      </c>
      <c r="AT2341" s="3" t="s">
        <v>61</v>
      </c>
      <c r="AU2341" s="6" t="str">
        <f>HYPERLINK("http://catalog.hathitrust.org/Record/000469338","HathiTrust Record")</f>
        <v>HathiTrust Record</v>
      </c>
      <c r="AV2341" s="6" t="str">
        <f>HYPERLINK("http://mcgill.on.worldcat.org/oclc/180364","Catalog Record")</f>
        <v>Catalog Record</v>
      </c>
      <c r="AW2341" s="6" t="str">
        <f>HYPERLINK("http://www.worldcat.org/oclc/180364","WorldCat Record")</f>
        <v>WorldCat Record</v>
      </c>
      <c r="AX2341" s="3" t="s">
        <v>22815</v>
      </c>
      <c r="AY2341" s="3" t="s">
        <v>22816</v>
      </c>
      <c r="AZ2341" s="3" t="s">
        <v>22817</v>
      </c>
      <c r="BA2341" s="3" t="s">
        <v>22817</v>
      </c>
      <c r="BB2341" s="3" t="s">
        <v>22821</v>
      </c>
      <c r="BC2341" s="3" t="s">
        <v>102</v>
      </c>
      <c r="BD2341" s="3" t="s">
        <v>68</v>
      </c>
      <c r="BE2341" s="3" t="s">
        <v>22819</v>
      </c>
      <c r="BF2341" s="3" t="s">
        <v>22821</v>
      </c>
      <c r="BG2341" s="3" t="s">
        <v>22822</v>
      </c>
    </row>
    <row r="2342" spans="1:59" ht="58" x14ac:dyDescent="0.35">
      <c r="A2342" s="2" t="s">
        <v>89</v>
      </c>
      <c r="B2342" s="2" t="s">
        <v>90</v>
      </c>
      <c r="C2342" s="2" t="s">
        <v>22823</v>
      </c>
      <c r="D2342" s="2" t="s">
        <v>22824</v>
      </c>
      <c r="E2342" s="2" t="s">
        <v>22825</v>
      </c>
      <c r="G2342" s="3" t="s">
        <v>62</v>
      </c>
      <c r="I2342" s="3" t="s">
        <v>62</v>
      </c>
      <c r="J2342" s="3" t="s">
        <v>61</v>
      </c>
      <c r="K2342" s="3" t="s">
        <v>63</v>
      </c>
      <c r="L2342" s="2" t="s">
        <v>22826</v>
      </c>
      <c r="M2342" s="2" t="s">
        <v>22827</v>
      </c>
      <c r="N2342" s="3" t="s">
        <v>640</v>
      </c>
      <c r="O2342" s="2" t="s">
        <v>2986</v>
      </c>
      <c r="P2342" s="3" t="s">
        <v>64</v>
      </c>
      <c r="Q2342" s="2" t="s">
        <v>22828</v>
      </c>
      <c r="R2342" s="3" t="s">
        <v>13065</v>
      </c>
      <c r="S2342" s="4">
        <v>8</v>
      </c>
      <c r="T2342" s="4">
        <v>8</v>
      </c>
      <c r="U2342" s="5" t="s">
        <v>22760</v>
      </c>
      <c r="V2342" s="5" t="s">
        <v>22760</v>
      </c>
      <c r="W2342" s="5" t="s">
        <v>67</v>
      </c>
      <c r="X2342" s="5" t="s">
        <v>67</v>
      </c>
      <c r="Y2342" s="4">
        <v>213</v>
      </c>
      <c r="Z2342" s="4">
        <v>17</v>
      </c>
      <c r="AA2342" s="4">
        <v>75</v>
      </c>
      <c r="AB2342" s="4">
        <v>2</v>
      </c>
      <c r="AC2342" s="4">
        <v>12</v>
      </c>
      <c r="AD2342" s="4">
        <v>67</v>
      </c>
      <c r="AE2342" s="4">
        <v>123</v>
      </c>
      <c r="AF2342" s="4">
        <v>1</v>
      </c>
      <c r="AG2342" s="4">
        <v>7</v>
      </c>
      <c r="AH2342" s="4">
        <v>60</v>
      </c>
      <c r="AI2342" s="4">
        <v>92</v>
      </c>
      <c r="AJ2342" s="4">
        <v>9</v>
      </c>
      <c r="AK2342" s="4">
        <v>22</v>
      </c>
      <c r="AL2342" s="4">
        <v>33</v>
      </c>
      <c r="AM2342" s="4">
        <v>49</v>
      </c>
      <c r="AN2342" s="4">
        <v>0</v>
      </c>
      <c r="AO2342" s="4">
        <v>0</v>
      </c>
      <c r="AP2342" s="4">
        <v>12</v>
      </c>
      <c r="AQ2342" s="4">
        <v>39</v>
      </c>
      <c r="AR2342" s="3" t="s">
        <v>62</v>
      </c>
      <c r="AS2342" s="3" t="s">
        <v>62</v>
      </c>
      <c r="AT2342" s="3" t="s">
        <v>62</v>
      </c>
      <c r="AV2342" s="6" t="str">
        <f>HYPERLINK("http://mcgill.on.worldcat.org/oclc/52418310","Catalog Record")</f>
        <v>Catalog Record</v>
      </c>
      <c r="AW2342" s="6" t="str">
        <f>HYPERLINK("http://www.worldcat.org/oclc/52418310","WorldCat Record")</f>
        <v>WorldCat Record</v>
      </c>
      <c r="AX2342" s="3" t="s">
        <v>22829</v>
      </c>
      <c r="AY2342" s="3" t="s">
        <v>22830</v>
      </c>
      <c r="AZ2342" s="3" t="s">
        <v>22831</v>
      </c>
      <c r="BA2342" s="3" t="s">
        <v>22831</v>
      </c>
      <c r="BB2342" s="3" t="s">
        <v>22832</v>
      </c>
      <c r="BC2342" s="3" t="s">
        <v>102</v>
      </c>
      <c r="BD2342" s="3" t="s">
        <v>68</v>
      </c>
      <c r="BE2342" s="3" t="s">
        <v>22833</v>
      </c>
      <c r="BF2342" s="3" t="s">
        <v>22832</v>
      </c>
      <c r="BG2342" s="3" t="s">
        <v>22834</v>
      </c>
    </row>
    <row r="2343" spans="1:59" ht="58" x14ac:dyDescent="0.35">
      <c r="A2343" s="2" t="s">
        <v>89</v>
      </c>
      <c r="B2343" s="2" t="s">
        <v>90</v>
      </c>
      <c r="C2343" s="2" t="s">
        <v>22835</v>
      </c>
      <c r="D2343" s="2" t="s">
        <v>22836</v>
      </c>
      <c r="E2343" s="2" t="s">
        <v>22837</v>
      </c>
      <c r="G2343" s="3" t="s">
        <v>62</v>
      </c>
      <c r="I2343" s="3" t="s">
        <v>62</v>
      </c>
      <c r="J2343" s="3" t="s">
        <v>62</v>
      </c>
      <c r="K2343" s="3" t="s">
        <v>63</v>
      </c>
      <c r="L2343" s="2" t="s">
        <v>22838</v>
      </c>
      <c r="M2343" s="2" t="s">
        <v>22839</v>
      </c>
      <c r="N2343" s="3" t="s">
        <v>553</v>
      </c>
      <c r="P2343" s="3" t="s">
        <v>64</v>
      </c>
      <c r="Q2343" s="2" t="s">
        <v>22840</v>
      </c>
      <c r="R2343" s="3" t="s">
        <v>13065</v>
      </c>
      <c r="S2343" s="4">
        <v>6</v>
      </c>
      <c r="T2343" s="4">
        <v>6</v>
      </c>
      <c r="U2343" s="5" t="s">
        <v>22841</v>
      </c>
      <c r="V2343" s="5" t="s">
        <v>22841</v>
      </c>
      <c r="W2343" s="5" t="s">
        <v>67</v>
      </c>
      <c r="X2343" s="5" t="s">
        <v>67</v>
      </c>
      <c r="Y2343" s="4">
        <v>240</v>
      </c>
      <c r="Z2343" s="4">
        <v>14</v>
      </c>
      <c r="AA2343" s="4">
        <v>19</v>
      </c>
      <c r="AB2343" s="4">
        <v>1</v>
      </c>
      <c r="AC2343" s="4">
        <v>5</v>
      </c>
      <c r="AD2343" s="4">
        <v>86</v>
      </c>
      <c r="AE2343" s="4">
        <v>90</v>
      </c>
      <c r="AF2343" s="4">
        <v>0</v>
      </c>
      <c r="AG2343" s="4">
        <v>3</v>
      </c>
      <c r="AH2343" s="4">
        <v>81</v>
      </c>
      <c r="AI2343" s="4">
        <v>82</v>
      </c>
      <c r="AJ2343" s="4">
        <v>11</v>
      </c>
      <c r="AK2343" s="4">
        <v>14</v>
      </c>
      <c r="AL2343" s="4">
        <v>47</v>
      </c>
      <c r="AM2343" s="4">
        <v>47</v>
      </c>
      <c r="AN2343" s="4">
        <v>0</v>
      </c>
      <c r="AO2343" s="4">
        <v>0</v>
      </c>
      <c r="AP2343" s="4">
        <v>11</v>
      </c>
      <c r="AQ2343" s="4">
        <v>14</v>
      </c>
      <c r="AR2343" s="3" t="s">
        <v>62</v>
      </c>
      <c r="AS2343" s="3" t="s">
        <v>62</v>
      </c>
      <c r="AT2343" s="3" t="s">
        <v>62</v>
      </c>
      <c r="AV2343" s="6" t="str">
        <f>HYPERLINK("http://mcgill.on.worldcat.org/oclc/41070657","Catalog Record")</f>
        <v>Catalog Record</v>
      </c>
      <c r="AW2343" s="6" t="str">
        <f>HYPERLINK("http://www.worldcat.org/oclc/41070657","WorldCat Record")</f>
        <v>WorldCat Record</v>
      </c>
      <c r="AX2343" s="3" t="s">
        <v>22842</v>
      </c>
      <c r="AY2343" s="3" t="s">
        <v>22843</v>
      </c>
      <c r="AZ2343" s="3" t="s">
        <v>22844</v>
      </c>
      <c r="BA2343" s="3" t="s">
        <v>22844</v>
      </c>
      <c r="BB2343" s="3" t="s">
        <v>22845</v>
      </c>
      <c r="BC2343" s="3" t="s">
        <v>102</v>
      </c>
      <c r="BD2343" s="3" t="s">
        <v>68</v>
      </c>
      <c r="BE2343" s="3" t="s">
        <v>22846</v>
      </c>
      <c r="BF2343" s="3" t="s">
        <v>22845</v>
      </c>
      <c r="BG2343" s="3" t="s">
        <v>22847</v>
      </c>
    </row>
    <row r="2344" spans="1:59" ht="101.5" x14ac:dyDescent="0.35">
      <c r="A2344" s="2" t="s">
        <v>89</v>
      </c>
      <c r="B2344" s="2" t="s">
        <v>17803</v>
      </c>
      <c r="C2344" s="2" t="s">
        <v>22848</v>
      </c>
      <c r="D2344" s="2" t="s">
        <v>22849</v>
      </c>
      <c r="E2344" s="2" t="s">
        <v>22850</v>
      </c>
      <c r="G2344" s="3" t="s">
        <v>62</v>
      </c>
      <c r="I2344" s="3" t="s">
        <v>62</v>
      </c>
      <c r="J2344" s="3" t="s">
        <v>62</v>
      </c>
      <c r="K2344" s="3" t="s">
        <v>63</v>
      </c>
      <c r="M2344" s="2" t="s">
        <v>22851</v>
      </c>
      <c r="N2344" s="3" t="s">
        <v>712</v>
      </c>
      <c r="O2344" s="2" t="s">
        <v>8443</v>
      </c>
      <c r="P2344" s="3" t="s">
        <v>64</v>
      </c>
      <c r="R2344" s="3" t="s">
        <v>13065</v>
      </c>
      <c r="S2344" s="4">
        <v>1</v>
      </c>
      <c r="T2344" s="4">
        <v>1</v>
      </c>
      <c r="U2344" s="5" t="s">
        <v>7803</v>
      </c>
      <c r="V2344" s="5" t="s">
        <v>7803</v>
      </c>
      <c r="W2344" s="5" t="s">
        <v>67</v>
      </c>
      <c r="X2344" s="5" t="s">
        <v>67</v>
      </c>
      <c r="Y2344" s="4">
        <v>1</v>
      </c>
      <c r="Z2344" s="4">
        <v>1</v>
      </c>
      <c r="AA2344" s="4">
        <v>1</v>
      </c>
      <c r="AB2344" s="4">
        <v>1</v>
      </c>
      <c r="AC2344" s="4">
        <v>1</v>
      </c>
      <c r="AD2344" s="4">
        <v>0</v>
      </c>
      <c r="AE2344" s="4">
        <v>1</v>
      </c>
      <c r="AF2344" s="4">
        <v>0</v>
      </c>
      <c r="AG2344" s="4">
        <v>0</v>
      </c>
      <c r="AH2344" s="4">
        <v>0</v>
      </c>
      <c r="AI2344" s="4">
        <v>1</v>
      </c>
      <c r="AJ2344" s="4">
        <v>0</v>
      </c>
      <c r="AK2344" s="4">
        <v>0</v>
      </c>
      <c r="AL2344" s="4">
        <v>0</v>
      </c>
      <c r="AM2344" s="4">
        <v>0</v>
      </c>
      <c r="AN2344" s="4">
        <v>0</v>
      </c>
      <c r="AO2344" s="4">
        <v>0</v>
      </c>
      <c r="AP2344" s="4">
        <v>0</v>
      </c>
      <c r="AQ2344" s="4">
        <v>0</v>
      </c>
      <c r="AR2344" s="3" t="s">
        <v>62</v>
      </c>
      <c r="AS2344" s="3" t="s">
        <v>62</v>
      </c>
      <c r="AT2344" s="3" t="s">
        <v>62</v>
      </c>
      <c r="AV2344" s="6" t="str">
        <f>HYPERLINK("http://mcgill.on.worldcat.org/oclc/1008757084","Catalog Record")</f>
        <v>Catalog Record</v>
      </c>
      <c r="AW2344" s="6" t="str">
        <f>HYPERLINK("http://www.worldcat.org/oclc/1008757084","WorldCat Record")</f>
        <v>WorldCat Record</v>
      </c>
      <c r="AX2344" s="3" t="s">
        <v>22852</v>
      </c>
      <c r="AY2344" s="3" t="s">
        <v>22853</v>
      </c>
      <c r="AZ2344" s="3" t="s">
        <v>22854</v>
      </c>
      <c r="BA2344" s="3" t="s">
        <v>22854</v>
      </c>
      <c r="BB2344" s="3" t="s">
        <v>22855</v>
      </c>
      <c r="BC2344" s="3" t="s">
        <v>102</v>
      </c>
      <c r="BD2344" s="3" t="s">
        <v>68</v>
      </c>
      <c r="BF2344" s="3" t="s">
        <v>22855</v>
      </c>
      <c r="BG2344" s="3" t="s">
        <v>22856</v>
      </c>
    </row>
    <row r="2345" spans="1:59" ht="58" x14ac:dyDescent="0.35">
      <c r="A2345" s="2" t="s">
        <v>89</v>
      </c>
      <c r="B2345" s="2" t="s">
        <v>90</v>
      </c>
      <c r="C2345" s="2" t="s">
        <v>22857</v>
      </c>
      <c r="D2345" s="2" t="s">
        <v>22858</v>
      </c>
      <c r="E2345" s="2" t="s">
        <v>22859</v>
      </c>
      <c r="G2345" s="3" t="s">
        <v>62</v>
      </c>
      <c r="I2345" s="3" t="s">
        <v>61</v>
      </c>
      <c r="J2345" s="3" t="s">
        <v>62</v>
      </c>
      <c r="K2345" s="3" t="s">
        <v>63</v>
      </c>
      <c r="L2345" s="2" t="s">
        <v>22860</v>
      </c>
      <c r="M2345" s="2" t="s">
        <v>22861</v>
      </c>
      <c r="N2345" s="3" t="s">
        <v>509</v>
      </c>
      <c r="P2345" s="3" t="s">
        <v>64</v>
      </c>
      <c r="Q2345" s="2" t="s">
        <v>22862</v>
      </c>
      <c r="R2345" s="3" t="s">
        <v>13065</v>
      </c>
      <c r="S2345" s="4">
        <v>109</v>
      </c>
      <c r="T2345" s="4">
        <v>198</v>
      </c>
      <c r="U2345" s="5" t="s">
        <v>3875</v>
      </c>
      <c r="V2345" s="5" t="s">
        <v>17587</v>
      </c>
      <c r="W2345" s="5" t="s">
        <v>67</v>
      </c>
      <c r="X2345" s="5" t="s">
        <v>67</v>
      </c>
      <c r="Y2345" s="4">
        <v>604</v>
      </c>
      <c r="Z2345" s="4">
        <v>13</v>
      </c>
      <c r="AA2345" s="4">
        <v>60</v>
      </c>
      <c r="AB2345" s="4">
        <v>1</v>
      </c>
      <c r="AC2345" s="4">
        <v>14</v>
      </c>
      <c r="AD2345" s="4">
        <v>93</v>
      </c>
      <c r="AE2345" s="4">
        <v>142</v>
      </c>
      <c r="AF2345" s="4">
        <v>0</v>
      </c>
      <c r="AG2345" s="4">
        <v>9</v>
      </c>
      <c r="AH2345" s="4">
        <v>83</v>
      </c>
      <c r="AI2345" s="4">
        <v>109</v>
      </c>
      <c r="AJ2345" s="4">
        <v>6</v>
      </c>
      <c r="AK2345" s="4">
        <v>27</v>
      </c>
      <c r="AL2345" s="4">
        <v>47</v>
      </c>
      <c r="AM2345" s="4">
        <v>59</v>
      </c>
      <c r="AN2345" s="4">
        <v>0</v>
      </c>
      <c r="AO2345" s="4">
        <v>0</v>
      </c>
      <c r="AP2345" s="4">
        <v>10</v>
      </c>
      <c r="AQ2345" s="4">
        <v>43</v>
      </c>
      <c r="AR2345" s="3" t="s">
        <v>62</v>
      </c>
      <c r="AS2345" s="3" t="s">
        <v>62</v>
      </c>
      <c r="AT2345" s="3" t="s">
        <v>62</v>
      </c>
      <c r="AV2345" s="6" t="str">
        <f>HYPERLINK("http://mcgill.on.worldcat.org/oclc/28112208","Catalog Record")</f>
        <v>Catalog Record</v>
      </c>
      <c r="AW2345" s="6" t="str">
        <f>HYPERLINK("http://www.worldcat.org/oclc/28112208","WorldCat Record")</f>
        <v>WorldCat Record</v>
      </c>
      <c r="AX2345" s="3" t="s">
        <v>22863</v>
      </c>
      <c r="AY2345" s="3" t="s">
        <v>22864</v>
      </c>
      <c r="AZ2345" s="3" t="s">
        <v>22865</v>
      </c>
      <c r="BA2345" s="3" t="s">
        <v>22865</v>
      </c>
      <c r="BB2345" s="3" t="s">
        <v>22866</v>
      </c>
      <c r="BC2345" s="3" t="s">
        <v>102</v>
      </c>
      <c r="BD2345" s="3" t="s">
        <v>231</v>
      </c>
      <c r="BE2345" s="3" t="s">
        <v>22867</v>
      </c>
      <c r="BF2345" s="3" t="s">
        <v>22866</v>
      </c>
      <c r="BG2345" s="3" t="s">
        <v>22868</v>
      </c>
    </row>
    <row r="2346" spans="1:59" ht="58" x14ac:dyDescent="0.35">
      <c r="A2346" s="2" t="s">
        <v>89</v>
      </c>
      <c r="B2346" s="2" t="s">
        <v>90</v>
      </c>
      <c r="C2346" s="2" t="s">
        <v>22869</v>
      </c>
      <c r="D2346" s="2" t="s">
        <v>22870</v>
      </c>
      <c r="E2346" s="2" t="s">
        <v>22871</v>
      </c>
      <c r="G2346" s="3" t="s">
        <v>62</v>
      </c>
      <c r="I2346" s="3" t="s">
        <v>62</v>
      </c>
      <c r="J2346" s="3" t="s">
        <v>62</v>
      </c>
      <c r="K2346" s="3" t="s">
        <v>63</v>
      </c>
      <c r="L2346" s="2" t="s">
        <v>22872</v>
      </c>
      <c r="M2346" s="2" t="s">
        <v>22873</v>
      </c>
      <c r="N2346" s="3" t="s">
        <v>2085</v>
      </c>
      <c r="P2346" s="3" t="s">
        <v>64</v>
      </c>
      <c r="Q2346" s="2" t="s">
        <v>22874</v>
      </c>
      <c r="R2346" s="3" t="s">
        <v>13065</v>
      </c>
      <c r="S2346" s="4">
        <v>0</v>
      </c>
      <c r="T2346" s="4">
        <v>0</v>
      </c>
      <c r="W2346" s="5" t="s">
        <v>67</v>
      </c>
      <c r="X2346" s="5" t="s">
        <v>67</v>
      </c>
      <c r="Y2346" s="4">
        <v>107</v>
      </c>
      <c r="Z2346" s="4">
        <v>4</v>
      </c>
      <c r="AA2346" s="4">
        <v>8</v>
      </c>
      <c r="AB2346" s="4">
        <v>1</v>
      </c>
      <c r="AC2346" s="4">
        <v>2</v>
      </c>
      <c r="AD2346" s="4">
        <v>45</v>
      </c>
      <c r="AE2346" s="4">
        <v>60</v>
      </c>
      <c r="AF2346" s="4">
        <v>0</v>
      </c>
      <c r="AG2346" s="4">
        <v>1</v>
      </c>
      <c r="AH2346" s="4">
        <v>43</v>
      </c>
      <c r="AI2346" s="4">
        <v>55</v>
      </c>
      <c r="AJ2346" s="4">
        <v>3</v>
      </c>
      <c r="AK2346" s="4">
        <v>5</v>
      </c>
      <c r="AL2346" s="4">
        <v>28</v>
      </c>
      <c r="AM2346" s="4">
        <v>31</v>
      </c>
      <c r="AN2346" s="4">
        <v>0</v>
      </c>
      <c r="AO2346" s="4">
        <v>0</v>
      </c>
      <c r="AP2346" s="4">
        <v>3</v>
      </c>
      <c r="AQ2346" s="4">
        <v>7</v>
      </c>
      <c r="AR2346" s="3" t="s">
        <v>62</v>
      </c>
      <c r="AS2346" s="3" t="s">
        <v>62</v>
      </c>
      <c r="AT2346" s="3" t="s">
        <v>62</v>
      </c>
      <c r="AV2346" s="6" t="str">
        <f>HYPERLINK("http://mcgill.on.worldcat.org/oclc/1005779063","Catalog Record")</f>
        <v>Catalog Record</v>
      </c>
      <c r="AW2346" s="6" t="str">
        <f>HYPERLINK("http://www.worldcat.org/oclc/1005779063","WorldCat Record")</f>
        <v>WorldCat Record</v>
      </c>
      <c r="AX2346" s="3" t="s">
        <v>22875</v>
      </c>
      <c r="AY2346" s="3" t="s">
        <v>22876</v>
      </c>
      <c r="AZ2346" s="3" t="s">
        <v>22877</v>
      </c>
      <c r="BA2346" s="3" t="s">
        <v>22877</v>
      </c>
      <c r="BB2346" s="3" t="s">
        <v>22878</v>
      </c>
      <c r="BC2346" s="3" t="s">
        <v>102</v>
      </c>
      <c r="BD2346" s="3" t="s">
        <v>68</v>
      </c>
      <c r="BE2346" s="3" t="s">
        <v>22879</v>
      </c>
      <c r="BF2346" s="3" t="s">
        <v>22878</v>
      </c>
      <c r="BG2346" s="3" t="s">
        <v>22880</v>
      </c>
    </row>
    <row r="2347" spans="1:59" ht="58" x14ac:dyDescent="0.35">
      <c r="A2347" s="2" t="s">
        <v>89</v>
      </c>
      <c r="B2347" s="2" t="s">
        <v>90</v>
      </c>
      <c r="C2347" s="2" t="s">
        <v>22881</v>
      </c>
      <c r="D2347" s="2" t="s">
        <v>22882</v>
      </c>
      <c r="E2347" s="2" t="s">
        <v>22883</v>
      </c>
      <c r="F2347" s="3" t="s">
        <v>17015</v>
      </c>
      <c r="G2347" s="3" t="s">
        <v>62</v>
      </c>
      <c r="I2347" s="3" t="s">
        <v>62</v>
      </c>
      <c r="J2347" s="3" t="s">
        <v>61</v>
      </c>
      <c r="K2347" s="3" t="s">
        <v>63</v>
      </c>
      <c r="L2347" s="2" t="s">
        <v>22884</v>
      </c>
      <c r="M2347" s="2" t="s">
        <v>22885</v>
      </c>
      <c r="N2347" s="3" t="s">
        <v>640</v>
      </c>
      <c r="O2347" s="2" t="s">
        <v>2986</v>
      </c>
      <c r="P2347" s="3" t="s">
        <v>64</v>
      </c>
      <c r="R2347" s="3" t="s">
        <v>13065</v>
      </c>
      <c r="S2347" s="4">
        <v>13</v>
      </c>
      <c r="T2347" s="4">
        <v>13</v>
      </c>
      <c r="U2347" s="5" t="s">
        <v>14288</v>
      </c>
      <c r="V2347" s="5" t="s">
        <v>14288</v>
      </c>
      <c r="W2347" s="5" t="s">
        <v>67</v>
      </c>
      <c r="X2347" s="5" t="s">
        <v>67</v>
      </c>
      <c r="Y2347" s="4">
        <v>255</v>
      </c>
      <c r="Z2347" s="4">
        <v>7</v>
      </c>
      <c r="AA2347" s="4">
        <v>44</v>
      </c>
      <c r="AB2347" s="4">
        <v>2</v>
      </c>
      <c r="AC2347" s="4">
        <v>9</v>
      </c>
      <c r="AD2347" s="4">
        <v>55</v>
      </c>
      <c r="AE2347" s="4">
        <v>131</v>
      </c>
      <c r="AF2347" s="4">
        <v>1</v>
      </c>
      <c r="AG2347" s="4">
        <v>5</v>
      </c>
      <c r="AH2347" s="4">
        <v>51</v>
      </c>
      <c r="AI2347" s="4">
        <v>107</v>
      </c>
      <c r="AJ2347" s="4">
        <v>6</v>
      </c>
      <c r="AK2347" s="4">
        <v>22</v>
      </c>
      <c r="AL2347" s="4">
        <v>32</v>
      </c>
      <c r="AM2347" s="4">
        <v>56</v>
      </c>
      <c r="AN2347" s="4">
        <v>0</v>
      </c>
      <c r="AO2347" s="4">
        <v>0</v>
      </c>
      <c r="AP2347" s="4">
        <v>6</v>
      </c>
      <c r="AQ2347" s="4">
        <v>32</v>
      </c>
      <c r="AR2347" s="3" t="s">
        <v>62</v>
      </c>
      <c r="AS2347" s="3" t="s">
        <v>62</v>
      </c>
      <c r="AT2347" s="3" t="s">
        <v>62</v>
      </c>
      <c r="AV2347" s="6" t="str">
        <f>HYPERLINK("http://mcgill.on.worldcat.org/oclc/52860444","Catalog Record")</f>
        <v>Catalog Record</v>
      </c>
      <c r="AW2347" s="6" t="str">
        <f>HYPERLINK("http://www.worldcat.org/oclc/52860444","WorldCat Record")</f>
        <v>WorldCat Record</v>
      </c>
      <c r="AX2347" s="3" t="s">
        <v>22886</v>
      </c>
      <c r="AY2347" s="3" t="s">
        <v>22887</v>
      </c>
      <c r="AZ2347" s="3" t="s">
        <v>22888</v>
      </c>
      <c r="BA2347" s="3" t="s">
        <v>22888</v>
      </c>
      <c r="BB2347" s="3" t="s">
        <v>22889</v>
      </c>
      <c r="BC2347" s="3" t="s">
        <v>102</v>
      </c>
      <c r="BD2347" s="3" t="s">
        <v>68</v>
      </c>
      <c r="BE2347" s="3" t="s">
        <v>22890</v>
      </c>
      <c r="BF2347" s="3" t="s">
        <v>22889</v>
      </c>
      <c r="BG2347" s="3" t="s">
        <v>22891</v>
      </c>
    </row>
    <row r="2348" spans="1:59" ht="58" x14ac:dyDescent="0.35">
      <c r="A2348" s="2" t="s">
        <v>89</v>
      </c>
      <c r="B2348" s="2" t="s">
        <v>90</v>
      </c>
      <c r="C2348" s="2" t="s">
        <v>22892</v>
      </c>
      <c r="D2348" s="2" t="s">
        <v>22893</v>
      </c>
      <c r="E2348" s="2" t="s">
        <v>22894</v>
      </c>
      <c r="G2348" s="3" t="s">
        <v>62</v>
      </c>
      <c r="I2348" s="3" t="s">
        <v>61</v>
      </c>
      <c r="J2348" s="3" t="s">
        <v>62</v>
      </c>
      <c r="K2348" s="3" t="s">
        <v>63</v>
      </c>
      <c r="L2348" s="2" t="s">
        <v>22895</v>
      </c>
      <c r="M2348" s="2" t="s">
        <v>10687</v>
      </c>
      <c r="N2348" s="3" t="s">
        <v>539</v>
      </c>
      <c r="P2348" s="3" t="s">
        <v>64</v>
      </c>
      <c r="Q2348" s="2" t="s">
        <v>22896</v>
      </c>
      <c r="R2348" s="3" t="s">
        <v>13065</v>
      </c>
      <c r="S2348" s="4">
        <v>14</v>
      </c>
      <c r="T2348" s="4">
        <v>16</v>
      </c>
      <c r="U2348" s="5" t="s">
        <v>22624</v>
      </c>
      <c r="V2348" s="5" t="s">
        <v>22624</v>
      </c>
      <c r="W2348" s="5" t="s">
        <v>67</v>
      </c>
      <c r="X2348" s="5" t="s">
        <v>67</v>
      </c>
      <c r="Y2348" s="4">
        <v>370</v>
      </c>
      <c r="Z2348" s="4">
        <v>24</v>
      </c>
      <c r="AA2348" s="4">
        <v>65</v>
      </c>
      <c r="AB2348" s="4">
        <v>1</v>
      </c>
      <c r="AC2348" s="4">
        <v>12</v>
      </c>
      <c r="AD2348" s="4">
        <v>89</v>
      </c>
      <c r="AE2348" s="4">
        <v>121</v>
      </c>
      <c r="AF2348" s="4">
        <v>0</v>
      </c>
      <c r="AG2348" s="4">
        <v>5</v>
      </c>
      <c r="AH2348" s="4">
        <v>76</v>
      </c>
      <c r="AI2348" s="4">
        <v>96</v>
      </c>
      <c r="AJ2348" s="4">
        <v>9</v>
      </c>
      <c r="AK2348" s="4">
        <v>20</v>
      </c>
      <c r="AL2348" s="4">
        <v>47</v>
      </c>
      <c r="AM2348" s="4">
        <v>53</v>
      </c>
      <c r="AN2348" s="4">
        <v>0</v>
      </c>
      <c r="AO2348" s="4">
        <v>0</v>
      </c>
      <c r="AP2348" s="4">
        <v>18</v>
      </c>
      <c r="AQ2348" s="4">
        <v>33</v>
      </c>
      <c r="AR2348" s="3" t="s">
        <v>62</v>
      </c>
      <c r="AS2348" s="3" t="s">
        <v>62</v>
      </c>
      <c r="AT2348" s="3" t="s">
        <v>62</v>
      </c>
      <c r="AV2348" s="6" t="str">
        <f>HYPERLINK("http://mcgill.on.worldcat.org/oclc/37573245","Catalog Record")</f>
        <v>Catalog Record</v>
      </c>
      <c r="AW2348" s="6" t="str">
        <f>HYPERLINK("http://www.worldcat.org/oclc/37573245","WorldCat Record")</f>
        <v>WorldCat Record</v>
      </c>
      <c r="AX2348" s="3" t="s">
        <v>22897</v>
      </c>
      <c r="AY2348" s="3" t="s">
        <v>22898</v>
      </c>
      <c r="AZ2348" s="3" t="s">
        <v>22899</v>
      </c>
      <c r="BA2348" s="3" t="s">
        <v>22899</v>
      </c>
      <c r="BB2348" s="3" t="s">
        <v>22900</v>
      </c>
      <c r="BC2348" s="3" t="s">
        <v>102</v>
      </c>
      <c r="BD2348" s="3" t="s">
        <v>68</v>
      </c>
      <c r="BE2348" s="3" t="s">
        <v>22901</v>
      </c>
      <c r="BF2348" s="3" t="s">
        <v>22900</v>
      </c>
      <c r="BG2348" s="3" t="s">
        <v>22902</v>
      </c>
    </row>
    <row r="2349" spans="1:59" ht="58" x14ac:dyDescent="0.35">
      <c r="A2349" s="2" t="s">
        <v>89</v>
      </c>
      <c r="B2349" s="2" t="s">
        <v>90</v>
      </c>
      <c r="C2349" s="2" t="s">
        <v>22892</v>
      </c>
      <c r="D2349" s="2" t="s">
        <v>22893</v>
      </c>
      <c r="E2349" s="2" t="s">
        <v>22894</v>
      </c>
      <c r="G2349" s="3" t="s">
        <v>62</v>
      </c>
      <c r="I2349" s="3" t="s">
        <v>61</v>
      </c>
      <c r="J2349" s="3" t="s">
        <v>62</v>
      </c>
      <c r="K2349" s="3" t="s">
        <v>63</v>
      </c>
      <c r="L2349" s="2" t="s">
        <v>22895</v>
      </c>
      <c r="M2349" s="2" t="s">
        <v>10687</v>
      </c>
      <c r="N2349" s="3" t="s">
        <v>539</v>
      </c>
      <c r="P2349" s="3" t="s">
        <v>64</v>
      </c>
      <c r="Q2349" s="2" t="s">
        <v>22896</v>
      </c>
      <c r="R2349" s="3" t="s">
        <v>13065</v>
      </c>
      <c r="S2349" s="4">
        <v>2</v>
      </c>
      <c r="T2349" s="4">
        <v>16</v>
      </c>
      <c r="U2349" s="5" t="s">
        <v>22903</v>
      </c>
      <c r="V2349" s="5" t="s">
        <v>22624</v>
      </c>
      <c r="W2349" s="5" t="s">
        <v>67</v>
      </c>
      <c r="X2349" s="5" t="s">
        <v>67</v>
      </c>
      <c r="Y2349" s="4">
        <v>370</v>
      </c>
      <c r="Z2349" s="4">
        <v>24</v>
      </c>
      <c r="AA2349" s="4">
        <v>65</v>
      </c>
      <c r="AB2349" s="4">
        <v>1</v>
      </c>
      <c r="AC2349" s="4">
        <v>12</v>
      </c>
      <c r="AD2349" s="4">
        <v>89</v>
      </c>
      <c r="AE2349" s="4">
        <v>121</v>
      </c>
      <c r="AF2349" s="4">
        <v>0</v>
      </c>
      <c r="AG2349" s="4">
        <v>5</v>
      </c>
      <c r="AH2349" s="4">
        <v>76</v>
      </c>
      <c r="AI2349" s="4">
        <v>96</v>
      </c>
      <c r="AJ2349" s="4">
        <v>9</v>
      </c>
      <c r="AK2349" s="4">
        <v>20</v>
      </c>
      <c r="AL2349" s="4">
        <v>47</v>
      </c>
      <c r="AM2349" s="4">
        <v>53</v>
      </c>
      <c r="AN2349" s="4">
        <v>0</v>
      </c>
      <c r="AO2349" s="4">
        <v>0</v>
      </c>
      <c r="AP2349" s="4">
        <v>18</v>
      </c>
      <c r="AQ2349" s="4">
        <v>33</v>
      </c>
      <c r="AR2349" s="3" t="s">
        <v>62</v>
      </c>
      <c r="AS2349" s="3" t="s">
        <v>62</v>
      </c>
      <c r="AT2349" s="3" t="s">
        <v>62</v>
      </c>
      <c r="AV2349" s="6" t="str">
        <f>HYPERLINK("http://mcgill.on.worldcat.org/oclc/37573245","Catalog Record")</f>
        <v>Catalog Record</v>
      </c>
      <c r="AW2349" s="6" t="str">
        <f>HYPERLINK("http://www.worldcat.org/oclc/37573245","WorldCat Record")</f>
        <v>WorldCat Record</v>
      </c>
      <c r="AX2349" s="3" t="s">
        <v>22897</v>
      </c>
      <c r="AY2349" s="3" t="s">
        <v>22898</v>
      </c>
      <c r="AZ2349" s="3" t="s">
        <v>22899</v>
      </c>
      <c r="BA2349" s="3" t="s">
        <v>22899</v>
      </c>
      <c r="BB2349" s="3" t="s">
        <v>22904</v>
      </c>
      <c r="BC2349" s="3" t="s">
        <v>102</v>
      </c>
      <c r="BD2349" s="3" t="s">
        <v>68</v>
      </c>
      <c r="BE2349" s="3" t="s">
        <v>22901</v>
      </c>
      <c r="BF2349" s="3" t="s">
        <v>22904</v>
      </c>
      <c r="BG2349" s="3" t="s">
        <v>22905</v>
      </c>
    </row>
    <row r="2350" spans="1:59" ht="58" x14ac:dyDescent="0.35">
      <c r="A2350" s="2" t="s">
        <v>89</v>
      </c>
      <c r="B2350" s="2" t="s">
        <v>90</v>
      </c>
      <c r="C2350" s="2" t="s">
        <v>22906</v>
      </c>
      <c r="D2350" s="2" t="s">
        <v>22907</v>
      </c>
      <c r="E2350" s="2" t="s">
        <v>22908</v>
      </c>
      <c r="G2350" s="3" t="s">
        <v>62</v>
      </c>
      <c r="I2350" s="3" t="s">
        <v>62</v>
      </c>
      <c r="J2350" s="3" t="s">
        <v>61</v>
      </c>
      <c r="K2350" s="3" t="s">
        <v>63</v>
      </c>
      <c r="L2350" s="2" t="s">
        <v>22176</v>
      </c>
      <c r="M2350" s="2" t="s">
        <v>14984</v>
      </c>
      <c r="N2350" s="3" t="s">
        <v>438</v>
      </c>
      <c r="P2350" s="3" t="s">
        <v>64</v>
      </c>
      <c r="Q2350" s="2" t="s">
        <v>22909</v>
      </c>
      <c r="R2350" s="3" t="s">
        <v>13065</v>
      </c>
      <c r="S2350" s="4">
        <v>76</v>
      </c>
      <c r="T2350" s="4">
        <v>76</v>
      </c>
      <c r="U2350" s="5" t="s">
        <v>1906</v>
      </c>
      <c r="V2350" s="5" t="s">
        <v>1906</v>
      </c>
      <c r="W2350" s="5" t="s">
        <v>67</v>
      </c>
      <c r="X2350" s="5" t="s">
        <v>67</v>
      </c>
      <c r="Y2350" s="4">
        <v>743</v>
      </c>
      <c r="Z2350" s="4">
        <v>33</v>
      </c>
      <c r="AA2350" s="4">
        <v>76</v>
      </c>
      <c r="AB2350" s="4">
        <v>3</v>
      </c>
      <c r="AC2350" s="4">
        <v>17</v>
      </c>
      <c r="AD2350" s="4">
        <v>122</v>
      </c>
      <c r="AE2350" s="4">
        <v>161</v>
      </c>
      <c r="AF2350" s="4">
        <v>2</v>
      </c>
      <c r="AG2350" s="4">
        <v>9</v>
      </c>
      <c r="AH2350" s="4">
        <v>100</v>
      </c>
      <c r="AI2350" s="4">
        <v>117</v>
      </c>
      <c r="AJ2350" s="4">
        <v>20</v>
      </c>
      <c r="AK2350" s="4">
        <v>28</v>
      </c>
      <c r="AL2350" s="4">
        <v>56</v>
      </c>
      <c r="AM2350" s="4">
        <v>61</v>
      </c>
      <c r="AN2350" s="4">
        <v>0</v>
      </c>
      <c r="AO2350" s="4">
        <v>0</v>
      </c>
      <c r="AP2350" s="4">
        <v>26</v>
      </c>
      <c r="AQ2350" s="4">
        <v>51</v>
      </c>
      <c r="AR2350" s="3" t="s">
        <v>62</v>
      </c>
      <c r="AS2350" s="3" t="s">
        <v>62</v>
      </c>
      <c r="AT2350" s="3" t="s">
        <v>61</v>
      </c>
      <c r="AU2350" s="6" t="str">
        <f>HYPERLINK("http://catalog.hathitrust.org/Record/001948643","HathiTrust Record")</f>
        <v>HathiTrust Record</v>
      </c>
      <c r="AV2350" s="6" t="str">
        <f>HYPERLINK("http://mcgill.on.worldcat.org/oclc/20393175","Catalog Record")</f>
        <v>Catalog Record</v>
      </c>
      <c r="AW2350" s="6" t="str">
        <f>HYPERLINK("http://www.worldcat.org/oclc/20393175","WorldCat Record")</f>
        <v>WorldCat Record</v>
      </c>
      <c r="AX2350" s="3" t="s">
        <v>22910</v>
      </c>
      <c r="AY2350" s="3" t="s">
        <v>22911</v>
      </c>
      <c r="AZ2350" s="3" t="s">
        <v>22912</v>
      </c>
      <c r="BA2350" s="3" t="s">
        <v>22912</v>
      </c>
      <c r="BB2350" s="3" t="s">
        <v>22913</v>
      </c>
      <c r="BC2350" s="3" t="s">
        <v>102</v>
      </c>
      <c r="BD2350" s="3" t="s">
        <v>68</v>
      </c>
      <c r="BE2350" s="3" t="s">
        <v>22914</v>
      </c>
      <c r="BF2350" s="3" t="s">
        <v>22913</v>
      </c>
      <c r="BG2350" s="3" t="s">
        <v>22915</v>
      </c>
    </row>
    <row r="2351" spans="1:59" ht="58" x14ac:dyDescent="0.35">
      <c r="A2351" s="2" t="s">
        <v>89</v>
      </c>
      <c r="B2351" s="2" t="s">
        <v>90</v>
      </c>
      <c r="C2351" s="2" t="s">
        <v>22916</v>
      </c>
      <c r="D2351" s="2" t="s">
        <v>22917</v>
      </c>
      <c r="E2351" s="2" t="s">
        <v>22918</v>
      </c>
      <c r="G2351" s="3" t="s">
        <v>62</v>
      </c>
      <c r="I2351" s="3" t="s">
        <v>62</v>
      </c>
      <c r="J2351" s="3" t="s">
        <v>62</v>
      </c>
      <c r="K2351" s="3" t="s">
        <v>63</v>
      </c>
      <c r="L2351" s="2" t="s">
        <v>22919</v>
      </c>
      <c r="M2351" s="2" t="s">
        <v>22920</v>
      </c>
      <c r="N2351" s="3" t="s">
        <v>539</v>
      </c>
      <c r="P2351" s="3" t="s">
        <v>64</v>
      </c>
      <c r="Q2351" s="2" t="s">
        <v>22921</v>
      </c>
      <c r="R2351" s="3" t="s">
        <v>13065</v>
      </c>
      <c r="S2351" s="4">
        <v>51</v>
      </c>
      <c r="T2351" s="4">
        <v>51</v>
      </c>
      <c r="U2351" s="5" t="s">
        <v>22360</v>
      </c>
      <c r="V2351" s="5" t="s">
        <v>22360</v>
      </c>
      <c r="W2351" s="5" t="s">
        <v>67</v>
      </c>
      <c r="X2351" s="5" t="s">
        <v>67</v>
      </c>
      <c r="Y2351" s="4">
        <v>284</v>
      </c>
      <c r="Z2351" s="4">
        <v>14</v>
      </c>
      <c r="AA2351" s="4">
        <v>21</v>
      </c>
      <c r="AB2351" s="4">
        <v>3</v>
      </c>
      <c r="AC2351" s="4">
        <v>9</v>
      </c>
      <c r="AD2351" s="4">
        <v>78</v>
      </c>
      <c r="AE2351" s="4">
        <v>83</v>
      </c>
      <c r="AF2351" s="4">
        <v>1</v>
      </c>
      <c r="AG2351" s="4">
        <v>4</v>
      </c>
      <c r="AH2351" s="4">
        <v>72</v>
      </c>
      <c r="AI2351" s="4">
        <v>74</v>
      </c>
      <c r="AJ2351" s="4">
        <v>9</v>
      </c>
      <c r="AK2351" s="4">
        <v>12</v>
      </c>
      <c r="AL2351" s="4">
        <v>42</v>
      </c>
      <c r="AM2351" s="4">
        <v>43</v>
      </c>
      <c r="AN2351" s="4">
        <v>0</v>
      </c>
      <c r="AO2351" s="4">
        <v>0</v>
      </c>
      <c r="AP2351" s="4">
        <v>8</v>
      </c>
      <c r="AQ2351" s="4">
        <v>11</v>
      </c>
      <c r="AR2351" s="3" t="s">
        <v>62</v>
      </c>
      <c r="AS2351" s="3" t="s">
        <v>62</v>
      </c>
      <c r="AT2351" s="3" t="s">
        <v>62</v>
      </c>
      <c r="AV2351" s="6" t="str">
        <f>HYPERLINK("http://mcgill.on.worldcat.org/oclc/38002664","Catalog Record")</f>
        <v>Catalog Record</v>
      </c>
      <c r="AW2351" s="6" t="str">
        <f>HYPERLINK("http://www.worldcat.org/oclc/38002664","WorldCat Record")</f>
        <v>WorldCat Record</v>
      </c>
      <c r="AX2351" s="3" t="s">
        <v>22922</v>
      </c>
      <c r="AY2351" s="3" t="s">
        <v>22923</v>
      </c>
      <c r="AZ2351" s="3" t="s">
        <v>22924</v>
      </c>
      <c r="BA2351" s="3" t="s">
        <v>22924</v>
      </c>
      <c r="BB2351" s="3" t="s">
        <v>22925</v>
      </c>
      <c r="BC2351" s="3" t="s">
        <v>102</v>
      </c>
      <c r="BD2351" s="3" t="s">
        <v>68</v>
      </c>
      <c r="BE2351" s="3" t="s">
        <v>22926</v>
      </c>
      <c r="BF2351" s="3" t="s">
        <v>22925</v>
      </c>
      <c r="BG2351" s="3" t="s">
        <v>22927</v>
      </c>
    </row>
    <row r="2352" spans="1:59" ht="58" x14ac:dyDescent="0.35">
      <c r="A2352" s="2" t="s">
        <v>89</v>
      </c>
      <c r="B2352" s="2" t="s">
        <v>90</v>
      </c>
      <c r="C2352" s="2" t="s">
        <v>22928</v>
      </c>
      <c r="D2352" s="2" t="s">
        <v>22929</v>
      </c>
      <c r="E2352" s="2" t="s">
        <v>22930</v>
      </c>
      <c r="G2352" s="3" t="s">
        <v>62</v>
      </c>
      <c r="I2352" s="3" t="s">
        <v>62</v>
      </c>
      <c r="J2352" s="3" t="s">
        <v>62</v>
      </c>
      <c r="K2352" s="3" t="s">
        <v>63</v>
      </c>
      <c r="M2352" s="2" t="s">
        <v>22931</v>
      </c>
      <c r="N2352" s="3" t="s">
        <v>2000</v>
      </c>
      <c r="P2352" s="3" t="s">
        <v>64</v>
      </c>
      <c r="R2352" s="3" t="s">
        <v>13065</v>
      </c>
      <c r="S2352" s="4">
        <v>25</v>
      </c>
      <c r="T2352" s="4">
        <v>25</v>
      </c>
      <c r="U2352" s="5" t="s">
        <v>22932</v>
      </c>
      <c r="V2352" s="5" t="s">
        <v>22932</v>
      </c>
      <c r="W2352" s="5" t="s">
        <v>67</v>
      </c>
      <c r="X2352" s="5" t="s">
        <v>67</v>
      </c>
      <c r="Y2352" s="4">
        <v>153</v>
      </c>
      <c r="Z2352" s="4">
        <v>15</v>
      </c>
      <c r="AA2352" s="4">
        <v>19</v>
      </c>
      <c r="AB2352" s="4">
        <v>1</v>
      </c>
      <c r="AC2352" s="4">
        <v>5</v>
      </c>
      <c r="AD2352" s="4">
        <v>58</v>
      </c>
      <c r="AE2352" s="4">
        <v>61</v>
      </c>
      <c r="AF2352" s="4">
        <v>0</v>
      </c>
      <c r="AG2352" s="4">
        <v>2</v>
      </c>
      <c r="AH2352" s="4">
        <v>50</v>
      </c>
      <c r="AI2352" s="4">
        <v>51</v>
      </c>
      <c r="AJ2352" s="4">
        <v>10</v>
      </c>
      <c r="AK2352" s="4">
        <v>12</v>
      </c>
      <c r="AL2352" s="4">
        <v>30</v>
      </c>
      <c r="AM2352" s="4">
        <v>30</v>
      </c>
      <c r="AN2352" s="4">
        <v>0</v>
      </c>
      <c r="AO2352" s="4">
        <v>0</v>
      </c>
      <c r="AP2352" s="4">
        <v>13</v>
      </c>
      <c r="AQ2352" s="4">
        <v>15</v>
      </c>
      <c r="AR2352" s="3" t="s">
        <v>62</v>
      </c>
      <c r="AS2352" s="3" t="s">
        <v>62</v>
      </c>
      <c r="AT2352" s="3" t="s">
        <v>62</v>
      </c>
      <c r="AV2352" s="6" t="str">
        <f>HYPERLINK("http://mcgill.on.worldcat.org/oclc/34894884","Catalog Record")</f>
        <v>Catalog Record</v>
      </c>
      <c r="AW2352" s="6" t="str">
        <f>HYPERLINK("http://www.worldcat.org/oclc/34894884","WorldCat Record")</f>
        <v>WorldCat Record</v>
      </c>
      <c r="AX2352" s="3" t="s">
        <v>22933</v>
      </c>
      <c r="AY2352" s="3" t="s">
        <v>22934</v>
      </c>
      <c r="AZ2352" s="3" t="s">
        <v>22935</v>
      </c>
      <c r="BA2352" s="3" t="s">
        <v>22935</v>
      </c>
      <c r="BB2352" s="3" t="s">
        <v>22936</v>
      </c>
      <c r="BC2352" s="3" t="s">
        <v>102</v>
      </c>
      <c r="BD2352" s="3" t="s">
        <v>68</v>
      </c>
      <c r="BE2352" s="3" t="s">
        <v>22937</v>
      </c>
      <c r="BF2352" s="3" t="s">
        <v>22936</v>
      </c>
      <c r="BG2352" s="3" t="s">
        <v>22938</v>
      </c>
    </row>
    <row r="2353" spans="1:59" ht="58" x14ac:dyDescent="0.35">
      <c r="A2353" s="2" t="s">
        <v>89</v>
      </c>
      <c r="B2353" s="2" t="s">
        <v>90</v>
      </c>
      <c r="C2353" s="2" t="s">
        <v>22939</v>
      </c>
      <c r="D2353" s="2" t="s">
        <v>22940</v>
      </c>
      <c r="E2353" s="2" t="s">
        <v>22941</v>
      </c>
      <c r="G2353" s="3" t="s">
        <v>62</v>
      </c>
      <c r="I2353" s="3" t="s">
        <v>62</v>
      </c>
      <c r="J2353" s="3" t="s">
        <v>61</v>
      </c>
      <c r="K2353" s="3" t="s">
        <v>63</v>
      </c>
      <c r="L2353" s="2" t="s">
        <v>22942</v>
      </c>
      <c r="M2353" s="2" t="s">
        <v>22943</v>
      </c>
      <c r="N2353" s="3" t="s">
        <v>1905</v>
      </c>
      <c r="O2353" s="2" t="s">
        <v>2986</v>
      </c>
      <c r="P2353" s="3" t="s">
        <v>64</v>
      </c>
      <c r="R2353" s="3" t="s">
        <v>13065</v>
      </c>
      <c r="S2353" s="4">
        <v>46</v>
      </c>
      <c r="T2353" s="4">
        <v>46</v>
      </c>
      <c r="U2353" s="5" t="s">
        <v>22944</v>
      </c>
      <c r="V2353" s="5" t="s">
        <v>22944</v>
      </c>
      <c r="W2353" s="5" t="s">
        <v>67</v>
      </c>
      <c r="X2353" s="5" t="s">
        <v>67</v>
      </c>
      <c r="Y2353" s="4">
        <v>192</v>
      </c>
      <c r="Z2353" s="4">
        <v>13</v>
      </c>
      <c r="AA2353" s="4">
        <v>70</v>
      </c>
      <c r="AB2353" s="4">
        <v>1</v>
      </c>
      <c r="AC2353" s="4">
        <v>20</v>
      </c>
      <c r="AD2353" s="4">
        <v>52</v>
      </c>
      <c r="AE2353" s="4">
        <v>139</v>
      </c>
      <c r="AF2353" s="4">
        <v>0</v>
      </c>
      <c r="AG2353" s="4">
        <v>10</v>
      </c>
      <c r="AH2353" s="4">
        <v>42</v>
      </c>
      <c r="AI2353" s="4">
        <v>102</v>
      </c>
      <c r="AJ2353" s="4">
        <v>8</v>
      </c>
      <c r="AK2353" s="4">
        <v>27</v>
      </c>
      <c r="AL2353" s="4">
        <v>26</v>
      </c>
      <c r="AM2353" s="4">
        <v>52</v>
      </c>
      <c r="AN2353" s="4">
        <v>0</v>
      </c>
      <c r="AO2353" s="4">
        <v>0</v>
      </c>
      <c r="AP2353" s="4">
        <v>12</v>
      </c>
      <c r="AQ2353" s="4">
        <v>45</v>
      </c>
      <c r="AR2353" s="3" t="s">
        <v>62</v>
      </c>
      <c r="AS2353" s="3" t="s">
        <v>62</v>
      </c>
      <c r="AT2353" s="3" t="s">
        <v>62</v>
      </c>
      <c r="AV2353" s="6" t="str">
        <f>HYPERLINK("http://mcgill.on.worldcat.org/oclc/13821459","Catalog Record")</f>
        <v>Catalog Record</v>
      </c>
      <c r="AW2353" s="6" t="str">
        <f>HYPERLINK("http://www.worldcat.org/oclc/13821459","WorldCat Record")</f>
        <v>WorldCat Record</v>
      </c>
      <c r="AX2353" s="3" t="s">
        <v>22945</v>
      </c>
      <c r="AY2353" s="3" t="s">
        <v>22946</v>
      </c>
      <c r="AZ2353" s="3" t="s">
        <v>22947</v>
      </c>
      <c r="BA2353" s="3" t="s">
        <v>22947</v>
      </c>
      <c r="BB2353" s="3" t="s">
        <v>22948</v>
      </c>
      <c r="BC2353" s="3" t="s">
        <v>102</v>
      </c>
      <c r="BD2353" s="3" t="s">
        <v>231</v>
      </c>
      <c r="BE2353" s="3" t="s">
        <v>22949</v>
      </c>
      <c r="BF2353" s="3" t="s">
        <v>22948</v>
      </c>
      <c r="BG2353" s="3" t="s">
        <v>22950</v>
      </c>
    </row>
    <row r="2354" spans="1:59" ht="58" x14ac:dyDescent="0.35">
      <c r="A2354" s="2" t="s">
        <v>89</v>
      </c>
      <c r="B2354" s="2" t="s">
        <v>90</v>
      </c>
      <c r="C2354" s="2" t="s">
        <v>22951</v>
      </c>
      <c r="D2354" s="2" t="s">
        <v>22952</v>
      </c>
      <c r="E2354" s="2" t="s">
        <v>22953</v>
      </c>
      <c r="G2354" s="3" t="s">
        <v>62</v>
      </c>
      <c r="I2354" s="3" t="s">
        <v>61</v>
      </c>
      <c r="J2354" s="3" t="s">
        <v>61</v>
      </c>
      <c r="K2354" s="3" t="s">
        <v>63</v>
      </c>
      <c r="L2354" s="2" t="s">
        <v>22954</v>
      </c>
      <c r="M2354" s="2" t="s">
        <v>14535</v>
      </c>
      <c r="N2354" s="3" t="s">
        <v>2975</v>
      </c>
      <c r="O2354" s="2" t="s">
        <v>2458</v>
      </c>
      <c r="P2354" s="3" t="s">
        <v>64</v>
      </c>
      <c r="R2354" s="3" t="s">
        <v>13065</v>
      </c>
      <c r="S2354" s="4">
        <v>11</v>
      </c>
      <c r="T2354" s="4">
        <v>30</v>
      </c>
      <c r="U2354" s="5" t="s">
        <v>21609</v>
      </c>
      <c r="V2354" s="5" t="s">
        <v>3717</v>
      </c>
      <c r="W2354" s="5" t="s">
        <v>67</v>
      </c>
      <c r="X2354" s="5" t="s">
        <v>67</v>
      </c>
      <c r="Y2354" s="4">
        <v>230</v>
      </c>
      <c r="Z2354" s="4">
        <v>14</v>
      </c>
      <c r="AA2354" s="4">
        <v>57</v>
      </c>
      <c r="AB2354" s="4">
        <v>3</v>
      </c>
      <c r="AC2354" s="4">
        <v>13</v>
      </c>
      <c r="AD2354" s="4">
        <v>56</v>
      </c>
      <c r="AE2354" s="4">
        <v>147</v>
      </c>
      <c r="AF2354" s="4">
        <v>1</v>
      </c>
      <c r="AG2354" s="4">
        <v>4</v>
      </c>
      <c r="AH2354" s="4">
        <v>50</v>
      </c>
      <c r="AI2354" s="4">
        <v>116</v>
      </c>
      <c r="AJ2354" s="4">
        <v>12</v>
      </c>
      <c r="AK2354" s="4">
        <v>26</v>
      </c>
      <c r="AL2354" s="4">
        <v>29</v>
      </c>
      <c r="AM2354" s="4">
        <v>63</v>
      </c>
      <c r="AN2354" s="4">
        <v>0</v>
      </c>
      <c r="AO2354" s="4">
        <v>0</v>
      </c>
      <c r="AP2354" s="4">
        <v>12</v>
      </c>
      <c r="AQ2354" s="4">
        <v>38</v>
      </c>
      <c r="AR2354" s="3" t="s">
        <v>62</v>
      </c>
      <c r="AS2354" s="3" t="s">
        <v>62</v>
      </c>
      <c r="AT2354" s="3" t="s">
        <v>62</v>
      </c>
      <c r="AV2354" s="6" t="str">
        <f>HYPERLINK("http://mcgill.on.worldcat.org/oclc/46793079","Catalog Record")</f>
        <v>Catalog Record</v>
      </c>
      <c r="AW2354" s="6" t="str">
        <f>HYPERLINK("http://www.worldcat.org/oclc/46793079","WorldCat Record")</f>
        <v>WorldCat Record</v>
      </c>
      <c r="AX2354" s="3" t="s">
        <v>22955</v>
      </c>
      <c r="AY2354" s="3" t="s">
        <v>22956</v>
      </c>
      <c r="AZ2354" s="3" t="s">
        <v>22957</v>
      </c>
      <c r="BA2354" s="3" t="s">
        <v>22957</v>
      </c>
      <c r="BB2354" s="3" t="s">
        <v>22958</v>
      </c>
      <c r="BC2354" s="3" t="s">
        <v>102</v>
      </c>
      <c r="BD2354" s="3" t="s">
        <v>68</v>
      </c>
      <c r="BE2354" s="3" t="s">
        <v>22959</v>
      </c>
      <c r="BF2354" s="3" t="s">
        <v>22958</v>
      </c>
      <c r="BG2354" s="3" t="s">
        <v>22960</v>
      </c>
    </row>
    <row r="2355" spans="1:59" ht="58" x14ac:dyDescent="0.35">
      <c r="A2355" s="2" t="s">
        <v>89</v>
      </c>
      <c r="B2355" s="2" t="s">
        <v>90</v>
      </c>
      <c r="C2355" s="2" t="s">
        <v>22961</v>
      </c>
      <c r="D2355" s="2" t="s">
        <v>22962</v>
      </c>
      <c r="E2355" s="2" t="s">
        <v>22963</v>
      </c>
      <c r="G2355" s="3" t="s">
        <v>62</v>
      </c>
      <c r="I2355" s="3" t="s">
        <v>62</v>
      </c>
      <c r="J2355" s="3" t="s">
        <v>62</v>
      </c>
      <c r="K2355" s="3" t="s">
        <v>63</v>
      </c>
      <c r="L2355" s="2" t="s">
        <v>22964</v>
      </c>
      <c r="M2355" s="2" t="s">
        <v>22965</v>
      </c>
      <c r="N2355" s="3" t="s">
        <v>1455</v>
      </c>
      <c r="O2355" s="2" t="s">
        <v>7791</v>
      </c>
      <c r="P2355" s="3" t="s">
        <v>64</v>
      </c>
      <c r="R2355" s="3" t="s">
        <v>13065</v>
      </c>
      <c r="S2355" s="4">
        <v>0</v>
      </c>
      <c r="T2355" s="4">
        <v>0</v>
      </c>
      <c r="W2355" s="5" t="s">
        <v>22966</v>
      </c>
      <c r="X2355" s="5" t="s">
        <v>22966</v>
      </c>
      <c r="Y2355" s="4">
        <v>27</v>
      </c>
      <c r="Z2355" s="4">
        <v>2</v>
      </c>
      <c r="AA2355" s="4">
        <v>54</v>
      </c>
      <c r="AB2355" s="4">
        <v>1</v>
      </c>
      <c r="AC2355" s="4">
        <v>16</v>
      </c>
      <c r="AD2355" s="4">
        <v>5</v>
      </c>
      <c r="AE2355" s="4">
        <v>130</v>
      </c>
      <c r="AF2355" s="4">
        <v>0</v>
      </c>
      <c r="AG2355" s="4">
        <v>9</v>
      </c>
      <c r="AH2355" s="4">
        <v>4</v>
      </c>
      <c r="AI2355" s="4">
        <v>95</v>
      </c>
      <c r="AJ2355" s="4">
        <v>0</v>
      </c>
      <c r="AK2355" s="4">
        <v>24</v>
      </c>
      <c r="AL2355" s="4">
        <v>2</v>
      </c>
      <c r="AM2355" s="4">
        <v>53</v>
      </c>
      <c r="AN2355" s="4">
        <v>0</v>
      </c>
      <c r="AO2355" s="4">
        <v>0</v>
      </c>
      <c r="AP2355" s="4">
        <v>1</v>
      </c>
      <c r="AQ2355" s="4">
        <v>42</v>
      </c>
      <c r="AR2355" s="3" t="s">
        <v>62</v>
      </c>
      <c r="AS2355" s="3" t="s">
        <v>62</v>
      </c>
      <c r="AT2355" s="3" t="s">
        <v>62</v>
      </c>
      <c r="AV2355" s="6" t="str">
        <f>HYPERLINK("http://mcgill.on.worldcat.org/oclc/910078938","Catalog Record")</f>
        <v>Catalog Record</v>
      </c>
      <c r="AW2355" s="6" t="str">
        <f>HYPERLINK("http://www.worldcat.org/oclc/910078938","WorldCat Record")</f>
        <v>WorldCat Record</v>
      </c>
      <c r="AX2355" s="3" t="s">
        <v>22967</v>
      </c>
      <c r="AY2355" s="3" t="s">
        <v>22968</v>
      </c>
      <c r="AZ2355" s="3" t="s">
        <v>22969</v>
      </c>
      <c r="BA2355" s="3" t="s">
        <v>22969</v>
      </c>
      <c r="BB2355" s="3" t="s">
        <v>22970</v>
      </c>
      <c r="BC2355" s="3" t="s">
        <v>102</v>
      </c>
      <c r="BD2355" s="3" t="s">
        <v>68</v>
      </c>
      <c r="BE2355" s="3" t="s">
        <v>22971</v>
      </c>
      <c r="BF2355" s="3" t="s">
        <v>22970</v>
      </c>
      <c r="BG2355" s="3" t="s">
        <v>22972</v>
      </c>
    </row>
    <row r="2356" spans="1:59" ht="87" x14ac:dyDescent="0.35">
      <c r="A2356" s="2" t="s">
        <v>89</v>
      </c>
      <c r="B2356" s="2" t="s">
        <v>90</v>
      </c>
      <c r="C2356" s="2" t="s">
        <v>22973</v>
      </c>
      <c r="D2356" s="2" t="s">
        <v>22974</v>
      </c>
      <c r="E2356" s="2" t="s">
        <v>22975</v>
      </c>
      <c r="G2356" s="3" t="s">
        <v>62</v>
      </c>
      <c r="I2356" s="3" t="s">
        <v>62</v>
      </c>
      <c r="J2356" s="3" t="s">
        <v>62</v>
      </c>
      <c r="K2356" s="3" t="s">
        <v>63</v>
      </c>
      <c r="L2356" s="2" t="s">
        <v>22976</v>
      </c>
      <c r="M2356" s="2" t="s">
        <v>4000</v>
      </c>
      <c r="N2356" s="3" t="s">
        <v>640</v>
      </c>
      <c r="P2356" s="3" t="s">
        <v>64</v>
      </c>
      <c r="Q2356" s="2" t="s">
        <v>22977</v>
      </c>
      <c r="R2356" s="3" t="s">
        <v>13065</v>
      </c>
      <c r="S2356" s="4">
        <v>7</v>
      </c>
      <c r="T2356" s="4">
        <v>7</v>
      </c>
      <c r="U2356" s="5" t="s">
        <v>17361</v>
      </c>
      <c r="V2356" s="5" t="s">
        <v>17361</v>
      </c>
      <c r="W2356" s="5" t="s">
        <v>67</v>
      </c>
      <c r="X2356" s="5" t="s">
        <v>67</v>
      </c>
      <c r="Y2356" s="4">
        <v>123</v>
      </c>
      <c r="Z2356" s="4">
        <v>12</v>
      </c>
      <c r="AA2356" s="4">
        <v>15</v>
      </c>
      <c r="AB2356" s="4">
        <v>1</v>
      </c>
      <c r="AC2356" s="4">
        <v>2</v>
      </c>
      <c r="AD2356" s="4">
        <v>57</v>
      </c>
      <c r="AE2356" s="4">
        <v>65</v>
      </c>
      <c r="AF2356" s="4">
        <v>0</v>
      </c>
      <c r="AG2356" s="4">
        <v>0</v>
      </c>
      <c r="AH2356" s="4">
        <v>54</v>
      </c>
      <c r="AI2356" s="4">
        <v>60</v>
      </c>
      <c r="AJ2356" s="4">
        <v>9</v>
      </c>
      <c r="AK2356" s="4">
        <v>10</v>
      </c>
      <c r="AL2356" s="4">
        <v>33</v>
      </c>
      <c r="AM2356" s="4">
        <v>37</v>
      </c>
      <c r="AN2356" s="4">
        <v>0</v>
      </c>
      <c r="AO2356" s="4">
        <v>0</v>
      </c>
      <c r="AP2356" s="4">
        <v>8</v>
      </c>
      <c r="AQ2356" s="4">
        <v>10</v>
      </c>
      <c r="AR2356" s="3" t="s">
        <v>62</v>
      </c>
      <c r="AS2356" s="3" t="s">
        <v>62</v>
      </c>
      <c r="AT2356" s="3" t="s">
        <v>62</v>
      </c>
      <c r="AV2356" s="6" t="str">
        <f>HYPERLINK("http://mcgill.on.worldcat.org/oclc/60589756","Catalog Record")</f>
        <v>Catalog Record</v>
      </c>
      <c r="AW2356" s="6" t="str">
        <f>HYPERLINK("http://www.worldcat.org/oclc/60589756","WorldCat Record")</f>
        <v>WorldCat Record</v>
      </c>
      <c r="AX2356" s="3" t="s">
        <v>22978</v>
      </c>
      <c r="AY2356" s="3" t="s">
        <v>22979</v>
      </c>
      <c r="AZ2356" s="3" t="s">
        <v>22980</v>
      </c>
      <c r="BA2356" s="3" t="s">
        <v>22980</v>
      </c>
      <c r="BB2356" s="3" t="s">
        <v>22981</v>
      </c>
      <c r="BC2356" s="3" t="s">
        <v>102</v>
      </c>
      <c r="BD2356" s="3" t="s">
        <v>68</v>
      </c>
      <c r="BE2356" s="3" t="s">
        <v>22982</v>
      </c>
      <c r="BF2356" s="3" t="s">
        <v>22981</v>
      </c>
      <c r="BG2356" s="3" t="s">
        <v>22983</v>
      </c>
    </row>
    <row r="2357" spans="1:59" ht="58" x14ac:dyDescent="0.35">
      <c r="A2357" s="2" t="s">
        <v>89</v>
      </c>
      <c r="B2357" s="2" t="s">
        <v>90</v>
      </c>
      <c r="C2357" s="2" t="s">
        <v>22984</v>
      </c>
      <c r="D2357" s="2" t="s">
        <v>22985</v>
      </c>
      <c r="E2357" s="2" t="s">
        <v>22986</v>
      </c>
      <c r="G2357" s="3" t="s">
        <v>62</v>
      </c>
      <c r="I2357" s="3" t="s">
        <v>62</v>
      </c>
      <c r="J2357" s="3" t="s">
        <v>62</v>
      </c>
      <c r="K2357" s="3" t="s">
        <v>63</v>
      </c>
      <c r="L2357" s="2" t="s">
        <v>22621</v>
      </c>
      <c r="M2357" s="2" t="s">
        <v>10687</v>
      </c>
      <c r="N2357" s="3" t="s">
        <v>539</v>
      </c>
      <c r="P2357" s="3" t="s">
        <v>64</v>
      </c>
      <c r="Q2357" s="2" t="s">
        <v>22987</v>
      </c>
      <c r="R2357" s="3" t="s">
        <v>13065</v>
      </c>
      <c r="S2357" s="4">
        <v>10</v>
      </c>
      <c r="T2357" s="4">
        <v>10</v>
      </c>
      <c r="U2357" s="5" t="s">
        <v>22624</v>
      </c>
      <c r="V2357" s="5" t="s">
        <v>22624</v>
      </c>
      <c r="W2357" s="5" t="s">
        <v>67</v>
      </c>
      <c r="X2357" s="5" t="s">
        <v>67</v>
      </c>
      <c r="Y2357" s="4">
        <v>418</v>
      </c>
      <c r="Z2357" s="4">
        <v>25</v>
      </c>
      <c r="AA2357" s="4">
        <v>63</v>
      </c>
      <c r="AB2357" s="4">
        <v>1</v>
      </c>
      <c r="AC2357" s="4">
        <v>11</v>
      </c>
      <c r="AD2357" s="4">
        <v>98</v>
      </c>
      <c r="AE2357" s="4">
        <v>122</v>
      </c>
      <c r="AF2357" s="4">
        <v>0</v>
      </c>
      <c r="AG2357" s="4">
        <v>5</v>
      </c>
      <c r="AH2357" s="4">
        <v>84</v>
      </c>
      <c r="AI2357" s="4">
        <v>97</v>
      </c>
      <c r="AJ2357" s="4">
        <v>10</v>
      </c>
      <c r="AK2357" s="4">
        <v>19</v>
      </c>
      <c r="AL2357" s="4">
        <v>50</v>
      </c>
      <c r="AM2357" s="4">
        <v>52</v>
      </c>
      <c r="AN2357" s="4">
        <v>0</v>
      </c>
      <c r="AO2357" s="4">
        <v>0</v>
      </c>
      <c r="AP2357" s="4">
        <v>19</v>
      </c>
      <c r="AQ2357" s="4">
        <v>32</v>
      </c>
      <c r="AR2357" s="3" t="s">
        <v>62</v>
      </c>
      <c r="AS2357" s="3" t="s">
        <v>62</v>
      </c>
      <c r="AT2357" s="3" t="s">
        <v>62</v>
      </c>
      <c r="AV2357" s="6" t="str">
        <f>HYPERLINK("http://mcgill.on.worldcat.org/oclc/37843851","Catalog Record")</f>
        <v>Catalog Record</v>
      </c>
      <c r="AW2357" s="6" t="str">
        <f>HYPERLINK("http://www.worldcat.org/oclc/37843851","WorldCat Record")</f>
        <v>WorldCat Record</v>
      </c>
      <c r="AX2357" s="3" t="s">
        <v>22988</v>
      </c>
      <c r="AY2357" s="3" t="s">
        <v>22989</v>
      </c>
      <c r="AZ2357" s="3" t="s">
        <v>22990</v>
      </c>
      <c r="BA2357" s="3" t="s">
        <v>22990</v>
      </c>
      <c r="BB2357" s="3" t="s">
        <v>22991</v>
      </c>
      <c r="BC2357" s="3" t="s">
        <v>102</v>
      </c>
      <c r="BD2357" s="3" t="s">
        <v>68</v>
      </c>
      <c r="BE2357" s="3" t="s">
        <v>22992</v>
      </c>
      <c r="BF2357" s="3" t="s">
        <v>22991</v>
      </c>
      <c r="BG2357" s="3" t="s">
        <v>22993</v>
      </c>
    </row>
    <row r="2358" spans="1:59" ht="58" x14ac:dyDescent="0.35">
      <c r="A2358" s="2" t="s">
        <v>89</v>
      </c>
      <c r="B2358" s="2" t="s">
        <v>90</v>
      </c>
      <c r="C2358" s="2" t="s">
        <v>22994</v>
      </c>
      <c r="D2358" s="2" t="s">
        <v>22995</v>
      </c>
      <c r="E2358" s="2" t="s">
        <v>22996</v>
      </c>
      <c r="G2358" s="3" t="s">
        <v>62</v>
      </c>
      <c r="I2358" s="3" t="s">
        <v>61</v>
      </c>
      <c r="J2358" s="3" t="s">
        <v>61</v>
      </c>
      <c r="K2358" s="3" t="s">
        <v>63</v>
      </c>
      <c r="L2358" s="2" t="s">
        <v>22997</v>
      </c>
      <c r="M2358" s="2" t="s">
        <v>22998</v>
      </c>
      <c r="N2358" s="3" t="s">
        <v>466</v>
      </c>
      <c r="O2358" s="2" t="s">
        <v>2458</v>
      </c>
      <c r="P2358" s="3" t="s">
        <v>64</v>
      </c>
      <c r="R2358" s="3" t="s">
        <v>13065</v>
      </c>
      <c r="S2358" s="4">
        <v>23</v>
      </c>
      <c r="T2358" s="4">
        <v>59</v>
      </c>
      <c r="U2358" s="5" t="s">
        <v>22999</v>
      </c>
      <c r="V2358" s="5" t="s">
        <v>23000</v>
      </c>
      <c r="W2358" s="5" t="s">
        <v>67</v>
      </c>
      <c r="X2358" s="5" t="s">
        <v>67</v>
      </c>
      <c r="Y2358" s="4">
        <v>292</v>
      </c>
      <c r="Z2358" s="4">
        <v>19</v>
      </c>
      <c r="AA2358" s="4">
        <v>71</v>
      </c>
      <c r="AB2358" s="4">
        <v>1</v>
      </c>
      <c r="AC2358" s="4">
        <v>18</v>
      </c>
      <c r="AD2358" s="4">
        <v>70</v>
      </c>
      <c r="AE2358" s="4">
        <v>149</v>
      </c>
      <c r="AF2358" s="4">
        <v>0</v>
      </c>
      <c r="AG2358" s="4">
        <v>9</v>
      </c>
      <c r="AH2358" s="4">
        <v>63</v>
      </c>
      <c r="AI2358" s="4">
        <v>114</v>
      </c>
      <c r="AJ2358" s="4">
        <v>9</v>
      </c>
      <c r="AK2358" s="4">
        <v>28</v>
      </c>
      <c r="AL2358" s="4">
        <v>38</v>
      </c>
      <c r="AM2358" s="4">
        <v>59</v>
      </c>
      <c r="AN2358" s="4">
        <v>0</v>
      </c>
      <c r="AO2358" s="4">
        <v>0</v>
      </c>
      <c r="AP2358" s="4">
        <v>14</v>
      </c>
      <c r="AQ2358" s="4">
        <v>44</v>
      </c>
      <c r="AR2358" s="3" t="s">
        <v>62</v>
      </c>
      <c r="AS2358" s="3" t="s">
        <v>62</v>
      </c>
      <c r="AT2358" s="3" t="s">
        <v>61</v>
      </c>
      <c r="AU2358" s="6" t="str">
        <f>HYPERLINK("http://catalog.hathitrust.org/Record/002545395","HathiTrust Record")</f>
        <v>HathiTrust Record</v>
      </c>
      <c r="AV2358" s="6" t="str">
        <f>HYPERLINK("http://mcgill.on.worldcat.org/oclc/24955047","Catalog Record")</f>
        <v>Catalog Record</v>
      </c>
      <c r="AW2358" s="6" t="str">
        <f>HYPERLINK("http://www.worldcat.org/oclc/24955047","WorldCat Record")</f>
        <v>WorldCat Record</v>
      </c>
      <c r="AX2358" s="3" t="s">
        <v>23001</v>
      </c>
      <c r="AY2358" s="3" t="s">
        <v>23002</v>
      </c>
      <c r="AZ2358" s="3" t="s">
        <v>23003</v>
      </c>
      <c r="BA2358" s="3" t="s">
        <v>23003</v>
      </c>
      <c r="BB2358" s="3" t="s">
        <v>23004</v>
      </c>
      <c r="BC2358" s="3" t="s">
        <v>102</v>
      </c>
      <c r="BD2358" s="3" t="s">
        <v>68</v>
      </c>
      <c r="BE2358" s="3" t="s">
        <v>23005</v>
      </c>
      <c r="BF2358" s="3" t="s">
        <v>23004</v>
      </c>
      <c r="BG2358" s="3" t="s">
        <v>23006</v>
      </c>
    </row>
    <row r="2359" spans="1:59" ht="58" x14ac:dyDescent="0.35">
      <c r="A2359" s="2" t="s">
        <v>89</v>
      </c>
      <c r="B2359" s="2" t="s">
        <v>90</v>
      </c>
      <c r="C2359" s="2" t="s">
        <v>23007</v>
      </c>
      <c r="D2359" s="2" t="s">
        <v>23008</v>
      </c>
      <c r="E2359" s="2" t="s">
        <v>23009</v>
      </c>
      <c r="G2359" s="3" t="s">
        <v>62</v>
      </c>
      <c r="I2359" s="3" t="s">
        <v>62</v>
      </c>
      <c r="J2359" s="3" t="s">
        <v>62</v>
      </c>
      <c r="K2359" s="3" t="s">
        <v>63</v>
      </c>
      <c r="L2359" s="2" t="s">
        <v>23010</v>
      </c>
      <c r="M2359" s="2" t="s">
        <v>23011</v>
      </c>
      <c r="N2359" s="3" t="s">
        <v>684</v>
      </c>
      <c r="P2359" s="3" t="s">
        <v>64</v>
      </c>
      <c r="Q2359" s="2" t="s">
        <v>23012</v>
      </c>
      <c r="R2359" s="3" t="s">
        <v>13065</v>
      </c>
      <c r="S2359" s="4">
        <v>0</v>
      </c>
      <c r="T2359" s="4">
        <v>0</v>
      </c>
      <c r="W2359" s="5" t="s">
        <v>67</v>
      </c>
      <c r="X2359" s="5" t="s">
        <v>67</v>
      </c>
      <c r="Y2359" s="4">
        <v>120</v>
      </c>
      <c r="Z2359" s="4">
        <v>8</v>
      </c>
      <c r="AA2359" s="4">
        <v>9</v>
      </c>
      <c r="AB2359" s="4">
        <v>1</v>
      </c>
      <c r="AC2359" s="4">
        <v>1</v>
      </c>
      <c r="AD2359" s="4">
        <v>53</v>
      </c>
      <c r="AE2359" s="4">
        <v>59</v>
      </c>
      <c r="AF2359" s="4">
        <v>0</v>
      </c>
      <c r="AG2359" s="4">
        <v>0</v>
      </c>
      <c r="AH2359" s="4">
        <v>50</v>
      </c>
      <c r="AI2359" s="4">
        <v>56</v>
      </c>
      <c r="AJ2359" s="4">
        <v>6</v>
      </c>
      <c r="AK2359" s="4">
        <v>7</v>
      </c>
      <c r="AL2359" s="4">
        <v>29</v>
      </c>
      <c r="AM2359" s="4">
        <v>32</v>
      </c>
      <c r="AN2359" s="4">
        <v>0</v>
      </c>
      <c r="AO2359" s="4">
        <v>0</v>
      </c>
      <c r="AP2359" s="4">
        <v>6</v>
      </c>
      <c r="AQ2359" s="4">
        <v>7</v>
      </c>
      <c r="AR2359" s="3" t="s">
        <v>62</v>
      </c>
      <c r="AS2359" s="3" t="s">
        <v>62</v>
      </c>
      <c r="AT2359" s="3" t="s">
        <v>62</v>
      </c>
      <c r="AV2359" s="6" t="str">
        <f>HYPERLINK("http://mcgill.on.worldcat.org/oclc/696772912","Catalog Record")</f>
        <v>Catalog Record</v>
      </c>
      <c r="AW2359" s="6" t="str">
        <f>HYPERLINK("http://www.worldcat.org/oclc/696772912","WorldCat Record")</f>
        <v>WorldCat Record</v>
      </c>
      <c r="AX2359" s="3" t="s">
        <v>23013</v>
      </c>
      <c r="AY2359" s="3" t="s">
        <v>23014</v>
      </c>
      <c r="AZ2359" s="3" t="s">
        <v>23015</v>
      </c>
      <c r="BA2359" s="3" t="s">
        <v>23015</v>
      </c>
      <c r="BB2359" s="3" t="s">
        <v>23016</v>
      </c>
      <c r="BC2359" s="3" t="s">
        <v>102</v>
      </c>
      <c r="BD2359" s="3" t="s">
        <v>68</v>
      </c>
      <c r="BE2359" s="3" t="s">
        <v>23017</v>
      </c>
      <c r="BF2359" s="3" t="s">
        <v>23016</v>
      </c>
      <c r="BG2359" s="3" t="s">
        <v>23018</v>
      </c>
    </row>
    <row r="2360" spans="1:59" ht="58" x14ac:dyDescent="0.35">
      <c r="A2360" s="2" t="s">
        <v>89</v>
      </c>
      <c r="B2360" s="2" t="s">
        <v>90</v>
      </c>
      <c r="C2360" s="2" t="s">
        <v>23019</v>
      </c>
      <c r="D2360" s="2" t="s">
        <v>23020</v>
      </c>
      <c r="E2360" s="2" t="s">
        <v>23021</v>
      </c>
      <c r="G2360" s="3" t="s">
        <v>62</v>
      </c>
      <c r="I2360" s="3" t="s">
        <v>62</v>
      </c>
      <c r="J2360" s="3" t="s">
        <v>61</v>
      </c>
      <c r="K2360" s="3" t="s">
        <v>63</v>
      </c>
      <c r="L2360" s="2" t="s">
        <v>23022</v>
      </c>
      <c r="M2360" s="2" t="s">
        <v>23023</v>
      </c>
      <c r="N2360" s="3" t="s">
        <v>2136</v>
      </c>
      <c r="O2360" s="2" t="s">
        <v>2986</v>
      </c>
      <c r="P2360" s="3" t="s">
        <v>64</v>
      </c>
      <c r="Q2360" s="2" t="s">
        <v>23024</v>
      </c>
      <c r="R2360" s="3" t="s">
        <v>13065</v>
      </c>
      <c r="S2360" s="4">
        <v>78</v>
      </c>
      <c r="T2360" s="4">
        <v>78</v>
      </c>
      <c r="U2360" s="5" t="s">
        <v>9672</v>
      </c>
      <c r="V2360" s="5" t="s">
        <v>9672</v>
      </c>
      <c r="W2360" s="5" t="s">
        <v>67</v>
      </c>
      <c r="X2360" s="5" t="s">
        <v>67</v>
      </c>
      <c r="Y2360" s="4">
        <v>454</v>
      </c>
      <c r="Z2360" s="4">
        <v>32</v>
      </c>
      <c r="AA2360" s="4">
        <v>71</v>
      </c>
      <c r="AB2360" s="4">
        <v>3</v>
      </c>
      <c r="AC2360" s="4">
        <v>18</v>
      </c>
      <c r="AD2360" s="4">
        <v>102</v>
      </c>
      <c r="AE2360" s="4">
        <v>150</v>
      </c>
      <c r="AF2360" s="4">
        <v>2</v>
      </c>
      <c r="AG2360" s="4">
        <v>10</v>
      </c>
      <c r="AH2360" s="4">
        <v>85</v>
      </c>
      <c r="AI2360" s="4">
        <v>111</v>
      </c>
      <c r="AJ2360" s="4">
        <v>16</v>
      </c>
      <c r="AK2360" s="4">
        <v>27</v>
      </c>
      <c r="AL2360" s="4">
        <v>46</v>
      </c>
      <c r="AM2360" s="4">
        <v>57</v>
      </c>
      <c r="AN2360" s="4">
        <v>0</v>
      </c>
      <c r="AO2360" s="4">
        <v>0</v>
      </c>
      <c r="AP2360" s="4">
        <v>25</v>
      </c>
      <c r="AQ2360" s="4">
        <v>48</v>
      </c>
      <c r="AR2360" s="3" t="s">
        <v>62</v>
      </c>
      <c r="AS2360" s="3" t="s">
        <v>62</v>
      </c>
      <c r="AT2360" s="3" t="s">
        <v>62</v>
      </c>
      <c r="AV2360" s="6" t="str">
        <f>HYPERLINK("http://mcgill.on.worldcat.org/oclc/56334248","Catalog Record")</f>
        <v>Catalog Record</v>
      </c>
      <c r="AW2360" s="6" t="str">
        <f>HYPERLINK("http://www.worldcat.org/oclc/56334248","WorldCat Record")</f>
        <v>WorldCat Record</v>
      </c>
      <c r="AX2360" s="3" t="s">
        <v>23025</v>
      </c>
      <c r="AY2360" s="3" t="s">
        <v>23026</v>
      </c>
      <c r="AZ2360" s="3" t="s">
        <v>23027</v>
      </c>
      <c r="BA2360" s="3" t="s">
        <v>23027</v>
      </c>
      <c r="BB2360" s="3" t="s">
        <v>23028</v>
      </c>
      <c r="BC2360" s="3" t="s">
        <v>102</v>
      </c>
      <c r="BD2360" s="3" t="s">
        <v>231</v>
      </c>
      <c r="BE2360" s="3" t="s">
        <v>23029</v>
      </c>
      <c r="BF2360" s="3" t="s">
        <v>23028</v>
      </c>
      <c r="BG2360" s="3" t="s">
        <v>23030</v>
      </c>
    </row>
    <row r="2361" spans="1:59" ht="58" x14ac:dyDescent="0.35">
      <c r="A2361" s="2" t="s">
        <v>89</v>
      </c>
      <c r="B2361" s="2" t="s">
        <v>90</v>
      </c>
      <c r="C2361" s="2" t="s">
        <v>23031</v>
      </c>
      <c r="D2361" s="2" t="s">
        <v>23032</v>
      </c>
      <c r="E2361" s="2" t="s">
        <v>23033</v>
      </c>
      <c r="G2361" s="3" t="s">
        <v>62</v>
      </c>
      <c r="I2361" s="3" t="s">
        <v>61</v>
      </c>
      <c r="J2361" s="3" t="s">
        <v>61</v>
      </c>
      <c r="K2361" s="3" t="s">
        <v>63</v>
      </c>
      <c r="L2361" s="2" t="s">
        <v>23034</v>
      </c>
      <c r="M2361" s="2" t="s">
        <v>23035</v>
      </c>
      <c r="N2361" s="3" t="s">
        <v>424</v>
      </c>
      <c r="P2361" s="3" t="s">
        <v>64</v>
      </c>
      <c r="Q2361" s="2" t="s">
        <v>23036</v>
      </c>
      <c r="R2361" s="3" t="s">
        <v>13065</v>
      </c>
      <c r="S2361" s="4">
        <v>36</v>
      </c>
      <c r="T2361" s="4">
        <v>86</v>
      </c>
      <c r="U2361" s="5" t="s">
        <v>2298</v>
      </c>
      <c r="V2361" s="5" t="s">
        <v>23037</v>
      </c>
      <c r="W2361" s="5" t="s">
        <v>67</v>
      </c>
      <c r="X2361" s="5" t="s">
        <v>67</v>
      </c>
      <c r="Y2361" s="4">
        <v>364</v>
      </c>
      <c r="Z2361" s="4">
        <v>21</v>
      </c>
      <c r="AA2361" s="4">
        <v>27</v>
      </c>
      <c r="AB2361" s="4">
        <v>1</v>
      </c>
      <c r="AC2361" s="4">
        <v>5</v>
      </c>
      <c r="AD2361" s="4">
        <v>89</v>
      </c>
      <c r="AE2361" s="4">
        <v>100</v>
      </c>
      <c r="AF2361" s="4">
        <v>0</v>
      </c>
      <c r="AG2361" s="4">
        <v>3</v>
      </c>
      <c r="AH2361" s="4">
        <v>79</v>
      </c>
      <c r="AI2361" s="4">
        <v>87</v>
      </c>
      <c r="AJ2361" s="4">
        <v>15</v>
      </c>
      <c r="AK2361" s="4">
        <v>19</v>
      </c>
      <c r="AL2361" s="4">
        <v>44</v>
      </c>
      <c r="AM2361" s="4">
        <v>49</v>
      </c>
      <c r="AN2361" s="4">
        <v>0</v>
      </c>
      <c r="AO2361" s="4">
        <v>0</v>
      </c>
      <c r="AP2361" s="4">
        <v>18</v>
      </c>
      <c r="AQ2361" s="4">
        <v>23</v>
      </c>
      <c r="AR2361" s="3" t="s">
        <v>62</v>
      </c>
      <c r="AS2361" s="3" t="s">
        <v>62</v>
      </c>
      <c r="AT2361" s="3" t="s">
        <v>61</v>
      </c>
      <c r="AU2361" s="6" t="str">
        <f>HYPERLINK("http://catalog.hathitrust.org/Record/001079537","HathiTrust Record")</f>
        <v>HathiTrust Record</v>
      </c>
      <c r="AV2361" s="6" t="str">
        <f>HYPERLINK("http://mcgill.on.worldcat.org/oclc/17104080","Catalog Record")</f>
        <v>Catalog Record</v>
      </c>
      <c r="AW2361" s="6" t="str">
        <f>HYPERLINK("http://www.worldcat.org/oclc/17104080","WorldCat Record")</f>
        <v>WorldCat Record</v>
      </c>
      <c r="AX2361" s="3" t="s">
        <v>23038</v>
      </c>
      <c r="AY2361" s="3" t="s">
        <v>23039</v>
      </c>
      <c r="AZ2361" s="3" t="s">
        <v>23040</v>
      </c>
      <c r="BA2361" s="3" t="s">
        <v>23040</v>
      </c>
      <c r="BB2361" s="3" t="s">
        <v>23041</v>
      </c>
      <c r="BC2361" s="3" t="s">
        <v>102</v>
      </c>
      <c r="BD2361" s="3" t="s">
        <v>68</v>
      </c>
      <c r="BE2361" s="3" t="s">
        <v>23042</v>
      </c>
      <c r="BF2361" s="3" t="s">
        <v>23041</v>
      </c>
      <c r="BG2361" s="3" t="s">
        <v>23043</v>
      </c>
    </row>
    <row r="2362" spans="1:59" ht="58" x14ac:dyDescent="0.35">
      <c r="A2362" s="2" t="s">
        <v>89</v>
      </c>
      <c r="B2362" s="2" t="s">
        <v>90</v>
      </c>
      <c r="C2362" s="2" t="s">
        <v>23044</v>
      </c>
      <c r="D2362" s="2" t="s">
        <v>23045</v>
      </c>
      <c r="E2362" s="2" t="s">
        <v>23046</v>
      </c>
      <c r="F2362" s="3" t="s">
        <v>17015</v>
      </c>
      <c r="G2362" s="3" t="s">
        <v>62</v>
      </c>
      <c r="I2362" s="3" t="s">
        <v>62</v>
      </c>
      <c r="J2362" s="3" t="s">
        <v>62</v>
      </c>
      <c r="K2362" s="3" t="s">
        <v>63</v>
      </c>
      <c r="L2362" s="2" t="s">
        <v>23047</v>
      </c>
      <c r="M2362" s="2" t="s">
        <v>23048</v>
      </c>
      <c r="N2362" s="3" t="s">
        <v>625</v>
      </c>
      <c r="P2362" s="3" t="s">
        <v>64</v>
      </c>
      <c r="R2362" s="3" t="s">
        <v>13065</v>
      </c>
      <c r="S2362" s="4">
        <v>30</v>
      </c>
      <c r="T2362" s="4">
        <v>30</v>
      </c>
      <c r="U2362" s="5" t="s">
        <v>5947</v>
      </c>
      <c r="V2362" s="5" t="s">
        <v>5947</v>
      </c>
      <c r="W2362" s="5" t="s">
        <v>67</v>
      </c>
      <c r="X2362" s="5" t="s">
        <v>67</v>
      </c>
      <c r="Y2362" s="4">
        <v>251</v>
      </c>
      <c r="Z2362" s="4">
        <v>15</v>
      </c>
      <c r="AA2362" s="4">
        <v>22</v>
      </c>
      <c r="AB2362" s="4">
        <v>2</v>
      </c>
      <c r="AC2362" s="4">
        <v>8</v>
      </c>
      <c r="AD2362" s="4">
        <v>61</v>
      </c>
      <c r="AE2362" s="4">
        <v>71</v>
      </c>
      <c r="AF2362" s="4">
        <v>1</v>
      </c>
      <c r="AG2362" s="4">
        <v>4</v>
      </c>
      <c r="AH2362" s="4">
        <v>55</v>
      </c>
      <c r="AI2362" s="4">
        <v>63</v>
      </c>
      <c r="AJ2362" s="4">
        <v>10</v>
      </c>
      <c r="AK2362" s="4">
        <v>14</v>
      </c>
      <c r="AL2362" s="4">
        <v>27</v>
      </c>
      <c r="AM2362" s="4">
        <v>30</v>
      </c>
      <c r="AN2362" s="4">
        <v>0</v>
      </c>
      <c r="AO2362" s="4">
        <v>0</v>
      </c>
      <c r="AP2362" s="4">
        <v>11</v>
      </c>
      <c r="AQ2362" s="4">
        <v>14</v>
      </c>
      <c r="AR2362" s="3" t="s">
        <v>62</v>
      </c>
      <c r="AS2362" s="3" t="s">
        <v>62</v>
      </c>
      <c r="AT2362" s="3" t="s">
        <v>62</v>
      </c>
      <c r="AV2362" s="6" t="str">
        <f>HYPERLINK("http://mcgill.on.worldcat.org/oclc/51768777","Catalog Record")</f>
        <v>Catalog Record</v>
      </c>
      <c r="AW2362" s="6" t="str">
        <f>HYPERLINK("http://www.worldcat.org/oclc/51768777","WorldCat Record")</f>
        <v>WorldCat Record</v>
      </c>
      <c r="AX2362" s="3" t="s">
        <v>23049</v>
      </c>
      <c r="AY2362" s="3" t="s">
        <v>23050</v>
      </c>
      <c r="AZ2362" s="3" t="s">
        <v>23051</v>
      </c>
      <c r="BA2362" s="3" t="s">
        <v>23051</v>
      </c>
      <c r="BB2362" s="3" t="s">
        <v>23052</v>
      </c>
      <c r="BC2362" s="3" t="s">
        <v>102</v>
      </c>
      <c r="BD2362" s="3" t="s">
        <v>68</v>
      </c>
      <c r="BE2362" s="3" t="s">
        <v>23053</v>
      </c>
      <c r="BF2362" s="3" t="s">
        <v>23052</v>
      </c>
      <c r="BG2362" s="3" t="s">
        <v>23054</v>
      </c>
    </row>
    <row r="2363" spans="1:59" ht="58" x14ac:dyDescent="0.35">
      <c r="A2363" s="2" t="s">
        <v>89</v>
      </c>
      <c r="B2363" s="2" t="s">
        <v>90</v>
      </c>
      <c r="C2363" s="2" t="s">
        <v>23055</v>
      </c>
      <c r="D2363" s="2" t="s">
        <v>23056</v>
      </c>
      <c r="E2363" s="2" t="s">
        <v>23057</v>
      </c>
      <c r="G2363" s="3" t="s">
        <v>62</v>
      </c>
      <c r="I2363" s="3" t="s">
        <v>62</v>
      </c>
      <c r="J2363" s="3" t="s">
        <v>62</v>
      </c>
      <c r="K2363" s="3" t="s">
        <v>63</v>
      </c>
      <c r="L2363" s="2" t="s">
        <v>23058</v>
      </c>
      <c r="M2363" s="2" t="s">
        <v>10179</v>
      </c>
      <c r="N2363" s="3" t="s">
        <v>640</v>
      </c>
      <c r="P2363" s="3" t="s">
        <v>64</v>
      </c>
      <c r="Q2363" s="2" t="s">
        <v>23059</v>
      </c>
      <c r="R2363" s="3" t="s">
        <v>13065</v>
      </c>
      <c r="S2363" s="4">
        <v>16</v>
      </c>
      <c r="T2363" s="4">
        <v>16</v>
      </c>
      <c r="U2363" s="5" t="s">
        <v>10785</v>
      </c>
      <c r="V2363" s="5" t="s">
        <v>10785</v>
      </c>
      <c r="W2363" s="5" t="s">
        <v>67</v>
      </c>
      <c r="X2363" s="5" t="s">
        <v>67</v>
      </c>
      <c r="Y2363" s="4">
        <v>376</v>
      </c>
      <c r="Z2363" s="4">
        <v>23</v>
      </c>
      <c r="AA2363" s="4">
        <v>34</v>
      </c>
      <c r="AB2363" s="4">
        <v>2</v>
      </c>
      <c r="AC2363" s="4">
        <v>7</v>
      </c>
      <c r="AD2363" s="4">
        <v>101</v>
      </c>
      <c r="AE2363" s="4">
        <v>117</v>
      </c>
      <c r="AF2363" s="4">
        <v>1</v>
      </c>
      <c r="AG2363" s="4">
        <v>5</v>
      </c>
      <c r="AH2363" s="4">
        <v>85</v>
      </c>
      <c r="AI2363" s="4">
        <v>95</v>
      </c>
      <c r="AJ2363" s="4">
        <v>13</v>
      </c>
      <c r="AK2363" s="4">
        <v>20</v>
      </c>
      <c r="AL2363" s="4">
        <v>51</v>
      </c>
      <c r="AM2363" s="4">
        <v>53</v>
      </c>
      <c r="AN2363" s="4">
        <v>0</v>
      </c>
      <c r="AO2363" s="4">
        <v>0</v>
      </c>
      <c r="AP2363" s="4">
        <v>18</v>
      </c>
      <c r="AQ2363" s="4">
        <v>28</v>
      </c>
      <c r="AR2363" s="3" t="s">
        <v>62</v>
      </c>
      <c r="AS2363" s="3" t="s">
        <v>62</v>
      </c>
      <c r="AT2363" s="3" t="s">
        <v>62</v>
      </c>
      <c r="AV2363" s="6" t="str">
        <f>HYPERLINK("http://mcgill.on.worldcat.org/oclc/53970761","Catalog Record")</f>
        <v>Catalog Record</v>
      </c>
      <c r="AW2363" s="6" t="str">
        <f>HYPERLINK("http://www.worldcat.org/oclc/53970761","WorldCat Record")</f>
        <v>WorldCat Record</v>
      </c>
      <c r="AX2363" s="3" t="s">
        <v>23060</v>
      </c>
      <c r="AY2363" s="3" t="s">
        <v>23061</v>
      </c>
      <c r="AZ2363" s="3" t="s">
        <v>23062</v>
      </c>
      <c r="BA2363" s="3" t="s">
        <v>23062</v>
      </c>
      <c r="BB2363" s="3" t="s">
        <v>23063</v>
      </c>
      <c r="BC2363" s="3" t="s">
        <v>102</v>
      </c>
      <c r="BD2363" s="3" t="s">
        <v>231</v>
      </c>
      <c r="BE2363" s="3" t="s">
        <v>23064</v>
      </c>
      <c r="BF2363" s="3" t="s">
        <v>23063</v>
      </c>
      <c r="BG2363" s="3" t="s">
        <v>23065</v>
      </c>
    </row>
    <row r="2364" spans="1:59" ht="58" x14ac:dyDescent="0.35">
      <c r="A2364" s="2" t="s">
        <v>89</v>
      </c>
      <c r="B2364" s="2" t="s">
        <v>90</v>
      </c>
      <c r="C2364" s="2" t="s">
        <v>23066</v>
      </c>
      <c r="D2364" s="2" t="s">
        <v>23067</v>
      </c>
      <c r="E2364" s="2" t="s">
        <v>23068</v>
      </c>
      <c r="G2364" s="3" t="s">
        <v>62</v>
      </c>
      <c r="I2364" s="3" t="s">
        <v>62</v>
      </c>
      <c r="J2364" s="3" t="s">
        <v>62</v>
      </c>
      <c r="K2364" s="3" t="s">
        <v>63</v>
      </c>
      <c r="L2364" s="2" t="s">
        <v>23069</v>
      </c>
      <c r="M2364" s="2" t="s">
        <v>23070</v>
      </c>
      <c r="N2364" s="3" t="s">
        <v>481</v>
      </c>
      <c r="P2364" s="3" t="s">
        <v>64</v>
      </c>
      <c r="R2364" s="3" t="s">
        <v>13065</v>
      </c>
      <c r="S2364" s="4">
        <v>48</v>
      </c>
      <c r="T2364" s="4">
        <v>48</v>
      </c>
      <c r="U2364" s="5" t="s">
        <v>22360</v>
      </c>
      <c r="V2364" s="5" t="s">
        <v>22360</v>
      </c>
      <c r="W2364" s="5" t="s">
        <v>67</v>
      </c>
      <c r="X2364" s="5" t="s">
        <v>67</v>
      </c>
      <c r="Y2364" s="4">
        <v>364</v>
      </c>
      <c r="Z2364" s="4">
        <v>9</v>
      </c>
      <c r="AA2364" s="4">
        <v>98</v>
      </c>
      <c r="AB2364" s="4">
        <v>1</v>
      </c>
      <c r="AC2364" s="4">
        <v>18</v>
      </c>
      <c r="AD2364" s="4">
        <v>87</v>
      </c>
      <c r="AE2364" s="4">
        <v>138</v>
      </c>
      <c r="AF2364" s="4">
        <v>0</v>
      </c>
      <c r="AG2364" s="4">
        <v>9</v>
      </c>
      <c r="AH2364" s="4">
        <v>82</v>
      </c>
      <c r="AI2364" s="4">
        <v>97</v>
      </c>
      <c r="AJ2364" s="4">
        <v>6</v>
      </c>
      <c r="AK2364" s="4">
        <v>25</v>
      </c>
      <c r="AL2364" s="4">
        <v>44</v>
      </c>
      <c r="AM2364" s="4">
        <v>49</v>
      </c>
      <c r="AN2364" s="4">
        <v>0</v>
      </c>
      <c r="AO2364" s="4">
        <v>0</v>
      </c>
      <c r="AP2364" s="4">
        <v>8</v>
      </c>
      <c r="AQ2364" s="4">
        <v>50</v>
      </c>
      <c r="AR2364" s="3" t="s">
        <v>62</v>
      </c>
      <c r="AS2364" s="3" t="s">
        <v>62</v>
      </c>
      <c r="AT2364" s="3" t="s">
        <v>62</v>
      </c>
      <c r="AV2364" s="6" t="str">
        <f>HYPERLINK("http://mcgill.on.worldcat.org/oclc/36755728","Catalog Record")</f>
        <v>Catalog Record</v>
      </c>
      <c r="AW2364" s="6" t="str">
        <f>HYPERLINK("http://www.worldcat.org/oclc/36755728","WorldCat Record")</f>
        <v>WorldCat Record</v>
      </c>
      <c r="AX2364" s="3" t="s">
        <v>23071</v>
      </c>
      <c r="AY2364" s="3" t="s">
        <v>23072</v>
      </c>
      <c r="AZ2364" s="3" t="s">
        <v>23073</v>
      </c>
      <c r="BA2364" s="3" t="s">
        <v>23073</v>
      </c>
      <c r="BB2364" s="3" t="s">
        <v>23074</v>
      </c>
      <c r="BC2364" s="3" t="s">
        <v>102</v>
      </c>
      <c r="BD2364" s="3" t="s">
        <v>68</v>
      </c>
      <c r="BE2364" s="3" t="s">
        <v>23075</v>
      </c>
      <c r="BF2364" s="3" t="s">
        <v>23074</v>
      </c>
      <c r="BG2364" s="3" t="s">
        <v>23076</v>
      </c>
    </row>
    <row r="2365" spans="1:59" ht="58" x14ac:dyDescent="0.35">
      <c r="A2365" s="2" t="s">
        <v>89</v>
      </c>
      <c r="B2365" s="2" t="s">
        <v>90</v>
      </c>
      <c r="C2365" s="2" t="s">
        <v>23077</v>
      </c>
      <c r="D2365" s="2" t="s">
        <v>23078</v>
      </c>
      <c r="E2365" s="2" t="s">
        <v>23079</v>
      </c>
      <c r="G2365" s="3" t="s">
        <v>62</v>
      </c>
      <c r="I2365" s="3" t="s">
        <v>62</v>
      </c>
      <c r="J2365" s="3" t="s">
        <v>62</v>
      </c>
      <c r="K2365" s="3" t="s">
        <v>63</v>
      </c>
      <c r="L2365" s="2" t="s">
        <v>23080</v>
      </c>
      <c r="M2365" s="2" t="s">
        <v>23081</v>
      </c>
      <c r="N2365" s="3" t="s">
        <v>129</v>
      </c>
      <c r="O2365" s="2" t="s">
        <v>17053</v>
      </c>
      <c r="P2365" s="3" t="s">
        <v>64</v>
      </c>
      <c r="R2365" s="3" t="s">
        <v>13065</v>
      </c>
      <c r="S2365" s="4">
        <v>9</v>
      </c>
      <c r="T2365" s="4">
        <v>9</v>
      </c>
      <c r="U2365" s="5" t="s">
        <v>22944</v>
      </c>
      <c r="V2365" s="5" t="s">
        <v>22944</v>
      </c>
      <c r="W2365" s="5" t="s">
        <v>67</v>
      </c>
      <c r="X2365" s="5" t="s">
        <v>67</v>
      </c>
      <c r="Y2365" s="4">
        <v>41</v>
      </c>
      <c r="Z2365" s="4">
        <v>1</v>
      </c>
      <c r="AA2365" s="4">
        <v>14</v>
      </c>
      <c r="AB2365" s="4">
        <v>1</v>
      </c>
      <c r="AC2365" s="4">
        <v>7</v>
      </c>
      <c r="AD2365" s="4">
        <v>8</v>
      </c>
      <c r="AE2365" s="4">
        <v>58</v>
      </c>
      <c r="AF2365" s="4">
        <v>0</v>
      </c>
      <c r="AG2365" s="4">
        <v>3</v>
      </c>
      <c r="AH2365" s="4">
        <v>8</v>
      </c>
      <c r="AI2365" s="4">
        <v>53</v>
      </c>
      <c r="AJ2365" s="4">
        <v>0</v>
      </c>
      <c r="AK2365" s="4">
        <v>6</v>
      </c>
      <c r="AL2365" s="4">
        <v>4</v>
      </c>
      <c r="AM2365" s="4">
        <v>31</v>
      </c>
      <c r="AN2365" s="4">
        <v>0</v>
      </c>
      <c r="AO2365" s="4">
        <v>0</v>
      </c>
      <c r="AP2365" s="4">
        <v>0</v>
      </c>
      <c r="AQ2365" s="4">
        <v>8</v>
      </c>
      <c r="AR2365" s="3" t="s">
        <v>62</v>
      </c>
      <c r="AS2365" s="3" t="s">
        <v>62</v>
      </c>
      <c r="AT2365" s="3" t="s">
        <v>62</v>
      </c>
      <c r="AV2365" s="6" t="str">
        <f>HYPERLINK("http://mcgill.on.worldcat.org/oclc/855806713","Catalog Record")</f>
        <v>Catalog Record</v>
      </c>
      <c r="AW2365" s="6" t="str">
        <f>HYPERLINK("http://www.worldcat.org/oclc/855806713","WorldCat Record")</f>
        <v>WorldCat Record</v>
      </c>
      <c r="AX2365" s="3" t="s">
        <v>23082</v>
      </c>
      <c r="AY2365" s="3" t="s">
        <v>23083</v>
      </c>
      <c r="AZ2365" s="3" t="s">
        <v>23084</v>
      </c>
      <c r="BA2365" s="3" t="s">
        <v>23084</v>
      </c>
      <c r="BB2365" s="3" t="s">
        <v>23085</v>
      </c>
      <c r="BC2365" s="3" t="s">
        <v>102</v>
      </c>
      <c r="BD2365" s="3" t="s">
        <v>231</v>
      </c>
      <c r="BE2365" s="3" t="s">
        <v>23086</v>
      </c>
      <c r="BF2365" s="3" t="s">
        <v>23085</v>
      </c>
      <c r="BG2365" s="3" t="s">
        <v>23087</v>
      </c>
    </row>
    <row r="2366" spans="1:59" ht="58" x14ac:dyDescent="0.35">
      <c r="A2366" s="2" t="s">
        <v>89</v>
      </c>
      <c r="B2366" s="2" t="s">
        <v>90</v>
      </c>
      <c r="C2366" s="2" t="s">
        <v>23088</v>
      </c>
      <c r="D2366" s="2" t="s">
        <v>23089</v>
      </c>
      <c r="E2366" s="2" t="s">
        <v>23090</v>
      </c>
      <c r="G2366" s="3" t="s">
        <v>62</v>
      </c>
      <c r="I2366" s="3" t="s">
        <v>61</v>
      </c>
      <c r="J2366" s="3" t="s">
        <v>62</v>
      </c>
      <c r="K2366" s="3" t="s">
        <v>63</v>
      </c>
      <c r="M2366" s="2" t="s">
        <v>23091</v>
      </c>
      <c r="N2366" s="3" t="s">
        <v>568</v>
      </c>
      <c r="O2366" s="2" t="s">
        <v>2163</v>
      </c>
      <c r="P2366" s="3" t="s">
        <v>64</v>
      </c>
      <c r="R2366" s="3" t="s">
        <v>13065</v>
      </c>
      <c r="S2366" s="4">
        <v>30</v>
      </c>
      <c r="T2366" s="4">
        <v>50</v>
      </c>
      <c r="U2366" s="5" t="s">
        <v>23092</v>
      </c>
      <c r="V2366" s="5" t="s">
        <v>23092</v>
      </c>
      <c r="W2366" s="5" t="s">
        <v>67</v>
      </c>
      <c r="X2366" s="5" t="s">
        <v>67</v>
      </c>
      <c r="Y2366" s="4">
        <v>697</v>
      </c>
      <c r="Z2366" s="4">
        <v>28</v>
      </c>
      <c r="AA2366" s="4">
        <v>42</v>
      </c>
      <c r="AB2366" s="4">
        <v>1</v>
      </c>
      <c r="AC2366" s="4">
        <v>12</v>
      </c>
      <c r="AD2366" s="4">
        <v>112</v>
      </c>
      <c r="AE2366" s="4">
        <v>119</v>
      </c>
      <c r="AF2366" s="4">
        <v>0</v>
      </c>
      <c r="AG2366" s="4">
        <v>7</v>
      </c>
      <c r="AH2366" s="4">
        <v>97</v>
      </c>
      <c r="AI2366" s="4">
        <v>98</v>
      </c>
      <c r="AJ2366" s="4">
        <v>15</v>
      </c>
      <c r="AK2366" s="4">
        <v>20</v>
      </c>
      <c r="AL2366" s="4">
        <v>49</v>
      </c>
      <c r="AM2366" s="4">
        <v>49</v>
      </c>
      <c r="AN2366" s="4">
        <v>0</v>
      </c>
      <c r="AO2366" s="4">
        <v>0</v>
      </c>
      <c r="AP2366" s="4">
        <v>23</v>
      </c>
      <c r="AQ2366" s="4">
        <v>29</v>
      </c>
      <c r="AR2366" s="3" t="s">
        <v>62</v>
      </c>
      <c r="AS2366" s="3" t="s">
        <v>62</v>
      </c>
      <c r="AT2366" s="3" t="s">
        <v>62</v>
      </c>
      <c r="AV2366" s="6" t="str">
        <f>HYPERLINK("http://mcgill.on.worldcat.org/oclc/43694440","Catalog Record")</f>
        <v>Catalog Record</v>
      </c>
      <c r="AW2366" s="6" t="str">
        <f>HYPERLINK("http://www.worldcat.org/oclc/43694440","WorldCat Record")</f>
        <v>WorldCat Record</v>
      </c>
      <c r="AX2366" s="3" t="s">
        <v>23093</v>
      </c>
      <c r="AY2366" s="3" t="s">
        <v>23094</v>
      </c>
      <c r="AZ2366" s="3" t="s">
        <v>23095</v>
      </c>
      <c r="BA2366" s="3" t="s">
        <v>23095</v>
      </c>
      <c r="BB2366" s="3" t="s">
        <v>23096</v>
      </c>
      <c r="BC2366" s="3" t="s">
        <v>102</v>
      </c>
      <c r="BD2366" s="3" t="s">
        <v>68</v>
      </c>
      <c r="BE2366" s="3" t="s">
        <v>23097</v>
      </c>
      <c r="BF2366" s="3" t="s">
        <v>23096</v>
      </c>
      <c r="BG2366" s="3" t="s">
        <v>23098</v>
      </c>
    </row>
    <row r="2367" spans="1:59" ht="58" x14ac:dyDescent="0.35">
      <c r="A2367" s="2" t="s">
        <v>89</v>
      </c>
      <c r="B2367" s="2" t="s">
        <v>90</v>
      </c>
      <c r="C2367" s="2" t="s">
        <v>23088</v>
      </c>
      <c r="D2367" s="2" t="s">
        <v>23089</v>
      </c>
      <c r="E2367" s="2" t="s">
        <v>23090</v>
      </c>
      <c r="G2367" s="3" t="s">
        <v>62</v>
      </c>
      <c r="I2367" s="3" t="s">
        <v>61</v>
      </c>
      <c r="J2367" s="3" t="s">
        <v>62</v>
      </c>
      <c r="K2367" s="3" t="s">
        <v>63</v>
      </c>
      <c r="M2367" s="2" t="s">
        <v>23091</v>
      </c>
      <c r="N2367" s="3" t="s">
        <v>568</v>
      </c>
      <c r="O2367" s="2" t="s">
        <v>2163</v>
      </c>
      <c r="P2367" s="3" t="s">
        <v>64</v>
      </c>
      <c r="R2367" s="3" t="s">
        <v>13065</v>
      </c>
      <c r="S2367" s="4">
        <v>20</v>
      </c>
      <c r="T2367" s="4">
        <v>50</v>
      </c>
      <c r="U2367" s="5" t="s">
        <v>23099</v>
      </c>
      <c r="V2367" s="5" t="s">
        <v>23092</v>
      </c>
      <c r="W2367" s="5" t="s">
        <v>67</v>
      </c>
      <c r="X2367" s="5" t="s">
        <v>67</v>
      </c>
      <c r="Y2367" s="4">
        <v>697</v>
      </c>
      <c r="Z2367" s="4">
        <v>28</v>
      </c>
      <c r="AA2367" s="4">
        <v>42</v>
      </c>
      <c r="AB2367" s="4">
        <v>1</v>
      </c>
      <c r="AC2367" s="4">
        <v>12</v>
      </c>
      <c r="AD2367" s="4">
        <v>112</v>
      </c>
      <c r="AE2367" s="4">
        <v>119</v>
      </c>
      <c r="AF2367" s="4">
        <v>0</v>
      </c>
      <c r="AG2367" s="4">
        <v>7</v>
      </c>
      <c r="AH2367" s="4">
        <v>97</v>
      </c>
      <c r="AI2367" s="4">
        <v>98</v>
      </c>
      <c r="AJ2367" s="4">
        <v>15</v>
      </c>
      <c r="AK2367" s="4">
        <v>20</v>
      </c>
      <c r="AL2367" s="4">
        <v>49</v>
      </c>
      <c r="AM2367" s="4">
        <v>49</v>
      </c>
      <c r="AN2367" s="4">
        <v>0</v>
      </c>
      <c r="AO2367" s="4">
        <v>0</v>
      </c>
      <c r="AP2367" s="4">
        <v>23</v>
      </c>
      <c r="AQ2367" s="4">
        <v>29</v>
      </c>
      <c r="AR2367" s="3" t="s">
        <v>62</v>
      </c>
      <c r="AS2367" s="3" t="s">
        <v>62</v>
      </c>
      <c r="AT2367" s="3" t="s">
        <v>62</v>
      </c>
      <c r="AV2367" s="6" t="str">
        <f>HYPERLINK("http://mcgill.on.worldcat.org/oclc/43694440","Catalog Record")</f>
        <v>Catalog Record</v>
      </c>
      <c r="AW2367" s="6" t="str">
        <f>HYPERLINK("http://www.worldcat.org/oclc/43694440","WorldCat Record")</f>
        <v>WorldCat Record</v>
      </c>
      <c r="AX2367" s="3" t="s">
        <v>23093</v>
      </c>
      <c r="AY2367" s="3" t="s">
        <v>23094</v>
      </c>
      <c r="AZ2367" s="3" t="s">
        <v>23095</v>
      </c>
      <c r="BA2367" s="3" t="s">
        <v>23095</v>
      </c>
      <c r="BB2367" s="3" t="s">
        <v>23100</v>
      </c>
      <c r="BC2367" s="3" t="s">
        <v>102</v>
      </c>
      <c r="BD2367" s="3" t="s">
        <v>68</v>
      </c>
      <c r="BE2367" s="3" t="s">
        <v>23097</v>
      </c>
      <c r="BF2367" s="3" t="s">
        <v>23100</v>
      </c>
      <c r="BG2367" s="3" t="s">
        <v>23101</v>
      </c>
    </row>
    <row r="2368" spans="1:59" ht="58" x14ac:dyDescent="0.35">
      <c r="A2368" s="2" t="s">
        <v>89</v>
      </c>
      <c r="B2368" s="2" t="s">
        <v>90</v>
      </c>
      <c r="C2368" s="2" t="s">
        <v>23102</v>
      </c>
      <c r="D2368" s="2" t="s">
        <v>23103</v>
      </c>
      <c r="E2368" s="2" t="s">
        <v>23104</v>
      </c>
      <c r="G2368" s="3" t="s">
        <v>62</v>
      </c>
      <c r="I2368" s="3" t="s">
        <v>61</v>
      </c>
      <c r="J2368" s="3" t="s">
        <v>61</v>
      </c>
      <c r="K2368" s="3" t="s">
        <v>63</v>
      </c>
      <c r="L2368" s="2" t="s">
        <v>23105</v>
      </c>
      <c r="M2368" s="2" t="s">
        <v>23106</v>
      </c>
      <c r="N2368" s="3" t="s">
        <v>553</v>
      </c>
      <c r="P2368" s="3" t="s">
        <v>64</v>
      </c>
      <c r="R2368" s="3" t="s">
        <v>13065</v>
      </c>
      <c r="S2368" s="4">
        <v>21</v>
      </c>
      <c r="T2368" s="4">
        <v>94</v>
      </c>
      <c r="U2368" s="5" t="s">
        <v>23107</v>
      </c>
      <c r="V2368" s="5" t="s">
        <v>9672</v>
      </c>
      <c r="W2368" s="5" t="s">
        <v>67</v>
      </c>
      <c r="X2368" s="5" t="s">
        <v>67</v>
      </c>
      <c r="Y2368" s="4">
        <v>293</v>
      </c>
      <c r="Z2368" s="4">
        <v>18</v>
      </c>
      <c r="AA2368" s="4">
        <v>32</v>
      </c>
      <c r="AB2368" s="4">
        <v>1</v>
      </c>
      <c r="AC2368" s="4">
        <v>4</v>
      </c>
      <c r="AD2368" s="4">
        <v>66</v>
      </c>
      <c r="AE2368" s="4">
        <v>105</v>
      </c>
      <c r="AF2368" s="4">
        <v>0</v>
      </c>
      <c r="AG2368" s="4">
        <v>3</v>
      </c>
      <c r="AH2368" s="4">
        <v>57</v>
      </c>
      <c r="AI2368" s="4">
        <v>88</v>
      </c>
      <c r="AJ2368" s="4">
        <v>8</v>
      </c>
      <c r="AK2368" s="4">
        <v>17</v>
      </c>
      <c r="AL2368" s="4">
        <v>38</v>
      </c>
      <c r="AM2368" s="4">
        <v>54</v>
      </c>
      <c r="AN2368" s="4">
        <v>0</v>
      </c>
      <c r="AO2368" s="4">
        <v>0</v>
      </c>
      <c r="AP2368" s="4">
        <v>12</v>
      </c>
      <c r="AQ2368" s="4">
        <v>24</v>
      </c>
      <c r="AR2368" s="3" t="s">
        <v>62</v>
      </c>
      <c r="AS2368" s="3" t="s">
        <v>62</v>
      </c>
      <c r="AT2368" s="3" t="s">
        <v>62</v>
      </c>
      <c r="AV2368" s="6" t="str">
        <f>HYPERLINK("http://mcgill.on.worldcat.org/oclc/44885604","Catalog Record")</f>
        <v>Catalog Record</v>
      </c>
      <c r="AW2368" s="6" t="str">
        <f>HYPERLINK("http://www.worldcat.org/oclc/44885604","WorldCat Record")</f>
        <v>WorldCat Record</v>
      </c>
      <c r="AX2368" s="3" t="s">
        <v>23108</v>
      </c>
      <c r="AY2368" s="3" t="s">
        <v>23109</v>
      </c>
      <c r="AZ2368" s="3" t="s">
        <v>23110</v>
      </c>
      <c r="BA2368" s="3" t="s">
        <v>23110</v>
      </c>
      <c r="BB2368" s="3" t="s">
        <v>23111</v>
      </c>
      <c r="BC2368" s="3" t="s">
        <v>102</v>
      </c>
      <c r="BD2368" s="3" t="s">
        <v>68</v>
      </c>
      <c r="BE2368" s="3" t="s">
        <v>23112</v>
      </c>
      <c r="BF2368" s="3" t="s">
        <v>23111</v>
      </c>
      <c r="BG2368" s="3" t="s">
        <v>23113</v>
      </c>
    </row>
    <row r="2369" spans="1:59" ht="58" x14ac:dyDescent="0.35">
      <c r="A2369" s="2" t="s">
        <v>89</v>
      </c>
      <c r="B2369" s="2" t="s">
        <v>90</v>
      </c>
      <c r="C2369" s="2" t="s">
        <v>23102</v>
      </c>
      <c r="D2369" s="2" t="s">
        <v>23103</v>
      </c>
      <c r="E2369" s="2" t="s">
        <v>23104</v>
      </c>
      <c r="G2369" s="3" t="s">
        <v>62</v>
      </c>
      <c r="I2369" s="3" t="s">
        <v>61</v>
      </c>
      <c r="J2369" s="3" t="s">
        <v>61</v>
      </c>
      <c r="K2369" s="3" t="s">
        <v>63</v>
      </c>
      <c r="L2369" s="2" t="s">
        <v>23105</v>
      </c>
      <c r="M2369" s="2" t="s">
        <v>23106</v>
      </c>
      <c r="N2369" s="3" t="s">
        <v>553</v>
      </c>
      <c r="P2369" s="3" t="s">
        <v>64</v>
      </c>
      <c r="R2369" s="3" t="s">
        <v>13065</v>
      </c>
      <c r="S2369" s="4">
        <v>12</v>
      </c>
      <c r="T2369" s="4">
        <v>94</v>
      </c>
      <c r="U2369" s="5" t="s">
        <v>10785</v>
      </c>
      <c r="V2369" s="5" t="s">
        <v>9672</v>
      </c>
      <c r="W2369" s="5" t="s">
        <v>67</v>
      </c>
      <c r="X2369" s="5" t="s">
        <v>67</v>
      </c>
      <c r="Y2369" s="4">
        <v>293</v>
      </c>
      <c r="Z2369" s="4">
        <v>18</v>
      </c>
      <c r="AA2369" s="4">
        <v>32</v>
      </c>
      <c r="AB2369" s="4">
        <v>1</v>
      </c>
      <c r="AC2369" s="4">
        <v>4</v>
      </c>
      <c r="AD2369" s="4">
        <v>66</v>
      </c>
      <c r="AE2369" s="4">
        <v>105</v>
      </c>
      <c r="AF2369" s="4">
        <v>0</v>
      </c>
      <c r="AG2369" s="4">
        <v>3</v>
      </c>
      <c r="AH2369" s="4">
        <v>57</v>
      </c>
      <c r="AI2369" s="4">
        <v>88</v>
      </c>
      <c r="AJ2369" s="4">
        <v>8</v>
      </c>
      <c r="AK2369" s="4">
        <v>17</v>
      </c>
      <c r="AL2369" s="4">
        <v>38</v>
      </c>
      <c r="AM2369" s="4">
        <v>54</v>
      </c>
      <c r="AN2369" s="4">
        <v>0</v>
      </c>
      <c r="AO2369" s="4">
        <v>0</v>
      </c>
      <c r="AP2369" s="4">
        <v>12</v>
      </c>
      <c r="AQ2369" s="4">
        <v>24</v>
      </c>
      <c r="AR2369" s="3" t="s">
        <v>62</v>
      </c>
      <c r="AS2369" s="3" t="s">
        <v>62</v>
      </c>
      <c r="AT2369" s="3" t="s">
        <v>62</v>
      </c>
      <c r="AV2369" s="6" t="str">
        <f>HYPERLINK("http://mcgill.on.worldcat.org/oclc/44885604","Catalog Record")</f>
        <v>Catalog Record</v>
      </c>
      <c r="AW2369" s="6" t="str">
        <f>HYPERLINK("http://www.worldcat.org/oclc/44885604","WorldCat Record")</f>
        <v>WorldCat Record</v>
      </c>
      <c r="AX2369" s="3" t="s">
        <v>23108</v>
      </c>
      <c r="AY2369" s="3" t="s">
        <v>23109</v>
      </c>
      <c r="AZ2369" s="3" t="s">
        <v>23110</v>
      </c>
      <c r="BA2369" s="3" t="s">
        <v>23110</v>
      </c>
      <c r="BB2369" s="3" t="s">
        <v>23114</v>
      </c>
      <c r="BC2369" s="3" t="s">
        <v>102</v>
      </c>
      <c r="BD2369" s="3" t="s">
        <v>68</v>
      </c>
      <c r="BE2369" s="3" t="s">
        <v>23112</v>
      </c>
      <c r="BF2369" s="3" t="s">
        <v>23114</v>
      </c>
      <c r="BG2369" s="3" t="s">
        <v>23115</v>
      </c>
    </row>
    <row r="2370" spans="1:59" ht="58" x14ac:dyDescent="0.35">
      <c r="A2370" s="2" t="s">
        <v>89</v>
      </c>
      <c r="B2370" s="2" t="s">
        <v>90</v>
      </c>
      <c r="C2370" s="2" t="s">
        <v>23102</v>
      </c>
      <c r="D2370" s="2" t="s">
        <v>23103</v>
      </c>
      <c r="E2370" s="2" t="s">
        <v>23104</v>
      </c>
      <c r="G2370" s="3" t="s">
        <v>62</v>
      </c>
      <c r="I2370" s="3" t="s">
        <v>61</v>
      </c>
      <c r="J2370" s="3" t="s">
        <v>61</v>
      </c>
      <c r="K2370" s="3" t="s">
        <v>63</v>
      </c>
      <c r="L2370" s="2" t="s">
        <v>23105</v>
      </c>
      <c r="M2370" s="2" t="s">
        <v>23106</v>
      </c>
      <c r="N2370" s="3" t="s">
        <v>553</v>
      </c>
      <c r="P2370" s="3" t="s">
        <v>64</v>
      </c>
      <c r="R2370" s="3" t="s">
        <v>13065</v>
      </c>
      <c r="S2370" s="4">
        <v>42</v>
      </c>
      <c r="T2370" s="4">
        <v>94</v>
      </c>
      <c r="U2370" s="5" t="s">
        <v>6663</v>
      </c>
      <c r="V2370" s="5" t="s">
        <v>9672</v>
      </c>
      <c r="W2370" s="5" t="s">
        <v>67</v>
      </c>
      <c r="X2370" s="5" t="s">
        <v>67</v>
      </c>
      <c r="Y2370" s="4">
        <v>293</v>
      </c>
      <c r="Z2370" s="4">
        <v>18</v>
      </c>
      <c r="AA2370" s="4">
        <v>32</v>
      </c>
      <c r="AB2370" s="4">
        <v>1</v>
      </c>
      <c r="AC2370" s="4">
        <v>4</v>
      </c>
      <c r="AD2370" s="4">
        <v>66</v>
      </c>
      <c r="AE2370" s="4">
        <v>105</v>
      </c>
      <c r="AF2370" s="4">
        <v>0</v>
      </c>
      <c r="AG2370" s="4">
        <v>3</v>
      </c>
      <c r="AH2370" s="4">
        <v>57</v>
      </c>
      <c r="AI2370" s="4">
        <v>88</v>
      </c>
      <c r="AJ2370" s="4">
        <v>8</v>
      </c>
      <c r="AK2370" s="4">
        <v>17</v>
      </c>
      <c r="AL2370" s="4">
        <v>38</v>
      </c>
      <c r="AM2370" s="4">
        <v>54</v>
      </c>
      <c r="AN2370" s="4">
        <v>0</v>
      </c>
      <c r="AO2370" s="4">
        <v>0</v>
      </c>
      <c r="AP2370" s="4">
        <v>12</v>
      </c>
      <c r="AQ2370" s="4">
        <v>24</v>
      </c>
      <c r="AR2370" s="3" t="s">
        <v>62</v>
      </c>
      <c r="AS2370" s="3" t="s">
        <v>62</v>
      </c>
      <c r="AT2370" s="3" t="s">
        <v>62</v>
      </c>
      <c r="AV2370" s="6" t="str">
        <f>HYPERLINK("http://mcgill.on.worldcat.org/oclc/44885604","Catalog Record")</f>
        <v>Catalog Record</v>
      </c>
      <c r="AW2370" s="6" t="str">
        <f>HYPERLINK("http://www.worldcat.org/oclc/44885604","WorldCat Record")</f>
        <v>WorldCat Record</v>
      </c>
      <c r="AX2370" s="3" t="s">
        <v>23108</v>
      </c>
      <c r="AY2370" s="3" t="s">
        <v>23109</v>
      </c>
      <c r="AZ2370" s="3" t="s">
        <v>23110</v>
      </c>
      <c r="BA2370" s="3" t="s">
        <v>23110</v>
      </c>
      <c r="BB2370" s="3" t="s">
        <v>23116</v>
      </c>
      <c r="BC2370" s="3" t="s">
        <v>102</v>
      </c>
      <c r="BD2370" s="3" t="s">
        <v>68</v>
      </c>
      <c r="BE2370" s="3" t="s">
        <v>23112</v>
      </c>
      <c r="BF2370" s="3" t="s">
        <v>23116</v>
      </c>
      <c r="BG2370" s="3" t="s">
        <v>23117</v>
      </c>
    </row>
    <row r="2371" spans="1:59" ht="58" x14ac:dyDescent="0.35">
      <c r="A2371" s="2" t="s">
        <v>89</v>
      </c>
      <c r="B2371" s="2" t="s">
        <v>90</v>
      </c>
      <c r="C2371" s="2" t="s">
        <v>23102</v>
      </c>
      <c r="D2371" s="2" t="s">
        <v>23103</v>
      </c>
      <c r="E2371" s="2" t="s">
        <v>23104</v>
      </c>
      <c r="G2371" s="3" t="s">
        <v>62</v>
      </c>
      <c r="I2371" s="3" t="s">
        <v>61</v>
      </c>
      <c r="J2371" s="3" t="s">
        <v>61</v>
      </c>
      <c r="K2371" s="3" t="s">
        <v>63</v>
      </c>
      <c r="L2371" s="2" t="s">
        <v>23105</v>
      </c>
      <c r="M2371" s="2" t="s">
        <v>23106</v>
      </c>
      <c r="N2371" s="3" t="s">
        <v>553</v>
      </c>
      <c r="P2371" s="3" t="s">
        <v>64</v>
      </c>
      <c r="R2371" s="3" t="s">
        <v>13065</v>
      </c>
      <c r="S2371" s="4">
        <v>19</v>
      </c>
      <c r="T2371" s="4">
        <v>94</v>
      </c>
      <c r="U2371" s="5" t="s">
        <v>9672</v>
      </c>
      <c r="V2371" s="5" t="s">
        <v>9672</v>
      </c>
      <c r="W2371" s="5" t="s">
        <v>67</v>
      </c>
      <c r="X2371" s="5" t="s">
        <v>67</v>
      </c>
      <c r="Y2371" s="4">
        <v>293</v>
      </c>
      <c r="Z2371" s="4">
        <v>18</v>
      </c>
      <c r="AA2371" s="4">
        <v>32</v>
      </c>
      <c r="AB2371" s="4">
        <v>1</v>
      </c>
      <c r="AC2371" s="4">
        <v>4</v>
      </c>
      <c r="AD2371" s="4">
        <v>66</v>
      </c>
      <c r="AE2371" s="4">
        <v>105</v>
      </c>
      <c r="AF2371" s="4">
        <v>0</v>
      </c>
      <c r="AG2371" s="4">
        <v>3</v>
      </c>
      <c r="AH2371" s="4">
        <v>57</v>
      </c>
      <c r="AI2371" s="4">
        <v>88</v>
      </c>
      <c r="AJ2371" s="4">
        <v>8</v>
      </c>
      <c r="AK2371" s="4">
        <v>17</v>
      </c>
      <c r="AL2371" s="4">
        <v>38</v>
      </c>
      <c r="AM2371" s="4">
        <v>54</v>
      </c>
      <c r="AN2371" s="4">
        <v>0</v>
      </c>
      <c r="AO2371" s="4">
        <v>0</v>
      </c>
      <c r="AP2371" s="4">
        <v>12</v>
      </c>
      <c r="AQ2371" s="4">
        <v>24</v>
      </c>
      <c r="AR2371" s="3" t="s">
        <v>62</v>
      </c>
      <c r="AS2371" s="3" t="s">
        <v>62</v>
      </c>
      <c r="AT2371" s="3" t="s">
        <v>62</v>
      </c>
      <c r="AV2371" s="6" t="str">
        <f>HYPERLINK("http://mcgill.on.worldcat.org/oclc/44885604","Catalog Record")</f>
        <v>Catalog Record</v>
      </c>
      <c r="AW2371" s="6" t="str">
        <f>HYPERLINK("http://www.worldcat.org/oclc/44885604","WorldCat Record")</f>
        <v>WorldCat Record</v>
      </c>
      <c r="AX2371" s="3" t="s">
        <v>23108</v>
      </c>
      <c r="AY2371" s="3" t="s">
        <v>23109</v>
      </c>
      <c r="AZ2371" s="3" t="s">
        <v>23110</v>
      </c>
      <c r="BA2371" s="3" t="s">
        <v>23110</v>
      </c>
      <c r="BB2371" s="3" t="s">
        <v>23118</v>
      </c>
      <c r="BC2371" s="3" t="s">
        <v>102</v>
      </c>
      <c r="BD2371" s="3" t="s">
        <v>231</v>
      </c>
      <c r="BE2371" s="3" t="s">
        <v>23112</v>
      </c>
      <c r="BF2371" s="3" t="s">
        <v>23118</v>
      </c>
      <c r="BG2371" s="3" t="s">
        <v>23119</v>
      </c>
    </row>
    <row r="2372" spans="1:59" ht="58" x14ac:dyDescent="0.35">
      <c r="A2372" s="2" t="s">
        <v>89</v>
      </c>
      <c r="B2372" s="2" t="s">
        <v>90</v>
      </c>
      <c r="C2372" s="2" t="s">
        <v>23120</v>
      </c>
      <c r="D2372" s="2" t="s">
        <v>23121</v>
      </c>
      <c r="E2372" s="2" t="s">
        <v>23122</v>
      </c>
      <c r="G2372" s="3" t="s">
        <v>62</v>
      </c>
      <c r="I2372" s="3" t="s">
        <v>62</v>
      </c>
      <c r="J2372" s="3" t="s">
        <v>61</v>
      </c>
      <c r="K2372" s="3" t="s">
        <v>63</v>
      </c>
      <c r="L2372" s="2" t="s">
        <v>23123</v>
      </c>
      <c r="M2372" s="2" t="s">
        <v>23124</v>
      </c>
      <c r="N2372" s="3" t="s">
        <v>698</v>
      </c>
      <c r="O2372" s="2" t="s">
        <v>6519</v>
      </c>
      <c r="P2372" s="3" t="s">
        <v>64</v>
      </c>
      <c r="R2372" s="3" t="s">
        <v>13065</v>
      </c>
      <c r="S2372" s="4">
        <v>9</v>
      </c>
      <c r="T2372" s="4">
        <v>9</v>
      </c>
      <c r="U2372" s="5" t="s">
        <v>13420</v>
      </c>
      <c r="V2372" s="5" t="s">
        <v>13420</v>
      </c>
      <c r="W2372" s="5" t="s">
        <v>67</v>
      </c>
      <c r="X2372" s="5" t="s">
        <v>67</v>
      </c>
      <c r="Y2372" s="4">
        <v>244</v>
      </c>
      <c r="Z2372" s="4">
        <v>16</v>
      </c>
      <c r="AA2372" s="4">
        <v>32</v>
      </c>
      <c r="AB2372" s="4">
        <v>1</v>
      </c>
      <c r="AC2372" s="4">
        <v>4</v>
      </c>
      <c r="AD2372" s="4">
        <v>70</v>
      </c>
      <c r="AE2372" s="4">
        <v>105</v>
      </c>
      <c r="AF2372" s="4">
        <v>0</v>
      </c>
      <c r="AG2372" s="4">
        <v>3</v>
      </c>
      <c r="AH2372" s="4">
        <v>63</v>
      </c>
      <c r="AI2372" s="4">
        <v>88</v>
      </c>
      <c r="AJ2372" s="4">
        <v>12</v>
      </c>
      <c r="AK2372" s="4">
        <v>17</v>
      </c>
      <c r="AL2372" s="4">
        <v>39</v>
      </c>
      <c r="AM2372" s="4">
        <v>54</v>
      </c>
      <c r="AN2372" s="4">
        <v>0</v>
      </c>
      <c r="AO2372" s="4">
        <v>0</v>
      </c>
      <c r="AP2372" s="4">
        <v>14</v>
      </c>
      <c r="AQ2372" s="4">
        <v>24</v>
      </c>
      <c r="AR2372" s="3" t="s">
        <v>62</v>
      </c>
      <c r="AS2372" s="3" t="s">
        <v>62</v>
      </c>
      <c r="AT2372" s="3" t="s">
        <v>62</v>
      </c>
      <c r="AV2372" s="6" t="str">
        <f>HYPERLINK("http://mcgill.on.worldcat.org/oclc/768067500","Catalog Record")</f>
        <v>Catalog Record</v>
      </c>
      <c r="AW2372" s="6" t="str">
        <f>HYPERLINK("http://www.worldcat.org/oclc/768067500","WorldCat Record")</f>
        <v>WorldCat Record</v>
      </c>
      <c r="AX2372" s="3" t="s">
        <v>23108</v>
      </c>
      <c r="AY2372" s="3" t="s">
        <v>23125</v>
      </c>
      <c r="AZ2372" s="3" t="s">
        <v>23126</v>
      </c>
      <c r="BA2372" s="3" t="s">
        <v>23126</v>
      </c>
      <c r="BB2372" s="3" t="s">
        <v>23127</v>
      </c>
      <c r="BC2372" s="3" t="s">
        <v>102</v>
      </c>
      <c r="BD2372" s="3" t="s">
        <v>231</v>
      </c>
      <c r="BE2372" s="3" t="s">
        <v>23128</v>
      </c>
      <c r="BF2372" s="3" t="s">
        <v>23127</v>
      </c>
      <c r="BG2372" s="3" t="s">
        <v>23129</v>
      </c>
    </row>
    <row r="2373" spans="1:59" ht="58" x14ac:dyDescent="0.35">
      <c r="A2373" s="2" t="s">
        <v>89</v>
      </c>
      <c r="B2373" s="2" t="s">
        <v>90</v>
      </c>
      <c r="C2373" s="2" t="s">
        <v>23130</v>
      </c>
      <c r="D2373" s="2" t="s">
        <v>23131</v>
      </c>
      <c r="E2373" s="2" t="s">
        <v>23132</v>
      </c>
      <c r="G2373" s="3" t="s">
        <v>62</v>
      </c>
      <c r="I2373" s="3" t="s">
        <v>61</v>
      </c>
      <c r="J2373" s="3" t="s">
        <v>62</v>
      </c>
      <c r="K2373" s="3" t="s">
        <v>63</v>
      </c>
      <c r="L2373" s="2" t="s">
        <v>23133</v>
      </c>
      <c r="M2373" s="2" t="s">
        <v>23134</v>
      </c>
      <c r="N2373" s="3" t="s">
        <v>596</v>
      </c>
      <c r="P2373" s="3" t="s">
        <v>64</v>
      </c>
      <c r="Q2373" s="2" t="s">
        <v>23135</v>
      </c>
      <c r="R2373" s="3" t="s">
        <v>13065</v>
      </c>
      <c r="S2373" s="4">
        <v>13</v>
      </c>
      <c r="T2373" s="4">
        <v>34</v>
      </c>
      <c r="U2373" s="5" t="s">
        <v>14288</v>
      </c>
      <c r="V2373" s="5" t="s">
        <v>14288</v>
      </c>
      <c r="W2373" s="5" t="s">
        <v>67</v>
      </c>
      <c r="X2373" s="5" t="s">
        <v>67</v>
      </c>
      <c r="Y2373" s="4">
        <v>81</v>
      </c>
      <c r="Z2373" s="4">
        <v>3</v>
      </c>
      <c r="AA2373" s="4">
        <v>22</v>
      </c>
      <c r="AB2373" s="4">
        <v>2</v>
      </c>
      <c r="AC2373" s="4">
        <v>6</v>
      </c>
      <c r="AD2373" s="4">
        <v>35</v>
      </c>
      <c r="AE2373" s="4">
        <v>80</v>
      </c>
      <c r="AF2373" s="4">
        <v>1</v>
      </c>
      <c r="AG2373" s="4">
        <v>5</v>
      </c>
      <c r="AH2373" s="4">
        <v>32</v>
      </c>
      <c r="AI2373" s="4">
        <v>68</v>
      </c>
      <c r="AJ2373" s="4">
        <v>2</v>
      </c>
      <c r="AK2373" s="4">
        <v>12</v>
      </c>
      <c r="AL2373" s="4">
        <v>26</v>
      </c>
      <c r="AM2373" s="4">
        <v>42</v>
      </c>
      <c r="AN2373" s="4">
        <v>0</v>
      </c>
      <c r="AO2373" s="4">
        <v>0</v>
      </c>
      <c r="AP2373" s="4">
        <v>2</v>
      </c>
      <c r="AQ2373" s="4">
        <v>15</v>
      </c>
      <c r="AR2373" s="3" t="s">
        <v>61</v>
      </c>
      <c r="AS2373" s="3" t="s">
        <v>62</v>
      </c>
      <c r="AT2373" s="3" t="s">
        <v>62</v>
      </c>
      <c r="AV2373" s="6" t="str">
        <f>HYPERLINK("http://mcgill.on.worldcat.org/oclc/49594739","Catalog Record")</f>
        <v>Catalog Record</v>
      </c>
      <c r="AW2373" s="6" t="str">
        <f>HYPERLINK("http://www.worldcat.org/oclc/49594739","WorldCat Record")</f>
        <v>WorldCat Record</v>
      </c>
      <c r="AX2373" s="3" t="s">
        <v>23136</v>
      </c>
      <c r="AY2373" s="3" t="s">
        <v>23137</v>
      </c>
      <c r="AZ2373" s="3" t="s">
        <v>23138</v>
      </c>
      <c r="BA2373" s="3" t="s">
        <v>23138</v>
      </c>
      <c r="BB2373" s="3" t="s">
        <v>23139</v>
      </c>
      <c r="BC2373" s="3" t="s">
        <v>102</v>
      </c>
      <c r="BD2373" s="3" t="s">
        <v>68</v>
      </c>
      <c r="BE2373" s="3" t="s">
        <v>23140</v>
      </c>
      <c r="BF2373" s="3" t="s">
        <v>23139</v>
      </c>
      <c r="BG2373" s="3" t="s">
        <v>23141</v>
      </c>
    </row>
    <row r="2374" spans="1:59" ht="58" x14ac:dyDescent="0.35">
      <c r="A2374" s="2" t="s">
        <v>89</v>
      </c>
      <c r="B2374" s="2" t="s">
        <v>90</v>
      </c>
      <c r="C2374" s="2" t="s">
        <v>23142</v>
      </c>
      <c r="D2374" s="2" t="s">
        <v>23143</v>
      </c>
      <c r="E2374" s="2" t="s">
        <v>23144</v>
      </c>
      <c r="F2374" s="3" t="s">
        <v>17015</v>
      </c>
      <c r="G2374" s="3" t="s">
        <v>61</v>
      </c>
      <c r="I2374" s="3" t="s">
        <v>62</v>
      </c>
      <c r="J2374" s="3" t="s">
        <v>61</v>
      </c>
      <c r="K2374" s="3" t="s">
        <v>63</v>
      </c>
      <c r="L2374" s="2" t="s">
        <v>23145</v>
      </c>
      <c r="M2374" s="2" t="s">
        <v>23146</v>
      </c>
      <c r="N2374" s="3" t="s">
        <v>596</v>
      </c>
      <c r="O2374" s="2" t="s">
        <v>10722</v>
      </c>
      <c r="P2374" s="3" t="s">
        <v>64</v>
      </c>
      <c r="R2374" s="3" t="s">
        <v>13065</v>
      </c>
      <c r="S2374" s="4">
        <v>90</v>
      </c>
      <c r="T2374" s="4">
        <v>156</v>
      </c>
      <c r="U2374" s="5" t="s">
        <v>14288</v>
      </c>
      <c r="V2374" s="5" t="s">
        <v>14288</v>
      </c>
      <c r="W2374" s="5" t="s">
        <v>67</v>
      </c>
      <c r="X2374" s="5" t="s">
        <v>67</v>
      </c>
      <c r="Y2374" s="4">
        <v>352</v>
      </c>
      <c r="Z2374" s="4">
        <v>17</v>
      </c>
      <c r="AA2374" s="4">
        <v>71</v>
      </c>
      <c r="AB2374" s="4">
        <v>2</v>
      </c>
      <c r="AC2374" s="4">
        <v>22</v>
      </c>
      <c r="AD2374" s="4">
        <v>72</v>
      </c>
      <c r="AE2374" s="4">
        <v>148</v>
      </c>
      <c r="AF2374" s="4">
        <v>1</v>
      </c>
      <c r="AG2374" s="4">
        <v>10</v>
      </c>
      <c r="AH2374" s="4">
        <v>63</v>
      </c>
      <c r="AI2374" s="4">
        <v>112</v>
      </c>
      <c r="AJ2374" s="4">
        <v>12</v>
      </c>
      <c r="AK2374" s="4">
        <v>25</v>
      </c>
      <c r="AL2374" s="4">
        <v>40</v>
      </c>
      <c r="AM2374" s="4">
        <v>57</v>
      </c>
      <c r="AN2374" s="4">
        <v>0</v>
      </c>
      <c r="AO2374" s="4">
        <v>0</v>
      </c>
      <c r="AP2374" s="4">
        <v>13</v>
      </c>
      <c r="AQ2374" s="4">
        <v>46</v>
      </c>
      <c r="AR2374" s="3" t="s">
        <v>62</v>
      </c>
      <c r="AS2374" s="3" t="s">
        <v>62</v>
      </c>
      <c r="AT2374" s="3" t="s">
        <v>62</v>
      </c>
      <c r="AV2374" s="6" t="str">
        <f>HYPERLINK("http://mcgill.on.worldcat.org/oclc/46685145","Catalog Record")</f>
        <v>Catalog Record</v>
      </c>
      <c r="AW2374" s="6" t="str">
        <f>HYPERLINK("http://www.worldcat.org/oclc/46685145","WorldCat Record")</f>
        <v>WorldCat Record</v>
      </c>
      <c r="AX2374" s="3" t="s">
        <v>23147</v>
      </c>
      <c r="AY2374" s="3" t="s">
        <v>23148</v>
      </c>
      <c r="AZ2374" s="3" t="s">
        <v>23149</v>
      </c>
      <c r="BA2374" s="3" t="s">
        <v>23149</v>
      </c>
      <c r="BB2374" s="3" t="s">
        <v>23150</v>
      </c>
      <c r="BC2374" s="3" t="s">
        <v>102</v>
      </c>
      <c r="BD2374" s="3" t="s">
        <v>68</v>
      </c>
      <c r="BE2374" s="3" t="s">
        <v>23151</v>
      </c>
      <c r="BF2374" s="3" t="s">
        <v>23150</v>
      </c>
      <c r="BG2374" s="3" t="s">
        <v>23152</v>
      </c>
    </row>
    <row r="2375" spans="1:59" ht="58" x14ac:dyDescent="0.35">
      <c r="A2375" s="2" t="s">
        <v>89</v>
      </c>
      <c r="B2375" s="2" t="s">
        <v>90</v>
      </c>
      <c r="C2375" s="2" t="s">
        <v>23142</v>
      </c>
      <c r="D2375" s="2" t="s">
        <v>23143</v>
      </c>
      <c r="E2375" s="2" t="s">
        <v>23144</v>
      </c>
      <c r="F2375" s="3" t="s">
        <v>22427</v>
      </c>
      <c r="G2375" s="3" t="s">
        <v>61</v>
      </c>
      <c r="I2375" s="3" t="s">
        <v>62</v>
      </c>
      <c r="J2375" s="3" t="s">
        <v>61</v>
      </c>
      <c r="K2375" s="3" t="s">
        <v>63</v>
      </c>
      <c r="L2375" s="2" t="s">
        <v>23145</v>
      </c>
      <c r="M2375" s="2" t="s">
        <v>23146</v>
      </c>
      <c r="N2375" s="3" t="s">
        <v>596</v>
      </c>
      <c r="O2375" s="2" t="s">
        <v>10722</v>
      </c>
      <c r="P2375" s="3" t="s">
        <v>64</v>
      </c>
      <c r="R2375" s="3" t="s">
        <v>13065</v>
      </c>
      <c r="S2375" s="4">
        <v>66</v>
      </c>
      <c r="T2375" s="4">
        <v>156</v>
      </c>
      <c r="U2375" s="5" t="s">
        <v>23153</v>
      </c>
      <c r="V2375" s="5" t="s">
        <v>14288</v>
      </c>
      <c r="W2375" s="5" t="s">
        <v>67</v>
      </c>
      <c r="X2375" s="5" t="s">
        <v>67</v>
      </c>
      <c r="Y2375" s="4">
        <v>352</v>
      </c>
      <c r="Z2375" s="4">
        <v>17</v>
      </c>
      <c r="AA2375" s="4">
        <v>71</v>
      </c>
      <c r="AB2375" s="4">
        <v>2</v>
      </c>
      <c r="AC2375" s="4">
        <v>22</v>
      </c>
      <c r="AD2375" s="4">
        <v>72</v>
      </c>
      <c r="AE2375" s="4">
        <v>148</v>
      </c>
      <c r="AF2375" s="4">
        <v>1</v>
      </c>
      <c r="AG2375" s="4">
        <v>10</v>
      </c>
      <c r="AH2375" s="4">
        <v>63</v>
      </c>
      <c r="AI2375" s="4">
        <v>112</v>
      </c>
      <c r="AJ2375" s="4">
        <v>12</v>
      </c>
      <c r="AK2375" s="4">
        <v>25</v>
      </c>
      <c r="AL2375" s="4">
        <v>40</v>
      </c>
      <c r="AM2375" s="4">
        <v>57</v>
      </c>
      <c r="AN2375" s="4">
        <v>0</v>
      </c>
      <c r="AO2375" s="4">
        <v>0</v>
      </c>
      <c r="AP2375" s="4">
        <v>13</v>
      </c>
      <c r="AQ2375" s="4">
        <v>46</v>
      </c>
      <c r="AR2375" s="3" t="s">
        <v>62</v>
      </c>
      <c r="AS2375" s="3" t="s">
        <v>62</v>
      </c>
      <c r="AT2375" s="3" t="s">
        <v>62</v>
      </c>
      <c r="AV2375" s="6" t="str">
        <f>HYPERLINK("http://mcgill.on.worldcat.org/oclc/46685145","Catalog Record")</f>
        <v>Catalog Record</v>
      </c>
      <c r="AW2375" s="6" t="str">
        <f>HYPERLINK("http://www.worldcat.org/oclc/46685145","WorldCat Record")</f>
        <v>WorldCat Record</v>
      </c>
      <c r="AX2375" s="3" t="s">
        <v>23147</v>
      </c>
      <c r="AY2375" s="3" t="s">
        <v>23148</v>
      </c>
      <c r="AZ2375" s="3" t="s">
        <v>23149</v>
      </c>
      <c r="BA2375" s="3" t="s">
        <v>23149</v>
      </c>
      <c r="BB2375" s="3" t="s">
        <v>23154</v>
      </c>
      <c r="BC2375" s="3" t="s">
        <v>102</v>
      </c>
      <c r="BD2375" s="3" t="s">
        <v>231</v>
      </c>
      <c r="BE2375" s="3" t="s">
        <v>23151</v>
      </c>
      <c r="BF2375" s="3" t="s">
        <v>23154</v>
      </c>
      <c r="BG2375" s="3" t="s">
        <v>23155</v>
      </c>
    </row>
    <row r="2376" spans="1:59" ht="58" x14ac:dyDescent="0.35">
      <c r="A2376" s="2" t="s">
        <v>89</v>
      </c>
      <c r="B2376" s="2" t="s">
        <v>90</v>
      </c>
      <c r="C2376" s="2" t="s">
        <v>23156</v>
      </c>
      <c r="D2376" s="2" t="s">
        <v>23157</v>
      </c>
      <c r="E2376" s="2" t="s">
        <v>23158</v>
      </c>
      <c r="G2376" s="3" t="s">
        <v>62</v>
      </c>
      <c r="I2376" s="3" t="s">
        <v>61</v>
      </c>
      <c r="J2376" s="3" t="s">
        <v>61</v>
      </c>
      <c r="K2376" s="3" t="s">
        <v>63</v>
      </c>
      <c r="L2376" s="2" t="s">
        <v>23145</v>
      </c>
      <c r="M2376" s="2" t="s">
        <v>23159</v>
      </c>
      <c r="N2376" s="3" t="s">
        <v>2985</v>
      </c>
      <c r="O2376" s="2" t="s">
        <v>17648</v>
      </c>
      <c r="P2376" s="3" t="s">
        <v>64</v>
      </c>
      <c r="R2376" s="3" t="s">
        <v>13065</v>
      </c>
      <c r="S2376" s="4">
        <v>7</v>
      </c>
      <c r="T2376" s="4">
        <v>13</v>
      </c>
      <c r="U2376" s="5" t="s">
        <v>23153</v>
      </c>
      <c r="V2376" s="5" t="s">
        <v>7837</v>
      </c>
      <c r="W2376" s="5" t="s">
        <v>67</v>
      </c>
      <c r="X2376" s="5" t="s">
        <v>67</v>
      </c>
      <c r="Y2376" s="4">
        <v>211</v>
      </c>
      <c r="Z2376" s="4">
        <v>14</v>
      </c>
      <c r="AA2376" s="4">
        <v>71</v>
      </c>
      <c r="AB2376" s="4">
        <v>2</v>
      </c>
      <c r="AC2376" s="4">
        <v>22</v>
      </c>
      <c r="AD2376" s="4">
        <v>45</v>
      </c>
      <c r="AE2376" s="4">
        <v>148</v>
      </c>
      <c r="AF2376" s="4">
        <v>0</v>
      </c>
      <c r="AG2376" s="4">
        <v>10</v>
      </c>
      <c r="AH2376" s="4">
        <v>38</v>
      </c>
      <c r="AI2376" s="4">
        <v>112</v>
      </c>
      <c r="AJ2376" s="4">
        <v>11</v>
      </c>
      <c r="AK2376" s="4">
        <v>25</v>
      </c>
      <c r="AL2376" s="4">
        <v>22</v>
      </c>
      <c r="AM2376" s="4">
        <v>57</v>
      </c>
      <c r="AN2376" s="4">
        <v>0</v>
      </c>
      <c r="AO2376" s="4">
        <v>0</v>
      </c>
      <c r="AP2376" s="4">
        <v>12</v>
      </c>
      <c r="AQ2376" s="4">
        <v>46</v>
      </c>
      <c r="AR2376" s="3" t="s">
        <v>62</v>
      </c>
      <c r="AS2376" s="3" t="s">
        <v>62</v>
      </c>
      <c r="AT2376" s="3" t="s">
        <v>62</v>
      </c>
      <c r="AV2376" s="6" t="str">
        <f>HYPERLINK("http://mcgill.on.worldcat.org/oclc/237880550","Catalog Record")</f>
        <v>Catalog Record</v>
      </c>
      <c r="AW2376" s="6" t="str">
        <f>HYPERLINK("http://www.worldcat.org/oclc/237880550","WorldCat Record")</f>
        <v>WorldCat Record</v>
      </c>
      <c r="AX2376" s="3" t="s">
        <v>23147</v>
      </c>
      <c r="AY2376" s="3" t="s">
        <v>23160</v>
      </c>
      <c r="AZ2376" s="3" t="s">
        <v>23161</v>
      </c>
      <c r="BA2376" s="3" t="s">
        <v>23161</v>
      </c>
      <c r="BB2376" s="3" t="s">
        <v>23162</v>
      </c>
      <c r="BC2376" s="3" t="s">
        <v>102</v>
      </c>
      <c r="BD2376" s="3" t="s">
        <v>231</v>
      </c>
      <c r="BE2376" s="3" t="s">
        <v>23163</v>
      </c>
      <c r="BF2376" s="3" t="s">
        <v>23162</v>
      </c>
      <c r="BG2376" s="3" t="s">
        <v>23164</v>
      </c>
    </row>
    <row r="2377" spans="1:59" ht="58" x14ac:dyDescent="0.35">
      <c r="A2377" s="2" t="s">
        <v>89</v>
      </c>
      <c r="B2377" s="2" t="s">
        <v>90</v>
      </c>
      <c r="C2377" s="2" t="s">
        <v>23156</v>
      </c>
      <c r="D2377" s="2" t="s">
        <v>23157</v>
      </c>
      <c r="E2377" s="2" t="s">
        <v>23158</v>
      </c>
      <c r="G2377" s="3" t="s">
        <v>62</v>
      </c>
      <c r="I2377" s="3" t="s">
        <v>61</v>
      </c>
      <c r="J2377" s="3" t="s">
        <v>61</v>
      </c>
      <c r="K2377" s="3" t="s">
        <v>63</v>
      </c>
      <c r="L2377" s="2" t="s">
        <v>23145</v>
      </c>
      <c r="M2377" s="2" t="s">
        <v>23159</v>
      </c>
      <c r="N2377" s="3" t="s">
        <v>2985</v>
      </c>
      <c r="O2377" s="2" t="s">
        <v>17648</v>
      </c>
      <c r="P2377" s="3" t="s">
        <v>64</v>
      </c>
      <c r="R2377" s="3" t="s">
        <v>13065</v>
      </c>
      <c r="S2377" s="4">
        <v>6</v>
      </c>
      <c r="T2377" s="4">
        <v>13</v>
      </c>
      <c r="U2377" s="5" t="s">
        <v>7837</v>
      </c>
      <c r="V2377" s="5" t="s">
        <v>7837</v>
      </c>
      <c r="W2377" s="5" t="s">
        <v>67</v>
      </c>
      <c r="X2377" s="5" t="s">
        <v>67</v>
      </c>
      <c r="Y2377" s="4">
        <v>211</v>
      </c>
      <c r="Z2377" s="4">
        <v>14</v>
      </c>
      <c r="AA2377" s="4">
        <v>71</v>
      </c>
      <c r="AB2377" s="4">
        <v>2</v>
      </c>
      <c r="AC2377" s="4">
        <v>22</v>
      </c>
      <c r="AD2377" s="4">
        <v>45</v>
      </c>
      <c r="AE2377" s="4">
        <v>148</v>
      </c>
      <c r="AF2377" s="4">
        <v>0</v>
      </c>
      <c r="AG2377" s="4">
        <v>10</v>
      </c>
      <c r="AH2377" s="4">
        <v>38</v>
      </c>
      <c r="AI2377" s="4">
        <v>112</v>
      </c>
      <c r="AJ2377" s="4">
        <v>11</v>
      </c>
      <c r="AK2377" s="4">
        <v>25</v>
      </c>
      <c r="AL2377" s="4">
        <v>22</v>
      </c>
      <c r="AM2377" s="4">
        <v>57</v>
      </c>
      <c r="AN2377" s="4">
        <v>0</v>
      </c>
      <c r="AO2377" s="4">
        <v>0</v>
      </c>
      <c r="AP2377" s="4">
        <v>12</v>
      </c>
      <c r="AQ2377" s="4">
        <v>46</v>
      </c>
      <c r="AR2377" s="3" t="s">
        <v>62</v>
      </c>
      <c r="AS2377" s="3" t="s">
        <v>62</v>
      </c>
      <c r="AT2377" s="3" t="s">
        <v>62</v>
      </c>
      <c r="AV2377" s="6" t="str">
        <f>HYPERLINK("http://mcgill.on.worldcat.org/oclc/237880550","Catalog Record")</f>
        <v>Catalog Record</v>
      </c>
      <c r="AW2377" s="6" t="str">
        <f>HYPERLINK("http://www.worldcat.org/oclc/237880550","WorldCat Record")</f>
        <v>WorldCat Record</v>
      </c>
      <c r="AX2377" s="3" t="s">
        <v>23147</v>
      </c>
      <c r="AY2377" s="3" t="s">
        <v>23160</v>
      </c>
      <c r="AZ2377" s="3" t="s">
        <v>23161</v>
      </c>
      <c r="BA2377" s="3" t="s">
        <v>23161</v>
      </c>
      <c r="BB2377" s="3" t="s">
        <v>23165</v>
      </c>
      <c r="BC2377" s="3" t="s">
        <v>102</v>
      </c>
      <c r="BD2377" s="3" t="s">
        <v>68</v>
      </c>
      <c r="BE2377" s="3" t="s">
        <v>23163</v>
      </c>
      <c r="BF2377" s="3" t="s">
        <v>23165</v>
      </c>
      <c r="BG2377" s="3" t="s">
        <v>23166</v>
      </c>
    </row>
    <row r="2378" spans="1:59" ht="58" x14ac:dyDescent="0.35">
      <c r="A2378" s="2" t="s">
        <v>89</v>
      </c>
      <c r="B2378" s="2" t="s">
        <v>90</v>
      </c>
      <c r="C2378" s="2" t="s">
        <v>23167</v>
      </c>
      <c r="D2378" s="2" t="s">
        <v>23168</v>
      </c>
      <c r="E2378" s="2" t="s">
        <v>23169</v>
      </c>
      <c r="G2378" s="3" t="s">
        <v>62</v>
      </c>
      <c r="I2378" s="3" t="s">
        <v>62</v>
      </c>
      <c r="J2378" s="3" t="s">
        <v>61</v>
      </c>
      <c r="K2378" s="3" t="s">
        <v>63</v>
      </c>
      <c r="L2378" s="2" t="s">
        <v>23170</v>
      </c>
      <c r="M2378" s="2" t="s">
        <v>23171</v>
      </c>
      <c r="N2378" s="3" t="s">
        <v>115</v>
      </c>
      <c r="O2378" s="2" t="s">
        <v>2986</v>
      </c>
      <c r="P2378" s="3" t="s">
        <v>64</v>
      </c>
      <c r="R2378" s="3" t="s">
        <v>13065</v>
      </c>
      <c r="S2378" s="4">
        <v>85</v>
      </c>
      <c r="T2378" s="4">
        <v>85</v>
      </c>
      <c r="U2378" s="5" t="s">
        <v>8499</v>
      </c>
      <c r="V2378" s="5" t="s">
        <v>8499</v>
      </c>
      <c r="W2378" s="5" t="s">
        <v>67</v>
      </c>
      <c r="X2378" s="5" t="s">
        <v>67</v>
      </c>
      <c r="Y2378" s="4">
        <v>290</v>
      </c>
      <c r="Z2378" s="4">
        <v>19</v>
      </c>
      <c r="AA2378" s="4">
        <v>101</v>
      </c>
      <c r="AB2378" s="4">
        <v>1</v>
      </c>
      <c r="AC2378" s="4">
        <v>34</v>
      </c>
      <c r="AD2378" s="4">
        <v>64</v>
      </c>
      <c r="AE2378" s="4">
        <v>159</v>
      </c>
      <c r="AF2378" s="4">
        <v>0</v>
      </c>
      <c r="AG2378" s="4">
        <v>12</v>
      </c>
      <c r="AH2378" s="4">
        <v>56</v>
      </c>
      <c r="AI2378" s="4">
        <v>113</v>
      </c>
      <c r="AJ2378" s="4">
        <v>10</v>
      </c>
      <c r="AK2378" s="4">
        <v>27</v>
      </c>
      <c r="AL2378" s="4">
        <v>32</v>
      </c>
      <c r="AM2378" s="4">
        <v>58</v>
      </c>
      <c r="AN2378" s="4">
        <v>0</v>
      </c>
      <c r="AO2378" s="4">
        <v>0</v>
      </c>
      <c r="AP2378" s="4">
        <v>14</v>
      </c>
      <c r="AQ2378" s="4">
        <v>54</v>
      </c>
      <c r="AR2378" s="3" t="s">
        <v>62</v>
      </c>
      <c r="AS2378" s="3" t="s">
        <v>62</v>
      </c>
      <c r="AT2378" s="3" t="s">
        <v>61</v>
      </c>
      <c r="AU2378" s="6" t="str">
        <f>HYPERLINK("http://catalog.hathitrust.org/Record/001090862","HathiTrust Record")</f>
        <v>HathiTrust Record</v>
      </c>
      <c r="AV2378" s="6" t="str">
        <f>HYPERLINK("http://mcgill.on.worldcat.org/oclc/18681399","Catalog Record")</f>
        <v>Catalog Record</v>
      </c>
      <c r="AW2378" s="6" t="str">
        <f>HYPERLINK("http://www.worldcat.org/oclc/18681399","WorldCat Record")</f>
        <v>WorldCat Record</v>
      </c>
      <c r="AX2378" s="3" t="s">
        <v>23172</v>
      </c>
      <c r="AY2378" s="3" t="s">
        <v>23173</v>
      </c>
      <c r="AZ2378" s="3" t="s">
        <v>23174</v>
      </c>
      <c r="BA2378" s="3" t="s">
        <v>23174</v>
      </c>
      <c r="BB2378" s="3" t="s">
        <v>23175</v>
      </c>
      <c r="BC2378" s="3" t="s">
        <v>102</v>
      </c>
      <c r="BD2378" s="3" t="s">
        <v>68</v>
      </c>
      <c r="BE2378" s="3" t="s">
        <v>23176</v>
      </c>
      <c r="BF2378" s="3" t="s">
        <v>23175</v>
      </c>
      <c r="BG2378" s="3" t="s">
        <v>23177</v>
      </c>
    </row>
    <row r="2379" spans="1:59" ht="58" x14ac:dyDescent="0.35">
      <c r="A2379" s="2" t="s">
        <v>89</v>
      </c>
      <c r="B2379" s="2" t="s">
        <v>90</v>
      </c>
      <c r="C2379" s="2" t="s">
        <v>23178</v>
      </c>
      <c r="D2379" s="2" t="s">
        <v>23179</v>
      </c>
      <c r="E2379" s="2" t="s">
        <v>23169</v>
      </c>
      <c r="G2379" s="3" t="s">
        <v>62</v>
      </c>
      <c r="I2379" s="3" t="s">
        <v>62</v>
      </c>
      <c r="J2379" s="3" t="s">
        <v>61</v>
      </c>
      <c r="K2379" s="3" t="s">
        <v>63</v>
      </c>
      <c r="L2379" s="2" t="s">
        <v>23170</v>
      </c>
      <c r="M2379" s="2" t="s">
        <v>23180</v>
      </c>
      <c r="N2379" s="3" t="s">
        <v>568</v>
      </c>
      <c r="O2379" s="2" t="s">
        <v>10722</v>
      </c>
      <c r="P2379" s="3" t="s">
        <v>64</v>
      </c>
      <c r="R2379" s="3" t="s">
        <v>13065</v>
      </c>
      <c r="S2379" s="4">
        <v>107</v>
      </c>
      <c r="T2379" s="4">
        <v>107</v>
      </c>
      <c r="U2379" s="5" t="s">
        <v>23181</v>
      </c>
      <c r="V2379" s="5" t="s">
        <v>23181</v>
      </c>
      <c r="W2379" s="5" t="s">
        <v>67</v>
      </c>
      <c r="X2379" s="5" t="s">
        <v>67</v>
      </c>
      <c r="Y2379" s="4">
        <v>418</v>
      </c>
      <c r="Z2379" s="4">
        <v>26</v>
      </c>
      <c r="AA2379" s="4">
        <v>101</v>
      </c>
      <c r="AB2379" s="4">
        <v>3</v>
      </c>
      <c r="AC2379" s="4">
        <v>34</v>
      </c>
      <c r="AD2379" s="4">
        <v>79</v>
      </c>
      <c r="AE2379" s="4">
        <v>159</v>
      </c>
      <c r="AF2379" s="4">
        <v>1</v>
      </c>
      <c r="AG2379" s="4">
        <v>12</v>
      </c>
      <c r="AH2379" s="4">
        <v>66</v>
      </c>
      <c r="AI2379" s="4">
        <v>113</v>
      </c>
      <c r="AJ2379" s="4">
        <v>13</v>
      </c>
      <c r="AK2379" s="4">
        <v>27</v>
      </c>
      <c r="AL2379" s="4">
        <v>35</v>
      </c>
      <c r="AM2379" s="4">
        <v>58</v>
      </c>
      <c r="AN2379" s="4">
        <v>0</v>
      </c>
      <c r="AO2379" s="4">
        <v>0</v>
      </c>
      <c r="AP2379" s="4">
        <v>22</v>
      </c>
      <c r="AQ2379" s="4">
        <v>54</v>
      </c>
      <c r="AR2379" s="3" t="s">
        <v>62</v>
      </c>
      <c r="AS2379" s="3" t="s">
        <v>62</v>
      </c>
      <c r="AT2379" s="3" t="s">
        <v>61</v>
      </c>
      <c r="AU2379" s="6" t="str">
        <f>HYPERLINK("http://catalog.hathitrust.org/Record/004089958","HathiTrust Record")</f>
        <v>HathiTrust Record</v>
      </c>
      <c r="AV2379" s="6" t="str">
        <f>HYPERLINK("http://mcgill.on.worldcat.org/oclc/43661994","Catalog Record")</f>
        <v>Catalog Record</v>
      </c>
      <c r="AW2379" s="6" t="str">
        <f>HYPERLINK("http://www.worldcat.org/oclc/43661994","WorldCat Record")</f>
        <v>WorldCat Record</v>
      </c>
      <c r="AX2379" s="3" t="s">
        <v>23172</v>
      </c>
      <c r="AY2379" s="3" t="s">
        <v>23182</v>
      </c>
      <c r="AZ2379" s="3" t="s">
        <v>23183</v>
      </c>
      <c r="BA2379" s="3" t="s">
        <v>23183</v>
      </c>
      <c r="BB2379" s="3" t="s">
        <v>23184</v>
      </c>
      <c r="BC2379" s="3" t="s">
        <v>102</v>
      </c>
      <c r="BD2379" s="3" t="s">
        <v>68</v>
      </c>
      <c r="BE2379" s="3" t="s">
        <v>23185</v>
      </c>
      <c r="BF2379" s="3" t="s">
        <v>23184</v>
      </c>
      <c r="BG2379" s="3" t="s">
        <v>23186</v>
      </c>
    </row>
    <row r="2380" spans="1:59" ht="58" x14ac:dyDescent="0.35">
      <c r="A2380" s="2" t="s">
        <v>89</v>
      </c>
      <c r="B2380" s="2" t="s">
        <v>6791</v>
      </c>
      <c r="C2380" s="2" t="s">
        <v>23187</v>
      </c>
      <c r="D2380" s="2" t="s">
        <v>23188</v>
      </c>
      <c r="E2380" s="2" t="s">
        <v>23169</v>
      </c>
      <c r="G2380" s="3" t="s">
        <v>62</v>
      </c>
      <c r="I2380" s="3" t="s">
        <v>61</v>
      </c>
      <c r="J2380" s="3" t="s">
        <v>61</v>
      </c>
      <c r="K2380" s="3" t="s">
        <v>63</v>
      </c>
      <c r="L2380" s="2" t="s">
        <v>23170</v>
      </c>
      <c r="M2380" s="2" t="s">
        <v>23189</v>
      </c>
      <c r="N2380" s="3" t="s">
        <v>655</v>
      </c>
      <c r="O2380" s="2" t="s">
        <v>17648</v>
      </c>
      <c r="P2380" s="3" t="s">
        <v>64</v>
      </c>
      <c r="R2380" s="3" t="s">
        <v>13065</v>
      </c>
      <c r="S2380" s="4">
        <v>23</v>
      </c>
      <c r="T2380" s="4">
        <v>55</v>
      </c>
      <c r="U2380" s="5" t="s">
        <v>1118</v>
      </c>
      <c r="V2380" s="5" t="s">
        <v>1118</v>
      </c>
      <c r="W2380" s="5" t="s">
        <v>67</v>
      </c>
      <c r="X2380" s="5" t="s">
        <v>67</v>
      </c>
      <c r="Y2380" s="4">
        <v>497</v>
      </c>
      <c r="Z2380" s="4">
        <v>35</v>
      </c>
      <c r="AA2380" s="4">
        <v>101</v>
      </c>
      <c r="AB2380" s="4">
        <v>4</v>
      </c>
      <c r="AC2380" s="4">
        <v>34</v>
      </c>
      <c r="AD2380" s="4">
        <v>90</v>
      </c>
      <c r="AE2380" s="4">
        <v>159</v>
      </c>
      <c r="AF2380" s="4">
        <v>1</v>
      </c>
      <c r="AG2380" s="4">
        <v>12</v>
      </c>
      <c r="AH2380" s="4">
        <v>76</v>
      </c>
      <c r="AI2380" s="4">
        <v>113</v>
      </c>
      <c r="AJ2380" s="4">
        <v>17</v>
      </c>
      <c r="AK2380" s="4">
        <v>27</v>
      </c>
      <c r="AL2380" s="4">
        <v>38</v>
      </c>
      <c r="AM2380" s="4">
        <v>58</v>
      </c>
      <c r="AN2380" s="4">
        <v>0</v>
      </c>
      <c r="AO2380" s="4">
        <v>0</v>
      </c>
      <c r="AP2380" s="4">
        <v>23</v>
      </c>
      <c r="AQ2380" s="4">
        <v>54</v>
      </c>
      <c r="AR2380" s="3" t="s">
        <v>62</v>
      </c>
      <c r="AS2380" s="3" t="s">
        <v>62</v>
      </c>
      <c r="AT2380" s="3" t="s">
        <v>62</v>
      </c>
      <c r="AV2380" s="6" t="str">
        <f>HYPERLINK("http://mcgill.on.worldcat.org/oclc/62766132","Catalog Record")</f>
        <v>Catalog Record</v>
      </c>
      <c r="AW2380" s="6" t="str">
        <f>HYPERLINK("http://www.worldcat.org/oclc/62766132","WorldCat Record")</f>
        <v>WorldCat Record</v>
      </c>
      <c r="AX2380" s="3" t="s">
        <v>23172</v>
      </c>
      <c r="AY2380" s="3" t="s">
        <v>23190</v>
      </c>
      <c r="AZ2380" s="3" t="s">
        <v>23191</v>
      </c>
      <c r="BA2380" s="3" t="s">
        <v>23191</v>
      </c>
      <c r="BB2380" s="3" t="s">
        <v>23192</v>
      </c>
      <c r="BC2380" s="3" t="s">
        <v>102</v>
      </c>
      <c r="BD2380" s="3" t="s">
        <v>68</v>
      </c>
      <c r="BE2380" s="3" t="s">
        <v>23193</v>
      </c>
      <c r="BF2380" s="3" t="s">
        <v>23192</v>
      </c>
      <c r="BG2380" s="3" t="s">
        <v>23194</v>
      </c>
    </row>
    <row r="2381" spans="1:59" ht="58" x14ac:dyDescent="0.35">
      <c r="A2381" s="2" t="s">
        <v>89</v>
      </c>
      <c r="B2381" s="2" t="s">
        <v>6791</v>
      </c>
      <c r="C2381" s="2" t="s">
        <v>23187</v>
      </c>
      <c r="D2381" s="2" t="s">
        <v>23188</v>
      </c>
      <c r="E2381" s="2" t="s">
        <v>23169</v>
      </c>
      <c r="G2381" s="3" t="s">
        <v>62</v>
      </c>
      <c r="I2381" s="3" t="s">
        <v>61</v>
      </c>
      <c r="J2381" s="3" t="s">
        <v>61</v>
      </c>
      <c r="K2381" s="3" t="s">
        <v>63</v>
      </c>
      <c r="L2381" s="2" t="s">
        <v>23170</v>
      </c>
      <c r="M2381" s="2" t="s">
        <v>23189</v>
      </c>
      <c r="N2381" s="3" t="s">
        <v>655</v>
      </c>
      <c r="O2381" s="2" t="s">
        <v>17648</v>
      </c>
      <c r="P2381" s="3" t="s">
        <v>64</v>
      </c>
      <c r="R2381" s="3" t="s">
        <v>13065</v>
      </c>
      <c r="S2381" s="4">
        <v>32</v>
      </c>
      <c r="T2381" s="4">
        <v>55</v>
      </c>
      <c r="U2381" s="5" t="s">
        <v>570</v>
      </c>
      <c r="V2381" s="5" t="s">
        <v>1118</v>
      </c>
      <c r="W2381" s="5" t="s">
        <v>67</v>
      </c>
      <c r="X2381" s="5" t="s">
        <v>67</v>
      </c>
      <c r="Y2381" s="4">
        <v>497</v>
      </c>
      <c r="Z2381" s="4">
        <v>35</v>
      </c>
      <c r="AA2381" s="4">
        <v>101</v>
      </c>
      <c r="AB2381" s="4">
        <v>4</v>
      </c>
      <c r="AC2381" s="4">
        <v>34</v>
      </c>
      <c r="AD2381" s="4">
        <v>90</v>
      </c>
      <c r="AE2381" s="4">
        <v>159</v>
      </c>
      <c r="AF2381" s="4">
        <v>1</v>
      </c>
      <c r="AG2381" s="4">
        <v>12</v>
      </c>
      <c r="AH2381" s="4">
        <v>76</v>
      </c>
      <c r="AI2381" s="4">
        <v>113</v>
      </c>
      <c r="AJ2381" s="4">
        <v>17</v>
      </c>
      <c r="AK2381" s="4">
        <v>27</v>
      </c>
      <c r="AL2381" s="4">
        <v>38</v>
      </c>
      <c r="AM2381" s="4">
        <v>58</v>
      </c>
      <c r="AN2381" s="4">
        <v>0</v>
      </c>
      <c r="AO2381" s="4">
        <v>0</v>
      </c>
      <c r="AP2381" s="4">
        <v>23</v>
      </c>
      <c r="AQ2381" s="4">
        <v>54</v>
      </c>
      <c r="AR2381" s="3" t="s">
        <v>62</v>
      </c>
      <c r="AS2381" s="3" t="s">
        <v>62</v>
      </c>
      <c r="AT2381" s="3" t="s">
        <v>62</v>
      </c>
      <c r="AV2381" s="6" t="str">
        <f>HYPERLINK("http://mcgill.on.worldcat.org/oclc/62766132","Catalog Record")</f>
        <v>Catalog Record</v>
      </c>
      <c r="AW2381" s="6" t="str">
        <f>HYPERLINK("http://www.worldcat.org/oclc/62766132","WorldCat Record")</f>
        <v>WorldCat Record</v>
      </c>
      <c r="AX2381" s="3" t="s">
        <v>23172</v>
      </c>
      <c r="AY2381" s="3" t="s">
        <v>23190</v>
      </c>
      <c r="AZ2381" s="3" t="s">
        <v>23191</v>
      </c>
      <c r="BA2381" s="3" t="s">
        <v>23191</v>
      </c>
      <c r="BB2381" s="3" t="s">
        <v>23195</v>
      </c>
      <c r="BC2381" s="3" t="s">
        <v>102</v>
      </c>
      <c r="BD2381" s="3" t="s">
        <v>231</v>
      </c>
      <c r="BE2381" s="3" t="s">
        <v>23193</v>
      </c>
      <c r="BF2381" s="3" t="s">
        <v>23195</v>
      </c>
      <c r="BG2381" s="3" t="s">
        <v>23196</v>
      </c>
    </row>
    <row r="2382" spans="1:59" ht="58" x14ac:dyDescent="0.35">
      <c r="A2382" s="2" t="s">
        <v>89</v>
      </c>
      <c r="B2382" s="2" t="s">
        <v>90</v>
      </c>
      <c r="C2382" s="2" t="s">
        <v>23197</v>
      </c>
      <c r="D2382" s="2" t="s">
        <v>23198</v>
      </c>
      <c r="E2382" s="2" t="s">
        <v>23169</v>
      </c>
      <c r="G2382" s="3" t="s">
        <v>62</v>
      </c>
      <c r="I2382" s="3" t="s">
        <v>62</v>
      </c>
      <c r="J2382" s="3" t="s">
        <v>61</v>
      </c>
      <c r="K2382" s="3" t="s">
        <v>63</v>
      </c>
      <c r="L2382" s="2" t="s">
        <v>23199</v>
      </c>
      <c r="M2382" s="2" t="s">
        <v>23200</v>
      </c>
      <c r="N2382" s="3" t="s">
        <v>129</v>
      </c>
      <c r="O2382" s="2" t="s">
        <v>17427</v>
      </c>
      <c r="P2382" s="3" t="s">
        <v>64</v>
      </c>
      <c r="R2382" s="3" t="s">
        <v>13065</v>
      </c>
      <c r="S2382" s="4">
        <v>35</v>
      </c>
      <c r="T2382" s="4">
        <v>35</v>
      </c>
      <c r="U2382" s="5" t="s">
        <v>17936</v>
      </c>
      <c r="V2382" s="5" t="s">
        <v>17936</v>
      </c>
      <c r="W2382" s="5" t="s">
        <v>67</v>
      </c>
      <c r="X2382" s="5" t="s">
        <v>67</v>
      </c>
      <c r="Y2382" s="4">
        <v>244</v>
      </c>
      <c r="Z2382" s="4">
        <v>22</v>
      </c>
      <c r="AA2382" s="4">
        <v>101</v>
      </c>
      <c r="AB2382" s="4">
        <v>1</v>
      </c>
      <c r="AC2382" s="4">
        <v>34</v>
      </c>
      <c r="AD2382" s="4">
        <v>64</v>
      </c>
      <c r="AE2382" s="4">
        <v>159</v>
      </c>
      <c r="AF2382" s="4">
        <v>0</v>
      </c>
      <c r="AG2382" s="4">
        <v>12</v>
      </c>
      <c r="AH2382" s="4">
        <v>53</v>
      </c>
      <c r="AI2382" s="4">
        <v>113</v>
      </c>
      <c r="AJ2382" s="4">
        <v>10</v>
      </c>
      <c r="AK2382" s="4">
        <v>27</v>
      </c>
      <c r="AL2382" s="4">
        <v>30</v>
      </c>
      <c r="AM2382" s="4">
        <v>58</v>
      </c>
      <c r="AN2382" s="4">
        <v>0</v>
      </c>
      <c r="AO2382" s="4">
        <v>0</v>
      </c>
      <c r="AP2382" s="4">
        <v>16</v>
      </c>
      <c r="AQ2382" s="4">
        <v>54</v>
      </c>
      <c r="AR2382" s="3" t="s">
        <v>62</v>
      </c>
      <c r="AS2382" s="3" t="s">
        <v>62</v>
      </c>
      <c r="AT2382" s="3" t="s">
        <v>62</v>
      </c>
      <c r="AV2382" s="6" t="str">
        <f>HYPERLINK("http://mcgill.on.worldcat.org/oclc/776874786","Catalog Record")</f>
        <v>Catalog Record</v>
      </c>
      <c r="AW2382" s="6" t="str">
        <f>HYPERLINK("http://www.worldcat.org/oclc/776874786","WorldCat Record")</f>
        <v>WorldCat Record</v>
      </c>
      <c r="AX2382" s="3" t="s">
        <v>23172</v>
      </c>
      <c r="AY2382" s="3" t="s">
        <v>23201</v>
      </c>
      <c r="AZ2382" s="3" t="s">
        <v>23202</v>
      </c>
      <c r="BA2382" s="3" t="s">
        <v>23202</v>
      </c>
      <c r="BB2382" s="3" t="s">
        <v>23203</v>
      </c>
      <c r="BC2382" s="3" t="s">
        <v>102</v>
      </c>
      <c r="BD2382" s="3" t="s">
        <v>68</v>
      </c>
      <c r="BE2382" s="3" t="s">
        <v>23204</v>
      </c>
      <c r="BF2382" s="3" t="s">
        <v>23203</v>
      </c>
      <c r="BG2382" s="3" t="s">
        <v>23205</v>
      </c>
    </row>
    <row r="2383" spans="1:59" ht="58" x14ac:dyDescent="0.35">
      <c r="A2383" s="2" t="s">
        <v>89</v>
      </c>
      <c r="B2383" s="2" t="s">
        <v>90</v>
      </c>
      <c r="C2383" s="2" t="s">
        <v>23206</v>
      </c>
      <c r="D2383" s="2" t="s">
        <v>23207</v>
      </c>
      <c r="E2383" s="2" t="s">
        <v>23208</v>
      </c>
      <c r="G2383" s="3" t="s">
        <v>62</v>
      </c>
      <c r="I2383" s="3" t="s">
        <v>62</v>
      </c>
      <c r="J2383" s="3" t="s">
        <v>62</v>
      </c>
      <c r="K2383" s="3" t="s">
        <v>63</v>
      </c>
      <c r="L2383" s="2" t="s">
        <v>23209</v>
      </c>
      <c r="M2383" s="2" t="s">
        <v>23210</v>
      </c>
      <c r="N2383" s="3" t="s">
        <v>640</v>
      </c>
      <c r="P2383" s="3" t="s">
        <v>64</v>
      </c>
      <c r="Q2383" s="2" t="s">
        <v>23024</v>
      </c>
      <c r="R2383" s="3" t="s">
        <v>13065</v>
      </c>
      <c r="S2383" s="4">
        <v>12</v>
      </c>
      <c r="T2383" s="4">
        <v>12</v>
      </c>
      <c r="U2383" s="5" t="s">
        <v>23211</v>
      </c>
      <c r="V2383" s="5" t="s">
        <v>23211</v>
      </c>
      <c r="W2383" s="5" t="s">
        <v>67</v>
      </c>
      <c r="X2383" s="5" t="s">
        <v>67</v>
      </c>
      <c r="Y2383" s="4">
        <v>356</v>
      </c>
      <c r="Z2383" s="4">
        <v>17</v>
      </c>
      <c r="AA2383" s="4">
        <v>22</v>
      </c>
      <c r="AB2383" s="4">
        <v>2</v>
      </c>
      <c r="AC2383" s="4">
        <v>7</v>
      </c>
      <c r="AD2383" s="4">
        <v>88</v>
      </c>
      <c r="AE2383" s="4">
        <v>91</v>
      </c>
      <c r="AF2383" s="4">
        <v>1</v>
      </c>
      <c r="AG2383" s="4">
        <v>4</v>
      </c>
      <c r="AH2383" s="4">
        <v>73</v>
      </c>
      <c r="AI2383" s="4">
        <v>74</v>
      </c>
      <c r="AJ2383" s="4">
        <v>8</v>
      </c>
      <c r="AK2383" s="4">
        <v>11</v>
      </c>
      <c r="AL2383" s="4">
        <v>41</v>
      </c>
      <c r="AM2383" s="4">
        <v>41</v>
      </c>
      <c r="AN2383" s="4">
        <v>0</v>
      </c>
      <c r="AO2383" s="4">
        <v>0</v>
      </c>
      <c r="AP2383" s="4">
        <v>15</v>
      </c>
      <c r="AQ2383" s="4">
        <v>17</v>
      </c>
      <c r="AR2383" s="3" t="s">
        <v>62</v>
      </c>
      <c r="AS2383" s="3" t="s">
        <v>62</v>
      </c>
      <c r="AT2383" s="3" t="s">
        <v>62</v>
      </c>
      <c r="AV2383" s="6" t="str">
        <f>HYPERLINK("http://mcgill.on.worldcat.org/oclc/53360550","Catalog Record")</f>
        <v>Catalog Record</v>
      </c>
      <c r="AW2383" s="6" t="str">
        <f>HYPERLINK("http://www.worldcat.org/oclc/53360550","WorldCat Record")</f>
        <v>WorldCat Record</v>
      </c>
      <c r="AX2383" s="3" t="s">
        <v>23212</v>
      </c>
      <c r="AY2383" s="3" t="s">
        <v>23213</v>
      </c>
      <c r="AZ2383" s="3" t="s">
        <v>23214</v>
      </c>
      <c r="BA2383" s="3" t="s">
        <v>23214</v>
      </c>
      <c r="BB2383" s="3" t="s">
        <v>23215</v>
      </c>
      <c r="BC2383" s="3" t="s">
        <v>102</v>
      </c>
      <c r="BD2383" s="3" t="s">
        <v>68</v>
      </c>
      <c r="BE2383" s="3" t="s">
        <v>23216</v>
      </c>
      <c r="BF2383" s="3" t="s">
        <v>23215</v>
      </c>
      <c r="BG2383" s="3" t="s">
        <v>23217</v>
      </c>
    </row>
    <row r="2384" spans="1:59" ht="58" x14ac:dyDescent="0.35">
      <c r="A2384" s="2" t="s">
        <v>89</v>
      </c>
      <c r="B2384" s="2" t="s">
        <v>90</v>
      </c>
      <c r="C2384" s="2" t="s">
        <v>23218</v>
      </c>
      <c r="D2384" s="2" t="s">
        <v>23219</v>
      </c>
      <c r="E2384" s="2" t="s">
        <v>23220</v>
      </c>
      <c r="G2384" s="3" t="s">
        <v>62</v>
      </c>
      <c r="I2384" s="3" t="s">
        <v>61</v>
      </c>
      <c r="J2384" s="3" t="s">
        <v>62</v>
      </c>
      <c r="K2384" s="3" t="s">
        <v>63</v>
      </c>
      <c r="L2384" s="2" t="s">
        <v>23221</v>
      </c>
      <c r="M2384" s="2" t="s">
        <v>23222</v>
      </c>
      <c r="N2384" s="3" t="s">
        <v>3062</v>
      </c>
      <c r="P2384" s="3" t="s">
        <v>64</v>
      </c>
      <c r="R2384" s="3" t="s">
        <v>13065</v>
      </c>
      <c r="S2384" s="4">
        <v>84</v>
      </c>
      <c r="T2384" s="4">
        <v>116</v>
      </c>
      <c r="U2384" s="5" t="s">
        <v>23223</v>
      </c>
      <c r="V2384" s="5" t="s">
        <v>1723</v>
      </c>
      <c r="W2384" s="5" t="s">
        <v>67</v>
      </c>
      <c r="X2384" s="5" t="s">
        <v>67</v>
      </c>
      <c r="Y2384" s="4">
        <v>711</v>
      </c>
      <c r="Z2384" s="4">
        <v>43</v>
      </c>
      <c r="AA2384" s="4">
        <v>58</v>
      </c>
      <c r="AB2384" s="4">
        <v>2</v>
      </c>
      <c r="AC2384" s="4">
        <v>15</v>
      </c>
      <c r="AD2384" s="4">
        <v>136</v>
      </c>
      <c r="AE2384" s="4">
        <v>144</v>
      </c>
      <c r="AF2384" s="4">
        <v>1</v>
      </c>
      <c r="AG2384" s="4">
        <v>8</v>
      </c>
      <c r="AH2384" s="4">
        <v>107</v>
      </c>
      <c r="AI2384" s="4">
        <v>108</v>
      </c>
      <c r="AJ2384" s="4">
        <v>20</v>
      </c>
      <c r="AK2384" s="4">
        <v>24</v>
      </c>
      <c r="AL2384" s="4">
        <v>56</v>
      </c>
      <c r="AM2384" s="4">
        <v>56</v>
      </c>
      <c r="AN2384" s="4">
        <v>0</v>
      </c>
      <c r="AO2384" s="4">
        <v>0</v>
      </c>
      <c r="AP2384" s="4">
        <v>39</v>
      </c>
      <c r="AQ2384" s="4">
        <v>46</v>
      </c>
      <c r="AR2384" s="3" t="s">
        <v>62</v>
      </c>
      <c r="AS2384" s="3" t="s">
        <v>62</v>
      </c>
      <c r="AT2384" s="3" t="s">
        <v>61</v>
      </c>
      <c r="AU2384" s="6" t="str">
        <f>HYPERLINK("http://catalog.hathitrust.org/Record/002450455","HathiTrust Record")</f>
        <v>HathiTrust Record</v>
      </c>
      <c r="AV2384" s="6" t="str">
        <f>HYPERLINK("http://mcgill.on.worldcat.org/oclc/23080434","Catalog Record")</f>
        <v>Catalog Record</v>
      </c>
      <c r="AW2384" s="6" t="str">
        <f>HYPERLINK("http://www.worldcat.org/oclc/23080434","WorldCat Record")</f>
        <v>WorldCat Record</v>
      </c>
      <c r="AX2384" s="3" t="s">
        <v>23224</v>
      </c>
      <c r="AY2384" s="3" t="s">
        <v>23225</v>
      </c>
      <c r="AZ2384" s="3" t="s">
        <v>23226</v>
      </c>
      <c r="BA2384" s="3" t="s">
        <v>23226</v>
      </c>
      <c r="BB2384" s="3" t="s">
        <v>23227</v>
      </c>
      <c r="BC2384" s="3" t="s">
        <v>102</v>
      </c>
      <c r="BD2384" s="3" t="s">
        <v>68</v>
      </c>
      <c r="BE2384" s="3" t="s">
        <v>23228</v>
      </c>
      <c r="BF2384" s="3" t="s">
        <v>23227</v>
      </c>
      <c r="BG2384" s="3" t="s">
        <v>23229</v>
      </c>
    </row>
    <row r="2385" spans="1:59" ht="58" x14ac:dyDescent="0.35">
      <c r="A2385" s="2" t="s">
        <v>89</v>
      </c>
      <c r="B2385" s="2" t="s">
        <v>90</v>
      </c>
      <c r="C2385" s="2" t="s">
        <v>23230</v>
      </c>
      <c r="D2385" s="2" t="s">
        <v>23231</v>
      </c>
      <c r="E2385" s="2" t="s">
        <v>23232</v>
      </c>
      <c r="G2385" s="3" t="s">
        <v>62</v>
      </c>
      <c r="I2385" s="3" t="s">
        <v>61</v>
      </c>
      <c r="J2385" s="3" t="s">
        <v>62</v>
      </c>
      <c r="K2385" s="3" t="s">
        <v>63</v>
      </c>
      <c r="L2385" s="2" t="s">
        <v>21790</v>
      </c>
      <c r="M2385" s="2" t="s">
        <v>23233</v>
      </c>
      <c r="N2385" s="3" t="s">
        <v>553</v>
      </c>
      <c r="P2385" s="3" t="s">
        <v>64</v>
      </c>
      <c r="Q2385" s="2" t="s">
        <v>23234</v>
      </c>
      <c r="R2385" s="3" t="s">
        <v>13065</v>
      </c>
      <c r="S2385" s="4">
        <v>20</v>
      </c>
      <c r="T2385" s="4">
        <v>65</v>
      </c>
      <c r="U2385" s="5" t="s">
        <v>19040</v>
      </c>
      <c r="V2385" s="5" t="s">
        <v>18535</v>
      </c>
      <c r="W2385" s="5" t="s">
        <v>67</v>
      </c>
      <c r="X2385" s="5" t="s">
        <v>67</v>
      </c>
      <c r="Y2385" s="4">
        <v>386</v>
      </c>
      <c r="Z2385" s="4">
        <v>24</v>
      </c>
      <c r="AA2385" s="4">
        <v>43</v>
      </c>
      <c r="AB2385" s="4">
        <v>2</v>
      </c>
      <c r="AC2385" s="4">
        <v>6</v>
      </c>
      <c r="AD2385" s="4">
        <v>92</v>
      </c>
      <c r="AE2385" s="4">
        <v>98</v>
      </c>
      <c r="AF2385" s="4">
        <v>0</v>
      </c>
      <c r="AG2385" s="4">
        <v>0</v>
      </c>
      <c r="AH2385" s="4">
        <v>79</v>
      </c>
      <c r="AI2385" s="4">
        <v>84</v>
      </c>
      <c r="AJ2385" s="4">
        <v>12</v>
      </c>
      <c r="AK2385" s="4">
        <v>12</v>
      </c>
      <c r="AL2385" s="4">
        <v>49</v>
      </c>
      <c r="AM2385" s="4">
        <v>51</v>
      </c>
      <c r="AN2385" s="4">
        <v>0</v>
      </c>
      <c r="AO2385" s="4">
        <v>0</v>
      </c>
      <c r="AP2385" s="4">
        <v>17</v>
      </c>
      <c r="AQ2385" s="4">
        <v>18</v>
      </c>
      <c r="AR2385" s="3" t="s">
        <v>62</v>
      </c>
      <c r="AS2385" s="3" t="s">
        <v>62</v>
      </c>
      <c r="AT2385" s="3" t="s">
        <v>61</v>
      </c>
      <c r="AU2385" s="6" t="str">
        <f>HYPERLINK("http://catalog.hathitrust.org/Record/003617625","HathiTrust Record")</f>
        <v>HathiTrust Record</v>
      </c>
      <c r="AV2385" s="6" t="str">
        <f>HYPERLINK("http://mcgill.on.worldcat.org/oclc/39671633","Catalog Record")</f>
        <v>Catalog Record</v>
      </c>
      <c r="AW2385" s="6" t="str">
        <f>HYPERLINK("http://www.worldcat.org/oclc/39671633","WorldCat Record")</f>
        <v>WorldCat Record</v>
      </c>
      <c r="AX2385" s="3" t="s">
        <v>23235</v>
      </c>
      <c r="AY2385" s="3" t="s">
        <v>23236</v>
      </c>
      <c r="AZ2385" s="3" t="s">
        <v>23237</v>
      </c>
      <c r="BA2385" s="3" t="s">
        <v>23237</v>
      </c>
      <c r="BB2385" s="3" t="s">
        <v>23238</v>
      </c>
      <c r="BC2385" s="3" t="s">
        <v>102</v>
      </c>
      <c r="BD2385" s="3" t="s">
        <v>231</v>
      </c>
      <c r="BE2385" s="3" t="s">
        <v>23239</v>
      </c>
      <c r="BF2385" s="3" t="s">
        <v>23238</v>
      </c>
      <c r="BG2385" s="3" t="s">
        <v>23240</v>
      </c>
    </row>
    <row r="2386" spans="1:59" ht="58" x14ac:dyDescent="0.35">
      <c r="A2386" s="2" t="s">
        <v>89</v>
      </c>
      <c r="B2386" s="2" t="s">
        <v>90</v>
      </c>
      <c r="C2386" s="2" t="s">
        <v>23230</v>
      </c>
      <c r="D2386" s="2" t="s">
        <v>23231</v>
      </c>
      <c r="E2386" s="2" t="s">
        <v>23232</v>
      </c>
      <c r="G2386" s="3" t="s">
        <v>62</v>
      </c>
      <c r="I2386" s="3" t="s">
        <v>61</v>
      </c>
      <c r="J2386" s="3" t="s">
        <v>62</v>
      </c>
      <c r="K2386" s="3" t="s">
        <v>63</v>
      </c>
      <c r="L2386" s="2" t="s">
        <v>21790</v>
      </c>
      <c r="M2386" s="2" t="s">
        <v>23233</v>
      </c>
      <c r="N2386" s="3" t="s">
        <v>553</v>
      </c>
      <c r="P2386" s="3" t="s">
        <v>64</v>
      </c>
      <c r="Q2386" s="2" t="s">
        <v>23234</v>
      </c>
      <c r="R2386" s="3" t="s">
        <v>13065</v>
      </c>
      <c r="S2386" s="4">
        <v>45</v>
      </c>
      <c r="T2386" s="4">
        <v>65</v>
      </c>
      <c r="U2386" s="5" t="s">
        <v>18535</v>
      </c>
      <c r="V2386" s="5" t="s">
        <v>18535</v>
      </c>
      <c r="W2386" s="5" t="s">
        <v>67</v>
      </c>
      <c r="X2386" s="5" t="s">
        <v>67</v>
      </c>
      <c r="Y2386" s="4">
        <v>386</v>
      </c>
      <c r="Z2386" s="4">
        <v>24</v>
      </c>
      <c r="AA2386" s="4">
        <v>43</v>
      </c>
      <c r="AB2386" s="4">
        <v>2</v>
      </c>
      <c r="AC2386" s="4">
        <v>6</v>
      </c>
      <c r="AD2386" s="4">
        <v>92</v>
      </c>
      <c r="AE2386" s="4">
        <v>98</v>
      </c>
      <c r="AF2386" s="4">
        <v>0</v>
      </c>
      <c r="AG2386" s="4">
        <v>0</v>
      </c>
      <c r="AH2386" s="4">
        <v>79</v>
      </c>
      <c r="AI2386" s="4">
        <v>84</v>
      </c>
      <c r="AJ2386" s="4">
        <v>12</v>
      </c>
      <c r="AK2386" s="4">
        <v>12</v>
      </c>
      <c r="AL2386" s="4">
        <v>49</v>
      </c>
      <c r="AM2386" s="4">
        <v>51</v>
      </c>
      <c r="AN2386" s="4">
        <v>0</v>
      </c>
      <c r="AO2386" s="4">
        <v>0</v>
      </c>
      <c r="AP2386" s="4">
        <v>17</v>
      </c>
      <c r="AQ2386" s="4">
        <v>18</v>
      </c>
      <c r="AR2386" s="3" t="s">
        <v>62</v>
      </c>
      <c r="AS2386" s="3" t="s">
        <v>62</v>
      </c>
      <c r="AT2386" s="3" t="s">
        <v>61</v>
      </c>
      <c r="AU2386" s="6" t="str">
        <f>HYPERLINK("http://catalog.hathitrust.org/Record/003617625","HathiTrust Record")</f>
        <v>HathiTrust Record</v>
      </c>
      <c r="AV2386" s="6" t="str">
        <f>HYPERLINK("http://mcgill.on.worldcat.org/oclc/39671633","Catalog Record")</f>
        <v>Catalog Record</v>
      </c>
      <c r="AW2386" s="6" t="str">
        <f>HYPERLINK("http://www.worldcat.org/oclc/39671633","WorldCat Record")</f>
        <v>WorldCat Record</v>
      </c>
      <c r="AX2386" s="3" t="s">
        <v>23235</v>
      </c>
      <c r="AY2386" s="3" t="s">
        <v>23236</v>
      </c>
      <c r="AZ2386" s="3" t="s">
        <v>23237</v>
      </c>
      <c r="BA2386" s="3" t="s">
        <v>23237</v>
      </c>
      <c r="BB2386" s="3" t="s">
        <v>23241</v>
      </c>
      <c r="BC2386" s="3" t="s">
        <v>102</v>
      </c>
      <c r="BD2386" s="3" t="s">
        <v>68</v>
      </c>
      <c r="BE2386" s="3" t="s">
        <v>23239</v>
      </c>
      <c r="BF2386" s="3" t="s">
        <v>23241</v>
      </c>
      <c r="BG2386" s="3" t="s">
        <v>23242</v>
      </c>
    </row>
    <row r="2387" spans="1:59" ht="58" x14ac:dyDescent="0.35">
      <c r="A2387" s="2" t="s">
        <v>89</v>
      </c>
      <c r="B2387" s="2" t="s">
        <v>90</v>
      </c>
      <c r="C2387" s="2" t="s">
        <v>23243</v>
      </c>
      <c r="D2387" s="2" t="s">
        <v>23244</v>
      </c>
      <c r="E2387" s="2" t="s">
        <v>23245</v>
      </c>
      <c r="G2387" s="3" t="s">
        <v>62</v>
      </c>
      <c r="I2387" s="3" t="s">
        <v>61</v>
      </c>
      <c r="J2387" s="3" t="s">
        <v>62</v>
      </c>
      <c r="K2387" s="3" t="s">
        <v>63</v>
      </c>
      <c r="L2387" s="2" t="s">
        <v>23246</v>
      </c>
      <c r="M2387" s="2" t="s">
        <v>23247</v>
      </c>
      <c r="N2387" s="3" t="s">
        <v>2000</v>
      </c>
      <c r="P2387" s="3" t="s">
        <v>64</v>
      </c>
      <c r="Q2387" s="2" t="s">
        <v>23248</v>
      </c>
      <c r="R2387" s="3" t="s">
        <v>13065</v>
      </c>
      <c r="S2387" s="4">
        <v>2</v>
      </c>
      <c r="T2387" s="4">
        <v>19</v>
      </c>
      <c r="U2387" s="5" t="s">
        <v>23249</v>
      </c>
      <c r="V2387" s="5" t="s">
        <v>22624</v>
      </c>
      <c r="W2387" s="5" t="s">
        <v>67</v>
      </c>
      <c r="X2387" s="5" t="s">
        <v>67</v>
      </c>
      <c r="Y2387" s="4">
        <v>436</v>
      </c>
      <c r="Z2387" s="4">
        <v>31</v>
      </c>
      <c r="AA2387" s="4">
        <v>66</v>
      </c>
      <c r="AB2387" s="4">
        <v>2</v>
      </c>
      <c r="AC2387" s="4">
        <v>11</v>
      </c>
      <c r="AD2387" s="4">
        <v>107</v>
      </c>
      <c r="AE2387" s="4">
        <v>125</v>
      </c>
      <c r="AF2387" s="4">
        <v>1</v>
      </c>
      <c r="AG2387" s="4">
        <v>6</v>
      </c>
      <c r="AH2387" s="4">
        <v>90</v>
      </c>
      <c r="AI2387" s="4">
        <v>97</v>
      </c>
      <c r="AJ2387" s="4">
        <v>16</v>
      </c>
      <c r="AK2387" s="4">
        <v>22</v>
      </c>
      <c r="AL2387" s="4">
        <v>50</v>
      </c>
      <c r="AM2387" s="4">
        <v>54</v>
      </c>
      <c r="AN2387" s="4">
        <v>0</v>
      </c>
      <c r="AO2387" s="4">
        <v>0</v>
      </c>
      <c r="AP2387" s="4">
        <v>25</v>
      </c>
      <c r="AQ2387" s="4">
        <v>36</v>
      </c>
      <c r="AR2387" s="3" t="s">
        <v>62</v>
      </c>
      <c r="AS2387" s="3" t="s">
        <v>62</v>
      </c>
      <c r="AT2387" s="3" t="s">
        <v>62</v>
      </c>
      <c r="AV2387" s="6" t="str">
        <f>HYPERLINK("http://mcgill.on.worldcat.org/oclc/33165023","Catalog Record")</f>
        <v>Catalog Record</v>
      </c>
      <c r="AW2387" s="6" t="str">
        <f>HYPERLINK("http://www.worldcat.org/oclc/33165023","WorldCat Record")</f>
        <v>WorldCat Record</v>
      </c>
      <c r="AX2387" s="3" t="s">
        <v>23250</v>
      </c>
      <c r="AY2387" s="3" t="s">
        <v>23251</v>
      </c>
      <c r="AZ2387" s="3" t="s">
        <v>23252</v>
      </c>
      <c r="BA2387" s="3" t="s">
        <v>23252</v>
      </c>
      <c r="BB2387" s="3" t="s">
        <v>23253</v>
      </c>
      <c r="BC2387" s="3" t="s">
        <v>102</v>
      </c>
      <c r="BD2387" s="3" t="s">
        <v>68</v>
      </c>
      <c r="BE2387" s="3" t="s">
        <v>23254</v>
      </c>
      <c r="BF2387" s="3" t="s">
        <v>23253</v>
      </c>
      <c r="BG2387" s="3" t="s">
        <v>23255</v>
      </c>
    </row>
    <row r="2388" spans="1:59" ht="58" x14ac:dyDescent="0.35">
      <c r="A2388" s="2" t="s">
        <v>89</v>
      </c>
      <c r="B2388" s="2" t="s">
        <v>90</v>
      </c>
      <c r="C2388" s="2" t="s">
        <v>23243</v>
      </c>
      <c r="D2388" s="2" t="s">
        <v>23244</v>
      </c>
      <c r="E2388" s="2" t="s">
        <v>23245</v>
      </c>
      <c r="G2388" s="3" t="s">
        <v>62</v>
      </c>
      <c r="I2388" s="3" t="s">
        <v>61</v>
      </c>
      <c r="J2388" s="3" t="s">
        <v>62</v>
      </c>
      <c r="K2388" s="3" t="s">
        <v>63</v>
      </c>
      <c r="L2388" s="2" t="s">
        <v>23246</v>
      </c>
      <c r="M2388" s="2" t="s">
        <v>23247</v>
      </c>
      <c r="N2388" s="3" t="s">
        <v>2000</v>
      </c>
      <c r="P2388" s="3" t="s">
        <v>64</v>
      </c>
      <c r="Q2388" s="2" t="s">
        <v>23248</v>
      </c>
      <c r="R2388" s="3" t="s">
        <v>13065</v>
      </c>
      <c r="S2388" s="4">
        <v>17</v>
      </c>
      <c r="T2388" s="4">
        <v>19</v>
      </c>
      <c r="U2388" s="5" t="s">
        <v>22624</v>
      </c>
      <c r="V2388" s="5" t="s">
        <v>22624</v>
      </c>
      <c r="W2388" s="5" t="s">
        <v>67</v>
      </c>
      <c r="X2388" s="5" t="s">
        <v>67</v>
      </c>
      <c r="Y2388" s="4">
        <v>436</v>
      </c>
      <c r="Z2388" s="4">
        <v>31</v>
      </c>
      <c r="AA2388" s="4">
        <v>66</v>
      </c>
      <c r="AB2388" s="4">
        <v>2</v>
      </c>
      <c r="AC2388" s="4">
        <v>11</v>
      </c>
      <c r="AD2388" s="4">
        <v>107</v>
      </c>
      <c r="AE2388" s="4">
        <v>125</v>
      </c>
      <c r="AF2388" s="4">
        <v>1</v>
      </c>
      <c r="AG2388" s="4">
        <v>6</v>
      </c>
      <c r="AH2388" s="4">
        <v>90</v>
      </c>
      <c r="AI2388" s="4">
        <v>97</v>
      </c>
      <c r="AJ2388" s="4">
        <v>16</v>
      </c>
      <c r="AK2388" s="4">
        <v>22</v>
      </c>
      <c r="AL2388" s="4">
        <v>50</v>
      </c>
      <c r="AM2388" s="4">
        <v>54</v>
      </c>
      <c r="AN2388" s="4">
        <v>0</v>
      </c>
      <c r="AO2388" s="4">
        <v>0</v>
      </c>
      <c r="AP2388" s="4">
        <v>25</v>
      </c>
      <c r="AQ2388" s="4">
        <v>36</v>
      </c>
      <c r="AR2388" s="3" t="s">
        <v>62</v>
      </c>
      <c r="AS2388" s="3" t="s">
        <v>62</v>
      </c>
      <c r="AT2388" s="3" t="s">
        <v>62</v>
      </c>
      <c r="AV2388" s="6" t="str">
        <f>HYPERLINK("http://mcgill.on.worldcat.org/oclc/33165023","Catalog Record")</f>
        <v>Catalog Record</v>
      </c>
      <c r="AW2388" s="6" t="str">
        <f>HYPERLINK("http://www.worldcat.org/oclc/33165023","WorldCat Record")</f>
        <v>WorldCat Record</v>
      </c>
      <c r="AX2388" s="3" t="s">
        <v>23250</v>
      </c>
      <c r="AY2388" s="3" t="s">
        <v>23251</v>
      </c>
      <c r="AZ2388" s="3" t="s">
        <v>23252</v>
      </c>
      <c r="BA2388" s="3" t="s">
        <v>23252</v>
      </c>
      <c r="BB2388" s="3" t="s">
        <v>23256</v>
      </c>
      <c r="BC2388" s="3" t="s">
        <v>102</v>
      </c>
      <c r="BD2388" s="3" t="s">
        <v>68</v>
      </c>
      <c r="BE2388" s="3" t="s">
        <v>23254</v>
      </c>
      <c r="BF2388" s="3" t="s">
        <v>23256</v>
      </c>
      <c r="BG2388" s="3" t="s">
        <v>23257</v>
      </c>
    </row>
    <row r="2389" spans="1:59" ht="58" x14ac:dyDescent="0.35">
      <c r="A2389" s="2" t="s">
        <v>89</v>
      </c>
      <c r="B2389" s="2" t="s">
        <v>90</v>
      </c>
      <c r="C2389" s="2" t="s">
        <v>23258</v>
      </c>
      <c r="D2389" s="2" t="s">
        <v>23259</v>
      </c>
      <c r="E2389" s="2" t="s">
        <v>23260</v>
      </c>
      <c r="G2389" s="3" t="s">
        <v>62</v>
      </c>
      <c r="I2389" s="3" t="s">
        <v>62</v>
      </c>
      <c r="J2389" s="3" t="s">
        <v>62</v>
      </c>
      <c r="K2389" s="3" t="s">
        <v>63</v>
      </c>
      <c r="L2389" s="2" t="s">
        <v>23261</v>
      </c>
      <c r="M2389" s="2" t="s">
        <v>23262</v>
      </c>
      <c r="N2389" s="3" t="s">
        <v>539</v>
      </c>
      <c r="P2389" s="3" t="s">
        <v>64</v>
      </c>
      <c r="Q2389" s="2" t="s">
        <v>23263</v>
      </c>
      <c r="R2389" s="3" t="s">
        <v>13065</v>
      </c>
      <c r="S2389" s="4">
        <v>36</v>
      </c>
      <c r="T2389" s="4">
        <v>36</v>
      </c>
      <c r="U2389" s="5" t="s">
        <v>10848</v>
      </c>
      <c r="V2389" s="5" t="s">
        <v>10848</v>
      </c>
      <c r="W2389" s="5" t="s">
        <v>67</v>
      </c>
      <c r="X2389" s="5" t="s">
        <v>67</v>
      </c>
      <c r="Y2389" s="4">
        <v>373</v>
      </c>
      <c r="Z2389" s="4">
        <v>25</v>
      </c>
      <c r="AA2389" s="4">
        <v>109</v>
      </c>
      <c r="AB2389" s="4">
        <v>2</v>
      </c>
      <c r="AC2389" s="4">
        <v>18</v>
      </c>
      <c r="AD2389" s="4">
        <v>103</v>
      </c>
      <c r="AE2389" s="4">
        <v>147</v>
      </c>
      <c r="AF2389" s="4">
        <v>1</v>
      </c>
      <c r="AG2389" s="4">
        <v>8</v>
      </c>
      <c r="AH2389" s="4">
        <v>89</v>
      </c>
      <c r="AI2389" s="4">
        <v>105</v>
      </c>
      <c r="AJ2389" s="4">
        <v>14</v>
      </c>
      <c r="AK2389" s="4">
        <v>26</v>
      </c>
      <c r="AL2389" s="4">
        <v>52</v>
      </c>
      <c r="AM2389" s="4">
        <v>56</v>
      </c>
      <c r="AN2389" s="4">
        <v>0</v>
      </c>
      <c r="AO2389" s="4">
        <v>0</v>
      </c>
      <c r="AP2389" s="4">
        <v>21</v>
      </c>
      <c r="AQ2389" s="4">
        <v>50</v>
      </c>
      <c r="AR2389" s="3" t="s">
        <v>62</v>
      </c>
      <c r="AS2389" s="3" t="s">
        <v>62</v>
      </c>
      <c r="AT2389" s="3" t="s">
        <v>62</v>
      </c>
      <c r="AV2389" s="6" t="str">
        <f>HYPERLINK("http://mcgill.on.worldcat.org/oclc/38738914","Catalog Record")</f>
        <v>Catalog Record</v>
      </c>
      <c r="AW2389" s="6" t="str">
        <f>HYPERLINK("http://www.worldcat.org/oclc/38738914","WorldCat Record")</f>
        <v>WorldCat Record</v>
      </c>
      <c r="AX2389" s="3" t="s">
        <v>23264</v>
      </c>
      <c r="AY2389" s="3" t="s">
        <v>23265</v>
      </c>
      <c r="AZ2389" s="3" t="s">
        <v>23266</v>
      </c>
      <c r="BA2389" s="3" t="s">
        <v>23266</v>
      </c>
      <c r="BB2389" s="3" t="s">
        <v>23267</v>
      </c>
      <c r="BC2389" s="3" t="s">
        <v>102</v>
      </c>
      <c r="BD2389" s="3" t="s">
        <v>68</v>
      </c>
      <c r="BE2389" s="3" t="s">
        <v>23268</v>
      </c>
      <c r="BF2389" s="3" t="s">
        <v>23267</v>
      </c>
      <c r="BG2389" s="3" t="s">
        <v>23269</v>
      </c>
    </row>
    <row r="2390" spans="1:59" ht="72.5" x14ac:dyDescent="0.35">
      <c r="A2390" s="2" t="s">
        <v>89</v>
      </c>
      <c r="B2390" s="2" t="s">
        <v>1231</v>
      </c>
      <c r="C2390" s="2" t="s">
        <v>23270</v>
      </c>
      <c r="D2390" s="2" t="s">
        <v>23271</v>
      </c>
      <c r="E2390" s="2" t="s">
        <v>23272</v>
      </c>
      <c r="G2390" s="3" t="s">
        <v>62</v>
      </c>
      <c r="I2390" s="3" t="s">
        <v>61</v>
      </c>
      <c r="J2390" s="3" t="s">
        <v>62</v>
      </c>
      <c r="K2390" s="3" t="s">
        <v>63</v>
      </c>
      <c r="L2390" s="2" t="s">
        <v>23273</v>
      </c>
      <c r="M2390" s="2" t="s">
        <v>23274</v>
      </c>
      <c r="N2390" s="3" t="s">
        <v>2566</v>
      </c>
      <c r="P2390" s="3" t="s">
        <v>64</v>
      </c>
      <c r="Q2390" s="2" t="s">
        <v>23275</v>
      </c>
      <c r="R2390" s="3" t="s">
        <v>13065</v>
      </c>
      <c r="S2390" s="4">
        <v>11</v>
      </c>
      <c r="T2390" s="4">
        <v>26</v>
      </c>
      <c r="U2390" s="5" t="s">
        <v>20076</v>
      </c>
      <c r="V2390" s="5" t="s">
        <v>10046</v>
      </c>
      <c r="W2390" s="5" t="s">
        <v>67</v>
      </c>
      <c r="X2390" s="5" t="s">
        <v>67</v>
      </c>
      <c r="Y2390" s="4">
        <v>344</v>
      </c>
      <c r="Z2390" s="4">
        <v>30</v>
      </c>
      <c r="AA2390" s="4">
        <v>36</v>
      </c>
      <c r="AB2390" s="4">
        <v>2</v>
      </c>
      <c r="AC2390" s="4">
        <v>8</v>
      </c>
      <c r="AD2390" s="4">
        <v>101</v>
      </c>
      <c r="AE2390" s="4">
        <v>105</v>
      </c>
      <c r="AF2390" s="4">
        <v>1</v>
      </c>
      <c r="AG2390" s="4">
        <v>5</v>
      </c>
      <c r="AH2390" s="4">
        <v>83</v>
      </c>
      <c r="AI2390" s="4">
        <v>84</v>
      </c>
      <c r="AJ2390" s="4">
        <v>22</v>
      </c>
      <c r="AK2390" s="4">
        <v>26</v>
      </c>
      <c r="AL2390" s="4">
        <v>39</v>
      </c>
      <c r="AM2390" s="4">
        <v>39</v>
      </c>
      <c r="AN2390" s="4">
        <v>0</v>
      </c>
      <c r="AO2390" s="4">
        <v>0</v>
      </c>
      <c r="AP2390" s="4">
        <v>27</v>
      </c>
      <c r="AQ2390" s="4">
        <v>30</v>
      </c>
      <c r="AR2390" s="3" t="s">
        <v>62</v>
      </c>
      <c r="AS2390" s="3" t="s">
        <v>62</v>
      </c>
      <c r="AT2390" s="3" t="s">
        <v>61</v>
      </c>
      <c r="AU2390" s="6" t="str">
        <f>HYPERLINK("http://catalog.hathitrust.org/Record/000016636","HathiTrust Record")</f>
        <v>HathiTrust Record</v>
      </c>
      <c r="AV2390" s="6" t="str">
        <f>HYPERLINK("http://mcgill.on.worldcat.org/oclc/1010166","Catalog Record")</f>
        <v>Catalog Record</v>
      </c>
      <c r="AW2390" s="6" t="str">
        <f>HYPERLINK("http://www.worldcat.org/oclc/1010166","WorldCat Record")</f>
        <v>WorldCat Record</v>
      </c>
      <c r="AX2390" s="3" t="s">
        <v>23276</v>
      </c>
      <c r="AY2390" s="3" t="s">
        <v>23277</v>
      </c>
      <c r="AZ2390" s="3" t="s">
        <v>23278</v>
      </c>
      <c r="BA2390" s="3" t="s">
        <v>23278</v>
      </c>
      <c r="BB2390" s="3" t="s">
        <v>23279</v>
      </c>
      <c r="BC2390" s="3" t="s">
        <v>102</v>
      </c>
      <c r="BD2390" s="3" t="s">
        <v>68</v>
      </c>
      <c r="BE2390" s="3" t="s">
        <v>23280</v>
      </c>
      <c r="BF2390" s="3" t="s">
        <v>23279</v>
      </c>
      <c r="BG2390" s="3" t="s">
        <v>23281</v>
      </c>
    </row>
    <row r="2391" spans="1:59" ht="58" x14ac:dyDescent="0.35">
      <c r="A2391" s="2" t="s">
        <v>89</v>
      </c>
      <c r="B2391" s="2" t="s">
        <v>90</v>
      </c>
      <c r="C2391" s="2" t="s">
        <v>23270</v>
      </c>
      <c r="D2391" s="2" t="s">
        <v>23271</v>
      </c>
      <c r="E2391" s="2" t="s">
        <v>23272</v>
      </c>
      <c r="G2391" s="3" t="s">
        <v>62</v>
      </c>
      <c r="I2391" s="3" t="s">
        <v>61</v>
      </c>
      <c r="J2391" s="3" t="s">
        <v>62</v>
      </c>
      <c r="K2391" s="3" t="s">
        <v>63</v>
      </c>
      <c r="L2391" s="2" t="s">
        <v>23273</v>
      </c>
      <c r="M2391" s="2" t="s">
        <v>23274</v>
      </c>
      <c r="N2391" s="3" t="s">
        <v>2566</v>
      </c>
      <c r="P2391" s="3" t="s">
        <v>64</v>
      </c>
      <c r="Q2391" s="2" t="s">
        <v>23275</v>
      </c>
      <c r="R2391" s="3" t="s">
        <v>13065</v>
      </c>
      <c r="S2391" s="4">
        <v>15</v>
      </c>
      <c r="T2391" s="4">
        <v>26</v>
      </c>
      <c r="U2391" s="5" t="s">
        <v>10046</v>
      </c>
      <c r="V2391" s="5" t="s">
        <v>10046</v>
      </c>
      <c r="W2391" s="5" t="s">
        <v>67</v>
      </c>
      <c r="X2391" s="5" t="s">
        <v>67</v>
      </c>
      <c r="Y2391" s="4">
        <v>344</v>
      </c>
      <c r="Z2391" s="4">
        <v>30</v>
      </c>
      <c r="AA2391" s="4">
        <v>36</v>
      </c>
      <c r="AB2391" s="4">
        <v>2</v>
      </c>
      <c r="AC2391" s="4">
        <v>8</v>
      </c>
      <c r="AD2391" s="4">
        <v>101</v>
      </c>
      <c r="AE2391" s="4">
        <v>105</v>
      </c>
      <c r="AF2391" s="4">
        <v>1</v>
      </c>
      <c r="AG2391" s="4">
        <v>5</v>
      </c>
      <c r="AH2391" s="4">
        <v>83</v>
      </c>
      <c r="AI2391" s="4">
        <v>84</v>
      </c>
      <c r="AJ2391" s="4">
        <v>22</v>
      </c>
      <c r="AK2391" s="4">
        <v>26</v>
      </c>
      <c r="AL2391" s="4">
        <v>39</v>
      </c>
      <c r="AM2391" s="4">
        <v>39</v>
      </c>
      <c r="AN2391" s="4">
        <v>0</v>
      </c>
      <c r="AO2391" s="4">
        <v>0</v>
      </c>
      <c r="AP2391" s="4">
        <v>27</v>
      </c>
      <c r="AQ2391" s="4">
        <v>30</v>
      </c>
      <c r="AR2391" s="3" t="s">
        <v>62</v>
      </c>
      <c r="AS2391" s="3" t="s">
        <v>62</v>
      </c>
      <c r="AT2391" s="3" t="s">
        <v>61</v>
      </c>
      <c r="AU2391" s="6" t="str">
        <f>HYPERLINK("http://catalog.hathitrust.org/Record/000016636","HathiTrust Record")</f>
        <v>HathiTrust Record</v>
      </c>
      <c r="AV2391" s="6" t="str">
        <f>HYPERLINK("http://mcgill.on.worldcat.org/oclc/1010166","Catalog Record")</f>
        <v>Catalog Record</v>
      </c>
      <c r="AW2391" s="6" t="str">
        <f>HYPERLINK("http://www.worldcat.org/oclc/1010166","WorldCat Record")</f>
        <v>WorldCat Record</v>
      </c>
      <c r="AX2391" s="3" t="s">
        <v>23276</v>
      </c>
      <c r="AY2391" s="3" t="s">
        <v>23277</v>
      </c>
      <c r="AZ2391" s="3" t="s">
        <v>23278</v>
      </c>
      <c r="BA2391" s="3" t="s">
        <v>23278</v>
      </c>
      <c r="BB2391" s="3" t="s">
        <v>23282</v>
      </c>
      <c r="BC2391" s="3" t="s">
        <v>102</v>
      </c>
      <c r="BD2391" s="3" t="s">
        <v>68</v>
      </c>
      <c r="BE2391" s="3" t="s">
        <v>23280</v>
      </c>
      <c r="BF2391" s="3" t="s">
        <v>23282</v>
      </c>
      <c r="BG2391" s="3" t="s">
        <v>23283</v>
      </c>
    </row>
    <row r="2392" spans="1:59" ht="58" x14ac:dyDescent="0.35">
      <c r="A2392" s="2" t="s">
        <v>89</v>
      </c>
      <c r="B2392" s="2" t="s">
        <v>90</v>
      </c>
      <c r="C2392" s="2" t="s">
        <v>23284</v>
      </c>
      <c r="D2392" s="2" t="s">
        <v>23285</v>
      </c>
      <c r="E2392" s="2" t="s">
        <v>23286</v>
      </c>
      <c r="G2392" s="3" t="s">
        <v>62</v>
      </c>
      <c r="I2392" s="3" t="s">
        <v>62</v>
      </c>
      <c r="J2392" s="3" t="s">
        <v>62</v>
      </c>
      <c r="K2392" s="3" t="s">
        <v>63</v>
      </c>
      <c r="L2392" s="2" t="s">
        <v>23287</v>
      </c>
      <c r="M2392" s="2" t="s">
        <v>23288</v>
      </c>
      <c r="N2392" s="3" t="s">
        <v>568</v>
      </c>
      <c r="P2392" s="3" t="s">
        <v>64</v>
      </c>
      <c r="Q2392" s="2" t="s">
        <v>23289</v>
      </c>
      <c r="R2392" s="3" t="s">
        <v>13065</v>
      </c>
      <c r="S2392" s="4">
        <v>15</v>
      </c>
      <c r="T2392" s="4">
        <v>15</v>
      </c>
      <c r="U2392" s="5" t="s">
        <v>22624</v>
      </c>
      <c r="V2392" s="5" t="s">
        <v>22624</v>
      </c>
      <c r="W2392" s="5" t="s">
        <v>67</v>
      </c>
      <c r="X2392" s="5" t="s">
        <v>67</v>
      </c>
      <c r="Y2392" s="4">
        <v>370</v>
      </c>
      <c r="Z2392" s="4">
        <v>25</v>
      </c>
      <c r="AA2392" s="4">
        <v>63</v>
      </c>
      <c r="AB2392" s="4">
        <v>1</v>
      </c>
      <c r="AC2392" s="4">
        <v>9</v>
      </c>
      <c r="AD2392" s="4">
        <v>98</v>
      </c>
      <c r="AE2392" s="4">
        <v>127</v>
      </c>
      <c r="AF2392" s="4">
        <v>0</v>
      </c>
      <c r="AG2392" s="4">
        <v>4</v>
      </c>
      <c r="AH2392" s="4">
        <v>81</v>
      </c>
      <c r="AI2392" s="4">
        <v>100</v>
      </c>
      <c r="AJ2392" s="4">
        <v>11</v>
      </c>
      <c r="AK2392" s="4">
        <v>19</v>
      </c>
      <c r="AL2392" s="4">
        <v>47</v>
      </c>
      <c r="AM2392" s="4">
        <v>54</v>
      </c>
      <c r="AN2392" s="4">
        <v>0</v>
      </c>
      <c r="AO2392" s="4">
        <v>0</v>
      </c>
      <c r="AP2392" s="4">
        <v>20</v>
      </c>
      <c r="AQ2392" s="4">
        <v>32</v>
      </c>
      <c r="AR2392" s="3" t="s">
        <v>62</v>
      </c>
      <c r="AS2392" s="3" t="s">
        <v>62</v>
      </c>
      <c r="AT2392" s="3" t="s">
        <v>62</v>
      </c>
      <c r="AV2392" s="6" t="str">
        <f>HYPERLINK("http://mcgill.on.worldcat.org/oclc/42578667","Catalog Record")</f>
        <v>Catalog Record</v>
      </c>
      <c r="AW2392" s="6" t="str">
        <f>HYPERLINK("http://www.worldcat.org/oclc/42578667","WorldCat Record")</f>
        <v>WorldCat Record</v>
      </c>
      <c r="AX2392" s="3" t="s">
        <v>23290</v>
      </c>
      <c r="AY2392" s="3" t="s">
        <v>23291</v>
      </c>
      <c r="AZ2392" s="3" t="s">
        <v>23292</v>
      </c>
      <c r="BA2392" s="3" t="s">
        <v>23292</v>
      </c>
      <c r="BB2392" s="3" t="s">
        <v>23293</v>
      </c>
      <c r="BC2392" s="3" t="s">
        <v>102</v>
      </c>
      <c r="BD2392" s="3" t="s">
        <v>68</v>
      </c>
      <c r="BE2392" s="3" t="s">
        <v>23294</v>
      </c>
      <c r="BF2392" s="3" t="s">
        <v>23293</v>
      </c>
      <c r="BG2392" s="3" t="s">
        <v>23295</v>
      </c>
    </row>
    <row r="2393" spans="1:59" ht="58" x14ac:dyDescent="0.35">
      <c r="A2393" s="2" t="s">
        <v>89</v>
      </c>
      <c r="B2393" s="2" t="s">
        <v>90</v>
      </c>
      <c r="C2393" s="2" t="s">
        <v>23296</v>
      </c>
      <c r="D2393" s="2" t="s">
        <v>23297</v>
      </c>
      <c r="E2393" s="2" t="s">
        <v>23298</v>
      </c>
      <c r="G2393" s="3" t="s">
        <v>62</v>
      </c>
      <c r="I2393" s="3" t="s">
        <v>62</v>
      </c>
      <c r="J2393" s="3" t="s">
        <v>62</v>
      </c>
      <c r="K2393" s="3" t="s">
        <v>63</v>
      </c>
      <c r="L2393" s="2" t="s">
        <v>23287</v>
      </c>
      <c r="M2393" s="2" t="s">
        <v>23222</v>
      </c>
      <c r="N2393" s="3" t="s">
        <v>3062</v>
      </c>
      <c r="P2393" s="3" t="s">
        <v>64</v>
      </c>
      <c r="Q2393" s="2" t="s">
        <v>23299</v>
      </c>
      <c r="R2393" s="3" t="s">
        <v>13065</v>
      </c>
      <c r="S2393" s="4">
        <v>53</v>
      </c>
      <c r="T2393" s="4">
        <v>53</v>
      </c>
      <c r="U2393" s="5" t="s">
        <v>18535</v>
      </c>
      <c r="V2393" s="5" t="s">
        <v>18535</v>
      </c>
      <c r="W2393" s="5" t="s">
        <v>67</v>
      </c>
      <c r="X2393" s="5" t="s">
        <v>67</v>
      </c>
      <c r="Y2393" s="4">
        <v>553</v>
      </c>
      <c r="Z2393" s="4">
        <v>28</v>
      </c>
      <c r="AA2393" s="4">
        <v>59</v>
      </c>
      <c r="AB2393" s="4">
        <v>2</v>
      </c>
      <c r="AC2393" s="4">
        <v>6</v>
      </c>
      <c r="AD2393" s="4">
        <v>113</v>
      </c>
      <c r="AE2393" s="4">
        <v>128</v>
      </c>
      <c r="AF2393" s="4">
        <v>1</v>
      </c>
      <c r="AG2393" s="4">
        <v>1</v>
      </c>
      <c r="AH2393" s="4">
        <v>95</v>
      </c>
      <c r="AI2393" s="4">
        <v>103</v>
      </c>
      <c r="AJ2393" s="4">
        <v>12</v>
      </c>
      <c r="AK2393" s="4">
        <v>18</v>
      </c>
      <c r="AL2393" s="4">
        <v>55</v>
      </c>
      <c r="AM2393" s="4">
        <v>56</v>
      </c>
      <c r="AN2393" s="4">
        <v>0</v>
      </c>
      <c r="AO2393" s="4">
        <v>0</v>
      </c>
      <c r="AP2393" s="4">
        <v>21</v>
      </c>
      <c r="AQ2393" s="4">
        <v>31</v>
      </c>
      <c r="AR2393" s="3" t="s">
        <v>62</v>
      </c>
      <c r="AS2393" s="3" t="s">
        <v>62</v>
      </c>
      <c r="AT2393" s="3" t="s">
        <v>62</v>
      </c>
      <c r="AV2393" s="6" t="str">
        <f>HYPERLINK("http://mcgill.on.worldcat.org/oclc/24068617","Catalog Record")</f>
        <v>Catalog Record</v>
      </c>
      <c r="AW2393" s="6" t="str">
        <f>HYPERLINK("http://www.worldcat.org/oclc/24068617","WorldCat Record")</f>
        <v>WorldCat Record</v>
      </c>
      <c r="AX2393" s="3" t="s">
        <v>23300</v>
      </c>
      <c r="AY2393" s="3" t="s">
        <v>23301</v>
      </c>
      <c r="AZ2393" s="3" t="s">
        <v>23302</v>
      </c>
      <c r="BA2393" s="3" t="s">
        <v>23302</v>
      </c>
      <c r="BB2393" s="3" t="s">
        <v>23303</v>
      </c>
      <c r="BC2393" s="3" t="s">
        <v>102</v>
      </c>
      <c r="BD2393" s="3" t="s">
        <v>68</v>
      </c>
      <c r="BE2393" s="3" t="s">
        <v>23304</v>
      </c>
      <c r="BF2393" s="3" t="s">
        <v>23303</v>
      </c>
      <c r="BG2393" s="3" t="s">
        <v>23305</v>
      </c>
    </row>
    <row r="2394" spans="1:59" ht="87" x14ac:dyDescent="0.35">
      <c r="A2394" s="2" t="s">
        <v>89</v>
      </c>
      <c r="B2394" s="2" t="s">
        <v>90</v>
      </c>
      <c r="C2394" s="2" t="s">
        <v>23306</v>
      </c>
      <c r="D2394" s="2" t="s">
        <v>23307</v>
      </c>
      <c r="E2394" s="2" t="s">
        <v>23308</v>
      </c>
      <c r="F2394" s="3" t="s">
        <v>23309</v>
      </c>
      <c r="G2394" s="3" t="s">
        <v>62</v>
      </c>
      <c r="I2394" s="3" t="s">
        <v>62</v>
      </c>
      <c r="J2394" s="3" t="s">
        <v>62</v>
      </c>
      <c r="K2394" s="3" t="s">
        <v>63</v>
      </c>
      <c r="L2394" s="2" t="s">
        <v>22251</v>
      </c>
      <c r="M2394" s="2" t="s">
        <v>23310</v>
      </c>
      <c r="N2394" s="3" t="s">
        <v>1195</v>
      </c>
      <c r="O2394" s="2" t="s">
        <v>23311</v>
      </c>
      <c r="P2394" s="3" t="s">
        <v>64</v>
      </c>
      <c r="R2394" s="3" t="s">
        <v>13065</v>
      </c>
      <c r="S2394" s="4">
        <v>11</v>
      </c>
      <c r="T2394" s="4">
        <v>11</v>
      </c>
      <c r="U2394" s="5" t="s">
        <v>22944</v>
      </c>
      <c r="V2394" s="5" t="s">
        <v>22944</v>
      </c>
      <c r="W2394" s="5" t="s">
        <v>67</v>
      </c>
      <c r="X2394" s="5" t="s">
        <v>67</v>
      </c>
      <c r="Y2394" s="4">
        <v>112</v>
      </c>
      <c r="Z2394" s="4">
        <v>7</v>
      </c>
      <c r="AA2394" s="4">
        <v>104</v>
      </c>
      <c r="AB2394" s="4">
        <v>1</v>
      </c>
      <c r="AC2394" s="4">
        <v>18</v>
      </c>
      <c r="AD2394" s="4">
        <v>39</v>
      </c>
      <c r="AE2394" s="4">
        <v>121</v>
      </c>
      <c r="AF2394" s="4">
        <v>0</v>
      </c>
      <c r="AG2394" s="4">
        <v>9</v>
      </c>
      <c r="AH2394" s="4">
        <v>35</v>
      </c>
      <c r="AI2394" s="4">
        <v>81</v>
      </c>
      <c r="AJ2394" s="4">
        <v>4</v>
      </c>
      <c r="AK2394" s="4">
        <v>23</v>
      </c>
      <c r="AL2394" s="4">
        <v>23</v>
      </c>
      <c r="AM2394" s="4">
        <v>43</v>
      </c>
      <c r="AN2394" s="4">
        <v>0</v>
      </c>
      <c r="AO2394" s="4">
        <v>0</v>
      </c>
      <c r="AP2394" s="4">
        <v>5</v>
      </c>
      <c r="AQ2394" s="4">
        <v>48</v>
      </c>
      <c r="AR2394" s="3" t="s">
        <v>62</v>
      </c>
      <c r="AS2394" s="3" t="s">
        <v>62</v>
      </c>
      <c r="AT2394" s="3" t="s">
        <v>62</v>
      </c>
      <c r="AV2394" s="6" t="str">
        <f>HYPERLINK("http://mcgill.on.worldcat.org/oclc/62533974","Catalog Record")</f>
        <v>Catalog Record</v>
      </c>
      <c r="AW2394" s="6" t="str">
        <f>HYPERLINK("http://www.worldcat.org/oclc/62533974","WorldCat Record")</f>
        <v>WorldCat Record</v>
      </c>
      <c r="AX2394" s="3" t="s">
        <v>23312</v>
      </c>
      <c r="AY2394" s="3" t="s">
        <v>23313</v>
      </c>
      <c r="AZ2394" s="3" t="s">
        <v>23314</v>
      </c>
      <c r="BA2394" s="3" t="s">
        <v>23314</v>
      </c>
      <c r="BB2394" s="3" t="s">
        <v>23315</v>
      </c>
      <c r="BC2394" s="3" t="s">
        <v>102</v>
      </c>
      <c r="BD2394" s="3" t="s">
        <v>68</v>
      </c>
      <c r="BE2394" s="3" t="s">
        <v>23316</v>
      </c>
      <c r="BF2394" s="3" t="s">
        <v>23315</v>
      </c>
      <c r="BG2394" s="3" t="s">
        <v>23317</v>
      </c>
    </row>
    <row r="2395" spans="1:59" ht="58" x14ac:dyDescent="0.35">
      <c r="A2395" s="2" t="s">
        <v>89</v>
      </c>
      <c r="B2395" s="2" t="s">
        <v>90</v>
      </c>
      <c r="C2395" s="2" t="s">
        <v>23318</v>
      </c>
      <c r="D2395" s="2" t="s">
        <v>23319</v>
      </c>
      <c r="E2395" s="2" t="s">
        <v>23320</v>
      </c>
      <c r="G2395" s="3" t="s">
        <v>62</v>
      </c>
      <c r="I2395" s="3" t="s">
        <v>62</v>
      </c>
      <c r="J2395" s="3" t="s">
        <v>62</v>
      </c>
      <c r="K2395" s="3" t="s">
        <v>63</v>
      </c>
      <c r="L2395" s="2" t="s">
        <v>23321</v>
      </c>
      <c r="M2395" s="2" t="s">
        <v>23322</v>
      </c>
      <c r="N2395" s="3" t="s">
        <v>741</v>
      </c>
      <c r="P2395" s="3" t="s">
        <v>64</v>
      </c>
      <c r="Q2395" s="2" t="s">
        <v>23323</v>
      </c>
      <c r="R2395" s="3" t="s">
        <v>13065</v>
      </c>
      <c r="S2395" s="4">
        <v>2</v>
      </c>
      <c r="T2395" s="4">
        <v>2</v>
      </c>
      <c r="W2395" s="5" t="s">
        <v>67</v>
      </c>
      <c r="X2395" s="5" t="s">
        <v>67</v>
      </c>
      <c r="Y2395" s="4">
        <v>99</v>
      </c>
      <c r="Z2395" s="4">
        <v>5</v>
      </c>
      <c r="AA2395" s="4">
        <v>8</v>
      </c>
      <c r="AB2395" s="4">
        <v>1</v>
      </c>
      <c r="AC2395" s="4">
        <v>2</v>
      </c>
      <c r="AD2395" s="4">
        <v>41</v>
      </c>
      <c r="AE2395" s="4">
        <v>47</v>
      </c>
      <c r="AF2395" s="4">
        <v>0</v>
      </c>
      <c r="AG2395" s="4">
        <v>1</v>
      </c>
      <c r="AH2395" s="4">
        <v>40</v>
      </c>
      <c r="AI2395" s="4">
        <v>43</v>
      </c>
      <c r="AJ2395" s="4">
        <v>4</v>
      </c>
      <c r="AK2395" s="4">
        <v>7</v>
      </c>
      <c r="AL2395" s="4">
        <v>26</v>
      </c>
      <c r="AM2395" s="4">
        <v>29</v>
      </c>
      <c r="AN2395" s="4">
        <v>0</v>
      </c>
      <c r="AO2395" s="4">
        <v>0</v>
      </c>
      <c r="AP2395" s="4">
        <v>4</v>
      </c>
      <c r="AQ2395" s="4">
        <v>7</v>
      </c>
      <c r="AR2395" s="3" t="s">
        <v>62</v>
      </c>
      <c r="AS2395" s="3" t="s">
        <v>62</v>
      </c>
      <c r="AT2395" s="3" t="s">
        <v>62</v>
      </c>
      <c r="AV2395" s="6" t="str">
        <f>HYPERLINK("http://mcgill.on.worldcat.org/oclc/1031041736","Catalog Record")</f>
        <v>Catalog Record</v>
      </c>
      <c r="AW2395" s="6" t="str">
        <f>HYPERLINK("http://www.worldcat.org/oclc/1031041736","WorldCat Record")</f>
        <v>WorldCat Record</v>
      </c>
      <c r="AX2395" s="3" t="s">
        <v>23324</v>
      </c>
      <c r="AY2395" s="3" t="s">
        <v>23325</v>
      </c>
      <c r="AZ2395" s="3" t="s">
        <v>23326</v>
      </c>
      <c r="BA2395" s="3" t="s">
        <v>23326</v>
      </c>
      <c r="BB2395" s="3" t="s">
        <v>23327</v>
      </c>
      <c r="BC2395" s="3" t="s">
        <v>102</v>
      </c>
      <c r="BD2395" s="3" t="s">
        <v>231</v>
      </c>
      <c r="BE2395" s="3" t="s">
        <v>23328</v>
      </c>
      <c r="BF2395" s="3" t="s">
        <v>23327</v>
      </c>
      <c r="BG2395" s="3" t="s">
        <v>23329</v>
      </c>
    </row>
    <row r="2396" spans="1:59" ht="58" x14ac:dyDescent="0.35">
      <c r="A2396" s="2" t="s">
        <v>89</v>
      </c>
      <c r="B2396" s="2" t="s">
        <v>90</v>
      </c>
      <c r="C2396" s="2" t="s">
        <v>23330</v>
      </c>
      <c r="D2396" s="2" t="s">
        <v>23331</v>
      </c>
      <c r="E2396" s="2" t="s">
        <v>23332</v>
      </c>
      <c r="G2396" s="3" t="s">
        <v>62</v>
      </c>
      <c r="I2396" s="3" t="s">
        <v>62</v>
      </c>
      <c r="J2396" s="3" t="s">
        <v>62</v>
      </c>
      <c r="K2396" s="3" t="s">
        <v>63</v>
      </c>
      <c r="L2396" s="2" t="s">
        <v>23333</v>
      </c>
      <c r="M2396" s="2" t="s">
        <v>2666</v>
      </c>
      <c r="N2396" s="3" t="s">
        <v>438</v>
      </c>
      <c r="P2396" s="3" t="s">
        <v>64</v>
      </c>
      <c r="Q2396" s="2" t="s">
        <v>23334</v>
      </c>
      <c r="R2396" s="3" t="s">
        <v>13065</v>
      </c>
      <c r="S2396" s="4">
        <v>49</v>
      </c>
      <c r="T2396" s="4">
        <v>49</v>
      </c>
      <c r="U2396" s="5" t="s">
        <v>9908</v>
      </c>
      <c r="V2396" s="5" t="s">
        <v>9908</v>
      </c>
      <c r="W2396" s="5" t="s">
        <v>67</v>
      </c>
      <c r="X2396" s="5" t="s">
        <v>67</v>
      </c>
      <c r="Y2396" s="4">
        <v>508</v>
      </c>
      <c r="Z2396" s="4">
        <v>29</v>
      </c>
      <c r="AA2396" s="4">
        <v>42</v>
      </c>
      <c r="AB2396" s="4">
        <v>2</v>
      </c>
      <c r="AC2396" s="4">
        <v>9</v>
      </c>
      <c r="AD2396" s="4">
        <v>112</v>
      </c>
      <c r="AE2396" s="4">
        <v>123</v>
      </c>
      <c r="AF2396" s="4">
        <v>1</v>
      </c>
      <c r="AG2396" s="4">
        <v>6</v>
      </c>
      <c r="AH2396" s="4">
        <v>93</v>
      </c>
      <c r="AI2396" s="4">
        <v>96</v>
      </c>
      <c r="AJ2396" s="4">
        <v>15</v>
      </c>
      <c r="AK2396" s="4">
        <v>21</v>
      </c>
      <c r="AL2396" s="4">
        <v>53</v>
      </c>
      <c r="AM2396" s="4">
        <v>54</v>
      </c>
      <c r="AN2396" s="4">
        <v>0</v>
      </c>
      <c r="AO2396" s="4">
        <v>0</v>
      </c>
      <c r="AP2396" s="4">
        <v>26</v>
      </c>
      <c r="AQ2396" s="4">
        <v>35</v>
      </c>
      <c r="AR2396" s="3" t="s">
        <v>62</v>
      </c>
      <c r="AS2396" s="3" t="s">
        <v>62</v>
      </c>
      <c r="AT2396" s="3" t="s">
        <v>62</v>
      </c>
      <c r="AV2396" s="6" t="str">
        <f>HYPERLINK("http://mcgill.on.worldcat.org/oclc/20825260","Catalog Record")</f>
        <v>Catalog Record</v>
      </c>
      <c r="AW2396" s="6" t="str">
        <f>HYPERLINK("http://www.worldcat.org/oclc/20825260","WorldCat Record")</f>
        <v>WorldCat Record</v>
      </c>
      <c r="AX2396" s="3" t="s">
        <v>23335</v>
      </c>
      <c r="AY2396" s="3" t="s">
        <v>23336</v>
      </c>
      <c r="AZ2396" s="3" t="s">
        <v>23337</v>
      </c>
      <c r="BA2396" s="3" t="s">
        <v>23337</v>
      </c>
      <c r="BB2396" s="3" t="s">
        <v>23338</v>
      </c>
      <c r="BC2396" s="3" t="s">
        <v>102</v>
      </c>
      <c r="BD2396" s="3" t="s">
        <v>68</v>
      </c>
      <c r="BE2396" s="3" t="s">
        <v>23339</v>
      </c>
      <c r="BF2396" s="3" t="s">
        <v>23338</v>
      </c>
      <c r="BG2396" s="3" t="s">
        <v>23340</v>
      </c>
    </row>
    <row r="2397" spans="1:59" ht="58" x14ac:dyDescent="0.35">
      <c r="A2397" s="2" t="s">
        <v>89</v>
      </c>
      <c r="B2397" s="2" t="s">
        <v>90</v>
      </c>
      <c r="C2397" s="2" t="s">
        <v>23341</v>
      </c>
      <c r="D2397" s="2" t="s">
        <v>23342</v>
      </c>
      <c r="E2397" s="2" t="s">
        <v>23343</v>
      </c>
      <c r="G2397" s="3" t="s">
        <v>62</v>
      </c>
      <c r="I2397" s="3" t="s">
        <v>61</v>
      </c>
      <c r="J2397" s="3" t="s">
        <v>62</v>
      </c>
      <c r="K2397" s="3" t="s">
        <v>63</v>
      </c>
      <c r="L2397" s="2" t="s">
        <v>23344</v>
      </c>
      <c r="M2397" s="2" t="s">
        <v>23345</v>
      </c>
      <c r="N2397" s="3" t="s">
        <v>481</v>
      </c>
      <c r="P2397" s="3" t="s">
        <v>64</v>
      </c>
      <c r="Q2397" s="2" t="s">
        <v>23346</v>
      </c>
      <c r="R2397" s="3" t="s">
        <v>13065</v>
      </c>
      <c r="S2397" s="4">
        <v>33</v>
      </c>
      <c r="T2397" s="4">
        <v>92</v>
      </c>
      <c r="U2397" s="5" t="s">
        <v>4783</v>
      </c>
      <c r="V2397" s="5" t="s">
        <v>14149</v>
      </c>
      <c r="W2397" s="5" t="s">
        <v>67</v>
      </c>
      <c r="X2397" s="5" t="s">
        <v>67</v>
      </c>
      <c r="Y2397" s="4">
        <v>499</v>
      </c>
      <c r="Z2397" s="4">
        <v>22</v>
      </c>
      <c r="AA2397" s="4">
        <v>30</v>
      </c>
      <c r="AB2397" s="4">
        <v>2</v>
      </c>
      <c r="AC2397" s="4">
        <v>10</v>
      </c>
      <c r="AD2397" s="4">
        <v>102</v>
      </c>
      <c r="AE2397" s="4">
        <v>108</v>
      </c>
      <c r="AF2397" s="4">
        <v>1</v>
      </c>
      <c r="AG2397" s="4">
        <v>7</v>
      </c>
      <c r="AH2397" s="4">
        <v>89</v>
      </c>
      <c r="AI2397" s="4">
        <v>90</v>
      </c>
      <c r="AJ2397" s="4">
        <v>15</v>
      </c>
      <c r="AK2397" s="4">
        <v>19</v>
      </c>
      <c r="AL2397" s="4">
        <v>49</v>
      </c>
      <c r="AM2397" s="4">
        <v>49</v>
      </c>
      <c r="AN2397" s="4">
        <v>0</v>
      </c>
      <c r="AO2397" s="4">
        <v>0</v>
      </c>
      <c r="AP2397" s="4">
        <v>19</v>
      </c>
      <c r="AQ2397" s="4">
        <v>24</v>
      </c>
      <c r="AR2397" s="3" t="s">
        <v>62</v>
      </c>
      <c r="AS2397" s="3" t="s">
        <v>62</v>
      </c>
      <c r="AT2397" s="3" t="s">
        <v>62</v>
      </c>
      <c r="AV2397" s="6" t="str">
        <f>HYPERLINK("http://mcgill.on.worldcat.org/oclc/35627509","Catalog Record")</f>
        <v>Catalog Record</v>
      </c>
      <c r="AW2397" s="6" t="str">
        <f>HYPERLINK("http://www.worldcat.org/oclc/35627509","WorldCat Record")</f>
        <v>WorldCat Record</v>
      </c>
      <c r="AX2397" s="3" t="s">
        <v>23347</v>
      </c>
      <c r="AY2397" s="3" t="s">
        <v>23348</v>
      </c>
      <c r="AZ2397" s="3" t="s">
        <v>23349</v>
      </c>
      <c r="BA2397" s="3" t="s">
        <v>23349</v>
      </c>
      <c r="BB2397" s="3" t="s">
        <v>23350</v>
      </c>
      <c r="BC2397" s="3" t="s">
        <v>102</v>
      </c>
      <c r="BD2397" s="3" t="s">
        <v>231</v>
      </c>
      <c r="BE2397" s="3" t="s">
        <v>23351</v>
      </c>
      <c r="BF2397" s="3" t="s">
        <v>23350</v>
      </c>
      <c r="BG2397" s="3" t="s">
        <v>23352</v>
      </c>
    </row>
    <row r="2398" spans="1:59" ht="58" x14ac:dyDescent="0.35">
      <c r="A2398" s="2" t="s">
        <v>89</v>
      </c>
      <c r="B2398" s="2" t="s">
        <v>90</v>
      </c>
      <c r="C2398" s="2" t="s">
        <v>23341</v>
      </c>
      <c r="D2398" s="2" t="s">
        <v>23342</v>
      </c>
      <c r="E2398" s="2" t="s">
        <v>23343</v>
      </c>
      <c r="G2398" s="3" t="s">
        <v>62</v>
      </c>
      <c r="I2398" s="3" t="s">
        <v>61</v>
      </c>
      <c r="J2398" s="3" t="s">
        <v>62</v>
      </c>
      <c r="K2398" s="3" t="s">
        <v>63</v>
      </c>
      <c r="L2398" s="2" t="s">
        <v>23344</v>
      </c>
      <c r="M2398" s="2" t="s">
        <v>23345</v>
      </c>
      <c r="N2398" s="3" t="s">
        <v>481</v>
      </c>
      <c r="P2398" s="3" t="s">
        <v>64</v>
      </c>
      <c r="Q2398" s="2" t="s">
        <v>23346</v>
      </c>
      <c r="R2398" s="3" t="s">
        <v>13065</v>
      </c>
      <c r="S2398" s="4">
        <v>59</v>
      </c>
      <c r="T2398" s="4">
        <v>92</v>
      </c>
      <c r="U2398" s="5" t="s">
        <v>14149</v>
      </c>
      <c r="V2398" s="5" t="s">
        <v>14149</v>
      </c>
      <c r="W2398" s="5" t="s">
        <v>67</v>
      </c>
      <c r="X2398" s="5" t="s">
        <v>67</v>
      </c>
      <c r="Y2398" s="4">
        <v>499</v>
      </c>
      <c r="Z2398" s="4">
        <v>22</v>
      </c>
      <c r="AA2398" s="4">
        <v>30</v>
      </c>
      <c r="AB2398" s="4">
        <v>2</v>
      </c>
      <c r="AC2398" s="4">
        <v>10</v>
      </c>
      <c r="AD2398" s="4">
        <v>102</v>
      </c>
      <c r="AE2398" s="4">
        <v>108</v>
      </c>
      <c r="AF2398" s="4">
        <v>1</v>
      </c>
      <c r="AG2398" s="4">
        <v>7</v>
      </c>
      <c r="AH2398" s="4">
        <v>89</v>
      </c>
      <c r="AI2398" s="4">
        <v>90</v>
      </c>
      <c r="AJ2398" s="4">
        <v>15</v>
      </c>
      <c r="AK2398" s="4">
        <v>19</v>
      </c>
      <c r="AL2398" s="4">
        <v>49</v>
      </c>
      <c r="AM2398" s="4">
        <v>49</v>
      </c>
      <c r="AN2398" s="4">
        <v>0</v>
      </c>
      <c r="AO2398" s="4">
        <v>0</v>
      </c>
      <c r="AP2398" s="4">
        <v>19</v>
      </c>
      <c r="AQ2398" s="4">
        <v>24</v>
      </c>
      <c r="AR2398" s="3" t="s">
        <v>62</v>
      </c>
      <c r="AS2398" s="3" t="s">
        <v>62</v>
      </c>
      <c r="AT2398" s="3" t="s">
        <v>62</v>
      </c>
      <c r="AV2398" s="6" t="str">
        <f>HYPERLINK("http://mcgill.on.worldcat.org/oclc/35627509","Catalog Record")</f>
        <v>Catalog Record</v>
      </c>
      <c r="AW2398" s="6" t="str">
        <f>HYPERLINK("http://www.worldcat.org/oclc/35627509","WorldCat Record")</f>
        <v>WorldCat Record</v>
      </c>
      <c r="AX2398" s="3" t="s">
        <v>23347</v>
      </c>
      <c r="AY2398" s="3" t="s">
        <v>23348</v>
      </c>
      <c r="AZ2398" s="3" t="s">
        <v>23349</v>
      </c>
      <c r="BA2398" s="3" t="s">
        <v>23349</v>
      </c>
      <c r="BB2398" s="3" t="s">
        <v>23353</v>
      </c>
      <c r="BC2398" s="3" t="s">
        <v>102</v>
      </c>
      <c r="BD2398" s="3" t="s">
        <v>231</v>
      </c>
      <c r="BE2398" s="3" t="s">
        <v>23351</v>
      </c>
      <c r="BF2398" s="3" t="s">
        <v>23353</v>
      </c>
      <c r="BG2398" s="3" t="s">
        <v>23354</v>
      </c>
    </row>
    <row r="2399" spans="1:59" ht="58" x14ac:dyDescent="0.35">
      <c r="A2399" s="2" t="s">
        <v>89</v>
      </c>
      <c r="B2399" s="2" t="s">
        <v>90</v>
      </c>
      <c r="C2399" s="2" t="s">
        <v>23355</v>
      </c>
      <c r="D2399" s="2" t="s">
        <v>23356</v>
      </c>
      <c r="E2399" s="2" t="s">
        <v>23357</v>
      </c>
      <c r="G2399" s="3" t="s">
        <v>62</v>
      </c>
      <c r="I2399" s="3" t="s">
        <v>61</v>
      </c>
      <c r="J2399" s="3" t="s">
        <v>61</v>
      </c>
      <c r="K2399" s="3" t="s">
        <v>63</v>
      </c>
      <c r="L2399" s="2" t="s">
        <v>22790</v>
      </c>
      <c r="M2399" s="2" t="s">
        <v>23358</v>
      </c>
      <c r="N2399" s="3" t="s">
        <v>1195</v>
      </c>
      <c r="O2399" s="2" t="s">
        <v>8443</v>
      </c>
      <c r="P2399" s="3" t="s">
        <v>64</v>
      </c>
      <c r="R2399" s="3" t="s">
        <v>13065</v>
      </c>
      <c r="S2399" s="4">
        <v>44</v>
      </c>
      <c r="T2399" s="4">
        <v>98</v>
      </c>
      <c r="U2399" s="5" t="s">
        <v>23359</v>
      </c>
      <c r="V2399" s="5" t="s">
        <v>23359</v>
      </c>
      <c r="W2399" s="5" t="s">
        <v>67</v>
      </c>
      <c r="X2399" s="5" t="s">
        <v>67</v>
      </c>
      <c r="Y2399" s="4">
        <v>307</v>
      </c>
      <c r="Z2399" s="4">
        <v>18</v>
      </c>
      <c r="AA2399" s="4">
        <v>38</v>
      </c>
      <c r="AB2399" s="4">
        <v>2</v>
      </c>
      <c r="AC2399" s="4">
        <v>10</v>
      </c>
      <c r="AD2399" s="4">
        <v>90</v>
      </c>
      <c r="AE2399" s="4">
        <v>118</v>
      </c>
      <c r="AF2399" s="4">
        <v>1</v>
      </c>
      <c r="AG2399" s="4">
        <v>7</v>
      </c>
      <c r="AH2399" s="4">
        <v>80</v>
      </c>
      <c r="AI2399" s="4">
        <v>93</v>
      </c>
      <c r="AJ2399" s="4">
        <v>12</v>
      </c>
      <c r="AK2399" s="4">
        <v>19</v>
      </c>
      <c r="AL2399" s="4">
        <v>49</v>
      </c>
      <c r="AM2399" s="4">
        <v>55</v>
      </c>
      <c r="AN2399" s="4">
        <v>0</v>
      </c>
      <c r="AO2399" s="4">
        <v>0</v>
      </c>
      <c r="AP2399" s="4">
        <v>14</v>
      </c>
      <c r="AQ2399" s="4">
        <v>30</v>
      </c>
      <c r="AR2399" s="3" t="s">
        <v>62</v>
      </c>
      <c r="AS2399" s="3" t="s">
        <v>62</v>
      </c>
      <c r="AT2399" s="3" t="s">
        <v>61</v>
      </c>
      <c r="AU2399" s="6" t="str">
        <f>HYPERLINK("http://catalog.hathitrust.org/Record/008725353","HathiTrust Record")</f>
        <v>HathiTrust Record</v>
      </c>
      <c r="AV2399" s="6" t="str">
        <f>HYPERLINK("http://mcgill.on.worldcat.org/oclc/62464715","Catalog Record")</f>
        <v>Catalog Record</v>
      </c>
      <c r="AW2399" s="6" t="str">
        <f>HYPERLINK("http://www.worldcat.org/oclc/62464715","WorldCat Record")</f>
        <v>WorldCat Record</v>
      </c>
      <c r="AX2399" s="3" t="s">
        <v>23360</v>
      </c>
      <c r="AY2399" s="3" t="s">
        <v>23361</v>
      </c>
      <c r="AZ2399" s="3" t="s">
        <v>23362</v>
      </c>
      <c r="BA2399" s="3" t="s">
        <v>23362</v>
      </c>
      <c r="BB2399" s="3" t="s">
        <v>23363</v>
      </c>
      <c r="BC2399" s="3" t="s">
        <v>102</v>
      </c>
      <c r="BD2399" s="3" t="s">
        <v>68</v>
      </c>
      <c r="BE2399" s="3" t="s">
        <v>23364</v>
      </c>
      <c r="BF2399" s="3" t="s">
        <v>23363</v>
      </c>
      <c r="BG2399" s="3" t="s">
        <v>23365</v>
      </c>
    </row>
    <row r="2400" spans="1:59" ht="58" x14ac:dyDescent="0.35">
      <c r="A2400" s="2" t="s">
        <v>89</v>
      </c>
      <c r="B2400" s="2" t="s">
        <v>90</v>
      </c>
      <c r="C2400" s="2" t="s">
        <v>23366</v>
      </c>
      <c r="D2400" s="2" t="s">
        <v>23367</v>
      </c>
      <c r="E2400" s="2" t="s">
        <v>23368</v>
      </c>
      <c r="G2400" s="3" t="s">
        <v>62</v>
      </c>
      <c r="I2400" s="3" t="s">
        <v>62</v>
      </c>
      <c r="J2400" s="3" t="s">
        <v>61</v>
      </c>
      <c r="K2400" s="3" t="s">
        <v>63</v>
      </c>
      <c r="L2400" s="2" t="s">
        <v>23369</v>
      </c>
      <c r="M2400" s="2" t="s">
        <v>6010</v>
      </c>
      <c r="N2400" s="3" t="s">
        <v>524</v>
      </c>
      <c r="P2400" s="3" t="s">
        <v>64</v>
      </c>
      <c r="Q2400" s="2" t="s">
        <v>23370</v>
      </c>
      <c r="R2400" s="3" t="s">
        <v>13065</v>
      </c>
      <c r="S2400" s="4">
        <v>48</v>
      </c>
      <c r="T2400" s="4">
        <v>48</v>
      </c>
      <c r="U2400" s="5" t="s">
        <v>3943</v>
      </c>
      <c r="V2400" s="5" t="s">
        <v>3943</v>
      </c>
      <c r="W2400" s="5" t="s">
        <v>67</v>
      </c>
      <c r="X2400" s="5" t="s">
        <v>67</v>
      </c>
      <c r="Y2400" s="4">
        <v>438</v>
      </c>
      <c r="Z2400" s="4">
        <v>24</v>
      </c>
      <c r="AA2400" s="4">
        <v>54</v>
      </c>
      <c r="AB2400" s="4">
        <v>1</v>
      </c>
      <c r="AC2400" s="4">
        <v>9</v>
      </c>
      <c r="AD2400" s="4">
        <v>99</v>
      </c>
      <c r="AE2400" s="4">
        <v>143</v>
      </c>
      <c r="AF2400" s="4">
        <v>0</v>
      </c>
      <c r="AG2400" s="4">
        <v>4</v>
      </c>
      <c r="AH2400" s="4">
        <v>86</v>
      </c>
      <c r="AI2400" s="4">
        <v>113</v>
      </c>
      <c r="AJ2400" s="4">
        <v>11</v>
      </c>
      <c r="AK2400" s="4">
        <v>24</v>
      </c>
      <c r="AL2400" s="4">
        <v>50</v>
      </c>
      <c r="AM2400" s="4">
        <v>60</v>
      </c>
      <c r="AN2400" s="4">
        <v>0</v>
      </c>
      <c r="AO2400" s="4">
        <v>0</v>
      </c>
      <c r="AP2400" s="4">
        <v>17</v>
      </c>
      <c r="AQ2400" s="4">
        <v>39</v>
      </c>
      <c r="AR2400" s="3" t="s">
        <v>62</v>
      </c>
      <c r="AS2400" s="3" t="s">
        <v>62</v>
      </c>
      <c r="AT2400" s="3" t="s">
        <v>61</v>
      </c>
      <c r="AU2400" s="6" t="str">
        <f>HYPERLINK("http://catalog.hathitrust.org/Record/003064929","HathiTrust Record")</f>
        <v>HathiTrust Record</v>
      </c>
      <c r="AV2400" s="6" t="str">
        <f>HYPERLINK("http://mcgill.on.worldcat.org/oclc/32468615","Catalog Record")</f>
        <v>Catalog Record</v>
      </c>
      <c r="AW2400" s="6" t="str">
        <f>HYPERLINK("http://www.worldcat.org/oclc/32468615","WorldCat Record")</f>
        <v>WorldCat Record</v>
      </c>
      <c r="AX2400" s="3" t="s">
        <v>23371</v>
      </c>
      <c r="AY2400" s="3" t="s">
        <v>23372</v>
      </c>
      <c r="AZ2400" s="3" t="s">
        <v>23373</v>
      </c>
      <c r="BA2400" s="3" t="s">
        <v>23373</v>
      </c>
      <c r="BB2400" s="3" t="s">
        <v>23374</v>
      </c>
      <c r="BC2400" s="3" t="s">
        <v>102</v>
      </c>
      <c r="BD2400" s="3" t="s">
        <v>68</v>
      </c>
      <c r="BE2400" s="3" t="s">
        <v>23375</v>
      </c>
      <c r="BF2400" s="3" t="s">
        <v>23374</v>
      </c>
      <c r="BG2400" s="3" t="s">
        <v>23376</v>
      </c>
    </row>
    <row r="2401" spans="1:59" ht="58" x14ac:dyDescent="0.35">
      <c r="A2401" s="2" t="s">
        <v>89</v>
      </c>
      <c r="B2401" s="2" t="s">
        <v>90</v>
      </c>
      <c r="C2401" s="2" t="s">
        <v>23377</v>
      </c>
      <c r="D2401" s="2" t="s">
        <v>23378</v>
      </c>
      <c r="E2401" s="2" t="s">
        <v>23368</v>
      </c>
      <c r="G2401" s="3" t="s">
        <v>62</v>
      </c>
      <c r="I2401" s="3" t="s">
        <v>61</v>
      </c>
      <c r="J2401" s="3" t="s">
        <v>61</v>
      </c>
      <c r="K2401" s="3" t="s">
        <v>63</v>
      </c>
      <c r="L2401" s="2" t="s">
        <v>23369</v>
      </c>
      <c r="M2401" s="2" t="s">
        <v>21791</v>
      </c>
      <c r="N2401" s="3" t="s">
        <v>596</v>
      </c>
      <c r="O2401" s="2" t="s">
        <v>2986</v>
      </c>
      <c r="P2401" s="3" t="s">
        <v>64</v>
      </c>
      <c r="Q2401" s="2" t="s">
        <v>23379</v>
      </c>
      <c r="R2401" s="3" t="s">
        <v>13065</v>
      </c>
      <c r="S2401" s="4">
        <v>18</v>
      </c>
      <c r="T2401" s="4">
        <v>69</v>
      </c>
      <c r="U2401" s="5" t="s">
        <v>22624</v>
      </c>
      <c r="V2401" s="5" t="s">
        <v>22212</v>
      </c>
      <c r="W2401" s="5" t="s">
        <v>67</v>
      </c>
      <c r="X2401" s="5" t="s">
        <v>67</v>
      </c>
      <c r="Y2401" s="4">
        <v>411</v>
      </c>
      <c r="Z2401" s="4">
        <v>26</v>
      </c>
      <c r="AA2401" s="4">
        <v>54</v>
      </c>
      <c r="AB2401" s="4">
        <v>2</v>
      </c>
      <c r="AC2401" s="4">
        <v>9</v>
      </c>
      <c r="AD2401" s="4">
        <v>97</v>
      </c>
      <c r="AE2401" s="4">
        <v>143</v>
      </c>
      <c r="AF2401" s="4">
        <v>0</v>
      </c>
      <c r="AG2401" s="4">
        <v>4</v>
      </c>
      <c r="AH2401" s="4">
        <v>81</v>
      </c>
      <c r="AI2401" s="4">
        <v>113</v>
      </c>
      <c r="AJ2401" s="4">
        <v>12</v>
      </c>
      <c r="AK2401" s="4">
        <v>24</v>
      </c>
      <c r="AL2401" s="4">
        <v>48</v>
      </c>
      <c r="AM2401" s="4">
        <v>60</v>
      </c>
      <c r="AN2401" s="4">
        <v>0</v>
      </c>
      <c r="AO2401" s="4">
        <v>0</v>
      </c>
      <c r="AP2401" s="4">
        <v>20</v>
      </c>
      <c r="AQ2401" s="4">
        <v>39</v>
      </c>
      <c r="AR2401" s="3" t="s">
        <v>62</v>
      </c>
      <c r="AS2401" s="3" t="s">
        <v>62</v>
      </c>
      <c r="AT2401" s="3" t="s">
        <v>62</v>
      </c>
      <c r="AV2401" s="6" t="str">
        <f>HYPERLINK("http://mcgill.on.worldcat.org/oclc/46729126","Catalog Record")</f>
        <v>Catalog Record</v>
      </c>
      <c r="AW2401" s="6" t="str">
        <f>HYPERLINK("http://www.worldcat.org/oclc/46729126","WorldCat Record")</f>
        <v>WorldCat Record</v>
      </c>
      <c r="AX2401" s="3" t="s">
        <v>23371</v>
      </c>
      <c r="AY2401" s="3" t="s">
        <v>23380</v>
      </c>
      <c r="AZ2401" s="3" t="s">
        <v>23381</v>
      </c>
      <c r="BA2401" s="3" t="s">
        <v>23381</v>
      </c>
      <c r="BB2401" s="3" t="s">
        <v>23382</v>
      </c>
      <c r="BC2401" s="3" t="s">
        <v>102</v>
      </c>
      <c r="BD2401" s="3" t="s">
        <v>68</v>
      </c>
      <c r="BE2401" s="3" t="s">
        <v>23383</v>
      </c>
      <c r="BF2401" s="3" t="s">
        <v>23382</v>
      </c>
      <c r="BG2401" s="3" t="s">
        <v>23384</v>
      </c>
    </row>
    <row r="2402" spans="1:59" ht="58" x14ac:dyDescent="0.35">
      <c r="A2402" s="2" t="s">
        <v>89</v>
      </c>
      <c r="B2402" s="2" t="s">
        <v>90</v>
      </c>
      <c r="C2402" s="2" t="s">
        <v>23377</v>
      </c>
      <c r="D2402" s="2" t="s">
        <v>23378</v>
      </c>
      <c r="E2402" s="2" t="s">
        <v>23368</v>
      </c>
      <c r="G2402" s="3" t="s">
        <v>62</v>
      </c>
      <c r="I2402" s="3" t="s">
        <v>61</v>
      </c>
      <c r="J2402" s="3" t="s">
        <v>61</v>
      </c>
      <c r="K2402" s="3" t="s">
        <v>63</v>
      </c>
      <c r="L2402" s="2" t="s">
        <v>23369</v>
      </c>
      <c r="M2402" s="2" t="s">
        <v>21791</v>
      </c>
      <c r="N2402" s="3" t="s">
        <v>596</v>
      </c>
      <c r="O2402" s="2" t="s">
        <v>2986</v>
      </c>
      <c r="P2402" s="3" t="s">
        <v>64</v>
      </c>
      <c r="Q2402" s="2" t="s">
        <v>23379</v>
      </c>
      <c r="R2402" s="3" t="s">
        <v>13065</v>
      </c>
      <c r="S2402" s="4">
        <v>51</v>
      </c>
      <c r="T2402" s="4">
        <v>69</v>
      </c>
      <c r="U2402" s="5" t="s">
        <v>22212</v>
      </c>
      <c r="V2402" s="5" t="s">
        <v>22212</v>
      </c>
      <c r="W2402" s="5" t="s">
        <v>67</v>
      </c>
      <c r="X2402" s="5" t="s">
        <v>67</v>
      </c>
      <c r="Y2402" s="4">
        <v>411</v>
      </c>
      <c r="Z2402" s="4">
        <v>26</v>
      </c>
      <c r="AA2402" s="4">
        <v>54</v>
      </c>
      <c r="AB2402" s="4">
        <v>2</v>
      </c>
      <c r="AC2402" s="4">
        <v>9</v>
      </c>
      <c r="AD2402" s="4">
        <v>97</v>
      </c>
      <c r="AE2402" s="4">
        <v>143</v>
      </c>
      <c r="AF2402" s="4">
        <v>0</v>
      </c>
      <c r="AG2402" s="4">
        <v>4</v>
      </c>
      <c r="AH2402" s="4">
        <v>81</v>
      </c>
      <c r="AI2402" s="4">
        <v>113</v>
      </c>
      <c r="AJ2402" s="4">
        <v>12</v>
      </c>
      <c r="AK2402" s="4">
        <v>24</v>
      </c>
      <c r="AL2402" s="4">
        <v>48</v>
      </c>
      <c r="AM2402" s="4">
        <v>60</v>
      </c>
      <c r="AN2402" s="4">
        <v>0</v>
      </c>
      <c r="AO2402" s="4">
        <v>0</v>
      </c>
      <c r="AP2402" s="4">
        <v>20</v>
      </c>
      <c r="AQ2402" s="4">
        <v>39</v>
      </c>
      <c r="AR2402" s="3" t="s">
        <v>62</v>
      </c>
      <c r="AS2402" s="3" t="s">
        <v>62</v>
      </c>
      <c r="AT2402" s="3" t="s">
        <v>62</v>
      </c>
      <c r="AV2402" s="6" t="str">
        <f>HYPERLINK("http://mcgill.on.worldcat.org/oclc/46729126","Catalog Record")</f>
        <v>Catalog Record</v>
      </c>
      <c r="AW2402" s="6" t="str">
        <f>HYPERLINK("http://www.worldcat.org/oclc/46729126","WorldCat Record")</f>
        <v>WorldCat Record</v>
      </c>
      <c r="AX2402" s="3" t="s">
        <v>23371</v>
      </c>
      <c r="AY2402" s="3" t="s">
        <v>23380</v>
      </c>
      <c r="AZ2402" s="3" t="s">
        <v>23381</v>
      </c>
      <c r="BA2402" s="3" t="s">
        <v>23381</v>
      </c>
      <c r="BB2402" s="3" t="s">
        <v>23385</v>
      </c>
      <c r="BC2402" s="3" t="s">
        <v>102</v>
      </c>
      <c r="BD2402" s="3" t="s">
        <v>68</v>
      </c>
      <c r="BE2402" s="3" t="s">
        <v>23383</v>
      </c>
      <c r="BF2402" s="3" t="s">
        <v>23385</v>
      </c>
      <c r="BG2402" s="3" t="s">
        <v>23386</v>
      </c>
    </row>
    <row r="2403" spans="1:59" ht="58" x14ac:dyDescent="0.35">
      <c r="A2403" s="2" t="s">
        <v>89</v>
      </c>
      <c r="B2403" s="2" t="s">
        <v>90</v>
      </c>
      <c r="C2403" s="2" t="s">
        <v>23387</v>
      </c>
      <c r="D2403" s="2" t="s">
        <v>23388</v>
      </c>
      <c r="E2403" s="2" t="s">
        <v>23389</v>
      </c>
      <c r="G2403" s="3" t="s">
        <v>62</v>
      </c>
      <c r="I2403" s="3" t="s">
        <v>62</v>
      </c>
      <c r="J2403" s="3" t="s">
        <v>62</v>
      </c>
      <c r="K2403" s="3" t="s">
        <v>63</v>
      </c>
      <c r="L2403" s="2" t="s">
        <v>22726</v>
      </c>
      <c r="M2403" s="2" t="s">
        <v>23390</v>
      </c>
      <c r="N2403" s="3" t="s">
        <v>698</v>
      </c>
      <c r="O2403" s="2" t="s">
        <v>1941</v>
      </c>
      <c r="P2403" s="3" t="s">
        <v>64</v>
      </c>
      <c r="R2403" s="3" t="s">
        <v>13065</v>
      </c>
      <c r="S2403" s="4">
        <v>23</v>
      </c>
      <c r="T2403" s="4">
        <v>23</v>
      </c>
      <c r="U2403" s="5" t="s">
        <v>17213</v>
      </c>
      <c r="V2403" s="5" t="s">
        <v>17213</v>
      </c>
      <c r="W2403" s="5" t="s">
        <v>67</v>
      </c>
      <c r="X2403" s="5" t="s">
        <v>67</v>
      </c>
      <c r="Y2403" s="4">
        <v>235</v>
      </c>
      <c r="Z2403" s="4">
        <v>15</v>
      </c>
      <c r="AA2403" s="4">
        <v>16</v>
      </c>
      <c r="AB2403" s="4">
        <v>1</v>
      </c>
      <c r="AC2403" s="4">
        <v>2</v>
      </c>
      <c r="AD2403" s="4">
        <v>74</v>
      </c>
      <c r="AE2403" s="4">
        <v>75</v>
      </c>
      <c r="AF2403" s="4">
        <v>0</v>
      </c>
      <c r="AG2403" s="4">
        <v>1</v>
      </c>
      <c r="AH2403" s="4">
        <v>66</v>
      </c>
      <c r="AI2403" s="4">
        <v>67</v>
      </c>
      <c r="AJ2403" s="4">
        <v>10</v>
      </c>
      <c r="AK2403" s="4">
        <v>11</v>
      </c>
      <c r="AL2403" s="4">
        <v>42</v>
      </c>
      <c r="AM2403" s="4">
        <v>42</v>
      </c>
      <c r="AN2403" s="4">
        <v>0</v>
      </c>
      <c r="AO2403" s="4">
        <v>0</v>
      </c>
      <c r="AP2403" s="4">
        <v>13</v>
      </c>
      <c r="AQ2403" s="4">
        <v>14</v>
      </c>
      <c r="AR2403" s="3" t="s">
        <v>62</v>
      </c>
      <c r="AS2403" s="3" t="s">
        <v>62</v>
      </c>
      <c r="AT2403" s="3" t="s">
        <v>62</v>
      </c>
      <c r="AV2403" s="6" t="str">
        <f>HYPERLINK("http://mcgill.on.worldcat.org/oclc/783169117","Catalog Record")</f>
        <v>Catalog Record</v>
      </c>
      <c r="AW2403" s="6" t="str">
        <f>HYPERLINK("http://www.worldcat.org/oclc/783169117","WorldCat Record")</f>
        <v>WorldCat Record</v>
      </c>
      <c r="AX2403" s="3" t="s">
        <v>23391</v>
      </c>
      <c r="AY2403" s="3" t="s">
        <v>23392</v>
      </c>
      <c r="AZ2403" s="3" t="s">
        <v>23393</v>
      </c>
      <c r="BA2403" s="3" t="s">
        <v>23393</v>
      </c>
      <c r="BB2403" s="3" t="s">
        <v>23394</v>
      </c>
      <c r="BC2403" s="3" t="s">
        <v>102</v>
      </c>
      <c r="BD2403" s="3" t="s">
        <v>231</v>
      </c>
      <c r="BE2403" s="3" t="s">
        <v>23395</v>
      </c>
      <c r="BF2403" s="3" t="s">
        <v>23394</v>
      </c>
      <c r="BG2403" s="3" t="s">
        <v>23396</v>
      </c>
    </row>
    <row r="2404" spans="1:59" ht="58" x14ac:dyDescent="0.35">
      <c r="A2404" s="2" t="s">
        <v>89</v>
      </c>
      <c r="B2404" s="2" t="s">
        <v>90</v>
      </c>
      <c r="C2404" s="2" t="s">
        <v>23397</v>
      </c>
      <c r="D2404" s="2" t="s">
        <v>23398</v>
      </c>
      <c r="E2404" s="2" t="s">
        <v>23399</v>
      </c>
      <c r="G2404" s="3" t="s">
        <v>62</v>
      </c>
      <c r="I2404" s="3" t="s">
        <v>61</v>
      </c>
      <c r="J2404" s="3" t="s">
        <v>61</v>
      </c>
      <c r="K2404" s="3" t="s">
        <v>63</v>
      </c>
      <c r="L2404" s="2" t="s">
        <v>23400</v>
      </c>
      <c r="M2404" s="2" t="s">
        <v>23401</v>
      </c>
      <c r="N2404" s="3" t="s">
        <v>396</v>
      </c>
      <c r="O2404" s="2" t="s">
        <v>2986</v>
      </c>
      <c r="P2404" s="3" t="s">
        <v>64</v>
      </c>
      <c r="R2404" s="3" t="s">
        <v>13065</v>
      </c>
      <c r="S2404" s="4">
        <v>33</v>
      </c>
      <c r="T2404" s="4">
        <v>106</v>
      </c>
      <c r="U2404" s="5" t="s">
        <v>3943</v>
      </c>
      <c r="V2404" s="5" t="s">
        <v>3943</v>
      </c>
      <c r="W2404" s="5" t="s">
        <v>67</v>
      </c>
      <c r="X2404" s="5" t="s">
        <v>67</v>
      </c>
      <c r="Y2404" s="4">
        <v>374</v>
      </c>
      <c r="Z2404" s="4">
        <v>26</v>
      </c>
      <c r="AA2404" s="4">
        <v>88</v>
      </c>
      <c r="AB2404" s="4">
        <v>2</v>
      </c>
      <c r="AC2404" s="4">
        <v>23</v>
      </c>
      <c r="AD2404" s="4">
        <v>90</v>
      </c>
      <c r="AE2404" s="4">
        <v>155</v>
      </c>
      <c r="AF2404" s="4">
        <v>1</v>
      </c>
      <c r="AG2404" s="4">
        <v>11</v>
      </c>
      <c r="AH2404" s="4">
        <v>78</v>
      </c>
      <c r="AI2404" s="4">
        <v>113</v>
      </c>
      <c r="AJ2404" s="4">
        <v>17</v>
      </c>
      <c r="AK2404" s="4">
        <v>28</v>
      </c>
      <c r="AL2404" s="4">
        <v>44</v>
      </c>
      <c r="AM2404" s="4">
        <v>59</v>
      </c>
      <c r="AN2404" s="4">
        <v>0</v>
      </c>
      <c r="AO2404" s="4">
        <v>0</v>
      </c>
      <c r="AP2404" s="4">
        <v>19</v>
      </c>
      <c r="AQ2404" s="4">
        <v>49</v>
      </c>
      <c r="AR2404" s="3" t="s">
        <v>62</v>
      </c>
      <c r="AS2404" s="3" t="s">
        <v>62</v>
      </c>
      <c r="AT2404" s="3" t="s">
        <v>61</v>
      </c>
      <c r="AU2404" s="6" t="str">
        <f>HYPERLINK("http://catalog.hathitrust.org/Record/000570198","HathiTrust Record")</f>
        <v>HathiTrust Record</v>
      </c>
      <c r="AV2404" s="6" t="str">
        <f>HYPERLINK("http://mcgill.on.worldcat.org/oclc/11452677","Catalog Record")</f>
        <v>Catalog Record</v>
      </c>
      <c r="AW2404" s="6" t="str">
        <f>HYPERLINK("http://www.worldcat.org/oclc/11452677","WorldCat Record")</f>
        <v>WorldCat Record</v>
      </c>
      <c r="AX2404" s="3" t="s">
        <v>23402</v>
      </c>
      <c r="AY2404" s="3" t="s">
        <v>23403</v>
      </c>
      <c r="AZ2404" s="3" t="s">
        <v>23404</v>
      </c>
      <c r="BA2404" s="3" t="s">
        <v>23404</v>
      </c>
      <c r="BB2404" s="3" t="s">
        <v>23405</v>
      </c>
      <c r="BC2404" s="3" t="s">
        <v>102</v>
      </c>
      <c r="BD2404" s="3" t="s">
        <v>68</v>
      </c>
      <c r="BE2404" s="3" t="s">
        <v>23406</v>
      </c>
      <c r="BF2404" s="3" t="s">
        <v>23405</v>
      </c>
      <c r="BG2404" s="3" t="s">
        <v>23407</v>
      </c>
    </row>
    <row r="2405" spans="1:59" ht="58" x14ac:dyDescent="0.35">
      <c r="A2405" s="2" t="s">
        <v>89</v>
      </c>
      <c r="B2405" s="2" t="s">
        <v>90</v>
      </c>
      <c r="C2405" s="2" t="s">
        <v>23408</v>
      </c>
      <c r="D2405" s="2" t="s">
        <v>23409</v>
      </c>
      <c r="E2405" s="2" t="s">
        <v>23399</v>
      </c>
      <c r="G2405" s="3" t="s">
        <v>62</v>
      </c>
      <c r="I2405" s="3" t="s">
        <v>61</v>
      </c>
      <c r="J2405" s="3" t="s">
        <v>61</v>
      </c>
      <c r="K2405" s="3" t="s">
        <v>63</v>
      </c>
      <c r="L2405" s="2" t="s">
        <v>23400</v>
      </c>
      <c r="M2405" s="2" t="s">
        <v>23410</v>
      </c>
      <c r="N2405" s="3" t="s">
        <v>438</v>
      </c>
      <c r="O2405" s="2" t="s">
        <v>2458</v>
      </c>
      <c r="P2405" s="3" t="s">
        <v>64</v>
      </c>
      <c r="R2405" s="3" t="s">
        <v>13065</v>
      </c>
      <c r="S2405" s="4">
        <v>63</v>
      </c>
      <c r="T2405" s="4">
        <v>143</v>
      </c>
      <c r="U2405" s="5" t="s">
        <v>11483</v>
      </c>
      <c r="V2405" s="5" t="s">
        <v>987</v>
      </c>
      <c r="W2405" s="5" t="s">
        <v>67</v>
      </c>
      <c r="X2405" s="5" t="s">
        <v>67</v>
      </c>
      <c r="Y2405" s="4">
        <v>369</v>
      </c>
      <c r="Z2405" s="4">
        <v>31</v>
      </c>
      <c r="AA2405" s="4">
        <v>88</v>
      </c>
      <c r="AB2405" s="4">
        <v>3</v>
      </c>
      <c r="AC2405" s="4">
        <v>23</v>
      </c>
      <c r="AD2405" s="4">
        <v>84</v>
      </c>
      <c r="AE2405" s="4">
        <v>155</v>
      </c>
      <c r="AF2405" s="4">
        <v>1</v>
      </c>
      <c r="AG2405" s="4">
        <v>11</v>
      </c>
      <c r="AH2405" s="4">
        <v>65</v>
      </c>
      <c r="AI2405" s="4">
        <v>113</v>
      </c>
      <c r="AJ2405" s="4">
        <v>18</v>
      </c>
      <c r="AK2405" s="4">
        <v>28</v>
      </c>
      <c r="AL2405" s="4">
        <v>38</v>
      </c>
      <c r="AM2405" s="4">
        <v>59</v>
      </c>
      <c r="AN2405" s="4">
        <v>0</v>
      </c>
      <c r="AO2405" s="4">
        <v>0</v>
      </c>
      <c r="AP2405" s="4">
        <v>24</v>
      </c>
      <c r="AQ2405" s="4">
        <v>49</v>
      </c>
      <c r="AR2405" s="3" t="s">
        <v>62</v>
      </c>
      <c r="AS2405" s="3" t="s">
        <v>62</v>
      </c>
      <c r="AT2405" s="3" t="s">
        <v>62</v>
      </c>
      <c r="AV2405" s="6" t="str">
        <f>HYPERLINK("http://mcgill.on.worldcat.org/oclc/20796785","Catalog Record")</f>
        <v>Catalog Record</v>
      </c>
      <c r="AW2405" s="6" t="str">
        <f>HYPERLINK("http://www.worldcat.org/oclc/20796785","WorldCat Record")</f>
        <v>WorldCat Record</v>
      </c>
      <c r="AX2405" s="3" t="s">
        <v>23402</v>
      </c>
      <c r="AY2405" s="3" t="s">
        <v>23411</v>
      </c>
      <c r="AZ2405" s="3" t="s">
        <v>23412</v>
      </c>
      <c r="BA2405" s="3" t="s">
        <v>23412</v>
      </c>
      <c r="BB2405" s="3" t="s">
        <v>23413</v>
      </c>
      <c r="BC2405" s="3" t="s">
        <v>102</v>
      </c>
      <c r="BD2405" s="3" t="s">
        <v>68</v>
      </c>
      <c r="BE2405" s="3" t="s">
        <v>23414</v>
      </c>
      <c r="BF2405" s="3" t="s">
        <v>23413</v>
      </c>
      <c r="BG2405" s="3" t="s">
        <v>23415</v>
      </c>
    </row>
    <row r="2406" spans="1:59" ht="58" x14ac:dyDescent="0.35">
      <c r="A2406" s="2" t="s">
        <v>89</v>
      </c>
      <c r="B2406" s="2" t="s">
        <v>90</v>
      </c>
      <c r="C2406" s="2" t="s">
        <v>23416</v>
      </c>
      <c r="D2406" s="2" t="s">
        <v>23417</v>
      </c>
      <c r="E2406" s="2" t="s">
        <v>23418</v>
      </c>
      <c r="G2406" s="3" t="s">
        <v>62</v>
      </c>
      <c r="I2406" s="3" t="s">
        <v>61</v>
      </c>
      <c r="J2406" s="3" t="s">
        <v>62</v>
      </c>
      <c r="K2406" s="3" t="s">
        <v>63</v>
      </c>
      <c r="L2406" s="2" t="s">
        <v>23419</v>
      </c>
      <c r="M2406" s="2" t="s">
        <v>23420</v>
      </c>
      <c r="N2406" s="3" t="s">
        <v>95</v>
      </c>
      <c r="P2406" s="3" t="s">
        <v>64</v>
      </c>
      <c r="Q2406" s="2" t="s">
        <v>23421</v>
      </c>
      <c r="R2406" s="3" t="s">
        <v>13065</v>
      </c>
      <c r="S2406" s="4">
        <v>17</v>
      </c>
      <c r="T2406" s="4">
        <v>86</v>
      </c>
      <c r="U2406" s="5" t="s">
        <v>23422</v>
      </c>
      <c r="V2406" s="5" t="s">
        <v>4246</v>
      </c>
      <c r="W2406" s="5" t="s">
        <v>67</v>
      </c>
      <c r="X2406" s="5" t="s">
        <v>67</v>
      </c>
      <c r="Y2406" s="4">
        <v>658</v>
      </c>
      <c r="Z2406" s="4">
        <v>43</v>
      </c>
      <c r="AA2406" s="4">
        <v>65</v>
      </c>
      <c r="AB2406" s="4">
        <v>2</v>
      </c>
      <c r="AC2406" s="4">
        <v>16</v>
      </c>
      <c r="AD2406" s="4">
        <v>130</v>
      </c>
      <c r="AE2406" s="4">
        <v>143</v>
      </c>
      <c r="AF2406" s="4">
        <v>1</v>
      </c>
      <c r="AG2406" s="4">
        <v>8</v>
      </c>
      <c r="AH2406" s="4">
        <v>107</v>
      </c>
      <c r="AI2406" s="4">
        <v>111</v>
      </c>
      <c r="AJ2406" s="4">
        <v>22</v>
      </c>
      <c r="AK2406" s="4">
        <v>26</v>
      </c>
      <c r="AL2406" s="4">
        <v>57</v>
      </c>
      <c r="AM2406" s="4">
        <v>58</v>
      </c>
      <c r="AN2406" s="4">
        <v>0</v>
      </c>
      <c r="AO2406" s="4">
        <v>0</v>
      </c>
      <c r="AP2406" s="4">
        <v>28</v>
      </c>
      <c r="AQ2406" s="4">
        <v>37</v>
      </c>
      <c r="AR2406" s="3" t="s">
        <v>62</v>
      </c>
      <c r="AS2406" s="3" t="s">
        <v>62</v>
      </c>
      <c r="AT2406" s="3" t="s">
        <v>61</v>
      </c>
      <c r="AU2406" s="6" t="str">
        <f>HYPERLINK("http://catalog.hathitrust.org/Record/000140519","HathiTrust Record")</f>
        <v>HathiTrust Record</v>
      </c>
      <c r="AV2406" s="6" t="str">
        <f>HYPERLINK("http://mcgill.on.worldcat.org/oclc/6916618","Catalog Record")</f>
        <v>Catalog Record</v>
      </c>
      <c r="AW2406" s="6" t="str">
        <f>HYPERLINK("http://www.worldcat.org/oclc/6916618","WorldCat Record")</f>
        <v>WorldCat Record</v>
      </c>
      <c r="AX2406" s="3" t="s">
        <v>23423</v>
      </c>
      <c r="AY2406" s="3" t="s">
        <v>23424</v>
      </c>
      <c r="AZ2406" s="3" t="s">
        <v>23425</v>
      </c>
      <c r="BA2406" s="3" t="s">
        <v>23425</v>
      </c>
      <c r="BB2406" s="3" t="s">
        <v>23426</v>
      </c>
      <c r="BC2406" s="3" t="s">
        <v>102</v>
      </c>
      <c r="BD2406" s="3" t="s">
        <v>68</v>
      </c>
      <c r="BE2406" s="3" t="s">
        <v>23427</v>
      </c>
      <c r="BF2406" s="3" t="s">
        <v>23426</v>
      </c>
      <c r="BG2406" s="3" t="s">
        <v>23428</v>
      </c>
    </row>
    <row r="2407" spans="1:59" ht="58" x14ac:dyDescent="0.35">
      <c r="A2407" s="2" t="s">
        <v>89</v>
      </c>
      <c r="B2407" s="2" t="s">
        <v>90</v>
      </c>
      <c r="C2407" s="2" t="s">
        <v>23429</v>
      </c>
      <c r="D2407" s="2" t="s">
        <v>23430</v>
      </c>
      <c r="E2407" s="2" t="s">
        <v>23431</v>
      </c>
      <c r="F2407" s="3" t="s">
        <v>2217</v>
      </c>
      <c r="G2407" s="3" t="s">
        <v>61</v>
      </c>
      <c r="I2407" s="3" t="s">
        <v>62</v>
      </c>
      <c r="J2407" s="3" t="s">
        <v>62</v>
      </c>
      <c r="K2407" s="3" t="s">
        <v>63</v>
      </c>
      <c r="L2407" s="2" t="s">
        <v>23432</v>
      </c>
      <c r="M2407" s="2" t="s">
        <v>23433</v>
      </c>
      <c r="N2407" s="3" t="s">
        <v>396</v>
      </c>
      <c r="P2407" s="3" t="s">
        <v>64</v>
      </c>
      <c r="Q2407" s="2" t="s">
        <v>15330</v>
      </c>
      <c r="R2407" s="3" t="s">
        <v>13065</v>
      </c>
      <c r="S2407" s="4">
        <v>44</v>
      </c>
      <c r="T2407" s="4">
        <v>87</v>
      </c>
      <c r="U2407" s="5" t="s">
        <v>383</v>
      </c>
      <c r="V2407" s="5" t="s">
        <v>383</v>
      </c>
      <c r="W2407" s="5" t="s">
        <v>67</v>
      </c>
      <c r="X2407" s="5" t="s">
        <v>67</v>
      </c>
      <c r="Y2407" s="4">
        <v>346</v>
      </c>
      <c r="Z2407" s="4">
        <v>30</v>
      </c>
      <c r="AA2407" s="4">
        <v>37</v>
      </c>
      <c r="AB2407" s="4">
        <v>2</v>
      </c>
      <c r="AC2407" s="4">
        <v>8</v>
      </c>
      <c r="AD2407" s="4">
        <v>111</v>
      </c>
      <c r="AE2407" s="4">
        <v>117</v>
      </c>
      <c r="AF2407" s="4">
        <v>1</v>
      </c>
      <c r="AG2407" s="4">
        <v>6</v>
      </c>
      <c r="AH2407" s="4">
        <v>98</v>
      </c>
      <c r="AI2407" s="4">
        <v>99</v>
      </c>
      <c r="AJ2407" s="4">
        <v>18</v>
      </c>
      <c r="AK2407" s="4">
        <v>23</v>
      </c>
      <c r="AL2407" s="4">
        <v>50</v>
      </c>
      <c r="AM2407" s="4">
        <v>50</v>
      </c>
      <c r="AN2407" s="4">
        <v>0</v>
      </c>
      <c r="AO2407" s="4">
        <v>0</v>
      </c>
      <c r="AP2407" s="4">
        <v>22</v>
      </c>
      <c r="AQ2407" s="4">
        <v>27</v>
      </c>
      <c r="AR2407" s="3" t="s">
        <v>62</v>
      </c>
      <c r="AS2407" s="3" t="s">
        <v>62</v>
      </c>
      <c r="AT2407" s="3" t="s">
        <v>61</v>
      </c>
      <c r="AU2407" s="6" t="str">
        <f>HYPERLINK("http://catalog.hathitrust.org/Record/000458989","HathiTrust Record")</f>
        <v>HathiTrust Record</v>
      </c>
      <c r="AV2407" s="6" t="str">
        <f>HYPERLINK("http://mcgill.on.worldcat.org/oclc/10800407","Catalog Record")</f>
        <v>Catalog Record</v>
      </c>
      <c r="AW2407" s="6" t="str">
        <f>HYPERLINK("http://www.worldcat.org/oclc/10800407","WorldCat Record")</f>
        <v>WorldCat Record</v>
      </c>
      <c r="AX2407" s="3" t="s">
        <v>23434</v>
      </c>
      <c r="AY2407" s="3" t="s">
        <v>23435</v>
      </c>
      <c r="AZ2407" s="3" t="s">
        <v>23436</v>
      </c>
      <c r="BA2407" s="3" t="s">
        <v>23436</v>
      </c>
      <c r="BB2407" s="3" t="s">
        <v>23437</v>
      </c>
      <c r="BC2407" s="3" t="s">
        <v>102</v>
      </c>
      <c r="BD2407" s="3" t="s">
        <v>68</v>
      </c>
      <c r="BE2407" s="3" t="s">
        <v>23438</v>
      </c>
      <c r="BF2407" s="3" t="s">
        <v>23437</v>
      </c>
      <c r="BG2407" s="3" t="s">
        <v>23439</v>
      </c>
    </row>
    <row r="2408" spans="1:59" ht="58" x14ac:dyDescent="0.35">
      <c r="A2408" s="2" t="s">
        <v>89</v>
      </c>
      <c r="B2408" s="2" t="s">
        <v>90</v>
      </c>
      <c r="C2408" s="2" t="s">
        <v>23429</v>
      </c>
      <c r="D2408" s="2" t="s">
        <v>23430</v>
      </c>
      <c r="E2408" s="2" t="s">
        <v>23431</v>
      </c>
      <c r="F2408" s="3" t="s">
        <v>2233</v>
      </c>
      <c r="G2408" s="3" t="s">
        <v>61</v>
      </c>
      <c r="I2408" s="3" t="s">
        <v>62</v>
      </c>
      <c r="J2408" s="3" t="s">
        <v>62</v>
      </c>
      <c r="K2408" s="3" t="s">
        <v>63</v>
      </c>
      <c r="L2408" s="2" t="s">
        <v>23432</v>
      </c>
      <c r="M2408" s="2" t="s">
        <v>23433</v>
      </c>
      <c r="N2408" s="3" t="s">
        <v>396</v>
      </c>
      <c r="P2408" s="3" t="s">
        <v>64</v>
      </c>
      <c r="Q2408" s="2" t="s">
        <v>15330</v>
      </c>
      <c r="R2408" s="3" t="s">
        <v>13065</v>
      </c>
      <c r="S2408" s="4">
        <v>43</v>
      </c>
      <c r="T2408" s="4">
        <v>87</v>
      </c>
      <c r="U2408" s="5" t="s">
        <v>383</v>
      </c>
      <c r="V2408" s="5" t="s">
        <v>383</v>
      </c>
      <c r="W2408" s="5" t="s">
        <v>67</v>
      </c>
      <c r="X2408" s="5" t="s">
        <v>67</v>
      </c>
      <c r="Y2408" s="4">
        <v>346</v>
      </c>
      <c r="Z2408" s="4">
        <v>30</v>
      </c>
      <c r="AA2408" s="4">
        <v>37</v>
      </c>
      <c r="AB2408" s="4">
        <v>2</v>
      </c>
      <c r="AC2408" s="4">
        <v>8</v>
      </c>
      <c r="AD2408" s="4">
        <v>111</v>
      </c>
      <c r="AE2408" s="4">
        <v>117</v>
      </c>
      <c r="AF2408" s="4">
        <v>1</v>
      </c>
      <c r="AG2408" s="4">
        <v>6</v>
      </c>
      <c r="AH2408" s="4">
        <v>98</v>
      </c>
      <c r="AI2408" s="4">
        <v>99</v>
      </c>
      <c r="AJ2408" s="4">
        <v>18</v>
      </c>
      <c r="AK2408" s="4">
        <v>23</v>
      </c>
      <c r="AL2408" s="4">
        <v>50</v>
      </c>
      <c r="AM2408" s="4">
        <v>50</v>
      </c>
      <c r="AN2408" s="4">
        <v>0</v>
      </c>
      <c r="AO2408" s="4">
        <v>0</v>
      </c>
      <c r="AP2408" s="4">
        <v>22</v>
      </c>
      <c r="AQ2408" s="4">
        <v>27</v>
      </c>
      <c r="AR2408" s="3" t="s">
        <v>62</v>
      </c>
      <c r="AS2408" s="3" t="s">
        <v>62</v>
      </c>
      <c r="AT2408" s="3" t="s">
        <v>61</v>
      </c>
      <c r="AU2408" s="6" t="str">
        <f>HYPERLINK("http://catalog.hathitrust.org/Record/000458989","HathiTrust Record")</f>
        <v>HathiTrust Record</v>
      </c>
      <c r="AV2408" s="6" t="str">
        <f>HYPERLINK("http://mcgill.on.worldcat.org/oclc/10800407","Catalog Record")</f>
        <v>Catalog Record</v>
      </c>
      <c r="AW2408" s="6" t="str">
        <f>HYPERLINK("http://www.worldcat.org/oclc/10800407","WorldCat Record")</f>
        <v>WorldCat Record</v>
      </c>
      <c r="AX2408" s="3" t="s">
        <v>23434</v>
      </c>
      <c r="AY2408" s="3" t="s">
        <v>23435</v>
      </c>
      <c r="AZ2408" s="3" t="s">
        <v>23436</v>
      </c>
      <c r="BA2408" s="3" t="s">
        <v>23436</v>
      </c>
      <c r="BB2408" s="3" t="s">
        <v>23440</v>
      </c>
      <c r="BC2408" s="3" t="s">
        <v>102</v>
      </c>
      <c r="BD2408" s="3" t="s">
        <v>68</v>
      </c>
      <c r="BE2408" s="3" t="s">
        <v>23438</v>
      </c>
      <c r="BF2408" s="3" t="s">
        <v>23440</v>
      </c>
      <c r="BG2408" s="3" t="s">
        <v>23441</v>
      </c>
    </row>
    <row r="2409" spans="1:59" ht="58" x14ac:dyDescent="0.35">
      <c r="A2409" s="2" t="s">
        <v>89</v>
      </c>
      <c r="B2409" s="2" t="s">
        <v>90</v>
      </c>
      <c r="C2409" s="2" t="s">
        <v>23442</v>
      </c>
      <c r="D2409" s="2" t="s">
        <v>23443</v>
      </c>
      <c r="E2409" s="2" t="s">
        <v>23444</v>
      </c>
      <c r="G2409" s="3" t="s">
        <v>62</v>
      </c>
      <c r="I2409" s="3" t="s">
        <v>61</v>
      </c>
      <c r="J2409" s="3" t="s">
        <v>62</v>
      </c>
      <c r="K2409" s="3" t="s">
        <v>63</v>
      </c>
      <c r="L2409" s="2" t="s">
        <v>23445</v>
      </c>
      <c r="M2409" s="2" t="s">
        <v>23446</v>
      </c>
      <c r="N2409" s="3" t="s">
        <v>655</v>
      </c>
      <c r="P2409" s="3" t="s">
        <v>64</v>
      </c>
      <c r="R2409" s="3" t="s">
        <v>13065</v>
      </c>
      <c r="S2409" s="4">
        <v>5</v>
      </c>
      <c r="T2409" s="4">
        <v>12</v>
      </c>
      <c r="U2409" s="5" t="s">
        <v>23447</v>
      </c>
      <c r="V2409" s="5" t="s">
        <v>23447</v>
      </c>
      <c r="W2409" s="5" t="s">
        <v>67</v>
      </c>
      <c r="X2409" s="5" t="s">
        <v>67</v>
      </c>
      <c r="Y2409" s="4">
        <v>12</v>
      </c>
      <c r="Z2409" s="4">
        <v>3</v>
      </c>
      <c r="AA2409" s="4">
        <v>3</v>
      </c>
      <c r="AB2409" s="4">
        <v>2</v>
      </c>
      <c r="AC2409" s="4">
        <v>2</v>
      </c>
      <c r="AD2409" s="4">
        <v>2</v>
      </c>
      <c r="AE2409" s="4">
        <v>2</v>
      </c>
      <c r="AF2409" s="4">
        <v>0</v>
      </c>
      <c r="AG2409" s="4">
        <v>0</v>
      </c>
      <c r="AH2409" s="4">
        <v>1</v>
      </c>
      <c r="AI2409" s="4">
        <v>1</v>
      </c>
      <c r="AJ2409" s="4">
        <v>1</v>
      </c>
      <c r="AK2409" s="4">
        <v>1</v>
      </c>
      <c r="AL2409" s="4">
        <v>1</v>
      </c>
      <c r="AM2409" s="4">
        <v>1</v>
      </c>
      <c r="AN2409" s="4">
        <v>0</v>
      </c>
      <c r="AO2409" s="4">
        <v>0</v>
      </c>
      <c r="AP2409" s="4">
        <v>1</v>
      </c>
      <c r="AQ2409" s="4">
        <v>1</v>
      </c>
      <c r="AR2409" s="3" t="s">
        <v>62</v>
      </c>
      <c r="AS2409" s="3" t="s">
        <v>62</v>
      </c>
      <c r="AT2409" s="3" t="s">
        <v>62</v>
      </c>
      <c r="AV2409" s="6" t="str">
        <f>HYPERLINK("http://mcgill.on.worldcat.org/oclc/192012003","Catalog Record")</f>
        <v>Catalog Record</v>
      </c>
      <c r="AW2409" s="6" t="str">
        <f>HYPERLINK("http://www.worldcat.org/oclc/192012003","WorldCat Record")</f>
        <v>WorldCat Record</v>
      </c>
      <c r="AX2409" s="3" t="s">
        <v>23448</v>
      </c>
      <c r="AY2409" s="3" t="s">
        <v>23449</v>
      </c>
      <c r="AZ2409" s="3" t="s">
        <v>23450</v>
      </c>
      <c r="BA2409" s="3" t="s">
        <v>23450</v>
      </c>
      <c r="BB2409" s="3" t="s">
        <v>23451</v>
      </c>
      <c r="BC2409" s="3" t="s">
        <v>102</v>
      </c>
      <c r="BD2409" s="3" t="s">
        <v>68</v>
      </c>
      <c r="BE2409" s="3" t="s">
        <v>23452</v>
      </c>
      <c r="BF2409" s="3" t="s">
        <v>23451</v>
      </c>
      <c r="BG2409" s="3" t="s">
        <v>23453</v>
      </c>
    </row>
    <row r="2410" spans="1:59" ht="58" x14ac:dyDescent="0.35">
      <c r="A2410" s="2" t="s">
        <v>89</v>
      </c>
      <c r="B2410" s="2" t="s">
        <v>90</v>
      </c>
      <c r="C2410" s="2" t="s">
        <v>23442</v>
      </c>
      <c r="D2410" s="2" t="s">
        <v>23443</v>
      </c>
      <c r="E2410" s="2" t="s">
        <v>23444</v>
      </c>
      <c r="G2410" s="3" t="s">
        <v>62</v>
      </c>
      <c r="I2410" s="3" t="s">
        <v>61</v>
      </c>
      <c r="J2410" s="3" t="s">
        <v>62</v>
      </c>
      <c r="K2410" s="3" t="s">
        <v>63</v>
      </c>
      <c r="L2410" s="2" t="s">
        <v>23445</v>
      </c>
      <c r="M2410" s="2" t="s">
        <v>23446</v>
      </c>
      <c r="N2410" s="3" t="s">
        <v>655</v>
      </c>
      <c r="P2410" s="3" t="s">
        <v>64</v>
      </c>
      <c r="R2410" s="3" t="s">
        <v>13065</v>
      </c>
      <c r="S2410" s="4">
        <v>7</v>
      </c>
      <c r="T2410" s="4">
        <v>12</v>
      </c>
      <c r="U2410" s="5" t="s">
        <v>23454</v>
      </c>
      <c r="V2410" s="5" t="s">
        <v>23447</v>
      </c>
      <c r="W2410" s="5" t="s">
        <v>67</v>
      </c>
      <c r="X2410" s="5" t="s">
        <v>67</v>
      </c>
      <c r="Y2410" s="4">
        <v>12</v>
      </c>
      <c r="Z2410" s="4">
        <v>3</v>
      </c>
      <c r="AA2410" s="4">
        <v>3</v>
      </c>
      <c r="AB2410" s="4">
        <v>2</v>
      </c>
      <c r="AC2410" s="4">
        <v>2</v>
      </c>
      <c r="AD2410" s="4">
        <v>2</v>
      </c>
      <c r="AE2410" s="4">
        <v>2</v>
      </c>
      <c r="AF2410" s="4">
        <v>0</v>
      </c>
      <c r="AG2410" s="4">
        <v>0</v>
      </c>
      <c r="AH2410" s="4">
        <v>1</v>
      </c>
      <c r="AI2410" s="4">
        <v>1</v>
      </c>
      <c r="AJ2410" s="4">
        <v>1</v>
      </c>
      <c r="AK2410" s="4">
        <v>1</v>
      </c>
      <c r="AL2410" s="4">
        <v>1</v>
      </c>
      <c r="AM2410" s="4">
        <v>1</v>
      </c>
      <c r="AN2410" s="4">
        <v>0</v>
      </c>
      <c r="AO2410" s="4">
        <v>0</v>
      </c>
      <c r="AP2410" s="4">
        <v>1</v>
      </c>
      <c r="AQ2410" s="4">
        <v>1</v>
      </c>
      <c r="AR2410" s="3" t="s">
        <v>62</v>
      </c>
      <c r="AS2410" s="3" t="s">
        <v>62</v>
      </c>
      <c r="AT2410" s="3" t="s">
        <v>62</v>
      </c>
      <c r="AV2410" s="6" t="str">
        <f>HYPERLINK("http://mcgill.on.worldcat.org/oclc/192012003","Catalog Record")</f>
        <v>Catalog Record</v>
      </c>
      <c r="AW2410" s="6" t="str">
        <f>HYPERLINK("http://www.worldcat.org/oclc/192012003","WorldCat Record")</f>
        <v>WorldCat Record</v>
      </c>
      <c r="AX2410" s="3" t="s">
        <v>23448</v>
      </c>
      <c r="AY2410" s="3" t="s">
        <v>23449</v>
      </c>
      <c r="AZ2410" s="3" t="s">
        <v>23450</v>
      </c>
      <c r="BA2410" s="3" t="s">
        <v>23450</v>
      </c>
      <c r="BB2410" s="3" t="s">
        <v>23455</v>
      </c>
      <c r="BC2410" s="3" t="s">
        <v>102</v>
      </c>
      <c r="BD2410" s="3" t="s">
        <v>68</v>
      </c>
      <c r="BE2410" s="3" t="s">
        <v>23452</v>
      </c>
      <c r="BF2410" s="3" t="s">
        <v>23455</v>
      </c>
      <c r="BG2410" s="3" t="s">
        <v>23456</v>
      </c>
    </row>
    <row r="2411" spans="1:59" ht="58" x14ac:dyDescent="0.35">
      <c r="A2411" s="2" t="s">
        <v>89</v>
      </c>
      <c r="B2411" s="2" t="s">
        <v>90</v>
      </c>
      <c r="C2411" s="2" t="s">
        <v>23457</v>
      </c>
      <c r="D2411" s="2" t="s">
        <v>23458</v>
      </c>
      <c r="E2411" s="2" t="s">
        <v>23459</v>
      </c>
      <c r="G2411" s="3" t="s">
        <v>62</v>
      </c>
      <c r="I2411" s="3" t="s">
        <v>62</v>
      </c>
      <c r="J2411" s="3" t="s">
        <v>62</v>
      </c>
      <c r="K2411" s="3" t="s">
        <v>63</v>
      </c>
      <c r="L2411" s="2" t="s">
        <v>22919</v>
      </c>
      <c r="M2411" s="2" t="s">
        <v>23460</v>
      </c>
      <c r="N2411" s="3" t="s">
        <v>698</v>
      </c>
      <c r="P2411" s="3" t="s">
        <v>64</v>
      </c>
      <c r="Q2411" s="2" t="s">
        <v>23461</v>
      </c>
      <c r="R2411" s="3" t="s">
        <v>13065</v>
      </c>
      <c r="S2411" s="4">
        <v>3</v>
      </c>
      <c r="T2411" s="4">
        <v>3</v>
      </c>
      <c r="U2411" s="5" t="s">
        <v>7448</v>
      </c>
      <c r="V2411" s="5" t="s">
        <v>7448</v>
      </c>
      <c r="W2411" s="5" t="s">
        <v>67</v>
      </c>
      <c r="X2411" s="5" t="s">
        <v>67</v>
      </c>
      <c r="Y2411" s="4">
        <v>208</v>
      </c>
      <c r="Z2411" s="4">
        <v>17</v>
      </c>
      <c r="AA2411" s="4">
        <v>49</v>
      </c>
      <c r="AB2411" s="4">
        <v>2</v>
      </c>
      <c r="AC2411" s="4">
        <v>11</v>
      </c>
      <c r="AD2411" s="4">
        <v>59</v>
      </c>
      <c r="AE2411" s="4">
        <v>96</v>
      </c>
      <c r="AF2411" s="4">
        <v>1</v>
      </c>
      <c r="AG2411" s="4">
        <v>7</v>
      </c>
      <c r="AH2411" s="4">
        <v>52</v>
      </c>
      <c r="AI2411" s="4">
        <v>74</v>
      </c>
      <c r="AJ2411" s="4">
        <v>12</v>
      </c>
      <c r="AK2411" s="4">
        <v>18</v>
      </c>
      <c r="AL2411" s="4">
        <v>30</v>
      </c>
      <c r="AM2411" s="4">
        <v>40</v>
      </c>
      <c r="AN2411" s="4">
        <v>0</v>
      </c>
      <c r="AO2411" s="4">
        <v>0</v>
      </c>
      <c r="AP2411" s="4">
        <v>15</v>
      </c>
      <c r="AQ2411" s="4">
        <v>30</v>
      </c>
      <c r="AR2411" s="3" t="s">
        <v>62</v>
      </c>
      <c r="AS2411" s="3" t="s">
        <v>62</v>
      </c>
      <c r="AT2411" s="3" t="s">
        <v>62</v>
      </c>
      <c r="AV2411" s="6" t="str">
        <f>HYPERLINK("http://mcgill.on.worldcat.org/oclc/298781446","Catalog Record")</f>
        <v>Catalog Record</v>
      </c>
      <c r="AW2411" s="6" t="str">
        <f>HYPERLINK("http://www.worldcat.org/oclc/298781446","WorldCat Record")</f>
        <v>WorldCat Record</v>
      </c>
      <c r="AX2411" s="3" t="s">
        <v>23462</v>
      </c>
      <c r="AY2411" s="3" t="s">
        <v>23463</v>
      </c>
      <c r="AZ2411" s="3" t="s">
        <v>23464</v>
      </c>
      <c r="BA2411" s="3" t="s">
        <v>23464</v>
      </c>
      <c r="BB2411" s="3" t="s">
        <v>23465</v>
      </c>
      <c r="BC2411" s="3" t="s">
        <v>102</v>
      </c>
      <c r="BD2411" s="3" t="s">
        <v>231</v>
      </c>
      <c r="BE2411" s="3" t="s">
        <v>23466</v>
      </c>
      <c r="BF2411" s="3" t="s">
        <v>23465</v>
      </c>
      <c r="BG2411" s="3" t="s">
        <v>23467</v>
      </c>
    </row>
    <row r="2412" spans="1:59" ht="58" x14ac:dyDescent="0.35">
      <c r="A2412" s="2" t="s">
        <v>89</v>
      </c>
      <c r="B2412" s="2" t="s">
        <v>90</v>
      </c>
      <c r="C2412" s="2" t="s">
        <v>23468</v>
      </c>
      <c r="D2412" s="2" t="s">
        <v>23469</v>
      </c>
      <c r="E2412" s="2" t="s">
        <v>23470</v>
      </c>
      <c r="F2412" s="3" t="s">
        <v>13127</v>
      </c>
      <c r="G2412" s="3" t="s">
        <v>62</v>
      </c>
      <c r="I2412" s="3" t="s">
        <v>62</v>
      </c>
      <c r="J2412" s="3" t="s">
        <v>62</v>
      </c>
      <c r="K2412" s="3" t="s">
        <v>63</v>
      </c>
      <c r="L2412" s="2" t="s">
        <v>23471</v>
      </c>
      <c r="M2412" s="2" t="s">
        <v>23472</v>
      </c>
      <c r="N2412" s="3" t="s">
        <v>1195</v>
      </c>
      <c r="O2412" s="2" t="s">
        <v>2986</v>
      </c>
      <c r="P2412" s="3" t="s">
        <v>64</v>
      </c>
      <c r="Q2412" s="2" t="s">
        <v>23461</v>
      </c>
      <c r="R2412" s="3" t="s">
        <v>13065</v>
      </c>
      <c r="S2412" s="4">
        <v>48</v>
      </c>
      <c r="T2412" s="4">
        <v>48</v>
      </c>
      <c r="U2412" s="5" t="s">
        <v>23473</v>
      </c>
      <c r="V2412" s="5" t="s">
        <v>23473</v>
      </c>
      <c r="W2412" s="5" t="s">
        <v>67</v>
      </c>
      <c r="X2412" s="5" t="s">
        <v>67</v>
      </c>
      <c r="Y2412" s="4">
        <v>183</v>
      </c>
      <c r="Z2412" s="4">
        <v>14</v>
      </c>
      <c r="AA2412" s="4">
        <v>25</v>
      </c>
      <c r="AB2412" s="4">
        <v>3</v>
      </c>
      <c r="AC2412" s="4">
        <v>12</v>
      </c>
      <c r="AD2412" s="4">
        <v>52</v>
      </c>
      <c r="AE2412" s="4">
        <v>60</v>
      </c>
      <c r="AF2412" s="4">
        <v>1</v>
      </c>
      <c r="AG2412" s="4">
        <v>6</v>
      </c>
      <c r="AH2412" s="4">
        <v>44</v>
      </c>
      <c r="AI2412" s="4">
        <v>46</v>
      </c>
      <c r="AJ2412" s="4">
        <v>9</v>
      </c>
      <c r="AK2412" s="4">
        <v>13</v>
      </c>
      <c r="AL2412" s="4">
        <v>24</v>
      </c>
      <c r="AM2412" s="4">
        <v>25</v>
      </c>
      <c r="AN2412" s="4">
        <v>0</v>
      </c>
      <c r="AO2412" s="4">
        <v>0</v>
      </c>
      <c r="AP2412" s="4">
        <v>10</v>
      </c>
      <c r="AQ2412" s="4">
        <v>17</v>
      </c>
      <c r="AR2412" s="3" t="s">
        <v>62</v>
      </c>
      <c r="AS2412" s="3" t="s">
        <v>62</v>
      </c>
      <c r="AT2412" s="3" t="s">
        <v>62</v>
      </c>
      <c r="AV2412" s="6" t="str">
        <f>HYPERLINK("http://mcgill.on.worldcat.org/oclc/61878829","Catalog Record")</f>
        <v>Catalog Record</v>
      </c>
      <c r="AW2412" s="6" t="str">
        <f>HYPERLINK("http://www.worldcat.org/oclc/61878829","WorldCat Record")</f>
        <v>WorldCat Record</v>
      </c>
      <c r="AX2412" s="3" t="s">
        <v>23474</v>
      </c>
      <c r="AY2412" s="3" t="s">
        <v>23475</v>
      </c>
      <c r="AZ2412" s="3" t="s">
        <v>23476</v>
      </c>
      <c r="BA2412" s="3" t="s">
        <v>23476</v>
      </c>
      <c r="BB2412" s="3" t="s">
        <v>23477</v>
      </c>
      <c r="BC2412" s="3" t="s">
        <v>102</v>
      </c>
      <c r="BD2412" s="3" t="s">
        <v>68</v>
      </c>
      <c r="BE2412" s="3" t="s">
        <v>23478</v>
      </c>
      <c r="BF2412" s="3" t="s">
        <v>23477</v>
      </c>
      <c r="BG2412" s="3" t="s">
        <v>23479</v>
      </c>
    </row>
    <row r="2413" spans="1:59" ht="58" x14ac:dyDescent="0.35">
      <c r="A2413" s="2" t="s">
        <v>89</v>
      </c>
      <c r="B2413" s="2" t="s">
        <v>90</v>
      </c>
      <c r="C2413" s="2" t="s">
        <v>23480</v>
      </c>
      <c r="D2413" s="2" t="s">
        <v>23481</v>
      </c>
      <c r="E2413" s="2" t="s">
        <v>23482</v>
      </c>
      <c r="G2413" s="3" t="s">
        <v>62</v>
      </c>
      <c r="I2413" s="3" t="s">
        <v>62</v>
      </c>
      <c r="J2413" s="3" t="s">
        <v>62</v>
      </c>
      <c r="K2413" s="3" t="s">
        <v>63</v>
      </c>
      <c r="L2413" s="2" t="s">
        <v>23483</v>
      </c>
      <c r="M2413" s="2" t="s">
        <v>23484</v>
      </c>
      <c r="N2413" s="3" t="s">
        <v>568</v>
      </c>
      <c r="P2413" s="3" t="s">
        <v>64</v>
      </c>
      <c r="Q2413" s="2" t="s">
        <v>23485</v>
      </c>
      <c r="R2413" s="3" t="s">
        <v>13065</v>
      </c>
      <c r="S2413" s="4">
        <v>24</v>
      </c>
      <c r="T2413" s="4">
        <v>24</v>
      </c>
      <c r="U2413" s="5" t="s">
        <v>23454</v>
      </c>
      <c r="V2413" s="5" t="s">
        <v>23454</v>
      </c>
      <c r="W2413" s="5" t="s">
        <v>67</v>
      </c>
      <c r="X2413" s="5" t="s">
        <v>67</v>
      </c>
      <c r="Y2413" s="4">
        <v>204</v>
      </c>
      <c r="Z2413" s="4">
        <v>17</v>
      </c>
      <c r="AA2413" s="4">
        <v>46</v>
      </c>
      <c r="AB2413" s="4">
        <v>2</v>
      </c>
      <c r="AC2413" s="4">
        <v>7</v>
      </c>
      <c r="AD2413" s="4">
        <v>53</v>
      </c>
      <c r="AE2413" s="4">
        <v>96</v>
      </c>
      <c r="AF2413" s="4">
        <v>1</v>
      </c>
      <c r="AG2413" s="4">
        <v>4</v>
      </c>
      <c r="AH2413" s="4">
        <v>45</v>
      </c>
      <c r="AI2413" s="4">
        <v>74</v>
      </c>
      <c r="AJ2413" s="4">
        <v>10</v>
      </c>
      <c r="AK2413" s="4">
        <v>19</v>
      </c>
      <c r="AL2413" s="4">
        <v>27</v>
      </c>
      <c r="AM2413" s="4">
        <v>39</v>
      </c>
      <c r="AN2413" s="4">
        <v>0</v>
      </c>
      <c r="AO2413" s="4">
        <v>0</v>
      </c>
      <c r="AP2413" s="4">
        <v>14</v>
      </c>
      <c r="AQ2413" s="4">
        <v>30</v>
      </c>
      <c r="AR2413" s="3" t="s">
        <v>62</v>
      </c>
      <c r="AS2413" s="3" t="s">
        <v>62</v>
      </c>
      <c r="AT2413" s="3" t="s">
        <v>61</v>
      </c>
      <c r="AU2413" s="6" t="str">
        <f>HYPERLINK("http://catalog.hathitrust.org/Record/004121593","HathiTrust Record")</f>
        <v>HathiTrust Record</v>
      </c>
      <c r="AV2413" s="6" t="str">
        <f>HYPERLINK("http://mcgill.on.worldcat.org/oclc/43970085","Catalog Record")</f>
        <v>Catalog Record</v>
      </c>
      <c r="AW2413" s="6" t="str">
        <f>HYPERLINK("http://www.worldcat.org/oclc/43970085","WorldCat Record")</f>
        <v>WorldCat Record</v>
      </c>
      <c r="AX2413" s="3" t="s">
        <v>23486</v>
      </c>
      <c r="AY2413" s="3" t="s">
        <v>23487</v>
      </c>
      <c r="AZ2413" s="3" t="s">
        <v>23488</v>
      </c>
      <c r="BA2413" s="3" t="s">
        <v>23488</v>
      </c>
      <c r="BB2413" s="3" t="s">
        <v>23489</v>
      </c>
      <c r="BC2413" s="3" t="s">
        <v>102</v>
      </c>
      <c r="BD2413" s="3" t="s">
        <v>68</v>
      </c>
      <c r="BE2413" s="3" t="s">
        <v>23490</v>
      </c>
      <c r="BF2413" s="3" t="s">
        <v>23489</v>
      </c>
      <c r="BG2413" s="3" t="s">
        <v>23491</v>
      </c>
    </row>
    <row r="2414" spans="1:59" ht="58" x14ac:dyDescent="0.35">
      <c r="A2414" s="2" t="s">
        <v>89</v>
      </c>
      <c r="B2414" s="2" t="s">
        <v>90</v>
      </c>
      <c r="C2414" s="2" t="s">
        <v>23492</v>
      </c>
      <c r="D2414" s="2" t="s">
        <v>23493</v>
      </c>
      <c r="E2414" s="2" t="s">
        <v>23494</v>
      </c>
      <c r="G2414" s="3" t="s">
        <v>62</v>
      </c>
      <c r="I2414" s="3" t="s">
        <v>62</v>
      </c>
      <c r="J2414" s="3" t="s">
        <v>62</v>
      </c>
      <c r="K2414" s="3" t="s">
        <v>63</v>
      </c>
      <c r="L2414" s="2" t="s">
        <v>23495</v>
      </c>
      <c r="M2414" s="2" t="s">
        <v>23496</v>
      </c>
      <c r="N2414" s="3" t="s">
        <v>2000</v>
      </c>
      <c r="P2414" s="3" t="s">
        <v>64</v>
      </c>
      <c r="Q2414" s="2" t="s">
        <v>21559</v>
      </c>
      <c r="R2414" s="3" t="s">
        <v>13065</v>
      </c>
      <c r="S2414" s="4">
        <v>44</v>
      </c>
      <c r="T2414" s="4">
        <v>44</v>
      </c>
      <c r="U2414" s="5" t="s">
        <v>2488</v>
      </c>
      <c r="V2414" s="5" t="s">
        <v>2488</v>
      </c>
      <c r="W2414" s="5" t="s">
        <v>67</v>
      </c>
      <c r="X2414" s="5" t="s">
        <v>67</v>
      </c>
      <c r="Y2414" s="4">
        <v>263</v>
      </c>
      <c r="Z2414" s="4">
        <v>14</v>
      </c>
      <c r="AA2414" s="4">
        <v>21</v>
      </c>
      <c r="AB2414" s="4">
        <v>2</v>
      </c>
      <c r="AC2414" s="4">
        <v>5</v>
      </c>
      <c r="AD2414" s="4">
        <v>73</v>
      </c>
      <c r="AE2414" s="4">
        <v>81</v>
      </c>
      <c r="AF2414" s="4">
        <v>1</v>
      </c>
      <c r="AG2414" s="4">
        <v>3</v>
      </c>
      <c r="AH2414" s="4">
        <v>66</v>
      </c>
      <c r="AI2414" s="4">
        <v>71</v>
      </c>
      <c r="AJ2414" s="4">
        <v>8</v>
      </c>
      <c r="AK2414" s="4">
        <v>11</v>
      </c>
      <c r="AL2414" s="4">
        <v>36</v>
      </c>
      <c r="AM2414" s="4">
        <v>39</v>
      </c>
      <c r="AN2414" s="4">
        <v>0</v>
      </c>
      <c r="AO2414" s="4">
        <v>0</v>
      </c>
      <c r="AP2414" s="4">
        <v>10</v>
      </c>
      <c r="AQ2414" s="4">
        <v>14</v>
      </c>
      <c r="AR2414" s="3" t="s">
        <v>62</v>
      </c>
      <c r="AS2414" s="3" t="s">
        <v>62</v>
      </c>
      <c r="AT2414" s="3" t="s">
        <v>62</v>
      </c>
      <c r="AV2414" s="6" t="str">
        <f>HYPERLINK("http://mcgill.on.worldcat.org/oclc/32389350","Catalog Record")</f>
        <v>Catalog Record</v>
      </c>
      <c r="AW2414" s="6" t="str">
        <f>HYPERLINK("http://www.worldcat.org/oclc/32389350","WorldCat Record")</f>
        <v>WorldCat Record</v>
      </c>
      <c r="AX2414" s="3" t="s">
        <v>23497</v>
      </c>
      <c r="AY2414" s="3" t="s">
        <v>23498</v>
      </c>
      <c r="AZ2414" s="3" t="s">
        <v>23499</v>
      </c>
      <c r="BA2414" s="3" t="s">
        <v>23499</v>
      </c>
      <c r="BB2414" s="3" t="s">
        <v>23500</v>
      </c>
      <c r="BC2414" s="3" t="s">
        <v>102</v>
      </c>
      <c r="BD2414" s="3" t="s">
        <v>68</v>
      </c>
      <c r="BE2414" s="3" t="s">
        <v>23501</v>
      </c>
      <c r="BF2414" s="3" t="s">
        <v>23500</v>
      </c>
      <c r="BG2414" s="3" t="s">
        <v>23502</v>
      </c>
    </row>
    <row r="2415" spans="1:59" ht="58" x14ac:dyDescent="0.35">
      <c r="A2415" s="2" t="s">
        <v>89</v>
      </c>
      <c r="B2415" s="2" t="s">
        <v>90</v>
      </c>
      <c r="C2415" s="2" t="s">
        <v>23503</v>
      </c>
      <c r="D2415" s="2" t="s">
        <v>23504</v>
      </c>
      <c r="E2415" s="2" t="s">
        <v>23505</v>
      </c>
      <c r="G2415" s="3" t="s">
        <v>62</v>
      </c>
      <c r="I2415" s="3" t="s">
        <v>61</v>
      </c>
      <c r="J2415" s="3" t="s">
        <v>62</v>
      </c>
      <c r="K2415" s="3" t="s">
        <v>63</v>
      </c>
      <c r="L2415" s="2" t="s">
        <v>23506</v>
      </c>
      <c r="M2415" s="2" t="s">
        <v>23507</v>
      </c>
      <c r="N2415" s="3" t="s">
        <v>2110</v>
      </c>
      <c r="P2415" s="3" t="s">
        <v>64</v>
      </c>
      <c r="Q2415" s="2" t="s">
        <v>23508</v>
      </c>
      <c r="R2415" s="3" t="s">
        <v>13065</v>
      </c>
      <c r="S2415" s="4">
        <v>15</v>
      </c>
      <c r="T2415" s="4">
        <v>77</v>
      </c>
      <c r="U2415" s="5" t="s">
        <v>23509</v>
      </c>
      <c r="V2415" s="5" t="s">
        <v>22624</v>
      </c>
      <c r="W2415" s="5" t="s">
        <v>67</v>
      </c>
      <c r="X2415" s="5" t="s">
        <v>67</v>
      </c>
      <c r="Y2415" s="4">
        <v>942</v>
      </c>
      <c r="Z2415" s="4">
        <v>43</v>
      </c>
      <c r="AA2415" s="4">
        <v>112</v>
      </c>
      <c r="AB2415" s="4">
        <v>3</v>
      </c>
      <c r="AC2415" s="4">
        <v>26</v>
      </c>
      <c r="AD2415" s="4">
        <v>138</v>
      </c>
      <c r="AE2415" s="4">
        <v>163</v>
      </c>
      <c r="AF2415" s="4">
        <v>1</v>
      </c>
      <c r="AG2415" s="4">
        <v>10</v>
      </c>
      <c r="AH2415" s="4">
        <v>106</v>
      </c>
      <c r="AI2415" s="4">
        <v>115</v>
      </c>
      <c r="AJ2415" s="4">
        <v>20</v>
      </c>
      <c r="AK2415" s="4">
        <v>29</v>
      </c>
      <c r="AL2415" s="4">
        <v>58</v>
      </c>
      <c r="AM2415" s="4">
        <v>61</v>
      </c>
      <c r="AN2415" s="4">
        <v>0</v>
      </c>
      <c r="AO2415" s="4">
        <v>0</v>
      </c>
      <c r="AP2415" s="4">
        <v>35</v>
      </c>
      <c r="AQ2415" s="4">
        <v>54</v>
      </c>
      <c r="AR2415" s="3" t="s">
        <v>62</v>
      </c>
      <c r="AS2415" s="3" t="s">
        <v>62</v>
      </c>
      <c r="AT2415" s="3" t="s">
        <v>61</v>
      </c>
      <c r="AU2415" s="6" t="str">
        <f>HYPERLINK("http://catalog.hathitrust.org/Record/000726789","HathiTrust Record")</f>
        <v>HathiTrust Record</v>
      </c>
      <c r="AV2415" s="6" t="str">
        <f>HYPERLINK("http://mcgill.on.worldcat.org/oclc/5196572","Catalog Record")</f>
        <v>Catalog Record</v>
      </c>
      <c r="AW2415" s="6" t="str">
        <f>HYPERLINK("http://www.worldcat.org/oclc/5196572","WorldCat Record")</f>
        <v>WorldCat Record</v>
      </c>
      <c r="AX2415" s="3" t="s">
        <v>23510</v>
      </c>
      <c r="AY2415" s="3" t="s">
        <v>23511</v>
      </c>
      <c r="AZ2415" s="3" t="s">
        <v>23512</v>
      </c>
      <c r="BA2415" s="3" t="s">
        <v>23512</v>
      </c>
      <c r="BB2415" s="3" t="s">
        <v>23513</v>
      </c>
      <c r="BC2415" s="3" t="s">
        <v>102</v>
      </c>
      <c r="BD2415" s="3" t="s">
        <v>231</v>
      </c>
      <c r="BE2415" s="3" t="s">
        <v>23514</v>
      </c>
      <c r="BF2415" s="3" t="s">
        <v>23513</v>
      </c>
      <c r="BG2415" s="3" t="s">
        <v>23515</v>
      </c>
    </row>
    <row r="2416" spans="1:59" ht="58" x14ac:dyDescent="0.35">
      <c r="A2416" s="2" t="s">
        <v>89</v>
      </c>
      <c r="B2416" s="2" t="s">
        <v>90</v>
      </c>
      <c r="C2416" s="2" t="s">
        <v>23503</v>
      </c>
      <c r="D2416" s="2" t="s">
        <v>23504</v>
      </c>
      <c r="E2416" s="2" t="s">
        <v>23505</v>
      </c>
      <c r="G2416" s="3" t="s">
        <v>62</v>
      </c>
      <c r="I2416" s="3" t="s">
        <v>61</v>
      </c>
      <c r="J2416" s="3" t="s">
        <v>62</v>
      </c>
      <c r="K2416" s="3" t="s">
        <v>63</v>
      </c>
      <c r="L2416" s="2" t="s">
        <v>23506</v>
      </c>
      <c r="M2416" s="2" t="s">
        <v>23507</v>
      </c>
      <c r="N2416" s="3" t="s">
        <v>2110</v>
      </c>
      <c r="P2416" s="3" t="s">
        <v>64</v>
      </c>
      <c r="Q2416" s="2" t="s">
        <v>23508</v>
      </c>
      <c r="R2416" s="3" t="s">
        <v>13065</v>
      </c>
      <c r="S2416" s="4">
        <v>19</v>
      </c>
      <c r="T2416" s="4">
        <v>77</v>
      </c>
      <c r="U2416" s="5" t="s">
        <v>23516</v>
      </c>
      <c r="V2416" s="5" t="s">
        <v>22624</v>
      </c>
      <c r="W2416" s="5" t="s">
        <v>67</v>
      </c>
      <c r="X2416" s="5" t="s">
        <v>67</v>
      </c>
      <c r="Y2416" s="4">
        <v>942</v>
      </c>
      <c r="Z2416" s="4">
        <v>43</v>
      </c>
      <c r="AA2416" s="4">
        <v>112</v>
      </c>
      <c r="AB2416" s="4">
        <v>3</v>
      </c>
      <c r="AC2416" s="4">
        <v>26</v>
      </c>
      <c r="AD2416" s="4">
        <v>138</v>
      </c>
      <c r="AE2416" s="4">
        <v>163</v>
      </c>
      <c r="AF2416" s="4">
        <v>1</v>
      </c>
      <c r="AG2416" s="4">
        <v>10</v>
      </c>
      <c r="AH2416" s="4">
        <v>106</v>
      </c>
      <c r="AI2416" s="4">
        <v>115</v>
      </c>
      <c r="AJ2416" s="4">
        <v>20</v>
      </c>
      <c r="AK2416" s="4">
        <v>29</v>
      </c>
      <c r="AL2416" s="4">
        <v>58</v>
      </c>
      <c r="AM2416" s="4">
        <v>61</v>
      </c>
      <c r="AN2416" s="4">
        <v>0</v>
      </c>
      <c r="AO2416" s="4">
        <v>0</v>
      </c>
      <c r="AP2416" s="4">
        <v>35</v>
      </c>
      <c r="AQ2416" s="4">
        <v>54</v>
      </c>
      <c r="AR2416" s="3" t="s">
        <v>62</v>
      </c>
      <c r="AS2416" s="3" t="s">
        <v>62</v>
      </c>
      <c r="AT2416" s="3" t="s">
        <v>61</v>
      </c>
      <c r="AU2416" s="6" t="str">
        <f>HYPERLINK("http://catalog.hathitrust.org/Record/000726789","HathiTrust Record")</f>
        <v>HathiTrust Record</v>
      </c>
      <c r="AV2416" s="6" t="str">
        <f>HYPERLINK("http://mcgill.on.worldcat.org/oclc/5196572","Catalog Record")</f>
        <v>Catalog Record</v>
      </c>
      <c r="AW2416" s="6" t="str">
        <f>HYPERLINK("http://www.worldcat.org/oclc/5196572","WorldCat Record")</f>
        <v>WorldCat Record</v>
      </c>
      <c r="AX2416" s="3" t="s">
        <v>23510</v>
      </c>
      <c r="AY2416" s="3" t="s">
        <v>23511</v>
      </c>
      <c r="AZ2416" s="3" t="s">
        <v>23512</v>
      </c>
      <c r="BA2416" s="3" t="s">
        <v>23512</v>
      </c>
      <c r="BB2416" s="3" t="s">
        <v>23517</v>
      </c>
      <c r="BC2416" s="3" t="s">
        <v>102</v>
      </c>
      <c r="BD2416" s="3" t="s">
        <v>68</v>
      </c>
      <c r="BE2416" s="3" t="s">
        <v>23514</v>
      </c>
      <c r="BF2416" s="3" t="s">
        <v>23517</v>
      </c>
      <c r="BG2416" s="3" t="s">
        <v>23518</v>
      </c>
    </row>
    <row r="2417" spans="1:59" ht="58" x14ac:dyDescent="0.35">
      <c r="A2417" s="2" t="s">
        <v>89</v>
      </c>
      <c r="B2417" s="2" t="s">
        <v>90</v>
      </c>
      <c r="C2417" s="2" t="s">
        <v>23503</v>
      </c>
      <c r="D2417" s="2" t="s">
        <v>23504</v>
      </c>
      <c r="E2417" s="2" t="s">
        <v>23505</v>
      </c>
      <c r="G2417" s="3" t="s">
        <v>62</v>
      </c>
      <c r="I2417" s="3" t="s">
        <v>61</v>
      </c>
      <c r="J2417" s="3" t="s">
        <v>62</v>
      </c>
      <c r="K2417" s="3" t="s">
        <v>63</v>
      </c>
      <c r="L2417" s="2" t="s">
        <v>23506</v>
      </c>
      <c r="M2417" s="2" t="s">
        <v>23507</v>
      </c>
      <c r="N2417" s="3" t="s">
        <v>2110</v>
      </c>
      <c r="P2417" s="3" t="s">
        <v>64</v>
      </c>
      <c r="Q2417" s="2" t="s">
        <v>23508</v>
      </c>
      <c r="R2417" s="3" t="s">
        <v>13065</v>
      </c>
      <c r="S2417" s="4">
        <v>39</v>
      </c>
      <c r="T2417" s="4">
        <v>77</v>
      </c>
      <c r="U2417" s="5" t="s">
        <v>22624</v>
      </c>
      <c r="V2417" s="5" t="s">
        <v>22624</v>
      </c>
      <c r="W2417" s="5" t="s">
        <v>67</v>
      </c>
      <c r="X2417" s="5" t="s">
        <v>67</v>
      </c>
      <c r="Y2417" s="4">
        <v>942</v>
      </c>
      <c r="Z2417" s="4">
        <v>43</v>
      </c>
      <c r="AA2417" s="4">
        <v>112</v>
      </c>
      <c r="AB2417" s="4">
        <v>3</v>
      </c>
      <c r="AC2417" s="4">
        <v>26</v>
      </c>
      <c r="AD2417" s="4">
        <v>138</v>
      </c>
      <c r="AE2417" s="4">
        <v>163</v>
      </c>
      <c r="AF2417" s="4">
        <v>1</v>
      </c>
      <c r="AG2417" s="4">
        <v>10</v>
      </c>
      <c r="AH2417" s="4">
        <v>106</v>
      </c>
      <c r="AI2417" s="4">
        <v>115</v>
      </c>
      <c r="AJ2417" s="4">
        <v>20</v>
      </c>
      <c r="AK2417" s="4">
        <v>29</v>
      </c>
      <c r="AL2417" s="4">
        <v>58</v>
      </c>
      <c r="AM2417" s="4">
        <v>61</v>
      </c>
      <c r="AN2417" s="4">
        <v>0</v>
      </c>
      <c r="AO2417" s="4">
        <v>0</v>
      </c>
      <c r="AP2417" s="4">
        <v>35</v>
      </c>
      <c r="AQ2417" s="4">
        <v>54</v>
      </c>
      <c r="AR2417" s="3" t="s">
        <v>62</v>
      </c>
      <c r="AS2417" s="3" t="s">
        <v>62</v>
      </c>
      <c r="AT2417" s="3" t="s">
        <v>61</v>
      </c>
      <c r="AU2417" s="6" t="str">
        <f>HYPERLINK("http://catalog.hathitrust.org/Record/000726789","HathiTrust Record")</f>
        <v>HathiTrust Record</v>
      </c>
      <c r="AV2417" s="6" t="str">
        <f>HYPERLINK("http://mcgill.on.worldcat.org/oclc/5196572","Catalog Record")</f>
        <v>Catalog Record</v>
      </c>
      <c r="AW2417" s="6" t="str">
        <f>HYPERLINK("http://www.worldcat.org/oclc/5196572","WorldCat Record")</f>
        <v>WorldCat Record</v>
      </c>
      <c r="AX2417" s="3" t="s">
        <v>23510</v>
      </c>
      <c r="AY2417" s="3" t="s">
        <v>23511</v>
      </c>
      <c r="AZ2417" s="3" t="s">
        <v>23512</v>
      </c>
      <c r="BA2417" s="3" t="s">
        <v>23512</v>
      </c>
      <c r="BB2417" s="3" t="s">
        <v>23519</v>
      </c>
      <c r="BC2417" s="3" t="s">
        <v>102</v>
      </c>
      <c r="BD2417" s="3" t="s">
        <v>68</v>
      </c>
      <c r="BE2417" s="3" t="s">
        <v>23514</v>
      </c>
      <c r="BF2417" s="3" t="s">
        <v>23519</v>
      </c>
      <c r="BG2417" s="3" t="s">
        <v>23520</v>
      </c>
    </row>
    <row r="2418" spans="1:59" ht="58" x14ac:dyDescent="0.35">
      <c r="A2418" s="2" t="s">
        <v>89</v>
      </c>
      <c r="B2418" s="2" t="s">
        <v>90</v>
      </c>
      <c r="C2418" s="2" t="s">
        <v>23503</v>
      </c>
      <c r="D2418" s="2" t="s">
        <v>23504</v>
      </c>
      <c r="E2418" s="2" t="s">
        <v>23505</v>
      </c>
      <c r="G2418" s="3" t="s">
        <v>62</v>
      </c>
      <c r="I2418" s="3" t="s">
        <v>61</v>
      </c>
      <c r="J2418" s="3" t="s">
        <v>62</v>
      </c>
      <c r="K2418" s="3" t="s">
        <v>63</v>
      </c>
      <c r="L2418" s="2" t="s">
        <v>23506</v>
      </c>
      <c r="M2418" s="2" t="s">
        <v>23507</v>
      </c>
      <c r="N2418" s="3" t="s">
        <v>2110</v>
      </c>
      <c r="P2418" s="3" t="s">
        <v>64</v>
      </c>
      <c r="Q2418" s="2" t="s">
        <v>23508</v>
      </c>
      <c r="R2418" s="3" t="s">
        <v>13065</v>
      </c>
      <c r="S2418" s="4">
        <v>4</v>
      </c>
      <c r="T2418" s="4">
        <v>77</v>
      </c>
      <c r="U2418" s="5" t="s">
        <v>23521</v>
      </c>
      <c r="V2418" s="5" t="s">
        <v>22624</v>
      </c>
      <c r="W2418" s="5" t="s">
        <v>67</v>
      </c>
      <c r="X2418" s="5" t="s">
        <v>67</v>
      </c>
      <c r="Y2418" s="4">
        <v>942</v>
      </c>
      <c r="Z2418" s="4">
        <v>43</v>
      </c>
      <c r="AA2418" s="4">
        <v>112</v>
      </c>
      <c r="AB2418" s="4">
        <v>3</v>
      </c>
      <c r="AC2418" s="4">
        <v>26</v>
      </c>
      <c r="AD2418" s="4">
        <v>138</v>
      </c>
      <c r="AE2418" s="4">
        <v>163</v>
      </c>
      <c r="AF2418" s="4">
        <v>1</v>
      </c>
      <c r="AG2418" s="4">
        <v>10</v>
      </c>
      <c r="AH2418" s="4">
        <v>106</v>
      </c>
      <c r="AI2418" s="4">
        <v>115</v>
      </c>
      <c r="AJ2418" s="4">
        <v>20</v>
      </c>
      <c r="AK2418" s="4">
        <v>29</v>
      </c>
      <c r="AL2418" s="4">
        <v>58</v>
      </c>
      <c r="AM2418" s="4">
        <v>61</v>
      </c>
      <c r="AN2418" s="4">
        <v>0</v>
      </c>
      <c r="AO2418" s="4">
        <v>0</v>
      </c>
      <c r="AP2418" s="4">
        <v>35</v>
      </c>
      <c r="AQ2418" s="4">
        <v>54</v>
      </c>
      <c r="AR2418" s="3" t="s">
        <v>62</v>
      </c>
      <c r="AS2418" s="3" t="s">
        <v>62</v>
      </c>
      <c r="AT2418" s="3" t="s">
        <v>61</v>
      </c>
      <c r="AU2418" s="6" t="str">
        <f>HYPERLINK("http://catalog.hathitrust.org/Record/000726789","HathiTrust Record")</f>
        <v>HathiTrust Record</v>
      </c>
      <c r="AV2418" s="6" t="str">
        <f>HYPERLINK("http://mcgill.on.worldcat.org/oclc/5196572","Catalog Record")</f>
        <v>Catalog Record</v>
      </c>
      <c r="AW2418" s="6" t="str">
        <f>HYPERLINK("http://www.worldcat.org/oclc/5196572","WorldCat Record")</f>
        <v>WorldCat Record</v>
      </c>
      <c r="AX2418" s="3" t="s">
        <v>23510</v>
      </c>
      <c r="AY2418" s="3" t="s">
        <v>23511</v>
      </c>
      <c r="AZ2418" s="3" t="s">
        <v>23512</v>
      </c>
      <c r="BA2418" s="3" t="s">
        <v>23512</v>
      </c>
      <c r="BB2418" s="3" t="s">
        <v>23522</v>
      </c>
      <c r="BC2418" s="3" t="s">
        <v>102</v>
      </c>
      <c r="BD2418" s="3" t="s">
        <v>68</v>
      </c>
      <c r="BE2418" s="3" t="s">
        <v>23514</v>
      </c>
      <c r="BF2418" s="3" t="s">
        <v>23522</v>
      </c>
      <c r="BG2418" s="3" t="s">
        <v>23523</v>
      </c>
    </row>
    <row r="2419" spans="1:59" ht="58" x14ac:dyDescent="0.35">
      <c r="A2419" s="2" t="s">
        <v>89</v>
      </c>
      <c r="B2419" s="2" t="s">
        <v>90</v>
      </c>
      <c r="C2419" s="2" t="s">
        <v>23524</v>
      </c>
      <c r="D2419" s="2" t="s">
        <v>23525</v>
      </c>
      <c r="E2419" s="2" t="s">
        <v>23526</v>
      </c>
      <c r="G2419" s="3" t="s">
        <v>62</v>
      </c>
      <c r="I2419" s="3" t="s">
        <v>61</v>
      </c>
      <c r="J2419" s="3" t="s">
        <v>62</v>
      </c>
      <c r="K2419" s="3" t="s">
        <v>63</v>
      </c>
      <c r="L2419" s="2" t="s">
        <v>23527</v>
      </c>
      <c r="M2419" s="2" t="s">
        <v>23528</v>
      </c>
      <c r="N2419" s="3" t="s">
        <v>880</v>
      </c>
      <c r="P2419" s="3" t="s">
        <v>64</v>
      </c>
      <c r="Q2419" s="2" t="s">
        <v>23529</v>
      </c>
      <c r="R2419" s="3" t="s">
        <v>13065</v>
      </c>
      <c r="S2419" s="4">
        <v>3</v>
      </c>
      <c r="T2419" s="4">
        <v>5</v>
      </c>
      <c r="U2419" s="5" t="s">
        <v>23530</v>
      </c>
      <c r="V2419" s="5" t="s">
        <v>23530</v>
      </c>
      <c r="W2419" s="5" t="s">
        <v>67</v>
      </c>
      <c r="X2419" s="5" t="s">
        <v>67</v>
      </c>
      <c r="Y2419" s="4">
        <v>202</v>
      </c>
      <c r="Z2419" s="4">
        <v>16</v>
      </c>
      <c r="AA2419" s="4">
        <v>17</v>
      </c>
      <c r="AB2419" s="4">
        <v>2</v>
      </c>
      <c r="AC2419" s="4">
        <v>3</v>
      </c>
      <c r="AD2419" s="4">
        <v>74</v>
      </c>
      <c r="AE2419" s="4">
        <v>74</v>
      </c>
      <c r="AF2419" s="4">
        <v>0</v>
      </c>
      <c r="AG2419" s="4">
        <v>0</v>
      </c>
      <c r="AH2419" s="4">
        <v>65</v>
      </c>
      <c r="AI2419" s="4">
        <v>65</v>
      </c>
      <c r="AJ2419" s="4">
        <v>7</v>
      </c>
      <c r="AK2419" s="4">
        <v>7</v>
      </c>
      <c r="AL2419" s="4">
        <v>40</v>
      </c>
      <c r="AM2419" s="4">
        <v>40</v>
      </c>
      <c r="AN2419" s="4">
        <v>0</v>
      </c>
      <c r="AO2419" s="4">
        <v>0</v>
      </c>
      <c r="AP2419" s="4">
        <v>11</v>
      </c>
      <c r="AQ2419" s="4">
        <v>11</v>
      </c>
      <c r="AR2419" s="3" t="s">
        <v>62</v>
      </c>
      <c r="AS2419" s="3" t="s">
        <v>62</v>
      </c>
      <c r="AT2419" s="3" t="s">
        <v>62</v>
      </c>
      <c r="AV2419" s="6" t="str">
        <f>HYPERLINK("http://mcgill.on.worldcat.org/oclc/441152824","Catalog Record")</f>
        <v>Catalog Record</v>
      </c>
      <c r="AW2419" s="6" t="str">
        <f>HYPERLINK("http://www.worldcat.org/oclc/441152824","WorldCat Record")</f>
        <v>WorldCat Record</v>
      </c>
      <c r="AX2419" s="3" t="s">
        <v>23531</v>
      </c>
      <c r="AY2419" s="3" t="s">
        <v>23532</v>
      </c>
      <c r="AZ2419" s="3" t="s">
        <v>23533</v>
      </c>
      <c r="BA2419" s="3" t="s">
        <v>23533</v>
      </c>
      <c r="BB2419" s="3" t="s">
        <v>23534</v>
      </c>
      <c r="BC2419" s="3" t="s">
        <v>102</v>
      </c>
      <c r="BD2419" s="3" t="s">
        <v>68</v>
      </c>
      <c r="BE2419" s="3" t="s">
        <v>23535</v>
      </c>
      <c r="BF2419" s="3" t="s">
        <v>23534</v>
      </c>
      <c r="BG2419" s="3" t="s">
        <v>23536</v>
      </c>
    </row>
    <row r="2420" spans="1:59" ht="58" x14ac:dyDescent="0.35">
      <c r="A2420" s="2" t="s">
        <v>89</v>
      </c>
      <c r="B2420" s="2" t="s">
        <v>90</v>
      </c>
      <c r="C2420" s="2" t="s">
        <v>23524</v>
      </c>
      <c r="D2420" s="2" t="s">
        <v>23525</v>
      </c>
      <c r="E2420" s="2" t="s">
        <v>23526</v>
      </c>
      <c r="G2420" s="3" t="s">
        <v>62</v>
      </c>
      <c r="I2420" s="3" t="s">
        <v>61</v>
      </c>
      <c r="J2420" s="3" t="s">
        <v>62</v>
      </c>
      <c r="K2420" s="3" t="s">
        <v>63</v>
      </c>
      <c r="L2420" s="2" t="s">
        <v>23527</v>
      </c>
      <c r="M2420" s="2" t="s">
        <v>23528</v>
      </c>
      <c r="N2420" s="3" t="s">
        <v>880</v>
      </c>
      <c r="P2420" s="3" t="s">
        <v>64</v>
      </c>
      <c r="Q2420" s="2" t="s">
        <v>23529</v>
      </c>
      <c r="R2420" s="3" t="s">
        <v>13065</v>
      </c>
      <c r="S2420" s="4">
        <v>2</v>
      </c>
      <c r="T2420" s="4">
        <v>5</v>
      </c>
      <c r="U2420" s="5" t="s">
        <v>23537</v>
      </c>
      <c r="V2420" s="5" t="s">
        <v>23530</v>
      </c>
      <c r="W2420" s="5" t="s">
        <v>67</v>
      </c>
      <c r="X2420" s="5" t="s">
        <v>67</v>
      </c>
      <c r="Y2420" s="4">
        <v>202</v>
      </c>
      <c r="Z2420" s="4">
        <v>16</v>
      </c>
      <c r="AA2420" s="4">
        <v>17</v>
      </c>
      <c r="AB2420" s="4">
        <v>2</v>
      </c>
      <c r="AC2420" s="4">
        <v>3</v>
      </c>
      <c r="AD2420" s="4">
        <v>74</v>
      </c>
      <c r="AE2420" s="4">
        <v>74</v>
      </c>
      <c r="AF2420" s="4">
        <v>0</v>
      </c>
      <c r="AG2420" s="4">
        <v>0</v>
      </c>
      <c r="AH2420" s="4">
        <v>65</v>
      </c>
      <c r="AI2420" s="4">
        <v>65</v>
      </c>
      <c r="AJ2420" s="4">
        <v>7</v>
      </c>
      <c r="AK2420" s="4">
        <v>7</v>
      </c>
      <c r="AL2420" s="4">
        <v>40</v>
      </c>
      <c r="AM2420" s="4">
        <v>40</v>
      </c>
      <c r="AN2420" s="4">
        <v>0</v>
      </c>
      <c r="AO2420" s="4">
        <v>0</v>
      </c>
      <c r="AP2420" s="4">
        <v>11</v>
      </c>
      <c r="AQ2420" s="4">
        <v>11</v>
      </c>
      <c r="AR2420" s="3" t="s">
        <v>62</v>
      </c>
      <c r="AS2420" s="3" t="s">
        <v>62</v>
      </c>
      <c r="AT2420" s="3" t="s">
        <v>62</v>
      </c>
      <c r="AV2420" s="6" t="str">
        <f>HYPERLINK("http://mcgill.on.worldcat.org/oclc/441152824","Catalog Record")</f>
        <v>Catalog Record</v>
      </c>
      <c r="AW2420" s="6" t="str">
        <f>HYPERLINK("http://www.worldcat.org/oclc/441152824","WorldCat Record")</f>
        <v>WorldCat Record</v>
      </c>
      <c r="AX2420" s="3" t="s">
        <v>23531</v>
      </c>
      <c r="AY2420" s="3" t="s">
        <v>23532</v>
      </c>
      <c r="AZ2420" s="3" t="s">
        <v>23533</v>
      </c>
      <c r="BA2420" s="3" t="s">
        <v>23533</v>
      </c>
      <c r="BB2420" s="3" t="s">
        <v>23538</v>
      </c>
      <c r="BC2420" s="3" t="s">
        <v>102</v>
      </c>
      <c r="BD2420" s="3" t="s">
        <v>68</v>
      </c>
      <c r="BE2420" s="3" t="s">
        <v>23535</v>
      </c>
      <c r="BF2420" s="3" t="s">
        <v>23538</v>
      </c>
      <c r="BG2420" s="3" t="s">
        <v>23539</v>
      </c>
    </row>
    <row r="2421" spans="1:59" ht="58" x14ac:dyDescent="0.35">
      <c r="A2421" s="2" t="s">
        <v>89</v>
      </c>
      <c r="B2421" s="2" t="s">
        <v>90</v>
      </c>
      <c r="C2421" s="2" t="s">
        <v>23540</v>
      </c>
      <c r="D2421" s="2" t="s">
        <v>23541</v>
      </c>
      <c r="E2421" s="2" t="s">
        <v>23542</v>
      </c>
      <c r="G2421" s="3" t="s">
        <v>62</v>
      </c>
      <c r="I2421" s="3" t="s">
        <v>62</v>
      </c>
      <c r="J2421" s="3" t="s">
        <v>62</v>
      </c>
      <c r="K2421" s="3" t="s">
        <v>63</v>
      </c>
      <c r="M2421" s="2" t="s">
        <v>23543</v>
      </c>
      <c r="N2421" s="3" t="s">
        <v>596</v>
      </c>
      <c r="P2421" s="3" t="s">
        <v>64</v>
      </c>
      <c r="R2421" s="3" t="s">
        <v>13065</v>
      </c>
      <c r="S2421" s="4">
        <v>25</v>
      </c>
      <c r="T2421" s="4">
        <v>25</v>
      </c>
      <c r="U2421" s="5" t="s">
        <v>23544</v>
      </c>
      <c r="V2421" s="5" t="s">
        <v>23544</v>
      </c>
      <c r="W2421" s="5" t="s">
        <v>67</v>
      </c>
      <c r="X2421" s="5" t="s">
        <v>67</v>
      </c>
      <c r="Y2421" s="4">
        <v>204</v>
      </c>
      <c r="Z2421" s="4">
        <v>11</v>
      </c>
      <c r="AA2421" s="4">
        <v>100</v>
      </c>
      <c r="AB2421" s="4">
        <v>2</v>
      </c>
      <c r="AC2421" s="4">
        <v>17</v>
      </c>
      <c r="AD2421" s="4">
        <v>80</v>
      </c>
      <c r="AE2421" s="4">
        <v>134</v>
      </c>
      <c r="AF2421" s="4">
        <v>1</v>
      </c>
      <c r="AG2421" s="4">
        <v>8</v>
      </c>
      <c r="AH2421" s="4">
        <v>73</v>
      </c>
      <c r="AI2421" s="4">
        <v>96</v>
      </c>
      <c r="AJ2421" s="4">
        <v>8</v>
      </c>
      <c r="AK2421" s="4">
        <v>22</v>
      </c>
      <c r="AL2421" s="4">
        <v>42</v>
      </c>
      <c r="AM2421" s="4">
        <v>49</v>
      </c>
      <c r="AN2421" s="4">
        <v>0</v>
      </c>
      <c r="AO2421" s="4">
        <v>0</v>
      </c>
      <c r="AP2421" s="4">
        <v>9</v>
      </c>
      <c r="AQ2421" s="4">
        <v>44</v>
      </c>
      <c r="AR2421" s="3" t="s">
        <v>62</v>
      </c>
      <c r="AS2421" s="3" t="s">
        <v>62</v>
      </c>
      <c r="AT2421" s="3" t="s">
        <v>62</v>
      </c>
      <c r="AV2421" s="6" t="str">
        <f>HYPERLINK("http://mcgill.on.worldcat.org/oclc/47221810","Catalog Record")</f>
        <v>Catalog Record</v>
      </c>
      <c r="AW2421" s="6" t="str">
        <f>HYPERLINK("http://www.worldcat.org/oclc/47221810","WorldCat Record")</f>
        <v>WorldCat Record</v>
      </c>
      <c r="AX2421" s="3" t="s">
        <v>23545</v>
      </c>
      <c r="AY2421" s="3" t="s">
        <v>23546</v>
      </c>
      <c r="AZ2421" s="3" t="s">
        <v>23547</v>
      </c>
      <c r="BA2421" s="3" t="s">
        <v>23547</v>
      </c>
      <c r="BB2421" s="3" t="s">
        <v>23548</v>
      </c>
      <c r="BC2421" s="3" t="s">
        <v>102</v>
      </c>
      <c r="BD2421" s="3" t="s">
        <v>68</v>
      </c>
      <c r="BE2421" s="3" t="s">
        <v>23549</v>
      </c>
      <c r="BF2421" s="3" t="s">
        <v>23548</v>
      </c>
      <c r="BG2421" s="3" t="s">
        <v>23550</v>
      </c>
    </row>
    <row r="2422" spans="1:59" ht="58" x14ac:dyDescent="0.35">
      <c r="A2422" s="2" t="s">
        <v>89</v>
      </c>
      <c r="B2422" s="2" t="s">
        <v>90</v>
      </c>
      <c r="C2422" s="2" t="s">
        <v>23551</v>
      </c>
      <c r="D2422" s="2" t="s">
        <v>23552</v>
      </c>
      <c r="E2422" s="2" t="s">
        <v>23553</v>
      </c>
      <c r="G2422" s="3" t="s">
        <v>62</v>
      </c>
      <c r="I2422" s="3" t="s">
        <v>62</v>
      </c>
      <c r="J2422" s="3" t="s">
        <v>62</v>
      </c>
      <c r="K2422" s="3" t="s">
        <v>63</v>
      </c>
      <c r="L2422" s="2" t="s">
        <v>23554</v>
      </c>
      <c r="M2422" s="2" t="s">
        <v>23555</v>
      </c>
      <c r="N2422" s="3" t="s">
        <v>539</v>
      </c>
      <c r="P2422" s="3" t="s">
        <v>64</v>
      </c>
      <c r="Q2422" s="2" t="s">
        <v>23556</v>
      </c>
      <c r="R2422" s="3" t="s">
        <v>13065</v>
      </c>
      <c r="S2422" s="4">
        <v>20</v>
      </c>
      <c r="T2422" s="4">
        <v>20</v>
      </c>
      <c r="U2422" s="5" t="s">
        <v>23544</v>
      </c>
      <c r="V2422" s="5" t="s">
        <v>23544</v>
      </c>
      <c r="W2422" s="5" t="s">
        <v>67</v>
      </c>
      <c r="X2422" s="5" t="s">
        <v>67</v>
      </c>
      <c r="Y2422" s="4">
        <v>301</v>
      </c>
      <c r="Z2422" s="4">
        <v>21</v>
      </c>
      <c r="AA2422" s="4">
        <v>53</v>
      </c>
      <c r="AB2422" s="4">
        <v>1</v>
      </c>
      <c r="AC2422" s="4">
        <v>6</v>
      </c>
      <c r="AD2422" s="4">
        <v>87</v>
      </c>
      <c r="AE2422" s="4">
        <v>108</v>
      </c>
      <c r="AF2422" s="4">
        <v>0</v>
      </c>
      <c r="AG2422" s="4">
        <v>1</v>
      </c>
      <c r="AH2422" s="4">
        <v>74</v>
      </c>
      <c r="AI2422" s="4">
        <v>87</v>
      </c>
      <c r="AJ2422" s="4">
        <v>10</v>
      </c>
      <c r="AK2422" s="4">
        <v>17</v>
      </c>
      <c r="AL2422" s="4">
        <v>46</v>
      </c>
      <c r="AM2422" s="4">
        <v>52</v>
      </c>
      <c r="AN2422" s="4">
        <v>0</v>
      </c>
      <c r="AO2422" s="4">
        <v>0</v>
      </c>
      <c r="AP2422" s="4">
        <v>16</v>
      </c>
      <c r="AQ2422" s="4">
        <v>25</v>
      </c>
      <c r="AR2422" s="3" t="s">
        <v>62</v>
      </c>
      <c r="AS2422" s="3" t="s">
        <v>62</v>
      </c>
      <c r="AT2422" s="3" t="s">
        <v>62</v>
      </c>
      <c r="AV2422" s="6" t="str">
        <f>HYPERLINK("http://mcgill.on.worldcat.org/oclc/40298337","Catalog Record")</f>
        <v>Catalog Record</v>
      </c>
      <c r="AW2422" s="6" t="str">
        <f>HYPERLINK("http://www.worldcat.org/oclc/40298337","WorldCat Record")</f>
        <v>WorldCat Record</v>
      </c>
      <c r="AX2422" s="3" t="s">
        <v>23557</v>
      </c>
      <c r="AY2422" s="3" t="s">
        <v>23558</v>
      </c>
      <c r="AZ2422" s="3" t="s">
        <v>23559</v>
      </c>
      <c r="BA2422" s="3" t="s">
        <v>23559</v>
      </c>
      <c r="BB2422" s="3" t="s">
        <v>23560</v>
      </c>
      <c r="BC2422" s="3" t="s">
        <v>102</v>
      </c>
      <c r="BD2422" s="3" t="s">
        <v>68</v>
      </c>
      <c r="BE2422" s="3" t="s">
        <v>23561</v>
      </c>
      <c r="BF2422" s="3" t="s">
        <v>23560</v>
      </c>
      <c r="BG2422" s="3" t="s">
        <v>23562</v>
      </c>
    </row>
    <row r="2423" spans="1:59" ht="58" x14ac:dyDescent="0.35">
      <c r="A2423" s="2" t="s">
        <v>89</v>
      </c>
      <c r="B2423" s="2" t="s">
        <v>90</v>
      </c>
      <c r="C2423" s="2" t="s">
        <v>23563</v>
      </c>
      <c r="D2423" s="2" t="s">
        <v>23564</v>
      </c>
      <c r="E2423" s="2" t="s">
        <v>23565</v>
      </c>
      <c r="G2423" s="3" t="s">
        <v>62</v>
      </c>
      <c r="I2423" s="3" t="s">
        <v>61</v>
      </c>
      <c r="J2423" s="3" t="s">
        <v>62</v>
      </c>
      <c r="K2423" s="3" t="s">
        <v>63</v>
      </c>
      <c r="M2423" s="2" t="s">
        <v>22920</v>
      </c>
      <c r="N2423" s="3" t="s">
        <v>539</v>
      </c>
      <c r="P2423" s="3" t="s">
        <v>64</v>
      </c>
      <c r="R2423" s="3" t="s">
        <v>13065</v>
      </c>
      <c r="S2423" s="4">
        <v>10</v>
      </c>
      <c r="T2423" s="4">
        <v>30</v>
      </c>
      <c r="U2423" s="5" t="s">
        <v>23566</v>
      </c>
      <c r="V2423" s="5" t="s">
        <v>23566</v>
      </c>
      <c r="W2423" s="5" t="s">
        <v>67</v>
      </c>
      <c r="X2423" s="5" t="s">
        <v>67</v>
      </c>
      <c r="Y2423" s="4">
        <v>237</v>
      </c>
      <c r="Z2423" s="4">
        <v>8</v>
      </c>
      <c r="AA2423" s="4">
        <v>12</v>
      </c>
      <c r="AB2423" s="4">
        <v>1</v>
      </c>
      <c r="AC2423" s="4">
        <v>5</v>
      </c>
      <c r="AD2423" s="4">
        <v>79</v>
      </c>
      <c r="AE2423" s="4">
        <v>90</v>
      </c>
      <c r="AF2423" s="4">
        <v>0</v>
      </c>
      <c r="AG2423" s="4">
        <v>1</v>
      </c>
      <c r="AH2423" s="4">
        <v>76</v>
      </c>
      <c r="AI2423" s="4">
        <v>87</v>
      </c>
      <c r="AJ2423" s="4">
        <v>5</v>
      </c>
      <c r="AK2423" s="4">
        <v>6</v>
      </c>
      <c r="AL2423" s="4">
        <v>40</v>
      </c>
      <c r="AM2423" s="4">
        <v>45</v>
      </c>
      <c r="AN2423" s="4">
        <v>0</v>
      </c>
      <c r="AO2423" s="4">
        <v>0</v>
      </c>
      <c r="AP2423" s="4">
        <v>6</v>
      </c>
      <c r="AQ2423" s="4">
        <v>7</v>
      </c>
      <c r="AR2423" s="3" t="s">
        <v>62</v>
      </c>
      <c r="AS2423" s="3" t="s">
        <v>62</v>
      </c>
      <c r="AT2423" s="3" t="s">
        <v>62</v>
      </c>
      <c r="AV2423" s="6" t="str">
        <f>HYPERLINK("http://mcgill.on.worldcat.org/oclc/38010729","Catalog Record")</f>
        <v>Catalog Record</v>
      </c>
      <c r="AW2423" s="6" t="str">
        <f>HYPERLINK("http://www.worldcat.org/oclc/38010729","WorldCat Record")</f>
        <v>WorldCat Record</v>
      </c>
      <c r="AX2423" s="3" t="s">
        <v>23567</v>
      </c>
      <c r="AY2423" s="3" t="s">
        <v>23568</v>
      </c>
      <c r="AZ2423" s="3" t="s">
        <v>23569</v>
      </c>
      <c r="BA2423" s="3" t="s">
        <v>23569</v>
      </c>
      <c r="BB2423" s="3" t="s">
        <v>23570</v>
      </c>
      <c r="BC2423" s="3" t="s">
        <v>102</v>
      </c>
      <c r="BD2423" s="3" t="s">
        <v>68</v>
      </c>
      <c r="BE2423" s="3" t="s">
        <v>23571</v>
      </c>
      <c r="BF2423" s="3" t="s">
        <v>23570</v>
      </c>
      <c r="BG2423" s="3" t="s">
        <v>23572</v>
      </c>
    </row>
    <row r="2424" spans="1:59" ht="58" x14ac:dyDescent="0.35">
      <c r="A2424" s="2" t="s">
        <v>89</v>
      </c>
      <c r="B2424" s="2" t="s">
        <v>90</v>
      </c>
      <c r="C2424" s="2" t="s">
        <v>23563</v>
      </c>
      <c r="D2424" s="2" t="s">
        <v>23564</v>
      </c>
      <c r="E2424" s="2" t="s">
        <v>23565</v>
      </c>
      <c r="G2424" s="3" t="s">
        <v>62</v>
      </c>
      <c r="I2424" s="3" t="s">
        <v>61</v>
      </c>
      <c r="J2424" s="3" t="s">
        <v>62</v>
      </c>
      <c r="K2424" s="3" t="s">
        <v>63</v>
      </c>
      <c r="M2424" s="2" t="s">
        <v>22920</v>
      </c>
      <c r="N2424" s="3" t="s">
        <v>539</v>
      </c>
      <c r="P2424" s="3" t="s">
        <v>64</v>
      </c>
      <c r="R2424" s="3" t="s">
        <v>13065</v>
      </c>
      <c r="S2424" s="4">
        <v>20</v>
      </c>
      <c r="T2424" s="4">
        <v>30</v>
      </c>
      <c r="U2424" s="5" t="s">
        <v>23573</v>
      </c>
      <c r="V2424" s="5" t="s">
        <v>23566</v>
      </c>
      <c r="W2424" s="5" t="s">
        <v>67</v>
      </c>
      <c r="X2424" s="5" t="s">
        <v>67</v>
      </c>
      <c r="Y2424" s="4">
        <v>237</v>
      </c>
      <c r="Z2424" s="4">
        <v>8</v>
      </c>
      <c r="AA2424" s="4">
        <v>12</v>
      </c>
      <c r="AB2424" s="4">
        <v>1</v>
      </c>
      <c r="AC2424" s="4">
        <v>5</v>
      </c>
      <c r="AD2424" s="4">
        <v>79</v>
      </c>
      <c r="AE2424" s="4">
        <v>90</v>
      </c>
      <c r="AF2424" s="4">
        <v>0</v>
      </c>
      <c r="AG2424" s="4">
        <v>1</v>
      </c>
      <c r="AH2424" s="4">
        <v>76</v>
      </c>
      <c r="AI2424" s="4">
        <v>87</v>
      </c>
      <c r="AJ2424" s="4">
        <v>5</v>
      </c>
      <c r="AK2424" s="4">
        <v>6</v>
      </c>
      <c r="AL2424" s="4">
        <v>40</v>
      </c>
      <c r="AM2424" s="4">
        <v>45</v>
      </c>
      <c r="AN2424" s="4">
        <v>0</v>
      </c>
      <c r="AO2424" s="4">
        <v>0</v>
      </c>
      <c r="AP2424" s="4">
        <v>6</v>
      </c>
      <c r="AQ2424" s="4">
        <v>7</v>
      </c>
      <c r="AR2424" s="3" t="s">
        <v>62</v>
      </c>
      <c r="AS2424" s="3" t="s">
        <v>62</v>
      </c>
      <c r="AT2424" s="3" t="s">
        <v>62</v>
      </c>
      <c r="AV2424" s="6" t="str">
        <f>HYPERLINK("http://mcgill.on.worldcat.org/oclc/38010729","Catalog Record")</f>
        <v>Catalog Record</v>
      </c>
      <c r="AW2424" s="6" t="str">
        <f>HYPERLINK("http://www.worldcat.org/oclc/38010729","WorldCat Record")</f>
        <v>WorldCat Record</v>
      </c>
      <c r="AX2424" s="3" t="s">
        <v>23567</v>
      </c>
      <c r="AY2424" s="3" t="s">
        <v>23568</v>
      </c>
      <c r="AZ2424" s="3" t="s">
        <v>23569</v>
      </c>
      <c r="BA2424" s="3" t="s">
        <v>23569</v>
      </c>
      <c r="BB2424" s="3" t="s">
        <v>23574</v>
      </c>
      <c r="BC2424" s="3" t="s">
        <v>102</v>
      </c>
      <c r="BD2424" s="3" t="s">
        <v>68</v>
      </c>
      <c r="BE2424" s="3" t="s">
        <v>23571</v>
      </c>
      <c r="BF2424" s="3" t="s">
        <v>23574</v>
      </c>
      <c r="BG2424" s="3" t="s">
        <v>23575</v>
      </c>
    </row>
    <row r="2425" spans="1:59" ht="58" x14ac:dyDescent="0.35">
      <c r="A2425" s="2" t="s">
        <v>89</v>
      </c>
      <c r="B2425" s="2" t="s">
        <v>90</v>
      </c>
      <c r="C2425" s="2" t="s">
        <v>23576</v>
      </c>
      <c r="D2425" s="2" t="s">
        <v>23577</v>
      </c>
      <c r="E2425" s="2" t="s">
        <v>23578</v>
      </c>
      <c r="G2425" s="3" t="s">
        <v>62</v>
      </c>
      <c r="I2425" s="3" t="s">
        <v>62</v>
      </c>
      <c r="J2425" s="3" t="s">
        <v>62</v>
      </c>
      <c r="K2425" s="3" t="s">
        <v>63</v>
      </c>
      <c r="M2425" s="2" t="s">
        <v>23579</v>
      </c>
      <c r="N2425" s="3" t="s">
        <v>1722</v>
      </c>
      <c r="P2425" s="3" t="s">
        <v>64</v>
      </c>
      <c r="Q2425" s="2" t="s">
        <v>23580</v>
      </c>
      <c r="R2425" s="3" t="s">
        <v>13065</v>
      </c>
      <c r="S2425" s="4">
        <v>9</v>
      </c>
      <c r="T2425" s="4">
        <v>9</v>
      </c>
      <c r="U2425" s="5" t="s">
        <v>23581</v>
      </c>
      <c r="V2425" s="5" t="s">
        <v>23581</v>
      </c>
      <c r="W2425" s="5" t="s">
        <v>67</v>
      </c>
      <c r="X2425" s="5" t="s">
        <v>67</v>
      </c>
      <c r="Y2425" s="4">
        <v>251</v>
      </c>
      <c r="Z2425" s="4">
        <v>22</v>
      </c>
      <c r="AA2425" s="4">
        <v>60</v>
      </c>
      <c r="AB2425" s="4">
        <v>1</v>
      </c>
      <c r="AC2425" s="4">
        <v>11</v>
      </c>
      <c r="AD2425" s="4">
        <v>84</v>
      </c>
      <c r="AE2425" s="4">
        <v>109</v>
      </c>
      <c r="AF2425" s="4">
        <v>0</v>
      </c>
      <c r="AG2425" s="4">
        <v>5</v>
      </c>
      <c r="AH2425" s="4">
        <v>71</v>
      </c>
      <c r="AI2425" s="4">
        <v>86</v>
      </c>
      <c r="AJ2425" s="4">
        <v>11</v>
      </c>
      <c r="AK2425" s="4">
        <v>19</v>
      </c>
      <c r="AL2425" s="4">
        <v>44</v>
      </c>
      <c r="AM2425" s="4">
        <v>48</v>
      </c>
      <c r="AN2425" s="4">
        <v>0</v>
      </c>
      <c r="AO2425" s="4">
        <v>0</v>
      </c>
      <c r="AP2425" s="4">
        <v>16</v>
      </c>
      <c r="AQ2425" s="4">
        <v>31</v>
      </c>
      <c r="AR2425" s="3" t="s">
        <v>62</v>
      </c>
      <c r="AS2425" s="3" t="s">
        <v>62</v>
      </c>
      <c r="AT2425" s="3" t="s">
        <v>62</v>
      </c>
      <c r="AV2425" s="6" t="str">
        <f>HYPERLINK("http://mcgill.on.worldcat.org/oclc/185031297","Catalog Record")</f>
        <v>Catalog Record</v>
      </c>
      <c r="AW2425" s="6" t="str">
        <f>HYPERLINK("http://www.worldcat.org/oclc/185031297","WorldCat Record")</f>
        <v>WorldCat Record</v>
      </c>
      <c r="AX2425" s="3" t="s">
        <v>23582</v>
      </c>
      <c r="AY2425" s="3" t="s">
        <v>23583</v>
      </c>
      <c r="AZ2425" s="3" t="s">
        <v>23584</v>
      </c>
      <c r="BA2425" s="3" t="s">
        <v>23584</v>
      </c>
      <c r="BB2425" s="3" t="s">
        <v>23585</v>
      </c>
      <c r="BC2425" s="3" t="s">
        <v>102</v>
      </c>
      <c r="BD2425" s="3" t="s">
        <v>68</v>
      </c>
      <c r="BE2425" s="3" t="s">
        <v>23586</v>
      </c>
      <c r="BF2425" s="3" t="s">
        <v>23585</v>
      </c>
      <c r="BG2425" s="3" t="s">
        <v>23587</v>
      </c>
    </row>
    <row r="2426" spans="1:59" ht="58" x14ac:dyDescent="0.35">
      <c r="A2426" s="2" t="s">
        <v>89</v>
      </c>
      <c r="B2426" s="2" t="s">
        <v>90</v>
      </c>
      <c r="C2426" s="2" t="s">
        <v>23588</v>
      </c>
      <c r="D2426" s="2" t="s">
        <v>23589</v>
      </c>
      <c r="E2426" s="2" t="s">
        <v>23590</v>
      </c>
      <c r="G2426" s="3" t="s">
        <v>62</v>
      </c>
      <c r="I2426" s="3" t="s">
        <v>62</v>
      </c>
      <c r="J2426" s="3" t="s">
        <v>62</v>
      </c>
      <c r="K2426" s="3" t="s">
        <v>63</v>
      </c>
      <c r="L2426" s="2" t="s">
        <v>23591</v>
      </c>
      <c r="M2426" s="2" t="s">
        <v>23592</v>
      </c>
      <c r="N2426" s="3" t="s">
        <v>1905</v>
      </c>
      <c r="P2426" s="3" t="s">
        <v>64</v>
      </c>
      <c r="Q2426" s="2" t="s">
        <v>23593</v>
      </c>
      <c r="R2426" s="3" t="s">
        <v>13065</v>
      </c>
      <c r="S2426" s="4">
        <v>29</v>
      </c>
      <c r="T2426" s="4">
        <v>29</v>
      </c>
      <c r="U2426" s="5" t="s">
        <v>14075</v>
      </c>
      <c r="V2426" s="5" t="s">
        <v>14075</v>
      </c>
      <c r="W2426" s="5" t="s">
        <v>67</v>
      </c>
      <c r="X2426" s="5" t="s">
        <v>67</v>
      </c>
      <c r="Y2426" s="4">
        <v>544</v>
      </c>
      <c r="Z2426" s="4">
        <v>37</v>
      </c>
      <c r="AA2426" s="4">
        <v>75</v>
      </c>
      <c r="AB2426" s="4">
        <v>2</v>
      </c>
      <c r="AC2426" s="4">
        <v>16</v>
      </c>
      <c r="AD2426" s="4">
        <v>125</v>
      </c>
      <c r="AE2426" s="4">
        <v>137</v>
      </c>
      <c r="AF2426" s="4">
        <v>1</v>
      </c>
      <c r="AG2426" s="4">
        <v>6</v>
      </c>
      <c r="AH2426" s="4">
        <v>102</v>
      </c>
      <c r="AI2426" s="4">
        <v>106</v>
      </c>
      <c r="AJ2426" s="4">
        <v>19</v>
      </c>
      <c r="AK2426" s="4">
        <v>24</v>
      </c>
      <c r="AL2426" s="4">
        <v>56</v>
      </c>
      <c r="AM2426" s="4">
        <v>56</v>
      </c>
      <c r="AN2426" s="4">
        <v>0</v>
      </c>
      <c r="AO2426" s="4">
        <v>0</v>
      </c>
      <c r="AP2426" s="4">
        <v>32</v>
      </c>
      <c r="AQ2426" s="4">
        <v>41</v>
      </c>
      <c r="AR2426" s="3" t="s">
        <v>62</v>
      </c>
      <c r="AS2426" s="3" t="s">
        <v>62</v>
      </c>
      <c r="AT2426" s="3" t="s">
        <v>61</v>
      </c>
      <c r="AU2426" s="6" t="str">
        <f>HYPERLINK("http://catalog.hathitrust.org/Record/000855461","HathiTrust Record")</f>
        <v>HathiTrust Record</v>
      </c>
      <c r="AV2426" s="6" t="str">
        <f>HYPERLINK("http://mcgill.on.worldcat.org/oclc/16319047","Catalog Record")</f>
        <v>Catalog Record</v>
      </c>
      <c r="AW2426" s="6" t="str">
        <f>HYPERLINK("http://www.worldcat.org/oclc/16319047","WorldCat Record")</f>
        <v>WorldCat Record</v>
      </c>
      <c r="AX2426" s="3" t="s">
        <v>23594</v>
      </c>
      <c r="AY2426" s="3" t="s">
        <v>23595</v>
      </c>
      <c r="AZ2426" s="3" t="s">
        <v>23596</v>
      </c>
      <c r="BA2426" s="3" t="s">
        <v>23596</v>
      </c>
      <c r="BB2426" s="3" t="s">
        <v>23597</v>
      </c>
      <c r="BC2426" s="3" t="s">
        <v>102</v>
      </c>
      <c r="BD2426" s="3" t="s">
        <v>68</v>
      </c>
      <c r="BE2426" s="3" t="s">
        <v>23598</v>
      </c>
      <c r="BF2426" s="3" t="s">
        <v>23597</v>
      </c>
      <c r="BG2426" s="3" t="s">
        <v>23599</v>
      </c>
    </row>
    <row r="2427" spans="1:59" ht="58" x14ac:dyDescent="0.35">
      <c r="A2427" s="2" t="s">
        <v>89</v>
      </c>
      <c r="B2427" s="2" t="s">
        <v>90</v>
      </c>
      <c r="C2427" s="2" t="s">
        <v>23600</v>
      </c>
      <c r="D2427" s="2" t="s">
        <v>23601</v>
      </c>
      <c r="E2427" s="2" t="s">
        <v>23602</v>
      </c>
      <c r="F2427" s="3" t="s">
        <v>2217</v>
      </c>
      <c r="G2427" s="3" t="s">
        <v>61</v>
      </c>
      <c r="I2427" s="3" t="s">
        <v>61</v>
      </c>
      <c r="J2427" s="3" t="s">
        <v>62</v>
      </c>
      <c r="K2427" s="3" t="s">
        <v>63</v>
      </c>
      <c r="L2427" s="2" t="s">
        <v>23603</v>
      </c>
      <c r="M2427" s="2" t="s">
        <v>23604</v>
      </c>
      <c r="N2427" s="3" t="s">
        <v>698</v>
      </c>
      <c r="O2427" s="2" t="s">
        <v>11716</v>
      </c>
      <c r="P2427" s="3" t="s">
        <v>64</v>
      </c>
      <c r="R2427" s="3" t="s">
        <v>13065</v>
      </c>
      <c r="S2427" s="4">
        <v>4</v>
      </c>
      <c r="T2427" s="4">
        <v>41</v>
      </c>
      <c r="U2427" s="5" t="s">
        <v>23605</v>
      </c>
      <c r="V2427" s="5" t="s">
        <v>16465</v>
      </c>
      <c r="W2427" s="5" t="s">
        <v>67</v>
      </c>
      <c r="X2427" s="5" t="s">
        <v>67</v>
      </c>
      <c r="Y2427" s="4">
        <v>252</v>
      </c>
      <c r="Z2427" s="4">
        <v>16</v>
      </c>
      <c r="AA2427" s="4">
        <v>19</v>
      </c>
      <c r="AB2427" s="4">
        <v>1</v>
      </c>
      <c r="AC2427" s="4">
        <v>3</v>
      </c>
      <c r="AD2427" s="4">
        <v>76</v>
      </c>
      <c r="AE2427" s="4">
        <v>80</v>
      </c>
      <c r="AF2427" s="4">
        <v>0</v>
      </c>
      <c r="AG2427" s="4">
        <v>2</v>
      </c>
      <c r="AH2427" s="4">
        <v>68</v>
      </c>
      <c r="AI2427" s="4">
        <v>70</v>
      </c>
      <c r="AJ2427" s="4">
        <v>12</v>
      </c>
      <c r="AK2427" s="4">
        <v>13</v>
      </c>
      <c r="AL2427" s="4">
        <v>40</v>
      </c>
      <c r="AM2427" s="4">
        <v>40</v>
      </c>
      <c r="AN2427" s="4">
        <v>0</v>
      </c>
      <c r="AO2427" s="4">
        <v>0</v>
      </c>
      <c r="AP2427" s="4">
        <v>13</v>
      </c>
      <c r="AQ2427" s="4">
        <v>16</v>
      </c>
      <c r="AR2427" s="3" t="s">
        <v>62</v>
      </c>
      <c r="AS2427" s="3" t="s">
        <v>62</v>
      </c>
      <c r="AT2427" s="3" t="s">
        <v>62</v>
      </c>
      <c r="AV2427" s="6" t="str">
        <f>HYPERLINK("http://mcgill.on.worldcat.org/oclc/787853271","Catalog Record")</f>
        <v>Catalog Record</v>
      </c>
      <c r="AW2427" s="6" t="str">
        <f>HYPERLINK("http://www.worldcat.org/oclc/787853271","WorldCat Record")</f>
        <v>WorldCat Record</v>
      </c>
      <c r="AX2427" s="3" t="s">
        <v>23606</v>
      </c>
      <c r="AY2427" s="3" t="s">
        <v>23607</v>
      </c>
      <c r="AZ2427" s="3" t="s">
        <v>23608</v>
      </c>
      <c r="BA2427" s="3" t="s">
        <v>23608</v>
      </c>
      <c r="BB2427" s="3" t="s">
        <v>23609</v>
      </c>
      <c r="BC2427" s="3" t="s">
        <v>102</v>
      </c>
      <c r="BD2427" s="3" t="s">
        <v>231</v>
      </c>
      <c r="BE2427" s="3" t="s">
        <v>23610</v>
      </c>
      <c r="BF2427" s="3" t="s">
        <v>23609</v>
      </c>
      <c r="BG2427" s="3" t="s">
        <v>23611</v>
      </c>
    </row>
    <row r="2428" spans="1:59" ht="58" x14ac:dyDescent="0.35">
      <c r="A2428" s="2" t="s">
        <v>89</v>
      </c>
      <c r="B2428" s="2" t="s">
        <v>90</v>
      </c>
      <c r="C2428" s="2" t="s">
        <v>23600</v>
      </c>
      <c r="D2428" s="2" t="s">
        <v>23601</v>
      </c>
      <c r="E2428" s="2" t="s">
        <v>23602</v>
      </c>
      <c r="F2428" s="3" t="s">
        <v>2217</v>
      </c>
      <c r="G2428" s="3" t="s">
        <v>61</v>
      </c>
      <c r="I2428" s="3" t="s">
        <v>61</v>
      </c>
      <c r="J2428" s="3" t="s">
        <v>62</v>
      </c>
      <c r="K2428" s="3" t="s">
        <v>63</v>
      </c>
      <c r="L2428" s="2" t="s">
        <v>23603</v>
      </c>
      <c r="M2428" s="2" t="s">
        <v>23604</v>
      </c>
      <c r="N2428" s="3" t="s">
        <v>698</v>
      </c>
      <c r="O2428" s="2" t="s">
        <v>11716</v>
      </c>
      <c r="P2428" s="3" t="s">
        <v>64</v>
      </c>
      <c r="R2428" s="3" t="s">
        <v>13065</v>
      </c>
      <c r="S2428" s="4">
        <v>21</v>
      </c>
      <c r="T2428" s="4">
        <v>41</v>
      </c>
      <c r="U2428" s="5" t="s">
        <v>16465</v>
      </c>
      <c r="V2428" s="5" t="s">
        <v>16465</v>
      </c>
      <c r="W2428" s="5" t="s">
        <v>67</v>
      </c>
      <c r="X2428" s="5" t="s">
        <v>67</v>
      </c>
      <c r="Y2428" s="4">
        <v>252</v>
      </c>
      <c r="Z2428" s="4">
        <v>16</v>
      </c>
      <c r="AA2428" s="4">
        <v>19</v>
      </c>
      <c r="AB2428" s="4">
        <v>1</v>
      </c>
      <c r="AC2428" s="4">
        <v>3</v>
      </c>
      <c r="AD2428" s="4">
        <v>76</v>
      </c>
      <c r="AE2428" s="4">
        <v>80</v>
      </c>
      <c r="AF2428" s="4">
        <v>0</v>
      </c>
      <c r="AG2428" s="4">
        <v>2</v>
      </c>
      <c r="AH2428" s="4">
        <v>68</v>
      </c>
      <c r="AI2428" s="4">
        <v>70</v>
      </c>
      <c r="AJ2428" s="4">
        <v>12</v>
      </c>
      <c r="AK2428" s="4">
        <v>13</v>
      </c>
      <c r="AL2428" s="4">
        <v>40</v>
      </c>
      <c r="AM2428" s="4">
        <v>40</v>
      </c>
      <c r="AN2428" s="4">
        <v>0</v>
      </c>
      <c r="AO2428" s="4">
        <v>0</v>
      </c>
      <c r="AP2428" s="4">
        <v>13</v>
      </c>
      <c r="AQ2428" s="4">
        <v>16</v>
      </c>
      <c r="AR2428" s="3" t="s">
        <v>62</v>
      </c>
      <c r="AS2428" s="3" t="s">
        <v>62</v>
      </c>
      <c r="AT2428" s="3" t="s">
        <v>62</v>
      </c>
      <c r="AV2428" s="6" t="str">
        <f>HYPERLINK("http://mcgill.on.worldcat.org/oclc/787853271","Catalog Record")</f>
        <v>Catalog Record</v>
      </c>
      <c r="AW2428" s="6" t="str">
        <f>HYPERLINK("http://www.worldcat.org/oclc/787853271","WorldCat Record")</f>
        <v>WorldCat Record</v>
      </c>
      <c r="AX2428" s="3" t="s">
        <v>23606</v>
      </c>
      <c r="AY2428" s="3" t="s">
        <v>23607</v>
      </c>
      <c r="AZ2428" s="3" t="s">
        <v>23608</v>
      </c>
      <c r="BA2428" s="3" t="s">
        <v>23608</v>
      </c>
      <c r="BB2428" s="3" t="s">
        <v>23612</v>
      </c>
      <c r="BC2428" s="3" t="s">
        <v>102</v>
      </c>
      <c r="BD2428" s="3" t="s">
        <v>68</v>
      </c>
      <c r="BE2428" s="3" t="s">
        <v>23610</v>
      </c>
      <c r="BF2428" s="3" t="s">
        <v>23612</v>
      </c>
      <c r="BG2428" s="3" t="s">
        <v>23613</v>
      </c>
    </row>
    <row r="2429" spans="1:59" ht="58" x14ac:dyDescent="0.35">
      <c r="A2429" s="2" t="s">
        <v>89</v>
      </c>
      <c r="B2429" s="2" t="s">
        <v>90</v>
      </c>
      <c r="C2429" s="2" t="s">
        <v>23600</v>
      </c>
      <c r="D2429" s="2" t="s">
        <v>23601</v>
      </c>
      <c r="E2429" s="2" t="s">
        <v>23602</v>
      </c>
      <c r="F2429" s="3" t="s">
        <v>2233</v>
      </c>
      <c r="G2429" s="3" t="s">
        <v>61</v>
      </c>
      <c r="I2429" s="3" t="s">
        <v>61</v>
      </c>
      <c r="J2429" s="3" t="s">
        <v>62</v>
      </c>
      <c r="K2429" s="3" t="s">
        <v>63</v>
      </c>
      <c r="L2429" s="2" t="s">
        <v>23603</v>
      </c>
      <c r="M2429" s="2" t="s">
        <v>23604</v>
      </c>
      <c r="N2429" s="3" t="s">
        <v>698</v>
      </c>
      <c r="O2429" s="2" t="s">
        <v>11716</v>
      </c>
      <c r="P2429" s="3" t="s">
        <v>64</v>
      </c>
      <c r="R2429" s="3" t="s">
        <v>13065</v>
      </c>
      <c r="S2429" s="4">
        <v>16</v>
      </c>
      <c r="T2429" s="4">
        <v>41</v>
      </c>
      <c r="U2429" s="5" t="s">
        <v>16465</v>
      </c>
      <c r="V2429" s="5" t="s">
        <v>16465</v>
      </c>
      <c r="W2429" s="5" t="s">
        <v>67</v>
      </c>
      <c r="X2429" s="5" t="s">
        <v>67</v>
      </c>
      <c r="Y2429" s="4">
        <v>252</v>
      </c>
      <c r="Z2429" s="4">
        <v>16</v>
      </c>
      <c r="AA2429" s="4">
        <v>19</v>
      </c>
      <c r="AB2429" s="4">
        <v>1</v>
      </c>
      <c r="AC2429" s="4">
        <v>3</v>
      </c>
      <c r="AD2429" s="4">
        <v>76</v>
      </c>
      <c r="AE2429" s="4">
        <v>80</v>
      </c>
      <c r="AF2429" s="4">
        <v>0</v>
      </c>
      <c r="AG2429" s="4">
        <v>2</v>
      </c>
      <c r="AH2429" s="4">
        <v>68</v>
      </c>
      <c r="AI2429" s="4">
        <v>70</v>
      </c>
      <c r="AJ2429" s="4">
        <v>12</v>
      </c>
      <c r="AK2429" s="4">
        <v>13</v>
      </c>
      <c r="AL2429" s="4">
        <v>40</v>
      </c>
      <c r="AM2429" s="4">
        <v>40</v>
      </c>
      <c r="AN2429" s="4">
        <v>0</v>
      </c>
      <c r="AO2429" s="4">
        <v>0</v>
      </c>
      <c r="AP2429" s="4">
        <v>13</v>
      </c>
      <c r="AQ2429" s="4">
        <v>16</v>
      </c>
      <c r="AR2429" s="3" t="s">
        <v>62</v>
      </c>
      <c r="AS2429" s="3" t="s">
        <v>62</v>
      </c>
      <c r="AT2429" s="3" t="s">
        <v>62</v>
      </c>
      <c r="AV2429" s="6" t="str">
        <f>HYPERLINK("http://mcgill.on.worldcat.org/oclc/787853271","Catalog Record")</f>
        <v>Catalog Record</v>
      </c>
      <c r="AW2429" s="6" t="str">
        <f>HYPERLINK("http://www.worldcat.org/oclc/787853271","WorldCat Record")</f>
        <v>WorldCat Record</v>
      </c>
      <c r="AX2429" s="3" t="s">
        <v>23606</v>
      </c>
      <c r="AY2429" s="3" t="s">
        <v>23607</v>
      </c>
      <c r="AZ2429" s="3" t="s">
        <v>23608</v>
      </c>
      <c r="BA2429" s="3" t="s">
        <v>23608</v>
      </c>
      <c r="BB2429" s="3" t="s">
        <v>23614</v>
      </c>
      <c r="BC2429" s="3" t="s">
        <v>102</v>
      </c>
      <c r="BD2429" s="3" t="s">
        <v>68</v>
      </c>
      <c r="BE2429" s="3" t="s">
        <v>23610</v>
      </c>
      <c r="BF2429" s="3" t="s">
        <v>23614</v>
      </c>
      <c r="BG2429" s="3" t="s">
        <v>23615</v>
      </c>
    </row>
    <row r="2430" spans="1:59" ht="58" x14ac:dyDescent="0.35">
      <c r="A2430" s="2" t="s">
        <v>89</v>
      </c>
      <c r="B2430" s="2" t="s">
        <v>90</v>
      </c>
      <c r="C2430" s="2" t="s">
        <v>23616</v>
      </c>
      <c r="D2430" s="2" t="s">
        <v>23617</v>
      </c>
      <c r="E2430" s="2" t="s">
        <v>23618</v>
      </c>
      <c r="G2430" s="3" t="s">
        <v>62</v>
      </c>
      <c r="I2430" s="3" t="s">
        <v>62</v>
      </c>
      <c r="J2430" s="3" t="s">
        <v>62</v>
      </c>
      <c r="K2430" s="3" t="s">
        <v>63</v>
      </c>
      <c r="L2430" s="2" t="s">
        <v>23619</v>
      </c>
      <c r="M2430" s="2" t="s">
        <v>23620</v>
      </c>
      <c r="N2430" s="3" t="s">
        <v>553</v>
      </c>
      <c r="O2430" s="2" t="s">
        <v>2986</v>
      </c>
      <c r="P2430" s="3" t="s">
        <v>64</v>
      </c>
      <c r="Q2430" s="2" t="s">
        <v>23621</v>
      </c>
      <c r="R2430" s="3" t="s">
        <v>13065</v>
      </c>
      <c r="S2430" s="4">
        <v>5</v>
      </c>
      <c r="T2430" s="4">
        <v>5</v>
      </c>
      <c r="U2430" s="5" t="s">
        <v>7311</v>
      </c>
      <c r="V2430" s="5" t="s">
        <v>7311</v>
      </c>
      <c r="W2430" s="5" t="s">
        <v>67</v>
      </c>
      <c r="X2430" s="5" t="s">
        <v>67</v>
      </c>
      <c r="Y2430" s="4">
        <v>259</v>
      </c>
      <c r="Z2430" s="4">
        <v>15</v>
      </c>
      <c r="AA2430" s="4">
        <v>20</v>
      </c>
      <c r="AB2430" s="4">
        <v>2</v>
      </c>
      <c r="AC2430" s="4">
        <v>5</v>
      </c>
      <c r="AD2430" s="4">
        <v>79</v>
      </c>
      <c r="AE2430" s="4">
        <v>84</v>
      </c>
      <c r="AF2430" s="4">
        <v>0</v>
      </c>
      <c r="AG2430" s="4">
        <v>2</v>
      </c>
      <c r="AH2430" s="4">
        <v>73</v>
      </c>
      <c r="AI2430" s="4">
        <v>77</v>
      </c>
      <c r="AJ2430" s="4">
        <v>10</v>
      </c>
      <c r="AK2430" s="4">
        <v>14</v>
      </c>
      <c r="AL2430" s="4">
        <v>42</v>
      </c>
      <c r="AM2430" s="4">
        <v>43</v>
      </c>
      <c r="AN2430" s="4">
        <v>0</v>
      </c>
      <c r="AO2430" s="4">
        <v>0</v>
      </c>
      <c r="AP2430" s="4">
        <v>10</v>
      </c>
      <c r="AQ2430" s="4">
        <v>14</v>
      </c>
      <c r="AR2430" s="3" t="s">
        <v>62</v>
      </c>
      <c r="AS2430" s="3" t="s">
        <v>62</v>
      </c>
      <c r="AT2430" s="3" t="s">
        <v>62</v>
      </c>
      <c r="AV2430" s="6" t="str">
        <f>HYPERLINK("http://mcgill.on.worldcat.org/oclc/40964997","Catalog Record")</f>
        <v>Catalog Record</v>
      </c>
      <c r="AW2430" s="6" t="str">
        <f>HYPERLINK("http://www.worldcat.org/oclc/40964997","WorldCat Record")</f>
        <v>WorldCat Record</v>
      </c>
      <c r="AX2430" s="3" t="s">
        <v>23622</v>
      </c>
      <c r="AY2430" s="3" t="s">
        <v>23623</v>
      </c>
      <c r="AZ2430" s="3" t="s">
        <v>23624</v>
      </c>
      <c r="BA2430" s="3" t="s">
        <v>23624</v>
      </c>
      <c r="BB2430" s="3" t="s">
        <v>23625</v>
      </c>
      <c r="BC2430" s="3" t="s">
        <v>102</v>
      </c>
      <c r="BD2430" s="3" t="s">
        <v>68</v>
      </c>
      <c r="BE2430" s="3" t="s">
        <v>23626</v>
      </c>
      <c r="BF2430" s="3" t="s">
        <v>23625</v>
      </c>
      <c r="BG2430" s="3" t="s">
        <v>23627</v>
      </c>
    </row>
    <row r="2431" spans="1:59" ht="58" x14ac:dyDescent="0.35">
      <c r="A2431" s="2" t="s">
        <v>89</v>
      </c>
      <c r="B2431" s="2" t="s">
        <v>90</v>
      </c>
      <c r="C2431" s="2" t="s">
        <v>23628</v>
      </c>
      <c r="D2431" s="2" t="s">
        <v>23629</v>
      </c>
      <c r="E2431" s="2" t="s">
        <v>23630</v>
      </c>
      <c r="G2431" s="3" t="s">
        <v>62</v>
      </c>
      <c r="I2431" s="3" t="s">
        <v>61</v>
      </c>
      <c r="J2431" s="3" t="s">
        <v>61</v>
      </c>
      <c r="K2431" s="3" t="s">
        <v>63</v>
      </c>
      <c r="L2431" s="2" t="s">
        <v>23631</v>
      </c>
      <c r="M2431" s="2" t="s">
        <v>22098</v>
      </c>
      <c r="N2431" s="3" t="s">
        <v>285</v>
      </c>
      <c r="O2431" s="2" t="s">
        <v>8350</v>
      </c>
      <c r="P2431" s="3" t="s">
        <v>64</v>
      </c>
      <c r="Q2431" s="2" t="s">
        <v>22909</v>
      </c>
      <c r="R2431" s="3" t="s">
        <v>13065</v>
      </c>
      <c r="S2431" s="4">
        <v>15</v>
      </c>
      <c r="T2431" s="4">
        <v>68</v>
      </c>
      <c r="U2431" s="5" t="s">
        <v>9287</v>
      </c>
      <c r="V2431" s="5" t="s">
        <v>1954</v>
      </c>
      <c r="W2431" s="5" t="s">
        <v>67</v>
      </c>
      <c r="X2431" s="5" t="s">
        <v>67</v>
      </c>
      <c r="Y2431" s="4">
        <v>590</v>
      </c>
      <c r="Z2431" s="4">
        <v>36</v>
      </c>
      <c r="AA2431" s="4">
        <v>78</v>
      </c>
      <c r="AB2431" s="4">
        <v>3</v>
      </c>
      <c r="AC2431" s="4">
        <v>14</v>
      </c>
      <c r="AD2431" s="4">
        <v>109</v>
      </c>
      <c r="AE2431" s="4">
        <v>158</v>
      </c>
      <c r="AF2431" s="4">
        <v>1</v>
      </c>
      <c r="AG2431" s="4">
        <v>8</v>
      </c>
      <c r="AH2431" s="4">
        <v>92</v>
      </c>
      <c r="AI2431" s="4">
        <v>116</v>
      </c>
      <c r="AJ2431" s="4">
        <v>17</v>
      </c>
      <c r="AK2431" s="4">
        <v>29</v>
      </c>
      <c r="AL2431" s="4">
        <v>51</v>
      </c>
      <c r="AM2431" s="4">
        <v>59</v>
      </c>
      <c r="AN2431" s="4">
        <v>0</v>
      </c>
      <c r="AO2431" s="4">
        <v>0</v>
      </c>
      <c r="AP2431" s="4">
        <v>22</v>
      </c>
      <c r="AQ2431" s="4">
        <v>51</v>
      </c>
      <c r="AR2431" s="3" t="s">
        <v>62</v>
      </c>
      <c r="AS2431" s="3" t="s">
        <v>62</v>
      </c>
      <c r="AT2431" s="3" t="s">
        <v>61</v>
      </c>
      <c r="AU2431" s="6" t="str">
        <f>HYPERLINK("http://catalog.hathitrust.org/Record/000716679","HathiTrust Record")</f>
        <v>HathiTrust Record</v>
      </c>
      <c r="AV2431" s="6" t="str">
        <f>HYPERLINK("http://mcgill.on.worldcat.org/oclc/5946525","Catalog Record")</f>
        <v>Catalog Record</v>
      </c>
      <c r="AW2431" s="6" t="str">
        <f>HYPERLINK("http://www.worldcat.org/oclc/5946525","WorldCat Record")</f>
        <v>WorldCat Record</v>
      </c>
      <c r="AX2431" s="3" t="s">
        <v>23632</v>
      </c>
      <c r="AY2431" s="3" t="s">
        <v>23633</v>
      </c>
      <c r="AZ2431" s="3" t="s">
        <v>23634</v>
      </c>
      <c r="BA2431" s="3" t="s">
        <v>23634</v>
      </c>
      <c r="BB2431" s="3" t="s">
        <v>23635</v>
      </c>
      <c r="BC2431" s="3" t="s">
        <v>102</v>
      </c>
      <c r="BD2431" s="3" t="s">
        <v>68</v>
      </c>
      <c r="BE2431" s="3" t="s">
        <v>23636</v>
      </c>
      <c r="BF2431" s="3" t="s">
        <v>23635</v>
      </c>
      <c r="BG2431" s="3" t="s">
        <v>23637</v>
      </c>
    </row>
    <row r="2432" spans="1:59" ht="58" x14ac:dyDescent="0.35">
      <c r="A2432" s="2" t="s">
        <v>89</v>
      </c>
      <c r="B2432" s="2" t="s">
        <v>90</v>
      </c>
      <c r="C2432" s="2" t="s">
        <v>23638</v>
      </c>
      <c r="D2432" s="2" t="s">
        <v>23639</v>
      </c>
      <c r="E2432" s="2" t="s">
        <v>23640</v>
      </c>
      <c r="G2432" s="3" t="s">
        <v>62</v>
      </c>
      <c r="I2432" s="3" t="s">
        <v>62</v>
      </c>
      <c r="J2432" s="3" t="s">
        <v>62</v>
      </c>
      <c r="K2432" s="3" t="s">
        <v>63</v>
      </c>
      <c r="L2432" s="2" t="s">
        <v>23641</v>
      </c>
      <c r="M2432" s="2" t="s">
        <v>23642</v>
      </c>
      <c r="N2432" s="3" t="s">
        <v>1077</v>
      </c>
      <c r="P2432" s="3" t="s">
        <v>64</v>
      </c>
      <c r="Q2432" s="2" t="s">
        <v>23643</v>
      </c>
      <c r="R2432" s="3" t="s">
        <v>13065</v>
      </c>
      <c r="S2432" s="4">
        <v>22</v>
      </c>
      <c r="T2432" s="4">
        <v>22</v>
      </c>
      <c r="U2432" s="5" t="s">
        <v>23359</v>
      </c>
      <c r="V2432" s="5" t="s">
        <v>23359</v>
      </c>
      <c r="W2432" s="5" t="s">
        <v>67</v>
      </c>
      <c r="X2432" s="5" t="s">
        <v>67</v>
      </c>
      <c r="Y2432" s="4">
        <v>581</v>
      </c>
      <c r="Z2432" s="4">
        <v>40</v>
      </c>
      <c r="AA2432" s="4">
        <v>80</v>
      </c>
      <c r="AB2432" s="4">
        <v>2</v>
      </c>
      <c r="AC2432" s="4">
        <v>14</v>
      </c>
      <c r="AD2432" s="4">
        <v>115</v>
      </c>
      <c r="AE2432" s="4">
        <v>131</v>
      </c>
      <c r="AF2432" s="4">
        <v>1</v>
      </c>
      <c r="AG2432" s="4">
        <v>6</v>
      </c>
      <c r="AH2432" s="4">
        <v>92</v>
      </c>
      <c r="AI2432" s="4">
        <v>98</v>
      </c>
      <c r="AJ2432" s="4">
        <v>18</v>
      </c>
      <c r="AK2432" s="4">
        <v>23</v>
      </c>
      <c r="AL2432" s="4">
        <v>50</v>
      </c>
      <c r="AM2432" s="4">
        <v>52</v>
      </c>
      <c r="AN2432" s="4">
        <v>0</v>
      </c>
      <c r="AO2432" s="4">
        <v>0</v>
      </c>
      <c r="AP2432" s="4">
        <v>32</v>
      </c>
      <c r="AQ2432" s="4">
        <v>42</v>
      </c>
      <c r="AR2432" s="3" t="s">
        <v>62</v>
      </c>
      <c r="AS2432" s="3" t="s">
        <v>62</v>
      </c>
      <c r="AT2432" s="3" t="s">
        <v>62</v>
      </c>
      <c r="AV2432" s="6" t="str">
        <f>HYPERLINK("http://mcgill.on.worldcat.org/oclc/26401194","Catalog Record")</f>
        <v>Catalog Record</v>
      </c>
      <c r="AW2432" s="6" t="str">
        <f>HYPERLINK("http://www.worldcat.org/oclc/26401194","WorldCat Record")</f>
        <v>WorldCat Record</v>
      </c>
      <c r="AX2432" s="3" t="s">
        <v>23644</v>
      </c>
      <c r="AY2432" s="3" t="s">
        <v>23645</v>
      </c>
      <c r="AZ2432" s="3" t="s">
        <v>23646</v>
      </c>
      <c r="BA2432" s="3" t="s">
        <v>23646</v>
      </c>
      <c r="BB2432" s="3" t="s">
        <v>23647</v>
      </c>
      <c r="BC2432" s="3" t="s">
        <v>102</v>
      </c>
      <c r="BD2432" s="3" t="s">
        <v>68</v>
      </c>
      <c r="BE2432" s="3" t="s">
        <v>23648</v>
      </c>
      <c r="BF2432" s="3" t="s">
        <v>23647</v>
      </c>
      <c r="BG2432" s="3" t="s">
        <v>23649</v>
      </c>
    </row>
    <row r="2433" spans="1:59" ht="58" x14ac:dyDescent="0.35">
      <c r="A2433" s="2" t="s">
        <v>89</v>
      </c>
      <c r="B2433" s="2" t="s">
        <v>90</v>
      </c>
      <c r="C2433" s="2" t="s">
        <v>23650</v>
      </c>
      <c r="D2433" s="2" t="s">
        <v>23651</v>
      </c>
      <c r="E2433" s="2" t="s">
        <v>23652</v>
      </c>
      <c r="G2433" s="3" t="s">
        <v>62</v>
      </c>
      <c r="I2433" s="3" t="s">
        <v>61</v>
      </c>
      <c r="J2433" s="3" t="s">
        <v>62</v>
      </c>
      <c r="K2433" s="3" t="s">
        <v>63</v>
      </c>
      <c r="L2433" s="2" t="s">
        <v>23653</v>
      </c>
      <c r="M2433" s="2" t="s">
        <v>23654</v>
      </c>
      <c r="N2433" s="3" t="s">
        <v>396</v>
      </c>
      <c r="P2433" s="3" t="s">
        <v>64</v>
      </c>
      <c r="Q2433" s="2" t="s">
        <v>23655</v>
      </c>
      <c r="R2433" s="3" t="s">
        <v>13065</v>
      </c>
      <c r="S2433" s="4">
        <v>24</v>
      </c>
      <c r="T2433" s="4">
        <v>43</v>
      </c>
      <c r="U2433" s="5" t="s">
        <v>21181</v>
      </c>
      <c r="V2433" s="5" t="s">
        <v>21181</v>
      </c>
      <c r="W2433" s="5" t="s">
        <v>67</v>
      </c>
      <c r="X2433" s="5" t="s">
        <v>67</v>
      </c>
      <c r="Y2433" s="4">
        <v>694</v>
      </c>
      <c r="Z2433" s="4">
        <v>45</v>
      </c>
      <c r="AA2433" s="4">
        <v>73</v>
      </c>
      <c r="AB2433" s="4">
        <v>2</v>
      </c>
      <c r="AC2433" s="4">
        <v>7</v>
      </c>
      <c r="AD2433" s="4">
        <v>126</v>
      </c>
      <c r="AE2433" s="4">
        <v>136</v>
      </c>
      <c r="AF2433" s="4">
        <v>0</v>
      </c>
      <c r="AG2433" s="4">
        <v>0</v>
      </c>
      <c r="AH2433" s="4">
        <v>98</v>
      </c>
      <c r="AI2433" s="4">
        <v>104</v>
      </c>
      <c r="AJ2433" s="4">
        <v>19</v>
      </c>
      <c r="AK2433" s="4">
        <v>21</v>
      </c>
      <c r="AL2433" s="4">
        <v>54</v>
      </c>
      <c r="AM2433" s="4">
        <v>56</v>
      </c>
      <c r="AN2433" s="4">
        <v>0</v>
      </c>
      <c r="AO2433" s="4">
        <v>0</v>
      </c>
      <c r="AP2433" s="4">
        <v>37</v>
      </c>
      <c r="AQ2433" s="4">
        <v>42</v>
      </c>
      <c r="AR2433" s="3" t="s">
        <v>62</v>
      </c>
      <c r="AS2433" s="3" t="s">
        <v>62</v>
      </c>
      <c r="AT2433" s="3" t="s">
        <v>61</v>
      </c>
      <c r="AU2433" s="6" t="str">
        <f>HYPERLINK("http://catalog.hathitrust.org/Record/000435110","HathiTrust Record")</f>
        <v>HathiTrust Record</v>
      </c>
      <c r="AV2433" s="6" t="str">
        <f>HYPERLINK("http://mcgill.on.worldcat.org/oclc/12967168","Catalog Record")</f>
        <v>Catalog Record</v>
      </c>
      <c r="AW2433" s="6" t="str">
        <f>HYPERLINK("http://www.worldcat.org/oclc/12967168","WorldCat Record")</f>
        <v>WorldCat Record</v>
      </c>
      <c r="AX2433" s="3" t="s">
        <v>23656</v>
      </c>
      <c r="AY2433" s="3" t="s">
        <v>23657</v>
      </c>
      <c r="AZ2433" s="3" t="s">
        <v>23658</v>
      </c>
      <c r="BA2433" s="3" t="s">
        <v>23658</v>
      </c>
      <c r="BB2433" s="3" t="s">
        <v>23659</v>
      </c>
      <c r="BC2433" s="3" t="s">
        <v>102</v>
      </c>
      <c r="BD2433" s="3" t="s">
        <v>68</v>
      </c>
      <c r="BE2433" s="3" t="s">
        <v>23660</v>
      </c>
      <c r="BF2433" s="3" t="s">
        <v>23659</v>
      </c>
      <c r="BG2433" s="3" t="s">
        <v>23661</v>
      </c>
    </row>
    <row r="2434" spans="1:59" ht="58" x14ac:dyDescent="0.35">
      <c r="A2434" s="2" t="s">
        <v>89</v>
      </c>
      <c r="B2434" s="2" t="s">
        <v>90</v>
      </c>
      <c r="C2434" s="2" t="s">
        <v>23650</v>
      </c>
      <c r="D2434" s="2" t="s">
        <v>23651</v>
      </c>
      <c r="E2434" s="2" t="s">
        <v>23652</v>
      </c>
      <c r="G2434" s="3" t="s">
        <v>62</v>
      </c>
      <c r="I2434" s="3" t="s">
        <v>61</v>
      </c>
      <c r="J2434" s="3" t="s">
        <v>62</v>
      </c>
      <c r="K2434" s="3" t="s">
        <v>63</v>
      </c>
      <c r="L2434" s="2" t="s">
        <v>23653</v>
      </c>
      <c r="M2434" s="2" t="s">
        <v>23654</v>
      </c>
      <c r="N2434" s="3" t="s">
        <v>396</v>
      </c>
      <c r="P2434" s="3" t="s">
        <v>64</v>
      </c>
      <c r="Q2434" s="2" t="s">
        <v>23655</v>
      </c>
      <c r="R2434" s="3" t="s">
        <v>13065</v>
      </c>
      <c r="S2434" s="4">
        <v>3</v>
      </c>
      <c r="T2434" s="4">
        <v>43</v>
      </c>
      <c r="U2434" s="5" t="s">
        <v>23662</v>
      </c>
      <c r="V2434" s="5" t="s">
        <v>21181</v>
      </c>
      <c r="W2434" s="5" t="s">
        <v>67</v>
      </c>
      <c r="X2434" s="5" t="s">
        <v>67</v>
      </c>
      <c r="Y2434" s="4">
        <v>694</v>
      </c>
      <c r="Z2434" s="4">
        <v>45</v>
      </c>
      <c r="AA2434" s="4">
        <v>73</v>
      </c>
      <c r="AB2434" s="4">
        <v>2</v>
      </c>
      <c r="AC2434" s="4">
        <v>7</v>
      </c>
      <c r="AD2434" s="4">
        <v>126</v>
      </c>
      <c r="AE2434" s="4">
        <v>136</v>
      </c>
      <c r="AF2434" s="4">
        <v>0</v>
      </c>
      <c r="AG2434" s="4">
        <v>0</v>
      </c>
      <c r="AH2434" s="4">
        <v>98</v>
      </c>
      <c r="AI2434" s="4">
        <v>104</v>
      </c>
      <c r="AJ2434" s="4">
        <v>19</v>
      </c>
      <c r="AK2434" s="4">
        <v>21</v>
      </c>
      <c r="AL2434" s="4">
        <v>54</v>
      </c>
      <c r="AM2434" s="4">
        <v>56</v>
      </c>
      <c r="AN2434" s="4">
        <v>0</v>
      </c>
      <c r="AO2434" s="4">
        <v>0</v>
      </c>
      <c r="AP2434" s="4">
        <v>37</v>
      </c>
      <c r="AQ2434" s="4">
        <v>42</v>
      </c>
      <c r="AR2434" s="3" t="s">
        <v>62</v>
      </c>
      <c r="AS2434" s="3" t="s">
        <v>62</v>
      </c>
      <c r="AT2434" s="3" t="s">
        <v>61</v>
      </c>
      <c r="AU2434" s="6" t="str">
        <f>HYPERLINK("http://catalog.hathitrust.org/Record/000435110","HathiTrust Record")</f>
        <v>HathiTrust Record</v>
      </c>
      <c r="AV2434" s="6" t="str">
        <f>HYPERLINK("http://mcgill.on.worldcat.org/oclc/12967168","Catalog Record")</f>
        <v>Catalog Record</v>
      </c>
      <c r="AW2434" s="6" t="str">
        <f>HYPERLINK("http://www.worldcat.org/oclc/12967168","WorldCat Record")</f>
        <v>WorldCat Record</v>
      </c>
      <c r="AX2434" s="3" t="s">
        <v>23656</v>
      </c>
      <c r="AY2434" s="3" t="s">
        <v>23657</v>
      </c>
      <c r="AZ2434" s="3" t="s">
        <v>23658</v>
      </c>
      <c r="BA2434" s="3" t="s">
        <v>23658</v>
      </c>
      <c r="BB2434" s="3" t="s">
        <v>23663</v>
      </c>
      <c r="BC2434" s="3" t="s">
        <v>102</v>
      </c>
      <c r="BD2434" s="3" t="s">
        <v>68</v>
      </c>
      <c r="BE2434" s="3" t="s">
        <v>23660</v>
      </c>
      <c r="BF2434" s="3" t="s">
        <v>23663</v>
      </c>
      <c r="BG2434" s="3" t="s">
        <v>23664</v>
      </c>
    </row>
    <row r="2435" spans="1:59" ht="58" x14ac:dyDescent="0.35">
      <c r="A2435" s="2" t="s">
        <v>89</v>
      </c>
      <c r="B2435" s="2" t="s">
        <v>90</v>
      </c>
      <c r="C2435" s="2" t="s">
        <v>23665</v>
      </c>
      <c r="D2435" s="2" t="s">
        <v>23666</v>
      </c>
      <c r="E2435" s="2" t="s">
        <v>23667</v>
      </c>
      <c r="G2435" s="3" t="s">
        <v>62</v>
      </c>
      <c r="I2435" s="3" t="s">
        <v>62</v>
      </c>
      <c r="J2435" s="3" t="s">
        <v>62</v>
      </c>
      <c r="K2435" s="3" t="s">
        <v>63</v>
      </c>
      <c r="L2435" s="2" t="s">
        <v>23668</v>
      </c>
      <c r="M2435" s="2" t="s">
        <v>23669</v>
      </c>
      <c r="N2435" s="3" t="s">
        <v>87</v>
      </c>
      <c r="P2435" s="3" t="s">
        <v>64</v>
      </c>
      <c r="R2435" s="3" t="s">
        <v>13065</v>
      </c>
      <c r="S2435" s="4">
        <v>84</v>
      </c>
      <c r="T2435" s="4">
        <v>84</v>
      </c>
      <c r="U2435" s="5" t="s">
        <v>7779</v>
      </c>
      <c r="V2435" s="5" t="s">
        <v>7779</v>
      </c>
      <c r="W2435" s="5" t="s">
        <v>67</v>
      </c>
      <c r="X2435" s="5" t="s">
        <v>67</v>
      </c>
      <c r="Y2435" s="4">
        <v>526</v>
      </c>
      <c r="Z2435" s="4">
        <v>31</v>
      </c>
      <c r="AA2435" s="4">
        <v>62</v>
      </c>
      <c r="AB2435" s="4">
        <v>1</v>
      </c>
      <c r="AC2435" s="4">
        <v>8</v>
      </c>
      <c r="AD2435" s="4">
        <v>106</v>
      </c>
      <c r="AE2435" s="4">
        <v>150</v>
      </c>
      <c r="AF2435" s="4">
        <v>0</v>
      </c>
      <c r="AG2435" s="4">
        <v>6</v>
      </c>
      <c r="AH2435" s="4">
        <v>92</v>
      </c>
      <c r="AI2435" s="4">
        <v>115</v>
      </c>
      <c r="AJ2435" s="4">
        <v>17</v>
      </c>
      <c r="AK2435" s="4">
        <v>26</v>
      </c>
      <c r="AL2435" s="4">
        <v>50</v>
      </c>
      <c r="AM2435" s="4">
        <v>60</v>
      </c>
      <c r="AN2435" s="4">
        <v>0</v>
      </c>
      <c r="AO2435" s="4">
        <v>0</v>
      </c>
      <c r="AP2435" s="4">
        <v>24</v>
      </c>
      <c r="AQ2435" s="4">
        <v>44</v>
      </c>
      <c r="AR2435" s="3" t="s">
        <v>62</v>
      </c>
      <c r="AS2435" s="3" t="s">
        <v>62</v>
      </c>
      <c r="AT2435" s="3" t="s">
        <v>62</v>
      </c>
      <c r="AV2435" s="6" t="str">
        <f>HYPERLINK("http://mcgill.on.worldcat.org/oclc/5044322","Catalog Record")</f>
        <v>Catalog Record</v>
      </c>
      <c r="AW2435" s="6" t="str">
        <f>HYPERLINK("http://www.worldcat.org/oclc/5044322","WorldCat Record")</f>
        <v>WorldCat Record</v>
      </c>
      <c r="AX2435" s="3" t="s">
        <v>23670</v>
      </c>
      <c r="AY2435" s="3" t="s">
        <v>23671</v>
      </c>
      <c r="AZ2435" s="3" t="s">
        <v>23672</v>
      </c>
      <c r="BA2435" s="3" t="s">
        <v>23672</v>
      </c>
      <c r="BB2435" s="3" t="s">
        <v>23673</v>
      </c>
      <c r="BC2435" s="3" t="s">
        <v>102</v>
      </c>
      <c r="BD2435" s="3" t="s">
        <v>68</v>
      </c>
      <c r="BE2435" s="3" t="s">
        <v>23674</v>
      </c>
      <c r="BF2435" s="3" t="s">
        <v>23673</v>
      </c>
      <c r="BG2435" s="3" t="s">
        <v>23675</v>
      </c>
    </row>
    <row r="2436" spans="1:59" ht="58" x14ac:dyDescent="0.35">
      <c r="A2436" s="2" t="s">
        <v>89</v>
      </c>
      <c r="B2436" s="2" t="s">
        <v>90</v>
      </c>
      <c r="C2436" s="2" t="s">
        <v>23676</v>
      </c>
      <c r="D2436" s="2" t="s">
        <v>23677</v>
      </c>
      <c r="E2436" s="2" t="s">
        <v>23678</v>
      </c>
      <c r="G2436" s="3" t="s">
        <v>62</v>
      </c>
      <c r="I2436" s="3" t="s">
        <v>62</v>
      </c>
      <c r="J2436" s="3" t="s">
        <v>62</v>
      </c>
      <c r="K2436" s="3" t="s">
        <v>63</v>
      </c>
      <c r="L2436" s="2" t="s">
        <v>23679</v>
      </c>
      <c r="M2436" s="2" t="s">
        <v>23680</v>
      </c>
      <c r="N2436" s="3" t="s">
        <v>568</v>
      </c>
      <c r="P2436" s="3" t="s">
        <v>64</v>
      </c>
      <c r="Q2436" s="2" t="s">
        <v>23681</v>
      </c>
      <c r="R2436" s="3" t="s">
        <v>13065</v>
      </c>
      <c r="S2436" s="4">
        <v>18</v>
      </c>
      <c r="T2436" s="4">
        <v>18</v>
      </c>
      <c r="U2436" s="5" t="s">
        <v>22624</v>
      </c>
      <c r="V2436" s="5" t="s">
        <v>22624</v>
      </c>
      <c r="W2436" s="5" t="s">
        <v>67</v>
      </c>
      <c r="X2436" s="5" t="s">
        <v>67</v>
      </c>
      <c r="Y2436" s="4">
        <v>364</v>
      </c>
      <c r="Z2436" s="4">
        <v>21</v>
      </c>
      <c r="AA2436" s="4">
        <v>58</v>
      </c>
      <c r="AB2436" s="4">
        <v>1</v>
      </c>
      <c r="AC2436" s="4">
        <v>8</v>
      </c>
      <c r="AD2436" s="4">
        <v>92</v>
      </c>
      <c r="AE2436" s="4">
        <v>124</v>
      </c>
      <c r="AF2436" s="4">
        <v>0</v>
      </c>
      <c r="AG2436" s="4">
        <v>2</v>
      </c>
      <c r="AH2436" s="4">
        <v>76</v>
      </c>
      <c r="AI2436" s="4">
        <v>100</v>
      </c>
      <c r="AJ2436" s="4">
        <v>9</v>
      </c>
      <c r="AK2436" s="4">
        <v>15</v>
      </c>
      <c r="AL2436" s="4">
        <v>47</v>
      </c>
      <c r="AM2436" s="4">
        <v>55</v>
      </c>
      <c r="AN2436" s="4">
        <v>0</v>
      </c>
      <c r="AO2436" s="4">
        <v>0</v>
      </c>
      <c r="AP2436" s="4">
        <v>17</v>
      </c>
      <c r="AQ2436" s="4">
        <v>28</v>
      </c>
      <c r="AR2436" s="3" t="s">
        <v>62</v>
      </c>
      <c r="AS2436" s="3" t="s">
        <v>62</v>
      </c>
      <c r="AT2436" s="3" t="s">
        <v>62</v>
      </c>
      <c r="AV2436" s="6" t="str">
        <f>HYPERLINK("http://mcgill.on.worldcat.org/oclc/41431583","Catalog Record")</f>
        <v>Catalog Record</v>
      </c>
      <c r="AW2436" s="6" t="str">
        <f>HYPERLINK("http://www.worldcat.org/oclc/41431583","WorldCat Record")</f>
        <v>WorldCat Record</v>
      </c>
      <c r="AX2436" s="3" t="s">
        <v>23682</v>
      </c>
      <c r="AY2436" s="3" t="s">
        <v>23683</v>
      </c>
      <c r="AZ2436" s="3" t="s">
        <v>23684</v>
      </c>
      <c r="BA2436" s="3" t="s">
        <v>23684</v>
      </c>
      <c r="BB2436" s="3" t="s">
        <v>23685</v>
      </c>
      <c r="BC2436" s="3" t="s">
        <v>102</v>
      </c>
      <c r="BD2436" s="3" t="s">
        <v>68</v>
      </c>
      <c r="BE2436" s="3" t="s">
        <v>23686</v>
      </c>
      <c r="BF2436" s="3" t="s">
        <v>23685</v>
      </c>
      <c r="BG2436" s="3" t="s">
        <v>23687</v>
      </c>
    </row>
    <row r="2437" spans="1:59" ht="72.5" x14ac:dyDescent="0.35">
      <c r="A2437" s="2" t="s">
        <v>89</v>
      </c>
      <c r="B2437" s="2" t="s">
        <v>6791</v>
      </c>
      <c r="C2437" s="2" t="s">
        <v>23688</v>
      </c>
      <c r="D2437" s="2" t="s">
        <v>23689</v>
      </c>
      <c r="E2437" s="2" t="s">
        <v>23690</v>
      </c>
      <c r="G2437" s="3" t="s">
        <v>62</v>
      </c>
      <c r="I2437" s="3" t="s">
        <v>62</v>
      </c>
      <c r="J2437" s="3" t="s">
        <v>62</v>
      </c>
      <c r="K2437" s="3" t="s">
        <v>63</v>
      </c>
      <c r="M2437" s="2" t="s">
        <v>23691</v>
      </c>
      <c r="N2437" s="3" t="s">
        <v>1722</v>
      </c>
      <c r="P2437" s="3" t="s">
        <v>64</v>
      </c>
      <c r="R2437" s="3" t="s">
        <v>13065</v>
      </c>
      <c r="S2437" s="4">
        <v>11</v>
      </c>
      <c r="T2437" s="4">
        <v>11</v>
      </c>
      <c r="U2437" s="5" t="s">
        <v>23692</v>
      </c>
      <c r="V2437" s="5" t="s">
        <v>23692</v>
      </c>
      <c r="W2437" s="5" t="s">
        <v>67</v>
      </c>
      <c r="X2437" s="5" t="s">
        <v>67</v>
      </c>
      <c r="Y2437" s="4">
        <v>279</v>
      </c>
      <c r="Z2437" s="4">
        <v>25</v>
      </c>
      <c r="AA2437" s="4">
        <v>33</v>
      </c>
      <c r="AB2437" s="4">
        <v>2</v>
      </c>
      <c r="AC2437" s="4">
        <v>7</v>
      </c>
      <c r="AD2437" s="4">
        <v>72</v>
      </c>
      <c r="AE2437" s="4">
        <v>77</v>
      </c>
      <c r="AF2437" s="4">
        <v>1</v>
      </c>
      <c r="AG2437" s="4">
        <v>3</v>
      </c>
      <c r="AH2437" s="4">
        <v>56</v>
      </c>
      <c r="AI2437" s="4">
        <v>57</v>
      </c>
      <c r="AJ2437" s="4">
        <v>12</v>
      </c>
      <c r="AK2437" s="4">
        <v>16</v>
      </c>
      <c r="AL2437" s="4">
        <v>29</v>
      </c>
      <c r="AM2437" s="4">
        <v>29</v>
      </c>
      <c r="AN2437" s="4">
        <v>0</v>
      </c>
      <c r="AO2437" s="4">
        <v>0</v>
      </c>
      <c r="AP2437" s="4">
        <v>21</v>
      </c>
      <c r="AQ2437" s="4">
        <v>25</v>
      </c>
      <c r="AR2437" s="3" t="s">
        <v>62</v>
      </c>
      <c r="AS2437" s="3" t="s">
        <v>62</v>
      </c>
      <c r="AT2437" s="3" t="s">
        <v>61</v>
      </c>
      <c r="AU2437" s="6" t="str">
        <f>HYPERLINK("http://catalog.hathitrust.org/Record/005809221","HathiTrust Record")</f>
        <v>HathiTrust Record</v>
      </c>
      <c r="AV2437" s="6" t="str">
        <f>HYPERLINK("http://mcgill.on.worldcat.org/oclc/190784916","Catalog Record")</f>
        <v>Catalog Record</v>
      </c>
      <c r="AW2437" s="6" t="str">
        <f>HYPERLINK("http://www.worldcat.org/oclc/190784916","WorldCat Record")</f>
        <v>WorldCat Record</v>
      </c>
      <c r="AX2437" s="3" t="s">
        <v>23693</v>
      </c>
      <c r="AY2437" s="3" t="s">
        <v>23694</v>
      </c>
      <c r="AZ2437" s="3" t="s">
        <v>23695</v>
      </c>
      <c r="BA2437" s="3" t="s">
        <v>23695</v>
      </c>
      <c r="BB2437" s="3" t="s">
        <v>23696</v>
      </c>
      <c r="BC2437" s="3" t="s">
        <v>102</v>
      </c>
      <c r="BD2437" s="3" t="s">
        <v>68</v>
      </c>
      <c r="BE2437" s="3" t="s">
        <v>23697</v>
      </c>
      <c r="BF2437" s="3" t="s">
        <v>23696</v>
      </c>
      <c r="BG2437" s="3" t="s">
        <v>23698</v>
      </c>
    </row>
    <row r="2438" spans="1:59" ht="58" x14ac:dyDescent="0.35">
      <c r="A2438" s="2" t="s">
        <v>89</v>
      </c>
      <c r="B2438" s="2" t="s">
        <v>90</v>
      </c>
      <c r="C2438" s="2" t="s">
        <v>23699</v>
      </c>
      <c r="D2438" s="2" t="s">
        <v>23700</v>
      </c>
      <c r="E2438" s="2" t="s">
        <v>23701</v>
      </c>
      <c r="G2438" s="3" t="s">
        <v>62</v>
      </c>
      <c r="I2438" s="3" t="s">
        <v>62</v>
      </c>
      <c r="J2438" s="3" t="s">
        <v>61</v>
      </c>
      <c r="K2438" s="3" t="s">
        <v>63</v>
      </c>
      <c r="L2438" s="2" t="s">
        <v>23702</v>
      </c>
      <c r="M2438" s="2" t="s">
        <v>23703</v>
      </c>
      <c r="N2438" s="3" t="s">
        <v>625</v>
      </c>
      <c r="P2438" s="3" t="s">
        <v>64</v>
      </c>
      <c r="R2438" s="3" t="s">
        <v>13065</v>
      </c>
      <c r="S2438" s="4">
        <v>25</v>
      </c>
      <c r="T2438" s="4">
        <v>25</v>
      </c>
      <c r="U2438" s="5" t="s">
        <v>2292</v>
      </c>
      <c r="V2438" s="5" t="s">
        <v>2292</v>
      </c>
      <c r="W2438" s="5" t="s">
        <v>67</v>
      </c>
      <c r="X2438" s="5" t="s">
        <v>67</v>
      </c>
      <c r="Y2438" s="4">
        <v>106</v>
      </c>
      <c r="Z2438" s="4">
        <v>10</v>
      </c>
      <c r="AA2438" s="4">
        <v>24</v>
      </c>
      <c r="AB2438" s="4">
        <v>1</v>
      </c>
      <c r="AC2438" s="4">
        <v>4</v>
      </c>
      <c r="AD2438" s="4">
        <v>25</v>
      </c>
      <c r="AE2438" s="4">
        <v>47</v>
      </c>
      <c r="AF2438" s="4">
        <v>0</v>
      </c>
      <c r="AG2438" s="4">
        <v>2</v>
      </c>
      <c r="AH2438" s="4">
        <v>23</v>
      </c>
      <c r="AI2438" s="4">
        <v>36</v>
      </c>
      <c r="AJ2438" s="4">
        <v>5</v>
      </c>
      <c r="AK2438" s="4">
        <v>9</v>
      </c>
      <c r="AL2438" s="4">
        <v>8</v>
      </c>
      <c r="AM2438" s="4">
        <v>17</v>
      </c>
      <c r="AN2438" s="4">
        <v>0</v>
      </c>
      <c r="AO2438" s="4">
        <v>0</v>
      </c>
      <c r="AP2438" s="4">
        <v>7</v>
      </c>
      <c r="AQ2438" s="4">
        <v>15</v>
      </c>
      <c r="AR2438" s="3" t="s">
        <v>62</v>
      </c>
      <c r="AS2438" s="3" t="s">
        <v>62</v>
      </c>
      <c r="AT2438" s="3" t="s">
        <v>61</v>
      </c>
      <c r="AU2438" s="6" t="str">
        <f>HYPERLINK("http://catalog.hathitrust.org/Record/004295040","HathiTrust Record")</f>
        <v>HathiTrust Record</v>
      </c>
      <c r="AV2438" s="6" t="str">
        <f>HYPERLINK("http://mcgill.on.worldcat.org/oclc/51461679","Catalog Record")</f>
        <v>Catalog Record</v>
      </c>
      <c r="AW2438" s="6" t="str">
        <f>HYPERLINK("http://www.worldcat.org/oclc/51461679","WorldCat Record")</f>
        <v>WorldCat Record</v>
      </c>
      <c r="AX2438" s="3" t="s">
        <v>23704</v>
      </c>
      <c r="AY2438" s="3" t="s">
        <v>23705</v>
      </c>
      <c r="AZ2438" s="3" t="s">
        <v>23706</v>
      </c>
      <c r="BA2438" s="3" t="s">
        <v>23706</v>
      </c>
      <c r="BB2438" s="3" t="s">
        <v>23707</v>
      </c>
      <c r="BC2438" s="3" t="s">
        <v>102</v>
      </c>
      <c r="BD2438" s="3" t="s">
        <v>68</v>
      </c>
      <c r="BE2438" s="3" t="s">
        <v>23708</v>
      </c>
      <c r="BF2438" s="3" t="s">
        <v>23707</v>
      </c>
      <c r="BG2438" s="3" t="s">
        <v>23709</v>
      </c>
    </row>
    <row r="2439" spans="1:59" ht="58" x14ac:dyDescent="0.35">
      <c r="A2439" s="2" t="s">
        <v>89</v>
      </c>
      <c r="B2439" s="2" t="s">
        <v>90</v>
      </c>
      <c r="C2439" s="2" t="s">
        <v>23710</v>
      </c>
      <c r="D2439" s="2" t="s">
        <v>23711</v>
      </c>
      <c r="E2439" s="2" t="s">
        <v>23712</v>
      </c>
      <c r="G2439" s="3" t="s">
        <v>62</v>
      </c>
      <c r="I2439" s="3" t="s">
        <v>62</v>
      </c>
      <c r="J2439" s="3" t="s">
        <v>62</v>
      </c>
      <c r="K2439" s="3" t="s">
        <v>63</v>
      </c>
      <c r="L2439" s="2" t="s">
        <v>23713</v>
      </c>
      <c r="M2439" s="2" t="s">
        <v>23714</v>
      </c>
      <c r="N2439" s="3" t="s">
        <v>509</v>
      </c>
      <c r="P2439" s="3" t="s">
        <v>64</v>
      </c>
      <c r="Q2439" s="2" t="s">
        <v>23715</v>
      </c>
      <c r="R2439" s="3" t="s">
        <v>13065</v>
      </c>
      <c r="S2439" s="4">
        <v>48</v>
      </c>
      <c r="T2439" s="4">
        <v>48</v>
      </c>
      <c r="U2439" s="5" t="s">
        <v>411</v>
      </c>
      <c r="V2439" s="5" t="s">
        <v>411</v>
      </c>
      <c r="W2439" s="5" t="s">
        <v>67</v>
      </c>
      <c r="X2439" s="5" t="s">
        <v>67</v>
      </c>
      <c r="Y2439" s="4">
        <v>444</v>
      </c>
      <c r="Z2439" s="4">
        <v>28</v>
      </c>
      <c r="AA2439" s="4">
        <v>68</v>
      </c>
      <c r="AB2439" s="4">
        <v>2</v>
      </c>
      <c r="AC2439" s="4">
        <v>15</v>
      </c>
      <c r="AD2439" s="4">
        <v>100</v>
      </c>
      <c r="AE2439" s="4">
        <v>124</v>
      </c>
      <c r="AF2439" s="4">
        <v>1</v>
      </c>
      <c r="AG2439" s="4">
        <v>7</v>
      </c>
      <c r="AH2439" s="4">
        <v>83</v>
      </c>
      <c r="AI2439" s="4">
        <v>96</v>
      </c>
      <c r="AJ2439" s="4">
        <v>13</v>
      </c>
      <c r="AK2439" s="4">
        <v>20</v>
      </c>
      <c r="AL2439" s="4">
        <v>47</v>
      </c>
      <c r="AM2439" s="4">
        <v>52</v>
      </c>
      <c r="AN2439" s="4">
        <v>0</v>
      </c>
      <c r="AO2439" s="4">
        <v>0</v>
      </c>
      <c r="AP2439" s="4">
        <v>23</v>
      </c>
      <c r="AQ2439" s="4">
        <v>36</v>
      </c>
      <c r="AR2439" s="3" t="s">
        <v>62</v>
      </c>
      <c r="AS2439" s="3" t="s">
        <v>62</v>
      </c>
      <c r="AT2439" s="3" t="s">
        <v>61</v>
      </c>
      <c r="AU2439" s="6" t="str">
        <f>HYPERLINK("http://catalog.hathitrust.org/Record/002884857","HathiTrust Record")</f>
        <v>HathiTrust Record</v>
      </c>
      <c r="AV2439" s="6" t="str">
        <f>HYPERLINK("http://mcgill.on.worldcat.org/oclc/30076182","Catalog Record")</f>
        <v>Catalog Record</v>
      </c>
      <c r="AW2439" s="6" t="str">
        <f>HYPERLINK("http://www.worldcat.org/oclc/30076182","WorldCat Record")</f>
        <v>WorldCat Record</v>
      </c>
      <c r="AX2439" s="3" t="s">
        <v>23716</v>
      </c>
      <c r="AY2439" s="3" t="s">
        <v>23717</v>
      </c>
      <c r="AZ2439" s="3" t="s">
        <v>23718</v>
      </c>
      <c r="BA2439" s="3" t="s">
        <v>23718</v>
      </c>
      <c r="BB2439" s="3" t="s">
        <v>23719</v>
      </c>
      <c r="BC2439" s="3" t="s">
        <v>102</v>
      </c>
      <c r="BD2439" s="3" t="s">
        <v>68</v>
      </c>
      <c r="BE2439" s="3" t="s">
        <v>23720</v>
      </c>
      <c r="BF2439" s="3" t="s">
        <v>23719</v>
      </c>
      <c r="BG2439" s="3" t="s">
        <v>23721</v>
      </c>
    </row>
    <row r="2440" spans="1:59" ht="58" x14ac:dyDescent="0.35">
      <c r="A2440" s="2" t="s">
        <v>89</v>
      </c>
      <c r="B2440" s="2" t="s">
        <v>90</v>
      </c>
      <c r="C2440" s="2" t="s">
        <v>23722</v>
      </c>
      <c r="D2440" s="2" t="s">
        <v>23723</v>
      </c>
      <c r="E2440" s="2" t="s">
        <v>23724</v>
      </c>
      <c r="G2440" s="3" t="s">
        <v>62</v>
      </c>
      <c r="I2440" s="3" t="s">
        <v>61</v>
      </c>
      <c r="J2440" s="3" t="s">
        <v>62</v>
      </c>
      <c r="K2440" s="3" t="s">
        <v>63</v>
      </c>
      <c r="L2440" s="2" t="s">
        <v>23725</v>
      </c>
      <c r="M2440" s="2" t="s">
        <v>23726</v>
      </c>
      <c r="N2440" s="3" t="s">
        <v>424</v>
      </c>
      <c r="P2440" s="3" t="s">
        <v>64</v>
      </c>
      <c r="R2440" s="3" t="s">
        <v>13065</v>
      </c>
      <c r="S2440" s="4">
        <v>46</v>
      </c>
      <c r="T2440" s="4">
        <v>201</v>
      </c>
      <c r="U2440" s="5" t="s">
        <v>23727</v>
      </c>
      <c r="V2440" s="5" t="s">
        <v>20946</v>
      </c>
      <c r="W2440" s="5" t="s">
        <v>67</v>
      </c>
      <c r="X2440" s="5" t="s">
        <v>67</v>
      </c>
      <c r="Y2440" s="4">
        <v>484</v>
      </c>
      <c r="Z2440" s="4">
        <v>35</v>
      </c>
      <c r="AA2440" s="4">
        <v>51</v>
      </c>
      <c r="AB2440" s="4">
        <v>2</v>
      </c>
      <c r="AC2440" s="4">
        <v>9</v>
      </c>
      <c r="AD2440" s="4">
        <v>105</v>
      </c>
      <c r="AE2440" s="4">
        <v>125</v>
      </c>
      <c r="AF2440" s="4">
        <v>1</v>
      </c>
      <c r="AG2440" s="4">
        <v>6</v>
      </c>
      <c r="AH2440" s="4">
        <v>88</v>
      </c>
      <c r="AI2440" s="4">
        <v>99</v>
      </c>
      <c r="AJ2440" s="4">
        <v>18</v>
      </c>
      <c r="AK2440" s="4">
        <v>23</v>
      </c>
      <c r="AL2440" s="4">
        <v>49</v>
      </c>
      <c r="AM2440" s="4">
        <v>53</v>
      </c>
      <c r="AN2440" s="4">
        <v>0</v>
      </c>
      <c r="AO2440" s="4">
        <v>0</v>
      </c>
      <c r="AP2440" s="4">
        <v>23</v>
      </c>
      <c r="AQ2440" s="4">
        <v>32</v>
      </c>
      <c r="AR2440" s="3" t="s">
        <v>62</v>
      </c>
      <c r="AS2440" s="3" t="s">
        <v>62</v>
      </c>
      <c r="AT2440" s="3" t="s">
        <v>62</v>
      </c>
      <c r="AV2440" s="6" t="str">
        <f>HYPERLINK("http://mcgill.on.worldcat.org/oclc/16581736","Catalog Record")</f>
        <v>Catalog Record</v>
      </c>
      <c r="AW2440" s="6" t="str">
        <f>HYPERLINK("http://www.worldcat.org/oclc/16581736","WorldCat Record")</f>
        <v>WorldCat Record</v>
      </c>
      <c r="AX2440" s="3" t="s">
        <v>23728</v>
      </c>
      <c r="AY2440" s="3" t="s">
        <v>23729</v>
      </c>
      <c r="AZ2440" s="3" t="s">
        <v>23730</v>
      </c>
      <c r="BA2440" s="3" t="s">
        <v>23730</v>
      </c>
      <c r="BB2440" s="3" t="s">
        <v>23731</v>
      </c>
      <c r="BC2440" s="3" t="s">
        <v>102</v>
      </c>
      <c r="BD2440" s="3" t="s">
        <v>68</v>
      </c>
      <c r="BE2440" s="3" t="s">
        <v>23732</v>
      </c>
      <c r="BF2440" s="3" t="s">
        <v>23731</v>
      </c>
      <c r="BG2440" s="3" t="s">
        <v>23733</v>
      </c>
    </row>
    <row r="2441" spans="1:59" ht="58" x14ac:dyDescent="0.35">
      <c r="A2441" s="2" t="s">
        <v>89</v>
      </c>
      <c r="B2441" s="2" t="s">
        <v>90</v>
      </c>
      <c r="C2441" s="2" t="s">
        <v>23734</v>
      </c>
      <c r="D2441" s="2" t="s">
        <v>23735</v>
      </c>
      <c r="E2441" s="2" t="s">
        <v>23736</v>
      </c>
      <c r="F2441" s="3" t="s">
        <v>14825</v>
      </c>
      <c r="G2441" s="3" t="s">
        <v>61</v>
      </c>
      <c r="I2441" s="3" t="s">
        <v>62</v>
      </c>
      <c r="J2441" s="3" t="s">
        <v>62</v>
      </c>
      <c r="K2441" s="3" t="s">
        <v>63</v>
      </c>
      <c r="L2441" s="2" t="s">
        <v>23737</v>
      </c>
      <c r="M2441" s="2" t="s">
        <v>23048</v>
      </c>
      <c r="N2441" s="3" t="s">
        <v>625</v>
      </c>
      <c r="O2441" s="2" t="s">
        <v>2986</v>
      </c>
      <c r="P2441" s="3" t="s">
        <v>64</v>
      </c>
      <c r="R2441" s="3" t="s">
        <v>13065</v>
      </c>
      <c r="S2441" s="4">
        <v>14</v>
      </c>
      <c r="T2441" s="4">
        <v>17</v>
      </c>
      <c r="U2441" s="5" t="s">
        <v>21458</v>
      </c>
      <c r="V2441" s="5" t="s">
        <v>21458</v>
      </c>
      <c r="W2441" s="5" t="s">
        <v>67</v>
      </c>
      <c r="X2441" s="5" t="s">
        <v>67</v>
      </c>
      <c r="Y2441" s="4">
        <v>201</v>
      </c>
      <c r="Z2441" s="4">
        <v>13</v>
      </c>
      <c r="AA2441" s="4">
        <v>46</v>
      </c>
      <c r="AB2441" s="4">
        <v>1</v>
      </c>
      <c r="AC2441" s="4">
        <v>7</v>
      </c>
      <c r="AD2441" s="4">
        <v>54</v>
      </c>
      <c r="AE2441" s="4">
        <v>116</v>
      </c>
      <c r="AF2441" s="4">
        <v>0</v>
      </c>
      <c r="AG2441" s="4">
        <v>3</v>
      </c>
      <c r="AH2441" s="4">
        <v>48</v>
      </c>
      <c r="AI2441" s="4">
        <v>95</v>
      </c>
      <c r="AJ2441" s="4">
        <v>8</v>
      </c>
      <c r="AK2441" s="4">
        <v>20</v>
      </c>
      <c r="AL2441" s="4">
        <v>31</v>
      </c>
      <c r="AM2441" s="4">
        <v>50</v>
      </c>
      <c r="AN2441" s="4">
        <v>0</v>
      </c>
      <c r="AO2441" s="4">
        <v>0</v>
      </c>
      <c r="AP2441" s="4">
        <v>9</v>
      </c>
      <c r="AQ2441" s="4">
        <v>30</v>
      </c>
      <c r="AR2441" s="3" t="s">
        <v>62</v>
      </c>
      <c r="AS2441" s="3" t="s">
        <v>62</v>
      </c>
      <c r="AT2441" s="3" t="s">
        <v>62</v>
      </c>
      <c r="AV2441" s="6" t="str">
        <f>HYPERLINK("http://mcgill.on.worldcat.org/oclc/50684740","Catalog Record")</f>
        <v>Catalog Record</v>
      </c>
      <c r="AW2441" s="6" t="str">
        <f>HYPERLINK("http://www.worldcat.org/oclc/50684740","WorldCat Record")</f>
        <v>WorldCat Record</v>
      </c>
      <c r="AX2441" s="3" t="s">
        <v>23738</v>
      </c>
      <c r="AY2441" s="3" t="s">
        <v>23739</v>
      </c>
      <c r="AZ2441" s="3" t="s">
        <v>23740</v>
      </c>
      <c r="BA2441" s="3" t="s">
        <v>23740</v>
      </c>
      <c r="BB2441" s="3" t="s">
        <v>23741</v>
      </c>
      <c r="BC2441" s="3" t="s">
        <v>102</v>
      </c>
      <c r="BD2441" s="3" t="s">
        <v>68</v>
      </c>
      <c r="BE2441" s="3" t="s">
        <v>23742</v>
      </c>
      <c r="BF2441" s="3" t="s">
        <v>23741</v>
      </c>
      <c r="BG2441" s="3" t="s">
        <v>23743</v>
      </c>
    </row>
    <row r="2442" spans="1:59" ht="101.5" x14ac:dyDescent="0.35">
      <c r="A2442" s="2" t="s">
        <v>89</v>
      </c>
      <c r="B2442" s="2" t="s">
        <v>23744</v>
      </c>
      <c r="C2442" s="2" t="s">
        <v>23745</v>
      </c>
      <c r="D2442" s="2" t="s">
        <v>23746</v>
      </c>
      <c r="E2442" s="2" t="s">
        <v>23747</v>
      </c>
      <c r="G2442" s="3" t="s">
        <v>62</v>
      </c>
      <c r="I2442" s="3" t="s">
        <v>62</v>
      </c>
      <c r="J2442" s="3" t="s">
        <v>62</v>
      </c>
      <c r="K2442" s="3" t="s">
        <v>63</v>
      </c>
      <c r="L2442" s="2" t="s">
        <v>23748</v>
      </c>
      <c r="M2442" s="2" t="s">
        <v>23749</v>
      </c>
      <c r="N2442" s="3" t="s">
        <v>712</v>
      </c>
      <c r="O2442" s="2" t="s">
        <v>1941</v>
      </c>
      <c r="P2442" s="3" t="s">
        <v>64</v>
      </c>
      <c r="R2442" s="3" t="s">
        <v>13065</v>
      </c>
      <c r="S2442" s="4">
        <v>0</v>
      </c>
      <c r="T2442" s="4">
        <v>0</v>
      </c>
      <c r="W2442" s="5" t="s">
        <v>67</v>
      </c>
      <c r="X2442" s="5" t="s">
        <v>67</v>
      </c>
      <c r="Y2442" s="4">
        <v>664</v>
      </c>
      <c r="Z2442" s="4">
        <v>27</v>
      </c>
      <c r="AA2442" s="4">
        <v>34</v>
      </c>
      <c r="AB2442" s="4">
        <v>2</v>
      </c>
      <c r="AC2442" s="4">
        <v>6</v>
      </c>
      <c r="AD2442" s="4">
        <v>53</v>
      </c>
      <c r="AE2442" s="4">
        <v>68</v>
      </c>
      <c r="AF2442" s="4">
        <v>0</v>
      </c>
      <c r="AG2442" s="4">
        <v>1</v>
      </c>
      <c r="AH2442" s="4">
        <v>45</v>
      </c>
      <c r="AI2442" s="4">
        <v>56</v>
      </c>
      <c r="AJ2442" s="4">
        <v>7</v>
      </c>
      <c r="AK2442" s="4">
        <v>10</v>
      </c>
      <c r="AL2442" s="4">
        <v>25</v>
      </c>
      <c r="AM2442" s="4">
        <v>33</v>
      </c>
      <c r="AN2442" s="4">
        <v>0</v>
      </c>
      <c r="AO2442" s="4">
        <v>0</v>
      </c>
      <c r="AP2442" s="4">
        <v>12</v>
      </c>
      <c r="AQ2442" s="4">
        <v>16</v>
      </c>
      <c r="AR2442" s="3" t="s">
        <v>62</v>
      </c>
      <c r="AS2442" s="3" t="s">
        <v>62</v>
      </c>
      <c r="AT2442" s="3" t="s">
        <v>62</v>
      </c>
      <c r="AV2442" s="6" t="str">
        <f>HYPERLINK("http://mcgill.on.worldcat.org/oclc/861479017","Catalog Record")</f>
        <v>Catalog Record</v>
      </c>
      <c r="AW2442" s="6" t="str">
        <f>HYPERLINK("http://www.worldcat.org/oclc/861479017","WorldCat Record")</f>
        <v>WorldCat Record</v>
      </c>
      <c r="AX2442" s="3" t="s">
        <v>23750</v>
      </c>
      <c r="AY2442" s="3" t="s">
        <v>23751</v>
      </c>
      <c r="AZ2442" s="3" t="s">
        <v>23752</v>
      </c>
      <c r="BA2442" s="3" t="s">
        <v>23752</v>
      </c>
      <c r="BB2442" s="3" t="s">
        <v>23753</v>
      </c>
      <c r="BC2442" s="3" t="s">
        <v>102</v>
      </c>
      <c r="BD2442" s="3" t="s">
        <v>68</v>
      </c>
      <c r="BE2442" s="3" t="s">
        <v>23754</v>
      </c>
      <c r="BF2442" s="3" t="s">
        <v>23753</v>
      </c>
      <c r="BG2442" s="3" t="s">
        <v>23755</v>
      </c>
    </row>
    <row r="2443" spans="1:59" ht="58" x14ac:dyDescent="0.35">
      <c r="A2443" s="2" t="s">
        <v>89</v>
      </c>
      <c r="B2443" s="2" t="s">
        <v>90</v>
      </c>
      <c r="C2443" s="2" t="s">
        <v>23756</v>
      </c>
      <c r="D2443" s="2" t="s">
        <v>23757</v>
      </c>
      <c r="E2443" s="2" t="s">
        <v>23758</v>
      </c>
      <c r="G2443" s="3" t="s">
        <v>62</v>
      </c>
      <c r="I2443" s="3" t="s">
        <v>61</v>
      </c>
      <c r="J2443" s="3" t="s">
        <v>61</v>
      </c>
      <c r="K2443" s="3" t="s">
        <v>63</v>
      </c>
      <c r="L2443" s="2" t="s">
        <v>23759</v>
      </c>
      <c r="M2443" s="2" t="s">
        <v>23760</v>
      </c>
      <c r="N2443" s="3" t="s">
        <v>2445</v>
      </c>
      <c r="P2443" s="3" t="s">
        <v>64</v>
      </c>
      <c r="Q2443" s="2" t="s">
        <v>22211</v>
      </c>
      <c r="R2443" s="3" t="s">
        <v>13065</v>
      </c>
      <c r="S2443" s="4">
        <v>6</v>
      </c>
      <c r="T2443" s="4">
        <v>61</v>
      </c>
      <c r="U2443" s="5" t="s">
        <v>23761</v>
      </c>
      <c r="V2443" s="5" t="s">
        <v>23761</v>
      </c>
      <c r="W2443" s="5" t="s">
        <v>67</v>
      </c>
      <c r="X2443" s="5" t="s">
        <v>67</v>
      </c>
      <c r="Y2443" s="4">
        <v>639</v>
      </c>
      <c r="Z2443" s="4">
        <v>38</v>
      </c>
      <c r="AA2443" s="4">
        <v>86</v>
      </c>
      <c r="AB2443" s="4">
        <v>2</v>
      </c>
      <c r="AC2443" s="4">
        <v>15</v>
      </c>
      <c r="AD2443" s="4">
        <v>116</v>
      </c>
      <c r="AE2443" s="4">
        <v>163</v>
      </c>
      <c r="AF2443" s="4">
        <v>1</v>
      </c>
      <c r="AG2443" s="4">
        <v>7</v>
      </c>
      <c r="AH2443" s="4">
        <v>93</v>
      </c>
      <c r="AI2443" s="4">
        <v>116</v>
      </c>
      <c r="AJ2443" s="4">
        <v>20</v>
      </c>
      <c r="AK2443" s="4">
        <v>29</v>
      </c>
      <c r="AL2443" s="4">
        <v>52</v>
      </c>
      <c r="AM2443" s="4">
        <v>62</v>
      </c>
      <c r="AN2443" s="4">
        <v>0</v>
      </c>
      <c r="AO2443" s="4">
        <v>0</v>
      </c>
      <c r="AP2443" s="4">
        <v>33</v>
      </c>
      <c r="AQ2443" s="4">
        <v>52</v>
      </c>
      <c r="AR2443" s="3" t="s">
        <v>62</v>
      </c>
      <c r="AS2443" s="3" t="s">
        <v>61</v>
      </c>
      <c r="AT2443" s="3" t="s">
        <v>62</v>
      </c>
      <c r="AU2443" s="6" t="str">
        <f>HYPERLINK("http://catalog.hathitrust.org/Record/000468727","HathiTrust Record")</f>
        <v>HathiTrust Record</v>
      </c>
      <c r="AV2443" s="6" t="str">
        <f>HYPERLINK("http://mcgill.on.worldcat.org/oclc/165866","Catalog Record")</f>
        <v>Catalog Record</v>
      </c>
      <c r="AW2443" s="6" t="str">
        <f>HYPERLINK("http://www.worldcat.org/oclc/165866","WorldCat Record")</f>
        <v>WorldCat Record</v>
      </c>
      <c r="AX2443" s="3" t="s">
        <v>23762</v>
      </c>
      <c r="AY2443" s="3" t="s">
        <v>23763</v>
      </c>
      <c r="AZ2443" s="3" t="s">
        <v>23764</v>
      </c>
      <c r="BA2443" s="3" t="s">
        <v>23764</v>
      </c>
      <c r="BB2443" s="3" t="s">
        <v>23765</v>
      </c>
      <c r="BC2443" s="3" t="s">
        <v>102</v>
      </c>
      <c r="BD2443" s="3" t="s">
        <v>68</v>
      </c>
      <c r="BF2443" s="3" t="s">
        <v>23765</v>
      </c>
      <c r="BG2443" s="3" t="s">
        <v>23766</v>
      </c>
    </row>
    <row r="2444" spans="1:59" ht="58" x14ac:dyDescent="0.35">
      <c r="A2444" s="2" t="s">
        <v>89</v>
      </c>
      <c r="B2444" s="2" t="s">
        <v>90</v>
      </c>
      <c r="C2444" s="2" t="s">
        <v>23767</v>
      </c>
      <c r="D2444" s="2" t="s">
        <v>23768</v>
      </c>
      <c r="E2444" s="2" t="s">
        <v>23769</v>
      </c>
      <c r="G2444" s="3" t="s">
        <v>62</v>
      </c>
      <c r="I2444" s="3" t="s">
        <v>61</v>
      </c>
      <c r="J2444" s="3" t="s">
        <v>61</v>
      </c>
      <c r="K2444" s="3" t="s">
        <v>63</v>
      </c>
      <c r="L2444" s="2" t="s">
        <v>23759</v>
      </c>
      <c r="M2444" s="2" t="s">
        <v>2540</v>
      </c>
      <c r="N2444" s="3" t="s">
        <v>1064</v>
      </c>
      <c r="O2444" s="2" t="s">
        <v>8350</v>
      </c>
      <c r="P2444" s="3" t="s">
        <v>64</v>
      </c>
      <c r="Q2444" s="2" t="s">
        <v>22211</v>
      </c>
      <c r="R2444" s="3" t="s">
        <v>13065</v>
      </c>
      <c r="S2444" s="4">
        <v>20</v>
      </c>
      <c r="T2444" s="4">
        <v>59</v>
      </c>
      <c r="U2444" s="5" t="s">
        <v>21367</v>
      </c>
      <c r="V2444" s="5" t="s">
        <v>23770</v>
      </c>
      <c r="W2444" s="5" t="s">
        <v>67</v>
      </c>
      <c r="X2444" s="5" t="s">
        <v>67</v>
      </c>
      <c r="Y2444" s="4">
        <v>886</v>
      </c>
      <c r="Z2444" s="4">
        <v>46</v>
      </c>
      <c r="AA2444" s="4">
        <v>86</v>
      </c>
      <c r="AB2444" s="4">
        <v>2</v>
      </c>
      <c r="AC2444" s="4">
        <v>15</v>
      </c>
      <c r="AD2444" s="4">
        <v>129</v>
      </c>
      <c r="AE2444" s="4">
        <v>163</v>
      </c>
      <c r="AF2444" s="4">
        <v>1</v>
      </c>
      <c r="AG2444" s="4">
        <v>7</v>
      </c>
      <c r="AH2444" s="4">
        <v>106</v>
      </c>
      <c r="AI2444" s="4">
        <v>116</v>
      </c>
      <c r="AJ2444" s="4">
        <v>17</v>
      </c>
      <c r="AK2444" s="4">
        <v>29</v>
      </c>
      <c r="AL2444" s="4">
        <v>57</v>
      </c>
      <c r="AM2444" s="4">
        <v>62</v>
      </c>
      <c r="AN2444" s="4">
        <v>0</v>
      </c>
      <c r="AO2444" s="4">
        <v>0</v>
      </c>
      <c r="AP2444" s="4">
        <v>29</v>
      </c>
      <c r="AQ2444" s="4">
        <v>52</v>
      </c>
      <c r="AR2444" s="3" t="s">
        <v>62</v>
      </c>
      <c r="AS2444" s="3" t="s">
        <v>62</v>
      </c>
      <c r="AT2444" s="3" t="s">
        <v>61</v>
      </c>
      <c r="AU2444" s="6" t="str">
        <f>HYPERLINK("http://catalog.hathitrust.org/Record/000002369","HathiTrust Record")</f>
        <v>HathiTrust Record</v>
      </c>
      <c r="AV2444" s="6" t="str">
        <f>HYPERLINK("http://mcgill.on.worldcat.org/oclc/157313","Catalog Record")</f>
        <v>Catalog Record</v>
      </c>
      <c r="AW2444" s="6" t="str">
        <f>HYPERLINK("http://www.worldcat.org/oclc/157313","WorldCat Record")</f>
        <v>WorldCat Record</v>
      </c>
      <c r="AX2444" s="3" t="s">
        <v>23762</v>
      </c>
      <c r="AY2444" s="3" t="s">
        <v>23771</v>
      </c>
      <c r="AZ2444" s="3" t="s">
        <v>23772</v>
      </c>
      <c r="BA2444" s="3" t="s">
        <v>23772</v>
      </c>
      <c r="BB2444" s="3" t="s">
        <v>23773</v>
      </c>
      <c r="BC2444" s="3" t="s">
        <v>102</v>
      </c>
      <c r="BD2444" s="3" t="s">
        <v>68</v>
      </c>
      <c r="BE2444" s="3" t="s">
        <v>23774</v>
      </c>
      <c r="BF2444" s="3" t="s">
        <v>23773</v>
      </c>
      <c r="BG2444" s="3" t="s">
        <v>23775</v>
      </c>
    </row>
    <row r="2445" spans="1:59" ht="58" x14ac:dyDescent="0.35">
      <c r="A2445" s="2" t="s">
        <v>89</v>
      </c>
      <c r="B2445" s="2" t="s">
        <v>90</v>
      </c>
      <c r="C2445" s="2" t="s">
        <v>23776</v>
      </c>
      <c r="D2445" s="2" t="s">
        <v>23777</v>
      </c>
      <c r="E2445" s="2" t="s">
        <v>23778</v>
      </c>
      <c r="G2445" s="3" t="s">
        <v>62</v>
      </c>
      <c r="I2445" s="3" t="s">
        <v>62</v>
      </c>
      <c r="J2445" s="3" t="s">
        <v>62</v>
      </c>
      <c r="K2445" s="3" t="s">
        <v>63</v>
      </c>
      <c r="L2445" s="2" t="s">
        <v>23779</v>
      </c>
      <c r="M2445" s="2" t="s">
        <v>23780</v>
      </c>
      <c r="N2445" s="3" t="s">
        <v>2136</v>
      </c>
      <c r="O2445" s="2" t="s">
        <v>2163</v>
      </c>
      <c r="P2445" s="3" t="s">
        <v>64</v>
      </c>
      <c r="R2445" s="3" t="s">
        <v>13065</v>
      </c>
      <c r="S2445" s="4">
        <v>1</v>
      </c>
      <c r="T2445" s="4">
        <v>1</v>
      </c>
      <c r="U2445" s="5" t="s">
        <v>22944</v>
      </c>
      <c r="V2445" s="5" t="s">
        <v>22944</v>
      </c>
      <c r="W2445" s="5" t="s">
        <v>67</v>
      </c>
      <c r="X2445" s="5" t="s">
        <v>67</v>
      </c>
      <c r="Y2445" s="4">
        <v>127</v>
      </c>
      <c r="Z2445" s="4">
        <v>6</v>
      </c>
      <c r="AA2445" s="4">
        <v>8</v>
      </c>
      <c r="AB2445" s="4">
        <v>3</v>
      </c>
      <c r="AC2445" s="4">
        <v>4</v>
      </c>
      <c r="AD2445" s="4">
        <v>37</v>
      </c>
      <c r="AE2445" s="4">
        <v>39</v>
      </c>
      <c r="AF2445" s="4">
        <v>1</v>
      </c>
      <c r="AG2445" s="4">
        <v>2</v>
      </c>
      <c r="AH2445" s="4">
        <v>36</v>
      </c>
      <c r="AI2445" s="4">
        <v>36</v>
      </c>
      <c r="AJ2445" s="4">
        <v>4</v>
      </c>
      <c r="AK2445" s="4">
        <v>6</v>
      </c>
      <c r="AL2445" s="4">
        <v>19</v>
      </c>
      <c r="AM2445" s="4">
        <v>19</v>
      </c>
      <c r="AN2445" s="4">
        <v>0</v>
      </c>
      <c r="AO2445" s="4">
        <v>0</v>
      </c>
      <c r="AP2445" s="4">
        <v>4</v>
      </c>
      <c r="AQ2445" s="4">
        <v>6</v>
      </c>
      <c r="AR2445" s="3" t="s">
        <v>62</v>
      </c>
      <c r="AS2445" s="3" t="s">
        <v>62</v>
      </c>
      <c r="AT2445" s="3" t="s">
        <v>62</v>
      </c>
      <c r="AV2445" s="6" t="str">
        <f>HYPERLINK("http://mcgill.on.worldcat.org/oclc/55494882","Catalog Record")</f>
        <v>Catalog Record</v>
      </c>
      <c r="AW2445" s="6" t="str">
        <f>HYPERLINK("http://www.worldcat.org/oclc/55494882","WorldCat Record")</f>
        <v>WorldCat Record</v>
      </c>
      <c r="AX2445" s="3" t="s">
        <v>23781</v>
      </c>
      <c r="AY2445" s="3" t="s">
        <v>23782</v>
      </c>
      <c r="AZ2445" s="3" t="s">
        <v>23783</v>
      </c>
      <c r="BA2445" s="3" t="s">
        <v>23783</v>
      </c>
      <c r="BB2445" s="3" t="s">
        <v>23784</v>
      </c>
      <c r="BC2445" s="3" t="s">
        <v>102</v>
      </c>
      <c r="BD2445" s="3" t="s">
        <v>68</v>
      </c>
      <c r="BE2445" s="3" t="s">
        <v>23785</v>
      </c>
      <c r="BF2445" s="3" t="s">
        <v>23784</v>
      </c>
      <c r="BG2445" s="3" t="s">
        <v>23786</v>
      </c>
    </row>
    <row r="2446" spans="1:59" ht="58" x14ac:dyDescent="0.35">
      <c r="A2446" s="2" t="s">
        <v>89</v>
      </c>
      <c r="B2446" s="2" t="s">
        <v>90</v>
      </c>
      <c r="C2446" s="2" t="s">
        <v>23787</v>
      </c>
      <c r="D2446" s="2" t="s">
        <v>23788</v>
      </c>
      <c r="E2446" s="2" t="s">
        <v>23789</v>
      </c>
      <c r="G2446" s="3" t="s">
        <v>62</v>
      </c>
      <c r="I2446" s="3" t="s">
        <v>62</v>
      </c>
      <c r="J2446" s="3" t="s">
        <v>62</v>
      </c>
      <c r="K2446" s="3" t="s">
        <v>63</v>
      </c>
      <c r="L2446" s="2" t="s">
        <v>23790</v>
      </c>
      <c r="M2446" s="2" t="s">
        <v>23791</v>
      </c>
      <c r="N2446" s="3" t="s">
        <v>424</v>
      </c>
      <c r="P2446" s="3" t="s">
        <v>64</v>
      </c>
      <c r="Q2446" s="2" t="s">
        <v>23792</v>
      </c>
      <c r="R2446" s="3" t="s">
        <v>13065</v>
      </c>
      <c r="S2446" s="4">
        <v>23</v>
      </c>
      <c r="T2446" s="4">
        <v>23</v>
      </c>
      <c r="U2446" s="5" t="s">
        <v>7352</v>
      </c>
      <c r="V2446" s="5" t="s">
        <v>7352</v>
      </c>
      <c r="W2446" s="5" t="s">
        <v>67</v>
      </c>
      <c r="X2446" s="5" t="s">
        <v>67</v>
      </c>
      <c r="Y2446" s="4">
        <v>294</v>
      </c>
      <c r="Z2446" s="4">
        <v>25</v>
      </c>
      <c r="AA2446" s="4">
        <v>29</v>
      </c>
      <c r="AB2446" s="4">
        <v>2</v>
      </c>
      <c r="AC2446" s="4">
        <v>6</v>
      </c>
      <c r="AD2446" s="4">
        <v>85</v>
      </c>
      <c r="AE2446" s="4">
        <v>89</v>
      </c>
      <c r="AF2446" s="4">
        <v>0</v>
      </c>
      <c r="AG2446" s="4">
        <v>4</v>
      </c>
      <c r="AH2446" s="4">
        <v>77</v>
      </c>
      <c r="AI2446" s="4">
        <v>78</v>
      </c>
      <c r="AJ2446" s="4">
        <v>16</v>
      </c>
      <c r="AK2446" s="4">
        <v>20</v>
      </c>
      <c r="AL2446" s="4">
        <v>35</v>
      </c>
      <c r="AM2446" s="4">
        <v>35</v>
      </c>
      <c r="AN2446" s="4">
        <v>0</v>
      </c>
      <c r="AO2446" s="4">
        <v>0</v>
      </c>
      <c r="AP2446" s="4">
        <v>18</v>
      </c>
      <c r="AQ2446" s="4">
        <v>21</v>
      </c>
      <c r="AR2446" s="3" t="s">
        <v>62</v>
      </c>
      <c r="AS2446" s="3" t="s">
        <v>62</v>
      </c>
      <c r="AT2446" s="3" t="s">
        <v>61</v>
      </c>
      <c r="AU2446" s="6" t="str">
        <f>HYPERLINK("http://catalog.hathitrust.org/Record/009672494","HathiTrust Record")</f>
        <v>HathiTrust Record</v>
      </c>
      <c r="AV2446" s="6" t="str">
        <f>HYPERLINK("http://mcgill.on.worldcat.org/oclc/16084231","Catalog Record")</f>
        <v>Catalog Record</v>
      </c>
      <c r="AW2446" s="6" t="str">
        <f>HYPERLINK("http://www.worldcat.org/oclc/16084231","WorldCat Record")</f>
        <v>WorldCat Record</v>
      </c>
      <c r="AX2446" s="3" t="s">
        <v>23793</v>
      </c>
      <c r="AY2446" s="3" t="s">
        <v>23794</v>
      </c>
      <c r="AZ2446" s="3" t="s">
        <v>23795</v>
      </c>
      <c r="BA2446" s="3" t="s">
        <v>23795</v>
      </c>
      <c r="BB2446" s="3" t="s">
        <v>23796</v>
      </c>
      <c r="BC2446" s="3" t="s">
        <v>102</v>
      </c>
      <c r="BD2446" s="3" t="s">
        <v>68</v>
      </c>
      <c r="BE2446" s="3" t="s">
        <v>23797</v>
      </c>
      <c r="BF2446" s="3" t="s">
        <v>23796</v>
      </c>
      <c r="BG2446" s="3" t="s">
        <v>23798</v>
      </c>
    </row>
    <row r="2447" spans="1:59" ht="58" x14ac:dyDescent="0.35">
      <c r="A2447" s="2" t="s">
        <v>89</v>
      </c>
      <c r="B2447" s="2" t="s">
        <v>90</v>
      </c>
      <c r="C2447" s="2" t="s">
        <v>23799</v>
      </c>
      <c r="D2447" s="2" t="s">
        <v>23800</v>
      </c>
      <c r="E2447" s="2" t="s">
        <v>23801</v>
      </c>
      <c r="G2447" s="3" t="s">
        <v>62</v>
      </c>
      <c r="I2447" s="3" t="s">
        <v>62</v>
      </c>
      <c r="J2447" s="3" t="s">
        <v>62</v>
      </c>
      <c r="K2447" s="3" t="s">
        <v>63</v>
      </c>
      <c r="L2447" s="2" t="s">
        <v>23802</v>
      </c>
      <c r="M2447" s="2" t="s">
        <v>23803</v>
      </c>
      <c r="N2447" s="3" t="s">
        <v>1722</v>
      </c>
      <c r="P2447" s="3" t="s">
        <v>64</v>
      </c>
      <c r="Q2447" s="2" t="s">
        <v>23804</v>
      </c>
      <c r="R2447" s="3" t="s">
        <v>13065</v>
      </c>
      <c r="S2447" s="4">
        <v>1</v>
      </c>
      <c r="T2447" s="4">
        <v>1</v>
      </c>
      <c r="U2447" s="5" t="s">
        <v>13026</v>
      </c>
      <c r="V2447" s="5" t="s">
        <v>13026</v>
      </c>
      <c r="W2447" s="5" t="s">
        <v>67</v>
      </c>
      <c r="X2447" s="5" t="s">
        <v>67</v>
      </c>
      <c r="Y2447" s="4">
        <v>79</v>
      </c>
      <c r="Z2447" s="4">
        <v>2</v>
      </c>
      <c r="AA2447" s="4">
        <v>40</v>
      </c>
      <c r="AB2447" s="4">
        <v>1</v>
      </c>
      <c r="AC2447" s="4">
        <v>9</v>
      </c>
      <c r="AD2447" s="4">
        <v>36</v>
      </c>
      <c r="AE2447" s="4">
        <v>94</v>
      </c>
      <c r="AF2447" s="4">
        <v>0</v>
      </c>
      <c r="AG2447" s="4">
        <v>5</v>
      </c>
      <c r="AH2447" s="4">
        <v>34</v>
      </c>
      <c r="AI2447" s="4">
        <v>67</v>
      </c>
      <c r="AJ2447" s="4">
        <v>1</v>
      </c>
      <c r="AK2447" s="4">
        <v>19</v>
      </c>
      <c r="AL2447" s="4">
        <v>26</v>
      </c>
      <c r="AM2447" s="4">
        <v>37</v>
      </c>
      <c r="AN2447" s="4">
        <v>0</v>
      </c>
      <c r="AO2447" s="4">
        <v>0</v>
      </c>
      <c r="AP2447" s="4">
        <v>1</v>
      </c>
      <c r="AQ2447" s="4">
        <v>34</v>
      </c>
      <c r="AR2447" s="3" t="s">
        <v>62</v>
      </c>
      <c r="AS2447" s="3" t="s">
        <v>62</v>
      </c>
      <c r="AT2447" s="3" t="s">
        <v>62</v>
      </c>
      <c r="AV2447" s="6" t="str">
        <f>HYPERLINK("http://mcgill.on.worldcat.org/oclc/230990334","Catalog Record")</f>
        <v>Catalog Record</v>
      </c>
      <c r="AW2447" s="6" t="str">
        <f>HYPERLINK("http://www.worldcat.org/oclc/230990334","WorldCat Record")</f>
        <v>WorldCat Record</v>
      </c>
      <c r="AX2447" s="3" t="s">
        <v>23805</v>
      </c>
      <c r="AY2447" s="3" t="s">
        <v>23806</v>
      </c>
      <c r="AZ2447" s="3" t="s">
        <v>23807</v>
      </c>
      <c r="BA2447" s="3" t="s">
        <v>23807</v>
      </c>
      <c r="BB2447" s="3" t="s">
        <v>23808</v>
      </c>
      <c r="BC2447" s="3" t="s">
        <v>102</v>
      </c>
      <c r="BD2447" s="3" t="s">
        <v>68</v>
      </c>
      <c r="BE2447" s="3" t="s">
        <v>23809</v>
      </c>
      <c r="BF2447" s="3" t="s">
        <v>23808</v>
      </c>
      <c r="BG2447" s="3" t="s">
        <v>23810</v>
      </c>
    </row>
    <row r="2448" spans="1:59" ht="58" x14ac:dyDescent="0.35">
      <c r="A2448" s="2" t="s">
        <v>89</v>
      </c>
      <c r="B2448" s="2" t="s">
        <v>90</v>
      </c>
      <c r="C2448" s="2" t="s">
        <v>23811</v>
      </c>
      <c r="D2448" s="2" t="s">
        <v>23812</v>
      </c>
      <c r="E2448" s="2" t="s">
        <v>23813</v>
      </c>
      <c r="G2448" s="3" t="s">
        <v>62</v>
      </c>
      <c r="I2448" s="3" t="s">
        <v>62</v>
      </c>
      <c r="J2448" s="3" t="s">
        <v>62</v>
      </c>
      <c r="K2448" s="3" t="s">
        <v>63</v>
      </c>
      <c r="L2448" s="2" t="s">
        <v>23814</v>
      </c>
      <c r="M2448" s="2" t="s">
        <v>23815</v>
      </c>
      <c r="N2448" s="3" t="s">
        <v>698</v>
      </c>
      <c r="P2448" s="3" t="s">
        <v>64</v>
      </c>
      <c r="R2448" s="3" t="s">
        <v>13065</v>
      </c>
      <c r="S2448" s="4">
        <v>0</v>
      </c>
      <c r="T2448" s="4">
        <v>0</v>
      </c>
      <c r="W2448" s="5" t="s">
        <v>67</v>
      </c>
      <c r="X2448" s="5" t="s">
        <v>67</v>
      </c>
      <c r="Y2448" s="4">
        <v>124</v>
      </c>
      <c r="Z2448" s="4">
        <v>16</v>
      </c>
      <c r="AA2448" s="4">
        <v>19</v>
      </c>
      <c r="AB2448" s="4">
        <v>1</v>
      </c>
      <c r="AC2448" s="4">
        <v>3</v>
      </c>
      <c r="AD2448" s="4">
        <v>43</v>
      </c>
      <c r="AE2448" s="4">
        <v>51</v>
      </c>
      <c r="AF2448" s="4">
        <v>0</v>
      </c>
      <c r="AG2448" s="4">
        <v>0</v>
      </c>
      <c r="AH2448" s="4">
        <v>37</v>
      </c>
      <c r="AI2448" s="4">
        <v>43</v>
      </c>
      <c r="AJ2448" s="4">
        <v>11</v>
      </c>
      <c r="AK2448" s="4">
        <v>12</v>
      </c>
      <c r="AL2448" s="4">
        <v>21</v>
      </c>
      <c r="AM2448" s="4">
        <v>26</v>
      </c>
      <c r="AN2448" s="4">
        <v>0</v>
      </c>
      <c r="AO2448" s="4">
        <v>0</v>
      </c>
      <c r="AP2448" s="4">
        <v>14</v>
      </c>
      <c r="AQ2448" s="4">
        <v>15</v>
      </c>
      <c r="AR2448" s="3" t="s">
        <v>62</v>
      </c>
      <c r="AS2448" s="3" t="s">
        <v>62</v>
      </c>
      <c r="AT2448" s="3" t="s">
        <v>62</v>
      </c>
      <c r="AV2448" s="6" t="str">
        <f>HYPERLINK("http://mcgill.on.worldcat.org/oclc/758983820","Catalog Record")</f>
        <v>Catalog Record</v>
      </c>
      <c r="AW2448" s="6" t="str">
        <f>HYPERLINK("http://www.worldcat.org/oclc/758983820","WorldCat Record")</f>
        <v>WorldCat Record</v>
      </c>
      <c r="AX2448" s="3" t="s">
        <v>23816</v>
      </c>
      <c r="AY2448" s="3" t="s">
        <v>23817</v>
      </c>
      <c r="AZ2448" s="3" t="s">
        <v>23818</v>
      </c>
      <c r="BA2448" s="3" t="s">
        <v>23818</v>
      </c>
      <c r="BB2448" s="3" t="s">
        <v>23819</v>
      </c>
      <c r="BC2448" s="3" t="s">
        <v>102</v>
      </c>
      <c r="BD2448" s="3" t="s">
        <v>68</v>
      </c>
      <c r="BE2448" s="3" t="s">
        <v>23820</v>
      </c>
      <c r="BF2448" s="3" t="s">
        <v>23819</v>
      </c>
      <c r="BG2448" s="3" t="s">
        <v>23821</v>
      </c>
    </row>
    <row r="2449" spans="1:59" ht="58" x14ac:dyDescent="0.35">
      <c r="A2449" s="2" t="s">
        <v>89</v>
      </c>
      <c r="B2449" s="2" t="s">
        <v>90</v>
      </c>
      <c r="C2449" s="2" t="s">
        <v>23822</v>
      </c>
      <c r="D2449" s="2" t="s">
        <v>23823</v>
      </c>
      <c r="E2449" s="2" t="s">
        <v>23824</v>
      </c>
      <c r="G2449" s="3" t="s">
        <v>62</v>
      </c>
      <c r="I2449" s="3" t="s">
        <v>62</v>
      </c>
      <c r="J2449" s="3" t="s">
        <v>62</v>
      </c>
      <c r="K2449" s="3" t="s">
        <v>63</v>
      </c>
      <c r="M2449" s="2" t="s">
        <v>23825</v>
      </c>
      <c r="N2449" s="3" t="s">
        <v>129</v>
      </c>
      <c r="P2449" s="3" t="s">
        <v>64</v>
      </c>
      <c r="Q2449" s="2" t="s">
        <v>23826</v>
      </c>
      <c r="R2449" s="3" t="s">
        <v>13065</v>
      </c>
      <c r="S2449" s="4">
        <v>0</v>
      </c>
      <c r="T2449" s="4">
        <v>0</v>
      </c>
      <c r="W2449" s="5" t="s">
        <v>67</v>
      </c>
      <c r="X2449" s="5" t="s">
        <v>67</v>
      </c>
      <c r="Y2449" s="4">
        <v>31</v>
      </c>
      <c r="Z2449" s="4">
        <v>1</v>
      </c>
      <c r="AA2449" s="4">
        <v>60</v>
      </c>
      <c r="AB2449" s="4">
        <v>1</v>
      </c>
      <c r="AC2449" s="4">
        <v>7</v>
      </c>
      <c r="AD2449" s="4">
        <v>15</v>
      </c>
      <c r="AE2449" s="4">
        <v>82</v>
      </c>
      <c r="AF2449" s="4">
        <v>0</v>
      </c>
      <c r="AG2449" s="4">
        <v>4</v>
      </c>
      <c r="AH2449" s="4">
        <v>14</v>
      </c>
      <c r="AI2449" s="4">
        <v>53</v>
      </c>
      <c r="AJ2449" s="4">
        <v>0</v>
      </c>
      <c r="AK2449" s="4">
        <v>21</v>
      </c>
      <c r="AL2449" s="4">
        <v>9</v>
      </c>
      <c r="AM2449" s="4">
        <v>24</v>
      </c>
      <c r="AN2449" s="4">
        <v>0</v>
      </c>
      <c r="AO2449" s="4">
        <v>0</v>
      </c>
      <c r="AP2449" s="4">
        <v>0</v>
      </c>
      <c r="AQ2449" s="4">
        <v>34</v>
      </c>
      <c r="AR2449" s="3" t="s">
        <v>62</v>
      </c>
      <c r="AS2449" s="3" t="s">
        <v>62</v>
      </c>
      <c r="AT2449" s="3" t="s">
        <v>62</v>
      </c>
      <c r="AV2449" s="6" t="str">
        <f>HYPERLINK("http://mcgill.on.worldcat.org/oclc/826657415","Catalog Record")</f>
        <v>Catalog Record</v>
      </c>
      <c r="AW2449" s="6" t="str">
        <f>HYPERLINK("http://www.worldcat.org/oclc/826657415","WorldCat Record")</f>
        <v>WorldCat Record</v>
      </c>
      <c r="AX2449" s="3" t="s">
        <v>23827</v>
      </c>
      <c r="AY2449" s="3" t="s">
        <v>23828</v>
      </c>
      <c r="AZ2449" s="3" t="s">
        <v>23829</v>
      </c>
      <c r="BA2449" s="3" t="s">
        <v>23829</v>
      </c>
      <c r="BB2449" s="3" t="s">
        <v>23830</v>
      </c>
      <c r="BC2449" s="3" t="s">
        <v>102</v>
      </c>
      <c r="BD2449" s="3" t="s">
        <v>68</v>
      </c>
      <c r="BE2449" s="3" t="s">
        <v>23831</v>
      </c>
      <c r="BF2449" s="3" t="s">
        <v>23830</v>
      </c>
      <c r="BG2449" s="3" t="s">
        <v>23832</v>
      </c>
    </row>
    <row r="2450" spans="1:59" ht="58" x14ac:dyDescent="0.35">
      <c r="A2450" s="2" t="s">
        <v>89</v>
      </c>
      <c r="B2450" s="2" t="s">
        <v>90</v>
      </c>
      <c r="C2450" s="2" t="s">
        <v>23833</v>
      </c>
      <c r="D2450" s="2" t="s">
        <v>23834</v>
      </c>
      <c r="E2450" s="2" t="s">
        <v>23835</v>
      </c>
      <c r="G2450" s="3" t="s">
        <v>62</v>
      </c>
      <c r="I2450" s="3" t="s">
        <v>62</v>
      </c>
      <c r="J2450" s="3" t="s">
        <v>61</v>
      </c>
      <c r="K2450" s="3" t="s">
        <v>63</v>
      </c>
      <c r="L2450" s="2" t="s">
        <v>23836</v>
      </c>
      <c r="M2450" s="2" t="s">
        <v>23837</v>
      </c>
      <c r="N2450" s="3" t="s">
        <v>438</v>
      </c>
      <c r="O2450" s="2" t="s">
        <v>2986</v>
      </c>
      <c r="P2450" s="3" t="s">
        <v>64</v>
      </c>
      <c r="R2450" s="3" t="s">
        <v>13065</v>
      </c>
      <c r="S2450" s="4">
        <v>5</v>
      </c>
      <c r="T2450" s="4">
        <v>5</v>
      </c>
      <c r="U2450" s="5" t="s">
        <v>4501</v>
      </c>
      <c r="V2450" s="5" t="s">
        <v>4501</v>
      </c>
      <c r="W2450" s="5" t="s">
        <v>67</v>
      </c>
      <c r="X2450" s="5" t="s">
        <v>67</v>
      </c>
      <c r="Y2450" s="4">
        <v>46</v>
      </c>
      <c r="Z2450" s="4">
        <v>1</v>
      </c>
      <c r="AA2450" s="4">
        <v>41</v>
      </c>
      <c r="AB2450" s="4">
        <v>1</v>
      </c>
      <c r="AC2450" s="4">
        <v>5</v>
      </c>
      <c r="AD2450" s="4">
        <v>4</v>
      </c>
      <c r="AE2450" s="4">
        <v>138</v>
      </c>
      <c r="AF2450" s="4">
        <v>0</v>
      </c>
      <c r="AG2450" s="4">
        <v>3</v>
      </c>
      <c r="AH2450" s="4">
        <v>4</v>
      </c>
      <c r="AI2450" s="4">
        <v>113</v>
      </c>
      <c r="AJ2450" s="4">
        <v>0</v>
      </c>
      <c r="AK2450" s="4">
        <v>24</v>
      </c>
      <c r="AL2450" s="4">
        <v>2</v>
      </c>
      <c r="AM2450" s="4">
        <v>61</v>
      </c>
      <c r="AN2450" s="4">
        <v>0</v>
      </c>
      <c r="AO2450" s="4">
        <v>0</v>
      </c>
      <c r="AP2450" s="4">
        <v>0</v>
      </c>
      <c r="AQ2450" s="4">
        <v>32</v>
      </c>
      <c r="AR2450" s="3" t="s">
        <v>62</v>
      </c>
      <c r="AS2450" s="3" t="s">
        <v>62</v>
      </c>
      <c r="AT2450" s="3" t="s">
        <v>62</v>
      </c>
      <c r="AV2450" s="6" t="str">
        <f>HYPERLINK("http://mcgill.on.worldcat.org/oclc/33260937","Catalog Record")</f>
        <v>Catalog Record</v>
      </c>
      <c r="AW2450" s="6" t="str">
        <f>HYPERLINK("http://www.worldcat.org/oclc/33260937","WorldCat Record")</f>
        <v>WorldCat Record</v>
      </c>
      <c r="AX2450" s="3" t="s">
        <v>23838</v>
      </c>
      <c r="AY2450" s="3" t="s">
        <v>23839</v>
      </c>
      <c r="AZ2450" s="3" t="s">
        <v>23840</v>
      </c>
      <c r="BA2450" s="3" t="s">
        <v>23840</v>
      </c>
      <c r="BB2450" s="3" t="s">
        <v>23841</v>
      </c>
      <c r="BC2450" s="3" t="s">
        <v>102</v>
      </c>
      <c r="BD2450" s="3" t="s">
        <v>68</v>
      </c>
      <c r="BE2450" s="3" t="s">
        <v>23842</v>
      </c>
      <c r="BF2450" s="3" t="s">
        <v>23841</v>
      </c>
      <c r="BG2450" s="3" t="s">
        <v>23843</v>
      </c>
    </row>
    <row r="2451" spans="1:59" ht="58" x14ac:dyDescent="0.35">
      <c r="A2451" s="2" t="s">
        <v>89</v>
      </c>
      <c r="B2451" s="2" t="s">
        <v>90</v>
      </c>
      <c r="C2451" s="2" t="s">
        <v>23844</v>
      </c>
      <c r="D2451" s="2" t="s">
        <v>23845</v>
      </c>
      <c r="E2451" s="2" t="s">
        <v>23846</v>
      </c>
      <c r="G2451" s="3" t="s">
        <v>62</v>
      </c>
      <c r="I2451" s="3" t="s">
        <v>62</v>
      </c>
      <c r="J2451" s="3" t="s">
        <v>62</v>
      </c>
      <c r="K2451" s="3" t="s">
        <v>63</v>
      </c>
      <c r="L2451" s="2" t="s">
        <v>23847</v>
      </c>
      <c r="M2451" s="2" t="s">
        <v>23848</v>
      </c>
      <c r="N2451" s="3" t="s">
        <v>129</v>
      </c>
      <c r="P2451" s="3" t="s">
        <v>64</v>
      </c>
      <c r="Q2451" s="2" t="s">
        <v>23849</v>
      </c>
      <c r="R2451" s="3" t="s">
        <v>13065</v>
      </c>
      <c r="S2451" s="4">
        <v>9</v>
      </c>
      <c r="T2451" s="4">
        <v>9</v>
      </c>
      <c r="U2451" s="5" t="s">
        <v>23850</v>
      </c>
      <c r="V2451" s="5" t="s">
        <v>23850</v>
      </c>
      <c r="W2451" s="5" t="s">
        <v>67</v>
      </c>
      <c r="X2451" s="5" t="s">
        <v>67</v>
      </c>
      <c r="Y2451" s="4">
        <v>187</v>
      </c>
      <c r="Z2451" s="4">
        <v>10</v>
      </c>
      <c r="AA2451" s="4">
        <v>16</v>
      </c>
      <c r="AB2451" s="4">
        <v>2</v>
      </c>
      <c r="AC2451" s="4">
        <v>7</v>
      </c>
      <c r="AD2451" s="4">
        <v>55</v>
      </c>
      <c r="AE2451" s="4">
        <v>61</v>
      </c>
      <c r="AF2451" s="4">
        <v>1</v>
      </c>
      <c r="AG2451" s="4">
        <v>3</v>
      </c>
      <c r="AH2451" s="4">
        <v>48</v>
      </c>
      <c r="AI2451" s="4">
        <v>51</v>
      </c>
      <c r="AJ2451" s="4">
        <v>6</v>
      </c>
      <c r="AK2451" s="4">
        <v>8</v>
      </c>
      <c r="AL2451" s="4">
        <v>29</v>
      </c>
      <c r="AM2451" s="4">
        <v>30</v>
      </c>
      <c r="AN2451" s="4">
        <v>0</v>
      </c>
      <c r="AO2451" s="4">
        <v>0</v>
      </c>
      <c r="AP2451" s="4">
        <v>9</v>
      </c>
      <c r="AQ2451" s="4">
        <v>12</v>
      </c>
      <c r="AR2451" s="3" t="s">
        <v>62</v>
      </c>
      <c r="AS2451" s="3" t="s">
        <v>62</v>
      </c>
      <c r="AT2451" s="3" t="s">
        <v>62</v>
      </c>
      <c r="AV2451" s="6" t="str">
        <f>HYPERLINK("http://mcgill.on.worldcat.org/oclc/808810636","Catalog Record")</f>
        <v>Catalog Record</v>
      </c>
      <c r="AW2451" s="6" t="str">
        <f>HYPERLINK("http://www.worldcat.org/oclc/808810636","WorldCat Record")</f>
        <v>WorldCat Record</v>
      </c>
      <c r="AX2451" s="3" t="s">
        <v>23851</v>
      </c>
      <c r="AY2451" s="3" t="s">
        <v>23852</v>
      </c>
      <c r="AZ2451" s="3" t="s">
        <v>23853</v>
      </c>
      <c r="BA2451" s="3" t="s">
        <v>23853</v>
      </c>
      <c r="BB2451" s="3" t="s">
        <v>23854</v>
      </c>
      <c r="BC2451" s="3" t="s">
        <v>102</v>
      </c>
      <c r="BD2451" s="3" t="s">
        <v>68</v>
      </c>
      <c r="BE2451" s="3" t="s">
        <v>23855</v>
      </c>
      <c r="BF2451" s="3" t="s">
        <v>23854</v>
      </c>
      <c r="BG2451" s="3" t="s">
        <v>23856</v>
      </c>
    </row>
    <row r="2452" spans="1:59" ht="58" x14ac:dyDescent="0.35">
      <c r="A2452" s="2" t="s">
        <v>89</v>
      </c>
      <c r="B2452" s="2" t="s">
        <v>90</v>
      </c>
      <c r="C2452" s="2" t="s">
        <v>23857</v>
      </c>
      <c r="D2452" s="2" t="s">
        <v>23858</v>
      </c>
      <c r="E2452" s="2" t="s">
        <v>23859</v>
      </c>
      <c r="G2452" s="3" t="s">
        <v>62</v>
      </c>
      <c r="I2452" s="3" t="s">
        <v>62</v>
      </c>
      <c r="J2452" s="3" t="s">
        <v>62</v>
      </c>
      <c r="K2452" s="3" t="s">
        <v>63</v>
      </c>
      <c r="L2452" s="2" t="s">
        <v>23860</v>
      </c>
      <c r="M2452" s="2" t="s">
        <v>23861</v>
      </c>
      <c r="N2452" s="3" t="s">
        <v>852</v>
      </c>
      <c r="P2452" s="3" t="s">
        <v>64</v>
      </c>
      <c r="Q2452" s="2" t="s">
        <v>21817</v>
      </c>
      <c r="R2452" s="3" t="s">
        <v>13065</v>
      </c>
      <c r="S2452" s="4">
        <v>7</v>
      </c>
      <c r="T2452" s="4">
        <v>7</v>
      </c>
      <c r="U2452" s="5" t="s">
        <v>6773</v>
      </c>
      <c r="V2452" s="5" t="s">
        <v>6773</v>
      </c>
      <c r="W2452" s="5" t="s">
        <v>67</v>
      </c>
      <c r="X2452" s="5" t="s">
        <v>67</v>
      </c>
      <c r="Y2452" s="4">
        <v>485</v>
      </c>
      <c r="Z2452" s="4">
        <v>27</v>
      </c>
      <c r="AA2452" s="4">
        <v>33</v>
      </c>
      <c r="AB2452" s="4">
        <v>2</v>
      </c>
      <c r="AC2452" s="4">
        <v>8</v>
      </c>
      <c r="AD2452" s="4">
        <v>108</v>
      </c>
      <c r="AE2452" s="4">
        <v>112</v>
      </c>
      <c r="AF2452" s="4">
        <v>1</v>
      </c>
      <c r="AG2452" s="4">
        <v>5</v>
      </c>
      <c r="AH2452" s="4">
        <v>92</v>
      </c>
      <c r="AI2452" s="4">
        <v>93</v>
      </c>
      <c r="AJ2452" s="4">
        <v>18</v>
      </c>
      <c r="AK2452" s="4">
        <v>21</v>
      </c>
      <c r="AL2452" s="4">
        <v>49</v>
      </c>
      <c r="AM2452" s="4">
        <v>49</v>
      </c>
      <c r="AN2452" s="4">
        <v>0</v>
      </c>
      <c r="AO2452" s="4">
        <v>0</v>
      </c>
      <c r="AP2452" s="4">
        <v>25</v>
      </c>
      <c r="AQ2452" s="4">
        <v>28</v>
      </c>
      <c r="AR2452" s="3" t="s">
        <v>62</v>
      </c>
      <c r="AS2452" s="3" t="s">
        <v>62</v>
      </c>
      <c r="AT2452" s="3" t="s">
        <v>61</v>
      </c>
      <c r="AU2452" s="6" t="str">
        <f>HYPERLINK("http://catalog.hathitrust.org/Record/000469214","HathiTrust Record")</f>
        <v>HathiTrust Record</v>
      </c>
      <c r="AV2452" s="6" t="str">
        <f>HYPERLINK("http://mcgill.on.worldcat.org/oclc/5013","Catalog Record")</f>
        <v>Catalog Record</v>
      </c>
      <c r="AW2452" s="6" t="str">
        <f>HYPERLINK("http://www.worldcat.org/oclc/5013","WorldCat Record")</f>
        <v>WorldCat Record</v>
      </c>
      <c r="AX2452" s="3" t="s">
        <v>23862</v>
      </c>
      <c r="AY2452" s="3" t="s">
        <v>23863</v>
      </c>
      <c r="AZ2452" s="3" t="s">
        <v>23864</v>
      </c>
      <c r="BA2452" s="3" t="s">
        <v>23864</v>
      </c>
      <c r="BB2452" s="3" t="s">
        <v>23865</v>
      </c>
      <c r="BC2452" s="3" t="s">
        <v>102</v>
      </c>
      <c r="BD2452" s="3" t="s">
        <v>68</v>
      </c>
      <c r="BE2452" s="3" t="s">
        <v>23866</v>
      </c>
      <c r="BF2452" s="3" t="s">
        <v>23865</v>
      </c>
      <c r="BG2452" s="3" t="s">
        <v>23867</v>
      </c>
    </row>
    <row r="2453" spans="1:59" ht="58" x14ac:dyDescent="0.35">
      <c r="A2453" s="2" t="s">
        <v>89</v>
      </c>
      <c r="B2453" s="2" t="s">
        <v>90</v>
      </c>
      <c r="C2453" s="2" t="s">
        <v>23868</v>
      </c>
      <c r="D2453" s="2" t="s">
        <v>23869</v>
      </c>
      <c r="E2453" s="2" t="s">
        <v>23870</v>
      </c>
      <c r="G2453" s="3" t="s">
        <v>62</v>
      </c>
      <c r="I2453" s="3" t="s">
        <v>62</v>
      </c>
      <c r="J2453" s="3" t="s">
        <v>62</v>
      </c>
      <c r="K2453" s="3" t="s">
        <v>63</v>
      </c>
      <c r="L2453" s="2" t="s">
        <v>23871</v>
      </c>
      <c r="M2453" s="2" t="s">
        <v>3919</v>
      </c>
      <c r="N2453" s="3" t="s">
        <v>509</v>
      </c>
      <c r="P2453" s="3" t="s">
        <v>64</v>
      </c>
      <c r="Q2453" s="2" t="s">
        <v>23872</v>
      </c>
      <c r="R2453" s="3" t="s">
        <v>13065</v>
      </c>
      <c r="S2453" s="4">
        <v>14</v>
      </c>
      <c r="T2453" s="4">
        <v>14</v>
      </c>
      <c r="U2453" s="5" t="s">
        <v>4350</v>
      </c>
      <c r="V2453" s="5" t="s">
        <v>4350</v>
      </c>
      <c r="W2453" s="5" t="s">
        <v>67</v>
      </c>
      <c r="X2453" s="5" t="s">
        <v>67</v>
      </c>
      <c r="Y2453" s="4">
        <v>290</v>
      </c>
      <c r="Z2453" s="4">
        <v>16</v>
      </c>
      <c r="AA2453" s="4">
        <v>16</v>
      </c>
      <c r="AB2453" s="4">
        <v>1</v>
      </c>
      <c r="AC2453" s="4">
        <v>1</v>
      </c>
      <c r="AD2453" s="4">
        <v>90</v>
      </c>
      <c r="AE2453" s="4">
        <v>90</v>
      </c>
      <c r="AF2453" s="4">
        <v>0</v>
      </c>
      <c r="AG2453" s="4">
        <v>0</v>
      </c>
      <c r="AH2453" s="4">
        <v>80</v>
      </c>
      <c r="AI2453" s="4">
        <v>80</v>
      </c>
      <c r="AJ2453" s="4">
        <v>12</v>
      </c>
      <c r="AK2453" s="4">
        <v>12</v>
      </c>
      <c r="AL2453" s="4">
        <v>50</v>
      </c>
      <c r="AM2453" s="4">
        <v>50</v>
      </c>
      <c r="AN2453" s="4">
        <v>0</v>
      </c>
      <c r="AO2453" s="4">
        <v>0</v>
      </c>
      <c r="AP2453" s="4">
        <v>12</v>
      </c>
      <c r="AQ2453" s="4">
        <v>12</v>
      </c>
      <c r="AR2453" s="3" t="s">
        <v>62</v>
      </c>
      <c r="AS2453" s="3" t="s">
        <v>62</v>
      </c>
      <c r="AT2453" s="3" t="s">
        <v>62</v>
      </c>
      <c r="AV2453" s="6" t="str">
        <f>HYPERLINK("http://mcgill.on.worldcat.org/oclc/28183242","Catalog Record")</f>
        <v>Catalog Record</v>
      </c>
      <c r="AW2453" s="6" t="str">
        <f>HYPERLINK("http://www.worldcat.org/oclc/28183242","WorldCat Record")</f>
        <v>WorldCat Record</v>
      </c>
      <c r="AX2453" s="3" t="s">
        <v>23873</v>
      </c>
      <c r="AY2453" s="3" t="s">
        <v>23874</v>
      </c>
      <c r="AZ2453" s="3" t="s">
        <v>23875</v>
      </c>
      <c r="BA2453" s="3" t="s">
        <v>23875</v>
      </c>
      <c r="BB2453" s="3" t="s">
        <v>23876</v>
      </c>
      <c r="BC2453" s="3" t="s">
        <v>102</v>
      </c>
      <c r="BD2453" s="3" t="s">
        <v>231</v>
      </c>
      <c r="BE2453" s="3" t="s">
        <v>23877</v>
      </c>
      <c r="BF2453" s="3" t="s">
        <v>23876</v>
      </c>
      <c r="BG2453" s="3" t="s">
        <v>23878</v>
      </c>
    </row>
    <row r="2454" spans="1:59" ht="58" x14ac:dyDescent="0.35">
      <c r="A2454" s="2" t="s">
        <v>89</v>
      </c>
      <c r="B2454" s="2" t="s">
        <v>90</v>
      </c>
      <c r="C2454" s="2" t="s">
        <v>23879</v>
      </c>
      <c r="D2454" s="2" t="s">
        <v>23880</v>
      </c>
      <c r="E2454" s="2" t="s">
        <v>23881</v>
      </c>
      <c r="G2454" s="3" t="s">
        <v>62</v>
      </c>
      <c r="I2454" s="3" t="s">
        <v>61</v>
      </c>
      <c r="J2454" s="3" t="s">
        <v>61</v>
      </c>
      <c r="K2454" s="3" t="s">
        <v>63</v>
      </c>
      <c r="L2454" s="2" t="s">
        <v>21815</v>
      </c>
      <c r="M2454" s="2" t="s">
        <v>23882</v>
      </c>
      <c r="N2454" s="3" t="s">
        <v>1639</v>
      </c>
      <c r="P2454" s="3" t="s">
        <v>64</v>
      </c>
      <c r="Q2454" s="2" t="s">
        <v>13004</v>
      </c>
      <c r="R2454" s="3" t="s">
        <v>13065</v>
      </c>
      <c r="S2454" s="4">
        <v>32</v>
      </c>
      <c r="T2454" s="4">
        <v>90</v>
      </c>
      <c r="U2454" s="5" t="s">
        <v>23883</v>
      </c>
      <c r="V2454" s="5" t="s">
        <v>23883</v>
      </c>
      <c r="W2454" s="5" t="s">
        <v>67</v>
      </c>
      <c r="X2454" s="5" t="s">
        <v>67</v>
      </c>
      <c r="Y2454" s="4">
        <v>547</v>
      </c>
      <c r="Z2454" s="4">
        <v>32</v>
      </c>
      <c r="AA2454" s="4">
        <v>98</v>
      </c>
      <c r="AB2454" s="4">
        <v>2</v>
      </c>
      <c r="AC2454" s="4">
        <v>22</v>
      </c>
      <c r="AD2454" s="4">
        <v>105</v>
      </c>
      <c r="AE2454" s="4">
        <v>163</v>
      </c>
      <c r="AF2454" s="4">
        <v>0</v>
      </c>
      <c r="AG2454" s="4">
        <v>11</v>
      </c>
      <c r="AH2454" s="4">
        <v>92</v>
      </c>
      <c r="AI2454" s="4">
        <v>117</v>
      </c>
      <c r="AJ2454" s="4">
        <v>20</v>
      </c>
      <c r="AK2454" s="4">
        <v>29</v>
      </c>
      <c r="AL2454" s="4">
        <v>55</v>
      </c>
      <c r="AM2454" s="4">
        <v>61</v>
      </c>
      <c r="AN2454" s="4">
        <v>0</v>
      </c>
      <c r="AO2454" s="4">
        <v>0</v>
      </c>
      <c r="AP2454" s="4">
        <v>21</v>
      </c>
      <c r="AQ2454" s="4">
        <v>53</v>
      </c>
      <c r="AR2454" s="3" t="s">
        <v>62</v>
      </c>
      <c r="AS2454" s="3" t="s">
        <v>62</v>
      </c>
      <c r="AT2454" s="3" t="s">
        <v>61</v>
      </c>
      <c r="AU2454" s="6" t="str">
        <f>HYPERLINK("http://catalog.hathitrust.org/Record/000693332","HathiTrust Record")</f>
        <v>HathiTrust Record</v>
      </c>
      <c r="AV2454" s="6" t="str">
        <f>HYPERLINK("http://mcgill.on.worldcat.org/oclc/98158","Catalog Record")</f>
        <v>Catalog Record</v>
      </c>
      <c r="AW2454" s="6" t="str">
        <f>HYPERLINK("http://www.worldcat.org/oclc/98158","WorldCat Record")</f>
        <v>WorldCat Record</v>
      </c>
      <c r="AX2454" s="3" t="s">
        <v>23884</v>
      </c>
      <c r="AY2454" s="3" t="s">
        <v>23885</v>
      </c>
      <c r="AZ2454" s="3" t="s">
        <v>23886</v>
      </c>
      <c r="BA2454" s="3" t="s">
        <v>23886</v>
      </c>
      <c r="BB2454" s="3" t="s">
        <v>23887</v>
      </c>
      <c r="BC2454" s="3" t="s">
        <v>102</v>
      </c>
      <c r="BD2454" s="3" t="s">
        <v>68</v>
      </c>
      <c r="BF2454" s="3" t="s">
        <v>23887</v>
      </c>
      <c r="BG2454" s="3" t="s">
        <v>23888</v>
      </c>
    </row>
    <row r="2455" spans="1:59" ht="58" x14ac:dyDescent="0.35">
      <c r="A2455" s="2" t="s">
        <v>89</v>
      </c>
      <c r="B2455" s="2" t="s">
        <v>90</v>
      </c>
      <c r="C2455" s="2" t="s">
        <v>23889</v>
      </c>
      <c r="D2455" s="2" t="s">
        <v>23890</v>
      </c>
      <c r="E2455" s="2" t="s">
        <v>23891</v>
      </c>
      <c r="G2455" s="3" t="s">
        <v>62</v>
      </c>
      <c r="I2455" s="3" t="s">
        <v>62</v>
      </c>
      <c r="J2455" s="3" t="s">
        <v>62</v>
      </c>
      <c r="K2455" s="3" t="s">
        <v>63</v>
      </c>
      <c r="L2455" s="2" t="s">
        <v>23892</v>
      </c>
      <c r="M2455" s="2" t="s">
        <v>23893</v>
      </c>
      <c r="N2455" s="3" t="s">
        <v>438</v>
      </c>
      <c r="P2455" s="3" t="s">
        <v>64</v>
      </c>
      <c r="R2455" s="3" t="s">
        <v>13065</v>
      </c>
      <c r="S2455" s="4">
        <v>68</v>
      </c>
      <c r="T2455" s="4">
        <v>68</v>
      </c>
      <c r="U2455" s="5" t="s">
        <v>17213</v>
      </c>
      <c r="V2455" s="5" t="s">
        <v>17213</v>
      </c>
      <c r="W2455" s="5" t="s">
        <v>67</v>
      </c>
      <c r="X2455" s="5" t="s">
        <v>67</v>
      </c>
      <c r="Y2455" s="4">
        <v>515</v>
      </c>
      <c r="Z2455" s="4">
        <v>21</v>
      </c>
      <c r="AA2455" s="4">
        <v>112</v>
      </c>
      <c r="AB2455" s="4">
        <v>1</v>
      </c>
      <c r="AC2455" s="4">
        <v>18</v>
      </c>
      <c r="AD2455" s="4">
        <v>111</v>
      </c>
      <c r="AE2455" s="4">
        <v>150</v>
      </c>
      <c r="AF2455" s="4">
        <v>0</v>
      </c>
      <c r="AG2455" s="4">
        <v>8</v>
      </c>
      <c r="AH2455" s="4">
        <v>96</v>
      </c>
      <c r="AI2455" s="4">
        <v>107</v>
      </c>
      <c r="AJ2455" s="4">
        <v>12</v>
      </c>
      <c r="AK2455" s="4">
        <v>27</v>
      </c>
      <c r="AL2455" s="4">
        <v>54</v>
      </c>
      <c r="AM2455" s="4">
        <v>56</v>
      </c>
      <c r="AN2455" s="4">
        <v>0</v>
      </c>
      <c r="AO2455" s="4">
        <v>0</v>
      </c>
      <c r="AP2455" s="4">
        <v>16</v>
      </c>
      <c r="AQ2455" s="4">
        <v>51</v>
      </c>
      <c r="AR2455" s="3" t="s">
        <v>62</v>
      </c>
      <c r="AS2455" s="3" t="s">
        <v>62</v>
      </c>
      <c r="AT2455" s="3" t="s">
        <v>62</v>
      </c>
      <c r="AV2455" s="6" t="str">
        <f>HYPERLINK("http://mcgill.on.worldcat.org/oclc/19458552","Catalog Record")</f>
        <v>Catalog Record</v>
      </c>
      <c r="AW2455" s="6" t="str">
        <f>HYPERLINK("http://www.worldcat.org/oclc/19458552","WorldCat Record")</f>
        <v>WorldCat Record</v>
      </c>
      <c r="AX2455" s="3" t="s">
        <v>23894</v>
      </c>
      <c r="AY2455" s="3" t="s">
        <v>23895</v>
      </c>
      <c r="AZ2455" s="3" t="s">
        <v>23896</v>
      </c>
      <c r="BA2455" s="3" t="s">
        <v>23896</v>
      </c>
      <c r="BB2455" s="3" t="s">
        <v>23897</v>
      </c>
      <c r="BC2455" s="3" t="s">
        <v>102</v>
      </c>
      <c r="BD2455" s="3" t="s">
        <v>231</v>
      </c>
      <c r="BE2455" s="3" t="s">
        <v>23898</v>
      </c>
      <c r="BF2455" s="3" t="s">
        <v>23897</v>
      </c>
      <c r="BG2455" s="3" t="s">
        <v>23899</v>
      </c>
    </row>
    <row r="2456" spans="1:59" ht="58" x14ac:dyDescent="0.35">
      <c r="A2456" s="2" t="s">
        <v>89</v>
      </c>
      <c r="B2456" s="2" t="s">
        <v>90</v>
      </c>
      <c r="C2456" s="2" t="s">
        <v>23900</v>
      </c>
      <c r="D2456" s="2" t="s">
        <v>23901</v>
      </c>
      <c r="E2456" s="2" t="s">
        <v>23902</v>
      </c>
      <c r="G2456" s="3" t="s">
        <v>62</v>
      </c>
      <c r="I2456" s="3" t="s">
        <v>61</v>
      </c>
      <c r="J2456" s="3" t="s">
        <v>62</v>
      </c>
      <c r="K2456" s="3" t="s">
        <v>63</v>
      </c>
      <c r="L2456" s="2" t="s">
        <v>23903</v>
      </c>
      <c r="M2456" s="2" t="s">
        <v>22139</v>
      </c>
      <c r="N2456" s="3" t="s">
        <v>327</v>
      </c>
      <c r="P2456" s="3" t="s">
        <v>64</v>
      </c>
      <c r="Q2456" s="2" t="s">
        <v>21935</v>
      </c>
      <c r="R2456" s="3" t="s">
        <v>13065</v>
      </c>
      <c r="S2456" s="4">
        <v>0</v>
      </c>
      <c r="T2456" s="4">
        <v>39</v>
      </c>
      <c r="V2456" s="5" t="s">
        <v>2521</v>
      </c>
      <c r="W2456" s="5" t="s">
        <v>67</v>
      </c>
      <c r="X2456" s="5" t="s">
        <v>67</v>
      </c>
      <c r="Y2456" s="4">
        <v>642</v>
      </c>
      <c r="Z2456" s="4">
        <v>29</v>
      </c>
      <c r="AA2456" s="4">
        <v>40</v>
      </c>
      <c r="AB2456" s="4">
        <v>2</v>
      </c>
      <c r="AC2456" s="4">
        <v>12</v>
      </c>
      <c r="AD2456" s="4">
        <v>116</v>
      </c>
      <c r="AE2456" s="4">
        <v>123</v>
      </c>
      <c r="AF2456" s="4">
        <v>1</v>
      </c>
      <c r="AG2456" s="4">
        <v>7</v>
      </c>
      <c r="AH2456" s="4">
        <v>98</v>
      </c>
      <c r="AI2456" s="4">
        <v>100</v>
      </c>
      <c r="AJ2456" s="4">
        <v>19</v>
      </c>
      <c r="AK2456" s="4">
        <v>24</v>
      </c>
      <c r="AL2456" s="4">
        <v>53</v>
      </c>
      <c r="AM2456" s="4">
        <v>53</v>
      </c>
      <c r="AN2456" s="4">
        <v>0</v>
      </c>
      <c r="AO2456" s="4">
        <v>0</v>
      </c>
      <c r="AP2456" s="4">
        <v>22</v>
      </c>
      <c r="AQ2456" s="4">
        <v>28</v>
      </c>
      <c r="AR2456" s="3" t="s">
        <v>62</v>
      </c>
      <c r="AS2456" s="3" t="s">
        <v>62</v>
      </c>
      <c r="AT2456" s="3" t="s">
        <v>61</v>
      </c>
      <c r="AU2456" s="6" t="str">
        <f>HYPERLINK("http://catalog.hathitrust.org/Record/000778791","HathiTrust Record")</f>
        <v>HathiTrust Record</v>
      </c>
      <c r="AV2456" s="6" t="str">
        <f>HYPERLINK("http://mcgill.on.worldcat.org/oclc/9280850","Catalog Record")</f>
        <v>Catalog Record</v>
      </c>
      <c r="AW2456" s="6" t="str">
        <f>HYPERLINK("http://www.worldcat.org/oclc/9280850","WorldCat Record")</f>
        <v>WorldCat Record</v>
      </c>
      <c r="AX2456" s="3" t="s">
        <v>23904</v>
      </c>
      <c r="AY2456" s="3" t="s">
        <v>23905</v>
      </c>
      <c r="AZ2456" s="3" t="s">
        <v>23906</v>
      </c>
      <c r="BA2456" s="3" t="s">
        <v>23906</v>
      </c>
      <c r="BB2456" s="3" t="s">
        <v>23907</v>
      </c>
      <c r="BC2456" s="3" t="s">
        <v>102</v>
      </c>
      <c r="BD2456" s="3" t="s">
        <v>7808</v>
      </c>
      <c r="BE2456" s="3" t="s">
        <v>23908</v>
      </c>
      <c r="BF2456" s="3" t="s">
        <v>23907</v>
      </c>
      <c r="BG2456" s="3" t="s">
        <v>23909</v>
      </c>
    </row>
    <row r="2457" spans="1:59" ht="58" x14ac:dyDescent="0.35">
      <c r="A2457" s="2" t="s">
        <v>89</v>
      </c>
      <c r="B2457" s="2" t="s">
        <v>90</v>
      </c>
      <c r="C2457" s="2" t="s">
        <v>23910</v>
      </c>
      <c r="D2457" s="2" t="s">
        <v>23911</v>
      </c>
      <c r="E2457" s="2" t="s">
        <v>23912</v>
      </c>
      <c r="G2457" s="3" t="s">
        <v>62</v>
      </c>
      <c r="I2457" s="3" t="s">
        <v>62</v>
      </c>
      <c r="J2457" s="3" t="s">
        <v>62</v>
      </c>
      <c r="K2457" s="3" t="s">
        <v>63</v>
      </c>
      <c r="L2457" s="2" t="s">
        <v>23913</v>
      </c>
      <c r="M2457" s="2" t="s">
        <v>23914</v>
      </c>
      <c r="N2457" s="3" t="s">
        <v>880</v>
      </c>
      <c r="P2457" s="3" t="s">
        <v>64</v>
      </c>
      <c r="Q2457" s="2" t="s">
        <v>23915</v>
      </c>
      <c r="R2457" s="3" t="s">
        <v>13065</v>
      </c>
      <c r="S2457" s="4">
        <v>1</v>
      </c>
      <c r="T2457" s="4">
        <v>1</v>
      </c>
      <c r="U2457" s="5" t="s">
        <v>23916</v>
      </c>
      <c r="V2457" s="5" t="s">
        <v>23916</v>
      </c>
      <c r="W2457" s="5" t="s">
        <v>67</v>
      </c>
      <c r="X2457" s="5" t="s">
        <v>67</v>
      </c>
      <c r="Y2457" s="4">
        <v>137</v>
      </c>
      <c r="Z2457" s="4">
        <v>12</v>
      </c>
      <c r="AA2457" s="4">
        <v>21</v>
      </c>
      <c r="AB2457" s="4">
        <v>2</v>
      </c>
      <c r="AC2457" s="4">
        <v>6</v>
      </c>
      <c r="AD2457" s="4">
        <v>55</v>
      </c>
      <c r="AE2457" s="4">
        <v>71</v>
      </c>
      <c r="AF2457" s="4">
        <v>1</v>
      </c>
      <c r="AG2457" s="4">
        <v>4</v>
      </c>
      <c r="AH2457" s="4">
        <v>50</v>
      </c>
      <c r="AI2457" s="4">
        <v>61</v>
      </c>
      <c r="AJ2457" s="4">
        <v>9</v>
      </c>
      <c r="AK2457" s="4">
        <v>14</v>
      </c>
      <c r="AL2457" s="4">
        <v>26</v>
      </c>
      <c r="AM2457" s="4">
        <v>30</v>
      </c>
      <c r="AN2457" s="4">
        <v>0</v>
      </c>
      <c r="AO2457" s="4">
        <v>0</v>
      </c>
      <c r="AP2457" s="4">
        <v>10</v>
      </c>
      <c r="AQ2457" s="4">
        <v>17</v>
      </c>
      <c r="AR2457" s="3" t="s">
        <v>62</v>
      </c>
      <c r="AS2457" s="3" t="s">
        <v>62</v>
      </c>
      <c r="AT2457" s="3" t="s">
        <v>62</v>
      </c>
      <c r="AV2457" s="6" t="str">
        <f>HYPERLINK("http://mcgill.on.worldcat.org/oclc/636906670","Catalog Record")</f>
        <v>Catalog Record</v>
      </c>
      <c r="AW2457" s="6" t="str">
        <f>HYPERLINK("http://www.worldcat.org/oclc/636906670","WorldCat Record")</f>
        <v>WorldCat Record</v>
      </c>
      <c r="AX2457" s="3" t="s">
        <v>23917</v>
      </c>
      <c r="AY2457" s="3" t="s">
        <v>23918</v>
      </c>
      <c r="AZ2457" s="3" t="s">
        <v>23919</v>
      </c>
      <c r="BA2457" s="3" t="s">
        <v>23919</v>
      </c>
      <c r="BB2457" s="3" t="s">
        <v>23920</v>
      </c>
      <c r="BC2457" s="3" t="s">
        <v>102</v>
      </c>
      <c r="BD2457" s="3" t="s">
        <v>68</v>
      </c>
      <c r="BE2457" s="3" t="s">
        <v>23921</v>
      </c>
      <c r="BF2457" s="3" t="s">
        <v>23920</v>
      </c>
      <c r="BG2457" s="3" t="s">
        <v>23922</v>
      </c>
    </row>
    <row r="2458" spans="1:59" ht="101.5" x14ac:dyDescent="0.35">
      <c r="A2458" s="2" t="s">
        <v>89</v>
      </c>
      <c r="B2458" s="2" t="s">
        <v>12301</v>
      </c>
      <c r="C2458" s="2" t="s">
        <v>23923</v>
      </c>
      <c r="D2458" s="2" t="s">
        <v>23924</v>
      </c>
      <c r="E2458" s="2" t="s">
        <v>23925</v>
      </c>
      <c r="G2458" s="3" t="s">
        <v>62</v>
      </c>
      <c r="I2458" s="3" t="s">
        <v>62</v>
      </c>
      <c r="J2458" s="3" t="s">
        <v>61</v>
      </c>
      <c r="K2458" s="3" t="s">
        <v>63</v>
      </c>
      <c r="L2458" s="2" t="s">
        <v>23926</v>
      </c>
      <c r="M2458" s="2" t="s">
        <v>16058</v>
      </c>
      <c r="N2458" s="3" t="s">
        <v>698</v>
      </c>
      <c r="O2458" s="2" t="s">
        <v>2458</v>
      </c>
      <c r="P2458" s="3" t="s">
        <v>64</v>
      </c>
      <c r="R2458" s="3" t="s">
        <v>13065</v>
      </c>
      <c r="S2458" s="4">
        <v>2</v>
      </c>
      <c r="T2458" s="4">
        <v>2</v>
      </c>
      <c r="U2458" s="5" t="s">
        <v>86</v>
      </c>
      <c r="V2458" s="5" t="s">
        <v>86</v>
      </c>
      <c r="W2458" s="5" t="s">
        <v>67</v>
      </c>
      <c r="X2458" s="5" t="s">
        <v>67</v>
      </c>
      <c r="Y2458" s="4">
        <v>179</v>
      </c>
      <c r="Z2458" s="4">
        <v>15</v>
      </c>
      <c r="AA2458" s="4">
        <v>40</v>
      </c>
      <c r="AB2458" s="4">
        <v>1</v>
      </c>
      <c r="AC2458" s="4">
        <v>8</v>
      </c>
      <c r="AD2458" s="4">
        <v>44</v>
      </c>
      <c r="AE2458" s="4">
        <v>100</v>
      </c>
      <c r="AF2458" s="4">
        <v>0</v>
      </c>
      <c r="AG2458" s="4">
        <v>3</v>
      </c>
      <c r="AH2458" s="4">
        <v>37</v>
      </c>
      <c r="AI2458" s="4">
        <v>83</v>
      </c>
      <c r="AJ2458" s="4">
        <v>9</v>
      </c>
      <c r="AK2458" s="4">
        <v>17</v>
      </c>
      <c r="AL2458" s="4">
        <v>24</v>
      </c>
      <c r="AM2458" s="4">
        <v>50</v>
      </c>
      <c r="AN2458" s="4">
        <v>0</v>
      </c>
      <c r="AO2458" s="4">
        <v>0</v>
      </c>
      <c r="AP2458" s="4">
        <v>12</v>
      </c>
      <c r="AQ2458" s="4">
        <v>25</v>
      </c>
      <c r="AR2458" s="3" t="s">
        <v>62</v>
      </c>
      <c r="AS2458" s="3" t="s">
        <v>62</v>
      </c>
      <c r="AT2458" s="3" t="s">
        <v>62</v>
      </c>
      <c r="AV2458" s="6" t="str">
        <f>HYPERLINK("http://mcgill.on.worldcat.org/oclc/664665963","Catalog Record")</f>
        <v>Catalog Record</v>
      </c>
      <c r="AW2458" s="6" t="str">
        <f>HYPERLINK("http://www.worldcat.org/oclc/664665963","WorldCat Record")</f>
        <v>WorldCat Record</v>
      </c>
      <c r="AX2458" s="3" t="s">
        <v>23927</v>
      </c>
      <c r="AY2458" s="3" t="s">
        <v>23928</v>
      </c>
      <c r="AZ2458" s="3" t="s">
        <v>23929</v>
      </c>
      <c r="BA2458" s="3" t="s">
        <v>23929</v>
      </c>
      <c r="BB2458" s="3" t="s">
        <v>23930</v>
      </c>
      <c r="BC2458" s="3" t="s">
        <v>102</v>
      </c>
      <c r="BD2458" s="3" t="s">
        <v>68</v>
      </c>
      <c r="BE2458" s="3" t="s">
        <v>23931</v>
      </c>
      <c r="BF2458" s="3" t="s">
        <v>23930</v>
      </c>
      <c r="BG2458" s="3" t="s">
        <v>23932</v>
      </c>
    </row>
    <row r="2459" spans="1:59" ht="58" x14ac:dyDescent="0.35">
      <c r="A2459" s="2" t="s">
        <v>89</v>
      </c>
      <c r="B2459" s="2" t="s">
        <v>90</v>
      </c>
      <c r="C2459" s="2" t="s">
        <v>23933</v>
      </c>
      <c r="D2459" s="2" t="s">
        <v>23934</v>
      </c>
      <c r="E2459" s="2" t="s">
        <v>23935</v>
      </c>
      <c r="G2459" s="3" t="s">
        <v>62</v>
      </c>
      <c r="I2459" s="3" t="s">
        <v>62</v>
      </c>
      <c r="J2459" s="3" t="s">
        <v>62</v>
      </c>
      <c r="K2459" s="3" t="s">
        <v>63</v>
      </c>
      <c r="L2459" s="2" t="s">
        <v>23936</v>
      </c>
      <c r="M2459" s="2" t="s">
        <v>23937</v>
      </c>
      <c r="N2459" s="3" t="s">
        <v>201</v>
      </c>
      <c r="O2459" s="2" t="s">
        <v>8350</v>
      </c>
      <c r="P2459" s="3" t="s">
        <v>64</v>
      </c>
      <c r="R2459" s="3" t="s">
        <v>13065</v>
      </c>
      <c r="S2459" s="4">
        <v>54</v>
      </c>
      <c r="T2459" s="4">
        <v>54</v>
      </c>
      <c r="U2459" s="5" t="s">
        <v>6944</v>
      </c>
      <c r="V2459" s="5" t="s">
        <v>6944</v>
      </c>
      <c r="W2459" s="5" t="s">
        <v>67</v>
      </c>
      <c r="X2459" s="5" t="s">
        <v>67</v>
      </c>
      <c r="Y2459" s="4">
        <v>619</v>
      </c>
      <c r="Z2459" s="4">
        <v>30</v>
      </c>
      <c r="AA2459" s="4">
        <v>50</v>
      </c>
      <c r="AB2459" s="4">
        <v>3</v>
      </c>
      <c r="AC2459" s="4">
        <v>9</v>
      </c>
      <c r="AD2459" s="4">
        <v>101</v>
      </c>
      <c r="AE2459" s="4">
        <v>141</v>
      </c>
      <c r="AF2459" s="4">
        <v>2</v>
      </c>
      <c r="AG2459" s="4">
        <v>6</v>
      </c>
      <c r="AH2459" s="4">
        <v>86</v>
      </c>
      <c r="AI2459" s="4">
        <v>111</v>
      </c>
      <c r="AJ2459" s="4">
        <v>19</v>
      </c>
      <c r="AK2459" s="4">
        <v>27</v>
      </c>
      <c r="AL2459" s="4">
        <v>45</v>
      </c>
      <c r="AM2459" s="4">
        <v>60</v>
      </c>
      <c r="AN2459" s="4">
        <v>0</v>
      </c>
      <c r="AO2459" s="4">
        <v>0</v>
      </c>
      <c r="AP2459" s="4">
        <v>25</v>
      </c>
      <c r="AQ2459" s="4">
        <v>39</v>
      </c>
      <c r="AR2459" s="3" t="s">
        <v>62</v>
      </c>
      <c r="AS2459" s="3" t="s">
        <v>62</v>
      </c>
      <c r="AT2459" s="3" t="s">
        <v>61</v>
      </c>
      <c r="AU2459" s="6" t="str">
        <f>HYPERLINK("http://catalog.hathitrust.org/Record/000023602","HathiTrust Record")</f>
        <v>HathiTrust Record</v>
      </c>
      <c r="AV2459" s="6" t="str">
        <f>HYPERLINK("http://mcgill.on.worldcat.org/oclc/1418827","Catalog Record")</f>
        <v>Catalog Record</v>
      </c>
      <c r="AW2459" s="6" t="str">
        <f>HYPERLINK("http://www.worldcat.org/oclc/1418827","WorldCat Record")</f>
        <v>WorldCat Record</v>
      </c>
      <c r="AX2459" s="3" t="s">
        <v>23938</v>
      </c>
      <c r="AY2459" s="3" t="s">
        <v>23939</v>
      </c>
      <c r="AZ2459" s="3" t="s">
        <v>23940</v>
      </c>
      <c r="BA2459" s="3" t="s">
        <v>23940</v>
      </c>
      <c r="BB2459" s="3" t="s">
        <v>23941</v>
      </c>
      <c r="BC2459" s="3" t="s">
        <v>102</v>
      </c>
      <c r="BD2459" s="3" t="s">
        <v>68</v>
      </c>
      <c r="BE2459" s="3" t="s">
        <v>23942</v>
      </c>
      <c r="BF2459" s="3" t="s">
        <v>23941</v>
      </c>
      <c r="BG2459" s="3" t="s">
        <v>23943</v>
      </c>
    </row>
    <row r="2460" spans="1:59" ht="101.5" x14ac:dyDescent="0.35">
      <c r="A2460" s="2" t="s">
        <v>89</v>
      </c>
      <c r="B2460" s="2" t="s">
        <v>12301</v>
      </c>
      <c r="C2460" s="2" t="s">
        <v>23944</v>
      </c>
      <c r="D2460" s="2" t="s">
        <v>23945</v>
      </c>
      <c r="E2460" s="2" t="s">
        <v>23946</v>
      </c>
      <c r="G2460" s="3" t="s">
        <v>62</v>
      </c>
      <c r="I2460" s="3" t="s">
        <v>61</v>
      </c>
      <c r="J2460" s="3" t="s">
        <v>61</v>
      </c>
      <c r="K2460" s="3" t="s">
        <v>63</v>
      </c>
      <c r="L2460" s="2" t="s">
        <v>23936</v>
      </c>
      <c r="M2460" s="2" t="s">
        <v>23947</v>
      </c>
      <c r="N2460" s="3" t="s">
        <v>684</v>
      </c>
      <c r="O2460" s="2" t="s">
        <v>7791</v>
      </c>
      <c r="P2460" s="3" t="s">
        <v>64</v>
      </c>
      <c r="R2460" s="3" t="s">
        <v>13065</v>
      </c>
      <c r="S2460" s="4">
        <v>157</v>
      </c>
      <c r="T2460" s="4">
        <v>414</v>
      </c>
      <c r="U2460" s="5" t="s">
        <v>23948</v>
      </c>
      <c r="V2460" s="5" t="s">
        <v>23948</v>
      </c>
      <c r="W2460" s="5" t="s">
        <v>67</v>
      </c>
      <c r="X2460" s="5" t="s">
        <v>67</v>
      </c>
      <c r="Y2460" s="4">
        <v>177</v>
      </c>
      <c r="Z2460" s="4">
        <v>17</v>
      </c>
      <c r="AA2460" s="4">
        <v>51</v>
      </c>
      <c r="AB2460" s="4">
        <v>2</v>
      </c>
      <c r="AC2460" s="4">
        <v>9</v>
      </c>
      <c r="AD2460" s="4">
        <v>52</v>
      </c>
      <c r="AE2460" s="4">
        <v>123</v>
      </c>
      <c r="AF2460" s="4">
        <v>1</v>
      </c>
      <c r="AG2460" s="4">
        <v>6</v>
      </c>
      <c r="AH2460" s="4">
        <v>45</v>
      </c>
      <c r="AI2460" s="4">
        <v>92</v>
      </c>
      <c r="AJ2460" s="4">
        <v>10</v>
      </c>
      <c r="AK2460" s="4">
        <v>22</v>
      </c>
      <c r="AL2460" s="4">
        <v>30</v>
      </c>
      <c r="AM2460" s="4">
        <v>52</v>
      </c>
      <c r="AN2460" s="4">
        <v>0</v>
      </c>
      <c r="AO2460" s="4">
        <v>0</v>
      </c>
      <c r="AP2460" s="4">
        <v>13</v>
      </c>
      <c r="AQ2460" s="4">
        <v>37</v>
      </c>
      <c r="AR2460" s="3" t="s">
        <v>62</v>
      </c>
      <c r="AS2460" s="3" t="s">
        <v>62</v>
      </c>
      <c r="AT2460" s="3" t="s">
        <v>62</v>
      </c>
      <c r="AV2460" s="6" t="str">
        <f>HYPERLINK("http://mcgill.on.worldcat.org/oclc/671573454","Catalog Record")</f>
        <v>Catalog Record</v>
      </c>
      <c r="AW2460" s="6" t="str">
        <f>HYPERLINK("http://www.worldcat.org/oclc/671573454","WorldCat Record")</f>
        <v>WorldCat Record</v>
      </c>
      <c r="AX2460" s="3" t="s">
        <v>23949</v>
      </c>
      <c r="AY2460" s="3" t="s">
        <v>23950</v>
      </c>
      <c r="AZ2460" s="3" t="s">
        <v>23951</v>
      </c>
      <c r="BA2460" s="3" t="s">
        <v>23951</v>
      </c>
      <c r="BB2460" s="3" t="s">
        <v>23952</v>
      </c>
      <c r="BC2460" s="3" t="s">
        <v>102</v>
      </c>
      <c r="BD2460" s="3" t="s">
        <v>68</v>
      </c>
      <c r="BE2460" s="3" t="s">
        <v>23953</v>
      </c>
      <c r="BF2460" s="3" t="s">
        <v>23952</v>
      </c>
      <c r="BG2460" s="3" t="s">
        <v>23954</v>
      </c>
    </row>
    <row r="2461" spans="1:59" ht="101.5" x14ac:dyDescent="0.35">
      <c r="A2461" s="2" t="s">
        <v>89</v>
      </c>
      <c r="B2461" s="2" t="s">
        <v>12301</v>
      </c>
      <c r="C2461" s="2" t="s">
        <v>23944</v>
      </c>
      <c r="D2461" s="2" t="s">
        <v>23945</v>
      </c>
      <c r="E2461" s="2" t="s">
        <v>23946</v>
      </c>
      <c r="G2461" s="3" t="s">
        <v>62</v>
      </c>
      <c r="I2461" s="3" t="s">
        <v>61</v>
      </c>
      <c r="J2461" s="3" t="s">
        <v>61</v>
      </c>
      <c r="K2461" s="3" t="s">
        <v>63</v>
      </c>
      <c r="L2461" s="2" t="s">
        <v>23936</v>
      </c>
      <c r="M2461" s="2" t="s">
        <v>23947</v>
      </c>
      <c r="N2461" s="3" t="s">
        <v>684</v>
      </c>
      <c r="O2461" s="2" t="s">
        <v>7791</v>
      </c>
      <c r="P2461" s="3" t="s">
        <v>64</v>
      </c>
      <c r="R2461" s="3" t="s">
        <v>13065</v>
      </c>
      <c r="S2461" s="4">
        <v>134</v>
      </c>
      <c r="T2461" s="4">
        <v>414</v>
      </c>
      <c r="U2461" s="5" t="s">
        <v>2521</v>
      </c>
      <c r="V2461" s="5" t="s">
        <v>23948</v>
      </c>
      <c r="W2461" s="5" t="s">
        <v>67</v>
      </c>
      <c r="X2461" s="5" t="s">
        <v>67</v>
      </c>
      <c r="Y2461" s="4">
        <v>177</v>
      </c>
      <c r="Z2461" s="4">
        <v>17</v>
      </c>
      <c r="AA2461" s="4">
        <v>51</v>
      </c>
      <c r="AB2461" s="4">
        <v>2</v>
      </c>
      <c r="AC2461" s="4">
        <v>9</v>
      </c>
      <c r="AD2461" s="4">
        <v>52</v>
      </c>
      <c r="AE2461" s="4">
        <v>123</v>
      </c>
      <c r="AF2461" s="4">
        <v>1</v>
      </c>
      <c r="AG2461" s="4">
        <v>6</v>
      </c>
      <c r="AH2461" s="4">
        <v>45</v>
      </c>
      <c r="AI2461" s="4">
        <v>92</v>
      </c>
      <c r="AJ2461" s="4">
        <v>10</v>
      </c>
      <c r="AK2461" s="4">
        <v>22</v>
      </c>
      <c r="AL2461" s="4">
        <v>30</v>
      </c>
      <c r="AM2461" s="4">
        <v>52</v>
      </c>
      <c r="AN2461" s="4">
        <v>0</v>
      </c>
      <c r="AO2461" s="4">
        <v>0</v>
      </c>
      <c r="AP2461" s="4">
        <v>13</v>
      </c>
      <c r="AQ2461" s="4">
        <v>37</v>
      </c>
      <c r="AR2461" s="3" t="s">
        <v>62</v>
      </c>
      <c r="AS2461" s="3" t="s">
        <v>62</v>
      </c>
      <c r="AT2461" s="3" t="s">
        <v>62</v>
      </c>
      <c r="AV2461" s="6" t="str">
        <f>HYPERLINK("http://mcgill.on.worldcat.org/oclc/671573454","Catalog Record")</f>
        <v>Catalog Record</v>
      </c>
      <c r="AW2461" s="6" t="str">
        <f>HYPERLINK("http://www.worldcat.org/oclc/671573454","WorldCat Record")</f>
        <v>WorldCat Record</v>
      </c>
      <c r="AX2461" s="3" t="s">
        <v>23949</v>
      </c>
      <c r="AY2461" s="3" t="s">
        <v>23950</v>
      </c>
      <c r="AZ2461" s="3" t="s">
        <v>23951</v>
      </c>
      <c r="BA2461" s="3" t="s">
        <v>23951</v>
      </c>
      <c r="BB2461" s="3" t="s">
        <v>23955</v>
      </c>
      <c r="BC2461" s="3" t="s">
        <v>102</v>
      </c>
      <c r="BD2461" s="3" t="s">
        <v>68</v>
      </c>
      <c r="BE2461" s="3" t="s">
        <v>23953</v>
      </c>
      <c r="BF2461" s="3" t="s">
        <v>23955</v>
      </c>
      <c r="BG2461" s="3" t="s">
        <v>23956</v>
      </c>
    </row>
    <row r="2462" spans="1:59" ht="101.5" x14ac:dyDescent="0.35">
      <c r="A2462" s="2" t="s">
        <v>89</v>
      </c>
      <c r="B2462" s="2" t="s">
        <v>12301</v>
      </c>
      <c r="C2462" s="2" t="s">
        <v>23944</v>
      </c>
      <c r="D2462" s="2" t="s">
        <v>23945</v>
      </c>
      <c r="E2462" s="2" t="s">
        <v>23946</v>
      </c>
      <c r="G2462" s="3" t="s">
        <v>62</v>
      </c>
      <c r="I2462" s="3" t="s">
        <v>61</v>
      </c>
      <c r="J2462" s="3" t="s">
        <v>61</v>
      </c>
      <c r="K2462" s="3" t="s">
        <v>63</v>
      </c>
      <c r="L2462" s="2" t="s">
        <v>23936</v>
      </c>
      <c r="M2462" s="2" t="s">
        <v>23947</v>
      </c>
      <c r="N2462" s="3" t="s">
        <v>684</v>
      </c>
      <c r="O2462" s="2" t="s">
        <v>7791</v>
      </c>
      <c r="P2462" s="3" t="s">
        <v>64</v>
      </c>
      <c r="R2462" s="3" t="s">
        <v>13065</v>
      </c>
      <c r="S2462" s="4">
        <v>123</v>
      </c>
      <c r="T2462" s="4">
        <v>414</v>
      </c>
      <c r="U2462" s="5" t="s">
        <v>14499</v>
      </c>
      <c r="V2462" s="5" t="s">
        <v>23948</v>
      </c>
      <c r="W2462" s="5" t="s">
        <v>67</v>
      </c>
      <c r="X2462" s="5" t="s">
        <v>67</v>
      </c>
      <c r="Y2462" s="4">
        <v>177</v>
      </c>
      <c r="Z2462" s="4">
        <v>17</v>
      </c>
      <c r="AA2462" s="4">
        <v>51</v>
      </c>
      <c r="AB2462" s="4">
        <v>2</v>
      </c>
      <c r="AC2462" s="4">
        <v>9</v>
      </c>
      <c r="AD2462" s="4">
        <v>52</v>
      </c>
      <c r="AE2462" s="4">
        <v>123</v>
      </c>
      <c r="AF2462" s="4">
        <v>1</v>
      </c>
      <c r="AG2462" s="4">
        <v>6</v>
      </c>
      <c r="AH2462" s="4">
        <v>45</v>
      </c>
      <c r="AI2462" s="4">
        <v>92</v>
      </c>
      <c r="AJ2462" s="4">
        <v>10</v>
      </c>
      <c r="AK2462" s="4">
        <v>22</v>
      </c>
      <c r="AL2462" s="4">
        <v>30</v>
      </c>
      <c r="AM2462" s="4">
        <v>52</v>
      </c>
      <c r="AN2462" s="4">
        <v>0</v>
      </c>
      <c r="AO2462" s="4">
        <v>0</v>
      </c>
      <c r="AP2462" s="4">
        <v>13</v>
      </c>
      <c r="AQ2462" s="4">
        <v>37</v>
      </c>
      <c r="AR2462" s="3" t="s">
        <v>62</v>
      </c>
      <c r="AS2462" s="3" t="s">
        <v>62</v>
      </c>
      <c r="AT2462" s="3" t="s">
        <v>62</v>
      </c>
      <c r="AV2462" s="6" t="str">
        <f>HYPERLINK("http://mcgill.on.worldcat.org/oclc/671573454","Catalog Record")</f>
        <v>Catalog Record</v>
      </c>
      <c r="AW2462" s="6" t="str">
        <f>HYPERLINK("http://www.worldcat.org/oclc/671573454","WorldCat Record")</f>
        <v>WorldCat Record</v>
      </c>
      <c r="AX2462" s="3" t="s">
        <v>23949</v>
      </c>
      <c r="AY2462" s="3" t="s">
        <v>23950</v>
      </c>
      <c r="AZ2462" s="3" t="s">
        <v>23951</v>
      </c>
      <c r="BA2462" s="3" t="s">
        <v>23951</v>
      </c>
      <c r="BB2462" s="3" t="s">
        <v>23957</v>
      </c>
      <c r="BC2462" s="3" t="s">
        <v>102</v>
      </c>
      <c r="BD2462" s="3" t="s">
        <v>68</v>
      </c>
      <c r="BE2462" s="3" t="s">
        <v>23953</v>
      </c>
      <c r="BF2462" s="3" t="s">
        <v>23957</v>
      </c>
      <c r="BG2462" s="3" t="s">
        <v>23958</v>
      </c>
    </row>
    <row r="2463" spans="1:59" ht="101.5" x14ac:dyDescent="0.35">
      <c r="A2463" s="2" t="s">
        <v>89</v>
      </c>
      <c r="B2463" s="2" t="s">
        <v>90</v>
      </c>
      <c r="C2463" s="2" t="s">
        <v>23959</v>
      </c>
      <c r="D2463" s="2" t="s">
        <v>23960</v>
      </c>
      <c r="E2463" s="2" t="s">
        <v>23961</v>
      </c>
      <c r="G2463" s="3" t="s">
        <v>62</v>
      </c>
      <c r="I2463" s="3" t="s">
        <v>62</v>
      </c>
      <c r="J2463" s="3" t="s">
        <v>62</v>
      </c>
      <c r="K2463" s="3" t="s">
        <v>63</v>
      </c>
      <c r="L2463" s="2" t="s">
        <v>23962</v>
      </c>
      <c r="M2463" s="2" t="s">
        <v>23963</v>
      </c>
      <c r="N2463" s="3" t="s">
        <v>1038</v>
      </c>
      <c r="P2463" s="3" t="s">
        <v>64</v>
      </c>
      <c r="Q2463" s="2" t="s">
        <v>23964</v>
      </c>
      <c r="R2463" s="3" t="s">
        <v>13065</v>
      </c>
      <c r="S2463" s="4">
        <v>3</v>
      </c>
      <c r="T2463" s="4">
        <v>3</v>
      </c>
      <c r="U2463" s="5" t="s">
        <v>1593</v>
      </c>
      <c r="V2463" s="5" t="s">
        <v>1593</v>
      </c>
      <c r="W2463" s="5" t="s">
        <v>67</v>
      </c>
      <c r="X2463" s="5" t="s">
        <v>67</v>
      </c>
      <c r="Y2463" s="4">
        <v>98</v>
      </c>
      <c r="Z2463" s="4">
        <v>8</v>
      </c>
      <c r="AA2463" s="4">
        <v>13</v>
      </c>
      <c r="AB2463" s="4">
        <v>2</v>
      </c>
      <c r="AC2463" s="4">
        <v>5</v>
      </c>
      <c r="AD2463" s="4">
        <v>35</v>
      </c>
      <c r="AE2463" s="4">
        <v>38</v>
      </c>
      <c r="AF2463" s="4">
        <v>1</v>
      </c>
      <c r="AG2463" s="4">
        <v>1</v>
      </c>
      <c r="AH2463" s="4">
        <v>30</v>
      </c>
      <c r="AI2463" s="4">
        <v>33</v>
      </c>
      <c r="AJ2463" s="4">
        <v>5</v>
      </c>
      <c r="AK2463" s="4">
        <v>6</v>
      </c>
      <c r="AL2463" s="4">
        <v>17</v>
      </c>
      <c r="AM2463" s="4">
        <v>18</v>
      </c>
      <c r="AN2463" s="4">
        <v>0</v>
      </c>
      <c r="AO2463" s="4">
        <v>0</v>
      </c>
      <c r="AP2463" s="4">
        <v>7</v>
      </c>
      <c r="AQ2463" s="4">
        <v>8</v>
      </c>
      <c r="AR2463" s="3" t="s">
        <v>62</v>
      </c>
      <c r="AS2463" s="3" t="s">
        <v>62</v>
      </c>
      <c r="AT2463" s="3" t="s">
        <v>62</v>
      </c>
      <c r="AV2463" s="6" t="str">
        <f>HYPERLINK("http://mcgill.on.worldcat.org/oclc/912377273","Catalog Record")</f>
        <v>Catalog Record</v>
      </c>
      <c r="AW2463" s="6" t="str">
        <f>HYPERLINK("http://www.worldcat.org/oclc/912377273","WorldCat Record")</f>
        <v>WorldCat Record</v>
      </c>
      <c r="AX2463" s="3" t="s">
        <v>23965</v>
      </c>
      <c r="AY2463" s="3" t="s">
        <v>23966</v>
      </c>
      <c r="AZ2463" s="3" t="s">
        <v>23967</v>
      </c>
      <c r="BA2463" s="3" t="s">
        <v>23967</v>
      </c>
      <c r="BB2463" s="3" t="s">
        <v>23968</v>
      </c>
      <c r="BC2463" s="3" t="s">
        <v>102</v>
      </c>
      <c r="BD2463" s="3" t="s">
        <v>68</v>
      </c>
      <c r="BE2463" s="3" t="s">
        <v>23969</v>
      </c>
      <c r="BF2463" s="3" t="s">
        <v>23968</v>
      </c>
      <c r="BG2463" s="3" t="s">
        <v>23970</v>
      </c>
    </row>
    <row r="2464" spans="1:59" ht="58" x14ac:dyDescent="0.35">
      <c r="A2464" s="2" t="s">
        <v>89</v>
      </c>
      <c r="B2464" s="2" t="s">
        <v>90</v>
      </c>
      <c r="C2464" s="2" t="s">
        <v>23971</v>
      </c>
      <c r="D2464" s="2" t="s">
        <v>23972</v>
      </c>
      <c r="E2464" s="2" t="s">
        <v>23973</v>
      </c>
      <c r="G2464" s="3" t="s">
        <v>62</v>
      </c>
      <c r="I2464" s="3" t="s">
        <v>62</v>
      </c>
      <c r="J2464" s="3" t="s">
        <v>62</v>
      </c>
      <c r="K2464" s="3" t="s">
        <v>63</v>
      </c>
      <c r="L2464" s="2" t="s">
        <v>23974</v>
      </c>
      <c r="M2464" s="2" t="s">
        <v>23975</v>
      </c>
      <c r="N2464" s="3" t="s">
        <v>201</v>
      </c>
      <c r="O2464" s="2" t="s">
        <v>8350</v>
      </c>
      <c r="P2464" s="3" t="s">
        <v>64</v>
      </c>
      <c r="R2464" s="3" t="s">
        <v>13065</v>
      </c>
      <c r="S2464" s="4">
        <v>21</v>
      </c>
      <c r="T2464" s="4">
        <v>21</v>
      </c>
      <c r="U2464" s="5" t="s">
        <v>23976</v>
      </c>
      <c r="V2464" s="5" t="s">
        <v>23976</v>
      </c>
      <c r="W2464" s="5" t="s">
        <v>67</v>
      </c>
      <c r="X2464" s="5" t="s">
        <v>67</v>
      </c>
      <c r="Y2464" s="4">
        <v>140</v>
      </c>
      <c r="Z2464" s="4">
        <v>11</v>
      </c>
      <c r="AA2464" s="4">
        <v>37</v>
      </c>
      <c r="AB2464" s="4">
        <v>2</v>
      </c>
      <c r="AC2464" s="4">
        <v>5</v>
      </c>
      <c r="AD2464" s="4">
        <v>32</v>
      </c>
      <c r="AE2464" s="4">
        <v>72</v>
      </c>
      <c r="AF2464" s="4">
        <v>1</v>
      </c>
      <c r="AG2464" s="4">
        <v>3</v>
      </c>
      <c r="AH2464" s="4">
        <v>23</v>
      </c>
      <c r="AI2464" s="4">
        <v>55</v>
      </c>
      <c r="AJ2464" s="4">
        <v>7</v>
      </c>
      <c r="AK2464" s="4">
        <v>16</v>
      </c>
      <c r="AL2464" s="4">
        <v>14</v>
      </c>
      <c r="AM2464" s="4">
        <v>27</v>
      </c>
      <c r="AN2464" s="4">
        <v>0</v>
      </c>
      <c r="AO2464" s="4">
        <v>0</v>
      </c>
      <c r="AP2464" s="4">
        <v>10</v>
      </c>
      <c r="AQ2464" s="4">
        <v>24</v>
      </c>
      <c r="AR2464" s="3" t="s">
        <v>62</v>
      </c>
      <c r="AS2464" s="3" t="s">
        <v>62</v>
      </c>
      <c r="AT2464" s="3" t="s">
        <v>62</v>
      </c>
      <c r="AV2464" s="6" t="str">
        <f>HYPERLINK("http://mcgill.on.worldcat.org/oclc/1974278","Catalog Record")</f>
        <v>Catalog Record</v>
      </c>
      <c r="AW2464" s="6" t="str">
        <f>HYPERLINK("http://www.worldcat.org/oclc/1974278","WorldCat Record")</f>
        <v>WorldCat Record</v>
      </c>
      <c r="AX2464" s="3" t="s">
        <v>23977</v>
      </c>
      <c r="AY2464" s="3" t="s">
        <v>23978</v>
      </c>
      <c r="AZ2464" s="3" t="s">
        <v>23979</v>
      </c>
      <c r="BA2464" s="3" t="s">
        <v>23979</v>
      </c>
      <c r="BB2464" s="3" t="s">
        <v>23980</v>
      </c>
      <c r="BC2464" s="3" t="s">
        <v>102</v>
      </c>
      <c r="BD2464" s="3" t="s">
        <v>68</v>
      </c>
      <c r="BE2464" s="3" t="s">
        <v>23981</v>
      </c>
      <c r="BF2464" s="3" t="s">
        <v>23980</v>
      </c>
      <c r="BG2464" s="3" t="s">
        <v>23982</v>
      </c>
    </row>
    <row r="2465" spans="1:59" ht="58" x14ac:dyDescent="0.35">
      <c r="A2465" s="2" t="s">
        <v>59</v>
      </c>
      <c r="B2465" s="2" t="s">
        <v>60</v>
      </c>
      <c r="C2465" s="2" t="s">
        <v>23983</v>
      </c>
      <c r="D2465" s="2" t="s">
        <v>23984</v>
      </c>
      <c r="E2465" s="2" t="s">
        <v>23985</v>
      </c>
      <c r="G2465" s="3" t="s">
        <v>62</v>
      </c>
      <c r="I2465" s="3" t="s">
        <v>61</v>
      </c>
      <c r="J2465" s="3" t="s">
        <v>62</v>
      </c>
      <c r="K2465" s="3" t="s">
        <v>63</v>
      </c>
      <c r="L2465" s="2" t="s">
        <v>23986</v>
      </c>
      <c r="M2465" s="2" t="s">
        <v>23987</v>
      </c>
      <c r="N2465" s="3" t="s">
        <v>81</v>
      </c>
      <c r="P2465" s="3" t="s">
        <v>64</v>
      </c>
      <c r="R2465" s="3" t="s">
        <v>13065</v>
      </c>
      <c r="S2465" s="4">
        <v>0</v>
      </c>
      <c r="T2465" s="4">
        <v>4</v>
      </c>
      <c r="V2465" s="5" t="s">
        <v>23988</v>
      </c>
      <c r="W2465" s="5" t="s">
        <v>67</v>
      </c>
      <c r="X2465" s="5" t="s">
        <v>67</v>
      </c>
      <c r="Y2465" s="4">
        <v>171</v>
      </c>
      <c r="Z2465" s="4">
        <v>19</v>
      </c>
      <c r="AA2465" s="4">
        <v>34</v>
      </c>
      <c r="AB2465" s="4">
        <v>3</v>
      </c>
      <c r="AC2465" s="4">
        <v>7</v>
      </c>
      <c r="AD2465" s="4">
        <v>60</v>
      </c>
      <c r="AE2465" s="4">
        <v>98</v>
      </c>
      <c r="AF2465" s="4">
        <v>1</v>
      </c>
      <c r="AG2465" s="4">
        <v>3</v>
      </c>
      <c r="AH2465" s="4">
        <v>50</v>
      </c>
      <c r="AI2465" s="4">
        <v>82</v>
      </c>
      <c r="AJ2465" s="4">
        <v>15</v>
      </c>
      <c r="AK2465" s="4">
        <v>21</v>
      </c>
      <c r="AL2465" s="4">
        <v>28</v>
      </c>
      <c r="AM2465" s="4">
        <v>44</v>
      </c>
      <c r="AN2465" s="4">
        <v>0</v>
      </c>
      <c r="AO2465" s="4">
        <v>0</v>
      </c>
      <c r="AP2465" s="4">
        <v>17</v>
      </c>
      <c r="AQ2465" s="4">
        <v>25</v>
      </c>
      <c r="AR2465" s="3" t="s">
        <v>62</v>
      </c>
      <c r="AS2465" s="3" t="s">
        <v>62</v>
      </c>
      <c r="AT2465" s="3" t="s">
        <v>62</v>
      </c>
      <c r="AV2465" s="6" t="str">
        <f>HYPERLINK("http://mcgill.on.worldcat.org/oclc/14270","Catalog Record")</f>
        <v>Catalog Record</v>
      </c>
      <c r="AW2465" s="6" t="str">
        <f>HYPERLINK("http://www.worldcat.org/oclc/14270","WorldCat Record")</f>
        <v>WorldCat Record</v>
      </c>
      <c r="AX2465" s="3" t="s">
        <v>23989</v>
      </c>
      <c r="AY2465" s="3" t="s">
        <v>23990</v>
      </c>
      <c r="AZ2465" s="3" t="s">
        <v>23991</v>
      </c>
      <c r="BA2465" s="3" t="s">
        <v>23991</v>
      </c>
      <c r="BB2465" s="3" t="s">
        <v>23992</v>
      </c>
      <c r="BC2465" s="3" t="s">
        <v>102</v>
      </c>
      <c r="BD2465" s="3" t="s">
        <v>68</v>
      </c>
      <c r="BE2465" s="3" t="s">
        <v>23993</v>
      </c>
      <c r="BF2465" s="3" t="s">
        <v>23992</v>
      </c>
      <c r="BG2465" s="3" t="s">
        <v>23994</v>
      </c>
    </row>
    <row r="2466" spans="1:59" ht="72.5" x14ac:dyDescent="0.35">
      <c r="A2466" s="2" t="s">
        <v>89</v>
      </c>
      <c r="B2466" s="2" t="s">
        <v>90</v>
      </c>
      <c r="C2466" s="2" t="s">
        <v>23995</v>
      </c>
      <c r="D2466" s="2" t="s">
        <v>23996</v>
      </c>
      <c r="E2466" s="2" t="s">
        <v>23997</v>
      </c>
      <c r="F2466" s="3" t="s">
        <v>1428</v>
      </c>
      <c r="G2466" s="3" t="s">
        <v>61</v>
      </c>
      <c r="I2466" s="3" t="s">
        <v>62</v>
      </c>
      <c r="J2466" s="3" t="s">
        <v>61</v>
      </c>
      <c r="K2466" s="3" t="s">
        <v>7988</v>
      </c>
      <c r="L2466" s="2" t="s">
        <v>23998</v>
      </c>
      <c r="M2466" s="2" t="s">
        <v>23999</v>
      </c>
      <c r="N2466" s="3" t="s">
        <v>13779</v>
      </c>
      <c r="O2466" s="2" t="s">
        <v>24000</v>
      </c>
      <c r="P2466" s="3" t="s">
        <v>85</v>
      </c>
      <c r="R2466" s="3" t="s">
        <v>13065</v>
      </c>
      <c r="S2466" s="4">
        <v>1</v>
      </c>
      <c r="T2466" s="4">
        <v>5</v>
      </c>
      <c r="U2466" s="5" t="s">
        <v>24001</v>
      </c>
      <c r="V2466" s="5" t="s">
        <v>17255</v>
      </c>
      <c r="W2466" s="5" t="s">
        <v>67</v>
      </c>
      <c r="X2466" s="5" t="s">
        <v>67</v>
      </c>
      <c r="Y2466" s="4">
        <v>143</v>
      </c>
      <c r="Z2466" s="4">
        <v>7</v>
      </c>
      <c r="AA2466" s="4">
        <v>34</v>
      </c>
      <c r="AB2466" s="4">
        <v>1</v>
      </c>
      <c r="AC2466" s="4">
        <v>11</v>
      </c>
      <c r="AD2466" s="4">
        <v>56</v>
      </c>
      <c r="AE2466" s="4">
        <v>114</v>
      </c>
      <c r="AF2466" s="4">
        <v>0</v>
      </c>
      <c r="AG2466" s="4">
        <v>5</v>
      </c>
      <c r="AH2466" s="4">
        <v>51</v>
      </c>
      <c r="AI2466" s="4">
        <v>94</v>
      </c>
      <c r="AJ2466" s="4">
        <v>4</v>
      </c>
      <c r="AK2466" s="4">
        <v>20</v>
      </c>
      <c r="AL2466" s="4">
        <v>36</v>
      </c>
      <c r="AM2466" s="4">
        <v>57</v>
      </c>
      <c r="AN2466" s="4">
        <v>0</v>
      </c>
      <c r="AO2466" s="4">
        <v>0</v>
      </c>
      <c r="AP2466" s="4">
        <v>6</v>
      </c>
      <c r="AQ2466" s="4">
        <v>24</v>
      </c>
      <c r="AR2466" s="3" t="s">
        <v>62</v>
      </c>
      <c r="AS2466" s="3" t="s">
        <v>62</v>
      </c>
      <c r="AT2466" s="3" t="s">
        <v>62</v>
      </c>
      <c r="AU2466" s="6" t="str">
        <f>HYPERLINK("http://catalog.hathitrust.org/Record/000576099","HathiTrust Record")</f>
        <v>HathiTrust Record</v>
      </c>
      <c r="AV2466" s="6" t="str">
        <f>HYPERLINK("http://mcgill.on.worldcat.org/oclc/2313721","Catalog Record")</f>
        <v>Catalog Record</v>
      </c>
      <c r="AW2466" s="6" t="str">
        <f>HYPERLINK("http://www.worldcat.org/oclc/2313721","WorldCat Record")</f>
        <v>WorldCat Record</v>
      </c>
      <c r="AX2466" s="3" t="s">
        <v>24002</v>
      </c>
      <c r="AY2466" s="3" t="s">
        <v>24003</v>
      </c>
      <c r="AZ2466" s="3" t="s">
        <v>24004</v>
      </c>
      <c r="BA2466" s="3" t="s">
        <v>24004</v>
      </c>
      <c r="BB2466" s="3" t="s">
        <v>24005</v>
      </c>
      <c r="BC2466" s="3" t="s">
        <v>102</v>
      </c>
      <c r="BD2466" s="3" t="s">
        <v>68</v>
      </c>
      <c r="BF2466" s="3" t="s">
        <v>24005</v>
      </c>
      <c r="BG2466" s="3" t="s">
        <v>24006</v>
      </c>
    </row>
    <row r="2467" spans="1:59" ht="72.5" x14ac:dyDescent="0.35">
      <c r="A2467" s="2" t="s">
        <v>89</v>
      </c>
      <c r="B2467" s="2" t="s">
        <v>90</v>
      </c>
      <c r="C2467" s="2" t="s">
        <v>23995</v>
      </c>
      <c r="D2467" s="2" t="s">
        <v>23996</v>
      </c>
      <c r="E2467" s="2" t="s">
        <v>23997</v>
      </c>
      <c r="F2467" s="3" t="s">
        <v>1413</v>
      </c>
      <c r="G2467" s="3" t="s">
        <v>61</v>
      </c>
      <c r="I2467" s="3" t="s">
        <v>62</v>
      </c>
      <c r="J2467" s="3" t="s">
        <v>61</v>
      </c>
      <c r="K2467" s="3" t="s">
        <v>7988</v>
      </c>
      <c r="L2467" s="2" t="s">
        <v>23998</v>
      </c>
      <c r="M2467" s="2" t="s">
        <v>23999</v>
      </c>
      <c r="N2467" s="3" t="s">
        <v>13779</v>
      </c>
      <c r="O2467" s="2" t="s">
        <v>24000</v>
      </c>
      <c r="P2467" s="3" t="s">
        <v>85</v>
      </c>
      <c r="R2467" s="3" t="s">
        <v>13065</v>
      </c>
      <c r="S2467" s="4">
        <v>4</v>
      </c>
      <c r="T2467" s="4">
        <v>5</v>
      </c>
      <c r="U2467" s="5" t="s">
        <v>17255</v>
      </c>
      <c r="V2467" s="5" t="s">
        <v>17255</v>
      </c>
      <c r="W2467" s="5" t="s">
        <v>67</v>
      </c>
      <c r="X2467" s="5" t="s">
        <v>67</v>
      </c>
      <c r="Y2467" s="4">
        <v>143</v>
      </c>
      <c r="Z2467" s="4">
        <v>7</v>
      </c>
      <c r="AA2467" s="4">
        <v>34</v>
      </c>
      <c r="AB2467" s="4">
        <v>1</v>
      </c>
      <c r="AC2467" s="4">
        <v>11</v>
      </c>
      <c r="AD2467" s="4">
        <v>56</v>
      </c>
      <c r="AE2467" s="4">
        <v>114</v>
      </c>
      <c r="AF2467" s="4">
        <v>0</v>
      </c>
      <c r="AG2467" s="4">
        <v>5</v>
      </c>
      <c r="AH2467" s="4">
        <v>51</v>
      </c>
      <c r="AI2467" s="4">
        <v>94</v>
      </c>
      <c r="AJ2467" s="4">
        <v>4</v>
      </c>
      <c r="AK2467" s="4">
        <v>20</v>
      </c>
      <c r="AL2467" s="4">
        <v>36</v>
      </c>
      <c r="AM2467" s="4">
        <v>57</v>
      </c>
      <c r="AN2467" s="4">
        <v>0</v>
      </c>
      <c r="AO2467" s="4">
        <v>0</v>
      </c>
      <c r="AP2467" s="4">
        <v>6</v>
      </c>
      <c r="AQ2467" s="4">
        <v>24</v>
      </c>
      <c r="AR2467" s="3" t="s">
        <v>62</v>
      </c>
      <c r="AS2467" s="3" t="s">
        <v>62</v>
      </c>
      <c r="AT2467" s="3" t="s">
        <v>62</v>
      </c>
      <c r="AU2467" s="6" t="str">
        <f>HYPERLINK("http://catalog.hathitrust.org/Record/000576099","HathiTrust Record")</f>
        <v>HathiTrust Record</v>
      </c>
      <c r="AV2467" s="6" t="str">
        <f>HYPERLINK("http://mcgill.on.worldcat.org/oclc/2313721","Catalog Record")</f>
        <v>Catalog Record</v>
      </c>
      <c r="AW2467" s="6" t="str">
        <f>HYPERLINK("http://www.worldcat.org/oclc/2313721","WorldCat Record")</f>
        <v>WorldCat Record</v>
      </c>
      <c r="AX2467" s="3" t="s">
        <v>24002</v>
      </c>
      <c r="AY2467" s="3" t="s">
        <v>24003</v>
      </c>
      <c r="AZ2467" s="3" t="s">
        <v>24004</v>
      </c>
      <c r="BA2467" s="3" t="s">
        <v>24004</v>
      </c>
      <c r="BB2467" s="3" t="s">
        <v>24007</v>
      </c>
      <c r="BC2467" s="3" t="s">
        <v>102</v>
      </c>
      <c r="BD2467" s="3" t="s">
        <v>68</v>
      </c>
      <c r="BF2467" s="3" t="s">
        <v>24007</v>
      </c>
      <c r="BG2467" s="3" t="s">
        <v>24008</v>
      </c>
    </row>
    <row r="2468" spans="1:59" ht="72.5" x14ac:dyDescent="0.35">
      <c r="A2468" s="2" t="s">
        <v>89</v>
      </c>
      <c r="B2468" s="2" t="s">
        <v>90</v>
      </c>
      <c r="C2468" s="2" t="s">
        <v>23995</v>
      </c>
      <c r="D2468" s="2" t="s">
        <v>23996</v>
      </c>
      <c r="E2468" s="2" t="s">
        <v>23997</v>
      </c>
      <c r="F2468" s="3" t="s">
        <v>1416</v>
      </c>
      <c r="G2468" s="3" t="s">
        <v>61</v>
      </c>
      <c r="I2468" s="3" t="s">
        <v>62</v>
      </c>
      <c r="J2468" s="3" t="s">
        <v>61</v>
      </c>
      <c r="K2468" s="3" t="s">
        <v>7988</v>
      </c>
      <c r="L2468" s="2" t="s">
        <v>23998</v>
      </c>
      <c r="M2468" s="2" t="s">
        <v>23999</v>
      </c>
      <c r="N2468" s="3" t="s">
        <v>13779</v>
      </c>
      <c r="O2468" s="2" t="s">
        <v>24000</v>
      </c>
      <c r="P2468" s="3" t="s">
        <v>85</v>
      </c>
      <c r="R2468" s="3" t="s">
        <v>13065</v>
      </c>
      <c r="S2468" s="4">
        <v>0</v>
      </c>
      <c r="T2468" s="4">
        <v>5</v>
      </c>
      <c r="V2468" s="5" t="s">
        <v>17255</v>
      </c>
      <c r="W2468" s="5" t="s">
        <v>67</v>
      </c>
      <c r="X2468" s="5" t="s">
        <v>67</v>
      </c>
      <c r="Y2468" s="4">
        <v>143</v>
      </c>
      <c r="Z2468" s="4">
        <v>7</v>
      </c>
      <c r="AA2468" s="4">
        <v>34</v>
      </c>
      <c r="AB2468" s="4">
        <v>1</v>
      </c>
      <c r="AC2468" s="4">
        <v>11</v>
      </c>
      <c r="AD2468" s="4">
        <v>56</v>
      </c>
      <c r="AE2468" s="4">
        <v>114</v>
      </c>
      <c r="AF2468" s="4">
        <v>0</v>
      </c>
      <c r="AG2468" s="4">
        <v>5</v>
      </c>
      <c r="AH2468" s="4">
        <v>51</v>
      </c>
      <c r="AI2468" s="4">
        <v>94</v>
      </c>
      <c r="AJ2468" s="4">
        <v>4</v>
      </c>
      <c r="AK2468" s="4">
        <v>20</v>
      </c>
      <c r="AL2468" s="4">
        <v>36</v>
      </c>
      <c r="AM2468" s="4">
        <v>57</v>
      </c>
      <c r="AN2468" s="4">
        <v>0</v>
      </c>
      <c r="AO2468" s="4">
        <v>0</v>
      </c>
      <c r="AP2468" s="4">
        <v>6</v>
      </c>
      <c r="AQ2468" s="4">
        <v>24</v>
      </c>
      <c r="AR2468" s="3" t="s">
        <v>62</v>
      </c>
      <c r="AS2468" s="3" t="s">
        <v>62</v>
      </c>
      <c r="AT2468" s="3" t="s">
        <v>62</v>
      </c>
      <c r="AU2468" s="6" t="str">
        <f>HYPERLINK("http://catalog.hathitrust.org/Record/000576099","HathiTrust Record")</f>
        <v>HathiTrust Record</v>
      </c>
      <c r="AV2468" s="6" t="str">
        <f>HYPERLINK("http://mcgill.on.worldcat.org/oclc/2313721","Catalog Record")</f>
        <v>Catalog Record</v>
      </c>
      <c r="AW2468" s="6" t="str">
        <f>HYPERLINK("http://www.worldcat.org/oclc/2313721","WorldCat Record")</f>
        <v>WorldCat Record</v>
      </c>
      <c r="AX2468" s="3" t="s">
        <v>24002</v>
      </c>
      <c r="AY2468" s="3" t="s">
        <v>24003</v>
      </c>
      <c r="AZ2468" s="3" t="s">
        <v>24004</v>
      </c>
      <c r="BA2468" s="3" t="s">
        <v>24004</v>
      </c>
      <c r="BB2468" s="3" t="s">
        <v>24009</v>
      </c>
      <c r="BC2468" s="3" t="s">
        <v>102</v>
      </c>
      <c r="BD2468" s="3" t="s">
        <v>68</v>
      </c>
      <c r="BF2468" s="3" t="s">
        <v>24009</v>
      </c>
      <c r="BG2468" s="3" t="s">
        <v>24010</v>
      </c>
    </row>
    <row r="2469" spans="1:59" ht="58" x14ac:dyDescent="0.35">
      <c r="A2469" s="2" t="s">
        <v>89</v>
      </c>
      <c r="B2469" s="2" t="s">
        <v>90</v>
      </c>
      <c r="C2469" s="2" t="s">
        <v>24011</v>
      </c>
      <c r="D2469" s="2" t="s">
        <v>24012</v>
      </c>
      <c r="E2469" s="2" t="s">
        <v>24013</v>
      </c>
      <c r="G2469" s="3" t="s">
        <v>62</v>
      </c>
      <c r="I2469" s="3" t="s">
        <v>62</v>
      </c>
      <c r="J2469" s="3" t="s">
        <v>62</v>
      </c>
      <c r="K2469" s="3" t="s">
        <v>63</v>
      </c>
      <c r="L2469" s="2" t="s">
        <v>24014</v>
      </c>
      <c r="M2469" s="2" t="s">
        <v>24015</v>
      </c>
      <c r="N2469" s="3" t="s">
        <v>1291</v>
      </c>
      <c r="P2469" s="3" t="s">
        <v>1881</v>
      </c>
      <c r="Q2469" s="2" t="s">
        <v>24016</v>
      </c>
      <c r="R2469" s="3" t="s">
        <v>13065</v>
      </c>
      <c r="S2469" s="4">
        <v>2</v>
      </c>
      <c r="T2469" s="4">
        <v>2</v>
      </c>
      <c r="U2469" s="5" t="s">
        <v>24017</v>
      </c>
      <c r="V2469" s="5" t="s">
        <v>24017</v>
      </c>
      <c r="W2469" s="5" t="s">
        <v>67</v>
      </c>
      <c r="X2469" s="5" t="s">
        <v>67</v>
      </c>
      <c r="Y2469" s="4">
        <v>285</v>
      </c>
      <c r="Z2469" s="4">
        <v>13</v>
      </c>
      <c r="AA2469" s="4">
        <v>13</v>
      </c>
      <c r="AB2469" s="4">
        <v>1</v>
      </c>
      <c r="AC2469" s="4">
        <v>1</v>
      </c>
      <c r="AD2469" s="4">
        <v>92</v>
      </c>
      <c r="AE2469" s="4">
        <v>92</v>
      </c>
      <c r="AF2469" s="4">
        <v>0</v>
      </c>
      <c r="AG2469" s="4">
        <v>0</v>
      </c>
      <c r="AH2469" s="4">
        <v>86</v>
      </c>
      <c r="AI2469" s="4">
        <v>86</v>
      </c>
      <c r="AJ2469" s="4">
        <v>9</v>
      </c>
      <c r="AK2469" s="4">
        <v>9</v>
      </c>
      <c r="AL2469" s="4">
        <v>51</v>
      </c>
      <c r="AM2469" s="4">
        <v>51</v>
      </c>
      <c r="AN2469" s="4">
        <v>0</v>
      </c>
      <c r="AO2469" s="4">
        <v>0</v>
      </c>
      <c r="AP2469" s="4">
        <v>10</v>
      </c>
      <c r="AQ2469" s="4">
        <v>10</v>
      </c>
      <c r="AR2469" s="3" t="s">
        <v>62</v>
      </c>
      <c r="AS2469" s="3" t="s">
        <v>62</v>
      </c>
      <c r="AT2469" s="3" t="s">
        <v>61</v>
      </c>
      <c r="AU2469" s="6" t="str">
        <f>HYPERLINK("http://catalog.hathitrust.org/Record/000616977","HathiTrust Record")</f>
        <v>HathiTrust Record</v>
      </c>
      <c r="AV2469" s="6" t="str">
        <f>HYPERLINK("http://mcgill.on.worldcat.org/oclc/1036438","Catalog Record")</f>
        <v>Catalog Record</v>
      </c>
      <c r="AW2469" s="6" t="str">
        <f>HYPERLINK("http://www.worldcat.org/oclc/1036438","WorldCat Record")</f>
        <v>WorldCat Record</v>
      </c>
      <c r="AX2469" s="3" t="s">
        <v>24018</v>
      </c>
      <c r="AY2469" s="3" t="s">
        <v>24019</v>
      </c>
      <c r="AZ2469" s="3" t="s">
        <v>24020</v>
      </c>
      <c r="BA2469" s="3" t="s">
        <v>24020</v>
      </c>
      <c r="BB2469" s="3" t="s">
        <v>24021</v>
      </c>
      <c r="BC2469" s="3" t="s">
        <v>102</v>
      </c>
      <c r="BD2469" s="3" t="s">
        <v>68</v>
      </c>
      <c r="BF2469" s="3" t="s">
        <v>24021</v>
      </c>
      <c r="BG2469" s="3" t="s">
        <v>24022</v>
      </c>
    </row>
    <row r="2470" spans="1:59" ht="58" x14ac:dyDescent="0.35">
      <c r="A2470" s="2" t="s">
        <v>89</v>
      </c>
      <c r="B2470" s="2" t="s">
        <v>90</v>
      </c>
      <c r="C2470" s="2" t="s">
        <v>24023</v>
      </c>
      <c r="D2470" s="2" t="s">
        <v>24024</v>
      </c>
      <c r="E2470" s="2" t="s">
        <v>24025</v>
      </c>
      <c r="F2470" s="3" t="s">
        <v>1428</v>
      </c>
      <c r="G2470" s="3" t="s">
        <v>61</v>
      </c>
      <c r="I2470" s="3" t="s">
        <v>62</v>
      </c>
      <c r="J2470" s="3" t="s">
        <v>62</v>
      </c>
      <c r="K2470" s="3" t="s">
        <v>63</v>
      </c>
      <c r="L2470" s="2" t="s">
        <v>24026</v>
      </c>
      <c r="M2470" s="2" t="s">
        <v>24027</v>
      </c>
      <c r="N2470" s="3" t="s">
        <v>13779</v>
      </c>
      <c r="P2470" s="3" t="s">
        <v>85</v>
      </c>
      <c r="Q2470" s="2" t="s">
        <v>24028</v>
      </c>
      <c r="R2470" s="3" t="s">
        <v>13065</v>
      </c>
      <c r="S2470" s="4">
        <v>1</v>
      </c>
      <c r="T2470" s="4">
        <v>1</v>
      </c>
      <c r="U2470" s="5" t="s">
        <v>13499</v>
      </c>
      <c r="V2470" s="5" t="s">
        <v>13499</v>
      </c>
      <c r="W2470" s="5" t="s">
        <v>67</v>
      </c>
      <c r="X2470" s="5" t="s">
        <v>67</v>
      </c>
      <c r="Y2470" s="4">
        <v>1</v>
      </c>
      <c r="Z2470" s="4">
        <v>1</v>
      </c>
      <c r="AA2470" s="4">
        <v>1</v>
      </c>
      <c r="AB2470" s="4">
        <v>1</v>
      </c>
      <c r="AC2470" s="4">
        <v>1</v>
      </c>
      <c r="AD2470" s="4">
        <v>0</v>
      </c>
      <c r="AE2470" s="4">
        <v>0</v>
      </c>
      <c r="AF2470" s="4">
        <v>0</v>
      </c>
      <c r="AG2470" s="4">
        <v>0</v>
      </c>
      <c r="AH2470" s="4">
        <v>0</v>
      </c>
      <c r="AI2470" s="4">
        <v>0</v>
      </c>
      <c r="AJ2470" s="4">
        <v>0</v>
      </c>
      <c r="AK2470" s="4">
        <v>0</v>
      </c>
      <c r="AL2470" s="4">
        <v>0</v>
      </c>
      <c r="AM2470" s="4">
        <v>0</v>
      </c>
      <c r="AN2470" s="4">
        <v>0</v>
      </c>
      <c r="AO2470" s="4">
        <v>0</v>
      </c>
      <c r="AP2470" s="4">
        <v>0</v>
      </c>
      <c r="AQ2470" s="4">
        <v>0</v>
      </c>
      <c r="AR2470" s="3" t="s">
        <v>62</v>
      </c>
      <c r="AS2470" s="3" t="s">
        <v>62</v>
      </c>
      <c r="AT2470" s="3" t="s">
        <v>62</v>
      </c>
      <c r="AV2470" s="6" t="str">
        <f>HYPERLINK("http://mcgill.on.worldcat.org/oclc/427510402","Catalog Record")</f>
        <v>Catalog Record</v>
      </c>
      <c r="AW2470" s="6" t="str">
        <f>HYPERLINK("http://www.worldcat.org/oclc/427510402","WorldCat Record")</f>
        <v>WorldCat Record</v>
      </c>
      <c r="AX2470" s="3" t="s">
        <v>24029</v>
      </c>
      <c r="AY2470" s="3" t="s">
        <v>24030</v>
      </c>
      <c r="AZ2470" s="3" t="s">
        <v>24031</v>
      </c>
      <c r="BA2470" s="3" t="s">
        <v>24031</v>
      </c>
      <c r="BB2470" s="3" t="s">
        <v>24032</v>
      </c>
      <c r="BC2470" s="3" t="s">
        <v>102</v>
      </c>
      <c r="BD2470" s="3" t="s">
        <v>68</v>
      </c>
      <c r="BF2470" s="3" t="s">
        <v>24032</v>
      </c>
      <c r="BG2470" s="3" t="s">
        <v>24033</v>
      </c>
    </row>
    <row r="2471" spans="1:59" ht="58" x14ac:dyDescent="0.35">
      <c r="A2471" s="2" t="s">
        <v>89</v>
      </c>
      <c r="B2471" s="2" t="s">
        <v>90</v>
      </c>
      <c r="C2471" s="2" t="s">
        <v>24023</v>
      </c>
      <c r="D2471" s="2" t="s">
        <v>24024</v>
      </c>
      <c r="E2471" s="2" t="s">
        <v>24025</v>
      </c>
      <c r="F2471" s="3" t="s">
        <v>1413</v>
      </c>
      <c r="G2471" s="3" t="s">
        <v>61</v>
      </c>
      <c r="I2471" s="3" t="s">
        <v>62</v>
      </c>
      <c r="J2471" s="3" t="s">
        <v>62</v>
      </c>
      <c r="K2471" s="3" t="s">
        <v>63</v>
      </c>
      <c r="L2471" s="2" t="s">
        <v>24026</v>
      </c>
      <c r="M2471" s="2" t="s">
        <v>24027</v>
      </c>
      <c r="N2471" s="3" t="s">
        <v>13779</v>
      </c>
      <c r="P2471" s="3" t="s">
        <v>85</v>
      </c>
      <c r="Q2471" s="2" t="s">
        <v>24028</v>
      </c>
      <c r="R2471" s="3" t="s">
        <v>13065</v>
      </c>
      <c r="S2471" s="4">
        <v>0</v>
      </c>
      <c r="T2471" s="4">
        <v>1</v>
      </c>
      <c r="V2471" s="5" t="s">
        <v>13499</v>
      </c>
      <c r="W2471" s="5" t="s">
        <v>67</v>
      </c>
      <c r="X2471" s="5" t="s">
        <v>67</v>
      </c>
      <c r="Y2471" s="4">
        <v>1</v>
      </c>
      <c r="Z2471" s="4">
        <v>1</v>
      </c>
      <c r="AA2471" s="4">
        <v>1</v>
      </c>
      <c r="AB2471" s="4">
        <v>1</v>
      </c>
      <c r="AC2471" s="4">
        <v>1</v>
      </c>
      <c r="AD2471" s="4">
        <v>0</v>
      </c>
      <c r="AE2471" s="4">
        <v>0</v>
      </c>
      <c r="AF2471" s="4">
        <v>0</v>
      </c>
      <c r="AG2471" s="4">
        <v>0</v>
      </c>
      <c r="AH2471" s="4">
        <v>0</v>
      </c>
      <c r="AI2471" s="4">
        <v>0</v>
      </c>
      <c r="AJ2471" s="4">
        <v>0</v>
      </c>
      <c r="AK2471" s="4">
        <v>0</v>
      </c>
      <c r="AL2471" s="4">
        <v>0</v>
      </c>
      <c r="AM2471" s="4">
        <v>0</v>
      </c>
      <c r="AN2471" s="4">
        <v>0</v>
      </c>
      <c r="AO2471" s="4">
        <v>0</v>
      </c>
      <c r="AP2471" s="4">
        <v>0</v>
      </c>
      <c r="AQ2471" s="4">
        <v>0</v>
      </c>
      <c r="AR2471" s="3" t="s">
        <v>62</v>
      </c>
      <c r="AS2471" s="3" t="s">
        <v>62</v>
      </c>
      <c r="AT2471" s="3" t="s">
        <v>62</v>
      </c>
      <c r="AV2471" s="6" t="str">
        <f>HYPERLINK("http://mcgill.on.worldcat.org/oclc/427510402","Catalog Record")</f>
        <v>Catalog Record</v>
      </c>
      <c r="AW2471" s="6" t="str">
        <f>HYPERLINK("http://www.worldcat.org/oclc/427510402","WorldCat Record")</f>
        <v>WorldCat Record</v>
      </c>
      <c r="AX2471" s="3" t="s">
        <v>24029</v>
      </c>
      <c r="AY2471" s="3" t="s">
        <v>24030</v>
      </c>
      <c r="AZ2471" s="3" t="s">
        <v>24031</v>
      </c>
      <c r="BA2471" s="3" t="s">
        <v>24031</v>
      </c>
      <c r="BB2471" s="3" t="s">
        <v>24034</v>
      </c>
      <c r="BC2471" s="3" t="s">
        <v>102</v>
      </c>
      <c r="BD2471" s="3" t="s">
        <v>68</v>
      </c>
      <c r="BF2471" s="3" t="s">
        <v>24034</v>
      </c>
      <c r="BG2471" s="3" t="s">
        <v>24035</v>
      </c>
    </row>
    <row r="2472" spans="1:59" ht="58" x14ac:dyDescent="0.35">
      <c r="A2472" s="2" t="s">
        <v>89</v>
      </c>
      <c r="B2472" s="2" t="s">
        <v>90</v>
      </c>
      <c r="C2472" s="2" t="s">
        <v>24023</v>
      </c>
      <c r="D2472" s="2" t="s">
        <v>24024</v>
      </c>
      <c r="E2472" s="2" t="s">
        <v>24025</v>
      </c>
      <c r="F2472" s="3" t="s">
        <v>1416</v>
      </c>
      <c r="G2472" s="3" t="s">
        <v>61</v>
      </c>
      <c r="I2472" s="3" t="s">
        <v>62</v>
      </c>
      <c r="J2472" s="3" t="s">
        <v>62</v>
      </c>
      <c r="K2472" s="3" t="s">
        <v>63</v>
      </c>
      <c r="L2472" s="2" t="s">
        <v>24026</v>
      </c>
      <c r="M2472" s="2" t="s">
        <v>24027</v>
      </c>
      <c r="N2472" s="3" t="s">
        <v>13779</v>
      </c>
      <c r="P2472" s="3" t="s">
        <v>85</v>
      </c>
      <c r="Q2472" s="2" t="s">
        <v>24028</v>
      </c>
      <c r="R2472" s="3" t="s">
        <v>13065</v>
      </c>
      <c r="S2472" s="4">
        <v>0</v>
      </c>
      <c r="T2472" s="4">
        <v>1</v>
      </c>
      <c r="V2472" s="5" t="s">
        <v>13499</v>
      </c>
      <c r="W2472" s="5" t="s">
        <v>67</v>
      </c>
      <c r="X2472" s="5" t="s">
        <v>67</v>
      </c>
      <c r="Y2472" s="4">
        <v>1</v>
      </c>
      <c r="Z2472" s="4">
        <v>1</v>
      </c>
      <c r="AA2472" s="4">
        <v>1</v>
      </c>
      <c r="AB2472" s="4">
        <v>1</v>
      </c>
      <c r="AC2472" s="4">
        <v>1</v>
      </c>
      <c r="AD2472" s="4">
        <v>0</v>
      </c>
      <c r="AE2472" s="4">
        <v>0</v>
      </c>
      <c r="AF2472" s="4">
        <v>0</v>
      </c>
      <c r="AG2472" s="4">
        <v>0</v>
      </c>
      <c r="AH2472" s="4">
        <v>0</v>
      </c>
      <c r="AI2472" s="4">
        <v>0</v>
      </c>
      <c r="AJ2472" s="4">
        <v>0</v>
      </c>
      <c r="AK2472" s="4">
        <v>0</v>
      </c>
      <c r="AL2472" s="4">
        <v>0</v>
      </c>
      <c r="AM2472" s="4">
        <v>0</v>
      </c>
      <c r="AN2472" s="4">
        <v>0</v>
      </c>
      <c r="AO2472" s="4">
        <v>0</v>
      </c>
      <c r="AP2472" s="4">
        <v>0</v>
      </c>
      <c r="AQ2472" s="4">
        <v>0</v>
      </c>
      <c r="AR2472" s="3" t="s">
        <v>62</v>
      </c>
      <c r="AS2472" s="3" t="s">
        <v>62</v>
      </c>
      <c r="AT2472" s="3" t="s">
        <v>62</v>
      </c>
      <c r="AV2472" s="6" t="str">
        <f>HYPERLINK("http://mcgill.on.worldcat.org/oclc/427510402","Catalog Record")</f>
        <v>Catalog Record</v>
      </c>
      <c r="AW2472" s="6" t="str">
        <f>HYPERLINK("http://www.worldcat.org/oclc/427510402","WorldCat Record")</f>
        <v>WorldCat Record</v>
      </c>
      <c r="AX2472" s="3" t="s">
        <v>24029</v>
      </c>
      <c r="AY2472" s="3" t="s">
        <v>24030</v>
      </c>
      <c r="AZ2472" s="3" t="s">
        <v>24031</v>
      </c>
      <c r="BA2472" s="3" t="s">
        <v>24031</v>
      </c>
      <c r="BB2472" s="3" t="s">
        <v>24036</v>
      </c>
      <c r="BC2472" s="3" t="s">
        <v>102</v>
      </c>
      <c r="BD2472" s="3" t="s">
        <v>68</v>
      </c>
      <c r="BF2472" s="3" t="s">
        <v>24036</v>
      </c>
      <c r="BG2472" s="3" t="s">
        <v>24037</v>
      </c>
    </row>
    <row r="2473" spans="1:59" ht="58" x14ac:dyDescent="0.35">
      <c r="A2473" s="2" t="s">
        <v>89</v>
      </c>
      <c r="B2473" s="2" t="s">
        <v>90</v>
      </c>
      <c r="C2473" s="2" t="s">
        <v>24038</v>
      </c>
      <c r="D2473" s="2" t="s">
        <v>24039</v>
      </c>
      <c r="E2473" s="2" t="s">
        <v>24040</v>
      </c>
      <c r="G2473" s="3" t="s">
        <v>62</v>
      </c>
      <c r="I2473" s="3" t="s">
        <v>62</v>
      </c>
      <c r="J2473" s="3" t="s">
        <v>61</v>
      </c>
      <c r="K2473" s="3" t="s">
        <v>63</v>
      </c>
      <c r="L2473" s="2" t="s">
        <v>24041</v>
      </c>
      <c r="M2473" s="2" t="s">
        <v>24042</v>
      </c>
      <c r="N2473" s="3" t="s">
        <v>838</v>
      </c>
      <c r="O2473" s="2" t="s">
        <v>8350</v>
      </c>
      <c r="P2473" s="3" t="s">
        <v>64</v>
      </c>
      <c r="Q2473" s="2" t="s">
        <v>24043</v>
      </c>
      <c r="R2473" s="3" t="s">
        <v>13065</v>
      </c>
      <c r="S2473" s="4">
        <v>43</v>
      </c>
      <c r="T2473" s="4">
        <v>43</v>
      </c>
      <c r="U2473" s="5" t="s">
        <v>541</v>
      </c>
      <c r="V2473" s="5" t="s">
        <v>541</v>
      </c>
      <c r="W2473" s="5" t="s">
        <v>67</v>
      </c>
      <c r="X2473" s="5" t="s">
        <v>67</v>
      </c>
      <c r="Y2473" s="4">
        <v>898</v>
      </c>
      <c r="Z2473" s="4">
        <v>37</v>
      </c>
      <c r="AA2473" s="4">
        <v>73</v>
      </c>
      <c r="AB2473" s="4">
        <v>3</v>
      </c>
      <c r="AC2473" s="4">
        <v>13</v>
      </c>
      <c r="AD2473" s="4">
        <v>123</v>
      </c>
      <c r="AE2473" s="4">
        <v>158</v>
      </c>
      <c r="AF2473" s="4">
        <v>2</v>
      </c>
      <c r="AG2473" s="4">
        <v>9</v>
      </c>
      <c r="AH2473" s="4">
        <v>97</v>
      </c>
      <c r="AI2473" s="4">
        <v>114</v>
      </c>
      <c r="AJ2473" s="4">
        <v>18</v>
      </c>
      <c r="AK2473" s="4">
        <v>27</v>
      </c>
      <c r="AL2473" s="4">
        <v>55</v>
      </c>
      <c r="AM2473" s="4">
        <v>61</v>
      </c>
      <c r="AN2473" s="4">
        <v>0</v>
      </c>
      <c r="AO2473" s="4">
        <v>0</v>
      </c>
      <c r="AP2473" s="4">
        <v>31</v>
      </c>
      <c r="AQ2473" s="4">
        <v>51</v>
      </c>
      <c r="AR2473" s="3" t="s">
        <v>62</v>
      </c>
      <c r="AS2473" s="3" t="s">
        <v>62</v>
      </c>
      <c r="AT2473" s="3" t="s">
        <v>61</v>
      </c>
      <c r="AU2473" s="6" t="str">
        <f>HYPERLINK("http://catalog.hathitrust.org/Record/000616959","HathiTrust Record")</f>
        <v>HathiTrust Record</v>
      </c>
      <c r="AV2473" s="6" t="str">
        <f>HYPERLINK("http://mcgill.on.worldcat.org/oclc/527796","Catalog Record")</f>
        <v>Catalog Record</v>
      </c>
      <c r="AW2473" s="6" t="str">
        <f>HYPERLINK("http://www.worldcat.org/oclc/527796","WorldCat Record")</f>
        <v>WorldCat Record</v>
      </c>
      <c r="AX2473" s="3" t="s">
        <v>24044</v>
      </c>
      <c r="AY2473" s="3" t="s">
        <v>24045</v>
      </c>
      <c r="AZ2473" s="3" t="s">
        <v>24046</v>
      </c>
      <c r="BA2473" s="3" t="s">
        <v>24046</v>
      </c>
      <c r="BB2473" s="3" t="s">
        <v>24047</v>
      </c>
      <c r="BC2473" s="3" t="s">
        <v>102</v>
      </c>
      <c r="BD2473" s="3" t="s">
        <v>231</v>
      </c>
      <c r="BF2473" s="3" t="s">
        <v>24047</v>
      </c>
      <c r="BG2473" s="3" t="s">
        <v>24048</v>
      </c>
    </row>
    <row r="2474" spans="1:59" ht="101.5" x14ac:dyDescent="0.35">
      <c r="A2474" s="2" t="s">
        <v>89</v>
      </c>
      <c r="B2474" s="2" t="s">
        <v>12301</v>
      </c>
      <c r="C2474" s="2" t="s">
        <v>24049</v>
      </c>
      <c r="D2474" s="2" t="s">
        <v>24050</v>
      </c>
      <c r="E2474" s="2" t="s">
        <v>24051</v>
      </c>
      <c r="G2474" s="3" t="s">
        <v>62</v>
      </c>
      <c r="I2474" s="3" t="s">
        <v>62</v>
      </c>
      <c r="J2474" s="3" t="s">
        <v>62</v>
      </c>
      <c r="K2474" s="3" t="s">
        <v>63</v>
      </c>
      <c r="L2474" s="2" t="s">
        <v>24052</v>
      </c>
      <c r="M2474" s="2" t="s">
        <v>24053</v>
      </c>
      <c r="N2474" s="3" t="s">
        <v>625</v>
      </c>
      <c r="O2474" s="2" t="s">
        <v>24054</v>
      </c>
      <c r="P2474" s="3" t="s">
        <v>64</v>
      </c>
      <c r="R2474" s="3" t="s">
        <v>13065</v>
      </c>
      <c r="S2474" s="4">
        <v>34</v>
      </c>
      <c r="T2474" s="4">
        <v>34</v>
      </c>
      <c r="U2474" s="5" t="s">
        <v>2521</v>
      </c>
      <c r="V2474" s="5" t="s">
        <v>2521</v>
      </c>
      <c r="W2474" s="5" t="s">
        <v>67</v>
      </c>
      <c r="X2474" s="5" t="s">
        <v>67</v>
      </c>
      <c r="Y2474" s="4">
        <v>208</v>
      </c>
      <c r="Z2474" s="4">
        <v>17</v>
      </c>
      <c r="AA2474" s="4">
        <v>25</v>
      </c>
      <c r="AB2474" s="4">
        <v>3</v>
      </c>
      <c r="AC2474" s="4">
        <v>7</v>
      </c>
      <c r="AD2474" s="4">
        <v>62</v>
      </c>
      <c r="AE2474" s="4">
        <v>73</v>
      </c>
      <c r="AF2474" s="4">
        <v>1</v>
      </c>
      <c r="AG2474" s="4">
        <v>5</v>
      </c>
      <c r="AH2474" s="4">
        <v>56</v>
      </c>
      <c r="AI2474" s="4">
        <v>62</v>
      </c>
      <c r="AJ2474" s="4">
        <v>9</v>
      </c>
      <c r="AK2474" s="4">
        <v>15</v>
      </c>
      <c r="AL2474" s="4">
        <v>37</v>
      </c>
      <c r="AM2474" s="4">
        <v>37</v>
      </c>
      <c r="AN2474" s="4">
        <v>0</v>
      </c>
      <c r="AO2474" s="4">
        <v>0</v>
      </c>
      <c r="AP2474" s="4">
        <v>10</v>
      </c>
      <c r="AQ2474" s="4">
        <v>17</v>
      </c>
      <c r="AR2474" s="3" t="s">
        <v>62</v>
      </c>
      <c r="AS2474" s="3" t="s">
        <v>62</v>
      </c>
      <c r="AT2474" s="3" t="s">
        <v>62</v>
      </c>
      <c r="AV2474" s="6" t="str">
        <f>HYPERLINK("http://mcgill.on.worldcat.org/oclc/51178128","Catalog Record")</f>
        <v>Catalog Record</v>
      </c>
      <c r="AW2474" s="6" t="str">
        <f>HYPERLINK("http://www.worldcat.org/oclc/51178128","WorldCat Record")</f>
        <v>WorldCat Record</v>
      </c>
      <c r="AX2474" s="3" t="s">
        <v>24055</v>
      </c>
      <c r="AY2474" s="3" t="s">
        <v>24056</v>
      </c>
      <c r="AZ2474" s="3" t="s">
        <v>24057</v>
      </c>
      <c r="BA2474" s="3" t="s">
        <v>24057</v>
      </c>
      <c r="BB2474" s="3" t="s">
        <v>24058</v>
      </c>
      <c r="BC2474" s="3" t="s">
        <v>102</v>
      </c>
      <c r="BD2474" s="3" t="s">
        <v>68</v>
      </c>
      <c r="BE2474" s="3" t="s">
        <v>24059</v>
      </c>
      <c r="BF2474" s="3" t="s">
        <v>24058</v>
      </c>
      <c r="BG2474" s="3" t="s">
        <v>24060</v>
      </c>
    </row>
    <row r="2475" spans="1:59" ht="58" x14ac:dyDescent="0.35">
      <c r="A2475" s="2" t="s">
        <v>89</v>
      </c>
      <c r="B2475" s="2" t="s">
        <v>90</v>
      </c>
      <c r="C2475" s="2" t="s">
        <v>24061</v>
      </c>
      <c r="D2475" s="2" t="s">
        <v>24062</v>
      </c>
      <c r="E2475" s="2" t="s">
        <v>24063</v>
      </c>
      <c r="F2475" s="3" t="s">
        <v>2752</v>
      </c>
      <c r="G2475" s="3" t="s">
        <v>61</v>
      </c>
      <c r="I2475" s="3" t="s">
        <v>62</v>
      </c>
      <c r="J2475" s="3" t="s">
        <v>62</v>
      </c>
      <c r="K2475" s="3" t="s">
        <v>63</v>
      </c>
      <c r="L2475" s="2" t="s">
        <v>24064</v>
      </c>
      <c r="M2475" s="2" t="s">
        <v>24065</v>
      </c>
      <c r="N2475" s="3" t="s">
        <v>838</v>
      </c>
      <c r="P2475" s="3" t="s">
        <v>64</v>
      </c>
      <c r="Q2475" s="2" t="s">
        <v>24066</v>
      </c>
      <c r="R2475" s="3" t="s">
        <v>13065</v>
      </c>
      <c r="S2475" s="4">
        <v>3</v>
      </c>
      <c r="T2475" s="4">
        <v>10</v>
      </c>
      <c r="U2475" s="5" t="s">
        <v>24067</v>
      </c>
      <c r="V2475" s="5" t="s">
        <v>21027</v>
      </c>
      <c r="W2475" s="5" t="s">
        <v>67</v>
      </c>
      <c r="X2475" s="5" t="s">
        <v>67</v>
      </c>
      <c r="Y2475" s="4">
        <v>514</v>
      </c>
      <c r="Z2475" s="4">
        <v>29</v>
      </c>
      <c r="AA2475" s="4">
        <v>45</v>
      </c>
      <c r="AB2475" s="4">
        <v>3</v>
      </c>
      <c r="AC2475" s="4">
        <v>6</v>
      </c>
      <c r="AD2475" s="4">
        <v>115</v>
      </c>
      <c r="AE2475" s="4">
        <v>136</v>
      </c>
      <c r="AF2475" s="4">
        <v>2</v>
      </c>
      <c r="AG2475" s="4">
        <v>5</v>
      </c>
      <c r="AH2475" s="4">
        <v>93</v>
      </c>
      <c r="AI2475" s="4">
        <v>106</v>
      </c>
      <c r="AJ2475" s="4">
        <v>14</v>
      </c>
      <c r="AK2475" s="4">
        <v>23</v>
      </c>
      <c r="AL2475" s="4">
        <v>52</v>
      </c>
      <c r="AM2475" s="4">
        <v>57</v>
      </c>
      <c r="AN2475" s="4">
        <v>0</v>
      </c>
      <c r="AO2475" s="4">
        <v>0</v>
      </c>
      <c r="AP2475" s="4">
        <v>25</v>
      </c>
      <c r="AQ2475" s="4">
        <v>36</v>
      </c>
      <c r="AR2475" s="3" t="s">
        <v>62</v>
      </c>
      <c r="AS2475" s="3" t="s">
        <v>62</v>
      </c>
      <c r="AT2475" s="3" t="s">
        <v>61</v>
      </c>
      <c r="AU2475" s="6" t="str">
        <f>HYPERLINK("http://catalog.hathitrust.org/Record/000587616","HathiTrust Record")</f>
        <v>HathiTrust Record</v>
      </c>
      <c r="AV2475" s="6" t="str">
        <f>HYPERLINK("http://mcgill.on.worldcat.org/oclc/346488","Catalog Record")</f>
        <v>Catalog Record</v>
      </c>
      <c r="AW2475" s="6" t="str">
        <f>HYPERLINK("http://www.worldcat.org/oclc/346488","WorldCat Record")</f>
        <v>WorldCat Record</v>
      </c>
      <c r="AX2475" s="3" t="s">
        <v>24068</v>
      </c>
      <c r="AY2475" s="3" t="s">
        <v>24069</v>
      </c>
      <c r="AZ2475" s="3" t="s">
        <v>24070</v>
      </c>
      <c r="BA2475" s="3" t="s">
        <v>24070</v>
      </c>
      <c r="BB2475" s="3" t="s">
        <v>24071</v>
      </c>
      <c r="BC2475" s="3" t="s">
        <v>102</v>
      </c>
      <c r="BD2475" s="3" t="s">
        <v>68</v>
      </c>
      <c r="BF2475" s="3" t="s">
        <v>24071</v>
      </c>
      <c r="BG2475" s="3" t="s">
        <v>24072</v>
      </c>
    </row>
    <row r="2476" spans="1:59" ht="58" x14ac:dyDescent="0.35">
      <c r="A2476" s="2" t="s">
        <v>89</v>
      </c>
      <c r="B2476" s="2" t="s">
        <v>90</v>
      </c>
      <c r="C2476" s="2" t="s">
        <v>24061</v>
      </c>
      <c r="D2476" s="2" t="s">
        <v>24062</v>
      </c>
      <c r="E2476" s="2" t="s">
        <v>24063</v>
      </c>
      <c r="F2476" s="3" t="s">
        <v>1413</v>
      </c>
      <c r="G2476" s="3" t="s">
        <v>61</v>
      </c>
      <c r="I2476" s="3" t="s">
        <v>62</v>
      </c>
      <c r="J2476" s="3" t="s">
        <v>62</v>
      </c>
      <c r="K2476" s="3" t="s">
        <v>63</v>
      </c>
      <c r="L2476" s="2" t="s">
        <v>24064</v>
      </c>
      <c r="M2476" s="2" t="s">
        <v>24065</v>
      </c>
      <c r="N2476" s="3" t="s">
        <v>838</v>
      </c>
      <c r="P2476" s="3" t="s">
        <v>64</v>
      </c>
      <c r="Q2476" s="2" t="s">
        <v>24066</v>
      </c>
      <c r="R2476" s="3" t="s">
        <v>13065</v>
      </c>
      <c r="S2476" s="4">
        <v>6</v>
      </c>
      <c r="T2476" s="4">
        <v>10</v>
      </c>
      <c r="U2476" s="5" t="s">
        <v>21027</v>
      </c>
      <c r="V2476" s="5" t="s">
        <v>21027</v>
      </c>
      <c r="W2476" s="5" t="s">
        <v>67</v>
      </c>
      <c r="X2476" s="5" t="s">
        <v>67</v>
      </c>
      <c r="Y2476" s="4">
        <v>514</v>
      </c>
      <c r="Z2476" s="4">
        <v>29</v>
      </c>
      <c r="AA2476" s="4">
        <v>45</v>
      </c>
      <c r="AB2476" s="4">
        <v>3</v>
      </c>
      <c r="AC2476" s="4">
        <v>6</v>
      </c>
      <c r="AD2476" s="4">
        <v>115</v>
      </c>
      <c r="AE2476" s="4">
        <v>136</v>
      </c>
      <c r="AF2476" s="4">
        <v>2</v>
      </c>
      <c r="AG2476" s="4">
        <v>5</v>
      </c>
      <c r="AH2476" s="4">
        <v>93</v>
      </c>
      <c r="AI2476" s="4">
        <v>106</v>
      </c>
      <c r="AJ2476" s="4">
        <v>14</v>
      </c>
      <c r="AK2476" s="4">
        <v>23</v>
      </c>
      <c r="AL2476" s="4">
        <v>52</v>
      </c>
      <c r="AM2476" s="4">
        <v>57</v>
      </c>
      <c r="AN2476" s="4">
        <v>0</v>
      </c>
      <c r="AO2476" s="4">
        <v>0</v>
      </c>
      <c r="AP2476" s="4">
        <v>25</v>
      </c>
      <c r="AQ2476" s="4">
        <v>36</v>
      </c>
      <c r="AR2476" s="3" t="s">
        <v>62</v>
      </c>
      <c r="AS2476" s="3" t="s">
        <v>62</v>
      </c>
      <c r="AT2476" s="3" t="s">
        <v>61</v>
      </c>
      <c r="AU2476" s="6" t="str">
        <f>HYPERLINK("http://catalog.hathitrust.org/Record/000587616","HathiTrust Record")</f>
        <v>HathiTrust Record</v>
      </c>
      <c r="AV2476" s="6" t="str">
        <f>HYPERLINK("http://mcgill.on.worldcat.org/oclc/346488","Catalog Record")</f>
        <v>Catalog Record</v>
      </c>
      <c r="AW2476" s="6" t="str">
        <f>HYPERLINK("http://www.worldcat.org/oclc/346488","WorldCat Record")</f>
        <v>WorldCat Record</v>
      </c>
      <c r="AX2476" s="3" t="s">
        <v>24068</v>
      </c>
      <c r="AY2476" s="3" t="s">
        <v>24069</v>
      </c>
      <c r="AZ2476" s="3" t="s">
        <v>24070</v>
      </c>
      <c r="BA2476" s="3" t="s">
        <v>24070</v>
      </c>
      <c r="BB2476" s="3" t="s">
        <v>24073</v>
      </c>
      <c r="BC2476" s="3" t="s">
        <v>102</v>
      </c>
      <c r="BD2476" s="3" t="s">
        <v>68</v>
      </c>
      <c r="BF2476" s="3" t="s">
        <v>24073</v>
      </c>
      <c r="BG2476" s="3" t="s">
        <v>24074</v>
      </c>
    </row>
    <row r="2477" spans="1:59" ht="58" x14ac:dyDescent="0.35">
      <c r="A2477" s="2" t="s">
        <v>89</v>
      </c>
      <c r="B2477" s="2" t="s">
        <v>90</v>
      </c>
      <c r="C2477" s="2" t="s">
        <v>24061</v>
      </c>
      <c r="D2477" s="2" t="s">
        <v>24062</v>
      </c>
      <c r="E2477" s="2" t="s">
        <v>24063</v>
      </c>
      <c r="F2477" s="3" t="s">
        <v>1416</v>
      </c>
      <c r="G2477" s="3" t="s">
        <v>61</v>
      </c>
      <c r="I2477" s="3" t="s">
        <v>62</v>
      </c>
      <c r="J2477" s="3" t="s">
        <v>62</v>
      </c>
      <c r="K2477" s="3" t="s">
        <v>63</v>
      </c>
      <c r="L2477" s="2" t="s">
        <v>24064</v>
      </c>
      <c r="M2477" s="2" t="s">
        <v>24065</v>
      </c>
      <c r="N2477" s="3" t="s">
        <v>838</v>
      </c>
      <c r="P2477" s="3" t="s">
        <v>64</v>
      </c>
      <c r="Q2477" s="2" t="s">
        <v>24066</v>
      </c>
      <c r="R2477" s="3" t="s">
        <v>13065</v>
      </c>
      <c r="S2477" s="4">
        <v>0</v>
      </c>
      <c r="T2477" s="4">
        <v>10</v>
      </c>
      <c r="V2477" s="5" t="s">
        <v>21027</v>
      </c>
      <c r="W2477" s="5" t="s">
        <v>67</v>
      </c>
      <c r="X2477" s="5" t="s">
        <v>67</v>
      </c>
      <c r="Y2477" s="4">
        <v>514</v>
      </c>
      <c r="Z2477" s="4">
        <v>29</v>
      </c>
      <c r="AA2477" s="4">
        <v>45</v>
      </c>
      <c r="AB2477" s="4">
        <v>3</v>
      </c>
      <c r="AC2477" s="4">
        <v>6</v>
      </c>
      <c r="AD2477" s="4">
        <v>115</v>
      </c>
      <c r="AE2477" s="4">
        <v>136</v>
      </c>
      <c r="AF2477" s="4">
        <v>2</v>
      </c>
      <c r="AG2477" s="4">
        <v>5</v>
      </c>
      <c r="AH2477" s="4">
        <v>93</v>
      </c>
      <c r="AI2477" s="4">
        <v>106</v>
      </c>
      <c r="AJ2477" s="4">
        <v>14</v>
      </c>
      <c r="AK2477" s="4">
        <v>23</v>
      </c>
      <c r="AL2477" s="4">
        <v>52</v>
      </c>
      <c r="AM2477" s="4">
        <v>57</v>
      </c>
      <c r="AN2477" s="4">
        <v>0</v>
      </c>
      <c r="AO2477" s="4">
        <v>0</v>
      </c>
      <c r="AP2477" s="4">
        <v>25</v>
      </c>
      <c r="AQ2477" s="4">
        <v>36</v>
      </c>
      <c r="AR2477" s="3" t="s">
        <v>62</v>
      </c>
      <c r="AS2477" s="3" t="s">
        <v>62</v>
      </c>
      <c r="AT2477" s="3" t="s">
        <v>61</v>
      </c>
      <c r="AU2477" s="6" t="str">
        <f>HYPERLINK("http://catalog.hathitrust.org/Record/000587616","HathiTrust Record")</f>
        <v>HathiTrust Record</v>
      </c>
      <c r="AV2477" s="6" t="str">
        <f>HYPERLINK("http://mcgill.on.worldcat.org/oclc/346488","Catalog Record")</f>
        <v>Catalog Record</v>
      </c>
      <c r="AW2477" s="6" t="str">
        <f>HYPERLINK("http://www.worldcat.org/oclc/346488","WorldCat Record")</f>
        <v>WorldCat Record</v>
      </c>
      <c r="AX2477" s="3" t="s">
        <v>24068</v>
      </c>
      <c r="AY2477" s="3" t="s">
        <v>24069</v>
      </c>
      <c r="AZ2477" s="3" t="s">
        <v>24070</v>
      </c>
      <c r="BA2477" s="3" t="s">
        <v>24070</v>
      </c>
      <c r="BB2477" s="3" t="s">
        <v>24075</v>
      </c>
      <c r="BC2477" s="3" t="s">
        <v>102</v>
      </c>
      <c r="BD2477" s="3" t="s">
        <v>68</v>
      </c>
      <c r="BF2477" s="3" t="s">
        <v>24075</v>
      </c>
      <c r="BG2477" s="3" t="s">
        <v>24076</v>
      </c>
    </row>
    <row r="2478" spans="1:59" ht="58" x14ac:dyDescent="0.35">
      <c r="A2478" s="2" t="s">
        <v>89</v>
      </c>
      <c r="B2478" s="2" t="s">
        <v>90</v>
      </c>
      <c r="C2478" s="2" t="s">
        <v>24061</v>
      </c>
      <c r="D2478" s="2" t="s">
        <v>24062</v>
      </c>
      <c r="E2478" s="2" t="s">
        <v>24063</v>
      </c>
      <c r="F2478" s="3" t="s">
        <v>1434</v>
      </c>
      <c r="G2478" s="3" t="s">
        <v>61</v>
      </c>
      <c r="I2478" s="3" t="s">
        <v>62</v>
      </c>
      <c r="J2478" s="3" t="s">
        <v>62</v>
      </c>
      <c r="K2478" s="3" t="s">
        <v>63</v>
      </c>
      <c r="L2478" s="2" t="s">
        <v>24064</v>
      </c>
      <c r="M2478" s="2" t="s">
        <v>24065</v>
      </c>
      <c r="N2478" s="3" t="s">
        <v>838</v>
      </c>
      <c r="P2478" s="3" t="s">
        <v>64</v>
      </c>
      <c r="Q2478" s="2" t="s">
        <v>24066</v>
      </c>
      <c r="R2478" s="3" t="s">
        <v>13065</v>
      </c>
      <c r="S2478" s="4">
        <v>0</v>
      </c>
      <c r="T2478" s="4">
        <v>10</v>
      </c>
      <c r="V2478" s="5" t="s">
        <v>21027</v>
      </c>
      <c r="W2478" s="5" t="s">
        <v>67</v>
      </c>
      <c r="X2478" s="5" t="s">
        <v>67</v>
      </c>
      <c r="Y2478" s="4">
        <v>514</v>
      </c>
      <c r="Z2478" s="4">
        <v>29</v>
      </c>
      <c r="AA2478" s="4">
        <v>45</v>
      </c>
      <c r="AB2478" s="4">
        <v>3</v>
      </c>
      <c r="AC2478" s="4">
        <v>6</v>
      </c>
      <c r="AD2478" s="4">
        <v>115</v>
      </c>
      <c r="AE2478" s="4">
        <v>136</v>
      </c>
      <c r="AF2478" s="4">
        <v>2</v>
      </c>
      <c r="AG2478" s="4">
        <v>5</v>
      </c>
      <c r="AH2478" s="4">
        <v>93</v>
      </c>
      <c r="AI2478" s="4">
        <v>106</v>
      </c>
      <c r="AJ2478" s="4">
        <v>14</v>
      </c>
      <c r="AK2478" s="4">
        <v>23</v>
      </c>
      <c r="AL2478" s="4">
        <v>52</v>
      </c>
      <c r="AM2478" s="4">
        <v>57</v>
      </c>
      <c r="AN2478" s="4">
        <v>0</v>
      </c>
      <c r="AO2478" s="4">
        <v>0</v>
      </c>
      <c r="AP2478" s="4">
        <v>25</v>
      </c>
      <c r="AQ2478" s="4">
        <v>36</v>
      </c>
      <c r="AR2478" s="3" t="s">
        <v>62</v>
      </c>
      <c r="AS2478" s="3" t="s">
        <v>62</v>
      </c>
      <c r="AT2478" s="3" t="s">
        <v>61</v>
      </c>
      <c r="AU2478" s="6" t="str">
        <f>HYPERLINK("http://catalog.hathitrust.org/Record/000587616","HathiTrust Record")</f>
        <v>HathiTrust Record</v>
      </c>
      <c r="AV2478" s="6" t="str">
        <f>HYPERLINK("http://mcgill.on.worldcat.org/oclc/346488","Catalog Record")</f>
        <v>Catalog Record</v>
      </c>
      <c r="AW2478" s="6" t="str">
        <f>HYPERLINK("http://www.worldcat.org/oclc/346488","WorldCat Record")</f>
        <v>WorldCat Record</v>
      </c>
      <c r="AX2478" s="3" t="s">
        <v>24068</v>
      </c>
      <c r="AY2478" s="3" t="s">
        <v>24069</v>
      </c>
      <c r="AZ2478" s="3" t="s">
        <v>24070</v>
      </c>
      <c r="BA2478" s="3" t="s">
        <v>24070</v>
      </c>
      <c r="BB2478" s="3" t="s">
        <v>24077</v>
      </c>
      <c r="BC2478" s="3" t="s">
        <v>102</v>
      </c>
      <c r="BD2478" s="3" t="s">
        <v>68</v>
      </c>
      <c r="BF2478" s="3" t="s">
        <v>24077</v>
      </c>
      <c r="BG2478" s="3" t="s">
        <v>24078</v>
      </c>
    </row>
    <row r="2479" spans="1:59" ht="58" x14ac:dyDescent="0.35">
      <c r="A2479" s="2" t="s">
        <v>89</v>
      </c>
      <c r="B2479" s="2" t="s">
        <v>90</v>
      </c>
      <c r="C2479" s="2" t="s">
        <v>24061</v>
      </c>
      <c r="D2479" s="2" t="s">
        <v>24062</v>
      </c>
      <c r="E2479" s="2" t="s">
        <v>24063</v>
      </c>
      <c r="F2479" s="3" t="s">
        <v>2764</v>
      </c>
      <c r="G2479" s="3" t="s">
        <v>61</v>
      </c>
      <c r="I2479" s="3" t="s">
        <v>62</v>
      </c>
      <c r="J2479" s="3" t="s">
        <v>62</v>
      </c>
      <c r="K2479" s="3" t="s">
        <v>63</v>
      </c>
      <c r="L2479" s="2" t="s">
        <v>24064</v>
      </c>
      <c r="M2479" s="2" t="s">
        <v>24065</v>
      </c>
      <c r="N2479" s="3" t="s">
        <v>838</v>
      </c>
      <c r="P2479" s="3" t="s">
        <v>64</v>
      </c>
      <c r="Q2479" s="2" t="s">
        <v>24066</v>
      </c>
      <c r="R2479" s="3" t="s">
        <v>13065</v>
      </c>
      <c r="S2479" s="4">
        <v>1</v>
      </c>
      <c r="T2479" s="4">
        <v>10</v>
      </c>
      <c r="U2479" s="5" t="s">
        <v>24079</v>
      </c>
      <c r="V2479" s="5" t="s">
        <v>21027</v>
      </c>
      <c r="W2479" s="5" t="s">
        <v>67</v>
      </c>
      <c r="X2479" s="5" t="s">
        <v>67</v>
      </c>
      <c r="Y2479" s="4">
        <v>514</v>
      </c>
      <c r="Z2479" s="4">
        <v>29</v>
      </c>
      <c r="AA2479" s="4">
        <v>45</v>
      </c>
      <c r="AB2479" s="4">
        <v>3</v>
      </c>
      <c r="AC2479" s="4">
        <v>6</v>
      </c>
      <c r="AD2479" s="4">
        <v>115</v>
      </c>
      <c r="AE2479" s="4">
        <v>136</v>
      </c>
      <c r="AF2479" s="4">
        <v>2</v>
      </c>
      <c r="AG2479" s="4">
        <v>5</v>
      </c>
      <c r="AH2479" s="4">
        <v>93</v>
      </c>
      <c r="AI2479" s="4">
        <v>106</v>
      </c>
      <c r="AJ2479" s="4">
        <v>14</v>
      </c>
      <c r="AK2479" s="4">
        <v>23</v>
      </c>
      <c r="AL2479" s="4">
        <v>52</v>
      </c>
      <c r="AM2479" s="4">
        <v>57</v>
      </c>
      <c r="AN2479" s="4">
        <v>0</v>
      </c>
      <c r="AO2479" s="4">
        <v>0</v>
      </c>
      <c r="AP2479" s="4">
        <v>25</v>
      </c>
      <c r="AQ2479" s="4">
        <v>36</v>
      </c>
      <c r="AR2479" s="3" t="s">
        <v>62</v>
      </c>
      <c r="AS2479" s="3" t="s">
        <v>62</v>
      </c>
      <c r="AT2479" s="3" t="s">
        <v>61</v>
      </c>
      <c r="AU2479" s="6" t="str">
        <f>HYPERLINK("http://catalog.hathitrust.org/Record/000587616","HathiTrust Record")</f>
        <v>HathiTrust Record</v>
      </c>
      <c r="AV2479" s="6" t="str">
        <f>HYPERLINK("http://mcgill.on.worldcat.org/oclc/346488","Catalog Record")</f>
        <v>Catalog Record</v>
      </c>
      <c r="AW2479" s="6" t="str">
        <f>HYPERLINK("http://www.worldcat.org/oclc/346488","WorldCat Record")</f>
        <v>WorldCat Record</v>
      </c>
      <c r="AX2479" s="3" t="s">
        <v>24068</v>
      </c>
      <c r="AY2479" s="3" t="s">
        <v>24069</v>
      </c>
      <c r="AZ2479" s="3" t="s">
        <v>24070</v>
      </c>
      <c r="BA2479" s="3" t="s">
        <v>24070</v>
      </c>
      <c r="BB2479" s="3" t="s">
        <v>24080</v>
      </c>
      <c r="BC2479" s="3" t="s">
        <v>102</v>
      </c>
      <c r="BD2479" s="3" t="s">
        <v>68</v>
      </c>
      <c r="BF2479" s="3" t="s">
        <v>24080</v>
      </c>
      <c r="BG2479" s="3" t="s">
        <v>24081</v>
      </c>
    </row>
    <row r="2480" spans="1:59" ht="58" x14ac:dyDescent="0.35">
      <c r="A2480" s="2" t="s">
        <v>89</v>
      </c>
      <c r="B2480" s="2" t="s">
        <v>90</v>
      </c>
      <c r="C2480" s="2" t="s">
        <v>24082</v>
      </c>
      <c r="D2480" s="2" t="s">
        <v>24083</v>
      </c>
      <c r="E2480" s="2" t="s">
        <v>24084</v>
      </c>
      <c r="G2480" s="3" t="s">
        <v>62</v>
      </c>
      <c r="I2480" s="3" t="s">
        <v>62</v>
      </c>
      <c r="J2480" s="3" t="s">
        <v>62</v>
      </c>
      <c r="K2480" s="3" t="s">
        <v>63</v>
      </c>
      <c r="L2480" s="2" t="s">
        <v>24085</v>
      </c>
      <c r="M2480" s="2" t="s">
        <v>24086</v>
      </c>
      <c r="N2480" s="3" t="s">
        <v>1195</v>
      </c>
      <c r="P2480" s="3" t="s">
        <v>64</v>
      </c>
      <c r="R2480" s="3" t="s">
        <v>13065</v>
      </c>
      <c r="S2480" s="4">
        <v>10</v>
      </c>
      <c r="T2480" s="4">
        <v>10</v>
      </c>
      <c r="U2480" s="5" t="s">
        <v>24087</v>
      </c>
      <c r="V2480" s="5" t="s">
        <v>24087</v>
      </c>
      <c r="W2480" s="5" t="s">
        <v>67</v>
      </c>
      <c r="X2480" s="5" t="s">
        <v>67</v>
      </c>
      <c r="Y2480" s="4">
        <v>678</v>
      </c>
      <c r="Z2480" s="4">
        <v>26</v>
      </c>
      <c r="AA2480" s="4">
        <v>29</v>
      </c>
      <c r="AB2480" s="4">
        <v>3</v>
      </c>
      <c r="AC2480" s="4">
        <v>4</v>
      </c>
      <c r="AD2480" s="4">
        <v>99</v>
      </c>
      <c r="AE2480" s="4">
        <v>101</v>
      </c>
      <c r="AF2480" s="4">
        <v>2</v>
      </c>
      <c r="AG2480" s="4">
        <v>2</v>
      </c>
      <c r="AH2480" s="4">
        <v>85</v>
      </c>
      <c r="AI2480" s="4">
        <v>86</v>
      </c>
      <c r="AJ2480" s="4">
        <v>10</v>
      </c>
      <c r="AK2480" s="4">
        <v>11</v>
      </c>
      <c r="AL2480" s="4">
        <v>47</v>
      </c>
      <c r="AM2480" s="4">
        <v>48</v>
      </c>
      <c r="AN2480" s="4">
        <v>0</v>
      </c>
      <c r="AO2480" s="4">
        <v>0</v>
      </c>
      <c r="AP2480" s="4">
        <v>17</v>
      </c>
      <c r="AQ2480" s="4">
        <v>18</v>
      </c>
      <c r="AR2480" s="3" t="s">
        <v>62</v>
      </c>
      <c r="AS2480" s="3" t="s">
        <v>62</v>
      </c>
      <c r="AT2480" s="3" t="s">
        <v>62</v>
      </c>
      <c r="AV2480" s="6" t="str">
        <f>HYPERLINK("http://mcgill.on.worldcat.org/oclc/66270850","Catalog Record")</f>
        <v>Catalog Record</v>
      </c>
      <c r="AW2480" s="6" t="str">
        <f>HYPERLINK("http://www.worldcat.org/oclc/66270850","WorldCat Record")</f>
        <v>WorldCat Record</v>
      </c>
      <c r="AX2480" s="3" t="s">
        <v>24088</v>
      </c>
      <c r="AY2480" s="3" t="s">
        <v>24089</v>
      </c>
      <c r="AZ2480" s="3" t="s">
        <v>24090</v>
      </c>
      <c r="BA2480" s="3" t="s">
        <v>24090</v>
      </c>
      <c r="BB2480" s="3" t="s">
        <v>24091</v>
      </c>
      <c r="BC2480" s="3" t="s">
        <v>102</v>
      </c>
      <c r="BD2480" s="3" t="s">
        <v>231</v>
      </c>
      <c r="BE2480" s="3" t="s">
        <v>24092</v>
      </c>
      <c r="BF2480" s="3" t="s">
        <v>24091</v>
      </c>
      <c r="BG2480" s="3" t="s">
        <v>24093</v>
      </c>
    </row>
    <row r="2481" spans="1:59" ht="58" x14ac:dyDescent="0.35">
      <c r="A2481" s="2" t="s">
        <v>89</v>
      </c>
      <c r="B2481" s="2" t="s">
        <v>90</v>
      </c>
      <c r="C2481" s="2" t="s">
        <v>24094</v>
      </c>
      <c r="D2481" s="2" t="s">
        <v>24095</v>
      </c>
      <c r="E2481" s="2" t="s">
        <v>24096</v>
      </c>
      <c r="F2481" s="3" t="s">
        <v>2217</v>
      </c>
      <c r="G2481" s="3" t="s">
        <v>61</v>
      </c>
      <c r="I2481" s="3" t="s">
        <v>61</v>
      </c>
      <c r="J2481" s="3" t="s">
        <v>62</v>
      </c>
      <c r="K2481" s="3" t="s">
        <v>63</v>
      </c>
      <c r="L2481" s="2" t="s">
        <v>24097</v>
      </c>
      <c r="M2481" s="2" t="s">
        <v>24098</v>
      </c>
      <c r="N2481" s="3" t="s">
        <v>1291</v>
      </c>
      <c r="O2481" s="2" t="s">
        <v>2986</v>
      </c>
      <c r="P2481" s="3" t="s">
        <v>64</v>
      </c>
      <c r="R2481" s="3" t="s">
        <v>13065</v>
      </c>
      <c r="S2481" s="4">
        <v>19</v>
      </c>
      <c r="T2481" s="4">
        <v>31</v>
      </c>
      <c r="U2481" s="5" t="s">
        <v>24099</v>
      </c>
      <c r="V2481" s="5" t="s">
        <v>24099</v>
      </c>
      <c r="W2481" s="5" t="s">
        <v>67</v>
      </c>
      <c r="X2481" s="5" t="s">
        <v>67</v>
      </c>
      <c r="Y2481" s="4">
        <v>1</v>
      </c>
      <c r="Z2481" s="4">
        <v>1</v>
      </c>
      <c r="AA2481" s="4">
        <v>1</v>
      </c>
      <c r="AB2481" s="4">
        <v>1</v>
      </c>
      <c r="AC2481" s="4">
        <v>1</v>
      </c>
      <c r="AD2481" s="4">
        <v>0</v>
      </c>
      <c r="AE2481" s="4">
        <v>0</v>
      </c>
      <c r="AF2481" s="4">
        <v>0</v>
      </c>
      <c r="AG2481" s="4">
        <v>0</v>
      </c>
      <c r="AH2481" s="4">
        <v>0</v>
      </c>
      <c r="AI2481" s="4">
        <v>0</v>
      </c>
      <c r="AJ2481" s="4">
        <v>0</v>
      </c>
      <c r="AK2481" s="4">
        <v>0</v>
      </c>
      <c r="AL2481" s="4">
        <v>0</v>
      </c>
      <c r="AM2481" s="4">
        <v>0</v>
      </c>
      <c r="AN2481" s="4">
        <v>0</v>
      </c>
      <c r="AO2481" s="4">
        <v>0</v>
      </c>
      <c r="AP2481" s="4">
        <v>0</v>
      </c>
      <c r="AQ2481" s="4">
        <v>0</v>
      </c>
      <c r="AR2481" s="3" t="s">
        <v>62</v>
      </c>
      <c r="AS2481" s="3" t="s">
        <v>62</v>
      </c>
      <c r="AT2481" s="3" t="s">
        <v>62</v>
      </c>
      <c r="AV2481" s="6" t="str">
        <f>HYPERLINK("http://mcgill.on.worldcat.org/oclc/427850917","Catalog Record")</f>
        <v>Catalog Record</v>
      </c>
      <c r="AW2481" s="6" t="str">
        <f>HYPERLINK("http://www.worldcat.org/oclc/427850917","WorldCat Record")</f>
        <v>WorldCat Record</v>
      </c>
      <c r="AX2481" s="3" t="s">
        <v>24100</v>
      </c>
      <c r="AY2481" s="3" t="s">
        <v>24101</v>
      </c>
      <c r="AZ2481" s="3" t="s">
        <v>24102</v>
      </c>
      <c r="BA2481" s="3" t="s">
        <v>24102</v>
      </c>
      <c r="BB2481" s="3" t="s">
        <v>24103</v>
      </c>
      <c r="BC2481" s="3" t="s">
        <v>102</v>
      </c>
      <c r="BD2481" s="3" t="s">
        <v>68</v>
      </c>
      <c r="BF2481" s="3" t="s">
        <v>24103</v>
      </c>
      <c r="BG2481" s="3" t="s">
        <v>24104</v>
      </c>
    </row>
    <row r="2482" spans="1:59" ht="58" x14ac:dyDescent="0.35">
      <c r="A2482" s="2" t="s">
        <v>89</v>
      </c>
      <c r="B2482" s="2" t="s">
        <v>90</v>
      </c>
      <c r="C2482" s="2" t="s">
        <v>24094</v>
      </c>
      <c r="D2482" s="2" t="s">
        <v>24095</v>
      </c>
      <c r="E2482" s="2" t="s">
        <v>24096</v>
      </c>
      <c r="F2482" s="3" t="s">
        <v>2233</v>
      </c>
      <c r="G2482" s="3" t="s">
        <v>61</v>
      </c>
      <c r="I2482" s="3" t="s">
        <v>61</v>
      </c>
      <c r="J2482" s="3" t="s">
        <v>62</v>
      </c>
      <c r="K2482" s="3" t="s">
        <v>63</v>
      </c>
      <c r="L2482" s="2" t="s">
        <v>24097</v>
      </c>
      <c r="M2482" s="2" t="s">
        <v>24098</v>
      </c>
      <c r="N2482" s="3" t="s">
        <v>1291</v>
      </c>
      <c r="O2482" s="2" t="s">
        <v>2986</v>
      </c>
      <c r="P2482" s="3" t="s">
        <v>64</v>
      </c>
      <c r="R2482" s="3" t="s">
        <v>13065</v>
      </c>
      <c r="S2482" s="4">
        <v>12</v>
      </c>
      <c r="T2482" s="4">
        <v>31</v>
      </c>
      <c r="U2482" s="5" t="s">
        <v>24105</v>
      </c>
      <c r="V2482" s="5" t="s">
        <v>24099</v>
      </c>
      <c r="W2482" s="5" t="s">
        <v>67</v>
      </c>
      <c r="X2482" s="5" t="s">
        <v>67</v>
      </c>
      <c r="Y2482" s="4">
        <v>1</v>
      </c>
      <c r="Z2482" s="4">
        <v>1</v>
      </c>
      <c r="AA2482" s="4">
        <v>1</v>
      </c>
      <c r="AB2482" s="4">
        <v>1</v>
      </c>
      <c r="AC2482" s="4">
        <v>1</v>
      </c>
      <c r="AD2482" s="4">
        <v>0</v>
      </c>
      <c r="AE2482" s="4">
        <v>0</v>
      </c>
      <c r="AF2482" s="4">
        <v>0</v>
      </c>
      <c r="AG2482" s="4">
        <v>0</v>
      </c>
      <c r="AH2482" s="4">
        <v>0</v>
      </c>
      <c r="AI2482" s="4">
        <v>0</v>
      </c>
      <c r="AJ2482" s="4">
        <v>0</v>
      </c>
      <c r="AK2482" s="4">
        <v>0</v>
      </c>
      <c r="AL2482" s="4">
        <v>0</v>
      </c>
      <c r="AM2482" s="4">
        <v>0</v>
      </c>
      <c r="AN2482" s="4">
        <v>0</v>
      </c>
      <c r="AO2482" s="4">
        <v>0</v>
      </c>
      <c r="AP2482" s="4">
        <v>0</v>
      </c>
      <c r="AQ2482" s="4">
        <v>0</v>
      </c>
      <c r="AR2482" s="3" t="s">
        <v>62</v>
      </c>
      <c r="AS2482" s="3" t="s">
        <v>62</v>
      </c>
      <c r="AT2482" s="3" t="s">
        <v>62</v>
      </c>
      <c r="AV2482" s="6" t="str">
        <f>HYPERLINK("http://mcgill.on.worldcat.org/oclc/427850917","Catalog Record")</f>
        <v>Catalog Record</v>
      </c>
      <c r="AW2482" s="6" t="str">
        <f>HYPERLINK("http://www.worldcat.org/oclc/427850917","WorldCat Record")</f>
        <v>WorldCat Record</v>
      </c>
      <c r="AX2482" s="3" t="s">
        <v>24100</v>
      </c>
      <c r="AY2482" s="3" t="s">
        <v>24101</v>
      </c>
      <c r="AZ2482" s="3" t="s">
        <v>24102</v>
      </c>
      <c r="BA2482" s="3" t="s">
        <v>24102</v>
      </c>
      <c r="BB2482" s="3" t="s">
        <v>24106</v>
      </c>
      <c r="BC2482" s="3" t="s">
        <v>102</v>
      </c>
      <c r="BD2482" s="3" t="s">
        <v>68</v>
      </c>
      <c r="BF2482" s="3" t="s">
        <v>24106</v>
      </c>
      <c r="BG2482" s="3" t="s">
        <v>24107</v>
      </c>
    </row>
    <row r="2483" spans="1:59" ht="58" x14ac:dyDescent="0.35">
      <c r="A2483" s="2" t="s">
        <v>89</v>
      </c>
      <c r="B2483" s="2" t="s">
        <v>90</v>
      </c>
      <c r="C2483" s="2" t="s">
        <v>24094</v>
      </c>
      <c r="D2483" s="2" t="s">
        <v>24095</v>
      </c>
      <c r="E2483" s="2" t="s">
        <v>24096</v>
      </c>
      <c r="F2483" s="3" t="s">
        <v>2217</v>
      </c>
      <c r="G2483" s="3" t="s">
        <v>61</v>
      </c>
      <c r="I2483" s="3" t="s">
        <v>61</v>
      </c>
      <c r="J2483" s="3" t="s">
        <v>62</v>
      </c>
      <c r="K2483" s="3" t="s">
        <v>63</v>
      </c>
      <c r="L2483" s="2" t="s">
        <v>24097</v>
      </c>
      <c r="M2483" s="2" t="s">
        <v>24098</v>
      </c>
      <c r="N2483" s="3" t="s">
        <v>1291</v>
      </c>
      <c r="O2483" s="2" t="s">
        <v>2986</v>
      </c>
      <c r="P2483" s="3" t="s">
        <v>64</v>
      </c>
      <c r="R2483" s="3" t="s">
        <v>13065</v>
      </c>
      <c r="S2483" s="4">
        <v>0</v>
      </c>
      <c r="T2483" s="4">
        <v>31</v>
      </c>
      <c r="V2483" s="5" t="s">
        <v>24099</v>
      </c>
      <c r="W2483" s="5" t="s">
        <v>67</v>
      </c>
      <c r="X2483" s="5" t="s">
        <v>67</v>
      </c>
      <c r="Y2483" s="4">
        <v>1</v>
      </c>
      <c r="Z2483" s="4">
        <v>1</v>
      </c>
      <c r="AA2483" s="4">
        <v>1</v>
      </c>
      <c r="AB2483" s="4">
        <v>1</v>
      </c>
      <c r="AC2483" s="4">
        <v>1</v>
      </c>
      <c r="AD2483" s="4">
        <v>0</v>
      </c>
      <c r="AE2483" s="4">
        <v>0</v>
      </c>
      <c r="AF2483" s="4">
        <v>0</v>
      </c>
      <c r="AG2483" s="4">
        <v>0</v>
      </c>
      <c r="AH2483" s="4">
        <v>0</v>
      </c>
      <c r="AI2483" s="4">
        <v>0</v>
      </c>
      <c r="AJ2483" s="4">
        <v>0</v>
      </c>
      <c r="AK2483" s="4">
        <v>0</v>
      </c>
      <c r="AL2483" s="4">
        <v>0</v>
      </c>
      <c r="AM2483" s="4">
        <v>0</v>
      </c>
      <c r="AN2483" s="4">
        <v>0</v>
      </c>
      <c r="AO2483" s="4">
        <v>0</v>
      </c>
      <c r="AP2483" s="4">
        <v>0</v>
      </c>
      <c r="AQ2483" s="4">
        <v>0</v>
      </c>
      <c r="AR2483" s="3" t="s">
        <v>62</v>
      </c>
      <c r="AS2483" s="3" t="s">
        <v>62</v>
      </c>
      <c r="AT2483" s="3" t="s">
        <v>62</v>
      </c>
      <c r="AV2483" s="6" t="str">
        <f>HYPERLINK("http://mcgill.on.worldcat.org/oclc/427850917","Catalog Record")</f>
        <v>Catalog Record</v>
      </c>
      <c r="AW2483" s="6" t="str">
        <f>HYPERLINK("http://www.worldcat.org/oclc/427850917","WorldCat Record")</f>
        <v>WorldCat Record</v>
      </c>
      <c r="AX2483" s="3" t="s">
        <v>24100</v>
      </c>
      <c r="AY2483" s="3" t="s">
        <v>24101</v>
      </c>
      <c r="AZ2483" s="3" t="s">
        <v>24102</v>
      </c>
      <c r="BA2483" s="3" t="s">
        <v>24102</v>
      </c>
      <c r="BB2483" s="3" t="s">
        <v>24108</v>
      </c>
      <c r="BC2483" s="3" t="s">
        <v>102</v>
      </c>
      <c r="BD2483" s="3" t="s">
        <v>68</v>
      </c>
      <c r="BF2483" s="3" t="s">
        <v>24108</v>
      </c>
      <c r="BG2483" s="3" t="s">
        <v>24109</v>
      </c>
    </row>
    <row r="2484" spans="1:59" ht="58" x14ac:dyDescent="0.35">
      <c r="A2484" s="2" t="s">
        <v>89</v>
      </c>
      <c r="B2484" s="2" t="s">
        <v>90</v>
      </c>
      <c r="C2484" s="2" t="s">
        <v>24110</v>
      </c>
      <c r="D2484" s="2" t="s">
        <v>24111</v>
      </c>
      <c r="E2484" s="2" t="s">
        <v>24112</v>
      </c>
      <c r="G2484" s="3" t="s">
        <v>62</v>
      </c>
      <c r="I2484" s="3" t="s">
        <v>61</v>
      </c>
      <c r="J2484" s="3" t="s">
        <v>62</v>
      </c>
      <c r="K2484" s="3" t="s">
        <v>63</v>
      </c>
      <c r="L2484" s="2" t="s">
        <v>24113</v>
      </c>
      <c r="M2484" s="2" t="s">
        <v>24114</v>
      </c>
      <c r="N2484" s="3" t="s">
        <v>496</v>
      </c>
      <c r="O2484" s="2" t="s">
        <v>2163</v>
      </c>
      <c r="P2484" s="3" t="s">
        <v>64</v>
      </c>
      <c r="R2484" s="3" t="s">
        <v>13065</v>
      </c>
      <c r="S2484" s="4">
        <v>0</v>
      </c>
      <c r="T2484" s="4">
        <v>8</v>
      </c>
      <c r="V2484" s="5" t="s">
        <v>4909</v>
      </c>
      <c r="W2484" s="5" t="s">
        <v>67</v>
      </c>
      <c r="X2484" s="5" t="s">
        <v>67</v>
      </c>
      <c r="Y2484" s="4">
        <v>3</v>
      </c>
      <c r="Z2484" s="4">
        <v>2</v>
      </c>
      <c r="AA2484" s="4">
        <v>24</v>
      </c>
      <c r="AB2484" s="4">
        <v>1</v>
      </c>
      <c r="AC2484" s="4">
        <v>5</v>
      </c>
      <c r="AD2484" s="4">
        <v>1</v>
      </c>
      <c r="AE2484" s="4">
        <v>100</v>
      </c>
      <c r="AF2484" s="4">
        <v>0</v>
      </c>
      <c r="AG2484" s="4">
        <v>3</v>
      </c>
      <c r="AH2484" s="4">
        <v>1</v>
      </c>
      <c r="AI2484" s="4">
        <v>85</v>
      </c>
      <c r="AJ2484" s="4">
        <v>1</v>
      </c>
      <c r="AK2484" s="4">
        <v>18</v>
      </c>
      <c r="AL2484" s="4">
        <v>0</v>
      </c>
      <c r="AM2484" s="4">
        <v>47</v>
      </c>
      <c r="AN2484" s="4">
        <v>0</v>
      </c>
      <c r="AO2484" s="4">
        <v>0</v>
      </c>
      <c r="AP2484" s="4">
        <v>1</v>
      </c>
      <c r="AQ2484" s="4">
        <v>18</v>
      </c>
      <c r="AR2484" s="3" t="s">
        <v>62</v>
      </c>
      <c r="AS2484" s="3" t="s">
        <v>62</v>
      </c>
      <c r="AT2484" s="3" t="s">
        <v>61</v>
      </c>
      <c r="AU2484" s="6" t="str">
        <f>HYPERLINK("http://catalog.hathitrust.org/Record/002010651","HathiTrust Record")</f>
        <v>HathiTrust Record</v>
      </c>
      <c r="AV2484" s="6" t="str">
        <f>HYPERLINK("http://mcgill.on.worldcat.org/oclc/427096324","Catalog Record")</f>
        <v>Catalog Record</v>
      </c>
      <c r="AW2484" s="6" t="str">
        <f>HYPERLINK("http://www.worldcat.org/oclc/427096324","WorldCat Record")</f>
        <v>WorldCat Record</v>
      </c>
      <c r="AX2484" s="3" t="s">
        <v>24115</v>
      </c>
      <c r="AY2484" s="3" t="s">
        <v>24116</v>
      </c>
      <c r="AZ2484" s="3" t="s">
        <v>24117</v>
      </c>
      <c r="BA2484" s="3" t="s">
        <v>24117</v>
      </c>
      <c r="BB2484" s="3" t="s">
        <v>24118</v>
      </c>
      <c r="BC2484" s="3" t="s">
        <v>102</v>
      </c>
      <c r="BD2484" s="3" t="s">
        <v>68</v>
      </c>
      <c r="BF2484" s="3" t="s">
        <v>24118</v>
      </c>
      <c r="BG2484" s="3" t="s">
        <v>24119</v>
      </c>
    </row>
    <row r="2485" spans="1:59" ht="58" x14ac:dyDescent="0.35">
      <c r="A2485" s="2" t="s">
        <v>89</v>
      </c>
      <c r="B2485" s="2" t="s">
        <v>90</v>
      </c>
      <c r="C2485" s="2" t="s">
        <v>24120</v>
      </c>
      <c r="D2485" s="2" t="s">
        <v>24121</v>
      </c>
      <c r="E2485" s="2" t="s">
        <v>24122</v>
      </c>
      <c r="G2485" s="3" t="s">
        <v>62</v>
      </c>
      <c r="I2485" s="3" t="s">
        <v>62</v>
      </c>
      <c r="J2485" s="3" t="s">
        <v>61</v>
      </c>
      <c r="K2485" s="3" t="s">
        <v>63</v>
      </c>
      <c r="L2485" s="2" t="s">
        <v>20819</v>
      </c>
      <c r="M2485" s="2" t="s">
        <v>24123</v>
      </c>
      <c r="N2485" s="3" t="s">
        <v>24124</v>
      </c>
      <c r="O2485" s="2" t="s">
        <v>2986</v>
      </c>
      <c r="P2485" s="3" t="s">
        <v>64</v>
      </c>
      <c r="R2485" s="3" t="s">
        <v>13065</v>
      </c>
      <c r="S2485" s="4">
        <v>7</v>
      </c>
      <c r="T2485" s="4">
        <v>7</v>
      </c>
      <c r="U2485" s="5" t="s">
        <v>22999</v>
      </c>
      <c r="V2485" s="5" t="s">
        <v>22999</v>
      </c>
      <c r="W2485" s="5" t="s">
        <v>67</v>
      </c>
      <c r="X2485" s="5" t="s">
        <v>67</v>
      </c>
      <c r="Y2485" s="4">
        <v>1</v>
      </c>
      <c r="Z2485" s="4">
        <v>1</v>
      </c>
      <c r="AA2485" s="4">
        <v>65</v>
      </c>
      <c r="AB2485" s="4">
        <v>1</v>
      </c>
      <c r="AC2485" s="4">
        <v>13</v>
      </c>
      <c r="AD2485" s="4">
        <v>0</v>
      </c>
      <c r="AE2485" s="4">
        <v>152</v>
      </c>
      <c r="AF2485" s="4">
        <v>0</v>
      </c>
      <c r="AG2485" s="4">
        <v>8</v>
      </c>
      <c r="AH2485" s="4">
        <v>0</v>
      </c>
      <c r="AI2485" s="4">
        <v>114</v>
      </c>
      <c r="AJ2485" s="4">
        <v>0</v>
      </c>
      <c r="AK2485" s="4">
        <v>26</v>
      </c>
      <c r="AL2485" s="4">
        <v>0</v>
      </c>
      <c r="AM2485" s="4">
        <v>63</v>
      </c>
      <c r="AN2485" s="4">
        <v>0</v>
      </c>
      <c r="AO2485" s="4">
        <v>3</v>
      </c>
      <c r="AP2485" s="4">
        <v>0</v>
      </c>
      <c r="AQ2485" s="4">
        <v>44</v>
      </c>
      <c r="AR2485" s="3" t="s">
        <v>62</v>
      </c>
      <c r="AS2485" s="3" t="s">
        <v>62</v>
      </c>
      <c r="AT2485" s="3" t="s">
        <v>62</v>
      </c>
      <c r="AV2485" s="6" t="str">
        <f>HYPERLINK("http://mcgill.on.worldcat.org/oclc/427499207","Catalog Record")</f>
        <v>Catalog Record</v>
      </c>
      <c r="AW2485" s="6" t="str">
        <f>HYPERLINK("http://www.worldcat.org/oclc/427499207","WorldCat Record")</f>
        <v>WorldCat Record</v>
      </c>
      <c r="AX2485" s="3" t="s">
        <v>24125</v>
      </c>
      <c r="AY2485" s="3" t="s">
        <v>24126</v>
      </c>
      <c r="AZ2485" s="3" t="s">
        <v>24127</v>
      </c>
      <c r="BA2485" s="3" t="s">
        <v>24127</v>
      </c>
      <c r="BB2485" s="3" t="s">
        <v>24128</v>
      </c>
      <c r="BC2485" s="3" t="s">
        <v>102</v>
      </c>
      <c r="BD2485" s="3" t="s">
        <v>68</v>
      </c>
      <c r="BF2485" s="3" t="s">
        <v>24128</v>
      </c>
      <c r="BG2485" s="3" t="s">
        <v>24129</v>
      </c>
    </row>
    <row r="2486" spans="1:59" ht="58" x14ac:dyDescent="0.35">
      <c r="A2486" s="2" t="s">
        <v>89</v>
      </c>
      <c r="B2486" s="2" t="s">
        <v>90</v>
      </c>
      <c r="C2486" s="2" t="s">
        <v>24130</v>
      </c>
      <c r="D2486" s="2" t="s">
        <v>24131</v>
      </c>
      <c r="E2486" s="2" t="s">
        <v>24132</v>
      </c>
      <c r="G2486" s="3" t="s">
        <v>62</v>
      </c>
      <c r="I2486" s="3" t="s">
        <v>61</v>
      </c>
      <c r="J2486" s="3" t="s">
        <v>61</v>
      </c>
      <c r="K2486" s="3" t="s">
        <v>63</v>
      </c>
      <c r="L2486" s="2" t="s">
        <v>20819</v>
      </c>
      <c r="M2486" s="2" t="s">
        <v>24133</v>
      </c>
      <c r="N2486" s="3" t="s">
        <v>1305</v>
      </c>
      <c r="O2486" s="2" t="s">
        <v>16059</v>
      </c>
      <c r="P2486" s="3" t="s">
        <v>64</v>
      </c>
      <c r="R2486" s="3" t="s">
        <v>13065</v>
      </c>
      <c r="S2486" s="4">
        <v>0</v>
      </c>
      <c r="T2486" s="4">
        <v>3</v>
      </c>
      <c r="V2486" s="5" t="s">
        <v>2256</v>
      </c>
      <c r="W2486" s="5" t="s">
        <v>67</v>
      </c>
      <c r="X2486" s="5" t="s">
        <v>67</v>
      </c>
      <c r="Y2486" s="4">
        <v>142</v>
      </c>
      <c r="Z2486" s="4">
        <v>8</v>
      </c>
      <c r="AA2486" s="4">
        <v>65</v>
      </c>
      <c r="AB2486" s="4">
        <v>2</v>
      </c>
      <c r="AC2486" s="4">
        <v>13</v>
      </c>
      <c r="AD2486" s="4">
        <v>46</v>
      </c>
      <c r="AE2486" s="4">
        <v>152</v>
      </c>
      <c r="AF2486" s="4">
        <v>1</v>
      </c>
      <c r="AG2486" s="4">
        <v>8</v>
      </c>
      <c r="AH2486" s="4">
        <v>42</v>
      </c>
      <c r="AI2486" s="4">
        <v>114</v>
      </c>
      <c r="AJ2486" s="4">
        <v>3</v>
      </c>
      <c r="AK2486" s="4">
        <v>26</v>
      </c>
      <c r="AL2486" s="4">
        <v>28</v>
      </c>
      <c r="AM2486" s="4">
        <v>63</v>
      </c>
      <c r="AN2486" s="4">
        <v>0</v>
      </c>
      <c r="AO2486" s="4">
        <v>3</v>
      </c>
      <c r="AP2486" s="4">
        <v>6</v>
      </c>
      <c r="AQ2486" s="4">
        <v>44</v>
      </c>
      <c r="AR2486" s="3" t="s">
        <v>62</v>
      </c>
      <c r="AS2486" s="3" t="s">
        <v>62</v>
      </c>
      <c r="AT2486" s="3" t="s">
        <v>61</v>
      </c>
      <c r="AU2486" s="6" t="str">
        <f>HYPERLINK("http://catalog.hathitrust.org/Record/000580219","HathiTrust Record")</f>
        <v>HathiTrust Record</v>
      </c>
      <c r="AV2486" s="6" t="str">
        <f>HYPERLINK("http://mcgill.on.worldcat.org/oclc/1083217","Catalog Record")</f>
        <v>Catalog Record</v>
      </c>
      <c r="AW2486" s="6" t="str">
        <f>HYPERLINK("http://www.worldcat.org/oclc/1083217","WorldCat Record")</f>
        <v>WorldCat Record</v>
      </c>
      <c r="AX2486" s="3" t="s">
        <v>24125</v>
      </c>
      <c r="AY2486" s="3" t="s">
        <v>24134</v>
      </c>
      <c r="AZ2486" s="3" t="s">
        <v>24135</v>
      </c>
      <c r="BA2486" s="3" t="s">
        <v>24135</v>
      </c>
      <c r="BB2486" s="3" t="s">
        <v>24136</v>
      </c>
      <c r="BC2486" s="3" t="s">
        <v>102</v>
      </c>
      <c r="BD2486" s="3" t="s">
        <v>68</v>
      </c>
      <c r="BF2486" s="3" t="s">
        <v>24136</v>
      </c>
      <c r="BG2486" s="3" t="s">
        <v>24137</v>
      </c>
    </row>
    <row r="2487" spans="1:59" ht="58" x14ac:dyDescent="0.35">
      <c r="A2487" s="2" t="s">
        <v>89</v>
      </c>
      <c r="B2487" s="2" t="s">
        <v>90</v>
      </c>
      <c r="C2487" s="2" t="s">
        <v>24138</v>
      </c>
      <c r="D2487" s="2" t="s">
        <v>24139</v>
      </c>
      <c r="E2487" s="2" t="s">
        <v>24122</v>
      </c>
      <c r="G2487" s="3" t="s">
        <v>62</v>
      </c>
      <c r="I2487" s="3" t="s">
        <v>62</v>
      </c>
      <c r="J2487" s="3" t="s">
        <v>61</v>
      </c>
      <c r="K2487" s="3" t="s">
        <v>63</v>
      </c>
      <c r="L2487" s="2" t="s">
        <v>20819</v>
      </c>
      <c r="M2487" s="2" t="s">
        <v>24140</v>
      </c>
      <c r="N2487" s="3" t="s">
        <v>496</v>
      </c>
      <c r="O2487" s="2" t="s">
        <v>17030</v>
      </c>
      <c r="P2487" s="3" t="s">
        <v>64</v>
      </c>
      <c r="R2487" s="3" t="s">
        <v>13065</v>
      </c>
      <c r="S2487" s="4">
        <v>11</v>
      </c>
      <c r="T2487" s="4">
        <v>11</v>
      </c>
      <c r="U2487" s="5" t="s">
        <v>24099</v>
      </c>
      <c r="V2487" s="5" t="s">
        <v>24099</v>
      </c>
      <c r="W2487" s="5" t="s">
        <v>67</v>
      </c>
      <c r="X2487" s="5" t="s">
        <v>67</v>
      </c>
      <c r="Y2487" s="4">
        <v>97</v>
      </c>
      <c r="Z2487" s="4">
        <v>4</v>
      </c>
      <c r="AA2487" s="4">
        <v>65</v>
      </c>
      <c r="AB2487" s="4">
        <v>2</v>
      </c>
      <c r="AC2487" s="4">
        <v>13</v>
      </c>
      <c r="AD2487" s="4">
        <v>24</v>
      </c>
      <c r="AE2487" s="4">
        <v>152</v>
      </c>
      <c r="AF2487" s="4">
        <v>1</v>
      </c>
      <c r="AG2487" s="4">
        <v>8</v>
      </c>
      <c r="AH2487" s="4">
        <v>22</v>
      </c>
      <c r="AI2487" s="4">
        <v>114</v>
      </c>
      <c r="AJ2487" s="4">
        <v>1</v>
      </c>
      <c r="AK2487" s="4">
        <v>26</v>
      </c>
      <c r="AL2487" s="4">
        <v>16</v>
      </c>
      <c r="AM2487" s="4">
        <v>63</v>
      </c>
      <c r="AN2487" s="4">
        <v>0</v>
      </c>
      <c r="AO2487" s="4">
        <v>3</v>
      </c>
      <c r="AP2487" s="4">
        <v>2</v>
      </c>
      <c r="AQ2487" s="4">
        <v>44</v>
      </c>
      <c r="AR2487" s="3" t="s">
        <v>62</v>
      </c>
      <c r="AS2487" s="3" t="s">
        <v>62</v>
      </c>
      <c r="AT2487" s="3" t="s">
        <v>61</v>
      </c>
      <c r="AU2487" s="6" t="str">
        <f>HYPERLINK("http://catalog.hathitrust.org/Record/005735913","HathiTrust Record")</f>
        <v>HathiTrust Record</v>
      </c>
      <c r="AV2487" s="6" t="str">
        <f>HYPERLINK("http://mcgill.on.worldcat.org/oclc/6060294","Catalog Record")</f>
        <v>Catalog Record</v>
      </c>
      <c r="AW2487" s="6" t="str">
        <f>HYPERLINK("http://www.worldcat.org/oclc/6060294","WorldCat Record")</f>
        <v>WorldCat Record</v>
      </c>
      <c r="AX2487" s="3" t="s">
        <v>24125</v>
      </c>
      <c r="AY2487" s="3" t="s">
        <v>24141</v>
      </c>
      <c r="AZ2487" s="3" t="s">
        <v>24142</v>
      </c>
      <c r="BA2487" s="3" t="s">
        <v>24142</v>
      </c>
      <c r="BB2487" s="3" t="s">
        <v>24143</v>
      </c>
      <c r="BC2487" s="3" t="s">
        <v>102</v>
      </c>
      <c r="BD2487" s="3" t="s">
        <v>68</v>
      </c>
      <c r="BF2487" s="3" t="s">
        <v>24143</v>
      </c>
      <c r="BG2487" s="3" t="s">
        <v>24144</v>
      </c>
    </row>
    <row r="2488" spans="1:59" ht="58" x14ac:dyDescent="0.35">
      <c r="A2488" s="2" t="s">
        <v>89</v>
      </c>
      <c r="B2488" s="2" t="s">
        <v>90</v>
      </c>
      <c r="C2488" s="2" t="s">
        <v>24145</v>
      </c>
      <c r="D2488" s="2" t="s">
        <v>24146</v>
      </c>
      <c r="E2488" s="2" t="s">
        <v>24147</v>
      </c>
      <c r="G2488" s="3" t="s">
        <v>62</v>
      </c>
      <c r="I2488" s="3" t="s">
        <v>62</v>
      </c>
      <c r="J2488" s="3" t="s">
        <v>62</v>
      </c>
      <c r="K2488" s="3" t="s">
        <v>63</v>
      </c>
      <c r="L2488" s="2" t="s">
        <v>24148</v>
      </c>
      <c r="M2488" s="2" t="s">
        <v>10770</v>
      </c>
      <c r="N2488" s="3" t="s">
        <v>2000</v>
      </c>
      <c r="P2488" s="3" t="s">
        <v>64</v>
      </c>
      <c r="Q2488" s="2" t="s">
        <v>24149</v>
      </c>
      <c r="R2488" s="3" t="s">
        <v>13065</v>
      </c>
      <c r="S2488" s="4">
        <v>17</v>
      </c>
      <c r="T2488" s="4">
        <v>17</v>
      </c>
      <c r="U2488" s="5" t="s">
        <v>7311</v>
      </c>
      <c r="V2488" s="5" t="s">
        <v>7311</v>
      </c>
      <c r="W2488" s="5" t="s">
        <v>67</v>
      </c>
      <c r="X2488" s="5" t="s">
        <v>67</v>
      </c>
      <c r="Y2488" s="4">
        <v>361</v>
      </c>
      <c r="Z2488" s="4">
        <v>29</v>
      </c>
      <c r="AA2488" s="4">
        <v>62</v>
      </c>
      <c r="AB2488" s="4">
        <v>2</v>
      </c>
      <c r="AC2488" s="4">
        <v>8</v>
      </c>
      <c r="AD2488" s="4">
        <v>94</v>
      </c>
      <c r="AE2488" s="4">
        <v>114</v>
      </c>
      <c r="AF2488" s="4">
        <v>1</v>
      </c>
      <c r="AG2488" s="4">
        <v>2</v>
      </c>
      <c r="AH2488" s="4">
        <v>77</v>
      </c>
      <c r="AI2488" s="4">
        <v>90</v>
      </c>
      <c r="AJ2488" s="4">
        <v>12</v>
      </c>
      <c r="AK2488" s="4">
        <v>18</v>
      </c>
      <c r="AL2488" s="4">
        <v>43</v>
      </c>
      <c r="AM2488" s="4">
        <v>50</v>
      </c>
      <c r="AN2488" s="4">
        <v>0</v>
      </c>
      <c r="AO2488" s="4">
        <v>0</v>
      </c>
      <c r="AP2488" s="4">
        <v>21</v>
      </c>
      <c r="AQ2488" s="4">
        <v>29</v>
      </c>
      <c r="AR2488" s="3" t="s">
        <v>62</v>
      </c>
      <c r="AS2488" s="3" t="s">
        <v>62</v>
      </c>
      <c r="AT2488" s="3" t="s">
        <v>62</v>
      </c>
      <c r="AV2488" s="6" t="str">
        <f>HYPERLINK("http://mcgill.on.worldcat.org/oclc/33334277","Catalog Record")</f>
        <v>Catalog Record</v>
      </c>
      <c r="AW2488" s="6" t="str">
        <f>HYPERLINK("http://www.worldcat.org/oclc/33334277","WorldCat Record")</f>
        <v>WorldCat Record</v>
      </c>
      <c r="AX2488" s="3" t="s">
        <v>24150</v>
      </c>
      <c r="AY2488" s="3" t="s">
        <v>24151</v>
      </c>
      <c r="AZ2488" s="3" t="s">
        <v>24152</v>
      </c>
      <c r="BA2488" s="3" t="s">
        <v>24152</v>
      </c>
      <c r="BB2488" s="3" t="s">
        <v>24153</v>
      </c>
      <c r="BC2488" s="3" t="s">
        <v>102</v>
      </c>
      <c r="BD2488" s="3" t="s">
        <v>68</v>
      </c>
      <c r="BE2488" s="3" t="s">
        <v>24154</v>
      </c>
      <c r="BF2488" s="3" t="s">
        <v>24153</v>
      </c>
      <c r="BG2488" s="3" t="s">
        <v>24155</v>
      </c>
    </row>
    <row r="2489" spans="1:59" ht="58" x14ac:dyDescent="0.35">
      <c r="A2489" s="2" t="s">
        <v>89</v>
      </c>
      <c r="B2489" s="2" t="s">
        <v>90</v>
      </c>
      <c r="C2489" s="2" t="s">
        <v>24156</v>
      </c>
      <c r="D2489" s="2" t="s">
        <v>24157</v>
      </c>
      <c r="E2489" s="2" t="s">
        <v>24158</v>
      </c>
      <c r="G2489" s="3" t="s">
        <v>62</v>
      </c>
      <c r="I2489" s="3" t="s">
        <v>62</v>
      </c>
      <c r="J2489" s="3" t="s">
        <v>62</v>
      </c>
      <c r="K2489" s="3" t="s">
        <v>63</v>
      </c>
      <c r="L2489" s="2" t="s">
        <v>24159</v>
      </c>
      <c r="M2489" s="2" t="s">
        <v>24160</v>
      </c>
      <c r="N2489" s="3" t="s">
        <v>930</v>
      </c>
      <c r="O2489" s="2" t="s">
        <v>9823</v>
      </c>
      <c r="P2489" s="3" t="s">
        <v>64</v>
      </c>
      <c r="R2489" s="3" t="s">
        <v>13065</v>
      </c>
      <c r="S2489" s="4">
        <v>7</v>
      </c>
      <c r="T2489" s="4">
        <v>7</v>
      </c>
      <c r="U2489" s="5" t="s">
        <v>24161</v>
      </c>
      <c r="V2489" s="5" t="s">
        <v>24161</v>
      </c>
      <c r="W2489" s="5" t="s">
        <v>67</v>
      </c>
      <c r="X2489" s="5" t="s">
        <v>67</v>
      </c>
      <c r="Y2489" s="4">
        <v>2</v>
      </c>
      <c r="Z2489" s="4">
        <v>2</v>
      </c>
      <c r="AA2489" s="4">
        <v>34</v>
      </c>
      <c r="AB2489" s="4">
        <v>1</v>
      </c>
      <c r="AC2489" s="4">
        <v>4</v>
      </c>
      <c r="AD2489" s="4">
        <v>1</v>
      </c>
      <c r="AE2489" s="4">
        <v>125</v>
      </c>
      <c r="AF2489" s="4">
        <v>0</v>
      </c>
      <c r="AG2489" s="4">
        <v>3</v>
      </c>
      <c r="AH2489" s="4">
        <v>1</v>
      </c>
      <c r="AI2489" s="4">
        <v>106</v>
      </c>
      <c r="AJ2489" s="4">
        <v>1</v>
      </c>
      <c r="AK2489" s="4">
        <v>22</v>
      </c>
      <c r="AL2489" s="4">
        <v>0</v>
      </c>
      <c r="AM2489" s="4">
        <v>58</v>
      </c>
      <c r="AN2489" s="4">
        <v>0</v>
      </c>
      <c r="AO2489" s="4">
        <v>0</v>
      </c>
      <c r="AP2489" s="4">
        <v>1</v>
      </c>
      <c r="AQ2489" s="4">
        <v>28</v>
      </c>
      <c r="AR2489" s="3" t="s">
        <v>62</v>
      </c>
      <c r="AS2489" s="3" t="s">
        <v>62</v>
      </c>
      <c r="AT2489" s="3" t="s">
        <v>61</v>
      </c>
      <c r="AU2489" s="6" t="str">
        <f>HYPERLINK("http://catalog.hathitrust.org/Record/000576332","HathiTrust Record")</f>
        <v>HathiTrust Record</v>
      </c>
      <c r="AV2489" s="6" t="str">
        <f>HYPERLINK("http://mcgill.on.worldcat.org/oclc/427506566","Catalog Record")</f>
        <v>Catalog Record</v>
      </c>
      <c r="AW2489" s="6" t="str">
        <f>HYPERLINK("http://www.worldcat.org/oclc/427506566","WorldCat Record")</f>
        <v>WorldCat Record</v>
      </c>
      <c r="AX2489" s="3" t="s">
        <v>24162</v>
      </c>
      <c r="AY2489" s="3" t="s">
        <v>24163</v>
      </c>
      <c r="AZ2489" s="3" t="s">
        <v>24164</v>
      </c>
      <c r="BA2489" s="3" t="s">
        <v>24164</v>
      </c>
      <c r="BB2489" s="3" t="s">
        <v>24165</v>
      </c>
      <c r="BC2489" s="3" t="s">
        <v>102</v>
      </c>
      <c r="BD2489" s="3" t="s">
        <v>68</v>
      </c>
      <c r="BF2489" s="3" t="s">
        <v>24165</v>
      </c>
      <c r="BG2489" s="3" t="s">
        <v>24166</v>
      </c>
    </row>
    <row r="2490" spans="1:59" ht="101.5" x14ac:dyDescent="0.35">
      <c r="A2490" s="2" t="s">
        <v>89</v>
      </c>
      <c r="B2490" s="2" t="s">
        <v>12301</v>
      </c>
      <c r="C2490" s="2" t="s">
        <v>24167</v>
      </c>
      <c r="D2490" s="2" t="s">
        <v>24168</v>
      </c>
      <c r="E2490" s="2" t="s">
        <v>24169</v>
      </c>
      <c r="G2490" s="3" t="s">
        <v>62</v>
      </c>
      <c r="I2490" s="3" t="s">
        <v>61</v>
      </c>
      <c r="J2490" s="3" t="s">
        <v>61</v>
      </c>
      <c r="K2490" s="3" t="s">
        <v>63</v>
      </c>
      <c r="L2490" s="2" t="s">
        <v>24170</v>
      </c>
      <c r="M2490" s="2" t="s">
        <v>24171</v>
      </c>
      <c r="N2490" s="3" t="s">
        <v>625</v>
      </c>
      <c r="O2490" s="2" t="s">
        <v>17648</v>
      </c>
      <c r="P2490" s="3" t="s">
        <v>64</v>
      </c>
      <c r="R2490" s="3" t="s">
        <v>13065</v>
      </c>
      <c r="S2490" s="4">
        <v>370</v>
      </c>
      <c r="T2490" s="4">
        <v>727</v>
      </c>
      <c r="U2490" s="5" t="s">
        <v>13800</v>
      </c>
      <c r="V2490" s="5" t="s">
        <v>1663</v>
      </c>
      <c r="W2490" s="5" t="s">
        <v>67</v>
      </c>
      <c r="X2490" s="5" t="s">
        <v>67</v>
      </c>
      <c r="Y2490" s="4">
        <v>199</v>
      </c>
      <c r="Z2490" s="4">
        <v>19</v>
      </c>
      <c r="AA2490" s="4">
        <v>72</v>
      </c>
      <c r="AB2490" s="4">
        <v>3</v>
      </c>
      <c r="AC2490" s="4">
        <v>18</v>
      </c>
      <c r="AD2490" s="4">
        <v>41</v>
      </c>
      <c r="AE2490" s="4">
        <v>133</v>
      </c>
      <c r="AF2490" s="4">
        <v>2</v>
      </c>
      <c r="AG2490" s="4">
        <v>8</v>
      </c>
      <c r="AH2490" s="4">
        <v>34</v>
      </c>
      <c r="AI2490" s="4">
        <v>99</v>
      </c>
      <c r="AJ2490" s="4">
        <v>7</v>
      </c>
      <c r="AK2490" s="4">
        <v>24</v>
      </c>
      <c r="AL2490" s="4">
        <v>26</v>
      </c>
      <c r="AM2490" s="4">
        <v>57</v>
      </c>
      <c r="AN2490" s="4">
        <v>0</v>
      </c>
      <c r="AO2490" s="4">
        <v>0</v>
      </c>
      <c r="AP2490" s="4">
        <v>10</v>
      </c>
      <c r="AQ2490" s="4">
        <v>40</v>
      </c>
      <c r="AR2490" s="3" t="s">
        <v>62</v>
      </c>
      <c r="AS2490" s="3" t="s">
        <v>62</v>
      </c>
      <c r="AT2490" s="3" t="s">
        <v>62</v>
      </c>
      <c r="AV2490" s="6" t="str">
        <f>HYPERLINK("http://mcgill.on.worldcat.org/oclc/52377580","Catalog Record")</f>
        <v>Catalog Record</v>
      </c>
      <c r="AW2490" s="6" t="str">
        <f>HYPERLINK("http://www.worldcat.org/oclc/52377580","WorldCat Record")</f>
        <v>WorldCat Record</v>
      </c>
      <c r="AX2490" s="3" t="s">
        <v>24172</v>
      </c>
      <c r="AY2490" s="3" t="s">
        <v>24173</v>
      </c>
      <c r="AZ2490" s="3" t="s">
        <v>24174</v>
      </c>
      <c r="BA2490" s="3" t="s">
        <v>24174</v>
      </c>
      <c r="BB2490" s="3" t="s">
        <v>24175</v>
      </c>
      <c r="BC2490" s="3" t="s">
        <v>102</v>
      </c>
      <c r="BD2490" s="3" t="s">
        <v>68</v>
      </c>
      <c r="BE2490" s="3" t="s">
        <v>24176</v>
      </c>
      <c r="BF2490" s="3" t="s">
        <v>24175</v>
      </c>
      <c r="BG2490" s="3" t="s">
        <v>24177</v>
      </c>
    </row>
    <row r="2491" spans="1:59" ht="101.5" x14ac:dyDescent="0.35">
      <c r="A2491" s="2" t="s">
        <v>89</v>
      </c>
      <c r="B2491" s="2" t="s">
        <v>12301</v>
      </c>
      <c r="C2491" s="2" t="s">
        <v>24167</v>
      </c>
      <c r="D2491" s="2" t="s">
        <v>24168</v>
      </c>
      <c r="E2491" s="2" t="s">
        <v>24169</v>
      </c>
      <c r="G2491" s="3" t="s">
        <v>62</v>
      </c>
      <c r="I2491" s="3" t="s">
        <v>61</v>
      </c>
      <c r="J2491" s="3" t="s">
        <v>61</v>
      </c>
      <c r="K2491" s="3" t="s">
        <v>63</v>
      </c>
      <c r="L2491" s="2" t="s">
        <v>24170</v>
      </c>
      <c r="M2491" s="2" t="s">
        <v>24171</v>
      </c>
      <c r="N2491" s="3" t="s">
        <v>625</v>
      </c>
      <c r="O2491" s="2" t="s">
        <v>17648</v>
      </c>
      <c r="P2491" s="3" t="s">
        <v>64</v>
      </c>
      <c r="R2491" s="3" t="s">
        <v>13065</v>
      </c>
      <c r="S2491" s="4">
        <v>22</v>
      </c>
      <c r="T2491" s="4">
        <v>727</v>
      </c>
      <c r="U2491" s="5" t="s">
        <v>1663</v>
      </c>
      <c r="V2491" s="5" t="s">
        <v>1663</v>
      </c>
      <c r="W2491" s="5" t="s">
        <v>67</v>
      </c>
      <c r="X2491" s="5" t="s">
        <v>67</v>
      </c>
      <c r="Y2491" s="4">
        <v>199</v>
      </c>
      <c r="Z2491" s="4">
        <v>19</v>
      </c>
      <c r="AA2491" s="4">
        <v>72</v>
      </c>
      <c r="AB2491" s="4">
        <v>3</v>
      </c>
      <c r="AC2491" s="4">
        <v>18</v>
      </c>
      <c r="AD2491" s="4">
        <v>41</v>
      </c>
      <c r="AE2491" s="4">
        <v>133</v>
      </c>
      <c r="AF2491" s="4">
        <v>2</v>
      </c>
      <c r="AG2491" s="4">
        <v>8</v>
      </c>
      <c r="AH2491" s="4">
        <v>34</v>
      </c>
      <c r="AI2491" s="4">
        <v>99</v>
      </c>
      <c r="AJ2491" s="4">
        <v>7</v>
      </c>
      <c r="AK2491" s="4">
        <v>24</v>
      </c>
      <c r="AL2491" s="4">
        <v>26</v>
      </c>
      <c r="AM2491" s="4">
        <v>57</v>
      </c>
      <c r="AN2491" s="4">
        <v>0</v>
      </c>
      <c r="AO2491" s="4">
        <v>0</v>
      </c>
      <c r="AP2491" s="4">
        <v>10</v>
      </c>
      <c r="AQ2491" s="4">
        <v>40</v>
      </c>
      <c r="AR2491" s="3" t="s">
        <v>62</v>
      </c>
      <c r="AS2491" s="3" t="s">
        <v>62</v>
      </c>
      <c r="AT2491" s="3" t="s">
        <v>62</v>
      </c>
      <c r="AV2491" s="6" t="str">
        <f>HYPERLINK("http://mcgill.on.worldcat.org/oclc/52377580","Catalog Record")</f>
        <v>Catalog Record</v>
      </c>
      <c r="AW2491" s="6" t="str">
        <f>HYPERLINK("http://www.worldcat.org/oclc/52377580","WorldCat Record")</f>
        <v>WorldCat Record</v>
      </c>
      <c r="AX2491" s="3" t="s">
        <v>24172</v>
      </c>
      <c r="AY2491" s="3" t="s">
        <v>24173</v>
      </c>
      <c r="AZ2491" s="3" t="s">
        <v>24174</v>
      </c>
      <c r="BA2491" s="3" t="s">
        <v>24174</v>
      </c>
      <c r="BB2491" s="3" t="s">
        <v>24178</v>
      </c>
      <c r="BC2491" s="3" t="s">
        <v>102</v>
      </c>
      <c r="BD2491" s="3" t="s">
        <v>68</v>
      </c>
      <c r="BE2491" s="3" t="s">
        <v>24176</v>
      </c>
      <c r="BF2491" s="3" t="s">
        <v>24178</v>
      </c>
      <c r="BG2491" s="3" t="s">
        <v>24179</v>
      </c>
    </row>
    <row r="2492" spans="1:59" ht="101.5" x14ac:dyDescent="0.35">
      <c r="A2492" s="2" t="s">
        <v>89</v>
      </c>
      <c r="B2492" s="2" t="s">
        <v>12301</v>
      </c>
      <c r="C2492" s="2" t="s">
        <v>24167</v>
      </c>
      <c r="D2492" s="2" t="s">
        <v>24168</v>
      </c>
      <c r="E2492" s="2" t="s">
        <v>24169</v>
      </c>
      <c r="G2492" s="3" t="s">
        <v>62</v>
      </c>
      <c r="I2492" s="3" t="s">
        <v>61</v>
      </c>
      <c r="J2492" s="3" t="s">
        <v>61</v>
      </c>
      <c r="K2492" s="3" t="s">
        <v>63</v>
      </c>
      <c r="L2492" s="2" t="s">
        <v>24170</v>
      </c>
      <c r="M2492" s="2" t="s">
        <v>24171</v>
      </c>
      <c r="N2492" s="3" t="s">
        <v>625</v>
      </c>
      <c r="O2492" s="2" t="s">
        <v>17648</v>
      </c>
      <c r="P2492" s="3" t="s">
        <v>64</v>
      </c>
      <c r="R2492" s="3" t="s">
        <v>13065</v>
      </c>
      <c r="S2492" s="4">
        <v>335</v>
      </c>
      <c r="T2492" s="4">
        <v>727</v>
      </c>
      <c r="U2492" s="5" t="s">
        <v>24180</v>
      </c>
      <c r="V2492" s="5" t="s">
        <v>1663</v>
      </c>
      <c r="W2492" s="5" t="s">
        <v>67</v>
      </c>
      <c r="X2492" s="5" t="s">
        <v>67</v>
      </c>
      <c r="Y2492" s="4">
        <v>199</v>
      </c>
      <c r="Z2492" s="4">
        <v>19</v>
      </c>
      <c r="AA2492" s="4">
        <v>72</v>
      </c>
      <c r="AB2492" s="4">
        <v>3</v>
      </c>
      <c r="AC2492" s="4">
        <v>18</v>
      </c>
      <c r="AD2492" s="4">
        <v>41</v>
      </c>
      <c r="AE2492" s="4">
        <v>133</v>
      </c>
      <c r="AF2492" s="4">
        <v>2</v>
      </c>
      <c r="AG2492" s="4">
        <v>8</v>
      </c>
      <c r="AH2492" s="4">
        <v>34</v>
      </c>
      <c r="AI2492" s="4">
        <v>99</v>
      </c>
      <c r="AJ2492" s="4">
        <v>7</v>
      </c>
      <c r="AK2492" s="4">
        <v>24</v>
      </c>
      <c r="AL2492" s="4">
        <v>26</v>
      </c>
      <c r="AM2492" s="4">
        <v>57</v>
      </c>
      <c r="AN2492" s="4">
        <v>0</v>
      </c>
      <c r="AO2492" s="4">
        <v>0</v>
      </c>
      <c r="AP2492" s="4">
        <v>10</v>
      </c>
      <c r="AQ2492" s="4">
        <v>40</v>
      </c>
      <c r="AR2492" s="3" t="s">
        <v>62</v>
      </c>
      <c r="AS2492" s="3" t="s">
        <v>62</v>
      </c>
      <c r="AT2492" s="3" t="s">
        <v>62</v>
      </c>
      <c r="AV2492" s="6" t="str">
        <f>HYPERLINK("http://mcgill.on.worldcat.org/oclc/52377580","Catalog Record")</f>
        <v>Catalog Record</v>
      </c>
      <c r="AW2492" s="6" t="str">
        <f>HYPERLINK("http://www.worldcat.org/oclc/52377580","WorldCat Record")</f>
        <v>WorldCat Record</v>
      </c>
      <c r="AX2492" s="3" t="s">
        <v>24172</v>
      </c>
      <c r="AY2492" s="3" t="s">
        <v>24173</v>
      </c>
      <c r="AZ2492" s="3" t="s">
        <v>24174</v>
      </c>
      <c r="BA2492" s="3" t="s">
        <v>24174</v>
      </c>
      <c r="BB2492" s="3" t="s">
        <v>24181</v>
      </c>
      <c r="BC2492" s="3" t="s">
        <v>102</v>
      </c>
      <c r="BD2492" s="3" t="s">
        <v>68</v>
      </c>
      <c r="BE2492" s="3" t="s">
        <v>24176</v>
      </c>
      <c r="BF2492" s="3" t="s">
        <v>24181</v>
      </c>
      <c r="BG2492" s="3" t="s">
        <v>24182</v>
      </c>
    </row>
    <row r="2493" spans="1:59" ht="101.5" x14ac:dyDescent="0.35">
      <c r="A2493" s="2" t="s">
        <v>89</v>
      </c>
      <c r="B2493" s="2" t="s">
        <v>12301</v>
      </c>
      <c r="C2493" s="2" t="s">
        <v>24183</v>
      </c>
      <c r="D2493" s="2" t="s">
        <v>24184</v>
      </c>
      <c r="E2493" s="2" t="s">
        <v>24185</v>
      </c>
      <c r="F2493" s="3" t="s">
        <v>24186</v>
      </c>
      <c r="G2493" s="3" t="s">
        <v>62</v>
      </c>
      <c r="I2493" s="3" t="s">
        <v>61</v>
      </c>
      <c r="J2493" s="3" t="s">
        <v>62</v>
      </c>
      <c r="K2493" s="3" t="s">
        <v>63</v>
      </c>
      <c r="L2493" s="2" t="s">
        <v>24187</v>
      </c>
      <c r="M2493" s="2" t="s">
        <v>24188</v>
      </c>
      <c r="N2493" s="3" t="s">
        <v>640</v>
      </c>
      <c r="O2493" s="2" t="s">
        <v>17648</v>
      </c>
      <c r="P2493" s="3" t="s">
        <v>64</v>
      </c>
      <c r="R2493" s="3" t="s">
        <v>13065</v>
      </c>
      <c r="S2493" s="4">
        <v>99</v>
      </c>
      <c r="T2493" s="4">
        <v>201</v>
      </c>
      <c r="U2493" s="5" t="s">
        <v>1663</v>
      </c>
      <c r="V2493" s="5" t="s">
        <v>1663</v>
      </c>
      <c r="W2493" s="5" t="s">
        <v>67</v>
      </c>
      <c r="X2493" s="5" t="s">
        <v>67</v>
      </c>
      <c r="Y2493" s="4">
        <v>20</v>
      </c>
      <c r="Z2493" s="4">
        <v>3</v>
      </c>
      <c r="AA2493" s="4">
        <v>3</v>
      </c>
      <c r="AB2493" s="4">
        <v>1</v>
      </c>
      <c r="AC2493" s="4">
        <v>1</v>
      </c>
      <c r="AD2493" s="4">
        <v>9</v>
      </c>
      <c r="AE2493" s="4">
        <v>9</v>
      </c>
      <c r="AF2493" s="4">
        <v>0</v>
      </c>
      <c r="AG2493" s="4">
        <v>0</v>
      </c>
      <c r="AH2493" s="4">
        <v>8</v>
      </c>
      <c r="AI2493" s="4">
        <v>8</v>
      </c>
      <c r="AJ2493" s="4">
        <v>2</v>
      </c>
      <c r="AK2493" s="4">
        <v>2</v>
      </c>
      <c r="AL2493" s="4">
        <v>7</v>
      </c>
      <c r="AM2493" s="4">
        <v>7</v>
      </c>
      <c r="AN2493" s="4">
        <v>0</v>
      </c>
      <c r="AO2493" s="4">
        <v>0</v>
      </c>
      <c r="AP2493" s="4">
        <v>2</v>
      </c>
      <c r="AQ2493" s="4">
        <v>2</v>
      </c>
      <c r="AR2493" s="3" t="s">
        <v>62</v>
      </c>
      <c r="AS2493" s="3" t="s">
        <v>62</v>
      </c>
      <c r="AT2493" s="3" t="s">
        <v>62</v>
      </c>
      <c r="AV2493" s="6" t="str">
        <f>HYPERLINK("http://mcgill.on.worldcat.org/oclc/53113265","Catalog Record")</f>
        <v>Catalog Record</v>
      </c>
      <c r="AW2493" s="6" t="str">
        <f>HYPERLINK("http://www.worldcat.org/oclc/53113265","WorldCat Record")</f>
        <v>WorldCat Record</v>
      </c>
      <c r="AX2493" s="3" t="s">
        <v>24189</v>
      </c>
      <c r="AY2493" s="3" t="s">
        <v>24190</v>
      </c>
      <c r="AZ2493" s="3" t="s">
        <v>24191</v>
      </c>
      <c r="BA2493" s="3" t="s">
        <v>24191</v>
      </c>
      <c r="BB2493" s="3" t="s">
        <v>24192</v>
      </c>
      <c r="BC2493" s="3" t="s">
        <v>102</v>
      </c>
      <c r="BD2493" s="3" t="s">
        <v>68</v>
      </c>
      <c r="BE2493" s="3" t="s">
        <v>24193</v>
      </c>
      <c r="BF2493" s="3" t="s">
        <v>24192</v>
      </c>
      <c r="BG2493" s="3" t="s">
        <v>24194</v>
      </c>
    </row>
    <row r="2494" spans="1:59" ht="101.5" x14ac:dyDescent="0.35">
      <c r="A2494" s="2" t="s">
        <v>89</v>
      </c>
      <c r="B2494" s="2" t="s">
        <v>12301</v>
      </c>
      <c r="C2494" s="2" t="s">
        <v>24195</v>
      </c>
      <c r="D2494" s="2" t="s">
        <v>24196</v>
      </c>
      <c r="E2494" s="2" t="s">
        <v>24169</v>
      </c>
      <c r="G2494" s="3" t="s">
        <v>62</v>
      </c>
      <c r="I2494" s="3" t="s">
        <v>61</v>
      </c>
      <c r="J2494" s="3" t="s">
        <v>61</v>
      </c>
      <c r="K2494" s="3" t="s">
        <v>63</v>
      </c>
      <c r="L2494" s="2" t="s">
        <v>24170</v>
      </c>
      <c r="M2494" s="2" t="s">
        <v>24197</v>
      </c>
      <c r="N2494" s="3" t="s">
        <v>698</v>
      </c>
      <c r="O2494" s="2" t="s">
        <v>24198</v>
      </c>
      <c r="P2494" s="3" t="s">
        <v>64</v>
      </c>
      <c r="R2494" s="3" t="s">
        <v>13065</v>
      </c>
      <c r="S2494" s="4">
        <v>96</v>
      </c>
      <c r="T2494" s="4">
        <v>192</v>
      </c>
      <c r="U2494" s="5" t="s">
        <v>3650</v>
      </c>
      <c r="V2494" s="5" t="s">
        <v>16326</v>
      </c>
      <c r="W2494" s="5" t="s">
        <v>67</v>
      </c>
      <c r="X2494" s="5" t="s">
        <v>67</v>
      </c>
      <c r="Y2494" s="4">
        <v>129</v>
      </c>
      <c r="Z2494" s="4">
        <v>12</v>
      </c>
      <c r="AA2494" s="4">
        <v>72</v>
      </c>
      <c r="AB2494" s="4">
        <v>1</v>
      </c>
      <c r="AC2494" s="4">
        <v>18</v>
      </c>
      <c r="AD2494" s="4">
        <v>33</v>
      </c>
      <c r="AE2494" s="4">
        <v>133</v>
      </c>
      <c r="AF2494" s="4">
        <v>0</v>
      </c>
      <c r="AG2494" s="4">
        <v>8</v>
      </c>
      <c r="AH2494" s="4">
        <v>29</v>
      </c>
      <c r="AI2494" s="4">
        <v>99</v>
      </c>
      <c r="AJ2494" s="4">
        <v>4</v>
      </c>
      <c r="AK2494" s="4">
        <v>24</v>
      </c>
      <c r="AL2494" s="4">
        <v>23</v>
      </c>
      <c r="AM2494" s="4">
        <v>57</v>
      </c>
      <c r="AN2494" s="4">
        <v>0</v>
      </c>
      <c r="AO2494" s="4">
        <v>0</v>
      </c>
      <c r="AP2494" s="4">
        <v>6</v>
      </c>
      <c r="AQ2494" s="4">
        <v>40</v>
      </c>
      <c r="AR2494" s="3" t="s">
        <v>62</v>
      </c>
      <c r="AS2494" s="3" t="s">
        <v>62</v>
      </c>
      <c r="AT2494" s="3" t="s">
        <v>62</v>
      </c>
      <c r="AV2494" s="6" t="str">
        <f>HYPERLINK("http://mcgill.on.worldcat.org/oclc/773193687","Catalog Record")</f>
        <v>Catalog Record</v>
      </c>
      <c r="AW2494" s="6" t="str">
        <f>HYPERLINK("http://www.worldcat.org/oclc/773193687","WorldCat Record")</f>
        <v>WorldCat Record</v>
      </c>
      <c r="AX2494" s="3" t="s">
        <v>24172</v>
      </c>
      <c r="AY2494" s="3" t="s">
        <v>24199</v>
      </c>
      <c r="AZ2494" s="3" t="s">
        <v>24200</v>
      </c>
      <c r="BA2494" s="3" t="s">
        <v>24200</v>
      </c>
      <c r="BB2494" s="3" t="s">
        <v>24201</v>
      </c>
      <c r="BC2494" s="3" t="s">
        <v>102</v>
      </c>
      <c r="BD2494" s="3" t="s">
        <v>68</v>
      </c>
      <c r="BE2494" s="3" t="s">
        <v>24202</v>
      </c>
      <c r="BF2494" s="3" t="s">
        <v>24201</v>
      </c>
      <c r="BG2494" s="3" t="s">
        <v>24203</v>
      </c>
    </row>
    <row r="2495" spans="1:59" ht="101.5" x14ac:dyDescent="0.35">
      <c r="A2495" s="2" t="s">
        <v>89</v>
      </c>
      <c r="B2495" s="2" t="s">
        <v>12301</v>
      </c>
      <c r="C2495" s="2" t="s">
        <v>24195</v>
      </c>
      <c r="D2495" s="2" t="s">
        <v>24196</v>
      </c>
      <c r="E2495" s="2" t="s">
        <v>24169</v>
      </c>
      <c r="G2495" s="3" t="s">
        <v>62</v>
      </c>
      <c r="I2495" s="3" t="s">
        <v>61</v>
      </c>
      <c r="J2495" s="3" t="s">
        <v>61</v>
      </c>
      <c r="K2495" s="3" t="s">
        <v>63</v>
      </c>
      <c r="L2495" s="2" t="s">
        <v>24170</v>
      </c>
      <c r="M2495" s="2" t="s">
        <v>24197</v>
      </c>
      <c r="N2495" s="3" t="s">
        <v>698</v>
      </c>
      <c r="O2495" s="2" t="s">
        <v>24198</v>
      </c>
      <c r="P2495" s="3" t="s">
        <v>64</v>
      </c>
      <c r="R2495" s="3" t="s">
        <v>13065</v>
      </c>
      <c r="S2495" s="4">
        <v>96</v>
      </c>
      <c r="T2495" s="4">
        <v>192</v>
      </c>
      <c r="U2495" s="5" t="s">
        <v>16326</v>
      </c>
      <c r="V2495" s="5" t="s">
        <v>16326</v>
      </c>
      <c r="W2495" s="5" t="s">
        <v>67</v>
      </c>
      <c r="X2495" s="5" t="s">
        <v>67</v>
      </c>
      <c r="Y2495" s="4">
        <v>129</v>
      </c>
      <c r="Z2495" s="4">
        <v>12</v>
      </c>
      <c r="AA2495" s="4">
        <v>72</v>
      </c>
      <c r="AB2495" s="4">
        <v>1</v>
      </c>
      <c r="AC2495" s="4">
        <v>18</v>
      </c>
      <c r="AD2495" s="4">
        <v>33</v>
      </c>
      <c r="AE2495" s="4">
        <v>133</v>
      </c>
      <c r="AF2495" s="4">
        <v>0</v>
      </c>
      <c r="AG2495" s="4">
        <v>8</v>
      </c>
      <c r="AH2495" s="4">
        <v>29</v>
      </c>
      <c r="AI2495" s="4">
        <v>99</v>
      </c>
      <c r="AJ2495" s="4">
        <v>4</v>
      </c>
      <c r="AK2495" s="4">
        <v>24</v>
      </c>
      <c r="AL2495" s="4">
        <v>23</v>
      </c>
      <c r="AM2495" s="4">
        <v>57</v>
      </c>
      <c r="AN2495" s="4">
        <v>0</v>
      </c>
      <c r="AO2495" s="4">
        <v>0</v>
      </c>
      <c r="AP2495" s="4">
        <v>6</v>
      </c>
      <c r="AQ2495" s="4">
        <v>40</v>
      </c>
      <c r="AR2495" s="3" t="s">
        <v>62</v>
      </c>
      <c r="AS2495" s="3" t="s">
        <v>62</v>
      </c>
      <c r="AT2495" s="3" t="s">
        <v>62</v>
      </c>
      <c r="AV2495" s="6" t="str">
        <f>HYPERLINK("http://mcgill.on.worldcat.org/oclc/773193687","Catalog Record")</f>
        <v>Catalog Record</v>
      </c>
      <c r="AW2495" s="6" t="str">
        <f>HYPERLINK("http://www.worldcat.org/oclc/773193687","WorldCat Record")</f>
        <v>WorldCat Record</v>
      </c>
      <c r="AX2495" s="3" t="s">
        <v>24172</v>
      </c>
      <c r="AY2495" s="3" t="s">
        <v>24199</v>
      </c>
      <c r="AZ2495" s="3" t="s">
        <v>24200</v>
      </c>
      <c r="BA2495" s="3" t="s">
        <v>24200</v>
      </c>
      <c r="BB2495" s="3" t="s">
        <v>24204</v>
      </c>
      <c r="BC2495" s="3" t="s">
        <v>102</v>
      </c>
      <c r="BD2495" s="3" t="s">
        <v>68</v>
      </c>
      <c r="BE2495" s="3" t="s">
        <v>24202</v>
      </c>
      <c r="BF2495" s="3" t="s">
        <v>24204</v>
      </c>
      <c r="BG2495" s="3" t="s">
        <v>24205</v>
      </c>
    </row>
    <row r="2496" spans="1:59" ht="58" x14ac:dyDescent="0.35">
      <c r="A2496" s="2" t="s">
        <v>89</v>
      </c>
      <c r="B2496" s="2" t="s">
        <v>90</v>
      </c>
      <c r="C2496" s="2" t="s">
        <v>24206</v>
      </c>
      <c r="D2496" s="2" t="s">
        <v>24207</v>
      </c>
      <c r="E2496" s="2" t="s">
        <v>24208</v>
      </c>
      <c r="G2496" s="3" t="s">
        <v>62</v>
      </c>
      <c r="I2496" s="3" t="s">
        <v>61</v>
      </c>
      <c r="J2496" s="3" t="s">
        <v>62</v>
      </c>
      <c r="K2496" s="3" t="s">
        <v>63</v>
      </c>
      <c r="L2496" s="2" t="s">
        <v>24209</v>
      </c>
      <c r="M2496" s="2" t="s">
        <v>24210</v>
      </c>
      <c r="N2496" s="3" t="s">
        <v>1071</v>
      </c>
      <c r="O2496" s="2" t="s">
        <v>6158</v>
      </c>
      <c r="P2496" s="3" t="s">
        <v>64</v>
      </c>
      <c r="R2496" s="3" t="s">
        <v>13065</v>
      </c>
      <c r="S2496" s="4">
        <v>7</v>
      </c>
      <c r="T2496" s="4">
        <v>7</v>
      </c>
      <c r="U2496" s="5" t="s">
        <v>19887</v>
      </c>
      <c r="V2496" s="5" t="s">
        <v>19887</v>
      </c>
      <c r="W2496" s="5" t="s">
        <v>67</v>
      </c>
      <c r="X2496" s="5" t="s">
        <v>67</v>
      </c>
      <c r="Y2496" s="4">
        <v>1</v>
      </c>
      <c r="Z2496" s="4">
        <v>1</v>
      </c>
      <c r="AA2496" s="4">
        <v>13</v>
      </c>
      <c r="AB2496" s="4">
        <v>1</v>
      </c>
      <c r="AC2496" s="4">
        <v>2</v>
      </c>
      <c r="AD2496" s="4">
        <v>0</v>
      </c>
      <c r="AE2496" s="4">
        <v>62</v>
      </c>
      <c r="AF2496" s="4">
        <v>0</v>
      </c>
      <c r="AG2496" s="4">
        <v>0</v>
      </c>
      <c r="AH2496" s="4">
        <v>0</v>
      </c>
      <c r="AI2496" s="4">
        <v>53</v>
      </c>
      <c r="AJ2496" s="4">
        <v>0</v>
      </c>
      <c r="AK2496" s="4">
        <v>7</v>
      </c>
      <c r="AL2496" s="4">
        <v>0</v>
      </c>
      <c r="AM2496" s="4">
        <v>39</v>
      </c>
      <c r="AN2496" s="4">
        <v>0</v>
      </c>
      <c r="AO2496" s="4">
        <v>1</v>
      </c>
      <c r="AP2496" s="4">
        <v>0</v>
      </c>
      <c r="AQ2496" s="4">
        <v>9</v>
      </c>
      <c r="AR2496" s="3" t="s">
        <v>62</v>
      </c>
      <c r="AS2496" s="3" t="s">
        <v>62</v>
      </c>
      <c r="AT2496" s="3" t="s">
        <v>62</v>
      </c>
      <c r="AV2496" s="6" t="str">
        <f>HYPERLINK("http://mcgill.on.worldcat.org/oclc/427097509","Catalog Record")</f>
        <v>Catalog Record</v>
      </c>
      <c r="AW2496" s="6" t="str">
        <f>HYPERLINK("http://www.worldcat.org/oclc/427097509","WorldCat Record")</f>
        <v>WorldCat Record</v>
      </c>
      <c r="AX2496" s="3" t="s">
        <v>24211</v>
      </c>
      <c r="AY2496" s="3" t="s">
        <v>24212</v>
      </c>
      <c r="AZ2496" s="3" t="s">
        <v>24213</v>
      </c>
      <c r="BA2496" s="3" t="s">
        <v>24213</v>
      </c>
      <c r="BB2496" s="3" t="s">
        <v>24214</v>
      </c>
      <c r="BC2496" s="3" t="s">
        <v>102</v>
      </c>
      <c r="BD2496" s="3" t="s">
        <v>68</v>
      </c>
      <c r="BF2496" s="3" t="s">
        <v>24214</v>
      </c>
      <c r="BG2496" s="3" t="s">
        <v>24215</v>
      </c>
    </row>
    <row r="2497" spans="1:59" ht="58" x14ac:dyDescent="0.35">
      <c r="A2497" s="2" t="s">
        <v>59</v>
      </c>
      <c r="B2497" s="2" t="s">
        <v>60</v>
      </c>
      <c r="C2497" s="2" t="s">
        <v>24206</v>
      </c>
      <c r="D2497" s="2" t="s">
        <v>24207</v>
      </c>
      <c r="E2497" s="2" t="s">
        <v>24208</v>
      </c>
      <c r="G2497" s="3" t="s">
        <v>62</v>
      </c>
      <c r="I2497" s="3" t="s">
        <v>61</v>
      </c>
      <c r="J2497" s="3" t="s">
        <v>62</v>
      </c>
      <c r="K2497" s="3" t="s">
        <v>63</v>
      </c>
      <c r="L2497" s="2" t="s">
        <v>24209</v>
      </c>
      <c r="M2497" s="2" t="s">
        <v>24210</v>
      </c>
      <c r="N2497" s="3" t="s">
        <v>1071</v>
      </c>
      <c r="O2497" s="2" t="s">
        <v>6158</v>
      </c>
      <c r="P2497" s="3" t="s">
        <v>64</v>
      </c>
      <c r="R2497" s="3" t="s">
        <v>13065</v>
      </c>
      <c r="S2497" s="4">
        <v>0</v>
      </c>
      <c r="T2497" s="4">
        <v>7</v>
      </c>
      <c r="V2497" s="5" t="s">
        <v>19887</v>
      </c>
      <c r="W2497" s="5" t="s">
        <v>67</v>
      </c>
      <c r="X2497" s="5" t="s">
        <v>67</v>
      </c>
      <c r="Y2497" s="4">
        <v>1</v>
      </c>
      <c r="Z2497" s="4">
        <v>1</v>
      </c>
      <c r="AA2497" s="4">
        <v>13</v>
      </c>
      <c r="AB2497" s="4">
        <v>1</v>
      </c>
      <c r="AC2497" s="4">
        <v>2</v>
      </c>
      <c r="AD2497" s="4">
        <v>0</v>
      </c>
      <c r="AE2497" s="4">
        <v>62</v>
      </c>
      <c r="AF2497" s="4">
        <v>0</v>
      </c>
      <c r="AG2497" s="4">
        <v>0</v>
      </c>
      <c r="AH2497" s="4">
        <v>0</v>
      </c>
      <c r="AI2497" s="4">
        <v>53</v>
      </c>
      <c r="AJ2497" s="4">
        <v>0</v>
      </c>
      <c r="AK2497" s="4">
        <v>7</v>
      </c>
      <c r="AL2497" s="4">
        <v>0</v>
      </c>
      <c r="AM2497" s="4">
        <v>39</v>
      </c>
      <c r="AN2497" s="4">
        <v>0</v>
      </c>
      <c r="AO2497" s="4">
        <v>1</v>
      </c>
      <c r="AP2497" s="4">
        <v>0</v>
      </c>
      <c r="AQ2497" s="4">
        <v>9</v>
      </c>
      <c r="AR2497" s="3" t="s">
        <v>62</v>
      </c>
      <c r="AS2497" s="3" t="s">
        <v>62</v>
      </c>
      <c r="AT2497" s="3" t="s">
        <v>62</v>
      </c>
      <c r="AV2497" s="6" t="str">
        <f>HYPERLINK("http://mcgill.on.worldcat.org/oclc/427097509","Catalog Record")</f>
        <v>Catalog Record</v>
      </c>
      <c r="AW2497" s="6" t="str">
        <f>HYPERLINK("http://www.worldcat.org/oclc/427097509","WorldCat Record")</f>
        <v>WorldCat Record</v>
      </c>
      <c r="AX2497" s="3" t="s">
        <v>24211</v>
      </c>
      <c r="AY2497" s="3" t="s">
        <v>24212</v>
      </c>
      <c r="AZ2497" s="3" t="s">
        <v>24213</v>
      </c>
      <c r="BA2497" s="3" t="s">
        <v>24213</v>
      </c>
      <c r="BB2497" s="3" t="s">
        <v>24216</v>
      </c>
      <c r="BC2497" s="3" t="s">
        <v>102</v>
      </c>
      <c r="BD2497" s="3" t="s">
        <v>68</v>
      </c>
      <c r="BF2497" s="3" t="s">
        <v>24216</v>
      </c>
      <c r="BG2497" s="3" t="s">
        <v>24217</v>
      </c>
    </row>
    <row r="2498" spans="1:59" ht="58" x14ac:dyDescent="0.35">
      <c r="A2498" s="2" t="s">
        <v>89</v>
      </c>
      <c r="B2498" s="2" t="s">
        <v>90</v>
      </c>
      <c r="C2498" s="2" t="s">
        <v>24218</v>
      </c>
      <c r="D2498" s="2" t="s">
        <v>24219</v>
      </c>
      <c r="E2498" s="2" t="s">
        <v>24220</v>
      </c>
      <c r="G2498" s="3" t="s">
        <v>62</v>
      </c>
      <c r="I2498" s="3" t="s">
        <v>62</v>
      </c>
      <c r="J2498" s="3" t="s">
        <v>62</v>
      </c>
      <c r="K2498" s="3" t="s">
        <v>63</v>
      </c>
      <c r="L2498" s="2" t="s">
        <v>24221</v>
      </c>
      <c r="M2498" s="2" t="s">
        <v>24222</v>
      </c>
      <c r="N2498" s="3" t="s">
        <v>2740</v>
      </c>
      <c r="P2498" s="3" t="s">
        <v>64</v>
      </c>
      <c r="R2498" s="3" t="s">
        <v>13065</v>
      </c>
      <c r="S2498" s="4">
        <v>7</v>
      </c>
      <c r="T2498" s="4">
        <v>7</v>
      </c>
      <c r="U2498" s="5" t="s">
        <v>21027</v>
      </c>
      <c r="V2498" s="5" t="s">
        <v>21027</v>
      </c>
      <c r="W2498" s="5" t="s">
        <v>67</v>
      </c>
      <c r="X2498" s="5" t="s">
        <v>67</v>
      </c>
      <c r="Y2498" s="4">
        <v>56</v>
      </c>
      <c r="Z2498" s="4">
        <v>5</v>
      </c>
      <c r="AA2498" s="4">
        <v>5</v>
      </c>
      <c r="AB2498" s="4">
        <v>1</v>
      </c>
      <c r="AC2498" s="4">
        <v>1</v>
      </c>
      <c r="AD2498" s="4">
        <v>21</v>
      </c>
      <c r="AE2498" s="4">
        <v>30</v>
      </c>
      <c r="AF2498" s="4">
        <v>0</v>
      </c>
      <c r="AG2498" s="4">
        <v>0</v>
      </c>
      <c r="AH2498" s="4">
        <v>19</v>
      </c>
      <c r="AI2498" s="4">
        <v>28</v>
      </c>
      <c r="AJ2498" s="4">
        <v>3</v>
      </c>
      <c r="AK2498" s="4">
        <v>3</v>
      </c>
      <c r="AL2498" s="4">
        <v>14</v>
      </c>
      <c r="AM2498" s="4">
        <v>18</v>
      </c>
      <c r="AN2498" s="4">
        <v>0</v>
      </c>
      <c r="AO2498" s="4">
        <v>0</v>
      </c>
      <c r="AP2498" s="4">
        <v>2</v>
      </c>
      <c r="AQ2498" s="4">
        <v>2</v>
      </c>
      <c r="AR2498" s="3" t="s">
        <v>62</v>
      </c>
      <c r="AS2498" s="3" t="s">
        <v>62</v>
      </c>
      <c r="AT2498" s="3" t="s">
        <v>61</v>
      </c>
      <c r="AU2498" s="6" t="str">
        <f>HYPERLINK("http://catalog.hathitrust.org/Record/008871643","HathiTrust Record")</f>
        <v>HathiTrust Record</v>
      </c>
      <c r="AV2498" s="6" t="str">
        <f>HYPERLINK("http://mcgill.on.worldcat.org/oclc/1247405","Catalog Record")</f>
        <v>Catalog Record</v>
      </c>
      <c r="AW2498" s="6" t="str">
        <f>HYPERLINK("http://www.worldcat.org/oclc/1247405","WorldCat Record")</f>
        <v>WorldCat Record</v>
      </c>
      <c r="AX2498" s="3" t="s">
        <v>24223</v>
      </c>
      <c r="AY2498" s="3" t="s">
        <v>24224</v>
      </c>
      <c r="AZ2498" s="3" t="s">
        <v>24225</v>
      </c>
      <c r="BA2498" s="3" t="s">
        <v>24225</v>
      </c>
      <c r="BB2498" s="3" t="s">
        <v>24226</v>
      </c>
      <c r="BC2498" s="3" t="s">
        <v>102</v>
      </c>
      <c r="BD2498" s="3" t="s">
        <v>68</v>
      </c>
      <c r="BF2498" s="3" t="s">
        <v>24226</v>
      </c>
      <c r="BG2498" s="3" t="s">
        <v>24227</v>
      </c>
    </row>
    <row r="2499" spans="1:59" ht="101.5" x14ac:dyDescent="0.35">
      <c r="A2499" s="2" t="s">
        <v>89</v>
      </c>
      <c r="B2499" s="2" t="s">
        <v>12301</v>
      </c>
      <c r="C2499" s="2" t="s">
        <v>24228</v>
      </c>
      <c r="D2499" s="2" t="s">
        <v>24229</v>
      </c>
      <c r="E2499" s="2" t="s">
        <v>24230</v>
      </c>
      <c r="G2499" s="3" t="s">
        <v>62</v>
      </c>
      <c r="I2499" s="3" t="s">
        <v>61</v>
      </c>
      <c r="J2499" s="3" t="s">
        <v>61</v>
      </c>
      <c r="K2499" s="3" t="s">
        <v>63</v>
      </c>
      <c r="L2499" s="2" t="s">
        <v>24231</v>
      </c>
      <c r="M2499" s="2" t="s">
        <v>24232</v>
      </c>
      <c r="N2499" s="3" t="s">
        <v>1038</v>
      </c>
      <c r="O2499" s="2" t="s">
        <v>22672</v>
      </c>
      <c r="P2499" s="3" t="s">
        <v>64</v>
      </c>
      <c r="R2499" s="3" t="s">
        <v>13065</v>
      </c>
      <c r="S2499" s="4">
        <v>69</v>
      </c>
      <c r="T2499" s="4">
        <v>375</v>
      </c>
      <c r="U2499" s="5" t="s">
        <v>16074</v>
      </c>
      <c r="V2499" s="5" t="s">
        <v>15935</v>
      </c>
      <c r="W2499" s="5" t="s">
        <v>67</v>
      </c>
      <c r="X2499" s="5" t="s">
        <v>67</v>
      </c>
      <c r="Y2499" s="4">
        <v>8</v>
      </c>
      <c r="Z2499" s="4">
        <v>2</v>
      </c>
      <c r="AA2499" s="4">
        <v>81</v>
      </c>
      <c r="AB2499" s="4">
        <v>1</v>
      </c>
      <c r="AC2499" s="4">
        <v>12</v>
      </c>
      <c r="AD2499" s="4">
        <v>1</v>
      </c>
      <c r="AE2499" s="4">
        <v>69</v>
      </c>
      <c r="AF2499" s="4">
        <v>0</v>
      </c>
      <c r="AG2499" s="4">
        <v>7</v>
      </c>
      <c r="AH2499" s="4">
        <v>1</v>
      </c>
      <c r="AI2499" s="4">
        <v>43</v>
      </c>
      <c r="AJ2499" s="4">
        <v>1</v>
      </c>
      <c r="AK2499" s="4">
        <v>20</v>
      </c>
      <c r="AL2499" s="4">
        <v>0</v>
      </c>
      <c r="AM2499" s="4">
        <v>20</v>
      </c>
      <c r="AN2499" s="4">
        <v>0</v>
      </c>
      <c r="AO2499" s="4">
        <v>0</v>
      </c>
      <c r="AP2499" s="4">
        <v>1</v>
      </c>
      <c r="AQ2499" s="4">
        <v>36</v>
      </c>
      <c r="AR2499" s="3" t="s">
        <v>62</v>
      </c>
      <c r="AS2499" s="3" t="s">
        <v>62</v>
      </c>
      <c r="AT2499" s="3" t="s">
        <v>62</v>
      </c>
      <c r="AV2499" s="6" t="str">
        <f>HYPERLINK("http://mcgill.on.worldcat.org/oclc/910846024","Catalog Record")</f>
        <v>Catalog Record</v>
      </c>
      <c r="AW2499" s="6" t="str">
        <f>HYPERLINK("http://www.worldcat.org/oclc/910846024","WorldCat Record")</f>
        <v>WorldCat Record</v>
      </c>
      <c r="AX2499" s="3" t="s">
        <v>24233</v>
      </c>
      <c r="AY2499" s="3" t="s">
        <v>24234</v>
      </c>
      <c r="AZ2499" s="3" t="s">
        <v>24235</v>
      </c>
      <c r="BA2499" s="3" t="s">
        <v>24235</v>
      </c>
      <c r="BB2499" s="3" t="s">
        <v>24236</v>
      </c>
      <c r="BC2499" s="3" t="s">
        <v>102</v>
      </c>
      <c r="BD2499" s="3" t="s">
        <v>68</v>
      </c>
      <c r="BE2499" s="3" t="s">
        <v>24237</v>
      </c>
      <c r="BF2499" s="3" t="s">
        <v>24236</v>
      </c>
      <c r="BG2499" s="3" t="s">
        <v>24238</v>
      </c>
    </row>
    <row r="2500" spans="1:59" ht="101.5" x14ac:dyDescent="0.35">
      <c r="A2500" s="2" t="s">
        <v>89</v>
      </c>
      <c r="B2500" s="2" t="s">
        <v>24239</v>
      </c>
      <c r="C2500" s="2" t="s">
        <v>24228</v>
      </c>
      <c r="D2500" s="2" t="s">
        <v>24229</v>
      </c>
      <c r="E2500" s="2" t="s">
        <v>24230</v>
      </c>
      <c r="G2500" s="3" t="s">
        <v>62</v>
      </c>
      <c r="I2500" s="3" t="s">
        <v>61</v>
      </c>
      <c r="J2500" s="3" t="s">
        <v>61</v>
      </c>
      <c r="K2500" s="3" t="s">
        <v>63</v>
      </c>
      <c r="L2500" s="2" t="s">
        <v>24231</v>
      </c>
      <c r="M2500" s="2" t="s">
        <v>24232</v>
      </c>
      <c r="N2500" s="3" t="s">
        <v>1038</v>
      </c>
      <c r="O2500" s="2" t="s">
        <v>22672</v>
      </c>
      <c r="P2500" s="3" t="s">
        <v>64</v>
      </c>
      <c r="R2500" s="3" t="s">
        <v>13065</v>
      </c>
      <c r="S2500" s="4">
        <v>78</v>
      </c>
      <c r="T2500" s="4">
        <v>375</v>
      </c>
      <c r="U2500" s="5" t="s">
        <v>24240</v>
      </c>
      <c r="V2500" s="5" t="s">
        <v>15935</v>
      </c>
      <c r="W2500" s="5" t="s">
        <v>67</v>
      </c>
      <c r="X2500" s="5" t="s">
        <v>67</v>
      </c>
      <c r="Y2500" s="4">
        <v>8</v>
      </c>
      <c r="Z2500" s="4">
        <v>2</v>
      </c>
      <c r="AA2500" s="4">
        <v>81</v>
      </c>
      <c r="AB2500" s="4">
        <v>1</v>
      </c>
      <c r="AC2500" s="4">
        <v>12</v>
      </c>
      <c r="AD2500" s="4">
        <v>1</v>
      </c>
      <c r="AE2500" s="4">
        <v>69</v>
      </c>
      <c r="AF2500" s="4">
        <v>0</v>
      </c>
      <c r="AG2500" s="4">
        <v>7</v>
      </c>
      <c r="AH2500" s="4">
        <v>1</v>
      </c>
      <c r="AI2500" s="4">
        <v>43</v>
      </c>
      <c r="AJ2500" s="4">
        <v>1</v>
      </c>
      <c r="AK2500" s="4">
        <v>20</v>
      </c>
      <c r="AL2500" s="4">
        <v>0</v>
      </c>
      <c r="AM2500" s="4">
        <v>20</v>
      </c>
      <c r="AN2500" s="4">
        <v>0</v>
      </c>
      <c r="AO2500" s="4">
        <v>0</v>
      </c>
      <c r="AP2500" s="4">
        <v>1</v>
      </c>
      <c r="AQ2500" s="4">
        <v>36</v>
      </c>
      <c r="AR2500" s="3" t="s">
        <v>62</v>
      </c>
      <c r="AS2500" s="3" t="s">
        <v>62</v>
      </c>
      <c r="AT2500" s="3" t="s">
        <v>62</v>
      </c>
      <c r="AV2500" s="6" t="str">
        <f>HYPERLINK("http://mcgill.on.worldcat.org/oclc/910846024","Catalog Record")</f>
        <v>Catalog Record</v>
      </c>
      <c r="AW2500" s="6" t="str">
        <f>HYPERLINK("http://www.worldcat.org/oclc/910846024","WorldCat Record")</f>
        <v>WorldCat Record</v>
      </c>
      <c r="AX2500" s="3" t="s">
        <v>24233</v>
      </c>
      <c r="AY2500" s="3" t="s">
        <v>24234</v>
      </c>
      <c r="AZ2500" s="3" t="s">
        <v>24235</v>
      </c>
      <c r="BA2500" s="3" t="s">
        <v>24235</v>
      </c>
      <c r="BB2500" s="3" t="s">
        <v>24241</v>
      </c>
      <c r="BC2500" s="3" t="s">
        <v>102</v>
      </c>
      <c r="BD2500" s="3" t="s">
        <v>68</v>
      </c>
      <c r="BE2500" s="3" t="s">
        <v>24237</v>
      </c>
      <c r="BF2500" s="3" t="s">
        <v>24241</v>
      </c>
      <c r="BG2500" s="3" t="s">
        <v>24242</v>
      </c>
    </row>
    <row r="2501" spans="1:59" ht="101.5" x14ac:dyDescent="0.35">
      <c r="A2501" s="2" t="s">
        <v>89</v>
      </c>
      <c r="B2501" s="2" t="s">
        <v>12301</v>
      </c>
      <c r="C2501" s="2" t="s">
        <v>24228</v>
      </c>
      <c r="D2501" s="2" t="s">
        <v>24229</v>
      </c>
      <c r="E2501" s="2" t="s">
        <v>24230</v>
      </c>
      <c r="G2501" s="3" t="s">
        <v>62</v>
      </c>
      <c r="I2501" s="3" t="s">
        <v>61</v>
      </c>
      <c r="J2501" s="3" t="s">
        <v>61</v>
      </c>
      <c r="K2501" s="3" t="s">
        <v>63</v>
      </c>
      <c r="L2501" s="2" t="s">
        <v>24231</v>
      </c>
      <c r="M2501" s="2" t="s">
        <v>24232</v>
      </c>
      <c r="N2501" s="3" t="s">
        <v>1038</v>
      </c>
      <c r="O2501" s="2" t="s">
        <v>22672</v>
      </c>
      <c r="P2501" s="3" t="s">
        <v>64</v>
      </c>
      <c r="R2501" s="3" t="s">
        <v>13065</v>
      </c>
      <c r="S2501" s="4">
        <v>67</v>
      </c>
      <c r="T2501" s="4">
        <v>375</v>
      </c>
      <c r="U2501" s="5" t="s">
        <v>15935</v>
      </c>
      <c r="V2501" s="5" t="s">
        <v>15935</v>
      </c>
      <c r="W2501" s="5" t="s">
        <v>67</v>
      </c>
      <c r="X2501" s="5" t="s">
        <v>67</v>
      </c>
      <c r="Y2501" s="4">
        <v>8</v>
      </c>
      <c r="Z2501" s="4">
        <v>2</v>
      </c>
      <c r="AA2501" s="4">
        <v>81</v>
      </c>
      <c r="AB2501" s="4">
        <v>1</v>
      </c>
      <c r="AC2501" s="4">
        <v>12</v>
      </c>
      <c r="AD2501" s="4">
        <v>1</v>
      </c>
      <c r="AE2501" s="4">
        <v>69</v>
      </c>
      <c r="AF2501" s="4">
        <v>0</v>
      </c>
      <c r="AG2501" s="4">
        <v>7</v>
      </c>
      <c r="AH2501" s="4">
        <v>1</v>
      </c>
      <c r="AI2501" s="4">
        <v>43</v>
      </c>
      <c r="AJ2501" s="4">
        <v>1</v>
      </c>
      <c r="AK2501" s="4">
        <v>20</v>
      </c>
      <c r="AL2501" s="4">
        <v>0</v>
      </c>
      <c r="AM2501" s="4">
        <v>20</v>
      </c>
      <c r="AN2501" s="4">
        <v>0</v>
      </c>
      <c r="AO2501" s="4">
        <v>0</v>
      </c>
      <c r="AP2501" s="4">
        <v>1</v>
      </c>
      <c r="AQ2501" s="4">
        <v>36</v>
      </c>
      <c r="AR2501" s="3" t="s">
        <v>62</v>
      </c>
      <c r="AS2501" s="3" t="s">
        <v>62</v>
      </c>
      <c r="AT2501" s="3" t="s">
        <v>62</v>
      </c>
      <c r="AV2501" s="6" t="str">
        <f>HYPERLINK("http://mcgill.on.worldcat.org/oclc/910846024","Catalog Record")</f>
        <v>Catalog Record</v>
      </c>
      <c r="AW2501" s="6" t="str">
        <f>HYPERLINK("http://www.worldcat.org/oclc/910846024","WorldCat Record")</f>
        <v>WorldCat Record</v>
      </c>
      <c r="AX2501" s="3" t="s">
        <v>24233</v>
      </c>
      <c r="AY2501" s="3" t="s">
        <v>24234</v>
      </c>
      <c r="AZ2501" s="3" t="s">
        <v>24235</v>
      </c>
      <c r="BA2501" s="3" t="s">
        <v>24235</v>
      </c>
      <c r="BB2501" s="3" t="s">
        <v>24243</v>
      </c>
      <c r="BC2501" s="3" t="s">
        <v>102</v>
      </c>
      <c r="BD2501" s="3" t="s">
        <v>68</v>
      </c>
      <c r="BE2501" s="3" t="s">
        <v>24237</v>
      </c>
      <c r="BF2501" s="3" t="s">
        <v>24243</v>
      </c>
      <c r="BG2501" s="3" t="s">
        <v>24244</v>
      </c>
    </row>
    <row r="2502" spans="1:59" ht="101.5" x14ac:dyDescent="0.35">
      <c r="A2502" s="2" t="s">
        <v>89</v>
      </c>
      <c r="B2502" s="2" t="s">
        <v>12301</v>
      </c>
      <c r="C2502" s="2" t="s">
        <v>24228</v>
      </c>
      <c r="D2502" s="2" t="s">
        <v>24229</v>
      </c>
      <c r="E2502" s="2" t="s">
        <v>24230</v>
      </c>
      <c r="G2502" s="3" t="s">
        <v>62</v>
      </c>
      <c r="I2502" s="3" t="s">
        <v>61</v>
      </c>
      <c r="J2502" s="3" t="s">
        <v>61</v>
      </c>
      <c r="K2502" s="3" t="s">
        <v>63</v>
      </c>
      <c r="L2502" s="2" t="s">
        <v>24231</v>
      </c>
      <c r="M2502" s="2" t="s">
        <v>24232</v>
      </c>
      <c r="N2502" s="3" t="s">
        <v>1038</v>
      </c>
      <c r="O2502" s="2" t="s">
        <v>22672</v>
      </c>
      <c r="P2502" s="3" t="s">
        <v>64</v>
      </c>
      <c r="R2502" s="3" t="s">
        <v>13065</v>
      </c>
      <c r="S2502" s="4">
        <v>70</v>
      </c>
      <c r="T2502" s="4">
        <v>375</v>
      </c>
      <c r="U2502" s="5" t="s">
        <v>24240</v>
      </c>
      <c r="V2502" s="5" t="s">
        <v>15935</v>
      </c>
      <c r="W2502" s="5" t="s">
        <v>67</v>
      </c>
      <c r="X2502" s="5" t="s">
        <v>67</v>
      </c>
      <c r="Y2502" s="4">
        <v>8</v>
      </c>
      <c r="Z2502" s="4">
        <v>2</v>
      </c>
      <c r="AA2502" s="4">
        <v>81</v>
      </c>
      <c r="AB2502" s="4">
        <v>1</v>
      </c>
      <c r="AC2502" s="4">
        <v>12</v>
      </c>
      <c r="AD2502" s="4">
        <v>1</v>
      </c>
      <c r="AE2502" s="4">
        <v>69</v>
      </c>
      <c r="AF2502" s="4">
        <v>0</v>
      </c>
      <c r="AG2502" s="4">
        <v>7</v>
      </c>
      <c r="AH2502" s="4">
        <v>1</v>
      </c>
      <c r="AI2502" s="4">
        <v>43</v>
      </c>
      <c r="AJ2502" s="4">
        <v>1</v>
      </c>
      <c r="AK2502" s="4">
        <v>20</v>
      </c>
      <c r="AL2502" s="4">
        <v>0</v>
      </c>
      <c r="AM2502" s="4">
        <v>20</v>
      </c>
      <c r="AN2502" s="4">
        <v>0</v>
      </c>
      <c r="AO2502" s="4">
        <v>0</v>
      </c>
      <c r="AP2502" s="4">
        <v>1</v>
      </c>
      <c r="AQ2502" s="4">
        <v>36</v>
      </c>
      <c r="AR2502" s="3" t="s">
        <v>62</v>
      </c>
      <c r="AS2502" s="3" t="s">
        <v>62</v>
      </c>
      <c r="AT2502" s="3" t="s">
        <v>62</v>
      </c>
      <c r="AV2502" s="6" t="str">
        <f>HYPERLINK("http://mcgill.on.worldcat.org/oclc/910846024","Catalog Record")</f>
        <v>Catalog Record</v>
      </c>
      <c r="AW2502" s="6" t="str">
        <f>HYPERLINK("http://www.worldcat.org/oclc/910846024","WorldCat Record")</f>
        <v>WorldCat Record</v>
      </c>
      <c r="AX2502" s="3" t="s">
        <v>24233</v>
      </c>
      <c r="AY2502" s="3" t="s">
        <v>24234</v>
      </c>
      <c r="AZ2502" s="3" t="s">
        <v>24235</v>
      </c>
      <c r="BA2502" s="3" t="s">
        <v>24235</v>
      </c>
      <c r="BB2502" s="3" t="s">
        <v>24245</v>
      </c>
      <c r="BC2502" s="3" t="s">
        <v>102</v>
      </c>
      <c r="BD2502" s="3" t="s">
        <v>68</v>
      </c>
      <c r="BE2502" s="3" t="s">
        <v>24237</v>
      </c>
      <c r="BF2502" s="3" t="s">
        <v>24245</v>
      </c>
      <c r="BG2502" s="3" t="s">
        <v>24246</v>
      </c>
    </row>
    <row r="2503" spans="1:59" ht="101.5" x14ac:dyDescent="0.35">
      <c r="A2503" s="2" t="s">
        <v>89</v>
      </c>
      <c r="B2503" s="2" t="s">
        <v>12301</v>
      </c>
      <c r="C2503" s="2" t="s">
        <v>24228</v>
      </c>
      <c r="D2503" s="2" t="s">
        <v>24229</v>
      </c>
      <c r="E2503" s="2" t="s">
        <v>24230</v>
      </c>
      <c r="G2503" s="3" t="s">
        <v>62</v>
      </c>
      <c r="I2503" s="3" t="s">
        <v>61</v>
      </c>
      <c r="J2503" s="3" t="s">
        <v>61</v>
      </c>
      <c r="K2503" s="3" t="s">
        <v>63</v>
      </c>
      <c r="L2503" s="2" t="s">
        <v>24231</v>
      </c>
      <c r="M2503" s="2" t="s">
        <v>24232</v>
      </c>
      <c r="N2503" s="3" t="s">
        <v>1038</v>
      </c>
      <c r="O2503" s="2" t="s">
        <v>22672</v>
      </c>
      <c r="P2503" s="3" t="s">
        <v>64</v>
      </c>
      <c r="R2503" s="3" t="s">
        <v>13065</v>
      </c>
      <c r="S2503" s="4">
        <v>91</v>
      </c>
      <c r="T2503" s="4">
        <v>375</v>
      </c>
      <c r="U2503" s="5" t="s">
        <v>15935</v>
      </c>
      <c r="V2503" s="5" t="s">
        <v>15935</v>
      </c>
      <c r="W2503" s="5" t="s">
        <v>67</v>
      </c>
      <c r="X2503" s="5" t="s">
        <v>67</v>
      </c>
      <c r="Y2503" s="4">
        <v>8</v>
      </c>
      <c r="Z2503" s="4">
        <v>2</v>
      </c>
      <c r="AA2503" s="4">
        <v>81</v>
      </c>
      <c r="AB2503" s="4">
        <v>1</v>
      </c>
      <c r="AC2503" s="4">
        <v>12</v>
      </c>
      <c r="AD2503" s="4">
        <v>1</v>
      </c>
      <c r="AE2503" s="4">
        <v>69</v>
      </c>
      <c r="AF2503" s="4">
        <v>0</v>
      </c>
      <c r="AG2503" s="4">
        <v>7</v>
      </c>
      <c r="AH2503" s="4">
        <v>1</v>
      </c>
      <c r="AI2503" s="4">
        <v>43</v>
      </c>
      <c r="AJ2503" s="4">
        <v>1</v>
      </c>
      <c r="AK2503" s="4">
        <v>20</v>
      </c>
      <c r="AL2503" s="4">
        <v>0</v>
      </c>
      <c r="AM2503" s="4">
        <v>20</v>
      </c>
      <c r="AN2503" s="4">
        <v>0</v>
      </c>
      <c r="AO2503" s="4">
        <v>0</v>
      </c>
      <c r="AP2503" s="4">
        <v>1</v>
      </c>
      <c r="AQ2503" s="4">
        <v>36</v>
      </c>
      <c r="AR2503" s="3" t="s">
        <v>62</v>
      </c>
      <c r="AS2503" s="3" t="s">
        <v>62</v>
      </c>
      <c r="AT2503" s="3" t="s">
        <v>62</v>
      </c>
      <c r="AV2503" s="6" t="str">
        <f>HYPERLINK("http://mcgill.on.worldcat.org/oclc/910846024","Catalog Record")</f>
        <v>Catalog Record</v>
      </c>
      <c r="AW2503" s="6" t="str">
        <f>HYPERLINK("http://www.worldcat.org/oclc/910846024","WorldCat Record")</f>
        <v>WorldCat Record</v>
      </c>
      <c r="AX2503" s="3" t="s">
        <v>24233</v>
      </c>
      <c r="AY2503" s="3" t="s">
        <v>24234</v>
      </c>
      <c r="AZ2503" s="3" t="s">
        <v>24235</v>
      </c>
      <c r="BA2503" s="3" t="s">
        <v>24235</v>
      </c>
      <c r="BB2503" s="3" t="s">
        <v>24247</v>
      </c>
      <c r="BC2503" s="3" t="s">
        <v>102</v>
      </c>
      <c r="BD2503" s="3" t="s">
        <v>68</v>
      </c>
      <c r="BE2503" s="3" t="s">
        <v>24237</v>
      </c>
      <c r="BF2503" s="3" t="s">
        <v>24247</v>
      </c>
      <c r="BG2503" s="3" t="s">
        <v>24248</v>
      </c>
    </row>
    <row r="2504" spans="1:59" ht="101.5" x14ac:dyDescent="0.35">
      <c r="A2504" s="2" t="s">
        <v>89</v>
      </c>
      <c r="B2504" s="2" t="s">
        <v>12301</v>
      </c>
      <c r="C2504" s="2" t="s">
        <v>24249</v>
      </c>
      <c r="D2504" s="2" t="s">
        <v>24250</v>
      </c>
      <c r="E2504" s="2" t="s">
        <v>24251</v>
      </c>
      <c r="G2504" s="3" t="s">
        <v>62</v>
      </c>
      <c r="I2504" s="3" t="s">
        <v>61</v>
      </c>
      <c r="J2504" s="3" t="s">
        <v>61</v>
      </c>
      <c r="K2504" s="3" t="s">
        <v>63</v>
      </c>
      <c r="L2504" s="2" t="s">
        <v>24252</v>
      </c>
      <c r="M2504" s="2" t="s">
        <v>21499</v>
      </c>
      <c r="N2504" s="3" t="s">
        <v>1038</v>
      </c>
      <c r="O2504" s="2" t="s">
        <v>22672</v>
      </c>
      <c r="P2504" s="3" t="s">
        <v>64</v>
      </c>
      <c r="R2504" s="3" t="s">
        <v>13065</v>
      </c>
      <c r="S2504" s="4">
        <v>63</v>
      </c>
      <c r="T2504" s="4">
        <v>279</v>
      </c>
      <c r="U2504" s="5" t="s">
        <v>24240</v>
      </c>
      <c r="V2504" s="5" t="s">
        <v>15935</v>
      </c>
      <c r="W2504" s="5" t="s">
        <v>67</v>
      </c>
      <c r="X2504" s="5" t="s">
        <v>67</v>
      </c>
      <c r="Y2504" s="4">
        <v>8</v>
      </c>
      <c r="Z2504" s="4">
        <v>3</v>
      </c>
      <c r="AA2504" s="4">
        <v>32</v>
      </c>
      <c r="AB2504" s="4">
        <v>1</v>
      </c>
      <c r="AC2504" s="4">
        <v>5</v>
      </c>
      <c r="AD2504" s="4">
        <v>4</v>
      </c>
      <c r="AE2504" s="4">
        <v>33</v>
      </c>
      <c r="AF2504" s="4">
        <v>0</v>
      </c>
      <c r="AG2504" s="4">
        <v>2</v>
      </c>
      <c r="AH2504" s="4">
        <v>2</v>
      </c>
      <c r="AI2504" s="4">
        <v>23</v>
      </c>
      <c r="AJ2504" s="4">
        <v>0</v>
      </c>
      <c r="AK2504" s="4">
        <v>11</v>
      </c>
      <c r="AL2504" s="4">
        <v>2</v>
      </c>
      <c r="AM2504" s="4">
        <v>14</v>
      </c>
      <c r="AN2504" s="4">
        <v>0</v>
      </c>
      <c r="AO2504" s="4">
        <v>0</v>
      </c>
      <c r="AP2504" s="4">
        <v>2</v>
      </c>
      <c r="AQ2504" s="4">
        <v>17</v>
      </c>
      <c r="AR2504" s="3" t="s">
        <v>62</v>
      </c>
      <c r="AS2504" s="3" t="s">
        <v>62</v>
      </c>
      <c r="AT2504" s="3" t="s">
        <v>62</v>
      </c>
      <c r="AV2504" s="6" t="str">
        <f t="shared" ref="AV2504:AV2509" si="41">HYPERLINK("http://mcgill.on.worldcat.org/oclc/929587330","Catalog Record")</f>
        <v>Catalog Record</v>
      </c>
      <c r="AW2504" s="6" t="str">
        <f t="shared" ref="AW2504:AW2509" si="42">HYPERLINK("http://www.worldcat.org/oclc/929587330","WorldCat Record")</f>
        <v>WorldCat Record</v>
      </c>
      <c r="AX2504" s="3" t="s">
        <v>24253</v>
      </c>
      <c r="AY2504" s="3" t="s">
        <v>24254</v>
      </c>
      <c r="AZ2504" s="3" t="s">
        <v>24255</v>
      </c>
      <c r="BA2504" s="3" t="s">
        <v>24255</v>
      </c>
      <c r="BB2504" s="3" t="s">
        <v>24256</v>
      </c>
      <c r="BC2504" s="3" t="s">
        <v>102</v>
      </c>
      <c r="BD2504" s="3" t="s">
        <v>68</v>
      </c>
      <c r="BE2504" s="3" t="s">
        <v>24257</v>
      </c>
      <c r="BF2504" s="3" t="s">
        <v>24256</v>
      </c>
      <c r="BG2504" s="3" t="s">
        <v>24258</v>
      </c>
    </row>
    <row r="2505" spans="1:59" ht="101.5" x14ac:dyDescent="0.35">
      <c r="A2505" s="2" t="s">
        <v>89</v>
      </c>
      <c r="B2505" s="2" t="s">
        <v>12301</v>
      </c>
      <c r="C2505" s="2" t="s">
        <v>24249</v>
      </c>
      <c r="D2505" s="2" t="s">
        <v>24250</v>
      </c>
      <c r="E2505" s="2" t="s">
        <v>24251</v>
      </c>
      <c r="G2505" s="3" t="s">
        <v>62</v>
      </c>
      <c r="I2505" s="3" t="s">
        <v>61</v>
      </c>
      <c r="J2505" s="3" t="s">
        <v>61</v>
      </c>
      <c r="K2505" s="3" t="s">
        <v>63</v>
      </c>
      <c r="L2505" s="2" t="s">
        <v>24252</v>
      </c>
      <c r="M2505" s="2" t="s">
        <v>21499</v>
      </c>
      <c r="N2505" s="3" t="s">
        <v>1038</v>
      </c>
      <c r="O2505" s="2" t="s">
        <v>22672</v>
      </c>
      <c r="P2505" s="3" t="s">
        <v>64</v>
      </c>
      <c r="R2505" s="3" t="s">
        <v>13065</v>
      </c>
      <c r="S2505" s="4">
        <v>44</v>
      </c>
      <c r="T2505" s="4">
        <v>279</v>
      </c>
      <c r="U2505" s="5" t="s">
        <v>14499</v>
      </c>
      <c r="V2505" s="5" t="s">
        <v>15935</v>
      </c>
      <c r="W2505" s="5" t="s">
        <v>67</v>
      </c>
      <c r="X2505" s="5" t="s">
        <v>67</v>
      </c>
      <c r="Y2505" s="4">
        <v>8</v>
      </c>
      <c r="Z2505" s="4">
        <v>3</v>
      </c>
      <c r="AA2505" s="4">
        <v>32</v>
      </c>
      <c r="AB2505" s="4">
        <v>1</v>
      </c>
      <c r="AC2505" s="4">
        <v>5</v>
      </c>
      <c r="AD2505" s="4">
        <v>4</v>
      </c>
      <c r="AE2505" s="4">
        <v>33</v>
      </c>
      <c r="AF2505" s="4">
        <v>0</v>
      </c>
      <c r="AG2505" s="4">
        <v>2</v>
      </c>
      <c r="AH2505" s="4">
        <v>2</v>
      </c>
      <c r="AI2505" s="4">
        <v>23</v>
      </c>
      <c r="AJ2505" s="4">
        <v>0</v>
      </c>
      <c r="AK2505" s="4">
        <v>11</v>
      </c>
      <c r="AL2505" s="4">
        <v>2</v>
      </c>
      <c r="AM2505" s="4">
        <v>14</v>
      </c>
      <c r="AN2505" s="4">
        <v>0</v>
      </c>
      <c r="AO2505" s="4">
        <v>0</v>
      </c>
      <c r="AP2505" s="4">
        <v>2</v>
      </c>
      <c r="AQ2505" s="4">
        <v>17</v>
      </c>
      <c r="AR2505" s="3" t="s">
        <v>62</v>
      </c>
      <c r="AS2505" s="3" t="s">
        <v>62</v>
      </c>
      <c r="AT2505" s="3" t="s">
        <v>62</v>
      </c>
      <c r="AV2505" s="6" t="str">
        <f t="shared" si="41"/>
        <v>Catalog Record</v>
      </c>
      <c r="AW2505" s="6" t="str">
        <f t="shared" si="42"/>
        <v>WorldCat Record</v>
      </c>
      <c r="AX2505" s="3" t="s">
        <v>24253</v>
      </c>
      <c r="AY2505" s="3" t="s">
        <v>24254</v>
      </c>
      <c r="AZ2505" s="3" t="s">
        <v>24255</v>
      </c>
      <c r="BA2505" s="3" t="s">
        <v>24255</v>
      </c>
      <c r="BB2505" s="3" t="s">
        <v>24259</v>
      </c>
      <c r="BC2505" s="3" t="s">
        <v>102</v>
      </c>
      <c r="BD2505" s="3" t="s">
        <v>68</v>
      </c>
      <c r="BE2505" s="3" t="s">
        <v>24257</v>
      </c>
      <c r="BF2505" s="3" t="s">
        <v>24259</v>
      </c>
      <c r="BG2505" s="3" t="s">
        <v>24260</v>
      </c>
    </row>
    <row r="2506" spans="1:59" ht="101.5" x14ac:dyDescent="0.35">
      <c r="A2506" s="2" t="s">
        <v>89</v>
      </c>
      <c r="B2506" s="2" t="s">
        <v>12301</v>
      </c>
      <c r="C2506" s="2" t="s">
        <v>24249</v>
      </c>
      <c r="D2506" s="2" t="s">
        <v>24250</v>
      </c>
      <c r="E2506" s="2" t="s">
        <v>24251</v>
      </c>
      <c r="G2506" s="3" t="s">
        <v>62</v>
      </c>
      <c r="I2506" s="3" t="s">
        <v>61</v>
      </c>
      <c r="J2506" s="3" t="s">
        <v>61</v>
      </c>
      <c r="K2506" s="3" t="s">
        <v>63</v>
      </c>
      <c r="L2506" s="2" t="s">
        <v>24252</v>
      </c>
      <c r="M2506" s="2" t="s">
        <v>21499</v>
      </c>
      <c r="N2506" s="3" t="s">
        <v>1038</v>
      </c>
      <c r="O2506" s="2" t="s">
        <v>22672</v>
      </c>
      <c r="P2506" s="3" t="s">
        <v>64</v>
      </c>
      <c r="R2506" s="3" t="s">
        <v>13065</v>
      </c>
      <c r="S2506" s="4">
        <v>52</v>
      </c>
      <c r="T2506" s="4">
        <v>279</v>
      </c>
      <c r="U2506" s="5" t="s">
        <v>12369</v>
      </c>
      <c r="V2506" s="5" t="s">
        <v>15935</v>
      </c>
      <c r="W2506" s="5" t="s">
        <v>67</v>
      </c>
      <c r="X2506" s="5" t="s">
        <v>67</v>
      </c>
      <c r="Y2506" s="4">
        <v>8</v>
      </c>
      <c r="Z2506" s="4">
        <v>3</v>
      </c>
      <c r="AA2506" s="4">
        <v>32</v>
      </c>
      <c r="AB2506" s="4">
        <v>1</v>
      </c>
      <c r="AC2506" s="4">
        <v>5</v>
      </c>
      <c r="AD2506" s="4">
        <v>4</v>
      </c>
      <c r="AE2506" s="4">
        <v>33</v>
      </c>
      <c r="AF2506" s="4">
        <v>0</v>
      </c>
      <c r="AG2506" s="4">
        <v>2</v>
      </c>
      <c r="AH2506" s="4">
        <v>2</v>
      </c>
      <c r="AI2506" s="4">
        <v>23</v>
      </c>
      <c r="AJ2506" s="4">
        <v>0</v>
      </c>
      <c r="AK2506" s="4">
        <v>11</v>
      </c>
      <c r="AL2506" s="4">
        <v>2</v>
      </c>
      <c r="AM2506" s="4">
        <v>14</v>
      </c>
      <c r="AN2506" s="4">
        <v>0</v>
      </c>
      <c r="AO2506" s="4">
        <v>0</v>
      </c>
      <c r="AP2506" s="4">
        <v>2</v>
      </c>
      <c r="AQ2506" s="4">
        <v>17</v>
      </c>
      <c r="AR2506" s="3" t="s">
        <v>62</v>
      </c>
      <c r="AS2506" s="3" t="s">
        <v>62</v>
      </c>
      <c r="AT2506" s="3" t="s">
        <v>62</v>
      </c>
      <c r="AV2506" s="6" t="str">
        <f t="shared" si="41"/>
        <v>Catalog Record</v>
      </c>
      <c r="AW2506" s="6" t="str">
        <f t="shared" si="42"/>
        <v>WorldCat Record</v>
      </c>
      <c r="AX2506" s="3" t="s">
        <v>24253</v>
      </c>
      <c r="AY2506" s="3" t="s">
        <v>24254</v>
      </c>
      <c r="AZ2506" s="3" t="s">
        <v>24255</v>
      </c>
      <c r="BA2506" s="3" t="s">
        <v>24255</v>
      </c>
      <c r="BB2506" s="3" t="s">
        <v>24261</v>
      </c>
      <c r="BC2506" s="3" t="s">
        <v>102</v>
      </c>
      <c r="BD2506" s="3" t="s">
        <v>68</v>
      </c>
      <c r="BE2506" s="3" t="s">
        <v>24257</v>
      </c>
      <c r="BF2506" s="3" t="s">
        <v>24261</v>
      </c>
      <c r="BG2506" s="3" t="s">
        <v>24262</v>
      </c>
    </row>
    <row r="2507" spans="1:59" ht="101.5" x14ac:dyDescent="0.35">
      <c r="A2507" s="2" t="s">
        <v>89</v>
      </c>
      <c r="B2507" s="2" t="s">
        <v>12301</v>
      </c>
      <c r="C2507" s="2" t="s">
        <v>24249</v>
      </c>
      <c r="D2507" s="2" t="s">
        <v>24250</v>
      </c>
      <c r="E2507" s="2" t="s">
        <v>24251</v>
      </c>
      <c r="G2507" s="3" t="s">
        <v>62</v>
      </c>
      <c r="I2507" s="3" t="s">
        <v>61</v>
      </c>
      <c r="J2507" s="3" t="s">
        <v>61</v>
      </c>
      <c r="K2507" s="3" t="s">
        <v>63</v>
      </c>
      <c r="L2507" s="2" t="s">
        <v>24252</v>
      </c>
      <c r="M2507" s="2" t="s">
        <v>21499</v>
      </c>
      <c r="N2507" s="3" t="s">
        <v>1038</v>
      </c>
      <c r="O2507" s="2" t="s">
        <v>22672</v>
      </c>
      <c r="P2507" s="3" t="s">
        <v>64</v>
      </c>
      <c r="R2507" s="3" t="s">
        <v>13065</v>
      </c>
      <c r="S2507" s="4">
        <v>49</v>
      </c>
      <c r="T2507" s="4">
        <v>279</v>
      </c>
      <c r="U2507" s="5" t="s">
        <v>15935</v>
      </c>
      <c r="V2507" s="5" t="s">
        <v>15935</v>
      </c>
      <c r="W2507" s="5" t="s">
        <v>67</v>
      </c>
      <c r="X2507" s="5" t="s">
        <v>67</v>
      </c>
      <c r="Y2507" s="4">
        <v>8</v>
      </c>
      <c r="Z2507" s="4">
        <v>3</v>
      </c>
      <c r="AA2507" s="4">
        <v>32</v>
      </c>
      <c r="AB2507" s="4">
        <v>1</v>
      </c>
      <c r="AC2507" s="4">
        <v>5</v>
      </c>
      <c r="AD2507" s="4">
        <v>4</v>
      </c>
      <c r="AE2507" s="4">
        <v>33</v>
      </c>
      <c r="AF2507" s="4">
        <v>0</v>
      </c>
      <c r="AG2507" s="4">
        <v>2</v>
      </c>
      <c r="AH2507" s="4">
        <v>2</v>
      </c>
      <c r="AI2507" s="4">
        <v>23</v>
      </c>
      <c r="AJ2507" s="4">
        <v>0</v>
      </c>
      <c r="AK2507" s="4">
        <v>11</v>
      </c>
      <c r="AL2507" s="4">
        <v>2</v>
      </c>
      <c r="AM2507" s="4">
        <v>14</v>
      </c>
      <c r="AN2507" s="4">
        <v>0</v>
      </c>
      <c r="AO2507" s="4">
        <v>0</v>
      </c>
      <c r="AP2507" s="4">
        <v>2</v>
      </c>
      <c r="AQ2507" s="4">
        <v>17</v>
      </c>
      <c r="AR2507" s="3" t="s">
        <v>62</v>
      </c>
      <c r="AS2507" s="3" t="s">
        <v>62</v>
      </c>
      <c r="AT2507" s="3" t="s">
        <v>62</v>
      </c>
      <c r="AV2507" s="6" t="str">
        <f t="shared" si="41"/>
        <v>Catalog Record</v>
      </c>
      <c r="AW2507" s="6" t="str">
        <f t="shared" si="42"/>
        <v>WorldCat Record</v>
      </c>
      <c r="AX2507" s="3" t="s">
        <v>24253</v>
      </c>
      <c r="AY2507" s="3" t="s">
        <v>24254</v>
      </c>
      <c r="AZ2507" s="3" t="s">
        <v>24255</v>
      </c>
      <c r="BA2507" s="3" t="s">
        <v>24255</v>
      </c>
      <c r="BB2507" s="3" t="s">
        <v>24263</v>
      </c>
      <c r="BC2507" s="3" t="s">
        <v>102</v>
      </c>
      <c r="BD2507" s="3" t="s">
        <v>68</v>
      </c>
      <c r="BE2507" s="3" t="s">
        <v>24257</v>
      </c>
      <c r="BF2507" s="3" t="s">
        <v>24263</v>
      </c>
      <c r="BG2507" s="3" t="s">
        <v>24264</v>
      </c>
    </row>
    <row r="2508" spans="1:59" ht="101.5" x14ac:dyDescent="0.35">
      <c r="A2508" s="2" t="s">
        <v>89</v>
      </c>
      <c r="B2508" s="2" t="s">
        <v>12301</v>
      </c>
      <c r="C2508" s="2" t="s">
        <v>24249</v>
      </c>
      <c r="D2508" s="2" t="s">
        <v>24250</v>
      </c>
      <c r="E2508" s="2" t="s">
        <v>24251</v>
      </c>
      <c r="G2508" s="3" t="s">
        <v>62</v>
      </c>
      <c r="I2508" s="3" t="s">
        <v>61</v>
      </c>
      <c r="J2508" s="3" t="s">
        <v>61</v>
      </c>
      <c r="K2508" s="3" t="s">
        <v>63</v>
      </c>
      <c r="L2508" s="2" t="s">
        <v>24252</v>
      </c>
      <c r="M2508" s="2" t="s">
        <v>21499</v>
      </c>
      <c r="N2508" s="3" t="s">
        <v>1038</v>
      </c>
      <c r="O2508" s="2" t="s">
        <v>22672</v>
      </c>
      <c r="P2508" s="3" t="s">
        <v>64</v>
      </c>
      <c r="R2508" s="3" t="s">
        <v>13065</v>
      </c>
      <c r="S2508" s="4">
        <v>32</v>
      </c>
      <c r="T2508" s="4">
        <v>279</v>
      </c>
      <c r="U2508" s="5" t="s">
        <v>16074</v>
      </c>
      <c r="V2508" s="5" t="s">
        <v>15935</v>
      </c>
      <c r="W2508" s="5" t="s">
        <v>67</v>
      </c>
      <c r="X2508" s="5" t="s">
        <v>67</v>
      </c>
      <c r="Y2508" s="4">
        <v>8</v>
      </c>
      <c r="Z2508" s="4">
        <v>3</v>
      </c>
      <c r="AA2508" s="4">
        <v>32</v>
      </c>
      <c r="AB2508" s="4">
        <v>1</v>
      </c>
      <c r="AC2508" s="4">
        <v>5</v>
      </c>
      <c r="AD2508" s="4">
        <v>4</v>
      </c>
      <c r="AE2508" s="4">
        <v>33</v>
      </c>
      <c r="AF2508" s="4">
        <v>0</v>
      </c>
      <c r="AG2508" s="4">
        <v>2</v>
      </c>
      <c r="AH2508" s="4">
        <v>2</v>
      </c>
      <c r="AI2508" s="4">
        <v>23</v>
      </c>
      <c r="AJ2508" s="4">
        <v>0</v>
      </c>
      <c r="AK2508" s="4">
        <v>11</v>
      </c>
      <c r="AL2508" s="4">
        <v>2</v>
      </c>
      <c r="AM2508" s="4">
        <v>14</v>
      </c>
      <c r="AN2508" s="4">
        <v>0</v>
      </c>
      <c r="AO2508" s="4">
        <v>0</v>
      </c>
      <c r="AP2508" s="4">
        <v>2</v>
      </c>
      <c r="AQ2508" s="4">
        <v>17</v>
      </c>
      <c r="AR2508" s="3" t="s">
        <v>62</v>
      </c>
      <c r="AS2508" s="3" t="s">
        <v>62</v>
      </c>
      <c r="AT2508" s="3" t="s">
        <v>62</v>
      </c>
      <c r="AV2508" s="6" t="str">
        <f t="shared" si="41"/>
        <v>Catalog Record</v>
      </c>
      <c r="AW2508" s="6" t="str">
        <f t="shared" si="42"/>
        <v>WorldCat Record</v>
      </c>
      <c r="AX2508" s="3" t="s">
        <v>24253</v>
      </c>
      <c r="AY2508" s="3" t="s">
        <v>24254</v>
      </c>
      <c r="AZ2508" s="3" t="s">
        <v>24255</v>
      </c>
      <c r="BA2508" s="3" t="s">
        <v>24255</v>
      </c>
      <c r="BB2508" s="3" t="s">
        <v>24265</v>
      </c>
      <c r="BC2508" s="3" t="s">
        <v>102</v>
      </c>
      <c r="BD2508" s="3" t="s">
        <v>68</v>
      </c>
      <c r="BE2508" s="3" t="s">
        <v>24257</v>
      </c>
      <c r="BF2508" s="3" t="s">
        <v>24265</v>
      </c>
      <c r="BG2508" s="3" t="s">
        <v>24266</v>
      </c>
    </row>
    <row r="2509" spans="1:59" ht="101.5" x14ac:dyDescent="0.35">
      <c r="A2509" s="2" t="s">
        <v>89</v>
      </c>
      <c r="B2509" s="2" t="s">
        <v>12301</v>
      </c>
      <c r="C2509" s="2" t="s">
        <v>24249</v>
      </c>
      <c r="D2509" s="2" t="s">
        <v>24250</v>
      </c>
      <c r="E2509" s="2" t="s">
        <v>24251</v>
      </c>
      <c r="G2509" s="3" t="s">
        <v>62</v>
      </c>
      <c r="I2509" s="3" t="s">
        <v>61</v>
      </c>
      <c r="J2509" s="3" t="s">
        <v>61</v>
      </c>
      <c r="K2509" s="3" t="s">
        <v>63</v>
      </c>
      <c r="L2509" s="2" t="s">
        <v>24252</v>
      </c>
      <c r="M2509" s="2" t="s">
        <v>21499</v>
      </c>
      <c r="N2509" s="3" t="s">
        <v>1038</v>
      </c>
      <c r="O2509" s="2" t="s">
        <v>22672</v>
      </c>
      <c r="P2509" s="3" t="s">
        <v>64</v>
      </c>
      <c r="R2509" s="3" t="s">
        <v>13065</v>
      </c>
      <c r="S2509" s="4">
        <v>39</v>
      </c>
      <c r="T2509" s="4">
        <v>279</v>
      </c>
      <c r="U2509" s="5" t="s">
        <v>15935</v>
      </c>
      <c r="V2509" s="5" t="s">
        <v>15935</v>
      </c>
      <c r="W2509" s="5" t="s">
        <v>67</v>
      </c>
      <c r="X2509" s="5" t="s">
        <v>67</v>
      </c>
      <c r="Y2509" s="4">
        <v>8</v>
      </c>
      <c r="Z2509" s="4">
        <v>3</v>
      </c>
      <c r="AA2509" s="4">
        <v>32</v>
      </c>
      <c r="AB2509" s="4">
        <v>1</v>
      </c>
      <c r="AC2509" s="4">
        <v>5</v>
      </c>
      <c r="AD2509" s="4">
        <v>4</v>
      </c>
      <c r="AE2509" s="4">
        <v>33</v>
      </c>
      <c r="AF2509" s="4">
        <v>0</v>
      </c>
      <c r="AG2509" s="4">
        <v>2</v>
      </c>
      <c r="AH2509" s="4">
        <v>2</v>
      </c>
      <c r="AI2509" s="4">
        <v>23</v>
      </c>
      <c r="AJ2509" s="4">
        <v>0</v>
      </c>
      <c r="AK2509" s="4">
        <v>11</v>
      </c>
      <c r="AL2509" s="4">
        <v>2</v>
      </c>
      <c r="AM2509" s="4">
        <v>14</v>
      </c>
      <c r="AN2509" s="4">
        <v>0</v>
      </c>
      <c r="AO2509" s="4">
        <v>0</v>
      </c>
      <c r="AP2509" s="4">
        <v>2</v>
      </c>
      <c r="AQ2509" s="4">
        <v>17</v>
      </c>
      <c r="AR2509" s="3" t="s">
        <v>62</v>
      </c>
      <c r="AS2509" s="3" t="s">
        <v>62</v>
      </c>
      <c r="AT2509" s="3" t="s">
        <v>62</v>
      </c>
      <c r="AV2509" s="6" t="str">
        <f t="shared" si="41"/>
        <v>Catalog Record</v>
      </c>
      <c r="AW2509" s="6" t="str">
        <f t="shared" si="42"/>
        <v>WorldCat Record</v>
      </c>
      <c r="AX2509" s="3" t="s">
        <v>24253</v>
      </c>
      <c r="AY2509" s="3" t="s">
        <v>24254</v>
      </c>
      <c r="AZ2509" s="3" t="s">
        <v>24255</v>
      </c>
      <c r="BA2509" s="3" t="s">
        <v>24255</v>
      </c>
      <c r="BB2509" s="3" t="s">
        <v>24267</v>
      </c>
      <c r="BC2509" s="3" t="s">
        <v>102</v>
      </c>
      <c r="BD2509" s="3" t="s">
        <v>68</v>
      </c>
      <c r="BE2509" s="3" t="s">
        <v>24257</v>
      </c>
      <c r="BF2509" s="3" t="s">
        <v>24267</v>
      </c>
      <c r="BG2509" s="3" t="s">
        <v>24268</v>
      </c>
    </row>
    <row r="2510" spans="1:59" ht="58" x14ac:dyDescent="0.35">
      <c r="A2510" s="2" t="s">
        <v>89</v>
      </c>
      <c r="B2510" s="2" t="s">
        <v>90</v>
      </c>
      <c r="C2510" s="2" t="s">
        <v>24269</v>
      </c>
      <c r="D2510" s="2" t="s">
        <v>24270</v>
      </c>
      <c r="E2510" s="2" t="s">
        <v>24271</v>
      </c>
      <c r="G2510" s="3" t="s">
        <v>62</v>
      </c>
      <c r="I2510" s="3" t="s">
        <v>61</v>
      </c>
      <c r="J2510" s="3" t="s">
        <v>62</v>
      </c>
      <c r="K2510" s="3" t="s">
        <v>63</v>
      </c>
      <c r="L2510" s="2" t="s">
        <v>24272</v>
      </c>
      <c r="M2510" s="2" t="s">
        <v>24273</v>
      </c>
      <c r="N2510" s="3" t="s">
        <v>24274</v>
      </c>
      <c r="P2510" s="3" t="s">
        <v>64</v>
      </c>
      <c r="R2510" s="3" t="s">
        <v>13065</v>
      </c>
      <c r="S2510" s="4">
        <v>10</v>
      </c>
      <c r="T2510" s="4">
        <v>16</v>
      </c>
      <c r="U2510" s="5" t="s">
        <v>24275</v>
      </c>
      <c r="V2510" s="5" t="s">
        <v>24275</v>
      </c>
      <c r="W2510" s="5" t="s">
        <v>67</v>
      </c>
      <c r="X2510" s="5" t="s">
        <v>67</v>
      </c>
      <c r="Y2510" s="4">
        <v>27</v>
      </c>
      <c r="Z2510" s="4">
        <v>3</v>
      </c>
      <c r="AA2510" s="4">
        <v>3</v>
      </c>
      <c r="AB2510" s="4">
        <v>1</v>
      </c>
      <c r="AC2510" s="4">
        <v>1</v>
      </c>
      <c r="AD2510" s="4">
        <v>9</v>
      </c>
      <c r="AE2510" s="4">
        <v>11</v>
      </c>
      <c r="AF2510" s="4">
        <v>0</v>
      </c>
      <c r="AG2510" s="4">
        <v>0</v>
      </c>
      <c r="AH2510" s="4">
        <v>8</v>
      </c>
      <c r="AI2510" s="4">
        <v>10</v>
      </c>
      <c r="AJ2510" s="4">
        <v>1</v>
      </c>
      <c r="AK2510" s="4">
        <v>1</v>
      </c>
      <c r="AL2510" s="4">
        <v>5</v>
      </c>
      <c r="AM2510" s="4">
        <v>6</v>
      </c>
      <c r="AN2510" s="4">
        <v>0</v>
      </c>
      <c r="AO2510" s="4">
        <v>0</v>
      </c>
      <c r="AP2510" s="4">
        <v>2</v>
      </c>
      <c r="AQ2510" s="4">
        <v>2</v>
      </c>
      <c r="AR2510" s="3" t="s">
        <v>62</v>
      </c>
      <c r="AS2510" s="3" t="s">
        <v>62</v>
      </c>
      <c r="AT2510" s="3" t="s">
        <v>62</v>
      </c>
      <c r="AU2510" s="6" t="str">
        <f>HYPERLINK("http://catalog.hathitrust.org/Record/008905806","HathiTrust Record")</f>
        <v>HathiTrust Record</v>
      </c>
      <c r="AV2510" s="6" t="str">
        <f>HYPERLINK("http://mcgill.on.worldcat.org/oclc/13239578","Catalog Record")</f>
        <v>Catalog Record</v>
      </c>
      <c r="AW2510" s="6" t="str">
        <f>HYPERLINK("http://www.worldcat.org/oclc/13239578","WorldCat Record")</f>
        <v>WorldCat Record</v>
      </c>
      <c r="AX2510" s="3" t="s">
        <v>24276</v>
      </c>
      <c r="AY2510" s="3" t="s">
        <v>24277</v>
      </c>
      <c r="AZ2510" s="3" t="s">
        <v>24278</v>
      </c>
      <c r="BA2510" s="3" t="s">
        <v>24278</v>
      </c>
      <c r="BB2510" s="3" t="s">
        <v>24279</v>
      </c>
      <c r="BC2510" s="3" t="s">
        <v>102</v>
      </c>
      <c r="BD2510" s="3" t="s">
        <v>68</v>
      </c>
      <c r="BF2510" s="3" t="s">
        <v>24279</v>
      </c>
      <c r="BG2510" s="3" t="s">
        <v>24280</v>
      </c>
    </row>
    <row r="2511" spans="1:59" ht="101.5" x14ac:dyDescent="0.35">
      <c r="A2511" s="2" t="s">
        <v>89</v>
      </c>
      <c r="B2511" s="2" t="s">
        <v>12301</v>
      </c>
      <c r="C2511" s="2" t="s">
        <v>24281</v>
      </c>
      <c r="D2511" s="2" t="s">
        <v>24282</v>
      </c>
      <c r="E2511" s="2" t="s">
        <v>24283</v>
      </c>
      <c r="G2511" s="3" t="s">
        <v>62</v>
      </c>
      <c r="I2511" s="3" t="s">
        <v>61</v>
      </c>
      <c r="J2511" s="3" t="s">
        <v>61</v>
      </c>
      <c r="K2511" s="3" t="s">
        <v>63</v>
      </c>
      <c r="L2511" s="2" t="s">
        <v>24284</v>
      </c>
      <c r="M2511" s="2" t="s">
        <v>24285</v>
      </c>
      <c r="N2511" s="3" t="s">
        <v>2085</v>
      </c>
      <c r="O2511" s="2" t="s">
        <v>17254</v>
      </c>
      <c r="P2511" s="3" t="s">
        <v>64</v>
      </c>
      <c r="R2511" s="3" t="s">
        <v>13065</v>
      </c>
      <c r="S2511" s="4">
        <v>21</v>
      </c>
      <c r="T2511" s="4">
        <v>92</v>
      </c>
      <c r="U2511" s="5" t="s">
        <v>2521</v>
      </c>
      <c r="V2511" s="5" t="s">
        <v>24286</v>
      </c>
      <c r="W2511" s="5" t="s">
        <v>67</v>
      </c>
      <c r="X2511" s="5" t="s">
        <v>67</v>
      </c>
      <c r="Y2511" s="4">
        <v>3</v>
      </c>
      <c r="Z2511" s="4">
        <v>2</v>
      </c>
      <c r="AA2511" s="4">
        <v>19</v>
      </c>
      <c r="AB2511" s="4">
        <v>1</v>
      </c>
      <c r="AC2511" s="4">
        <v>6</v>
      </c>
      <c r="AD2511" s="4">
        <v>1</v>
      </c>
      <c r="AE2511" s="4">
        <v>12</v>
      </c>
      <c r="AF2511" s="4">
        <v>0</v>
      </c>
      <c r="AG2511" s="4">
        <v>3</v>
      </c>
      <c r="AH2511" s="4">
        <v>0</v>
      </c>
      <c r="AI2511" s="4">
        <v>5</v>
      </c>
      <c r="AJ2511" s="4">
        <v>1</v>
      </c>
      <c r="AK2511" s="4">
        <v>9</v>
      </c>
      <c r="AL2511" s="4">
        <v>0</v>
      </c>
      <c r="AM2511" s="4">
        <v>1</v>
      </c>
      <c r="AN2511" s="4">
        <v>0</v>
      </c>
      <c r="AO2511" s="4">
        <v>0</v>
      </c>
      <c r="AP2511" s="4">
        <v>0</v>
      </c>
      <c r="AQ2511" s="4">
        <v>10</v>
      </c>
      <c r="AR2511" s="3" t="s">
        <v>61</v>
      </c>
      <c r="AS2511" s="3" t="s">
        <v>62</v>
      </c>
      <c r="AT2511" s="3" t="s">
        <v>62</v>
      </c>
      <c r="AV2511" s="6" t="str">
        <f>HYPERLINK("http://mcgill.on.worldcat.org/oclc/958272028","Catalog Record")</f>
        <v>Catalog Record</v>
      </c>
      <c r="AW2511" s="6" t="str">
        <f>HYPERLINK("http://www.worldcat.org/oclc/958272028","WorldCat Record")</f>
        <v>WorldCat Record</v>
      </c>
      <c r="AX2511" s="3" t="s">
        <v>24287</v>
      </c>
      <c r="AY2511" s="3" t="s">
        <v>24288</v>
      </c>
      <c r="AZ2511" s="3" t="s">
        <v>24289</v>
      </c>
      <c r="BA2511" s="3" t="s">
        <v>24289</v>
      </c>
      <c r="BB2511" s="3" t="s">
        <v>24290</v>
      </c>
      <c r="BC2511" s="3" t="s">
        <v>102</v>
      </c>
      <c r="BD2511" s="3" t="s">
        <v>68</v>
      </c>
      <c r="BE2511" s="3" t="s">
        <v>24291</v>
      </c>
      <c r="BF2511" s="3" t="s">
        <v>24290</v>
      </c>
      <c r="BG2511" s="3" t="s">
        <v>24292</v>
      </c>
    </row>
    <row r="2512" spans="1:59" ht="101.5" x14ac:dyDescent="0.35">
      <c r="A2512" s="2" t="s">
        <v>89</v>
      </c>
      <c r="B2512" s="2" t="s">
        <v>12301</v>
      </c>
      <c r="C2512" s="2" t="s">
        <v>24281</v>
      </c>
      <c r="D2512" s="2" t="s">
        <v>24282</v>
      </c>
      <c r="E2512" s="2" t="s">
        <v>24283</v>
      </c>
      <c r="G2512" s="3" t="s">
        <v>62</v>
      </c>
      <c r="I2512" s="3" t="s">
        <v>61</v>
      </c>
      <c r="J2512" s="3" t="s">
        <v>61</v>
      </c>
      <c r="K2512" s="3" t="s">
        <v>63</v>
      </c>
      <c r="L2512" s="2" t="s">
        <v>24284</v>
      </c>
      <c r="M2512" s="2" t="s">
        <v>24285</v>
      </c>
      <c r="N2512" s="3" t="s">
        <v>2085</v>
      </c>
      <c r="O2512" s="2" t="s">
        <v>17254</v>
      </c>
      <c r="P2512" s="3" t="s">
        <v>64</v>
      </c>
      <c r="R2512" s="3" t="s">
        <v>13065</v>
      </c>
      <c r="S2512" s="4">
        <v>23</v>
      </c>
      <c r="T2512" s="4">
        <v>92</v>
      </c>
      <c r="U2512" s="5" t="s">
        <v>15954</v>
      </c>
      <c r="V2512" s="5" t="s">
        <v>24286</v>
      </c>
      <c r="W2512" s="5" t="s">
        <v>67</v>
      </c>
      <c r="X2512" s="5" t="s">
        <v>67</v>
      </c>
      <c r="Y2512" s="4">
        <v>3</v>
      </c>
      <c r="Z2512" s="4">
        <v>2</v>
      </c>
      <c r="AA2512" s="4">
        <v>19</v>
      </c>
      <c r="AB2512" s="4">
        <v>1</v>
      </c>
      <c r="AC2512" s="4">
        <v>6</v>
      </c>
      <c r="AD2512" s="4">
        <v>1</v>
      </c>
      <c r="AE2512" s="4">
        <v>12</v>
      </c>
      <c r="AF2512" s="4">
        <v>0</v>
      </c>
      <c r="AG2512" s="4">
        <v>3</v>
      </c>
      <c r="AH2512" s="4">
        <v>0</v>
      </c>
      <c r="AI2512" s="4">
        <v>5</v>
      </c>
      <c r="AJ2512" s="4">
        <v>1</v>
      </c>
      <c r="AK2512" s="4">
        <v>9</v>
      </c>
      <c r="AL2512" s="4">
        <v>0</v>
      </c>
      <c r="AM2512" s="4">
        <v>1</v>
      </c>
      <c r="AN2512" s="4">
        <v>0</v>
      </c>
      <c r="AO2512" s="4">
        <v>0</v>
      </c>
      <c r="AP2512" s="4">
        <v>0</v>
      </c>
      <c r="AQ2512" s="4">
        <v>10</v>
      </c>
      <c r="AR2512" s="3" t="s">
        <v>61</v>
      </c>
      <c r="AS2512" s="3" t="s">
        <v>62</v>
      </c>
      <c r="AT2512" s="3" t="s">
        <v>62</v>
      </c>
      <c r="AV2512" s="6" t="str">
        <f>HYPERLINK("http://mcgill.on.worldcat.org/oclc/958272028","Catalog Record")</f>
        <v>Catalog Record</v>
      </c>
      <c r="AW2512" s="6" t="str">
        <f>HYPERLINK("http://www.worldcat.org/oclc/958272028","WorldCat Record")</f>
        <v>WorldCat Record</v>
      </c>
      <c r="AX2512" s="3" t="s">
        <v>24287</v>
      </c>
      <c r="AY2512" s="3" t="s">
        <v>24288</v>
      </c>
      <c r="AZ2512" s="3" t="s">
        <v>24289</v>
      </c>
      <c r="BA2512" s="3" t="s">
        <v>24289</v>
      </c>
      <c r="BB2512" s="3" t="s">
        <v>24293</v>
      </c>
      <c r="BC2512" s="3" t="s">
        <v>102</v>
      </c>
      <c r="BD2512" s="3" t="s">
        <v>68</v>
      </c>
      <c r="BE2512" s="3" t="s">
        <v>24291</v>
      </c>
      <c r="BF2512" s="3" t="s">
        <v>24293</v>
      </c>
      <c r="BG2512" s="3" t="s">
        <v>24294</v>
      </c>
    </row>
    <row r="2513" spans="1:59" ht="101.5" x14ac:dyDescent="0.35">
      <c r="A2513" s="2" t="s">
        <v>89</v>
      </c>
      <c r="B2513" s="2" t="s">
        <v>12301</v>
      </c>
      <c r="C2513" s="2" t="s">
        <v>24281</v>
      </c>
      <c r="D2513" s="2" t="s">
        <v>24282</v>
      </c>
      <c r="E2513" s="2" t="s">
        <v>24283</v>
      </c>
      <c r="G2513" s="3" t="s">
        <v>62</v>
      </c>
      <c r="I2513" s="3" t="s">
        <v>61</v>
      </c>
      <c r="J2513" s="3" t="s">
        <v>61</v>
      </c>
      <c r="K2513" s="3" t="s">
        <v>63</v>
      </c>
      <c r="L2513" s="2" t="s">
        <v>24284</v>
      </c>
      <c r="M2513" s="2" t="s">
        <v>24285</v>
      </c>
      <c r="N2513" s="3" t="s">
        <v>2085</v>
      </c>
      <c r="O2513" s="2" t="s">
        <v>17254</v>
      </c>
      <c r="P2513" s="3" t="s">
        <v>64</v>
      </c>
      <c r="R2513" s="3" t="s">
        <v>13065</v>
      </c>
      <c r="S2513" s="4">
        <v>19</v>
      </c>
      <c r="T2513" s="4">
        <v>92</v>
      </c>
      <c r="U2513" s="5" t="s">
        <v>20522</v>
      </c>
      <c r="V2513" s="5" t="s">
        <v>24286</v>
      </c>
      <c r="W2513" s="5" t="s">
        <v>67</v>
      </c>
      <c r="X2513" s="5" t="s">
        <v>67</v>
      </c>
      <c r="Y2513" s="4">
        <v>3</v>
      </c>
      <c r="Z2513" s="4">
        <v>2</v>
      </c>
      <c r="AA2513" s="4">
        <v>19</v>
      </c>
      <c r="AB2513" s="4">
        <v>1</v>
      </c>
      <c r="AC2513" s="4">
        <v>6</v>
      </c>
      <c r="AD2513" s="4">
        <v>1</v>
      </c>
      <c r="AE2513" s="4">
        <v>12</v>
      </c>
      <c r="AF2513" s="4">
        <v>0</v>
      </c>
      <c r="AG2513" s="4">
        <v>3</v>
      </c>
      <c r="AH2513" s="4">
        <v>0</v>
      </c>
      <c r="AI2513" s="4">
        <v>5</v>
      </c>
      <c r="AJ2513" s="4">
        <v>1</v>
      </c>
      <c r="AK2513" s="4">
        <v>9</v>
      </c>
      <c r="AL2513" s="4">
        <v>0</v>
      </c>
      <c r="AM2513" s="4">
        <v>1</v>
      </c>
      <c r="AN2513" s="4">
        <v>0</v>
      </c>
      <c r="AO2513" s="4">
        <v>0</v>
      </c>
      <c r="AP2513" s="4">
        <v>0</v>
      </c>
      <c r="AQ2513" s="4">
        <v>10</v>
      </c>
      <c r="AR2513" s="3" t="s">
        <v>61</v>
      </c>
      <c r="AS2513" s="3" t="s">
        <v>62</v>
      </c>
      <c r="AT2513" s="3" t="s">
        <v>62</v>
      </c>
      <c r="AV2513" s="6" t="str">
        <f>HYPERLINK("http://mcgill.on.worldcat.org/oclc/958272028","Catalog Record")</f>
        <v>Catalog Record</v>
      </c>
      <c r="AW2513" s="6" t="str">
        <f>HYPERLINK("http://www.worldcat.org/oclc/958272028","WorldCat Record")</f>
        <v>WorldCat Record</v>
      </c>
      <c r="AX2513" s="3" t="s">
        <v>24287</v>
      </c>
      <c r="AY2513" s="3" t="s">
        <v>24288</v>
      </c>
      <c r="AZ2513" s="3" t="s">
        <v>24289</v>
      </c>
      <c r="BA2513" s="3" t="s">
        <v>24289</v>
      </c>
      <c r="BB2513" s="3" t="s">
        <v>24295</v>
      </c>
      <c r="BC2513" s="3" t="s">
        <v>102</v>
      </c>
      <c r="BD2513" s="3" t="s">
        <v>68</v>
      </c>
      <c r="BE2513" s="3" t="s">
        <v>24291</v>
      </c>
      <c r="BF2513" s="3" t="s">
        <v>24295</v>
      </c>
      <c r="BG2513" s="3" t="s">
        <v>24296</v>
      </c>
    </row>
    <row r="2514" spans="1:59" ht="101.5" x14ac:dyDescent="0.35">
      <c r="A2514" s="2" t="s">
        <v>89</v>
      </c>
      <c r="B2514" s="2" t="s">
        <v>12301</v>
      </c>
      <c r="C2514" s="2" t="s">
        <v>24281</v>
      </c>
      <c r="D2514" s="2" t="s">
        <v>24282</v>
      </c>
      <c r="E2514" s="2" t="s">
        <v>24283</v>
      </c>
      <c r="G2514" s="3" t="s">
        <v>62</v>
      </c>
      <c r="I2514" s="3" t="s">
        <v>61</v>
      </c>
      <c r="J2514" s="3" t="s">
        <v>61</v>
      </c>
      <c r="K2514" s="3" t="s">
        <v>63</v>
      </c>
      <c r="L2514" s="2" t="s">
        <v>24284</v>
      </c>
      <c r="M2514" s="2" t="s">
        <v>24285</v>
      </c>
      <c r="N2514" s="3" t="s">
        <v>2085</v>
      </c>
      <c r="O2514" s="2" t="s">
        <v>17254</v>
      </c>
      <c r="P2514" s="3" t="s">
        <v>64</v>
      </c>
      <c r="R2514" s="3" t="s">
        <v>13065</v>
      </c>
      <c r="S2514" s="4">
        <v>21</v>
      </c>
      <c r="T2514" s="4">
        <v>92</v>
      </c>
      <c r="U2514" s="5" t="s">
        <v>24286</v>
      </c>
      <c r="V2514" s="5" t="s">
        <v>24286</v>
      </c>
      <c r="W2514" s="5" t="s">
        <v>67</v>
      </c>
      <c r="X2514" s="5" t="s">
        <v>67</v>
      </c>
      <c r="Y2514" s="4">
        <v>3</v>
      </c>
      <c r="Z2514" s="4">
        <v>2</v>
      </c>
      <c r="AA2514" s="4">
        <v>19</v>
      </c>
      <c r="AB2514" s="4">
        <v>1</v>
      </c>
      <c r="AC2514" s="4">
        <v>6</v>
      </c>
      <c r="AD2514" s="4">
        <v>1</v>
      </c>
      <c r="AE2514" s="4">
        <v>12</v>
      </c>
      <c r="AF2514" s="4">
        <v>0</v>
      </c>
      <c r="AG2514" s="4">
        <v>3</v>
      </c>
      <c r="AH2514" s="4">
        <v>0</v>
      </c>
      <c r="AI2514" s="4">
        <v>5</v>
      </c>
      <c r="AJ2514" s="4">
        <v>1</v>
      </c>
      <c r="AK2514" s="4">
        <v>9</v>
      </c>
      <c r="AL2514" s="4">
        <v>0</v>
      </c>
      <c r="AM2514" s="4">
        <v>1</v>
      </c>
      <c r="AN2514" s="4">
        <v>0</v>
      </c>
      <c r="AO2514" s="4">
        <v>0</v>
      </c>
      <c r="AP2514" s="4">
        <v>0</v>
      </c>
      <c r="AQ2514" s="4">
        <v>10</v>
      </c>
      <c r="AR2514" s="3" t="s">
        <v>61</v>
      </c>
      <c r="AS2514" s="3" t="s">
        <v>62</v>
      </c>
      <c r="AT2514" s="3" t="s">
        <v>62</v>
      </c>
      <c r="AV2514" s="6" t="str">
        <f>HYPERLINK("http://mcgill.on.worldcat.org/oclc/958272028","Catalog Record")</f>
        <v>Catalog Record</v>
      </c>
      <c r="AW2514" s="6" t="str">
        <f>HYPERLINK("http://www.worldcat.org/oclc/958272028","WorldCat Record")</f>
        <v>WorldCat Record</v>
      </c>
      <c r="AX2514" s="3" t="s">
        <v>24287</v>
      </c>
      <c r="AY2514" s="3" t="s">
        <v>24288</v>
      </c>
      <c r="AZ2514" s="3" t="s">
        <v>24289</v>
      </c>
      <c r="BA2514" s="3" t="s">
        <v>24289</v>
      </c>
      <c r="BB2514" s="3" t="s">
        <v>24297</v>
      </c>
      <c r="BC2514" s="3" t="s">
        <v>102</v>
      </c>
      <c r="BD2514" s="3" t="s">
        <v>68</v>
      </c>
      <c r="BE2514" s="3" t="s">
        <v>24291</v>
      </c>
      <c r="BF2514" s="3" t="s">
        <v>24297</v>
      </c>
      <c r="BG2514" s="3" t="s">
        <v>24298</v>
      </c>
    </row>
    <row r="2515" spans="1:59" ht="101.5" x14ac:dyDescent="0.35">
      <c r="A2515" s="2" t="s">
        <v>89</v>
      </c>
      <c r="B2515" s="2" t="s">
        <v>12301</v>
      </c>
      <c r="C2515" s="2" t="s">
        <v>24299</v>
      </c>
      <c r="D2515" s="2" t="s">
        <v>24300</v>
      </c>
      <c r="E2515" s="2" t="s">
        <v>24301</v>
      </c>
      <c r="G2515" s="3" t="s">
        <v>62</v>
      </c>
      <c r="I2515" s="3" t="s">
        <v>61</v>
      </c>
      <c r="J2515" s="3" t="s">
        <v>61</v>
      </c>
      <c r="K2515" s="3" t="s">
        <v>63</v>
      </c>
      <c r="L2515" s="2" t="s">
        <v>24302</v>
      </c>
      <c r="M2515" s="2" t="s">
        <v>24303</v>
      </c>
      <c r="N2515" s="3" t="s">
        <v>1038</v>
      </c>
      <c r="O2515" s="2" t="s">
        <v>22672</v>
      </c>
      <c r="P2515" s="3" t="s">
        <v>64</v>
      </c>
      <c r="R2515" s="3" t="s">
        <v>13065</v>
      </c>
      <c r="S2515" s="4">
        <v>78</v>
      </c>
      <c r="T2515" s="4">
        <v>450</v>
      </c>
      <c r="U2515" s="5" t="s">
        <v>24286</v>
      </c>
      <c r="V2515" s="5" t="s">
        <v>24286</v>
      </c>
      <c r="W2515" s="5" t="s">
        <v>67</v>
      </c>
      <c r="X2515" s="5" t="s">
        <v>67</v>
      </c>
      <c r="Y2515" s="4">
        <v>44</v>
      </c>
      <c r="Z2515" s="4">
        <v>9</v>
      </c>
      <c r="AA2515" s="4">
        <v>44</v>
      </c>
      <c r="AB2515" s="4">
        <v>2</v>
      </c>
      <c r="AC2515" s="4">
        <v>8</v>
      </c>
      <c r="AD2515" s="4">
        <v>11</v>
      </c>
      <c r="AE2515" s="4">
        <v>67</v>
      </c>
      <c r="AF2515" s="4">
        <v>0</v>
      </c>
      <c r="AG2515" s="4">
        <v>6</v>
      </c>
      <c r="AH2515" s="4">
        <v>10</v>
      </c>
      <c r="AI2515" s="4">
        <v>48</v>
      </c>
      <c r="AJ2515" s="4">
        <v>4</v>
      </c>
      <c r="AK2515" s="4">
        <v>14</v>
      </c>
      <c r="AL2515" s="4">
        <v>6</v>
      </c>
      <c r="AM2515" s="4">
        <v>27</v>
      </c>
      <c r="AN2515" s="4">
        <v>0</v>
      </c>
      <c r="AO2515" s="4">
        <v>0</v>
      </c>
      <c r="AP2515" s="4">
        <v>5</v>
      </c>
      <c r="AQ2515" s="4">
        <v>24</v>
      </c>
      <c r="AR2515" s="3" t="s">
        <v>62</v>
      </c>
      <c r="AS2515" s="3" t="s">
        <v>62</v>
      </c>
      <c r="AT2515" s="3" t="s">
        <v>62</v>
      </c>
      <c r="AV2515" s="6" t="str">
        <f>HYPERLINK("http://mcgill.on.worldcat.org/oclc/948291365","Catalog Record")</f>
        <v>Catalog Record</v>
      </c>
      <c r="AW2515" s="6" t="str">
        <f>HYPERLINK("http://www.worldcat.org/oclc/948291365","WorldCat Record")</f>
        <v>WorldCat Record</v>
      </c>
      <c r="AX2515" s="3" t="s">
        <v>24304</v>
      </c>
      <c r="AY2515" s="3" t="s">
        <v>24305</v>
      </c>
      <c r="AZ2515" s="3" t="s">
        <v>24306</v>
      </c>
      <c r="BA2515" s="3" t="s">
        <v>24306</v>
      </c>
      <c r="BB2515" s="3" t="s">
        <v>24307</v>
      </c>
      <c r="BC2515" s="3" t="s">
        <v>102</v>
      </c>
      <c r="BD2515" s="3" t="s">
        <v>68</v>
      </c>
      <c r="BE2515" s="3" t="s">
        <v>24308</v>
      </c>
      <c r="BF2515" s="3" t="s">
        <v>24307</v>
      </c>
      <c r="BG2515" s="3" t="s">
        <v>24309</v>
      </c>
    </row>
    <row r="2516" spans="1:59" ht="101.5" x14ac:dyDescent="0.35">
      <c r="A2516" s="2" t="s">
        <v>89</v>
      </c>
      <c r="B2516" s="2" t="s">
        <v>12301</v>
      </c>
      <c r="C2516" s="2" t="s">
        <v>24299</v>
      </c>
      <c r="D2516" s="2" t="s">
        <v>24300</v>
      </c>
      <c r="E2516" s="2" t="s">
        <v>24301</v>
      </c>
      <c r="G2516" s="3" t="s">
        <v>62</v>
      </c>
      <c r="I2516" s="3" t="s">
        <v>61</v>
      </c>
      <c r="J2516" s="3" t="s">
        <v>61</v>
      </c>
      <c r="K2516" s="3" t="s">
        <v>63</v>
      </c>
      <c r="L2516" s="2" t="s">
        <v>24302</v>
      </c>
      <c r="M2516" s="2" t="s">
        <v>24303</v>
      </c>
      <c r="N2516" s="3" t="s">
        <v>1038</v>
      </c>
      <c r="O2516" s="2" t="s">
        <v>22672</v>
      </c>
      <c r="P2516" s="3" t="s">
        <v>64</v>
      </c>
      <c r="R2516" s="3" t="s">
        <v>13065</v>
      </c>
      <c r="S2516" s="4">
        <v>71</v>
      </c>
      <c r="T2516" s="4">
        <v>450</v>
      </c>
      <c r="U2516" s="5" t="s">
        <v>12369</v>
      </c>
      <c r="V2516" s="5" t="s">
        <v>24286</v>
      </c>
      <c r="W2516" s="5" t="s">
        <v>67</v>
      </c>
      <c r="X2516" s="5" t="s">
        <v>67</v>
      </c>
      <c r="Y2516" s="4">
        <v>44</v>
      </c>
      <c r="Z2516" s="4">
        <v>9</v>
      </c>
      <c r="AA2516" s="4">
        <v>44</v>
      </c>
      <c r="AB2516" s="4">
        <v>2</v>
      </c>
      <c r="AC2516" s="4">
        <v>8</v>
      </c>
      <c r="AD2516" s="4">
        <v>11</v>
      </c>
      <c r="AE2516" s="4">
        <v>67</v>
      </c>
      <c r="AF2516" s="4">
        <v>0</v>
      </c>
      <c r="AG2516" s="4">
        <v>6</v>
      </c>
      <c r="AH2516" s="4">
        <v>10</v>
      </c>
      <c r="AI2516" s="4">
        <v>48</v>
      </c>
      <c r="AJ2516" s="4">
        <v>4</v>
      </c>
      <c r="AK2516" s="4">
        <v>14</v>
      </c>
      <c r="AL2516" s="4">
        <v>6</v>
      </c>
      <c r="AM2516" s="4">
        <v>27</v>
      </c>
      <c r="AN2516" s="4">
        <v>0</v>
      </c>
      <c r="AO2516" s="4">
        <v>0</v>
      </c>
      <c r="AP2516" s="4">
        <v>5</v>
      </c>
      <c r="AQ2516" s="4">
        <v>24</v>
      </c>
      <c r="AR2516" s="3" t="s">
        <v>62</v>
      </c>
      <c r="AS2516" s="3" t="s">
        <v>62</v>
      </c>
      <c r="AT2516" s="3" t="s">
        <v>62</v>
      </c>
      <c r="AV2516" s="6" t="str">
        <f>HYPERLINK("http://mcgill.on.worldcat.org/oclc/948291365","Catalog Record")</f>
        <v>Catalog Record</v>
      </c>
      <c r="AW2516" s="6" t="str">
        <f>HYPERLINK("http://www.worldcat.org/oclc/948291365","WorldCat Record")</f>
        <v>WorldCat Record</v>
      </c>
      <c r="AX2516" s="3" t="s">
        <v>24304</v>
      </c>
      <c r="AY2516" s="3" t="s">
        <v>24305</v>
      </c>
      <c r="AZ2516" s="3" t="s">
        <v>24306</v>
      </c>
      <c r="BA2516" s="3" t="s">
        <v>24306</v>
      </c>
      <c r="BB2516" s="3" t="s">
        <v>24310</v>
      </c>
      <c r="BC2516" s="3" t="s">
        <v>102</v>
      </c>
      <c r="BD2516" s="3" t="s">
        <v>68</v>
      </c>
      <c r="BE2516" s="3" t="s">
        <v>24308</v>
      </c>
      <c r="BF2516" s="3" t="s">
        <v>24310</v>
      </c>
      <c r="BG2516" s="3" t="s">
        <v>24311</v>
      </c>
    </row>
    <row r="2517" spans="1:59" ht="101.5" x14ac:dyDescent="0.35">
      <c r="A2517" s="2" t="s">
        <v>89</v>
      </c>
      <c r="B2517" s="2" t="s">
        <v>12301</v>
      </c>
      <c r="C2517" s="2" t="s">
        <v>24299</v>
      </c>
      <c r="D2517" s="2" t="s">
        <v>24300</v>
      </c>
      <c r="E2517" s="2" t="s">
        <v>24301</v>
      </c>
      <c r="G2517" s="3" t="s">
        <v>62</v>
      </c>
      <c r="I2517" s="3" t="s">
        <v>61</v>
      </c>
      <c r="J2517" s="3" t="s">
        <v>61</v>
      </c>
      <c r="K2517" s="3" t="s">
        <v>63</v>
      </c>
      <c r="L2517" s="2" t="s">
        <v>24302</v>
      </c>
      <c r="M2517" s="2" t="s">
        <v>24303</v>
      </c>
      <c r="N2517" s="3" t="s">
        <v>1038</v>
      </c>
      <c r="O2517" s="2" t="s">
        <v>22672</v>
      </c>
      <c r="P2517" s="3" t="s">
        <v>64</v>
      </c>
      <c r="R2517" s="3" t="s">
        <v>13065</v>
      </c>
      <c r="S2517" s="4">
        <v>84</v>
      </c>
      <c r="T2517" s="4">
        <v>450</v>
      </c>
      <c r="U2517" s="5" t="s">
        <v>24286</v>
      </c>
      <c r="V2517" s="5" t="s">
        <v>24286</v>
      </c>
      <c r="W2517" s="5" t="s">
        <v>67</v>
      </c>
      <c r="X2517" s="5" t="s">
        <v>67</v>
      </c>
      <c r="Y2517" s="4">
        <v>44</v>
      </c>
      <c r="Z2517" s="4">
        <v>9</v>
      </c>
      <c r="AA2517" s="4">
        <v>44</v>
      </c>
      <c r="AB2517" s="4">
        <v>2</v>
      </c>
      <c r="AC2517" s="4">
        <v>8</v>
      </c>
      <c r="AD2517" s="4">
        <v>11</v>
      </c>
      <c r="AE2517" s="4">
        <v>67</v>
      </c>
      <c r="AF2517" s="4">
        <v>0</v>
      </c>
      <c r="AG2517" s="4">
        <v>6</v>
      </c>
      <c r="AH2517" s="4">
        <v>10</v>
      </c>
      <c r="AI2517" s="4">
        <v>48</v>
      </c>
      <c r="AJ2517" s="4">
        <v>4</v>
      </c>
      <c r="AK2517" s="4">
        <v>14</v>
      </c>
      <c r="AL2517" s="4">
        <v>6</v>
      </c>
      <c r="AM2517" s="4">
        <v>27</v>
      </c>
      <c r="AN2517" s="4">
        <v>0</v>
      </c>
      <c r="AO2517" s="4">
        <v>0</v>
      </c>
      <c r="AP2517" s="4">
        <v>5</v>
      </c>
      <c r="AQ2517" s="4">
        <v>24</v>
      </c>
      <c r="AR2517" s="3" t="s">
        <v>62</v>
      </c>
      <c r="AS2517" s="3" t="s">
        <v>62</v>
      </c>
      <c r="AT2517" s="3" t="s">
        <v>62</v>
      </c>
      <c r="AV2517" s="6" t="str">
        <f>HYPERLINK("http://mcgill.on.worldcat.org/oclc/948291365","Catalog Record")</f>
        <v>Catalog Record</v>
      </c>
      <c r="AW2517" s="6" t="str">
        <f>HYPERLINK("http://www.worldcat.org/oclc/948291365","WorldCat Record")</f>
        <v>WorldCat Record</v>
      </c>
      <c r="AX2517" s="3" t="s">
        <v>24304</v>
      </c>
      <c r="AY2517" s="3" t="s">
        <v>24305</v>
      </c>
      <c r="AZ2517" s="3" t="s">
        <v>24306</v>
      </c>
      <c r="BA2517" s="3" t="s">
        <v>24306</v>
      </c>
      <c r="BB2517" s="3" t="s">
        <v>24312</v>
      </c>
      <c r="BC2517" s="3" t="s">
        <v>102</v>
      </c>
      <c r="BD2517" s="3" t="s">
        <v>68</v>
      </c>
      <c r="BE2517" s="3" t="s">
        <v>24308</v>
      </c>
      <c r="BF2517" s="3" t="s">
        <v>24312</v>
      </c>
      <c r="BG2517" s="3" t="s">
        <v>24313</v>
      </c>
    </row>
    <row r="2518" spans="1:59" ht="101.5" x14ac:dyDescent="0.35">
      <c r="A2518" s="2" t="s">
        <v>89</v>
      </c>
      <c r="B2518" s="2" t="s">
        <v>12301</v>
      </c>
      <c r="C2518" s="2" t="s">
        <v>24299</v>
      </c>
      <c r="D2518" s="2" t="s">
        <v>24300</v>
      </c>
      <c r="E2518" s="2" t="s">
        <v>24301</v>
      </c>
      <c r="G2518" s="3" t="s">
        <v>62</v>
      </c>
      <c r="I2518" s="3" t="s">
        <v>61</v>
      </c>
      <c r="J2518" s="3" t="s">
        <v>61</v>
      </c>
      <c r="K2518" s="3" t="s">
        <v>63</v>
      </c>
      <c r="L2518" s="2" t="s">
        <v>24302</v>
      </c>
      <c r="M2518" s="2" t="s">
        <v>24303</v>
      </c>
      <c r="N2518" s="3" t="s">
        <v>1038</v>
      </c>
      <c r="O2518" s="2" t="s">
        <v>22672</v>
      </c>
      <c r="P2518" s="3" t="s">
        <v>64</v>
      </c>
      <c r="R2518" s="3" t="s">
        <v>13065</v>
      </c>
      <c r="S2518" s="4">
        <v>67</v>
      </c>
      <c r="T2518" s="4">
        <v>450</v>
      </c>
      <c r="U2518" s="5" t="s">
        <v>24314</v>
      </c>
      <c r="V2518" s="5" t="s">
        <v>24286</v>
      </c>
      <c r="W2518" s="5" t="s">
        <v>67</v>
      </c>
      <c r="X2518" s="5" t="s">
        <v>67</v>
      </c>
      <c r="Y2518" s="4">
        <v>44</v>
      </c>
      <c r="Z2518" s="4">
        <v>9</v>
      </c>
      <c r="AA2518" s="4">
        <v>44</v>
      </c>
      <c r="AB2518" s="4">
        <v>2</v>
      </c>
      <c r="AC2518" s="4">
        <v>8</v>
      </c>
      <c r="AD2518" s="4">
        <v>11</v>
      </c>
      <c r="AE2518" s="4">
        <v>67</v>
      </c>
      <c r="AF2518" s="4">
        <v>0</v>
      </c>
      <c r="AG2518" s="4">
        <v>6</v>
      </c>
      <c r="AH2518" s="4">
        <v>10</v>
      </c>
      <c r="AI2518" s="4">
        <v>48</v>
      </c>
      <c r="AJ2518" s="4">
        <v>4</v>
      </c>
      <c r="AK2518" s="4">
        <v>14</v>
      </c>
      <c r="AL2518" s="4">
        <v>6</v>
      </c>
      <c r="AM2518" s="4">
        <v>27</v>
      </c>
      <c r="AN2518" s="4">
        <v>0</v>
      </c>
      <c r="AO2518" s="4">
        <v>0</v>
      </c>
      <c r="AP2518" s="4">
        <v>5</v>
      </c>
      <c r="AQ2518" s="4">
        <v>24</v>
      </c>
      <c r="AR2518" s="3" t="s">
        <v>62</v>
      </c>
      <c r="AS2518" s="3" t="s">
        <v>62</v>
      </c>
      <c r="AT2518" s="3" t="s">
        <v>62</v>
      </c>
      <c r="AV2518" s="6" t="str">
        <f>HYPERLINK("http://mcgill.on.worldcat.org/oclc/948291365","Catalog Record")</f>
        <v>Catalog Record</v>
      </c>
      <c r="AW2518" s="6" t="str">
        <f>HYPERLINK("http://www.worldcat.org/oclc/948291365","WorldCat Record")</f>
        <v>WorldCat Record</v>
      </c>
      <c r="AX2518" s="3" t="s">
        <v>24304</v>
      </c>
      <c r="AY2518" s="3" t="s">
        <v>24305</v>
      </c>
      <c r="AZ2518" s="3" t="s">
        <v>24306</v>
      </c>
      <c r="BA2518" s="3" t="s">
        <v>24306</v>
      </c>
      <c r="BB2518" s="3" t="s">
        <v>24315</v>
      </c>
      <c r="BC2518" s="3" t="s">
        <v>102</v>
      </c>
      <c r="BD2518" s="3" t="s">
        <v>68</v>
      </c>
      <c r="BE2518" s="3" t="s">
        <v>24308</v>
      </c>
      <c r="BF2518" s="3" t="s">
        <v>24315</v>
      </c>
      <c r="BG2518" s="3" t="s">
        <v>24316</v>
      </c>
    </row>
    <row r="2519" spans="1:59" ht="58" x14ac:dyDescent="0.35">
      <c r="A2519" s="2" t="s">
        <v>89</v>
      </c>
      <c r="B2519" s="2" t="s">
        <v>90</v>
      </c>
      <c r="C2519" s="2" t="s">
        <v>24317</v>
      </c>
      <c r="D2519" s="2" t="s">
        <v>24318</v>
      </c>
      <c r="E2519" s="2" t="s">
        <v>24319</v>
      </c>
      <c r="G2519" s="3" t="s">
        <v>62</v>
      </c>
      <c r="I2519" s="3" t="s">
        <v>62</v>
      </c>
      <c r="J2519" s="3" t="s">
        <v>62</v>
      </c>
      <c r="K2519" s="3" t="s">
        <v>63</v>
      </c>
      <c r="L2519" s="2" t="s">
        <v>13686</v>
      </c>
      <c r="M2519" s="2" t="s">
        <v>24320</v>
      </c>
      <c r="N2519" s="3" t="s">
        <v>1349</v>
      </c>
      <c r="P2519" s="3" t="s">
        <v>1881</v>
      </c>
      <c r="R2519" s="3" t="s">
        <v>13065</v>
      </c>
      <c r="S2519" s="4">
        <v>5</v>
      </c>
      <c r="T2519" s="4">
        <v>5</v>
      </c>
      <c r="U2519" s="5" t="s">
        <v>241</v>
      </c>
      <c r="V2519" s="5" t="s">
        <v>241</v>
      </c>
      <c r="W2519" s="5" t="s">
        <v>67</v>
      </c>
      <c r="X2519" s="5" t="s">
        <v>67</v>
      </c>
      <c r="Y2519" s="4">
        <v>35</v>
      </c>
      <c r="Z2519" s="4">
        <v>3</v>
      </c>
      <c r="AA2519" s="4">
        <v>4</v>
      </c>
      <c r="AB2519" s="4">
        <v>1</v>
      </c>
      <c r="AC2519" s="4">
        <v>1</v>
      </c>
      <c r="AD2519" s="4">
        <v>8</v>
      </c>
      <c r="AE2519" s="4">
        <v>10</v>
      </c>
      <c r="AF2519" s="4">
        <v>0</v>
      </c>
      <c r="AG2519" s="4">
        <v>0</v>
      </c>
      <c r="AH2519" s="4">
        <v>7</v>
      </c>
      <c r="AI2519" s="4">
        <v>8</v>
      </c>
      <c r="AJ2519" s="4">
        <v>1</v>
      </c>
      <c r="AK2519" s="4">
        <v>1</v>
      </c>
      <c r="AL2519" s="4">
        <v>4</v>
      </c>
      <c r="AM2519" s="4">
        <v>4</v>
      </c>
      <c r="AN2519" s="4">
        <v>0</v>
      </c>
      <c r="AO2519" s="4">
        <v>0</v>
      </c>
      <c r="AP2519" s="4">
        <v>2</v>
      </c>
      <c r="AQ2519" s="4">
        <v>3</v>
      </c>
      <c r="AR2519" s="3" t="s">
        <v>62</v>
      </c>
      <c r="AS2519" s="3" t="s">
        <v>62</v>
      </c>
      <c r="AT2519" s="3" t="s">
        <v>62</v>
      </c>
      <c r="AU2519" s="6" t="str">
        <f>HYPERLINK("http://catalog.hathitrust.org/Record/000577793","HathiTrust Record")</f>
        <v>HathiTrust Record</v>
      </c>
      <c r="AV2519" s="6" t="str">
        <f>HYPERLINK("http://mcgill.on.worldcat.org/oclc/29949878","Catalog Record")</f>
        <v>Catalog Record</v>
      </c>
      <c r="AW2519" s="6" t="str">
        <f>HYPERLINK("http://www.worldcat.org/oclc/29949878","WorldCat Record")</f>
        <v>WorldCat Record</v>
      </c>
      <c r="AX2519" s="3" t="s">
        <v>24321</v>
      </c>
      <c r="AY2519" s="3" t="s">
        <v>24322</v>
      </c>
      <c r="AZ2519" s="3" t="s">
        <v>24323</v>
      </c>
      <c r="BA2519" s="3" t="s">
        <v>24323</v>
      </c>
      <c r="BB2519" s="3" t="s">
        <v>24324</v>
      </c>
      <c r="BC2519" s="3" t="s">
        <v>102</v>
      </c>
      <c r="BD2519" s="3" t="s">
        <v>231</v>
      </c>
      <c r="BF2519" s="3" t="s">
        <v>24324</v>
      </c>
      <c r="BG2519" s="3" t="s">
        <v>24325</v>
      </c>
    </row>
    <row r="2520" spans="1:59" ht="58" x14ac:dyDescent="0.35">
      <c r="A2520" s="2" t="s">
        <v>89</v>
      </c>
      <c r="B2520" s="2" t="s">
        <v>90</v>
      </c>
      <c r="C2520" s="2" t="s">
        <v>24326</v>
      </c>
      <c r="D2520" s="2" t="s">
        <v>24327</v>
      </c>
      <c r="E2520" s="2" t="s">
        <v>24328</v>
      </c>
      <c r="G2520" s="3" t="s">
        <v>62</v>
      </c>
      <c r="I2520" s="3" t="s">
        <v>62</v>
      </c>
      <c r="J2520" s="3" t="s">
        <v>62</v>
      </c>
      <c r="K2520" s="3" t="s">
        <v>63</v>
      </c>
      <c r="L2520" s="2" t="s">
        <v>24329</v>
      </c>
      <c r="M2520" s="2" t="s">
        <v>24330</v>
      </c>
      <c r="N2520" s="3" t="s">
        <v>2740</v>
      </c>
      <c r="P2520" s="3" t="s">
        <v>64</v>
      </c>
      <c r="Q2520" s="2" t="s">
        <v>24331</v>
      </c>
      <c r="R2520" s="3" t="s">
        <v>13065</v>
      </c>
      <c r="S2520" s="4">
        <v>2</v>
      </c>
      <c r="T2520" s="4">
        <v>2</v>
      </c>
      <c r="U2520" s="5" t="s">
        <v>1498</v>
      </c>
      <c r="V2520" s="5" t="s">
        <v>1498</v>
      </c>
      <c r="W2520" s="5" t="s">
        <v>67</v>
      </c>
      <c r="X2520" s="5" t="s">
        <v>67</v>
      </c>
      <c r="Y2520" s="4">
        <v>153</v>
      </c>
      <c r="Z2520" s="4">
        <v>8</v>
      </c>
      <c r="AA2520" s="4">
        <v>24</v>
      </c>
      <c r="AB2520" s="4">
        <v>1</v>
      </c>
      <c r="AC2520" s="4">
        <v>3</v>
      </c>
      <c r="AD2520" s="4">
        <v>68</v>
      </c>
      <c r="AE2520" s="4">
        <v>103</v>
      </c>
      <c r="AF2520" s="4">
        <v>0</v>
      </c>
      <c r="AG2520" s="4">
        <v>2</v>
      </c>
      <c r="AH2520" s="4">
        <v>59</v>
      </c>
      <c r="AI2520" s="4">
        <v>84</v>
      </c>
      <c r="AJ2520" s="4">
        <v>4</v>
      </c>
      <c r="AK2520" s="4">
        <v>16</v>
      </c>
      <c r="AL2520" s="4">
        <v>46</v>
      </c>
      <c r="AM2520" s="4">
        <v>52</v>
      </c>
      <c r="AN2520" s="4">
        <v>0</v>
      </c>
      <c r="AO2520" s="4">
        <v>0</v>
      </c>
      <c r="AP2520" s="4">
        <v>5</v>
      </c>
      <c r="AQ2520" s="4">
        <v>20</v>
      </c>
      <c r="AR2520" s="3" t="s">
        <v>62</v>
      </c>
      <c r="AS2520" s="3" t="s">
        <v>62</v>
      </c>
      <c r="AT2520" s="3" t="s">
        <v>61</v>
      </c>
      <c r="AU2520" s="6" t="str">
        <f>HYPERLINK("http://catalog.hathitrust.org/Record/000615618","HathiTrust Record")</f>
        <v>HathiTrust Record</v>
      </c>
      <c r="AV2520" s="6" t="str">
        <f>HYPERLINK("http://mcgill.on.worldcat.org/oclc/2394625","Catalog Record")</f>
        <v>Catalog Record</v>
      </c>
      <c r="AW2520" s="6" t="str">
        <f>HYPERLINK("http://www.worldcat.org/oclc/2394625","WorldCat Record")</f>
        <v>WorldCat Record</v>
      </c>
      <c r="AX2520" s="3" t="s">
        <v>24332</v>
      </c>
      <c r="AY2520" s="3" t="s">
        <v>24333</v>
      </c>
      <c r="AZ2520" s="3" t="s">
        <v>24334</v>
      </c>
      <c r="BA2520" s="3" t="s">
        <v>24334</v>
      </c>
      <c r="BB2520" s="3" t="s">
        <v>24335</v>
      </c>
      <c r="BC2520" s="3" t="s">
        <v>102</v>
      </c>
      <c r="BD2520" s="3" t="s">
        <v>68</v>
      </c>
      <c r="BF2520" s="3" t="s">
        <v>24335</v>
      </c>
      <c r="BG2520" s="3" t="s">
        <v>24336</v>
      </c>
    </row>
    <row r="2521" spans="1:59" ht="58" x14ac:dyDescent="0.35">
      <c r="A2521" s="2" t="s">
        <v>89</v>
      </c>
      <c r="B2521" s="2" t="s">
        <v>90</v>
      </c>
      <c r="C2521" s="2" t="s">
        <v>24337</v>
      </c>
      <c r="D2521" s="2" t="s">
        <v>24338</v>
      </c>
      <c r="E2521" s="2" t="s">
        <v>24339</v>
      </c>
      <c r="G2521" s="3" t="s">
        <v>62</v>
      </c>
      <c r="I2521" s="3" t="s">
        <v>62</v>
      </c>
      <c r="J2521" s="3" t="s">
        <v>62</v>
      </c>
      <c r="K2521" s="3" t="s">
        <v>63</v>
      </c>
      <c r="L2521" s="2" t="s">
        <v>24340</v>
      </c>
      <c r="M2521" s="2" t="s">
        <v>24341</v>
      </c>
      <c r="N2521" s="3" t="s">
        <v>2924</v>
      </c>
      <c r="P2521" s="3" t="s">
        <v>64</v>
      </c>
      <c r="Q2521" s="2" t="s">
        <v>24342</v>
      </c>
      <c r="R2521" s="3" t="s">
        <v>13065</v>
      </c>
      <c r="S2521" s="4">
        <v>11</v>
      </c>
      <c r="T2521" s="4">
        <v>11</v>
      </c>
      <c r="U2521" s="5" t="s">
        <v>4211</v>
      </c>
      <c r="V2521" s="5" t="s">
        <v>4211</v>
      </c>
      <c r="W2521" s="5" t="s">
        <v>67</v>
      </c>
      <c r="X2521" s="5" t="s">
        <v>67</v>
      </c>
      <c r="Y2521" s="4">
        <v>473</v>
      </c>
      <c r="Z2521" s="4">
        <v>26</v>
      </c>
      <c r="AA2521" s="4">
        <v>46</v>
      </c>
      <c r="AB2521" s="4">
        <v>2</v>
      </c>
      <c r="AC2521" s="4">
        <v>8</v>
      </c>
      <c r="AD2521" s="4">
        <v>101</v>
      </c>
      <c r="AE2521" s="4">
        <v>132</v>
      </c>
      <c r="AF2521" s="4">
        <v>1</v>
      </c>
      <c r="AG2521" s="4">
        <v>6</v>
      </c>
      <c r="AH2521" s="4">
        <v>83</v>
      </c>
      <c r="AI2521" s="4">
        <v>103</v>
      </c>
      <c r="AJ2521" s="4">
        <v>15</v>
      </c>
      <c r="AK2521" s="4">
        <v>26</v>
      </c>
      <c r="AL2521" s="4">
        <v>46</v>
      </c>
      <c r="AM2521" s="4">
        <v>56</v>
      </c>
      <c r="AN2521" s="4">
        <v>0</v>
      </c>
      <c r="AO2521" s="4">
        <v>0</v>
      </c>
      <c r="AP2521" s="4">
        <v>23</v>
      </c>
      <c r="AQ2521" s="4">
        <v>37</v>
      </c>
      <c r="AR2521" s="3" t="s">
        <v>62</v>
      </c>
      <c r="AS2521" s="3" t="s">
        <v>62</v>
      </c>
      <c r="AT2521" s="3" t="s">
        <v>61</v>
      </c>
      <c r="AU2521" s="6" t="str">
        <f>HYPERLINK("http://catalog.hathitrust.org/Record/000577499","HathiTrust Record")</f>
        <v>HathiTrust Record</v>
      </c>
      <c r="AV2521" s="6" t="str">
        <f>HYPERLINK("http://mcgill.on.worldcat.org/oclc/529822","Catalog Record")</f>
        <v>Catalog Record</v>
      </c>
      <c r="AW2521" s="6" t="str">
        <f>HYPERLINK("http://www.worldcat.org/oclc/529822","WorldCat Record")</f>
        <v>WorldCat Record</v>
      </c>
      <c r="AX2521" s="3" t="s">
        <v>24343</v>
      </c>
      <c r="AY2521" s="3" t="s">
        <v>24344</v>
      </c>
      <c r="AZ2521" s="3" t="s">
        <v>24345</v>
      </c>
      <c r="BA2521" s="3" t="s">
        <v>24345</v>
      </c>
      <c r="BB2521" s="3" t="s">
        <v>24346</v>
      </c>
      <c r="BC2521" s="3" t="s">
        <v>102</v>
      </c>
      <c r="BD2521" s="3" t="s">
        <v>68</v>
      </c>
      <c r="BF2521" s="3" t="s">
        <v>24346</v>
      </c>
      <c r="BG2521" s="3" t="s">
        <v>24347</v>
      </c>
    </row>
    <row r="2522" spans="1:59" ht="58" x14ac:dyDescent="0.35">
      <c r="A2522" s="2" t="s">
        <v>89</v>
      </c>
      <c r="B2522" s="2" t="s">
        <v>90</v>
      </c>
      <c r="C2522" s="2" t="s">
        <v>24348</v>
      </c>
      <c r="D2522" s="2" t="s">
        <v>24349</v>
      </c>
      <c r="E2522" s="2" t="s">
        <v>24350</v>
      </c>
      <c r="G2522" s="3" t="s">
        <v>62</v>
      </c>
      <c r="I2522" s="3" t="s">
        <v>62</v>
      </c>
      <c r="J2522" s="3" t="s">
        <v>62</v>
      </c>
      <c r="K2522" s="3" t="s">
        <v>63</v>
      </c>
      <c r="L2522" s="2" t="s">
        <v>24351</v>
      </c>
      <c r="M2522" s="2" t="s">
        <v>24352</v>
      </c>
      <c r="N2522" s="3" t="s">
        <v>496</v>
      </c>
      <c r="P2522" s="3" t="s">
        <v>64</v>
      </c>
      <c r="Q2522" s="2" t="s">
        <v>24353</v>
      </c>
      <c r="R2522" s="3" t="s">
        <v>13065</v>
      </c>
      <c r="S2522" s="4">
        <v>2</v>
      </c>
      <c r="T2522" s="4">
        <v>2</v>
      </c>
      <c r="U2522" s="5" t="s">
        <v>1498</v>
      </c>
      <c r="V2522" s="5" t="s">
        <v>1498</v>
      </c>
      <c r="W2522" s="5" t="s">
        <v>67</v>
      </c>
      <c r="X2522" s="5" t="s">
        <v>67</v>
      </c>
      <c r="Y2522" s="4">
        <v>418</v>
      </c>
      <c r="Z2522" s="4">
        <v>24</v>
      </c>
      <c r="AA2522" s="4">
        <v>41</v>
      </c>
      <c r="AB2522" s="4">
        <v>1</v>
      </c>
      <c r="AC2522" s="4">
        <v>7</v>
      </c>
      <c r="AD2522" s="4">
        <v>110</v>
      </c>
      <c r="AE2522" s="4">
        <v>133</v>
      </c>
      <c r="AF2522" s="4">
        <v>0</v>
      </c>
      <c r="AG2522" s="4">
        <v>3</v>
      </c>
      <c r="AH2522" s="4">
        <v>95</v>
      </c>
      <c r="AI2522" s="4">
        <v>108</v>
      </c>
      <c r="AJ2522" s="4">
        <v>15</v>
      </c>
      <c r="AK2522" s="4">
        <v>24</v>
      </c>
      <c r="AL2522" s="4">
        <v>55</v>
      </c>
      <c r="AM2522" s="4">
        <v>61</v>
      </c>
      <c r="AN2522" s="4">
        <v>0</v>
      </c>
      <c r="AO2522" s="4">
        <v>0</v>
      </c>
      <c r="AP2522" s="4">
        <v>20</v>
      </c>
      <c r="AQ2522" s="4">
        <v>31</v>
      </c>
      <c r="AR2522" s="3" t="s">
        <v>62</v>
      </c>
      <c r="AS2522" s="3" t="s">
        <v>62</v>
      </c>
      <c r="AT2522" s="3" t="s">
        <v>61</v>
      </c>
      <c r="AU2522" s="6" t="str">
        <f>HYPERLINK("http://catalog.hathitrust.org/Record/000618373","HathiTrust Record")</f>
        <v>HathiTrust Record</v>
      </c>
      <c r="AV2522" s="6" t="str">
        <f>HYPERLINK("http://mcgill.on.worldcat.org/oclc/528215","Catalog Record")</f>
        <v>Catalog Record</v>
      </c>
      <c r="AW2522" s="6" t="str">
        <f>HYPERLINK("http://www.worldcat.org/oclc/528215","WorldCat Record")</f>
        <v>WorldCat Record</v>
      </c>
      <c r="AX2522" s="3" t="s">
        <v>24354</v>
      </c>
      <c r="AY2522" s="3" t="s">
        <v>24355</v>
      </c>
      <c r="AZ2522" s="3" t="s">
        <v>24356</v>
      </c>
      <c r="BA2522" s="3" t="s">
        <v>24356</v>
      </c>
      <c r="BB2522" s="3" t="s">
        <v>24357</v>
      </c>
      <c r="BC2522" s="3" t="s">
        <v>102</v>
      </c>
      <c r="BD2522" s="3" t="s">
        <v>68</v>
      </c>
      <c r="BE2522" s="3" t="s">
        <v>24358</v>
      </c>
      <c r="BF2522" s="3" t="s">
        <v>24357</v>
      </c>
      <c r="BG2522" s="3" t="s">
        <v>24359</v>
      </c>
    </row>
    <row r="2523" spans="1:59" ht="58" x14ac:dyDescent="0.35">
      <c r="A2523" s="2" t="s">
        <v>89</v>
      </c>
      <c r="B2523" s="2" t="s">
        <v>90</v>
      </c>
      <c r="C2523" s="2" t="s">
        <v>24360</v>
      </c>
      <c r="D2523" s="2" t="s">
        <v>24361</v>
      </c>
      <c r="E2523" s="2" t="s">
        <v>24362</v>
      </c>
      <c r="G2523" s="3" t="s">
        <v>62</v>
      </c>
      <c r="I2523" s="3" t="s">
        <v>62</v>
      </c>
      <c r="J2523" s="3" t="s">
        <v>62</v>
      </c>
      <c r="K2523" s="3" t="s">
        <v>63</v>
      </c>
      <c r="L2523" s="2" t="s">
        <v>24363</v>
      </c>
      <c r="M2523" s="2" t="s">
        <v>24364</v>
      </c>
      <c r="N2523" s="3" t="s">
        <v>2924</v>
      </c>
      <c r="P2523" s="3" t="s">
        <v>64</v>
      </c>
      <c r="Q2523" s="2" t="s">
        <v>13888</v>
      </c>
      <c r="R2523" s="3" t="s">
        <v>13065</v>
      </c>
      <c r="S2523" s="4">
        <v>5</v>
      </c>
      <c r="T2523" s="4">
        <v>5</v>
      </c>
      <c r="U2523" s="5" t="s">
        <v>15100</v>
      </c>
      <c r="V2523" s="5" t="s">
        <v>15100</v>
      </c>
      <c r="W2523" s="5" t="s">
        <v>67</v>
      </c>
      <c r="X2523" s="5" t="s">
        <v>67</v>
      </c>
      <c r="Y2523" s="4">
        <v>511</v>
      </c>
      <c r="Z2523" s="4">
        <v>26</v>
      </c>
      <c r="AA2523" s="4">
        <v>35</v>
      </c>
      <c r="AB2523" s="4">
        <v>2</v>
      </c>
      <c r="AC2523" s="4">
        <v>5</v>
      </c>
      <c r="AD2523" s="4">
        <v>122</v>
      </c>
      <c r="AE2523" s="4">
        <v>130</v>
      </c>
      <c r="AF2523" s="4">
        <v>1</v>
      </c>
      <c r="AG2523" s="4">
        <v>4</v>
      </c>
      <c r="AH2523" s="4">
        <v>101</v>
      </c>
      <c r="AI2523" s="4">
        <v>107</v>
      </c>
      <c r="AJ2523" s="4">
        <v>16</v>
      </c>
      <c r="AK2523" s="4">
        <v>23</v>
      </c>
      <c r="AL2523" s="4">
        <v>56</v>
      </c>
      <c r="AM2523" s="4">
        <v>58</v>
      </c>
      <c r="AN2523" s="4">
        <v>0</v>
      </c>
      <c r="AO2523" s="4">
        <v>0</v>
      </c>
      <c r="AP2523" s="4">
        <v>23</v>
      </c>
      <c r="AQ2523" s="4">
        <v>29</v>
      </c>
      <c r="AR2523" s="3" t="s">
        <v>62</v>
      </c>
      <c r="AS2523" s="3" t="s">
        <v>62</v>
      </c>
      <c r="AT2523" s="3" t="s">
        <v>62</v>
      </c>
      <c r="AV2523" s="6" t="str">
        <f>HYPERLINK("http://mcgill.on.worldcat.org/oclc/528880","Catalog Record")</f>
        <v>Catalog Record</v>
      </c>
      <c r="AW2523" s="6" t="str">
        <f>HYPERLINK("http://www.worldcat.org/oclc/528880","WorldCat Record")</f>
        <v>WorldCat Record</v>
      </c>
      <c r="AX2523" s="3" t="s">
        <v>24365</v>
      </c>
      <c r="AY2523" s="3" t="s">
        <v>24366</v>
      </c>
      <c r="AZ2523" s="3" t="s">
        <v>24367</v>
      </c>
      <c r="BA2523" s="3" t="s">
        <v>24367</v>
      </c>
      <c r="BB2523" s="3" t="s">
        <v>24368</v>
      </c>
      <c r="BC2523" s="3" t="s">
        <v>102</v>
      </c>
      <c r="BD2523" s="3" t="s">
        <v>68</v>
      </c>
      <c r="BF2523" s="3" t="s">
        <v>24368</v>
      </c>
      <c r="BG2523" s="3" t="s">
        <v>24369</v>
      </c>
    </row>
    <row r="2524" spans="1:59" ht="58" x14ac:dyDescent="0.35">
      <c r="A2524" s="2" t="s">
        <v>89</v>
      </c>
      <c r="B2524" s="2" t="s">
        <v>90</v>
      </c>
      <c r="C2524" s="2" t="s">
        <v>24370</v>
      </c>
      <c r="D2524" s="2" t="s">
        <v>24371</v>
      </c>
      <c r="E2524" s="2" t="s">
        <v>24372</v>
      </c>
      <c r="G2524" s="3" t="s">
        <v>62</v>
      </c>
      <c r="I2524" s="3" t="s">
        <v>62</v>
      </c>
      <c r="J2524" s="3" t="s">
        <v>61</v>
      </c>
      <c r="K2524" s="3" t="s">
        <v>63</v>
      </c>
      <c r="L2524" s="2" t="s">
        <v>24373</v>
      </c>
      <c r="M2524" s="2" t="s">
        <v>24374</v>
      </c>
      <c r="N2524" s="3" t="s">
        <v>19885</v>
      </c>
      <c r="P2524" s="3" t="s">
        <v>64</v>
      </c>
      <c r="Q2524" s="2" t="s">
        <v>24375</v>
      </c>
      <c r="R2524" s="3" t="s">
        <v>13065</v>
      </c>
      <c r="S2524" s="4">
        <v>2</v>
      </c>
      <c r="T2524" s="4">
        <v>2</v>
      </c>
      <c r="U2524" s="5" t="s">
        <v>24376</v>
      </c>
      <c r="V2524" s="5" t="s">
        <v>24376</v>
      </c>
      <c r="W2524" s="5" t="s">
        <v>67</v>
      </c>
      <c r="X2524" s="5" t="s">
        <v>67</v>
      </c>
      <c r="Y2524" s="4">
        <v>186</v>
      </c>
      <c r="Z2524" s="4">
        <v>3</v>
      </c>
      <c r="AA2524" s="4">
        <v>38</v>
      </c>
      <c r="AB2524" s="4">
        <v>1</v>
      </c>
      <c r="AC2524" s="4">
        <v>7</v>
      </c>
      <c r="AD2524" s="4">
        <v>53</v>
      </c>
      <c r="AE2524" s="4">
        <v>130</v>
      </c>
      <c r="AF2524" s="4">
        <v>0</v>
      </c>
      <c r="AG2524" s="4">
        <v>4</v>
      </c>
      <c r="AH2524" s="4">
        <v>50</v>
      </c>
      <c r="AI2524" s="4">
        <v>105</v>
      </c>
      <c r="AJ2524" s="4">
        <v>1</v>
      </c>
      <c r="AK2524" s="4">
        <v>21</v>
      </c>
      <c r="AL2524" s="4">
        <v>34</v>
      </c>
      <c r="AM2524" s="4">
        <v>58</v>
      </c>
      <c r="AN2524" s="4">
        <v>0</v>
      </c>
      <c r="AO2524" s="4">
        <v>0</v>
      </c>
      <c r="AP2524" s="4">
        <v>1</v>
      </c>
      <c r="AQ2524" s="4">
        <v>30</v>
      </c>
      <c r="AR2524" s="3" t="s">
        <v>62</v>
      </c>
      <c r="AS2524" s="3" t="s">
        <v>61</v>
      </c>
      <c r="AT2524" s="3" t="s">
        <v>62</v>
      </c>
      <c r="AU2524" s="6" t="str">
        <f>HYPERLINK("http://catalog.hathitrust.org/Record/000581180","HathiTrust Record")</f>
        <v>HathiTrust Record</v>
      </c>
      <c r="AV2524" s="6" t="str">
        <f>HYPERLINK("http://mcgill.on.worldcat.org/oclc/1305564","Catalog Record")</f>
        <v>Catalog Record</v>
      </c>
      <c r="AW2524" s="6" t="str">
        <f>HYPERLINK("http://www.worldcat.org/oclc/1305564","WorldCat Record")</f>
        <v>WorldCat Record</v>
      </c>
      <c r="AX2524" s="3" t="s">
        <v>24377</v>
      </c>
      <c r="AY2524" s="3" t="s">
        <v>24378</v>
      </c>
      <c r="AZ2524" s="3" t="s">
        <v>24379</v>
      </c>
      <c r="BA2524" s="3" t="s">
        <v>24379</v>
      </c>
      <c r="BB2524" s="3" t="s">
        <v>24380</v>
      </c>
      <c r="BC2524" s="3" t="s">
        <v>102</v>
      </c>
      <c r="BD2524" s="3" t="s">
        <v>68</v>
      </c>
      <c r="BF2524" s="3" t="s">
        <v>24380</v>
      </c>
      <c r="BG2524" s="3" t="s">
        <v>24381</v>
      </c>
    </row>
    <row r="2525" spans="1:59" ht="58" x14ac:dyDescent="0.35">
      <c r="A2525" s="2" t="s">
        <v>89</v>
      </c>
      <c r="B2525" s="2" t="s">
        <v>90</v>
      </c>
      <c r="C2525" s="2" t="s">
        <v>24382</v>
      </c>
      <c r="D2525" s="2" t="s">
        <v>24383</v>
      </c>
      <c r="E2525" s="2" t="s">
        <v>24384</v>
      </c>
      <c r="G2525" s="3" t="s">
        <v>61</v>
      </c>
      <c r="I2525" s="3" t="s">
        <v>62</v>
      </c>
      <c r="J2525" s="3" t="s">
        <v>62</v>
      </c>
      <c r="K2525" s="3" t="s">
        <v>63</v>
      </c>
      <c r="L2525" s="2" t="s">
        <v>24385</v>
      </c>
      <c r="M2525" s="2" t="s">
        <v>24386</v>
      </c>
      <c r="N2525" s="3" t="s">
        <v>809</v>
      </c>
      <c r="O2525" s="2" t="s">
        <v>24387</v>
      </c>
      <c r="P2525" s="3" t="s">
        <v>1881</v>
      </c>
      <c r="R2525" s="3" t="s">
        <v>13065</v>
      </c>
      <c r="S2525" s="4">
        <v>1</v>
      </c>
      <c r="T2525" s="4">
        <v>1</v>
      </c>
      <c r="U2525" s="5" t="s">
        <v>24388</v>
      </c>
      <c r="V2525" s="5" t="s">
        <v>24388</v>
      </c>
      <c r="W2525" s="5" t="s">
        <v>67</v>
      </c>
      <c r="X2525" s="5" t="s">
        <v>67</v>
      </c>
      <c r="Y2525" s="4">
        <v>99</v>
      </c>
      <c r="Z2525" s="4">
        <v>8</v>
      </c>
      <c r="AA2525" s="4">
        <v>12</v>
      </c>
      <c r="AB2525" s="4">
        <v>1</v>
      </c>
      <c r="AC2525" s="4">
        <v>2</v>
      </c>
      <c r="AD2525" s="4">
        <v>49</v>
      </c>
      <c r="AE2525" s="4">
        <v>96</v>
      </c>
      <c r="AF2525" s="4">
        <v>0</v>
      </c>
      <c r="AG2525" s="4">
        <v>1</v>
      </c>
      <c r="AH2525" s="4">
        <v>44</v>
      </c>
      <c r="AI2525" s="4">
        <v>88</v>
      </c>
      <c r="AJ2525" s="4">
        <v>5</v>
      </c>
      <c r="AK2525" s="4">
        <v>9</v>
      </c>
      <c r="AL2525" s="4">
        <v>32</v>
      </c>
      <c r="AM2525" s="4">
        <v>54</v>
      </c>
      <c r="AN2525" s="4">
        <v>0</v>
      </c>
      <c r="AO2525" s="4">
        <v>0</v>
      </c>
      <c r="AP2525" s="4">
        <v>5</v>
      </c>
      <c r="AQ2525" s="4">
        <v>8</v>
      </c>
      <c r="AR2525" s="3" t="s">
        <v>62</v>
      </c>
      <c r="AS2525" s="3" t="s">
        <v>62</v>
      </c>
      <c r="AT2525" s="3" t="s">
        <v>61</v>
      </c>
      <c r="AU2525" s="6" t="str">
        <f>HYPERLINK("http://catalog.hathitrust.org/Record/000439368","HathiTrust Record")</f>
        <v>HathiTrust Record</v>
      </c>
      <c r="AV2525" s="6" t="str">
        <f>HYPERLINK("http://mcgill.on.worldcat.org/oclc/1048416","Catalog Record")</f>
        <v>Catalog Record</v>
      </c>
      <c r="AW2525" s="6" t="str">
        <f>HYPERLINK("http://www.worldcat.org/oclc/1048416","WorldCat Record")</f>
        <v>WorldCat Record</v>
      </c>
      <c r="AX2525" s="3" t="s">
        <v>24389</v>
      </c>
      <c r="AY2525" s="3" t="s">
        <v>24390</v>
      </c>
      <c r="AZ2525" s="3" t="s">
        <v>24391</v>
      </c>
      <c r="BA2525" s="3" t="s">
        <v>24391</v>
      </c>
      <c r="BB2525" s="3" t="s">
        <v>24392</v>
      </c>
      <c r="BC2525" s="3" t="s">
        <v>102</v>
      </c>
      <c r="BD2525" s="3" t="s">
        <v>68</v>
      </c>
      <c r="BF2525" s="3" t="s">
        <v>24392</v>
      </c>
      <c r="BG2525" s="3" t="s">
        <v>24393</v>
      </c>
    </row>
    <row r="2526" spans="1:59" ht="58" x14ac:dyDescent="0.35">
      <c r="A2526" s="2" t="s">
        <v>89</v>
      </c>
      <c r="B2526" s="2" t="s">
        <v>90</v>
      </c>
      <c r="C2526" s="2" t="s">
        <v>24394</v>
      </c>
      <c r="D2526" s="2" t="s">
        <v>24395</v>
      </c>
      <c r="E2526" s="2" t="s">
        <v>24396</v>
      </c>
      <c r="G2526" s="3" t="s">
        <v>62</v>
      </c>
      <c r="I2526" s="3" t="s">
        <v>62</v>
      </c>
      <c r="J2526" s="3" t="s">
        <v>62</v>
      </c>
      <c r="K2526" s="3" t="s">
        <v>63</v>
      </c>
      <c r="L2526" s="2" t="s">
        <v>24397</v>
      </c>
      <c r="M2526" s="2" t="s">
        <v>24398</v>
      </c>
      <c r="N2526" s="3" t="s">
        <v>24399</v>
      </c>
      <c r="P2526" s="3" t="s">
        <v>85</v>
      </c>
      <c r="R2526" s="3" t="s">
        <v>13065</v>
      </c>
      <c r="S2526" s="4">
        <v>2</v>
      </c>
      <c r="T2526" s="4">
        <v>2</v>
      </c>
      <c r="U2526" s="5" t="s">
        <v>24376</v>
      </c>
      <c r="V2526" s="5" t="s">
        <v>24376</v>
      </c>
      <c r="W2526" s="5" t="s">
        <v>67</v>
      </c>
      <c r="X2526" s="5" t="s">
        <v>67</v>
      </c>
      <c r="Y2526" s="4">
        <v>17</v>
      </c>
      <c r="Z2526" s="4">
        <v>2</v>
      </c>
      <c r="AA2526" s="4">
        <v>3</v>
      </c>
      <c r="AB2526" s="4">
        <v>1</v>
      </c>
      <c r="AC2526" s="4">
        <v>1</v>
      </c>
      <c r="AD2526" s="4">
        <v>10</v>
      </c>
      <c r="AE2526" s="4">
        <v>13</v>
      </c>
      <c r="AF2526" s="4">
        <v>0</v>
      </c>
      <c r="AG2526" s="4">
        <v>0</v>
      </c>
      <c r="AH2526" s="4">
        <v>9</v>
      </c>
      <c r="AI2526" s="4">
        <v>12</v>
      </c>
      <c r="AJ2526" s="4">
        <v>1</v>
      </c>
      <c r="AK2526" s="4">
        <v>2</v>
      </c>
      <c r="AL2526" s="4">
        <v>9</v>
      </c>
      <c r="AM2526" s="4">
        <v>10</v>
      </c>
      <c r="AN2526" s="4">
        <v>0</v>
      </c>
      <c r="AO2526" s="4">
        <v>0</v>
      </c>
      <c r="AP2526" s="4">
        <v>1</v>
      </c>
      <c r="AQ2526" s="4">
        <v>2</v>
      </c>
      <c r="AR2526" s="3" t="s">
        <v>62</v>
      </c>
      <c r="AS2526" s="3" t="s">
        <v>61</v>
      </c>
      <c r="AT2526" s="3" t="s">
        <v>62</v>
      </c>
      <c r="AU2526" s="6" t="str">
        <f>HYPERLINK("http://catalog.hathitrust.org/Record/006199303","HathiTrust Record")</f>
        <v>HathiTrust Record</v>
      </c>
      <c r="AV2526" s="6" t="str">
        <f>HYPERLINK("http://mcgill.on.worldcat.org/oclc/25251592","Catalog Record")</f>
        <v>Catalog Record</v>
      </c>
      <c r="AW2526" s="6" t="str">
        <f>HYPERLINK("http://www.worldcat.org/oclc/25251592","WorldCat Record")</f>
        <v>WorldCat Record</v>
      </c>
      <c r="AX2526" s="3" t="s">
        <v>24400</v>
      </c>
      <c r="AY2526" s="3" t="s">
        <v>24401</v>
      </c>
      <c r="AZ2526" s="3" t="s">
        <v>24402</v>
      </c>
      <c r="BA2526" s="3" t="s">
        <v>24402</v>
      </c>
      <c r="BB2526" s="3" t="s">
        <v>24403</v>
      </c>
      <c r="BC2526" s="3" t="s">
        <v>102</v>
      </c>
      <c r="BD2526" s="3" t="s">
        <v>68</v>
      </c>
      <c r="BF2526" s="3" t="s">
        <v>24403</v>
      </c>
      <c r="BG2526" s="3" t="s">
        <v>24404</v>
      </c>
    </row>
    <row r="2527" spans="1:59" ht="58" x14ac:dyDescent="0.35">
      <c r="A2527" s="2" t="s">
        <v>89</v>
      </c>
      <c r="B2527" s="2" t="s">
        <v>90</v>
      </c>
      <c r="C2527" s="2" t="s">
        <v>24405</v>
      </c>
      <c r="D2527" s="2" t="s">
        <v>24406</v>
      </c>
      <c r="E2527" s="2" t="s">
        <v>24407</v>
      </c>
      <c r="G2527" s="3" t="s">
        <v>62</v>
      </c>
      <c r="I2527" s="3" t="s">
        <v>62</v>
      </c>
      <c r="J2527" s="3" t="s">
        <v>62</v>
      </c>
      <c r="K2527" s="3" t="s">
        <v>63</v>
      </c>
      <c r="L2527" s="2" t="s">
        <v>24408</v>
      </c>
      <c r="M2527" s="2" t="s">
        <v>24409</v>
      </c>
      <c r="N2527" s="3" t="s">
        <v>1264</v>
      </c>
      <c r="P2527" s="3" t="s">
        <v>64</v>
      </c>
      <c r="Q2527" s="2" t="s">
        <v>24410</v>
      </c>
      <c r="R2527" s="3" t="s">
        <v>13065</v>
      </c>
      <c r="S2527" s="4">
        <v>13</v>
      </c>
      <c r="T2527" s="4">
        <v>13</v>
      </c>
      <c r="U2527" s="5" t="s">
        <v>8699</v>
      </c>
      <c r="V2527" s="5" t="s">
        <v>8699</v>
      </c>
      <c r="W2527" s="5" t="s">
        <v>67</v>
      </c>
      <c r="X2527" s="5" t="s">
        <v>67</v>
      </c>
      <c r="Y2527" s="4">
        <v>279</v>
      </c>
      <c r="Z2527" s="4">
        <v>11</v>
      </c>
      <c r="AA2527" s="4">
        <v>35</v>
      </c>
      <c r="AB2527" s="4">
        <v>2</v>
      </c>
      <c r="AC2527" s="4">
        <v>5</v>
      </c>
      <c r="AD2527" s="4">
        <v>46</v>
      </c>
      <c r="AE2527" s="4">
        <v>128</v>
      </c>
      <c r="AF2527" s="4">
        <v>1</v>
      </c>
      <c r="AG2527" s="4">
        <v>1</v>
      </c>
      <c r="AH2527" s="4">
        <v>40</v>
      </c>
      <c r="AI2527" s="4">
        <v>108</v>
      </c>
      <c r="AJ2527" s="4">
        <v>9</v>
      </c>
      <c r="AK2527" s="4">
        <v>21</v>
      </c>
      <c r="AL2527" s="4">
        <v>25</v>
      </c>
      <c r="AM2527" s="4">
        <v>60</v>
      </c>
      <c r="AN2527" s="4">
        <v>0</v>
      </c>
      <c r="AO2527" s="4">
        <v>0</v>
      </c>
      <c r="AP2527" s="4">
        <v>9</v>
      </c>
      <c r="AQ2527" s="4">
        <v>28</v>
      </c>
      <c r="AR2527" s="3" t="s">
        <v>62</v>
      </c>
      <c r="AS2527" s="3" t="s">
        <v>62</v>
      </c>
      <c r="AT2527" s="3" t="s">
        <v>62</v>
      </c>
      <c r="AV2527" s="6" t="str">
        <f>HYPERLINK("http://mcgill.on.worldcat.org/oclc/528187","Catalog Record")</f>
        <v>Catalog Record</v>
      </c>
      <c r="AW2527" s="6" t="str">
        <f>HYPERLINK("http://www.worldcat.org/oclc/528187","WorldCat Record")</f>
        <v>WorldCat Record</v>
      </c>
      <c r="AX2527" s="3" t="s">
        <v>24411</v>
      </c>
      <c r="AY2527" s="3" t="s">
        <v>24412</v>
      </c>
      <c r="AZ2527" s="3" t="s">
        <v>24413</v>
      </c>
      <c r="BA2527" s="3" t="s">
        <v>24413</v>
      </c>
      <c r="BB2527" s="3" t="s">
        <v>24414</v>
      </c>
      <c r="BC2527" s="3" t="s">
        <v>102</v>
      </c>
      <c r="BD2527" s="3" t="s">
        <v>68</v>
      </c>
      <c r="BF2527" s="3" t="s">
        <v>24414</v>
      </c>
      <c r="BG2527" s="3" t="s">
        <v>24415</v>
      </c>
    </row>
    <row r="2528" spans="1:59" ht="58" x14ac:dyDescent="0.35">
      <c r="A2528" s="2" t="s">
        <v>89</v>
      </c>
      <c r="B2528" s="2" t="s">
        <v>90</v>
      </c>
      <c r="C2528" s="2" t="s">
        <v>24416</v>
      </c>
      <c r="D2528" s="2" t="s">
        <v>24417</v>
      </c>
      <c r="E2528" s="2" t="s">
        <v>24418</v>
      </c>
      <c r="G2528" s="3" t="s">
        <v>62</v>
      </c>
      <c r="I2528" s="3" t="s">
        <v>62</v>
      </c>
      <c r="J2528" s="3" t="s">
        <v>62</v>
      </c>
      <c r="K2528" s="3" t="s">
        <v>63</v>
      </c>
      <c r="L2528" s="2" t="s">
        <v>24419</v>
      </c>
      <c r="M2528" s="2" t="s">
        <v>24420</v>
      </c>
      <c r="N2528" s="3" t="s">
        <v>838</v>
      </c>
      <c r="P2528" s="3" t="s">
        <v>1881</v>
      </c>
      <c r="Q2528" s="2" t="s">
        <v>24421</v>
      </c>
      <c r="R2528" s="3" t="s">
        <v>13065</v>
      </c>
      <c r="S2528" s="4">
        <v>3</v>
      </c>
      <c r="T2528" s="4">
        <v>3</v>
      </c>
      <c r="U2528" s="5" t="s">
        <v>12706</v>
      </c>
      <c r="V2528" s="5" t="s">
        <v>12706</v>
      </c>
      <c r="W2528" s="5" t="s">
        <v>67</v>
      </c>
      <c r="X2528" s="5" t="s">
        <v>67</v>
      </c>
      <c r="Y2528" s="4">
        <v>295</v>
      </c>
      <c r="Z2528" s="4">
        <v>17</v>
      </c>
      <c r="AA2528" s="4">
        <v>21</v>
      </c>
      <c r="AB2528" s="4">
        <v>1</v>
      </c>
      <c r="AC2528" s="4">
        <v>2</v>
      </c>
      <c r="AD2528" s="4">
        <v>102</v>
      </c>
      <c r="AE2528" s="4">
        <v>106</v>
      </c>
      <c r="AF2528" s="4">
        <v>0</v>
      </c>
      <c r="AG2528" s="4">
        <v>1</v>
      </c>
      <c r="AH2528" s="4">
        <v>93</v>
      </c>
      <c r="AI2528" s="4">
        <v>94</v>
      </c>
      <c r="AJ2528" s="4">
        <v>12</v>
      </c>
      <c r="AK2528" s="4">
        <v>16</v>
      </c>
      <c r="AL2528" s="4">
        <v>52</v>
      </c>
      <c r="AM2528" s="4">
        <v>52</v>
      </c>
      <c r="AN2528" s="4">
        <v>0</v>
      </c>
      <c r="AO2528" s="4">
        <v>0</v>
      </c>
      <c r="AP2528" s="4">
        <v>15</v>
      </c>
      <c r="AQ2528" s="4">
        <v>18</v>
      </c>
      <c r="AR2528" s="3" t="s">
        <v>62</v>
      </c>
      <c r="AS2528" s="3" t="s">
        <v>62</v>
      </c>
      <c r="AT2528" s="3" t="s">
        <v>61</v>
      </c>
      <c r="AU2528" s="6" t="str">
        <f>HYPERLINK("http://catalog.hathitrust.org/Record/000578900","HathiTrust Record")</f>
        <v>HathiTrust Record</v>
      </c>
      <c r="AV2528" s="6" t="str">
        <f>HYPERLINK("http://mcgill.on.worldcat.org/oclc/1220413","Catalog Record")</f>
        <v>Catalog Record</v>
      </c>
      <c r="AW2528" s="6" t="str">
        <f>HYPERLINK("http://www.worldcat.org/oclc/1220413","WorldCat Record")</f>
        <v>WorldCat Record</v>
      </c>
      <c r="AX2528" s="3" t="s">
        <v>24422</v>
      </c>
      <c r="AY2528" s="3" t="s">
        <v>24423</v>
      </c>
      <c r="AZ2528" s="3" t="s">
        <v>24424</v>
      </c>
      <c r="BA2528" s="3" t="s">
        <v>24424</v>
      </c>
      <c r="BB2528" s="3" t="s">
        <v>24425</v>
      </c>
      <c r="BC2528" s="3" t="s">
        <v>102</v>
      </c>
      <c r="BD2528" s="3" t="s">
        <v>68</v>
      </c>
      <c r="BE2528" s="3" t="s">
        <v>24426</v>
      </c>
      <c r="BF2528" s="3" t="s">
        <v>24425</v>
      </c>
      <c r="BG2528" s="3" t="s">
        <v>24427</v>
      </c>
    </row>
    <row r="2529" spans="1:59" ht="58" x14ac:dyDescent="0.35">
      <c r="A2529" s="2" t="s">
        <v>89</v>
      </c>
      <c r="B2529" s="2" t="s">
        <v>90</v>
      </c>
      <c r="C2529" s="2" t="s">
        <v>24428</v>
      </c>
      <c r="D2529" s="2" t="s">
        <v>24429</v>
      </c>
      <c r="E2529" s="2" t="s">
        <v>24430</v>
      </c>
      <c r="G2529" s="3" t="s">
        <v>62</v>
      </c>
      <c r="I2529" s="3" t="s">
        <v>62</v>
      </c>
      <c r="J2529" s="3" t="s">
        <v>62</v>
      </c>
      <c r="K2529" s="3" t="s">
        <v>63</v>
      </c>
      <c r="L2529" s="2" t="s">
        <v>24431</v>
      </c>
      <c r="M2529" s="2" t="s">
        <v>24432</v>
      </c>
      <c r="N2529" s="3" t="s">
        <v>838</v>
      </c>
      <c r="P2529" s="3" t="s">
        <v>64</v>
      </c>
      <c r="Q2529" s="2" t="s">
        <v>24433</v>
      </c>
      <c r="R2529" s="3" t="s">
        <v>13065</v>
      </c>
      <c r="S2529" s="4">
        <v>6</v>
      </c>
      <c r="T2529" s="4">
        <v>6</v>
      </c>
      <c r="U2529" s="5" t="s">
        <v>24434</v>
      </c>
      <c r="V2529" s="5" t="s">
        <v>24434</v>
      </c>
      <c r="W2529" s="5" t="s">
        <v>67</v>
      </c>
      <c r="X2529" s="5" t="s">
        <v>67</v>
      </c>
      <c r="Y2529" s="4">
        <v>2</v>
      </c>
      <c r="Z2529" s="4">
        <v>2</v>
      </c>
      <c r="AA2529" s="4">
        <v>33</v>
      </c>
      <c r="AB2529" s="4">
        <v>1</v>
      </c>
      <c r="AC2529" s="4">
        <v>4</v>
      </c>
      <c r="AD2529" s="4">
        <v>1</v>
      </c>
      <c r="AE2529" s="4">
        <v>118</v>
      </c>
      <c r="AF2529" s="4">
        <v>0</v>
      </c>
      <c r="AG2529" s="4">
        <v>3</v>
      </c>
      <c r="AH2529" s="4">
        <v>1</v>
      </c>
      <c r="AI2529" s="4">
        <v>92</v>
      </c>
      <c r="AJ2529" s="4">
        <v>1</v>
      </c>
      <c r="AK2529" s="4">
        <v>21</v>
      </c>
      <c r="AL2529" s="4">
        <v>0</v>
      </c>
      <c r="AM2529" s="4">
        <v>55</v>
      </c>
      <c r="AN2529" s="4">
        <v>0</v>
      </c>
      <c r="AO2529" s="4">
        <v>0</v>
      </c>
      <c r="AP2529" s="4">
        <v>1</v>
      </c>
      <c r="AQ2529" s="4">
        <v>28</v>
      </c>
      <c r="AR2529" s="3" t="s">
        <v>62</v>
      </c>
      <c r="AS2529" s="3" t="s">
        <v>62</v>
      </c>
      <c r="AT2529" s="3" t="s">
        <v>62</v>
      </c>
      <c r="AV2529" s="6" t="str">
        <f>HYPERLINK("http://mcgill.on.worldcat.org/oclc/427381351","Catalog Record")</f>
        <v>Catalog Record</v>
      </c>
      <c r="AW2529" s="6" t="str">
        <f>HYPERLINK("http://www.worldcat.org/oclc/427381351","WorldCat Record")</f>
        <v>WorldCat Record</v>
      </c>
      <c r="AX2529" s="3" t="s">
        <v>24435</v>
      </c>
      <c r="AY2529" s="3" t="s">
        <v>24436</v>
      </c>
      <c r="AZ2529" s="3" t="s">
        <v>24437</v>
      </c>
      <c r="BA2529" s="3" t="s">
        <v>24437</v>
      </c>
      <c r="BB2529" s="3" t="s">
        <v>24438</v>
      </c>
      <c r="BC2529" s="3" t="s">
        <v>102</v>
      </c>
      <c r="BD2529" s="3" t="s">
        <v>231</v>
      </c>
      <c r="BF2529" s="3" t="s">
        <v>24438</v>
      </c>
      <c r="BG2529" s="3" t="s">
        <v>24439</v>
      </c>
    </row>
    <row r="2530" spans="1:59" ht="58" x14ac:dyDescent="0.35">
      <c r="A2530" s="2" t="s">
        <v>89</v>
      </c>
      <c r="B2530" s="2" t="s">
        <v>90</v>
      </c>
      <c r="C2530" s="2" t="s">
        <v>24440</v>
      </c>
      <c r="D2530" s="2" t="s">
        <v>24441</v>
      </c>
      <c r="E2530" s="2" t="s">
        <v>24442</v>
      </c>
      <c r="G2530" s="3" t="s">
        <v>62</v>
      </c>
      <c r="I2530" s="3" t="s">
        <v>62</v>
      </c>
      <c r="J2530" s="3" t="s">
        <v>62</v>
      </c>
      <c r="K2530" s="3" t="s">
        <v>63</v>
      </c>
      <c r="L2530" s="2" t="s">
        <v>24443</v>
      </c>
      <c r="M2530" s="2" t="s">
        <v>24444</v>
      </c>
      <c r="N2530" s="3" t="s">
        <v>2924</v>
      </c>
      <c r="P2530" s="3" t="s">
        <v>64</v>
      </c>
      <c r="Q2530" s="2" t="s">
        <v>24445</v>
      </c>
      <c r="R2530" s="3" t="s">
        <v>13065</v>
      </c>
      <c r="S2530" s="4">
        <v>20</v>
      </c>
      <c r="T2530" s="4">
        <v>20</v>
      </c>
      <c r="U2530" s="5" t="s">
        <v>11034</v>
      </c>
      <c r="V2530" s="5" t="s">
        <v>11034</v>
      </c>
      <c r="W2530" s="5" t="s">
        <v>67</v>
      </c>
      <c r="X2530" s="5" t="s">
        <v>67</v>
      </c>
      <c r="Y2530" s="4">
        <v>298</v>
      </c>
      <c r="Z2530" s="4">
        <v>18</v>
      </c>
      <c r="AA2530" s="4">
        <v>40</v>
      </c>
      <c r="AB2530" s="4">
        <v>1</v>
      </c>
      <c r="AC2530" s="4">
        <v>6</v>
      </c>
      <c r="AD2530" s="4">
        <v>86</v>
      </c>
      <c r="AE2530" s="4">
        <v>132</v>
      </c>
      <c r="AF2530" s="4">
        <v>0</v>
      </c>
      <c r="AG2530" s="4">
        <v>5</v>
      </c>
      <c r="AH2530" s="4">
        <v>74</v>
      </c>
      <c r="AI2530" s="4">
        <v>107</v>
      </c>
      <c r="AJ2530" s="4">
        <v>11</v>
      </c>
      <c r="AK2530" s="4">
        <v>24</v>
      </c>
      <c r="AL2530" s="4">
        <v>47</v>
      </c>
      <c r="AM2530" s="4">
        <v>62</v>
      </c>
      <c r="AN2530" s="4">
        <v>0</v>
      </c>
      <c r="AO2530" s="4">
        <v>1</v>
      </c>
      <c r="AP2530" s="4">
        <v>15</v>
      </c>
      <c r="AQ2530" s="4">
        <v>31</v>
      </c>
      <c r="AR2530" s="3" t="s">
        <v>62</v>
      </c>
      <c r="AS2530" s="3" t="s">
        <v>62</v>
      </c>
      <c r="AT2530" s="3" t="s">
        <v>61</v>
      </c>
      <c r="AU2530" s="6" t="str">
        <f>HYPERLINK("http://catalog.hathitrust.org/Record/000579236","HathiTrust Record")</f>
        <v>HathiTrust Record</v>
      </c>
      <c r="AV2530" s="6" t="str">
        <f>HYPERLINK("http://mcgill.on.worldcat.org/oclc/527459","Catalog Record")</f>
        <v>Catalog Record</v>
      </c>
      <c r="AW2530" s="6" t="str">
        <f>HYPERLINK("http://www.worldcat.org/oclc/527459","WorldCat Record")</f>
        <v>WorldCat Record</v>
      </c>
      <c r="AX2530" s="3" t="s">
        <v>24446</v>
      </c>
      <c r="AY2530" s="3" t="s">
        <v>24447</v>
      </c>
      <c r="AZ2530" s="3" t="s">
        <v>24448</v>
      </c>
      <c r="BA2530" s="3" t="s">
        <v>24448</v>
      </c>
      <c r="BB2530" s="3" t="s">
        <v>24449</v>
      </c>
      <c r="BC2530" s="3" t="s">
        <v>102</v>
      </c>
      <c r="BD2530" s="3" t="s">
        <v>68</v>
      </c>
      <c r="BF2530" s="3" t="s">
        <v>24449</v>
      </c>
      <c r="BG2530" s="3" t="s">
        <v>24450</v>
      </c>
    </row>
    <row r="2531" spans="1:59" ht="58" x14ac:dyDescent="0.35">
      <c r="A2531" s="2" t="s">
        <v>89</v>
      </c>
      <c r="B2531" s="2" t="s">
        <v>90</v>
      </c>
      <c r="C2531" s="2" t="s">
        <v>24451</v>
      </c>
      <c r="D2531" s="2" t="s">
        <v>24452</v>
      </c>
      <c r="E2531" s="2" t="s">
        <v>24453</v>
      </c>
      <c r="G2531" s="3" t="s">
        <v>62</v>
      </c>
      <c r="I2531" s="3" t="s">
        <v>62</v>
      </c>
      <c r="J2531" s="3" t="s">
        <v>62</v>
      </c>
      <c r="K2531" s="3" t="s">
        <v>63</v>
      </c>
      <c r="L2531" s="2" t="s">
        <v>24454</v>
      </c>
      <c r="M2531" s="2" t="s">
        <v>24455</v>
      </c>
      <c r="N2531" s="3" t="s">
        <v>838</v>
      </c>
      <c r="P2531" s="3" t="s">
        <v>64</v>
      </c>
      <c r="Q2531" s="2" t="s">
        <v>24456</v>
      </c>
      <c r="R2531" s="3" t="s">
        <v>13065</v>
      </c>
      <c r="S2531" s="4">
        <v>2</v>
      </c>
      <c r="T2531" s="4">
        <v>2</v>
      </c>
      <c r="U2531" s="5" t="s">
        <v>7352</v>
      </c>
      <c r="V2531" s="5" t="s">
        <v>7352</v>
      </c>
      <c r="W2531" s="5" t="s">
        <v>67</v>
      </c>
      <c r="X2531" s="5" t="s">
        <v>67</v>
      </c>
      <c r="Y2531" s="4">
        <v>382</v>
      </c>
      <c r="Z2531" s="4">
        <v>24</v>
      </c>
      <c r="AA2531" s="4">
        <v>42</v>
      </c>
      <c r="AB2531" s="4">
        <v>2</v>
      </c>
      <c r="AC2531" s="4">
        <v>7</v>
      </c>
      <c r="AD2531" s="4">
        <v>110</v>
      </c>
      <c r="AE2531" s="4">
        <v>139</v>
      </c>
      <c r="AF2531" s="4">
        <v>1</v>
      </c>
      <c r="AG2531" s="4">
        <v>5</v>
      </c>
      <c r="AH2531" s="4">
        <v>92</v>
      </c>
      <c r="AI2531" s="4">
        <v>111</v>
      </c>
      <c r="AJ2531" s="4">
        <v>14</v>
      </c>
      <c r="AK2531" s="4">
        <v>26</v>
      </c>
      <c r="AL2531" s="4">
        <v>51</v>
      </c>
      <c r="AM2531" s="4">
        <v>59</v>
      </c>
      <c r="AN2531" s="4">
        <v>0</v>
      </c>
      <c r="AO2531" s="4">
        <v>0</v>
      </c>
      <c r="AP2531" s="4">
        <v>21</v>
      </c>
      <c r="AQ2531" s="4">
        <v>35</v>
      </c>
      <c r="AR2531" s="3" t="s">
        <v>62</v>
      </c>
      <c r="AS2531" s="3" t="s">
        <v>62</v>
      </c>
      <c r="AT2531" s="3" t="s">
        <v>61</v>
      </c>
      <c r="AU2531" s="6" t="str">
        <f>HYPERLINK("http://catalog.hathitrust.org/Record/000578597","HathiTrust Record")</f>
        <v>HathiTrust Record</v>
      </c>
      <c r="AV2531" s="6" t="str">
        <f>HYPERLINK("http://mcgill.on.worldcat.org/oclc/1265416","Catalog Record")</f>
        <v>Catalog Record</v>
      </c>
      <c r="AW2531" s="6" t="str">
        <f>HYPERLINK("http://www.worldcat.org/oclc/1265416","WorldCat Record")</f>
        <v>WorldCat Record</v>
      </c>
      <c r="AX2531" s="3" t="s">
        <v>24457</v>
      </c>
      <c r="AY2531" s="3" t="s">
        <v>24458</v>
      </c>
      <c r="AZ2531" s="3" t="s">
        <v>24459</v>
      </c>
      <c r="BA2531" s="3" t="s">
        <v>24459</v>
      </c>
      <c r="BB2531" s="3" t="s">
        <v>24460</v>
      </c>
      <c r="BC2531" s="3" t="s">
        <v>102</v>
      </c>
      <c r="BD2531" s="3" t="s">
        <v>68</v>
      </c>
      <c r="BF2531" s="3" t="s">
        <v>24460</v>
      </c>
      <c r="BG2531" s="3" t="s">
        <v>24461</v>
      </c>
    </row>
    <row r="2532" spans="1:59" ht="58" x14ac:dyDescent="0.35">
      <c r="A2532" s="2" t="s">
        <v>89</v>
      </c>
      <c r="B2532" s="2" t="s">
        <v>90</v>
      </c>
      <c r="C2532" s="2" t="s">
        <v>24462</v>
      </c>
      <c r="D2532" s="2" t="s">
        <v>24463</v>
      </c>
      <c r="E2532" s="2" t="s">
        <v>24464</v>
      </c>
      <c r="G2532" s="3" t="s">
        <v>62</v>
      </c>
      <c r="I2532" s="3" t="s">
        <v>62</v>
      </c>
      <c r="J2532" s="3" t="s">
        <v>61</v>
      </c>
      <c r="K2532" s="3" t="s">
        <v>63</v>
      </c>
      <c r="L2532" s="2" t="s">
        <v>24465</v>
      </c>
      <c r="M2532" s="2" t="s">
        <v>24466</v>
      </c>
      <c r="N2532" s="3" t="s">
        <v>755</v>
      </c>
      <c r="P2532" s="3" t="s">
        <v>64</v>
      </c>
      <c r="Q2532" s="2" t="s">
        <v>24043</v>
      </c>
      <c r="R2532" s="3" t="s">
        <v>13065</v>
      </c>
      <c r="S2532" s="4">
        <v>32</v>
      </c>
      <c r="T2532" s="4">
        <v>32</v>
      </c>
      <c r="U2532" s="5" t="s">
        <v>10792</v>
      </c>
      <c r="V2532" s="5" t="s">
        <v>10792</v>
      </c>
      <c r="W2532" s="5" t="s">
        <v>67</v>
      </c>
      <c r="X2532" s="5" t="s">
        <v>67</v>
      </c>
      <c r="Y2532" s="4">
        <v>588</v>
      </c>
      <c r="Z2532" s="4">
        <v>23</v>
      </c>
      <c r="AA2532" s="4">
        <v>66</v>
      </c>
      <c r="AB2532" s="4">
        <v>3</v>
      </c>
      <c r="AC2532" s="4">
        <v>11</v>
      </c>
      <c r="AD2532" s="4">
        <v>103</v>
      </c>
      <c r="AE2532" s="4">
        <v>154</v>
      </c>
      <c r="AF2532" s="4">
        <v>1</v>
      </c>
      <c r="AG2532" s="4">
        <v>8</v>
      </c>
      <c r="AH2532" s="4">
        <v>88</v>
      </c>
      <c r="AI2532" s="4">
        <v>115</v>
      </c>
      <c r="AJ2532" s="4">
        <v>10</v>
      </c>
      <c r="AK2532" s="4">
        <v>27</v>
      </c>
      <c r="AL2532" s="4">
        <v>54</v>
      </c>
      <c r="AM2532" s="4">
        <v>62</v>
      </c>
      <c r="AN2532" s="4">
        <v>0</v>
      </c>
      <c r="AO2532" s="4">
        <v>0</v>
      </c>
      <c r="AP2532" s="4">
        <v>16</v>
      </c>
      <c r="AQ2532" s="4">
        <v>46</v>
      </c>
      <c r="AR2532" s="3" t="s">
        <v>62</v>
      </c>
      <c r="AS2532" s="3" t="s">
        <v>62</v>
      </c>
      <c r="AT2532" s="3" t="s">
        <v>61</v>
      </c>
      <c r="AU2532" s="6" t="str">
        <f>HYPERLINK("http://catalog.hathitrust.org/Record/000621236","HathiTrust Record")</f>
        <v>HathiTrust Record</v>
      </c>
      <c r="AV2532" s="6" t="str">
        <f>HYPERLINK("http://mcgill.on.worldcat.org/oclc/527446","Catalog Record")</f>
        <v>Catalog Record</v>
      </c>
      <c r="AW2532" s="6" t="str">
        <f>HYPERLINK("http://www.worldcat.org/oclc/527446","WorldCat Record")</f>
        <v>WorldCat Record</v>
      </c>
      <c r="AX2532" s="3" t="s">
        <v>24467</v>
      </c>
      <c r="AY2532" s="3" t="s">
        <v>24468</v>
      </c>
      <c r="AZ2532" s="3" t="s">
        <v>24469</v>
      </c>
      <c r="BA2532" s="3" t="s">
        <v>24469</v>
      </c>
      <c r="BB2532" s="3" t="s">
        <v>24470</v>
      </c>
      <c r="BC2532" s="3" t="s">
        <v>102</v>
      </c>
      <c r="BD2532" s="3" t="s">
        <v>68</v>
      </c>
      <c r="BF2532" s="3" t="s">
        <v>24470</v>
      </c>
      <c r="BG2532" s="3" t="s">
        <v>24471</v>
      </c>
    </row>
    <row r="2533" spans="1:59" ht="58" x14ac:dyDescent="0.35">
      <c r="A2533" s="2" t="s">
        <v>89</v>
      </c>
      <c r="B2533" s="2" t="s">
        <v>90</v>
      </c>
      <c r="C2533" s="2" t="s">
        <v>24472</v>
      </c>
      <c r="D2533" s="2" t="s">
        <v>24473</v>
      </c>
      <c r="E2533" s="2" t="s">
        <v>24474</v>
      </c>
      <c r="G2533" s="3" t="s">
        <v>62</v>
      </c>
      <c r="I2533" s="3" t="s">
        <v>62</v>
      </c>
      <c r="J2533" s="3" t="s">
        <v>62</v>
      </c>
      <c r="K2533" s="3" t="s">
        <v>63</v>
      </c>
      <c r="L2533" s="2" t="s">
        <v>24475</v>
      </c>
      <c r="M2533" s="2" t="s">
        <v>24476</v>
      </c>
      <c r="N2533" s="3" t="s">
        <v>106</v>
      </c>
      <c r="P2533" s="3" t="s">
        <v>64</v>
      </c>
      <c r="R2533" s="3" t="s">
        <v>13065</v>
      </c>
      <c r="S2533" s="4">
        <v>1</v>
      </c>
      <c r="T2533" s="4">
        <v>1</v>
      </c>
      <c r="U2533" s="5" t="s">
        <v>6485</v>
      </c>
      <c r="V2533" s="5" t="s">
        <v>6485</v>
      </c>
      <c r="W2533" s="5" t="s">
        <v>67</v>
      </c>
      <c r="X2533" s="5" t="s">
        <v>67</v>
      </c>
      <c r="Y2533" s="4">
        <v>279</v>
      </c>
      <c r="Z2533" s="4">
        <v>11</v>
      </c>
      <c r="AA2533" s="4">
        <v>11</v>
      </c>
      <c r="AB2533" s="4">
        <v>1</v>
      </c>
      <c r="AC2533" s="4">
        <v>1</v>
      </c>
      <c r="AD2533" s="4">
        <v>94</v>
      </c>
      <c r="AE2533" s="4">
        <v>94</v>
      </c>
      <c r="AF2533" s="4">
        <v>0</v>
      </c>
      <c r="AG2533" s="4">
        <v>0</v>
      </c>
      <c r="AH2533" s="4">
        <v>88</v>
      </c>
      <c r="AI2533" s="4">
        <v>88</v>
      </c>
      <c r="AJ2533" s="4">
        <v>7</v>
      </c>
      <c r="AK2533" s="4">
        <v>7</v>
      </c>
      <c r="AL2533" s="4">
        <v>52</v>
      </c>
      <c r="AM2533" s="4">
        <v>52</v>
      </c>
      <c r="AN2533" s="4">
        <v>0</v>
      </c>
      <c r="AO2533" s="4">
        <v>0</v>
      </c>
      <c r="AP2533" s="4">
        <v>8</v>
      </c>
      <c r="AQ2533" s="4">
        <v>8</v>
      </c>
      <c r="AR2533" s="3" t="s">
        <v>62</v>
      </c>
      <c r="AS2533" s="3" t="s">
        <v>62</v>
      </c>
      <c r="AT2533" s="3" t="s">
        <v>61</v>
      </c>
      <c r="AU2533" s="6" t="str">
        <f>HYPERLINK("http://catalog.hathitrust.org/Record/000580236","HathiTrust Record")</f>
        <v>HathiTrust Record</v>
      </c>
      <c r="AV2533" s="6" t="str">
        <f>HYPERLINK("http://mcgill.on.worldcat.org/oclc/1378415","Catalog Record")</f>
        <v>Catalog Record</v>
      </c>
      <c r="AW2533" s="6" t="str">
        <f>HYPERLINK("http://www.worldcat.org/oclc/1378415","WorldCat Record")</f>
        <v>WorldCat Record</v>
      </c>
      <c r="AX2533" s="3" t="s">
        <v>24477</v>
      </c>
      <c r="AY2533" s="3" t="s">
        <v>24478</v>
      </c>
      <c r="AZ2533" s="3" t="s">
        <v>24479</v>
      </c>
      <c r="BA2533" s="3" t="s">
        <v>24479</v>
      </c>
      <c r="BB2533" s="3" t="s">
        <v>24480</v>
      </c>
      <c r="BC2533" s="3" t="s">
        <v>102</v>
      </c>
      <c r="BD2533" s="3" t="s">
        <v>68</v>
      </c>
      <c r="BF2533" s="3" t="s">
        <v>24480</v>
      </c>
      <c r="BG2533" s="3" t="s">
        <v>24481</v>
      </c>
    </row>
    <row r="2534" spans="1:59" ht="58" x14ac:dyDescent="0.35">
      <c r="A2534" s="2" t="s">
        <v>89</v>
      </c>
      <c r="B2534" s="2" t="s">
        <v>90</v>
      </c>
      <c r="C2534" s="2" t="s">
        <v>24482</v>
      </c>
      <c r="D2534" s="2" t="s">
        <v>24483</v>
      </c>
      <c r="E2534" s="2" t="s">
        <v>24484</v>
      </c>
      <c r="G2534" s="3" t="s">
        <v>62</v>
      </c>
      <c r="I2534" s="3" t="s">
        <v>62</v>
      </c>
      <c r="J2534" s="3" t="s">
        <v>62</v>
      </c>
      <c r="K2534" s="3" t="s">
        <v>916</v>
      </c>
      <c r="L2534" s="2" t="s">
        <v>24485</v>
      </c>
      <c r="M2534" s="2" t="s">
        <v>24486</v>
      </c>
      <c r="N2534" s="3" t="s">
        <v>24487</v>
      </c>
      <c r="P2534" s="3" t="s">
        <v>85</v>
      </c>
      <c r="Q2534" s="2" t="s">
        <v>24488</v>
      </c>
      <c r="R2534" s="3" t="s">
        <v>13065</v>
      </c>
      <c r="S2534" s="4">
        <v>2</v>
      </c>
      <c r="T2534" s="4">
        <v>2</v>
      </c>
      <c r="U2534" s="5" t="s">
        <v>24489</v>
      </c>
      <c r="V2534" s="5" t="s">
        <v>24489</v>
      </c>
      <c r="W2534" s="5" t="s">
        <v>67</v>
      </c>
      <c r="X2534" s="5" t="s">
        <v>67</v>
      </c>
      <c r="Y2534" s="4">
        <v>147</v>
      </c>
      <c r="Z2534" s="4">
        <v>2</v>
      </c>
      <c r="AA2534" s="4">
        <v>21</v>
      </c>
      <c r="AB2534" s="4">
        <v>1</v>
      </c>
      <c r="AC2534" s="4">
        <v>3</v>
      </c>
      <c r="AD2534" s="4">
        <v>52</v>
      </c>
      <c r="AE2534" s="4">
        <v>111</v>
      </c>
      <c r="AF2534" s="4">
        <v>0</v>
      </c>
      <c r="AG2534" s="4">
        <v>1</v>
      </c>
      <c r="AH2534" s="4">
        <v>49</v>
      </c>
      <c r="AI2534" s="4">
        <v>99</v>
      </c>
      <c r="AJ2534" s="4">
        <v>1</v>
      </c>
      <c r="AK2534" s="4">
        <v>17</v>
      </c>
      <c r="AL2534" s="4">
        <v>38</v>
      </c>
      <c r="AM2534" s="4">
        <v>58</v>
      </c>
      <c r="AN2534" s="4">
        <v>0</v>
      </c>
      <c r="AO2534" s="4">
        <v>0</v>
      </c>
      <c r="AP2534" s="4">
        <v>1</v>
      </c>
      <c r="AQ2534" s="4">
        <v>17</v>
      </c>
      <c r="AR2534" s="3" t="s">
        <v>62</v>
      </c>
      <c r="AS2534" s="3" t="s">
        <v>62</v>
      </c>
      <c r="AT2534" s="3" t="s">
        <v>62</v>
      </c>
      <c r="AU2534" s="6" t="str">
        <f>HYPERLINK("http://catalog.hathitrust.org/Record/012310111","HathiTrust Record")</f>
        <v>HathiTrust Record</v>
      </c>
      <c r="AV2534" s="6" t="str">
        <f>HYPERLINK("http://mcgill.on.worldcat.org/oclc/1226577","Catalog Record")</f>
        <v>Catalog Record</v>
      </c>
      <c r="AW2534" s="6" t="str">
        <f>HYPERLINK("http://www.worldcat.org/oclc/1226577","WorldCat Record")</f>
        <v>WorldCat Record</v>
      </c>
      <c r="AX2534" s="3" t="s">
        <v>24490</v>
      </c>
      <c r="AY2534" s="3" t="s">
        <v>24491</v>
      </c>
      <c r="AZ2534" s="3" t="s">
        <v>24492</v>
      </c>
      <c r="BA2534" s="3" t="s">
        <v>24492</v>
      </c>
      <c r="BB2534" s="3" t="s">
        <v>24493</v>
      </c>
      <c r="BC2534" s="3" t="s">
        <v>102</v>
      </c>
      <c r="BD2534" s="3" t="s">
        <v>68</v>
      </c>
      <c r="BF2534" s="3" t="s">
        <v>24493</v>
      </c>
      <c r="BG2534" s="3" t="s">
        <v>24494</v>
      </c>
    </row>
    <row r="2535" spans="1:59" ht="58" x14ac:dyDescent="0.35">
      <c r="A2535" s="2" t="s">
        <v>89</v>
      </c>
      <c r="B2535" s="2" t="s">
        <v>90</v>
      </c>
      <c r="C2535" s="2" t="s">
        <v>24495</v>
      </c>
      <c r="D2535" s="2" t="s">
        <v>24496</v>
      </c>
      <c r="E2535" s="2" t="s">
        <v>24497</v>
      </c>
      <c r="G2535" s="3" t="s">
        <v>62</v>
      </c>
      <c r="I2535" s="3" t="s">
        <v>61</v>
      </c>
      <c r="J2535" s="3" t="s">
        <v>62</v>
      </c>
      <c r="K2535" s="3" t="s">
        <v>63</v>
      </c>
      <c r="L2535" s="2" t="s">
        <v>24498</v>
      </c>
      <c r="M2535" s="2" t="s">
        <v>24499</v>
      </c>
      <c r="N2535" s="3" t="s">
        <v>496</v>
      </c>
      <c r="P2535" s="3" t="s">
        <v>64</v>
      </c>
      <c r="R2535" s="3" t="s">
        <v>13065</v>
      </c>
      <c r="S2535" s="4">
        <v>10</v>
      </c>
      <c r="T2535" s="4">
        <v>11</v>
      </c>
      <c r="U2535" s="5" t="s">
        <v>24500</v>
      </c>
      <c r="V2535" s="5" t="s">
        <v>24501</v>
      </c>
      <c r="W2535" s="5" t="s">
        <v>67</v>
      </c>
      <c r="X2535" s="5" t="s">
        <v>67</v>
      </c>
      <c r="Y2535" s="4">
        <v>271</v>
      </c>
      <c r="Z2535" s="4">
        <v>18</v>
      </c>
      <c r="AA2535" s="4">
        <v>21</v>
      </c>
      <c r="AB2535" s="4">
        <v>1</v>
      </c>
      <c r="AC2535" s="4">
        <v>2</v>
      </c>
      <c r="AD2535" s="4">
        <v>93</v>
      </c>
      <c r="AE2535" s="4">
        <v>105</v>
      </c>
      <c r="AF2535" s="4">
        <v>0</v>
      </c>
      <c r="AG2535" s="4">
        <v>1</v>
      </c>
      <c r="AH2535" s="4">
        <v>85</v>
      </c>
      <c r="AI2535" s="4">
        <v>95</v>
      </c>
      <c r="AJ2535" s="4">
        <v>12</v>
      </c>
      <c r="AK2535" s="4">
        <v>15</v>
      </c>
      <c r="AL2535" s="4">
        <v>46</v>
      </c>
      <c r="AM2535" s="4">
        <v>52</v>
      </c>
      <c r="AN2535" s="4">
        <v>0</v>
      </c>
      <c r="AO2535" s="4">
        <v>0</v>
      </c>
      <c r="AP2535" s="4">
        <v>15</v>
      </c>
      <c r="AQ2535" s="4">
        <v>18</v>
      </c>
      <c r="AR2535" s="3" t="s">
        <v>62</v>
      </c>
      <c r="AS2535" s="3" t="s">
        <v>62</v>
      </c>
      <c r="AT2535" s="3" t="s">
        <v>61</v>
      </c>
      <c r="AU2535" s="6" t="str">
        <f>HYPERLINK("http://catalog.hathitrust.org/Record/000581259","HathiTrust Record")</f>
        <v>HathiTrust Record</v>
      </c>
      <c r="AV2535" s="6" t="str">
        <f>HYPERLINK("http://mcgill.on.worldcat.org/oclc/297140","Catalog Record")</f>
        <v>Catalog Record</v>
      </c>
      <c r="AW2535" s="6" t="str">
        <f>HYPERLINK("http://www.worldcat.org/oclc/297140","WorldCat Record")</f>
        <v>WorldCat Record</v>
      </c>
      <c r="AX2535" s="3" t="s">
        <v>24502</v>
      </c>
      <c r="AY2535" s="3" t="s">
        <v>24503</v>
      </c>
      <c r="AZ2535" s="3" t="s">
        <v>24504</v>
      </c>
      <c r="BA2535" s="3" t="s">
        <v>24504</v>
      </c>
      <c r="BB2535" s="3" t="s">
        <v>24505</v>
      </c>
      <c r="BC2535" s="3" t="s">
        <v>102</v>
      </c>
      <c r="BD2535" s="3" t="s">
        <v>68</v>
      </c>
      <c r="BF2535" s="3" t="s">
        <v>24505</v>
      </c>
      <c r="BG2535" s="3" t="s">
        <v>24506</v>
      </c>
    </row>
    <row r="2536" spans="1:59" ht="101.5" x14ac:dyDescent="0.35">
      <c r="A2536" s="2" t="s">
        <v>89</v>
      </c>
      <c r="B2536" s="2" t="s">
        <v>12301</v>
      </c>
      <c r="C2536" s="2" t="s">
        <v>24507</v>
      </c>
      <c r="D2536" s="2" t="s">
        <v>24508</v>
      </c>
      <c r="E2536" s="2" t="s">
        <v>24509</v>
      </c>
      <c r="G2536" s="3" t="s">
        <v>62</v>
      </c>
      <c r="I2536" s="3" t="s">
        <v>61</v>
      </c>
      <c r="J2536" s="3" t="s">
        <v>61</v>
      </c>
      <c r="K2536" s="3" t="s">
        <v>63</v>
      </c>
      <c r="L2536" s="2" t="s">
        <v>24510</v>
      </c>
      <c r="M2536" s="2" t="s">
        <v>24511</v>
      </c>
      <c r="N2536" s="3" t="s">
        <v>2136</v>
      </c>
      <c r="O2536" s="2" t="s">
        <v>2458</v>
      </c>
      <c r="P2536" s="3" t="s">
        <v>64</v>
      </c>
      <c r="R2536" s="3" t="s">
        <v>13065</v>
      </c>
      <c r="S2536" s="4">
        <v>5</v>
      </c>
      <c r="T2536" s="4">
        <v>2176</v>
      </c>
      <c r="U2536" s="5" t="s">
        <v>4246</v>
      </c>
      <c r="V2536" s="5" t="s">
        <v>80</v>
      </c>
      <c r="W2536" s="5" t="s">
        <v>67</v>
      </c>
      <c r="X2536" s="5" t="s">
        <v>67</v>
      </c>
      <c r="Y2536" s="4">
        <v>83</v>
      </c>
      <c r="Z2536" s="4">
        <v>11</v>
      </c>
      <c r="AA2536" s="4">
        <v>30</v>
      </c>
      <c r="AB2536" s="4">
        <v>1</v>
      </c>
      <c r="AC2536" s="4">
        <v>9</v>
      </c>
      <c r="AD2536" s="4">
        <v>15</v>
      </c>
      <c r="AE2536" s="4">
        <v>96</v>
      </c>
      <c r="AF2536" s="4">
        <v>0</v>
      </c>
      <c r="AG2536" s="4">
        <v>5</v>
      </c>
      <c r="AH2536" s="4">
        <v>13</v>
      </c>
      <c r="AI2536" s="4">
        <v>79</v>
      </c>
      <c r="AJ2536" s="4">
        <v>7</v>
      </c>
      <c r="AK2536" s="4">
        <v>17</v>
      </c>
      <c r="AL2536" s="4">
        <v>7</v>
      </c>
      <c r="AM2536" s="4">
        <v>45</v>
      </c>
      <c r="AN2536" s="4">
        <v>0</v>
      </c>
      <c r="AO2536" s="4">
        <v>0</v>
      </c>
      <c r="AP2536" s="4">
        <v>8</v>
      </c>
      <c r="AQ2536" s="4">
        <v>23</v>
      </c>
      <c r="AR2536" s="3" t="s">
        <v>62</v>
      </c>
      <c r="AS2536" s="3" t="s">
        <v>62</v>
      </c>
      <c r="AT2536" s="3" t="s">
        <v>62</v>
      </c>
      <c r="AV2536" s="6" t="str">
        <f t="shared" ref="AV2536:AV2543" si="43">HYPERLINK("http://mcgill.on.worldcat.org/oclc/53951748","Catalog Record")</f>
        <v>Catalog Record</v>
      </c>
      <c r="AW2536" s="6" t="str">
        <f t="shared" ref="AW2536:AW2543" si="44">HYPERLINK("http://www.worldcat.org/oclc/53951748","WorldCat Record")</f>
        <v>WorldCat Record</v>
      </c>
      <c r="AX2536" s="3" t="s">
        <v>24512</v>
      </c>
      <c r="AY2536" s="3" t="s">
        <v>24513</v>
      </c>
      <c r="AZ2536" s="3" t="s">
        <v>24514</v>
      </c>
      <c r="BA2536" s="3" t="s">
        <v>24514</v>
      </c>
      <c r="BB2536" s="3" t="s">
        <v>24515</v>
      </c>
      <c r="BC2536" s="3" t="s">
        <v>102</v>
      </c>
      <c r="BD2536" s="3" t="s">
        <v>68</v>
      </c>
      <c r="BE2536" s="3" t="s">
        <v>24516</v>
      </c>
      <c r="BF2536" s="3" t="s">
        <v>24515</v>
      </c>
      <c r="BG2536" s="3" t="s">
        <v>24517</v>
      </c>
    </row>
    <row r="2537" spans="1:59" ht="101.5" x14ac:dyDescent="0.35">
      <c r="A2537" s="2" t="s">
        <v>89</v>
      </c>
      <c r="B2537" s="2" t="s">
        <v>12301</v>
      </c>
      <c r="C2537" s="2" t="s">
        <v>24507</v>
      </c>
      <c r="D2537" s="2" t="s">
        <v>24508</v>
      </c>
      <c r="E2537" s="2" t="s">
        <v>24509</v>
      </c>
      <c r="G2537" s="3" t="s">
        <v>62</v>
      </c>
      <c r="I2537" s="3" t="s">
        <v>61</v>
      </c>
      <c r="J2537" s="3" t="s">
        <v>61</v>
      </c>
      <c r="K2537" s="3" t="s">
        <v>63</v>
      </c>
      <c r="L2537" s="2" t="s">
        <v>24510</v>
      </c>
      <c r="M2537" s="2" t="s">
        <v>24511</v>
      </c>
      <c r="N2537" s="3" t="s">
        <v>2136</v>
      </c>
      <c r="O2537" s="2" t="s">
        <v>2458</v>
      </c>
      <c r="P2537" s="3" t="s">
        <v>64</v>
      </c>
      <c r="R2537" s="3" t="s">
        <v>13065</v>
      </c>
      <c r="S2537" s="4">
        <v>76</v>
      </c>
      <c r="T2537" s="4">
        <v>2176</v>
      </c>
      <c r="U2537" s="5" t="s">
        <v>1929</v>
      </c>
      <c r="V2537" s="5" t="s">
        <v>80</v>
      </c>
      <c r="W2537" s="5" t="s">
        <v>67</v>
      </c>
      <c r="X2537" s="5" t="s">
        <v>67</v>
      </c>
      <c r="Y2537" s="4">
        <v>83</v>
      </c>
      <c r="Z2537" s="4">
        <v>11</v>
      </c>
      <c r="AA2537" s="4">
        <v>30</v>
      </c>
      <c r="AB2537" s="4">
        <v>1</v>
      </c>
      <c r="AC2537" s="4">
        <v>9</v>
      </c>
      <c r="AD2537" s="4">
        <v>15</v>
      </c>
      <c r="AE2537" s="4">
        <v>96</v>
      </c>
      <c r="AF2537" s="4">
        <v>0</v>
      </c>
      <c r="AG2537" s="4">
        <v>5</v>
      </c>
      <c r="AH2537" s="4">
        <v>13</v>
      </c>
      <c r="AI2537" s="4">
        <v>79</v>
      </c>
      <c r="AJ2537" s="4">
        <v>7</v>
      </c>
      <c r="AK2537" s="4">
        <v>17</v>
      </c>
      <c r="AL2537" s="4">
        <v>7</v>
      </c>
      <c r="AM2537" s="4">
        <v>45</v>
      </c>
      <c r="AN2537" s="4">
        <v>0</v>
      </c>
      <c r="AO2537" s="4">
        <v>0</v>
      </c>
      <c r="AP2537" s="4">
        <v>8</v>
      </c>
      <c r="AQ2537" s="4">
        <v>23</v>
      </c>
      <c r="AR2537" s="3" t="s">
        <v>62</v>
      </c>
      <c r="AS2537" s="3" t="s">
        <v>62</v>
      </c>
      <c r="AT2537" s="3" t="s">
        <v>62</v>
      </c>
      <c r="AV2537" s="6" t="str">
        <f t="shared" si="43"/>
        <v>Catalog Record</v>
      </c>
      <c r="AW2537" s="6" t="str">
        <f t="shared" si="44"/>
        <v>WorldCat Record</v>
      </c>
      <c r="AX2537" s="3" t="s">
        <v>24512</v>
      </c>
      <c r="AY2537" s="3" t="s">
        <v>24513</v>
      </c>
      <c r="AZ2537" s="3" t="s">
        <v>24514</v>
      </c>
      <c r="BA2537" s="3" t="s">
        <v>24514</v>
      </c>
      <c r="BB2537" s="3" t="s">
        <v>24518</v>
      </c>
      <c r="BC2537" s="3" t="s">
        <v>102</v>
      </c>
      <c r="BD2537" s="3" t="s">
        <v>68</v>
      </c>
      <c r="BE2537" s="3" t="s">
        <v>24516</v>
      </c>
      <c r="BF2537" s="3" t="s">
        <v>24518</v>
      </c>
      <c r="BG2537" s="3" t="s">
        <v>24519</v>
      </c>
    </row>
    <row r="2538" spans="1:59" ht="101.5" x14ac:dyDescent="0.35">
      <c r="A2538" s="2" t="s">
        <v>89</v>
      </c>
      <c r="B2538" s="2" t="s">
        <v>12301</v>
      </c>
      <c r="C2538" s="2" t="s">
        <v>24507</v>
      </c>
      <c r="D2538" s="2" t="s">
        <v>24508</v>
      </c>
      <c r="E2538" s="2" t="s">
        <v>24509</v>
      </c>
      <c r="G2538" s="3" t="s">
        <v>62</v>
      </c>
      <c r="I2538" s="3" t="s">
        <v>61</v>
      </c>
      <c r="J2538" s="3" t="s">
        <v>61</v>
      </c>
      <c r="K2538" s="3" t="s">
        <v>63</v>
      </c>
      <c r="L2538" s="2" t="s">
        <v>24510</v>
      </c>
      <c r="M2538" s="2" t="s">
        <v>24511</v>
      </c>
      <c r="N2538" s="3" t="s">
        <v>2136</v>
      </c>
      <c r="O2538" s="2" t="s">
        <v>2458</v>
      </c>
      <c r="P2538" s="3" t="s">
        <v>64</v>
      </c>
      <c r="R2538" s="3" t="s">
        <v>13065</v>
      </c>
      <c r="S2538" s="4">
        <v>30</v>
      </c>
      <c r="T2538" s="4">
        <v>2176</v>
      </c>
      <c r="U2538" s="5" t="s">
        <v>24520</v>
      </c>
      <c r="V2538" s="5" t="s">
        <v>80</v>
      </c>
      <c r="W2538" s="5" t="s">
        <v>67</v>
      </c>
      <c r="X2538" s="5" t="s">
        <v>67</v>
      </c>
      <c r="Y2538" s="4">
        <v>83</v>
      </c>
      <c r="Z2538" s="4">
        <v>11</v>
      </c>
      <c r="AA2538" s="4">
        <v>30</v>
      </c>
      <c r="AB2538" s="4">
        <v>1</v>
      </c>
      <c r="AC2538" s="4">
        <v>9</v>
      </c>
      <c r="AD2538" s="4">
        <v>15</v>
      </c>
      <c r="AE2538" s="4">
        <v>96</v>
      </c>
      <c r="AF2538" s="4">
        <v>0</v>
      </c>
      <c r="AG2538" s="4">
        <v>5</v>
      </c>
      <c r="AH2538" s="4">
        <v>13</v>
      </c>
      <c r="AI2538" s="4">
        <v>79</v>
      </c>
      <c r="AJ2538" s="4">
        <v>7</v>
      </c>
      <c r="AK2538" s="4">
        <v>17</v>
      </c>
      <c r="AL2538" s="4">
        <v>7</v>
      </c>
      <c r="AM2538" s="4">
        <v>45</v>
      </c>
      <c r="AN2538" s="4">
        <v>0</v>
      </c>
      <c r="AO2538" s="4">
        <v>0</v>
      </c>
      <c r="AP2538" s="4">
        <v>8</v>
      </c>
      <c r="AQ2538" s="4">
        <v>23</v>
      </c>
      <c r="AR2538" s="3" t="s">
        <v>62</v>
      </c>
      <c r="AS2538" s="3" t="s">
        <v>62</v>
      </c>
      <c r="AT2538" s="3" t="s">
        <v>62</v>
      </c>
      <c r="AV2538" s="6" t="str">
        <f t="shared" si="43"/>
        <v>Catalog Record</v>
      </c>
      <c r="AW2538" s="6" t="str">
        <f t="shared" si="44"/>
        <v>WorldCat Record</v>
      </c>
      <c r="AX2538" s="3" t="s">
        <v>24512</v>
      </c>
      <c r="AY2538" s="3" t="s">
        <v>24513</v>
      </c>
      <c r="AZ2538" s="3" t="s">
        <v>24514</v>
      </c>
      <c r="BA2538" s="3" t="s">
        <v>24514</v>
      </c>
      <c r="BB2538" s="3" t="s">
        <v>24521</v>
      </c>
      <c r="BC2538" s="3" t="s">
        <v>102</v>
      </c>
      <c r="BD2538" s="3" t="s">
        <v>68</v>
      </c>
      <c r="BE2538" s="3" t="s">
        <v>24516</v>
      </c>
      <c r="BF2538" s="3" t="s">
        <v>24521</v>
      </c>
      <c r="BG2538" s="3" t="s">
        <v>24522</v>
      </c>
    </row>
    <row r="2539" spans="1:59" ht="101.5" x14ac:dyDescent="0.35">
      <c r="A2539" s="2" t="s">
        <v>89</v>
      </c>
      <c r="B2539" s="2" t="s">
        <v>12301</v>
      </c>
      <c r="C2539" s="2" t="s">
        <v>24507</v>
      </c>
      <c r="D2539" s="2" t="s">
        <v>24508</v>
      </c>
      <c r="E2539" s="2" t="s">
        <v>24509</v>
      </c>
      <c r="G2539" s="3" t="s">
        <v>62</v>
      </c>
      <c r="I2539" s="3" t="s">
        <v>61</v>
      </c>
      <c r="J2539" s="3" t="s">
        <v>61</v>
      </c>
      <c r="K2539" s="3" t="s">
        <v>63</v>
      </c>
      <c r="L2539" s="2" t="s">
        <v>24510</v>
      </c>
      <c r="M2539" s="2" t="s">
        <v>24511</v>
      </c>
      <c r="N2539" s="3" t="s">
        <v>2136</v>
      </c>
      <c r="O2539" s="2" t="s">
        <v>2458</v>
      </c>
      <c r="P2539" s="3" t="s">
        <v>64</v>
      </c>
      <c r="R2539" s="3" t="s">
        <v>13065</v>
      </c>
      <c r="S2539" s="4">
        <v>85</v>
      </c>
      <c r="T2539" s="4">
        <v>2176</v>
      </c>
      <c r="U2539" s="5" t="s">
        <v>2151</v>
      </c>
      <c r="V2539" s="5" t="s">
        <v>80</v>
      </c>
      <c r="W2539" s="5" t="s">
        <v>67</v>
      </c>
      <c r="X2539" s="5" t="s">
        <v>67</v>
      </c>
      <c r="Y2539" s="4">
        <v>83</v>
      </c>
      <c r="Z2539" s="4">
        <v>11</v>
      </c>
      <c r="AA2539" s="4">
        <v>30</v>
      </c>
      <c r="AB2539" s="4">
        <v>1</v>
      </c>
      <c r="AC2539" s="4">
        <v>9</v>
      </c>
      <c r="AD2539" s="4">
        <v>15</v>
      </c>
      <c r="AE2539" s="4">
        <v>96</v>
      </c>
      <c r="AF2539" s="4">
        <v>0</v>
      </c>
      <c r="AG2539" s="4">
        <v>5</v>
      </c>
      <c r="AH2539" s="4">
        <v>13</v>
      </c>
      <c r="AI2539" s="4">
        <v>79</v>
      </c>
      <c r="AJ2539" s="4">
        <v>7</v>
      </c>
      <c r="AK2539" s="4">
        <v>17</v>
      </c>
      <c r="AL2539" s="4">
        <v>7</v>
      </c>
      <c r="AM2539" s="4">
        <v>45</v>
      </c>
      <c r="AN2539" s="4">
        <v>0</v>
      </c>
      <c r="AO2539" s="4">
        <v>0</v>
      </c>
      <c r="AP2539" s="4">
        <v>8</v>
      </c>
      <c r="AQ2539" s="4">
        <v>23</v>
      </c>
      <c r="AR2539" s="3" t="s">
        <v>62</v>
      </c>
      <c r="AS2539" s="3" t="s">
        <v>62</v>
      </c>
      <c r="AT2539" s="3" t="s">
        <v>62</v>
      </c>
      <c r="AV2539" s="6" t="str">
        <f t="shared" si="43"/>
        <v>Catalog Record</v>
      </c>
      <c r="AW2539" s="6" t="str">
        <f t="shared" si="44"/>
        <v>WorldCat Record</v>
      </c>
      <c r="AX2539" s="3" t="s">
        <v>24512</v>
      </c>
      <c r="AY2539" s="3" t="s">
        <v>24513</v>
      </c>
      <c r="AZ2539" s="3" t="s">
        <v>24514</v>
      </c>
      <c r="BA2539" s="3" t="s">
        <v>24514</v>
      </c>
      <c r="BB2539" s="3" t="s">
        <v>24523</v>
      </c>
      <c r="BC2539" s="3" t="s">
        <v>102</v>
      </c>
      <c r="BD2539" s="3" t="s">
        <v>68</v>
      </c>
      <c r="BE2539" s="3" t="s">
        <v>24516</v>
      </c>
      <c r="BF2539" s="3" t="s">
        <v>24523</v>
      </c>
      <c r="BG2539" s="3" t="s">
        <v>24524</v>
      </c>
    </row>
    <row r="2540" spans="1:59" ht="101.5" x14ac:dyDescent="0.35">
      <c r="A2540" s="2" t="s">
        <v>89</v>
      </c>
      <c r="B2540" s="2" t="s">
        <v>12301</v>
      </c>
      <c r="C2540" s="2" t="s">
        <v>24507</v>
      </c>
      <c r="D2540" s="2" t="s">
        <v>24508</v>
      </c>
      <c r="E2540" s="2" t="s">
        <v>24509</v>
      </c>
      <c r="G2540" s="3" t="s">
        <v>62</v>
      </c>
      <c r="I2540" s="3" t="s">
        <v>61</v>
      </c>
      <c r="J2540" s="3" t="s">
        <v>61</v>
      </c>
      <c r="K2540" s="3" t="s">
        <v>63</v>
      </c>
      <c r="L2540" s="2" t="s">
        <v>24510</v>
      </c>
      <c r="M2540" s="2" t="s">
        <v>24511</v>
      </c>
      <c r="N2540" s="3" t="s">
        <v>2136</v>
      </c>
      <c r="O2540" s="2" t="s">
        <v>2458</v>
      </c>
      <c r="P2540" s="3" t="s">
        <v>64</v>
      </c>
      <c r="R2540" s="3" t="s">
        <v>13065</v>
      </c>
      <c r="S2540" s="4">
        <v>79</v>
      </c>
      <c r="T2540" s="4">
        <v>2176</v>
      </c>
      <c r="U2540" s="5" t="s">
        <v>24525</v>
      </c>
      <c r="V2540" s="5" t="s">
        <v>80</v>
      </c>
      <c r="W2540" s="5" t="s">
        <v>67</v>
      </c>
      <c r="X2540" s="5" t="s">
        <v>67</v>
      </c>
      <c r="Y2540" s="4">
        <v>83</v>
      </c>
      <c r="Z2540" s="4">
        <v>11</v>
      </c>
      <c r="AA2540" s="4">
        <v>30</v>
      </c>
      <c r="AB2540" s="4">
        <v>1</v>
      </c>
      <c r="AC2540" s="4">
        <v>9</v>
      </c>
      <c r="AD2540" s="4">
        <v>15</v>
      </c>
      <c r="AE2540" s="4">
        <v>96</v>
      </c>
      <c r="AF2540" s="4">
        <v>0</v>
      </c>
      <c r="AG2540" s="4">
        <v>5</v>
      </c>
      <c r="AH2540" s="4">
        <v>13</v>
      </c>
      <c r="AI2540" s="4">
        <v>79</v>
      </c>
      <c r="AJ2540" s="4">
        <v>7</v>
      </c>
      <c r="AK2540" s="4">
        <v>17</v>
      </c>
      <c r="AL2540" s="4">
        <v>7</v>
      </c>
      <c r="AM2540" s="4">
        <v>45</v>
      </c>
      <c r="AN2540" s="4">
        <v>0</v>
      </c>
      <c r="AO2540" s="4">
        <v>0</v>
      </c>
      <c r="AP2540" s="4">
        <v>8</v>
      </c>
      <c r="AQ2540" s="4">
        <v>23</v>
      </c>
      <c r="AR2540" s="3" t="s">
        <v>62</v>
      </c>
      <c r="AS2540" s="3" t="s">
        <v>62</v>
      </c>
      <c r="AT2540" s="3" t="s">
        <v>62</v>
      </c>
      <c r="AV2540" s="6" t="str">
        <f t="shared" si="43"/>
        <v>Catalog Record</v>
      </c>
      <c r="AW2540" s="6" t="str">
        <f t="shared" si="44"/>
        <v>WorldCat Record</v>
      </c>
      <c r="AX2540" s="3" t="s">
        <v>24512</v>
      </c>
      <c r="AY2540" s="3" t="s">
        <v>24513</v>
      </c>
      <c r="AZ2540" s="3" t="s">
        <v>24514</v>
      </c>
      <c r="BA2540" s="3" t="s">
        <v>24514</v>
      </c>
      <c r="BB2540" s="3" t="s">
        <v>24526</v>
      </c>
      <c r="BC2540" s="3" t="s">
        <v>102</v>
      </c>
      <c r="BD2540" s="3" t="s">
        <v>68</v>
      </c>
      <c r="BE2540" s="3" t="s">
        <v>24516</v>
      </c>
      <c r="BF2540" s="3" t="s">
        <v>24526</v>
      </c>
      <c r="BG2540" s="3" t="s">
        <v>24527</v>
      </c>
    </row>
    <row r="2541" spans="1:59" ht="101.5" x14ac:dyDescent="0.35">
      <c r="A2541" s="2" t="s">
        <v>89</v>
      </c>
      <c r="B2541" s="2" t="s">
        <v>12301</v>
      </c>
      <c r="C2541" s="2" t="s">
        <v>24507</v>
      </c>
      <c r="D2541" s="2" t="s">
        <v>24508</v>
      </c>
      <c r="E2541" s="2" t="s">
        <v>24509</v>
      </c>
      <c r="G2541" s="3" t="s">
        <v>62</v>
      </c>
      <c r="I2541" s="3" t="s">
        <v>61</v>
      </c>
      <c r="J2541" s="3" t="s">
        <v>61</v>
      </c>
      <c r="K2541" s="3" t="s">
        <v>63</v>
      </c>
      <c r="L2541" s="2" t="s">
        <v>24510</v>
      </c>
      <c r="M2541" s="2" t="s">
        <v>24511</v>
      </c>
      <c r="N2541" s="3" t="s">
        <v>2136</v>
      </c>
      <c r="O2541" s="2" t="s">
        <v>2458</v>
      </c>
      <c r="P2541" s="3" t="s">
        <v>64</v>
      </c>
      <c r="R2541" s="3" t="s">
        <v>13065</v>
      </c>
      <c r="S2541" s="4">
        <v>77</v>
      </c>
      <c r="T2541" s="4">
        <v>2176</v>
      </c>
      <c r="U2541" s="5" t="s">
        <v>1118</v>
      </c>
      <c r="V2541" s="5" t="s">
        <v>80</v>
      </c>
      <c r="W2541" s="5" t="s">
        <v>67</v>
      </c>
      <c r="X2541" s="5" t="s">
        <v>67</v>
      </c>
      <c r="Y2541" s="4">
        <v>83</v>
      </c>
      <c r="Z2541" s="4">
        <v>11</v>
      </c>
      <c r="AA2541" s="4">
        <v>30</v>
      </c>
      <c r="AB2541" s="4">
        <v>1</v>
      </c>
      <c r="AC2541" s="4">
        <v>9</v>
      </c>
      <c r="AD2541" s="4">
        <v>15</v>
      </c>
      <c r="AE2541" s="4">
        <v>96</v>
      </c>
      <c r="AF2541" s="4">
        <v>0</v>
      </c>
      <c r="AG2541" s="4">
        <v>5</v>
      </c>
      <c r="AH2541" s="4">
        <v>13</v>
      </c>
      <c r="AI2541" s="4">
        <v>79</v>
      </c>
      <c r="AJ2541" s="4">
        <v>7</v>
      </c>
      <c r="AK2541" s="4">
        <v>17</v>
      </c>
      <c r="AL2541" s="4">
        <v>7</v>
      </c>
      <c r="AM2541" s="4">
        <v>45</v>
      </c>
      <c r="AN2541" s="4">
        <v>0</v>
      </c>
      <c r="AO2541" s="4">
        <v>0</v>
      </c>
      <c r="AP2541" s="4">
        <v>8</v>
      </c>
      <c r="AQ2541" s="4">
        <v>23</v>
      </c>
      <c r="AR2541" s="3" t="s">
        <v>62</v>
      </c>
      <c r="AS2541" s="3" t="s">
        <v>62</v>
      </c>
      <c r="AT2541" s="3" t="s">
        <v>62</v>
      </c>
      <c r="AV2541" s="6" t="str">
        <f t="shared" si="43"/>
        <v>Catalog Record</v>
      </c>
      <c r="AW2541" s="6" t="str">
        <f t="shared" si="44"/>
        <v>WorldCat Record</v>
      </c>
      <c r="AX2541" s="3" t="s">
        <v>24512</v>
      </c>
      <c r="AY2541" s="3" t="s">
        <v>24513</v>
      </c>
      <c r="AZ2541" s="3" t="s">
        <v>24514</v>
      </c>
      <c r="BA2541" s="3" t="s">
        <v>24514</v>
      </c>
      <c r="BB2541" s="3" t="s">
        <v>24528</v>
      </c>
      <c r="BC2541" s="3" t="s">
        <v>102</v>
      </c>
      <c r="BD2541" s="3" t="s">
        <v>68</v>
      </c>
      <c r="BE2541" s="3" t="s">
        <v>24516</v>
      </c>
      <c r="BF2541" s="3" t="s">
        <v>24528</v>
      </c>
      <c r="BG2541" s="3" t="s">
        <v>24529</v>
      </c>
    </row>
    <row r="2542" spans="1:59" ht="101.5" x14ac:dyDescent="0.35">
      <c r="A2542" s="2" t="s">
        <v>89</v>
      </c>
      <c r="B2542" s="2" t="s">
        <v>12301</v>
      </c>
      <c r="C2542" s="2" t="s">
        <v>24507</v>
      </c>
      <c r="D2542" s="2" t="s">
        <v>24508</v>
      </c>
      <c r="E2542" s="2" t="s">
        <v>24509</v>
      </c>
      <c r="G2542" s="3" t="s">
        <v>62</v>
      </c>
      <c r="I2542" s="3" t="s">
        <v>61</v>
      </c>
      <c r="J2542" s="3" t="s">
        <v>61</v>
      </c>
      <c r="K2542" s="3" t="s">
        <v>63</v>
      </c>
      <c r="L2542" s="2" t="s">
        <v>24510</v>
      </c>
      <c r="M2542" s="2" t="s">
        <v>24511</v>
      </c>
      <c r="N2542" s="3" t="s">
        <v>2136</v>
      </c>
      <c r="O2542" s="2" t="s">
        <v>2458</v>
      </c>
      <c r="P2542" s="3" t="s">
        <v>64</v>
      </c>
      <c r="R2542" s="3" t="s">
        <v>13065</v>
      </c>
      <c r="S2542" s="4">
        <v>981</v>
      </c>
      <c r="T2542" s="4">
        <v>2176</v>
      </c>
      <c r="U2542" s="5" t="s">
        <v>80</v>
      </c>
      <c r="V2542" s="5" t="s">
        <v>80</v>
      </c>
      <c r="W2542" s="5" t="s">
        <v>67</v>
      </c>
      <c r="X2542" s="5" t="s">
        <v>67</v>
      </c>
      <c r="Y2542" s="4">
        <v>83</v>
      </c>
      <c r="Z2542" s="4">
        <v>11</v>
      </c>
      <c r="AA2542" s="4">
        <v>30</v>
      </c>
      <c r="AB2542" s="4">
        <v>1</v>
      </c>
      <c r="AC2542" s="4">
        <v>9</v>
      </c>
      <c r="AD2542" s="4">
        <v>15</v>
      </c>
      <c r="AE2542" s="4">
        <v>96</v>
      </c>
      <c r="AF2542" s="4">
        <v>0</v>
      </c>
      <c r="AG2542" s="4">
        <v>5</v>
      </c>
      <c r="AH2542" s="4">
        <v>13</v>
      </c>
      <c r="AI2542" s="4">
        <v>79</v>
      </c>
      <c r="AJ2542" s="4">
        <v>7</v>
      </c>
      <c r="AK2542" s="4">
        <v>17</v>
      </c>
      <c r="AL2542" s="4">
        <v>7</v>
      </c>
      <c r="AM2542" s="4">
        <v>45</v>
      </c>
      <c r="AN2542" s="4">
        <v>0</v>
      </c>
      <c r="AO2542" s="4">
        <v>0</v>
      </c>
      <c r="AP2542" s="4">
        <v>8</v>
      </c>
      <c r="AQ2542" s="4">
        <v>23</v>
      </c>
      <c r="AR2542" s="3" t="s">
        <v>62</v>
      </c>
      <c r="AS2542" s="3" t="s">
        <v>62</v>
      </c>
      <c r="AT2542" s="3" t="s">
        <v>62</v>
      </c>
      <c r="AV2542" s="6" t="str">
        <f t="shared" si="43"/>
        <v>Catalog Record</v>
      </c>
      <c r="AW2542" s="6" t="str">
        <f t="shared" si="44"/>
        <v>WorldCat Record</v>
      </c>
      <c r="AX2542" s="3" t="s">
        <v>24512</v>
      </c>
      <c r="AY2542" s="3" t="s">
        <v>24513</v>
      </c>
      <c r="AZ2542" s="3" t="s">
        <v>24514</v>
      </c>
      <c r="BA2542" s="3" t="s">
        <v>24514</v>
      </c>
      <c r="BB2542" s="3" t="s">
        <v>24530</v>
      </c>
      <c r="BC2542" s="3" t="s">
        <v>102</v>
      </c>
      <c r="BD2542" s="3" t="s">
        <v>68</v>
      </c>
      <c r="BE2542" s="3" t="s">
        <v>24516</v>
      </c>
      <c r="BF2542" s="3" t="s">
        <v>24530</v>
      </c>
      <c r="BG2542" s="3" t="s">
        <v>24531</v>
      </c>
    </row>
    <row r="2543" spans="1:59" ht="101.5" x14ac:dyDescent="0.35">
      <c r="A2543" s="2" t="s">
        <v>89</v>
      </c>
      <c r="B2543" s="2" t="s">
        <v>12301</v>
      </c>
      <c r="C2543" s="2" t="s">
        <v>24507</v>
      </c>
      <c r="D2543" s="2" t="s">
        <v>24508</v>
      </c>
      <c r="E2543" s="2" t="s">
        <v>24509</v>
      </c>
      <c r="G2543" s="3" t="s">
        <v>62</v>
      </c>
      <c r="I2543" s="3" t="s">
        <v>61</v>
      </c>
      <c r="J2543" s="3" t="s">
        <v>61</v>
      </c>
      <c r="K2543" s="3" t="s">
        <v>63</v>
      </c>
      <c r="L2543" s="2" t="s">
        <v>24510</v>
      </c>
      <c r="M2543" s="2" t="s">
        <v>24511</v>
      </c>
      <c r="N2543" s="3" t="s">
        <v>2136</v>
      </c>
      <c r="O2543" s="2" t="s">
        <v>2458</v>
      </c>
      <c r="P2543" s="3" t="s">
        <v>64</v>
      </c>
      <c r="R2543" s="3" t="s">
        <v>13065</v>
      </c>
      <c r="S2543" s="4">
        <v>843</v>
      </c>
      <c r="T2543" s="4">
        <v>2176</v>
      </c>
      <c r="U2543" s="5" t="s">
        <v>4211</v>
      </c>
      <c r="V2543" s="5" t="s">
        <v>80</v>
      </c>
      <c r="W2543" s="5" t="s">
        <v>67</v>
      </c>
      <c r="X2543" s="5" t="s">
        <v>67</v>
      </c>
      <c r="Y2543" s="4">
        <v>83</v>
      </c>
      <c r="Z2543" s="4">
        <v>11</v>
      </c>
      <c r="AA2543" s="4">
        <v>30</v>
      </c>
      <c r="AB2543" s="4">
        <v>1</v>
      </c>
      <c r="AC2543" s="4">
        <v>9</v>
      </c>
      <c r="AD2543" s="4">
        <v>15</v>
      </c>
      <c r="AE2543" s="4">
        <v>96</v>
      </c>
      <c r="AF2543" s="4">
        <v>0</v>
      </c>
      <c r="AG2543" s="4">
        <v>5</v>
      </c>
      <c r="AH2543" s="4">
        <v>13</v>
      </c>
      <c r="AI2543" s="4">
        <v>79</v>
      </c>
      <c r="AJ2543" s="4">
        <v>7</v>
      </c>
      <c r="AK2543" s="4">
        <v>17</v>
      </c>
      <c r="AL2543" s="4">
        <v>7</v>
      </c>
      <c r="AM2543" s="4">
        <v>45</v>
      </c>
      <c r="AN2543" s="4">
        <v>0</v>
      </c>
      <c r="AO2543" s="4">
        <v>0</v>
      </c>
      <c r="AP2543" s="4">
        <v>8</v>
      </c>
      <c r="AQ2543" s="4">
        <v>23</v>
      </c>
      <c r="AR2543" s="3" t="s">
        <v>62</v>
      </c>
      <c r="AS2543" s="3" t="s">
        <v>62</v>
      </c>
      <c r="AT2543" s="3" t="s">
        <v>62</v>
      </c>
      <c r="AV2543" s="6" t="str">
        <f t="shared" si="43"/>
        <v>Catalog Record</v>
      </c>
      <c r="AW2543" s="6" t="str">
        <f t="shared" si="44"/>
        <v>WorldCat Record</v>
      </c>
      <c r="AX2543" s="3" t="s">
        <v>24512</v>
      </c>
      <c r="AY2543" s="3" t="s">
        <v>24513</v>
      </c>
      <c r="AZ2543" s="3" t="s">
        <v>24514</v>
      </c>
      <c r="BA2543" s="3" t="s">
        <v>24514</v>
      </c>
      <c r="BB2543" s="3" t="s">
        <v>24532</v>
      </c>
      <c r="BC2543" s="3" t="s">
        <v>102</v>
      </c>
      <c r="BD2543" s="3" t="s">
        <v>68</v>
      </c>
      <c r="BE2543" s="3" t="s">
        <v>24516</v>
      </c>
      <c r="BF2543" s="3" t="s">
        <v>24532</v>
      </c>
      <c r="BG2543" s="3" t="s">
        <v>24533</v>
      </c>
    </row>
    <row r="2544" spans="1:59" ht="58" x14ac:dyDescent="0.35">
      <c r="A2544" s="2" t="s">
        <v>89</v>
      </c>
      <c r="B2544" s="2" t="s">
        <v>90</v>
      </c>
      <c r="C2544" s="2" t="s">
        <v>24534</v>
      </c>
      <c r="D2544" s="2" t="s">
        <v>24535</v>
      </c>
      <c r="E2544" s="2" t="s">
        <v>24536</v>
      </c>
      <c r="G2544" s="3" t="s">
        <v>62</v>
      </c>
      <c r="I2544" s="3" t="s">
        <v>62</v>
      </c>
      <c r="J2544" s="3" t="s">
        <v>62</v>
      </c>
      <c r="K2544" s="3" t="s">
        <v>63</v>
      </c>
      <c r="L2544" s="2" t="s">
        <v>24537</v>
      </c>
      <c r="M2544" s="2" t="s">
        <v>13921</v>
      </c>
      <c r="N2544" s="3" t="s">
        <v>795</v>
      </c>
      <c r="P2544" s="3" t="s">
        <v>64</v>
      </c>
      <c r="Q2544" s="2" t="s">
        <v>24538</v>
      </c>
      <c r="R2544" s="3" t="s">
        <v>13065</v>
      </c>
      <c r="S2544" s="4">
        <v>2</v>
      </c>
      <c r="T2544" s="4">
        <v>2</v>
      </c>
      <c r="U2544" s="5" t="s">
        <v>70</v>
      </c>
      <c r="V2544" s="5" t="s">
        <v>70</v>
      </c>
      <c r="W2544" s="5" t="s">
        <v>67</v>
      </c>
      <c r="X2544" s="5" t="s">
        <v>67</v>
      </c>
      <c r="Y2544" s="4">
        <v>425</v>
      </c>
      <c r="Z2544" s="4">
        <v>25</v>
      </c>
      <c r="AA2544" s="4">
        <v>35</v>
      </c>
      <c r="AB2544" s="4">
        <v>2</v>
      </c>
      <c r="AC2544" s="4">
        <v>8</v>
      </c>
      <c r="AD2544" s="4">
        <v>115</v>
      </c>
      <c r="AE2544" s="4">
        <v>122</v>
      </c>
      <c r="AF2544" s="4">
        <v>1</v>
      </c>
      <c r="AG2544" s="4">
        <v>4</v>
      </c>
      <c r="AH2544" s="4">
        <v>99</v>
      </c>
      <c r="AI2544" s="4">
        <v>104</v>
      </c>
      <c r="AJ2544" s="4">
        <v>18</v>
      </c>
      <c r="AK2544" s="4">
        <v>21</v>
      </c>
      <c r="AL2544" s="4">
        <v>57</v>
      </c>
      <c r="AM2544" s="4">
        <v>58</v>
      </c>
      <c r="AN2544" s="4">
        <v>0</v>
      </c>
      <c r="AO2544" s="4">
        <v>0</v>
      </c>
      <c r="AP2544" s="4">
        <v>21</v>
      </c>
      <c r="AQ2544" s="4">
        <v>23</v>
      </c>
      <c r="AR2544" s="3" t="s">
        <v>62</v>
      </c>
      <c r="AS2544" s="3" t="s">
        <v>61</v>
      </c>
      <c r="AT2544" s="3" t="s">
        <v>62</v>
      </c>
      <c r="AU2544" s="6" t="str">
        <f>HYPERLINK("http://catalog.hathitrust.org/Record/000619303","HathiTrust Record")</f>
        <v>HathiTrust Record</v>
      </c>
      <c r="AV2544" s="6" t="str">
        <f>HYPERLINK("http://mcgill.on.worldcat.org/oclc/528214","Catalog Record")</f>
        <v>Catalog Record</v>
      </c>
      <c r="AW2544" s="6" t="str">
        <f>HYPERLINK("http://www.worldcat.org/oclc/528214","WorldCat Record")</f>
        <v>WorldCat Record</v>
      </c>
      <c r="AX2544" s="3" t="s">
        <v>24539</v>
      </c>
      <c r="AY2544" s="3" t="s">
        <v>24540</v>
      </c>
      <c r="AZ2544" s="3" t="s">
        <v>24541</v>
      </c>
      <c r="BA2544" s="3" t="s">
        <v>24541</v>
      </c>
      <c r="BB2544" s="3" t="s">
        <v>24542</v>
      </c>
      <c r="BC2544" s="3" t="s">
        <v>102</v>
      </c>
      <c r="BD2544" s="3" t="s">
        <v>68</v>
      </c>
      <c r="BF2544" s="3" t="s">
        <v>24542</v>
      </c>
      <c r="BG2544" s="3" t="s">
        <v>24543</v>
      </c>
    </row>
    <row r="2545" spans="1:59" ht="58" x14ac:dyDescent="0.35">
      <c r="A2545" s="2" t="s">
        <v>89</v>
      </c>
      <c r="B2545" s="2" t="s">
        <v>90</v>
      </c>
      <c r="C2545" s="2" t="s">
        <v>24544</v>
      </c>
      <c r="D2545" s="2" t="s">
        <v>24545</v>
      </c>
      <c r="E2545" s="2" t="s">
        <v>24546</v>
      </c>
      <c r="G2545" s="3" t="s">
        <v>62</v>
      </c>
      <c r="I2545" s="3" t="s">
        <v>62</v>
      </c>
      <c r="J2545" s="3" t="s">
        <v>62</v>
      </c>
      <c r="K2545" s="3" t="s">
        <v>63</v>
      </c>
      <c r="L2545" s="2" t="s">
        <v>24547</v>
      </c>
      <c r="M2545" s="2" t="s">
        <v>24548</v>
      </c>
      <c r="N2545" s="3" t="s">
        <v>6410</v>
      </c>
      <c r="P2545" s="3" t="s">
        <v>64</v>
      </c>
      <c r="R2545" s="3" t="s">
        <v>13065</v>
      </c>
      <c r="S2545" s="4">
        <v>38</v>
      </c>
      <c r="T2545" s="4">
        <v>38</v>
      </c>
      <c r="U2545" s="5" t="s">
        <v>3099</v>
      </c>
      <c r="V2545" s="5" t="s">
        <v>3099</v>
      </c>
      <c r="W2545" s="5" t="s">
        <v>67</v>
      </c>
      <c r="X2545" s="5" t="s">
        <v>67</v>
      </c>
      <c r="Y2545" s="4">
        <v>381</v>
      </c>
      <c r="Z2545" s="4">
        <v>29</v>
      </c>
      <c r="AA2545" s="4">
        <v>42</v>
      </c>
      <c r="AB2545" s="4">
        <v>2</v>
      </c>
      <c r="AC2545" s="4">
        <v>6</v>
      </c>
      <c r="AD2545" s="4">
        <v>110</v>
      </c>
      <c r="AE2545" s="4">
        <v>133</v>
      </c>
      <c r="AF2545" s="4">
        <v>1</v>
      </c>
      <c r="AG2545" s="4">
        <v>5</v>
      </c>
      <c r="AH2545" s="4">
        <v>92</v>
      </c>
      <c r="AI2545" s="4">
        <v>104</v>
      </c>
      <c r="AJ2545" s="4">
        <v>17</v>
      </c>
      <c r="AK2545" s="4">
        <v>25</v>
      </c>
      <c r="AL2545" s="4">
        <v>55</v>
      </c>
      <c r="AM2545" s="4">
        <v>60</v>
      </c>
      <c r="AN2545" s="4">
        <v>0</v>
      </c>
      <c r="AO2545" s="4">
        <v>0</v>
      </c>
      <c r="AP2545" s="4">
        <v>24</v>
      </c>
      <c r="AQ2545" s="4">
        <v>35</v>
      </c>
      <c r="AR2545" s="3" t="s">
        <v>62</v>
      </c>
      <c r="AS2545" s="3" t="s">
        <v>62</v>
      </c>
      <c r="AT2545" s="3" t="s">
        <v>61</v>
      </c>
      <c r="AU2545" s="6" t="str">
        <f>HYPERLINK("http://catalog.hathitrust.org/Record/000615261","HathiTrust Record")</f>
        <v>HathiTrust Record</v>
      </c>
      <c r="AV2545" s="6" t="str">
        <f>HYPERLINK("http://mcgill.on.worldcat.org/oclc/1303766","Catalog Record")</f>
        <v>Catalog Record</v>
      </c>
      <c r="AW2545" s="6" t="str">
        <f>HYPERLINK("http://www.worldcat.org/oclc/1303766","WorldCat Record")</f>
        <v>WorldCat Record</v>
      </c>
      <c r="AX2545" s="3" t="s">
        <v>24549</v>
      </c>
      <c r="AY2545" s="3" t="s">
        <v>24550</v>
      </c>
      <c r="AZ2545" s="3" t="s">
        <v>24551</v>
      </c>
      <c r="BA2545" s="3" t="s">
        <v>24551</v>
      </c>
      <c r="BB2545" s="3" t="s">
        <v>24552</v>
      </c>
      <c r="BC2545" s="3" t="s">
        <v>102</v>
      </c>
      <c r="BD2545" s="3" t="s">
        <v>231</v>
      </c>
      <c r="BF2545" s="3" t="s">
        <v>24552</v>
      </c>
      <c r="BG2545" s="3" t="s">
        <v>24553</v>
      </c>
    </row>
    <row r="2546" spans="1:59" ht="58" x14ac:dyDescent="0.35">
      <c r="A2546" s="2" t="s">
        <v>89</v>
      </c>
      <c r="B2546" s="2" t="s">
        <v>90</v>
      </c>
      <c r="C2546" s="2" t="s">
        <v>24554</v>
      </c>
      <c r="D2546" s="2" t="s">
        <v>24555</v>
      </c>
      <c r="E2546" s="2" t="s">
        <v>24556</v>
      </c>
      <c r="G2546" s="3" t="s">
        <v>62</v>
      </c>
      <c r="I2546" s="3" t="s">
        <v>61</v>
      </c>
      <c r="J2546" s="3" t="s">
        <v>62</v>
      </c>
      <c r="K2546" s="3" t="s">
        <v>63</v>
      </c>
      <c r="L2546" s="2" t="s">
        <v>24557</v>
      </c>
      <c r="M2546" s="2" t="s">
        <v>24420</v>
      </c>
      <c r="N2546" s="3" t="s">
        <v>838</v>
      </c>
      <c r="P2546" s="3" t="s">
        <v>1881</v>
      </c>
      <c r="Q2546" s="2" t="s">
        <v>24558</v>
      </c>
      <c r="R2546" s="3" t="s">
        <v>13065</v>
      </c>
      <c r="S2546" s="4">
        <v>1</v>
      </c>
      <c r="T2546" s="4">
        <v>1</v>
      </c>
      <c r="U2546" s="5" t="s">
        <v>16269</v>
      </c>
      <c r="V2546" s="5" t="s">
        <v>16269</v>
      </c>
      <c r="W2546" s="5" t="s">
        <v>67</v>
      </c>
      <c r="X2546" s="5" t="s">
        <v>67</v>
      </c>
      <c r="Y2546" s="4">
        <v>294</v>
      </c>
      <c r="Z2546" s="4">
        <v>15</v>
      </c>
      <c r="AA2546" s="4">
        <v>16</v>
      </c>
      <c r="AB2546" s="4">
        <v>1</v>
      </c>
      <c r="AC2546" s="4">
        <v>2</v>
      </c>
      <c r="AD2546" s="4">
        <v>104</v>
      </c>
      <c r="AE2546" s="4">
        <v>105</v>
      </c>
      <c r="AF2546" s="4">
        <v>0</v>
      </c>
      <c r="AG2546" s="4">
        <v>1</v>
      </c>
      <c r="AH2546" s="4">
        <v>94</v>
      </c>
      <c r="AI2546" s="4">
        <v>95</v>
      </c>
      <c r="AJ2546" s="4">
        <v>11</v>
      </c>
      <c r="AK2546" s="4">
        <v>12</v>
      </c>
      <c r="AL2546" s="4">
        <v>55</v>
      </c>
      <c r="AM2546" s="4">
        <v>55</v>
      </c>
      <c r="AN2546" s="4">
        <v>0</v>
      </c>
      <c r="AO2546" s="4">
        <v>0</v>
      </c>
      <c r="AP2546" s="4">
        <v>12</v>
      </c>
      <c r="AQ2546" s="4">
        <v>13</v>
      </c>
      <c r="AR2546" s="3" t="s">
        <v>62</v>
      </c>
      <c r="AS2546" s="3" t="s">
        <v>62</v>
      </c>
      <c r="AT2546" s="3" t="s">
        <v>61</v>
      </c>
      <c r="AU2546" s="6" t="str">
        <f>HYPERLINK("http://catalog.hathitrust.org/Record/000623361","HathiTrust Record")</f>
        <v>HathiTrust Record</v>
      </c>
      <c r="AV2546" s="6" t="str">
        <f>HYPERLINK("http://mcgill.on.worldcat.org/oclc/1071346","Catalog Record")</f>
        <v>Catalog Record</v>
      </c>
      <c r="AW2546" s="6" t="str">
        <f>HYPERLINK("http://www.worldcat.org/oclc/1071346","WorldCat Record")</f>
        <v>WorldCat Record</v>
      </c>
      <c r="AX2546" s="3" t="s">
        <v>24559</v>
      </c>
      <c r="AY2546" s="3" t="s">
        <v>24560</v>
      </c>
      <c r="AZ2546" s="3" t="s">
        <v>24561</v>
      </c>
      <c r="BA2546" s="3" t="s">
        <v>24561</v>
      </c>
      <c r="BB2546" s="3" t="s">
        <v>24562</v>
      </c>
      <c r="BC2546" s="3" t="s">
        <v>102</v>
      </c>
      <c r="BD2546" s="3" t="s">
        <v>68</v>
      </c>
      <c r="BF2546" s="3" t="s">
        <v>24562</v>
      </c>
      <c r="BG2546" s="3" t="s">
        <v>24563</v>
      </c>
    </row>
    <row r="2547" spans="1:59" ht="145" x14ac:dyDescent="0.35">
      <c r="A2547" s="2" t="s">
        <v>89</v>
      </c>
      <c r="B2547" s="2" t="s">
        <v>12301</v>
      </c>
      <c r="C2547" s="2" t="s">
        <v>24564</v>
      </c>
      <c r="D2547" s="2" t="s">
        <v>24565</v>
      </c>
      <c r="E2547" s="2" t="s">
        <v>24566</v>
      </c>
      <c r="F2547" s="3" t="s">
        <v>13105</v>
      </c>
      <c r="G2547" s="3" t="s">
        <v>62</v>
      </c>
      <c r="I2547" s="3" t="s">
        <v>61</v>
      </c>
      <c r="J2547" s="3" t="s">
        <v>62</v>
      </c>
      <c r="K2547" s="3" t="s">
        <v>63</v>
      </c>
      <c r="L2547" s="2" t="s">
        <v>24567</v>
      </c>
      <c r="M2547" s="2" t="s">
        <v>24568</v>
      </c>
      <c r="N2547" s="3" t="s">
        <v>129</v>
      </c>
      <c r="P2547" s="3" t="s">
        <v>64</v>
      </c>
      <c r="R2547" s="3" t="s">
        <v>13065</v>
      </c>
      <c r="S2547" s="4">
        <v>67</v>
      </c>
      <c r="T2547" s="4">
        <v>173</v>
      </c>
      <c r="U2547" s="5" t="s">
        <v>16074</v>
      </c>
      <c r="V2547" s="5" t="s">
        <v>23948</v>
      </c>
      <c r="W2547" s="5" t="s">
        <v>67</v>
      </c>
      <c r="X2547" s="5" t="s">
        <v>67</v>
      </c>
      <c r="Y2547" s="4">
        <v>12</v>
      </c>
      <c r="Z2547" s="4">
        <v>1</v>
      </c>
      <c r="AA2547" s="4">
        <v>1</v>
      </c>
      <c r="AB2547" s="4">
        <v>1</v>
      </c>
      <c r="AC2547" s="4">
        <v>1</v>
      </c>
      <c r="AD2547" s="4">
        <v>3</v>
      </c>
      <c r="AE2547" s="4">
        <v>3</v>
      </c>
      <c r="AF2547" s="4">
        <v>0</v>
      </c>
      <c r="AG2547" s="4">
        <v>0</v>
      </c>
      <c r="AH2547" s="4">
        <v>3</v>
      </c>
      <c r="AI2547" s="4">
        <v>3</v>
      </c>
      <c r="AJ2547" s="4">
        <v>0</v>
      </c>
      <c r="AK2547" s="4">
        <v>0</v>
      </c>
      <c r="AL2547" s="4">
        <v>3</v>
      </c>
      <c r="AM2547" s="4">
        <v>3</v>
      </c>
      <c r="AN2547" s="4">
        <v>0</v>
      </c>
      <c r="AO2547" s="4">
        <v>0</v>
      </c>
      <c r="AP2547" s="4">
        <v>0</v>
      </c>
      <c r="AQ2547" s="4">
        <v>0</v>
      </c>
      <c r="AR2547" s="3" t="s">
        <v>62</v>
      </c>
      <c r="AS2547" s="3" t="s">
        <v>62</v>
      </c>
      <c r="AT2547" s="3" t="s">
        <v>62</v>
      </c>
      <c r="AV2547" s="6" t="str">
        <f>HYPERLINK("http://mcgill.on.worldcat.org/oclc/829753931","Catalog Record")</f>
        <v>Catalog Record</v>
      </c>
      <c r="AW2547" s="6" t="str">
        <f>HYPERLINK("http://www.worldcat.org/oclc/829753931","WorldCat Record")</f>
        <v>WorldCat Record</v>
      </c>
      <c r="AX2547" s="3" t="s">
        <v>24569</v>
      </c>
      <c r="AY2547" s="3" t="s">
        <v>24570</v>
      </c>
      <c r="AZ2547" s="3" t="s">
        <v>24571</v>
      </c>
      <c r="BA2547" s="3" t="s">
        <v>24571</v>
      </c>
      <c r="BB2547" s="3" t="s">
        <v>24572</v>
      </c>
      <c r="BC2547" s="3" t="s">
        <v>102</v>
      </c>
      <c r="BD2547" s="3" t="s">
        <v>68</v>
      </c>
      <c r="BE2547" s="3" t="s">
        <v>24573</v>
      </c>
      <c r="BF2547" s="3" t="s">
        <v>24572</v>
      </c>
      <c r="BG2547" s="3" t="s">
        <v>24574</v>
      </c>
    </row>
    <row r="2548" spans="1:59" ht="145" x14ac:dyDescent="0.35">
      <c r="A2548" s="2" t="s">
        <v>89</v>
      </c>
      <c r="B2548" s="2" t="s">
        <v>12301</v>
      </c>
      <c r="C2548" s="2" t="s">
        <v>24564</v>
      </c>
      <c r="D2548" s="2" t="s">
        <v>24565</v>
      </c>
      <c r="E2548" s="2" t="s">
        <v>24566</v>
      </c>
      <c r="F2548" s="3" t="s">
        <v>13105</v>
      </c>
      <c r="G2548" s="3" t="s">
        <v>62</v>
      </c>
      <c r="I2548" s="3" t="s">
        <v>61</v>
      </c>
      <c r="J2548" s="3" t="s">
        <v>62</v>
      </c>
      <c r="K2548" s="3" t="s">
        <v>63</v>
      </c>
      <c r="L2548" s="2" t="s">
        <v>24567</v>
      </c>
      <c r="M2548" s="2" t="s">
        <v>24568</v>
      </c>
      <c r="N2548" s="3" t="s">
        <v>129</v>
      </c>
      <c r="P2548" s="3" t="s">
        <v>64</v>
      </c>
      <c r="R2548" s="3" t="s">
        <v>13065</v>
      </c>
      <c r="S2548" s="4">
        <v>106</v>
      </c>
      <c r="T2548" s="4">
        <v>173</v>
      </c>
      <c r="U2548" s="5" t="s">
        <v>23948</v>
      </c>
      <c r="V2548" s="5" t="s">
        <v>23948</v>
      </c>
      <c r="W2548" s="5" t="s">
        <v>67</v>
      </c>
      <c r="X2548" s="5" t="s">
        <v>67</v>
      </c>
      <c r="Y2548" s="4">
        <v>12</v>
      </c>
      <c r="Z2548" s="4">
        <v>1</v>
      </c>
      <c r="AA2548" s="4">
        <v>1</v>
      </c>
      <c r="AB2548" s="4">
        <v>1</v>
      </c>
      <c r="AC2548" s="4">
        <v>1</v>
      </c>
      <c r="AD2548" s="4">
        <v>3</v>
      </c>
      <c r="AE2548" s="4">
        <v>3</v>
      </c>
      <c r="AF2548" s="4">
        <v>0</v>
      </c>
      <c r="AG2548" s="4">
        <v>0</v>
      </c>
      <c r="AH2548" s="4">
        <v>3</v>
      </c>
      <c r="AI2548" s="4">
        <v>3</v>
      </c>
      <c r="AJ2548" s="4">
        <v>0</v>
      </c>
      <c r="AK2548" s="4">
        <v>0</v>
      </c>
      <c r="AL2548" s="4">
        <v>3</v>
      </c>
      <c r="AM2548" s="4">
        <v>3</v>
      </c>
      <c r="AN2548" s="4">
        <v>0</v>
      </c>
      <c r="AO2548" s="4">
        <v>0</v>
      </c>
      <c r="AP2548" s="4">
        <v>0</v>
      </c>
      <c r="AQ2548" s="4">
        <v>0</v>
      </c>
      <c r="AR2548" s="3" t="s">
        <v>62</v>
      </c>
      <c r="AS2548" s="3" t="s">
        <v>62</v>
      </c>
      <c r="AT2548" s="3" t="s">
        <v>62</v>
      </c>
      <c r="AV2548" s="6" t="str">
        <f>HYPERLINK("http://mcgill.on.worldcat.org/oclc/829753931","Catalog Record")</f>
        <v>Catalog Record</v>
      </c>
      <c r="AW2548" s="6" t="str">
        <f>HYPERLINK("http://www.worldcat.org/oclc/829753931","WorldCat Record")</f>
        <v>WorldCat Record</v>
      </c>
      <c r="AX2548" s="3" t="s">
        <v>24569</v>
      </c>
      <c r="AY2548" s="3" t="s">
        <v>24570</v>
      </c>
      <c r="AZ2548" s="3" t="s">
        <v>24571</v>
      </c>
      <c r="BA2548" s="3" t="s">
        <v>24571</v>
      </c>
      <c r="BB2548" s="3" t="s">
        <v>24575</v>
      </c>
      <c r="BC2548" s="3" t="s">
        <v>102</v>
      </c>
      <c r="BD2548" s="3" t="s">
        <v>231</v>
      </c>
      <c r="BE2548" s="3" t="s">
        <v>24573</v>
      </c>
      <c r="BF2548" s="3" t="s">
        <v>24575</v>
      </c>
      <c r="BG2548" s="3" t="s">
        <v>24576</v>
      </c>
    </row>
    <row r="2549" spans="1:59" ht="101.5" x14ac:dyDescent="0.35">
      <c r="A2549" s="2" t="s">
        <v>89</v>
      </c>
      <c r="B2549" s="2" t="s">
        <v>12301</v>
      </c>
      <c r="C2549" s="2" t="s">
        <v>24577</v>
      </c>
      <c r="D2549" s="2" t="s">
        <v>24578</v>
      </c>
      <c r="E2549" s="2" t="s">
        <v>24579</v>
      </c>
      <c r="G2549" s="3" t="s">
        <v>62</v>
      </c>
      <c r="I2549" s="3" t="s">
        <v>61</v>
      </c>
      <c r="J2549" s="3" t="s">
        <v>61</v>
      </c>
      <c r="K2549" s="3" t="s">
        <v>63</v>
      </c>
      <c r="L2549" s="2" t="s">
        <v>24580</v>
      </c>
      <c r="M2549" s="2" t="s">
        <v>24581</v>
      </c>
      <c r="N2549" s="3" t="s">
        <v>698</v>
      </c>
      <c r="O2549" s="2" t="s">
        <v>15933</v>
      </c>
      <c r="P2549" s="3" t="s">
        <v>64</v>
      </c>
      <c r="R2549" s="3" t="s">
        <v>13065</v>
      </c>
      <c r="S2549" s="4">
        <v>156</v>
      </c>
      <c r="T2549" s="4">
        <v>597</v>
      </c>
      <c r="U2549" s="5" t="s">
        <v>23948</v>
      </c>
      <c r="V2549" s="5" t="s">
        <v>23948</v>
      </c>
      <c r="W2549" s="5" t="s">
        <v>67</v>
      </c>
      <c r="X2549" s="5" t="s">
        <v>67</v>
      </c>
      <c r="Y2549" s="4">
        <v>132</v>
      </c>
      <c r="Z2549" s="4">
        <v>16</v>
      </c>
      <c r="AA2549" s="4">
        <v>77</v>
      </c>
      <c r="AB2549" s="4">
        <v>3</v>
      </c>
      <c r="AC2549" s="4">
        <v>17</v>
      </c>
      <c r="AD2549" s="4">
        <v>44</v>
      </c>
      <c r="AE2549" s="4">
        <v>155</v>
      </c>
      <c r="AF2549" s="4">
        <v>1</v>
      </c>
      <c r="AG2549" s="4">
        <v>9</v>
      </c>
      <c r="AH2549" s="4">
        <v>38</v>
      </c>
      <c r="AI2549" s="4">
        <v>115</v>
      </c>
      <c r="AJ2549" s="4">
        <v>8</v>
      </c>
      <c r="AK2549" s="4">
        <v>28</v>
      </c>
      <c r="AL2549" s="4">
        <v>28</v>
      </c>
      <c r="AM2549" s="4">
        <v>62</v>
      </c>
      <c r="AN2549" s="4">
        <v>0</v>
      </c>
      <c r="AO2549" s="4">
        <v>5</v>
      </c>
      <c r="AP2549" s="4">
        <v>10</v>
      </c>
      <c r="AQ2549" s="4">
        <v>47</v>
      </c>
      <c r="AR2549" s="3" t="s">
        <v>62</v>
      </c>
      <c r="AS2549" s="3" t="s">
        <v>62</v>
      </c>
      <c r="AT2549" s="3" t="s">
        <v>62</v>
      </c>
      <c r="AV2549" s="6" t="str">
        <f>HYPERLINK("http://mcgill.on.worldcat.org/oclc/779125914","Catalog Record")</f>
        <v>Catalog Record</v>
      </c>
      <c r="AW2549" s="6" t="str">
        <f>HYPERLINK("http://www.worldcat.org/oclc/779125914","WorldCat Record")</f>
        <v>WorldCat Record</v>
      </c>
      <c r="AX2549" s="3" t="s">
        <v>24582</v>
      </c>
      <c r="AY2549" s="3" t="s">
        <v>24583</v>
      </c>
      <c r="AZ2549" s="3" t="s">
        <v>24584</v>
      </c>
      <c r="BA2549" s="3" t="s">
        <v>24584</v>
      </c>
      <c r="BB2549" s="3" t="s">
        <v>24585</v>
      </c>
      <c r="BC2549" s="3" t="s">
        <v>102</v>
      </c>
      <c r="BD2549" s="3" t="s">
        <v>68</v>
      </c>
      <c r="BE2549" s="3" t="s">
        <v>24586</v>
      </c>
      <c r="BF2549" s="3" t="s">
        <v>24585</v>
      </c>
      <c r="BG2549" s="3" t="s">
        <v>24587</v>
      </c>
    </row>
    <row r="2550" spans="1:59" ht="101.5" x14ac:dyDescent="0.35">
      <c r="A2550" s="2" t="s">
        <v>89</v>
      </c>
      <c r="B2550" s="2" t="s">
        <v>12301</v>
      </c>
      <c r="C2550" s="2" t="s">
        <v>24577</v>
      </c>
      <c r="D2550" s="2" t="s">
        <v>24578</v>
      </c>
      <c r="E2550" s="2" t="s">
        <v>24579</v>
      </c>
      <c r="G2550" s="3" t="s">
        <v>62</v>
      </c>
      <c r="I2550" s="3" t="s">
        <v>61</v>
      </c>
      <c r="J2550" s="3" t="s">
        <v>61</v>
      </c>
      <c r="K2550" s="3" t="s">
        <v>63</v>
      </c>
      <c r="L2550" s="2" t="s">
        <v>24580</v>
      </c>
      <c r="M2550" s="2" t="s">
        <v>24581</v>
      </c>
      <c r="N2550" s="3" t="s">
        <v>698</v>
      </c>
      <c r="O2550" s="2" t="s">
        <v>15933</v>
      </c>
      <c r="P2550" s="3" t="s">
        <v>64</v>
      </c>
      <c r="R2550" s="3" t="s">
        <v>13065</v>
      </c>
      <c r="S2550" s="4">
        <v>147</v>
      </c>
      <c r="T2550" s="4">
        <v>597</v>
      </c>
      <c r="U2550" s="5" t="s">
        <v>23948</v>
      </c>
      <c r="V2550" s="5" t="s">
        <v>23948</v>
      </c>
      <c r="W2550" s="5" t="s">
        <v>67</v>
      </c>
      <c r="X2550" s="5" t="s">
        <v>67</v>
      </c>
      <c r="Y2550" s="4">
        <v>132</v>
      </c>
      <c r="Z2550" s="4">
        <v>16</v>
      </c>
      <c r="AA2550" s="4">
        <v>77</v>
      </c>
      <c r="AB2550" s="4">
        <v>3</v>
      </c>
      <c r="AC2550" s="4">
        <v>17</v>
      </c>
      <c r="AD2550" s="4">
        <v>44</v>
      </c>
      <c r="AE2550" s="4">
        <v>155</v>
      </c>
      <c r="AF2550" s="4">
        <v>1</v>
      </c>
      <c r="AG2550" s="4">
        <v>9</v>
      </c>
      <c r="AH2550" s="4">
        <v>38</v>
      </c>
      <c r="AI2550" s="4">
        <v>115</v>
      </c>
      <c r="AJ2550" s="4">
        <v>8</v>
      </c>
      <c r="AK2550" s="4">
        <v>28</v>
      </c>
      <c r="AL2550" s="4">
        <v>28</v>
      </c>
      <c r="AM2550" s="4">
        <v>62</v>
      </c>
      <c r="AN2550" s="4">
        <v>0</v>
      </c>
      <c r="AO2550" s="4">
        <v>5</v>
      </c>
      <c r="AP2550" s="4">
        <v>10</v>
      </c>
      <c r="AQ2550" s="4">
        <v>47</v>
      </c>
      <c r="AR2550" s="3" t="s">
        <v>62</v>
      </c>
      <c r="AS2550" s="3" t="s">
        <v>62</v>
      </c>
      <c r="AT2550" s="3" t="s">
        <v>62</v>
      </c>
      <c r="AV2550" s="6" t="str">
        <f>HYPERLINK("http://mcgill.on.worldcat.org/oclc/779125914","Catalog Record")</f>
        <v>Catalog Record</v>
      </c>
      <c r="AW2550" s="6" t="str">
        <f>HYPERLINK("http://www.worldcat.org/oclc/779125914","WorldCat Record")</f>
        <v>WorldCat Record</v>
      </c>
      <c r="AX2550" s="3" t="s">
        <v>24582</v>
      </c>
      <c r="AY2550" s="3" t="s">
        <v>24583</v>
      </c>
      <c r="AZ2550" s="3" t="s">
        <v>24584</v>
      </c>
      <c r="BA2550" s="3" t="s">
        <v>24584</v>
      </c>
      <c r="BB2550" s="3" t="s">
        <v>24588</v>
      </c>
      <c r="BC2550" s="3" t="s">
        <v>102</v>
      </c>
      <c r="BD2550" s="3" t="s">
        <v>231</v>
      </c>
      <c r="BE2550" s="3" t="s">
        <v>24586</v>
      </c>
      <c r="BF2550" s="3" t="s">
        <v>24588</v>
      </c>
      <c r="BG2550" s="3" t="s">
        <v>24589</v>
      </c>
    </row>
    <row r="2551" spans="1:59" ht="101.5" x14ac:dyDescent="0.35">
      <c r="A2551" s="2" t="s">
        <v>89</v>
      </c>
      <c r="B2551" s="2" t="s">
        <v>12301</v>
      </c>
      <c r="C2551" s="2" t="s">
        <v>24577</v>
      </c>
      <c r="D2551" s="2" t="s">
        <v>24578</v>
      </c>
      <c r="E2551" s="2" t="s">
        <v>24579</v>
      </c>
      <c r="G2551" s="3" t="s">
        <v>62</v>
      </c>
      <c r="I2551" s="3" t="s">
        <v>61</v>
      </c>
      <c r="J2551" s="3" t="s">
        <v>61</v>
      </c>
      <c r="K2551" s="3" t="s">
        <v>63</v>
      </c>
      <c r="L2551" s="2" t="s">
        <v>24580</v>
      </c>
      <c r="M2551" s="2" t="s">
        <v>24581</v>
      </c>
      <c r="N2551" s="3" t="s">
        <v>698</v>
      </c>
      <c r="O2551" s="2" t="s">
        <v>15933</v>
      </c>
      <c r="P2551" s="3" t="s">
        <v>64</v>
      </c>
      <c r="R2551" s="3" t="s">
        <v>13065</v>
      </c>
      <c r="S2551" s="4">
        <v>158</v>
      </c>
      <c r="T2551" s="4">
        <v>597</v>
      </c>
      <c r="U2551" s="5" t="s">
        <v>16060</v>
      </c>
      <c r="V2551" s="5" t="s">
        <v>23948</v>
      </c>
      <c r="W2551" s="5" t="s">
        <v>67</v>
      </c>
      <c r="X2551" s="5" t="s">
        <v>67</v>
      </c>
      <c r="Y2551" s="4">
        <v>132</v>
      </c>
      <c r="Z2551" s="4">
        <v>16</v>
      </c>
      <c r="AA2551" s="4">
        <v>77</v>
      </c>
      <c r="AB2551" s="4">
        <v>3</v>
      </c>
      <c r="AC2551" s="4">
        <v>17</v>
      </c>
      <c r="AD2551" s="4">
        <v>44</v>
      </c>
      <c r="AE2551" s="4">
        <v>155</v>
      </c>
      <c r="AF2551" s="4">
        <v>1</v>
      </c>
      <c r="AG2551" s="4">
        <v>9</v>
      </c>
      <c r="AH2551" s="4">
        <v>38</v>
      </c>
      <c r="AI2551" s="4">
        <v>115</v>
      </c>
      <c r="AJ2551" s="4">
        <v>8</v>
      </c>
      <c r="AK2551" s="4">
        <v>28</v>
      </c>
      <c r="AL2551" s="4">
        <v>28</v>
      </c>
      <c r="AM2551" s="4">
        <v>62</v>
      </c>
      <c r="AN2551" s="4">
        <v>0</v>
      </c>
      <c r="AO2551" s="4">
        <v>5</v>
      </c>
      <c r="AP2551" s="4">
        <v>10</v>
      </c>
      <c r="AQ2551" s="4">
        <v>47</v>
      </c>
      <c r="AR2551" s="3" t="s">
        <v>62</v>
      </c>
      <c r="AS2551" s="3" t="s">
        <v>62</v>
      </c>
      <c r="AT2551" s="3" t="s">
        <v>62</v>
      </c>
      <c r="AV2551" s="6" t="str">
        <f>HYPERLINK("http://mcgill.on.worldcat.org/oclc/779125914","Catalog Record")</f>
        <v>Catalog Record</v>
      </c>
      <c r="AW2551" s="6" t="str">
        <f>HYPERLINK("http://www.worldcat.org/oclc/779125914","WorldCat Record")</f>
        <v>WorldCat Record</v>
      </c>
      <c r="AX2551" s="3" t="s">
        <v>24582</v>
      </c>
      <c r="AY2551" s="3" t="s">
        <v>24583</v>
      </c>
      <c r="AZ2551" s="3" t="s">
        <v>24584</v>
      </c>
      <c r="BA2551" s="3" t="s">
        <v>24584</v>
      </c>
      <c r="BB2551" s="3" t="s">
        <v>24590</v>
      </c>
      <c r="BC2551" s="3" t="s">
        <v>102</v>
      </c>
      <c r="BD2551" s="3" t="s">
        <v>68</v>
      </c>
      <c r="BE2551" s="3" t="s">
        <v>24586</v>
      </c>
      <c r="BF2551" s="3" t="s">
        <v>24590</v>
      </c>
      <c r="BG2551" s="3" t="s">
        <v>24591</v>
      </c>
    </row>
    <row r="2552" spans="1:59" ht="101.5" x14ac:dyDescent="0.35">
      <c r="A2552" s="2" t="s">
        <v>89</v>
      </c>
      <c r="B2552" s="2" t="s">
        <v>12301</v>
      </c>
      <c r="C2552" s="2" t="s">
        <v>24577</v>
      </c>
      <c r="D2552" s="2" t="s">
        <v>24578</v>
      </c>
      <c r="E2552" s="2" t="s">
        <v>24579</v>
      </c>
      <c r="G2552" s="3" t="s">
        <v>62</v>
      </c>
      <c r="I2552" s="3" t="s">
        <v>61</v>
      </c>
      <c r="J2552" s="3" t="s">
        <v>61</v>
      </c>
      <c r="K2552" s="3" t="s">
        <v>63</v>
      </c>
      <c r="L2552" s="2" t="s">
        <v>24580</v>
      </c>
      <c r="M2552" s="2" t="s">
        <v>24581</v>
      </c>
      <c r="N2552" s="3" t="s">
        <v>698</v>
      </c>
      <c r="O2552" s="2" t="s">
        <v>15933</v>
      </c>
      <c r="P2552" s="3" t="s">
        <v>64</v>
      </c>
      <c r="R2552" s="3" t="s">
        <v>13065</v>
      </c>
      <c r="S2552" s="4">
        <v>136</v>
      </c>
      <c r="T2552" s="4">
        <v>597</v>
      </c>
      <c r="U2552" s="5" t="s">
        <v>3310</v>
      </c>
      <c r="V2552" s="5" t="s">
        <v>23948</v>
      </c>
      <c r="W2552" s="5" t="s">
        <v>67</v>
      </c>
      <c r="X2552" s="5" t="s">
        <v>67</v>
      </c>
      <c r="Y2552" s="4">
        <v>132</v>
      </c>
      <c r="Z2552" s="4">
        <v>16</v>
      </c>
      <c r="AA2552" s="4">
        <v>77</v>
      </c>
      <c r="AB2552" s="4">
        <v>3</v>
      </c>
      <c r="AC2552" s="4">
        <v>17</v>
      </c>
      <c r="AD2552" s="4">
        <v>44</v>
      </c>
      <c r="AE2552" s="4">
        <v>155</v>
      </c>
      <c r="AF2552" s="4">
        <v>1</v>
      </c>
      <c r="AG2552" s="4">
        <v>9</v>
      </c>
      <c r="AH2552" s="4">
        <v>38</v>
      </c>
      <c r="AI2552" s="4">
        <v>115</v>
      </c>
      <c r="AJ2552" s="4">
        <v>8</v>
      </c>
      <c r="AK2552" s="4">
        <v>28</v>
      </c>
      <c r="AL2552" s="4">
        <v>28</v>
      </c>
      <c r="AM2552" s="4">
        <v>62</v>
      </c>
      <c r="AN2552" s="4">
        <v>0</v>
      </c>
      <c r="AO2552" s="4">
        <v>5</v>
      </c>
      <c r="AP2552" s="4">
        <v>10</v>
      </c>
      <c r="AQ2552" s="4">
        <v>47</v>
      </c>
      <c r="AR2552" s="3" t="s">
        <v>62</v>
      </c>
      <c r="AS2552" s="3" t="s">
        <v>62</v>
      </c>
      <c r="AT2552" s="3" t="s">
        <v>62</v>
      </c>
      <c r="AV2552" s="6" t="str">
        <f>HYPERLINK("http://mcgill.on.worldcat.org/oclc/779125914","Catalog Record")</f>
        <v>Catalog Record</v>
      </c>
      <c r="AW2552" s="6" t="str">
        <f>HYPERLINK("http://www.worldcat.org/oclc/779125914","WorldCat Record")</f>
        <v>WorldCat Record</v>
      </c>
      <c r="AX2552" s="3" t="s">
        <v>24582</v>
      </c>
      <c r="AY2552" s="3" t="s">
        <v>24583</v>
      </c>
      <c r="AZ2552" s="3" t="s">
        <v>24584</v>
      </c>
      <c r="BA2552" s="3" t="s">
        <v>24584</v>
      </c>
      <c r="BB2552" s="3" t="s">
        <v>24592</v>
      </c>
      <c r="BC2552" s="3" t="s">
        <v>102</v>
      </c>
      <c r="BD2552" s="3" t="s">
        <v>68</v>
      </c>
      <c r="BE2552" s="3" t="s">
        <v>24586</v>
      </c>
      <c r="BF2552" s="3" t="s">
        <v>24592</v>
      </c>
      <c r="BG2552" s="3" t="s">
        <v>24593</v>
      </c>
    </row>
    <row r="2553" spans="1:59" ht="58" x14ac:dyDescent="0.35">
      <c r="A2553" s="2" t="s">
        <v>89</v>
      </c>
      <c r="B2553" s="2" t="s">
        <v>90</v>
      </c>
      <c r="C2553" s="2" t="s">
        <v>24594</v>
      </c>
      <c r="D2553" s="2" t="s">
        <v>24595</v>
      </c>
      <c r="E2553" s="2" t="s">
        <v>24596</v>
      </c>
      <c r="G2553" s="3" t="s">
        <v>61</v>
      </c>
      <c r="I2553" s="3" t="s">
        <v>61</v>
      </c>
      <c r="J2553" s="3" t="s">
        <v>62</v>
      </c>
      <c r="K2553" s="3" t="s">
        <v>63</v>
      </c>
      <c r="L2553" s="2" t="s">
        <v>24597</v>
      </c>
      <c r="M2553" s="2" t="s">
        <v>24598</v>
      </c>
      <c r="N2553" s="3" t="s">
        <v>611</v>
      </c>
      <c r="O2553" s="2" t="s">
        <v>24599</v>
      </c>
      <c r="P2553" s="3" t="s">
        <v>64</v>
      </c>
      <c r="R2553" s="3" t="s">
        <v>13065</v>
      </c>
      <c r="S2553" s="4">
        <v>3</v>
      </c>
      <c r="T2553" s="4">
        <v>3</v>
      </c>
      <c r="U2553" s="5" t="s">
        <v>24600</v>
      </c>
      <c r="V2553" s="5" t="s">
        <v>24600</v>
      </c>
      <c r="W2553" s="5" t="s">
        <v>67</v>
      </c>
      <c r="X2553" s="5" t="s">
        <v>67</v>
      </c>
      <c r="Y2553" s="4">
        <v>3</v>
      </c>
      <c r="Z2553" s="4">
        <v>2</v>
      </c>
      <c r="AA2553" s="4">
        <v>2</v>
      </c>
      <c r="AB2553" s="4">
        <v>1</v>
      </c>
      <c r="AC2553" s="4">
        <v>1</v>
      </c>
      <c r="AD2553" s="4">
        <v>1</v>
      </c>
      <c r="AE2553" s="4">
        <v>1</v>
      </c>
      <c r="AF2553" s="4">
        <v>0</v>
      </c>
      <c r="AG2553" s="4">
        <v>0</v>
      </c>
      <c r="AH2553" s="4">
        <v>1</v>
      </c>
      <c r="AI2553" s="4">
        <v>1</v>
      </c>
      <c r="AJ2553" s="4">
        <v>1</v>
      </c>
      <c r="AK2553" s="4">
        <v>1</v>
      </c>
      <c r="AL2553" s="4">
        <v>0</v>
      </c>
      <c r="AM2553" s="4">
        <v>0</v>
      </c>
      <c r="AN2553" s="4">
        <v>0</v>
      </c>
      <c r="AO2553" s="4">
        <v>0</v>
      </c>
      <c r="AP2553" s="4">
        <v>1</v>
      </c>
      <c r="AQ2553" s="4">
        <v>1</v>
      </c>
      <c r="AR2553" s="3" t="s">
        <v>62</v>
      </c>
      <c r="AS2553" s="3" t="s">
        <v>62</v>
      </c>
      <c r="AT2553" s="3" t="s">
        <v>62</v>
      </c>
      <c r="AV2553" s="6" t="str">
        <f>HYPERLINK("http://mcgill.on.worldcat.org/oclc/233973237","Catalog Record")</f>
        <v>Catalog Record</v>
      </c>
      <c r="AW2553" s="6" t="str">
        <f>HYPERLINK("http://www.worldcat.org/oclc/233973237","WorldCat Record")</f>
        <v>WorldCat Record</v>
      </c>
      <c r="AX2553" s="3" t="s">
        <v>24601</v>
      </c>
      <c r="AY2553" s="3" t="s">
        <v>24602</v>
      </c>
      <c r="AZ2553" s="3" t="s">
        <v>24603</v>
      </c>
      <c r="BA2553" s="3" t="s">
        <v>24603</v>
      </c>
      <c r="BB2553" s="3" t="s">
        <v>24604</v>
      </c>
      <c r="BC2553" s="3" t="s">
        <v>102</v>
      </c>
      <c r="BD2553" s="3" t="s">
        <v>68</v>
      </c>
      <c r="BF2553" s="3" t="s">
        <v>24604</v>
      </c>
      <c r="BG2553" s="3" t="s">
        <v>24605</v>
      </c>
    </row>
    <row r="2554" spans="1:59" ht="101.5" x14ac:dyDescent="0.35">
      <c r="A2554" s="2" t="s">
        <v>89</v>
      </c>
      <c r="B2554" s="2" t="s">
        <v>12301</v>
      </c>
      <c r="C2554" s="2" t="s">
        <v>24606</v>
      </c>
      <c r="D2554" s="2" t="s">
        <v>24607</v>
      </c>
      <c r="E2554" s="2" t="s">
        <v>24608</v>
      </c>
      <c r="G2554" s="3" t="s">
        <v>62</v>
      </c>
      <c r="I2554" s="3" t="s">
        <v>62</v>
      </c>
      <c r="J2554" s="3" t="s">
        <v>61</v>
      </c>
      <c r="K2554" s="3" t="s">
        <v>63</v>
      </c>
      <c r="L2554" s="2" t="s">
        <v>24609</v>
      </c>
      <c r="M2554" s="2" t="s">
        <v>24610</v>
      </c>
      <c r="N2554" s="3" t="s">
        <v>1722</v>
      </c>
      <c r="O2554" s="2" t="s">
        <v>2986</v>
      </c>
      <c r="P2554" s="3" t="s">
        <v>64</v>
      </c>
      <c r="R2554" s="3" t="s">
        <v>13065</v>
      </c>
      <c r="S2554" s="4">
        <v>21</v>
      </c>
      <c r="T2554" s="4">
        <v>21</v>
      </c>
      <c r="U2554" s="5" t="s">
        <v>9608</v>
      </c>
      <c r="V2554" s="5" t="s">
        <v>9608</v>
      </c>
      <c r="W2554" s="5" t="s">
        <v>67</v>
      </c>
      <c r="X2554" s="5" t="s">
        <v>67</v>
      </c>
      <c r="Y2554" s="4">
        <v>249</v>
      </c>
      <c r="Z2554" s="4">
        <v>25</v>
      </c>
      <c r="AA2554" s="4">
        <v>47</v>
      </c>
      <c r="AB2554" s="4">
        <v>2</v>
      </c>
      <c r="AC2554" s="4">
        <v>10</v>
      </c>
      <c r="AD2554" s="4">
        <v>69</v>
      </c>
      <c r="AE2554" s="4">
        <v>110</v>
      </c>
      <c r="AF2554" s="4">
        <v>1</v>
      </c>
      <c r="AG2554" s="4">
        <v>6</v>
      </c>
      <c r="AH2554" s="4">
        <v>59</v>
      </c>
      <c r="AI2554" s="4">
        <v>84</v>
      </c>
      <c r="AJ2554" s="4">
        <v>10</v>
      </c>
      <c r="AK2554" s="4">
        <v>21</v>
      </c>
      <c r="AL2554" s="4">
        <v>38</v>
      </c>
      <c r="AM2554" s="4">
        <v>53</v>
      </c>
      <c r="AN2554" s="4">
        <v>0</v>
      </c>
      <c r="AO2554" s="4">
        <v>0</v>
      </c>
      <c r="AP2554" s="4">
        <v>15</v>
      </c>
      <c r="AQ2554" s="4">
        <v>32</v>
      </c>
      <c r="AR2554" s="3" t="s">
        <v>62</v>
      </c>
      <c r="AS2554" s="3" t="s">
        <v>62</v>
      </c>
      <c r="AT2554" s="3" t="s">
        <v>62</v>
      </c>
      <c r="AV2554" s="6" t="str">
        <f>HYPERLINK("http://mcgill.on.worldcat.org/oclc/173499007","Catalog Record")</f>
        <v>Catalog Record</v>
      </c>
      <c r="AW2554" s="6" t="str">
        <f>HYPERLINK("http://www.worldcat.org/oclc/173499007","WorldCat Record")</f>
        <v>WorldCat Record</v>
      </c>
      <c r="AX2554" s="3" t="s">
        <v>24611</v>
      </c>
      <c r="AY2554" s="3" t="s">
        <v>24612</v>
      </c>
      <c r="AZ2554" s="3" t="s">
        <v>24613</v>
      </c>
      <c r="BA2554" s="3" t="s">
        <v>24613</v>
      </c>
      <c r="BB2554" s="3" t="s">
        <v>24614</v>
      </c>
      <c r="BC2554" s="3" t="s">
        <v>102</v>
      </c>
      <c r="BD2554" s="3" t="s">
        <v>68</v>
      </c>
      <c r="BE2554" s="3" t="s">
        <v>24615</v>
      </c>
      <c r="BF2554" s="3" t="s">
        <v>24614</v>
      </c>
      <c r="BG2554" s="3" t="s">
        <v>24616</v>
      </c>
    </row>
    <row r="2555" spans="1:59" ht="58" x14ac:dyDescent="0.35">
      <c r="A2555" s="2" t="s">
        <v>89</v>
      </c>
      <c r="B2555" s="2" t="s">
        <v>90</v>
      </c>
      <c r="C2555" s="2" t="s">
        <v>24617</v>
      </c>
      <c r="D2555" s="2" t="s">
        <v>24618</v>
      </c>
      <c r="E2555" s="2" t="s">
        <v>24619</v>
      </c>
      <c r="G2555" s="3" t="s">
        <v>62</v>
      </c>
      <c r="I2555" s="3" t="s">
        <v>62</v>
      </c>
      <c r="J2555" s="3" t="s">
        <v>62</v>
      </c>
      <c r="K2555" s="3" t="s">
        <v>63</v>
      </c>
      <c r="M2555" s="2" t="s">
        <v>24620</v>
      </c>
      <c r="N2555" s="3" t="s">
        <v>712</v>
      </c>
      <c r="P2555" s="3" t="s">
        <v>1078</v>
      </c>
      <c r="Q2555" s="2" t="s">
        <v>24621</v>
      </c>
      <c r="R2555" s="3" t="s">
        <v>13065</v>
      </c>
      <c r="S2555" s="4">
        <v>0</v>
      </c>
      <c r="T2555" s="4">
        <v>0</v>
      </c>
      <c r="W2555" s="5" t="s">
        <v>67</v>
      </c>
      <c r="X2555" s="5" t="s">
        <v>67</v>
      </c>
      <c r="Y2555" s="4">
        <v>1</v>
      </c>
      <c r="Z2555" s="4">
        <v>1</v>
      </c>
      <c r="AA2555" s="4">
        <v>1</v>
      </c>
      <c r="AB2555" s="4">
        <v>1</v>
      </c>
      <c r="AC2555" s="4">
        <v>1</v>
      </c>
      <c r="AD2555" s="4">
        <v>0</v>
      </c>
      <c r="AE2555" s="4">
        <v>0</v>
      </c>
      <c r="AF2555" s="4">
        <v>0</v>
      </c>
      <c r="AG2555" s="4">
        <v>0</v>
      </c>
      <c r="AH2555" s="4">
        <v>0</v>
      </c>
      <c r="AI2555" s="4">
        <v>0</v>
      </c>
      <c r="AJ2555" s="4">
        <v>0</v>
      </c>
      <c r="AK2555" s="4">
        <v>0</v>
      </c>
      <c r="AL2555" s="4">
        <v>0</v>
      </c>
      <c r="AM2555" s="4">
        <v>0</v>
      </c>
      <c r="AN2555" s="4">
        <v>0</v>
      </c>
      <c r="AO2555" s="4">
        <v>0</v>
      </c>
      <c r="AP2555" s="4">
        <v>0</v>
      </c>
      <c r="AQ2555" s="4">
        <v>0</v>
      </c>
      <c r="AR2555" s="3" t="s">
        <v>62</v>
      </c>
      <c r="AS2555" s="3" t="s">
        <v>62</v>
      </c>
      <c r="AT2555" s="3" t="s">
        <v>62</v>
      </c>
      <c r="AV2555" s="6" t="str">
        <f>HYPERLINK("http://mcgill.on.worldcat.org/oclc/1005143562","Catalog Record")</f>
        <v>Catalog Record</v>
      </c>
      <c r="AW2555" s="6" t="str">
        <f>HYPERLINK("http://www.worldcat.org/oclc/1005143562","WorldCat Record")</f>
        <v>WorldCat Record</v>
      </c>
      <c r="AX2555" s="3" t="s">
        <v>24622</v>
      </c>
      <c r="AY2555" s="3" t="s">
        <v>24623</v>
      </c>
      <c r="AZ2555" s="3" t="s">
        <v>24624</v>
      </c>
      <c r="BA2555" s="3" t="s">
        <v>24624</v>
      </c>
      <c r="BB2555" s="3" t="s">
        <v>24625</v>
      </c>
      <c r="BC2555" s="3" t="s">
        <v>102</v>
      </c>
      <c r="BD2555" s="3" t="s">
        <v>68</v>
      </c>
      <c r="BE2555" s="3" t="s">
        <v>24626</v>
      </c>
      <c r="BF2555" s="3" t="s">
        <v>24625</v>
      </c>
      <c r="BG2555" s="3" t="s">
        <v>24627</v>
      </c>
    </row>
    <row r="2556" spans="1:59" ht="58" x14ac:dyDescent="0.35">
      <c r="A2556" s="2" t="s">
        <v>89</v>
      </c>
      <c r="B2556" s="2" t="s">
        <v>90</v>
      </c>
      <c r="C2556" s="2" t="s">
        <v>24628</v>
      </c>
      <c r="D2556" s="2" t="s">
        <v>24629</v>
      </c>
      <c r="E2556" s="2" t="s">
        <v>24630</v>
      </c>
      <c r="G2556" s="3" t="s">
        <v>62</v>
      </c>
      <c r="I2556" s="3" t="s">
        <v>62</v>
      </c>
      <c r="J2556" s="3" t="s">
        <v>61</v>
      </c>
      <c r="K2556" s="3" t="s">
        <v>63</v>
      </c>
      <c r="L2556" s="2" t="s">
        <v>24631</v>
      </c>
      <c r="M2556" s="2" t="s">
        <v>24632</v>
      </c>
      <c r="N2556" s="3" t="s">
        <v>1467</v>
      </c>
      <c r="P2556" s="3" t="s">
        <v>64</v>
      </c>
      <c r="Q2556" s="2" t="s">
        <v>24633</v>
      </c>
      <c r="R2556" s="3" t="s">
        <v>13065</v>
      </c>
      <c r="S2556" s="4">
        <v>4</v>
      </c>
      <c r="T2556" s="4">
        <v>4</v>
      </c>
      <c r="U2556" s="5" t="s">
        <v>24634</v>
      </c>
      <c r="V2556" s="5" t="s">
        <v>24634</v>
      </c>
      <c r="W2556" s="5" t="s">
        <v>67</v>
      </c>
      <c r="X2556" s="5" t="s">
        <v>67</v>
      </c>
      <c r="Y2556" s="4">
        <v>349</v>
      </c>
      <c r="Z2556" s="4">
        <v>19</v>
      </c>
      <c r="AA2556" s="4">
        <v>44</v>
      </c>
      <c r="AB2556" s="4">
        <v>1</v>
      </c>
      <c r="AC2556" s="4">
        <v>10</v>
      </c>
      <c r="AD2556" s="4">
        <v>91</v>
      </c>
      <c r="AE2556" s="4">
        <v>135</v>
      </c>
      <c r="AF2556" s="4">
        <v>0</v>
      </c>
      <c r="AG2556" s="4">
        <v>6</v>
      </c>
      <c r="AH2556" s="4">
        <v>80</v>
      </c>
      <c r="AI2556" s="4">
        <v>111</v>
      </c>
      <c r="AJ2556" s="4">
        <v>13</v>
      </c>
      <c r="AK2556" s="4">
        <v>24</v>
      </c>
      <c r="AL2556" s="4">
        <v>48</v>
      </c>
      <c r="AM2556" s="4">
        <v>60</v>
      </c>
      <c r="AN2556" s="4">
        <v>0</v>
      </c>
      <c r="AO2556" s="4">
        <v>0</v>
      </c>
      <c r="AP2556" s="4">
        <v>17</v>
      </c>
      <c r="AQ2556" s="4">
        <v>33</v>
      </c>
      <c r="AR2556" s="3" t="s">
        <v>62</v>
      </c>
      <c r="AS2556" s="3" t="s">
        <v>62</v>
      </c>
      <c r="AT2556" s="3" t="s">
        <v>61</v>
      </c>
      <c r="AU2556" s="6" t="str">
        <f>HYPERLINK("http://catalog.hathitrust.org/Record/000656917","HathiTrust Record")</f>
        <v>HathiTrust Record</v>
      </c>
      <c r="AV2556" s="6" t="str">
        <f>HYPERLINK("http://mcgill.on.worldcat.org/oclc/527457","Catalog Record")</f>
        <v>Catalog Record</v>
      </c>
      <c r="AW2556" s="6" t="str">
        <f>HYPERLINK("http://www.worldcat.org/oclc/527457","WorldCat Record")</f>
        <v>WorldCat Record</v>
      </c>
      <c r="AX2556" s="3" t="s">
        <v>24635</v>
      </c>
      <c r="AY2556" s="3" t="s">
        <v>24636</v>
      </c>
      <c r="AZ2556" s="3" t="s">
        <v>24637</v>
      </c>
      <c r="BA2556" s="3" t="s">
        <v>24637</v>
      </c>
      <c r="BB2556" s="3" t="s">
        <v>24638</v>
      </c>
      <c r="BC2556" s="3" t="s">
        <v>102</v>
      </c>
      <c r="BD2556" s="3" t="s">
        <v>68</v>
      </c>
      <c r="BF2556" s="3" t="s">
        <v>24638</v>
      </c>
      <c r="BG2556" s="3" t="s">
        <v>24639</v>
      </c>
    </row>
    <row r="2557" spans="1:59" ht="58" x14ac:dyDescent="0.35">
      <c r="A2557" s="2" t="s">
        <v>89</v>
      </c>
      <c r="B2557" s="2" t="s">
        <v>90</v>
      </c>
      <c r="C2557" s="2" t="s">
        <v>24640</v>
      </c>
      <c r="D2557" s="2" t="s">
        <v>24641</v>
      </c>
      <c r="E2557" s="2" t="s">
        <v>24642</v>
      </c>
      <c r="G2557" s="3" t="s">
        <v>62</v>
      </c>
      <c r="I2557" s="3" t="s">
        <v>62</v>
      </c>
      <c r="J2557" s="3" t="s">
        <v>62</v>
      </c>
      <c r="K2557" s="3" t="s">
        <v>63</v>
      </c>
      <c r="L2557" s="2" t="s">
        <v>24643</v>
      </c>
      <c r="M2557" s="2" t="s">
        <v>24644</v>
      </c>
      <c r="N2557" s="3" t="s">
        <v>1264</v>
      </c>
      <c r="P2557" s="3" t="s">
        <v>64</v>
      </c>
      <c r="Q2557" s="2" t="s">
        <v>24645</v>
      </c>
      <c r="R2557" s="3" t="s">
        <v>13065</v>
      </c>
      <c r="S2557" s="4">
        <v>23</v>
      </c>
      <c r="T2557" s="4">
        <v>23</v>
      </c>
      <c r="U2557" s="5" t="s">
        <v>13768</v>
      </c>
      <c r="V2557" s="5" t="s">
        <v>13768</v>
      </c>
      <c r="W2557" s="5" t="s">
        <v>67</v>
      </c>
      <c r="X2557" s="5" t="s">
        <v>67</v>
      </c>
      <c r="Y2557" s="4">
        <v>566</v>
      </c>
      <c r="Z2557" s="4">
        <v>18</v>
      </c>
      <c r="AA2557" s="4">
        <v>46</v>
      </c>
      <c r="AB2557" s="4">
        <v>1</v>
      </c>
      <c r="AC2557" s="4">
        <v>8</v>
      </c>
      <c r="AD2557" s="4">
        <v>110</v>
      </c>
      <c r="AE2557" s="4">
        <v>138</v>
      </c>
      <c r="AF2557" s="4">
        <v>0</v>
      </c>
      <c r="AG2557" s="4">
        <v>4</v>
      </c>
      <c r="AH2557" s="4">
        <v>94</v>
      </c>
      <c r="AI2557" s="4">
        <v>112</v>
      </c>
      <c r="AJ2557" s="4">
        <v>10</v>
      </c>
      <c r="AK2557" s="4">
        <v>25</v>
      </c>
      <c r="AL2557" s="4">
        <v>54</v>
      </c>
      <c r="AM2557" s="4">
        <v>61</v>
      </c>
      <c r="AN2557" s="4">
        <v>0</v>
      </c>
      <c r="AO2557" s="4">
        <v>0</v>
      </c>
      <c r="AP2557" s="4">
        <v>16</v>
      </c>
      <c r="AQ2557" s="4">
        <v>33</v>
      </c>
      <c r="AR2557" s="3" t="s">
        <v>62</v>
      </c>
      <c r="AS2557" s="3" t="s">
        <v>62</v>
      </c>
      <c r="AT2557" s="3" t="s">
        <v>61</v>
      </c>
      <c r="AU2557" s="6" t="str">
        <f>HYPERLINK("http://catalog.hathitrust.org/Record/000586660","HathiTrust Record")</f>
        <v>HathiTrust Record</v>
      </c>
      <c r="AV2557" s="6" t="str">
        <f>HYPERLINK("http://mcgill.on.worldcat.org/oclc/528126","Catalog Record")</f>
        <v>Catalog Record</v>
      </c>
      <c r="AW2557" s="6" t="str">
        <f>HYPERLINK("http://www.worldcat.org/oclc/528126","WorldCat Record")</f>
        <v>WorldCat Record</v>
      </c>
      <c r="AX2557" s="3" t="s">
        <v>24646</v>
      </c>
      <c r="AY2557" s="3" t="s">
        <v>24647</v>
      </c>
      <c r="AZ2557" s="3" t="s">
        <v>24648</v>
      </c>
      <c r="BA2557" s="3" t="s">
        <v>24648</v>
      </c>
      <c r="BB2557" s="3" t="s">
        <v>24649</v>
      </c>
      <c r="BC2557" s="3" t="s">
        <v>102</v>
      </c>
      <c r="BD2557" s="3" t="s">
        <v>68</v>
      </c>
      <c r="BE2557" s="3" t="s">
        <v>24650</v>
      </c>
      <c r="BF2557" s="3" t="s">
        <v>24649</v>
      </c>
      <c r="BG2557" s="3" t="s">
        <v>24651</v>
      </c>
    </row>
    <row r="2558" spans="1:59" ht="58" x14ac:dyDescent="0.35">
      <c r="A2558" s="2" t="s">
        <v>89</v>
      </c>
      <c r="B2558" s="2" t="s">
        <v>90</v>
      </c>
      <c r="C2558" s="2" t="s">
        <v>24652</v>
      </c>
      <c r="D2558" s="2" t="s">
        <v>24653</v>
      </c>
      <c r="E2558" s="2" t="s">
        <v>24654</v>
      </c>
      <c r="G2558" s="3" t="s">
        <v>62</v>
      </c>
      <c r="I2558" s="3" t="s">
        <v>62</v>
      </c>
      <c r="J2558" s="3" t="s">
        <v>62</v>
      </c>
      <c r="K2558" s="3" t="s">
        <v>63</v>
      </c>
      <c r="L2558" s="2" t="s">
        <v>24655</v>
      </c>
      <c r="M2558" s="2" t="s">
        <v>24656</v>
      </c>
      <c r="N2558" s="3" t="s">
        <v>568</v>
      </c>
      <c r="P2558" s="3" t="s">
        <v>64</v>
      </c>
      <c r="R2558" s="3" t="s">
        <v>13065</v>
      </c>
      <c r="S2558" s="4">
        <v>12</v>
      </c>
      <c r="T2558" s="4">
        <v>12</v>
      </c>
      <c r="U2558" s="5" t="s">
        <v>2015</v>
      </c>
      <c r="V2558" s="5" t="s">
        <v>2015</v>
      </c>
      <c r="W2558" s="5" t="s">
        <v>67</v>
      </c>
      <c r="X2558" s="5" t="s">
        <v>67</v>
      </c>
      <c r="Y2558" s="4">
        <v>44</v>
      </c>
      <c r="Z2558" s="4">
        <v>2</v>
      </c>
      <c r="AA2558" s="4">
        <v>38</v>
      </c>
      <c r="AB2558" s="4">
        <v>1</v>
      </c>
      <c r="AC2558" s="4">
        <v>3</v>
      </c>
      <c r="AD2558" s="4">
        <v>3</v>
      </c>
      <c r="AE2558" s="4">
        <v>119</v>
      </c>
      <c r="AF2558" s="4">
        <v>0</v>
      </c>
      <c r="AG2558" s="4">
        <v>2</v>
      </c>
      <c r="AH2558" s="4">
        <v>2</v>
      </c>
      <c r="AI2558" s="4">
        <v>98</v>
      </c>
      <c r="AJ2558" s="4">
        <v>0</v>
      </c>
      <c r="AK2558" s="4">
        <v>19</v>
      </c>
      <c r="AL2558" s="4">
        <v>2</v>
      </c>
      <c r="AM2558" s="4">
        <v>53</v>
      </c>
      <c r="AN2558" s="4">
        <v>0</v>
      </c>
      <c r="AO2558" s="4">
        <v>0</v>
      </c>
      <c r="AP2558" s="4">
        <v>1</v>
      </c>
      <c r="AQ2558" s="4">
        <v>28</v>
      </c>
      <c r="AR2558" s="3" t="s">
        <v>62</v>
      </c>
      <c r="AS2558" s="3" t="s">
        <v>62</v>
      </c>
      <c r="AT2558" s="3" t="s">
        <v>62</v>
      </c>
      <c r="AV2558" s="6" t="str">
        <f>HYPERLINK("http://mcgill.on.worldcat.org/oclc/42745957","Catalog Record")</f>
        <v>Catalog Record</v>
      </c>
      <c r="AW2558" s="6" t="str">
        <f>HYPERLINK("http://www.worldcat.org/oclc/42745957","WorldCat Record")</f>
        <v>WorldCat Record</v>
      </c>
      <c r="AX2558" s="3" t="s">
        <v>24657</v>
      </c>
      <c r="AY2558" s="3" t="s">
        <v>24658</v>
      </c>
      <c r="AZ2558" s="3" t="s">
        <v>24659</v>
      </c>
      <c r="BA2558" s="3" t="s">
        <v>24659</v>
      </c>
      <c r="BB2558" s="3" t="s">
        <v>24660</v>
      </c>
      <c r="BC2558" s="3" t="s">
        <v>102</v>
      </c>
      <c r="BD2558" s="3" t="s">
        <v>231</v>
      </c>
      <c r="BE2558" s="3" t="s">
        <v>24661</v>
      </c>
      <c r="BF2558" s="3" t="s">
        <v>24660</v>
      </c>
      <c r="BG2558" s="3" t="s">
        <v>24662</v>
      </c>
    </row>
    <row r="2559" spans="1:59" ht="101.5" x14ac:dyDescent="0.35">
      <c r="A2559" s="2" t="s">
        <v>89</v>
      </c>
      <c r="B2559" s="2" t="s">
        <v>12301</v>
      </c>
      <c r="C2559" s="2" t="s">
        <v>24663</v>
      </c>
      <c r="D2559" s="2" t="s">
        <v>24664</v>
      </c>
      <c r="E2559" s="2" t="s">
        <v>24665</v>
      </c>
      <c r="G2559" s="3" t="s">
        <v>62</v>
      </c>
      <c r="I2559" s="3" t="s">
        <v>61</v>
      </c>
      <c r="J2559" s="3" t="s">
        <v>62</v>
      </c>
      <c r="K2559" s="3" t="s">
        <v>63</v>
      </c>
      <c r="L2559" s="2" t="s">
        <v>24666</v>
      </c>
      <c r="M2559" s="2" t="s">
        <v>24667</v>
      </c>
      <c r="N2559" s="3" t="s">
        <v>481</v>
      </c>
      <c r="O2559" s="2" t="s">
        <v>2986</v>
      </c>
      <c r="P2559" s="3" t="s">
        <v>64</v>
      </c>
      <c r="Q2559" s="2" t="s">
        <v>24668</v>
      </c>
      <c r="R2559" s="3" t="s">
        <v>13065</v>
      </c>
      <c r="S2559" s="4">
        <v>955</v>
      </c>
      <c r="T2559" s="4">
        <v>3950</v>
      </c>
      <c r="U2559" s="5" t="s">
        <v>4501</v>
      </c>
      <c r="V2559" s="5" t="s">
        <v>5085</v>
      </c>
      <c r="W2559" s="5" t="s">
        <v>67</v>
      </c>
      <c r="X2559" s="5" t="s">
        <v>67</v>
      </c>
      <c r="Y2559" s="4">
        <v>463</v>
      </c>
      <c r="Z2559" s="4">
        <v>30</v>
      </c>
      <c r="AA2559" s="4">
        <v>50</v>
      </c>
      <c r="AB2559" s="4">
        <v>4</v>
      </c>
      <c r="AC2559" s="4">
        <v>13</v>
      </c>
      <c r="AD2559" s="4">
        <v>95</v>
      </c>
      <c r="AE2559" s="4">
        <v>129</v>
      </c>
      <c r="AF2559" s="4">
        <v>2</v>
      </c>
      <c r="AG2559" s="4">
        <v>7</v>
      </c>
      <c r="AH2559" s="4">
        <v>81</v>
      </c>
      <c r="AI2559" s="4">
        <v>103</v>
      </c>
      <c r="AJ2559" s="4">
        <v>15</v>
      </c>
      <c r="AK2559" s="4">
        <v>25</v>
      </c>
      <c r="AL2559" s="4">
        <v>51</v>
      </c>
      <c r="AM2559" s="4">
        <v>57</v>
      </c>
      <c r="AN2559" s="4">
        <v>0</v>
      </c>
      <c r="AO2559" s="4">
        <v>0</v>
      </c>
      <c r="AP2559" s="4">
        <v>19</v>
      </c>
      <c r="AQ2559" s="4">
        <v>34</v>
      </c>
      <c r="AR2559" s="3" t="s">
        <v>62</v>
      </c>
      <c r="AS2559" s="3" t="s">
        <v>62</v>
      </c>
      <c r="AT2559" s="3" t="s">
        <v>61</v>
      </c>
      <c r="AU2559" s="6" t="str">
        <f>HYPERLINK("http://catalog.hathitrust.org/Record/003135436","HathiTrust Record")</f>
        <v>HathiTrust Record</v>
      </c>
      <c r="AV2559" s="6" t="str">
        <f>HYPERLINK("http://mcgill.on.worldcat.org/oclc/34730193","Catalog Record")</f>
        <v>Catalog Record</v>
      </c>
      <c r="AW2559" s="6" t="str">
        <f>HYPERLINK("http://www.worldcat.org/oclc/34730193","WorldCat Record")</f>
        <v>WorldCat Record</v>
      </c>
      <c r="AX2559" s="3" t="s">
        <v>24669</v>
      </c>
      <c r="AY2559" s="3" t="s">
        <v>24670</v>
      </c>
      <c r="AZ2559" s="3" t="s">
        <v>24671</v>
      </c>
      <c r="BA2559" s="3" t="s">
        <v>24671</v>
      </c>
      <c r="BB2559" s="3" t="s">
        <v>24672</v>
      </c>
      <c r="BC2559" s="3" t="s">
        <v>102</v>
      </c>
      <c r="BD2559" s="3" t="s">
        <v>68</v>
      </c>
      <c r="BE2559" s="3" t="s">
        <v>24673</v>
      </c>
      <c r="BF2559" s="3" t="s">
        <v>24672</v>
      </c>
      <c r="BG2559" s="3" t="s">
        <v>24674</v>
      </c>
    </row>
    <row r="2560" spans="1:59" ht="58" x14ac:dyDescent="0.35">
      <c r="A2560" s="2" t="s">
        <v>89</v>
      </c>
      <c r="B2560" s="2" t="s">
        <v>90</v>
      </c>
      <c r="C2560" s="2" t="s">
        <v>24675</v>
      </c>
      <c r="D2560" s="2" t="s">
        <v>24676</v>
      </c>
      <c r="E2560" s="2" t="s">
        <v>24677</v>
      </c>
      <c r="G2560" s="3" t="s">
        <v>62</v>
      </c>
      <c r="I2560" s="3" t="s">
        <v>62</v>
      </c>
      <c r="J2560" s="3" t="s">
        <v>62</v>
      </c>
      <c r="K2560" s="3" t="s">
        <v>63</v>
      </c>
      <c r="L2560" s="2" t="s">
        <v>12067</v>
      </c>
      <c r="M2560" s="2" t="s">
        <v>24678</v>
      </c>
      <c r="N2560" s="3" t="s">
        <v>87</v>
      </c>
      <c r="P2560" s="3" t="s">
        <v>64</v>
      </c>
      <c r="Q2560" s="2" t="s">
        <v>24679</v>
      </c>
      <c r="R2560" s="3" t="s">
        <v>13065</v>
      </c>
      <c r="S2560" s="4">
        <v>13</v>
      </c>
      <c r="T2560" s="4">
        <v>13</v>
      </c>
      <c r="U2560" s="5" t="s">
        <v>12070</v>
      </c>
      <c r="V2560" s="5" t="s">
        <v>12070</v>
      </c>
      <c r="W2560" s="5" t="s">
        <v>67</v>
      </c>
      <c r="X2560" s="5" t="s">
        <v>67</v>
      </c>
      <c r="Y2560" s="4">
        <v>263</v>
      </c>
      <c r="Z2560" s="4">
        <v>14</v>
      </c>
      <c r="AA2560" s="4">
        <v>14</v>
      </c>
      <c r="AB2560" s="4">
        <v>2</v>
      </c>
      <c r="AC2560" s="4">
        <v>2</v>
      </c>
      <c r="AD2560" s="4">
        <v>76</v>
      </c>
      <c r="AE2560" s="4">
        <v>76</v>
      </c>
      <c r="AF2560" s="4">
        <v>1</v>
      </c>
      <c r="AG2560" s="4">
        <v>1</v>
      </c>
      <c r="AH2560" s="4">
        <v>68</v>
      </c>
      <c r="AI2560" s="4">
        <v>68</v>
      </c>
      <c r="AJ2560" s="4">
        <v>11</v>
      </c>
      <c r="AK2560" s="4">
        <v>11</v>
      </c>
      <c r="AL2560" s="4">
        <v>36</v>
      </c>
      <c r="AM2560" s="4">
        <v>36</v>
      </c>
      <c r="AN2560" s="4">
        <v>0</v>
      </c>
      <c r="AO2560" s="4">
        <v>0</v>
      </c>
      <c r="AP2560" s="4">
        <v>10</v>
      </c>
      <c r="AQ2560" s="4">
        <v>10</v>
      </c>
      <c r="AR2560" s="3" t="s">
        <v>62</v>
      </c>
      <c r="AS2560" s="3" t="s">
        <v>62</v>
      </c>
      <c r="AT2560" s="3" t="s">
        <v>61</v>
      </c>
      <c r="AU2560" s="6" t="str">
        <f>HYPERLINK("http://catalog.hathitrust.org/Record/000720231","HathiTrust Record")</f>
        <v>HathiTrust Record</v>
      </c>
      <c r="AV2560" s="6" t="str">
        <f>HYPERLINK("http://mcgill.on.worldcat.org/oclc/5007314","Catalog Record")</f>
        <v>Catalog Record</v>
      </c>
      <c r="AW2560" s="6" t="str">
        <f>HYPERLINK("http://www.worldcat.org/oclc/5007314","WorldCat Record")</f>
        <v>WorldCat Record</v>
      </c>
      <c r="AX2560" s="3" t="s">
        <v>24680</v>
      </c>
      <c r="AY2560" s="3" t="s">
        <v>24681</v>
      </c>
      <c r="AZ2560" s="3" t="s">
        <v>24682</v>
      </c>
      <c r="BA2560" s="3" t="s">
        <v>24682</v>
      </c>
      <c r="BB2560" s="3" t="s">
        <v>24683</v>
      </c>
      <c r="BC2560" s="3" t="s">
        <v>102</v>
      </c>
      <c r="BD2560" s="3" t="s">
        <v>68</v>
      </c>
      <c r="BE2560" s="3" t="s">
        <v>24684</v>
      </c>
      <c r="BF2560" s="3" t="s">
        <v>24683</v>
      </c>
      <c r="BG2560" s="3" t="s">
        <v>24685</v>
      </c>
    </row>
    <row r="2561" spans="1:59" ht="101.5" x14ac:dyDescent="0.35">
      <c r="A2561" s="2" t="s">
        <v>89</v>
      </c>
      <c r="B2561" s="2" t="s">
        <v>12301</v>
      </c>
      <c r="C2561" s="2" t="s">
        <v>24686</v>
      </c>
      <c r="D2561" s="2" t="s">
        <v>24687</v>
      </c>
      <c r="E2561" s="2" t="s">
        <v>24688</v>
      </c>
      <c r="G2561" s="3" t="s">
        <v>62</v>
      </c>
      <c r="I2561" s="3" t="s">
        <v>62</v>
      </c>
      <c r="J2561" s="3" t="s">
        <v>62</v>
      </c>
      <c r="K2561" s="3" t="s">
        <v>63</v>
      </c>
      <c r="L2561" s="2" t="s">
        <v>24689</v>
      </c>
      <c r="M2561" s="2" t="s">
        <v>24690</v>
      </c>
      <c r="N2561" s="3" t="s">
        <v>655</v>
      </c>
      <c r="P2561" s="3" t="s">
        <v>64</v>
      </c>
      <c r="R2561" s="3" t="s">
        <v>13065</v>
      </c>
      <c r="S2561" s="4">
        <v>65</v>
      </c>
      <c r="T2561" s="4">
        <v>65</v>
      </c>
      <c r="U2561" s="5" t="s">
        <v>6462</v>
      </c>
      <c r="V2561" s="5" t="s">
        <v>6462</v>
      </c>
      <c r="W2561" s="5" t="s">
        <v>67</v>
      </c>
      <c r="X2561" s="5" t="s">
        <v>67</v>
      </c>
      <c r="Y2561" s="4">
        <v>147</v>
      </c>
      <c r="Z2561" s="4">
        <v>11</v>
      </c>
      <c r="AA2561" s="4">
        <v>19</v>
      </c>
      <c r="AB2561" s="4">
        <v>1</v>
      </c>
      <c r="AC2561" s="4">
        <v>8</v>
      </c>
      <c r="AD2561" s="4">
        <v>54</v>
      </c>
      <c r="AE2561" s="4">
        <v>70</v>
      </c>
      <c r="AF2561" s="4">
        <v>0</v>
      </c>
      <c r="AG2561" s="4">
        <v>6</v>
      </c>
      <c r="AH2561" s="4">
        <v>49</v>
      </c>
      <c r="AI2561" s="4">
        <v>59</v>
      </c>
      <c r="AJ2561" s="4">
        <v>7</v>
      </c>
      <c r="AK2561" s="4">
        <v>12</v>
      </c>
      <c r="AL2561" s="4">
        <v>26</v>
      </c>
      <c r="AM2561" s="4">
        <v>34</v>
      </c>
      <c r="AN2561" s="4">
        <v>0</v>
      </c>
      <c r="AO2561" s="4">
        <v>0</v>
      </c>
      <c r="AP2561" s="4">
        <v>8</v>
      </c>
      <c r="AQ2561" s="4">
        <v>14</v>
      </c>
      <c r="AR2561" s="3" t="s">
        <v>62</v>
      </c>
      <c r="AS2561" s="3" t="s">
        <v>62</v>
      </c>
      <c r="AT2561" s="3" t="s">
        <v>62</v>
      </c>
      <c r="AV2561" s="6" t="str">
        <f>HYPERLINK("http://mcgill.on.worldcat.org/oclc/69020985","Catalog Record")</f>
        <v>Catalog Record</v>
      </c>
      <c r="AW2561" s="6" t="str">
        <f>HYPERLINK("http://www.worldcat.org/oclc/69020985","WorldCat Record")</f>
        <v>WorldCat Record</v>
      </c>
      <c r="AX2561" s="3" t="s">
        <v>24691</v>
      </c>
      <c r="AY2561" s="3" t="s">
        <v>24692</v>
      </c>
      <c r="AZ2561" s="3" t="s">
        <v>24693</v>
      </c>
      <c r="BA2561" s="3" t="s">
        <v>24693</v>
      </c>
      <c r="BB2561" s="3" t="s">
        <v>24694</v>
      </c>
      <c r="BC2561" s="3" t="s">
        <v>102</v>
      </c>
      <c r="BD2561" s="3" t="s">
        <v>68</v>
      </c>
      <c r="BE2561" s="3" t="s">
        <v>24695</v>
      </c>
      <c r="BF2561" s="3" t="s">
        <v>24694</v>
      </c>
      <c r="BG2561" s="3" t="s">
        <v>24696</v>
      </c>
    </row>
    <row r="2562" spans="1:59" ht="58" x14ac:dyDescent="0.35">
      <c r="A2562" s="2" t="s">
        <v>89</v>
      </c>
      <c r="B2562" s="2" t="s">
        <v>90</v>
      </c>
      <c r="C2562" s="2" t="s">
        <v>24697</v>
      </c>
      <c r="D2562" s="2" t="s">
        <v>24698</v>
      </c>
      <c r="E2562" s="2" t="s">
        <v>24699</v>
      </c>
      <c r="G2562" s="3" t="s">
        <v>62</v>
      </c>
      <c r="I2562" s="3" t="s">
        <v>62</v>
      </c>
      <c r="J2562" s="3" t="s">
        <v>62</v>
      </c>
      <c r="K2562" s="3" t="s">
        <v>63</v>
      </c>
      <c r="M2562" s="2" t="s">
        <v>24700</v>
      </c>
      <c r="N2562" s="3" t="s">
        <v>1077</v>
      </c>
      <c r="P2562" s="3" t="s">
        <v>64</v>
      </c>
      <c r="Q2562" s="2" t="s">
        <v>24701</v>
      </c>
      <c r="R2562" s="3" t="s">
        <v>13065</v>
      </c>
      <c r="S2562" s="4">
        <v>22</v>
      </c>
      <c r="T2562" s="4">
        <v>22</v>
      </c>
      <c r="U2562" s="5" t="s">
        <v>19000</v>
      </c>
      <c r="V2562" s="5" t="s">
        <v>19000</v>
      </c>
      <c r="W2562" s="5" t="s">
        <v>67</v>
      </c>
      <c r="X2562" s="5" t="s">
        <v>67</v>
      </c>
      <c r="Y2562" s="4">
        <v>133</v>
      </c>
      <c r="Z2562" s="4">
        <v>9</v>
      </c>
      <c r="AA2562" s="4">
        <v>12</v>
      </c>
      <c r="AB2562" s="4">
        <v>2</v>
      </c>
      <c r="AC2562" s="4">
        <v>3</v>
      </c>
      <c r="AD2562" s="4">
        <v>58</v>
      </c>
      <c r="AE2562" s="4">
        <v>62</v>
      </c>
      <c r="AF2562" s="4">
        <v>1</v>
      </c>
      <c r="AG2562" s="4">
        <v>1</v>
      </c>
      <c r="AH2562" s="4">
        <v>54</v>
      </c>
      <c r="AI2562" s="4">
        <v>57</v>
      </c>
      <c r="AJ2562" s="4">
        <v>7</v>
      </c>
      <c r="AK2562" s="4">
        <v>8</v>
      </c>
      <c r="AL2562" s="4">
        <v>34</v>
      </c>
      <c r="AM2562" s="4">
        <v>35</v>
      </c>
      <c r="AN2562" s="4">
        <v>0</v>
      </c>
      <c r="AO2562" s="4">
        <v>0</v>
      </c>
      <c r="AP2562" s="4">
        <v>7</v>
      </c>
      <c r="AQ2562" s="4">
        <v>9</v>
      </c>
      <c r="AR2562" s="3" t="s">
        <v>62</v>
      </c>
      <c r="AS2562" s="3" t="s">
        <v>62</v>
      </c>
      <c r="AT2562" s="3" t="s">
        <v>62</v>
      </c>
      <c r="AV2562" s="6" t="str">
        <f>HYPERLINK("http://mcgill.on.worldcat.org/oclc/26851455","Catalog Record")</f>
        <v>Catalog Record</v>
      </c>
      <c r="AW2562" s="6" t="str">
        <f>HYPERLINK("http://www.worldcat.org/oclc/26851455","WorldCat Record")</f>
        <v>WorldCat Record</v>
      </c>
      <c r="AX2562" s="3" t="s">
        <v>24702</v>
      </c>
      <c r="AY2562" s="3" t="s">
        <v>24703</v>
      </c>
      <c r="AZ2562" s="3" t="s">
        <v>24704</v>
      </c>
      <c r="BA2562" s="3" t="s">
        <v>24704</v>
      </c>
      <c r="BB2562" s="3" t="s">
        <v>24705</v>
      </c>
      <c r="BC2562" s="3" t="s">
        <v>102</v>
      </c>
      <c r="BD2562" s="3" t="s">
        <v>68</v>
      </c>
      <c r="BE2562" s="3" t="s">
        <v>24706</v>
      </c>
      <c r="BF2562" s="3" t="s">
        <v>24705</v>
      </c>
      <c r="BG2562" s="3" t="s">
        <v>24707</v>
      </c>
    </row>
    <row r="2563" spans="1:59" ht="58" x14ac:dyDescent="0.35">
      <c r="A2563" s="2" t="s">
        <v>89</v>
      </c>
      <c r="B2563" s="2" t="s">
        <v>90</v>
      </c>
      <c r="C2563" s="2" t="s">
        <v>24708</v>
      </c>
      <c r="D2563" s="2" t="s">
        <v>24709</v>
      </c>
      <c r="E2563" s="2" t="s">
        <v>24710</v>
      </c>
      <c r="G2563" s="3" t="s">
        <v>62</v>
      </c>
      <c r="H2563" s="3" t="s">
        <v>916</v>
      </c>
      <c r="I2563" s="3" t="s">
        <v>62</v>
      </c>
      <c r="J2563" s="3" t="s">
        <v>62</v>
      </c>
      <c r="K2563" s="3" t="s">
        <v>63</v>
      </c>
      <c r="L2563" s="2" t="s">
        <v>24711</v>
      </c>
      <c r="M2563" s="2" t="s">
        <v>24712</v>
      </c>
      <c r="N2563" s="3" t="s">
        <v>741</v>
      </c>
      <c r="P2563" s="3" t="s">
        <v>64</v>
      </c>
      <c r="Q2563" s="2" t="s">
        <v>24713</v>
      </c>
      <c r="R2563" s="3" t="s">
        <v>13065</v>
      </c>
      <c r="S2563" s="4">
        <v>0</v>
      </c>
      <c r="T2563" s="4">
        <v>0</v>
      </c>
      <c r="W2563" s="5" t="s">
        <v>22057</v>
      </c>
      <c r="X2563" s="5" t="s">
        <v>22057</v>
      </c>
      <c r="Y2563" s="4">
        <v>30</v>
      </c>
      <c r="Z2563" s="4">
        <v>1</v>
      </c>
      <c r="AA2563" s="4">
        <v>1</v>
      </c>
      <c r="AB2563" s="4">
        <v>1</v>
      </c>
      <c r="AC2563" s="4">
        <v>1</v>
      </c>
      <c r="AD2563" s="4">
        <v>13</v>
      </c>
      <c r="AE2563" s="4">
        <v>13</v>
      </c>
      <c r="AF2563" s="4">
        <v>0</v>
      </c>
      <c r="AG2563" s="4">
        <v>0</v>
      </c>
      <c r="AH2563" s="4">
        <v>13</v>
      </c>
      <c r="AI2563" s="4">
        <v>13</v>
      </c>
      <c r="AJ2563" s="4">
        <v>0</v>
      </c>
      <c r="AK2563" s="4">
        <v>0</v>
      </c>
      <c r="AL2563" s="4">
        <v>10</v>
      </c>
      <c r="AM2563" s="4">
        <v>10</v>
      </c>
      <c r="AN2563" s="4">
        <v>0</v>
      </c>
      <c r="AO2563" s="4">
        <v>0</v>
      </c>
      <c r="AP2563" s="4">
        <v>0</v>
      </c>
      <c r="AQ2563" s="4">
        <v>0</v>
      </c>
      <c r="AR2563" s="3" t="s">
        <v>62</v>
      </c>
      <c r="AS2563" s="3" t="s">
        <v>62</v>
      </c>
      <c r="AT2563" s="3" t="s">
        <v>62</v>
      </c>
      <c r="AV2563" s="6" t="str">
        <f>HYPERLINK("http://mcgill.on.worldcat.org/oclc/1114332024","Catalog Record")</f>
        <v>Catalog Record</v>
      </c>
      <c r="AW2563" s="6" t="str">
        <f>HYPERLINK("http://www.worldcat.org/oclc/1114332024","WorldCat Record")</f>
        <v>WorldCat Record</v>
      </c>
      <c r="AX2563" s="3" t="s">
        <v>24714</v>
      </c>
      <c r="AY2563" s="3" t="s">
        <v>24715</v>
      </c>
      <c r="AZ2563" s="3" t="s">
        <v>24716</v>
      </c>
      <c r="BA2563" s="3" t="s">
        <v>24716</v>
      </c>
      <c r="BB2563" s="3" t="s">
        <v>24717</v>
      </c>
      <c r="BC2563" s="3" t="s">
        <v>102</v>
      </c>
      <c r="BD2563" s="3" t="s">
        <v>1790</v>
      </c>
      <c r="BE2563" s="3" t="s">
        <v>24718</v>
      </c>
      <c r="BF2563" s="3" t="s">
        <v>24717</v>
      </c>
      <c r="BG2563" s="3" t="s">
        <v>24719</v>
      </c>
    </row>
    <row r="2564" spans="1:59" ht="58" x14ac:dyDescent="0.35">
      <c r="A2564" s="2" t="s">
        <v>89</v>
      </c>
      <c r="B2564" s="2" t="s">
        <v>90</v>
      </c>
      <c r="C2564" s="2" t="s">
        <v>24720</v>
      </c>
      <c r="D2564" s="2" t="s">
        <v>24721</v>
      </c>
      <c r="E2564" s="2" t="s">
        <v>24722</v>
      </c>
      <c r="G2564" s="3" t="s">
        <v>62</v>
      </c>
      <c r="I2564" s="3" t="s">
        <v>62</v>
      </c>
      <c r="J2564" s="3" t="s">
        <v>62</v>
      </c>
      <c r="K2564" s="3" t="s">
        <v>63</v>
      </c>
      <c r="L2564" s="2" t="s">
        <v>24723</v>
      </c>
      <c r="M2564" s="2" t="s">
        <v>22042</v>
      </c>
      <c r="N2564" s="3" t="s">
        <v>2588</v>
      </c>
      <c r="P2564" s="3" t="s">
        <v>64</v>
      </c>
      <c r="R2564" s="3" t="s">
        <v>13065</v>
      </c>
      <c r="S2564" s="4">
        <v>80</v>
      </c>
      <c r="T2564" s="4">
        <v>80</v>
      </c>
      <c r="U2564" s="5" t="s">
        <v>4458</v>
      </c>
      <c r="V2564" s="5" t="s">
        <v>4458</v>
      </c>
      <c r="W2564" s="5" t="s">
        <v>67</v>
      </c>
      <c r="X2564" s="5" t="s">
        <v>67</v>
      </c>
      <c r="Y2564" s="4">
        <v>377</v>
      </c>
      <c r="Z2564" s="4">
        <v>22</v>
      </c>
      <c r="AA2564" s="4">
        <v>29</v>
      </c>
      <c r="AB2564" s="4">
        <v>2</v>
      </c>
      <c r="AC2564" s="4">
        <v>8</v>
      </c>
      <c r="AD2564" s="4">
        <v>100</v>
      </c>
      <c r="AE2564" s="4">
        <v>107</v>
      </c>
      <c r="AF2564" s="4">
        <v>1</v>
      </c>
      <c r="AG2564" s="4">
        <v>7</v>
      </c>
      <c r="AH2564" s="4">
        <v>88</v>
      </c>
      <c r="AI2564" s="4">
        <v>89</v>
      </c>
      <c r="AJ2564" s="4">
        <v>16</v>
      </c>
      <c r="AK2564" s="4">
        <v>19</v>
      </c>
      <c r="AL2564" s="4">
        <v>51</v>
      </c>
      <c r="AM2564" s="4">
        <v>51</v>
      </c>
      <c r="AN2564" s="4">
        <v>0</v>
      </c>
      <c r="AO2564" s="4">
        <v>0</v>
      </c>
      <c r="AP2564" s="4">
        <v>18</v>
      </c>
      <c r="AQ2564" s="4">
        <v>24</v>
      </c>
      <c r="AR2564" s="3" t="s">
        <v>62</v>
      </c>
      <c r="AS2564" s="3" t="s">
        <v>62</v>
      </c>
      <c r="AT2564" s="3" t="s">
        <v>61</v>
      </c>
      <c r="AU2564" s="6" t="str">
        <f>HYPERLINK("http://catalog.hathitrust.org/Record/000292895","HathiTrust Record")</f>
        <v>HathiTrust Record</v>
      </c>
      <c r="AV2564" s="6" t="str">
        <f>HYPERLINK("http://mcgill.on.worldcat.org/oclc/3142799","Catalog Record")</f>
        <v>Catalog Record</v>
      </c>
      <c r="AW2564" s="6" t="str">
        <f>HYPERLINK("http://www.worldcat.org/oclc/3142799","WorldCat Record")</f>
        <v>WorldCat Record</v>
      </c>
      <c r="AX2564" s="3" t="s">
        <v>24724</v>
      </c>
      <c r="AY2564" s="3" t="s">
        <v>24725</v>
      </c>
      <c r="AZ2564" s="3" t="s">
        <v>24726</v>
      </c>
      <c r="BA2564" s="3" t="s">
        <v>24726</v>
      </c>
      <c r="BB2564" s="3" t="s">
        <v>24727</v>
      </c>
      <c r="BC2564" s="3" t="s">
        <v>102</v>
      </c>
      <c r="BD2564" s="3" t="s">
        <v>68</v>
      </c>
      <c r="BE2564" s="3" t="s">
        <v>24728</v>
      </c>
      <c r="BF2564" s="3" t="s">
        <v>24727</v>
      </c>
      <c r="BG2564" s="3" t="s">
        <v>24729</v>
      </c>
    </row>
    <row r="2565" spans="1:59" ht="58" x14ac:dyDescent="0.35">
      <c r="A2565" s="2" t="s">
        <v>89</v>
      </c>
      <c r="B2565" s="2" t="s">
        <v>90</v>
      </c>
      <c r="C2565" s="2" t="s">
        <v>24730</v>
      </c>
      <c r="D2565" s="2" t="s">
        <v>24731</v>
      </c>
      <c r="E2565" s="2" t="s">
        <v>24732</v>
      </c>
      <c r="G2565" s="3" t="s">
        <v>62</v>
      </c>
      <c r="I2565" s="3" t="s">
        <v>61</v>
      </c>
      <c r="J2565" s="3" t="s">
        <v>62</v>
      </c>
      <c r="K2565" s="3" t="s">
        <v>63</v>
      </c>
      <c r="M2565" s="2" t="s">
        <v>24733</v>
      </c>
      <c r="N2565" s="3" t="s">
        <v>2000</v>
      </c>
      <c r="P2565" s="3" t="s">
        <v>64</v>
      </c>
      <c r="Q2565" s="2" t="s">
        <v>24734</v>
      </c>
      <c r="R2565" s="3" t="s">
        <v>13065</v>
      </c>
      <c r="S2565" s="4">
        <v>11</v>
      </c>
      <c r="T2565" s="4">
        <v>15</v>
      </c>
      <c r="U2565" s="5" t="s">
        <v>24735</v>
      </c>
      <c r="V2565" s="5" t="s">
        <v>24736</v>
      </c>
      <c r="W2565" s="5" t="s">
        <v>67</v>
      </c>
      <c r="X2565" s="5" t="s">
        <v>67</v>
      </c>
      <c r="Y2565" s="4">
        <v>87</v>
      </c>
      <c r="Z2565" s="4">
        <v>8</v>
      </c>
      <c r="AA2565" s="4">
        <v>15</v>
      </c>
      <c r="AB2565" s="4">
        <v>2</v>
      </c>
      <c r="AC2565" s="4">
        <v>5</v>
      </c>
      <c r="AD2565" s="4">
        <v>29</v>
      </c>
      <c r="AE2565" s="4">
        <v>45</v>
      </c>
      <c r="AF2565" s="4">
        <v>1</v>
      </c>
      <c r="AG2565" s="4">
        <v>3</v>
      </c>
      <c r="AH2565" s="4">
        <v>25</v>
      </c>
      <c r="AI2565" s="4">
        <v>39</v>
      </c>
      <c r="AJ2565" s="4">
        <v>7</v>
      </c>
      <c r="AK2565" s="4">
        <v>10</v>
      </c>
      <c r="AL2565" s="4">
        <v>13</v>
      </c>
      <c r="AM2565" s="4">
        <v>24</v>
      </c>
      <c r="AN2565" s="4">
        <v>0</v>
      </c>
      <c r="AO2565" s="4">
        <v>0</v>
      </c>
      <c r="AP2565" s="4">
        <v>6</v>
      </c>
      <c r="AQ2565" s="4">
        <v>11</v>
      </c>
      <c r="AR2565" s="3" t="s">
        <v>62</v>
      </c>
      <c r="AS2565" s="3" t="s">
        <v>62</v>
      </c>
      <c r="AT2565" s="3" t="s">
        <v>62</v>
      </c>
      <c r="AV2565" s="6" t="str">
        <f>HYPERLINK("http://mcgill.on.worldcat.org/oclc/35084922","Catalog Record")</f>
        <v>Catalog Record</v>
      </c>
      <c r="AW2565" s="6" t="str">
        <f>HYPERLINK("http://www.worldcat.org/oclc/35084922","WorldCat Record")</f>
        <v>WorldCat Record</v>
      </c>
      <c r="AX2565" s="3" t="s">
        <v>24737</v>
      </c>
      <c r="AY2565" s="3" t="s">
        <v>24738</v>
      </c>
      <c r="AZ2565" s="3" t="s">
        <v>24739</v>
      </c>
      <c r="BA2565" s="3" t="s">
        <v>24739</v>
      </c>
      <c r="BB2565" s="3" t="s">
        <v>24740</v>
      </c>
      <c r="BC2565" s="3" t="s">
        <v>102</v>
      </c>
      <c r="BD2565" s="3" t="s">
        <v>68</v>
      </c>
      <c r="BE2565" s="3" t="s">
        <v>24741</v>
      </c>
      <c r="BF2565" s="3" t="s">
        <v>24740</v>
      </c>
      <c r="BG2565" s="3" t="s">
        <v>24742</v>
      </c>
    </row>
    <row r="2566" spans="1:59" ht="58" x14ac:dyDescent="0.35">
      <c r="A2566" s="2" t="s">
        <v>89</v>
      </c>
      <c r="B2566" s="2" t="s">
        <v>90</v>
      </c>
      <c r="C2566" s="2" t="s">
        <v>24743</v>
      </c>
      <c r="D2566" s="2" t="s">
        <v>24744</v>
      </c>
      <c r="E2566" s="2" t="s">
        <v>24745</v>
      </c>
      <c r="G2566" s="3" t="s">
        <v>62</v>
      </c>
      <c r="I2566" s="3" t="s">
        <v>62</v>
      </c>
      <c r="J2566" s="3" t="s">
        <v>62</v>
      </c>
      <c r="K2566" s="3" t="s">
        <v>63</v>
      </c>
      <c r="L2566" s="2" t="s">
        <v>24746</v>
      </c>
      <c r="M2566" s="2" t="s">
        <v>24747</v>
      </c>
      <c r="N2566" s="3" t="s">
        <v>3062</v>
      </c>
      <c r="O2566" s="2" t="s">
        <v>2986</v>
      </c>
      <c r="P2566" s="3" t="s">
        <v>64</v>
      </c>
      <c r="Q2566" s="2" t="s">
        <v>24748</v>
      </c>
      <c r="R2566" s="3" t="s">
        <v>13065</v>
      </c>
      <c r="S2566" s="4">
        <v>60</v>
      </c>
      <c r="T2566" s="4">
        <v>60</v>
      </c>
      <c r="U2566" s="5" t="s">
        <v>9608</v>
      </c>
      <c r="V2566" s="5" t="s">
        <v>9608</v>
      </c>
      <c r="W2566" s="5" t="s">
        <v>67</v>
      </c>
      <c r="X2566" s="5" t="s">
        <v>67</v>
      </c>
      <c r="Y2566" s="4">
        <v>329</v>
      </c>
      <c r="Z2566" s="4">
        <v>29</v>
      </c>
      <c r="AA2566" s="4">
        <v>51</v>
      </c>
      <c r="AB2566" s="4">
        <v>2</v>
      </c>
      <c r="AC2566" s="4">
        <v>9</v>
      </c>
      <c r="AD2566" s="4">
        <v>90</v>
      </c>
      <c r="AE2566" s="4">
        <v>135</v>
      </c>
      <c r="AF2566" s="4">
        <v>1</v>
      </c>
      <c r="AG2566" s="4">
        <v>4</v>
      </c>
      <c r="AH2566" s="4">
        <v>76</v>
      </c>
      <c r="AI2566" s="4">
        <v>107</v>
      </c>
      <c r="AJ2566" s="4">
        <v>19</v>
      </c>
      <c r="AK2566" s="4">
        <v>24</v>
      </c>
      <c r="AL2566" s="4">
        <v>45</v>
      </c>
      <c r="AM2566" s="4">
        <v>58</v>
      </c>
      <c r="AN2566" s="4">
        <v>0</v>
      </c>
      <c r="AO2566" s="4">
        <v>0</v>
      </c>
      <c r="AP2566" s="4">
        <v>24</v>
      </c>
      <c r="AQ2566" s="4">
        <v>34</v>
      </c>
      <c r="AR2566" s="3" t="s">
        <v>62</v>
      </c>
      <c r="AS2566" s="3" t="s">
        <v>62</v>
      </c>
      <c r="AT2566" s="3" t="s">
        <v>62</v>
      </c>
      <c r="AV2566" s="6" t="str">
        <f>HYPERLINK("http://mcgill.on.worldcat.org/oclc/23941087","Catalog Record")</f>
        <v>Catalog Record</v>
      </c>
      <c r="AW2566" s="6" t="str">
        <f>HYPERLINK("http://www.worldcat.org/oclc/23941087","WorldCat Record")</f>
        <v>WorldCat Record</v>
      </c>
      <c r="AX2566" s="3" t="s">
        <v>24749</v>
      </c>
      <c r="AY2566" s="3" t="s">
        <v>24750</v>
      </c>
      <c r="AZ2566" s="3" t="s">
        <v>24751</v>
      </c>
      <c r="BA2566" s="3" t="s">
        <v>24751</v>
      </c>
      <c r="BB2566" s="3" t="s">
        <v>24752</v>
      </c>
      <c r="BC2566" s="3" t="s">
        <v>102</v>
      </c>
      <c r="BD2566" s="3" t="s">
        <v>68</v>
      </c>
      <c r="BE2566" s="3" t="s">
        <v>24753</v>
      </c>
      <c r="BF2566" s="3" t="s">
        <v>24752</v>
      </c>
      <c r="BG2566" s="3" t="s">
        <v>24754</v>
      </c>
    </row>
    <row r="2567" spans="1:59" ht="58" x14ac:dyDescent="0.35">
      <c r="A2567" s="2" t="s">
        <v>89</v>
      </c>
      <c r="B2567" s="2" t="s">
        <v>90</v>
      </c>
      <c r="C2567" s="2" t="s">
        <v>24755</v>
      </c>
      <c r="D2567" s="2" t="s">
        <v>24756</v>
      </c>
      <c r="E2567" s="2" t="s">
        <v>24757</v>
      </c>
      <c r="G2567" s="3" t="s">
        <v>62</v>
      </c>
      <c r="I2567" s="3" t="s">
        <v>61</v>
      </c>
      <c r="J2567" s="3" t="s">
        <v>62</v>
      </c>
      <c r="K2567" s="3" t="s">
        <v>63</v>
      </c>
      <c r="L2567" s="2" t="s">
        <v>24758</v>
      </c>
      <c r="M2567" s="2" t="s">
        <v>24759</v>
      </c>
      <c r="N2567" s="3" t="s">
        <v>424</v>
      </c>
      <c r="P2567" s="3" t="s">
        <v>64</v>
      </c>
      <c r="Q2567" s="2" t="s">
        <v>24760</v>
      </c>
      <c r="R2567" s="3" t="s">
        <v>13065</v>
      </c>
      <c r="S2567" s="4">
        <v>47</v>
      </c>
      <c r="T2567" s="4">
        <v>86</v>
      </c>
      <c r="U2567" s="5" t="s">
        <v>21923</v>
      </c>
      <c r="V2567" s="5" t="s">
        <v>511</v>
      </c>
      <c r="W2567" s="5" t="s">
        <v>67</v>
      </c>
      <c r="X2567" s="5" t="s">
        <v>67</v>
      </c>
      <c r="Y2567" s="4">
        <v>550</v>
      </c>
      <c r="Z2567" s="4">
        <v>28</v>
      </c>
      <c r="AA2567" s="4">
        <v>63</v>
      </c>
      <c r="AB2567" s="4">
        <v>3</v>
      </c>
      <c r="AC2567" s="4">
        <v>15</v>
      </c>
      <c r="AD2567" s="4">
        <v>108</v>
      </c>
      <c r="AE2567" s="4">
        <v>136</v>
      </c>
      <c r="AF2567" s="4">
        <v>1</v>
      </c>
      <c r="AG2567" s="4">
        <v>8</v>
      </c>
      <c r="AH2567" s="4">
        <v>91</v>
      </c>
      <c r="AI2567" s="4">
        <v>105</v>
      </c>
      <c r="AJ2567" s="4">
        <v>16</v>
      </c>
      <c r="AK2567" s="4">
        <v>23</v>
      </c>
      <c r="AL2567" s="4">
        <v>53</v>
      </c>
      <c r="AM2567" s="4">
        <v>57</v>
      </c>
      <c r="AN2567" s="4">
        <v>0</v>
      </c>
      <c r="AO2567" s="4">
        <v>0</v>
      </c>
      <c r="AP2567" s="4">
        <v>23</v>
      </c>
      <c r="AQ2567" s="4">
        <v>37</v>
      </c>
      <c r="AR2567" s="3" t="s">
        <v>62</v>
      </c>
      <c r="AS2567" s="3" t="s">
        <v>62</v>
      </c>
      <c r="AT2567" s="3" t="s">
        <v>61</v>
      </c>
      <c r="AU2567" s="6" t="str">
        <f>HYPERLINK("http://catalog.hathitrust.org/Record/004572846","HathiTrust Record")</f>
        <v>HathiTrust Record</v>
      </c>
      <c r="AV2567" s="6" t="str">
        <f>HYPERLINK("http://mcgill.on.worldcat.org/oclc/17200031","Catalog Record")</f>
        <v>Catalog Record</v>
      </c>
      <c r="AW2567" s="6" t="str">
        <f>HYPERLINK("http://www.worldcat.org/oclc/17200031","WorldCat Record")</f>
        <v>WorldCat Record</v>
      </c>
      <c r="AX2567" s="3" t="s">
        <v>24761</v>
      </c>
      <c r="AY2567" s="3" t="s">
        <v>24762</v>
      </c>
      <c r="AZ2567" s="3" t="s">
        <v>24763</v>
      </c>
      <c r="BA2567" s="3" t="s">
        <v>24763</v>
      </c>
      <c r="BB2567" s="3" t="s">
        <v>24764</v>
      </c>
      <c r="BC2567" s="3" t="s">
        <v>102</v>
      </c>
      <c r="BD2567" s="3" t="s">
        <v>68</v>
      </c>
      <c r="BE2567" s="3" t="s">
        <v>24765</v>
      </c>
      <c r="BF2567" s="3" t="s">
        <v>24764</v>
      </c>
      <c r="BG2567" s="3" t="s">
        <v>24766</v>
      </c>
    </row>
    <row r="2568" spans="1:59" ht="58" x14ac:dyDescent="0.35">
      <c r="A2568" s="2" t="s">
        <v>89</v>
      </c>
      <c r="B2568" s="2" t="s">
        <v>90</v>
      </c>
      <c r="C2568" s="2" t="s">
        <v>24767</v>
      </c>
      <c r="D2568" s="2" t="s">
        <v>24768</v>
      </c>
      <c r="E2568" s="2" t="s">
        <v>24769</v>
      </c>
      <c r="G2568" s="3" t="s">
        <v>62</v>
      </c>
      <c r="I2568" s="3" t="s">
        <v>61</v>
      </c>
      <c r="J2568" s="3" t="s">
        <v>62</v>
      </c>
      <c r="K2568" s="3" t="s">
        <v>63</v>
      </c>
      <c r="L2568" s="2" t="s">
        <v>24770</v>
      </c>
      <c r="M2568" s="2" t="s">
        <v>1999</v>
      </c>
      <c r="N2568" s="3" t="s">
        <v>2000</v>
      </c>
      <c r="P2568" s="3" t="s">
        <v>64</v>
      </c>
      <c r="R2568" s="3" t="s">
        <v>13065</v>
      </c>
      <c r="S2568" s="4">
        <v>44</v>
      </c>
      <c r="T2568" s="4">
        <v>112</v>
      </c>
      <c r="U2568" s="5" t="s">
        <v>17447</v>
      </c>
      <c r="V2568" s="5" t="s">
        <v>17447</v>
      </c>
      <c r="W2568" s="5" t="s">
        <v>67</v>
      </c>
      <c r="X2568" s="5" t="s">
        <v>67</v>
      </c>
      <c r="Y2568" s="4">
        <v>357</v>
      </c>
      <c r="Z2568" s="4">
        <v>20</v>
      </c>
      <c r="AA2568" s="4">
        <v>24</v>
      </c>
      <c r="AB2568" s="4">
        <v>2</v>
      </c>
      <c r="AC2568" s="4">
        <v>6</v>
      </c>
      <c r="AD2568" s="4">
        <v>94</v>
      </c>
      <c r="AE2568" s="4">
        <v>97</v>
      </c>
      <c r="AF2568" s="4">
        <v>1</v>
      </c>
      <c r="AG2568" s="4">
        <v>4</v>
      </c>
      <c r="AH2568" s="4">
        <v>80</v>
      </c>
      <c r="AI2568" s="4">
        <v>81</v>
      </c>
      <c r="AJ2568" s="4">
        <v>15</v>
      </c>
      <c r="AK2568" s="4">
        <v>17</v>
      </c>
      <c r="AL2568" s="4">
        <v>50</v>
      </c>
      <c r="AM2568" s="4">
        <v>50</v>
      </c>
      <c r="AN2568" s="4">
        <v>0</v>
      </c>
      <c r="AO2568" s="4">
        <v>0</v>
      </c>
      <c r="AP2568" s="4">
        <v>18</v>
      </c>
      <c r="AQ2568" s="4">
        <v>20</v>
      </c>
      <c r="AR2568" s="3" t="s">
        <v>62</v>
      </c>
      <c r="AS2568" s="3" t="s">
        <v>62</v>
      </c>
      <c r="AT2568" s="3" t="s">
        <v>62</v>
      </c>
      <c r="AV2568" s="6" t="str">
        <f>HYPERLINK("http://mcgill.on.worldcat.org/oclc/32892151","Catalog Record")</f>
        <v>Catalog Record</v>
      </c>
      <c r="AW2568" s="6" t="str">
        <f>HYPERLINK("http://www.worldcat.org/oclc/32892151","WorldCat Record")</f>
        <v>WorldCat Record</v>
      </c>
      <c r="AX2568" s="3" t="s">
        <v>24771</v>
      </c>
      <c r="AY2568" s="3" t="s">
        <v>24772</v>
      </c>
      <c r="AZ2568" s="3" t="s">
        <v>24773</v>
      </c>
      <c r="BA2568" s="3" t="s">
        <v>24773</v>
      </c>
      <c r="BB2568" s="3" t="s">
        <v>24774</v>
      </c>
      <c r="BC2568" s="3" t="s">
        <v>102</v>
      </c>
      <c r="BD2568" s="3" t="s">
        <v>68</v>
      </c>
      <c r="BE2568" s="3" t="s">
        <v>24775</v>
      </c>
      <c r="BF2568" s="3" t="s">
        <v>24774</v>
      </c>
      <c r="BG2568" s="3" t="s">
        <v>24776</v>
      </c>
    </row>
    <row r="2569" spans="1:59" ht="58" x14ac:dyDescent="0.35">
      <c r="A2569" s="2" t="s">
        <v>89</v>
      </c>
      <c r="B2569" s="2" t="s">
        <v>90</v>
      </c>
      <c r="C2569" s="2" t="s">
        <v>24777</v>
      </c>
      <c r="D2569" s="2" t="s">
        <v>24778</v>
      </c>
      <c r="E2569" s="2" t="s">
        <v>24779</v>
      </c>
      <c r="G2569" s="3" t="s">
        <v>62</v>
      </c>
      <c r="I2569" s="3" t="s">
        <v>62</v>
      </c>
      <c r="J2569" s="3" t="s">
        <v>62</v>
      </c>
      <c r="K2569" s="3" t="s">
        <v>63</v>
      </c>
      <c r="L2569" s="2" t="s">
        <v>24780</v>
      </c>
      <c r="M2569" s="2" t="s">
        <v>24781</v>
      </c>
      <c r="N2569" s="3" t="s">
        <v>201</v>
      </c>
      <c r="P2569" s="3" t="s">
        <v>64</v>
      </c>
      <c r="R2569" s="3" t="s">
        <v>13065</v>
      </c>
      <c r="S2569" s="4">
        <v>9</v>
      </c>
      <c r="T2569" s="4">
        <v>9</v>
      </c>
      <c r="U2569" s="5" t="s">
        <v>4594</v>
      </c>
      <c r="V2569" s="5" t="s">
        <v>4594</v>
      </c>
      <c r="W2569" s="5" t="s">
        <v>67</v>
      </c>
      <c r="X2569" s="5" t="s">
        <v>67</v>
      </c>
      <c r="Y2569" s="4">
        <v>333</v>
      </c>
      <c r="Z2569" s="4">
        <v>26</v>
      </c>
      <c r="AA2569" s="4">
        <v>32</v>
      </c>
      <c r="AB2569" s="4">
        <v>2</v>
      </c>
      <c r="AC2569" s="4">
        <v>7</v>
      </c>
      <c r="AD2569" s="4">
        <v>98</v>
      </c>
      <c r="AE2569" s="4">
        <v>104</v>
      </c>
      <c r="AF2569" s="4">
        <v>1</v>
      </c>
      <c r="AG2569" s="4">
        <v>6</v>
      </c>
      <c r="AH2569" s="4">
        <v>84</v>
      </c>
      <c r="AI2569" s="4">
        <v>86</v>
      </c>
      <c r="AJ2569" s="4">
        <v>17</v>
      </c>
      <c r="AK2569" s="4">
        <v>22</v>
      </c>
      <c r="AL2569" s="4">
        <v>48</v>
      </c>
      <c r="AM2569" s="4">
        <v>48</v>
      </c>
      <c r="AN2569" s="4">
        <v>0</v>
      </c>
      <c r="AO2569" s="4">
        <v>0</v>
      </c>
      <c r="AP2569" s="4">
        <v>22</v>
      </c>
      <c r="AQ2569" s="4">
        <v>27</v>
      </c>
      <c r="AR2569" s="3" t="s">
        <v>62</v>
      </c>
      <c r="AS2569" s="3" t="s">
        <v>62</v>
      </c>
      <c r="AT2569" s="3" t="s">
        <v>61</v>
      </c>
      <c r="AU2569" s="6" t="str">
        <f>HYPERLINK("http://catalog.hathitrust.org/Record/000694076","HathiTrust Record")</f>
        <v>HathiTrust Record</v>
      </c>
      <c r="AV2569" s="6" t="str">
        <f>HYPERLINK("http://mcgill.on.worldcat.org/oclc/1992086","Catalog Record")</f>
        <v>Catalog Record</v>
      </c>
      <c r="AW2569" s="6" t="str">
        <f>HYPERLINK("http://www.worldcat.org/oclc/1992086","WorldCat Record")</f>
        <v>WorldCat Record</v>
      </c>
      <c r="AX2569" s="3" t="s">
        <v>24782</v>
      </c>
      <c r="AY2569" s="3" t="s">
        <v>24783</v>
      </c>
      <c r="AZ2569" s="3" t="s">
        <v>24784</v>
      </c>
      <c r="BA2569" s="3" t="s">
        <v>24784</v>
      </c>
      <c r="BB2569" s="3" t="s">
        <v>24785</v>
      </c>
      <c r="BC2569" s="3" t="s">
        <v>102</v>
      </c>
      <c r="BD2569" s="3" t="s">
        <v>68</v>
      </c>
      <c r="BE2569" s="3" t="s">
        <v>24786</v>
      </c>
      <c r="BF2569" s="3" t="s">
        <v>24785</v>
      </c>
      <c r="BG2569" s="3" t="s">
        <v>24787</v>
      </c>
    </row>
    <row r="2570" spans="1:59" ht="58" x14ac:dyDescent="0.35">
      <c r="A2570" s="2" t="s">
        <v>89</v>
      </c>
      <c r="B2570" s="2" t="s">
        <v>90</v>
      </c>
      <c r="C2570" s="2" t="s">
        <v>24788</v>
      </c>
      <c r="D2570" s="2" t="s">
        <v>24789</v>
      </c>
      <c r="E2570" s="2" t="s">
        <v>24790</v>
      </c>
      <c r="G2570" s="3" t="s">
        <v>62</v>
      </c>
      <c r="I2570" s="3" t="s">
        <v>62</v>
      </c>
      <c r="J2570" s="3" t="s">
        <v>62</v>
      </c>
      <c r="K2570" s="3" t="s">
        <v>63</v>
      </c>
      <c r="L2570" s="2" t="s">
        <v>24791</v>
      </c>
      <c r="M2570" s="2" t="s">
        <v>24792</v>
      </c>
      <c r="N2570" s="3" t="s">
        <v>755</v>
      </c>
      <c r="P2570" s="3" t="s">
        <v>64</v>
      </c>
      <c r="Q2570" s="2" t="s">
        <v>13888</v>
      </c>
      <c r="R2570" s="3" t="s">
        <v>13065</v>
      </c>
      <c r="S2570" s="4">
        <v>16</v>
      </c>
      <c r="T2570" s="4">
        <v>16</v>
      </c>
      <c r="U2570" s="5" t="s">
        <v>24793</v>
      </c>
      <c r="V2570" s="5" t="s">
        <v>24793</v>
      </c>
      <c r="W2570" s="5" t="s">
        <v>67</v>
      </c>
      <c r="X2570" s="5" t="s">
        <v>67</v>
      </c>
      <c r="Y2570" s="4">
        <v>78</v>
      </c>
      <c r="Z2570" s="4">
        <v>21</v>
      </c>
      <c r="AA2570" s="4">
        <v>45</v>
      </c>
      <c r="AB2570" s="4">
        <v>2</v>
      </c>
      <c r="AC2570" s="4">
        <v>9</v>
      </c>
      <c r="AD2570" s="4">
        <v>35</v>
      </c>
      <c r="AE2570" s="4">
        <v>128</v>
      </c>
      <c r="AF2570" s="4">
        <v>1</v>
      </c>
      <c r="AG2570" s="4">
        <v>6</v>
      </c>
      <c r="AH2570" s="4">
        <v>22</v>
      </c>
      <c r="AI2570" s="4">
        <v>102</v>
      </c>
      <c r="AJ2570" s="4">
        <v>13</v>
      </c>
      <c r="AK2570" s="4">
        <v>25</v>
      </c>
      <c r="AL2570" s="4">
        <v>9</v>
      </c>
      <c r="AM2570" s="4">
        <v>55</v>
      </c>
      <c r="AN2570" s="4">
        <v>0</v>
      </c>
      <c r="AO2570" s="4">
        <v>0</v>
      </c>
      <c r="AP2570" s="4">
        <v>19</v>
      </c>
      <c r="AQ2570" s="4">
        <v>34</v>
      </c>
      <c r="AR2570" s="3" t="s">
        <v>61</v>
      </c>
      <c r="AS2570" s="3" t="s">
        <v>61</v>
      </c>
      <c r="AT2570" s="3" t="s">
        <v>62</v>
      </c>
      <c r="AU2570" s="6" t="str">
        <f>HYPERLINK("http://catalog.hathitrust.org/Record/006199681","HathiTrust Record")</f>
        <v>HathiTrust Record</v>
      </c>
      <c r="AV2570" s="6" t="str">
        <f>HYPERLINK("http://mcgill.on.worldcat.org/oclc/61599050","Catalog Record")</f>
        <v>Catalog Record</v>
      </c>
      <c r="AW2570" s="6" t="str">
        <f>HYPERLINK("http://www.worldcat.org/oclc/61599050","WorldCat Record")</f>
        <v>WorldCat Record</v>
      </c>
      <c r="AX2570" s="3" t="s">
        <v>24794</v>
      </c>
      <c r="AY2570" s="3" t="s">
        <v>24795</v>
      </c>
      <c r="AZ2570" s="3" t="s">
        <v>24796</v>
      </c>
      <c r="BA2570" s="3" t="s">
        <v>24796</v>
      </c>
      <c r="BB2570" s="3" t="s">
        <v>24797</v>
      </c>
      <c r="BC2570" s="3" t="s">
        <v>102</v>
      </c>
      <c r="BD2570" s="3" t="s">
        <v>68</v>
      </c>
      <c r="BF2570" s="3" t="s">
        <v>24797</v>
      </c>
      <c r="BG2570" s="3" t="s">
        <v>24798</v>
      </c>
    </row>
    <row r="2571" spans="1:59" ht="58" x14ac:dyDescent="0.35">
      <c r="A2571" s="2" t="s">
        <v>89</v>
      </c>
      <c r="B2571" s="2" t="s">
        <v>90</v>
      </c>
      <c r="C2571" s="2" t="s">
        <v>24799</v>
      </c>
      <c r="D2571" s="2" t="s">
        <v>24800</v>
      </c>
      <c r="E2571" s="2" t="s">
        <v>24801</v>
      </c>
      <c r="G2571" s="3" t="s">
        <v>62</v>
      </c>
      <c r="I2571" s="3" t="s">
        <v>62</v>
      </c>
      <c r="J2571" s="3" t="s">
        <v>62</v>
      </c>
      <c r="K2571" s="3" t="s">
        <v>63</v>
      </c>
      <c r="L2571" s="2" t="s">
        <v>24041</v>
      </c>
      <c r="M2571" s="2" t="s">
        <v>24802</v>
      </c>
      <c r="N2571" s="3" t="s">
        <v>2445</v>
      </c>
      <c r="P2571" s="3" t="s">
        <v>64</v>
      </c>
      <c r="Q2571" s="2" t="s">
        <v>24803</v>
      </c>
      <c r="R2571" s="3" t="s">
        <v>13065</v>
      </c>
      <c r="S2571" s="4">
        <v>19</v>
      </c>
      <c r="T2571" s="4">
        <v>19</v>
      </c>
      <c r="U2571" s="5" t="s">
        <v>24793</v>
      </c>
      <c r="V2571" s="5" t="s">
        <v>24793</v>
      </c>
      <c r="W2571" s="5" t="s">
        <v>67</v>
      </c>
      <c r="X2571" s="5" t="s">
        <v>67</v>
      </c>
      <c r="Y2571" s="4">
        <v>557</v>
      </c>
      <c r="Z2571" s="4">
        <v>35</v>
      </c>
      <c r="AA2571" s="4">
        <v>49</v>
      </c>
      <c r="AB2571" s="4">
        <v>2</v>
      </c>
      <c r="AC2571" s="4">
        <v>11</v>
      </c>
      <c r="AD2571" s="4">
        <v>126</v>
      </c>
      <c r="AE2571" s="4">
        <v>138</v>
      </c>
      <c r="AF2571" s="4">
        <v>1</v>
      </c>
      <c r="AG2571" s="4">
        <v>6</v>
      </c>
      <c r="AH2571" s="4">
        <v>105</v>
      </c>
      <c r="AI2571" s="4">
        <v>108</v>
      </c>
      <c r="AJ2571" s="4">
        <v>21</v>
      </c>
      <c r="AK2571" s="4">
        <v>26</v>
      </c>
      <c r="AL2571" s="4">
        <v>57</v>
      </c>
      <c r="AM2571" s="4">
        <v>58</v>
      </c>
      <c r="AN2571" s="4">
        <v>0</v>
      </c>
      <c r="AO2571" s="4">
        <v>0</v>
      </c>
      <c r="AP2571" s="4">
        <v>28</v>
      </c>
      <c r="AQ2571" s="4">
        <v>37</v>
      </c>
      <c r="AR2571" s="3" t="s">
        <v>62</v>
      </c>
      <c r="AS2571" s="3" t="s">
        <v>61</v>
      </c>
      <c r="AT2571" s="3" t="s">
        <v>62</v>
      </c>
      <c r="AU2571" s="6" t="str">
        <f>HYPERLINK("http://catalog.hathitrust.org/Record/000619931","HathiTrust Record")</f>
        <v>HathiTrust Record</v>
      </c>
      <c r="AV2571" s="6" t="str">
        <f>HYPERLINK("http://mcgill.on.worldcat.org/oclc/529736","Catalog Record")</f>
        <v>Catalog Record</v>
      </c>
      <c r="AW2571" s="6" t="str">
        <f>HYPERLINK("http://www.worldcat.org/oclc/529736","WorldCat Record")</f>
        <v>WorldCat Record</v>
      </c>
      <c r="AX2571" s="3" t="s">
        <v>24804</v>
      </c>
      <c r="AY2571" s="3" t="s">
        <v>24805</v>
      </c>
      <c r="AZ2571" s="3" t="s">
        <v>24806</v>
      </c>
      <c r="BA2571" s="3" t="s">
        <v>24806</v>
      </c>
      <c r="BB2571" s="3" t="s">
        <v>24807</v>
      </c>
      <c r="BC2571" s="3" t="s">
        <v>102</v>
      </c>
      <c r="BD2571" s="3" t="s">
        <v>68</v>
      </c>
      <c r="BE2571" s="3" t="s">
        <v>24808</v>
      </c>
      <c r="BF2571" s="3" t="s">
        <v>24807</v>
      </c>
      <c r="BG2571" s="3" t="s">
        <v>24809</v>
      </c>
    </row>
    <row r="2572" spans="1:59" ht="58" x14ac:dyDescent="0.35">
      <c r="A2572" s="2" t="s">
        <v>89</v>
      </c>
      <c r="B2572" s="2" t="s">
        <v>90</v>
      </c>
      <c r="C2572" s="2" t="s">
        <v>24810</v>
      </c>
      <c r="D2572" s="2" t="s">
        <v>24811</v>
      </c>
      <c r="E2572" s="2" t="s">
        <v>24812</v>
      </c>
      <c r="G2572" s="3" t="s">
        <v>62</v>
      </c>
      <c r="I2572" s="3" t="s">
        <v>61</v>
      </c>
      <c r="J2572" s="3" t="s">
        <v>62</v>
      </c>
      <c r="K2572" s="3" t="s">
        <v>63</v>
      </c>
      <c r="L2572" s="2" t="s">
        <v>24813</v>
      </c>
      <c r="M2572" s="2" t="s">
        <v>24814</v>
      </c>
      <c r="N2572" s="3" t="s">
        <v>755</v>
      </c>
      <c r="O2572" s="2" t="s">
        <v>8350</v>
      </c>
      <c r="P2572" s="3" t="s">
        <v>64</v>
      </c>
      <c r="R2572" s="3" t="s">
        <v>13065</v>
      </c>
      <c r="S2572" s="4">
        <v>0</v>
      </c>
      <c r="T2572" s="4">
        <v>11</v>
      </c>
      <c r="V2572" s="5" t="s">
        <v>24815</v>
      </c>
      <c r="W2572" s="5" t="s">
        <v>67</v>
      </c>
      <c r="X2572" s="5" t="s">
        <v>67</v>
      </c>
      <c r="Y2572" s="4">
        <v>311</v>
      </c>
      <c r="Z2572" s="4">
        <v>19</v>
      </c>
      <c r="AA2572" s="4">
        <v>27</v>
      </c>
      <c r="AB2572" s="4">
        <v>2</v>
      </c>
      <c r="AC2572" s="4">
        <v>4</v>
      </c>
      <c r="AD2572" s="4">
        <v>93</v>
      </c>
      <c r="AE2572" s="4">
        <v>116</v>
      </c>
      <c r="AF2572" s="4">
        <v>1</v>
      </c>
      <c r="AG2572" s="4">
        <v>3</v>
      </c>
      <c r="AH2572" s="4">
        <v>80</v>
      </c>
      <c r="AI2572" s="4">
        <v>98</v>
      </c>
      <c r="AJ2572" s="4">
        <v>13</v>
      </c>
      <c r="AK2572" s="4">
        <v>19</v>
      </c>
      <c r="AL2572" s="4">
        <v>47</v>
      </c>
      <c r="AM2572" s="4">
        <v>54</v>
      </c>
      <c r="AN2572" s="4">
        <v>0</v>
      </c>
      <c r="AO2572" s="4">
        <v>0</v>
      </c>
      <c r="AP2572" s="4">
        <v>15</v>
      </c>
      <c r="AQ2572" s="4">
        <v>23</v>
      </c>
      <c r="AR2572" s="3" t="s">
        <v>62</v>
      </c>
      <c r="AS2572" s="3" t="s">
        <v>62</v>
      </c>
      <c r="AT2572" s="3" t="s">
        <v>61</v>
      </c>
      <c r="AU2572" s="6" t="str">
        <f>HYPERLINK("http://catalog.hathitrust.org/Record/000621449","HathiTrust Record")</f>
        <v>HathiTrust Record</v>
      </c>
      <c r="AV2572" s="6" t="str">
        <f>HYPERLINK("http://mcgill.on.worldcat.org/oclc/1202805","Catalog Record")</f>
        <v>Catalog Record</v>
      </c>
      <c r="AW2572" s="6" t="str">
        <f>HYPERLINK("http://www.worldcat.org/oclc/1202805","WorldCat Record")</f>
        <v>WorldCat Record</v>
      </c>
      <c r="AX2572" s="3" t="s">
        <v>24816</v>
      </c>
      <c r="AY2572" s="3" t="s">
        <v>24817</v>
      </c>
      <c r="AZ2572" s="3" t="s">
        <v>24818</v>
      </c>
      <c r="BA2572" s="3" t="s">
        <v>24818</v>
      </c>
      <c r="BB2572" s="3" t="s">
        <v>24819</v>
      </c>
      <c r="BC2572" s="3" t="s">
        <v>102</v>
      </c>
      <c r="BD2572" s="3" t="s">
        <v>68</v>
      </c>
      <c r="BF2572" s="3" t="s">
        <v>24819</v>
      </c>
      <c r="BG2572" s="3" t="s">
        <v>24820</v>
      </c>
    </row>
    <row r="2573" spans="1:59" ht="58" x14ac:dyDescent="0.35">
      <c r="A2573" s="2" t="s">
        <v>89</v>
      </c>
      <c r="B2573" s="2" t="s">
        <v>90</v>
      </c>
      <c r="C2573" s="2" t="s">
        <v>24821</v>
      </c>
      <c r="D2573" s="2" t="s">
        <v>24822</v>
      </c>
      <c r="E2573" s="2" t="s">
        <v>24823</v>
      </c>
      <c r="G2573" s="3" t="s">
        <v>62</v>
      </c>
      <c r="I2573" s="3" t="s">
        <v>62</v>
      </c>
      <c r="J2573" s="3" t="s">
        <v>62</v>
      </c>
      <c r="K2573" s="3" t="s">
        <v>63</v>
      </c>
      <c r="L2573" s="2" t="s">
        <v>24824</v>
      </c>
      <c r="M2573" s="2" t="s">
        <v>24825</v>
      </c>
      <c r="N2573" s="3" t="s">
        <v>698</v>
      </c>
      <c r="P2573" s="3" t="s">
        <v>64</v>
      </c>
      <c r="Q2573" s="2" t="s">
        <v>24826</v>
      </c>
      <c r="R2573" s="3" t="s">
        <v>13065</v>
      </c>
      <c r="S2573" s="4">
        <v>0</v>
      </c>
      <c r="T2573" s="4">
        <v>0</v>
      </c>
      <c r="W2573" s="5" t="s">
        <v>67</v>
      </c>
      <c r="X2573" s="5" t="s">
        <v>67</v>
      </c>
      <c r="Y2573" s="4">
        <v>63</v>
      </c>
      <c r="Z2573" s="4">
        <v>7</v>
      </c>
      <c r="AA2573" s="4">
        <v>82</v>
      </c>
      <c r="AB2573" s="4">
        <v>1</v>
      </c>
      <c r="AC2573" s="4">
        <v>17</v>
      </c>
      <c r="AD2573" s="4">
        <v>29</v>
      </c>
      <c r="AE2573" s="4">
        <v>90</v>
      </c>
      <c r="AF2573" s="4">
        <v>0</v>
      </c>
      <c r="AG2573" s="4">
        <v>8</v>
      </c>
      <c r="AH2573" s="4">
        <v>27</v>
      </c>
      <c r="AI2573" s="4">
        <v>59</v>
      </c>
      <c r="AJ2573" s="4">
        <v>4</v>
      </c>
      <c r="AK2573" s="4">
        <v>17</v>
      </c>
      <c r="AL2573" s="4">
        <v>20</v>
      </c>
      <c r="AM2573" s="4">
        <v>33</v>
      </c>
      <c r="AN2573" s="4">
        <v>0</v>
      </c>
      <c r="AO2573" s="4">
        <v>0</v>
      </c>
      <c r="AP2573" s="4">
        <v>5</v>
      </c>
      <c r="AQ2573" s="4">
        <v>37</v>
      </c>
      <c r="AR2573" s="3" t="s">
        <v>62</v>
      </c>
      <c r="AS2573" s="3" t="s">
        <v>62</v>
      </c>
      <c r="AT2573" s="3" t="s">
        <v>62</v>
      </c>
      <c r="AV2573" s="6" t="str">
        <f>HYPERLINK("http://mcgill.on.worldcat.org/oclc/793131305","Catalog Record")</f>
        <v>Catalog Record</v>
      </c>
      <c r="AW2573" s="6" t="str">
        <f>HYPERLINK("http://www.worldcat.org/oclc/793131305","WorldCat Record")</f>
        <v>WorldCat Record</v>
      </c>
      <c r="AX2573" s="3" t="s">
        <v>24827</v>
      </c>
      <c r="AY2573" s="3" t="s">
        <v>24828</v>
      </c>
      <c r="AZ2573" s="3" t="s">
        <v>24829</v>
      </c>
      <c r="BA2573" s="3" t="s">
        <v>24829</v>
      </c>
      <c r="BB2573" s="3" t="s">
        <v>24830</v>
      </c>
      <c r="BC2573" s="3" t="s">
        <v>102</v>
      </c>
      <c r="BD2573" s="3" t="s">
        <v>68</v>
      </c>
      <c r="BE2573" s="3" t="s">
        <v>24831</v>
      </c>
      <c r="BF2573" s="3" t="s">
        <v>24830</v>
      </c>
      <c r="BG2573" s="3" t="s">
        <v>24832</v>
      </c>
    </row>
    <row r="2574" spans="1:59" ht="58" x14ac:dyDescent="0.35">
      <c r="A2574" s="2" t="s">
        <v>89</v>
      </c>
      <c r="B2574" s="2" t="s">
        <v>90</v>
      </c>
      <c r="C2574" s="2" t="s">
        <v>24833</v>
      </c>
      <c r="D2574" s="2" t="s">
        <v>24834</v>
      </c>
      <c r="E2574" s="2" t="s">
        <v>24835</v>
      </c>
      <c r="G2574" s="3" t="s">
        <v>62</v>
      </c>
      <c r="I2574" s="3" t="s">
        <v>62</v>
      </c>
      <c r="J2574" s="3" t="s">
        <v>62</v>
      </c>
      <c r="K2574" s="3" t="s">
        <v>63</v>
      </c>
      <c r="L2574" s="2" t="s">
        <v>15603</v>
      </c>
      <c r="M2574" s="2" t="s">
        <v>24836</v>
      </c>
      <c r="N2574" s="3" t="s">
        <v>1077</v>
      </c>
      <c r="P2574" s="3" t="s">
        <v>64</v>
      </c>
      <c r="R2574" s="3" t="s">
        <v>13065</v>
      </c>
      <c r="S2574" s="4">
        <v>28</v>
      </c>
      <c r="T2574" s="4">
        <v>28</v>
      </c>
      <c r="U2574" s="5" t="s">
        <v>4501</v>
      </c>
      <c r="V2574" s="5" t="s">
        <v>4501</v>
      </c>
      <c r="W2574" s="5" t="s">
        <v>67</v>
      </c>
      <c r="X2574" s="5" t="s">
        <v>67</v>
      </c>
      <c r="Y2574" s="4">
        <v>185</v>
      </c>
      <c r="Z2574" s="4">
        <v>5</v>
      </c>
      <c r="AA2574" s="4">
        <v>25</v>
      </c>
      <c r="AB2574" s="4">
        <v>1</v>
      </c>
      <c r="AC2574" s="4">
        <v>3</v>
      </c>
      <c r="AD2574" s="4">
        <v>18</v>
      </c>
      <c r="AE2574" s="4">
        <v>101</v>
      </c>
      <c r="AF2574" s="4">
        <v>0</v>
      </c>
      <c r="AG2574" s="4">
        <v>2</v>
      </c>
      <c r="AH2574" s="4">
        <v>16</v>
      </c>
      <c r="AI2574" s="4">
        <v>86</v>
      </c>
      <c r="AJ2574" s="4">
        <v>2</v>
      </c>
      <c r="AK2574" s="4">
        <v>18</v>
      </c>
      <c r="AL2574" s="4">
        <v>7</v>
      </c>
      <c r="AM2574" s="4">
        <v>48</v>
      </c>
      <c r="AN2574" s="4">
        <v>0</v>
      </c>
      <c r="AO2574" s="4">
        <v>0</v>
      </c>
      <c r="AP2574" s="4">
        <v>3</v>
      </c>
      <c r="AQ2574" s="4">
        <v>21</v>
      </c>
      <c r="AR2574" s="3" t="s">
        <v>62</v>
      </c>
      <c r="AS2574" s="3" t="s">
        <v>62</v>
      </c>
      <c r="AT2574" s="3" t="s">
        <v>62</v>
      </c>
      <c r="AV2574" s="6" t="str">
        <f>HYPERLINK("http://mcgill.on.worldcat.org/oclc/27070595","Catalog Record")</f>
        <v>Catalog Record</v>
      </c>
      <c r="AW2574" s="6" t="str">
        <f>HYPERLINK("http://www.worldcat.org/oclc/27070595","WorldCat Record")</f>
        <v>WorldCat Record</v>
      </c>
      <c r="AX2574" s="3" t="s">
        <v>24837</v>
      </c>
      <c r="AY2574" s="3" t="s">
        <v>24838</v>
      </c>
      <c r="AZ2574" s="3" t="s">
        <v>24839</v>
      </c>
      <c r="BA2574" s="3" t="s">
        <v>24839</v>
      </c>
      <c r="BB2574" s="3" t="s">
        <v>24840</v>
      </c>
      <c r="BC2574" s="3" t="s">
        <v>102</v>
      </c>
      <c r="BD2574" s="3" t="s">
        <v>68</v>
      </c>
      <c r="BE2574" s="3" t="s">
        <v>24841</v>
      </c>
      <c r="BF2574" s="3" t="s">
        <v>24840</v>
      </c>
      <c r="BG2574" s="3" t="s">
        <v>24842</v>
      </c>
    </row>
    <row r="2575" spans="1:59" ht="101.5" x14ac:dyDescent="0.35">
      <c r="A2575" s="2" t="s">
        <v>89</v>
      </c>
      <c r="B2575" s="2" t="s">
        <v>90</v>
      </c>
      <c r="C2575" s="2" t="s">
        <v>24843</v>
      </c>
      <c r="D2575" s="2" t="s">
        <v>24844</v>
      </c>
      <c r="E2575" s="2" t="s">
        <v>24845</v>
      </c>
      <c r="G2575" s="3" t="s">
        <v>62</v>
      </c>
      <c r="I2575" s="3" t="s">
        <v>62</v>
      </c>
      <c r="J2575" s="3" t="s">
        <v>61</v>
      </c>
      <c r="K2575" s="3" t="s">
        <v>916</v>
      </c>
      <c r="L2575" s="2" t="s">
        <v>24846</v>
      </c>
      <c r="M2575" s="2" t="s">
        <v>24847</v>
      </c>
      <c r="N2575" s="3" t="s">
        <v>24848</v>
      </c>
      <c r="O2575" s="2" t="s">
        <v>24849</v>
      </c>
      <c r="P2575" s="3" t="s">
        <v>85</v>
      </c>
      <c r="R2575" s="3" t="s">
        <v>13065</v>
      </c>
      <c r="S2575" s="4">
        <v>5</v>
      </c>
      <c r="T2575" s="4">
        <v>5</v>
      </c>
      <c r="U2575" s="5" t="s">
        <v>11274</v>
      </c>
      <c r="V2575" s="5" t="s">
        <v>11274</v>
      </c>
      <c r="W2575" s="5" t="s">
        <v>67</v>
      </c>
      <c r="X2575" s="5" t="s">
        <v>67</v>
      </c>
      <c r="Y2575" s="4">
        <v>102</v>
      </c>
      <c r="Z2575" s="4">
        <v>3</v>
      </c>
      <c r="AA2575" s="4">
        <v>20</v>
      </c>
      <c r="AB2575" s="4">
        <v>1</v>
      </c>
      <c r="AC2575" s="4">
        <v>3</v>
      </c>
      <c r="AD2575" s="4">
        <v>40</v>
      </c>
      <c r="AE2575" s="4">
        <v>89</v>
      </c>
      <c r="AF2575" s="4">
        <v>0</v>
      </c>
      <c r="AG2575" s="4">
        <v>1</v>
      </c>
      <c r="AH2575" s="4">
        <v>40</v>
      </c>
      <c r="AI2575" s="4">
        <v>81</v>
      </c>
      <c r="AJ2575" s="4">
        <v>2</v>
      </c>
      <c r="AK2575" s="4">
        <v>14</v>
      </c>
      <c r="AL2575" s="4">
        <v>27</v>
      </c>
      <c r="AM2575" s="4">
        <v>50</v>
      </c>
      <c r="AN2575" s="4">
        <v>0</v>
      </c>
      <c r="AO2575" s="4">
        <v>2</v>
      </c>
      <c r="AP2575" s="4">
        <v>2</v>
      </c>
      <c r="AQ2575" s="4">
        <v>16</v>
      </c>
      <c r="AR2575" s="3" t="s">
        <v>62</v>
      </c>
      <c r="AS2575" s="3" t="s">
        <v>61</v>
      </c>
      <c r="AT2575" s="3" t="s">
        <v>62</v>
      </c>
      <c r="AU2575" s="6" t="str">
        <f>HYPERLINK("http://catalog.hathitrust.org/Record/000164347","HathiTrust Record")</f>
        <v>HathiTrust Record</v>
      </c>
      <c r="AV2575" s="6" t="str">
        <f>HYPERLINK("http://mcgill.on.worldcat.org/oclc/4601767","Catalog Record")</f>
        <v>Catalog Record</v>
      </c>
      <c r="AW2575" s="6" t="str">
        <f>HYPERLINK("http://www.worldcat.org/oclc/4601767","WorldCat Record")</f>
        <v>WorldCat Record</v>
      </c>
      <c r="AX2575" s="3" t="s">
        <v>24850</v>
      </c>
      <c r="AY2575" s="3" t="s">
        <v>24851</v>
      </c>
      <c r="AZ2575" s="3" t="s">
        <v>24852</v>
      </c>
      <c r="BA2575" s="3" t="s">
        <v>24852</v>
      </c>
      <c r="BB2575" s="3" t="s">
        <v>24853</v>
      </c>
      <c r="BC2575" s="3" t="s">
        <v>102</v>
      </c>
      <c r="BD2575" s="3" t="s">
        <v>68</v>
      </c>
      <c r="BF2575" s="3" t="s">
        <v>24853</v>
      </c>
      <c r="BG2575" s="3" t="s">
        <v>24854</v>
      </c>
    </row>
    <row r="2576" spans="1:59" ht="58" x14ac:dyDescent="0.35">
      <c r="A2576" s="2" t="s">
        <v>89</v>
      </c>
      <c r="B2576" s="2" t="s">
        <v>90</v>
      </c>
      <c r="C2576" s="2" t="s">
        <v>24855</v>
      </c>
      <c r="D2576" s="2" t="s">
        <v>24856</v>
      </c>
      <c r="E2576" s="2" t="s">
        <v>24857</v>
      </c>
      <c r="G2576" s="3" t="s">
        <v>62</v>
      </c>
      <c r="I2576" s="3" t="s">
        <v>62</v>
      </c>
      <c r="J2576" s="3" t="s">
        <v>62</v>
      </c>
      <c r="K2576" s="3" t="s">
        <v>63</v>
      </c>
      <c r="L2576" s="2" t="s">
        <v>20907</v>
      </c>
      <c r="M2576" s="2" t="s">
        <v>24858</v>
      </c>
      <c r="N2576" s="3" t="s">
        <v>424</v>
      </c>
      <c r="O2576" s="2" t="s">
        <v>2986</v>
      </c>
      <c r="P2576" s="3" t="s">
        <v>64</v>
      </c>
      <c r="R2576" s="3" t="s">
        <v>13065</v>
      </c>
      <c r="S2576" s="4">
        <v>19</v>
      </c>
      <c r="T2576" s="4">
        <v>19</v>
      </c>
      <c r="U2576" s="5" t="s">
        <v>23883</v>
      </c>
      <c r="V2576" s="5" t="s">
        <v>23883</v>
      </c>
      <c r="W2576" s="5" t="s">
        <v>67</v>
      </c>
      <c r="X2576" s="5" t="s">
        <v>67</v>
      </c>
      <c r="Y2576" s="4">
        <v>188</v>
      </c>
      <c r="Z2576" s="4">
        <v>9</v>
      </c>
      <c r="AA2576" s="4">
        <v>28</v>
      </c>
      <c r="AB2576" s="4">
        <v>1</v>
      </c>
      <c r="AC2576" s="4">
        <v>6</v>
      </c>
      <c r="AD2576" s="4">
        <v>33</v>
      </c>
      <c r="AE2576" s="4">
        <v>63</v>
      </c>
      <c r="AF2576" s="4">
        <v>0</v>
      </c>
      <c r="AG2576" s="4">
        <v>3</v>
      </c>
      <c r="AH2576" s="4">
        <v>28</v>
      </c>
      <c r="AI2576" s="4">
        <v>48</v>
      </c>
      <c r="AJ2576" s="4">
        <v>4</v>
      </c>
      <c r="AK2576" s="4">
        <v>14</v>
      </c>
      <c r="AL2576" s="4">
        <v>17</v>
      </c>
      <c r="AM2576" s="4">
        <v>29</v>
      </c>
      <c r="AN2576" s="4">
        <v>0</v>
      </c>
      <c r="AO2576" s="4">
        <v>0</v>
      </c>
      <c r="AP2576" s="4">
        <v>5</v>
      </c>
      <c r="AQ2576" s="4">
        <v>18</v>
      </c>
      <c r="AR2576" s="3" t="s">
        <v>62</v>
      </c>
      <c r="AS2576" s="3" t="s">
        <v>62</v>
      </c>
      <c r="AT2576" s="3" t="s">
        <v>62</v>
      </c>
      <c r="AV2576" s="6" t="str">
        <f>HYPERLINK("http://mcgill.on.worldcat.org/oclc/17226816","Catalog Record")</f>
        <v>Catalog Record</v>
      </c>
      <c r="AW2576" s="6" t="str">
        <f>HYPERLINK("http://www.worldcat.org/oclc/17226816","WorldCat Record")</f>
        <v>WorldCat Record</v>
      </c>
      <c r="AX2576" s="3" t="s">
        <v>24859</v>
      </c>
      <c r="AY2576" s="3" t="s">
        <v>24860</v>
      </c>
      <c r="AZ2576" s="3" t="s">
        <v>24861</v>
      </c>
      <c r="BA2576" s="3" t="s">
        <v>24861</v>
      </c>
      <c r="BB2576" s="3" t="s">
        <v>24862</v>
      </c>
      <c r="BC2576" s="3" t="s">
        <v>102</v>
      </c>
      <c r="BD2576" s="3" t="s">
        <v>68</v>
      </c>
      <c r="BE2576" s="3" t="s">
        <v>24863</v>
      </c>
      <c r="BF2576" s="3" t="s">
        <v>24862</v>
      </c>
      <c r="BG2576" s="3" t="s">
        <v>24864</v>
      </c>
    </row>
    <row r="2577" spans="1:59" ht="58" x14ac:dyDescent="0.35">
      <c r="A2577" s="2" t="s">
        <v>89</v>
      </c>
      <c r="B2577" s="2" t="s">
        <v>90</v>
      </c>
      <c r="C2577" s="2" t="s">
        <v>24865</v>
      </c>
      <c r="D2577" s="2" t="s">
        <v>24866</v>
      </c>
      <c r="E2577" s="2" t="s">
        <v>24867</v>
      </c>
      <c r="G2577" s="3" t="s">
        <v>61</v>
      </c>
      <c r="I2577" s="3" t="s">
        <v>62</v>
      </c>
      <c r="J2577" s="3" t="s">
        <v>62</v>
      </c>
      <c r="K2577" s="3" t="s">
        <v>63</v>
      </c>
      <c r="L2577" s="2" t="s">
        <v>24868</v>
      </c>
      <c r="M2577" s="2" t="s">
        <v>24869</v>
      </c>
      <c r="N2577" s="3" t="s">
        <v>976</v>
      </c>
      <c r="P2577" s="3" t="s">
        <v>64</v>
      </c>
      <c r="Q2577" s="2" t="s">
        <v>24870</v>
      </c>
      <c r="R2577" s="3" t="s">
        <v>13065</v>
      </c>
      <c r="S2577" s="4">
        <v>2</v>
      </c>
      <c r="T2577" s="4">
        <v>2</v>
      </c>
      <c r="U2577" s="5" t="s">
        <v>19887</v>
      </c>
      <c r="V2577" s="5" t="s">
        <v>19887</v>
      </c>
      <c r="W2577" s="5" t="s">
        <v>67</v>
      </c>
      <c r="X2577" s="5" t="s">
        <v>67</v>
      </c>
      <c r="Y2577" s="4">
        <v>5</v>
      </c>
      <c r="Z2577" s="4">
        <v>1</v>
      </c>
      <c r="AA2577" s="4">
        <v>1</v>
      </c>
      <c r="AB2577" s="4">
        <v>1</v>
      </c>
      <c r="AC2577" s="4">
        <v>1</v>
      </c>
      <c r="AD2577" s="4">
        <v>0</v>
      </c>
      <c r="AE2577" s="4">
        <v>1</v>
      </c>
      <c r="AF2577" s="4">
        <v>0</v>
      </c>
      <c r="AG2577" s="4">
        <v>0</v>
      </c>
      <c r="AH2577" s="4">
        <v>0</v>
      </c>
      <c r="AI2577" s="4">
        <v>1</v>
      </c>
      <c r="AJ2577" s="4">
        <v>0</v>
      </c>
      <c r="AK2577" s="4">
        <v>0</v>
      </c>
      <c r="AL2577" s="4">
        <v>0</v>
      </c>
      <c r="AM2577" s="4">
        <v>1</v>
      </c>
      <c r="AN2577" s="4">
        <v>0</v>
      </c>
      <c r="AO2577" s="4">
        <v>0</v>
      </c>
      <c r="AP2577" s="4">
        <v>0</v>
      </c>
      <c r="AQ2577" s="4">
        <v>0</v>
      </c>
      <c r="AR2577" s="3" t="s">
        <v>62</v>
      </c>
      <c r="AS2577" s="3" t="s">
        <v>62</v>
      </c>
      <c r="AT2577" s="3" t="s">
        <v>62</v>
      </c>
      <c r="AV2577" s="6" t="str">
        <f>HYPERLINK("http://mcgill.on.worldcat.org/oclc/660084541","Catalog Record")</f>
        <v>Catalog Record</v>
      </c>
      <c r="AW2577" s="6" t="str">
        <f>HYPERLINK("http://www.worldcat.org/oclc/660084541","WorldCat Record")</f>
        <v>WorldCat Record</v>
      </c>
      <c r="AX2577" s="3" t="s">
        <v>24871</v>
      </c>
      <c r="AY2577" s="3" t="s">
        <v>24872</v>
      </c>
      <c r="AZ2577" s="3" t="s">
        <v>24873</v>
      </c>
      <c r="BA2577" s="3" t="s">
        <v>24873</v>
      </c>
      <c r="BB2577" s="3" t="s">
        <v>24874</v>
      </c>
      <c r="BC2577" s="3" t="s">
        <v>102</v>
      </c>
      <c r="BD2577" s="3" t="s">
        <v>68</v>
      </c>
      <c r="BF2577" s="3" t="s">
        <v>24874</v>
      </c>
      <c r="BG2577" s="3" t="s">
        <v>24875</v>
      </c>
    </row>
    <row r="2578" spans="1:59" ht="58" x14ac:dyDescent="0.35">
      <c r="A2578" s="2" t="s">
        <v>89</v>
      </c>
      <c r="B2578" s="2" t="s">
        <v>90</v>
      </c>
      <c r="C2578" s="2" t="s">
        <v>24876</v>
      </c>
      <c r="D2578" s="2" t="s">
        <v>24877</v>
      </c>
      <c r="E2578" s="2" t="s">
        <v>24878</v>
      </c>
      <c r="G2578" s="3" t="s">
        <v>62</v>
      </c>
      <c r="I2578" s="3" t="s">
        <v>62</v>
      </c>
      <c r="J2578" s="3" t="s">
        <v>62</v>
      </c>
      <c r="K2578" s="3" t="s">
        <v>63</v>
      </c>
      <c r="L2578" s="2" t="s">
        <v>24879</v>
      </c>
      <c r="M2578" s="2" t="s">
        <v>24880</v>
      </c>
      <c r="N2578" s="3" t="s">
        <v>115</v>
      </c>
      <c r="P2578" s="3" t="s">
        <v>64</v>
      </c>
      <c r="R2578" s="3" t="s">
        <v>13065</v>
      </c>
      <c r="S2578" s="4">
        <v>25</v>
      </c>
      <c r="T2578" s="4">
        <v>25</v>
      </c>
      <c r="U2578" s="5" t="s">
        <v>24881</v>
      </c>
      <c r="V2578" s="5" t="s">
        <v>24881</v>
      </c>
      <c r="W2578" s="5" t="s">
        <v>67</v>
      </c>
      <c r="X2578" s="5" t="s">
        <v>67</v>
      </c>
      <c r="Y2578" s="4">
        <v>437</v>
      </c>
      <c r="Z2578" s="4">
        <v>21</v>
      </c>
      <c r="AA2578" s="4">
        <v>24</v>
      </c>
      <c r="AB2578" s="4">
        <v>1</v>
      </c>
      <c r="AC2578" s="4">
        <v>4</v>
      </c>
      <c r="AD2578" s="4">
        <v>98</v>
      </c>
      <c r="AE2578" s="4">
        <v>101</v>
      </c>
      <c r="AF2578" s="4">
        <v>0</v>
      </c>
      <c r="AG2578" s="4">
        <v>3</v>
      </c>
      <c r="AH2578" s="4">
        <v>90</v>
      </c>
      <c r="AI2578" s="4">
        <v>91</v>
      </c>
      <c r="AJ2578" s="4">
        <v>14</v>
      </c>
      <c r="AK2578" s="4">
        <v>17</v>
      </c>
      <c r="AL2578" s="4">
        <v>45</v>
      </c>
      <c r="AM2578" s="4">
        <v>45</v>
      </c>
      <c r="AN2578" s="4">
        <v>0</v>
      </c>
      <c r="AO2578" s="4">
        <v>0</v>
      </c>
      <c r="AP2578" s="4">
        <v>16</v>
      </c>
      <c r="AQ2578" s="4">
        <v>18</v>
      </c>
      <c r="AR2578" s="3" t="s">
        <v>62</v>
      </c>
      <c r="AS2578" s="3" t="s">
        <v>62</v>
      </c>
      <c r="AT2578" s="3" t="s">
        <v>61</v>
      </c>
      <c r="AU2578" s="6" t="str">
        <f>HYPERLINK("http://catalog.hathitrust.org/Record/001818668","HathiTrust Record")</f>
        <v>HathiTrust Record</v>
      </c>
      <c r="AV2578" s="6" t="str">
        <f>HYPERLINK("http://mcgill.on.worldcat.org/oclc/18497169","Catalog Record")</f>
        <v>Catalog Record</v>
      </c>
      <c r="AW2578" s="6" t="str">
        <f>HYPERLINK("http://www.worldcat.org/oclc/18497169","WorldCat Record")</f>
        <v>WorldCat Record</v>
      </c>
      <c r="AX2578" s="3" t="s">
        <v>24882</v>
      </c>
      <c r="AY2578" s="3" t="s">
        <v>24883</v>
      </c>
      <c r="AZ2578" s="3" t="s">
        <v>24884</v>
      </c>
      <c r="BA2578" s="3" t="s">
        <v>24884</v>
      </c>
      <c r="BB2578" s="3" t="s">
        <v>24885</v>
      </c>
      <c r="BC2578" s="3" t="s">
        <v>102</v>
      </c>
      <c r="BD2578" s="3" t="s">
        <v>68</v>
      </c>
      <c r="BE2578" s="3" t="s">
        <v>24886</v>
      </c>
      <c r="BF2578" s="3" t="s">
        <v>24885</v>
      </c>
      <c r="BG2578" s="3" t="s">
        <v>24887</v>
      </c>
    </row>
    <row r="2579" spans="1:59" ht="72.5" x14ac:dyDescent="0.35">
      <c r="A2579" s="2" t="s">
        <v>89</v>
      </c>
      <c r="B2579" s="2" t="s">
        <v>1231</v>
      </c>
      <c r="C2579" s="2" t="s">
        <v>24888</v>
      </c>
      <c r="D2579" s="2" t="s">
        <v>24889</v>
      </c>
      <c r="E2579" s="2" t="s">
        <v>24890</v>
      </c>
      <c r="G2579" s="3" t="s">
        <v>62</v>
      </c>
      <c r="I2579" s="3" t="s">
        <v>62</v>
      </c>
      <c r="J2579" s="3" t="s">
        <v>62</v>
      </c>
      <c r="K2579" s="3" t="s">
        <v>63</v>
      </c>
      <c r="L2579" s="2" t="s">
        <v>24891</v>
      </c>
      <c r="M2579" s="2" t="s">
        <v>24892</v>
      </c>
      <c r="N2579" s="3" t="s">
        <v>115</v>
      </c>
      <c r="P2579" s="3" t="s">
        <v>64</v>
      </c>
      <c r="Q2579" s="2" t="s">
        <v>24893</v>
      </c>
      <c r="R2579" s="3" t="s">
        <v>13065</v>
      </c>
      <c r="S2579" s="4">
        <v>47</v>
      </c>
      <c r="T2579" s="4">
        <v>47</v>
      </c>
      <c r="U2579" s="5" t="s">
        <v>5023</v>
      </c>
      <c r="V2579" s="5" t="s">
        <v>5023</v>
      </c>
      <c r="W2579" s="5" t="s">
        <v>67</v>
      </c>
      <c r="X2579" s="5" t="s">
        <v>67</v>
      </c>
      <c r="Y2579" s="4">
        <v>218</v>
      </c>
      <c r="Z2579" s="4">
        <v>5</v>
      </c>
      <c r="AA2579" s="4">
        <v>36</v>
      </c>
      <c r="AB2579" s="4">
        <v>2</v>
      </c>
      <c r="AC2579" s="4">
        <v>6</v>
      </c>
      <c r="AD2579" s="4">
        <v>26</v>
      </c>
      <c r="AE2579" s="4">
        <v>88</v>
      </c>
      <c r="AF2579" s="4">
        <v>1</v>
      </c>
      <c r="AG2579" s="4">
        <v>4</v>
      </c>
      <c r="AH2579" s="4">
        <v>24</v>
      </c>
      <c r="AI2579" s="4">
        <v>72</v>
      </c>
      <c r="AJ2579" s="4">
        <v>3</v>
      </c>
      <c r="AK2579" s="4">
        <v>14</v>
      </c>
      <c r="AL2579" s="4">
        <v>12</v>
      </c>
      <c r="AM2579" s="4">
        <v>40</v>
      </c>
      <c r="AN2579" s="4">
        <v>0</v>
      </c>
      <c r="AO2579" s="4">
        <v>5</v>
      </c>
      <c r="AP2579" s="4">
        <v>4</v>
      </c>
      <c r="AQ2579" s="4">
        <v>21</v>
      </c>
      <c r="AR2579" s="3" t="s">
        <v>62</v>
      </c>
      <c r="AS2579" s="3" t="s">
        <v>62</v>
      </c>
      <c r="AT2579" s="3" t="s">
        <v>62</v>
      </c>
      <c r="AV2579" s="6" t="str">
        <f>HYPERLINK("http://mcgill.on.worldcat.org/oclc/19563997","Catalog Record")</f>
        <v>Catalog Record</v>
      </c>
      <c r="AW2579" s="6" t="str">
        <f>HYPERLINK("http://www.worldcat.org/oclc/19563997","WorldCat Record")</f>
        <v>WorldCat Record</v>
      </c>
      <c r="AX2579" s="3" t="s">
        <v>24894</v>
      </c>
      <c r="AY2579" s="3" t="s">
        <v>24895</v>
      </c>
      <c r="AZ2579" s="3" t="s">
        <v>24896</v>
      </c>
      <c r="BA2579" s="3" t="s">
        <v>24896</v>
      </c>
      <c r="BB2579" s="3" t="s">
        <v>24897</v>
      </c>
      <c r="BC2579" s="3" t="s">
        <v>102</v>
      </c>
      <c r="BD2579" s="3" t="s">
        <v>68</v>
      </c>
      <c r="BE2579" s="3" t="s">
        <v>24898</v>
      </c>
      <c r="BF2579" s="3" t="s">
        <v>24897</v>
      </c>
      <c r="BG2579" s="3" t="s">
        <v>24899</v>
      </c>
    </row>
    <row r="2580" spans="1:59" ht="58" x14ac:dyDescent="0.35">
      <c r="A2580" s="2" t="s">
        <v>89</v>
      </c>
      <c r="B2580" s="2" t="s">
        <v>90</v>
      </c>
      <c r="C2580" s="2" t="s">
        <v>24900</v>
      </c>
      <c r="D2580" s="2" t="s">
        <v>24901</v>
      </c>
      <c r="E2580" s="2" t="s">
        <v>24902</v>
      </c>
      <c r="G2580" s="3" t="s">
        <v>62</v>
      </c>
      <c r="I2580" s="3" t="s">
        <v>62</v>
      </c>
      <c r="J2580" s="3" t="s">
        <v>62</v>
      </c>
      <c r="K2580" s="3" t="s">
        <v>63</v>
      </c>
      <c r="L2580" s="2" t="s">
        <v>24903</v>
      </c>
      <c r="M2580" s="2" t="s">
        <v>7192</v>
      </c>
      <c r="N2580" s="3" t="s">
        <v>2975</v>
      </c>
      <c r="P2580" s="3" t="s">
        <v>64</v>
      </c>
      <c r="Q2580" s="2" t="s">
        <v>24904</v>
      </c>
      <c r="R2580" s="3" t="s">
        <v>13065</v>
      </c>
      <c r="S2580" s="4">
        <v>9</v>
      </c>
      <c r="T2580" s="4">
        <v>9</v>
      </c>
      <c r="U2580" s="5" t="s">
        <v>9696</v>
      </c>
      <c r="V2580" s="5" t="s">
        <v>9696</v>
      </c>
      <c r="W2580" s="5" t="s">
        <v>67</v>
      </c>
      <c r="X2580" s="5" t="s">
        <v>67</v>
      </c>
      <c r="Y2580" s="4">
        <v>163</v>
      </c>
      <c r="Z2580" s="4">
        <v>13</v>
      </c>
      <c r="AA2580" s="4">
        <v>14</v>
      </c>
      <c r="AB2580" s="4">
        <v>2</v>
      </c>
      <c r="AC2580" s="4">
        <v>3</v>
      </c>
      <c r="AD2580" s="4">
        <v>78</v>
      </c>
      <c r="AE2580" s="4">
        <v>79</v>
      </c>
      <c r="AF2580" s="4">
        <v>0</v>
      </c>
      <c r="AG2580" s="4">
        <v>1</v>
      </c>
      <c r="AH2580" s="4">
        <v>72</v>
      </c>
      <c r="AI2580" s="4">
        <v>72</v>
      </c>
      <c r="AJ2580" s="4">
        <v>9</v>
      </c>
      <c r="AK2580" s="4">
        <v>10</v>
      </c>
      <c r="AL2580" s="4">
        <v>44</v>
      </c>
      <c r="AM2580" s="4">
        <v>44</v>
      </c>
      <c r="AN2580" s="4">
        <v>0</v>
      </c>
      <c r="AO2580" s="4">
        <v>0</v>
      </c>
      <c r="AP2580" s="4">
        <v>9</v>
      </c>
      <c r="AQ2580" s="4">
        <v>9</v>
      </c>
      <c r="AR2580" s="3" t="s">
        <v>62</v>
      </c>
      <c r="AS2580" s="3" t="s">
        <v>62</v>
      </c>
      <c r="AT2580" s="3" t="s">
        <v>62</v>
      </c>
      <c r="AV2580" s="6" t="str">
        <f>HYPERLINK("http://mcgill.on.worldcat.org/oclc/46401610","Catalog Record")</f>
        <v>Catalog Record</v>
      </c>
      <c r="AW2580" s="6" t="str">
        <f>HYPERLINK("http://www.worldcat.org/oclc/46401610","WorldCat Record")</f>
        <v>WorldCat Record</v>
      </c>
      <c r="AX2580" s="3" t="s">
        <v>24905</v>
      </c>
      <c r="AY2580" s="3" t="s">
        <v>24906</v>
      </c>
      <c r="AZ2580" s="3" t="s">
        <v>24907</v>
      </c>
      <c r="BA2580" s="3" t="s">
        <v>24907</v>
      </c>
      <c r="BB2580" s="3" t="s">
        <v>24908</v>
      </c>
      <c r="BC2580" s="3" t="s">
        <v>102</v>
      </c>
      <c r="BD2580" s="3" t="s">
        <v>68</v>
      </c>
      <c r="BE2580" s="3" t="s">
        <v>24909</v>
      </c>
      <c r="BF2580" s="3" t="s">
        <v>24908</v>
      </c>
      <c r="BG2580" s="3" t="s">
        <v>24910</v>
      </c>
    </row>
    <row r="2581" spans="1:59" ht="58" x14ac:dyDescent="0.35">
      <c r="A2581" s="2" t="s">
        <v>89</v>
      </c>
      <c r="B2581" s="2" t="s">
        <v>90</v>
      </c>
      <c r="C2581" s="2" t="s">
        <v>24911</v>
      </c>
      <c r="D2581" s="2" t="s">
        <v>24912</v>
      </c>
      <c r="E2581" s="2" t="s">
        <v>24913</v>
      </c>
      <c r="G2581" s="3" t="s">
        <v>62</v>
      </c>
      <c r="I2581" s="3" t="s">
        <v>62</v>
      </c>
      <c r="J2581" s="3" t="s">
        <v>62</v>
      </c>
      <c r="K2581" s="3" t="s">
        <v>63</v>
      </c>
      <c r="L2581" s="2" t="s">
        <v>24914</v>
      </c>
      <c r="M2581" s="2" t="s">
        <v>24915</v>
      </c>
      <c r="N2581" s="3" t="s">
        <v>24916</v>
      </c>
      <c r="P2581" s="3" t="s">
        <v>64</v>
      </c>
      <c r="R2581" s="3" t="s">
        <v>13065</v>
      </c>
      <c r="S2581" s="4">
        <v>1</v>
      </c>
      <c r="T2581" s="4">
        <v>1</v>
      </c>
      <c r="U2581" s="5" t="s">
        <v>8745</v>
      </c>
      <c r="V2581" s="5" t="s">
        <v>8745</v>
      </c>
      <c r="W2581" s="5" t="s">
        <v>67</v>
      </c>
      <c r="X2581" s="5" t="s">
        <v>67</v>
      </c>
      <c r="Y2581" s="4">
        <v>3</v>
      </c>
      <c r="Z2581" s="4">
        <v>1</v>
      </c>
      <c r="AA2581" s="4">
        <v>1</v>
      </c>
      <c r="AB2581" s="4">
        <v>1</v>
      </c>
      <c r="AC2581" s="4">
        <v>1</v>
      </c>
      <c r="AD2581" s="4">
        <v>0</v>
      </c>
      <c r="AE2581" s="4">
        <v>0</v>
      </c>
      <c r="AF2581" s="4">
        <v>0</v>
      </c>
      <c r="AG2581" s="4">
        <v>0</v>
      </c>
      <c r="AH2581" s="4">
        <v>0</v>
      </c>
      <c r="AI2581" s="4">
        <v>0</v>
      </c>
      <c r="AJ2581" s="4">
        <v>0</v>
      </c>
      <c r="AK2581" s="4">
        <v>0</v>
      </c>
      <c r="AL2581" s="4">
        <v>0</v>
      </c>
      <c r="AM2581" s="4">
        <v>0</v>
      </c>
      <c r="AN2581" s="4">
        <v>0</v>
      </c>
      <c r="AO2581" s="4">
        <v>0</v>
      </c>
      <c r="AP2581" s="4">
        <v>0</v>
      </c>
      <c r="AQ2581" s="4">
        <v>0</v>
      </c>
      <c r="AR2581" s="3" t="s">
        <v>62</v>
      </c>
      <c r="AS2581" s="3" t="s">
        <v>62</v>
      </c>
      <c r="AT2581" s="3" t="s">
        <v>62</v>
      </c>
      <c r="AV2581" s="6" t="str">
        <f>HYPERLINK("http://mcgill.on.worldcat.org/oclc/61599889","Catalog Record")</f>
        <v>Catalog Record</v>
      </c>
      <c r="AW2581" s="6" t="str">
        <f>HYPERLINK("http://www.worldcat.org/oclc/61599889","WorldCat Record")</f>
        <v>WorldCat Record</v>
      </c>
      <c r="AX2581" s="3" t="s">
        <v>24917</v>
      </c>
      <c r="AY2581" s="3" t="s">
        <v>24918</v>
      </c>
      <c r="AZ2581" s="3" t="s">
        <v>24919</v>
      </c>
      <c r="BA2581" s="3" t="s">
        <v>24919</v>
      </c>
      <c r="BB2581" s="3" t="s">
        <v>24920</v>
      </c>
      <c r="BC2581" s="3" t="s">
        <v>102</v>
      </c>
      <c r="BD2581" s="3" t="s">
        <v>68</v>
      </c>
      <c r="BF2581" s="3" t="s">
        <v>24920</v>
      </c>
      <c r="BG2581" s="3" t="s">
        <v>24921</v>
      </c>
    </row>
    <row r="2582" spans="1:59" ht="58" x14ac:dyDescent="0.35">
      <c r="A2582" s="2" t="s">
        <v>89</v>
      </c>
      <c r="B2582" s="2" t="s">
        <v>90</v>
      </c>
      <c r="C2582" s="2" t="s">
        <v>24922</v>
      </c>
      <c r="D2582" s="2" t="s">
        <v>24923</v>
      </c>
      <c r="E2582" s="2" t="s">
        <v>24924</v>
      </c>
      <c r="G2582" s="3" t="s">
        <v>62</v>
      </c>
      <c r="I2582" s="3" t="s">
        <v>62</v>
      </c>
      <c r="J2582" s="3" t="s">
        <v>62</v>
      </c>
      <c r="K2582" s="3" t="s">
        <v>63</v>
      </c>
      <c r="L2582" s="2" t="s">
        <v>15522</v>
      </c>
      <c r="M2582" s="2" t="s">
        <v>24925</v>
      </c>
      <c r="N2582" s="3" t="s">
        <v>24926</v>
      </c>
      <c r="P2582" s="3" t="s">
        <v>64</v>
      </c>
      <c r="R2582" s="3" t="s">
        <v>13065</v>
      </c>
      <c r="S2582" s="4">
        <v>1</v>
      </c>
      <c r="T2582" s="4">
        <v>1</v>
      </c>
      <c r="U2582" s="5" t="s">
        <v>5961</v>
      </c>
      <c r="V2582" s="5" t="s">
        <v>5961</v>
      </c>
      <c r="W2582" s="5" t="s">
        <v>67</v>
      </c>
      <c r="X2582" s="5" t="s">
        <v>67</v>
      </c>
      <c r="Y2582" s="4">
        <v>2</v>
      </c>
      <c r="Z2582" s="4">
        <v>1</v>
      </c>
      <c r="AA2582" s="4">
        <v>1</v>
      </c>
      <c r="AB2582" s="4">
        <v>1</v>
      </c>
      <c r="AC2582" s="4">
        <v>1</v>
      </c>
      <c r="AD2582" s="4">
        <v>0</v>
      </c>
      <c r="AE2582" s="4">
        <v>3</v>
      </c>
      <c r="AF2582" s="4">
        <v>0</v>
      </c>
      <c r="AG2582" s="4">
        <v>0</v>
      </c>
      <c r="AH2582" s="4">
        <v>0</v>
      </c>
      <c r="AI2582" s="4">
        <v>3</v>
      </c>
      <c r="AJ2582" s="4">
        <v>0</v>
      </c>
      <c r="AK2582" s="4">
        <v>0</v>
      </c>
      <c r="AL2582" s="4">
        <v>0</v>
      </c>
      <c r="AM2582" s="4">
        <v>2</v>
      </c>
      <c r="AN2582" s="4">
        <v>0</v>
      </c>
      <c r="AO2582" s="4">
        <v>0</v>
      </c>
      <c r="AP2582" s="4">
        <v>0</v>
      </c>
      <c r="AQ2582" s="4">
        <v>0</v>
      </c>
      <c r="AR2582" s="3" t="s">
        <v>62</v>
      </c>
      <c r="AS2582" s="3" t="s">
        <v>62</v>
      </c>
      <c r="AT2582" s="3" t="s">
        <v>62</v>
      </c>
      <c r="AV2582" s="6" t="str">
        <f>HYPERLINK("http://mcgill.on.worldcat.org/oclc/427512460","Catalog Record")</f>
        <v>Catalog Record</v>
      </c>
      <c r="AW2582" s="6" t="str">
        <f>HYPERLINK("http://www.worldcat.org/oclc/427512460","WorldCat Record")</f>
        <v>WorldCat Record</v>
      </c>
      <c r="AX2582" s="3" t="s">
        <v>24927</v>
      </c>
      <c r="AY2582" s="3" t="s">
        <v>24928</v>
      </c>
      <c r="AZ2582" s="3" t="s">
        <v>24929</v>
      </c>
      <c r="BA2582" s="3" t="s">
        <v>24929</v>
      </c>
      <c r="BB2582" s="3" t="s">
        <v>24930</v>
      </c>
      <c r="BC2582" s="3" t="s">
        <v>102</v>
      </c>
      <c r="BD2582" s="3" t="s">
        <v>68</v>
      </c>
      <c r="BF2582" s="3" t="s">
        <v>24930</v>
      </c>
      <c r="BG2582" s="3" t="s">
        <v>24931</v>
      </c>
    </row>
    <row r="2583" spans="1:59" ht="72.5" x14ac:dyDescent="0.35">
      <c r="A2583" s="2" t="s">
        <v>89</v>
      </c>
      <c r="B2583" s="2" t="s">
        <v>90</v>
      </c>
      <c r="C2583" s="2" t="s">
        <v>24932</v>
      </c>
      <c r="D2583" s="2" t="s">
        <v>24933</v>
      </c>
      <c r="E2583" s="2" t="s">
        <v>24934</v>
      </c>
      <c r="G2583" s="3" t="s">
        <v>62</v>
      </c>
      <c r="I2583" s="3" t="s">
        <v>62</v>
      </c>
      <c r="J2583" s="3" t="s">
        <v>62</v>
      </c>
      <c r="K2583" s="3" t="s">
        <v>63</v>
      </c>
      <c r="L2583" s="2" t="s">
        <v>15522</v>
      </c>
      <c r="M2583" s="2" t="s">
        <v>24935</v>
      </c>
      <c r="N2583" s="3" t="s">
        <v>24936</v>
      </c>
      <c r="O2583" s="2" t="s">
        <v>17018</v>
      </c>
      <c r="P2583" s="3" t="s">
        <v>64</v>
      </c>
      <c r="R2583" s="3" t="s">
        <v>13065</v>
      </c>
      <c r="S2583" s="4">
        <v>14</v>
      </c>
      <c r="T2583" s="4">
        <v>14</v>
      </c>
      <c r="U2583" s="5" t="s">
        <v>5961</v>
      </c>
      <c r="V2583" s="5" t="s">
        <v>5961</v>
      </c>
      <c r="W2583" s="5" t="s">
        <v>67</v>
      </c>
      <c r="X2583" s="5" t="s">
        <v>67</v>
      </c>
      <c r="Y2583" s="4">
        <v>1</v>
      </c>
      <c r="Z2583" s="4">
        <v>1</v>
      </c>
      <c r="AA2583" s="4">
        <v>1</v>
      </c>
      <c r="AB2583" s="4">
        <v>1</v>
      </c>
      <c r="AC2583" s="4">
        <v>1</v>
      </c>
      <c r="AD2583" s="4">
        <v>0</v>
      </c>
      <c r="AE2583" s="4">
        <v>1</v>
      </c>
      <c r="AF2583" s="4">
        <v>0</v>
      </c>
      <c r="AG2583" s="4">
        <v>0</v>
      </c>
      <c r="AH2583" s="4">
        <v>0</v>
      </c>
      <c r="AI2583" s="4">
        <v>1</v>
      </c>
      <c r="AJ2583" s="4">
        <v>0</v>
      </c>
      <c r="AK2583" s="4">
        <v>0</v>
      </c>
      <c r="AL2583" s="4">
        <v>0</v>
      </c>
      <c r="AM2583" s="4">
        <v>1</v>
      </c>
      <c r="AN2583" s="4">
        <v>0</v>
      </c>
      <c r="AO2583" s="4">
        <v>0</v>
      </c>
      <c r="AP2583" s="4">
        <v>0</v>
      </c>
      <c r="AQ2583" s="4">
        <v>0</v>
      </c>
      <c r="AR2583" s="3" t="s">
        <v>62</v>
      </c>
      <c r="AS2583" s="3" t="s">
        <v>62</v>
      </c>
      <c r="AT2583" s="3" t="s">
        <v>62</v>
      </c>
      <c r="AV2583" s="6" t="str">
        <f>HYPERLINK("http://mcgill.on.worldcat.org/oclc/427511328","Catalog Record")</f>
        <v>Catalog Record</v>
      </c>
      <c r="AW2583" s="6" t="str">
        <f>HYPERLINK("http://www.worldcat.org/oclc/427511328","WorldCat Record")</f>
        <v>WorldCat Record</v>
      </c>
      <c r="AX2583" s="3" t="s">
        <v>24937</v>
      </c>
      <c r="AY2583" s="3" t="s">
        <v>24938</v>
      </c>
      <c r="AZ2583" s="3" t="s">
        <v>24939</v>
      </c>
      <c r="BA2583" s="3" t="s">
        <v>24939</v>
      </c>
      <c r="BB2583" s="3" t="s">
        <v>24940</v>
      </c>
      <c r="BC2583" s="3" t="s">
        <v>102</v>
      </c>
      <c r="BD2583" s="3" t="s">
        <v>68</v>
      </c>
      <c r="BF2583" s="3" t="s">
        <v>24940</v>
      </c>
      <c r="BG2583" s="3" t="s">
        <v>24941</v>
      </c>
    </row>
    <row r="2584" spans="1:59" ht="72.5" x14ac:dyDescent="0.35">
      <c r="A2584" s="2" t="s">
        <v>89</v>
      </c>
      <c r="B2584" s="2" t="s">
        <v>90</v>
      </c>
      <c r="C2584" s="2" t="s">
        <v>24942</v>
      </c>
      <c r="D2584" s="2" t="s">
        <v>24943</v>
      </c>
      <c r="E2584" s="2" t="s">
        <v>24944</v>
      </c>
      <c r="G2584" s="3" t="s">
        <v>61</v>
      </c>
      <c r="I2584" s="3" t="s">
        <v>62</v>
      </c>
      <c r="J2584" s="3" t="s">
        <v>62</v>
      </c>
      <c r="K2584" s="3" t="s">
        <v>916</v>
      </c>
      <c r="L2584" s="2" t="s">
        <v>24945</v>
      </c>
      <c r="M2584" s="2" t="s">
        <v>24946</v>
      </c>
      <c r="N2584" s="3" t="s">
        <v>24947</v>
      </c>
      <c r="P2584" s="3" t="s">
        <v>64</v>
      </c>
      <c r="R2584" s="3" t="s">
        <v>13065</v>
      </c>
      <c r="S2584" s="4">
        <v>2</v>
      </c>
      <c r="T2584" s="4">
        <v>2</v>
      </c>
      <c r="U2584" s="5" t="s">
        <v>24948</v>
      </c>
      <c r="V2584" s="5" t="s">
        <v>24948</v>
      </c>
      <c r="W2584" s="5" t="s">
        <v>67</v>
      </c>
      <c r="X2584" s="5" t="s">
        <v>67</v>
      </c>
      <c r="Y2584" s="4">
        <v>8</v>
      </c>
      <c r="Z2584" s="4">
        <v>1</v>
      </c>
      <c r="AA2584" s="4">
        <v>12</v>
      </c>
      <c r="AB2584" s="4">
        <v>1</v>
      </c>
      <c r="AC2584" s="4">
        <v>2</v>
      </c>
      <c r="AD2584" s="4">
        <v>5</v>
      </c>
      <c r="AE2584" s="4">
        <v>46</v>
      </c>
      <c r="AF2584" s="4">
        <v>0</v>
      </c>
      <c r="AG2584" s="4">
        <v>0</v>
      </c>
      <c r="AH2584" s="4">
        <v>4</v>
      </c>
      <c r="AI2584" s="4">
        <v>42</v>
      </c>
      <c r="AJ2584" s="4">
        <v>0</v>
      </c>
      <c r="AK2584" s="4">
        <v>6</v>
      </c>
      <c r="AL2584" s="4">
        <v>4</v>
      </c>
      <c r="AM2584" s="4">
        <v>26</v>
      </c>
      <c r="AN2584" s="4">
        <v>0</v>
      </c>
      <c r="AO2584" s="4">
        <v>0</v>
      </c>
      <c r="AP2584" s="4">
        <v>0</v>
      </c>
      <c r="AQ2584" s="4">
        <v>9</v>
      </c>
      <c r="AR2584" s="3" t="s">
        <v>62</v>
      </c>
      <c r="AS2584" s="3" t="s">
        <v>61</v>
      </c>
      <c r="AT2584" s="3" t="s">
        <v>62</v>
      </c>
      <c r="AU2584" s="6" t="str">
        <f>HYPERLINK("http://catalog.hathitrust.org/Record/000660749","HathiTrust Record")</f>
        <v>HathiTrust Record</v>
      </c>
      <c r="AV2584" s="6" t="str">
        <f>HYPERLINK("http://mcgill.on.worldcat.org/oclc/66741014","Catalog Record")</f>
        <v>Catalog Record</v>
      </c>
      <c r="AW2584" s="6" t="str">
        <f>HYPERLINK("http://www.worldcat.org/oclc/66741014","WorldCat Record")</f>
        <v>WorldCat Record</v>
      </c>
      <c r="AX2584" s="3" t="s">
        <v>24949</v>
      </c>
      <c r="AY2584" s="3" t="s">
        <v>24950</v>
      </c>
      <c r="AZ2584" s="3" t="s">
        <v>24951</v>
      </c>
      <c r="BA2584" s="3" t="s">
        <v>24951</v>
      </c>
      <c r="BB2584" s="3" t="s">
        <v>24952</v>
      </c>
      <c r="BC2584" s="3" t="s">
        <v>102</v>
      </c>
      <c r="BD2584" s="3" t="s">
        <v>68</v>
      </c>
      <c r="BF2584" s="3" t="s">
        <v>24952</v>
      </c>
      <c r="BG2584" s="3" t="s">
        <v>24953</v>
      </c>
    </row>
    <row r="2585" spans="1:59" ht="58" x14ac:dyDescent="0.35">
      <c r="A2585" s="2" t="s">
        <v>89</v>
      </c>
      <c r="B2585" s="2" t="s">
        <v>90</v>
      </c>
      <c r="C2585" s="2" t="s">
        <v>24954</v>
      </c>
      <c r="D2585" s="2" t="s">
        <v>24955</v>
      </c>
      <c r="E2585" s="2" t="s">
        <v>24956</v>
      </c>
      <c r="G2585" s="3" t="s">
        <v>62</v>
      </c>
      <c r="I2585" s="3" t="s">
        <v>62</v>
      </c>
      <c r="J2585" s="3" t="s">
        <v>62</v>
      </c>
      <c r="K2585" s="3" t="s">
        <v>63</v>
      </c>
      <c r="M2585" s="2" t="s">
        <v>24957</v>
      </c>
      <c r="N2585" s="3" t="s">
        <v>539</v>
      </c>
      <c r="P2585" s="3" t="s">
        <v>64</v>
      </c>
      <c r="Q2585" s="2" t="s">
        <v>20001</v>
      </c>
      <c r="R2585" s="3" t="s">
        <v>13065</v>
      </c>
      <c r="S2585" s="4">
        <v>7</v>
      </c>
      <c r="T2585" s="4">
        <v>7</v>
      </c>
      <c r="U2585" s="5" t="s">
        <v>18301</v>
      </c>
      <c r="V2585" s="5" t="s">
        <v>18301</v>
      </c>
      <c r="W2585" s="5" t="s">
        <v>67</v>
      </c>
      <c r="X2585" s="5" t="s">
        <v>67</v>
      </c>
      <c r="Y2585" s="4">
        <v>254</v>
      </c>
      <c r="Z2585" s="4">
        <v>14</v>
      </c>
      <c r="AA2585" s="4">
        <v>18</v>
      </c>
      <c r="AB2585" s="4">
        <v>2</v>
      </c>
      <c r="AC2585" s="4">
        <v>5</v>
      </c>
      <c r="AD2585" s="4">
        <v>69</v>
      </c>
      <c r="AE2585" s="4">
        <v>71</v>
      </c>
      <c r="AF2585" s="4">
        <v>1</v>
      </c>
      <c r="AG2585" s="4">
        <v>1</v>
      </c>
      <c r="AH2585" s="4">
        <v>62</v>
      </c>
      <c r="AI2585" s="4">
        <v>63</v>
      </c>
      <c r="AJ2585" s="4">
        <v>7</v>
      </c>
      <c r="AK2585" s="4">
        <v>7</v>
      </c>
      <c r="AL2585" s="4">
        <v>36</v>
      </c>
      <c r="AM2585" s="4">
        <v>37</v>
      </c>
      <c r="AN2585" s="4">
        <v>0</v>
      </c>
      <c r="AO2585" s="4">
        <v>0</v>
      </c>
      <c r="AP2585" s="4">
        <v>9</v>
      </c>
      <c r="AQ2585" s="4">
        <v>10</v>
      </c>
      <c r="AR2585" s="3" t="s">
        <v>62</v>
      </c>
      <c r="AS2585" s="3" t="s">
        <v>62</v>
      </c>
      <c r="AT2585" s="3" t="s">
        <v>61</v>
      </c>
      <c r="AU2585" s="6" t="str">
        <f>HYPERLINK("http://catalog.hathitrust.org/Record/004052598","HathiTrust Record")</f>
        <v>HathiTrust Record</v>
      </c>
      <c r="AV2585" s="6" t="str">
        <f>HYPERLINK("http://mcgill.on.worldcat.org/oclc/38014817","Catalog Record")</f>
        <v>Catalog Record</v>
      </c>
      <c r="AW2585" s="6" t="str">
        <f>HYPERLINK("http://www.worldcat.org/oclc/38014817","WorldCat Record")</f>
        <v>WorldCat Record</v>
      </c>
      <c r="AX2585" s="3" t="s">
        <v>24958</v>
      </c>
      <c r="AY2585" s="3" t="s">
        <v>24959</v>
      </c>
      <c r="AZ2585" s="3" t="s">
        <v>24960</v>
      </c>
      <c r="BA2585" s="3" t="s">
        <v>24960</v>
      </c>
      <c r="BB2585" s="3" t="s">
        <v>24961</v>
      </c>
      <c r="BC2585" s="3" t="s">
        <v>102</v>
      </c>
      <c r="BD2585" s="3" t="s">
        <v>68</v>
      </c>
      <c r="BE2585" s="3" t="s">
        <v>24962</v>
      </c>
      <c r="BF2585" s="3" t="s">
        <v>24961</v>
      </c>
      <c r="BG2585" s="3" t="s">
        <v>24963</v>
      </c>
    </row>
    <row r="2586" spans="1:59" ht="58" x14ac:dyDescent="0.35">
      <c r="A2586" s="2" t="s">
        <v>89</v>
      </c>
      <c r="B2586" s="2" t="s">
        <v>90</v>
      </c>
      <c r="C2586" s="2" t="s">
        <v>24964</v>
      </c>
      <c r="D2586" s="2" t="s">
        <v>24965</v>
      </c>
      <c r="E2586" s="2" t="s">
        <v>24966</v>
      </c>
      <c r="G2586" s="3" t="s">
        <v>62</v>
      </c>
      <c r="I2586" s="3" t="s">
        <v>62</v>
      </c>
      <c r="J2586" s="3" t="s">
        <v>62</v>
      </c>
      <c r="K2586" s="3" t="s">
        <v>63</v>
      </c>
      <c r="L2586" s="2" t="s">
        <v>24967</v>
      </c>
      <c r="M2586" s="2" t="s">
        <v>24968</v>
      </c>
      <c r="N2586" s="3" t="s">
        <v>726</v>
      </c>
      <c r="P2586" s="3" t="s">
        <v>85</v>
      </c>
      <c r="R2586" s="3" t="s">
        <v>13065</v>
      </c>
      <c r="S2586" s="4">
        <v>0</v>
      </c>
      <c r="T2586" s="4">
        <v>0</v>
      </c>
      <c r="W2586" s="5" t="s">
        <v>67</v>
      </c>
      <c r="X2586" s="5" t="s">
        <v>67</v>
      </c>
      <c r="Y2586" s="4">
        <v>1</v>
      </c>
      <c r="Z2586" s="4">
        <v>1</v>
      </c>
      <c r="AA2586" s="4">
        <v>15</v>
      </c>
      <c r="AB2586" s="4">
        <v>1</v>
      </c>
      <c r="AC2586" s="4">
        <v>12</v>
      </c>
      <c r="AD2586" s="4">
        <v>0</v>
      </c>
      <c r="AE2586" s="4">
        <v>7</v>
      </c>
      <c r="AF2586" s="4">
        <v>0</v>
      </c>
      <c r="AG2586" s="4">
        <v>5</v>
      </c>
      <c r="AH2586" s="4">
        <v>0</v>
      </c>
      <c r="AI2586" s="4">
        <v>1</v>
      </c>
      <c r="AJ2586" s="4">
        <v>0</v>
      </c>
      <c r="AK2586" s="4">
        <v>5</v>
      </c>
      <c r="AL2586" s="4">
        <v>0</v>
      </c>
      <c r="AM2586" s="4">
        <v>0</v>
      </c>
      <c r="AN2586" s="4">
        <v>0</v>
      </c>
      <c r="AO2586" s="4">
        <v>0</v>
      </c>
      <c r="AP2586" s="4">
        <v>0</v>
      </c>
      <c r="AQ2586" s="4">
        <v>5</v>
      </c>
      <c r="AR2586" s="3" t="s">
        <v>61</v>
      </c>
      <c r="AS2586" s="3" t="s">
        <v>62</v>
      </c>
      <c r="AT2586" s="3" t="s">
        <v>62</v>
      </c>
      <c r="AV2586" s="6" t="str">
        <f>HYPERLINK("http://mcgill.on.worldcat.org/oclc/978354786","Catalog Record")</f>
        <v>Catalog Record</v>
      </c>
      <c r="AW2586" s="6" t="str">
        <f>HYPERLINK("http://www.worldcat.org/oclc/978354786","WorldCat Record")</f>
        <v>WorldCat Record</v>
      </c>
      <c r="AX2586" s="3" t="s">
        <v>24969</v>
      </c>
      <c r="AY2586" s="3" t="s">
        <v>24970</v>
      </c>
      <c r="AZ2586" s="3" t="s">
        <v>24971</v>
      </c>
      <c r="BA2586" s="3" t="s">
        <v>24971</v>
      </c>
      <c r="BB2586" s="3" t="s">
        <v>24972</v>
      </c>
      <c r="BC2586" s="3" t="s">
        <v>102</v>
      </c>
      <c r="BD2586" s="3" t="s">
        <v>68</v>
      </c>
      <c r="BE2586" s="3" t="s">
        <v>24973</v>
      </c>
      <c r="BF2586" s="3" t="s">
        <v>24972</v>
      </c>
      <c r="BG2586" s="3" t="s">
        <v>24974</v>
      </c>
    </row>
    <row r="2587" spans="1:59" ht="58" x14ac:dyDescent="0.35">
      <c r="A2587" s="2" t="s">
        <v>89</v>
      </c>
      <c r="B2587" s="2" t="s">
        <v>90</v>
      </c>
      <c r="C2587" s="2" t="s">
        <v>24975</v>
      </c>
      <c r="D2587" s="2" t="s">
        <v>24976</v>
      </c>
      <c r="E2587" s="2" t="s">
        <v>24977</v>
      </c>
      <c r="G2587" s="3" t="s">
        <v>62</v>
      </c>
      <c r="I2587" s="3" t="s">
        <v>62</v>
      </c>
      <c r="J2587" s="3" t="s">
        <v>62</v>
      </c>
      <c r="K2587" s="3" t="s">
        <v>63</v>
      </c>
      <c r="L2587" s="2" t="s">
        <v>24978</v>
      </c>
      <c r="M2587" s="2" t="s">
        <v>24979</v>
      </c>
      <c r="N2587" s="3" t="s">
        <v>13194</v>
      </c>
      <c r="P2587" s="3" t="s">
        <v>64</v>
      </c>
      <c r="R2587" s="3" t="s">
        <v>13065</v>
      </c>
      <c r="S2587" s="4">
        <v>10</v>
      </c>
      <c r="T2587" s="4">
        <v>10</v>
      </c>
      <c r="U2587" s="5" t="s">
        <v>370</v>
      </c>
      <c r="V2587" s="5" t="s">
        <v>370</v>
      </c>
      <c r="W2587" s="5" t="s">
        <v>67</v>
      </c>
      <c r="X2587" s="5" t="s">
        <v>67</v>
      </c>
      <c r="Y2587" s="4">
        <v>178</v>
      </c>
      <c r="Z2587" s="4">
        <v>10</v>
      </c>
      <c r="AA2587" s="4">
        <v>22</v>
      </c>
      <c r="AB2587" s="4">
        <v>1</v>
      </c>
      <c r="AC2587" s="4">
        <v>1</v>
      </c>
      <c r="AD2587" s="4">
        <v>50</v>
      </c>
      <c r="AE2587" s="4">
        <v>58</v>
      </c>
      <c r="AF2587" s="4">
        <v>0</v>
      </c>
      <c r="AG2587" s="4">
        <v>0</v>
      </c>
      <c r="AH2587" s="4">
        <v>46</v>
      </c>
      <c r="AI2587" s="4">
        <v>50</v>
      </c>
      <c r="AJ2587" s="4">
        <v>6</v>
      </c>
      <c r="AK2587" s="4">
        <v>8</v>
      </c>
      <c r="AL2587" s="4">
        <v>31</v>
      </c>
      <c r="AM2587" s="4">
        <v>33</v>
      </c>
      <c r="AN2587" s="4">
        <v>0</v>
      </c>
      <c r="AO2587" s="4">
        <v>0</v>
      </c>
      <c r="AP2587" s="4">
        <v>7</v>
      </c>
      <c r="AQ2587" s="4">
        <v>12</v>
      </c>
      <c r="AR2587" s="3" t="s">
        <v>62</v>
      </c>
      <c r="AS2587" s="3" t="s">
        <v>61</v>
      </c>
      <c r="AT2587" s="3" t="s">
        <v>61</v>
      </c>
      <c r="AU2587" s="6" t="str">
        <f>HYPERLINK("http://catalog.hathitrust.org/Record/000354986","HathiTrust Record")</f>
        <v>HathiTrust Record</v>
      </c>
      <c r="AV2587" s="6" t="str">
        <f>HYPERLINK("http://mcgill.on.worldcat.org/oclc/5919909","Catalog Record")</f>
        <v>Catalog Record</v>
      </c>
      <c r="AW2587" s="6" t="str">
        <f>HYPERLINK("http://www.worldcat.org/oclc/5919909","WorldCat Record")</f>
        <v>WorldCat Record</v>
      </c>
      <c r="AX2587" s="3" t="s">
        <v>24980</v>
      </c>
      <c r="AY2587" s="3" t="s">
        <v>24981</v>
      </c>
      <c r="AZ2587" s="3" t="s">
        <v>24982</v>
      </c>
      <c r="BA2587" s="3" t="s">
        <v>24982</v>
      </c>
      <c r="BB2587" s="3" t="s">
        <v>24983</v>
      </c>
      <c r="BC2587" s="3" t="s">
        <v>102</v>
      </c>
      <c r="BD2587" s="3" t="s">
        <v>68</v>
      </c>
      <c r="BF2587" s="3" t="s">
        <v>24983</v>
      </c>
      <c r="BG2587" s="3" t="s">
        <v>24984</v>
      </c>
    </row>
    <row r="2588" spans="1:59" ht="58" x14ac:dyDescent="0.35">
      <c r="A2588" s="2" t="s">
        <v>89</v>
      </c>
      <c r="B2588" s="2" t="s">
        <v>90</v>
      </c>
      <c r="C2588" s="2" t="s">
        <v>24985</v>
      </c>
      <c r="D2588" s="2" t="s">
        <v>24986</v>
      </c>
      <c r="E2588" s="2" t="s">
        <v>24987</v>
      </c>
      <c r="G2588" s="3" t="s">
        <v>62</v>
      </c>
      <c r="I2588" s="3" t="s">
        <v>62</v>
      </c>
      <c r="J2588" s="3" t="s">
        <v>61</v>
      </c>
      <c r="K2588" s="3" t="s">
        <v>63</v>
      </c>
      <c r="L2588" s="2" t="s">
        <v>24988</v>
      </c>
      <c r="M2588" s="2" t="s">
        <v>24989</v>
      </c>
      <c r="N2588" s="3" t="s">
        <v>838</v>
      </c>
      <c r="O2588" s="2" t="s">
        <v>2849</v>
      </c>
      <c r="P2588" s="3" t="s">
        <v>64</v>
      </c>
      <c r="Q2588" s="2" t="s">
        <v>24990</v>
      </c>
      <c r="R2588" s="3" t="s">
        <v>13065</v>
      </c>
      <c r="S2588" s="4">
        <v>5</v>
      </c>
      <c r="T2588" s="4">
        <v>5</v>
      </c>
      <c r="U2588" s="5" t="s">
        <v>24991</v>
      </c>
      <c r="V2588" s="5" t="s">
        <v>24991</v>
      </c>
      <c r="W2588" s="5" t="s">
        <v>67</v>
      </c>
      <c r="X2588" s="5" t="s">
        <v>67</v>
      </c>
      <c r="Y2588" s="4">
        <v>516</v>
      </c>
      <c r="Z2588" s="4">
        <v>30</v>
      </c>
      <c r="AA2588" s="4">
        <v>60</v>
      </c>
      <c r="AB2588" s="4">
        <v>2</v>
      </c>
      <c r="AC2588" s="4">
        <v>9</v>
      </c>
      <c r="AD2588" s="4">
        <v>105</v>
      </c>
      <c r="AE2588" s="4">
        <v>142</v>
      </c>
      <c r="AF2588" s="4">
        <v>1</v>
      </c>
      <c r="AG2588" s="4">
        <v>6</v>
      </c>
      <c r="AH2588" s="4">
        <v>89</v>
      </c>
      <c r="AI2588" s="4">
        <v>105</v>
      </c>
      <c r="AJ2588" s="4">
        <v>16</v>
      </c>
      <c r="AK2588" s="4">
        <v>27</v>
      </c>
      <c r="AL2588" s="4">
        <v>50</v>
      </c>
      <c r="AM2588" s="4">
        <v>59</v>
      </c>
      <c r="AN2588" s="4">
        <v>0</v>
      </c>
      <c r="AO2588" s="4">
        <v>0</v>
      </c>
      <c r="AP2588" s="4">
        <v>22</v>
      </c>
      <c r="AQ2588" s="4">
        <v>44</v>
      </c>
      <c r="AR2588" s="3" t="s">
        <v>62</v>
      </c>
      <c r="AS2588" s="3" t="s">
        <v>62</v>
      </c>
      <c r="AT2588" s="3" t="s">
        <v>61</v>
      </c>
      <c r="AU2588" s="6" t="str">
        <f>HYPERLINK("http://catalog.hathitrust.org/Record/000657397","HathiTrust Record")</f>
        <v>HathiTrust Record</v>
      </c>
      <c r="AV2588" s="6" t="str">
        <f>HYPERLINK("http://mcgill.on.worldcat.org/oclc/820242","Catalog Record")</f>
        <v>Catalog Record</v>
      </c>
      <c r="AW2588" s="6" t="str">
        <f>HYPERLINK("http://www.worldcat.org/oclc/820242","WorldCat Record")</f>
        <v>WorldCat Record</v>
      </c>
      <c r="AX2588" s="3" t="s">
        <v>24992</v>
      </c>
      <c r="AY2588" s="3" t="s">
        <v>24993</v>
      </c>
      <c r="AZ2588" s="3" t="s">
        <v>24994</v>
      </c>
      <c r="BA2588" s="3" t="s">
        <v>24994</v>
      </c>
      <c r="BB2588" s="3" t="s">
        <v>24995</v>
      </c>
      <c r="BC2588" s="3" t="s">
        <v>102</v>
      </c>
      <c r="BD2588" s="3" t="s">
        <v>68</v>
      </c>
      <c r="BE2588" s="3" t="s">
        <v>24996</v>
      </c>
      <c r="BF2588" s="3" t="s">
        <v>24995</v>
      </c>
      <c r="BG2588" s="3" t="s">
        <v>24997</v>
      </c>
    </row>
    <row r="2589" spans="1:59" ht="58" x14ac:dyDescent="0.35">
      <c r="A2589" s="2" t="s">
        <v>89</v>
      </c>
      <c r="B2589" s="2" t="s">
        <v>90</v>
      </c>
      <c r="C2589" s="2" t="s">
        <v>24998</v>
      </c>
      <c r="D2589" s="2" t="s">
        <v>24999</v>
      </c>
      <c r="E2589" s="2" t="s">
        <v>25000</v>
      </c>
      <c r="G2589" s="3" t="s">
        <v>62</v>
      </c>
      <c r="I2589" s="3" t="s">
        <v>62</v>
      </c>
      <c r="J2589" s="3" t="s">
        <v>62</v>
      </c>
      <c r="K2589" s="3" t="s">
        <v>63</v>
      </c>
      <c r="L2589" s="2" t="s">
        <v>25001</v>
      </c>
      <c r="M2589" s="2" t="s">
        <v>25002</v>
      </c>
      <c r="N2589" s="3" t="s">
        <v>5051</v>
      </c>
      <c r="P2589" s="3" t="s">
        <v>64</v>
      </c>
      <c r="R2589" s="3" t="s">
        <v>13065</v>
      </c>
      <c r="S2589" s="4">
        <v>4</v>
      </c>
      <c r="T2589" s="4">
        <v>4</v>
      </c>
      <c r="U2589" s="5" t="s">
        <v>241</v>
      </c>
      <c r="V2589" s="5" t="s">
        <v>241</v>
      </c>
      <c r="W2589" s="5" t="s">
        <v>67</v>
      </c>
      <c r="X2589" s="5" t="s">
        <v>67</v>
      </c>
      <c r="Y2589" s="4">
        <v>82</v>
      </c>
      <c r="Z2589" s="4">
        <v>2</v>
      </c>
      <c r="AA2589" s="4">
        <v>10</v>
      </c>
      <c r="AB2589" s="4">
        <v>1</v>
      </c>
      <c r="AC2589" s="4">
        <v>2</v>
      </c>
      <c r="AD2589" s="4">
        <v>43</v>
      </c>
      <c r="AE2589" s="4">
        <v>57</v>
      </c>
      <c r="AF2589" s="4">
        <v>0</v>
      </c>
      <c r="AG2589" s="4">
        <v>0</v>
      </c>
      <c r="AH2589" s="4">
        <v>38</v>
      </c>
      <c r="AI2589" s="4">
        <v>50</v>
      </c>
      <c r="AJ2589" s="4">
        <v>1</v>
      </c>
      <c r="AK2589" s="4">
        <v>6</v>
      </c>
      <c r="AL2589" s="4">
        <v>31</v>
      </c>
      <c r="AM2589" s="4">
        <v>38</v>
      </c>
      <c r="AN2589" s="4">
        <v>0</v>
      </c>
      <c r="AO2589" s="4">
        <v>0</v>
      </c>
      <c r="AP2589" s="4">
        <v>1</v>
      </c>
      <c r="AQ2589" s="4">
        <v>7</v>
      </c>
      <c r="AR2589" s="3" t="s">
        <v>62</v>
      </c>
      <c r="AS2589" s="3" t="s">
        <v>61</v>
      </c>
      <c r="AT2589" s="3" t="s">
        <v>62</v>
      </c>
      <c r="AU2589" s="6" t="str">
        <f>HYPERLINK("http://catalog.hathitrust.org/Record/005830814","HathiTrust Record")</f>
        <v>HathiTrust Record</v>
      </c>
      <c r="AV2589" s="6" t="str">
        <f>HYPERLINK("http://mcgill.on.worldcat.org/oclc/2925182","Catalog Record")</f>
        <v>Catalog Record</v>
      </c>
      <c r="AW2589" s="6" t="str">
        <f>HYPERLINK("http://www.worldcat.org/oclc/2925182","WorldCat Record")</f>
        <v>WorldCat Record</v>
      </c>
      <c r="AX2589" s="3" t="s">
        <v>25003</v>
      </c>
      <c r="AY2589" s="3" t="s">
        <v>25004</v>
      </c>
      <c r="AZ2589" s="3" t="s">
        <v>25005</v>
      </c>
      <c r="BA2589" s="3" t="s">
        <v>25005</v>
      </c>
      <c r="BB2589" s="3" t="s">
        <v>25006</v>
      </c>
      <c r="BC2589" s="3" t="s">
        <v>102</v>
      </c>
      <c r="BD2589" s="3" t="s">
        <v>231</v>
      </c>
      <c r="BF2589" s="3" t="s">
        <v>25006</v>
      </c>
      <c r="BG2589" s="3" t="s">
        <v>25007</v>
      </c>
    </row>
    <row r="2590" spans="1:59" ht="58" x14ac:dyDescent="0.35">
      <c r="A2590" s="2" t="s">
        <v>89</v>
      </c>
      <c r="B2590" s="2" t="s">
        <v>90</v>
      </c>
      <c r="C2590" s="2" t="s">
        <v>25008</v>
      </c>
      <c r="D2590" s="2" t="s">
        <v>25009</v>
      </c>
      <c r="E2590" s="2" t="s">
        <v>25010</v>
      </c>
      <c r="G2590" s="3" t="s">
        <v>62</v>
      </c>
      <c r="I2590" s="3" t="s">
        <v>62</v>
      </c>
      <c r="J2590" s="3" t="s">
        <v>62</v>
      </c>
      <c r="K2590" s="3" t="s">
        <v>63</v>
      </c>
      <c r="L2590" s="2" t="s">
        <v>25011</v>
      </c>
      <c r="M2590" s="2" t="s">
        <v>24133</v>
      </c>
      <c r="N2590" s="3" t="s">
        <v>1305</v>
      </c>
      <c r="P2590" s="3" t="s">
        <v>64</v>
      </c>
      <c r="R2590" s="3" t="s">
        <v>13065</v>
      </c>
      <c r="S2590" s="4">
        <v>7</v>
      </c>
      <c r="T2590" s="4">
        <v>7</v>
      </c>
      <c r="U2590" s="5" t="s">
        <v>25012</v>
      </c>
      <c r="V2590" s="5" t="s">
        <v>25012</v>
      </c>
      <c r="W2590" s="5" t="s">
        <v>67</v>
      </c>
      <c r="X2590" s="5" t="s">
        <v>67</v>
      </c>
      <c r="Y2590" s="4">
        <v>191</v>
      </c>
      <c r="Z2590" s="4">
        <v>9</v>
      </c>
      <c r="AA2590" s="4">
        <v>9</v>
      </c>
      <c r="AB2590" s="4">
        <v>1</v>
      </c>
      <c r="AC2590" s="4">
        <v>1</v>
      </c>
      <c r="AD2590" s="4">
        <v>69</v>
      </c>
      <c r="AE2590" s="4">
        <v>69</v>
      </c>
      <c r="AF2590" s="4">
        <v>0</v>
      </c>
      <c r="AG2590" s="4">
        <v>0</v>
      </c>
      <c r="AH2590" s="4">
        <v>62</v>
      </c>
      <c r="AI2590" s="4">
        <v>62</v>
      </c>
      <c r="AJ2590" s="4">
        <v>7</v>
      </c>
      <c r="AK2590" s="4">
        <v>7</v>
      </c>
      <c r="AL2590" s="4">
        <v>47</v>
      </c>
      <c r="AM2590" s="4">
        <v>47</v>
      </c>
      <c r="AN2590" s="4">
        <v>0</v>
      </c>
      <c r="AO2590" s="4">
        <v>0</v>
      </c>
      <c r="AP2590" s="4">
        <v>7</v>
      </c>
      <c r="AQ2590" s="4">
        <v>7</v>
      </c>
      <c r="AR2590" s="3" t="s">
        <v>62</v>
      </c>
      <c r="AS2590" s="3" t="s">
        <v>62</v>
      </c>
      <c r="AT2590" s="3" t="s">
        <v>61</v>
      </c>
      <c r="AU2590" s="6" t="str">
        <f>HYPERLINK("http://catalog.hathitrust.org/Record/000661348","HathiTrust Record")</f>
        <v>HathiTrust Record</v>
      </c>
      <c r="AV2590" s="6" t="str">
        <f>HYPERLINK("http://mcgill.on.worldcat.org/oclc/824681","Catalog Record")</f>
        <v>Catalog Record</v>
      </c>
      <c r="AW2590" s="6" t="str">
        <f>HYPERLINK("http://www.worldcat.org/oclc/824681","WorldCat Record")</f>
        <v>WorldCat Record</v>
      </c>
      <c r="AX2590" s="3" t="s">
        <v>25013</v>
      </c>
      <c r="AY2590" s="3" t="s">
        <v>25014</v>
      </c>
      <c r="AZ2590" s="3" t="s">
        <v>25015</v>
      </c>
      <c r="BA2590" s="3" t="s">
        <v>25015</v>
      </c>
      <c r="BB2590" s="3" t="s">
        <v>25016</v>
      </c>
      <c r="BC2590" s="3" t="s">
        <v>102</v>
      </c>
      <c r="BD2590" s="3" t="s">
        <v>68</v>
      </c>
      <c r="BF2590" s="3" t="s">
        <v>25016</v>
      </c>
      <c r="BG2590" s="3" t="s">
        <v>25017</v>
      </c>
    </row>
    <row r="2591" spans="1:59" ht="72.5" x14ac:dyDescent="0.35">
      <c r="A2591" s="2" t="s">
        <v>89</v>
      </c>
      <c r="B2591" s="2" t="s">
        <v>1231</v>
      </c>
      <c r="C2591" s="2" t="s">
        <v>25018</v>
      </c>
      <c r="D2591" s="2" t="s">
        <v>25019</v>
      </c>
      <c r="E2591" s="2" t="s">
        <v>25020</v>
      </c>
      <c r="G2591" s="3" t="s">
        <v>62</v>
      </c>
      <c r="I2591" s="3" t="s">
        <v>61</v>
      </c>
      <c r="J2591" s="3" t="s">
        <v>62</v>
      </c>
      <c r="K2591" s="3" t="s">
        <v>63</v>
      </c>
      <c r="L2591" s="2" t="s">
        <v>25021</v>
      </c>
      <c r="M2591" s="2" t="s">
        <v>25022</v>
      </c>
      <c r="N2591" s="3" t="s">
        <v>1064</v>
      </c>
      <c r="P2591" s="3" t="s">
        <v>64</v>
      </c>
      <c r="R2591" s="3" t="s">
        <v>13065</v>
      </c>
      <c r="S2591" s="4">
        <v>9</v>
      </c>
      <c r="T2591" s="4">
        <v>29</v>
      </c>
      <c r="U2591" s="5" t="s">
        <v>10698</v>
      </c>
      <c r="V2591" s="5" t="s">
        <v>25023</v>
      </c>
      <c r="W2591" s="5" t="s">
        <v>67</v>
      </c>
      <c r="X2591" s="5" t="s">
        <v>67</v>
      </c>
      <c r="Y2591" s="4">
        <v>845</v>
      </c>
      <c r="Z2591" s="4">
        <v>34</v>
      </c>
      <c r="AA2591" s="4">
        <v>42</v>
      </c>
      <c r="AB2591" s="4">
        <v>2</v>
      </c>
      <c r="AC2591" s="4">
        <v>6</v>
      </c>
      <c r="AD2591" s="4">
        <v>105</v>
      </c>
      <c r="AE2591" s="4">
        <v>114</v>
      </c>
      <c r="AF2591" s="4">
        <v>1</v>
      </c>
      <c r="AG2591" s="4">
        <v>5</v>
      </c>
      <c r="AH2591" s="4">
        <v>85</v>
      </c>
      <c r="AI2591" s="4">
        <v>89</v>
      </c>
      <c r="AJ2591" s="4">
        <v>16</v>
      </c>
      <c r="AK2591" s="4">
        <v>19</v>
      </c>
      <c r="AL2591" s="4">
        <v>43</v>
      </c>
      <c r="AM2591" s="4">
        <v>44</v>
      </c>
      <c r="AN2591" s="4">
        <v>0</v>
      </c>
      <c r="AO2591" s="4">
        <v>0</v>
      </c>
      <c r="AP2591" s="4">
        <v>23</v>
      </c>
      <c r="AQ2591" s="4">
        <v>28</v>
      </c>
      <c r="AR2591" s="3" t="s">
        <v>62</v>
      </c>
      <c r="AS2591" s="3" t="s">
        <v>62</v>
      </c>
      <c r="AT2591" s="3" t="s">
        <v>62</v>
      </c>
      <c r="AV2591" s="6" t="str">
        <f>HYPERLINK("http://mcgill.on.worldcat.org/oclc/189425","Catalog Record")</f>
        <v>Catalog Record</v>
      </c>
      <c r="AW2591" s="6" t="str">
        <f>HYPERLINK("http://www.worldcat.org/oclc/189425","WorldCat Record")</f>
        <v>WorldCat Record</v>
      </c>
      <c r="AX2591" s="3" t="s">
        <v>25024</v>
      </c>
      <c r="AY2591" s="3" t="s">
        <v>25025</v>
      </c>
      <c r="AZ2591" s="3" t="s">
        <v>25026</v>
      </c>
      <c r="BA2591" s="3" t="s">
        <v>25026</v>
      </c>
      <c r="BB2591" s="3" t="s">
        <v>25027</v>
      </c>
      <c r="BC2591" s="3" t="s">
        <v>102</v>
      </c>
      <c r="BD2591" s="3" t="s">
        <v>68</v>
      </c>
      <c r="BE2591" s="3" t="s">
        <v>25028</v>
      </c>
      <c r="BF2591" s="3" t="s">
        <v>25027</v>
      </c>
      <c r="BG2591" s="3" t="s">
        <v>25029</v>
      </c>
    </row>
    <row r="2592" spans="1:59" ht="58" x14ac:dyDescent="0.35">
      <c r="A2592" s="2" t="s">
        <v>89</v>
      </c>
      <c r="B2592" s="2" t="s">
        <v>90</v>
      </c>
      <c r="C2592" s="2" t="s">
        <v>25030</v>
      </c>
      <c r="D2592" s="2" t="s">
        <v>25031</v>
      </c>
      <c r="E2592" s="2" t="s">
        <v>25032</v>
      </c>
      <c r="G2592" s="3" t="s">
        <v>62</v>
      </c>
      <c r="I2592" s="3" t="s">
        <v>62</v>
      </c>
      <c r="J2592" s="3" t="s">
        <v>62</v>
      </c>
      <c r="K2592" s="3" t="s">
        <v>25033</v>
      </c>
      <c r="L2592" s="2" t="s">
        <v>25034</v>
      </c>
      <c r="M2592" s="2" t="s">
        <v>25035</v>
      </c>
      <c r="N2592" s="3" t="s">
        <v>25036</v>
      </c>
      <c r="O2592" s="2" t="s">
        <v>17030</v>
      </c>
      <c r="P2592" s="3" t="s">
        <v>64</v>
      </c>
      <c r="R2592" s="3" t="s">
        <v>13065</v>
      </c>
      <c r="S2592" s="4">
        <v>2</v>
      </c>
      <c r="T2592" s="4">
        <v>2</v>
      </c>
      <c r="U2592" s="5" t="s">
        <v>4748</v>
      </c>
      <c r="V2592" s="5" t="s">
        <v>4748</v>
      </c>
      <c r="W2592" s="5" t="s">
        <v>67</v>
      </c>
      <c r="X2592" s="5" t="s">
        <v>67</v>
      </c>
      <c r="Y2592" s="4">
        <v>1</v>
      </c>
      <c r="Z2592" s="4">
        <v>1</v>
      </c>
      <c r="AA2592" s="4">
        <v>25</v>
      </c>
      <c r="AB2592" s="4">
        <v>1</v>
      </c>
      <c r="AC2592" s="4">
        <v>2</v>
      </c>
      <c r="AD2592" s="4">
        <v>0</v>
      </c>
      <c r="AE2592" s="4">
        <v>78</v>
      </c>
      <c r="AF2592" s="4">
        <v>0</v>
      </c>
      <c r="AG2592" s="4">
        <v>0</v>
      </c>
      <c r="AH2592" s="4">
        <v>0</v>
      </c>
      <c r="AI2592" s="4">
        <v>67</v>
      </c>
      <c r="AJ2592" s="4">
        <v>0</v>
      </c>
      <c r="AK2592" s="4">
        <v>9</v>
      </c>
      <c r="AL2592" s="4">
        <v>0</v>
      </c>
      <c r="AM2592" s="4">
        <v>46</v>
      </c>
      <c r="AN2592" s="4">
        <v>0</v>
      </c>
      <c r="AO2592" s="4">
        <v>9</v>
      </c>
      <c r="AP2592" s="4">
        <v>0</v>
      </c>
      <c r="AQ2592" s="4">
        <v>12</v>
      </c>
      <c r="AR2592" s="3" t="s">
        <v>62</v>
      </c>
      <c r="AS2592" s="3" t="s">
        <v>62</v>
      </c>
      <c r="AT2592" s="3" t="s">
        <v>62</v>
      </c>
      <c r="AV2592" s="6" t="str">
        <f>HYPERLINK("http://mcgill.on.worldcat.org/oclc/427500535","Catalog Record")</f>
        <v>Catalog Record</v>
      </c>
      <c r="AW2592" s="6" t="str">
        <f>HYPERLINK("http://www.worldcat.org/oclc/427500535","WorldCat Record")</f>
        <v>WorldCat Record</v>
      </c>
      <c r="AX2592" s="3" t="s">
        <v>25037</v>
      </c>
      <c r="AY2592" s="3" t="s">
        <v>25038</v>
      </c>
      <c r="AZ2592" s="3" t="s">
        <v>25039</v>
      </c>
      <c r="BA2592" s="3" t="s">
        <v>25039</v>
      </c>
      <c r="BB2592" s="3" t="s">
        <v>25040</v>
      </c>
      <c r="BC2592" s="3" t="s">
        <v>102</v>
      </c>
      <c r="BD2592" s="3" t="s">
        <v>68</v>
      </c>
      <c r="BF2592" s="3" t="s">
        <v>25040</v>
      </c>
      <c r="BG2592" s="3" t="s">
        <v>25041</v>
      </c>
    </row>
    <row r="2593" spans="1:59" ht="58" x14ac:dyDescent="0.35">
      <c r="A2593" s="2" t="s">
        <v>89</v>
      </c>
      <c r="B2593" s="2" t="s">
        <v>90</v>
      </c>
      <c r="C2593" s="2" t="s">
        <v>25042</v>
      </c>
      <c r="D2593" s="2" t="s">
        <v>25043</v>
      </c>
      <c r="E2593" s="2" t="s">
        <v>25044</v>
      </c>
      <c r="G2593" s="3" t="s">
        <v>62</v>
      </c>
      <c r="I2593" s="3" t="s">
        <v>62</v>
      </c>
      <c r="J2593" s="3" t="s">
        <v>62</v>
      </c>
      <c r="K2593" s="3" t="s">
        <v>63</v>
      </c>
      <c r="L2593" s="2" t="s">
        <v>24978</v>
      </c>
      <c r="M2593" s="2" t="s">
        <v>25045</v>
      </c>
      <c r="N2593" s="3" t="s">
        <v>824</v>
      </c>
      <c r="O2593" s="2" t="s">
        <v>16059</v>
      </c>
      <c r="P2593" s="3" t="s">
        <v>64</v>
      </c>
      <c r="Q2593" s="2" t="s">
        <v>25046</v>
      </c>
      <c r="R2593" s="3" t="s">
        <v>13065</v>
      </c>
      <c r="S2593" s="4">
        <v>6</v>
      </c>
      <c r="T2593" s="4">
        <v>6</v>
      </c>
      <c r="U2593" s="5" t="s">
        <v>4748</v>
      </c>
      <c r="V2593" s="5" t="s">
        <v>4748</v>
      </c>
      <c r="W2593" s="5" t="s">
        <v>67</v>
      </c>
      <c r="X2593" s="5" t="s">
        <v>67</v>
      </c>
      <c r="Y2593" s="4">
        <v>230</v>
      </c>
      <c r="Z2593" s="4">
        <v>14</v>
      </c>
      <c r="AA2593" s="4">
        <v>22</v>
      </c>
      <c r="AB2593" s="4">
        <v>1</v>
      </c>
      <c r="AC2593" s="4">
        <v>7</v>
      </c>
      <c r="AD2593" s="4">
        <v>62</v>
      </c>
      <c r="AE2593" s="4">
        <v>72</v>
      </c>
      <c r="AF2593" s="4">
        <v>0</v>
      </c>
      <c r="AG2593" s="4">
        <v>4</v>
      </c>
      <c r="AH2593" s="4">
        <v>56</v>
      </c>
      <c r="AI2593" s="4">
        <v>61</v>
      </c>
      <c r="AJ2593" s="4">
        <v>9</v>
      </c>
      <c r="AK2593" s="4">
        <v>14</v>
      </c>
      <c r="AL2593" s="4">
        <v>30</v>
      </c>
      <c r="AM2593" s="4">
        <v>31</v>
      </c>
      <c r="AN2593" s="4">
        <v>0</v>
      </c>
      <c r="AO2593" s="4">
        <v>0</v>
      </c>
      <c r="AP2593" s="4">
        <v>11</v>
      </c>
      <c r="AQ2593" s="4">
        <v>16</v>
      </c>
      <c r="AR2593" s="3" t="s">
        <v>62</v>
      </c>
      <c r="AS2593" s="3" t="s">
        <v>62</v>
      </c>
      <c r="AT2593" s="3" t="s">
        <v>62</v>
      </c>
      <c r="AV2593" s="6" t="str">
        <f>HYPERLINK("http://mcgill.on.worldcat.org/oclc/1159468","Catalog Record")</f>
        <v>Catalog Record</v>
      </c>
      <c r="AW2593" s="6" t="str">
        <f>HYPERLINK("http://www.worldcat.org/oclc/1159468","WorldCat Record")</f>
        <v>WorldCat Record</v>
      </c>
      <c r="AX2593" s="3" t="s">
        <v>25047</v>
      </c>
      <c r="AY2593" s="3" t="s">
        <v>25048</v>
      </c>
      <c r="AZ2593" s="3" t="s">
        <v>25049</v>
      </c>
      <c r="BA2593" s="3" t="s">
        <v>25049</v>
      </c>
      <c r="BB2593" s="3" t="s">
        <v>25050</v>
      </c>
      <c r="BC2593" s="3" t="s">
        <v>102</v>
      </c>
      <c r="BD2593" s="3" t="s">
        <v>68</v>
      </c>
      <c r="BF2593" s="3" t="s">
        <v>25050</v>
      </c>
      <c r="BG2593" s="3" t="s">
        <v>25051</v>
      </c>
    </row>
    <row r="2594" spans="1:59" ht="58" x14ac:dyDescent="0.35">
      <c r="A2594" s="2" t="s">
        <v>89</v>
      </c>
      <c r="B2594" s="2" t="s">
        <v>90</v>
      </c>
      <c r="C2594" s="2" t="s">
        <v>25052</v>
      </c>
      <c r="D2594" s="2" t="s">
        <v>25053</v>
      </c>
      <c r="E2594" s="2" t="s">
        <v>25054</v>
      </c>
      <c r="G2594" s="3" t="s">
        <v>62</v>
      </c>
      <c r="I2594" s="3" t="s">
        <v>62</v>
      </c>
      <c r="J2594" s="3" t="s">
        <v>62</v>
      </c>
      <c r="K2594" s="3" t="s">
        <v>63</v>
      </c>
      <c r="L2594" s="2" t="s">
        <v>25055</v>
      </c>
      <c r="N2594" s="3" t="s">
        <v>24926</v>
      </c>
      <c r="P2594" s="3" t="s">
        <v>64</v>
      </c>
      <c r="R2594" s="3" t="s">
        <v>13065</v>
      </c>
      <c r="S2594" s="4">
        <v>1</v>
      </c>
      <c r="T2594" s="4">
        <v>1</v>
      </c>
      <c r="U2594" s="5" t="s">
        <v>25056</v>
      </c>
      <c r="V2594" s="5" t="s">
        <v>25056</v>
      </c>
      <c r="W2594" s="5" t="s">
        <v>67</v>
      </c>
      <c r="X2594" s="5" t="s">
        <v>67</v>
      </c>
      <c r="Y2594" s="4">
        <v>29</v>
      </c>
      <c r="Z2594" s="4">
        <v>4</v>
      </c>
      <c r="AA2594" s="4">
        <v>6</v>
      </c>
      <c r="AB2594" s="4">
        <v>1</v>
      </c>
      <c r="AC2594" s="4">
        <v>1</v>
      </c>
      <c r="AD2594" s="4">
        <v>9</v>
      </c>
      <c r="AE2594" s="4">
        <v>12</v>
      </c>
      <c r="AF2594" s="4">
        <v>0</v>
      </c>
      <c r="AG2594" s="4">
        <v>0</v>
      </c>
      <c r="AH2594" s="4">
        <v>9</v>
      </c>
      <c r="AI2594" s="4">
        <v>10</v>
      </c>
      <c r="AJ2594" s="4">
        <v>2</v>
      </c>
      <c r="AK2594" s="4">
        <v>3</v>
      </c>
      <c r="AL2594" s="4">
        <v>8</v>
      </c>
      <c r="AM2594" s="4">
        <v>8</v>
      </c>
      <c r="AN2594" s="4">
        <v>0</v>
      </c>
      <c r="AO2594" s="4">
        <v>0</v>
      </c>
      <c r="AP2594" s="4">
        <v>2</v>
      </c>
      <c r="AQ2594" s="4">
        <v>4</v>
      </c>
      <c r="AR2594" s="3" t="s">
        <v>62</v>
      </c>
      <c r="AS2594" s="3" t="s">
        <v>62</v>
      </c>
      <c r="AT2594" s="3" t="s">
        <v>62</v>
      </c>
      <c r="AU2594" s="6" t="str">
        <f>HYPERLINK("http://catalog.hathitrust.org/Record/008932593","HathiTrust Record")</f>
        <v>HathiTrust Record</v>
      </c>
      <c r="AV2594" s="6" t="str">
        <f>HYPERLINK("http://mcgill.on.worldcat.org/oclc/13479869","Catalog Record")</f>
        <v>Catalog Record</v>
      </c>
      <c r="AW2594" s="6" t="str">
        <f>HYPERLINK("http://www.worldcat.org/oclc/13479869","WorldCat Record")</f>
        <v>WorldCat Record</v>
      </c>
      <c r="AX2594" s="3" t="s">
        <v>25057</v>
      </c>
      <c r="AY2594" s="3" t="s">
        <v>25058</v>
      </c>
      <c r="AZ2594" s="3" t="s">
        <v>25059</v>
      </c>
      <c r="BA2594" s="3" t="s">
        <v>25059</v>
      </c>
      <c r="BB2594" s="3" t="s">
        <v>25060</v>
      </c>
      <c r="BC2594" s="3" t="s">
        <v>102</v>
      </c>
      <c r="BD2594" s="3" t="s">
        <v>68</v>
      </c>
      <c r="BF2594" s="3" t="s">
        <v>25060</v>
      </c>
      <c r="BG2594" s="3" t="s">
        <v>25061</v>
      </c>
    </row>
    <row r="2595" spans="1:59" ht="58" x14ac:dyDescent="0.35">
      <c r="A2595" s="2" t="s">
        <v>89</v>
      </c>
      <c r="B2595" s="2" t="s">
        <v>90</v>
      </c>
      <c r="C2595" s="2" t="s">
        <v>25062</v>
      </c>
      <c r="D2595" s="2" t="s">
        <v>25063</v>
      </c>
      <c r="E2595" s="2" t="s">
        <v>25064</v>
      </c>
      <c r="G2595" s="3" t="s">
        <v>62</v>
      </c>
      <c r="I2595" s="3" t="s">
        <v>62</v>
      </c>
      <c r="J2595" s="3" t="s">
        <v>62</v>
      </c>
      <c r="K2595" s="3" t="s">
        <v>63</v>
      </c>
      <c r="L2595" s="2" t="s">
        <v>25065</v>
      </c>
      <c r="M2595" s="2" t="s">
        <v>25066</v>
      </c>
      <c r="N2595" s="3" t="s">
        <v>25036</v>
      </c>
      <c r="P2595" s="3" t="s">
        <v>64</v>
      </c>
      <c r="R2595" s="3" t="s">
        <v>13065</v>
      </c>
      <c r="S2595" s="4">
        <v>1</v>
      </c>
      <c r="T2595" s="4">
        <v>1</v>
      </c>
      <c r="U2595" s="5" t="s">
        <v>25067</v>
      </c>
      <c r="V2595" s="5" t="s">
        <v>25067</v>
      </c>
      <c r="W2595" s="5" t="s">
        <v>67</v>
      </c>
      <c r="X2595" s="5" t="s">
        <v>67</v>
      </c>
      <c r="Y2595" s="4">
        <v>9</v>
      </c>
      <c r="Z2595" s="4">
        <v>1</v>
      </c>
      <c r="AA2595" s="4">
        <v>1</v>
      </c>
      <c r="AB2595" s="4">
        <v>1</v>
      </c>
      <c r="AC2595" s="4">
        <v>1</v>
      </c>
      <c r="AD2595" s="4">
        <v>2</v>
      </c>
      <c r="AE2595" s="4">
        <v>3</v>
      </c>
      <c r="AF2595" s="4">
        <v>0</v>
      </c>
      <c r="AG2595" s="4">
        <v>0</v>
      </c>
      <c r="AH2595" s="4">
        <v>2</v>
      </c>
      <c r="AI2595" s="4">
        <v>3</v>
      </c>
      <c r="AJ2595" s="4">
        <v>0</v>
      </c>
      <c r="AK2595" s="4">
        <v>0</v>
      </c>
      <c r="AL2595" s="4">
        <v>2</v>
      </c>
      <c r="AM2595" s="4">
        <v>2</v>
      </c>
      <c r="AN2595" s="4">
        <v>0</v>
      </c>
      <c r="AO2595" s="4">
        <v>0</v>
      </c>
      <c r="AP2595" s="4">
        <v>0</v>
      </c>
      <c r="AQ2595" s="4">
        <v>0</v>
      </c>
      <c r="AR2595" s="3" t="s">
        <v>62</v>
      </c>
      <c r="AS2595" s="3" t="s">
        <v>62</v>
      </c>
      <c r="AT2595" s="3" t="s">
        <v>62</v>
      </c>
      <c r="AU2595" s="6" t="str">
        <f>HYPERLINK("http://catalog.hathitrust.org/Record/100398254","HathiTrust Record")</f>
        <v>HathiTrust Record</v>
      </c>
      <c r="AV2595" s="6" t="str">
        <f>HYPERLINK("http://mcgill.on.worldcat.org/oclc/45695353","Catalog Record")</f>
        <v>Catalog Record</v>
      </c>
      <c r="AW2595" s="6" t="str">
        <f>HYPERLINK("http://www.worldcat.org/oclc/45695353","WorldCat Record")</f>
        <v>WorldCat Record</v>
      </c>
      <c r="AX2595" s="3" t="s">
        <v>25068</v>
      </c>
      <c r="AY2595" s="3" t="s">
        <v>25069</v>
      </c>
      <c r="AZ2595" s="3" t="s">
        <v>25070</v>
      </c>
      <c r="BA2595" s="3" t="s">
        <v>25070</v>
      </c>
      <c r="BB2595" s="3" t="s">
        <v>25071</v>
      </c>
      <c r="BC2595" s="3" t="s">
        <v>102</v>
      </c>
      <c r="BD2595" s="3" t="s">
        <v>68</v>
      </c>
      <c r="BF2595" s="3" t="s">
        <v>25071</v>
      </c>
      <c r="BG2595" s="3" t="s">
        <v>25072</v>
      </c>
    </row>
    <row r="2596" spans="1:59" ht="58" x14ac:dyDescent="0.35">
      <c r="A2596" s="2" t="s">
        <v>89</v>
      </c>
      <c r="B2596" s="2" t="s">
        <v>90</v>
      </c>
      <c r="C2596" s="2" t="s">
        <v>25073</v>
      </c>
      <c r="D2596" s="2" t="s">
        <v>25074</v>
      </c>
      <c r="E2596" s="2" t="s">
        <v>25075</v>
      </c>
      <c r="G2596" s="3" t="s">
        <v>62</v>
      </c>
      <c r="I2596" s="3" t="s">
        <v>62</v>
      </c>
      <c r="J2596" s="3" t="s">
        <v>62</v>
      </c>
      <c r="K2596" s="3" t="s">
        <v>63</v>
      </c>
      <c r="L2596" s="2" t="s">
        <v>25076</v>
      </c>
      <c r="M2596" s="2" t="s">
        <v>25077</v>
      </c>
      <c r="N2596" s="3" t="s">
        <v>9051</v>
      </c>
      <c r="P2596" s="3" t="s">
        <v>64</v>
      </c>
      <c r="R2596" s="3" t="s">
        <v>13065</v>
      </c>
      <c r="S2596" s="4">
        <v>2</v>
      </c>
      <c r="T2596" s="4">
        <v>2</v>
      </c>
      <c r="U2596" s="5" t="s">
        <v>25056</v>
      </c>
      <c r="V2596" s="5" t="s">
        <v>25056</v>
      </c>
      <c r="W2596" s="5" t="s">
        <v>67</v>
      </c>
      <c r="X2596" s="5" t="s">
        <v>67</v>
      </c>
      <c r="Y2596" s="4">
        <v>1</v>
      </c>
      <c r="Z2596" s="4">
        <v>1</v>
      </c>
      <c r="AA2596" s="4">
        <v>8</v>
      </c>
      <c r="AB2596" s="4">
        <v>1</v>
      </c>
      <c r="AC2596" s="4">
        <v>2</v>
      </c>
      <c r="AD2596" s="4">
        <v>0</v>
      </c>
      <c r="AE2596" s="4">
        <v>41</v>
      </c>
      <c r="AF2596" s="4">
        <v>0</v>
      </c>
      <c r="AG2596" s="4">
        <v>1</v>
      </c>
      <c r="AH2596" s="4">
        <v>0</v>
      </c>
      <c r="AI2596" s="4">
        <v>37</v>
      </c>
      <c r="AJ2596" s="4">
        <v>0</v>
      </c>
      <c r="AK2596" s="4">
        <v>5</v>
      </c>
      <c r="AL2596" s="4">
        <v>0</v>
      </c>
      <c r="AM2596" s="4">
        <v>24</v>
      </c>
      <c r="AN2596" s="4">
        <v>0</v>
      </c>
      <c r="AO2596" s="4">
        <v>0</v>
      </c>
      <c r="AP2596" s="4">
        <v>0</v>
      </c>
      <c r="AQ2596" s="4">
        <v>7</v>
      </c>
      <c r="AR2596" s="3" t="s">
        <v>62</v>
      </c>
      <c r="AS2596" s="3" t="s">
        <v>62</v>
      </c>
      <c r="AT2596" s="3" t="s">
        <v>62</v>
      </c>
      <c r="AV2596" s="6" t="str">
        <f>HYPERLINK("http://mcgill.on.worldcat.org/oclc/427505865","Catalog Record")</f>
        <v>Catalog Record</v>
      </c>
      <c r="AW2596" s="6" t="str">
        <f>HYPERLINK("http://www.worldcat.org/oclc/427505865","WorldCat Record")</f>
        <v>WorldCat Record</v>
      </c>
      <c r="AX2596" s="3" t="s">
        <v>25078</v>
      </c>
      <c r="AY2596" s="3" t="s">
        <v>25079</v>
      </c>
      <c r="AZ2596" s="3" t="s">
        <v>25080</v>
      </c>
      <c r="BA2596" s="3" t="s">
        <v>25080</v>
      </c>
      <c r="BB2596" s="3" t="s">
        <v>25081</v>
      </c>
      <c r="BC2596" s="3" t="s">
        <v>102</v>
      </c>
      <c r="BD2596" s="3" t="s">
        <v>68</v>
      </c>
      <c r="BF2596" s="3" t="s">
        <v>25081</v>
      </c>
      <c r="BG2596" s="3" t="s">
        <v>25082</v>
      </c>
    </row>
    <row r="2597" spans="1:59" ht="58" x14ac:dyDescent="0.35">
      <c r="A2597" s="2" t="s">
        <v>89</v>
      </c>
      <c r="B2597" s="2" t="s">
        <v>90</v>
      </c>
      <c r="C2597" s="2" t="s">
        <v>25083</v>
      </c>
      <c r="D2597" s="2" t="s">
        <v>25084</v>
      </c>
      <c r="E2597" s="2" t="s">
        <v>25085</v>
      </c>
      <c r="G2597" s="3" t="s">
        <v>62</v>
      </c>
      <c r="I2597" s="3" t="s">
        <v>62</v>
      </c>
      <c r="J2597" s="3" t="s">
        <v>62</v>
      </c>
      <c r="K2597" s="3" t="s">
        <v>916</v>
      </c>
      <c r="L2597" s="2" t="s">
        <v>25086</v>
      </c>
      <c r="M2597" s="2" t="s">
        <v>25087</v>
      </c>
      <c r="N2597" s="3" t="s">
        <v>25088</v>
      </c>
      <c r="P2597" s="3" t="s">
        <v>64</v>
      </c>
      <c r="R2597" s="3" t="s">
        <v>13065</v>
      </c>
      <c r="S2597" s="4">
        <v>1</v>
      </c>
      <c r="T2597" s="4">
        <v>1</v>
      </c>
      <c r="U2597" s="5" t="s">
        <v>25056</v>
      </c>
      <c r="V2597" s="5" t="s">
        <v>25056</v>
      </c>
      <c r="W2597" s="5" t="s">
        <v>67</v>
      </c>
      <c r="X2597" s="5" t="s">
        <v>67</v>
      </c>
      <c r="Y2597" s="4">
        <v>1</v>
      </c>
      <c r="Z2597" s="4">
        <v>1</v>
      </c>
      <c r="AA2597" s="4">
        <v>15</v>
      </c>
      <c r="AB2597" s="4">
        <v>1</v>
      </c>
      <c r="AC2597" s="4">
        <v>2</v>
      </c>
      <c r="AD2597" s="4">
        <v>0</v>
      </c>
      <c r="AE2597" s="4">
        <v>64</v>
      </c>
      <c r="AF2597" s="4">
        <v>0</v>
      </c>
      <c r="AG2597" s="4">
        <v>0</v>
      </c>
      <c r="AH2597" s="4">
        <v>0</v>
      </c>
      <c r="AI2597" s="4">
        <v>60</v>
      </c>
      <c r="AJ2597" s="4">
        <v>0</v>
      </c>
      <c r="AK2597" s="4">
        <v>11</v>
      </c>
      <c r="AL2597" s="4">
        <v>0</v>
      </c>
      <c r="AM2597" s="4">
        <v>32</v>
      </c>
      <c r="AN2597" s="4">
        <v>0</v>
      </c>
      <c r="AO2597" s="4">
        <v>0</v>
      </c>
      <c r="AP2597" s="4">
        <v>0</v>
      </c>
      <c r="AQ2597" s="4">
        <v>12</v>
      </c>
      <c r="AR2597" s="3" t="s">
        <v>62</v>
      </c>
      <c r="AS2597" s="3" t="s">
        <v>62</v>
      </c>
      <c r="AT2597" s="3" t="s">
        <v>62</v>
      </c>
      <c r="AV2597" s="6" t="str">
        <f>HYPERLINK("http://mcgill.on.worldcat.org/oclc/61599763","Catalog Record")</f>
        <v>Catalog Record</v>
      </c>
      <c r="AW2597" s="6" t="str">
        <f>HYPERLINK("http://www.worldcat.org/oclc/61599763","WorldCat Record")</f>
        <v>WorldCat Record</v>
      </c>
      <c r="AX2597" s="3" t="s">
        <v>25089</v>
      </c>
      <c r="AY2597" s="3" t="s">
        <v>25090</v>
      </c>
      <c r="AZ2597" s="3" t="s">
        <v>25091</v>
      </c>
      <c r="BA2597" s="3" t="s">
        <v>25091</v>
      </c>
      <c r="BB2597" s="3" t="s">
        <v>25092</v>
      </c>
      <c r="BC2597" s="3" t="s">
        <v>102</v>
      </c>
      <c r="BD2597" s="3" t="s">
        <v>68</v>
      </c>
      <c r="BF2597" s="3" t="s">
        <v>25092</v>
      </c>
      <c r="BG2597" s="3" t="s">
        <v>25093</v>
      </c>
    </row>
    <row r="2598" spans="1:59" ht="58" x14ac:dyDescent="0.35">
      <c r="A2598" s="2" t="s">
        <v>89</v>
      </c>
      <c r="B2598" s="2" t="s">
        <v>90</v>
      </c>
      <c r="C2598" s="2" t="s">
        <v>25094</v>
      </c>
      <c r="D2598" s="2" t="s">
        <v>25095</v>
      </c>
      <c r="E2598" s="2" t="s">
        <v>25096</v>
      </c>
      <c r="G2598" s="3" t="s">
        <v>62</v>
      </c>
      <c r="I2598" s="3" t="s">
        <v>62</v>
      </c>
      <c r="J2598" s="3" t="s">
        <v>61</v>
      </c>
      <c r="K2598" s="3" t="s">
        <v>25097</v>
      </c>
      <c r="L2598" s="2" t="s">
        <v>25098</v>
      </c>
      <c r="M2598" s="2" t="s">
        <v>25099</v>
      </c>
      <c r="N2598" s="3" t="s">
        <v>25100</v>
      </c>
      <c r="O2598" s="2" t="s">
        <v>25101</v>
      </c>
      <c r="P2598" s="3" t="s">
        <v>64</v>
      </c>
      <c r="R2598" s="3" t="s">
        <v>13065</v>
      </c>
      <c r="S2598" s="4">
        <v>3</v>
      </c>
      <c r="T2598" s="4">
        <v>3</v>
      </c>
      <c r="U2598" s="5" t="s">
        <v>4748</v>
      </c>
      <c r="V2598" s="5" t="s">
        <v>4748</v>
      </c>
      <c r="W2598" s="5" t="s">
        <v>67</v>
      </c>
      <c r="X2598" s="5" t="s">
        <v>67</v>
      </c>
      <c r="Y2598" s="4">
        <v>4</v>
      </c>
      <c r="Z2598" s="4">
        <v>1</v>
      </c>
      <c r="AA2598" s="4">
        <v>50</v>
      </c>
      <c r="AB2598" s="4">
        <v>1</v>
      </c>
      <c r="AC2598" s="4">
        <v>6</v>
      </c>
      <c r="AD2598" s="4">
        <v>2</v>
      </c>
      <c r="AE2598" s="4">
        <v>136</v>
      </c>
      <c r="AF2598" s="4">
        <v>0</v>
      </c>
      <c r="AG2598" s="4">
        <v>3</v>
      </c>
      <c r="AH2598" s="4">
        <v>2</v>
      </c>
      <c r="AI2598" s="4">
        <v>108</v>
      </c>
      <c r="AJ2598" s="4">
        <v>0</v>
      </c>
      <c r="AK2598" s="4">
        <v>22</v>
      </c>
      <c r="AL2598" s="4">
        <v>2</v>
      </c>
      <c r="AM2598" s="4">
        <v>60</v>
      </c>
      <c r="AN2598" s="4">
        <v>0</v>
      </c>
      <c r="AO2598" s="4">
        <v>4</v>
      </c>
      <c r="AP2598" s="4">
        <v>0</v>
      </c>
      <c r="AQ2598" s="4">
        <v>33</v>
      </c>
      <c r="AR2598" s="3" t="s">
        <v>62</v>
      </c>
      <c r="AS2598" s="3" t="s">
        <v>61</v>
      </c>
      <c r="AT2598" s="3" t="s">
        <v>62</v>
      </c>
      <c r="AU2598" s="6" t="str">
        <f>HYPERLINK("http://catalog.hathitrust.org/Record/010087008","HathiTrust Record")</f>
        <v>HathiTrust Record</v>
      </c>
      <c r="AV2598" s="6" t="str">
        <f>HYPERLINK("http://mcgill.on.worldcat.org/oclc/427505778","Catalog Record")</f>
        <v>Catalog Record</v>
      </c>
      <c r="AW2598" s="6" t="str">
        <f>HYPERLINK("http://www.worldcat.org/oclc/427505778","WorldCat Record")</f>
        <v>WorldCat Record</v>
      </c>
      <c r="AX2598" s="3" t="s">
        <v>25102</v>
      </c>
      <c r="AY2598" s="3" t="s">
        <v>25103</v>
      </c>
      <c r="AZ2598" s="3" t="s">
        <v>25104</v>
      </c>
      <c r="BA2598" s="3" t="s">
        <v>25104</v>
      </c>
      <c r="BB2598" s="3" t="s">
        <v>25105</v>
      </c>
      <c r="BC2598" s="3" t="s">
        <v>102</v>
      </c>
      <c r="BD2598" s="3" t="s">
        <v>68</v>
      </c>
      <c r="BF2598" s="3" t="s">
        <v>25105</v>
      </c>
      <c r="BG2598" s="3" t="s">
        <v>25106</v>
      </c>
    </row>
    <row r="2599" spans="1:59" ht="72.5" x14ac:dyDescent="0.35">
      <c r="A2599" s="2" t="s">
        <v>89</v>
      </c>
      <c r="B2599" s="2" t="s">
        <v>2033</v>
      </c>
      <c r="C2599" s="2" t="s">
        <v>25107</v>
      </c>
      <c r="D2599" s="2" t="s">
        <v>25108</v>
      </c>
      <c r="E2599" s="2" t="s">
        <v>25109</v>
      </c>
      <c r="G2599" s="3" t="s">
        <v>62</v>
      </c>
      <c r="I2599" s="3" t="s">
        <v>62</v>
      </c>
      <c r="J2599" s="3" t="s">
        <v>62</v>
      </c>
      <c r="K2599" s="3" t="s">
        <v>916</v>
      </c>
      <c r="L2599" s="2" t="s">
        <v>25110</v>
      </c>
      <c r="M2599" s="2" t="s">
        <v>25111</v>
      </c>
      <c r="N2599" s="3" t="s">
        <v>25036</v>
      </c>
      <c r="P2599" s="3" t="s">
        <v>64</v>
      </c>
      <c r="R2599" s="3" t="s">
        <v>13065</v>
      </c>
      <c r="S2599" s="4">
        <v>4</v>
      </c>
      <c r="T2599" s="4">
        <v>4</v>
      </c>
      <c r="U2599" s="5" t="s">
        <v>25112</v>
      </c>
      <c r="V2599" s="5" t="s">
        <v>25112</v>
      </c>
      <c r="W2599" s="5" t="s">
        <v>67</v>
      </c>
      <c r="X2599" s="5" t="s">
        <v>67</v>
      </c>
      <c r="Y2599" s="4">
        <v>107</v>
      </c>
      <c r="Z2599" s="4">
        <v>2</v>
      </c>
      <c r="AA2599" s="4">
        <v>16</v>
      </c>
      <c r="AB2599" s="4">
        <v>1</v>
      </c>
      <c r="AC2599" s="4">
        <v>1</v>
      </c>
      <c r="AD2599" s="4">
        <v>40</v>
      </c>
      <c r="AE2599" s="4">
        <v>74</v>
      </c>
      <c r="AF2599" s="4">
        <v>0</v>
      </c>
      <c r="AG2599" s="4">
        <v>0</v>
      </c>
      <c r="AH2599" s="4">
        <v>35</v>
      </c>
      <c r="AI2599" s="4">
        <v>64</v>
      </c>
      <c r="AJ2599" s="4">
        <v>0</v>
      </c>
      <c r="AK2599" s="4">
        <v>11</v>
      </c>
      <c r="AL2599" s="4">
        <v>31</v>
      </c>
      <c r="AM2599" s="4">
        <v>42</v>
      </c>
      <c r="AN2599" s="4">
        <v>0</v>
      </c>
      <c r="AO2599" s="4">
        <v>0</v>
      </c>
      <c r="AP2599" s="4">
        <v>1</v>
      </c>
      <c r="AQ2599" s="4">
        <v>14</v>
      </c>
      <c r="AR2599" s="3" t="s">
        <v>62</v>
      </c>
      <c r="AS2599" s="3" t="s">
        <v>61</v>
      </c>
      <c r="AT2599" s="3" t="s">
        <v>62</v>
      </c>
      <c r="AU2599" s="6" t="str">
        <f>HYPERLINK("http://catalog.hathitrust.org/Record/000662830","HathiTrust Record")</f>
        <v>HathiTrust Record</v>
      </c>
      <c r="AV2599" s="6" t="str">
        <f>HYPERLINK("http://mcgill.on.worldcat.org/oclc/823299","Catalog Record")</f>
        <v>Catalog Record</v>
      </c>
      <c r="AW2599" s="6" t="str">
        <f>HYPERLINK("http://www.worldcat.org/oclc/823299","WorldCat Record")</f>
        <v>WorldCat Record</v>
      </c>
      <c r="AX2599" s="3" t="s">
        <v>25113</v>
      </c>
      <c r="AY2599" s="3" t="s">
        <v>25114</v>
      </c>
      <c r="AZ2599" s="3" t="s">
        <v>25115</v>
      </c>
      <c r="BA2599" s="3" t="s">
        <v>25115</v>
      </c>
      <c r="BB2599" s="3" t="s">
        <v>25116</v>
      </c>
      <c r="BC2599" s="3" t="s">
        <v>102</v>
      </c>
      <c r="BD2599" s="3" t="s">
        <v>68</v>
      </c>
      <c r="BF2599" s="3" t="s">
        <v>25116</v>
      </c>
      <c r="BG2599" s="3" t="s">
        <v>25117</v>
      </c>
    </row>
    <row r="2600" spans="1:59" ht="58" x14ac:dyDescent="0.35">
      <c r="A2600" s="2" t="s">
        <v>89</v>
      </c>
      <c r="B2600" s="2" t="s">
        <v>90</v>
      </c>
      <c r="C2600" s="2" t="s">
        <v>25118</v>
      </c>
      <c r="D2600" s="2" t="s">
        <v>25119</v>
      </c>
      <c r="E2600" s="2" t="s">
        <v>25120</v>
      </c>
      <c r="G2600" s="3" t="s">
        <v>62</v>
      </c>
      <c r="I2600" s="3" t="s">
        <v>62</v>
      </c>
      <c r="J2600" s="3" t="s">
        <v>62</v>
      </c>
      <c r="K2600" s="3" t="s">
        <v>63</v>
      </c>
      <c r="L2600" s="2" t="s">
        <v>25121</v>
      </c>
      <c r="M2600" s="2" t="s">
        <v>25122</v>
      </c>
      <c r="N2600" s="3" t="s">
        <v>1291</v>
      </c>
      <c r="P2600" s="3" t="s">
        <v>64</v>
      </c>
      <c r="R2600" s="3" t="s">
        <v>13065</v>
      </c>
      <c r="S2600" s="4">
        <v>19</v>
      </c>
      <c r="T2600" s="4">
        <v>19</v>
      </c>
      <c r="U2600" s="5" t="s">
        <v>10772</v>
      </c>
      <c r="V2600" s="5" t="s">
        <v>10772</v>
      </c>
      <c r="W2600" s="5" t="s">
        <v>67</v>
      </c>
      <c r="X2600" s="5" t="s">
        <v>67</v>
      </c>
      <c r="Y2600" s="4">
        <v>35</v>
      </c>
      <c r="Z2600" s="4">
        <v>5</v>
      </c>
      <c r="AA2600" s="4">
        <v>25</v>
      </c>
      <c r="AB2600" s="4">
        <v>1</v>
      </c>
      <c r="AC2600" s="4">
        <v>4</v>
      </c>
      <c r="AD2600" s="4">
        <v>9</v>
      </c>
      <c r="AE2600" s="4">
        <v>94</v>
      </c>
      <c r="AF2600" s="4">
        <v>0</v>
      </c>
      <c r="AG2600" s="4">
        <v>3</v>
      </c>
      <c r="AH2600" s="4">
        <v>8</v>
      </c>
      <c r="AI2600" s="4">
        <v>80</v>
      </c>
      <c r="AJ2600" s="4">
        <v>2</v>
      </c>
      <c r="AK2600" s="4">
        <v>16</v>
      </c>
      <c r="AL2600" s="4">
        <v>3</v>
      </c>
      <c r="AM2600" s="4">
        <v>44</v>
      </c>
      <c r="AN2600" s="4">
        <v>0</v>
      </c>
      <c r="AO2600" s="4">
        <v>0</v>
      </c>
      <c r="AP2600" s="4">
        <v>2</v>
      </c>
      <c r="AQ2600" s="4">
        <v>20</v>
      </c>
      <c r="AR2600" s="3" t="s">
        <v>62</v>
      </c>
      <c r="AS2600" s="3" t="s">
        <v>62</v>
      </c>
      <c r="AT2600" s="3" t="s">
        <v>62</v>
      </c>
      <c r="AV2600" s="6" t="str">
        <f>HYPERLINK("http://mcgill.on.worldcat.org/oclc/10206001","Catalog Record")</f>
        <v>Catalog Record</v>
      </c>
      <c r="AW2600" s="6" t="str">
        <f>HYPERLINK("http://www.worldcat.org/oclc/10206001","WorldCat Record")</f>
        <v>WorldCat Record</v>
      </c>
      <c r="AX2600" s="3" t="s">
        <v>25123</v>
      </c>
      <c r="AY2600" s="3" t="s">
        <v>25124</v>
      </c>
      <c r="AZ2600" s="3" t="s">
        <v>25125</v>
      </c>
      <c r="BA2600" s="3" t="s">
        <v>25125</v>
      </c>
      <c r="BB2600" s="3" t="s">
        <v>25126</v>
      </c>
      <c r="BC2600" s="3" t="s">
        <v>102</v>
      </c>
      <c r="BD2600" s="3" t="s">
        <v>68</v>
      </c>
      <c r="BF2600" s="3" t="s">
        <v>25126</v>
      </c>
      <c r="BG2600" s="3" t="s">
        <v>25127</v>
      </c>
    </row>
    <row r="2601" spans="1:59" ht="58" x14ac:dyDescent="0.35">
      <c r="A2601" s="2" t="s">
        <v>89</v>
      </c>
      <c r="B2601" s="2" t="s">
        <v>90</v>
      </c>
      <c r="C2601" s="2" t="s">
        <v>25128</v>
      </c>
      <c r="D2601" s="2" t="s">
        <v>25129</v>
      </c>
      <c r="E2601" s="2" t="s">
        <v>25130</v>
      </c>
      <c r="G2601" s="3" t="s">
        <v>62</v>
      </c>
      <c r="I2601" s="3" t="s">
        <v>62</v>
      </c>
      <c r="J2601" s="3" t="s">
        <v>61</v>
      </c>
      <c r="K2601" s="3" t="s">
        <v>63</v>
      </c>
      <c r="L2601" s="2" t="s">
        <v>25131</v>
      </c>
      <c r="M2601" s="2" t="s">
        <v>6652</v>
      </c>
      <c r="N2601" s="3" t="s">
        <v>1335</v>
      </c>
      <c r="P2601" s="3" t="s">
        <v>64</v>
      </c>
      <c r="R2601" s="3" t="s">
        <v>13065</v>
      </c>
      <c r="S2601" s="4">
        <v>5</v>
      </c>
      <c r="T2601" s="4">
        <v>5</v>
      </c>
      <c r="U2601" s="5" t="s">
        <v>15446</v>
      </c>
      <c r="V2601" s="5" t="s">
        <v>15446</v>
      </c>
      <c r="W2601" s="5" t="s">
        <v>67</v>
      </c>
      <c r="X2601" s="5" t="s">
        <v>67</v>
      </c>
      <c r="Y2601" s="4">
        <v>356</v>
      </c>
      <c r="Z2601" s="4">
        <v>14</v>
      </c>
      <c r="AA2601" s="4">
        <v>29</v>
      </c>
      <c r="AB2601" s="4">
        <v>1</v>
      </c>
      <c r="AC2601" s="4">
        <v>6</v>
      </c>
      <c r="AD2601" s="4">
        <v>82</v>
      </c>
      <c r="AE2601" s="4">
        <v>114</v>
      </c>
      <c r="AF2601" s="4">
        <v>0</v>
      </c>
      <c r="AG2601" s="4">
        <v>4</v>
      </c>
      <c r="AH2601" s="4">
        <v>74</v>
      </c>
      <c r="AI2601" s="4">
        <v>95</v>
      </c>
      <c r="AJ2601" s="4">
        <v>9</v>
      </c>
      <c r="AK2601" s="4">
        <v>20</v>
      </c>
      <c r="AL2601" s="4">
        <v>42</v>
      </c>
      <c r="AM2601" s="4">
        <v>49</v>
      </c>
      <c r="AN2601" s="4">
        <v>0</v>
      </c>
      <c r="AO2601" s="4">
        <v>2</v>
      </c>
      <c r="AP2601" s="4">
        <v>10</v>
      </c>
      <c r="AQ2601" s="4">
        <v>23</v>
      </c>
      <c r="AR2601" s="3" t="s">
        <v>62</v>
      </c>
      <c r="AS2601" s="3" t="s">
        <v>62</v>
      </c>
      <c r="AT2601" s="3" t="s">
        <v>61</v>
      </c>
      <c r="AU2601" s="6" t="str">
        <f>HYPERLINK("http://catalog.hathitrust.org/Record/000164366","HathiTrust Record")</f>
        <v>HathiTrust Record</v>
      </c>
      <c r="AV2601" s="6" t="str">
        <f>HYPERLINK("http://mcgill.on.worldcat.org/oclc/825772","Catalog Record")</f>
        <v>Catalog Record</v>
      </c>
      <c r="AW2601" s="6" t="str">
        <f>HYPERLINK("http://www.worldcat.org/oclc/825772","WorldCat Record")</f>
        <v>WorldCat Record</v>
      </c>
      <c r="AX2601" s="3" t="s">
        <v>25132</v>
      </c>
      <c r="AY2601" s="3" t="s">
        <v>25133</v>
      </c>
      <c r="AZ2601" s="3" t="s">
        <v>25134</v>
      </c>
      <c r="BA2601" s="3" t="s">
        <v>25134</v>
      </c>
      <c r="BB2601" s="3" t="s">
        <v>25135</v>
      </c>
      <c r="BC2601" s="3" t="s">
        <v>102</v>
      </c>
      <c r="BD2601" s="3" t="s">
        <v>68</v>
      </c>
      <c r="BF2601" s="3" t="s">
        <v>25135</v>
      </c>
      <c r="BG2601" s="3" t="s">
        <v>25136</v>
      </c>
    </row>
    <row r="2602" spans="1:59" ht="58" x14ac:dyDescent="0.35">
      <c r="A2602" s="2" t="s">
        <v>89</v>
      </c>
      <c r="B2602" s="2" t="s">
        <v>90</v>
      </c>
      <c r="C2602" s="2" t="s">
        <v>25137</v>
      </c>
      <c r="D2602" s="2" t="s">
        <v>25138</v>
      </c>
      <c r="E2602" s="2" t="s">
        <v>25139</v>
      </c>
      <c r="G2602" s="3" t="s">
        <v>62</v>
      </c>
      <c r="I2602" s="3" t="s">
        <v>62</v>
      </c>
      <c r="J2602" s="3" t="s">
        <v>62</v>
      </c>
      <c r="K2602" s="3" t="s">
        <v>63</v>
      </c>
      <c r="L2602" s="2" t="s">
        <v>20907</v>
      </c>
      <c r="M2602" s="2" t="s">
        <v>24802</v>
      </c>
      <c r="N2602" s="3" t="s">
        <v>2445</v>
      </c>
      <c r="P2602" s="3" t="s">
        <v>64</v>
      </c>
      <c r="Q2602" s="2" t="s">
        <v>25140</v>
      </c>
      <c r="R2602" s="3" t="s">
        <v>13065</v>
      </c>
      <c r="S2602" s="4">
        <v>3</v>
      </c>
      <c r="T2602" s="4">
        <v>3</v>
      </c>
      <c r="U2602" s="5" t="s">
        <v>3763</v>
      </c>
      <c r="V2602" s="5" t="s">
        <v>3763</v>
      </c>
      <c r="W2602" s="5" t="s">
        <v>67</v>
      </c>
      <c r="X2602" s="5" t="s">
        <v>67</v>
      </c>
      <c r="Y2602" s="4">
        <v>463</v>
      </c>
      <c r="Z2602" s="4">
        <v>28</v>
      </c>
      <c r="AA2602" s="4">
        <v>33</v>
      </c>
      <c r="AB2602" s="4">
        <v>1</v>
      </c>
      <c r="AC2602" s="4">
        <v>5</v>
      </c>
      <c r="AD2602" s="4">
        <v>117</v>
      </c>
      <c r="AE2602" s="4">
        <v>122</v>
      </c>
      <c r="AF2602" s="4">
        <v>0</v>
      </c>
      <c r="AG2602" s="4">
        <v>4</v>
      </c>
      <c r="AH2602" s="4">
        <v>99</v>
      </c>
      <c r="AI2602" s="4">
        <v>100</v>
      </c>
      <c r="AJ2602" s="4">
        <v>17</v>
      </c>
      <c r="AK2602" s="4">
        <v>20</v>
      </c>
      <c r="AL2602" s="4">
        <v>56</v>
      </c>
      <c r="AM2602" s="4">
        <v>56</v>
      </c>
      <c r="AN2602" s="4">
        <v>0</v>
      </c>
      <c r="AO2602" s="4">
        <v>0</v>
      </c>
      <c r="AP2602" s="4">
        <v>23</v>
      </c>
      <c r="AQ2602" s="4">
        <v>27</v>
      </c>
      <c r="AR2602" s="3" t="s">
        <v>62</v>
      </c>
      <c r="AS2602" s="3" t="s">
        <v>62</v>
      </c>
      <c r="AT2602" s="3" t="s">
        <v>62</v>
      </c>
      <c r="AV2602" s="6" t="str">
        <f>HYPERLINK("http://mcgill.on.worldcat.org/oclc/529739","Catalog Record")</f>
        <v>Catalog Record</v>
      </c>
      <c r="AW2602" s="6" t="str">
        <f>HYPERLINK("http://www.worldcat.org/oclc/529739","WorldCat Record")</f>
        <v>WorldCat Record</v>
      </c>
      <c r="AX2602" s="3" t="s">
        <v>25141</v>
      </c>
      <c r="AY2602" s="3" t="s">
        <v>25142</v>
      </c>
      <c r="AZ2602" s="3" t="s">
        <v>25143</v>
      </c>
      <c r="BA2602" s="3" t="s">
        <v>25143</v>
      </c>
      <c r="BB2602" s="3" t="s">
        <v>25144</v>
      </c>
      <c r="BC2602" s="3" t="s">
        <v>102</v>
      </c>
      <c r="BD2602" s="3" t="s">
        <v>68</v>
      </c>
      <c r="BF2602" s="3" t="s">
        <v>25144</v>
      </c>
      <c r="BG2602" s="3" t="s">
        <v>25145</v>
      </c>
    </row>
    <row r="2603" spans="1:59" ht="58" x14ac:dyDescent="0.35">
      <c r="A2603" s="2" t="s">
        <v>89</v>
      </c>
      <c r="B2603" s="2" t="s">
        <v>90</v>
      </c>
      <c r="C2603" s="2" t="s">
        <v>25146</v>
      </c>
      <c r="D2603" s="2" t="s">
        <v>25147</v>
      </c>
      <c r="E2603" s="2" t="s">
        <v>25148</v>
      </c>
      <c r="G2603" s="3" t="s">
        <v>62</v>
      </c>
      <c r="I2603" s="3" t="s">
        <v>62</v>
      </c>
      <c r="J2603" s="3" t="s">
        <v>62</v>
      </c>
      <c r="K2603" s="3" t="s">
        <v>63</v>
      </c>
      <c r="L2603" s="2" t="s">
        <v>25149</v>
      </c>
      <c r="M2603" s="2" t="s">
        <v>25150</v>
      </c>
      <c r="N2603" s="3" t="s">
        <v>640</v>
      </c>
      <c r="P2603" s="3" t="s">
        <v>64</v>
      </c>
      <c r="Q2603" s="2" t="s">
        <v>25151</v>
      </c>
      <c r="R2603" s="3" t="s">
        <v>13065</v>
      </c>
      <c r="S2603" s="4">
        <v>12</v>
      </c>
      <c r="T2603" s="4">
        <v>12</v>
      </c>
      <c r="U2603" s="5" t="s">
        <v>383</v>
      </c>
      <c r="V2603" s="5" t="s">
        <v>383</v>
      </c>
      <c r="W2603" s="5" t="s">
        <v>67</v>
      </c>
      <c r="X2603" s="5" t="s">
        <v>67</v>
      </c>
      <c r="Y2603" s="4">
        <v>173</v>
      </c>
      <c r="Z2603" s="4">
        <v>15</v>
      </c>
      <c r="AA2603" s="4">
        <v>17</v>
      </c>
      <c r="AB2603" s="4">
        <v>2</v>
      </c>
      <c r="AC2603" s="4">
        <v>4</v>
      </c>
      <c r="AD2603" s="4">
        <v>66</v>
      </c>
      <c r="AE2603" s="4">
        <v>67</v>
      </c>
      <c r="AF2603" s="4">
        <v>1</v>
      </c>
      <c r="AG2603" s="4">
        <v>2</v>
      </c>
      <c r="AH2603" s="4">
        <v>59</v>
      </c>
      <c r="AI2603" s="4">
        <v>59</v>
      </c>
      <c r="AJ2603" s="4">
        <v>11</v>
      </c>
      <c r="AK2603" s="4">
        <v>12</v>
      </c>
      <c r="AL2603" s="4">
        <v>37</v>
      </c>
      <c r="AM2603" s="4">
        <v>37</v>
      </c>
      <c r="AN2603" s="4">
        <v>0</v>
      </c>
      <c r="AO2603" s="4">
        <v>0</v>
      </c>
      <c r="AP2603" s="4">
        <v>11</v>
      </c>
      <c r="AQ2603" s="4">
        <v>11</v>
      </c>
      <c r="AR2603" s="3" t="s">
        <v>62</v>
      </c>
      <c r="AS2603" s="3" t="s">
        <v>62</v>
      </c>
      <c r="AT2603" s="3" t="s">
        <v>62</v>
      </c>
      <c r="AV2603" s="6" t="str">
        <f>HYPERLINK("http://mcgill.on.worldcat.org/oclc/55016992","Catalog Record")</f>
        <v>Catalog Record</v>
      </c>
      <c r="AW2603" s="6" t="str">
        <f>HYPERLINK("http://www.worldcat.org/oclc/55016992","WorldCat Record")</f>
        <v>WorldCat Record</v>
      </c>
      <c r="AX2603" s="3" t="s">
        <v>25152</v>
      </c>
      <c r="AY2603" s="3" t="s">
        <v>25153</v>
      </c>
      <c r="AZ2603" s="3" t="s">
        <v>25154</v>
      </c>
      <c r="BA2603" s="3" t="s">
        <v>25154</v>
      </c>
      <c r="BB2603" s="3" t="s">
        <v>25155</v>
      </c>
      <c r="BC2603" s="3" t="s">
        <v>102</v>
      </c>
      <c r="BD2603" s="3" t="s">
        <v>68</v>
      </c>
      <c r="BE2603" s="3" t="s">
        <v>25156</v>
      </c>
      <c r="BF2603" s="3" t="s">
        <v>25155</v>
      </c>
      <c r="BG2603" s="3" t="s">
        <v>25157</v>
      </c>
    </row>
    <row r="2604" spans="1:59" ht="58" x14ac:dyDescent="0.35">
      <c r="A2604" s="2" t="s">
        <v>89</v>
      </c>
      <c r="B2604" s="2" t="s">
        <v>90</v>
      </c>
      <c r="C2604" s="2" t="s">
        <v>25158</v>
      </c>
      <c r="D2604" s="2" t="s">
        <v>25159</v>
      </c>
      <c r="E2604" s="2" t="s">
        <v>25160</v>
      </c>
      <c r="G2604" s="3" t="s">
        <v>62</v>
      </c>
      <c r="I2604" s="3" t="s">
        <v>62</v>
      </c>
      <c r="J2604" s="3" t="s">
        <v>62</v>
      </c>
      <c r="K2604" s="3" t="s">
        <v>63</v>
      </c>
      <c r="L2604" s="2" t="s">
        <v>25161</v>
      </c>
      <c r="M2604" s="2" t="s">
        <v>25162</v>
      </c>
      <c r="N2604" s="3" t="s">
        <v>25163</v>
      </c>
      <c r="P2604" s="3" t="s">
        <v>64</v>
      </c>
      <c r="R2604" s="3" t="s">
        <v>13065</v>
      </c>
      <c r="S2604" s="4">
        <v>4</v>
      </c>
      <c r="T2604" s="4">
        <v>4</v>
      </c>
      <c r="U2604" s="5" t="s">
        <v>20644</v>
      </c>
      <c r="V2604" s="5" t="s">
        <v>20644</v>
      </c>
      <c r="W2604" s="5" t="s">
        <v>67</v>
      </c>
      <c r="X2604" s="5" t="s">
        <v>67</v>
      </c>
      <c r="Y2604" s="4">
        <v>169</v>
      </c>
      <c r="Z2604" s="4">
        <v>7</v>
      </c>
      <c r="AA2604" s="4">
        <v>7</v>
      </c>
      <c r="AB2604" s="4">
        <v>1</v>
      </c>
      <c r="AC2604" s="4">
        <v>1</v>
      </c>
      <c r="AD2604" s="4">
        <v>63</v>
      </c>
      <c r="AE2604" s="4">
        <v>64</v>
      </c>
      <c r="AF2604" s="4">
        <v>0</v>
      </c>
      <c r="AG2604" s="4">
        <v>0</v>
      </c>
      <c r="AH2604" s="4">
        <v>58</v>
      </c>
      <c r="AI2604" s="4">
        <v>59</v>
      </c>
      <c r="AJ2604" s="4">
        <v>5</v>
      </c>
      <c r="AK2604" s="4">
        <v>5</v>
      </c>
      <c r="AL2604" s="4">
        <v>42</v>
      </c>
      <c r="AM2604" s="4">
        <v>43</v>
      </c>
      <c r="AN2604" s="4">
        <v>0</v>
      </c>
      <c r="AO2604" s="4">
        <v>0</v>
      </c>
      <c r="AP2604" s="4">
        <v>5</v>
      </c>
      <c r="AQ2604" s="4">
        <v>5</v>
      </c>
      <c r="AR2604" s="3" t="s">
        <v>62</v>
      </c>
      <c r="AS2604" s="3" t="s">
        <v>62</v>
      </c>
      <c r="AT2604" s="3" t="s">
        <v>61</v>
      </c>
      <c r="AU2604" s="6" t="str">
        <f>HYPERLINK("http://catalog.hathitrust.org/Record/000355128","HathiTrust Record")</f>
        <v>HathiTrust Record</v>
      </c>
      <c r="AV2604" s="6" t="str">
        <f>HYPERLINK("http://mcgill.on.worldcat.org/oclc/1189876","Catalog Record")</f>
        <v>Catalog Record</v>
      </c>
      <c r="AW2604" s="6" t="str">
        <f>HYPERLINK("http://www.worldcat.org/oclc/1189876","WorldCat Record")</f>
        <v>WorldCat Record</v>
      </c>
      <c r="AX2604" s="3" t="s">
        <v>25164</v>
      </c>
      <c r="AY2604" s="3" t="s">
        <v>25165</v>
      </c>
      <c r="AZ2604" s="3" t="s">
        <v>25166</v>
      </c>
      <c r="BA2604" s="3" t="s">
        <v>25166</v>
      </c>
      <c r="BB2604" s="3" t="s">
        <v>25167</v>
      </c>
      <c r="BC2604" s="3" t="s">
        <v>102</v>
      </c>
      <c r="BD2604" s="3" t="s">
        <v>68</v>
      </c>
      <c r="BF2604" s="3" t="s">
        <v>25167</v>
      </c>
      <c r="BG2604" s="3" t="s">
        <v>25168</v>
      </c>
    </row>
    <row r="2605" spans="1:59" ht="58" x14ac:dyDescent="0.35">
      <c r="A2605" s="2" t="s">
        <v>89</v>
      </c>
      <c r="B2605" s="2" t="s">
        <v>90</v>
      </c>
      <c r="C2605" s="2" t="s">
        <v>25169</v>
      </c>
      <c r="D2605" s="2" t="s">
        <v>25170</v>
      </c>
      <c r="E2605" s="2" t="s">
        <v>25171</v>
      </c>
      <c r="F2605" s="3" t="s">
        <v>1413</v>
      </c>
      <c r="G2605" s="3" t="s">
        <v>61</v>
      </c>
      <c r="I2605" s="3" t="s">
        <v>62</v>
      </c>
      <c r="J2605" s="3" t="s">
        <v>62</v>
      </c>
      <c r="K2605" s="3" t="s">
        <v>63</v>
      </c>
      <c r="L2605" s="2" t="s">
        <v>25172</v>
      </c>
      <c r="N2605" s="3" t="s">
        <v>7359</v>
      </c>
      <c r="P2605" s="3" t="s">
        <v>85</v>
      </c>
      <c r="Q2605" s="2" t="s">
        <v>25173</v>
      </c>
      <c r="R2605" s="3" t="s">
        <v>13065</v>
      </c>
      <c r="S2605" s="4">
        <v>7</v>
      </c>
      <c r="T2605" s="4">
        <v>8</v>
      </c>
      <c r="U2605" s="5" t="s">
        <v>4805</v>
      </c>
      <c r="V2605" s="5" t="s">
        <v>4805</v>
      </c>
      <c r="W2605" s="5" t="s">
        <v>67</v>
      </c>
      <c r="X2605" s="5" t="s">
        <v>67</v>
      </c>
      <c r="Y2605" s="4">
        <v>4</v>
      </c>
      <c r="Z2605" s="4">
        <v>1</v>
      </c>
      <c r="AA2605" s="4">
        <v>22</v>
      </c>
      <c r="AB2605" s="4">
        <v>1</v>
      </c>
      <c r="AC2605" s="4">
        <v>5</v>
      </c>
      <c r="AD2605" s="4">
        <v>3</v>
      </c>
      <c r="AE2605" s="4">
        <v>110</v>
      </c>
      <c r="AF2605" s="4">
        <v>0</v>
      </c>
      <c r="AG2605" s="4">
        <v>4</v>
      </c>
      <c r="AH2605" s="4">
        <v>3</v>
      </c>
      <c r="AI2605" s="4">
        <v>98</v>
      </c>
      <c r="AJ2605" s="4">
        <v>0</v>
      </c>
      <c r="AK2605" s="4">
        <v>16</v>
      </c>
      <c r="AL2605" s="4">
        <v>3</v>
      </c>
      <c r="AM2605" s="4">
        <v>56</v>
      </c>
      <c r="AN2605" s="4">
        <v>0</v>
      </c>
      <c r="AO2605" s="4">
        <v>0</v>
      </c>
      <c r="AP2605" s="4">
        <v>0</v>
      </c>
      <c r="AQ2605" s="4">
        <v>19</v>
      </c>
      <c r="AR2605" s="3" t="s">
        <v>62</v>
      </c>
      <c r="AS2605" s="3" t="s">
        <v>62</v>
      </c>
      <c r="AT2605" s="3" t="s">
        <v>61</v>
      </c>
      <c r="AU2605" s="6" t="str">
        <f>HYPERLINK("http://catalog.hathitrust.org/Record/000360925","HathiTrust Record")</f>
        <v>HathiTrust Record</v>
      </c>
      <c r="AV2605" s="6" t="str">
        <f>HYPERLINK("http://mcgill.on.worldcat.org/oclc/23411834","Catalog Record")</f>
        <v>Catalog Record</v>
      </c>
      <c r="AW2605" s="6" t="str">
        <f>HYPERLINK("http://www.worldcat.org/oclc/23411834","WorldCat Record")</f>
        <v>WorldCat Record</v>
      </c>
      <c r="AX2605" s="3" t="s">
        <v>25174</v>
      </c>
      <c r="AY2605" s="3" t="s">
        <v>25175</v>
      </c>
      <c r="AZ2605" s="3" t="s">
        <v>25176</v>
      </c>
      <c r="BA2605" s="3" t="s">
        <v>25176</v>
      </c>
      <c r="BB2605" s="3" t="s">
        <v>25177</v>
      </c>
      <c r="BC2605" s="3" t="s">
        <v>102</v>
      </c>
      <c r="BD2605" s="3" t="s">
        <v>68</v>
      </c>
      <c r="BF2605" s="3" t="s">
        <v>25177</v>
      </c>
      <c r="BG2605" s="3" t="s">
        <v>25178</v>
      </c>
    </row>
    <row r="2606" spans="1:59" ht="58" x14ac:dyDescent="0.35">
      <c r="A2606" s="2" t="s">
        <v>89</v>
      </c>
      <c r="B2606" s="2" t="s">
        <v>90</v>
      </c>
      <c r="C2606" s="2" t="s">
        <v>25169</v>
      </c>
      <c r="D2606" s="2" t="s">
        <v>25170</v>
      </c>
      <c r="E2606" s="2" t="s">
        <v>25171</v>
      </c>
      <c r="F2606" s="3" t="s">
        <v>1416</v>
      </c>
      <c r="G2606" s="3" t="s">
        <v>61</v>
      </c>
      <c r="I2606" s="3" t="s">
        <v>62</v>
      </c>
      <c r="J2606" s="3" t="s">
        <v>62</v>
      </c>
      <c r="K2606" s="3" t="s">
        <v>63</v>
      </c>
      <c r="L2606" s="2" t="s">
        <v>25172</v>
      </c>
      <c r="N2606" s="3" t="s">
        <v>7359</v>
      </c>
      <c r="P2606" s="3" t="s">
        <v>85</v>
      </c>
      <c r="Q2606" s="2" t="s">
        <v>25173</v>
      </c>
      <c r="R2606" s="3" t="s">
        <v>13065</v>
      </c>
      <c r="S2606" s="4">
        <v>1</v>
      </c>
      <c r="T2606" s="4">
        <v>8</v>
      </c>
      <c r="U2606" s="5" t="s">
        <v>72</v>
      </c>
      <c r="V2606" s="5" t="s">
        <v>4805</v>
      </c>
      <c r="W2606" s="5" t="s">
        <v>67</v>
      </c>
      <c r="X2606" s="5" t="s">
        <v>67</v>
      </c>
      <c r="Y2606" s="4">
        <v>4</v>
      </c>
      <c r="Z2606" s="4">
        <v>1</v>
      </c>
      <c r="AA2606" s="4">
        <v>22</v>
      </c>
      <c r="AB2606" s="4">
        <v>1</v>
      </c>
      <c r="AC2606" s="4">
        <v>5</v>
      </c>
      <c r="AD2606" s="4">
        <v>3</v>
      </c>
      <c r="AE2606" s="4">
        <v>110</v>
      </c>
      <c r="AF2606" s="4">
        <v>0</v>
      </c>
      <c r="AG2606" s="4">
        <v>4</v>
      </c>
      <c r="AH2606" s="4">
        <v>3</v>
      </c>
      <c r="AI2606" s="4">
        <v>98</v>
      </c>
      <c r="AJ2606" s="4">
        <v>0</v>
      </c>
      <c r="AK2606" s="4">
        <v>16</v>
      </c>
      <c r="AL2606" s="4">
        <v>3</v>
      </c>
      <c r="AM2606" s="4">
        <v>56</v>
      </c>
      <c r="AN2606" s="4">
        <v>0</v>
      </c>
      <c r="AO2606" s="4">
        <v>0</v>
      </c>
      <c r="AP2606" s="4">
        <v>0</v>
      </c>
      <c r="AQ2606" s="4">
        <v>19</v>
      </c>
      <c r="AR2606" s="3" t="s">
        <v>62</v>
      </c>
      <c r="AS2606" s="3" t="s">
        <v>62</v>
      </c>
      <c r="AT2606" s="3" t="s">
        <v>61</v>
      </c>
      <c r="AU2606" s="6" t="str">
        <f>HYPERLINK("http://catalog.hathitrust.org/Record/000360925","HathiTrust Record")</f>
        <v>HathiTrust Record</v>
      </c>
      <c r="AV2606" s="6" t="str">
        <f>HYPERLINK("http://mcgill.on.worldcat.org/oclc/23411834","Catalog Record")</f>
        <v>Catalog Record</v>
      </c>
      <c r="AW2606" s="6" t="str">
        <f>HYPERLINK("http://www.worldcat.org/oclc/23411834","WorldCat Record")</f>
        <v>WorldCat Record</v>
      </c>
      <c r="AX2606" s="3" t="s">
        <v>25174</v>
      </c>
      <c r="AY2606" s="3" t="s">
        <v>25175</v>
      </c>
      <c r="AZ2606" s="3" t="s">
        <v>25176</v>
      </c>
      <c r="BA2606" s="3" t="s">
        <v>25176</v>
      </c>
      <c r="BB2606" s="3" t="s">
        <v>25179</v>
      </c>
      <c r="BC2606" s="3" t="s">
        <v>102</v>
      </c>
      <c r="BD2606" s="3" t="s">
        <v>68</v>
      </c>
      <c r="BF2606" s="3" t="s">
        <v>25179</v>
      </c>
      <c r="BG2606" s="3" t="s">
        <v>25180</v>
      </c>
    </row>
    <row r="2607" spans="1:59" ht="58" x14ac:dyDescent="0.35">
      <c r="A2607" s="2" t="s">
        <v>89</v>
      </c>
      <c r="B2607" s="2" t="s">
        <v>90</v>
      </c>
      <c r="C2607" s="2" t="s">
        <v>25181</v>
      </c>
      <c r="D2607" s="2" t="s">
        <v>25182</v>
      </c>
      <c r="E2607" s="2" t="s">
        <v>25183</v>
      </c>
      <c r="G2607" s="3" t="s">
        <v>62</v>
      </c>
      <c r="I2607" s="3" t="s">
        <v>62</v>
      </c>
      <c r="J2607" s="3" t="s">
        <v>62</v>
      </c>
      <c r="K2607" s="3" t="s">
        <v>63</v>
      </c>
      <c r="L2607" s="2" t="s">
        <v>25184</v>
      </c>
      <c r="M2607" s="2" t="s">
        <v>25185</v>
      </c>
      <c r="N2607" s="3" t="s">
        <v>1467</v>
      </c>
      <c r="P2607" s="3" t="s">
        <v>64</v>
      </c>
      <c r="Q2607" s="2" t="s">
        <v>25186</v>
      </c>
      <c r="R2607" s="3" t="s">
        <v>13065</v>
      </c>
      <c r="S2607" s="4">
        <v>33</v>
      </c>
      <c r="T2607" s="4">
        <v>33</v>
      </c>
      <c r="U2607" s="5" t="s">
        <v>4211</v>
      </c>
      <c r="V2607" s="5" t="s">
        <v>4211</v>
      </c>
      <c r="W2607" s="5" t="s">
        <v>67</v>
      </c>
      <c r="X2607" s="5" t="s">
        <v>67</v>
      </c>
      <c r="Y2607" s="4">
        <v>447</v>
      </c>
      <c r="Z2607" s="4">
        <v>22</v>
      </c>
      <c r="AA2607" s="4">
        <v>31</v>
      </c>
      <c r="AB2607" s="4">
        <v>3</v>
      </c>
      <c r="AC2607" s="4">
        <v>8</v>
      </c>
      <c r="AD2607" s="4">
        <v>112</v>
      </c>
      <c r="AE2607" s="4">
        <v>126</v>
      </c>
      <c r="AF2607" s="4">
        <v>2</v>
      </c>
      <c r="AG2607" s="4">
        <v>6</v>
      </c>
      <c r="AH2607" s="4">
        <v>97</v>
      </c>
      <c r="AI2607" s="4">
        <v>105</v>
      </c>
      <c r="AJ2607" s="4">
        <v>15</v>
      </c>
      <c r="AK2607" s="4">
        <v>21</v>
      </c>
      <c r="AL2607" s="4">
        <v>53</v>
      </c>
      <c r="AM2607" s="4">
        <v>58</v>
      </c>
      <c r="AN2607" s="4">
        <v>0</v>
      </c>
      <c r="AO2607" s="4">
        <v>0</v>
      </c>
      <c r="AP2607" s="4">
        <v>20</v>
      </c>
      <c r="AQ2607" s="4">
        <v>26</v>
      </c>
      <c r="AR2607" s="3" t="s">
        <v>62</v>
      </c>
      <c r="AS2607" s="3" t="s">
        <v>62</v>
      </c>
      <c r="AT2607" s="3" t="s">
        <v>62</v>
      </c>
      <c r="AV2607" s="6" t="str">
        <f>HYPERLINK("http://mcgill.on.worldcat.org/oclc/512586","Catalog Record")</f>
        <v>Catalog Record</v>
      </c>
      <c r="AW2607" s="6" t="str">
        <f>HYPERLINK("http://www.worldcat.org/oclc/512586","WorldCat Record")</f>
        <v>WorldCat Record</v>
      </c>
      <c r="AX2607" s="3" t="s">
        <v>25187</v>
      </c>
      <c r="AY2607" s="3" t="s">
        <v>25188</v>
      </c>
      <c r="AZ2607" s="3" t="s">
        <v>25189</v>
      </c>
      <c r="BA2607" s="3" t="s">
        <v>25189</v>
      </c>
      <c r="BB2607" s="3" t="s">
        <v>25190</v>
      </c>
      <c r="BC2607" s="3" t="s">
        <v>102</v>
      </c>
      <c r="BD2607" s="3" t="s">
        <v>231</v>
      </c>
      <c r="BE2607" s="3" t="s">
        <v>25191</v>
      </c>
      <c r="BF2607" s="3" t="s">
        <v>25190</v>
      </c>
      <c r="BG2607" s="3" t="s">
        <v>25192</v>
      </c>
    </row>
    <row r="2608" spans="1:59" ht="58" x14ac:dyDescent="0.35">
      <c r="A2608" s="2" t="s">
        <v>89</v>
      </c>
      <c r="B2608" s="2" t="s">
        <v>90</v>
      </c>
      <c r="C2608" s="2" t="s">
        <v>25193</v>
      </c>
      <c r="D2608" s="2" t="s">
        <v>25194</v>
      </c>
      <c r="E2608" s="2" t="s">
        <v>25195</v>
      </c>
      <c r="G2608" s="3" t="s">
        <v>62</v>
      </c>
      <c r="I2608" s="3" t="s">
        <v>62</v>
      </c>
      <c r="J2608" s="3" t="s">
        <v>62</v>
      </c>
      <c r="K2608" s="3" t="s">
        <v>63</v>
      </c>
      <c r="L2608" s="2" t="s">
        <v>25196</v>
      </c>
      <c r="M2608" s="2" t="s">
        <v>20861</v>
      </c>
      <c r="N2608" s="3" t="s">
        <v>2445</v>
      </c>
      <c r="P2608" s="3" t="s">
        <v>64</v>
      </c>
      <c r="Q2608" s="2" t="s">
        <v>25197</v>
      </c>
      <c r="R2608" s="3" t="s">
        <v>13065</v>
      </c>
      <c r="S2608" s="4">
        <v>2</v>
      </c>
      <c r="T2608" s="4">
        <v>2</v>
      </c>
      <c r="U2608" s="5" t="s">
        <v>18861</v>
      </c>
      <c r="V2608" s="5" t="s">
        <v>18861</v>
      </c>
      <c r="W2608" s="5" t="s">
        <v>67</v>
      </c>
      <c r="X2608" s="5" t="s">
        <v>67</v>
      </c>
      <c r="Y2608" s="4">
        <v>388</v>
      </c>
      <c r="Z2608" s="4">
        <v>21</v>
      </c>
      <c r="AA2608" s="4">
        <v>28</v>
      </c>
      <c r="AB2608" s="4">
        <v>2</v>
      </c>
      <c r="AC2608" s="4">
        <v>6</v>
      </c>
      <c r="AD2608" s="4">
        <v>108</v>
      </c>
      <c r="AE2608" s="4">
        <v>114</v>
      </c>
      <c r="AF2608" s="4">
        <v>1</v>
      </c>
      <c r="AG2608" s="4">
        <v>3</v>
      </c>
      <c r="AH2608" s="4">
        <v>93</v>
      </c>
      <c r="AI2608" s="4">
        <v>97</v>
      </c>
      <c r="AJ2608" s="4">
        <v>15</v>
      </c>
      <c r="AK2608" s="4">
        <v>17</v>
      </c>
      <c r="AL2608" s="4">
        <v>54</v>
      </c>
      <c r="AM2608" s="4">
        <v>55</v>
      </c>
      <c r="AN2608" s="4">
        <v>0</v>
      </c>
      <c r="AO2608" s="4">
        <v>0</v>
      </c>
      <c r="AP2608" s="4">
        <v>19</v>
      </c>
      <c r="AQ2608" s="4">
        <v>21</v>
      </c>
      <c r="AR2608" s="3" t="s">
        <v>62</v>
      </c>
      <c r="AS2608" s="3" t="s">
        <v>62</v>
      </c>
      <c r="AT2608" s="3" t="s">
        <v>62</v>
      </c>
      <c r="AV2608" s="6" t="str">
        <f>HYPERLINK("http://mcgill.on.worldcat.org/oclc/529577","Catalog Record")</f>
        <v>Catalog Record</v>
      </c>
      <c r="AW2608" s="6" t="str">
        <f>HYPERLINK("http://www.worldcat.org/oclc/529577","WorldCat Record")</f>
        <v>WorldCat Record</v>
      </c>
      <c r="AX2608" s="3" t="s">
        <v>25198</v>
      </c>
      <c r="AY2608" s="3" t="s">
        <v>25199</v>
      </c>
      <c r="AZ2608" s="3" t="s">
        <v>25200</v>
      </c>
      <c r="BA2608" s="3" t="s">
        <v>25200</v>
      </c>
      <c r="BB2608" s="3" t="s">
        <v>25201</v>
      </c>
      <c r="BC2608" s="3" t="s">
        <v>102</v>
      </c>
      <c r="BD2608" s="3" t="s">
        <v>68</v>
      </c>
      <c r="BE2608" s="3" t="s">
        <v>25202</v>
      </c>
      <c r="BF2608" s="3" t="s">
        <v>25201</v>
      </c>
      <c r="BG2608" s="3" t="s">
        <v>25203</v>
      </c>
    </row>
    <row r="2609" spans="1:59" ht="58" x14ac:dyDescent="0.35">
      <c r="A2609" s="2" t="s">
        <v>89</v>
      </c>
      <c r="B2609" s="2" t="s">
        <v>90</v>
      </c>
      <c r="C2609" s="2" t="s">
        <v>25204</v>
      </c>
      <c r="D2609" s="2" t="s">
        <v>25205</v>
      </c>
      <c r="E2609" s="2" t="s">
        <v>25206</v>
      </c>
      <c r="G2609" s="3" t="s">
        <v>62</v>
      </c>
      <c r="I2609" s="3" t="s">
        <v>62</v>
      </c>
      <c r="J2609" s="3" t="s">
        <v>62</v>
      </c>
      <c r="K2609" s="3" t="s">
        <v>63</v>
      </c>
      <c r="L2609" s="2" t="s">
        <v>25196</v>
      </c>
      <c r="M2609" s="2" t="s">
        <v>25207</v>
      </c>
      <c r="N2609" s="3" t="s">
        <v>157</v>
      </c>
      <c r="P2609" s="3" t="s">
        <v>64</v>
      </c>
      <c r="Q2609" s="2" t="s">
        <v>25208</v>
      </c>
      <c r="R2609" s="3" t="s">
        <v>13065</v>
      </c>
      <c r="S2609" s="4">
        <v>28</v>
      </c>
      <c r="T2609" s="4">
        <v>28</v>
      </c>
      <c r="U2609" s="5" t="s">
        <v>18861</v>
      </c>
      <c r="V2609" s="5" t="s">
        <v>18861</v>
      </c>
      <c r="W2609" s="5" t="s">
        <v>67</v>
      </c>
      <c r="X2609" s="5" t="s">
        <v>67</v>
      </c>
      <c r="Y2609" s="4">
        <v>16</v>
      </c>
      <c r="Z2609" s="4">
        <v>7</v>
      </c>
      <c r="AA2609" s="4">
        <v>40</v>
      </c>
      <c r="AB2609" s="4">
        <v>2</v>
      </c>
      <c r="AC2609" s="4">
        <v>9</v>
      </c>
      <c r="AD2609" s="4">
        <v>6</v>
      </c>
      <c r="AE2609" s="4">
        <v>131</v>
      </c>
      <c r="AF2609" s="4">
        <v>1</v>
      </c>
      <c r="AG2609" s="4">
        <v>5</v>
      </c>
      <c r="AH2609" s="4">
        <v>2</v>
      </c>
      <c r="AI2609" s="4">
        <v>109</v>
      </c>
      <c r="AJ2609" s="4">
        <v>5</v>
      </c>
      <c r="AK2609" s="4">
        <v>23</v>
      </c>
      <c r="AL2609" s="4">
        <v>0</v>
      </c>
      <c r="AM2609" s="4">
        <v>60</v>
      </c>
      <c r="AN2609" s="4">
        <v>0</v>
      </c>
      <c r="AO2609" s="4">
        <v>5</v>
      </c>
      <c r="AP2609" s="4">
        <v>6</v>
      </c>
      <c r="AQ2609" s="4">
        <v>29</v>
      </c>
      <c r="AR2609" s="3" t="s">
        <v>62</v>
      </c>
      <c r="AS2609" s="3" t="s">
        <v>62</v>
      </c>
      <c r="AT2609" s="3" t="s">
        <v>62</v>
      </c>
      <c r="AV2609" s="6" t="str">
        <f>HYPERLINK("http://mcgill.on.worldcat.org/oclc/243432088","Catalog Record")</f>
        <v>Catalog Record</v>
      </c>
      <c r="AW2609" s="6" t="str">
        <f>HYPERLINK("http://www.worldcat.org/oclc/243432088","WorldCat Record")</f>
        <v>WorldCat Record</v>
      </c>
      <c r="AX2609" s="3" t="s">
        <v>25209</v>
      </c>
      <c r="AY2609" s="3" t="s">
        <v>25210</v>
      </c>
      <c r="AZ2609" s="3" t="s">
        <v>25211</v>
      </c>
      <c r="BA2609" s="3" t="s">
        <v>25211</v>
      </c>
      <c r="BB2609" s="3" t="s">
        <v>25212</v>
      </c>
      <c r="BC2609" s="3" t="s">
        <v>102</v>
      </c>
      <c r="BD2609" s="3" t="s">
        <v>68</v>
      </c>
      <c r="BE2609" s="3" t="s">
        <v>25213</v>
      </c>
      <c r="BF2609" s="3" t="s">
        <v>25212</v>
      </c>
      <c r="BG2609" s="3" t="s">
        <v>25214</v>
      </c>
    </row>
    <row r="2610" spans="1:59" ht="58" x14ac:dyDescent="0.35">
      <c r="A2610" s="2" t="s">
        <v>89</v>
      </c>
      <c r="B2610" s="2" t="s">
        <v>90</v>
      </c>
      <c r="C2610" s="2" t="s">
        <v>25215</v>
      </c>
      <c r="D2610" s="2" t="s">
        <v>25216</v>
      </c>
      <c r="E2610" s="2" t="s">
        <v>25217</v>
      </c>
      <c r="G2610" s="3" t="s">
        <v>62</v>
      </c>
      <c r="I2610" s="3" t="s">
        <v>62</v>
      </c>
      <c r="J2610" s="3" t="s">
        <v>62</v>
      </c>
      <c r="K2610" s="3" t="s">
        <v>63</v>
      </c>
      <c r="L2610" s="2" t="s">
        <v>25218</v>
      </c>
      <c r="M2610" s="2" t="s">
        <v>20861</v>
      </c>
      <c r="N2610" s="3" t="s">
        <v>2445</v>
      </c>
      <c r="P2610" s="3" t="s">
        <v>64</v>
      </c>
      <c r="Q2610" s="2" t="s">
        <v>25219</v>
      </c>
      <c r="R2610" s="3" t="s">
        <v>13065</v>
      </c>
      <c r="S2610" s="4">
        <v>4</v>
      </c>
      <c r="T2610" s="4">
        <v>4</v>
      </c>
      <c r="U2610" s="5" t="s">
        <v>5098</v>
      </c>
      <c r="V2610" s="5" t="s">
        <v>5098</v>
      </c>
      <c r="W2610" s="5" t="s">
        <v>67</v>
      </c>
      <c r="X2610" s="5" t="s">
        <v>67</v>
      </c>
      <c r="Y2610" s="4">
        <v>357</v>
      </c>
      <c r="Z2610" s="4">
        <v>18</v>
      </c>
      <c r="AA2610" s="4">
        <v>27</v>
      </c>
      <c r="AB2610" s="4">
        <v>1</v>
      </c>
      <c r="AC2610" s="4">
        <v>7</v>
      </c>
      <c r="AD2610" s="4">
        <v>108</v>
      </c>
      <c r="AE2610" s="4">
        <v>115</v>
      </c>
      <c r="AF2610" s="4">
        <v>0</v>
      </c>
      <c r="AG2610" s="4">
        <v>3</v>
      </c>
      <c r="AH2610" s="4">
        <v>97</v>
      </c>
      <c r="AI2610" s="4">
        <v>101</v>
      </c>
      <c r="AJ2610" s="4">
        <v>10</v>
      </c>
      <c r="AK2610" s="4">
        <v>13</v>
      </c>
      <c r="AL2610" s="4">
        <v>58</v>
      </c>
      <c r="AM2610" s="4">
        <v>58</v>
      </c>
      <c r="AN2610" s="4">
        <v>0</v>
      </c>
      <c r="AO2610" s="4">
        <v>0</v>
      </c>
      <c r="AP2610" s="4">
        <v>15</v>
      </c>
      <c r="AQ2610" s="4">
        <v>18</v>
      </c>
      <c r="AR2610" s="3" t="s">
        <v>62</v>
      </c>
      <c r="AS2610" s="3" t="s">
        <v>62</v>
      </c>
      <c r="AT2610" s="3" t="s">
        <v>62</v>
      </c>
      <c r="AV2610" s="6" t="str">
        <f>HYPERLINK("http://mcgill.on.worldcat.org/oclc/529580","Catalog Record")</f>
        <v>Catalog Record</v>
      </c>
      <c r="AW2610" s="6" t="str">
        <f>HYPERLINK("http://www.worldcat.org/oclc/529580","WorldCat Record")</f>
        <v>WorldCat Record</v>
      </c>
      <c r="AX2610" s="3" t="s">
        <v>25220</v>
      </c>
      <c r="AY2610" s="3" t="s">
        <v>25221</v>
      </c>
      <c r="AZ2610" s="3" t="s">
        <v>25222</v>
      </c>
      <c r="BA2610" s="3" t="s">
        <v>25222</v>
      </c>
      <c r="BB2610" s="3" t="s">
        <v>25223</v>
      </c>
      <c r="BC2610" s="3" t="s">
        <v>102</v>
      </c>
      <c r="BD2610" s="3" t="s">
        <v>68</v>
      </c>
      <c r="BF2610" s="3" t="s">
        <v>25223</v>
      </c>
      <c r="BG2610" s="3" t="s">
        <v>25224</v>
      </c>
    </row>
    <row r="2611" spans="1:59" ht="58" x14ac:dyDescent="0.35">
      <c r="A2611" s="2" t="s">
        <v>89</v>
      </c>
      <c r="B2611" s="2" t="s">
        <v>90</v>
      </c>
      <c r="C2611" s="2" t="s">
        <v>25225</v>
      </c>
      <c r="D2611" s="2" t="s">
        <v>25226</v>
      </c>
      <c r="E2611" s="2" t="s">
        <v>25227</v>
      </c>
      <c r="G2611" s="3" t="s">
        <v>62</v>
      </c>
      <c r="I2611" s="3" t="s">
        <v>62</v>
      </c>
      <c r="J2611" s="3" t="s">
        <v>62</v>
      </c>
      <c r="K2611" s="3" t="s">
        <v>63</v>
      </c>
      <c r="L2611" s="2" t="s">
        <v>25228</v>
      </c>
      <c r="M2611" s="2" t="s">
        <v>25229</v>
      </c>
      <c r="N2611" s="3" t="s">
        <v>2445</v>
      </c>
      <c r="P2611" s="3" t="s">
        <v>64</v>
      </c>
      <c r="R2611" s="3" t="s">
        <v>13065</v>
      </c>
      <c r="S2611" s="4">
        <v>18</v>
      </c>
      <c r="T2611" s="4">
        <v>18</v>
      </c>
      <c r="U2611" s="5" t="s">
        <v>24161</v>
      </c>
      <c r="V2611" s="5" t="s">
        <v>24161</v>
      </c>
      <c r="W2611" s="5" t="s">
        <v>67</v>
      </c>
      <c r="X2611" s="5" t="s">
        <v>67</v>
      </c>
      <c r="Y2611" s="4">
        <v>349</v>
      </c>
      <c r="Z2611" s="4">
        <v>20</v>
      </c>
      <c r="AA2611" s="4">
        <v>20</v>
      </c>
      <c r="AB2611" s="4">
        <v>1</v>
      </c>
      <c r="AC2611" s="4">
        <v>1</v>
      </c>
      <c r="AD2611" s="4">
        <v>100</v>
      </c>
      <c r="AE2611" s="4">
        <v>101</v>
      </c>
      <c r="AF2611" s="4">
        <v>0</v>
      </c>
      <c r="AG2611" s="4">
        <v>0</v>
      </c>
      <c r="AH2611" s="4">
        <v>86</v>
      </c>
      <c r="AI2611" s="4">
        <v>87</v>
      </c>
      <c r="AJ2611" s="4">
        <v>10</v>
      </c>
      <c r="AK2611" s="4">
        <v>10</v>
      </c>
      <c r="AL2611" s="4">
        <v>51</v>
      </c>
      <c r="AM2611" s="4">
        <v>52</v>
      </c>
      <c r="AN2611" s="4">
        <v>0</v>
      </c>
      <c r="AO2611" s="4">
        <v>0</v>
      </c>
      <c r="AP2611" s="4">
        <v>15</v>
      </c>
      <c r="AQ2611" s="4">
        <v>15</v>
      </c>
      <c r="AR2611" s="3" t="s">
        <v>62</v>
      </c>
      <c r="AS2611" s="3" t="s">
        <v>62</v>
      </c>
      <c r="AT2611" s="3" t="s">
        <v>62</v>
      </c>
      <c r="AV2611" s="6" t="str">
        <f>HYPERLINK("http://mcgill.on.worldcat.org/oclc/11091112","Catalog Record")</f>
        <v>Catalog Record</v>
      </c>
      <c r="AW2611" s="6" t="str">
        <f>HYPERLINK("http://www.worldcat.org/oclc/11091112","WorldCat Record")</f>
        <v>WorldCat Record</v>
      </c>
      <c r="AX2611" s="3" t="s">
        <v>25230</v>
      </c>
      <c r="AY2611" s="3" t="s">
        <v>25231</v>
      </c>
      <c r="AZ2611" s="3" t="s">
        <v>25232</v>
      </c>
      <c r="BA2611" s="3" t="s">
        <v>25232</v>
      </c>
      <c r="BB2611" s="3" t="s">
        <v>25233</v>
      </c>
      <c r="BC2611" s="3" t="s">
        <v>102</v>
      </c>
      <c r="BD2611" s="3" t="s">
        <v>68</v>
      </c>
      <c r="BF2611" s="3" t="s">
        <v>25233</v>
      </c>
      <c r="BG2611" s="3" t="s">
        <v>25234</v>
      </c>
    </row>
    <row r="2612" spans="1:59" ht="58" x14ac:dyDescent="0.35">
      <c r="A2612" s="2" t="s">
        <v>89</v>
      </c>
      <c r="B2612" s="2" t="s">
        <v>90</v>
      </c>
      <c r="C2612" s="2" t="s">
        <v>25235</v>
      </c>
      <c r="D2612" s="2" t="s">
        <v>25236</v>
      </c>
      <c r="E2612" s="2" t="s">
        <v>25237</v>
      </c>
      <c r="G2612" s="3" t="s">
        <v>62</v>
      </c>
      <c r="I2612" s="3" t="s">
        <v>62</v>
      </c>
      <c r="J2612" s="3" t="s">
        <v>62</v>
      </c>
      <c r="K2612" s="3" t="s">
        <v>63</v>
      </c>
      <c r="L2612" s="2" t="s">
        <v>25238</v>
      </c>
      <c r="M2612" s="2" t="s">
        <v>25239</v>
      </c>
      <c r="N2612" s="3" t="s">
        <v>106</v>
      </c>
      <c r="P2612" s="3" t="s">
        <v>64</v>
      </c>
      <c r="Q2612" s="2" t="s">
        <v>25240</v>
      </c>
      <c r="R2612" s="3" t="s">
        <v>13065</v>
      </c>
      <c r="S2612" s="4">
        <v>4</v>
      </c>
      <c r="T2612" s="4">
        <v>4</v>
      </c>
      <c r="U2612" s="5" t="s">
        <v>24161</v>
      </c>
      <c r="V2612" s="5" t="s">
        <v>24161</v>
      </c>
      <c r="W2612" s="5" t="s">
        <v>67</v>
      </c>
      <c r="X2612" s="5" t="s">
        <v>67</v>
      </c>
      <c r="Y2612" s="4">
        <v>412</v>
      </c>
      <c r="Z2612" s="4">
        <v>17</v>
      </c>
      <c r="AA2612" s="4">
        <v>30</v>
      </c>
      <c r="AB2612" s="4">
        <v>1</v>
      </c>
      <c r="AC2612" s="4">
        <v>6</v>
      </c>
      <c r="AD2612" s="4">
        <v>107</v>
      </c>
      <c r="AE2612" s="4">
        <v>121</v>
      </c>
      <c r="AF2612" s="4">
        <v>0</v>
      </c>
      <c r="AG2612" s="4">
        <v>3</v>
      </c>
      <c r="AH2612" s="4">
        <v>95</v>
      </c>
      <c r="AI2612" s="4">
        <v>101</v>
      </c>
      <c r="AJ2612" s="4">
        <v>12</v>
      </c>
      <c r="AK2612" s="4">
        <v>22</v>
      </c>
      <c r="AL2612" s="4">
        <v>55</v>
      </c>
      <c r="AM2612" s="4">
        <v>58</v>
      </c>
      <c r="AN2612" s="4">
        <v>0</v>
      </c>
      <c r="AO2612" s="4">
        <v>0</v>
      </c>
      <c r="AP2612" s="4">
        <v>16</v>
      </c>
      <c r="AQ2612" s="4">
        <v>25</v>
      </c>
      <c r="AR2612" s="3" t="s">
        <v>62</v>
      </c>
      <c r="AS2612" s="3" t="s">
        <v>62</v>
      </c>
      <c r="AT2612" s="3" t="s">
        <v>61</v>
      </c>
      <c r="AU2612" s="6" t="str">
        <f>HYPERLINK("http://catalog.hathitrust.org/Record/000360858","HathiTrust Record")</f>
        <v>HathiTrust Record</v>
      </c>
      <c r="AV2612" s="6" t="str">
        <f>HYPERLINK("http://mcgill.on.worldcat.org/oclc/523134","Catalog Record")</f>
        <v>Catalog Record</v>
      </c>
      <c r="AW2612" s="6" t="str">
        <f>HYPERLINK("http://www.worldcat.org/oclc/523134","WorldCat Record")</f>
        <v>WorldCat Record</v>
      </c>
      <c r="AX2612" s="3" t="s">
        <v>25241</v>
      </c>
      <c r="AY2612" s="3" t="s">
        <v>25242</v>
      </c>
      <c r="AZ2612" s="3" t="s">
        <v>25243</v>
      </c>
      <c r="BA2612" s="3" t="s">
        <v>25243</v>
      </c>
      <c r="BB2612" s="3" t="s">
        <v>25244</v>
      </c>
      <c r="BC2612" s="3" t="s">
        <v>102</v>
      </c>
      <c r="BD2612" s="3" t="s">
        <v>68</v>
      </c>
      <c r="BF2612" s="3" t="s">
        <v>25244</v>
      </c>
      <c r="BG2612" s="3" t="s">
        <v>25245</v>
      </c>
    </row>
    <row r="2613" spans="1:59" ht="58" x14ac:dyDescent="0.35">
      <c r="A2613" s="2" t="s">
        <v>89</v>
      </c>
      <c r="B2613" s="2" t="s">
        <v>90</v>
      </c>
      <c r="C2613" s="2" t="s">
        <v>25246</v>
      </c>
      <c r="D2613" s="2" t="s">
        <v>25247</v>
      </c>
      <c r="E2613" s="2" t="s">
        <v>25248</v>
      </c>
      <c r="G2613" s="3" t="s">
        <v>62</v>
      </c>
      <c r="I2613" s="3" t="s">
        <v>62</v>
      </c>
      <c r="J2613" s="3" t="s">
        <v>62</v>
      </c>
      <c r="K2613" s="3" t="s">
        <v>63</v>
      </c>
      <c r="L2613" s="2" t="s">
        <v>25249</v>
      </c>
      <c r="M2613" s="2" t="s">
        <v>25250</v>
      </c>
      <c r="N2613" s="3" t="s">
        <v>2924</v>
      </c>
      <c r="P2613" s="3" t="s">
        <v>64</v>
      </c>
      <c r="Q2613" s="2" t="s">
        <v>25251</v>
      </c>
      <c r="R2613" s="3" t="s">
        <v>13065</v>
      </c>
      <c r="S2613" s="4">
        <v>6</v>
      </c>
      <c r="T2613" s="4">
        <v>6</v>
      </c>
      <c r="U2613" s="5" t="s">
        <v>6691</v>
      </c>
      <c r="V2613" s="5" t="s">
        <v>6691</v>
      </c>
      <c r="W2613" s="5" t="s">
        <v>67</v>
      </c>
      <c r="X2613" s="5" t="s">
        <v>67</v>
      </c>
      <c r="Y2613" s="4">
        <v>384</v>
      </c>
      <c r="Z2613" s="4">
        <v>25</v>
      </c>
      <c r="AA2613" s="4">
        <v>32</v>
      </c>
      <c r="AB2613" s="4">
        <v>2</v>
      </c>
      <c r="AC2613" s="4">
        <v>8</v>
      </c>
      <c r="AD2613" s="4">
        <v>118</v>
      </c>
      <c r="AE2613" s="4">
        <v>122</v>
      </c>
      <c r="AF2613" s="4">
        <v>1</v>
      </c>
      <c r="AG2613" s="4">
        <v>4</v>
      </c>
      <c r="AH2613" s="4">
        <v>103</v>
      </c>
      <c r="AI2613" s="4">
        <v>105</v>
      </c>
      <c r="AJ2613" s="4">
        <v>18</v>
      </c>
      <c r="AK2613" s="4">
        <v>21</v>
      </c>
      <c r="AL2613" s="4">
        <v>57</v>
      </c>
      <c r="AM2613" s="4">
        <v>57</v>
      </c>
      <c r="AN2613" s="4">
        <v>0</v>
      </c>
      <c r="AO2613" s="4">
        <v>0</v>
      </c>
      <c r="AP2613" s="4">
        <v>22</v>
      </c>
      <c r="AQ2613" s="4">
        <v>24</v>
      </c>
      <c r="AR2613" s="3" t="s">
        <v>62</v>
      </c>
      <c r="AS2613" s="3" t="s">
        <v>62</v>
      </c>
      <c r="AT2613" s="3" t="s">
        <v>61</v>
      </c>
      <c r="AU2613" s="6" t="str">
        <f>HYPERLINK("http://catalog.hathitrust.org/Record/000355551","HathiTrust Record")</f>
        <v>HathiTrust Record</v>
      </c>
      <c r="AV2613" s="6" t="str">
        <f>HYPERLINK("http://mcgill.on.worldcat.org/oclc/529768","Catalog Record")</f>
        <v>Catalog Record</v>
      </c>
      <c r="AW2613" s="6" t="str">
        <f>HYPERLINK("http://www.worldcat.org/oclc/529768","WorldCat Record")</f>
        <v>WorldCat Record</v>
      </c>
      <c r="AX2613" s="3" t="s">
        <v>25252</v>
      </c>
      <c r="AY2613" s="3" t="s">
        <v>25253</v>
      </c>
      <c r="AZ2613" s="3" t="s">
        <v>25254</v>
      </c>
      <c r="BA2613" s="3" t="s">
        <v>25254</v>
      </c>
      <c r="BB2613" s="3" t="s">
        <v>25255</v>
      </c>
      <c r="BC2613" s="3" t="s">
        <v>102</v>
      </c>
      <c r="BD2613" s="3" t="s">
        <v>68</v>
      </c>
      <c r="BE2613" s="3" t="s">
        <v>25256</v>
      </c>
      <c r="BF2613" s="3" t="s">
        <v>25255</v>
      </c>
      <c r="BG2613" s="3" t="s">
        <v>25257</v>
      </c>
    </row>
    <row r="2614" spans="1:59" ht="58" x14ac:dyDescent="0.35">
      <c r="A2614" s="2" t="s">
        <v>89</v>
      </c>
      <c r="B2614" s="2" t="s">
        <v>90</v>
      </c>
      <c r="C2614" s="2" t="s">
        <v>25258</v>
      </c>
      <c r="D2614" s="2" t="s">
        <v>25259</v>
      </c>
      <c r="E2614" s="2" t="s">
        <v>25260</v>
      </c>
      <c r="G2614" s="3" t="s">
        <v>62</v>
      </c>
      <c r="I2614" s="3" t="s">
        <v>62</v>
      </c>
      <c r="J2614" s="3" t="s">
        <v>62</v>
      </c>
      <c r="K2614" s="3" t="s">
        <v>63</v>
      </c>
      <c r="L2614" s="2" t="s">
        <v>14089</v>
      </c>
      <c r="M2614" s="2" t="s">
        <v>25261</v>
      </c>
      <c r="N2614" s="3" t="s">
        <v>919</v>
      </c>
      <c r="P2614" s="3" t="s">
        <v>64</v>
      </c>
      <c r="Q2614" s="2" t="s">
        <v>25262</v>
      </c>
      <c r="R2614" s="3" t="s">
        <v>13065</v>
      </c>
      <c r="S2614" s="4">
        <v>4</v>
      </c>
      <c r="T2614" s="4">
        <v>4</v>
      </c>
      <c r="U2614" s="5" t="s">
        <v>24161</v>
      </c>
      <c r="V2614" s="5" t="s">
        <v>24161</v>
      </c>
      <c r="W2614" s="5" t="s">
        <v>67</v>
      </c>
      <c r="X2614" s="5" t="s">
        <v>67</v>
      </c>
      <c r="Y2614" s="4">
        <v>364</v>
      </c>
      <c r="Z2614" s="4">
        <v>15</v>
      </c>
      <c r="AA2614" s="4">
        <v>35</v>
      </c>
      <c r="AB2614" s="4">
        <v>1</v>
      </c>
      <c r="AC2614" s="4">
        <v>7</v>
      </c>
      <c r="AD2614" s="4">
        <v>98</v>
      </c>
      <c r="AE2614" s="4">
        <v>126</v>
      </c>
      <c r="AF2614" s="4">
        <v>0</v>
      </c>
      <c r="AG2614" s="4">
        <v>4</v>
      </c>
      <c r="AH2614" s="4">
        <v>89</v>
      </c>
      <c r="AI2614" s="4">
        <v>104</v>
      </c>
      <c r="AJ2614" s="4">
        <v>10</v>
      </c>
      <c r="AK2614" s="4">
        <v>23</v>
      </c>
      <c r="AL2614" s="4">
        <v>53</v>
      </c>
      <c r="AM2614" s="4">
        <v>58</v>
      </c>
      <c r="AN2614" s="4">
        <v>0</v>
      </c>
      <c r="AO2614" s="4">
        <v>0</v>
      </c>
      <c r="AP2614" s="4">
        <v>14</v>
      </c>
      <c r="AQ2614" s="4">
        <v>30</v>
      </c>
      <c r="AR2614" s="3" t="s">
        <v>62</v>
      </c>
      <c r="AS2614" s="3" t="s">
        <v>62</v>
      </c>
      <c r="AT2614" s="3" t="s">
        <v>62</v>
      </c>
      <c r="AV2614" s="6" t="str">
        <f>HYPERLINK("http://mcgill.on.worldcat.org/oclc/816842","Catalog Record")</f>
        <v>Catalog Record</v>
      </c>
      <c r="AW2614" s="6" t="str">
        <f>HYPERLINK("http://www.worldcat.org/oclc/816842","WorldCat Record")</f>
        <v>WorldCat Record</v>
      </c>
      <c r="AX2614" s="3" t="s">
        <v>25263</v>
      </c>
      <c r="AY2614" s="3" t="s">
        <v>25264</v>
      </c>
      <c r="AZ2614" s="3" t="s">
        <v>25265</v>
      </c>
      <c r="BA2614" s="3" t="s">
        <v>25265</v>
      </c>
      <c r="BB2614" s="3" t="s">
        <v>25266</v>
      </c>
      <c r="BC2614" s="3" t="s">
        <v>102</v>
      </c>
      <c r="BD2614" s="3" t="s">
        <v>68</v>
      </c>
      <c r="BF2614" s="3" t="s">
        <v>25266</v>
      </c>
      <c r="BG2614" s="3" t="s">
        <v>25267</v>
      </c>
    </row>
    <row r="2615" spans="1:59" ht="58" x14ac:dyDescent="0.35">
      <c r="A2615" s="2" t="s">
        <v>89</v>
      </c>
      <c r="B2615" s="2" t="s">
        <v>90</v>
      </c>
      <c r="C2615" s="2" t="s">
        <v>25268</v>
      </c>
      <c r="D2615" s="2" t="s">
        <v>25269</v>
      </c>
      <c r="E2615" s="2" t="s">
        <v>25270</v>
      </c>
      <c r="G2615" s="3" t="s">
        <v>62</v>
      </c>
      <c r="I2615" s="3" t="s">
        <v>62</v>
      </c>
      <c r="J2615" s="3" t="s">
        <v>62</v>
      </c>
      <c r="K2615" s="3" t="s">
        <v>63</v>
      </c>
      <c r="L2615" s="2" t="s">
        <v>25271</v>
      </c>
      <c r="M2615" s="2" t="s">
        <v>25272</v>
      </c>
      <c r="N2615" s="3" t="s">
        <v>106</v>
      </c>
      <c r="P2615" s="3" t="s">
        <v>64</v>
      </c>
      <c r="Q2615" s="2" t="s">
        <v>25273</v>
      </c>
      <c r="R2615" s="3" t="s">
        <v>13065</v>
      </c>
      <c r="S2615" s="4">
        <v>12</v>
      </c>
      <c r="T2615" s="4">
        <v>12</v>
      </c>
      <c r="U2615" s="5" t="s">
        <v>24161</v>
      </c>
      <c r="V2615" s="5" t="s">
        <v>24161</v>
      </c>
      <c r="W2615" s="5" t="s">
        <v>67</v>
      </c>
      <c r="X2615" s="5" t="s">
        <v>67</v>
      </c>
      <c r="Y2615" s="4">
        <v>10</v>
      </c>
      <c r="Z2615" s="4">
        <v>5</v>
      </c>
      <c r="AA2615" s="4">
        <v>28</v>
      </c>
      <c r="AB2615" s="4">
        <v>1</v>
      </c>
      <c r="AC2615" s="4">
        <v>6</v>
      </c>
      <c r="AD2615" s="4">
        <v>4</v>
      </c>
      <c r="AE2615" s="4">
        <v>124</v>
      </c>
      <c r="AF2615" s="4">
        <v>0</v>
      </c>
      <c r="AG2615" s="4">
        <v>4</v>
      </c>
      <c r="AH2615" s="4">
        <v>1</v>
      </c>
      <c r="AI2615" s="4">
        <v>105</v>
      </c>
      <c r="AJ2615" s="4">
        <v>3</v>
      </c>
      <c r="AK2615" s="4">
        <v>21</v>
      </c>
      <c r="AL2615" s="4">
        <v>0</v>
      </c>
      <c r="AM2615" s="4">
        <v>58</v>
      </c>
      <c r="AN2615" s="4">
        <v>0</v>
      </c>
      <c r="AO2615" s="4">
        <v>0</v>
      </c>
      <c r="AP2615" s="4">
        <v>4</v>
      </c>
      <c r="AQ2615" s="4">
        <v>24</v>
      </c>
      <c r="AR2615" s="3" t="s">
        <v>62</v>
      </c>
      <c r="AS2615" s="3" t="s">
        <v>62</v>
      </c>
      <c r="AT2615" s="3" t="s">
        <v>62</v>
      </c>
      <c r="AV2615" s="6" t="str">
        <f>HYPERLINK("http://mcgill.on.worldcat.org/oclc/427503943","Catalog Record")</f>
        <v>Catalog Record</v>
      </c>
      <c r="AW2615" s="6" t="str">
        <f>HYPERLINK("http://www.worldcat.org/oclc/427503943","WorldCat Record")</f>
        <v>WorldCat Record</v>
      </c>
      <c r="AX2615" s="3" t="s">
        <v>25274</v>
      </c>
      <c r="AY2615" s="3" t="s">
        <v>25275</v>
      </c>
      <c r="AZ2615" s="3" t="s">
        <v>25276</v>
      </c>
      <c r="BA2615" s="3" t="s">
        <v>25276</v>
      </c>
      <c r="BB2615" s="3" t="s">
        <v>25277</v>
      </c>
      <c r="BC2615" s="3" t="s">
        <v>102</v>
      </c>
      <c r="BD2615" s="3" t="s">
        <v>68</v>
      </c>
      <c r="BF2615" s="3" t="s">
        <v>25277</v>
      </c>
      <c r="BG2615" s="3" t="s">
        <v>25278</v>
      </c>
    </row>
    <row r="2616" spans="1:59" ht="58" x14ac:dyDescent="0.35">
      <c r="A2616" s="2" t="s">
        <v>89</v>
      </c>
      <c r="B2616" s="2" t="s">
        <v>90</v>
      </c>
      <c r="C2616" s="2" t="s">
        <v>25279</v>
      </c>
      <c r="D2616" s="2" t="s">
        <v>25280</v>
      </c>
      <c r="E2616" s="2" t="s">
        <v>25281</v>
      </c>
      <c r="G2616" s="3" t="s">
        <v>62</v>
      </c>
      <c r="I2616" s="3" t="s">
        <v>61</v>
      </c>
      <c r="J2616" s="3" t="s">
        <v>62</v>
      </c>
      <c r="K2616" s="3" t="s">
        <v>63</v>
      </c>
      <c r="L2616" s="2" t="s">
        <v>25282</v>
      </c>
      <c r="M2616" s="2" t="s">
        <v>14135</v>
      </c>
      <c r="N2616" s="3" t="s">
        <v>2975</v>
      </c>
      <c r="P2616" s="3" t="s">
        <v>64</v>
      </c>
      <c r="R2616" s="3" t="s">
        <v>13065</v>
      </c>
      <c r="S2616" s="4">
        <v>1</v>
      </c>
      <c r="T2616" s="4">
        <v>12</v>
      </c>
      <c r="U2616" s="5" t="s">
        <v>25283</v>
      </c>
      <c r="V2616" s="5" t="s">
        <v>5597</v>
      </c>
      <c r="W2616" s="5" t="s">
        <v>67</v>
      </c>
      <c r="X2616" s="5" t="s">
        <v>67</v>
      </c>
      <c r="Y2616" s="4">
        <v>213</v>
      </c>
      <c r="Z2616" s="4">
        <v>18</v>
      </c>
      <c r="AA2616" s="4">
        <v>106</v>
      </c>
      <c r="AB2616" s="4">
        <v>2</v>
      </c>
      <c r="AC2616" s="4">
        <v>18</v>
      </c>
      <c r="AD2616" s="4">
        <v>68</v>
      </c>
      <c r="AE2616" s="4">
        <v>129</v>
      </c>
      <c r="AF2616" s="4">
        <v>0</v>
      </c>
      <c r="AG2616" s="4">
        <v>8</v>
      </c>
      <c r="AH2616" s="4">
        <v>61</v>
      </c>
      <c r="AI2616" s="4">
        <v>91</v>
      </c>
      <c r="AJ2616" s="4">
        <v>11</v>
      </c>
      <c r="AK2616" s="4">
        <v>24</v>
      </c>
      <c r="AL2616" s="4">
        <v>36</v>
      </c>
      <c r="AM2616" s="4">
        <v>48</v>
      </c>
      <c r="AN2616" s="4">
        <v>0</v>
      </c>
      <c r="AO2616" s="4">
        <v>0</v>
      </c>
      <c r="AP2616" s="4">
        <v>14</v>
      </c>
      <c r="AQ2616" s="4">
        <v>46</v>
      </c>
      <c r="AR2616" s="3" t="s">
        <v>62</v>
      </c>
      <c r="AS2616" s="3" t="s">
        <v>62</v>
      </c>
      <c r="AT2616" s="3" t="s">
        <v>62</v>
      </c>
      <c r="AV2616" s="6" t="str">
        <f>HYPERLINK("http://mcgill.on.worldcat.org/oclc/59514928","Catalog Record")</f>
        <v>Catalog Record</v>
      </c>
      <c r="AW2616" s="6" t="str">
        <f>HYPERLINK("http://www.worldcat.org/oclc/59514928","WorldCat Record")</f>
        <v>WorldCat Record</v>
      </c>
      <c r="AX2616" s="3" t="s">
        <v>25284</v>
      </c>
      <c r="AY2616" s="3" t="s">
        <v>25285</v>
      </c>
      <c r="AZ2616" s="3" t="s">
        <v>25286</v>
      </c>
      <c r="BA2616" s="3" t="s">
        <v>25286</v>
      </c>
      <c r="BB2616" s="3" t="s">
        <v>25287</v>
      </c>
      <c r="BC2616" s="3" t="s">
        <v>102</v>
      </c>
      <c r="BD2616" s="3" t="s">
        <v>68</v>
      </c>
      <c r="BE2616" s="3" t="s">
        <v>25288</v>
      </c>
      <c r="BF2616" s="3" t="s">
        <v>25287</v>
      </c>
      <c r="BG2616" s="3" t="s">
        <v>25289</v>
      </c>
    </row>
    <row r="2617" spans="1:59" ht="58" x14ac:dyDescent="0.35">
      <c r="A2617" s="2" t="s">
        <v>89</v>
      </c>
      <c r="B2617" s="2" t="s">
        <v>90</v>
      </c>
      <c r="C2617" s="2" t="s">
        <v>25290</v>
      </c>
      <c r="D2617" s="2" t="s">
        <v>25291</v>
      </c>
      <c r="E2617" s="2" t="s">
        <v>25292</v>
      </c>
      <c r="G2617" s="3" t="s">
        <v>62</v>
      </c>
      <c r="I2617" s="3" t="s">
        <v>62</v>
      </c>
      <c r="J2617" s="3" t="s">
        <v>62</v>
      </c>
      <c r="K2617" s="3" t="s">
        <v>63</v>
      </c>
      <c r="L2617" s="2" t="s">
        <v>25293</v>
      </c>
      <c r="M2617" s="2" t="s">
        <v>25294</v>
      </c>
      <c r="N2617" s="3" t="s">
        <v>2679</v>
      </c>
      <c r="P2617" s="3" t="s">
        <v>64</v>
      </c>
      <c r="R2617" s="3" t="s">
        <v>13065</v>
      </c>
      <c r="S2617" s="4">
        <v>18</v>
      </c>
      <c r="T2617" s="4">
        <v>18</v>
      </c>
      <c r="U2617" s="5" t="s">
        <v>19189</v>
      </c>
      <c r="V2617" s="5" t="s">
        <v>19189</v>
      </c>
      <c r="W2617" s="5" t="s">
        <v>67</v>
      </c>
      <c r="X2617" s="5" t="s">
        <v>67</v>
      </c>
      <c r="Y2617" s="4">
        <v>263</v>
      </c>
      <c r="Z2617" s="4">
        <v>10</v>
      </c>
      <c r="AA2617" s="4">
        <v>87</v>
      </c>
      <c r="AB2617" s="4">
        <v>1</v>
      </c>
      <c r="AC2617" s="4">
        <v>15</v>
      </c>
      <c r="AD2617" s="4">
        <v>77</v>
      </c>
      <c r="AE2617" s="4">
        <v>153</v>
      </c>
      <c r="AF2617" s="4">
        <v>0</v>
      </c>
      <c r="AG2617" s="4">
        <v>8</v>
      </c>
      <c r="AH2617" s="4">
        <v>73</v>
      </c>
      <c r="AI2617" s="4">
        <v>114</v>
      </c>
      <c r="AJ2617" s="4">
        <v>5</v>
      </c>
      <c r="AK2617" s="4">
        <v>24</v>
      </c>
      <c r="AL2617" s="4">
        <v>46</v>
      </c>
      <c r="AM2617" s="4">
        <v>60</v>
      </c>
      <c r="AN2617" s="4">
        <v>0</v>
      </c>
      <c r="AO2617" s="4">
        <v>3</v>
      </c>
      <c r="AP2617" s="4">
        <v>7</v>
      </c>
      <c r="AQ2617" s="4">
        <v>48</v>
      </c>
      <c r="AR2617" s="3" t="s">
        <v>62</v>
      </c>
      <c r="AS2617" s="3" t="s">
        <v>62</v>
      </c>
      <c r="AT2617" s="3" t="s">
        <v>62</v>
      </c>
      <c r="AU2617" s="6" t="str">
        <f>HYPERLINK("http://catalog.hathitrust.org/Record/000385683","HathiTrust Record")</f>
        <v>HathiTrust Record</v>
      </c>
      <c r="AV2617" s="6" t="str">
        <f>HYPERLINK("http://mcgill.on.worldcat.org/oclc/2140832","Catalog Record")</f>
        <v>Catalog Record</v>
      </c>
      <c r="AW2617" s="6" t="str">
        <f>HYPERLINK("http://www.worldcat.org/oclc/2140832","WorldCat Record")</f>
        <v>WorldCat Record</v>
      </c>
      <c r="AX2617" s="3" t="s">
        <v>25295</v>
      </c>
      <c r="AY2617" s="3" t="s">
        <v>25296</v>
      </c>
      <c r="AZ2617" s="3" t="s">
        <v>25297</v>
      </c>
      <c r="BA2617" s="3" t="s">
        <v>25297</v>
      </c>
      <c r="BB2617" s="3" t="s">
        <v>25298</v>
      </c>
      <c r="BC2617" s="3" t="s">
        <v>102</v>
      </c>
      <c r="BD2617" s="3" t="s">
        <v>68</v>
      </c>
      <c r="BF2617" s="3" t="s">
        <v>25298</v>
      </c>
      <c r="BG2617" s="3" t="s">
        <v>25299</v>
      </c>
    </row>
    <row r="2618" spans="1:59" ht="72.5" x14ac:dyDescent="0.35">
      <c r="A2618" s="2" t="s">
        <v>89</v>
      </c>
      <c r="B2618" s="2" t="s">
        <v>90</v>
      </c>
      <c r="C2618" s="2" t="s">
        <v>25300</v>
      </c>
      <c r="D2618" s="2" t="s">
        <v>25301</v>
      </c>
      <c r="E2618" s="2" t="s">
        <v>25302</v>
      </c>
      <c r="G2618" s="3" t="s">
        <v>62</v>
      </c>
      <c r="I2618" s="3" t="s">
        <v>62</v>
      </c>
      <c r="J2618" s="3" t="s">
        <v>62</v>
      </c>
      <c r="K2618" s="3" t="s">
        <v>63</v>
      </c>
      <c r="L2618" s="2" t="s">
        <v>25303</v>
      </c>
      <c r="M2618" s="2" t="s">
        <v>25304</v>
      </c>
      <c r="N2618" s="3" t="s">
        <v>239</v>
      </c>
      <c r="P2618" s="3" t="s">
        <v>1881</v>
      </c>
      <c r="R2618" s="3" t="s">
        <v>13065</v>
      </c>
      <c r="S2618" s="4">
        <v>2</v>
      </c>
      <c r="T2618" s="4">
        <v>2</v>
      </c>
      <c r="U2618" s="5" t="s">
        <v>24161</v>
      </c>
      <c r="V2618" s="5" t="s">
        <v>24161</v>
      </c>
      <c r="W2618" s="5" t="s">
        <v>67</v>
      </c>
      <c r="X2618" s="5" t="s">
        <v>67</v>
      </c>
      <c r="Y2618" s="4">
        <v>144</v>
      </c>
      <c r="Z2618" s="4">
        <v>2</v>
      </c>
      <c r="AA2618" s="4">
        <v>5</v>
      </c>
      <c r="AB2618" s="4">
        <v>1</v>
      </c>
      <c r="AC2618" s="4">
        <v>2</v>
      </c>
      <c r="AD2618" s="4">
        <v>65</v>
      </c>
      <c r="AE2618" s="4">
        <v>67</v>
      </c>
      <c r="AF2618" s="4">
        <v>0</v>
      </c>
      <c r="AG2618" s="4">
        <v>1</v>
      </c>
      <c r="AH2618" s="4">
        <v>60</v>
      </c>
      <c r="AI2618" s="4">
        <v>61</v>
      </c>
      <c r="AJ2618" s="4">
        <v>1</v>
      </c>
      <c r="AK2618" s="4">
        <v>3</v>
      </c>
      <c r="AL2618" s="4">
        <v>44</v>
      </c>
      <c r="AM2618" s="4">
        <v>45</v>
      </c>
      <c r="AN2618" s="4">
        <v>0</v>
      </c>
      <c r="AO2618" s="4">
        <v>0</v>
      </c>
      <c r="AP2618" s="4">
        <v>1</v>
      </c>
      <c r="AQ2618" s="4">
        <v>2</v>
      </c>
      <c r="AR2618" s="3" t="s">
        <v>62</v>
      </c>
      <c r="AS2618" s="3" t="s">
        <v>62</v>
      </c>
      <c r="AT2618" s="3" t="s">
        <v>61</v>
      </c>
      <c r="AU2618" s="6" t="str">
        <f>HYPERLINK("http://catalog.hathitrust.org/Record/000355795","HathiTrust Record")</f>
        <v>HathiTrust Record</v>
      </c>
      <c r="AV2618" s="6" t="str">
        <f>HYPERLINK("http://mcgill.on.worldcat.org/oclc/1225733","Catalog Record")</f>
        <v>Catalog Record</v>
      </c>
      <c r="AW2618" s="6" t="str">
        <f>HYPERLINK("http://www.worldcat.org/oclc/1225733","WorldCat Record")</f>
        <v>WorldCat Record</v>
      </c>
      <c r="AX2618" s="3" t="s">
        <v>25305</v>
      </c>
      <c r="AY2618" s="3" t="s">
        <v>25306</v>
      </c>
      <c r="AZ2618" s="3" t="s">
        <v>25307</v>
      </c>
      <c r="BA2618" s="3" t="s">
        <v>25307</v>
      </c>
      <c r="BB2618" s="3" t="s">
        <v>25308</v>
      </c>
      <c r="BC2618" s="3" t="s">
        <v>102</v>
      </c>
      <c r="BD2618" s="3" t="s">
        <v>68</v>
      </c>
      <c r="BF2618" s="3" t="s">
        <v>25308</v>
      </c>
      <c r="BG2618" s="3" t="s">
        <v>25309</v>
      </c>
    </row>
    <row r="2619" spans="1:59" ht="58" x14ac:dyDescent="0.35">
      <c r="A2619" s="2" t="s">
        <v>89</v>
      </c>
      <c r="B2619" s="2" t="s">
        <v>90</v>
      </c>
      <c r="C2619" s="2" t="s">
        <v>25310</v>
      </c>
      <c r="D2619" s="2" t="s">
        <v>25311</v>
      </c>
      <c r="E2619" s="2" t="s">
        <v>25312</v>
      </c>
      <c r="G2619" s="3" t="s">
        <v>62</v>
      </c>
      <c r="I2619" s="3" t="s">
        <v>62</v>
      </c>
      <c r="J2619" s="3" t="s">
        <v>62</v>
      </c>
      <c r="K2619" s="3" t="s">
        <v>63</v>
      </c>
      <c r="L2619" s="2" t="s">
        <v>25313</v>
      </c>
      <c r="M2619" s="2" t="s">
        <v>25314</v>
      </c>
      <c r="N2619" s="3" t="s">
        <v>755</v>
      </c>
      <c r="P2619" s="3" t="s">
        <v>64</v>
      </c>
      <c r="Q2619" s="2" t="s">
        <v>25315</v>
      </c>
      <c r="R2619" s="3" t="s">
        <v>13065</v>
      </c>
      <c r="S2619" s="4">
        <v>2</v>
      </c>
      <c r="T2619" s="4">
        <v>2</v>
      </c>
      <c r="U2619" s="5" t="s">
        <v>17064</v>
      </c>
      <c r="V2619" s="5" t="s">
        <v>17064</v>
      </c>
      <c r="W2619" s="5" t="s">
        <v>67</v>
      </c>
      <c r="X2619" s="5" t="s">
        <v>67</v>
      </c>
      <c r="Y2619" s="4">
        <v>287</v>
      </c>
      <c r="Z2619" s="4">
        <v>12</v>
      </c>
      <c r="AA2619" s="4">
        <v>27</v>
      </c>
      <c r="AB2619" s="4">
        <v>1</v>
      </c>
      <c r="AC2619" s="4">
        <v>7</v>
      </c>
      <c r="AD2619" s="4">
        <v>96</v>
      </c>
      <c r="AE2619" s="4">
        <v>115</v>
      </c>
      <c r="AF2619" s="4">
        <v>0</v>
      </c>
      <c r="AG2619" s="4">
        <v>4</v>
      </c>
      <c r="AH2619" s="4">
        <v>88</v>
      </c>
      <c r="AI2619" s="4">
        <v>100</v>
      </c>
      <c r="AJ2619" s="4">
        <v>8</v>
      </c>
      <c r="AK2619" s="4">
        <v>18</v>
      </c>
      <c r="AL2619" s="4">
        <v>58</v>
      </c>
      <c r="AM2619" s="4">
        <v>61</v>
      </c>
      <c r="AN2619" s="4">
        <v>0</v>
      </c>
      <c r="AO2619" s="4">
        <v>0</v>
      </c>
      <c r="AP2619" s="4">
        <v>9</v>
      </c>
      <c r="AQ2619" s="4">
        <v>19</v>
      </c>
      <c r="AR2619" s="3" t="s">
        <v>62</v>
      </c>
      <c r="AS2619" s="3" t="s">
        <v>62</v>
      </c>
      <c r="AT2619" s="3" t="s">
        <v>62</v>
      </c>
      <c r="AV2619" s="6" t="str">
        <f>HYPERLINK("http://mcgill.on.worldcat.org/oclc/1439332","Catalog Record")</f>
        <v>Catalog Record</v>
      </c>
      <c r="AW2619" s="6" t="str">
        <f>HYPERLINK("http://www.worldcat.org/oclc/1439332","WorldCat Record")</f>
        <v>WorldCat Record</v>
      </c>
      <c r="AX2619" s="3" t="s">
        <v>25316</v>
      </c>
      <c r="AY2619" s="3" t="s">
        <v>25317</v>
      </c>
      <c r="AZ2619" s="3" t="s">
        <v>25318</v>
      </c>
      <c r="BA2619" s="3" t="s">
        <v>25318</v>
      </c>
      <c r="BB2619" s="3" t="s">
        <v>25319</v>
      </c>
      <c r="BC2619" s="3" t="s">
        <v>102</v>
      </c>
      <c r="BD2619" s="3" t="s">
        <v>68</v>
      </c>
      <c r="BF2619" s="3" t="s">
        <v>25319</v>
      </c>
      <c r="BG2619" s="3" t="s">
        <v>25320</v>
      </c>
    </row>
    <row r="2620" spans="1:59" ht="87" x14ac:dyDescent="0.35">
      <c r="A2620" s="2" t="s">
        <v>89</v>
      </c>
      <c r="B2620" s="2" t="s">
        <v>90</v>
      </c>
      <c r="C2620" s="2" t="s">
        <v>25321</v>
      </c>
      <c r="D2620" s="2" t="s">
        <v>25322</v>
      </c>
      <c r="E2620" s="2" t="s">
        <v>25323</v>
      </c>
      <c r="G2620" s="3" t="s">
        <v>62</v>
      </c>
      <c r="I2620" s="3" t="s">
        <v>62</v>
      </c>
      <c r="J2620" s="3" t="s">
        <v>62</v>
      </c>
      <c r="K2620" s="3" t="s">
        <v>63</v>
      </c>
      <c r="L2620" s="2" t="s">
        <v>25324</v>
      </c>
      <c r="M2620" s="2" t="s">
        <v>25325</v>
      </c>
      <c r="N2620" s="3" t="s">
        <v>1291</v>
      </c>
      <c r="P2620" s="3" t="s">
        <v>64</v>
      </c>
      <c r="Q2620" s="2" t="s">
        <v>7944</v>
      </c>
      <c r="R2620" s="3" t="s">
        <v>13065</v>
      </c>
      <c r="S2620" s="4">
        <v>10</v>
      </c>
      <c r="T2620" s="4">
        <v>10</v>
      </c>
      <c r="U2620" s="5" t="s">
        <v>7127</v>
      </c>
      <c r="V2620" s="5" t="s">
        <v>7127</v>
      </c>
      <c r="W2620" s="5" t="s">
        <v>67</v>
      </c>
      <c r="X2620" s="5" t="s">
        <v>67</v>
      </c>
      <c r="Y2620" s="4">
        <v>356</v>
      </c>
      <c r="Z2620" s="4">
        <v>18</v>
      </c>
      <c r="AA2620" s="4">
        <v>24</v>
      </c>
      <c r="AB2620" s="4">
        <v>2</v>
      </c>
      <c r="AC2620" s="4">
        <v>4</v>
      </c>
      <c r="AD2620" s="4">
        <v>99</v>
      </c>
      <c r="AE2620" s="4">
        <v>105</v>
      </c>
      <c r="AF2620" s="4">
        <v>1</v>
      </c>
      <c r="AG2620" s="4">
        <v>3</v>
      </c>
      <c r="AH2620" s="4">
        <v>87</v>
      </c>
      <c r="AI2620" s="4">
        <v>92</v>
      </c>
      <c r="AJ2620" s="4">
        <v>13</v>
      </c>
      <c r="AK2620" s="4">
        <v>18</v>
      </c>
      <c r="AL2620" s="4">
        <v>51</v>
      </c>
      <c r="AM2620" s="4">
        <v>53</v>
      </c>
      <c r="AN2620" s="4">
        <v>0</v>
      </c>
      <c r="AO2620" s="4">
        <v>0</v>
      </c>
      <c r="AP2620" s="4">
        <v>17</v>
      </c>
      <c r="AQ2620" s="4">
        <v>21</v>
      </c>
      <c r="AR2620" s="3" t="s">
        <v>62</v>
      </c>
      <c r="AS2620" s="3" t="s">
        <v>62</v>
      </c>
      <c r="AT2620" s="3" t="s">
        <v>61</v>
      </c>
      <c r="AU2620" s="6" t="str">
        <f>HYPERLINK("http://catalog.hathitrust.org/Record/000383290","HathiTrust Record")</f>
        <v>HathiTrust Record</v>
      </c>
      <c r="AV2620" s="6" t="str">
        <f>HYPERLINK("http://mcgill.on.worldcat.org/oclc/529630","Catalog Record")</f>
        <v>Catalog Record</v>
      </c>
      <c r="AW2620" s="6" t="str">
        <f>HYPERLINK("http://www.worldcat.org/oclc/529630","WorldCat Record")</f>
        <v>WorldCat Record</v>
      </c>
      <c r="AX2620" s="3" t="s">
        <v>25326</v>
      </c>
      <c r="AY2620" s="3" t="s">
        <v>25327</v>
      </c>
      <c r="AZ2620" s="3" t="s">
        <v>25328</v>
      </c>
      <c r="BA2620" s="3" t="s">
        <v>25328</v>
      </c>
      <c r="BB2620" s="3" t="s">
        <v>25329</v>
      </c>
      <c r="BC2620" s="3" t="s">
        <v>102</v>
      </c>
      <c r="BD2620" s="3" t="s">
        <v>68</v>
      </c>
      <c r="BF2620" s="3" t="s">
        <v>25329</v>
      </c>
      <c r="BG2620" s="3" t="s">
        <v>25330</v>
      </c>
    </row>
    <row r="2621" spans="1:59" ht="188.5" x14ac:dyDescent="0.35">
      <c r="A2621" s="2" t="s">
        <v>89</v>
      </c>
      <c r="B2621" s="2" t="s">
        <v>90</v>
      </c>
      <c r="C2621" s="2" t="s">
        <v>25331</v>
      </c>
      <c r="D2621" s="2" t="s">
        <v>25332</v>
      </c>
      <c r="E2621" s="2" t="s">
        <v>25333</v>
      </c>
      <c r="G2621" s="3" t="s">
        <v>62</v>
      </c>
      <c r="I2621" s="3" t="s">
        <v>62</v>
      </c>
      <c r="J2621" s="3" t="s">
        <v>62</v>
      </c>
      <c r="K2621" s="3" t="s">
        <v>63</v>
      </c>
      <c r="L2621" s="2" t="s">
        <v>13841</v>
      </c>
      <c r="M2621" s="2" t="s">
        <v>25334</v>
      </c>
      <c r="N2621" s="3" t="s">
        <v>25335</v>
      </c>
      <c r="O2621" s="2" t="s">
        <v>25336</v>
      </c>
      <c r="P2621" s="3" t="s">
        <v>1881</v>
      </c>
      <c r="R2621" s="3" t="s">
        <v>13065</v>
      </c>
      <c r="S2621" s="4">
        <v>9</v>
      </c>
      <c r="T2621" s="4">
        <v>9</v>
      </c>
      <c r="U2621" s="5" t="s">
        <v>5429</v>
      </c>
      <c r="V2621" s="5" t="s">
        <v>5429</v>
      </c>
      <c r="W2621" s="5" t="s">
        <v>67</v>
      </c>
      <c r="X2621" s="5" t="s">
        <v>67</v>
      </c>
      <c r="Y2621" s="4">
        <v>148</v>
      </c>
      <c r="Z2621" s="4">
        <v>12</v>
      </c>
      <c r="AA2621" s="4">
        <v>31</v>
      </c>
      <c r="AB2621" s="4">
        <v>1</v>
      </c>
      <c r="AC2621" s="4">
        <v>6</v>
      </c>
      <c r="AD2621" s="4">
        <v>61</v>
      </c>
      <c r="AE2621" s="4">
        <v>112</v>
      </c>
      <c r="AF2621" s="4">
        <v>0</v>
      </c>
      <c r="AG2621" s="4">
        <v>3</v>
      </c>
      <c r="AH2621" s="4">
        <v>56</v>
      </c>
      <c r="AI2621" s="4">
        <v>98</v>
      </c>
      <c r="AJ2621" s="4">
        <v>9</v>
      </c>
      <c r="AK2621" s="4">
        <v>20</v>
      </c>
      <c r="AL2621" s="4">
        <v>33</v>
      </c>
      <c r="AM2621" s="4">
        <v>54</v>
      </c>
      <c r="AN2621" s="4">
        <v>0</v>
      </c>
      <c r="AO2621" s="4">
        <v>0</v>
      </c>
      <c r="AP2621" s="4">
        <v>10</v>
      </c>
      <c r="AQ2621" s="4">
        <v>22</v>
      </c>
      <c r="AR2621" s="3" t="s">
        <v>62</v>
      </c>
      <c r="AS2621" s="3" t="s">
        <v>62</v>
      </c>
      <c r="AT2621" s="3" t="s">
        <v>62</v>
      </c>
      <c r="AU2621" s="6" t="str">
        <f>HYPERLINK("http://catalog.hathitrust.org/Record/100324555","HathiTrust Record")</f>
        <v>HathiTrust Record</v>
      </c>
      <c r="AV2621" s="6" t="str">
        <f>HYPERLINK("http://mcgill.on.worldcat.org/oclc/3183898","Catalog Record")</f>
        <v>Catalog Record</v>
      </c>
      <c r="AW2621" s="6" t="str">
        <f>HYPERLINK("http://www.worldcat.org/oclc/3183898","WorldCat Record")</f>
        <v>WorldCat Record</v>
      </c>
      <c r="AX2621" s="3" t="s">
        <v>25337</v>
      </c>
      <c r="AY2621" s="3" t="s">
        <v>25338</v>
      </c>
      <c r="AZ2621" s="3" t="s">
        <v>25339</v>
      </c>
      <c r="BA2621" s="3" t="s">
        <v>25339</v>
      </c>
      <c r="BB2621" s="3" t="s">
        <v>25340</v>
      </c>
      <c r="BC2621" s="3" t="s">
        <v>102</v>
      </c>
      <c r="BD2621" s="3" t="s">
        <v>68</v>
      </c>
      <c r="BF2621" s="3" t="s">
        <v>25340</v>
      </c>
      <c r="BG2621" s="3" t="s">
        <v>25341</v>
      </c>
    </row>
    <row r="2622" spans="1:59" ht="58" x14ac:dyDescent="0.35">
      <c r="A2622" s="2" t="s">
        <v>89</v>
      </c>
      <c r="B2622" s="2" t="s">
        <v>90</v>
      </c>
      <c r="C2622" s="2" t="s">
        <v>25342</v>
      </c>
      <c r="D2622" s="2" t="s">
        <v>25343</v>
      </c>
      <c r="E2622" s="2" t="s">
        <v>25344</v>
      </c>
      <c r="G2622" s="3" t="s">
        <v>62</v>
      </c>
      <c r="I2622" s="3" t="s">
        <v>62</v>
      </c>
      <c r="J2622" s="3" t="s">
        <v>61</v>
      </c>
      <c r="K2622" s="3" t="s">
        <v>63</v>
      </c>
      <c r="L2622" s="2" t="s">
        <v>13855</v>
      </c>
      <c r="M2622" s="2" t="s">
        <v>25345</v>
      </c>
      <c r="N2622" s="3" t="s">
        <v>2445</v>
      </c>
      <c r="P2622" s="3" t="s">
        <v>85</v>
      </c>
      <c r="Q2622" s="2" t="s">
        <v>25346</v>
      </c>
      <c r="R2622" s="3" t="s">
        <v>13065</v>
      </c>
      <c r="S2622" s="4">
        <v>16</v>
      </c>
      <c r="T2622" s="4">
        <v>16</v>
      </c>
      <c r="U2622" s="5" t="s">
        <v>5429</v>
      </c>
      <c r="V2622" s="5" t="s">
        <v>5429</v>
      </c>
      <c r="W2622" s="5" t="s">
        <v>67</v>
      </c>
      <c r="X2622" s="5" t="s">
        <v>67</v>
      </c>
      <c r="Y2622" s="4">
        <v>82</v>
      </c>
      <c r="Z2622" s="4">
        <v>14</v>
      </c>
      <c r="AA2622" s="4">
        <v>26</v>
      </c>
      <c r="AB2622" s="4">
        <v>2</v>
      </c>
      <c r="AC2622" s="4">
        <v>9</v>
      </c>
      <c r="AD2622" s="4">
        <v>39</v>
      </c>
      <c r="AE2622" s="4">
        <v>58</v>
      </c>
      <c r="AF2622" s="4">
        <v>1</v>
      </c>
      <c r="AG2622" s="4">
        <v>5</v>
      </c>
      <c r="AH2622" s="4">
        <v>34</v>
      </c>
      <c r="AI2622" s="4">
        <v>48</v>
      </c>
      <c r="AJ2622" s="4">
        <v>10</v>
      </c>
      <c r="AK2622" s="4">
        <v>15</v>
      </c>
      <c r="AL2622" s="4">
        <v>21</v>
      </c>
      <c r="AM2622" s="4">
        <v>30</v>
      </c>
      <c r="AN2622" s="4">
        <v>0</v>
      </c>
      <c r="AO2622" s="4">
        <v>0</v>
      </c>
      <c r="AP2622" s="4">
        <v>10</v>
      </c>
      <c r="AQ2622" s="4">
        <v>16</v>
      </c>
      <c r="AR2622" s="3" t="s">
        <v>62</v>
      </c>
      <c r="AS2622" s="3" t="s">
        <v>62</v>
      </c>
      <c r="AT2622" s="3" t="s">
        <v>61</v>
      </c>
      <c r="AU2622" s="6" t="str">
        <f>HYPERLINK("http://catalog.hathitrust.org/Record/000658974","HathiTrust Record")</f>
        <v>HathiTrust Record</v>
      </c>
      <c r="AV2622" s="6" t="str">
        <f>HYPERLINK("http://mcgill.on.worldcat.org/oclc/1463643","Catalog Record")</f>
        <v>Catalog Record</v>
      </c>
      <c r="AW2622" s="6" t="str">
        <f>HYPERLINK("http://www.worldcat.org/oclc/1463643","WorldCat Record")</f>
        <v>WorldCat Record</v>
      </c>
      <c r="AX2622" s="3" t="s">
        <v>25347</v>
      </c>
      <c r="AY2622" s="3" t="s">
        <v>25348</v>
      </c>
      <c r="AZ2622" s="3" t="s">
        <v>25349</v>
      </c>
      <c r="BA2622" s="3" t="s">
        <v>25349</v>
      </c>
      <c r="BB2622" s="3" t="s">
        <v>25350</v>
      </c>
      <c r="BC2622" s="3" t="s">
        <v>102</v>
      </c>
      <c r="BD2622" s="3" t="s">
        <v>231</v>
      </c>
      <c r="BF2622" s="3" t="s">
        <v>25350</v>
      </c>
      <c r="BG2622" s="3" t="s">
        <v>25351</v>
      </c>
    </row>
    <row r="2623" spans="1:59" ht="72.5" x14ac:dyDescent="0.35">
      <c r="A2623" s="2" t="s">
        <v>89</v>
      </c>
      <c r="B2623" s="2" t="s">
        <v>1231</v>
      </c>
      <c r="C2623" s="2" t="s">
        <v>25352</v>
      </c>
      <c r="D2623" s="2" t="s">
        <v>25353</v>
      </c>
      <c r="E2623" s="2" t="s">
        <v>25354</v>
      </c>
      <c r="G2623" s="3" t="s">
        <v>62</v>
      </c>
      <c r="I2623" s="3" t="s">
        <v>62</v>
      </c>
      <c r="J2623" s="3" t="s">
        <v>61</v>
      </c>
      <c r="K2623" s="3" t="s">
        <v>63</v>
      </c>
      <c r="L2623" s="2" t="s">
        <v>13855</v>
      </c>
      <c r="M2623" s="2" t="s">
        <v>25355</v>
      </c>
      <c r="N2623" s="3" t="s">
        <v>157</v>
      </c>
      <c r="O2623" s="2" t="s">
        <v>25356</v>
      </c>
      <c r="P2623" s="3" t="s">
        <v>85</v>
      </c>
      <c r="Q2623" s="2" t="s">
        <v>25357</v>
      </c>
      <c r="R2623" s="3" t="s">
        <v>13065</v>
      </c>
      <c r="S2623" s="4">
        <v>8</v>
      </c>
      <c r="T2623" s="4">
        <v>8</v>
      </c>
      <c r="U2623" s="5" t="s">
        <v>25358</v>
      </c>
      <c r="V2623" s="5" t="s">
        <v>25358</v>
      </c>
      <c r="W2623" s="5" t="s">
        <v>67</v>
      </c>
      <c r="X2623" s="5" t="s">
        <v>67</v>
      </c>
      <c r="Y2623" s="4">
        <v>42</v>
      </c>
      <c r="Z2623" s="4">
        <v>3</v>
      </c>
      <c r="AA2623" s="4">
        <v>26</v>
      </c>
      <c r="AB2623" s="4">
        <v>3</v>
      </c>
      <c r="AC2623" s="4">
        <v>9</v>
      </c>
      <c r="AD2623" s="4">
        <v>13</v>
      </c>
      <c r="AE2623" s="4">
        <v>58</v>
      </c>
      <c r="AF2623" s="4">
        <v>0</v>
      </c>
      <c r="AG2623" s="4">
        <v>5</v>
      </c>
      <c r="AH2623" s="4">
        <v>13</v>
      </c>
      <c r="AI2623" s="4">
        <v>48</v>
      </c>
      <c r="AJ2623" s="4">
        <v>0</v>
      </c>
      <c r="AK2623" s="4">
        <v>15</v>
      </c>
      <c r="AL2623" s="4">
        <v>10</v>
      </c>
      <c r="AM2623" s="4">
        <v>30</v>
      </c>
      <c r="AN2623" s="4">
        <v>0</v>
      </c>
      <c r="AO2623" s="4">
        <v>0</v>
      </c>
      <c r="AP2623" s="4">
        <v>0</v>
      </c>
      <c r="AQ2623" s="4">
        <v>16</v>
      </c>
      <c r="AR2623" s="3" t="s">
        <v>62</v>
      </c>
      <c r="AS2623" s="3" t="s">
        <v>62</v>
      </c>
      <c r="AT2623" s="3" t="s">
        <v>62</v>
      </c>
      <c r="AV2623" s="6" t="str">
        <f>HYPERLINK("http://mcgill.on.worldcat.org/oclc/3038552","Catalog Record")</f>
        <v>Catalog Record</v>
      </c>
      <c r="AW2623" s="6" t="str">
        <f>HYPERLINK("http://www.worldcat.org/oclc/3038552","WorldCat Record")</f>
        <v>WorldCat Record</v>
      </c>
      <c r="AX2623" s="3" t="s">
        <v>25347</v>
      </c>
      <c r="AY2623" s="3" t="s">
        <v>25359</v>
      </c>
      <c r="AZ2623" s="3" t="s">
        <v>25360</v>
      </c>
      <c r="BA2623" s="3" t="s">
        <v>25360</v>
      </c>
      <c r="BB2623" s="3" t="s">
        <v>25361</v>
      </c>
      <c r="BC2623" s="3" t="s">
        <v>102</v>
      </c>
      <c r="BD2623" s="3" t="s">
        <v>231</v>
      </c>
      <c r="BF2623" s="3" t="s">
        <v>25361</v>
      </c>
      <c r="BG2623" s="3" t="s">
        <v>25362</v>
      </c>
    </row>
    <row r="2624" spans="1:59" ht="72.5" x14ac:dyDescent="0.35">
      <c r="A2624" s="2" t="s">
        <v>89</v>
      </c>
      <c r="B2624" s="2" t="s">
        <v>90</v>
      </c>
      <c r="C2624" s="2" t="s">
        <v>25363</v>
      </c>
      <c r="D2624" s="2" t="s">
        <v>25364</v>
      </c>
      <c r="E2624" s="2" t="s">
        <v>25365</v>
      </c>
      <c r="G2624" s="3" t="s">
        <v>62</v>
      </c>
      <c r="I2624" s="3" t="s">
        <v>62</v>
      </c>
      <c r="J2624" s="3" t="s">
        <v>61</v>
      </c>
      <c r="K2624" s="3" t="s">
        <v>916</v>
      </c>
      <c r="L2624" s="2" t="s">
        <v>25366</v>
      </c>
      <c r="M2624" s="2" t="s">
        <v>25367</v>
      </c>
      <c r="N2624" s="3" t="s">
        <v>9051</v>
      </c>
      <c r="P2624" s="3" t="s">
        <v>64</v>
      </c>
      <c r="R2624" s="3" t="s">
        <v>13065</v>
      </c>
      <c r="S2624" s="4">
        <v>13</v>
      </c>
      <c r="T2624" s="4">
        <v>13</v>
      </c>
      <c r="U2624" s="5" t="s">
        <v>9696</v>
      </c>
      <c r="V2624" s="5" t="s">
        <v>9696</v>
      </c>
      <c r="W2624" s="5" t="s">
        <v>67</v>
      </c>
      <c r="X2624" s="5" t="s">
        <v>67</v>
      </c>
      <c r="Y2624" s="4">
        <v>144</v>
      </c>
      <c r="Z2624" s="4">
        <v>7</v>
      </c>
      <c r="AA2624" s="4">
        <v>42</v>
      </c>
      <c r="AB2624" s="4">
        <v>1</v>
      </c>
      <c r="AC2624" s="4">
        <v>6</v>
      </c>
      <c r="AD2624" s="4">
        <v>40</v>
      </c>
      <c r="AE2624" s="4">
        <v>137</v>
      </c>
      <c r="AF2624" s="4">
        <v>0</v>
      </c>
      <c r="AG2624" s="4">
        <v>4</v>
      </c>
      <c r="AH2624" s="4">
        <v>36</v>
      </c>
      <c r="AI2624" s="4">
        <v>112</v>
      </c>
      <c r="AJ2624" s="4">
        <v>4</v>
      </c>
      <c r="AK2624" s="4">
        <v>24</v>
      </c>
      <c r="AL2624" s="4">
        <v>28</v>
      </c>
      <c r="AM2624" s="4">
        <v>61</v>
      </c>
      <c r="AN2624" s="4">
        <v>0</v>
      </c>
      <c r="AO2624" s="4">
        <v>0</v>
      </c>
      <c r="AP2624" s="4">
        <v>4</v>
      </c>
      <c r="AQ2624" s="4">
        <v>32</v>
      </c>
      <c r="AR2624" s="3" t="s">
        <v>62</v>
      </c>
      <c r="AS2624" s="3" t="s">
        <v>61</v>
      </c>
      <c r="AT2624" s="3" t="s">
        <v>62</v>
      </c>
      <c r="AU2624" s="6" t="str">
        <f>HYPERLINK("http://catalog.hathitrust.org/Record/005830878","HathiTrust Record")</f>
        <v>HathiTrust Record</v>
      </c>
      <c r="AV2624" s="6" t="str">
        <f>HYPERLINK("http://mcgill.on.worldcat.org/oclc/7518153","Catalog Record")</f>
        <v>Catalog Record</v>
      </c>
      <c r="AW2624" s="6" t="str">
        <f>HYPERLINK("http://www.worldcat.org/oclc/7518153","WorldCat Record")</f>
        <v>WorldCat Record</v>
      </c>
      <c r="AX2624" s="3" t="s">
        <v>25368</v>
      </c>
      <c r="AY2624" s="3" t="s">
        <v>25369</v>
      </c>
      <c r="AZ2624" s="3" t="s">
        <v>25370</v>
      </c>
      <c r="BA2624" s="3" t="s">
        <v>25370</v>
      </c>
      <c r="BB2624" s="3" t="s">
        <v>25371</v>
      </c>
      <c r="BC2624" s="3" t="s">
        <v>102</v>
      </c>
      <c r="BD2624" s="3" t="s">
        <v>68</v>
      </c>
      <c r="BE2624" s="3" t="s">
        <v>25372</v>
      </c>
      <c r="BF2624" s="3" t="s">
        <v>25371</v>
      </c>
      <c r="BG2624" s="3" t="s">
        <v>25373</v>
      </c>
    </row>
    <row r="2625" spans="1:59" ht="72.5" x14ac:dyDescent="0.35">
      <c r="A2625" s="2" t="s">
        <v>89</v>
      </c>
      <c r="B2625" s="2" t="s">
        <v>1231</v>
      </c>
      <c r="C2625" s="2" t="s">
        <v>25374</v>
      </c>
      <c r="D2625" s="2" t="s">
        <v>25375</v>
      </c>
      <c r="E2625" s="2" t="s">
        <v>25376</v>
      </c>
      <c r="G2625" s="3" t="s">
        <v>62</v>
      </c>
      <c r="I2625" s="3" t="s">
        <v>61</v>
      </c>
      <c r="J2625" s="3" t="s">
        <v>61</v>
      </c>
      <c r="K2625" s="3" t="s">
        <v>63</v>
      </c>
      <c r="L2625" s="2" t="s">
        <v>25377</v>
      </c>
      <c r="M2625" s="2" t="s">
        <v>25378</v>
      </c>
      <c r="N2625" s="3" t="s">
        <v>2702</v>
      </c>
      <c r="P2625" s="3" t="s">
        <v>64</v>
      </c>
      <c r="R2625" s="3" t="s">
        <v>13065</v>
      </c>
      <c r="S2625" s="4">
        <v>6</v>
      </c>
      <c r="T2625" s="4">
        <v>61</v>
      </c>
      <c r="U2625" s="5" t="s">
        <v>16439</v>
      </c>
      <c r="V2625" s="5" t="s">
        <v>2342</v>
      </c>
      <c r="W2625" s="5" t="s">
        <v>67</v>
      </c>
      <c r="X2625" s="5" t="s">
        <v>67</v>
      </c>
      <c r="Y2625" s="4">
        <v>1219</v>
      </c>
      <c r="Z2625" s="4">
        <v>42</v>
      </c>
      <c r="AA2625" s="4">
        <v>58</v>
      </c>
      <c r="AB2625" s="4">
        <v>2</v>
      </c>
      <c r="AC2625" s="4">
        <v>8</v>
      </c>
      <c r="AD2625" s="4">
        <v>128</v>
      </c>
      <c r="AE2625" s="4">
        <v>148</v>
      </c>
      <c r="AF2625" s="4">
        <v>1</v>
      </c>
      <c r="AG2625" s="4">
        <v>6</v>
      </c>
      <c r="AH2625" s="4">
        <v>102</v>
      </c>
      <c r="AI2625" s="4">
        <v>111</v>
      </c>
      <c r="AJ2625" s="4">
        <v>19</v>
      </c>
      <c r="AK2625" s="4">
        <v>25</v>
      </c>
      <c r="AL2625" s="4">
        <v>53</v>
      </c>
      <c r="AM2625" s="4">
        <v>60</v>
      </c>
      <c r="AN2625" s="4">
        <v>0</v>
      </c>
      <c r="AO2625" s="4">
        <v>0</v>
      </c>
      <c r="AP2625" s="4">
        <v>33</v>
      </c>
      <c r="AQ2625" s="4">
        <v>44</v>
      </c>
      <c r="AR2625" s="3" t="s">
        <v>62</v>
      </c>
      <c r="AS2625" s="3" t="s">
        <v>62</v>
      </c>
      <c r="AT2625" s="3" t="s">
        <v>61</v>
      </c>
      <c r="AU2625" s="6" t="str">
        <f>HYPERLINK("http://catalog.hathitrust.org/Record/000657236","HathiTrust Record")</f>
        <v>HathiTrust Record</v>
      </c>
      <c r="AV2625" s="6" t="str">
        <f>HYPERLINK("http://mcgill.on.worldcat.org/oclc/542459","Catalog Record")</f>
        <v>Catalog Record</v>
      </c>
      <c r="AW2625" s="6" t="str">
        <f>HYPERLINK("http://www.worldcat.org/oclc/542459","WorldCat Record")</f>
        <v>WorldCat Record</v>
      </c>
      <c r="AX2625" s="3" t="s">
        <v>25379</v>
      </c>
      <c r="AY2625" s="3" t="s">
        <v>25380</v>
      </c>
      <c r="AZ2625" s="3" t="s">
        <v>25381</v>
      </c>
      <c r="BA2625" s="3" t="s">
        <v>25381</v>
      </c>
      <c r="BB2625" s="3" t="s">
        <v>25382</v>
      </c>
      <c r="BC2625" s="3" t="s">
        <v>102</v>
      </c>
      <c r="BD2625" s="3" t="s">
        <v>68</v>
      </c>
      <c r="BE2625" s="3" t="s">
        <v>25383</v>
      </c>
      <c r="BF2625" s="3" t="s">
        <v>25382</v>
      </c>
      <c r="BG2625" s="3" t="s">
        <v>25384</v>
      </c>
    </row>
    <row r="2626" spans="1:59" ht="58" x14ac:dyDescent="0.35">
      <c r="A2626" s="2" t="s">
        <v>89</v>
      </c>
      <c r="B2626" s="2" t="s">
        <v>90</v>
      </c>
      <c r="C2626" s="2" t="s">
        <v>25385</v>
      </c>
      <c r="D2626" s="2" t="s">
        <v>25386</v>
      </c>
      <c r="E2626" s="2" t="s">
        <v>25387</v>
      </c>
      <c r="G2626" s="3" t="s">
        <v>62</v>
      </c>
      <c r="I2626" s="3" t="s">
        <v>62</v>
      </c>
      <c r="J2626" s="3" t="s">
        <v>62</v>
      </c>
      <c r="K2626" s="3" t="s">
        <v>63</v>
      </c>
      <c r="L2626" s="2" t="s">
        <v>25388</v>
      </c>
      <c r="M2626" s="2" t="s">
        <v>25389</v>
      </c>
      <c r="N2626" s="3" t="s">
        <v>2305</v>
      </c>
      <c r="P2626" s="3" t="s">
        <v>64</v>
      </c>
      <c r="Q2626" s="2" t="s">
        <v>25390</v>
      </c>
      <c r="R2626" s="3" t="s">
        <v>13065</v>
      </c>
      <c r="S2626" s="4">
        <v>13</v>
      </c>
      <c r="T2626" s="4">
        <v>13</v>
      </c>
      <c r="U2626" s="5" t="s">
        <v>25391</v>
      </c>
      <c r="V2626" s="5" t="s">
        <v>25391</v>
      </c>
      <c r="W2626" s="5" t="s">
        <v>67</v>
      </c>
      <c r="X2626" s="5" t="s">
        <v>67</v>
      </c>
      <c r="Y2626" s="4">
        <v>389</v>
      </c>
      <c r="Z2626" s="4">
        <v>14</v>
      </c>
      <c r="AA2626" s="4">
        <v>29</v>
      </c>
      <c r="AB2626" s="4">
        <v>2</v>
      </c>
      <c r="AC2626" s="4">
        <v>4</v>
      </c>
      <c r="AD2626" s="4">
        <v>82</v>
      </c>
      <c r="AE2626" s="4">
        <v>112</v>
      </c>
      <c r="AF2626" s="4">
        <v>1</v>
      </c>
      <c r="AG2626" s="4">
        <v>2</v>
      </c>
      <c r="AH2626" s="4">
        <v>71</v>
      </c>
      <c r="AI2626" s="4">
        <v>92</v>
      </c>
      <c r="AJ2626" s="4">
        <v>12</v>
      </c>
      <c r="AK2626" s="4">
        <v>19</v>
      </c>
      <c r="AL2626" s="4">
        <v>44</v>
      </c>
      <c r="AM2626" s="4">
        <v>56</v>
      </c>
      <c r="AN2626" s="4">
        <v>0</v>
      </c>
      <c r="AO2626" s="4">
        <v>0</v>
      </c>
      <c r="AP2626" s="4">
        <v>12</v>
      </c>
      <c r="AQ2626" s="4">
        <v>24</v>
      </c>
      <c r="AR2626" s="3" t="s">
        <v>62</v>
      </c>
      <c r="AS2626" s="3" t="s">
        <v>62</v>
      </c>
      <c r="AT2626" s="3" t="s">
        <v>61</v>
      </c>
      <c r="AU2626" s="6" t="str">
        <f>HYPERLINK("http://catalog.hathitrust.org/Record/000355746","HathiTrust Record")</f>
        <v>HathiTrust Record</v>
      </c>
      <c r="AV2626" s="6" t="str">
        <f>HYPERLINK("http://mcgill.on.worldcat.org/oclc/528903","Catalog Record")</f>
        <v>Catalog Record</v>
      </c>
      <c r="AW2626" s="6" t="str">
        <f>HYPERLINK("http://www.worldcat.org/oclc/528903","WorldCat Record")</f>
        <v>WorldCat Record</v>
      </c>
      <c r="AX2626" s="3" t="s">
        <v>25392</v>
      </c>
      <c r="AY2626" s="3" t="s">
        <v>25393</v>
      </c>
      <c r="AZ2626" s="3" t="s">
        <v>25394</v>
      </c>
      <c r="BA2626" s="3" t="s">
        <v>25394</v>
      </c>
      <c r="BB2626" s="3" t="s">
        <v>25395</v>
      </c>
      <c r="BC2626" s="3" t="s">
        <v>102</v>
      </c>
      <c r="BD2626" s="3" t="s">
        <v>68</v>
      </c>
      <c r="BF2626" s="3" t="s">
        <v>25395</v>
      </c>
      <c r="BG2626" s="3" t="s">
        <v>25396</v>
      </c>
    </row>
    <row r="2627" spans="1:59" ht="58" x14ac:dyDescent="0.35">
      <c r="A2627" s="2" t="s">
        <v>89</v>
      </c>
      <c r="B2627" s="2" t="s">
        <v>90</v>
      </c>
      <c r="C2627" s="2" t="s">
        <v>25397</v>
      </c>
      <c r="D2627" s="2" t="s">
        <v>25398</v>
      </c>
      <c r="E2627" s="2" t="s">
        <v>25399</v>
      </c>
      <c r="G2627" s="3" t="s">
        <v>62</v>
      </c>
      <c r="I2627" s="3" t="s">
        <v>62</v>
      </c>
      <c r="J2627" s="3" t="s">
        <v>62</v>
      </c>
      <c r="K2627" s="3" t="s">
        <v>63</v>
      </c>
      <c r="L2627" s="2" t="s">
        <v>25121</v>
      </c>
      <c r="M2627" s="2" t="s">
        <v>25400</v>
      </c>
      <c r="N2627" s="3" t="s">
        <v>24124</v>
      </c>
      <c r="P2627" s="3" t="s">
        <v>64</v>
      </c>
      <c r="Q2627" s="2" t="s">
        <v>25401</v>
      </c>
      <c r="R2627" s="3" t="s">
        <v>13065</v>
      </c>
      <c r="S2627" s="4">
        <v>9</v>
      </c>
      <c r="T2627" s="4">
        <v>9</v>
      </c>
      <c r="U2627" s="5" t="s">
        <v>9696</v>
      </c>
      <c r="V2627" s="5" t="s">
        <v>9696</v>
      </c>
      <c r="W2627" s="5" t="s">
        <v>67</v>
      </c>
      <c r="X2627" s="5" t="s">
        <v>67</v>
      </c>
      <c r="Y2627" s="4">
        <v>113</v>
      </c>
      <c r="Z2627" s="4">
        <v>5</v>
      </c>
      <c r="AA2627" s="4">
        <v>29</v>
      </c>
      <c r="AB2627" s="4">
        <v>1</v>
      </c>
      <c r="AC2627" s="4">
        <v>5</v>
      </c>
      <c r="AD2627" s="4">
        <v>36</v>
      </c>
      <c r="AE2627" s="4">
        <v>103</v>
      </c>
      <c r="AF2627" s="4">
        <v>0</v>
      </c>
      <c r="AG2627" s="4">
        <v>3</v>
      </c>
      <c r="AH2627" s="4">
        <v>33</v>
      </c>
      <c r="AI2627" s="4">
        <v>85</v>
      </c>
      <c r="AJ2627" s="4">
        <v>3</v>
      </c>
      <c r="AK2627" s="4">
        <v>14</v>
      </c>
      <c r="AL2627" s="4">
        <v>22</v>
      </c>
      <c r="AM2627" s="4">
        <v>52</v>
      </c>
      <c r="AN2627" s="4">
        <v>0</v>
      </c>
      <c r="AO2627" s="4">
        <v>0</v>
      </c>
      <c r="AP2627" s="4">
        <v>4</v>
      </c>
      <c r="AQ2627" s="4">
        <v>23</v>
      </c>
      <c r="AR2627" s="3" t="s">
        <v>62</v>
      </c>
      <c r="AS2627" s="3" t="s">
        <v>62</v>
      </c>
      <c r="AT2627" s="3" t="s">
        <v>61</v>
      </c>
      <c r="AU2627" s="6" t="str">
        <f>HYPERLINK("http://catalog.hathitrust.org/Record/000358352","HathiTrust Record")</f>
        <v>HathiTrust Record</v>
      </c>
      <c r="AV2627" s="6" t="str">
        <f>HYPERLINK("http://mcgill.on.worldcat.org/oclc/2094747","Catalog Record")</f>
        <v>Catalog Record</v>
      </c>
      <c r="AW2627" s="6" t="str">
        <f>HYPERLINK("http://www.worldcat.org/oclc/2094747","WorldCat Record")</f>
        <v>WorldCat Record</v>
      </c>
      <c r="AX2627" s="3" t="s">
        <v>25402</v>
      </c>
      <c r="AY2627" s="3" t="s">
        <v>25403</v>
      </c>
      <c r="AZ2627" s="3" t="s">
        <v>25404</v>
      </c>
      <c r="BA2627" s="3" t="s">
        <v>25404</v>
      </c>
      <c r="BB2627" s="3" t="s">
        <v>25405</v>
      </c>
      <c r="BC2627" s="3" t="s">
        <v>102</v>
      </c>
      <c r="BD2627" s="3" t="s">
        <v>68</v>
      </c>
      <c r="BF2627" s="3" t="s">
        <v>25405</v>
      </c>
      <c r="BG2627" s="3" t="s">
        <v>25406</v>
      </c>
    </row>
    <row r="2628" spans="1:59" ht="58" x14ac:dyDescent="0.35">
      <c r="A2628" s="2" t="s">
        <v>89</v>
      </c>
      <c r="B2628" s="2" t="s">
        <v>90</v>
      </c>
      <c r="C2628" s="2" t="s">
        <v>25407</v>
      </c>
      <c r="D2628" s="2" t="s">
        <v>25408</v>
      </c>
      <c r="E2628" s="2" t="s">
        <v>25409</v>
      </c>
      <c r="G2628" s="3" t="s">
        <v>62</v>
      </c>
      <c r="I2628" s="3" t="s">
        <v>62</v>
      </c>
      <c r="J2628" s="3" t="s">
        <v>62</v>
      </c>
      <c r="K2628" s="3" t="s">
        <v>63</v>
      </c>
      <c r="L2628" s="2" t="s">
        <v>25410</v>
      </c>
      <c r="M2628" s="2" t="s">
        <v>25411</v>
      </c>
      <c r="N2628" s="3" t="s">
        <v>1335</v>
      </c>
      <c r="P2628" s="3" t="s">
        <v>64</v>
      </c>
      <c r="R2628" s="3" t="s">
        <v>13065</v>
      </c>
      <c r="S2628" s="4">
        <v>8</v>
      </c>
      <c r="T2628" s="4">
        <v>8</v>
      </c>
      <c r="U2628" s="5" t="s">
        <v>9696</v>
      </c>
      <c r="V2628" s="5" t="s">
        <v>9696</v>
      </c>
      <c r="W2628" s="5" t="s">
        <v>67</v>
      </c>
      <c r="X2628" s="5" t="s">
        <v>67</v>
      </c>
      <c r="Y2628" s="4">
        <v>352</v>
      </c>
      <c r="Z2628" s="4">
        <v>16</v>
      </c>
      <c r="AA2628" s="4">
        <v>42</v>
      </c>
      <c r="AB2628" s="4">
        <v>1</v>
      </c>
      <c r="AC2628" s="4">
        <v>6</v>
      </c>
      <c r="AD2628" s="4">
        <v>50</v>
      </c>
      <c r="AE2628" s="4">
        <v>124</v>
      </c>
      <c r="AF2628" s="4">
        <v>0</v>
      </c>
      <c r="AG2628" s="4">
        <v>4</v>
      </c>
      <c r="AH2628" s="4">
        <v>44</v>
      </c>
      <c r="AI2628" s="4">
        <v>100</v>
      </c>
      <c r="AJ2628" s="4">
        <v>10</v>
      </c>
      <c r="AK2628" s="4">
        <v>22</v>
      </c>
      <c r="AL2628" s="4">
        <v>23</v>
      </c>
      <c r="AM2628" s="4">
        <v>51</v>
      </c>
      <c r="AN2628" s="4">
        <v>0</v>
      </c>
      <c r="AO2628" s="4">
        <v>4</v>
      </c>
      <c r="AP2628" s="4">
        <v>13</v>
      </c>
      <c r="AQ2628" s="4">
        <v>32</v>
      </c>
      <c r="AR2628" s="3" t="s">
        <v>62</v>
      </c>
      <c r="AS2628" s="3" t="s">
        <v>61</v>
      </c>
      <c r="AT2628" s="3" t="s">
        <v>62</v>
      </c>
      <c r="AU2628" s="6" t="str">
        <f>HYPERLINK("http://catalog.hathitrust.org/Record/007080127","HathiTrust Record")</f>
        <v>HathiTrust Record</v>
      </c>
      <c r="AV2628" s="6" t="str">
        <f>HYPERLINK("http://mcgill.on.worldcat.org/oclc/166482","Catalog Record")</f>
        <v>Catalog Record</v>
      </c>
      <c r="AW2628" s="6" t="str">
        <f>HYPERLINK("http://www.worldcat.org/oclc/166482","WorldCat Record")</f>
        <v>WorldCat Record</v>
      </c>
      <c r="AX2628" s="3" t="s">
        <v>25412</v>
      </c>
      <c r="AY2628" s="3" t="s">
        <v>25413</v>
      </c>
      <c r="AZ2628" s="3" t="s">
        <v>25414</v>
      </c>
      <c r="BA2628" s="3" t="s">
        <v>25414</v>
      </c>
      <c r="BB2628" s="3" t="s">
        <v>25415</v>
      </c>
      <c r="BC2628" s="3" t="s">
        <v>102</v>
      </c>
      <c r="BD2628" s="3" t="s">
        <v>68</v>
      </c>
      <c r="BF2628" s="3" t="s">
        <v>25415</v>
      </c>
      <c r="BG2628" s="3" t="s">
        <v>25416</v>
      </c>
    </row>
    <row r="2629" spans="1:59" ht="58" x14ac:dyDescent="0.35">
      <c r="A2629" s="2" t="s">
        <v>89</v>
      </c>
      <c r="B2629" s="2" t="s">
        <v>90</v>
      </c>
      <c r="C2629" s="2" t="s">
        <v>25417</v>
      </c>
      <c r="D2629" s="2" t="s">
        <v>25418</v>
      </c>
      <c r="E2629" s="2" t="s">
        <v>25419</v>
      </c>
      <c r="G2629" s="3" t="s">
        <v>62</v>
      </c>
      <c r="I2629" s="3" t="s">
        <v>61</v>
      </c>
      <c r="J2629" s="3" t="s">
        <v>62</v>
      </c>
      <c r="K2629" s="3" t="s">
        <v>63</v>
      </c>
      <c r="L2629" s="2" t="s">
        <v>24340</v>
      </c>
      <c r="M2629" s="2" t="s">
        <v>25420</v>
      </c>
      <c r="N2629" s="3" t="s">
        <v>2305</v>
      </c>
      <c r="P2629" s="3" t="s">
        <v>64</v>
      </c>
      <c r="Q2629" s="2" t="s">
        <v>21630</v>
      </c>
      <c r="R2629" s="3" t="s">
        <v>13065</v>
      </c>
      <c r="S2629" s="4">
        <v>3</v>
      </c>
      <c r="T2629" s="4">
        <v>3</v>
      </c>
      <c r="U2629" s="5" t="s">
        <v>1118</v>
      </c>
      <c r="V2629" s="5" t="s">
        <v>1118</v>
      </c>
      <c r="W2629" s="5" t="s">
        <v>67</v>
      </c>
      <c r="X2629" s="5" t="s">
        <v>67</v>
      </c>
      <c r="Y2629" s="4">
        <v>633</v>
      </c>
      <c r="Z2629" s="4">
        <v>33</v>
      </c>
      <c r="AA2629" s="4">
        <v>40</v>
      </c>
      <c r="AB2629" s="4">
        <v>3</v>
      </c>
      <c r="AC2629" s="4">
        <v>7</v>
      </c>
      <c r="AD2629" s="4">
        <v>124</v>
      </c>
      <c r="AE2629" s="4">
        <v>135</v>
      </c>
      <c r="AF2629" s="4">
        <v>2</v>
      </c>
      <c r="AG2629" s="4">
        <v>6</v>
      </c>
      <c r="AH2629" s="4">
        <v>105</v>
      </c>
      <c r="AI2629" s="4">
        <v>109</v>
      </c>
      <c r="AJ2629" s="4">
        <v>20</v>
      </c>
      <c r="AK2629" s="4">
        <v>25</v>
      </c>
      <c r="AL2629" s="4">
        <v>59</v>
      </c>
      <c r="AM2629" s="4">
        <v>61</v>
      </c>
      <c r="AN2629" s="4">
        <v>0</v>
      </c>
      <c r="AO2629" s="4">
        <v>0</v>
      </c>
      <c r="AP2629" s="4">
        <v>28</v>
      </c>
      <c r="AQ2629" s="4">
        <v>34</v>
      </c>
      <c r="AR2629" s="3" t="s">
        <v>62</v>
      </c>
      <c r="AS2629" s="3" t="s">
        <v>61</v>
      </c>
      <c r="AT2629" s="3" t="s">
        <v>61</v>
      </c>
      <c r="AU2629" s="6" t="str">
        <f>HYPERLINK("http://catalog.hathitrust.org/Record/000619761","HathiTrust Record")</f>
        <v>HathiTrust Record</v>
      </c>
      <c r="AV2629" s="6" t="str">
        <f>HYPERLINK("http://mcgill.on.worldcat.org/oclc/625755","Catalog Record")</f>
        <v>Catalog Record</v>
      </c>
      <c r="AW2629" s="6" t="str">
        <f>HYPERLINK("http://www.worldcat.org/oclc/625755","WorldCat Record")</f>
        <v>WorldCat Record</v>
      </c>
      <c r="AX2629" s="3" t="s">
        <v>25421</v>
      </c>
      <c r="AY2629" s="3" t="s">
        <v>25422</v>
      </c>
      <c r="AZ2629" s="3" t="s">
        <v>25423</v>
      </c>
      <c r="BA2629" s="3" t="s">
        <v>25423</v>
      </c>
      <c r="BB2629" s="3" t="s">
        <v>25424</v>
      </c>
      <c r="BC2629" s="3" t="s">
        <v>102</v>
      </c>
      <c r="BD2629" s="3" t="s">
        <v>68</v>
      </c>
      <c r="BF2629" s="3" t="s">
        <v>25424</v>
      </c>
      <c r="BG2629" s="3" t="s">
        <v>25425</v>
      </c>
    </row>
    <row r="2630" spans="1:59" ht="72.5" x14ac:dyDescent="0.35">
      <c r="A2630" s="2" t="s">
        <v>89</v>
      </c>
      <c r="B2630" s="2" t="s">
        <v>1231</v>
      </c>
      <c r="C2630" s="2" t="s">
        <v>25426</v>
      </c>
      <c r="D2630" s="2" t="s">
        <v>25427</v>
      </c>
      <c r="E2630" s="2" t="s">
        <v>25428</v>
      </c>
      <c r="G2630" s="3" t="s">
        <v>62</v>
      </c>
      <c r="I2630" s="3" t="s">
        <v>61</v>
      </c>
      <c r="J2630" s="3" t="s">
        <v>61</v>
      </c>
      <c r="K2630" s="3" t="s">
        <v>63</v>
      </c>
      <c r="L2630" s="2" t="s">
        <v>24988</v>
      </c>
      <c r="M2630" s="2" t="s">
        <v>25429</v>
      </c>
      <c r="N2630" s="3" t="s">
        <v>1467</v>
      </c>
      <c r="O2630" s="2" t="s">
        <v>8350</v>
      </c>
      <c r="P2630" s="3" t="s">
        <v>64</v>
      </c>
      <c r="Q2630" s="2" t="s">
        <v>25430</v>
      </c>
      <c r="R2630" s="3" t="s">
        <v>13065</v>
      </c>
      <c r="S2630" s="4">
        <v>7</v>
      </c>
      <c r="T2630" s="4">
        <v>45</v>
      </c>
      <c r="U2630" s="5" t="s">
        <v>25431</v>
      </c>
      <c r="V2630" s="5" t="s">
        <v>2767</v>
      </c>
      <c r="W2630" s="5" t="s">
        <v>67</v>
      </c>
      <c r="X2630" s="5" t="s">
        <v>67</v>
      </c>
      <c r="Y2630" s="4">
        <v>375</v>
      </c>
      <c r="Z2630" s="4">
        <v>36</v>
      </c>
      <c r="AA2630" s="4">
        <v>51</v>
      </c>
      <c r="AB2630" s="4">
        <v>2</v>
      </c>
      <c r="AC2630" s="4">
        <v>8</v>
      </c>
      <c r="AD2630" s="4">
        <v>97</v>
      </c>
      <c r="AE2630" s="4">
        <v>139</v>
      </c>
      <c r="AF2630" s="4">
        <v>1</v>
      </c>
      <c r="AG2630" s="4">
        <v>5</v>
      </c>
      <c r="AH2630" s="4">
        <v>77</v>
      </c>
      <c r="AI2630" s="4">
        <v>109</v>
      </c>
      <c r="AJ2630" s="4">
        <v>19</v>
      </c>
      <c r="AK2630" s="4">
        <v>27</v>
      </c>
      <c r="AL2630" s="4">
        <v>41</v>
      </c>
      <c r="AM2630" s="4">
        <v>59</v>
      </c>
      <c r="AN2630" s="4">
        <v>0</v>
      </c>
      <c r="AO2630" s="4">
        <v>0</v>
      </c>
      <c r="AP2630" s="4">
        <v>27</v>
      </c>
      <c r="AQ2630" s="4">
        <v>36</v>
      </c>
      <c r="AR2630" s="3" t="s">
        <v>62</v>
      </c>
      <c r="AS2630" s="3" t="s">
        <v>62</v>
      </c>
      <c r="AT2630" s="3" t="s">
        <v>61</v>
      </c>
      <c r="AU2630" s="6" t="str">
        <f>HYPERLINK("http://catalog.hathitrust.org/Record/000356752","HathiTrust Record")</f>
        <v>HathiTrust Record</v>
      </c>
      <c r="AV2630" s="6" t="str">
        <f>HYPERLINK("http://mcgill.on.worldcat.org/oclc/528941","Catalog Record")</f>
        <v>Catalog Record</v>
      </c>
      <c r="AW2630" s="6" t="str">
        <f>HYPERLINK("http://www.worldcat.org/oclc/528941","WorldCat Record")</f>
        <v>WorldCat Record</v>
      </c>
      <c r="AX2630" s="3" t="s">
        <v>25432</v>
      </c>
      <c r="AY2630" s="3" t="s">
        <v>25433</v>
      </c>
      <c r="AZ2630" s="3" t="s">
        <v>25434</v>
      </c>
      <c r="BA2630" s="3" t="s">
        <v>25434</v>
      </c>
      <c r="BB2630" s="3" t="s">
        <v>25435</v>
      </c>
      <c r="BC2630" s="3" t="s">
        <v>102</v>
      </c>
      <c r="BD2630" s="3" t="s">
        <v>231</v>
      </c>
      <c r="BF2630" s="3" t="s">
        <v>25435</v>
      </c>
      <c r="BG2630" s="3" t="s">
        <v>25436</v>
      </c>
    </row>
    <row r="2631" spans="1:59" ht="58" x14ac:dyDescent="0.35">
      <c r="A2631" s="2" t="s">
        <v>89</v>
      </c>
      <c r="B2631" s="2" t="s">
        <v>6791</v>
      </c>
      <c r="C2631" s="2" t="s">
        <v>25426</v>
      </c>
      <c r="D2631" s="2" t="s">
        <v>25427</v>
      </c>
      <c r="E2631" s="2" t="s">
        <v>25428</v>
      </c>
      <c r="G2631" s="3" t="s">
        <v>62</v>
      </c>
      <c r="I2631" s="3" t="s">
        <v>61</v>
      </c>
      <c r="J2631" s="3" t="s">
        <v>61</v>
      </c>
      <c r="K2631" s="3" t="s">
        <v>63</v>
      </c>
      <c r="L2631" s="2" t="s">
        <v>24988</v>
      </c>
      <c r="M2631" s="2" t="s">
        <v>25429</v>
      </c>
      <c r="N2631" s="3" t="s">
        <v>1467</v>
      </c>
      <c r="O2631" s="2" t="s">
        <v>8350</v>
      </c>
      <c r="P2631" s="3" t="s">
        <v>64</v>
      </c>
      <c r="Q2631" s="2" t="s">
        <v>25430</v>
      </c>
      <c r="R2631" s="3" t="s">
        <v>13065</v>
      </c>
      <c r="S2631" s="4">
        <v>5</v>
      </c>
      <c r="T2631" s="4">
        <v>45</v>
      </c>
      <c r="U2631" s="5" t="s">
        <v>74</v>
      </c>
      <c r="V2631" s="5" t="s">
        <v>2767</v>
      </c>
      <c r="W2631" s="5" t="s">
        <v>67</v>
      </c>
      <c r="X2631" s="5" t="s">
        <v>67</v>
      </c>
      <c r="Y2631" s="4">
        <v>375</v>
      </c>
      <c r="Z2631" s="4">
        <v>36</v>
      </c>
      <c r="AA2631" s="4">
        <v>51</v>
      </c>
      <c r="AB2631" s="4">
        <v>2</v>
      </c>
      <c r="AC2631" s="4">
        <v>8</v>
      </c>
      <c r="AD2631" s="4">
        <v>97</v>
      </c>
      <c r="AE2631" s="4">
        <v>139</v>
      </c>
      <c r="AF2631" s="4">
        <v>1</v>
      </c>
      <c r="AG2631" s="4">
        <v>5</v>
      </c>
      <c r="AH2631" s="4">
        <v>77</v>
      </c>
      <c r="AI2631" s="4">
        <v>109</v>
      </c>
      <c r="AJ2631" s="4">
        <v>19</v>
      </c>
      <c r="AK2631" s="4">
        <v>27</v>
      </c>
      <c r="AL2631" s="4">
        <v>41</v>
      </c>
      <c r="AM2631" s="4">
        <v>59</v>
      </c>
      <c r="AN2631" s="4">
        <v>0</v>
      </c>
      <c r="AO2631" s="4">
        <v>0</v>
      </c>
      <c r="AP2631" s="4">
        <v>27</v>
      </c>
      <c r="AQ2631" s="4">
        <v>36</v>
      </c>
      <c r="AR2631" s="3" t="s">
        <v>62</v>
      </c>
      <c r="AS2631" s="3" t="s">
        <v>62</v>
      </c>
      <c r="AT2631" s="3" t="s">
        <v>61</v>
      </c>
      <c r="AU2631" s="6" t="str">
        <f>HYPERLINK("http://catalog.hathitrust.org/Record/000356752","HathiTrust Record")</f>
        <v>HathiTrust Record</v>
      </c>
      <c r="AV2631" s="6" t="str">
        <f>HYPERLINK("http://mcgill.on.worldcat.org/oclc/528941","Catalog Record")</f>
        <v>Catalog Record</v>
      </c>
      <c r="AW2631" s="6" t="str">
        <f>HYPERLINK("http://www.worldcat.org/oclc/528941","WorldCat Record")</f>
        <v>WorldCat Record</v>
      </c>
      <c r="AX2631" s="3" t="s">
        <v>25432</v>
      </c>
      <c r="AY2631" s="3" t="s">
        <v>25433</v>
      </c>
      <c r="AZ2631" s="3" t="s">
        <v>25434</v>
      </c>
      <c r="BA2631" s="3" t="s">
        <v>25434</v>
      </c>
      <c r="BB2631" s="3" t="s">
        <v>25437</v>
      </c>
      <c r="BC2631" s="3" t="s">
        <v>102</v>
      </c>
      <c r="BD2631" s="3" t="s">
        <v>68</v>
      </c>
      <c r="BF2631" s="3" t="s">
        <v>25437</v>
      </c>
      <c r="BG2631" s="3" t="s">
        <v>25438</v>
      </c>
    </row>
    <row r="2632" spans="1:59" ht="72.5" x14ac:dyDescent="0.35">
      <c r="A2632" s="2" t="s">
        <v>89</v>
      </c>
      <c r="B2632" s="2" t="s">
        <v>1231</v>
      </c>
      <c r="C2632" s="2" t="s">
        <v>25426</v>
      </c>
      <c r="D2632" s="2" t="s">
        <v>25427</v>
      </c>
      <c r="E2632" s="2" t="s">
        <v>25428</v>
      </c>
      <c r="G2632" s="3" t="s">
        <v>62</v>
      </c>
      <c r="I2632" s="3" t="s">
        <v>61</v>
      </c>
      <c r="J2632" s="3" t="s">
        <v>61</v>
      </c>
      <c r="K2632" s="3" t="s">
        <v>63</v>
      </c>
      <c r="L2632" s="2" t="s">
        <v>24988</v>
      </c>
      <c r="M2632" s="2" t="s">
        <v>25429</v>
      </c>
      <c r="N2632" s="3" t="s">
        <v>1467</v>
      </c>
      <c r="O2632" s="2" t="s">
        <v>8350</v>
      </c>
      <c r="P2632" s="3" t="s">
        <v>64</v>
      </c>
      <c r="Q2632" s="2" t="s">
        <v>25430</v>
      </c>
      <c r="R2632" s="3" t="s">
        <v>13065</v>
      </c>
      <c r="S2632" s="4">
        <v>2</v>
      </c>
      <c r="T2632" s="4">
        <v>45</v>
      </c>
      <c r="U2632" s="5" t="s">
        <v>25439</v>
      </c>
      <c r="V2632" s="5" t="s">
        <v>2767</v>
      </c>
      <c r="W2632" s="5" t="s">
        <v>67</v>
      </c>
      <c r="X2632" s="5" t="s">
        <v>67</v>
      </c>
      <c r="Y2632" s="4">
        <v>375</v>
      </c>
      <c r="Z2632" s="4">
        <v>36</v>
      </c>
      <c r="AA2632" s="4">
        <v>51</v>
      </c>
      <c r="AB2632" s="4">
        <v>2</v>
      </c>
      <c r="AC2632" s="4">
        <v>8</v>
      </c>
      <c r="AD2632" s="4">
        <v>97</v>
      </c>
      <c r="AE2632" s="4">
        <v>139</v>
      </c>
      <c r="AF2632" s="4">
        <v>1</v>
      </c>
      <c r="AG2632" s="4">
        <v>5</v>
      </c>
      <c r="AH2632" s="4">
        <v>77</v>
      </c>
      <c r="AI2632" s="4">
        <v>109</v>
      </c>
      <c r="AJ2632" s="4">
        <v>19</v>
      </c>
      <c r="AK2632" s="4">
        <v>27</v>
      </c>
      <c r="AL2632" s="4">
        <v>41</v>
      </c>
      <c r="AM2632" s="4">
        <v>59</v>
      </c>
      <c r="AN2632" s="4">
        <v>0</v>
      </c>
      <c r="AO2632" s="4">
        <v>0</v>
      </c>
      <c r="AP2632" s="4">
        <v>27</v>
      </c>
      <c r="AQ2632" s="4">
        <v>36</v>
      </c>
      <c r="AR2632" s="3" t="s">
        <v>62</v>
      </c>
      <c r="AS2632" s="3" t="s">
        <v>62</v>
      </c>
      <c r="AT2632" s="3" t="s">
        <v>61</v>
      </c>
      <c r="AU2632" s="6" t="str">
        <f>HYPERLINK("http://catalog.hathitrust.org/Record/000356752","HathiTrust Record")</f>
        <v>HathiTrust Record</v>
      </c>
      <c r="AV2632" s="6" t="str">
        <f>HYPERLINK("http://mcgill.on.worldcat.org/oclc/528941","Catalog Record")</f>
        <v>Catalog Record</v>
      </c>
      <c r="AW2632" s="6" t="str">
        <f>HYPERLINK("http://www.worldcat.org/oclc/528941","WorldCat Record")</f>
        <v>WorldCat Record</v>
      </c>
      <c r="AX2632" s="3" t="s">
        <v>25432</v>
      </c>
      <c r="AY2632" s="3" t="s">
        <v>25433</v>
      </c>
      <c r="AZ2632" s="3" t="s">
        <v>25434</v>
      </c>
      <c r="BA2632" s="3" t="s">
        <v>25434</v>
      </c>
      <c r="BB2632" s="3" t="s">
        <v>25440</v>
      </c>
      <c r="BC2632" s="3" t="s">
        <v>102</v>
      </c>
      <c r="BD2632" s="3" t="s">
        <v>68</v>
      </c>
      <c r="BF2632" s="3" t="s">
        <v>25440</v>
      </c>
      <c r="BG2632" s="3" t="s">
        <v>25441</v>
      </c>
    </row>
    <row r="2633" spans="1:59" ht="58" x14ac:dyDescent="0.35">
      <c r="A2633" s="2" t="s">
        <v>89</v>
      </c>
      <c r="B2633" s="2" t="s">
        <v>90</v>
      </c>
      <c r="C2633" s="2" t="s">
        <v>25442</v>
      </c>
      <c r="D2633" s="2" t="s">
        <v>25443</v>
      </c>
      <c r="E2633" s="2" t="s">
        <v>25444</v>
      </c>
      <c r="G2633" s="3" t="s">
        <v>62</v>
      </c>
      <c r="I2633" s="3" t="s">
        <v>62</v>
      </c>
      <c r="J2633" s="3" t="s">
        <v>61</v>
      </c>
      <c r="K2633" s="3" t="s">
        <v>63</v>
      </c>
      <c r="L2633" s="2" t="s">
        <v>25445</v>
      </c>
      <c r="M2633" s="2" t="s">
        <v>25446</v>
      </c>
      <c r="N2633" s="3" t="s">
        <v>7622</v>
      </c>
      <c r="P2633" s="3" t="s">
        <v>64</v>
      </c>
      <c r="R2633" s="3" t="s">
        <v>13065</v>
      </c>
      <c r="S2633" s="4">
        <v>6</v>
      </c>
      <c r="T2633" s="4">
        <v>6</v>
      </c>
      <c r="U2633" s="5" t="s">
        <v>1118</v>
      </c>
      <c r="V2633" s="5" t="s">
        <v>1118</v>
      </c>
      <c r="W2633" s="5" t="s">
        <v>67</v>
      </c>
      <c r="X2633" s="5" t="s">
        <v>67</v>
      </c>
      <c r="Y2633" s="4">
        <v>9</v>
      </c>
      <c r="Z2633" s="4">
        <v>2</v>
      </c>
      <c r="AA2633" s="4">
        <v>31</v>
      </c>
      <c r="AB2633" s="4">
        <v>1</v>
      </c>
      <c r="AC2633" s="4">
        <v>5</v>
      </c>
      <c r="AD2633" s="4">
        <v>6</v>
      </c>
      <c r="AE2633" s="4">
        <v>107</v>
      </c>
      <c r="AF2633" s="4">
        <v>0</v>
      </c>
      <c r="AG2633" s="4">
        <v>4</v>
      </c>
      <c r="AH2633" s="4">
        <v>5</v>
      </c>
      <c r="AI2633" s="4">
        <v>90</v>
      </c>
      <c r="AJ2633" s="4">
        <v>1</v>
      </c>
      <c r="AK2633" s="4">
        <v>21</v>
      </c>
      <c r="AL2633" s="4">
        <v>2</v>
      </c>
      <c r="AM2633" s="4">
        <v>53</v>
      </c>
      <c r="AN2633" s="4">
        <v>0</v>
      </c>
      <c r="AO2633" s="4">
        <v>0</v>
      </c>
      <c r="AP2633" s="4">
        <v>1</v>
      </c>
      <c r="AQ2633" s="4">
        <v>25</v>
      </c>
      <c r="AR2633" s="3" t="s">
        <v>62</v>
      </c>
      <c r="AS2633" s="3" t="s">
        <v>62</v>
      </c>
      <c r="AT2633" s="3" t="s">
        <v>62</v>
      </c>
      <c r="AV2633" s="6" t="str">
        <f>HYPERLINK("http://mcgill.on.worldcat.org/oclc/30696165","Catalog Record")</f>
        <v>Catalog Record</v>
      </c>
      <c r="AW2633" s="6" t="str">
        <f>HYPERLINK("http://www.worldcat.org/oclc/30696165","WorldCat Record")</f>
        <v>WorldCat Record</v>
      </c>
      <c r="AX2633" s="3" t="s">
        <v>25447</v>
      </c>
      <c r="AY2633" s="3" t="s">
        <v>25448</v>
      </c>
      <c r="AZ2633" s="3" t="s">
        <v>25449</v>
      </c>
      <c r="BA2633" s="3" t="s">
        <v>25449</v>
      </c>
      <c r="BB2633" s="3" t="s">
        <v>25450</v>
      </c>
      <c r="BC2633" s="3" t="s">
        <v>102</v>
      </c>
      <c r="BD2633" s="3" t="s">
        <v>68</v>
      </c>
      <c r="BF2633" s="3" t="s">
        <v>25450</v>
      </c>
      <c r="BG2633" s="3" t="s">
        <v>25451</v>
      </c>
    </row>
    <row r="2634" spans="1:59" ht="58" x14ac:dyDescent="0.35">
      <c r="A2634" s="2" t="s">
        <v>89</v>
      </c>
      <c r="B2634" s="2" t="s">
        <v>90</v>
      </c>
      <c r="C2634" s="2" t="s">
        <v>25452</v>
      </c>
      <c r="D2634" s="2" t="s">
        <v>25453</v>
      </c>
      <c r="E2634" s="2" t="s">
        <v>25454</v>
      </c>
      <c r="G2634" s="3" t="s">
        <v>62</v>
      </c>
      <c r="I2634" s="3" t="s">
        <v>62</v>
      </c>
      <c r="J2634" s="3" t="s">
        <v>61</v>
      </c>
      <c r="K2634" s="3" t="s">
        <v>63</v>
      </c>
      <c r="L2634" s="2" t="s">
        <v>25455</v>
      </c>
      <c r="M2634" s="2" t="s">
        <v>25456</v>
      </c>
      <c r="N2634" s="3" t="s">
        <v>1467</v>
      </c>
      <c r="O2634" s="2" t="s">
        <v>25457</v>
      </c>
      <c r="P2634" s="3" t="s">
        <v>64</v>
      </c>
      <c r="Q2634" s="2" t="s">
        <v>25458</v>
      </c>
      <c r="R2634" s="3" t="s">
        <v>13065</v>
      </c>
      <c r="S2634" s="4">
        <v>16</v>
      </c>
      <c r="T2634" s="4">
        <v>16</v>
      </c>
      <c r="U2634" s="5" t="s">
        <v>25459</v>
      </c>
      <c r="V2634" s="5" t="s">
        <v>25459</v>
      </c>
      <c r="W2634" s="5" t="s">
        <v>67</v>
      </c>
      <c r="X2634" s="5" t="s">
        <v>67</v>
      </c>
      <c r="Y2634" s="4">
        <v>678</v>
      </c>
      <c r="Z2634" s="4">
        <v>21</v>
      </c>
      <c r="AA2634" s="4">
        <v>204</v>
      </c>
      <c r="AB2634" s="4">
        <v>1</v>
      </c>
      <c r="AC2634" s="4">
        <v>28</v>
      </c>
      <c r="AD2634" s="4">
        <v>75</v>
      </c>
      <c r="AE2634" s="4">
        <v>174</v>
      </c>
      <c r="AF2634" s="4">
        <v>0</v>
      </c>
      <c r="AG2634" s="4">
        <v>10</v>
      </c>
      <c r="AH2634" s="4">
        <v>63</v>
      </c>
      <c r="AI2634" s="4">
        <v>117</v>
      </c>
      <c r="AJ2634" s="4">
        <v>9</v>
      </c>
      <c r="AK2634" s="4">
        <v>29</v>
      </c>
      <c r="AL2634" s="4">
        <v>35</v>
      </c>
      <c r="AM2634" s="4">
        <v>64</v>
      </c>
      <c r="AN2634" s="4">
        <v>0</v>
      </c>
      <c r="AO2634" s="4">
        <v>9</v>
      </c>
      <c r="AP2634" s="4">
        <v>14</v>
      </c>
      <c r="AQ2634" s="4">
        <v>61</v>
      </c>
      <c r="AR2634" s="3" t="s">
        <v>62</v>
      </c>
      <c r="AS2634" s="3" t="s">
        <v>62</v>
      </c>
      <c r="AT2634" s="3" t="s">
        <v>61</v>
      </c>
      <c r="AU2634" s="6" t="str">
        <f>HYPERLINK("http://catalog.hathitrust.org/Record/000356897","HathiTrust Record")</f>
        <v>HathiTrust Record</v>
      </c>
      <c r="AV2634" s="6" t="str">
        <f>HYPERLINK("http://mcgill.on.worldcat.org/oclc/280319","Catalog Record")</f>
        <v>Catalog Record</v>
      </c>
      <c r="AW2634" s="6" t="str">
        <f>HYPERLINK("http://www.worldcat.org/oclc/280319","WorldCat Record")</f>
        <v>WorldCat Record</v>
      </c>
      <c r="AX2634" s="3" t="s">
        <v>25460</v>
      </c>
      <c r="AY2634" s="3" t="s">
        <v>25461</v>
      </c>
      <c r="AZ2634" s="3" t="s">
        <v>25462</v>
      </c>
      <c r="BA2634" s="3" t="s">
        <v>25462</v>
      </c>
      <c r="BB2634" s="3" t="s">
        <v>25463</v>
      </c>
      <c r="BC2634" s="3" t="s">
        <v>102</v>
      </c>
      <c r="BD2634" s="3" t="s">
        <v>68</v>
      </c>
      <c r="BE2634" s="3" t="s">
        <v>25464</v>
      </c>
      <c r="BF2634" s="3" t="s">
        <v>25463</v>
      </c>
      <c r="BG2634" s="3" t="s">
        <v>25465</v>
      </c>
    </row>
    <row r="2635" spans="1:59" ht="58" x14ac:dyDescent="0.35">
      <c r="A2635" s="2" t="s">
        <v>89</v>
      </c>
      <c r="B2635" s="2" t="s">
        <v>90</v>
      </c>
      <c r="C2635" s="2" t="s">
        <v>25466</v>
      </c>
      <c r="D2635" s="2" t="s">
        <v>25467</v>
      </c>
      <c r="E2635" s="2" t="s">
        <v>25454</v>
      </c>
      <c r="G2635" s="3" t="s">
        <v>62</v>
      </c>
      <c r="I2635" s="3" t="s">
        <v>62</v>
      </c>
      <c r="J2635" s="3" t="s">
        <v>61</v>
      </c>
      <c r="K2635" s="3" t="s">
        <v>63</v>
      </c>
      <c r="L2635" s="2" t="s">
        <v>25468</v>
      </c>
      <c r="M2635" s="2" t="s">
        <v>25469</v>
      </c>
      <c r="N2635" s="3" t="s">
        <v>327</v>
      </c>
      <c r="P2635" s="3" t="s">
        <v>64</v>
      </c>
      <c r="Q2635" s="2" t="s">
        <v>25470</v>
      </c>
      <c r="R2635" s="3" t="s">
        <v>13065</v>
      </c>
      <c r="S2635" s="4">
        <v>22</v>
      </c>
      <c r="T2635" s="4">
        <v>22</v>
      </c>
      <c r="U2635" s="5" t="s">
        <v>25471</v>
      </c>
      <c r="V2635" s="5" t="s">
        <v>25471</v>
      </c>
      <c r="W2635" s="5" t="s">
        <v>67</v>
      </c>
      <c r="X2635" s="5" t="s">
        <v>67</v>
      </c>
      <c r="Y2635" s="4">
        <v>115</v>
      </c>
      <c r="Z2635" s="4">
        <v>2</v>
      </c>
      <c r="AA2635" s="4">
        <v>204</v>
      </c>
      <c r="AB2635" s="4">
        <v>1</v>
      </c>
      <c r="AC2635" s="4">
        <v>28</v>
      </c>
      <c r="AD2635" s="4">
        <v>11</v>
      </c>
      <c r="AE2635" s="4">
        <v>174</v>
      </c>
      <c r="AF2635" s="4">
        <v>0</v>
      </c>
      <c r="AG2635" s="4">
        <v>10</v>
      </c>
      <c r="AH2635" s="4">
        <v>11</v>
      </c>
      <c r="AI2635" s="4">
        <v>117</v>
      </c>
      <c r="AJ2635" s="4">
        <v>0</v>
      </c>
      <c r="AK2635" s="4">
        <v>29</v>
      </c>
      <c r="AL2635" s="4">
        <v>6</v>
      </c>
      <c r="AM2635" s="4">
        <v>64</v>
      </c>
      <c r="AN2635" s="4">
        <v>0</v>
      </c>
      <c r="AO2635" s="4">
        <v>9</v>
      </c>
      <c r="AP2635" s="4">
        <v>0</v>
      </c>
      <c r="AQ2635" s="4">
        <v>61</v>
      </c>
      <c r="AR2635" s="3" t="s">
        <v>62</v>
      </c>
      <c r="AS2635" s="3" t="s">
        <v>62</v>
      </c>
      <c r="AT2635" s="3" t="s">
        <v>62</v>
      </c>
      <c r="AV2635" s="6" t="str">
        <f>HYPERLINK("http://mcgill.on.worldcat.org/oclc/9322949","Catalog Record")</f>
        <v>Catalog Record</v>
      </c>
      <c r="AW2635" s="6" t="str">
        <f>HYPERLINK("http://www.worldcat.org/oclc/9322949","WorldCat Record")</f>
        <v>WorldCat Record</v>
      </c>
      <c r="AX2635" s="3" t="s">
        <v>25460</v>
      </c>
      <c r="AY2635" s="3" t="s">
        <v>25472</v>
      </c>
      <c r="AZ2635" s="3" t="s">
        <v>25473</v>
      </c>
      <c r="BA2635" s="3" t="s">
        <v>25473</v>
      </c>
      <c r="BB2635" s="3" t="s">
        <v>25474</v>
      </c>
      <c r="BC2635" s="3" t="s">
        <v>102</v>
      </c>
      <c r="BD2635" s="3" t="s">
        <v>231</v>
      </c>
      <c r="BE2635" s="3" t="s">
        <v>25475</v>
      </c>
      <c r="BF2635" s="3" t="s">
        <v>25474</v>
      </c>
      <c r="BG2635" s="3" t="s">
        <v>25476</v>
      </c>
    </row>
    <row r="2636" spans="1:59" ht="58" x14ac:dyDescent="0.35">
      <c r="A2636" s="2" t="s">
        <v>89</v>
      </c>
      <c r="B2636" s="2" t="s">
        <v>90</v>
      </c>
      <c r="C2636" s="2" t="s">
        <v>25477</v>
      </c>
      <c r="D2636" s="2" t="s">
        <v>25478</v>
      </c>
      <c r="E2636" s="2" t="s">
        <v>25479</v>
      </c>
      <c r="G2636" s="3" t="s">
        <v>62</v>
      </c>
      <c r="I2636" s="3" t="s">
        <v>62</v>
      </c>
      <c r="J2636" s="3" t="s">
        <v>61</v>
      </c>
      <c r="K2636" s="3" t="s">
        <v>63</v>
      </c>
      <c r="L2636" s="2" t="s">
        <v>25455</v>
      </c>
      <c r="M2636" s="2" t="s">
        <v>25480</v>
      </c>
      <c r="N2636" s="3" t="s">
        <v>539</v>
      </c>
      <c r="P2636" s="3" t="s">
        <v>64</v>
      </c>
      <c r="Q2636" s="2" t="s">
        <v>25481</v>
      </c>
      <c r="R2636" s="3" t="s">
        <v>13065</v>
      </c>
      <c r="S2636" s="4">
        <v>25</v>
      </c>
      <c r="T2636" s="4">
        <v>25</v>
      </c>
      <c r="U2636" s="5" t="s">
        <v>25482</v>
      </c>
      <c r="V2636" s="5" t="s">
        <v>25482</v>
      </c>
      <c r="W2636" s="5" t="s">
        <v>67</v>
      </c>
      <c r="X2636" s="5" t="s">
        <v>67</v>
      </c>
      <c r="Y2636" s="4">
        <v>268</v>
      </c>
      <c r="Z2636" s="4">
        <v>8</v>
      </c>
      <c r="AA2636" s="4">
        <v>204</v>
      </c>
      <c r="AB2636" s="4">
        <v>1</v>
      </c>
      <c r="AC2636" s="4">
        <v>28</v>
      </c>
      <c r="AD2636" s="4">
        <v>31</v>
      </c>
      <c r="AE2636" s="4">
        <v>174</v>
      </c>
      <c r="AF2636" s="4">
        <v>0</v>
      </c>
      <c r="AG2636" s="4">
        <v>10</v>
      </c>
      <c r="AH2636" s="4">
        <v>27</v>
      </c>
      <c r="AI2636" s="4">
        <v>117</v>
      </c>
      <c r="AJ2636" s="4">
        <v>2</v>
      </c>
      <c r="AK2636" s="4">
        <v>29</v>
      </c>
      <c r="AL2636" s="4">
        <v>16</v>
      </c>
      <c r="AM2636" s="4">
        <v>64</v>
      </c>
      <c r="AN2636" s="4">
        <v>0</v>
      </c>
      <c r="AO2636" s="4">
        <v>9</v>
      </c>
      <c r="AP2636" s="4">
        <v>3</v>
      </c>
      <c r="AQ2636" s="4">
        <v>61</v>
      </c>
      <c r="AR2636" s="3" t="s">
        <v>62</v>
      </c>
      <c r="AS2636" s="3" t="s">
        <v>62</v>
      </c>
      <c r="AT2636" s="3" t="s">
        <v>62</v>
      </c>
      <c r="AV2636" s="6" t="str">
        <f>HYPERLINK("http://mcgill.on.worldcat.org/oclc/38378257","Catalog Record")</f>
        <v>Catalog Record</v>
      </c>
      <c r="AW2636" s="6" t="str">
        <f>HYPERLINK("http://www.worldcat.org/oclc/38378257","WorldCat Record")</f>
        <v>WorldCat Record</v>
      </c>
      <c r="AX2636" s="3" t="s">
        <v>25460</v>
      </c>
      <c r="AY2636" s="3" t="s">
        <v>25483</v>
      </c>
      <c r="AZ2636" s="3" t="s">
        <v>25484</v>
      </c>
      <c r="BA2636" s="3" t="s">
        <v>25484</v>
      </c>
      <c r="BB2636" s="3" t="s">
        <v>25485</v>
      </c>
      <c r="BC2636" s="3" t="s">
        <v>102</v>
      </c>
      <c r="BD2636" s="3" t="s">
        <v>68</v>
      </c>
      <c r="BE2636" s="3" t="s">
        <v>25486</v>
      </c>
      <c r="BF2636" s="3" t="s">
        <v>25485</v>
      </c>
      <c r="BG2636" s="3" t="s">
        <v>25487</v>
      </c>
    </row>
    <row r="2637" spans="1:59" ht="58" x14ac:dyDescent="0.35">
      <c r="A2637" s="2" t="s">
        <v>89</v>
      </c>
      <c r="B2637" s="2" t="s">
        <v>90</v>
      </c>
      <c r="C2637" s="2" t="s">
        <v>25488</v>
      </c>
      <c r="D2637" s="2" t="s">
        <v>25489</v>
      </c>
      <c r="E2637" s="2" t="s">
        <v>25490</v>
      </c>
      <c r="G2637" s="3" t="s">
        <v>62</v>
      </c>
      <c r="I2637" s="3" t="s">
        <v>61</v>
      </c>
      <c r="J2637" s="3" t="s">
        <v>61</v>
      </c>
      <c r="K2637" s="3" t="s">
        <v>63</v>
      </c>
      <c r="L2637" s="2" t="s">
        <v>25468</v>
      </c>
      <c r="M2637" s="2" t="s">
        <v>25491</v>
      </c>
      <c r="N2637" s="3" t="s">
        <v>880</v>
      </c>
      <c r="P2637" s="3" t="s">
        <v>64</v>
      </c>
      <c r="Q2637" s="2" t="s">
        <v>25492</v>
      </c>
      <c r="R2637" s="3" t="s">
        <v>13065</v>
      </c>
      <c r="S2637" s="4">
        <v>25</v>
      </c>
      <c r="T2637" s="4">
        <v>35</v>
      </c>
      <c r="U2637" s="5" t="s">
        <v>18979</v>
      </c>
      <c r="V2637" s="5" t="s">
        <v>18979</v>
      </c>
      <c r="W2637" s="5" t="s">
        <v>67</v>
      </c>
      <c r="X2637" s="5" t="s">
        <v>67</v>
      </c>
      <c r="Y2637" s="4">
        <v>552</v>
      </c>
      <c r="Z2637" s="4">
        <v>24</v>
      </c>
      <c r="AA2637" s="4">
        <v>204</v>
      </c>
      <c r="AB2637" s="4">
        <v>2</v>
      </c>
      <c r="AC2637" s="4">
        <v>28</v>
      </c>
      <c r="AD2637" s="4">
        <v>75</v>
      </c>
      <c r="AE2637" s="4">
        <v>174</v>
      </c>
      <c r="AF2637" s="4">
        <v>1</v>
      </c>
      <c r="AG2637" s="4">
        <v>10</v>
      </c>
      <c r="AH2637" s="4">
        <v>62</v>
      </c>
      <c r="AI2637" s="4">
        <v>117</v>
      </c>
      <c r="AJ2637" s="4">
        <v>10</v>
      </c>
      <c r="AK2637" s="4">
        <v>29</v>
      </c>
      <c r="AL2637" s="4">
        <v>41</v>
      </c>
      <c r="AM2637" s="4">
        <v>64</v>
      </c>
      <c r="AN2637" s="4">
        <v>0</v>
      </c>
      <c r="AO2637" s="4">
        <v>9</v>
      </c>
      <c r="AP2637" s="4">
        <v>15</v>
      </c>
      <c r="AQ2637" s="4">
        <v>61</v>
      </c>
      <c r="AR2637" s="3" t="s">
        <v>62</v>
      </c>
      <c r="AS2637" s="3" t="s">
        <v>62</v>
      </c>
      <c r="AT2637" s="3" t="s">
        <v>61</v>
      </c>
      <c r="AU2637" s="6" t="str">
        <f>HYPERLINK("http://catalog.hathitrust.org/Record/009932599","HathiTrust Record")</f>
        <v>HathiTrust Record</v>
      </c>
      <c r="AV2637" s="6" t="str">
        <f>HYPERLINK("http://mcgill.on.worldcat.org/oclc/421147574","Catalog Record")</f>
        <v>Catalog Record</v>
      </c>
      <c r="AW2637" s="6" t="str">
        <f>HYPERLINK("http://www.worldcat.org/oclc/421147574","WorldCat Record")</f>
        <v>WorldCat Record</v>
      </c>
      <c r="AX2637" s="3" t="s">
        <v>25460</v>
      </c>
      <c r="AY2637" s="3" t="s">
        <v>25493</v>
      </c>
      <c r="AZ2637" s="3" t="s">
        <v>25494</v>
      </c>
      <c r="BA2637" s="3" t="s">
        <v>25494</v>
      </c>
      <c r="BB2637" s="3" t="s">
        <v>25495</v>
      </c>
      <c r="BC2637" s="3" t="s">
        <v>102</v>
      </c>
      <c r="BD2637" s="3" t="s">
        <v>231</v>
      </c>
      <c r="BE2637" s="3" t="s">
        <v>25496</v>
      </c>
      <c r="BF2637" s="3" t="s">
        <v>25495</v>
      </c>
      <c r="BG2637" s="3" t="s">
        <v>25497</v>
      </c>
    </row>
    <row r="2638" spans="1:59" ht="58" x14ac:dyDescent="0.35">
      <c r="A2638" s="2" t="s">
        <v>89</v>
      </c>
      <c r="B2638" s="2" t="s">
        <v>90</v>
      </c>
      <c r="C2638" s="2" t="s">
        <v>25498</v>
      </c>
      <c r="D2638" s="2" t="s">
        <v>25499</v>
      </c>
      <c r="E2638" s="2" t="s">
        <v>25500</v>
      </c>
      <c r="G2638" s="3" t="s">
        <v>62</v>
      </c>
      <c r="I2638" s="3" t="s">
        <v>62</v>
      </c>
      <c r="J2638" s="3" t="s">
        <v>61</v>
      </c>
      <c r="K2638" s="3" t="s">
        <v>63</v>
      </c>
      <c r="L2638" s="2" t="s">
        <v>25468</v>
      </c>
      <c r="M2638" s="2" t="s">
        <v>25501</v>
      </c>
      <c r="N2638" s="3" t="s">
        <v>880</v>
      </c>
      <c r="P2638" s="3" t="s">
        <v>64</v>
      </c>
      <c r="Q2638" s="2" t="s">
        <v>25502</v>
      </c>
      <c r="R2638" s="3" t="s">
        <v>13065</v>
      </c>
      <c r="S2638" s="4">
        <v>13</v>
      </c>
      <c r="T2638" s="4">
        <v>13</v>
      </c>
      <c r="U2638" s="5" t="s">
        <v>25503</v>
      </c>
      <c r="V2638" s="5" t="s">
        <v>25503</v>
      </c>
      <c r="W2638" s="5" t="s">
        <v>67</v>
      </c>
      <c r="X2638" s="5" t="s">
        <v>67</v>
      </c>
      <c r="Y2638" s="4">
        <v>78</v>
      </c>
      <c r="Z2638" s="4">
        <v>13</v>
      </c>
      <c r="AA2638" s="4">
        <v>204</v>
      </c>
      <c r="AB2638" s="4">
        <v>2</v>
      </c>
      <c r="AC2638" s="4">
        <v>28</v>
      </c>
      <c r="AD2638" s="4">
        <v>30</v>
      </c>
      <c r="AE2638" s="4">
        <v>174</v>
      </c>
      <c r="AF2638" s="4">
        <v>0</v>
      </c>
      <c r="AG2638" s="4">
        <v>10</v>
      </c>
      <c r="AH2638" s="4">
        <v>27</v>
      </c>
      <c r="AI2638" s="4">
        <v>117</v>
      </c>
      <c r="AJ2638" s="4">
        <v>6</v>
      </c>
      <c r="AK2638" s="4">
        <v>29</v>
      </c>
      <c r="AL2638" s="4">
        <v>17</v>
      </c>
      <c r="AM2638" s="4">
        <v>64</v>
      </c>
      <c r="AN2638" s="4">
        <v>0</v>
      </c>
      <c r="AO2638" s="4">
        <v>9</v>
      </c>
      <c r="AP2638" s="4">
        <v>6</v>
      </c>
      <c r="AQ2638" s="4">
        <v>61</v>
      </c>
      <c r="AR2638" s="3" t="s">
        <v>61</v>
      </c>
      <c r="AS2638" s="3" t="s">
        <v>62</v>
      </c>
      <c r="AT2638" s="3" t="s">
        <v>62</v>
      </c>
      <c r="AV2638" s="6" t="str">
        <f>HYPERLINK("http://mcgill.on.worldcat.org/oclc/455789594","Catalog Record")</f>
        <v>Catalog Record</v>
      </c>
      <c r="AW2638" s="6" t="str">
        <f>HYPERLINK("http://www.worldcat.org/oclc/455789594","WorldCat Record")</f>
        <v>WorldCat Record</v>
      </c>
      <c r="AX2638" s="3" t="s">
        <v>25460</v>
      </c>
      <c r="AY2638" s="3" t="s">
        <v>25504</v>
      </c>
      <c r="AZ2638" s="3" t="s">
        <v>25505</v>
      </c>
      <c r="BA2638" s="3" t="s">
        <v>25505</v>
      </c>
      <c r="BB2638" s="3" t="s">
        <v>25506</v>
      </c>
      <c r="BC2638" s="3" t="s">
        <v>102</v>
      </c>
      <c r="BD2638" s="3" t="s">
        <v>68</v>
      </c>
      <c r="BE2638" s="3" t="s">
        <v>25507</v>
      </c>
      <c r="BF2638" s="3" t="s">
        <v>25506</v>
      </c>
      <c r="BG2638" s="3" t="s">
        <v>25508</v>
      </c>
    </row>
    <row r="2639" spans="1:59" ht="58" x14ac:dyDescent="0.35">
      <c r="A2639" s="2" t="s">
        <v>89</v>
      </c>
      <c r="B2639" s="2" t="s">
        <v>90</v>
      </c>
      <c r="C2639" s="2" t="s">
        <v>25509</v>
      </c>
      <c r="D2639" s="2" t="s">
        <v>25510</v>
      </c>
      <c r="E2639" s="2" t="s">
        <v>25511</v>
      </c>
      <c r="G2639" s="3" t="s">
        <v>62</v>
      </c>
      <c r="I2639" s="3" t="s">
        <v>62</v>
      </c>
      <c r="J2639" s="3" t="s">
        <v>62</v>
      </c>
      <c r="K2639" s="3" t="s">
        <v>63</v>
      </c>
      <c r="L2639" s="2" t="s">
        <v>25512</v>
      </c>
      <c r="M2639" s="2" t="s">
        <v>25513</v>
      </c>
      <c r="N2639" s="3" t="s">
        <v>327</v>
      </c>
      <c r="O2639" s="2" t="s">
        <v>25514</v>
      </c>
      <c r="P2639" s="3" t="s">
        <v>64</v>
      </c>
      <c r="R2639" s="3" t="s">
        <v>13065</v>
      </c>
      <c r="S2639" s="4">
        <v>7</v>
      </c>
      <c r="T2639" s="4">
        <v>7</v>
      </c>
      <c r="U2639" s="5" t="s">
        <v>25515</v>
      </c>
      <c r="V2639" s="5" t="s">
        <v>25515</v>
      </c>
      <c r="W2639" s="5" t="s">
        <v>67</v>
      </c>
      <c r="X2639" s="5" t="s">
        <v>67</v>
      </c>
      <c r="Y2639" s="4">
        <v>263</v>
      </c>
      <c r="Z2639" s="4">
        <v>7</v>
      </c>
      <c r="AA2639" s="4">
        <v>28</v>
      </c>
      <c r="AB2639" s="4">
        <v>1</v>
      </c>
      <c r="AC2639" s="4">
        <v>3</v>
      </c>
      <c r="AD2639" s="4">
        <v>38</v>
      </c>
      <c r="AE2639" s="4">
        <v>95</v>
      </c>
      <c r="AF2639" s="4">
        <v>0</v>
      </c>
      <c r="AG2639" s="4">
        <v>1</v>
      </c>
      <c r="AH2639" s="4">
        <v>34</v>
      </c>
      <c r="AI2639" s="4">
        <v>83</v>
      </c>
      <c r="AJ2639" s="4">
        <v>2</v>
      </c>
      <c r="AK2639" s="4">
        <v>13</v>
      </c>
      <c r="AL2639" s="4">
        <v>20</v>
      </c>
      <c r="AM2639" s="4">
        <v>48</v>
      </c>
      <c r="AN2639" s="4">
        <v>0</v>
      </c>
      <c r="AO2639" s="4">
        <v>0</v>
      </c>
      <c r="AP2639" s="4">
        <v>3</v>
      </c>
      <c r="AQ2639" s="4">
        <v>19</v>
      </c>
      <c r="AR2639" s="3" t="s">
        <v>62</v>
      </c>
      <c r="AS2639" s="3" t="s">
        <v>62</v>
      </c>
      <c r="AT2639" s="3" t="s">
        <v>62</v>
      </c>
      <c r="AV2639" s="6" t="str">
        <f>HYPERLINK("http://mcgill.on.worldcat.org/oclc/9322950","Catalog Record")</f>
        <v>Catalog Record</v>
      </c>
      <c r="AW2639" s="6" t="str">
        <f>HYPERLINK("http://www.worldcat.org/oclc/9322950","WorldCat Record")</f>
        <v>WorldCat Record</v>
      </c>
      <c r="AX2639" s="3" t="s">
        <v>25516</v>
      </c>
      <c r="AY2639" s="3" t="s">
        <v>25517</v>
      </c>
      <c r="AZ2639" s="3" t="s">
        <v>25518</v>
      </c>
      <c r="BA2639" s="3" t="s">
        <v>25518</v>
      </c>
      <c r="BB2639" s="3" t="s">
        <v>25519</v>
      </c>
      <c r="BC2639" s="3" t="s">
        <v>102</v>
      </c>
      <c r="BD2639" s="3" t="s">
        <v>68</v>
      </c>
      <c r="BE2639" s="3" t="s">
        <v>25520</v>
      </c>
      <c r="BF2639" s="3" t="s">
        <v>25519</v>
      </c>
      <c r="BG2639" s="3" t="s">
        <v>25521</v>
      </c>
    </row>
    <row r="2640" spans="1:59" ht="58" x14ac:dyDescent="0.35">
      <c r="A2640" s="2" t="s">
        <v>89</v>
      </c>
      <c r="B2640" s="2" t="s">
        <v>90</v>
      </c>
      <c r="C2640" s="2" t="s">
        <v>25522</v>
      </c>
      <c r="D2640" s="2" t="s">
        <v>25523</v>
      </c>
      <c r="E2640" s="2" t="s">
        <v>25524</v>
      </c>
      <c r="G2640" s="3" t="s">
        <v>62</v>
      </c>
      <c r="I2640" s="3" t="s">
        <v>62</v>
      </c>
      <c r="J2640" s="3" t="s">
        <v>61</v>
      </c>
      <c r="K2640" s="3" t="s">
        <v>63</v>
      </c>
      <c r="L2640" s="2" t="s">
        <v>25525</v>
      </c>
      <c r="M2640" s="2" t="s">
        <v>25526</v>
      </c>
      <c r="N2640" s="3" t="s">
        <v>19885</v>
      </c>
      <c r="O2640" s="2" t="s">
        <v>25527</v>
      </c>
      <c r="P2640" s="3" t="s">
        <v>64</v>
      </c>
      <c r="R2640" s="3" t="s">
        <v>13065</v>
      </c>
      <c r="S2640" s="4">
        <v>11</v>
      </c>
      <c r="T2640" s="4">
        <v>11</v>
      </c>
      <c r="U2640" s="5" t="s">
        <v>8791</v>
      </c>
      <c r="V2640" s="5" t="s">
        <v>8791</v>
      </c>
      <c r="W2640" s="5" t="s">
        <v>67</v>
      </c>
      <c r="X2640" s="5" t="s">
        <v>67</v>
      </c>
      <c r="Y2640" s="4">
        <v>11</v>
      </c>
      <c r="Z2640" s="4">
        <v>2</v>
      </c>
      <c r="AA2640" s="4">
        <v>9</v>
      </c>
      <c r="AB2640" s="4">
        <v>1</v>
      </c>
      <c r="AC2640" s="4">
        <v>2</v>
      </c>
      <c r="AD2640" s="4">
        <v>5</v>
      </c>
      <c r="AE2640" s="4">
        <v>50</v>
      </c>
      <c r="AF2640" s="4">
        <v>0</v>
      </c>
      <c r="AG2640" s="4">
        <v>1</v>
      </c>
      <c r="AH2640" s="4">
        <v>5</v>
      </c>
      <c r="AI2640" s="4">
        <v>45</v>
      </c>
      <c r="AJ2640" s="4">
        <v>1</v>
      </c>
      <c r="AK2640" s="4">
        <v>6</v>
      </c>
      <c r="AL2640" s="4">
        <v>3</v>
      </c>
      <c r="AM2640" s="4">
        <v>31</v>
      </c>
      <c r="AN2640" s="4">
        <v>0</v>
      </c>
      <c r="AO2640" s="4">
        <v>4</v>
      </c>
      <c r="AP2640" s="4">
        <v>1</v>
      </c>
      <c r="AQ2640" s="4">
        <v>6</v>
      </c>
      <c r="AR2640" s="3" t="s">
        <v>62</v>
      </c>
      <c r="AS2640" s="3" t="s">
        <v>62</v>
      </c>
      <c r="AT2640" s="3" t="s">
        <v>62</v>
      </c>
      <c r="AV2640" s="6" t="str">
        <f>HYPERLINK("http://mcgill.on.worldcat.org/oclc/9247381","Catalog Record")</f>
        <v>Catalog Record</v>
      </c>
      <c r="AW2640" s="6" t="str">
        <f>HYPERLINK("http://www.worldcat.org/oclc/9247381","WorldCat Record")</f>
        <v>WorldCat Record</v>
      </c>
      <c r="AX2640" s="3" t="s">
        <v>25528</v>
      </c>
      <c r="AY2640" s="3" t="s">
        <v>25529</v>
      </c>
      <c r="AZ2640" s="3" t="s">
        <v>25530</v>
      </c>
      <c r="BA2640" s="3" t="s">
        <v>25530</v>
      </c>
      <c r="BB2640" s="3" t="s">
        <v>25531</v>
      </c>
      <c r="BC2640" s="3" t="s">
        <v>102</v>
      </c>
      <c r="BD2640" s="3" t="s">
        <v>68</v>
      </c>
      <c r="BF2640" s="3" t="s">
        <v>25531</v>
      </c>
      <c r="BG2640" s="3" t="s">
        <v>25532</v>
      </c>
    </row>
    <row r="2641" spans="1:59" ht="58" x14ac:dyDescent="0.35">
      <c r="A2641" s="2" t="s">
        <v>89</v>
      </c>
      <c r="B2641" s="2" t="s">
        <v>90</v>
      </c>
      <c r="C2641" s="2" t="s">
        <v>25533</v>
      </c>
      <c r="D2641" s="2" t="s">
        <v>25534</v>
      </c>
      <c r="E2641" s="2" t="s">
        <v>25535</v>
      </c>
      <c r="G2641" s="3" t="s">
        <v>62</v>
      </c>
      <c r="I2641" s="3" t="s">
        <v>62</v>
      </c>
      <c r="J2641" s="3" t="s">
        <v>62</v>
      </c>
      <c r="K2641" s="3" t="s">
        <v>63</v>
      </c>
      <c r="L2641" s="2" t="s">
        <v>25536</v>
      </c>
      <c r="M2641" s="2" t="s">
        <v>25537</v>
      </c>
      <c r="N2641" s="3" t="s">
        <v>7622</v>
      </c>
      <c r="P2641" s="3" t="s">
        <v>85</v>
      </c>
      <c r="R2641" s="3" t="s">
        <v>13065</v>
      </c>
      <c r="S2641" s="4">
        <v>8</v>
      </c>
      <c r="T2641" s="4">
        <v>8</v>
      </c>
      <c r="U2641" s="5" t="s">
        <v>25538</v>
      </c>
      <c r="V2641" s="5" t="s">
        <v>25538</v>
      </c>
      <c r="W2641" s="5" t="s">
        <v>67</v>
      </c>
      <c r="X2641" s="5" t="s">
        <v>67</v>
      </c>
      <c r="Y2641" s="4">
        <v>90</v>
      </c>
      <c r="Z2641" s="4">
        <v>7</v>
      </c>
      <c r="AA2641" s="4">
        <v>12</v>
      </c>
      <c r="AB2641" s="4">
        <v>1</v>
      </c>
      <c r="AC2641" s="4">
        <v>3</v>
      </c>
      <c r="AD2641" s="4">
        <v>38</v>
      </c>
      <c r="AE2641" s="4">
        <v>45</v>
      </c>
      <c r="AF2641" s="4">
        <v>0</v>
      </c>
      <c r="AG2641" s="4">
        <v>1</v>
      </c>
      <c r="AH2641" s="4">
        <v>35</v>
      </c>
      <c r="AI2641" s="4">
        <v>39</v>
      </c>
      <c r="AJ2641" s="4">
        <v>5</v>
      </c>
      <c r="AK2641" s="4">
        <v>9</v>
      </c>
      <c r="AL2641" s="4">
        <v>24</v>
      </c>
      <c r="AM2641" s="4">
        <v>26</v>
      </c>
      <c r="AN2641" s="4">
        <v>0</v>
      </c>
      <c r="AO2641" s="4">
        <v>0</v>
      </c>
      <c r="AP2641" s="4">
        <v>5</v>
      </c>
      <c r="AQ2641" s="4">
        <v>7</v>
      </c>
      <c r="AR2641" s="3" t="s">
        <v>62</v>
      </c>
      <c r="AS2641" s="3" t="s">
        <v>62</v>
      </c>
      <c r="AT2641" s="3" t="s">
        <v>61</v>
      </c>
      <c r="AU2641" s="6" t="str">
        <f>HYPERLINK("http://catalog.hathitrust.org/Record/008932535","HathiTrust Record")</f>
        <v>HathiTrust Record</v>
      </c>
      <c r="AV2641" s="6" t="str">
        <f>HYPERLINK("http://mcgill.on.worldcat.org/oclc/1899671","Catalog Record")</f>
        <v>Catalog Record</v>
      </c>
      <c r="AW2641" s="6" t="str">
        <f>HYPERLINK("http://www.worldcat.org/oclc/1899671","WorldCat Record")</f>
        <v>WorldCat Record</v>
      </c>
      <c r="AX2641" s="3" t="s">
        <v>25539</v>
      </c>
      <c r="AY2641" s="3" t="s">
        <v>25540</v>
      </c>
      <c r="AZ2641" s="3" t="s">
        <v>25541</v>
      </c>
      <c r="BA2641" s="3" t="s">
        <v>25541</v>
      </c>
      <c r="BB2641" s="3" t="s">
        <v>25542</v>
      </c>
      <c r="BC2641" s="3" t="s">
        <v>102</v>
      </c>
      <c r="BD2641" s="3" t="s">
        <v>68</v>
      </c>
      <c r="BF2641" s="3" t="s">
        <v>25542</v>
      </c>
      <c r="BG2641" s="3" t="s">
        <v>25543</v>
      </c>
    </row>
    <row r="2642" spans="1:59" ht="58" x14ac:dyDescent="0.35">
      <c r="A2642" s="2" t="s">
        <v>89</v>
      </c>
      <c r="B2642" s="2" t="s">
        <v>90</v>
      </c>
      <c r="C2642" s="2" t="s">
        <v>25544</v>
      </c>
      <c r="D2642" s="2" t="s">
        <v>25545</v>
      </c>
      <c r="E2642" s="2" t="s">
        <v>25546</v>
      </c>
      <c r="G2642" s="3" t="s">
        <v>62</v>
      </c>
      <c r="I2642" s="3" t="s">
        <v>62</v>
      </c>
      <c r="J2642" s="3" t="s">
        <v>62</v>
      </c>
      <c r="K2642" s="3" t="s">
        <v>63</v>
      </c>
      <c r="L2642" s="2" t="s">
        <v>25547</v>
      </c>
      <c r="M2642" s="2" t="s">
        <v>25548</v>
      </c>
      <c r="N2642" s="3" t="s">
        <v>2000</v>
      </c>
      <c r="P2642" s="3" t="s">
        <v>64</v>
      </c>
      <c r="R2642" s="3" t="s">
        <v>13065</v>
      </c>
      <c r="S2642" s="4">
        <v>1</v>
      </c>
      <c r="T2642" s="4">
        <v>1</v>
      </c>
      <c r="U2642" s="5" t="s">
        <v>24087</v>
      </c>
      <c r="V2642" s="5" t="s">
        <v>24087</v>
      </c>
      <c r="W2642" s="5" t="s">
        <v>67</v>
      </c>
      <c r="X2642" s="5" t="s">
        <v>67</v>
      </c>
      <c r="Y2642" s="4">
        <v>55</v>
      </c>
      <c r="Z2642" s="4">
        <v>2</v>
      </c>
      <c r="AA2642" s="4">
        <v>19</v>
      </c>
      <c r="AB2642" s="4">
        <v>1</v>
      </c>
      <c r="AC2642" s="4">
        <v>3</v>
      </c>
      <c r="AD2642" s="4">
        <v>6</v>
      </c>
      <c r="AE2642" s="4">
        <v>94</v>
      </c>
      <c r="AF2642" s="4">
        <v>0</v>
      </c>
      <c r="AG2642" s="4">
        <v>2</v>
      </c>
      <c r="AH2642" s="4">
        <v>6</v>
      </c>
      <c r="AI2642" s="4">
        <v>82</v>
      </c>
      <c r="AJ2642" s="4">
        <v>0</v>
      </c>
      <c r="AK2642" s="4">
        <v>14</v>
      </c>
      <c r="AL2642" s="4">
        <v>2</v>
      </c>
      <c r="AM2642" s="4">
        <v>44</v>
      </c>
      <c r="AN2642" s="4">
        <v>0</v>
      </c>
      <c r="AO2642" s="4">
        <v>0</v>
      </c>
      <c r="AP2642" s="4">
        <v>0</v>
      </c>
      <c r="AQ2642" s="4">
        <v>14</v>
      </c>
      <c r="AR2642" s="3" t="s">
        <v>62</v>
      </c>
      <c r="AS2642" s="3" t="s">
        <v>62</v>
      </c>
      <c r="AT2642" s="3" t="s">
        <v>62</v>
      </c>
      <c r="AV2642" s="6" t="str">
        <f>HYPERLINK("http://mcgill.on.worldcat.org/oclc/38384622","Catalog Record")</f>
        <v>Catalog Record</v>
      </c>
      <c r="AW2642" s="6" t="str">
        <f>HYPERLINK("http://www.worldcat.org/oclc/38384622","WorldCat Record")</f>
        <v>WorldCat Record</v>
      </c>
      <c r="AX2642" s="3" t="s">
        <v>25549</v>
      </c>
      <c r="AY2642" s="3" t="s">
        <v>25550</v>
      </c>
      <c r="AZ2642" s="3" t="s">
        <v>25551</v>
      </c>
      <c r="BA2642" s="3" t="s">
        <v>25551</v>
      </c>
      <c r="BB2642" s="3" t="s">
        <v>25552</v>
      </c>
      <c r="BC2642" s="3" t="s">
        <v>102</v>
      </c>
      <c r="BD2642" s="3" t="s">
        <v>68</v>
      </c>
      <c r="BE2642" s="3" t="s">
        <v>25553</v>
      </c>
      <c r="BF2642" s="3" t="s">
        <v>25552</v>
      </c>
      <c r="BG2642" s="3" t="s">
        <v>25554</v>
      </c>
    </row>
    <row r="2643" spans="1:59" ht="101.5" x14ac:dyDescent="0.35">
      <c r="A2643" s="2" t="s">
        <v>89</v>
      </c>
      <c r="B2643" s="2" t="s">
        <v>17803</v>
      </c>
      <c r="C2643" s="2" t="s">
        <v>25555</v>
      </c>
      <c r="D2643" s="2" t="s">
        <v>25556</v>
      </c>
      <c r="E2643" s="2" t="s">
        <v>25557</v>
      </c>
      <c r="G2643" s="3" t="s">
        <v>62</v>
      </c>
      <c r="I2643" s="3" t="s">
        <v>62</v>
      </c>
      <c r="J2643" s="3" t="s">
        <v>62</v>
      </c>
      <c r="K2643" s="3" t="s">
        <v>63</v>
      </c>
      <c r="M2643" s="2" t="s">
        <v>25558</v>
      </c>
      <c r="N2643" s="3" t="s">
        <v>698</v>
      </c>
      <c r="P2643" s="3" t="s">
        <v>64</v>
      </c>
      <c r="R2643" s="3" t="s">
        <v>13065</v>
      </c>
      <c r="S2643" s="4">
        <v>1</v>
      </c>
      <c r="T2643" s="4">
        <v>1</v>
      </c>
      <c r="U2643" s="5" t="s">
        <v>1954</v>
      </c>
      <c r="V2643" s="5" t="s">
        <v>1954</v>
      </c>
      <c r="W2643" s="5" t="s">
        <v>67</v>
      </c>
      <c r="X2643" s="5" t="s">
        <v>67</v>
      </c>
      <c r="Y2643" s="4">
        <v>11</v>
      </c>
      <c r="Z2643" s="4">
        <v>2</v>
      </c>
      <c r="AA2643" s="4">
        <v>3</v>
      </c>
      <c r="AB2643" s="4">
        <v>2</v>
      </c>
      <c r="AC2643" s="4">
        <v>3</v>
      </c>
      <c r="AD2643" s="4">
        <v>2</v>
      </c>
      <c r="AE2643" s="4">
        <v>3</v>
      </c>
      <c r="AF2643" s="4">
        <v>1</v>
      </c>
      <c r="AG2643" s="4">
        <v>2</v>
      </c>
      <c r="AH2643" s="4">
        <v>1</v>
      </c>
      <c r="AI2643" s="4">
        <v>1</v>
      </c>
      <c r="AJ2643" s="4">
        <v>1</v>
      </c>
      <c r="AK2643" s="4">
        <v>1</v>
      </c>
      <c r="AL2643" s="4">
        <v>0</v>
      </c>
      <c r="AM2643" s="4">
        <v>0</v>
      </c>
      <c r="AN2643" s="4">
        <v>0</v>
      </c>
      <c r="AO2643" s="4">
        <v>0</v>
      </c>
      <c r="AP2643" s="4">
        <v>1</v>
      </c>
      <c r="AQ2643" s="4">
        <v>2</v>
      </c>
      <c r="AR2643" s="3" t="s">
        <v>62</v>
      </c>
      <c r="AS2643" s="3" t="s">
        <v>62</v>
      </c>
      <c r="AT2643" s="3" t="s">
        <v>62</v>
      </c>
      <c r="AV2643" s="6" t="str">
        <f>HYPERLINK("http://mcgill.on.worldcat.org/oclc/811259992","Catalog Record")</f>
        <v>Catalog Record</v>
      </c>
      <c r="AW2643" s="6" t="str">
        <f>HYPERLINK("http://www.worldcat.org/oclc/811259992","WorldCat Record")</f>
        <v>WorldCat Record</v>
      </c>
      <c r="AX2643" s="3" t="s">
        <v>25559</v>
      </c>
      <c r="AY2643" s="3" t="s">
        <v>25560</v>
      </c>
      <c r="AZ2643" s="3" t="s">
        <v>25561</v>
      </c>
      <c r="BA2643" s="3" t="s">
        <v>25561</v>
      </c>
      <c r="BB2643" s="3" t="s">
        <v>25562</v>
      </c>
      <c r="BC2643" s="3" t="s">
        <v>102</v>
      </c>
      <c r="BD2643" s="3" t="s">
        <v>68</v>
      </c>
      <c r="BE2643" s="3" t="s">
        <v>25563</v>
      </c>
      <c r="BF2643" s="3" t="s">
        <v>25562</v>
      </c>
      <c r="BG2643" s="3" t="s">
        <v>25564</v>
      </c>
    </row>
    <row r="2644" spans="1:59" ht="58" x14ac:dyDescent="0.35">
      <c r="A2644" s="2" t="s">
        <v>89</v>
      </c>
      <c r="B2644" s="2" t="s">
        <v>90</v>
      </c>
      <c r="C2644" s="2" t="s">
        <v>25565</v>
      </c>
      <c r="D2644" s="2" t="s">
        <v>25566</v>
      </c>
      <c r="E2644" s="2" t="s">
        <v>25567</v>
      </c>
      <c r="G2644" s="3" t="s">
        <v>62</v>
      </c>
      <c r="I2644" s="3" t="s">
        <v>62</v>
      </c>
      <c r="J2644" s="3" t="s">
        <v>62</v>
      </c>
      <c r="K2644" s="3" t="s">
        <v>63</v>
      </c>
      <c r="L2644" s="2" t="s">
        <v>25568</v>
      </c>
      <c r="M2644" s="2" t="s">
        <v>25569</v>
      </c>
      <c r="N2644" s="3" t="s">
        <v>5051</v>
      </c>
      <c r="P2644" s="3" t="s">
        <v>64</v>
      </c>
      <c r="R2644" s="3" t="s">
        <v>13065</v>
      </c>
      <c r="S2644" s="4">
        <v>4</v>
      </c>
      <c r="T2644" s="4">
        <v>4</v>
      </c>
      <c r="U2644" s="5" t="s">
        <v>13477</v>
      </c>
      <c r="V2644" s="5" t="s">
        <v>13477</v>
      </c>
      <c r="W2644" s="5" t="s">
        <v>67</v>
      </c>
      <c r="X2644" s="5" t="s">
        <v>67</v>
      </c>
      <c r="Y2644" s="4">
        <v>6</v>
      </c>
      <c r="Z2644" s="4">
        <v>3</v>
      </c>
      <c r="AA2644" s="4">
        <v>4</v>
      </c>
      <c r="AB2644" s="4">
        <v>1</v>
      </c>
      <c r="AC2644" s="4">
        <v>1</v>
      </c>
      <c r="AD2644" s="4">
        <v>3</v>
      </c>
      <c r="AE2644" s="4">
        <v>6</v>
      </c>
      <c r="AF2644" s="4">
        <v>0</v>
      </c>
      <c r="AG2644" s="4">
        <v>0</v>
      </c>
      <c r="AH2644" s="4">
        <v>3</v>
      </c>
      <c r="AI2644" s="4">
        <v>6</v>
      </c>
      <c r="AJ2644" s="4">
        <v>1</v>
      </c>
      <c r="AK2644" s="4">
        <v>2</v>
      </c>
      <c r="AL2644" s="4">
        <v>2</v>
      </c>
      <c r="AM2644" s="4">
        <v>4</v>
      </c>
      <c r="AN2644" s="4">
        <v>0</v>
      </c>
      <c r="AO2644" s="4">
        <v>0</v>
      </c>
      <c r="AP2644" s="4">
        <v>1</v>
      </c>
      <c r="AQ2644" s="4">
        <v>2</v>
      </c>
      <c r="AR2644" s="3" t="s">
        <v>62</v>
      </c>
      <c r="AS2644" s="3" t="s">
        <v>62</v>
      </c>
      <c r="AT2644" s="3" t="s">
        <v>62</v>
      </c>
      <c r="AV2644" s="6" t="str">
        <f>HYPERLINK("http://mcgill.on.worldcat.org/oclc/61597886","Catalog Record")</f>
        <v>Catalog Record</v>
      </c>
      <c r="AW2644" s="6" t="str">
        <f>HYPERLINK("http://www.worldcat.org/oclc/61597886","WorldCat Record")</f>
        <v>WorldCat Record</v>
      </c>
      <c r="AX2644" s="3" t="s">
        <v>25570</v>
      </c>
      <c r="AY2644" s="3" t="s">
        <v>25571</v>
      </c>
      <c r="AZ2644" s="3" t="s">
        <v>25572</v>
      </c>
      <c r="BA2644" s="3" t="s">
        <v>25572</v>
      </c>
      <c r="BB2644" s="3" t="s">
        <v>25573</v>
      </c>
      <c r="BC2644" s="3" t="s">
        <v>102</v>
      </c>
      <c r="BD2644" s="3" t="s">
        <v>68</v>
      </c>
      <c r="BF2644" s="3" t="s">
        <v>25573</v>
      </c>
      <c r="BG2644" s="3" t="s">
        <v>25574</v>
      </c>
    </row>
    <row r="2645" spans="1:59" ht="58" x14ac:dyDescent="0.35">
      <c r="A2645" s="2" t="s">
        <v>89</v>
      </c>
      <c r="B2645" s="2" t="s">
        <v>90</v>
      </c>
      <c r="C2645" s="2" t="s">
        <v>25575</v>
      </c>
      <c r="D2645" s="2" t="s">
        <v>25576</v>
      </c>
      <c r="E2645" s="2" t="s">
        <v>25577</v>
      </c>
      <c r="G2645" s="3" t="s">
        <v>62</v>
      </c>
      <c r="I2645" s="3" t="s">
        <v>62</v>
      </c>
      <c r="J2645" s="3" t="s">
        <v>62</v>
      </c>
      <c r="K2645" s="3" t="s">
        <v>63</v>
      </c>
      <c r="L2645" s="2" t="s">
        <v>25578</v>
      </c>
      <c r="M2645" s="2" t="s">
        <v>25579</v>
      </c>
      <c r="N2645" s="3" t="s">
        <v>25335</v>
      </c>
      <c r="P2645" s="3" t="s">
        <v>1881</v>
      </c>
      <c r="R2645" s="3" t="s">
        <v>13065</v>
      </c>
      <c r="S2645" s="4">
        <v>9</v>
      </c>
      <c r="T2645" s="4">
        <v>9</v>
      </c>
      <c r="U2645" s="5" t="s">
        <v>13477</v>
      </c>
      <c r="V2645" s="5" t="s">
        <v>13477</v>
      </c>
      <c r="W2645" s="5" t="s">
        <v>67</v>
      </c>
      <c r="X2645" s="5" t="s">
        <v>67</v>
      </c>
      <c r="Y2645" s="4">
        <v>6</v>
      </c>
      <c r="Z2645" s="4">
        <v>1</v>
      </c>
      <c r="AA2645" s="4">
        <v>7</v>
      </c>
      <c r="AB2645" s="4">
        <v>1</v>
      </c>
      <c r="AC2645" s="4">
        <v>1</v>
      </c>
      <c r="AD2645" s="4">
        <v>1</v>
      </c>
      <c r="AE2645" s="4">
        <v>47</v>
      </c>
      <c r="AF2645" s="4">
        <v>0</v>
      </c>
      <c r="AG2645" s="4">
        <v>0</v>
      </c>
      <c r="AH2645" s="4">
        <v>1</v>
      </c>
      <c r="AI2645" s="4">
        <v>45</v>
      </c>
      <c r="AJ2645" s="4">
        <v>0</v>
      </c>
      <c r="AK2645" s="4">
        <v>6</v>
      </c>
      <c r="AL2645" s="4">
        <v>1</v>
      </c>
      <c r="AM2645" s="4">
        <v>32</v>
      </c>
      <c r="AN2645" s="4">
        <v>0</v>
      </c>
      <c r="AO2645" s="4">
        <v>0</v>
      </c>
      <c r="AP2645" s="4">
        <v>0</v>
      </c>
      <c r="AQ2645" s="4">
        <v>6</v>
      </c>
      <c r="AR2645" s="3" t="s">
        <v>62</v>
      </c>
      <c r="AS2645" s="3" t="s">
        <v>62</v>
      </c>
      <c r="AT2645" s="3" t="s">
        <v>62</v>
      </c>
      <c r="AU2645" s="6" t="str">
        <f>HYPERLINK("http://catalog.hathitrust.org/Record/000385348","HathiTrust Record")</f>
        <v>HathiTrust Record</v>
      </c>
      <c r="AV2645" s="6" t="str">
        <f>HYPERLINK("http://mcgill.on.worldcat.org/oclc/221981792","Catalog Record")</f>
        <v>Catalog Record</v>
      </c>
      <c r="AW2645" s="6" t="str">
        <f>HYPERLINK("http://www.worldcat.org/oclc/221981792","WorldCat Record")</f>
        <v>WorldCat Record</v>
      </c>
      <c r="AX2645" s="3" t="s">
        <v>25580</v>
      </c>
      <c r="AY2645" s="3" t="s">
        <v>25581</v>
      </c>
      <c r="AZ2645" s="3" t="s">
        <v>25582</v>
      </c>
      <c r="BA2645" s="3" t="s">
        <v>25582</v>
      </c>
      <c r="BB2645" s="3" t="s">
        <v>25583</v>
      </c>
      <c r="BC2645" s="3" t="s">
        <v>102</v>
      </c>
      <c r="BD2645" s="3" t="s">
        <v>68</v>
      </c>
      <c r="BF2645" s="3" t="s">
        <v>25583</v>
      </c>
      <c r="BG2645" s="3" t="s">
        <v>25584</v>
      </c>
    </row>
    <row r="2646" spans="1:59" ht="58" x14ac:dyDescent="0.35">
      <c r="A2646" s="2" t="s">
        <v>89</v>
      </c>
      <c r="B2646" s="2" t="s">
        <v>90</v>
      </c>
      <c r="C2646" s="2" t="s">
        <v>25585</v>
      </c>
      <c r="D2646" s="2" t="s">
        <v>25586</v>
      </c>
      <c r="E2646" s="2" t="s">
        <v>25587</v>
      </c>
      <c r="G2646" s="3" t="s">
        <v>62</v>
      </c>
      <c r="I2646" s="3" t="s">
        <v>61</v>
      </c>
      <c r="J2646" s="3" t="s">
        <v>62</v>
      </c>
      <c r="K2646" s="3" t="s">
        <v>63</v>
      </c>
      <c r="L2646" s="2" t="s">
        <v>25588</v>
      </c>
      <c r="M2646" s="2" t="s">
        <v>25589</v>
      </c>
      <c r="N2646" s="3" t="s">
        <v>1467</v>
      </c>
      <c r="P2646" s="3" t="s">
        <v>64</v>
      </c>
      <c r="R2646" s="3" t="s">
        <v>13065</v>
      </c>
      <c r="S2646" s="4">
        <v>0</v>
      </c>
      <c r="T2646" s="4">
        <v>25</v>
      </c>
      <c r="V2646" s="5" t="s">
        <v>7576</v>
      </c>
      <c r="W2646" s="5" t="s">
        <v>67</v>
      </c>
      <c r="X2646" s="5" t="s">
        <v>67</v>
      </c>
      <c r="Y2646" s="4">
        <v>303</v>
      </c>
      <c r="Z2646" s="4">
        <v>14</v>
      </c>
      <c r="AA2646" s="4">
        <v>17</v>
      </c>
      <c r="AB2646" s="4">
        <v>1</v>
      </c>
      <c r="AC2646" s="4">
        <v>3</v>
      </c>
      <c r="AD2646" s="4">
        <v>97</v>
      </c>
      <c r="AE2646" s="4">
        <v>100</v>
      </c>
      <c r="AF2646" s="4">
        <v>0</v>
      </c>
      <c r="AG2646" s="4">
        <v>2</v>
      </c>
      <c r="AH2646" s="4">
        <v>89</v>
      </c>
      <c r="AI2646" s="4">
        <v>90</v>
      </c>
      <c r="AJ2646" s="4">
        <v>12</v>
      </c>
      <c r="AK2646" s="4">
        <v>15</v>
      </c>
      <c r="AL2646" s="4">
        <v>51</v>
      </c>
      <c r="AM2646" s="4">
        <v>51</v>
      </c>
      <c r="AN2646" s="4">
        <v>0</v>
      </c>
      <c r="AO2646" s="4">
        <v>0</v>
      </c>
      <c r="AP2646" s="4">
        <v>13</v>
      </c>
      <c r="AQ2646" s="4">
        <v>15</v>
      </c>
      <c r="AR2646" s="3" t="s">
        <v>62</v>
      </c>
      <c r="AS2646" s="3" t="s">
        <v>62</v>
      </c>
      <c r="AT2646" s="3" t="s">
        <v>62</v>
      </c>
      <c r="AV2646" s="6" t="str">
        <f>HYPERLINK("http://mcgill.on.worldcat.org/oclc/285258","Catalog Record")</f>
        <v>Catalog Record</v>
      </c>
      <c r="AW2646" s="6" t="str">
        <f>HYPERLINK("http://www.worldcat.org/oclc/285258","WorldCat Record")</f>
        <v>WorldCat Record</v>
      </c>
      <c r="AX2646" s="3" t="s">
        <v>25590</v>
      </c>
      <c r="AY2646" s="3" t="s">
        <v>25591</v>
      </c>
      <c r="AZ2646" s="3" t="s">
        <v>25592</v>
      </c>
      <c r="BA2646" s="3" t="s">
        <v>25592</v>
      </c>
      <c r="BB2646" s="3" t="s">
        <v>25593</v>
      </c>
      <c r="BC2646" s="3" t="s">
        <v>102</v>
      </c>
      <c r="BD2646" s="3" t="s">
        <v>68</v>
      </c>
      <c r="BF2646" s="3" t="s">
        <v>25593</v>
      </c>
      <c r="BG2646" s="3" t="s">
        <v>25594</v>
      </c>
    </row>
    <row r="2647" spans="1:59" ht="101.5" x14ac:dyDescent="0.35">
      <c r="A2647" s="2" t="s">
        <v>89</v>
      </c>
      <c r="B2647" s="2" t="s">
        <v>12301</v>
      </c>
      <c r="C2647" s="2" t="s">
        <v>25595</v>
      </c>
      <c r="D2647" s="2" t="s">
        <v>25596</v>
      </c>
      <c r="E2647" s="2" t="s">
        <v>25597</v>
      </c>
      <c r="G2647" s="3" t="s">
        <v>62</v>
      </c>
      <c r="I2647" s="3" t="s">
        <v>62</v>
      </c>
      <c r="J2647" s="3" t="s">
        <v>61</v>
      </c>
      <c r="K2647" s="3" t="s">
        <v>63</v>
      </c>
      <c r="L2647" s="2" t="s">
        <v>25598</v>
      </c>
      <c r="M2647" s="2" t="s">
        <v>25599</v>
      </c>
      <c r="N2647" s="3" t="s">
        <v>129</v>
      </c>
      <c r="O2647" s="2" t="s">
        <v>10722</v>
      </c>
      <c r="P2647" s="3" t="s">
        <v>64</v>
      </c>
      <c r="R2647" s="3" t="s">
        <v>13065</v>
      </c>
      <c r="S2647" s="4">
        <v>23</v>
      </c>
      <c r="T2647" s="4">
        <v>23</v>
      </c>
      <c r="U2647" s="5" t="s">
        <v>15917</v>
      </c>
      <c r="V2647" s="5" t="s">
        <v>15917</v>
      </c>
      <c r="W2647" s="5" t="s">
        <v>67</v>
      </c>
      <c r="X2647" s="5" t="s">
        <v>67</v>
      </c>
      <c r="Y2647" s="4">
        <v>112</v>
      </c>
      <c r="Z2647" s="4">
        <v>8</v>
      </c>
      <c r="AA2647" s="4">
        <v>69</v>
      </c>
      <c r="AB2647" s="4">
        <v>1</v>
      </c>
      <c r="AC2647" s="4">
        <v>18</v>
      </c>
      <c r="AD2647" s="4">
        <v>36</v>
      </c>
      <c r="AE2647" s="4">
        <v>141</v>
      </c>
      <c r="AF2647" s="4">
        <v>0</v>
      </c>
      <c r="AG2647" s="4">
        <v>8</v>
      </c>
      <c r="AH2647" s="4">
        <v>30</v>
      </c>
      <c r="AI2647" s="4">
        <v>107</v>
      </c>
      <c r="AJ2647" s="4">
        <v>3</v>
      </c>
      <c r="AK2647" s="4">
        <v>27</v>
      </c>
      <c r="AL2647" s="4">
        <v>22</v>
      </c>
      <c r="AM2647" s="4">
        <v>57</v>
      </c>
      <c r="AN2647" s="4">
        <v>0</v>
      </c>
      <c r="AO2647" s="4">
        <v>0</v>
      </c>
      <c r="AP2647" s="4">
        <v>4</v>
      </c>
      <c r="AQ2647" s="4">
        <v>40</v>
      </c>
      <c r="AR2647" s="3" t="s">
        <v>62</v>
      </c>
      <c r="AS2647" s="3" t="s">
        <v>62</v>
      </c>
      <c r="AT2647" s="3" t="s">
        <v>62</v>
      </c>
      <c r="AV2647" s="6" t="str">
        <f>HYPERLINK("http://mcgill.on.worldcat.org/oclc/703208516","Catalog Record")</f>
        <v>Catalog Record</v>
      </c>
      <c r="AW2647" s="6" t="str">
        <f>HYPERLINK("http://www.worldcat.org/oclc/703208516","WorldCat Record")</f>
        <v>WorldCat Record</v>
      </c>
      <c r="AX2647" s="3" t="s">
        <v>25600</v>
      </c>
      <c r="AY2647" s="3" t="s">
        <v>25601</v>
      </c>
      <c r="AZ2647" s="3" t="s">
        <v>25602</v>
      </c>
      <c r="BA2647" s="3" t="s">
        <v>25602</v>
      </c>
      <c r="BB2647" s="3" t="s">
        <v>25603</v>
      </c>
      <c r="BC2647" s="3" t="s">
        <v>102</v>
      </c>
      <c r="BD2647" s="3" t="s">
        <v>68</v>
      </c>
      <c r="BE2647" s="3" t="s">
        <v>25604</v>
      </c>
      <c r="BF2647" s="3" t="s">
        <v>25603</v>
      </c>
      <c r="BG2647" s="3" t="s">
        <v>25605</v>
      </c>
    </row>
    <row r="2648" spans="1:59" ht="101.5" x14ac:dyDescent="0.35">
      <c r="A2648" s="2" t="s">
        <v>89</v>
      </c>
      <c r="B2648" s="2" t="s">
        <v>12301</v>
      </c>
      <c r="C2648" s="2" t="s">
        <v>25606</v>
      </c>
      <c r="D2648" s="2" t="s">
        <v>25607</v>
      </c>
      <c r="E2648" s="2" t="s">
        <v>25608</v>
      </c>
      <c r="G2648" s="3" t="s">
        <v>62</v>
      </c>
      <c r="I2648" s="3" t="s">
        <v>61</v>
      </c>
      <c r="J2648" s="3" t="s">
        <v>61</v>
      </c>
      <c r="K2648" s="3" t="s">
        <v>63</v>
      </c>
      <c r="L2648" s="2" t="s">
        <v>25609</v>
      </c>
      <c r="M2648" s="2" t="s">
        <v>18498</v>
      </c>
      <c r="N2648" s="3" t="s">
        <v>625</v>
      </c>
      <c r="O2648" s="2" t="s">
        <v>2458</v>
      </c>
      <c r="P2648" s="3" t="s">
        <v>64</v>
      </c>
      <c r="Q2648" s="2" t="s">
        <v>25610</v>
      </c>
      <c r="R2648" s="3" t="s">
        <v>13065</v>
      </c>
      <c r="S2648" s="4">
        <v>3</v>
      </c>
      <c r="T2648" s="4">
        <v>7</v>
      </c>
      <c r="U2648" s="5" t="s">
        <v>10647</v>
      </c>
      <c r="V2648" s="5" t="s">
        <v>10647</v>
      </c>
      <c r="W2648" s="5" t="s">
        <v>67</v>
      </c>
      <c r="X2648" s="5" t="s">
        <v>67</v>
      </c>
      <c r="Y2648" s="4">
        <v>202</v>
      </c>
      <c r="Z2648" s="4">
        <v>11</v>
      </c>
      <c r="AA2648" s="4">
        <v>37</v>
      </c>
      <c r="AB2648" s="4">
        <v>2</v>
      </c>
      <c r="AC2648" s="4">
        <v>10</v>
      </c>
      <c r="AD2648" s="4">
        <v>55</v>
      </c>
      <c r="AE2648" s="4">
        <v>112</v>
      </c>
      <c r="AF2648" s="4">
        <v>1</v>
      </c>
      <c r="AG2648" s="4">
        <v>5</v>
      </c>
      <c r="AH2648" s="4">
        <v>50</v>
      </c>
      <c r="AI2648" s="4">
        <v>97</v>
      </c>
      <c r="AJ2648" s="4">
        <v>8</v>
      </c>
      <c r="AK2648" s="4">
        <v>22</v>
      </c>
      <c r="AL2648" s="4">
        <v>35</v>
      </c>
      <c r="AM2648" s="4">
        <v>53</v>
      </c>
      <c r="AN2648" s="4">
        <v>0</v>
      </c>
      <c r="AO2648" s="4">
        <v>0</v>
      </c>
      <c r="AP2648" s="4">
        <v>8</v>
      </c>
      <c r="AQ2648" s="4">
        <v>25</v>
      </c>
      <c r="AR2648" s="3" t="s">
        <v>62</v>
      </c>
      <c r="AS2648" s="3" t="s">
        <v>62</v>
      </c>
      <c r="AT2648" s="3" t="s">
        <v>62</v>
      </c>
      <c r="AV2648" s="6" t="str">
        <f>HYPERLINK("http://mcgill.on.worldcat.org/oclc/49551243","Catalog Record")</f>
        <v>Catalog Record</v>
      </c>
      <c r="AW2648" s="6" t="str">
        <f>HYPERLINK("http://www.worldcat.org/oclc/49551243","WorldCat Record")</f>
        <v>WorldCat Record</v>
      </c>
      <c r="AX2648" s="3" t="s">
        <v>25611</v>
      </c>
      <c r="AY2648" s="3" t="s">
        <v>25612</v>
      </c>
      <c r="AZ2648" s="3" t="s">
        <v>25613</v>
      </c>
      <c r="BA2648" s="3" t="s">
        <v>25613</v>
      </c>
      <c r="BB2648" s="3" t="s">
        <v>25614</v>
      </c>
      <c r="BC2648" s="3" t="s">
        <v>102</v>
      </c>
      <c r="BD2648" s="3" t="s">
        <v>68</v>
      </c>
      <c r="BE2648" s="3" t="s">
        <v>25615</v>
      </c>
      <c r="BF2648" s="3" t="s">
        <v>25614</v>
      </c>
      <c r="BG2648" s="3" t="s">
        <v>25616</v>
      </c>
    </row>
    <row r="2649" spans="1:59" ht="58" x14ac:dyDescent="0.35">
      <c r="A2649" s="2" t="s">
        <v>89</v>
      </c>
      <c r="B2649" s="2" t="s">
        <v>90</v>
      </c>
      <c r="C2649" s="2" t="s">
        <v>25617</v>
      </c>
      <c r="D2649" s="2" t="s">
        <v>25618</v>
      </c>
      <c r="E2649" s="2" t="s">
        <v>25619</v>
      </c>
      <c r="G2649" s="3" t="s">
        <v>62</v>
      </c>
      <c r="I2649" s="3" t="s">
        <v>62</v>
      </c>
      <c r="J2649" s="3" t="s">
        <v>62</v>
      </c>
      <c r="K2649" s="3" t="s">
        <v>63</v>
      </c>
      <c r="L2649" s="2" t="s">
        <v>25620</v>
      </c>
      <c r="M2649" s="2" t="s">
        <v>25621</v>
      </c>
      <c r="N2649" s="3" t="s">
        <v>1467</v>
      </c>
      <c r="P2649" s="3" t="s">
        <v>64</v>
      </c>
      <c r="Q2649" s="2" t="s">
        <v>25622</v>
      </c>
      <c r="R2649" s="3" t="s">
        <v>13065</v>
      </c>
      <c r="S2649" s="4">
        <v>20</v>
      </c>
      <c r="T2649" s="4">
        <v>20</v>
      </c>
      <c r="U2649" s="5" t="s">
        <v>25623</v>
      </c>
      <c r="V2649" s="5" t="s">
        <v>25623</v>
      </c>
      <c r="W2649" s="5" t="s">
        <v>67</v>
      </c>
      <c r="X2649" s="5" t="s">
        <v>67</v>
      </c>
      <c r="Y2649" s="4">
        <v>338</v>
      </c>
      <c r="Z2649" s="4">
        <v>19</v>
      </c>
      <c r="AA2649" s="4">
        <v>28</v>
      </c>
      <c r="AB2649" s="4">
        <v>1</v>
      </c>
      <c r="AC2649" s="4">
        <v>7</v>
      </c>
      <c r="AD2649" s="4">
        <v>102</v>
      </c>
      <c r="AE2649" s="4">
        <v>112</v>
      </c>
      <c r="AF2649" s="4">
        <v>0</v>
      </c>
      <c r="AG2649" s="4">
        <v>5</v>
      </c>
      <c r="AH2649" s="4">
        <v>94</v>
      </c>
      <c r="AI2649" s="4">
        <v>97</v>
      </c>
      <c r="AJ2649" s="4">
        <v>14</v>
      </c>
      <c r="AK2649" s="4">
        <v>20</v>
      </c>
      <c r="AL2649" s="4">
        <v>57</v>
      </c>
      <c r="AM2649" s="4">
        <v>57</v>
      </c>
      <c r="AN2649" s="4">
        <v>0</v>
      </c>
      <c r="AO2649" s="4">
        <v>5</v>
      </c>
      <c r="AP2649" s="4">
        <v>15</v>
      </c>
      <c r="AQ2649" s="4">
        <v>22</v>
      </c>
      <c r="AR2649" s="3" t="s">
        <v>62</v>
      </c>
      <c r="AS2649" s="3" t="s">
        <v>62</v>
      </c>
      <c r="AT2649" s="3" t="s">
        <v>62</v>
      </c>
      <c r="AV2649" s="6" t="str">
        <f>HYPERLINK("http://mcgill.on.worldcat.org/oclc/1223000","Catalog Record")</f>
        <v>Catalog Record</v>
      </c>
      <c r="AW2649" s="6" t="str">
        <f>HYPERLINK("http://www.worldcat.org/oclc/1223000","WorldCat Record")</f>
        <v>WorldCat Record</v>
      </c>
      <c r="AX2649" s="3" t="s">
        <v>25624</v>
      </c>
      <c r="AY2649" s="3" t="s">
        <v>25625</v>
      </c>
      <c r="AZ2649" s="3" t="s">
        <v>25626</v>
      </c>
      <c r="BA2649" s="3" t="s">
        <v>25626</v>
      </c>
      <c r="BB2649" s="3" t="s">
        <v>25627</v>
      </c>
      <c r="BC2649" s="3" t="s">
        <v>102</v>
      </c>
      <c r="BD2649" s="3" t="s">
        <v>68</v>
      </c>
      <c r="BF2649" s="3" t="s">
        <v>25627</v>
      </c>
      <c r="BG2649" s="3" t="s">
        <v>25628</v>
      </c>
    </row>
    <row r="2650" spans="1:59" ht="58" x14ac:dyDescent="0.35">
      <c r="A2650" s="2" t="s">
        <v>59</v>
      </c>
      <c r="B2650" s="2" t="s">
        <v>60</v>
      </c>
      <c r="C2650" s="2" t="s">
        <v>25629</v>
      </c>
      <c r="D2650" s="2" t="s">
        <v>25630</v>
      </c>
      <c r="E2650" s="2" t="s">
        <v>25631</v>
      </c>
      <c r="F2650" s="3" t="s">
        <v>2233</v>
      </c>
      <c r="G2650" s="3" t="s">
        <v>62</v>
      </c>
      <c r="I2650" s="3" t="s">
        <v>61</v>
      </c>
      <c r="J2650" s="3" t="s">
        <v>61</v>
      </c>
      <c r="K2650" s="3" t="s">
        <v>7988</v>
      </c>
      <c r="L2650" s="2" t="s">
        <v>25632</v>
      </c>
      <c r="M2650" s="2" t="s">
        <v>25633</v>
      </c>
      <c r="N2650" s="3" t="s">
        <v>1291</v>
      </c>
      <c r="P2650" s="3" t="s">
        <v>64</v>
      </c>
      <c r="R2650" s="3" t="s">
        <v>13065</v>
      </c>
      <c r="S2650" s="4">
        <v>0</v>
      </c>
      <c r="T2650" s="4">
        <v>54</v>
      </c>
      <c r="V2650" s="5" t="s">
        <v>8039</v>
      </c>
      <c r="W2650" s="5" t="s">
        <v>67</v>
      </c>
      <c r="X2650" s="5" t="s">
        <v>67</v>
      </c>
      <c r="Y2650" s="4">
        <v>1</v>
      </c>
      <c r="Z2650" s="4">
        <v>1</v>
      </c>
      <c r="AA2650" s="4">
        <v>62</v>
      </c>
      <c r="AB2650" s="4">
        <v>1</v>
      </c>
      <c r="AC2650" s="4">
        <v>8</v>
      </c>
      <c r="AD2650" s="4">
        <v>0</v>
      </c>
      <c r="AE2650" s="4">
        <v>153</v>
      </c>
      <c r="AF2650" s="4">
        <v>0</v>
      </c>
      <c r="AG2650" s="4">
        <v>7</v>
      </c>
      <c r="AH2650" s="4">
        <v>0</v>
      </c>
      <c r="AI2650" s="4">
        <v>116</v>
      </c>
      <c r="AJ2650" s="4">
        <v>0</v>
      </c>
      <c r="AK2650" s="4">
        <v>26</v>
      </c>
      <c r="AL2650" s="4">
        <v>0</v>
      </c>
      <c r="AM2650" s="4">
        <v>62</v>
      </c>
      <c r="AN2650" s="4">
        <v>0</v>
      </c>
      <c r="AO2650" s="4">
        <v>0</v>
      </c>
      <c r="AP2650" s="4">
        <v>0</v>
      </c>
      <c r="AQ2650" s="4">
        <v>43</v>
      </c>
      <c r="AR2650" s="3" t="s">
        <v>62</v>
      </c>
      <c r="AS2650" s="3" t="s">
        <v>62</v>
      </c>
      <c r="AT2650" s="3" t="s">
        <v>62</v>
      </c>
      <c r="AV2650" s="6" t="str">
        <f>HYPERLINK("http://mcgill.on.worldcat.org/oclc/427034963","Catalog Record")</f>
        <v>Catalog Record</v>
      </c>
      <c r="AW2650" s="6" t="str">
        <f>HYPERLINK("http://www.worldcat.org/oclc/427034963","WorldCat Record")</f>
        <v>WorldCat Record</v>
      </c>
      <c r="AX2650" s="3" t="s">
        <v>25634</v>
      </c>
      <c r="AY2650" s="3" t="s">
        <v>25635</v>
      </c>
      <c r="AZ2650" s="3" t="s">
        <v>25636</v>
      </c>
      <c r="BA2650" s="3" t="s">
        <v>25636</v>
      </c>
      <c r="BB2650" s="3" t="s">
        <v>25637</v>
      </c>
      <c r="BC2650" s="3" t="s">
        <v>102</v>
      </c>
      <c r="BD2650" s="3" t="s">
        <v>68</v>
      </c>
      <c r="BE2650" s="3" t="s">
        <v>25638</v>
      </c>
      <c r="BF2650" s="3" t="s">
        <v>25637</v>
      </c>
      <c r="BG2650" s="3" t="s">
        <v>25639</v>
      </c>
    </row>
    <row r="2651" spans="1:59" ht="58" x14ac:dyDescent="0.35">
      <c r="A2651" s="2" t="s">
        <v>89</v>
      </c>
      <c r="B2651" s="2" t="s">
        <v>90</v>
      </c>
      <c r="C2651" s="2" t="s">
        <v>25640</v>
      </c>
      <c r="D2651" s="2" t="s">
        <v>25641</v>
      </c>
      <c r="E2651" s="2" t="s">
        <v>25642</v>
      </c>
      <c r="F2651" s="3" t="s">
        <v>2223</v>
      </c>
      <c r="G2651" s="3" t="s">
        <v>61</v>
      </c>
      <c r="I2651" s="3" t="s">
        <v>62</v>
      </c>
      <c r="J2651" s="3" t="s">
        <v>62</v>
      </c>
      <c r="K2651" s="3" t="s">
        <v>63</v>
      </c>
      <c r="L2651" s="2" t="s">
        <v>25643</v>
      </c>
      <c r="M2651" s="2" t="s">
        <v>25644</v>
      </c>
      <c r="N2651" s="3" t="s">
        <v>838</v>
      </c>
      <c r="P2651" s="3" t="s">
        <v>64</v>
      </c>
      <c r="R2651" s="3" t="s">
        <v>25645</v>
      </c>
      <c r="S2651" s="4">
        <v>0</v>
      </c>
      <c r="T2651" s="4">
        <v>4</v>
      </c>
      <c r="V2651" s="5" t="s">
        <v>173</v>
      </c>
      <c r="W2651" s="5" t="s">
        <v>67</v>
      </c>
      <c r="X2651" s="5" t="s">
        <v>67</v>
      </c>
      <c r="Y2651" s="4">
        <v>18</v>
      </c>
      <c r="Z2651" s="4">
        <v>1</v>
      </c>
      <c r="AA2651" s="4">
        <v>1</v>
      </c>
      <c r="AB2651" s="4">
        <v>1</v>
      </c>
      <c r="AC2651" s="4">
        <v>1</v>
      </c>
      <c r="AD2651" s="4">
        <v>5</v>
      </c>
      <c r="AE2651" s="4">
        <v>5</v>
      </c>
      <c r="AF2651" s="4">
        <v>0</v>
      </c>
      <c r="AG2651" s="4">
        <v>0</v>
      </c>
      <c r="AH2651" s="4">
        <v>5</v>
      </c>
      <c r="AI2651" s="4">
        <v>5</v>
      </c>
      <c r="AJ2651" s="4">
        <v>0</v>
      </c>
      <c r="AK2651" s="4">
        <v>0</v>
      </c>
      <c r="AL2651" s="4">
        <v>3</v>
      </c>
      <c r="AM2651" s="4">
        <v>3</v>
      </c>
      <c r="AN2651" s="4">
        <v>0</v>
      </c>
      <c r="AO2651" s="4">
        <v>0</v>
      </c>
      <c r="AP2651" s="4">
        <v>0</v>
      </c>
      <c r="AQ2651" s="4">
        <v>0</v>
      </c>
      <c r="AR2651" s="3" t="s">
        <v>62</v>
      </c>
      <c r="AS2651" s="3" t="s">
        <v>62</v>
      </c>
      <c r="AT2651" s="3" t="s">
        <v>62</v>
      </c>
      <c r="AV2651" s="6" t="str">
        <f>HYPERLINK("http://mcgill.on.worldcat.org/oclc/1390960","Catalog Record")</f>
        <v>Catalog Record</v>
      </c>
      <c r="AW2651" s="6" t="str">
        <f>HYPERLINK("http://www.worldcat.org/oclc/1390960","WorldCat Record")</f>
        <v>WorldCat Record</v>
      </c>
      <c r="AX2651" s="3" t="s">
        <v>25646</v>
      </c>
      <c r="AY2651" s="3" t="s">
        <v>25647</v>
      </c>
      <c r="AZ2651" s="3" t="s">
        <v>25648</v>
      </c>
      <c r="BA2651" s="3" t="s">
        <v>25648</v>
      </c>
      <c r="BB2651" s="3" t="s">
        <v>25649</v>
      </c>
      <c r="BC2651" s="3" t="s">
        <v>102</v>
      </c>
      <c r="BD2651" s="3" t="s">
        <v>68</v>
      </c>
      <c r="BF2651" s="3" t="s">
        <v>25649</v>
      </c>
      <c r="BG2651" s="3" t="s">
        <v>25650</v>
      </c>
    </row>
    <row r="2652" spans="1:59" ht="58" x14ac:dyDescent="0.35">
      <c r="A2652" s="2" t="s">
        <v>89</v>
      </c>
      <c r="B2652" s="2" t="s">
        <v>90</v>
      </c>
      <c r="C2652" s="2" t="s">
        <v>25640</v>
      </c>
      <c r="D2652" s="2" t="s">
        <v>25641</v>
      </c>
      <c r="E2652" s="2" t="s">
        <v>25642</v>
      </c>
      <c r="F2652" s="3" t="s">
        <v>2214</v>
      </c>
      <c r="G2652" s="3" t="s">
        <v>61</v>
      </c>
      <c r="I2652" s="3" t="s">
        <v>62</v>
      </c>
      <c r="J2652" s="3" t="s">
        <v>62</v>
      </c>
      <c r="K2652" s="3" t="s">
        <v>63</v>
      </c>
      <c r="L2652" s="2" t="s">
        <v>25643</v>
      </c>
      <c r="M2652" s="2" t="s">
        <v>25644</v>
      </c>
      <c r="N2652" s="3" t="s">
        <v>838</v>
      </c>
      <c r="P2652" s="3" t="s">
        <v>64</v>
      </c>
      <c r="R2652" s="3" t="s">
        <v>25645</v>
      </c>
      <c r="S2652" s="4">
        <v>0</v>
      </c>
      <c r="T2652" s="4">
        <v>4</v>
      </c>
      <c r="V2652" s="5" t="s">
        <v>173</v>
      </c>
      <c r="W2652" s="5" t="s">
        <v>67</v>
      </c>
      <c r="X2652" s="5" t="s">
        <v>67</v>
      </c>
      <c r="Y2652" s="4">
        <v>18</v>
      </c>
      <c r="Z2652" s="4">
        <v>1</v>
      </c>
      <c r="AA2652" s="4">
        <v>1</v>
      </c>
      <c r="AB2652" s="4">
        <v>1</v>
      </c>
      <c r="AC2652" s="4">
        <v>1</v>
      </c>
      <c r="AD2652" s="4">
        <v>5</v>
      </c>
      <c r="AE2652" s="4">
        <v>5</v>
      </c>
      <c r="AF2652" s="4">
        <v>0</v>
      </c>
      <c r="AG2652" s="4">
        <v>0</v>
      </c>
      <c r="AH2652" s="4">
        <v>5</v>
      </c>
      <c r="AI2652" s="4">
        <v>5</v>
      </c>
      <c r="AJ2652" s="4">
        <v>0</v>
      </c>
      <c r="AK2652" s="4">
        <v>0</v>
      </c>
      <c r="AL2652" s="4">
        <v>3</v>
      </c>
      <c r="AM2652" s="4">
        <v>3</v>
      </c>
      <c r="AN2652" s="4">
        <v>0</v>
      </c>
      <c r="AO2652" s="4">
        <v>0</v>
      </c>
      <c r="AP2652" s="4">
        <v>0</v>
      </c>
      <c r="AQ2652" s="4">
        <v>0</v>
      </c>
      <c r="AR2652" s="3" t="s">
        <v>62</v>
      </c>
      <c r="AS2652" s="3" t="s">
        <v>62</v>
      </c>
      <c r="AT2652" s="3" t="s">
        <v>62</v>
      </c>
      <c r="AV2652" s="6" t="str">
        <f>HYPERLINK("http://mcgill.on.worldcat.org/oclc/1390960","Catalog Record")</f>
        <v>Catalog Record</v>
      </c>
      <c r="AW2652" s="6" t="str">
        <f>HYPERLINK("http://www.worldcat.org/oclc/1390960","WorldCat Record")</f>
        <v>WorldCat Record</v>
      </c>
      <c r="AX2652" s="3" t="s">
        <v>25646</v>
      </c>
      <c r="AY2652" s="3" t="s">
        <v>25647</v>
      </c>
      <c r="AZ2652" s="3" t="s">
        <v>25648</v>
      </c>
      <c r="BA2652" s="3" t="s">
        <v>25648</v>
      </c>
      <c r="BB2652" s="3" t="s">
        <v>25651</v>
      </c>
      <c r="BC2652" s="3" t="s">
        <v>102</v>
      </c>
      <c r="BD2652" s="3" t="s">
        <v>68</v>
      </c>
      <c r="BF2652" s="3" t="s">
        <v>25651</v>
      </c>
      <c r="BG2652" s="3" t="s">
        <v>25652</v>
      </c>
    </row>
    <row r="2653" spans="1:59" ht="58" x14ac:dyDescent="0.35">
      <c r="A2653" s="2" t="s">
        <v>89</v>
      </c>
      <c r="B2653" s="2" t="s">
        <v>90</v>
      </c>
      <c r="C2653" s="2" t="s">
        <v>25640</v>
      </c>
      <c r="D2653" s="2" t="s">
        <v>25641</v>
      </c>
      <c r="E2653" s="2" t="s">
        <v>25642</v>
      </c>
      <c r="F2653" s="3" t="s">
        <v>2233</v>
      </c>
      <c r="G2653" s="3" t="s">
        <v>61</v>
      </c>
      <c r="I2653" s="3" t="s">
        <v>62</v>
      </c>
      <c r="J2653" s="3" t="s">
        <v>62</v>
      </c>
      <c r="K2653" s="3" t="s">
        <v>63</v>
      </c>
      <c r="L2653" s="2" t="s">
        <v>25643</v>
      </c>
      <c r="M2653" s="2" t="s">
        <v>25644</v>
      </c>
      <c r="N2653" s="3" t="s">
        <v>838</v>
      </c>
      <c r="P2653" s="3" t="s">
        <v>64</v>
      </c>
      <c r="R2653" s="3" t="s">
        <v>25645</v>
      </c>
      <c r="S2653" s="4">
        <v>4</v>
      </c>
      <c r="T2653" s="4">
        <v>4</v>
      </c>
      <c r="U2653" s="5" t="s">
        <v>173</v>
      </c>
      <c r="V2653" s="5" t="s">
        <v>173</v>
      </c>
      <c r="W2653" s="5" t="s">
        <v>67</v>
      </c>
      <c r="X2653" s="5" t="s">
        <v>67</v>
      </c>
      <c r="Y2653" s="4">
        <v>18</v>
      </c>
      <c r="Z2653" s="4">
        <v>1</v>
      </c>
      <c r="AA2653" s="4">
        <v>1</v>
      </c>
      <c r="AB2653" s="4">
        <v>1</v>
      </c>
      <c r="AC2653" s="4">
        <v>1</v>
      </c>
      <c r="AD2653" s="4">
        <v>5</v>
      </c>
      <c r="AE2653" s="4">
        <v>5</v>
      </c>
      <c r="AF2653" s="4">
        <v>0</v>
      </c>
      <c r="AG2653" s="4">
        <v>0</v>
      </c>
      <c r="AH2653" s="4">
        <v>5</v>
      </c>
      <c r="AI2653" s="4">
        <v>5</v>
      </c>
      <c r="AJ2653" s="4">
        <v>0</v>
      </c>
      <c r="AK2653" s="4">
        <v>0</v>
      </c>
      <c r="AL2653" s="4">
        <v>3</v>
      </c>
      <c r="AM2653" s="4">
        <v>3</v>
      </c>
      <c r="AN2653" s="4">
        <v>0</v>
      </c>
      <c r="AO2653" s="4">
        <v>0</v>
      </c>
      <c r="AP2653" s="4">
        <v>0</v>
      </c>
      <c r="AQ2653" s="4">
        <v>0</v>
      </c>
      <c r="AR2653" s="3" t="s">
        <v>62</v>
      </c>
      <c r="AS2653" s="3" t="s">
        <v>62</v>
      </c>
      <c r="AT2653" s="3" t="s">
        <v>62</v>
      </c>
      <c r="AV2653" s="6" t="str">
        <f>HYPERLINK("http://mcgill.on.worldcat.org/oclc/1390960","Catalog Record")</f>
        <v>Catalog Record</v>
      </c>
      <c r="AW2653" s="6" t="str">
        <f>HYPERLINK("http://www.worldcat.org/oclc/1390960","WorldCat Record")</f>
        <v>WorldCat Record</v>
      </c>
      <c r="AX2653" s="3" t="s">
        <v>25646</v>
      </c>
      <c r="AY2653" s="3" t="s">
        <v>25647</v>
      </c>
      <c r="AZ2653" s="3" t="s">
        <v>25648</v>
      </c>
      <c r="BA2653" s="3" t="s">
        <v>25648</v>
      </c>
      <c r="BB2653" s="3" t="s">
        <v>25653</v>
      </c>
      <c r="BC2653" s="3" t="s">
        <v>102</v>
      </c>
      <c r="BD2653" s="3" t="s">
        <v>68</v>
      </c>
      <c r="BF2653" s="3" t="s">
        <v>25653</v>
      </c>
      <c r="BG2653" s="3" t="s">
        <v>25654</v>
      </c>
    </row>
    <row r="2654" spans="1:59" ht="58" x14ac:dyDescent="0.35">
      <c r="A2654" s="2" t="s">
        <v>89</v>
      </c>
      <c r="B2654" s="2" t="s">
        <v>90</v>
      </c>
      <c r="C2654" s="2" t="s">
        <v>25640</v>
      </c>
      <c r="D2654" s="2" t="s">
        <v>25641</v>
      </c>
      <c r="E2654" s="2" t="s">
        <v>25642</v>
      </c>
      <c r="F2654" s="3" t="s">
        <v>2217</v>
      </c>
      <c r="G2654" s="3" t="s">
        <v>61</v>
      </c>
      <c r="I2654" s="3" t="s">
        <v>62</v>
      </c>
      <c r="J2654" s="3" t="s">
        <v>62</v>
      </c>
      <c r="K2654" s="3" t="s">
        <v>63</v>
      </c>
      <c r="L2654" s="2" t="s">
        <v>25643</v>
      </c>
      <c r="M2654" s="2" t="s">
        <v>25644</v>
      </c>
      <c r="N2654" s="3" t="s">
        <v>838</v>
      </c>
      <c r="P2654" s="3" t="s">
        <v>64</v>
      </c>
      <c r="R2654" s="3" t="s">
        <v>25645</v>
      </c>
      <c r="S2654" s="4">
        <v>0</v>
      </c>
      <c r="T2654" s="4">
        <v>4</v>
      </c>
      <c r="V2654" s="5" t="s">
        <v>173</v>
      </c>
      <c r="W2654" s="5" t="s">
        <v>67</v>
      </c>
      <c r="X2654" s="5" t="s">
        <v>67</v>
      </c>
      <c r="Y2654" s="4">
        <v>18</v>
      </c>
      <c r="Z2654" s="4">
        <v>1</v>
      </c>
      <c r="AA2654" s="4">
        <v>1</v>
      </c>
      <c r="AB2654" s="4">
        <v>1</v>
      </c>
      <c r="AC2654" s="4">
        <v>1</v>
      </c>
      <c r="AD2654" s="4">
        <v>5</v>
      </c>
      <c r="AE2654" s="4">
        <v>5</v>
      </c>
      <c r="AF2654" s="4">
        <v>0</v>
      </c>
      <c r="AG2654" s="4">
        <v>0</v>
      </c>
      <c r="AH2654" s="4">
        <v>5</v>
      </c>
      <c r="AI2654" s="4">
        <v>5</v>
      </c>
      <c r="AJ2654" s="4">
        <v>0</v>
      </c>
      <c r="AK2654" s="4">
        <v>0</v>
      </c>
      <c r="AL2654" s="4">
        <v>3</v>
      </c>
      <c r="AM2654" s="4">
        <v>3</v>
      </c>
      <c r="AN2654" s="4">
        <v>0</v>
      </c>
      <c r="AO2654" s="4">
        <v>0</v>
      </c>
      <c r="AP2654" s="4">
        <v>0</v>
      </c>
      <c r="AQ2654" s="4">
        <v>0</v>
      </c>
      <c r="AR2654" s="3" t="s">
        <v>62</v>
      </c>
      <c r="AS2654" s="3" t="s">
        <v>62</v>
      </c>
      <c r="AT2654" s="3" t="s">
        <v>62</v>
      </c>
      <c r="AV2654" s="6" t="str">
        <f>HYPERLINK("http://mcgill.on.worldcat.org/oclc/1390960","Catalog Record")</f>
        <v>Catalog Record</v>
      </c>
      <c r="AW2654" s="6" t="str">
        <f>HYPERLINK("http://www.worldcat.org/oclc/1390960","WorldCat Record")</f>
        <v>WorldCat Record</v>
      </c>
      <c r="AX2654" s="3" t="s">
        <v>25646</v>
      </c>
      <c r="AY2654" s="3" t="s">
        <v>25647</v>
      </c>
      <c r="AZ2654" s="3" t="s">
        <v>25648</v>
      </c>
      <c r="BA2654" s="3" t="s">
        <v>25648</v>
      </c>
      <c r="BB2654" s="3" t="s">
        <v>25655</v>
      </c>
      <c r="BC2654" s="3" t="s">
        <v>102</v>
      </c>
      <c r="BD2654" s="3" t="s">
        <v>68</v>
      </c>
      <c r="BF2654" s="3" t="s">
        <v>25655</v>
      </c>
      <c r="BG2654" s="3" t="s">
        <v>25656</v>
      </c>
    </row>
    <row r="2655" spans="1:59" ht="58" x14ac:dyDescent="0.35">
      <c r="A2655" s="2" t="s">
        <v>89</v>
      </c>
      <c r="B2655" s="2" t="s">
        <v>90</v>
      </c>
      <c r="C2655" s="2" t="s">
        <v>25657</v>
      </c>
      <c r="D2655" s="2" t="s">
        <v>25658</v>
      </c>
      <c r="E2655" s="2" t="s">
        <v>25659</v>
      </c>
      <c r="G2655" s="3" t="s">
        <v>61</v>
      </c>
      <c r="I2655" s="3" t="s">
        <v>62</v>
      </c>
      <c r="J2655" s="3" t="s">
        <v>62</v>
      </c>
      <c r="K2655" s="3" t="s">
        <v>63</v>
      </c>
      <c r="M2655" s="2" t="s">
        <v>25660</v>
      </c>
      <c r="N2655" s="3" t="s">
        <v>2727</v>
      </c>
      <c r="P2655" s="3" t="s">
        <v>64</v>
      </c>
      <c r="R2655" s="3" t="s">
        <v>25645</v>
      </c>
      <c r="S2655" s="4">
        <v>1</v>
      </c>
      <c r="T2655" s="4">
        <v>1</v>
      </c>
      <c r="U2655" s="5" t="s">
        <v>15838</v>
      </c>
      <c r="V2655" s="5" t="s">
        <v>15838</v>
      </c>
      <c r="W2655" s="5" t="s">
        <v>67</v>
      </c>
      <c r="X2655" s="5" t="s">
        <v>67</v>
      </c>
      <c r="Y2655" s="4">
        <v>1</v>
      </c>
      <c r="Z2655" s="4">
        <v>1</v>
      </c>
      <c r="AA2655" s="4">
        <v>1</v>
      </c>
      <c r="AB2655" s="4">
        <v>1</v>
      </c>
      <c r="AC2655" s="4">
        <v>1</v>
      </c>
      <c r="AD2655" s="4">
        <v>0</v>
      </c>
      <c r="AE2655" s="4">
        <v>0</v>
      </c>
      <c r="AF2655" s="4">
        <v>0</v>
      </c>
      <c r="AG2655" s="4">
        <v>0</v>
      </c>
      <c r="AH2655" s="4">
        <v>0</v>
      </c>
      <c r="AI2655" s="4">
        <v>0</v>
      </c>
      <c r="AJ2655" s="4">
        <v>0</v>
      </c>
      <c r="AK2655" s="4">
        <v>0</v>
      </c>
      <c r="AL2655" s="4">
        <v>0</v>
      </c>
      <c r="AM2655" s="4">
        <v>0</v>
      </c>
      <c r="AN2655" s="4">
        <v>0</v>
      </c>
      <c r="AO2655" s="4">
        <v>0</v>
      </c>
      <c r="AP2655" s="4">
        <v>0</v>
      </c>
      <c r="AQ2655" s="4">
        <v>0</v>
      </c>
      <c r="AR2655" s="3" t="s">
        <v>62</v>
      </c>
      <c r="AS2655" s="3" t="s">
        <v>62</v>
      </c>
      <c r="AT2655" s="3" t="s">
        <v>62</v>
      </c>
      <c r="AV2655" s="6" t="str">
        <f>HYPERLINK("http://mcgill.on.worldcat.org/oclc/61604675","Catalog Record")</f>
        <v>Catalog Record</v>
      </c>
      <c r="AW2655" s="6" t="str">
        <f>HYPERLINK("http://www.worldcat.org/oclc/61604675","WorldCat Record")</f>
        <v>WorldCat Record</v>
      </c>
      <c r="AX2655" s="3" t="s">
        <v>25661</v>
      </c>
      <c r="AY2655" s="3" t="s">
        <v>25662</v>
      </c>
      <c r="AZ2655" s="3" t="s">
        <v>25663</v>
      </c>
      <c r="BA2655" s="3" t="s">
        <v>25663</v>
      </c>
      <c r="BB2655" s="3" t="s">
        <v>25664</v>
      </c>
      <c r="BC2655" s="3" t="s">
        <v>102</v>
      </c>
      <c r="BD2655" s="3" t="s">
        <v>68</v>
      </c>
      <c r="BF2655" s="3" t="s">
        <v>25664</v>
      </c>
      <c r="BG2655" s="3" t="s">
        <v>25665</v>
      </c>
    </row>
    <row r="2656" spans="1:59" ht="58" x14ac:dyDescent="0.35">
      <c r="A2656" s="2" t="s">
        <v>89</v>
      </c>
      <c r="B2656" s="2" t="s">
        <v>90</v>
      </c>
      <c r="C2656" s="2" t="s">
        <v>25666</v>
      </c>
      <c r="D2656" s="2" t="s">
        <v>25667</v>
      </c>
      <c r="E2656" s="2" t="s">
        <v>25668</v>
      </c>
      <c r="F2656" s="3" t="s">
        <v>25669</v>
      </c>
      <c r="G2656" s="3" t="s">
        <v>61</v>
      </c>
      <c r="I2656" s="3" t="s">
        <v>62</v>
      </c>
      <c r="J2656" s="3" t="s">
        <v>62</v>
      </c>
      <c r="K2656" s="3" t="s">
        <v>63</v>
      </c>
      <c r="L2656" s="2" t="s">
        <v>25670</v>
      </c>
      <c r="M2656" s="2" t="s">
        <v>25671</v>
      </c>
      <c r="N2656" s="3" t="s">
        <v>396</v>
      </c>
      <c r="P2656" s="3" t="s">
        <v>64</v>
      </c>
      <c r="Q2656" s="2" t="s">
        <v>25672</v>
      </c>
      <c r="R2656" s="3" t="s">
        <v>25645</v>
      </c>
      <c r="S2656" s="4">
        <v>9</v>
      </c>
      <c r="T2656" s="4">
        <v>16</v>
      </c>
      <c r="U2656" s="5" t="s">
        <v>7448</v>
      </c>
      <c r="V2656" s="5" t="s">
        <v>7448</v>
      </c>
      <c r="W2656" s="5" t="s">
        <v>67</v>
      </c>
      <c r="X2656" s="5" t="s">
        <v>67</v>
      </c>
      <c r="Y2656" s="4">
        <v>69</v>
      </c>
      <c r="Z2656" s="4">
        <v>3</v>
      </c>
      <c r="AA2656" s="4">
        <v>3</v>
      </c>
      <c r="AB2656" s="4">
        <v>1</v>
      </c>
      <c r="AC2656" s="4">
        <v>1</v>
      </c>
      <c r="AD2656" s="4">
        <v>42</v>
      </c>
      <c r="AE2656" s="4">
        <v>42</v>
      </c>
      <c r="AF2656" s="4">
        <v>0</v>
      </c>
      <c r="AG2656" s="4">
        <v>0</v>
      </c>
      <c r="AH2656" s="4">
        <v>40</v>
      </c>
      <c r="AI2656" s="4">
        <v>40</v>
      </c>
      <c r="AJ2656" s="4">
        <v>2</v>
      </c>
      <c r="AK2656" s="4">
        <v>2</v>
      </c>
      <c r="AL2656" s="4">
        <v>29</v>
      </c>
      <c r="AM2656" s="4">
        <v>29</v>
      </c>
      <c r="AN2656" s="4">
        <v>0</v>
      </c>
      <c r="AO2656" s="4">
        <v>0</v>
      </c>
      <c r="AP2656" s="4">
        <v>2</v>
      </c>
      <c r="AQ2656" s="4">
        <v>2</v>
      </c>
      <c r="AR2656" s="3" t="s">
        <v>62</v>
      </c>
      <c r="AS2656" s="3" t="s">
        <v>62</v>
      </c>
      <c r="AT2656" s="3" t="s">
        <v>61</v>
      </c>
      <c r="AU2656" s="6" t="str">
        <f>HYPERLINK("http://catalog.hathitrust.org/Record/000672516","HathiTrust Record")</f>
        <v>HathiTrust Record</v>
      </c>
      <c r="AV2656" s="6" t="str">
        <f>HYPERLINK("http://mcgill.on.worldcat.org/oclc/13000653","Catalog Record")</f>
        <v>Catalog Record</v>
      </c>
      <c r="AW2656" s="6" t="str">
        <f>HYPERLINK("http://www.worldcat.org/oclc/13000653","WorldCat Record")</f>
        <v>WorldCat Record</v>
      </c>
      <c r="AX2656" s="3" t="s">
        <v>25673</v>
      </c>
      <c r="AY2656" s="3" t="s">
        <v>25674</v>
      </c>
      <c r="AZ2656" s="3" t="s">
        <v>25675</v>
      </c>
      <c r="BA2656" s="3" t="s">
        <v>25675</v>
      </c>
      <c r="BB2656" s="3" t="s">
        <v>25676</v>
      </c>
      <c r="BC2656" s="3" t="s">
        <v>102</v>
      </c>
      <c r="BD2656" s="3" t="s">
        <v>68</v>
      </c>
      <c r="BE2656" s="3" t="s">
        <v>25677</v>
      </c>
      <c r="BF2656" s="3" t="s">
        <v>25676</v>
      </c>
      <c r="BG2656" s="3" t="s">
        <v>25678</v>
      </c>
    </row>
    <row r="2657" spans="1:59" ht="58" x14ac:dyDescent="0.35">
      <c r="A2657" s="2" t="s">
        <v>89</v>
      </c>
      <c r="B2657" s="2" t="s">
        <v>90</v>
      </c>
      <c r="C2657" s="2" t="s">
        <v>25666</v>
      </c>
      <c r="D2657" s="2" t="s">
        <v>25667</v>
      </c>
      <c r="E2657" s="2" t="s">
        <v>25668</v>
      </c>
      <c r="F2657" s="3" t="s">
        <v>25679</v>
      </c>
      <c r="G2657" s="3" t="s">
        <v>61</v>
      </c>
      <c r="I2657" s="3" t="s">
        <v>62</v>
      </c>
      <c r="J2657" s="3" t="s">
        <v>62</v>
      </c>
      <c r="K2657" s="3" t="s">
        <v>63</v>
      </c>
      <c r="L2657" s="2" t="s">
        <v>25670</v>
      </c>
      <c r="M2657" s="2" t="s">
        <v>25671</v>
      </c>
      <c r="N2657" s="3" t="s">
        <v>396</v>
      </c>
      <c r="P2657" s="3" t="s">
        <v>64</v>
      </c>
      <c r="Q2657" s="2" t="s">
        <v>25672</v>
      </c>
      <c r="R2657" s="3" t="s">
        <v>25645</v>
      </c>
      <c r="S2657" s="4">
        <v>7</v>
      </c>
      <c r="T2657" s="4">
        <v>16</v>
      </c>
      <c r="U2657" s="5" t="s">
        <v>7448</v>
      </c>
      <c r="V2657" s="5" t="s">
        <v>7448</v>
      </c>
      <c r="W2657" s="5" t="s">
        <v>67</v>
      </c>
      <c r="X2657" s="5" t="s">
        <v>67</v>
      </c>
      <c r="Y2657" s="4">
        <v>69</v>
      </c>
      <c r="Z2657" s="4">
        <v>3</v>
      </c>
      <c r="AA2657" s="4">
        <v>3</v>
      </c>
      <c r="AB2657" s="4">
        <v>1</v>
      </c>
      <c r="AC2657" s="4">
        <v>1</v>
      </c>
      <c r="AD2657" s="4">
        <v>42</v>
      </c>
      <c r="AE2657" s="4">
        <v>42</v>
      </c>
      <c r="AF2657" s="4">
        <v>0</v>
      </c>
      <c r="AG2657" s="4">
        <v>0</v>
      </c>
      <c r="AH2657" s="4">
        <v>40</v>
      </c>
      <c r="AI2657" s="4">
        <v>40</v>
      </c>
      <c r="AJ2657" s="4">
        <v>2</v>
      </c>
      <c r="AK2657" s="4">
        <v>2</v>
      </c>
      <c r="AL2657" s="4">
        <v>29</v>
      </c>
      <c r="AM2657" s="4">
        <v>29</v>
      </c>
      <c r="AN2657" s="4">
        <v>0</v>
      </c>
      <c r="AO2657" s="4">
        <v>0</v>
      </c>
      <c r="AP2657" s="4">
        <v>2</v>
      </c>
      <c r="AQ2657" s="4">
        <v>2</v>
      </c>
      <c r="AR2657" s="3" t="s">
        <v>62</v>
      </c>
      <c r="AS2657" s="3" t="s">
        <v>62</v>
      </c>
      <c r="AT2657" s="3" t="s">
        <v>61</v>
      </c>
      <c r="AU2657" s="6" t="str">
        <f>HYPERLINK("http://catalog.hathitrust.org/Record/000672516","HathiTrust Record")</f>
        <v>HathiTrust Record</v>
      </c>
      <c r="AV2657" s="6" t="str">
        <f>HYPERLINK("http://mcgill.on.worldcat.org/oclc/13000653","Catalog Record")</f>
        <v>Catalog Record</v>
      </c>
      <c r="AW2657" s="6" t="str">
        <f>HYPERLINK("http://www.worldcat.org/oclc/13000653","WorldCat Record")</f>
        <v>WorldCat Record</v>
      </c>
      <c r="AX2657" s="3" t="s">
        <v>25673</v>
      </c>
      <c r="AY2657" s="3" t="s">
        <v>25674</v>
      </c>
      <c r="AZ2657" s="3" t="s">
        <v>25675</v>
      </c>
      <c r="BA2657" s="3" t="s">
        <v>25675</v>
      </c>
      <c r="BB2657" s="3" t="s">
        <v>25680</v>
      </c>
      <c r="BC2657" s="3" t="s">
        <v>102</v>
      </c>
      <c r="BD2657" s="3" t="s">
        <v>68</v>
      </c>
      <c r="BE2657" s="3" t="s">
        <v>25677</v>
      </c>
      <c r="BF2657" s="3" t="s">
        <v>25680</v>
      </c>
      <c r="BG2657" s="3" t="s">
        <v>25681</v>
      </c>
    </row>
    <row r="2658" spans="1:59" ht="58" x14ac:dyDescent="0.35">
      <c r="A2658" s="2" t="s">
        <v>89</v>
      </c>
      <c r="B2658" s="2" t="s">
        <v>90</v>
      </c>
      <c r="C2658" s="2" t="s">
        <v>25682</v>
      </c>
      <c r="D2658" s="2" t="s">
        <v>25683</v>
      </c>
      <c r="E2658" s="2" t="s">
        <v>25684</v>
      </c>
      <c r="G2658" s="3" t="s">
        <v>62</v>
      </c>
      <c r="I2658" s="3" t="s">
        <v>62</v>
      </c>
      <c r="J2658" s="3" t="s">
        <v>62</v>
      </c>
      <c r="K2658" s="3" t="s">
        <v>63</v>
      </c>
      <c r="M2658" s="2" t="s">
        <v>25685</v>
      </c>
      <c r="N2658" s="3" t="s">
        <v>157</v>
      </c>
      <c r="O2658" s="2" t="s">
        <v>1674</v>
      </c>
      <c r="P2658" s="3" t="s">
        <v>1675</v>
      </c>
      <c r="Q2658" s="2" t="s">
        <v>25686</v>
      </c>
      <c r="R2658" s="3" t="s">
        <v>25645</v>
      </c>
      <c r="S2658" s="4">
        <v>2</v>
      </c>
      <c r="T2658" s="4">
        <v>2</v>
      </c>
      <c r="U2658" s="5" t="s">
        <v>14412</v>
      </c>
      <c r="V2658" s="5" t="s">
        <v>14412</v>
      </c>
      <c r="W2658" s="5" t="s">
        <v>67</v>
      </c>
      <c r="X2658" s="5" t="s">
        <v>67</v>
      </c>
      <c r="Y2658" s="4">
        <v>47</v>
      </c>
      <c r="Z2658" s="4">
        <v>7</v>
      </c>
      <c r="AA2658" s="4">
        <v>9</v>
      </c>
      <c r="AB2658" s="4">
        <v>1</v>
      </c>
      <c r="AC2658" s="4">
        <v>1</v>
      </c>
      <c r="AD2658" s="4">
        <v>28</v>
      </c>
      <c r="AE2658" s="4">
        <v>34</v>
      </c>
      <c r="AF2658" s="4">
        <v>0</v>
      </c>
      <c r="AG2658" s="4">
        <v>0</v>
      </c>
      <c r="AH2658" s="4">
        <v>25</v>
      </c>
      <c r="AI2658" s="4">
        <v>31</v>
      </c>
      <c r="AJ2658" s="4">
        <v>4</v>
      </c>
      <c r="AK2658" s="4">
        <v>5</v>
      </c>
      <c r="AL2658" s="4">
        <v>22</v>
      </c>
      <c r="AM2658" s="4">
        <v>24</v>
      </c>
      <c r="AN2658" s="4">
        <v>0</v>
      </c>
      <c r="AO2658" s="4">
        <v>0</v>
      </c>
      <c r="AP2658" s="4">
        <v>4</v>
      </c>
      <c r="AQ2658" s="4">
        <v>5</v>
      </c>
      <c r="AR2658" s="3" t="s">
        <v>62</v>
      </c>
      <c r="AS2658" s="3" t="s">
        <v>62</v>
      </c>
      <c r="AT2658" s="3" t="s">
        <v>61</v>
      </c>
      <c r="AU2658" s="6" t="str">
        <f>HYPERLINK("http://catalog.hathitrust.org/Record/001715745","HathiTrust Record")</f>
        <v>HathiTrust Record</v>
      </c>
      <c r="AV2658" s="6" t="str">
        <f>HYPERLINK("http://mcgill.on.worldcat.org/oclc/22828315","Catalog Record")</f>
        <v>Catalog Record</v>
      </c>
      <c r="AW2658" s="6" t="str">
        <f>HYPERLINK("http://www.worldcat.org/oclc/22828315","WorldCat Record")</f>
        <v>WorldCat Record</v>
      </c>
      <c r="AX2658" s="3" t="s">
        <v>25687</v>
      </c>
      <c r="AY2658" s="3" t="s">
        <v>25688</v>
      </c>
      <c r="AZ2658" s="3" t="s">
        <v>25689</v>
      </c>
      <c r="BA2658" s="3" t="s">
        <v>25689</v>
      </c>
      <c r="BB2658" s="3" t="s">
        <v>25690</v>
      </c>
      <c r="BC2658" s="3" t="s">
        <v>102</v>
      </c>
      <c r="BD2658" s="3" t="s">
        <v>68</v>
      </c>
      <c r="BF2658" s="3" t="s">
        <v>25690</v>
      </c>
      <c r="BG2658" s="3" t="s">
        <v>25691</v>
      </c>
    </row>
    <row r="2659" spans="1:59" ht="58" x14ac:dyDescent="0.35">
      <c r="A2659" s="2" t="s">
        <v>89</v>
      </c>
      <c r="B2659" s="2" t="s">
        <v>90</v>
      </c>
      <c r="C2659" s="2" t="s">
        <v>25692</v>
      </c>
      <c r="D2659" s="2" t="s">
        <v>25693</v>
      </c>
      <c r="E2659" s="2" t="s">
        <v>25694</v>
      </c>
      <c r="G2659" s="3" t="s">
        <v>62</v>
      </c>
      <c r="I2659" s="3" t="s">
        <v>62</v>
      </c>
      <c r="J2659" s="3" t="s">
        <v>62</v>
      </c>
      <c r="K2659" s="3" t="s">
        <v>63</v>
      </c>
      <c r="L2659" s="2" t="s">
        <v>25695</v>
      </c>
      <c r="M2659" s="2" t="s">
        <v>25696</v>
      </c>
      <c r="N2659" s="3" t="s">
        <v>684</v>
      </c>
      <c r="P2659" s="3" t="s">
        <v>64</v>
      </c>
      <c r="R2659" s="3" t="s">
        <v>25645</v>
      </c>
      <c r="S2659" s="4">
        <v>0</v>
      </c>
      <c r="T2659" s="4">
        <v>0</v>
      </c>
      <c r="W2659" s="5" t="s">
        <v>67</v>
      </c>
      <c r="X2659" s="5" t="s">
        <v>67</v>
      </c>
      <c r="Y2659" s="4">
        <v>90</v>
      </c>
      <c r="Z2659" s="4">
        <v>8</v>
      </c>
      <c r="AA2659" s="4">
        <v>91</v>
      </c>
      <c r="AB2659" s="4">
        <v>1</v>
      </c>
      <c r="AC2659" s="4">
        <v>17</v>
      </c>
      <c r="AD2659" s="4">
        <v>34</v>
      </c>
      <c r="AE2659" s="4">
        <v>114</v>
      </c>
      <c r="AF2659" s="4">
        <v>0</v>
      </c>
      <c r="AG2659" s="4">
        <v>8</v>
      </c>
      <c r="AH2659" s="4">
        <v>32</v>
      </c>
      <c r="AI2659" s="4">
        <v>78</v>
      </c>
      <c r="AJ2659" s="4">
        <v>5</v>
      </c>
      <c r="AK2659" s="4">
        <v>23</v>
      </c>
      <c r="AL2659" s="4">
        <v>21</v>
      </c>
      <c r="AM2659" s="4">
        <v>39</v>
      </c>
      <c r="AN2659" s="4">
        <v>0</v>
      </c>
      <c r="AO2659" s="4">
        <v>0</v>
      </c>
      <c r="AP2659" s="4">
        <v>5</v>
      </c>
      <c r="AQ2659" s="4">
        <v>45</v>
      </c>
      <c r="AR2659" s="3" t="s">
        <v>62</v>
      </c>
      <c r="AS2659" s="3" t="s">
        <v>62</v>
      </c>
      <c r="AT2659" s="3" t="s">
        <v>62</v>
      </c>
      <c r="AV2659" s="6" t="str">
        <f>HYPERLINK("http://mcgill.on.worldcat.org/oclc/630497515","Catalog Record")</f>
        <v>Catalog Record</v>
      </c>
      <c r="AW2659" s="6" t="str">
        <f>HYPERLINK("http://www.worldcat.org/oclc/630497515","WorldCat Record")</f>
        <v>WorldCat Record</v>
      </c>
      <c r="AX2659" s="3" t="s">
        <v>25697</v>
      </c>
      <c r="AY2659" s="3" t="s">
        <v>25698</v>
      </c>
      <c r="AZ2659" s="3" t="s">
        <v>25699</v>
      </c>
      <c r="BA2659" s="3" t="s">
        <v>25699</v>
      </c>
      <c r="BB2659" s="3" t="s">
        <v>25700</v>
      </c>
      <c r="BC2659" s="3" t="s">
        <v>102</v>
      </c>
      <c r="BD2659" s="3" t="s">
        <v>68</v>
      </c>
      <c r="BE2659" s="3" t="s">
        <v>25701</v>
      </c>
      <c r="BF2659" s="3" t="s">
        <v>25700</v>
      </c>
      <c r="BG2659" s="3" t="s">
        <v>25702</v>
      </c>
    </row>
    <row r="2660" spans="1:59" ht="58" x14ac:dyDescent="0.35">
      <c r="A2660" s="2" t="s">
        <v>89</v>
      </c>
      <c r="B2660" s="2" t="s">
        <v>90</v>
      </c>
      <c r="C2660" s="2" t="s">
        <v>25703</v>
      </c>
      <c r="D2660" s="2" t="s">
        <v>25704</v>
      </c>
      <c r="E2660" s="2" t="s">
        <v>25705</v>
      </c>
      <c r="G2660" s="3" t="s">
        <v>62</v>
      </c>
      <c r="I2660" s="3" t="s">
        <v>62</v>
      </c>
      <c r="J2660" s="3" t="s">
        <v>62</v>
      </c>
      <c r="K2660" s="3" t="s">
        <v>63</v>
      </c>
      <c r="L2660" s="2" t="s">
        <v>25706</v>
      </c>
      <c r="M2660" s="2" t="s">
        <v>25707</v>
      </c>
      <c r="N2660" s="3" t="s">
        <v>438</v>
      </c>
      <c r="P2660" s="3" t="s">
        <v>64</v>
      </c>
      <c r="R2660" s="3" t="s">
        <v>25645</v>
      </c>
      <c r="S2660" s="4">
        <v>39</v>
      </c>
      <c r="T2660" s="4">
        <v>39</v>
      </c>
      <c r="U2660" s="5" t="s">
        <v>3030</v>
      </c>
      <c r="V2660" s="5" t="s">
        <v>3030</v>
      </c>
      <c r="W2660" s="5" t="s">
        <v>67</v>
      </c>
      <c r="X2660" s="5" t="s">
        <v>67</v>
      </c>
      <c r="Y2660" s="4">
        <v>460</v>
      </c>
      <c r="Z2660" s="4">
        <v>29</v>
      </c>
      <c r="AA2660" s="4">
        <v>30</v>
      </c>
      <c r="AB2660" s="4">
        <v>3</v>
      </c>
      <c r="AC2660" s="4">
        <v>3</v>
      </c>
      <c r="AD2660" s="4">
        <v>107</v>
      </c>
      <c r="AE2660" s="4">
        <v>108</v>
      </c>
      <c r="AF2660" s="4">
        <v>1</v>
      </c>
      <c r="AG2660" s="4">
        <v>1</v>
      </c>
      <c r="AH2660" s="4">
        <v>92</v>
      </c>
      <c r="AI2660" s="4">
        <v>93</v>
      </c>
      <c r="AJ2660" s="4">
        <v>14</v>
      </c>
      <c r="AK2660" s="4">
        <v>15</v>
      </c>
      <c r="AL2660" s="4">
        <v>50</v>
      </c>
      <c r="AM2660" s="4">
        <v>50</v>
      </c>
      <c r="AN2660" s="4">
        <v>0</v>
      </c>
      <c r="AO2660" s="4">
        <v>0</v>
      </c>
      <c r="AP2660" s="4">
        <v>20</v>
      </c>
      <c r="AQ2660" s="4">
        <v>21</v>
      </c>
      <c r="AR2660" s="3" t="s">
        <v>62</v>
      </c>
      <c r="AS2660" s="3" t="s">
        <v>62</v>
      </c>
      <c r="AT2660" s="3" t="s">
        <v>61</v>
      </c>
      <c r="AU2660" s="6" t="str">
        <f>HYPERLINK("http://catalog.hathitrust.org/Record/002214094","HathiTrust Record")</f>
        <v>HathiTrust Record</v>
      </c>
      <c r="AV2660" s="6" t="str">
        <f>HYPERLINK("http://mcgill.on.worldcat.org/oclc/20352129","Catalog Record")</f>
        <v>Catalog Record</v>
      </c>
      <c r="AW2660" s="6" t="str">
        <f>HYPERLINK("http://www.worldcat.org/oclc/20352129","WorldCat Record")</f>
        <v>WorldCat Record</v>
      </c>
      <c r="AX2660" s="3" t="s">
        <v>25708</v>
      </c>
      <c r="AY2660" s="3" t="s">
        <v>25709</v>
      </c>
      <c r="AZ2660" s="3" t="s">
        <v>25710</v>
      </c>
      <c r="BA2660" s="3" t="s">
        <v>25710</v>
      </c>
      <c r="BB2660" s="3" t="s">
        <v>25711</v>
      </c>
      <c r="BC2660" s="3" t="s">
        <v>102</v>
      </c>
      <c r="BD2660" s="3" t="s">
        <v>68</v>
      </c>
      <c r="BE2660" s="3" t="s">
        <v>25712</v>
      </c>
      <c r="BF2660" s="3" t="s">
        <v>25711</v>
      </c>
      <c r="BG2660" s="3" t="s">
        <v>25713</v>
      </c>
    </row>
    <row r="2661" spans="1:59" ht="58" x14ac:dyDescent="0.35">
      <c r="A2661" s="2" t="s">
        <v>89</v>
      </c>
      <c r="B2661" s="2" t="s">
        <v>90</v>
      </c>
      <c r="C2661" s="2" t="s">
        <v>25714</v>
      </c>
      <c r="D2661" s="2" t="s">
        <v>25715</v>
      </c>
      <c r="E2661" s="2" t="s">
        <v>25716</v>
      </c>
      <c r="G2661" s="3" t="s">
        <v>62</v>
      </c>
      <c r="I2661" s="3" t="s">
        <v>61</v>
      </c>
      <c r="J2661" s="3" t="s">
        <v>62</v>
      </c>
      <c r="K2661" s="3" t="s">
        <v>63</v>
      </c>
      <c r="M2661" s="2" t="s">
        <v>25717</v>
      </c>
      <c r="N2661" s="3" t="s">
        <v>553</v>
      </c>
      <c r="P2661" s="3" t="s">
        <v>64</v>
      </c>
      <c r="Q2661" s="2" t="s">
        <v>25718</v>
      </c>
      <c r="R2661" s="3" t="s">
        <v>25645</v>
      </c>
      <c r="S2661" s="4">
        <v>4</v>
      </c>
      <c r="T2661" s="4">
        <v>8</v>
      </c>
      <c r="U2661" s="5" t="s">
        <v>25719</v>
      </c>
      <c r="V2661" s="5" t="s">
        <v>25719</v>
      </c>
      <c r="W2661" s="5" t="s">
        <v>67</v>
      </c>
      <c r="X2661" s="5" t="s">
        <v>67</v>
      </c>
      <c r="Y2661" s="4">
        <v>120</v>
      </c>
      <c r="Z2661" s="4">
        <v>8</v>
      </c>
      <c r="AA2661" s="4">
        <v>10</v>
      </c>
      <c r="AB2661" s="4">
        <v>2</v>
      </c>
      <c r="AC2661" s="4">
        <v>4</v>
      </c>
      <c r="AD2661" s="4">
        <v>53</v>
      </c>
      <c r="AE2661" s="4">
        <v>53</v>
      </c>
      <c r="AF2661" s="4">
        <v>1</v>
      </c>
      <c r="AG2661" s="4">
        <v>1</v>
      </c>
      <c r="AH2661" s="4">
        <v>48</v>
      </c>
      <c r="AI2661" s="4">
        <v>48</v>
      </c>
      <c r="AJ2661" s="4">
        <v>5</v>
      </c>
      <c r="AK2661" s="4">
        <v>5</v>
      </c>
      <c r="AL2661" s="4">
        <v>33</v>
      </c>
      <c r="AM2661" s="4">
        <v>33</v>
      </c>
      <c r="AN2661" s="4">
        <v>0</v>
      </c>
      <c r="AO2661" s="4">
        <v>0</v>
      </c>
      <c r="AP2661" s="4">
        <v>6</v>
      </c>
      <c r="AQ2661" s="4">
        <v>6</v>
      </c>
      <c r="AR2661" s="3" t="s">
        <v>62</v>
      </c>
      <c r="AS2661" s="3" t="s">
        <v>62</v>
      </c>
      <c r="AT2661" s="3" t="s">
        <v>62</v>
      </c>
      <c r="AV2661" s="6" t="str">
        <f>HYPERLINK("http://mcgill.on.worldcat.org/oclc/41002837","Catalog Record")</f>
        <v>Catalog Record</v>
      </c>
      <c r="AW2661" s="6" t="str">
        <f>HYPERLINK("http://www.worldcat.org/oclc/41002837","WorldCat Record")</f>
        <v>WorldCat Record</v>
      </c>
      <c r="AX2661" s="3" t="s">
        <v>25720</v>
      </c>
      <c r="AY2661" s="3" t="s">
        <v>25721</v>
      </c>
      <c r="AZ2661" s="3" t="s">
        <v>25722</v>
      </c>
      <c r="BA2661" s="3" t="s">
        <v>25722</v>
      </c>
      <c r="BB2661" s="3" t="s">
        <v>25723</v>
      </c>
      <c r="BC2661" s="3" t="s">
        <v>102</v>
      </c>
      <c r="BD2661" s="3" t="s">
        <v>68</v>
      </c>
      <c r="BE2661" s="3" t="s">
        <v>25724</v>
      </c>
      <c r="BF2661" s="3" t="s">
        <v>25723</v>
      </c>
      <c r="BG2661" s="3" t="s">
        <v>25725</v>
      </c>
    </row>
    <row r="2662" spans="1:59" ht="58" x14ac:dyDescent="0.35">
      <c r="A2662" s="2" t="s">
        <v>89</v>
      </c>
      <c r="B2662" s="2" t="s">
        <v>90</v>
      </c>
      <c r="C2662" s="2" t="s">
        <v>25726</v>
      </c>
      <c r="D2662" s="2" t="s">
        <v>25727</v>
      </c>
      <c r="E2662" s="2" t="s">
        <v>25728</v>
      </c>
      <c r="G2662" s="3" t="s">
        <v>62</v>
      </c>
      <c r="I2662" s="3" t="s">
        <v>61</v>
      </c>
      <c r="J2662" s="3" t="s">
        <v>62</v>
      </c>
      <c r="K2662" s="3" t="s">
        <v>63</v>
      </c>
      <c r="L2662" s="2" t="s">
        <v>25729</v>
      </c>
      <c r="M2662" s="2" t="s">
        <v>25730</v>
      </c>
      <c r="N2662" s="3" t="s">
        <v>1722</v>
      </c>
      <c r="P2662" s="3" t="s">
        <v>64</v>
      </c>
      <c r="Q2662" s="2" t="s">
        <v>25731</v>
      </c>
      <c r="R2662" s="3" t="s">
        <v>25645</v>
      </c>
      <c r="S2662" s="4">
        <v>10</v>
      </c>
      <c r="T2662" s="4">
        <v>12</v>
      </c>
      <c r="U2662" s="5" t="s">
        <v>25732</v>
      </c>
      <c r="V2662" s="5" t="s">
        <v>25732</v>
      </c>
      <c r="W2662" s="5" t="s">
        <v>67</v>
      </c>
      <c r="X2662" s="5" t="s">
        <v>67</v>
      </c>
      <c r="Y2662" s="4">
        <v>86</v>
      </c>
      <c r="Z2662" s="4">
        <v>6</v>
      </c>
      <c r="AA2662" s="4">
        <v>8</v>
      </c>
      <c r="AB2662" s="4">
        <v>1</v>
      </c>
      <c r="AC2662" s="4">
        <v>3</v>
      </c>
      <c r="AD2662" s="4">
        <v>24</v>
      </c>
      <c r="AE2662" s="4">
        <v>24</v>
      </c>
      <c r="AF2662" s="4">
        <v>0</v>
      </c>
      <c r="AG2662" s="4">
        <v>0</v>
      </c>
      <c r="AH2662" s="4">
        <v>22</v>
      </c>
      <c r="AI2662" s="4">
        <v>22</v>
      </c>
      <c r="AJ2662" s="4">
        <v>3</v>
      </c>
      <c r="AK2662" s="4">
        <v>3</v>
      </c>
      <c r="AL2662" s="4">
        <v>17</v>
      </c>
      <c r="AM2662" s="4">
        <v>17</v>
      </c>
      <c r="AN2662" s="4">
        <v>0</v>
      </c>
      <c r="AO2662" s="4">
        <v>0</v>
      </c>
      <c r="AP2662" s="4">
        <v>3</v>
      </c>
      <c r="AQ2662" s="4">
        <v>3</v>
      </c>
      <c r="AR2662" s="3" t="s">
        <v>62</v>
      </c>
      <c r="AS2662" s="3" t="s">
        <v>62</v>
      </c>
      <c r="AT2662" s="3" t="s">
        <v>61</v>
      </c>
      <c r="AU2662" s="6" t="str">
        <f>HYPERLINK("http://catalog.hathitrust.org/Record/009528621","HathiTrust Record")</f>
        <v>HathiTrust Record</v>
      </c>
      <c r="AV2662" s="6" t="str">
        <f>HYPERLINK("http://mcgill.on.worldcat.org/oclc/225884821","Catalog Record")</f>
        <v>Catalog Record</v>
      </c>
      <c r="AW2662" s="6" t="str">
        <f>HYPERLINK("http://www.worldcat.org/oclc/225884821","WorldCat Record")</f>
        <v>WorldCat Record</v>
      </c>
      <c r="AX2662" s="3" t="s">
        <v>25733</v>
      </c>
      <c r="AY2662" s="3" t="s">
        <v>25734</v>
      </c>
      <c r="AZ2662" s="3" t="s">
        <v>25735</v>
      </c>
      <c r="BA2662" s="3" t="s">
        <v>25735</v>
      </c>
      <c r="BB2662" s="3" t="s">
        <v>25736</v>
      </c>
      <c r="BC2662" s="3" t="s">
        <v>102</v>
      </c>
      <c r="BD2662" s="3" t="s">
        <v>68</v>
      </c>
      <c r="BE2662" s="3" t="s">
        <v>25737</v>
      </c>
      <c r="BF2662" s="3" t="s">
        <v>25736</v>
      </c>
      <c r="BG2662" s="3" t="s">
        <v>25738</v>
      </c>
    </row>
    <row r="2663" spans="1:59" ht="58" x14ac:dyDescent="0.35">
      <c r="A2663" s="2" t="s">
        <v>89</v>
      </c>
      <c r="B2663" s="2" t="s">
        <v>90</v>
      </c>
      <c r="C2663" s="2" t="s">
        <v>25739</v>
      </c>
      <c r="D2663" s="2" t="s">
        <v>25740</v>
      </c>
      <c r="E2663" s="2" t="s">
        <v>25741</v>
      </c>
      <c r="G2663" s="3" t="s">
        <v>62</v>
      </c>
      <c r="I2663" s="3" t="s">
        <v>61</v>
      </c>
      <c r="J2663" s="3" t="s">
        <v>62</v>
      </c>
      <c r="K2663" s="3" t="s">
        <v>63</v>
      </c>
      <c r="L2663" s="2" t="s">
        <v>25742</v>
      </c>
      <c r="M2663" s="2" t="s">
        <v>25743</v>
      </c>
      <c r="N2663" s="3" t="s">
        <v>755</v>
      </c>
      <c r="O2663" s="2" t="s">
        <v>8443</v>
      </c>
      <c r="P2663" s="3" t="s">
        <v>64</v>
      </c>
      <c r="Q2663" s="2" t="s">
        <v>25744</v>
      </c>
      <c r="R2663" s="3" t="s">
        <v>25645</v>
      </c>
      <c r="S2663" s="4">
        <v>31</v>
      </c>
      <c r="T2663" s="4">
        <v>46</v>
      </c>
      <c r="U2663" s="5" t="s">
        <v>23770</v>
      </c>
      <c r="V2663" s="5" t="s">
        <v>23770</v>
      </c>
      <c r="W2663" s="5" t="s">
        <v>67</v>
      </c>
      <c r="X2663" s="5" t="s">
        <v>67</v>
      </c>
      <c r="Y2663" s="4">
        <v>1057</v>
      </c>
      <c r="Z2663" s="4">
        <v>41</v>
      </c>
      <c r="AA2663" s="4">
        <v>62</v>
      </c>
      <c r="AB2663" s="4">
        <v>4</v>
      </c>
      <c r="AC2663" s="4">
        <v>8</v>
      </c>
      <c r="AD2663" s="4">
        <v>131</v>
      </c>
      <c r="AE2663" s="4">
        <v>144</v>
      </c>
      <c r="AF2663" s="4">
        <v>2</v>
      </c>
      <c r="AG2663" s="4">
        <v>6</v>
      </c>
      <c r="AH2663" s="4">
        <v>107</v>
      </c>
      <c r="AI2663" s="4">
        <v>112</v>
      </c>
      <c r="AJ2663" s="4">
        <v>14</v>
      </c>
      <c r="AK2663" s="4">
        <v>24</v>
      </c>
      <c r="AL2663" s="4">
        <v>62</v>
      </c>
      <c r="AM2663" s="4">
        <v>62</v>
      </c>
      <c r="AN2663" s="4">
        <v>0</v>
      </c>
      <c r="AO2663" s="4">
        <v>0</v>
      </c>
      <c r="AP2663" s="4">
        <v>27</v>
      </c>
      <c r="AQ2663" s="4">
        <v>39</v>
      </c>
      <c r="AR2663" s="3" t="s">
        <v>62</v>
      </c>
      <c r="AS2663" s="3" t="s">
        <v>62</v>
      </c>
      <c r="AT2663" s="3" t="s">
        <v>61</v>
      </c>
      <c r="AU2663" s="6" t="str">
        <f>HYPERLINK("http://catalog.hathitrust.org/Record/001984634","HathiTrust Record")</f>
        <v>HathiTrust Record</v>
      </c>
      <c r="AV2663" s="6" t="str">
        <f>HYPERLINK("http://mcgill.on.worldcat.org/oclc/302541","Catalog Record")</f>
        <v>Catalog Record</v>
      </c>
      <c r="AW2663" s="6" t="str">
        <f>HYPERLINK("http://www.worldcat.org/oclc/302541","WorldCat Record")</f>
        <v>WorldCat Record</v>
      </c>
      <c r="AX2663" s="3" t="s">
        <v>25745</v>
      </c>
      <c r="AY2663" s="3" t="s">
        <v>25746</v>
      </c>
      <c r="AZ2663" s="3" t="s">
        <v>25747</v>
      </c>
      <c r="BA2663" s="3" t="s">
        <v>25747</v>
      </c>
      <c r="BB2663" s="3" t="s">
        <v>25748</v>
      </c>
      <c r="BC2663" s="3" t="s">
        <v>102</v>
      </c>
      <c r="BD2663" s="3" t="s">
        <v>68</v>
      </c>
      <c r="BE2663" s="3" t="s">
        <v>25749</v>
      </c>
      <c r="BF2663" s="3" t="s">
        <v>25748</v>
      </c>
      <c r="BG2663" s="3" t="s">
        <v>25750</v>
      </c>
    </row>
    <row r="2664" spans="1:59" ht="58" x14ac:dyDescent="0.35">
      <c r="A2664" s="2" t="s">
        <v>89</v>
      </c>
      <c r="B2664" s="2" t="s">
        <v>90</v>
      </c>
      <c r="C2664" s="2" t="s">
        <v>25751</v>
      </c>
      <c r="D2664" s="2" t="s">
        <v>25752</v>
      </c>
      <c r="E2664" s="2" t="s">
        <v>25753</v>
      </c>
      <c r="G2664" s="3" t="s">
        <v>62</v>
      </c>
      <c r="I2664" s="3" t="s">
        <v>62</v>
      </c>
      <c r="J2664" s="3" t="s">
        <v>62</v>
      </c>
      <c r="K2664" s="3" t="s">
        <v>63</v>
      </c>
      <c r="L2664" s="2" t="s">
        <v>25754</v>
      </c>
      <c r="M2664" s="2" t="s">
        <v>25755</v>
      </c>
      <c r="N2664" s="3" t="s">
        <v>13194</v>
      </c>
      <c r="P2664" s="3" t="s">
        <v>85</v>
      </c>
      <c r="Q2664" s="2" t="s">
        <v>25756</v>
      </c>
      <c r="R2664" s="3" t="s">
        <v>25645</v>
      </c>
      <c r="S2664" s="4">
        <v>10</v>
      </c>
      <c r="T2664" s="4">
        <v>10</v>
      </c>
      <c r="U2664" s="5" t="s">
        <v>25732</v>
      </c>
      <c r="V2664" s="5" t="s">
        <v>25732</v>
      </c>
      <c r="W2664" s="5" t="s">
        <v>67</v>
      </c>
      <c r="X2664" s="5" t="s">
        <v>67</v>
      </c>
      <c r="Y2664" s="4">
        <v>47</v>
      </c>
      <c r="Z2664" s="4">
        <v>3</v>
      </c>
      <c r="AA2664" s="4">
        <v>5</v>
      </c>
      <c r="AB2664" s="4">
        <v>1</v>
      </c>
      <c r="AC2664" s="4">
        <v>3</v>
      </c>
      <c r="AD2664" s="4">
        <v>22</v>
      </c>
      <c r="AE2664" s="4">
        <v>25</v>
      </c>
      <c r="AF2664" s="4">
        <v>0</v>
      </c>
      <c r="AG2664" s="4">
        <v>2</v>
      </c>
      <c r="AH2664" s="4">
        <v>20</v>
      </c>
      <c r="AI2664" s="4">
        <v>22</v>
      </c>
      <c r="AJ2664" s="4">
        <v>1</v>
      </c>
      <c r="AK2664" s="4">
        <v>3</v>
      </c>
      <c r="AL2664" s="4">
        <v>16</v>
      </c>
      <c r="AM2664" s="4">
        <v>16</v>
      </c>
      <c r="AN2664" s="4">
        <v>0</v>
      </c>
      <c r="AO2664" s="4">
        <v>0</v>
      </c>
      <c r="AP2664" s="4">
        <v>1</v>
      </c>
      <c r="AQ2664" s="4">
        <v>3</v>
      </c>
      <c r="AR2664" s="3" t="s">
        <v>62</v>
      </c>
      <c r="AS2664" s="3" t="s">
        <v>62</v>
      </c>
      <c r="AT2664" s="3" t="s">
        <v>62</v>
      </c>
      <c r="AU2664" s="6" t="str">
        <f>HYPERLINK("http://catalog.hathitrust.org/Record/001475423","HathiTrust Record")</f>
        <v>HathiTrust Record</v>
      </c>
      <c r="AV2664" s="6" t="str">
        <f>HYPERLINK("http://mcgill.on.worldcat.org/oclc/7938270","Catalog Record")</f>
        <v>Catalog Record</v>
      </c>
      <c r="AW2664" s="6" t="str">
        <f>HYPERLINK("http://www.worldcat.org/oclc/7938270","WorldCat Record")</f>
        <v>WorldCat Record</v>
      </c>
      <c r="AX2664" s="3" t="s">
        <v>25757</v>
      </c>
      <c r="AY2664" s="3" t="s">
        <v>25758</v>
      </c>
      <c r="AZ2664" s="3" t="s">
        <v>25759</v>
      </c>
      <c r="BA2664" s="3" t="s">
        <v>25759</v>
      </c>
      <c r="BB2664" s="3" t="s">
        <v>25760</v>
      </c>
      <c r="BC2664" s="3" t="s">
        <v>102</v>
      </c>
      <c r="BD2664" s="3" t="s">
        <v>68</v>
      </c>
      <c r="BF2664" s="3" t="s">
        <v>25760</v>
      </c>
      <c r="BG2664" s="3" t="s">
        <v>25761</v>
      </c>
    </row>
    <row r="2665" spans="1:59" ht="58" x14ac:dyDescent="0.35">
      <c r="A2665" s="2" t="s">
        <v>89</v>
      </c>
      <c r="B2665" s="2" t="s">
        <v>90</v>
      </c>
      <c r="C2665" s="2" t="s">
        <v>25762</v>
      </c>
      <c r="D2665" s="2" t="s">
        <v>25763</v>
      </c>
      <c r="E2665" s="2" t="s">
        <v>25764</v>
      </c>
      <c r="G2665" s="3" t="s">
        <v>62</v>
      </c>
      <c r="I2665" s="3" t="s">
        <v>61</v>
      </c>
      <c r="J2665" s="3" t="s">
        <v>62</v>
      </c>
      <c r="K2665" s="3" t="s">
        <v>63</v>
      </c>
      <c r="L2665" s="2" t="s">
        <v>25765</v>
      </c>
      <c r="M2665" s="2" t="s">
        <v>25766</v>
      </c>
      <c r="N2665" s="3" t="s">
        <v>327</v>
      </c>
      <c r="P2665" s="3" t="s">
        <v>64</v>
      </c>
      <c r="R2665" s="3" t="s">
        <v>25645</v>
      </c>
      <c r="S2665" s="4">
        <v>9</v>
      </c>
      <c r="T2665" s="4">
        <v>14</v>
      </c>
      <c r="U2665" s="5" t="s">
        <v>25767</v>
      </c>
      <c r="V2665" s="5" t="s">
        <v>4422</v>
      </c>
      <c r="W2665" s="5" t="s">
        <v>67</v>
      </c>
      <c r="X2665" s="5" t="s">
        <v>67</v>
      </c>
      <c r="Y2665" s="4">
        <v>101</v>
      </c>
      <c r="Z2665" s="4">
        <v>7</v>
      </c>
      <c r="AA2665" s="4">
        <v>13</v>
      </c>
      <c r="AB2665" s="4">
        <v>1</v>
      </c>
      <c r="AC2665" s="4">
        <v>1</v>
      </c>
      <c r="AD2665" s="4">
        <v>30</v>
      </c>
      <c r="AE2665" s="4">
        <v>77</v>
      </c>
      <c r="AF2665" s="4">
        <v>0</v>
      </c>
      <c r="AG2665" s="4">
        <v>0</v>
      </c>
      <c r="AH2665" s="4">
        <v>28</v>
      </c>
      <c r="AI2665" s="4">
        <v>72</v>
      </c>
      <c r="AJ2665" s="4">
        <v>5</v>
      </c>
      <c r="AK2665" s="4">
        <v>9</v>
      </c>
      <c r="AL2665" s="4">
        <v>14</v>
      </c>
      <c r="AM2665" s="4">
        <v>43</v>
      </c>
      <c r="AN2665" s="4">
        <v>0</v>
      </c>
      <c r="AO2665" s="4">
        <v>0</v>
      </c>
      <c r="AP2665" s="4">
        <v>6</v>
      </c>
      <c r="AQ2665" s="4">
        <v>10</v>
      </c>
      <c r="AR2665" s="3" t="s">
        <v>62</v>
      </c>
      <c r="AS2665" s="3" t="s">
        <v>62</v>
      </c>
      <c r="AT2665" s="3" t="s">
        <v>62</v>
      </c>
      <c r="AV2665" s="6" t="str">
        <f>HYPERLINK("http://mcgill.on.worldcat.org/oclc/59146887","Catalog Record")</f>
        <v>Catalog Record</v>
      </c>
      <c r="AW2665" s="6" t="str">
        <f>HYPERLINK("http://www.worldcat.org/oclc/59146887","WorldCat Record")</f>
        <v>WorldCat Record</v>
      </c>
      <c r="AX2665" s="3" t="s">
        <v>25768</v>
      </c>
      <c r="AY2665" s="3" t="s">
        <v>25769</v>
      </c>
      <c r="AZ2665" s="3" t="s">
        <v>25770</v>
      </c>
      <c r="BA2665" s="3" t="s">
        <v>25770</v>
      </c>
      <c r="BB2665" s="3" t="s">
        <v>25771</v>
      </c>
      <c r="BC2665" s="3" t="s">
        <v>102</v>
      </c>
      <c r="BD2665" s="3" t="s">
        <v>68</v>
      </c>
      <c r="BE2665" s="3" t="s">
        <v>25772</v>
      </c>
      <c r="BF2665" s="3" t="s">
        <v>25771</v>
      </c>
      <c r="BG2665" s="3" t="s">
        <v>25773</v>
      </c>
    </row>
    <row r="2666" spans="1:59" ht="58" x14ac:dyDescent="0.35">
      <c r="A2666" s="2" t="s">
        <v>89</v>
      </c>
      <c r="B2666" s="2" t="s">
        <v>90</v>
      </c>
      <c r="C2666" s="2" t="s">
        <v>25774</v>
      </c>
      <c r="D2666" s="2" t="s">
        <v>25775</v>
      </c>
      <c r="E2666" s="2" t="s">
        <v>25776</v>
      </c>
      <c r="G2666" s="3" t="s">
        <v>62</v>
      </c>
      <c r="I2666" s="3" t="s">
        <v>62</v>
      </c>
      <c r="J2666" s="3" t="s">
        <v>62</v>
      </c>
      <c r="K2666" s="3" t="s">
        <v>63</v>
      </c>
      <c r="L2666" s="2" t="s">
        <v>25777</v>
      </c>
      <c r="M2666" s="2" t="s">
        <v>13348</v>
      </c>
      <c r="N2666" s="3" t="s">
        <v>539</v>
      </c>
      <c r="P2666" s="3" t="s">
        <v>64</v>
      </c>
      <c r="R2666" s="3" t="s">
        <v>25645</v>
      </c>
      <c r="S2666" s="4">
        <v>79</v>
      </c>
      <c r="T2666" s="4">
        <v>79</v>
      </c>
      <c r="U2666" s="5" t="s">
        <v>4898</v>
      </c>
      <c r="V2666" s="5" t="s">
        <v>4898</v>
      </c>
      <c r="W2666" s="5" t="s">
        <v>67</v>
      </c>
      <c r="X2666" s="5" t="s">
        <v>67</v>
      </c>
      <c r="Y2666" s="4">
        <v>893</v>
      </c>
      <c r="Z2666" s="4">
        <v>31</v>
      </c>
      <c r="AA2666" s="4">
        <v>101</v>
      </c>
      <c r="AB2666" s="4">
        <v>1</v>
      </c>
      <c r="AC2666" s="4">
        <v>17</v>
      </c>
      <c r="AD2666" s="4">
        <v>117</v>
      </c>
      <c r="AE2666" s="4">
        <v>148</v>
      </c>
      <c r="AF2666" s="4">
        <v>0</v>
      </c>
      <c r="AG2666" s="4">
        <v>8</v>
      </c>
      <c r="AH2666" s="4">
        <v>102</v>
      </c>
      <c r="AI2666" s="4">
        <v>108</v>
      </c>
      <c r="AJ2666" s="4">
        <v>14</v>
      </c>
      <c r="AK2666" s="4">
        <v>24</v>
      </c>
      <c r="AL2666" s="4">
        <v>55</v>
      </c>
      <c r="AM2666" s="4">
        <v>57</v>
      </c>
      <c r="AN2666" s="4">
        <v>0</v>
      </c>
      <c r="AO2666" s="4">
        <v>0</v>
      </c>
      <c r="AP2666" s="4">
        <v>21</v>
      </c>
      <c r="AQ2666" s="4">
        <v>47</v>
      </c>
      <c r="AR2666" s="3" t="s">
        <v>62</v>
      </c>
      <c r="AS2666" s="3" t="s">
        <v>62</v>
      </c>
      <c r="AT2666" s="3" t="s">
        <v>62</v>
      </c>
      <c r="AV2666" s="6" t="str">
        <f>HYPERLINK("http://mcgill.on.worldcat.org/oclc/36877378","Catalog Record")</f>
        <v>Catalog Record</v>
      </c>
      <c r="AW2666" s="6" t="str">
        <f>HYPERLINK("http://www.worldcat.org/oclc/36877378","WorldCat Record")</f>
        <v>WorldCat Record</v>
      </c>
      <c r="AX2666" s="3" t="s">
        <v>25778</v>
      </c>
      <c r="AY2666" s="3" t="s">
        <v>25779</v>
      </c>
      <c r="AZ2666" s="3" t="s">
        <v>25780</v>
      </c>
      <c r="BA2666" s="3" t="s">
        <v>25780</v>
      </c>
      <c r="BB2666" s="3" t="s">
        <v>25781</v>
      </c>
      <c r="BC2666" s="3" t="s">
        <v>102</v>
      </c>
      <c r="BD2666" s="3" t="s">
        <v>231</v>
      </c>
      <c r="BE2666" s="3" t="s">
        <v>25782</v>
      </c>
      <c r="BF2666" s="3" t="s">
        <v>25781</v>
      </c>
      <c r="BG2666" s="3" t="s">
        <v>25783</v>
      </c>
    </row>
    <row r="2667" spans="1:59" ht="58" x14ac:dyDescent="0.35">
      <c r="A2667" s="2" t="s">
        <v>89</v>
      </c>
      <c r="B2667" s="2" t="s">
        <v>90</v>
      </c>
      <c r="C2667" s="2" t="s">
        <v>25784</v>
      </c>
      <c r="D2667" s="2" t="s">
        <v>25785</v>
      </c>
      <c r="E2667" s="2" t="s">
        <v>25786</v>
      </c>
      <c r="G2667" s="3" t="s">
        <v>62</v>
      </c>
      <c r="I2667" s="3" t="s">
        <v>61</v>
      </c>
      <c r="J2667" s="3" t="s">
        <v>62</v>
      </c>
      <c r="K2667" s="3" t="s">
        <v>63</v>
      </c>
      <c r="L2667" s="2" t="s">
        <v>25787</v>
      </c>
      <c r="M2667" s="2" t="s">
        <v>25788</v>
      </c>
      <c r="N2667" s="3" t="s">
        <v>396</v>
      </c>
      <c r="P2667" s="3" t="s">
        <v>64</v>
      </c>
      <c r="Q2667" s="2" t="s">
        <v>25789</v>
      </c>
      <c r="R2667" s="3" t="s">
        <v>25645</v>
      </c>
      <c r="S2667" s="4">
        <v>24</v>
      </c>
      <c r="T2667" s="4">
        <v>31</v>
      </c>
      <c r="U2667" s="5" t="s">
        <v>8561</v>
      </c>
      <c r="V2667" s="5" t="s">
        <v>8561</v>
      </c>
      <c r="W2667" s="5" t="s">
        <v>67</v>
      </c>
      <c r="X2667" s="5" t="s">
        <v>67</v>
      </c>
      <c r="Y2667" s="4">
        <v>169</v>
      </c>
      <c r="Z2667" s="4">
        <v>15</v>
      </c>
      <c r="AA2667" s="4">
        <v>17</v>
      </c>
      <c r="AB2667" s="4">
        <v>1</v>
      </c>
      <c r="AC2667" s="4">
        <v>3</v>
      </c>
      <c r="AD2667" s="4">
        <v>72</v>
      </c>
      <c r="AE2667" s="4">
        <v>74</v>
      </c>
      <c r="AF2667" s="4">
        <v>0</v>
      </c>
      <c r="AG2667" s="4">
        <v>2</v>
      </c>
      <c r="AH2667" s="4">
        <v>67</v>
      </c>
      <c r="AI2667" s="4">
        <v>67</v>
      </c>
      <c r="AJ2667" s="4">
        <v>10</v>
      </c>
      <c r="AK2667" s="4">
        <v>12</v>
      </c>
      <c r="AL2667" s="4">
        <v>40</v>
      </c>
      <c r="AM2667" s="4">
        <v>40</v>
      </c>
      <c r="AN2667" s="4">
        <v>4</v>
      </c>
      <c r="AO2667" s="4">
        <v>4</v>
      </c>
      <c r="AP2667" s="4">
        <v>12</v>
      </c>
      <c r="AQ2667" s="4">
        <v>13</v>
      </c>
      <c r="AR2667" s="3" t="s">
        <v>62</v>
      </c>
      <c r="AS2667" s="3" t="s">
        <v>62</v>
      </c>
      <c r="AT2667" s="3" t="s">
        <v>61</v>
      </c>
      <c r="AU2667" s="6" t="str">
        <f>HYPERLINK("http://catalog.hathitrust.org/Record/000445309","HathiTrust Record")</f>
        <v>HathiTrust Record</v>
      </c>
      <c r="AV2667" s="6" t="str">
        <f>HYPERLINK("http://mcgill.on.worldcat.org/oclc/13005143","Catalog Record")</f>
        <v>Catalog Record</v>
      </c>
      <c r="AW2667" s="6" t="str">
        <f>HYPERLINK("http://www.worldcat.org/oclc/13005143","WorldCat Record")</f>
        <v>WorldCat Record</v>
      </c>
      <c r="AX2667" s="3" t="s">
        <v>25790</v>
      </c>
      <c r="AY2667" s="3" t="s">
        <v>25791</v>
      </c>
      <c r="AZ2667" s="3" t="s">
        <v>25792</v>
      </c>
      <c r="BA2667" s="3" t="s">
        <v>25792</v>
      </c>
      <c r="BB2667" s="3" t="s">
        <v>25793</v>
      </c>
      <c r="BC2667" s="3" t="s">
        <v>102</v>
      </c>
      <c r="BD2667" s="3" t="s">
        <v>68</v>
      </c>
      <c r="BE2667" s="3" t="s">
        <v>25794</v>
      </c>
      <c r="BF2667" s="3" t="s">
        <v>25793</v>
      </c>
      <c r="BG2667" s="3" t="s">
        <v>25795</v>
      </c>
    </row>
    <row r="2668" spans="1:59" ht="58" x14ac:dyDescent="0.35">
      <c r="A2668" s="2" t="s">
        <v>89</v>
      </c>
      <c r="B2668" s="2" t="s">
        <v>90</v>
      </c>
      <c r="C2668" s="2" t="s">
        <v>25796</v>
      </c>
      <c r="D2668" s="2" t="s">
        <v>25797</v>
      </c>
      <c r="E2668" s="2" t="s">
        <v>25798</v>
      </c>
      <c r="G2668" s="3" t="s">
        <v>62</v>
      </c>
      <c r="I2668" s="3" t="s">
        <v>62</v>
      </c>
      <c r="J2668" s="3" t="s">
        <v>62</v>
      </c>
      <c r="K2668" s="3" t="s">
        <v>63</v>
      </c>
      <c r="L2668" s="2" t="s">
        <v>25799</v>
      </c>
      <c r="M2668" s="2" t="s">
        <v>25800</v>
      </c>
      <c r="N2668" s="3" t="s">
        <v>2136</v>
      </c>
      <c r="P2668" s="3" t="s">
        <v>64</v>
      </c>
      <c r="R2668" s="3" t="s">
        <v>25645</v>
      </c>
      <c r="S2668" s="4">
        <v>6</v>
      </c>
      <c r="T2668" s="4">
        <v>6</v>
      </c>
      <c r="U2668" s="5" t="s">
        <v>8561</v>
      </c>
      <c r="V2668" s="5" t="s">
        <v>8561</v>
      </c>
      <c r="W2668" s="5" t="s">
        <v>67</v>
      </c>
      <c r="X2668" s="5" t="s">
        <v>67</v>
      </c>
      <c r="Y2668" s="4">
        <v>204</v>
      </c>
      <c r="Z2668" s="4">
        <v>22</v>
      </c>
      <c r="AA2668" s="4">
        <v>57</v>
      </c>
      <c r="AB2668" s="4">
        <v>1</v>
      </c>
      <c r="AC2668" s="4">
        <v>14</v>
      </c>
      <c r="AD2668" s="4">
        <v>61</v>
      </c>
      <c r="AE2668" s="4">
        <v>111</v>
      </c>
      <c r="AF2668" s="4">
        <v>0</v>
      </c>
      <c r="AG2668" s="4">
        <v>8</v>
      </c>
      <c r="AH2668" s="4">
        <v>52</v>
      </c>
      <c r="AI2668" s="4">
        <v>78</v>
      </c>
      <c r="AJ2668" s="4">
        <v>11</v>
      </c>
      <c r="AK2668" s="4">
        <v>24</v>
      </c>
      <c r="AL2668" s="4">
        <v>32</v>
      </c>
      <c r="AM2668" s="4">
        <v>41</v>
      </c>
      <c r="AN2668" s="4">
        <v>0</v>
      </c>
      <c r="AO2668" s="4">
        <v>0</v>
      </c>
      <c r="AP2668" s="4">
        <v>14</v>
      </c>
      <c r="AQ2668" s="4">
        <v>42</v>
      </c>
      <c r="AR2668" s="3" t="s">
        <v>62</v>
      </c>
      <c r="AS2668" s="3" t="s">
        <v>62</v>
      </c>
      <c r="AT2668" s="3" t="s">
        <v>62</v>
      </c>
      <c r="AV2668" s="6" t="str">
        <f>HYPERLINK("http://mcgill.on.worldcat.org/oclc/46937593","Catalog Record")</f>
        <v>Catalog Record</v>
      </c>
      <c r="AW2668" s="6" t="str">
        <f>HYPERLINK("http://www.worldcat.org/oclc/46937593","WorldCat Record")</f>
        <v>WorldCat Record</v>
      </c>
      <c r="AX2668" s="3" t="s">
        <v>25801</v>
      </c>
      <c r="AY2668" s="3" t="s">
        <v>25802</v>
      </c>
      <c r="AZ2668" s="3" t="s">
        <v>25803</v>
      </c>
      <c r="BA2668" s="3" t="s">
        <v>25803</v>
      </c>
      <c r="BB2668" s="3" t="s">
        <v>25804</v>
      </c>
      <c r="BC2668" s="3" t="s">
        <v>102</v>
      </c>
      <c r="BD2668" s="3" t="s">
        <v>68</v>
      </c>
      <c r="BE2668" s="3" t="s">
        <v>25805</v>
      </c>
      <c r="BF2668" s="3" t="s">
        <v>25804</v>
      </c>
      <c r="BG2668" s="3" t="s">
        <v>25806</v>
      </c>
    </row>
    <row r="2669" spans="1:59" ht="58" x14ac:dyDescent="0.35">
      <c r="A2669" s="2" t="s">
        <v>89</v>
      </c>
      <c r="B2669" s="2" t="s">
        <v>90</v>
      </c>
      <c r="C2669" s="2" t="s">
        <v>25807</v>
      </c>
      <c r="D2669" s="2" t="s">
        <v>25808</v>
      </c>
      <c r="E2669" s="2" t="s">
        <v>25809</v>
      </c>
      <c r="F2669" s="3" t="s">
        <v>15732</v>
      </c>
      <c r="G2669" s="3" t="s">
        <v>61</v>
      </c>
      <c r="I2669" s="3" t="s">
        <v>62</v>
      </c>
      <c r="J2669" s="3" t="s">
        <v>62</v>
      </c>
      <c r="K2669" s="3" t="s">
        <v>63</v>
      </c>
      <c r="L2669" s="2" t="s">
        <v>25810</v>
      </c>
      <c r="M2669" s="2" t="s">
        <v>25811</v>
      </c>
      <c r="N2669" s="3" t="s">
        <v>186</v>
      </c>
      <c r="P2669" s="3" t="s">
        <v>64</v>
      </c>
      <c r="Q2669" s="2" t="s">
        <v>25812</v>
      </c>
      <c r="R2669" s="3" t="s">
        <v>25645</v>
      </c>
      <c r="S2669" s="4">
        <v>29</v>
      </c>
      <c r="T2669" s="4">
        <v>73</v>
      </c>
      <c r="U2669" s="5" t="s">
        <v>25813</v>
      </c>
      <c r="V2669" s="5" t="s">
        <v>25813</v>
      </c>
      <c r="W2669" s="5" t="s">
        <v>67</v>
      </c>
      <c r="X2669" s="5" t="s">
        <v>67</v>
      </c>
      <c r="Y2669" s="4">
        <v>530</v>
      </c>
      <c r="Z2669" s="4">
        <v>34</v>
      </c>
      <c r="AA2669" s="4">
        <v>39</v>
      </c>
      <c r="AB2669" s="4">
        <v>2</v>
      </c>
      <c r="AC2669" s="4">
        <v>3</v>
      </c>
      <c r="AD2669" s="4">
        <v>119</v>
      </c>
      <c r="AE2669" s="4">
        <v>124</v>
      </c>
      <c r="AF2669" s="4">
        <v>1</v>
      </c>
      <c r="AG2669" s="4">
        <v>1</v>
      </c>
      <c r="AH2669" s="4">
        <v>102</v>
      </c>
      <c r="AI2669" s="4">
        <v>105</v>
      </c>
      <c r="AJ2669" s="4">
        <v>17</v>
      </c>
      <c r="AK2669" s="4">
        <v>18</v>
      </c>
      <c r="AL2669" s="4">
        <v>58</v>
      </c>
      <c r="AM2669" s="4">
        <v>58</v>
      </c>
      <c r="AN2669" s="4">
        <v>0</v>
      </c>
      <c r="AO2669" s="4">
        <v>0</v>
      </c>
      <c r="AP2669" s="4">
        <v>23</v>
      </c>
      <c r="AQ2669" s="4">
        <v>26</v>
      </c>
      <c r="AR2669" s="3" t="s">
        <v>62</v>
      </c>
      <c r="AS2669" s="3" t="s">
        <v>62</v>
      </c>
      <c r="AT2669" s="3" t="s">
        <v>61</v>
      </c>
      <c r="AU2669" s="6" t="str">
        <f>HYPERLINK("http://catalog.hathitrust.org/Record/004392983","HathiTrust Record")</f>
        <v>HathiTrust Record</v>
      </c>
      <c r="AV2669" s="6" t="str">
        <f>HYPERLINK("http://mcgill.on.worldcat.org/oclc/1273428","Catalog Record")</f>
        <v>Catalog Record</v>
      </c>
      <c r="AW2669" s="6" t="str">
        <f>HYPERLINK("http://www.worldcat.org/oclc/1273428","WorldCat Record")</f>
        <v>WorldCat Record</v>
      </c>
      <c r="AX2669" s="3" t="s">
        <v>25814</v>
      </c>
      <c r="AY2669" s="3" t="s">
        <v>25815</v>
      </c>
      <c r="AZ2669" s="3" t="s">
        <v>25816</v>
      </c>
      <c r="BA2669" s="3" t="s">
        <v>25816</v>
      </c>
      <c r="BB2669" s="3" t="s">
        <v>25817</v>
      </c>
      <c r="BC2669" s="3" t="s">
        <v>102</v>
      </c>
      <c r="BD2669" s="3" t="s">
        <v>68</v>
      </c>
      <c r="BE2669" s="3" t="s">
        <v>25818</v>
      </c>
      <c r="BF2669" s="3" t="s">
        <v>25817</v>
      </c>
      <c r="BG2669" s="3" t="s">
        <v>25819</v>
      </c>
    </row>
    <row r="2670" spans="1:59" ht="58" x14ac:dyDescent="0.35">
      <c r="A2670" s="2" t="s">
        <v>89</v>
      </c>
      <c r="B2670" s="2" t="s">
        <v>90</v>
      </c>
      <c r="C2670" s="2" t="s">
        <v>25807</v>
      </c>
      <c r="D2670" s="2" t="s">
        <v>25808</v>
      </c>
      <c r="E2670" s="2" t="s">
        <v>25809</v>
      </c>
      <c r="F2670" s="3" t="s">
        <v>25669</v>
      </c>
      <c r="G2670" s="3" t="s">
        <v>61</v>
      </c>
      <c r="I2670" s="3" t="s">
        <v>62</v>
      </c>
      <c r="J2670" s="3" t="s">
        <v>62</v>
      </c>
      <c r="K2670" s="3" t="s">
        <v>63</v>
      </c>
      <c r="L2670" s="2" t="s">
        <v>25810</v>
      </c>
      <c r="M2670" s="2" t="s">
        <v>25811</v>
      </c>
      <c r="N2670" s="3" t="s">
        <v>186</v>
      </c>
      <c r="P2670" s="3" t="s">
        <v>64</v>
      </c>
      <c r="Q2670" s="2" t="s">
        <v>25812</v>
      </c>
      <c r="R2670" s="3" t="s">
        <v>25645</v>
      </c>
      <c r="S2670" s="4">
        <v>29</v>
      </c>
      <c r="T2670" s="4">
        <v>73</v>
      </c>
      <c r="U2670" s="5" t="s">
        <v>22599</v>
      </c>
      <c r="V2670" s="5" t="s">
        <v>25813</v>
      </c>
      <c r="W2670" s="5" t="s">
        <v>67</v>
      </c>
      <c r="X2670" s="5" t="s">
        <v>67</v>
      </c>
      <c r="Y2670" s="4">
        <v>530</v>
      </c>
      <c r="Z2670" s="4">
        <v>34</v>
      </c>
      <c r="AA2670" s="4">
        <v>39</v>
      </c>
      <c r="AB2670" s="4">
        <v>2</v>
      </c>
      <c r="AC2670" s="4">
        <v>3</v>
      </c>
      <c r="AD2670" s="4">
        <v>119</v>
      </c>
      <c r="AE2670" s="4">
        <v>124</v>
      </c>
      <c r="AF2670" s="4">
        <v>1</v>
      </c>
      <c r="AG2670" s="4">
        <v>1</v>
      </c>
      <c r="AH2670" s="4">
        <v>102</v>
      </c>
      <c r="AI2670" s="4">
        <v>105</v>
      </c>
      <c r="AJ2670" s="4">
        <v>17</v>
      </c>
      <c r="AK2670" s="4">
        <v>18</v>
      </c>
      <c r="AL2670" s="4">
        <v>58</v>
      </c>
      <c r="AM2670" s="4">
        <v>58</v>
      </c>
      <c r="AN2670" s="4">
        <v>0</v>
      </c>
      <c r="AO2670" s="4">
        <v>0</v>
      </c>
      <c r="AP2670" s="4">
        <v>23</v>
      </c>
      <c r="AQ2670" s="4">
        <v>26</v>
      </c>
      <c r="AR2670" s="3" t="s">
        <v>62</v>
      </c>
      <c r="AS2670" s="3" t="s">
        <v>62</v>
      </c>
      <c r="AT2670" s="3" t="s">
        <v>61</v>
      </c>
      <c r="AU2670" s="6" t="str">
        <f>HYPERLINK("http://catalog.hathitrust.org/Record/004392983","HathiTrust Record")</f>
        <v>HathiTrust Record</v>
      </c>
      <c r="AV2670" s="6" t="str">
        <f>HYPERLINK("http://mcgill.on.worldcat.org/oclc/1273428","Catalog Record")</f>
        <v>Catalog Record</v>
      </c>
      <c r="AW2670" s="6" t="str">
        <f>HYPERLINK("http://www.worldcat.org/oclc/1273428","WorldCat Record")</f>
        <v>WorldCat Record</v>
      </c>
      <c r="AX2670" s="3" t="s">
        <v>25814</v>
      </c>
      <c r="AY2670" s="3" t="s">
        <v>25815</v>
      </c>
      <c r="AZ2670" s="3" t="s">
        <v>25816</v>
      </c>
      <c r="BA2670" s="3" t="s">
        <v>25816</v>
      </c>
      <c r="BB2670" s="3" t="s">
        <v>25820</v>
      </c>
      <c r="BC2670" s="3" t="s">
        <v>102</v>
      </c>
      <c r="BD2670" s="3" t="s">
        <v>68</v>
      </c>
      <c r="BE2670" s="3" t="s">
        <v>25818</v>
      </c>
      <c r="BF2670" s="3" t="s">
        <v>25820</v>
      </c>
      <c r="BG2670" s="3" t="s">
        <v>25821</v>
      </c>
    </row>
    <row r="2671" spans="1:59" ht="58" x14ac:dyDescent="0.35">
      <c r="A2671" s="2" t="s">
        <v>89</v>
      </c>
      <c r="B2671" s="2" t="s">
        <v>90</v>
      </c>
      <c r="C2671" s="2" t="s">
        <v>25807</v>
      </c>
      <c r="D2671" s="2" t="s">
        <v>25808</v>
      </c>
      <c r="E2671" s="2" t="s">
        <v>25809</v>
      </c>
      <c r="F2671" s="3" t="s">
        <v>15717</v>
      </c>
      <c r="G2671" s="3" t="s">
        <v>61</v>
      </c>
      <c r="I2671" s="3" t="s">
        <v>62</v>
      </c>
      <c r="J2671" s="3" t="s">
        <v>62</v>
      </c>
      <c r="K2671" s="3" t="s">
        <v>63</v>
      </c>
      <c r="L2671" s="2" t="s">
        <v>25810</v>
      </c>
      <c r="M2671" s="2" t="s">
        <v>25811</v>
      </c>
      <c r="N2671" s="3" t="s">
        <v>186</v>
      </c>
      <c r="P2671" s="3" t="s">
        <v>64</v>
      </c>
      <c r="Q2671" s="2" t="s">
        <v>25812</v>
      </c>
      <c r="R2671" s="3" t="s">
        <v>25645</v>
      </c>
      <c r="S2671" s="4">
        <v>15</v>
      </c>
      <c r="T2671" s="4">
        <v>73</v>
      </c>
      <c r="U2671" s="5" t="s">
        <v>25813</v>
      </c>
      <c r="V2671" s="5" t="s">
        <v>25813</v>
      </c>
      <c r="W2671" s="5" t="s">
        <v>67</v>
      </c>
      <c r="X2671" s="5" t="s">
        <v>67</v>
      </c>
      <c r="Y2671" s="4">
        <v>530</v>
      </c>
      <c r="Z2671" s="4">
        <v>34</v>
      </c>
      <c r="AA2671" s="4">
        <v>39</v>
      </c>
      <c r="AB2671" s="4">
        <v>2</v>
      </c>
      <c r="AC2671" s="4">
        <v>3</v>
      </c>
      <c r="AD2671" s="4">
        <v>119</v>
      </c>
      <c r="AE2671" s="4">
        <v>124</v>
      </c>
      <c r="AF2671" s="4">
        <v>1</v>
      </c>
      <c r="AG2671" s="4">
        <v>1</v>
      </c>
      <c r="AH2671" s="4">
        <v>102</v>
      </c>
      <c r="AI2671" s="4">
        <v>105</v>
      </c>
      <c r="AJ2671" s="4">
        <v>17</v>
      </c>
      <c r="AK2671" s="4">
        <v>18</v>
      </c>
      <c r="AL2671" s="4">
        <v>58</v>
      </c>
      <c r="AM2671" s="4">
        <v>58</v>
      </c>
      <c r="AN2671" s="4">
        <v>0</v>
      </c>
      <c r="AO2671" s="4">
        <v>0</v>
      </c>
      <c r="AP2671" s="4">
        <v>23</v>
      </c>
      <c r="AQ2671" s="4">
        <v>26</v>
      </c>
      <c r="AR2671" s="3" t="s">
        <v>62</v>
      </c>
      <c r="AS2671" s="3" t="s">
        <v>62</v>
      </c>
      <c r="AT2671" s="3" t="s">
        <v>61</v>
      </c>
      <c r="AU2671" s="6" t="str">
        <f>HYPERLINK("http://catalog.hathitrust.org/Record/004392983","HathiTrust Record")</f>
        <v>HathiTrust Record</v>
      </c>
      <c r="AV2671" s="6" t="str">
        <f>HYPERLINK("http://mcgill.on.worldcat.org/oclc/1273428","Catalog Record")</f>
        <v>Catalog Record</v>
      </c>
      <c r="AW2671" s="6" t="str">
        <f>HYPERLINK("http://www.worldcat.org/oclc/1273428","WorldCat Record")</f>
        <v>WorldCat Record</v>
      </c>
      <c r="AX2671" s="3" t="s">
        <v>25814</v>
      </c>
      <c r="AY2671" s="3" t="s">
        <v>25815</v>
      </c>
      <c r="AZ2671" s="3" t="s">
        <v>25816</v>
      </c>
      <c r="BA2671" s="3" t="s">
        <v>25816</v>
      </c>
      <c r="BB2671" s="3" t="s">
        <v>25822</v>
      </c>
      <c r="BC2671" s="3" t="s">
        <v>102</v>
      </c>
      <c r="BD2671" s="3" t="s">
        <v>68</v>
      </c>
      <c r="BE2671" s="3" t="s">
        <v>25818</v>
      </c>
      <c r="BF2671" s="3" t="s">
        <v>25822</v>
      </c>
      <c r="BG2671" s="3" t="s">
        <v>25823</v>
      </c>
    </row>
    <row r="2672" spans="1:59" ht="58" x14ac:dyDescent="0.35">
      <c r="A2672" s="2" t="s">
        <v>89</v>
      </c>
      <c r="B2672" s="2" t="s">
        <v>90</v>
      </c>
      <c r="C2672" s="2" t="s">
        <v>25824</v>
      </c>
      <c r="D2672" s="2" t="s">
        <v>25825</v>
      </c>
      <c r="E2672" s="2" t="s">
        <v>25826</v>
      </c>
      <c r="G2672" s="3" t="s">
        <v>62</v>
      </c>
      <c r="I2672" s="3" t="s">
        <v>62</v>
      </c>
      <c r="J2672" s="3" t="s">
        <v>62</v>
      </c>
      <c r="K2672" s="3" t="s">
        <v>63</v>
      </c>
      <c r="M2672" s="2" t="s">
        <v>25827</v>
      </c>
      <c r="N2672" s="3" t="s">
        <v>553</v>
      </c>
      <c r="P2672" s="3" t="s">
        <v>64</v>
      </c>
      <c r="Q2672" s="2" t="s">
        <v>5145</v>
      </c>
      <c r="R2672" s="3" t="s">
        <v>25645</v>
      </c>
      <c r="S2672" s="4">
        <v>20</v>
      </c>
      <c r="T2672" s="4">
        <v>20</v>
      </c>
      <c r="U2672" s="5" t="s">
        <v>18783</v>
      </c>
      <c r="V2672" s="5" t="s">
        <v>18783</v>
      </c>
      <c r="W2672" s="5" t="s">
        <v>67</v>
      </c>
      <c r="X2672" s="5" t="s">
        <v>67</v>
      </c>
      <c r="Y2672" s="4">
        <v>272</v>
      </c>
      <c r="Z2672" s="4">
        <v>19</v>
      </c>
      <c r="AA2672" s="4">
        <v>92</v>
      </c>
      <c r="AB2672" s="4">
        <v>1</v>
      </c>
      <c r="AC2672" s="4">
        <v>17</v>
      </c>
      <c r="AD2672" s="4">
        <v>83</v>
      </c>
      <c r="AE2672" s="4">
        <v>135</v>
      </c>
      <c r="AF2672" s="4">
        <v>0</v>
      </c>
      <c r="AG2672" s="4">
        <v>8</v>
      </c>
      <c r="AH2672" s="4">
        <v>72</v>
      </c>
      <c r="AI2672" s="4">
        <v>99</v>
      </c>
      <c r="AJ2672" s="4">
        <v>12</v>
      </c>
      <c r="AK2672" s="4">
        <v>21</v>
      </c>
      <c r="AL2672" s="4">
        <v>47</v>
      </c>
      <c r="AM2672" s="4">
        <v>54</v>
      </c>
      <c r="AN2672" s="4">
        <v>0</v>
      </c>
      <c r="AO2672" s="4">
        <v>0</v>
      </c>
      <c r="AP2672" s="4">
        <v>14</v>
      </c>
      <c r="AQ2672" s="4">
        <v>43</v>
      </c>
      <c r="AR2672" s="3" t="s">
        <v>62</v>
      </c>
      <c r="AS2672" s="3" t="s">
        <v>62</v>
      </c>
      <c r="AT2672" s="3" t="s">
        <v>62</v>
      </c>
      <c r="AV2672" s="6" t="str">
        <f>HYPERLINK("http://mcgill.on.worldcat.org/oclc/41142931","Catalog Record")</f>
        <v>Catalog Record</v>
      </c>
      <c r="AW2672" s="6" t="str">
        <f>HYPERLINK("http://www.worldcat.org/oclc/41142931","WorldCat Record")</f>
        <v>WorldCat Record</v>
      </c>
      <c r="AX2672" s="3" t="s">
        <v>25828</v>
      </c>
      <c r="AY2672" s="3" t="s">
        <v>25829</v>
      </c>
      <c r="AZ2672" s="3" t="s">
        <v>25830</v>
      </c>
      <c r="BA2672" s="3" t="s">
        <v>25830</v>
      </c>
      <c r="BB2672" s="3" t="s">
        <v>25831</v>
      </c>
      <c r="BC2672" s="3" t="s">
        <v>102</v>
      </c>
      <c r="BD2672" s="3" t="s">
        <v>231</v>
      </c>
      <c r="BE2672" s="3" t="s">
        <v>25832</v>
      </c>
      <c r="BF2672" s="3" t="s">
        <v>25831</v>
      </c>
      <c r="BG2672" s="3" t="s">
        <v>25833</v>
      </c>
    </row>
    <row r="2673" spans="1:59" ht="58" x14ac:dyDescent="0.35">
      <c r="A2673" s="2" t="s">
        <v>89</v>
      </c>
      <c r="B2673" s="2" t="s">
        <v>90</v>
      </c>
      <c r="C2673" s="2" t="s">
        <v>25834</v>
      </c>
      <c r="D2673" s="2" t="s">
        <v>25835</v>
      </c>
      <c r="E2673" s="2" t="s">
        <v>25836</v>
      </c>
      <c r="G2673" s="3" t="s">
        <v>62</v>
      </c>
      <c r="I2673" s="3" t="s">
        <v>62</v>
      </c>
      <c r="J2673" s="3" t="s">
        <v>62</v>
      </c>
      <c r="K2673" s="3" t="s">
        <v>63</v>
      </c>
      <c r="L2673" s="2" t="s">
        <v>25837</v>
      </c>
      <c r="M2673" s="2" t="s">
        <v>25838</v>
      </c>
      <c r="N2673" s="3" t="s">
        <v>2085</v>
      </c>
      <c r="P2673" s="3" t="s">
        <v>64</v>
      </c>
      <c r="Q2673" s="2" t="s">
        <v>25839</v>
      </c>
      <c r="R2673" s="3" t="s">
        <v>25645</v>
      </c>
      <c r="S2673" s="4">
        <v>0</v>
      </c>
      <c r="T2673" s="4">
        <v>0</v>
      </c>
      <c r="W2673" s="5" t="s">
        <v>67</v>
      </c>
      <c r="X2673" s="5" t="s">
        <v>67</v>
      </c>
      <c r="Y2673" s="4">
        <v>92</v>
      </c>
      <c r="Z2673" s="4">
        <v>3</v>
      </c>
      <c r="AA2673" s="4">
        <v>3</v>
      </c>
      <c r="AB2673" s="4">
        <v>1</v>
      </c>
      <c r="AC2673" s="4">
        <v>1</v>
      </c>
      <c r="AD2673" s="4">
        <v>45</v>
      </c>
      <c r="AE2673" s="4">
        <v>45</v>
      </c>
      <c r="AF2673" s="4">
        <v>0</v>
      </c>
      <c r="AG2673" s="4">
        <v>0</v>
      </c>
      <c r="AH2673" s="4">
        <v>43</v>
      </c>
      <c r="AI2673" s="4">
        <v>43</v>
      </c>
      <c r="AJ2673" s="4">
        <v>2</v>
      </c>
      <c r="AK2673" s="4">
        <v>2</v>
      </c>
      <c r="AL2673" s="4">
        <v>27</v>
      </c>
      <c r="AM2673" s="4">
        <v>27</v>
      </c>
      <c r="AN2673" s="4">
        <v>0</v>
      </c>
      <c r="AO2673" s="4">
        <v>0</v>
      </c>
      <c r="AP2673" s="4">
        <v>2</v>
      </c>
      <c r="AQ2673" s="4">
        <v>2</v>
      </c>
      <c r="AR2673" s="3" t="s">
        <v>62</v>
      </c>
      <c r="AS2673" s="3" t="s">
        <v>62</v>
      </c>
      <c r="AT2673" s="3" t="s">
        <v>62</v>
      </c>
      <c r="AV2673" s="6" t="str">
        <f>HYPERLINK("http://mcgill.on.worldcat.org/oclc/1031408784","Catalog Record")</f>
        <v>Catalog Record</v>
      </c>
      <c r="AW2673" s="6" t="str">
        <f>HYPERLINK("http://www.worldcat.org/oclc/1031408784","WorldCat Record")</f>
        <v>WorldCat Record</v>
      </c>
      <c r="AX2673" s="3" t="s">
        <v>25840</v>
      </c>
      <c r="AY2673" s="3" t="s">
        <v>25841</v>
      </c>
      <c r="AZ2673" s="3" t="s">
        <v>25842</v>
      </c>
      <c r="BA2673" s="3" t="s">
        <v>25842</v>
      </c>
      <c r="BB2673" s="3" t="s">
        <v>25843</v>
      </c>
      <c r="BC2673" s="3" t="s">
        <v>102</v>
      </c>
      <c r="BD2673" s="3" t="s">
        <v>68</v>
      </c>
      <c r="BE2673" s="3" t="s">
        <v>25844</v>
      </c>
      <c r="BF2673" s="3" t="s">
        <v>25843</v>
      </c>
      <c r="BG2673" s="3" t="s">
        <v>25845</v>
      </c>
    </row>
    <row r="2674" spans="1:59" ht="58" x14ac:dyDescent="0.35">
      <c r="A2674" s="2" t="s">
        <v>89</v>
      </c>
      <c r="B2674" s="2" t="s">
        <v>90</v>
      </c>
      <c r="C2674" s="2" t="s">
        <v>25846</v>
      </c>
      <c r="D2674" s="2" t="s">
        <v>25847</v>
      </c>
      <c r="E2674" s="2" t="s">
        <v>25848</v>
      </c>
      <c r="G2674" s="3" t="s">
        <v>62</v>
      </c>
      <c r="I2674" s="3" t="s">
        <v>62</v>
      </c>
      <c r="J2674" s="3" t="s">
        <v>62</v>
      </c>
      <c r="K2674" s="3" t="s">
        <v>63</v>
      </c>
      <c r="L2674" s="2" t="s">
        <v>25849</v>
      </c>
      <c r="M2674" s="2" t="s">
        <v>25850</v>
      </c>
      <c r="N2674" s="3" t="s">
        <v>698</v>
      </c>
      <c r="P2674" s="3" t="s">
        <v>64</v>
      </c>
      <c r="Q2674" s="2" t="s">
        <v>25851</v>
      </c>
      <c r="R2674" s="3" t="s">
        <v>25645</v>
      </c>
      <c r="S2674" s="4">
        <v>0</v>
      </c>
      <c r="T2674" s="4">
        <v>0</v>
      </c>
      <c r="W2674" s="5" t="s">
        <v>67</v>
      </c>
      <c r="X2674" s="5" t="s">
        <v>67</v>
      </c>
      <c r="Y2674" s="4">
        <v>37</v>
      </c>
      <c r="Z2674" s="4">
        <v>2</v>
      </c>
      <c r="AA2674" s="4">
        <v>61</v>
      </c>
      <c r="AB2674" s="4">
        <v>1</v>
      </c>
      <c r="AC2674" s="4">
        <v>8</v>
      </c>
      <c r="AD2674" s="4">
        <v>11</v>
      </c>
      <c r="AE2674" s="4">
        <v>89</v>
      </c>
      <c r="AF2674" s="4">
        <v>0</v>
      </c>
      <c r="AG2674" s="4">
        <v>4</v>
      </c>
      <c r="AH2674" s="4">
        <v>10</v>
      </c>
      <c r="AI2674" s="4">
        <v>58</v>
      </c>
      <c r="AJ2674" s="4">
        <v>0</v>
      </c>
      <c r="AK2674" s="4">
        <v>20</v>
      </c>
      <c r="AL2674" s="4">
        <v>6</v>
      </c>
      <c r="AM2674" s="4">
        <v>30</v>
      </c>
      <c r="AN2674" s="4">
        <v>0</v>
      </c>
      <c r="AO2674" s="4">
        <v>0</v>
      </c>
      <c r="AP2674" s="4">
        <v>1</v>
      </c>
      <c r="AQ2674" s="4">
        <v>36</v>
      </c>
      <c r="AR2674" s="3" t="s">
        <v>62</v>
      </c>
      <c r="AS2674" s="3" t="s">
        <v>62</v>
      </c>
      <c r="AT2674" s="3" t="s">
        <v>62</v>
      </c>
      <c r="AV2674" s="6" t="str">
        <f>HYPERLINK("http://mcgill.on.worldcat.org/oclc/780478122","Catalog Record")</f>
        <v>Catalog Record</v>
      </c>
      <c r="AW2674" s="6" t="str">
        <f>HYPERLINK("http://www.worldcat.org/oclc/780478122","WorldCat Record")</f>
        <v>WorldCat Record</v>
      </c>
      <c r="AX2674" s="3" t="s">
        <v>25852</v>
      </c>
      <c r="AY2674" s="3" t="s">
        <v>25853</v>
      </c>
      <c r="AZ2674" s="3" t="s">
        <v>25854</v>
      </c>
      <c r="BA2674" s="3" t="s">
        <v>25854</v>
      </c>
      <c r="BB2674" s="3" t="s">
        <v>25855</v>
      </c>
      <c r="BC2674" s="3" t="s">
        <v>102</v>
      </c>
      <c r="BD2674" s="3" t="s">
        <v>68</v>
      </c>
      <c r="BE2674" s="3" t="s">
        <v>25856</v>
      </c>
      <c r="BF2674" s="3" t="s">
        <v>25855</v>
      </c>
      <c r="BG2674" s="3" t="s">
        <v>25857</v>
      </c>
    </row>
    <row r="2675" spans="1:59" ht="58" x14ac:dyDescent="0.35">
      <c r="A2675" s="2" t="s">
        <v>89</v>
      </c>
      <c r="B2675" s="2" t="s">
        <v>90</v>
      </c>
      <c r="C2675" s="2" t="s">
        <v>25858</v>
      </c>
      <c r="D2675" s="2" t="s">
        <v>25859</v>
      </c>
      <c r="E2675" s="2" t="s">
        <v>25860</v>
      </c>
      <c r="G2675" s="3" t="s">
        <v>62</v>
      </c>
      <c r="I2675" s="3" t="s">
        <v>62</v>
      </c>
      <c r="J2675" s="3" t="s">
        <v>62</v>
      </c>
      <c r="K2675" s="3" t="s">
        <v>63</v>
      </c>
      <c r="L2675" s="2" t="s">
        <v>25861</v>
      </c>
      <c r="M2675" s="2" t="s">
        <v>25862</v>
      </c>
      <c r="N2675" s="3" t="s">
        <v>186</v>
      </c>
      <c r="P2675" s="3" t="s">
        <v>85</v>
      </c>
      <c r="Q2675" s="2" t="s">
        <v>25863</v>
      </c>
      <c r="R2675" s="3" t="s">
        <v>25645</v>
      </c>
      <c r="S2675" s="4">
        <v>5</v>
      </c>
      <c r="T2675" s="4">
        <v>5</v>
      </c>
      <c r="U2675" s="5" t="s">
        <v>25864</v>
      </c>
      <c r="V2675" s="5" t="s">
        <v>25864</v>
      </c>
      <c r="W2675" s="5" t="s">
        <v>67</v>
      </c>
      <c r="X2675" s="5" t="s">
        <v>67</v>
      </c>
      <c r="Y2675" s="4">
        <v>89</v>
      </c>
      <c r="Z2675" s="4">
        <v>7</v>
      </c>
      <c r="AA2675" s="4">
        <v>11</v>
      </c>
      <c r="AB2675" s="4">
        <v>1</v>
      </c>
      <c r="AC2675" s="4">
        <v>2</v>
      </c>
      <c r="AD2675" s="4">
        <v>42</v>
      </c>
      <c r="AE2675" s="4">
        <v>63</v>
      </c>
      <c r="AF2675" s="4">
        <v>0</v>
      </c>
      <c r="AG2675" s="4">
        <v>1</v>
      </c>
      <c r="AH2675" s="4">
        <v>38</v>
      </c>
      <c r="AI2675" s="4">
        <v>58</v>
      </c>
      <c r="AJ2675" s="4">
        <v>5</v>
      </c>
      <c r="AK2675" s="4">
        <v>9</v>
      </c>
      <c r="AL2675" s="4">
        <v>29</v>
      </c>
      <c r="AM2675" s="4">
        <v>35</v>
      </c>
      <c r="AN2675" s="4">
        <v>0</v>
      </c>
      <c r="AO2675" s="4">
        <v>2</v>
      </c>
      <c r="AP2675" s="4">
        <v>5</v>
      </c>
      <c r="AQ2675" s="4">
        <v>9</v>
      </c>
      <c r="AR2675" s="3" t="s">
        <v>62</v>
      </c>
      <c r="AS2675" s="3" t="s">
        <v>62</v>
      </c>
      <c r="AT2675" s="3" t="s">
        <v>61</v>
      </c>
      <c r="AU2675" s="6" t="str">
        <f>HYPERLINK("http://catalog.hathitrust.org/Record/003836085","HathiTrust Record")</f>
        <v>HathiTrust Record</v>
      </c>
      <c r="AV2675" s="6" t="str">
        <f>HYPERLINK("http://mcgill.on.worldcat.org/oclc/2840533","Catalog Record")</f>
        <v>Catalog Record</v>
      </c>
      <c r="AW2675" s="6" t="str">
        <f>HYPERLINK("http://www.worldcat.org/oclc/2840533","WorldCat Record")</f>
        <v>WorldCat Record</v>
      </c>
      <c r="AX2675" s="3" t="s">
        <v>25865</v>
      </c>
      <c r="AY2675" s="3" t="s">
        <v>25866</v>
      </c>
      <c r="AZ2675" s="3" t="s">
        <v>25867</v>
      </c>
      <c r="BA2675" s="3" t="s">
        <v>25867</v>
      </c>
      <c r="BB2675" s="3" t="s">
        <v>25868</v>
      </c>
      <c r="BC2675" s="3" t="s">
        <v>102</v>
      </c>
      <c r="BD2675" s="3" t="s">
        <v>68</v>
      </c>
      <c r="BF2675" s="3" t="s">
        <v>25868</v>
      </c>
      <c r="BG2675" s="3" t="s">
        <v>25869</v>
      </c>
    </row>
    <row r="2676" spans="1:59" ht="58" x14ac:dyDescent="0.35">
      <c r="A2676" s="2" t="s">
        <v>89</v>
      </c>
      <c r="B2676" s="2" t="s">
        <v>90</v>
      </c>
      <c r="C2676" s="2" t="s">
        <v>25870</v>
      </c>
      <c r="D2676" s="2" t="s">
        <v>25871</v>
      </c>
      <c r="E2676" s="2" t="s">
        <v>25872</v>
      </c>
      <c r="G2676" s="3" t="s">
        <v>62</v>
      </c>
      <c r="I2676" s="3" t="s">
        <v>62</v>
      </c>
      <c r="J2676" s="3" t="s">
        <v>62</v>
      </c>
      <c r="K2676" s="3" t="s">
        <v>63</v>
      </c>
      <c r="L2676" s="2" t="s">
        <v>25873</v>
      </c>
      <c r="M2676" s="2" t="s">
        <v>25874</v>
      </c>
      <c r="N2676" s="3" t="s">
        <v>327</v>
      </c>
      <c r="O2676" s="2" t="s">
        <v>19840</v>
      </c>
      <c r="P2676" s="3" t="s">
        <v>85</v>
      </c>
      <c r="Q2676" s="2" t="s">
        <v>25875</v>
      </c>
      <c r="R2676" s="3" t="s">
        <v>25645</v>
      </c>
      <c r="S2676" s="4">
        <v>1</v>
      </c>
      <c r="T2676" s="4">
        <v>1</v>
      </c>
      <c r="U2676" s="5" t="s">
        <v>2667</v>
      </c>
      <c r="V2676" s="5" t="s">
        <v>2667</v>
      </c>
      <c r="W2676" s="5" t="s">
        <v>67</v>
      </c>
      <c r="X2676" s="5" t="s">
        <v>67</v>
      </c>
      <c r="Y2676" s="4">
        <v>143</v>
      </c>
      <c r="Z2676" s="4">
        <v>6</v>
      </c>
      <c r="AA2676" s="4">
        <v>13</v>
      </c>
      <c r="AB2676" s="4">
        <v>1</v>
      </c>
      <c r="AC2676" s="4">
        <v>2</v>
      </c>
      <c r="AD2676" s="4">
        <v>48</v>
      </c>
      <c r="AE2676" s="4">
        <v>59</v>
      </c>
      <c r="AF2676" s="4">
        <v>0</v>
      </c>
      <c r="AG2676" s="4">
        <v>1</v>
      </c>
      <c r="AH2676" s="4">
        <v>43</v>
      </c>
      <c r="AI2676" s="4">
        <v>54</v>
      </c>
      <c r="AJ2676" s="4">
        <v>5</v>
      </c>
      <c r="AK2676" s="4">
        <v>9</v>
      </c>
      <c r="AL2676" s="4">
        <v>30</v>
      </c>
      <c r="AM2676" s="4">
        <v>34</v>
      </c>
      <c r="AN2676" s="4">
        <v>0</v>
      </c>
      <c r="AO2676" s="4">
        <v>0</v>
      </c>
      <c r="AP2676" s="4">
        <v>5</v>
      </c>
      <c r="AQ2676" s="4">
        <v>10</v>
      </c>
      <c r="AR2676" s="3" t="s">
        <v>62</v>
      </c>
      <c r="AS2676" s="3" t="s">
        <v>62</v>
      </c>
      <c r="AT2676" s="3" t="s">
        <v>61</v>
      </c>
      <c r="AU2676" s="6" t="str">
        <f>HYPERLINK("http://catalog.hathitrust.org/Record/006215547","HathiTrust Record")</f>
        <v>HathiTrust Record</v>
      </c>
      <c r="AV2676" s="6" t="str">
        <f>HYPERLINK("http://mcgill.on.worldcat.org/oclc/12237884","Catalog Record")</f>
        <v>Catalog Record</v>
      </c>
      <c r="AW2676" s="6" t="str">
        <f>HYPERLINK("http://www.worldcat.org/oclc/12237884","WorldCat Record")</f>
        <v>WorldCat Record</v>
      </c>
      <c r="AX2676" s="3" t="s">
        <v>25876</v>
      </c>
      <c r="AY2676" s="3" t="s">
        <v>25877</v>
      </c>
      <c r="AZ2676" s="3" t="s">
        <v>25878</v>
      </c>
      <c r="BA2676" s="3" t="s">
        <v>25878</v>
      </c>
      <c r="BB2676" s="3" t="s">
        <v>25879</v>
      </c>
      <c r="BC2676" s="3" t="s">
        <v>102</v>
      </c>
      <c r="BD2676" s="3" t="s">
        <v>68</v>
      </c>
      <c r="BE2676" s="3" t="s">
        <v>25880</v>
      </c>
      <c r="BF2676" s="3" t="s">
        <v>25879</v>
      </c>
      <c r="BG2676" s="3" t="s">
        <v>25881</v>
      </c>
    </row>
    <row r="2677" spans="1:59" ht="58" x14ac:dyDescent="0.35">
      <c r="A2677" s="2" t="s">
        <v>89</v>
      </c>
      <c r="B2677" s="2" t="s">
        <v>90</v>
      </c>
      <c r="C2677" s="2" t="s">
        <v>25882</v>
      </c>
      <c r="D2677" s="2" t="s">
        <v>25883</v>
      </c>
      <c r="E2677" s="2" t="s">
        <v>25884</v>
      </c>
      <c r="G2677" s="3" t="s">
        <v>62</v>
      </c>
      <c r="I2677" s="3" t="s">
        <v>62</v>
      </c>
      <c r="J2677" s="3" t="s">
        <v>62</v>
      </c>
      <c r="K2677" s="3" t="s">
        <v>63</v>
      </c>
      <c r="L2677" s="2" t="s">
        <v>25885</v>
      </c>
      <c r="M2677" s="2" t="s">
        <v>25886</v>
      </c>
      <c r="N2677" s="3" t="s">
        <v>880</v>
      </c>
      <c r="P2677" s="3" t="s">
        <v>64</v>
      </c>
      <c r="Q2677" s="2" t="s">
        <v>25887</v>
      </c>
      <c r="R2677" s="3" t="s">
        <v>25645</v>
      </c>
      <c r="S2677" s="4">
        <v>3</v>
      </c>
      <c r="T2677" s="4">
        <v>3</v>
      </c>
      <c r="U2677" s="5" t="s">
        <v>10361</v>
      </c>
      <c r="V2677" s="5" t="s">
        <v>10361</v>
      </c>
      <c r="W2677" s="5" t="s">
        <v>67</v>
      </c>
      <c r="X2677" s="5" t="s">
        <v>67</v>
      </c>
      <c r="Y2677" s="4">
        <v>24</v>
      </c>
      <c r="Z2677" s="4">
        <v>4</v>
      </c>
      <c r="AA2677" s="4">
        <v>4</v>
      </c>
      <c r="AB2677" s="4">
        <v>1</v>
      </c>
      <c r="AC2677" s="4">
        <v>1</v>
      </c>
      <c r="AD2677" s="4">
        <v>12</v>
      </c>
      <c r="AE2677" s="4">
        <v>12</v>
      </c>
      <c r="AF2677" s="4">
        <v>0</v>
      </c>
      <c r="AG2677" s="4">
        <v>0</v>
      </c>
      <c r="AH2677" s="4">
        <v>11</v>
      </c>
      <c r="AI2677" s="4">
        <v>11</v>
      </c>
      <c r="AJ2677" s="4">
        <v>2</v>
      </c>
      <c r="AK2677" s="4">
        <v>2</v>
      </c>
      <c r="AL2677" s="4">
        <v>10</v>
      </c>
      <c r="AM2677" s="4">
        <v>10</v>
      </c>
      <c r="AN2677" s="4">
        <v>0</v>
      </c>
      <c r="AO2677" s="4">
        <v>0</v>
      </c>
      <c r="AP2677" s="4">
        <v>2</v>
      </c>
      <c r="AQ2677" s="4">
        <v>2</v>
      </c>
      <c r="AR2677" s="3" t="s">
        <v>62</v>
      </c>
      <c r="AS2677" s="3" t="s">
        <v>62</v>
      </c>
      <c r="AT2677" s="3" t="s">
        <v>62</v>
      </c>
      <c r="AV2677" s="6" t="str">
        <f>HYPERLINK("http://mcgill.on.worldcat.org/oclc/690975801","Catalog Record")</f>
        <v>Catalog Record</v>
      </c>
      <c r="AW2677" s="6" t="str">
        <f>HYPERLINK("http://www.worldcat.org/oclc/690975801","WorldCat Record")</f>
        <v>WorldCat Record</v>
      </c>
      <c r="AX2677" s="3" t="s">
        <v>25888</v>
      </c>
      <c r="AY2677" s="3" t="s">
        <v>25889</v>
      </c>
      <c r="AZ2677" s="3" t="s">
        <v>25890</v>
      </c>
      <c r="BA2677" s="3" t="s">
        <v>25890</v>
      </c>
      <c r="BB2677" s="3" t="s">
        <v>25891</v>
      </c>
      <c r="BC2677" s="3" t="s">
        <v>102</v>
      </c>
      <c r="BD2677" s="3" t="s">
        <v>68</v>
      </c>
      <c r="BE2677" s="3" t="s">
        <v>25892</v>
      </c>
      <c r="BF2677" s="3" t="s">
        <v>25891</v>
      </c>
      <c r="BG2677" s="3" t="s">
        <v>25893</v>
      </c>
    </row>
    <row r="2678" spans="1:59" ht="101.5" x14ac:dyDescent="0.35">
      <c r="A2678" s="2" t="s">
        <v>89</v>
      </c>
      <c r="B2678" s="2" t="s">
        <v>90</v>
      </c>
      <c r="C2678" s="2" t="s">
        <v>25894</v>
      </c>
      <c r="D2678" s="2" t="s">
        <v>25895</v>
      </c>
      <c r="E2678" s="2" t="s">
        <v>25896</v>
      </c>
      <c r="G2678" s="3" t="s">
        <v>62</v>
      </c>
      <c r="I2678" s="3" t="s">
        <v>61</v>
      </c>
      <c r="J2678" s="3" t="s">
        <v>62</v>
      </c>
      <c r="K2678" s="3" t="s">
        <v>63</v>
      </c>
      <c r="L2678" s="2" t="s">
        <v>25897</v>
      </c>
      <c r="M2678" s="2" t="s">
        <v>25898</v>
      </c>
      <c r="N2678" s="3" t="s">
        <v>95</v>
      </c>
      <c r="P2678" s="3" t="s">
        <v>64</v>
      </c>
      <c r="Q2678" s="2" t="s">
        <v>25899</v>
      </c>
      <c r="R2678" s="3" t="s">
        <v>25645</v>
      </c>
      <c r="S2678" s="4">
        <v>11</v>
      </c>
      <c r="T2678" s="4">
        <v>15</v>
      </c>
      <c r="U2678" s="5" t="s">
        <v>329</v>
      </c>
      <c r="V2678" s="5" t="s">
        <v>2002</v>
      </c>
      <c r="W2678" s="5" t="s">
        <v>67</v>
      </c>
      <c r="X2678" s="5" t="s">
        <v>67</v>
      </c>
      <c r="Y2678" s="4">
        <v>76</v>
      </c>
      <c r="Z2678" s="4">
        <v>5</v>
      </c>
      <c r="AA2678" s="4">
        <v>5</v>
      </c>
      <c r="AB2678" s="4">
        <v>1</v>
      </c>
      <c r="AC2678" s="4">
        <v>1</v>
      </c>
      <c r="AD2678" s="4">
        <v>40</v>
      </c>
      <c r="AE2678" s="4">
        <v>41</v>
      </c>
      <c r="AF2678" s="4">
        <v>0</v>
      </c>
      <c r="AG2678" s="4">
        <v>0</v>
      </c>
      <c r="AH2678" s="4">
        <v>38</v>
      </c>
      <c r="AI2678" s="4">
        <v>39</v>
      </c>
      <c r="AJ2678" s="4">
        <v>2</v>
      </c>
      <c r="AK2678" s="4">
        <v>2</v>
      </c>
      <c r="AL2678" s="4">
        <v>30</v>
      </c>
      <c r="AM2678" s="4">
        <v>31</v>
      </c>
      <c r="AN2678" s="4">
        <v>0</v>
      </c>
      <c r="AO2678" s="4">
        <v>0</v>
      </c>
      <c r="AP2678" s="4">
        <v>2</v>
      </c>
      <c r="AQ2678" s="4">
        <v>2</v>
      </c>
      <c r="AR2678" s="3" t="s">
        <v>62</v>
      </c>
      <c r="AS2678" s="3" t="s">
        <v>62</v>
      </c>
      <c r="AT2678" s="3" t="s">
        <v>61</v>
      </c>
      <c r="AU2678" s="6" t="str">
        <f>HYPERLINK("http://catalog.hathitrust.org/Record/000190678","HathiTrust Record")</f>
        <v>HathiTrust Record</v>
      </c>
      <c r="AV2678" s="6" t="str">
        <f>HYPERLINK("http://mcgill.on.worldcat.org/oclc/3274513","Catalog Record")</f>
        <v>Catalog Record</v>
      </c>
      <c r="AW2678" s="6" t="str">
        <f>HYPERLINK("http://www.worldcat.org/oclc/3274513","WorldCat Record")</f>
        <v>WorldCat Record</v>
      </c>
      <c r="AX2678" s="3" t="s">
        <v>25900</v>
      </c>
      <c r="AY2678" s="3" t="s">
        <v>25901</v>
      </c>
      <c r="AZ2678" s="3" t="s">
        <v>25902</v>
      </c>
      <c r="BA2678" s="3" t="s">
        <v>25902</v>
      </c>
      <c r="BB2678" s="3" t="s">
        <v>25903</v>
      </c>
      <c r="BC2678" s="3" t="s">
        <v>102</v>
      </c>
      <c r="BD2678" s="3" t="s">
        <v>68</v>
      </c>
      <c r="BE2678" s="3" t="s">
        <v>25904</v>
      </c>
      <c r="BF2678" s="3" t="s">
        <v>25903</v>
      </c>
      <c r="BG2678" s="3" t="s">
        <v>25905</v>
      </c>
    </row>
    <row r="2679" spans="1:59" ht="58" x14ac:dyDescent="0.35">
      <c r="A2679" s="2" t="s">
        <v>89</v>
      </c>
      <c r="B2679" s="2" t="s">
        <v>90</v>
      </c>
      <c r="C2679" s="2" t="s">
        <v>25906</v>
      </c>
      <c r="D2679" s="2" t="s">
        <v>25907</v>
      </c>
      <c r="E2679" s="2" t="s">
        <v>25908</v>
      </c>
      <c r="G2679" s="3" t="s">
        <v>62</v>
      </c>
      <c r="I2679" s="3" t="s">
        <v>62</v>
      </c>
      <c r="J2679" s="3" t="s">
        <v>62</v>
      </c>
      <c r="K2679" s="3" t="s">
        <v>63</v>
      </c>
      <c r="L2679" s="2" t="s">
        <v>25909</v>
      </c>
      <c r="M2679" s="2" t="s">
        <v>25910</v>
      </c>
      <c r="N2679" s="3" t="s">
        <v>539</v>
      </c>
      <c r="P2679" s="3" t="s">
        <v>64</v>
      </c>
      <c r="Q2679" s="2" t="s">
        <v>25911</v>
      </c>
      <c r="R2679" s="3" t="s">
        <v>25645</v>
      </c>
      <c r="S2679" s="4">
        <v>22</v>
      </c>
      <c r="T2679" s="4">
        <v>22</v>
      </c>
      <c r="U2679" s="5" t="s">
        <v>25912</v>
      </c>
      <c r="V2679" s="5" t="s">
        <v>25912</v>
      </c>
      <c r="W2679" s="5" t="s">
        <v>67</v>
      </c>
      <c r="X2679" s="5" t="s">
        <v>67</v>
      </c>
      <c r="Y2679" s="4">
        <v>181</v>
      </c>
      <c r="Z2679" s="4">
        <v>13</v>
      </c>
      <c r="AA2679" s="4">
        <v>13</v>
      </c>
      <c r="AB2679" s="4">
        <v>1</v>
      </c>
      <c r="AC2679" s="4">
        <v>1</v>
      </c>
      <c r="AD2679" s="4">
        <v>62</v>
      </c>
      <c r="AE2679" s="4">
        <v>62</v>
      </c>
      <c r="AF2679" s="4">
        <v>0</v>
      </c>
      <c r="AG2679" s="4">
        <v>0</v>
      </c>
      <c r="AH2679" s="4">
        <v>57</v>
      </c>
      <c r="AI2679" s="4">
        <v>57</v>
      </c>
      <c r="AJ2679" s="4">
        <v>7</v>
      </c>
      <c r="AK2679" s="4">
        <v>7</v>
      </c>
      <c r="AL2679" s="4">
        <v>36</v>
      </c>
      <c r="AM2679" s="4">
        <v>36</v>
      </c>
      <c r="AN2679" s="4">
        <v>0</v>
      </c>
      <c r="AO2679" s="4">
        <v>0</v>
      </c>
      <c r="AP2679" s="4">
        <v>8</v>
      </c>
      <c r="AQ2679" s="4">
        <v>8</v>
      </c>
      <c r="AR2679" s="3" t="s">
        <v>62</v>
      </c>
      <c r="AS2679" s="3" t="s">
        <v>62</v>
      </c>
      <c r="AT2679" s="3" t="s">
        <v>61</v>
      </c>
      <c r="AU2679" s="6" t="str">
        <f>HYPERLINK("http://catalog.hathitrust.org/Record/003970502","HathiTrust Record")</f>
        <v>HathiTrust Record</v>
      </c>
      <c r="AV2679" s="6" t="str">
        <f>HYPERLINK("http://mcgill.on.worldcat.org/oclc/37981631","Catalog Record")</f>
        <v>Catalog Record</v>
      </c>
      <c r="AW2679" s="6" t="str">
        <f>HYPERLINK("http://www.worldcat.org/oclc/37981631","WorldCat Record")</f>
        <v>WorldCat Record</v>
      </c>
      <c r="AX2679" s="3" t="s">
        <v>25913</v>
      </c>
      <c r="AY2679" s="3" t="s">
        <v>25914</v>
      </c>
      <c r="AZ2679" s="3" t="s">
        <v>25915</v>
      </c>
      <c r="BA2679" s="3" t="s">
        <v>25915</v>
      </c>
      <c r="BB2679" s="3" t="s">
        <v>25916</v>
      </c>
      <c r="BC2679" s="3" t="s">
        <v>102</v>
      </c>
      <c r="BD2679" s="3" t="s">
        <v>68</v>
      </c>
      <c r="BE2679" s="3" t="s">
        <v>25917</v>
      </c>
      <c r="BF2679" s="3" t="s">
        <v>25916</v>
      </c>
      <c r="BG2679" s="3" t="s">
        <v>25918</v>
      </c>
    </row>
    <row r="2680" spans="1:59" ht="58" x14ac:dyDescent="0.35">
      <c r="A2680" s="2" t="s">
        <v>89</v>
      </c>
      <c r="B2680" s="2" t="s">
        <v>90</v>
      </c>
      <c r="C2680" s="2" t="s">
        <v>25919</v>
      </c>
      <c r="D2680" s="2" t="s">
        <v>25920</v>
      </c>
      <c r="E2680" s="2" t="s">
        <v>25921</v>
      </c>
      <c r="G2680" s="3" t="s">
        <v>62</v>
      </c>
      <c r="I2680" s="3" t="s">
        <v>62</v>
      </c>
      <c r="J2680" s="3" t="s">
        <v>62</v>
      </c>
      <c r="K2680" s="3" t="s">
        <v>63</v>
      </c>
      <c r="L2680" s="2" t="s">
        <v>25922</v>
      </c>
      <c r="M2680" s="2" t="s">
        <v>25923</v>
      </c>
      <c r="N2680" s="3" t="s">
        <v>481</v>
      </c>
      <c r="P2680" s="3" t="s">
        <v>64</v>
      </c>
      <c r="R2680" s="3" t="s">
        <v>25645</v>
      </c>
      <c r="S2680" s="4">
        <v>18</v>
      </c>
      <c r="T2680" s="4">
        <v>18</v>
      </c>
      <c r="U2680" s="5" t="s">
        <v>2164</v>
      </c>
      <c r="V2680" s="5" t="s">
        <v>2164</v>
      </c>
      <c r="W2680" s="5" t="s">
        <v>67</v>
      </c>
      <c r="X2680" s="5" t="s">
        <v>67</v>
      </c>
      <c r="Y2680" s="4">
        <v>255</v>
      </c>
      <c r="Z2680" s="4">
        <v>5</v>
      </c>
      <c r="AA2680" s="4">
        <v>25</v>
      </c>
      <c r="AB2680" s="4">
        <v>1</v>
      </c>
      <c r="AC2680" s="4">
        <v>4</v>
      </c>
      <c r="AD2680" s="4">
        <v>65</v>
      </c>
      <c r="AE2680" s="4">
        <v>102</v>
      </c>
      <c r="AF2680" s="4">
        <v>0</v>
      </c>
      <c r="AG2680" s="4">
        <v>2</v>
      </c>
      <c r="AH2680" s="4">
        <v>64</v>
      </c>
      <c r="AI2680" s="4">
        <v>90</v>
      </c>
      <c r="AJ2680" s="4">
        <v>3</v>
      </c>
      <c r="AK2680" s="4">
        <v>13</v>
      </c>
      <c r="AL2680" s="4">
        <v>35</v>
      </c>
      <c r="AM2680" s="4">
        <v>54</v>
      </c>
      <c r="AN2680" s="4">
        <v>0</v>
      </c>
      <c r="AO2680" s="4">
        <v>0</v>
      </c>
      <c r="AP2680" s="4">
        <v>3</v>
      </c>
      <c r="AQ2680" s="4">
        <v>15</v>
      </c>
      <c r="AR2680" s="3" t="s">
        <v>62</v>
      </c>
      <c r="AS2680" s="3" t="s">
        <v>62</v>
      </c>
      <c r="AT2680" s="3" t="s">
        <v>62</v>
      </c>
      <c r="AV2680" s="6" t="str">
        <f>HYPERLINK("http://mcgill.on.worldcat.org/oclc/36501275","Catalog Record")</f>
        <v>Catalog Record</v>
      </c>
      <c r="AW2680" s="6" t="str">
        <f>HYPERLINK("http://www.worldcat.org/oclc/36501275","WorldCat Record")</f>
        <v>WorldCat Record</v>
      </c>
      <c r="AX2680" s="3" t="s">
        <v>25924</v>
      </c>
      <c r="AY2680" s="3" t="s">
        <v>25925</v>
      </c>
      <c r="AZ2680" s="3" t="s">
        <v>25926</v>
      </c>
      <c r="BA2680" s="3" t="s">
        <v>25926</v>
      </c>
      <c r="BB2680" s="3" t="s">
        <v>25927</v>
      </c>
      <c r="BC2680" s="3" t="s">
        <v>102</v>
      </c>
      <c r="BD2680" s="3" t="s">
        <v>68</v>
      </c>
      <c r="BE2680" s="3" t="s">
        <v>25928</v>
      </c>
      <c r="BF2680" s="3" t="s">
        <v>25927</v>
      </c>
      <c r="BG2680" s="3" t="s">
        <v>25929</v>
      </c>
    </row>
    <row r="2681" spans="1:59" ht="58" x14ac:dyDescent="0.35">
      <c r="A2681" s="2" t="s">
        <v>89</v>
      </c>
      <c r="B2681" s="2" t="s">
        <v>90</v>
      </c>
      <c r="C2681" s="2" t="s">
        <v>25930</v>
      </c>
      <c r="D2681" s="2" t="s">
        <v>25931</v>
      </c>
      <c r="E2681" s="2" t="s">
        <v>25932</v>
      </c>
      <c r="F2681" s="3" t="s">
        <v>1413</v>
      </c>
      <c r="G2681" s="3" t="s">
        <v>61</v>
      </c>
      <c r="I2681" s="3" t="s">
        <v>62</v>
      </c>
      <c r="J2681" s="3" t="s">
        <v>62</v>
      </c>
      <c r="K2681" s="3" t="s">
        <v>63</v>
      </c>
      <c r="L2681" s="2" t="s">
        <v>25933</v>
      </c>
      <c r="M2681" s="2" t="s">
        <v>25934</v>
      </c>
      <c r="N2681" s="3" t="s">
        <v>201</v>
      </c>
      <c r="P2681" s="3" t="s">
        <v>64</v>
      </c>
      <c r="R2681" s="3" t="s">
        <v>25645</v>
      </c>
      <c r="S2681" s="4">
        <v>0</v>
      </c>
      <c r="T2681" s="4">
        <v>1</v>
      </c>
      <c r="V2681" s="5" t="s">
        <v>8561</v>
      </c>
      <c r="W2681" s="5" t="s">
        <v>67</v>
      </c>
      <c r="X2681" s="5" t="s">
        <v>67</v>
      </c>
      <c r="Y2681" s="4">
        <v>186</v>
      </c>
      <c r="Z2681" s="4">
        <v>17</v>
      </c>
      <c r="AA2681" s="4">
        <v>17</v>
      </c>
      <c r="AB2681" s="4">
        <v>1</v>
      </c>
      <c r="AC2681" s="4">
        <v>1</v>
      </c>
      <c r="AD2681" s="4">
        <v>76</v>
      </c>
      <c r="AE2681" s="4">
        <v>76</v>
      </c>
      <c r="AF2681" s="4">
        <v>0</v>
      </c>
      <c r="AG2681" s="4">
        <v>0</v>
      </c>
      <c r="AH2681" s="4">
        <v>68</v>
      </c>
      <c r="AI2681" s="4">
        <v>68</v>
      </c>
      <c r="AJ2681" s="4">
        <v>12</v>
      </c>
      <c r="AK2681" s="4">
        <v>12</v>
      </c>
      <c r="AL2681" s="4">
        <v>44</v>
      </c>
      <c r="AM2681" s="4">
        <v>44</v>
      </c>
      <c r="AN2681" s="4">
        <v>0</v>
      </c>
      <c r="AO2681" s="4">
        <v>0</v>
      </c>
      <c r="AP2681" s="4">
        <v>14</v>
      </c>
      <c r="AQ2681" s="4">
        <v>14</v>
      </c>
      <c r="AR2681" s="3" t="s">
        <v>62</v>
      </c>
      <c r="AS2681" s="3" t="s">
        <v>62</v>
      </c>
      <c r="AT2681" s="3" t="s">
        <v>61</v>
      </c>
      <c r="AU2681" s="6" t="str">
        <f>HYPERLINK("http://catalog.hathitrust.org/Record/000023956","HathiTrust Record")</f>
        <v>HathiTrust Record</v>
      </c>
      <c r="AV2681" s="6" t="str">
        <f>HYPERLINK("http://mcgill.on.worldcat.org/oclc/3069760","Catalog Record")</f>
        <v>Catalog Record</v>
      </c>
      <c r="AW2681" s="6" t="str">
        <f>HYPERLINK("http://www.worldcat.org/oclc/3069760","WorldCat Record")</f>
        <v>WorldCat Record</v>
      </c>
      <c r="AX2681" s="3" t="s">
        <v>25935</v>
      </c>
      <c r="AY2681" s="3" t="s">
        <v>25936</v>
      </c>
      <c r="AZ2681" s="3" t="s">
        <v>25937</v>
      </c>
      <c r="BA2681" s="3" t="s">
        <v>25937</v>
      </c>
      <c r="BB2681" s="3" t="s">
        <v>25938</v>
      </c>
      <c r="BC2681" s="3" t="s">
        <v>102</v>
      </c>
      <c r="BD2681" s="3" t="s">
        <v>68</v>
      </c>
      <c r="BE2681" s="3" t="s">
        <v>25939</v>
      </c>
      <c r="BF2681" s="3" t="s">
        <v>25938</v>
      </c>
      <c r="BG2681" s="3" t="s">
        <v>25940</v>
      </c>
    </row>
    <row r="2682" spans="1:59" ht="58" x14ac:dyDescent="0.35">
      <c r="A2682" s="2" t="s">
        <v>89</v>
      </c>
      <c r="B2682" s="2" t="s">
        <v>90</v>
      </c>
      <c r="C2682" s="2" t="s">
        <v>25930</v>
      </c>
      <c r="D2682" s="2" t="s">
        <v>25931</v>
      </c>
      <c r="E2682" s="2" t="s">
        <v>25932</v>
      </c>
      <c r="F2682" s="3" t="s">
        <v>1428</v>
      </c>
      <c r="G2682" s="3" t="s">
        <v>61</v>
      </c>
      <c r="I2682" s="3" t="s">
        <v>62</v>
      </c>
      <c r="J2682" s="3" t="s">
        <v>62</v>
      </c>
      <c r="K2682" s="3" t="s">
        <v>63</v>
      </c>
      <c r="L2682" s="2" t="s">
        <v>25933</v>
      </c>
      <c r="M2682" s="2" t="s">
        <v>25934</v>
      </c>
      <c r="N2682" s="3" t="s">
        <v>201</v>
      </c>
      <c r="P2682" s="3" t="s">
        <v>64</v>
      </c>
      <c r="R2682" s="3" t="s">
        <v>25645</v>
      </c>
      <c r="S2682" s="4">
        <v>1</v>
      </c>
      <c r="T2682" s="4">
        <v>1</v>
      </c>
      <c r="U2682" s="5" t="s">
        <v>8561</v>
      </c>
      <c r="V2682" s="5" t="s">
        <v>8561</v>
      </c>
      <c r="W2682" s="5" t="s">
        <v>67</v>
      </c>
      <c r="X2682" s="5" t="s">
        <v>67</v>
      </c>
      <c r="Y2682" s="4">
        <v>186</v>
      </c>
      <c r="Z2682" s="4">
        <v>17</v>
      </c>
      <c r="AA2682" s="4">
        <v>17</v>
      </c>
      <c r="AB2682" s="4">
        <v>1</v>
      </c>
      <c r="AC2682" s="4">
        <v>1</v>
      </c>
      <c r="AD2682" s="4">
        <v>76</v>
      </c>
      <c r="AE2682" s="4">
        <v>76</v>
      </c>
      <c r="AF2682" s="4">
        <v>0</v>
      </c>
      <c r="AG2682" s="4">
        <v>0</v>
      </c>
      <c r="AH2682" s="4">
        <v>68</v>
      </c>
      <c r="AI2682" s="4">
        <v>68</v>
      </c>
      <c r="AJ2682" s="4">
        <v>12</v>
      </c>
      <c r="AK2682" s="4">
        <v>12</v>
      </c>
      <c r="AL2682" s="4">
        <v>44</v>
      </c>
      <c r="AM2682" s="4">
        <v>44</v>
      </c>
      <c r="AN2682" s="4">
        <v>0</v>
      </c>
      <c r="AO2682" s="4">
        <v>0</v>
      </c>
      <c r="AP2682" s="4">
        <v>14</v>
      </c>
      <c r="AQ2682" s="4">
        <v>14</v>
      </c>
      <c r="AR2682" s="3" t="s">
        <v>62</v>
      </c>
      <c r="AS2682" s="3" t="s">
        <v>62</v>
      </c>
      <c r="AT2682" s="3" t="s">
        <v>61</v>
      </c>
      <c r="AU2682" s="6" t="str">
        <f>HYPERLINK("http://catalog.hathitrust.org/Record/000023956","HathiTrust Record")</f>
        <v>HathiTrust Record</v>
      </c>
      <c r="AV2682" s="6" t="str">
        <f>HYPERLINK("http://mcgill.on.worldcat.org/oclc/3069760","Catalog Record")</f>
        <v>Catalog Record</v>
      </c>
      <c r="AW2682" s="6" t="str">
        <f>HYPERLINK("http://www.worldcat.org/oclc/3069760","WorldCat Record")</f>
        <v>WorldCat Record</v>
      </c>
      <c r="AX2682" s="3" t="s">
        <v>25935</v>
      </c>
      <c r="AY2682" s="3" t="s">
        <v>25936</v>
      </c>
      <c r="AZ2682" s="3" t="s">
        <v>25937</v>
      </c>
      <c r="BA2682" s="3" t="s">
        <v>25937</v>
      </c>
      <c r="BB2682" s="3" t="s">
        <v>25941</v>
      </c>
      <c r="BC2682" s="3" t="s">
        <v>102</v>
      </c>
      <c r="BD2682" s="3" t="s">
        <v>68</v>
      </c>
      <c r="BE2682" s="3" t="s">
        <v>25939</v>
      </c>
      <c r="BF2682" s="3" t="s">
        <v>25941</v>
      </c>
      <c r="BG2682" s="3" t="s">
        <v>25942</v>
      </c>
    </row>
    <row r="2683" spans="1:59" ht="58" x14ac:dyDescent="0.35">
      <c r="A2683" s="2" t="s">
        <v>89</v>
      </c>
      <c r="B2683" s="2" t="s">
        <v>90</v>
      </c>
      <c r="C2683" s="2" t="s">
        <v>25930</v>
      </c>
      <c r="D2683" s="2" t="s">
        <v>25931</v>
      </c>
      <c r="E2683" s="2" t="s">
        <v>25932</v>
      </c>
      <c r="F2683" s="3" t="s">
        <v>1416</v>
      </c>
      <c r="G2683" s="3" t="s">
        <v>61</v>
      </c>
      <c r="I2683" s="3" t="s">
        <v>62</v>
      </c>
      <c r="J2683" s="3" t="s">
        <v>62</v>
      </c>
      <c r="K2683" s="3" t="s">
        <v>63</v>
      </c>
      <c r="L2683" s="2" t="s">
        <v>25933</v>
      </c>
      <c r="M2683" s="2" t="s">
        <v>25934</v>
      </c>
      <c r="N2683" s="3" t="s">
        <v>201</v>
      </c>
      <c r="P2683" s="3" t="s">
        <v>64</v>
      </c>
      <c r="R2683" s="3" t="s">
        <v>25645</v>
      </c>
      <c r="S2683" s="4">
        <v>0</v>
      </c>
      <c r="T2683" s="4">
        <v>1</v>
      </c>
      <c r="V2683" s="5" t="s">
        <v>8561</v>
      </c>
      <c r="W2683" s="5" t="s">
        <v>67</v>
      </c>
      <c r="X2683" s="5" t="s">
        <v>67</v>
      </c>
      <c r="Y2683" s="4">
        <v>186</v>
      </c>
      <c r="Z2683" s="4">
        <v>17</v>
      </c>
      <c r="AA2683" s="4">
        <v>17</v>
      </c>
      <c r="AB2683" s="4">
        <v>1</v>
      </c>
      <c r="AC2683" s="4">
        <v>1</v>
      </c>
      <c r="AD2683" s="4">
        <v>76</v>
      </c>
      <c r="AE2683" s="4">
        <v>76</v>
      </c>
      <c r="AF2683" s="4">
        <v>0</v>
      </c>
      <c r="AG2683" s="4">
        <v>0</v>
      </c>
      <c r="AH2683" s="4">
        <v>68</v>
      </c>
      <c r="AI2683" s="4">
        <v>68</v>
      </c>
      <c r="AJ2683" s="4">
        <v>12</v>
      </c>
      <c r="AK2683" s="4">
        <v>12</v>
      </c>
      <c r="AL2683" s="4">
        <v>44</v>
      </c>
      <c r="AM2683" s="4">
        <v>44</v>
      </c>
      <c r="AN2683" s="4">
        <v>0</v>
      </c>
      <c r="AO2683" s="4">
        <v>0</v>
      </c>
      <c r="AP2683" s="4">
        <v>14</v>
      </c>
      <c r="AQ2683" s="4">
        <v>14</v>
      </c>
      <c r="AR2683" s="3" t="s">
        <v>62</v>
      </c>
      <c r="AS2683" s="3" t="s">
        <v>62</v>
      </c>
      <c r="AT2683" s="3" t="s">
        <v>61</v>
      </c>
      <c r="AU2683" s="6" t="str">
        <f>HYPERLINK("http://catalog.hathitrust.org/Record/000023956","HathiTrust Record")</f>
        <v>HathiTrust Record</v>
      </c>
      <c r="AV2683" s="6" t="str">
        <f>HYPERLINK("http://mcgill.on.worldcat.org/oclc/3069760","Catalog Record")</f>
        <v>Catalog Record</v>
      </c>
      <c r="AW2683" s="6" t="str">
        <f>HYPERLINK("http://www.worldcat.org/oclc/3069760","WorldCat Record")</f>
        <v>WorldCat Record</v>
      </c>
      <c r="AX2683" s="3" t="s">
        <v>25935</v>
      </c>
      <c r="AY2683" s="3" t="s">
        <v>25936</v>
      </c>
      <c r="AZ2683" s="3" t="s">
        <v>25937</v>
      </c>
      <c r="BA2683" s="3" t="s">
        <v>25937</v>
      </c>
      <c r="BB2683" s="3" t="s">
        <v>25943</v>
      </c>
      <c r="BC2683" s="3" t="s">
        <v>102</v>
      </c>
      <c r="BD2683" s="3" t="s">
        <v>68</v>
      </c>
      <c r="BE2683" s="3" t="s">
        <v>25939</v>
      </c>
      <c r="BF2683" s="3" t="s">
        <v>25943</v>
      </c>
      <c r="BG2683" s="3" t="s">
        <v>25944</v>
      </c>
    </row>
    <row r="2684" spans="1:59" ht="58" x14ac:dyDescent="0.35">
      <c r="A2684" s="2" t="s">
        <v>89</v>
      </c>
      <c r="B2684" s="2" t="s">
        <v>90</v>
      </c>
      <c r="C2684" s="2" t="s">
        <v>25945</v>
      </c>
      <c r="D2684" s="2" t="s">
        <v>25946</v>
      </c>
      <c r="E2684" s="2" t="s">
        <v>25947</v>
      </c>
      <c r="G2684" s="3" t="s">
        <v>62</v>
      </c>
      <c r="I2684" s="3" t="s">
        <v>62</v>
      </c>
      <c r="J2684" s="3" t="s">
        <v>62</v>
      </c>
      <c r="K2684" s="3" t="s">
        <v>63</v>
      </c>
      <c r="L2684" s="2" t="s">
        <v>25948</v>
      </c>
      <c r="M2684" s="2" t="s">
        <v>25949</v>
      </c>
      <c r="N2684" s="3" t="s">
        <v>1467</v>
      </c>
      <c r="P2684" s="3" t="s">
        <v>85</v>
      </c>
      <c r="R2684" s="3" t="s">
        <v>25645</v>
      </c>
      <c r="S2684" s="4">
        <v>18</v>
      </c>
      <c r="T2684" s="4">
        <v>18</v>
      </c>
      <c r="U2684" s="5" t="s">
        <v>9608</v>
      </c>
      <c r="V2684" s="5" t="s">
        <v>9608</v>
      </c>
      <c r="W2684" s="5" t="s">
        <v>67</v>
      </c>
      <c r="X2684" s="5" t="s">
        <v>67</v>
      </c>
      <c r="Y2684" s="4">
        <v>80</v>
      </c>
      <c r="Z2684" s="4">
        <v>6</v>
      </c>
      <c r="AA2684" s="4">
        <v>32</v>
      </c>
      <c r="AB2684" s="4">
        <v>1</v>
      </c>
      <c r="AC2684" s="4">
        <v>3</v>
      </c>
      <c r="AD2684" s="4">
        <v>36</v>
      </c>
      <c r="AE2684" s="4">
        <v>84</v>
      </c>
      <c r="AF2684" s="4">
        <v>0</v>
      </c>
      <c r="AG2684" s="4">
        <v>2</v>
      </c>
      <c r="AH2684" s="4">
        <v>33</v>
      </c>
      <c r="AI2684" s="4">
        <v>69</v>
      </c>
      <c r="AJ2684" s="4">
        <v>5</v>
      </c>
      <c r="AK2684" s="4">
        <v>15</v>
      </c>
      <c r="AL2684" s="4">
        <v>24</v>
      </c>
      <c r="AM2684" s="4">
        <v>44</v>
      </c>
      <c r="AN2684" s="4">
        <v>0</v>
      </c>
      <c r="AO2684" s="4">
        <v>0</v>
      </c>
      <c r="AP2684" s="4">
        <v>5</v>
      </c>
      <c r="AQ2684" s="4">
        <v>20</v>
      </c>
      <c r="AR2684" s="3" t="s">
        <v>62</v>
      </c>
      <c r="AS2684" s="3" t="s">
        <v>62</v>
      </c>
      <c r="AT2684" s="3" t="s">
        <v>61</v>
      </c>
      <c r="AU2684" s="6" t="str">
        <f>HYPERLINK("http://catalog.hathitrust.org/Record/006055506","HathiTrust Record")</f>
        <v>HathiTrust Record</v>
      </c>
      <c r="AV2684" s="6" t="str">
        <f>HYPERLINK("http://mcgill.on.worldcat.org/oclc/2755787","Catalog Record")</f>
        <v>Catalog Record</v>
      </c>
      <c r="AW2684" s="6" t="str">
        <f>HYPERLINK("http://www.worldcat.org/oclc/2755787","WorldCat Record")</f>
        <v>WorldCat Record</v>
      </c>
      <c r="AX2684" s="3" t="s">
        <v>25950</v>
      </c>
      <c r="AY2684" s="3" t="s">
        <v>25951</v>
      </c>
      <c r="AZ2684" s="3" t="s">
        <v>25952</v>
      </c>
      <c r="BA2684" s="3" t="s">
        <v>25952</v>
      </c>
      <c r="BB2684" s="3" t="s">
        <v>25953</v>
      </c>
      <c r="BC2684" s="3" t="s">
        <v>102</v>
      </c>
      <c r="BD2684" s="3" t="s">
        <v>68</v>
      </c>
      <c r="BF2684" s="3" t="s">
        <v>25953</v>
      </c>
      <c r="BG2684" s="3" t="s">
        <v>25954</v>
      </c>
    </row>
    <row r="2685" spans="1:59" ht="72.5" x14ac:dyDescent="0.35">
      <c r="A2685" s="2" t="s">
        <v>89</v>
      </c>
      <c r="B2685" s="2" t="s">
        <v>90</v>
      </c>
      <c r="C2685" s="2" t="s">
        <v>25955</v>
      </c>
      <c r="D2685" s="2" t="s">
        <v>25956</v>
      </c>
      <c r="E2685" s="2" t="s">
        <v>25957</v>
      </c>
      <c r="G2685" s="3" t="s">
        <v>62</v>
      </c>
      <c r="I2685" s="3" t="s">
        <v>62</v>
      </c>
      <c r="J2685" s="3" t="s">
        <v>62</v>
      </c>
      <c r="K2685" s="3" t="s">
        <v>63</v>
      </c>
      <c r="L2685" s="2" t="s">
        <v>25958</v>
      </c>
      <c r="M2685" s="2" t="s">
        <v>5729</v>
      </c>
      <c r="N2685" s="3" t="s">
        <v>129</v>
      </c>
      <c r="P2685" s="3" t="s">
        <v>64</v>
      </c>
      <c r="Q2685" s="2" t="s">
        <v>25959</v>
      </c>
      <c r="R2685" s="3" t="s">
        <v>25645</v>
      </c>
      <c r="S2685" s="4">
        <v>1</v>
      </c>
      <c r="T2685" s="4">
        <v>1</v>
      </c>
      <c r="W2685" s="5" t="s">
        <v>67</v>
      </c>
      <c r="X2685" s="5" t="s">
        <v>67</v>
      </c>
      <c r="Y2685" s="4">
        <v>51</v>
      </c>
      <c r="Z2685" s="4">
        <v>3</v>
      </c>
      <c r="AA2685" s="4">
        <v>7</v>
      </c>
      <c r="AB2685" s="4">
        <v>1</v>
      </c>
      <c r="AC2685" s="4">
        <v>3</v>
      </c>
      <c r="AD2685" s="4">
        <v>27</v>
      </c>
      <c r="AE2685" s="4">
        <v>33</v>
      </c>
      <c r="AF2685" s="4">
        <v>0</v>
      </c>
      <c r="AG2685" s="4">
        <v>0</v>
      </c>
      <c r="AH2685" s="4">
        <v>26</v>
      </c>
      <c r="AI2685" s="4">
        <v>31</v>
      </c>
      <c r="AJ2685" s="4">
        <v>1</v>
      </c>
      <c r="AK2685" s="4">
        <v>3</v>
      </c>
      <c r="AL2685" s="4">
        <v>23</v>
      </c>
      <c r="AM2685" s="4">
        <v>26</v>
      </c>
      <c r="AN2685" s="4">
        <v>0</v>
      </c>
      <c r="AO2685" s="4">
        <v>0</v>
      </c>
      <c r="AP2685" s="4">
        <v>1</v>
      </c>
      <c r="AQ2685" s="4">
        <v>3</v>
      </c>
      <c r="AR2685" s="3" t="s">
        <v>62</v>
      </c>
      <c r="AS2685" s="3" t="s">
        <v>62</v>
      </c>
      <c r="AT2685" s="3" t="s">
        <v>62</v>
      </c>
      <c r="AV2685" s="6" t="str">
        <f>HYPERLINK("http://mcgill.on.worldcat.org/oclc/853113656","Catalog Record")</f>
        <v>Catalog Record</v>
      </c>
      <c r="AW2685" s="6" t="str">
        <f>HYPERLINK("http://www.worldcat.org/oclc/853113656","WorldCat Record")</f>
        <v>WorldCat Record</v>
      </c>
      <c r="AX2685" s="3" t="s">
        <v>25960</v>
      </c>
      <c r="AY2685" s="3" t="s">
        <v>25961</v>
      </c>
      <c r="AZ2685" s="3" t="s">
        <v>25962</v>
      </c>
      <c r="BA2685" s="3" t="s">
        <v>25962</v>
      </c>
      <c r="BB2685" s="3" t="s">
        <v>25963</v>
      </c>
      <c r="BC2685" s="3" t="s">
        <v>102</v>
      </c>
      <c r="BD2685" s="3" t="s">
        <v>231</v>
      </c>
      <c r="BE2685" s="3" t="s">
        <v>25964</v>
      </c>
      <c r="BF2685" s="3" t="s">
        <v>25963</v>
      </c>
      <c r="BG2685" s="3" t="s">
        <v>25965</v>
      </c>
    </row>
    <row r="2686" spans="1:59" ht="58" x14ac:dyDescent="0.35">
      <c r="A2686" s="2" t="s">
        <v>89</v>
      </c>
      <c r="B2686" s="2" t="s">
        <v>90</v>
      </c>
      <c r="C2686" s="2" t="s">
        <v>25966</v>
      </c>
      <c r="D2686" s="2" t="s">
        <v>25967</v>
      </c>
      <c r="E2686" s="2" t="s">
        <v>25968</v>
      </c>
      <c r="G2686" s="3" t="s">
        <v>62</v>
      </c>
      <c r="I2686" s="3" t="s">
        <v>62</v>
      </c>
      <c r="J2686" s="3" t="s">
        <v>62</v>
      </c>
      <c r="K2686" s="3" t="s">
        <v>63</v>
      </c>
      <c r="L2686" s="2" t="s">
        <v>25958</v>
      </c>
      <c r="M2686" s="2" t="s">
        <v>25969</v>
      </c>
      <c r="N2686" s="3" t="s">
        <v>880</v>
      </c>
      <c r="O2686" s="2" t="s">
        <v>25970</v>
      </c>
      <c r="P2686" s="3" t="s">
        <v>64</v>
      </c>
      <c r="Q2686" s="2" t="s">
        <v>25971</v>
      </c>
      <c r="R2686" s="3" t="s">
        <v>25645</v>
      </c>
      <c r="S2686" s="4">
        <v>1</v>
      </c>
      <c r="T2686" s="4">
        <v>1</v>
      </c>
      <c r="U2686" s="5" t="s">
        <v>25972</v>
      </c>
      <c r="V2686" s="5" t="s">
        <v>25972</v>
      </c>
      <c r="W2686" s="5" t="s">
        <v>67</v>
      </c>
      <c r="X2686" s="5" t="s">
        <v>67</v>
      </c>
      <c r="Y2686" s="4">
        <v>92</v>
      </c>
      <c r="Z2686" s="4">
        <v>6</v>
      </c>
      <c r="AA2686" s="4">
        <v>97</v>
      </c>
      <c r="AB2686" s="4">
        <v>2</v>
      </c>
      <c r="AC2686" s="4">
        <v>18</v>
      </c>
      <c r="AD2686" s="4">
        <v>44</v>
      </c>
      <c r="AE2686" s="4">
        <v>112</v>
      </c>
      <c r="AF2686" s="4">
        <v>0</v>
      </c>
      <c r="AG2686" s="4">
        <v>8</v>
      </c>
      <c r="AH2686" s="4">
        <v>41</v>
      </c>
      <c r="AI2686" s="4">
        <v>76</v>
      </c>
      <c r="AJ2686" s="4">
        <v>2</v>
      </c>
      <c r="AK2686" s="4">
        <v>19</v>
      </c>
      <c r="AL2686" s="4">
        <v>33</v>
      </c>
      <c r="AM2686" s="4">
        <v>44</v>
      </c>
      <c r="AN2686" s="4">
        <v>0</v>
      </c>
      <c r="AO2686" s="4">
        <v>0</v>
      </c>
      <c r="AP2686" s="4">
        <v>2</v>
      </c>
      <c r="AQ2686" s="4">
        <v>40</v>
      </c>
      <c r="AR2686" s="3" t="s">
        <v>62</v>
      </c>
      <c r="AS2686" s="3" t="s">
        <v>62</v>
      </c>
      <c r="AT2686" s="3" t="s">
        <v>62</v>
      </c>
      <c r="AV2686" s="6" t="str">
        <f>HYPERLINK("http://mcgill.on.worldcat.org/oclc/457010465","Catalog Record")</f>
        <v>Catalog Record</v>
      </c>
      <c r="AW2686" s="6" t="str">
        <f>HYPERLINK("http://www.worldcat.org/oclc/457010465","WorldCat Record")</f>
        <v>WorldCat Record</v>
      </c>
      <c r="AX2686" s="3" t="s">
        <v>25973</v>
      </c>
      <c r="AY2686" s="3" t="s">
        <v>25974</v>
      </c>
      <c r="AZ2686" s="3" t="s">
        <v>25975</v>
      </c>
      <c r="BA2686" s="3" t="s">
        <v>25975</v>
      </c>
      <c r="BB2686" s="3" t="s">
        <v>25976</v>
      </c>
      <c r="BC2686" s="3" t="s">
        <v>102</v>
      </c>
      <c r="BD2686" s="3" t="s">
        <v>68</v>
      </c>
      <c r="BE2686" s="3" t="s">
        <v>25977</v>
      </c>
      <c r="BF2686" s="3" t="s">
        <v>25976</v>
      </c>
      <c r="BG2686" s="3" t="s">
        <v>25978</v>
      </c>
    </row>
    <row r="2687" spans="1:59" ht="72.5" x14ac:dyDescent="0.35">
      <c r="A2687" s="2" t="s">
        <v>89</v>
      </c>
      <c r="B2687" s="2" t="s">
        <v>90</v>
      </c>
      <c r="C2687" s="2" t="s">
        <v>25979</v>
      </c>
      <c r="D2687" s="2" t="s">
        <v>25980</v>
      </c>
      <c r="E2687" s="2" t="s">
        <v>25981</v>
      </c>
      <c r="G2687" s="3" t="s">
        <v>62</v>
      </c>
      <c r="I2687" s="3" t="s">
        <v>62</v>
      </c>
      <c r="J2687" s="3" t="s">
        <v>62</v>
      </c>
      <c r="K2687" s="3" t="s">
        <v>63</v>
      </c>
      <c r="M2687" s="2" t="s">
        <v>25982</v>
      </c>
      <c r="N2687" s="3" t="s">
        <v>1722</v>
      </c>
      <c r="P2687" s="3" t="s">
        <v>1078</v>
      </c>
      <c r="Q2687" s="2" t="s">
        <v>25983</v>
      </c>
      <c r="R2687" s="3" t="s">
        <v>25645</v>
      </c>
      <c r="S2687" s="4">
        <v>2</v>
      </c>
      <c r="T2687" s="4">
        <v>2</v>
      </c>
      <c r="U2687" s="5" t="s">
        <v>25984</v>
      </c>
      <c r="V2687" s="5" t="s">
        <v>25984</v>
      </c>
      <c r="W2687" s="5" t="s">
        <v>67</v>
      </c>
      <c r="X2687" s="5" t="s">
        <v>67</v>
      </c>
      <c r="Y2687" s="4">
        <v>30</v>
      </c>
      <c r="Z2687" s="4">
        <v>3</v>
      </c>
      <c r="AA2687" s="4">
        <v>3</v>
      </c>
      <c r="AB2687" s="4">
        <v>1</v>
      </c>
      <c r="AC2687" s="4">
        <v>1</v>
      </c>
      <c r="AD2687" s="4">
        <v>13</v>
      </c>
      <c r="AE2687" s="4">
        <v>13</v>
      </c>
      <c r="AF2687" s="4">
        <v>0</v>
      </c>
      <c r="AG2687" s="4">
        <v>0</v>
      </c>
      <c r="AH2687" s="4">
        <v>12</v>
      </c>
      <c r="AI2687" s="4">
        <v>12</v>
      </c>
      <c r="AJ2687" s="4">
        <v>1</v>
      </c>
      <c r="AK2687" s="4">
        <v>1</v>
      </c>
      <c r="AL2687" s="4">
        <v>11</v>
      </c>
      <c r="AM2687" s="4">
        <v>11</v>
      </c>
      <c r="AN2687" s="4">
        <v>0</v>
      </c>
      <c r="AO2687" s="4">
        <v>0</v>
      </c>
      <c r="AP2687" s="4">
        <v>1</v>
      </c>
      <c r="AQ2687" s="4">
        <v>1</v>
      </c>
      <c r="AR2687" s="3" t="s">
        <v>62</v>
      </c>
      <c r="AS2687" s="3" t="s">
        <v>62</v>
      </c>
      <c r="AT2687" s="3" t="s">
        <v>62</v>
      </c>
      <c r="AV2687" s="6" t="str">
        <f>HYPERLINK("http://mcgill.on.worldcat.org/oclc/232123552","Catalog Record")</f>
        <v>Catalog Record</v>
      </c>
      <c r="AW2687" s="6" t="str">
        <f>HYPERLINK("http://www.worldcat.org/oclc/232123552","WorldCat Record")</f>
        <v>WorldCat Record</v>
      </c>
      <c r="AX2687" s="3" t="s">
        <v>25985</v>
      </c>
      <c r="AY2687" s="3" t="s">
        <v>25986</v>
      </c>
      <c r="AZ2687" s="3" t="s">
        <v>25987</v>
      </c>
      <c r="BA2687" s="3" t="s">
        <v>25987</v>
      </c>
      <c r="BB2687" s="3" t="s">
        <v>25988</v>
      </c>
      <c r="BC2687" s="3" t="s">
        <v>102</v>
      </c>
      <c r="BD2687" s="3" t="s">
        <v>68</v>
      </c>
      <c r="BE2687" s="3" t="s">
        <v>25989</v>
      </c>
      <c r="BF2687" s="3" t="s">
        <v>25988</v>
      </c>
      <c r="BG2687" s="3" t="s">
        <v>25990</v>
      </c>
    </row>
    <row r="2688" spans="1:59" ht="58" x14ac:dyDescent="0.35">
      <c r="A2688" s="2" t="s">
        <v>89</v>
      </c>
      <c r="B2688" s="2" t="s">
        <v>90</v>
      </c>
      <c r="C2688" s="2" t="s">
        <v>25991</v>
      </c>
      <c r="D2688" s="2" t="s">
        <v>25992</v>
      </c>
      <c r="E2688" s="2" t="s">
        <v>25993</v>
      </c>
      <c r="G2688" s="3" t="s">
        <v>62</v>
      </c>
      <c r="I2688" s="3" t="s">
        <v>62</v>
      </c>
      <c r="J2688" s="3" t="s">
        <v>62</v>
      </c>
      <c r="K2688" s="3" t="s">
        <v>63</v>
      </c>
      <c r="L2688" s="2" t="s">
        <v>25994</v>
      </c>
      <c r="M2688" s="2" t="s">
        <v>25995</v>
      </c>
      <c r="N2688" s="3" t="s">
        <v>186</v>
      </c>
      <c r="O2688" s="2" t="s">
        <v>12082</v>
      </c>
      <c r="P2688" s="3" t="s">
        <v>1881</v>
      </c>
      <c r="R2688" s="3" t="s">
        <v>25645</v>
      </c>
      <c r="S2688" s="4">
        <v>2</v>
      </c>
      <c r="T2688" s="4">
        <v>2</v>
      </c>
      <c r="U2688" s="5" t="s">
        <v>19189</v>
      </c>
      <c r="V2688" s="5" t="s">
        <v>19189</v>
      </c>
      <c r="W2688" s="5" t="s">
        <v>67</v>
      </c>
      <c r="X2688" s="5" t="s">
        <v>67</v>
      </c>
      <c r="Y2688" s="4">
        <v>153</v>
      </c>
      <c r="Z2688" s="4">
        <v>9</v>
      </c>
      <c r="AA2688" s="4">
        <v>12</v>
      </c>
      <c r="AB2688" s="4">
        <v>1</v>
      </c>
      <c r="AC2688" s="4">
        <v>1</v>
      </c>
      <c r="AD2688" s="4">
        <v>57</v>
      </c>
      <c r="AE2688" s="4">
        <v>69</v>
      </c>
      <c r="AF2688" s="4">
        <v>0</v>
      </c>
      <c r="AG2688" s="4">
        <v>0</v>
      </c>
      <c r="AH2688" s="4">
        <v>54</v>
      </c>
      <c r="AI2688" s="4">
        <v>64</v>
      </c>
      <c r="AJ2688" s="4">
        <v>7</v>
      </c>
      <c r="AK2688" s="4">
        <v>9</v>
      </c>
      <c r="AL2688" s="4">
        <v>36</v>
      </c>
      <c r="AM2688" s="4">
        <v>41</v>
      </c>
      <c r="AN2688" s="4">
        <v>0</v>
      </c>
      <c r="AO2688" s="4">
        <v>0</v>
      </c>
      <c r="AP2688" s="4">
        <v>7</v>
      </c>
      <c r="AQ2688" s="4">
        <v>10</v>
      </c>
      <c r="AR2688" s="3" t="s">
        <v>62</v>
      </c>
      <c r="AS2688" s="3" t="s">
        <v>62</v>
      </c>
      <c r="AT2688" s="3" t="s">
        <v>61</v>
      </c>
      <c r="AU2688" s="6" t="str">
        <f>HYPERLINK("http://catalog.hathitrust.org/Record/000701555","HathiTrust Record")</f>
        <v>HathiTrust Record</v>
      </c>
      <c r="AV2688" s="6" t="str">
        <f>HYPERLINK("http://mcgill.on.worldcat.org/oclc/2073572","Catalog Record")</f>
        <v>Catalog Record</v>
      </c>
      <c r="AW2688" s="6" t="str">
        <f>HYPERLINK("http://www.worldcat.org/oclc/2073572","WorldCat Record")</f>
        <v>WorldCat Record</v>
      </c>
      <c r="AX2688" s="3" t="s">
        <v>25996</v>
      </c>
      <c r="AY2688" s="3" t="s">
        <v>25997</v>
      </c>
      <c r="AZ2688" s="3" t="s">
        <v>25998</v>
      </c>
      <c r="BA2688" s="3" t="s">
        <v>25998</v>
      </c>
      <c r="BB2688" s="3" t="s">
        <v>25999</v>
      </c>
      <c r="BC2688" s="3" t="s">
        <v>102</v>
      </c>
      <c r="BD2688" s="3" t="s">
        <v>68</v>
      </c>
      <c r="BE2688" s="3" t="s">
        <v>26000</v>
      </c>
      <c r="BF2688" s="3" t="s">
        <v>25999</v>
      </c>
      <c r="BG2688" s="3" t="s">
        <v>26001</v>
      </c>
    </row>
    <row r="2689" spans="1:59" ht="58" x14ac:dyDescent="0.35">
      <c r="A2689" s="2" t="s">
        <v>89</v>
      </c>
      <c r="B2689" s="2" t="s">
        <v>90</v>
      </c>
      <c r="C2689" s="2" t="s">
        <v>26002</v>
      </c>
      <c r="D2689" s="2" t="s">
        <v>26003</v>
      </c>
      <c r="E2689" s="2" t="s">
        <v>26004</v>
      </c>
      <c r="G2689" s="3" t="s">
        <v>62</v>
      </c>
      <c r="I2689" s="3" t="s">
        <v>61</v>
      </c>
      <c r="J2689" s="3" t="s">
        <v>62</v>
      </c>
      <c r="K2689" s="3" t="s">
        <v>63</v>
      </c>
      <c r="M2689" s="2" t="s">
        <v>26005</v>
      </c>
      <c r="N2689" s="3" t="s">
        <v>186</v>
      </c>
      <c r="P2689" s="3" t="s">
        <v>64</v>
      </c>
      <c r="Q2689" s="2" t="s">
        <v>26006</v>
      </c>
      <c r="R2689" s="3" t="s">
        <v>25645</v>
      </c>
      <c r="S2689" s="4">
        <v>23</v>
      </c>
      <c r="T2689" s="4">
        <v>37</v>
      </c>
      <c r="U2689" s="5" t="s">
        <v>10361</v>
      </c>
      <c r="V2689" s="5" t="s">
        <v>4211</v>
      </c>
      <c r="W2689" s="5" t="s">
        <v>67</v>
      </c>
      <c r="X2689" s="5" t="s">
        <v>67</v>
      </c>
      <c r="Y2689" s="4">
        <v>595</v>
      </c>
      <c r="Z2689" s="4">
        <v>36</v>
      </c>
      <c r="AA2689" s="4">
        <v>38</v>
      </c>
      <c r="AB2689" s="4">
        <v>2</v>
      </c>
      <c r="AC2689" s="4">
        <v>3</v>
      </c>
      <c r="AD2689" s="4">
        <v>118</v>
      </c>
      <c r="AE2689" s="4">
        <v>120</v>
      </c>
      <c r="AF2689" s="4">
        <v>1</v>
      </c>
      <c r="AG2689" s="4">
        <v>2</v>
      </c>
      <c r="AH2689" s="4">
        <v>101</v>
      </c>
      <c r="AI2689" s="4">
        <v>101</v>
      </c>
      <c r="AJ2689" s="4">
        <v>20</v>
      </c>
      <c r="AK2689" s="4">
        <v>22</v>
      </c>
      <c r="AL2689" s="4">
        <v>56</v>
      </c>
      <c r="AM2689" s="4">
        <v>56</v>
      </c>
      <c r="AN2689" s="4">
        <v>0</v>
      </c>
      <c r="AO2689" s="4">
        <v>0</v>
      </c>
      <c r="AP2689" s="4">
        <v>27</v>
      </c>
      <c r="AQ2689" s="4">
        <v>27</v>
      </c>
      <c r="AR2689" s="3" t="s">
        <v>62</v>
      </c>
      <c r="AS2689" s="3" t="s">
        <v>62</v>
      </c>
      <c r="AT2689" s="3" t="s">
        <v>61</v>
      </c>
      <c r="AU2689" s="6" t="str">
        <f>HYPERLINK("http://catalog.hathitrust.org/Record/000721116","HathiTrust Record")</f>
        <v>HathiTrust Record</v>
      </c>
      <c r="AV2689" s="6" t="str">
        <f>HYPERLINK("http://mcgill.on.worldcat.org/oclc/2088919","Catalog Record")</f>
        <v>Catalog Record</v>
      </c>
      <c r="AW2689" s="6" t="str">
        <f>HYPERLINK("http://www.worldcat.org/oclc/2088919","WorldCat Record")</f>
        <v>WorldCat Record</v>
      </c>
      <c r="AX2689" s="3" t="s">
        <v>26007</v>
      </c>
      <c r="AY2689" s="3" t="s">
        <v>26008</v>
      </c>
      <c r="AZ2689" s="3" t="s">
        <v>26009</v>
      </c>
      <c r="BA2689" s="3" t="s">
        <v>26009</v>
      </c>
      <c r="BB2689" s="3" t="s">
        <v>26010</v>
      </c>
      <c r="BC2689" s="3" t="s">
        <v>102</v>
      </c>
      <c r="BD2689" s="3" t="s">
        <v>68</v>
      </c>
      <c r="BE2689" s="3" t="s">
        <v>26011</v>
      </c>
      <c r="BF2689" s="3" t="s">
        <v>26010</v>
      </c>
      <c r="BG2689" s="3" t="s">
        <v>26012</v>
      </c>
    </row>
    <row r="2690" spans="1:59" ht="58" x14ac:dyDescent="0.35">
      <c r="A2690" s="2" t="s">
        <v>89</v>
      </c>
      <c r="B2690" s="2" t="s">
        <v>90</v>
      </c>
      <c r="C2690" s="2" t="s">
        <v>26013</v>
      </c>
      <c r="D2690" s="2" t="s">
        <v>26014</v>
      </c>
      <c r="E2690" s="2" t="s">
        <v>26015</v>
      </c>
      <c r="G2690" s="3" t="s">
        <v>62</v>
      </c>
      <c r="I2690" s="3" t="s">
        <v>61</v>
      </c>
      <c r="J2690" s="3" t="s">
        <v>62</v>
      </c>
      <c r="K2690" s="3" t="s">
        <v>63</v>
      </c>
      <c r="L2690" s="2" t="s">
        <v>26016</v>
      </c>
      <c r="M2690" s="2" t="s">
        <v>26017</v>
      </c>
      <c r="N2690" s="3" t="s">
        <v>539</v>
      </c>
      <c r="P2690" s="3" t="s">
        <v>64</v>
      </c>
      <c r="R2690" s="3" t="s">
        <v>25645</v>
      </c>
      <c r="S2690" s="4">
        <v>28</v>
      </c>
      <c r="T2690" s="4">
        <v>33</v>
      </c>
      <c r="U2690" s="5" t="s">
        <v>9002</v>
      </c>
      <c r="V2690" s="5" t="s">
        <v>1711</v>
      </c>
      <c r="W2690" s="5" t="s">
        <v>67</v>
      </c>
      <c r="X2690" s="5" t="s">
        <v>67</v>
      </c>
      <c r="Y2690" s="4">
        <v>439</v>
      </c>
      <c r="Z2690" s="4">
        <v>77</v>
      </c>
      <c r="AA2690" s="4">
        <v>91</v>
      </c>
      <c r="AB2690" s="4">
        <v>8</v>
      </c>
      <c r="AC2690" s="4">
        <v>11</v>
      </c>
      <c r="AD2690" s="4">
        <v>99</v>
      </c>
      <c r="AE2690" s="4">
        <v>109</v>
      </c>
      <c r="AF2690" s="4">
        <v>2</v>
      </c>
      <c r="AG2690" s="4">
        <v>4</v>
      </c>
      <c r="AH2690" s="4">
        <v>75</v>
      </c>
      <c r="AI2690" s="4">
        <v>80</v>
      </c>
      <c r="AJ2690" s="4">
        <v>15</v>
      </c>
      <c r="AK2690" s="4">
        <v>21</v>
      </c>
      <c r="AL2690" s="4">
        <v>40</v>
      </c>
      <c r="AM2690" s="4">
        <v>42</v>
      </c>
      <c r="AN2690" s="4">
        <v>0</v>
      </c>
      <c r="AO2690" s="4">
        <v>0</v>
      </c>
      <c r="AP2690" s="4">
        <v>32</v>
      </c>
      <c r="AQ2690" s="4">
        <v>38</v>
      </c>
      <c r="AR2690" s="3" t="s">
        <v>61</v>
      </c>
      <c r="AS2690" s="3" t="s">
        <v>62</v>
      </c>
      <c r="AT2690" s="3" t="s">
        <v>62</v>
      </c>
      <c r="AV2690" s="6" t="str">
        <f>HYPERLINK("http://mcgill.on.worldcat.org/oclc/38885238","Catalog Record")</f>
        <v>Catalog Record</v>
      </c>
      <c r="AW2690" s="6" t="str">
        <f>HYPERLINK("http://www.worldcat.org/oclc/38885238","WorldCat Record")</f>
        <v>WorldCat Record</v>
      </c>
      <c r="AX2690" s="3" t="s">
        <v>26018</v>
      </c>
      <c r="AY2690" s="3" t="s">
        <v>26019</v>
      </c>
      <c r="AZ2690" s="3" t="s">
        <v>26020</v>
      </c>
      <c r="BA2690" s="3" t="s">
        <v>26020</v>
      </c>
      <c r="BB2690" s="3" t="s">
        <v>26021</v>
      </c>
      <c r="BC2690" s="3" t="s">
        <v>102</v>
      </c>
      <c r="BD2690" s="3" t="s">
        <v>231</v>
      </c>
      <c r="BE2690" s="3" t="s">
        <v>26022</v>
      </c>
      <c r="BF2690" s="3" t="s">
        <v>26021</v>
      </c>
      <c r="BG2690" s="3" t="s">
        <v>26023</v>
      </c>
    </row>
    <row r="2691" spans="1:59" ht="58" x14ac:dyDescent="0.35">
      <c r="A2691" s="2" t="s">
        <v>89</v>
      </c>
      <c r="B2691" s="2" t="s">
        <v>90</v>
      </c>
      <c r="C2691" s="2" t="s">
        <v>26013</v>
      </c>
      <c r="D2691" s="2" t="s">
        <v>26014</v>
      </c>
      <c r="E2691" s="2" t="s">
        <v>26015</v>
      </c>
      <c r="G2691" s="3" t="s">
        <v>62</v>
      </c>
      <c r="I2691" s="3" t="s">
        <v>61</v>
      </c>
      <c r="J2691" s="3" t="s">
        <v>62</v>
      </c>
      <c r="K2691" s="3" t="s">
        <v>63</v>
      </c>
      <c r="L2691" s="2" t="s">
        <v>26016</v>
      </c>
      <c r="M2691" s="2" t="s">
        <v>26017</v>
      </c>
      <c r="N2691" s="3" t="s">
        <v>539</v>
      </c>
      <c r="P2691" s="3" t="s">
        <v>64</v>
      </c>
      <c r="R2691" s="3" t="s">
        <v>25645</v>
      </c>
      <c r="S2691" s="4">
        <v>5</v>
      </c>
      <c r="T2691" s="4">
        <v>33</v>
      </c>
      <c r="U2691" s="5" t="s">
        <v>1711</v>
      </c>
      <c r="V2691" s="5" t="s">
        <v>1711</v>
      </c>
      <c r="W2691" s="5" t="s">
        <v>67</v>
      </c>
      <c r="X2691" s="5" t="s">
        <v>67</v>
      </c>
      <c r="Y2691" s="4">
        <v>439</v>
      </c>
      <c r="Z2691" s="4">
        <v>77</v>
      </c>
      <c r="AA2691" s="4">
        <v>91</v>
      </c>
      <c r="AB2691" s="4">
        <v>8</v>
      </c>
      <c r="AC2691" s="4">
        <v>11</v>
      </c>
      <c r="AD2691" s="4">
        <v>99</v>
      </c>
      <c r="AE2691" s="4">
        <v>109</v>
      </c>
      <c r="AF2691" s="4">
        <v>2</v>
      </c>
      <c r="AG2691" s="4">
        <v>4</v>
      </c>
      <c r="AH2691" s="4">
        <v>75</v>
      </c>
      <c r="AI2691" s="4">
        <v>80</v>
      </c>
      <c r="AJ2691" s="4">
        <v>15</v>
      </c>
      <c r="AK2691" s="4">
        <v>21</v>
      </c>
      <c r="AL2691" s="4">
        <v>40</v>
      </c>
      <c r="AM2691" s="4">
        <v>42</v>
      </c>
      <c r="AN2691" s="4">
        <v>0</v>
      </c>
      <c r="AO2691" s="4">
        <v>0</v>
      </c>
      <c r="AP2691" s="4">
        <v>32</v>
      </c>
      <c r="AQ2691" s="4">
        <v>38</v>
      </c>
      <c r="AR2691" s="3" t="s">
        <v>61</v>
      </c>
      <c r="AS2691" s="3" t="s">
        <v>62</v>
      </c>
      <c r="AT2691" s="3" t="s">
        <v>62</v>
      </c>
      <c r="AV2691" s="6" t="str">
        <f>HYPERLINK("http://mcgill.on.worldcat.org/oclc/38885238","Catalog Record")</f>
        <v>Catalog Record</v>
      </c>
      <c r="AW2691" s="6" t="str">
        <f>HYPERLINK("http://www.worldcat.org/oclc/38885238","WorldCat Record")</f>
        <v>WorldCat Record</v>
      </c>
      <c r="AX2691" s="3" t="s">
        <v>26018</v>
      </c>
      <c r="AY2691" s="3" t="s">
        <v>26019</v>
      </c>
      <c r="AZ2691" s="3" t="s">
        <v>26020</v>
      </c>
      <c r="BA2691" s="3" t="s">
        <v>26020</v>
      </c>
      <c r="BB2691" s="3" t="s">
        <v>26024</v>
      </c>
      <c r="BC2691" s="3" t="s">
        <v>102</v>
      </c>
      <c r="BD2691" s="3" t="s">
        <v>68</v>
      </c>
      <c r="BE2691" s="3" t="s">
        <v>26022</v>
      </c>
      <c r="BF2691" s="3" t="s">
        <v>26024</v>
      </c>
      <c r="BG2691" s="3" t="s">
        <v>26025</v>
      </c>
    </row>
    <row r="2692" spans="1:59" ht="58" x14ac:dyDescent="0.35">
      <c r="A2692" s="2" t="s">
        <v>89</v>
      </c>
      <c r="B2692" s="2" t="s">
        <v>90</v>
      </c>
      <c r="C2692" s="2" t="s">
        <v>26026</v>
      </c>
      <c r="D2692" s="2" t="s">
        <v>26027</v>
      </c>
      <c r="E2692" s="2" t="s">
        <v>26028</v>
      </c>
      <c r="G2692" s="3" t="s">
        <v>62</v>
      </c>
      <c r="I2692" s="3" t="s">
        <v>62</v>
      </c>
      <c r="J2692" s="3" t="s">
        <v>62</v>
      </c>
      <c r="K2692" s="3" t="s">
        <v>63</v>
      </c>
      <c r="L2692" s="2" t="s">
        <v>26029</v>
      </c>
      <c r="M2692" s="2" t="s">
        <v>26030</v>
      </c>
      <c r="N2692" s="3" t="s">
        <v>424</v>
      </c>
      <c r="P2692" s="3" t="s">
        <v>64</v>
      </c>
      <c r="R2692" s="3" t="s">
        <v>25645</v>
      </c>
      <c r="S2692" s="4">
        <v>11</v>
      </c>
      <c r="T2692" s="4">
        <v>11</v>
      </c>
      <c r="U2692" s="5" t="s">
        <v>3541</v>
      </c>
      <c r="V2692" s="5" t="s">
        <v>3541</v>
      </c>
      <c r="W2692" s="5" t="s">
        <v>67</v>
      </c>
      <c r="X2692" s="5" t="s">
        <v>67</v>
      </c>
      <c r="Y2692" s="4">
        <v>215</v>
      </c>
      <c r="Z2692" s="4">
        <v>72</v>
      </c>
      <c r="AA2692" s="4">
        <v>94</v>
      </c>
      <c r="AB2692" s="4">
        <v>5</v>
      </c>
      <c r="AC2692" s="4">
        <v>14</v>
      </c>
      <c r="AD2692" s="4">
        <v>97</v>
      </c>
      <c r="AE2692" s="4">
        <v>106</v>
      </c>
      <c r="AF2692" s="4">
        <v>1</v>
      </c>
      <c r="AG2692" s="4">
        <v>4</v>
      </c>
      <c r="AH2692" s="4">
        <v>70</v>
      </c>
      <c r="AI2692" s="4">
        <v>74</v>
      </c>
      <c r="AJ2692" s="4">
        <v>24</v>
      </c>
      <c r="AK2692" s="4">
        <v>28</v>
      </c>
      <c r="AL2692" s="4">
        <v>42</v>
      </c>
      <c r="AM2692" s="4">
        <v>43</v>
      </c>
      <c r="AN2692" s="4">
        <v>0</v>
      </c>
      <c r="AO2692" s="4">
        <v>0</v>
      </c>
      <c r="AP2692" s="4">
        <v>33</v>
      </c>
      <c r="AQ2692" s="4">
        <v>39</v>
      </c>
      <c r="AR2692" s="3" t="s">
        <v>61</v>
      </c>
      <c r="AS2692" s="3" t="s">
        <v>62</v>
      </c>
      <c r="AT2692" s="3" t="s">
        <v>61</v>
      </c>
      <c r="AU2692" s="6" t="str">
        <f>HYPERLINK("http://catalog.hathitrust.org/Record/000950030","HathiTrust Record")</f>
        <v>HathiTrust Record</v>
      </c>
      <c r="AV2692" s="6" t="str">
        <f>HYPERLINK("http://mcgill.on.worldcat.org/oclc/20131252","Catalog Record")</f>
        <v>Catalog Record</v>
      </c>
      <c r="AW2692" s="6" t="str">
        <f>HYPERLINK("http://www.worldcat.org/oclc/20131252","WorldCat Record")</f>
        <v>WorldCat Record</v>
      </c>
      <c r="AX2692" s="3" t="s">
        <v>26031</v>
      </c>
      <c r="AY2692" s="3" t="s">
        <v>26032</v>
      </c>
      <c r="AZ2692" s="3" t="s">
        <v>26033</v>
      </c>
      <c r="BA2692" s="3" t="s">
        <v>26033</v>
      </c>
      <c r="BB2692" s="3" t="s">
        <v>26034</v>
      </c>
      <c r="BC2692" s="3" t="s">
        <v>102</v>
      </c>
      <c r="BD2692" s="3" t="s">
        <v>231</v>
      </c>
      <c r="BE2692" s="3" t="s">
        <v>26035</v>
      </c>
      <c r="BF2692" s="3" t="s">
        <v>26034</v>
      </c>
      <c r="BG2692" s="3" t="s">
        <v>26036</v>
      </c>
    </row>
    <row r="2693" spans="1:59" ht="58" x14ac:dyDescent="0.35">
      <c r="A2693" s="2" t="s">
        <v>89</v>
      </c>
      <c r="B2693" s="2" t="s">
        <v>90</v>
      </c>
      <c r="C2693" s="2" t="s">
        <v>26037</v>
      </c>
      <c r="D2693" s="2" t="s">
        <v>26038</v>
      </c>
      <c r="E2693" s="2" t="s">
        <v>26039</v>
      </c>
      <c r="G2693" s="3" t="s">
        <v>62</v>
      </c>
      <c r="I2693" s="3" t="s">
        <v>61</v>
      </c>
      <c r="J2693" s="3" t="s">
        <v>62</v>
      </c>
      <c r="K2693" s="3" t="s">
        <v>63</v>
      </c>
      <c r="L2693" s="2" t="s">
        <v>26040</v>
      </c>
      <c r="M2693" s="2" t="s">
        <v>26041</v>
      </c>
      <c r="N2693" s="3" t="s">
        <v>2588</v>
      </c>
      <c r="P2693" s="3" t="s">
        <v>64</v>
      </c>
      <c r="Q2693" s="2" t="s">
        <v>26042</v>
      </c>
      <c r="R2693" s="3" t="s">
        <v>25645</v>
      </c>
      <c r="S2693" s="4">
        <v>19</v>
      </c>
      <c r="T2693" s="4">
        <v>35</v>
      </c>
      <c r="U2693" s="5" t="s">
        <v>728</v>
      </c>
      <c r="V2693" s="5" t="s">
        <v>728</v>
      </c>
      <c r="W2693" s="5" t="s">
        <v>67</v>
      </c>
      <c r="X2693" s="5" t="s">
        <v>67</v>
      </c>
      <c r="Y2693" s="4">
        <v>543</v>
      </c>
      <c r="Z2693" s="4">
        <v>50</v>
      </c>
      <c r="AA2693" s="4">
        <v>53</v>
      </c>
      <c r="AB2693" s="4">
        <v>4</v>
      </c>
      <c r="AC2693" s="4">
        <v>6</v>
      </c>
      <c r="AD2693" s="4">
        <v>130</v>
      </c>
      <c r="AE2693" s="4">
        <v>132</v>
      </c>
      <c r="AF2693" s="4">
        <v>2</v>
      </c>
      <c r="AG2693" s="4">
        <v>4</v>
      </c>
      <c r="AH2693" s="4">
        <v>103</v>
      </c>
      <c r="AI2693" s="4">
        <v>104</v>
      </c>
      <c r="AJ2693" s="4">
        <v>21</v>
      </c>
      <c r="AK2693" s="4">
        <v>23</v>
      </c>
      <c r="AL2693" s="4">
        <v>54</v>
      </c>
      <c r="AM2693" s="4">
        <v>54</v>
      </c>
      <c r="AN2693" s="4">
        <v>0</v>
      </c>
      <c r="AO2693" s="4">
        <v>0</v>
      </c>
      <c r="AP2693" s="4">
        <v>37</v>
      </c>
      <c r="AQ2693" s="4">
        <v>38</v>
      </c>
      <c r="AR2693" s="3" t="s">
        <v>62</v>
      </c>
      <c r="AS2693" s="3" t="s">
        <v>62</v>
      </c>
      <c r="AT2693" s="3" t="s">
        <v>61</v>
      </c>
      <c r="AU2693" s="6" t="str">
        <f>HYPERLINK("http://catalog.hathitrust.org/Record/000296658","HathiTrust Record")</f>
        <v>HathiTrust Record</v>
      </c>
      <c r="AV2693" s="6" t="str">
        <f>HYPERLINK("http://mcgill.on.worldcat.org/oclc/3267455","Catalog Record")</f>
        <v>Catalog Record</v>
      </c>
      <c r="AW2693" s="6" t="str">
        <f>HYPERLINK("http://www.worldcat.org/oclc/3267455","WorldCat Record")</f>
        <v>WorldCat Record</v>
      </c>
      <c r="AX2693" s="3" t="s">
        <v>26043</v>
      </c>
      <c r="AY2693" s="3" t="s">
        <v>26044</v>
      </c>
      <c r="AZ2693" s="3" t="s">
        <v>26045</v>
      </c>
      <c r="BA2693" s="3" t="s">
        <v>26045</v>
      </c>
      <c r="BB2693" s="3" t="s">
        <v>26046</v>
      </c>
      <c r="BC2693" s="3" t="s">
        <v>102</v>
      </c>
      <c r="BD2693" s="3" t="s">
        <v>68</v>
      </c>
      <c r="BE2693" s="3" t="s">
        <v>26047</v>
      </c>
      <c r="BF2693" s="3" t="s">
        <v>26046</v>
      </c>
      <c r="BG2693" s="3" t="s">
        <v>26048</v>
      </c>
    </row>
    <row r="2694" spans="1:59" ht="58" x14ac:dyDescent="0.35">
      <c r="A2694" s="2" t="s">
        <v>89</v>
      </c>
      <c r="B2694" s="2" t="s">
        <v>90</v>
      </c>
      <c r="C2694" s="2" t="s">
        <v>26037</v>
      </c>
      <c r="D2694" s="2" t="s">
        <v>26038</v>
      </c>
      <c r="E2694" s="2" t="s">
        <v>26039</v>
      </c>
      <c r="G2694" s="3" t="s">
        <v>62</v>
      </c>
      <c r="I2694" s="3" t="s">
        <v>61</v>
      </c>
      <c r="J2694" s="3" t="s">
        <v>62</v>
      </c>
      <c r="K2694" s="3" t="s">
        <v>63</v>
      </c>
      <c r="L2694" s="2" t="s">
        <v>26040</v>
      </c>
      <c r="M2694" s="2" t="s">
        <v>26041</v>
      </c>
      <c r="N2694" s="3" t="s">
        <v>2588</v>
      </c>
      <c r="P2694" s="3" t="s">
        <v>64</v>
      </c>
      <c r="Q2694" s="2" t="s">
        <v>26042</v>
      </c>
      <c r="R2694" s="3" t="s">
        <v>25645</v>
      </c>
      <c r="S2694" s="4">
        <v>16</v>
      </c>
      <c r="T2694" s="4">
        <v>35</v>
      </c>
      <c r="U2694" s="5" t="s">
        <v>25503</v>
      </c>
      <c r="V2694" s="5" t="s">
        <v>728</v>
      </c>
      <c r="W2694" s="5" t="s">
        <v>67</v>
      </c>
      <c r="X2694" s="5" t="s">
        <v>67</v>
      </c>
      <c r="Y2694" s="4">
        <v>543</v>
      </c>
      <c r="Z2694" s="4">
        <v>50</v>
      </c>
      <c r="AA2694" s="4">
        <v>53</v>
      </c>
      <c r="AB2694" s="4">
        <v>4</v>
      </c>
      <c r="AC2694" s="4">
        <v>6</v>
      </c>
      <c r="AD2694" s="4">
        <v>130</v>
      </c>
      <c r="AE2694" s="4">
        <v>132</v>
      </c>
      <c r="AF2694" s="4">
        <v>2</v>
      </c>
      <c r="AG2694" s="4">
        <v>4</v>
      </c>
      <c r="AH2694" s="4">
        <v>103</v>
      </c>
      <c r="AI2694" s="4">
        <v>104</v>
      </c>
      <c r="AJ2694" s="4">
        <v>21</v>
      </c>
      <c r="AK2694" s="4">
        <v>23</v>
      </c>
      <c r="AL2694" s="4">
        <v>54</v>
      </c>
      <c r="AM2694" s="4">
        <v>54</v>
      </c>
      <c r="AN2694" s="4">
        <v>0</v>
      </c>
      <c r="AO2694" s="4">
        <v>0</v>
      </c>
      <c r="AP2694" s="4">
        <v>37</v>
      </c>
      <c r="AQ2694" s="4">
        <v>38</v>
      </c>
      <c r="AR2694" s="3" t="s">
        <v>62</v>
      </c>
      <c r="AS2694" s="3" t="s">
        <v>62</v>
      </c>
      <c r="AT2694" s="3" t="s">
        <v>61</v>
      </c>
      <c r="AU2694" s="6" t="str">
        <f>HYPERLINK("http://catalog.hathitrust.org/Record/000296658","HathiTrust Record")</f>
        <v>HathiTrust Record</v>
      </c>
      <c r="AV2694" s="6" t="str">
        <f>HYPERLINK("http://mcgill.on.worldcat.org/oclc/3267455","Catalog Record")</f>
        <v>Catalog Record</v>
      </c>
      <c r="AW2694" s="6" t="str">
        <f>HYPERLINK("http://www.worldcat.org/oclc/3267455","WorldCat Record")</f>
        <v>WorldCat Record</v>
      </c>
      <c r="AX2694" s="3" t="s">
        <v>26043</v>
      </c>
      <c r="AY2694" s="3" t="s">
        <v>26044</v>
      </c>
      <c r="AZ2694" s="3" t="s">
        <v>26045</v>
      </c>
      <c r="BA2694" s="3" t="s">
        <v>26045</v>
      </c>
      <c r="BB2694" s="3" t="s">
        <v>26049</v>
      </c>
      <c r="BC2694" s="3" t="s">
        <v>102</v>
      </c>
      <c r="BD2694" s="3" t="s">
        <v>68</v>
      </c>
      <c r="BE2694" s="3" t="s">
        <v>26047</v>
      </c>
      <c r="BF2694" s="3" t="s">
        <v>26049</v>
      </c>
      <c r="BG2694" s="3" t="s">
        <v>26050</v>
      </c>
    </row>
    <row r="2695" spans="1:59" ht="58" x14ac:dyDescent="0.35">
      <c r="A2695" s="2" t="s">
        <v>89</v>
      </c>
      <c r="B2695" s="2" t="s">
        <v>90</v>
      </c>
      <c r="C2695" s="2" t="s">
        <v>26051</v>
      </c>
      <c r="D2695" s="2" t="s">
        <v>26052</v>
      </c>
      <c r="E2695" s="2" t="s">
        <v>26053</v>
      </c>
      <c r="F2695" s="3" t="s">
        <v>2233</v>
      </c>
      <c r="G2695" s="3" t="s">
        <v>61</v>
      </c>
      <c r="I2695" s="3" t="s">
        <v>62</v>
      </c>
      <c r="J2695" s="3" t="s">
        <v>62</v>
      </c>
      <c r="K2695" s="3" t="s">
        <v>63</v>
      </c>
      <c r="M2695" s="2" t="s">
        <v>26054</v>
      </c>
      <c r="N2695" s="3" t="s">
        <v>186</v>
      </c>
      <c r="P2695" s="3" t="s">
        <v>1078</v>
      </c>
      <c r="Q2695" s="2" t="s">
        <v>26055</v>
      </c>
      <c r="R2695" s="3" t="s">
        <v>25645</v>
      </c>
      <c r="S2695" s="4">
        <v>1</v>
      </c>
      <c r="T2695" s="4">
        <v>3</v>
      </c>
      <c r="U2695" s="5" t="s">
        <v>8965</v>
      </c>
      <c r="V2695" s="5" t="s">
        <v>8965</v>
      </c>
      <c r="W2695" s="5" t="s">
        <v>67</v>
      </c>
      <c r="X2695" s="5" t="s">
        <v>67</v>
      </c>
      <c r="Y2695" s="4">
        <v>8</v>
      </c>
      <c r="Z2695" s="4">
        <v>4</v>
      </c>
      <c r="AA2695" s="4">
        <v>4</v>
      </c>
      <c r="AB2695" s="4">
        <v>1</v>
      </c>
      <c r="AC2695" s="4">
        <v>1</v>
      </c>
      <c r="AD2695" s="4">
        <v>3</v>
      </c>
      <c r="AE2695" s="4">
        <v>3</v>
      </c>
      <c r="AF2695" s="4">
        <v>0</v>
      </c>
      <c r="AG2695" s="4">
        <v>0</v>
      </c>
      <c r="AH2695" s="4">
        <v>3</v>
      </c>
      <c r="AI2695" s="4">
        <v>3</v>
      </c>
      <c r="AJ2695" s="4">
        <v>2</v>
      </c>
      <c r="AK2695" s="4">
        <v>2</v>
      </c>
      <c r="AL2695" s="4">
        <v>1</v>
      </c>
      <c r="AM2695" s="4">
        <v>1</v>
      </c>
      <c r="AN2695" s="4">
        <v>0</v>
      </c>
      <c r="AO2695" s="4">
        <v>0</v>
      </c>
      <c r="AP2695" s="4">
        <v>2</v>
      </c>
      <c r="AQ2695" s="4">
        <v>2</v>
      </c>
      <c r="AR2695" s="3" t="s">
        <v>62</v>
      </c>
      <c r="AS2695" s="3" t="s">
        <v>62</v>
      </c>
      <c r="AT2695" s="3" t="s">
        <v>62</v>
      </c>
      <c r="AV2695" s="6" t="str">
        <f>HYPERLINK("http://mcgill.on.worldcat.org/oclc/61534782","Catalog Record")</f>
        <v>Catalog Record</v>
      </c>
      <c r="AW2695" s="6" t="str">
        <f>HYPERLINK("http://www.worldcat.org/oclc/61534782","WorldCat Record")</f>
        <v>WorldCat Record</v>
      </c>
      <c r="AX2695" s="3" t="s">
        <v>26056</v>
      </c>
      <c r="AY2695" s="3" t="s">
        <v>26057</v>
      </c>
      <c r="AZ2695" s="3" t="s">
        <v>26058</v>
      </c>
      <c r="BA2695" s="3" t="s">
        <v>26058</v>
      </c>
      <c r="BB2695" s="3" t="s">
        <v>26059</v>
      </c>
      <c r="BC2695" s="3" t="s">
        <v>102</v>
      </c>
      <c r="BD2695" s="3" t="s">
        <v>68</v>
      </c>
      <c r="BF2695" s="3" t="s">
        <v>26059</v>
      </c>
      <c r="BG2695" s="3" t="s">
        <v>26060</v>
      </c>
    </row>
    <row r="2696" spans="1:59" ht="58" x14ac:dyDescent="0.35">
      <c r="A2696" s="2" t="s">
        <v>89</v>
      </c>
      <c r="B2696" s="2" t="s">
        <v>90</v>
      </c>
      <c r="C2696" s="2" t="s">
        <v>26051</v>
      </c>
      <c r="D2696" s="2" t="s">
        <v>26052</v>
      </c>
      <c r="E2696" s="2" t="s">
        <v>26053</v>
      </c>
      <c r="F2696" s="3" t="s">
        <v>2217</v>
      </c>
      <c r="G2696" s="3" t="s">
        <v>61</v>
      </c>
      <c r="I2696" s="3" t="s">
        <v>62</v>
      </c>
      <c r="J2696" s="3" t="s">
        <v>62</v>
      </c>
      <c r="K2696" s="3" t="s">
        <v>63</v>
      </c>
      <c r="M2696" s="2" t="s">
        <v>26054</v>
      </c>
      <c r="N2696" s="3" t="s">
        <v>186</v>
      </c>
      <c r="P2696" s="3" t="s">
        <v>1078</v>
      </c>
      <c r="Q2696" s="2" t="s">
        <v>26055</v>
      </c>
      <c r="R2696" s="3" t="s">
        <v>25645</v>
      </c>
      <c r="S2696" s="4">
        <v>2</v>
      </c>
      <c r="T2696" s="4">
        <v>3</v>
      </c>
      <c r="U2696" s="5" t="s">
        <v>8965</v>
      </c>
      <c r="V2696" s="5" t="s">
        <v>8965</v>
      </c>
      <c r="W2696" s="5" t="s">
        <v>67</v>
      </c>
      <c r="X2696" s="5" t="s">
        <v>67</v>
      </c>
      <c r="Y2696" s="4">
        <v>8</v>
      </c>
      <c r="Z2696" s="4">
        <v>4</v>
      </c>
      <c r="AA2696" s="4">
        <v>4</v>
      </c>
      <c r="AB2696" s="4">
        <v>1</v>
      </c>
      <c r="AC2696" s="4">
        <v>1</v>
      </c>
      <c r="AD2696" s="4">
        <v>3</v>
      </c>
      <c r="AE2696" s="4">
        <v>3</v>
      </c>
      <c r="AF2696" s="4">
        <v>0</v>
      </c>
      <c r="AG2696" s="4">
        <v>0</v>
      </c>
      <c r="AH2696" s="4">
        <v>3</v>
      </c>
      <c r="AI2696" s="4">
        <v>3</v>
      </c>
      <c r="AJ2696" s="4">
        <v>2</v>
      </c>
      <c r="AK2696" s="4">
        <v>2</v>
      </c>
      <c r="AL2696" s="4">
        <v>1</v>
      </c>
      <c r="AM2696" s="4">
        <v>1</v>
      </c>
      <c r="AN2696" s="4">
        <v>0</v>
      </c>
      <c r="AO2696" s="4">
        <v>0</v>
      </c>
      <c r="AP2696" s="4">
        <v>2</v>
      </c>
      <c r="AQ2696" s="4">
        <v>2</v>
      </c>
      <c r="AR2696" s="3" t="s">
        <v>62</v>
      </c>
      <c r="AS2696" s="3" t="s">
        <v>62</v>
      </c>
      <c r="AT2696" s="3" t="s">
        <v>62</v>
      </c>
      <c r="AV2696" s="6" t="str">
        <f>HYPERLINK("http://mcgill.on.worldcat.org/oclc/61534782","Catalog Record")</f>
        <v>Catalog Record</v>
      </c>
      <c r="AW2696" s="6" t="str">
        <f>HYPERLINK("http://www.worldcat.org/oclc/61534782","WorldCat Record")</f>
        <v>WorldCat Record</v>
      </c>
      <c r="AX2696" s="3" t="s">
        <v>26056</v>
      </c>
      <c r="AY2696" s="3" t="s">
        <v>26057</v>
      </c>
      <c r="AZ2696" s="3" t="s">
        <v>26058</v>
      </c>
      <c r="BA2696" s="3" t="s">
        <v>26058</v>
      </c>
      <c r="BB2696" s="3" t="s">
        <v>26061</v>
      </c>
      <c r="BC2696" s="3" t="s">
        <v>102</v>
      </c>
      <c r="BD2696" s="3" t="s">
        <v>68</v>
      </c>
      <c r="BF2696" s="3" t="s">
        <v>26061</v>
      </c>
      <c r="BG2696" s="3" t="s">
        <v>26062</v>
      </c>
    </row>
    <row r="2697" spans="1:59" ht="58" x14ac:dyDescent="0.35">
      <c r="A2697" s="2" t="s">
        <v>89</v>
      </c>
      <c r="B2697" s="2" t="s">
        <v>90</v>
      </c>
      <c r="C2697" s="2" t="s">
        <v>26063</v>
      </c>
      <c r="D2697" s="2" t="s">
        <v>26064</v>
      </c>
      <c r="E2697" s="2" t="s">
        <v>26065</v>
      </c>
      <c r="G2697" s="3" t="s">
        <v>62</v>
      </c>
      <c r="I2697" s="3" t="s">
        <v>61</v>
      </c>
      <c r="J2697" s="3" t="s">
        <v>62</v>
      </c>
      <c r="K2697" s="3" t="s">
        <v>63</v>
      </c>
      <c r="L2697" s="2" t="s">
        <v>26066</v>
      </c>
      <c r="M2697" s="2" t="s">
        <v>26067</v>
      </c>
      <c r="N2697" s="3" t="s">
        <v>8555</v>
      </c>
      <c r="P2697" s="3" t="s">
        <v>64</v>
      </c>
      <c r="R2697" s="3" t="s">
        <v>25645</v>
      </c>
      <c r="S2697" s="4">
        <v>9</v>
      </c>
      <c r="T2697" s="4">
        <v>13</v>
      </c>
      <c r="U2697" s="5" t="s">
        <v>26068</v>
      </c>
      <c r="V2697" s="5" t="s">
        <v>26069</v>
      </c>
      <c r="W2697" s="5" t="s">
        <v>67</v>
      </c>
      <c r="X2697" s="5" t="s">
        <v>67</v>
      </c>
      <c r="Y2697" s="4">
        <v>218</v>
      </c>
      <c r="Z2697" s="4">
        <v>12</v>
      </c>
      <c r="AA2697" s="4">
        <v>13</v>
      </c>
      <c r="AB2697" s="4">
        <v>2</v>
      </c>
      <c r="AC2697" s="4">
        <v>3</v>
      </c>
      <c r="AD2697" s="4">
        <v>60</v>
      </c>
      <c r="AE2697" s="4">
        <v>61</v>
      </c>
      <c r="AF2697" s="4">
        <v>1</v>
      </c>
      <c r="AG2697" s="4">
        <v>2</v>
      </c>
      <c r="AH2697" s="4">
        <v>56</v>
      </c>
      <c r="AI2697" s="4">
        <v>56</v>
      </c>
      <c r="AJ2697" s="4">
        <v>8</v>
      </c>
      <c r="AK2697" s="4">
        <v>9</v>
      </c>
      <c r="AL2697" s="4">
        <v>34</v>
      </c>
      <c r="AM2697" s="4">
        <v>34</v>
      </c>
      <c r="AN2697" s="4">
        <v>0</v>
      </c>
      <c r="AO2697" s="4">
        <v>0</v>
      </c>
      <c r="AP2697" s="4">
        <v>8</v>
      </c>
      <c r="AQ2697" s="4">
        <v>8</v>
      </c>
      <c r="AR2697" s="3" t="s">
        <v>62</v>
      </c>
      <c r="AS2697" s="3" t="s">
        <v>62</v>
      </c>
      <c r="AT2697" s="3" t="s">
        <v>62</v>
      </c>
      <c r="AU2697" s="6" t="str">
        <f>HYPERLINK("http://catalog.hathitrust.org/Record/001475551","HathiTrust Record")</f>
        <v>HathiTrust Record</v>
      </c>
      <c r="AV2697" s="6" t="str">
        <f>HYPERLINK("http://mcgill.on.worldcat.org/oclc/1600059","Catalog Record")</f>
        <v>Catalog Record</v>
      </c>
      <c r="AW2697" s="6" t="str">
        <f>HYPERLINK("http://www.worldcat.org/oclc/1600059","WorldCat Record")</f>
        <v>WorldCat Record</v>
      </c>
      <c r="AX2697" s="3" t="s">
        <v>26070</v>
      </c>
      <c r="AY2697" s="3" t="s">
        <v>26071</v>
      </c>
      <c r="AZ2697" s="3" t="s">
        <v>26072</v>
      </c>
      <c r="BA2697" s="3" t="s">
        <v>26072</v>
      </c>
      <c r="BB2697" s="3" t="s">
        <v>26073</v>
      </c>
      <c r="BC2697" s="3" t="s">
        <v>102</v>
      </c>
      <c r="BD2697" s="3" t="s">
        <v>68</v>
      </c>
      <c r="BF2697" s="3" t="s">
        <v>26073</v>
      </c>
      <c r="BG2697" s="3" t="s">
        <v>26074</v>
      </c>
    </row>
    <row r="2698" spans="1:59" ht="58" x14ac:dyDescent="0.35">
      <c r="A2698" s="2" t="s">
        <v>89</v>
      </c>
      <c r="B2698" s="2" t="s">
        <v>90</v>
      </c>
      <c r="C2698" s="2" t="s">
        <v>26075</v>
      </c>
      <c r="D2698" s="2" t="s">
        <v>26076</v>
      </c>
      <c r="E2698" s="2" t="s">
        <v>26077</v>
      </c>
      <c r="G2698" s="3" t="s">
        <v>62</v>
      </c>
      <c r="I2698" s="3" t="s">
        <v>62</v>
      </c>
      <c r="J2698" s="3" t="s">
        <v>61</v>
      </c>
      <c r="K2698" s="3" t="s">
        <v>63</v>
      </c>
      <c r="L2698" s="2" t="s">
        <v>26078</v>
      </c>
      <c r="M2698" s="2" t="s">
        <v>26079</v>
      </c>
      <c r="N2698" s="3" t="s">
        <v>824</v>
      </c>
      <c r="P2698" s="3" t="s">
        <v>64</v>
      </c>
      <c r="R2698" s="3" t="s">
        <v>25645</v>
      </c>
      <c r="S2698" s="4">
        <v>39</v>
      </c>
      <c r="T2698" s="4">
        <v>39</v>
      </c>
      <c r="U2698" s="5" t="s">
        <v>26080</v>
      </c>
      <c r="V2698" s="5" t="s">
        <v>26080</v>
      </c>
      <c r="W2698" s="5" t="s">
        <v>67</v>
      </c>
      <c r="X2698" s="5" t="s">
        <v>67</v>
      </c>
      <c r="Y2698" s="4">
        <v>414</v>
      </c>
      <c r="Z2698" s="4">
        <v>12</v>
      </c>
      <c r="AA2698" s="4">
        <v>35</v>
      </c>
      <c r="AB2698" s="4">
        <v>2</v>
      </c>
      <c r="AC2698" s="4">
        <v>3</v>
      </c>
      <c r="AD2698" s="4">
        <v>60</v>
      </c>
      <c r="AE2698" s="4">
        <v>106</v>
      </c>
      <c r="AF2698" s="4">
        <v>0</v>
      </c>
      <c r="AG2698" s="4">
        <v>1</v>
      </c>
      <c r="AH2698" s="4">
        <v>58</v>
      </c>
      <c r="AI2698" s="4">
        <v>95</v>
      </c>
      <c r="AJ2698" s="4">
        <v>5</v>
      </c>
      <c r="AK2698" s="4">
        <v>14</v>
      </c>
      <c r="AL2698" s="4">
        <v>32</v>
      </c>
      <c r="AM2698" s="4">
        <v>56</v>
      </c>
      <c r="AN2698" s="4">
        <v>0</v>
      </c>
      <c r="AO2698" s="4">
        <v>0</v>
      </c>
      <c r="AP2698" s="4">
        <v>6</v>
      </c>
      <c r="AQ2698" s="4">
        <v>17</v>
      </c>
      <c r="AR2698" s="3" t="s">
        <v>62</v>
      </c>
      <c r="AS2698" s="3" t="s">
        <v>62</v>
      </c>
      <c r="AT2698" s="3" t="s">
        <v>61</v>
      </c>
      <c r="AU2698" s="6" t="str">
        <f>HYPERLINK("http://catalog.hathitrust.org/Record/001475570","HathiTrust Record")</f>
        <v>HathiTrust Record</v>
      </c>
      <c r="AV2698" s="6" t="str">
        <f>HYPERLINK("http://mcgill.on.worldcat.org/oclc/844690","Catalog Record")</f>
        <v>Catalog Record</v>
      </c>
      <c r="AW2698" s="6" t="str">
        <f>HYPERLINK("http://www.worldcat.org/oclc/844690","WorldCat Record")</f>
        <v>WorldCat Record</v>
      </c>
      <c r="AX2698" s="3" t="s">
        <v>26081</v>
      </c>
      <c r="AY2698" s="3" t="s">
        <v>26082</v>
      </c>
      <c r="AZ2698" s="3" t="s">
        <v>26083</v>
      </c>
      <c r="BA2698" s="3" t="s">
        <v>26083</v>
      </c>
      <c r="BB2698" s="3" t="s">
        <v>26084</v>
      </c>
      <c r="BC2698" s="3" t="s">
        <v>102</v>
      </c>
      <c r="BD2698" s="3" t="s">
        <v>68</v>
      </c>
      <c r="BF2698" s="3" t="s">
        <v>26084</v>
      </c>
      <c r="BG2698" s="3" t="s">
        <v>26085</v>
      </c>
    </row>
    <row r="2699" spans="1:59" ht="58" x14ac:dyDescent="0.35">
      <c r="A2699" s="2" t="s">
        <v>89</v>
      </c>
      <c r="B2699" s="2" t="s">
        <v>90</v>
      </c>
      <c r="C2699" s="2" t="s">
        <v>26086</v>
      </c>
      <c r="D2699" s="2" t="s">
        <v>26087</v>
      </c>
      <c r="E2699" s="2" t="s">
        <v>26088</v>
      </c>
      <c r="G2699" s="3" t="s">
        <v>62</v>
      </c>
      <c r="I2699" s="3" t="s">
        <v>62</v>
      </c>
      <c r="J2699" s="3" t="s">
        <v>61</v>
      </c>
      <c r="K2699" s="3" t="s">
        <v>63</v>
      </c>
      <c r="L2699" s="2" t="s">
        <v>26089</v>
      </c>
      <c r="M2699" s="2" t="s">
        <v>26090</v>
      </c>
      <c r="N2699" s="3" t="s">
        <v>186</v>
      </c>
      <c r="P2699" s="3" t="s">
        <v>64</v>
      </c>
      <c r="R2699" s="3" t="s">
        <v>25645</v>
      </c>
      <c r="S2699" s="4">
        <v>19</v>
      </c>
      <c r="T2699" s="4">
        <v>19</v>
      </c>
      <c r="U2699" s="5" t="s">
        <v>26091</v>
      </c>
      <c r="V2699" s="5" t="s">
        <v>26091</v>
      </c>
      <c r="W2699" s="5" t="s">
        <v>67</v>
      </c>
      <c r="X2699" s="5" t="s">
        <v>67</v>
      </c>
      <c r="Y2699" s="4">
        <v>256</v>
      </c>
      <c r="Z2699" s="4">
        <v>23</v>
      </c>
      <c r="AA2699" s="4">
        <v>92</v>
      </c>
      <c r="AB2699" s="4">
        <v>2</v>
      </c>
      <c r="AC2699" s="4">
        <v>15</v>
      </c>
      <c r="AD2699" s="4">
        <v>79</v>
      </c>
      <c r="AE2699" s="4">
        <v>152</v>
      </c>
      <c r="AF2699" s="4">
        <v>1</v>
      </c>
      <c r="AG2699" s="4">
        <v>8</v>
      </c>
      <c r="AH2699" s="4">
        <v>72</v>
      </c>
      <c r="AI2699" s="4">
        <v>114</v>
      </c>
      <c r="AJ2699" s="4">
        <v>16</v>
      </c>
      <c r="AK2699" s="4">
        <v>28</v>
      </c>
      <c r="AL2699" s="4">
        <v>39</v>
      </c>
      <c r="AM2699" s="4">
        <v>58</v>
      </c>
      <c r="AN2699" s="4">
        <v>5</v>
      </c>
      <c r="AO2699" s="4">
        <v>5</v>
      </c>
      <c r="AP2699" s="4">
        <v>18</v>
      </c>
      <c r="AQ2699" s="4">
        <v>48</v>
      </c>
      <c r="AR2699" s="3" t="s">
        <v>62</v>
      </c>
      <c r="AS2699" s="3" t="s">
        <v>62</v>
      </c>
      <c r="AT2699" s="3" t="s">
        <v>61</v>
      </c>
      <c r="AU2699" s="6" t="str">
        <f>HYPERLINK("http://catalog.hathitrust.org/Record/000042975","HathiTrust Record")</f>
        <v>HathiTrust Record</v>
      </c>
      <c r="AV2699" s="6" t="str">
        <f>HYPERLINK("http://mcgill.on.worldcat.org/oclc/3051589","Catalog Record")</f>
        <v>Catalog Record</v>
      </c>
      <c r="AW2699" s="6" t="str">
        <f>HYPERLINK("http://www.worldcat.org/oclc/3051589","WorldCat Record")</f>
        <v>WorldCat Record</v>
      </c>
      <c r="AX2699" s="3" t="s">
        <v>26092</v>
      </c>
      <c r="AY2699" s="3" t="s">
        <v>26093</v>
      </c>
      <c r="AZ2699" s="3" t="s">
        <v>26094</v>
      </c>
      <c r="BA2699" s="3" t="s">
        <v>26094</v>
      </c>
      <c r="BB2699" s="3" t="s">
        <v>26095</v>
      </c>
      <c r="BC2699" s="3" t="s">
        <v>102</v>
      </c>
      <c r="BD2699" s="3" t="s">
        <v>68</v>
      </c>
      <c r="BE2699" s="3" t="s">
        <v>26096</v>
      </c>
      <c r="BF2699" s="3" t="s">
        <v>26095</v>
      </c>
      <c r="BG2699" s="3" t="s">
        <v>26097</v>
      </c>
    </row>
    <row r="2700" spans="1:59" ht="58" x14ac:dyDescent="0.35">
      <c r="A2700" s="2" t="s">
        <v>89</v>
      </c>
      <c r="B2700" s="2" t="s">
        <v>90</v>
      </c>
      <c r="C2700" s="2" t="s">
        <v>26098</v>
      </c>
      <c r="D2700" s="2" t="s">
        <v>26099</v>
      </c>
      <c r="E2700" s="2" t="s">
        <v>26100</v>
      </c>
      <c r="G2700" s="3" t="s">
        <v>62</v>
      </c>
      <c r="I2700" s="3" t="s">
        <v>62</v>
      </c>
      <c r="J2700" s="3" t="s">
        <v>61</v>
      </c>
      <c r="K2700" s="3" t="s">
        <v>63</v>
      </c>
      <c r="L2700" s="2" t="s">
        <v>26089</v>
      </c>
      <c r="M2700" s="2" t="s">
        <v>26101</v>
      </c>
      <c r="N2700" s="3" t="s">
        <v>2588</v>
      </c>
      <c r="P2700" s="3" t="s">
        <v>64</v>
      </c>
      <c r="R2700" s="3" t="s">
        <v>25645</v>
      </c>
      <c r="S2700" s="4">
        <v>21</v>
      </c>
      <c r="T2700" s="4">
        <v>21</v>
      </c>
      <c r="U2700" s="5" t="s">
        <v>26080</v>
      </c>
      <c r="V2700" s="5" t="s">
        <v>26080</v>
      </c>
      <c r="W2700" s="5" t="s">
        <v>67</v>
      </c>
      <c r="X2700" s="5" t="s">
        <v>67</v>
      </c>
      <c r="Y2700" s="4">
        <v>246</v>
      </c>
      <c r="Z2700" s="4">
        <v>12</v>
      </c>
      <c r="AA2700" s="4">
        <v>92</v>
      </c>
      <c r="AB2700" s="4">
        <v>1</v>
      </c>
      <c r="AC2700" s="4">
        <v>15</v>
      </c>
      <c r="AD2700" s="4">
        <v>70</v>
      </c>
      <c r="AE2700" s="4">
        <v>152</v>
      </c>
      <c r="AF2700" s="4">
        <v>0</v>
      </c>
      <c r="AG2700" s="4">
        <v>8</v>
      </c>
      <c r="AH2700" s="4">
        <v>63</v>
      </c>
      <c r="AI2700" s="4">
        <v>114</v>
      </c>
      <c r="AJ2700" s="4">
        <v>7</v>
      </c>
      <c r="AK2700" s="4">
        <v>28</v>
      </c>
      <c r="AL2700" s="4">
        <v>34</v>
      </c>
      <c r="AM2700" s="4">
        <v>58</v>
      </c>
      <c r="AN2700" s="4">
        <v>0</v>
      </c>
      <c r="AO2700" s="4">
        <v>5</v>
      </c>
      <c r="AP2700" s="4">
        <v>9</v>
      </c>
      <c r="AQ2700" s="4">
        <v>48</v>
      </c>
      <c r="AR2700" s="3" t="s">
        <v>62</v>
      </c>
      <c r="AS2700" s="3" t="s">
        <v>62</v>
      </c>
      <c r="AT2700" s="3" t="s">
        <v>61</v>
      </c>
      <c r="AU2700" s="6" t="str">
        <f>HYPERLINK("http://catalog.hathitrust.org/Record/000722284","HathiTrust Record")</f>
        <v>HathiTrust Record</v>
      </c>
      <c r="AV2700" s="6" t="str">
        <f>HYPERLINK("http://mcgill.on.worldcat.org/oclc/2860325","Catalog Record")</f>
        <v>Catalog Record</v>
      </c>
      <c r="AW2700" s="6" t="str">
        <f>HYPERLINK("http://www.worldcat.org/oclc/2860325","WorldCat Record")</f>
        <v>WorldCat Record</v>
      </c>
      <c r="AX2700" s="3" t="s">
        <v>26092</v>
      </c>
      <c r="AY2700" s="3" t="s">
        <v>26102</v>
      </c>
      <c r="AZ2700" s="3" t="s">
        <v>26103</v>
      </c>
      <c r="BA2700" s="3" t="s">
        <v>26103</v>
      </c>
      <c r="BB2700" s="3" t="s">
        <v>26104</v>
      </c>
      <c r="BC2700" s="3" t="s">
        <v>102</v>
      </c>
      <c r="BD2700" s="3" t="s">
        <v>68</v>
      </c>
      <c r="BE2700" s="3" t="s">
        <v>26105</v>
      </c>
      <c r="BF2700" s="3" t="s">
        <v>26104</v>
      </c>
      <c r="BG2700" s="3" t="s">
        <v>26106</v>
      </c>
    </row>
    <row r="2701" spans="1:59" ht="58" x14ac:dyDescent="0.35">
      <c r="A2701" s="2" t="s">
        <v>89</v>
      </c>
      <c r="B2701" s="2" t="s">
        <v>90</v>
      </c>
      <c r="C2701" s="2" t="s">
        <v>26107</v>
      </c>
      <c r="D2701" s="2" t="s">
        <v>26108</v>
      </c>
      <c r="E2701" s="2" t="s">
        <v>26109</v>
      </c>
      <c r="G2701" s="3" t="s">
        <v>62</v>
      </c>
      <c r="I2701" s="3" t="s">
        <v>62</v>
      </c>
      <c r="J2701" s="3" t="s">
        <v>62</v>
      </c>
      <c r="K2701" s="3" t="s">
        <v>63</v>
      </c>
      <c r="L2701" s="2" t="s">
        <v>26089</v>
      </c>
      <c r="M2701" s="2" t="s">
        <v>26110</v>
      </c>
      <c r="N2701" s="3" t="s">
        <v>524</v>
      </c>
      <c r="P2701" s="3" t="s">
        <v>64</v>
      </c>
      <c r="Q2701" s="2" t="s">
        <v>26111</v>
      </c>
      <c r="R2701" s="3" t="s">
        <v>25645</v>
      </c>
      <c r="S2701" s="4">
        <v>20</v>
      </c>
      <c r="T2701" s="4">
        <v>20</v>
      </c>
      <c r="U2701" s="5" t="s">
        <v>66</v>
      </c>
      <c r="V2701" s="5" t="s">
        <v>66</v>
      </c>
      <c r="W2701" s="5" t="s">
        <v>67</v>
      </c>
      <c r="X2701" s="5" t="s">
        <v>67</v>
      </c>
      <c r="Y2701" s="4">
        <v>140</v>
      </c>
      <c r="Z2701" s="4">
        <v>13</v>
      </c>
      <c r="AA2701" s="4">
        <v>13</v>
      </c>
      <c r="AB2701" s="4">
        <v>1</v>
      </c>
      <c r="AC2701" s="4">
        <v>1</v>
      </c>
      <c r="AD2701" s="4">
        <v>32</v>
      </c>
      <c r="AE2701" s="4">
        <v>32</v>
      </c>
      <c r="AF2701" s="4">
        <v>0</v>
      </c>
      <c r="AG2701" s="4">
        <v>0</v>
      </c>
      <c r="AH2701" s="4">
        <v>25</v>
      </c>
      <c r="AI2701" s="4">
        <v>25</v>
      </c>
      <c r="AJ2701" s="4">
        <v>4</v>
      </c>
      <c r="AK2701" s="4">
        <v>4</v>
      </c>
      <c r="AL2701" s="4">
        <v>16</v>
      </c>
      <c r="AM2701" s="4">
        <v>16</v>
      </c>
      <c r="AN2701" s="4">
        <v>0</v>
      </c>
      <c r="AO2701" s="4">
        <v>0</v>
      </c>
      <c r="AP2701" s="4">
        <v>5</v>
      </c>
      <c r="AQ2701" s="4">
        <v>5</v>
      </c>
      <c r="AR2701" s="3" t="s">
        <v>61</v>
      </c>
      <c r="AS2701" s="3" t="s">
        <v>62</v>
      </c>
      <c r="AT2701" s="3" t="s">
        <v>62</v>
      </c>
      <c r="AV2701" s="6" t="str">
        <f>HYPERLINK("http://mcgill.on.worldcat.org/oclc/34669081","Catalog Record")</f>
        <v>Catalog Record</v>
      </c>
      <c r="AW2701" s="6" t="str">
        <f>HYPERLINK("http://www.worldcat.org/oclc/34669081","WorldCat Record")</f>
        <v>WorldCat Record</v>
      </c>
      <c r="AX2701" s="3" t="s">
        <v>26112</v>
      </c>
      <c r="AY2701" s="3" t="s">
        <v>26113</v>
      </c>
      <c r="AZ2701" s="3" t="s">
        <v>26114</v>
      </c>
      <c r="BA2701" s="3" t="s">
        <v>26114</v>
      </c>
      <c r="BB2701" s="3" t="s">
        <v>26115</v>
      </c>
      <c r="BC2701" s="3" t="s">
        <v>102</v>
      </c>
      <c r="BD2701" s="3" t="s">
        <v>68</v>
      </c>
      <c r="BE2701" s="3" t="s">
        <v>26116</v>
      </c>
      <c r="BF2701" s="3" t="s">
        <v>26115</v>
      </c>
      <c r="BG2701" s="3" t="s">
        <v>26117</v>
      </c>
    </row>
    <row r="2702" spans="1:59" ht="58" x14ac:dyDescent="0.35">
      <c r="A2702" s="2" t="s">
        <v>89</v>
      </c>
      <c r="B2702" s="2" t="s">
        <v>90</v>
      </c>
      <c r="C2702" s="2" t="s">
        <v>26118</v>
      </c>
      <c r="D2702" s="2" t="s">
        <v>26119</v>
      </c>
      <c r="E2702" s="2" t="s">
        <v>26120</v>
      </c>
      <c r="G2702" s="3" t="s">
        <v>62</v>
      </c>
      <c r="I2702" s="3" t="s">
        <v>62</v>
      </c>
      <c r="J2702" s="3" t="s">
        <v>61</v>
      </c>
      <c r="K2702" s="3" t="s">
        <v>63</v>
      </c>
      <c r="L2702" s="2" t="s">
        <v>26121</v>
      </c>
      <c r="M2702" s="2" t="s">
        <v>26122</v>
      </c>
      <c r="N2702" s="3" t="s">
        <v>2085</v>
      </c>
      <c r="P2702" s="3" t="s">
        <v>64</v>
      </c>
      <c r="Q2702" s="2" t="s">
        <v>26123</v>
      </c>
      <c r="R2702" s="3" t="s">
        <v>25645</v>
      </c>
      <c r="S2702" s="4">
        <v>1</v>
      </c>
      <c r="T2702" s="4">
        <v>1</v>
      </c>
      <c r="U2702" s="5" t="s">
        <v>12876</v>
      </c>
      <c r="V2702" s="5" t="s">
        <v>12876</v>
      </c>
      <c r="W2702" s="5" t="s">
        <v>67</v>
      </c>
      <c r="X2702" s="5" t="s">
        <v>67</v>
      </c>
      <c r="Y2702" s="4">
        <v>78</v>
      </c>
      <c r="Z2702" s="4">
        <v>9</v>
      </c>
      <c r="AA2702" s="4">
        <v>92</v>
      </c>
      <c r="AB2702" s="4">
        <v>2</v>
      </c>
      <c r="AC2702" s="4">
        <v>15</v>
      </c>
      <c r="AD2702" s="4">
        <v>44</v>
      </c>
      <c r="AE2702" s="4">
        <v>152</v>
      </c>
      <c r="AF2702" s="4">
        <v>1</v>
      </c>
      <c r="AG2702" s="4">
        <v>8</v>
      </c>
      <c r="AH2702" s="4">
        <v>38</v>
      </c>
      <c r="AI2702" s="4">
        <v>114</v>
      </c>
      <c r="AJ2702" s="4">
        <v>7</v>
      </c>
      <c r="AK2702" s="4">
        <v>28</v>
      </c>
      <c r="AL2702" s="4">
        <v>28</v>
      </c>
      <c r="AM2702" s="4">
        <v>58</v>
      </c>
      <c r="AN2702" s="4">
        <v>0</v>
      </c>
      <c r="AO2702" s="4">
        <v>5</v>
      </c>
      <c r="AP2702" s="4">
        <v>6</v>
      </c>
      <c r="AQ2702" s="4">
        <v>48</v>
      </c>
      <c r="AR2702" s="3" t="s">
        <v>61</v>
      </c>
      <c r="AS2702" s="3" t="s">
        <v>62</v>
      </c>
      <c r="AT2702" s="3" t="s">
        <v>62</v>
      </c>
      <c r="AV2702" s="6" t="str">
        <f>HYPERLINK("http://mcgill.on.worldcat.org/oclc/1027034426","Catalog Record")</f>
        <v>Catalog Record</v>
      </c>
      <c r="AW2702" s="6" t="str">
        <f>HYPERLINK("http://www.worldcat.org/oclc/1027034426","WorldCat Record")</f>
        <v>WorldCat Record</v>
      </c>
      <c r="AX2702" s="3" t="s">
        <v>26092</v>
      </c>
      <c r="AY2702" s="3" t="s">
        <v>26124</v>
      </c>
      <c r="AZ2702" s="3" t="s">
        <v>26125</v>
      </c>
      <c r="BA2702" s="3" t="s">
        <v>26125</v>
      </c>
      <c r="BB2702" s="3" t="s">
        <v>26126</v>
      </c>
      <c r="BC2702" s="3" t="s">
        <v>102</v>
      </c>
      <c r="BD2702" s="3" t="s">
        <v>68</v>
      </c>
      <c r="BE2702" s="3" t="s">
        <v>26127</v>
      </c>
      <c r="BF2702" s="3" t="s">
        <v>26126</v>
      </c>
      <c r="BG2702" s="3" t="s">
        <v>26128</v>
      </c>
    </row>
    <row r="2703" spans="1:59" ht="72.5" x14ac:dyDescent="0.35">
      <c r="A2703" s="2" t="s">
        <v>89</v>
      </c>
      <c r="B2703" s="2" t="s">
        <v>90</v>
      </c>
      <c r="C2703" s="2" t="s">
        <v>26129</v>
      </c>
      <c r="D2703" s="2" t="s">
        <v>26130</v>
      </c>
      <c r="E2703" s="2" t="s">
        <v>26131</v>
      </c>
      <c r="F2703" s="3" t="s">
        <v>2217</v>
      </c>
      <c r="G2703" s="3" t="s">
        <v>61</v>
      </c>
      <c r="I2703" s="3" t="s">
        <v>62</v>
      </c>
      <c r="J2703" s="3" t="s">
        <v>62</v>
      </c>
      <c r="K2703" s="3" t="s">
        <v>63</v>
      </c>
      <c r="L2703" s="2" t="s">
        <v>26132</v>
      </c>
      <c r="M2703" s="2" t="s">
        <v>26133</v>
      </c>
      <c r="N2703" s="3" t="s">
        <v>866</v>
      </c>
      <c r="P2703" s="3" t="s">
        <v>64</v>
      </c>
      <c r="Q2703" s="2" t="s">
        <v>26134</v>
      </c>
      <c r="R2703" s="3" t="s">
        <v>25645</v>
      </c>
      <c r="S2703" s="4">
        <v>0</v>
      </c>
      <c r="T2703" s="4">
        <v>6</v>
      </c>
      <c r="V2703" s="5" t="s">
        <v>2164</v>
      </c>
      <c r="W2703" s="5" t="s">
        <v>67</v>
      </c>
      <c r="X2703" s="5" t="s">
        <v>67</v>
      </c>
      <c r="Y2703" s="4">
        <v>65</v>
      </c>
      <c r="Z2703" s="4">
        <v>11</v>
      </c>
      <c r="AA2703" s="4">
        <v>11</v>
      </c>
      <c r="AB2703" s="4">
        <v>1</v>
      </c>
      <c r="AC2703" s="4">
        <v>1</v>
      </c>
      <c r="AD2703" s="4">
        <v>40</v>
      </c>
      <c r="AE2703" s="4">
        <v>41</v>
      </c>
      <c r="AF2703" s="4">
        <v>0</v>
      </c>
      <c r="AG2703" s="4">
        <v>0</v>
      </c>
      <c r="AH2703" s="4">
        <v>35</v>
      </c>
      <c r="AI2703" s="4">
        <v>36</v>
      </c>
      <c r="AJ2703" s="4">
        <v>7</v>
      </c>
      <c r="AK2703" s="4">
        <v>7</v>
      </c>
      <c r="AL2703" s="4">
        <v>27</v>
      </c>
      <c r="AM2703" s="4">
        <v>28</v>
      </c>
      <c r="AN2703" s="4">
        <v>0</v>
      </c>
      <c r="AO2703" s="4">
        <v>0</v>
      </c>
      <c r="AP2703" s="4">
        <v>7</v>
      </c>
      <c r="AQ2703" s="4">
        <v>7</v>
      </c>
      <c r="AR2703" s="3" t="s">
        <v>62</v>
      </c>
      <c r="AS2703" s="3" t="s">
        <v>62</v>
      </c>
      <c r="AT2703" s="3" t="s">
        <v>61</v>
      </c>
      <c r="AU2703" s="6" t="str">
        <f>HYPERLINK("http://catalog.hathitrust.org/Record/006200277","HathiTrust Record")</f>
        <v>HathiTrust Record</v>
      </c>
      <c r="AV2703" s="6" t="str">
        <f>HYPERLINK("http://mcgill.on.worldcat.org/oclc/896316","Catalog Record")</f>
        <v>Catalog Record</v>
      </c>
      <c r="AW2703" s="6" t="str">
        <f>HYPERLINK("http://www.worldcat.org/oclc/896316","WorldCat Record")</f>
        <v>WorldCat Record</v>
      </c>
      <c r="AX2703" s="3" t="s">
        <v>26135</v>
      </c>
      <c r="AY2703" s="3" t="s">
        <v>26136</v>
      </c>
      <c r="AZ2703" s="3" t="s">
        <v>26137</v>
      </c>
      <c r="BA2703" s="3" t="s">
        <v>26137</v>
      </c>
      <c r="BB2703" s="3" t="s">
        <v>26138</v>
      </c>
      <c r="BC2703" s="3" t="s">
        <v>102</v>
      </c>
      <c r="BD2703" s="3" t="s">
        <v>68</v>
      </c>
      <c r="BF2703" s="3" t="s">
        <v>26138</v>
      </c>
      <c r="BG2703" s="3" t="s">
        <v>26139</v>
      </c>
    </row>
    <row r="2704" spans="1:59" ht="72.5" x14ac:dyDescent="0.35">
      <c r="A2704" s="2" t="s">
        <v>89</v>
      </c>
      <c r="B2704" s="2" t="s">
        <v>90</v>
      </c>
      <c r="C2704" s="2" t="s">
        <v>26129</v>
      </c>
      <c r="D2704" s="2" t="s">
        <v>26130</v>
      </c>
      <c r="E2704" s="2" t="s">
        <v>26131</v>
      </c>
      <c r="F2704" s="3" t="s">
        <v>2248</v>
      </c>
      <c r="G2704" s="3" t="s">
        <v>61</v>
      </c>
      <c r="I2704" s="3" t="s">
        <v>62</v>
      </c>
      <c r="J2704" s="3" t="s">
        <v>62</v>
      </c>
      <c r="K2704" s="3" t="s">
        <v>63</v>
      </c>
      <c r="L2704" s="2" t="s">
        <v>26132</v>
      </c>
      <c r="M2704" s="2" t="s">
        <v>26133</v>
      </c>
      <c r="N2704" s="3" t="s">
        <v>866</v>
      </c>
      <c r="P2704" s="3" t="s">
        <v>64</v>
      </c>
      <c r="Q2704" s="2" t="s">
        <v>26134</v>
      </c>
      <c r="R2704" s="3" t="s">
        <v>25645</v>
      </c>
      <c r="S2704" s="4">
        <v>5</v>
      </c>
      <c r="T2704" s="4">
        <v>6</v>
      </c>
      <c r="U2704" s="5" t="s">
        <v>2164</v>
      </c>
      <c r="V2704" s="5" t="s">
        <v>2164</v>
      </c>
      <c r="W2704" s="5" t="s">
        <v>67</v>
      </c>
      <c r="X2704" s="5" t="s">
        <v>67</v>
      </c>
      <c r="Y2704" s="4">
        <v>65</v>
      </c>
      <c r="Z2704" s="4">
        <v>11</v>
      </c>
      <c r="AA2704" s="4">
        <v>11</v>
      </c>
      <c r="AB2704" s="4">
        <v>1</v>
      </c>
      <c r="AC2704" s="4">
        <v>1</v>
      </c>
      <c r="AD2704" s="4">
        <v>40</v>
      </c>
      <c r="AE2704" s="4">
        <v>41</v>
      </c>
      <c r="AF2704" s="4">
        <v>0</v>
      </c>
      <c r="AG2704" s="4">
        <v>0</v>
      </c>
      <c r="AH2704" s="4">
        <v>35</v>
      </c>
      <c r="AI2704" s="4">
        <v>36</v>
      </c>
      <c r="AJ2704" s="4">
        <v>7</v>
      </c>
      <c r="AK2704" s="4">
        <v>7</v>
      </c>
      <c r="AL2704" s="4">
        <v>27</v>
      </c>
      <c r="AM2704" s="4">
        <v>28</v>
      </c>
      <c r="AN2704" s="4">
        <v>0</v>
      </c>
      <c r="AO2704" s="4">
        <v>0</v>
      </c>
      <c r="AP2704" s="4">
        <v>7</v>
      </c>
      <c r="AQ2704" s="4">
        <v>7</v>
      </c>
      <c r="AR2704" s="3" t="s">
        <v>62</v>
      </c>
      <c r="AS2704" s="3" t="s">
        <v>62</v>
      </c>
      <c r="AT2704" s="3" t="s">
        <v>61</v>
      </c>
      <c r="AU2704" s="6" t="str">
        <f>HYPERLINK("http://catalog.hathitrust.org/Record/006200277","HathiTrust Record")</f>
        <v>HathiTrust Record</v>
      </c>
      <c r="AV2704" s="6" t="str">
        <f>HYPERLINK("http://mcgill.on.worldcat.org/oclc/896316","Catalog Record")</f>
        <v>Catalog Record</v>
      </c>
      <c r="AW2704" s="6" t="str">
        <f>HYPERLINK("http://www.worldcat.org/oclc/896316","WorldCat Record")</f>
        <v>WorldCat Record</v>
      </c>
      <c r="AX2704" s="3" t="s">
        <v>26135</v>
      </c>
      <c r="AY2704" s="3" t="s">
        <v>26136</v>
      </c>
      <c r="AZ2704" s="3" t="s">
        <v>26137</v>
      </c>
      <c r="BA2704" s="3" t="s">
        <v>26137</v>
      </c>
      <c r="BB2704" s="3" t="s">
        <v>26140</v>
      </c>
      <c r="BC2704" s="3" t="s">
        <v>102</v>
      </c>
      <c r="BD2704" s="3" t="s">
        <v>68</v>
      </c>
      <c r="BF2704" s="3" t="s">
        <v>26140</v>
      </c>
      <c r="BG2704" s="3" t="s">
        <v>26141</v>
      </c>
    </row>
    <row r="2705" spans="1:59" ht="72.5" x14ac:dyDescent="0.35">
      <c r="A2705" s="2" t="s">
        <v>89</v>
      </c>
      <c r="B2705" s="2" t="s">
        <v>90</v>
      </c>
      <c r="C2705" s="2" t="s">
        <v>26129</v>
      </c>
      <c r="D2705" s="2" t="s">
        <v>26130</v>
      </c>
      <c r="E2705" s="2" t="s">
        <v>26131</v>
      </c>
      <c r="F2705" s="3" t="s">
        <v>2233</v>
      </c>
      <c r="G2705" s="3" t="s">
        <v>61</v>
      </c>
      <c r="I2705" s="3" t="s">
        <v>62</v>
      </c>
      <c r="J2705" s="3" t="s">
        <v>62</v>
      </c>
      <c r="K2705" s="3" t="s">
        <v>63</v>
      </c>
      <c r="L2705" s="2" t="s">
        <v>26132</v>
      </c>
      <c r="M2705" s="2" t="s">
        <v>26133</v>
      </c>
      <c r="N2705" s="3" t="s">
        <v>866</v>
      </c>
      <c r="P2705" s="3" t="s">
        <v>64</v>
      </c>
      <c r="Q2705" s="2" t="s">
        <v>26134</v>
      </c>
      <c r="R2705" s="3" t="s">
        <v>25645</v>
      </c>
      <c r="S2705" s="4">
        <v>0</v>
      </c>
      <c r="T2705" s="4">
        <v>6</v>
      </c>
      <c r="V2705" s="5" t="s">
        <v>2164</v>
      </c>
      <c r="W2705" s="5" t="s">
        <v>67</v>
      </c>
      <c r="X2705" s="5" t="s">
        <v>67</v>
      </c>
      <c r="Y2705" s="4">
        <v>65</v>
      </c>
      <c r="Z2705" s="4">
        <v>11</v>
      </c>
      <c r="AA2705" s="4">
        <v>11</v>
      </c>
      <c r="AB2705" s="4">
        <v>1</v>
      </c>
      <c r="AC2705" s="4">
        <v>1</v>
      </c>
      <c r="AD2705" s="4">
        <v>40</v>
      </c>
      <c r="AE2705" s="4">
        <v>41</v>
      </c>
      <c r="AF2705" s="4">
        <v>0</v>
      </c>
      <c r="AG2705" s="4">
        <v>0</v>
      </c>
      <c r="AH2705" s="4">
        <v>35</v>
      </c>
      <c r="AI2705" s="4">
        <v>36</v>
      </c>
      <c r="AJ2705" s="4">
        <v>7</v>
      </c>
      <c r="AK2705" s="4">
        <v>7</v>
      </c>
      <c r="AL2705" s="4">
        <v>27</v>
      </c>
      <c r="AM2705" s="4">
        <v>28</v>
      </c>
      <c r="AN2705" s="4">
        <v>0</v>
      </c>
      <c r="AO2705" s="4">
        <v>0</v>
      </c>
      <c r="AP2705" s="4">
        <v>7</v>
      </c>
      <c r="AQ2705" s="4">
        <v>7</v>
      </c>
      <c r="AR2705" s="3" t="s">
        <v>62</v>
      </c>
      <c r="AS2705" s="3" t="s">
        <v>62</v>
      </c>
      <c r="AT2705" s="3" t="s">
        <v>61</v>
      </c>
      <c r="AU2705" s="6" t="str">
        <f>HYPERLINK("http://catalog.hathitrust.org/Record/006200277","HathiTrust Record")</f>
        <v>HathiTrust Record</v>
      </c>
      <c r="AV2705" s="6" t="str">
        <f>HYPERLINK("http://mcgill.on.worldcat.org/oclc/896316","Catalog Record")</f>
        <v>Catalog Record</v>
      </c>
      <c r="AW2705" s="6" t="str">
        <f>HYPERLINK("http://www.worldcat.org/oclc/896316","WorldCat Record")</f>
        <v>WorldCat Record</v>
      </c>
      <c r="AX2705" s="3" t="s">
        <v>26135</v>
      </c>
      <c r="AY2705" s="3" t="s">
        <v>26136</v>
      </c>
      <c r="AZ2705" s="3" t="s">
        <v>26137</v>
      </c>
      <c r="BA2705" s="3" t="s">
        <v>26137</v>
      </c>
      <c r="BB2705" s="3" t="s">
        <v>26142</v>
      </c>
      <c r="BC2705" s="3" t="s">
        <v>102</v>
      </c>
      <c r="BD2705" s="3" t="s">
        <v>68</v>
      </c>
      <c r="BF2705" s="3" t="s">
        <v>26142</v>
      </c>
      <c r="BG2705" s="3" t="s">
        <v>26143</v>
      </c>
    </row>
    <row r="2706" spans="1:59" ht="72.5" x14ac:dyDescent="0.35">
      <c r="A2706" s="2" t="s">
        <v>89</v>
      </c>
      <c r="B2706" s="2" t="s">
        <v>90</v>
      </c>
      <c r="C2706" s="2" t="s">
        <v>26129</v>
      </c>
      <c r="D2706" s="2" t="s">
        <v>26130</v>
      </c>
      <c r="E2706" s="2" t="s">
        <v>26131</v>
      </c>
      <c r="F2706" s="3" t="s">
        <v>2214</v>
      </c>
      <c r="G2706" s="3" t="s">
        <v>61</v>
      </c>
      <c r="I2706" s="3" t="s">
        <v>62</v>
      </c>
      <c r="J2706" s="3" t="s">
        <v>62</v>
      </c>
      <c r="K2706" s="3" t="s">
        <v>63</v>
      </c>
      <c r="L2706" s="2" t="s">
        <v>26132</v>
      </c>
      <c r="M2706" s="2" t="s">
        <v>26133</v>
      </c>
      <c r="N2706" s="3" t="s">
        <v>866</v>
      </c>
      <c r="P2706" s="3" t="s">
        <v>64</v>
      </c>
      <c r="Q2706" s="2" t="s">
        <v>26134</v>
      </c>
      <c r="R2706" s="3" t="s">
        <v>25645</v>
      </c>
      <c r="S2706" s="4">
        <v>1</v>
      </c>
      <c r="T2706" s="4">
        <v>6</v>
      </c>
      <c r="U2706" s="5" t="s">
        <v>26144</v>
      </c>
      <c r="V2706" s="5" t="s">
        <v>2164</v>
      </c>
      <c r="W2706" s="5" t="s">
        <v>67</v>
      </c>
      <c r="X2706" s="5" t="s">
        <v>67</v>
      </c>
      <c r="Y2706" s="4">
        <v>65</v>
      </c>
      <c r="Z2706" s="4">
        <v>11</v>
      </c>
      <c r="AA2706" s="4">
        <v>11</v>
      </c>
      <c r="AB2706" s="4">
        <v>1</v>
      </c>
      <c r="AC2706" s="4">
        <v>1</v>
      </c>
      <c r="AD2706" s="4">
        <v>40</v>
      </c>
      <c r="AE2706" s="4">
        <v>41</v>
      </c>
      <c r="AF2706" s="4">
        <v>0</v>
      </c>
      <c r="AG2706" s="4">
        <v>0</v>
      </c>
      <c r="AH2706" s="4">
        <v>35</v>
      </c>
      <c r="AI2706" s="4">
        <v>36</v>
      </c>
      <c r="AJ2706" s="4">
        <v>7</v>
      </c>
      <c r="AK2706" s="4">
        <v>7</v>
      </c>
      <c r="AL2706" s="4">
        <v>27</v>
      </c>
      <c r="AM2706" s="4">
        <v>28</v>
      </c>
      <c r="AN2706" s="4">
        <v>0</v>
      </c>
      <c r="AO2706" s="4">
        <v>0</v>
      </c>
      <c r="AP2706" s="4">
        <v>7</v>
      </c>
      <c r="AQ2706" s="4">
        <v>7</v>
      </c>
      <c r="AR2706" s="3" t="s">
        <v>62</v>
      </c>
      <c r="AS2706" s="3" t="s">
        <v>62</v>
      </c>
      <c r="AT2706" s="3" t="s">
        <v>61</v>
      </c>
      <c r="AU2706" s="6" t="str">
        <f>HYPERLINK("http://catalog.hathitrust.org/Record/006200277","HathiTrust Record")</f>
        <v>HathiTrust Record</v>
      </c>
      <c r="AV2706" s="6" t="str">
        <f>HYPERLINK("http://mcgill.on.worldcat.org/oclc/896316","Catalog Record")</f>
        <v>Catalog Record</v>
      </c>
      <c r="AW2706" s="6" t="str">
        <f>HYPERLINK("http://www.worldcat.org/oclc/896316","WorldCat Record")</f>
        <v>WorldCat Record</v>
      </c>
      <c r="AX2706" s="3" t="s">
        <v>26135</v>
      </c>
      <c r="AY2706" s="3" t="s">
        <v>26136</v>
      </c>
      <c r="AZ2706" s="3" t="s">
        <v>26137</v>
      </c>
      <c r="BA2706" s="3" t="s">
        <v>26137</v>
      </c>
      <c r="BB2706" s="3" t="s">
        <v>26145</v>
      </c>
      <c r="BC2706" s="3" t="s">
        <v>102</v>
      </c>
      <c r="BD2706" s="3" t="s">
        <v>68</v>
      </c>
      <c r="BF2706" s="3" t="s">
        <v>26145</v>
      </c>
      <c r="BG2706" s="3" t="s">
        <v>26146</v>
      </c>
    </row>
    <row r="2707" spans="1:59" ht="58" x14ac:dyDescent="0.35">
      <c r="A2707" s="2" t="s">
        <v>89</v>
      </c>
      <c r="B2707" s="2" t="s">
        <v>90</v>
      </c>
      <c r="C2707" s="2" t="s">
        <v>26147</v>
      </c>
      <c r="D2707" s="2" t="s">
        <v>26148</v>
      </c>
      <c r="E2707" s="2" t="s">
        <v>26149</v>
      </c>
      <c r="G2707" s="3" t="s">
        <v>62</v>
      </c>
      <c r="I2707" s="3" t="s">
        <v>61</v>
      </c>
      <c r="J2707" s="3" t="s">
        <v>62</v>
      </c>
      <c r="K2707" s="3" t="s">
        <v>63</v>
      </c>
      <c r="L2707" s="2" t="s">
        <v>25643</v>
      </c>
      <c r="M2707" s="2" t="s">
        <v>26150</v>
      </c>
      <c r="N2707" s="3" t="s">
        <v>2445</v>
      </c>
      <c r="P2707" s="3" t="s">
        <v>64</v>
      </c>
      <c r="R2707" s="3" t="s">
        <v>25645</v>
      </c>
      <c r="S2707" s="4">
        <v>41</v>
      </c>
      <c r="T2707" s="4">
        <v>49</v>
      </c>
      <c r="U2707" s="5" t="s">
        <v>26151</v>
      </c>
      <c r="V2707" s="5" t="s">
        <v>6542</v>
      </c>
      <c r="W2707" s="5" t="s">
        <v>67</v>
      </c>
      <c r="X2707" s="5" t="s">
        <v>67</v>
      </c>
      <c r="Y2707" s="4">
        <v>391</v>
      </c>
      <c r="Z2707" s="4">
        <v>13</v>
      </c>
      <c r="AA2707" s="4">
        <v>36</v>
      </c>
      <c r="AB2707" s="4">
        <v>1</v>
      </c>
      <c r="AC2707" s="4">
        <v>7</v>
      </c>
      <c r="AD2707" s="4">
        <v>74</v>
      </c>
      <c r="AE2707" s="4">
        <v>123</v>
      </c>
      <c r="AF2707" s="4">
        <v>0</v>
      </c>
      <c r="AG2707" s="4">
        <v>5</v>
      </c>
      <c r="AH2707" s="4">
        <v>69</v>
      </c>
      <c r="AI2707" s="4">
        <v>106</v>
      </c>
      <c r="AJ2707" s="4">
        <v>9</v>
      </c>
      <c r="AK2707" s="4">
        <v>20</v>
      </c>
      <c r="AL2707" s="4">
        <v>38</v>
      </c>
      <c r="AM2707" s="4">
        <v>54</v>
      </c>
      <c r="AN2707" s="4">
        <v>0</v>
      </c>
      <c r="AO2707" s="4">
        <v>0</v>
      </c>
      <c r="AP2707" s="4">
        <v>11</v>
      </c>
      <c r="AQ2707" s="4">
        <v>28</v>
      </c>
      <c r="AR2707" s="3" t="s">
        <v>62</v>
      </c>
      <c r="AS2707" s="3" t="s">
        <v>62</v>
      </c>
      <c r="AT2707" s="3" t="s">
        <v>62</v>
      </c>
      <c r="AU2707" s="6" t="str">
        <f>HYPERLINK("http://catalog.hathitrust.org/Record/006055502","HathiTrust Record")</f>
        <v>HathiTrust Record</v>
      </c>
      <c r="AV2707" s="6" t="str">
        <f>HYPERLINK("http://mcgill.on.worldcat.org/oclc/530430","Catalog Record")</f>
        <v>Catalog Record</v>
      </c>
      <c r="AW2707" s="6" t="str">
        <f>HYPERLINK("http://www.worldcat.org/oclc/530430","WorldCat Record")</f>
        <v>WorldCat Record</v>
      </c>
      <c r="AX2707" s="3" t="s">
        <v>26152</v>
      </c>
      <c r="AY2707" s="3" t="s">
        <v>26153</v>
      </c>
      <c r="AZ2707" s="3" t="s">
        <v>26154</v>
      </c>
      <c r="BA2707" s="3" t="s">
        <v>26154</v>
      </c>
      <c r="BB2707" s="3" t="s">
        <v>26155</v>
      </c>
      <c r="BC2707" s="3" t="s">
        <v>102</v>
      </c>
      <c r="BD2707" s="3" t="s">
        <v>68</v>
      </c>
      <c r="BF2707" s="3" t="s">
        <v>26155</v>
      </c>
      <c r="BG2707" s="3" t="s">
        <v>26156</v>
      </c>
    </row>
    <row r="2708" spans="1:59" ht="58" x14ac:dyDescent="0.35">
      <c r="A2708" s="2" t="s">
        <v>89</v>
      </c>
      <c r="B2708" s="2" t="s">
        <v>90</v>
      </c>
      <c r="C2708" s="2" t="s">
        <v>26157</v>
      </c>
      <c r="D2708" s="2" t="s">
        <v>26158</v>
      </c>
      <c r="E2708" s="2" t="s">
        <v>26159</v>
      </c>
      <c r="G2708" s="3" t="s">
        <v>62</v>
      </c>
      <c r="I2708" s="3" t="s">
        <v>62</v>
      </c>
      <c r="J2708" s="3" t="s">
        <v>62</v>
      </c>
      <c r="K2708" s="3" t="s">
        <v>63</v>
      </c>
      <c r="L2708" s="2" t="s">
        <v>25643</v>
      </c>
      <c r="M2708" s="2" t="s">
        <v>26160</v>
      </c>
      <c r="N2708" s="3" t="s">
        <v>1576</v>
      </c>
      <c r="O2708" s="2" t="s">
        <v>2849</v>
      </c>
      <c r="P2708" s="3" t="s">
        <v>64</v>
      </c>
      <c r="Q2708" s="2" t="s">
        <v>26161</v>
      </c>
      <c r="R2708" s="3" t="s">
        <v>25645</v>
      </c>
      <c r="S2708" s="4">
        <v>19</v>
      </c>
      <c r="T2708" s="4">
        <v>19</v>
      </c>
      <c r="U2708" s="5" t="s">
        <v>26162</v>
      </c>
      <c r="V2708" s="5" t="s">
        <v>26162</v>
      </c>
      <c r="W2708" s="5" t="s">
        <v>67</v>
      </c>
      <c r="X2708" s="5" t="s">
        <v>67</v>
      </c>
      <c r="Y2708" s="4">
        <v>495</v>
      </c>
      <c r="Z2708" s="4">
        <v>12</v>
      </c>
      <c r="AA2708" s="4">
        <v>16</v>
      </c>
      <c r="AB2708" s="4">
        <v>2</v>
      </c>
      <c r="AC2708" s="4">
        <v>4</v>
      </c>
      <c r="AD2708" s="4">
        <v>77</v>
      </c>
      <c r="AE2708" s="4">
        <v>82</v>
      </c>
      <c r="AF2708" s="4">
        <v>1</v>
      </c>
      <c r="AG2708" s="4">
        <v>1</v>
      </c>
      <c r="AH2708" s="4">
        <v>67</v>
      </c>
      <c r="AI2708" s="4">
        <v>71</v>
      </c>
      <c r="AJ2708" s="4">
        <v>7</v>
      </c>
      <c r="AK2708" s="4">
        <v>8</v>
      </c>
      <c r="AL2708" s="4">
        <v>42</v>
      </c>
      <c r="AM2708" s="4">
        <v>45</v>
      </c>
      <c r="AN2708" s="4">
        <v>5</v>
      </c>
      <c r="AO2708" s="4">
        <v>5</v>
      </c>
      <c r="AP2708" s="4">
        <v>10</v>
      </c>
      <c r="AQ2708" s="4">
        <v>11</v>
      </c>
      <c r="AR2708" s="3" t="s">
        <v>62</v>
      </c>
      <c r="AS2708" s="3" t="s">
        <v>62</v>
      </c>
      <c r="AT2708" s="3" t="s">
        <v>61</v>
      </c>
      <c r="AU2708" s="6" t="str">
        <f>HYPERLINK("http://catalog.hathitrust.org/Record/009365275","HathiTrust Record")</f>
        <v>HathiTrust Record</v>
      </c>
      <c r="AV2708" s="6" t="str">
        <f>HYPERLINK("http://mcgill.on.worldcat.org/oclc/11815718","Catalog Record")</f>
        <v>Catalog Record</v>
      </c>
      <c r="AW2708" s="6" t="str">
        <f>HYPERLINK("http://www.worldcat.org/oclc/11815718","WorldCat Record")</f>
        <v>WorldCat Record</v>
      </c>
      <c r="AX2708" s="3" t="s">
        <v>26163</v>
      </c>
      <c r="AY2708" s="3" t="s">
        <v>26164</v>
      </c>
      <c r="AZ2708" s="3" t="s">
        <v>26165</v>
      </c>
      <c r="BA2708" s="3" t="s">
        <v>26165</v>
      </c>
      <c r="BB2708" s="3" t="s">
        <v>26166</v>
      </c>
      <c r="BC2708" s="3" t="s">
        <v>102</v>
      </c>
      <c r="BD2708" s="3" t="s">
        <v>68</v>
      </c>
      <c r="BF2708" s="3" t="s">
        <v>26166</v>
      </c>
      <c r="BG2708" s="3" t="s">
        <v>26167</v>
      </c>
    </row>
    <row r="2709" spans="1:59" ht="58" x14ac:dyDescent="0.35">
      <c r="A2709" s="2" t="s">
        <v>89</v>
      </c>
      <c r="B2709" s="2" t="s">
        <v>90</v>
      </c>
      <c r="C2709" s="2" t="s">
        <v>26168</v>
      </c>
      <c r="D2709" s="2" t="s">
        <v>26169</v>
      </c>
      <c r="E2709" s="2" t="s">
        <v>26170</v>
      </c>
      <c r="G2709" s="3" t="s">
        <v>62</v>
      </c>
      <c r="I2709" s="3" t="s">
        <v>61</v>
      </c>
      <c r="J2709" s="3" t="s">
        <v>62</v>
      </c>
      <c r="K2709" s="3" t="s">
        <v>63</v>
      </c>
      <c r="L2709" s="2" t="s">
        <v>26171</v>
      </c>
      <c r="M2709" s="2" t="s">
        <v>13476</v>
      </c>
      <c r="N2709" s="3" t="s">
        <v>1077</v>
      </c>
      <c r="P2709" s="3" t="s">
        <v>64</v>
      </c>
      <c r="Q2709" s="2" t="s">
        <v>3500</v>
      </c>
      <c r="R2709" s="3" t="s">
        <v>25645</v>
      </c>
      <c r="S2709" s="4">
        <v>29</v>
      </c>
      <c r="T2709" s="4">
        <v>65</v>
      </c>
      <c r="U2709" s="5" t="s">
        <v>6542</v>
      </c>
      <c r="V2709" s="5" t="s">
        <v>26172</v>
      </c>
      <c r="W2709" s="5" t="s">
        <v>67</v>
      </c>
      <c r="X2709" s="5" t="s">
        <v>67</v>
      </c>
      <c r="Y2709" s="4">
        <v>868</v>
      </c>
      <c r="Z2709" s="4">
        <v>46</v>
      </c>
      <c r="AA2709" s="4">
        <v>57</v>
      </c>
      <c r="AB2709" s="4">
        <v>3</v>
      </c>
      <c r="AC2709" s="4">
        <v>10</v>
      </c>
      <c r="AD2709" s="4">
        <v>135</v>
      </c>
      <c r="AE2709" s="4">
        <v>143</v>
      </c>
      <c r="AF2709" s="4">
        <v>2</v>
      </c>
      <c r="AG2709" s="4">
        <v>5</v>
      </c>
      <c r="AH2709" s="4">
        <v>107</v>
      </c>
      <c r="AI2709" s="4">
        <v>111</v>
      </c>
      <c r="AJ2709" s="4">
        <v>18</v>
      </c>
      <c r="AK2709" s="4">
        <v>22</v>
      </c>
      <c r="AL2709" s="4">
        <v>59</v>
      </c>
      <c r="AM2709" s="4">
        <v>59</v>
      </c>
      <c r="AN2709" s="4">
        <v>0</v>
      </c>
      <c r="AO2709" s="4">
        <v>0</v>
      </c>
      <c r="AP2709" s="4">
        <v>35</v>
      </c>
      <c r="AQ2709" s="4">
        <v>40</v>
      </c>
      <c r="AR2709" s="3" t="s">
        <v>62</v>
      </c>
      <c r="AS2709" s="3" t="s">
        <v>62</v>
      </c>
      <c r="AT2709" s="3" t="s">
        <v>62</v>
      </c>
      <c r="AV2709" s="6" t="str">
        <f>HYPERLINK("http://mcgill.on.worldcat.org/oclc/26767743","Catalog Record")</f>
        <v>Catalog Record</v>
      </c>
      <c r="AW2709" s="6" t="str">
        <f>HYPERLINK("http://www.worldcat.org/oclc/26767743","WorldCat Record")</f>
        <v>WorldCat Record</v>
      </c>
      <c r="AX2709" s="3" t="s">
        <v>26173</v>
      </c>
      <c r="AY2709" s="3" t="s">
        <v>26174</v>
      </c>
      <c r="AZ2709" s="3" t="s">
        <v>26175</v>
      </c>
      <c r="BA2709" s="3" t="s">
        <v>26175</v>
      </c>
      <c r="BB2709" s="3" t="s">
        <v>26176</v>
      </c>
      <c r="BC2709" s="3" t="s">
        <v>102</v>
      </c>
      <c r="BD2709" s="3" t="s">
        <v>68</v>
      </c>
      <c r="BE2709" s="3" t="s">
        <v>26177</v>
      </c>
      <c r="BF2709" s="3" t="s">
        <v>26176</v>
      </c>
      <c r="BG2709" s="3" t="s">
        <v>26178</v>
      </c>
    </row>
    <row r="2710" spans="1:59" ht="58" x14ac:dyDescent="0.35">
      <c r="A2710" s="2" t="s">
        <v>89</v>
      </c>
      <c r="B2710" s="2" t="s">
        <v>90</v>
      </c>
      <c r="C2710" s="2" t="s">
        <v>26179</v>
      </c>
      <c r="D2710" s="2" t="s">
        <v>26180</v>
      </c>
      <c r="E2710" s="2" t="s">
        <v>26181</v>
      </c>
      <c r="G2710" s="3" t="s">
        <v>62</v>
      </c>
      <c r="I2710" s="3" t="s">
        <v>62</v>
      </c>
      <c r="J2710" s="3" t="s">
        <v>62</v>
      </c>
      <c r="K2710" s="3" t="s">
        <v>63</v>
      </c>
      <c r="L2710" s="2" t="s">
        <v>26182</v>
      </c>
      <c r="M2710" s="2" t="s">
        <v>26183</v>
      </c>
      <c r="N2710" s="3" t="s">
        <v>3062</v>
      </c>
      <c r="P2710" s="3" t="s">
        <v>64</v>
      </c>
      <c r="R2710" s="3" t="s">
        <v>25645</v>
      </c>
      <c r="S2710" s="4">
        <v>11</v>
      </c>
      <c r="T2710" s="4">
        <v>11</v>
      </c>
      <c r="U2710" s="5" t="s">
        <v>26184</v>
      </c>
      <c r="V2710" s="5" t="s">
        <v>26184</v>
      </c>
      <c r="W2710" s="5" t="s">
        <v>67</v>
      </c>
      <c r="X2710" s="5" t="s">
        <v>67</v>
      </c>
      <c r="Y2710" s="4">
        <v>699</v>
      </c>
      <c r="Z2710" s="4">
        <v>38</v>
      </c>
      <c r="AA2710" s="4">
        <v>45</v>
      </c>
      <c r="AB2710" s="4">
        <v>2</v>
      </c>
      <c r="AC2710" s="4">
        <v>8</v>
      </c>
      <c r="AD2710" s="4">
        <v>116</v>
      </c>
      <c r="AE2710" s="4">
        <v>121</v>
      </c>
      <c r="AF2710" s="4">
        <v>1</v>
      </c>
      <c r="AG2710" s="4">
        <v>4</v>
      </c>
      <c r="AH2710" s="4">
        <v>99</v>
      </c>
      <c r="AI2710" s="4">
        <v>102</v>
      </c>
      <c r="AJ2710" s="4">
        <v>15</v>
      </c>
      <c r="AK2710" s="4">
        <v>18</v>
      </c>
      <c r="AL2710" s="4">
        <v>56</v>
      </c>
      <c r="AM2710" s="4">
        <v>57</v>
      </c>
      <c r="AN2710" s="4">
        <v>0</v>
      </c>
      <c r="AO2710" s="4">
        <v>0</v>
      </c>
      <c r="AP2710" s="4">
        <v>24</v>
      </c>
      <c r="AQ2710" s="4">
        <v>26</v>
      </c>
      <c r="AR2710" s="3" t="s">
        <v>62</v>
      </c>
      <c r="AS2710" s="3" t="s">
        <v>62</v>
      </c>
      <c r="AT2710" s="3" t="s">
        <v>61</v>
      </c>
      <c r="AU2710" s="6" t="str">
        <f>HYPERLINK("http://catalog.hathitrust.org/Record/002485412","HathiTrust Record")</f>
        <v>HathiTrust Record</v>
      </c>
      <c r="AV2710" s="6" t="str">
        <f>HYPERLINK("http://mcgill.on.worldcat.org/oclc/22179603","Catalog Record")</f>
        <v>Catalog Record</v>
      </c>
      <c r="AW2710" s="6" t="str">
        <f>HYPERLINK("http://www.worldcat.org/oclc/22179603","WorldCat Record")</f>
        <v>WorldCat Record</v>
      </c>
      <c r="AX2710" s="3" t="s">
        <v>26185</v>
      </c>
      <c r="AY2710" s="3" t="s">
        <v>26186</v>
      </c>
      <c r="AZ2710" s="3" t="s">
        <v>26187</v>
      </c>
      <c r="BA2710" s="3" t="s">
        <v>26187</v>
      </c>
      <c r="BB2710" s="3" t="s">
        <v>26188</v>
      </c>
      <c r="BC2710" s="3" t="s">
        <v>102</v>
      </c>
      <c r="BD2710" s="3" t="s">
        <v>68</v>
      </c>
      <c r="BE2710" s="3" t="s">
        <v>26189</v>
      </c>
      <c r="BF2710" s="3" t="s">
        <v>26188</v>
      </c>
      <c r="BG2710" s="3" t="s">
        <v>26190</v>
      </c>
    </row>
    <row r="2711" spans="1:59" ht="58" x14ac:dyDescent="0.35">
      <c r="A2711" s="2" t="s">
        <v>89</v>
      </c>
      <c r="B2711" s="2" t="s">
        <v>90</v>
      </c>
      <c r="C2711" s="2" t="s">
        <v>26191</v>
      </c>
      <c r="D2711" s="2" t="s">
        <v>26192</v>
      </c>
      <c r="E2711" s="2" t="s">
        <v>26193</v>
      </c>
      <c r="F2711" s="3" t="s">
        <v>26194</v>
      </c>
      <c r="G2711" s="3" t="s">
        <v>62</v>
      </c>
      <c r="I2711" s="3" t="s">
        <v>62</v>
      </c>
      <c r="J2711" s="3" t="s">
        <v>61</v>
      </c>
      <c r="K2711" s="3" t="s">
        <v>63</v>
      </c>
      <c r="L2711" s="2" t="s">
        <v>26195</v>
      </c>
      <c r="M2711" s="2" t="s">
        <v>26196</v>
      </c>
      <c r="N2711" s="3" t="s">
        <v>13088</v>
      </c>
      <c r="P2711" s="3" t="s">
        <v>64</v>
      </c>
      <c r="R2711" s="3" t="s">
        <v>25645</v>
      </c>
      <c r="S2711" s="4">
        <v>9</v>
      </c>
      <c r="T2711" s="4">
        <v>9</v>
      </c>
      <c r="U2711" s="5" t="s">
        <v>26162</v>
      </c>
      <c r="V2711" s="5" t="s">
        <v>26162</v>
      </c>
      <c r="W2711" s="5" t="s">
        <v>67</v>
      </c>
      <c r="X2711" s="5" t="s">
        <v>67</v>
      </c>
      <c r="Y2711" s="4">
        <v>1</v>
      </c>
      <c r="Z2711" s="4">
        <v>1</v>
      </c>
      <c r="AA2711" s="4">
        <v>4</v>
      </c>
      <c r="AB2711" s="4">
        <v>1</v>
      </c>
      <c r="AC2711" s="4">
        <v>1</v>
      </c>
      <c r="AD2711" s="4">
        <v>0</v>
      </c>
      <c r="AE2711" s="4">
        <v>28</v>
      </c>
      <c r="AF2711" s="4">
        <v>0</v>
      </c>
      <c r="AG2711" s="4">
        <v>0</v>
      </c>
      <c r="AH2711" s="4">
        <v>0</v>
      </c>
      <c r="AI2711" s="4">
        <v>27</v>
      </c>
      <c r="AJ2711" s="4">
        <v>0</v>
      </c>
      <c r="AK2711" s="4">
        <v>2</v>
      </c>
      <c r="AL2711" s="4">
        <v>0</v>
      </c>
      <c r="AM2711" s="4">
        <v>20</v>
      </c>
      <c r="AN2711" s="4">
        <v>0</v>
      </c>
      <c r="AO2711" s="4">
        <v>0</v>
      </c>
      <c r="AP2711" s="4">
        <v>0</v>
      </c>
      <c r="AQ2711" s="4">
        <v>2</v>
      </c>
      <c r="AR2711" s="3" t="s">
        <v>62</v>
      </c>
      <c r="AS2711" s="3" t="s">
        <v>62</v>
      </c>
      <c r="AT2711" s="3" t="s">
        <v>62</v>
      </c>
      <c r="AV2711" s="6" t="str">
        <f>HYPERLINK("http://mcgill.on.worldcat.org/oclc/427508577","Catalog Record")</f>
        <v>Catalog Record</v>
      </c>
      <c r="AW2711" s="6" t="str">
        <f>HYPERLINK("http://www.worldcat.org/oclc/427508577","WorldCat Record")</f>
        <v>WorldCat Record</v>
      </c>
      <c r="AX2711" s="3" t="s">
        <v>26197</v>
      </c>
      <c r="AY2711" s="3" t="s">
        <v>26198</v>
      </c>
      <c r="AZ2711" s="3" t="s">
        <v>26199</v>
      </c>
      <c r="BA2711" s="3" t="s">
        <v>26199</v>
      </c>
      <c r="BB2711" s="3" t="s">
        <v>26200</v>
      </c>
      <c r="BC2711" s="3" t="s">
        <v>102</v>
      </c>
      <c r="BD2711" s="3" t="s">
        <v>68</v>
      </c>
      <c r="BF2711" s="3" t="s">
        <v>26200</v>
      </c>
      <c r="BG2711" s="3" t="s">
        <v>26201</v>
      </c>
    </row>
    <row r="2712" spans="1:59" ht="58" x14ac:dyDescent="0.35">
      <c r="A2712" s="2" t="s">
        <v>89</v>
      </c>
      <c r="B2712" s="2" t="s">
        <v>90</v>
      </c>
      <c r="C2712" s="2" t="s">
        <v>26202</v>
      </c>
      <c r="D2712" s="2" t="s">
        <v>26203</v>
      </c>
      <c r="E2712" s="2" t="s">
        <v>26204</v>
      </c>
      <c r="G2712" s="3" t="s">
        <v>62</v>
      </c>
      <c r="I2712" s="3" t="s">
        <v>61</v>
      </c>
      <c r="J2712" s="3" t="s">
        <v>62</v>
      </c>
      <c r="K2712" s="3" t="s">
        <v>63</v>
      </c>
      <c r="M2712" s="2" t="s">
        <v>6507</v>
      </c>
      <c r="N2712" s="3" t="s">
        <v>539</v>
      </c>
      <c r="O2712" s="2" t="s">
        <v>2163</v>
      </c>
      <c r="P2712" s="3" t="s">
        <v>64</v>
      </c>
      <c r="Q2712" s="2" t="s">
        <v>26205</v>
      </c>
      <c r="R2712" s="3" t="s">
        <v>25645</v>
      </c>
      <c r="S2712" s="4">
        <v>46</v>
      </c>
      <c r="T2712" s="4">
        <v>71</v>
      </c>
      <c r="U2712" s="5" t="s">
        <v>2292</v>
      </c>
      <c r="V2712" s="5" t="s">
        <v>2292</v>
      </c>
      <c r="W2712" s="5" t="s">
        <v>67</v>
      </c>
      <c r="X2712" s="5" t="s">
        <v>67</v>
      </c>
      <c r="Y2712" s="4">
        <v>868</v>
      </c>
      <c r="Z2712" s="4">
        <v>48</v>
      </c>
      <c r="AA2712" s="4">
        <v>53</v>
      </c>
      <c r="AB2712" s="4">
        <v>2</v>
      </c>
      <c r="AC2712" s="4">
        <v>5</v>
      </c>
      <c r="AD2712" s="4">
        <v>124</v>
      </c>
      <c r="AE2712" s="4">
        <v>130</v>
      </c>
      <c r="AF2712" s="4">
        <v>1</v>
      </c>
      <c r="AG2712" s="4">
        <v>3</v>
      </c>
      <c r="AH2712" s="4">
        <v>103</v>
      </c>
      <c r="AI2712" s="4">
        <v>105</v>
      </c>
      <c r="AJ2712" s="4">
        <v>19</v>
      </c>
      <c r="AK2712" s="4">
        <v>21</v>
      </c>
      <c r="AL2712" s="4">
        <v>55</v>
      </c>
      <c r="AM2712" s="4">
        <v>56</v>
      </c>
      <c r="AN2712" s="4">
        <v>0</v>
      </c>
      <c r="AO2712" s="4">
        <v>0</v>
      </c>
      <c r="AP2712" s="4">
        <v>29</v>
      </c>
      <c r="AQ2712" s="4">
        <v>32</v>
      </c>
      <c r="AR2712" s="3" t="s">
        <v>62</v>
      </c>
      <c r="AS2712" s="3" t="s">
        <v>62</v>
      </c>
      <c r="AT2712" s="3" t="s">
        <v>62</v>
      </c>
      <c r="AV2712" s="6" t="str">
        <f>HYPERLINK("http://mcgill.on.worldcat.org/oclc/38495017","Catalog Record")</f>
        <v>Catalog Record</v>
      </c>
      <c r="AW2712" s="6" t="str">
        <f>HYPERLINK("http://www.worldcat.org/oclc/38495017","WorldCat Record")</f>
        <v>WorldCat Record</v>
      </c>
      <c r="AX2712" s="3" t="s">
        <v>26206</v>
      </c>
      <c r="AY2712" s="3" t="s">
        <v>26207</v>
      </c>
      <c r="AZ2712" s="3" t="s">
        <v>26208</v>
      </c>
      <c r="BA2712" s="3" t="s">
        <v>26208</v>
      </c>
      <c r="BB2712" s="3" t="s">
        <v>26209</v>
      </c>
      <c r="BC2712" s="3" t="s">
        <v>102</v>
      </c>
      <c r="BD2712" s="3" t="s">
        <v>68</v>
      </c>
      <c r="BE2712" s="3" t="s">
        <v>26210</v>
      </c>
      <c r="BF2712" s="3" t="s">
        <v>26209</v>
      </c>
      <c r="BG2712" s="3" t="s">
        <v>26211</v>
      </c>
    </row>
    <row r="2713" spans="1:59" ht="101.5" x14ac:dyDescent="0.35">
      <c r="A2713" s="2" t="s">
        <v>89</v>
      </c>
      <c r="B2713" s="2" t="s">
        <v>90</v>
      </c>
      <c r="C2713" s="2" t="s">
        <v>26212</v>
      </c>
      <c r="D2713" s="2" t="s">
        <v>26213</v>
      </c>
      <c r="E2713" s="2" t="s">
        <v>26214</v>
      </c>
      <c r="G2713" s="3" t="s">
        <v>62</v>
      </c>
      <c r="I2713" s="3" t="s">
        <v>61</v>
      </c>
      <c r="J2713" s="3" t="s">
        <v>62</v>
      </c>
      <c r="K2713" s="3" t="s">
        <v>63</v>
      </c>
      <c r="L2713" s="2" t="s">
        <v>26215</v>
      </c>
      <c r="M2713" s="2" t="s">
        <v>26216</v>
      </c>
      <c r="N2713" s="3" t="s">
        <v>509</v>
      </c>
      <c r="P2713" s="3" t="s">
        <v>64</v>
      </c>
      <c r="R2713" s="3" t="s">
        <v>25645</v>
      </c>
      <c r="S2713" s="4">
        <v>23</v>
      </c>
      <c r="T2713" s="4">
        <v>37</v>
      </c>
      <c r="U2713" s="5" t="s">
        <v>26184</v>
      </c>
      <c r="V2713" s="5" t="s">
        <v>26184</v>
      </c>
      <c r="W2713" s="5" t="s">
        <v>67</v>
      </c>
      <c r="X2713" s="5" t="s">
        <v>67</v>
      </c>
      <c r="Y2713" s="4">
        <v>413</v>
      </c>
      <c r="Z2713" s="4">
        <v>24</v>
      </c>
      <c r="AA2713" s="4">
        <v>25</v>
      </c>
      <c r="AB2713" s="4">
        <v>1</v>
      </c>
      <c r="AC2713" s="4">
        <v>2</v>
      </c>
      <c r="AD2713" s="4">
        <v>95</v>
      </c>
      <c r="AE2713" s="4">
        <v>96</v>
      </c>
      <c r="AF2713" s="4">
        <v>0</v>
      </c>
      <c r="AG2713" s="4">
        <v>1</v>
      </c>
      <c r="AH2713" s="4">
        <v>83</v>
      </c>
      <c r="AI2713" s="4">
        <v>83</v>
      </c>
      <c r="AJ2713" s="4">
        <v>13</v>
      </c>
      <c r="AK2713" s="4">
        <v>14</v>
      </c>
      <c r="AL2713" s="4">
        <v>52</v>
      </c>
      <c r="AM2713" s="4">
        <v>52</v>
      </c>
      <c r="AN2713" s="4">
        <v>0</v>
      </c>
      <c r="AO2713" s="4">
        <v>0</v>
      </c>
      <c r="AP2713" s="4">
        <v>15</v>
      </c>
      <c r="AQ2713" s="4">
        <v>16</v>
      </c>
      <c r="AR2713" s="3" t="s">
        <v>62</v>
      </c>
      <c r="AS2713" s="3" t="s">
        <v>62</v>
      </c>
      <c r="AT2713" s="3" t="s">
        <v>61</v>
      </c>
      <c r="AU2713" s="6" t="str">
        <f>HYPERLINK("http://catalog.hathitrust.org/Record/002857994","HathiTrust Record")</f>
        <v>HathiTrust Record</v>
      </c>
      <c r="AV2713" s="6" t="str">
        <f>HYPERLINK("http://mcgill.on.worldcat.org/oclc/28183783","Catalog Record")</f>
        <v>Catalog Record</v>
      </c>
      <c r="AW2713" s="6" t="str">
        <f>HYPERLINK("http://www.worldcat.org/oclc/28183783","WorldCat Record")</f>
        <v>WorldCat Record</v>
      </c>
      <c r="AX2713" s="3" t="s">
        <v>26217</v>
      </c>
      <c r="AY2713" s="3" t="s">
        <v>26218</v>
      </c>
      <c r="AZ2713" s="3" t="s">
        <v>26219</v>
      </c>
      <c r="BA2713" s="3" t="s">
        <v>26219</v>
      </c>
      <c r="BB2713" s="3" t="s">
        <v>26220</v>
      </c>
      <c r="BC2713" s="3" t="s">
        <v>102</v>
      </c>
      <c r="BD2713" s="3" t="s">
        <v>68</v>
      </c>
      <c r="BE2713" s="3" t="s">
        <v>26221</v>
      </c>
      <c r="BF2713" s="3" t="s">
        <v>26220</v>
      </c>
      <c r="BG2713" s="3" t="s">
        <v>26222</v>
      </c>
    </row>
    <row r="2714" spans="1:59" ht="58" x14ac:dyDescent="0.35">
      <c r="A2714" s="2" t="s">
        <v>89</v>
      </c>
      <c r="B2714" s="2" t="s">
        <v>90</v>
      </c>
      <c r="C2714" s="2" t="s">
        <v>26223</v>
      </c>
      <c r="D2714" s="2" t="s">
        <v>26224</v>
      </c>
      <c r="E2714" s="2" t="s">
        <v>26225</v>
      </c>
      <c r="G2714" s="3" t="s">
        <v>62</v>
      </c>
      <c r="I2714" s="3" t="s">
        <v>62</v>
      </c>
      <c r="J2714" s="3" t="s">
        <v>62</v>
      </c>
      <c r="K2714" s="3" t="s">
        <v>63</v>
      </c>
      <c r="M2714" s="2" t="s">
        <v>26226</v>
      </c>
      <c r="N2714" s="3" t="s">
        <v>2136</v>
      </c>
      <c r="P2714" s="3" t="s">
        <v>64</v>
      </c>
      <c r="Q2714" s="2" t="s">
        <v>26227</v>
      </c>
      <c r="R2714" s="3" t="s">
        <v>25645</v>
      </c>
      <c r="S2714" s="4">
        <v>20</v>
      </c>
      <c r="T2714" s="4">
        <v>20</v>
      </c>
      <c r="U2714" s="5" t="s">
        <v>1642</v>
      </c>
      <c r="V2714" s="5" t="s">
        <v>1642</v>
      </c>
      <c r="W2714" s="5" t="s">
        <v>67</v>
      </c>
      <c r="X2714" s="5" t="s">
        <v>67</v>
      </c>
      <c r="Y2714" s="4">
        <v>445</v>
      </c>
      <c r="Z2714" s="4">
        <v>29</v>
      </c>
      <c r="AA2714" s="4">
        <v>30</v>
      </c>
      <c r="AB2714" s="4">
        <v>1</v>
      </c>
      <c r="AC2714" s="4">
        <v>1</v>
      </c>
      <c r="AD2714" s="4">
        <v>95</v>
      </c>
      <c r="AE2714" s="4">
        <v>95</v>
      </c>
      <c r="AF2714" s="4">
        <v>0</v>
      </c>
      <c r="AG2714" s="4">
        <v>0</v>
      </c>
      <c r="AH2714" s="4">
        <v>81</v>
      </c>
      <c r="AI2714" s="4">
        <v>81</v>
      </c>
      <c r="AJ2714" s="4">
        <v>12</v>
      </c>
      <c r="AK2714" s="4">
        <v>12</v>
      </c>
      <c r="AL2714" s="4">
        <v>49</v>
      </c>
      <c r="AM2714" s="4">
        <v>49</v>
      </c>
      <c r="AN2714" s="4">
        <v>0</v>
      </c>
      <c r="AO2714" s="4">
        <v>0</v>
      </c>
      <c r="AP2714" s="4">
        <v>18</v>
      </c>
      <c r="AQ2714" s="4">
        <v>18</v>
      </c>
      <c r="AR2714" s="3" t="s">
        <v>62</v>
      </c>
      <c r="AS2714" s="3" t="s">
        <v>62</v>
      </c>
      <c r="AT2714" s="3" t="s">
        <v>62</v>
      </c>
      <c r="AV2714" s="6" t="str">
        <f>HYPERLINK("http://mcgill.on.worldcat.org/oclc/57549548","Catalog Record")</f>
        <v>Catalog Record</v>
      </c>
      <c r="AW2714" s="6" t="str">
        <f>HYPERLINK("http://www.worldcat.org/oclc/57549548","WorldCat Record")</f>
        <v>WorldCat Record</v>
      </c>
      <c r="AX2714" s="3" t="s">
        <v>26228</v>
      </c>
      <c r="AY2714" s="3" t="s">
        <v>26229</v>
      </c>
      <c r="AZ2714" s="3" t="s">
        <v>26230</v>
      </c>
      <c r="BA2714" s="3" t="s">
        <v>26230</v>
      </c>
      <c r="BB2714" s="3" t="s">
        <v>26231</v>
      </c>
      <c r="BC2714" s="3" t="s">
        <v>102</v>
      </c>
      <c r="BD2714" s="3" t="s">
        <v>68</v>
      </c>
      <c r="BE2714" s="3" t="s">
        <v>26232</v>
      </c>
      <c r="BF2714" s="3" t="s">
        <v>26231</v>
      </c>
      <c r="BG2714" s="3" t="s">
        <v>26233</v>
      </c>
    </row>
    <row r="2715" spans="1:59" ht="58" x14ac:dyDescent="0.35">
      <c r="A2715" s="2" t="s">
        <v>89</v>
      </c>
      <c r="B2715" s="2" t="s">
        <v>90</v>
      </c>
      <c r="C2715" s="2" t="s">
        <v>26234</v>
      </c>
      <c r="D2715" s="2" t="s">
        <v>26235</v>
      </c>
      <c r="E2715" s="2" t="s">
        <v>26236</v>
      </c>
      <c r="G2715" s="3" t="s">
        <v>62</v>
      </c>
      <c r="I2715" s="3" t="s">
        <v>62</v>
      </c>
      <c r="J2715" s="3" t="s">
        <v>62</v>
      </c>
      <c r="K2715" s="3" t="s">
        <v>63</v>
      </c>
      <c r="L2715" s="2" t="s">
        <v>26237</v>
      </c>
      <c r="M2715" s="2" t="s">
        <v>26238</v>
      </c>
      <c r="N2715" s="3" t="s">
        <v>640</v>
      </c>
      <c r="P2715" s="3" t="s">
        <v>64</v>
      </c>
      <c r="Q2715" s="2" t="s">
        <v>26239</v>
      </c>
      <c r="R2715" s="3" t="s">
        <v>25645</v>
      </c>
      <c r="S2715" s="4">
        <v>15</v>
      </c>
      <c r="T2715" s="4">
        <v>15</v>
      </c>
      <c r="U2715" s="5" t="s">
        <v>26240</v>
      </c>
      <c r="V2715" s="5" t="s">
        <v>26240</v>
      </c>
      <c r="W2715" s="5" t="s">
        <v>67</v>
      </c>
      <c r="X2715" s="5" t="s">
        <v>67</v>
      </c>
      <c r="Y2715" s="4">
        <v>63</v>
      </c>
      <c r="Z2715" s="4">
        <v>9</v>
      </c>
      <c r="AA2715" s="4">
        <v>11</v>
      </c>
      <c r="AB2715" s="4">
        <v>1</v>
      </c>
      <c r="AC2715" s="4">
        <v>3</v>
      </c>
      <c r="AD2715" s="4">
        <v>32</v>
      </c>
      <c r="AE2715" s="4">
        <v>33</v>
      </c>
      <c r="AF2715" s="4">
        <v>0</v>
      </c>
      <c r="AG2715" s="4">
        <v>1</v>
      </c>
      <c r="AH2715" s="4">
        <v>29</v>
      </c>
      <c r="AI2715" s="4">
        <v>30</v>
      </c>
      <c r="AJ2715" s="4">
        <v>5</v>
      </c>
      <c r="AK2715" s="4">
        <v>6</v>
      </c>
      <c r="AL2715" s="4">
        <v>17</v>
      </c>
      <c r="AM2715" s="4">
        <v>17</v>
      </c>
      <c r="AN2715" s="4">
        <v>0</v>
      </c>
      <c r="AO2715" s="4">
        <v>0</v>
      </c>
      <c r="AP2715" s="4">
        <v>6</v>
      </c>
      <c r="AQ2715" s="4">
        <v>7</v>
      </c>
      <c r="AR2715" s="3" t="s">
        <v>62</v>
      </c>
      <c r="AS2715" s="3" t="s">
        <v>62</v>
      </c>
      <c r="AT2715" s="3" t="s">
        <v>62</v>
      </c>
      <c r="AV2715" s="6" t="str">
        <f>HYPERLINK("http://mcgill.on.worldcat.org/oclc/60629629","Catalog Record")</f>
        <v>Catalog Record</v>
      </c>
      <c r="AW2715" s="6" t="str">
        <f>HYPERLINK("http://www.worldcat.org/oclc/60629629","WorldCat Record")</f>
        <v>WorldCat Record</v>
      </c>
      <c r="AX2715" s="3" t="s">
        <v>26241</v>
      </c>
      <c r="AY2715" s="3" t="s">
        <v>26242</v>
      </c>
      <c r="AZ2715" s="3" t="s">
        <v>26243</v>
      </c>
      <c r="BA2715" s="3" t="s">
        <v>26243</v>
      </c>
      <c r="BB2715" s="3" t="s">
        <v>26244</v>
      </c>
      <c r="BC2715" s="3" t="s">
        <v>102</v>
      </c>
      <c r="BD2715" s="3" t="s">
        <v>68</v>
      </c>
      <c r="BE2715" s="3" t="s">
        <v>26245</v>
      </c>
      <c r="BF2715" s="3" t="s">
        <v>26244</v>
      </c>
      <c r="BG2715" s="3" t="s">
        <v>26246</v>
      </c>
    </row>
    <row r="2716" spans="1:59" ht="58" x14ac:dyDescent="0.35">
      <c r="A2716" s="2" t="s">
        <v>89</v>
      </c>
      <c r="B2716" s="2" t="s">
        <v>90</v>
      </c>
      <c r="C2716" s="2" t="s">
        <v>26247</v>
      </c>
      <c r="D2716" s="2" t="s">
        <v>26248</v>
      </c>
      <c r="E2716" s="2" t="s">
        <v>26249</v>
      </c>
      <c r="G2716" s="3" t="s">
        <v>62</v>
      </c>
      <c r="I2716" s="3" t="s">
        <v>62</v>
      </c>
      <c r="J2716" s="3" t="s">
        <v>61</v>
      </c>
      <c r="K2716" s="3" t="s">
        <v>63</v>
      </c>
      <c r="L2716" s="2" t="s">
        <v>26250</v>
      </c>
      <c r="M2716" s="2" t="s">
        <v>26251</v>
      </c>
      <c r="N2716" s="3" t="s">
        <v>106</v>
      </c>
      <c r="P2716" s="3" t="s">
        <v>64</v>
      </c>
      <c r="R2716" s="3" t="s">
        <v>25645</v>
      </c>
      <c r="S2716" s="4">
        <v>54</v>
      </c>
      <c r="T2716" s="4">
        <v>54</v>
      </c>
      <c r="U2716" s="5" t="s">
        <v>26162</v>
      </c>
      <c r="V2716" s="5" t="s">
        <v>26162</v>
      </c>
      <c r="W2716" s="5" t="s">
        <v>67</v>
      </c>
      <c r="X2716" s="5" t="s">
        <v>67</v>
      </c>
      <c r="Y2716" s="4">
        <v>1565</v>
      </c>
      <c r="Z2716" s="4">
        <v>59</v>
      </c>
      <c r="AA2716" s="4">
        <v>97</v>
      </c>
      <c r="AB2716" s="4">
        <v>4</v>
      </c>
      <c r="AC2716" s="4">
        <v>8</v>
      </c>
      <c r="AD2716" s="4">
        <v>137</v>
      </c>
      <c r="AE2716" s="4">
        <v>163</v>
      </c>
      <c r="AF2716" s="4">
        <v>2</v>
      </c>
      <c r="AG2716" s="4">
        <v>6</v>
      </c>
      <c r="AH2716" s="4">
        <v>105</v>
      </c>
      <c r="AI2716" s="4">
        <v>113</v>
      </c>
      <c r="AJ2716" s="4">
        <v>21</v>
      </c>
      <c r="AK2716" s="4">
        <v>31</v>
      </c>
      <c r="AL2716" s="4">
        <v>64</v>
      </c>
      <c r="AM2716" s="4">
        <v>64</v>
      </c>
      <c r="AN2716" s="4">
        <v>5</v>
      </c>
      <c r="AO2716" s="4">
        <v>5</v>
      </c>
      <c r="AP2716" s="4">
        <v>33</v>
      </c>
      <c r="AQ2716" s="4">
        <v>52</v>
      </c>
      <c r="AR2716" s="3" t="s">
        <v>62</v>
      </c>
      <c r="AS2716" s="3" t="s">
        <v>62</v>
      </c>
      <c r="AT2716" s="3" t="s">
        <v>61</v>
      </c>
      <c r="AU2716" s="6" t="str">
        <f>HYPERLINK("http://catalog.hathitrust.org/Record/001475608","HathiTrust Record")</f>
        <v>HathiTrust Record</v>
      </c>
      <c r="AV2716" s="6" t="str">
        <f>HYPERLINK("http://mcgill.on.worldcat.org/oclc/710646","Catalog Record")</f>
        <v>Catalog Record</v>
      </c>
      <c r="AW2716" s="6" t="str">
        <f>HYPERLINK("http://www.worldcat.org/oclc/710646","WorldCat Record")</f>
        <v>WorldCat Record</v>
      </c>
      <c r="AX2716" s="3" t="s">
        <v>26252</v>
      </c>
      <c r="AY2716" s="3" t="s">
        <v>26253</v>
      </c>
      <c r="AZ2716" s="3" t="s">
        <v>26254</v>
      </c>
      <c r="BA2716" s="3" t="s">
        <v>26254</v>
      </c>
      <c r="BB2716" s="3" t="s">
        <v>26255</v>
      </c>
      <c r="BC2716" s="3" t="s">
        <v>102</v>
      </c>
      <c r="BD2716" s="3" t="s">
        <v>68</v>
      </c>
      <c r="BF2716" s="3" t="s">
        <v>26255</v>
      </c>
      <c r="BG2716" s="3" t="s">
        <v>26256</v>
      </c>
    </row>
    <row r="2717" spans="1:59" ht="58" x14ac:dyDescent="0.35">
      <c r="A2717" s="2" t="s">
        <v>89</v>
      </c>
      <c r="B2717" s="2" t="s">
        <v>90</v>
      </c>
      <c r="C2717" s="2" t="s">
        <v>26257</v>
      </c>
      <c r="D2717" s="2" t="s">
        <v>26258</v>
      </c>
      <c r="E2717" s="2" t="s">
        <v>26259</v>
      </c>
      <c r="F2717" s="3" t="s">
        <v>2248</v>
      </c>
      <c r="G2717" s="3" t="s">
        <v>61</v>
      </c>
      <c r="I2717" s="3" t="s">
        <v>62</v>
      </c>
      <c r="J2717" s="3" t="s">
        <v>62</v>
      </c>
      <c r="K2717" s="3" t="s">
        <v>63</v>
      </c>
      <c r="L2717" s="2" t="s">
        <v>26260</v>
      </c>
      <c r="M2717" s="2" t="s">
        <v>26261</v>
      </c>
      <c r="N2717" s="3" t="s">
        <v>553</v>
      </c>
      <c r="P2717" s="3" t="s">
        <v>64</v>
      </c>
      <c r="R2717" s="3" t="s">
        <v>25645</v>
      </c>
      <c r="S2717" s="4">
        <v>15</v>
      </c>
      <c r="T2717" s="4">
        <v>60</v>
      </c>
      <c r="U2717" s="5" t="s">
        <v>26262</v>
      </c>
      <c r="V2717" s="5" t="s">
        <v>7194</v>
      </c>
      <c r="W2717" s="5" t="s">
        <v>67</v>
      </c>
      <c r="X2717" s="5" t="s">
        <v>67</v>
      </c>
      <c r="Y2717" s="4">
        <v>260</v>
      </c>
      <c r="Z2717" s="4">
        <v>33</v>
      </c>
      <c r="AA2717" s="4">
        <v>57</v>
      </c>
      <c r="AB2717" s="4">
        <v>1</v>
      </c>
      <c r="AC2717" s="4">
        <v>9</v>
      </c>
      <c r="AD2717" s="4">
        <v>96</v>
      </c>
      <c r="AE2717" s="4">
        <v>105</v>
      </c>
      <c r="AF2717" s="4">
        <v>0</v>
      </c>
      <c r="AG2717" s="4">
        <v>2</v>
      </c>
      <c r="AH2717" s="4">
        <v>79</v>
      </c>
      <c r="AI2717" s="4">
        <v>82</v>
      </c>
      <c r="AJ2717" s="4">
        <v>15</v>
      </c>
      <c r="AK2717" s="4">
        <v>19</v>
      </c>
      <c r="AL2717" s="4">
        <v>46</v>
      </c>
      <c r="AM2717" s="4">
        <v>47</v>
      </c>
      <c r="AN2717" s="4">
        <v>0</v>
      </c>
      <c r="AO2717" s="4">
        <v>0</v>
      </c>
      <c r="AP2717" s="4">
        <v>20</v>
      </c>
      <c r="AQ2717" s="4">
        <v>27</v>
      </c>
      <c r="AR2717" s="3" t="s">
        <v>61</v>
      </c>
      <c r="AS2717" s="3" t="s">
        <v>62</v>
      </c>
      <c r="AT2717" s="3" t="s">
        <v>61</v>
      </c>
      <c r="AU2717" s="6" t="str">
        <f>HYPERLINK("http://catalog.hathitrust.org/Record/004099324","HathiTrust Record")</f>
        <v>HathiTrust Record</v>
      </c>
      <c r="AV2717" s="6" t="str">
        <f>HYPERLINK("http://mcgill.on.worldcat.org/oclc/44313621","Catalog Record")</f>
        <v>Catalog Record</v>
      </c>
      <c r="AW2717" s="6" t="str">
        <f>HYPERLINK("http://www.worldcat.org/oclc/44313621","WorldCat Record")</f>
        <v>WorldCat Record</v>
      </c>
      <c r="AX2717" s="3" t="s">
        <v>26263</v>
      </c>
      <c r="AY2717" s="3" t="s">
        <v>26264</v>
      </c>
      <c r="AZ2717" s="3" t="s">
        <v>26265</v>
      </c>
      <c r="BA2717" s="3" t="s">
        <v>26265</v>
      </c>
      <c r="BB2717" s="3" t="s">
        <v>26266</v>
      </c>
      <c r="BC2717" s="3" t="s">
        <v>102</v>
      </c>
      <c r="BD2717" s="3" t="s">
        <v>68</v>
      </c>
      <c r="BE2717" s="3" t="s">
        <v>26267</v>
      </c>
      <c r="BF2717" s="3" t="s">
        <v>26266</v>
      </c>
      <c r="BG2717" s="3" t="s">
        <v>26268</v>
      </c>
    </row>
    <row r="2718" spans="1:59" ht="58" x14ac:dyDescent="0.35">
      <c r="A2718" s="2" t="s">
        <v>89</v>
      </c>
      <c r="B2718" s="2" t="s">
        <v>90</v>
      </c>
      <c r="C2718" s="2" t="s">
        <v>26257</v>
      </c>
      <c r="D2718" s="2" t="s">
        <v>26258</v>
      </c>
      <c r="E2718" s="2" t="s">
        <v>26259</v>
      </c>
      <c r="F2718" s="3" t="s">
        <v>2233</v>
      </c>
      <c r="G2718" s="3" t="s">
        <v>61</v>
      </c>
      <c r="I2718" s="3" t="s">
        <v>62</v>
      </c>
      <c r="J2718" s="3" t="s">
        <v>62</v>
      </c>
      <c r="K2718" s="3" t="s">
        <v>63</v>
      </c>
      <c r="L2718" s="2" t="s">
        <v>26260</v>
      </c>
      <c r="M2718" s="2" t="s">
        <v>26261</v>
      </c>
      <c r="N2718" s="3" t="s">
        <v>553</v>
      </c>
      <c r="P2718" s="3" t="s">
        <v>64</v>
      </c>
      <c r="R2718" s="3" t="s">
        <v>25645</v>
      </c>
      <c r="S2718" s="4">
        <v>17</v>
      </c>
      <c r="T2718" s="4">
        <v>60</v>
      </c>
      <c r="U2718" s="5" t="s">
        <v>26269</v>
      </c>
      <c r="V2718" s="5" t="s">
        <v>7194</v>
      </c>
      <c r="W2718" s="5" t="s">
        <v>67</v>
      </c>
      <c r="X2718" s="5" t="s">
        <v>67</v>
      </c>
      <c r="Y2718" s="4">
        <v>260</v>
      </c>
      <c r="Z2718" s="4">
        <v>33</v>
      </c>
      <c r="AA2718" s="4">
        <v>57</v>
      </c>
      <c r="AB2718" s="4">
        <v>1</v>
      </c>
      <c r="AC2718" s="4">
        <v>9</v>
      </c>
      <c r="AD2718" s="4">
        <v>96</v>
      </c>
      <c r="AE2718" s="4">
        <v>105</v>
      </c>
      <c r="AF2718" s="4">
        <v>0</v>
      </c>
      <c r="AG2718" s="4">
        <v>2</v>
      </c>
      <c r="AH2718" s="4">
        <v>79</v>
      </c>
      <c r="AI2718" s="4">
        <v>82</v>
      </c>
      <c r="AJ2718" s="4">
        <v>15</v>
      </c>
      <c r="AK2718" s="4">
        <v>19</v>
      </c>
      <c r="AL2718" s="4">
        <v>46</v>
      </c>
      <c r="AM2718" s="4">
        <v>47</v>
      </c>
      <c r="AN2718" s="4">
        <v>0</v>
      </c>
      <c r="AO2718" s="4">
        <v>0</v>
      </c>
      <c r="AP2718" s="4">
        <v>20</v>
      </c>
      <c r="AQ2718" s="4">
        <v>27</v>
      </c>
      <c r="AR2718" s="3" t="s">
        <v>61</v>
      </c>
      <c r="AS2718" s="3" t="s">
        <v>62</v>
      </c>
      <c r="AT2718" s="3" t="s">
        <v>61</v>
      </c>
      <c r="AU2718" s="6" t="str">
        <f>HYPERLINK("http://catalog.hathitrust.org/Record/004099324","HathiTrust Record")</f>
        <v>HathiTrust Record</v>
      </c>
      <c r="AV2718" s="6" t="str">
        <f>HYPERLINK("http://mcgill.on.worldcat.org/oclc/44313621","Catalog Record")</f>
        <v>Catalog Record</v>
      </c>
      <c r="AW2718" s="6" t="str">
        <f>HYPERLINK("http://www.worldcat.org/oclc/44313621","WorldCat Record")</f>
        <v>WorldCat Record</v>
      </c>
      <c r="AX2718" s="3" t="s">
        <v>26263</v>
      </c>
      <c r="AY2718" s="3" t="s">
        <v>26264</v>
      </c>
      <c r="AZ2718" s="3" t="s">
        <v>26265</v>
      </c>
      <c r="BA2718" s="3" t="s">
        <v>26265</v>
      </c>
      <c r="BB2718" s="3" t="s">
        <v>26270</v>
      </c>
      <c r="BC2718" s="3" t="s">
        <v>102</v>
      </c>
      <c r="BD2718" s="3" t="s">
        <v>68</v>
      </c>
      <c r="BE2718" s="3" t="s">
        <v>26267</v>
      </c>
      <c r="BF2718" s="3" t="s">
        <v>26270</v>
      </c>
      <c r="BG2718" s="3" t="s">
        <v>26271</v>
      </c>
    </row>
    <row r="2719" spans="1:59" ht="58" x14ac:dyDescent="0.35">
      <c r="A2719" s="2" t="s">
        <v>89</v>
      </c>
      <c r="B2719" s="2" t="s">
        <v>90</v>
      </c>
      <c r="C2719" s="2" t="s">
        <v>26257</v>
      </c>
      <c r="D2719" s="2" t="s">
        <v>26258</v>
      </c>
      <c r="E2719" s="2" t="s">
        <v>26259</v>
      </c>
      <c r="F2719" s="3" t="s">
        <v>2217</v>
      </c>
      <c r="G2719" s="3" t="s">
        <v>61</v>
      </c>
      <c r="I2719" s="3" t="s">
        <v>62</v>
      </c>
      <c r="J2719" s="3" t="s">
        <v>62</v>
      </c>
      <c r="K2719" s="3" t="s">
        <v>63</v>
      </c>
      <c r="L2719" s="2" t="s">
        <v>26260</v>
      </c>
      <c r="M2719" s="2" t="s">
        <v>26261</v>
      </c>
      <c r="N2719" s="3" t="s">
        <v>553</v>
      </c>
      <c r="P2719" s="3" t="s">
        <v>64</v>
      </c>
      <c r="R2719" s="3" t="s">
        <v>25645</v>
      </c>
      <c r="S2719" s="4">
        <v>28</v>
      </c>
      <c r="T2719" s="4">
        <v>60</v>
      </c>
      <c r="U2719" s="5" t="s">
        <v>7194</v>
      </c>
      <c r="V2719" s="5" t="s">
        <v>7194</v>
      </c>
      <c r="W2719" s="5" t="s">
        <v>67</v>
      </c>
      <c r="X2719" s="5" t="s">
        <v>67</v>
      </c>
      <c r="Y2719" s="4">
        <v>260</v>
      </c>
      <c r="Z2719" s="4">
        <v>33</v>
      </c>
      <c r="AA2719" s="4">
        <v>57</v>
      </c>
      <c r="AB2719" s="4">
        <v>1</v>
      </c>
      <c r="AC2719" s="4">
        <v>9</v>
      </c>
      <c r="AD2719" s="4">
        <v>96</v>
      </c>
      <c r="AE2719" s="4">
        <v>105</v>
      </c>
      <c r="AF2719" s="4">
        <v>0</v>
      </c>
      <c r="AG2719" s="4">
        <v>2</v>
      </c>
      <c r="AH2719" s="4">
        <v>79</v>
      </c>
      <c r="AI2719" s="4">
        <v>82</v>
      </c>
      <c r="AJ2719" s="4">
        <v>15</v>
      </c>
      <c r="AK2719" s="4">
        <v>19</v>
      </c>
      <c r="AL2719" s="4">
        <v>46</v>
      </c>
      <c r="AM2719" s="4">
        <v>47</v>
      </c>
      <c r="AN2719" s="4">
        <v>0</v>
      </c>
      <c r="AO2719" s="4">
        <v>0</v>
      </c>
      <c r="AP2719" s="4">
        <v>20</v>
      </c>
      <c r="AQ2719" s="4">
        <v>27</v>
      </c>
      <c r="AR2719" s="3" t="s">
        <v>61</v>
      </c>
      <c r="AS2719" s="3" t="s">
        <v>62</v>
      </c>
      <c r="AT2719" s="3" t="s">
        <v>61</v>
      </c>
      <c r="AU2719" s="6" t="str">
        <f>HYPERLINK("http://catalog.hathitrust.org/Record/004099324","HathiTrust Record")</f>
        <v>HathiTrust Record</v>
      </c>
      <c r="AV2719" s="6" t="str">
        <f>HYPERLINK("http://mcgill.on.worldcat.org/oclc/44313621","Catalog Record")</f>
        <v>Catalog Record</v>
      </c>
      <c r="AW2719" s="6" t="str">
        <f>HYPERLINK("http://www.worldcat.org/oclc/44313621","WorldCat Record")</f>
        <v>WorldCat Record</v>
      </c>
      <c r="AX2719" s="3" t="s">
        <v>26263</v>
      </c>
      <c r="AY2719" s="3" t="s">
        <v>26264</v>
      </c>
      <c r="AZ2719" s="3" t="s">
        <v>26265</v>
      </c>
      <c r="BA2719" s="3" t="s">
        <v>26265</v>
      </c>
      <c r="BB2719" s="3" t="s">
        <v>26272</v>
      </c>
      <c r="BC2719" s="3" t="s">
        <v>102</v>
      </c>
      <c r="BD2719" s="3" t="s">
        <v>68</v>
      </c>
      <c r="BE2719" s="3" t="s">
        <v>26267</v>
      </c>
      <c r="BF2719" s="3" t="s">
        <v>26272</v>
      </c>
      <c r="BG2719" s="3" t="s">
        <v>26273</v>
      </c>
    </row>
    <row r="2720" spans="1:59" ht="58" x14ac:dyDescent="0.35">
      <c r="A2720" s="2" t="s">
        <v>89</v>
      </c>
      <c r="B2720" s="2" t="s">
        <v>90</v>
      </c>
      <c r="C2720" s="2" t="s">
        <v>26274</v>
      </c>
      <c r="D2720" s="2" t="s">
        <v>26275</v>
      </c>
      <c r="E2720" s="2" t="s">
        <v>26276</v>
      </c>
      <c r="G2720" s="3" t="s">
        <v>62</v>
      </c>
      <c r="I2720" s="3" t="s">
        <v>61</v>
      </c>
      <c r="J2720" s="3" t="s">
        <v>62</v>
      </c>
      <c r="K2720" s="3" t="s">
        <v>63</v>
      </c>
      <c r="L2720" s="2" t="s">
        <v>26260</v>
      </c>
      <c r="M2720" s="2" t="s">
        <v>2109</v>
      </c>
      <c r="N2720" s="3" t="s">
        <v>2110</v>
      </c>
      <c r="P2720" s="3" t="s">
        <v>64</v>
      </c>
      <c r="R2720" s="3" t="s">
        <v>25645</v>
      </c>
      <c r="S2720" s="4">
        <v>19</v>
      </c>
      <c r="T2720" s="4">
        <v>50</v>
      </c>
      <c r="U2720" s="5" t="s">
        <v>26277</v>
      </c>
      <c r="V2720" s="5" t="s">
        <v>598</v>
      </c>
      <c r="W2720" s="5" t="s">
        <v>67</v>
      </c>
      <c r="X2720" s="5" t="s">
        <v>67</v>
      </c>
      <c r="Y2720" s="4">
        <v>1139</v>
      </c>
      <c r="Z2720" s="4">
        <v>46</v>
      </c>
      <c r="AA2720" s="4">
        <v>55</v>
      </c>
      <c r="AB2720" s="4">
        <v>3</v>
      </c>
      <c r="AC2720" s="4">
        <v>7</v>
      </c>
      <c r="AD2720" s="4">
        <v>134</v>
      </c>
      <c r="AE2720" s="4">
        <v>143</v>
      </c>
      <c r="AF2720" s="4">
        <v>1</v>
      </c>
      <c r="AG2720" s="4">
        <v>4</v>
      </c>
      <c r="AH2720" s="4">
        <v>109</v>
      </c>
      <c r="AI2720" s="4">
        <v>113</v>
      </c>
      <c r="AJ2720" s="4">
        <v>20</v>
      </c>
      <c r="AK2720" s="4">
        <v>24</v>
      </c>
      <c r="AL2720" s="4">
        <v>56</v>
      </c>
      <c r="AM2720" s="4">
        <v>58</v>
      </c>
      <c r="AN2720" s="4">
        <v>0</v>
      </c>
      <c r="AO2720" s="4">
        <v>4</v>
      </c>
      <c r="AP2720" s="4">
        <v>32</v>
      </c>
      <c r="AQ2720" s="4">
        <v>36</v>
      </c>
      <c r="AR2720" s="3" t="s">
        <v>62</v>
      </c>
      <c r="AS2720" s="3" t="s">
        <v>62</v>
      </c>
      <c r="AT2720" s="3" t="s">
        <v>62</v>
      </c>
      <c r="AV2720" s="6" t="str">
        <f>HYPERLINK("http://mcgill.on.worldcat.org/oclc/3770650","Catalog Record")</f>
        <v>Catalog Record</v>
      </c>
      <c r="AW2720" s="6" t="str">
        <f>HYPERLINK("http://www.worldcat.org/oclc/3770650","WorldCat Record")</f>
        <v>WorldCat Record</v>
      </c>
      <c r="AX2720" s="3" t="s">
        <v>26278</v>
      </c>
      <c r="AY2720" s="3" t="s">
        <v>26279</v>
      </c>
      <c r="AZ2720" s="3" t="s">
        <v>26280</v>
      </c>
      <c r="BA2720" s="3" t="s">
        <v>26280</v>
      </c>
      <c r="BB2720" s="3" t="s">
        <v>26281</v>
      </c>
      <c r="BC2720" s="3" t="s">
        <v>102</v>
      </c>
      <c r="BD2720" s="3" t="s">
        <v>68</v>
      </c>
      <c r="BE2720" s="3" t="s">
        <v>26282</v>
      </c>
      <c r="BF2720" s="3" t="s">
        <v>26281</v>
      </c>
      <c r="BG2720" s="3" t="s">
        <v>26283</v>
      </c>
    </row>
    <row r="2721" spans="1:59" ht="58" x14ac:dyDescent="0.35">
      <c r="A2721" s="2" t="s">
        <v>89</v>
      </c>
      <c r="B2721" s="2" t="s">
        <v>90</v>
      </c>
      <c r="C2721" s="2" t="s">
        <v>26284</v>
      </c>
      <c r="D2721" s="2" t="s">
        <v>26285</v>
      </c>
      <c r="E2721" s="2" t="s">
        <v>26286</v>
      </c>
      <c r="G2721" s="3" t="s">
        <v>62</v>
      </c>
      <c r="I2721" s="3" t="s">
        <v>62</v>
      </c>
      <c r="J2721" s="3" t="s">
        <v>61</v>
      </c>
      <c r="K2721" s="3" t="s">
        <v>63</v>
      </c>
      <c r="L2721" s="2" t="s">
        <v>26287</v>
      </c>
      <c r="M2721" s="2" t="s">
        <v>26288</v>
      </c>
      <c r="N2721" s="3" t="s">
        <v>509</v>
      </c>
      <c r="P2721" s="3" t="s">
        <v>64</v>
      </c>
      <c r="Q2721" s="2" t="s">
        <v>26289</v>
      </c>
      <c r="R2721" s="3" t="s">
        <v>25645</v>
      </c>
      <c r="S2721" s="4">
        <v>43</v>
      </c>
      <c r="T2721" s="4">
        <v>43</v>
      </c>
      <c r="U2721" s="5" t="s">
        <v>2226</v>
      </c>
      <c r="V2721" s="5" t="s">
        <v>2226</v>
      </c>
      <c r="W2721" s="5" t="s">
        <v>67</v>
      </c>
      <c r="X2721" s="5" t="s">
        <v>67</v>
      </c>
      <c r="Y2721" s="4">
        <v>248</v>
      </c>
      <c r="Z2721" s="4">
        <v>16</v>
      </c>
      <c r="AA2721" s="4">
        <v>31</v>
      </c>
      <c r="AB2721" s="4">
        <v>2</v>
      </c>
      <c r="AC2721" s="4">
        <v>3</v>
      </c>
      <c r="AD2721" s="4">
        <v>75</v>
      </c>
      <c r="AE2721" s="4">
        <v>100</v>
      </c>
      <c r="AF2721" s="4">
        <v>1</v>
      </c>
      <c r="AG2721" s="4">
        <v>2</v>
      </c>
      <c r="AH2721" s="4">
        <v>65</v>
      </c>
      <c r="AI2721" s="4">
        <v>85</v>
      </c>
      <c r="AJ2721" s="4">
        <v>11</v>
      </c>
      <c r="AK2721" s="4">
        <v>18</v>
      </c>
      <c r="AL2721" s="4">
        <v>43</v>
      </c>
      <c r="AM2721" s="4">
        <v>47</v>
      </c>
      <c r="AN2721" s="4">
        <v>0</v>
      </c>
      <c r="AO2721" s="4">
        <v>0</v>
      </c>
      <c r="AP2721" s="4">
        <v>12</v>
      </c>
      <c r="AQ2721" s="4">
        <v>18</v>
      </c>
      <c r="AR2721" s="3" t="s">
        <v>62</v>
      </c>
      <c r="AS2721" s="3" t="s">
        <v>62</v>
      </c>
      <c r="AT2721" s="3" t="s">
        <v>61</v>
      </c>
      <c r="AU2721" s="6" t="str">
        <f>HYPERLINK("http://catalog.hathitrust.org/Record/003024132","HathiTrust Record")</f>
        <v>HathiTrust Record</v>
      </c>
      <c r="AV2721" s="6" t="str">
        <f>HYPERLINK("http://mcgill.on.worldcat.org/oclc/31182040","Catalog Record")</f>
        <v>Catalog Record</v>
      </c>
      <c r="AW2721" s="6" t="str">
        <f>HYPERLINK("http://www.worldcat.org/oclc/31182040","WorldCat Record")</f>
        <v>WorldCat Record</v>
      </c>
      <c r="AX2721" s="3" t="s">
        <v>26290</v>
      </c>
      <c r="AY2721" s="3" t="s">
        <v>26291</v>
      </c>
      <c r="AZ2721" s="3" t="s">
        <v>26292</v>
      </c>
      <c r="BA2721" s="3" t="s">
        <v>26292</v>
      </c>
      <c r="BB2721" s="3" t="s">
        <v>26293</v>
      </c>
      <c r="BC2721" s="3" t="s">
        <v>102</v>
      </c>
      <c r="BD2721" s="3" t="s">
        <v>68</v>
      </c>
      <c r="BE2721" s="3" t="s">
        <v>26294</v>
      </c>
      <c r="BF2721" s="3" t="s">
        <v>26293</v>
      </c>
      <c r="BG2721" s="3" t="s">
        <v>26295</v>
      </c>
    </row>
    <row r="2722" spans="1:59" ht="58" x14ac:dyDescent="0.35">
      <c r="A2722" s="2" t="s">
        <v>89</v>
      </c>
      <c r="B2722" s="2" t="s">
        <v>90</v>
      </c>
      <c r="C2722" s="2" t="s">
        <v>26296</v>
      </c>
      <c r="D2722" s="2" t="s">
        <v>26297</v>
      </c>
      <c r="E2722" s="2" t="s">
        <v>26298</v>
      </c>
      <c r="G2722" s="3" t="s">
        <v>62</v>
      </c>
      <c r="I2722" s="3" t="s">
        <v>62</v>
      </c>
      <c r="J2722" s="3" t="s">
        <v>62</v>
      </c>
      <c r="K2722" s="3" t="s">
        <v>63</v>
      </c>
      <c r="L2722" s="2" t="s">
        <v>26299</v>
      </c>
      <c r="M2722" s="2" t="s">
        <v>18932</v>
      </c>
      <c r="N2722" s="3" t="s">
        <v>524</v>
      </c>
      <c r="P2722" s="3" t="s">
        <v>64</v>
      </c>
      <c r="R2722" s="3" t="s">
        <v>25645</v>
      </c>
      <c r="S2722" s="4">
        <v>47</v>
      </c>
      <c r="T2722" s="4">
        <v>47</v>
      </c>
      <c r="U2722" s="5" t="s">
        <v>906</v>
      </c>
      <c r="V2722" s="5" t="s">
        <v>906</v>
      </c>
      <c r="W2722" s="5" t="s">
        <v>67</v>
      </c>
      <c r="X2722" s="5" t="s">
        <v>67</v>
      </c>
      <c r="Y2722" s="4">
        <v>489</v>
      </c>
      <c r="Z2722" s="4">
        <v>32</v>
      </c>
      <c r="AA2722" s="4">
        <v>33</v>
      </c>
      <c r="AB2722" s="4">
        <v>2</v>
      </c>
      <c r="AC2722" s="4">
        <v>3</v>
      </c>
      <c r="AD2722" s="4">
        <v>114</v>
      </c>
      <c r="AE2722" s="4">
        <v>115</v>
      </c>
      <c r="AF2722" s="4">
        <v>1</v>
      </c>
      <c r="AG2722" s="4">
        <v>2</v>
      </c>
      <c r="AH2722" s="4">
        <v>97</v>
      </c>
      <c r="AI2722" s="4">
        <v>97</v>
      </c>
      <c r="AJ2722" s="4">
        <v>19</v>
      </c>
      <c r="AK2722" s="4">
        <v>20</v>
      </c>
      <c r="AL2722" s="4">
        <v>57</v>
      </c>
      <c r="AM2722" s="4">
        <v>57</v>
      </c>
      <c r="AN2722" s="4">
        <v>0</v>
      </c>
      <c r="AO2722" s="4">
        <v>0</v>
      </c>
      <c r="AP2722" s="4">
        <v>24</v>
      </c>
      <c r="AQ2722" s="4">
        <v>25</v>
      </c>
      <c r="AR2722" s="3" t="s">
        <v>62</v>
      </c>
      <c r="AS2722" s="3" t="s">
        <v>62</v>
      </c>
      <c r="AT2722" s="3" t="s">
        <v>62</v>
      </c>
      <c r="AV2722" s="6" t="str">
        <f>HYPERLINK("http://mcgill.on.worldcat.org/oclc/30668444","Catalog Record")</f>
        <v>Catalog Record</v>
      </c>
      <c r="AW2722" s="6" t="str">
        <f>HYPERLINK("http://www.worldcat.org/oclc/30668444","WorldCat Record")</f>
        <v>WorldCat Record</v>
      </c>
      <c r="AX2722" s="3" t="s">
        <v>26300</v>
      </c>
      <c r="AY2722" s="3" t="s">
        <v>26301</v>
      </c>
      <c r="AZ2722" s="3" t="s">
        <v>26302</v>
      </c>
      <c r="BA2722" s="3" t="s">
        <v>26302</v>
      </c>
      <c r="BB2722" s="3" t="s">
        <v>26303</v>
      </c>
      <c r="BC2722" s="3" t="s">
        <v>102</v>
      </c>
      <c r="BD2722" s="3" t="s">
        <v>68</v>
      </c>
      <c r="BE2722" s="3" t="s">
        <v>26304</v>
      </c>
      <c r="BF2722" s="3" t="s">
        <v>26303</v>
      </c>
      <c r="BG2722" s="3" t="s">
        <v>26305</v>
      </c>
    </row>
    <row r="2723" spans="1:59" ht="58" x14ac:dyDescent="0.35">
      <c r="A2723" s="2" t="s">
        <v>89</v>
      </c>
      <c r="B2723" s="2" t="s">
        <v>90</v>
      </c>
      <c r="C2723" s="2" t="s">
        <v>26306</v>
      </c>
      <c r="D2723" s="2" t="s">
        <v>26307</v>
      </c>
      <c r="E2723" s="2" t="s">
        <v>26308</v>
      </c>
      <c r="G2723" s="3" t="s">
        <v>62</v>
      </c>
      <c r="I2723" s="3" t="s">
        <v>62</v>
      </c>
      <c r="J2723" s="3" t="s">
        <v>62</v>
      </c>
      <c r="K2723" s="3" t="s">
        <v>63</v>
      </c>
      <c r="L2723" s="2" t="s">
        <v>25643</v>
      </c>
      <c r="M2723" s="2" t="s">
        <v>26309</v>
      </c>
      <c r="N2723" s="3" t="s">
        <v>26310</v>
      </c>
      <c r="P2723" s="3" t="s">
        <v>64</v>
      </c>
      <c r="R2723" s="3" t="s">
        <v>25645</v>
      </c>
      <c r="S2723" s="4">
        <v>18</v>
      </c>
      <c r="T2723" s="4">
        <v>18</v>
      </c>
      <c r="U2723" s="5" t="s">
        <v>26240</v>
      </c>
      <c r="V2723" s="5" t="s">
        <v>26240</v>
      </c>
      <c r="W2723" s="5" t="s">
        <v>67</v>
      </c>
      <c r="X2723" s="5" t="s">
        <v>67</v>
      </c>
      <c r="Y2723" s="4">
        <v>94</v>
      </c>
      <c r="Z2723" s="4">
        <v>6</v>
      </c>
      <c r="AA2723" s="4">
        <v>9</v>
      </c>
      <c r="AB2723" s="4">
        <v>1</v>
      </c>
      <c r="AC2723" s="4">
        <v>2</v>
      </c>
      <c r="AD2723" s="4">
        <v>29</v>
      </c>
      <c r="AE2723" s="4">
        <v>46</v>
      </c>
      <c r="AF2723" s="4">
        <v>0</v>
      </c>
      <c r="AG2723" s="4">
        <v>0</v>
      </c>
      <c r="AH2723" s="4">
        <v>28</v>
      </c>
      <c r="AI2723" s="4">
        <v>42</v>
      </c>
      <c r="AJ2723" s="4">
        <v>2</v>
      </c>
      <c r="AK2723" s="4">
        <v>3</v>
      </c>
      <c r="AL2723" s="4">
        <v>21</v>
      </c>
      <c r="AM2723" s="4">
        <v>28</v>
      </c>
      <c r="AN2723" s="4">
        <v>0</v>
      </c>
      <c r="AO2723" s="4">
        <v>2</v>
      </c>
      <c r="AP2723" s="4">
        <v>2</v>
      </c>
      <c r="AQ2723" s="4">
        <v>3</v>
      </c>
      <c r="AR2723" s="3" t="s">
        <v>62</v>
      </c>
      <c r="AS2723" s="3" t="s">
        <v>61</v>
      </c>
      <c r="AT2723" s="3" t="s">
        <v>62</v>
      </c>
      <c r="AU2723" s="6" t="str">
        <f>HYPERLINK("http://catalog.hathitrust.org/Record/006055501","HathiTrust Record")</f>
        <v>HathiTrust Record</v>
      </c>
      <c r="AV2723" s="6" t="str">
        <f>HYPERLINK("http://mcgill.on.worldcat.org/oclc/3402085","Catalog Record")</f>
        <v>Catalog Record</v>
      </c>
      <c r="AW2723" s="6" t="str">
        <f>HYPERLINK("http://www.worldcat.org/oclc/3402085","WorldCat Record")</f>
        <v>WorldCat Record</v>
      </c>
      <c r="AX2723" s="3" t="s">
        <v>26311</v>
      </c>
      <c r="AY2723" s="3" t="s">
        <v>26312</v>
      </c>
      <c r="AZ2723" s="3" t="s">
        <v>26313</v>
      </c>
      <c r="BA2723" s="3" t="s">
        <v>26313</v>
      </c>
      <c r="BB2723" s="3" t="s">
        <v>26314</v>
      </c>
      <c r="BC2723" s="3" t="s">
        <v>102</v>
      </c>
      <c r="BD2723" s="3" t="s">
        <v>68</v>
      </c>
      <c r="BF2723" s="3" t="s">
        <v>26314</v>
      </c>
      <c r="BG2723" s="3" t="s">
        <v>26315</v>
      </c>
    </row>
    <row r="2724" spans="1:59" ht="72.5" x14ac:dyDescent="0.35">
      <c r="A2724" s="2" t="s">
        <v>89</v>
      </c>
      <c r="B2724" s="2" t="s">
        <v>90</v>
      </c>
      <c r="C2724" s="2" t="s">
        <v>26316</v>
      </c>
      <c r="D2724" s="2" t="s">
        <v>26317</v>
      </c>
      <c r="E2724" s="2" t="s">
        <v>26318</v>
      </c>
      <c r="G2724" s="3" t="s">
        <v>62</v>
      </c>
      <c r="I2724" s="3" t="s">
        <v>62</v>
      </c>
      <c r="J2724" s="3" t="s">
        <v>61</v>
      </c>
      <c r="K2724" s="3" t="s">
        <v>63</v>
      </c>
      <c r="L2724" s="2" t="s">
        <v>2564</v>
      </c>
      <c r="M2724" s="2" t="s">
        <v>26319</v>
      </c>
      <c r="N2724" s="3" t="s">
        <v>2110</v>
      </c>
      <c r="P2724" s="3" t="s">
        <v>64</v>
      </c>
      <c r="Q2724" s="2" t="s">
        <v>26320</v>
      </c>
      <c r="R2724" s="3" t="s">
        <v>25645</v>
      </c>
      <c r="S2724" s="4">
        <v>31</v>
      </c>
      <c r="T2724" s="4">
        <v>31</v>
      </c>
      <c r="U2724" s="5" t="s">
        <v>8858</v>
      </c>
      <c r="V2724" s="5" t="s">
        <v>8858</v>
      </c>
      <c r="W2724" s="5" t="s">
        <v>67</v>
      </c>
      <c r="X2724" s="5" t="s">
        <v>67</v>
      </c>
      <c r="Y2724" s="4">
        <v>106</v>
      </c>
      <c r="Z2724" s="4">
        <v>12</v>
      </c>
      <c r="AA2724" s="4">
        <v>33</v>
      </c>
      <c r="AB2724" s="4">
        <v>2</v>
      </c>
      <c r="AC2724" s="4">
        <v>2</v>
      </c>
      <c r="AD2724" s="4">
        <v>28</v>
      </c>
      <c r="AE2724" s="4">
        <v>115</v>
      </c>
      <c r="AF2724" s="4">
        <v>1</v>
      </c>
      <c r="AG2724" s="4">
        <v>1</v>
      </c>
      <c r="AH2724" s="4">
        <v>23</v>
      </c>
      <c r="AI2724" s="4">
        <v>97</v>
      </c>
      <c r="AJ2724" s="4">
        <v>6</v>
      </c>
      <c r="AK2724" s="4">
        <v>16</v>
      </c>
      <c r="AL2724" s="4">
        <v>13</v>
      </c>
      <c r="AM2724" s="4">
        <v>55</v>
      </c>
      <c r="AN2724" s="4">
        <v>0</v>
      </c>
      <c r="AO2724" s="4">
        <v>0</v>
      </c>
      <c r="AP2724" s="4">
        <v>9</v>
      </c>
      <c r="AQ2724" s="4">
        <v>26</v>
      </c>
      <c r="AR2724" s="3" t="s">
        <v>62</v>
      </c>
      <c r="AS2724" s="3" t="s">
        <v>62</v>
      </c>
      <c r="AT2724" s="3" t="s">
        <v>61</v>
      </c>
      <c r="AU2724" s="6" t="str">
        <f>HYPERLINK("http://catalog.hathitrust.org/Record/000087409","HathiTrust Record")</f>
        <v>HathiTrust Record</v>
      </c>
      <c r="AV2724" s="6" t="str">
        <f>HYPERLINK("http://mcgill.on.worldcat.org/oclc/4381478","Catalog Record")</f>
        <v>Catalog Record</v>
      </c>
      <c r="AW2724" s="6" t="str">
        <f>HYPERLINK("http://www.worldcat.org/oclc/4381478","WorldCat Record")</f>
        <v>WorldCat Record</v>
      </c>
      <c r="AX2724" s="3" t="s">
        <v>26321</v>
      </c>
      <c r="AY2724" s="3" t="s">
        <v>26322</v>
      </c>
      <c r="AZ2724" s="3" t="s">
        <v>26323</v>
      </c>
      <c r="BA2724" s="3" t="s">
        <v>26323</v>
      </c>
      <c r="BB2724" s="3" t="s">
        <v>26324</v>
      </c>
      <c r="BC2724" s="3" t="s">
        <v>102</v>
      </c>
      <c r="BD2724" s="3" t="s">
        <v>68</v>
      </c>
      <c r="BE2724" s="3" t="s">
        <v>26325</v>
      </c>
      <c r="BF2724" s="3" t="s">
        <v>26324</v>
      </c>
      <c r="BG2724" s="3" t="s">
        <v>26326</v>
      </c>
    </row>
    <row r="2725" spans="1:59" ht="58" x14ac:dyDescent="0.35">
      <c r="A2725" s="2" t="s">
        <v>89</v>
      </c>
      <c r="B2725" s="2" t="s">
        <v>90</v>
      </c>
      <c r="C2725" s="2" t="s">
        <v>26327</v>
      </c>
      <c r="D2725" s="2" t="s">
        <v>26328</v>
      </c>
      <c r="E2725" s="2" t="s">
        <v>26329</v>
      </c>
      <c r="G2725" s="3" t="s">
        <v>62</v>
      </c>
      <c r="I2725" s="3" t="s">
        <v>62</v>
      </c>
      <c r="J2725" s="3" t="s">
        <v>62</v>
      </c>
      <c r="K2725" s="3" t="s">
        <v>63</v>
      </c>
      <c r="L2725" s="2" t="s">
        <v>26330</v>
      </c>
      <c r="M2725" s="2" t="s">
        <v>26331</v>
      </c>
      <c r="N2725" s="3" t="s">
        <v>1455</v>
      </c>
      <c r="P2725" s="3" t="s">
        <v>85</v>
      </c>
      <c r="Q2725" s="2" t="s">
        <v>26332</v>
      </c>
      <c r="R2725" s="3" t="s">
        <v>25645</v>
      </c>
      <c r="S2725" s="4">
        <v>2</v>
      </c>
      <c r="T2725" s="4">
        <v>2</v>
      </c>
      <c r="U2725" s="5" t="s">
        <v>26333</v>
      </c>
      <c r="V2725" s="5" t="s">
        <v>26333</v>
      </c>
      <c r="W2725" s="5" t="s">
        <v>67</v>
      </c>
      <c r="X2725" s="5" t="s">
        <v>67</v>
      </c>
      <c r="Y2725" s="4">
        <v>12</v>
      </c>
      <c r="Z2725" s="4">
        <v>3</v>
      </c>
      <c r="AA2725" s="4">
        <v>3</v>
      </c>
      <c r="AB2725" s="4">
        <v>1</v>
      </c>
      <c r="AC2725" s="4">
        <v>1</v>
      </c>
      <c r="AD2725" s="4">
        <v>3</v>
      </c>
      <c r="AE2725" s="4">
        <v>3</v>
      </c>
      <c r="AF2725" s="4">
        <v>0</v>
      </c>
      <c r="AG2725" s="4">
        <v>0</v>
      </c>
      <c r="AH2725" s="4">
        <v>3</v>
      </c>
      <c r="AI2725" s="4">
        <v>3</v>
      </c>
      <c r="AJ2725" s="4">
        <v>1</v>
      </c>
      <c r="AK2725" s="4">
        <v>1</v>
      </c>
      <c r="AL2725" s="4">
        <v>3</v>
      </c>
      <c r="AM2725" s="4">
        <v>3</v>
      </c>
      <c r="AN2725" s="4">
        <v>0</v>
      </c>
      <c r="AO2725" s="4">
        <v>0</v>
      </c>
      <c r="AP2725" s="4">
        <v>1</v>
      </c>
      <c r="AQ2725" s="4">
        <v>1</v>
      </c>
      <c r="AR2725" s="3" t="s">
        <v>62</v>
      </c>
      <c r="AS2725" s="3" t="s">
        <v>62</v>
      </c>
      <c r="AT2725" s="3" t="s">
        <v>62</v>
      </c>
      <c r="AV2725" s="6" t="str">
        <f>HYPERLINK("http://mcgill.on.worldcat.org/oclc/937370412","Catalog Record")</f>
        <v>Catalog Record</v>
      </c>
      <c r="AW2725" s="6" t="str">
        <f>HYPERLINK("http://www.worldcat.org/oclc/937370412","WorldCat Record")</f>
        <v>WorldCat Record</v>
      </c>
      <c r="AX2725" s="3" t="s">
        <v>26334</v>
      </c>
      <c r="AY2725" s="3" t="s">
        <v>26335</v>
      </c>
      <c r="AZ2725" s="3" t="s">
        <v>26336</v>
      </c>
      <c r="BA2725" s="3" t="s">
        <v>26336</v>
      </c>
      <c r="BB2725" s="3" t="s">
        <v>26337</v>
      </c>
      <c r="BC2725" s="3" t="s">
        <v>102</v>
      </c>
      <c r="BD2725" s="3" t="s">
        <v>68</v>
      </c>
      <c r="BE2725" s="3" t="s">
        <v>26338</v>
      </c>
      <c r="BF2725" s="3" t="s">
        <v>26337</v>
      </c>
      <c r="BG2725" s="3" t="s">
        <v>26339</v>
      </c>
    </row>
    <row r="2726" spans="1:59" ht="72.5" x14ac:dyDescent="0.35">
      <c r="A2726" s="2" t="s">
        <v>89</v>
      </c>
      <c r="B2726" s="2" t="s">
        <v>90</v>
      </c>
      <c r="C2726" s="2" t="s">
        <v>26340</v>
      </c>
      <c r="D2726" s="2" t="s">
        <v>26341</v>
      </c>
      <c r="E2726" s="2" t="s">
        <v>26342</v>
      </c>
      <c r="G2726" s="3" t="s">
        <v>62</v>
      </c>
      <c r="I2726" s="3" t="s">
        <v>62</v>
      </c>
      <c r="J2726" s="3" t="s">
        <v>62</v>
      </c>
      <c r="K2726" s="3" t="s">
        <v>63</v>
      </c>
      <c r="L2726" s="2" t="s">
        <v>26343</v>
      </c>
      <c r="M2726" s="2" t="s">
        <v>26344</v>
      </c>
      <c r="N2726" s="3" t="s">
        <v>1482</v>
      </c>
      <c r="P2726" s="3" t="s">
        <v>64</v>
      </c>
      <c r="R2726" s="3" t="s">
        <v>25645</v>
      </c>
      <c r="S2726" s="4">
        <v>8</v>
      </c>
      <c r="T2726" s="4">
        <v>8</v>
      </c>
      <c r="U2726" s="5" t="s">
        <v>906</v>
      </c>
      <c r="V2726" s="5" t="s">
        <v>906</v>
      </c>
      <c r="W2726" s="5" t="s">
        <v>67</v>
      </c>
      <c r="X2726" s="5" t="s">
        <v>67</v>
      </c>
      <c r="Y2726" s="4">
        <v>301</v>
      </c>
      <c r="Z2726" s="4">
        <v>17</v>
      </c>
      <c r="AA2726" s="4">
        <v>17</v>
      </c>
      <c r="AB2726" s="4">
        <v>3</v>
      </c>
      <c r="AC2726" s="4">
        <v>3</v>
      </c>
      <c r="AD2726" s="4">
        <v>99</v>
      </c>
      <c r="AE2726" s="4">
        <v>99</v>
      </c>
      <c r="AF2726" s="4">
        <v>1</v>
      </c>
      <c r="AG2726" s="4">
        <v>1</v>
      </c>
      <c r="AH2726" s="4">
        <v>90</v>
      </c>
      <c r="AI2726" s="4">
        <v>90</v>
      </c>
      <c r="AJ2726" s="4">
        <v>13</v>
      </c>
      <c r="AK2726" s="4">
        <v>13</v>
      </c>
      <c r="AL2726" s="4">
        <v>52</v>
      </c>
      <c r="AM2726" s="4">
        <v>52</v>
      </c>
      <c r="AN2726" s="4">
        <v>0</v>
      </c>
      <c r="AO2726" s="4">
        <v>0</v>
      </c>
      <c r="AP2726" s="4">
        <v>14</v>
      </c>
      <c r="AQ2726" s="4">
        <v>14</v>
      </c>
      <c r="AR2726" s="3" t="s">
        <v>62</v>
      </c>
      <c r="AS2726" s="3" t="s">
        <v>62</v>
      </c>
      <c r="AT2726" s="3" t="s">
        <v>61</v>
      </c>
      <c r="AU2726" s="6" t="str">
        <f>HYPERLINK("http://catalog.hathitrust.org/Record/000593654","HathiTrust Record")</f>
        <v>HathiTrust Record</v>
      </c>
      <c r="AV2726" s="6" t="str">
        <f>HYPERLINK("http://mcgill.on.worldcat.org/oclc/12695182","Catalog Record")</f>
        <v>Catalog Record</v>
      </c>
      <c r="AW2726" s="6" t="str">
        <f>HYPERLINK("http://www.worldcat.org/oclc/12695182","WorldCat Record")</f>
        <v>WorldCat Record</v>
      </c>
      <c r="AX2726" s="3" t="s">
        <v>26345</v>
      </c>
      <c r="AY2726" s="3" t="s">
        <v>26346</v>
      </c>
      <c r="AZ2726" s="3" t="s">
        <v>26347</v>
      </c>
      <c r="BA2726" s="3" t="s">
        <v>26347</v>
      </c>
      <c r="BB2726" s="3" t="s">
        <v>26348</v>
      </c>
      <c r="BC2726" s="3" t="s">
        <v>102</v>
      </c>
      <c r="BD2726" s="3" t="s">
        <v>68</v>
      </c>
      <c r="BE2726" s="3" t="s">
        <v>26349</v>
      </c>
      <c r="BF2726" s="3" t="s">
        <v>26348</v>
      </c>
      <c r="BG2726" s="3" t="s">
        <v>26350</v>
      </c>
    </row>
    <row r="2727" spans="1:59" ht="58" x14ac:dyDescent="0.35">
      <c r="A2727" s="2" t="s">
        <v>89</v>
      </c>
      <c r="B2727" s="2" t="s">
        <v>90</v>
      </c>
      <c r="C2727" s="2" t="s">
        <v>26351</v>
      </c>
      <c r="D2727" s="2" t="s">
        <v>26352</v>
      </c>
      <c r="E2727" s="2" t="s">
        <v>26353</v>
      </c>
      <c r="G2727" s="3" t="s">
        <v>62</v>
      </c>
      <c r="I2727" s="3" t="s">
        <v>62</v>
      </c>
      <c r="J2727" s="3" t="s">
        <v>62</v>
      </c>
      <c r="K2727" s="3" t="s">
        <v>63</v>
      </c>
      <c r="L2727" s="2" t="s">
        <v>26354</v>
      </c>
      <c r="M2727" s="2" t="s">
        <v>26355</v>
      </c>
      <c r="N2727" s="3" t="s">
        <v>539</v>
      </c>
      <c r="P2727" s="3" t="s">
        <v>64</v>
      </c>
      <c r="R2727" s="3" t="s">
        <v>25645</v>
      </c>
      <c r="S2727" s="4">
        <v>8</v>
      </c>
      <c r="T2727" s="4">
        <v>8</v>
      </c>
      <c r="U2727" s="5" t="s">
        <v>3616</v>
      </c>
      <c r="V2727" s="5" t="s">
        <v>3616</v>
      </c>
      <c r="W2727" s="5" t="s">
        <v>67</v>
      </c>
      <c r="X2727" s="5" t="s">
        <v>67</v>
      </c>
      <c r="Y2727" s="4">
        <v>438</v>
      </c>
      <c r="Z2727" s="4">
        <v>18</v>
      </c>
      <c r="AA2727" s="4">
        <v>20</v>
      </c>
      <c r="AB2727" s="4">
        <v>1</v>
      </c>
      <c r="AC2727" s="4">
        <v>1</v>
      </c>
      <c r="AD2727" s="4">
        <v>95</v>
      </c>
      <c r="AE2727" s="4">
        <v>99</v>
      </c>
      <c r="AF2727" s="4">
        <v>0</v>
      </c>
      <c r="AG2727" s="4">
        <v>0</v>
      </c>
      <c r="AH2727" s="4">
        <v>87</v>
      </c>
      <c r="AI2727" s="4">
        <v>90</v>
      </c>
      <c r="AJ2727" s="4">
        <v>10</v>
      </c>
      <c r="AK2727" s="4">
        <v>12</v>
      </c>
      <c r="AL2727" s="4">
        <v>54</v>
      </c>
      <c r="AM2727" s="4">
        <v>55</v>
      </c>
      <c r="AN2727" s="4">
        <v>0</v>
      </c>
      <c r="AO2727" s="4">
        <v>0</v>
      </c>
      <c r="AP2727" s="4">
        <v>12</v>
      </c>
      <c r="AQ2727" s="4">
        <v>14</v>
      </c>
      <c r="AR2727" s="3" t="s">
        <v>62</v>
      </c>
      <c r="AS2727" s="3" t="s">
        <v>62</v>
      </c>
      <c r="AT2727" s="3" t="s">
        <v>62</v>
      </c>
      <c r="AV2727" s="6" t="str">
        <f>HYPERLINK("http://mcgill.on.worldcat.org/oclc/36696322","Catalog Record")</f>
        <v>Catalog Record</v>
      </c>
      <c r="AW2727" s="6" t="str">
        <f>HYPERLINK("http://www.worldcat.org/oclc/36696322","WorldCat Record")</f>
        <v>WorldCat Record</v>
      </c>
      <c r="AX2727" s="3" t="s">
        <v>26356</v>
      </c>
      <c r="AY2727" s="3" t="s">
        <v>26357</v>
      </c>
      <c r="AZ2727" s="3" t="s">
        <v>26358</v>
      </c>
      <c r="BA2727" s="3" t="s">
        <v>26358</v>
      </c>
      <c r="BB2727" s="3" t="s">
        <v>26359</v>
      </c>
      <c r="BC2727" s="3" t="s">
        <v>102</v>
      </c>
      <c r="BD2727" s="3" t="s">
        <v>68</v>
      </c>
      <c r="BE2727" s="3" t="s">
        <v>26360</v>
      </c>
      <c r="BF2727" s="3" t="s">
        <v>26359</v>
      </c>
      <c r="BG2727" s="3" t="s">
        <v>26361</v>
      </c>
    </row>
    <row r="2728" spans="1:59" ht="58" x14ac:dyDescent="0.35">
      <c r="A2728" s="2" t="s">
        <v>89</v>
      </c>
      <c r="B2728" s="2" t="s">
        <v>90</v>
      </c>
      <c r="C2728" s="2" t="s">
        <v>26362</v>
      </c>
      <c r="D2728" s="2" t="s">
        <v>26363</v>
      </c>
      <c r="E2728" s="2" t="s">
        <v>26364</v>
      </c>
      <c r="G2728" s="3" t="s">
        <v>62</v>
      </c>
      <c r="I2728" s="3" t="s">
        <v>61</v>
      </c>
      <c r="J2728" s="3" t="s">
        <v>62</v>
      </c>
      <c r="K2728" s="3" t="s">
        <v>63</v>
      </c>
      <c r="L2728" s="2" t="s">
        <v>479</v>
      </c>
      <c r="M2728" s="2" t="s">
        <v>26365</v>
      </c>
      <c r="N2728" s="3" t="s">
        <v>6410</v>
      </c>
      <c r="P2728" s="3" t="s">
        <v>64</v>
      </c>
      <c r="R2728" s="3" t="s">
        <v>25645</v>
      </c>
      <c r="S2728" s="4">
        <v>19</v>
      </c>
      <c r="T2728" s="4">
        <v>31</v>
      </c>
      <c r="U2728" s="5" t="s">
        <v>3030</v>
      </c>
      <c r="V2728" s="5" t="s">
        <v>3030</v>
      </c>
      <c r="W2728" s="5" t="s">
        <v>67</v>
      </c>
      <c r="X2728" s="5" t="s">
        <v>67</v>
      </c>
      <c r="Y2728" s="4">
        <v>485</v>
      </c>
      <c r="Z2728" s="4">
        <v>16</v>
      </c>
      <c r="AA2728" s="4">
        <v>21</v>
      </c>
      <c r="AB2728" s="4">
        <v>2</v>
      </c>
      <c r="AC2728" s="4">
        <v>2</v>
      </c>
      <c r="AD2728" s="4">
        <v>96</v>
      </c>
      <c r="AE2728" s="4">
        <v>107</v>
      </c>
      <c r="AF2728" s="4">
        <v>1</v>
      </c>
      <c r="AG2728" s="4">
        <v>1</v>
      </c>
      <c r="AH2728" s="4">
        <v>86</v>
      </c>
      <c r="AI2728" s="4">
        <v>93</v>
      </c>
      <c r="AJ2728" s="4">
        <v>11</v>
      </c>
      <c r="AK2728" s="4">
        <v>14</v>
      </c>
      <c r="AL2728" s="4">
        <v>50</v>
      </c>
      <c r="AM2728" s="4">
        <v>51</v>
      </c>
      <c r="AN2728" s="4">
        <v>0</v>
      </c>
      <c r="AO2728" s="4">
        <v>0</v>
      </c>
      <c r="AP2728" s="4">
        <v>12</v>
      </c>
      <c r="AQ2728" s="4">
        <v>17</v>
      </c>
      <c r="AR2728" s="3" t="s">
        <v>62</v>
      </c>
      <c r="AS2728" s="3" t="s">
        <v>62</v>
      </c>
      <c r="AT2728" s="3" t="s">
        <v>61</v>
      </c>
      <c r="AU2728" s="6" t="str">
        <f>HYPERLINK("http://catalog.hathitrust.org/Record/001475660","HathiTrust Record")</f>
        <v>HathiTrust Record</v>
      </c>
      <c r="AV2728" s="6" t="str">
        <f>HYPERLINK("http://mcgill.on.worldcat.org/oclc/733276","Catalog Record")</f>
        <v>Catalog Record</v>
      </c>
      <c r="AW2728" s="6" t="str">
        <f>HYPERLINK("http://www.worldcat.org/oclc/733276","WorldCat Record")</f>
        <v>WorldCat Record</v>
      </c>
      <c r="AX2728" s="3" t="s">
        <v>26366</v>
      </c>
      <c r="AY2728" s="3" t="s">
        <v>26367</v>
      </c>
      <c r="AZ2728" s="3" t="s">
        <v>26368</v>
      </c>
      <c r="BA2728" s="3" t="s">
        <v>26368</v>
      </c>
      <c r="BB2728" s="3" t="s">
        <v>26369</v>
      </c>
      <c r="BC2728" s="3" t="s">
        <v>102</v>
      </c>
      <c r="BD2728" s="3" t="s">
        <v>68</v>
      </c>
      <c r="BE2728" s="3" t="s">
        <v>26370</v>
      </c>
      <c r="BF2728" s="3" t="s">
        <v>26369</v>
      </c>
      <c r="BG2728" s="3" t="s">
        <v>26371</v>
      </c>
    </row>
    <row r="2729" spans="1:59" ht="58" x14ac:dyDescent="0.35">
      <c r="A2729" s="2" t="s">
        <v>89</v>
      </c>
      <c r="B2729" s="2" t="s">
        <v>90</v>
      </c>
      <c r="C2729" s="2" t="s">
        <v>26372</v>
      </c>
      <c r="D2729" s="2" t="s">
        <v>26373</v>
      </c>
      <c r="E2729" s="2" t="s">
        <v>26374</v>
      </c>
      <c r="G2729" s="3" t="s">
        <v>62</v>
      </c>
      <c r="I2729" s="3" t="s">
        <v>61</v>
      </c>
      <c r="J2729" s="3" t="s">
        <v>62</v>
      </c>
      <c r="K2729" s="3" t="s">
        <v>63</v>
      </c>
      <c r="L2729" s="2" t="s">
        <v>26078</v>
      </c>
      <c r="M2729" s="2" t="s">
        <v>26375</v>
      </c>
      <c r="N2729" s="3" t="s">
        <v>1576</v>
      </c>
      <c r="P2729" s="3" t="s">
        <v>64</v>
      </c>
      <c r="R2729" s="3" t="s">
        <v>25645</v>
      </c>
      <c r="S2729" s="4">
        <v>11</v>
      </c>
      <c r="T2729" s="4">
        <v>11</v>
      </c>
      <c r="U2729" s="5" t="s">
        <v>26376</v>
      </c>
      <c r="V2729" s="5" t="s">
        <v>26376</v>
      </c>
      <c r="W2729" s="5" t="s">
        <v>67</v>
      </c>
      <c r="X2729" s="5" t="s">
        <v>67</v>
      </c>
      <c r="Y2729" s="4">
        <v>310</v>
      </c>
      <c r="Z2729" s="4">
        <v>24</v>
      </c>
      <c r="AA2729" s="4">
        <v>32</v>
      </c>
      <c r="AB2729" s="4">
        <v>2</v>
      </c>
      <c r="AC2729" s="4">
        <v>4</v>
      </c>
      <c r="AD2729" s="4">
        <v>71</v>
      </c>
      <c r="AE2729" s="4">
        <v>100</v>
      </c>
      <c r="AF2729" s="4">
        <v>0</v>
      </c>
      <c r="AG2729" s="4">
        <v>2</v>
      </c>
      <c r="AH2729" s="4">
        <v>62</v>
      </c>
      <c r="AI2729" s="4">
        <v>86</v>
      </c>
      <c r="AJ2729" s="4">
        <v>12</v>
      </c>
      <c r="AK2729" s="4">
        <v>19</v>
      </c>
      <c r="AL2729" s="4">
        <v>36</v>
      </c>
      <c r="AM2729" s="4">
        <v>44</v>
      </c>
      <c r="AN2729" s="4">
        <v>0</v>
      </c>
      <c r="AO2729" s="4">
        <v>5</v>
      </c>
      <c r="AP2729" s="4">
        <v>15</v>
      </c>
      <c r="AQ2729" s="4">
        <v>22</v>
      </c>
      <c r="AR2729" s="3" t="s">
        <v>62</v>
      </c>
      <c r="AS2729" s="3" t="s">
        <v>62</v>
      </c>
      <c r="AT2729" s="3" t="s">
        <v>62</v>
      </c>
      <c r="AV2729" s="6" t="str">
        <f>HYPERLINK("http://mcgill.on.worldcat.org/oclc/513225","Catalog Record")</f>
        <v>Catalog Record</v>
      </c>
      <c r="AW2729" s="6" t="str">
        <f>HYPERLINK("http://www.worldcat.org/oclc/513225","WorldCat Record")</f>
        <v>WorldCat Record</v>
      </c>
      <c r="AX2729" s="3" t="s">
        <v>26377</v>
      </c>
      <c r="AY2729" s="3" t="s">
        <v>26378</v>
      </c>
      <c r="AZ2729" s="3" t="s">
        <v>26379</v>
      </c>
      <c r="BA2729" s="3" t="s">
        <v>26379</v>
      </c>
      <c r="BB2729" s="3" t="s">
        <v>26380</v>
      </c>
      <c r="BC2729" s="3" t="s">
        <v>102</v>
      </c>
      <c r="BD2729" s="3" t="s">
        <v>68</v>
      </c>
      <c r="BF2729" s="3" t="s">
        <v>26380</v>
      </c>
      <c r="BG2729" s="3" t="s">
        <v>26381</v>
      </c>
    </row>
    <row r="2730" spans="1:59" ht="58" x14ac:dyDescent="0.35">
      <c r="A2730" s="2" t="s">
        <v>89</v>
      </c>
      <c r="B2730" s="2" t="s">
        <v>90</v>
      </c>
      <c r="C2730" s="2" t="s">
        <v>26382</v>
      </c>
      <c r="D2730" s="2" t="s">
        <v>26383</v>
      </c>
      <c r="E2730" s="2" t="s">
        <v>26384</v>
      </c>
      <c r="G2730" s="3" t="s">
        <v>62</v>
      </c>
      <c r="I2730" s="3" t="s">
        <v>62</v>
      </c>
      <c r="J2730" s="3" t="s">
        <v>62</v>
      </c>
      <c r="K2730" s="3" t="s">
        <v>63</v>
      </c>
      <c r="L2730" s="2" t="s">
        <v>26195</v>
      </c>
      <c r="M2730" s="2" t="s">
        <v>26385</v>
      </c>
      <c r="N2730" s="3" t="s">
        <v>5251</v>
      </c>
      <c r="P2730" s="3" t="s">
        <v>64</v>
      </c>
      <c r="Q2730" s="2" t="s">
        <v>26386</v>
      </c>
      <c r="R2730" s="3" t="s">
        <v>25645</v>
      </c>
      <c r="S2730" s="4">
        <v>15</v>
      </c>
      <c r="T2730" s="4">
        <v>15</v>
      </c>
      <c r="U2730" s="5" t="s">
        <v>12658</v>
      </c>
      <c r="V2730" s="5" t="s">
        <v>12658</v>
      </c>
      <c r="W2730" s="5" t="s">
        <v>67</v>
      </c>
      <c r="X2730" s="5" t="s">
        <v>67</v>
      </c>
      <c r="Y2730" s="4">
        <v>62</v>
      </c>
      <c r="Z2730" s="4">
        <v>7</v>
      </c>
      <c r="AA2730" s="4">
        <v>20</v>
      </c>
      <c r="AB2730" s="4">
        <v>1</v>
      </c>
      <c r="AC2730" s="4">
        <v>1</v>
      </c>
      <c r="AD2730" s="4">
        <v>29</v>
      </c>
      <c r="AE2730" s="4">
        <v>38</v>
      </c>
      <c r="AF2730" s="4">
        <v>0</v>
      </c>
      <c r="AG2730" s="4">
        <v>0</v>
      </c>
      <c r="AH2730" s="4">
        <v>27</v>
      </c>
      <c r="AI2730" s="4">
        <v>31</v>
      </c>
      <c r="AJ2730" s="4">
        <v>3</v>
      </c>
      <c r="AK2730" s="4">
        <v>5</v>
      </c>
      <c r="AL2730" s="4">
        <v>22</v>
      </c>
      <c r="AM2730" s="4">
        <v>24</v>
      </c>
      <c r="AN2730" s="4">
        <v>0</v>
      </c>
      <c r="AO2730" s="4">
        <v>0</v>
      </c>
      <c r="AP2730" s="4">
        <v>4</v>
      </c>
      <c r="AQ2730" s="4">
        <v>10</v>
      </c>
      <c r="AR2730" s="3" t="s">
        <v>62</v>
      </c>
      <c r="AS2730" s="3" t="s">
        <v>61</v>
      </c>
      <c r="AT2730" s="3" t="s">
        <v>62</v>
      </c>
      <c r="AU2730" s="6" t="str">
        <f>HYPERLINK("http://catalog.hathitrust.org/Record/001475665","HathiTrust Record")</f>
        <v>HathiTrust Record</v>
      </c>
      <c r="AV2730" s="6" t="str">
        <f>HYPERLINK("http://mcgill.on.worldcat.org/oclc/759445","Catalog Record")</f>
        <v>Catalog Record</v>
      </c>
      <c r="AW2730" s="6" t="str">
        <f>HYPERLINK("http://www.worldcat.org/oclc/759445","WorldCat Record")</f>
        <v>WorldCat Record</v>
      </c>
      <c r="AX2730" s="3" t="s">
        <v>26387</v>
      </c>
      <c r="AY2730" s="3" t="s">
        <v>26388</v>
      </c>
      <c r="AZ2730" s="3" t="s">
        <v>26389</v>
      </c>
      <c r="BA2730" s="3" t="s">
        <v>26389</v>
      </c>
      <c r="BB2730" s="3" t="s">
        <v>26390</v>
      </c>
      <c r="BC2730" s="3" t="s">
        <v>102</v>
      </c>
      <c r="BD2730" s="3" t="s">
        <v>68</v>
      </c>
      <c r="BF2730" s="3" t="s">
        <v>26390</v>
      </c>
      <c r="BG2730" s="3" t="s">
        <v>26391</v>
      </c>
    </row>
    <row r="2731" spans="1:59" ht="58" x14ac:dyDescent="0.35">
      <c r="A2731" s="2" t="s">
        <v>89</v>
      </c>
      <c r="B2731" s="2" t="s">
        <v>90</v>
      </c>
      <c r="C2731" s="2" t="s">
        <v>26392</v>
      </c>
      <c r="D2731" s="2" t="s">
        <v>26393</v>
      </c>
      <c r="E2731" s="2" t="s">
        <v>26394</v>
      </c>
      <c r="G2731" s="3" t="s">
        <v>62</v>
      </c>
      <c r="I2731" s="3" t="s">
        <v>62</v>
      </c>
      <c r="J2731" s="3" t="s">
        <v>62</v>
      </c>
      <c r="K2731" s="3" t="s">
        <v>63</v>
      </c>
      <c r="L2731" s="2" t="s">
        <v>26395</v>
      </c>
      <c r="M2731" s="2" t="s">
        <v>26396</v>
      </c>
      <c r="N2731" s="3" t="s">
        <v>201</v>
      </c>
      <c r="O2731" s="2" t="s">
        <v>13315</v>
      </c>
      <c r="P2731" s="3" t="s">
        <v>1881</v>
      </c>
      <c r="Q2731" s="2" t="s">
        <v>26397</v>
      </c>
      <c r="R2731" s="3" t="s">
        <v>25645</v>
      </c>
      <c r="S2731" s="4">
        <v>2</v>
      </c>
      <c r="T2731" s="4">
        <v>2</v>
      </c>
      <c r="U2731" s="5" t="s">
        <v>26376</v>
      </c>
      <c r="V2731" s="5" t="s">
        <v>26376</v>
      </c>
      <c r="W2731" s="5" t="s">
        <v>67</v>
      </c>
      <c r="X2731" s="5" t="s">
        <v>67</v>
      </c>
      <c r="Y2731" s="4">
        <v>40</v>
      </c>
      <c r="Z2731" s="4">
        <v>4</v>
      </c>
      <c r="AA2731" s="4">
        <v>5</v>
      </c>
      <c r="AB2731" s="4">
        <v>1</v>
      </c>
      <c r="AC2731" s="4">
        <v>1</v>
      </c>
      <c r="AD2731" s="4">
        <v>4</v>
      </c>
      <c r="AE2731" s="4">
        <v>17</v>
      </c>
      <c r="AF2731" s="4">
        <v>0</v>
      </c>
      <c r="AG2731" s="4">
        <v>0</v>
      </c>
      <c r="AH2731" s="4">
        <v>3</v>
      </c>
      <c r="AI2731" s="4">
        <v>15</v>
      </c>
      <c r="AJ2731" s="4">
        <v>2</v>
      </c>
      <c r="AK2731" s="4">
        <v>3</v>
      </c>
      <c r="AL2731" s="4">
        <v>3</v>
      </c>
      <c r="AM2731" s="4">
        <v>11</v>
      </c>
      <c r="AN2731" s="4">
        <v>0</v>
      </c>
      <c r="AO2731" s="4">
        <v>0</v>
      </c>
      <c r="AP2731" s="4">
        <v>1</v>
      </c>
      <c r="AQ2731" s="4">
        <v>2</v>
      </c>
      <c r="AR2731" s="3" t="s">
        <v>62</v>
      </c>
      <c r="AS2731" s="3" t="s">
        <v>62</v>
      </c>
      <c r="AT2731" s="3" t="s">
        <v>62</v>
      </c>
      <c r="AV2731" s="6" t="str">
        <f>HYPERLINK("http://mcgill.on.worldcat.org/oclc/2701588","Catalog Record")</f>
        <v>Catalog Record</v>
      </c>
      <c r="AW2731" s="6" t="str">
        <f>HYPERLINK("http://www.worldcat.org/oclc/2701588","WorldCat Record")</f>
        <v>WorldCat Record</v>
      </c>
      <c r="AX2731" s="3" t="s">
        <v>26398</v>
      </c>
      <c r="AY2731" s="3" t="s">
        <v>26399</v>
      </c>
      <c r="AZ2731" s="3" t="s">
        <v>26400</v>
      </c>
      <c r="BA2731" s="3" t="s">
        <v>26400</v>
      </c>
      <c r="BB2731" s="3" t="s">
        <v>26401</v>
      </c>
      <c r="BC2731" s="3" t="s">
        <v>102</v>
      </c>
      <c r="BD2731" s="3" t="s">
        <v>68</v>
      </c>
      <c r="BF2731" s="3" t="s">
        <v>26401</v>
      </c>
      <c r="BG2731" s="3" t="s">
        <v>26402</v>
      </c>
    </row>
    <row r="2732" spans="1:59" ht="58" x14ac:dyDescent="0.35">
      <c r="A2732" s="2" t="s">
        <v>89</v>
      </c>
      <c r="B2732" s="2" t="s">
        <v>90</v>
      </c>
      <c r="C2732" s="2" t="s">
        <v>26403</v>
      </c>
      <c r="D2732" s="2" t="s">
        <v>26404</v>
      </c>
      <c r="E2732" s="2" t="s">
        <v>26405</v>
      </c>
      <c r="G2732" s="3" t="s">
        <v>62</v>
      </c>
      <c r="I2732" s="3" t="s">
        <v>62</v>
      </c>
      <c r="J2732" s="3" t="s">
        <v>62</v>
      </c>
      <c r="K2732" s="3" t="s">
        <v>63</v>
      </c>
      <c r="L2732" s="2" t="s">
        <v>26406</v>
      </c>
      <c r="M2732" s="2" t="s">
        <v>26407</v>
      </c>
      <c r="N2732" s="3" t="s">
        <v>2566</v>
      </c>
      <c r="P2732" s="3" t="s">
        <v>1881</v>
      </c>
      <c r="Q2732" s="2" t="s">
        <v>26408</v>
      </c>
      <c r="R2732" s="3" t="s">
        <v>25645</v>
      </c>
      <c r="S2732" s="4">
        <v>1</v>
      </c>
      <c r="T2732" s="4">
        <v>1</v>
      </c>
      <c r="U2732" s="5" t="s">
        <v>26376</v>
      </c>
      <c r="V2732" s="5" t="s">
        <v>26376</v>
      </c>
      <c r="W2732" s="5" t="s">
        <v>67</v>
      </c>
      <c r="X2732" s="5" t="s">
        <v>67</v>
      </c>
      <c r="Y2732" s="4">
        <v>63</v>
      </c>
      <c r="Z2732" s="4">
        <v>5</v>
      </c>
      <c r="AA2732" s="4">
        <v>7</v>
      </c>
      <c r="AB2732" s="4">
        <v>1</v>
      </c>
      <c r="AC2732" s="4">
        <v>1</v>
      </c>
      <c r="AD2732" s="4">
        <v>29</v>
      </c>
      <c r="AE2732" s="4">
        <v>30</v>
      </c>
      <c r="AF2732" s="4">
        <v>0</v>
      </c>
      <c r="AG2732" s="4">
        <v>0</v>
      </c>
      <c r="AH2732" s="4">
        <v>27</v>
      </c>
      <c r="AI2732" s="4">
        <v>28</v>
      </c>
      <c r="AJ2732" s="4">
        <v>4</v>
      </c>
      <c r="AK2732" s="4">
        <v>5</v>
      </c>
      <c r="AL2732" s="4">
        <v>21</v>
      </c>
      <c r="AM2732" s="4">
        <v>22</v>
      </c>
      <c r="AN2732" s="4">
        <v>0</v>
      </c>
      <c r="AO2732" s="4">
        <v>0</v>
      </c>
      <c r="AP2732" s="4">
        <v>3</v>
      </c>
      <c r="AQ2732" s="4">
        <v>4</v>
      </c>
      <c r="AR2732" s="3" t="s">
        <v>62</v>
      </c>
      <c r="AS2732" s="3" t="s">
        <v>62</v>
      </c>
      <c r="AT2732" s="3" t="s">
        <v>61</v>
      </c>
      <c r="AU2732" s="6" t="str">
        <f>HYPERLINK("http://catalog.hathitrust.org/Record/002490087","HathiTrust Record")</f>
        <v>HathiTrust Record</v>
      </c>
      <c r="AV2732" s="6" t="str">
        <f>HYPERLINK("http://mcgill.on.worldcat.org/oclc/870411","Catalog Record")</f>
        <v>Catalog Record</v>
      </c>
      <c r="AW2732" s="6" t="str">
        <f>HYPERLINK("http://www.worldcat.org/oclc/870411","WorldCat Record")</f>
        <v>WorldCat Record</v>
      </c>
      <c r="AX2732" s="3" t="s">
        <v>26409</v>
      </c>
      <c r="AY2732" s="3" t="s">
        <v>26410</v>
      </c>
      <c r="AZ2732" s="3" t="s">
        <v>26411</v>
      </c>
      <c r="BA2732" s="3" t="s">
        <v>26411</v>
      </c>
      <c r="BB2732" s="3" t="s">
        <v>26412</v>
      </c>
      <c r="BC2732" s="3" t="s">
        <v>102</v>
      </c>
      <c r="BD2732" s="3" t="s">
        <v>68</v>
      </c>
      <c r="BE2732" s="3" t="s">
        <v>26413</v>
      </c>
      <c r="BF2732" s="3" t="s">
        <v>26412</v>
      </c>
      <c r="BG2732" s="3" t="s">
        <v>26414</v>
      </c>
    </row>
    <row r="2733" spans="1:59" ht="72.5" x14ac:dyDescent="0.35">
      <c r="A2733" s="2" t="s">
        <v>89</v>
      </c>
      <c r="B2733" s="2" t="s">
        <v>90</v>
      </c>
      <c r="C2733" s="2" t="s">
        <v>26415</v>
      </c>
      <c r="D2733" s="2" t="s">
        <v>26416</v>
      </c>
      <c r="E2733" s="2" t="s">
        <v>26417</v>
      </c>
      <c r="G2733" s="3" t="s">
        <v>62</v>
      </c>
      <c r="I2733" s="3" t="s">
        <v>62</v>
      </c>
      <c r="J2733" s="3" t="s">
        <v>62</v>
      </c>
      <c r="K2733" s="3" t="s">
        <v>63</v>
      </c>
      <c r="L2733" s="2" t="s">
        <v>26418</v>
      </c>
      <c r="M2733" s="2" t="s">
        <v>26419</v>
      </c>
      <c r="N2733" s="3" t="s">
        <v>481</v>
      </c>
      <c r="P2733" s="3" t="s">
        <v>1881</v>
      </c>
      <c r="Q2733" s="2" t="s">
        <v>26420</v>
      </c>
      <c r="R2733" s="3" t="s">
        <v>25645</v>
      </c>
      <c r="S2733" s="4">
        <v>2</v>
      </c>
      <c r="T2733" s="4">
        <v>2</v>
      </c>
      <c r="U2733" s="5" t="s">
        <v>26376</v>
      </c>
      <c r="V2733" s="5" t="s">
        <v>26376</v>
      </c>
      <c r="W2733" s="5" t="s">
        <v>67</v>
      </c>
      <c r="X2733" s="5" t="s">
        <v>67</v>
      </c>
      <c r="Y2733" s="4">
        <v>59</v>
      </c>
      <c r="Z2733" s="4">
        <v>4</v>
      </c>
      <c r="AA2733" s="4">
        <v>5</v>
      </c>
      <c r="AB2733" s="4">
        <v>1</v>
      </c>
      <c r="AC2733" s="4">
        <v>1</v>
      </c>
      <c r="AD2733" s="4">
        <v>30</v>
      </c>
      <c r="AE2733" s="4">
        <v>30</v>
      </c>
      <c r="AF2733" s="4">
        <v>0</v>
      </c>
      <c r="AG2733" s="4">
        <v>0</v>
      </c>
      <c r="AH2733" s="4">
        <v>29</v>
      </c>
      <c r="AI2733" s="4">
        <v>29</v>
      </c>
      <c r="AJ2733" s="4">
        <v>2</v>
      </c>
      <c r="AK2733" s="4">
        <v>2</v>
      </c>
      <c r="AL2733" s="4">
        <v>21</v>
      </c>
      <c r="AM2733" s="4">
        <v>21</v>
      </c>
      <c r="AN2733" s="4">
        <v>0</v>
      </c>
      <c r="AO2733" s="4">
        <v>0</v>
      </c>
      <c r="AP2733" s="4">
        <v>2</v>
      </c>
      <c r="AQ2733" s="4">
        <v>2</v>
      </c>
      <c r="AR2733" s="3" t="s">
        <v>62</v>
      </c>
      <c r="AS2733" s="3" t="s">
        <v>62</v>
      </c>
      <c r="AT2733" s="3" t="s">
        <v>61</v>
      </c>
      <c r="AU2733" s="6" t="str">
        <f>HYPERLINK("http://catalog.hathitrust.org/Record/006211794","HathiTrust Record")</f>
        <v>HathiTrust Record</v>
      </c>
      <c r="AV2733" s="6" t="str">
        <f>HYPERLINK("http://mcgill.on.worldcat.org/oclc/36661951","Catalog Record")</f>
        <v>Catalog Record</v>
      </c>
      <c r="AW2733" s="6" t="str">
        <f>HYPERLINK("http://www.worldcat.org/oclc/36661951","WorldCat Record")</f>
        <v>WorldCat Record</v>
      </c>
      <c r="AX2733" s="3" t="s">
        <v>26421</v>
      </c>
      <c r="AY2733" s="3" t="s">
        <v>26422</v>
      </c>
      <c r="AZ2733" s="3" t="s">
        <v>26423</v>
      </c>
      <c r="BA2733" s="3" t="s">
        <v>26423</v>
      </c>
      <c r="BB2733" s="3" t="s">
        <v>26424</v>
      </c>
      <c r="BC2733" s="3" t="s">
        <v>102</v>
      </c>
      <c r="BD2733" s="3" t="s">
        <v>68</v>
      </c>
      <c r="BE2733" s="3" t="s">
        <v>26425</v>
      </c>
      <c r="BF2733" s="3" t="s">
        <v>26424</v>
      </c>
      <c r="BG2733" s="3" t="s">
        <v>26426</v>
      </c>
    </row>
    <row r="2734" spans="1:59" ht="58" x14ac:dyDescent="0.35">
      <c r="A2734" s="2" t="s">
        <v>89</v>
      </c>
      <c r="B2734" s="2" t="s">
        <v>90</v>
      </c>
      <c r="C2734" s="2" t="s">
        <v>26427</v>
      </c>
      <c r="D2734" s="2" t="s">
        <v>26428</v>
      </c>
      <c r="E2734" s="2" t="s">
        <v>26429</v>
      </c>
      <c r="G2734" s="3" t="s">
        <v>62</v>
      </c>
      <c r="I2734" s="3" t="s">
        <v>62</v>
      </c>
      <c r="J2734" s="3" t="s">
        <v>62</v>
      </c>
      <c r="K2734" s="3" t="s">
        <v>63</v>
      </c>
      <c r="L2734" s="2" t="s">
        <v>26430</v>
      </c>
      <c r="M2734" s="2" t="s">
        <v>26431</v>
      </c>
      <c r="N2734" s="3" t="s">
        <v>87</v>
      </c>
      <c r="P2734" s="3" t="s">
        <v>85</v>
      </c>
      <c r="Q2734" s="2" t="s">
        <v>26432</v>
      </c>
      <c r="R2734" s="3" t="s">
        <v>25645</v>
      </c>
      <c r="S2734" s="4">
        <v>15</v>
      </c>
      <c r="T2734" s="4">
        <v>15</v>
      </c>
      <c r="U2734" s="5" t="s">
        <v>26376</v>
      </c>
      <c r="V2734" s="5" t="s">
        <v>26376</v>
      </c>
      <c r="W2734" s="5" t="s">
        <v>67</v>
      </c>
      <c r="X2734" s="5" t="s">
        <v>67</v>
      </c>
      <c r="Y2734" s="4">
        <v>84</v>
      </c>
      <c r="Z2734" s="4">
        <v>6</v>
      </c>
      <c r="AA2734" s="4">
        <v>11</v>
      </c>
      <c r="AB2734" s="4">
        <v>2</v>
      </c>
      <c r="AC2734" s="4">
        <v>5</v>
      </c>
      <c r="AD2734" s="4">
        <v>35</v>
      </c>
      <c r="AE2734" s="4">
        <v>40</v>
      </c>
      <c r="AF2734" s="4">
        <v>0</v>
      </c>
      <c r="AG2734" s="4">
        <v>3</v>
      </c>
      <c r="AH2734" s="4">
        <v>32</v>
      </c>
      <c r="AI2734" s="4">
        <v>34</v>
      </c>
      <c r="AJ2734" s="4">
        <v>2</v>
      </c>
      <c r="AK2734" s="4">
        <v>7</v>
      </c>
      <c r="AL2734" s="4">
        <v>26</v>
      </c>
      <c r="AM2734" s="4">
        <v>26</v>
      </c>
      <c r="AN2734" s="4">
        <v>0</v>
      </c>
      <c r="AO2734" s="4">
        <v>0</v>
      </c>
      <c r="AP2734" s="4">
        <v>3</v>
      </c>
      <c r="AQ2734" s="4">
        <v>7</v>
      </c>
      <c r="AR2734" s="3" t="s">
        <v>62</v>
      </c>
      <c r="AS2734" s="3" t="s">
        <v>62</v>
      </c>
      <c r="AT2734" s="3" t="s">
        <v>61</v>
      </c>
      <c r="AU2734" s="6" t="str">
        <f>HYPERLINK("http://catalog.hathitrust.org/Record/000762151","HathiTrust Record")</f>
        <v>HathiTrust Record</v>
      </c>
      <c r="AV2734" s="6" t="str">
        <f>HYPERLINK("http://mcgill.on.worldcat.org/oclc/5133843","Catalog Record")</f>
        <v>Catalog Record</v>
      </c>
      <c r="AW2734" s="6" t="str">
        <f>HYPERLINK("http://www.worldcat.org/oclc/5133843","WorldCat Record")</f>
        <v>WorldCat Record</v>
      </c>
      <c r="AX2734" s="3" t="s">
        <v>26433</v>
      </c>
      <c r="AY2734" s="3" t="s">
        <v>26434</v>
      </c>
      <c r="AZ2734" s="3" t="s">
        <v>26435</v>
      </c>
      <c r="BA2734" s="3" t="s">
        <v>26435</v>
      </c>
      <c r="BB2734" s="3" t="s">
        <v>26436</v>
      </c>
      <c r="BC2734" s="3" t="s">
        <v>102</v>
      </c>
      <c r="BD2734" s="3" t="s">
        <v>68</v>
      </c>
      <c r="BF2734" s="3" t="s">
        <v>26436</v>
      </c>
      <c r="BG2734" s="3" t="s">
        <v>26437</v>
      </c>
    </row>
    <row r="2735" spans="1:59" ht="58" x14ac:dyDescent="0.35">
      <c r="A2735" s="2" t="s">
        <v>89</v>
      </c>
      <c r="B2735" s="2" t="s">
        <v>90</v>
      </c>
      <c r="C2735" s="2" t="s">
        <v>26438</v>
      </c>
      <c r="D2735" s="2" t="s">
        <v>26439</v>
      </c>
      <c r="E2735" s="2" t="s">
        <v>26440</v>
      </c>
      <c r="G2735" s="3" t="s">
        <v>62</v>
      </c>
      <c r="I2735" s="3" t="s">
        <v>62</v>
      </c>
      <c r="J2735" s="3" t="s">
        <v>62</v>
      </c>
      <c r="K2735" s="3" t="s">
        <v>63</v>
      </c>
      <c r="L2735" s="2" t="s">
        <v>26441</v>
      </c>
      <c r="M2735" s="2" t="s">
        <v>582</v>
      </c>
      <c r="N2735" s="3" t="s">
        <v>568</v>
      </c>
      <c r="P2735" s="3" t="s">
        <v>64</v>
      </c>
      <c r="Q2735" s="2" t="s">
        <v>26442</v>
      </c>
      <c r="R2735" s="3" t="s">
        <v>25645</v>
      </c>
      <c r="S2735" s="4">
        <v>3</v>
      </c>
      <c r="T2735" s="4">
        <v>3</v>
      </c>
      <c r="U2735" s="5" t="s">
        <v>26443</v>
      </c>
      <c r="V2735" s="5" t="s">
        <v>26443</v>
      </c>
      <c r="W2735" s="5" t="s">
        <v>67</v>
      </c>
      <c r="X2735" s="5" t="s">
        <v>67</v>
      </c>
      <c r="Y2735" s="4">
        <v>198</v>
      </c>
      <c r="Z2735" s="4">
        <v>11</v>
      </c>
      <c r="AA2735" s="4">
        <v>11</v>
      </c>
      <c r="AB2735" s="4">
        <v>2</v>
      </c>
      <c r="AC2735" s="4">
        <v>2</v>
      </c>
      <c r="AD2735" s="4">
        <v>69</v>
      </c>
      <c r="AE2735" s="4">
        <v>70</v>
      </c>
      <c r="AF2735" s="4">
        <v>0</v>
      </c>
      <c r="AG2735" s="4">
        <v>0</v>
      </c>
      <c r="AH2735" s="4">
        <v>64</v>
      </c>
      <c r="AI2735" s="4">
        <v>65</v>
      </c>
      <c r="AJ2735" s="4">
        <v>7</v>
      </c>
      <c r="AK2735" s="4">
        <v>7</v>
      </c>
      <c r="AL2735" s="4">
        <v>40</v>
      </c>
      <c r="AM2735" s="4">
        <v>40</v>
      </c>
      <c r="AN2735" s="4">
        <v>0</v>
      </c>
      <c r="AO2735" s="4">
        <v>0</v>
      </c>
      <c r="AP2735" s="4">
        <v>8</v>
      </c>
      <c r="AQ2735" s="4">
        <v>8</v>
      </c>
      <c r="AR2735" s="3" t="s">
        <v>62</v>
      </c>
      <c r="AS2735" s="3" t="s">
        <v>62</v>
      </c>
      <c r="AT2735" s="3" t="s">
        <v>62</v>
      </c>
      <c r="AV2735" s="6" t="str">
        <f>HYPERLINK("http://mcgill.on.worldcat.org/oclc/45173003","Catalog Record")</f>
        <v>Catalog Record</v>
      </c>
      <c r="AW2735" s="6" t="str">
        <f>HYPERLINK("http://www.worldcat.org/oclc/45173003","WorldCat Record")</f>
        <v>WorldCat Record</v>
      </c>
      <c r="AX2735" s="3" t="s">
        <v>26444</v>
      </c>
      <c r="AY2735" s="3" t="s">
        <v>26445</v>
      </c>
      <c r="AZ2735" s="3" t="s">
        <v>26446</v>
      </c>
      <c r="BA2735" s="3" t="s">
        <v>26446</v>
      </c>
      <c r="BB2735" s="3" t="s">
        <v>26447</v>
      </c>
      <c r="BC2735" s="3" t="s">
        <v>102</v>
      </c>
      <c r="BD2735" s="3" t="s">
        <v>68</v>
      </c>
      <c r="BE2735" s="3" t="s">
        <v>26448</v>
      </c>
      <c r="BF2735" s="3" t="s">
        <v>26447</v>
      </c>
      <c r="BG2735" s="3" t="s">
        <v>26449</v>
      </c>
    </row>
    <row r="2736" spans="1:59" ht="58" x14ac:dyDescent="0.35">
      <c r="A2736" s="2" t="s">
        <v>89</v>
      </c>
      <c r="B2736" s="2" t="s">
        <v>90</v>
      </c>
      <c r="C2736" s="2" t="s">
        <v>26450</v>
      </c>
      <c r="D2736" s="2" t="s">
        <v>26451</v>
      </c>
      <c r="E2736" s="2" t="s">
        <v>26452</v>
      </c>
      <c r="G2736" s="3" t="s">
        <v>62</v>
      </c>
      <c r="I2736" s="3" t="s">
        <v>62</v>
      </c>
      <c r="J2736" s="3" t="s">
        <v>62</v>
      </c>
      <c r="K2736" s="3" t="s">
        <v>63</v>
      </c>
      <c r="M2736" s="2" t="s">
        <v>26453</v>
      </c>
      <c r="N2736" s="3" t="s">
        <v>2985</v>
      </c>
      <c r="P2736" s="3" t="s">
        <v>64</v>
      </c>
      <c r="Q2736" s="2" t="s">
        <v>26454</v>
      </c>
      <c r="R2736" s="3" t="s">
        <v>25645</v>
      </c>
      <c r="S2736" s="4">
        <v>6</v>
      </c>
      <c r="T2736" s="4">
        <v>6</v>
      </c>
      <c r="U2736" s="5" t="s">
        <v>4966</v>
      </c>
      <c r="V2736" s="5" t="s">
        <v>4966</v>
      </c>
      <c r="W2736" s="5" t="s">
        <v>67</v>
      </c>
      <c r="X2736" s="5" t="s">
        <v>67</v>
      </c>
      <c r="Y2736" s="4">
        <v>131</v>
      </c>
      <c r="Z2736" s="4">
        <v>12</v>
      </c>
      <c r="AA2736" s="4">
        <v>98</v>
      </c>
      <c r="AB2736" s="4">
        <v>1</v>
      </c>
      <c r="AC2736" s="4">
        <v>17</v>
      </c>
      <c r="AD2736" s="4">
        <v>67</v>
      </c>
      <c r="AE2736" s="4">
        <v>134</v>
      </c>
      <c r="AF2736" s="4">
        <v>0</v>
      </c>
      <c r="AG2736" s="4">
        <v>8</v>
      </c>
      <c r="AH2736" s="4">
        <v>64</v>
      </c>
      <c r="AI2736" s="4">
        <v>99</v>
      </c>
      <c r="AJ2736" s="4">
        <v>10</v>
      </c>
      <c r="AK2736" s="4">
        <v>24</v>
      </c>
      <c r="AL2736" s="4">
        <v>41</v>
      </c>
      <c r="AM2736" s="4">
        <v>54</v>
      </c>
      <c r="AN2736" s="4">
        <v>0</v>
      </c>
      <c r="AO2736" s="4">
        <v>0</v>
      </c>
      <c r="AP2736" s="4">
        <v>10</v>
      </c>
      <c r="AQ2736" s="4">
        <v>45</v>
      </c>
      <c r="AR2736" s="3" t="s">
        <v>62</v>
      </c>
      <c r="AS2736" s="3" t="s">
        <v>62</v>
      </c>
      <c r="AT2736" s="3" t="s">
        <v>62</v>
      </c>
      <c r="AV2736" s="6" t="str">
        <f>HYPERLINK("http://mcgill.on.worldcat.org/oclc/429816874","Catalog Record")</f>
        <v>Catalog Record</v>
      </c>
      <c r="AW2736" s="6" t="str">
        <f>HYPERLINK("http://www.worldcat.org/oclc/429816874","WorldCat Record")</f>
        <v>WorldCat Record</v>
      </c>
      <c r="AX2736" s="3" t="s">
        <v>26455</v>
      </c>
      <c r="AY2736" s="3" t="s">
        <v>26456</v>
      </c>
      <c r="AZ2736" s="3" t="s">
        <v>26457</v>
      </c>
      <c r="BA2736" s="3" t="s">
        <v>26457</v>
      </c>
      <c r="BB2736" s="3" t="s">
        <v>26458</v>
      </c>
      <c r="BC2736" s="3" t="s">
        <v>102</v>
      </c>
      <c r="BD2736" s="3" t="s">
        <v>68</v>
      </c>
      <c r="BE2736" s="3" t="s">
        <v>26459</v>
      </c>
      <c r="BF2736" s="3" t="s">
        <v>26458</v>
      </c>
      <c r="BG2736" s="3" t="s">
        <v>26460</v>
      </c>
    </row>
    <row r="2737" spans="1:59" ht="72.5" x14ac:dyDescent="0.35">
      <c r="A2737" s="2" t="s">
        <v>89</v>
      </c>
      <c r="B2737" s="2" t="s">
        <v>90</v>
      </c>
      <c r="C2737" s="2" t="s">
        <v>26461</v>
      </c>
      <c r="D2737" s="2" t="s">
        <v>26462</v>
      </c>
      <c r="E2737" s="2" t="s">
        <v>26463</v>
      </c>
      <c r="G2737" s="3" t="s">
        <v>62</v>
      </c>
      <c r="I2737" s="3" t="s">
        <v>62</v>
      </c>
      <c r="J2737" s="3" t="s">
        <v>62</v>
      </c>
      <c r="K2737" s="3" t="s">
        <v>63</v>
      </c>
      <c r="L2737" s="2" t="s">
        <v>5657</v>
      </c>
      <c r="M2737" s="2" t="s">
        <v>26464</v>
      </c>
      <c r="N2737" s="3" t="s">
        <v>684</v>
      </c>
      <c r="P2737" s="3" t="s">
        <v>64</v>
      </c>
      <c r="Q2737" s="2" t="s">
        <v>5493</v>
      </c>
      <c r="R2737" s="3" t="s">
        <v>25645</v>
      </c>
      <c r="S2737" s="4">
        <v>1</v>
      </c>
      <c r="T2737" s="4">
        <v>1</v>
      </c>
      <c r="U2737" s="5" t="s">
        <v>440</v>
      </c>
      <c r="V2737" s="5" t="s">
        <v>440</v>
      </c>
      <c r="W2737" s="5" t="s">
        <v>67</v>
      </c>
      <c r="X2737" s="5" t="s">
        <v>67</v>
      </c>
      <c r="Y2737" s="4">
        <v>76</v>
      </c>
      <c r="Z2737" s="4">
        <v>10</v>
      </c>
      <c r="AA2737" s="4">
        <v>76</v>
      </c>
      <c r="AB2737" s="4">
        <v>1</v>
      </c>
      <c r="AC2737" s="4">
        <v>14</v>
      </c>
      <c r="AD2737" s="4">
        <v>35</v>
      </c>
      <c r="AE2737" s="4">
        <v>98</v>
      </c>
      <c r="AF2737" s="4">
        <v>0</v>
      </c>
      <c r="AG2737" s="4">
        <v>8</v>
      </c>
      <c r="AH2737" s="4">
        <v>30</v>
      </c>
      <c r="AI2737" s="4">
        <v>66</v>
      </c>
      <c r="AJ2737" s="4">
        <v>8</v>
      </c>
      <c r="AK2737" s="4">
        <v>20</v>
      </c>
      <c r="AL2737" s="4">
        <v>18</v>
      </c>
      <c r="AM2737" s="4">
        <v>32</v>
      </c>
      <c r="AN2737" s="4">
        <v>0</v>
      </c>
      <c r="AO2737" s="4">
        <v>0</v>
      </c>
      <c r="AP2737" s="4">
        <v>9</v>
      </c>
      <c r="AQ2737" s="4">
        <v>40</v>
      </c>
      <c r="AR2737" s="3" t="s">
        <v>62</v>
      </c>
      <c r="AS2737" s="3" t="s">
        <v>62</v>
      </c>
      <c r="AT2737" s="3" t="s">
        <v>62</v>
      </c>
      <c r="AV2737" s="6" t="str">
        <f>HYPERLINK("http://mcgill.on.worldcat.org/oclc/614983355","Catalog Record")</f>
        <v>Catalog Record</v>
      </c>
      <c r="AW2737" s="6" t="str">
        <f>HYPERLINK("http://www.worldcat.org/oclc/614983355","WorldCat Record")</f>
        <v>WorldCat Record</v>
      </c>
      <c r="AX2737" s="3" t="s">
        <v>26465</v>
      </c>
      <c r="AY2737" s="3" t="s">
        <v>26466</v>
      </c>
      <c r="AZ2737" s="3" t="s">
        <v>26467</v>
      </c>
      <c r="BA2737" s="3" t="s">
        <v>26467</v>
      </c>
      <c r="BB2737" s="3" t="s">
        <v>26468</v>
      </c>
      <c r="BC2737" s="3" t="s">
        <v>102</v>
      </c>
      <c r="BD2737" s="3" t="s">
        <v>68</v>
      </c>
      <c r="BE2737" s="3" t="s">
        <v>26469</v>
      </c>
      <c r="BF2737" s="3" t="s">
        <v>26468</v>
      </c>
      <c r="BG2737" s="3" t="s">
        <v>26470</v>
      </c>
    </row>
    <row r="2738" spans="1:59" ht="72.5" x14ac:dyDescent="0.35">
      <c r="A2738" s="2" t="s">
        <v>89</v>
      </c>
      <c r="B2738" s="2" t="s">
        <v>90</v>
      </c>
      <c r="C2738" s="2" t="s">
        <v>26471</v>
      </c>
      <c r="D2738" s="2" t="s">
        <v>26472</v>
      </c>
      <c r="E2738" s="2" t="s">
        <v>26473</v>
      </c>
      <c r="G2738" s="3" t="s">
        <v>62</v>
      </c>
      <c r="I2738" s="3" t="s">
        <v>62</v>
      </c>
      <c r="J2738" s="3" t="s">
        <v>62</v>
      </c>
      <c r="K2738" s="3" t="s">
        <v>63</v>
      </c>
      <c r="L2738" s="2" t="s">
        <v>5657</v>
      </c>
      <c r="M2738" s="2" t="s">
        <v>26474</v>
      </c>
      <c r="N2738" s="3" t="s">
        <v>2985</v>
      </c>
      <c r="P2738" s="3" t="s">
        <v>64</v>
      </c>
      <c r="Q2738" s="2" t="s">
        <v>5493</v>
      </c>
      <c r="R2738" s="3" t="s">
        <v>25645</v>
      </c>
      <c r="S2738" s="4">
        <v>1</v>
      </c>
      <c r="T2738" s="4">
        <v>1</v>
      </c>
      <c r="U2738" s="5" t="s">
        <v>440</v>
      </c>
      <c r="V2738" s="5" t="s">
        <v>440</v>
      </c>
      <c r="W2738" s="5" t="s">
        <v>67</v>
      </c>
      <c r="X2738" s="5" t="s">
        <v>67</v>
      </c>
      <c r="Y2738" s="4">
        <v>94</v>
      </c>
      <c r="Z2738" s="4">
        <v>9</v>
      </c>
      <c r="AA2738" s="4">
        <v>20</v>
      </c>
      <c r="AB2738" s="4">
        <v>1</v>
      </c>
      <c r="AC2738" s="4">
        <v>3</v>
      </c>
      <c r="AD2738" s="4">
        <v>36</v>
      </c>
      <c r="AE2738" s="4">
        <v>42</v>
      </c>
      <c r="AF2738" s="4">
        <v>0</v>
      </c>
      <c r="AG2738" s="4">
        <v>0</v>
      </c>
      <c r="AH2738" s="4">
        <v>33</v>
      </c>
      <c r="AI2738" s="4">
        <v>37</v>
      </c>
      <c r="AJ2738" s="4">
        <v>8</v>
      </c>
      <c r="AK2738" s="4">
        <v>8</v>
      </c>
      <c r="AL2738" s="4">
        <v>23</v>
      </c>
      <c r="AM2738" s="4">
        <v>24</v>
      </c>
      <c r="AN2738" s="4">
        <v>0</v>
      </c>
      <c r="AO2738" s="4">
        <v>0</v>
      </c>
      <c r="AP2738" s="4">
        <v>8</v>
      </c>
      <c r="AQ2738" s="4">
        <v>10</v>
      </c>
      <c r="AR2738" s="3" t="s">
        <v>62</v>
      </c>
      <c r="AS2738" s="3" t="s">
        <v>62</v>
      </c>
      <c r="AT2738" s="3" t="s">
        <v>62</v>
      </c>
      <c r="AV2738" s="6" t="str">
        <f>HYPERLINK("http://mcgill.on.worldcat.org/oclc/317748925","Catalog Record")</f>
        <v>Catalog Record</v>
      </c>
      <c r="AW2738" s="6" t="str">
        <f>HYPERLINK("http://www.worldcat.org/oclc/317748925","WorldCat Record")</f>
        <v>WorldCat Record</v>
      </c>
      <c r="AX2738" s="3" t="s">
        <v>26475</v>
      </c>
      <c r="AY2738" s="3" t="s">
        <v>26476</v>
      </c>
      <c r="AZ2738" s="3" t="s">
        <v>26477</v>
      </c>
      <c r="BA2738" s="3" t="s">
        <v>26477</v>
      </c>
      <c r="BB2738" s="3" t="s">
        <v>26478</v>
      </c>
      <c r="BC2738" s="3" t="s">
        <v>102</v>
      </c>
      <c r="BD2738" s="3" t="s">
        <v>68</v>
      </c>
      <c r="BE2738" s="3" t="s">
        <v>26479</v>
      </c>
      <c r="BF2738" s="3" t="s">
        <v>26478</v>
      </c>
      <c r="BG2738" s="3" t="s">
        <v>26480</v>
      </c>
    </row>
    <row r="2739" spans="1:59" ht="72.5" x14ac:dyDescent="0.35">
      <c r="A2739" s="2" t="s">
        <v>89</v>
      </c>
      <c r="B2739" s="2" t="s">
        <v>90</v>
      </c>
      <c r="C2739" s="2" t="s">
        <v>26481</v>
      </c>
      <c r="D2739" s="2" t="s">
        <v>26482</v>
      </c>
      <c r="E2739" s="2" t="s">
        <v>26483</v>
      </c>
      <c r="G2739" s="3" t="s">
        <v>62</v>
      </c>
      <c r="I2739" s="3" t="s">
        <v>62</v>
      </c>
      <c r="J2739" s="3" t="s">
        <v>62</v>
      </c>
      <c r="K2739" s="3" t="s">
        <v>63</v>
      </c>
      <c r="L2739" s="2" t="s">
        <v>5657</v>
      </c>
      <c r="M2739" s="2" t="s">
        <v>26474</v>
      </c>
      <c r="N2739" s="3" t="s">
        <v>2985</v>
      </c>
      <c r="P2739" s="3" t="s">
        <v>64</v>
      </c>
      <c r="Q2739" s="2" t="s">
        <v>5493</v>
      </c>
      <c r="R2739" s="3" t="s">
        <v>25645</v>
      </c>
      <c r="S2739" s="4">
        <v>2</v>
      </c>
      <c r="T2739" s="4">
        <v>2</v>
      </c>
      <c r="U2739" s="5" t="s">
        <v>10773</v>
      </c>
      <c r="V2739" s="5" t="s">
        <v>10773</v>
      </c>
      <c r="W2739" s="5" t="s">
        <v>67</v>
      </c>
      <c r="X2739" s="5" t="s">
        <v>67</v>
      </c>
      <c r="Y2739" s="4">
        <v>117</v>
      </c>
      <c r="Z2739" s="4">
        <v>14</v>
      </c>
      <c r="AA2739" s="4">
        <v>24</v>
      </c>
      <c r="AB2739" s="4">
        <v>1</v>
      </c>
      <c r="AC2739" s="4">
        <v>2</v>
      </c>
      <c r="AD2739" s="4">
        <v>54</v>
      </c>
      <c r="AE2739" s="4">
        <v>58</v>
      </c>
      <c r="AF2739" s="4">
        <v>0</v>
      </c>
      <c r="AG2739" s="4">
        <v>0</v>
      </c>
      <c r="AH2739" s="4">
        <v>48</v>
      </c>
      <c r="AI2739" s="4">
        <v>50</v>
      </c>
      <c r="AJ2739" s="4">
        <v>12</v>
      </c>
      <c r="AK2739" s="4">
        <v>12</v>
      </c>
      <c r="AL2739" s="4">
        <v>32</v>
      </c>
      <c r="AM2739" s="4">
        <v>32</v>
      </c>
      <c r="AN2739" s="4">
        <v>0</v>
      </c>
      <c r="AO2739" s="4">
        <v>0</v>
      </c>
      <c r="AP2739" s="4">
        <v>12</v>
      </c>
      <c r="AQ2739" s="4">
        <v>14</v>
      </c>
      <c r="AR2739" s="3" t="s">
        <v>62</v>
      </c>
      <c r="AS2739" s="3" t="s">
        <v>62</v>
      </c>
      <c r="AT2739" s="3" t="s">
        <v>62</v>
      </c>
      <c r="AV2739" s="6" t="str">
        <f>HYPERLINK("http://mcgill.on.worldcat.org/oclc/317748924","Catalog Record")</f>
        <v>Catalog Record</v>
      </c>
      <c r="AW2739" s="6" t="str">
        <f>HYPERLINK("http://www.worldcat.org/oclc/317748924","WorldCat Record")</f>
        <v>WorldCat Record</v>
      </c>
      <c r="AX2739" s="3" t="s">
        <v>26484</v>
      </c>
      <c r="AY2739" s="3" t="s">
        <v>26485</v>
      </c>
      <c r="AZ2739" s="3" t="s">
        <v>26486</v>
      </c>
      <c r="BA2739" s="3" t="s">
        <v>26486</v>
      </c>
      <c r="BB2739" s="3" t="s">
        <v>26487</v>
      </c>
      <c r="BC2739" s="3" t="s">
        <v>102</v>
      </c>
      <c r="BD2739" s="3" t="s">
        <v>68</v>
      </c>
      <c r="BE2739" s="3" t="s">
        <v>26488</v>
      </c>
      <c r="BF2739" s="3" t="s">
        <v>26487</v>
      </c>
      <c r="BG2739" s="3" t="s">
        <v>26489</v>
      </c>
    </row>
    <row r="2740" spans="1:59" ht="87" x14ac:dyDescent="0.35">
      <c r="A2740" s="2" t="s">
        <v>89</v>
      </c>
      <c r="B2740" s="2" t="s">
        <v>90</v>
      </c>
      <c r="C2740" s="2" t="s">
        <v>26490</v>
      </c>
      <c r="D2740" s="2" t="s">
        <v>26491</v>
      </c>
      <c r="E2740" s="2" t="s">
        <v>26492</v>
      </c>
      <c r="G2740" s="3" t="s">
        <v>62</v>
      </c>
      <c r="I2740" s="3" t="s">
        <v>62</v>
      </c>
      <c r="J2740" s="3" t="s">
        <v>62</v>
      </c>
      <c r="K2740" s="3" t="s">
        <v>63</v>
      </c>
      <c r="L2740" s="2" t="s">
        <v>5390</v>
      </c>
      <c r="M2740" s="2" t="s">
        <v>26493</v>
      </c>
      <c r="N2740" s="3" t="s">
        <v>640</v>
      </c>
      <c r="P2740" s="3" t="s">
        <v>64</v>
      </c>
      <c r="Q2740" s="2" t="s">
        <v>26494</v>
      </c>
      <c r="R2740" s="3" t="s">
        <v>25645</v>
      </c>
      <c r="S2740" s="4">
        <v>13</v>
      </c>
      <c r="T2740" s="4">
        <v>13</v>
      </c>
      <c r="U2740" s="5" t="s">
        <v>20522</v>
      </c>
      <c r="V2740" s="5" t="s">
        <v>20522</v>
      </c>
      <c r="W2740" s="5" t="s">
        <v>67</v>
      </c>
      <c r="X2740" s="5" t="s">
        <v>67</v>
      </c>
      <c r="Y2740" s="4">
        <v>18</v>
      </c>
      <c r="Z2740" s="4">
        <v>5</v>
      </c>
      <c r="AA2740" s="4">
        <v>5</v>
      </c>
      <c r="AB2740" s="4">
        <v>1</v>
      </c>
      <c r="AC2740" s="4">
        <v>1</v>
      </c>
      <c r="AD2740" s="4">
        <v>4</v>
      </c>
      <c r="AE2740" s="4">
        <v>4</v>
      </c>
      <c r="AF2740" s="4">
        <v>0</v>
      </c>
      <c r="AG2740" s="4">
        <v>0</v>
      </c>
      <c r="AH2740" s="4">
        <v>3</v>
      </c>
      <c r="AI2740" s="4">
        <v>3</v>
      </c>
      <c r="AJ2740" s="4">
        <v>2</v>
      </c>
      <c r="AK2740" s="4">
        <v>2</v>
      </c>
      <c r="AL2740" s="4">
        <v>1</v>
      </c>
      <c r="AM2740" s="4">
        <v>1</v>
      </c>
      <c r="AN2740" s="4">
        <v>0</v>
      </c>
      <c r="AO2740" s="4">
        <v>0</v>
      </c>
      <c r="AP2740" s="4">
        <v>2</v>
      </c>
      <c r="AQ2740" s="4">
        <v>2</v>
      </c>
      <c r="AR2740" s="3" t="s">
        <v>62</v>
      </c>
      <c r="AS2740" s="3" t="s">
        <v>62</v>
      </c>
      <c r="AT2740" s="3" t="s">
        <v>62</v>
      </c>
      <c r="AV2740" s="6" t="str">
        <f>HYPERLINK("http://mcgill.on.worldcat.org/oclc/62355388","Catalog Record")</f>
        <v>Catalog Record</v>
      </c>
      <c r="AW2740" s="6" t="str">
        <f>HYPERLINK("http://www.worldcat.org/oclc/62355388","WorldCat Record")</f>
        <v>WorldCat Record</v>
      </c>
      <c r="AX2740" s="3" t="s">
        <v>26495</v>
      </c>
      <c r="AY2740" s="3" t="s">
        <v>26496</v>
      </c>
      <c r="AZ2740" s="3" t="s">
        <v>26497</v>
      </c>
      <c r="BA2740" s="3" t="s">
        <v>26497</v>
      </c>
      <c r="BB2740" s="3" t="s">
        <v>26498</v>
      </c>
      <c r="BC2740" s="3" t="s">
        <v>102</v>
      </c>
      <c r="BD2740" s="3" t="s">
        <v>68</v>
      </c>
      <c r="BE2740" s="3" t="s">
        <v>26499</v>
      </c>
      <c r="BF2740" s="3" t="s">
        <v>26498</v>
      </c>
      <c r="BG2740" s="3" t="s">
        <v>26500</v>
      </c>
    </row>
    <row r="2741" spans="1:59" ht="58" x14ac:dyDescent="0.35">
      <c r="A2741" s="2" t="s">
        <v>89</v>
      </c>
      <c r="B2741" s="2" t="s">
        <v>90</v>
      </c>
      <c r="C2741" s="2" t="s">
        <v>26501</v>
      </c>
      <c r="D2741" s="2" t="s">
        <v>26502</v>
      </c>
      <c r="E2741" s="2" t="s">
        <v>26503</v>
      </c>
      <c r="G2741" s="3" t="s">
        <v>62</v>
      </c>
      <c r="I2741" s="3" t="s">
        <v>62</v>
      </c>
      <c r="J2741" s="3" t="s">
        <v>62</v>
      </c>
      <c r="K2741" s="3" t="s">
        <v>63</v>
      </c>
      <c r="L2741" s="2" t="s">
        <v>5390</v>
      </c>
      <c r="M2741" s="2" t="s">
        <v>26504</v>
      </c>
      <c r="N2741" s="3" t="s">
        <v>524</v>
      </c>
      <c r="P2741" s="3" t="s">
        <v>64</v>
      </c>
      <c r="R2741" s="3" t="s">
        <v>25645</v>
      </c>
      <c r="S2741" s="4">
        <v>25</v>
      </c>
      <c r="T2741" s="4">
        <v>25</v>
      </c>
      <c r="U2741" s="5" t="s">
        <v>11453</v>
      </c>
      <c r="V2741" s="5" t="s">
        <v>11453</v>
      </c>
      <c r="W2741" s="5" t="s">
        <v>67</v>
      </c>
      <c r="X2741" s="5" t="s">
        <v>67</v>
      </c>
      <c r="Y2741" s="4">
        <v>166</v>
      </c>
      <c r="Z2741" s="4">
        <v>13</v>
      </c>
      <c r="AA2741" s="4">
        <v>13</v>
      </c>
      <c r="AB2741" s="4">
        <v>1</v>
      </c>
      <c r="AC2741" s="4">
        <v>1</v>
      </c>
      <c r="AD2741" s="4">
        <v>62</v>
      </c>
      <c r="AE2741" s="4">
        <v>62</v>
      </c>
      <c r="AF2741" s="4">
        <v>0</v>
      </c>
      <c r="AG2741" s="4">
        <v>0</v>
      </c>
      <c r="AH2741" s="4">
        <v>58</v>
      </c>
      <c r="AI2741" s="4">
        <v>58</v>
      </c>
      <c r="AJ2741" s="4">
        <v>8</v>
      </c>
      <c r="AK2741" s="4">
        <v>8</v>
      </c>
      <c r="AL2741" s="4">
        <v>41</v>
      </c>
      <c r="AM2741" s="4">
        <v>41</v>
      </c>
      <c r="AN2741" s="4">
        <v>4</v>
      </c>
      <c r="AO2741" s="4">
        <v>4</v>
      </c>
      <c r="AP2741" s="4">
        <v>8</v>
      </c>
      <c r="AQ2741" s="4">
        <v>8</v>
      </c>
      <c r="AR2741" s="3" t="s">
        <v>62</v>
      </c>
      <c r="AS2741" s="3" t="s">
        <v>62</v>
      </c>
      <c r="AT2741" s="3" t="s">
        <v>61</v>
      </c>
      <c r="AU2741" s="6" t="str">
        <f>HYPERLINK("http://catalog.hathitrust.org/Record/003073538","HathiTrust Record")</f>
        <v>HathiTrust Record</v>
      </c>
      <c r="AV2741" s="6" t="str">
        <f>HYPERLINK("http://mcgill.on.worldcat.org/oclc/37770661","Catalog Record")</f>
        <v>Catalog Record</v>
      </c>
      <c r="AW2741" s="6" t="str">
        <f>HYPERLINK("http://www.worldcat.org/oclc/37770661","WorldCat Record")</f>
        <v>WorldCat Record</v>
      </c>
      <c r="AX2741" s="3" t="s">
        <v>26505</v>
      </c>
      <c r="AY2741" s="3" t="s">
        <v>26506</v>
      </c>
      <c r="AZ2741" s="3" t="s">
        <v>26507</v>
      </c>
      <c r="BA2741" s="3" t="s">
        <v>26507</v>
      </c>
      <c r="BB2741" s="3" t="s">
        <v>26508</v>
      </c>
      <c r="BC2741" s="3" t="s">
        <v>102</v>
      </c>
      <c r="BD2741" s="3" t="s">
        <v>231</v>
      </c>
      <c r="BE2741" s="3" t="s">
        <v>26509</v>
      </c>
      <c r="BF2741" s="3" t="s">
        <v>26508</v>
      </c>
      <c r="BG2741" s="3" t="s">
        <v>26510</v>
      </c>
    </row>
    <row r="2742" spans="1:59" ht="58" x14ac:dyDescent="0.35">
      <c r="A2742" s="2" t="s">
        <v>89</v>
      </c>
      <c r="B2742" s="2" t="s">
        <v>90</v>
      </c>
      <c r="C2742" s="2" t="s">
        <v>26511</v>
      </c>
      <c r="D2742" s="2" t="s">
        <v>26512</v>
      </c>
      <c r="E2742" s="2" t="s">
        <v>26513</v>
      </c>
      <c r="F2742" s="3" t="s">
        <v>2217</v>
      </c>
      <c r="G2742" s="3" t="s">
        <v>61</v>
      </c>
      <c r="I2742" s="3" t="s">
        <v>62</v>
      </c>
      <c r="J2742" s="3" t="s">
        <v>61</v>
      </c>
      <c r="K2742" s="3" t="s">
        <v>63</v>
      </c>
      <c r="L2742" s="2" t="s">
        <v>26514</v>
      </c>
      <c r="M2742" s="2" t="s">
        <v>26515</v>
      </c>
      <c r="N2742" s="3" t="s">
        <v>1455</v>
      </c>
      <c r="P2742" s="3" t="s">
        <v>85</v>
      </c>
      <c r="Q2742" s="2" t="s">
        <v>26516</v>
      </c>
      <c r="R2742" s="3" t="s">
        <v>25645</v>
      </c>
      <c r="S2742" s="4">
        <v>4</v>
      </c>
      <c r="T2742" s="4">
        <v>13</v>
      </c>
      <c r="U2742" s="5" t="s">
        <v>26517</v>
      </c>
      <c r="V2742" s="5" t="s">
        <v>26517</v>
      </c>
      <c r="W2742" s="5" t="s">
        <v>67</v>
      </c>
      <c r="X2742" s="5" t="s">
        <v>67</v>
      </c>
      <c r="Y2742" s="4">
        <v>21</v>
      </c>
      <c r="Z2742" s="4">
        <v>1</v>
      </c>
      <c r="AA2742" s="4">
        <v>13</v>
      </c>
      <c r="AB2742" s="4">
        <v>1</v>
      </c>
      <c r="AC2742" s="4">
        <v>5</v>
      </c>
      <c r="AD2742" s="4">
        <v>5</v>
      </c>
      <c r="AE2742" s="4">
        <v>27</v>
      </c>
      <c r="AF2742" s="4">
        <v>0</v>
      </c>
      <c r="AG2742" s="4">
        <v>3</v>
      </c>
      <c r="AH2742" s="4">
        <v>5</v>
      </c>
      <c r="AI2742" s="4">
        <v>23</v>
      </c>
      <c r="AJ2742" s="4">
        <v>0</v>
      </c>
      <c r="AK2742" s="4">
        <v>9</v>
      </c>
      <c r="AL2742" s="4">
        <v>4</v>
      </c>
      <c r="AM2742" s="4">
        <v>14</v>
      </c>
      <c r="AN2742" s="4">
        <v>0</v>
      </c>
      <c r="AO2742" s="4">
        <v>0</v>
      </c>
      <c r="AP2742" s="4">
        <v>0</v>
      </c>
      <c r="AQ2742" s="4">
        <v>7</v>
      </c>
      <c r="AR2742" s="3" t="s">
        <v>62</v>
      </c>
      <c r="AS2742" s="3" t="s">
        <v>62</v>
      </c>
      <c r="AT2742" s="3" t="s">
        <v>62</v>
      </c>
      <c r="AV2742" s="6" t="str">
        <f>HYPERLINK("http://mcgill.on.worldcat.org/oclc/931934174","Catalog Record")</f>
        <v>Catalog Record</v>
      </c>
      <c r="AW2742" s="6" t="str">
        <f>HYPERLINK("http://www.worldcat.org/oclc/931934174","WorldCat Record")</f>
        <v>WorldCat Record</v>
      </c>
      <c r="AX2742" s="3" t="s">
        <v>26518</v>
      </c>
      <c r="AY2742" s="3" t="s">
        <v>26519</v>
      </c>
      <c r="AZ2742" s="3" t="s">
        <v>26520</v>
      </c>
      <c r="BA2742" s="3" t="s">
        <v>26520</v>
      </c>
      <c r="BB2742" s="3" t="s">
        <v>26521</v>
      </c>
      <c r="BC2742" s="3" t="s">
        <v>102</v>
      </c>
      <c r="BD2742" s="3" t="s">
        <v>68</v>
      </c>
      <c r="BE2742" s="3" t="s">
        <v>26522</v>
      </c>
      <c r="BF2742" s="3" t="s">
        <v>26521</v>
      </c>
      <c r="BG2742" s="3" t="s">
        <v>26523</v>
      </c>
    </row>
    <row r="2743" spans="1:59" ht="58" x14ac:dyDescent="0.35">
      <c r="A2743" s="2" t="s">
        <v>89</v>
      </c>
      <c r="B2743" s="2" t="s">
        <v>90</v>
      </c>
      <c r="C2743" s="2" t="s">
        <v>26511</v>
      </c>
      <c r="D2743" s="2" t="s">
        <v>26512</v>
      </c>
      <c r="E2743" s="2" t="s">
        <v>26513</v>
      </c>
      <c r="F2743" s="3" t="s">
        <v>2233</v>
      </c>
      <c r="G2743" s="3" t="s">
        <v>61</v>
      </c>
      <c r="I2743" s="3" t="s">
        <v>62</v>
      </c>
      <c r="J2743" s="3" t="s">
        <v>61</v>
      </c>
      <c r="K2743" s="3" t="s">
        <v>63</v>
      </c>
      <c r="L2743" s="2" t="s">
        <v>26514</v>
      </c>
      <c r="M2743" s="2" t="s">
        <v>26515</v>
      </c>
      <c r="N2743" s="3" t="s">
        <v>1455</v>
      </c>
      <c r="P2743" s="3" t="s">
        <v>85</v>
      </c>
      <c r="Q2743" s="2" t="s">
        <v>26516</v>
      </c>
      <c r="R2743" s="3" t="s">
        <v>25645</v>
      </c>
      <c r="S2743" s="4">
        <v>5</v>
      </c>
      <c r="T2743" s="4">
        <v>13</v>
      </c>
      <c r="U2743" s="5" t="s">
        <v>26517</v>
      </c>
      <c r="V2743" s="5" t="s">
        <v>26517</v>
      </c>
      <c r="W2743" s="5" t="s">
        <v>67</v>
      </c>
      <c r="X2743" s="5" t="s">
        <v>67</v>
      </c>
      <c r="Y2743" s="4">
        <v>21</v>
      </c>
      <c r="Z2743" s="4">
        <v>1</v>
      </c>
      <c r="AA2743" s="4">
        <v>13</v>
      </c>
      <c r="AB2743" s="4">
        <v>1</v>
      </c>
      <c r="AC2743" s="4">
        <v>5</v>
      </c>
      <c r="AD2743" s="4">
        <v>5</v>
      </c>
      <c r="AE2743" s="4">
        <v>27</v>
      </c>
      <c r="AF2743" s="4">
        <v>0</v>
      </c>
      <c r="AG2743" s="4">
        <v>3</v>
      </c>
      <c r="AH2743" s="4">
        <v>5</v>
      </c>
      <c r="AI2743" s="4">
        <v>23</v>
      </c>
      <c r="AJ2743" s="4">
        <v>0</v>
      </c>
      <c r="AK2743" s="4">
        <v>9</v>
      </c>
      <c r="AL2743" s="4">
        <v>4</v>
      </c>
      <c r="AM2743" s="4">
        <v>14</v>
      </c>
      <c r="AN2743" s="4">
        <v>0</v>
      </c>
      <c r="AO2743" s="4">
        <v>0</v>
      </c>
      <c r="AP2743" s="4">
        <v>0</v>
      </c>
      <c r="AQ2743" s="4">
        <v>7</v>
      </c>
      <c r="AR2743" s="3" t="s">
        <v>62</v>
      </c>
      <c r="AS2743" s="3" t="s">
        <v>62</v>
      </c>
      <c r="AT2743" s="3" t="s">
        <v>62</v>
      </c>
      <c r="AV2743" s="6" t="str">
        <f>HYPERLINK("http://mcgill.on.worldcat.org/oclc/931934174","Catalog Record")</f>
        <v>Catalog Record</v>
      </c>
      <c r="AW2743" s="6" t="str">
        <f>HYPERLINK("http://www.worldcat.org/oclc/931934174","WorldCat Record")</f>
        <v>WorldCat Record</v>
      </c>
      <c r="AX2743" s="3" t="s">
        <v>26518</v>
      </c>
      <c r="AY2743" s="3" t="s">
        <v>26519</v>
      </c>
      <c r="AZ2743" s="3" t="s">
        <v>26520</v>
      </c>
      <c r="BA2743" s="3" t="s">
        <v>26520</v>
      </c>
      <c r="BB2743" s="3" t="s">
        <v>26524</v>
      </c>
      <c r="BC2743" s="3" t="s">
        <v>102</v>
      </c>
      <c r="BD2743" s="3" t="s">
        <v>68</v>
      </c>
      <c r="BE2743" s="3" t="s">
        <v>26522</v>
      </c>
      <c r="BF2743" s="3" t="s">
        <v>26524</v>
      </c>
      <c r="BG2743" s="3" t="s">
        <v>26525</v>
      </c>
    </row>
    <row r="2744" spans="1:59" ht="58" x14ac:dyDescent="0.35">
      <c r="A2744" s="2" t="s">
        <v>89</v>
      </c>
      <c r="B2744" s="2" t="s">
        <v>90</v>
      </c>
      <c r="C2744" s="2" t="s">
        <v>26511</v>
      </c>
      <c r="D2744" s="2" t="s">
        <v>26512</v>
      </c>
      <c r="E2744" s="2" t="s">
        <v>26513</v>
      </c>
      <c r="F2744" s="3" t="s">
        <v>2248</v>
      </c>
      <c r="G2744" s="3" t="s">
        <v>61</v>
      </c>
      <c r="I2744" s="3" t="s">
        <v>62</v>
      </c>
      <c r="J2744" s="3" t="s">
        <v>61</v>
      </c>
      <c r="K2744" s="3" t="s">
        <v>63</v>
      </c>
      <c r="L2744" s="2" t="s">
        <v>26514</v>
      </c>
      <c r="M2744" s="2" t="s">
        <v>26515</v>
      </c>
      <c r="N2744" s="3" t="s">
        <v>1455</v>
      </c>
      <c r="P2744" s="3" t="s">
        <v>85</v>
      </c>
      <c r="Q2744" s="2" t="s">
        <v>26516</v>
      </c>
      <c r="R2744" s="3" t="s">
        <v>25645</v>
      </c>
      <c r="S2744" s="4">
        <v>4</v>
      </c>
      <c r="T2744" s="4">
        <v>13</v>
      </c>
      <c r="U2744" s="5" t="s">
        <v>26517</v>
      </c>
      <c r="V2744" s="5" t="s">
        <v>26517</v>
      </c>
      <c r="W2744" s="5" t="s">
        <v>67</v>
      </c>
      <c r="X2744" s="5" t="s">
        <v>67</v>
      </c>
      <c r="Y2744" s="4">
        <v>21</v>
      </c>
      <c r="Z2744" s="4">
        <v>1</v>
      </c>
      <c r="AA2744" s="4">
        <v>13</v>
      </c>
      <c r="AB2744" s="4">
        <v>1</v>
      </c>
      <c r="AC2744" s="4">
        <v>5</v>
      </c>
      <c r="AD2744" s="4">
        <v>5</v>
      </c>
      <c r="AE2744" s="4">
        <v>27</v>
      </c>
      <c r="AF2744" s="4">
        <v>0</v>
      </c>
      <c r="AG2744" s="4">
        <v>3</v>
      </c>
      <c r="AH2744" s="4">
        <v>5</v>
      </c>
      <c r="AI2744" s="4">
        <v>23</v>
      </c>
      <c r="AJ2744" s="4">
        <v>0</v>
      </c>
      <c r="AK2744" s="4">
        <v>9</v>
      </c>
      <c r="AL2744" s="4">
        <v>4</v>
      </c>
      <c r="AM2744" s="4">
        <v>14</v>
      </c>
      <c r="AN2744" s="4">
        <v>0</v>
      </c>
      <c r="AO2744" s="4">
        <v>0</v>
      </c>
      <c r="AP2744" s="4">
        <v>0</v>
      </c>
      <c r="AQ2744" s="4">
        <v>7</v>
      </c>
      <c r="AR2744" s="3" t="s">
        <v>62</v>
      </c>
      <c r="AS2744" s="3" t="s">
        <v>62</v>
      </c>
      <c r="AT2744" s="3" t="s">
        <v>62</v>
      </c>
      <c r="AV2744" s="6" t="str">
        <f>HYPERLINK("http://mcgill.on.worldcat.org/oclc/931934174","Catalog Record")</f>
        <v>Catalog Record</v>
      </c>
      <c r="AW2744" s="6" t="str">
        <f>HYPERLINK("http://www.worldcat.org/oclc/931934174","WorldCat Record")</f>
        <v>WorldCat Record</v>
      </c>
      <c r="AX2744" s="3" t="s">
        <v>26518</v>
      </c>
      <c r="AY2744" s="3" t="s">
        <v>26519</v>
      </c>
      <c r="AZ2744" s="3" t="s">
        <v>26520</v>
      </c>
      <c r="BA2744" s="3" t="s">
        <v>26520</v>
      </c>
      <c r="BB2744" s="3" t="s">
        <v>26526</v>
      </c>
      <c r="BC2744" s="3" t="s">
        <v>102</v>
      </c>
      <c r="BD2744" s="3" t="s">
        <v>68</v>
      </c>
      <c r="BE2744" s="3" t="s">
        <v>26522</v>
      </c>
      <c r="BF2744" s="3" t="s">
        <v>26526</v>
      </c>
      <c r="BG2744" s="3" t="s">
        <v>26527</v>
      </c>
    </row>
    <row r="2745" spans="1:59" ht="58" x14ac:dyDescent="0.35">
      <c r="A2745" s="2" t="s">
        <v>89</v>
      </c>
      <c r="B2745" s="2" t="s">
        <v>90</v>
      </c>
      <c r="C2745" s="2" t="s">
        <v>26528</v>
      </c>
      <c r="D2745" s="2" t="s">
        <v>26529</v>
      </c>
      <c r="E2745" s="2" t="s">
        <v>26530</v>
      </c>
      <c r="G2745" s="3" t="s">
        <v>62</v>
      </c>
      <c r="I2745" s="3" t="s">
        <v>62</v>
      </c>
      <c r="J2745" s="3" t="s">
        <v>62</v>
      </c>
      <c r="K2745" s="3" t="s">
        <v>63</v>
      </c>
      <c r="L2745" s="2" t="s">
        <v>26531</v>
      </c>
      <c r="M2745" s="2" t="s">
        <v>26532</v>
      </c>
      <c r="N2745" s="3" t="s">
        <v>1195</v>
      </c>
      <c r="O2745" s="2" t="s">
        <v>2163</v>
      </c>
      <c r="P2745" s="3" t="s">
        <v>64</v>
      </c>
      <c r="Q2745" s="2" t="s">
        <v>14063</v>
      </c>
      <c r="R2745" s="3" t="s">
        <v>25645</v>
      </c>
      <c r="S2745" s="4">
        <v>7</v>
      </c>
      <c r="T2745" s="4">
        <v>7</v>
      </c>
      <c r="U2745" s="5" t="s">
        <v>26533</v>
      </c>
      <c r="V2745" s="5" t="s">
        <v>26533</v>
      </c>
      <c r="W2745" s="5" t="s">
        <v>67</v>
      </c>
      <c r="X2745" s="5" t="s">
        <v>67</v>
      </c>
      <c r="Y2745" s="4">
        <v>991</v>
      </c>
      <c r="Z2745" s="4">
        <v>39</v>
      </c>
      <c r="AA2745" s="4">
        <v>40</v>
      </c>
      <c r="AB2745" s="4">
        <v>4</v>
      </c>
      <c r="AC2745" s="4">
        <v>4</v>
      </c>
      <c r="AD2745" s="4">
        <v>110</v>
      </c>
      <c r="AE2745" s="4">
        <v>111</v>
      </c>
      <c r="AF2745" s="4">
        <v>1</v>
      </c>
      <c r="AG2745" s="4">
        <v>1</v>
      </c>
      <c r="AH2745" s="4">
        <v>95</v>
      </c>
      <c r="AI2745" s="4">
        <v>95</v>
      </c>
      <c r="AJ2745" s="4">
        <v>15</v>
      </c>
      <c r="AK2745" s="4">
        <v>16</v>
      </c>
      <c r="AL2745" s="4">
        <v>51</v>
      </c>
      <c r="AM2745" s="4">
        <v>51</v>
      </c>
      <c r="AN2745" s="4">
        <v>0</v>
      </c>
      <c r="AO2745" s="4">
        <v>0</v>
      </c>
      <c r="AP2745" s="4">
        <v>19</v>
      </c>
      <c r="AQ2745" s="4">
        <v>20</v>
      </c>
      <c r="AR2745" s="3" t="s">
        <v>62</v>
      </c>
      <c r="AS2745" s="3" t="s">
        <v>62</v>
      </c>
      <c r="AT2745" s="3" t="s">
        <v>62</v>
      </c>
      <c r="AV2745" s="6" t="str">
        <f>HYPERLINK("http://mcgill.on.worldcat.org/oclc/61479556","Catalog Record")</f>
        <v>Catalog Record</v>
      </c>
      <c r="AW2745" s="6" t="str">
        <f>HYPERLINK("http://www.worldcat.org/oclc/61479556","WorldCat Record")</f>
        <v>WorldCat Record</v>
      </c>
      <c r="AX2745" s="3" t="s">
        <v>26534</v>
      </c>
      <c r="AY2745" s="3" t="s">
        <v>26535</v>
      </c>
      <c r="AZ2745" s="3" t="s">
        <v>26536</v>
      </c>
      <c r="BA2745" s="3" t="s">
        <v>26536</v>
      </c>
      <c r="BB2745" s="3" t="s">
        <v>26537</v>
      </c>
      <c r="BC2745" s="3" t="s">
        <v>102</v>
      </c>
      <c r="BD2745" s="3" t="s">
        <v>68</v>
      </c>
      <c r="BE2745" s="3" t="s">
        <v>26538</v>
      </c>
      <c r="BF2745" s="3" t="s">
        <v>26537</v>
      </c>
      <c r="BG2745" s="3" t="s">
        <v>26539</v>
      </c>
    </row>
    <row r="2746" spans="1:59" ht="58" x14ac:dyDescent="0.35">
      <c r="A2746" s="2" t="s">
        <v>89</v>
      </c>
      <c r="B2746" s="2" t="s">
        <v>90</v>
      </c>
      <c r="C2746" s="2" t="s">
        <v>26540</v>
      </c>
      <c r="D2746" s="2" t="s">
        <v>26541</v>
      </c>
      <c r="E2746" s="2" t="s">
        <v>26542</v>
      </c>
      <c r="G2746" s="3" t="s">
        <v>62</v>
      </c>
      <c r="I2746" s="3" t="s">
        <v>61</v>
      </c>
      <c r="J2746" s="3" t="s">
        <v>62</v>
      </c>
      <c r="K2746" s="3" t="s">
        <v>63</v>
      </c>
      <c r="L2746" s="2" t="s">
        <v>1618</v>
      </c>
      <c r="M2746" s="2" t="s">
        <v>26543</v>
      </c>
      <c r="N2746" s="3" t="s">
        <v>824</v>
      </c>
      <c r="P2746" s="3" t="s">
        <v>64</v>
      </c>
      <c r="R2746" s="3" t="s">
        <v>25645</v>
      </c>
      <c r="S2746" s="4">
        <v>24</v>
      </c>
      <c r="T2746" s="4">
        <v>156</v>
      </c>
      <c r="U2746" s="5" t="s">
        <v>17135</v>
      </c>
      <c r="V2746" s="5" t="s">
        <v>906</v>
      </c>
      <c r="W2746" s="5" t="s">
        <v>67</v>
      </c>
      <c r="X2746" s="5" t="s">
        <v>67</v>
      </c>
      <c r="Y2746" s="4">
        <v>1369</v>
      </c>
      <c r="Z2746" s="4">
        <v>63</v>
      </c>
      <c r="AA2746" s="4">
        <v>95</v>
      </c>
      <c r="AB2746" s="4">
        <v>5</v>
      </c>
      <c r="AC2746" s="4">
        <v>12</v>
      </c>
      <c r="AD2746" s="4">
        <v>137</v>
      </c>
      <c r="AE2746" s="4">
        <v>159</v>
      </c>
      <c r="AF2746" s="4">
        <v>2</v>
      </c>
      <c r="AG2746" s="4">
        <v>6</v>
      </c>
      <c r="AH2746" s="4">
        <v>108</v>
      </c>
      <c r="AI2746" s="4">
        <v>113</v>
      </c>
      <c r="AJ2746" s="4">
        <v>23</v>
      </c>
      <c r="AK2746" s="4">
        <v>28</v>
      </c>
      <c r="AL2746" s="4">
        <v>58</v>
      </c>
      <c r="AM2746" s="4">
        <v>62</v>
      </c>
      <c r="AN2746" s="4">
        <v>0</v>
      </c>
      <c r="AO2746" s="4">
        <v>2</v>
      </c>
      <c r="AP2746" s="4">
        <v>35</v>
      </c>
      <c r="AQ2746" s="4">
        <v>52</v>
      </c>
      <c r="AR2746" s="3" t="s">
        <v>62</v>
      </c>
      <c r="AS2746" s="3" t="s">
        <v>62</v>
      </c>
      <c r="AT2746" s="3" t="s">
        <v>61</v>
      </c>
      <c r="AU2746" s="6" t="str">
        <f>HYPERLINK("http://catalog.hathitrust.org/Record/001475717","HathiTrust Record")</f>
        <v>HathiTrust Record</v>
      </c>
      <c r="AV2746" s="6" t="str">
        <f>HYPERLINK("http://mcgill.on.worldcat.org/oclc/535467","Catalog Record")</f>
        <v>Catalog Record</v>
      </c>
      <c r="AW2746" s="6" t="str">
        <f>HYPERLINK("http://www.worldcat.org/oclc/535467","WorldCat Record")</f>
        <v>WorldCat Record</v>
      </c>
      <c r="AX2746" s="3" t="s">
        <v>26544</v>
      </c>
      <c r="AY2746" s="3" t="s">
        <v>26545</v>
      </c>
      <c r="AZ2746" s="3" t="s">
        <v>26546</v>
      </c>
      <c r="BA2746" s="3" t="s">
        <v>26546</v>
      </c>
      <c r="BB2746" s="3" t="s">
        <v>26547</v>
      </c>
      <c r="BC2746" s="3" t="s">
        <v>102</v>
      </c>
      <c r="BD2746" s="3" t="s">
        <v>68</v>
      </c>
      <c r="BE2746" s="3" t="s">
        <v>26548</v>
      </c>
      <c r="BF2746" s="3" t="s">
        <v>26547</v>
      </c>
      <c r="BG2746" s="3" t="s">
        <v>26549</v>
      </c>
    </row>
    <row r="2747" spans="1:59" ht="58" x14ac:dyDescent="0.35">
      <c r="A2747" s="2" t="s">
        <v>89</v>
      </c>
      <c r="B2747" s="2" t="s">
        <v>90</v>
      </c>
      <c r="C2747" s="2" t="s">
        <v>26540</v>
      </c>
      <c r="D2747" s="2" t="s">
        <v>26541</v>
      </c>
      <c r="E2747" s="2" t="s">
        <v>26542</v>
      </c>
      <c r="G2747" s="3" t="s">
        <v>62</v>
      </c>
      <c r="I2747" s="3" t="s">
        <v>61</v>
      </c>
      <c r="J2747" s="3" t="s">
        <v>62</v>
      </c>
      <c r="K2747" s="3" t="s">
        <v>63</v>
      </c>
      <c r="L2747" s="2" t="s">
        <v>1618</v>
      </c>
      <c r="M2747" s="2" t="s">
        <v>26543</v>
      </c>
      <c r="N2747" s="3" t="s">
        <v>824</v>
      </c>
      <c r="P2747" s="3" t="s">
        <v>64</v>
      </c>
      <c r="R2747" s="3" t="s">
        <v>25645</v>
      </c>
      <c r="S2747" s="4">
        <v>74</v>
      </c>
      <c r="T2747" s="4">
        <v>156</v>
      </c>
      <c r="U2747" s="5" t="s">
        <v>906</v>
      </c>
      <c r="V2747" s="5" t="s">
        <v>906</v>
      </c>
      <c r="W2747" s="5" t="s">
        <v>67</v>
      </c>
      <c r="X2747" s="5" t="s">
        <v>67</v>
      </c>
      <c r="Y2747" s="4">
        <v>1369</v>
      </c>
      <c r="Z2747" s="4">
        <v>63</v>
      </c>
      <c r="AA2747" s="4">
        <v>95</v>
      </c>
      <c r="AB2747" s="4">
        <v>5</v>
      </c>
      <c r="AC2747" s="4">
        <v>12</v>
      </c>
      <c r="AD2747" s="4">
        <v>137</v>
      </c>
      <c r="AE2747" s="4">
        <v>159</v>
      </c>
      <c r="AF2747" s="4">
        <v>2</v>
      </c>
      <c r="AG2747" s="4">
        <v>6</v>
      </c>
      <c r="AH2747" s="4">
        <v>108</v>
      </c>
      <c r="AI2747" s="4">
        <v>113</v>
      </c>
      <c r="AJ2747" s="4">
        <v>23</v>
      </c>
      <c r="AK2747" s="4">
        <v>28</v>
      </c>
      <c r="AL2747" s="4">
        <v>58</v>
      </c>
      <c r="AM2747" s="4">
        <v>62</v>
      </c>
      <c r="AN2747" s="4">
        <v>0</v>
      </c>
      <c r="AO2747" s="4">
        <v>2</v>
      </c>
      <c r="AP2747" s="4">
        <v>35</v>
      </c>
      <c r="AQ2747" s="4">
        <v>52</v>
      </c>
      <c r="AR2747" s="3" t="s">
        <v>62</v>
      </c>
      <c r="AS2747" s="3" t="s">
        <v>62</v>
      </c>
      <c r="AT2747" s="3" t="s">
        <v>61</v>
      </c>
      <c r="AU2747" s="6" t="str">
        <f>HYPERLINK("http://catalog.hathitrust.org/Record/001475717","HathiTrust Record")</f>
        <v>HathiTrust Record</v>
      </c>
      <c r="AV2747" s="6" t="str">
        <f>HYPERLINK("http://mcgill.on.worldcat.org/oclc/535467","Catalog Record")</f>
        <v>Catalog Record</v>
      </c>
      <c r="AW2747" s="6" t="str">
        <f>HYPERLINK("http://www.worldcat.org/oclc/535467","WorldCat Record")</f>
        <v>WorldCat Record</v>
      </c>
      <c r="AX2747" s="3" t="s">
        <v>26544</v>
      </c>
      <c r="AY2747" s="3" t="s">
        <v>26545</v>
      </c>
      <c r="AZ2747" s="3" t="s">
        <v>26546</v>
      </c>
      <c r="BA2747" s="3" t="s">
        <v>26546</v>
      </c>
      <c r="BB2747" s="3" t="s">
        <v>26550</v>
      </c>
      <c r="BC2747" s="3" t="s">
        <v>102</v>
      </c>
      <c r="BD2747" s="3" t="s">
        <v>68</v>
      </c>
      <c r="BE2747" s="3" t="s">
        <v>26548</v>
      </c>
      <c r="BF2747" s="3" t="s">
        <v>26550</v>
      </c>
      <c r="BG2747" s="3" t="s">
        <v>26551</v>
      </c>
    </row>
    <row r="2748" spans="1:59" ht="58" x14ac:dyDescent="0.35">
      <c r="A2748" s="2" t="s">
        <v>89</v>
      </c>
      <c r="B2748" s="2" t="s">
        <v>90</v>
      </c>
      <c r="C2748" s="2" t="s">
        <v>26552</v>
      </c>
      <c r="D2748" s="2" t="s">
        <v>26553</v>
      </c>
      <c r="E2748" s="2" t="s">
        <v>26554</v>
      </c>
      <c r="G2748" s="3" t="s">
        <v>62</v>
      </c>
      <c r="I2748" s="3" t="s">
        <v>62</v>
      </c>
      <c r="J2748" s="3" t="s">
        <v>62</v>
      </c>
      <c r="K2748" s="3" t="s">
        <v>63</v>
      </c>
      <c r="L2748" s="2" t="s">
        <v>26555</v>
      </c>
      <c r="M2748" s="2" t="s">
        <v>26556</v>
      </c>
      <c r="N2748" s="3" t="s">
        <v>1576</v>
      </c>
      <c r="P2748" s="3" t="s">
        <v>64</v>
      </c>
      <c r="Q2748" s="2" t="s">
        <v>26557</v>
      </c>
      <c r="R2748" s="3" t="s">
        <v>25645</v>
      </c>
      <c r="S2748" s="4">
        <v>18</v>
      </c>
      <c r="T2748" s="4">
        <v>18</v>
      </c>
      <c r="U2748" s="5" t="s">
        <v>7326</v>
      </c>
      <c r="V2748" s="5" t="s">
        <v>7326</v>
      </c>
      <c r="W2748" s="5" t="s">
        <v>67</v>
      </c>
      <c r="X2748" s="5" t="s">
        <v>67</v>
      </c>
      <c r="Y2748" s="4">
        <v>373</v>
      </c>
      <c r="Z2748" s="4">
        <v>29</v>
      </c>
      <c r="AA2748" s="4">
        <v>31</v>
      </c>
      <c r="AB2748" s="4">
        <v>2</v>
      </c>
      <c r="AC2748" s="4">
        <v>3</v>
      </c>
      <c r="AD2748" s="4">
        <v>107</v>
      </c>
      <c r="AE2748" s="4">
        <v>108</v>
      </c>
      <c r="AF2748" s="4">
        <v>1</v>
      </c>
      <c r="AG2748" s="4">
        <v>2</v>
      </c>
      <c r="AH2748" s="4">
        <v>91</v>
      </c>
      <c r="AI2748" s="4">
        <v>92</v>
      </c>
      <c r="AJ2748" s="4">
        <v>19</v>
      </c>
      <c r="AK2748" s="4">
        <v>20</v>
      </c>
      <c r="AL2748" s="4">
        <v>51</v>
      </c>
      <c r="AM2748" s="4">
        <v>51</v>
      </c>
      <c r="AN2748" s="4">
        <v>0</v>
      </c>
      <c r="AO2748" s="4">
        <v>0</v>
      </c>
      <c r="AP2748" s="4">
        <v>25</v>
      </c>
      <c r="AQ2748" s="4">
        <v>26</v>
      </c>
      <c r="AR2748" s="3" t="s">
        <v>62</v>
      </c>
      <c r="AS2748" s="3" t="s">
        <v>62</v>
      </c>
      <c r="AT2748" s="3" t="s">
        <v>61</v>
      </c>
      <c r="AU2748" s="6" t="str">
        <f>HYPERLINK("http://catalog.hathitrust.org/Record/001222565","HathiTrust Record")</f>
        <v>HathiTrust Record</v>
      </c>
      <c r="AV2748" s="6" t="str">
        <f>HYPERLINK("http://mcgill.on.worldcat.org/oclc/519380","Catalog Record")</f>
        <v>Catalog Record</v>
      </c>
      <c r="AW2748" s="6" t="str">
        <f>HYPERLINK("http://www.worldcat.org/oclc/519380","WorldCat Record")</f>
        <v>WorldCat Record</v>
      </c>
      <c r="AX2748" s="3" t="s">
        <v>26558</v>
      </c>
      <c r="AY2748" s="3" t="s">
        <v>26559</v>
      </c>
      <c r="AZ2748" s="3" t="s">
        <v>26560</v>
      </c>
      <c r="BA2748" s="3" t="s">
        <v>26560</v>
      </c>
      <c r="BB2748" s="3" t="s">
        <v>26561</v>
      </c>
      <c r="BC2748" s="3" t="s">
        <v>102</v>
      </c>
      <c r="BD2748" s="3" t="s">
        <v>231</v>
      </c>
      <c r="BF2748" s="3" t="s">
        <v>26561</v>
      </c>
      <c r="BG2748" s="3" t="s">
        <v>26562</v>
      </c>
    </row>
    <row r="2749" spans="1:59" ht="72.5" x14ac:dyDescent="0.35">
      <c r="A2749" s="2" t="s">
        <v>89</v>
      </c>
      <c r="B2749" s="2" t="s">
        <v>90</v>
      </c>
      <c r="C2749" s="2" t="s">
        <v>26563</v>
      </c>
      <c r="D2749" s="2" t="s">
        <v>26564</v>
      </c>
      <c r="E2749" s="2" t="s">
        <v>26565</v>
      </c>
      <c r="G2749" s="3" t="s">
        <v>62</v>
      </c>
      <c r="I2749" s="3" t="s">
        <v>62</v>
      </c>
      <c r="J2749" s="3" t="s">
        <v>61</v>
      </c>
      <c r="K2749" s="3" t="s">
        <v>63</v>
      </c>
      <c r="L2749" s="2" t="s">
        <v>25643</v>
      </c>
      <c r="M2749" s="2" t="s">
        <v>26566</v>
      </c>
      <c r="N2749" s="3" t="s">
        <v>2975</v>
      </c>
      <c r="P2749" s="3" t="s">
        <v>64</v>
      </c>
      <c r="Q2749" s="2" t="s">
        <v>26567</v>
      </c>
      <c r="R2749" s="3" t="s">
        <v>25645</v>
      </c>
      <c r="S2749" s="4">
        <v>9</v>
      </c>
      <c r="T2749" s="4">
        <v>9</v>
      </c>
      <c r="U2749" s="5" t="s">
        <v>26568</v>
      </c>
      <c r="V2749" s="5" t="s">
        <v>26568</v>
      </c>
      <c r="W2749" s="5" t="s">
        <v>67</v>
      </c>
      <c r="X2749" s="5" t="s">
        <v>67</v>
      </c>
      <c r="Y2749" s="4">
        <v>247</v>
      </c>
      <c r="Z2749" s="4">
        <v>13</v>
      </c>
      <c r="AA2749" s="4">
        <v>81</v>
      </c>
      <c r="AB2749" s="4">
        <v>2</v>
      </c>
      <c r="AC2749" s="4">
        <v>9</v>
      </c>
      <c r="AD2749" s="4">
        <v>35</v>
      </c>
      <c r="AE2749" s="4">
        <v>150</v>
      </c>
      <c r="AF2749" s="4">
        <v>0</v>
      </c>
      <c r="AG2749" s="4">
        <v>4</v>
      </c>
      <c r="AH2749" s="4">
        <v>31</v>
      </c>
      <c r="AI2749" s="4">
        <v>115</v>
      </c>
      <c r="AJ2749" s="4">
        <v>1</v>
      </c>
      <c r="AK2749" s="4">
        <v>26</v>
      </c>
      <c r="AL2749" s="4">
        <v>18</v>
      </c>
      <c r="AM2749" s="4">
        <v>62</v>
      </c>
      <c r="AN2749" s="4">
        <v>5</v>
      </c>
      <c r="AO2749" s="4">
        <v>5</v>
      </c>
      <c r="AP2749" s="4">
        <v>4</v>
      </c>
      <c r="AQ2749" s="4">
        <v>40</v>
      </c>
      <c r="AR2749" s="3" t="s">
        <v>62</v>
      </c>
      <c r="AS2749" s="3" t="s">
        <v>62</v>
      </c>
      <c r="AT2749" s="3" t="s">
        <v>61</v>
      </c>
      <c r="AU2749" s="6" t="str">
        <f>HYPERLINK("http://catalog.hathitrust.org/Record/005541934","HathiTrust Record")</f>
        <v>HathiTrust Record</v>
      </c>
      <c r="AV2749" s="6" t="str">
        <f>HYPERLINK("http://mcgill.on.worldcat.org/oclc/46685578","Catalog Record")</f>
        <v>Catalog Record</v>
      </c>
      <c r="AW2749" s="6" t="str">
        <f>HYPERLINK("http://www.worldcat.org/oclc/46685578","WorldCat Record")</f>
        <v>WorldCat Record</v>
      </c>
      <c r="AX2749" s="3" t="s">
        <v>26569</v>
      </c>
      <c r="AY2749" s="3" t="s">
        <v>26570</v>
      </c>
      <c r="AZ2749" s="3" t="s">
        <v>26571</v>
      </c>
      <c r="BA2749" s="3" t="s">
        <v>26571</v>
      </c>
      <c r="BB2749" s="3" t="s">
        <v>26572</v>
      </c>
      <c r="BC2749" s="3" t="s">
        <v>102</v>
      </c>
      <c r="BD2749" s="3" t="s">
        <v>68</v>
      </c>
      <c r="BE2749" s="3" t="s">
        <v>26573</v>
      </c>
      <c r="BF2749" s="3" t="s">
        <v>26572</v>
      </c>
      <c r="BG2749" s="3" t="s">
        <v>26574</v>
      </c>
    </row>
    <row r="2750" spans="1:59" ht="58" x14ac:dyDescent="0.35">
      <c r="A2750" s="2" t="s">
        <v>89</v>
      </c>
      <c r="B2750" s="2" t="s">
        <v>90</v>
      </c>
      <c r="C2750" s="2" t="s">
        <v>26575</v>
      </c>
      <c r="D2750" s="2" t="s">
        <v>26576</v>
      </c>
      <c r="E2750" s="2" t="s">
        <v>26577</v>
      </c>
      <c r="F2750" s="3" t="s">
        <v>26578</v>
      </c>
      <c r="G2750" s="3" t="s">
        <v>61</v>
      </c>
      <c r="I2750" s="3" t="s">
        <v>62</v>
      </c>
      <c r="J2750" s="3" t="s">
        <v>61</v>
      </c>
      <c r="K2750" s="3" t="s">
        <v>63</v>
      </c>
      <c r="L2750" s="2" t="s">
        <v>25643</v>
      </c>
      <c r="M2750" s="2" t="s">
        <v>26579</v>
      </c>
      <c r="N2750" s="3" t="s">
        <v>539</v>
      </c>
      <c r="P2750" s="3" t="s">
        <v>1078</v>
      </c>
      <c r="Q2750" s="2" t="s">
        <v>26580</v>
      </c>
      <c r="R2750" s="3" t="s">
        <v>25645</v>
      </c>
      <c r="S2750" s="4">
        <v>1</v>
      </c>
      <c r="T2750" s="4">
        <v>4</v>
      </c>
      <c r="U2750" s="5" t="s">
        <v>26581</v>
      </c>
      <c r="V2750" s="5" t="s">
        <v>26517</v>
      </c>
      <c r="W2750" s="5" t="s">
        <v>67</v>
      </c>
      <c r="X2750" s="5" t="s">
        <v>67</v>
      </c>
      <c r="Y2750" s="4">
        <v>69</v>
      </c>
      <c r="Z2750" s="4">
        <v>4</v>
      </c>
      <c r="AA2750" s="4">
        <v>12</v>
      </c>
      <c r="AB2750" s="4">
        <v>1</v>
      </c>
      <c r="AC2750" s="4">
        <v>2</v>
      </c>
      <c r="AD2750" s="4">
        <v>40</v>
      </c>
      <c r="AE2750" s="4">
        <v>57</v>
      </c>
      <c r="AF2750" s="4">
        <v>0</v>
      </c>
      <c r="AG2750" s="4">
        <v>1</v>
      </c>
      <c r="AH2750" s="4">
        <v>37</v>
      </c>
      <c r="AI2750" s="4">
        <v>52</v>
      </c>
      <c r="AJ2750" s="4">
        <v>1</v>
      </c>
      <c r="AK2750" s="4">
        <v>8</v>
      </c>
      <c r="AL2750" s="4">
        <v>31</v>
      </c>
      <c r="AM2750" s="4">
        <v>38</v>
      </c>
      <c r="AN2750" s="4">
        <v>0</v>
      </c>
      <c r="AO2750" s="4">
        <v>1</v>
      </c>
      <c r="AP2750" s="4">
        <v>1</v>
      </c>
      <c r="AQ2750" s="4">
        <v>7</v>
      </c>
      <c r="AR2750" s="3" t="s">
        <v>62</v>
      </c>
      <c r="AS2750" s="3" t="s">
        <v>62</v>
      </c>
      <c r="AT2750" s="3" t="s">
        <v>61</v>
      </c>
      <c r="AU2750" s="6" t="str">
        <f>HYPERLINK("http://catalog.hathitrust.org/Record/003332579","HathiTrust Record")</f>
        <v>HathiTrust Record</v>
      </c>
      <c r="AV2750" s="6" t="str">
        <f>HYPERLINK("http://mcgill.on.worldcat.org/oclc/40985663","Catalog Record")</f>
        <v>Catalog Record</v>
      </c>
      <c r="AW2750" s="6" t="str">
        <f>HYPERLINK("http://www.worldcat.org/oclc/40985663","WorldCat Record")</f>
        <v>WorldCat Record</v>
      </c>
      <c r="AX2750" s="3" t="s">
        <v>26582</v>
      </c>
      <c r="AY2750" s="3" t="s">
        <v>26583</v>
      </c>
      <c r="AZ2750" s="3" t="s">
        <v>26584</v>
      </c>
      <c r="BA2750" s="3" t="s">
        <v>26584</v>
      </c>
      <c r="BB2750" s="3" t="s">
        <v>26585</v>
      </c>
      <c r="BC2750" s="3" t="s">
        <v>102</v>
      </c>
      <c r="BD2750" s="3" t="s">
        <v>68</v>
      </c>
      <c r="BF2750" s="3" t="s">
        <v>26585</v>
      </c>
      <c r="BG2750" s="3" t="s">
        <v>26586</v>
      </c>
    </row>
    <row r="2751" spans="1:59" ht="58" x14ac:dyDescent="0.35">
      <c r="A2751" s="2" t="s">
        <v>89</v>
      </c>
      <c r="B2751" s="2" t="s">
        <v>90</v>
      </c>
      <c r="C2751" s="2" t="s">
        <v>26575</v>
      </c>
      <c r="D2751" s="2" t="s">
        <v>26576</v>
      </c>
      <c r="E2751" s="2" t="s">
        <v>26577</v>
      </c>
      <c r="F2751" s="3" t="s">
        <v>15572</v>
      </c>
      <c r="G2751" s="3" t="s">
        <v>61</v>
      </c>
      <c r="I2751" s="3" t="s">
        <v>62</v>
      </c>
      <c r="J2751" s="3" t="s">
        <v>61</v>
      </c>
      <c r="K2751" s="3" t="s">
        <v>63</v>
      </c>
      <c r="L2751" s="2" t="s">
        <v>25643</v>
      </c>
      <c r="M2751" s="2" t="s">
        <v>26579</v>
      </c>
      <c r="N2751" s="3" t="s">
        <v>539</v>
      </c>
      <c r="P2751" s="3" t="s">
        <v>1078</v>
      </c>
      <c r="Q2751" s="2" t="s">
        <v>26580</v>
      </c>
      <c r="R2751" s="3" t="s">
        <v>25645</v>
      </c>
      <c r="S2751" s="4">
        <v>3</v>
      </c>
      <c r="T2751" s="4">
        <v>4</v>
      </c>
      <c r="U2751" s="5" t="s">
        <v>26517</v>
      </c>
      <c r="V2751" s="5" t="s">
        <v>26517</v>
      </c>
      <c r="W2751" s="5" t="s">
        <v>67</v>
      </c>
      <c r="X2751" s="5" t="s">
        <v>67</v>
      </c>
      <c r="Y2751" s="4">
        <v>69</v>
      </c>
      <c r="Z2751" s="4">
        <v>4</v>
      </c>
      <c r="AA2751" s="4">
        <v>12</v>
      </c>
      <c r="AB2751" s="4">
        <v>1</v>
      </c>
      <c r="AC2751" s="4">
        <v>2</v>
      </c>
      <c r="AD2751" s="4">
        <v>40</v>
      </c>
      <c r="AE2751" s="4">
        <v>57</v>
      </c>
      <c r="AF2751" s="4">
        <v>0</v>
      </c>
      <c r="AG2751" s="4">
        <v>1</v>
      </c>
      <c r="AH2751" s="4">
        <v>37</v>
      </c>
      <c r="AI2751" s="4">
        <v>52</v>
      </c>
      <c r="AJ2751" s="4">
        <v>1</v>
      </c>
      <c r="AK2751" s="4">
        <v>8</v>
      </c>
      <c r="AL2751" s="4">
        <v>31</v>
      </c>
      <c r="AM2751" s="4">
        <v>38</v>
      </c>
      <c r="AN2751" s="4">
        <v>0</v>
      </c>
      <c r="AO2751" s="4">
        <v>1</v>
      </c>
      <c r="AP2751" s="4">
        <v>1</v>
      </c>
      <c r="AQ2751" s="4">
        <v>7</v>
      </c>
      <c r="AR2751" s="3" t="s">
        <v>62</v>
      </c>
      <c r="AS2751" s="3" t="s">
        <v>62</v>
      </c>
      <c r="AT2751" s="3" t="s">
        <v>61</v>
      </c>
      <c r="AU2751" s="6" t="str">
        <f>HYPERLINK("http://catalog.hathitrust.org/Record/003332579","HathiTrust Record")</f>
        <v>HathiTrust Record</v>
      </c>
      <c r="AV2751" s="6" t="str">
        <f>HYPERLINK("http://mcgill.on.worldcat.org/oclc/40985663","Catalog Record")</f>
        <v>Catalog Record</v>
      </c>
      <c r="AW2751" s="6" t="str">
        <f>HYPERLINK("http://www.worldcat.org/oclc/40985663","WorldCat Record")</f>
        <v>WorldCat Record</v>
      </c>
      <c r="AX2751" s="3" t="s">
        <v>26582</v>
      </c>
      <c r="AY2751" s="3" t="s">
        <v>26583</v>
      </c>
      <c r="AZ2751" s="3" t="s">
        <v>26584</v>
      </c>
      <c r="BA2751" s="3" t="s">
        <v>26584</v>
      </c>
      <c r="BB2751" s="3" t="s">
        <v>26587</v>
      </c>
      <c r="BC2751" s="3" t="s">
        <v>102</v>
      </c>
      <c r="BD2751" s="3" t="s">
        <v>68</v>
      </c>
      <c r="BF2751" s="3" t="s">
        <v>26587</v>
      </c>
      <c r="BG2751" s="3" t="s">
        <v>26588</v>
      </c>
    </row>
    <row r="2752" spans="1:59" ht="58" x14ac:dyDescent="0.35">
      <c r="A2752" s="2" t="s">
        <v>89</v>
      </c>
      <c r="B2752" s="2" t="s">
        <v>90</v>
      </c>
      <c r="C2752" s="2" t="s">
        <v>26589</v>
      </c>
      <c r="D2752" s="2" t="s">
        <v>26590</v>
      </c>
      <c r="E2752" s="2" t="s">
        <v>26591</v>
      </c>
      <c r="G2752" s="3" t="s">
        <v>62</v>
      </c>
      <c r="I2752" s="3" t="s">
        <v>61</v>
      </c>
      <c r="J2752" s="3" t="s">
        <v>61</v>
      </c>
      <c r="K2752" s="3" t="s">
        <v>63</v>
      </c>
      <c r="L2752" s="2" t="s">
        <v>25643</v>
      </c>
      <c r="M2752" s="2" t="s">
        <v>26592</v>
      </c>
      <c r="N2752" s="3" t="s">
        <v>954</v>
      </c>
      <c r="O2752" s="2" t="s">
        <v>8350</v>
      </c>
      <c r="P2752" s="3" t="s">
        <v>64</v>
      </c>
      <c r="R2752" s="3" t="s">
        <v>25645</v>
      </c>
      <c r="S2752" s="4">
        <v>47</v>
      </c>
      <c r="T2752" s="4">
        <v>81</v>
      </c>
      <c r="U2752" s="5" t="s">
        <v>5429</v>
      </c>
      <c r="V2752" s="5" t="s">
        <v>1642</v>
      </c>
      <c r="W2752" s="5" t="s">
        <v>67</v>
      </c>
      <c r="X2752" s="5" t="s">
        <v>67</v>
      </c>
      <c r="Y2752" s="4">
        <v>679</v>
      </c>
      <c r="Z2752" s="4">
        <v>29</v>
      </c>
      <c r="AA2752" s="4">
        <v>81</v>
      </c>
      <c r="AB2752" s="4">
        <v>3</v>
      </c>
      <c r="AC2752" s="4">
        <v>9</v>
      </c>
      <c r="AD2752" s="4">
        <v>103</v>
      </c>
      <c r="AE2752" s="4">
        <v>150</v>
      </c>
      <c r="AF2752" s="4">
        <v>1</v>
      </c>
      <c r="AG2752" s="4">
        <v>4</v>
      </c>
      <c r="AH2752" s="4">
        <v>86</v>
      </c>
      <c r="AI2752" s="4">
        <v>115</v>
      </c>
      <c r="AJ2752" s="4">
        <v>15</v>
      </c>
      <c r="AK2752" s="4">
        <v>26</v>
      </c>
      <c r="AL2752" s="4">
        <v>46</v>
      </c>
      <c r="AM2752" s="4">
        <v>62</v>
      </c>
      <c r="AN2752" s="4">
        <v>0</v>
      </c>
      <c r="AO2752" s="4">
        <v>5</v>
      </c>
      <c r="AP2752" s="4">
        <v>22</v>
      </c>
      <c r="AQ2752" s="4">
        <v>40</v>
      </c>
      <c r="AR2752" s="3" t="s">
        <v>62</v>
      </c>
      <c r="AS2752" s="3" t="s">
        <v>62</v>
      </c>
      <c r="AT2752" s="3" t="s">
        <v>61</v>
      </c>
      <c r="AU2752" s="6" t="str">
        <f>HYPERLINK("http://catalog.hathitrust.org/Record/000002550","HathiTrust Record")</f>
        <v>HathiTrust Record</v>
      </c>
      <c r="AV2752" s="6" t="str">
        <f>HYPERLINK("http://mcgill.on.worldcat.org/oclc/907697","Catalog Record")</f>
        <v>Catalog Record</v>
      </c>
      <c r="AW2752" s="6" t="str">
        <f>HYPERLINK("http://www.worldcat.org/oclc/907697","WorldCat Record")</f>
        <v>WorldCat Record</v>
      </c>
      <c r="AX2752" s="3" t="s">
        <v>26569</v>
      </c>
      <c r="AY2752" s="3" t="s">
        <v>26593</v>
      </c>
      <c r="AZ2752" s="3" t="s">
        <v>26594</v>
      </c>
      <c r="BA2752" s="3" t="s">
        <v>26594</v>
      </c>
      <c r="BB2752" s="3" t="s">
        <v>26595</v>
      </c>
      <c r="BC2752" s="3" t="s">
        <v>102</v>
      </c>
      <c r="BD2752" s="3" t="s">
        <v>68</v>
      </c>
      <c r="BE2752" s="3" t="s">
        <v>26596</v>
      </c>
      <c r="BF2752" s="3" t="s">
        <v>26595</v>
      </c>
      <c r="BG2752" s="3" t="s">
        <v>26597</v>
      </c>
    </row>
    <row r="2753" spans="1:59" ht="58" x14ac:dyDescent="0.35">
      <c r="A2753" s="2" t="s">
        <v>89</v>
      </c>
      <c r="B2753" s="2" t="s">
        <v>90</v>
      </c>
      <c r="C2753" s="2" t="s">
        <v>26589</v>
      </c>
      <c r="D2753" s="2" t="s">
        <v>26590</v>
      </c>
      <c r="E2753" s="2" t="s">
        <v>26591</v>
      </c>
      <c r="G2753" s="3" t="s">
        <v>62</v>
      </c>
      <c r="I2753" s="3" t="s">
        <v>61</v>
      </c>
      <c r="J2753" s="3" t="s">
        <v>61</v>
      </c>
      <c r="K2753" s="3" t="s">
        <v>63</v>
      </c>
      <c r="L2753" s="2" t="s">
        <v>25643</v>
      </c>
      <c r="M2753" s="2" t="s">
        <v>26592</v>
      </c>
      <c r="N2753" s="3" t="s">
        <v>954</v>
      </c>
      <c r="O2753" s="2" t="s">
        <v>8350</v>
      </c>
      <c r="P2753" s="3" t="s">
        <v>64</v>
      </c>
      <c r="R2753" s="3" t="s">
        <v>25645</v>
      </c>
      <c r="S2753" s="4">
        <v>24</v>
      </c>
      <c r="T2753" s="4">
        <v>81</v>
      </c>
      <c r="U2753" s="5" t="s">
        <v>1642</v>
      </c>
      <c r="V2753" s="5" t="s">
        <v>1642</v>
      </c>
      <c r="W2753" s="5" t="s">
        <v>67</v>
      </c>
      <c r="X2753" s="5" t="s">
        <v>67</v>
      </c>
      <c r="Y2753" s="4">
        <v>679</v>
      </c>
      <c r="Z2753" s="4">
        <v>29</v>
      </c>
      <c r="AA2753" s="4">
        <v>81</v>
      </c>
      <c r="AB2753" s="4">
        <v>3</v>
      </c>
      <c r="AC2753" s="4">
        <v>9</v>
      </c>
      <c r="AD2753" s="4">
        <v>103</v>
      </c>
      <c r="AE2753" s="4">
        <v>150</v>
      </c>
      <c r="AF2753" s="4">
        <v>1</v>
      </c>
      <c r="AG2753" s="4">
        <v>4</v>
      </c>
      <c r="AH2753" s="4">
        <v>86</v>
      </c>
      <c r="AI2753" s="4">
        <v>115</v>
      </c>
      <c r="AJ2753" s="4">
        <v>15</v>
      </c>
      <c r="AK2753" s="4">
        <v>26</v>
      </c>
      <c r="AL2753" s="4">
        <v>46</v>
      </c>
      <c r="AM2753" s="4">
        <v>62</v>
      </c>
      <c r="AN2753" s="4">
        <v>0</v>
      </c>
      <c r="AO2753" s="4">
        <v>5</v>
      </c>
      <c r="AP2753" s="4">
        <v>22</v>
      </c>
      <c r="AQ2753" s="4">
        <v>40</v>
      </c>
      <c r="AR2753" s="3" t="s">
        <v>62</v>
      </c>
      <c r="AS2753" s="3" t="s">
        <v>62</v>
      </c>
      <c r="AT2753" s="3" t="s">
        <v>61</v>
      </c>
      <c r="AU2753" s="6" t="str">
        <f>HYPERLINK("http://catalog.hathitrust.org/Record/000002550","HathiTrust Record")</f>
        <v>HathiTrust Record</v>
      </c>
      <c r="AV2753" s="6" t="str">
        <f>HYPERLINK("http://mcgill.on.worldcat.org/oclc/907697","Catalog Record")</f>
        <v>Catalog Record</v>
      </c>
      <c r="AW2753" s="6" t="str">
        <f>HYPERLINK("http://www.worldcat.org/oclc/907697","WorldCat Record")</f>
        <v>WorldCat Record</v>
      </c>
      <c r="AX2753" s="3" t="s">
        <v>26569</v>
      </c>
      <c r="AY2753" s="3" t="s">
        <v>26593</v>
      </c>
      <c r="AZ2753" s="3" t="s">
        <v>26594</v>
      </c>
      <c r="BA2753" s="3" t="s">
        <v>26594</v>
      </c>
      <c r="BB2753" s="3" t="s">
        <v>26598</v>
      </c>
      <c r="BC2753" s="3" t="s">
        <v>102</v>
      </c>
      <c r="BD2753" s="3" t="s">
        <v>68</v>
      </c>
      <c r="BE2753" s="3" t="s">
        <v>26596</v>
      </c>
      <c r="BF2753" s="3" t="s">
        <v>26598</v>
      </c>
      <c r="BG2753" s="3" t="s">
        <v>26599</v>
      </c>
    </row>
    <row r="2754" spans="1:59" ht="72.5" x14ac:dyDescent="0.35">
      <c r="A2754" s="2" t="s">
        <v>89</v>
      </c>
      <c r="B2754" s="2" t="s">
        <v>90</v>
      </c>
      <c r="C2754" s="2" t="s">
        <v>26600</v>
      </c>
      <c r="D2754" s="2" t="s">
        <v>26601</v>
      </c>
      <c r="E2754" s="2" t="s">
        <v>26602</v>
      </c>
      <c r="G2754" s="3" t="s">
        <v>62</v>
      </c>
      <c r="I2754" s="3" t="s">
        <v>61</v>
      </c>
      <c r="J2754" s="3" t="s">
        <v>62</v>
      </c>
      <c r="K2754" s="3" t="s">
        <v>63</v>
      </c>
      <c r="L2754" s="2" t="s">
        <v>25643</v>
      </c>
      <c r="M2754" s="2" t="s">
        <v>26603</v>
      </c>
      <c r="N2754" s="3" t="s">
        <v>201</v>
      </c>
      <c r="P2754" s="3" t="s">
        <v>64</v>
      </c>
      <c r="R2754" s="3" t="s">
        <v>25645</v>
      </c>
      <c r="S2754" s="4">
        <v>32</v>
      </c>
      <c r="T2754" s="4">
        <v>32</v>
      </c>
      <c r="U2754" s="5" t="s">
        <v>2459</v>
      </c>
      <c r="V2754" s="5" t="s">
        <v>2459</v>
      </c>
      <c r="W2754" s="5" t="s">
        <v>67</v>
      </c>
      <c r="X2754" s="5" t="s">
        <v>67</v>
      </c>
      <c r="Y2754" s="4">
        <v>178</v>
      </c>
      <c r="Z2754" s="4">
        <v>13</v>
      </c>
      <c r="AA2754" s="4">
        <v>13</v>
      </c>
      <c r="AB2754" s="4">
        <v>1</v>
      </c>
      <c r="AC2754" s="4">
        <v>1</v>
      </c>
      <c r="AD2754" s="4">
        <v>61</v>
      </c>
      <c r="AE2754" s="4">
        <v>61</v>
      </c>
      <c r="AF2754" s="4">
        <v>0</v>
      </c>
      <c r="AG2754" s="4">
        <v>0</v>
      </c>
      <c r="AH2754" s="4">
        <v>57</v>
      </c>
      <c r="AI2754" s="4">
        <v>57</v>
      </c>
      <c r="AJ2754" s="4">
        <v>8</v>
      </c>
      <c r="AK2754" s="4">
        <v>8</v>
      </c>
      <c r="AL2754" s="4">
        <v>36</v>
      </c>
      <c r="AM2754" s="4">
        <v>36</v>
      </c>
      <c r="AN2754" s="4">
        <v>0</v>
      </c>
      <c r="AO2754" s="4">
        <v>0</v>
      </c>
      <c r="AP2754" s="4">
        <v>10</v>
      </c>
      <c r="AQ2754" s="4">
        <v>10</v>
      </c>
      <c r="AR2754" s="3" t="s">
        <v>62</v>
      </c>
      <c r="AS2754" s="3" t="s">
        <v>62</v>
      </c>
      <c r="AT2754" s="3" t="s">
        <v>61</v>
      </c>
      <c r="AU2754" s="6" t="str">
        <f>HYPERLINK("http://catalog.hathitrust.org/Record/000085131","HathiTrust Record")</f>
        <v>HathiTrust Record</v>
      </c>
      <c r="AV2754" s="6" t="str">
        <f>HYPERLINK("http://mcgill.on.worldcat.org/oclc/2559401","Catalog Record")</f>
        <v>Catalog Record</v>
      </c>
      <c r="AW2754" s="6" t="str">
        <f>HYPERLINK("http://www.worldcat.org/oclc/2559401","WorldCat Record")</f>
        <v>WorldCat Record</v>
      </c>
      <c r="AX2754" s="3" t="s">
        <v>26604</v>
      </c>
      <c r="AY2754" s="3" t="s">
        <v>26605</v>
      </c>
      <c r="AZ2754" s="3" t="s">
        <v>26606</v>
      </c>
      <c r="BA2754" s="3" t="s">
        <v>26606</v>
      </c>
      <c r="BB2754" s="3" t="s">
        <v>26607</v>
      </c>
      <c r="BC2754" s="3" t="s">
        <v>102</v>
      </c>
      <c r="BD2754" s="3" t="s">
        <v>68</v>
      </c>
      <c r="BF2754" s="3" t="s">
        <v>26607</v>
      </c>
      <c r="BG2754" s="3" t="s">
        <v>26608</v>
      </c>
    </row>
    <row r="2755" spans="1:59" ht="58" x14ac:dyDescent="0.35">
      <c r="A2755" s="2" t="s">
        <v>89</v>
      </c>
      <c r="B2755" s="2" t="s">
        <v>90</v>
      </c>
      <c r="C2755" s="2" t="s">
        <v>26609</v>
      </c>
      <c r="D2755" s="2" t="s">
        <v>26610</v>
      </c>
      <c r="E2755" s="2" t="s">
        <v>26611</v>
      </c>
      <c r="G2755" s="3" t="s">
        <v>62</v>
      </c>
      <c r="I2755" s="3" t="s">
        <v>62</v>
      </c>
      <c r="J2755" s="3" t="s">
        <v>62</v>
      </c>
      <c r="K2755" s="3" t="s">
        <v>63</v>
      </c>
      <c r="L2755" s="2" t="s">
        <v>25643</v>
      </c>
      <c r="M2755" s="2" t="s">
        <v>26612</v>
      </c>
      <c r="N2755" s="3" t="s">
        <v>2588</v>
      </c>
      <c r="P2755" s="3" t="s">
        <v>64</v>
      </c>
      <c r="R2755" s="3" t="s">
        <v>25645</v>
      </c>
      <c r="S2755" s="4">
        <v>13</v>
      </c>
      <c r="T2755" s="4">
        <v>13</v>
      </c>
      <c r="U2755" s="5" t="s">
        <v>2459</v>
      </c>
      <c r="V2755" s="5" t="s">
        <v>2459</v>
      </c>
      <c r="W2755" s="5" t="s">
        <v>67</v>
      </c>
      <c r="X2755" s="5" t="s">
        <v>67</v>
      </c>
      <c r="Y2755" s="4">
        <v>449</v>
      </c>
      <c r="Z2755" s="4">
        <v>30</v>
      </c>
      <c r="AA2755" s="4">
        <v>32</v>
      </c>
      <c r="AB2755" s="4">
        <v>3</v>
      </c>
      <c r="AC2755" s="4">
        <v>4</v>
      </c>
      <c r="AD2755" s="4">
        <v>111</v>
      </c>
      <c r="AE2755" s="4">
        <v>112</v>
      </c>
      <c r="AF2755" s="4">
        <v>1</v>
      </c>
      <c r="AG2755" s="4">
        <v>2</v>
      </c>
      <c r="AH2755" s="4">
        <v>99</v>
      </c>
      <c r="AI2755" s="4">
        <v>99</v>
      </c>
      <c r="AJ2755" s="4">
        <v>17</v>
      </c>
      <c r="AK2755" s="4">
        <v>18</v>
      </c>
      <c r="AL2755" s="4">
        <v>52</v>
      </c>
      <c r="AM2755" s="4">
        <v>52</v>
      </c>
      <c r="AN2755" s="4">
        <v>0</v>
      </c>
      <c r="AO2755" s="4">
        <v>0</v>
      </c>
      <c r="AP2755" s="4">
        <v>22</v>
      </c>
      <c r="AQ2755" s="4">
        <v>23</v>
      </c>
      <c r="AR2755" s="3" t="s">
        <v>62</v>
      </c>
      <c r="AS2755" s="3" t="s">
        <v>62</v>
      </c>
      <c r="AT2755" s="3" t="s">
        <v>61</v>
      </c>
      <c r="AU2755" s="6" t="str">
        <f>HYPERLINK("http://catalog.hathitrust.org/Record/000295991","HathiTrust Record")</f>
        <v>HathiTrust Record</v>
      </c>
      <c r="AV2755" s="6" t="str">
        <f>HYPERLINK("http://mcgill.on.worldcat.org/oclc/3239593","Catalog Record")</f>
        <v>Catalog Record</v>
      </c>
      <c r="AW2755" s="6" t="str">
        <f>HYPERLINK("http://www.worldcat.org/oclc/3239593","WorldCat Record")</f>
        <v>WorldCat Record</v>
      </c>
      <c r="AX2755" s="3" t="s">
        <v>26613</v>
      </c>
      <c r="AY2755" s="3" t="s">
        <v>26614</v>
      </c>
      <c r="AZ2755" s="3" t="s">
        <v>26615</v>
      </c>
      <c r="BA2755" s="3" t="s">
        <v>26615</v>
      </c>
      <c r="BB2755" s="3" t="s">
        <v>26616</v>
      </c>
      <c r="BC2755" s="3" t="s">
        <v>102</v>
      </c>
      <c r="BD2755" s="3" t="s">
        <v>68</v>
      </c>
      <c r="BE2755" s="3" t="s">
        <v>26617</v>
      </c>
      <c r="BF2755" s="3" t="s">
        <v>26616</v>
      </c>
      <c r="BG2755" s="3" t="s">
        <v>26618</v>
      </c>
    </row>
    <row r="2756" spans="1:59" ht="72.5" x14ac:dyDescent="0.35">
      <c r="A2756" s="2" t="s">
        <v>89</v>
      </c>
      <c r="B2756" s="2" t="s">
        <v>90</v>
      </c>
      <c r="C2756" s="2" t="s">
        <v>26619</v>
      </c>
      <c r="D2756" s="2" t="s">
        <v>26620</v>
      </c>
      <c r="E2756" s="2" t="s">
        <v>26621</v>
      </c>
      <c r="G2756" s="3" t="s">
        <v>62</v>
      </c>
      <c r="I2756" s="3" t="s">
        <v>62</v>
      </c>
      <c r="J2756" s="3" t="s">
        <v>61</v>
      </c>
      <c r="K2756" s="3" t="s">
        <v>63</v>
      </c>
      <c r="L2756" s="2" t="s">
        <v>26287</v>
      </c>
      <c r="M2756" s="2" t="s">
        <v>26622</v>
      </c>
      <c r="N2756" s="3" t="s">
        <v>625</v>
      </c>
      <c r="O2756" s="2" t="s">
        <v>26623</v>
      </c>
      <c r="P2756" s="3" t="s">
        <v>64</v>
      </c>
      <c r="Q2756" s="2" t="s">
        <v>26624</v>
      </c>
      <c r="R2756" s="3" t="s">
        <v>25645</v>
      </c>
      <c r="S2756" s="4">
        <v>13</v>
      </c>
      <c r="T2756" s="4">
        <v>13</v>
      </c>
      <c r="U2756" s="5" t="s">
        <v>2459</v>
      </c>
      <c r="V2756" s="5" t="s">
        <v>2459</v>
      </c>
      <c r="W2756" s="5" t="s">
        <v>67</v>
      </c>
      <c r="X2756" s="5" t="s">
        <v>67</v>
      </c>
      <c r="Y2756" s="4">
        <v>88</v>
      </c>
      <c r="Z2756" s="4">
        <v>4</v>
      </c>
      <c r="AA2756" s="4">
        <v>31</v>
      </c>
      <c r="AB2756" s="4">
        <v>1</v>
      </c>
      <c r="AC2756" s="4">
        <v>3</v>
      </c>
      <c r="AD2756" s="4">
        <v>28</v>
      </c>
      <c r="AE2756" s="4">
        <v>100</v>
      </c>
      <c r="AF2756" s="4">
        <v>0</v>
      </c>
      <c r="AG2756" s="4">
        <v>2</v>
      </c>
      <c r="AH2756" s="4">
        <v>25</v>
      </c>
      <c r="AI2756" s="4">
        <v>85</v>
      </c>
      <c r="AJ2756" s="4">
        <v>1</v>
      </c>
      <c r="AK2756" s="4">
        <v>18</v>
      </c>
      <c r="AL2756" s="4">
        <v>14</v>
      </c>
      <c r="AM2756" s="4">
        <v>47</v>
      </c>
      <c r="AN2756" s="4">
        <v>0</v>
      </c>
      <c r="AO2756" s="4">
        <v>0</v>
      </c>
      <c r="AP2756" s="4">
        <v>1</v>
      </c>
      <c r="AQ2756" s="4">
        <v>18</v>
      </c>
      <c r="AR2756" s="3" t="s">
        <v>62</v>
      </c>
      <c r="AS2756" s="3" t="s">
        <v>62</v>
      </c>
      <c r="AT2756" s="3" t="s">
        <v>62</v>
      </c>
      <c r="AV2756" s="6" t="str">
        <f>HYPERLINK("http://mcgill.on.worldcat.org/oclc/52897897","Catalog Record")</f>
        <v>Catalog Record</v>
      </c>
      <c r="AW2756" s="6" t="str">
        <f>HYPERLINK("http://www.worldcat.org/oclc/52897897","WorldCat Record")</f>
        <v>WorldCat Record</v>
      </c>
      <c r="AX2756" s="3" t="s">
        <v>26290</v>
      </c>
      <c r="AY2756" s="3" t="s">
        <v>26625</v>
      </c>
      <c r="AZ2756" s="3" t="s">
        <v>26626</v>
      </c>
      <c r="BA2756" s="3" t="s">
        <v>26626</v>
      </c>
      <c r="BB2756" s="3" t="s">
        <v>26627</v>
      </c>
      <c r="BC2756" s="3" t="s">
        <v>102</v>
      </c>
      <c r="BD2756" s="3" t="s">
        <v>68</v>
      </c>
      <c r="BE2756" s="3" t="s">
        <v>26628</v>
      </c>
      <c r="BF2756" s="3" t="s">
        <v>26627</v>
      </c>
      <c r="BG2756" s="3" t="s">
        <v>26629</v>
      </c>
    </row>
    <row r="2757" spans="1:59" ht="58" x14ac:dyDescent="0.35">
      <c r="A2757" s="2" t="s">
        <v>89</v>
      </c>
      <c r="B2757" s="2" t="s">
        <v>90</v>
      </c>
      <c r="C2757" s="2" t="s">
        <v>26630</v>
      </c>
      <c r="D2757" s="2" t="s">
        <v>26631</v>
      </c>
      <c r="E2757" s="2" t="s">
        <v>26632</v>
      </c>
      <c r="G2757" s="3" t="s">
        <v>62</v>
      </c>
      <c r="I2757" s="3" t="s">
        <v>62</v>
      </c>
      <c r="J2757" s="3" t="s">
        <v>62</v>
      </c>
      <c r="K2757" s="3" t="s">
        <v>63</v>
      </c>
      <c r="L2757" s="2" t="s">
        <v>25873</v>
      </c>
      <c r="M2757" s="2" t="s">
        <v>26633</v>
      </c>
      <c r="N2757" s="3" t="s">
        <v>466</v>
      </c>
      <c r="P2757" s="3" t="s">
        <v>5609</v>
      </c>
      <c r="Q2757" s="2" t="s">
        <v>26634</v>
      </c>
      <c r="R2757" s="3" t="s">
        <v>25645</v>
      </c>
      <c r="S2757" s="4">
        <v>2</v>
      </c>
      <c r="T2757" s="4">
        <v>2</v>
      </c>
      <c r="U2757" s="5" t="s">
        <v>7352</v>
      </c>
      <c r="V2757" s="5" t="s">
        <v>7352</v>
      </c>
      <c r="W2757" s="5" t="s">
        <v>67</v>
      </c>
      <c r="X2757" s="5" t="s">
        <v>67</v>
      </c>
      <c r="Y2757" s="4">
        <v>184</v>
      </c>
      <c r="Z2757" s="4">
        <v>13</v>
      </c>
      <c r="AA2757" s="4">
        <v>15</v>
      </c>
      <c r="AB2757" s="4">
        <v>1</v>
      </c>
      <c r="AC2757" s="4">
        <v>3</v>
      </c>
      <c r="AD2757" s="4">
        <v>78</v>
      </c>
      <c r="AE2757" s="4">
        <v>79</v>
      </c>
      <c r="AF2757" s="4">
        <v>0</v>
      </c>
      <c r="AG2757" s="4">
        <v>1</v>
      </c>
      <c r="AH2757" s="4">
        <v>74</v>
      </c>
      <c r="AI2757" s="4">
        <v>75</v>
      </c>
      <c r="AJ2757" s="4">
        <v>10</v>
      </c>
      <c r="AK2757" s="4">
        <v>11</v>
      </c>
      <c r="AL2757" s="4">
        <v>44</v>
      </c>
      <c r="AM2757" s="4">
        <v>44</v>
      </c>
      <c r="AN2757" s="4">
        <v>0</v>
      </c>
      <c r="AO2757" s="4">
        <v>0</v>
      </c>
      <c r="AP2757" s="4">
        <v>11</v>
      </c>
      <c r="AQ2757" s="4">
        <v>12</v>
      </c>
      <c r="AR2757" s="3" t="s">
        <v>62</v>
      </c>
      <c r="AS2757" s="3" t="s">
        <v>62</v>
      </c>
      <c r="AT2757" s="3" t="s">
        <v>61</v>
      </c>
      <c r="AU2757" s="6" t="str">
        <f>HYPERLINK("http://catalog.hathitrust.org/Record/002645366","HathiTrust Record")</f>
        <v>HathiTrust Record</v>
      </c>
      <c r="AV2757" s="6" t="str">
        <f>HYPERLINK("http://mcgill.on.worldcat.org/oclc/26650392","Catalog Record")</f>
        <v>Catalog Record</v>
      </c>
      <c r="AW2757" s="6" t="str">
        <f>HYPERLINK("http://www.worldcat.org/oclc/26650392","WorldCat Record")</f>
        <v>WorldCat Record</v>
      </c>
      <c r="AX2757" s="3" t="s">
        <v>26635</v>
      </c>
      <c r="AY2757" s="3" t="s">
        <v>26636</v>
      </c>
      <c r="AZ2757" s="3" t="s">
        <v>26637</v>
      </c>
      <c r="BA2757" s="3" t="s">
        <v>26637</v>
      </c>
      <c r="BB2757" s="3" t="s">
        <v>26638</v>
      </c>
      <c r="BC2757" s="3" t="s">
        <v>102</v>
      </c>
      <c r="BD2757" s="3" t="s">
        <v>68</v>
      </c>
      <c r="BE2757" s="3" t="s">
        <v>26639</v>
      </c>
      <c r="BF2757" s="3" t="s">
        <v>26638</v>
      </c>
      <c r="BG2757" s="3" t="s">
        <v>26640</v>
      </c>
    </row>
    <row r="2758" spans="1:59" ht="58" x14ac:dyDescent="0.35">
      <c r="A2758" s="2" t="s">
        <v>89</v>
      </c>
      <c r="B2758" s="2" t="s">
        <v>90</v>
      </c>
      <c r="C2758" s="2" t="s">
        <v>26641</v>
      </c>
      <c r="D2758" s="2" t="s">
        <v>26642</v>
      </c>
      <c r="E2758" s="2" t="s">
        <v>26643</v>
      </c>
      <c r="G2758" s="3" t="s">
        <v>62</v>
      </c>
      <c r="I2758" s="3" t="s">
        <v>62</v>
      </c>
      <c r="J2758" s="3" t="s">
        <v>62</v>
      </c>
      <c r="K2758" s="3" t="s">
        <v>63</v>
      </c>
      <c r="L2758" s="2" t="s">
        <v>26644</v>
      </c>
      <c r="M2758" s="2" t="s">
        <v>26645</v>
      </c>
      <c r="N2758" s="3" t="s">
        <v>2924</v>
      </c>
      <c r="P2758" s="3" t="s">
        <v>64</v>
      </c>
      <c r="Q2758" s="2" t="s">
        <v>26646</v>
      </c>
      <c r="R2758" s="3" t="s">
        <v>25645</v>
      </c>
      <c r="S2758" s="4">
        <v>17</v>
      </c>
      <c r="T2758" s="4">
        <v>17</v>
      </c>
      <c r="U2758" s="5" t="s">
        <v>3030</v>
      </c>
      <c r="V2758" s="5" t="s">
        <v>3030</v>
      </c>
      <c r="W2758" s="5" t="s">
        <v>67</v>
      </c>
      <c r="X2758" s="5" t="s">
        <v>67</v>
      </c>
      <c r="Y2758" s="4">
        <v>432</v>
      </c>
      <c r="Z2758" s="4">
        <v>30</v>
      </c>
      <c r="AA2758" s="4">
        <v>31</v>
      </c>
      <c r="AB2758" s="4">
        <v>3</v>
      </c>
      <c r="AC2758" s="4">
        <v>4</v>
      </c>
      <c r="AD2758" s="4">
        <v>113</v>
      </c>
      <c r="AE2758" s="4">
        <v>114</v>
      </c>
      <c r="AF2758" s="4">
        <v>1</v>
      </c>
      <c r="AG2758" s="4">
        <v>2</v>
      </c>
      <c r="AH2758" s="4">
        <v>94</v>
      </c>
      <c r="AI2758" s="4">
        <v>94</v>
      </c>
      <c r="AJ2758" s="4">
        <v>15</v>
      </c>
      <c r="AK2758" s="4">
        <v>16</v>
      </c>
      <c r="AL2758" s="4">
        <v>55</v>
      </c>
      <c r="AM2758" s="4">
        <v>55</v>
      </c>
      <c r="AN2758" s="4">
        <v>0</v>
      </c>
      <c r="AO2758" s="4">
        <v>0</v>
      </c>
      <c r="AP2758" s="4">
        <v>25</v>
      </c>
      <c r="AQ2758" s="4">
        <v>25</v>
      </c>
      <c r="AR2758" s="3" t="s">
        <v>62</v>
      </c>
      <c r="AS2758" s="3" t="s">
        <v>62</v>
      </c>
      <c r="AT2758" s="3" t="s">
        <v>62</v>
      </c>
      <c r="AV2758" s="6" t="str">
        <f>HYPERLINK("http://mcgill.on.worldcat.org/oclc/728474","Catalog Record")</f>
        <v>Catalog Record</v>
      </c>
      <c r="AW2758" s="6" t="str">
        <f>HYPERLINK("http://www.worldcat.org/oclc/728474","WorldCat Record")</f>
        <v>WorldCat Record</v>
      </c>
      <c r="AX2758" s="3" t="s">
        <v>26647</v>
      </c>
      <c r="AY2758" s="3" t="s">
        <v>26648</v>
      </c>
      <c r="AZ2758" s="3" t="s">
        <v>26649</v>
      </c>
      <c r="BA2758" s="3" t="s">
        <v>26649</v>
      </c>
      <c r="BB2758" s="3" t="s">
        <v>26650</v>
      </c>
      <c r="BC2758" s="3" t="s">
        <v>102</v>
      </c>
      <c r="BD2758" s="3" t="s">
        <v>68</v>
      </c>
      <c r="BF2758" s="3" t="s">
        <v>26650</v>
      </c>
      <c r="BG2758" s="3" t="s">
        <v>26651</v>
      </c>
    </row>
    <row r="2759" spans="1:59" ht="72.5" x14ac:dyDescent="0.35">
      <c r="A2759" s="2" t="s">
        <v>89</v>
      </c>
      <c r="B2759" s="2" t="s">
        <v>90</v>
      </c>
      <c r="C2759" s="2" t="s">
        <v>26652</v>
      </c>
      <c r="D2759" s="2" t="s">
        <v>26653</v>
      </c>
      <c r="E2759" s="2" t="s">
        <v>26654</v>
      </c>
      <c r="G2759" s="3" t="s">
        <v>62</v>
      </c>
      <c r="I2759" s="3" t="s">
        <v>61</v>
      </c>
      <c r="J2759" s="3" t="s">
        <v>62</v>
      </c>
      <c r="K2759" s="3" t="s">
        <v>63</v>
      </c>
      <c r="L2759" s="2" t="s">
        <v>479</v>
      </c>
      <c r="M2759" s="2" t="s">
        <v>15706</v>
      </c>
      <c r="N2759" s="3" t="s">
        <v>95</v>
      </c>
      <c r="P2759" s="3" t="s">
        <v>64</v>
      </c>
      <c r="Q2759" s="2" t="s">
        <v>26655</v>
      </c>
      <c r="R2759" s="3" t="s">
        <v>25645</v>
      </c>
      <c r="S2759" s="4">
        <v>40</v>
      </c>
      <c r="T2759" s="4">
        <v>56</v>
      </c>
      <c r="U2759" s="5" t="s">
        <v>3030</v>
      </c>
      <c r="V2759" s="5" t="s">
        <v>3030</v>
      </c>
      <c r="W2759" s="5" t="s">
        <v>67</v>
      </c>
      <c r="X2759" s="5" t="s">
        <v>67</v>
      </c>
      <c r="Y2759" s="4">
        <v>191</v>
      </c>
      <c r="Z2759" s="4">
        <v>21</v>
      </c>
      <c r="AA2759" s="4">
        <v>22</v>
      </c>
      <c r="AB2759" s="4">
        <v>1</v>
      </c>
      <c r="AC2759" s="4">
        <v>1</v>
      </c>
      <c r="AD2759" s="4">
        <v>66</v>
      </c>
      <c r="AE2759" s="4">
        <v>92</v>
      </c>
      <c r="AF2759" s="4">
        <v>0</v>
      </c>
      <c r="AG2759" s="4">
        <v>0</v>
      </c>
      <c r="AH2759" s="4">
        <v>58</v>
      </c>
      <c r="AI2759" s="4">
        <v>82</v>
      </c>
      <c r="AJ2759" s="4">
        <v>9</v>
      </c>
      <c r="AK2759" s="4">
        <v>10</v>
      </c>
      <c r="AL2759" s="4">
        <v>33</v>
      </c>
      <c r="AM2759" s="4">
        <v>44</v>
      </c>
      <c r="AN2759" s="4">
        <v>0</v>
      </c>
      <c r="AO2759" s="4">
        <v>0</v>
      </c>
      <c r="AP2759" s="4">
        <v>15</v>
      </c>
      <c r="AQ2759" s="4">
        <v>16</v>
      </c>
      <c r="AR2759" s="3" t="s">
        <v>62</v>
      </c>
      <c r="AS2759" s="3" t="s">
        <v>62</v>
      </c>
      <c r="AT2759" s="3" t="s">
        <v>61</v>
      </c>
      <c r="AU2759" s="6" t="str">
        <f>HYPERLINK("http://catalog.hathitrust.org/Record/000283363","HathiTrust Record")</f>
        <v>HathiTrust Record</v>
      </c>
      <c r="AV2759" s="6" t="str">
        <f>HYPERLINK("http://mcgill.on.worldcat.org/oclc/8452760","Catalog Record")</f>
        <v>Catalog Record</v>
      </c>
      <c r="AW2759" s="6" t="str">
        <f>HYPERLINK("http://www.worldcat.org/oclc/8452760","WorldCat Record")</f>
        <v>WorldCat Record</v>
      </c>
      <c r="AX2759" s="3" t="s">
        <v>26656</v>
      </c>
      <c r="AY2759" s="3" t="s">
        <v>26657</v>
      </c>
      <c r="AZ2759" s="3" t="s">
        <v>26658</v>
      </c>
      <c r="BA2759" s="3" t="s">
        <v>26658</v>
      </c>
      <c r="BB2759" s="3" t="s">
        <v>26659</v>
      </c>
      <c r="BC2759" s="3" t="s">
        <v>102</v>
      </c>
      <c r="BD2759" s="3" t="s">
        <v>68</v>
      </c>
      <c r="BE2759" s="3" t="s">
        <v>26660</v>
      </c>
      <c r="BF2759" s="3" t="s">
        <v>26659</v>
      </c>
      <c r="BG2759" s="3" t="s">
        <v>26661</v>
      </c>
    </row>
    <row r="2760" spans="1:59" ht="58" x14ac:dyDescent="0.35">
      <c r="A2760" s="2" t="s">
        <v>89</v>
      </c>
      <c r="B2760" s="2" t="s">
        <v>90</v>
      </c>
      <c r="C2760" s="2" t="s">
        <v>26662</v>
      </c>
      <c r="D2760" s="2" t="s">
        <v>26663</v>
      </c>
      <c r="E2760" s="2" t="s">
        <v>26664</v>
      </c>
      <c r="G2760" s="3" t="s">
        <v>62</v>
      </c>
      <c r="I2760" s="3" t="s">
        <v>61</v>
      </c>
      <c r="J2760" s="3" t="s">
        <v>62</v>
      </c>
      <c r="K2760" s="3" t="s">
        <v>63</v>
      </c>
      <c r="L2760" s="2" t="s">
        <v>26665</v>
      </c>
      <c r="M2760" s="2" t="s">
        <v>26666</v>
      </c>
      <c r="N2760" s="3" t="s">
        <v>2924</v>
      </c>
      <c r="P2760" s="3" t="s">
        <v>64</v>
      </c>
      <c r="R2760" s="3" t="s">
        <v>25645</v>
      </c>
      <c r="S2760" s="4">
        <v>28</v>
      </c>
      <c r="T2760" s="4">
        <v>28</v>
      </c>
      <c r="U2760" s="5" t="s">
        <v>17100</v>
      </c>
      <c r="V2760" s="5" t="s">
        <v>17100</v>
      </c>
      <c r="W2760" s="5" t="s">
        <v>67</v>
      </c>
      <c r="X2760" s="5" t="s">
        <v>67</v>
      </c>
      <c r="Y2760" s="4">
        <v>730</v>
      </c>
      <c r="Z2760" s="4">
        <v>28</v>
      </c>
      <c r="AA2760" s="4">
        <v>31</v>
      </c>
      <c r="AB2760" s="4">
        <v>1</v>
      </c>
      <c r="AC2760" s="4">
        <v>3</v>
      </c>
      <c r="AD2760" s="4">
        <v>123</v>
      </c>
      <c r="AE2760" s="4">
        <v>126</v>
      </c>
      <c r="AF2760" s="4">
        <v>0</v>
      </c>
      <c r="AG2760" s="4">
        <v>2</v>
      </c>
      <c r="AH2760" s="4">
        <v>104</v>
      </c>
      <c r="AI2760" s="4">
        <v>105</v>
      </c>
      <c r="AJ2760" s="4">
        <v>16</v>
      </c>
      <c r="AK2760" s="4">
        <v>18</v>
      </c>
      <c r="AL2760" s="4">
        <v>59</v>
      </c>
      <c r="AM2760" s="4">
        <v>59</v>
      </c>
      <c r="AN2760" s="4">
        <v>0</v>
      </c>
      <c r="AO2760" s="4">
        <v>0</v>
      </c>
      <c r="AP2760" s="4">
        <v>23</v>
      </c>
      <c r="AQ2760" s="4">
        <v>25</v>
      </c>
      <c r="AR2760" s="3" t="s">
        <v>62</v>
      </c>
      <c r="AS2760" s="3" t="s">
        <v>62</v>
      </c>
      <c r="AT2760" s="3" t="s">
        <v>61</v>
      </c>
      <c r="AU2760" s="6" t="str">
        <f>HYPERLINK("http://catalog.hathitrust.org/Record/001475738","HathiTrust Record")</f>
        <v>HathiTrust Record</v>
      </c>
      <c r="AV2760" s="6" t="str">
        <f>HYPERLINK("http://mcgill.on.worldcat.org/oclc/553340","Catalog Record")</f>
        <v>Catalog Record</v>
      </c>
      <c r="AW2760" s="6" t="str">
        <f>HYPERLINK("http://www.worldcat.org/oclc/553340","WorldCat Record")</f>
        <v>WorldCat Record</v>
      </c>
      <c r="AX2760" s="3" t="s">
        <v>26667</v>
      </c>
      <c r="AY2760" s="3" t="s">
        <v>26668</v>
      </c>
      <c r="AZ2760" s="3" t="s">
        <v>26669</v>
      </c>
      <c r="BA2760" s="3" t="s">
        <v>26669</v>
      </c>
      <c r="BB2760" s="3" t="s">
        <v>26670</v>
      </c>
      <c r="BC2760" s="3" t="s">
        <v>102</v>
      </c>
      <c r="BD2760" s="3" t="s">
        <v>68</v>
      </c>
      <c r="BF2760" s="3" t="s">
        <v>26670</v>
      </c>
      <c r="BG2760" s="3" t="s">
        <v>26671</v>
      </c>
    </row>
    <row r="2761" spans="1:59" ht="72.5" x14ac:dyDescent="0.35">
      <c r="A2761" s="2" t="s">
        <v>89</v>
      </c>
      <c r="B2761" s="2" t="s">
        <v>90</v>
      </c>
      <c r="C2761" s="2" t="s">
        <v>26672</v>
      </c>
      <c r="D2761" s="2" t="s">
        <v>26673</v>
      </c>
      <c r="E2761" s="2" t="s">
        <v>26674</v>
      </c>
      <c r="G2761" s="3" t="s">
        <v>62</v>
      </c>
      <c r="I2761" s="3" t="s">
        <v>62</v>
      </c>
      <c r="J2761" s="3" t="s">
        <v>62</v>
      </c>
      <c r="K2761" s="3" t="s">
        <v>63</v>
      </c>
      <c r="L2761" s="2" t="s">
        <v>26675</v>
      </c>
      <c r="M2761" s="2" t="s">
        <v>26676</v>
      </c>
      <c r="N2761" s="3" t="s">
        <v>568</v>
      </c>
      <c r="P2761" s="3" t="s">
        <v>5609</v>
      </c>
      <c r="Q2761" s="2" t="s">
        <v>26677</v>
      </c>
      <c r="R2761" s="3" t="s">
        <v>25645</v>
      </c>
      <c r="S2761" s="4">
        <v>2</v>
      </c>
      <c r="T2761" s="4">
        <v>2</v>
      </c>
      <c r="U2761" s="5" t="s">
        <v>1894</v>
      </c>
      <c r="V2761" s="5" t="s">
        <v>1894</v>
      </c>
      <c r="W2761" s="5" t="s">
        <v>67</v>
      </c>
      <c r="X2761" s="5" t="s">
        <v>67</v>
      </c>
      <c r="Y2761" s="4">
        <v>4</v>
      </c>
      <c r="Z2761" s="4">
        <v>2</v>
      </c>
      <c r="AA2761" s="4">
        <v>4</v>
      </c>
      <c r="AB2761" s="4">
        <v>2</v>
      </c>
      <c r="AC2761" s="4">
        <v>2</v>
      </c>
      <c r="AD2761" s="4">
        <v>1</v>
      </c>
      <c r="AE2761" s="4">
        <v>17</v>
      </c>
      <c r="AF2761" s="4">
        <v>0</v>
      </c>
      <c r="AG2761" s="4">
        <v>0</v>
      </c>
      <c r="AH2761" s="4">
        <v>1</v>
      </c>
      <c r="AI2761" s="4">
        <v>17</v>
      </c>
      <c r="AJ2761" s="4">
        <v>0</v>
      </c>
      <c r="AK2761" s="4">
        <v>1</v>
      </c>
      <c r="AL2761" s="4">
        <v>1</v>
      </c>
      <c r="AM2761" s="4">
        <v>15</v>
      </c>
      <c r="AN2761" s="4">
        <v>0</v>
      </c>
      <c r="AO2761" s="4">
        <v>0</v>
      </c>
      <c r="AP2761" s="4">
        <v>0</v>
      </c>
      <c r="AQ2761" s="4">
        <v>1</v>
      </c>
      <c r="AR2761" s="3" t="s">
        <v>62</v>
      </c>
      <c r="AS2761" s="3" t="s">
        <v>62</v>
      </c>
      <c r="AT2761" s="3" t="s">
        <v>61</v>
      </c>
      <c r="AU2761" s="6" t="str">
        <f>HYPERLINK("http://catalog.hathitrust.org/Record/003593393","HathiTrust Record")</f>
        <v>HathiTrust Record</v>
      </c>
      <c r="AV2761" s="6" t="str">
        <f>HYPERLINK("http://mcgill.on.worldcat.org/oclc/428009746","Catalog Record")</f>
        <v>Catalog Record</v>
      </c>
      <c r="AW2761" s="6" t="str">
        <f>HYPERLINK("http://www.worldcat.org/oclc/428009746","WorldCat Record")</f>
        <v>WorldCat Record</v>
      </c>
      <c r="AX2761" s="3" t="s">
        <v>26678</v>
      </c>
      <c r="AY2761" s="3" t="s">
        <v>26679</v>
      </c>
      <c r="AZ2761" s="3" t="s">
        <v>26680</v>
      </c>
      <c r="BA2761" s="3" t="s">
        <v>26680</v>
      </c>
      <c r="BB2761" s="3" t="s">
        <v>26681</v>
      </c>
      <c r="BC2761" s="3" t="s">
        <v>102</v>
      </c>
      <c r="BD2761" s="3" t="s">
        <v>68</v>
      </c>
      <c r="BE2761" s="3" t="s">
        <v>26682</v>
      </c>
      <c r="BF2761" s="3" t="s">
        <v>26681</v>
      </c>
      <c r="BG2761" s="3" t="s">
        <v>26683</v>
      </c>
    </row>
    <row r="2762" spans="1:59" ht="58" x14ac:dyDescent="0.35">
      <c r="A2762" s="2" t="s">
        <v>89</v>
      </c>
      <c r="B2762" s="2" t="s">
        <v>90</v>
      </c>
      <c r="C2762" s="2" t="s">
        <v>26684</v>
      </c>
      <c r="D2762" s="2" t="s">
        <v>26685</v>
      </c>
      <c r="E2762" s="2" t="s">
        <v>26686</v>
      </c>
      <c r="G2762" s="3" t="s">
        <v>62</v>
      </c>
      <c r="I2762" s="3" t="s">
        <v>62</v>
      </c>
      <c r="J2762" s="3" t="s">
        <v>62</v>
      </c>
      <c r="K2762" s="3" t="s">
        <v>63</v>
      </c>
      <c r="L2762" s="2" t="s">
        <v>26687</v>
      </c>
      <c r="M2762" s="2" t="s">
        <v>26688</v>
      </c>
      <c r="N2762" s="3" t="s">
        <v>919</v>
      </c>
      <c r="P2762" s="3" t="s">
        <v>64</v>
      </c>
      <c r="Q2762" s="2" t="s">
        <v>26689</v>
      </c>
      <c r="R2762" s="3" t="s">
        <v>25645</v>
      </c>
      <c r="S2762" s="4">
        <v>4</v>
      </c>
      <c r="T2762" s="4">
        <v>4</v>
      </c>
      <c r="U2762" s="5" t="s">
        <v>7448</v>
      </c>
      <c r="V2762" s="5" t="s">
        <v>7448</v>
      </c>
      <c r="W2762" s="5" t="s">
        <v>67</v>
      </c>
      <c r="X2762" s="5" t="s">
        <v>67</v>
      </c>
      <c r="Y2762" s="4">
        <v>360</v>
      </c>
      <c r="Z2762" s="4">
        <v>19</v>
      </c>
      <c r="AA2762" s="4">
        <v>19</v>
      </c>
      <c r="AB2762" s="4">
        <v>2</v>
      </c>
      <c r="AC2762" s="4">
        <v>2</v>
      </c>
      <c r="AD2762" s="4">
        <v>107</v>
      </c>
      <c r="AE2762" s="4">
        <v>109</v>
      </c>
      <c r="AF2762" s="4">
        <v>0</v>
      </c>
      <c r="AG2762" s="4">
        <v>0</v>
      </c>
      <c r="AH2762" s="4">
        <v>96</v>
      </c>
      <c r="AI2762" s="4">
        <v>98</v>
      </c>
      <c r="AJ2762" s="4">
        <v>12</v>
      </c>
      <c r="AK2762" s="4">
        <v>12</v>
      </c>
      <c r="AL2762" s="4">
        <v>58</v>
      </c>
      <c r="AM2762" s="4">
        <v>58</v>
      </c>
      <c r="AN2762" s="4">
        <v>5</v>
      </c>
      <c r="AO2762" s="4">
        <v>5</v>
      </c>
      <c r="AP2762" s="4">
        <v>13</v>
      </c>
      <c r="AQ2762" s="4">
        <v>13</v>
      </c>
      <c r="AR2762" s="3" t="s">
        <v>62</v>
      </c>
      <c r="AS2762" s="3" t="s">
        <v>61</v>
      </c>
      <c r="AT2762" s="3" t="s">
        <v>62</v>
      </c>
      <c r="AU2762" s="6" t="str">
        <f>HYPERLINK("http://catalog.hathitrust.org/Record/001475759","HathiTrust Record")</f>
        <v>HathiTrust Record</v>
      </c>
      <c r="AV2762" s="6" t="str">
        <f>HYPERLINK("http://mcgill.on.worldcat.org/oclc/21033906","Catalog Record")</f>
        <v>Catalog Record</v>
      </c>
      <c r="AW2762" s="6" t="str">
        <f>HYPERLINK("http://www.worldcat.org/oclc/21033906","WorldCat Record")</f>
        <v>WorldCat Record</v>
      </c>
      <c r="AX2762" s="3" t="s">
        <v>26690</v>
      </c>
      <c r="AY2762" s="3" t="s">
        <v>26691</v>
      </c>
      <c r="AZ2762" s="3" t="s">
        <v>26692</v>
      </c>
      <c r="BA2762" s="3" t="s">
        <v>26692</v>
      </c>
      <c r="BB2762" s="3" t="s">
        <v>26693</v>
      </c>
      <c r="BC2762" s="3" t="s">
        <v>102</v>
      </c>
      <c r="BD2762" s="3" t="s">
        <v>68</v>
      </c>
      <c r="BF2762" s="3" t="s">
        <v>26693</v>
      </c>
      <c r="BG2762" s="3" t="s">
        <v>26694</v>
      </c>
    </row>
    <row r="2763" spans="1:59" ht="58" x14ac:dyDescent="0.35">
      <c r="A2763" s="2" t="s">
        <v>89</v>
      </c>
      <c r="B2763" s="2" t="s">
        <v>90</v>
      </c>
      <c r="C2763" s="2" t="s">
        <v>26695</v>
      </c>
      <c r="D2763" s="2" t="s">
        <v>26696</v>
      </c>
      <c r="E2763" s="2" t="s">
        <v>26697</v>
      </c>
      <c r="G2763" s="3" t="s">
        <v>62</v>
      </c>
      <c r="I2763" s="3" t="s">
        <v>62</v>
      </c>
      <c r="J2763" s="3" t="s">
        <v>61</v>
      </c>
      <c r="K2763" s="3" t="s">
        <v>63</v>
      </c>
      <c r="L2763" s="2" t="s">
        <v>5657</v>
      </c>
      <c r="M2763" s="2" t="s">
        <v>26698</v>
      </c>
      <c r="N2763" s="3" t="s">
        <v>596</v>
      </c>
      <c r="P2763" s="3" t="s">
        <v>64</v>
      </c>
      <c r="Q2763" s="2" t="s">
        <v>5820</v>
      </c>
      <c r="R2763" s="3" t="s">
        <v>25645</v>
      </c>
      <c r="S2763" s="4">
        <v>5</v>
      </c>
      <c r="T2763" s="4">
        <v>5</v>
      </c>
      <c r="U2763" s="5" t="s">
        <v>4535</v>
      </c>
      <c r="V2763" s="5" t="s">
        <v>4535</v>
      </c>
      <c r="W2763" s="5" t="s">
        <v>67</v>
      </c>
      <c r="X2763" s="5" t="s">
        <v>67</v>
      </c>
      <c r="Y2763" s="4">
        <v>160</v>
      </c>
      <c r="Z2763" s="4">
        <v>9</v>
      </c>
      <c r="AA2763" s="4">
        <v>15</v>
      </c>
      <c r="AB2763" s="4">
        <v>2</v>
      </c>
      <c r="AC2763" s="4">
        <v>2</v>
      </c>
      <c r="AD2763" s="4">
        <v>69</v>
      </c>
      <c r="AE2763" s="4">
        <v>88</v>
      </c>
      <c r="AF2763" s="4">
        <v>0</v>
      </c>
      <c r="AG2763" s="4">
        <v>0</v>
      </c>
      <c r="AH2763" s="4">
        <v>63</v>
      </c>
      <c r="AI2763" s="4">
        <v>80</v>
      </c>
      <c r="AJ2763" s="4">
        <v>6</v>
      </c>
      <c r="AK2763" s="4">
        <v>11</v>
      </c>
      <c r="AL2763" s="4">
        <v>38</v>
      </c>
      <c r="AM2763" s="4">
        <v>50</v>
      </c>
      <c r="AN2763" s="4">
        <v>0</v>
      </c>
      <c r="AO2763" s="4">
        <v>0</v>
      </c>
      <c r="AP2763" s="4">
        <v>7</v>
      </c>
      <c r="AQ2763" s="4">
        <v>12</v>
      </c>
      <c r="AR2763" s="3" t="s">
        <v>62</v>
      </c>
      <c r="AS2763" s="3" t="s">
        <v>62</v>
      </c>
      <c r="AT2763" s="3" t="s">
        <v>62</v>
      </c>
      <c r="AV2763" s="6" t="str">
        <f>HYPERLINK("http://mcgill.on.worldcat.org/oclc/50252699","Catalog Record")</f>
        <v>Catalog Record</v>
      </c>
      <c r="AW2763" s="6" t="str">
        <f>HYPERLINK("http://www.worldcat.org/oclc/50252699","WorldCat Record")</f>
        <v>WorldCat Record</v>
      </c>
      <c r="AX2763" s="3" t="s">
        <v>26699</v>
      </c>
      <c r="AY2763" s="3" t="s">
        <v>26700</v>
      </c>
      <c r="AZ2763" s="3" t="s">
        <v>26701</v>
      </c>
      <c r="BA2763" s="3" t="s">
        <v>26701</v>
      </c>
      <c r="BB2763" s="3" t="s">
        <v>26702</v>
      </c>
      <c r="BC2763" s="3" t="s">
        <v>102</v>
      </c>
      <c r="BD2763" s="3" t="s">
        <v>68</v>
      </c>
      <c r="BE2763" s="3" t="s">
        <v>26703</v>
      </c>
      <c r="BF2763" s="3" t="s">
        <v>26702</v>
      </c>
      <c r="BG2763" s="3" t="s">
        <v>26704</v>
      </c>
    </row>
    <row r="2764" spans="1:59" ht="58" x14ac:dyDescent="0.35">
      <c r="A2764" s="2" t="s">
        <v>89</v>
      </c>
      <c r="B2764" s="2" t="s">
        <v>90</v>
      </c>
      <c r="C2764" s="2" t="s">
        <v>26705</v>
      </c>
      <c r="D2764" s="2" t="s">
        <v>26706</v>
      </c>
      <c r="E2764" s="2" t="s">
        <v>26707</v>
      </c>
      <c r="G2764" s="3" t="s">
        <v>62</v>
      </c>
      <c r="I2764" s="3" t="s">
        <v>62</v>
      </c>
      <c r="J2764" s="3" t="s">
        <v>62</v>
      </c>
      <c r="K2764" s="3" t="s">
        <v>63</v>
      </c>
      <c r="L2764" s="2" t="s">
        <v>26708</v>
      </c>
      <c r="M2764" s="2" t="s">
        <v>26709</v>
      </c>
      <c r="N2764" s="3" t="s">
        <v>7359</v>
      </c>
      <c r="P2764" s="3" t="s">
        <v>5609</v>
      </c>
      <c r="Q2764" s="2" t="s">
        <v>26710</v>
      </c>
      <c r="R2764" s="3" t="s">
        <v>25645</v>
      </c>
      <c r="S2764" s="4">
        <v>3</v>
      </c>
      <c r="T2764" s="4">
        <v>3</v>
      </c>
      <c r="U2764" s="5" t="s">
        <v>17302</v>
      </c>
      <c r="V2764" s="5" t="s">
        <v>17302</v>
      </c>
      <c r="W2764" s="5" t="s">
        <v>67</v>
      </c>
      <c r="X2764" s="5" t="s">
        <v>67</v>
      </c>
      <c r="Y2764" s="4">
        <v>260</v>
      </c>
      <c r="Z2764" s="4">
        <v>8</v>
      </c>
      <c r="AA2764" s="4">
        <v>8</v>
      </c>
      <c r="AB2764" s="4">
        <v>1</v>
      </c>
      <c r="AC2764" s="4">
        <v>1</v>
      </c>
      <c r="AD2764" s="4">
        <v>82</v>
      </c>
      <c r="AE2764" s="4">
        <v>83</v>
      </c>
      <c r="AF2764" s="4">
        <v>0</v>
      </c>
      <c r="AG2764" s="4">
        <v>0</v>
      </c>
      <c r="AH2764" s="4">
        <v>75</v>
      </c>
      <c r="AI2764" s="4">
        <v>76</v>
      </c>
      <c r="AJ2764" s="4">
        <v>5</v>
      </c>
      <c r="AK2764" s="4">
        <v>5</v>
      </c>
      <c r="AL2764" s="4">
        <v>46</v>
      </c>
      <c r="AM2764" s="4">
        <v>46</v>
      </c>
      <c r="AN2764" s="4">
        <v>0</v>
      </c>
      <c r="AO2764" s="4">
        <v>0</v>
      </c>
      <c r="AP2764" s="4">
        <v>6</v>
      </c>
      <c r="AQ2764" s="4">
        <v>6</v>
      </c>
      <c r="AR2764" s="3" t="s">
        <v>62</v>
      </c>
      <c r="AS2764" s="3" t="s">
        <v>61</v>
      </c>
      <c r="AT2764" s="3" t="s">
        <v>62</v>
      </c>
      <c r="AU2764" s="6" t="str">
        <f>HYPERLINK("http://catalog.hathitrust.org/Record/001991474","HathiTrust Record")</f>
        <v>HathiTrust Record</v>
      </c>
      <c r="AV2764" s="6" t="str">
        <f>HYPERLINK("http://mcgill.on.worldcat.org/oclc/1105519","Catalog Record")</f>
        <v>Catalog Record</v>
      </c>
      <c r="AW2764" s="6" t="str">
        <f>HYPERLINK("http://www.worldcat.org/oclc/1105519","WorldCat Record")</f>
        <v>WorldCat Record</v>
      </c>
      <c r="AX2764" s="3" t="s">
        <v>26711</v>
      </c>
      <c r="AY2764" s="3" t="s">
        <v>26712</v>
      </c>
      <c r="AZ2764" s="3" t="s">
        <v>26713</v>
      </c>
      <c r="BA2764" s="3" t="s">
        <v>26713</v>
      </c>
      <c r="BB2764" s="3" t="s">
        <v>26714</v>
      </c>
      <c r="BC2764" s="3" t="s">
        <v>102</v>
      </c>
      <c r="BD2764" s="3" t="s">
        <v>68</v>
      </c>
      <c r="BF2764" s="3" t="s">
        <v>26714</v>
      </c>
      <c r="BG2764" s="3" t="s">
        <v>26715</v>
      </c>
    </row>
    <row r="2765" spans="1:59" ht="72.5" x14ac:dyDescent="0.35">
      <c r="A2765" s="2" t="s">
        <v>89</v>
      </c>
      <c r="B2765" s="2" t="s">
        <v>90</v>
      </c>
      <c r="C2765" s="2" t="s">
        <v>26716</v>
      </c>
      <c r="D2765" s="2" t="s">
        <v>26717</v>
      </c>
      <c r="E2765" s="2" t="s">
        <v>26718</v>
      </c>
      <c r="G2765" s="3" t="s">
        <v>62</v>
      </c>
      <c r="I2765" s="3" t="s">
        <v>62</v>
      </c>
      <c r="J2765" s="3" t="s">
        <v>62</v>
      </c>
      <c r="K2765" s="3" t="s">
        <v>63</v>
      </c>
      <c r="L2765" s="2" t="s">
        <v>15705</v>
      </c>
      <c r="M2765" s="2" t="s">
        <v>26719</v>
      </c>
      <c r="N2765" s="3" t="s">
        <v>2566</v>
      </c>
      <c r="P2765" s="3" t="s">
        <v>85</v>
      </c>
      <c r="Q2765" s="2" t="s">
        <v>26720</v>
      </c>
      <c r="R2765" s="3" t="s">
        <v>25645</v>
      </c>
      <c r="S2765" s="4">
        <v>3</v>
      </c>
      <c r="T2765" s="4">
        <v>3</v>
      </c>
      <c r="U2765" s="5" t="s">
        <v>26721</v>
      </c>
      <c r="V2765" s="5" t="s">
        <v>26721</v>
      </c>
      <c r="W2765" s="5" t="s">
        <v>67</v>
      </c>
      <c r="X2765" s="5" t="s">
        <v>67</v>
      </c>
      <c r="Y2765" s="4">
        <v>96</v>
      </c>
      <c r="Z2765" s="4">
        <v>10</v>
      </c>
      <c r="AA2765" s="4">
        <v>15</v>
      </c>
      <c r="AB2765" s="4">
        <v>1</v>
      </c>
      <c r="AC2765" s="4">
        <v>4</v>
      </c>
      <c r="AD2765" s="4">
        <v>36</v>
      </c>
      <c r="AE2765" s="4">
        <v>40</v>
      </c>
      <c r="AF2765" s="4">
        <v>0</v>
      </c>
      <c r="AG2765" s="4">
        <v>2</v>
      </c>
      <c r="AH2765" s="4">
        <v>32</v>
      </c>
      <c r="AI2765" s="4">
        <v>34</v>
      </c>
      <c r="AJ2765" s="4">
        <v>8</v>
      </c>
      <c r="AK2765" s="4">
        <v>11</v>
      </c>
      <c r="AL2765" s="4">
        <v>23</v>
      </c>
      <c r="AM2765" s="4">
        <v>23</v>
      </c>
      <c r="AN2765" s="4">
        <v>0</v>
      </c>
      <c r="AO2765" s="4">
        <v>0</v>
      </c>
      <c r="AP2765" s="4">
        <v>8</v>
      </c>
      <c r="AQ2765" s="4">
        <v>12</v>
      </c>
      <c r="AR2765" s="3" t="s">
        <v>62</v>
      </c>
      <c r="AS2765" s="3" t="s">
        <v>62</v>
      </c>
      <c r="AT2765" s="3" t="s">
        <v>61</v>
      </c>
      <c r="AU2765" s="6" t="str">
        <f>HYPERLINK("http://catalog.hathitrust.org/Record/000038348","HathiTrust Record")</f>
        <v>HathiTrust Record</v>
      </c>
      <c r="AV2765" s="6" t="str">
        <f>HYPERLINK("http://mcgill.on.worldcat.org/oclc/1150697","Catalog Record")</f>
        <v>Catalog Record</v>
      </c>
      <c r="AW2765" s="6" t="str">
        <f>HYPERLINK("http://www.worldcat.org/oclc/1150697","WorldCat Record")</f>
        <v>WorldCat Record</v>
      </c>
      <c r="AX2765" s="3" t="s">
        <v>26722</v>
      </c>
      <c r="AY2765" s="3" t="s">
        <v>26723</v>
      </c>
      <c r="AZ2765" s="3" t="s">
        <v>26724</v>
      </c>
      <c r="BA2765" s="3" t="s">
        <v>26724</v>
      </c>
      <c r="BB2765" s="3" t="s">
        <v>26725</v>
      </c>
      <c r="BC2765" s="3" t="s">
        <v>102</v>
      </c>
      <c r="BD2765" s="3" t="s">
        <v>231</v>
      </c>
      <c r="BF2765" s="3" t="s">
        <v>26725</v>
      </c>
      <c r="BG2765" s="3" t="s">
        <v>26726</v>
      </c>
    </row>
    <row r="2766" spans="1:59" ht="58" x14ac:dyDescent="0.35">
      <c r="A2766" s="2" t="s">
        <v>89</v>
      </c>
      <c r="B2766" s="2" t="s">
        <v>90</v>
      </c>
      <c r="C2766" s="2" t="s">
        <v>26727</v>
      </c>
      <c r="D2766" s="2" t="s">
        <v>26728</v>
      </c>
      <c r="E2766" s="2" t="s">
        <v>26729</v>
      </c>
      <c r="G2766" s="3" t="s">
        <v>62</v>
      </c>
      <c r="I2766" s="3" t="s">
        <v>62</v>
      </c>
      <c r="J2766" s="3" t="s">
        <v>62</v>
      </c>
      <c r="K2766" s="3" t="s">
        <v>63</v>
      </c>
      <c r="L2766" s="2" t="s">
        <v>26730</v>
      </c>
      <c r="M2766" s="2" t="s">
        <v>26731</v>
      </c>
      <c r="N2766" s="3" t="s">
        <v>2566</v>
      </c>
      <c r="P2766" s="3" t="s">
        <v>64</v>
      </c>
      <c r="R2766" s="3" t="s">
        <v>25645</v>
      </c>
      <c r="S2766" s="4">
        <v>1</v>
      </c>
      <c r="T2766" s="4">
        <v>1</v>
      </c>
      <c r="U2766" s="5" t="s">
        <v>26517</v>
      </c>
      <c r="V2766" s="5" t="s">
        <v>26517</v>
      </c>
      <c r="W2766" s="5" t="s">
        <v>67</v>
      </c>
      <c r="X2766" s="5" t="s">
        <v>67</v>
      </c>
      <c r="Y2766" s="4">
        <v>135</v>
      </c>
      <c r="Z2766" s="4">
        <v>5</v>
      </c>
      <c r="AA2766" s="4">
        <v>5</v>
      </c>
      <c r="AB2766" s="4">
        <v>1</v>
      </c>
      <c r="AC2766" s="4">
        <v>1</v>
      </c>
      <c r="AD2766" s="4">
        <v>55</v>
      </c>
      <c r="AE2766" s="4">
        <v>55</v>
      </c>
      <c r="AF2766" s="4">
        <v>0</v>
      </c>
      <c r="AG2766" s="4">
        <v>0</v>
      </c>
      <c r="AH2766" s="4">
        <v>53</v>
      </c>
      <c r="AI2766" s="4">
        <v>53</v>
      </c>
      <c r="AJ2766" s="4">
        <v>3</v>
      </c>
      <c r="AK2766" s="4">
        <v>3</v>
      </c>
      <c r="AL2766" s="4">
        <v>33</v>
      </c>
      <c r="AM2766" s="4">
        <v>33</v>
      </c>
      <c r="AN2766" s="4">
        <v>0</v>
      </c>
      <c r="AO2766" s="4">
        <v>0</v>
      </c>
      <c r="AP2766" s="4">
        <v>3</v>
      </c>
      <c r="AQ2766" s="4">
        <v>3</v>
      </c>
      <c r="AR2766" s="3" t="s">
        <v>62</v>
      </c>
      <c r="AS2766" s="3" t="s">
        <v>62</v>
      </c>
      <c r="AT2766" s="3" t="s">
        <v>61</v>
      </c>
      <c r="AU2766" s="6" t="str">
        <f>HYPERLINK("http://catalog.hathitrust.org/Record/001475764","HathiTrust Record")</f>
        <v>HathiTrust Record</v>
      </c>
      <c r="AV2766" s="6" t="str">
        <f>HYPERLINK("http://mcgill.on.worldcat.org/oclc/843331","Catalog Record")</f>
        <v>Catalog Record</v>
      </c>
      <c r="AW2766" s="6" t="str">
        <f>HYPERLINK("http://www.worldcat.org/oclc/843331","WorldCat Record")</f>
        <v>WorldCat Record</v>
      </c>
      <c r="AX2766" s="3" t="s">
        <v>26732</v>
      </c>
      <c r="AY2766" s="3" t="s">
        <v>26733</v>
      </c>
      <c r="AZ2766" s="3" t="s">
        <v>26734</v>
      </c>
      <c r="BA2766" s="3" t="s">
        <v>26734</v>
      </c>
      <c r="BB2766" s="3" t="s">
        <v>26735</v>
      </c>
      <c r="BC2766" s="3" t="s">
        <v>102</v>
      </c>
      <c r="BD2766" s="3" t="s">
        <v>68</v>
      </c>
      <c r="BE2766" s="3" t="s">
        <v>26736</v>
      </c>
      <c r="BF2766" s="3" t="s">
        <v>26735</v>
      </c>
      <c r="BG2766" s="3" t="s">
        <v>26737</v>
      </c>
    </row>
    <row r="2767" spans="1:59" ht="58" x14ac:dyDescent="0.35">
      <c r="A2767" s="2" t="s">
        <v>89</v>
      </c>
      <c r="B2767" s="2" t="s">
        <v>90</v>
      </c>
      <c r="C2767" s="2" t="s">
        <v>26738</v>
      </c>
      <c r="D2767" s="2" t="s">
        <v>26739</v>
      </c>
      <c r="E2767" s="2" t="s">
        <v>26740</v>
      </c>
      <c r="G2767" s="3" t="s">
        <v>62</v>
      </c>
      <c r="I2767" s="3" t="s">
        <v>62</v>
      </c>
      <c r="J2767" s="3" t="s">
        <v>62</v>
      </c>
      <c r="K2767" s="3" t="s">
        <v>63</v>
      </c>
      <c r="L2767" s="2" t="s">
        <v>26741</v>
      </c>
      <c r="M2767" s="2" t="s">
        <v>26742</v>
      </c>
      <c r="N2767" s="3" t="s">
        <v>1722</v>
      </c>
      <c r="P2767" s="3" t="s">
        <v>64</v>
      </c>
      <c r="R2767" s="3" t="s">
        <v>25645</v>
      </c>
      <c r="S2767" s="4">
        <v>6</v>
      </c>
      <c r="T2767" s="4">
        <v>6</v>
      </c>
      <c r="U2767" s="5" t="s">
        <v>25912</v>
      </c>
      <c r="V2767" s="5" t="s">
        <v>25912</v>
      </c>
      <c r="W2767" s="5" t="s">
        <v>67</v>
      </c>
      <c r="X2767" s="5" t="s">
        <v>67</v>
      </c>
      <c r="Y2767" s="4">
        <v>581</v>
      </c>
      <c r="Z2767" s="4">
        <v>23</v>
      </c>
      <c r="AA2767" s="4">
        <v>25</v>
      </c>
      <c r="AB2767" s="4">
        <v>2</v>
      </c>
      <c r="AC2767" s="4">
        <v>2</v>
      </c>
      <c r="AD2767" s="4">
        <v>83</v>
      </c>
      <c r="AE2767" s="4">
        <v>83</v>
      </c>
      <c r="AF2767" s="4">
        <v>0</v>
      </c>
      <c r="AG2767" s="4">
        <v>0</v>
      </c>
      <c r="AH2767" s="4">
        <v>72</v>
      </c>
      <c r="AI2767" s="4">
        <v>72</v>
      </c>
      <c r="AJ2767" s="4">
        <v>7</v>
      </c>
      <c r="AK2767" s="4">
        <v>7</v>
      </c>
      <c r="AL2767" s="4">
        <v>45</v>
      </c>
      <c r="AM2767" s="4">
        <v>45</v>
      </c>
      <c r="AN2767" s="4">
        <v>0</v>
      </c>
      <c r="AO2767" s="4">
        <v>0</v>
      </c>
      <c r="AP2767" s="4">
        <v>12</v>
      </c>
      <c r="AQ2767" s="4">
        <v>12</v>
      </c>
      <c r="AR2767" s="3" t="s">
        <v>62</v>
      </c>
      <c r="AS2767" s="3" t="s">
        <v>62</v>
      </c>
      <c r="AT2767" s="3" t="s">
        <v>62</v>
      </c>
      <c r="AV2767" s="6" t="str">
        <f>HYPERLINK("http://mcgill.on.worldcat.org/oclc/182663525","Catalog Record")</f>
        <v>Catalog Record</v>
      </c>
      <c r="AW2767" s="6" t="str">
        <f>HYPERLINK("http://www.worldcat.org/oclc/182663525","WorldCat Record")</f>
        <v>WorldCat Record</v>
      </c>
      <c r="AX2767" s="3" t="s">
        <v>26743</v>
      </c>
      <c r="AY2767" s="3" t="s">
        <v>26744</v>
      </c>
      <c r="AZ2767" s="3" t="s">
        <v>26745</v>
      </c>
      <c r="BA2767" s="3" t="s">
        <v>26745</v>
      </c>
      <c r="BB2767" s="3" t="s">
        <v>26746</v>
      </c>
      <c r="BC2767" s="3" t="s">
        <v>102</v>
      </c>
      <c r="BD2767" s="3" t="s">
        <v>68</v>
      </c>
      <c r="BE2767" s="3" t="s">
        <v>26747</v>
      </c>
      <c r="BF2767" s="3" t="s">
        <v>26746</v>
      </c>
      <c r="BG2767" s="3" t="s">
        <v>26748</v>
      </c>
    </row>
    <row r="2768" spans="1:59" ht="58" x14ac:dyDescent="0.35">
      <c r="A2768" s="2" t="s">
        <v>89</v>
      </c>
      <c r="B2768" s="2" t="s">
        <v>90</v>
      </c>
      <c r="C2768" s="2" t="s">
        <v>26749</v>
      </c>
      <c r="D2768" s="2" t="s">
        <v>26750</v>
      </c>
      <c r="E2768" s="2" t="s">
        <v>26751</v>
      </c>
      <c r="G2768" s="3" t="s">
        <v>62</v>
      </c>
      <c r="I2768" s="3" t="s">
        <v>62</v>
      </c>
      <c r="J2768" s="3" t="s">
        <v>62</v>
      </c>
      <c r="K2768" s="3" t="s">
        <v>63</v>
      </c>
      <c r="L2768" s="2" t="s">
        <v>26752</v>
      </c>
      <c r="M2768" s="2" t="s">
        <v>26753</v>
      </c>
      <c r="N2768" s="3" t="s">
        <v>1038</v>
      </c>
      <c r="P2768" s="3" t="s">
        <v>64</v>
      </c>
      <c r="R2768" s="3" t="s">
        <v>25645</v>
      </c>
      <c r="S2768" s="4">
        <v>2</v>
      </c>
      <c r="T2768" s="4">
        <v>2</v>
      </c>
      <c r="U2768" s="5" t="s">
        <v>11046</v>
      </c>
      <c r="V2768" s="5" t="s">
        <v>11046</v>
      </c>
      <c r="W2768" s="5" t="s">
        <v>4735</v>
      </c>
      <c r="X2768" s="5" t="s">
        <v>4735</v>
      </c>
      <c r="Y2768" s="4">
        <v>360</v>
      </c>
      <c r="Z2768" s="4">
        <v>20</v>
      </c>
      <c r="AA2768" s="4">
        <v>20</v>
      </c>
      <c r="AB2768" s="4">
        <v>4</v>
      </c>
      <c r="AC2768" s="4">
        <v>4</v>
      </c>
      <c r="AD2768" s="4">
        <v>7</v>
      </c>
      <c r="AE2768" s="4">
        <v>7</v>
      </c>
      <c r="AF2768" s="4">
        <v>0</v>
      </c>
      <c r="AG2768" s="4">
        <v>0</v>
      </c>
      <c r="AH2768" s="4">
        <v>7</v>
      </c>
      <c r="AI2768" s="4">
        <v>7</v>
      </c>
      <c r="AJ2768" s="4">
        <v>0</v>
      </c>
      <c r="AK2768" s="4">
        <v>0</v>
      </c>
      <c r="AL2768" s="4">
        <v>3</v>
      </c>
      <c r="AM2768" s="4">
        <v>3</v>
      </c>
      <c r="AN2768" s="4">
        <v>0</v>
      </c>
      <c r="AO2768" s="4">
        <v>0</v>
      </c>
      <c r="AP2768" s="4">
        <v>0</v>
      </c>
      <c r="AQ2768" s="4">
        <v>0</v>
      </c>
      <c r="AR2768" s="3" t="s">
        <v>62</v>
      </c>
      <c r="AS2768" s="3" t="s">
        <v>62</v>
      </c>
      <c r="AT2768" s="3" t="s">
        <v>62</v>
      </c>
      <c r="AV2768" s="6" t="str">
        <f>HYPERLINK("http://mcgill.on.worldcat.org/oclc/944014250","Catalog Record")</f>
        <v>Catalog Record</v>
      </c>
      <c r="AW2768" s="6" t="str">
        <f>HYPERLINK("http://www.worldcat.org/oclc/944014250","WorldCat Record")</f>
        <v>WorldCat Record</v>
      </c>
      <c r="AX2768" s="3" t="s">
        <v>26754</v>
      </c>
      <c r="AY2768" s="3" t="s">
        <v>26755</v>
      </c>
      <c r="AZ2768" s="3" t="s">
        <v>26756</v>
      </c>
      <c r="BA2768" s="3" t="s">
        <v>26756</v>
      </c>
      <c r="BB2768" s="3" t="s">
        <v>26757</v>
      </c>
      <c r="BC2768" s="3" t="s">
        <v>102</v>
      </c>
      <c r="BD2768" s="3" t="s">
        <v>68</v>
      </c>
      <c r="BE2768" s="3" t="s">
        <v>26758</v>
      </c>
      <c r="BF2768" s="3" t="s">
        <v>26757</v>
      </c>
      <c r="BG2768" s="3" t="s">
        <v>26759</v>
      </c>
    </row>
    <row r="2769" spans="1:59" ht="58" x14ac:dyDescent="0.35">
      <c r="A2769" s="2" t="s">
        <v>89</v>
      </c>
      <c r="B2769" s="2" t="s">
        <v>90</v>
      </c>
      <c r="C2769" s="2" t="s">
        <v>26760</v>
      </c>
      <c r="D2769" s="2" t="s">
        <v>26761</v>
      </c>
      <c r="E2769" s="2" t="s">
        <v>26762</v>
      </c>
      <c r="G2769" s="3" t="s">
        <v>62</v>
      </c>
      <c r="I2769" s="3" t="s">
        <v>62</v>
      </c>
      <c r="J2769" s="3" t="s">
        <v>62</v>
      </c>
      <c r="K2769" s="3" t="s">
        <v>63</v>
      </c>
      <c r="M2769" s="2" t="s">
        <v>26763</v>
      </c>
      <c r="N2769" s="3" t="s">
        <v>712</v>
      </c>
      <c r="P2769" s="3" t="s">
        <v>1881</v>
      </c>
      <c r="Q2769" s="2" t="s">
        <v>26764</v>
      </c>
      <c r="R2769" s="3" t="s">
        <v>25645</v>
      </c>
      <c r="S2769" s="4">
        <v>2</v>
      </c>
      <c r="T2769" s="4">
        <v>2</v>
      </c>
      <c r="U2769" s="5" t="s">
        <v>1579</v>
      </c>
      <c r="V2769" s="5" t="s">
        <v>1579</v>
      </c>
      <c r="W2769" s="5" t="s">
        <v>67</v>
      </c>
      <c r="X2769" s="5" t="s">
        <v>67</v>
      </c>
      <c r="Y2769" s="4">
        <v>4</v>
      </c>
      <c r="Z2769" s="4">
        <v>1</v>
      </c>
      <c r="AA2769" s="4">
        <v>1</v>
      </c>
      <c r="AB2769" s="4">
        <v>1</v>
      </c>
      <c r="AC2769" s="4">
        <v>1</v>
      </c>
      <c r="AD2769" s="4">
        <v>2</v>
      </c>
      <c r="AE2769" s="4">
        <v>2</v>
      </c>
      <c r="AF2769" s="4">
        <v>0</v>
      </c>
      <c r="AG2769" s="4">
        <v>0</v>
      </c>
      <c r="AH2769" s="4">
        <v>2</v>
      </c>
      <c r="AI2769" s="4">
        <v>2</v>
      </c>
      <c r="AJ2769" s="4">
        <v>0</v>
      </c>
      <c r="AK2769" s="4">
        <v>0</v>
      </c>
      <c r="AL2769" s="4">
        <v>1</v>
      </c>
      <c r="AM2769" s="4">
        <v>1</v>
      </c>
      <c r="AN2769" s="4">
        <v>0</v>
      </c>
      <c r="AO2769" s="4">
        <v>0</v>
      </c>
      <c r="AP2769" s="4">
        <v>0</v>
      </c>
      <c r="AQ2769" s="4">
        <v>0</v>
      </c>
      <c r="AR2769" s="3" t="s">
        <v>62</v>
      </c>
      <c r="AS2769" s="3" t="s">
        <v>62</v>
      </c>
      <c r="AT2769" s="3" t="s">
        <v>62</v>
      </c>
      <c r="AV2769" s="6" t="str">
        <f>HYPERLINK("http://mcgill.on.worldcat.org/oclc/869724817","Catalog Record")</f>
        <v>Catalog Record</v>
      </c>
      <c r="AW2769" s="6" t="str">
        <f>HYPERLINK("http://www.worldcat.org/oclc/869724817","WorldCat Record")</f>
        <v>WorldCat Record</v>
      </c>
      <c r="AX2769" s="3" t="s">
        <v>26765</v>
      </c>
      <c r="AY2769" s="3" t="s">
        <v>26766</v>
      </c>
      <c r="AZ2769" s="3" t="s">
        <v>26767</v>
      </c>
      <c r="BA2769" s="3" t="s">
        <v>26767</v>
      </c>
      <c r="BB2769" s="3" t="s">
        <v>26768</v>
      </c>
      <c r="BC2769" s="3" t="s">
        <v>102</v>
      </c>
      <c r="BD2769" s="3" t="s">
        <v>68</v>
      </c>
      <c r="BE2769" s="3" t="s">
        <v>26769</v>
      </c>
      <c r="BF2769" s="3" t="s">
        <v>26768</v>
      </c>
      <c r="BG2769" s="3" t="s">
        <v>26770</v>
      </c>
    </row>
    <row r="2770" spans="1:59" ht="58" x14ac:dyDescent="0.35">
      <c r="A2770" s="2" t="s">
        <v>89</v>
      </c>
      <c r="B2770" s="2" t="s">
        <v>90</v>
      </c>
      <c r="C2770" s="2" t="s">
        <v>26771</v>
      </c>
      <c r="D2770" s="2" t="s">
        <v>26772</v>
      </c>
      <c r="E2770" s="2" t="s">
        <v>26773</v>
      </c>
      <c r="G2770" s="3" t="s">
        <v>61</v>
      </c>
      <c r="I2770" s="3" t="s">
        <v>61</v>
      </c>
      <c r="J2770" s="3" t="s">
        <v>62</v>
      </c>
      <c r="K2770" s="3" t="s">
        <v>63</v>
      </c>
      <c r="L2770" s="2" t="s">
        <v>26774</v>
      </c>
      <c r="M2770" s="2" t="s">
        <v>26775</v>
      </c>
      <c r="N2770" s="3" t="s">
        <v>81</v>
      </c>
      <c r="P2770" s="3" t="s">
        <v>1881</v>
      </c>
      <c r="Q2770" s="2" t="s">
        <v>26776</v>
      </c>
      <c r="R2770" s="3" t="s">
        <v>25645</v>
      </c>
      <c r="S2770" s="4">
        <v>2</v>
      </c>
      <c r="T2770" s="4">
        <v>13</v>
      </c>
      <c r="U2770" s="5" t="s">
        <v>2522</v>
      </c>
      <c r="V2770" s="5" t="s">
        <v>26777</v>
      </c>
      <c r="W2770" s="5" t="s">
        <v>67</v>
      </c>
      <c r="X2770" s="5" t="s">
        <v>67</v>
      </c>
      <c r="Y2770" s="4">
        <v>93</v>
      </c>
      <c r="Z2770" s="4">
        <v>9</v>
      </c>
      <c r="AA2770" s="4">
        <v>12</v>
      </c>
      <c r="AB2770" s="4">
        <v>2</v>
      </c>
      <c r="AC2770" s="4">
        <v>2</v>
      </c>
      <c r="AD2770" s="4">
        <v>47</v>
      </c>
      <c r="AE2770" s="4">
        <v>50</v>
      </c>
      <c r="AF2770" s="4">
        <v>0</v>
      </c>
      <c r="AG2770" s="4">
        <v>0</v>
      </c>
      <c r="AH2770" s="4">
        <v>41</v>
      </c>
      <c r="AI2770" s="4">
        <v>43</v>
      </c>
      <c r="AJ2770" s="4">
        <v>6</v>
      </c>
      <c r="AK2770" s="4">
        <v>8</v>
      </c>
      <c r="AL2770" s="4">
        <v>30</v>
      </c>
      <c r="AM2770" s="4">
        <v>32</v>
      </c>
      <c r="AN2770" s="4">
        <v>0</v>
      </c>
      <c r="AO2770" s="4">
        <v>0</v>
      </c>
      <c r="AP2770" s="4">
        <v>6</v>
      </c>
      <c r="AQ2770" s="4">
        <v>8</v>
      </c>
      <c r="AR2770" s="3" t="s">
        <v>62</v>
      </c>
      <c r="AS2770" s="3" t="s">
        <v>62</v>
      </c>
      <c r="AT2770" s="3" t="s">
        <v>61</v>
      </c>
      <c r="AU2770" s="6" t="str">
        <f>HYPERLINK("http://catalog.hathitrust.org/Record/000869821","HathiTrust Record")</f>
        <v>HathiTrust Record</v>
      </c>
      <c r="AV2770" s="6" t="str">
        <f>HYPERLINK("http://mcgill.on.worldcat.org/oclc/513692","Catalog Record")</f>
        <v>Catalog Record</v>
      </c>
      <c r="AW2770" s="6" t="str">
        <f>HYPERLINK("http://www.worldcat.org/oclc/513692","WorldCat Record")</f>
        <v>WorldCat Record</v>
      </c>
      <c r="AX2770" s="3" t="s">
        <v>26778</v>
      </c>
      <c r="AY2770" s="3" t="s">
        <v>26779</v>
      </c>
      <c r="AZ2770" s="3" t="s">
        <v>26780</v>
      </c>
      <c r="BA2770" s="3" t="s">
        <v>26780</v>
      </c>
      <c r="BB2770" s="3" t="s">
        <v>26781</v>
      </c>
      <c r="BC2770" s="3" t="s">
        <v>102</v>
      </c>
      <c r="BD2770" s="3" t="s">
        <v>68</v>
      </c>
      <c r="BF2770" s="3" t="s">
        <v>26781</v>
      </c>
      <c r="BG2770" s="3" t="s">
        <v>26782</v>
      </c>
    </row>
    <row r="2771" spans="1:59" ht="58" x14ac:dyDescent="0.35">
      <c r="A2771" s="2" t="s">
        <v>89</v>
      </c>
      <c r="B2771" s="2" t="s">
        <v>90</v>
      </c>
      <c r="C2771" s="2" t="s">
        <v>26783</v>
      </c>
      <c r="D2771" s="2" t="s">
        <v>26784</v>
      </c>
      <c r="E2771" s="2" t="s">
        <v>26785</v>
      </c>
      <c r="G2771" s="3" t="s">
        <v>62</v>
      </c>
      <c r="I2771" s="3" t="s">
        <v>61</v>
      </c>
      <c r="J2771" s="3" t="s">
        <v>62</v>
      </c>
      <c r="K2771" s="3" t="s">
        <v>63</v>
      </c>
      <c r="M2771" s="2" t="s">
        <v>26786</v>
      </c>
      <c r="N2771" s="3" t="s">
        <v>2110</v>
      </c>
      <c r="P2771" s="3" t="s">
        <v>64</v>
      </c>
      <c r="Q2771" s="2" t="s">
        <v>26787</v>
      </c>
      <c r="R2771" s="3" t="s">
        <v>25645</v>
      </c>
      <c r="S2771" s="4">
        <v>0</v>
      </c>
      <c r="T2771" s="4">
        <v>7</v>
      </c>
      <c r="V2771" s="5" t="s">
        <v>2164</v>
      </c>
      <c r="W2771" s="5" t="s">
        <v>67</v>
      </c>
      <c r="X2771" s="5" t="s">
        <v>67</v>
      </c>
      <c r="Y2771" s="4">
        <v>111</v>
      </c>
      <c r="Z2771" s="4">
        <v>11</v>
      </c>
      <c r="AA2771" s="4">
        <v>11</v>
      </c>
      <c r="AB2771" s="4">
        <v>1</v>
      </c>
      <c r="AC2771" s="4">
        <v>1</v>
      </c>
      <c r="AD2771" s="4">
        <v>47</v>
      </c>
      <c r="AE2771" s="4">
        <v>47</v>
      </c>
      <c r="AF2771" s="4">
        <v>0</v>
      </c>
      <c r="AG2771" s="4">
        <v>0</v>
      </c>
      <c r="AH2771" s="4">
        <v>43</v>
      </c>
      <c r="AI2771" s="4">
        <v>43</v>
      </c>
      <c r="AJ2771" s="4">
        <v>7</v>
      </c>
      <c r="AK2771" s="4">
        <v>7</v>
      </c>
      <c r="AL2771" s="4">
        <v>28</v>
      </c>
      <c r="AM2771" s="4">
        <v>28</v>
      </c>
      <c r="AN2771" s="4">
        <v>0</v>
      </c>
      <c r="AO2771" s="4">
        <v>0</v>
      </c>
      <c r="AP2771" s="4">
        <v>8</v>
      </c>
      <c r="AQ2771" s="4">
        <v>8</v>
      </c>
      <c r="AR2771" s="3" t="s">
        <v>62</v>
      </c>
      <c r="AS2771" s="3" t="s">
        <v>62</v>
      </c>
      <c r="AT2771" s="3" t="s">
        <v>61</v>
      </c>
      <c r="AU2771" s="6" t="str">
        <f>HYPERLINK("http://catalog.hathitrust.org/Record/000031772","HathiTrust Record")</f>
        <v>HathiTrust Record</v>
      </c>
      <c r="AV2771" s="6" t="str">
        <f>HYPERLINK("http://mcgill.on.worldcat.org/oclc/5310433","Catalog Record")</f>
        <v>Catalog Record</v>
      </c>
      <c r="AW2771" s="6" t="str">
        <f>HYPERLINK("http://www.worldcat.org/oclc/5310433","WorldCat Record")</f>
        <v>WorldCat Record</v>
      </c>
      <c r="AX2771" s="3" t="s">
        <v>26788</v>
      </c>
      <c r="AY2771" s="3" t="s">
        <v>26789</v>
      </c>
      <c r="AZ2771" s="3" t="s">
        <v>26790</v>
      </c>
      <c r="BA2771" s="3" t="s">
        <v>26790</v>
      </c>
      <c r="BB2771" s="3" t="s">
        <v>26791</v>
      </c>
      <c r="BC2771" s="3" t="s">
        <v>102</v>
      </c>
      <c r="BD2771" s="3" t="s">
        <v>68</v>
      </c>
      <c r="BF2771" s="3" t="s">
        <v>26791</v>
      </c>
      <c r="BG2771" s="3" t="s">
        <v>26792</v>
      </c>
    </row>
    <row r="2772" spans="1:59" ht="58" x14ac:dyDescent="0.35">
      <c r="A2772" s="2" t="s">
        <v>89</v>
      </c>
      <c r="B2772" s="2" t="s">
        <v>90</v>
      </c>
      <c r="C2772" s="2" t="s">
        <v>26783</v>
      </c>
      <c r="D2772" s="2" t="s">
        <v>26784</v>
      </c>
      <c r="E2772" s="2" t="s">
        <v>26785</v>
      </c>
      <c r="G2772" s="3" t="s">
        <v>62</v>
      </c>
      <c r="I2772" s="3" t="s">
        <v>61</v>
      </c>
      <c r="J2772" s="3" t="s">
        <v>62</v>
      </c>
      <c r="K2772" s="3" t="s">
        <v>63</v>
      </c>
      <c r="M2772" s="2" t="s">
        <v>26786</v>
      </c>
      <c r="N2772" s="3" t="s">
        <v>2110</v>
      </c>
      <c r="P2772" s="3" t="s">
        <v>64</v>
      </c>
      <c r="Q2772" s="2" t="s">
        <v>26787</v>
      </c>
      <c r="R2772" s="3" t="s">
        <v>25645</v>
      </c>
      <c r="S2772" s="4">
        <v>7</v>
      </c>
      <c r="T2772" s="4">
        <v>7</v>
      </c>
      <c r="U2772" s="5" t="s">
        <v>2164</v>
      </c>
      <c r="V2772" s="5" t="s">
        <v>2164</v>
      </c>
      <c r="W2772" s="5" t="s">
        <v>67</v>
      </c>
      <c r="X2772" s="5" t="s">
        <v>67</v>
      </c>
      <c r="Y2772" s="4">
        <v>111</v>
      </c>
      <c r="Z2772" s="4">
        <v>11</v>
      </c>
      <c r="AA2772" s="4">
        <v>11</v>
      </c>
      <c r="AB2772" s="4">
        <v>1</v>
      </c>
      <c r="AC2772" s="4">
        <v>1</v>
      </c>
      <c r="AD2772" s="4">
        <v>47</v>
      </c>
      <c r="AE2772" s="4">
        <v>47</v>
      </c>
      <c r="AF2772" s="4">
        <v>0</v>
      </c>
      <c r="AG2772" s="4">
        <v>0</v>
      </c>
      <c r="AH2772" s="4">
        <v>43</v>
      </c>
      <c r="AI2772" s="4">
        <v>43</v>
      </c>
      <c r="AJ2772" s="4">
        <v>7</v>
      </c>
      <c r="AK2772" s="4">
        <v>7</v>
      </c>
      <c r="AL2772" s="4">
        <v>28</v>
      </c>
      <c r="AM2772" s="4">
        <v>28</v>
      </c>
      <c r="AN2772" s="4">
        <v>0</v>
      </c>
      <c r="AO2772" s="4">
        <v>0</v>
      </c>
      <c r="AP2772" s="4">
        <v>8</v>
      </c>
      <c r="AQ2772" s="4">
        <v>8</v>
      </c>
      <c r="AR2772" s="3" t="s">
        <v>62</v>
      </c>
      <c r="AS2772" s="3" t="s">
        <v>62</v>
      </c>
      <c r="AT2772" s="3" t="s">
        <v>61</v>
      </c>
      <c r="AU2772" s="6" t="str">
        <f>HYPERLINK("http://catalog.hathitrust.org/Record/000031772","HathiTrust Record")</f>
        <v>HathiTrust Record</v>
      </c>
      <c r="AV2772" s="6" t="str">
        <f>HYPERLINK("http://mcgill.on.worldcat.org/oclc/5310433","Catalog Record")</f>
        <v>Catalog Record</v>
      </c>
      <c r="AW2772" s="6" t="str">
        <f>HYPERLINK("http://www.worldcat.org/oclc/5310433","WorldCat Record")</f>
        <v>WorldCat Record</v>
      </c>
      <c r="AX2772" s="3" t="s">
        <v>26788</v>
      </c>
      <c r="AY2772" s="3" t="s">
        <v>26789</v>
      </c>
      <c r="AZ2772" s="3" t="s">
        <v>26790</v>
      </c>
      <c r="BA2772" s="3" t="s">
        <v>26790</v>
      </c>
      <c r="BB2772" s="3" t="s">
        <v>26793</v>
      </c>
      <c r="BC2772" s="3" t="s">
        <v>102</v>
      </c>
      <c r="BD2772" s="3" t="s">
        <v>68</v>
      </c>
      <c r="BF2772" s="3" t="s">
        <v>26793</v>
      </c>
      <c r="BG2772" s="3" t="s">
        <v>26794</v>
      </c>
    </row>
    <row r="2773" spans="1:59" ht="58" x14ac:dyDescent="0.35">
      <c r="A2773" s="2" t="s">
        <v>89</v>
      </c>
      <c r="B2773" s="2" t="s">
        <v>90</v>
      </c>
      <c r="C2773" s="2" t="s">
        <v>26795</v>
      </c>
      <c r="D2773" s="2" t="s">
        <v>26796</v>
      </c>
      <c r="E2773" s="2" t="s">
        <v>26797</v>
      </c>
      <c r="G2773" s="3" t="s">
        <v>62</v>
      </c>
      <c r="I2773" s="3" t="s">
        <v>62</v>
      </c>
      <c r="J2773" s="3" t="s">
        <v>61</v>
      </c>
      <c r="K2773" s="3" t="s">
        <v>7988</v>
      </c>
      <c r="L2773" s="2" t="s">
        <v>26798</v>
      </c>
      <c r="M2773" s="2" t="s">
        <v>26799</v>
      </c>
      <c r="N2773" s="3" t="s">
        <v>1576</v>
      </c>
      <c r="P2773" s="3" t="s">
        <v>85</v>
      </c>
      <c r="R2773" s="3" t="s">
        <v>25645</v>
      </c>
      <c r="S2773" s="4">
        <v>27</v>
      </c>
      <c r="T2773" s="4">
        <v>27</v>
      </c>
      <c r="U2773" s="5" t="s">
        <v>26517</v>
      </c>
      <c r="V2773" s="5" t="s">
        <v>26517</v>
      </c>
      <c r="W2773" s="5" t="s">
        <v>67</v>
      </c>
      <c r="X2773" s="5" t="s">
        <v>67</v>
      </c>
      <c r="Y2773" s="4">
        <v>219</v>
      </c>
      <c r="Z2773" s="4">
        <v>13</v>
      </c>
      <c r="AA2773" s="4">
        <v>44</v>
      </c>
      <c r="AB2773" s="4">
        <v>1</v>
      </c>
      <c r="AC2773" s="4">
        <v>11</v>
      </c>
      <c r="AD2773" s="4">
        <v>65</v>
      </c>
      <c r="AE2773" s="4">
        <v>122</v>
      </c>
      <c r="AF2773" s="4">
        <v>0</v>
      </c>
      <c r="AG2773" s="4">
        <v>4</v>
      </c>
      <c r="AH2773" s="4">
        <v>61</v>
      </c>
      <c r="AI2773" s="4">
        <v>104</v>
      </c>
      <c r="AJ2773" s="4">
        <v>7</v>
      </c>
      <c r="AK2773" s="4">
        <v>20</v>
      </c>
      <c r="AL2773" s="4">
        <v>39</v>
      </c>
      <c r="AM2773" s="4">
        <v>55</v>
      </c>
      <c r="AN2773" s="4">
        <v>0</v>
      </c>
      <c r="AO2773" s="4">
        <v>6</v>
      </c>
      <c r="AP2773" s="4">
        <v>10</v>
      </c>
      <c r="AQ2773" s="4">
        <v>28</v>
      </c>
      <c r="AR2773" s="3" t="s">
        <v>62</v>
      </c>
      <c r="AS2773" s="3" t="s">
        <v>62</v>
      </c>
      <c r="AT2773" s="3" t="s">
        <v>61</v>
      </c>
      <c r="AU2773" s="6" t="str">
        <f>HYPERLINK("http://catalog.hathitrust.org/Record/001476031","HathiTrust Record")</f>
        <v>HathiTrust Record</v>
      </c>
      <c r="AV2773" s="6" t="str">
        <f>HYPERLINK("http://mcgill.on.worldcat.org/oclc/542083","Catalog Record")</f>
        <v>Catalog Record</v>
      </c>
      <c r="AW2773" s="6" t="str">
        <f>HYPERLINK("http://www.worldcat.org/oclc/542083","WorldCat Record")</f>
        <v>WorldCat Record</v>
      </c>
      <c r="AX2773" s="3" t="s">
        <v>26800</v>
      </c>
      <c r="AY2773" s="3" t="s">
        <v>26801</v>
      </c>
      <c r="AZ2773" s="3" t="s">
        <v>26802</v>
      </c>
      <c r="BA2773" s="3" t="s">
        <v>26802</v>
      </c>
      <c r="BB2773" s="3" t="s">
        <v>26803</v>
      </c>
      <c r="BC2773" s="3" t="s">
        <v>102</v>
      </c>
      <c r="BD2773" s="3" t="s">
        <v>68</v>
      </c>
      <c r="BF2773" s="3" t="s">
        <v>26803</v>
      </c>
      <c r="BG2773" s="3" t="s">
        <v>26804</v>
      </c>
    </row>
    <row r="2774" spans="1:59" ht="58" x14ac:dyDescent="0.35">
      <c r="A2774" s="2" t="s">
        <v>89</v>
      </c>
      <c r="B2774" s="2" t="s">
        <v>90</v>
      </c>
      <c r="C2774" s="2" t="s">
        <v>26805</v>
      </c>
      <c r="D2774" s="2" t="s">
        <v>26806</v>
      </c>
      <c r="E2774" s="2" t="s">
        <v>26807</v>
      </c>
      <c r="G2774" s="3" t="s">
        <v>62</v>
      </c>
      <c r="I2774" s="3" t="s">
        <v>62</v>
      </c>
      <c r="J2774" s="3" t="s">
        <v>61</v>
      </c>
      <c r="K2774" s="3" t="s">
        <v>7988</v>
      </c>
      <c r="L2774" s="2" t="s">
        <v>26798</v>
      </c>
      <c r="M2774" s="2" t="s">
        <v>26808</v>
      </c>
      <c r="N2774" s="3" t="s">
        <v>438</v>
      </c>
      <c r="P2774" s="3" t="s">
        <v>85</v>
      </c>
      <c r="Q2774" s="2" t="s">
        <v>26809</v>
      </c>
      <c r="R2774" s="3" t="s">
        <v>25645</v>
      </c>
      <c r="S2774" s="4">
        <v>25</v>
      </c>
      <c r="T2774" s="4">
        <v>25</v>
      </c>
      <c r="U2774" s="5" t="s">
        <v>26517</v>
      </c>
      <c r="V2774" s="5" t="s">
        <v>26517</v>
      </c>
      <c r="W2774" s="5" t="s">
        <v>67</v>
      </c>
      <c r="X2774" s="5" t="s">
        <v>67</v>
      </c>
      <c r="Y2774" s="4">
        <v>2</v>
      </c>
      <c r="Z2774" s="4">
        <v>1</v>
      </c>
      <c r="AA2774" s="4">
        <v>44</v>
      </c>
      <c r="AB2774" s="4">
        <v>1</v>
      </c>
      <c r="AC2774" s="4">
        <v>11</v>
      </c>
      <c r="AD2774" s="4">
        <v>0</v>
      </c>
      <c r="AE2774" s="4">
        <v>122</v>
      </c>
      <c r="AF2774" s="4">
        <v>0</v>
      </c>
      <c r="AG2774" s="4">
        <v>4</v>
      </c>
      <c r="AH2774" s="4">
        <v>0</v>
      </c>
      <c r="AI2774" s="4">
        <v>104</v>
      </c>
      <c r="AJ2774" s="4">
        <v>0</v>
      </c>
      <c r="AK2774" s="4">
        <v>20</v>
      </c>
      <c r="AL2774" s="4">
        <v>0</v>
      </c>
      <c r="AM2774" s="4">
        <v>55</v>
      </c>
      <c r="AN2774" s="4">
        <v>0</v>
      </c>
      <c r="AO2774" s="4">
        <v>6</v>
      </c>
      <c r="AP2774" s="4">
        <v>0</v>
      </c>
      <c r="AQ2774" s="4">
        <v>28</v>
      </c>
      <c r="AR2774" s="3" t="s">
        <v>62</v>
      </c>
      <c r="AS2774" s="3" t="s">
        <v>62</v>
      </c>
      <c r="AT2774" s="3" t="s">
        <v>62</v>
      </c>
      <c r="AV2774" s="6" t="str">
        <f>HYPERLINK("http://mcgill.on.worldcat.org/oclc/221155746","Catalog Record")</f>
        <v>Catalog Record</v>
      </c>
      <c r="AW2774" s="6" t="str">
        <f>HYPERLINK("http://www.worldcat.org/oclc/221155746","WorldCat Record")</f>
        <v>WorldCat Record</v>
      </c>
      <c r="AX2774" s="3" t="s">
        <v>26800</v>
      </c>
      <c r="AY2774" s="3" t="s">
        <v>26810</v>
      </c>
      <c r="AZ2774" s="3" t="s">
        <v>26811</v>
      </c>
      <c r="BA2774" s="3" t="s">
        <v>26811</v>
      </c>
      <c r="BB2774" s="3" t="s">
        <v>26812</v>
      </c>
      <c r="BC2774" s="3" t="s">
        <v>102</v>
      </c>
      <c r="BD2774" s="3" t="s">
        <v>68</v>
      </c>
      <c r="BE2774" s="3" t="s">
        <v>26813</v>
      </c>
      <c r="BF2774" s="3" t="s">
        <v>26812</v>
      </c>
      <c r="BG2774" s="3" t="s">
        <v>26814</v>
      </c>
    </row>
    <row r="2775" spans="1:59" ht="58" x14ac:dyDescent="0.35">
      <c r="A2775" s="2" t="s">
        <v>89</v>
      </c>
      <c r="B2775" s="2" t="s">
        <v>90</v>
      </c>
      <c r="C2775" s="2" t="s">
        <v>26815</v>
      </c>
      <c r="D2775" s="2" t="s">
        <v>26816</v>
      </c>
      <c r="E2775" s="2" t="s">
        <v>26817</v>
      </c>
      <c r="G2775" s="3" t="s">
        <v>62</v>
      </c>
      <c r="I2775" s="3" t="s">
        <v>62</v>
      </c>
      <c r="J2775" s="3" t="s">
        <v>62</v>
      </c>
      <c r="K2775" s="3" t="s">
        <v>7988</v>
      </c>
      <c r="L2775" s="2" t="s">
        <v>26798</v>
      </c>
      <c r="M2775" s="2" t="s">
        <v>26818</v>
      </c>
      <c r="N2775" s="3" t="s">
        <v>438</v>
      </c>
      <c r="P2775" s="3" t="s">
        <v>64</v>
      </c>
      <c r="R2775" s="3" t="s">
        <v>25645</v>
      </c>
      <c r="S2775" s="4">
        <v>7</v>
      </c>
      <c r="T2775" s="4">
        <v>7</v>
      </c>
      <c r="U2775" s="5" t="s">
        <v>3583</v>
      </c>
      <c r="V2775" s="5" t="s">
        <v>3583</v>
      </c>
      <c r="W2775" s="5" t="s">
        <v>67</v>
      </c>
      <c r="X2775" s="5" t="s">
        <v>67</v>
      </c>
      <c r="Y2775" s="4">
        <v>247</v>
      </c>
      <c r="Z2775" s="4">
        <v>13</v>
      </c>
      <c r="AA2775" s="4">
        <v>67</v>
      </c>
      <c r="AB2775" s="4">
        <v>1</v>
      </c>
      <c r="AC2775" s="4">
        <v>9</v>
      </c>
      <c r="AD2775" s="4">
        <v>79</v>
      </c>
      <c r="AE2775" s="4">
        <v>142</v>
      </c>
      <c r="AF2775" s="4">
        <v>0</v>
      </c>
      <c r="AG2775" s="4">
        <v>2</v>
      </c>
      <c r="AH2775" s="4">
        <v>71</v>
      </c>
      <c r="AI2775" s="4">
        <v>112</v>
      </c>
      <c r="AJ2775" s="4">
        <v>7</v>
      </c>
      <c r="AK2775" s="4">
        <v>22</v>
      </c>
      <c r="AL2775" s="4">
        <v>49</v>
      </c>
      <c r="AM2775" s="4">
        <v>60</v>
      </c>
      <c r="AN2775" s="4">
        <v>0</v>
      </c>
      <c r="AO2775" s="4">
        <v>9</v>
      </c>
      <c r="AP2775" s="4">
        <v>8</v>
      </c>
      <c r="AQ2775" s="4">
        <v>36</v>
      </c>
      <c r="AR2775" s="3" t="s">
        <v>62</v>
      </c>
      <c r="AS2775" s="3" t="s">
        <v>62</v>
      </c>
      <c r="AT2775" s="3" t="s">
        <v>62</v>
      </c>
      <c r="AV2775" s="6" t="str">
        <f>HYPERLINK("http://mcgill.on.worldcat.org/oclc/21080669","Catalog Record")</f>
        <v>Catalog Record</v>
      </c>
      <c r="AW2775" s="6" t="str">
        <f>HYPERLINK("http://www.worldcat.org/oclc/21080669","WorldCat Record")</f>
        <v>WorldCat Record</v>
      </c>
      <c r="AX2775" s="3" t="s">
        <v>26819</v>
      </c>
      <c r="AY2775" s="3" t="s">
        <v>26820</v>
      </c>
      <c r="AZ2775" s="3" t="s">
        <v>26821</v>
      </c>
      <c r="BA2775" s="3" t="s">
        <v>26821</v>
      </c>
      <c r="BB2775" s="3" t="s">
        <v>26822</v>
      </c>
      <c r="BC2775" s="3" t="s">
        <v>102</v>
      </c>
      <c r="BD2775" s="3" t="s">
        <v>68</v>
      </c>
      <c r="BE2775" s="3" t="s">
        <v>26823</v>
      </c>
      <c r="BF2775" s="3" t="s">
        <v>26822</v>
      </c>
      <c r="BG2775" s="3" t="s">
        <v>26824</v>
      </c>
    </row>
    <row r="2776" spans="1:59" ht="58" x14ac:dyDescent="0.35">
      <c r="A2776" s="2" t="s">
        <v>59</v>
      </c>
      <c r="B2776" s="2" t="s">
        <v>60</v>
      </c>
      <c r="C2776" s="2" t="s">
        <v>26825</v>
      </c>
      <c r="D2776" s="2" t="s">
        <v>26826</v>
      </c>
      <c r="E2776" s="2" t="s">
        <v>26827</v>
      </c>
      <c r="G2776" s="3" t="s">
        <v>62</v>
      </c>
      <c r="I2776" s="3" t="s">
        <v>61</v>
      </c>
      <c r="J2776" s="3" t="s">
        <v>62</v>
      </c>
      <c r="K2776" s="3" t="s">
        <v>63</v>
      </c>
      <c r="L2776" s="2" t="s">
        <v>26828</v>
      </c>
      <c r="M2776" s="2" t="s">
        <v>26829</v>
      </c>
      <c r="N2776" s="3" t="s">
        <v>1576</v>
      </c>
      <c r="P2776" s="3" t="s">
        <v>64</v>
      </c>
      <c r="R2776" s="3" t="s">
        <v>25645</v>
      </c>
      <c r="S2776" s="4">
        <v>4</v>
      </c>
      <c r="T2776" s="4">
        <v>16</v>
      </c>
      <c r="U2776" s="5" t="s">
        <v>26830</v>
      </c>
      <c r="V2776" s="5" t="s">
        <v>4199</v>
      </c>
      <c r="W2776" s="5" t="s">
        <v>67</v>
      </c>
      <c r="X2776" s="5" t="s">
        <v>67</v>
      </c>
      <c r="Y2776" s="4">
        <v>1046</v>
      </c>
      <c r="Z2776" s="4">
        <v>56</v>
      </c>
      <c r="AA2776" s="4">
        <v>63</v>
      </c>
      <c r="AB2776" s="4">
        <v>4</v>
      </c>
      <c r="AC2776" s="4">
        <v>7</v>
      </c>
      <c r="AD2776" s="4">
        <v>131</v>
      </c>
      <c r="AE2776" s="4">
        <v>144</v>
      </c>
      <c r="AF2776" s="4">
        <v>1</v>
      </c>
      <c r="AG2776" s="4">
        <v>3</v>
      </c>
      <c r="AH2776" s="4">
        <v>100</v>
      </c>
      <c r="AI2776" s="4">
        <v>109</v>
      </c>
      <c r="AJ2776" s="4">
        <v>21</v>
      </c>
      <c r="AK2776" s="4">
        <v>24</v>
      </c>
      <c r="AL2776" s="4">
        <v>57</v>
      </c>
      <c r="AM2776" s="4">
        <v>60</v>
      </c>
      <c r="AN2776" s="4">
        <v>0</v>
      </c>
      <c r="AO2776" s="4">
        <v>0</v>
      </c>
      <c r="AP2776" s="4">
        <v>34</v>
      </c>
      <c r="AQ2776" s="4">
        <v>38</v>
      </c>
      <c r="AR2776" s="3" t="s">
        <v>62</v>
      </c>
      <c r="AS2776" s="3" t="s">
        <v>62</v>
      </c>
      <c r="AT2776" s="3" t="s">
        <v>61</v>
      </c>
      <c r="AU2776" s="6" t="str">
        <f>HYPERLINK("http://catalog.hathitrust.org/Record/000308098","HathiTrust Record")</f>
        <v>HathiTrust Record</v>
      </c>
      <c r="AV2776" s="6" t="str">
        <f>HYPERLINK("http://mcgill.on.worldcat.org/oclc/317314","Catalog Record")</f>
        <v>Catalog Record</v>
      </c>
      <c r="AW2776" s="6" t="str">
        <f>HYPERLINK("http://www.worldcat.org/oclc/317314","WorldCat Record")</f>
        <v>WorldCat Record</v>
      </c>
      <c r="AX2776" s="3" t="s">
        <v>26831</v>
      </c>
      <c r="AY2776" s="3" t="s">
        <v>26832</v>
      </c>
      <c r="AZ2776" s="3" t="s">
        <v>26833</v>
      </c>
      <c r="BA2776" s="3" t="s">
        <v>26833</v>
      </c>
      <c r="BB2776" s="3" t="s">
        <v>26834</v>
      </c>
      <c r="BC2776" s="3" t="s">
        <v>102</v>
      </c>
      <c r="BD2776" s="3" t="s">
        <v>68</v>
      </c>
      <c r="BF2776" s="3" t="s">
        <v>26834</v>
      </c>
      <c r="BG2776" s="3" t="s">
        <v>26835</v>
      </c>
    </row>
    <row r="2777" spans="1:59" ht="72.5" x14ac:dyDescent="0.35">
      <c r="A2777" s="2" t="s">
        <v>89</v>
      </c>
      <c r="B2777" s="2" t="s">
        <v>90</v>
      </c>
      <c r="C2777" s="2" t="s">
        <v>26836</v>
      </c>
      <c r="D2777" s="2" t="s">
        <v>26837</v>
      </c>
      <c r="E2777" s="2" t="s">
        <v>26838</v>
      </c>
      <c r="G2777" s="3" t="s">
        <v>62</v>
      </c>
      <c r="I2777" s="3" t="s">
        <v>62</v>
      </c>
      <c r="J2777" s="3" t="s">
        <v>62</v>
      </c>
      <c r="K2777" s="3" t="s">
        <v>63</v>
      </c>
      <c r="L2777" s="2" t="s">
        <v>26839</v>
      </c>
      <c r="M2777" s="2" t="s">
        <v>26840</v>
      </c>
      <c r="N2777" s="3" t="s">
        <v>2566</v>
      </c>
      <c r="P2777" s="3" t="s">
        <v>64</v>
      </c>
      <c r="R2777" s="3" t="s">
        <v>25645</v>
      </c>
      <c r="S2777" s="4">
        <v>1</v>
      </c>
      <c r="T2777" s="4">
        <v>1</v>
      </c>
      <c r="U2777" s="5" t="s">
        <v>26841</v>
      </c>
      <c r="V2777" s="5" t="s">
        <v>26841</v>
      </c>
      <c r="W2777" s="5" t="s">
        <v>67</v>
      </c>
      <c r="X2777" s="5" t="s">
        <v>67</v>
      </c>
      <c r="Y2777" s="4">
        <v>787</v>
      </c>
      <c r="Z2777" s="4">
        <v>42</v>
      </c>
      <c r="AA2777" s="4">
        <v>43</v>
      </c>
      <c r="AB2777" s="4">
        <v>3</v>
      </c>
      <c r="AC2777" s="4">
        <v>4</v>
      </c>
      <c r="AD2777" s="4">
        <v>124</v>
      </c>
      <c r="AE2777" s="4">
        <v>125</v>
      </c>
      <c r="AF2777" s="4">
        <v>2</v>
      </c>
      <c r="AG2777" s="4">
        <v>3</v>
      </c>
      <c r="AH2777" s="4">
        <v>99</v>
      </c>
      <c r="AI2777" s="4">
        <v>99</v>
      </c>
      <c r="AJ2777" s="4">
        <v>18</v>
      </c>
      <c r="AK2777" s="4">
        <v>19</v>
      </c>
      <c r="AL2777" s="4">
        <v>55</v>
      </c>
      <c r="AM2777" s="4">
        <v>55</v>
      </c>
      <c r="AN2777" s="4">
        <v>0</v>
      </c>
      <c r="AO2777" s="4">
        <v>0</v>
      </c>
      <c r="AP2777" s="4">
        <v>30</v>
      </c>
      <c r="AQ2777" s="4">
        <v>30</v>
      </c>
      <c r="AR2777" s="3" t="s">
        <v>62</v>
      </c>
      <c r="AS2777" s="3" t="s">
        <v>62</v>
      </c>
      <c r="AT2777" s="3" t="s">
        <v>61</v>
      </c>
      <c r="AU2777" s="6" t="str">
        <f>HYPERLINK("http://catalog.hathitrust.org/Record/001483857","HathiTrust Record")</f>
        <v>HathiTrust Record</v>
      </c>
      <c r="AV2777" s="6" t="str">
        <f>HYPERLINK("http://mcgill.on.worldcat.org/oclc/700752","Catalog Record")</f>
        <v>Catalog Record</v>
      </c>
      <c r="AW2777" s="6" t="str">
        <f>HYPERLINK("http://www.worldcat.org/oclc/700752","WorldCat Record")</f>
        <v>WorldCat Record</v>
      </c>
      <c r="AX2777" s="3" t="s">
        <v>26842</v>
      </c>
      <c r="AY2777" s="3" t="s">
        <v>26843</v>
      </c>
      <c r="AZ2777" s="3" t="s">
        <v>26844</v>
      </c>
      <c r="BA2777" s="3" t="s">
        <v>26844</v>
      </c>
      <c r="BB2777" s="3" t="s">
        <v>26845</v>
      </c>
      <c r="BC2777" s="3" t="s">
        <v>102</v>
      </c>
      <c r="BD2777" s="3" t="s">
        <v>68</v>
      </c>
      <c r="BE2777" s="3" t="s">
        <v>26846</v>
      </c>
      <c r="BF2777" s="3" t="s">
        <v>26845</v>
      </c>
      <c r="BG2777" s="3" t="s">
        <v>26847</v>
      </c>
    </row>
    <row r="2778" spans="1:59" ht="58" x14ac:dyDescent="0.35">
      <c r="A2778" s="2" t="s">
        <v>89</v>
      </c>
      <c r="B2778" s="2" t="s">
        <v>90</v>
      </c>
      <c r="C2778" s="2" t="s">
        <v>26848</v>
      </c>
      <c r="D2778" s="2" t="s">
        <v>26849</v>
      </c>
      <c r="E2778" s="2" t="s">
        <v>26850</v>
      </c>
      <c r="G2778" s="3" t="s">
        <v>62</v>
      </c>
      <c r="I2778" s="3" t="s">
        <v>62</v>
      </c>
      <c r="J2778" s="3" t="s">
        <v>62</v>
      </c>
      <c r="K2778" s="3" t="s">
        <v>63</v>
      </c>
      <c r="L2778" s="2" t="s">
        <v>26851</v>
      </c>
      <c r="M2778" s="2" t="s">
        <v>26852</v>
      </c>
      <c r="N2778" s="3" t="s">
        <v>2085</v>
      </c>
      <c r="O2778" s="2" t="s">
        <v>1941</v>
      </c>
      <c r="P2778" s="3" t="s">
        <v>64</v>
      </c>
      <c r="R2778" s="3" t="s">
        <v>25645</v>
      </c>
      <c r="S2778" s="4">
        <v>0</v>
      </c>
      <c r="T2778" s="4">
        <v>0</v>
      </c>
      <c r="W2778" s="5" t="s">
        <v>67</v>
      </c>
      <c r="X2778" s="5" t="s">
        <v>67</v>
      </c>
      <c r="Y2778" s="4">
        <v>168</v>
      </c>
      <c r="Z2778" s="4">
        <v>6</v>
      </c>
      <c r="AA2778" s="4">
        <v>6</v>
      </c>
      <c r="AB2778" s="4">
        <v>1</v>
      </c>
      <c r="AC2778" s="4">
        <v>1</v>
      </c>
      <c r="AD2778" s="4">
        <v>36</v>
      </c>
      <c r="AE2778" s="4">
        <v>36</v>
      </c>
      <c r="AF2778" s="4">
        <v>0</v>
      </c>
      <c r="AG2778" s="4">
        <v>0</v>
      </c>
      <c r="AH2778" s="4">
        <v>35</v>
      </c>
      <c r="AI2778" s="4">
        <v>35</v>
      </c>
      <c r="AJ2778" s="4">
        <v>4</v>
      </c>
      <c r="AK2778" s="4">
        <v>4</v>
      </c>
      <c r="AL2778" s="4">
        <v>21</v>
      </c>
      <c r="AM2778" s="4">
        <v>21</v>
      </c>
      <c r="AN2778" s="4">
        <v>0</v>
      </c>
      <c r="AO2778" s="4">
        <v>0</v>
      </c>
      <c r="AP2778" s="4">
        <v>4</v>
      </c>
      <c r="AQ2778" s="4">
        <v>4</v>
      </c>
      <c r="AR2778" s="3" t="s">
        <v>62</v>
      </c>
      <c r="AS2778" s="3" t="s">
        <v>62</v>
      </c>
      <c r="AT2778" s="3" t="s">
        <v>62</v>
      </c>
      <c r="AV2778" s="6" t="str">
        <f>HYPERLINK("http://mcgill.on.worldcat.org/oclc/1046981866","Catalog Record")</f>
        <v>Catalog Record</v>
      </c>
      <c r="AW2778" s="6" t="str">
        <f>HYPERLINK("http://www.worldcat.org/oclc/1046981866","WorldCat Record")</f>
        <v>WorldCat Record</v>
      </c>
      <c r="AX2778" s="3" t="s">
        <v>26853</v>
      </c>
      <c r="AY2778" s="3" t="s">
        <v>26854</v>
      </c>
      <c r="AZ2778" s="3" t="s">
        <v>26855</v>
      </c>
      <c r="BA2778" s="3" t="s">
        <v>26855</v>
      </c>
      <c r="BB2778" s="3" t="s">
        <v>26856</v>
      </c>
      <c r="BC2778" s="3" t="s">
        <v>102</v>
      </c>
      <c r="BD2778" s="3" t="s">
        <v>68</v>
      </c>
      <c r="BE2778" s="3" t="s">
        <v>26857</v>
      </c>
      <c r="BF2778" s="3" t="s">
        <v>26856</v>
      </c>
      <c r="BG2778" s="3" t="s">
        <v>26858</v>
      </c>
    </row>
    <row r="2779" spans="1:59" ht="58" x14ac:dyDescent="0.35">
      <c r="A2779" s="2" t="s">
        <v>89</v>
      </c>
      <c r="B2779" s="2" t="s">
        <v>90</v>
      </c>
      <c r="C2779" s="2" t="s">
        <v>26859</v>
      </c>
      <c r="D2779" s="2" t="s">
        <v>26860</v>
      </c>
      <c r="E2779" s="2" t="s">
        <v>26861</v>
      </c>
      <c r="G2779" s="3" t="s">
        <v>61</v>
      </c>
      <c r="I2779" s="3" t="s">
        <v>62</v>
      </c>
      <c r="J2779" s="3" t="s">
        <v>62</v>
      </c>
      <c r="K2779" s="3" t="s">
        <v>63</v>
      </c>
      <c r="L2779" s="2" t="s">
        <v>26862</v>
      </c>
      <c r="M2779" s="2" t="s">
        <v>26863</v>
      </c>
      <c r="N2779" s="3" t="s">
        <v>1349</v>
      </c>
      <c r="P2779" s="3" t="s">
        <v>64</v>
      </c>
      <c r="R2779" s="3" t="s">
        <v>25645</v>
      </c>
      <c r="S2779" s="4">
        <v>4</v>
      </c>
      <c r="T2779" s="4">
        <v>4</v>
      </c>
      <c r="U2779" s="5" t="s">
        <v>4805</v>
      </c>
      <c r="V2779" s="5" t="s">
        <v>4805</v>
      </c>
      <c r="W2779" s="5" t="s">
        <v>67</v>
      </c>
      <c r="X2779" s="5" t="s">
        <v>67</v>
      </c>
      <c r="Y2779" s="4">
        <v>15</v>
      </c>
      <c r="Z2779" s="4">
        <v>2</v>
      </c>
      <c r="AA2779" s="4">
        <v>12</v>
      </c>
      <c r="AB2779" s="4">
        <v>2</v>
      </c>
      <c r="AC2779" s="4">
        <v>2</v>
      </c>
      <c r="AD2779" s="4">
        <v>2</v>
      </c>
      <c r="AE2779" s="4">
        <v>30</v>
      </c>
      <c r="AF2779" s="4">
        <v>1</v>
      </c>
      <c r="AG2779" s="4">
        <v>1</v>
      </c>
      <c r="AH2779" s="4">
        <v>1</v>
      </c>
      <c r="AI2779" s="4">
        <v>25</v>
      </c>
      <c r="AJ2779" s="4">
        <v>0</v>
      </c>
      <c r="AK2779" s="4">
        <v>4</v>
      </c>
      <c r="AL2779" s="4">
        <v>1</v>
      </c>
      <c r="AM2779" s="4">
        <v>17</v>
      </c>
      <c r="AN2779" s="4">
        <v>0</v>
      </c>
      <c r="AO2779" s="4">
        <v>0</v>
      </c>
      <c r="AP2779" s="4">
        <v>1</v>
      </c>
      <c r="AQ2779" s="4">
        <v>9</v>
      </c>
      <c r="AR2779" s="3" t="s">
        <v>62</v>
      </c>
      <c r="AS2779" s="3" t="s">
        <v>62</v>
      </c>
      <c r="AT2779" s="3" t="s">
        <v>62</v>
      </c>
      <c r="AV2779" s="6" t="str">
        <f>HYPERLINK("http://mcgill.on.worldcat.org/oclc/53053054","Catalog Record")</f>
        <v>Catalog Record</v>
      </c>
      <c r="AW2779" s="6" t="str">
        <f>HYPERLINK("http://www.worldcat.org/oclc/53053054","WorldCat Record")</f>
        <v>WorldCat Record</v>
      </c>
      <c r="AX2779" s="3" t="s">
        <v>26864</v>
      </c>
      <c r="AY2779" s="3" t="s">
        <v>26865</v>
      </c>
      <c r="AZ2779" s="3" t="s">
        <v>26866</v>
      </c>
      <c r="BA2779" s="3" t="s">
        <v>26866</v>
      </c>
      <c r="BB2779" s="3" t="s">
        <v>26867</v>
      </c>
      <c r="BC2779" s="3" t="s">
        <v>102</v>
      </c>
      <c r="BD2779" s="3" t="s">
        <v>68</v>
      </c>
      <c r="BF2779" s="3" t="s">
        <v>26867</v>
      </c>
      <c r="BG2779" s="3" t="s">
        <v>26868</v>
      </c>
    </row>
    <row r="2780" spans="1:59" ht="58" x14ac:dyDescent="0.35">
      <c r="A2780" s="2" t="s">
        <v>89</v>
      </c>
      <c r="B2780" s="2" t="s">
        <v>90</v>
      </c>
      <c r="C2780" s="2" t="s">
        <v>26869</v>
      </c>
      <c r="D2780" s="2" t="s">
        <v>26870</v>
      </c>
      <c r="E2780" s="2" t="s">
        <v>26871</v>
      </c>
      <c r="G2780" s="3" t="s">
        <v>62</v>
      </c>
      <c r="I2780" s="3" t="s">
        <v>62</v>
      </c>
      <c r="J2780" s="3" t="s">
        <v>62</v>
      </c>
      <c r="K2780" s="3" t="s">
        <v>63</v>
      </c>
      <c r="L2780" s="2" t="s">
        <v>26872</v>
      </c>
      <c r="M2780" s="2" t="s">
        <v>26873</v>
      </c>
      <c r="N2780" s="3" t="s">
        <v>2085</v>
      </c>
      <c r="P2780" s="3" t="s">
        <v>64</v>
      </c>
      <c r="Q2780" s="2" t="s">
        <v>26874</v>
      </c>
      <c r="R2780" s="3" t="s">
        <v>25645</v>
      </c>
      <c r="S2780" s="4">
        <v>0</v>
      </c>
      <c r="T2780" s="4">
        <v>0</v>
      </c>
      <c r="W2780" s="5" t="s">
        <v>67</v>
      </c>
      <c r="X2780" s="5" t="s">
        <v>67</v>
      </c>
      <c r="Y2780" s="4">
        <v>76</v>
      </c>
      <c r="Z2780" s="4">
        <v>3</v>
      </c>
      <c r="AA2780" s="4">
        <v>70</v>
      </c>
      <c r="AB2780" s="4">
        <v>1</v>
      </c>
      <c r="AC2780" s="4">
        <v>15</v>
      </c>
      <c r="AD2780" s="4">
        <v>39</v>
      </c>
      <c r="AE2780" s="4">
        <v>101</v>
      </c>
      <c r="AF2780" s="4">
        <v>0</v>
      </c>
      <c r="AG2780" s="4">
        <v>8</v>
      </c>
      <c r="AH2780" s="4">
        <v>36</v>
      </c>
      <c r="AI2780" s="4">
        <v>70</v>
      </c>
      <c r="AJ2780" s="4">
        <v>2</v>
      </c>
      <c r="AK2780" s="4">
        <v>17</v>
      </c>
      <c r="AL2780" s="4">
        <v>26</v>
      </c>
      <c r="AM2780" s="4">
        <v>38</v>
      </c>
      <c r="AN2780" s="4">
        <v>0</v>
      </c>
      <c r="AO2780" s="4">
        <v>0</v>
      </c>
      <c r="AP2780" s="4">
        <v>2</v>
      </c>
      <c r="AQ2780" s="4">
        <v>36</v>
      </c>
      <c r="AR2780" s="3" t="s">
        <v>62</v>
      </c>
      <c r="AS2780" s="3" t="s">
        <v>62</v>
      </c>
      <c r="AT2780" s="3" t="s">
        <v>62</v>
      </c>
      <c r="AV2780" s="6" t="str">
        <f>HYPERLINK("http://mcgill.on.worldcat.org/oclc/1016010507","Catalog Record")</f>
        <v>Catalog Record</v>
      </c>
      <c r="AW2780" s="6" t="str">
        <f>HYPERLINK("http://www.worldcat.org/oclc/1016010507","WorldCat Record")</f>
        <v>WorldCat Record</v>
      </c>
      <c r="AX2780" s="3" t="s">
        <v>26875</v>
      </c>
      <c r="AY2780" s="3" t="s">
        <v>26876</v>
      </c>
      <c r="AZ2780" s="3" t="s">
        <v>26877</v>
      </c>
      <c r="BA2780" s="3" t="s">
        <v>26877</v>
      </c>
      <c r="BB2780" s="3" t="s">
        <v>26878</v>
      </c>
      <c r="BC2780" s="3" t="s">
        <v>102</v>
      </c>
      <c r="BD2780" s="3" t="s">
        <v>68</v>
      </c>
      <c r="BE2780" s="3" t="s">
        <v>26879</v>
      </c>
      <c r="BF2780" s="3" t="s">
        <v>26878</v>
      </c>
      <c r="BG2780" s="3" t="s">
        <v>26880</v>
      </c>
    </row>
    <row r="2781" spans="1:59" ht="58" x14ac:dyDescent="0.35">
      <c r="A2781" s="2" t="s">
        <v>89</v>
      </c>
      <c r="B2781" s="2" t="s">
        <v>90</v>
      </c>
      <c r="C2781" s="2" t="s">
        <v>26881</v>
      </c>
      <c r="D2781" s="2" t="s">
        <v>26882</v>
      </c>
      <c r="E2781" s="2" t="s">
        <v>26883</v>
      </c>
      <c r="G2781" s="3" t="s">
        <v>62</v>
      </c>
      <c r="I2781" s="3" t="s">
        <v>62</v>
      </c>
      <c r="J2781" s="3" t="s">
        <v>62</v>
      </c>
      <c r="K2781" s="3" t="s">
        <v>63</v>
      </c>
      <c r="L2781" s="2" t="s">
        <v>26884</v>
      </c>
      <c r="M2781" s="2" t="s">
        <v>26885</v>
      </c>
      <c r="N2781" s="3" t="s">
        <v>524</v>
      </c>
      <c r="O2781" s="2" t="s">
        <v>2163</v>
      </c>
      <c r="P2781" s="3" t="s">
        <v>64</v>
      </c>
      <c r="R2781" s="3" t="s">
        <v>25645</v>
      </c>
      <c r="S2781" s="4">
        <v>2</v>
      </c>
      <c r="T2781" s="4">
        <v>2</v>
      </c>
      <c r="U2781" s="5" t="s">
        <v>627</v>
      </c>
      <c r="V2781" s="5" t="s">
        <v>627</v>
      </c>
      <c r="W2781" s="5" t="s">
        <v>67</v>
      </c>
      <c r="X2781" s="5" t="s">
        <v>67</v>
      </c>
      <c r="Y2781" s="4">
        <v>81</v>
      </c>
      <c r="Z2781" s="4">
        <v>7</v>
      </c>
      <c r="AA2781" s="4">
        <v>7</v>
      </c>
      <c r="AB2781" s="4">
        <v>1</v>
      </c>
      <c r="AC2781" s="4">
        <v>1</v>
      </c>
      <c r="AD2781" s="4">
        <v>37</v>
      </c>
      <c r="AE2781" s="4">
        <v>38</v>
      </c>
      <c r="AF2781" s="4">
        <v>0</v>
      </c>
      <c r="AG2781" s="4">
        <v>0</v>
      </c>
      <c r="AH2781" s="4">
        <v>34</v>
      </c>
      <c r="AI2781" s="4">
        <v>35</v>
      </c>
      <c r="AJ2781" s="4">
        <v>5</v>
      </c>
      <c r="AK2781" s="4">
        <v>5</v>
      </c>
      <c r="AL2781" s="4">
        <v>27</v>
      </c>
      <c r="AM2781" s="4">
        <v>28</v>
      </c>
      <c r="AN2781" s="4">
        <v>0</v>
      </c>
      <c r="AO2781" s="4">
        <v>0</v>
      </c>
      <c r="AP2781" s="4">
        <v>5</v>
      </c>
      <c r="AQ2781" s="4">
        <v>5</v>
      </c>
      <c r="AR2781" s="3" t="s">
        <v>62</v>
      </c>
      <c r="AS2781" s="3" t="s">
        <v>62</v>
      </c>
      <c r="AT2781" s="3" t="s">
        <v>61</v>
      </c>
      <c r="AU2781" s="6" t="str">
        <f>HYPERLINK("http://catalog.hathitrust.org/Record/003034714","HathiTrust Record")</f>
        <v>HathiTrust Record</v>
      </c>
      <c r="AV2781" s="6" t="str">
        <f>HYPERLINK("http://mcgill.on.worldcat.org/oclc/32699670","Catalog Record")</f>
        <v>Catalog Record</v>
      </c>
      <c r="AW2781" s="6" t="str">
        <f>HYPERLINK("http://www.worldcat.org/oclc/32699670","WorldCat Record")</f>
        <v>WorldCat Record</v>
      </c>
      <c r="AX2781" s="3" t="s">
        <v>26886</v>
      </c>
      <c r="AY2781" s="3" t="s">
        <v>26887</v>
      </c>
      <c r="AZ2781" s="3" t="s">
        <v>26888</v>
      </c>
      <c r="BA2781" s="3" t="s">
        <v>26888</v>
      </c>
      <c r="BB2781" s="3" t="s">
        <v>26889</v>
      </c>
      <c r="BC2781" s="3" t="s">
        <v>102</v>
      </c>
      <c r="BD2781" s="3" t="s">
        <v>68</v>
      </c>
      <c r="BF2781" s="3" t="s">
        <v>26889</v>
      </c>
      <c r="BG2781" s="3" t="s">
        <v>26890</v>
      </c>
    </row>
    <row r="2782" spans="1:59" ht="116" x14ac:dyDescent="0.35">
      <c r="A2782" s="2" t="s">
        <v>89</v>
      </c>
      <c r="B2782" s="2" t="s">
        <v>3312</v>
      </c>
      <c r="C2782" s="2" t="s">
        <v>26891</v>
      </c>
      <c r="D2782" s="2" t="s">
        <v>26892</v>
      </c>
      <c r="E2782" s="2" t="s">
        <v>26893</v>
      </c>
      <c r="G2782" s="3" t="s">
        <v>62</v>
      </c>
      <c r="I2782" s="3" t="s">
        <v>62</v>
      </c>
      <c r="J2782" s="3" t="s">
        <v>62</v>
      </c>
      <c r="K2782" s="3" t="s">
        <v>63</v>
      </c>
      <c r="L2782" s="2" t="s">
        <v>26894</v>
      </c>
      <c r="M2782" s="2" t="s">
        <v>26895</v>
      </c>
      <c r="N2782" s="3" t="s">
        <v>1038</v>
      </c>
      <c r="O2782" s="2" t="s">
        <v>26896</v>
      </c>
      <c r="P2782" s="3" t="s">
        <v>26897</v>
      </c>
      <c r="Q2782" s="2" t="s">
        <v>26898</v>
      </c>
      <c r="R2782" s="3" t="s">
        <v>25645</v>
      </c>
      <c r="S2782" s="4">
        <v>0</v>
      </c>
      <c r="T2782" s="4">
        <v>0</v>
      </c>
      <c r="W2782" s="5" t="s">
        <v>67</v>
      </c>
      <c r="X2782" s="5" t="s">
        <v>67</v>
      </c>
      <c r="Y2782" s="4">
        <v>18</v>
      </c>
      <c r="Z2782" s="4">
        <v>3</v>
      </c>
      <c r="AA2782" s="4">
        <v>3</v>
      </c>
      <c r="AB2782" s="4">
        <v>1</v>
      </c>
      <c r="AC2782" s="4">
        <v>1</v>
      </c>
      <c r="AD2782" s="4">
        <v>17</v>
      </c>
      <c r="AE2782" s="4">
        <v>17</v>
      </c>
      <c r="AF2782" s="4">
        <v>0</v>
      </c>
      <c r="AG2782" s="4">
        <v>0</v>
      </c>
      <c r="AH2782" s="4">
        <v>15</v>
      </c>
      <c r="AI2782" s="4">
        <v>15</v>
      </c>
      <c r="AJ2782" s="4">
        <v>2</v>
      </c>
      <c r="AK2782" s="4">
        <v>2</v>
      </c>
      <c r="AL2782" s="4">
        <v>14</v>
      </c>
      <c r="AM2782" s="4">
        <v>14</v>
      </c>
      <c r="AN2782" s="4">
        <v>0</v>
      </c>
      <c r="AO2782" s="4">
        <v>0</v>
      </c>
      <c r="AP2782" s="4">
        <v>2</v>
      </c>
      <c r="AQ2782" s="4">
        <v>2</v>
      </c>
      <c r="AR2782" s="3" t="s">
        <v>62</v>
      </c>
      <c r="AS2782" s="3" t="s">
        <v>62</v>
      </c>
      <c r="AT2782" s="3" t="s">
        <v>62</v>
      </c>
      <c r="AV2782" s="6" t="str">
        <f>HYPERLINK("http://mcgill.on.worldcat.org/oclc/949851264","Catalog Record")</f>
        <v>Catalog Record</v>
      </c>
      <c r="AW2782" s="6" t="str">
        <f>HYPERLINK("http://www.worldcat.org/oclc/949851264","WorldCat Record")</f>
        <v>WorldCat Record</v>
      </c>
      <c r="AX2782" s="3" t="s">
        <v>26899</v>
      </c>
      <c r="AY2782" s="3" t="s">
        <v>26900</v>
      </c>
      <c r="AZ2782" s="3" t="s">
        <v>26901</v>
      </c>
      <c r="BA2782" s="3" t="s">
        <v>26901</v>
      </c>
      <c r="BB2782" s="3" t="s">
        <v>26902</v>
      </c>
      <c r="BC2782" s="3" t="s">
        <v>102</v>
      </c>
      <c r="BD2782" s="3" t="s">
        <v>68</v>
      </c>
      <c r="BE2782" s="3" t="s">
        <v>26903</v>
      </c>
      <c r="BF2782" s="3" t="s">
        <v>26902</v>
      </c>
      <c r="BG2782" s="3" t="s">
        <v>26904</v>
      </c>
    </row>
    <row r="2783" spans="1:59" ht="58" x14ac:dyDescent="0.35">
      <c r="A2783" s="2" t="s">
        <v>89</v>
      </c>
      <c r="B2783" s="2" t="s">
        <v>90</v>
      </c>
      <c r="C2783" s="2" t="s">
        <v>26905</v>
      </c>
      <c r="D2783" s="2" t="s">
        <v>26906</v>
      </c>
      <c r="E2783" s="2" t="s">
        <v>26907</v>
      </c>
      <c r="G2783" s="3" t="s">
        <v>62</v>
      </c>
      <c r="I2783" s="3" t="s">
        <v>62</v>
      </c>
      <c r="J2783" s="3" t="s">
        <v>62</v>
      </c>
      <c r="K2783" s="3" t="s">
        <v>63</v>
      </c>
      <c r="L2783" s="2" t="s">
        <v>26908</v>
      </c>
      <c r="M2783" s="2" t="s">
        <v>26909</v>
      </c>
      <c r="N2783" s="3" t="s">
        <v>1455</v>
      </c>
      <c r="P2783" s="3" t="s">
        <v>64</v>
      </c>
      <c r="R2783" s="3" t="s">
        <v>25645</v>
      </c>
      <c r="S2783" s="4">
        <v>1</v>
      </c>
      <c r="T2783" s="4">
        <v>1</v>
      </c>
      <c r="U2783" s="5" t="s">
        <v>2459</v>
      </c>
      <c r="V2783" s="5" t="s">
        <v>2459</v>
      </c>
      <c r="W2783" s="5" t="s">
        <v>67</v>
      </c>
      <c r="X2783" s="5" t="s">
        <v>67</v>
      </c>
      <c r="Y2783" s="4">
        <v>456</v>
      </c>
      <c r="Z2783" s="4">
        <v>18</v>
      </c>
      <c r="AA2783" s="4">
        <v>91</v>
      </c>
      <c r="AB2783" s="4">
        <v>1</v>
      </c>
      <c r="AC2783" s="4">
        <v>15</v>
      </c>
      <c r="AD2783" s="4">
        <v>59</v>
      </c>
      <c r="AE2783" s="4">
        <v>118</v>
      </c>
      <c r="AF2783" s="4">
        <v>0</v>
      </c>
      <c r="AG2783" s="4">
        <v>8</v>
      </c>
      <c r="AH2783" s="4">
        <v>53</v>
      </c>
      <c r="AI2783" s="4">
        <v>81</v>
      </c>
      <c r="AJ2783" s="4">
        <v>5</v>
      </c>
      <c r="AK2783" s="4">
        <v>23</v>
      </c>
      <c r="AL2783" s="4">
        <v>35</v>
      </c>
      <c r="AM2783" s="4">
        <v>43</v>
      </c>
      <c r="AN2783" s="4">
        <v>0</v>
      </c>
      <c r="AO2783" s="4">
        <v>0</v>
      </c>
      <c r="AP2783" s="4">
        <v>6</v>
      </c>
      <c r="AQ2783" s="4">
        <v>44</v>
      </c>
      <c r="AR2783" s="3" t="s">
        <v>62</v>
      </c>
      <c r="AS2783" s="3" t="s">
        <v>62</v>
      </c>
      <c r="AT2783" s="3" t="s">
        <v>62</v>
      </c>
      <c r="AV2783" s="6" t="str">
        <f>HYPERLINK("http://mcgill.on.worldcat.org/oclc/890377518","Catalog Record")</f>
        <v>Catalog Record</v>
      </c>
      <c r="AW2783" s="6" t="str">
        <f>HYPERLINK("http://www.worldcat.org/oclc/890377518","WorldCat Record")</f>
        <v>WorldCat Record</v>
      </c>
      <c r="AX2783" s="3" t="s">
        <v>26910</v>
      </c>
      <c r="AY2783" s="3" t="s">
        <v>26911</v>
      </c>
      <c r="AZ2783" s="3" t="s">
        <v>26912</v>
      </c>
      <c r="BA2783" s="3" t="s">
        <v>26912</v>
      </c>
      <c r="BB2783" s="3" t="s">
        <v>26913</v>
      </c>
      <c r="BC2783" s="3" t="s">
        <v>102</v>
      </c>
      <c r="BD2783" s="3" t="s">
        <v>68</v>
      </c>
      <c r="BE2783" s="3" t="s">
        <v>26914</v>
      </c>
      <c r="BF2783" s="3" t="s">
        <v>26913</v>
      </c>
      <c r="BG2783" s="3" t="s">
        <v>26915</v>
      </c>
    </row>
    <row r="2784" spans="1:59" ht="58" x14ac:dyDescent="0.35">
      <c r="A2784" s="2" t="s">
        <v>89</v>
      </c>
      <c r="B2784" s="2" t="s">
        <v>90</v>
      </c>
      <c r="C2784" s="2" t="s">
        <v>26916</v>
      </c>
      <c r="D2784" s="2" t="s">
        <v>26917</v>
      </c>
      <c r="E2784" s="2" t="s">
        <v>26918</v>
      </c>
      <c r="G2784" s="3" t="s">
        <v>62</v>
      </c>
      <c r="I2784" s="3" t="s">
        <v>62</v>
      </c>
      <c r="J2784" s="3" t="s">
        <v>62</v>
      </c>
      <c r="K2784" s="3" t="s">
        <v>63</v>
      </c>
      <c r="L2784" s="2" t="s">
        <v>26919</v>
      </c>
      <c r="M2784" s="2" t="s">
        <v>26920</v>
      </c>
      <c r="N2784" s="3" t="s">
        <v>726</v>
      </c>
      <c r="P2784" s="3" t="s">
        <v>64</v>
      </c>
      <c r="R2784" s="3" t="s">
        <v>25645</v>
      </c>
      <c r="S2784" s="4">
        <v>0</v>
      </c>
      <c r="T2784" s="4">
        <v>0</v>
      </c>
      <c r="W2784" s="5" t="s">
        <v>67</v>
      </c>
      <c r="X2784" s="5" t="s">
        <v>67</v>
      </c>
      <c r="Y2784" s="4">
        <v>302</v>
      </c>
      <c r="Z2784" s="4">
        <v>11</v>
      </c>
      <c r="AA2784" s="4">
        <v>15</v>
      </c>
      <c r="AB2784" s="4">
        <v>1</v>
      </c>
      <c r="AC2784" s="4">
        <v>3</v>
      </c>
      <c r="AD2784" s="4">
        <v>65</v>
      </c>
      <c r="AE2784" s="4">
        <v>67</v>
      </c>
      <c r="AF2784" s="4">
        <v>0</v>
      </c>
      <c r="AG2784" s="4">
        <v>0</v>
      </c>
      <c r="AH2784" s="4">
        <v>62</v>
      </c>
      <c r="AI2784" s="4">
        <v>64</v>
      </c>
      <c r="AJ2784" s="4">
        <v>4</v>
      </c>
      <c r="AK2784" s="4">
        <v>5</v>
      </c>
      <c r="AL2784" s="4">
        <v>43</v>
      </c>
      <c r="AM2784" s="4">
        <v>44</v>
      </c>
      <c r="AN2784" s="4">
        <v>0</v>
      </c>
      <c r="AO2784" s="4">
        <v>0</v>
      </c>
      <c r="AP2784" s="4">
        <v>6</v>
      </c>
      <c r="AQ2784" s="4">
        <v>7</v>
      </c>
      <c r="AR2784" s="3" t="s">
        <v>62</v>
      </c>
      <c r="AS2784" s="3" t="s">
        <v>62</v>
      </c>
      <c r="AT2784" s="3" t="s">
        <v>62</v>
      </c>
      <c r="AV2784" s="6" t="str">
        <f>HYPERLINK("http://mcgill.on.worldcat.org/oclc/959965429","Catalog Record")</f>
        <v>Catalog Record</v>
      </c>
      <c r="AW2784" s="6" t="str">
        <f>HYPERLINK("http://www.worldcat.org/oclc/959965429","WorldCat Record")</f>
        <v>WorldCat Record</v>
      </c>
      <c r="AX2784" s="3" t="s">
        <v>26921</v>
      </c>
      <c r="AY2784" s="3" t="s">
        <v>26922</v>
      </c>
      <c r="AZ2784" s="3" t="s">
        <v>26923</v>
      </c>
      <c r="BA2784" s="3" t="s">
        <v>26923</v>
      </c>
      <c r="BB2784" s="3" t="s">
        <v>26924</v>
      </c>
      <c r="BC2784" s="3" t="s">
        <v>102</v>
      </c>
      <c r="BD2784" s="3" t="s">
        <v>68</v>
      </c>
      <c r="BE2784" s="3" t="s">
        <v>26925</v>
      </c>
      <c r="BF2784" s="3" t="s">
        <v>26924</v>
      </c>
      <c r="BG2784" s="3" t="s">
        <v>26926</v>
      </c>
    </row>
    <row r="2785" spans="1:59" ht="58" x14ac:dyDescent="0.35">
      <c r="A2785" s="2" t="s">
        <v>89</v>
      </c>
      <c r="B2785" s="2" t="s">
        <v>90</v>
      </c>
      <c r="C2785" s="2" t="s">
        <v>26927</v>
      </c>
      <c r="D2785" s="2" t="s">
        <v>26928</v>
      </c>
      <c r="E2785" s="2" t="s">
        <v>26929</v>
      </c>
      <c r="G2785" s="3" t="s">
        <v>62</v>
      </c>
      <c r="I2785" s="3" t="s">
        <v>61</v>
      </c>
      <c r="J2785" s="3" t="s">
        <v>62</v>
      </c>
      <c r="K2785" s="3" t="s">
        <v>63</v>
      </c>
      <c r="L2785" s="2" t="s">
        <v>3132</v>
      </c>
      <c r="M2785" s="2" t="s">
        <v>26930</v>
      </c>
      <c r="N2785" s="3" t="s">
        <v>930</v>
      </c>
      <c r="P2785" s="3" t="s">
        <v>64</v>
      </c>
      <c r="Q2785" s="2" t="s">
        <v>26931</v>
      </c>
      <c r="R2785" s="3" t="s">
        <v>25645</v>
      </c>
      <c r="S2785" s="4">
        <v>7</v>
      </c>
      <c r="T2785" s="4">
        <v>14</v>
      </c>
      <c r="U2785" s="5" t="s">
        <v>26932</v>
      </c>
      <c r="V2785" s="5" t="s">
        <v>570</v>
      </c>
      <c r="W2785" s="5" t="s">
        <v>67</v>
      </c>
      <c r="X2785" s="5" t="s">
        <v>67</v>
      </c>
      <c r="Y2785" s="4">
        <v>344</v>
      </c>
      <c r="Z2785" s="4">
        <v>15</v>
      </c>
      <c r="AA2785" s="4">
        <v>24</v>
      </c>
      <c r="AB2785" s="4">
        <v>2</v>
      </c>
      <c r="AC2785" s="4">
        <v>4</v>
      </c>
      <c r="AD2785" s="4">
        <v>87</v>
      </c>
      <c r="AE2785" s="4">
        <v>113</v>
      </c>
      <c r="AF2785" s="4">
        <v>1</v>
      </c>
      <c r="AG2785" s="4">
        <v>3</v>
      </c>
      <c r="AH2785" s="4">
        <v>78</v>
      </c>
      <c r="AI2785" s="4">
        <v>100</v>
      </c>
      <c r="AJ2785" s="4">
        <v>7</v>
      </c>
      <c r="AK2785" s="4">
        <v>13</v>
      </c>
      <c r="AL2785" s="4">
        <v>48</v>
      </c>
      <c r="AM2785" s="4">
        <v>57</v>
      </c>
      <c r="AN2785" s="4">
        <v>0</v>
      </c>
      <c r="AO2785" s="4">
        <v>0</v>
      </c>
      <c r="AP2785" s="4">
        <v>9</v>
      </c>
      <c r="AQ2785" s="4">
        <v>14</v>
      </c>
      <c r="AR2785" s="3" t="s">
        <v>62</v>
      </c>
      <c r="AS2785" s="3" t="s">
        <v>62</v>
      </c>
      <c r="AT2785" s="3" t="s">
        <v>62</v>
      </c>
      <c r="AU2785" s="6" t="str">
        <f>HYPERLINK("http://catalog.hathitrust.org/Record/001476227","HathiTrust Record")</f>
        <v>HathiTrust Record</v>
      </c>
      <c r="AV2785" s="6" t="str">
        <f>HYPERLINK("http://mcgill.on.worldcat.org/oclc/535867","Catalog Record")</f>
        <v>Catalog Record</v>
      </c>
      <c r="AW2785" s="6" t="str">
        <f>HYPERLINK("http://www.worldcat.org/oclc/535867","WorldCat Record")</f>
        <v>WorldCat Record</v>
      </c>
      <c r="AX2785" s="3" t="s">
        <v>26933</v>
      </c>
      <c r="AY2785" s="3" t="s">
        <v>26934</v>
      </c>
      <c r="AZ2785" s="3" t="s">
        <v>26935</v>
      </c>
      <c r="BA2785" s="3" t="s">
        <v>26935</v>
      </c>
      <c r="BB2785" s="3" t="s">
        <v>26936</v>
      </c>
      <c r="BC2785" s="3" t="s">
        <v>102</v>
      </c>
      <c r="BD2785" s="3" t="s">
        <v>68</v>
      </c>
      <c r="BF2785" s="3" t="s">
        <v>26936</v>
      </c>
      <c r="BG2785" s="3" t="s">
        <v>26937</v>
      </c>
    </row>
    <row r="2786" spans="1:59" ht="58" x14ac:dyDescent="0.35">
      <c r="A2786" s="2" t="s">
        <v>89</v>
      </c>
      <c r="B2786" s="2" t="s">
        <v>90</v>
      </c>
      <c r="C2786" s="2" t="s">
        <v>26938</v>
      </c>
      <c r="D2786" s="2" t="s">
        <v>26939</v>
      </c>
      <c r="E2786" s="2" t="s">
        <v>26940</v>
      </c>
      <c r="G2786" s="3" t="s">
        <v>62</v>
      </c>
      <c r="I2786" s="3" t="s">
        <v>62</v>
      </c>
      <c r="J2786" s="3" t="s">
        <v>62</v>
      </c>
      <c r="K2786" s="3" t="s">
        <v>63</v>
      </c>
      <c r="L2786" s="2" t="s">
        <v>26941</v>
      </c>
      <c r="M2786" s="2" t="s">
        <v>26942</v>
      </c>
      <c r="N2786" s="3" t="s">
        <v>2985</v>
      </c>
      <c r="P2786" s="3" t="s">
        <v>64</v>
      </c>
      <c r="Q2786" s="2" t="s">
        <v>15099</v>
      </c>
      <c r="R2786" s="3" t="s">
        <v>25645</v>
      </c>
      <c r="S2786" s="4">
        <v>8</v>
      </c>
      <c r="T2786" s="4">
        <v>8</v>
      </c>
      <c r="U2786" s="5" t="s">
        <v>26943</v>
      </c>
      <c r="V2786" s="5" t="s">
        <v>26943</v>
      </c>
      <c r="W2786" s="5" t="s">
        <v>67</v>
      </c>
      <c r="X2786" s="5" t="s">
        <v>67</v>
      </c>
      <c r="Y2786" s="4">
        <v>253</v>
      </c>
      <c r="Z2786" s="4">
        <v>19</v>
      </c>
      <c r="AA2786" s="4">
        <v>24</v>
      </c>
      <c r="AB2786" s="4">
        <v>1</v>
      </c>
      <c r="AC2786" s="4">
        <v>4</v>
      </c>
      <c r="AD2786" s="4">
        <v>78</v>
      </c>
      <c r="AE2786" s="4">
        <v>83</v>
      </c>
      <c r="AF2786" s="4">
        <v>0</v>
      </c>
      <c r="AG2786" s="4">
        <v>0</v>
      </c>
      <c r="AH2786" s="4">
        <v>67</v>
      </c>
      <c r="AI2786" s="4">
        <v>71</v>
      </c>
      <c r="AJ2786" s="4">
        <v>9</v>
      </c>
      <c r="AK2786" s="4">
        <v>10</v>
      </c>
      <c r="AL2786" s="4">
        <v>44</v>
      </c>
      <c r="AM2786" s="4">
        <v>46</v>
      </c>
      <c r="AN2786" s="4">
        <v>0</v>
      </c>
      <c r="AO2786" s="4">
        <v>0</v>
      </c>
      <c r="AP2786" s="4">
        <v>14</v>
      </c>
      <c r="AQ2786" s="4">
        <v>16</v>
      </c>
      <c r="AR2786" s="3" t="s">
        <v>62</v>
      </c>
      <c r="AS2786" s="3" t="s">
        <v>62</v>
      </c>
      <c r="AT2786" s="3" t="s">
        <v>62</v>
      </c>
      <c r="AV2786" s="6" t="str">
        <f>HYPERLINK("http://mcgill.on.worldcat.org/oclc/166383953","Catalog Record")</f>
        <v>Catalog Record</v>
      </c>
      <c r="AW2786" s="6" t="str">
        <f>HYPERLINK("http://www.worldcat.org/oclc/166383953","WorldCat Record")</f>
        <v>WorldCat Record</v>
      </c>
      <c r="AX2786" s="3" t="s">
        <v>26944</v>
      </c>
      <c r="AY2786" s="3" t="s">
        <v>26945</v>
      </c>
      <c r="AZ2786" s="3" t="s">
        <v>26946</v>
      </c>
      <c r="BA2786" s="3" t="s">
        <v>26946</v>
      </c>
      <c r="BB2786" s="3" t="s">
        <v>26947</v>
      </c>
      <c r="BC2786" s="3" t="s">
        <v>102</v>
      </c>
      <c r="BD2786" s="3" t="s">
        <v>68</v>
      </c>
      <c r="BE2786" s="3" t="s">
        <v>26948</v>
      </c>
      <c r="BF2786" s="3" t="s">
        <v>26947</v>
      </c>
      <c r="BG2786" s="3" t="s">
        <v>26949</v>
      </c>
    </row>
    <row r="2787" spans="1:59" ht="58" x14ac:dyDescent="0.35">
      <c r="A2787" s="2" t="s">
        <v>89</v>
      </c>
      <c r="B2787" s="2" t="s">
        <v>90</v>
      </c>
      <c r="C2787" s="2" t="s">
        <v>26950</v>
      </c>
      <c r="D2787" s="2" t="s">
        <v>26951</v>
      </c>
      <c r="E2787" s="2" t="s">
        <v>26952</v>
      </c>
      <c r="G2787" s="3" t="s">
        <v>62</v>
      </c>
      <c r="I2787" s="3" t="s">
        <v>62</v>
      </c>
      <c r="J2787" s="3" t="s">
        <v>62</v>
      </c>
      <c r="K2787" s="3" t="s">
        <v>63</v>
      </c>
      <c r="L2787" s="2" t="s">
        <v>26953</v>
      </c>
      <c r="M2787" s="2" t="s">
        <v>26954</v>
      </c>
      <c r="N2787" s="3" t="s">
        <v>1482</v>
      </c>
      <c r="P2787" s="3" t="s">
        <v>64</v>
      </c>
      <c r="Q2787" s="2" t="s">
        <v>26955</v>
      </c>
      <c r="R2787" s="3" t="s">
        <v>25645</v>
      </c>
      <c r="S2787" s="4">
        <v>16</v>
      </c>
      <c r="T2787" s="4">
        <v>16</v>
      </c>
      <c r="U2787" s="5" t="s">
        <v>987</v>
      </c>
      <c r="V2787" s="5" t="s">
        <v>987</v>
      </c>
      <c r="W2787" s="5" t="s">
        <v>67</v>
      </c>
      <c r="X2787" s="5" t="s">
        <v>67</v>
      </c>
      <c r="Y2787" s="4">
        <v>289</v>
      </c>
      <c r="Z2787" s="4">
        <v>6</v>
      </c>
      <c r="AA2787" s="4">
        <v>11</v>
      </c>
      <c r="AB2787" s="4">
        <v>1</v>
      </c>
      <c r="AC2787" s="4">
        <v>2</v>
      </c>
      <c r="AD2787" s="4">
        <v>65</v>
      </c>
      <c r="AE2787" s="4">
        <v>71</v>
      </c>
      <c r="AF2787" s="4">
        <v>0</v>
      </c>
      <c r="AG2787" s="4">
        <v>1</v>
      </c>
      <c r="AH2787" s="4">
        <v>58</v>
      </c>
      <c r="AI2787" s="4">
        <v>61</v>
      </c>
      <c r="AJ2787" s="4">
        <v>1</v>
      </c>
      <c r="AK2787" s="4">
        <v>5</v>
      </c>
      <c r="AL2787" s="4">
        <v>33</v>
      </c>
      <c r="AM2787" s="4">
        <v>33</v>
      </c>
      <c r="AN2787" s="4">
        <v>0</v>
      </c>
      <c r="AO2787" s="4">
        <v>0</v>
      </c>
      <c r="AP2787" s="4">
        <v>5</v>
      </c>
      <c r="AQ2787" s="4">
        <v>9</v>
      </c>
      <c r="AR2787" s="3" t="s">
        <v>62</v>
      </c>
      <c r="AS2787" s="3" t="s">
        <v>62</v>
      </c>
      <c r="AT2787" s="3" t="s">
        <v>62</v>
      </c>
      <c r="AV2787" s="6" t="str">
        <f>HYPERLINK("http://mcgill.on.worldcat.org/oclc/14229561","Catalog Record")</f>
        <v>Catalog Record</v>
      </c>
      <c r="AW2787" s="6" t="str">
        <f>HYPERLINK("http://www.worldcat.org/oclc/14229561","WorldCat Record")</f>
        <v>WorldCat Record</v>
      </c>
      <c r="AX2787" s="3" t="s">
        <v>26956</v>
      </c>
      <c r="AY2787" s="3" t="s">
        <v>26957</v>
      </c>
      <c r="AZ2787" s="3" t="s">
        <v>26958</v>
      </c>
      <c r="BA2787" s="3" t="s">
        <v>26958</v>
      </c>
      <c r="BB2787" s="3" t="s">
        <v>26959</v>
      </c>
      <c r="BC2787" s="3" t="s">
        <v>102</v>
      </c>
      <c r="BD2787" s="3" t="s">
        <v>68</v>
      </c>
      <c r="BE2787" s="3" t="s">
        <v>26960</v>
      </c>
      <c r="BF2787" s="3" t="s">
        <v>26959</v>
      </c>
      <c r="BG2787" s="3" t="s">
        <v>26961</v>
      </c>
    </row>
    <row r="2788" spans="1:59" ht="58" x14ac:dyDescent="0.35">
      <c r="A2788" s="2" t="s">
        <v>89</v>
      </c>
      <c r="B2788" s="2" t="s">
        <v>90</v>
      </c>
      <c r="C2788" s="2" t="s">
        <v>26962</v>
      </c>
      <c r="D2788" s="2" t="s">
        <v>26963</v>
      </c>
      <c r="E2788" s="2" t="s">
        <v>26964</v>
      </c>
      <c r="G2788" s="3" t="s">
        <v>62</v>
      </c>
      <c r="I2788" s="3" t="s">
        <v>62</v>
      </c>
      <c r="J2788" s="3" t="s">
        <v>62</v>
      </c>
      <c r="K2788" s="3" t="s">
        <v>63</v>
      </c>
      <c r="L2788" s="2" t="s">
        <v>26965</v>
      </c>
      <c r="M2788" s="2" t="s">
        <v>26966</v>
      </c>
      <c r="N2788" s="3" t="s">
        <v>1905</v>
      </c>
      <c r="O2788" s="2" t="s">
        <v>2163</v>
      </c>
      <c r="P2788" s="3" t="s">
        <v>64</v>
      </c>
      <c r="R2788" s="3" t="s">
        <v>25645</v>
      </c>
      <c r="S2788" s="4">
        <v>20</v>
      </c>
      <c r="T2788" s="4">
        <v>20</v>
      </c>
      <c r="U2788" s="5" t="s">
        <v>26967</v>
      </c>
      <c r="V2788" s="5" t="s">
        <v>26967</v>
      </c>
      <c r="W2788" s="5" t="s">
        <v>67</v>
      </c>
      <c r="X2788" s="5" t="s">
        <v>67</v>
      </c>
      <c r="Y2788" s="4">
        <v>707</v>
      </c>
      <c r="Z2788" s="4">
        <v>27</v>
      </c>
      <c r="AA2788" s="4">
        <v>41</v>
      </c>
      <c r="AB2788" s="4">
        <v>1</v>
      </c>
      <c r="AC2788" s="4">
        <v>2</v>
      </c>
      <c r="AD2788" s="4">
        <v>112</v>
      </c>
      <c r="AE2788" s="4">
        <v>122</v>
      </c>
      <c r="AF2788" s="4">
        <v>0</v>
      </c>
      <c r="AG2788" s="4">
        <v>1</v>
      </c>
      <c r="AH2788" s="4">
        <v>94</v>
      </c>
      <c r="AI2788" s="4">
        <v>100</v>
      </c>
      <c r="AJ2788" s="4">
        <v>14</v>
      </c>
      <c r="AK2788" s="4">
        <v>18</v>
      </c>
      <c r="AL2788" s="4">
        <v>55</v>
      </c>
      <c r="AM2788" s="4">
        <v>55</v>
      </c>
      <c r="AN2788" s="4">
        <v>0</v>
      </c>
      <c r="AO2788" s="4">
        <v>0</v>
      </c>
      <c r="AP2788" s="4">
        <v>18</v>
      </c>
      <c r="AQ2788" s="4">
        <v>26</v>
      </c>
      <c r="AR2788" s="3" t="s">
        <v>62</v>
      </c>
      <c r="AS2788" s="3" t="s">
        <v>62</v>
      </c>
      <c r="AT2788" s="3" t="s">
        <v>62</v>
      </c>
      <c r="AV2788" s="6" t="str">
        <f>HYPERLINK("http://mcgill.on.worldcat.org/oclc/14413948","Catalog Record")</f>
        <v>Catalog Record</v>
      </c>
      <c r="AW2788" s="6" t="str">
        <f>HYPERLINK("http://www.worldcat.org/oclc/14413948","WorldCat Record")</f>
        <v>WorldCat Record</v>
      </c>
      <c r="AX2788" s="3" t="s">
        <v>26968</v>
      </c>
      <c r="AY2788" s="3" t="s">
        <v>26969</v>
      </c>
      <c r="AZ2788" s="3" t="s">
        <v>26970</v>
      </c>
      <c r="BA2788" s="3" t="s">
        <v>26970</v>
      </c>
      <c r="BB2788" s="3" t="s">
        <v>26971</v>
      </c>
      <c r="BC2788" s="3" t="s">
        <v>102</v>
      </c>
      <c r="BD2788" s="3" t="s">
        <v>231</v>
      </c>
      <c r="BE2788" s="3" t="s">
        <v>26972</v>
      </c>
      <c r="BF2788" s="3" t="s">
        <v>26971</v>
      </c>
      <c r="BG2788" s="3" t="s">
        <v>26973</v>
      </c>
    </row>
    <row r="2789" spans="1:59" ht="58" x14ac:dyDescent="0.35">
      <c r="A2789" s="2" t="s">
        <v>89</v>
      </c>
      <c r="B2789" s="2" t="s">
        <v>90</v>
      </c>
      <c r="C2789" s="2" t="s">
        <v>26974</v>
      </c>
      <c r="D2789" s="2" t="s">
        <v>26975</v>
      </c>
      <c r="E2789" s="2" t="s">
        <v>26976</v>
      </c>
      <c r="G2789" s="3" t="s">
        <v>62</v>
      </c>
      <c r="I2789" s="3" t="s">
        <v>62</v>
      </c>
      <c r="J2789" s="3" t="s">
        <v>62</v>
      </c>
      <c r="K2789" s="3" t="s">
        <v>63</v>
      </c>
      <c r="M2789" s="2" t="s">
        <v>26977</v>
      </c>
      <c r="N2789" s="3" t="s">
        <v>1038</v>
      </c>
      <c r="P2789" s="3" t="s">
        <v>64</v>
      </c>
      <c r="R2789" s="3" t="s">
        <v>25645</v>
      </c>
      <c r="S2789" s="4">
        <v>3</v>
      </c>
      <c r="T2789" s="4">
        <v>3</v>
      </c>
      <c r="U2789" s="5" t="s">
        <v>17612</v>
      </c>
      <c r="V2789" s="5" t="s">
        <v>17612</v>
      </c>
      <c r="W2789" s="5" t="s">
        <v>67</v>
      </c>
      <c r="X2789" s="5" t="s">
        <v>67</v>
      </c>
      <c r="Y2789" s="4">
        <v>125</v>
      </c>
      <c r="Z2789" s="4">
        <v>7</v>
      </c>
      <c r="AA2789" s="4">
        <v>74</v>
      </c>
      <c r="AB2789" s="4">
        <v>1</v>
      </c>
      <c r="AC2789" s="4">
        <v>15</v>
      </c>
      <c r="AD2789" s="4">
        <v>42</v>
      </c>
      <c r="AE2789" s="4">
        <v>111</v>
      </c>
      <c r="AF2789" s="4">
        <v>0</v>
      </c>
      <c r="AG2789" s="4">
        <v>8</v>
      </c>
      <c r="AH2789" s="4">
        <v>40</v>
      </c>
      <c r="AI2789" s="4">
        <v>80</v>
      </c>
      <c r="AJ2789" s="4">
        <v>3</v>
      </c>
      <c r="AK2789" s="4">
        <v>19</v>
      </c>
      <c r="AL2789" s="4">
        <v>26</v>
      </c>
      <c r="AM2789" s="4">
        <v>41</v>
      </c>
      <c r="AN2789" s="4">
        <v>0</v>
      </c>
      <c r="AO2789" s="4">
        <v>0</v>
      </c>
      <c r="AP2789" s="4">
        <v>5</v>
      </c>
      <c r="AQ2789" s="4">
        <v>39</v>
      </c>
      <c r="AR2789" s="3" t="s">
        <v>62</v>
      </c>
      <c r="AS2789" s="3" t="s">
        <v>62</v>
      </c>
      <c r="AT2789" s="3" t="s">
        <v>62</v>
      </c>
      <c r="AV2789" s="6" t="str">
        <f>HYPERLINK("http://mcgill.on.worldcat.org/oclc/945804126","Catalog Record")</f>
        <v>Catalog Record</v>
      </c>
      <c r="AW2789" s="6" t="str">
        <f>HYPERLINK("http://www.worldcat.org/oclc/945804126","WorldCat Record")</f>
        <v>WorldCat Record</v>
      </c>
      <c r="AX2789" s="3" t="s">
        <v>26978</v>
      </c>
      <c r="AY2789" s="3" t="s">
        <v>26979</v>
      </c>
      <c r="AZ2789" s="3" t="s">
        <v>26980</v>
      </c>
      <c r="BA2789" s="3" t="s">
        <v>26980</v>
      </c>
      <c r="BB2789" s="3" t="s">
        <v>26981</v>
      </c>
      <c r="BC2789" s="3" t="s">
        <v>102</v>
      </c>
      <c r="BD2789" s="3" t="s">
        <v>68</v>
      </c>
      <c r="BE2789" s="3" t="s">
        <v>26982</v>
      </c>
      <c r="BF2789" s="3" t="s">
        <v>26981</v>
      </c>
      <c r="BG2789" s="3" t="s">
        <v>26983</v>
      </c>
    </row>
    <row r="2790" spans="1:59" ht="58" x14ac:dyDescent="0.35">
      <c r="A2790" s="2" t="s">
        <v>89</v>
      </c>
      <c r="B2790" s="2" t="s">
        <v>90</v>
      </c>
      <c r="C2790" s="2" t="s">
        <v>26984</v>
      </c>
      <c r="D2790" s="2" t="s">
        <v>26985</v>
      </c>
      <c r="E2790" s="2" t="s">
        <v>26986</v>
      </c>
      <c r="G2790" s="3" t="s">
        <v>62</v>
      </c>
      <c r="I2790" s="3" t="s">
        <v>62</v>
      </c>
      <c r="J2790" s="3" t="s">
        <v>62</v>
      </c>
      <c r="K2790" s="3" t="s">
        <v>63</v>
      </c>
      <c r="L2790" s="2" t="s">
        <v>26987</v>
      </c>
      <c r="M2790" s="2" t="s">
        <v>26988</v>
      </c>
      <c r="N2790" s="3" t="s">
        <v>568</v>
      </c>
      <c r="P2790" s="3" t="s">
        <v>64</v>
      </c>
      <c r="R2790" s="3" t="s">
        <v>25645</v>
      </c>
      <c r="S2790" s="4">
        <v>9</v>
      </c>
      <c r="T2790" s="4">
        <v>9</v>
      </c>
      <c r="U2790" s="5" t="s">
        <v>9640</v>
      </c>
      <c r="V2790" s="5" t="s">
        <v>9640</v>
      </c>
      <c r="W2790" s="5" t="s">
        <v>67</v>
      </c>
      <c r="X2790" s="5" t="s">
        <v>67</v>
      </c>
      <c r="Y2790" s="4">
        <v>444</v>
      </c>
      <c r="Z2790" s="4">
        <v>14</v>
      </c>
      <c r="AA2790" s="4">
        <v>14</v>
      </c>
      <c r="AB2790" s="4">
        <v>1</v>
      </c>
      <c r="AC2790" s="4">
        <v>1</v>
      </c>
      <c r="AD2790" s="4">
        <v>99</v>
      </c>
      <c r="AE2790" s="4">
        <v>99</v>
      </c>
      <c r="AF2790" s="4">
        <v>0</v>
      </c>
      <c r="AG2790" s="4">
        <v>0</v>
      </c>
      <c r="AH2790" s="4">
        <v>91</v>
      </c>
      <c r="AI2790" s="4">
        <v>91</v>
      </c>
      <c r="AJ2790" s="4">
        <v>3</v>
      </c>
      <c r="AK2790" s="4">
        <v>3</v>
      </c>
      <c r="AL2790" s="4">
        <v>56</v>
      </c>
      <c r="AM2790" s="4">
        <v>56</v>
      </c>
      <c r="AN2790" s="4">
        <v>0</v>
      </c>
      <c r="AO2790" s="4">
        <v>0</v>
      </c>
      <c r="AP2790" s="4">
        <v>9</v>
      </c>
      <c r="AQ2790" s="4">
        <v>9</v>
      </c>
      <c r="AR2790" s="3" t="s">
        <v>62</v>
      </c>
      <c r="AS2790" s="3" t="s">
        <v>62</v>
      </c>
      <c r="AT2790" s="3" t="s">
        <v>62</v>
      </c>
      <c r="AV2790" s="6" t="str">
        <f>HYPERLINK("http://mcgill.on.worldcat.org/oclc/43109830","Catalog Record")</f>
        <v>Catalog Record</v>
      </c>
      <c r="AW2790" s="6" t="str">
        <f>HYPERLINK("http://www.worldcat.org/oclc/43109830","WorldCat Record")</f>
        <v>WorldCat Record</v>
      </c>
      <c r="AX2790" s="3" t="s">
        <v>26989</v>
      </c>
      <c r="AY2790" s="3" t="s">
        <v>26990</v>
      </c>
      <c r="AZ2790" s="3" t="s">
        <v>26991</v>
      </c>
      <c r="BA2790" s="3" t="s">
        <v>26991</v>
      </c>
      <c r="BB2790" s="3" t="s">
        <v>26992</v>
      </c>
      <c r="BC2790" s="3" t="s">
        <v>102</v>
      </c>
      <c r="BD2790" s="3" t="s">
        <v>231</v>
      </c>
      <c r="BE2790" s="3" t="s">
        <v>26993</v>
      </c>
      <c r="BF2790" s="3" t="s">
        <v>26992</v>
      </c>
      <c r="BG2790" s="3" t="s">
        <v>26994</v>
      </c>
    </row>
    <row r="2791" spans="1:59" ht="58" x14ac:dyDescent="0.35">
      <c r="A2791" s="2" t="s">
        <v>89</v>
      </c>
      <c r="B2791" s="2" t="s">
        <v>90</v>
      </c>
      <c r="C2791" s="2" t="s">
        <v>26995</v>
      </c>
      <c r="D2791" s="2" t="s">
        <v>26996</v>
      </c>
      <c r="E2791" s="2" t="s">
        <v>26997</v>
      </c>
      <c r="G2791" s="3" t="s">
        <v>62</v>
      </c>
      <c r="I2791" s="3" t="s">
        <v>62</v>
      </c>
      <c r="J2791" s="3" t="s">
        <v>62</v>
      </c>
      <c r="K2791" s="3" t="s">
        <v>63</v>
      </c>
      <c r="L2791" s="2" t="s">
        <v>26998</v>
      </c>
      <c r="M2791" s="2" t="s">
        <v>26999</v>
      </c>
      <c r="N2791" s="3" t="s">
        <v>553</v>
      </c>
      <c r="P2791" s="3" t="s">
        <v>64</v>
      </c>
      <c r="Q2791" s="2" t="s">
        <v>27000</v>
      </c>
      <c r="R2791" s="3" t="s">
        <v>25645</v>
      </c>
      <c r="S2791" s="4">
        <v>16</v>
      </c>
      <c r="T2791" s="4">
        <v>16</v>
      </c>
      <c r="U2791" s="5" t="s">
        <v>2226</v>
      </c>
      <c r="V2791" s="5" t="s">
        <v>2226</v>
      </c>
      <c r="W2791" s="5" t="s">
        <v>67</v>
      </c>
      <c r="X2791" s="5" t="s">
        <v>67</v>
      </c>
      <c r="Y2791" s="4">
        <v>309</v>
      </c>
      <c r="Z2791" s="4">
        <v>24</v>
      </c>
      <c r="AA2791" s="4">
        <v>86</v>
      </c>
      <c r="AB2791" s="4">
        <v>1</v>
      </c>
      <c r="AC2791" s="4">
        <v>15</v>
      </c>
      <c r="AD2791" s="4">
        <v>85</v>
      </c>
      <c r="AE2791" s="4">
        <v>128</v>
      </c>
      <c r="AF2791" s="4">
        <v>0</v>
      </c>
      <c r="AG2791" s="4">
        <v>8</v>
      </c>
      <c r="AH2791" s="4">
        <v>73</v>
      </c>
      <c r="AI2791" s="4">
        <v>90</v>
      </c>
      <c r="AJ2791" s="4">
        <v>14</v>
      </c>
      <c r="AK2791" s="4">
        <v>24</v>
      </c>
      <c r="AL2791" s="4">
        <v>44</v>
      </c>
      <c r="AM2791" s="4">
        <v>52</v>
      </c>
      <c r="AN2791" s="4">
        <v>0</v>
      </c>
      <c r="AO2791" s="4">
        <v>0</v>
      </c>
      <c r="AP2791" s="4">
        <v>16</v>
      </c>
      <c r="AQ2791" s="4">
        <v>44</v>
      </c>
      <c r="AR2791" s="3" t="s">
        <v>62</v>
      </c>
      <c r="AS2791" s="3" t="s">
        <v>62</v>
      </c>
      <c r="AT2791" s="3" t="s">
        <v>62</v>
      </c>
      <c r="AV2791" s="6" t="str">
        <f>HYPERLINK("http://mcgill.on.worldcat.org/oclc/41943682","Catalog Record")</f>
        <v>Catalog Record</v>
      </c>
      <c r="AW2791" s="6" t="str">
        <f>HYPERLINK("http://www.worldcat.org/oclc/41943682","WorldCat Record")</f>
        <v>WorldCat Record</v>
      </c>
      <c r="AX2791" s="3" t="s">
        <v>27001</v>
      </c>
      <c r="AY2791" s="3" t="s">
        <v>27002</v>
      </c>
      <c r="AZ2791" s="3" t="s">
        <v>27003</v>
      </c>
      <c r="BA2791" s="3" t="s">
        <v>27003</v>
      </c>
      <c r="BB2791" s="3" t="s">
        <v>27004</v>
      </c>
      <c r="BC2791" s="3" t="s">
        <v>102</v>
      </c>
      <c r="BD2791" s="3" t="s">
        <v>68</v>
      </c>
      <c r="BE2791" s="3" t="s">
        <v>27005</v>
      </c>
      <c r="BF2791" s="3" t="s">
        <v>27004</v>
      </c>
      <c r="BG2791" s="3" t="s">
        <v>27006</v>
      </c>
    </row>
    <row r="2792" spans="1:59" ht="58" x14ac:dyDescent="0.35">
      <c r="A2792" s="2" t="s">
        <v>89</v>
      </c>
      <c r="B2792" s="2" t="s">
        <v>90</v>
      </c>
      <c r="C2792" s="2" t="s">
        <v>27007</v>
      </c>
      <c r="D2792" s="2" t="s">
        <v>27008</v>
      </c>
      <c r="E2792" s="2" t="s">
        <v>27009</v>
      </c>
      <c r="G2792" s="3" t="s">
        <v>62</v>
      </c>
      <c r="I2792" s="3" t="s">
        <v>61</v>
      </c>
      <c r="J2792" s="3" t="s">
        <v>62</v>
      </c>
      <c r="K2792" s="3" t="s">
        <v>63</v>
      </c>
      <c r="L2792" s="2" t="s">
        <v>27010</v>
      </c>
      <c r="M2792" s="2" t="s">
        <v>27011</v>
      </c>
      <c r="N2792" s="3" t="s">
        <v>2000</v>
      </c>
      <c r="P2792" s="3" t="s">
        <v>64</v>
      </c>
      <c r="R2792" s="3" t="s">
        <v>25645</v>
      </c>
      <c r="S2792" s="4">
        <v>9</v>
      </c>
      <c r="T2792" s="4">
        <v>58</v>
      </c>
      <c r="U2792" s="5" t="s">
        <v>84</v>
      </c>
      <c r="V2792" s="5" t="s">
        <v>84</v>
      </c>
      <c r="W2792" s="5" t="s">
        <v>67</v>
      </c>
      <c r="X2792" s="5" t="s">
        <v>67</v>
      </c>
      <c r="Y2792" s="4">
        <v>832</v>
      </c>
      <c r="Z2792" s="4">
        <v>46</v>
      </c>
      <c r="AA2792" s="4">
        <v>49</v>
      </c>
      <c r="AB2792" s="4">
        <v>3</v>
      </c>
      <c r="AC2792" s="4">
        <v>4</v>
      </c>
      <c r="AD2792" s="4">
        <v>122</v>
      </c>
      <c r="AE2792" s="4">
        <v>125</v>
      </c>
      <c r="AF2792" s="4">
        <v>2</v>
      </c>
      <c r="AG2792" s="4">
        <v>3</v>
      </c>
      <c r="AH2792" s="4">
        <v>100</v>
      </c>
      <c r="AI2792" s="4">
        <v>103</v>
      </c>
      <c r="AJ2792" s="4">
        <v>18</v>
      </c>
      <c r="AK2792" s="4">
        <v>19</v>
      </c>
      <c r="AL2792" s="4">
        <v>56</v>
      </c>
      <c r="AM2792" s="4">
        <v>57</v>
      </c>
      <c r="AN2792" s="4">
        <v>0</v>
      </c>
      <c r="AO2792" s="4">
        <v>0</v>
      </c>
      <c r="AP2792" s="4">
        <v>29</v>
      </c>
      <c r="AQ2792" s="4">
        <v>30</v>
      </c>
      <c r="AR2792" s="3" t="s">
        <v>62</v>
      </c>
      <c r="AS2792" s="3" t="s">
        <v>62</v>
      </c>
      <c r="AT2792" s="3" t="s">
        <v>62</v>
      </c>
      <c r="AV2792" s="6" t="str">
        <f>HYPERLINK("http://mcgill.on.worldcat.org/oclc/33440282","Catalog Record")</f>
        <v>Catalog Record</v>
      </c>
      <c r="AW2792" s="6" t="str">
        <f>HYPERLINK("http://www.worldcat.org/oclc/33440282","WorldCat Record")</f>
        <v>WorldCat Record</v>
      </c>
      <c r="AX2792" s="3" t="s">
        <v>27012</v>
      </c>
      <c r="AY2792" s="3" t="s">
        <v>27013</v>
      </c>
      <c r="AZ2792" s="3" t="s">
        <v>27014</v>
      </c>
      <c r="BA2792" s="3" t="s">
        <v>27014</v>
      </c>
      <c r="BB2792" s="3" t="s">
        <v>27015</v>
      </c>
      <c r="BC2792" s="3" t="s">
        <v>102</v>
      </c>
      <c r="BD2792" s="3" t="s">
        <v>231</v>
      </c>
      <c r="BE2792" s="3" t="s">
        <v>27016</v>
      </c>
      <c r="BF2792" s="3" t="s">
        <v>27015</v>
      </c>
      <c r="BG2792" s="3" t="s">
        <v>27017</v>
      </c>
    </row>
    <row r="2793" spans="1:59" ht="58" x14ac:dyDescent="0.35">
      <c r="A2793" s="2" t="s">
        <v>89</v>
      </c>
      <c r="B2793" s="2" t="s">
        <v>90</v>
      </c>
      <c r="C2793" s="2" t="s">
        <v>27007</v>
      </c>
      <c r="D2793" s="2" t="s">
        <v>27008</v>
      </c>
      <c r="E2793" s="2" t="s">
        <v>27009</v>
      </c>
      <c r="G2793" s="3" t="s">
        <v>62</v>
      </c>
      <c r="I2793" s="3" t="s">
        <v>61</v>
      </c>
      <c r="J2793" s="3" t="s">
        <v>62</v>
      </c>
      <c r="K2793" s="3" t="s">
        <v>63</v>
      </c>
      <c r="L2793" s="2" t="s">
        <v>27010</v>
      </c>
      <c r="M2793" s="2" t="s">
        <v>27011</v>
      </c>
      <c r="N2793" s="3" t="s">
        <v>2000</v>
      </c>
      <c r="P2793" s="3" t="s">
        <v>64</v>
      </c>
      <c r="R2793" s="3" t="s">
        <v>25645</v>
      </c>
      <c r="S2793" s="4">
        <v>49</v>
      </c>
      <c r="T2793" s="4">
        <v>58</v>
      </c>
      <c r="U2793" s="5" t="s">
        <v>2488</v>
      </c>
      <c r="V2793" s="5" t="s">
        <v>84</v>
      </c>
      <c r="W2793" s="5" t="s">
        <v>67</v>
      </c>
      <c r="X2793" s="5" t="s">
        <v>67</v>
      </c>
      <c r="Y2793" s="4">
        <v>832</v>
      </c>
      <c r="Z2793" s="4">
        <v>46</v>
      </c>
      <c r="AA2793" s="4">
        <v>49</v>
      </c>
      <c r="AB2793" s="4">
        <v>3</v>
      </c>
      <c r="AC2793" s="4">
        <v>4</v>
      </c>
      <c r="AD2793" s="4">
        <v>122</v>
      </c>
      <c r="AE2793" s="4">
        <v>125</v>
      </c>
      <c r="AF2793" s="4">
        <v>2</v>
      </c>
      <c r="AG2793" s="4">
        <v>3</v>
      </c>
      <c r="AH2793" s="4">
        <v>100</v>
      </c>
      <c r="AI2793" s="4">
        <v>103</v>
      </c>
      <c r="AJ2793" s="4">
        <v>18</v>
      </c>
      <c r="AK2793" s="4">
        <v>19</v>
      </c>
      <c r="AL2793" s="4">
        <v>56</v>
      </c>
      <c r="AM2793" s="4">
        <v>57</v>
      </c>
      <c r="AN2793" s="4">
        <v>0</v>
      </c>
      <c r="AO2793" s="4">
        <v>0</v>
      </c>
      <c r="AP2793" s="4">
        <v>29</v>
      </c>
      <c r="AQ2793" s="4">
        <v>30</v>
      </c>
      <c r="AR2793" s="3" t="s">
        <v>62</v>
      </c>
      <c r="AS2793" s="3" t="s">
        <v>62</v>
      </c>
      <c r="AT2793" s="3" t="s">
        <v>62</v>
      </c>
      <c r="AV2793" s="6" t="str">
        <f>HYPERLINK("http://mcgill.on.worldcat.org/oclc/33440282","Catalog Record")</f>
        <v>Catalog Record</v>
      </c>
      <c r="AW2793" s="6" t="str">
        <f>HYPERLINK("http://www.worldcat.org/oclc/33440282","WorldCat Record")</f>
        <v>WorldCat Record</v>
      </c>
      <c r="AX2793" s="3" t="s">
        <v>27012</v>
      </c>
      <c r="AY2793" s="3" t="s">
        <v>27013</v>
      </c>
      <c r="AZ2793" s="3" t="s">
        <v>27014</v>
      </c>
      <c r="BA2793" s="3" t="s">
        <v>27014</v>
      </c>
      <c r="BB2793" s="3" t="s">
        <v>27018</v>
      </c>
      <c r="BC2793" s="3" t="s">
        <v>102</v>
      </c>
      <c r="BD2793" s="3" t="s">
        <v>68</v>
      </c>
      <c r="BE2793" s="3" t="s">
        <v>27016</v>
      </c>
      <c r="BF2793" s="3" t="s">
        <v>27018</v>
      </c>
      <c r="BG2793" s="3" t="s">
        <v>27019</v>
      </c>
    </row>
    <row r="2794" spans="1:59" ht="58" x14ac:dyDescent="0.35">
      <c r="A2794" s="2" t="s">
        <v>89</v>
      </c>
      <c r="B2794" s="2" t="s">
        <v>90</v>
      </c>
      <c r="C2794" s="2" t="s">
        <v>27020</v>
      </c>
      <c r="D2794" s="2" t="s">
        <v>27021</v>
      </c>
      <c r="E2794" s="2" t="s">
        <v>27022</v>
      </c>
      <c r="G2794" s="3" t="s">
        <v>62</v>
      </c>
      <c r="I2794" s="3" t="s">
        <v>61</v>
      </c>
      <c r="J2794" s="3" t="s">
        <v>62</v>
      </c>
      <c r="K2794" s="3" t="s">
        <v>63</v>
      </c>
      <c r="L2794" s="2" t="s">
        <v>27023</v>
      </c>
      <c r="M2794" s="2" t="s">
        <v>27024</v>
      </c>
      <c r="N2794" s="3" t="s">
        <v>285</v>
      </c>
      <c r="P2794" s="3" t="s">
        <v>64</v>
      </c>
      <c r="R2794" s="3" t="s">
        <v>25645</v>
      </c>
      <c r="S2794" s="4">
        <v>15</v>
      </c>
      <c r="T2794" s="4">
        <v>29</v>
      </c>
      <c r="U2794" s="5" t="s">
        <v>15838</v>
      </c>
      <c r="V2794" s="5" t="s">
        <v>15838</v>
      </c>
      <c r="W2794" s="5" t="s">
        <v>67</v>
      </c>
      <c r="X2794" s="5" t="s">
        <v>67</v>
      </c>
      <c r="Y2794" s="4">
        <v>904</v>
      </c>
      <c r="Z2794" s="4">
        <v>49</v>
      </c>
      <c r="AA2794" s="4">
        <v>56</v>
      </c>
      <c r="AB2794" s="4">
        <v>3</v>
      </c>
      <c r="AC2794" s="4">
        <v>6</v>
      </c>
      <c r="AD2794" s="4">
        <v>111</v>
      </c>
      <c r="AE2794" s="4">
        <v>125</v>
      </c>
      <c r="AF2794" s="4">
        <v>1</v>
      </c>
      <c r="AG2794" s="4">
        <v>3</v>
      </c>
      <c r="AH2794" s="4">
        <v>93</v>
      </c>
      <c r="AI2794" s="4">
        <v>104</v>
      </c>
      <c r="AJ2794" s="4">
        <v>17</v>
      </c>
      <c r="AK2794" s="4">
        <v>20</v>
      </c>
      <c r="AL2794" s="4">
        <v>49</v>
      </c>
      <c r="AM2794" s="4">
        <v>55</v>
      </c>
      <c r="AN2794" s="4">
        <v>0</v>
      </c>
      <c r="AO2794" s="4">
        <v>0</v>
      </c>
      <c r="AP2794" s="4">
        <v>25</v>
      </c>
      <c r="AQ2794" s="4">
        <v>29</v>
      </c>
      <c r="AR2794" s="3" t="s">
        <v>62</v>
      </c>
      <c r="AS2794" s="3" t="s">
        <v>62</v>
      </c>
      <c r="AT2794" s="3" t="s">
        <v>61</v>
      </c>
      <c r="AU2794" s="6" t="str">
        <f>HYPERLINK("http://catalog.hathitrust.org/Record/000041555","HathiTrust Record")</f>
        <v>HathiTrust Record</v>
      </c>
      <c r="AV2794" s="6" t="str">
        <f>HYPERLINK("http://mcgill.on.worldcat.org/oclc/5352913","Catalog Record")</f>
        <v>Catalog Record</v>
      </c>
      <c r="AW2794" s="6" t="str">
        <f>HYPERLINK("http://www.worldcat.org/oclc/5352913","WorldCat Record")</f>
        <v>WorldCat Record</v>
      </c>
      <c r="AX2794" s="3" t="s">
        <v>27025</v>
      </c>
      <c r="AY2794" s="3" t="s">
        <v>27026</v>
      </c>
      <c r="AZ2794" s="3" t="s">
        <v>27027</v>
      </c>
      <c r="BA2794" s="3" t="s">
        <v>27027</v>
      </c>
      <c r="BB2794" s="3" t="s">
        <v>27028</v>
      </c>
      <c r="BC2794" s="3" t="s">
        <v>102</v>
      </c>
      <c r="BD2794" s="3" t="s">
        <v>68</v>
      </c>
      <c r="BE2794" s="3" t="s">
        <v>27029</v>
      </c>
      <c r="BF2794" s="3" t="s">
        <v>27028</v>
      </c>
      <c r="BG2794" s="3" t="s">
        <v>27030</v>
      </c>
    </row>
    <row r="2795" spans="1:59" ht="58" x14ac:dyDescent="0.35">
      <c r="A2795" s="2" t="s">
        <v>89</v>
      </c>
      <c r="B2795" s="2" t="s">
        <v>90</v>
      </c>
      <c r="C2795" s="2" t="s">
        <v>27031</v>
      </c>
      <c r="D2795" s="2" t="s">
        <v>27032</v>
      </c>
      <c r="E2795" s="2" t="s">
        <v>27033</v>
      </c>
      <c r="G2795" s="3" t="s">
        <v>62</v>
      </c>
      <c r="I2795" s="3" t="s">
        <v>62</v>
      </c>
      <c r="J2795" s="3" t="s">
        <v>62</v>
      </c>
      <c r="K2795" s="3" t="s">
        <v>63</v>
      </c>
      <c r="L2795" s="2" t="s">
        <v>27034</v>
      </c>
      <c r="M2795" s="2" t="s">
        <v>27035</v>
      </c>
      <c r="N2795" s="3" t="s">
        <v>568</v>
      </c>
      <c r="O2795" s="2" t="s">
        <v>2187</v>
      </c>
      <c r="P2795" s="3" t="s">
        <v>64</v>
      </c>
      <c r="R2795" s="3" t="s">
        <v>25645</v>
      </c>
      <c r="S2795" s="4">
        <v>7</v>
      </c>
      <c r="T2795" s="4">
        <v>7</v>
      </c>
      <c r="U2795" s="5" t="s">
        <v>8561</v>
      </c>
      <c r="V2795" s="5" t="s">
        <v>8561</v>
      </c>
      <c r="W2795" s="5" t="s">
        <v>67</v>
      </c>
      <c r="X2795" s="5" t="s">
        <v>67</v>
      </c>
      <c r="Y2795" s="4">
        <v>670</v>
      </c>
      <c r="Z2795" s="4">
        <v>10</v>
      </c>
      <c r="AA2795" s="4">
        <v>21</v>
      </c>
      <c r="AB2795" s="4">
        <v>1</v>
      </c>
      <c r="AC2795" s="4">
        <v>2</v>
      </c>
      <c r="AD2795" s="4">
        <v>62</v>
      </c>
      <c r="AE2795" s="4">
        <v>84</v>
      </c>
      <c r="AF2795" s="4">
        <v>0</v>
      </c>
      <c r="AG2795" s="4">
        <v>0</v>
      </c>
      <c r="AH2795" s="4">
        <v>60</v>
      </c>
      <c r="AI2795" s="4">
        <v>79</v>
      </c>
      <c r="AJ2795" s="4">
        <v>1</v>
      </c>
      <c r="AK2795" s="4">
        <v>6</v>
      </c>
      <c r="AL2795" s="4">
        <v>31</v>
      </c>
      <c r="AM2795" s="4">
        <v>43</v>
      </c>
      <c r="AN2795" s="4">
        <v>0</v>
      </c>
      <c r="AO2795" s="4">
        <v>0</v>
      </c>
      <c r="AP2795" s="4">
        <v>1</v>
      </c>
      <c r="AQ2795" s="4">
        <v>7</v>
      </c>
      <c r="AR2795" s="3" t="s">
        <v>62</v>
      </c>
      <c r="AS2795" s="3" t="s">
        <v>62</v>
      </c>
      <c r="AT2795" s="3" t="s">
        <v>62</v>
      </c>
      <c r="AV2795" s="6" t="str">
        <f>HYPERLINK("http://mcgill.on.worldcat.org/oclc/43851477","Catalog Record")</f>
        <v>Catalog Record</v>
      </c>
      <c r="AW2795" s="6" t="str">
        <f>HYPERLINK("http://www.worldcat.org/oclc/43851477","WorldCat Record")</f>
        <v>WorldCat Record</v>
      </c>
      <c r="AX2795" s="3" t="s">
        <v>27036</v>
      </c>
      <c r="AY2795" s="3" t="s">
        <v>27037</v>
      </c>
      <c r="AZ2795" s="3" t="s">
        <v>27038</v>
      </c>
      <c r="BA2795" s="3" t="s">
        <v>27038</v>
      </c>
      <c r="BB2795" s="3" t="s">
        <v>27039</v>
      </c>
      <c r="BC2795" s="3" t="s">
        <v>102</v>
      </c>
      <c r="BD2795" s="3" t="s">
        <v>68</v>
      </c>
      <c r="BE2795" s="3" t="s">
        <v>27040</v>
      </c>
      <c r="BF2795" s="3" t="s">
        <v>27039</v>
      </c>
      <c r="BG2795" s="3" t="s">
        <v>27041</v>
      </c>
    </row>
    <row r="2796" spans="1:59" ht="72.5" x14ac:dyDescent="0.35">
      <c r="A2796" s="2" t="s">
        <v>89</v>
      </c>
      <c r="B2796" s="2" t="s">
        <v>90</v>
      </c>
      <c r="C2796" s="2" t="s">
        <v>27042</v>
      </c>
      <c r="D2796" s="2" t="s">
        <v>27043</v>
      </c>
      <c r="E2796" s="2" t="s">
        <v>27044</v>
      </c>
      <c r="G2796" s="3" t="s">
        <v>62</v>
      </c>
      <c r="I2796" s="3" t="s">
        <v>62</v>
      </c>
      <c r="J2796" s="3" t="s">
        <v>62</v>
      </c>
      <c r="K2796" s="3" t="s">
        <v>63</v>
      </c>
      <c r="L2796" s="2" t="s">
        <v>27045</v>
      </c>
      <c r="M2796" s="2" t="s">
        <v>27046</v>
      </c>
      <c r="N2796" s="3" t="s">
        <v>1064</v>
      </c>
      <c r="P2796" s="3" t="s">
        <v>64</v>
      </c>
      <c r="Q2796" s="2" t="s">
        <v>27047</v>
      </c>
      <c r="R2796" s="3" t="s">
        <v>25645</v>
      </c>
      <c r="S2796" s="4">
        <v>4</v>
      </c>
      <c r="T2796" s="4">
        <v>4</v>
      </c>
      <c r="U2796" s="5" t="s">
        <v>7448</v>
      </c>
      <c r="V2796" s="5" t="s">
        <v>7448</v>
      </c>
      <c r="W2796" s="5" t="s">
        <v>67</v>
      </c>
      <c r="X2796" s="5" t="s">
        <v>67</v>
      </c>
      <c r="Y2796" s="4">
        <v>398</v>
      </c>
      <c r="Z2796" s="4">
        <v>22</v>
      </c>
      <c r="AA2796" s="4">
        <v>23</v>
      </c>
      <c r="AB2796" s="4">
        <v>2</v>
      </c>
      <c r="AC2796" s="4">
        <v>3</v>
      </c>
      <c r="AD2796" s="4">
        <v>104</v>
      </c>
      <c r="AE2796" s="4">
        <v>105</v>
      </c>
      <c r="AF2796" s="4">
        <v>1</v>
      </c>
      <c r="AG2796" s="4">
        <v>2</v>
      </c>
      <c r="AH2796" s="4">
        <v>91</v>
      </c>
      <c r="AI2796" s="4">
        <v>91</v>
      </c>
      <c r="AJ2796" s="4">
        <v>14</v>
      </c>
      <c r="AK2796" s="4">
        <v>15</v>
      </c>
      <c r="AL2796" s="4">
        <v>51</v>
      </c>
      <c r="AM2796" s="4">
        <v>51</v>
      </c>
      <c r="AN2796" s="4">
        <v>0</v>
      </c>
      <c r="AO2796" s="4">
        <v>0</v>
      </c>
      <c r="AP2796" s="4">
        <v>18</v>
      </c>
      <c r="AQ2796" s="4">
        <v>18</v>
      </c>
      <c r="AR2796" s="3" t="s">
        <v>62</v>
      </c>
      <c r="AS2796" s="3" t="s">
        <v>62</v>
      </c>
      <c r="AT2796" s="3" t="s">
        <v>61</v>
      </c>
      <c r="AU2796" s="6" t="str">
        <f>HYPERLINK("http://catalog.hathitrust.org/Record/001476522","HathiTrust Record")</f>
        <v>HathiTrust Record</v>
      </c>
      <c r="AV2796" s="6" t="str">
        <f>HYPERLINK("http://mcgill.on.worldcat.org/oclc/277908","Catalog Record")</f>
        <v>Catalog Record</v>
      </c>
      <c r="AW2796" s="6" t="str">
        <f>HYPERLINK("http://www.worldcat.org/oclc/277908","WorldCat Record")</f>
        <v>WorldCat Record</v>
      </c>
      <c r="AX2796" s="3" t="s">
        <v>27048</v>
      </c>
      <c r="AY2796" s="3" t="s">
        <v>27049</v>
      </c>
      <c r="AZ2796" s="3" t="s">
        <v>27050</v>
      </c>
      <c r="BA2796" s="3" t="s">
        <v>27050</v>
      </c>
      <c r="BB2796" s="3" t="s">
        <v>27051</v>
      </c>
      <c r="BC2796" s="3" t="s">
        <v>102</v>
      </c>
      <c r="BD2796" s="3" t="s">
        <v>68</v>
      </c>
      <c r="BE2796" s="3" t="s">
        <v>27052</v>
      </c>
      <c r="BF2796" s="3" t="s">
        <v>27051</v>
      </c>
      <c r="BG2796" s="3" t="s">
        <v>27053</v>
      </c>
    </row>
    <row r="2797" spans="1:59" ht="58" x14ac:dyDescent="0.35">
      <c r="A2797" s="2" t="s">
        <v>89</v>
      </c>
      <c r="B2797" s="2" t="s">
        <v>90</v>
      </c>
      <c r="C2797" s="2" t="s">
        <v>27054</v>
      </c>
      <c r="D2797" s="2" t="s">
        <v>27055</v>
      </c>
      <c r="E2797" s="2" t="s">
        <v>27056</v>
      </c>
      <c r="G2797" s="3" t="s">
        <v>62</v>
      </c>
      <c r="I2797" s="3" t="s">
        <v>62</v>
      </c>
      <c r="J2797" s="3" t="s">
        <v>62</v>
      </c>
      <c r="K2797" s="3" t="s">
        <v>63</v>
      </c>
      <c r="L2797" s="2" t="s">
        <v>27057</v>
      </c>
      <c r="M2797" s="2" t="s">
        <v>27058</v>
      </c>
      <c r="N2797" s="3" t="s">
        <v>285</v>
      </c>
      <c r="P2797" s="3" t="s">
        <v>1078</v>
      </c>
      <c r="Q2797" s="2" t="s">
        <v>27059</v>
      </c>
      <c r="R2797" s="3" t="s">
        <v>25645</v>
      </c>
      <c r="S2797" s="4">
        <v>2</v>
      </c>
      <c r="T2797" s="4">
        <v>2</v>
      </c>
      <c r="U2797" s="5" t="s">
        <v>26172</v>
      </c>
      <c r="V2797" s="5" t="s">
        <v>26172</v>
      </c>
      <c r="W2797" s="5" t="s">
        <v>67</v>
      </c>
      <c r="X2797" s="5" t="s">
        <v>67</v>
      </c>
      <c r="Y2797" s="4">
        <v>16</v>
      </c>
      <c r="Z2797" s="4">
        <v>3</v>
      </c>
      <c r="AA2797" s="4">
        <v>3</v>
      </c>
      <c r="AB2797" s="4">
        <v>1</v>
      </c>
      <c r="AC2797" s="4">
        <v>1</v>
      </c>
      <c r="AD2797" s="4">
        <v>10</v>
      </c>
      <c r="AE2797" s="4">
        <v>10</v>
      </c>
      <c r="AF2797" s="4">
        <v>0</v>
      </c>
      <c r="AG2797" s="4">
        <v>0</v>
      </c>
      <c r="AH2797" s="4">
        <v>9</v>
      </c>
      <c r="AI2797" s="4">
        <v>9</v>
      </c>
      <c r="AJ2797" s="4">
        <v>1</v>
      </c>
      <c r="AK2797" s="4">
        <v>1</v>
      </c>
      <c r="AL2797" s="4">
        <v>8</v>
      </c>
      <c r="AM2797" s="4">
        <v>8</v>
      </c>
      <c r="AN2797" s="4">
        <v>0</v>
      </c>
      <c r="AO2797" s="4">
        <v>0</v>
      </c>
      <c r="AP2797" s="4">
        <v>1</v>
      </c>
      <c r="AQ2797" s="4">
        <v>1</v>
      </c>
      <c r="AR2797" s="3" t="s">
        <v>62</v>
      </c>
      <c r="AS2797" s="3" t="s">
        <v>62</v>
      </c>
      <c r="AT2797" s="3" t="s">
        <v>61</v>
      </c>
      <c r="AU2797" s="6" t="str">
        <f>HYPERLINK("http://catalog.hathitrust.org/Record/006199853","HathiTrust Record")</f>
        <v>HathiTrust Record</v>
      </c>
      <c r="AV2797" s="6" t="str">
        <f>HYPERLINK("http://mcgill.on.worldcat.org/oclc/11123616","Catalog Record")</f>
        <v>Catalog Record</v>
      </c>
      <c r="AW2797" s="6" t="str">
        <f>HYPERLINK("http://www.worldcat.org/oclc/11123616","WorldCat Record")</f>
        <v>WorldCat Record</v>
      </c>
      <c r="AX2797" s="3" t="s">
        <v>27060</v>
      </c>
      <c r="AY2797" s="3" t="s">
        <v>27061</v>
      </c>
      <c r="AZ2797" s="3" t="s">
        <v>27062</v>
      </c>
      <c r="BA2797" s="3" t="s">
        <v>27062</v>
      </c>
      <c r="BB2797" s="3" t="s">
        <v>27063</v>
      </c>
      <c r="BC2797" s="3" t="s">
        <v>102</v>
      </c>
      <c r="BD2797" s="3" t="s">
        <v>68</v>
      </c>
      <c r="BF2797" s="3" t="s">
        <v>27063</v>
      </c>
      <c r="BG2797" s="3" t="s">
        <v>27064</v>
      </c>
    </row>
    <row r="2798" spans="1:59" ht="58" x14ac:dyDescent="0.35">
      <c r="A2798" s="2" t="s">
        <v>89</v>
      </c>
      <c r="B2798" s="2" t="s">
        <v>90</v>
      </c>
      <c r="C2798" s="2" t="s">
        <v>27065</v>
      </c>
      <c r="D2798" s="2" t="s">
        <v>27066</v>
      </c>
      <c r="E2798" s="2" t="s">
        <v>27067</v>
      </c>
      <c r="G2798" s="3" t="s">
        <v>62</v>
      </c>
      <c r="I2798" s="3" t="s">
        <v>62</v>
      </c>
      <c r="J2798" s="3" t="s">
        <v>62</v>
      </c>
      <c r="K2798" s="3" t="s">
        <v>63</v>
      </c>
      <c r="L2798" s="2" t="s">
        <v>27068</v>
      </c>
      <c r="M2798" s="2" t="s">
        <v>27069</v>
      </c>
      <c r="N2798" s="3" t="s">
        <v>655</v>
      </c>
      <c r="P2798" s="3" t="s">
        <v>64</v>
      </c>
      <c r="Q2798" s="2" t="s">
        <v>27070</v>
      </c>
      <c r="R2798" s="3" t="s">
        <v>25645</v>
      </c>
      <c r="S2798" s="4">
        <v>10</v>
      </c>
      <c r="T2798" s="4">
        <v>10</v>
      </c>
      <c r="U2798" s="5" t="s">
        <v>8153</v>
      </c>
      <c r="V2798" s="5" t="s">
        <v>8153</v>
      </c>
      <c r="W2798" s="5" t="s">
        <v>67</v>
      </c>
      <c r="X2798" s="5" t="s">
        <v>67</v>
      </c>
      <c r="Y2798" s="4">
        <v>106</v>
      </c>
      <c r="Z2798" s="4">
        <v>7</v>
      </c>
      <c r="AA2798" s="4">
        <v>99</v>
      </c>
      <c r="AB2798" s="4">
        <v>1</v>
      </c>
      <c r="AC2798" s="4">
        <v>17</v>
      </c>
      <c r="AD2798" s="4">
        <v>50</v>
      </c>
      <c r="AE2798" s="4">
        <v>126</v>
      </c>
      <c r="AF2798" s="4">
        <v>0</v>
      </c>
      <c r="AG2798" s="4">
        <v>8</v>
      </c>
      <c r="AH2798" s="4">
        <v>46</v>
      </c>
      <c r="AI2798" s="4">
        <v>88</v>
      </c>
      <c r="AJ2798" s="4">
        <v>4</v>
      </c>
      <c r="AK2798" s="4">
        <v>22</v>
      </c>
      <c r="AL2798" s="4">
        <v>34</v>
      </c>
      <c r="AM2798" s="4">
        <v>49</v>
      </c>
      <c r="AN2798" s="4">
        <v>0</v>
      </c>
      <c r="AO2798" s="4">
        <v>0</v>
      </c>
      <c r="AP2798" s="4">
        <v>4</v>
      </c>
      <c r="AQ2798" s="4">
        <v>44</v>
      </c>
      <c r="AR2798" s="3" t="s">
        <v>62</v>
      </c>
      <c r="AS2798" s="3" t="s">
        <v>62</v>
      </c>
      <c r="AT2798" s="3" t="s">
        <v>62</v>
      </c>
      <c r="AV2798" s="6" t="str">
        <f>HYPERLINK("http://mcgill.on.worldcat.org/oclc/141384368","Catalog Record")</f>
        <v>Catalog Record</v>
      </c>
      <c r="AW2798" s="6" t="str">
        <f>HYPERLINK("http://www.worldcat.org/oclc/141384368","WorldCat Record")</f>
        <v>WorldCat Record</v>
      </c>
      <c r="AX2798" s="3" t="s">
        <v>27071</v>
      </c>
      <c r="AY2798" s="3" t="s">
        <v>27072</v>
      </c>
      <c r="AZ2798" s="3" t="s">
        <v>27073</v>
      </c>
      <c r="BA2798" s="3" t="s">
        <v>27073</v>
      </c>
      <c r="BB2798" s="3" t="s">
        <v>27074</v>
      </c>
      <c r="BC2798" s="3" t="s">
        <v>102</v>
      </c>
      <c r="BD2798" s="3" t="s">
        <v>68</v>
      </c>
      <c r="BE2798" s="3" t="s">
        <v>27075</v>
      </c>
      <c r="BF2798" s="3" t="s">
        <v>27074</v>
      </c>
      <c r="BG2798" s="3" t="s">
        <v>27076</v>
      </c>
    </row>
    <row r="2799" spans="1:59" ht="58" x14ac:dyDescent="0.35">
      <c r="A2799" s="2" t="s">
        <v>89</v>
      </c>
      <c r="B2799" s="2" t="s">
        <v>90</v>
      </c>
      <c r="C2799" s="2" t="s">
        <v>27077</v>
      </c>
      <c r="D2799" s="2" t="s">
        <v>27078</v>
      </c>
      <c r="E2799" s="2" t="s">
        <v>27079</v>
      </c>
      <c r="G2799" s="3" t="s">
        <v>62</v>
      </c>
      <c r="I2799" s="3" t="s">
        <v>62</v>
      </c>
      <c r="J2799" s="3" t="s">
        <v>62</v>
      </c>
      <c r="K2799" s="3" t="s">
        <v>63</v>
      </c>
      <c r="L2799" s="2" t="s">
        <v>27068</v>
      </c>
      <c r="M2799" s="2" t="s">
        <v>27080</v>
      </c>
      <c r="N2799" s="3" t="s">
        <v>640</v>
      </c>
      <c r="P2799" s="3" t="s">
        <v>64</v>
      </c>
      <c r="Q2799" s="2" t="s">
        <v>27081</v>
      </c>
      <c r="R2799" s="3" t="s">
        <v>25645</v>
      </c>
      <c r="S2799" s="4">
        <v>5</v>
      </c>
      <c r="T2799" s="4">
        <v>5</v>
      </c>
      <c r="U2799" s="5" t="s">
        <v>8153</v>
      </c>
      <c r="V2799" s="5" t="s">
        <v>8153</v>
      </c>
      <c r="W2799" s="5" t="s">
        <v>67</v>
      </c>
      <c r="X2799" s="5" t="s">
        <v>67</v>
      </c>
      <c r="Y2799" s="4">
        <v>188</v>
      </c>
      <c r="Z2799" s="4">
        <v>12</v>
      </c>
      <c r="AA2799" s="4">
        <v>13</v>
      </c>
      <c r="AB2799" s="4">
        <v>1</v>
      </c>
      <c r="AC2799" s="4">
        <v>2</v>
      </c>
      <c r="AD2799" s="4">
        <v>78</v>
      </c>
      <c r="AE2799" s="4">
        <v>80</v>
      </c>
      <c r="AF2799" s="4">
        <v>0</v>
      </c>
      <c r="AG2799" s="4">
        <v>1</v>
      </c>
      <c r="AH2799" s="4">
        <v>71</v>
      </c>
      <c r="AI2799" s="4">
        <v>72</v>
      </c>
      <c r="AJ2799" s="4">
        <v>9</v>
      </c>
      <c r="AK2799" s="4">
        <v>10</v>
      </c>
      <c r="AL2799" s="4">
        <v>44</v>
      </c>
      <c r="AM2799" s="4">
        <v>44</v>
      </c>
      <c r="AN2799" s="4">
        <v>0</v>
      </c>
      <c r="AO2799" s="4">
        <v>0</v>
      </c>
      <c r="AP2799" s="4">
        <v>10</v>
      </c>
      <c r="AQ2799" s="4">
        <v>10</v>
      </c>
      <c r="AR2799" s="3" t="s">
        <v>62</v>
      </c>
      <c r="AS2799" s="3" t="s">
        <v>62</v>
      </c>
      <c r="AT2799" s="3" t="s">
        <v>61</v>
      </c>
      <c r="AU2799" s="6" t="str">
        <f>HYPERLINK("http://catalog.hathitrust.org/Record/005124090","HathiTrust Record")</f>
        <v>HathiTrust Record</v>
      </c>
      <c r="AV2799" s="6" t="str">
        <f>HYPERLINK("http://mcgill.on.worldcat.org/oclc/55845805","Catalog Record")</f>
        <v>Catalog Record</v>
      </c>
      <c r="AW2799" s="6" t="str">
        <f>HYPERLINK("http://www.worldcat.org/oclc/55845805","WorldCat Record")</f>
        <v>WorldCat Record</v>
      </c>
      <c r="AX2799" s="3" t="s">
        <v>27082</v>
      </c>
      <c r="AY2799" s="3" t="s">
        <v>27083</v>
      </c>
      <c r="AZ2799" s="3" t="s">
        <v>27084</v>
      </c>
      <c r="BA2799" s="3" t="s">
        <v>27084</v>
      </c>
      <c r="BB2799" s="3" t="s">
        <v>27085</v>
      </c>
      <c r="BC2799" s="3" t="s">
        <v>102</v>
      </c>
      <c r="BD2799" s="3" t="s">
        <v>68</v>
      </c>
      <c r="BE2799" s="3" t="s">
        <v>27086</v>
      </c>
      <c r="BF2799" s="3" t="s">
        <v>27085</v>
      </c>
      <c r="BG2799" s="3" t="s">
        <v>27087</v>
      </c>
    </row>
    <row r="2800" spans="1:59" ht="58" x14ac:dyDescent="0.35">
      <c r="A2800" s="2" t="s">
        <v>89</v>
      </c>
      <c r="B2800" s="2" t="s">
        <v>90</v>
      </c>
      <c r="C2800" s="2" t="s">
        <v>27088</v>
      </c>
      <c r="D2800" s="2" t="s">
        <v>27089</v>
      </c>
      <c r="E2800" s="2" t="s">
        <v>27090</v>
      </c>
      <c r="G2800" s="3" t="s">
        <v>62</v>
      </c>
      <c r="I2800" s="3" t="s">
        <v>62</v>
      </c>
      <c r="J2800" s="3" t="s">
        <v>62</v>
      </c>
      <c r="K2800" s="3" t="s">
        <v>63</v>
      </c>
      <c r="L2800" s="2" t="s">
        <v>27091</v>
      </c>
      <c r="M2800" s="2" t="s">
        <v>27092</v>
      </c>
      <c r="N2800" s="3" t="s">
        <v>852</v>
      </c>
      <c r="P2800" s="3" t="s">
        <v>64</v>
      </c>
      <c r="Q2800" s="2" t="s">
        <v>27093</v>
      </c>
      <c r="R2800" s="3" t="s">
        <v>25645</v>
      </c>
      <c r="S2800" s="4">
        <v>5</v>
      </c>
      <c r="T2800" s="4">
        <v>5</v>
      </c>
      <c r="U2800" s="5" t="s">
        <v>7448</v>
      </c>
      <c r="V2800" s="5" t="s">
        <v>7448</v>
      </c>
      <c r="W2800" s="5" t="s">
        <v>67</v>
      </c>
      <c r="X2800" s="5" t="s">
        <v>67</v>
      </c>
      <c r="Y2800" s="4">
        <v>324</v>
      </c>
      <c r="Z2800" s="4">
        <v>20</v>
      </c>
      <c r="AA2800" s="4">
        <v>23</v>
      </c>
      <c r="AB2800" s="4">
        <v>2</v>
      </c>
      <c r="AC2800" s="4">
        <v>4</v>
      </c>
      <c r="AD2800" s="4">
        <v>106</v>
      </c>
      <c r="AE2800" s="4">
        <v>114</v>
      </c>
      <c r="AF2800" s="4">
        <v>1</v>
      </c>
      <c r="AG2800" s="4">
        <v>3</v>
      </c>
      <c r="AH2800" s="4">
        <v>97</v>
      </c>
      <c r="AI2800" s="4">
        <v>103</v>
      </c>
      <c r="AJ2800" s="4">
        <v>15</v>
      </c>
      <c r="AK2800" s="4">
        <v>18</v>
      </c>
      <c r="AL2800" s="4">
        <v>54</v>
      </c>
      <c r="AM2800" s="4">
        <v>57</v>
      </c>
      <c r="AN2800" s="4">
        <v>0</v>
      </c>
      <c r="AO2800" s="4">
        <v>0</v>
      </c>
      <c r="AP2800" s="4">
        <v>16</v>
      </c>
      <c r="AQ2800" s="4">
        <v>18</v>
      </c>
      <c r="AR2800" s="3" t="s">
        <v>62</v>
      </c>
      <c r="AS2800" s="3" t="s">
        <v>62</v>
      </c>
      <c r="AT2800" s="3" t="s">
        <v>62</v>
      </c>
      <c r="AV2800" s="6" t="str">
        <f>HYPERLINK("http://mcgill.on.worldcat.org/oclc/57269","Catalog Record")</f>
        <v>Catalog Record</v>
      </c>
      <c r="AW2800" s="6" t="str">
        <f>HYPERLINK("http://www.worldcat.org/oclc/57269","WorldCat Record")</f>
        <v>WorldCat Record</v>
      </c>
      <c r="AX2800" s="3" t="s">
        <v>27094</v>
      </c>
      <c r="AY2800" s="3" t="s">
        <v>27095</v>
      </c>
      <c r="AZ2800" s="3" t="s">
        <v>27096</v>
      </c>
      <c r="BA2800" s="3" t="s">
        <v>27096</v>
      </c>
      <c r="BB2800" s="3" t="s">
        <v>27097</v>
      </c>
      <c r="BC2800" s="3" t="s">
        <v>102</v>
      </c>
      <c r="BD2800" s="3" t="s">
        <v>68</v>
      </c>
      <c r="BE2800" s="3" t="s">
        <v>27098</v>
      </c>
      <c r="BF2800" s="3" t="s">
        <v>27097</v>
      </c>
      <c r="BG2800" s="3" t="s">
        <v>27099</v>
      </c>
    </row>
    <row r="2801" spans="1:59" ht="58" x14ac:dyDescent="0.35">
      <c r="A2801" s="2" t="s">
        <v>89</v>
      </c>
      <c r="B2801" s="2" t="s">
        <v>90</v>
      </c>
      <c r="C2801" s="2" t="s">
        <v>27100</v>
      </c>
      <c r="D2801" s="2" t="s">
        <v>27101</v>
      </c>
      <c r="E2801" s="2" t="s">
        <v>27102</v>
      </c>
      <c r="G2801" s="3" t="s">
        <v>62</v>
      </c>
      <c r="I2801" s="3" t="s">
        <v>61</v>
      </c>
      <c r="J2801" s="3" t="s">
        <v>61</v>
      </c>
      <c r="K2801" s="3" t="s">
        <v>63</v>
      </c>
      <c r="L2801" s="2" t="s">
        <v>27103</v>
      </c>
      <c r="M2801" s="2" t="s">
        <v>27104</v>
      </c>
      <c r="N2801" s="3" t="s">
        <v>1038</v>
      </c>
      <c r="O2801" s="2" t="s">
        <v>8443</v>
      </c>
      <c r="P2801" s="3" t="s">
        <v>64</v>
      </c>
      <c r="Q2801" s="2" t="s">
        <v>27105</v>
      </c>
      <c r="R2801" s="3" t="s">
        <v>25645</v>
      </c>
      <c r="S2801" s="4">
        <v>16</v>
      </c>
      <c r="T2801" s="4">
        <v>27</v>
      </c>
      <c r="U2801" s="5" t="s">
        <v>27106</v>
      </c>
      <c r="V2801" s="5" t="s">
        <v>27106</v>
      </c>
      <c r="W2801" s="5" t="s">
        <v>67</v>
      </c>
      <c r="X2801" s="5" t="s">
        <v>67</v>
      </c>
      <c r="Y2801" s="4">
        <v>291</v>
      </c>
      <c r="Z2801" s="4">
        <v>9</v>
      </c>
      <c r="AA2801" s="4">
        <v>39</v>
      </c>
      <c r="AB2801" s="4">
        <v>1</v>
      </c>
      <c r="AC2801" s="4">
        <v>6</v>
      </c>
      <c r="AD2801" s="4">
        <v>51</v>
      </c>
      <c r="AE2801" s="4">
        <v>115</v>
      </c>
      <c r="AF2801" s="4">
        <v>0</v>
      </c>
      <c r="AG2801" s="4">
        <v>3</v>
      </c>
      <c r="AH2801" s="4">
        <v>46</v>
      </c>
      <c r="AI2801" s="4">
        <v>95</v>
      </c>
      <c r="AJ2801" s="4">
        <v>4</v>
      </c>
      <c r="AK2801" s="4">
        <v>14</v>
      </c>
      <c r="AL2801" s="4">
        <v>27</v>
      </c>
      <c r="AM2801" s="4">
        <v>55</v>
      </c>
      <c r="AN2801" s="4">
        <v>0</v>
      </c>
      <c r="AO2801" s="4">
        <v>0</v>
      </c>
      <c r="AP2801" s="4">
        <v>6</v>
      </c>
      <c r="AQ2801" s="4">
        <v>25</v>
      </c>
      <c r="AR2801" s="3" t="s">
        <v>62</v>
      </c>
      <c r="AS2801" s="3" t="s">
        <v>62</v>
      </c>
      <c r="AT2801" s="3" t="s">
        <v>62</v>
      </c>
      <c r="AV2801" s="6" t="str">
        <f>HYPERLINK("http://mcgill.on.worldcat.org/oclc/919479393","Catalog Record")</f>
        <v>Catalog Record</v>
      </c>
      <c r="AW2801" s="6" t="str">
        <f>HYPERLINK("http://www.worldcat.org/oclc/919479393","WorldCat Record")</f>
        <v>WorldCat Record</v>
      </c>
      <c r="AX2801" s="3" t="s">
        <v>27107</v>
      </c>
      <c r="AY2801" s="3" t="s">
        <v>27108</v>
      </c>
      <c r="AZ2801" s="3" t="s">
        <v>27109</v>
      </c>
      <c r="BA2801" s="3" t="s">
        <v>27109</v>
      </c>
      <c r="BB2801" s="3" t="s">
        <v>27110</v>
      </c>
      <c r="BC2801" s="3" t="s">
        <v>102</v>
      </c>
      <c r="BD2801" s="3" t="s">
        <v>68</v>
      </c>
      <c r="BE2801" s="3" t="s">
        <v>27111</v>
      </c>
      <c r="BF2801" s="3" t="s">
        <v>27110</v>
      </c>
      <c r="BG2801" s="3" t="s">
        <v>27112</v>
      </c>
    </row>
    <row r="2802" spans="1:59" ht="58" x14ac:dyDescent="0.35">
      <c r="A2802" s="2" t="s">
        <v>89</v>
      </c>
      <c r="B2802" s="2" t="s">
        <v>90</v>
      </c>
      <c r="C2802" s="2" t="s">
        <v>27100</v>
      </c>
      <c r="D2802" s="2" t="s">
        <v>27101</v>
      </c>
      <c r="E2802" s="2" t="s">
        <v>27102</v>
      </c>
      <c r="G2802" s="3" t="s">
        <v>62</v>
      </c>
      <c r="I2802" s="3" t="s">
        <v>61</v>
      </c>
      <c r="J2802" s="3" t="s">
        <v>61</v>
      </c>
      <c r="K2802" s="3" t="s">
        <v>63</v>
      </c>
      <c r="L2802" s="2" t="s">
        <v>27103</v>
      </c>
      <c r="M2802" s="2" t="s">
        <v>27104</v>
      </c>
      <c r="N2802" s="3" t="s">
        <v>1038</v>
      </c>
      <c r="O2802" s="2" t="s">
        <v>8443</v>
      </c>
      <c r="P2802" s="3" t="s">
        <v>64</v>
      </c>
      <c r="Q2802" s="2" t="s">
        <v>27105</v>
      </c>
      <c r="R2802" s="3" t="s">
        <v>25645</v>
      </c>
      <c r="S2802" s="4">
        <v>11</v>
      </c>
      <c r="T2802" s="4">
        <v>27</v>
      </c>
      <c r="U2802" s="5" t="s">
        <v>20689</v>
      </c>
      <c r="V2802" s="5" t="s">
        <v>27106</v>
      </c>
      <c r="W2802" s="5" t="s">
        <v>67</v>
      </c>
      <c r="X2802" s="5" t="s">
        <v>67</v>
      </c>
      <c r="Y2802" s="4">
        <v>291</v>
      </c>
      <c r="Z2802" s="4">
        <v>9</v>
      </c>
      <c r="AA2802" s="4">
        <v>39</v>
      </c>
      <c r="AB2802" s="4">
        <v>1</v>
      </c>
      <c r="AC2802" s="4">
        <v>6</v>
      </c>
      <c r="AD2802" s="4">
        <v>51</v>
      </c>
      <c r="AE2802" s="4">
        <v>115</v>
      </c>
      <c r="AF2802" s="4">
        <v>0</v>
      </c>
      <c r="AG2802" s="4">
        <v>3</v>
      </c>
      <c r="AH2802" s="4">
        <v>46</v>
      </c>
      <c r="AI2802" s="4">
        <v>95</v>
      </c>
      <c r="AJ2802" s="4">
        <v>4</v>
      </c>
      <c r="AK2802" s="4">
        <v>14</v>
      </c>
      <c r="AL2802" s="4">
        <v>27</v>
      </c>
      <c r="AM2802" s="4">
        <v>55</v>
      </c>
      <c r="AN2802" s="4">
        <v>0</v>
      </c>
      <c r="AO2802" s="4">
        <v>0</v>
      </c>
      <c r="AP2802" s="4">
        <v>6</v>
      </c>
      <c r="AQ2802" s="4">
        <v>25</v>
      </c>
      <c r="AR2802" s="3" t="s">
        <v>62</v>
      </c>
      <c r="AS2802" s="3" t="s">
        <v>62</v>
      </c>
      <c r="AT2802" s="3" t="s">
        <v>62</v>
      </c>
      <c r="AV2802" s="6" t="str">
        <f>HYPERLINK("http://mcgill.on.worldcat.org/oclc/919479393","Catalog Record")</f>
        <v>Catalog Record</v>
      </c>
      <c r="AW2802" s="6" t="str">
        <f>HYPERLINK("http://www.worldcat.org/oclc/919479393","WorldCat Record")</f>
        <v>WorldCat Record</v>
      </c>
      <c r="AX2802" s="3" t="s">
        <v>27107</v>
      </c>
      <c r="AY2802" s="3" t="s">
        <v>27108</v>
      </c>
      <c r="AZ2802" s="3" t="s">
        <v>27109</v>
      </c>
      <c r="BA2802" s="3" t="s">
        <v>27109</v>
      </c>
      <c r="BB2802" s="3" t="s">
        <v>27113</v>
      </c>
      <c r="BC2802" s="3" t="s">
        <v>102</v>
      </c>
      <c r="BD2802" s="3" t="s">
        <v>1790</v>
      </c>
      <c r="BE2802" s="3" t="s">
        <v>27111</v>
      </c>
      <c r="BF2802" s="3" t="s">
        <v>27113</v>
      </c>
      <c r="BG2802" s="3" t="s">
        <v>27114</v>
      </c>
    </row>
    <row r="2803" spans="1:59" ht="58" x14ac:dyDescent="0.35">
      <c r="A2803" s="2" t="s">
        <v>89</v>
      </c>
      <c r="B2803" s="2" t="s">
        <v>90</v>
      </c>
      <c r="C2803" s="2" t="s">
        <v>27115</v>
      </c>
      <c r="D2803" s="2" t="s">
        <v>27116</v>
      </c>
      <c r="E2803" s="2" t="s">
        <v>27117</v>
      </c>
      <c r="G2803" s="3" t="s">
        <v>62</v>
      </c>
      <c r="I2803" s="3" t="s">
        <v>61</v>
      </c>
      <c r="J2803" s="3" t="s">
        <v>61</v>
      </c>
      <c r="K2803" s="3" t="s">
        <v>63</v>
      </c>
      <c r="L2803" s="2" t="s">
        <v>6321</v>
      </c>
      <c r="M2803" s="2" t="s">
        <v>27118</v>
      </c>
      <c r="N2803" s="3" t="s">
        <v>13195</v>
      </c>
      <c r="P2803" s="3" t="s">
        <v>64</v>
      </c>
      <c r="R2803" s="3" t="s">
        <v>25645</v>
      </c>
      <c r="S2803" s="4">
        <v>0</v>
      </c>
      <c r="T2803" s="4">
        <v>1</v>
      </c>
      <c r="V2803" s="5" t="s">
        <v>27119</v>
      </c>
      <c r="W2803" s="5" t="s">
        <v>67</v>
      </c>
      <c r="X2803" s="5" t="s">
        <v>67</v>
      </c>
      <c r="Y2803" s="4">
        <v>415</v>
      </c>
      <c r="Z2803" s="4">
        <v>17</v>
      </c>
      <c r="AA2803" s="4">
        <v>45</v>
      </c>
      <c r="AB2803" s="4">
        <v>1</v>
      </c>
      <c r="AC2803" s="4">
        <v>5</v>
      </c>
      <c r="AD2803" s="4">
        <v>88</v>
      </c>
      <c r="AE2803" s="4">
        <v>136</v>
      </c>
      <c r="AF2803" s="4">
        <v>0</v>
      </c>
      <c r="AG2803" s="4">
        <v>3</v>
      </c>
      <c r="AH2803" s="4">
        <v>76</v>
      </c>
      <c r="AI2803" s="4">
        <v>110</v>
      </c>
      <c r="AJ2803" s="4">
        <v>8</v>
      </c>
      <c r="AK2803" s="4">
        <v>21</v>
      </c>
      <c r="AL2803" s="4">
        <v>50</v>
      </c>
      <c r="AM2803" s="4">
        <v>61</v>
      </c>
      <c r="AN2803" s="4">
        <v>0</v>
      </c>
      <c r="AO2803" s="4">
        <v>0</v>
      </c>
      <c r="AP2803" s="4">
        <v>11</v>
      </c>
      <c r="AQ2803" s="4">
        <v>28</v>
      </c>
      <c r="AR2803" s="3" t="s">
        <v>62</v>
      </c>
      <c r="AS2803" s="3" t="s">
        <v>62</v>
      </c>
      <c r="AT2803" s="3" t="s">
        <v>62</v>
      </c>
      <c r="AU2803" s="6" t="str">
        <f>HYPERLINK("http://catalog.hathitrust.org/Record/001476696","HathiTrust Record")</f>
        <v>HathiTrust Record</v>
      </c>
      <c r="AV2803" s="6" t="str">
        <f>HYPERLINK("http://mcgill.on.worldcat.org/oclc/1319942","Catalog Record")</f>
        <v>Catalog Record</v>
      </c>
      <c r="AW2803" s="6" t="str">
        <f>HYPERLINK("http://www.worldcat.org/oclc/1319942","WorldCat Record")</f>
        <v>WorldCat Record</v>
      </c>
      <c r="AX2803" s="3" t="s">
        <v>27120</v>
      </c>
      <c r="AY2803" s="3" t="s">
        <v>27121</v>
      </c>
      <c r="AZ2803" s="3" t="s">
        <v>27122</v>
      </c>
      <c r="BA2803" s="3" t="s">
        <v>27122</v>
      </c>
      <c r="BB2803" s="3" t="s">
        <v>27123</v>
      </c>
      <c r="BC2803" s="3" t="s">
        <v>102</v>
      </c>
      <c r="BD2803" s="3" t="s">
        <v>68</v>
      </c>
      <c r="BF2803" s="3" t="s">
        <v>27123</v>
      </c>
      <c r="BG2803" s="3" t="s">
        <v>27124</v>
      </c>
    </row>
    <row r="2804" spans="1:59" ht="58" x14ac:dyDescent="0.35">
      <c r="A2804" s="2" t="s">
        <v>89</v>
      </c>
      <c r="B2804" s="2" t="s">
        <v>90</v>
      </c>
      <c r="C2804" s="2" t="s">
        <v>27115</v>
      </c>
      <c r="D2804" s="2" t="s">
        <v>27116</v>
      </c>
      <c r="E2804" s="2" t="s">
        <v>27117</v>
      </c>
      <c r="G2804" s="3" t="s">
        <v>62</v>
      </c>
      <c r="I2804" s="3" t="s">
        <v>61</v>
      </c>
      <c r="J2804" s="3" t="s">
        <v>61</v>
      </c>
      <c r="K2804" s="3" t="s">
        <v>63</v>
      </c>
      <c r="L2804" s="2" t="s">
        <v>6321</v>
      </c>
      <c r="M2804" s="2" t="s">
        <v>27118</v>
      </c>
      <c r="N2804" s="3" t="s">
        <v>13195</v>
      </c>
      <c r="P2804" s="3" t="s">
        <v>64</v>
      </c>
      <c r="R2804" s="3" t="s">
        <v>25645</v>
      </c>
      <c r="S2804" s="4">
        <v>1</v>
      </c>
      <c r="T2804" s="4">
        <v>1</v>
      </c>
      <c r="U2804" s="5" t="s">
        <v>27119</v>
      </c>
      <c r="V2804" s="5" t="s">
        <v>27119</v>
      </c>
      <c r="W2804" s="5" t="s">
        <v>67</v>
      </c>
      <c r="X2804" s="5" t="s">
        <v>67</v>
      </c>
      <c r="Y2804" s="4">
        <v>415</v>
      </c>
      <c r="Z2804" s="4">
        <v>17</v>
      </c>
      <c r="AA2804" s="4">
        <v>45</v>
      </c>
      <c r="AB2804" s="4">
        <v>1</v>
      </c>
      <c r="AC2804" s="4">
        <v>5</v>
      </c>
      <c r="AD2804" s="4">
        <v>88</v>
      </c>
      <c r="AE2804" s="4">
        <v>136</v>
      </c>
      <c r="AF2804" s="4">
        <v>0</v>
      </c>
      <c r="AG2804" s="4">
        <v>3</v>
      </c>
      <c r="AH2804" s="4">
        <v>76</v>
      </c>
      <c r="AI2804" s="4">
        <v>110</v>
      </c>
      <c r="AJ2804" s="4">
        <v>8</v>
      </c>
      <c r="AK2804" s="4">
        <v>21</v>
      </c>
      <c r="AL2804" s="4">
        <v>50</v>
      </c>
      <c r="AM2804" s="4">
        <v>61</v>
      </c>
      <c r="AN2804" s="4">
        <v>0</v>
      </c>
      <c r="AO2804" s="4">
        <v>0</v>
      </c>
      <c r="AP2804" s="4">
        <v>11</v>
      </c>
      <c r="AQ2804" s="4">
        <v>28</v>
      </c>
      <c r="AR2804" s="3" t="s">
        <v>62</v>
      </c>
      <c r="AS2804" s="3" t="s">
        <v>62</v>
      </c>
      <c r="AT2804" s="3" t="s">
        <v>62</v>
      </c>
      <c r="AU2804" s="6" t="str">
        <f>HYPERLINK("http://catalog.hathitrust.org/Record/001476696","HathiTrust Record")</f>
        <v>HathiTrust Record</v>
      </c>
      <c r="AV2804" s="6" t="str">
        <f>HYPERLINK("http://mcgill.on.worldcat.org/oclc/1319942","Catalog Record")</f>
        <v>Catalog Record</v>
      </c>
      <c r="AW2804" s="6" t="str">
        <f>HYPERLINK("http://www.worldcat.org/oclc/1319942","WorldCat Record")</f>
        <v>WorldCat Record</v>
      </c>
      <c r="AX2804" s="3" t="s">
        <v>27120</v>
      </c>
      <c r="AY2804" s="3" t="s">
        <v>27121</v>
      </c>
      <c r="AZ2804" s="3" t="s">
        <v>27122</v>
      </c>
      <c r="BA2804" s="3" t="s">
        <v>27122</v>
      </c>
      <c r="BB2804" s="3" t="s">
        <v>27125</v>
      </c>
      <c r="BC2804" s="3" t="s">
        <v>102</v>
      </c>
      <c r="BD2804" s="3" t="s">
        <v>68</v>
      </c>
      <c r="BF2804" s="3" t="s">
        <v>27125</v>
      </c>
      <c r="BG2804" s="3" t="s">
        <v>27126</v>
      </c>
    </row>
    <row r="2805" spans="1:59" ht="58" x14ac:dyDescent="0.35">
      <c r="A2805" s="2" t="s">
        <v>89</v>
      </c>
      <c r="B2805" s="2" t="s">
        <v>90</v>
      </c>
      <c r="C2805" s="2" t="s">
        <v>27127</v>
      </c>
      <c r="D2805" s="2" t="s">
        <v>27128</v>
      </c>
      <c r="E2805" s="2" t="s">
        <v>27129</v>
      </c>
      <c r="G2805" s="3" t="s">
        <v>62</v>
      </c>
      <c r="I2805" s="3" t="s">
        <v>62</v>
      </c>
      <c r="J2805" s="3" t="s">
        <v>62</v>
      </c>
      <c r="K2805" s="3" t="s">
        <v>63</v>
      </c>
      <c r="M2805" s="2" t="s">
        <v>27130</v>
      </c>
      <c r="N2805" s="3" t="s">
        <v>1038</v>
      </c>
      <c r="P2805" s="3" t="s">
        <v>64</v>
      </c>
      <c r="R2805" s="3" t="s">
        <v>25645</v>
      </c>
      <c r="S2805" s="4">
        <v>2</v>
      </c>
      <c r="T2805" s="4">
        <v>2</v>
      </c>
      <c r="U2805" s="5" t="s">
        <v>8131</v>
      </c>
      <c r="V2805" s="5" t="s">
        <v>8131</v>
      </c>
      <c r="W2805" s="5" t="s">
        <v>67</v>
      </c>
      <c r="X2805" s="5" t="s">
        <v>67</v>
      </c>
      <c r="Y2805" s="4">
        <v>59</v>
      </c>
      <c r="Z2805" s="4">
        <v>4</v>
      </c>
      <c r="AA2805" s="4">
        <v>4</v>
      </c>
      <c r="AB2805" s="4">
        <v>1</v>
      </c>
      <c r="AC2805" s="4">
        <v>1</v>
      </c>
      <c r="AD2805" s="4">
        <v>19</v>
      </c>
      <c r="AE2805" s="4">
        <v>19</v>
      </c>
      <c r="AF2805" s="4">
        <v>0</v>
      </c>
      <c r="AG2805" s="4">
        <v>0</v>
      </c>
      <c r="AH2805" s="4">
        <v>16</v>
      </c>
      <c r="AI2805" s="4">
        <v>16</v>
      </c>
      <c r="AJ2805" s="4">
        <v>2</v>
      </c>
      <c r="AK2805" s="4">
        <v>2</v>
      </c>
      <c r="AL2805" s="4">
        <v>10</v>
      </c>
      <c r="AM2805" s="4">
        <v>10</v>
      </c>
      <c r="AN2805" s="4">
        <v>0</v>
      </c>
      <c r="AO2805" s="4">
        <v>0</v>
      </c>
      <c r="AP2805" s="4">
        <v>3</v>
      </c>
      <c r="AQ2805" s="4">
        <v>3</v>
      </c>
      <c r="AR2805" s="3" t="s">
        <v>62</v>
      </c>
      <c r="AS2805" s="3" t="s">
        <v>62</v>
      </c>
      <c r="AT2805" s="3" t="s">
        <v>62</v>
      </c>
      <c r="AV2805" s="6" t="str">
        <f>HYPERLINK("http://mcgill.on.worldcat.org/oclc/913573091","Catalog Record")</f>
        <v>Catalog Record</v>
      </c>
      <c r="AW2805" s="6" t="str">
        <f>HYPERLINK("http://www.worldcat.org/oclc/913573091","WorldCat Record")</f>
        <v>WorldCat Record</v>
      </c>
      <c r="AX2805" s="3" t="s">
        <v>27131</v>
      </c>
      <c r="AY2805" s="3" t="s">
        <v>27132</v>
      </c>
      <c r="AZ2805" s="3" t="s">
        <v>27133</v>
      </c>
      <c r="BA2805" s="3" t="s">
        <v>27133</v>
      </c>
      <c r="BB2805" s="3" t="s">
        <v>27134</v>
      </c>
      <c r="BC2805" s="3" t="s">
        <v>102</v>
      </c>
      <c r="BD2805" s="3" t="s">
        <v>68</v>
      </c>
      <c r="BE2805" s="3" t="s">
        <v>27135</v>
      </c>
      <c r="BF2805" s="3" t="s">
        <v>27134</v>
      </c>
      <c r="BG2805" s="3" t="s">
        <v>27136</v>
      </c>
    </row>
    <row r="2806" spans="1:59" ht="58" x14ac:dyDescent="0.35">
      <c r="A2806" s="2" t="s">
        <v>89</v>
      </c>
      <c r="B2806" s="2" t="s">
        <v>90</v>
      </c>
      <c r="C2806" s="2" t="s">
        <v>27137</v>
      </c>
      <c r="D2806" s="2" t="s">
        <v>27138</v>
      </c>
      <c r="E2806" s="2" t="s">
        <v>27139</v>
      </c>
      <c r="G2806" s="3" t="s">
        <v>62</v>
      </c>
      <c r="I2806" s="3" t="s">
        <v>62</v>
      </c>
      <c r="J2806" s="3" t="s">
        <v>61</v>
      </c>
      <c r="K2806" s="3" t="s">
        <v>7988</v>
      </c>
      <c r="L2806" s="2" t="s">
        <v>27140</v>
      </c>
      <c r="M2806" s="2" t="s">
        <v>27141</v>
      </c>
      <c r="N2806" s="3" t="s">
        <v>6291</v>
      </c>
      <c r="O2806" s="2" t="s">
        <v>27142</v>
      </c>
      <c r="P2806" s="3" t="s">
        <v>64</v>
      </c>
      <c r="R2806" s="3" t="s">
        <v>25645</v>
      </c>
      <c r="S2806" s="4">
        <v>1</v>
      </c>
      <c r="T2806" s="4">
        <v>1</v>
      </c>
      <c r="U2806" s="5" t="s">
        <v>8561</v>
      </c>
      <c r="V2806" s="5" t="s">
        <v>8561</v>
      </c>
      <c r="W2806" s="5" t="s">
        <v>67</v>
      </c>
      <c r="X2806" s="5" t="s">
        <v>67</v>
      </c>
      <c r="Y2806" s="4">
        <v>172</v>
      </c>
      <c r="Z2806" s="4">
        <v>13</v>
      </c>
      <c r="AA2806" s="4">
        <v>43</v>
      </c>
      <c r="AB2806" s="4">
        <v>1</v>
      </c>
      <c r="AC2806" s="4">
        <v>5</v>
      </c>
      <c r="AD2806" s="4">
        <v>68</v>
      </c>
      <c r="AE2806" s="4">
        <v>120</v>
      </c>
      <c r="AF2806" s="4">
        <v>0</v>
      </c>
      <c r="AG2806" s="4">
        <v>2</v>
      </c>
      <c r="AH2806" s="4">
        <v>62</v>
      </c>
      <c r="AI2806" s="4">
        <v>101</v>
      </c>
      <c r="AJ2806" s="4">
        <v>10</v>
      </c>
      <c r="AK2806" s="4">
        <v>19</v>
      </c>
      <c r="AL2806" s="4">
        <v>35</v>
      </c>
      <c r="AM2806" s="4">
        <v>56</v>
      </c>
      <c r="AN2806" s="4">
        <v>0</v>
      </c>
      <c r="AO2806" s="4">
        <v>4</v>
      </c>
      <c r="AP2806" s="4">
        <v>11</v>
      </c>
      <c r="AQ2806" s="4">
        <v>26</v>
      </c>
      <c r="AR2806" s="3" t="s">
        <v>62</v>
      </c>
      <c r="AS2806" s="3" t="s">
        <v>61</v>
      </c>
      <c r="AT2806" s="3" t="s">
        <v>62</v>
      </c>
      <c r="AU2806" s="6" t="str">
        <f>HYPERLINK("http://catalog.hathitrust.org/Record/001476804","HathiTrust Record")</f>
        <v>HathiTrust Record</v>
      </c>
      <c r="AV2806" s="6" t="str">
        <f>HYPERLINK("http://mcgill.on.worldcat.org/oclc/1652395","Catalog Record")</f>
        <v>Catalog Record</v>
      </c>
      <c r="AW2806" s="6" t="str">
        <f>HYPERLINK("http://www.worldcat.org/oclc/1652395","WorldCat Record")</f>
        <v>WorldCat Record</v>
      </c>
      <c r="AX2806" s="3" t="s">
        <v>27143</v>
      </c>
      <c r="AY2806" s="3" t="s">
        <v>27144</v>
      </c>
      <c r="AZ2806" s="3" t="s">
        <v>27145</v>
      </c>
      <c r="BA2806" s="3" t="s">
        <v>27145</v>
      </c>
      <c r="BB2806" s="3" t="s">
        <v>27146</v>
      </c>
      <c r="BC2806" s="3" t="s">
        <v>102</v>
      </c>
      <c r="BD2806" s="3" t="s">
        <v>1135</v>
      </c>
      <c r="BF2806" s="3" t="s">
        <v>27146</v>
      </c>
      <c r="BG2806" s="3" t="s">
        <v>27147</v>
      </c>
    </row>
    <row r="2807" spans="1:59" ht="58" x14ac:dyDescent="0.35">
      <c r="A2807" s="2" t="s">
        <v>89</v>
      </c>
      <c r="B2807" s="2" t="s">
        <v>18023</v>
      </c>
      <c r="C2807" s="2" t="s">
        <v>27148</v>
      </c>
      <c r="D2807" s="2" t="s">
        <v>27149</v>
      </c>
      <c r="E2807" s="2" t="s">
        <v>27150</v>
      </c>
      <c r="G2807" s="3" t="s">
        <v>62</v>
      </c>
      <c r="I2807" s="3" t="s">
        <v>62</v>
      </c>
      <c r="J2807" s="3" t="s">
        <v>62</v>
      </c>
      <c r="K2807" s="3" t="s">
        <v>63</v>
      </c>
      <c r="L2807" s="2" t="s">
        <v>27151</v>
      </c>
      <c r="M2807" s="2" t="s">
        <v>27152</v>
      </c>
      <c r="N2807" s="3" t="s">
        <v>625</v>
      </c>
      <c r="P2807" s="3" t="s">
        <v>64</v>
      </c>
      <c r="R2807" s="3" t="s">
        <v>25645</v>
      </c>
      <c r="S2807" s="4">
        <v>18</v>
      </c>
      <c r="T2807" s="4">
        <v>18</v>
      </c>
      <c r="U2807" s="5" t="s">
        <v>14432</v>
      </c>
      <c r="V2807" s="5" t="s">
        <v>14432</v>
      </c>
      <c r="W2807" s="5" t="s">
        <v>67</v>
      </c>
      <c r="X2807" s="5" t="s">
        <v>67</v>
      </c>
      <c r="Y2807" s="4">
        <v>1166</v>
      </c>
      <c r="Z2807" s="4">
        <v>41</v>
      </c>
      <c r="AA2807" s="4">
        <v>44</v>
      </c>
      <c r="AB2807" s="4">
        <v>3</v>
      </c>
      <c r="AC2807" s="4">
        <v>5</v>
      </c>
      <c r="AD2807" s="4">
        <v>84</v>
      </c>
      <c r="AE2807" s="4">
        <v>85</v>
      </c>
      <c r="AF2807" s="4">
        <v>0</v>
      </c>
      <c r="AG2807" s="4">
        <v>0</v>
      </c>
      <c r="AH2807" s="4">
        <v>75</v>
      </c>
      <c r="AI2807" s="4">
        <v>75</v>
      </c>
      <c r="AJ2807" s="4">
        <v>11</v>
      </c>
      <c r="AK2807" s="4">
        <v>11</v>
      </c>
      <c r="AL2807" s="4">
        <v>36</v>
      </c>
      <c r="AM2807" s="4">
        <v>36</v>
      </c>
      <c r="AN2807" s="4">
        <v>0</v>
      </c>
      <c r="AO2807" s="4">
        <v>0</v>
      </c>
      <c r="AP2807" s="4">
        <v>15</v>
      </c>
      <c r="AQ2807" s="4">
        <v>16</v>
      </c>
      <c r="AR2807" s="3" t="s">
        <v>62</v>
      </c>
      <c r="AS2807" s="3" t="s">
        <v>62</v>
      </c>
      <c r="AT2807" s="3" t="s">
        <v>62</v>
      </c>
      <c r="AV2807" s="6" t="str">
        <f>HYPERLINK("http://mcgill.on.worldcat.org/oclc/52129583","Catalog Record")</f>
        <v>Catalog Record</v>
      </c>
      <c r="AW2807" s="6" t="str">
        <f>HYPERLINK("http://www.worldcat.org/oclc/52129583","WorldCat Record")</f>
        <v>WorldCat Record</v>
      </c>
      <c r="AX2807" s="3" t="s">
        <v>27153</v>
      </c>
      <c r="AY2807" s="3" t="s">
        <v>27154</v>
      </c>
      <c r="AZ2807" s="3" t="s">
        <v>27155</v>
      </c>
      <c r="BA2807" s="3" t="s">
        <v>27155</v>
      </c>
      <c r="BB2807" s="3" t="s">
        <v>27156</v>
      </c>
      <c r="BC2807" s="3" t="s">
        <v>102</v>
      </c>
      <c r="BD2807" s="3" t="s">
        <v>68</v>
      </c>
      <c r="BE2807" s="3" t="s">
        <v>27157</v>
      </c>
      <c r="BF2807" s="3" t="s">
        <v>27156</v>
      </c>
      <c r="BG2807" s="3" t="s">
        <v>27158</v>
      </c>
    </row>
    <row r="2808" spans="1:59" ht="58" x14ac:dyDescent="0.35">
      <c r="A2808" s="2" t="s">
        <v>89</v>
      </c>
      <c r="B2808" s="2" t="s">
        <v>90</v>
      </c>
      <c r="C2808" s="2" t="s">
        <v>27159</v>
      </c>
      <c r="D2808" s="2" t="s">
        <v>27160</v>
      </c>
      <c r="E2808" s="2" t="s">
        <v>27161</v>
      </c>
      <c r="G2808" s="3" t="s">
        <v>62</v>
      </c>
      <c r="I2808" s="3" t="s">
        <v>62</v>
      </c>
      <c r="J2808" s="3" t="s">
        <v>62</v>
      </c>
      <c r="K2808" s="3" t="s">
        <v>63</v>
      </c>
      <c r="L2808" s="2" t="s">
        <v>27162</v>
      </c>
      <c r="M2808" s="2" t="s">
        <v>27163</v>
      </c>
      <c r="N2808" s="3" t="s">
        <v>157</v>
      </c>
      <c r="P2808" s="3" t="s">
        <v>64</v>
      </c>
      <c r="R2808" s="3" t="s">
        <v>25645</v>
      </c>
      <c r="S2808" s="4">
        <v>5</v>
      </c>
      <c r="T2808" s="4">
        <v>5</v>
      </c>
      <c r="U2808" s="5" t="s">
        <v>27164</v>
      </c>
      <c r="V2808" s="5" t="s">
        <v>27164</v>
      </c>
      <c r="W2808" s="5" t="s">
        <v>67</v>
      </c>
      <c r="X2808" s="5" t="s">
        <v>67</v>
      </c>
      <c r="Y2808" s="4">
        <v>369</v>
      </c>
      <c r="Z2808" s="4">
        <v>22</v>
      </c>
      <c r="AA2808" s="4">
        <v>31</v>
      </c>
      <c r="AB2808" s="4">
        <v>2</v>
      </c>
      <c r="AC2808" s="4">
        <v>5</v>
      </c>
      <c r="AD2808" s="4">
        <v>104</v>
      </c>
      <c r="AE2808" s="4">
        <v>114</v>
      </c>
      <c r="AF2808" s="4">
        <v>1</v>
      </c>
      <c r="AG2808" s="4">
        <v>4</v>
      </c>
      <c r="AH2808" s="4">
        <v>91</v>
      </c>
      <c r="AI2808" s="4">
        <v>96</v>
      </c>
      <c r="AJ2808" s="4">
        <v>16</v>
      </c>
      <c r="AK2808" s="4">
        <v>23</v>
      </c>
      <c r="AL2808" s="4">
        <v>51</v>
      </c>
      <c r="AM2808" s="4">
        <v>51</v>
      </c>
      <c r="AN2808" s="4">
        <v>0</v>
      </c>
      <c r="AO2808" s="4">
        <v>0</v>
      </c>
      <c r="AP2808" s="4">
        <v>18</v>
      </c>
      <c r="AQ2808" s="4">
        <v>26</v>
      </c>
      <c r="AR2808" s="3" t="s">
        <v>62</v>
      </c>
      <c r="AS2808" s="3" t="s">
        <v>62</v>
      </c>
      <c r="AT2808" s="3" t="s">
        <v>61</v>
      </c>
      <c r="AU2808" s="6" t="str">
        <f>HYPERLINK("http://catalog.hathitrust.org/Record/001476895","HathiTrust Record")</f>
        <v>HathiTrust Record</v>
      </c>
      <c r="AV2808" s="6" t="str">
        <f>HYPERLINK("http://mcgill.on.worldcat.org/oclc/1195179","Catalog Record")</f>
        <v>Catalog Record</v>
      </c>
      <c r="AW2808" s="6" t="str">
        <f>HYPERLINK("http://www.worldcat.org/oclc/1195179","WorldCat Record")</f>
        <v>WorldCat Record</v>
      </c>
      <c r="AX2808" s="3" t="s">
        <v>27165</v>
      </c>
      <c r="AY2808" s="3" t="s">
        <v>27166</v>
      </c>
      <c r="AZ2808" s="3" t="s">
        <v>27167</v>
      </c>
      <c r="BA2808" s="3" t="s">
        <v>27167</v>
      </c>
      <c r="BB2808" s="3" t="s">
        <v>27168</v>
      </c>
      <c r="BC2808" s="3" t="s">
        <v>102</v>
      </c>
      <c r="BD2808" s="3" t="s">
        <v>68</v>
      </c>
      <c r="BE2808" s="3" t="s">
        <v>27169</v>
      </c>
      <c r="BF2808" s="3" t="s">
        <v>27168</v>
      </c>
      <c r="BG2808" s="3" t="s">
        <v>27170</v>
      </c>
    </row>
    <row r="2809" spans="1:59" ht="58" x14ac:dyDescent="0.35">
      <c r="A2809" s="2" t="s">
        <v>89</v>
      </c>
      <c r="B2809" s="2" t="s">
        <v>90</v>
      </c>
      <c r="C2809" s="2" t="s">
        <v>27171</v>
      </c>
      <c r="D2809" s="2" t="s">
        <v>27172</v>
      </c>
      <c r="E2809" s="2" t="s">
        <v>27173</v>
      </c>
      <c r="G2809" s="3" t="s">
        <v>62</v>
      </c>
      <c r="I2809" s="3" t="s">
        <v>62</v>
      </c>
      <c r="J2809" s="3" t="s">
        <v>61</v>
      </c>
      <c r="K2809" s="3" t="s">
        <v>63</v>
      </c>
      <c r="M2809" s="2" t="s">
        <v>27174</v>
      </c>
      <c r="N2809" s="3" t="s">
        <v>1482</v>
      </c>
      <c r="O2809" s="2" t="s">
        <v>6158</v>
      </c>
      <c r="P2809" s="3" t="s">
        <v>64</v>
      </c>
      <c r="Q2809" s="2" t="s">
        <v>27175</v>
      </c>
      <c r="R2809" s="3" t="s">
        <v>25645</v>
      </c>
      <c r="S2809" s="4">
        <v>14</v>
      </c>
      <c r="T2809" s="4">
        <v>14</v>
      </c>
      <c r="U2809" s="5" t="s">
        <v>11100</v>
      </c>
      <c r="V2809" s="5" t="s">
        <v>11100</v>
      </c>
      <c r="W2809" s="5" t="s">
        <v>67</v>
      </c>
      <c r="X2809" s="5" t="s">
        <v>67</v>
      </c>
      <c r="Y2809" s="4">
        <v>67</v>
      </c>
      <c r="Z2809" s="4">
        <v>4</v>
      </c>
      <c r="AA2809" s="4">
        <v>4</v>
      </c>
      <c r="AB2809" s="4">
        <v>2</v>
      </c>
      <c r="AC2809" s="4">
        <v>2</v>
      </c>
      <c r="AD2809" s="4">
        <v>30</v>
      </c>
      <c r="AE2809" s="4">
        <v>37</v>
      </c>
      <c r="AF2809" s="4">
        <v>1</v>
      </c>
      <c r="AG2809" s="4">
        <v>1</v>
      </c>
      <c r="AH2809" s="4">
        <v>28</v>
      </c>
      <c r="AI2809" s="4">
        <v>35</v>
      </c>
      <c r="AJ2809" s="4">
        <v>3</v>
      </c>
      <c r="AK2809" s="4">
        <v>3</v>
      </c>
      <c r="AL2809" s="4">
        <v>16</v>
      </c>
      <c r="AM2809" s="4">
        <v>22</v>
      </c>
      <c r="AN2809" s="4">
        <v>0</v>
      </c>
      <c r="AO2809" s="4">
        <v>0</v>
      </c>
      <c r="AP2809" s="4">
        <v>3</v>
      </c>
      <c r="AQ2809" s="4">
        <v>3</v>
      </c>
      <c r="AR2809" s="3" t="s">
        <v>62</v>
      </c>
      <c r="AS2809" s="3" t="s">
        <v>62</v>
      </c>
      <c r="AT2809" s="3" t="s">
        <v>62</v>
      </c>
      <c r="AV2809" s="6" t="str">
        <f>HYPERLINK("http://mcgill.on.worldcat.org/oclc/13946758","Catalog Record")</f>
        <v>Catalog Record</v>
      </c>
      <c r="AW2809" s="6" t="str">
        <f>HYPERLINK("http://www.worldcat.org/oclc/13946758","WorldCat Record")</f>
        <v>WorldCat Record</v>
      </c>
      <c r="AX2809" s="3" t="s">
        <v>27176</v>
      </c>
      <c r="AY2809" s="3" t="s">
        <v>27177</v>
      </c>
      <c r="AZ2809" s="3" t="s">
        <v>27178</v>
      </c>
      <c r="BA2809" s="3" t="s">
        <v>27178</v>
      </c>
      <c r="BB2809" s="3" t="s">
        <v>27179</v>
      </c>
      <c r="BC2809" s="3" t="s">
        <v>102</v>
      </c>
      <c r="BD2809" s="3" t="s">
        <v>68</v>
      </c>
      <c r="BE2809" s="3" t="s">
        <v>27180</v>
      </c>
      <c r="BF2809" s="3" t="s">
        <v>27179</v>
      </c>
      <c r="BG2809" s="3" t="s">
        <v>27181</v>
      </c>
    </row>
    <row r="2810" spans="1:59" ht="58" x14ac:dyDescent="0.35">
      <c r="A2810" s="2" t="s">
        <v>89</v>
      </c>
      <c r="B2810" s="2" t="s">
        <v>90</v>
      </c>
      <c r="C2810" s="2" t="s">
        <v>27182</v>
      </c>
      <c r="D2810" s="2" t="s">
        <v>27183</v>
      </c>
      <c r="E2810" s="2" t="s">
        <v>27184</v>
      </c>
      <c r="G2810" s="3" t="s">
        <v>62</v>
      </c>
      <c r="I2810" s="3" t="s">
        <v>62</v>
      </c>
      <c r="J2810" s="3" t="s">
        <v>62</v>
      </c>
      <c r="K2810" s="3" t="s">
        <v>63</v>
      </c>
      <c r="L2810" s="2" t="s">
        <v>27185</v>
      </c>
      <c r="M2810" s="2" t="s">
        <v>27186</v>
      </c>
      <c r="N2810" s="3" t="s">
        <v>741</v>
      </c>
      <c r="P2810" s="3" t="s">
        <v>64</v>
      </c>
      <c r="R2810" s="3" t="s">
        <v>25645</v>
      </c>
      <c r="S2810" s="4">
        <v>2</v>
      </c>
      <c r="T2810" s="4">
        <v>2</v>
      </c>
      <c r="U2810" s="5" t="s">
        <v>15917</v>
      </c>
      <c r="V2810" s="5" t="s">
        <v>15917</v>
      </c>
      <c r="W2810" s="5" t="s">
        <v>16936</v>
      </c>
      <c r="X2810" s="5" t="s">
        <v>16936</v>
      </c>
      <c r="Y2810" s="4">
        <v>141</v>
      </c>
      <c r="Z2810" s="4">
        <v>5</v>
      </c>
      <c r="AA2810" s="4">
        <v>9</v>
      </c>
      <c r="AB2810" s="4">
        <v>1</v>
      </c>
      <c r="AC2810" s="4">
        <v>4</v>
      </c>
      <c r="AD2810" s="4">
        <v>4</v>
      </c>
      <c r="AE2810" s="4">
        <v>11</v>
      </c>
      <c r="AF2810" s="4">
        <v>0</v>
      </c>
      <c r="AG2810" s="4">
        <v>0</v>
      </c>
      <c r="AH2810" s="4">
        <v>3</v>
      </c>
      <c r="AI2810" s="4">
        <v>10</v>
      </c>
      <c r="AJ2810" s="4">
        <v>2</v>
      </c>
      <c r="AK2810" s="4">
        <v>3</v>
      </c>
      <c r="AL2810" s="4">
        <v>1</v>
      </c>
      <c r="AM2810" s="4">
        <v>4</v>
      </c>
      <c r="AN2810" s="4">
        <v>0</v>
      </c>
      <c r="AO2810" s="4">
        <v>0</v>
      </c>
      <c r="AP2810" s="4">
        <v>1</v>
      </c>
      <c r="AQ2810" s="4">
        <v>2</v>
      </c>
      <c r="AR2810" s="3" t="s">
        <v>61</v>
      </c>
      <c r="AS2810" s="3" t="s">
        <v>62</v>
      </c>
      <c r="AT2810" s="3" t="s">
        <v>62</v>
      </c>
      <c r="AV2810" s="6" t="str">
        <f>HYPERLINK("http://mcgill.on.worldcat.org/oclc/1088539455","Catalog Record")</f>
        <v>Catalog Record</v>
      </c>
      <c r="AW2810" s="6" t="str">
        <f>HYPERLINK("http://www.worldcat.org/oclc/1088539455","WorldCat Record")</f>
        <v>WorldCat Record</v>
      </c>
      <c r="AX2810" s="3" t="s">
        <v>27187</v>
      </c>
      <c r="AY2810" s="3" t="s">
        <v>27188</v>
      </c>
      <c r="AZ2810" s="3" t="s">
        <v>27189</v>
      </c>
      <c r="BA2810" s="3" t="s">
        <v>27189</v>
      </c>
      <c r="BB2810" s="3" t="s">
        <v>27190</v>
      </c>
      <c r="BC2810" s="3" t="s">
        <v>102</v>
      </c>
      <c r="BD2810" s="3" t="s">
        <v>68</v>
      </c>
      <c r="BE2810" s="3" t="s">
        <v>27191</v>
      </c>
      <c r="BF2810" s="3" t="s">
        <v>27190</v>
      </c>
      <c r="BG2810" s="3" t="s">
        <v>27192</v>
      </c>
    </row>
    <row r="2811" spans="1:59" ht="58" x14ac:dyDescent="0.35">
      <c r="A2811" s="2" t="s">
        <v>89</v>
      </c>
      <c r="B2811" s="2" t="s">
        <v>90</v>
      </c>
      <c r="C2811" s="2" t="s">
        <v>27193</v>
      </c>
      <c r="D2811" s="2" t="s">
        <v>27194</v>
      </c>
      <c r="E2811" s="2" t="s">
        <v>27195</v>
      </c>
      <c r="G2811" s="3" t="s">
        <v>62</v>
      </c>
      <c r="I2811" s="3" t="s">
        <v>62</v>
      </c>
      <c r="J2811" s="3" t="s">
        <v>62</v>
      </c>
      <c r="K2811" s="3" t="s">
        <v>63</v>
      </c>
      <c r="L2811" s="2" t="s">
        <v>27196</v>
      </c>
      <c r="M2811" s="2" t="s">
        <v>27197</v>
      </c>
      <c r="N2811" s="3" t="s">
        <v>684</v>
      </c>
      <c r="P2811" s="3" t="s">
        <v>64</v>
      </c>
      <c r="Q2811" s="2" t="s">
        <v>27198</v>
      </c>
      <c r="R2811" s="3" t="s">
        <v>25645</v>
      </c>
      <c r="S2811" s="4">
        <v>7</v>
      </c>
      <c r="T2811" s="4">
        <v>7</v>
      </c>
      <c r="U2811" s="5" t="s">
        <v>27199</v>
      </c>
      <c r="V2811" s="5" t="s">
        <v>27199</v>
      </c>
      <c r="W2811" s="5" t="s">
        <v>67</v>
      </c>
      <c r="X2811" s="5" t="s">
        <v>67</v>
      </c>
      <c r="Y2811" s="4">
        <v>214</v>
      </c>
      <c r="Z2811" s="4">
        <v>56</v>
      </c>
      <c r="AA2811" s="4">
        <v>102</v>
      </c>
      <c r="AB2811" s="4">
        <v>2</v>
      </c>
      <c r="AC2811" s="4">
        <v>10</v>
      </c>
      <c r="AD2811" s="4">
        <v>49</v>
      </c>
      <c r="AE2811" s="4">
        <v>67</v>
      </c>
      <c r="AF2811" s="4">
        <v>0</v>
      </c>
      <c r="AG2811" s="4">
        <v>0</v>
      </c>
      <c r="AH2811" s="4">
        <v>33</v>
      </c>
      <c r="AI2811" s="4">
        <v>46</v>
      </c>
      <c r="AJ2811" s="4">
        <v>17</v>
      </c>
      <c r="AK2811" s="4">
        <v>19</v>
      </c>
      <c r="AL2811" s="4">
        <v>20</v>
      </c>
      <c r="AM2811" s="4">
        <v>25</v>
      </c>
      <c r="AN2811" s="4">
        <v>0</v>
      </c>
      <c r="AO2811" s="4">
        <v>0</v>
      </c>
      <c r="AP2811" s="4">
        <v>23</v>
      </c>
      <c r="AQ2811" s="4">
        <v>30</v>
      </c>
      <c r="AR2811" s="3" t="s">
        <v>61</v>
      </c>
      <c r="AS2811" s="3" t="s">
        <v>62</v>
      </c>
      <c r="AT2811" s="3" t="s">
        <v>62</v>
      </c>
      <c r="AV2811" s="6" t="str">
        <f>HYPERLINK("http://mcgill.on.worldcat.org/oclc/732948892","Catalog Record")</f>
        <v>Catalog Record</v>
      </c>
      <c r="AW2811" s="6" t="str">
        <f>HYPERLINK("http://www.worldcat.org/oclc/732948892","WorldCat Record")</f>
        <v>WorldCat Record</v>
      </c>
      <c r="AX2811" s="3" t="s">
        <v>27200</v>
      </c>
      <c r="AY2811" s="3" t="s">
        <v>27201</v>
      </c>
      <c r="AZ2811" s="3" t="s">
        <v>27202</v>
      </c>
      <c r="BA2811" s="3" t="s">
        <v>27202</v>
      </c>
      <c r="BB2811" s="3" t="s">
        <v>27203</v>
      </c>
      <c r="BC2811" s="3" t="s">
        <v>102</v>
      </c>
      <c r="BD2811" s="3" t="s">
        <v>68</v>
      </c>
      <c r="BE2811" s="3" t="s">
        <v>27204</v>
      </c>
      <c r="BF2811" s="3" t="s">
        <v>27203</v>
      </c>
      <c r="BG2811" s="3" t="s">
        <v>27205</v>
      </c>
    </row>
    <row r="2812" spans="1:59" ht="58" x14ac:dyDescent="0.35">
      <c r="A2812" s="2" t="s">
        <v>89</v>
      </c>
      <c r="B2812" s="2" t="s">
        <v>90</v>
      </c>
      <c r="C2812" s="2" t="s">
        <v>27206</v>
      </c>
      <c r="D2812" s="2" t="s">
        <v>27207</v>
      </c>
      <c r="E2812" s="2" t="s">
        <v>27208</v>
      </c>
      <c r="G2812" s="3" t="s">
        <v>62</v>
      </c>
      <c r="I2812" s="3" t="s">
        <v>62</v>
      </c>
      <c r="J2812" s="3" t="s">
        <v>62</v>
      </c>
      <c r="K2812" s="3" t="s">
        <v>63</v>
      </c>
      <c r="L2812" s="2" t="s">
        <v>27209</v>
      </c>
      <c r="M2812" s="2" t="s">
        <v>27210</v>
      </c>
      <c r="N2812" s="3" t="s">
        <v>13089</v>
      </c>
      <c r="P2812" s="3" t="s">
        <v>64</v>
      </c>
      <c r="R2812" s="3" t="s">
        <v>25645</v>
      </c>
      <c r="S2812" s="4">
        <v>8</v>
      </c>
      <c r="T2812" s="4">
        <v>8</v>
      </c>
      <c r="U2812" s="5" t="s">
        <v>2820</v>
      </c>
      <c r="V2812" s="5" t="s">
        <v>2820</v>
      </c>
      <c r="W2812" s="5" t="s">
        <v>67</v>
      </c>
      <c r="X2812" s="5" t="s">
        <v>67</v>
      </c>
      <c r="Y2812" s="4">
        <v>181</v>
      </c>
      <c r="Z2812" s="4">
        <v>10</v>
      </c>
      <c r="AA2812" s="4">
        <v>28</v>
      </c>
      <c r="AB2812" s="4">
        <v>1</v>
      </c>
      <c r="AC2812" s="4">
        <v>3</v>
      </c>
      <c r="AD2812" s="4">
        <v>61</v>
      </c>
      <c r="AE2812" s="4">
        <v>78</v>
      </c>
      <c r="AF2812" s="4">
        <v>0</v>
      </c>
      <c r="AG2812" s="4">
        <v>0</v>
      </c>
      <c r="AH2812" s="4">
        <v>53</v>
      </c>
      <c r="AI2812" s="4">
        <v>64</v>
      </c>
      <c r="AJ2812" s="4">
        <v>7</v>
      </c>
      <c r="AK2812" s="4">
        <v>10</v>
      </c>
      <c r="AL2812" s="4">
        <v>36</v>
      </c>
      <c r="AM2812" s="4">
        <v>41</v>
      </c>
      <c r="AN2812" s="4">
        <v>0</v>
      </c>
      <c r="AO2812" s="4">
        <v>1</v>
      </c>
      <c r="AP2812" s="4">
        <v>8</v>
      </c>
      <c r="AQ2812" s="4">
        <v>15</v>
      </c>
      <c r="AR2812" s="3" t="s">
        <v>62</v>
      </c>
      <c r="AS2812" s="3" t="s">
        <v>61</v>
      </c>
      <c r="AT2812" s="3" t="s">
        <v>62</v>
      </c>
      <c r="AU2812" s="6" t="str">
        <f>HYPERLINK("http://catalog.hathitrust.org/Record/001477039","HathiTrust Record")</f>
        <v>HathiTrust Record</v>
      </c>
      <c r="AV2812" s="6" t="str">
        <f>HYPERLINK("http://mcgill.on.worldcat.org/oclc/1526909","Catalog Record")</f>
        <v>Catalog Record</v>
      </c>
      <c r="AW2812" s="6" t="str">
        <f>HYPERLINK("http://www.worldcat.org/oclc/1526909","WorldCat Record")</f>
        <v>WorldCat Record</v>
      </c>
      <c r="AX2812" s="3" t="s">
        <v>27211</v>
      </c>
      <c r="AY2812" s="3" t="s">
        <v>27212</v>
      </c>
      <c r="AZ2812" s="3" t="s">
        <v>27213</v>
      </c>
      <c r="BA2812" s="3" t="s">
        <v>27213</v>
      </c>
      <c r="BB2812" s="3" t="s">
        <v>27214</v>
      </c>
      <c r="BC2812" s="3" t="s">
        <v>102</v>
      </c>
      <c r="BD2812" s="3" t="s">
        <v>68</v>
      </c>
      <c r="BF2812" s="3" t="s">
        <v>27214</v>
      </c>
      <c r="BG2812" s="3" t="s">
        <v>27215</v>
      </c>
    </row>
    <row r="2813" spans="1:59" ht="58" x14ac:dyDescent="0.35">
      <c r="A2813" s="2" t="s">
        <v>89</v>
      </c>
      <c r="B2813" s="2" t="s">
        <v>90</v>
      </c>
      <c r="C2813" s="2" t="s">
        <v>27216</v>
      </c>
      <c r="D2813" s="2" t="s">
        <v>27217</v>
      </c>
      <c r="E2813" s="2" t="s">
        <v>27218</v>
      </c>
      <c r="G2813" s="3" t="s">
        <v>62</v>
      </c>
      <c r="I2813" s="3" t="s">
        <v>62</v>
      </c>
      <c r="J2813" s="3" t="s">
        <v>62</v>
      </c>
      <c r="K2813" s="3" t="s">
        <v>63</v>
      </c>
      <c r="L2813" s="2" t="s">
        <v>27219</v>
      </c>
      <c r="M2813" s="2" t="s">
        <v>27220</v>
      </c>
      <c r="N2813" s="3" t="s">
        <v>481</v>
      </c>
      <c r="P2813" s="3" t="s">
        <v>64</v>
      </c>
      <c r="Q2813" s="2" t="s">
        <v>27221</v>
      </c>
      <c r="R2813" s="3" t="s">
        <v>25645</v>
      </c>
      <c r="S2813" s="4">
        <v>18</v>
      </c>
      <c r="T2813" s="4">
        <v>18</v>
      </c>
      <c r="U2813" s="5" t="s">
        <v>16894</v>
      </c>
      <c r="V2813" s="5" t="s">
        <v>16894</v>
      </c>
      <c r="W2813" s="5" t="s">
        <v>67</v>
      </c>
      <c r="X2813" s="5" t="s">
        <v>67</v>
      </c>
      <c r="Y2813" s="4">
        <v>267</v>
      </c>
      <c r="Z2813" s="4">
        <v>20</v>
      </c>
      <c r="AA2813" s="4">
        <v>24</v>
      </c>
      <c r="AB2813" s="4">
        <v>1</v>
      </c>
      <c r="AC2813" s="4">
        <v>2</v>
      </c>
      <c r="AD2813" s="4">
        <v>92</v>
      </c>
      <c r="AE2813" s="4">
        <v>98</v>
      </c>
      <c r="AF2813" s="4">
        <v>0</v>
      </c>
      <c r="AG2813" s="4">
        <v>1</v>
      </c>
      <c r="AH2813" s="4">
        <v>80</v>
      </c>
      <c r="AI2813" s="4">
        <v>86</v>
      </c>
      <c r="AJ2813" s="4">
        <v>13</v>
      </c>
      <c r="AK2813" s="4">
        <v>17</v>
      </c>
      <c r="AL2813" s="4">
        <v>49</v>
      </c>
      <c r="AM2813" s="4">
        <v>51</v>
      </c>
      <c r="AN2813" s="4">
        <v>0</v>
      </c>
      <c r="AO2813" s="4">
        <v>0</v>
      </c>
      <c r="AP2813" s="4">
        <v>16</v>
      </c>
      <c r="AQ2813" s="4">
        <v>20</v>
      </c>
      <c r="AR2813" s="3" t="s">
        <v>62</v>
      </c>
      <c r="AS2813" s="3" t="s">
        <v>62</v>
      </c>
      <c r="AT2813" s="3" t="s">
        <v>62</v>
      </c>
      <c r="AV2813" s="6" t="str">
        <f>HYPERLINK("http://mcgill.on.worldcat.org/oclc/35701193","Catalog Record")</f>
        <v>Catalog Record</v>
      </c>
      <c r="AW2813" s="6" t="str">
        <f>HYPERLINK("http://www.worldcat.org/oclc/35701193","WorldCat Record")</f>
        <v>WorldCat Record</v>
      </c>
      <c r="AX2813" s="3" t="s">
        <v>27222</v>
      </c>
      <c r="AY2813" s="3" t="s">
        <v>27223</v>
      </c>
      <c r="AZ2813" s="3" t="s">
        <v>27224</v>
      </c>
      <c r="BA2813" s="3" t="s">
        <v>27224</v>
      </c>
      <c r="BB2813" s="3" t="s">
        <v>27225</v>
      </c>
      <c r="BC2813" s="3" t="s">
        <v>102</v>
      </c>
      <c r="BD2813" s="3" t="s">
        <v>68</v>
      </c>
      <c r="BE2813" s="3" t="s">
        <v>27226</v>
      </c>
      <c r="BF2813" s="3" t="s">
        <v>27225</v>
      </c>
      <c r="BG2813" s="3" t="s">
        <v>27227</v>
      </c>
    </row>
    <row r="2814" spans="1:59" ht="58" x14ac:dyDescent="0.35">
      <c r="A2814" s="2" t="s">
        <v>89</v>
      </c>
      <c r="B2814" s="2" t="s">
        <v>90</v>
      </c>
      <c r="C2814" s="2" t="s">
        <v>27228</v>
      </c>
      <c r="D2814" s="2" t="s">
        <v>27229</v>
      </c>
      <c r="E2814" s="2" t="s">
        <v>27230</v>
      </c>
      <c r="G2814" s="3" t="s">
        <v>62</v>
      </c>
      <c r="I2814" s="3" t="s">
        <v>62</v>
      </c>
      <c r="J2814" s="3" t="s">
        <v>62</v>
      </c>
      <c r="K2814" s="3" t="s">
        <v>63</v>
      </c>
      <c r="L2814" s="2" t="s">
        <v>27231</v>
      </c>
      <c r="M2814" s="2" t="s">
        <v>27232</v>
      </c>
      <c r="N2814" s="3" t="s">
        <v>87</v>
      </c>
      <c r="P2814" s="3" t="s">
        <v>64</v>
      </c>
      <c r="R2814" s="3" t="s">
        <v>25645</v>
      </c>
      <c r="S2814" s="4">
        <v>6</v>
      </c>
      <c r="T2814" s="4">
        <v>6</v>
      </c>
      <c r="U2814" s="5" t="s">
        <v>3231</v>
      </c>
      <c r="V2814" s="5" t="s">
        <v>3231</v>
      </c>
      <c r="W2814" s="5" t="s">
        <v>67</v>
      </c>
      <c r="X2814" s="5" t="s">
        <v>67</v>
      </c>
      <c r="Y2814" s="4">
        <v>449</v>
      </c>
      <c r="Z2814" s="4">
        <v>15</v>
      </c>
      <c r="AA2814" s="4">
        <v>17</v>
      </c>
      <c r="AB2814" s="4">
        <v>1</v>
      </c>
      <c r="AC2814" s="4">
        <v>2</v>
      </c>
      <c r="AD2814" s="4">
        <v>57</v>
      </c>
      <c r="AE2814" s="4">
        <v>60</v>
      </c>
      <c r="AF2814" s="4">
        <v>0</v>
      </c>
      <c r="AG2814" s="4">
        <v>1</v>
      </c>
      <c r="AH2814" s="4">
        <v>52</v>
      </c>
      <c r="AI2814" s="4">
        <v>54</v>
      </c>
      <c r="AJ2814" s="4">
        <v>5</v>
      </c>
      <c r="AK2814" s="4">
        <v>6</v>
      </c>
      <c r="AL2814" s="4">
        <v>29</v>
      </c>
      <c r="AM2814" s="4">
        <v>31</v>
      </c>
      <c r="AN2814" s="4">
        <v>0</v>
      </c>
      <c r="AO2814" s="4">
        <v>0</v>
      </c>
      <c r="AP2814" s="4">
        <v>8</v>
      </c>
      <c r="AQ2814" s="4">
        <v>8</v>
      </c>
      <c r="AR2814" s="3" t="s">
        <v>62</v>
      </c>
      <c r="AS2814" s="3" t="s">
        <v>62</v>
      </c>
      <c r="AT2814" s="3" t="s">
        <v>62</v>
      </c>
      <c r="AV2814" s="6" t="str">
        <f>HYPERLINK("http://mcgill.on.worldcat.org/oclc/5779975","Catalog Record")</f>
        <v>Catalog Record</v>
      </c>
      <c r="AW2814" s="6" t="str">
        <f>HYPERLINK("http://www.worldcat.org/oclc/5779975","WorldCat Record")</f>
        <v>WorldCat Record</v>
      </c>
      <c r="AX2814" s="3" t="s">
        <v>27233</v>
      </c>
      <c r="AY2814" s="3" t="s">
        <v>27234</v>
      </c>
      <c r="AZ2814" s="3" t="s">
        <v>27235</v>
      </c>
      <c r="BA2814" s="3" t="s">
        <v>27235</v>
      </c>
      <c r="BB2814" s="3" t="s">
        <v>27236</v>
      </c>
      <c r="BC2814" s="3" t="s">
        <v>102</v>
      </c>
      <c r="BD2814" s="3" t="s">
        <v>68</v>
      </c>
      <c r="BE2814" s="3" t="s">
        <v>27237</v>
      </c>
      <c r="BF2814" s="3" t="s">
        <v>27236</v>
      </c>
      <c r="BG2814" s="3" t="s">
        <v>27238</v>
      </c>
    </row>
    <row r="2815" spans="1:59" ht="87" x14ac:dyDescent="0.35">
      <c r="A2815" s="2" t="s">
        <v>89</v>
      </c>
      <c r="B2815" s="2" t="s">
        <v>90</v>
      </c>
      <c r="C2815" s="2" t="s">
        <v>27239</v>
      </c>
      <c r="D2815" s="2" t="s">
        <v>27240</v>
      </c>
      <c r="E2815" s="2" t="s">
        <v>27241</v>
      </c>
      <c r="G2815" s="3" t="s">
        <v>62</v>
      </c>
      <c r="I2815" s="3" t="s">
        <v>62</v>
      </c>
      <c r="J2815" s="3" t="s">
        <v>62</v>
      </c>
      <c r="K2815" s="3" t="s">
        <v>63</v>
      </c>
      <c r="L2815" s="2" t="s">
        <v>26862</v>
      </c>
      <c r="M2815" s="2" t="s">
        <v>27242</v>
      </c>
      <c r="N2815" s="3" t="s">
        <v>27243</v>
      </c>
      <c r="P2815" s="3" t="s">
        <v>64</v>
      </c>
      <c r="R2815" s="3" t="s">
        <v>25645</v>
      </c>
      <c r="S2815" s="4">
        <v>1</v>
      </c>
      <c r="T2815" s="4">
        <v>1</v>
      </c>
      <c r="U2815" s="5" t="s">
        <v>22360</v>
      </c>
      <c r="V2815" s="5" t="s">
        <v>22360</v>
      </c>
      <c r="W2815" s="5" t="s">
        <v>67</v>
      </c>
      <c r="X2815" s="5" t="s">
        <v>67</v>
      </c>
      <c r="Y2815" s="4">
        <v>71</v>
      </c>
      <c r="Z2815" s="4">
        <v>4</v>
      </c>
      <c r="AA2815" s="4">
        <v>4</v>
      </c>
      <c r="AB2815" s="4">
        <v>2</v>
      </c>
      <c r="AC2815" s="4">
        <v>2</v>
      </c>
      <c r="AD2815" s="4">
        <v>23</v>
      </c>
      <c r="AE2815" s="4">
        <v>26</v>
      </c>
      <c r="AF2815" s="4">
        <v>1</v>
      </c>
      <c r="AG2815" s="4">
        <v>1</v>
      </c>
      <c r="AH2815" s="4">
        <v>20</v>
      </c>
      <c r="AI2815" s="4">
        <v>23</v>
      </c>
      <c r="AJ2815" s="4">
        <v>0</v>
      </c>
      <c r="AK2815" s="4">
        <v>0</v>
      </c>
      <c r="AL2815" s="4">
        <v>15</v>
      </c>
      <c r="AM2815" s="4">
        <v>16</v>
      </c>
      <c r="AN2815" s="4">
        <v>0</v>
      </c>
      <c r="AO2815" s="4">
        <v>0</v>
      </c>
      <c r="AP2815" s="4">
        <v>2</v>
      </c>
      <c r="AQ2815" s="4">
        <v>2</v>
      </c>
      <c r="AR2815" s="3" t="s">
        <v>62</v>
      </c>
      <c r="AS2815" s="3" t="s">
        <v>61</v>
      </c>
      <c r="AT2815" s="3" t="s">
        <v>62</v>
      </c>
      <c r="AU2815" s="6" t="str">
        <f>HYPERLINK("http://catalog.hathitrust.org/Record/001477213","HathiTrust Record")</f>
        <v>HathiTrust Record</v>
      </c>
      <c r="AV2815" s="6" t="str">
        <f>HYPERLINK("http://mcgill.on.worldcat.org/oclc/2636609","Catalog Record")</f>
        <v>Catalog Record</v>
      </c>
      <c r="AW2815" s="6" t="str">
        <f>HYPERLINK("http://www.worldcat.org/oclc/2636609","WorldCat Record")</f>
        <v>WorldCat Record</v>
      </c>
      <c r="AX2815" s="3" t="s">
        <v>27244</v>
      </c>
      <c r="AY2815" s="3" t="s">
        <v>27245</v>
      </c>
      <c r="AZ2815" s="3" t="s">
        <v>27246</v>
      </c>
      <c r="BA2815" s="3" t="s">
        <v>27246</v>
      </c>
      <c r="BB2815" s="3" t="s">
        <v>27247</v>
      </c>
      <c r="BC2815" s="3" t="s">
        <v>102</v>
      </c>
      <c r="BD2815" s="3" t="s">
        <v>68</v>
      </c>
      <c r="BF2815" s="3" t="s">
        <v>27247</v>
      </c>
      <c r="BG2815" s="3" t="s">
        <v>27248</v>
      </c>
    </row>
    <row r="2816" spans="1:59" ht="145" x14ac:dyDescent="0.35">
      <c r="A2816" s="2" t="s">
        <v>89</v>
      </c>
      <c r="B2816" s="2" t="s">
        <v>90</v>
      </c>
      <c r="C2816" s="2" t="s">
        <v>27249</v>
      </c>
      <c r="D2816" s="2" t="s">
        <v>27250</v>
      </c>
      <c r="E2816" s="2" t="s">
        <v>27251</v>
      </c>
      <c r="G2816" s="3" t="s">
        <v>62</v>
      </c>
      <c r="I2816" s="3" t="s">
        <v>62</v>
      </c>
      <c r="J2816" s="3" t="s">
        <v>62</v>
      </c>
      <c r="K2816" s="3" t="s">
        <v>63</v>
      </c>
      <c r="L2816" s="2" t="s">
        <v>27252</v>
      </c>
      <c r="M2816" s="2" t="s">
        <v>27253</v>
      </c>
      <c r="N2816" s="3" t="s">
        <v>1455</v>
      </c>
      <c r="O2816" s="2" t="s">
        <v>1941</v>
      </c>
      <c r="P2816" s="3" t="s">
        <v>64</v>
      </c>
      <c r="Q2816" s="2" t="s">
        <v>27254</v>
      </c>
      <c r="R2816" s="3" t="s">
        <v>25645</v>
      </c>
      <c r="S2816" s="4">
        <v>0</v>
      </c>
      <c r="T2816" s="4">
        <v>0</v>
      </c>
      <c r="W2816" s="5" t="s">
        <v>67</v>
      </c>
      <c r="X2816" s="5" t="s">
        <v>67</v>
      </c>
      <c r="Y2816" s="4">
        <v>20</v>
      </c>
      <c r="Z2816" s="4">
        <v>2</v>
      </c>
      <c r="AA2816" s="4">
        <v>5</v>
      </c>
      <c r="AB2816" s="4">
        <v>1</v>
      </c>
      <c r="AC2816" s="4">
        <v>2</v>
      </c>
      <c r="AD2816" s="4">
        <v>9</v>
      </c>
      <c r="AE2816" s="4">
        <v>22</v>
      </c>
      <c r="AF2816" s="4">
        <v>0</v>
      </c>
      <c r="AG2816" s="4">
        <v>1</v>
      </c>
      <c r="AH2816" s="4">
        <v>9</v>
      </c>
      <c r="AI2816" s="4">
        <v>20</v>
      </c>
      <c r="AJ2816" s="4">
        <v>1</v>
      </c>
      <c r="AK2816" s="4">
        <v>4</v>
      </c>
      <c r="AL2816" s="4">
        <v>7</v>
      </c>
      <c r="AM2816" s="4">
        <v>15</v>
      </c>
      <c r="AN2816" s="4">
        <v>0</v>
      </c>
      <c r="AO2816" s="4">
        <v>0</v>
      </c>
      <c r="AP2816" s="4">
        <v>1</v>
      </c>
      <c r="AQ2816" s="4">
        <v>4</v>
      </c>
      <c r="AR2816" s="3" t="s">
        <v>62</v>
      </c>
      <c r="AS2816" s="3" t="s">
        <v>62</v>
      </c>
      <c r="AT2816" s="3" t="s">
        <v>62</v>
      </c>
      <c r="AV2816" s="6" t="str">
        <f>HYPERLINK("http://mcgill.on.worldcat.org/oclc/913861136","Catalog Record")</f>
        <v>Catalog Record</v>
      </c>
      <c r="AW2816" s="6" t="str">
        <f>HYPERLINK("http://www.worldcat.org/oclc/913861136","WorldCat Record")</f>
        <v>WorldCat Record</v>
      </c>
      <c r="AX2816" s="3" t="s">
        <v>27255</v>
      </c>
      <c r="AY2816" s="3" t="s">
        <v>27256</v>
      </c>
      <c r="AZ2816" s="3" t="s">
        <v>27257</v>
      </c>
      <c r="BA2816" s="3" t="s">
        <v>27257</v>
      </c>
      <c r="BB2816" s="3" t="s">
        <v>27258</v>
      </c>
      <c r="BC2816" s="3" t="s">
        <v>102</v>
      </c>
      <c r="BD2816" s="3" t="s">
        <v>68</v>
      </c>
      <c r="BE2816" s="3" t="s">
        <v>27259</v>
      </c>
      <c r="BF2816" s="3" t="s">
        <v>27258</v>
      </c>
      <c r="BG2816" s="3" t="s">
        <v>27260</v>
      </c>
    </row>
    <row r="2817" spans="1:59" ht="101.5" x14ac:dyDescent="0.35">
      <c r="A2817" s="2" t="s">
        <v>89</v>
      </c>
      <c r="B2817" s="2" t="s">
        <v>12301</v>
      </c>
      <c r="C2817" s="2" t="s">
        <v>27261</v>
      </c>
      <c r="D2817" s="2" t="s">
        <v>27262</v>
      </c>
      <c r="E2817" s="2" t="s">
        <v>27263</v>
      </c>
      <c r="G2817" s="3" t="s">
        <v>62</v>
      </c>
      <c r="I2817" s="3" t="s">
        <v>62</v>
      </c>
      <c r="J2817" s="3" t="s">
        <v>62</v>
      </c>
      <c r="K2817" s="3" t="s">
        <v>63</v>
      </c>
      <c r="L2817" s="2" t="s">
        <v>27264</v>
      </c>
      <c r="M2817" s="2" t="s">
        <v>8373</v>
      </c>
      <c r="N2817" s="3" t="s">
        <v>880</v>
      </c>
      <c r="P2817" s="3" t="s">
        <v>64</v>
      </c>
      <c r="R2817" s="3" t="s">
        <v>25645</v>
      </c>
      <c r="S2817" s="4">
        <v>8</v>
      </c>
      <c r="T2817" s="4">
        <v>8</v>
      </c>
      <c r="U2817" s="5" t="s">
        <v>8315</v>
      </c>
      <c r="V2817" s="5" t="s">
        <v>8315</v>
      </c>
      <c r="W2817" s="5" t="s">
        <v>67</v>
      </c>
      <c r="X2817" s="5" t="s">
        <v>67</v>
      </c>
      <c r="Y2817" s="4">
        <v>223</v>
      </c>
      <c r="Z2817" s="4">
        <v>21</v>
      </c>
      <c r="AA2817" s="4">
        <v>27</v>
      </c>
      <c r="AB2817" s="4">
        <v>2</v>
      </c>
      <c r="AC2817" s="4">
        <v>6</v>
      </c>
      <c r="AD2817" s="4">
        <v>77</v>
      </c>
      <c r="AE2817" s="4">
        <v>89</v>
      </c>
      <c r="AF2817" s="4">
        <v>1</v>
      </c>
      <c r="AG2817" s="4">
        <v>3</v>
      </c>
      <c r="AH2817" s="4">
        <v>66</v>
      </c>
      <c r="AI2817" s="4">
        <v>76</v>
      </c>
      <c r="AJ2817" s="4">
        <v>16</v>
      </c>
      <c r="AK2817" s="4">
        <v>19</v>
      </c>
      <c r="AL2817" s="4">
        <v>42</v>
      </c>
      <c r="AM2817" s="4">
        <v>47</v>
      </c>
      <c r="AN2817" s="4">
        <v>0</v>
      </c>
      <c r="AO2817" s="4">
        <v>0</v>
      </c>
      <c r="AP2817" s="4">
        <v>19</v>
      </c>
      <c r="AQ2817" s="4">
        <v>22</v>
      </c>
      <c r="AR2817" s="3" t="s">
        <v>62</v>
      </c>
      <c r="AS2817" s="3" t="s">
        <v>62</v>
      </c>
      <c r="AT2817" s="3" t="s">
        <v>62</v>
      </c>
      <c r="AV2817" s="6" t="str">
        <f>HYPERLINK("http://mcgill.on.worldcat.org/oclc/460059772","Catalog Record")</f>
        <v>Catalog Record</v>
      </c>
      <c r="AW2817" s="6" t="str">
        <f>HYPERLINK("http://www.worldcat.org/oclc/460059772","WorldCat Record")</f>
        <v>WorldCat Record</v>
      </c>
      <c r="AX2817" s="3" t="s">
        <v>27265</v>
      </c>
      <c r="AY2817" s="3" t="s">
        <v>27266</v>
      </c>
      <c r="AZ2817" s="3" t="s">
        <v>27267</v>
      </c>
      <c r="BA2817" s="3" t="s">
        <v>27267</v>
      </c>
      <c r="BB2817" s="3" t="s">
        <v>27268</v>
      </c>
      <c r="BC2817" s="3" t="s">
        <v>102</v>
      </c>
      <c r="BD2817" s="3" t="s">
        <v>1790</v>
      </c>
      <c r="BE2817" s="3" t="s">
        <v>27269</v>
      </c>
      <c r="BF2817" s="3" t="s">
        <v>27268</v>
      </c>
      <c r="BG2817" s="3" t="s">
        <v>27270</v>
      </c>
    </row>
    <row r="2818" spans="1:59" ht="58" x14ac:dyDescent="0.35">
      <c r="A2818" s="2" t="s">
        <v>89</v>
      </c>
      <c r="B2818" s="2" t="s">
        <v>90</v>
      </c>
      <c r="C2818" s="2" t="s">
        <v>27271</v>
      </c>
      <c r="D2818" s="2" t="s">
        <v>27272</v>
      </c>
      <c r="E2818" s="2" t="s">
        <v>27273</v>
      </c>
      <c r="G2818" s="3" t="s">
        <v>62</v>
      </c>
      <c r="I2818" s="3" t="s">
        <v>62</v>
      </c>
      <c r="J2818" s="3" t="s">
        <v>62</v>
      </c>
      <c r="K2818" s="3" t="s">
        <v>916</v>
      </c>
      <c r="L2818" s="2" t="s">
        <v>5390</v>
      </c>
      <c r="M2818" s="2" t="s">
        <v>27274</v>
      </c>
      <c r="N2818" s="3" t="s">
        <v>568</v>
      </c>
      <c r="P2818" s="3" t="s">
        <v>64</v>
      </c>
      <c r="Q2818" s="2" t="s">
        <v>27275</v>
      </c>
      <c r="R2818" s="3" t="s">
        <v>25645</v>
      </c>
      <c r="S2818" s="4">
        <v>12</v>
      </c>
      <c r="T2818" s="4">
        <v>12</v>
      </c>
      <c r="U2818" s="5" t="s">
        <v>2226</v>
      </c>
      <c r="V2818" s="5" t="s">
        <v>2226</v>
      </c>
      <c r="W2818" s="5" t="s">
        <v>67</v>
      </c>
      <c r="X2818" s="5" t="s">
        <v>67</v>
      </c>
      <c r="Y2818" s="4">
        <v>4</v>
      </c>
      <c r="Z2818" s="4">
        <v>1</v>
      </c>
      <c r="AA2818" s="4">
        <v>143</v>
      </c>
      <c r="AB2818" s="4">
        <v>1</v>
      </c>
      <c r="AC2818" s="4">
        <v>16</v>
      </c>
      <c r="AD2818" s="4">
        <v>0</v>
      </c>
      <c r="AE2818" s="4">
        <v>157</v>
      </c>
      <c r="AF2818" s="4">
        <v>0</v>
      </c>
      <c r="AG2818" s="4">
        <v>6</v>
      </c>
      <c r="AH2818" s="4">
        <v>0</v>
      </c>
      <c r="AI2818" s="4">
        <v>114</v>
      </c>
      <c r="AJ2818" s="4">
        <v>0</v>
      </c>
      <c r="AK2818" s="4">
        <v>27</v>
      </c>
      <c r="AL2818" s="4">
        <v>0</v>
      </c>
      <c r="AM2818" s="4">
        <v>59</v>
      </c>
      <c r="AN2818" s="4">
        <v>0</v>
      </c>
      <c r="AO2818" s="4">
        <v>0</v>
      </c>
      <c r="AP2818" s="4">
        <v>0</v>
      </c>
      <c r="AQ2818" s="4">
        <v>52</v>
      </c>
      <c r="AR2818" s="3" t="s">
        <v>62</v>
      </c>
      <c r="AS2818" s="3" t="s">
        <v>62</v>
      </c>
      <c r="AT2818" s="3" t="s">
        <v>62</v>
      </c>
      <c r="AV2818" s="6" t="str">
        <f>HYPERLINK("http://mcgill.on.worldcat.org/oclc/804047438","Catalog Record")</f>
        <v>Catalog Record</v>
      </c>
      <c r="AW2818" s="6" t="str">
        <f>HYPERLINK("http://www.worldcat.org/oclc/804047438","WorldCat Record")</f>
        <v>WorldCat Record</v>
      </c>
      <c r="AX2818" s="3" t="s">
        <v>27276</v>
      </c>
      <c r="AY2818" s="3" t="s">
        <v>27277</v>
      </c>
      <c r="AZ2818" s="3" t="s">
        <v>27278</v>
      </c>
      <c r="BA2818" s="3" t="s">
        <v>27278</v>
      </c>
      <c r="BB2818" s="3" t="s">
        <v>27279</v>
      </c>
      <c r="BC2818" s="3" t="s">
        <v>102</v>
      </c>
      <c r="BD2818" s="3" t="s">
        <v>68</v>
      </c>
      <c r="BE2818" s="3" t="s">
        <v>27280</v>
      </c>
      <c r="BF2818" s="3" t="s">
        <v>27279</v>
      </c>
      <c r="BG2818" s="3" t="s">
        <v>27281</v>
      </c>
    </row>
    <row r="2819" spans="1:59" ht="58" x14ac:dyDescent="0.35">
      <c r="A2819" s="2" t="s">
        <v>89</v>
      </c>
      <c r="B2819" s="2" t="s">
        <v>90</v>
      </c>
      <c r="C2819" s="2" t="s">
        <v>27282</v>
      </c>
      <c r="D2819" s="2" t="s">
        <v>27283</v>
      </c>
      <c r="E2819" s="2" t="s">
        <v>27284</v>
      </c>
      <c r="G2819" s="3" t="s">
        <v>62</v>
      </c>
      <c r="I2819" s="3" t="s">
        <v>62</v>
      </c>
      <c r="J2819" s="3" t="s">
        <v>62</v>
      </c>
      <c r="K2819" s="3" t="s">
        <v>916</v>
      </c>
      <c r="L2819" s="2" t="s">
        <v>27285</v>
      </c>
      <c r="M2819" s="2" t="s">
        <v>27286</v>
      </c>
      <c r="N2819" s="3" t="s">
        <v>19618</v>
      </c>
      <c r="P2819" s="3" t="s">
        <v>64</v>
      </c>
      <c r="R2819" s="3" t="s">
        <v>25645</v>
      </c>
      <c r="S2819" s="4">
        <v>5</v>
      </c>
      <c r="T2819" s="4">
        <v>5</v>
      </c>
      <c r="U2819" s="5" t="s">
        <v>27287</v>
      </c>
      <c r="V2819" s="5" t="s">
        <v>27287</v>
      </c>
      <c r="W2819" s="5" t="s">
        <v>67</v>
      </c>
      <c r="X2819" s="5" t="s">
        <v>67</v>
      </c>
      <c r="Y2819" s="4">
        <v>35</v>
      </c>
      <c r="Z2819" s="4">
        <v>5</v>
      </c>
      <c r="AA2819" s="4">
        <v>18</v>
      </c>
      <c r="AB2819" s="4">
        <v>1</v>
      </c>
      <c r="AC2819" s="4">
        <v>2</v>
      </c>
      <c r="AD2819" s="4">
        <v>11</v>
      </c>
      <c r="AE2819" s="4">
        <v>66</v>
      </c>
      <c r="AF2819" s="4">
        <v>0</v>
      </c>
      <c r="AG2819" s="4">
        <v>1</v>
      </c>
      <c r="AH2819" s="4">
        <v>10</v>
      </c>
      <c r="AI2819" s="4">
        <v>58</v>
      </c>
      <c r="AJ2819" s="4">
        <v>4</v>
      </c>
      <c r="AK2819" s="4">
        <v>10</v>
      </c>
      <c r="AL2819" s="4">
        <v>3</v>
      </c>
      <c r="AM2819" s="4">
        <v>35</v>
      </c>
      <c r="AN2819" s="4">
        <v>0</v>
      </c>
      <c r="AO2819" s="4">
        <v>0</v>
      </c>
      <c r="AP2819" s="4">
        <v>4</v>
      </c>
      <c r="AQ2819" s="4">
        <v>13</v>
      </c>
      <c r="AR2819" s="3" t="s">
        <v>62</v>
      </c>
      <c r="AS2819" s="3" t="s">
        <v>62</v>
      </c>
      <c r="AT2819" s="3" t="s">
        <v>62</v>
      </c>
      <c r="AU2819" s="6" t="str">
        <f>HYPERLINK("http://catalog.hathitrust.org/Record/012306079","HathiTrust Record")</f>
        <v>HathiTrust Record</v>
      </c>
      <c r="AV2819" s="6" t="str">
        <f>HYPERLINK("http://mcgill.on.worldcat.org/oclc/12572652","Catalog Record")</f>
        <v>Catalog Record</v>
      </c>
      <c r="AW2819" s="6" t="str">
        <f>HYPERLINK("http://www.worldcat.org/oclc/12572652","WorldCat Record")</f>
        <v>WorldCat Record</v>
      </c>
      <c r="AX2819" s="3" t="s">
        <v>27288</v>
      </c>
      <c r="AY2819" s="3" t="s">
        <v>27289</v>
      </c>
      <c r="AZ2819" s="3" t="s">
        <v>27290</v>
      </c>
      <c r="BA2819" s="3" t="s">
        <v>27290</v>
      </c>
      <c r="BB2819" s="3" t="s">
        <v>27291</v>
      </c>
      <c r="BC2819" s="3" t="s">
        <v>102</v>
      </c>
      <c r="BD2819" s="3" t="s">
        <v>68</v>
      </c>
      <c r="BF2819" s="3" t="s">
        <v>27291</v>
      </c>
      <c r="BG2819" s="3" t="s">
        <v>27292</v>
      </c>
    </row>
    <row r="2820" spans="1:59" ht="58" x14ac:dyDescent="0.35">
      <c r="A2820" s="2" t="s">
        <v>89</v>
      </c>
      <c r="B2820" s="2" t="s">
        <v>90</v>
      </c>
      <c r="C2820" s="2" t="s">
        <v>27293</v>
      </c>
      <c r="D2820" s="2" t="s">
        <v>27294</v>
      </c>
      <c r="E2820" s="2" t="s">
        <v>27295</v>
      </c>
      <c r="G2820" s="3" t="s">
        <v>62</v>
      </c>
      <c r="I2820" s="3" t="s">
        <v>62</v>
      </c>
      <c r="J2820" s="3" t="s">
        <v>62</v>
      </c>
      <c r="K2820" s="3" t="s">
        <v>63</v>
      </c>
      <c r="L2820" s="2" t="s">
        <v>27296</v>
      </c>
      <c r="M2820" s="2" t="s">
        <v>27297</v>
      </c>
      <c r="N2820" s="3" t="s">
        <v>2975</v>
      </c>
      <c r="P2820" s="3" t="s">
        <v>64</v>
      </c>
      <c r="Q2820" s="2" t="s">
        <v>27298</v>
      </c>
      <c r="R2820" s="3" t="s">
        <v>25645</v>
      </c>
      <c r="S2820" s="4">
        <v>19</v>
      </c>
      <c r="T2820" s="4">
        <v>19</v>
      </c>
      <c r="U2820" s="5" t="s">
        <v>18636</v>
      </c>
      <c r="V2820" s="5" t="s">
        <v>18636</v>
      </c>
      <c r="W2820" s="5" t="s">
        <v>67</v>
      </c>
      <c r="X2820" s="5" t="s">
        <v>67</v>
      </c>
      <c r="Y2820" s="4">
        <v>594</v>
      </c>
      <c r="Z2820" s="4">
        <v>30</v>
      </c>
      <c r="AA2820" s="4">
        <v>39</v>
      </c>
      <c r="AB2820" s="4">
        <v>5</v>
      </c>
      <c r="AC2820" s="4">
        <v>8</v>
      </c>
      <c r="AD2820" s="4">
        <v>81</v>
      </c>
      <c r="AE2820" s="4">
        <v>90</v>
      </c>
      <c r="AF2820" s="4">
        <v>1</v>
      </c>
      <c r="AG2820" s="4">
        <v>2</v>
      </c>
      <c r="AH2820" s="4">
        <v>72</v>
      </c>
      <c r="AI2820" s="4">
        <v>76</v>
      </c>
      <c r="AJ2820" s="4">
        <v>9</v>
      </c>
      <c r="AK2820" s="4">
        <v>13</v>
      </c>
      <c r="AL2820" s="4">
        <v>40</v>
      </c>
      <c r="AM2820" s="4">
        <v>42</v>
      </c>
      <c r="AN2820" s="4">
        <v>0</v>
      </c>
      <c r="AO2820" s="4">
        <v>0</v>
      </c>
      <c r="AP2820" s="4">
        <v>13</v>
      </c>
      <c r="AQ2820" s="4">
        <v>20</v>
      </c>
      <c r="AR2820" s="3" t="s">
        <v>62</v>
      </c>
      <c r="AS2820" s="3" t="s">
        <v>62</v>
      </c>
      <c r="AT2820" s="3" t="s">
        <v>62</v>
      </c>
      <c r="AV2820" s="6" t="str">
        <f>HYPERLINK("http://mcgill.on.worldcat.org/oclc/46984946","Catalog Record")</f>
        <v>Catalog Record</v>
      </c>
      <c r="AW2820" s="6" t="str">
        <f>HYPERLINK("http://www.worldcat.org/oclc/46984946","WorldCat Record")</f>
        <v>WorldCat Record</v>
      </c>
      <c r="AX2820" s="3" t="s">
        <v>27299</v>
      </c>
      <c r="AY2820" s="3" t="s">
        <v>27300</v>
      </c>
      <c r="AZ2820" s="3" t="s">
        <v>27301</v>
      </c>
      <c r="BA2820" s="3" t="s">
        <v>27301</v>
      </c>
      <c r="BB2820" s="3" t="s">
        <v>27302</v>
      </c>
      <c r="BC2820" s="3" t="s">
        <v>102</v>
      </c>
      <c r="BD2820" s="3" t="s">
        <v>68</v>
      </c>
      <c r="BE2820" s="3" t="s">
        <v>27303</v>
      </c>
      <c r="BF2820" s="3" t="s">
        <v>27302</v>
      </c>
      <c r="BG2820" s="3" t="s">
        <v>27304</v>
      </c>
    </row>
    <row r="2821" spans="1:59" ht="58" x14ac:dyDescent="0.35">
      <c r="A2821" s="2" t="s">
        <v>89</v>
      </c>
      <c r="B2821" s="2" t="s">
        <v>90</v>
      </c>
      <c r="C2821" s="2" t="s">
        <v>27305</v>
      </c>
      <c r="D2821" s="2" t="s">
        <v>27306</v>
      </c>
      <c r="E2821" s="2" t="s">
        <v>27307</v>
      </c>
      <c r="G2821" s="3" t="s">
        <v>62</v>
      </c>
      <c r="I2821" s="3" t="s">
        <v>62</v>
      </c>
      <c r="J2821" s="3" t="s">
        <v>62</v>
      </c>
      <c r="K2821" s="3" t="s">
        <v>63</v>
      </c>
      <c r="L2821" s="2" t="s">
        <v>2411</v>
      </c>
      <c r="M2821" s="2" t="s">
        <v>27308</v>
      </c>
      <c r="N2821" s="3" t="s">
        <v>509</v>
      </c>
      <c r="P2821" s="3" t="s">
        <v>64</v>
      </c>
      <c r="R2821" s="3" t="s">
        <v>25645</v>
      </c>
      <c r="S2821" s="4">
        <v>36</v>
      </c>
      <c r="T2821" s="4">
        <v>36</v>
      </c>
      <c r="U2821" s="5" t="s">
        <v>13800</v>
      </c>
      <c r="V2821" s="5" t="s">
        <v>13800</v>
      </c>
      <c r="W2821" s="5" t="s">
        <v>67</v>
      </c>
      <c r="X2821" s="5" t="s">
        <v>67</v>
      </c>
      <c r="Y2821" s="4">
        <v>485</v>
      </c>
      <c r="Z2821" s="4">
        <v>35</v>
      </c>
      <c r="AA2821" s="4">
        <v>45</v>
      </c>
      <c r="AB2821" s="4">
        <v>1</v>
      </c>
      <c r="AC2821" s="4">
        <v>3</v>
      </c>
      <c r="AD2821" s="4">
        <v>107</v>
      </c>
      <c r="AE2821" s="4">
        <v>121</v>
      </c>
      <c r="AF2821" s="4">
        <v>0</v>
      </c>
      <c r="AG2821" s="4">
        <v>2</v>
      </c>
      <c r="AH2821" s="4">
        <v>89</v>
      </c>
      <c r="AI2821" s="4">
        <v>95</v>
      </c>
      <c r="AJ2821" s="4">
        <v>17</v>
      </c>
      <c r="AK2821" s="4">
        <v>19</v>
      </c>
      <c r="AL2821" s="4">
        <v>54</v>
      </c>
      <c r="AM2821" s="4">
        <v>58</v>
      </c>
      <c r="AN2821" s="4">
        <v>0</v>
      </c>
      <c r="AO2821" s="4">
        <v>0</v>
      </c>
      <c r="AP2821" s="4">
        <v>24</v>
      </c>
      <c r="AQ2821" s="4">
        <v>30</v>
      </c>
      <c r="AR2821" s="3" t="s">
        <v>62</v>
      </c>
      <c r="AS2821" s="3" t="s">
        <v>62</v>
      </c>
      <c r="AT2821" s="3" t="s">
        <v>62</v>
      </c>
      <c r="AV2821" s="6" t="str">
        <f>HYPERLINK("http://mcgill.on.worldcat.org/oclc/28376647","Catalog Record")</f>
        <v>Catalog Record</v>
      </c>
      <c r="AW2821" s="6" t="str">
        <f>HYPERLINK("http://www.worldcat.org/oclc/28376647","WorldCat Record")</f>
        <v>WorldCat Record</v>
      </c>
      <c r="AX2821" s="3" t="s">
        <v>27309</v>
      </c>
      <c r="AY2821" s="3" t="s">
        <v>27310</v>
      </c>
      <c r="AZ2821" s="3" t="s">
        <v>27311</v>
      </c>
      <c r="BA2821" s="3" t="s">
        <v>27311</v>
      </c>
      <c r="BB2821" s="3" t="s">
        <v>27312</v>
      </c>
      <c r="BC2821" s="3" t="s">
        <v>102</v>
      </c>
      <c r="BD2821" s="3" t="s">
        <v>68</v>
      </c>
      <c r="BE2821" s="3" t="s">
        <v>27313</v>
      </c>
      <c r="BF2821" s="3" t="s">
        <v>27312</v>
      </c>
      <c r="BG2821" s="3" t="s">
        <v>27314</v>
      </c>
    </row>
    <row r="2822" spans="1:59" ht="58" x14ac:dyDescent="0.35">
      <c r="A2822" s="2" t="s">
        <v>89</v>
      </c>
      <c r="B2822" s="2" t="s">
        <v>90</v>
      </c>
      <c r="C2822" s="2" t="s">
        <v>27315</v>
      </c>
      <c r="D2822" s="2" t="s">
        <v>27316</v>
      </c>
      <c r="E2822" s="2" t="s">
        <v>27317</v>
      </c>
      <c r="G2822" s="3" t="s">
        <v>62</v>
      </c>
      <c r="I2822" s="3" t="s">
        <v>61</v>
      </c>
      <c r="J2822" s="3" t="s">
        <v>61</v>
      </c>
      <c r="K2822" s="3" t="s">
        <v>63</v>
      </c>
      <c r="L2822" s="2" t="s">
        <v>27318</v>
      </c>
      <c r="M2822" s="2" t="s">
        <v>27319</v>
      </c>
      <c r="N2822" s="3" t="s">
        <v>396</v>
      </c>
      <c r="P2822" s="3" t="s">
        <v>64</v>
      </c>
      <c r="R2822" s="3" t="s">
        <v>25645</v>
      </c>
      <c r="S2822" s="4">
        <v>12</v>
      </c>
      <c r="T2822" s="4">
        <v>15</v>
      </c>
      <c r="U2822" s="5" t="s">
        <v>16753</v>
      </c>
      <c r="V2822" s="5" t="s">
        <v>16753</v>
      </c>
      <c r="W2822" s="5" t="s">
        <v>67</v>
      </c>
      <c r="X2822" s="5" t="s">
        <v>67</v>
      </c>
      <c r="Y2822" s="4">
        <v>705</v>
      </c>
      <c r="Z2822" s="4">
        <v>23</v>
      </c>
      <c r="AA2822" s="4">
        <v>113</v>
      </c>
      <c r="AB2822" s="4">
        <v>1</v>
      </c>
      <c r="AC2822" s="4">
        <v>19</v>
      </c>
      <c r="AD2822" s="4">
        <v>98</v>
      </c>
      <c r="AE2822" s="4">
        <v>151</v>
      </c>
      <c r="AF2822" s="4">
        <v>0</v>
      </c>
      <c r="AG2822" s="4">
        <v>8</v>
      </c>
      <c r="AH2822" s="4">
        <v>89</v>
      </c>
      <c r="AI2822" s="4">
        <v>112</v>
      </c>
      <c r="AJ2822" s="4">
        <v>11</v>
      </c>
      <c r="AK2822" s="4">
        <v>27</v>
      </c>
      <c r="AL2822" s="4">
        <v>55</v>
      </c>
      <c r="AM2822" s="4">
        <v>60</v>
      </c>
      <c r="AN2822" s="4">
        <v>0</v>
      </c>
      <c r="AO2822" s="4">
        <v>0</v>
      </c>
      <c r="AP2822" s="4">
        <v>13</v>
      </c>
      <c r="AQ2822" s="4">
        <v>48</v>
      </c>
      <c r="AR2822" s="3" t="s">
        <v>62</v>
      </c>
      <c r="AS2822" s="3" t="s">
        <v>62</v>
      </c>
      <c r="AT2822" s="3" t="s">
        <v>61</v>
      </c>
      <c r="AU2822" s="6" t="str">
        <f>HYPERLINK("http://catalog.hathitrust.org/Record/004352741","HathiTrust Record")</f>
        <v>HathiTrust Record</v>
      </c>
      <c r="AV2822" s="6" t="str">
        <f>HYPERLINK("http://mcgill.on.worldcat.org/oclc/11318135","Catalog Record")</f>
        <v>Catalog Record</v>
      </c>
      <c r="AW2822" s="6" t="str">
        <f>HYPERLINK("http://www.worldcat.org/oclc/11318135","WorldCat Record")</f>
        <v>WorldCat Record</v>
      </c>
      <c r="AX2822" s="3" t="s">
        <v>27320</v>
      </c>
      <c r="AY2822" s="3" t="s">
        <v>27321</v>
      </c>
      <c r="AZ2822" s="3" t="s">
        <v>27322</v>
      </c>
      <c r="BA2822" s="3" t="s">
        <v>27322</v>
      </c>
      <c r="BB2822" s="3" t="s">
        <v>27323</v>
      </c>
      <c r="BC2822" s="3" t="s">
        <v>102</v>
      </c>
      <c r="BD2822" s="3" t="s">
        <v>68</v>
      </c>
      <c r="BE2822" s="3" t="s">
        <v>27324</v>
      </c>
      <c r="BF2822" s="3" t="s">
        <v>27323</v>
      </c>
      <c r="BG2822" s="3" t="s">
        <v>27325</v>
      </c>
    </row>
    <row r="2823" spans="1:59" ht="87" x14ac:dyDescent="0.35">
      <c r="A2823" s="2" t="s">
        <v>89</v>
      </c>
      <c r="B2823" s="2" t="s">
        <v>90</v>
      </c>
      <c r="C2823" s="2" t="s">
        <v>27326</v>
      </c>
      <c r="D2823" s="2" t="s">
        <v>27327</v>
      </c>
      <c r="E2823" s="2" t="s">
        <v>27328</v>
      </c>
      <c r="G2823" s="3" t="s">
        <v>62</v>
      </c>
      <c r="I2823" s="3" t="s">
        <v>62</v>
      </c>
      <c r="J2823" s="3" t="s">
        <v>61</v>
      </c>
      <c r="K2823" s="3" t="s">
        <v>63</v>
      </c>
      <c r="L2823" s="2" t="s">
        <v>27329</v>
      </c>
      <c r="M2823" s="2" t="s">
        <v>27330</v>
      </c>
      <c r="N2823" s="3" t="s">
        <v>539</v>
      </c>
      <c r="O2823" s="2" t="s">
        <v>27331</v>
      </c>
      <c r="P2823" s="3" t="s">
        <v>64</v>
      </c>
      <c r="R2823" s="3" t="s">
        <v>25645</v>
      </c>
      <c r="S2823" s="4">
        <v>52</v>
      </c>
      <c r="T2823" s="4">
        <v>52</v>
      </c>
      <c r="U2823" s="5" t="s">
        <v>4771</v>
      </c>
      <c r="V2823" s="5" t="s">
        <v>4771</v>
      </c>
      <c r="W2823" s="5" t="s">
        <v>67</v>
      </c>
      <c r="X2823" s="5" t="s">
        <v>67</v>
      </c>
      <c r="Y2823" s="4">
        <v>1664</v>
      </c>
      <c r="Z2823" s="4">
        <v>55</v>
      </c>
      <c r="AA2823" s="4">
        <v>104</v>
      </c>
      <c r="AB2823" s="4">
        <v>3</v>
      </c>
      <c r="AC2823" s="4">
        <v>7</v>
      </c>
      <c r="AD2823" s="4">
        <v>88</v>
      </c>
      <c r="AE2823" s="4">
        <v>118</v>
      </c>
      <c r="AF2823" s="4">
        <v>0</v>
      </c>
      <c r="AG2823" s="4">
        <v>0</v>
      </c>
      <c r="AH2823" s="4">
        <v>76</v>
      </c>
      <c r="AI2823" s="4">
        <v>96</v>
      </c>
      <c r="AJ2823" s="4">
        <v>6</v>
      </c>
      <c r="AK2823" s="4">
        <v>11</v>
      </c>
      <c r="AL2823" s="4">
        <v>40</v>
      </c>
      <c r="AM2823" s="4">
        <v>53</v>
      </c>
      <c r="AN2823" s="4">
        <v>0</v>
      </c>
      <c r="AO2823" s="4">
        <v>0</v>
      </c>
      <c r="AP2823" s="4">
        <v>13</v>
      </c>
      <c r="AQ2823" s="4">
        <v>26</v>
      </c>
      <c r="AR2823" s="3" t="s">
        <v>62</v>
      </c>
      <c r="AS2823" s="3" t="s">
        <v>62</v>
      </c>
      <c r="AT2823" s="3" t="s">
        <v>62</v>
      </c>
      <c r="AV2823" s="6" t="str">
        <f>HYPERLINK("http://mcgill.on.worldcat.org/oclc/39256652","Catalog Record")</f>
        <v>Catalog Record</v>
      </c>
      <c r="AW2823" s="6" t="str">
        <f>HYPERLINK("http://www.worldcat.org/oclc/39256652","WorldCat Record")</f>
        <v>WorldCat Record</v>
      </c>
      <c r="AX2823" s="3" t="s">
        <v>27332</v>
      </c>
      <c r="AY2823" s="3" t="s">
        <v>27333</v>
      </c>
      <c r="AZ2823" s="3" t="s">
        <v>27334</v>
      </c>
      <c r="BA2823" s="3" t="s">
        <v>27334</v>
      </c>
      <c r="BB2823" s="3" t="s">
        <v>27335</v>
      </c>
      <c r="BC2823" s="3" t="s">
        <v>102</v>
      </c>
      <c r="BD2823" s="3" t="s">
        <v>231</v>
      </c>
      <c r="BE2823" s="3" t="s">
        <v>27336</v>
      </c>
      <c r="BF2823" s="3" t="s">
        <v>27335</v>
      </c>
      <c r="BG2823" s="3" t="s">
        <v>27337</v>
      </c>
    </row>
    <row r="2824" spans="1:59" ht="58" x14ac:dyDescent="0.35">
      <c r="A2824" s="2" t="s">
        <v>89</v>
      </c>
      <c r="B2824" s="2" t="s">
        <v>90</v>
      </c>
      <c r="C2824" s="2" t="s">
        <v>27338</v>
      </c>
      <c r="D2824" s="2" t="s">
        <v>27339</v>
      </c>
      <c r="E2824" s="2" t="s">
        <v>27340</v>
      </c>
      <c r="G2824" s="3" t="s">
        <v>62</v>
      </c>
      <c r="I2824" s="3" t="s">
        <v>62</v>
      </c>
      <c r="J2824" s="3" t="s">
        <v>62</v>
      </c>
      <c r="K2824" s="3" t="s">
        <v>63</v>
      </c>
      <c r="L2824" s="2" t="s">
        <v>27341</v>
      </c>
      <c r="M2824" s="2" t="s">
        <v>8857</v>
      </c>
      <c r="N2824" s="3" t="s">
        <v>509</v>
      </c>
      <c r="P2824" s="3" t="s">
        <v>64</v>
      </c>
      <c r="R2824" s="3" t="s">
        <v>25645</v>
      </c>
      <c r="S2824" s="4">
        <v>28</v>
      </c>
      <c r="T2824" s="4">
        <v>28</v>
      </c>
      <c r="U2824" s="5" t="s">
        <v>26172</v>
      </c>
      <c r="V2824" s="5" t="s">
        <v>26172</v>
      </c>
      <c r="W2824" s="5" t="s">
        <v>67</v>
      </c>
      <c r="X2824" s="5" t="s">
        <v>67</v>
      </c>
      <c r="Y2824" s="4">
        <v>464</v>
      </c>
      <c r="Z2824" s="4">
        <v>33</v>
      </c>
      <c r="AA2824" s="4">
        <v>114</v>
      </c>
      <c r="AB2824" s="4">
        <v>1</v>
      </c>
      <c r="AC2824" s="4">
        <v>17</v>
      </c>
      <c r="AD2824" s="4">
        <v>112</v>
      </c>
      <c r="AE2824" s="4">
        <v>146</v>
      </c>
      <c r="AF2824" s="4">
        <v>0</v>
      </c>
      <c r="AG2824" s="4">
        <v>8</v>
      </c>
      <c r="AH2824" s="4">
        <v>96</v>
      </c>
      <c r="AI2824" s="4">
        <v>106</v>
      </c>
      <c r="AJ2824" s="4">
        <v>14</v>
      </c>
      <c r="AK2824" s="4">
        <v>25</v>
      </c>
      <c r="AL2824" s="4">
        <v>55</v>
      </c>
      <c r="AM2824" s="4">
        <v>56</v>
      </c>
      <c r="AN2824" s="4">
        <v>0</v>
      </c>
      <c r="AO2824" s="4">
        <v>0</v>
      </c>
      <c r="AP2824" s="4">
        <v>22</v>
      </c>
      <c r="AQ2824" s="4">
        <v>48</v>
      </c>
      <c r="AR2824" s="3" t="s">
        <v>62</v>
      </c>
      <c r="AS2824" s="3" t="s">
        <v>62</v>
      </c>
      <c r="AT2824" s="3" t="s">
        <v>62</v>
      </c>
      <c r="AV2824" s="6" t="str">
        <f>HYPERLINK("http://mcgill.on.worldcat.org/oclc/29953006","Catalog Record")</f>
        <v>Catalog Record</v>
      </c>
      <c r="AW2824" s="6" t="str">
        <f>HYPERLINK("http://www.worldcat.org/oclc/29953006","WorldCat Record")</f>
        <v>WorldCat Record</v>
      </c>
      <c r="AX2824" s="3" t="s">
        <v>27342</v>
      </c>
      <c r="AY2824" s="3" t="s">
        <v>27343</v>
      </c>
      <c r="AZ2824" s="3" t="s">
        <v>27344</v>
      </c>
      <c r="BA2824" s="3" t="s">
        <v>27344</v>
      </c>
      <c r="BB2824" s="3" t="s">
        <v>27345</v>
      </c>
      <c r="BC2824" s="3" t="s">
        <v>102</v>
      </c>
      <c r="BD2824" s="3" t="s">
        <v>68</v>
      </c>
      <c r="BE2824" s="3" t="s">
        <v>27346</v>
      </c>
      <c r="BF2824" s="3" t="s">
        <v>27345</v>
      </c>
      <c r="BG2824" s="3" t="s">
        <v>27347</v>
      </c>
    </row>
    <row r="2825" spans="1:59" ht="58" x14ac:dyDescent="0.35">
      <c r="A2825" s="2" t="s">
        <v>89</v>
      </c>
      <c r="B2825" s="2" t="s">
        <v>90</v>
      </c>
      <c r="C2825" s="2" t="s">
        <v>27348</v>
      </c>
      <c r="D2825" s="2" t="s">
        <v>27349</v>
      </c>
      <c r="E2825" s="2" t="s">
        <v>27350</v>
      </c>
      <c r="F2825" s="3" t="s">
        <v>1770</v>
      </c>
      <c r="G2825" s="3" t="s">
        <v>61</v>
      </c>
      <c r="I2825" s="3" t="s">
        <v>62</v>
      </c>
      <c r="J2825" s="3" t="s">
        <v>62</v>
      </c>
      <c r="K2825" s="3" t="s">
        <v>63</v>
      </c>
      <c r="L2825" s="2" t="s">
        <v>27351</v>
      </c>
      <c r="M2825" s="2" t="s">
        <v>27352</v>
      </c>
      <c r="N2825" s="3" t="s">
        <v>481</v>
      </c>
      <c r="P2825" s="3" t="s">
        <v>85</v>
      </c>
      <c r="Q2825" s="2" t="s">
        <v>27353</v>
      </c>
      <c r="R2825" s="3" t="s">
        <v>25645</v>
      </c>
      <c r="S2825" s="4">
        <v>5</v>
      </c>
      <c r="T2825" s="4">
        <v>12</v>
      </c>
      <c r="U2825" s="5" t="s">
        <v>1676</v>
      </c>
      <c r="V2825" s="5" t="s">
        <v>1676</v>
      </c>
      <c r="W2825" s="5" t="s">
        <v>67</v>
      </c>
      <c r="X2825" s="5" t="s">
        <v>67</v>
      </c>
      <c r="Y2825" s="4">
        <v>26</v>
      </c>
      <c r="Z2825" s="4">
        <v>1</v>
      </c>
      <c r="AA2825" s="4">
        <v>8</v>
      </c>
      <c r="AB2825" s="4">
        <v>1</v>
      </c>
      <c r="AC2825" s="4">
        <v>5</v>
      </c>
      <c r="AD2825" s="4">
        <v>14</v>
      </c>
      <c r="AE2825" s="4">
        <v>24</v>
      </c>
      <c r="AF2825" s="4">
        <v>0</v>
      </c>
      <c r="AG2825" s="4">
        <v>3</v>
      </c>
      <c r="AH2825" s="4">
        <v>14</v>
      </c>
      <c r="AI2825" s="4">
        <v>20</v>
      </c>
      <c r="AJ2825" s="4">
        <v>0</v>
      </c>
      <c r="AK2825" s="4">
        <v>5</v>
      </c>
      <c r="AL2825" s="4">
        <v>10</v>
      </c>
      <c r="AM2825" s="4">
        <v>14</v>
      </c>
      <c r="AN2825" s="4">
        <v>0</v>
      </c>
      <c r="AO2825" s="4">
        <v>0</v>
      </c>
      <c r="AP2825" s="4">
        <v>0</v>
      </c>
      <c r="AQ2825" s="4">
        <v>5</v>
      </c>
      <c r="AR2825" s="3" t="s">
        <v>62</v>
      </c>
      <c r="AS2825" s="3" t="s">
        <v>62</v>
      </c>
      <c r="AT2825" s="3" t="s">
        <v>62</v>
      </c>
      <c r="AV2825" s="6" t="str">
        <f>HYPERLINK("http://mcgill.on.worldcat.org/oclc/36236556","Catalog Record")</f>
        <v>Catalog Record</v>
      </c>
      <c r="AW2825" s="6" t="str">
        <f>HYPERLINK("http://www.worldcat.org/oclc/36236556","WorldCat Record")</f>
        <v>WorldCat Record</v>
      </c>
      <c r="AX2825" s="3" t="s">
        <v>27354</v>
      </c>
      <c r="AY2825" s="3" t="s">
        <v>27355</v>
      </c>
      <c r="AZ2825" s="3" t="s">
        <v>27356</v>
      </c>
      <c r="BA2825" s="3" t="s">
        <v>27356</v>
      </c>
      <c r="BB2825" s="3" t="s">
        <v>27357</v>
      </c>
      <c r="BC2825" s="3" t="s">
        <v>102</v>
      </c>
      <c r="BD2825" s="3" t="s">
        <v>68</v>
      </c>
      <c r="BE2825" s="3" t="s">
        <v>27358</v>
      </c>
      <c r="BF2825" s="3" t="s">
        <v>27357</v>
      </c>
      <c r="BG2825" s="3" t="s">
        <v>27359</v>
      </c>
    </row>
    <row r="2826" spans="1:59" ht="58" x14ac:dyDescent="0.35">
      <c r="A2826" s="2" t="s">
        <v>89</v>
      </c>
      <c r="B2826" s="2" t="s">
        <v>90</v>
      </c>
      <c r="C2826" s="2" t="s">
        <v>27348</v>
      </c>
      <c r="D2826" s="2" t="s">
        <v>27349</v>
      </c>
      <c r="E2826" s="2" t="s">
        <v>27350</v>
      </c>
      <c r="F2826" s="3" t="s">
        <v>1767</v>
      </c>
      <c r="G2826" s="3" t="s">
        <v>61</v>
      </c>
      <c r="I2826" s="3" t="s">
        <v>62</v>
      </c>
      <c r="J2826" s="3" t="s">
        <v>62</v>
      </c>
      <c r="K2826" s="3" t="s">
        <v>63</v>
      </c>
      <c r="L2826" s="2" t="s">
        <v>27351</v>
      </c>
      <c r="M2826" s="2" t="s">
        <v>27352</v>
      </c>
      <c r="N2826" s="3" t="s">
        <v>481</v>
      </c>
      <c r="P2826" s="3" t="s">
        <v>85</v>
      </c>
      <c r="Q2826" s="2" t="s">
        <v>27353</v>
      </c>
      <c r="R2826" s="3" t="s">
        <v>25645</v>
      </c>
      <c r="S2826" s="4">
        <v>7</v>
      </c>
      <c r="T2826" s="4">
        <v>12</v>
      </c>
      <c r="U2826" s="5" t="s">
        <v>1676</v>
      </c>
      <c r="V2826" s="5" t="s">
        <v>1676</v>
      </c>
      <c r="W2826" s="5" t="s">
        <v>67</v>
      </c>
      <c r="X2826" s="5" t="s">
        <v>67</v>
      </c>
      <c r="Y2826" s="4">
        <v>26</v>
      </c>
      <c r="Z2826" s="4">
        <v>1</v>
      </c>
      <c r="AA2826" s="4">
        <v>8</v>
      </c>
      <c r="AB2826" s="4">
        <v>1</v>
      </c>
      <c r="AC2826" s="4">
        <v>5</v>
      </c>
      <c r="AD2826" s="4">
        <v>14</v>
      </c>
      <c r="AE2826" s="4">
        <v>24</v>
      </c>
      <c r="AF2826" s="4">
        <v>0</v>
      </c>
      <c r="AG2826" s="4">
        <v>3</v>
      </c>
      <c r="AH2826" s="4">
        <v>14</v>
      </c>
      <c r="AI2826" s="4">
        <v>20</v>
      </c>
      <c r="AJ2826" s="4">
        <v>0</v>
      </c>
      <c r="AK2826" s="4">
        <v>5</v>
      </c>
      <c r="AL2826" s="4">
        <v>10</v>
      </c>
      <c r="AM2826" s="4">
        <v>14</v>
      </c>
      <c r="AN2826" s="4">
        <v>0</v>
      </c>
      <c r="AO2826" s="4">
        <v>0</v>
      </c>
      <c r="AP2826" s="4">
        <v>0</v>
      </c>
      <c r="AQ2826" s="4">
        <v>5</v>
      </c>
      <c r="AR2826" s="3" t="s">
        <v>62</v>
      </c>
      <c r="AS2826" s="3" t="s">
        <v>62</v>
      </c>
      <c r="AT2826" s="3" t="s">
        <v>62</v>
      </c>
      <c r="AV2826" s="6" t="str">
        <f>HYPERLINK("http://mcgill.on.worldcat.org/oclc/36236556","Catalog Record")</f>
        <v>Catalog Record</v>
      </c>
      <c r="AW2826" s="6" t="str">
        <f>HYPERLINK("http://www.worldcat.org/oclc/36236556","WorldCat Record")</f>
        <v>WorldCat Record</v>
      </c>
      <c r="AX2826" s="3" t="s">
        <v>27354</v>
      </c>
      <c r="AY2826" s="3" t="s">
        <v>27355</v>
      </c>
      <c r="AZ2826" s="3" t="s">
        <v>27356</v>
      </c>
      <c r="BA2826" s="3" t="s">
        <v>27356</v>
      </c>
      <c r="BB2826" s="3" t="s">
        <v>27360</v>
      </c>
      <c r="BC2826" s="3" t="s">
        <v>102</v>
      </c>
      <c r="BD2826" s="3" t="s">
        <v>68</v>
      </c>
      <c r="BE2826" s="3" t="s">
        <v>27358</v>
      </c>
      <c r="BF2826" s="3" t="s">
        <v>27360</v>
      </c>
      <c r="BG2826" s="3" t="s">
        <v>27361</v>
      </c>
    </row>
    <row r="2827" spans="1:59" ht="58" x14ac:dyDescent="0.35">
      <c r="A2827" s="2" t="s">
        <v>89</v>
      </c>
      <c r="B2827" s="2" t="s">
        <v>90</v>
      </c>
      <c r="C2827" s="2" t="s">
        <v>27362</v>
      </c>
      <c r="D2827" s="2" t="s">
        <v>27363</v>
      </c>
      <c r="E2827" s="2" t="s">
        <v>27364</v>
      </c>
      <c r="G2827" s="3" t="s">
        <v>62</v>
      </c>
      <c r="I2827" s="3" t="s">
        <v>62</v>
      </c>
      <c r="J2827" s="3" t="s">
        <v>62</v>
      </c>
      <c r="K2827" s="3" t="s">
        <v>63</v>
      </c>
      <c r="L2827" s="2" t="s">
        <v>27365</v>
      </c>
      <c r="M2827" s="2" t="s">
        <v>27366</v>
      </c>
      <c r="N2827" s="3" t="s">
        <v>2702</v>
      </c>
      <c r="P2827" s="3" t="s">
        <v>64</v>
      </c>
      <c r="Q2827" s="2" t="s">
        <v>27367</v>
      </c>
      <c r="R2827" s="3" t="s">
        <v>25645</v>
      </c>
      <c r="S2827" s="4">
        <v>3</v>
      </c>
      <c r="T2827" s="4">
        <v>3</v>
      </c>
      <c r="U2827" s="5" t="s">
        <v>2987</v>
      </c>
      <c r="V2827" s="5" t="s">
        <v>2987</v>
      </c>
      <c r="W2827" s="5" t="s">
        <v>67</v>
      </c>
      <c r="X2827" s="5" t="s">
        <v>67</v>
      </c>
      <c r="Y2827" s="4">
        <v>274</v>
      </c>
      <c r="Z2827" s="4">
        <v>19</v>
      </c>
      <c r="AA2827" s="4">
        <v>22</v>
      </c>
      <c r="AB2827" s="4">
        <v>2</v>
      </c>
      <c r="AC2827" s="4">
        <v>4</v>
      </c>
      <c r="AD2827" s="4">
        <v>74</v>
      </c>
      <c r="AE2827" s="4">
        <v>78</v>
      </c>
      <c r="AF2827" s="4">
        <v>0</v>
      </c>
      <c r="AG2827" s="4">
        <v>2</v>
      </c>
      <c r="AH2827" s="4">
        <v>66</v>
      </c>
      <c r="AI2827" s="4">
        <v>68</v>
      </c>
      <c r="AJ2827" s="4">
        <v>10</v>
      </c>
      <c r="AK2827" s="4">
        <v>13</v>
      </c>
      <c r="AL2827" s="4">
        <v>36</v>
      </c>
      <c r="AM2827" s="4">
        <v>37</v>
      </c>
      <c r="AN2827" s="4">
        <v>0</v>
      </c>
      <c r="AO2827" s="4">
        <v>0</v>
      </c>
      <c r="AP2827" s="4">
        <v>12</v>
      </c>
      <c r="AQ2827" s="4">
        <v>14</v>
      </c>
      <c r="AR2827" s="3" t="s">
        <v>62</v>
      </c>
      <c r="AS2827" s="3" t="s">
        <v>62</v>
      </c>
      <c r="AT2827" s="3" t="s">
        <v>62</v>
      </c>
      <c r="AV2827" s="6" t="str">
        <f>HYPERLINK("http://mcgill.on.worldcat.org/oclc/2211561","Catalog Record")</f>
        <v>Catalog Record</v>
      </c>
      <c r="AW2827" s="6" t="str">
        <f>HYPERLINK("http://www.worldcat.org/oclc/2211561","WorldCat Record")</f>
        <v>WorldCat Record</v>
      </c>
      <c r="AX2827" s="3" t="s">
        <v>27368</v>
      </c>
      <c r="AY2827" s="3" t="s">
        <v>27369</v>
      </c>
      <c r="AZ2827" s="3" t="s">
        <v>27370</v>
      </c>
      <c r="BA2827" s="3" t="s">
        <v>27370</v>
      </c>
      <c r="BB2827" s="3" t="s">
        <v>27371</v>
      </c>
      <c r="BC2827" s="3" t="s">
        <v>102</v>
      </c>
      <c r="BD2827" s="3" t="s">
        <v>68</v>
      </c>
      <c r="BF2827" s="3" t="s">
        <v>27371</v>
      </c>
      <c r="BG2827" s="3" t="s">
        <v>27372</v>
      </c>
    </row>
    <row r="2828" spans="1:59" ht="58" x14ac:dyDescent="0.35">
      <c r="A2828" s="2" t="s">
        <v>89</v>
      </c>
      <c r="B2828" s="2" t="s">
        <v>90</v>
      </c>
      <c r="C2828" s="2" t="s">
        <v>27373</v>
      </c>
      <c r="D2828" s="2" t="s">
        <v>27374</v>
      </c>
      <c r="E2828" s="2" t="s">
        <v>27375</v>
      </c>
      <c r="G2828" s="3" t="s">
        <v>62</v>
      </c>
      <c r="I2828" s="3" t="s">
        <v>62</v>
      </c>
      <c r="J2828" s="3" t="s">
        <v>62</v>
      </c>
      <c r="K2828" s="3" t="s">
        <v>63</v>
      </c>
      <c r="L2828" s="2" t="s">
        <v>27376</v>
      </c>
      <c r="M2828" s="2" t="s">
        <v>27377</v>
      </c>
      <c r="N2828" s="3" t="s">
        <v>115</v>
      </c>
      <c r="P2828" s="3" t="s">
        <v>64</v>
      </c>
      <c r="R2828" s="3" t="s">
        <v>25645</v>
      </c>
      <c r="S2828" s="4">
        <v>24</v>
      </c>
      <c r="T2828" s="4">
        <v>24</v>
      </c>
      <c r="U2828" s="5" t="s">
        <v>17302</v>
      </c>
      <c r="V2828" s="5" t="s">
        <v>17302</v>
      </c>
      <c r="W2828" s="5" t="s">
        <v>67</v>
      </c>
      <c r="X2828" s="5" t="s">
        <v>67</v>
      </c>
      <c r="Y2828" s="4">
        <v>211</v>
      </c>
      <c r="Z2828" s="4">
        <v>13</v>
      </c>
      <c r="AA2828" s="4">
        <v>34</v>
      </c>
      <c r="AB2828" s="4">
        <v>2</v>
      </c>
      <c r="AC2828" s="4">
        <v>7</v>
      </c>
      <c r="AD2828" s="4">
        <v>74</v>
      </c>
      <c r="AE2828" s="4">
        <v>78</v>
      </c>
      <c r="AF2828" s="4">
        <v>1</v>
      </c>
      <c r="AG2828" s="4">
        <v>1</v>
      </c>
      <c r="AH2828" s="4">
        <v>70</v>
      </c>
      <c r="AI2828" s="4">
        <v>71</v>
      </c>
      <c r="AJ2828" s="4">
        <v>11</v>
      </c>
      <c r="AK2828" s="4">
        <v>11</v>
      </c>
      <c r="AL2828" s="4">
        <v>42</v>
      </c>
      <c r="AM2828" s="4">
        <v>42</v>
      </c>
      <c r="AN2828" s="4">
        <v>0</v>
      </c>
      <c r="AO2828" s="4">
        <v>0</v>
      </c>
      <c r="AP2828" s="4">
        <v>11</v>
      </c>
      <c r="AQ2828" s="4">
        <v>14</v>
      </c>
      <c r="AR2828" s="3" t="s">
        <v>62</v>
      </c>
      <c r="AS2828" s="3" t="s">
        <v>62</v>
      </c>
      <c r="AT2828" s="3" t="s">
        <v>62</v>
      </c>
      <c r="AV2828" s="6" t="str">
        <f>HYPERLINK("http://mcgill.on.worldcat.org/oclc/18984769","Catalog Record")</f>
        <v>Catalog Record</v>
      </c>
      <c r="AW2828" s="6" t="str">
        <f>HYPERLINK("http://www.worldcat.org/oclc/18984769","WorldCat Record")</f>
        <v>WorldCat Record</v>
      </c>
      <c r="AX2828" s="3" t="s">
        <v>27378</v>
      </c>
      <c r="AY2828" s="3" t="s">
        <v>27379</v>
      </c>
      <c r="AZ2828" s="3" t="s">
        <v>27380</v>
      </c>
      <c r="BA2828" s="3" t="s">
        <v>27380</v>
      </c>
      <c r="BB2828" s="3" t="s">
        <v>27381</v>
      </c>
      <c r="BC2828" s="3" t="s">
        <v>102</v>
      </c>
      <c r="BD2828" s="3" t="s">
        <v>68</v>
      </c>
      <c r="BE2828" s="3" t="s">
        <v>27382</v>
      </c>
      <c r="BF2828" s="3" t="s">
        <v>27381</v>
      </c>
      <c r="BG2828" s="3" t="s">
        <v>27383</v>
      </c>
    </row>
    <row r="2829" spans="1:59" ht="58" x14ac:dyDescent="0.35">
      <c r="A2829" s="2" t="s">
        <v>89</v>
      </c>
      <c r="B2829" s="2" t="s">
        <v>90</v>
      </c>
      <c r="C2829" s="2" t="s">
        <v>27384</v>
      </c>
      <c r="D2829" s="2" t="s">
        <v>27385</v>
      </c>
      <c r="E2829" s="2" t="s">
        <v>27386</v>
      </c>
      <c r="G2829" s="3" t="s">
        <v>62</v>
      </c>
      <c r="I2829" s="3" t="s">
        <v>62</v>
      </c>
      <c r="J2829" s="3" t="s">
        <v>62</v>
      </c>
      <c r="K2829" s="3" t="s">
        <v>63</v>
      </c>
      <c r="L2829" s="2" t="s">
        <v>27387</v>
      </c>
      <c r="M2829" s="2" t="s">
        <v>27388</v>
      </c>
      <c r="N2829" s="3" t="s">
        <v>1482</v>
      </c>
      <c r="P2829" s="3" t="s">
        <v>64</v>
      </c>
      <c r="R2829" s="3" t="s">
        <v>25645</v>
      </c>
      <c r="S2829" s="4">
        <v>1</v>
      </c>
      <c r="T2829" s="4">
        <v>1</v>
      </c>
      <c r="U2829" s="5" t="s">
        <v>27389</v>
      </c>
      <c r="V2829" s="5" t="s">
        <v>27389</v>
      </c>
      <c r="W2829" s="5" t="s">
        <v>67</v>
      </c>
      <c r="X2829" s="5" t="s">
        <v>67</v>
      </c>
      <c r="Y2829" s="4">
        <v>21</v>
      </c>
      <c r="Z2829" s="4">
        <v>5</v>
      </c>
      <c r="AA2829" s="4">
        <v>43</v>
      </c>
      <c r="AB2829" s="4">
        <v>1</v>
      </c>
      <c r="AC2829" s="4">
        <v>4</v>
      </c>
      <c r="AD2829" s="4">
        <v>4</v>
      </c>
      <c r="AE2829" s="4">
        <v>125</v>
      </c>
      <c r="AF2829" s="4">
        <v>0</v>
      </c>
      <c r="AG2829" s="4">
        <v>3</v>
      </c>
      <c r="AH2829" s="4">
        <v>4</v>
      </c>
      <c r="AI2829" s="4">
        <v>102</v>
      </c>
      <c r="AJ2829" s="4">
        <v>2</v>
      </c>
      <c r="AK2829" s="4">
        <v>21</v>
      </c>
      <c r="AL2829" s="4">
        <v>1</v>
      </c>
      <c r="AM2829" s="4">
        <v>55</v>
      </c>
      <c r="AN2829" s="4">
        <v>0</v>
      </c>
      <c r="AO2829" s="4">
        <v>1</v>
      </c>
      <c r="AP2829" s="4">
        <v>2</v>
      </c>
      <c r="AQ2829" s="4">
        <v>28</v>
      </c>
      <c r="AR2829" s="3" t="s">
        <v>62</v>
      </c>
      <c r="AS2829" s="3" t="s">
        <v>62</v>
      </c>
      <c r="AT2829" s="3" t="s">
        <v>61</v>
      </c>
      <c r="AU2829" s="6" t="str">
        <f>HYPERLINK("http://catalog.hathitrust.org/Record/000461871","HathiTrust Record")</f>
        <v>HathiTrust Record</v>
      </c>
      <c r="AV2829" s="6" t="str">
        <f>HYPERLINK("http://mcgill.on.worldcat.org/oclc/21102626","Catalog Record")</f>
        <v>Catalog Record</v>
      </c>
      <c r="AW2829" s="6" t="str">
        <f>HYPERLINK("http://www.worldcat.org/oclc/21102626","WorldCat Record")</f>
        <v>WorldCat Record</v>
      </c>
      <c r="AX2829" s="3" t="s">
        <v>27390</v>
      </c>
      <c r="AY2829" s="3" t="s">
        <v>27391</v>
      </c>
      <c r="AZ2829" s="3" t="s">
        <v>27392</v>
      </c>
      <c r="BA2829" s="3" t="s">
        <v>27392</v>
      </c>
      <c r="BB2829" s="3" t="s">
        <v>27393</v>
      </c>
      <c r="BC2829" s="3" t="s">
        <v>102</v>
      </c>
      <c r="BD2829" s="3" t="s">
        <v>68</v>
      </c>
      <c r="BE2829" s="3" t="s">
        <v>27394</v>
      </c>
      <c r="BF2829" s="3" t="s">
        <v>27393</v>
      </c>
      <c r="BG2829" s="3" t="s">
        <v>27395</v>
      </c>
    </row>
    <row r="2830" spans="1:59" ht="58" x14ac:dyDescent="0.35">
      <c r="A2830" s="2" t="s">
        <v>59</v>
      </c>
      <c r="B2830" s="2" t="s">
        <v>60</v>
      </c>
      <c r="C2830" s="2" t="s">
        <v>27396</v>
      </c>
      <c r="D2830" s="2" t="s">
        <v>27397</v>
      </c>
      <c r="E2830" s="2" t="s">
        <v>27398</v>
      </c>
      <c r="G2830" s="3" t="s">
        <v>62</v>
      </c>
      <c r="I2830" s="3" t="s">
        <v>62</v>
      </c>
      <c r="J2830" s="3" t="s">
        <v>62</v>
      </c>
      <c r="K2830" s="3" t="s">
        <v>63</v>
      </c>
      <c r="L2830" s="2" t="s">
        <v>27399</v>
      </c>
      <c r="M2830" s="2" t="s">
        <v>19151</v>
      </c>
      <c r="N2830" s="3" t="s">
        <v>1077</v>
      </c>
      <c r="P2830" s="3" t="s">
        <v>64</v>
      </c>
      <c r="R2830" s="3" t="s">
        <v>25645</v>
      </c>
      <c r="S2830" s="4">
        <v>8</v>
      </c>
      <c r="T2830" s="4">
        <v>8</v>
      </c>
      <c r="U2830" s="5" t="s">
        <v>17100</v>
      </c>
      <c r="V2830" s="5" t="s">
        <v>17100</v>
      </c>
      <c r="W2830" s="5" t="s">
        <v>67</v>
      </c>
      <c r="X2830" s="5" t="s">
        <v>67</v>
      </c>
      <c r="Y2830" s="4">
        <v>372</v>
      </c>
      <c r="Z2830" s="4">
        <v>21</v>
      </c>
      <c r="AA2830" s="4">
        <v>93</v>
      </c>
      <c r="AB2830" s="4">
        <v>2</v>
      </c>
      <c r="AC2830" s="4">
        <v>17</v>
      </c>
      <c r="AD2830" s="4">
        <v>107</v>
      </c>
      <c r="AE2830" s="4">
        <v>145</v>
      </c>
      <c r="AF2830" s="4">
        <v>1</v>
      </c>
      <c r="AG2830" s="4">
        <v>8</v>
      </c>
      <c r="AH2830" s="4">
        <v>94</v>
      </c>
      <c r="AI2830" s="4">
        <v>106</v>
      </c>
      <c r="AJ2830" s="4">
        <v>15</v>
      </c>
      <c r="AK2830" s="4">
        <v>25</v>
      </c>
      <c r="AL2830" s="4">
        <v>56</v>
      </c>
      <c r="AM2830" s="4">
        <v>57</v>
      </c>
      <c r="AN2830" s="4">
        <v>0</v>
      </c>
      <c r="AO2830" s="4">
        <v>0</v>
      </c>
      <c r="AP2830" s="4">
        <v>16</v>
      </c>
      <c r="AQ2830" s="4">
        <v>45</v>
      </c>
      <c r="AR2830" s="3" t="s">
        <v>62</v>
      </c>
      <c r="AS2830" s="3" t="s">
        <v>62</v>
      </c>
      <c r="AT2830" s="3" t="s">
        <v>62</v>
      </c>
      <c r="AV2830" s="6" t="str">
        <f>HYPERLINK("http://mcgill.on.worldcat.org/oclc/28016069","Catalog Record")</f>
        <v>Catalog Record</v>
      </c>
      <c r="AW2830" s="6" t="str">
        <f>HYPERLINK("http://www.worldcat.org/oclc/28016069","WorldCat Record")</f>
        <v>WorldCat Record</v>
      </c>
      <c r="AX2830" s="3" t="s">
        <v>27400</v>
      </c>
      <c r="AY2830" s="3" t="s">
        <v>27401</v>
      </c>
      <c r="AZ2830" s="3" t="s">
        <v>27402</v>
      </c>
      <c r="BA2830" s="3" t="s">
        <v>27402</v>
      </c>
      <c r="BB2830" s="3" t="s">
        <v>27403</v>
      </c>
      <c r="BC2830" s="3" t="s">
        <v>102</v>
      </c>
      <c r="BD2830" s="3" t="s">
        <v>6923</v>
      </c>
      <c r="BE2830" s="3" t="s">
        <v>27404</v>
      </c>
      <c r="BF2830" s="3" t="s">
        <v>27403</v>
      </c>
      <c r="BG2830" s="3" t="s">
        <v>27405</v>
      </c>
    </row>
    <row r="2831" spans="1:59" ht="58" x14ac:dyDescent="0.35">
      <c r="A2831" s="2" t="s">
        <v>89</v>
      </c>
      <c r="B2831" s="2" t="s">
        <v>90</v>
      </c>
      <c r="C2831" s="2" t="s">
        <v>27406</v>
      </c>
      <c r="D2831" s="2" t="s">
        <v>27407</v>
      </c>
      <c r="E2831" s="2" t="s">
        <v>27408</v>
      </c>
      <c r="G2831" s="3" t="s">
        <v>62</v>
      </c>
      <c r="I2831" s="3" t="s">
        <v>62</v>
      </c>
      <c r="J2831" s="3" t="s">
        <v>61</v>
      </c>
      <c r="K2831" s="3" t="s">
        <v>63</v>
      </c>
      <c r="L2831" s="2" t="s">
        <v>2847</v>
      </c>
      <c r="M2831" s="2" t="s">
        <v>27409</v>
      </c>
      <c r="N2831" s="3" t="s">
        <v>2445</v>
      </c>
      <c r="O2831" s="2" t="s">
        <v>3990</v>
      </c>
      <c r="P2831" s="3" t="s">
        <v>64</v>
      </c>
      <c r="Q2831" s="2" t="s">
        <v>27410</v>
      </c>
      <c r="R2831" s="3" t="s">
        <v>25645</v>
      </c>
      <c r="S2831" s="4">
        <v>6</v>
      </c>
      <c r="T2831" s="4">
        <v>6</v>
      </c>
      <c r="U2831" s="5" t="s">
        <v>12735</v>
      </c>
      <c r="V2831" s="5" t="s">
        <v>12735</v>
      </c>
      <c r="W2831" s="5" t="s">
        <v>67</v>
      </c>
      <c r="X2831" s="5" t="s">
        <v>67</v>
      </c>
      <c r="Y2831" s="4">
        <v>434</v>
      </c>
      <c r="Z2831" s="4">
        <v>17</v>
      </c>
      <c r="AA2831" s="4">
        <v>35</v>
      </c>
      <c r="AB2831" s="4">
        <v>1</v>
      </c>
      <c r="AC2831" s="4">
        <v>2</v>
      </c>
      <c r="AD2831" s="4">
        <v>64</v>
      </c>
      <c r="AE2831" s="4">
        <v>101</v>
      </c>
      <c r="AF2831" s="4">
        <v>0</v>
      </c>
      <c r="AG2831" s="4">
        <v>0</v>
      </c>
      <c r="AH2831" s="4">
        <v>51</v>
      </c>
      <c r="AI2831" s="4">
        <v>81</v>
      </c>
      <c r="AJ2831" s="4">
        <v>6</v>
      </c>
      <c r="AK2831" s="4">
        <v>11</v>
      </c>
      <c r="AL2831" s="4">
        <v>29</v>
      </c>
      <c r="AM2831" s="4">
        <v>45</v>
      </c>
      <c r="AN2831" s="4">
        <v>0</v>
      </c>
      <c r="AO2831" s="4">
        <v>0</v>
      </c>
      <c r="AP2831" s="4">
        <v>13</v>
      </c>
      <c r="AQ2831" s="4">
        <v>23</v>
      </c>
      <c r="AR2831" s="3" t="s">
        <v>62</v>
      </c>
      <c r="AS2831" s="3" t="s">
        <v>62</v>
      </c>
      <c r="AT2831" s="3" t="s">
        <v>61</v>
      </c>
      <c r="AU2831" s="6" t="str">
        <f>HYPERLINK("http://catalog.hathitrust.org/Record/006255921","HathiTrust Record")</f>
        <v>HathiTrust Record</v>
      </c>
      <c r="AV2831" s="6" t="str">
        <f>HYPERLINK("http://mcgill.on.worldcat.org/oclc/193203","Catalog Record")</f>
        <v>Catalog Record</v>
      </c>
      <c r="AW2831" s="6" t="str">
        <f>HYPERLINK("http://www.worldcat.org/oclc/193203","WorldCat Record")</f>
        <v>WorldCat Record</v>
      </c>
      <c r="AX2831" s="3" t="s">
        <v>27411</v>
      </c>
      <c r="AY2831" s="3" t="s">
        <v>27412</v>
      </c>
      <c r="AZ2831" s="3" t="s">
        <v>27413</v>
      </c>
      <c r="BA2831" s="3" t="s">
        <v>27413</v>
      </c>
      <c r="BB2831" s="3" t="s">
        <v>27414</v>
      </c>
      <c r="BC2831" s="3" t="s">
        <v>102</v>
      </c>
      <c r="BD2831" s="3" t="s">
        <v>68</v>
      </c>
      <c r="BF2831" s="3" t="s">
        <v>27414</v>
      </c>
      <c r="BG2831" s="3" t="s">
        <v>27415</v>
      </c>
    </row>
    <row r="2832" spans="1:59" ht="58" x14ac:dyDescent="0.35">
      <c r="A2832" s="2" t="s">
        <v>89</v>
      </c>
      <c r="B2832" s="2" t="s">
        <v>90</v>
      </c>
      <c r="C2832" s="2" t="s">
        <v>27416</v>
      </c>
      <c r="D2832" s="2" t="s">
        <v>27417</v>
      </c>
      <c r="E2832" s="2" t="s">
        <v>27418</v>
      </c>
      <c r="G2832" s="3" t="s">
        <v>62</v>
      </c>
      <c r="I2832" s="3" t="s">
        <v>61</v>
      </c>
      <c r="J2832" s="3" t="s">
        <v>61</v>
      </c>
      <c r="K2832" s="3" t="s">
        <v>63</v>
      </c>
      <c r="L2832" s="2" t="s">
        <v>27419</v>
      </c>
      <c r="M2832" s="2" t="s">
        <v>27420</v>
      </c>
      <c r="N2832" s="3" t="s">
        <v>2924</v>
      </c>
      <c r="P2832" s="3" t="s">
        <v>64</v>
      </c>
      <c r="Q2832" s="2" t="s">
        <v>27421</v>
      </c>
      <c r="R2832" s="3" t="s">
        <v>25645</v>
      </c>
      <c r="S2832" s="4">
        <v>3</v>
      </c>
      <c r="T2832" s="4">
        <v>12</v>
      </c>
      <c r="U2832" s="5" t="s">
        <v>23761</v>
      </c>
      <c r="V2832" s="5" t="s">
        <v>23761</v>
      </c>
      <c r="W2832" s="5" t="s">
        <v>67</v>
      </c>
      <c r="X2832" s="5" t="s">
        <v>67</v>
      </c>
      <c r="Y2832" s="4">
        <v>246</v>
      </c>
      <c r="Z2832" s="4">
        <v>10</v>
      </c>
      <c r="AA2832" s="4">
        <v>35</v>
      </c>
      <c r="AB2832" s="4">
        <v>1</v>
      </c>
      <c r="AC2832" s="4">
        <v>2</v>
      </c>
      <c r="AD2832" s="4">
        <v>37</v>
      </c>
      <c r="AE2832" s="4">
        <v>101</v>
      </c>
      <c r="AF2832" s="4">
        <v>0</v>
      </c>
      <c r="AG2832" s="4">
        <v>0</v>
      </c>
      <c r="AH2832" s="4">
        <v>33</v>
      </c>
      <c r="AI2832" s="4">
        <v>81</v>
      </c>
      <c r="AJ2832" s="4">
        <v>2</v>
      </c>
      <c r="AK2832" s="4">
        <v>11</v>
      </c>
      <c r="AL2832" s="4">
        <v>19</v>
      </c>
      <c r="AM2832" s="4">
        <v>45</v>
      </c>
      <c r="AN2832" s="4">
        <v>0</v>
      </c>
      <c r="AO2832" s="4">
        <v>0</v>
      </c>
      <c r="AP2832" s="4">
        <v>5</v>
      </c>
      <c r="AQ2832" s="4">
        <v>23</v>
      </c>
      <c r="AR2832" s="3" t="s">
        <v>62</v>
      </c>
      <c r="AS2832" s="3" t="s">
        <v>62</v>
      </c>
      <c r="AT2832" s="3" t="s">
        <v>61</v>
      </c>
      <c r="AU2832" s="6" t="str">
        <f>HYPERLINK("http://catalog.hathitrust.org/Record/000661900","HathiTrust Record")</f>
        <v>HathiTrust Record</v>
      </c>
      <c r="AV2832" s="6" t="str">
        <f>HYPERLINK("http://mcgill.on.worldcat.org/oclc/3091650","Catalog Record")</f>
        <v>Catalog Record</v>
      </c>
      <c r="AW2832" s="6" t="str">
        <f>HYPERLINK("http://www.worldcat.org/oclc/3091650","WorldCat Record")</f>
        <v>WorldCat Record</v>
      </c>
      <c r="AX2832" s="3" t="s">
        <v>27411</v>
      </c>
      <c r="AY2832" s="3" t="s">
        <v>27422</v>
      </c>
      <c r="AZ2832" s="3" t="s">
        <v>27423</v>
      </c>
      <c r="BA2832" s="3" t="s">
        <v>27423</v>
      </c>
      <c r="BB2832" s="3" t="s">
        <v>27424</v>
      </c>
      <c r="BC2832" s="3" t="s">
        <v>102</v>
      </c>
      <c r="BD2832" s="3" t="s">
        <v>68</v>
      </c>
      <c r="BE2832" s="3" t="s">
        <v>27425</v>
      </c>
      <c r="BF2832" s="3" t="s">
        <v>27424</v>
      </c>
      <c r="BG2832" s="3" t="s">
        <v>27426</v>
      </c>
    </row>
    <row r="2833" spans="1:59" ht="58" x14ac:dyDescent="0.35">
      <c r="A2833" s="2" t="s">
        <v>89</v>
      </c>
      <c r="B2833" s="2" t="s">
        <v>90</v>
      </c>
      <c r="C2833" s="2" t="s">
        <v>27427</v>
      </c>
      <c r="D2833" s="2" t="s">
        <v>27428</v>
      </c>
      <c r="E2833" s="2" t="s">
        <v>27429</v>
      </c>
      <c r="G2833" s="3" t="s">
        <v>62</v>
      </c>
      <c r="I2833" s="3" t="s">
        <v>62</v>
      </c>
      <c r="J2833" s="3" t="s">
        <v>62</v>
      </c>
      <c r="K2833" s="3" t="s">
        <v>63</v>
      </c>
      <c r="L2833" s="2" t="s">
        <v>27430</v>
      </c>
      <c r="M2833" s="2" t="s">
        <v>27431</v>
      </c>
      <c r="N2833" s="3" t="s">
        <v>27432</v>
      </c>
      <c r="P2833" s="3" t="s">
        <v>85</v>
      </c>
      <c r="R2833" s="3" t="s">
        <v>25645</v>
      </c>
      <c r="S2833" s="4">
        <v>2</v>
      </c>
      <c r="T2833" s="4">
        <v>2</v>
      </c>
      <c r="U2833" s="5" t="s">
        <v>23761</v>
      </c>
      <c r="V2833" s="5" t="s">
        <v>23761</v>
      </c>
      <c r="W2833" s="5" t="s">
        <v>67</v>
      </c>
      <c r="X2833" s="5" t="s">
        <v>67</v>
      </c>
      <c r="Y2833" s="4">
        <v>49</v>
      </c>
      <c r="Z2833" s="4">
        <v>4</v>
      </c>
      <c r="AA2833" s="4">
        <v>20</v>
      </c>
      <c r="AB2833" s="4">
        <v>1</v>
      </c>
      <c r="AC2833" s="4">
        <v>3</v>
      </c>
      <c r="AD2833" s="4">
        <v>20</v>
      </c>
      <c r="AE2833" s="4">
        <v>38</v>
      </c>
      <c r="AF2833" s="4">
        <v>0</v>
      </c>
      <c r="AG2833" s="4">
        <v>1</v>
      </c>
      <c r="AH2833" s="4">
        <v>19</v>
      </c>
      <c r="AI2833" s="4">
        <v>32</v>
      </c>
      <c r="AJ2833" s="4">
        <v>2</v>
      </c>
      <c r="AK2833" s="4">
        <v>6</v>
      </c>
      <c r="AL2833" s="4">
        <v>15</v>
      </c>
      <c r="AM2833" s="4">
        <v>23</v>
      </c>
      <c r="AN2833" s="4">
        <v>0</v>
      </c>
      <c r="AO2833" s="4">
        <v>0</v>
      </c>
      <c r="AP2833" s="4">
        <v>2</v>
      </c>
      <c r="AQ2833" s="4">
        <v>8</v>
      </c>
      <c r="AR2833" s="3" t="s">
        <v>62</v>
      </c>
      <c r="AS2833" s="3" t="s">
        <v>62</v>
      </c>
      <c r="AT2833" s="3" t="s">
        <v>62</v>
      </c>
      <c r="AU2833" s="6" t="str">
        <f>HYPERLINK("http://catalog.hathitrust.org/Record/008681004","HathiTrust Record")</f>
        <v>HathiTrust Record</v>
      </c>
      <c r="AV2833" s="6" t="str">
        <f>HYPERLINK("http://mcgill.on.worldcat.org/oclc/8591808","Catalog Record")</f>
        <v>Catalog Record</v>
      </c>
      <c r="AW2833" s="6" t="str">
        <f>HYPERLINK("http://www.worldcat.org/oclc/8591808","WorldCat Record")</f>
        <v>WorldCat Record</v>
      </c>
      <c r="AX2833" s="3" t="s">
        <v>27433</v>
      </c>
      <c r="AY2833" s="3" t="s">
        <v>27434</v>
      </c>
      <c r="AZ2833" s="3" t="s">
        <v>27435</v>
      </c>
      <c r="BA2833" s="3" t="s">
        <v>27435</v>
      </c>
      <c r="BB2833" s="3" t="s">
        <v>27436</v>
      </c>
      <c r="BC2833" s="3" t="s">
        <v>102</v>
      </c>
      <c r="BD2833" s="3" t="s">
        <v>68</v>
      </c>
      <c r="BF2833" s="3" t="s">
        <v>27436</v>
      </c>
      <c r="BG2833" s="3" t="s">
        <v>27437</v>
      </c>
    </row>
    <row r="2834" spans="1:59" ht="58" x14ac:dyDescent="0.35">
      <c r="A2834" s="2" t="s">
        <v>89</v>
      </c>
      <c r="B2834" s="2" t="s">
        <v>90</v>
      </c>
      <c r="C2834" s="2" t="s">
        <v>27438</v>
      </c>
      <c r="D2834" s="2" t="s">
        <v>27439</v>
      </c>
      <c r="E2834" s="2" t="s">
        <v>27440</v>
      </c>
      <c r="G2834" s="3" t="s">
        <v>62</v>
      </c>
      <c r="I2834" s="3" t="s">
        <v>62</v>
      </c>
      <c r="J2834" s="3" t="s">
        <v>62</v>
      </c>
      <c r="K2834" s="3" t="s">
        <v>63</v>
      </c>
      <c r="L2834" s="2" t="s">
        <v>27441</v>
      </c>
      <c r="M2834" s="2" t="s">
        <v>14535</v>
      </c>
      <c r="N2834" s="3" t="s">
        <v>2975</v>
      </c>
      <c r="P2834" s="3" t="s">
        <v>64</v>
      </c>
      <c r="Q2834" s="2" t="s">
        <v>27442</v>
      </c>
      <c r="R2834" s="3" t="s">
        <v>27443</v>
      </c>
      <c r="S2834" s="4">
        <v>6</v>
      </c>
      <c r="T2834" s="4">
        <v>6</v>
      </c>
      <c r="U2834" s="5" t="s">
        <v>27444</v>
      </c>
      <c r="V2834" s="5" t="s">
        <v>27444</v>
      </c>
      <c r="W2834" s="5" t="s">
        <v>67</v>
      </c>
      <c r="X2834" s="5" t="s">
        <v>67</v>
      </c>
      <c r="Y2834" s="4">
        <v>220</v>
      </c>
      <c r="Z2834" s="4">
        <v>12</v>
      </c>
      <c r="AA2834" s="4">
        <v>31</v>
      </c>
      <c r="AB2834" s="4">
        <v>1</v>
      </c>
      <c r="AC2834" s="4">
        <v>6</v>
      </c>
      <c r="AD2834" s="4">
        <v>79</v>
      </c>
      <c r="AE2834" s="4">
        <v>97</v>
      </c>
      <c r="AF2834" s="4">
        <v>0</v>
      </c>
      <c r="AG2834" s="4">
        <v>2</v>
      </c>
      <c r="AH2834" s="4">
        <v>70</v>
      </c>
      <c r="AI2834" s="4">
        <v>79</v>
      </c>
      <c r="AJ2834" s="4">
        <v>8</v>
      </c>
      <c r="AK2834" s="4">
        <v>14</v>
      </c>
      <c r="AL2834" s="4">
        <v>40</v>
      </c>
      <c r="AM2834" s="4">
        <v>43</v>
      </c>
      <c r="AN2834" s="4">
        <v>0</v>
      </c>
      <c r="AO2834" s="4">
        <v>0</v>
      </c>
      <c r="AP2834" s="4">
        <v>10</v>
      </c>
      <c r="AQ2834" s="4">
        <v>23</v>
      </c>
      <c r="AR2834" s="3" t="s">
        <v>62</v>
      </c>
      <c r="AS2834" s="3" t="s">
        <v>62</v>
      </c>
      <c r="AT2834" s="3" t="s">
        <v>62</v>
      </c>
      <c r="AV2834" s="6" t="str">
        <f>HYPERLINK("http://mcgill.on.worldcat.org/oclc/43864413","Catalog Record")</f>
        <v>Catalog Record</v>
      </c>
      <c r="AW2834" s="6" t="str">
        <f>HYPERLINK("http://www.worldcat.org/oclc/43864413","WorldCat Record")</f>
        <v>WorldCat Record</v>
      </c>
      <c r="AX2834" s="3" t="s">
        <v>27445</v>
      </c>
      <c r="AY2834" s="3" t="s">
        <v>27446</v>
      </c>
      <c r="AZ2834" s="3" t="s">
        <v>27447</v>
      </c>
      <c r="BA2834" s="3" t="s">
        <v>27447</v>
      </c>
      <c r="BB2834" s="3" t="s">
        <v>27448</v>
      </c>
      <c r="BC2834" s="3" t="s">
        <v>102</v>
      </c>
      <c r="BD2834" s="3" t="s">
        <v>68</v>
      </c>
      <c r="BE2834" s="3" t="s">
        <v>27449</v>
      </c>
      <c r="BF2834" s="3" t="s">
        <v>27448</v>
      </c>
      <c r="BG2834" s="3" t="s">
        <v>27450</v>
      </c>
    </row>
    <row r="2835" spans="1:59" ht="58" x14ac:dyDescent="0.35">
      <c r="A2835" s="2" t="s">
        <v>89</v>
      </c>
      <c r="B2835" s="2" t="s">
        <v>90</v>
      </c>
      <c r="C2835" s="2" t="s">
        <v>27451</v>
      </c>
      <c r="D2835" s="2" t="s">
        <v>27452</v>
      </c>
      <c r="E2835" s="2" t="s">
        <v>27453</v>
      </c>
      <c r="G2835" s="3" t="s">
        <v>62</v>
      </c>
      <c r="I2835" s="3" t="s">
        <v>62</v>
      </c>
      <c r="J2835" s="3" t="s">
        <v>61</v>
      </c>
      <c r="K2835" s="3" t="s">
        <v>63</v>
      </c>
      <c r="L2835" s="2" t="s">
        <v>27454</v>
      </c>
      <c r="M2835" s="2" t="s">
        <v>27455</v>
      </c>
      <c r="N2835" s="3" t="s">
        <v>2924</v>
      </c>
      <c r="P2835" s="3" t="s">
        <v>64</v>
      </c>
      <c r="Q2835" s="2" t="s">
        <v>27456</v>
      </c>
      <c r="R2835" s="3" t="s">
        <v>27443</v>
      </c>
      <c r="S2835" s="4">
        <v>4</v>
      </c>
      <c r="T2835" s="4">
        <v>4</v>
      </c>
      <c r="U2835" s="5" t="s">
        <v>12158</v>
      </c>
      <c r="V2835" s="5" t="s">
        <v>12158</v>
      </c>
      <c r="W2835" s="5" t="s">
        <v>67</v>
      </c>
      <c r="X2835" s="5" t="s">
        <v>67</v>
      </c>
      <c r="Y2835" s="4">
        <v>877</v>
      </c>
      <c r="Z2835" s="4">
        <v>48</v>
      </c>
      <c r="AA2835" s="4">
        <v>68</v>
      </c>
      <c r="AB2835" s="4">
        <v>4</v>
      </c>
      <c r="AC2835" s="4">
        <v>14</v>
      </c>
      <c r="AD2835" s="4">
        <v>129</v>
      </c>
      <c r="AE2835" s="4">
        <v>151</v>
      </c>
      <c r="AF2835" s="4">
        <v>2</v>
      </c>
      <c r="AG2835" s="4">
        <v>6</v>
      </c>
      <c r="AH2835" s="4">
        <v>101</v>
      </c>
      <c r="AI2835" s="4">
        <v>113</v>
      </c>
      <c r="AJ2835" s="4">
        <v>22</v>
      </c>
      <c r="AK2835" s="4">
        <v>29</v>
      </c>
      <c r="AL2835" s="4">
        <v>55</v>
      </c>
      <c r="AM2835" s="4">
        <v>61</v>
      </c>
      <c r="AN2835" s="4">
        <v>0</v>
      </c>
      <c r="AO2835" s="4">
        <v>1</v>
      </c>
      <c r="AP2835" s="4">
        <v>34</v>
      </c>
      <c r="AQ2835" s="4">
        <v>44</v>
      </c>
      <c r="AR2835" s="3" t="s">
        <v>62</v>
      </c>
      <c r="AS2835" s="3" t="s">
        <v>62</v>
      </c>
      <c r="AT2835" s="3" t="s">
        <v>61</v>
      </c>
      <c r="AU2835" s="6" t="str">
        <f>HYPERLINK("http://catalog.hathitrust.org/Record/001477487","HathiTrust Record")</f>
        <v>HathiTrust Record</v>
      </c>
      <c r="AV2835" s="6" t="str">
        <f>HYPERLINK("http://mcgill.on.worldcat.org/oclc/174373","Catalog Record")</f>
        <v>Catalog Record</v>
      </c>
      <c r="AW2835" s="6" t="str">
        <f>HYPERLINK("http://www.worldcat.org/oclc/174373","WorldCat Record")</f>
        <v>WorldCat Record</v>
      </c>
      <c r="AX2835" s="3" t="s">
        <v>27457</v>
      </c>
      <c r="AY2835" s="3" t="s">
        <v>27458</v>
      </c>
      <c r="AZ2835" s="3" t="s">
        <v>27459</v>
      </c>
      <c r="BA2835" s="3" t="s">
        <v>27459</v>
      </c>
      <c r="BB2835" s="3" t="s">
        <v>27460</v>
      </c>
      <c r="BC2835" s="3" t="s">
        <v>102</v>
      </c>
      <c r="BD2835" s="3" t="s">
        <v>68</v>
      </c>
      <c r="BF2835" s="3" t="s">
        <v>27460</v>
      </c>
      <c r="BG2835" s="3" t="s">
        <v>27461</v>
      </c>
    </row>
    <row r="2836" spans="1:59" ht="58" x14ac:dyDescent="0.35">
      <c r="A2836" s="2" t="s">
        <v>89</v>
      </c>
      <c r="B2836" s="2" t="s">
        <v>90</v>
      </c>
      <c r="C2836" s="2" t="s">
        <v>27462</v>
      </c>
      <c r="D2836" s="2" t="s">
        <v>27463</v>
      </c>
      <c r="E2836" s="2" t="s">
        <v>27464</v>
      </c>
      <c r="G2836" s="3" t="s">
        <v>62</v>
      </c>
      <c r="I2836" s="3" t="s">
        <v>62</v>
      </c>
      <c r="J2836" s="3" t="s">
        <v>61</v>
      </c>
      <c r="K2836" s="3" t="s">
        <v>63</v>
      </c>
      <c r="L2836" s="2" t="s">
        <v>27465</v>
      </c>
      <c r="M2836" s="2" t="s">
        <v>27466</v>
      </c>
      <c r="N2836" s="3" t="s">
        <v>2679</v>
      </c>
      <c r="P2836" s="3" t="s">
        <v>64</v>
      </c>
      <c r="R2836" s="3" t="s">
        <v>27443</v>
      </c>
      <c r="S2836" s="4">
        <v>7</v>
      </c>
      <c r="T2836" s="4">
        <v>7</v>
      </c>
      <c r="U2836" s="5" t="s">
        <v>14064</v>
      </c>
      <c r="V2836" s="5" t="s">
        <v>14064</v>
      </c>
      <c r="W2836" s="5" t="s">
        <v>67</v>
      </c>
      <c r="X2836" s="5" t="s">
        <v>67</v>
      </c>
      <c r="Y2836" s="4">
        <v>74</v>
      </c>
      <c r="Z2836" s="4">
        <v>7</v>
      </c>
      <c r="AA2836" s="4">
        <v>33</v>
      </c>
      <c r="AB2836" s="4">
        <v>1</v>
      </c>
      <c r="AC2836" s="4">
        <v>3</v>
      </c>
      <c r="AD2836" s="4">
        <v>26</v>
      </c>
      <c r="AE2836" s="4">
        <v>96</v>
      </c>
      <c r="AF2836" s="4">
        <v>0</v>
      </c>
      <c r="AG2836" s="4">
        <v>1</v>
      </c>
      <c r="AH2836" s="4">
        <v>22</v>
      </c>
      <c r="AI2836" s="4">
        <v>79</v>
      </c>
      <c r="AJ2836" s="4">
        <v>5</v>
      </c>
      <c r="AK2836" s="4">
        <v>18</v>
      </c>
      <c r="AL2836" s="4">
        <v>16</v>
      </c>
      <c r="AM2836" s="4">
        <v>44</v>
      </c>
      <c r="AN2836" s="4">
        <v>0</v>
      </c>
      <c r="AO2836" s="4">
        <v>0</v>
      </c>
      <c r="AP2836" s="4">
        <v>5</v>
      </c>
      <c r="AQ2836" s="4">
        <v>22</v>
      </c>
      <c r="AR2836" s="3" t="s">
        <v>62</v>
      </c>
      <c r="AS2836" s="3" t="s">
        <v>62</v>
      </c>
      <c r="AT2836" s="3" t="s">
        <v>61</v>
      </c>
      <c r="AU2836" s="6" t="str">
        <f>HYPERLINK("http://catalog.hathitrust.org/Record/001477492","HathiTrust Record")</f>
        <v>HathiTrust Record</v>
      </c>
      <c r="AV2836" s="6" t="str">
        <f>HYPERLINK("http://mcgill.on.worldcat.org/oclc/880789","Catalog Record")</f>
        <v>Catalog Record</v>
      </c>
      <c r="AW2836" s="6" t="str">
        <f>HYPERLINK("http://www.worldcat.org/oclc/880789","WorldCat Record")</f>
        <v>WorldCat Record</v>
      </c>
      <c r="AX2836" s="3" t="s">
        <v>27467</v>
      </c>
      <c r="AY2836" s="3" t="s">
        <v>27468</v>
      </c>
      <c r="AZ2836" s="3" t="s">
        <v>27469</v>
      </c>
      <c r="BA2836" s="3" t="s">
        <v>27469</v>
      </c>
      <c r="BB2836" s="3" t="s">
        <v>27470</v>
      </c>
      <c r="BC2836" s="3" t="s">
        <v>102</v>
      </c>
      <c r="BD2836" s="3" t="s">
        <v>68</v>
      </c>
      <c r="BF2836" s="3" t="s">
        <v>27470</v>
      </c>
      <c r="BG2836" s="3" t="s">
        <v>27471</v>
      </c>
    </row>
    <row r="2837" spans="1:59" ht="58" x14ac:dyDescent="0.35">
      <c r="A2837" s="2" t="s">
        <v>89</v>
      </c>
      <c r="B2837" s="2" t="s">
        <v>90</v>
      </c>
      <c r="C2837" s="2" t="s">
        <v>27472</v>
      </c>
      <c r="D2837" s="2" t="s">
        <v>27473</v>
      </c>
      <c r="E2837" s="2" t="s">
        <v>27474</v>
      </c>
      <c r="G2837" s="3" t="s">
        <v>62</v>
      </c>
      <c r="I2837" s="3" t="s">
        <v>61</v>
      </c>
      <c r="J2837" s="3" t="s">
        <v>62</v>
      </c>
      <c r="K2837" s="3" t="s">
        <v>63</v>
      </c>
      <c r="L2837" s="2" t="s">
        <v>6639</v>
      </c>
      <c r="M2837" s="2" t="s">
        <v>27475</v>
      </c>
      <c r="N2837" s="3" t="s">
        <v>2566</v>
      </c>
      <c r="P2837" s="3" t="s">
        <v>64</v>
      </c>
      <c r="Q2837" s="2" t="s">
        <v>7401</v>
      </c>
      <c r="R2837" s="3" t="s">
        <v>27443</v>
      </c>
      <c r="S2837" s="4">
        <v>17</v>
      </c>
      <c r="T2837" s="4">
        <v>35</v>
      </c>
      <c r="U2837" s="5" t="s">
        <v>27476</v>
      </c>
      <c r="V2837" s="5" t="s">
        <v>27476</v>
      </c>
      <c r="W2837" s="5" t="s">
        <v>67</v>
      </c>
      <c r="X2837" s="5" t="s">
        <v>67</v>
      </c>
      <c r="Y2837" s="4">
        <v>338</v>
      </c>
      <c r="Z2837" s="4">
        <v>26</v>
      </c>
      <c r="AA2837" s="4">
        <v>41</v>
      </c>
      <c r="AB2837" s="4">
        <v>1</v>
      </c>
      <c r="AC2837" s="4">
        <v>5</v>
      </c>
      <c r="AD2837" s="4">
        <v>89</v>
      </c>
      <c r="AE2837" s="4">
        <v>113</v>
      </c>
      <c r="AF2837" s="4">
        <v>0</v>
      </c>
      <c r="AG2837" s="4">
        <v>3</v>
      </c>
      <c r="AH2837" s="4">
        <v>73</v>
      </c>
      <c r="AI2837" s="4">
        <v>88</v>
      </c>
      <c r="AJ2837" s="4">
        <v>16</v>
      </c>
      <c r="AK2837" s="4">
        <v>26</v>
      </c>
      <c r="AL2837" s="4">
        <v>38</v>
      </c>
      <c r="AM2837" s="4">
        <v>49</v>
      </c>
      <c r="AN2837" s="4">
        <v>0</v>
      </c>
      <c r="AO2837" s="4">
        <v>0</v>
      </c>
      <c r="AP2837" s="4">
        <v>22</v>
      </c>
      <c r="AQ2837" s="4">
        <v>31</v>
      </c>
      <c r="AR2837" s="3" t="s">
        <v>62</v>
      </c>
      <c r="AS2837" s="3" t="s">
        <v>62</v>
      </c>
      <c r="AT2837" s="3" t="s">
        <v>62</v>
      </c>
      <c r="AV2837" s="6" t="str">
        <f>HYPERLINK("http://mcgill.on.worldcat.org/oclc/613671","Catalog Record")</f>
        <v>Catalog Record</v>
      </c>
      <c r="AW2837" s="6" t="str">
        <f>HYPERLINK("http://www.worldcat.org/oclc/613671","WorldCat Record")</f>
        <v>WorldCat Record</v>
      </c>
      <c r="AX2837" s="3" t="s">
        <v>27477</v>
      </c>
      <c r="AY2837" s="3" t="s">
        <v>27478</v>
      </c>
      <c r="AZ2837" s="3" t="s">
        <v>27479</v>
      </c>
      <c r="BA2837" s="3" t="s">
        <v>27479</v>
      </c>
      <c r="BB2837" s="3" t="s">
        <v>27480</v>
      </c>
      <c r="BC2837" s="3" t="s">
        <v>102</v>
      </c>
      <c r="BD2837" s="3" t="s">
        <v>68</v>
      </c>
      <c r="BE2837" s="3" t="s">
        <v>27481</v>
      </c>
      <c r="BF2837" s="3" t="s">
        <v>27480</v>
      </c>
      <c r="BG2837" s="3" t="s">
        <v>27482</v>
      </c>
    </row>
    <row r="2838" spans="1:59" ht="58" x14ac:dyDescent="0.35">
      <c r="A2838" s="2" t="s">
        <v>89</v>
      </c>
      <c r="B2838" s="2" t="s">
        <v>90</v>
      </c>
      <c r="C2838" s="2" t="s">
        <v>27483</v>
      </c>
      <c r="D2838" s="2" t="s">
        <v>27484</v>
      </c>
      <c r="E2838" s="2" t="s">
        <v>27485</v>
      </c>
      <c r="G2838" s="3" t="s">
        <v>62</v>
      </c>
      <c r="I2838" s="3" t="s">
        <v>62</v>
      </c>
      <c r="J2838" s="3" t="s">
        <v>62</v>
      </c>
      <c r="K2838" s="3" t="s">
        <v>63</v>
      </c>
      <c r="L2838" s="2" t="s">
        <v>27486</v>
      </c>
      <c r="M2838" s="2" t="s">
        <v>27487</v>
      </c>
      <c r="N2838" s="3" t="s">
        <v>2305</v>
      </c>
      <c r="P2838" s="3" t="s">
        <v>64</v>
      </c>
      <c r="R2838" s="3" t="s">
        <v>27443</v>
      </c>
      <c r="S2838" s="4">
        <v>8</v>
      </c>
      <c r="T2838" s="4">
        <v>8</v>
      </c>
      <c r="U2838" s="5" t="s">
        <v>11740</v>
      </c>
      <c r="V2838" s="5" t="s">
        <v>11740</v>
      </c>
      <c r="W2838" s="5" t="s">
        <v>67</v>
      </c>
      <c r="X2838" s="5" t="s">
        <v>67</v>
      </c>
      <c r="Y2838" s="4">
        <v>675</v>
      </c>
      <c r="Z2838" s="4">
        <v>41</v>
      </c>
      <c r="AA2838" s="4">
        <v>51</v>
      </c>
      <c r="AB2838" s="4">
        <v>3</v>
      </c>
      <c r="AC2838" s="4">
        <v>6</v>
      </c>
      <c r="AD2838" s="4">
        <v>115</v>
      </c>
      <c r="AE2838" s="4">
        <v>132</v>
      </c>
      <c r="AF2838" s="4">
        <v>1</v>
      </c>
      <c r="AG2838" s="4">
        <v>4</v>
      </c>
      <c r="AH2838" s="4">
        <v>89</v>
      </c>
      <c r="AI2838" s="4">
        <v>101</v>
      </c>
      <c r="AJ2838" s="4">
        <v>18</v>
      </c>
      <c r="AK2838" s="4">
        <v>25</v>
      </c>
      <c r="AL2838" s="4">
        <v>48</v>
      </c>
      <c r="AM2838" s="4">
        <v>54</v>
      </c>
      <c r="AN2838" s="4">
        <v>0</v>
      </c>
      <c r="AO2838" s="4">
        <v>0</v>
      </c>
      <c r="AP2838" s="4">
        <v>28</v>
      </c>
      <c r="AQ2838" s="4">
        <v>35</v>
      </c>
      <c r="AR2838" s="3" t="s">
        <v>62</v>
      </c>
      <c r="AS2838" s="3" t="s">
        <v>62</v>
      </c>
      <c r="AT2838" s="3" t="s">
        <v>62</v>
      </c>
      <c r="AV2838" s="6" t="str">
        <f>HYPERLINK("http://mcgill.on.worldcat.org/oclc/530498","Catalog Record")</f>
        <v>Catalog Record</v>
      </c>
      <c r="AW2838" s="6" t="str">
        <f>HYPERLINK("http://www.worldcat.org/oclc/530498","WorldCat Record")</f>
        <v>WorldCat Record</v>
      </c>
      <c r="AX2838" s="3" t="s">
        <v>27488</v>
      </c>
      <c r="AY2838" s="3" t="s">
        <v>27489</v>
      </c>
      <c r="AZ2838" s="3" t="s">
        <v>27490</v>
      </c>
      <c r="BA2838" s="3" t="s">
        <v>27490</v>
      </c>
      <c r="BB2838" s="3" t="s">
        <v>27491</v>
      </c>
      <c r="BC2838" s="3" t="s">
        <v>102</v>
      </c>
      <c r="BD2838" s="3" t="s">
        <v>68</v>
      </c>
      <c r="BF2838" s="3" t="s">
        <v>27491</v>
      </c>
      <c r="BG2838" s="3" t="s">
        <v>27492</v>
      </c>
    </row>
    <row r="2839" spans="1:59" ht="58" x14ac:dyDescent="0.35">
      <c r="A2839" s="2" t="s">
        <v>89</v>
      </c>
      <c r="B2839" s="2" t="s">
        <v>90</v>
      </c>
      <c r="C2839" s="2" t="s">
        <v>27493</v>
      </c>
      <c r="D2839" s="2" t="s">
        <v>27494</v>
      </c>
      <c r="E2839" s="2" t="s">
        <v>27495</v>
      </c>
      <c r="G2839" s="3" t="s">
        <v>62</v>
      </c>
      <c r="I2839" s="3" t="s">
        <v>62</v>
      </c>
      <c r="J2839" s="3" t="s">
        <v>61</v>
      </c>
      <c r="K2839" s="3" t="s">
        <v>63</v>
      </c>
      <c r="L2839" s="2" t="s">
        <v>27496</v>
      </c>
      <c r="M2839" s="2" t="s">
        <v>27497</v>
      </c>
      <c r="N2839" s="3" t="s">
        <v>568</v>
      </c>
      <c r="O2839" s="2" t="s">
        <v>27498</v>
      </c>
      <c r="P2839" s="3" t="s">
        <v>64</v>
      </c>
      <c r="R2839" s="3" t="s">
        <v>27443</v>
      </c>
      <c r="S2839" s="4">
        <v>15</v>
      </c>
      <c r="T2839" s="4">
        <v>15</v>
      </c>
      <c r="U2839" s="5" t="s">
        <v>1052</v>
      </c>
      <c r="V2839" s="5" t="s">
        <v>1052</v>
      </c>
      <c r="W2839" s="5" t="s">
        <v>67</v>
      </c>
      <c r="X2839" s="5" t="s">
        <v>67</v>
      </c>
      <c r="Y2839" s="4">
        <v>513</v>
      </c>
      <c r="Z2839" s="4">
        <v>24</v>
      </c>
      <c r="AA2839" s="4">
        <v>114</v>
      </c>
      <c r="AB2839" s="4">
        <v>1</v>
      </c>
      <c r="AC2839" s="4">
        <v>10</v>
      </c>
      <c r="AD2839" s="4">
        <v>38</v>
      </c>
      <c r="AE2839" s="4">
        <v>156</v>
      </c>
      <c r="AF2839" s="4">
        <v>0</v>
      </c>
      <c r="AG2839" s="4">
        <v>5</v>
      </c>
      <c r="AH2839" s="4">
        <v>30</v>
      </c>
      <c r="AI2839" s="4">
        <v>114</v>
      </c>
      <c r="AJ2839" s="4">
        <v>5</v>
      </c>
      <c r="AK2839" s="4">
        <v>27</v>
      </c>
      <c r="AL2839" s="4">
        <v>10</v>
      </c>
      <c r="AM2839" s="4">
        <v>62</v>
      </c>
      <c r="AN2839" s="4">
        <v>0</v>
      </c>
      <c r="AO2839" s="4">
        <v>5</v>
      </c>
      <c r="AP2839" s="4">
        <v>10</v>
      </c>
      <c r="AQ2839" s="4">
        <v>48</v>
      </c>
      <c r="AR2839" s="3" t="s">
        <v>62</v>
      </c>
      <c r="AS2839" s="3" t="s">
        <v>62</v>
      </c>
      <c r="AT2839" s="3" t="s">
        <v>62</v>
      </c>
      <c r="AV2839" s="6" t="str">
        <f>HYPERLINK("http://mcgill.on.worldcat.org/oclc/41540324","Catalog Record")</f>
        <v>Catalog Record</v>
      </c>
      <c r="AW2839" s="6" t="str">
        <f>HYPERLINK("http://www.worldcat.org/oclc/41540324","WorldCat Record")</f>
        <v>WorldCat Record</v>
      </c>
      <c r="AX2839" s="3" t="s">
        <v>27499</v>
      </c>
      <c r="AY2839" s="3" t="s">
        <v>27500</v>
      </c>
      <c r="AZ2839" s="3" t="s">
        <v>27501</v>
      </c>
      <c r="BA2839" s="3" t="s">
        <v>27501</v>
      </c>
      <c r="BB2839" s="3" t="s">
        <v>27502</v>
      </c>
      <c r="BC2839" s="3" t="s">
        <v>102</v>
      </c>
      <c r="BD2839" s="3" t="s">
        <v>68</v>
      </c>
      <c r="BE2839" s="3" t="s">
        <v>27503</v>
      </c>
      <c r="BF2839" s="3" t="s">
        <v>27502</v>
      </c>
      <c r="BG2839" s="3" t="s">
        <v>27504</v>
      </c>
    </row>
    <row r="2840" spans="1:59" ht="58" x14ac:dyDescent="0.35">
      <c r="A2840" s="2" t="s">
        <v>89</v>
      </c>
      <c r="B2840" s="2" t="s">
        <v>90</v>
      </c>
      <c r="C2840" s="2" t="s">
        <v>27505</v>
      </c>
      <c r="D2840" s="2" t="s">
        <v>27506</v>
      </c>
      <c r="E2840" s="2" t="s">
        <v>27507</v>
      </c>
      <c r="G2840" s="3" t="s">
        <v>62</v>
      </c>
      <c r="I2840" s="3" t="s">
        <v>61</v>
      </c>
      <c r="J2840" s="3" t="s">
        <v>62</v>
      </c>
      <c r="K2840" s="3" t="s">
        <v>63</v>
      </c>
      <c r="L2840" s="2" t="s">
        <v>27508</v>
      </c>
      <c r="M2840" s="2" t="s">
        <v>27509</v>
      </c>
      <c r="N2840" s="3" t="s">
        <v>327</v>
      </c>
      <c r="P2840" s="3" t="s">
        <v>64</v>
      </c>
      <c r="R2840" s="3" t="s">
        <v>27443</v>
      </c>
      <c r="S2840" s="4">
        <v>34</v>
      </c>
      <c r="T2840" s="4">
        <v>52</v>
      </c>
      <c r="U2840" s="5" t="s">
        <v>27510</v>
      </c>
      <c r="V2840" s="5" t="s">
        <v>27511</v>
      </c>
      <c r="W2840" s="5" t="s">
        <v>67</v>
      </c>
      <c r="X2840" s="5" t="s">
        <v>67</v>
      </c>
      <c r="Y2840" s="4">
        <v>773</v>
      </c>
      <c r="Z2840" s="4">
        <v>42</v>
      </c>
      <c r="AA2840" s="4">
        <v>56</v>
      </c>
      <c r="AB2840" s="4">
        <v>3</v>
      </c>
      <c r="AC2840" s="4">
        <v>11</v>
      </c>
      <c r="AD2840" s="4">
        <v>132</v>
      </c>
      <c r="AE2840" s="4">
        <v>142</v>
      </c>
      <c r="AF2840" s="4">
        <v>1</v>
      </c>
      <c r="AG2840" s="4">
        <v>5</v>
      </c>
      <c r="AH2840" s="4">
        <v>106</v>
      </c>
      <c r="AI2840" s="4">
        <v>108</v>
      </c>
      <c r="AJ2840" s="4">
        <v>22</v>
      </c>
      <c r="AK2840" s="4">
        <v>27</v>
      </c>
      <c r="AL2840" s="4">
        <v>58</v>
      </c>
      <c r="AM2840" s="4">
        <v>58</v>
      </c>
      <c r="AN2840" s="4">
        <v>0</v>
      </c>
      <c r="AO2840" s="4">
        <v>0</v>
      </c>
      <c r="AP2840" s="4">
        <v>33</v>
      </c>
      <c r="AQ2840" s="4">
        <v>41</v>
      </c>
      <c r="AR2840" s="3" t="s">
        <v>62</v>
      </c>
      <c r="AS2840" s="3" t="s">
        <v>62</v>
      </c>
      <c r="AT2840" s="3" t="s">
        <v>62</v>
      </c>
      <c r="AV2840" s="6" t="str">
        <f>HYPERLINK("http://mcgill.on.worldcat.org/oclc/9733454","Catalog Record")</f>
        <v>Catalog Record</v>
      </c>
      <c r="AW2840" s="6" t="str">
        <f>HYPERLINK("http://www.worldcat.org/oclc/9733454","WorldCat Record")</f>
        <v>WorldCat Record</v>
      </c>
      <c r="AX2840" s="3" t="s">
        <v>27512</v>
      </c>
      <c r="AY2840" s="3" t="s">
        <v>27513</v>
      </c>
      <c r="AZ2840" s="3" t="s">
        <v>27514</v>
      </c>
      <c r="BA2840" s="3" t="s">
        <v>27514</v>
      </c>
      <c r="BB2840" s="3" t="s">
        <v>27515</v>
      </c>
      <c r="BC2840" s="3" t="s">
        <v>102</v>
      </c>
      <c r="BD2840" s="3" t="s">
        <v>68</v>
      </c>
      <c r="BE2840" s="3" t="s">
        <v>27516</v>
      </c>
      <c r="BF2840" s="3" t="s">
        <v>27515</v>
      </c>
      <c r="BG2840" s="3" t="s">
        <v>27517</v>
      </c>
    </row>
    <row r="2841" spans="1:59" ht="58" x14ac:dyDescent="0.35">
      <c r="A2841" s="2" t="s">
        <v>89</v>
      </c>
      <c r="B2841" s="2" t="s">
        <v>90</v>
      </c>
      <c r="C2841" s="2" t="s">
        <v>27518</v>
      </c>
      <c r="D2841" s="2" t="s">
        <v>27519</v>
      </c>
      <c r="E2841" s="2" t="s">
        <v>27520</v>
      </c>
      <c r="G2841" s="3" t="s">
        <v>62</v>
      </c>
      <c r="I2841" s="3" t="s">
        <v>61</v>
      </c>
      <c r="J2841" s="3" t="s">
        <v>62</v>
      </c>
      <c r="K2841" s="3" t="s">
        <v>63</v>
      </c>
      <c r="L2841" s="2" t="s">
        <v>7458</v>
      </c>
      <c r="M2841" s="2" t="s">
        <v>27521</v>
      </c>
      <c r="N2841" s="3" t="s">
        <v>1576</v>
      </c>
      <c r="P2841" s="3" t="s">
        <v>64</v>
      </c>
      <c r="R2841" s="3" t="s">
        <v>27443</v>
      </c>
      <c r="S2841" s="4">
        <v>11</v>
      </c>
      <c r="T2841" s="4">
        <v>18</v>
      </c>
      <c r="U2841" s="5" t="s">
        <v>84</v>
      </c>
      <c r="V2841" s="5" t="s">
        <v>84</v>
      </c>
      <c r="W2841" s="5" t="s">
        <v>67</v>
      </c>
      <c r="X2841" s="5" t="s">
        <v>67</v>
      </c>
      <c r="Y2841" s="4">
        <v>924</v>
      </c>
      <c r="Z2841" s="4">
        <v>57</v>
      </c>
      <c r="AA2841" s="4">
        <v>62</v>
      </c>
      <c r="AB2841" s="4">
        <v>4</v>
      </c>
      <c r="AC2841" s="4">
        <v>7</v>
      </c>
      <c r="AD2841" s="4">
        <v>135</v>
      </c>
      <c r="AE2841" s="4">
        <v>140</v>
      </c>
      <c r="AF2841" s="4">
        <v>2</v>
      </c>
      <c r="AG2841" s="4">
        <v>5</v>
      </c>
      <c r="AH2841" s="4">
        <v>104</v>
      </c>
      <c r="AI2841" s="4">
        <v>104</v>
      </c>
      <c r="AJ2841" s="4">
        <v>24</v>
      </c>
      <c r="AK2841" s="4">
        <v>27</v>
      </c>
      <c r="AL2841" s="4">
        <v>56</v>
      </c>
      <c r="AM2841" s="4">
        <v>56</v>
      </c>
      <c r="AN2841" s="4">
        <v>0</v>
      </c>
      <c r="AO2841" s="4">
        <v>0</v>
      </c>
      <c r="AP2841" s="4">
        <v>37</v>
      </c>
      <c r="AQ2841" s="4">
        <v>41</v>
      </c>
      <c r="AR2841" s="3" t="s">
        <v>62</v>
      </c>
      <c r="AS2841" s="3" t="s">
        <v>62</v>
      </c>
      <c r="AT2841" s="3" t="s">
        <v>62</v>
      </c>
      <c r="AV2841" s="6" t="str">
        <f>HYPERLINK("http://mcgill.on.worldcat.org/oclc/530616","Catalog Record")</f>
        <v>Catalog Record</v>
      </c>
      <c r="AW2841" s="6" t="str">
        <f>HYPERLINK("http://www.worldcat.org/oclc/530616","WorldCat Record")</f>
        <v>WorldCat Record</v>
      </c>
      <c r="AX2841" s="3" t="s">
        <v>27522</v>
      </c>
      <c r="AY2841" s="3" t="s">
        <v>27523</v>
      </c>
      <c r="AZ2841" s="3" t="s">
        <v>27524</v>
      </c>
      <c r="BA2841" s="3" t="s">
        <v>27524</v>
      </c>
      <c r="BB2841" s="3" t="s">
        <v>27525</v>
      </c>
      <c r="BC2841" s="3" t="s">
        <v>102</v>
      </c>
      <c r="BD2841" s="3" t="s">
        <v>68</v>
      </c>
      <c r="BE2841" s="3" t="s">
        <v>27526</v>
      </c>
      <c r="BF2841" s="3" t="s">
        <v>27525</v>
      </c>
      <c r="BG2841" s="3" t="s">
        <v>27527</v>
      </c>
    </row>
    <row r="2842" spans="1:59" ht="58" x14ac:dyDescent="0.35">
      <c r="A2842" s="2" t="s">
        <v>89</v>
      </c>
      <c r="B2842" s="2" t="s">
        <v>90</v>
      </c>
      <c r="C2842" s="2" t="s">
        <v>27528</v>
      </c>
      <c r="D2842" s="2" t="s">
        <v>27529</v>
      </c>
      <c r="E2842" s="2" t="s">
        <v>27530</v>
      </c>
      <c r="G2842" s="3" t="s">
        <v>62</v>
      </c>
      <c r="I2842" s="3" t="s">
        <v>62</v>
      </c>
      <c r="J2842" s="3" t="s">
        <v>62</v>
      </c>
      <c r="K2842" s="3" t="s">
        <v>916</v>
      </c>
      <c r="L2842" s="2" t="s">
        <v>27531</v>
      </c>
      <c r="M2842" s="2" t="s">
        <v>8220</v>
      </c>
      <c r="N2842" s="3" t="s">
        <v>2000</v>
      </c>
      <c r="P2842" s="3" t="s">
        <v>64</v>
      </c>
      <c r="R2842" s="3" t="s">
        <v>27443</v>
      </c>
      <c r="S2842" s="4">
        <v>11</v>
      </c>
      <c r="T2842" s="4">
        <v>11</v>
      </c>
      <c r="U2842" s="5" t="s">
        <v>987</v>
      </c>
      <c r="V2842" s="5" t="s">
        <v>987</v>
      </c>
      <c r="W2842" s="5" t="s">
        <v>67</v>
      </c>
      <c r="X2842" s="5" t="s">
        <v>67</v>
      </c>
      <c r="Y2842" s="4">
        <v>400</v>
      </c>
      <c r="Z2842" s="4">
        <v>22</v>
      </c>
      <c r="AA2842" s="4">
        <v>28</v>
      </c>
      <c r="AB2842" s="4">
        <v>2</v>
      </c>
      <c r="AC2842" s="4">
        <v>4</v>
      </c>
      <c r="AD2842" s="4">
        <v>105</v>
      </c>
      <c r="AE2842" s="4">
        <v>111</v>
      </c>
      <c r="AF2842" s="4">
        <v>1</v>
      </c>
      <c r="AG2842" s="4">
        <v>2</v>
      </c>
      <c r="AH2842" s="4">
        <v>97</v>
      </c>
      <c r="AI2842" s="4">
        <v>100</v>
      </c>
      <c r="AJ2842" s="4">
        <v>14</v>
      </c>
      <c r="AK2842" s="4">
        <v>15</v>
      </c>
      <c r="AL2842" s="4">
        <v>51</v>
      </c>
      <c r="AM2842" s="4">
        <v>53</v>
      </c>
      <c r="AN2842" s="4">
        <v>0</v>
      </c>
      <c r="AO2842" s="4">
        <v>0</v>
      </c>
      <c r="AP2842" s="4">
        <v>17</v>
      </c>
      <c r="AQ2842" s="4">
        <v>18</v>
      </c>
      <c r="AR2842" s="3" t="s">
        <v>62</v>
      </c>
      <c r="AS2842" s="3" t="s">
        <v>62</v>
      </c>
      <c r="AT2842" s="3" t="s">
        <v>61</v>
      </c>
      <c r="AU2842" s="6" t="str">
        <f>HYPERLINK("http://catalog.hathitrust.org/Record/003058919","HathiTrust Record")</f>
        <v>HathiTrust Record</v>
      </c>
      <c r="AV2842" s="6" t="str">
        <f>HYPERLINK("http://mcgill.on.worldcat.org/oclc/32854584","Catalog Record")</f>
        <v>Catalog Record</v>
      </c>
      <c r="AW2842" s="6" t="str">
        <f>HYPERLINK("http://www.worldcat.org/oclc/32854584","WorldCat Record")</f>
        <v>WorldCat Record</v>
      </c>
      <c r="AX2842" s="3" t="s">
        <v>27532</v>
      </c>
      <c r="AY2842" s="3" t="s">
        <v>27533</v>
      </c>
      <c r="AZ2842" s="3" t="s">
        <v>27534</v>
      </c>
      <c r="BA2842" s="3" t="s">
        <v>27534</v>
      </c>
      <c r="BB2842" s="3" t="s">
        <v>27535</v>
      </c>
      <c r="BC2842" s="3" t="s">
        <v>102</v>
      </c>
      <c r="BD2842" s="3" t="s">
        <v>68</v>
      </c>
      <c r="BE2842" s="3" t="s">
        <v>27536</v>
      </c>
      <c r="BF2842" s="3" t="s">
        <v>27535</v>
      </c>
      <c r="BG2842" s="3" t="s">
        <v>27537</v>
      </c>
    </row>
    <row r="2843" spans="1:59" ht="58" x14ac:dyDescent="0.35">
      <c r="A2843" s="2" t="s">
        <v>89</v>
      </c>
      <c r="B2843" s="2" t="s">
        <v>90</v>
      </c>
      <c r="C2843" s="2" t="s">
        <v>27538</v>
      </c>
      <c r="D2843" s="2" t="s">
        <v>27539</v>
      </c>
      <c r="E2843" s="2" t="s">
        <v>27540</v>
      </c>
      <c r="G2843" s="3" t="s">
        <v>62</v>
      </c>
      <c r="I2843" s="3" t="s">
        <v>62</v>
      </c>
      <c r="J2843" s="3" t="s">
        <v>62</v>
      </c>
      <c r="K2843" s="3" t="s">
        <v>916</v>
      </c>
      <c r="L2843" s="2" t="s">
        <v>27541</v>
      </c>
      <c r="M2843" s="2" t="s">
        <v>27542</v>
      </c>
      <c r="N2843" s="3" t="s">
        <v>438</v>
      </c>
      <c r="P2843" s="3" t="s">
        <v>85</v>
      </c>
      <c r="Q2843" s="2" t="s">
        <v>27543</v>
      </c>
      <c r="R2843" s="3" t="s">
        <v>27443</v>
      </c>
      <c r="S2843" s="4">
        <v>7</v>
      </c>
      <c r="T2843" s="4">
        <v>7</v>
      </c>
      <c r="U2843" s="5" t="s">
        <v>1642</v>
      </c>
      <c r="V2843" s="5" t="s">
        <v>1642</v>
      </c>
      <c r="W2843" s="5" t="s">
        <v>67</v>
      </c>
      <c r="X2843" s="5" t="s">
        <v>67</v>
      </c>
      <c r="Y2843" s="4">
        <v>51</v>
      </c>
      <c r="Z2843" s="4">
        <v>2</v>
      </c>
      <c r="AA2843" s="4">
        <v>18</v>
      </c>
      <c r="AB2843" s="4">
        <v>1</v>
      </c>
      <c r="AC2843" s="4">
        <v>3</v>
      </c>
      <c r="AD2843" s="4">
        <v>8</v>
      </c>
      <c r="AE2843" s="4">
        <v>61</v>
      </c>
      <c r="AF2843" s="4">
        <v>0</v>
      </c>
      <c r="AG2843" s="4">
        <v>1</v>
      </c>
      <c r="AH2843" s="4">
        <v>8</v>
      </c>
      <c r="AI2843" s="4">
        <v>56</v>
      </c>
      <c r="AJ2843" s="4">
        <v>1</v>
      </c>
      <c r="AK2843" s="4">
        <v>13</v>
      </c>
      <c r="AL2843" s="4">
        <v>4</v>
      </c>
      <c r="AM2843" s="4">
        <v>30</v>
      </c>
      <c r="AN2843" s="4">
        <v>0</v>
      </c>
      <c r="AO2843" s="4">
        <v>0</v>
      </c>
      <c r="AP2843" s="4">
        <v>1</v>
      </c>
      <c r="AQ2843" s="4">
        <v>14</v>
      </c>
      <c r="AR2843" s="3" t="s">
        <v>62</v>
      </c>
      <c r="AS2843" s="3" t="s">
        <v>62</v>
      </c>
      <c r="AT2843" s="3" t="s">
        <v>61</v>
      </c>
      <c r="AU2843" s="6" t="str">
        <f>HYPERLINK("http://catalog.hathitrust.org/Record/007979935","HathiTrust Record")</f>
        <v>HathiTrust Record</v>
      </c>
      <c r="AV2843" s="6" t="str">
        <f>HYPERLINK("http://mcgill.on.worldcat.org/oclc/21478108","Catalog Record")</f>
        <v>Catalog Record</v>
      </c>
      <c r="AW2843" s="6" t="str">
        <f>HYPERLINK("http://www.worldcat.org/oclc/21478108","WorldCat Record")</f>
        <v>WorldCat Record</v>
      </c>
      <c r="AX2843" s="3" t="s">
        <v>27544</v>
      </c>
      <c r="AY2843" s="3" t="s">
        <v>27545</v>
      </c>
      <c r="AZ2843" s="3" t="s">
        <v>27546</v>
      </c>
      <c r="BA2843" s="3" t="s">
        <v>27546</v>
      </c>
      <c r="BB2843" s="3" t="s">
        <v>27547</v>
      </c>
      <c r="BC2843" s="3" t="s">
        <v>102</v>
      </c>
      <c r="BD2843" s="3" t="s">
        <v>68</v>
      </c>
      <c r="BE2843" s="3" t="s">
        <v>27548</v>
      </c>
      <c r="BF2843" s="3" t="s">
        <v>27547</v>
      </c>
      <c r="BG2843" s="3" t="s">
        <v>27549</v>
      </c>
    </row>
    <row r="2844" spans="1:59" ht="72.5" x14ac:dyDescent="0.35">
      <c r="A2844" s="2" t="s">
        <v>89</v>
      </c>
      <c r="B2844" s="2" t="s">
        <v>90</v>
      </c>
      <c r="C2844" s="2" t="s">
        <v>27550</v>
      </c>
      <c r="D2844" s="2" t="s">
        <v>27551</v>
      </c>
      <c r="E2844" s="2" t="s">
        <v>27552</v>
      </c>
      <c r="G2844" s="3" t="s">
        <v>62</v>
      </c>
      <c r="I2844" s="3" t="s">
        <v>62</v>
      </c>
      <c r="J2844" s="3" t="s">
        <v>62</v>
      </c>
      <c r="K2844" s="3" t="s">
        <v>63</v>
      </c>
      <c r="L2844" s="2" t="s">
        <v>27541</v>
      </c>
      <c r="M2844" s="2" t="s">
        <v>27553</v>
      </c>
      <c r="N2844" s="3" t="s">
        <v>396</v>
      </c>
      <c r="P2844" s="3" t="s">
        <v>64</v>
      </c>
      <c r="Q2844" s="2" t="s">
        <v>27554</v>
      </c>
      <c r="R2844" s="3" t="s">
        <v>27443</v>
      </c>
      <c r="S2844" s="4">
        <v>9</v>
      </c>
      <c r="T2844" s="4">
        <v>9</v>
      </c>
      <c r="U2844" s="5" t="s">
        <v>25482</v>
      </c>
      <c r="V2844" s="5" t="s">
        <v>25482</v>
      </c>
      <c r="W2844" s="5" t="s">
        <v>67</v>
      </c>
      <c r="X2844" s="5" t="s">
        <v>67</v>
      </c>
      <c r="Y2844" s="4">
        <v>92</v>
      </c>
      <c r="Z2844" s="4">
        <v>4</v>
      </c>
      <c r="AA2844" s="4">
        <v>41</v>
      </c>
      <c r="AB2844" s="4">
        <v>1</v>
      </c>
      <c r="AC2844" s="4">
        <v>5</v>
      </c>
      <c r="AD2844" s="4">
        <v>19</v>
      </c>
      <c r="AE2844" s="4">
        <v>125</v>
      </c>
      <c r="AF2844" s="4">
        <v>0</v>
      </c>
      <c r="AG2844" s="4">
        <v>3</v>
      </c>
      <c r="AH2844" s="4">
        <v>18</v>
      </c>
      <c r="AI2844" s="4">
        <v>105</v>
      </c>
      <c r="AJ2844" s="4">
        <v>2</v>
      </c>
      <c r="AK2844" s="4">
        <v>21</v>
      </c>
      <c r="AL2844" s="4">
        <v>9</v>
      </c>
      <c r="AM2844" s="4">
        <v>53</v>
      </c>
      <c r="AN2844" s="4">
        <v>0</v>
      </c>
      <c r="AO2844" s="4">
        <v>0</v>
      </c>
      <c r="AP2844" s="4">
        <v>2</v>
      </c>
      <c r="AQ2844" s="4">
        <v>30</v>
      </c>
      <c r="AR2844" s="3" t="s">
        <v>62</v>
      </c>
      <c r="AS2844" s="3" t="s">
        <v>62</v>
      </c>
      <c r="AT2844" s="3" t="s">
        <v>62</v>
      </c>
      <c r="AV2844" s="6" t="str">
        <f>HYPERLINK("http://mcgill.on.worldcat.org/oclc/12429405","Catalog Record")</f>
        <v>Catalog Record</v>
      </c>
      <c r="AW2844" s="6" t="str">
        <f>HYPERLINK("http://www.worldcat.org/oclc/12429405","WorldCat Record")</f>
        <v>WorldCat Record</v>
      </c>
      <c r="AX2844" s="3" t="s">
        <v>27555</v>
      </c>
      <c r="AY2844" s="3" t="s">
        <v>27556</v>
      </c>
      <c r="AZ2844" s="3" t="s">
        <v>27557</v>
      </c>
      <c r="BA2844" s="3" t="s">
        <v>27557</v>
      </c>
      <c r="BB2844" s="3" t="s">
        <v>27558</v>
      </c>
      <c r="BC2844" s="3" t="s">
        <v>102</v>
      </c>
      <c r="BD2844" s="3" t="s">
        <v>231</v>
      </c>
      <c r="BE2844" s="3" t="s">
        <v>27559</v>
      </c>
      <c r="BF2844" s="3" t="s">
        <v>27558</v>
      </c>
      <c r="BG2844" s="3" t="s">
        <v>27560</v>
      </c>
    </row>
    <row r="2845" spans="1:59" ht="58" x14ac:dyDescent="0.35">
      <c r="A2845" s="2" t="s">
        <v>89</v>
      </c>
      <c r="B2845" s="2" t="s">
        <v>90</v>
      </c>
      <c r="C2845" s="2" t="s">
        <v>27561</v>
      </c>
      <c r="D2845" s="2" t="s">
        <v>27562</v>
      </c>
      <c r="E2845" s="2" t="s">
        <v>27563</v>
      </c>
      <c r="G2845" s="3" t="s">
        <v>62</v>
      </c>
      <c r="I2845" s="3" t="s">
        <v>61</v>
      </c>
      <c r="J2845" s="3" t="s">
        <v>61</v>
      </c>
      <c r="K2845" s="3" t="s">
        <v>63</v>
      </c>
      <c r="L2845" s="2" t="s">
        <v>7620</v>
      </c>
      <c r="M2845" s="2" t="s">
        <v>27564</v>
      </c>
      <c r="N2845" s="3" t="s">
        <v>3761</v>
      </c>
      <c r="P2845" s="3" t="s">
        <v>64</v>
      </c>
      <c r="R2845" s="3" t="s">
        <v>27443</v>
      </c>
      <c r="S2845" s="4">
        <v>3</v>
      </c>
      <c r="T2845" s="4">
        <v>8</v>
      </c>
      <c r="U2845" s="5" t="s">
        <v>1512</v>
      </c>
      <c r="V2845" s="5" t="s">
        <v>1512</v>
      </c>
      <c r="W2845" s="5" t="s">
        <v>67</v>
      </c>
      <c r="X2845" s="5" t="s">
        <v>67</v>
      </c>
      <c r="Y2845" s="4">
        <v>169</v>
      </c>
      <c r="Z2845" s="4">
        <v>9</v>
      </c>
      <c r="AA2845" s="4">
        <v>67</v>
      </c>
      <c r="AB2845" s="4">
        <v>1</v>
      </c>
      <c r="AC2845" s="4">
        <v>9</v>
      </c>
      <c r="AD2845" s="4">
        <v>50</v>
      </c>
      <c r="AE2845" s="4">
        <v>149</v>
      </c>
      <c r="AF2845" s="4">
        <v>0</v>
      </c>
      <c r="AG2845" s="4">
        <v>6</v>
      </c>
      <c r="AH2845" s="4">
        <v>44</v>
      </c>
      <c r="AI2845" s="4">
        <v>111</v>
      </c>
      <c r="AJ2845" s="4">
        <v>6</v>
      </c>
      <c r="AK2845" s="4">
        <v>26</v>
      </c>
      <c r="AL2845" s="4">
        <v>31</v>
      </c>
      <c r="AM2845" s="4">
        <v>62</v>
      </c>
      <c r="AN2845" s="4">
        <v>0</v>
      </c>
      <c r="AO2845" s="4">
        <v>0</v>
      </c>
      <c r="AP2845" s="4">
        <v>5</v>
      </c>
      <c r="AQ2845" s="4">
        <v>44</v>
      </c>
      <c r="AR2845" s="3" t="s">
        <v>62</v>
      </c>
      <c r="AS2845" s="3" t="s">
        <v>62</v>
      </c>
      <c r="AT2845" s="3" t="s">
        <v>62</v>
      </c>
      <c r="AV2845" s="6" t="str">
        <f>HYPERLINK("http://mcgill.on.worldcat.org/oclc/1045410","Catalog Record")</f>
        <v>Catalog Record</v>
      </c>
      <c r="AW2845" s="6" t="str">
        <f>HYPERLINK("http://www.worldcat.org/oclc/1045410","WorldCat Record")</f>
        <v>WorldCat Record</v>
      </c>
      <c r="AX2845" s="3" t="s">
        <v>27565</v>
      </c>
      <c r="AY2845" s="3" t="s">
        <v>27566</v>
      </c>
      <c r="AZ2845" s="3" t="s">
        <v>27567</v>
      </c>
      <c r="BA2845" s="3" t="s">
        <v>27567</v>
      </c>
      <c r="BB2845" s="3" t="s">
        <v>27568</v>
      </c>
      <c r="BC2845" s="3" t="s">
        <v>102</v>
      </c>
      <c r="BD2845" s="3" t="s">
        <v>68</v>
      </c>
      <c r="BF2845" s="3" t="s">
        <v>27568</v>
      </c>
      <c r="BG2845" s="3" t="s">
        <v>27569</v>
      </c>
    </row>
    <row r="2846" spans="1:59" ht="58" x14ac:dyDescent="0.35">
      <c r="A2846" s="2" t="s">
        <v>89</v>
      </c>
      <c r="B2846" s="2" t="s">
        <v>90</v>
      </c>
      <c r="C2846" s="2" t="s">
        <v>27570</v>
      </c>
      <c r="D2846" s="2" t="s">
        <v>27571</v>
      </c>
      <c r="E2846" s="2" t="s">
        <v>27572</v>
      </c>
      <c r="G2846" s="3" t="s">
        <v>62</v>
      </c>
      <c r="I2846" s="3" t="s">
        <v>62</v>
      </c>
      <c r="J2846" s="3" t="s">
        <v>62</v>
      </c>
      <c r="K2846" s="3" t="s">
        <v>63</v>
      </c>
      <c r="L2846" s="2" t="s">
        <v>27573</v>
      </c>
      <c r="M2846" s="2" t="s">
        <v>27574</v>
      </c>
      <c r="N2846" s="3" t="s">
        <v>1291</v>
      </c>
      <c r="O2846" s="2" t="s">
        <v>27575</v>
      </c>
      <c r="P2846" s="3" t="s">
        <v>64</v>
      </c>
      <c r="R2846" s="3" t="s">
        <v>27443</v>
      </c>
      <c r="S2846" s="4">
        <v>32</v>
      </c>
      <c r="T2846" s="4">
        <v>32</v>
      </c>
      <c r="U2846" s="5" t="s">
        <v>10372</v>
      </c>
      <c r="V2846" s="5" t="s">
        <v>10372</v>
      </c>
      <c r="W2846" s="5" t="s">
        <v>67</v>
      </c>
      <c r="X2846" s="5" t="s">
        <v>67</v>
      </c>
      <c r="Y2846" s="4">
        <v>6</v>
      </c>
      <c r="Z2846" s="4">
        <v>6</v>
      </c>
      <c r="AA2846" s="4">
        <v>68</v>
      </c>
      <c r="AB2846" s="4">
        <v>1</v>
      </c>
      <c r="AC2846" s="4">
        <v>12</v>
      </c>
      <c r="AD2846" s="4">
        <v>3</v>
      </c>
      <c r="AE2846" s="4">
        <v>121</v>
      </c>
      <c r="AF2846" s="4">
        <v>0</v>
      </c>
      <c r="AG2846" s="4">
        <v>5</v>
      </c>
      <c r="AH2846" s="4">
        <v>1</v>
      </c>
      <c r="AI2846" s="4">
        <v>95</v>
      </c>
      <c r="AJ2846" s="4">
        <v>1</v>
      </c>
      <c r="AK2846" s="4">
        <v>21</v>
      </c>
      <c r="AL2846" s="4">
        <v>1</v>
      </c>
      <c r="AM2846" s="4">
        <v>53</v>
      </c>
      <c r="AN2846" s="4">
        <v>0</v>
      </c>
      <c r="AO2846" s="4">
        <v>0</v>
      </c>
      <c r="AP2846" s="4">
        <v>3</v>
      </c>
      <c r="AQ2846" s="4">
        <v>30</v>
      </c>
      <c r="AR2846" s="3" t="s">
        <v>62</v>
      </c>
      <c r="AS2846" s="3" t="s">
        <v>62</v>
      </c>
      <c r="AT2846" s="3" t="s">
        <v>62</v>
      </c>
      <c r="AV2846" s="6" t="str">
        <f>HYPERLINK("http://mcgill.on.worldcat.org/oclc/61597132","Catalog Record")</f>
        <v>Catalog Record</v>
      </c>
      <c r="AW2846" s="6" t="str">
        <f>HYPERLINK("http://www.worldcat.org/oclc/61597132","WorldCat Record")</f>
        <v>WorldCat Record</v>
      </c>
      <c r="AX2846" s="3" t="s">
        <v>27576</v>
      </c>
      <c r="AY2846" s="3" t="s">
        <v>27577</v>
      </c>
      <c r="AZ2846" s="3" t="s">
        <v>27578</v>
      </c>
      <c r="BA2846" s="3" t="s">
        <v>27578</v>
      </c>
      <c r="BB2846" s="3" t="s">
        <v>27579</v>
      </c>
      <c r="BC2846" s="3" t="s">
        <v>102</v>
      </c>
      <c r="BD2846" s="3" t="s">
        <v>68</v>
      </c>
      <c r="BF2846" s="3" t="s">
        <v>27579</v>
      </c>
      <c r="BG2846" s="3" t="s">
        <v>27580</v>
      </c>
    </row>
    <row r="2847" spans="1:59" ht="116" x14ac:dyDescent="0.35">
      <c r="A2847" s="2" t="s">
        <v>89</v>
      </c>
      <c r="B2847" s="2" t="s">
        <v>3312</v>
      </c>
      <c r="C2847" s="2" t="s">
        <v>27581</v>
      </c>
      <c r="D2847" s="2" t="s">
        <v>27582</v>
      </c>
      <c r="E2847" s="2" t="s">
        <v>27583</v>
      </c>
      <c r="G2847" s="3" t="s">
        <v>62</v>
      </c>
      <c r="I2847" s="3" t="s">
        <v>62</v>
      </c>
      <c r="J2847" s="3" t="s">
        <v>62</v>
      </c>
      <c r="K2847" s="3" t="s">
        <v>63</v>
      </c>
      <c r="L2847" s="2" t="s">
        <v>27584</v>
      </c>
      <c r="M2847" s="2" t="s">
        <v>27585</v>
      </c>
      <c r="N2847" s="3" t="s">
        <v>424</v>
      </c>
      <c r="O2847" s="2" t="s">
        <v>1674</v>
      </c>
      <c r="P2847" s="3" t="s">
        <v>1675</v>
      </c>
      <c r="R2847" s="3" t="s">
        <v>27443</v>
      </c>
      <c r="S2847" s="4">
        <v>1</v>
      </c>
      <c r="T2847" s="4">
        <v>1</v>
      </c>
      <c r="U2847" s="5" t="s">
        <v>9608</v>
      </c>
      <c r="V2847" s="5" t="s">
        <v>9608</v>
      </c>
      <c r="W2847" s="5" t="s">
        <v>67</v>
      </c>
      <c r="X2847" s="5" t="s">
        <v>67</v>
      </c>
      <c r="Y2847" s="4">
        <v>16</v>
      </c>
      <c r="Z2847" s="4">
        <v>1</v>
      </c>
      <c r="AA2847" s="4">
        <v>1</v>
      </c>
      <c r="AB2847" s="4">
        <v>1</v>
      </c>
      <c r="AC2847" s="4">
        <v>1</v>
      </c>
      <c r="AD2847" s="4">
        <v>6</v>
      </c>
      <c r="AE2847" s="4">
        <v>10</v>
      </c>
      <c r="AF2847" s="4">
        <v>0</v>
      </c>
      <c r="AG2847" s="4">
        <v>0</v>
      </c>
      <c r="AH2847" s="4">
        <v>6</v>
      </c>
      <c r="AI2847" s="4">
        <v>10</v>
      </c>
      <c r="AJ2847" s="4">
        <v>0</v>
      </c>
      <c r="AK2847" s="4">
        <v>0</v>
      </c>
      <c r="AL2847" s="4">
        <v>6</v>
      </c>
      <c r="AM2847" s="4">
        <v>9</v>
      </c>
      <c r="AN2847" s="4">
        <v>0</v>
      </c>
      <c r="AO2847" s="4">
        <v>0</v>
      </c>
      <c r="AP2847" s="4">
        <v>0</v>
      </c>
      <c r="AQ2847" s="4">
        <v>0</v>
      </c>
      <c r="AR2847" s="3" t="s">
        <v>62</v>
      </c>
      <c r="AS2847" s="3" t="s">
        <v>62</v>
      </c>
      <c r="AT2847" s="3" t="s">
        <v>62</v>
      </c>
      <c r="AV2847" s="6" t="str">
        <f>HYPERLINK("http://mcgill.on.worldcat.org/oclc/23723615","Catalog Record")</f>
        <v>Catalog Record</v>
      </c>
      <c r="AW2847" s="6" t="str">
        <f>HYPERLINK("http://www.worldcat.org/oclc/23723615","WorldCat Record")</f>
        <v>WorldCat Record</v>
      </c>
      <c r="AX2847" s="3" t="s">
        <v>27586</v>
      </c>
      <c r="AY2847" s="3" t="s">
        <v>27587</v>
      </c>
      <c r="AZ2847" s="3" t="s">
        <v>27588</v>
      </c>
      <c r="BA2847" s="3" t="s">
        <v>27588</v>
      </c>
      <c r="BB2847" s="3" t="s">
        <v>27589</v>
      </c>
      <c r="BC2847" s="3" t="s">
        <v>102</v>
      </c>
      <c r="BD2847" s="3" t="s">
        <v>68</v>
      </c>
      <c r="BE2847" s="3" t="s">
        <v>27590</v>
      </c>
      <c r="BF2847" s="3" t="s">
        <v>27589</v>
      </c>
      <c r="BG2847" s="3" t="s">
        <v>27591</v>
      </c>
    </row>
    <row r="2848" spans="1:59" ht="87" x14ac:dyDescent="0.35">
      <c r="A2848" s="2" t="s">
        <v>89</v>
      </c>
      <c r="B2848" s="2" t="s">
        <v>17477</v>
      </c>
      <c r="C2848" s="2" t="s">
        <v>27592</v>
      </c>
      <c r="D2848" s="2" t="s">
        <v>27593</v>
      </c>
      <c r="E2848" s="2" t="s">
        <v>27594</v>
      </c>
      <c r="G2848" s="3" t="s">
        <v>62</v>
      </c>
      <c r="I2848" s="3" t="s">
        <v>61</v>
      </c>
      <c r="J2848" s="3" t="s">
        <v>62</v>
      </c>
      <c r="K2848" s="3" t="s">
        <v>63</v>
      </c>
      <c r="L2848" s="2" t="s">
        <v>27595</v>
      </c>
      <c r="M2848" s="2" t="s">
        <v>27596</v>
      </c>
      <c r="N2848" s="3" t="s">
        <v>81</v>
      </c>
      <c r="P2848" s="3" t="s">
        <v>64</v>
      </c>
      <c r="Q2848" s="2" t="s">
        <v>27597</v>
      </c>
      <c r="R2848" s="3" t="s">
        <v>27443</v>
      </c>
      <c r="S2848" s="4">
        <v>84</v>
      </c>
      <c r="T2848" s="4">
        <v>171</v>
      </c>
      <c r="U2848" s="5" t="s">
        <v>1579</v>
      </c>
      <c r="V2848" s="5" t="s">
        <v>22238</v>
      </c>
      <c r="W2848" s="5" t="s">
        <v>67</v>
      </c>
      <c r="X2848" s="5" t="s">
        <v>67</v>
      </c>
      <c r="Y2848" s="4">
        <v>875</v>
      </c>
      <c r="Z2848" s="4">
        <v>55</v>
      </c>
      <c r="AA2848" s="4">
        <v>66</v>
      </c>
      <c r="AB2848" s="4">
        <v>2</v>
      </c>
      <c r="AC2848" s="4">
        <v>11</v>
      </c>
      <c r="AD2848" s="4">
        <v>136</v>
      </c>
      <c r="AE2848" s="4">
        <v>144</v>
      </c>
      <c r="AF2848" s="4">
        <v>1</v>
      </c>
      <c r="AG2848" s="4">
        <v>7</v>
      </c>
      <c r="AH2848" s="4">
        <v>102</v>
      </c>
      <c r="AI2848" s="4">
        <v>104</v>
      </c>
      <c r="AJ2848" s="4">
        <v>23</v>
      </c>
      <c r="AK2848" s="4">
        <v>29</v>
      </c>
      <c r="AL2848" s="4">
        <v>57</v>
      </c>
      <c r="AM2848" s="4">
        <v>57</v>
      </c>
      <c r="AN2848" s="4">
        <v>0</v>
      </c>
      <c r="AO2848" s="4">
        <v>0</v>
      </c>
      <c r="AP2848" s="4">
        <v>39</v>
      </c>
      <c r="AQ2848" s="4">
        <v>46</v>
      </c>
      <c r="AR2848" s="3" t="s">
        <v>62</v>
      </c>
      <c r="AS2848" s="3" t="s">
        <v>62</v>
      </c>
      <c r="AT2848" s="3" t="s">
        <v>61</v>
      </c>
      <c r="AU2848" s="6" t="str">
        <f>HYPERLINK("http://catalog.hathitrust.org/Record/001477547","HathiTrust Record")</f>
        <v>HathiTrust Record</v>
      </c>
      <c r="AV2848" s="6" t="str">
        <f>HYPERLINK("http://mcgill.on.worldcat.org/oclc/437098","Catalog Record")</f>
        <v>Catalog Record</v>
      </c>
      <c r="AW2848" s="6" t="str">
        <f>HYPERLINK("http://www.worldcat.org/oclc/437098","WorldCat Record")</f>
        <v>WorldCat Record</v>
      </c>
      <c r="AX2848" s="3" t="s">
        <v>27598</v>
      </c>
      <c r="AY2848" s="3" t="s">
        <v>27599</v>
      </c>
      <c r="AZ2848" s="3" t="s">
        <v>27600</v>
      </c>
      <c r="BA2848" s="3" t="s">
        <v>27600</v>
      </c>
      <c r="BB2848" s="3" t="s">
        <v>27601</v>
      </c>
      <c r="BC2848" s="3" t="s">
        <v>102</v>
      </c>
      <c r="BD2848" s="3" t="s">
        <v>68</v>
      </c>
      <c r="BE2848" s="3" t="s">
        <v>27602</v>
      </c>
      <c r="BF2848" s="3" t="s">
        <v>27601</v>
      </c>
      <c r="BG2848" s="3" t="s">
        <v>27603</v>
      </c>
    </row>
    <row r="2849" spans="1:59" ht="58" x14ac:dyDescent="0.35">
      <c r="A2849" s="2" t="s">
        <v>89</v>
      </c>
      <c r="B2849" s="2" t="s">
        <v>90</v>
      </c>
      <c r="C2849" s="2" t="s">
        <v>27592</v>
      </c>
      <c r="D2849" s="2" t="s">
        <v>27593</v>
      </c>
      <c r="E2849" s="2" t="s">
        <v>27594</v>
      </c>
      <c r="G2849" s="3" t="s">
        <v>62</v>
      </c>
      <c r="I2849" s="3" t="s">
        <v>61</v>
      </c>
      <c r="J2849" s="3" t="s">
        <v>62</v>
      </c>
      <c r="K2849" s="3" t="s">
        <v>63</v>
      </c>
      <c r="L2849" s="2" t="s">
        <v>27595</v>
      </c>
      <c r="M2849" s="2" t="s">
        <v>27596</v>
      </c>
      <c r="N2849" s="3" t="s">
        <v>81</v>
      </c>
      <c r="P2849" s="3" t="s">
        <v>64</v>
      </c>
      <c r="Q2849" s="2" t="s">
        <v>27597</v>
      </c>
      <c r="R2849" s="3" t="s">
        <v>27443</v>
      </c>
      <c r="S2849" s="4">
        <v>87</v>
      </c>
      <c r="T2849" s="4">
        <v>171</v>
      </c>
      <c r="U2849" s="5" t="s">
        <v>22238</v>
      </c>
      <c r="V2849" s="5" t="s">
        <v>22238</v>
      </c>
      <c r="W2849" s="5" t="s">
        <v>67</v>
      </c>
      <c r="X2849" s="5" t="s">
        <v>67</v>
      </c>
      <c r="Y2849" s="4">
        <v>875</v>
      </c>
      <c r="Z2849" s="4">
        <v>55</v>
      </c>
      <c r="AA2849" s="4">
        <v>66</v>
      </c>
      <c r="AB2849" s="4">
        <v>2</v>
      </c>
      <c r="AC2849" s="4">
        <v>11</v>
      </c>
      <c r="AD2849" s="4">
        <v>136</v>
      </c>
      <c r="AE2849" s="4">
        <v>144</v>
      </c>
      <c r="AF2849" s="4">
        <v>1</v>
      </c>
      <c r="AG2849" s="4">
        <v>7</v>
      </c>
      <c r="AH2849" s="4">
        <v>102</v>
      </c>
      <c r="AI2849" s="4">
        <v>104</v>
      </c>
      <c r="AJ2849" s="4">
        <v>23</v>
      </c>
      <c r="AK2849" s="4">
        <v>29</v>
      </c>
      <c r="AL2849" s="4">
        <v>57</v>
      </c>
      <c r="AM2849" s="4">
        <v>57</v>
      </c>
      <c r="AN2849" s="4">
        <v>0</v>
      </c>
      <c r="AO2849" s="4">
        <v>0</v>
      </c>
      <c r="AP2849" s="4">
        <v>39</v>
      </c>
      <c r="AQ2849" s="4">
        <v>46</v>
      </c>
      <c r="AR2849" s="3" t="s">
        <v>62</v>
      </c>
      <c r="AS2849" s="3" t="s">
        <v>62</v>
      </c>
      <c r="AT2849" s="3" t="s">
        <v>61</v>
      </c>
      <c r="AU2849" s="6" t="str">
        <f>HYPERLINK("http://catalog.hathitrust.org/Record/001477547","HathiTrust Record")</f>
        <v>HathiTrust Record</v>
      </c>
      <c r="AV2849" s="6" t="str">
        <f>HYPERLINK("http://mcgill.on.worldcat.org/oclc/437098","Catalog Record")</f>
        <v>Catalog Record</v>
      </c>
      <c r="AW2849" s="6" t="str">
        <f>HYPERLINK("http://www.worldcat.org/oclc/437098","WorldCat Record")</f>
        <v>WorldCat Record</v>
      </c>
      <c r="AX2849" s="3" t="s">
        <v>27598</v>
      </c>
      <c r="AY2849" s="3" t="s">
        <v>27599</v>
      </c>
      <c r="AZ2849" s="3" t="s">
        <v>27600</v>
      </c>
      <c r="BA2849" s="3" t="s">
        <v>27600</v>
      </c>
      <c r="BB2849" s="3" t="s">
        <v>27604</v>
      </c>
      <c r="BC2849" s="3" t="s">
        <v>102</v>
      </c>
      <c r="BD2849" s="3" t="s">
        <v>68</v>
      </c>
      <c r="BE2849" s="3" t="s">
        <v>27602</v>
      </c>
      <c r="BF2849" s="3" t="s">
        <v>27604</v>
      </c>
      <c r="BG2849" s="3" t="s">
        <v>27605</v>
      </c>
    </row>
    <row r="2850" spans="1:59" ht="58" x14ac:dyDescent="0.35">
      <c r="A2850" s="2" t="s">
        <v>89</v>
      </c>
      <c r="B2850" s="2" t="s">
        <v>90</v>
      </c>
      <c r="C2850" s="2" t="s">
        <v>27606</v>
      </c>
      <c r="D2850" s="2" t="s">
        <v>27607</v>
      </c>
      <c r="E2850" s="2" t="s">
        <v>27608</v>
      </c>
      <c r="G2850" s="3" t="s">
        <v>62</v>
      </c>
      <c r="I2850" s="3" t="s">
        <v>62</v>
      </c>
      <c r="J2850" s="3" t="s">
        <v>62</v>
      </c>
      <c r="K2850" s="3" t="s">
        <v>63</v>
      </c>
      <c r="L2850" s="2" t="s">
        <v>27609</v>
      </c>
      <c r="M2850" s="2" t="s">
        <v>27610</v>
      </c>
      <c r="N2850" s="3" t="s">
        <v>1905</v>
      </c>
      <c r="P2850" s="3" t="s">
        <v>64</v>
      </c>
      <c r="R2850" s="3" t="s">
        <v>27443</v>
      </c>
      <c r="S2850" s="4">
        <v>27</v>
      </c>
      <c r="T2850" s="4">
        <v>27</v>
      </c>
      <c r="U2850" s="5" t="s">
        <v>2950</v>
      </c>
      <c r="V2850" s="5" t="s">
        <v>2950</v>
      </c>
      <c r="W2850" s="5" t="s">
        <v>67</v>
      </c>
      <c r="X2850" s="5" t="s">
        <v>67</v>
      </c>
      <c r="Y2850" s="4">
        <v>646</v>
      </c>
      <c r="Z2850" s="4">
        <v>30</v>
      </c>
      <c r="AA2850" s="4">
        <v>33</v>
      </c>
      <c r="AB2850" s="4">
        <v>2</v>
      </c>
      <c r="AC2850" s="4">
        <v>5</v>
      </c>
      <c r="AD2850" s="4">
        <v>126</v>
      </c>
      <c r="AE2850" s="4">
        <v>129</v>
      </c>
      <c r="AF2850" s="4">
        <v>0</v>
      </c>
      <c r="AG2850" s="4">
        <v>3</v>
      </c>
      <c r="AH2850" s="4">
        <v>108</v>
      </c>
      <c r="AI2850" s="4">
        <v>108</v>
      </c>
      <c r="AJ2850" s="4">
        <v>19</v>
      </c>
      <c r="AK2850" s="4">
        <v>22</v>
      </c>
      <c r="AL2850" s="4">
        <v>57</v>
      </c>
      <c r="AM2850" s="4">
        <v>57</v>
      </c>
      <c r="AN2850" s="4">
        <v>0</v>
      </c>
      <c r="AO2850" s="4">
        <v>0</v>
      </c>
      <c r="AP2850" s="4">
        <v>24</v>
      </c>
      <c r="AQ2850" s="4">
        <v>26</v>
      </c>
      <c r="AR2850" s="3" t="s">
        <v>62</v>
      </c>
      <c r="AS2850" s="3" t="s">
        <v>62</v>
      </c>
      <c r="AT2850" s="3" t="s">
        <v>62</v>
      </c>
      <c r="AV2850" s="6" t="str">
        <f>HYPERLINK("http://mcgill.on.worldcat.org/oclc/15421534","Catalog Record")</f>
        <v>Catalog Record</v>
      </c>
      <c r="AW2850" s="6" t="str">
        <f>HYPERLINK("http://www.worldcat.org/oclc/15421534","WorldCat Record")</f>
        <v>WorldCat Record</v>
      </c>
      <c r="AX2850" s="3" t="s">
        <v>27611</v>
      </c>
      <c r="AY2850" s="3" t="s">
        <v>27612</v>
      </c>
      <c r="AZ2850" s="3" t="s">
        <v>27613</v>
      </c>
      <c r="BA2850" s="3" t="s">
        <v>27613</v>
      </c>
      <c r="BB2850" s="3" t="s">
        <v>27614</v>
      </c>
      <c r="BC2850" s="3" t="s">
        <v>102</v>
      </c>
      <c r="BD2850" s="3" t="s">
        <v>68</v>
      </c>
      <c r="BE2850" s="3" t="s">
        <v>27615</v>
      </c>
      <c r="BF2850" s="3" t="s">
        <v>27614</v>
      </c>
      <c r="BG2850" s="3" t="s">
        <v>27616</v>
      </c>
    </row>
    <row r="2851" spans="1:59" ht="58" x14ac:dyDescent="0.35">
      <c r="A2851" s="2" t="s">
        <v>89</v>
      </c>
      <c r="B2851" s="2" t="s">
        <v>90</v>
      </c>
      <c r="C2851" s="2" t="s">
        <v>27617</v>
      </c>
      <c r="D2851" s="2" t="s">
        <v>27618</v>
      </c>
      <c r="E2851" s="2" t="s">
        <v>27619</v>
      </c>
      <c r="G2851" s="3" t="s">
        <v>62</v>
      </c>
      <c r="I2851" s="3" t="s">
        <v>61</v>
      </c>
      <c r="J2851" s="3" t="s">
        <v>62</v>
      </c>
      <c r="K2851" s="3" t="s">
        <v>63</v>
      </c>
      <c r="L2851" s="2" t="s">
        <v>6057</v>
      </c>
      <c r="M2851" s="2" t="s">
        <v>27620</v>
      </c>
      <c r="N2851" s="3" t="s">
        <v>239</v>
      </c>
      <c r="P2851" s="3" t="s">
        <v>64</v>
      </c>
      <c r="R2851" s="3" t="s">
        <v>27443</v>
      </c>
      <c r="S2851" s="4">
        <v>10</v>
      </c>
      <c r="T2851" s="4">
        <v>43</v>
      </c>
      <c r="U2851" s="5" t="s">
        <v>27621</v>
      </c>
      <c r="V2851" s="5" t="s">
        <v>4688</v>
      </c>
      <c r="W2851" s="5" t="s">
        <v>67</v>
      </c>
      <c r="X2851" s="5" t="s">
        <v>67</v>
      </c>
      <c r="Y2851" s="4">
        <v>102</v>
      </c>
      <c r="Z2851" s="4">
        <v>8</v>
      </c>
      <c r="AA2851" s="4">
        <v>26</v>
      </c>
      <c r="AB2851" s="4">
        <v>1</v>
      </c>
      <c r="AC2851" s="4">
        <v>1</v>
      </c>
      <c r="AD2851" s="4">
        <v>23</v>
      </c>
      <c r="AE2851" s="4">
        <v>110</v>
      </c>
      <c r="AF2851" s="4">
        <v>0</v>
      </c>
      <c r="AG2851" s="4">
        <v>0</v>
      </c>
      <c r="AH2851" s="4">
        <v>19</v>
      </c>
      <c r="AI2851" s="4">
        <v>92</v>
      </c>
      <c r="AJ2851" s="4">
        <v>4</v>
      </c>
      <c r="AK2851" s="4">
        <v>14</v>
      </c>
      <c r="AL2851" s="4">
        <v>11</v>
      </c>
      <c r="AM2851" s="4">
        <v>52</v>
      </c>
      <c r="AN2851" s="4">
        <v>0</v>
      </c>
      <c r="AO2851" s="4">
        <v>0</v>
      </c>
      <c r="AP2851" s="4">
        <v>4</v>
      </c>
      <c r="AQ2851" s="4">
        <v>19</v>
      </c>
      <c r="AR2851" s="3" t="s">
        <v>62</v>
      </c>
      <c r="AS2851" s="3" t="s">
        <v>62</v>
      </c>
      <c r="AT2851" s="3" t="s">
        <v>62</v>
      </c>
      <c r="AV2851" s="6" t="str">
        <f>HYPERLINK("http://mcgill.on.worldcat.org/oclc/4306156","Catalog Record")</f>
        <v>Catalog Record</v>
      </c>
      <c r="AW2851" s="6" t="str">
        <f>HYPERLINK("http://www.worldcat.org/oclc/4306156","WorldCat Record")</f>
        <v>WorldCat Record</v>
      </c>
      <c r="AX2851" s="3" t="s">
        <v>27622</v>
      </c>
      <c r="AY2851" s="3" t="s">
        <v>27623</v>
      </c>
      <c r="AZ2851" s="3" t="s">
        <v>27624</v>
      </c>
      <c r="BA2851" s="3" t="s">
        <v>27624</v>
      </c>
      <c r="BB2851" s="3" t="s">
        <v>27625</v>
      </c>
      <c r="BC2851" s="3" t="s">
        <v>102</v>
      </c>
      <c r="BD2851" s="3" t="s">
        <v>68</v>
      </c>
      <c r="BF2851" s="3" t="s">
        <v>27625</v>
      </c>
      <c r="BG2851" s="3" t="s">
        <v>27626</v>
      </c>
    </row>
    <row r="2852" spans="1:59" ht="58" x14ac:dyDescent="0.35">
      <c r="A2852" s="2" t="s">
        <v>89</v>
      </c>
      <c r="B2852" s="2" t="s">
        <v>90</v>
      </c>
      <c r="C2852" s="2" t="s">
        <v>27627</v>
      </c>
      <c r="D2852" s="2" t="s">
        <v>27628</v>
      </c>
      <c r="E2852" s="2" t="s">
        <v>27629</v>
      </c>
      <c r="G2852" s="3" t="s">
        <v>62</v>
      </c>
      <c r="I2852" s="3" t="s">
        <v>62</v>
      </c>
      <c r="J2852" s="3" t="s">
        <v>62</v>
      </c>
      <c r="K2852" s="3" t="s">
        <v>63</v>
      </c>
      <c r="L2852" s="2" t="s">
        <v>27630</v>
      </c>
      <c r="M2852" s="2" t="s">
        <v>27631</v>
      </c>
      <c r="N2852" s="3" t="s">
        <v>81</v>
      </c>
      <c r="P2852" s="3" t="s">
        <v>64</v>
      </c>
      <c r="Q2852" s="2" t="s">
        <v>27632</v>
      </c>
      <c r="R2852" s="3" t="s">
        <v>27443</v>
      </c>
      <c r="S2852" s="4">
        <v>2</v>
      </c>
      <c r="T2852" s="4">
        <v>2</v>
      </c>
      <c r="U2852" s="5" t="s">
        <v>8419</v>
      </c>
      <c r="V2852" s="5" t="s">
        <v>8419</v>
      </c>
      <c r="W2852" s="5" t="s">
        <v>67</v>
      </c>
      <c r="X2852" s="5" t="s">
        <v>67</v>
      </c>
      <c r="Y2852" s="4">
        <v>425</v>
      </c>
      <c r="Z2852" s="4">
        <v>29</v>
      </c>
      <c r="AA2852" s="4">
        <v>49</v>
      </c>
      <c r="AB2852" s="4">
        <v>2</v>
      </c>
      <c r="AC2852" s="4">
        <v>8</v>
      </c>
      <c r="AD2852" s="4">
        <v>112</v>
      </c>
      <c r="AE2852" s="4">
        <v>131</v>
      </c>
      <c r="AF2852" s="4">
        <v>1</v>
      </c>
      <c r="AG2852" s="4">
        <v>3</v>
      </c>
      <c r="AH2852" s="4">
        <v>92</v>
      </c>
      <c r="AI2852" s="4">
        <v>102</v>
      </c>
      <c r="AJ2852" s="4">
        <v>17</v>
      </c>
      <c r="AK2852" s="4">
        <v>19</v>
      </c>
      <c r="AL2852" s="4">
        <v>52</v>
      </c>
      <c r="AM2852" s="4">
        <v>56</v>
      </c>
      <c r="AN2852" s="4">
        <v>0</v>
      </c>
      <c r="AO2852" s="4">
        <v>0</v>
      </c>
      <c r="AP2852" s="4">
        <v>23</v>
      </c>
      <c r="AQ2852" s="4">
        <v>32</v>
      </c>
      <c r="AR2852" s="3" t="s">
        <v>62</v>
      </c>
      <c r="AS2852" s="3" t="s">
        <v>62</v>
      </c>
      <c r="AT2852" s="3" t="s">
        <v>62</v>
      </c>
      <c r="AV2852" s="6" t="str">
        <f>HYPERLINK("http://mcgill.on.worldcat.org/oclc/442420","Catalog Record")</f>
        <v>Catalog Record</v>
      </c>
      <c r="AW2852" s="6" t="str">
        <f>HYPERLINK("http://www.worldcat.org/oclc/442420","WorldCat Record")</f>
        <v>WorldCat Record</v>
      </c>
      <c r="AX2852" s="3" t="s">
        <v>27633</v>
      </c>
      <c r="AY2852" s="3" t="s">
        <v>27634</v>
      </c>
      <c r="AZ2852" s="3" t="s">
        <v>27635</v>
      </c>
      <c r="BA2852" s="3" t="s">
        <v>27635</v>
      </c>
      <c r="BB2852" s="3" t="s">
        <v>27636</v>
      </c>
      <c r="BC2852" s="3" t="s">
        <v>102</v>
      </c>
      <c r="BD2852" s="3" t="s">
        <v>68</v>
      </c>
      <c r="BF2852" s="3" t="s">
        <v>27636</v>
      </c>
      <c r="BG2852" s="3" t="s">
        <v>27637</v>
      </c>
    </row>
    <row r="2853" spans="1:59" ht="58" x14ac:dyDescent="0.35">
      <c r="A2853" s="2" t="s">
        <v>89</v>
      </c>
      <c r="B2853" s="2" t="s">
        <v>90</v>
      </c>
      <c r="C2853" s="2" t="s">
        <v>27638</v>
      </c>
      <c r="D2853" s="2" t="s">
        <v>27639</v>
      </c>
      <c r="E2853" s="2" t="s">
        <v>27640</v>
      </c>
      <c r="G2853" s="3" t="s">
        <v>62</v>
      </c>
      <c r="I2853" s="3" t="s">
        <v>61</v>
      </c>
      <c r="J2853" s="3" t="s">
        <v>62</v>
      </c>
      <c r="K2853" s="3" t="s">
        <v>63</v>
      </c>
      <c r="L2853" s="2" t="s">
        <v>27641</v>
      </c>
      <c r="M2853" s="2" t="s">
        <v>27642</v>
      </c>
      <c r="N2853" s="3" t="s">
        <v>795</v>
      </c>
      <c r="P2853" s="3" t="s">
        <v>64</v>
      </c>
      <c r="R2853" s="3" t="s">
        <v>27443</v>
      </c>
      <c r="S2853" s="4">
        <v>22</v>
      </c>
      <c r="T2853" s="4">
        <v>26</v>
      </c>
      <c r="U2853" s="5" t="s">
        <v>15032</v>
      </c>
      <c r="V2853" s="5" t="s">
        <v>15032</v>
      </c>
      <c r="W2853" s="5" t="s">
        <v>67</v>
      </c>
      <c r="X2853" s="5" t="s">
        <v>67</v>
      </c>
      <c r="Y2853" s="4">
        <v>504</v>
      </c>
      <c r="Z2853" s="4">
        <v>22</v>
      </c>
      <c r="AA2853" s="4">
        <v>67</v>
      </c>
      <c r="AB2853" s="4">
        <v>1</v>
      </c>
      <c r="AC2853" s="4">
        <v>10</v>
      </c>
      <c r="AD2853" s="4">
        <v>99</v>
      </c>
      <c r="AE2853" s="4">
        <v>150</v>
      </c>
      <c r="AF2853" s="4">
        <v>0</v>
      </c>
      <c r="AG2853" s="4">
        <v>6</v>
      </c>
      <c r="AH2853" s="4">
        <v>87</v>
      </c>
      <c r="AI2853" s="4">
        <v>115</v>
      </c>
      <c r="AJ2853" s="4">
        <v>14</v>
      </c>
      <c r="AK2853" s="4">
        <v>29</v>
      </c>
      <c r="AL2853" s="4">
        <v>53</v>
      </c>
      <c r="AM2853" s="4">
        <v>62</v>
      </c>
      <c r="AN2853" s="4">
        <v>0</v>
      </c>
      <c r="AO2853" s="4">
        <v>1</v>
      </c>
      <c r="AP2853" s="4">
        <v>16</v>
      </c>
      <c r="AQ2853" s="4">
        <v>41</v>
      </c>
      <c r="AR2853" s="3" t="s">
        <v>62</v>
      </c>
      <c r="AS2853" s="3" t="s">
        <v>62</v>
      </c>
      <c r="AT2853" s="3" t="s">
        <v>61</v>
      </c>
      <c r="AU2853" s="6" t="str">
        <f>HYPERLINK("http://catalog.hathitrust.org/Record/001477569","HathiTrust Record")</f>
        <v>HathiTrust Record</v>
      </c>
      <c r="AV2853" s="6" t="str">
        <f>HYPERLINK("http://mcgill.on.worldcat.org/oclc/531025","Catalog Record")</f>
        <v>Catalog Record</v>
      </c>
      <c r="AW2853" s="6" t="str">
        <f>HYPERLINK("http://www.worldcat.org/oclc/531025","WorldCat Record")</f>
        <v>WorldCat Record</v>
      </c>
      <c r="AX2853" s="3" t="s">
        <v>27643</v>
      </c>
      <c r="AY2853" s="3" t="s">
        <v>27644</v>
      </c>
      <c r="AZ2853" s="3" t="s">
        <v>27645</v>
      </c>
      <c r="BA2853" s="3" t="s">
        <v>27645</v>
      </c>
      <c r="BB2853" s="3" t="s">
        <v>27646</v>
      </c>
      <c r="BC2853" s="3" t="s">
        <v>102</v>
      </c>
      <c r="BD2853" s="3" t="s">
        <v>68</v>
      </c>
      <c r="BF2853" s="3" t="s">
        <v>27646</v>
      </c>
      <c r="BG2853" s="3" t="s">
        <v>27647</v>
      </c>
    </row>
    <row r="2854" spans="1:59" ht="58" x14ac:dyDescent="0.35">
      <c r="A2854" s="2" t="s">
        <v>89</v>
      </c>
      <c r="B2854" s="2" t="s">
        <v>90</v>
      </c>
      <c r="C2854" s="2" t="s">
        <v>27648</v>
      </c>
      <c r="D2854" s="2" t="s">
        <v>27649</v>
      </c>
      <c r="E2854" s="2" t="s">
        <v>27650</v>
      </c>
      <c r="G2854" s="3" t="s">
        <v>62</v>
      </c>
      <c r="I2854" s="3" t="s">
        <v>61</v>
      </c>
      <c r="J2854" s="3" t="s">
        <v>62</v>
      </c>
      <c r="K2854" s="3" t="s">
        <v>63</v>
      </c>
      <c r="L2854" s="2" t="s">
        <v>27651</v>
      </c>
      <c r="M2854" s="2" t="s">
        <v>27652</v>
      </c>
      <c r="N2854" s="3" t="s">
        <v>824</v>
      </c>
      <c r="P2854" s="3" t="s">
        <v>64</v>
      </c>
      <c r="Q2854" s="2" t="s">
        <v>27653</v>
      </c>
      <c r="R2854" s="3" t="s">
        <v>27443</v>
      </c>
      <c r="S2854" s="4">
        <v>5</v>
      </c>
      <c r="T2854" s="4">
        <v>10</v>
      </c>
      <c r="U2854" s="5" t="s">
        <v>14432</v>
      </c>
      <c r="V2854" s="5" t="s">
        <v>14432</v>
      </c>
      <c r="W2854" s="5" t="s">
        <v>67</v>
      </c>
      <c r="X2854" s="5" t="s">
        <v>67</v>
      </c>
      <c r="Y2854" s="4">
        <v>156</v>
      </c>
      <c r="Z2854" s="4">
        <v>12</v>
      </c>
      <c r="AA2854" s="4">
        <v>16</v>
      </c>
      <c r="AB2854" s="4">
        <v>1</v>
      </c>
      <c r="AC2854" s="4">
        <v>1</v>
      </c>
      <c r="AD2854" s="4">
        <v>53</v>
      </c>
      <c r="AE2854" s="4">
        <v>83</v>
      </c>
      <c r="AF2854" s="4">
        <v>0</v>
      </c>
      <c r="AG2854" s="4">
        <v>0</v>
      </c>
      <c r="AH2854" s="4">
        <v>46</v>
      </c>
      <c r="AI2854" s="4">
        <v>72</v>
      </c>
      <c r="AJ2854" s="4">
        <v>8</v>
      </c>
      <c r="AK2854" s="4">
        <v>10</v>
      </c>
      <c r="AL2854" s="4">
        <v>28</v>
      </c>
      <c r="AM2854" s="4">
        <v>44</v>
      </c>
      <c r="AN2854" s="4">
        <v>0</v>
      </c>
      <c r="AO2854" s="4">
        <v>0</v>
      </c>
      <c r="AP2854" s="4">
        <v>10</v>
      </c>
      <c r="AQ2854" s="4">
        <v>14</v>
      </c>
      <c r="AR2854" s="3" t="s">
        <v>62</v>
      </c>
      <c r="AS2854" s="3" t="s">
        <v>62</v>
      </c>
      <c r="AT2854" s="3" t="s">
        <v>61</v>
      </c>
      <c r="AU2854" s="6" t="str">
        <f>HYPERLINK("http://catalog.hathitrust.org/Record/006710655","HathiTrust Record")</f>
        <v>HathiTrust Record</v>
      </c>
      <c r="AV2854" s="6" t="str">
        <f>HYPERLINK("http://mcgill.on.worldcat.org/oclc/732641","Catalog Record")</f>
        <v>Catalog Record</v>
      </c>
      <c r="AW2854" s="6" t="str">
        <f>HYPERLINK("http://www.worldcat.org/oclc/732641","WorldCat Record")</f>
        <v>WorldCat Record</v>
      </c>
      <c r="AX2854" s="3" t="s">
        <v>27654</v>
      </c>
      <c r="AY2854" s="3" t="s">
        <v>27655</v>
      </c>
      <c r="AZ2854" s="3" t="s">
        <v>27656</v>
      </c>
      <c r="BA2854" s="3" t="s">
        <v>27656</v>
      </c>
      <c r="BB2854" s="3" t="s">
        <v>27657</v>
      </c>
      <c r="BC2854" s="3" t="s">
        <v>102</v>
      </c>
      <c r="BD2854" s="3" t="s">
        <v>68</v>
      </c>
      <c r="BF2854" s="3" t="s">
        <v>27657</v>
      </c>
      <c r="BG2854" s="3" t="s">
        <v>27658</v>
      </c>
    </row>
    <row r="2855" spans="1:59" ht="58" x14ac:dyDescent="0.35">
      <c r="A2855" s="2" t="s">
        <v>89</v>
      </c>
      <c r="B2855" s="2" t="s">
        <v>90</v>
      </c>
      <c r="C2855" s="2" t="s">
        <v>27659</v>
      </c>
      <c r="D2855" s="2" t="s">
        <v>27660</v>
      </c>
      <c r="E2855" s="2" t="s">
        <v>27661</v>
      </c>
      <c r="G2855" s="3" t="s">
        <v>62</v>
      </c>
      <c r="I2855" s="3" t="s">
        <v>62</v>
      </c>
      <c r="J2855" s="3" t="s">
        <v>62</v>
      </c>
      <c r="K2855" s="3" t="s">
        <v>63</v>
      </c>
      <c r="L2855" s="2" t="s">
        <v>27662</v>
      </c>
      <c r="M2855" s="2" t="s">
        <v>27663</v>
      </c>
      <c r="N2855" s="3" t="s">
        <v>866</v>
      </c>
      <c r="P2855" s="3" t="s">
        <v>64</v>
      </c>
      <c r="R2855" s="3" t="s">
        <v>27443</v>
      </c>
      <c r="S2855" s="4">
        <v>17</v>
      </c>
      <c r="T2855" s="4">
        <v>17</v>
      </c>
      <c r="U2855" s="5" t="s">
        <v>27664</v>
      </c>
      <c r="V2855" s="5" t="s">
        <v>27664</v>
      </c>
      <c r="W2855" s="5" t="s">
        <v>67</v>
      </c>
      <c r="X2855" s="5" t="s">
        <v>67</v>
      </c>
      <c r="Y2855" s="4">
        <v>292</v>
      </c>
      <c r="Z2855" s="4">
        <v>21</v>
      </c>
      <c r="AA2855" s="4">
        <v>24</v>
      </c>
      <c r="AB2855" s="4">
        <v>3</v>
      </c>
      <c r="AC2855" s="4">
        <v>4</v>
      </c>
      <c r="AD2855" s="4">
        <v>88</v>
      </c>
      <c r="AE2855" s="4">
        <v>90</v>
      </c>
      <c r="AF2855" s="4">
        <v>1</v>
      </c>
      <c r="AG2855" s="4">
        <v>2</v>
      </c>
      <c r="AH2855" s="4">
        <v>76</v>
      </c>
      <c r="AI2855" s="4">
        <v>77</v>
      </c>
      <c r="AJ2855" s="4">
        <v>15</v>
      </c>
      <c r="AK2855" s="4">
        <v>17</v>
      </c>
      <c r="AL2855" s="4">
        <v>42</v>
      </c>
      <c r="AM2855" s="4">
        <v>43</v>
      </c>
      <c r="AN2855" s="4">
        <v>0</v>
      </c>
      <c r="AO2855" s="4">
        <v>0</v>
      </c>
      <c r="AP2855" s="4">
        <v>16</v>
      </c>
      <c r="AQ2855" s="4">
        <v>18</v>
      </c>
      <c r="AR2855" s="3" t="s">
        <v>62</v>
      </c>
      <c r="AS2855" s="3" t="s">
        <v>62</v>
      </c>
      <c r="AT2855" s="3" t="s">
        <v>61</v>
      </c>
      <c r="AU2855" s="6" t="str">
        <f>HYPERLINK("http://catalog.hathitrust.org/Record/006199903","HathiTrust Record")</f>
        <v>HathiTrust Record</v>
      </c>
      <c r="AV2855" s="6" t="str">
        <f>HYPERLINK("http://mcgill.on.worldcat.org/oclc/579491","Catalog Record")</f>
        <v>Catalog Record</v>
      </c>
      <c r="AW2855" s="6" t="str">
        <f>HYPERLINK("http://www.worldcat.org/oclc/579491","WorldCat Record")</f>
        <v>WorldCat Record</v>
      </c>
      <c r="AX2855" s="3" t="s">
        <v>27665</v>
      </c>
      <c r="AY2855" s="3" t="s">
        <v>27666</v>
      </c>
      <c r="AZ2855" s="3" t="s">
        <v>27667</v>
      </c>
      <c r="BA2855" s="3" t="s">
        <v>27667</v>
      </c>
      <c r="BB2855" s="3" t="s">
        <v>27668</v>
      </c>
      <c r="BC2855" s="3" t="s">
        <v>102</v>
      </c>
      <c r="BD2855" s="3" t="s">
        <v>68</v>
      </c>
      <c r="BE2855" s="3" t="s">
        <v>27669</v>
      </c>
      <c r="BF2855" s="3" t="s">
        <v>27668</v>
      </c>
      <c r="BG2855" s="3" t="s">
        <v>27670</v>
      </c>
    </row>
    <row r="2856" spans="1:59" ht="116" x14ac:dyDescent="0.35">
      <c r="A2856" s="2" t="s">
        <v>89</v>
      </c>
      <c r="B2856" s="2" t="s">
        <v>3312</v>
      </c>
      <c r="C2856" s="2" t="s">
        <v>27671</v>
      </c>
      <c r="D2856" s="2" t="s">
        <v>27672</v>
      </c>
      <c r="E2856" s="2" t="s">
        <v>27673</v>
      </c>
      <c r="G2856" s="3" t="s">
        <v>62</v>
      </c>
      <c r="I2856" s="3" t="s">
        <v>62</v>
      </c>
      <c r="J2856" s="3" t="s">
        <v>62</v>
      </c>
      <c r="K2856" s="3" t="s">
        <v>63</v>
      </c>
      <c r="L2856" s="2" t="s">
        <v>27674</v>
      </c>
      <c r="M2856" s="2" t="s">
        <v>27675</v>
      </c>
      <c r="N2856" s="3" t="s">
        <v>684</v>
      </c>
      <c r="O2856" s="2" t="s">
        <v>1674</v>
      </c>
      <c r="P2856" s="3" t="s">
        <v>64</v>
      </c>
      <c r="R2856" s="3" t="s">
        <v>27443</v>
      </c>
      <c r="S2856" s="4">
        <v>0</v>
      </c>
      <c r="T2856" s="4">
        <v>0</v>
      </c>
      <c r="W2856" s="5" t="s">
        <v>67</v>
      </c>
      <c r="X2856" s="5" t="s">
        <v>67</v>
      </c>
      <c r="Y2856" s="4">
        <v>26</v>
      </c>
      <c r="Z2856" s="4">
        <v>2</v>
      </c>
      <c r="AA2856" s="4">
        <v>2</v>
      </c>
      <c r="AB2856" s="4">
        <v>1</v>
      </c>
      <c r="AC2856" s="4">
        <v>1</v>
      </c>
      <c r="AD2856" s="4">
        <v>14</v>
      </c>
      <c r="AE2856" s="4">
        <v>14</v>
      </c>
      <c r="AF2856" s="4">
        <v>0</v>
      </c>
      <c r="AG2856" s="4">
        <v>0</v>
      </c>
      <c r="AH2856" s="4">
        <v>14</v>
      </c>
      <c r="AI2856" s="4">
        <v>14</v>
      </c>
      <c r="AJ2856" s="4">
        <v>1</v>
      </c>
      <c r="AK2856" s="4">
        <v>1</v>
      </c>
      <c r="AL2856" s="4">
        <v>7</v>
      </c>
      <c r="AM2856" s="4">
        <v>7</v>
      </c>
      <c r="AN2856" s="4">
        <v>0</v>
      </c>
      <c r="AO2856" s="4">
        <v>0</v>
      </c>
      <c r="AP2856" s="4">
        <v>1</v>
      </c>
      <c r="AQ2856" s="4">
        <v>1</v>
      </c>
      <c r="AR2856" s="3" t="s">
        <v>62</v>
      </c>
      <c r="AS2856" s="3" t="s">
        <v>62</v>
      </c>
      <c r="AT2856" s="3" t="s">
        <v>62</v>
      </c>
      <c r="AV2856" s="6" t="str">
        <f>HYPERLINK("http://mcgill.on.worldcat.org/oclc/761403453","Catalog Record")</f>
        <v>Catalog Record</v>
      </c>
      <c r="AW2856" s="6" t="str">
        <f>HYPERLINK("http://www.worldcat.org/oclc/761403453","WorldCat Record")</f>
        <v>WorldCat Record</v>
      </c>
      <c r="AX2856" s="3" t="s">
        <v>27676</v>
      </c>
      <c r="AY2856" s="3" t="s">
        <v>27677</v>
      </c>
      <c r="AZ2856" s="3" t="s">
        <v>27678</v>
      </c>
      <c r="BA2856" s="3" t="s">
        <v>27678</v>
      </c>
      <c r="BB2856" s="3" t="s">
        <v>27679</v>
      </c>
      <c r="BC2856" s="3" t="s">
        <v>102</v>
      </c>
      <c r="BD2856" s="3" t="s">
        <v>68</v>
      </c>
      <c r="BE2856" s="3" t="s">
        <v>27680</v>
      </c>
      <c r="BF2856" s="3" t="s">
        <v>27679</v>
      </c>
      <c r="BG2856" s="3" t="s">
        <v>27681</v>
      </c>
    </row>
    <row r="2857" spans="1:59" ht="58" x14ac:dyDescent="0.35">
      <c r="A2857" s="2" t="s">
        <v>89</v>
      </c>
      <c r="B2857" s="2" t="s">
        <v>90</v>
      </c>
      <c r="C2857" s="2" t="s">
        <v>27682</v>
      </c>
      <c r="D2857" s="2" t="s">
        <v>27683</v>
      </c>
      <c r="E2857" s="2" t="s">
        <v>27684</v>
      </c>
      <c r="G2857" s="3" t="s">
        <v>62</v>
      </c>
      <c r="I2857" s="3" t="s">
        <v>62</v>
      </c>
      <c r="J2857" s="3" t="s">
        <v>62</v>
      </c>
      <c r="K2857" s="3" t="s">
        <v>63</v>
      </c>
      <c r="L2857" s="2" t="s">
        <v>27685</v>
      </c>
      <c r="M2857" s="2" t="s">
        <v>27686</v>
      </c>
      <c r="N2857" s="3" t="s">
        <v>5251</v>
      </c>
      <c r="P2857" s="3" t="s">
        <v>64</v>
      </c>
      <c r="R2857" s="3" t="s">
        <v>27443</v>
      </c>
      <c r="S2857" s="4">
        <v>3</v>
      </c>
      <c r="T2857" s="4">
        <v>3</v>
      </c>
      <c r="U2857" s="5" t="s">
        <v>4001</v>
      </c>
      <c r="V2857" s="5" t="s">
        <v>4001</v>
      </c>
      <c r="W2857" s="5" t="s">
        <v>67</v>
      </c>
      <c r="X2857" s="5" t="s">
        <v>67</v>
      </c>
      <c r="Y2857" s="4">
        <v>175</v>
      </c>
      <c r="Z2857" s="4">
        <v>3</v>
      </c>
      <c r="AA2857" s="4">
        <v>21</v>
      </c>
      <c r="AB2857" s="4">
        <v>1</v>
      </c>
      <c r="AC2857" s="4">
        <v>5</v>
      </c>
      <c r="AD2857" s="4">
        <v>60</v>
      </c>
      <c r="AE2857" s="4">
        <v>70</v>
      </c>
      <c r="AF2857" s="4">
        <v>0</v>
      </c>
      <c r="AG2857" s="4">
        <v>1</v>
      </c>
      <c r="AH2857" s="4">
        <v>55</v>
      </c>
      <c r="AI2857" s="4">
        <v>61</v>
      </c>
      <c r="AJ2857" s="4">
        <v>1</v>
      </c>
      <c r="AK2857" s="4">
        <v>7</v>
      </c>
      <c r="AL2857" s="4">
        <v>37</v>
      </c>
      <c r="AM2857" s="4">
        <v>39</v>
      </c>
      <c r="AN2857" s="4">
        <v>0</v>
      </c>
      <c r="AO2857" s="4">
        <v>0</v>
      </c>
      <c r="AP2857" s="4">
        <v>2</v>
      </c>
      <c r="AQ2857" s="4">
        <v>9</v>
      </c>
      <c r="AR2857" s="3" t="s">
        <v>62</v>
      </c>
      <c r="AS2857" s="3" t="s">
        <v>61</v>
      </c>
      <c r="AT2857" s="3" t="s">
        <v>62</v>
      </c>
      <c r="AU2857" s="6" t="str">
        <f>HYPERLINK("http://catalog.hathitrust.org/Record/100541850","HathiTrust Record")</f>
        <v>HathiTrust Record</v>
      </c>
      <c r="AV2857" s="6" t="str">
        <f>HYPERLINK("http://mcgill.on.worldcat.org/oclc/904555","Catalog Record")</f>
        <v>Catalog Record</v>
      </c>
      <c r="AW2857" s="6" t="str">
        <f>HYPERLINK("http://www.worldcat.org/oclc/904555","WorldCat Record")</f>
        <v>WorldCat Record</v>
      </c>
      <c r="AX2857" s="3" t="s">
        <v>27687</v>
      </c>
      <c r="AY2857" s="3" t="s">
        <v>27688</v>
      </c>
      <c r="AZ2857" s="3" t="s">
        <v>27689</v>
      </c>
      <c r="BA2857" s="3" t="s">
        <v>27689</v>
      </c>
      <c r="BB2857" s="3" t="s">
        <v>27690</v>
      </c>
      <c r="BC2857" s="3" t="s">
        <v>102</v>
      </c>
      <c r="BD2857" s="3" t="s">
        <v>68</v>
      </c>
      <c r="BF2857" s="3" t="s">
        <v>27690</v>
      </c>
      <c r="BG2857" s="3" t="s">
        <v>27691</v>
      </c>
    </row>
    <row r="2858" spans="1:59" ht="58" x14ac:dyDescent="0.35">
      <c r="A2858" s="2" t="s">
        <v>89</v>
      </c>
      <c r="B2858" s="2" t="s">
        <v>90</v>
      </c>
      <c r="C2858" s="2" t="s">
        <v>27692</v>
      </c>
      <c r="D2858" s="2" t="s">
        <v>27693</v>
      </c>
      <c r="E2858" s="2" t="s">
        <v>27694</v>
      </c>
      <c r="G2858" s="3" t="s">
        <v>62</v>
      </c>
      <c r="I2858" s="3" t="s">
        <v>62</v>
      </c>
      <c r="J2858" s="3" t="s">
        <v>62</v>
      </c>
      <c r="K2858" s="3" t="s">
        <v>63</v>
      </c>
      <c r="M2858" s="2" t="s">
        <v>27695</v>
      </c>
      <c r="N2858" s="3" t="s">
        <v>129</v>
      </c>
      <c r="P2858" s="3" t="s">
        <v>64</v>
      </c>
      <c r="Q2858" s="2" t="s">
        <v>8477</v>
      </c>
      <c r="R2858" s="3" t="s">
        <v>27443</v>
      </c>
      <c r="S2858" s="4">
        <v>0</v>
      </c>
      <c r="T2858" s="4">
        <v>0</v>
      </c>
      <c r="W2858" s="5" t="s">
        <v>67</v>
      </c>
      <c r="X2858" s="5" t="s">
        <v>67</v>
      </c>
      <c r="Y2858" s="4">
        <v>210</v>
      </c>
      <c r="Z2858" s="4">
        <v>13</v>
      </c>
      <c r="AA2858" s="4">
        <v>22</v>
      </c>
      <c r="AB2858" s="4">
        <v>2</v>
      </c>
      <c r="AC2858" s="4">
        <v>4</v>
      </c>
      <c r="AD2858" s="4">
        <v>66</v>
      </c>
      <c r="AE2858" s="4">
        <v>81</v>
      </c>
      <c r="AF2858" s="4">
        <v>1</v>
      </c>
      <c r="AG2858" s="4">
        <v>3</v>
      </c>
      <c r="AH2858" s="4">
        <v>59</v>
      </c>
      <c r="AI2858" s="4">
        <v>70</v>
      </c>
      <c r="AJ2858" s="4">
        <v>7</v>
      </c>
      <c r="AK2858" s="4">
        <v>14</v>
      </c>
      <c r="AL2858" s="4">
        <v>32</v>
      </c>
      <c r="AM2858" s="4">
        <v>39</v>
      </c>
      <c r="AN2858" s="4">
        <v>0</v>
      </c>
      <c r="AO2858" s="4">
        <v>0</v>
      </c>
      <c r="AP2858" s="4">
        <v>11</v>
      </c>
      <c r="AQ2858" s="4">
        <v>17</v>
      </c>
      <c r="AR2858" s="3" t="s">
        <v>62</v>
      </c>
      <c r="AS2858" s="3" t="s">
        <v>62</v>
      </c>
      <c r="AT2858" s="3" t="s">
        <v>62</v>
      </c>
      <c r="AV2858" s="6" t="str">
        <f>HYPERLINK("http://mcgill.on.worldcat.org/oclc/785808879","Catalog Record")</f>
        <v>Catalog Record</v>
      </c>
      <c r="AW2858" s="6" t="str">
        <f>HYPERLINK("http://www.worldcat.org/oclc/785808879","WorldCat Record")</f>
        <v>WorldCat Record</v>
      </c>
      <c r="AX2858" s="3" t="s">
        <v>27696</v>
      </c>
      <c r="AY2858" s="3" t="s">
        <v>27697</v>
      </c>
      <c r="AZ2858" s="3" t="s">
        <v>27698</v>
      </c>
      <c r="BA2858" s="3" t="s">
        <v>27698</v>
      </c>
      <c r="BB2858" s="3" t="s">
        <v>27699</v>
      </c>
      <c r="BC2858" s="3" t="s">
        <v>102</v>
      </c>
      <c r="BD2858" s="3" t="s">
        <v>68</v>
      </c>
      <c r="BE2858" s="3" t="s">
        <v>27700</v>
      </c>
      <c r="BF2858" s="3" t="s">
        <v>27699</v>
      </c>
      <c r="BG2858" s="3" t="s">
        <v>27701</v>
      </c>
    </row>
    <row r="2859" spans="1:59" ht="58" x14ac:dyDescent="0.35">
      <c r="A2859" s="2" t="s">
        <v>89</v>
      </c>
      <c r="B2859" s="2" t="s">
        <v>90</v>
      </c>
      <c r="C2859" s="2" t="s">
        <v>27702</v>
      </c>
      <c r="D2859" s="2" t="s">
        <v>27703</v>
      </c>
      <c r="E2859" s="2" t="s">
        <v>27704</v>
      </c>
      <c r="G2859" s="3" t="s">
        <v>62</v>
      </c>
      <c r="I2859" s="3" t="s">
        <v>62</v>
      </c>
      <c r="J2859" s="3" t="s">
        <v>62</v>
      </c>
      <c r="K2859" s="3" t="s">
        <v>63</v>
      </c>
      <c r="L2859" s="2" t="s">
        <v>27705</v>
      </c>
      <c r="M2859" s="2" t="s">
        <v>27706</v>
      </c>
      <c r="N2859" s="3" t="s">
        <v>3062</v>
      </c>
      <c r="O2859" s="2" t="s">
        <v>2163</v>
      </c>
      <c r="P2859" s="3" t="s">
        <v>64</v>
      </c>
      <c r="R2859" s="3" t="s">
        <v>27443</v>
      </c>
      <c r="S2859" s="4">
        <v>17</v>
      </c>
      <c r="T2859" s="4">
        <v>17</v>
      </c>
      <c r="U2859" s="5" t="s">
        <v>4594</v>
      </c>
      <c r="V2859" s="5" t="s">
        <v>4594</v>
      </c>
      <c r="W2859" s="5" t="s">
        <v>67</v>
      </c>
      <c r="X2859" s="5" t="s">
        <v>67</v>
      </c>
      <c r="Y2859" s="4">
        <v>47</v>
      </c>
      <c r="Z2859" s="4">
        <v>7</v>
      </c>
      <c r="AA2859" s="4">
        <v>7</v>
      </c>
      <c r="AB2859" s="4">
        <v>2</v>
      </c>
      <c r="AC2859" s="4">
        <v>2</v>
      </c>
      <c r="AD2859" s="4">
        <v>25</v>
      </c>
      <c r="AE2859" s="4">
        <v>25</v>
      </c>
      <c r="AF2859" s="4">
        <v>1</v>
      </c>
      <c r="AG2859" s="4">
        <v>1</v>
      </c>
      <c r="AH2859" s="4">
        <v>21</v>
      </c>
      <c r="AI2859" s="4">
        <v>21</v>
      </c>
      <c r="AJ2859" s="4">
        <v>5</v>
      </c>
      <c r="AK2859" s="4">
        <v>5</v>
      </c>
      <c r="AL2859" s="4">
        <v>16</v>
      </c>
      <c r="AM2859" s="4">
        <v>16</v>
      </c>
      <c r="AN2859" s="4">
        <v>0</v>
      </c>
      <c r="AO2859" s="4">
        <v>0</v>
      </c>
      <c r="AP2859" s="4">
        <v>5</v>
      </c>
      <c r="AQ2859" s="4">
        <v>5</v>
      </c>
      <c r="AR2859" s="3" t="s">
        <v>62</v>
      </c>
      <c r="AS2859" s="3" t="s">
        <v>62</v>
      </c>
      <c r="AT2859" s="3" t="s">
        <v>62</v>
      </c>
      <c r="AV2859" s="6" t="str">
        <f>HYPERLINK("http://mcgill.on.worldcat.org/oclc/25052010","Catalog Record")</f>
        <v>Catalog Record</v>
      </c>
      <c r="AW2859" s="6" t="str">
        <f>HYPERLINK("http://www.worldcat.org/oclc/25052010","WorldCat Record")</f>
        <v>WorldCat Record</v>
      </c>
      <c r="AX2859" s="3" t="s">
        <v>27707</v>
      </c>
      <c r="AY2859" s="3" t="s">
        <v>27708</v>
      </c>
      <c r="AZ2859" s="3" t="s">
        <v>27709</v>
      </c>
      <c r="BA2859" s="3" t="s">
        <v>27709</v>
      </c>
      <c r="BB2859" s="3" t="s">
        <v>27710</v>
      </c>
      <c r="BC2859" s="3" t="s">
        <v>102</v>
      </c>
      <c r="BD2859" s="3" t="s">
        <v>68</v>
      </c>
      <c r="BE2859" s="3" t="s">
        <v>27711</v>
      </c>
      <c r="BF2859" s="3" t="s">
        <v>27710</v>
      </c>
      <c r="BG2859" s="3" t="s">
        <v>27712</v>
      </c>
    </row>
    <row r="2860" spans="1:59" ht="58" x14ac:dyDescent="0.35">
      <c r="A2860" s="2" t="s">
        <v>89</v>
      </c>
      <c r="B2860" s="2" t="s">
        <v>90</v>
      </c>
      <c r="C2860" s="2" t="s">
        <v>27713</v>
      </c>
      <c r="D2860" s="2" t="s">
        <v>27714</v>
      </c>
      <c r="E2860" s="2" t="s">
        <v>27715</v>
      </c>
      <c r="G2860" s="3" t="s">
        <v>62</v>
      </c>
      <c r="I2860" s="3" t="s">
        <v>61</v>
      </c>
      <c r="J2860" s="3" t="s">
        <v>61</v>
      </c>
      <c r="K2860" s="3" t="s">
        <v>63</v>
      </c>
      <c r="L2860" s="2" t="s">
        <v>8553</v>
      </c>
      <c r="M2860" s="2" t="s">
        <v>27716</v>
      </c>
      <c r="N2860" s="3" t="s">
        <v>27717</v>
      </c>
      <c r="P2860" s="3" t="s">
        <v>64</v>
      </c>
      <c r="R2860" s="3" t="s">
        <v>27443</v>
      </c>
      <c r="S2860" s="4">
        <v>7</v>
      </c>
      <c r="T2860" s="4">
        <v>14</v>
      </c>
      <c r="U2860" s="5" t="s">
        <v>27718</v>
      </c>
      <c r="V2860" s="5" t="s">
        <v>10603</v>
      </c>
      <c r="W2860" s="5" t="s">
        <v>67</v>
      </c>
      <c r="X2860" s="5" t="s">
        <v>67</v>
      </c>
      <c r="Y2860" s="4">
        <v>64</v>
      </c>
      <c r="Z2860" s="4">
        <v>6</v>
      </c>
      <c r="AA2860" s="4">
        <v>35</v>
      </c>
      <c r="AB2860" s="4">
        <v>1</v>
      </c>
      <c r="AC2860" s="4">
        <v>2</v>
      </c>
      <c r="AD2860" s="4">
        <v>22</v>
      </c>
      <c r="AE2860" s="4">
        <v>111</v>
      </c>
      <c r="AF2860" s="4">
        <v>0</v>
      </c>
      <c r="AG2860" s="4">
        <v>1</v>
      </c>
      <c r="AH2860" s="4">
        <v>20</v>
      </c>
      <c r="AI2860" s="4">
        <v>94</v>
      </c>
      <c r="AJ2860" s="4">
        <v>5</v>
      </c>
      <c r="AK2860" s="4">
        <v>19</v>
      </c>
      <c r="AL2860" s="4">
        <v>10</v>
      </c>
      <c r="AM2860" s="4">
        <v>50</v>
      </c>
      <c r="AN2860" s="4">
        <v>0</v>
      </c>
      <c r="AO2860" s="4">
        <v>0</v>
      </c>
      <c r="AP2860" s="4">
        <v>5</v>
      </c>
      <c r="AQ2860" s="4">
        <v>24</v>
      </c>
      <c r="AR2860" s="3" t="s">
        <v>62</v>
      </c>
      <c r="AS2860" s="3" t="s">
        <v>62</v>
      </c>
      <c r="AT2860" s="3" t="s">
        <v>62</v>
      </c>
      <c r="AV2860" s="6" t="str">
        <f>HYPERLINK("http://mcgill.on.worldcat.org/oclc/8252356","Catalog Record")</f>
        <v>Catalog Record</v>
      </c>
      <c r="AW2860" s="6" t="str">
        <f>HYPERLINK("http://www.worldcat.org/oclc/8252356","WorldCat Record")</f>
        <v>WorldCat Record</v>
      </c>
      <c r="AX2860" s="3" t="s">
        <v>27719</v>
      </c>
      <c r="AY2860" s="3" t="s">
        <v>27720</v>
      </c>
      <c r="AZ2860" s="3" t="s">
        <v>27721</v>
      </c>
      <c r="BA2860" s="3" t="s">
        <v>27721</v>
      </c>
      <c r="BB2860" s="3" t="s">
        <v>27722</v>
      </c>
      <c r="BC2860" s="3" t="s">
        <v>102</v>
      </c>
      <c r="BD2860" s="3" t="s">
        <v>68</v>
      </c>
      <c r="BF2860" s="3" t="s">
        <v>27722</v>
      </c>
      <c r="BG2860" s="3" t="s">
        <v>27723</v>
      </c>
    </row>
    <row r="2861" spans="1:59" ht="58" x14ac:dyDescent="0.35">
      <c r="A2861" s="2" t="s">
        <v>89</v>
      </c>
      <c r="B2861" s="2" t="s">
        <v>90</v>
      </c>
      <c r="C2861" s="2" t="s">
        <v>27724</v>
      </c>
      <c r="D2861" s="2" t="s">
        <v>27725</v>
      </c>
      <c r="E2861" s="2" t="s">
        <v>27726</v>
      </c>
      <c r="G2861" s="3" t="s">
        <v>62</v>
      </c>
      <c r="I2861" s="3" t="s">
        <v>62</v>
      </c>
      <c r="J2861" s="3" t="s">
        <v>62</v>
      </c>
      <c r="K2861" s="3" t="s">
        <v>63</v>
      </c>
      <c r="L2861" s="2" t="s">
        <v>8697</v>
      </c>
      <c r="M2861" s="2" t="s">
        <v>27727</v>
      </c>
      <c r="N2861" s="3" t="s">
        <v>1482</v>
      </c>
      <c r="O2861" s="2" t="s">
        <v>2986</v>
      </c>
      <c r="P2861" s="3" t="s">
        <v>85</v>
      </c>
      <c r="Q2861" s="2" t="s">
        <v>27728</v>
      </c>
      <c r="R2861" s="3" t="s">
        <v>27443</v>
      </c>
      <c r="S2861" s="4">
        <v>14</v>
      </c>
      <c r="T2861" s="4">
        <v>14</v>
      </c>
      <c r="U2861" s="5" t="s">
        <v>2074</v>
      </c>
      <c r="V2861" s="5" t="s">
        <v>2074</v>
      </c>
      <c r="W2861" s="5" t="s">
        <v>67</v>
      </c>
      <c r="X2861" s="5" t="s">
        <v>67</v>
      </c>
      <c r="Y2861" s="4">
        <v>39</v>
      </c>
      <c r="Z2861" s="4">
        <v>4</v>
      </c>
      <c r="AA2861" s="4">
        <v>26</v>
      </c>
      <c r="AB2861" s="4">
        <v>1</v>
      </c>
      <c r="AC2861" s="4">
        <v>10</v>
      </c>
      <c r="AD2861" s="4">
        <v>12</v>
      </c>
      <c r="AE2861" s="4">
        <v>58</v>
      </c>
      <c r="AF2861" s="4">
        <v>0</v>
      </c>
      <c r="AG2861" s="4">
        <v>4</v>
      </c>
      <c r="AH2861" s="4">
        <v>11</v>
      </c>
      <c r="AI2861" s="4">
        <v>48</v>
      </c>
      <c r="AJ2861" s="4">
        <v>1</v>
      </c>
      <c r="AK2861" s="4">
        <v>14</v>
      </c>
      <c r="AL2861" s="4">
        <v>10</v>
      </c>
      <c r="AM2861" s="4">
        <v>30</v>
      </c>
      <c r="AN2861" s="4">
        <v>0</v>
      </c>
      <c r="AO2861" s="4">
        <v>0</v>
      </c>
      <c r="AP2861" s="4">
        <v>1</v>
      </c>
      <c r="AQ2861" s="4">
        <v>14</v>
      </c>
      <c r="AR2861" s="3" t="s">
        <v>62</v>
      </c>
      <c r="AS2861" s="3" t="s">
        <v>62</v>
      </c>
      <c r="AT2861" s="3" t="s">
        <v>62</v>
      </c>
      <c r="AV2861" s="6" t="str">
        <f>HYPERLINK("http://mcgill.on.worldcat.org/oclc/16258516","Catalog Record")</f>
        <v>Catalog Record</v>
      </c>
      <c r="AW2861" s="6" t="str">
        <f>HYPERLINK("http://www.worldcat.org/oclc/16258516","WorldCat Record")</f>
        <v>WorldCat Record</v>
      </c>
      <c r="AX2861" s="3" t="s">
        <v>27729</v>
      </c>
      <c r="AY2861" s="3" t="s">
        <v>27730</v>
      </c>
      <c r="AZ2861" s="3" t="s">
        <v>27731</v>
      </c>
      <c r="BA2861" s="3" t="s">
        <v>27731</v>
      </c>
      <c r="BB2861" s="3" t="s">
        <v>27732</v>
      </c>
      <c r="BC2861" s="3" t="s">
        <v>102</v>
      </c>
      <c r="BD2861" s="3" t="s">
        <v>68</v>
      </c>
      <c r="BE2861" s="3" t="s">
        <v>27733</v>
      </c>
      <c r="BF2861" s="3" t="s">
        <v>27732</v>
      </c>
      <c r="BG2861" s="3" t="s">
        <v>27734</v>
      </c>
    </row>
    <row r="2862" spans="1:59" ht="116" x14ac:dyDescent="0.35">
      <c r="A2862" s="2" t="s">
        <v>89</v>
      </c>
      <c r="B2862" s="2" t="s">
        <v>90</v>
      </c>
      <c r="C2862" s="2" t="s">
        <v>27735</v>
      </c>
      <c r="D2862" s="2" t="s">
        <v>27736</v>
      </c>
      <c r="E2862" s="2" t="s">
        <v>27737</v>
      </c>
      <c r="G2862" s="3" t="s">
        <v>62</v>
      </c>
      <c r="I2862" s="3" t="s">
        <v>62</v>
      </c>
      <c r="J2862" s="3" t="s">
        <v>61</v>
      </c>
      <c r="K2862" s="3" t="s">
        <v>63</v>
      </c>
      <c r="L2862" s="2" t="s">
        <v>27738</v>
      </c>
      <c r="M2862" s="2" t="s">
        <v>27739</v>
      </c>
      <c r="N2862" s="3" t="s">
        <v>1064</v>
      </c>
      <c r="O2862" s="2" t="s">
        <v>27740</v>
      </c>
      <c r="P2862" s="3" t="s">
        <v>64</v>
      </c>
      <c r="Q2862" s="2" t="s">
        <v>27741</v>
      </c>
      <c r="R2862" s="3" t="s">
        <v>27443</v>
      </c>
      <c r="S2862" s="4">
        <v>14</v>
      </c>
      <c r="T2862" s="4">
        <v>14</v>
      </c>
      <c r="U2862" s="5" t="s">
        <v>2589</v>
      </c>
      <c r="V2862" s="5" t="s">
        <v>2589</v>
      </c>
      <c r="W2862" s="5" t="s">
        <v>67</v>
      </c>
      <c r="X2862" s="5" t="s">
        <v>67</v>
      </c>
      <c r="Y2862" s="4">
        <v>220</v>
      </c>
      <c r="Z2862" s="4">
        <v>17</v>
      </c>
      <c r="AA2862" s="4">
        <v>53</v>
      </c>
      <c r="AB2862" s="4">
        <v>4</v>
      </c>
      <c r="AC2862" s="4">
        <v>8</v>
      </c>
      <c r="AD2862" s="4">
        <v>49</v>
      </c>
      <c r="AE2862" s="4">
        <v>137</v>
      </c>
      <c r="AF2862" s="4">
        <v>2</v>
      </c>
      <c r="AG2862" s="4">
        <v>4</v>
      </c>
      <c r="AH2862" s="4">
        <v>38</v>
      </c>
      <c r="AI2862" s="4">
        <v>109</v>
      </c>
      <c r="AJ2862" s="4">
        <v>4</v>
      </c>
      <c r="AK2862" s="4">
        <v>23</v>
      </c>
      <c r="AL2862" s="4">
        <v>25</v>
      </c>
      <c r="AM2862" s="4">
        <v>61</v>
      </c>
      <c r="AN2862" s="4">
        <v>0</v>
      </c>
      <c r="AO2862" s="4">
        <v>0</v>
      </c>
      <c r="AP2862" s="4">
        <v>10</v>
      </c>
      <c r="AQ2862" s="4">
        <v>34</v>
      </c>
      <c r="AR2862" s="3" t="s">
        <v>62</v>
      </c>
      <c r="AS2862" s="3" t="s">
        <v>62</v>
      </c>
      <c r="AT2862" s="3" t="s">
        <v>61</v>
      </c>
      <c r="AU2862" s="6" t="str">
        <f>HYPERLINK("http://catalog.hathitrust.org/Record/001991937","HathiTrust Record")</f>
        <v>HathiTrust Record</v>
      </c>
      <c r="AV2862" s="6" t="str">
        <f>HYPERLINK("http://mcgill.on.worldcat.org/oclc/625526","Catalog Record")</f>
        <v>Catalog Record</v>
      </c>
      <c r="AW2862" s="6" t="str">
        <f>HYPERLINK("http://www.worldcat.org/oclc/625526","WorldCat Record")</f>
        <v>WorldCat Record</v>
      </c>
      <c r="AX2862" s="3" t="s">
        <v>27742</v>
      </c>
      <c r="AY2862" s="3" t="s">
        <v>27743</v>
      </c>
      <c r="AZ2862" s="3" t="s">
        <v>27744</v>
      </c>
      <c r="BA2862" s="3" t="s">
        <v>27744</v>
      </c>
      <c r="BB2862" s="3" t="s">
        <v>27745</v>
      </c>
      <c r="BC2862" s="3" t="s">
        <v>102</v>
      </c>
      <c r="BD2862" s="3" t="s">
        <v>231</v>
      </c>
      <c r="BE2862" s="3" t="s">
        <v>27746</v>
      </c>
      <c r="BF2862" s="3" t="s">
        <v>27745</v>
      </c>
      <c r="BG2862" s="3" t="s">
        <v>27747</v>
      </c>
    </row>
    <row r="2863" spans="1:59" ht="58" x14ac:dyDescent="0.35">
      <c r="A2863" s="2" t="s">
        <v>89</v>
      </c>
      <c r="B2863" s="2" t="s">
        <v>90</v>
      </c>
      <c r="C2863" s="2" t="s">
        <v>27748</v>
      </c>
      <c r="D2863" s="2" t="s">
        <v>27749</v>
      </c>
      <c r="E2863" s="2" t="s">
        <v>27750</v>
      </c>
      <c r="G2863" s="3" t="s">
        <v>62</v>
      </c>
      <c r="I2863" s="3" t="s">
        <v>61</v>
      </c>
      <c r="J2863" s="3" t="s">
        <v>62</v>
      </c>
      <c r="K2863" s="3" t="s">
        <v>63</v>
      </c>
      <c r="L2863" s="2" t="s">
        <v>27751</v>
      </c>
      <c r="M2863" s="2" t="s">
        <v>27752</v>
      </c>
      <c r="N2863" s="3" t="s">
        <v>285</v>
      </c>
      <c r="P2863" s="3" t="s">
        <v>64</v>
      </c>
      <c r="R2863" s="3" t="s">
        <v>27443</v>
      </c>
      <c r="S2863" s="4">
        <v>3</v>
      </c>
      <c r="T2863" s="4">
        <v>3</v>
      </c>
      <c r="U2863" s="5" t="s">
        <v>2589</v>
      </c>
      <c r="V2863" s="5" t="s">
        <v>2589</v>
      </c>
      <c r="W2863" s="5" t="s">
        <v>67</v>
      </c>
      <c r="X2863" s="5" t="s">
        <v>67</v>
      </c>
      <c r="Y2863" s="4">
        <v>436</v>
      </c>
      <c r="Z2863" s="4">
        <v>25</v>
      </c>
      <c r="AA2863" s="4">
        <v>26</v>
      </c>
      <c r="AB2863" s="4">
        <v>3</v>
      </c>
      <c r="AC2863" s="4">
        <v>4</v>
      </c>
      <c r="AD2863" s="4">
        <v>117</v>
      </c>
      <c r="AE2863" s="4">
        <v>118</v>
      </c>
      <c r="AF2863" s="4">
        <v>1</v>
      </c>
      <c r="AG2863" s="4">
        <v>2</v>
      </c>
      <c r="AH2863" s="4">
        <v>102</v>
      </c>
      <c r="AI2863" s="4">
        <v>102</v>
      </c>
      <c r="AJ2863" s="4">
        <v>15</v>
      </c>
      <c r="AK2863" s="4">
        <v>16</v>
      </c>
      <c r="AL2863" s="4">
        <v>55</v>
      </c>
      <c r="AM2863" s="4">
        <v>55</v>
      </c>
      <c r="AN2863" s="4">
        <v>0</v>
      </c>
      <c r="AO2863" s="4">
        <v>0</v>
      </c>
      <c r="AP2863" s="4">
        <v>20</v>
      </c>
      <c r="AQ2863" s="4">
        <v>20</v>
      </c>
      <c r="AR2863" s="3" t="s">
        <v>62</v>
      </c>
      <c r="AS2863" s="3" t="s">
        <v>62</v>
      </c>
      <c r="AT2863" s="3" t="s">
        <v>61</v>
      </c>
      <c r="AU2863" s="6" t="str">
        <f>HYPERLINK("http://catalog.hathitrust.org/Record/000719543","HathiTrust Record")</f>
        <v>HathiTrust Record</v>
      </c>
      <c r="AV2863" s="6" t="str">
        <f>HYPERLINK("http://mcgill.on.worldcat.org/oclc/6222962","Catalog Record")</f>
        <v>Catalog Record</v>
      </c>
      <c r="AW2863" s="6" t="str">
        <f>HYPERLINK("http://www.worldcat.org/oclc/6222962","WorldCat Record")</f>
        <v>WorldCat Record</v>
      </c>
      <c r="AX2863" s="3" t="s">
        <v>27753</v>
      </c>
      <c r="AY2863" s="3" t="s">
        <v>27754</v>
      </c>
      <c r="AZ2863" s="3" t="s">
        <v>27755</v>
      </c>
      <c r="BA2863" s="3" t="s">
        <v>27755</v>
      </c>
      <c r="BB2863" s="3" t="s">
        <v>27756</v>
      </c>
      <c r="BC2863" s="3" t="s">
        <v>102</v>
      </c>
      <c r="BD2863" s="3" t="s">
        <v>231</v>
      </c>
      <c r="BE2863" s="3" t="s">
        <v>27757</v>
      </c>
      <c r="BF2863" s="3" t="s">
        <v>27756</v>
      </c>
      <c r="BG2863" s="3" t="s">
        <v>27758</v>
      </c>
    </row>
    <row r="2864" spans="1:59" ht="58" x14ac:dyDescent="0.35">
      <c r="A2864" s="2" t="s">
        <v>89</v>
      </c>
      <c r="B2864" s="2" t="s">
        <v>90</v>
      </c>
      <c r="C2864" s="2" t="s">
        <v>27759</v>
      </c>
      <c r="D2864" s="2" t="s">
        <v>27760</v>
      </c>
      <c r="E2864" s="2" t="s">
        <v>27761</v>
      </c>
      <c r="G2864" s="3" t="s">
        <v>62</v>
      </c>
      <c r="I2864" s="3" t="s">
        <v>61</v>
      </c>
      <c r="J2864" s="3" t="s">
        <v>62</v>
      </c>
      <c r="K2864" s="3" t="s">
        <v>63</v>
      </c>
      <c r="L2864" s="2" t="s">
        <v>27762</v>
      </c>
      <c r="M2864" s="2" t="s">
        <v>27763</v>
      </c>
      <c r="N2864" s="3" t="s">
        <v>838</v>
      </c>
      <c r="P2864" s="3" t="s">
        <v>64</v>
      </c>
      <c r="Q2864" s="2" t="s">
        <v>27764</v>
      </c>
      <c r="R2864" s="3" t="s">
        <v>27443</v>
      </c>
      <c r="S2864" s="4">
        <v>20</v>
      </c>
      <c r="T2864" s="4">
        <v>20</v>
      </c>
      <c r="U2864" s="5" t="s">
        <v>2267</v>
      </c>
      <c r="V2864" s="5" t="s">
        <v>2267</v>
      </c>
      <c r="W2864" s="5" t="s">
        <v>67</v>
      </c>
      <c r="X2864" s="5" t="s">
        <v>67</v>
      </c>
      <c r="Y2864" s="4">
        <v>575</v>
      </c>
      <c r="Z2864" s="4">
        <v>41</v>
      </c>
      <c r="AA2864" s="4">
        <v>50</v>
      </c>
      <c r="AB2864" s="4">
        <v>2</v>
      </c>
      <c r="AC2864" s="4">
        <v>3</v>
      </c>
      <c r="AD2864" s="4">
        <v>109</v>
      </c>
      <c r="AE2864" s="4">
        <v>113</v>
      </c>
      <c r="AF2864" s="4">
        <v>1</v>
      </c>
      <c r="AG2864" s="4">
        <v>2</v>
      </c>
      <c r="AH2864" s="4">
        <v>89</v>
      </c>
      <c r="AI2864" s="4">
        <v>90</v>
      </c>
      <c r="AJ2864" s="4">
        <v>19</v>
      </c>
      <c r="AK2864" s="4">
        <v>20</v>
      </c>
      <c r="AL2864" s="4">
        <v>51</v>
      </c>
      <c r="AM2864" s="4">
        <v>51</v>
      </c>
      <c r="AN2864" s="4">
        <v>0</v>
      </c>
      <c r="AO2864" s="4">
        <v>0</v>
      </c>
      <c r="AP2864" s="4">
        <v>28</v>
      </c>
      <c r="AQ2864" s="4">
        <v>32</v>
      </c>
      <c r="AR2864" s="3" t="s">
        <v>62</v>
      </c>
      <c r="AS2864" s="3" t="s">
        <v>62</v>
      </c>
      <c r="AT2864" s="3" t="s">
        <v>61</v>
      </c>
      <c r="AU2864" s="6" t="str">
        <f>HYPERLINK("http://catalog.hathitrust.org/Record/001482477","HathiTrust Record")</f>
        <v>HathiTrust Record</v>
      </c>
      <c r="AV2864" s="6" t="str">
        <f>HYPERLINK("http://mcgill.on.worldcat.org/oclc/530960","Catalog Record")</f>
        <v>Catalog Record</v>
      </c>
      <c r="AW2864" s="6" t="str">
        <f>HYPERLINK("http://www.worldcat.org/oclc/530960","WorldCat Record")</f>
        <v>WorldCat Record</v>
      </c>
      <c r="AX2864" s="3" t="s">
        <v>27765</v>
      </c>
      <c r="AY2864" s="3" t="s">
        <v>27766</v>
      </c>
      <c r="AZ2864" s="3" t="s">
        <v>27767</v>
      </c>
      <c r="BA2864" s="3" t="s">
        <v>27767</v>
      </c>
      <c r="BB2864" s="3" t="s">
        <v>27768</v>
      </c>
      <c r="BC2864" s="3" t="s">
        <v>102</v>
      </c>
      <c r="BD2864" s="3" t="s">
        <v>68</v>
      </c>
      <c r="BF2864" s="3" t="s">
        <v>27768</v>
      </c>
      <c r="BG2864" s="3" t="s">
        <v>27769</v>
      </c>
    </row>
    <row r="2865" spans="1:59" ht="58" x14ac:dyDescent="0.35">
      <c r="A2865" s="2" t="s">
        <v>89</v>
      </c>
      <c r="B2865" s="2" t="s">
        <v>90</v>
      </c>
      <c r="C2865" s="2" t="s">
        <v>27770</v>
      </c>
      <c r="D2865" s="2" t="s">
        <v>27771</v>
      </c>
      <c r="E2865" s="2" t="s">
        <v>27772</v>
      </c>
      <c r="G2865" s="3" t="s">
        <v>62</v>
      </c>
      <c r="I2865" s="3" t="s">
        <v>62</v>
      </c>
      <c r="J2865" s="3" t="s">
        <v>62</v>
      </c>
      <c r="K2865" s="3" t="s">
        <v>63</v>
      </c>
      <c r="L2865" s="2" t="s">
        <v>27773</v>
      </c>
      <c r="M2865" s="2" t="s">
        <v>27774</v>
      </c>
      <c r="N2865" s="3" t="s">
        <v>3761</v>
      </c>
      <c r="O2865" s="2" t="s">
        <v>2163</v>
      </c>
      <c r="P2865" s="3" t="s">
        <v>64</v>
      </c>
      <c r="R2865" s="3" t="s">
        <v>27443</v>
      </c>
      <c r="S2865" s="4">
        <v>5</v>
      </c>
      <c r="T2865" s="4">
        <v>5</v>
      </c>
      <c r="U2865" s="5" t="s">
        <v>2589</v>
      </c>
      <c r="V2865" s="5" t="s">
        <v>2589</v>
      </c>
      <c r="W2865" s="5" t="s">
        <v>67</v>
      </c>
      <c r="X2865" s="5" t="s">
        <v>67</v>
      </c>
      <c r="Y2865" s="4">
        <v>295</v>
      </c>
      <c r="Z2865" s="4">
        <v>13</v>
      </c>
      <c r="AA2865" s="4">
        <v>38</v>
      </c>
      <c r="AB2865" s="4">
        <v>2</v>
      </c>
      <c r="AC2865" s="4">
        <v>4</v>
      </c>
      <c r="AD2865" s="4">
        <v>88</v>
      </c>
      <c r="AE2865" s="4">
        <v>125</v>
      </c>
      <c r="AF2865" s="4">
        <v>1</v>
      </c>
      <c r="AG2865" s="4">
        <v>3</v>
      </c>
      <c r="AH2865" s="4">
        <v>80</v>
      </c>
      <c r="AI2865" s="4">
        <v>105</v>
      </c>
      <c r="AJ2865" s="4">
        <v>9</v>
      </c>
      <c r="AK2865" s="4">
        <v>21</v>
      </c>
      <c r="AL2865" s="4">
        <v>48</v>
      </c>
      <c r="AM2865" s="4">
        <v>57</v>
      </c>
      <c r="AN2865" s="4">
        <v>0</v>
      </c>
      <c r="AO2865" s="4">
        <v>4</v>
      </c>
      <c r="AP2865" s="4">
        <v>10</v>
      </c>
      <c r="AQ2865" s="4">
        <v>28</v>
      </c>
      <c r="AR2865" s="3" t="s">
        <v>62</v>
      </c>
      <c r="AS2865" s="3" t="s">
        <v>61</v>
      </c>
      <c r="AT2865" s="3" t="s">
        <v>62</v>
      </c>
      <c r="AU2865" s="6" t="str">
        <f>HYPERLINK("http://catalog.hathitrust.org/Record/001477675","HathiTrust Record")</f>
        <v>HathiTrust Record</v>
      </c>
      <c r="AV2865" s="6" t="str">
        <f>HYPERLINK("http://mcgill.on.worldcat.org/oclc/992066","Catalog Record")</f>
        <v>Catalog Record</v>
      </c>
      <c r="AW2865" s="6" t="str">
        <f>HYPERLINK("http://www.worldcat.org/oclc/992066","WorldCat Record")</f>
        <v>WorldCat Record</v>
      </c>
      <c r="AX2865" s="3" t="s">
        <v>27775</v>
      </c>
      <c r="AY2865" s="3" t="s">
        <v>27776</v>
      </c>
      <c r="AZ2865" s="3" t="s">
        <v>27777</v>
      </c>
      <c r="BA2865" s="3" t="s">
        <v>27777</v>
      </c>
      <c r="BB2865" s="3" t="s">
        <v>27778</v>
      </c>
      <c r="BC2865" s="3" t="s">
        <v>102</v>
      </c>
      <c r="BD2865" s="3" t="s">
        <v>231</v>
      </c>
      <c r="BF2865" s="3" t="s">
        <v>27778</v>
      </c>
      <c r="BG2865" s="3" t="s">
        <v>27779</v>
      </c>
    </row>
    <row r="2866" spans="1:59" ht="58" x14ac:dyDescent="0.35">
      <c r="A2866" s="2" t="s">
        <v>89</v>
      </c>
      <c r="B2866" s="2" t="s">
        <v>90</v>
      </c>
      <c r="C2866" s="2" t="s">
        <v>27780</v>
      </c>
      <c r="D2866" s="2" t="s">
        <v>27781</v>
      </c>
      <c r="E2866" s="2" t="s">
        <v>27782</v>
      </c>
      <c r="G2866" s="3" t="s">
        <v>62</v>
      </c>
      <c r="I2866" s="3" t="s">
        <v>61</v>
      </c>
      <c r="J2866" s="3" t="s">
        <v>62</v>
      </c>
      <c r="K2866" s="3" t="s">
        <v>63</v>
      </c>
      <c r="L2866" s="2" t="s">
        <v>27783</v>
      </c>
      <c r="M2866" s="2" t="s">
        <v>27784</v>
      </c>
      <c r="N2866" s="3" t="s">
        <v>81</v>
      </c>
      <c r="P2866" s="3" t="s">
        <v>64</v>
      </c>
      <c r="R2866" s="3" t="s">
        <v>27443</v>
      </c>
      <c r="S2866" s="4">
        <v>10</v>
      </c>
      <c r="T2866" s="4">
        <v>10</v>
      </c>
      <c r="U2866" s="5" t="s">
        <v>27785</v>
      </c>
      <c r="V2866" s="5" t="s">
        <v>27785</v>
      </c>
      <c r="W2866" s="5" t="s">
        <v>67</v>
      </c>
      <c r="X2866" s="5" t="s">
        <v>67</v>
      </c>
      <c r="Y2866" s="4">
        <v>413</v>
      </c>
      <c r="Z2866" s="4">
        <v>39</v>
      </c>
      <c r="AA2866" s="4">
        <v>48</v>
      </c>
      <c r="AB2866" s="4">
        <v>1</v>
      </c>
      <c r="AC2866" s="4">
        <v>6</v>
      </c>
      <c r="AD2866" s="4">
        <v>105</v>
      </c>
      <c r="AE2866" s="4">
        <v>120</v>
      </c>
      <c r="AF2866" s="4">
        <v>0</v>
      </c>
      <c r="AG2866" s="4">
        <v>3</v>
      </c>
      <c r="AH2866" s="4">
        <v>84</v>
      </c>
      <c r="AI2866" s="4">
        <v>97</v>
      </c>
      <c r="AJ2866" s="4">
        <v>17</v>
      </c>
      <c r="AK2866" s="4">
        <v>21</v>
      </c>
      <c r="AL2866" s="4">
        <v>51</v>
      </c>
      <c r="AM2866" s="4">
        <v>55</v>
      </c>
      <c r="AN2866" s="4">
        <v>0</v>
      </c>
      <c r="AO2866" s="4">
        <v>0</v>
      </c>
      <c r="AP2866" s="4">
        <v>29</v>
      </c>
      <c r="AQ2866" s="4">
        <v>32</v>
      </c>
      <c r="AR2866" s="3" t="s">
        <v>62</v>
      </c>
      <c r="AS2866" s="3" t="s">
        <v>62</v>
      </c>
      <c r="AT2866" s="3" t="s">
        <v>62</v>
      </c>
      <c r="AV2866" s="6" t="str">
        <f>HYPERLINK("http://mcgill.on.worldcat.org/oclc/395691","Catalog Record")</f>
        <v>Catalog Record</v>
      </c>
      <c r="AW2866" s="6" t="str">
        <f>HYPERLINK("http://www.worldcat.org/oclc/395691","WorldCat Record")</f>
        <v>WorldCat Record</v>
      </c>
      <c r="AX2866" s="3" t="s">
        <v>27786</v>
      </c>
      <c r="AY2866" s="3" t="s">
        <v>27787</v>
      </c>
      <c r="AZ2866" s="3" t="s">
        <v>27788</v>
      </c>
      <c r="BA2866" s="3" t="s">
        <v>27788</v>
      </c>
      <c r="BB2866" s="3" t="s">
        <v>27789</v>
      </c>
      <c r="BC2866" s="3" t="s">
        <v>102</v>
      </c>
      <c r="BD2866" s="3" t="s">
        <v>68</v>
      </c>
      <c r="BF2866" s="3" t="s">
        <v>27789</v>
      </c>
      <c r="BG2866" s="3" t="s">
        <v>27790</v>
      </c>
    </row>
    <row r="2867" spans="1:59" ht="58" x14ac:dyDescent="0.35">
      <c r="A2867" s="2" t="s">
        <v>89</v>
      </c>
      <c r="B2867" s="2" t="s">
        <v>90</v>
      </c>
      <c r="C2867" s="2" t="s">
        <v>27791</v>
      </c>
      <c r="D2867" s="2" t="s">
        <v>27792</v>
      </c>
      <c r="E2867" s="2" t="s">
        <v>27793</v>
      </c>
      <c r="G2867" s="3" t="s">
        <v>62</v>
      </c>
      <c r="I2867" s="3" t="s">
        <v>62</v>
      </c>
      <c r="J2867" s="3" t="s">
        <v>62</v>
      </c>
      <c r="K2867" s="3" t="s">
        <v>63</v>
      </c>
      <c r="L2867" s="2" t="s">
        <v>27794</v>
      </c>
      <c r="M2867" s="2" t="s">
        <v>27795</v>
      </c>
      <c r="N2867" s="3" t="s">
        <v>466</v>
      </c>
      <c r="O2867" s="2" t="s">
        <v>2986</v>
      </c>
      <c r="P2867" s="3" t="s">
        <v>64</v>
      </c>
      <c r="R2867" s="3" t="s">
        <v>27443</v>
      </c>
      <c r="S2867" s="4">
        <v>22</v>
      </c>
      <c r="T2867" s="4">
        <v>22</v>
      </c>
      <c r="U2867" s="5" t="s">
        <v>13723</v>
      </c>
      <c r="V2867" s="5" t="s">
        <v>13723</v>
      </c>
      <c r="W2867" s="5" t="s">
        <v>67</v>
      </c>
      <c r="X2867" s="5" t="s">
        <v>67</v>
      </c>
      <c r="Y2867" s="4">
        <v>520</v>
      </c>
      <c r="Z2867" s="4">
        <v>22</v>
      </c>
      <c r="AA2867" s="4">
        <v>26</v>
      </c>
      <c r="AB2867" s="4">
        <v>2</v>
      </c>
      <c r="AC2867" s="4">
        <v>4</v>
      </c>
      <c r="AD2867" s="4">
        <v>89</v>
      </c>
      <c r="AE2867" s="4">
        <v>92</v>
      </c>
      <c r="AF2867" s="4">
        <v>0</v>
      </c>
      <c r="AG2867" s="4">
        <v>2</v>
      </c>
      <c r="AH2867" s="4">
        <v>74</v>
      </c>
      <c r="AI2867" s="4">
        <v>75</v>
      </c>
      <c r="AJ2867" s="4">
        <v>12</v>
      </c>
      <c r="AK2867" s="4">
        <v>15</v>
      </c>
      <c r="AL2867" s="4">
        <v>45</v>
      </c>
      <c r="AM2867" s="4">
        <v>45</v>
      </c>
      <c r="AN2867" s="4">
        <v>0</v>
      </c>
      <c r="AO2867" s="4">
        <v>0</v>
      </c>
      <c r="AP2867" s="4">
        <v>18</v>
      </c>
      <c r="AQ2867" s="4">
        <v>20</v>
      </c>
      <c r="AR2867" s="3" t="s">
        <v>62</v>
      </c>
      <c r="AS2867" s="3" t="s">
        <v>62</v>
      </c>
      <c r="AT2867" s="3" t="s">
        <v>62</v>
      </c>
      <c r="AV2867" s="6" t="str">
        <f>HYPERLINK("http://mcgill.on.worldcat.org/oclc/25165077","Catalog Record")</f>
        <v>Catalog Record</v>
      </c>
      <c r="AW2867" s="6" t="str">
        <f>HYPERLINK("http://www.worldcat.org/oclc/25165077","WorldCat Record")</f>
        <v>WorldCat Record</v>
      </c>
      <c r="AX2867" s="3" t="s">
        <v>27796</v>
      </c>
      <c r="AY2867" s="3" t="s">
        <v>27797</v>
      </c>
      <c r="AZ2867" s="3" t="s">
        <v>27798</v>
      </c>
      <c r="BA2867" s="3" t="s">
        <v>27798</v>
      </c>
      <c r="BB2867" s="3" t="s">
        <v>27799</v>
      </c>
      <c r="BC2867" s="3" t="s">
        <v>102</v>
      </c>
      <c r="BD2867" s="3" t="s">
        <v>68</v>
      </c>
      <c r="BE2867" s="3" t="s">
        <v>27800</v>
      </c>
      <c r="BF2867" s="3" t="s">
        <v>27799</v>
      </c>
      <c r="BG2867" s="3" t="s">
        <v>27801</v>
      </c>
    </row>
    <row r="2868" spans="1:59" ht="58" x14ac:dyDescent="0.35">
      <c r="A2868" s="2" t="s">
        <v>89</v>
      </c>
      <c r="B2868" s="2" t="s">
        <v>90</v>
      </c>
      <c r="C2868" s="2" t="s">
        <v>27802</v>
      </c>
      <c r="D2868" s="2" t="s">
        <v>27803</v>
      </c>
      <c r="E2868" s="2" t="s">
        <v>27804</v>
      </c>
      <c r="G2868" s="3" t="s">
        <v>62</v>
      </c>
      <c r="I2868" s="3" t="s">
        <v>61</v>
      </c>
      <c r="J2868" s="3" t="s">
        <v>62</v>
      </c>
      <c r="K2868" s="3" t="s">
        <v>63</v>
      </c>
      <c r="L2868" s="2" t="s">
        <v>27805</v>
      </c>
      <c r="M2868" s="2" t="s">
        <v>27806</v>
      </c>
      <c r="N2868" s="3" t="s">
        <v>1305</v>
      </c>
      <c r="P2868" s="3" t="s">
        <v>64</v>
      </c>
      <c r="R2868" s="3" t="s">
        <v>27443</v>
      </c>
      <c r="S2868" s="4">
        <v>3</v>
      </c>
      <c r="T2868" s="4">
        <v>3</v>
      </c>
      <c r="U2868" s="5" t="s">
        <v>8499</v>
      </c>
      <c r="V2868" s="5" t="s">
        <v>8499</v>
      </c>
      <c r="W2868" s="5" t="s">
        <v>67</v>
      </c>
      <c r="X2868" s="5" t="s">
        <v>67</v>
      </c>
      <c r="Y2868" s="4">
        <v>212</v>
      </c>
      <c r="Z2868" s="4">
        <v>14</v>
      </c>
      <c r="AA2868" s="4">
        <v>22</v>
      </c>
      <c r="AB2868" s="4">
        <v>1</v>
      </c>
      <c r="AC2868" s="4">
        <v>3</v>
      </c>
      <c r="AD2868" s="4">
        <v>67</v>
      </c>
      <c r="AE2868" s="4">
        <v>90</v>
      </c>
      <c r="AF2868" s="4">
        <v>0</v>
      </c>
      <c r="AG2868" s="4">
        <v>2</v>
      </c>
      <c r="AH2868" s="4">
        <v>61</v>
      </c>
      <c r="AI2868" s="4">
        <v>76</v>
      </c>
      <c r="AJ2868" s="4">
        <v>7</v>
      </c>
      <c r="AK2868" s="4">
        <v>14</v>
      </c>
      <c r="AL2868" s="4">
        <v>39</v>
      </c>
      <c r="AM2868" s="4">
        <v>45</v>
      </c>
      <c r="AN2868" s="4">
        <v>0</v>
      </c>
      <c r="AO2868" s="4">
        <v>0</v>
      </c>
      <c r="AP2868" s="4">
        <v>9</v>
      </c>
      <c r="AQ2868" s="4">
        <v>15</v>
      </c>
      <c r="AR2868" s="3" t="s">
        <v>62</v>
      </c>
      <c r="AS2868" s="3" t="s">
        <v>62</v>
      </c>
      <c r="AT2868" s="3" t="s">
        <v>62</v>
      </c>
      <c r="AU2868" s="6" t="str">
        <f>HYPERLINK("http://catalog.hathitrust.org/Record/001477693","HathiTrust Record")</f>
        <v>HathiTrust Record</v>
      </c>
      <c r="AV2868" s="6" t="str">
        <f>HYPERLINK("http://mcgill.on.worldcat.org/oclc/911173","Catalog Record")</f>
        <v>Catalog Record</v>
      </c>
      <c r="AW2868" s="6" t="str">
        <f>HYPERLINK("http://www.worldcat.org/oclc/911173","WorldCat Record")</f>
        <v>WorldCat Record</v>
      </c>
      <c r="AX2868" s="3" t="s">
        <v>27807</v>
      </c>
      <c r="AY2868" s="3" t="s">
        <v>27808</v>
      </c>
      <c r="AZ2868" s="3" t="s">
        <v>27809</v>
      </c>
      <c r="BA2868" s="3" t="s">
        <v>27809</v>
      </c>
      <c r="BB2868" s="3" t="s">
        <v>27810</v>
      </c>
      <c r="BC2868" s="3" t="s">
        <v>102</v>
      </c>
      <c r="BD2868" s="3" t="s">
        <v>68</v>
      </c>
      <c r="BF2868" s="3" t="s">
        <v>27810</v>
      </c>
      <c r="BG2868" s="3" t="s">
        <v>27811</v>
      </c>
    </row>
    <row r="2869" spans="1:59" ht="58" x14ac:dyDescent="0.35">
      <c r="A2869" s="2" t="s">
        <v>89</v>
      </c>
      <c r="B2869" s="2" t="s">
        <v>90</v>
      </c>
      <c r="C2869" s="2" t="s">
        <v>27812</v>
      </c>
      <c r="D2869" s="2" t="s">
        <v>27813</v>
      </c>
      <c r="E2869" s="2" t="s">
        <v>27814</v>
      </c>
      <c r="G2869" s="3" t="s">
        <v>62</v>
      </c>
      <c r="I2869" s="3" t="s">
        <v>61</v>
      </c>
      <c r="J2869" s="3" t="s">
        <v>61</v>
      </c>
      <c r="K2869" s="3" t="s">
        <v>63</v>
      </c>
      <c r="L2869" s="2" t="s">
        <v>27815</v>
      </c>
      <c r="M2869" s="2" t="s">
        <v>27816</v>
      </c>
      <c r="N2869" s="3" t="s">
        <v>1374</v>
      </c>
      <c r="O2869" s="2" t="s">
        <v>10722</v>
      </c>
      <c r="P2869" s="3" t="s">
        <v>64</v>
      </c>
      <c r="R2869" s="3" t="s">
        <v>27443</v>
      </c>
      <c r="S2869" s="4">
        <v>13</v>
      </c>
      <c r="T2869" s="4">
        <v>28</v>
      </c>
      <c r="U2869" s="5" t="s">
        <v>27817</v>
      </c>
      <c r="V2869" s="5" t="s">
        <v>16967</v>
      </c>
      <c r="W2869" s="5" t="s">
        <v>67</v>
      </c>
      <c r="X2869" s="5" t="s">
        <v>67</v>
      </c>
      <c r="Y2869" s="4">
        <v>122</v>
      </c>
      <c r="Z2869" s="4">
        <v>6</v>
      </c>
      <c r="AA2869" s="4">
        <v>71</v>
      </c>
      <c r="AB2869" s="4">
        <v>1</v>
      </c>
      <c r="AC2869" s="4">
        <v>11</v>
      </c>
      <c r="AD2869" s="4">
        <v>25</v>
      </c>
      <c r="AE2869" s="4">
        <v>143</v>
      </c>
      <c r="AF2869" s="4">
        <v>0</v>
      </c>
      <c r="AG2869" s="4">
        <v>5</v>
      </c>
      <c r="AH2869" s="4">
        <v>23</v>
      </c>
      <c r="AI2869" s="4">
        <v>110</v>
      </c>
      <c r="AJ2869" s="4">
        <v>1</v>
      </c>
      <c r="AK2869" s="4">
        <v>24</v>
      </c>
      <c r="AL2869" s="4">
        <v>14</v>
      </c>
      <c r="AM2869" s="4">
        <v>60</v>
      </c>
      <c r="AN2869" s="4">
        <v>0</v>
      </c>
      <c r="AO2869" s="4">
        <v>0</v>
      </c>
      <c r="AP2869" s="4">
        <v>2</v>
      </c>
      <c r="AQ2869" s="4">
        <v>41</v>
      </c>
      <c r="AR2869" s="3" t="s">
        <v>62</v>
      </c>
      <c r="AS2869" s="3" t="s">
        <v>61</v>
      </c>
      <c r="AT2869" s="3" t="s">
        <v>62</v>
      </c>
      <c r="AU2869" s="6" t="str">
        <f>HYPERLINK("http://catalog.hathitrust.org/Record/100170907","HathiTrust Record")</f>
        <v>HathiTrust Record</v>
      </c>
      <c r="AV2869" s="6" t="str">
        <f>HYPERLINK("http://mcgill.on.worldcat.org/oclc/1049832","Catalog Record")</f>
        <v>Catalog Record</v>
      </c>
      <c r="AW2869" s="6" t="str">
        <f>HYPERLINK("http://www.worldcat.org/oclc/1049832","WorldCat Record")</f>
        <v>WorldCat Record</v>
      </c>
      <c r="AX2869" s="3" t="s">
        <v>27818</v>
      </c>
      <c r="AY2869" s="3" t="s">
        <v>27819</v>
      </c>
      <c r="AZ2869" s="3" t="s">
        <v>27820</v>
      </c>
      <c r="BA2869" s="3" t="s">
        <v>27820</v>
      </c>
      <c r="BB2869" s="3" t="s">
        <v>27821</v>
      </c>
      <c r="BC2869" s="3" t="s">
        <v>102</v>
      </c>
      <c r="BD2869" s="3" t="s">
        <v>68</v>
      </c>
      <c r="BF2869" s="3" t="s">
        <v>27821</v>
      </c>
      <c r="BG2869" s="3" t="s">
        <v>27822</v>
      </c>
    </row>
    <row r="2870" spans="1:59" ht="58" x14ac:dyDescent="0.35">
      <c r="A2870" s="2" t="s">
        <v>89</v>
      </c>
      <c r="B2870" s="2" t="s">
        <v>90</v>
      </c>
      <c r="C2870" s="2" t="s">
        <v>27823</v>
      </c>
      <c r="D2870" s="2" t="s">
        <v>27824</v>
      </c>
      <c r="E2870" s="2" t="s">
        <v>27825</v>
      </c>
      <c r="G2870" s="3" t="s">
        <v>62</v>
      </c>
      <c r="I2870" s="3" t="s">
        <v>61</v>
      </c>
      <c r="J2870" s="3" t="s">
        <v>62</v>
      </c>
      <c r="K2870" s="3" t="s">
        <v>63</v>
      </c>
      <c r="L2870" s="2" t="s">
        <v>9089</v>
      </c>
      <c r="M2870" s="2" t="s">
        <v>27826</v>
      </c>
      <c r="N2870" s="3" t="s">
        <v>1374</v>
      </c>
      <c r="P2870" s="3" t="s">
        <v>64</v>
      </c>
      <c r="R2870" s="3" t="s">
        <v>27443</v>
      </c>
      <c r="S2870" s="4">
        <v>0</v>
      </c>
      <c r="T2870" s="4">
        <v>5</v>
      </c>
      <c r="V2870" s="5" t="s">
        <v>2589</v>
      </c>
      <c r="W2870" s="5" t="s">
        <v>67</v>
      </c>
      <c r="X2870" s="5" t="s">
        <v>67</v>
      </c>
      <c r="Y2870" s="4">
        <v>207</v>
      </c>
      <c r="Z2870" s="4">
        <v>14</v>
      </c>
      <c r="AA2870" s="4">
        <v>32</v>
      </c>
      <c r="AB2870" s="4">
        <v>1</v>
      </c>
      <c r="AC2870" s="4">
        <v>5</v>
      </c>
      <c r="AD2870" s="4">
        <v>68</v>
      </c>
      <c r="AE2870" s="4">
        <v>88</v>
      </c>
      <c r="AF2870" s="4">
        <v>0</v>
      </c>
      <c r="AG2870" s="4">
        <v>2</v>
      </c>
      <c r="AH2870" s="4">
        <v>60</v>
      </c>
      <c r="AI2870" s="4">
        <v>73</v>
      </c>
      <c r="AJ2870" s="4">
        <v>11</v>
      </c>
      <c r="AK2870" s="4">
        <v>15</v>
      </c>
      <c r="AL2870" s="4">
        <v>43</v>
      </c>
      <c r="AM2870" s="4">
        <v>44</v>
      </c>
      <c r="AN2870" s="4">
        <v>0</v>
      </c>
      <c r="AO2870" s="4">
        <v>0</v>
      </c>
      <c r="AP2870" s="4">
        <v>12</v>
      </c>
      <c r="AQ2870" s="4">
        <v>20</v>
      </c>
      <c r="AR2870" s="3" t="s">
        <v>62</v>
      </c>
      <c r="AS2870" s="3" t="s">
        <v>61</v>
      </c>
      <c r="AT2870" s="3" t="s">
        <v>62</v>
      </c>
      <c r="AU2870" s="6" t="str">
        <f>HYPERLINK("http://catalog.hathitrust.org/Record/001477703","HathiTrust Record")</f>
        <v>HathiTrust Record</v>
      </c>
      <c r="AV2870" s="6" t="str">
        <f>HYPERLINK("http://mcgill.on.worldcat.org/oclc/6495266","Catalog Record")</f>
        <v>Catalog Record</v>
      </c>
      <c r="AW2870" s="6" t="str">
        <f>HYPERLINK("http://www.worldcat.org/oclc/6495266","WorldCat Record")</f>
        <v>WorldCat Record</v>
      </c>
      <c r="AX2870" s="3" t="s">
        <v>27827</v>
      </c>
      <c r="AY2870" s="3" t="s">
        <v>27828</v>
      </c>
      <c r="AZ2870" s="3" t="s">
        <v>27829</v>
      </c>
      <c r="BA2870" s="3" t="s">
        <v>27829</v>
      </c>
      <c r="BB2870" s="3" t="s">
        <v>27830</v>
      </c>
      <c r="BC2870" s="3" t="s">
        <v>102</v>
      </c>
      <c r="BD2870" s="3" t="s">
        <v>68</v>
      </c>
      <c r="BF2870" s="3" t="s">
        <v>27830</v>
      </c>
      <c r="BG2870" s="3" t="s">
        <v>27831</v>
      </c>
    </row>
    <row r="2871" spans="1:59" ht="58" x14ac:dyDescent="0.35">
      <c r="A2871" s="2" t="s">
        <v>89</v>
      </c>
      <c r="B2871" s="2" t="s">
        <v>90</v>
      </c>
      <c r="C2871" s="2" t="s">
        <v>27823</v>
      </c>
      <c r="D2871" s="2" t="s">
        <v>27824</v>
      </c>
      <c r="E2871" s="2" t="s">
        <v>27825</v>
      </c>
      <c r="G2871" s="3" t="s">
        <v>62</v>
      </c>
      <c r="I2871" s="3" t="s">
        <v>61</v>
      </c>
      <c r="J2871" s="3" t="s">
        <v>62</v>
      </c>
      <c r="K2871" s="3" t="s">
        <v>63</v>
      </c>
      <c r="L2871" s="2" t="s">
        <v>9089</v>
      </c>
      <c r="M2871" s="2" t="s">
        <v>27826</v>
      </c>
      <c r="N2871" s="3" t="s">
        <v>1374</v>
      </c>
      <c r="P2871" s="3" t="s">
        <v>64</v>
      </c>
      <c r="R2871" s="3" t="s">
        <v>27443</v>
      </c>
      <c r="S2871" s="4">
        <v>5</v>
      </c>
      <c r="T2871" s="4">
        <v>5</v>
      </c>
      <c r="U2871" s="5" t="s">
        <v>2589</v>
      </c>
      <c r="V2871" s="5" t="s">
        <v>2589</v>
      </c>
      <c r="W2871" s="5" t="s">
        <v>67</v>
      </c>
      <c r="X2871" s="5" t="s">
        <v>67</v>
      </c>
      <c r="Y2871" s="4">
        <v>207</v>
      </c>
      <c r="Z2871" s="4">
        <v>14</v>
      </c>
      <c r="AA2871" s="4">
        <v>32</v>
      </c>
      <c r="AB2871" s="4">
        <v>1</v>
      </c>
      <c r="AC2871" s="4">
        <v>5</v>
      </c>
      <c r="AD2871" s="4">
        <v>68</v>
      </c>
      <c r="AE2871" s="4">
        <v>88</v>
      </c>
      <c r="AF2871" s="4">
        <v>0</v>
      </c>
      <c r="AG2871" s="4">
        <v>2</v>
      </c>
      <c r="AH2871" s="4">
        <v>60</v>
      </c>
      <c r="AI2871" s="4">
        <v>73</v>
      </c>
      <c r="AJ2871" s="4">
        <v>11</v>
      </c>
      <c r="AK2871" s="4">
        <v>15</v>
      </c>
      <c r="AL2871" s="4">
        <v>43</v>
      </c>
      <c r="AM2871" s="4">
        <v>44</v>
      </c>
      <c r="AN2871" s="4">
        <v>0</v>
      </c>
      <c r="AO2871" s="4">
        <v>0</v>
      </c>
      <c r="AP2871" s="4">
        <v>12</v>
      </c>
      <c r="AQ2871" s="4">
        <v>20</v>
      </c>
      <c r="AR2871" s="3" t="s">
        <v>62</v>
      </c>
      <c r="AS2871" s="3" t="s">
        <v>61</v>
      </c>
      <c r="AT2871" s="3" t="s">
        <v>62</v>
      </c>
      <c r="AU2871" s="6" t="str">
        <f>HYPERLINK("http://catalog.hathitrust.org/Record/001477703","HathiTrust Record")</f>
        <v>HathiTrust Record</v>
      </c>
      <c r="AV2871" s="6" t="str">
        <f>HYPERLINK("http://mcgill.on.worldcat.org/oclc/6495266","Catalog Record")</f>
        <v>Catalog Record</v>
      </c>
      <c r="AW2871" s="6" t="str">
        <f>HYPERLINK("http://www.worldcat.org/oclc/6495266","WorldCat Record")</f>
        <v>WorldCat Record</v>
      </c>
      <c r="AX2871" s="3" t="s">
        <v>27827</v>
      </c>
      <c r="AY2871" s="3" t="s">
        <v>27828</v>
      </c>
      <c r="AZ2871" s="3" t="s">
        <v>27829</v>
      </c>
      <c r="BA2871" s="3" t="s">
        <v>27829</v>
      </c>
      <c r="BB2871" s="3" t="s">
        <v>27832</v>
      </c>
      <c r="BC2871" s="3" t="s">
        <v>102</v>
      </c>
      <c r="BD2871" s="3" t="s">
        <v>231</v>
      </c>
      <c r="BF2871" s="3" t="s">
        <v>27832</v>
      </c>
      <c r="BG2871" s="3" t="s">
        <v>27833</v>
      </c>
    </row>
    <row r="2872" spans="1:59" ht="58" x14ac:dyDescent="0.35">
      <c r="A2872" s="2" t="s">
        <v>89</v>
      </c>
      <c r="B2872" s="2" t="s">
        <v>90</v>
      </c>
      <c r="C2872" s="2" t="s">
        <v>27834</v>
      </c>
      <c r="D2872" s="2" t="s">
        <v>27835</v>
      </c>
      <c r="E2872" s="2" t="s">
        <v>27836</v>
      </c>
      <c r="G2872" s="3" t="s">
        <v>62</v>
      </c>
      <c r="I2872" s="3" t="s">
        <v>62</v>
      </c>
      <c r="J2872" s="3" t="s">
        <v>62</v>
      </c>
      <c r="K2872" s="3" t="s">
        <v>63</v>
      </c>
      <c r="L2872" s="2" t="s">
        <v>27541</v>
      </c>
      <c r="M2872" s="2" t="s">
        <v>27837</v>
      </c>
      <c r="N2872" s="3" t="s">
        <v>2000</v>
      </c>
      <c r="P2872" s="3" t="s">
        <v>64</v>
      </c>
      <c r="R2872" s="3" t="s">
        <v>27443</v>
      </c>
      <c r="S2872" s="4">
        <v>23</v>
      </c>
      <c r="T2872" s="4">
        <v>23</v>
      </c>
      <c r="U2872" s="5" t="s">
        <v>8131</v>
      </c>
      <c r="V2872" s="5" t="s">
        <v>8131</v>
      </c>
      <c r="W2872" s="5" t="s">
        <v>67</v>
      </c>
      <c r="X2872" s="5" t="s">
        <v>67</v>
      </c>
      <c r="Y2872" s="4">
        <v>291</v>
      </c>
      <c r="Z2872" s="4">
        <v>23</v>
      </c>
      <c r="AA2872" s="4">
        <v>23</v>
      </c>
      <c r="AB2872" s="4">
        <v>1</v>
      </c>
      <c r="AC2872" s="4">
        <v>1</v>
      </c>
      <c r="AD2872" s="4">
        <v>77</v>
      </c>
      <c r="AE2872" s="4">
        <v>77</v>
      </c>
      <c r="AF2872" s="4">
        <v>0</v>
      </c>
      <c r="AG2872" s="4">
        <v>0</v>
      </c>
      <c r="AH2872" s="4">
        <v>68</v>
      </c>
      <c r="AI2872" s="4">
        <v>68</v>
      </c>
      <c r="AJ2872" s="4">
        <v>9</v>
      </c>
      <c r="AK2872" s="4">
        <v>9</v>
      </c>
      <c r="AL2872" s="4">
        <v>38</v>
      </c>
      <c r="AM2872" s="4">
        <v>38</v>
      </c>
      <c r="AN2872" s="4">
        <v>0</v>
      </c>
      <c r="AO2872" s="4">
        <v>0</v>
      </c>
      <c r="AP2872" s="4">
        <v>14</v>
      </c>
      <c r="AQ2872" s="4">
        <v>14</v>
      </c>
      <c r="AR2872" s="3" t="s">
        <v>62</v>
      </c>
      <c r="AS2872" s="3" t="s">
        <v>62</v>
      </c>
      <c r="AT2872" s="3" t="s">
        <v>62</v>
      </c>
      <c r="AV2872" s="6" t="str">
        <f>HYPERLINK("http://mcgill.on.worldcat.org/oclc/33968944","Catalog Record")</f>
        <v>Catalog Record</v>
      </c>
      <c r="AW2872" s="6" t="str">
        <f>HYPERLINK("http://www.worldcat.org/oclc/33968944","WorldCat Record")</f>
        <v>WorldCat Record</v>
      </c>
      <c r="AX2872" s="3" t="s">
        <v>27838</v>
      </c>
      <c r="AY2872" s="3" t="s">
        <v>27839</v>
      </c>
      <c r="AZ2872" s="3" t="s">
        <v>27840</v>
      </c>
      <c r="BA2872" s="3" t="s">
        <v>27840</v>
      </c>
      <c r="BB2872" s="3" t="s">
        <v>27841</v>
      </c>
      <c r="BC2872" s="3" t="s">
        <v>102</v>
      </c>
      <c r="BD2872" s="3" t="s">
        <v>231</v>
      </c>
      <c r="BE2872" s="3" t="s">
        <v>27842</v>
      </c>
      <c r="BF2872" s="3" t="s">
        <v>27841</v>
      </c>
      <c r="BG2872" s="3" t="s">
        <v>27843</v>
      </c>
    </row>
    <row r="2873" spans="1:59" ht="58" x14ac:dyDescent="0.35">
      <c r="A2873" s="2" t="s">
        <v>89</v>
      </c>
      <c r="B2873" s="2" t="s">
        <v>90</v>
      </c>
      <c r="C2873" s="2" t="s">
        <v>27844</v>
      </c>
      <c r="D2873" s="2" t="s">
        <v>27845</v>
      </c>
      <c r="E2873" s="2" t="s">
        <v>27846</v>
      </c>
      <c r="G2873" s="3" t="s">
        <v>62</v>
      </c>
      <c r="I2873" s="3" t="s">
        <v>62</v>
      </c>
      <c r="J2873" s="3" t="s">
        <v>62</v>
      </c>
      <c r="K2873" s="3" t="s">
        <v>63</v>
      </c>
      <c r="M2873" s="2" t="s">
        <v>27847</v>
      </c>
      <c r="N2873" s="3" t="s">
        <v>655</v>
      </c>
      <c r="P2873" s="3" t="s">
        <v>64</v>
      </c>
      <c r="R2873" s="3" t="s">
        <v>27443</v>
      </c>
      <c r="S2873" s="4">
        <v>5</v>
      </c>
      <c r="T2873" s="4">
        <v>5</v>
      </c>
      <c r="U2873" s="5" t="s">
        <v>11274</v>
      </c>
      <c r="V2873" s="5" t="s">
        <v>11274</v>
      </c>
      <c r="W2873" s="5" t="s">
        <v>67</v>
      </c>
      <c r="X2873" s="5" t="s">
        <v>67</v>
      </c>
      <c r="Y2873" s="4">
        <v>207</v>
      </c>
      <c r="Z2873" s="4">
        <v>18</v>
      </c>
      <c r="AA2873" s="4">
        <v>108</v>
      </c>
      <c r="AB2873" s="4">
        <v>2</v>
      </c>
      <c r="AC2873" s="4">
        <v>21</v>
      </c>
      <c r="AD2873" s="4">
        <v>85</v>
      </c>
      <c r="AE2873" s="4">
        <v>149</v>
      </c>
      <c r="AF2873" s="4">
        <v>1</v>
      </c>
      <c r="AG2873" s="4">
        <v>9</v>
      </c>
      <c r="AH2873" s="4">
        <v>78</v>
      </c>
      <c r="AI2873" s="4">
        <v>100</v>
      </c>
      <c r="AJ2873" s="4">
        <v>15</v>
      </c>
      <c r="AK2873" s="4">
        <v>28</v>
      </c>
      <c r="AL2873" s="4">
        <v>44</v>
      </c>
      <c r="AM2873" s="4">
        <v>52</v>
      </c>
      <c r="AN2873" s="4">
        <v>0</v>
      </c>
      <c r="AO2873" s="4">
        <v>0</v>
      </c>
      <c r="AP2873" s="4">
        <v>16</v>
      </c>
      <c r="AQ2873" s="4">
        <v>57</v>
      </c>
      <c r="AR2873" s="3" t="s">
        <v>62</v>
      </c>
      <c r="AS2873" s="3" t="s">
        <v>62</v>
      </c>
      <c r="AT2873" s="3" t="s">
        <v>62</v>
      </c>
      <c r="AV2873" s="6" t="str">
        <f>HYPERLINK("http://mcgill.on.worldcat.org/oclc/73954025","Catalog Record")</f>
        <v>Catalog Record</v>
      </c>
      <c r="AW2873" s="6" t="str">
        <f>HYPERLINK("http://www.worldcat.org/oclc/73954025","WorldCat Record")</f>
        <v>WorldCat Record</v>
      </c>
      <c r="AX2873" s="3" t="s">
        <v>27848</v>
      </c>
      <c r="AY2873" s="3" t="s">
        <v>27849</v>
      </c>
      <c r="AZ2873" s="3" t="s">
        <v>27850</v>
      </c>
      <c r="BA2873" s="3" t="s">
        <v>27850</v>
      </c>
      <c r="BB2873" s="3" t="s">
        <v>27851</v>
      </c>
      <c r="BC2873" s="3" t="s">
        <v>102</v>
      </c>
      <c r="BD2873" s="3" t="s">
        <v>68</v>
      </c>
      <c r="BE2873" s="3" t="s">
        <v>27852</v>
      </c>
      <c r="BF2873" s="3" t="s">
        <v>27851</v>
      </c>
      <c r="BG2873" s="3" t="s">
        <v>27853</v>
      </c>
    </row>
    <row r="2874" spans="1:59" ht="58" x14ac:dyDescent="0.35">
      <c r="A2874" s="2" t="s">
        <v>89</v>
      </c>
      <c r="B2874" s="2" t="s">
        <v>90</v>
      </c>
      <c r="C2874" s="2" t="s">
        <v>27854</v>
      </c>
      <c r="D2874" s="2" t="s">
        <v>27855</v>
      </c>
      <c r="E2874" s="2" t="s">
        <v>27856</v>
      </c>
      <c r="G2874" s="3" t="s">
        <v>62</v>
      </c>
      <c r="I2874" s="3" t="s">
        <v>62</v>
      </c>
      <c r="J2874" s="3" t="s">
        <v>62</v>
      </c>
      <c r="K2874" s="3" t="s">
        <v>63</v>
      </c>
      <c r="L2874" s="2" t="s">
        <v>27857</v>
      </c>
      <c r="M2874" s="2" t="s">
        <v>27858</v>
      </c>
      <c r="N2874" s="3" t="s">
        <v>1482</v>
      </c>
      <c r="P2874" s="3" t="s">
        <v>64</v>
      </c>
      <c r="Q2874" s="2" t="s">
        <v>27859</v>
      </c>
      <c r="R2874" s="3" t="s">
        <v>27443</v>
      </c>
      <c r="S2874" s="4">
        <v>35</v>
      </c>
      <c r="T2874" s="4">
        <v>35</v>
      </c>
      <c r="U2874" s="5" t="s">
        <v>2448</v>
      </c>
      <c r="V2874" s="5" t="s">
        <v>2448</v>
      </c>
      <c r="W2874" s="5" t="s">
        <v>67</v>
      </c>
      <c r="X2874" s="5" t="s">
        <v>67</v>
      </c>
      <c r="Y2874" s="4">
        <v>345</v>
      </c>
      <c r="Z2874" s="4">
        <v>23</v>
      </c>
      <c r="AA2874" s="4">
        <v>25</v>
      </c>
      <c r="AB2874" s="4">
        <v>1</v>
      </c>
      <c r="AC2874" s="4">
        <v>3</v>
      </c>
      <c r="AD2874" s="4">
        <v>98</v>
      </c>
      <c r="AE2874" s="4">
        <v>99</v>
      </c>
      <c r="AF2874" s="4">
        <v>0</v>
      </c>
      <c r="AG2874" s="4">
        <v>1</v>
      </c>
      <c r="AH2874" s="4">
        <v>86</v>
      </c>
      <c r="AI2874" s="4">
        <v>86</v>
      </c>
      <c r="AJ2874" s="4">
        <v>13</v>
      </c>
      <c r="AK2874" s="4">
        <v>14</v>
      </c>
      <c r="AL2874" s="4">
        <v>50</v>
      </c>
      <c r="AM2874" s="4">
        <v>50</v>
      </c>
      <c r="AN2874" s="4">
        <v>0</v>
      </c>
      <c r="AO2874" s="4">
        <v>0</v>
      </c>
      <c r="AP2874" s="4">
        <v>17</v>
      </c>
      <c r="AQ2874" s="4">
        <v>18</v>
      </c>
      <c r="AR2874" s="3" t="s">
        <v>62</v>
      </c>
      <c r="AS2874" s="3" t="s">
        <v>62</v>
      </c>
      <c r="AT2874" s="3" t="s">
        <v>61</v>
      </c>
      <c r="AU2874" s="6" t="str">
        <f>HYPERLINK("http://catalog.hathitrust.org/Record/004571376","HathiTrust Record")</f>
        <v>HathiTrust Record</v>
      </c>
      <c r="AV2874" s="6" t="str">
        <f>HYPERLINK("http://mcgill.on.worldcat.org/oclc/13859390","Catalog Record")</f>
        <v>Catalog Record</v>
      </c>
      <c r="AW2874" s="6" t="str">
        <f>HYPERLINK("http://www.worldcat.org/oclc/13859390","WorldCat Record")</f>
        <v>WorldCat Record</v>
      </c>
      <c r="AX2874" s="3" t="s">
        <v>27860</v>
      </c>
      <c r="AY2874" s="3" t="s">
        <v>27861</v>
      </c>
      <c r="AZ2874" s="3" t="s">
        <v>27862</v>
      </c>
      <c r="BA2874" s="3" t="s">
        <v>27862</v>
      </c>
      <c r="BB2874" s="3" t="s">
        <v>27863</v>
      </c>
      <c r="BC2874" s="3" t="s">
        <v>102</v>
      </c>
      <c r="BD2874" s="3" t="s">
        <v>231</v>
      </c>
      <c r="BE2874" s="3" t="s">
        <v>27864</v>
      </c>
      <c r="BF2874" s="3" t="s">
        <v>27863</v>
      </c>
      <c r="BG2874" s="3" t="s">
        <v>27865</v>
      </c>
    </row>
    <row r="2875" spans="1:59" ht="58" x14ac:dyDescent="0.35">
      <c r="A2875" s="2" t="s">
        <v>89</v>
      </c>
      <c r="B2875" s="2" t="s">
        <v>90</v>
      </c>
      <c r="C2875" s="2" t="s">
        <v>27866</v>
      </c>
      <c r="D2875" s="2" t="s">
        <v>27867</v>
      </c>
      <c r="E2875" s="2" t="s">
        <v>27868</v>
      </c>
      <c r="G2875" s="3" t="s">
        <v>62</v>
      </c>
      <c r="I2875" s="3" t="s">
        <v>61</v>
      </c>
      <c r="J2875" s="3" t="s">
        <v>62</v>
      </c>
      <c r="K2875" s="3" t="s">
        <v>63</v>
      </c>
      <c r="L2875" s="2" t="s">
        <v>27869</v>
      </c>
      <c r="M2875" s="2" t="s">
        <v>7049</v>
      </c>
      <c r="N2875" s="3" t="s">
        <v>3062</v>
      </c>
      <c r="P2875" s="3" t="s">
        <v>64</v>
      </c>
      <c r="Q2875" s="2" t="s">
        <v>27870</v>
      </c>
      <c r="R2875" s="3" t="s">
        <v>27443</v>
      </c>
      <c r="S2875" s="4">
        <v>3</v>
      </c>
      <c r="T2875" s="4">
        <v>15</v>
      </c>
      <c r="U2875" s="5" t="s">
        <v>2375</v>
      </c>
      <c r="V2875" s="5" t="s">
        <v>84</v>
      </c>
      <c r="W2875" s="5" t="s">
        <v>67</v>
      </c>
      <c r="X2875" s="5" t="s">
        <v>67</v>
      </c>
      <c r="Y2875" s="4">
        <v>148</v>
      </c>
      <c r="Z2875" s="4">
        <v>9</v>
      </c>
      <c r="AA2875" s="4">
        <v>10</v>
      </c>
      <c r="AB2875" s="4">
        <v>1</v>
      </c>
      <c r="AC2875" s="4">
        <v>2</v>
      </c>
      <c r="AD2875" s="4">
        <v>66</v>
      </c>
      <c r="AE2875" s="4">
        <v>69</v>
      </c>
      <c r="AF2875" s="4">
        <v>0</v>
      </c>
      <c r="AG2875" s="4">
        <v>1</v>
      </c>
      <c r="AH2875" s="4">
        <v>61</v>
      </c>
      <c r="AI2875" s="4">
        <v>63</v>
      </c>
      <c r="AJ2875" s="4">
        <v>6</v>
      </c>
      <c r="AK2875" s="4">
        <v>7</v>
      </c>
      <c r="AL2875" s="4">
        <v>42</v>
      </c>
      <c r="AM2875" s="4">
        <v>43</v>
      </c>
      <c r="AN2875" s="4">
        <v>0</v>
      </c>
      <c r="AO2875" s="4">
        <v>0</v>
      </c>
      <c r="AP2875" s="4">
        <v>7</v>
      </c>
      <c r="AQ2875" s="4">
        <v>8</v>
      </c>
      <c r="AR2875" s="3" t="s">
        <v>62</v>
      </c>
      <c r="AS2875" s="3" t="s">
        <v>62</v>
      </c>
      <c r="AT2875" s="3" t="s">
        <v>62</v>
      </c>
      <c r="AV2875" s="6" t="str">
        <f>HYPERLINK("http://mcgill.on.worldcat.org/oclc/22451163","Catalog Record")</f>
        <v>Catalog Record</v>
      </c>
      <c r="AW2875" s="6" t="str">
        <f>HYPERLINK("http://www.worldcat.org/oclc/22451163","WorldCat Record")</f>
        <v>WorldCat Record</v>
      </c>
      <c r="AX2875" s="3" t="s">
        <v>27871</v>
      </c>
      <c r="AY2875" s="3" t="s">
        <v>27872</v>
      </c>
      <c r="AZ2875" s="3" t="s">
        <v>27873</v>
      </c>
      <c r="BA2875" s="3" t="s">
        <v>27873</v>
      </c>
      <c r="BB2875" s="3" t="s">
        <v>27874</v>
      </c>
      <c r="BC2875" s="3" t="s">
        <v>102</v>
      </c>
      <c r="BD2875" s="3" t="s">
        <v>68</v>
      </c>
      <c r="BE2875" s="3" t="s">
        <v>27875</v>
      </c>
      <c r="BF2875" s="3" t="s">
        <v>27874</v>
      </c>
      <c r="BG2875" s="3" t="s">
        <v>27876</v>
      </c>
    </row>
    <row r="2876" spans="1:59" ht="58" x14ac:dyDescent="0.35">
      <c r="A2876" s="2" t="s">
        <v>89</v>
      </c>
      <c r="B2876" s="2" t="s">
        <v>90</v>
      </c>
      <c r="C2876" s="2" t="s">
        <v>27877</v>
      </c>
      <c r="D2876" s="2" t="s">
        <v>27878</v>
      </c>
      <c r="E2876" s="2" t="s">
        <v>27879</v>
      </c>
      <c r="G2876" s="3" t="s">
        <v>62</v>
      </c>
      <c r="I2876" s="3" t="s">
        <v>62</v>
      </c>
      <c r="J2876" s="3" t="s">
        <v>62</v>
      </c>
      <c r="K2876" s="3" t="s">
        <v>63</v>
      </c>
      <c r="L2876" s="2" t="s">
        <v>7884</v>
      </c>
      <c r="M2876" s="2" t="s">
        <v>27880</v>
      </c>
      <c r="N2876" s="3" t="s">
        <v>2305</v>
      </c>
      <c r="P2876" s="3" t="s">
        <v>64</v>
      </c>
      <c r="R2876" s="3" t="s">
        <v>27443</v>
      </c>
      <c r="S2876" s="4">
        <v>11</v>
      </c>
      <c r="T2876" s="4">
        <v>11</v>
      </c>
      <c r="U2876" s="5" t="s">
        <v>4853</v>
      </c>
      <c r="V2876" s="5" t="s">
        <v>4853</v>
      </c>
      <c r="W2876" s="5" t="s">
        <v>67</v>
      </c>
      <c r="X2876" s="5" t="s">
        <v>67</v>
      </c>
      <c r="Y2876" s="4">
        <v>200</v>
      </c>
      <c r="Z2876" s="4">
        <v>13</v>
      </c>
      <c r="AA2876" s="4">
        <v>44</v>
      </c>
      <c r="AB2876" s="4">
        <v>1</v>
      </c>
      <c r="AC2876" s="4">
        <v>4</v>
      </c>
      <c r="AD2876" s="4">
        <v>47</v>
      </c>
      <c r="AE2876" s="4">
        <v>125</v>
      </c>
      <c r="AF2876" s="4">
        <v>0</v>
      </c>
      <c r="AG2876" s="4">
        <v>2</v>
      </c>
      <c r="AH2876" s="4">
        <v>40</v>
      </c>
      <c r="AI2876" s="4">
        <v>101</v>
      </c>
      <c r="AJ2876" s="4">
        <v>8</v>
      </c>
      <c r="AK2876" s="4">
        <v>20</v>
      </c>
      <c r="AL2876" s="4">
        <v>28</v>
      </c>
      <c r="AM2876" s="4">
        <v>53</v>
      </c>
      <c r="AN2876" s="4">
        <v>0</v>
      </c>
      <c r="AO2876" s="4">
        <v>0</v>
      </c>
      <c r="AP2876" s="4">
        <v>8</v>
      </c>
      <c r="AQ2876" s="4">
        <v>30</v>
      </c>
      <c r="AR2876" s="3" t="s">
        <v>62</v>
      </c>
      <c r="AS2876" s="3" t="s">
        <v>62</v>
      </c>
      <c r="AT2876" s="3" t="s">
        <v>61</v>
      </c>
      <c r="AU2876" s="6" t="str">
        <f>HYPERLINK("http://catalog.hathitrust.org/Record/001484068","HathiTrust Record")</f>
        <v>HathiTrust Record</v>
      </c>
      <c r="AV2876" s="6" t="str">
        <f>HYPERLINK("http://mcgill.on.worldcat.org/oclc/531071","Catalog Record")</f>
        <v>Catalog Record</v>
      </c>
      <c r="AW2876" s="6" t="str">
        <f>HYPERLINK("http://www.worldcat.org/oclc/531071","WorldCat Record")</f>
        <v>WorldCat Record</v>
      </c>
      <c r="AX2876" s="3" t="s">
        <v>27881</v>
      </c>
      <c r="AY2876" s="3" t="s">
        <v>27882</v>
      </c>
      <c r="AZ2876" s="3" t="s">
        <v>27883</v>
      </c>
      <c r="BA2876" s="3" t="s">
        <v>27883</v>
      </c>
      <c r="BB2876" s="3" t="s">
        <v>27884</v>
      </c>
      <c r="BC2876" s="3" t="s">
        <v>102</v>
      </c>
      <c r="BD2876" s="3" t="s">
        <v>68</v>
      </c>
      <c r="BF2876" s="3" t="s">
        <v>27884</v>
      </c>
      <c r="BG2876" s="3" t="s">
        <v>27885</v>
      </c>
    </row>
    <row r="2877" spans="1:59" ht="58" x14ac:dyDescent="0.35">
      <c r="A2877" s="2" t="s">
        <v>89</v>
      </c>
      <c r="B2877" s="2" t="s">
        <v>90</v>
      </c>
      <c r="C2877" s="2" t="s">
        <v>27886</v>
      </c>
      <c r="D2877" s="2" t="s">
        <v>27887</v>
      </c>
      <c r="E2877" s="2" t="s">
        <v>27888</v>
      </c>
      <c r="G2877" s="3" t="s">
        <v>62</v>
      </c>
      <c r="I2877" s="3" t="s">
        <v>62</v>
      </c>
      <c r="J2877" s="3" t="s">
        <v>62</v>
      </c>
      <c r="K2877" s="3" t="s">
        <v>63</v>
      </c>
      <c r="L2877" s="2" t="s">
        <v>27889</v>
      </c>
      <c r="M2877" s="2" t="s">
        <v>27890</v>
      </c>
      <c r="N2877" s="3" t="s">
        <v>6048</v>
      </c>
      <c r="P2877" s="3" t="s">
        <v>85</v>
      </c>
      <c r="Q2877" s="2" t="s">
        <v>27891</v>
      </c>
      <c r="R2877" s="3" t="s">
        <v>27443</v>
      </c>
      <c r="S2877" s="4">
        <v>5</v>
      </c>
      <c r="T2877" s="4">
        <v>5</v>
      </c>
      <c r="U2877" s="5" t="s">
        <v>2062</v>
      </c>
      <c r="V2877" s="5" t="s">
        <v>2062</v>
      </c>
      <c r="W2877" s="5" t="s">
        <v>67</v>
      </c>
      <c r="X2877" s="5" t="s">
        <v>67</v>
      </c>
      <c r="Y2877" s="4">
        <v>161</v>
      </c>
      <c r="Z2877" s="4">
        <v>14</v>
      </c>
      <c r="AA2877" s="4">
        <v>19</v>
      </c>
      <c r="AB2877" s="4">
        <v>1</v>
      </c>
      <c r="AC2877" s="4">
        <v>5</v>
      </c>
      <c r="AD2877" s="4">
        <v>66</v>
      </c>
      <c r="AE2877" s="4">
        <v>76</v>
      </c>
      <c r="AF2877" s="4">
        <v>0</v>
      </c>
      <c r="AG2877" s="4">
        <v>4</v>
      </c>
      <c r="AH2877" s="4">
        <v>61</v>
      </c>
      <c r="AI2877" s="4">
        <v>68</v>
      </c>
      <c r="AJ2877" s="4">
        <v>9</v>
      </c>
      <c r="AK2877" s="4">
        <v>14</v>
      </c>
      <c r="AL2877" s="4">
        <v>39</v>
      </c>
      <c r="AM2877" s="4">
        <v>42</v>
      </c>
      <c r="AN2877" s="4">
        <v>0</v>
      </c>
      <c r="AO2877" s="4">
        <v>0</v>
      </c>
      <c r="AP2877" s="4">
        <v>8</v>
      </c>
      <c r="AQ2877" s="4">
        <v>12</v>
      </c>
      <c r="AR2877" s="3" t="s">
        <v>62</v>
      </c>
      <c r="AS2877" s="3" t="s">
        <v>62</v>
      </c>
      <c r="AT2877" s="3" t="s">
        <v>61</v>
      </c>
      <c r="AU2877" s="6" t="str">
        <f>HYPERLINK("http://catalog.hathitrust.org/Record/001484091","HathiTrust Record")</f>
        <v>HathiTrust Record</v>
      </c>
      <c r="AV2877" s="6" t="str">
        <f>HYPERLINK("http://mcgill.on.worldcat.org/oclc/2429933","Catalog Record")</f>
        <v>Catalog Record</v>
      </c>
      <c r="AW2877" s="6" t="str">
        <f>HYPERLINK("http://www.worldcat.org/oclc/2429933","WorldCat Record")</f>
        <v>WorldCat Record</v>
      </c>
      <c r="AX2877" s="3" t="s">
        <v>27892</v>
      </c>
      <c r="AY2877" s="3" t="s">
        <v>27893</v>
      </c>
      <c r="AZ2877" s="3" t="s">
        <v>27894</v>
      </c>
      <c r="BA2877" s="3" t="s">
        <v>27894</v>
      </c>
      <c r="BB2877" s="3" t="s">
        <v>27895</v>
      </c>
      <c r="BC2877" s="3" t="s">
        <v>102</v>
      </c>
      <c r="BD2877" s="3" t="s">
        <v>231</v>
      </c>
      <c r="BF2877" s="3" t="s">
        <v>27895</v>
      </c>
      <c r="BG2877" s="3" t="s">
        <v>27896</v>
      </c>
    </row>
    <row r="2878" spans="1:59" ht="58" x14ac:dyDescent="0.35">
      <c r="A2878" s="2" t="s">
        <v>89</v>
      </c>
      <c r="B2878" s="2" t="s">
        <v>90</v>
      </c>
      <c r="C2878" s="2" t="s">
        <v>27897</v>
      </c>
      <c r="D2878" s="2" t="s">
        <v>27898</v>
      </c>
      <c r="E2878" s="2" t="s">
        <v>27899</v>
      </c>
      <c r="G2878" s="3" t="s">
        <v>62</v>
      </c>
      <c r="I2878" s="3" t="s">
        <v>62</v>
      </c>
      <c r="J2878" s="3" t="s">
        <v>62</v>
      </c>
      <c r="K2878" s="3" t="s">
        <v>63</v>
      </c>
      <c r="L2878" s="2" t="s">
        <v>27573</v>
      </c>
      <c r="M2878" s="2" t="s">
        <v>27900</v>
      </c>
      <c r="N2878" s="3" t="s">
        <v>1374</v>
      </c>
      <c r="P2878" s="3" t="s">
        <v>64</v>
      </c>
      <c r="R2878" s="3" t="s">
        <v>27443</v>
      </c>
      <c r="S2878" s="4">
        <v>4</v>
      </c>
      <c r="T2878" s="4">
        <v>4</v>
      </c>
      <c r="U2878" s="5" t="s">
        <v>10908</v>
      </c>
      <c r="V2878" s="5" t="s">
        <v>10908</v>
      </c>
      <c r="W2878" s="5" t="s">
        <v>67</v>
      </c>
      <c r="X2878" s="5" t="s">
        <v>67</v>
      </c>
      <c r="Y2878" s="4">
        <v>136</v>
      </c>
      <c r="Z2878" s="4">
        <v>5</v>
      </c>
      <c r="AA2878" s="4">
        <v>40</v>
      </c>
      <c r="AB2878" s="4">
        <v>1</v>
      </c>
      <c r="AC2878" s="4">
        <v>4</v>
      </c>
      <c r="AD2878" s="4">
        <v>36</v>
      </c>
      <c r="AE2878" s="4">
        <v>97</v>
      </c>
      <c r="AF2878" s="4">
        <v>0</v>
      </c>
      <c r="AG2878" s="4">
        <v>0</v>
      </c>
      <c r="AH2878" s="4">
        <v>31</v>
      </c>
      <c r="AI2878" s="4">
        <v>78</v>
      </c>
      <c r="AJ2878" s="4">
        <v>3</v>
      </c>
      <c r="AK2878" s="4">
        <v>13</v>
      </c>
      <c r="AL2878" s="4">
        <v>19</v>
      </c>
      <c r="AM2878" s="4">
        <v>47</v>
      </c>
      <c r="AN2878" s="4">
        <v>0</v>
      </c>
      <c r="AO2878" s="4">
        <v>0</v>
      </c>
      <c r="AP2878" s="4">
        <v>4</v>
      </c>
      <c r="AQ2878" s="4">
        <v>22</v>
      </c>
      <c r="AR2878" s="3" t="s">
        <v>62</v>
      </c>
      <c r="AS2878" s="3" t="s">
        <v>62</v>
      </c>
      <c r="AT2878" s="3" t="s">
        <v>62</v>
      </c>
      <c r="AU2878" s="6" t="str">
        <f>HYPERLINK("http://catalog.hathitrust.org/Record/100337018","HathiTrust Record")</f>
        <v>HathiTrust Record</v>
      </c>
      <c r="AV2878" s="6" t="str">
        <f>HYPERLINK("http://mcgill.on.worldcat.org/oclc/919416","Catalog Record")</f>
        <v>Catalog Record</v>
      </c>
      <c r="AW2878" s="6" t="str">
        <f>HYPERLINK("http://www.worldcat.org/oclc/919416","WorldCat Record")</f>
        <v>WorldCat Record</v>
      </c>
      <c r="AX2878" s="3" t="s">
        <v>27901</v>
      </c>
      <c r="AY2878" s="3" t="s">
        <v>27902</v>
      </c>
      <c r="AZ2878" s="3" t="s">
        <v>27903</v>
      </c>
      <c r="BA2878" s="3" t="s">
        <v>27903</v>
      </c>
      <c r="BB2878" s="3" t="s">
        <v>27904</v>
      </c>
      <c r="BC2878" s="3" t="s">
        <v>102</v>
      </c>
      <c r="BD2878" s="3" t="s">
        <v>231</v>
      </c>
      <c r="BF2878" s="3" t="s">
        <v>27904</v>
      </c>
      <c r="BG2878" s="3" t="s">
        <v>27905</v>
      </c>
    </row>
    <row r="2879" spans="1:59" ht="58" x14ac:dyDescent="0.35">
      <c r="A2879" s="2" t="s">
        <v>89</v>
      </c>
      <c r="B2879" s="2" t="s">
        <v>90</v>
      </c>
      <c r="C2879" s="2" t="s">
        <v>27906</v>
      </c>
      <c r="D2879" s="2" t="s">
        <v>27907</v>
      </c>
      <c r="E2879" s="2" t="s">
        <v>27908</v>
      </c>
      <c r="G2879" s="3" t="s">
        <v>62</v>
      </c>
      <c r="I2879" s="3" t="s">
        <v>62</v>
      </c>
      <c r="J2879" s="3" t="s">
        <v>62</v>
      </c>
      <c r="K2879" s="3" t="s">
        <v>63</v>
      </c>
      <c r="L2879" s="2" t="s">
        <v>27909</v>
      </c>
      <c r="M2879" s="2" t="s">
        <v>27910</v>
      </c>
      <c r="N2879" s="3" t="s">
        <v>2588</v>
      </c>
      <c r="P2879" s="3" t="s">
        <v>64</v>
      </c>
      <c r="R2879" s="3" t="s">
        <v>27443</v>
      </c>
      <c r="S2879" s="4">
        <v>12</v>
      </c>
      <c r="T2879" s="4">
        <v>12</v>
      </c>
      <c r="U2879" s="5" t="s">
        <v>27911</v>
      </c>
      <c r="V2879" s="5" t="s">
        <v>27911</v>
      </c>
      <c r="W2879" s="5" t="s">
        <v>67</v>
      </c>
      <c r="X2879" s="5" t="s">
        <v>67</v>
      </c>
      <c r="Y2879" s="4">
        <v>1073</v>
      </c>
      <c r="Z2879" s="4">
        <v>50</v>
      </c>
      <c r="AA2879" s="4">
        <v>55</v>
      </c>
      <c r="AB2879" s="4">
        <v>3</v>
      </c>
      <c r="AC2879" s="4">
        <v>6</v>
      </c>
      <c r="AD2879" s="4">
        <v>137</v>
      </c>
      <c r="AE2879" s="4">
        <v>139</v>
      </c>
      <c r="AF2879" s="4">
        <v>1</v>
      </c>
      <c r="AG2879" s="4">
        <v>3</v>
      </c>
      <c r="AH2879" s="4">
        <v>112</v>
      </c>
      <c r="AI2879" s="4">
        <v>113</v>
      </c>
      <c r="AJ2879" s="4">
        <v>22</v>
      </c>
      <c r="AK2879" s="4">
        <v>24</v>
      </c>
      <c r="AL2879" s="4">
        <v>59</v>
      </c>
      <c r="AM2879" s="4">
        <v>59</v>
      </c>
      <c r="AN2879" s="4">
        <v>0</v>
      </c>
      <c r="AO2879" s="4">
        <v>0</v>
      </c>
      <c r="AP2879" s="4">
        <v>32</v>
      </c>
      <c r="AQ2879" s="4">
        <v>33</v>
      </c>
      <c r="AR2879" s="3" t="s">
        <v>62</v>
      </c>
      <c r="AS2879" s="3" t="s">
        <v>62</v>
      </c>
      <c r="AT2879" s="3" t="s">
        <v>62</v>
      </c>
      <c r="AV2879" s="6" t="str">
        <f>HYPERLINK("http://mcgill.on.worldcat.org/oclc/2818271","Catalog Record")</f>
        <v>Catalog Record</v>
      </c>
      <c r="AW2879" s="6" t="str">
        <f>HYPERLINK("http://www.worldcat.org/oclc/2818271","WorldCat Record")</f>
        <v>WorldCat Record</v>
      </c>
      <c r="AX2879" s="3" t="s">
        <v>27912</v>
      </c>
      <c r="AY2879" s="3" t="s">
        <v>27913</v>
      </c>
      <c r="AZ2879" s="3" t="s">
        <v>27914</v>
      </c>
      <c r="BA2879" s="3" t="s">
        <v>27914</v>
      </c>
      <c r="BB2879" s="3" t="s">
        <v>27915</v>
      </c>
      <c r="BC2879" s="3" t="s">
        <v>102</v>
      </c>
      <c r="BD2879" s="3" t="s">
        <v>68</v>
      </c>
      <c r="BE2879" s="3" t="s">
        <v>27916</v>
      </c>
      <c r="BF2879" s="3" t="s">
        <v>27915</v>
      </c>
      <c r="BG2879" s="3" t="s">
        <v>27917</v>
      </c>
    </row>
    <row r="2880" spans="1:59" ht="58" x14ac:dyDescent="0.35">
      <c r="A2880" s="2" t="s">
        <v>89</v>
      </c>
      <c r="B2880" s="2" t="s">
        <v>90</v>
      </c>
      <c r="C2880" s="2" t="s">
        <v>27918</v>
      </c>
      <c r="D2880" s="2" t="s">
        <v>27919</v>
      </c>
      <c r="E2880" s="2" t="s">
        <v>27920</v>
      </c>
      <c r="G2880" s="3" t="s">
        <v>62</v>
      </c>
      <c r="I2880" s="3" t="s">
        <v>62</v>
      </c>
      <c r="J2880" s="3" t="s">
        <v>62</v>
      </c>
      <c r="K2880" s="3" t="s">
        <v>63</v>
      </c>
      <c r="M2880" s="2" t="s">
        <v>27921</v>
      </c>
      <c r="N2880" s="3" t="s">
        <v>698</v>
      </c>
      <c r="P2880" s="3" t="s">
        <v>1881</v>
      </c>
      <c r="Q2880" s="2" t="s">
        <v>27922</v>
      </c>
      <c r="R2880" s="3" t="s">
        <v>27443</v>
      </c>
      <c r="S2880" s="4">
        <v>3</v>
      </c>
      <c r="T2880" s="4">
        <v>3</v>
      </c>
      <c r="U2880" s="5" t="s">
        <v>5023</v>
      </c>
      <c r="V2880" s="5" t="s">
        <v>5023</v>
      </c>
      <c r="W2880" s="5" t="s">
        <v>67</v>
      </c>
      <c r="X2880" s="5" t="s">
        <v>67</v>
      </c>
      <c r="Y2880" s="4">
        <v>41</v>
      </c>
      <c r="Z2880" s="4">
        <v>3</v>
      </c>
      <c r="AA2880" s="4">
        <v>3</v>
      </c>
      <c r="AB2880" s="4">
        <v>1</v>
      </c>
      <c r="AC2880" s="4">
        <v>1</v>
      </c>
      <c r="AD2880" s="4">
        <v>12</v>
      </c>
      <c r="AE2880" s="4">
        <v>12</v>
      </c>
      <c r="AF2880" s="4">
        <v>0</v>
      </c>
      <c r="AG2880" s="4">
        <v>0</v>
      </c>
      <c r="AH2880" s="4">
        <v>11</v>
      </c>
      <c r="AI2880" s="4">
        <v>11</v>
      </c>
      <c r="AJ2880" s="4">
        <v>1</v>
      </c>
      <c r="AK2880" s="4">
        <v>1</v>
      </c>
      <c r="AL2880" s="4">
        <v>9</v>
      </c>
      <c r="AM2880" s="4">
        <v>9</v>
      </c>
      <c r="AN2880" s="4">
        <v>0</v>
      </c>
      <c r="AO2880" s="4">
        <v>0</v>
      </c>
      <c r="AP2880" s="4">
        <v>1</v>
      </c>
      <c r="AQ2880" s="4">
        <v>1</v>
      </c>
      <c r="AR2880" s="3" t="s">
        <v>62</v>
      </c>
      <c r="AS2880" s="3" t="s">
        <v>62</v>
      </c>
      <c r="AT2880" s="3" t="s">
        <v>62</v>
      </c>
      <c r="AV2880" s="6" t="str">
        <f>HYPERLINK("http://mcgill.on.worldcat.org/oclc/808420772","Catalog Record")</f>
        <v>Catalog Record</v>
      </c>
      <c r="AW2880" s="6" t="str">
        <f>HYPERLINK("http://www.worldcat.org/oclc/808420772","WorldCat Record")</f>
        <v>WorldCat Record</v>
      </c>
      <c r="AX2880" s="3" t="s">
        <v>27923</v>
      </c>
      <c r="AY2880" s="3" t="s">
        <v>27924</v>
      </c>
      <c r="AZ2880" s="3" t="s">
        <v>27925</v>
      </c>
      <c r="BA2880" s="3" t="s">
        <v>27925</v>
      </c>
      <c r="BB2880" s="3" t="s">
        <v>27926</v>
      </c>
      <c r="BC2880" s="3" t="s">
        <v>102</v>
      </c>
      <c r="BD2880" s="3" t="s">
        <v>68</v>
      </c>
      <c r="BE2880" s="3" t="s">
        <v>27927</v>
      </c>
      <c r="BF2880" s="3" t="s">
        <v>27926</v>
      </c>
      <c r="BG2880" s="3" t="s">
        <v>27928</v>
      </c>
    </row>
    <row r="2881" spans="1:59" ht="58" x14ac:dyDescent="0.35">
      <c r="A2881" s="2" t="s">
        <v>89</v>
      </c>
      <c r="B2881" s="2" t="s">
        <v>90</v>
      </c>
      <c r="C2881" s="2" t="s">
        <v>27929</v>
      </c>
      <c r="D2881" s="2" t="s">
        <v>27930</v>
      </c>
      <c r="E2881" s="2" t="s">
        <v>27931</v>
      </c>
      <c r="G2881" s="3" t="s">
        <v>62</v>
      </c>
      <c r="I2881" s="3" t="s">
        <v>61</v>
      </c>
      <c r="J2881" s="3" t="s">
        <v>62</v>
      </c>
      <c r="K2881" s="3" t="s">
        <v>63</v>
      </c>
      <c r="L2881" s="2" t="s">
        <v>3698</v>
      </c>
      <c r="M2881" s="2" t="s">
        <v>27932</v>
      </c>
      <c r="N2881" s="3" t="s">
        <v>396</v>
      </c>
      <c r="P2881" s="3" t="s">
        <v>64</v>
      </c>
      <c r="Q2881" s="2" t="s">
        <v>27933</v>
      </c>
      <c r="R2881" s="3" t="s">
        <v>27443</v>
      </c>
      <c r="S2881" s="4">
        <v>5</v>
      </c>
      <c r="T2881" s="4">
        <v>5</v>
      </c>
      <c r="U2881" s="5" t="s">
        <v>1203</v>
      </c>
      <c r="V2881" s="5" t="s">
        <v>1203</v>
      </c>
      <c r="W2881" s="5" t="s">
        <v>67</v>
      </c>
      <c r="X2881" s="5" t="s">
        <v>67</v>
      </c>
      <c r="Y2881" s="4">
        <v>282</v>
      </c>
      <c r="Z2881" s="4">
        <v>20</v>
      </c>
      <c r="AA2881" s="4">
        <v>24</v>
      </c>
      <c r="AB2881" s="4">
        <v>3</v>
      </c>
      <c r="AC2881" s="4">
        <v>7</v>
      </c>
      <c r="AD2881" s="4">
        <v>107</v>
      </c>
      <c r="AE2881" s="4">
        <v>110</v>
      </c>
      <c r="AF2881" s="4">
        <v>1</v>
      </c>
      <c r="AG2881" s="4">
        <v>4</v>
      </c>
      <c r="AH2881" s="4">
        <v>96</v>
      </c>
      <c r="AI2881" s="4">
        <v>97</v>
      </c>
      <c r="AJ2881" s="4">
        <v>15</v>
      </c>
      <c r="AK2881" s="4">
        <v>17</v>
      </c>
      <c r="AL2881" s="4">
        <v>54</v>
      </c>
      <c r="AM2881" s="4">
        <v>54</v>
      </c>
      <c r="AN2881" s="4">
        <v>0</v>
      </c>
      <c r="AO2881" s="4">
        <v>0</v>
      </c>
      <c r="AP2881" s="4">
        <v>16</v>
      </c>
      <c r="AQ2881" s="4">
        <v>18</v>
      </c>
      <c r="AR2881" s="3" t="s">
        <v>62</v>
      </c>
      <c r="AS2881" s="3" t="s">
        <v>62</v>
      </c>
      <c r="AT2881" s="3" t="s">
        <v>62</v>
      </c>
      <c r="AV2881" s="6" t="str">
        <f>HYPERLINK("http://mcgill.on.worldcat.org/oclc/11785248","Catalog Record")</f>
        <v>Catalog Record</v>
      </c>
      <c r="AW2881" s="6" t="str">
        <f>HYPERLINK("http://www.worldcat.org/oclc/11785248","WorldCat Record")</f>
        <v>WorldCat Record</v>
      </c>
      <c r="AX2881" s="3" t="s">
        <v>27934</v>
      </c>
      <c r="AY2881" s="3" t="s">
        <v>27935</v>
      </c>
      <c r="AZ2881" s="3" t="s">
        <v>27936</v>
      </c>
      <c r="BA2881" s="3" t="s">
        <v>27936</v>
      </c>
      <c r="BB2881" s="3" t="s">
        <v>27937</v>
      </c>
      <c r="BC2881" s="3" t="s">
        <v>102</v>
      </c>
      <c r="BD2881" s="3" t="s">
        <v>68</v>
      </c>
      <c r="BE2881" s="3" t="s">
        <v>27938</v>
      </c>
      <c r="BF2881" s="3" t="s">
        <v>27937</v>
      </c>
      <c r="BG2881" s="3" t="s">
        <v>27939</v>
      </c>
    </row>
    <row r="2882" spans="1:59" ht="58" x14ac:dyDescent="0.35">
      <c r="A2882" s="2" t="s">
        <v>89</v>
      </c>
      <c r="B2882" s="2" t="s">
        <v>90</v>
      </c>
      <c r="C2882" s="2" t="s">
        <v>27940</v>
      </c>
      <c r="D2882" s="2" t="s">
        <v>27941</v>
      </c>
      <c r="E2882" s="2" t="s">
        <v>27942</v>
      </c>
      <c r="G2882" s="3" t="s">
        <v>62</v>
      </c>
      <c r="I2882" s="3" t="s">
        <v>62</v>
      </c>
      <c r="J2882" s="3" t="s">
        <v>62</v>
      </c>
      <c r="K2882" s="3" t="s">
        <v>63</v>
      </c>
      <c r="L2882" s="2" t="s">
        <v>27943</v>
      </c>
      <c r="M2882" s="2" t="s">
        <v>27944</v>
      </c>
      <c r="N2882" s="3" t="s">
        <v>355</v>
      </c>
      <c r="O2882" s="2" t="s">
        <v>12082</v>
      </c>
      <c r="P2882" s="3" t="s">
        <v>1881</v>
      </c>
      <c r="R2882" s="3" t="s">
        <v>27443</v>
      </c>
      <c r="S2882" s="4">
        <v>6</v>
      </c>
      <c r="T2882" s="4">
        <v>6</v>
      </c>
      <c r="U2882" s="5" t="s">
        <v>3523</v>
      </c>
      <c r="V2882" s="5" t="s">
        <v>3523</v>
      </c>
      <c r="W2882" s="5" t="s">
        <v>67</v>
      </c>
      <c r="X2882" s="5" t="s">
        <v>67</v>
      </c>
      <c r="Y2882" s="4">
        <v>126</v>
      </c>
      <c r="Z2882" s="4">
        <v>6</v>
      </c>
      <c r="AA2882" s="4">
        <v>6</v>
      </c>
      <c r="AB2882" s="4">
        <v>1</v>
      </c>
      <c r="AC2882" s="4">
        <v>1</v>
      </c>
      <c r="AD2882" s="4">
        <v>35</v>
      </c>
      <c r="AE2882" s="4">
        <v>35</v>
      </c>
      <c r="AF2882" s="4">
        <v>0</v>
      </c>
      <c r="AG2882" s="4">
        <v>0</v>
      </c>
      <c r="AH2882" s="4">
        <v>32</v>
      </c>
      <c r="AI2882" s="4">
        <v>32</v>
      </c>
      <c r="AJ2882" s="4">
        <v>3</v>
      </c>
      <c r="AK2882" s="4">
        <v>3</v>
      </c>
      <c r="AL2882" s="4">
        <v>25</v>
      </c>
      <c r="AM2882" s="4">
        <v>25</v>
      </c>
      <c r="AN2882" s="4">
        <v>0</v>
      </c>
      <c r="AO2882" s="4">
        <v>0</v>
      </c>
      <c r="AP2882" s="4">
        <v>3</v>
      </c>
      <c r="AQ2882" s="4">
        <v>3</v>
      </c>
      <c r="AR2882" s="3" t="s">
        <v>62</v>
      </c>
      <c r="AS2882" s="3" t="s">
        <v>62</v>
      </c>
      <c r="AT2882" s="3" t="s">
        <v>61</v>
      </c>
      <c r="AU2882" s="6" t="str">
        <f>HYPERLINK("http://catalog.hathitrust.org/Record/000665190","HathiTrust Record")</f>
        <v>HathiTrust Record</v>
      </c>
      <c r="AV2882" s="6" t="str">
        <f>HYPERLINK("http://mcgill.on.worldcat.org/oclc/11780160","Catalog Record")</f>
        <v>Catalog Record</v>
      </c>
      <c r="AW2882" s="6" t="str">
        <f>HYPERLINK("http://www.worldcat.org/oclc/11780160","WorldCat Record")</f>
        <v>WorldCat Record</v>
      </c>
      <c r="AX2882" s="3" t="s">
        <v>27945</v>
      </c>
      <c r="AY2882" s="3" t="s">
        <v>27946</v>
      </c>
      <c r="AZ2882" s="3" t="s">
        <v>27947</v>
      </c>
      <c r="BA2882" s="3" t="s">
        <v>27947</v>
      </c>
      <c r="BB2882" s="3" t="s">
        <v>27948</v>
      </c>
      <c r="BC2882" s="3" t="s">
        <v>102</v>
      </c>
      <c r="BD2882" s="3" t="s">
        <v>231</v>
      </c>
      <c r="BE2882" s="3" t="s">
        <v>27949</v>
      </c>
      <c r="BF2882" s="3" t="s">
        <v>27948</v>
      </c>
      <c r="BG2882" s="3" t="s">
        <v>27950</v>
      </c>
    </row>
    <row r="2883" spans="1:59" ht="58" x14ac:dyDescent="0.35">
      <c r="A2883" s="2" t="s">
        <v>89</v>
      </c>
      <c r="B2883" s="2" t="s">
        <v>90</v>
      </c>
      <c r="C2883" s="2" t="s">
        <v>27951</v>
      </c>
      <c r="D2883" s="2" t="s">
        <v>27952</v>
      </c>
      <c r="E2883" s="2" t="s">
        <v>27953</v>
      </c>
      <c r="G2883" s="3" t="s">
        <v>62</v>
      </c>
      <c r="I2883" s="3" t="s">
        <v>62</v>
      </c>
      <c r="J2883" s="3" t="s">
        <v>62</v>
      </c>
      <c r="K2883" s="3" t="s">
        <v>63</v>
      </c>
      <c r="M2883" s="2" t="s">
        <v>27954</v>
      </c>
      <c r="N2883" s="3" t="s">
        <v>1038</v>
      </c>
      <c r="P2883" s="3" t="s">
        <v>64</v>
      </c>
      <c r="R2883" s="3" t="s">
        <v>27443</v>
      </c>
      <c r="S2883" s="4">
        <v>1</v>
      </c>
      <c r="T2883" s="4">
        <v>1</v>
      </c>
      <c r="U2883" s="5" t="s">
        <v>27955</v>
      </c>
      <c r="V2883" s="5" t="s">
        <v>27955</v>
      </c>
      <c r="W2883" s="5" t="s">
        <v>67</v>
      </c>
      <c r="X2883" s="5" t="s">
        <v>67</v>
      </c>
      <c r="Y2883" s="4">
        <v>46</v>
      </c>
      <c r="Z2883" s="4">
        <v>2</v>
      </c>
      <c r="AA2883" s="4">
        <v>9</v>
      </c>
      <c r="AB2883" s="4">
        <v>1</v>
      </c>
      <c r="AC2883" s="4">
        <v>3</v>
      </c>
      <c r="AD2883" s="4">
        <v>15</v>
      </c>
      <c r="AE2883" s="4">
        <v>37</v>
      </c>
      <c r="AF2883" s="4">
        <v>0</v>
      </c>
      <c r="AG2883" s="4">
        <v>0</v>
      </c>
      <c r="AH2883" s="4">
        <v>15</v>
      </c>
      <c r="AI2883" s="4">
        <v>35</v>
      </c>
      <c r="AJ2883" s="4">
        <v>0</v>
      </c>
      <c r="AK2883" s="4">
        <v>1</v>
      </c>
      <c r="AL2883" s="4">
        <v>11</v>
      </c>
      <c r="AM2883" s="4">
        <v>23</v>
      </c>
      <c r="AN2883" s="4">
        <v>0</v>
      </c>
      <c r="AO2883" s="4">
        <v>0</v>
      </c>
      <c r="AP2883" s="4">
        <v>0</v>
      </c>
      <c r="AQ2883" s="4">
        <v>2</v>
      </c>
      <c r="AR2883" s="3" t="s">
        <v>62</v>
      </c>
      <c r="AS2883" s="3" t="s">
        <v>62</v>
      </c>
      <c r="AT2883" s="3" t="s">
        <v>62</v>
      </c>
      <c r="AV2883" s="6" t="str">
        <f>HYPERLINK("http://mcgill.on.worldcat.org/oclc/890435948","Catalog Record")</f>
        <v>Catalog Record</v>
      </c>
      <c r="AW2883" s="6" t="str">
        <f>HYPERLINK("http://www.worldcat.org/oclc/890435948","WorldCat Record")</f>
        <v>WorldCat Record</v>
      </c>
      <c r="AX2883" s="3" t="s">
        <v>27956</v>
      </c>
      <c r="AY2883" s="3" t="s">
        <v>27957</v>
      </c>
      <c r="AZ2883" s="3" t="s">
        <v>27958</v>
      </c>
      <c r="BA2883" s="3" t="s">
        <v>27958</v>
      </c>
      <c r="BB2883" s="3" t="s">
        <v>27959</v>
      </c>
      <c r="BC2883" s="3" t="s">
        <v>102</v>
      </c>
      <c r="BD2883" s="3" t="s">
        <v>68</v>
      </c>
      <c r="BE2883" s="3" t="s">
        <v>27960</v>
      </c>
      <c r="BF2883" s="3" t="s">
        <v>27959</v>
      </c>
      <c r="BG2883" s="3" t="s">
        <v>27961</v>
      </c>
    </row>
    <row r="2884" spans="1:59" ht="58" x14ac:dyDescent="0.35">
      <c r="A2884" s="2" t="s">
        <v>89</v>
      </c>
      <c r="B2884" s="2" t="s">
        <v>90</v>
      </c>
      <c r="C2884" s="2" t="s">
        <v>27962</v>
      </c>
      <c r="D2884" s="2" t="s">
        <v>27963</v>
      </c>
      <c r="E2884" s="2" t="s">
        <v>27964</v>
      </c>
      <c r="G2884" s="3" t="s">
        <v>62</v>
      </c>
      <c r="I2884" s="3" t="s">
        <v>62</v>
      </c>
      <c r="J2884" s="3" t="s">
        <v>62</v>
      </c>
      <c r="K2884" s="3" t="s">
        <v>63</v>
      </c>
      <c r="L2884" s="2" t="s">
        <v>27965</v>
      </c>
      <c r="M2884" s="2" t="s">
        <v>27966</v>
      </c>
      <c r="N2884" s="3" t="s">
        <v>852</v>
      </c>
      <c r="O2884" s="2" t="s">
        <v>2163</v>
      </c>
      <c r="P2884" s="3" t="s">
        <v>64</v>
      </c>
      <c r="R2884" s="3" t="s">
        <v>27443</v>
      </c>
      <c r="S2884" s="4">
        <v>6</v>
      </c>
      <c r="T2884" s="4">
        <v>6</v>
      </c>
      <c r="U2884" s="5" t="s">
        <v>20492</v>
      </c>
      <c r="V2884" s="5" t="s">
        <v>20492</v>
      </c>
      <c r="W2884" s="5" t="s">
        <v>67</v>
      </c>
      <c r="X2884" s="5" t="s">
        <v>67</v>
      </c>
      <c r="Y2884" s="4">
        <v>669</v>
      </c>
      <c r="Z2884" s="4">
        <v>36</v>
      </c>
      <c r="AA2884" s="4">
        <v>36</v>
      </c>
      <c r="AB2884" s="4">
        <v>1</v>
      </c>
      <c r="AC2884" s="4">
        <v>1</v>
      </c>
      <c r="AD2884" s="4">
        <v>119</v>
      </c>
      <c r="AE2884" s="4">
        <v>119</v>
      </c>
      <c r="AF2884" s="4">
        <v>0</v>
      </c>
      <c r="AG2884" s="4">
        <v>0</v>
      </c>
      <c r="AH2884" s="4">
        <v>99</v>
      </c>
      <c r="AI2884" s="4">
        <v>99</v>
      </c>
      <c r="AJ2884" s="4">
        <v>19</v>
      </c>
      <c r="AK2884" s="4">
        <v>19</v>
      </c>
      <c r="AL2884" s="4">
        <v>53</v>
      </c>
      <c r="AM2884" s="4">
        <v>53</v>
      </c>
      <c r="AN2884" s="4">
        <v>0</v>
      </c>
      <c r="AO2884" s="4">
        <v>0</v>
      </c>
      <c r="AP2884" s="4">
        <v>26</v>
      </c>
      <c r="AQ2884" s="4">
        <v>26</v>
      </c>
      <c r="AR2884" s="3" t="s">
        <v>62</v>
      </c>
      <c r="AS2884" s="3" t="s">
        <v>62</v>
      </c>
      <c r="AT2884" s="3" t="s">
        <v>62</v>
      </c>
      <c r="AV2884" s="6" t="str">
        <f>HYPERLINK("http://mcgill.on.worldcat.org/oclc/54870","Catalog Record")</f>
        <v>Catalog Record</v>
      </c>
      <c r="AW2884" s="6" t="str">
        <f>HYPERLINK("http://www.worldcat.org/oclc/54870","WorldCat Record")</f>
        <v>WorldCat Record</v>
      </c>
      <c r="AX2884" s="3" t="s">
        <v>27967</v>
      </c>
      <c r="AY2884" s="3" t="s">
        <v>27968</v>
      </c>
      <c r="AZ2884" s="3" t="s">
        <v>27969</v>
      </c>
      <c r="BA2884" s="3" t="s">
        <v>27969</v>
      </c>
      <c r="BB2884" s="3" t="s">
        <v>27970</v>
      </c>
      <c r="BC2884" s="3" t="s">
        <v>102</v>
      </c>
      <c r="BD2884" s="3" t="s">
        <v>231</v>
      </c>
      <c r="BE2884" s="3" t="s">
        <v>27971</v>
      </c>
      <c r="BF2884" s="3" t="s">
        <v>27970</v>
      </c>
      <c r="BG2884" s="3" t="s">
        <v>27972</v>
      </c>
    </row>
    <row r="2885" spans="1:59" ht="58" x14ac:dyDescent="0.35">
      <c r="A2885" s="2" t="s">
        <v>89</v>
      </c>
      <c r="B2885" s="2" t="s">
        <v>90</v>
      </c>
      <c r="C2885" s="2" t="s">
        <v>27973</v>
      </c>
      <c r="D2885" s="2" t="s">
        <v>27974</v>
      </c>
      <c r="E2885" s="2" t="s">
        <v>27975</v>
      </c>
      <c r="G2885" s="3" t="s">
        <v>62</v>
      </c>
      <c r="I2885" s="3" t="s">
        <v>61</v>
      </c>
      <c r="J2885" s="3" t="s">
        <v>62</v>
      </c>
      <c r="K2885" s="3" t="s">
        <v>63</v>
      </c>
      <c r="L2885" s="2" t="s">
        <v>27976</v>
      </c>
      <c r="M2885" s="2" t="s">
        <v>27977</v>
      </c>
      <c r="N2885" s="3" t="s">
        <v>466</v>
      </c>
      <c r="P2885" s="3" t="s">
        <v>64</v>
      </c>
      <c r="R2885" s="3" t="s">
        <v>27443</v>
      </c>
      <c r="S2885" s="4">
        <v>3</v>
      </c>
      <c r="T2885" s="4">
        <v>10</v>
      </c>
      <c r="U2885" s="5" t="s">
        <v>27978</v>
      </c>
      <c r="V2885" s="5" t="s">
        <v>27978</v>
      </c>
      <c r="W2885" s="5" t="s">
        <v>67</v>
      </c>
      <c r="X2885" s="5" t="s">
        <v>67</v>
      </c>
      <c r="Y2885" s="4">
        <v>416</v>
      </c>
      <c r="Z2885" s="4">
        <v>57</v>
      </c>
      <c r="AA2885" s="4">
        <v>124</v>
      </c>
      <c r="AB2885" s="4">
        <v>5</v>
      </c>
      <c r="AC2885" s="4">
        <v>25</v>
      </c>
      <c r="AD2885" s="4">
        <v>115</v>
      </c>
      <c r="AE2885" s="4">
        <v>144</v>
      </c>
      <c r="AF2885" s="4">
        <v>2</v>
      </c>
      <c r="AG2885" s="4">
        <v>9</v>
      </c>
      <c r="AH2885" s="4">
        <v>87</v>
      </c>
      <c r="AI2885" s="4">
        <v>94</v>
      </c>
      <c r="AJ2885" s="4">
        <v>21</v>
      </c>
      <c r="AK2885" s="4">
        <v>29</v>
      </c>
      <c r="AL2885" s="4">
        <v>49</v>
      </c>
      <c r="AM2885" s="4">
        <v>52</v>
      </c>
      <c r="AN2885" s="4">
        <v>0</v>
      </c>
      <c r="AO2885" s="4">
        <v>0</v>
      </c>
      <c r="AP2885" s="4">
        <v>34</v>
      </c>
      <c r="AQ2885" s="4">
        <v>55</v>
      </c>
      <c r="AR2885" s="3" t="s">
        <v>61</v>
      </c>
      <c r="AS2885" s="3" t="s">
        <v>62</v>
      </c>
      <c r="AT2885" s="3" t="s">
        <v>62</v>
      </c>
      <c r="AV2885" s="6" t="str">
        <f>HYPERLINK("http://mcgill.on.worldcat.org/oclc/26858162","Catalog Record")</f>
        <v>Catalog Record</v>
      </c>
      <c r="AW2885" s="6" t="str">
        <f>HYPERLINK("http://www.worldcat.org/oclc/26858162","WorldCat Record")</f>
        <v>WorldCat Record</v>
      </c>
      <c r="AX2885" s="3" t="s">
        <v>27979</v>
      </c>
      <c r="AY2885" s="3" t="s">
        <v>27980</v>
      </c>
      <c r="AZ2885" s="3" t="s">
        <v>27981</v>
      </c>
      <c r="BA2885" s="3" t="s">
        <v>27981</v>
      </c>
      <c r="BB2885" s="3" t="s">
        <v>27982</v>
      </c>
      <c r="BC2885" s="3" t="s">
        <v>102</v>
      </c>
      <c r="BD2885" s="3" t="s">
        <v>68</v>
      </c>
      <c r="BE2885" s="3" t="s">
        <v>27983</v>
      </c>
      <c r="BF2885" s="3" t="s">
        <v>27982</v>
      </c>
      <c r="BG2885" s="3" t="s">
        <v>27984</v>
      </c>
    </row>
    <row r="2886" spans="1:59" ht="58" x14ac:dyDescent="0.35">
      <c r="A2886" s="2" t="s">
        <v>89</v>
      </c>
      <c r="B2886" s="2" t="s">
        <v>90</v>
      </c>
      <c r="C2886" s="2" t="s">
        <v>27973</v>
      </c>
      <c r="D2886" s="2" t="s">
        <v>27974</v>
      </c>
      <c r="E2886" s="2" t="s">
        <v>27975</v>
      </c>
      <c r="G2886" s="3" t="s">
        <v>62</v>
      </c>
      <c r="I2886" s="3" t="s">
        <v>61</v>
      </c>
      <c r="J2886" s="3" t="s">
        <v>62</v>
      </c>
      <c r="K2886" s="3" t="s">
        <v>63</v>
      </c>
      <c r="L2886" s="2" t="s">
        <v>27976</v>
      </c>
      <c r="M2886" s="2" t="s">
        <v>27977</v>
      </c>
      <c r="N2886" s="3" t="s">
        <v>466</v>
      </c>
      <c r="P2886" s="3" t="s">
        <v>64</v>
      </c>
      <c r="R2886" s="3" t="s">
        <v>27443</v>
      </c>
      <c r="S2886" s="4">
        <v>7</v>
      </c>
      <c r="T2886" s="4">
        <v>10</v>
      </c>
      <c r="U2886" s="5" t="s">
        <v>27985</v>
      </c>
      <c r="V2886" s="5" t="s">
        <v>27978</v>
      </c>
      <c r="W2886" s="5" t="s">
        <v>67</v>
      </c>
      <c r="X2886" s="5" t="s">
        <v>67</v>
      </c>
      <c r="Y2886" s="4">
        <v>416</v>
      </c>
      <c r="Z2886" s="4">
        <v>57</v>
      </c>
      <c r="AA2886" s="4">
        <v>124</v>
      </c>
      <c r="AB2886" s="4">
        <v>5</v>
      </c>
      <c r="AC2886" s="4">
        <v>25</v>
      </c>
      <c r="AD2886" s="4">
        <v>115</v>
      </c>
      <c r="AE2886" s="4">
        <v>144</v>
      </c>
      <c r="AF2886" s="4">
        <v>2</v>
      </c>
      <c r="AG2886" s="4">
        <v>9</v>
      </c>
      <c r="AH2886" s="4">
        <v>87</v>
      </c>
      <c r="AI2886" s="4">
        <v>94</v>
      </c>
      <c r="AJ2886" s="4">
        <v>21</v>
      </c>
      <c r="AK2886" s="4">
        <v>29</v>
      </c>
      <c r="AL2886" s="4">
        <v>49</v>
      </c>
      <c r="AM2886" s="4">
        <v>52</v>
      </c>
      <c r="AN2886" s="4">
        <v>0</v>
      </c>
      <c r="AO2886" s="4">
        <v>0</v>
      </c>
      <c r="AP2886" s="4">
        <v>34</v>
      </c>
      <c r="AQ2886" s="4">
        <v>55</v>
      </c>
      <c r="AR2886" s="3" t="s">
        <v>61</v>
      </c>
      <c r="AS2886" s="3" t="s">
        <v>62</v>
      </c>
      <c r="AT2886" s="3" t="s">
        <v>62</v>
      </c>
      <c r="AV2886" s="6" t="str">
        <f>HYPERLINK("http://mcgill.on.worldcat.org/oclc/26858162","Catalog Record")</f>
        <v>Catalog Record</v>
      </c>
      <c r="AW2886" s="6" t="str">
        <f>HYPERLINK("http://www.worldcat.org/oclc/26858162","WorldCat Record")</f>
        <v>WorldCat Record</v>
      </c>
      <c r="AX2886" s="3" t="s">
        <v>27979</v>
      </c>
      <c r="AY2886" s="3" t="s">
        <v>27980</v>
      </c>
      <c r="AZ2886" s="3" t="s">
        <v>27981</v>
      </c>
      <c r="BA2886" s="3" t="s">
        <v>27981</v>
      </c>
      <c r="BB2886" s="3" t="s">
        <v>27986</v>
      </c>
      <c r="BC2886" s="3" t="s">
        <v>102</v>
      </c>
      <c r="BD2886" s="3" t="s">
        <v>68</v>
      </c>
      <c r="BE2886" s="3" t="s">
        <v>27983</v>
      </c>
      <c r="BF2886" s="3" t="s">
        <v>27986</v>
      </c>
      <c r="BG2886" s="3" t="s">
        <v>27987</v>
      </c>
    </row>
    <row r="2887" spans="1:59" ht="72.5" x14ac:dyDescent="0.35">
      <c r="A2887" s="2" t="s">
        <v>89</v>
      </c>
      <c r="B2887" s="2" t="s">
        <v>90</v>
      </c>
      <c r="C2887" s="2" t="s">
        <v>27988</v>
      </c>
      <c r="D2887" s="2" t="s">
        <v>27989</v>
      </c>
      <c r="E2887" s="2" t="s">
        <v>27990</v>
      </c>
      <c r="G2887" s="3" t="s">
        <v>62</v>
      </c>
      <c r="I2887" s="3" t="s">
        <v>61</v>
      </c>
      <c r="J2887" s="3" t="s">
        <v>62</v>
      </c>
      <c r="K2887" s="3" t="s">
        <v>63</v>
      </c>
      <c r="L2887" s="2" t="s">
        <v>27991</v>
      </c>
      <c r="M2887" s="2" t="s">
        <v>27992</v>
      </c>
      <c r="N2887" s="3" t="s">
        <v>2985</v>
      </c>
      <c r="P2887" s="3" t="s">
        <v>64</v>
      </c>
      <c r="R2887" s="3" t="s">
        <v>27443</v>
      </c>
      <c r="S2887" s="4">
        <v>8</v>
      </c>
      <c r="T2887" s="4">
        <v>9</v>
      </c>
      <c r="U2887" s="5" t="s">
        <v>4771</v>
      </c>
      <c r="V2887" s="5" t="s">
        <v>4771</v>
      </c>
      <c r="W2887" s="5" t="s">
        <v>67</v>
      </c>
      <c r="X2887" s="5" t="s">
        <v>67</v>
      </c>
      <c r="Y2887" s="4">
        <v>1168</v>
      </c>
      <c r="Z2887" s="4">
        <v>41</v>
      </c>
      <c r="AA2887" s="4">
        <v>77</v>
      </c>
      <c r="AB2887" s="4">
        <v>5</v>
      </c>
      <c r="AC2887" s="4">
        <v>11</v>
      </c>
      <c r="AD2887" s="4">
        <v>86</v>
      </c>
      <c r="AE2887" s="4">
        <v>107</v>
      </c>
      <c r="AF2887" s="4">
        <v>0</v>
      </c>
      <c r="AG2887" s="4">
        <v>1</v>
      </c>
      <c r="AH2887" s="4">
        <v>75</v>
      </c>
      <c r="AI2887" s="4">
        <v>87</v>
      </c>
      <c r="AJ2887" s="4">
        <v>11</v>
      </c>
      <c r="AK2887" s="4">
        <v>14</v>
      </c>
      <c r="AL2887" s="4">
        <v>41</v>
      </c>
      <c r="AM2887" s="4">
        <v>45</v>
      </c>
      <c r="AN2887" s="4">
        <v>0</v>
      </c>
      <c r="AO2887" s="4">
        <v>0</v>
      </c>
      <c r="AP2887" s="4">
        <v>18</v>
      </c>
      <c r="AQ2887" s="4">
        <v>27</v>
      </c>
      <c r="AR2887" s="3" t="s">
        <v>62</v>
      </c>
      <c r="AS2887" s="3" t="s">
        <v>62</v>
      </c>
      <c r="AT2887" s="3" t="s">
        <v>62</v>
      </c>
      <c r="AV2887" s="6" t="str">
        <f>HYPERLINK("http://mcgill.on.worldcat.org/oclc/426938310","Catalog Record")</f>
        <v>Catalog Record</v>
      </c>
      <c r="AW2887" s="6" t="str">
        <f>HYPERLINK("http://www.worldcat.org/oclc/426938310","WorldCat Record")</f>
        <v>WorldCat Record</v>
      </c>
      <c r="AX2887" s="3" t="s">
        <v>27993</v>
      </c>
      <c r="AY2887" s="3" t="s">
        <v>27994</v>
      </c>
      <c r="AZ2887" s="3" t="s">
        <v>27995</v>
      </c>
      <c r="BA2887" s="3" t="s">
        <v>27995</v>
      </c>
      <c r="BB2887" s="3" t="s">
        <v>27996</v>
      </c>
      <c r="BC2887" s="3" t="s">
        <v>102</v>
      </c>
      <c r="BD2887" s="3" t="s">
        <v>68</v>
      </c>
      <c r="BE2887" s="3" t="s">
        <v>27997</v>
      </c>
      <c r="BF2887" s="3" t="s">
        <v>27996</v>
      </c>
      <c r="BG2887" s="3" t="s">
        <v>27998</v>
      </c>
    </row>
    <row r="2888" spans="1:59" ht="72.5" x14ac:dyDescent="0.35">
      <c r="A2888" s="2" t="s">
        <v>89</v>
      </c>
      <c r="B2888" s="2" t="s">
        <v>90</v>
      </c>
      <c r="C2888" s="2" t="s">
        <v>27988</v>
      </c>
      <c r="D2888" s="2" t="s">
        <v>27989</v>
      </c>
      <c r="E2888" s="2" t="s">
        <v>27990</v>
      </c>
      <c r="G2888" s="3" t="s">
        <v>62</v>
      </c>
      <c r="I2888" s="3" t="s">
        <v>61</v>
      </c>
      <c r="J2888" s="3" t="s">
        <v>62</v>
      </c>
      <c r="K2888" s="3" t="s">
        <v>63</v>
      </c>
      <c r="L2888" s="2" t="s">
        <v>27991</v>
      </c>
      <c r="M2888" s="2" t="s">
        <v>27992</v>
      </c>
      <c r="N2888" s="3" t="s">
        <v>2985</v>
      </c>
      <c r="P2888" s="3" t="s">
        <v>64</v>
      </c>
      <c r="R2888" s="3" t="s">
        <v>27443</v>
      </c>
      <c r="S2888" s="4">
        <v>1</v>
      </c>
      <c r="T2888" s="4">
        <v>9</v>
      </c>
      <c r="V2888" s="5" t="s">
        <v>4771</v>
      </c>
      <c r="W2888" s="5" t="s">
        <v>67</v>
      </c>
      <c r="X2888" s="5" t="s">
        <v>67</v>
      </c>
      <c r="Y2888" s="4">
        <v>1168</v>
      </c>
      <c r="Z2888" s="4">
        <v>41</v>
      </c>
      <c r="AA2888" s="4">
        <v>77</v>
      </c>
      <c r="AB2888" s="4">
        <v>5</v>
      </c>
      <c r="AC2888" s="4">
        <v>11</v>
      </c>
      <c r="AD2888" s="4">
        <v>86</v>
      </c>
      <c r="AE2888" s="4">
        <v>107</v>
      </c>
      <c r="AF2888" s="4">
        <v>0</v>
      </c>
      <c r="AG2888" s="4">
        <v>1</v>
      </c>
      <c r="AH2888" s="4">
        <v>75</v>
      </c>
      <c r="AI2888" s="4">
        <v>87</v>
      </c>
      <c r="AJ2888" s="4">
        <v>11</v>
      </c>
      <c r="AK2888" s="4">
        <v>14</v>
      </c>
      <c r="AL2888" s="4">
        <v>41</v>
      </c>
      <c r="AM2888" s="4">
        <v>45</v>
      </c>
      <c r="AN2888" s="4">
        <v>0</v>
      </c>
      <c r="AO2888" s="4">
        <v>0</v>
      </c>
      <c r="AP2888" s="4">
        <v>18</v>
      </c>
      <c r="AQ2888" s="4">
        <v>27</v>
      </c>
      <c r="AR2888" s="3" t="s">
        <v>62</v>
      </c>
      <c r="AS2888" s="3" t="s">
        <v>62</v>
      </c>
      <c r="AT2888" s="3" t="s">
        <v>62</v>
      </c>
      <c r="AV2888" s="6" t="str">
        <f>HYPERLINK("http://mcgill.on.worldcat.org/oclc/426938310","Catalog Record")</f>
        <v>Catalog Record</v>
      </c>
      <c r="AW2888" s="6" t="str">
        <f>HYPERLINK("http://www.worldcat.org/oclc/426938310","WorldCat Record")</f>
        <v>WorldCat Record</v>
      </c>
      <c r="AX2888" s="3" t="s">
        <v>27993</v>
      </c>
      <c r="AY2888" s="3" t="s">
        <v>27994</v>
      </c>
      <c r="AZ2888" s="3" t="s">
        <v>27995</v>
      </c>
      <c r="BA2888" s="3" t="s">
        <v>27995</v>
      </c>
      <c r="BB2888" s="3" t="s">
        <v>27999</v>
      </c>
      <c r="BC2888" s="3" t="s">
        <v>102</v>
      </c>
      <c r="BD2888" s="3" t="s">
        <v>231</v>
      </c>
      <c r="BE2888" s="3" t="s">
        <v>27997</v>
      </c>
      <c r="BF2888" s="3" t="s">
        <v>27999</v>
      </c>
      <c r="BG2888" s="3" t="s">
        <v>28000</v>
      </c>
    </row>
    <row r="2889" spans="1:59" ht="58" x14ac:dyDescent="0.35">
      <c r="A2889" s="2" t="s">
        <v>89</v>
      </c>
      <c r="B2889" s="2" t="s">
        <v>90</v>
      </c>
      <c r="C2889" s="2" t="s">
        <v>28001</v>
      </c>
      <c r="D2889" s="2" t="s">
        <v>28002</v>
      </c>
      <c r="E2889" s="2" t="s">
        <v>28003</v>
      </c>
      <c r="G2889" s="3" t="s">
        <v>62</v>
      </c>
      <c r="I2889" s="3" t="s">
        <v>62</v>
      </c>
      <c r="J2889" s="3" t="s">
        <v>62</v>
      </c>
      <c r="K2889" s="3" t="s">
        <v>63</v>
      </c>
      <c r="L2889" s="2" t="s">
        <v>27573</v>
      </c>
      <c r="M2889" s="2" t="s">
        <v>28004</v>
      </c>
      <c r="N2889" s="3" t="s">
        <v>866</v>
      </c>
      <c r="P2889" s="3" t="s">
        <v>85</v>
      </c>
      <c r="Q2889" s="2" t="s">
        <v>28005</v>
      </c>
      <c r="R2889" s="3" t="s">
        <v>27443</v>
      </c>
      <c r="S2889" s="4">
        <v>5</v>
      </c>
      <c r="T2889" s="4">
        <v>5</v>
      </c>
      <c r="U2889" s="5" t="s">
        <v>13186</v>
      </c>
      <c r="V2889" s="5" t="s">
        <v>13186</v>
      </c>
      <c r="W2889" s="5" t="s">
        <v>67</v>
      </c>
      <c r="X2889" s="5" t="s">
        <v>67</v>
      </c>
      <c r="Y2889" s="4">
        <v>113</v>
      </c>
      <c r="Z2889" s="4">
        <v>8</v>
      </c>
      <c r="AA2889" s="4">
        <v>17</v>
      </c>
      <c r="AB2889" s="4">
        <v>1</v>
      </c>
      <c r="AC2889" s="4">
        <v>9</v>
      </c>
      <c r="AD2889" s="4">
        <v>55</v>
      </c>
      <c r="AE2889" s="4">
        <v>64</v>
      </c>
      <c r="AF2889" s="4">
        <v>0</v>
      </c>
      <c r="AG2889" s="4">
        <v>4</v>
      </c>
      <c r="AH2889" s="4">
        <v>48</v>
      </c>
      <c r="AI2889" s="4">
        <v>54</v>
      </c>
      <c r="AJ2889" s="4">
        <v>5</v>
      </c>
      <c r="AK2889" s="4">
        <v>9</v>
      </c>
      <c r="AL2889" s="4">
        <v>34</v>
      </c>
      <c r="AM2889" s="4">
        <v>38</v>
      </c>
      <c r="AN2889" s="4">
        <v>0</v>
      </c>
      <c r="AO2889" s="4">
        <v>0</v>
      </c>
      <c r="AP2889" s="4">
        <v>5</v>
      </c>
      <c r="AQ2889" s="4">
        <v>8</v>
      </c>
      <c r="AR2889" s="3" t="s">
        <v>62</v>
      </c>
      <c r="AS2889" s="3" t="s">
        <v>62</v>
      </c>
      <c r="AT2889" s="3" t="s">
        <v>61</v>
      </c>
      <c r="AU2889" s="6" t="str">
        <f>HYPERLINK("http://catalog.hathitrust.org/Record/001477789","HathiTrust Record")</f>
        <v>HathiTrust Record</v>
      </c>
      <c r="AV2889" s="6" t="str">
        <f>HYPERLINK("http://mcgill.on.worldcat.org/oclc/728621","Catalog Record")</f>
        <v>Catalog Record</v>
      </c>
      <c r="AW2889" s="6" t="str">
        <f>HYPERLINK("http://www.worldcat.org/oclc/728621","WorldCat Record")</f>
        <v>WorldCat Record</v>
      </c>
      <c r="AX2889" s="3" t="s">
        <v>28006</v>
      </c>
      <c r="AY2889" s="3" t="s">
        <v>28007</v>
      </c>
      <c r="AZ2889" s="3" t="s">
        <v>28008</v>
      </c>
      <c r="BA2889" s="3" t="s">
        <v>28008</v>
      </c>
      <c r="BB2889" s="3" t="s">
        <v>28009</v>
      </c>
      <c r="BC2889" s="3" t="s">
        <v>102</v>
      </c>
      <c r="BD2889" s="3" t="s">
        <v>68</v>
      </c>
      <c r="BF2889" s="3" t="s">
        <v>28009</v>
      </c>
      <c r="BG2889" s="3" t="s">
        <v>28010</v>
      </c>
    </row>
    <row r="2890" spans="1:59" ht="72.5" x14ac:dyDescent="0.35">
      <c r="A2890" s="2" t="s">
        <v>89</v>
      </c>
      <c r="B2890" s="2" t="s">
        <v>90</v>
      </c>
      <c r="C2890" s="2" t="s">
        <v>28011</v>
      </c>
      <c r="D2890" s="2" t="s">
        <v>28012</v>
      </c>
      <c r="E2890" s="2" t="s">
        <v>28013</v>
      </c>
      <c r="G2890" s="3" t="s">
        <v>62</v>
      </c>
      <c r="I2890" s="3" t="s">
        <v>61</v>
      </c>
      <c r="J2890" s="3" t="s">
        <v>62</v>
      </c>
      <c r="K2890" s="3" t="s">
        <v>63</v>
      </c>
      <c r="L2890" s="2" t="s">
        <v>27573</v>
      </c>
      <c r="M2890" s="2" t="s">
        <v>28014</v>
      </c>
      <c r="N2890" s="3" t="s">
        <v>1064</v>
      </c>
      <c r="P2890" s="3" t="s">
        <v>64</v>
      </c>
      <c r="R2890" s="3" t="s">
        <v>27443</v>
      </c>
      <c r="S2890" s="4">
        <v>10</v>
      </c>
      <c r="T2890" s="4">
        <v>18</v>
      </c>
      <c r="U2890" s="5" t="s">
        <v>28015</v>
      </c>
      <c r="V2890" s="5" t="s">
        <v>4246</v>
      </c>
      <c r="W2890" s="5" t="s">
        <v>67</v>
      </c>
      <c r="X2890" s="5" t="s">
        <v>67</v>
      </c>
      <c r="Y2890" s="4">
        <v>140</v>
      </c>
      <c r="Z2890" s="4">
        <v>9</v>
      </c>
      <c r="AA2890" s="4">
        <v>12</v>
      </c>
      <c r="AB2890" s="4">
        <v>2</v>
      </c>
      <c r="AC2890" s="4">
        <v>3</v>
      </c>
      <c r="AD2890" s="4">
        <v>41</v>
      </c>
      <c r="AE2890" s="4">
        <v>43</v>
      </c>
      <c r="AF2890" s="4">
        <v>1</v>
      </c>
      <c r="AG2890" s="4">
        <v>2</v>
      </c>
      <c r="AH2890" s="4">
        <v>37</v>
      </c>
      <c r="AI2890" s="4">
        <v>37</v>
      </c>
      <c r="AJ2890" s="4">
        <v>5</v>
      </c>
      <c r="AK2890" s="4">
        <v>7</v>
      </c>
      <c r="AL2890" s="4">
        <v>17</v>
      </c>
      <c r="AM2890" s="4">
        <v>17</v>
      </c>
      <c r="AN2890" s="4">
        <v>0</v>
      </c>
      <c r="AO2890" s="4">
        <v>0</v>
      </c>
      <c r="AP2890" s="4">
        <v>7</v>
      </c>
      <c r="AQ2890" s="4">
        <v>8</v>
      </c>
      <c r="AR2890" s="3" t="s">
        <v>62</v>
      </c>
      <c r="AS2890" s="3" t="s">
        <v>62</v>
      </c>
      <c r="AT2890" s="3" t="s">
        <v>61</v>
      </c>
      <c r="AU2890" s="6" t="str">
        <f>HYPERLINK("http://catalog.hathitrust.org/Record/009390227","HathiTrust Record")</f>
        <v>HathiTrust Record</v>
      </c>
      <c r="AV2890" s="6" t="str">
        <f>HYPERLINK("http://mcgill.on.worldcat.org/oclc/200309","Catalog Record")</f>
        <v>Catalog Record</v>
      </c>
      <c r="AW2890" s="6" t="str">
        <f>HYPERLINK("http://www.worldcat.org/oclc/200309","WorldCat Record")</f>
        <v>WorldCat Record</v>
      </c>
      <c r="AX2890" s="3" t="s">
        <v>28016</v>
      </c>
      <c r="AY2890" s="3" t="s">
        <v>28017</v>
      </c>
      <c r="AZ2890" s="3" t="s">
        <v>28018</v>
      </c>
      <c r="BA2890" s="3" t="s">
        <v>28018</v>
      </c>
      <c r="BB2890" s="3" t="s">
        <v>28019</v>
      </c>
      <c r="BC2890" s="3" t="s">
        <v>102</v>
      </c>
      <c r="BD2890" s="3" t="s">
        <v>68</v>
      </c>
      <c r="BE2890" s="3" t="s">
        <v>28020</v>
      </c>
      <c r="BF2890" s="3" t="s">
        <v>28019</v>
      </c>
      <c r="BG2890" s="3" t="s">
        <v>28021</v>
      </c>
    </row>
    <row r="2891" spans="1:59" ht="72.5" x14ac:dyDescent="0.35">
      <c r="A2891" s="2" t="s">
        <v>89</v>
      </c>
      <c r="B2891" s="2" t="s">
        <v>90</v>
      </c>
      <c r="C2891" s="2" t="s">
        <v>28022</v>
      </c>
      <c r="D2891" s="2" t="s">
        <v>28023</v>
      </c>
      <c r="E2891" s="2" t="s">
        <v>28024</v>
      </c>
      <c r="F2891" s="3" t="s">
        <v>28025</v>
      </c>
      <c r="G2891" s="3" t="s">
        <v>62</v>
      </c>
      <c r="I2891" s="3" t="s">
        <v>62</v>
      </c>
      <c r="J2891" s="3" t="s">
        <v>62</v>
      </c>
      <c r="K2891" s="3" t="s">
        <v>63</v>
      </c>
      <c r="L2891" s="2" t="s">
        <v>27573</v>
      </c>
      <c r="M2891" s="2" t="s">
        <v>28026</v>
      </c>
      <c r="N2891" s="3" t="s">
        <v>2136</v>
      </c>
      <c r="P2891" s="3" t="s">
        <v>64</v>
      </c>
      <c r="R2891" s="3" t="s">
        <v>27443</v>
      </c>
      <c r="S2891" s="4">
        <v>4</v>
      </c>
      <c r="T2891" s="4">
        <v>4</v>
      </c>
      <c r="U2891" s="5" t="s">
        <v>10908</v>
      </c>
      <c r="V2891" s="5" t="s">
        <v>10908</v>
      </c>
      <c r="W2891" s="5" t="s">
        <v>67</v>
      </c>
      <c r="X2891" s="5" t="s">
        <v>67</v>
      </c>
      <c r="Y2891" s="4">
        <v>19</v>
      </c>
      <c r="Z2891" s="4">
        <v>2</v>
      </c>
      <c r="AA2891" s="4">
        <v>2</v>
      </c>
      <c r="AB2891" s="4">
        <v>1</v>
      </c>
      <c r="AC2891" s="4">
        <v>1</v>
      </c>
      <c r="AD2891" s="4">
        <v>2</v>
      </c>
      <c r="AE2891" s="4">
        <v>2</v>
      </c>
      <c r="AF2891" s="4">
        <v>0</v>
      </c>
      <c r="AG2891" s="4">
        <v>0</v>
      </c>
      <c r="AH2891" s="4">
        <v>2</v>
      </c>
      <c r="AI2891" s="4">
        <v>2</v>
      </c>
      <c r="AJ2891" s="4">
        <v>0</v>
      </c>
      <c r="AK2891" s="4">
        <v>0</v>
      </c>
      <c r="AL2891" s="4">
        <v>1</v>
      </c>
      <c r="AM2891" s="4">
        <v>1</v>
      </c>
      <c r="AN2891" s="4">
        <v>0</v>
      </c>
      <c r="AO2891" s="4">
        <v>0</v>
      </c>
      <c r="AP2891" s="4">
        <v>0</v>
      </c>
      <c r="AQ2891" s="4">
        <v>0</v>
      </c>
      <c r="AR2891" s="3" t="s">
        <v>62</v>
      </c>
      <c r="AS2891" s="3" t="s">
        <v>62</v>
      </c>
      <c r="AT2891" s="3" t="s">
        <v>62</v>
      </c>
      <c r="AV2891" s="6" t="str">
        <f>HYPERLINK("http://mcgill.on.worldcat.org/oclc/60336442","Catalog Record")</f>
        <v>Catalog Record</v>
      </c>
      <c r="AW2891" s="6" t="str">
        <f>HYPERLINK("http://www.worldcat.org/oclc/60336442","WorldCat Record")</f>
        <v>WorldCat Record</v>
      </c>
      <c r="AX2891" s="3" t="s">
        <v>28027</v>
      </c>
      <c r="AY2891" s="3" t="s">
        <v>28028</v>
      </c>
      <c r="AZ2891" s="3" t="s">
        <v>28029</v>
      </c>
      <c r="BA2891" s="3" t="s">
        <v>28029</v>
      </c>
      <c r="BB2891" s="3" t="s">
        <v>28030</v>
      </c>
      <c r="BC2891" s="3" t="s">
        <v>28031</v>
      </c>
      <c r="BD2891" s="3" t="s">
        <v>231</v>
      </c>
      <c r="BE2891" s="3" t="s">
        <v>28032</v>
      </c>
      <c r="BF2891" s="3" t="s">
        <v>28030</v>
      </c>
      <c r="BG2891" s="3" t="s">
        <v>28033</v>
      </c>
    </row>
    <row r="2892" spans="1:59" ht="58" x14ac:dyDescent="0.35">
      <c r="A2892" s="2" t="s">
        <v>89</v>
      </c>
      <c r="B2892" s="2" t="s">
        <v>90</v>
      </c>
      <c r="C2892" s="2" t="s">
        <v>28034</v>
      </c>
      <c r="D2892" s="2" t="s">
        <v>28035</v>
      </c>
      <c r="E2892" s="2" t="s">
        <v>28036</v>
      </c>
      <c r="G2892" s="3" t="s">
        <v>62</v>
      </c>
      <c r="I2892" s="3" t="s">
        <v>62</v>
      </c>
      <c r="J2892" s="3" t="s">
        <v>61</v>
      </c>
      <c r="K2892" s="3" t="s">
        <v>63</v>
      </c>
      <c r="L2892" s="2" t="s">
        <v>28037</v>
      </c>
      <c r="M2892" s="2" t="s">
        <v>28038</v>
      </c>
      <c r="N2892" s="3" t="s">
        <v>78</v>
      </c>
      <c r="P2892" s="3" t="s">
        <v>64</v>
      </c>
      <c r="R2892" s="3" t="s">
        <v>27443</v>
      </c>
      <c r="S2892" s="4">
        <v>3</v>
      </c>
      <c r="T2892" s="4">
        <v>3</v>
      </c>
      <c r="U2892" s="5" t="s">
        <v>19365</v>
      </c>
      <c r="V2892" s="5" t="s">
        <v>19365</v>
      </c>
      <c r="W2892" s="5" t="s">
        <v>67</v>
      </c>
      <c r="X2892" s="5" t="s">
        <v>67</v>
      </c>
      <c r="Y2892" s="4">
        <v>645</v>
      </c>
      <c r="Z2892" s="4">
        <v>20</v>
      </c>
      <c r="AA2892" s="4">
        <v>58</v>
      </c>
      <c r="AB2892" s="4">
        <v>5</v>
      </c>
      <c r="AC2892" s="4">
        <v>15</v>
      </c>
      <c r="AD2892" s="4">
        <v>93</v>
      </c>
      <c r="AE2892" s="4">
        <v>132</v>
      </c>
      <c r="AF2892" s="4">
        <v>1</v>
      </c>
      <c r="AG2892" s="4">
        <v>6</v>
      </c>
      <c r="AH2892" s="4">
        <v>82</v>
      </c>
      <c r="AI2892" s="4">
        <v>105</v>
      </c>
      <c r="AJ2892" s="4">
        <v>9</v>
      </c>
      <c r="AK2892" s="4">
        <v>21</v>
      </c>
      <c r="AL2892" s="4">
        <v>54</v>
      </c>
      <c r="AM2892" s="4">
        <v>61</v>
      </c>
      <c r="AN2892" s="4">
        <v>0</v>
      </c>
      <c r="AO2892" s="4">
        <v>2</v>
      </c>
      <c r="AP2892" s="4">
        <v>12</v>
      </c>
      <c r="AQ2892" s="4">
        <v>31</v>
      </c>
      <c r="AR2892" s="3" t="s">
        <v>62</v>
      </c>
      <c r="AS2892" s="3" t="s">
        <v>62</v>
      </c>
      <c r="AT2892" s="3" t="s">
        <v>61</v>
      </c>
      <c r="AU2892" s="6" t="str">
        <f>HYPERLINK("http://catalog.hathitrust.org/Record/001477796","HathiTrust Record")</f>
        <v>HathiTrust Record</v>
      </c>
      <c r="AV2892" s="6" t="str">
        <f>HYPERLINK("http://mcgill.on.worldcat.org/oclc/394650","Catalog Record")</f>
        <v>Catalog Record</v>
      </c>
      <c r="AW2892" s="6" t="str">
        <f>HYPERLINK("http://www.worldcat.org/oclc/394650","WorldCat Record")</f>
        <v>WorldCat Record</v>
      </c>
      <c r="AX2892" s="3" t="s">
        <v>28039</v>
      </c>
      <c r="AY2892" s="3" t="s">
        <v>28040</v>
      </c>
      <c r="AZ2892" s="3" t="s">
        <v>28041</v>
      </c>
      <c r="BA2892" s="3" t="s">
        <v>28041</v>
      </c>
      <c r="BB2892" s="3" t="s">
        <v>28042</v>
      </c>
      <c r="BC2892" s="3" t="s">
        <v>102</v>
      </c>
      <c r="BD2892" s="3" t="s">
        <v>68</v>
      </c>
      <c r="BF2892" s="3" t="s">
        <v>28042</v>
      </c>
      <c r="BG2892" s="3" t="s">
        <v>28043</v>
      </c>
    </row>
    <row r="2893" spans="1:59" ht="58" x14ac:dyDescent="0.35">
      <c r="A2893" s="2" t="s">
        <v>89</v>
      </c>
      <c r="B2893" s="2" t="s">
        <v>90</v>
      </c>
      <c r="C2893" s="2" t="s">
        <v>28044</v>
      </c>
      <c r="D2893" s="2" t="s">
        <v>28045</v>
      </c>
      <c r="E2893" s="2" t="s">
        <v>28046</v>
      </c>
      <c r="G2893" s="3" t="s">
        <v>62</v>
      </c>
      <c r="I2893" s="3" t="s">
        <v>62</v>
      </c>
      <c r="J2893" s="3" t="s">
        <v>62</v>
      </c>
      <c r="K2893" s="3" t="s">
        <v>63</v>
      </c>
      <c r="L2893" s="2" t="s">
        <v>28047</v>
      </c>
      <c r="M2893" s="2" t="s">
        <v>28048</v>
      </c>
      <c r="N2893" s="3" t="s">
        <v>509</v>
      </c>
      <c r="O2893" s="2" t="s">
        <v>986</v>
      </c>
      <c r="P2893" s="3" t="s">
        <v>64</v>
      </c>
      <c r="R2893" s="3" t="s">
        <v>27443</v>
      </c>
      <c r="S2893" s="4">
        <v>16</v>
      </c>
      <c r="T2893" s="4">
        <v>16</v>
      </c>
      <c r="U2893" s="5" t="s">
        <v>11570</v>
      </c>
      <c r="V2893" s="5" t="s">
        <v>11570</v>
      </c>
      <c r="W2893" s="5" t="s">
        <v>67</v>
      </c>
      <c r="X2893" s="5" t="s">
        <v>67</v>
      </c>
      <c r="Y2893" s="4">
        <v>393</v>
      </c>
      <c r="Z2893" s="4">
        <v>11</v>
      </c>
      <c r="AA2893" s="4">
        <v>34</v>
      </c>
      <c r="AB2893" s="4">
        <v>1</v>
      </c>
      <c r="AC2893" s="4">
        <v>3</v>
      </c>
      <c r="AD2893" s="4">
        <v>67</v>
      </c>
      <c r="AE2893" s="4">
        <v>102</v>
      </c>
      <c r="AF2893" s="4">
        <v>0</v>
      </c>
      <c r="AG2893" s="4">
        <v>1</v>
      </c>
      <c r="AH2893" s="4">
        <v>61</v>
      </c>
      <c r="AI2893" s="4">
        <v>88</v>
      </c>
      <c r="AJ2893" s="4">
        <v>4</v>
      </c>
      <c r="AK2893" s="4">
        <v>15</v>
      </c>
      <c r="AL2893" s="4">
        <v>36</v>
      </c>
      <c r="AM2893" s="4">
        <v>54</v>
      </c>
      <c r="AN2893" s="4">
        <v>0</v>
      </c>
      <c r="AO2893" s="4">
        <v>0</v>
      </c>
      <c r="AP2893" s="4">
        <v>7</v>
      </c>
      <c r="AQ2893" s="4">
        <v>19</v>
      </c>
      <c r="AR2893" s="3" t="s">
        <v>62</v>
      </c>
      <c r="AS2893" s="3" t="s">
        <v>62</v>
      </c>
      <c r="AT2893" s="3" t="s">
        <v>62</v>
      </c>
      <c r="AV2893" s="6" t="str">
        <f>HYPERLINK("http://mcgill.on.worldcat.org/oclc/29702990","Catalog Record")</f>
        <v>Catalog Record</v>
      </c>
      <c r="AW2893" s="6" t="str">
        <f>HYPERLINK("http://www.worldcat.org/oclc/29702990","WorldCat Record")</f>
        <v>WorldCat Record</v>
      </c>
      <c r="AX2893" s="3" t="s">
        <v>28049</v>
      </c>
      <c r="AY2893" s="3" t="s">
        <v>28050</v>
      </c>
      <c r="AZ2893" s="3" t="s">
        <v>28051</v>
      </c>
      <c r="BA2893" s="3" t="s">
        <v>28051</v>
      </c>
      <c r="BB2893" s="3" t="s">
        <v>28052</v>
      </c>
      <c r="BC2893" s="3" t="s">
        <v>102</v>
      </c>
      <c r="BD2893" s="3" t="s">
        <v>68</v>
      </c>
      <c r="BE2893" s="3" t="s">
        <v>28053</v>
      </c>
      <c r="BF2893" s="3" t="s">
        <v>28052</v>
      </c>
      <c r="BG2893" s="3" t="s">
        <v>28054</v>
      </c>
    </row>
    <row r="2894" spans="1:59" ht="58" x14ac:dyDescent="0.35">
      <c r="A2894" s="2" t="s">
        <v>89</v>
      </c>
      <c r="B2894" s="2" t="s">
        <v>90</v>
      </c>
      <c r="C2894" s="2" t="s">
        <v>28055</v>
      </c>
      <c r="D2894" s="2" t="s">
        <v>28056</v>
      </c>
      <c r="E2894" s="2" t="s">
        <v>28057</v>
      </c>
      <c r="G2894" s="3" t="s">
        <v>62</v>
      </c>
      <c r="I2894" s="3" t="s">
        <v>61</v>
      </c>
      <c r="J2894" s="3" t="s">
        <v>62</v>
      </c>
      <c r="K2894" s="3" t="s">
        <v>63</v>
      </c>
      <c r="L2894" s="2" t="s">
        <v>28058</v>
      </c>
      <c r="M2894" s="2" t="s">
        <v>28059</v>
      </c>
      <c r="N2894" s="3" t="s">
        <v>893</v>
      </c>
      <c r="P2894" s="3" t="s">
        <v>64</v>
      </c>
      <c r="R2894" s="3" t="s">
        <v>27443</v>
      </c>
      <c r="S2894" s="4">
        <v>12</v>
      </c>
      <c r="T2894" s="4">
        <v>47</v>
      </c>
      <c r="U2894" s="5" t="s">
        <v>18783</v>
      </c>
      <c r="V2894" s="5" t="s">
        <v>4363</v>
      </c>
      <c r="W2894" s="5" t="s">
        <v>67</v>
      </c>
      <c r="X2894" s="5" t="s">
        <v>67</v>
      </c>
      <c r="Y2894" s="4">
        <v>2074</v>
      </c>
      <c r="Z2894" s="4">
        <v>51</v>
      </c>
      <c r="AA2894" s="4">
        <v>144</v>
      </c>
      <c r="AB2894" s="4">
        <v>4</v>
      </c>
      <c r="AC2894" s="4">
        <v>24</v>
      </c>
      <c r="AD2894" s="4">
        <v>137</v>
      </c>
      <c r="AE2894" s="4">
        <v>172</v>
      </c>
      <c r="AF2894" s="4">
        <v>2</v>
      </c>
      <c r="AG2894" s="4">
        <v>9</v>
      </c>
      <c r="AH2894" s="4">
        <v>110</v>
      </c>
      <c r="AI2894" s="4">
        <v>117</v>
      </c>
      <c r="AJ2894" s="4">
        <v>19</v>
      </c>
      <c r="AK2894" s="4">
        <v>29</v>
      </c>
      <c r="AL2894" s="4">
        <v>60</v>
      </c>
      <c r="AM2894" s="4">
        <v>62</v>
      </c>
      <c r="AN2894" s="4">
        <v>0</v>
      </c>
      <c r="AO2894" s="4">
        <v>0</v>
      </c>
      <c r="AP2894" s="4">
        <v>31</v>
      </c>
      <c r="AQ2894" s="4">
        <v>61</v>
      </c>
      <c r="AR2894" s="3" t="s">
        <v>62</v>
      </c>
      <c r="AS2894" s="3" t="s">
        <v>62</v>
      </c>
      <c r="AT2894" s="3" t="s">
        <v>61</v>
      </c>
      <c r="AU2894" s="6" t="str">
        <f>HYPERLINK("http://catalog.hathitrust.org/Record/000145531","HathiTrust Record")</f>
        <v>HathiTrust Record</v>
      </c>
      <c r="AV2894" s="6" t="str">
        <f>HYPERLINK("http://mcgill.on.worldcat.org/oclc/8195995","Catalog Record")</f>
        <v>Catalog Record</v>
      </c>
      <c r="AW2894" s="6" t="str">
        <f>HYPERLINK("http://www.worldcat.org/oclc/8195995","WorldCat Record")</f>
        <v>WorldCat Record</v>
      </c>
      <c r="AX2894" s="3" t="s">
        <v>28060</v>
      </c>
      <c r="AY2894" s="3" t="s">
        <v>28061</v>
      </c>
      <c r="AZ2894" s="3" t="s">
        <v>28062</v>
      </c>
      <c r="BA2894" s="3" t="s">
        <v>28062</v>
      </c>
      <c r="BB2894" s="3" t="s">
        <v>28063</v>
      </c>
      <c r="BC2894" s="3" t="s">
        <v>102</v>
      </c>
      <c r="BD2894" s="3" t="s">
        <v>68</v>
      </c>
      <c r="BE2894" s="3" t="s">
        <v>28064</v>
      </c>
      <c r="BF2894" s="3" t="s">
        <v>28063</v>
      </c>
      <c r="BG2894" s="3" t="s">
        <v>28065</v>
      </c>
    </row>
    <row r="2895" spans="1:59" ht="58" x14ac:dyDescent="0.35">
      <c r="A2895" s="2" t="s">
        <v>89</v>
      </c>
      <c r="B2895" s="2" t="s">
        <v>90</v>
      </c>
      <c r="C2895" s="2" t="s">
        <v>28066</v>
      </c>
      <c r="D2895" s="2" t="s">
        <v>28067</v>
      </c>
      <c r="E2895" s="2" t="s">
        <v>28068</v>
      </c>
      <c r="G2895" s="3" t="s">
        <v>62</v>
      </c>
      <c r="I2895" s="3" t="s">
        <v>62</v>
      </c>
      <c r="J2895" s="3" t="s">
        <v>62</v>
      </c>
      <c r="K2895" s="3" t="s">
        <v>63</v>
      </c>
      <c r="L2895" s="2" t="s">
        <v>28069</v>
      </c>
      <c r="M2895" s="2" t="s">
        <v>28070</v>
      </c>
      <c r="N2895" s="3" t="s">
        <v>726</v>
      </c>
      <c r="P2895" s="3" t="s">
        <v>64</v>
      </c>
      <c r="Q2895" s="2" t="s">
        <v>28071</v>
      </c>
      <c r="R2895" s="3" t="s">
        <v>27443</v>
      </c>
      <c r="S2895" s="4">
        <v>0</v>
      </c>
      <c r="T2895" s="4">
        <v>0</v>
      </c>
      <c r="W2895" s="5" t="s">
        <v>67</v>
      </c>
      <c r="X2895" s="5" t="s">
        <v>67</v>
      </c>
      <c r="Y2895" s="4">
        <v>56</v>
      </c>
      <c r="Z2895" s="4">
        <v>4</v>
      </c>
      <c r="AA2895" s="4">
        <v>12</v>
      </c>
      <c r="AB2895" s="4">
        <v>1</v>
      </c>
      <c r="AC2895" s="4">
        <v>6</v>
      </c>
      <c r="AD2895" s="4">
        <v>24</v>
      </c>
      <c r="AE2895" s="4">
        <v>39</v>
      </c>
      <c r="AF2895" s="4">
        <v>0</v>
      </c>
      <c r="AG2895" s="4">
        <v>2</v>
      </c>
      <c r="AH2895" s="4">
        <v>22</v>
      </c>
      <c r="AI2895" s="4">
        <v>34</v>
      </c>
      <c r="AJ2895" s="4">
        <v>1</v>
      </c>
      <c r="AK2895" s="4">
        <v>5</v>
      </c>
      <c r="AL2895" s="4">
        <v>17</v>
      </c>
      <c r="AM2895" s="4">
        <v>22</v>
      </c>
      <c r="AN2895" s="4">
        <v>0</v>
      </c>
      <c r="AO2895" s="4">
        <v>0</v>
      </c>
      <c r="AP2895" s="4">
        <v>3</v>
      </c>
      <c r="AQ2895" s="4">
        <v>8</v>
      </c>
      <c r="AR2895" s="3" t="s">
        <v>62</v>
      </c>
      <c r="AS2895" s="3" t="s">
        <v>62</v>
      </c>
      <c r="AT2895" s="3" t="s">
        <v>62</v>
      </c>
      <c r="AV2895" s="6" t="str">
        <f>HYPERLINK("http://mcgill.on.worldcat.org/oclc/897502685","Catalog Record")</f>
        <v>Catalog Record</v>
      </c>
      <c r="AW2895" s="6" t="str">
        <f>HYPERLINK("http://www.worldcat.org/oclc/897502685","WorldCat Record")</f>
        <v>WorldCat Record</v>
      </c>
      <c r="AX2895" s="3" t="s">
        <v>28072</v>
      </c>
      <c r="AY2895" s="3" t="s">
        <v>28073</v>
      </c>
      <c r="AZ2895" s="3" t="s">
        <v>28074</v>
      </c>
      <c r="BA2895" s="3" t="s">
        <v>28074</v>
      </c>
      <c r="BB2895" s="3" t="s">
        <v>28075</v>
      </c>
      <c r="BC2895" s="3" t="s">
        <v>102</v>
      </c>
      <c r="BD2895" s="3" t="s">
        <v>68</v>
      </c>
      <c r="BE2895" s="3" t="s">
        <v>28076</v>
      </c>
      <c r="BF2895" s="3" t="s">
        <v>28075</v>
      </c>
      <c r="BG2895" s="3" t="s">
        <v>28077</v>
      </c>
    </row>
    <row r="2896" spans="1:59" ht="58" x14ac:dyDescent="0.35">
      <c r="A2896" s="2" t="s">
        <v>89</v>
      </c>
      <c r="B2896" s="2" t="s">
        <v>90</v>
      </c>
      <c r="C2896" s="2" t="s">
        <v>28078</v>
      </c>
      <c r="D2896" s="2" t="s">
        <v>28079</v>
      </c>
      <c r="E2896" s="2" t="s">
        <v>28080</v>
      </c>
      <c r="G2896" s="3" t="s">
        <v>62</v>
      </c>
      <c r="I2896" s="3" t="s">
        <v>62</v>
      </c>
      <c r="J2896" s="3" t="s">
        <v>62</v>
      </c>
      <c r="K2896" s="3" t="s">
        <v>63</v>
      </c>
      <c r="L2896" s="2" t="s">
        <v>5083</v>
      </c>
      <c r="M2896" s="2" t="s">
        <v>28081</v>
      </c>
      <c r="N2896" s="3" t="s">
        <v>1077</v>
      </c>
      <c r="P2896" s="3" t="s">
        <v>64</v>
      </c>
      <c r="R2896" s="3" t="s">
        <v>27443</v>
      </c>
      <c r="S2896" s="4">
        <v>18</v>
      </c>
      <c r="T2896" s="4">
        <v>18</v>
      </c>
      <c r="U2896" s="5" t="s">
        <v>28082</v>
      </c>
      <c r="V2896" s="5" t="s">
        <v>28082</v>
      </c>
      <c r="W2896" s="5" t="s">
        <v>67</v>
      </c>
      <c r="X2896" s="5" t="s">
        <v>67</v>
      </c>
      <c r="Y2896" s="4">
        <v>155</v>
      </c>
      <c r="Z2896" s="4">
        <v>20</v>
      </c>
      <c r="AA2896" s="4">
        <v>42</v>
      </c>
      <c r="AB2896" s="4">
        <v>1</v>
      </c>
      <c r="AC2896" s="4">
        <v>2</v>
      </c>
      <c r="AD2896" s="4">
        <v>8</v>
      </c>
      <c r="AE2896" s="4">
        <v>80</v>
      </c>
      <c r="AF2896" s="4">
        <v>0</v>
      </c>
      <c r="AG2896" s="4">
        <v>0</v>
      </c>
      <c r="AH2896" s="4">
        <v>5</v>
      </c>
      <c r="AI2896" s="4">
        <v>70</v>
      </c>
      <c r="AJ2896" s="4">
        <v>2</v>
      </c>
      <c r="AK2896" s="4">
        <v>10</v>
      </c>
      <c r="AL2896" s="4">
        <v>4</v>
      </c>
      <c r="AM2896" s="4">
        <v>40</v>
      </c>
      <c r="AN2896" s="4">
        <v>0</v>
      </c>
      <c r="AO2896" s="4">
        <v>0</v>
      </c>
      <c r="AP2896" s="4">
        <v>3</v>
      </c>
      <c r="AQ2896" s="4">
        <v>13</v>
      </c>
      <c r="AR2896" s="3" t="s">
        <v>62</v>
      </c>
      <c r="AS2896" s="3" t="s">
        <v>62</v>
      </c>
      <c r="AT2896" s="3" t="s">
        <v>62</v>
      </c>
      <c r="AV2896" s="6" t="str">
        <f>HYPERLINK("http://mcgill.on.worldcat.org/oclc/31754938","Catalog Record")</f>
        <v>Catalog Record</v>
      </c>
      <c r="AW2896" s="6" t="str">
        <f>HYPERLINK("http://www.worldcat.org/oclc/31754938","WorldCat Record")</f>
        <v>WorldCat Record</v>
      </c>
      <c r="AX2896" s="3" t="s">
        <v>28083</v>
      </c>
      <c r="AY2896" s="3" t="s">
        <v>28084</v>
      </c>
      <c r="AZ2896" s="3" t="s">
        <v>28085</v>
      </c>
      <c r="BA2896" s="3" t="s">
        <v>28085</v>
      </c>
      <c r="BB2896" s="3" t="s">
        <v>28086</v>
      </c>
      <c r="BC2896" s="3" t="s">
        <v>102</v>
      </c>
      <c r="BD2896" s="3" t="s">
        <v>68</v>
      </c>
      <c r="BE2896" s="3" t="s">
        <v>28087</v>
      </c>
      <c r="BF2896" s="3" t="s">
        <v>28086</v>
      </c>
      <c r="BG2896" s="3" t="s">
        <v>28088</v>
      </c>
    </row>
    <row r="2897" spans="1:59" ht="58" x14ac:dyDescent="0.35">
      <c r="A2897" s="2" t="s">
        <v>89</v>
      </c>
      <c r="B2897" s="2" t="s">
        <v>90</v>
      </c>
      <c r="C2897" s="2" t="s">
        <v>28089</v>
      </c>
      <c r="D2897" s="2" t="s">
        <v>28090</v>
      </c>
      <c r="E2897" s="2" t="s">
        <v>28091</v>
      </c>
      <c r="G2897" s="3" t="s">
        <v>62</v>
      </c>
      <c r="I2897" s="3" t="s">
        <v>62</v>
      </c>
      <c r="J2897" s="3" t="s">
        <v>62</v>
      </c>
      <c r="K2897" s="3" t="s">
        <v>63</v>
      </c>
      <c r="L2897" s="2" t="s">
        <v>28092</v>
      </c>
      <c r="M2897" s="2" t="s">
        <v>28093</v>
      </c>
      <c r="N2897" s="3" t="s">
        <v>625</v>
      </c>
      <c r="P2897" s="3" t="s">
        <v>64</v>
      </c>
      <c r="R2897" s="3" t="s">
        <v>27443</v>
      </c>
      <c r="S2897" s="4">
        <v>2</v>
      </c>
      <c r="T2897" s="4">
        <v>2</v>
      </c>
      <c r="U2897" s="5" t="s">
        <v>9163</v>
      </c>
      <c r="V2897" s="5" t="s">
        <v>9163</v>
      </c>
      <c r="W2897" s="5" t="s">
        <v>67</v>
      </c>
      <c r="X2897" s="5" t="s">
        <v>67</v>
      </c>
      <c r="Y2897" s="4">
        <v>426</v>
      </c>
      <c r="Z2897" s="4">
        <v>19</v>
      </c>
      <c r="AA2897" s="4">
        <v>19</v>
      </c>
      <c r="AB2897" s="4">
        <v>1</v>
      </c>
      <c r="AC2897" s="4">
        <v>1</v>
      </c>
      <c r="AD2897" s="4">
        <v>95</v>
      </c>
      <c r="AE2897" s="4">
        <v>95</v>
      </c>
      <c r="AF2897" s="4">
        <v>0</v>
      </c>
      <c r="AG2897" s="4">
        <v>0</v>
      </c>
      <c r="AH2897" s="4">
        <v>84</v>
      </c>
      <c r="AI2897" s="4">
        <v>84</v>
      </c>
      <c r="AJ2897" s="4">
        <v>7</v>
      </c>
      <c r="AK2897" s="4">
        <v>7</v>
      </c>
      <c r="AL2897" s="4">
        <v>52</v>
      </c>
      <c r="AM2897" s="4">
        <v>52</v>
      </c>
      <c r="AN2897" s="4">
        <v>0</v>
      </c>
      <c r="AO2897" s="4">
        <v>0</v>
      </c>
      <c r="AP2897" s="4">
        <v>12</v>
      </c>
      <c r="AQ2897" s="4">
        <v>12</v>
      </c>
      <c r="AR2897" s="3" t="s">
        <v>62</v>
      </c>
      <c r="AS2897" s="3" t="s">
        <v>62</v>
      </c>
      <c r="AT2897" s="3" t="s">
        <v>62</v>
      </c>
      <c r="AV2897" s="6" t="str">
        <f>HYPERLINK("http://mcgill.on.worldcat.org/oclc/52302206","Catalog Record")</f>
        <v>Catalog Record</v>
      </c>
      <c r="AW2897" s="6" t="str">
        <f>HYPERLINK("http://www.worldcat.org/oclc/52302206","WorldCat Record")</f>
        <v>WorldCat Record</v>
      </c>
      <c r="AX2897" s="3" t="s">
        <v>28094</v>
      </c>
      <c r="AY2897" s="3" t="s">
        <v>28095</v>
      </c>
      <c r="AZ2897" s="3" t="s">
        <v>28096</v>
      </c>
      <c r="BA2897" s="3" t="s">
        <v>28096</v>
      </c>
      <c r="BB2897" s="3" t="s">
        <v>28097</v>
      </c>
      <c r="BC2897" s="3" t="s">
        <v>102</v>
      </c>
      <c r="BD2897" s="3" t="s">
        <v>68</v>
      </c>
      <c r="BE2897" s="3" t="s">
        <v>28098</v>
      </c>
      <c r="BF2897" s="3" t="s">
        <v>28097</v>
      </c>
      <c r="BG2897" s="3" t="s">
        <v>28099</v>
      </c>
    </row>
    <row r="2898" spans="1:59" ht="58" x14ac:dyDescent="0.35">
      <c r="A2898" s="2" t="s">
        <v>89</v>
      </c>
      <c r="B2898" s="2" t="s">
        <v>90</v>
      </c>
      <c r="C2898" s="2" t="s">
        <v>28100</v>
      </c>
      <c r="D2898" s="2" t="s">
        <v>28101</v>
      </c>
      <c r="E2898" s="2" t="s">
        <v>28102</v>
      </c>
      <c r="G2898" s="3" t="s">
        <v>62</v>
      </c>
      <c r="I2898" s="3" t="s">
        <v>62</v>
      </c>
      <c r="J2898" s="3" t="s">
        <v>62</v>
      </c>
      <c r="K2898" s="3" t="s">
        <v>63</v>
      </c>
      <c r="M2898" s="2" t="s">
        <v>28103</v>
      </c>
      <c r="N2898" s="3" t="s">
        <v>396</v>
      </c>
      <c r="P2898" s="3" t="s">
        <v>64</v>
      </c>
      <c r="R2898" s="3" t="s">
        <v>27443</v>
      </c>
      <c r="S2898" s="4">
        <v>9</v>
      </c>
      <c r="T2898" s="4">
        <v>9</v>
      </c>
      <c r="U2898" s="5" t="s">
        <v>2015</v>
      </c>
      <c r="V2898" s="5" t="s">
        <v>2015</v>
      </c>
      <c r="W2898" s="5" t="s">
        <v>67</v>
      </c>
      <c r="X2898" s="5" t="s">
        <v>67</v>
      </c>
      <c r="Y2898" s="4">
        <v>273</v>
      </c>
      <c r="Z2898" s="4">
        <v>18</v>
      </c>
      <c r="AA2898" s="4">
        <v>24</v>
      </c>
      <c r="AB2898" s="4">
        <v>1</v>
      </c>
      <c r="AC2898" s="4">
        <v>3</v>
      </c>
      <c r="AD2898" s="4">
        <v>88</v>
      </c>
      <c r="AE2898" s="4">
        <v>110</v>
      </c>
      <c r="AF2898" s="4">
        <v>0</v>
      </c>
      <c r="AG2898" s="4">
        <v>1</v>
      </c>
      <c r="AH2898" s="4">
        <v>79</v>
      </c>
      <c r="AI2898" s="4">
        <v>97</v>
      </c>
      <c r="AJ2898" s="4">
        <v>12</v>
      </c>
      <c r="AK2898" s="4">
        <v>15</v>
      </c>
      <c r="AL2898" s="4">
        <v>48</v>
      </c>
      <c r="AM2898" s="4">
        <v>56</v>
      </c>
      <c r="AN2898" s="4">
        <v>0</v>
      </c>
      <c r="AO2898" s="4">
        <v>0</v>
      </c>
      <c r="AP2898" s="4">
        <v>15</v>
      </c>
      <c r="AQ2898" s="4">
        <v>20</v>
      </c>
      <c r="AR2898" s="3" t="s">
        <v>62</v>
      </c>
      <c r="AS2898" s="3" t="s">
        <v>62</v>
      </c>
      <c r="AT2898" s="3" t="s">
        <v>61</v>
      </c>
      <c r="AU2898" s="6" t="str">
        <f>HYPERLINK("http://catalog.hathitrust.org/Record/008952220","HathiTrust Record")</f>
        <v>HathiTrust Record</v>
      </c>
      <c r="AV2898" s="6" t="str">
        <f>HYPERLINK("http://mcgill.on.worldcat.org/oclc/12665548","Catalog Record")</f>
        <v>Catalog Record</v>
      </c>
      <c r="AW2898" s="6" t="str">
        <f>HYPERLINK("http://www.worldcat.org/oclc/12665548","WorldCat Record")</f>
        <v>WorldCat Record</v>
      </c>
      <c r="AX2898" s="3" t="s">
        <v>28104</v>
      </c>
      <c r="AY2898" s="3" t="s">
        <v>28105</v>
      </c>
      <c r="AZ2898" s="3" t="s">
        <v>28106</v>
      </c>
      <c r="BA2898" s="3" t="s">
        <v>28106</v>
      </c>
      <c r="BB2898" s="3" t="s">
        <v>28107</v>
      </c>
      <c r="BC2898" s="3" t="s">
        <v>102</v>
      </c>
      <c r="BD2898" s="3" t="s">
        <v>231</v>
      </c>
      <c r="BE2898" s="3" t="s">
        <v>28108</v>
      </c>
      <c r="BF2898" s="3" t="s">
        <v>28107</v>
      </c>
      <c r="BG2898" s="3" t="s">
        <v>28109</v>
      </c>
    </row>
    <row r="2899" spans="1:59" ht="58" x14ac:dyDescent="0.35">
      <c r="A2899" s="2" t="s">
        <v>89</v>
      </c>
      <c r="B2899" s="2" t="s">
        <v>6124</v>
      </c>
      <c r="C2899" s="2" t="s">
        <v>28110</v>
      </c>
      <c r="D2899" s="2" t="s">
        <v>28111</v>
      </c>
      <c r="E2899" s="2" t="s">
        <v>28112</v>
      </c>
      <c r="F2899" s="3" t="s">
        <v>28113</v>
      </c>
      <c r="G2899" s="3" t="s">
        <v>61</v>
      </c>
      <c r="I2899" s="3" t="s">
        <v>62</v>
      </c>
      <c r="J2899" s="3" t="s">
        <v>62</v>
      </c>
      <c r="K2899" s="3" t="s">
        <v>63</v>
      </c>
      <c r="L2899" s="2" t="s">
        <v>28114</v>
      </c>
      <c r="M2899" s="2" t="s">
        <v>28115</v>
      </c>
      <c r="N2899" s="3" t="s">
        <v>1195</v>
      </c>
      <c r="O2899" s="2" t="s">
        <v>2163</v>
      </c>
      <c r="P2899" s="3" t="s">
        <v>64</v>
      </c>
      <c r="R2899" s="3" t="s">
        <v>27443</v>
      </c>
      <c r="S2899" s="4">
        <v>15</v>
      </c>
      <c r="T2899" s="4">
        <v>58</v>
      </c>
      <c r="U2899" s="5" t="s">
        <v>28116</v>
      </c>
      <c r="V2899" s="5" t="s">
        <v>28117</v>
      </c>
      <c r="W2899" s="5" t="s">
        <v>67</v>
      </c>
      <c r="X2899" s="5" t="s">
        <v>67</v>
      </c>
      <c r="Y2899" s="4">
        <v>814</v>
      </c>
      <c r="Z2899" s="4">
        <v>23</v>
      </c>
      <c r="AA2899" s="4">
        <v>29</v>
      </c>
      <c r="AB2899" s="4">
        <v>1</v>
      </c>
      <c r="AC2899" s="4">
        <v>2</v>
      </c>
      <c r="AD2899" s="4">
        <v>73</v>
      </c>
      <c r="AE2899" s="4">
        <v>80</v>
      </c>
      <c r="AF2899" s="4">
        <v>0</v>
      </c>
      <c r="AG2899" s="4">
        <v>0</v>
      </c>
      <c r="AH2899" s="4">
        <v>63</v>
      </c>
      <c r="AI2899" s="4">
        <v>66</v>
      </c>
      <c r="AJ2899" s="4">
        <v>7</v>
      </c>
      <c r="AK2899" s="4">
        <v>9</v>
      </c>
      <c r="AL2899" s="4">
        <v>41</v>
      </c>
      <c r="AM2899" s="4">
        <v>41</v>
      </c>
      <c r="AN2899" s="4">
        <v>0</v>
      </c>
      <c r="AO2899" s="4">
        <v>0</v>
      </c>
      <c r="AP2899" s="4">
        <v>12</v>
      </c>
      <c r="AQ2899" s="4">
        <v>17</v>
      </c>
      <c r="AR2899" s="3" t="s">
        <v>62</v>
      </c>
      <c r="AS2899" s="3" t="s">
        <v>62</v>
      </c>
      <c r="AT2899" s="3" t="s">
        <v>62</v>
      </c>
      <c r="AV2899" s="6" t="str">
        <f>HYPERLINK("http://mcgill.on.worldcat.org/oclc/60798482","Catalog Record")</f>
        <v>Catalog Record</v>
      </c>
      <c r="AW2899" s="6" t="str">
        <f>HYPERLINK("http://www.worldcat.org/oclc/60798482","WorldCat Record")</f>
        <v>WorldCat Record</v>
      </c>
      <c r="AX2899" s="3" t="s">
        <v>28118</v>
      </c>
      <c r="AY2899" s="3" t="s">
        <v>28119</v>
      </c>
      <c r="AZ2899" s="3" t="s">
        <v>28120</v>
      </c>
      <c r="BA2899" s="3" t="s">
        <v>28120</v>
      </c>
      <c r="BB2899" s="3" t="s">
        <v>28121</v>
      </c>
      <c r="BC2899" s="3" t="s">
        <v>102</v>
      </c>
      <c r="BD2899" s="3" t="s">
        <v>68</v>
      </c>
      <c r="BE2899" s="3" t="s">
        <v>28122</v>
      </c>
      <c r="BF2899" s="3" t="s">
        <v>28121</v>
      </c>
      <c r="BG2899" s="3" t="s">
        <v>28123</v>
      </c>
    </row>
    <row r="2900" spans="1:59" ht="58" x14ac:dyDescent="0.35">
      <c r="A2900" s="2" t="s">
        <v>89</v>
      </c>
      <c r="B2900" s="2" t="s">
        <v>6124</v>
      </c>
      <c r="C2900" s="2" t="s">
        <v>28110</v>
      </c>
      <c r="D2900" s="2" t="s">
        <v>28111</v>
      </c>
      <c r="E2900" s="2" t="s">
        <v>28112</v>
      </c>
      <c r="F2900" s="3" t="s">
        <v>14825</v>
      </c>
      <c r="G2900" s="3" t="s">
        <v>61</v>
      </c>
      <c r="I2900" s="3" t="s">
        <v>62</v>
      </c>
      <c r="J2900" s="3" t="s">
        <v>62</v>
      </c>
      <c r="K2900" s="3" t="s">
        <v>63</v>
      </c>
      <c r="L2900" s="2" t="s">
        <v>28114</v>
      </c>
      <c r="M2900" s="2" t="s">
        <v>28115</v>
      </c>
      <c r="N2900" s="3" t="s">
        <v>1195</v>
      </c>
      <c r="O2900" s="2" t="s">
        <v>2163</v>
      </c>
      <c r="P2900" s="3" t="s">
        <v>64</v>
      </c>
      <c r="R2900" s="3" t="s">
        <v>27443</v>
      </c>
      <c r="S2900" s="4">
        <v>43</v>
      </c>
      <c r="T2900" s="4">
        <v>58</v>
      </c>
      <c r="U2900" s="5" t="s">
        <v>28117</v>
      </c>
      <c r="V2900" s="5" t="s">
        <v>28117</v>
      </c>
      <c r="W2900" s="5" t="s">
        <v>67</v>
      </c>
      <c r="X2900" s="5" t="s">
        <v>67</v>
      </c>
      <c r="Y2900" s="4">
        <v>814</v>
      </c>
      <c r="Z2900" s="4">
        <v>23</v>
      </c>
      <c r="AA2900" s="4">
        <v>29</v>
      </c>
      <c r="AB2900" s="4">
        <v>1</v>
      </c>
      <c r="AC2900" s="4">
        <v>2</v>
      </c>
      <c r="AD2900" s="4">
        <v>73</v>
      </c>
      <c r="AE2900" s="4">
        <v>80</v>
      </c>
      <c r="AF2900" s="4">
        <v>0</v>
      </c>
      <c r="AG2900" s="4">
        <v>0</v>
      </c>
      <c r="AH2900" s="4">
        <v>63</v>
      </c>
      <c r="AI2900" s="4">
        <v>66</v>
      </c>
      <c r="AJ2900" s="4">
        <v>7</v>
      </c>
      <c r="AK2900" s="4">
        <v>9</v>
      </c>
      <c r="AL2900" s="4">
        <v>41</v>
      </c>
      <c r="AM2900" s="4">
        <v>41</v>
      </c>
      <c r="AN2900" s="4">
        <v>0</v>
      </c>
      <c r="AO2900" s="4">
        <v>0</v>
      </c>
      <c r="AP2900" s="4">
        <v>12</v>
      </c>
      <c r="AQ2900" s="4">
        <v>17</v>
      </c>
      <c r="AR2900" s="3" t="s">
        <v>62</v>
      </c>
      <c r="AS2900" s="3" t="s">
        <v>62</v>
      </c>
      <c r="AT2900" s="3" t="s">
        <v>62</v>
      </c>
      <c r="AV2900" s="6" t="str">
        <f>HYPERLINK("http://mcgill.on.worldcat.org/oclc/60798482","Catalog Record")</f>
        <v>Catalog Record</v>
      </c>
      <c r="AW2900" s="6" t="str">
        <f>HYPERLINK("http://www.worldcat.org/oclc/60798482","WorldCat Record")</f>
        <v>WorldCat Record</v>
      </c>
      <c r="AX2900" s="3" t="s">
        <v>28118</v>
      </c>
      <c r="AY2900" s="3" t="s">
        <v>28119</v>
      </c>
      <c r="AZ2900" s="3" t="s">
        <v>28120</v>
      </c>
      <c r="BA2900" s="3" t="s">
        <v>28120</v>
      </c>
      <c r="BB2900" s="3" t="s">
        <v>28124</v>
      </c>
      <c r="BC2900" s="3" t="s">
        <v>102</v>
      </c>
      <c r="BD2900" s="3" t="s">
        <v>231</v>
      </c>
      <c r="BE2900" s="3" t="s">
        <v>28122</v>
      </c>
      <c r="BF2900" s="3" t="s">
        <v>28124</v>
      </c>
      <c r="BG2900" s="3" t="s">
        <v>28125</v>
      </c>
    </row>
    <row r="2901" spans="1:59" ht="58" x14ac:dyDescent="0.35">
      <c r="A2901" s="2" t="s">
        <v>89</v>
      </c>
      <c r="B2901" s="2" t="s">
        <v>90</v>
      </c>
      <c r="C2901" s="2" t="s">
        <v>28126</v>
      </c>
      <c r="D2901" s="2" t="s">
        <v>28127</v>
      </c>
      <c r="E2901" s="2" t="s">
        <v>28128</v>
      </c>
      <c r="G2901" s="3" t="s">
        <v>62</v>
      </c>
      <c r="I2901" s="3" t="s">
        <v>61</v>
      </c>
      <c r="J2901" s="3" t="s">
        <v>62</v>
      </c>
      <c r="K2901" s="3" t="s">
        <v>63</v>
      </c>
      <c r="L2901" s="2" t="s">
        <v>28114</v>
      </c>
      <c r="M2901" s="2" t="s">
        <v>28129</v>
      </c>
      <c r="N2901" s="3" t="s">
        <v>481</v>
      </c>
      <c r="O2901" s="2" t="s">
        <v>20631</v>
      </c>
      <c r="P2901" s="3" t="s">
        <v>64</v>
      </c>
      <c r="R2901" s="3" t="s">
        <v>27443</v>
      </c>
      <c r="S2901" s="4">
        <v>79</v>
      </c>
      <c r="T2901" s="4">
        <v>211</v>
      </c>
      <c r="U2901" s="5" t="s">
        <v>28130</v>
      </c>
      <c r="V2901" s="5" t="s">
        <v>28130</v>
      </c>
      <c r="W2901" s="5" t="s">
        <v>67</v>
      </c>
      <c r="X2901" s="5" t="s">
        <v>67</v>
      </c>
      <c r="Y2901" s="4">
        <v>648</v>
      </c>
      <c r="Z2901" s="4">
        <v>27</v>
      </c>
      <c r="AA2901" s="4">
        <v>85</v>
      </c>
      <c r="AB2901" s="4">
        <v>3</v>
      </c>
      <c r="AC2901" s="4">
        <v>10</v>
      </c>
      <c r="AD2901" s="4">
        <v>50</v>
      </c>
      <c r="AE2901" s="4">
        <v>155</v>
      </c>
      <c r="AF2901" s="4">
        <v>0</v>
      </c>
      <c r="AG2901" s="4">
        <v>5</v>
      </c>
      <c r="AH2901" s="4">
        <v>37</v>
      </c>
      <c r="AI2901" s="4">
        <v>117</v>
      </c>
      <c r="AJ2901" s="4">
        <v>4</v>
      </c>
      <c r="AK2901" s="4">
        <v>26</v>
      </c>
      <c r="AL2901" s="4">
        <v>25</v>
      </c>
      <c r="AM2901" s="4">
        <v>61</v>
      </c>
      <c r="AN2901" s="4">
        <v>0</v>
      </c>
      <c r="AO2901" s="4">
        <v>0</v>
      </c>
      <c r="AP2901" s="4">
        <v>12</v>
      </c>
      <c r="AQ2901" s="4">
        <v>45</v>
      </c>
      <c r="AR2901" s="3" t="s">
        <v>62</v>
      </c>
      <c r="AS2901" s="3" t="s">
        <v>62</v>
      </c>
      <c r="AT2901" s="3" t="s">
        <v>62</v>
      </c>
      <c r="AV2901" s="6" t="str">
        <f>HYPERLINK("http://mcgill.on.worldcat.org/oclc/37123233","Catalog Record")</f>
        <v>Catalog Record</v>
      </c>
      <c r="AW2901" s="6" t="str">
        <f>HYPERLINK("http://www.worldcat.org/oclc/37123233","WorldCat Record")</f>
        <v>WorldCat Record</v>
      </c>
      <c r="AX2901" s="3" t="s">
        <v>28131</v>
      </c>
      <c r="AY2901" s="3" t="s">
        <v>28132</v>
      </c>
      <c r="AZ2901" s="3" t="s">
        <v>28133</v>
      </c>
      <c r="BA2901" s="3" t="s">
        <v>28133</v>
      </c>
      <c r="BB2901" s="3" t="s">
        <v>28134</v>
      </c>
      <c r="BC2901" s="3" t="s">
        <v>102</v>
      </c>
      <c r="BD2901" s="3" t="s">
        <v>231</v>
      </c>
      <c r="BE2901" s="3" t="s">
        <v>28135</v>
      </c>
      <c r="BF2901" s="3" t="s">
        <v>28134</v>
      </c>
      <c r="BG2901" s="3" t="s">
        <v>28136</v>
      </c>
    </row>
    <row r="2902" spans="1:59" ht="58" x14ac:dyDescent="0.35">
      <c r="A2902" s="2" t="s">
        <v>89</v>
      </c>
      <c r="B2902" s="2" t="s">
        <v>90</v>
      </c>
      <c r="C2902" s="2" t="s">
        <v>28137</v>
      </c>
      <c r="D2902" s="2" t="s">
        <v>28138</v>
      </c>
      <c r="E2902" s="2" t="s">
        <v>28139</v>
      </c>
      <c r="G2902" s="3" t="s">
        <v>62</v>
      </c>
      <c r="I2902" s="3" t="s">
        <v>61</v>
      </c>
      <c r="J2902" s="3" t="s">
        <v>62</v>
      </c>
      <c r="K2902" s="3" t="s">
        <v>63</v>
      </c>
      <c r="L2902" s="2" t="s">
        <v>28140</v>
      </c>
      <c r="M2902" s="2" t="s">
        <v>28141</v>
      </c>
      <c r="N2902" s="3" t="s">
        <v>2110</v>
      </c>
      <c r="P2902" s="3" t="s">
        <v>64</v>
      </c>
      <c r="R2902" s="3" t="s">
        <v>27443</v>
      </c>
      <c r="S2902" s="4">
        <v>5</v>
      </c>
      <c r="T2902" s="4">
        <v>6</v>
      </c>
      <c r="U2902" s="5" t="s">
        <v>28142</v>
      </c>
      <c r="V2902" s="5" t="s">
        <v>28143</v>
      </c>
      <c r="W2902" s="5" t="s">
        <v>67</v>
      </c>
      <c r="X2902" s="5" t="s">
        <v>67</v>
      </c>
      <c r="Y2902" s="4">
        <v>271</v>
      </c>
      <c r="Z2902" s="4">
        <v>44</v>
      </c>
      <c r="AA2902" s="4">
        <v>74</v>
      </c>
      <c r="AB2902" s="4">
        <v>2</v>
      </c>
      <c r="AC2902" s="4">
        <v>11</v>
      </c>
      <c r="AD2902" s="4">
        <v>110</v>
      </c>
      <c r="AE2902" s="4">
        <v>123</v>
      </c>
      <c r="AF2902" s="4">
        <v>1</v>
      </c>
      <c r="AG2902" s="4">
        <v>5</v>
      </c>
      <c r="AH2902" s="4">
        <v>84</v>
      </c>
      <c r="AI2902" s="4">
        <v>86</v>
      </c>
      <c r="AJ2902" s="4">
        <v>25</v>
      </c>
      <c r="AK2902" s="4">
        <v>29</v>
      </c>
      <c r="AL2902" s="4">
        <v>44</v>
      </c>
      <c r="AM2902" s="4">
        <v>45</v>
      </c>
      <c r="AN2902" s="4">
        <v>0</v>
      </c>
      <c r="AO2902" s="4">
        <v>0</v>
      </c>
      <c r="AP2902" s="4">
        <v>33</v>
      </c>
      <c r="AQ2902" s="4">
        <v>44</v>
      </c>
      <c r="AR2902" s="3" t="s">
        <v>61</v>
      </c>
      <c r="AS2902" s="3" t="s">
        <v>62</v>
      </c>
      <c r="AT2902" s="3" t="s">
        <v>62</v>
      </c>
      <c r="AV2902" s="6" t="str">
        <f>HYPERLINK("http://mcgill.on.worldcat.org/oclc/4275589","Catalog Record")</f>
        <v>Catalog Record</v>
      </c>
      <c r="AW2902" s="6" t="str">
        <f>HYPERLINK("http://www.worldcat.org/oclc/4275589","WorldCat Record")</f>
        <v>WorldCat Record</v>
      </c>
      <c r="AX2902" s="3" t="s">
        <v>28144</v>
      </c>
      <c r="AY2902" s="3" t="s">
        <v>28145</v>
      </c>
      <c r="AZ2902" s="3" t="s">
        <v>28146</v>
      </c>
      <c r="BA2902" s="3" t="s">
        <v>28146</v>
      </c>
      <c r="BB2902" s="3" t="s">
        <v>28147</v>
      </c>
      <c r="BC2902" s="3" t="s">
        <v>102</v>
      </c>
      <c r="BD2902" s="3" t="s">
        <v>68</v>
      </c>
      <c r="BE2902" s="3" t="s">
        <v>28148</v>
      </c>
      <c r="BF2902" s="3" t="s">
        <v>28147</v>
      </c>
      <c r="BG2902" s="3" t="s">
        <v>28149</v>
      </c>
    </row>
    <row r="2903" spans="1:59" ht="58" x14ac:dyDescent="0.35">
      <c r="A2903" s="2" t="s">
        <v>89</v>
      </c>
      <c r="B2903" s="2" t="s">
        <v>90</v>
      </c>
      <c r="C2903" s="2" t="s">
        <v>28150</v>
      </c>
      <c r="D2903" s="2" t="s">
        <v>28151</v>
      </c>
      <c r="E2903" s="2" t="s">
        <v>28152</v>
      </c>
      <c r="G2903" s="3" t="s">
        <v>62</v>
      </c>
      <c r="I2903" s="3" t="s">
        <v>62</v>
      </c>
      <c r="J2903" s="3" t="s">
        <v>61</v>
      </c>
      <c r="K2903" s="3" t="s">
        <v>63</v>
      </c>
      <c r="L2903" s="2" t="s">
        <v>28153</v>
      </c>
      <c r="M2903" s="2" t="s">
        <v>28154</v>
      </c>
      <c r="N2903" s="3" t="s">
        <v>2924</v>
      </c>
      <c r="P2903" s="3" t="s">
        <v>64</v>
      </c>
      <c r="R2903" s="3" t="s">
        <v>27443</v>
      </c>
      <c r="S2903" s="4">
        <v>2</v>
      </c>
      <c r="T2903" s="4">
        <v>2</v>
      </c>
      <c r="U2903" s="5" t="s">
        <v>9608</v>
      </c>
      <c r="V2903" s="5" t="s">
        <v>9608</v>
      </c>
      <c r="W2903" s="5" t="s">
        <v>67</v>
      </c>
      <c r="X2903" s="5" t="s">
        <v>67</v>
      </c>
      <c r="Y2903" s="4">
        <v>434</v>
      </c>
      <c r="Z2903" s="4">
        <v>11</v>
      </c>
      <c r="AA2903" s="4">
        <v>16</v>
      </c>
      <c r="AB2903" s="4">
        <v>1</v>
      </c>
      <c r="AC2903" s="4">
        <v>1</v>
      </c>
      <c r="AD2903" s="4">
        <v>75</v>
      </c>
      <c r="AE2903" s="4">
        <v>81</v>
      </c>
      <c r="AF2903" s="4">
        <v>0</v>
      </c>
      <c r="AG2903" s="4">
        <v>0</v>
      </c>
      <c r="AH2903" s="4">
        <v>67</v>
      </c>
      <c r="AI2903" s="4">
        <v>72</v>
      </c>
      <c r="AJ2903" s="4">
        <v>6</v>
      </c>
      <c r="AK2903" s="4">
        <v>8</v>
      </c>
      <c r="AL2903" s="4">
        <v>38</v>
      </c>
      <c r="AM2903" s="4">
        <v>42</v>
      </c>
      <c r="AN2903" s="4">
        <v>0</v>
      </c>
      <c r="AO2903" s="4">
        <v>0</v>
      </c>
      <c r="AP2903" s="4">
        <v>7</v>
      </c>
      <c r="AQ2903" s="4">
        <v>10</v>
      </c>
      <c r="AR2903" s="3" t="s">
        <v>62</v>
      </c>
      <c r="AS2903" s="3" t="s">
        <v>62</v>
      </c>
      <c r="AT2903" s="3" t="s">
        <v>61</v>
      </c>
      <c r="AU2903" s="6" t="str">
        <f>HYPERLINK("http://catalog.hathitrust.org/Record/006153338","HathiTrust Record")</f>
        <v>HathiTrust Record</v>
      </c>
      <c r="AV2903" s="6" t="str">
        <f>HYPERLINK("http://mcgill.on.worldcat.org/oclc/530629","Catalog Record")</f>
        <v>Catalog Record</v>
      </c>
      <c r="AW2903" s="6" t="str">
        <f>HYPERLINK("http://www.worldcat.org/oclc/530629","WorldCat Record")</f>
        <v>WorldCat Record</v>
      </c>
      <c r="AX2903" s="3" t="s">
        <v>28155</v>
      </c>
      <c r="AY2903" s="3" t="s">
        <v>28156</v>
      </c>
      <c r="AZ2903" s="3" t="s">
        <v>28157</v>
      </c>
      <c r="BA2903" s="3" t="s">
        <v>28157</v>
      </c>
      <c r="BB2903" s="3" t="s">
        <v>28158</v>
      </c>
      <c r="BC2903" s="3" t="s">
        <v>102</v>
      </c>
      <c r="BD2903" s="3" t="s">
        <v>68</v>
      </c>
      <c r="BF2903" s="3" t="s">
        <v>28158</v>
      </c>
      <c r="BG2903" s="3" t="s">
        <v>28159</v>
      </c>
    </row>
    <row r="2904" spans="1:59" ht="58" x14ac:dyDescent="0.35">
      <c r="A2904" s="2" t="s">
        <v>89</v>
      </c>
      <c r="B2904" s="2" t="s">
        <v>90</v>
      </c>
      <c r="C2904" s="2" t="s">
        <v>28160</v>
      </c>
      <c r="D2904" s="2" t="s">
        <v>28161</v>
      </c>
      <c r="E2904" s="2" t="s">
        <v>28162</v>
      </c>
      <c r="G2904" s="3" t="s">
        <v>62</v>
      </c>
      <c r="I2904" s="3" t="s">
        <v>62</v>
      </c>
      <c r="J2904" s="3" t="s">
        <v>62</v>
      </c>
      <c r="K2904" s="3" t="s">
        <v>63</v>
      </c>
      <c r="L2904" s="2" t="s">
        <v>28163</v>
      </c>
      <c r="M2904" s="2" t="s">
        <v>28164</v>
      </c>
      <c r="N2904" s="3" t="s">
        <v>5038</v>
      </c>
      <c r="P2904" s="3" t="s">
        <v>64</v>
      </c>
      <c r="R2904" s="3" t="s">
        <v>27443</v>
      </c>
      <c r="S2904" s="4">
        <v>2</v>
      </c>
      <c r="T2904" s="4">
        <v>2</v>
      </c>
      <c r="U2904" s="5" t="s">
        <v>2502</v>
      </c>
      <c r="V2904" s="5" t="s">
        <v>2502</v>
      </c>
      <c r="W2904" s="5" t="s">
        <v>67</v>
      </c>
      <c r="X2904" s="5" t="s">
        <v>67</v>
      </c>
      <c r="Y2904" s="4">
        <v>59</v>
      </c>
      <c r="Z2904" s="4">
        <v>8</v>
      </c>
      <c r="AA2904" s="4">
        <v>8</v>
      </c>
      <c r="AB2904" s="4">
        <v>1</v>
      </c>
      <c r="AC2904" s="4">
        <v>1</v>
      </c>
      <c r="AD2904" s="4">
        <v>24</v>
      </c>
      <c r="AE2904" s="4">
        <v>24</v>
      </c>
      <c r="AF2904" s="4">
        <v>0</v>
      </c>
      <c r="AG2904" s="4">
        <v>0</v>
      </c>
      <c r="AH2904" s="4">
        <v>21</v>
      </c>
      <c r="AI2904" s="4">
        <v>21</v>
      </c>
      <c r="AJ2904" s="4">
        <v>4</v>
      </c>
      <c r="AK2904" s="4">
        <v>4</v>
      </c>
      <c r="AL2904" s="4">
        <v>14</v>
      </c>
      <c r="AM2904" s="4">
        <v>14</v>
      </c>
      <c r="AN2904" s="4">
        <v>0</v>
      </c>
      <c r="AO2904" s="4">
        <v>0</v>
      </c>
      <c r="AP2904" s="4">
        <v>4</v>
      </c>
      <c r="AQ2904" s="4">
        <v>4</v>
      </c>
      <c r="AR2904" s="3" t="s">
        <v>62</v>
      </c>
      <c r="AS2904" s="3" t="s">
        <v>62</v>
      </c>
      <c r="AT2904" s="3" t="s">
        <v>62</v>
      </c>
      <c r="AV2904" s="6" t="str">
        <f>HYPERLINK("http://mcgill.on.worldcat.org/oclc/1380694","Catalog Record")</f>
        <v>Catalog Record</v>
      </c>
      <c r="AW2904" s="6" t="str">
        <f>HYPERLINK("http://www.worldcat.org/oclc/1380694","WorldCat Record")</f>
        <v>WorldCat Record</v>
      </c>
      <c r="AX2904" s="3" t="s">
        <v>28165</v>
      </c>
      <c r="AY2904" s="3" t="s">
        <v>28166</v>
      </c>
      <c r="AZ2904" s="3" t="s">
        <v>28167</v>
      </c>
      <c r="BA2904" s="3" t="s">
        <v>28167</v>
      </c>
      <c r="BB2904" s="3" t="s">
        <v>28168</v>
      </c>
      <c r="BC2904" s="3" t="s">
        <v>102</v>
      </c>
      <c r="BD2904" s="3" t="s">
        <v>68</v>
      </c>
      <c r="BF2904" s="3" t="s">
        <v>28168</v>
      </c>
      <c r="BG2904" s="3" t="s">
        <v>28169</v>
      </c>
    </row>
    <row r="2905" spans="1:59" ht="72.5" x14ac:dyDescent="0.35">
      <c r="A2905" s="2" t="s">
        <v>89</v>
      </c>
      <c r="B2905" s="2" t="s">
        <v>90</v>
      </c>
      <c r="C2905" s="2" t="s">
        <v>28170</v>
      </c>
      <c r="D2905" s="2" t="s">
        <v>28171</v>
      </c>
      <c r="E2905" s="2" t="s">
        <v>28172</v>
      </c>
      <c r="G2905" s="3" t="s">
        <v>62</v>
      </c>
      <c r="I2905" s="3" t="s">
        <v>62</v>
      </c>
      <c r="J2905" s="3" t="s">
        <v>62</v>
      </c>
      <c r="K2905" s="3" t="s">
        <v>63</v>
      </c>
      <c r="M2905" s="2" t="s">
        <v>28173</v>
      </c>
      <c r="N2905" s="3" t="s">
        <v>2975</v>
      </c>
      <c r="P2905" s="3" t="s">
        <v>1881</v>
      </c>
      <c r="Q2905" s="2" t="s">
        <v>11534</v>
      </c>
      <c r="R2905" s="3" t="s">
        <v>27443</v>
      </c>
      <c r="S2905" s="4">
        <v>1</v>
      </c>
      <c r="T2905" s="4">
        <v>1</v>
      </c>
      <c r="U2905" s="5" t="s">
        <v>6704</v>
      </c>
      <c r="V2905" s="5" t="s">
        <v>6704</v>
      </c>
      <c r="W2905" s="5" t="s">
        <v>67</v>
      </c>
      <c r="X2905" s="5" t="s">
        <v>67</v>
      </c>
      <c r="Y2905" s="4">
        <v>43</v>
      </c>
      <c r="Z2905" s="4">
        <v>1</v>
      </c>
      <c r="AA2905" s="4">
        <v>1</v>
      </c>
      <c r="AB2905" s="4">
        <v>1</v>
      </c>
      <c r="AC2905" s="4">
        <v>1</v>
      </c>
      <c r="AD2905" s="4">
        <v>9</v>
      </c>
      <c r="AE2905" s="4">
        <v>9</v>
      </c>
      <c r="AF2905" s="4">
        <v>0</v>
      </c>
      <c r="AG2905" s="4">
        <v>0</v>
      </c>
      <c r="AH2905" s="4">
        <v>8</v>
      </c>
      <c r="AI2905" s="4">
        <v>8</v>
      </c>
      <c r="AJ2905" s="4">
        <v>0</v>
      </c>
      <c r="AK2905" s="4">
        <v>0</v>
      </c>
      <c r="AL2905" s="4">
        <v>8</v>
      </c>
      <c r="AM2905" s="4">
        <v>8</v>
      </c>
      <c r="AN2905" s="4">
        <v>0</v>
      </c>
      <c r="AO2905" s="4">
        <v>0</v>
      </c>
      <c r="AP2905" s="4">
        <v>0</v>
      </c>
      <c r="AQ2905" s="4">
        <v>0</v>
      </c>
      <c r="AR2905" s="3" t="s">
        <v>62</v>
      </c>
      <c r="AS2905" s="3" t="s">
        <v>62</v>
      </c>
      <c r="AT2905" s="3" t="s">
        <v>62</v>
      </c>
      <c r="AV2905" s="6" t="str">
        <f>HYPERLINK("http://mcgill.on.worldcat.org/oclc/48057986","Catalog Record")</f>
        <v>Catalog Record</v>
      </c>
      <c r="AW2905" s="6" t="str">
        <f>HYPERLINK("http://www.worldcat.org/oclc/48057986","WorldCat Record")</f>
        <v>WorldCat Record</v>
      </c>
      <c r="AX2905" s="3" t="s">
        <v>28174</v>
      </c>
      <c r="AY2905" s="3" t="s">
        <v>28175</v>
      </c>
      <c r="AZ2905" s="3" t="s">
        <v>28176</v>
      </c>
      <c r="BA2905" s="3" t="s">
        <v>28176</v>
      </c>
      <c r="BB2905" s="3" t="s">
        <v>28177</v>
      </c>
      <c r="BC2905" s="3" t="s">
        <v>102</v>
      </c>
      <c r="BD2905" s="3" t="s">
        <v>68</v>
      </c>
      <c r="BE2905" s="3" t="s">
        <v>28178</v>
      </c>
      <c r="BF2905" s="3" t="s">
        <v>28177</v>
      </c>
      <c r="BG2905" s="3" t="s">
        <v>28179</v>
      </c>
    </row>
    <row r="2906" spans="1:59" ht="72.5" x14ac:dyDescent="0.35">
      <c r="A2906" s="2" t="s">
        <v>89</v>
      </c>
      <c r="B2906" s="2" t="s">
        <v>90</v>
      </c>
      <c r="C2906" s="2" t="s">
        <v>28180</v>
      </c>
      <c r="D2906" s="2" t="s">
        <v>28181</v>
      </c>
      <c r="E2906" s="2" t="s">
        <v>28182</v>
      </c>
      <c r="G2906" s="3" t="s">
        <v>61</v>
      </c>
      <c r="I2906" s="3" t="s">
        <v>62</v>
      </c>
      <c r="J2906" s="3" t="s">
        <v>62</v>
      </c>
      <c r="K2906" s="3" t="s">
        <v>63</v>
      </c>
      <c r="L2906" s="2" t="s">
        <v>28183</v>
      </c>
      <c r="M2906" s="2" t="s">
        <v>28184</v>
      </c>
      <c r="N2906" s="3" t="s">
        <v>866</v>
      </c>
      <c r="P2906" s="3" t="s">
        <v>1881</v>
      </c>
      <c r="R2906" s="3" t="s">
        <v>27443</v>
      </c>
      <c r="S2906" s="4">
        <v>3</v>
      </c>
      <c r="T2906" s="4">
        <v>3</v>
      </c>
      <c r="U2906" s="5" t="s">
        <v>6704</v>
      </c>
      <c r="V2906" s="5" t="s">
        <v>6704</v>
      </c>
      <c r="W2906" s="5" t="s">
        <v>67</v>
      </c>
      <c r="X2906" s="5" t="s">
        <v>67</v>
      </c>
      <c r="Y2906" s="4">
        <v>6</v>
      </c>
      <c r="Z2906" s="4">
        <v>3</v>
      </c>
      <c r="AA2906" s="4">
        <v>3</v>
      </c>
      <c r="AB2906" s="4">
        <v>1</v>
      </c>
      <c r="AC2906" s="4">
        <v>1</v>
      </c>
      <c r="AD2906" s="4">
        <v>3</v>
      </c>
      <c r="AE2906" s="4">
        <v>5</v>
      </c>
      <c r="AF2906" s="4">
        <v>0</v>
      </c>
      <c r="AG2906" s="4">
        <v>0</v>
      </c>
      <c r="AH2906" s="4">
        <v>2</v>
      </c>
      <c r="AI2906" s="4">
        <v>3</v>
      </c>
      <c r="AJ2906" s="4">
        <v>1</v>
      </c>
      <c r="AK2906" s="4">
        <v>1</v>
      </c>
      <c r="AL2906" s="4">
        <v>3</v>
      </c>
      <c r="AM2906" s="4">
        <v>5</v>
      </c>
      <c r="AN2906" s="4">
        <v>0</v>
      </c>
      <c r="AO2906" s="4">
        <v>0</v>
      </c>
      <c r="AP2906" s="4">
        <v>1</v>
      </c>
      <c r="AQ2906" s="4">
        <v>1</v>
      </c>
      <c r="AR2906" s="3" t="s">
        <v>62</v>
      </c>
      <c r="AS2906" s="3" t="s">
        <v>62</v>
      </c>
      <c r="AT2906" s="3" t="s">
        <v>62</v>
      </c>
      <c r="AV2906" s="6" t="str">
        <f>HYPERLINK("http://mcgill.on.worldcat.org/oclc/222956477","Catalog Record")</f>
        <v>Catalog Record</v>
      </c>
      <c r="AW2906" s="6" t="str">
        <f>HYPERLINK("http://www.worldcat.org/oclc/222956477","WorldCat Record")</f>
        <v>WorldCat Record</v>
      </c>
      <c r="AX2906" s="3" t="s">
        <v>28185</v>
      </c>
      <c r="AY2906" s="3" t="s">
        <v>28186</v>
      </c>
      <c r="AZ2906" s="3" t="s">
        <v>28187</v>
      </c>
      <c r="BA2906" s="3" t="s">
        <v>28187</v>
      </c>
      <c r="BB2906" s="3" t="s">
        <v>28188</v>
      </c>
      <c r="BC2906" s="3" t="s">
        <v>102</v>
      </c>
      <c r="BD2906" s="3" t="s">
        <v>68</v>
      </c>
      <c r="BF2906" s="3" t="s">
        <v>28188</v>
      </c>
      <c r="BG2906" s="3" t="s">
        <v>28189</v>
      </c>
    </row>
    <row r="2907" spans="1:59" ht="87" x14ac:dyDescent="0.35">
      <c r="A2907" s="2" t="s">
        <v>89</v>
      </c>
      <c r="B2907" s="2" t="s">
        <v>90</v>
      </c>
      <c r="C2907" s="2" t="s">
        <v>28190</v>
      </c>
      <c r="D2907" s="2" t="s">
        <v>28191</v>
      </c>
      <c r="E2907" s="2" t="s">
        <v>28192</v>
      </c>
      <c r="G2907" s="3" t="s">
        <v>62</v>
      </c>
      <c r="I2907" s="3" t="s">
        <v>62</v>
      </c>
      <c r="J2907" s="3" t="s">
        <v>62</v>
      </c>
      <c r="K2907" s="3" t="s">
        <v>63</v>
      </c>
      <c r="M2907" s="2" t="s">
        <v>28193</v>
      </c>
      <c r="N2907" s="3" t="s">
        <v>1482</v>
      </c>
      <c r="P2907" s="3" t="s">
        <v>85</v>
      </c>
      <c r="Q2907" s="2" t="s">
        <v>28194</v>
      </c>
      <c r="R2907" s="3" t="s">
        <v>27443</v>
      </c>
      <c r="S2907" s="4">
        <v>1</v>
      </c>
      <c r="T2907" s="4">
        <v>1</v>
      </c>
      <c r="U2907" s="5" t="s">
        <v>22276</v>
      </c>
      <c r="V2907" s="5" t="s">
        <v>22276</v>
      </c>
      <c r="W2907" s="5" t="s">
        <v>67</v>
      </c>
      <c r="X2907" s="5" t="s">
        <v>67</v>
      </c>
      <c r="Y2907" s="4">
        <v>3</v>
      </c>
      <c r="Z2907" s="4">
        <v>2</v>
      </c>
      <c r="AA2907" s="4">
        <v>2</v>
      </c>
      <c r="AB2907" s="4">
        <v>1</v>
      </c>
      <c r="AC2907" s="4">
        <v>1</v>
      </c>
      <c r="AD2907" s="4">
        <v>1</v>
      </c>
      <c r="AE2907" s="4">
        <v>1</v>
      </c>
      <c r="AF2907" s="4">
        <v>0</v>
      </c>
      <c r="AG2907" s="4">
        <v>0</v>
      </c>
      <c r="AH2907" s="4">
        <v>1</v>
      </c>
      <c r="AI2907" s="4">
        <v>1</v>
      </c>
      <c r="AJ2907" s="4">
        <v>1</v>
      </c>
      <c r="AK2907" s="4">
        <v>1</v>
      </c>
      <c r="AL2907" s="4">
        <v>0</v>
      </c>
      <c r="AM2907" s="4">
        <v>0</v>
      </c>
      <c r="AN2907" s="4">
        <v>0</v>
      </c>
      <c r="AO2907" s="4">
        <v>0</v>
      </c>
      <c r="AP2907" s="4">
        <v>1</v>
      </c>
      <c r="AQ2907" s="4">
        <v>1</v>
      </c>
      <c r="AR2907" s="3" t="s">
        <v>62</v>
      </c>
      <c r="AS2907" s="3" t="s">
        <v>62</v>
      </c>
      <c r="AT2907" s="3" t="s">
        <v>61</v>
      </c>
      <c r="AU2907" s="6" t="str">
        <f>HYPERLINK("http://catalog.hathitrust.org/Record/000842626","HathiTrust Record")</f>
        <v>HathiTrust Record</v>
      </c>
      <c r="AV2907" s="6" t="str">
        <f>HYPERLINK("http://mcgill.on.worldcat.org/oclc/416380761","Catalog Record")</f>
        <v>Catalog Record</v>
      </c>
      <c r="AW2907" s="6" t="str">
        <f>HYPERLINK("http://www.worldcat.org/oclc/416380761","WorldCat Record")</f>
        <v>WorldCat Record</v>
      </c>
      <c r="AX2907" s="3" t="s">
        <v>28195</v>
      </c>
      <c r="AY2907" s="3" t="s">
        <v>28196</v>
      </c>
      <c r="AZ2907" s="3" t="s">
        <v>28197</v>
      </c>
      <c r="BA2907" s="3" t="s">
        <v>28197</v>
      </c>
      <c r="BB2907" s="3" t="s">
        <v>28198</v>
      </c>
      <c r="BC2907" s="3" t="s">
        <v>102</v>
      </c>
      <c r="BD2907" s="3" t="s">
        <v>68</v>
      </c>
      <c r="BE2907" s="3" t="s">
        <v>28199</v>
      </c>
      <c r="BF2907" s="3" t="s">
        <v>28198</v>
      </c>
      <c r="BG2907" s="3" t="s">
        <v>28200</v>
      </c>
    </row>
    <row r="2908" spans="1:59" ht="72.5" x14ac:dyDescent="0.35">
      <c r="A2908" s="2" t="s">
        <v>89</v>
      </c>
      <c r="B2908" s="2" t="s">
        <v>90</v>
      </c>
      <c r="C2908" s="2" t="s">
        <v>28201</v>
      </c>
      <c r="D2908" s="2" t="s">
        <v>28202</v>
      </c>
      <c r="E2908" s="2" t="s">
        <v>28203</v>
      </c>
      <c r="G2908" s="3" t="s">
        <v>62</v>
      </c>
      <c r="I2908" s="3" t="s">
        <v>62</v>
      </c>
      <c r="J2908" s="3" t="s">
        <v>62</v>
      </c>
      <c r="K2908" s="3" t="s">
        <v>63</v>
      </c>
      <c r="L2908" s="2" t="s">
        <v>28204</v>
      </c>
      <c r="M2908" s="2" t="s">
        <v>28205</v>
      </c>
      <c r="N2908" s="3" t="s">
        <v>9091</v>
      </c>
      <c r="P2908" s="3" t="s">
        <v>1881</v>
      </c>
      <c r="R2908" s="3" t="s">
        <v>27443</v>
      </c>
      <c r="S2908" s="4">
        <v>1</v>
      </c>
      <c r="T2908" s="4">
        <v>1</v>
      </c>
      <c r="U2908" s="5" t="s">
        <v>6704</v>
      </c>
      <c r="V2908" s="5" t="s">
        <v>6704</v>
      </c>
      <c r="W2908" s="5" t="s">
        <v>67</v>
      </c>
      <c r="X2908" s="5" t="s">
        <v>67</v>
      </c>
      <c r="Y2908" s="4">
        <v>83</v>
      </c>
      <c r="Z2908" s="4">
        <v>3</v>
      </c>
      <c r="AA2908" s="4">
        <v>4</v>
      </c>
      <c r="AB2908" s="4">
        <v>1</v>
      </c>
      <c r="AC2908" s="4">
        <v>1</v>
      </c>
      <c r="AD2908" s="4">
        <v>18</v>
      </c>
      <c r="AE2908" s="4">
        <v>18</v>
      </c>
      <c r="AF2908" s="4">
        <v>0</v>
      </c>
      <c r="AG2908" s="4">
        <v>0</v>
      </c>
      <c r="AH2908" s="4">
        <v>18</v>
      </c>
      <c r="AI2908" s="4">
        <v>18</v>
      </c>
      <c r="AJ2908" s="4">
        <v>2</v>
      </c>
      <c r="AK2908" s="4">
        <v>2</v>
      </c>
      <c r="AL2908" s="4">
        <v>8</v>
      </c>
      <c r="AM2908" s="4">
        <v>8</v>
      </c>
      <c r="AN2908" s="4">
        <v>0</v>
      </c>
      <c r="AO2908" s="4">
        <v>0</v>
      </c>
      <c r="AP2908" s="4">
        <v>2</v>
      </c>
      <c r="AQ2908" s="4">
        <v>2</v>
      </c>
      <c r="AR2908" s="3" t="s">
        <v>62</v>
      </c>
      <c r="AS2908" s="3" t="s">
        <v>62</v>
      </c>
      <c r="AT2908" s="3" t="s">
        <v>61</v>
      </c>
      <c r="AU2908" s="6" t="str">
        <f>HYPERLINK("http://catalog.hathitrust.org/Record/001650379","HathiTrust Record")</f>
        <v>HathiTrust Record</v>
      </c>
      <c r="AV2908" s="6" t="str">
        <f>HYPERLINK("http://mcgill.on.worldcat.org/oclc/2340492","Catalog Record")</f>
        <v>Catalog Record</v>
      </c>
      <c r="AW2908" s="6" t="str">
        <f>HYPERLINK("http://www.worldcat.org/oclc/2340492","WorldCat Record")</f>
        <v>WorldCat Record</v>
      </c>
      <c r="AX2908" s="3" t="s">
        <v>28206</v>
      </c>
      <c r="AY2908" s="3" t="s">
        <v>28207</v>
      </c>
      <c r="AZ2908" s="3" t="s">
        <v>28208</v>
      </c>
      <c r="BA2908" s="3" t="s">
        <v>28208</v>
      </c>
      <c r="BB2908" s="3" t="s">
        <v>28209</v>
      </c>
      <c r="BC2908" s="3" t="s">
        <v>102</v>
      </c>
      <c r="BD2908" s="3" t="s">
        <v>68</v>
      </c>
      <c r="BF2908" s="3" t="s">
        <v>28209</v>
      </c>
      <c r="BG2908" s="3" t="s">
        <v>28210</v>
      </c>
    </row>
    <row r="2909" spans="1:59" ht="58" x14ac:dyDescent="0.35">
      <c r="A2909" s="2" t="s">
        <v>89</v>
      </c>
      <c r="B2909" s="2" t="s">
        <v>90</v>
      </c>
      <c r="C2909" s="2" t="s">
        <v>28211</v>
      </c>
      <c r="D2909" s="2" t="s">
        <v>28212</v>
      </c>
      <c r="E2909" s="2" t="s">
        <v>28213</v>
      </c>
      <c r="F2909" s="3" t="s">
        <v>2217</v>
      </c>
      <c r="G2909" s="3" t="s">
        <v>61</v>
      </c>
      <c r="I2909" s="3" t="s">
        <v>61</v>
      </c>
      <c r="J2909" s="3" t="s">
        <v>62</v>
      </c>
      <c r="K2909" s="3" t="s">
        <v>63</v>
      </c>
      <c r="L2909" s="2" t="s">
        <v>28214</v>
      </c>
      <c r="M2909" s="2" t="s">
        <v>28215</v>
      </c>
      <c r="N2909" s="3" t="s">
        <v>1291</v>
      </c>
      <c r="P2909" s="3" t="s">
        <v>64</v>
      </c>
      <c r="R2909" s="3" t="s">
        <v>27443</v>
      </c>
      <c r="S2909" s="4">
        <v>3</v>
      </c>
      <c r="T2909" s="4">
        <v>15</v>
      </c>
      <c r="U2909" s="5" t="s">
        <v>19417</v>
      </c>
      <c r="V2909" s="5" t="s">
        <v>1183</v>
      </c>
      <c r="W2909" s="5" t="s">
        <v>67</v>
      </c>
      <c r="X2909" s="5" t="s">
        <v>67</v>
      </c>
      <c r="Y2909" s="4">
        <v>642</v>
      </c>
      <c r="Z2909" s="4">
        <v>27</v>
      </c>
      <c r="AA2909" s="4">
        <v>29</v>
      </c>
      <c r="AB2909" s="4">
        <v>3</v>
      </c>
      <c r="AC2909" s="4">
        <v>4</v>
      </c>
      <c r="AD2909" s="4">
        <v>122</v>
      </c>
      <c r="AE2909" s="4">
        <v>124</v>
      </c>
      <c r="AF2909" s="4">
        <v>2</v>
      </c>
      <c r="AG2909" s="4">
        <v>3</v>
      </c>
      <c r="AH2909" s="4">
        <v>103</v>
      </c>
      <c r="AI2909" s="4">
        <v>104</v>
      </c>
      <c r="AJ2909" s="4">
        <v>13</v>
      </c>
      <c r="AK2909" s="4">
        <v>15</v>
      </c>
      <c r="AL2909" s="4">
        <v>57</v>
      </c>
      <c r="AM2909" s="4">
        <v>57</v>
      </c>
      <c r="AN2909" s="4">
        <v>0</v>
      </c>
      <c r="AO2909" s="4">
        <v>0</v>
      </c>
      <c r="AP2909" s="4">
        <v>22</v>
      </c>
      <c r="AQ2909" s="4">
        <v>23</v>
      </c>
      <c r="AR2909" s="3" t="s">
        <v>62</v>
      </c>
      <c r="AS2909" s="3" t="s">
        <v>62</v>
      </c>
      <c r="AT2909" s="3" t="s">
        <v>61</v>
      </c>
      <c r="AU2909" s="6" t="str">
        <f t="shared" ref="AU2909:AU2914" si="45">HYPERLINK("http://catalog.hathitrust.org/Record/001477851","HathiTrust Record")</f>
        <v>HathiTrust Record</v>
      </c>
      <c r="AV2909" s="6" t="str">
        <f t="shared" ref="AV2909:AV2914" si="46">HYPERLINK("http://mcgill.on.worldcat.org/oclc/530619","Catalog Record")</f>
        <v>Catalog Record</v>
      </c>
      <c r="AW2909" s="6" t="str">
        <f t="shared" ref="AW2909:AW2914" si="47">HYPERLINK("http://www.worldcat.org/oclc/530619","WorldCat Record")</f>
        <v>WorldCat Record</v>
      </c>
      <c r="AX2909" s="3" t="s">
        <v>28216</v>
      </c>
      <c r="AY2909" s="3" t="s">
        <v>28217</v>
      </c>
      <c r="AZ2909" s="3" t="s">
        <v>28218</v>
      </c>
      <c r="BA2909" s="3" t="s">
        <v>28218</v>
      </c>
      <c r="BB2909" s="3" t="s">
        <v>28219</v>
      </c>
      <c r="BC2909" s="3" t="s">
        <v>102</v>
      </c>
      <c r="BD2909" s="3" t="s">
        <v>68</v>
      </c>
      <c r="BE2909" s="3" t="s">
        <v>28220</v>
      </c>
      <c r="BF2909" s="3" t="s">
        <v>28219</v>
      </c>
      <c r="BG2909" s="3" t="s">
        <v>28221</v>
      </c>
    </row>
    <row r="2910" spans="1:59" ht="58" x14ac:dyDescent="0.35">
      <c r="A2910" s="2" t="s">
        <v>89</v>
      </c>
      <c r="B2910" s="2" t="s">
        <v>90</v>
      </c>
      <c r="C2910" s="2" t="s">
        <v>28211</v>
      </c>
      <c r="D2910" s="2" t="s">
        <v>28212</v>
      </c>
      <c r="E2910" s="2" t="s">
        <v>28213</v>
      </c>
      <c r="F2910" s="3" t="s">
        <v>2248</v>
      </c>
      <c r="G2910" s="3" t="s">
        <v>61</v>
      </c>
      <c r="I2910" s="3" t="s">
        <v>61</v>
      </c>
      <c r="J2910" s="3" t="s">
        <v>62</v>
      </c>
      <c r="K2910" s="3" t="s">
        <v>63</v>
      </c>
      <c r="L2910" s="2" t="s">
        <v>28214</v>
      </c>
      <c r="M2910" s="2" t="s">
        <v>28215</v>
      </c>
      <c r="N2910" s="3" t="s">
        <v>1291</v>
      </c>
      <c r="P2910" s="3" t="s">
        <v>64</v>
      </c>
      <c r="R2910" s="3" t="s">
        <v>27443</v>
      </c>
      <c r="S2910" s="4">
        <v>3</v>
      </c>
      <c r="T2910" s="4">
        <v>15</v>
      </c>
      <c r="U2910" s="5" t="s">
        <v>19417</v>
      </c>
      <c r="V2910" s="5" t="s">
        <v>1183</v>
      </c>
      <c r="W2910" s="5" t="s">
        <v>67</v>
      </c>
      <c r="X2910" s="5" t="s">
        <v>67</v>
      </c>
      <c r="Y2910" s="4">
        <v>642</v>
      </c>
      <c r="Z2910" s="4">
        <v>27</v>
      </c>
      <c r="AA2910" s="4">
        <v>29</v>
      </c>
      <c r="AB2910" s="4">
        <v>3</v>
      </c>
      <c r="AC2910" s="4">
        <v>4</v>
      </c>
      <c r="AD2910" s="4">
        <v>122</v>
      </c>
      <c r="AE2910" s="4">
        <v>124</v>
      </c>
      <c r="AF2910" s="4">
        <v>2</v>
      </c>
      <c r="AG2910" s="4">
        <v>3</v>
      </c>
      <c r="AH2910" s="4">
        <v>103</v>
      </c>
      <c r="AI2910" s="4">
        <v>104</v>
      </c>
      <c r="AJ2910" s="4">
        <v>13</v>
      </c>
      <c r="AK2910" s="4">
        <v>15</v>
      </c>
      <c r="AL2910" s="4">
        <v>57</v>
      </c>
      <c r="AM2910" s="4">
        <v>57</v>
      </c>
      <c r="AN2910" s="4">
        <v>0</v>
      </c>
      <c r="AO2910" s="4">
        <v>0</v>
      </c>
      <c r="AP2910" s="4">
        <v>22</v>
      </c>
      <c r="AQ2910" s="4">
        <v>23</v>
      </c>
      <c r="AR2910" s="3" t="s">
        <v>62</v>
      </c>
      <c r="AS2910" s="3" t="s">
        <v>62</v>
      </c>
      <c r="AT2910" s="3" t="s">
        <v>61</v>
      </c>
      <c r="AU2910" s="6" t="str">
        <f t="shared" si="45"/>
        <v>HathiTrust Record</v>
      </c>
      <c r="AV2910" s="6" t="str">
        <f t="shared" si="46"/>
        <v>Catalog Record</v>
      </c>
      <c r="AW2910" s="6" t="str">
        <f t="shared" si="47"/>
        <v>WorldCat Record</v>
      </c>
      <c r="AX2910" s="3" t="s">
        <v>28216</v>
      </c>
      <c r="AY2910" s="3" t="s">
        <v>28217</v>
      </c>
      <c r="AZ2910" s="3" t="s">
        <v>28218</v>
      </c>
      <c r="BA2910" s="3" t="s">
        <v>28218</v>
      </c>
      <c r="BB2910" s="3" t="s">
        <v>28222</v>
      </c>
      <c r="BC2910" s="3" t="s">
        <v>102</v>
      </c>
      <c r="BD2910" s="3" t="s">
        <v>68</v>
      </c>
      <c r="BE2910" s="3" t="s">
        <v>28220</v>
      </c>
      <c r="BF2910" s="3" t="s">
        <v>28222</v>
      </c>
      <c r="BG2910" s="3" t="s">
        <v>28223</v>
      </c>
    </row>
    <row r="2911" spans="1:59" ht="58" x14ac:dyDescent="0.35">
      <c r="A2911" s="2" t="s">
        <v>89</v>
      </c>
      <c r="B2911" s="2" t="s">
        <v>90</v>
      </c>
      <c r="C2911" s="2" t="s">
        <v>28211</v>
      </c>
      <c r="D2911" s="2" t="s">
        <v>28212</v>
      </c>
      <c r="E2911" s="2" t="s">
        <v>28213</v>
      </c>
      <c r="F2911" s="3" t="s">
        <v>1396</v>
      </c>
      <c r="G2911" s="3" t="s">
        <v>61</v>
      </c>
      <c r="I2911" s="3" t="s">
        <v>61</v>
      </c>
      <c r="J2911" s="3" t="s">
        <v>62</v>
      </c>
      <c r="K2911" s="3" t="s">
        <v>63</v>
      </c>
      <c r="L2911" s="2" t="s">
        <v>28214</v>
      </c>
      <c r="M2911" s="2" t="s">
        <v>28215</v>
      </c>
      <c r="N2911" s="3" t="s">
        <v>1291</v>
      </c>
      <c r="P2911" s="3" t="s">
        <v>64</v>
      </c>
      <c r="R2911" s="3" t="s">
        <v>27443</v>
      </c>
      <c r="S2911" s="4">
        <v>0</v>
      </c>
      <c r="T2911" s="4">
        <v>15</v>
      </c>
      <c r="V2911" s="5" t="s">
        <v>1183</v>
      </c>
      <c r="W2911" s="5" t="s">
        <v>67</v>
      </c>
      <c r="X2911" s="5" t="s">
        <v>67</v>
      </c>
      <c r="Y2911" s="4">
        <v>642</v>
      </c>
      <c r="Z2911" s="4">
        <v>27</v>
      </c>
      <c r="AA2911" s="4">
        <v>29</v>
      </c>
      <c r="AB2911" s="4">
        <v>3</v>
      </c>
      <c r="AC2911" s="4">
        <v>4</v>
      </c>
      <c r="AD2911" s="4">
        <v>122</v>
      </c>
      <c r="AE2911" s="4">
        <v>124</v>
      </c>
      <c r="AF2911" s="4">
        <v>2</v>
      </c>
      <c r="AG2911" s="4">
        <v>3</v>
      </c>
      <c r="AH2911" s="4">
        <v>103</v>
      </c>
      <c r="AI2911" s="4">
        <v>104</v>
      </c>
      <c r="AJ2911" s="4">
        <v>13</v>
      </c>
      <c r="AK2911" s="4">
        <v>15</v>
      </c>
      <c r="AL2911" s="4">
        <v>57</v>
      </c>
      <c r="AM2911" s="4">
        <v>57</v>
      </c>
      <c r="AN2911" s="4">
        <v>0</v>
      </c>
      <c r="AO2911" s="4">
        <v>0</v>
      </c>
      <c r="AP2911" s="4">
        <v>22</v>
      </c>
      <c r="AQ2911" s="4">
        <v>23</v>
      </c>
      <c r="AR2911" s="3" t="s">
        <v>62</v>
      </c>
      <c r="AS2911" s="3" t="s">
        <v>62</v>
      </c>
      <c r="AT2911" s="3" t="s">
        <v>61</v>
      </c>
      <c r="AU2911" s="6" t="str">
        <f t="shared" si="45"/>
        <v>HathiTrust Record</v>
      </c>
      <c r="AV2911" s="6" t="str">
        <f t="shared" si="46"/>
        <v>Catalog Record</v>
      </c>
      <c r="AW2911" s="6" t="str">
        <f t="shared" si="47"/>
        <v>WorldCat Record</v>
      </c>
      <c r="AX2911" s="3" t="s">
        <v>28216</v>
      </c>
      <c r="AY2911" s="3" t="s">
        <v>28217</v>
      </c>
      <c r="AZ2911" s="3" t="s">
        <v>28218</v>
      </c>
      <c r="BA2911" s="3" t="s">
        <v>28218</v>
      </c>
      <c r="BB2911" s="3" t="s">
        <v>28224</v>
      </c>
      <c r="BC2911" s="3" t="s">
        <v>102</v>
      </c>
      <c r="BD2911" s="3" t="s">
        <v>68</v>
      </c>
      <c r="BE2911" s="3" t="s">
        <v>28220</v>
      </c>
      <c r="BF2911" s="3" t="s">
        <v>28224</v>
      </c>
      <c r="BG2911" s="3" t="s">
        <v>28225</v>
      </c>
    </row>
    <row r="2912" spans="1:59" ht="58" x14ac:dyDescent="0.35">
      <c r="A2912" s="2" t="s">
        <v>89</v>
      </c>
      <c r="B2912" s="2" t="s">
        <v>90</v>
      </c>
      <c r="C2912" s="2" t="s">
        <v>28211</v>
      </c>
      <c r="D2912" s="2" t="s">
        <v>28212</v>
      </c>
      <c r="E2912" s="2" t="s">
        <v>28213</v>
      </c>
      <c r="F2912" s="3" t="s">
        <v>1387</v>
      </c>
      <c r="G2912" s="3" t="s">
        <v>61</v>
      </c>
      <c r="I2912" s="3" t="s">
        <v>61</v>
      </c>
      <c r="J2912" s="3" t="s">
        <v>62</v>
      </c>
      <c r="K2912" s="3" t="s">
        <v>63</v>
      </c>
      <c r="L2912" s="2" t="s">
        <v>28214</v>
      </c>
      <c r="M2912" s="2" t="s">
        <v>28215</v>
      </c>
      <c r="N2912" s="3" t="s">
        <v>1291</v>
      </c>
      <c r="P2912" s="3" t="s">
        <v>64</v>
      </c>
      <c r="R2912" s="3" t="s">
        <v>27443</v>
      </c>
      <c r="S2912" s="4">
        <v>0</v>
      </c>
      <c r="T2912" s="4">
        <v>15</v>
      </c>
      <c r="V2912" s="5" t="s">
        <v>1183</v>
      </c>
      <c r="W2912" s="5" t="s">
        <v>67</v>
      </c>
      <c r="X2912" s="5" t="s">
        <v>67</v>
      </c>
      <c r="Y2912" s="4">
        <v>642</v>
      </c>
      <c r="Z2912" s="4">
        <v>27</v>
      </c>
      <c r="AA2912" s="4">
        <v>29</v>
      </c>
      <c r="AB2912" s="4">
        <v>3</v>
      </c>
      <c r="AC2912" s="4">
        <v>4</v>
      </c>
      <c r="AD2912" s="4">
        <v>122</v>
      </c>
      <c r="AE2912" s="4">
        <v>124</v>
      </c>
      <c r="AF2912" s="4">
        <v>2</v>
      </c>
      <c r="AG2912" s="4">
        <v>3</v>
      </c>
      <c r="AH2912" s="4">
        <v>103</v>
      </c>
      <c r="AI2912" s="4">
        <v>104</v>
      </c>
      <c r="AJ2912" s="4">
        <v>13</v>
      </c>
      <c r="AK2912" s="4">
        <v>15</v>
      </c>
      <c r="AL2912" s="4">
        <v>57</v>
      </c>
      <c r="AM2912" s="4">
        <v>57</v>
      </c>
      <c r="AN2912" s="4">
        <v>0</v>
      </c>
      <c r="AO2912" s="4">
        <v>0</v>
      </c>
      <c r="AP2912" s="4">
        <v>22</v>
      </c>
      <c r="AQ2912" s="4">
        <v>23</v>
      </c>
      <c r="AR2912" s="3" t="s">
        <v>62</v>
      </c>
      <c r="AS2912" s="3" t="s">
        <v>62</v>
      </c>
      <c r="AT2912" s="3" t="s">
        <v>61</v>
      </c>
      <c r="AU2912" s="6" t="str">
        <f t="shared" si="45"/>
        <v>HathiTrust Record</v>
      </c>
      <c r="AV2912" s="6" t="str">
        <f t="shared" si="46"/>
        <v>Catalog Record</v>
      </c>
      <c r="AW2912" s="6" t="str">
        <f t="shared" si="47"/>
        <v>WorldCat Record</v>
      </c>
      <c r="AX2912" s="3" t="s">
        <v>28216</v>
      </c>
      <c r="AY2912" s="3" t="s">
        <v>28217</v>
      </c>
      <c r="AZ2912" s="3" t="s">
        <v>28218</v>
      </c>
      <c r="BA2912" s="3" t="s">
        <v>28218</v>
      </c>
      <c r="BB2912" s="3" t="s">
        <v>28226</v>
      </c>
      <c r="BC2912" s="3" t="s">
        <v>102</v>
      </c>
      <c r="BD2912" s="3" t="s">
        <v>68</v>
      </c>
      <c r="BE2912" s="3" t="s">
        <v>28220</v>
      </c>
      <c r="BF2912" s="3" t="s">
        <v>28226</v>
      </c>
      <c r="BG2912" s="3" t="s">
        <v>28227</v>
      </c>
    </row>
    <row r="2913" spans="1:59" ht="58" x14ac:dyDescent="0.35">
      <c r="A2913" s="2" t="s">
        <v>89</v>
      </c>
      <c r="B2913" s="2" t="s">
        <v>90</v>
      </c>
      <c r="C2913" s="2" t="s">
        <v>28211</v>
      </c>
      <c r="D2913" s="2" t="s">
        <v>28212</v>
      </c>
      <c r="E2913" s="2" t="s">
        <v>28213</v>
      </c>
      <c r="F2913" s="3" t="s">
        <v>2217</v>
      </c>
      <c r="G2913" s="3" t="s">
        <v>61</v>
      </c>
      <c r="I2913" s="3" t="s">
        <v>61</v>
      </c>
      <c r="J2913" s="3" t="s">
        <v>62</v>
      </c>
      <c r="K2913" s="3" t="s">
        <v>63</v>
      </c>
      <c r="L2913" s="2" t="s">
        <v>28214</v>
      </c>
      <c r="M2913" s="2" t="s">
        <v>28215</v>
      </c>
      <c r="N2913" s="3" t="s">
        <v>1291</v>
      </c>
      <c r="P2913" s="3" t="s">
        <v>64</v>
      </c>
      <c r="R2913" s="3" t="s">
        <v>27443</v>
      </c>
      <c r="S2913" s="4">
        <v>5</v>
      </c>
      <c r="T2913" s="4">
        <v>15</v>
      </c>
      <c r="U2913" s="5" t="s">
        <v>1183</v>
      </c>
      <c r="V2913" s="5" t="s">
        <v>1183</v>
      </c>
      <c r="W2913" s="5" t="s">
        <v>67</v>
      </c>
      <c r="X2913" s="5" t="s">
        <v>67</v>
      </c>
      <c r="Y2913" s="4">
        <v>642</v>
      </c>
      <c r="Z2913" s="4">
        <v>27</v>
      </c>
      <c r="AA2913" s="4">
        <v>29</v>
      </c>
      <c r="AB2913" s="4">
        <v>3</v>
      </c>
      <c r="AC2913" s="4">
        <v>4</v>
      </c>
      <c r="AD2913" s="4">
        <v>122</v>
      </c>
      <c r="AE2913" s="4">
        <v>124</v>
      </c>
      <c r="AF2913" s="4">
        <v>2</v>
      </c>
      <c r="AG2913" s="4">
        <v>3</v>
      </c>
      <c r="AH2913" s="4">
        <v>103</v>
      </c>
      <c r="AI2913" s="4">
        <v>104</v>
      </c>
      <c r="AJ2913" s="4">
        <v>13</v>
      </c>
      <c r="AK2913" s="4">
        <v>15</v>
      </c>
      <c r="AL2913" s="4">
        <v>57</v>
      </c>
      <c r="AM2913" s="4">
        <v>57</v>
      </c>
      <c r="AN2913" s="4">
        <v>0</v>
      </c>
      <c r="AO2913" s="4">
        <v>0</v>
      </c>
      <c r="AP2913" s="4">
        <v>22</v>
      </c>
      <c r="AQ2913" s="4">
        <v>23</v>
      </c>
      <c r="AR2913" s="3" t="s">
        <v>62</v>
      </c>
      <c r="AS2913" s="3" t="s">
        <v>62</v>
      </c>
      <c r="AT2913" s="3" t="s">
        <v>61</v>
      </c>
      <c r="AU2913" s="6" t="str">
        <f t="shared" si="45"/>
        <v>HathiTrust Record</v>
      </c>
      <c r="AV2913" s="6" t="str">
        <f t="shared" si="46"/>
        <v>Catalog Record</v>
      </c>
      <c r="AW2913" s="6" t="str">
        <f t="shared" si="47"/>
        <v>WorldCat Record</v>
      </c>
      <c r="AX2913" s="3" t="s">
        <v>28216</v>
      </c>
      <c r="AY2913" s="3" t="s">
        <v>28217</v>
      </c>
      <c r="AZ2913" s="3" t="s">
        <v>28218</v>
      </c>
      <c r="BA2913" s="3" t="s">
        <v>28218</v>
      </c>
      <c r="BB2913" s="3" t="s">
        <v>28228</v>
      </c>
      <c r="BC2913" s="3" t="s">
        <v>102</v>
      </c>
      <c r="BD2913" s="3" t="s">
        <v>68</v>
      </c>
      <c r="BE2913" s="3" t="s">
        <v>28220</v>
      </c>
      <c r="BF2913" s="3" t="s">
        <v>28228</v>
      </c>
      <c r="BG2913" s="3" t="s">
        <v>28229</v>
      </c>
    </row>
    <row r="2914" spans="1:59" ht="58" x14ac:dyDescent="0.35">
      <c r="A2914" s="2" t="s">
        <v>89</v>
      </c>
      <c r="B2914" s="2" t="s">
        <v>90</v>
      </c>
      <c r="C2914" s="2" t="s">
        <v>28211</v>
      </c>
      <c r="D2914" s="2" t="s">
        <v>28212</v>
      </c>
      <c r="E2914" s="2" t="s">
        <v>28213</v>
      </c>
      <c r="F2914" s="3" t="s">
        <v>2233</v>
      </c>
      <c r="G2914" s="3" t="s">
        <v>61</v>
      </c>
      <c r="I2914" s="3" t="s">
        <v>61</v>
      </c>
      <c r="J2914" s="3" t="s">
        <v>62</v>
      </c>
      <c r="K2914" s="3" t="s">
        <v>63</v>
      </c>
      <c r="L2914" s="2" t="s">
        <v>28214</v>
      </c>
      <c r="M2914" s="2" t="s">
        <v>28215</v>
      </c>
      <c r="N2914" s="3" t="s">
        <v>1291</v>
      </c>
      <c r="P2914" s="3" t="s">
        <v>64</v>
      </c>
      <c r="R2914" s="3" t="s">
        <v>27443</v>
      </c>
      <c r="S2914" s="4">
        <v>4</v>
      </c>
      <c r="T2914" s="4">
        <v>15</v>
      </c>
      <c r="U2914" s="5" t="s">
        <v>19417</v>
      </c>
      <c r="V2914" s="5" t="s">
        <v>1183</v>
      </c>
      <c r="W2914" s="5" t="s">
        <v>67</v>
      </c>
      <c r="X2914" s="5" t="s">
        <v>67</v>
      </c>
      <c r="Y2914" s="4">
        <v>642</v>
      </c>
      <c r="Z2914" s="4">
        <v>27</v>
      </c>
      <c r="AA2914" s="4">
        <v>29</v>
      </c>
      <c r="AB2914" s="4">
        <v>3</v>
      </c>
      <c r="AC2914" s="4">
        <v>4</v>
      </c>
      <c r="AD2914" s="4">
        <v>122</v>
      </c>
      <c r="AE2914" s="4">
        <v>124</v>
      </c>
      <c r="AF2914" s="4">
        <v>2</v>
      </c>
      <c r="AG2914" s="4">
        <v>3</v>
      </c>
      <c r="AH2914" s="4">
        <v>103</v>
      </c>
      <c r="AI2914" s="4">
        <v>104</v>
      </c>
      <c r="AJ2914" s="4">
        <v>13</v>
      </c>
      <c r="AK2914" s="4">
        <v>15</v>
      </c>
      <c r="AL2914" s="4">
        <v>57</v>
      </c>
      <c r="AM2914" s="4">
        <v>57</v>
      </c>
      <c r="AN2914" s="4">
        <v>0</v>
      </c>
      <c r="AO2914" s="4">
        <v>0</v>
      </c>
      <c r="AP2914" s="4">
        <v>22</v>
      </c>
      <c r="AQ2914" s="4">
        <v>23</v>
      </c>
      <c r="AR2914" s="3" t="s">
        <v>62</v>
      </c>
      <c r="AS2914" s="3" t="s">
        <v>62</v>
      </c>
      <c r="AT2914" s="3" t="s">
        <v>61</v>
      </c>
      <c r="AU2914" s="6" t="str">
        <f t="shared" si="45"/>
        <v>HathiTrust Record</v>
      </c>
      <c r="AV2914" s="6" t="str">
        <f t="shared" si="46"/>
        <v>Catalog Record</v>
      </c>
      <c r="AW2914" s="6" t="str">
        <f t="shared" si="47"/>
        <v>WorldCat Record</v>
      </c>
      <c r="AX2914" s="3" t="s">
        <v>28216</v>
      </c>
      <c r="AY2914" s="3" t="s">
        <v>28217</v>
      </c>
      <c r="AZ2914" s="3" t="s">
        <v>28218</v>
      </c>
      <c r="BA2914" s="3" t="s">
        <v>28218</v>
      </c>
      <c r="BB2914" s="3" t="s">
        <v>28230</v>
      </c>
      <c r="BC2914" s="3" t="s">
        <v>102</v>
      </c>
      <c r="BD2914" s="3" t="s">
        <v>231</v>
      </c>
      <c r="BE2914" s="3" t="s">
        <v>28220</v>
      </c>
      <c r="BF2914" s="3" t="s">
        <v>28230</v>
      </c>
      <c r="BG2914" s="3" t="s">
        <v>28231</v>
      </c>
    </row>
    <row r="2915" spans="1:59" ht="58" x14ac:dyDescent="0.35">
      <c r="A2915" s="2" t="s">
        <v>59</v>
      </c>
      <c r="B2915" s="2" t="s">
        <v>60</v>
      </c>
      <c r="C2915" s="2" t="s">
        <v>28232</v>
      </c>
      <c r="D2915" s="2" t="s">
        <v>28233</v>
      </c>
      <c r="E2915" s="2" t="s">
        <v>28234</v>
      </c>
      <c r="G2915" s="3" t="s">
        <v>62</v>
      </c>
      <c r="I2915" s="3" t="s">
        <v>61</v>
      </c>
      <c r="J2915" s="3" t="s">
        <v>61</v>
      </c>
      <c r="K2915" s="3" t="s">
        <v>63</v>
      </c>
      <c r="L2915" s="2" t="s">
        <v>28235</v>
      </c>
      <c r="M2915" s="2" t="s">
        <v>28236</v>
      </c>
      <c r="N2915" s="3" t="s">
        <v>795</v>
      </c>
      <c r="P2915" s="3" t="s">
        <v>64</v>
      </c>
      <c r="Q2915" s="2" t="s">
        <v>28237</v>
      </c>
      <c r="R2915" s="3" t="s">
        <v>27443</v>
      </c>
      <c r="S2915" s="4">
        <v>15</v>
      </c>
      <c r="T2915" s="4">
        <v>30</v>
      </c>
      <c r="U2915" s="5" t="s">
        <v>28238</v>
      </c>
      <c r="V2915" s="5" t="s">
        <v>15187</v>
      </c>
      <c r="W2915" s="5" t="s">
        <v>67</v>
      </c>
      <c r="X2915" s="5" t="s">
        <v>67</v>
      </c>
      <c r="Y2915" s="4">
        <v>246</v>
      </c>
      <c r="Z2915" s="4">
        <v>20</v>
      </c>
      <c r="AA2915" s="4">
        <v>46</v>
      </c>
      <c r="AB2915" s="4">
        <v>3</v>
      </c>
      <c r="AC2915" s="4">
        <v>5</v>
      </c>
      <c r="AD2915" s="4">
        <v>28</v>
      </c>
      <c r="AE2915" s="4">
        <v>130</v>
      </c>
      <c r="AF2915" s="4">
        <v>1</v>
      </c>
      <c r="AG2915" s="4">
        <v>3</v>
      </c>
      <c r="AH2915" s="4">
        <v>22</v>
      </c>
      <c r="AI2915" s="4">
        <v>108</v>
      </c>
      <c r="AJ2915" s="4">
        <v>4</v>
      </c>
      <c r="AK2915" s="4">
        <v>19</v>
      </c>
      <c r="AL2915" s="4">
        <v>10</v>
      </c>
      <c r="AM2915" s="4">
        <v>59</v>
      </c>
      <c r="AN2915" s="4">
        <v>0</v>
      </c>
      <c r="AO2915" s="4">
        <v>5</v>
      </c>
      <c r="AP2915" s="4">
        <v>9</v>
      </c>
      <c r="AQ2915" s="4">
        <v>28</v>
      </c>
      <c r="AR2915" s="3" t="s">
        <v>62</v>
      </c>
      <c r="AS2915" s="3" t="s">
        <v>62</v>
      </c>
      <c r="AT2915" s="3" t="s">
        <v>62</v>
      </c>
      <c r="AV2915" s="6" t="str">
        <f>HYPERLINK("http://mcgill.on.worldcat.org/oclc/4915751","Catalog Record")</f>
        <v>Catalog Record</v>
      </c>
      <c r="AW2915" s="6" t="str">
        <f>HYPERLINK("http://www.worldcat.org/oclc/4915751","WorldCat Record")</f>
        <v>WorldCat Record</v>
      </c>
      <c r="AX2915" s="3" t="s">
        <v>28239</v>
      </c>
      <c r="AY2915" s="3" t="s">
        <v>28240</v>
      </c>
      <c r="AZ2915" s="3" t="s">
        <v>28241</v>
      </c>
      <c r="BA2915" s="3" t="s">
        <v>28241</v>
      </c>
      <c r="BB2915" s="3" t="s">
        <v>28242</v>
      </c>
      <c r="BC2915" s="3" t="s">
        <v>102</v>
      </c>
      <c r="BD2915" s="3" t="s">
        <v>68</v>
      </c>
      <c r="BF2915" s="3" t="s">
        <v>28242</v>
      </c>
      <c r="BG2915" s="3" t="s">
        <v>28243</v>
      </c>
    </row>
    <row r="2916" spans="1:59" ht="58" x14ac:dyDescent="0.35">
      <c r="A2916" s="2" t="s">
        <v>89</v>
      </c>
      <c r="B2916" s="2" t="s">
        <v>90</v>
      </c>
      <c r="C2916" s="2" t="s">
        <v>28232</v>
      </c>
      <c r="D2916" s="2" t="s">
        <v>28233</v>
      </c>
      <c r="E2916" s="2" t="s">
        <v>28234</v>
      </c>
      <c r="G2916" s="3" t="s">
        <v>62</v>
      </c>
      <c r="I2916" s="3" t="s">
        <v>61</v>
      </c>
      <c r="J2916" s="3" t="s">
        <v>61</v>
      </c>
      <c r="K2916" s="3" t="s">
        <v>63</v>
      </c>
      <c r="L2916" s="2" t="s">
        <v>28235</v>
      </c>
      <c r="M2916" s="2" t="s">
        <v>28236</v>
      </c>
      <c r="N2916" s="3" t="s">
        <v>795</v>
      </c>
      <c r="P2916" s="3" t="s">
        <v>64</v>
      </c>
      <c r="Q2916" s="2" t="s">
        <v>28237</v>
      </c>
      <c r="R2916" s="3" t="s">
        <v>27443</v>
      </c>
      <c r="S2916" s="4">
        <v>15</v>
      </c>
      <c r="T2916" s="4">
        <v>30</v>
      </c>
      <c r="U2916" s="5" t="s">
        <v>15187</v>
      </c>
      <c r="V2916" s="5" t="s">
        <v>15187</v>
      </c>
      <c r="W2916" s="5" t="s">
        <v>67</v>
      </c>
      <c r="X2916" s="5" t="s">
        <v>67</v>
      </c>
      <c r="Y2916" s="4">
        <v>246</v>
      </c>
      <c r="Z2916" s="4">
        <v>20</v>
      </c>
      <c r="AA2916" s="4">
        <v>46</v>
      </c>
      <c r="AB2916" s="4">
        <v>3</v>
      </c>
      <c r="AC2916" s="4">
        <v>5</v>
      </c>
      <c r="AD2916" s="4">
        <v>28</v>
      </c>
      <c r="AE2916" s="4">
        <v>130</v>
      </c>
      <c r="AF2916" s="4">
        <v>1</v>
      </c>
      <c r="AG2916" s="4">
        <v>3</v>
      </c>
      <c r="AH2916" s="4">
        <v>22</v>
      </c>
      <c r="AI2916" s="4">
        <v>108</v>
      </c>
      <c r="AJ2916" s="4">
        <v>4</v>
      </c>
      <c r="AK2916" s="4">
        <v>19</v>
      </c>
      <c r="AL2916" s="4">
        <v>10</v>
      </c>
      <c r="AM2916" s="4">
        <v>59</v>
      </c>
      <c r="AN2916" s="4">
        <v>0</v>
      </c>
      <c r="AO2916" s="4">
        <v>5</v>
      </c>
      <c r="AP2916" s="4">
        <v>9</v>
      </c>
      <c r="AQ2916" s="4">
        <v>28</v>
      </c>
      <c r="AR2916" s="3" t="s">
        <v>62</v>
      </c>
      <c r="AS2916" s="3" t="s">
        <v>62</v>
      </c>
      <c r="AT2916" s="3" t="s">
        <v>62</v>
      </c>
      <c r="AV2916" s="6" t="str">
        <f>HYPERLINK("http://mcgill.on.worldcat.org/oclc/4915751","Catalog Record")</f>
        <v>Catalog Record</v>
      </c>
      <c r="AW2916" s="6" t="str">
        <f>HYPERLINK("http://www.worldcat.org/oclc/4915751","WorldCat Record")</f>
        <v>WorldCat Record</v>
      </c>
      <c r="AX2916" s="3" t="s">
        <v>28239</v>
      </c>
      <c r="AY2916" s="3" t="s">
        <v>28240</v>
      </c>
      <c r="AZ2916" s="3" t="s">
        <v>28241</v>
      </c>
      <c r="BA2916" s="3" t="s">
        <v>28241</v>
      </c>
      <c r="BB2916" s="3" t="s">
        <v>28244</v>
      </c>
      <c r="BC2916" s="3" t="s">
        <v>102</v>
      </c>
      <c r="BD2916" s="3" t="s">
        <v>68</v>
      </c>
      <c r="BF2916" s="3" t="s">
        <v>28244</v>
      </c>
      <c r="BG2916" s="3" t="s">
        <v>28245</v>
      </c>
    </row>
    <row r="2917" spans="1:59" ht="58" x14ac:dyDescent="0.35">
      <c r="A2917" s="2" t="s">
        <v>89</v>
      </c>
      <c r="B2917" s="2" t="s">
        <v>90</v>
      </c>
      <c r="C2917" s="2" t="s">
        <v>28246</v>
      </c>
      <c r="D2917" s="2" t="s">
        <v>28247</v>
      </c>
      <c r="E2917" s="2" t="s">
        <v>28248</v>
      </c>
      <c r="G2917" s="3" t="s">
        <v>62</v>
      </c>
      <c r="I2917" s="3" t="s">
        <v>62</v>
      </c>
      <c r="J2917" s="3" t="s">
        <v>62</v>
      </c>
      <c r="K2917" s="3" t="s">
        <v>63</v>
      </c>
      <c r="L2917" s="2" t="s">
        <v>28249</v>
      </c>
      <c r="M2917" s="2" t="s">
        <v>28250</v>
      </c>
      <c r="N2917" s="3" t="s">
        <v>625</v>
      </c>
      <c r="P2917" s="3" t="s">
        <v>64</v>
      </c>
      <c r="R2917" s="3" t="s">
        <v>27443</v>
      </c>
      <c r="S2917" s="4">
        <v>6</v>
      </c>
      <c r="T2917" s="4">
        <v>6</v>
      </c>
      <c r="U2917" s="5" t="s">
        <v>10639</v>
      </c>
      <c r="V2917" s="5" t="s">
        <v>10639</v>
      </c>
      <c r="W2917" s="5" t="s">
        <v>67</v>
      </c>
      <c r="X2917" s="5" t="s">
        <v>67</v>
      </c>
      <c r="Y2917" s="4">
        <v>150</v>
      </c>
      <c r="Z2917" s="4">
        <v>15</v>
      </c>
      <c r="AA2917" s="4">
        <v>17</v>
      </c>
      <c r="AB2917" s="4">
        <v>2</v>
      </c>
      <c r="AC2917" s="4">
        <v>3</v>
      </c>
      <c r="AD2917" s="4">
        <v>40</v>
      </c>
      <c r="AE2917" s="4">
        <v>41</v>
      </c>
      <c r="AF2917" s="4">
        <v>0</v>
      </c>
      <c r="AG2917" s="4">
        <v>1</v>
      </c>
      <c r="AH2917" s="4">
        <v>34</v>
      </c>
      <c r="AI2917" s="4">
        <v>35</v>
      </c>
      <c r="AJ2917" s="4">
        <v>6</v>
      </c>
      <c r="AK2917" s="4">
        <v>7</v>
      </c>
      <c r="AL2917" s="4">
        <v>24</v>
      </c>
      <c r="AM2917" s="4">
        <v>24</v>
      </c>
      <c r="AN2917" s="4">
        <v>0</v>
      </c>
      <c r="AO2917" s="4">
        <v>0</v>
      </c>
      <c r="AP2917" s="4">
        <v>8</v>
      </c>
      <c r="AQ2917" s="4">
        <v>9</v>
      </c>
      <c r="AR2917" s="3" t="s">
        <v>62</v>
      </c>
      <c r="AS2917" s="3" t="s">
        <v>62</v>
      </c>
      <c r="AT2917" s="3" t="s">
        <v>62</v>
      </c>
      <c r="AV2917" s="6" t="str">
        <f>HYPERLINK("http://mcgill.on.worldcat.org/oclc/51965887","Catalog Record")</f>
        <v>Catalog Record</v>
      </c>
      <c r="AW2917" s="6" t="str">
        <f>HYPERLINK("http://www.worldcat.org/oclc/51965887","WorldCat Record")</f>
        <v>WorldCat Record</v>
      </c>
      <c r="AX2917" s="3" t="s">
        <v>28251</v>
      </c>
      <c r="AY2917" s="3" t="s">
        <v>28252</v>
      </c>
      <c r="AZ2917" s="3" t="s">
        <v>28253</v>
      </c>
      <c r="BA2917" s="3" t="s">
        <v>28253</v>
      </c>
      <c r="BB2917" s="3" t="s">
        <v>28254</v>
      </c>
      <c r="BC2917" s="3" t="s">
        <v>102</v>
      </c>
      <c r="BD2917" s="3" t="s">
        <v>68</v>
      </c>
      <c r="BE2917" s="3" t="s">
        <v>28255</v>
      </c>
      <c r="BF2917" s="3" t="s">
        <v>28254</v>
      </c>
      <c r="BG2917" s="3" t="s">
        <v>28256</v>
      </c>
    </row>
    <row r="2918" spans="1:59" ht="58" x14ac:dyDescent="0.35">
      <c r="A2918" s="2" t="s">
        <v>89</v>
      </c>
      <c r="B2918" s="2" t="s">
        <v>90</v>
      </c>
      <c r="C2918" s="2" t="s">
        <v>28257</v>
      </c>
      <c r="D2918" s="2" t="s">
        <v>28258</v>
      </c>
      <c r="E2918" s="2" t="s">
        <v>28259</v>
      </c>
      <c r="G2918" s="3" t="s">
        <v>62</v>
      </c>
      <c r="I2918" s="3" t="s">
        <v>61</v>
      </c>
      <c r="J2918" s="3" t="s">
        <v>62</v>
      </c>
      <c r="K2918" s="3" t="s">
        <v>63</v>
      </c>
      <c r="L2918" s="2" t="s">
        <v>28260</v>
      </c>
      <c r="M2918" s="2" t="s">
        <v>28261</v>
      </c>
      <c r="N2918" s="3" t="s">
        <v>866</v>
      </c>
      <c r="P2918" s="3" t="s">
        <v>64</v>
      </c>
      <c r="Q2918" s="2" t="s">
        <v>28262</v>
      </c>
      <c r="R2918" s="3" t="s">
        <v>27443</v>
      </c>
      <c r="S2918" s="4">
        <v>27</v>
      </c>
      <c r="T2918" s="4">
        <v>38</v>
      </c>
      <c r="U2918" s="5" t="s">
        <v>28263</v>
      </c>
      <c r="V2918" s="5" t="s">
        <v>28263</v>
      </c>
      <c r="W2918" s="5" t="s">
        <v>67</v>
      </c>
      <c r="X2918" s="5" t="s">
        <v>67</v>
      </c>
      <c r="Y2918" s="4">
        <v>527</v>
      </c>
      <c r="Z2918" s="4">
        <v>30</v>
      </c>
      <c r="AA2918" s="4">
        <v>32</v>
      </c>
      <c r="AB2918" s="4">
        <v>1</v>
      </c>
      <c r="AC2918" s="4">
        <v>2</v>
      </c>
      <c r="AD2918" s="4">
        <v>119</v>
      </c>
      <c r="AE2918" s="4">
        <v>120</v>
      </c>
      <c r="AF2918" s="4">
        <v>0</v>
      </c>
      <c r="AG2918" s="4">
        <v>0</v>
      </c>
      <c r="AH2918" s="4">
        <v>101</v>
      </c>
      <c r="AI2918" s="4">
        <v>102</v>
      </c>
      <c r="AJ2918" s="4">
        <v>18</v>
      </c>
      <c r="AK2918" s="4">
        <v>19</v>
      </c>
      <c r="AL2918" s="4">
        <v>55</v>
      </c>
      <c r="AM2918" s="4">
        <v>55</v>
      </c>
      <c r="AN2918" s="4">
        <v>0</v>
      </c>
      <c r="AO2918" s="4">
        <v>0</v>
      </c>
      <c r="AP2918" s="4">
        <v>22</v>
      </c>
      <c r="AQ2918" s="4">
        <v>23</v>
      </c>
      <c r="AR2918" s="3" t="s">
        <v>62</v>
      </c>
      <c r="AS2918" s="3" t="s">
        <v>62</v>
      </c>
      <c r="AT2918" s="3" t="s">
        <v>61</v>
      </c>
      <c r="AU2918" s="6" t="str">
        <f>HYPERLINK("http://catalog.hathitrust.org/Record/001477855","HathiTrust Record")</f>
        <v>HathiTrust Record</v>
      </c>
      <c r="AV2918" s="6" t="str">
        <f>HYPERLINK("http://mcgill.on.worldcat.org/oclc/554212","Catalog Record")</f>
        <v>Catalog Record</v>
      </c>
      <c r="AW2918" s="6" t="str">
        <f>HYPERLINK("http://www.worldcat.org/oclc/554212","WorldCat Record")</f>
        <v>WorldCat Record</v>
      </c>
      <c r="AX2918" s="3" t="s">
        <v>28264</v>
      </c>
      <c r="AY2918" s="3" t="s">
        <v>28265</v>
      </c>
      <c r="AZ2918" s="3" t="s">
        <v>28266</v>
      </c>
      <c r="BA2918" s="3" t="s">
        <v>28266</v>
      </c>
      <c r="BB2918" s="3" t="s">
        <v>28267</v>
      </c>
      <c r="BC2918" s="3" t="s">
        <v>102</v>
      </c>
      <c r="BD2918" s="3" t="s">
        <v>68</v>
      </c>
      <c r="BE2918" s="3" t="s">
        <v>28268</v>
      </c>
      <c r="BF2918" s="3" t="s">
        <v>28267</v>
      </c>
      <c r="BG2918" s="3" t="s">
        <v>28269</v>
      </c>
    </row>
    <row r="2919" spans="1:59" ht="58" x14ac:dyDescent="0.35">
      <c r="A2919" s="2" t="s">
        <v>89</v>
      </c>
      <c r="B2919" s="2" t="s">
        <v>90</v>
      </c>
      <c r="C2919" s="2" t="s">
        <v>28270</v>
      </c>
      <c r="D2919" s="2" t="s">
        <v>28271</v>
      </c>
      <c r="E2919" s="2" t="s">
        <v>28272</v>
      </c>
      <c r="F2919" s="3" t="s">
        <v>1371</v>
      </c>
      <c r="G2919" s="3" t="s">
        <v>61</v>
      </c>
      <c r="I2919" s="3" t="s">
        <v>61</v>
      </c>
      <c r="J2919" s="3" t="s">
        <v>62</v>
      </c>
      <c r="K2919" s="3" t="s">
        <v>63</v>
      </c>
      <c r="L2919" s="2" t="s">
        <v>28273</v>
      </c>
      <c r="M2919" s="2" t="s">
        <v>28274</v>
      </c>
      <c r="N2919" s="3" t="s">
        <v>28275</v>
      </c>
      <c r="P2919" s="3" t="s">
        <v>64</v>
      </c>
      <c r="Q2919" s="2" t="s">
        <v>28276</v>
      </c>
      <c r="R2919" s="3" t="s">
        <v>27443</v>
      </c>
      <c r="S2919" s="4">
        <v>5</v>
      </c>
      <c r="T2919" s="4">
        <v>21</v>
      </c>
      <c r="U2919" s="5" t="s">
        <v>28277</v>
      </c>
      <c r="V2919" s="5" t="s">
        <v>28278</v>
      </c>
      <c r="W2919" s="5" t="s">
        <v>67</v>
      </c>
      <c r="X2919" s="5" t="s">
        <v>67</v>
      </c>
      <c r="Y2919" s="4">
        <v>4</v>
      </c>
      <c r="Z2919" s="4">
        <v>1</v>
      </c>
      <c r="AA2919" s="4">
        <v>1</v>
      </c>
      <c r="AB2919" s="4">
        <v>1</v>
      </c>
      <c r="AC2919" s="4">
        <v>1</v>
      </c>
      <c r="AD2919" s="4">
        <v>0</v>
      </c>
      <c r="AE2919" s="4">
        <v>0</v>
      </c>
      <c r="AF2919" s="4">
        <v>0</v>
      </c>
      <c r="AG2919" s="4">
        <v>0</v>
      </c>
      <c r="AH2919" s="4">
        <v>0</v>
      </c>
      <c r="AI2919" s="4">
        <v>0</v>
      </c>
      <c r="AJ2919" s="4">
        <v>0</v>
      </c>
      <c r="AK2919" s="4">
        <v>0</v>
      </c>
      <c r="AL2919" s="4">
        <v>0</v>
      </c>
      <c r="AM2919" s="4">
        <v>0</v>
      </c>
      <c r="AN2919" s="4">
        <v>0</v>
      </c>
      <c r="AO2919" s="4">
        <v>0</v>
      </c>
      <c r="AP2919" s="4">
        <v>0</v>
      </c>
      <c r="AQ2919" s="4">
        <v>0</v>
      </c>
      <c r="AR2919" s="3" t="s">
        <v>62</v>
      </c>
      <c r="AS2919" s="3" t="s">
        <v>62</v>
      </c>
      <c r="AT2919" s="3" t="s">
        <v>61</v>
      </c>
      <c r="AU2919" s="6" t="str">
        <f>HYPERLINK("http://catalog.hathitrust.org/Record/000435608","HathiTrust Record")</f>
        <v>HathiTrust Record</v>
      </c>
      <c r="AV2919" s="6" t="str">
        <f>HYPERLINK("http://mcgill.on.worldcat.org/oclc/427079766","Catalog Record")</f>
        <v>Catalog Record</v>
      </c>
      <c r="AW2919" s="6" t="str">
        <f>HYPERLINK("http://www.worldcat.org/oclc/427079766","WorldCat Record")</f>
        <v>WorldCat Record</v>
      </c>
      <c r="AX2919" s="3" t="s">
        <v>28279</v>
      </c>
      <c r="AY2919" s="3" t="s">
        <v>28280</v>
      </c>
      <c r="AZ2919" s="3" t="s">
        <v>28281</v>
      </c>
      <c r="BA2919" s="3" t="s">
        <v>28281</v>
      </c>
      <c r="BB2919" s="3" t="s">
        <v>28282</v>
      </c>
      <c r="BC2919" s="3" t="s">
        <v>102</v>
      </c>
      <c r="BD2919" s="3" t="s">
        <v>68</v>
      </c>
      <c r="BF2919" s="3" t="s">
        <v>28282</v>
      </c>
      <c r="BG2919" s="3" t="s">
        <v>28283</v>
      </c>
    </row>
    <row r="2920" spans="1:59" ht="58" x14ac:dyDescent="0.35">
      <c r="A2920" s="2" t="s">
        <v>89</v>
      </c>
      <c r="B2920" s="2" t="s">
        <v>90</v>
      </c>
      <c r="C2920" s="2" t="s">
        <v>28270</v>
      </c>
      <c r="D2920" s="2" t="s">
        <v>28271</v>
      </c>
      <c r="E2920" s="2" t="s">
        <v>28272</v>
      </c>
      <c r="F2920" s="3" t="s">
        <v>1381</v>
      </c>
      <c r="G2920" s="3" t="s">
        <v>61</v>
      </c>
      <c r="I2920" s="3" t="s">
        <v>61</v>
      </c>
      <c r="J2920" s="3" t="s">
        <v>62</v>
      </c>
      <c r="K2920" s="3" t="s">
        <v>63</v>
      </c>
      <c r="L2920" s="2" t="s">
        <v>28273</v>
      </c>
      <c r="M2920" s="2" t="s">
        <v>28274</v>
      </c>
      <c r="N2920" s="3" t="s">
        <v>28275</v>
      </c>
      <c r="P2920" s="3" t="s">
        <v>64</v>
      </c>
      <c r="Q2920" s="2" t="s">
        <v>28276</v>
      </c>
      <c r="R2920" s="3" t="s">
        <v>27443</v>
      </c>
      <c r="S2920" s="4">
        <v>9</v>
      </c>
      <c r="T2920" s="4">
        <v>21</v>
      </c>
      <c r="U2920" s="5" t="s">
        <v>28278</v>
      </c>
      <c r="V2920" s="5" t="s">
        <v>28278</v>
      </c>
      <c r="W2920" s="5" t="s">
        <v>67</v>
      </c>
      <c r="X2920" s="5" t="s">
        <v>67</v>
      </c>
      <c r="Y2920" s="4">
        <v>4</v>
      </c>
      <c r="Z2920" s="4">
        <v>1</v>
      </c>
      <c r="AA2920" s="4">
        <v>1</v>
      </c>
      <c r="AB2920" s="4">
        <v>1</v>
      </c>
      <c r="AC2920" s="4">
        <v>1</v>
      </c>
      <c r="AD2920" s="4">
        <v>0</v>
      </c>
      <c r="AE2920" s="4">
        <v>0</v>
      </c>
      <c r="AF2920" s="4">
        <v>0</v>
      </c>
      <c r="AG2920" s="4">
        <v>0</v>
      </c>
      <c r="AH2920" s="4">
        <v>0</v>
      </c>
      <c r="AI2920" s="4">
        <v>0</v>
      </c>
      <c r="AJ2920" s="4">
        <v>0</v>
      </c>
      <c r="AK2920" s="4">
        <v>0</v>
      </c>
      <c r="AL2920" s="4">
        <v>0</v>
      </c>
      <c r="AM2920" s="4">
        <v>0</v>
      </c>
      <c r="AN2920" s="4">
        <v>0</v>
      </c>
      <c r="AO2920" s="4">
        <v>0</v>
      </c>
      <c r="AP2920" s="4">
        <v>0</v>
      </c>
      <c r="AQ2920" s="4">
        <v>0</v>
      </c>
      <c r="AR2920" s="3" t="s">
        <v>62</v>
      </c>
      <c r="AS2920" s="3" t="s">
        <v>62</v>
      </c>
      <c r="AT2920" s="3" t="s">
        <v>61</v>
      </c>
      <c r="AU2920" s="6" t="str">
        <f>HYPERLINK("http://catalog.hathitrust.org/Record/000435608","HathiTrust Record")</f>
        <v>HathiTrust Record</v>
      </c>
      <c r="AV2920" s="6" t="str">
        <f>HYPERLINK("http://mcgill.on.worldcat.org/oclc/427079766","Catalog Record")</f>
        <v>Catalog Record</v>
      </c>
      <c r="AW2920" s="6" t="str">
        <f>HYPERLINK("http://www.worldcat.org/oclc/427079766","WorldCat Record")</f>
        <v>WorldCat Record</v>
      </c>
      <c r="AX2920" s="3" t="s">
        <v>28279</v>
      </c>
      <c r="AY2920" s="3" t="s">
        <v>28280</v>
      </c>
      <c r="AZ2920" s="3" t="s">
        <v>28281</v>
      </c>
      <c r="BA2920" s="3" t="s">
        <v>28281</v>
      </c>
      <c r="BB2920" s="3" t="s">
        <v>28284</v>
      </c>
      <c r="BC2920" s="3" t="s">
        <v>102</v>
      </c>
      <c r="BD2920" s="3" t="s">
        <v>68</v>
      </c>
      <c r="BF2920" s="3" t="s">
        <v>28284</v>
      </c>
      <c r="BG2920" s="3" t="s">
        <v>28285</v>
      </c>
    </row>
    <row r="2921" spans="1:59" ht="58" x14ac:dyDescent="0.35">
      <c r="A2921" s="2" t="s">
        <v>89</v>
      </c>
      <c r="B2921" s="2" t="s">
        <v>90</v>
      </c>
      <c r="C2921" s="2" t="s">
        <v>28286</v>
      </c>
      <c r="D2921" s="2" t="s">
        <v>28287</v>
      </c>
      <c r="E2921" s="2" t="s">
        <v>28288</v>
      </c>
      <c r="G2921" s="3" t="s">
        <v>62</v>
      </c>
      <c r="I2921" s="3" t="s">
        <v>61</v>
      </c>
      <c r="J2921" s="3" t="s">
        <v>62</v>
      </c>
      <c r="K2921" s="3" t="s">
        <v>63</v>
      </c>
      <c r="L2921" s="2" t="s">
        <v>28289</v>
      </c>
      <c r="M2921" s="2" t="s">
        <v>28290</v>
      </c>
      <c r="N2921" s="3" t="s">
        <v>95</v>
      </c>
      <c r="P2921" s="3" t="s">
        <v>64</v>
      </c>
      <c r="R2921" s="3" t="s">
        <v>27443</v>
      </c>
      <c r="S2921" s="4">
        <v>0</v>
      </c>
      <c r="T2921" s="4">
        <v>5</v>
      </c>
      <c r="V2921" s="5" t="s">
        <v>28291</v>
      </c>
      <c r="W2921" s="5" t="s">
        <v>67</v>
      </c>
      <c r="X2921" s="5" t="s">
        <v>67</v>
      </c>
      <c r="Y2921" s="4">
        <v>63</v>
      </c>
      <c r="Z2921" s="4">
        <v>3</v>
      </c>
      <c r="AA2921" s="4">
        <v>3</v>
      </c>
      <c r="AB2921" s="4">
        <v>1</v>
      </c>
      <c r="AC2921" s="4">
        <v>1</v>
      </c>
      <c r="AD2921" s="4">
        <v>23</v>
      </c>
      <c r="AE2921" s="4">
        <v>23</v>
      </c>
      <c r="AF2921" s="4">
        <v>0</v>
      </c>
      <c r="AG2921" s="4">
        <v>0</v>
      </c>
      <c r="AH2921" s="4">
        <v>22</v>
      </c>
      <c r="AI2921" s="4">
        <v>22</v>
      </c>
      <c r="AJ2921" s="4">
        <v>2</v>
      </c>
      <c r="AK2921" s="4">
        <v>2</v>
      </c>
      <c r="AL2921" s="4">
        <v>17</v>
      </c>
      <c r="AM2921" s="4">
        <v>17</v>
      </c>
      <c r="AN2921" s="4">
        <v>0</v>
      </c>
      <c r="AO2921" s="4">
        <v>0</v>
      </c>
      <c r="AP2921" s="4">
        <v>2</v>
      </c>
      <c r="AQ2921" s="4">
        <v>2</v>
      </c>
      <c r="AR2921" s="3" t="s">
        <v>62</v>
      </c>
      <c r="AS2921" s="3" t="s">
        <v>62</v>
      </c>
      <c r="AT2921" s="3" t="s">
        <v>62</v>
      </c>
      <c r="AV2921" s="6" t="str">
        <f>HYPERLINK("http://mcgill.on.worldcat.org/oclc/8281204","Catalog Record")</f>
        <v>Catalog Record</v>
      </c>
      <c r="AW2921" s="6" t="str">
        <f>HYPERLINK("http://www.worldcat.org/oclc/8281204","WorldCat Record")</f>
        <v>WorldCat Record</v>
      </c>
      <c r="AX2921" s="3" t="s">
        <v>28292</v>
      </c>
      <c r="AY2921" s="3" t="s">
        <v>28293</v>
      </c>
      <c r="AZ2921" s="3" t="s">
        <v>28294</v>
      </c>
      <c r="BA2921" s="3" t="s">
        <v>28294</v>
      </c>
      <c r="BB2921" s="3" t="s">
        <v>28295</v>
      </c>
      <c r="BC2921" s="3" t="s">
        <v>102</v>
      </c>
      <c r="BD2921" s="3" t="s">
        <v>68</v>
      </c>
      <c r="BE2921" s="3" t="s">
        <v>28296</v>
      </c>
      <c r="BF2921" s="3" t="s">
        <v>28295</v>
      </c>
      <c r="BG2921" s="3" t="s">
        <v>28297</v>
      </c>
    </row>
    <row r="2922" spans="1:59" ht="58" x14ac:dyDescent="0.35">
      <c r="A2922" s="2" t="s">
        <v>89</v>
      </c>
      <c r="B2922" s="2" t="s">
        <v>90</v>
      </c>
      <c r="C2922" s="2" t="s">
        <v>28298</v>
      </c>
      <c r="D2922" s="2" t="s">
        <v>28299</v>
      </c>
      <c r="E2922" s="2" t="s">
        <v>28300</v>
      </c>
      <c r="G2922" s="3" t="s">
        <v>62</v>
      </c>
      <c r="I2922" s="3" t="s">
        <v>62</v>
      </c>
      <c r="J2922" s="3" t="s">
        <v>62</v>
      </c>
      <c r="K2922" s="3" t="s">
        <v>63</v>
      </c>
      <c r="L2922" s="2" t="s">
        <v>28301</v>
      </c>
      <c r="M2922" s="2" t="s">
        <v>28302</v>
      </c>
      <c r="N2922" s="3" t="s">
        <v>1264</v>
      </c>
      <c r="P2922" s="3" t="s">
        <v>64</v>
      </c>
      <c r="R2922" s="3" t="s">
        <v>27443</v>
      </c>
      <c r="S2922" s="4">
        <v>7</v>
      </c>
      <c r="T2922" s="4">
        <v>7</v>
      </c>
      <c r="U2922" s="5" t="s">
        <v>4989</v>
      </c>
      <c r="V2922" s="5" t="s">
        <v>4989</v>
      </c>
      <c r="W2922" s="5" t="s">
        <v>67</v>
      </c>
      <c r="X2922" s="5" t="s">
        <v>67</v>
      </c>
      <c r="Y2922" s="4">
        <v>248</v>
      </c>
      <c r="Z2922" s="4">
        <v>18</v>
      </c>
      <c r="AA2922" s="4">
        <v>18</v>
      </c>
      <c r="AB2922" s="4">
        <v>1</v>
      </c>
      <c r="AC2922" s="4">
        <v>1</v>
      </c>
      <c r="AD2922" s="4">
        <v>85</v>
      </c>
      <c r="AE2922" s="4">
        <v>85</v>
      </c>
      <c r="AF2922" s="4">
        <v>0</v>
      </c>
      <c r="AG2922" s="4">
        <v>0</v>
      </c>
      <c r="AH2922" s="4">
        <v>76</v>
      </c>
      <c r="AI2922" s="4">
        <v>76</v>
      </c>
      <c r="AJ2922" s="4">
        <v>13</v>
      </c>
      <c r="AK2922" s="4">
        <v>13</v>
      </c>
      <c r="AL2922" s="4">
        <v>49</v>
      </c>
      <c r="AM2922" s="4">
        <v>49</v>
      </c>
      <c r="AN2922" s="4">
        <v>0</v>
      </c>
      <c r="AO2922" s="4">
        <v>0</v>
      </c>
      <c r="AP2922" s="4">
        <v>12</v>
      </c>
      <c r="AQ2922" s="4">
        <v>12</v>
      </c>
      <c r="AR2922" s="3" t="s">
        <v>62</v>
      </c>
      <c r="AS2922" s="3" t="s">
        <v>62</v>
      </c>
      <c r="AT2922" s="3" t="s">
        <v>61</v>
      </c>
      <c r="AU2922" s="6" t="str">
        <f>HYPERLINK("http://catalog.hathitrust.org/Record/001477857","HathiTrust Record")</f>
        <v>HathiTrust Record</v>
      </c>
      <c r="AV2922" s="6" t="str">
        <f>HYPERLINK("http://mcgill.on.worldcat.org/oclc/1293032","Catalog Record")</f>
        <v>Catalog Record</v>
      </c>
      <c r="AW2922" s="6" t="str">
        <f>HYPERLINK("http://www.worldcat.org/oclc/1293032","WorldCat Record")</f>
        <v>WorldCat Record</v>
      </c>
      <c r="AX2922" s="3" t="s">
        <v>28303</v>
      </c>
      <c r="AY2922" s="3" t="s">
        <v>28304</v>
      </c>
      <c r="AZ2922" s="3" t="s">
        <v>28305</v>
      </c>
      <c r="BA2922" s="3" t="s">
        <v>28305</v>
      </c>
      <c r="BB2922" s="3" t="s">
        <v>28306</v>
      </c>
      <c r="BC2922" s="3" t="s">
        <v>102</v>
      </c>
      <c r="BD2922" s="3" t="s">
        <v>68</v>
      </c>
      <c r="BF2922" s="3" t="s">
        <v>28306</v>
      </c>
      <c r="BG2922" s="3" t="s">
        <v>28307</v>
      </c>
    </row>
    <row r="2923" spans="1:59" ht="58" x14ac:dyDescent="0.35">
      <c r="A2923" s="2" t="s">
        <v>89</v>
      </c>
      <c r="B2923" s="2" t="s">
        <v>90</v>
      </c>
      <c r="C2923" s="2" t="s">
        <v>28308</v>
      </c>
      <c r="D2923" s="2" t="s">
        <v>28309</v>
      </c>
      <c r="E2923" s="2" t="s">
        <v>28310</v>
      </c>
      <c r="G2923" s="3" t="s">
        <v>62</v>
      </c>
      <c r="I2923" s="3" t="s">
        <v>61</v>
      </c>
      <c r="J2923" s="3" t="s">
        <v>62</v>
      </c>
      <c r="K2923" s="3" t="s">
        <v>63</v>
      </c>
      <c r="L2923" s="2" t="s">
        <v>28311</v>
      </c>
      <c r="M2923" s="2" t="s">
        <v>28312</v>
      </c>
      <c r="N2923" s="3" t="s">
        <v>186</v>
      </c>
      <c r="P2923" s="3" t="s">
        <v>64</v>
      </c>
      <c r="Q2923" s="2" t="s">
        <v>28313</v>
      </c>
      <c r="R2923" s="3" t="s">
        <v>27443</v>
      </c>
      <c r="S2923" s="4">
        <v>23</v>
      </c>
      <c r="T2923" s="4">
        <v>38</v>
      </c>
      <c r="U2923" s="5" t="s">
        <v>811</v>
      </c>
      <c r="V2923" s="5" t="s">
        <v>28291</v>
      </c>
      <c r="W2923" s="5" t="s">
        <v>67</v>
      </c>
      <c r="X2923" s="5" t="s">
        <v>67</v>
      </c>
      <c r="Y2923" s="4">
        <v>608</v>
      </c>
      <c r="Z2923" s="4">
        <v>32</v>
      </c>
      <c r="AA2923" s="4">
        <v>36</v>
      </c>
      <c r="AB2923" s="4">
        <v>2</v>
      </c>
      <c r="AC2923" s="4">
        <v>4</v>
      </c>
      <c r="AD2923" s="4">
        <v>126</v>
      </c>
      <c r="AE2923" s="4">
        <v>132</v>
      </c>
      <c r="AF2923" s="4">
        <v>1</v>
      </c>
      <c r="AG2923" s="4">
        <v>3</v>
      </c>
      <c r="AH2923" s="4">
        <v>107</v>
      </c>
      <c r="AI2923" s="4">
        <v>110</v>
      </c>
      <c r="AJ2923" s="4">
        <v>21</v>
      </c>
      <c r="AK2923" s="4">
        <v>23</v>
      </c>
      <c r="AL2923" s="4">
        <v>57</v>
      </c>
      <c r="AM2923" s="4">
        <v>59</v>
      </c>
      <c r="AN2923" s="4">
        <v>0</v>
      </c>
      <c r="AO2923" s="4">
        <v>0</v>
      </c>
      <c r="AP2923" s="4">
        <v>26</v>
      </c>
      <c r="AQ2923" s="4">
        <v>28</v>
      </c>
      <c r="AR2923" s="3" t="s">
        <v>62</v>
      </c>
      <c r="AS2923" s="3" t="s">
        <v>62</v>
      </c>
      <c r="AT2923" s="3" t="s">
        <v>62</v>
      </c>
      <c r="AV2923" s="6" t="str">
        <f>HYPERLINK("http://mcgill.on.worldcat.org/oclc/1418499","Catalog Record")</f>
        <v>Catalog Record</v>
      </c>
      <c r="AW2923" s="6" t="str">
        <f>HYPERLINK("http://www.worldcat.org/oclc/1418499","WorldCat Record")</f>
        <v>WorldCat Record</v>
      </c>
      <c r="AX2923" s="3" t="s">
        <v>28314</v>
      </c>
      <c r="AY2923" s="3" t="s">
        <v>28315</v>
      </c>
      <c r="AZ2923" s="3" t="s">
        <v>28316</v>
      </c>
      <c r="BA2923" s="3" t="s">
        <v>28316</v>
      </c>
      <c r="BB2923" s="3" t="s">
        <v>28317</v>
      </c>
      <c r="BC2923" s="3" t="s">
        <v>102</v>
      </c>
      <c r="BD2923" s="3" t="s">
        <v>68</v>
      </c>
      <c r="BE2923" s="3" t="s">
        <v>28318</v>
      </c>
      <c r="BF2923" s="3" t="s">
        <v>28317</v>
      </c>
      <c r="BG2923" s="3" t="s">
        <v>28319</v>
      </c>
    </row>
    <row r="2924" spans="1:59" ht="58" x14ac:dyDescent="0.35">
      <c r="A2924" s="2" t="s">
        <v>89</v>
      </c>
      <c r="B2924" s="2" t="s">
        <v>90</v>
      </c>
      <c r="C2924" s="2" t="s">
        <v>28320</v>
      </c>
      <c r="D2924" s="2" t="s">
        <v>28321</v>
      </c>
      <c r="E2924" s="2" t="s">
        <v>28322</v>
      </c>
      <c r="G2924" s="3" t="s">
        <v>62</v>
      </c>
      <c r="I2924" s="3" t="s">
        <v>62</v>
      </c>
      <c r="J2924" s="3" t="s">
        <v>62</v>
      </c>
      <c r="K2924" s="3" t="s">
        <v>63</v>
      </c>
      <c r="L2924" s="2" t="s">
        <v>28323</v>
      </c>
      <c r="M2924" s="2" t="s">
        <v>28324</v>
      </c>
      <c r="N2924" s="3" t="s">
        <v>625</v>
      </c>
      <c r="P2924" s="3" t="s">
        <v>64</v>
      </c>
      <c r="R2924" s="3" t="s">
        <v>27443</v>
      </c>
      <c r="S2924" s="4">
        <v>29</v>
      </c>
      <c r="T2924" s="4">
        <v>29</v>
      </c>
      <c r="U2924" s="5" t="s">
        <v>15964</v>
      </c>
      <c r="V2924" s="5" t="s">
        <v>15964</v>
      </c>
      <c r="W2924" s="5" t="s">
        <v>67</v>
      </c>
      <c r="X2924" s="5" t="s">
        <v>67</v>
      </c>
      <c r="Y2924" s="4">
        <v>115</v>
      </c>
      <c r="Z2924" s="4">
        <v>2</v>
      </c>
      <c r="AA2924" s="4">
        <v>92</v>
      </c>
      <c r="AB2924" s="4">
        <v>1</v>
      </c>
      <c r="AC2924" s="4">
        <v>7</v>
      </c>
      <c r="AD2924" s="4">
        <v>2</v>
      </c>
      <c r="AE2924" s="4">
        <v>131</v>
      </c>
      <c r="AF2924" s="4">
        <v>0</v>
      </c>
      <c r="AG2924" s="4">
        <v>1</v>
      </c>
      <c r="AH2924" s="4">
        <v>1</v>
      </c>
      <c r="AI2924" s="4">
        <v>105</v>
      </c>
      <c r="AJ2924" s="4">
        <v>0</v>
      </c>
      <c r="AK2924" s="4">
        <v>21</v>
      </c>
      <c r="AL2924" s="4">
        <v>0</v>
      </c>
      <c r="AM2924" s="4">
        <v>57</v>
      </c>
      <c r="AN2924" s="4">
        <v>0</v>
      </c>
      <c r="AO2924" s="4">
        <v>0</v>
      </c>
      <c r="AP2924" s="4">
        <v>1</v>
      </c>
      <c r="AQ2924" s="4">
        <v>33</v>
      </c>
      <c r="AR2924" s="3" t="s">
        <v>62</v>
      </c>
      <c r="AS2924" s="3" t="s">
        <v>62</v>
      </c>
      <c r="AT2924" s="3" t="s">
        <v>62</v>
      </c>
      <c r="AV2924" s="6" t="str">
        <f>HYPERLINK("http://mcgill.on.worldcat.org/oclc/52457129","Catalog Record")</f>
        <v>Catalog Record</v>
      </c>
      <c r="AW2924" s="6" t="str">
        <f>HYPERLINK("http://www.worldcat.org/oclc/52457129","WorldCat Record")</f>
        <v>WorldCat Record</v>
      </c>
      <c r="AX2924" s="3" t="s">
        <v>28325</v>
      </c>
      <c r="AY2924" s="3" t="s">
        <v>28326</v>
      </c>
      <c r="AZ2924" s="3" t="s">
        <v>28327</v>
      </c>
      <c r="BA2924" s="3" t="s">
        <v>28327</v>
      </c>
      <c r="BB2924" s="3" t="s">
        <v>28328</v>
      </c>
      <c r="BC2924" s="3" t="s">
        <v>102</v>
      </c>
      <c r="BD2924" s="3" t="s">
        <v>68</v>
      </c>
      <c r="BE2924" s="3" t="s">
        <v>28329</v>
      </c>
      <c r="BF2924" s="3" t="s">
        <v>28328</v>
      </c>
      <c r="BG2924" s="3" t="s">
        <v>28330</v>
      </c>
    </row>
    <row r="2925" spans="1:59" ht="101.5" x14ac:dyDescent="0.35">
      <c r="A2925" s="2" t="s">
        <v>89</v>
      </c>
      <c r="B2925" s="2" t="s">
        <v>90</v>
      </c>
      <c r="C2925" s="2" t="s">
        <v>28331</v>
      </c>
      <c r="D2925" s="2" t="s">
        <v>28332</v>
      </c>
      <c r="E2925" s="2" t="s">
        <v>28333</v>
      </c>
      <c r="G2925" s="3" t="s">
        <v>62</v>
      </c>
      <c r="I2925" s="3" t="s">
        <v>62</v>
      </c>
      <c r="J2925" s="3" t="s">
        <v>61</v>
      </c>
      <c r="K2925" s="3" t="s">
        <v>63</v>
      </c>
      <c r="L2925" s="2" t="s">
        <v>3988</v>
      </c>
      <c r="M2925" s="2" t="s">
        <v>28334</v>
      </c>
      <c r="N2925" s="3" t="s">
        <v>1077</v>
      </c>
      <c r="O2925" s="2" t="s">
        <v>28335</v>
      </c>
      <c r="P2925" s="3" t="s">
        <v>64</v>
      </c>
      <c r="R2925" s="3" t="s">
        <v>27443</v>
      </c>
      <c r="S2925" s="4">
        <v>8</v>
      </c>
      <c r="T2925" s="4">
        <v>8</v>
      </c>
      <c r="U2925" s="5" t="s">
        <v>5146</v>
      </c>
      <c r="V2925" s="5" t="s">
        <v>5146</v>
      </c>
      <c r="W2925" s="5" t="s">
        <v>67</v>
      </c>
      <c r="X2925" s="5" t="s">
        <v>67</v>
      </c>
      <c r="Y2925" s="4">
        <v>171</v>
      </c>
      <c r="Z2925" s="4">
        <v>8</v>
      </c>
      <c r="AA2925" s="4">
        <v>39</v>
      </c>
      <c r="AB2925" s="4">
        <v>1</v>
      </c>
      <c r="AC2925" s="4">
        <v>6</v>
      </c>
      <c r="AD2925" s="4">
        <v>42</v>
      </c>
      <c r="AE2925" s="4">
        <v>136</v>
      </c>
      <c r="AF2925" s="4">
        <v>0</v>
      </c>
      <c r="AG2925" s="4">
        <v>5</v>
      </c>
      <c r="AH2925" s="4">
        <v>36</v>
      </c>
      <c r="AI2925" s="4">
        <v>110</v>
      </c>
      <c r="AJ2925" s="4">
        <v>3</v>
      </c>
      <c r="AK2925" s="4">
        <v>21</v>
      </c>
      <c r="AL2925" s="4">
        <v>24</v>
      </c>
      <c r="AM2925" s="4">
        <v>62</v>
      </c>
      <c r="AN2925" s="4">
        <v>0</v>
      </c>
      <c r="AO2925" s="4">
        <v>0</v>
      </c>
      <c r="AP2925" s="4">
        <v>6</v>
      </c>
      <c r="AQ2925" s="4">
        <v>29</v>
      </c>
      <c r="AR2925" s="3" t="s">
        <v>62</v>
      </c>
      <c r="AS2925" s="3" t="s">
        <v>62</v>
      </c>
      <c r="AT2925" s="3" t="s">
        <v>62</v>
      </c>
      <c r="AV2925" s="6" t="str">
        <f>HYPERLINK("http://mcgill.on.worldcat.org/oclc/27108151","Catalog Record")</f>
        <v>Catalog Record</v>
      </c>
      <c r="AW2925" s="6" t="str">
        <f>HYPERLINK("http://www.worldcat.org/oclc/27108151","WorldCat Record")</f>
        <v>WorldCat Record</v>
      </c>
      <c r="AX2925" s="3" t="s">
        <v>28336</v>
      </c>
      <c r="AY2925" s="3" t="s">
        <v>28337</v>
      </c>
      <c r="AZ2925" s="3" t="s">
        <v>28338</v>
      </c>
      <c r="BA2925" s="3" t="s">
        <v>28338</v>
      </c>
      <c r="BB2925" s="3" t="s">
        <v>28339</v>
      </c>
      <c r="BC2925" s="3" t="s">
        <v>102</v>
      </c>
      <c r="BD2925" s="3" t="s">
        <v>68</v>
      </c>
      <c r="BE2925" s="3" t="s">
        <v>28340</v>
      </c>
      <c r="BF2925" s="3" t="s">
        <v>28339</v>
      </c>
      <c r="BG2925" s="3" t="s">
        <v>28341</v>
      </c>
    </row>
    <row r="2926" spans="1:59" ht="58" x14ac:dyDescent="0.35">
      <c r="A2926" s="2" t="s">
        <v>89</v>
      </c>
      <c r="B2926" s="2" t="s">
        <v>90</v>
      </c>
      <c r="C2926" s="2" t="s">
        <v>28342</v>
      </c>
      <c r="D2926" s="2" t="s">
        <v>28343</v>
      </c>
      <c r="E2926" s="2" t="s">
        <v>28344</v>
      </c>
      <c r="G2926" s="3" t="s">
        <v>62</v>
      </c>
      <c r="I2926" s="3" t="s">
        <v>62</v>
      </c>
      <c r="J2926" s="3" t="s">
        <v>62</v>
      </c>
      <c r="K2926" s="3" t="s">
        <v>63</v>
      </c>
      <c r="L2926" s="2" t="s">
        <v>5083</v>
      </c>
      <c r="M2926" s="2" t="s">
        <v>28345</v>
      </c>
      <c r="N2926" s="3" t="s">
        <v>481</v>
      </c>
      <c r="P2926" s="3" t="s">
        <v>64</v>
      </c>
      <c r="Q2926" s="2" t="s">
        <v>28346</v>
      </c>
      <c r="R2926" s="3" t="s">
        <v>27443</v>
      </c>
      <c r="S2926" s="4">
        <v>28</v>
      </c>
      <c r="T2926" s="4">
        <v>28</v>
      </c>
      <c r="U2926" s="5" t="s">
        <v>28347</v>
      </c>
      <c r="V2926" s="5" t="s">
        <v>28347</v>
      </c>
      <c r="W2926" s="5" t="s">
        <v>67</v>
      </c>
      <c r="X2926" s="5" t="s">
        <v>67</v>
      </c>
      <c r="Y2926" s="4">
        <v>1159</v>
      </c>
      <c r="Z2926" s="4">
        <v>28</v>
      </c>
      <c r="AA2926" s="4">
        <v>46</v>
      </c>
      <c r="AB2926" s="4">
        <v>2</v>
      </c>
      <c r="AC2926" s="4">
        <v>8</v>
      </c>
      <c r="AD2926" s="4">
        <v>79</v>
      </c>
      <c r="AE2926" s="4">
        <v>110</v>
      </c>
      <c r="AF2926" s="4">
        <v>0</v>
      </c>
      <c r="AG2926" s="4">
        <v>2</v>
      </c>
      <c r="AH2926" s="4">
        <v>68</v>
      </c>
      <c r="AI2926" s="4">
        <v>92</v>
      </c>
      <c r="AJ2926" s="4">
        <v>5</v>
      </c>
      <c r="AK2926" s="4">
        <v>14</v>
      </c>
      <c r="AL2926" s="4">
        <v>40</v>
      </c>
      <c r="AM2926" s="4">
        <v>54</v>
      </c>
      <c r="AN2926" s="4">
        <v>0</v>
      </c>
      <c r="AO2926" s="4">
        <v>0</v>
      </c>
      <c r="AP2926" s="4">
        <v>9</v>
      </c>
      <c r="AQ2926" s="4">
        <v>20</v>
      </c>
      <c r="AR2926" s="3" t="s">
        <v>62</v>
      </c>
      <c r="AS2926" s="3" t="s">
        <v>62</v>
      </c>
      <c r="AT2926" s="3" t="s">
        <v>61</v>
      </c>
      <c r="AU2926" s="6" t="str">
        <f>HYPERLINK("http://catalog.hathitrust.org/Record/003243480","HathiTrust Record")</f>
        <v>HathiTrust Record</v>
      </c>
      <c r="AV2926" s="6" t="str">
        <f>HYPERLINK("http://mcgill.on.worldcat.org/oclc/37696312","Catalog Record")</f>
        <v>Catalog Record</v>
      </c>
      <c r="AW2926" s="6" t="str">
        <f>HYPERLINK("http://www.worldcat.org/oclc/37696312","WorldCat Record")</f>
        <v>WorldCat Record</v>
      </c>
      <c r="AX2926" s="3" t="s">
        <v>28348</v>
      </c>
      <c r="AY2926" s="3" t="s">
        <v>28349</v>
      </c>
      <c r="AZ2926" s="3" t="s">
        <v>28350</v>
      </c>
      <c r="BA2926" s="3" t="s">
        <v>28350</v>
      </c>
      <c r="BB2926" s="3" t="s">
        <v>28351</v>
      </c>
      <c r="BC2926" s="3" t="s">
        <v>102</v>
      </c>
      <c r="BD2926" s="3" t="s">
        <v>68</v>
      </c>
      <c r="BE2926" s="3" t="s">
        <v>28352</v>
      </c>
      <c r="BF2926" s="3" t="s">
        <v>28351</v>
      </c>
      <c r="BG2926" s="3" t="s">
        <v>28353</v>
      </c>
    </row>
    <row r="2927" spans="1:59" ht="58" x14ac:dyDescent="0.35">
      <c r="A2927" s="2" t="s">
        <v>89</v>
      </c>
      <c r="B2927" s="2" t="s">
        <v>90</v>
      </c>
      <c r="C2927" s="2" t="s">
        <v>28354</v>
      </c>
      <c r="D2927" s="2" t="s">
        <v>28355</v>
      </c>
      <c r="E2927" s="2" t="s">
        <v>28356</v>
      </c>
      <c r="G2927" s="3" t="s">
        <v>62</v>
      </c>
      <c r="I2927" s="3" t="s">
        <v>62</v>
      </c>
      <c r="J2927" s="3" t="s">
        <v>62</v>
      </c>
      <c r="K2927" s="3" t="s">
        <v>63</v>
      </c>
      <c r="L2927" s="2" t="s">
        <v>28357</v>
      </c>
      <c r="M2927" s="2" t="s">
        <v>28358</v>
      </c>
      <c r="N2927" s="3" t="s">
        <v>201</v>
      </c>
      <c r="P2927" s="3" t="s">
        <v>85</v>
      </c>
      <c r="Q2927" s="2" t="s">
        <v>28359</v>
      </c>
      <c r="R2927" s="3" t="s">
        <v>27443</v>
      </c>
      <c r="S2927" s="4">
        <v>1</v>
      </c>
      <c r="T2927" s="4">
        <v>1</v>
      </c>
      <c r="U2927" s="5" t="s">
        <v>14354</v>
      </c>
      <c r="V2927" s="5" t="s">
        <v>14354</v>
      </c>
      <c r="W2927" s="5" t="s">
        <v>67</v>
      </c>
      <c r="X2927" s="5" t="s">
        <v>67</v>
      </c>
      <c r="Y2927" s="4">
        <v>70</v>
      </c>
      <c r="Z2927" s="4">
        <v>6</v>
      </c>
      <c r="AA2927" s="4">
        <v>8</v>
      </c>
      <c r="AB2927" s="4">
        <v>1</v>
      </c>
      <c r="AC2927" s="4">
        <v>3</v>
      </c>
      <c r="AD2927" s="4">
        <v>36</v>
      </c>
      <c r="AE2927" s="4">
        <v>38</v>
      </c>
      <c r="AF2927" s="4">
        <v>0</v>
      </c>
      <c r="AG2927" s="4">
        <v>2</v>
      </c>
      <c r="AH2927" s="4">
        <v>33</v>
      </c>
      <c r="AI2927" s="4">
        <v>34</v>
      </c>
      <c r="AJ2927" s="4">
        <v>3</v>
      </c>
      <c r="AK2927" s="4">
        <v>5</v>
      </c>
      <c r="AL2927" s="4">
        <v>24</v>
      </c>
      <c r="AM2927" s="4">
        <v>24</v>
      </c>
      <c r="AN2927" s="4">
        <v>0</v>
      </c>
      <c r="AO2927" s="4">
        <v>0</v>
      </c>
      <c r="AP2927" s="4">
        <v>3</v>
      </c>
      <c r="AQ2927" s="4">
        <v>5</v>
      </c>
      <c r="AR2927" s="3" t="s">
        <v>62</v>
      </c>
      <c r="AS2927" s="3" t="s">
        <v>62</v>
      </c>
      <c r="AT2927" s="3" t="s">
        <v>61</v>
      </c>
      <c r="AU2927" s="6" t="str">
        <f>HYPERLINK("http://catalog.hathitrust.org/Record/000734145","HathiTrust Record")</f>
        <v>HathiTrust Record</v>
      </c>
      <c r="AV2927" s="6" t="str">
        <f>HYPERLINK("http://mcgill.on.worldcat.org/oclc/2492985","Catalog Record")</f>
        <v>Catalog Record</v>
      </c>
      <c r="AW2927" s="6" t="str">
        <f>HYPERLINK("http://www.worldcat.org/oclc/2492985","WorldCat Record")</f>
        <v>WorldCat Record</v>
      </c>
      <c r="AX2927" s="3" t="s">
        <v>28360</v>
      </c>
      <c r="AY2927" s="3" t="s">
        <v>28361</v>
      </c>
      <c r="AZ2927" s="3" t="s">
        <v>28362</v>
      </c>
      <c r="BA2927" s="3" t="s">
        <v>28362</v>
      </c>
      <c r="BB2927" s="3" t="s">
        <v>28363</v>
      </c>
      <c r="BC2927" s="3" t="s">
        <v>102</v>
      </c>
      <c r="BD2927" s="3" t="s">
        <v>68</v>
      </c>
      <c r="BF2927" s="3" t="s">
        <v>28363</v>
      </c>
      <c r="BG2927" s="3" t="s">
        <v>28364</v>
      </c>
    </row>
    <row r="2928" spans="1:59" ht="58" x14ac:dyDescent="0.35">
      <c r="A2928" s="2" t="s">
        <v>89</v>
      </c>
      <c r="B2928" s="2" t="s">
        <v>90</v>
      </c>
      <c r="C2928" s="2" t="s">
        <v>28365</v>
      </c>
      <c r="D2928" s="2" t="s">
        <v>28366</v>
      </c>
      <c r="E2928" s="2" t="s">
        <v>28367</v>
      </c>
      <c r="G2928" s="3" t="s">
        <v>62</v>
      </c>
      <c r="I2928" s="3" t="s">
        <v>62</v>
      </c>
      <c r="J2928" s="3" t="s">
        <v>62</v>
      </c>
      <c r="K2928" s="3" t="s">
        <v>63</v>
      </c>
      <c r="L2928" s="2" t="s">
        <v>28368</v>
      </c>
      <c r="M2928" s="2" t="s">
        <v>28369</v>
      </c>
      <c r="N2928" s="3" t="s">
        <v>2136</v>
      </c>
      <c r="O2928" s="2" t="s">
        <v>2163</v>
      </c>
      <c r="P2928" s="3" t="s">
        <v>64</v>
      </c>
      <c r="R2928" s="3" t="s">
        <v>27443</v>
      </c>
      <c r="S2928" s="4">
        <v>24</v>
      </c>
      <c r="T2928" s="4">
        <v>24</v>
      </c>
      <c r="U2928" s="5" t="s">
        <v>8233</v>
      </c>
      <c r="V2928" s="5" t="s">
        <v>8233</v>
      </c>
      <c r="W2928" s="5" t="s">
        <v>67</v>
      </c>
      <c r="X2928" s="5" t="s">
        <v>67</v>
      </c>
      <c r="Y2928" s="4">
        <v>2148</v>
      </c>
      <c r="Z2928" s="4">
        <v>50</v>
      </c>
      <c r="AA2928" s="4">
        <v>77</v>
      </c>
      <c r="AB2928" s="4">
        <v>3</v>
      </c>
      <c r="AC2928" s="4">
        <v>9</v>
      </c>
      <c r="AD2928" s="4">
        <v>113</v>
      </c>
      <c r="AE2928" s="4">
        <v>131</v>
      </c>
      <c r="AF2928" s="4">
        <v>1</v>
      </c>
      <c r="AG2928" s="4">
        <v>3</v>
      </c>
      <c r="AH2928" s="4">
        <v>98</v>
      </c>
      <c r="AI2928" s="4">
        <v>108</v>
      </c>
      <c r="AJ2928" s="4">
        <v>13</v>
      </c>
      <c r="AK2928" s="4">
        <v>20</v>
      </c>
      <c r="AL2928" s="4">
        <v>53</v>
      </c>
      <c r="AM2928" s="4">
        <v>53</v>
      </c>
      <c r="AN2928" s="4">
        <v>0</v>
      </c>
      <c r="AO2928" s="4">
        <v>0</v>
      </c>
      <c r="AP2928" s="4">
        <v>20</v>
      </c>
      <c r="AQ2928" s="4">
        <v>32</v>
      </c>
      <c r="AR2928" s="3" t="s">
        <v>62</v>
      </c>
      <c r="AS2928" s="3" t="s">
        <v>62</v>
      </c>
      <c r="AT2928" s="3" t="s">
        <v>62</v>
      </c>
      <c r="AV2928" s="6" t="str">
        <f>HYPERLINK("http://mcgill.on.worldcat.org/oclc/56753298","Catalog Record")</f>
        <v>Catalog Record</v>
      </c>
      <c r="AW2928" s="6" t="str">
        <f>HYPERLINK("http://www.worldcat.org/oclc/56753298","WorldCat Record")</f>
        <v>WorldCat Record</v>
      </c>
      <c r="AX2928" s="3" t="s">
        <v>28370</v>
      </c>
      <c r="AY2928" s="3" t="s">
        <v>28371</v>
      </c>
      <c r="AZ2928" s="3" t="s">
        <v>28372</v>
      </c>
      <c r="BA2928" s="3" t="s">
        <v>28372</v>
      </c>
      <c r="BB2928" s="3" t="s">
        <v>28373</v>
      </c>
      <c r="BC2928" s="3" t="s">
        <v>102</v>
      </c>
      <c r="BD2928" s="3" t="s">
        <v>68</v>
      </c>
      <c r="BE2928" s="3" t="s">
        <v>28374</v>
      </c>
      <c r="BF2928" s="3" t="s">
        <v>28373</v>
      </c>
      <c r="BG2928" s="3" t="s">
        <v>28375</v>
      </c>
    </row>
    <row r="2929" spans="1:59" ht="72.5" x14ac:dyDescent="0.35">
      <c r="A2929" s="2" t="s">
        <v>89</v>
      </c>
      <c r="B2929" s="2" t="s">
        <v>90</v>
      </c>
      <c r="C2929" s="2" t="s">
        <v>28376</v>
      </c>
      <c r="D2929" s="2" t="s">
        <v>28377</v>
      </c>
      <c r="E2929" s="2" t="s">
        <v>28378</v>
      </c>
      <c r="G2929" s="3" t="s">
        <v>62</v>
      </c>
      <c r="I2929" s="3" t="s">
        <v>62</v>
      </c>
      <c r="J2929" s="3" t="s">
        <v>62</v>
      </c>
      <c r="K2929" s="3" t="s">
        <v>63</v>
      </c>
      <c r="L2929" s="2" t="s">
        <v>28379</v>
      </c>
      <c r="M2929" s="2" t="s">
        <v>28380</v>
      </c>
      <c r="N2929" s="3" t="s">
        <v>698</v>
      </c>
      <c r="P2929" s="3" t="s">
        <v>64</v>
      </c>
      <c r="R2929" s="3" t="s">
        <v>27443</v>
      </c>
      <c r="S2929" s="4">
        <v>5</v>
      </c>
      <c r="T2929" s="4">
        <v>5</v>
      </c>
      <c r="U2929" s="5" t="s">
        <v>8639</v>
      </c>
      <c r="V2929" s="5" t="s">
        <v>8639</v>
      </c>
      <c r="W2929" s="5" t="s">
        <v>67</v>
      </c>
      <c r="X2929" s="5" t="s">
        <v>67</v>
      </c>
      <c r="Y2929" s="4">
        <v>150</v>
      </c>
      <c r="Z2929" s="4">
        <v>15</v>
      </c>
      <c r="AA2929" s="4">
        <v>15</v>
      </c>
      <c r="AB2929" s="4">
        <v>1</v>
      </c>
      <c r="AC2929" s="4">
        <v>1</v>
      </c>
      <c r="AD2929" s="4">
        <v>40</v>
      </c>
      <c r="AE2929" s="4">
        <v>40</v>
      </c>
      <c r="AF2929" s="4">
        <v>0</v>
      </c>
      <c r="AG2929" s="4">
        <v>0</v>
      </c>
      <c r="AH2929" s="4">
        <v>34</v>
      </c>
      <c r="AI2929" s="4">
        <v>34</v>
      </c>
      <c r="AJ2929" s="4">
        <v>10</v>
      </c>
      <c r="AK2929" s="4">
        <v>10</v>
      </c>
      <c r="AL2929" s="4">
        <v>22</v>
      </c>
      <c r="AM2929" s="4">
        <v>22</v>
      </c>
      <c r="AN2929" s="4">
        <v>0</v>
      </c>
      <c r="AO2929" s="4">
        <v>0</v>
      </c>
      <c r="AP2929" s="4">
        <v>12</v>
      </c>
      <c r="AQ2929" s="4">
        <v>12</v>
      </c>
      <c r="AR2929" s="3" t="s">
        <v>62</v>
      </c>
      <c r="AS2929" s="3" t="s">
        <v>62</v>
      </c>
      <c r="AT2929" s="3" t="s">
        <v>62</v>
      </c>
      <c r="AV2929" s="6" t="str">
        <f>HYPERLINK("http://mcgill.on.worldcat.org/oclc/819300105","Catalog Record")</f>
        <v>Catalog Record</v>
      </c>
      <c r="AW2929" s="6" t="str">
        <f>HYPERLINK("http://www.worldcat.org/oclc/819300105","WorldCat Record")</f>
        <v>WorldCat Record</v>
      </c>
      <c r="AX2929" s="3" t="s">
        <v>28381</v>
      </c>
      <c r="AY2929" s="3" t="s">
        <v>28382</v>
      </c>
      <c r="AZ2929" s="3" t="s">
        <v>28383</v>
      </c>
      <c r="BA2929" s="3" t="s">
        <v>28383</v>
      </c>
      <c r="BB2929" s="3" t="s">
        <v>28384</v>
      </c>
      <c r="BC2929" s="3" t="s">
        <v>102</v>
      </c>
      <c r="BD2929" s="3" t="s">
        <v>68</v>
      </c>
      <c r="BE2929" s="3" t="s">
        <v>28385</v>
      </c>
      <c r="BF2929" s="3" t="s">
        <v>28384</v>
      </c>
      <c r="BG2929" s="3" t="s">
        <v>28386</v>
      </c>
    </row>
    <row r="2930" spans="1:59" ht="58" x14ac:dyDescent="0.35">
      <c r="A2930" s="2" t="s">
        <v>89</v>
      </c>
      <c r="B2930" s="2" t="s">
        <v>90</v>
      </c>
      <c r="C2930" s="2" t="s">
        <v>28387</v>
      </c>
      <c r="D2930" s="2" t="s">
        <v>28388</v>
      </c>
      <c r="E2930" s="2" t="s">
        <v>28389</v>
      </c>
      <c r="G2930" s="3" t="s">
        <v>62</v>
      </c>
      <c r="I2930" s="3" t="s">
        <v>62</v>
      </c>
      <c r="J2930" s="3" t="s">
        <v>62</v>
      </c>
      <c r="K2930" s="3" t="s">
        <v>63</v>
      </c>
      <c r="L2930" s="2" t="s">
        <v>28390</v>
      </c>
      <c r="M2930" s="2" t="s">
        <v>28391</v>
      </c>
      <c r="N2930" s="3" t="s">
        <v>1455</v>
      </c>
      <c r="P2930" s="3" t="s">
        <v>64</v>
      </c>
      <c r="R2930" s="3" t="s">
        <v>27443</v>
      </c>
      <c r="S2930" s="4">
        <v>4</v>
      </c>
      <c r="T2930" s="4">
        <v>4</v>
      </c>
      <c r="U2930" s="5" t="s">
        <v>9102</v>
      </c>
      <c r="V2930" s="5" t="s">
        <v>9102</v>
      </c>
      <c r="W2930" s="5" t="s">
        <v>67</v>
      </c>
      <c r="X2930" s="5" t="s">
        <v>67</v>
      </c>
      <c r="Y2930" s="4">
        <v>532</v>
      </c>
      <c r="Z2930" s="4">
        <v>17</v>
      </c>
      <c r="AA2930" s="4">
        <v>61</v>
      </c>
      <c r="AB2930" s="4">
        <v>1</v>
      </c>
      <c r="AC2930" s="4">
        <v>3</v>
      </c>
      <c r="AD2930" s="4">
        <v>59</v>
      </c>
      <c r="AE2930" s="4">
        <v>95</v>
      </c>
      <c r="AF2930" s="4">
        <v>0</v>
      </c>
      <c r="AG2930" s="4">
        <v>0</v>
      </c>
      <c r="AH2930" s="4">
        <v>53</v>
      </c>
      <c r="AI2930" s="4">
        <v>74</v>
      </c>
      <c r="AJ2930" s="4">
        <v>6</v>
      </c>
      <c r="AK2930" s="4">
        <v>11</v>
      </c>
      <c r="AL2930" s="4">
        <v>33</v>
      </c>
      <c r="AM2930" s="4">
        <v>44</v>
      </c>
      <c r="AN2930" s="4">
        <v>0</v>
      </c>
      <c r="AO2930" s="4">
        <v>0</v>
      </c>
      <c r="AP2930" s="4">
        <v>7</v>
      </c>
      <c r="AQ2930" s="4">
        <v>24</v>
      </c>
      <c r="AR2930" s="3" t="s">
        <v>62</v>
      </c>
      <c r="AS2930" s="3" t="s">
        <v>62</v>
      </c>
      <c r="AT2930" s="3" t="s">
        <v>62</v>
      </c>
      <c r="AV2930" s="6" t="str">
        <f>HYPERLINK("http://mcgill.on.worldcat.org/oclc/892895289","Catalog Record")</f>
        <v>Catalog Record</v>
      </c>
      <c r="AW2930" s="6" t="str">
        <f>HYPERLINK("http://www.worldcat.org/oclc/892895289","WorldCat Record")</f>
        <v>WorldCat Record</v>
      </c>
      <c r="AX2930" s="3" t="s">
        <v>28392</v>
      </c>
      <c r="AY2930" s="3" t="s">
        <v>28393</v>
      </c>
      <c r="AZ2930" s="3" t="s">
        <v>28394</v>
      </c>
      <c r="BA2930" s="3" t="s">
        <v>28394</v>
      </c>
      <c r="BB2930" s="3" t="s">
        <v>28395</v>
      </c>
      <c r="BC2930" s="3" t="s">
        <v>102</v>
      </c>
      <c r="BD2930" s="3" t="s">
        <v>68</v>
      </c>
      <c r="BE2930" s="3" t="s">
        <v>28396</v>
      </c>
      <c r="BF2930" s="3" t="s">
        <v>28395</v>
      </c>
      <c r="BG2930" s="3" t="s">
        <v>28397</v>
      </c>
    </row>
    <row r="2931" spans="1:59" ht="58" x14ac:dyDescent="0.35">
      <c r="A2931" s="2" t="s">
        <v>89</v>
      </c>
      <c r="B2931" s="2" t="s">
        <v>90</v>
      </c>
      <c r="C2931" s="2" t="s">
        <v>28398</v>
      </c>
      <c r="D2931" s="2" t="s">
        <v>28399</v>
      </c>
      <c r="E2931" s="2" t="s">
        <v>28400</v>
      </c>
      <c r="G2931" s="3" t="s">
        <v>62</v>
      </c>
      <c r="I2931" s="3" t="s">
        <v>62</v>
      </c>
      <c r="J2931" s="3" t="s">
        <v>62</v>
      </c>
      <c r="K2931" s="3" t="s">
        <v>63</v>
      </c>
      <c r="L2931" s="2" t="s">
        <v>28401</v>
      </c>
      <c r="M2931" s="2" t="s">
        <v>28402</v>
      </c>
      <c r="N2931" s="3" t="s">
        <v>115</v>
      </c>
      <c r="P2931" s="3" t="s">
        <v>64</v>
      </c>
      <c r="R2931" s="3" t="s">
        <v>27443</v>
      </c>
      <c r="S2931" s="4">
        <v>11</v>
      </c>
      <c r="T2931" s="4">
        <v>11</v>
      </c>
      <c r="U2931" s="5" t="s">
        <v>1977</v>
      </c>
      <c r="V2931" s="5" t="s">
        <v>1977</v>
      </c>
      <c r="W2931" s="5" t="s">
        <v>67</v>
      </c>
      <c r="X2931" s="5" t="s">
        <v>67</v>
      </c>
      <c r="Y2931" s="4">
        <v>31</v>
      </c>
      <c r="Z2931" s="4">
        <v>5</v>
      </c>
      <c r="AA2931" s="4">
        <v>5</v>
      </c>
      <c r="AB2931" s="4">
        <v>1</v>
      </c>
      <c r="AC2931" s="4">
        <v>1</v>
      </c>
      <c r="AD2931" s="4">
        <v>16</v>
      </c>
      <c r="AE2931" s="4">
        <v>16</v>
      </c>
      <c r="AF2931" s="4">
        <v>0</v>
      </c>
      <c r="AG2931" s="4">
        <v>0</v>
      </c>
      <c r="AH2931" s="4">
        <v>14</v>
      </c>
      <c r="AI2931" s="4">
        <v>14</v>
      </c>
      <c r="AJ2931" s="4">
        <v>3</v>
      </c>
      <c r="AK2931" s="4">
        <v>3</v>
      </c>
      <c r="AL2931" s="4">
        <v>12</v>
      </c>
      <c r="AM2931" s="4">
        <v>12</v>
      </c>
      <c r="AN2931" s="4">
        <v>0</v>
      </c>
      <c r="AO2931" s="4">
        <v>0</v>
      </c>
      <c r="AP2931" s="4">
        <v>3</v>
      </c>
      <c r="AQ2931" s="4">
        <v>3</v>
      </c>
      <c r="AR2931" s="3" t="s">
        <v>62</v>
      </c>
      <c r="AS2931" s="3" t="s">
        <v>62</v>
      </c>
      <c r="AT2931" s="3" t="s">
        <v>61</v>
      </c>
      <c r="AU2931" s="6" t="str">
        <f>HYPERLINK("http://catalog.hathitrust.org/Record/002490485","HathiTrust Record")</f>
        <v>HathiTrust Record</v>
      </c>
      <c r="AV2931" s="6" t="str">
        <f>HYPERLINK("http://mcgill.on.worldcat.org/oclc/21675106","Catalog Record")</f>
        <v>Catalog Record</v>
      </c>
      <c r="AW2931" s="6" t="str">
        <f>HYPERLINK("http://www.worldcat.org/oclc/21675106","WorldCat Record")</f>
        <v>WorldCat Record</v>
      </c>
      <c r="AX2931" s="3" t="s">
        <v>28403</v>
      </c>
      <c r="AY2931" s="3" t="s">
        <v>28404</v>
      </c>
      <c r="AZ2931" s="3" t="s">
        <v>28405</v>
      </c>
      <c r="BA2931" s="3" t="s">
        <v>28405</v>
      </c>
      <c r="BB2931" s="3" t="s">
        <v>28406</v>
      </c>
      <c r="BC2931" s="3" t="s">
        <v>102</v>
      </c>
      <c r="BD2931" s="3" t="s">
        <v>68</v>
      </c>
      <c r="BE2931" s="3" t="s">
        <v>28407</v>
      </c>
      <c r="BF2931" s="3" t="s">
        <v>28406</v>
      </c>
      <c r="BG2931" s="3" t="s">
        <v>28408</v>
      </c>
    </row>
    <row r="2932" spans="1:59" ht="58" x14ac:dyDescent="0.35">
      <c r="A2932" s="2" t="s">
        <v>89</v>
      </c>
      <c r="B2932" s="2" t="s">
        <v>90</v>
      </c>
      <c r="C2932" s="2" t="s">
        <v>28409</v>
      </c>
      <c r="D2932" s="2" t="s">
        <v>28410</v>
      </c>
      <c r="E2932" s="2" t="s">
        <v>28411</v>
      </c>
      <c r="G2932" s="3" t="s">
        <v>62</v>
      </c>
      <c r="I2932" s="3" t="s">
        <v>62</v>
      </c>
      <c r="J2932" s="3" t="s">
        <v>62</v>
      </c>
      <c r="K2932" s="3" t="s">
        <v>63</v>
      </c>
      <c r="L2932" s="2" t="s">
        <v>28412</v>
      </c>
      <c r="M2932" s="2" t="s">
        <v>28413</v>
      </c>
      <c r="N2932" s="3" t="s">
        <v>893</v>
      </c>
      <c r="P2932" s="3" t="s">
        <v>64</v>
      </c>
      <c r="Q2932" s="2" t="s">
        <v>28414</v>
      </c>
      <c r="R2932" s="3" t="s">
        <v>27443</v>
      </c>
      <c r="S2932" s="4">
        <v>1</v>
      </c>
      <c r="T2932" s="4">
        <v>1</v>
      </c>
      <c r="U2932" s="5" t="s">
        <v>1977</v>
      </c>
      <c r="V2932" s="5" t="s">
        <v>1977</v>
      </c>
      <c r="W2932" s="5" t="s">
        <v>67</v>
      </c>
      <c r="X2932" s="5" t="s">
        <v>67</v>
      </c>
      <c r="Y2932" s="4">
        <v>33</v>
      </c>
      <c r="Z2932" s="4">
        <v>4</v>
      </c>
      <c r="AA2932" s="4">
        <v>4</v>
      </c>
      <c r="AB2932" s="4">
        <v>1</v>
      </c>
      <c r="AC2932" s="4">
        <v>1</v>
      </c>
      <c r="AD2932" s="4">
        <v>26</v>
      </c>
      <c r="AE2932" s="4">
        <v>26</v>
      </c>
      <c r="AF2932" s="4">
        <v>0</v>
      </c>
      <c r="AG2932" s="4">
        <v>0</v>
      </c>
      <c r="AH2932" s="4">
        <v>25</v>
      </c>
      <c r="AI2932" s="4">
        <v>25</v>
      </c>
      <c r="AJ2932" s="4">
        <v>2</v>
      </c>
      <c r="AK2932" s="4">
        <v>2</v>
      </c>
      <c r="AL2932" s="4">
        <v>20</v>
      </c>
      <c r="AM2932" s="4">
        <v>20</v>
      </c>
      <c r="AN2932" s="4">
        <v>0</v>
      </c>
      <c r="AO2932" s="4">
        <v>0</v>
      </c>
      <c r="AP2932" s="4">
        <v>2</v>
      </c>
      <c r="AQ2932" s="4">
        <v>2</v>
      </c>
      <c r="AR2932" s="3" t="s">
        <v>62</v>
      </c>
      <c r="AS2932" s="3" t="s">
        <v>62</v>
      </c>
      <c r="AT2932" s="3" t="s">
        <v>61</v>
      </c>
      <c r="AU2932" s="6" t="str">
        <f>HYPERLINK("http://catalog.hathitrust.org/Record/000783238","HathiTrust Record")</f>
        <v>HathiTrust Record</v>
      </c>
      <c r="AV2932" s="6" t="str">
        <f>HYPERLINK("http://mcgill.on.worldcat.org/oclc/10275987","Catalog Record")</f>
        <v>Catalog Record</v>
      </c>
      <c r="AW2932" s="6" t="str">
        <f>HYPERLINK("http://www.worldcat.org/oclc/10275987","WorldCat Record")</f>
        <v>WorldCat Record</v>
      </c>
      <c r="AX2932" s="3" t="s">
        <v>28415</v>
      </c>
      <c r="AY2932" s="3" t="s">
        <v>28416</v>
      </c>
      <c r="AZ2932" s="3" t="s">
        <v>28417</v>
      </c>
      <c r="BA2932" s="3" t="s">
        <v>28417</v>
      </c>
      <c r="BB2932" s="3" t="s">
        <v>28418</v>
      </c>
      <c r="BC2932" s="3" t="s">
        <v>102</v>
      </c>
      <c r="BD2932" s="3" t="s">
        <v>68</v>
      </c>
      <c r="BF2932" s="3" t="s">
        <v>28418</v>
      </c>
      <c r="BG2932" s="3" t="s">
        <v>28419</v>
      </c>
    </row>
    <row r="2933" spans="1:59" ht="87" x14ac:dyDescent="0.35">
      <c r="A2933" s="2" t="s">
        <v>89</v>
      </c>
      <c r="B2933" s="2" t="s">
        <v>28420</v>
      </c>
      <c r="C2933" s="2" t="s">
        <v>28421</v>
      </c>
      <c r="D2933" s="2" t="s">
        <v>28422</v>
      </c>
      <c r="E2933" s="2" t="s">
        <v>28423</v>
      </c>
      <c r="G2933" s="3" t="s">
        <v>62</v>
      </c>
      <c r="I2933" s="3" t="s">
        <v>62</v>
      </c>
      <c r="J2933" s="3" t="s">
        <v>62</v>
      </c>
      <c r="K2933" s="3" t="s">
        <v>63</v>
      </c>
      <c r="L2933" s="2" t="s">
        <v>28424</v>
      </c>
      <c r="M2933" s="2" t="s">
        <v>28425</v>
      </c>
      <c r="N2933" s="3" t="s">
        <v>524</v>
      </c>
      <c r="P2933" s="3" t="s">
        <v>64</v>
      </c>
      <c r="R2933" s="3" t="s">
        <v>27443</v>
      </c>
      <c r="S2933" s="4">
        <v>1</v>
      </c>
      <c r="T2933" s="4">
        <v>1</v>
      </c>
      <c r="U2933" s="5" t="s">
        <v>19315</v>
      </c>
      <c r="V2933" s="5" t="s">
        <v>19315</v>
      </c>
      <c r="W2933" s="5" t="s">
        <v>67</v>
      </c>
      <c r="X2933" s="5" t="s">
        <v>67</v>
      </c>
      <c r="Y2933" s="4">
        <v>1</v>
      </c>
      <c r="Z2933" s="4">
        <v>1</v>
      </c>
      <c r="AA2933" s="4">
        <v>1</v>
      </c>
      <c r="AB2933" s="4">
        <v>1</v>
      </c>
      <c r="AC2933" s="4">
        <v>1</v>
      </c>
      <c r="AD2933" s="4">
        <v>0</v>
      </c>
      <c r="AE2933" s="4">
        <v>0</v>
      </c>
      <c r="AF2933" s="4">
        <v>0</v>
      </c>
      <c r="AG2933" s="4">
        <v>0</v>
      </c>
      <c r="AH2933" s="4">
        <v>0</v>
      </c>
      <c r="AI2933" s="4">
        <v>0</v>
      </c>
      <c r="AJ2933" s="4">
        <v>0</v>
      </c>
      <c r="AK2933" s="4">
        <v>0</v>
      </c>
      <c r="AL2933" s="4">
        <v>0</v>
      </c>
      <c r="AM2933" s="4">
        <v>0</v>
      </c>
      <c r="AN2933" s="4">
        <v>0</v>
      </c>
      <c r="AO2933" s="4">
        <v>0</v>
      </c>
      <c r="AP2933" s="4">
        <v>0</v>
      </c>
      <c r="AQ2933" s="4">
        <v>0</v>
      </c>
      <c r="AR2933" s="3" t="s">
        <v>61</v>
      </c>
      <c r="AS2933" s="3" t="s">
        <v>62</v>
      </c>
      <c r="AT2933" s="3" t="s">
        <v>62</v>
      </c>
      <c r="AV2933" s="6" t="str">
        <f>HYPERLINK("http://mcgill.on.worldcat.org/oclc/427986591","Catalog Record")</f>
        <v>Catalog Record</v>
      </c>
      <c r="AW2933" s="6" t="str">
        <f>HYPERLINK("http://www.worldcat.org/oclc/427986591","WorldCat Record")</f>
        <v>WorldCat Record</v>
      </c>
      <c r="AX2933" s="3" t="s">
        <v>28426</v>
      </c>
      <c r="AY2933" s="3" t="s">
        <v>28427</v>
      </c>
      <c r="AZ2933" s="3" t="s">
        <v>28428</v>
      </c>
      <c r="BA2933" s="3" t="s">
        <v>28428</v>
      </c>
      <c r="BB2933" s="3" t="s">
        <v>28429</v>
      </c>
      <c r="BC2933" s="3" t="s">
        <v>28430</v>
      </c>
      <c r="BD2933" s="3" t="s">
        <v>68</v>
      </c>
      <c r="BF2933" s="3" t="s">
        <v>28429</v>
      </c>
      <c r="BG2933" s="3" t="s">
        <v>28431</v>
      </c>
    </row>
    <row r="2934" spans="1:59" ht="58" x14ac:dyDescent="0.35">
      <c r="A2934" s="2" t="s">
        <v>89</v>
      </c>
      <c r="B2934" s="2" t="s">
        <v>90</v>
      </c>
      <c r="C2934" s="2" t="s">
        <v>28432</v>
      </c>
      <c r="D2934" s="2" t="s">
        <v>28433</v>
      </c>
      <c r="E2934" s="2" t="s">
        <v>28434</v>
      </c>
      <c r="G2934" s="3" t="s">
        <v>62</v>
      </c>
      <c r="I2934" s="3" t="s">
        <v>61</v>
      </c>
      <c r="J2934" s="3" t="s">
        <v>62</v>
      </c>
      <c r="K2934" s="3" t="s">
        <v>63</v>
      </c>
      <c r="L2934" s="2" t="s">
        <v>28435</v>
      </c>
      <c r="M2934" s="2" t="s">
        <v>28436</v>
      </c>
      <c r="N2934" s="3" t="s">
        <v>1576</v>
      </c>
      <c r="P2934" s="3" t="s">
        <v>64</v>
      </c>
      <c r="Q2934" s="2" t="s">
        <v>28437</v>
      </c>
      <c r="R2934" s="3" t="s">
        <v>27443</v>
      </c>
      <c r="S2934" s="4">
        <v>4</v>
      </c>
      <c r="T2934" s="4">
        <v>13</v>
      </c>
      <c r="U2934" s="5" t="s">
        <v>906</v>
      </c>
      <c r="V2934" s="5" t="s">
        <v>526</v>
      </c>
      <c r="W2934" s="5" t="s">
        <v>67</v>
      </c>
      <c r="X2934" s="5" t="s">
        <v>67</v>
      </c>
      <c r="Y2934" s="4">
        <v>400</v>
      </c>
      <c r="Z2934" s="4">
        <v>26</v>
      </c>
      <c r="AA2934" s="4">
        <v>31</v>
      </c>
      <c r="AB2934" s="4">
        <v>3</v>
      </c>
      <c r="AC2934" s="4">
        <v>7</v>
      </c>
      <c r="AD2934" s="4">
        <v>116</v>
      </c>
      <c r="AE2934" s="4">
        <v>121</v>
      </c>
      <c r="AF2934" s="4">
        <v>1</v>
      </c>
      <c r="AG2934" s="4">
        <v>5</v>
      </c>
      <c r="AH2934" s="4">
        <v>101</v>
      </c>
      <c r="AI2934" s="4">
        <v>102</v>
      </c>
      <c r="AJ2934" s="4">
        <v>19</v>
      </c>
      <c r="AK2934" s="4">
        <v>23</v>
      </c>
      <c r="AL2934" s="4">
        <v>60</v>
      </c>
      <c r="AM2934" s="4">
        <v>60</v>
      </c>
      <c r="AN2934" s="4">
        <v>0</v>
      </c>
      <c r="AO2934" s="4">
        <v>0</v>
      </c>
      <c r="AP2934" s="4">
        <v>20</v>
      </c>
      <c r="AQ2934" s="4">
        <v>24</v>
      </c>
      <c r="AR2934" s="3" t="s">
        <v>62</v>
      </c>
      <c r="AS2934" s="3" t="s">
        <v>62</v>
      </c>
      <c r="AT2934" s="3" t="s">
        <v>61</v>
      </c>
      <c r="AU2934" s="6" t="str">
        <f>HYPERLINK("http://catalog.hathitrust.org/Record/001477943","HathiTrust Record")</f>
        <v>HathiTrust Record</v>
      </c>
      <c r="AV2934" s="6" t="str">
        <f>HYPERLINK("http://mcgill.on.worldcat.org/oclc/387010","Catalog Record")</f>
        <v>Catalog Record</v>
      </c>
      <c r="AW2934" s="6" t="str">
        <f>HYPERLINK("http://www.worldcat.org/oclc/387010","WorldCat Record")</f>
        <v>WorldCat Record</v>
      </c>
      <c r="AX2934" s="3" t="s">
        <v>28438</v>
      </c>
      <c r="AY2934" s="3" t="s">
        <v>28439</v>
      </c>
      <c r="AZ2934" s="3" t="s">
        <v>28440</v>
      </c>
      <c r="BA2934" s="3" t="s">
        <v>28440</v>
      </c>
      <c r="BB2934" s="3" t="s">
        <v>28441</v>
      </c>
      <c r="BC2934" s="3" t="s">
        <v>102</v>
      </c>
      <c r="BD2934" s="3" t="s">
        <v>231</v>
      </c>
      <c r="BF2934" s="3" t="s">
        <v>28441</v>
      </c>
      <c r="BG2934" s="3" t="s">
        <v>28442</v>
      </c>
    </row>
    <row r="2935" spans="1:59" ht="58" x14ac:dyDescent="0.35">
      <c r="A2935" s="2" t="s">
        <v>89</v>
      </c>
      <c r="B2935" s="2" t="s">
        <v>90</v>
      </c>
      <c r="C2935" s="2" t="s">
        <v>28443</v>
      </c>
      <c r="D2935" s="2" t="s">
        <v>28444</v>
      </c>
      <c r="E2935" s="2" t="s">
        <v>28445</v>
      </c>
      <c r="F2935" s="3" t="s">
        <v>2217</v>
      </c>
      <c r="G2935" s="3" t="s">
        <v>61</v>
      </c>
      <c r="I2935" s="3" t="s">
        <v>61</v>
      </c>
      <c r="J2935" s="3" t="s">
        <v>62</v>
      </c>
      <c r="K2935" s="3" t="s">
        <v>63</v>
      </c>
      <c r="L2935" s="2" t="s">
        <v>28446</v>
      </c>
      <c r="M2935" s="2" t="s">
        <v>28447</v>
      </c>
      <c r="N2935" s="3" t="s">
        <v>1639</v>
      </c>
      <c r="P2935" s="3" t="s">
        <v>64</v>
      </c>
      <c r="R2935" s="3" t="s">
        <v>27443</v>
      </c>
      <c r="S2935" s="4">
        <v>1</v>
      </c>
      <c r="T2935" s="4">
        <v>10</v>
      </c>
      <c r="V2935" s="5" t="s">
        <v>28448</v>
      </c>
      <c r="W2935" s="5" t="s">
        <v>67</v>
      </c>
      <c r="X2935" s="5" t="s">
        <v>67</v>
      </c>
      <c r="Y2935" s="4">
        <v>521</v>
      </c>
      <c r="Z2935" s="4">
        <v>32</v>
      </c>
      <c r="AA2935" s="4">
        <v>38</v>
      </c>
      <c r="AB2935" s="4">
        <v>2</v>
      </c>
      <c r="AC2935" s="4">
        <v>8</v>
      </c>
      <c r="AD2935" s="4">
        <v>106</v>
      </c>
      <c r="AE2935" s="4">
        <v>111</v>
      </c>
      <c r="AF2935" s="4">
        <v>1</v>
      </c>
      <c r="AG2935" s="4">
        <v>6</v>
      </c>
      <c r="AH2935" s="4">
        <v>87</v>
      </c>
      <c r="AI2935" s="4">
        <v>88</v>
      </c>
      <c r="AJ2935" s="4">
        <v>19</v>
      </c>
      <c r="AK2935" s="4">
        <v>23</v>
      </c>
      <c r="AL2935" s="4">
        <v>48</v>
      </c>
      <c r="AM2935" s="4">
        <v>48</v>
      </c>
      <c r="AN2935" s="4">
        <v>0</v>
      </c>
      <c r="AO2935" s="4">
        <v>0</v>
      </c>
      <c r="AP2935" s="4">
        <v>26</v>
      </c>
      <c r="AQ2935" s="4">
        <v>30</v>
      </c>
      <c r="AR2935" s="3" t="s">
        <v>62</v>
      </c>
      <c r="AS2935" s="3" t="s">
        <v>62</v>
      </c>
      <c r="AT2935" s="3" t="s">
        <v>61</v>
      </c>
      <c r="AU2935" s="6" t="str">
        <f>HYPERLINK("http://catalog.hathitrust.org/Record/001477944","HathiTrust Record")</f>
        <v>HathiTrust Record</v>
      </c>
      <c r="AV2935" s="6" t="str">
        <f>HYPERLINK("http://mcgill.on.worldcat.org/oclc/117418","Catalog Record")</f>
        <v>Catalog Record</v>
      </c>
      <c r="AW2935" s="6" t="str">
        <f>HYPERLINK("http://www.worldcat.org/oclc/117418","WorldCat Record")</f>
        <v>WorldCat Record</v>
      </c>
      <c r="AX2935" s="3" t="s">
        <v>28449</v>
      </c>
      <c r="AY2935" s="3" t="s">
        <v>28450</v>
      </c>
      <c r="AZ2935" s="3" t="s">
        <v>28451</v>
      </c>
      <c r="BA2935" s="3" t="s">
        <v>28451</v>
      </c>
      <c r="BB2935" s="3" t="s">
        <v>28452</v>
      </c>
      <c r="BC2935" s="3" t="s">
        <v>102</v>
      </c>
      <c r="BD2935" s="3" t="s">
        <v>231</v>
      </c>
      <c r="BE2935" s="3" t="s">
        <v>28453</v>
      </c>
      <c r="BF2935" s="3" t="s">
        <v>28452</v>
      </c>
      <c r="BG2935" s="3" t="s">
        <v>28454</v>
      </c>
    </row>
    <row r="2936" spans="1:59" ht="58" x14ac:dyDescent="0.35">
      <c r="A2936" s="2" t="s">
        <v>89</v>
      </c>
      <c r="B2936" s="2" t="s">
        <v>90</v>
      </c>
      <c r="C2936" s="2" t="s">
        <v>28443</v>
      </c>
      <c r="D2936" s="2" t="s">
        <v>28444</v>
      </c>
      <c r="E2936" s="2" t="s">
        <v>28445</v>
      </c>
      <c r="F2936" s="3" t="s">
        <v>2233</v>
      </c>
      <c r="G2936" s="3" t="s">
        <v>61</v>
      </c>
      <c r="I2936" s="3" t="s">
        <v>61</v>
      </c>
      <c r="J2936" s="3" t="s">
        <v>62</v>
      </c>
      <c r="K2936" s="3" t="s">
        <v>63</v>
      </c>
      <c r="L2936" s="2" t="s">
        <v>28446</v>
      </c>
      <c r="M2936" s="2" t="s">
        <v>28447</v>
      </c>
      <c r="N2936" s="3" t="s">
        <v>1639</v>
      </c>
      <c r="P2936" s="3" t="s">
        <v>64</v>
      </c>
      <c r="R2936" s="3" t="s">
        <v>27443</v>
      </c>
      <c r="S2936" s="4">
        <v>1</v>
      </c>
      <c r="T2936" s="4">
        <v>10</v>
      </c>
      <c r="V2936" s="5" t="s">
        <v>28448</v>
      </c>
      <c r="W2936" s="5" t="s">
        <v>67</v>
      </c>
      <c r="X2936" s="5" t="s">
        <v>67</v>
      </c>
      <c r="Y2936" s="4">
        <v>521</v>
      </c>
      <c r="Z2936" s="4">
        <v>32</v>
      </c>
      <c r="AA2936" s="4">
        <v>38</v>
      </c>
      <c r="AB2936" s="4">
        <v>2</v>
      </c>
      <c r="AC2936" s="4">
        <v>8</v>
      </c>
      <c r="AD2936" s="4">
        <v>106</v>
      </c>
      <c r="AE2936" s="4">
        <v>111</v>
      </c>
      <c r="AF2936" s="4">
        <v>1</v>
      </c>
      <c r="AG2936" s="4">
        <v>6</v>
      </c>
      <c r="AH2936" s="4">
        <v>87</v>
      </c>
      <c r="AI2936" s="4">
        <v>88</v>
      </c>
      <c r="AJ2936" s="4">
        <v>19</v>
      </c>
      <c r="AK2936" s="4">
        <v>23</v>
      </c>
      <c r="AL2936" s="4">
        <v>48</v>
      </c>
      <c r="AM2936" s="4">
        <v>48</v>
      </c>
      <c r="AN2936" s="4">
        <v>0</v>
      </c>
      <c r="AO2936" s="4">
        <v>0</v>
      </c>
      <c r="AP2936" s="4">
        <v>26</v>
      </c>
      <c r="AQ2936" s="4">
        <v>30</v>
      </c>
      <c r="AR2936" s="3" t="s">
        <v>62</v>
      </c>
      <c r="AS2936" s="3" t="s">
        <v>62</v>
      </c>
      <c r="AT2936" s="3" t="s">
        <v>61</v>
      </c>
      <c r="AU2936" s="6" t="str">
        <f>HYPERLINK("http://catalog.hathitrust.org/Record/001477944","HathiTrust Record")</f>
        <v>HathiTrust Record</v>
      </c>
      <c r="AV2936" s="6" t="str">
        <f>HYPERLINK("http://mcgill.on.worldcat.org/oclc/117418","Catalog Record")</f>
        <v>Catalog Record</v>
      </c>
      <c r="AW2936" s="6" t="str">
        <f>HYPERLINK("http://www.worldcat.org/oclc/117418","WorldCat Record")</f>
        <v>WorldCat Record</v>
      </c>
      <c r="AX2936" s="3" t="s">
        <v>28449</v>
      </c>
      <c r="AY2936" s="3" t="s">
        <v>28450</v>
      </c>
      <c r="AZ2936" s="3" t="s">
        <v>28451</v>
      </c>
      <c r="BA2936" s="3" t="s">
        <v>28451</v>
      </c>
      <c r="BB2936" s="3" t="s">
        <v>28455</v>
      </c>
      <c r="BC2936" s="3" t="s">
        <v>102</v>
      </c>
      <c r="BD2936" s="3" t="s">
        <v>231</v>
      </c>
      <c r="BE2936" s="3" t="s">
        <v>28453</v>
      </c>
      <c r="BF2936" s="3" t="s">
        <v>28455</v>
      </c>
      <c r="BG2936" s="3" t="s">
        <v>28456</v>
      </c>
    </row>
    <row r="2937" spans="1:59" ht="58" x14ac:dyDescent="0.35">
      <c r="A2937" s="2" t="s">
        <v>89</v>
      </c>
      <c r="B2937" s="2" t="s">
        <v>2033</v>
      </c>
      <c r="C2937" s="2" t="s">
        <v>28457</v>
      </c>
      <c r="D2937" s="2" t="s">
        <v>28458</v>
      </c>
      <c r="E2937" s="2" t="s">
        <v>28459</v>
      </c>
      <c r="F2937" s="3" t="s">
        <v>28460</v>
      </c>
      <c r="G2937" s="3" t="s">
        <v>62</v>
      </c>
      <c r="I2937" s="3" t="s">
        <v>62</v>
      </c>
      <c r="J2937" s="3" t="s">
        <v>62</v>
      </c>
      <c r="K2937" s="3" t="s">
        <v>63</v>
      </c>
      <c r="L2937" s="2" t="s">
        <v>28461</v>
      </c>
      <c r="M2937" s="2" t="s">
        <v>28462</v>
      </c>
      <c r="N2937" s="3" t="s">
        <v>24926</v>
      </c>
      <c r="P2937" s="3" t="s">
        <v>64</v>
      </c>
      <c r="R2937" s="3" t="s">
        <v>27443</v>
      </c>
      <c r="S2937" s="4">
        <v>1</v>
      </c>
      <c r="T2937" s="4">
        <v>1</v>
      </c>
      <c r="U2937" s="5" t="s">
        <v>1013</v>
      </c>
      <c r="V2937" s="5" t="s">
        <v>1013</v>
      </c>
      <c r="W2937" s="5" t="s">
        <v>67</v>
      </c>
      <c r="X2937" s="5" t="s">
        <v>67</v>
      </c>
      <c r="Y2937" s="4">
        <v>1</v>
      </c>
      <c r="Z2937" s="4">
        <v>1</v>
      </c>
      <c r="AA2937" s="4">
        <v>4</v>
      </c>
      <c r="AB2937" s="4">
        <v>1</v>
      </c>
      <c r="AC2937" s="4">
        <v>1</v>
      </c>
      <c r="AD2937" s="4">
        <v>0</v>
      </c>
      <c r="AE2937" s="4">
        <v>42</v>
      </c>
      <c r="AF2937" s="4">
        <v>0</v>
      </c>
      <c r="AG2937" s="4">
        <v>0</v>
      </c>
      <c r="AH2937" s="4">
        <v>0</v>
      </c>
      <c r="AI2937" s="4">
        <v>40</v>
      </c>
      <c r="AJ2937" s="4">
        <v>0</v>
      </c>
      <c r="AK2937" s="4">
        <v>1</v>
      </c>
      <c r="AL2937" s="4">
        <v>0</v>
      </c>
      <c r="AM2937" s="4">
        <v>27</v>
      </c>
      <c r="AN2937" s="4">
        <v>0</v>
      </c>
      <c r="AO2937" s="4">
        <v>0</v>
      </c>
      <c r="AP2937" s="4">
        <v>0</v>
      </c>
      <c r="AQ2937" s="4">
        <v>3</v>
      </c>
      <c r="AR2937" s="3" t="s">
        <v>62</v>
      </c>
      <c r="AS2937" s="3" t="s">
        <v>62</v>
      </c>
      <c r="AT2937" s="3" t="s">
        <v>62</v>
      </c>
      <c r="AV2937" s="6" t="str">
        <f>HYPERLINK("http://mcgill.on.worldcat.org/oclc/427515520","Catalog Record")</f>
        <v>Catalog Record</v>
      </c>
      <c r="AW2937" s="6" t="str">
        <f>HYPERLINK("http://www.worldcat.org/oclc/427515520","WorldCat Record")</f>
        <v>WorldCat Record</v>
      </c>
      <c r="AX2937" s="3" t="s">
        <v>28463</v>
      </c>
      <c r="AY2937" s="3" t="s">
        <v>28464</v>
      </c>
      <c r="AZ2937" s="3" t="s">
        <v>28465</v>
      </c>
      <c r="BA2937" s="3" t="s">
        <v>28465</v>
      </c>
      <c r="BB2937" s="3" t="s">
        <v>28466</v>
      </c>
      <c r="BC2937" s="3" t="s">
        <v>102</v>
      </c>
      <c r="BD2937" s="3" t="s">
        <v>68</v>
      </c>
      <c r="BF2937" s="3" t="s">
        <v>28466</v>
      </c>
      <c r="BG2937" s="3" t="s">
        <v>28467</v>
      </c>
    </row>
    <row r="2938" spans="1:59" ht="58" x14ac:dyDescent="0.35">
      <c r="A2938" s="2" t="s">
        <v>89</v>
      </c>
      <c r="B2938" s="2" t="s">
        <v>90</v>
      </c>
      <c r="C2938" s="2" t="s">
        <v>28468</v>
      </c>
      <c r="D2938" s="2" t="s">
        <v>28469</v>
      </c>
      <c r="E2938" s="2" t="s">
        <v>28470</v>
      </c>
      <c r="G2938" s="3" t="s">
        <v>62</v>
      </c>
      <c r="I2938" s="3" t="s">
        <v>61</v>
      </c>
      <c r="J2938" s="3" t="s">
        <v>62</v>
      </c>
      <c r="K2938" s="3" t="s">
        <v>63</v>
      </c>
      <c r="L2938" s="2" t="s">
        <v>28471</v>
      </c>
      <c r="M2938" s="2" t="s">
        <v>28472</v>
      </c>
      <c r="N2938" s="3" t="s">
        <v>568</v>
      </c>
      <c r="P2938" s="3" t="s">
        <v>64</v>
      </c>
      <c r="R2938" s="3" t="s">
        <v>27443</v>
      </c>
      <c r="S2938" s="4">
        <v>74</v>
      </c>
      <c r="T2938" s="4">
        <v>1008</v>
      </c>
      <c r="U2938" s="5" t="s">
        <v>16979</v>
      </c>
      <c r="V2938" s="5" t="s">
        <v>16073</v>
      </c>
      <c r="W2938" s="5" t="s">
        <v>67</v>
      </c>
      <c r="X2938" s="5" t="s">
        <v>67</v>
      </c>
      <c r="Y2938" s="4">
        <v>186</v>
      </c>
      <c r="Z2938" s="4">
        <v>13</v>
      </c>
      <c r="AA2938" s="4">
        <v>17</v>
      </c>
      <c r="AB2938" s="4">
        <v>2</v>
      </c>
      <c r="AC2938" s="4">
        <v>6</v>
      </c>
      <c r="AD2938" s="4">
        <v>47</v>
      </c>
      <c r="AE2938" s="4">
        <v>51</v>
      </c>
      <c r="AF2938" s="4">
        <v>0</v>
      </c>
      <c r="AG2938" s="4">
        <v>4</v>
      </c>
      <c r="AH2938" s="4">
        <v>39</v>
      </c>
      <c r="AI2938" s="4">
        <v>40</v>
      </c>
      <c r="AJ2938" s="4">
        <v>5</v>
      </c>
      <c r="AK2938" s="4">
        <v>8</v>
      </c>
      <c r="AL2938" s="4">
        <v>27</v>
      </c>
      <c r="AM2938" s="4">
        <v>27</v>
      </c>
      <c r="AN2938" s="4">
        <v>0</v>
      </c>
      <c r="AO2938" s="4">
        <v>0</v>
      </c>
      <c r="AP2938" s="4">
        <v>9</v>
      </c>
      <c r="AQ2938" s="4">
        <v>12</v>
      </c>
      <c r="AR2938" s="3" t="s">
        <v>62</v>
      </c>
      <c r="AS2938" s="3" t="s">
        <v>62</v>
      </c>
      <c r="AT2938" s="3" t="s">
        <v>62</v>
      </c>
      <c r="AV2938" s="6" t="str">
        <f>HYPERLINK("http://mcgill.on.worldcat.org/oclc/43118232","Catalog Record")</f>
        <v>Catalog Record</v>
      </c>
      <c r="AW2938" s="6" t="str">
        <f>HYPERLINK("http://www.worldcat.org/oclc/43118232","WorldCat Record")</f>
        <v>WorldCat Record</v>
      </c>
      <c r="AX2938" s="3" t="s">
        <v>28473</v>
      </c>
      <c r="AY2938" s="3" t="s">
        <v>28474</v>
      </c>
      <c r="AZ2938" s="3" t="s">
        <v>28475</v>
      </c>
      <c r="BA2938" s="3" t="s">
        <v>28475</v>
      </c>
      <c r="BB2938" s="3" t="s">
        <v>28476</v>
      </c>
      <c r="BC2938" s="3" t="s">
        <v>102</v>
      </c>
      <c r="BD2938" s="3" t="s">
        <v>68</v>
      </c>
      <c r="BE2938" s="3" t="s">
        <v>28477</v>
      </c>
      <c r="BF2938" s="3" t="s">
        <v>28476</v>
      </c>
      <c r="BG2938" s="3" t="s">
        <v>28478</v>
      </c>
    </row>
    <row r="2939" spans="1:59" ht="58" x14ac:dyDescent="0.35">
      <c r="A2939" s="2" t="s">
        <v>89</v>
      </c>
      <c r="B2939" s="2" t="s">
        <v>90</v>
      </c>
      <c r="C2939" s="2" t="s">
        <v>28468</v>
      </c>
      <c r="D2939" s="2" t="s">
        <v>28469</v>
      </c>
      <c r="E2939" s="2" t="s">
        <v>28470</v>
      </c>
      <c r="G2939" s="3" t="s">
        <v>62</v>
      </c>
      <c r="I2939" s="3" t="s">
        <v>61</v>
      </c>
      <c r="J2939" s="3" t="s">
        <v>62</v>
      </c>
      <c r="K2939" s="3" t="s">
        <v>63</v>
      </c>
      <c r="L2939" s="2" t="s">
        <v>28471</v>
      </c>
      <c r="M2939" s="2" t="s">
        <v>28472</v>
      </c>
      <c r="N2939" s="3" t="s">
        <v>568</v>
      </c>
      <c r="P2939" s="3" t="s">
        <v>64</v>
      </c>
      <c r="R2939" s="3" t="s">
        <v>27443</v>
      </c>
      <c r="S2939" s="4">
        <v>406</v>
      </c>
      <c r="T2939" s="4">
        <v>1008</v>
      </c>
      <c r="U2939" s="5" t="s">
        <v>16073</v>
      </c>
      <c r="V2939" s="5" t="s">
        <v>16073</v>
      </c>
      <c r="W2939" s="5" t="s">
        <v>67</v>
      </c>
      <c r="X2939" s="5" t="s">
        <v>67</v>
      </c>
      <c r="Y2939" s="4">
        <v>186</v>
      </c>
      <c r="Z2939" s="4">
        <v>13</v>
      </c>
      <c r="AA2939" s="4">
        <v>17</v>
      </c>
      <c r="AB2939" s="4">
        <v>2</v>
      </c>
      <c r="AC2939" s="4">
        <v>6</v>
      </c>
      <c r="AD2939" s="4">
        <v>47</v>
      </c>
      <c r="AE2939" s="4">
        <v>51</v>
      </c>
      <c r="AF2939" s="4">
        <v>0</v>
      </c>
      <c r="AG2939" s="4">
        <v>4</v>
      </c>
      <c r="AH2939" s="4">
        <v>39</v>
      </c>
      <c r="AI2939" s="4">
        <v>40</v>
      </c>
      <c r="AJ2939" s="4">
        <v>5</v>
      </c>
      <c r="AK2939" s="4">
        <v>8</v>
      </c>
      <c r="AL2939" s="4">
        <v>27</v>
      </c>
      <c r="AM2939" s="4">
        <v>27</v>
      </c>
      <c r="AN2939" s="4">
        <v>0</v>
      </c>
      <c r="AO2939" s="4">
        <v>0</v>
      </c>
      <c r="AP2939" s="4">
        <v>9</v>
      </c>
      <c r="AQ2939" s="4">
        <v>12</v>
      </c>
      <c r="AR2939" s="3" t="s">
        <v>62</v>
      </c>
      <c r="AS2939" s="3" t="s">
        <v>62</v>
      </c>
      <c r="AT2939" s="3" t="s">
        <v>62</v>
      </c>
      <c r="AV2939" s="6" t="str">
        <f>HYPERLINK("http://mcgill.on.worldcat.org/oclc/43118232","Catalog Record")</f>
        <v>Catalog Record</v>
      </c>
      <c r="AW2939" s="6" t="str">
        <f>HYPERLINK("http://www.worldcat.org/oclc/43118232","WorldCat Record")</f>
        <v>WorldCat Record</v>
      </c>
      <c r="AX2939" s="3" t="s">
        <v>28473</v>
      </c>
      <c r="AY2939" s="3" t="s">
        <v>28474</v>
      </c>
      <c r="AZ2939" s="3" t="s">
        <v>28475</v>
      </c>
      <c r="BA2939" s="3" t="s">
        <v>28475</v>
      </c>
      <c r="BB2939" s="3" t="s">
        <v>28479</v>
      </c>
      <c r="BC2939" s="3" t="s">
        <v>102</v>
      </c>
      <c r="BD2939" s="3" t="s">
        <v>68</v>
      </c>
      <c r="BE2939" s="3" t="s">
        <v>28477</v>
      </c>
      <c r="BF2939" s="3" t="s">
        <v>28479</v>
      </c>
      <c r="BG2939" s="3" t="s">
        <v>28480</v>
      </c>
    </row>
    <row r="2940" spans="1:59" ht="58" x14ac:dyDescent="0.35">
      <c r="A2940" s="2" t="s">
        <v>89</v>
      </c>
      <c r="B2940" s="2" t="s">
        <v>90</v>
      </c>
      <c r="C2940" s="2" t="s">
        <v>28481</v>
      </c>
      <c r="D2940" s="2" t="s">
        <v>28482</v>
      </c>
      <c r="E2940" s="2" t="s">
        <v>28483</v>
      </c>
      <c r="G2940" s="3" t="s">
        <v>62</v>
      </c>
      <c r="I2940" s="3" t="s">
        <v>61</v>
      </c>
      <c r="J2940" s="3" t="s">
        <v>61</v>
      </c>
      <c r="K2940" s="3" t="s">
        <v>63</v>
      </c>
      <c r="L2940" s="2" t="s">
        <v>28484</v>
      </c>
      <c r="M2940" s="2" t="s">
        <v>28485</v>
      </c>
      <c r="N2940" s="3" t="s">
        <v>2924</v>
      </c>
      <c r="P2940" s="3" t="s">
        <v>64</v>
      </c>
      <c r="R2940" s="3" t="s">
        <v>27443</v>
      </c>
      <c r="S2940" s="4">
        <v>0</v>
      </c>
      <c r="T2940" s="4">
        <v>1</v>
      </c>
      <c r="V2940" s="5" t="s">
        <v>15641</v>
      </c>
      <c r="W2940" s="5" t="s">
        <v>67</v>
      </c>
      <c r="X2940" s="5" t="s">
        <v>67</v>
      </c>
      <c r="Y2940" s="4">
        <v>186</v>
      </c>
      <c r="Z2940" s="4">
        <v>15</v>
      </c>
      <c r="AA2940" s="4">
        <v>49</v>
      </c>
      <c r="AB2940" s="4">
        <v>1</v>
      </c>
      <c r="AC2940" s="4">
        <v>9</v>
      </c>
      <c r="AD2940" s="4">
        <v>41</v>
      </c>
      <c r="AE2940" s="4">
        <v>105</v>
      </c>
      <c r="AF2940" s="4">
        <v>0</v>
      </c>
      <c r="AG2940" s="4">
        <v>5</v>
      </c>
      <c r="AH2940" s="4">
        <v>32</v>
      </c>
      <c r="AI2940" s="4">
        <v>82</v>
      </c>
      <c r="AJ2940" s="4">
        <v>9</v>
      </c>
      <c r="AK2940" s="4">
        <v>21</v>
      </c>
      <c r="AL2940" s="4">
        <v>17</v>
      </c>
      <c r="AM2940" s="4">
        <v>46</v>
      </c>
      <c r="AN2940" s="4">
        <v>0</v>
      </c>
      <c r="AO2940" s="4">
        <v>0</v>
      </c>
      <c r="AP2940" s="4">
        <v>10</v>
      </c>
      <c r="AQ2940" s="4">
        <v>26</v>
      </c>
      <c r="AR2940" s="3" t="s">
        <v>62</v>
      </c>
      <c r="AS2940" s="3" t="s">
        <v>62</v>
      </c>
      <c r="AT2940" s="3" t="s">
        <v>62</v>
      </c>
      <c r="AV2940" s="6" t="str">
        <f>HYPERLINK("http://mcgill.on.worldcat.org/oclc/882346","Catalog Record")</f>
        <v>Catalog Record</v>
      </c>
      <c r="AW2940" s="6" t="str">
        <f>HYPERLINK("http://www.worldcat.org/oclc/882346","WorldCat Record")</f>
        <v>WorldCat Record</v>
      </c>
      <c r="AX2940" s="3" t="s">
        <v>28486</v>
      </c>
      <c r="AY2940" s="3" t="s">
        <v>28487</v>
      </c>
      <c r="AZ2940" s="3" t="s">
        <v>28488</v>
      </c>
      <c r="BA2940" s="3" t="s">
        <v>28488</v>
      </c>
      <c r="BB2940" s="3" t="s">
        <v>28489</v>
      </c>
      <c r="BC2940" s="3" t="s">
        <v>102</v>
      </c>
      <c r="BD2940" s="3" t="s">
        <v>68</v>
      </c>
      <c r="BF2940" s="3" t="s">
        <v>28489</v>
      </c>
      <c r="BG2940" s="3" t="s">
        <v>28490</v>
      </c>
    </row>
    <row r="2941" spans="1:59" ht="58" x14ac:dyDescent="0.35">
      <c r="A2941" s="2" t="s">
        <v>89</v>
      </c>
      <c r="B2941" s="2" t="s">
        <v>90</v>
      </c>
      <c r="C2941" s="2" t="s">
        <v>28491</v>
      </c>
      <c r="D2941" s="2" t="s">
        <v>28492</v>
      </c>
      <c r="E2941" s="2" t="s">
        <v>28493</v>
      </c>
      <c r="G2941" s="3" t="s">
        <v>62</v>
      </c>
      <c r="I2941" s="3" t="s">
        <v>61</v>
      </c>
      <c r="J2941" s="3" t="s">
        <v>62</v>
      </c>
      <c r="K2941" s="3" t="s">
        <v>63</v>
      </c>
      <c r="L2941" s="2" t="s">
        <v>28058</v>
      </c>
      <c r="M2941" s="2" t="s">
        <v>28494</v>
      </c>
      <c r="N2941" s="3" t="s">
        <v>1482</v>
      </c>
      <c r="P2941" s="3" t="s">
        <v>64</v>
      </c>
      <c r="R2941" s="3" t="s">
        <v>27443</v>
      </c>
      <c r="S2941" s="4">
        <v>7</v>
      </c>
      <c r="T2941" s="4">
        <v>20</v>
      </c>
      <c r="U2941" s="5" t="s">
        <v>10568</v>
      </c>
      <c r="V2941" s="5" t="s">
        <v>7181</v>
      </c>
      <c r="W2941" s="5" t="s">
        <v>67</v>
      </c>
      <c r="X2941" s="5" t="s">
        <v>67</v>
      </c>
      <c r="Y2941" s="4">
        <v>1301</v>
      </c>
      <c r="Z2941" s="4">
        <v>48</v>
      </c>
      <c r="AA2941" s="4">
        <v>54</v>
      </c>
      <c r="AB2941" s="4">
        <v>2</v>
      </c>
      <c r="AC2941" s="4">
        <v>6</v>
      </c>
      <c r="AD2941" s="4">
        <v>130</v>
      </c>
      <c r="AE2941" s="4">
        <v>135</v>
      </c>
      <c r="AF2941" s="4">
        <v>1</v>
      </c>
      <c r="AG2941" s="4">
        <v>4</v>
      </c>
      <c r="AH2941" s="4">
        <v>107</v>
      </c>
      <c r="AI2941" s="4">
        <v>108</v>
      </c>
      <c r="AJ2941" s="4">
        <v>20</v>
      </c>
      <c r="AK2941" s="4">
        <v>23</v>
      </c>
      <c r="AL2941" s="4">
        <v>58</v>
      </c>
      <c r="AM2941" s="4">
        <v>58</v>
      </c>
      <c r="AN2941" s="4">
        <v>0</v>
      </c>
      <c r="AO2941" s="4">
        <v>0</v>
      </c>
      <c r="AP2941" s="4">
        <v>30</v>
      </c>
      <c r="AQ2941" s="4">
        <v>34</v>
      </c>
      <c r="AR2941" s="3" t="s">
        <v>62</v>
      </c>
      <c r="AS2941" s="3" t="s">
        <v>62</v>
      </c>
      <c r="AT2941" s="3" t="s">
        <v>61</v>
      </c>
      <c r="AU2941" s="6" t="str">
        <f>HYPERLINK("http://catalog.hathitrust.org/Record/004393832","HathiTrust Record")</f>
        <v>HathiTrust Record</v>
      </c>
      <c r="AV2941" s="6" t="str">
        <f>HYPERLINK("http://mcgill.on.worldcat.org/oclc/12581763","Catalog Record")</f>
        <v>Catalog Record</v>
      </c>
      <c r="AW2941" s="6" t="str">
        <f>HYPERLINK("http://www.worldcat.org/oclc/12581763","WorldCat Record")</f>
        <v>WorldCat Record</v>
      </c>
      <c r="AX2941" s="3" t="s">
        <v>28495</v>
      </c>
      <c r="AY2941" s="3" t="s">
        <v>28496</v>
      </c>
      <c r="AZ2941" s="3" t="s">
        <v>28497</v>
      </c>
      <c r="BA2941" s="3" t="s">
        <v>28497</v>
      </c>
      <c r="BB2941" s="3" t="s">
        <v>28498</v>
      </c>
      <c r="BC2941" s="3" t="s">
        <v>102</v>
      </c>
      <c r="BD2941" s="3" t="s">
        <v>68</v>
      </c>
      <c r="BE2941" s="3" t="s">
        <v>28499</v>
      </c>
      <c r="BF2941" s="3" t="s">
        <v>28498</v>
      </c>
      <c r="BG2941" s="3" t="s">
        <v>28500</v>
      </c>
    </row>
    <row r="2942" spans="1:59" ht="101.5" x14ac:dyDescent="0.35">
      <c r="A2942" s="2" t="s">
        <v>89</v>
      </c>
      <c r="B2942" s="2" t="s">
        <v>12301</v>
      </c>
      <c r="C2942" s="2" t="s">
        <v>28501</v>
      </c>
      <c r="D2942" s="2" t="s">
        <v>28502</v>
      </c>
      <c r="E2942" s="2" t="s">
        <v>28503</v>
      </c>
      <c r="G2942" s="3" t="s">
        <v>62</v>
      </c>
      <c r="I2942" s="3" t="s">
        <v>61</v>
      </c>
      <c r="J2942" s="3" t="s">
        <v>61</v>
      </c>
      <c r="K2942" s="3" t="s">
        <v>63</v>
      </c>
      <c r="L2942" s="2" t="s">
        <v>28504</v>
      </c>
      <c r="M2942" s="2" t="s">
        <v>28505</v>
      </c>
      <c r="N2942" s="3" t="s">
        <v>741</v>
      </c>
      <c r="O2942" s="2" t="s">
        <v>28506</v>
      </c>
      <c r="P2942" s="3" t="s">
        <v>64</v>
      </c>
      <c r="R2942" s="3" t="s">
        <v>27443</v>
      </c>
      <c r="S2942" s="4">
        <v>50</v>
      </c>
      <c r="T2942" s="4">
        <v>51</v>
      </c>
      <c r="U2942" s="5" t="s">
        <v>24286</v>
      </c>
      <c r="V2942" s="5" t="s">
        <v>24286</v>
      </c>
      <c r="W2942" s="5" t="s">
        <v>2015</v>
      </c>
      <c r="X2942" s="5" t="s">
        <v>80</v>
      </c>
      <c r="Y2942" s="4">
        <v>9</v>
      </c>
      <c r="Z2942" s="4">
        <v>2</v>
      </c>
      <c r="AA2942" s="4">
        <v>72</v>
      </c>
      <c r="AB2942" s="4">
        <v>1</v>
      </c>
      <c r="AC2942" s="4">
        <v>12</v>
      </c>
      <c r="AD2942" s="4">
        <v>1</v>
      </c>
      <c r="AE2942" s="4">
        <v>124</v>
      </c>
      <c r="AF2942" s="4">
        <v>0</v>
      </c>
      <c r="AG2942" s="4">
        <v>7</v>
      </c>
      <c r="AH2942" s="4">
        <v>0</v>
      </c>
      <c r="AI2942" s="4">
        <v>94</v>
      </c>
      <c r="AJ2942" s="4">
        <v>0</v>
      </c>
      <c r="AK2942" s="4">
        <v>24</v>
      </c>
      <c r="AL2942" s="4">
        <v>0</v>
      </c>
      <c r="AM2942" s="4">
        <v>50</v>
      </c>
      <c r="AN2942" s="4">
        <v>0</v>
      </c>
      <c r="AO2942" s="4">
        <v>5</v>
      </c>
      <c r="AP2942" s="4">
        <v>1</v>
      </c>
      <c r="AQ2942" s="4">
        <v>37</v>
      </c>
      <c r="AR2942" s="3" t="s">
        <v>62</v>
      </c>
      <c r="AS2942" s="3" t="s">
        <v>62</v>
      </c>
      <c r="AT2942" s="3" t="s">
        <v>62</v>
      </c>
      <c r="AV2942" s="6" t="str">
        <f>HYPERLINK("http://mcgill.on.worldcat.org/oclc/1030412049","Catalog Record")</f>
        <v>Catalog Record</v>
      </c>
      <c r="AW2942" s="6" t="str">
        <f>HYPERLINK("http://www.worldcat.org/oclc/1030412049","WorldCat Record")</f>
        <v>WorldCat Record</v>
      </c>
      <c r="AX2942" s="3" t="s">
        <v>28507</v>
      </c>
      <c r="AY2942" s="3" t="s">
        <v>28508</v>
      </c>
      <c r="AZ2942" s="3" t="s">
        <v>28509</v>
      </c>
      <c r="BA2942" s="3" t="s">
        <v>28509</v>
      </c>
      <c r="BB2942" s="3" t="s">
        <v>28510</v>
      </c>
      <c r="BC2942" s="3" t="s">
        <v>102</v>
      </c>
      <c r="BD2942" s="3" t="s">
        <v>68</v>
      </c>
      <c r="BE2942" s="3" t="s">
        <v>28511</v>
      </c>
      <c r="BF2942" s="3" t="s">
        <v>28510</v>
      </c>
      <c r="BG2942" s="3" t="s">
        <v>28512</v>
      </c>
    </row>
    <row r="2943" spans="1:59" ht="101.5" x14ac:dyDescent="0.35">
      <c r="A2943" s="2" t="s">
        <v>89</v>
      </c>
      <c r="B2943" s="2" t="s">
        <v>12301</v>
      </c>
      <c r="C2943" s="2" t="s">
        <v>28513</v>
      </c>
      <c r="D2943" s="2" t="s">
        <v>28514</v>
      </c>
      <c r="E2943" s="2" t="s">
        <v>28515</v>
      </c>
      <c r="G2943" s="3" t="s">
        <v>62</v>
      </c>
      <c r="I2943" s="3" t="s">
        <v>61</v>
      </c>
      <c r="J2943" s="3" t="s">
        <v>61</v>
      </c>
      <c r="K2943" s="3" t="s">
        <v>63</v>
      </c>
      <c r="L2943" s="2" t="s">
        <v>28516</v>
      </c>
      <c r="M2943" s="2" t="s">
        <v>28517</v>
      </c>
      <c r="N2943" s="3" t="s">
        <v>712</v>
      </c>
      <c r="O2943" s="2" t="s">
        <v>28518</v>
      </c>
      <c r="P2943" s="3" t="s">
        <v>64</v>
      </c>
      <c r="R2943" s="3" t="s">
        <v>27443</v>
      </c>
      <c r="S2943" s="4">
        <v>45</v>
      </c>
      <c r="T2943" s="4">
        <v>322</v>
      </c>
      <c r="U2943" s="5" t="s">
        <v>10070</v>
      </c>
      <c r="V2943" s="5" t="s">
        <v>16849</v>
      </c>
      <c r="W2943" s="5" t="s">
        <v>67</v>
      </c>
      <c r="X2943" s="5" t="s">
        <v>67</v>
      </c>
      <c r="Y2943" s="4">
        <v>189</v>
      </c>
      <c r="Z2943" s="4">
        <v>9</v>
      </c>
      <c r="AA2943" s="4">
        <v>96</v>
      </c>
      <c r="AB2943" s="4">
        <v>1</v>
      </c>
      <c r="AC2943" s="4">
        <v>8</v>
      </c>
      <c r="AD2943" s="4">
        <v>31</v>
      </c>
      <c r="AE2943" s="4">
        <v>122</v>
      </c>
      <c r="AF2943" s="4">
        <v>0</v>
      </c>
      <c r="AG2943" s="4">
        <v>2</v>
      </c>
      <c r="AH2943" s="4">
        <v>26</v>
      </c>
      <c r="AI2943" s="4">
        <v>93</v>
      </c>
      <c r="AJ2943" s="4">
        <v>2</v>
      </c>
      <c r="AK2943" s="4">
        <v>22</v>
      </c>
      <c r="AL2943" s="4">
        <v>15</v>
      </c>
      <c r="AM2943" s="4">
        <v>51</v>
      </c>
      <c r="AN2943" s="4">
        <v>0</v>
      </c>
      <c r="AO2943" s="4">
        <v>0</v>
      </c>
      <c r="AP2943" s="4">
        <v>4</v>
      </c>
      <c r="AQ2943" s="4">
        <v>39</v>
      </c>
      <c r="AR2943" s="3" t="s">
        <v>62</v>
      </c>
      <c r="AS2943" s="3" t="s">
        <v>62</v>
      </c>
      <c r="AT2943" s="3" t="s">
        <v>62</v>
      </c>
      <c r="AV2943" s="6" t="str">
        <f t="shared" ref="AV2943:AV2950" si="48">HYPERLINK("http://mcgill.on.worldcat.org/oclc/853154197","Catalog Record")</f>
        <v>Catalog Record</v>
      </c>
      <c r="AW2943" s="6" t="str">
        <f t="shared" ref="AW2943:AW2950" si="49">HYPERLINK("http://www.worldcat.org/oclc/853154197","WorldCat Record")</f>
        <v>WorldCat Record</v>
      </c>
      <c r="AX2943" s="3" t="s">
        <v>28519</v>
      </c>
      <c r="AY2943" s="3" t="s">
        <v>28520</v>
      </c>
      <c r="AZ2943" s="3" t="s">
        <v>28521</v>
      </c>
      <c r="BA2943" s="3" t="s">
        <v>28521</v>
      </c>
      <c r="BB2943" s="3" t="s">
        <v>28522</v>
      </c>
      <c r="BC2943" s="3" t="s">
        <v>102</v>
      </c>
      <c r="BD2943" s="3" t="s">
        <v>68</v>
      </c>
      <c r="BE2943" s="3" t="s">
        <v>28523</v>
      </c>
      <c r="BF2943" s="3" t="s">
        <v>28522</v>
      </c>
      <c r="BG2943" s="3" t="s">
        <v>28524</v>
      </c>
    </row>
    <row r="2944" spans="1:59" ht="101.5" x14ac:dyDescent="0.35">
      <c r="A2944" s="2" t="s">
        <v>89</v>
      </c>
      <c r="B2944" s="2" t="s">
        <v>12301</v>
      </c>
      <c r="C2944" s="2" t="s">
        <v>28513</v>
      </c>
      <c r="D2944" s="2" t="s">
        <v>28514</v>
      </c>
      <c r="E2944" s="2" t="s">
        <v>28515</v>
      </c>
      <c r="G2944" s="3" t="s">
        <v>62</v>
      </c>
      <c r="I2944" s="3" t="s">
        <v>61</v>
      </c>
      <c r="J2944" s="3" t="s">
        <v>61</v>
      </c>
      <c r="K2944" s="3" t="s">
        <v>63</v>
      </c>
      <c r="L2944" s="2" t="s">
        <v>28516</v>
      </c>
      <c r="M2944" s="2" t="s">
        <v>28517</v>
      </c>
      <c r="N2944" s="3" t="s">
        <v>712</v>
      </c>
      <c r="O2944" s="2" t="s">
        <v>28518</v>
      </c>
      <c r="P2944" s="3" t="s">
        <v>64</v>
      </c>
      <c r="R2944" s="3" t="s">
        <v>27443</v>
      </c>
      <c r="S2944" s="4">
        <v>39</v>
      </c>
      <c r="T2944" s="4">
        <v>322</v>
      </c>
      <c r="U2944" s="5" t="s">
        <v>20604</v>
      </c>
      <c r="V2944" s="5" t="s">
        <v>16849</v>
      </c>
      <c r="W2944" s="5" t="s">
        <v>67</v>
      </c>
      <c r="X2944" s="5" t="s">
        <v>67</v>
      </c>
      <c r="Y2944" s="4">
        <v>189</v>
      </c>
      <c r="Z2944" s="4">
        <v>9</v>
      </c>
      <c r="AA2944" s="4">
        <v>96</v>
      </c>
      <c r="AB2944" s="4">
        <v>1</v>
      </c>
      <c r="AC2944" s="4">
        <v>8</v>
      </c>
      <c r="AD2944" s="4">
        <v>31</v>
      </c>
      <c r="AE2944" s="4">
        <v>122</v>
      </c>
      <c r="AF2944" s="4">
        <v>0</v>
      </c>
      <c r="AG2944" s="4">
        <v>2</v>
      </c>
      <c r="AH2944" s="4">
        <v>26</v>
      </c>
      <c r="AI2944" s="4">
        <v>93</v>
      </c>
      <c r="AJ2944" s="4">
        <v>2</v>
      </c>
      <c r="AK2944" s="4">
        <v>22</v>
      </c>
      <c r="AL2944" s="4">
        <v>15</v>
      </c>
      <c r="AM2944" s="4">
        <v>51</v>
      </c>
      <c r="AN2944" s="4">
        <v>0</v>
      </c>
      <c r="AO2944" s="4">
        <v>0</v>
      </c>
      <c r="AP2944" s="4">
        <v>4</v>
      </c>
      <c r="AQ2944" s="4">
        <v>39</v>
      </c>
      <c r="AR2944" s="3" t="s">
        <v>62</v>
      </c>
      <c r="AS2944" s="3" t="s">
        <v>62</v>
      </c>
      <c r="AT2944" s="3" t="s">
        <v>62</v>
      </c>
      <c r="AV2944" s="6" t="str">
        <f t="shared" si="48"/>
        <v>Catalog Record</v>
      </c>
      <c r="AW2944" s="6" t="str">
        <f t="shared" si="49"/>
        <v>WorldCat Record</v>
      </c>
      <c r="AX2944" s="3" t="s">
        <v>28519</v>
      </c>
      <c r="AY2944" s="3" t="s">
        <v>28520</v>
      </c>
      <c r="AZ2944" s="3" t="s">
        <v>28521</v>
      </c>
      <c r="BA2944" s="3" t="s">
        <v>28521</v>
      </c>
      <c r="BB2944" s="3" t="s">
        <v>28525</v>
      </c>
      <c r="BC2944" s="3" t="s">
        <v>102</v>
      </c>
      <c r="BD2944" s="3" t="s">
        <v>68</v>
      </c>
      <c r="BE2944" s="3" t="s">
        <v>28523</v>
      </c>
      <c r="BF2944" s="3" t="s">
        <v>28525</v>
      </c>
      <c r="BG2944" s="3" t="s">
        <v>28526</v>
      </c>
    </row>
    <row r="2945" spans="1:59" ht="101.5" x14ac:dyDescent="0.35">
      <c r="A2945" s="2" t="s">
        <v>89</v>
      </c>
      <c r="B2945" s="2" t="s">
        <v>12301</v>
      </c>
      <c r="C2945" s="2" t="s">
        <v>28513</v>
      </c>
      <c r="D2945" s="2" t="s">
        <v>28514</v>
      </c>
      <c r="E2945" s="2" t="s">
        <v>28515</v>
      </c>
      <c r="G2945" s="3" t="s">
        <v>62</v>
      </c>
      <c r="I2945" s="3" t="s">
        <v>61</v>
      </c>
      <c r="J2945" s="3" t="s">
        <v>61</v>
      </c>
      <c r="K2945" s="3" t="s">
        <v>63</v>
      </c>
      <c r="L2945" s="2" t="s">
        <v>28516</v>
      </c>
      <c r="M2945" s="2" t="s">
        <v>28517</v>
      </c>
      <c r="N2945" s="3" t="s">
        <v>712</v>
      </c>
      <c r="O2945" s="2" t="s">
        <v>28518</v>
      </c>
      <c r="P2945" s="3" t="s">
        <v>64</v>
      </c>
      <c r="R2945" s="3" t="s">
        <v>27443</v>
      </c>
      <c r="S2945" s="4">
        <v>37</v>
      </c>
      <c r="T2945" s="4">
        <v>322</v>
      </c>
      <c r="U2945" s="5" t="s">
        <v>20604</v>
      </c>
      <c r="V2945" s="5" t="s">
        <v>16849</v>
      </c>
      <c r="W2945" s="5" t="s">
        <v>67</v>
      </c>
      <c r="X2945" s="5" t="s">
        <v>67</v>
      </c>
      <c r="Y2945" s="4">
        <v>189</v>
      </c>
      <c r="Z2945" s="4">
        <v>9</v>
      </c>
      <c r="AA2945" s="4">
        <v>96</v>
      </c>
      <c r="AB2945" s="4">
        <v>1</v>
      </c>
      <c r="AC2945" s="4">
        <v>8</v>
      </c>
      <c r="AD2945" s="4">
        <v>31</v>
      </c>
      <c r="AE2945" s="4">
        <v>122</v>
      </c>
      <c r="AF2945" s="4">
        <v>0</v>
      </c>
      <c r="AG2945" s="4">
        <v>2</v>
      </c>
      <c r="AH2945" s="4">
        <v>26</v>
      </c>
      <c r="AI2945" s="4">
        <v>93</v>
      </c>
      <c r="AJ2945" s="4">
        <v>2</v>
      </c>
      <c r="AK2945" s="4">
        <v>22</v>
      </c>
      <c r="AL2945" s="4">
        <v>15</v>
      </c>
      <c r="AM2945" s="4">
        <v>51</v>
      </c>
      <c r="AN2945" s="4">
        <v>0</v>
      </c>
      <c r="AO2945" s="4">
        <v>0</v>
      </c>
      <c r="AP2945" s="4">
        <v>4</v>
      </c>
      <c r="AQ2945" s="4">
        <v>39</v>
      </c>
      <c r="AR2945" s="3" t="s">
        <v>62</v>
      </c>
      <c r="AS2945" s="3" t="s">
        <v>62</v>
      </c>
      <c r="AT2945" s="3" t="s">
        <v>62</v>
      </c>
      <c r="AV2945" s="6" t="str">
        <f t="shared" si="48"/>
        <v>Catalog Record</v>
      </c>
      <c r="AW2945" s="6" t="str">
        <f t="shared" si="49"/>
        <v>WorldCat Record</v>
      </c>
      <c r="AX2945" s="3" t="s">
        <v>28519</v>
      </c>
      <c r="AY2945" s="3" t="s">
        <v>28520</v>
      </c>
      <c r="AZ2945" s="3" t="s">
        <v>28521</v>
      </c>
      <c r="BA2945" s="3" t="s">
        <v>28521</v>
      </c>
      <c r="BB2945" s="3" t="s">
        <v>28527</v>
      </c>
      <c r="BC2945" s="3" t="s">
        <v>102</v>
      </c>
      <c r="BD2945" s="3" t="s">
        <v>68</v>
      </c>
      <c r="BE2945" s="3" t="s">
        <v>28523</v>
      </c>
      <c r="BF2945" s="3" t="s">
        <v>28527</v>
      </c>
      <c r="BG2945" s="3" t="s">
        <v>28528</v>
      </c>
    </row>
    <row r="2946" spans="1:59" ht="101.5" x14ac:dyDescent="0.35">
      <c r="A2946" s="2" t="s">
        <v>89</v>
      </c>
      <c r="B2946" s="2" t="s">
        <v>12301</v>
      </c>
      <c r="C2946" s="2" t="s">
        <v>28513</v>
      </c>
      <c r="D2946" s="2" t="s">
        <v>28514</v>
      </c>
      <c r="E2946" s="2" t="s">
        <v>28515</v>
      </c>
      <c r="G2946" s="3" t="s">
        <v>62</v>
      </c>
      <c r="I2946" s="3" t="s">
        <v>61</v>
      </c>
      <c r="J2946" s="3" t="s">
        <v>61</v>
      </c>
      <c r="K2946" s="3" t="s">
        <v>63</v>
      </c>
      <c r="L2946" s="2" t="s">
        <v>28516</v>
      </c>
      <c r="M2946" s="2" t="s">
        <v>28517</v>
      </c>
      <c r="N2946" s="3" t="s">
        <v>712</v>
      </c>
      <c r="O2946" s="2" t="s">
        <v>28518</v>
      </c>
      <c r="P2946" s="3" t="s">
        <v>64</v>
      </c>
      <c r="R2946" s="3" t="s">
        <v>27443</v>
      </c>
      <c r="S2946" s="4">
        <v>35</v>
      </c>
      <c r="T2946" s="4">
        <v>322</v>
      </c>
      <c r="U2946" s="5" t="s">
        <v>20604</v>
      </c>
      <c r="V2946" s="5" t="s">
        <v>16849</v>
      </c>
      <c r="W2946" s="5" t="s">
        <v>67</v>
      </c>
      <c r="X2946" s="5" t="s">
        <v>67</v>
      </c>
      <c r="Y2946" s="4">
        <v>189</v>
      </c>
      <c r="Z2946" s="4">
        <v>9</v>
      </c>
      <c r="AA2946" s="4">
        <v>96</v>
      </c>
      <c r="AB2946" s="4">
        <v>1</v>
      </c>
      <c r="AC2946" s="4">
        <v>8</v>
      </c>
      <c r="AD2946" s="4">
        <v>31</v>
      </c>
      <c r="AE2946" s="4">
        <v>122</v>
      </c>
      <c r="AF2946" s="4">
        <v>0</v>
      </c>
      <c r="AG2946" s="4">
        <v>2</v>
      </c>
      <c r="AH2946" s="4">
        <v>26</v>
      </c>
      <c r="AI2946" s="4">
        <v>93</v>
      </c>
      <c r="AJ2946" s="4">
        <v>2</v>
      </c>
      <c r="AK2946" s="4">
        <v>22</v>
      </c>
      <c r="AL2946" s="4">
        <v>15</v>
      </c>
      <c r="AM2946" s="4">
        <v>51</v>
      </c>
      <c r="AN2946" s="4">
        <v>0</v>
      </c>
      <c r="AO2946" s="4">
        <v>0</v>
      </c>
      <c r="AP2946" s="4">
        <v>4</v>
      </c>
      <c r="AQ2946" s="4">
        <v>39</v>
      </c>
      <c r="AR2946" s="3" t="s">
        <v>62</v>
      </c>
      <c r="AS2946" s="3" t="s">
        <v>62</v>
      </c>
      <c r="AT2946" s="3" t="s">
        <v>62</v>
      </c>
      <c r="AV2946" s="6" t="str">
        <f t="shared" si="48"/>
        <v>Catalog Record</v>
      </c>
      <c r="AW2946" s="6" t="str">
        <f t="shared" si="49"/>
        <v>WorldCat Record</v>
      </c>
      <c r="AX2946" s="3" t="s">
        <v>28519</v>
      </c>
      <c r="AY2946" s="3" t="s">
        <v>28520</v>
      </c>
      <c r="AZ2946" s="3" t="s">
        <v>28521</v>
      </c>
      <c r="BA2946" s="3" t="s">
        <v>28521</v>
      </c>
      <c r="BB2946" s="3" t="s">
        <v>28529</v>
      </c>
      <c r="BC2946" s="3" t="s">
        <v>102</v>
      </c>
      <c r="BD2946" s="3" t="s">
        <v>68</v>
      </c>
      <c r="BE2946" s="3" t="s">
        <v>28523</v>
      </c>
      <c r="BF2946" s="3" t="s">
        <v>28529</v>
      </c>
      <c r="BG2946" s="3" t="s">
        <v>28530</v>
      </c>
    </row>
    <row r="2947" spans="1:59" ht="101.5" x14ac:dyDescent="0.35">
      <c r="A2947" s="2" t="s">
        <v>89</v>
      </c>
      <c r="B2947" s="2" t="s">
        <v>12301</v>
      </c>
      <c r="C2947" s="2" t="s">
        <v>28513</v>
      </c>
      <c r="D2947" s="2" t="s">
        <v>28514</v>
      </c>
      <c r="E2947" s="2" t="s">
        <v>28515</v>
      </c>
      <c r="G2947" s="3" t="s">
        <v>62</v>
      </c>
      <c r="I2947" s="3" t="s">
        <v>61</v>
      </c>
      <c r="J2947" s="3" t="s">
        <v>61</v>
      </c>
      <c r="K2947" s="3" t="s">
        <v>63</v>
      </c>
      <c r="L2947" s="2" t="s">
        <v>28516</v>
      </c>
      <c r="M2947" s="2" t="s">
        <v>28517</v>
      </c>
      <c r="N2947" s="3" t="s">
        <v>712</v>
      </c>
      <c r="O2947" s="2" t="s">
        <v>28518</v>
      </c>
      <c r="P2947" s="3" t="s">
        <v>64</v>
      </c>
      <c r="R2947" s="3" t="s">
        <v>27443</v>
      </c>
      <c r="S2947" s="4">
        <v>44</v>
      </c>
      <c r="T2947" s="4">
        <v>322</v>
      </c>
      <c r="U2947" s="5" t="s">
        <v>15917</v>
      </c>
      <c r="V2947" s="5" t="s">
        <v>16849</v>
      </c>
      <c r="W2947" s="5" t="s">
        <v>67</v>
      </c>
      <c r="X2947" s="5" t="s">
        <v>67</v>
      </c>
      <c r="Y2947" s="4">
        <v>189</v>
      </c>
      <c r="Z2947" s="4">
        <v>9</v>
      </c>
      <c r="AA2947" s="4">
        <v>96</v>
      </c>
      <c r="AB2947" s="4">
        <v>1</v>
      </c>
      <c r="AC2947" s="4">
        <v>8</v>
      </c>
      <c r="AD2947" s="4">
        <v>31</v>
      </c>
      <c r="AE2947" s="4">
        <v>122</v>
      </c>
      <c r="AF2947" s="4">
        <v>0</v>
      </c>
      <c r="AG2947" s="4">
        <v>2</v>
      </c>
      <c r="AH2947" s="4">
        <v>26</v>
      </c>
      <c r="AI2947" s="4">
        <v>93</v>
      </c>
      <c r="AJ2947" s="4">
        <v>2</v>
      </c>
      <c r="AK2947" s="4">
        <v>22</v>
      </c>
      <c r="AL2947" s="4">
        <v>15</v>
      </c>
      <c r="AM2947" s="4">
        <v>51</v>
      </c>
      <c r="AN2947" s="4">
        <v>0</v>
      </c>
      <c r="AO2947" s="4">
        <v>0</v>
      </c>
      <c r="AP2947" s="4">
        <v>4</v>
      </c>
      <c r="AQ2947" s="4">
        <v>39</v>
      </c>
      <c r="AR2947" s="3" t="s">
        <v>62</v>
      </c>
      <c r="AS2947" s="3" t="s">
        <v>62</v>
      </c>
      <c r="AT2947" s="3" t="s">
        <v>62</v>
      </c>
      <c r="AV2947" s="6" t="str">
        <f t="shared" si="48"/>
        <v>Catalog Record</v>
      </c>
      <c r="AW2947" s="6" t="str">
        <f t="shared" si="49"/>
        <v>WorldCat Record</v>
      </c>
      <c r="AX2947" s="3" t="s">
        <v>28519</v>
      </c>
      <c r="AY2947" s="3" t="s">
        <v>28520</v>
      </c>
      <c r="AZ2947" s="3" t="s">
        <v>28521</v>
      </c>
      <c r="BA2947" s="3" t="s">
        <v>28521</v>
      </c>
      <c r="BB2947" s="3" t="s">
        <v>28531</v>
      </c>
      <c r="BC2947" s="3" t="s">
        <v>102</v>
      </c>
      <c r="BD2947" s="3" t="s">
        <v>68</v>
      </c>
      <c r="BE2947" s="3" t="s">
        <v>28523</v>
      </c>
      <c r="BF2947" s="3" t="s">
        <v>28531</v>
      </c>
      <c r="BG2947" s="3" t="s">
        <v>28532</v>
      </c>
    </row>
    <row r="2948" spans="1:59" ht="101.5" x14ac:dyDescent="0.35">
      <c r="A2948" s="2" t="s">
        <v>89</v>
      </c>
      <c r="B2948" s="2" t="s">
        <v>12301</v>
      </c>
      <c r="C2948" s="2" t="s">
        <v>28513</v>
      </c>
      <c r="D2948" s="2" t="s">
        <v>28514</v>
      </c>
      <c r="E2948" s="2" t="s">
        <v>28515</v>
      </c>
      <c r="G2948" s="3" t="s">
        <v>62</v>
      </c>
      <c r="I2948" s="3" t="s">
        <v>61</v>
      </c>
      <c r="J2948" s="3" t="s">
        <v>61</v>
      </c>
      <c r="K2948" s="3" t="s">
        <v>63</v>
      </c>
      <c r="L2948" s="2" t="s">
        <v>28516</v>
      </c>
      <c r="M2948" s="2" t="s">
        <v>28517</v>
      </c>
      <c r="N2948" s="3" t="s">
        <v>712</v>
      </c>
      <c r="O2948" s="2" t="s">
        <v>28518</v>
      </c>
      <c r="P2948" s="3" t="s">
        <v>64</v>
      </c>
      <c r="R2948" s="3" t="s">
        <v>27443</v>
      </c>
      <c r="S2948" s="4">
        <v>39</v>
      </c>
      <c r="T2948" s="4">
        <v>322</v>
      </c>
      <c r="U2948" s="5" t="s">
        <v>1157</v>
      </c>
      <c r="V2948" s="5" t="s">
        <v>16849</v>
      </c>
      <c r="W2948" s="5" t="s">
        <v>67</v>
      </c>
      <c r="X2948" s="5" t="s">
        <v>67</v>
      </c>
      <c r="Y2948" s="4">
        <v>189</v>
      </c>
      <c r="Z2948" s="4">
        <v>9</v>
      </c>
      <c r="AA2948" s="4">
        <v>96</v>
      </c>
      <c r="AB2948" s="4">
        <v>1</v>
      </c>
      <c r="AC2948" s="4">
        <v>8</v>
      </c>
      <c r="AD2948" s="4">
        <v>31</v>
      </c>
      <c r="AE2948" s="4">
        <v>122</v>
      </c>
      <c r="AF2948" s="4">
        <v>0</v>
      </c>
      <c r="AG2948" s="4">
        <v>2</v>
      </c>
      <c r="AH2948" s="4">
        <v>26</v>
      </c>
      <c r="AI2948" s="4">
        <v>93</v>
      </c>
      <c r="AJ2948" s="4">
        <v>2</v>
      </c>
      <c r="AK2948" s="4">
        <v>22</v>
      </c>
      <c r="AL2948" s="4">
        <v>15</v>
      </c>
      <c r="AM2948" s="4">
        <v>51</v>
      </c>
      <c r="AN2948" s="4">
        <v>0</v>
      </c>
      <c r="AO2948" s="4">
        <v>0</v>
      </c>
      <c r="AP2948" s="4">
        <v>4</v>
      </c>
      <c r="AQ2948" s="4">
        <v>39</v>
      </c>
      <c r="AR2948" s="3" t="s">
        <v>62</v>
      </c>
      <c r="AS2948" s="3" t="s">
        <v>62</v>
      </c>
      <c r="AT2948" s="3" t="s">
        <v>62</v>
      </c>
      <c r="AV2948" s="6" t="str">
        <f t="shared" si="48"/>
        <v>Catalog Record</v>
      </c>
      <c r="AW2948" s="6" t="str">
        <f t="shared" si="49"/>
        <v>WorldCat Record</v>
      </c>
      <c r="AX2948" s="3" t="s">
        <v>28519</v>
      </c>
      <c r="AY2948" s="3" t="s">
        <v>28520</v>
      </c>
      <c r="AZ2948" s="3" t="s">
        <v>28521</v>
      </c>
      <c r="BA2948" s="3" t="s">
        <v>28521</v>
      </c>
      <c r="BB2948" s="3" t="s">
        <v>28533</v>
      </c>
      <c r="BC2948" s="3" t="s">
        <v>102</v>
      </c>
      <c r="BD2948" s="3" t="s">
        <v>68</v>
      </c>
      <c r="BE2948" s="3" t="s">
        <v>28523</v>
      </c>
      <c r="BF2948" s="3" t="s">
        <v>28533</v>
      </c>
      <c r="BG2948" s="3" t="s">
        <v>28534</v>
      </c>
    </row>
    <row r="2949" spans="1:59" ht="101.5" x14ac:dyDescent="0.35">
      <c r="A2949" s="2" t="s">
        <v>89</v>
      </c>
      <c r="B2949" s="2" t="s">
        <v>12301</v>
      </c>
      <c r="C2949" s="2" t="s">
        <v>28513</v>
      </c>
      <c r="D2949" s="2" t="s">
        <v>28514</v>
      </c>
      <c r="E2949" s="2" t="s">
        <v>28515</v>
      </c>
      <c r="G2949" s="3" t="s">
        <v>62</v>
      </c>
      <c r="I2949" s="3" t="s">
        <v>61</v>
      </c>
      <c r="J2949" s="3" t="s">
        <v>61</v>
      </c>
      <c r="K2949" s="3" t="s">
        <v>63</v>
      </c>
      <c r="L2949" s="2" t="s">
        <v>28516</v>
      </c>
      <c r="M2949" s="2" t="s">
        <v>28517</v>
      </c>
      <c r="N2949" s="3" t="s">
        <v>712</v>
      </c>
      <c r="O2949" s="2" t="s">
        <v>28518</v>
      </c>
      <c r="P2949" s="3" t="s">
        <v>64</v>
      </c>
      <c r="R2949" s="3" t="s">
        <v>27443</v>
      </c>
      <c r="S2949" s="4">
        <v>42</v>
      </c>
      <c r="T2949" s="4">
        <v>322</v>
      </c>
      <c r="U2949" s="5" t="s">
        <v>16849</v>
      </c>
      <c r="V2949" s="5" t="s">
        <v>16849</v>
      </c>
      <c r="W2949" s="5" t="s">
        <v>67</v>
      </c>
      <c r="X2949" s="5" t="s">
        <v>67</v>
      </c>
      <c r="Y2949" s="4">
        <v>189</v>
      </c>
      <c r="Z2949" s="4">
        <v>9</v>
      </c>
      <c r="AA2949" s="4">
        <v>96</v>
      </c>
      <c r="AB2949" s="4">
        <v>1</v>
      </c>
      <c r="AC2949" s="4">
        <v>8</v>
      </c>
      <c r="AD2949" s="4">
        <v>31</v>
      </c>
      <c r="AE2949" s="4">
        <v>122</v>
      </c>
      <c r="AF2949" s="4">
        <v>0</v>
      </c>
      <c r="AG2949" s="4">
        <v>2</v>
      </c>
      <c r="AH2949" s="4">
        <v>26</v>
      </c>
      <c r="AI2949" s="4">
        <v>93</v>
      </c>
      <c r="AJ2949" s="4">
        <v>2</v>
      </c>
      <c r="AK2949" s="4">
        <v>22</v>
      </c>
      <c r="AL2949" s="4">
        <v>15</v>
      </c>
      <c r="AM2949" s="4">
        <v>51</v>
      </c>
      <c r="AN2949" s="4">
        <v>0</v>
      </c>
      <c r="AO2949" s="4">
        <v>0</v>
      </c>
      <c r="AP2949" s="4">
        <v>4</v>
      </c>
      <c r="AQ2949" s="4">
        <v>39</v>
      </c>
      <c r="AR2949" s="3" t="s">
        <v>62</v>
      </c>
      <c r="AS2949" s="3" t="s">
        <v>62</v>
      </c>
      <c r="AT2949" s="3" t="s">
        <v>62</v>
      </c>
      <c r="AV2949" s="6" t="str">
        <f t="shared" si="48"/>
        <v>Catalog Record</v>
      </c>
      <c r="AW2949" s="6" t="str">
        <f t="shared" si="49"/>
        <v>WorldCat Record</v>
      </c>
      <c r="AX2949" s="3" t="s">
        <v>28519</v>
      </c>
      <c r="AY2949" s="3" t="s">
        <v>28520</v>
      </c>
      <c r="AZ2949" s="3" t="s">
        <v>28521</v>
      </c>
      <c r="BA2949" s="3" t="s">
        <v>28521</v>
      </c>
      <c r="BB2949" s="3" t="s">
        <v>28535</v>
      </c>
      <c r="BC2949" s="3" t="s">
        <v>102</v>
      </c>
      <c r="BD2949" s="3" t="s">
        <v>68</v>
      </c>
      <c r="BE2949" s="3" t="s">
        <v>28523</v>
      </c>
      <c r="BF2949" s="3" t="s">
        <v>28535</v>
      </c>
      <c r="BG2949" s="3" t="s">
        <v>28536</v>
      </c>
    </row>
    <row r="2950" spans="1:59" ht="101.5" x14ac:dyDescent="0.35">
      <c r="A2950" s="2" t="s">
        <v>89</v>
      </c>
      <c r="B2950" s="2" t="s">
        <v>12301</v>
      </c>
      <c r="C2950" s="2" t="s">
        <v>28513</v>
      </c>
      <c r="D2950" s="2" t="s">
        <v>28514</v>
      </c>
      <c r="E2950" s="2" t="s">
        <v>28515</v>
      </c>
      <c r="G2950" s="3" t="s">
        <v>62</v>
      </c>
      <c r="I2950" s="3" t="s">
        <v>61</v>
      </c>
      <c r="J2950" s="3" t="s">
        <v>61</v>
      </c>
      <c r="K2950" s="3" t="s">
        <v>63</v>
      </c>
      <c r="L2950" s="2" t="s">
        <v>28516</v>
      </c>
      <c r="M2950" s="2" t="s">
        <v>28517</v>
      </c>
      <c r="N2950" s="3" t="s">
        <v>712</v>
      </c>
      <c r="O2950" s="2" t="s">
        <v>28518</v>
      </c>
      <c r="P2950" s="3" t="s">
        <v>64</v>
      </c>
      <c r="R2950" s="3" t="s">
        <v>27443</v>
      </c>
      <c r="S2950" s="4">
        <v>41</v>
      </c>
      <c r="T2950" s="4">
        <v>322</v>
      </c>
      <c r="U2950" s="5" t="s">
        <v>18024</v>
      </c>
      <c r="V2950" s="5" t="s">
        <v>16849</v>
      </c>
      <c r="W2950" s="5" t="s">
        <v>67</v>
      </c>
      <c r="X2950" s="5" t="s">
        <v>67</v>
      </c>
      <c r="Y2950" s="4">
        <v>189</v>
      </c>
      <c r="Z2950" s="4">
        <v>9</v>
      </c>
      <c r="AA2950" s="4">
        <v>96</v>
      </c>
      <c r="AB2950" s="4">
        <v>1</v>
      </c>
      <c r="AC2950" s="4">
        <v>8</v>
      </c>
      <c r="AD2950" s="4">
        <v>31</v>
      </c>
      <c r="AE2950" s="4">
        <v>122</v>
      </c>
      <c r="AF2950" s="4">
        <v>0</v>
      </c>
      <c r="AG2950" s="4">
        <v>2</v>
      </c>
      <c r="AH2950" s="4">
        <v>26</v>
      </c>
      <c r="AI2950" s="4">
        <v>93</v>
      </c>
      <c r="AJ2950" s="4">
        <v>2</v>
      </c>
      <c r="AK2950" s="4">
        <v>22</v>
      </c>
      <c r="AL2950" s="4">
        <v>15</v>
      </c>
      <c r="AM2950" s="4">
        <v>51</v>
      </c>
      <c r="AN2950" s="4">
        <v>0</v>
      </c>
      <c r="AO2950" s="4">
        <v>0</v>
      </c>
      <c r="AP2950" s="4">
        <v>4</v>
      </c>
      <c r="AQ2950" s="4">
        <v>39</v>
      </c>
      <c r="AR2950" s="3" t="s">
        <v>62</v>
      </c>
      <c r="AS2950" s="3" t="s">
        <v>62</v>
      </c>
      <c r="AT2950" s="3" t="s">
        <v>62</v>
      </c>
      <c r="AV2950" s="6" t="str">
        <f t="shared" si="48"/>
        <v>Catalog Record</v>
      </c>
      <c r="AW2950" s="6" t="str">
        <f t="shared" si="49"/>
        <v>WorldCat Record</v>
      </c>
      <c r="AX2950" s="3" t="s">
        <v>28519</v>
      </c>
      <c r="AY2950" s="3" t="s">
        <v>28520</v>
      </c>
      <c r="AZ2950" s="3" t="s">
        <v>28521</v>
      </c>
      <c r="BA2950" s="3" t="s">
        <v>28521</v>
      </c>
      <c r="BB2950" s="3" t="s">
        <v>28537</v>
      </c>
      <c r="BC2950" s="3" t="s">
        <v>102</v>
      </c>
      <c r="BD2950" s="3" t="s">
        <v>68</v>
      </c>
      <c r="BE2950" s="3" t="s">
        <v>28523</v>
      </c>
      <c r="BF2950" s="3" t="s">
        <v>28537</v>
      </c>
      <c r="BG2950" s="3" t="s">
        <v>28538</v>
      </c>
    </row>
    <row r="2951" spans="1:59" ht="101.5" x14ac:dyDescent="0.35">
      <c r="A2951" s="2" t="s">
        <v>89</v>
      </c>
      <c r="B2951" s="2" t="s">
        <v>12301</v>
      </c>
      <c r="C2951" s="2" t="s">
        <v>28539</v>
      </c>
      <c r="D2951" s="2" t="s">
        <v>28540</v>
      </c>
      <c r="E2951" s="2" t="s">
        <v>28541</v>
      </c>
      <c r="G2951" s="3" t="s">
        <v>62</v>
      </c>
      <c r="I2951" s="3" t="s">
        <v>61</v>
      </c>
      <c r="J2951" s="3" t="s">
        <v>61</v>
      </c>
      <c r="K2951" s="3" t="s">
        <v>63</v>
      </c>
      <c r="L2951" s="2" t="s">
        <v>28542</v>
      </c>
      <c r="M2951" s="2" t="s">
        <v>28543</v>
      </c>
      <c r="N2951" s="3" t="s">
        <v>129</v>
      </c>
      <c r="O2951" s="2" t="s">
        <v>11716</v>
      </c>
      <c r="P2951" s="3" t="s">
        <v>64</v>
      </c>
      <c r="R2951" s="3" t="s">
        <v>27443</v>
      </c>
      <c r="S2951" s="4">
        <v>20</v>
      </c>
      <c r="T2951" s="4">
        <v>117</v>
      </c>
      <c r="U2951" s="5" t="s">
        <v>18024</v>
      </c>
      <c r="V2951" s="5" t="s">
        <v>18024</v>
      </c>
      <c r="W2951" s="5" t="s">
        <v>67</v>
      </c>
      <c r="X2951" s="5" t="s">
        <v>67</v>
      </c>
      <c r="Y2951" s="4">
        <v>140</v>
      </c>
      <c r="Z2951" s="4">
        <v>13</v>
      </c>
      <c r="AA2951" s="4">
        <v>52</v>
      </c>
      <c r="AB2951" s="4">
        <v>1</v>
      </c>
      <c r="AC2951" s="4">
        <v>9</v>
      </c>
      <c r="AD2951" s="4">
        <v>31</v>
      </c>
      <c r="AE2951" s="4">
        <v>91</v>
      </c>
      <c r="AF2951" s="4">
        <v>0</v>
      </c>
      <c r="AG2951" s="4">
        <v>5</v>
      </c>
      <c r="AH2951" s="4">
        <v>25</v>
      </c>
      <c r="AI2951" s="4">
        <v>73</v>
      </c>
      <c r="AJ2951" s="4">
        <v>5</v>
      </c>
      <c r="AK2951" s="4">
        <v>17</v>
      </c>
      <c r="AL2951" s="4">
        <v>13</v>
      </c>
      <c r="AM2951" s="4">
        <v>37</v>
      </c>
      <c r="AN2951" s="4">
        <v>0</v>
      </c>
      <c r="AO2951" s="4">
        <v>0</v>
      </c>
      <c r="AP2951" s="4">
        <v>10</v>
      </c>
      <c r="AQ2951" s="4">
        <v>27</v>
      </c>
      <c r="AR2951" s="3" t="s">
        <v>62</v>
      </c>
      <c r="AS2951" s="3" t="s">
        <v>62</v>
      </c>
      <c r="AT2951" s="3" t="s">
        <v>62</v>
      </c>
      <c r="AV2951" s="6" t="str">
        <f>HYPERLINK("http://mcgill.on.worldcat.org/oclc/756279784","Catalog Record")</f>
        <v>Catalog Record</v>
      </c>
      <c r="AW2951" s="6" t="str">
        <f>HYPERLINK("http://www.worldcat.org/oclc/756279784","WorldCat Record")</f>
        <v>WorldCat Record</v>
      </c>
      <c r="AX2951" s="3" t="s">
        <v>28544</v>
      </c>
      <c r="AY2951" s="3" t="s">
        <v>28545</v>
      </c>
      <c r="AZ2951" s="3" t="s">
        <v>28546</v>
      </c>
      <c r="BA2951" s="3" t="s">
        <v>28546</v>
      </c>
      <c r="BB2951" s="3" t="s">
        <v>28547</v>
      </c>
      <c r="BC2951" s="3" t="s">
        <v>102</v>
      </c>
      <c r="BD2951" s="3" t="s">
        <v>68</v>
      </c>
      <c r="BE2951" s="3" t="s">
        <v>28548</v>
      </c>
      <c r="BF2951" s="3" t="s">
        <v>28547</v>
      </c>
      <c r="BG2951" s="3" t="s">
        <v>28549</v>
      </c>
    </row>
    <row r="2952" spans="1:59" ht="101.5" x14ac:dyDescent="0.35">
      <c r="A2952" s="2" t="s">
        <v>89</v>
      </c>
      <c r="B2952" s="2" t="s">
        <v>12301</v>
      </c>
      <c r="C2952" s="2" t="s">
        <v>28539</v>
      </c>
      <c r="D2952" s="2" t="s">
        <v>28540</v>
      </c>
      <c r="E2952" s="2" t="s">
        <v>28541</v>
      </c>
      <c r="G2952" s="3" t="s">
        <v>62</v>
      </c>
      <c r="I2952" s="3" t="s">
        <v>61</v>
      </c>
      <c r="J2952" s="3" t="s">
        <v>61</v>
      </c>
      <c r="K2952" s="3" t="s">
        <v>63</v>
      </c>
      <c r="L2952" s="2" t="s">
        <v>28542</v>
      </c>
      <c r="M2952" s="2" t="s">
        <v>28543</v>
      </c>
      <c r="N2952" s="3" t="s">
        <v>129</v>
      </c>
      <c r="O2952" s="2" t="s">
        <v>11716</v>
      </c>
      <c r="P2952" s="3" t="s">
        <v>64</v>
      </c>
      <c r="R2952" s="3" t="s">
        <v>27443</v>
      </c>
      <c r="S2952" s="4">
        <v>17</v>
      </c>
      <c r="T2952" s="4">
        <v>117</v>
      </c>
      <c r="U2952" s="5" t="s">
        <v>15954</v>
      </c>
      <c r="V2952" s="5" t="s">
        <v>18024</v>
      </c>
      <c r="W2952" s="5" t="s">
        <v>67</v>
      </c>
      <c r="X2952" s="5" t="s">
        <v>67</v>
      </c>
      <c r="Y2952" s="4">
        <v>140</v>
      </c>
      <c r="Z2952" s="4">
        <v>13</v>
      </c>
      <c r="AA2952" s="4">
        <v>52</v>
      </c>
      <c r="AB2952" s="4">
        <v>1</v>
      </c>
      <c r="AC2952" s="4">
        <v>9</v>
      </c>
      <c r="AD2952" s="4">
        <v>31</v>
      </c>
      <c r="AE2952" s="4">
        <v>91</v>
      </c>
      <c r="AF2952" s="4">
        <v>0</v>
      </c>
      <c r="AG2952" s="4">
        <v>5</v>
      </c>
      <c r="AH2952" s="4">
        <v>25</v>
      </c>
      <c r="AI2952" s="4">
        <v>73</v>
      </c>
      <c r="AJ2952" s="4">
        <v>5</v>
      </c>
      <c r="AK2952" s="4">
        <v>17</v>
      </c>
      <c r="AL2952" s="4">
        <v>13</v>
      </c>
      <c r="AM2952" s="4">
        <v>37</v>
      </c>
      <c r="AN2952" s="4">
        <v>0</v>
      </c>
      <c r="AO2952" s="4">
        <v>0</v>
      </c>
      <c r="AP2952" s="4">
        <v>10</v>
      </c>
      <c r="AQ2952" s="4">
        <v>27</v>
      </c>
      <c r="AR2952" s="3" t="s">
        <v>62</v>
      </c>
      <c r="AS2952" s="3" t="s">
        <v>62</v>
      </c>
      <c r="AT2952" s="3" t="s">
        <v>62</v>
      </c>
      <c r="AV2952" s="6" t="str">
        <f>HYPERLINK("http://mcgill.on.worldcat.org/oclc/756279784","Catalog Record")</f>
        <v>Catalog Record</v>
      </c>
      <c r="AW2952" s="6" t="str">
        <f>HYPERLINK("http://www.worldcat.org/oclc/756279784","WorldCat Record")</f>
        <v>WorldCat Record</v>
      </c>
      <c r="AX2952" s="3" t="s">
        <v>28544</v>
      </c>
      <c r="AY2952" s="3" t="s">
        <v>28545</v>
      </c>
      <c r="AZ2952" s="3" t="s">
        <v>28546</v>
      </c>
      <c r="BA2952" s="3" t="s">
        <v>28546</v>
      </c>
      <c r="BB2952" s="3" t="s">
        <v>28550</v>
      </c>
      <c r="BC2952" s="3" t="s">
        <v>102</v>
      </c>
      <c r="BD2952" s="3" t="s">
        <v>68</v>
      </c>
      <c r="BE2952" s="3" t="s">
        <v>28548</v>
      </c>
      <c r="BF2952" s="3" t="s">
        <v>28550</v>
      </c>
      <c r="BG2952" s="3" t="s">
        <v>28551</v>
      </c>
    </row>
    <row r="2953" spans="1:59" ht="101.5" x14ac:dyDescent="0.35">
      <c r="A2953" s="2" t="s">
        <v>89</v>
      </c>
      <c r="B2953" s="2" t="s">
        <v>12301</v>
      </c>
      <c r="C2953" s="2" t="s">
        <v>28539</v>
      </c>
      <c r="D2953" s="2" t="s">
        <v>28540</v>
      </c>
      <c r="E2953" s="2" t="s">
        <v>28541</v>
      </c>
      <c r="G2953" s="3" t="s">
        <v>62</v>
      </c>
      <c r="I2953" s="3" t="s">
        <v>61</v>
      </c>
      <c r="J2953" s="3" t="s">
        <v>61</v>
      </c>
      <c r="K2953" s="3" t="s">
        <v>63</v>
      </c>
      <c r="L2953" s="2" t="s">
        <v>28542</v>
      </c>
      <c r="M2953" s="2" t="s">
        <v>28543</v>
      </c>
      <c r="N2953" s="3" t="s">
        <v>129</v>
      </c>
      <c r="O2953" s="2" t="s">
        <v>11716</v>
      </c>
      <c r="P2953" s="3" t="s">
        <v>64</v>
      </c>
      <c r="R2953" s="3" t="s">
        <v>27443</v>
      </c>
      <c r="S2953" s="4">
        <v>26</v>
      </c>
      <c r="T2953" s="4">
        <v>117</v>
      </c>
      <c r="U2953" s="5" t="s">
        <v>16894</v>
      </c>
      <c r="V2953" s="5" t="s">
        <v>18024</v>
      </c>
      <c r="W2953" s="5" t="s">
        <v>67</v>
      </c>
      <c r="X2953" s="5" t="s">
        <v>67</v>
      </c>
      <c r="Y2953" s="4">
        <v>140</v>
      </c>
      <c r="Z2953" s="4">
        <v>13</v>
      </c>
      <c r="AA2953" s="4">
        <v>52</v>
      </c>
      <c r="AB2953" s="4">
        <v>1</v>
      </c>
      <c r="AC2953" s="4">
        <v>9</v>
      </c>
      <c r="AD2953" s="4">
        <v>31</v>
      </c>
      <c r="AE2953" s="4">
        <v>91</v>
      </c>
      <c r="AF2953" s="4">
        <v>0</v>
      </c>
      <c r="AG2953" s="4">
        <v>5</v>
      </c>
      <c r="AH2953" s="4">
        <v>25</v>
      </c>
      <c r="AI2953" s="4">
        <v>73</v>
      </c>
      <c r="AJ2953" s="4">
        <v>5</v>
      </c>
      <c r="AK2953" s="4">
        <v>17</v>
      </c>
      <c r="AL2953" s="4">
        <v>13</v>
      </c>
      <c r="AM2953" s="4">
        <v>37</v>
      </c>
      <c r="AN2953" s="4">
        <v>0</v>
      </c>
      <c r="AO2953" s="4">
        <v>0</v>
      </c>
      <c r="AP2953" s="4">
        <v>10</v>
      </c>
      <c r="AQ2953" s="4">
        <v>27</v>
      </c>
      <c r="AR2953" s="3" t="s">
        <v>62</v>
      </c>
      <c r="AS2953" s="3" t="s">
        <v>62</v>
      </c>
      <c r="AT2953" s="3" t="s">
        <v>62</v>
      </c>
      <c r="AV2953" s="6" t="str">
        <f>HYPERLINK("http://mcgill.on.worldcat.org/oclc/756279784","Catalog Record")</f>
        <v>Catalog Record</v>
      </c>
      <c r="AW2953" s="6" t="str">
        <f>HYPERLINK("http://www.worldcat.org/oclc/756279784","WorldCat Record")</f>
        <v>WorldCat Record</v>
      </c>
      <c r="AX2953" s="3" t="s">
        <v>28544</v>
      </c>
      <c r="AY2953" s="3" t="s">
        <v>28545</v>
      </c>
      <c r="AZ2953" s="3" t="s">
        <v>28546</v>
      </c>
      <c r="BA2953" s="3" t="s">
        <v>28546</v>
      </c>
      <c r="BB2953" s="3" t="s">
        <v>28552</v>
      </c>
      <c r="BC2953" s="3" t="s">
        <v>102</v>
      </c>
      <c r="BD2953" s="3" t="s">
        <v>68</v>
      </c>
      <c r="BE2953" s="3" t="s">
        <v>28548</v>
      </c>
      <c r="BF2953" s="3" t="s">
        <v>28552</v>
      </c>
      <c r="BG2953" s="3" t="s">
        <v>28553</v>
      </c>
    </row>
    <row r="2954" spans="1:59" ht="101.5" x14ac:dyDescent="0.35">
      <c r="A2954" s="2" t="s">
        <v>89</v>
      </c>
      <c r="B2954" s="2" t="s">
        <v>12301</v>
      </c>
      <c r="C2954" s="2" t="s">
        <v>28539</v>
      </c>
      <c r="D2954" s="2" t="s">
        <v>28540</v>
      </c>
      <c r="E2954" s="2" t="s">
        <v>28541</v>
      </c>
      <c r="G2954" s="3" t="s">
        <v>62</v>
      </c>
      <c r="I2954" s="3" t="s">
        <v>61</v>
      </c>
      <c r="J2954" s="3" t="s">
        <v>61</v>
      </c>
      <c r="K2954" s="3" t="s">
        <v>63</v>
      </c>
      <c r="L2954" s="2" t="s">
        <v>28542</v>
      </c>
      <c r="M2954" s="2" t="s">
        <v>28543</v>
      </c>
      <c r="N2954" s="3" t="s">
        <v>129</v>
      </c>
      <c r="O2954" s="2" t="s">
        <v>11716</v>
      </c>
      <c r="P2954" s="3" t="s">
        <v>64</v>
      </c>
      <c r="R2954" s="3" t="s">
        <v>27443</v>
      </c>
      <c r="S2954" s="4">
        <v>32</v>
      </c>
      <c r="T2954" s="4">
        <v>117</v>
      </c>
      <c r="U2954" s="5" t="s">
        <v>2521</v>
      </c>
      <c r="V2954" s="5" t="s">
        <v>18024</v>
      </c>
      <c r="W2954" s="5" t="s">
        <v>67</v>
      </c>
      <c r="X2954" s="5" t="s">
        <v>67</v>
      </c>
      <c r="Y2954" s="4">
        <v>140</v>
      </c>
      <c r="Z2954" s="4">
        <v>13</v>
      </c>
      <c r="AA2954" s="4">
        <v>52</v>
      </c>
      <c r="AB2954" s="4">
        <v>1</v>
      </c>
      <c r="AC2954" s="4">
        <v>9</v>
      </c>
      <c r="AD2954" s="4">
        <v>31</v>
      </c>
      <c r="AE2954" s="4">
        <v>91</v>
      </c>
      <c r="AF2954" s="4">
        <v>0</v>
      </c>
      <c r="AG2954" s="4">
        <v>5</v>
      </c>
      <c r="AH2954" s="4">
        <v>25</v>
      </c>
      <c r="AI2954" s="4">
        <v>73</v>
      </c>
      <c r="AJ2954" s="4">
        <v>5</v>
      </c>
      <c r="AK2954" s="4">
        <v>17</v>
      </c>
      <c r="AL2954" s="4">
        <v>13</v>
      </c>
      <c r="AM2954" s="4">
        <v>37</v>
      </c>
      <c r="AN2954" s="4">
        <v>0</v>
      </c>
      <c r="AO2954" s="4">
        <v>0</v>
      </c>
      <c r="AP2954" s="4">
        <v>10</v>
      </c>
      <c r="AQ2954" s="4">
        <v>27</v>
      </c>
      <c r="AR2954" s="3" t="s">
        <v>62</v>
      </c>
      <c r="AS2954" s="3" t="s">
        <v>62</v>
      </c>
      <c r="AT2954" s="3" t="s">
        <v>62</v>
      </c>
      <c r="AV2954" s="6" t="str">
        <f>HYPERLINK("http://mcgill.on.worldcat.org/oclc/756279784","Catalog Record")</f>
        <v>Catalog Record</v>
      </c>
      <c r="AW2954" s="6" t="str">
        <f>HYPERLINK("http://www.worldcat.org/oclc/756279784","WorldCat Record")</f>
        <v>WorldCat Record</v>
      </c>
      <c r="AX2954" s="3" t="s">
        <v>28544</v>
      </c>
      <c r="AY2954" s="3" t="s">
        <v>28545</v>
      </c>
      <c r="AZ2954" s="3" t="s">
        <v>28546</v>
      </c>
      <c r="BA2954" s="3" t="s">
        <v>28546</v>
      </c>
      <c r="BB2954" s="3" t="s">
        <v>28554</v>
      </c>
      <c r="BC2954" s="3" t="s">
        <v>102</v>
      </c>
      <c r="BD2954" s="3" t="s">
        <v>68</v>
      </c>
      <c r="BE2954" s="3" t="s">
        <v>28548</v>
      </c>
      <c r="BF2954" s="3" t="s">
        <v>28554</v>
      </c>
      <c r="BG2954" s="3" t="s">
        <v>28555</v>
      </c>
    </row>
    <row r="2955" spans="1:59" ht="101.5" x14ac:dyDescent="0.35">
      <c r="A2955" s="2" t="s">
        <v>89</v>
      </c>
      <c r="B2955" s="2" t="s">
        <v>12301</v>
      </c>
      <c r="C2955" s="2" t="s">
        <v>28539</v>
      </c>
      <c r="D2955" s="2" t="s">
        <v>28540</v>
      </c>
      <c r="E2955" s="2" t="s">
        <v>28541</v>
      </c>
      <c r="G2955" s="3" t="s">
        <v>62</v>
      </c>
      <c r="I2955" s="3" t="s">
        <v>61</v>
      </c>
      <c r="J2955" s="3" t="s">
        <v>61</v>
      </c>
      <c r="K2955" s="3" t="s">
        <v>63</v>
      </c>
      <c r="L2955" s="2" t="s">
        <v>28542</v>
      </c>
      <c r="M2955" s="2" t="s">
        <v>28543</v>
      </c>
      <c r="N2955" s="3" t="s">
        <v>129</v>
      </c>
      <c r="O2955" s="2" t="s">
        <v>11716</v>
      </c>
      <c r="P2955" s="3" t="s">
        <v>64</v>
      </c>
      <c r="R2955" s="3" t="s">
        <v>27443</v>
      </c>
      <c r="S2955" s="4">
        <v>22</v>
      </c>
      <c r="T2955" s="4">
        <v>117</v>
      </c>
      <c r="U2955" s="5" t="s">
        <v>10070</v>
      </c>
      <c r="V2955" s="5" t="s">
        <v>18024</v>
      </c>
      <c r="W2955" s="5" t="s">
        <v>67</v>
      </c>
      <c r="X2955" s="5" t="s">
        <v>67</v>
      </c>
      <c r="Y2955" s="4">
        <v>140</v>
      </c>
      <c r="Z2955" s="4">
        <v>13</v>
      </c>
      <c r="AA2955" s="4">
        <v>52</v>
      </c>
      <c r="AB2955" s="4">
        <v>1</v>
      </c>
      <c r="AC2955" s="4">
        <v>9</v>
      </c>
      <c r="AD2955" s="4">
        <v>31</v>
      </c>
      <c r="AE2955" s="4">
        <v>91</v>
      </c>
      <c r="AF2955" s="4">
        <v>0</v>
      </c>
      <c r="AG2955" s="4">
        <v>5</v>
      </c>
      <c r="AH2955" s="4">
        <v>25</v>
      </c>
      <c r="AI2955" s="4">
        <v>73</v>
      </c>
      <c r="AJ2955" s="4">
        <v>5</v>
      </c>
      <c r="AK2955" s="4">
        <v>17</v>
      </c>
      <c r="AL2955" s="4">
        <v>13</v>
      </c>
      <c r="AM2955" s="4">
        <v>37</v>
      </c>
      <c r="AN2955" s="4">
        <v>0</v>
      </c>
      <c r="AO2955" s="4">
        <v>0</v>
      </c>
      <c r="AP2955" s="4">
        <v>10</v>
      </c>
      <c r="AQ2955" s="4">
        <v>27</v>
      </c>
      <c r="AR2955" s="3" t="s">
        <v>62</v>
      </c>
      <c r="AS2955" s="3" t="s">
        <v>62</v>
      </c>
      <c r="AT2955" s="3" t="s">
        <v>62</v>
      </c>
      <c r="AV2955" s="6" t="str">
        <f>HYPERLINK("http://mcgill.on.worldcat.org/oclc/756279784","Catalog Record")</f>
        <v>Catalog Record</v>
      </c>
      <c r="AW2955" s="6" t="str">
        <f>HYPERLINK("http://www.worldcat.org/oclc/756279784","WorldCat Record")</f>
        <v>WorldCat Record</v>
      </c>
      <c r="AX2955" s="3" t="s">
        <v>28544</v>
      </c>
      <c r="AY2955" s="3" t="s">
        <v>28545</v>
      </c>
      <c r="AZ2955" s="3" t="s">
        <v>28546</v>
      </c>
      <c r="BA2955" s="3" t="s">
        <v>28546</v>
      </c>
      <c r="BB2955" s="3" t="s">
        <v>28556</v>
      </c>
      <c r="BC2955" s="3" t="s">
        <v>102</v>
      </c>
      <c r="BD2955" s="3" t="s">
        <v>68</v>
      </c>
      <c r="BE2955" s="3" t="s">
        <v>28548</v>
      </c>
      <c r="BF2955" s="3" t="s">
        <v>28556</v>
      </c>
      <c r="BG2955" s="3" t="s">
        <v>28557</v>
      </c>
    </row>
    <row r="2956" spans="1:59" ht="58" x14ac:dyDescent="0.35">
      <c r="A2956" s="2" t="s">
        <v>89</v>
      </c>
      <c r="B2956" s="2" t="s">
        <v>90</v>
      </c>
      <c r="C2956" s="2" t="s">
        <v>28558</v>
      </c>
      <c r="D2956" s="2" t="s">
        <v>28559</v>
      </c>
      <c r="E2956" s="2" t="s">
        <v>28560</v>
      </c>
      <c r="G2956" s="3" t="s">
        <v>62</v>
      </c>
      <c r="I2956" s="3" t="s">
        <v>61</v>
      </c>
      <c r="J2956" s="3" t="s">
        <v>62</v>
      </c>
      <c r="K2956" s="3" t="s">
        <v>63</v>
      </c>
      <c r="L2956" s="2" t="s">
        <v>28114</v>
      </c>
      <c r="M2956" s="2" t="s">
        <v>28561</v>
      </c>
      <c r="N2956" s="3" t="s">
        <v>2924</v>
      </c>
      <c r="P2956" s="3" t="s">
        <v>64</v>
      </c>
      <c r="Q2956" s="2" t="s">
        <v>28562</v>
      </c>
      <c r="R2956" s="3" t="s">
        <v>27443</v>
      </c>
      <c r="S2956" s="4">
        <v>26</v>
      </c>
      <c r="T2956" s="4">
        <v>64</v>
      </c>
      <c r="U2956" s="5" t="s">
        <v>28563</v>
      </c>
      <c r="V2956" s="5" t="s">
        <v>17936</v>
      </c>
      <c r="W2956" s="5" t="s">
        <v>67</v>
      </c>
      <c r="X2956" s="5" t="s">
        <v>67</v>
      </c>
      <c r="Y2956" s="4">
        <v>789</v>
      </c>
      <c r="Z2956" s="4">
        <v>31</v>
      </c>
      <c r="AA2956" s="4">
        <v>67</v>
      </c>
      <c r="AB2956" s="4">
        <v>3</v>
      </c>
      <c r="AC2956" s="4">
        <v>10</v>
      </c>
      <c r="AD2956" s="4">
        <v>103</v>
      </c>
      <c r="AE2956" s="4">
        <v>143</v>
      </c>
      <c r="AF2956" s="4">
        <v>2</v>
      </c>
      <c r="AG2956" s="4">
        <v>7</v>
      </c>
      <c r="AH2956" s="4">
        <v>82</v>
      </c>
      <c r="AI2956" s="4">
        <v>108</v>
      </c>
      <c r="AJ2956" s="4">
        <v>15</v>
      </c>
      <c r="AK2956" s="4">
        <v>26</v>
      </c>
      <c r="AL2956" s="4">
        <v>47</v>
      </c>
      <c r="AM2956" s="4">
        <v>59</v>
      </c>
      <c r="AN2956" s="4">
        <v>0</v>
      </c>
      <c r="AO2956" s="4">
        <v>0</v>
      </c>
      <c r="AP2956" s="4">
        <v>25</v>
      </c>
      <c r="AQ2956" s="4">
        <v>40</v>
      </c>
      <c r="AR2956" s="3" t="s">
        <v>62</v>
      </c>
      <c r="AS2956" s="3" t="s">
        <v>62</v>
      </c>
      <c r="AT2956" s="3" t="s">
        <v>61</v>
      </c>
      <c r="AU2956" s="6" t="str">
        <f>HYPERLINK("http://catalog.hathitrust.org/Record/009094741","HathiTrust Record")</f>
        <v>HathiTrust Record</v>
      </c>
      <c r="AV2956" s="6" t="str">
        <f>HYPERLINK("http://mcgill.on.worldcat.org/oclc/175060","Catalog Record")</f>
        <v>Catalog Record</v>
      </c>
      <c r="AW2956" s="6" t="str">
        <f>HYPERLINK("http://www.worldcat.org/oclc/175060","WorldCat Record")</f>
        <v>WorldCat Record</v>
      </c>
      <c r="AX2956" s="3" t="s">
        <v>28564</v>
      </c>
      <c r="AY2956" s="3" t="s">
        <v>28565</v>
      </c>
      <c r="AZ2956" s="3" t="s">
        <v>28566</v>
      </c>
      <c r="BA2956" s="3" t="s">
        <v>28566</v>
      </c>
      <c r="BB2956" s="3" t="s">
        <v>28567</v>
      </c>
      <c r="BC2956" s="3" t="s">
        <v>102</v>
      </c>
      <c r="BD2956" s="3" t="s">
        <v>68</v>
      </c>
      <c r="BE2956" s="3" t="s">
        <v>28568</v>
      </c>
      <c r="BF2956" s="3" t="s">
        <v>28567</v>
      </c>
      <c r="BG2956" s="3" t="s">
        <v>28569</v>
      </c>
    </row>
    <row r="2957" spans="1:59" ht="58" x14ac:dyDescent="0.35">
      <c r="A2957" s="2" t="s">
        <v>89</v>
      </c>
      <c r="B2957" s="2" t="s">
        <v>90</v>
      </c>
      <c r="C2957" s="2" t="s">
        <v>28570</v>
      </c>
      <c r="D2957" s="2" t="s">
        <v>28571</v>
      </c>
      <c r="E2957" s="2" t="s">
        <v>28572</v>
      </c>
      <c r="G2957" s="3" t="s">
        <v>62</v>
      </c>
      <c r="I2957" s="3" t="s">
        <v>62</v>
      </c>
      <c r="J2957" s="3" t="s">
        <v>62</v>
      </c>
      <c r="K2957" s="3" t="s">
        <v>63</v>
      </c>
      <c r="L2957" s="2" t="s">
        <v>28573</v>
      </c>
      <c r="M2957" s="2" t="s">
        <v>28574</v>
      </c>
      <c r="N2957" s="3" t="s">
        <v>1455</v>
      </c>
      <c r="P2957" s="3" t="s">
        <v>64</v>
      </c>
      <c r="R2957" s="3" t="s">
        <v>27443</v>
      </c>
      <c r="S2957" s="4">
        <v>0</v>
      </c>
      <c r="T2957" s="4">
        <v>0</v>
      </c>
      <c r="W2957" s="5" t="s">
        <v>67</v>
      </c>
      <c r="X2957" s="5" t="s">
        <v>67</v>
      </c>
      <c r="Y2957" s="4">
        <v>140</v>
      </c>
      <c r="Z2957" s="4">
        <v>13</v>
      </c>
      <c r="AA2957" s="4">
        <v>15</v>
      </c>
      <c r="AB2957" s="4">
        <v>1</v>
      </c>
      <c r="AC2957" s="4">
        <v>2</v>
      </c>
      <c r="AD2957" s="4">
        <v>45</v>
      </c>
      <c r="AE2957" s="4">
        <v>49</v>
      </c>
      <c r="AF2957" s="4">
        <v>0</v>
      </c>
      <c r="AG2957" s="4">
        <v>0</v>
      </c>
      <c r="AH2957" s="4">
        <v>41</v>
      </c>
      <c r="AI2957" s="4">
        <v>45</v>
      </c>
      <c r="AJ2957" s="4">
        <v>4</v>
      </c>
      <c r="AK2957" s="4">
        <v>4</v>
      </c>
      <c r="AL2957" s="4">
        <v>22</v>
      </c>
      <c r="AM2957" s="4">
        <v>25</v>
      </c>
      <c r="AN2957" s="4">
        <v>0</v>
      </c>
      <c r="AO2957" s="4">
        <v>0</v>
      </c>
      <c r="AP2957" s="4">
        <v>5</v>
      </c>
      <c r="AQ2957" s="4">
        <v>5</v>
      </c>
      <c r="AR2957" s="3" t="s">
        <v>62</v>
      </c>
      <c r="AS2957" s="3" t="s">
        <v>62</v>
      </c>
      <c r="AT2957" s="3" t="s">
        <v>62</v>
      </c>
      <c r="AV2957" s="6" t="str">
        <f>HYPERLINK("http://mcgill.on.worldcat.org/oclc/902803186","Catalog Record")</f>
        <v>Catalog Record</v>
      </c>
      <c r="AW2957" s="6" t="str">
        <f>HYPERLINK("http://www.worldcat.org/oclc/902803186","WorldCat Record")</f>
        <v>WorldCat Record</v>
      </c>
      <c r="AX2957" s="3" t="s">
        <v>28575</v>
      </c>
      <c r="AY2957" s="3" t="s">
        <v>28576</v>
      </c>
      <c r="AZ2957" s="3" t="s">
        <v>28577</v>
      </c>
      <c r="BA2957" s="3" t="s">
        <v>28577</v>
      </c>
      <c r="BB2957" s="3" t="s">
        <v>28578</v>
      </c>
      <c r="BC2957" s="3" t="s">
        <v>102</v>
      </c>
      <c r="BD2957" s="3" t="s">
        <v>68</v>
      </c>
      <c r="BE2957" s="3" t="s">
        <v>28579</v>
      </c>
      <c r="BF2957" s="3" t="s">
        <v>28578</v>
      </c>
      <c r="BG2957" s="3" t="s">
        <v>28580</v>
      </c>
    </row>
    <row r="2958" spans="1:59" ht="58" x14ac:dyDescent="0.35">
      <c r="A2958" s="2" t="s">
        <v>89</v>
      </c>
      <c r="B2958" s="2" t="s">
        <v>90</v>
      </c>
      <c r="C2958" s="2" t="s">
        <v>28581</v>
      </c>
      <c r="D2958" s="2" t="s">
        <v>28582</v>
      </c>
      <c r="E2958" s="2" t="s">
        <v>28583</v>
      </c>
      <c r="G2958" s="3" t="s">
        <v>62</v>
      </c>
      <c r="I2958" s="3" t="s">
        <v>61</v>
      </c>
      <c r="J2958" s="3" t="s">
        <v>62</v>
      </c>
      <c r="K2958" s="3" t="s">
        <v>63</v>
      </c>
      <c r="L2958" s="2" t="s">
        <v>28584</v>
      </c>
      <c r="M2958" s="2" t="s">
        <v>28585</v>
      </c>
      <c r="N2958" s="3" t="s">
        <v>2924</v>
      </c>
      <c r="P2958" s="3" t="s">
        <v>64</v>
      </c>
      <c r="R2958" s="3" t="s">
        <v>27443</v>
      </c>
      <c r="S2958" s="4">
        <v>0</v>
      </c>
      <c r="T2958" s="4">
        <v>3</v>
      </c>
      <c r="V2958" s="5" t="s">
        <v>4422</v>
      </c>
      <c r="W2958" s="5" t="s">
        <v>67</v>
      </c>
      <c r="X2958" s="5" t="s">
        <v>67</v>
      </c>
      <c r="Y2958" s="4">
        <v>340</v>
      </c>
      <c r="Z2958" s="4">
        <v>21</v>
      </c>
      <c r="AA2958" s="4">
        <v>30</v>
      </c>
      <c r="AB2958" s="4">
        <v>1</v>
      </c>
      <c r="AC2958" s="4">
        <v>5</v>
      </c>
      <c r="AD2958" s="4">
        <v>73</v>
      </c>
      <c r="AE2958" s="4">
        <v>80</v>
      </c>
      <c r="AF2958" s="4">
        <v>0</v>
      </c>
      <c r="AG2958" s="4">
        <v>4</v>
      </c>
      <c r="AH2958" s="4">
        <v>60</v>
      </c>
      <c r="AI2958" s="4">
        <v>63</v>
      </c>
      <c r="AJ2958" s="4">
        <v>18</v>
      </c>
      <c r="AK2958" s="4">
        <v>22</v>
      </c>
      <c r="AL2958" s="4">
        <v>32</v>
      </c>
      <c r="AM2958" s="4">
        <v>33</v>
      </c>
      <c r="AN2958" s="4">
        <v>0</v>
      </c>
      <c r="AO2958" s="4">
        <v>0</v>
      </c>
      <c r="AP2958" s="4">
        <v>19</v>
      </c>
      <c r="AQ2958" s="4">
        <v>24</v>
      </c>
      <c r="AR2958" s="3" t="s">
        <v>62</v>
      </c>
      <c r="AS2958" s="3" t="s">
        <v>62</v>
      </c>
      <c r="AT2958" s="3" t="s">
        <v>61</v>
      </c>
      <c r="AU2958" s="6" t="str">
        <f>HYPERLINK("http://catalog.hathitrust.org/Record/001478246","HathiTrust Record")</f>
        <v>HathiTrust Record</v>
      </c>
      <c r="AV2958" s="6" t="str">
        <f>HYPERLINK("http://mcgill.on.worldcat.org/oclc/1155871","Catalog Record")</f>
        <v>Catalog Record</v>
      </c>
      <c r="AW2958" s="6" t="str">
        <f>HYPERLINK("http://www.worldcat.org/oclc/1155871","WorldCat Record")</f>
        <v>WorldCat Record</v>
      </c>
      <c r="AX2958" s="3" t="s">
        <v>28586</v>
      </c>
      <c r="AY2958" s="3" t="s">
        <v>28587</v>
      </c>
      <c r="AZ2958" s="3" t="s">
        <v>28588</v>
      </c>
      <c r="BA2958" s="3" t="s">
        <v>28588</v>
      </c>
      <c r="BB2958" s="3" t="s">
        <v>28589</v>
      </c>
      <c r="BC2958" s="3" t="s">
        <v>102</v>
      </c>
      <c r="BD2958" s="3" t="s">
        <v>68</v>
      </c>
      <c r="BF2958" s="3" t="s">
        <v>28589</v>
      </c>
      <c r="BG2958" s="3" t="s">
        <v>28590</v>
      </c>
    </row>
    <row r="2959" spans="1:59" ht="58" x14ac:dyDescent="0.35">
      <c r="A2959" s="2" t="s">
        <v>89</v>
      </c>
      <c r="B2959" s="2" t="s">
        <v>90</v>
      </c>
      <c r="C2959" s="2" t="s">
        <v>28591</v>
      </c>
      <c r="D2959" s="2" t="s">
        <v>28592</v>
      </c>
      <c r="E2959" s="2" t="s">
        <v>28593</v>
      </c>
      <c r="G2959" s="3" t="s">
        <v>62</v>
      </c>
      <c r="I2959" s="3" t="s">
        <v>62</v>
      </c>
      <c r="J2959" s="3" t="s">
        <v>62</v>
      </c>
      <c r="K2959" s="3" t="s">
        <v>63</v>
      </c>
      <c r="L2959" s="2" t="s">
        <v>28594</v>
      </c>
      <c r="M2959" s="2" t="s">
        <v>28595</v>
      </c>
      <c r="N2959" s="3" t="s">
        <v>115</v>
      </c>
      <c r="O2959" s="2" t="s">
        <v>2986</v>
      </c>
      <c r="P2959" s="3" t="s">
        <v>64</v>
      </c>
      <c r="R2959" s="3" t="s">
        <v>27443</v>
      </c>
      <c r="S2959" s="4">
        <v>22</v>
      </c>
      <c r="T2959" s="4">
        <v>22</v>
      </c>
      <c r="U2959" s="5" t="s">
        <v>5368</v>
      </c>
      <c r="V2959" s="5" t="s">
        <v>5368</v>
      </c>
      <c r="W2959" s="5" t="s">
        <v>67</v>
      </c>
      <c r="X2959" s="5" t="s">
        <v>67</v>
      </c>
      <c r="Y2959" s="4">
        <v>31</v>
      </c>
      <c r="Z2959" s="4">
        <v>2</v>
      </c>
      <c r="AA2959" s="4">
        <v>29</v>
      </c>
      <c r="AB2959" s="4">
        <v>1</v>
      </c>
      <c r="AC2959" s="4">
        <v>1</v>
      </c>
      <c r="AD2959" s="4">
        <v>3</v>
      </c>
      <c r="AE2959" s="4">
        <v>85</v>
      </c>
      <c r="AF2959" s="4">
        <v>0</v>
      </c>
      <c r="AG2959" s="4">
        <v>0</v>
      </c>
      <c r="AH2959" s="4">
        <v>1</v>
      </c>
      <c r="AI2959" s="4">
        <v>70</v>
      </c>
      <c r="AJ2959" s="4">
        <v>1</v>
      </c>
      <c r="AK2959" s="4">
        <v>10</v>
      </c>
      <c r="AL2959" s="4">
        <v>2</v>
      </c>
      <c r="AM2959" s="4">
        <v>44</v>
      </c>
      <c r="AN2959" s="4">
        <v>0</v>
      </c>
      <c r="AO2959" s="4">
        <v>8</v>
      </c>
      <c r="AP2959" s="4">
        <v>1</v>
      </c>
      <c r="AQ2959" s="4">
        <v>20</v>
      </c>
      <c r="AR2959" s="3" t="s">
        <v>62</v>
      </c>
      <c r="AS2959" s="3" t="s">
        <v>62</v>
      </c>
      <c r="AT2959" s="3" t="s">
        <v>61</v>
      </c>
      <c r="AU2959" s="6" t="str">
        <f>HYPERLINK("http://catalog.hathitrust.org/Record/102085525","HathiTrust Record")</f>
        <v>HathiTrust Record</v>
      </c>
      <c r="AV2959" s="6" t="str">
        <f>HYPERLINK("http://mcgill.on.worldcat.org/oclc/20837803","Catalog Record")</f>
        <v>Catalog Record</v>
      </c>
      <c r="AW2959" s="6" t="str">
        <f>HYPERLINK("http://www.worldcat.org/oclc/20837803","WorldCat Record")</f>
        <v>WorldCat Record</v>
      </c>
      <c r="AX2959" s="3" t="s">
        <v>28596</v>
      </c>
      <c r="AY2959" s="3" t="s">
        <v>28597</v>
      </c>
      <c r="AZ2959" s="3" t="s">
        <v>28598</v>
      </c>
      <c r="BA2959" s="3" t="s">
        <v>28598</v>
      </c>
      <c r="BB2959" s="3" t="s">
        <v>28599</v>
      </c>
      <c r="BC2959" s="3" t="s">
        <v>102</v>
      </c>
      <c r="BD2959" s="3" t="s">
        <v>68</v>
      </c>
      <c r="BE2959" s="3" t="s">
        <v>28600</v>
      </c>
      <c r="BF2959" s="3" t="s">
        <v>28599</v>
      </c>
      <c r="BG2959" s="3" t="s">
        <v>28601</v>
      </c>
    </row>
    <row r="2960" spans="1:59" ht="58" x14ac:dyDescent="0.35">
      <c r="A2960" s="2" t="s">
        <v>89</v>
      </c>
      <c r="B2960" s="2" t="s">
        <v>90</v>
      </c>
      <c r="C2960" s="2" t="s">
        <v>28602</v>
      </c>
      <c r="D2960" s="2" t="s">
        <v>28603</v>
      </c>
      <c r="E2960" s="2" t="s">
        <v>28604</v>
      </c>
      <c r="G2960" s="3" t="s">
        <v>62</v>
      </c>
      <c r="I2960" s="3" t="s">
        <v>61</v>
      </c>
      <c r="J2960" s="3" t="s">
        <v>62</v>
      </c>
      <c r="K2960" s="3" t="s">
        <v>63</v>
      </c>
      <c r="L2960" s="2" t="s">
        <v>28605</v>
      </c>
      <c r="M2960" s="2" t="s">
        <v>7754</v>
      </c>
      <c r="N2960" s="3" t="s">
        <v>466</v>
      </c>
      <c r="P2960" s="3" t="s">
        <v>64</v>
      </c>
      <c r="R2960" s="3" t="s">
        <v>27443</v>
      </c>
      <c r="S2960" s="4">
        <v>19</v>
      </c>
      <c r="T2960" s="4">
        <v>41</v>
      </c>
      <c r="U2960" s="5" t="s">
        <v>7311</v>
      </c>
      <c r="V2960" s="5" t="s">
        <v>757</v>
      </c>
      <c r="W2960" s="5" t="s">
        <v>67</v>
      </c>
      <c r="X2960" s="5" t="s">
        <v>67</v>
      </c>
      <c r="Y2960" s="4">
        <v>875</v>
      </c>
      <c r="Z2960" s="4">
        <v>45</v>
      </c>
      <c r="AA2960" s="4">
        <v>119</v>
      </c>
      <c r="AB2960" s="4">
        <v>2</v>
      </c>
      <c r="AC2960" s="4">
        <v>17</v>
      </c>
      <c r="AD2960" s="4">
        <v>122</v>
      </c>
      <c r="AE2960" s="4">
        <v>151</v>
      </c>
      <c r="AF2960" s="4">
        <v>1</v>
      </c>
      <c r="AG2960" s="4">
        <v>8</v>
      </c>
      <c r="AH2960" s="4">
        <v>97</v>
      </c>
      <c r="AI2960" s="4">
        <v>107</v>
      </c>
      <c r="AJ2960" s="4">
        <v>15</v>
      </c>
      <c r="AK2960" s="4">
        <v>23</v>
      </c>
      <c r="AL2960" s="4">
        <v>55</v>
      </c>
      <c r="AM2960" s="4">
        <v>58</v>
      </c>
      <c r="AN2960" s="4">
        <v>0</v>
      </c>
      <c r="AO2960" s="4">
        <v>0</v>
      </c>
      <c r="AP2960" s="4">
        <v>29</v>
      </c>
      <c r="AQ2960" s="4">
        <v>50</v>
      </c>
      <c r="AR2960" s="3" t="s">
        <v>62</v>
      </c>
      <c r="AS2960" s="3" t="s">
        <v>62</v>
      </c>
      <c r="AT2960" s="3" t="s">
        <v>61</v>
      </c>
      <c r="AU2960" s="6" t="str">
        <f>HYPERLINK("http://catalog.hathitrust.org/Record/002604604","HathiTrust Record")</f>
        <v>HathiTrust Record</v>
      </c>
      <c r="AV2960" s="6" t="str">
        <f>HYPERLINK("http://mcgill.on.worldcat.org/oclc/26673636","Catalog Record")</f>
        <v>Catalog Record</v>
      </c>
      <c r="AW2960" s="6" t="str">
        <f>HYPERLINK("http://www.worldcat.org/oclc/26673636","WorldCat Record")</f>
        <v>WorldCat Record</v>
      </c>
      <c r="AX2960" s="3" t="s">
        <v>28606</v>
      </c>
      <c r="AY2960" s="3" t="s">
        <v>28607</v>
      </c>
      <c r="AZ2960" s="3" t="s">
        <v>28608</v>
      </c>
      <c r="BA2960" s="3" t="s">
        <v>28608</v>
      </c>
      <c r="BB2960" s="3" t="s">
        <v>28609</v>
      </c>
      <c r="BC2960" s="3" t="s">
        <v>102</v>
      </c>
      <c r="BD2960" s="3" t="s">
        <v>68</v>
      </c>
      <c r="BE2960" s="3" t="s">
        <v>28610</v>
      </c>
      <c r="BF2960" s="3" t="s">
        <v>28609</v>
      </c>
      <c r="BG2960" s="3" t="s">
        <v>28611</v>
      </c>
    </row>
    <row r="2961" spans="1:59" ht="58" x14ac:dyDescent="0.35">
      <c r="A2961" s="2" t="s">
        <v>59</v>
      </c>
      <c r="B2961" s="2" t="s">
        <v>60</v>
      </c>
      <c r="C2961" s="2" t="s">
        <v>28612</v>
      </c>
      <c r="D2961" s="2" t="s">
        <v>28613</v>
      </c>
      <c r="E2961" s="2" t="s">
        <v>28614</v>
      </c>
      <c r="G2961" s="3" t="s">
        <v>62</v>
      </c>
      <c r="I2961" s="3" t="s">
        <v>62</v>
      </c>
      <c r="J2961" s="3" t="s">
        <v>62</v>
      </c>
      <c r="K2961" s="3" t="s">
        <v>63</v>
      </c>
      <c r="L2961" s="2" t="s">
        <v>15741</v>
      </c>
      <c r="M2961" s="2" t="s">
        <v>28615</v>
      </c>
      <c r="N2961" s="3" t="s">
        <v>596</v>
      </c>
      <c r="P2961" s="3" t="s">
        <v>64</v>
      </c>
      <c r="R2961" s="3" t="s">
        <v>27443</v>
      </c>
      <c r="S2961" s="4">
        <v>5</v>
      </c>
      <c r="T2961" s="4">
        <v>5</v>
      </c>
      <c r="U2961" s="5" t="s">
        <v>21867</v>
      </c>
      <c r="V2961" s="5" t="s">
        <v>21867</v>
      </c>
      <c r="W2961" s="5" t="s">
        <v>67</v>
      </c>
      <c r="X2961" s="5" t="s">
        <v>67</v>
      </c>
      <c r="Y2961" s="4">
        <v>121</v>
      </c>
      <c r="Z2961" s="4">
        <v>20</v>
      </c>
      <c r="AA2961" s="4">
        <v>22</v>
      </c>
      <c r="AB2961" s="4">
        <v>2</v>
      </c>
      <c r="AC2961" s="4">
        <v>2</v>
      </c>
      <c r="AD2961" s="4">
        <v>25</v>
      </c>
      <c r="AE2961" s="4">
        <v>26</v>
      </c>
      <c r="AF2961" s="4">
        <v>1</v>
      </c>
      <c r="AG2961" s="4">
        <v>1</v>
      </c>
      <c r="AH2961" s="4">
        <v>20</v>
      </c>
      <c r="AI2961" s="4">
        <v>21</v>
      </c>
      <c r="AJ2961" s="4">
        <v>10</v>
      </c>
      <c r="AK2961" s="4">
        <v>11</v>
      </c>
      <c r="AL2961" s="4">
        <v>10</v>
      </c>
      <c r="AM2961" s="4">
        <v>10</v>
      </c>
      <c r="AN2961" s="4">
        <v>0</v>
      </c>
      <c r="AO2961" s="4">
        <v>0</v>
      </c>
      <c r="AP2961" s="4">
        <v>10</v>
      </c>
      <c r="AQ2961" s="4">
        <v>11</v>
      </c>
      <c r="AR2961" s="3" t="s">
        <v>62</v>
      </c>
      <c r="AS2961" s="3" t="s">
        <v>62</v>
      </c>
      <c r="AT2961" s="3" t="s">
        <v>62</v>
      </c>
      <c r="AV2961" s="6" t="str">
        <f>HYPERLINK("http://mcgill.on.worldcat.org/oclc/50582530","Catalog Record")</f>
        <v>Catalog Record</v>
      </c>
      <c r="AW2961" s="6" t="str">
        <f>HYPERLINK("http://www.worldcat.org/oclc/50582530","WorldCat Record")</f>
        <v>WorldCat Record</v>
      </c>
      <c r="AX2961" s="3" t="s">
        <v>28616</v>
      </c>
      <c r="AY2961" s="3" t="s">
        <v>28617</v>
      </c>
      <c r="AZ2961" s="3" t="s">
        <v>28618</v>
      </c>
      <c r="BA2961" s="3" t="s">
        <v>28618</v>
      </c>
      <c r="BB2961" s="3" t="s">
        <v>28619</v>
      </c>
      <c r="BC2961" s="3" t="s">
        <v>102</v>
      </c>
      <c r="BD2961" s="3" t="s">
        <v>68</v>
      </c>
      <c r="BE2961" s="3" t="s">
        <v>28620</v>
      </c>
      <c r="BF2961" s="3" t="s">
        <v>28619</v>
      </c>
      <c r="BG2961" s="3" t="s">
        <v>28621</v>
      </c>
    </row>
    <row r="2962" spans="1:59" ht="58" x14ac:dyDescent="0.35">
      <c r="A2962" s="2" t="s">
        <v>89</v>
      </c>
      <c r="B2962" s="2" t="s">
        <v>90</v>
      </c>
      <c r="C2962" s="2" t="s">
        <v>28622</v>
      </c>
      <c r="D2962" s="2" t="s">
        <v>28623</v>
      </c>
      <c r="E2962" s="2" t="s">
        <v>28624</v>
      </c>
      <c r="G2962" s="3" t="s">
        <v>62</v>
      </c>
      <c r="I2962" s="3" t="s">
        <v>62</v>
      </c>
      <c r="J2962" s="3" t="s">
        <v>62</v>
      </c>
      <c r="K2962" s="3" t="s">
        <v>63</v>
      </c>
      <c r="L2962" s="2" t="s">
        <v>28625</v>
      </c>
      <c r="M2962" s="2" t="s">
        <v>28626</v>
      </c>
      <c r="N2962" s="3" t="s">
        <v>2445</v>
      </c>
      <c r="P2962" s="3" t="s">
        <v>64</v>
      </c>
      <c r="R2962" s="3" t="s">
        <v>27443</v>
      </c>
      <c r="S2962" s="4">
        <v>8</v>
      </c>
      <c r="T2962" s="4">
        <v>8</v>
      </c>
      <c r="U2962" s="5" t="s">
        <v>27119</v>
      </c>
      <c r="V2962" s="5" t="s">
        <v>27119</v>
      </c>
      <c r="W2962" s="5" t="s">
        <v>67</v>
      </c>
      <c r="X2962" s="5" t="s">
        <v>67</v>
      </c>
      <c r="Y2962" s="4">
        <v>4</v>
      </c>
      <c r="Z2962" s="4">
        <v>2</v>
      </c>
      <c r="AA2962" s="4">
        <v>34</v>
      </c>
      <c r="AB2962" s="4">
        <v>1</v>
      </c>
      <c r="AC2962" s="4">
        <v>6</v>
      </c>
      <c r="AD2962" s="4">
        <v>2</v>
      </c>
      <c r="AE2962" s="4">
        <v>117</v>
      </c>
      <c r="AF2962" s="4">
        <v>0</v>
      </c>
      <c r="AG2962" s="4">
        <v>4</v>
      </c>
      <c r="AH2962" s="4">
        <v>2</v>
      </c>
      <c r="AI2962" s="4">
        <v>97</v>
      </c>
      <c r="AJ2962" s="4">
        <v>1</v>
      </c>
      <c r="AK2962" s="4">
        <v>22</v>
      </c>
      <c r="AL2962" s="4">
        <v>1</v>
      </c>
      <c r="AM2962" s="4">
        <v>53</v>
      </c>
      <c r="AN2962" s="4">
        <v>0</v>
      </c>
      <c r="AO2962" s="4">
        <v>0</v>
      </c>
      <c r="AP2962" s="4">
        <v>1</v>
      </c>
      <c r="AQ2962" s="4">
        <v>25</v>
      </c>
      <c r="AR2962" s="3" t="s">
        <v>62</v>
      </c>
      <c r="AS2962" s="3" t="s">
        <v>62</v>
      </c>
      <c r="AT2962" s="3" t="s">
        <v>62</v>
      </c>
      <c r="AU2962" s="6" t="str">
        <f>HYPERLINK("http://catalog.hathitrust.org/Record/001478278","HathiTrust Record")</f>
        <v>HathiTrust Record</v>
      </c>
      <c r="AV2962" s="6" t="str">
        <f>HYPERLINK("http://mcgill.on.worldcat.org/oclc/221192205","Catalog Record")</f>
        <v>Catalog Record</v>
      </c>
      <c r="AW2962" s="6" t="str">
        <f>HYPERLINK("http://www.worldcat.org/oclc/221192205","WorldCat Record")</f>
        <v>WorldCat Record</v>
      </c>
      <c r="AX2962" s="3" t="s">
        <v>28627</v>
      </c>
      <c r="AY2962" s="3" t="s">
        <v>28628</v>
      </c>
      <c r="AZ2962" s="3" t="s">
        <v>28629</v>
      </c>
      <c r="BA2962" s="3" t="s">
        <v>28629</v>
      </c>
      <c r="BB2962" s="3" t="s">
        <v>28630</v>
      </c>
      <c r="BC2962" s="3" t="s">
        <v>102</v>
      </c>
      <c r="BD2962" s="3" t="s">
        <v>68</v>
      </c>
      <c r="BF2962" s="3" t="s">
        <v>28630</v>
      </c>
      <c r="BG2962" s="3" t="s">
        <v>28631</v>
      </c>
    </row>
    <row r="2963" spans="1:59" ht="58" x14ac:dyDescent="0.35">
      <c r="A2963" s="2" t="s">
        <v>89</v>
      </c>
      <c r="B2963" s="2" t="s">
        <v>90</v>
      </c>
      <c r="C2963" s="2" t="s">
        <v>28632</v>
      </c>
      <c r="D2963" s="2" t="s">
        <v>28633</v>
      </c>
      <c r="E2963" s="2" t="s">
        <v>28634</v>
      </c>
      <c r="G2963" s="3" t="s">
        <v>62</v>
      </c>
      <c r="I2963" s="3" t="s">
        <v>61</v>
      </c>
      <c r="J2963" s="3" t="s">
        <v>62</v>
      </c>
      <c r="K2963" s="3" t="s">
        <v>63</v>
      </c>
      <c r="L2963" s="2" t="s">
        <v>28635</v>
      </c>
      <c r="M2963" s="2" t="s">
        <v>28636</v>
      </c>
      <c r="N2963" s="3" t="s">
        <v>1576</v>
      </c>
      <c r="P2963" s="3" t="s">
        <v>64</v>
      </c>
      <c r="R2963" s="3" t="s">
        <v>27443</v>
      </c>
      <c r="S2963" s="4">
        <v>8</v>
      </c>
      <c r="T2963" s="4">
        <v>15</v>
      </c>
      <c r="U2963" s="5" t="s">
        <v>11843</v>
      </c>
      <c r="V2963" s="5" t="s">
        <v>11843</v>
      </c>
      <c r="W2963" s="5" t="s">
        <v>67</v>
      </c>
      <c r="X2963" s="5" t="s">
        <v>67</v>
      </c>
      <c r="Y2963" s="4">
        <v>513</v>
      </c>
      <c r="Z2963" s="4">
        <v>34</v>
      </c>
      <c r="AA2963" s="4">
        <v>43</v>
      </c>
      <c r="AB2963" s="4">
        <v>2</v>
      </c>
      <c r="AC2963" s="4">
        <v>5</v>
      </c>
      <c r="AD2963" s="4">
        <v>119</v>
      </c>
      <c r="AE2963" s="4">
        <v>128</v>
      </c>
      <c r="AF2963" s="4">
        <v>1</v>
      </c>
      <c r="AG2963" s="4">
        <v>3</v>
      </c>
      <c r="AH2963" s="4">
        <v>101</v>
      </c>
      <c r="AI2963" s="4">
        <v>105</v>
      </c>
      <c r="AJ2963" s="4">
        <v>20</v>
      </c>
      <c r="AK2963" s="4">
        <v>25</v>
      </c>
      <c r="AL2963" s="4">
        <v>58</v>
      </c>
      <c r="AM2963" s="4">
        <v>59</v>
      </c>
      <c r="AN2963" s="4">
        <v>0</v>
      </c>
      <c r="AO2963" s="4">
        <v>0</v>
      </c>
      <c r="AP2963" s="4">
        <v>20</v>
      </c>
      <c r="AQ2963" s="4">
        <v>28</v>
      </c>
      <c r="AR2963" s="3" t="s">
        <v>62</v>
      </c>
      <c r="AS2963" s="3" t="s">
        <v>62</v>
      </c>
      <c r="AT2963" s="3" t="s">
        <v>62</v>
      </c>
      <c r="AV2963" s="6" t="str">
        <f>HYPERLINK("http://mcgill.on.worldcat.org/oclc/222753","Catalog Record")</f>
        <v>Catalog Record</v>
      </c>
      <c r="AW2963" s="6" t="str">
        <f>HYPERLINK("http://www.worldcat.org/oclc/222753","WorldCat Record")</f>
        <v>WorldCat Record</v>
      </c>
      <c r="AX2963" s="3" t="s">
        <v>28637</v>
      </c>
      <c r="AY2963" s="3" t="s">
        <v>28638</v>
      </c>
      <c r="AZ2963" s="3" t="s">
        <v>28639</v>
      </c>
      <c r="BA2963" s="3" t="s">
        <v>28639</v>
      </c>
      <c r="BB2963" s="3" t="s">
        <v>28640</v>
      </c>
      <c r="BC2963" s="3" t="s">
        <v>102</v>
      </c>
      <c r="BD2963" s="3" t="s">
        <v>68</v>
      </c>
      <c r="BF2963" s="3" t="s">
        <v>28640</v>
      </c>
      <c r="BG2963" s="3" t="s">
        <v>28641</v>
      </c>
    </row>
    <row r="2964" spans="1:59" ht="58" x14ac:dyDescent="0.35">
      <c r="A2964" s="2" t="s">
        <v>89</v>
      </c>
      <c r="B2964" s="2" t="s">
        <v>90</v>
      </c>
      <c r="C2964" s="2" t="s">
        <v>28642</v>
      </c>
      <c r="D2964" s="2" t="s">
        <v>28643</v>
      </c>
      <c r="E2964" s="2" t="s">
        <v>28644</v>
      </c>
      <c r="G2964" s="3" t="s">
        <v>62</v>
      </c>
      <c r="I2964" s="3" t="s">
        <v>62</v>
      </c>
      <c r="J2964" s="3" t="s">
        <v>62</v>
      </c>
      <c r="K2964" s="3" t="s">
        <v>63</v>
      </c>
      <c r="M2964" s="2" t="s">
        <v>28645</v>
      </c>
      <c r="N2964" s="3" t="s">
        <v>880</v>
      </c>
      <c r="P2964" s="3" t="s">
        <v>64</v>
      </c>
      <c r="R2964" s="3" t="s">
        <v>27443</v>
      </c>
      <c r="S2964" s="4">
        <v>2</v>
      </c>
      <c r="T2964" s="4">
        <v>2</v>
      </c>
      <c r="U2964" s="5" t="s">
        <v>28646</v>
      </c>
      <c r="V2964" s="5" t="s">
        <v>28646</v>
      </c>
      <c r="W2964" s="5" t="s">
        <v>67</v>
      </c>
      <c r="X2964" s="5" t="s">
        <v>67</v>
      </c>
      <c r="Y2964" s="4">
        <v>194</v>
      </c>
      <c r="Z2964" s="4">
        <v>21</v>
      </c>
      <c r="AA2964" s="4">
        <v>21</v>
      </c>
      <c r="AB2964" s="4">
        <v>1</v>
      </c>
      <c r="AC2964" s="4">
        <v>1</v>
      </c>
      <c r="AD2964" s="4">
        <v>47</v>
      </c>
      <c r="AE2964" s="4">
        <v>47</v>
      </c>
      <c r="AF2964" s="4">
        <v>0</v>
      </c>
      <c r="AG2964" s="4">
        <v>0</v>
      </c>
      <c r="AH2964" s="4">
        <v>39</v>
      </c>
      <c r="AI2964" s="4">
        <v>39</v>
      </c>
      <c r="AJ2964" s="4">
        <v>12</v>
      </c>
      <c r="AK2964" s="4">
        <v>12</v>
      </c>
      <c r="AL2964" s="4">
        <v>23</v>
      </c>
      <c r="AM2964" s="4">
        <v>23</v>
      </c>
      <c r="AN2964" s="4">
        <v>0</v>
      </c>
      <c r="AO2964" s="4">
        <v>0</v>
      </c>
      <c r="AP2964" s="4">
        <v>16</v>
      </c>
      <c r="AQ2964" s="4">
        <v>16</v>
      </c>
      <c r="AR2964" s="3" t="s">
        <v>62</v>
      </c>
      <c r="AS2964" s="3" t="s">
        <v>62</v>
      </c>
      <c r="AT2964" s="3" t="s">
        <v>62</v>
      </c>
      <c r="AV2964" s="6" t="str">
        <f>HYPERLINK("http://mcgill.on.worldcat.org/oclc/611410643","Catalog Record")</f>
        <v>Catalog Record</v>
      </c>
      <c r="AW2964" s="6" t="str">
        <f>HYPERLINK("http://www.worldcat.org/oclc/611410643","WorldCat Record")</f>
        <v>WorldCat Record</v>
      </c>
      <c r="AX2964" s="3" t="s">
        <v>28647</v>
      </c>
      <c r="AY2964" s="3" t="s">
        <v>28648</v>
      </c>
      <c r="AZ2964" s="3" t="s">
        <v>28649</v>
      </c>
      <c r="BA2964" s="3" t="s">
        <v>28649</v>
      </c>
      <c r="BB2964" s="3" t="s">
        <v>28650</v>
      </c>
      <c r="BC2964" s="3" t="s">
        <v>102</v>
      </c>
      <c r="BD2964" s="3" t="s">
        <v>68</v>
      </c>
      <c r="BE2964" s="3" t="s">
        <v>28651</v>
      </c>
      <c r="BF2964" s="3" t="s">
        <v>28650</v>
      </c>
      <c r="BG2964" s="3" t="s">
        <v>28652</v>
      </c>
    </row>
    <row r="2965" spans="1:59" ht="101.5" x14ac:dyDescent="0.35">
      <c r="A2965" s="2" t="s">
        <v>89</v>
      </c>
      <c r="B2965" s="2" t="s">
        <v>90</v>
      </c>
      <c r="C2965" s="2" t="s">
        <v>28653</v>
      </c>
      <c r="D2965" s="2" t="s">
        <v>28654</v>
      </c>
      <c r="E2965" s="2" t="s">
        <v>28655</v>
      </c>
      <c r="G2965" s="3" t="s">
        <v>62</v>
      </c>
      <c r="I2965" s="3" t="s">
        <v>62</v>
      </c>
      <c r="J2965" s="3" t="s">
        <v>62</v>
      </c>
      <c r="K2965" s="3" t="s">
        <v>63</v>
      </c>
      <c r="L2965" s="2" t="s">
        <v>28656</v>
      </c>
      <c r="M2965" s="2" t="s">
        <v>28657</v>
      </c>
      <c r="N2965" s="3" t="s">
        <v>28658</v>
      </c>
      <c r="P2965" s="3" t="s">
        <v>64</v>
      </c>
      <c r="R2965" s="3" t="s">
        <v>27443</v>
      </c>
      <c r="S2965" s="4">
        <v>16</v>
      </c>
      <c r="T2965" s="4">
        <v>16</v>
      </c>
      <c r="U2965" s="5" t="s">
        <v>28659</v>
      </c>
      <c r="V2965" s="5" t="s">
        <v>28659</v>
      </c>
      <c r="W2965" s="5" t="s">
        <v>67</v>
      </c>
      <c r="X2965" s="5" t="s">
        <v>67</v>
      </c>
      <c r="Y2965" s="4">
        <v>83</v>
      </c>
      <c r="Z2965" s="4">
        <v>5</v>
      </c>
      <c r="AA2965" s="4">
        <v>27</v>
      </c>
      <c r="AB2965" s="4">
        <v>1</v>
      </c>
      <c r="AC2965" s="4">
        <v>2</v>
      </c>
      <c r="AD2965" s="4">
        <v>34</v>
      </c>
      <c r="AE2965" s="4">
        <v>87</v>
      </c>
      <c r="AF2965" s="4">
        <v>0</v>
      </c>
      <c r="AG2965" s="4">
        <v>0</v>
      </c>
      <c r="AH2965" s="4">
        <v>33</v>
      </c>
      <c r="AI2965" s="4">
        <v>78</v>
      </c>
      <c r="AJ2965" s="4">
        <v>2</v>
      </c>
      <c r="AK2965" s="4">
        <v>9</v>
      </c>
      <c r="AL2965" s="4">
        <v>19</v>
      </c>
      <c r="AM2965" s="4">
        <v>44</v>
      </c>
      <c r="AN2965" s="4">
        <v>0</v>
      </c>
      <c r="AO2965" s="4">
        <v>4</v>
      </c>
      <c r="AP2965" s="4">
        <v>3</v>
      </c>
      <c r="AQ2965" s="4">
        <v>14</v>
      </c>
      <c r="AR2965" s="3" t="s">
        <v>62</v>
      </c>
      <c r="AS2965" s="3" t="s">
        <v>61</v>
      </c>
      <c r="AT2965" s="3" t="s">
        <v>62</v>
      </c>
      <c r="AU2965" s="6" t="str">
        <f>HYPERLINK("http://catalog.hathitrust.org/Record/007082980","HathiTrust Record")</f>
        <v>HathiTrust Record</v>
      </c>
      <c r="AV2965" s="6" t="str">
        <f>HYPERLINK("http://mcgill.on.worldcat.org/oclc/3572148","Catalog Record")</f>
        <v>Catalog Record</v>
      </c>
      <c r="AW2965" s="6" t="str">
        <f>HYPERLINK("http://www.worldcat.org/oclc/3572148","WorldCat Record")</f>
        <v>WorldCat Record</v>
      </c>
      <c r="AX2965" s="3" t="s">
        <v>28660</v>
      </c>
      <c r="AY2965" s="3" t="s">
        <v>28661</v>
      </c>
      <c r="AZ2965" s="3" t="s">
        <v>28662</v>
      </c>
      <c r="BA2965" s="3" t="s">
        <v>28662</v>
      </c>
      <c r="BB2965" s="3" t="s">
        <v>28663</v>
      </c>
      <c r="BC2965" s="3" t="s">
        <v>102</v>
      </c>
      <c r="BD2965" s="3" t="s">
        <v>231</v>
      </c>
      <c r="BF2965" s="3" t="s">
        <v>28663</v>
      </c>
      <c r="BG2965" s="3" t="s">
        <v>28664</v>
      </c>
    </row>
    <row r="2966" spans="1:59" ht="72.5" x14ac:dyDescent="0.35">
      <c r="A2966" s="2" t="s">
        <v>89</v>
      </c>
      <c r="B2966" s="2" t="s">
        <v>90</v>
      </c>
      <c r="C2966" s="2" t="s">
        <v>28665</v>
      </c>
      <c r="D2966" s="2" t="s">
        <v>28666</v>
      </c>
      <c r="E2966" s="2" t="s">
        <v>28667</v>
      </c>
      <c r="G2966" s="3" t="s">
        <v>62</v>
      </c>
      <c r="I2966" s="3" t="s">
        <v>62</v>
      </c>
      <c r="J2966" s="3" t="s">
        <v>61</v>
      </c>
      <c r="K2966" s="3" t="s">
        <v>63</v>
      </c>
      <c r="L2966" s="2" t="s">
        <v>28668</v>
      </c>
      <c r="M2966" s="2" t="s">
        <v>28669</v>
      </c>
      <c r="N2966" s="3" t="s">
        <v>28670</v>
      </c>
      <c r="O2966" s="2" t="s">
        <v>28671</v>
      </c>
      <c r="P2966" s="3" t="s">
        <v>64</v>
      </c>
      <c r="R2966" s="3" t="s">
        <v>27443</v>
      </c>
      <c r="S2966" s="4">
        <v>9</v>
      </c>
      <c r="T2966" s="4">
        <v>9</v>
      </c>
      <c r="U2966" s="5" t="s">
        <v>8351</v>
      </c>
      <c r="V2966" s="5" t="s">
        <v>8351</v>
      </c>
      <c r="W2966" s="5" t="s">
        <v>67</v>
      </c>
      <c r="X2966" s="5" t="s">
        <v>67</v>
      </c>
      <c r="Y2966" s="4">
        <v>166</v>
      </c>
      <c r="Z2966" s="4">
        <v>8</v>
      </c>
      <c r="AA2966" s="4">
        <v>25</v>
      </c>
      <c r="AB2966" s="4">
        <v>1</v>
      </c>
      <c r="AC2966" s="4">
        <v>4</v>
      </c>
      <c r="AD2966" s="4">
        <v>53</v>
      </c>
      <c r="AE2966" s="4">
        <v>114</v>
      </c>
      <c r="AF2966" s="4">
        <v>0</v>
      </c>
      <c r="AG2966" s="4">
        <v>1</v>
      </c>
      <c r="AH2966" s="4">
        <v>47</v>
      </c>
      <c r="AI2966" s="4">
        <v>100</v>
      </c>
      <c r="AJ2966" s="4">
        <v>5</v>
      </c>
      <c r="AK2966" s="4">
        <v>14</v>
      </c>
      <c r="AL2966" s="4">
        <v>27</v>
      </c>
      <c r="AM2966" s="4">
        <v>59</v>
      </c>
      <c r="AN2966" s="4">
        <v>0</v>
      </c>
      <c r="AO2966" s="4">
        <v>0</v>
      </c>
      <c r="AP2966" s="4">
        <v>6</v>
      </c>
      <c r="AQ2966" s="4">
        <v>17</v>
      </c>
      <c r="AR2966" s="3" t="s">
        <v>62</v>
      </c>
      <c r="AS2966" s="3" t="s">
        <v>62</v>
      </c>
      <c r="AT2966" s="3" t="s">
        <v>62</v>
      </c>
      <c r="AV2966" s="6" t="str">
        <f>HYPERLINK("http://mcgill.on.worldcat.org/oclc/1442205","Catalog Record")</f>
        <v>Catalog Record</v>
      </c>
      <c r="AW2966" s="6" t="str">
        <f>HYPERLINK("http://www.worldcat.org/oclc/1442205","WorldCat Record")</f>
        <v>WorldCat Record</v>
      </c>
      <c r="AX2966" s="3" t="s">
        <v>28672</v>
      </c>
      <c r="AY2966" s="3" t="s">
        <v>28673</v>
      </c>
      <c r="AZ2966" s="3" t="s">
        <v>28674</v>
      </c>
      <c r="BA2966" s="3" t="s">
        <v>28674</v>
      </c>
      <c r="BB2966" s="3" t="s">
        <v>28675</v>
      </c>
      <c r="BC2966" s="3" t="s">
        <v>102</v>
      </c>
      <c r="BD2966" s="3" t="s">
        <v>68</v>
      </c>
      <c r="BF2966" s="3" t="s">
        <v>28675</v>
      </c>
      <c r="BG2966" s="3" t="s">
        <v>28676</v>
      </c>
    </row>
    <row r="2967" spans="1:59" ht="58" x14ac:dyDescent="0.35">
      <c r="A2967" s="2" t="s">
        <v>89</v>
      </c>
      <c r="B2967" s="2" t="s">
        <v>90</v>
      </c>
      <c r="C2967" s="2" t="s">
        <v>28677</v>
      </c>
      <c r="D2967" s="2" t="s">
        <v>28678</v>
      </c>
      <c r="E2967" s="2" t="s">
        <v>28679</v>
      </c>
      <c r="G2967" s="3" t="s">
        <v>62</v>
      </c>
      <c r="I2967" s="3" t="s">
        <v>62</v>
      </c>
      <c r="J2967" s="3" t="s">
        <v>62</v>
      </c>
      <c r="K2967" s="3" t="s">
        <v>63</v>
      </c>
      <c r="L2967" s="2" t="s">
        <v>28680</v>
      </c>
      <c r="M2967" s="2" t="s">
        <v>28681</v>
      </c>
      <c r="N2967" s="3" t="s">
        <v>1905</v>
      </c>
      <c r="P2967" s="3" t="s">
        <v>64</v>
      </c>
      <c r="R2967" s="3" t="s">
        <v>27443</v>
      </c>
      <c r="S2967" s="4">
        <v>22</v>
      </c>
      <c r="T2967" s="4">
        <v>22</v>
      </c>
      <c r="U2967" s="5" t="s">
        <v>28682</v>
      </c>
      <c r="V2967" s="5" t="s">
        <v>28682</v>
      </c>
      <c r="W2967" s="5" t="s">
        <v>67</v>
      </c>
      <c r="X2967" s="5" t="s">
        <v>67</v>
      </c>
      <c r="Y2967" s="4">
        <v>121</v>
      </c>
      <c r="Z2967" s="4">
        <v>11</v>
      </c>
      <c r="AA2967" s="4">
        <v>18</v>
      </c>
      <c r="AB2967" s="4">
        <v>4</v>
      </c>
      <c r="AC2967" s="4">
        <v>4</v>
      </c>
      <c r="AD2967" s="4">
        <v>35</v>
      </c>
      <c r="AE2967" s="4">
        <v>42</v>
      </c>
      <c r="AF2967" s="4">
        <v>1</v>
      </c>
      <c r="AG2967" s="4">
        <v>1</v>
      </c>
      <c r="AH2967" s="4">
        <v>34</v>
      </c>
      <c r="AI2967" s="4">
        <v>38</v>
      </c>
      <c r="AJ2967" s="4">
        <v>4</v>
      </c>
      <c r="AK2967" s="4">
        <v>9</v>
      </c>
      <c r="AL2967" s="4">
        <v>19</v>
      </c>
      <c r="AM2967" s="4">
        <v>21</v>
      </c>
      <c r="AN2967" s="4">
        <v>0</v>
      </c>
      <c r="AO2967" s="4">
        <v>0</v>
      </c>
      <c r="AP2967" s="4">
        <v>4</v>
      </c>
      <c r="AQ2967" s="4">
        <v>10</v>
      </c>
      <c r="AR2967" s="3" t="s">
        <v>62</v>
      </c>
      <c r="AS2967" s="3" t="s">
        <v>62</v>
      </c>
      <c r="AT2967" s="3" t="s">
        <v>61</v>
      </c>
      <c r="AU2967" s="6" t="str">
        <f>HYPERLINK("http://catalog.hathitrust.org/Record/000920987","HathiTrust Record")</f>
        <v>HathiTrust Record</v>
      </c>
      <c r="AV2967" s="6" t="str">
        <f>HYPERLINK("http://mcgill.on.worldcat.org/oclc/59213974","Catalog Record")</f>
        <v>Catalog Record</v>
      </c>
      <c r="AW2967" s="6" t="str">
        <f>HYPERLINK("http://www.worldcat.org/oclc/59213974","WorldCat Record")</f>
        <v>WorldCat Record</v>
      </c>
      <c r="AX2967" s="3" t="s">
        <v>28683</v>
      </c>
      <c r="AY2967" s="3" t="s">
        <v>28684</v>
      </c>
      <c r="AZ2967" s="3" t="s">
        <v>28685</v>
      </c>
      <c r="BA2967" s="3" t="s">
        <v>28685</v>
      </c>
      <c r="BB2967" s="3" t="s">
        <v>28686</v>
      </c>
      <c r="BC2967" s="3" t="s">
        <v>102</v>
      </c>
      <c r="BD2967" s="3" t="s">
        <v>68</v>
      </c>
      <c r="BE2967" s="3" t="s">
        <v>28687</v>
      </c>
      <c r="BF2967" s="3" t="s">
        <v>28686</v>
      </c>
      <c r="BG2967" s="3" t="s">
        <v>28688</v>
      </c>
    </row>
    <row r="2968" spans="1:59" ht="58" x14ac:dyDescent="0.35">
      <c r="A2968" s="2" t="s">
        <v>89</v>
      </c>
      <c r="B2968" s="2" t="s">
        <v>90</v>
      </c>
      <c r="C2968" s="2" t="s">
        <v>28689</v>
      </c>
      <c r="D2968" s="2" t="s">
        <v>28690</v>
      </c>
      <c r="E2968" s="2" t="s">
        <v>28691</v>
      </c>
      <c r="G2968" s="3" t="s">
        <v>62</v>
      </c>
      <c r="I2968" s="3" t="s">
        <v>62</v>
      </c>
      <c r="J2968" s="3" t="s">
        <v>62</v>
      </c>
      <c r="K2968" s="3" t="s">
        <v>63</v>
      </c>
      <c r="L2968" s="2" t="s">
        <v>28692</v>
      </c>
      <c r="M2968" s="2" t="s">
        <v>28693</v>
      </c>
      <c r="N2968" s="3" t="s">
        <v>1195</v>
      </c>
      <c r="P2968" s="3" t="s">
        <v>64</v>
      </c>
      <c r="R2968" s="3" t="s">
        <v>27443</v>
      </c>
      <c r="S2968" s="4">
        <v>4</v>
      </c>
      <c r="T2968" s="4">
        <v>4</v>
      </c>
      <c r="U2968" s="5" t="s">
        <v>28694</v>
      </c>
      <c r="V2968" s="5" t="s">
        <v>28694</v>
      </c>
      <c r="W2968" s="5" t="s">
        <v>67</v>
      </c>
      <c r="X2968" s="5" t="s">
        <v>67</v>
      </c>
      <c r="Y2968" s="4">
        <v>278</v>
      </c>
      <c r="Z2968" s="4">
        <v>9</v>
      </c>
      <c r="AA2968" s="4">
        <v>10</v>
      </c>
      <c r="AB2968" s="4">
        <v>1</v>
      </c>
      <c r="AC2968" s="4">
        <v>1</v>
      </c>
      <c r="AD2968" s="4">
        <v>38</v>
      </c>
      <c r="AE2968" s="4">
        <v>38</v>
      </c>
      <c r="AF2968" s="4">
        <v>0</v>
      </c>
      <c r="AG2968" s="4">
        <v>0</v>
      </c>
      <c r="AH2968" s="4">
        <v>37</v>
      </c>
      <c r="AI2968" s="4">
        <v>37</v>
      </c>
      <c r="AJ2968" s="4">
        <v>2</v>
      </c>
      <c r="AK2968" s="4">
        <v>2</v>
      </c>
      <c r="AL2968" s="4">
        <v>22</v>
      </c>
      <c r="AM2968" s="4">
        <v>22</v>
      </c>
      <c r="AN2968" s="4">
        <v>0</v>
      </c>
      <c r="AO2968" s="4">
        <v>0</v>
      </c>
      <c r="AP2968" s="4">
        <v>2</v>
      </c>
      <c r="AQ2968" s="4">
        <v>2</v>
      </c>
      <c r="AR2968" s="3" t="s">
        <v>62</v>
      </c>
      <c r="AS2968" s="3" t="s">
        <v>62</v>
      </c>
      <c r="AT2968" s="3" t="s">
        <v>62</v>
      </c>
      <c r="AV2968" s="6" t="str">
        <f>HYPERLINK("http://mcgill.on.worldcat.org/oclc/70877904","Catalog Record")</f>
        <v>Catalog Record</v>
      </c>
      <c r="AW2968" s="6" t="str">
        <f>HYPERLINK("http://www.worldcat.org/oclc/70877904","WorldCat Record")</f>
        <v>WorldCat Record</v>
      </c>
      <c r="AX2968" s="3" t="s">
        <v>28695</v>
      </c>
      <c r="AY2968" s="3" t="s">
        <v>28696</v>
      </c>
      <c r="AZ2968" s="3" t="s">
        <v>28697</v>
      </c>
      <c r="BA2968" s="3" t="s">
        <v>28697</v>
      </c>
      <c r="BB2968" s="3" t="s">
        <v>28698</v>
      </c>
      <c r="BC2968" s="3" t="s">
        <v>102</v>
      </c>
      <c r="BD2968" s="3" t="s">
        <v>68</v>
      </c>
      <c r="BE2968" s="3" t="s">
        <v>28699</v>
      </c>
      <c r="BF2968" s="3" t="s">
        <v>28698</v>
      </c>
      <c r="BG2968" s="3" t="s">
        <v>28700</v>
      </c>
    </row>
    <row r="2969" spans="1:59" ht="58" x14ac:dyDescent="0.35">
      <c r="A2969" s="2" t="s">
        <v>89</v>
      </c>
      <c r="B2969" s="2" t="s">
        <v>90</v>
      </c>
      <c r="C2969" s="2" t="s">
        <v>28701</v>
      </c>
      <c r="D2969" s="2" t="s">
        <v>28702</v>
      </c>
      <c r="E2969" s="2" t="s">
        <v>28703</v>
      </c>
      <c r="G2969" s="3" t="s">
        <v>62</v>
      </c>
      <c r="I2969" s="3" t="s">
        <v>61</v>
      </c>
      <c r="J2969" s="3" t="s">
        <v>62</v>
      </c>
      <c r="K2969" s="3" t="s">
        <v>63</v>
      </c>
      <c r="L2969" s="2" t="s">
        <v>28704</v>
      </c>
      <c r="M2969" s="2" t="s">
        <v>28705</v>
      </c>
      <c r="N2969" s="3" t="s">
        <v>1482</v>
      </c>
      <c r="P2969" s="3" t="s">
        <v>64</v>
      </c>
      <c r="R2969" s="3" t="s">
        <v>27443</v>
      </c>
      <c r="S2969" s="4">
        <v>14</v>
      </c>
      <c r="T2969" s="4">
        <v>16</v>
      </c>
      <c r="U2969" s="5" t="s">
        <v>28706</v>
      </c>
      <c r="V2969" s="5" t="s">
        <v>28706</v>
      </c>
      <c r="W2969" s="5" t="s">
        <v>67</v>
      </c>
      <c r="X2969" s="5" t="s">
        <v>67</v>
      </c>
      <c r="Y2969" s="4">
        <v>358</v>
      </c>
      <c r="Z2969" s="4">
        <v>21</v>
      </c>
      <c r="AA2969" s="4">
        <v>86</v>
      </c>
      <c r="AB2969" s="4">
        <v>1</v>
      </c>
      <c r="AC2969" s="4">
        <v>16</v>
      </c>
      <c r="AD2969" s="4">
        <v>106</v>
      </c>
      <c r="AE2969" s="4">
        <v>150</v>
      </c>
      <c r="AF2969" s="4">
        <v>0</v>
      </c>
      <c r="AG2969" s="4">
        <v>8</v>
      </c>
      <c r="AH2969" s="4">
        <v>94</v>
      </c>
      <c r="AI2969" s="4">
        <v>112</v>
      </c>
      <c r="AJ2969" s="4">
        <v>16</v>
      </c>
      <c r="AK2969" s="4">
        <v>27</v>
      </c>
      <c r="AL2969" s="4">
        <v>55</v>
      </c>
      <c r="AM2969" s="4">
        <v>62</v>
      </c>
      <c r="AN2969" s="4">
        <v>0</v>
      </c>
      <c r="AO2969" s="4">
        <v>0</v>
      </c>
      <c r="AP2969" s="4">
        <v>17</v>
      </c>
      <c r="AQ2969" s="4">
        <v>45</v>
      </c>
      <c r="AR2969" s="3" t="s">
        <v>62</v>
      </c>
      <c r="AS2969" s="3" t="s">
        <v>62</v>
      </c>
      <c r="AT2969" s="3" t="s">
        <v>62</v>
      </c>
      <c r="AV2969" s="6" t="str">
        <f>HYPERLINK("http://mcgill.on.worldcat.org/oclc/12420547","Catalog Record")</f>
        <v>Catalog Record</v>
      </c>
      <c r="AW2969" s="6" t="str">
        <f>HYPERLINK("http://www.worldcat.org/oclc/12420547","WorldCat Record")</f>
        <v>WorldCat Record</v>
      </c>
      <c r="AX2969" s="3" t="s">
        <v>28707</v>
      </c>
      <c r="AY2969" s="3" t="s">
        <v>28708</v>
      </c>
      <c r="AZ2969" s="3" t="s">
        <v>28709</v>
      </c>
      <c r="BA2969" s="3" t="s">
        <v>28709</v>
      </c>
      <c r="BB2969" s="3" t="s">
        <v>28710</v>
      </c>
      <c r="BC2969" s="3" t="s">
        <v>102</v>
      </c>
      <c r="BD2969" s="3" t="s">
        <v>68</v>
      </c>
      <c r="BE2969" s="3" t="s">
        <v>28711</v>
      </c>
      <c r="BF2969" s="3" t="s">
        <v>28710</v>
      </c>
      <c r="BG2969" s="3" t="s">
        <v>28712</v>
      </c>
    </row>
    <row r="2970" spans="1:59" ht="116" x14ac:dyDescent="0.35">
      <c r="A2970" s="2" t="s">
        <v>89</v>
      </c>
      <c r="B2970" s="2" t="s">
        <v>3312</v>
      </c>
      <c r="C2970" s="2" t="s">
        <v>28713</v>
      </c>
      <c r="D2970" s="2" t="s">
        <v>28714</v>
      </c>
      <c r="E2970" s="2" t="s">
        <v>28715</v>
      </c>
      <c r="G2970" s="3" t="s">
        <v>62</v>
      </c>
      <c r="I2970" s="3" t="s">
        <v>62</v>
      </c>
      <c r="J2970" s="3" t="s">
        <v>62</v>
      </c>
      <c r="K2970" s="3" t="s">
        <v>63</v>
      </c>
      <c r="L2970" s="2" t="s">
        <v>28716</v>
      </c>
      <c r="M2970" s="2" t="s">
        <v>28717</v>
      </c>
      <c r="N2970" s="3" t="s">
        <v>1077</v>
      </c>
      <c r="O2970" s="2" t="s">
        <v>1674</v>
      </c>
      <c r="P2970" s="3" t="s">
        <v>1675</v>
      </c>
      <c r="Q2970" s="2" t="s">
        <v>28718</v>
      </c>
      <c r="R2970" s="3" t="s">
        <v>27443</v>
      </c>
      <c r="S2970" s="4">
        <v>3</v>
      </c>
      <c r="T2970" s="4">
        <v>3</v>
      </c>
      <c r="U2970" s="5" t="s">
        <v>28719</v>
      </c>
      <c r="V2970" s="5" t="s">
        <v>28719</v>
      </c>
      <c r="W2970" s="5" t="s">
        <v>67</v>
      </c>
      <c r="X2970" s="5" t="s">
        <v>67</v>
      </c>
      <c r="Y2970" s="4">
        <v>18</v>
      </c>
      <c r="Z2970" s="4">
        <v>4</v>
      </c>
      <c r="AA2970" s="4">
        <v>4</v>
      </c>
      <c r="AB2970" s="4">
        <v>1</v>
      </c>
      <c r="AC2970" s="4">
        <v>1</v>
      </c>
      <c r="AD2970" s="4">
        <v>10</v>
      </c>
      <c r="AE2970" s="4">
        <v>10</v>
      </c>
      <c r="AF2970" s="4">
        <v>0</v>
      </c>
      <c r="AG2970" s="4">
        <v>0</v>
      </c>
      <c r="AH2970" s="4">
        <v>10</v>
      </c>
      <c r="AI2970" s="4">
        <v>10</v>
      </c>
      <c r="AJ2970" s="4">
        <v>1</v>
      </c>
      <c r="AK2970" s="4">
        <v>1</v>
      </c>
      <c r="AL2970" s="4">
        <v>9</v>
      </c>
      <c r="AM2970" s="4">
        <v>9</v>
      </c>
      <c r="AN2970" s="4">
        <v>0</v>
      </c>
      <c r="AO2970" s="4">
        <v>0</v>
      </c>
      <c r="AP2970" s="4">
        <v>1</v>
      </c>
      <c r="AQ2970" s="4">
        <v>1</v>
      </c>
      <c r="AR2970" s="3" t="s">
        <v>62</v>
      </c>
      <c r="AS2970" s="3" t="s">
        <v>62</v>
      </c>
      <c r="AT2970" s="3" t="s">
        <v>61</v>
      </c>
      <c r="AU2970" s="6" t="str">
        <f>HYPERLINK("http://catalog.hathitrust.org/Record/006237187","HathiTrust Record")</f>
        <v>HathiTrust Record</v>
      </c>
      <c r="AV2970" s="6" t="str">
        <f>HYPERLINK("http://mcgill.on.worldcat.org/oclc/34896274","Catalog Record")</f>
        <v>Catalog Record</v>
      </c>
      <c r="AW2970" s="6" t="str">
        <f>HYPERLINK("http://www.worldcat.org/oclc/34896274","WorldCat Record")</f>
        <v>WorldCat Record</v>
      </c>
      <c r="AX2970" s="3" t="s">
        <v>28720</v>
      </c>
      <c r="AY2970" s="3" t="s">
        <v>28721</v>
      </c>
      <c r="AZ2970" s="3" t="s">
        <v>28722</v>
      </c>
      <c r="BA2970" s="3" t="s">
        <v>28722</v>
      </c>
      <c r="BB2970" s="3" t="s">
        <v>28723</v>
      </c>
      <c r="BC2970" s="3" t="s">
        <v>102</v>
      </c>
      <c r="BD2970" s="3" t="s">
        <v>68</v>
      </c>
      <c r="BE2970" s="3" t="s">
        <v>28724</v>
      </c>
      <c r="BF2970" s="3" t="s">
        <v>28723</v>
      </c>
      <c r="BG2970" s="3" t="s">
        <v>28725</v>
      </c>
    </row>
    <row r="2971" spans="1:59" ht="58" x14ac:dyDescent="0.35">
      <c r="A2971" s="2" t="s">
        <v>89</v>
      </c>
      <c r="B2971" s="2" t="s">
        <v>90</v>
      </c>
      <c r="C2971" s="2" t="s">
        <v>28726</v>
      </c>
      <c r="D2971" s="2" t="s">
        <v>28727</v>
      </c>
      <c r="E2971" s="2" t="s">
        <v>28728</v>
      </c>
      <c r="G2971" s="3" t="s">
        <v>62</v>
      </c>
      <c r="I2971" s="3" t="s">
        <v>61</v>
      </c>
      <c r="J2971" s="3" t="s">
        <v>62</v>
      </c>
      <c r="K2971" s="3" t="s">
        <v>63</v>
      </c>
      <c r="L2971" s="2" t="s">
        <v>312</v>
      </c>
      <c r="M2971" s="2" t="s">
        <v>28729</v>
      </c>
      <c r="N2971" s="3" t="s">
        <v>2110</v>
      </c>
      <c r="P2971" s="3" t="s">
        <v>64</v>
      </c>
      <c r="R2971" s="3" t="s">
        <v>27443</v>
      </c>
      <c r="S2971" s="4">
        <v>7</v>
      </c>
      <c r="T2971" s="4">
        <v>7</v>
      </c>
      <c r="U2971" s="5" t="s">
        <v>28730</v>
      </c>
      <c r="V2971" s="5" t="s">
        <v>28730</v>
      </c>
      <c r="W2971" s="5" t="s">
        <v>67</v>
      </c>
      <c r="X2971" s="5" t="s">
        <v>67</v>
      </c>
      <c r="Y2971" s="4">
        <v>335</v>
      </c>
      <c r="Z2971" s="4">
        <v>25</v>
      </c>
      <c r="AA2971" s="4">
        <v>31</v>
      </c>
      <c r="AB2971" s="4">
        <v>4</v>
      </c>
      <c r="AC2971" s="4">
        <v>10</v>
      </c>
      <c r="AD2971" s="4">
        <v>109</v>
      </c>
      <c r="AE2971" s="4">
        <v>112</v>
      </c>
      <c r="AF2971" s="4">
        <v>1</v>
      </c>
      <c r="AG2971" s="4">
        <v>3</v>
      </c>
      <c r="AH2971" s="4">
        <v>94</v>
      </c>
      <c r="AI2971" s="4">
        <v>96</v>
      </c>
      <c r="AJ2971" s="4">
        <v>16</v>
      </c>
      <c r="AK2971" s="4">
        <v>18</v>
      </c>
      <c r="AL2971" s="4">
        <v>57</v>
      </c>
      <c r="AM2971" s="4">
        <v>57</v>
      </c>
      <c r="AN2971" s="4">
        <v>0</v>
      </c>
      <c r="AO2971" s="4">
        <v>0</v>
      </c>
      <c r="AP2971" s="4">
        <v>18</v>
      </c>
      <c r="AQ2971" s="4">
        <v>20</v>
      </c>
      <c r="AR2971" s="3" t="s">
        <v>62</v>
      </c>
      <c r="AS2971" s="3" t="s">
        <v>62</v>
      </c>
      <c r="AT2971" s="3" t="s">
        <v>61</v>
      </c>
      <c r="AU2971" s="6" t="str">
        <f>HYPERLINK("http://catalog.hathitrust.org/Record/000135752","HathiTrust Record")</f>
        <v>HathiTrust Record</v>
      </c>
      <c r="AV2971" s="6" t="str">
        <f>HYPERLINK("http://mcgill.on.worldcat.org/oclc/3845459","Catalog Record")</f>
        <v>Catalog Record</v>
      </c>
      <c r="AW2971" s="6" t="str">
        <f>HYPERLINK("http://www.worldcat.org/oclc/3845459","WorldCat Record")</f>
        <v>WorldCat Record</v>
      </c>
      <c r="AX2971" s="3" t="s">
        <v>28731</v>
      </c>
      <c r="AY2971" s="3" t="s">
        <v>28732</v>
      </c>
      <c r="AZ2971" s="3" t="s">
        <v>28733</v>
      </c>
      <c r="BA2971" s="3" t="s">
        <v>28733</v>
      </c>
      <c r="BB2971" s="3" t="s">
        <v>28734</v>
      </c>
      <c r="BC2971" s="3" t="s">
        <v>102</v>
      </c>
      <c r="BD2971" s="3" t="s">
        <v>68</v>
      </c>
      <c r="BE2971" s="3" t="s">
        <v>28735</v>
      </c>
      <c r="BF2971" s="3" t="s">
        <v>28734</v>
      </c>
      <c r="BG2971" s="3" t="s">
        <v>28736</v>
      </c>
    </row>
    <row r="2972" spans="1:59" ht="58" x14ac:dyDescent="0.35">
      <c r="A2972" s="2" t="s">
        <v>89</v>
      </c>
      <c r="B2972" s="2" t="s">
        <v>90</v>
      </c>
      <c r="C2972" s="2" t="s">
        <v>28737</v>
      </c>
      <c r="D2972" s="2" t="s">
        <v>28738</v>
      </c>
      <c r="E2972" s="2" t="s">
        <v>28739</v>
      </c>
      <c r="G2972" s="3" t="s">
        <v>62</v>
      </c>
      <c r="I2972" s="3" t="s">
        <v>62</v>
      </c>
      <c r="J2972" s="3" t="s">
        <v>62</v>
      </c>
      <c r="K2972" s="3" t="s">
        <v>63</v>
      </c>
      <c r="L2972" s="2" t="s">
        <v>28740</v>
      </c>
      <c r="M2972" s="2" t="s">
        <v>28741</v>
      </c>
      <c r="N2972" s="3" t="s">
        <v>1405</v>
      </c>
      <c r="P2972" s="3" t="s">
        <v>64</v>
      </c>
      <c r="R2972" s="3" t="s">
        <v>27443</v>
      </c>
      <c r="S2972" s="4">
        <v>2</v>
      </c>
      <c r="T2972" s="4">
        <v>2</v>
      </c>
      <c r="U2972" s="5" t="s">
        <v>28730</v>
      </c>
      <c r="V2972" s="5" t="s">
        <v>28730</v>
      </c>
      <c r="W2972" s="5" t="s">
        <v>67</v>
      </c>
      <c r="X2972" s="5" t="s">
        <v>67</v>
      </c>
      <c r="Y2972" s="4">
        <v>43</v>
      </c>
      <c r="Z2972" s="4">
        <v>6</v>
      </c>
      <c r="AA2972" s="4">
        <v>19</v>
      </c>
      <c r="AB2972" s="4">
        <v>1</v>
      </c>
      <c r="AC2972" s="4">
        <v>1</v>
      </c>
      <c r="AD2972" s="4">
        <v>15</v>
      </c>
      <c r="AE2972" s="4">
        <v>21</v>
      </c>
      <c r="AF2972" s="4">
        <v>0</v>
      </c>
      <c r="AG2972" s="4">
        <v>0</v>
      </c>
      <c r="AH2972" s="4">
        <v>15</v>
      </c>
      <c r="AI2972" s="4">
        <v>16</v>
      </c>
      <c r="AJ2972" s="4">
        <v>4</v>
      </c>
      <c r="AK2972" s="4">
        <v>6</v>
      </c>
      <c r="AL2972" s="4">
        <v>6</v>
      </c>
      <c r="AM2972" s="4">
        <v>6</v>
      </c>
      <c r="AN2972" s="4">
        <v>0</v>
      </c>
      <c r="AO2972" s="4">
        <v>0</v>
      </c>
      <c r="AP2972" s="4">
        <v>4</v>
      </c>
      <c r="AQ2972" s="4">
        <v>10</v>
      </c>
      <c r="AR2972" s="3" t="s">
        <v>62</v>
      </c>
      <c r="AS2972" s="3" t="s">
        <v>62</v>
      </c>
      <c r="AT2972" s="3" t="s">
        <v>62</v>
      </c>
      <c r="AV2972" s="6" t="str">
        <f>HYPERLINK("http://mcgill.on.worldcat.org/oclc/4566577","Catalog Record")</f>
        <v>Catalog Record</v>
      </c>
      <c r="AW2972" s="6" t="str">
        <f>HYPERLINK("http://www.worldcat.org/oclc/4566577","WorldCat Record")</f>
        <v>WorldCat Record</v>
      </c>
      <c r="AX2972" s="3" t="s">
        <v>28742</v>
      </c>
      <c r="AY2972" s="3" t="s">
        <v>28743</v>
      </c>
      <c r="AZ2972" s="3" t="s">
        <v>28744</v>
      </c>
      <c r="BA2972" s="3" t="s">
        <v>28744</v>
      </c>
      <c r="BB2972" s="3" t="s">
        <v>28745</v>
      </c>
      <c r="BC2972" s="3" t="s">
        <v>102</v>
      </c>
      <c r="BD2972" s="3" t="s">
        <v>68</v>
      </c>
      <c r="BF2972" s="3" t="s">
        <v>28745</v>
      </c>
      <c r="BG2972" s="3" t="s">
        <v>28746</v>
      </c>
    </row>
    <row r="2973" spans="1:59" ht="58" x14ac:dyDescent="0.35">
      <c r="A2973" s="2" t="s">
        <v>89</v>
      </c>
      <c r="B2973" s="2" t="s">
        <v>90</v>
      </c>
      <c r="C2973" s="2" t="s">
        <v>28747</v>
      </c>
      <c r="D2973" s="2" t="s">
        <v>28748</v>
      </c>
      <c r="E2973" s="2" t="s">
        <v>28749</v>
      </c>
      <c r="G2973" s="3" t="s">
        <v>62</v>
      </c>
      <c r="I2973" s="3" t="s">
        <v>61</v>
      </c>
      <c r="J2973" s="3" t="s">
        <v>62</v>
      </c>
      <c r="K2973" s="3" t="s">
        <v>63</v>
      </c>
      <c r="L2973" s="2" t="s">
        <v>312</v>
      </c>
      <c r="M2973" s="2" t="s">
        <v>28750</v>
      </c>
      <c r="N2973" s="3" t="s">
        <v>2588</v>
      </c>
      <c r="P2973" s="3" t="s">
        <v>64</v>
      </c>
      <c r="R2973" s="3" t="s">
        <v>27443</v>
      </c>
      <c r="S2973" s="4">
        <v>7</v>
      </c>
      <c r="T2973" s="4">
        <v>7</v>
      </c>
      <c r="U2973" s="5" t="s">
        <v>28730</v>
      </c>
      <c r="V2973" s="5" t="s">
        <v>28730</v>
      </c>
      <c r="W2973" s="5" t="s">
        <v>67</v>
      </c>
      <c r="X2973" s="5" t="s">
        <v>67</v>
      </c>
      <c r="Y2973" s="4">
        <v>455</v>
      </c>
      <c r="Z2973" s="4">
        <v>26</v>
      </c>
      <c r="AA2973" s="4">
        <v>27</v>
      </c>
      <c r="AB2973" s="4">
        <v>2</v>
      </c>
      <c r="AC2973" s="4">
        <v>3</v>
      </c>
      <c r="AD2973" s="4">
        <v>112</v>
      </c>
      <c r="AE2973" s="4">
        <v>113</v>
      </c>
      <c r="AF2973" s="4">
        <v>1</v>
      </c>
      <c r="AG2973" s="4">
        <v>2</v>
      </c>
      <c r="AH2973" s="4">
        <v>98</v>
      </c>
      <c r="AI2973" s="4">
        <v>99</v>
      </c>
      <c r="AJ2973" s="4">
        <v>18</v>
      </c>
      <c r="AK2973" s="4">
        <v>19</v>
      </c>
      <c r="AL2973" s="4">
        <v>55</v>
      </c>
      <c r="AM2973" s="4">
        <v>55</v>
      </c>
      <c r="AN2973" s="4">
        <v>0</v>
      </c>
      <c r="AO2973" s="4">
        <v>0</v>
      </c>
      <c r="AP2973" s="4">
        <v>19</v>
      </c>
      <c r="AQ2973" s="4">
        <v>20</v>
      </c>
      <c r="AR2973" s="3" t="s">
        <v>62</v>
      </c>
      <c r="AS2973" s="3" t="s">
        <v>62</v>
      </c>
      <c r="AT2973" s="3" t="s">
        <v>62</v>
      </c>
      <c r="AV2973" s="6" t="str">
        <f>HYPERLINK("http://mcgill.on.worldcat.org/oclc/3001869","Catalog Record")</f>
        <v>Catalog Record</v>
      </c>
      <c r="AW2973" s="6" t="str">
        <f>HYPERLINK("http://www.worldcat.org/oclc/3001869","WorldCat Record")</f>
        <v>WorldCat Record</v>
      </c>
      <c r="AX2973" s="3" t="s">
        <v>28751</v>
      </c>
      <c r="AY2973" s="3" t="s">
        <v>28752</v>
      </c>
      <c r="AZ2973" s="3" t="s">
        <v>28753</v>
      </c>
      <c r="BA2973" s="3" t="s">
        <v>28753</v>
      </c>
      <c r="BB2973" s="3" t="s">
        <v>28754</v>
      </c>
      <c r="BC2973" s="3" t="s">
        <v>102</v>
      </c>
      <c r="BD2973" s="3" t="s">
        <v>68</v>
      </c>
      <c r="BE2973" s="3" t="s">
        <v>28755</v>
      </c>
      <c r="BF2973" s="3" t="s">
        <v>28754</v>
      </c>
      <c r="BG2973" s="3" t="s">
        <v>28756</v>
      </c>
    </row>
    <row r="2974" spans="1:59" ht="116" x14ac:dyDescent="0.35">
      <c r="A2974" s="2" t="s">
        <v>89</v>
      </c>
      <c r="B2974" s="2" t="s">
        <v>3312</v>
      </c>
      <c r="C2974" s="2" t="s">
        <v>28757</v>
      </c>
      <c r="D2974" s="2" t="s">
        <v>28758</v>
      </c>
      <c r="E2974" s="2" t="s">
        <v>28759</v>
      </c>
      <c r="G2974" s="3" t="s">
        <v>62</v>
      </c>
      <c r="H2974" s="3" t="s">
        <v>916</v>
      </c>
      <c r="I2974" s="3" t="s">
        <v>62</v>
      </c>
      <c r="J2974" s="3" t="s">
        <v>62</v>
      </c>
      <c r="K2974" s="3" t="s">
        <v>63</v>
      </c>
      <c r="L2974" s="2" t="s">
        <v>28760</v>
      </c>
      <c r="M2974" s="2" t="s">
        <v>28761</v>
      </c>
      <c r="N2974" s="3" t="s">
        <v>1038</v>
      </c>
      <c r="O2974" s="2" t="s">
        <v>26896</v>
      </c>
      <c r="P2974" s="3" t="s">
        <v>26897</v>
      </c>
      <c r="R2974" s="3" t="s">
        <v>27443</v>
      </c>
      <c r="S2974" s="4">
        <v>0</v>
      </c>
      <c r="T2974" s="4">
        <v>0</v>
      </c>
      <c r="W2974" s="5" t="s">
        <v>16465</v>
      </c>
      <c r="X2974" s="5" t="s">
        <v>16465</v>
      </c>
      <c r="Y2974" s="4">
        <v>15</v>
      </c>
      <c r="Z2974" s="4">
        <v>1</v>
      </c>
      <c r="AA2974" s="4">
        <v>1</v>
      </c>
      <c r="AB2974" s="4">
        <v>1</v>
      </c>
      <c r="AC2974" s="4">
        <v>1</v>
      </c>
      <c r="AD2974" s="4">
        <v>14</v>
      </c>
      <c r="AE2974" s="4">
        <v>14</v>
      </c>
      <c r="AF2974" s="4">
        <v>0</v>
      </c>
      <c r="AG2974" s="4">
        <v>0</v>
      </c>
      <c r="AH2974" s="4">
        <v>12</v>
      </c>
      <c r="AI2974" s="4">
        <v>12</v>
      </c>
      <c r="AJ2974" s="4">
        <v>0</v>
      </c>
      <c r="AK2974" s="4">
        <v>0</v>
      </c>
      <c r="AL2974" s="4">
        <v>12</v>
      </c>
      <c r="AM2974" s="4">
        <v>12</v>
      </c>
      <c r="AN2974" s="4">
        <v>0</v>
      </c>
      <c r="AO2974" s="4">
        <v>0</v>
      </c>
      <c r="AP2974" s="4">
        <v>0</v>
      </c>
      <c r="AQ2974" s="4">
        <v>0</v>
      </c>
      <c r="AR2974" s="3" t="s">
        <v>62</v>
      </c>
      <c r="AS2974" s="3" t="s">
        <v>62</v>
      </c>
      <c r="AT2974" s="3" t="s">
        <v>62</v>
      </c>
      <c r="AV2974" s="6" t="str">
        <f>HYPERLINK("http://mcgill.on.worldcat.org/oclc/965517449","Catalog Record")</f>
        <v>Catalog Record</v>
      </c>
      <c r="AW2974" s="6" t="str">
        <f>HYPERLINK("http://www.worldcat.org/oclc/965517449","WorldCat Record")</f>
        <v>WorldCat Record</v>
      </c>
      <c r="AX2974" s="3" t="s">
        <v>28762</v>
      </c>
      <c r="AY2974" s="3" t="s">
        <v>28763</v>
      </c>
      <c r="AZ2974" s="3" t="s">
        <v>28764</v>
      </c>
      <c r="BA2974" s="3" t="s">
        <v>28764</v>
      </c>
      <c r="BB2974" s="3" t="s">
        <v>28765</v>
      </c>
      <c r="BC2974" s="3" t="s">
        <v>102</v>
      </c>
      <c r="BD2974" s="3" t="s">
        <v>68</v>
      </c>
      <c r="BE2974" s="3" t="s">
        <v>28766</v>
      </c>
      <c r="BF2974" s="3" t="s">
        <v>28765</v>
      </c>
      <c r="BG2974" s="3" t="s">
        <v>28767</v>
      </c>
    </row>
    <row r="2975" spans="1:59" ht="58" x14ac:dyDescent="0.35">
      <c r="A2975" s="2" t="s">
        <v>89</v>
      </c>
      <c r="B2975" s="2" t="s">
        <v>90</v>
      </c>
      <c r="C2975" s="2" t="s">
        <v>28768</v>
      </c>
      <c r="D2975" s="2" t="s">
        <v>28769</v>
      </c>
      <c r="E2975" s="2" t="s">
        <v>28770</v>
      </c>
      <c r="G2975" s="3" t="s">
        <v>62</v>
      </c>
      <c r="I2975" s="3" t="s">
        <v>62</v>
      </c>
      <c r="J2975" s="3" t="s">
        <v>62</v>
      </c>
      <c r="K2975" s="3" t="s">
        <v>63</v>
      </c>
      <c r="L2975" s="2" t="s">
        <v>28771</v>
      </c>
      <c r="M2975" s="2" t="s">
        <v>28772</v>
      </c>
      <c r="N2975" s="3" t="s">
        <v>19885</v>
      </c>
      <c r="P2975" s="3" t="s">
        <v>64</v>
      </c>
      <c r="R2975" s="3" t="s">
        <v>27443</v>
      </c>
      <c r="S2975" s="4">
        <v>2</v>
      </c>
      <c r="T2975" s="4">
        <v>2</v>
      </c>
      <c r="U2975" s="5" t="s">
        <v>17100</v>
      </c>
      <c r="V2975" s="5" t="s">
        <v>17100</v>
      </c>
      <c r="W2975" s="5" t="s">
        <v>67</v>
      </c>
      <c r="X2975" s="5" t="s">
        <v>67</v>
      </c>
      <c r="Y2975" s="4">
        <v>111</v>
      </c>
      <c r="Z2975" s="4">
        <v>10</v>
      </c>
      <c r="AA2975" s="4">
        <v>26</v>
      </c>
      <c r="AB2975" s="4">
        <v>1</v>
      </c>
      <c r="AC2975" s="4">
        <v>3</v>
      </c>
      <c r="AD2975" s="4">
        <v>53</v>
      </c>
      <c r="AE2975" s="4">
        <v>61</v>
      </c>
      <c r="AF2975" s="4">
        <v>0</v>
      </c>
      <c r="AG2975" s="4">
        <v>0</v>
      </c>
      <c r="AH2975" s="4">
        <v>48</v>
      </c>
      <c r="AI2975" s="4">
        <v>51</v>
      </c>
      <c r="AJ2975" s="4">
        <v>5</v>
      </c>
      <c r="AK2975" s="4">
        <v>8</v>
      </c>
      <c r="AL2975" s="4">
        <v>32</v>
      </c>
      <c r="AM2975" s="4">
        <v>32</v>
      </c>
      <c r="AN2975" s="4">
        <v>0</v>
      </c>
      <c r="AO2975" s="4">
        <v>0</v>
      </c>
      <c r="AP2975" s="4">
        <v>5</v>
      </c>
      <c r="AQ2975" s="4">
        <v>12</v>
      </c>
      <c r="AR2975" s="3" t="s">
        <v>62</v>
      </c>
      <c r="AS2975" s="3" t="s">
        <v>61</v>
      </c>
      <c r="AT2975" s="3" t="s">
        <v>62</v>
      </c>
      <c r="AU2975" s="6" t="str">
        <f>HYPERLINK("http://catalog.hathitrust.org/Record/001478427","HathiTrust Record")</f>
        <v>HathiTrust Record</v>
      </c>
      <c r="AV2975" s="6" t="str">
        <f>HYPERLINK("http://mcgill.on.worldcat.org/oclc/1686412","Catalog Record")</f>
        <v>Catalog Record</v>
      </c>
      <c r="AW2975" s="6" t="str">
        <f>HYPERLINK("http://www.worldcat.org/oclc/1686412","WorldCat Record")</f>
        <v>WorldCat Record</v>
      </c>
      <c r="AX2975" s="3" t="s">
        <v>28773</v>
      </c>
      <c r="AY2975" s="3" t="s">
        <v>28774</v>
      </c>
      <c r="AZ2975" s="3" t="s">
        <v>28775</v>
      </c>
      <c r="BA2975" s="3" t="s">
        <v>28775</v>
      </c>
      <c r="BB2975" s="3" t="s">
        <v>28776</v>
      </c>
      <c r="BC2975" s="3" t="s">
        <v>102</v>
      </c>
      <c r="BD2975" s="3" t="s">
        <v>68</v>
      </c>
      <c r="BF2975" s="3" t="s">
        <v>28776</v>
      </c>
      <c r="BG2975" s="3" t="s">
        <v>28777</v>
      </c>
    </row>
    <row r="2976" spans="1:59" ht="58" x14ac:dyDescent="0.35">
      <c r="A2976" s="2" t="s">
        <v>89</v>
      </c>
      <c r="B2976" s="2" t="s">
        <v>90</v>
      </c>
      <c r="C2976" s="2" t="s">
        <v>28778</v>
      </c>
      <c r="D2976" s="2" t="s">
        <v>28779</v>
      </c>
      <c r="E2976" s="2" t="s">
        <v>28780</v>
      </c>
      <c r="G2976" s="3" t="s">
        <v>62</v>
      </c>
      <c r="I2976" s="3" t="s">
        <v>62</v>
      </c>
      <c r="J2976" s="3" t="s">
        <v>62</v>
      </c>
      <c r="K2976" s="3" t="s">
        <v>63</v>
      </c>
      <c r="L2976" s="2" t="s">
        <v>28781</v>
      </c>
      <c r="M2976" s="2" t="s">
        <v>28782</v>
      </c>
      <c r="N2976" s="3" t="s">
        <v>157</v>
      </c>
      <c r="P2976" s="3" t="s">
        <v>64</v>
      </c>
      <c r="R2976" s="3" t="s">
        <v>27443</v>
      </c>
      <c r="S2976" s="4">
        <v>2</v>
      </c>
      <c r="T2976" s="4">
        <v>2</v>
      </c>
      <c r="U2976" s="5" t="s">
        <v>15824</v>
      </c>
      <c r="V2976" s="5" t="s">
        <v>15824</v>
      </c>
      <c r="W2976" s="5" t="s">
        <v>67</v>
      </c>
      <c r="X2976" s="5" t="s">
        <v>67</v>
      </c>
      <c r="Y2976" s="4">
        <v>557</v>
      </c>
      <c r="Z2976" s="4">
        <v>7</v>
      </c>
      <c r="AA2976" s="4">
        <v>8</v>
      </c>
      <c r="AB2976" s="4">
        <v>1</v>
      </c>
      <c r="AC2976" s="4">
        <v>1</v>
      </c>
      <c r="AD2976" s="4">
        <v>19</v>
      </c>
      <c r="AE2976" s="4">
        <v>19</v>
      </c>
      <c r="AF2976" s="4">
        <v>0</v>
      </c>
      <c r="AG2976" s="4">
        <v>0</v>
      </c>
      <c r="AH2976" s="4">
        <v>16</v>
      </c>
      <c r="AI2976" s="4">
        <v>16</v>
      </c>
      <c r="AJ2976" s="4">
        <v>4</v>
      </c>
      <c r="AK2976" s="4">
        <v>4</v>
      </c>
      <c r="AL2976" s="4">
        <v>7</v>
      </c>
      <c r="AM2976" s="4">
        <v>7</v>
      </c>
      <c r="AN2976" s="4">
        <v>0</v>
      </c>
      <c r="AO2976" s="4">
        <v>0</v>
      </c>
      <c r="AP2976" s="4">
        <v>6</v>
      </c>
      <c r="AQ2976" s="4">
        <v>6</v>
      </c>
      <c r="AR2976" s="3" t="s">
        <v>62</v>
      </c>
      <c r="AS2976" s="3" t="s">
        <v>62</v>
      </c>
      <c r="AT2976" s="3" t="s">
        <v>62</v>
      </c>
      <c r="AV2976" s="6" t="str">
        <f>HYPERLINK("http://mcgill.on.worldcat.org/oclc/995117","Catalog Record")</f>
        <v>Catalog Record</v>
      </c>
      <c r="AW2976" s="6" t="str">
        <f>HYPERLINK("http://www.worldcat.org/oclc/995117","WorldCat Record")</f>
        <v>WorldCat Record</v>
      </c>
      <c r="AX2976" s="3" t="s">
        <v>28783</v>
      </c>
      <c r="AY2976" s="3" t="s">
        <v>28784</v>
      </c>
      <c r="AZ2976" s="3" t="s">
        <v>28785</v>
      </c>
      <c r="BA2976" s="3" t="s">
        <v>28785</v>
      </c>
      <c r="BB2976" s="3" t="s">
        <v>28786</v>
      </c>
      <c r="BC2976" s="3" t="s">
        <v>102</v>
      </c>
      <c r="BD2976" s="3" t="s">
        <v>68</v>
      </c>
      <c r="BE2976" s="3" t="s">
        <v>28787</v>
      </c>
      <c r="BF2976" s="3" t="s">
        <v>28786</v>
      </c>
      <c r="BG2976" s="3" t="s">
        <v>28788</v>
      </c>
    </row>
    <row r="2977" spans="1:59" ht="58" x14ac:dyDescent="0.35">
      <c r="A2977" s="2" t="s">
        <v>89</v>
      </c>
      <c r="B2977" s="2" t="s">
        <v>90</v>
      </c>
      <c r="C2977" s="2" t="s">
        <v>28789</v>
      </c>
      <c r="D2977" s="2" t="s">
        <v>28790</v>
      </c>
      <c r="E2977" s="2" t="s">
        <v>28791</v>
      </c>
      <c r="G2977" s="3" t="s">
        <v>62</v>
      </c>
      <c r="I2977" s="3" t="s">
        <v>62</v>
      </c>
      <c r="J2977" s="3" t="s">
        <v>62</v>
      </c>
      <c r="K2977" s="3" t="s">
        <v>63</v>
      </c>
      <c r="L2977" s="2" t="s">
        <v>28792</v>
      </c>
      <c r="M2977" s="2" t="s">
        <v>28793</v>
      </c>
      <c r="N2977" s="3" t="s">
        <v>611</v>
      </c>
      <c r="P2977" s="3" t="s">
        <v>64</v>
      </c>
      <c r="Q2977" s="2" t="s">
        <v>28794</v>
      </c>
      <c r="R2977" s="3" t="s">
        <v>27443</v>
      </c>
      <c r="S2977" s="4">
        <v>2</v>
      </c>
      <c r="T2977" s="4">
        <v>2</v>
      </c>
      <c r="U2977" s="5" t="s">
        <v>15824</v>
      </c>
      <c r="V2977" s="5" t="s">
        <v>15824</v>
      </c>
      <c r="W2977" s="5" t="s">
        <v>67</v>
      </c>
      <c r="X2977" s="5" t="s">
        <v>67</v>
      </c>
      <c r="Y2977" s="4">
        <v>309</v>
      </c>
      <c r="Z2977" s="4">
        <v>9</v>
      </c>
      <c r="AA2977" s="4">
        <v>10</v>
      </c>
      <c r="AB2977" s="4">
        <v>1</v>
      </c>
      <c r="AC2977" s="4">
        <v>1</v>
      </c>
      <c r="AD2977" s="4">
        <v>61</v>
      </c>
      <c r="AE2977" s="4">
        <v>64</v>
      </c>
      <c r="AF2977" s="4">
        <v>0</v>
      </c>
      <c r="AG2977" s="4">
        <v>0</v>
      </c>
      <c r="AH2977" s="4">
        <v>56</v>
      </c>
      <c r="AI2977" s="4">
        <v>58</v>
      </c>
      <c r="AJ2977" s="4">
        <v>4</v>
      </c>
      <c r="AK2977" s="4">
        <v>5</v>
      </c>
      <c r="AL2977" s="4">
        <v>31</v>
      </c>
      <c r="AM2977" s="4">
        <v>31</v>
      </c>
      <c r="AN2977" s="4">
        <v>0</v>
      </c>
      <c r="AO2977" s="4">
        <v>0</v>
      </c>
      <c r="AP2977" s="4">
        <v>7</v>
      </c>
      <c r="AQ2977" s="4">
        <v>8</v>
      </c>
      <c r="AR2977" s="3" t="s">
        <v>62</v>
      </c>
      <c r="AS2977" s="3" t="s">
        <v>62</v>
      </c>
      <c r="AT2977" s="3" t="s">
        <v>62</v>
      </c>
      <c r="AU2977" s="6" t="str">
        <f>HYPERLINK("http://catalog.hathitrust.org/Record/004534344","HathiTrust Record")</f>
        <v>HathiTrust Record</v>
      </c>
      <c r="AV2977" s="6" t="str">
        <f>HYPERLINK("http://mcgill.on.worldcat.org/oclc/994417","Catalog Record")</f>
        <v>Catalog Record</v>
      </c>
      <c r="AW2977" s="6" t="str">
        <f>HYPERLINK("http://www.worldcat.org/oclc/994417","WorldCat Record")</f>
        <v>WorldCat Record</v>
      </c>
      <c r="AX2977" s="3" t="s">
        <v>28795</v>
      </c>
      <c r="AY2977" s="3" t="s">
        <v>28796</v>
      </c>
      <c r="AZ2977" s="3" t="s">
        <v>28797</v>
      </c>
      <c r="BA2977" s="3" t="s">
        <v>28797</v>
      </c>
      <c r="BB2977" s="3" t="s">
        <v>28798</v>
      </c>
      <c r="BC2977" s="3" t="s">
        <v>102</v>
      </c>
      <c r="BD2977" s="3" t="s">
        <v>68</v>
      </c>
      <c r="BF2977" s="3" t="s">
        <v>28798</v>
      </c>
      <c r="BG2977" s="3" t="s">
        <v>28799</v>
      </c>
    </row>
    <row r="2978" spans="1:59" ht="116" x14ac:dyDescent="0.35">
      <c r="A2978" s="2" t="s">
        <v>89</v>
      </c>
      <c r="B2978" s="2" t="s">
        <v>3312</v>
      </c>
      <c r="C2978" s="2" t="s">
        <v>28800</v>
      </c>
      <c r="D2978" s="2" t="s">
        <v>28801</v>
      </c>
      <c r="E2978" s="2" t="s">
        <v>28802</v>
      </c>
      <c r="G2978" s="3" t="s">
        <v>62</v>
      </c>
      <c r="I2978" s="3" t="s">
        <v>62</v>
      </c>
      <c r="J2978" s="3" t="s">
        <v>62</v>
      </c>
      <c r="K2978" s="3" t="s">
        <v>63</v>
      </c>
      <c r="L2978" s="2" t="s">
        <v>28716</v>
      </c>
      <c r="M2978" s="2" t="s">
        <v>28803</v>
      </c>
      <c r="N2978" s="3" t="s">
        <v>2975</v>
      </c>
      <c r="O2978" s="2" t="s">
        <v>1674</v>
      </c>
      <c r="P2978" s="3" t="s">
        <v>1675</v>
      </c>
      <c r="R2978" s="3" t="s">
        <v>27443</v>
      </c>
      <c r="S2978" s="4">
        <v>4</v>
      </c>
      <c r="T2978" s="4">
        <v>4</v>
      </c>
      <c r="U2978" s="5" t="s">
        <v>28719</v>
      </c>
      <c r="V2978" s="5" t="s">
        <v>28719</v>
      </c>
      <c r="W2978" s="5" t="s">
        <v>67</v>
      </c>
      <c r="X2978" s="5" t="s">
        <v>67</v>
      </c>
      <c r="Y2978" s="4">
        <v>29</v>
      </c>
      <c r="Z2978" s="4">
        <v>2</v>
      </c>
      <c r="AA2978" s="4">
        <v>2</v>
      </c>
      <c r="AB2978" s="4">
        <v>1</v>
      </c>
      <c r="AC2978" s="4">
        <v>1</v>
      </c>
      <c r="AD2978" s="4">
        <v>18</v>
      </c>
      <c r="AE2978" s="4">
        <v>18</v>
      </c>
      <c r="AF2978" s="4">
        <v>0</v>
      </c>
      <c r="AG2978" s="4">
        <v>0</v>
      </c>
      <c r="AH2978" s="4">
        <v>18</v>
      </c>
      <c r="AI2978" s="4">
        <v>18</v>
      </c>
      <c r="AJ2978" s="4">
        <v>1</v>
      </c>
      <c r="AK2978" s="4">
        <v>1</v>
      </c>
      <c r="AL2978" s="4">
        <v>12</v>
      </c>
      <c r="AM2978" s="4">
        <v>12</v>
      </c>
      <c r="AN2978" s="4">
        <v>0</v>
      </c>
      <c r="AO2978" s="4">
        <v>0</v>
      </c>
      <c r="AP2978" s="4">
        <v>1</v>
      </c>
      <c r="AQ2978" s="4">
        <v>1</v>
      </c>
      <c r="AR2978" s="3" t="s">
        <v>62</v>
      </c>
      <c r="AS2978" s="3" t="s">
        <v>62</v>
      </c>
      <c r="AT2978" s="3" t="s">
        <v>61</v>
      </c>
      <c r="AU2978" s="6" t="str">
        <f>HYPERLINK("http://catalog.hathitrust.org/Record/007955523","HathiTrust Record")</f>
        <v>HathiTrust Record</v>
      </c>
      <c r="AV2978" s="6" t="str">
        <f>HYPERLINK("http://mcgill.on.worldcat.org/oclc/48458408","Catalog Record")</f>
        <v>Catalog Record</v>
      </c>
      <c r="AW2978" s="6" t="str">
        <f>HYPERLINK("http://www.worldcat.org/oclc/48458408","WorldCat Record")</f>
        <v>WorldCat Record</v>
      </c>
      <c r="AX2978" s="3" t="s">
        <v>28804</v>
      </c>
      <c r="AY2978" s="3" t="s">
        <v>28805</v>
      </c>
      <c r="AZ2978" s="3" t="s">
        <v>28806</v>
      </c>
      <c r="BA2978" s="3" t="s">
        <v>28806</v>
      </c>
      <c r="BB2978" s="3" t="s">
        <v>28807</v>
      </c>
      <c r="BC2978" s="3" t="s">
        <v>102</v>
      </c>
      <c r="BD2978" s="3" t="s">
        <v>68</v>
      </c>
      <c r="BE2978" s="3" t="s">
        <v>28808</v>
      </c>
      <c r="BF2978" s="3" t="s">
        <v>28807</v>
      </c>
      <c r="BG2978" s="3" t="s">
        <v>28809</v>
      </c>
    </row>
    <row r="2979" spans="1:59" ht="58" x14ac:dyDescent="0.35">
      <c r="A2979" s="2" t="s">
        <v>89</v>
      </c>
      <c r="B2979" s="2" t="s">
        <v>90</v>
      </c>
      <c r="C2979" s="2" t="s">
        <v>28810</v>
      </c>
      <c r="D2979" s="2" t="s">
        <v>28811</v>
      </c>
      <c r="E2979" s="2" t="s">
        <v>28812</v>
      </c>
      <c r="G2979" s="3" t="s">
        <v>62</v>
      </c>
      <c r="I2979" s="3" t="s">
        <v>61</v>
      </c>
      <c r="J2979" s="3" t="s">
        <v>62</v>
      </c>
      <c r="K2979" s="3" t="s">
        <v>63</v>
      </c>
      <c r="L2979" s="2" t="s">
        <v>28813</v>
      </c>
      <c r="M2979" s="2" t="s">
        <v>28814</v>
      </c>
      <c r="N2979" s="3" t="s">
        <v>1291</v>
      </c>
      <c r="P2979" s="3" t="s">
        <v>64</v>
      </c>
      <c r="Q2979" s="2" t="s">
        <v>28815</v>
      </c>
      <c r="R2979" s="3" t="s">
        <v>27443</v>
      </c>
      <c r="S2979" s="4">
        <v>17</v>
      </c>
      <c r="T2979" s="4">
        <v>25</v>
      </c>
      <c r="U2979" s="5" t="s">
        <v>2050</v>
      </c>
      <c r="V2979" s="5" t="s">
        <v>2050</v>
      </c>
      <c r="W2979" s="5" t="s">
        <v>67</v>
      </c>
      <c r="X2979" s="5" t="s">
        <v>67</v>
      </c>
      <c r="Y2979" s="4">
        <v>706</v>
      </c>
      <c r="Z2979" s="4">
        <v>32</v>
      </c>
      <c r="AA2979" s="4">
        <v>49</v>
      </c>
      <c r="AB2979" s="4">
        <v>1</v>
      </c>
      <c r="AC2979" s="4">
        <v>7</v>
      </c>
      <c r="AD2979" s="4">
        <v>119</v>
      </c>
      <c r="AE2979" s="4">
        <v>137</v>
      </c>
      <c r="AF2979" s="4">
        <v>0</v>
      </c>
      <c r="AG2979" s="4">
        <v>5</v>
      </c>
      <c r="AH2979" s="4">
        <v>98</v>
      </c>
      <c r="AI2979" s="4">
        <v>106</v>
      </c>
      <c r="AJ2979" s="4">
        <v>17</v>
      </c>
      <c r="AK2979" s="4">
        <v>28</v>
      </c>
      <c r="AL2979" s="4">
        <v>57</v>
      </c>
      <c r="AM2979" s="4">
        <v>59</v>
      </c>
      <c r="AN2979" s="4">
        <v>0</v>
      </c>
      <c r="AO2979" s="4">
        <v>0</v>
      </c>
      <c r="AP2979" s="4">
        <v>24</v>
      </c>
      <c r="AQ2979" s="4">
        <v>36</v>
      </c>
      <c r="AR2979" s="3" t="s">
        <v>62</v>
      </c>
      <c r="AS2979" s="3" t="s">
        <v>62</v>
      </c>
      <c r="AT2979" s="3" t="s">
        <v>61</v>
      </c>
      <c r="AU2979" s="6" t="str">
        <f>HYPERLINK("http://catalog.hathitrust.org/Record/001478457","HathiTrust Record")</f>
        <v>HathiTrust Record</v>
      </c>
      <c r="AV2979" s="6" t="str">
        <f>HYPERLINK("http://mcgill.on.worldcat.org/oclc/537120","Catalog Record")</f>
        <v>Catalog Record</v>
      </c>
      <c r="AW2979" s="6" t="str">
        <f>HYPERLINK("http://www.worldcat.org/oclc/537120","WorldCat Record")</f>
        <v>WorldCat Record</v>
      </c>
      <c r="AX2979" s="3" t="s">
        <v>28816</v>
      </c>
      <c r="AY2979" s="3" t="s">
        <v>28817</v>
      </c>
      <c r="AZ2979" s="3" t="s">
        <v>28818</v>
      </c>
      <c r="BA2979" s="3" t="s">
        <v>28818</v>
      </c>
      <c r="BB2979" s="3" t="s">
        <v>28819</v>
      </c>
      <c r="BC2979" s="3" t="s">
        <v>102</v>
      </c>
      <c r="BD2979" s="3" t="s">
        <v>68</v>
      </c>
      <c r="BF2979" s="3" t="s">
        <v>28819</v>
      </c>
      <c r="BG2979" s="3" t="s">
        <v>28820</v>
      </c>
    </row>
    <row r="2980" spans="1:59" ht="58" x14ac:dyDescent="0.35">
      <c r="A2980" s="2" t="s">
        <v>89</v>
      </c>
      <c r="B2980" s="2" t="s">
        <v>90</v>
      </c>
      <c r="C2980" s="2" t="s">
        <v>28821</v>
      </c>
      <c r="D2980" s="2" t="s">
        <v>28822</v>
      </c>
      <c r="E2980" s="2" t="s">
        <v>28823</v>
      </c>
      <c r="G2980" s="3" t="s">
        <v>62</v>
      </c>
      <c r="I2980" s="3" t="s">
        <v>61</v>
      </c>
      <c r="J2980" s="3" t="s">
        <v>61</v>
      </c>
      <c r="K2980" s="3" t="s">
        <v>63</v>
      </c>
      <c r="L2980" s="2" t="s">
        <v>807</v>
      </c>
      <c r="M2980" s="2" t="s">
        <v>28824</v>
      </c>
      <c r="N2980" s="3" t="s">
        <v>396</v>
      </c>
      <c r="O2980" s="2" t="s">
        <v>28825</v>
      </c>
      <c r="P2980" s="3" t="s">
        <v>64</v>
      </c>
      <c r="R2980" s="3" t="s">
        <v>27443</v>
      </c>
      <c r="S2980" s="4">
        <v>19</v>
      </c>
      <c r="T2980" s="4">
        <v>31</v>
      </c>
      <c r="U2980" s="5" t="s">
        <v>10908</v>
      </c>
      <c r="V2980" s="5" t="s">
        <v>10908</v>
      </c>
      <c r="W2980" s="5" t="s">
        <v>67</v>
      </c>
      <c r="X2980" s="5" t="s">
        <v>67</v>
      </c>
      <c r="Y2980" s="4">
        <v>892</v>
      </c>
      <c r="Z2980" s="4">
        <v>50</v>
      </c>
      <c r="AA2980" s="4">
        <v>78</v>
      </c>
      <c r="AB2980" s="4">
        <v>3</v>
      </c>
      <c r="AC2980" s="4">
        <v>6</v>
      </c>
      <c r="AD2980" s="4">
        <v>121</v>
      </c>
      <c r="AE2980" s="4">
        <v>155</v>
      </c>
      <c r="AF2980" s="4">
        <v>1</v>
      </c>
      <c r="AG2980" s="4">
        <v>4</v>
      </c>
      <c r="AH2980" s="4">
        <v>96</v>
      </c>
      <c r="AI2980" s="4">
        <v>115</v>
      </c>
      <c r="AJ2980" s="4">
        <v>17</v>
      </c>
      <c r="AK2980" s="4">
        <v>28</v>
      </c>
      <c r="AL2980" s="4">
        <v>54</v>
      </c>
      <c r="AM2980" s="4">
        <v>61</v>
      </c>
      <c r="AN2980" s="4">
        <v>0</v>
      </c>
      <c r="AO2980" s="4">
        <v>0</v>
      </c>
      <c r="AP2980" s="4">
        <v>30</v>
      </c>
      <c r="AQ2980" s="4">
        <v>46</v>
      </c>
      <c r="AR2980" s="3" t="s">
        <v>62</v>
      </c>
      <c r="AS2980" s="3" t="s">
        <v>62</v>
      </c>
      <c r="AT2980" s="3" t="s">
        <v>62</v>
      </c>
      <c r="AV2980" s="6" t="str">
        <f>HYPERLINK("http://mcgill.on.worldcat.org/oclc/11442169","Catalog Record")</f>
        <v>Catalog Record</v>
      </c>
      <c r="AW2980" s="6" t="str">
        <f>HYPERLINK("http://www.worldcat.org/oclc/11442169","WorldCat Record")</f>
        <v>WorldCat Record</v>
      </c>
      <c r="AX2980" s="3" t="s">
        <v>28826</v>
      </c>
      <c r="AY2980" s="3" t="s">
        <v>28827</v>
      </c>
      <c r="AZ2980" s="3" t="s">
        <v>28828</v>
      </c>
      <c r="BA2980" s="3" t="s">
        <v>28828</v>
      </c>
      <c r="BB2980" s="3" t="s">
        <v>28829</v>
      </c>
      <c r="BC2980" s="3" t="s">
        <v>102</v>
      </c>
      <c r="BD2980" s="3" t="s">
        <v>231</v>
      </c>
      <c r="BE2980" s="3" t="s">
        <v>28830</v>
      </c>
      <c r="BF2980" s="3" t="s">
        <v>28829</v>
      </c>
      <c r="BG2980" s="3" t="s">
        <v>28831</v>
      </c>
    </row>
    <row r="2981" spans="1:59" ht="58" x14ac:dyDescent="0.35">
      <c r="A2981" s="2" t="s">
        <v>89</v>
      </c>
      <c r="B2981" s="2" t="s">
        <v>90</v>
      </c>
      <c r="C2981" s="2" t="s">
        <v>28832</v>
      </c>
      <c r="D2981" s="2" t="s">
        <v>28833</v>
      </c>
      <c r="E2981" s="2" t="s">
        <v>28834</v>
      </c>
      <c r="G2981" s="3" t="s">
        <v>62</v>
      </c>
      <c r="I2981" s="3" t="s">
        <v>61</v>
      </c>
      <c r="J2981" s="3" t="s">
        <v>62</v>
      </c>
      <c r="K2981" s="3" t="s">
        <v>63</v>
      </c>
      <c r="L2981" s="2" t="s">
        <v>27630</v>
      </c>
      <c r="M2981" s="2" t="s">
        <v>28835</v>
      </c>
      <c r="N2981" s="3" t="s">
        <v>954</v>
      </c>
      <c r="O2981" s="2" t="s">
        <v>2849</v>
      </c>
      <c r="P2981" s="3" t="s">
        <v>64</v>
      </c>
      <c r="R2981" s="3" t="s">
        <v>27443</v>
      </c>
      <c r="S2981" s="4">
        <v>26</v>
      </c>
      <c r="T2981" s="4">
        <v>87</v>
      </c>
      <c r="U2981" s="5" t="s">
        <v>28836</v>
      </c>
      <c r="V2981" s="5" t="s">
        <v>15628</v>
      </c>
      <c r="W2981" s="5" t="s">
        <v>67</v>
      </c>
      <c r="X2981" s="5" t="s">
        <v>67</v>
      </c>
      <c r="Y2981" s="4">
        <v>520</v>
      </c>
      <c r="Z2981" s="4">
        <v>35</v>
      </c>
      <c r="AA2981" s="4">
        <v>46</v>
      </c>
      <c r="AB2981" s="4">
        <v>4</v>
      </c>
      <c r="AC2981" s="4">
        <v>7</v>
      </c>
      <c r="AD2981" s="4">
        <v>112</v>
      </c>
      <c r="AE2981" s="4">
        <v>129</v>
      </c>
      <c r="AF2981" s="4">
        <v>2</v>
      </c>
      <c r="AG2981" s="4">
        <v>5</v>
      </c>
      <c r="AH2981" s="4">
        <v>93</v>
      </c>
      <c r="AI2981" s="4">
        <v>101</v>
      </c>
      <c r="AJ2981" s="4">
        <v>20</v>
      </c>
      <c r="AK2981" s="4">
        <v>28</v>
      </c>
      <c r="AL2981" s="4">
        <v>48</v>
      </c>
      <c r="AM2981" s="4">
        <v>54</v>
      </c>
      <c r="AN2981" s="4">
        <v>0</v>
      </c>
      <c r="AO2981" s="4">
        <v>0</v>
      </c>
      <c r="AP2981" s="4">
        <v>27</v>
      </c>
      <c r="AQ2981" s="4">
        <v>35</v>
      </c>
      <c r="AR2981" s="3" t="s">
        <v>62</v>
      </c>
      <c r="AS2981" s="3" t="s">
        <v>62</v>
      </c>
      <c r="AT2981" s="3" t="s">
        <v>62</v>
      </c>
      <c r="AV2981" s="6" t="str">
        <f>HYPERLINK("http://mcgill.on.worldcat.org/oclc/531760","Catalog Record")</f>
        <v>Catalog Record</v>
      </c>
      <c r="AW2981" s="6" t="str">
        <f>HYPERLINK("http://www.worldcat.org/oclc/531760","WorldCat Record")</f>
        <v>WorldCat Record</v>
      </c>
      <c r="AX2981" s="3" t="s">
        <v>28837</v>
      </c>
      <c r="AY2981" s="3" t="s">
        <v>28838</v>
      </c>
      <c r="AZ2981" s="3" t="s">
        <v>28839</v>
      </c>
      <c r="BA2981" s="3" t="s">
        <v>28839</v>
      </c>
      <c r="BB2981" s="3" t="s">
        <v>28840</v>
      </c>
      <c r="BC2981" s="3" t="s">
        <v>102</v>
      </c>
      <c r="BD2981" s="3" t="s">
        <v>68</v>
      </c>
      <c r="BF2981" s="3" t="s">
        <v>28840</v>
      </c>
      <c r="BG2981" s="3" t="s">
        <v>28841</v>
      </c>
    </row>
    <row r="2982" spans="1:59" ht="58" x14ac:dyDescent="0.35">
      <c r="A2982" s="2" t="s">
        <v>89</v>
      </c>
      <c r="B2982" s="2" t="s">
        <v>90</v>
      </c>
      <c r="C2982" s="2" t="s">
        <v>28832</v>
      </c>
      <c r="D2982" s="2" t="s">
        <v>28833</v>
      </c>
      <c r="E2982" s="2" t="s">
        <v>28834</v>
      </c>
      <c r="G2982" s="3" t="s">
        <v>62</v>
      </c>
      <c r="I2982" s="3" t="s">
        <v>61</v>
      </c>
      <c r="J2982" s="3" t="s">
        <v>62</v>
      </c>
      <c r="K2982" s="3" t="s">
        <v>63</v>
      </c>
      <c r="L2982" s="2" t="s">
        <v>27630</v>
      </c>
      <c r="M2982" s="2" t="s">
        <v>28835</v>
      </c>
      <c r="N2982" s="3" t="s">
        <v>954</v>
      </c>
      <c r="O2982" s="2" t="s">
        <v>2849</v>
      </c>
      <c r="P2982" s="3" t="s">
        <v>64</v>
      </c>
      <c r="R2982" s="3" t="s">
        <v>27443</v>
      </c>
      <c r="S2982" s="4">
        <v>35</v>
      </c>
      <c r="T2982" s="4">
        <v>87</v>
      </c>
      <c r="U2982" s="5" t="s">
        <v>28842</v>
      </c>
      <c r="V2982" s="5" t="s">
        <v>15628</v>
      </c>
      <c r="W2982" s="5" t="s">
        <v>67</v>
      </c>
      <c r="X2982" s="5" t="s">
        <v>67</v>
      </c>
      <c r="Y2982" s="4">
        <v>520</v>
      </c>
      <c r="Z2982" s="4">
        <v>35</v>
      </c>
      <c r="AA2982" s="4">
        <v>46</v>
      </c>
      <c r="AB2982" s="4">
        <v>4</v>
      </c>
      <c r="AC2982" s="4">
        <v>7</v>
      </c>
      <c r="AD2982" s="4">
        <v>112</v>
      </c>
      <c r="AE2982" s="4">
        <v>129</v>
      </c>
      <c r="AF2982" s="4">
        <v>2</v>
      </c>
      <c r="AG2982" s="4">
        <v>5</v>
      </c>
      <c r="AH2982" s="4">
        <v>93</v>
      </c>
      <c r="AI2982" s="4">
        <v>101</v>
      </c>
      <c r="AJ2982" s="4">
        <v>20</v>
      </c>
      <c r="AK2982" s="4">
        <v>28</v>
      </c>
      <c r="AL2982" s="4">
        <v>48</v>
      </c>
      <c r="AM2982" s="4">
        <v>54</v>
      </c>
      <c r="AN2982" s="4">
        <v>0</v>
      </c>
      <c r="AO2982" s="4">
        <v>0</v>
      </c>
      <c r="AP2982" s="4">
        <v>27</v>
      </c>
      <c r="AQ2982" s="4">
        <v>35</v>
      </c>
      <c r="AR2982" s="3" t="s">
        <v>62</v>
      </c>
      <c r="AS2982" s="3" t="s">
        <v>62</v>
      </c>
      <c r="AT2982" s="3" t="s">
        <v>62</v>
      </c>
      <c r="AV2982" s="6" t="str">
        <f>HYPERLINK("http://mcgill.on.worldcat.org/oclc/531760","Catalog Record")</f>
        <v>Catalog Record</v>
      </c>
      <c r="AW2982" s="6" t="str">
        <f>HYPERLINK("http://www.worldcat.org/oclc/531760","WorldCat Record")</f>
        <v>WorldCat Record</v>
      </c>
      <c r="AX2982" s="3" t="s">
        <v>28837</v>
      </c>
      <c r="AY2982" s="3" t="s">
        <v>28838</v>
      </c>
      <c r="AZ2982" s="3" t="s">
        <v>28839</v>
      </c>
      <c r="BA2982" s="3" t="s">
        <v>28839</v>
      </c>
      <c r="BB2982" s="3" t="s">
        <v>28843</v>
      </c>
      <c r="BC2982" s="3" t="s">
        <v>102</v>
      </c>
      <c r="BD2982" s="3" t="s">
        <v>68</v>
      </c>
      <c r="BF2982" s="3" t="s">
        <v>28843</v>
      </c>
      <c r="BG2982" s="3" t="s">
        <v>28844</v>
      </c>
    </row>
    <row r="2983" spans="1:59" ht="58" x14ac:dyDescent="0.35">
      <c r="A2983" s="2" t="s">
        <v>89</v>
      </c>
      <c r="B2983" s="2" t="s">
        <v>90</v>
      </c>
      <c r="C2983" s="2" t="s">
        <v>28845</v>
      </c>
      <c r="D2983" s="2" t="s">
        <v>28846</v>
      </c>
      <c r="E2983" s="2" t="s">
        <v>28847</v>
      </c>
      <c r="G2983" s="3" t="s">
        <v>62</v>
      </c>
      <c r="I2983" s="3" t="s">
        <v>62</v>
      </c>
      <c r="J2983" s="3" t="s">
        <v>62</v>
      </c>
      <c r="K2983" s="3" t="s">
        <v>63</v>
      </c>
      <c r="L2983" s="2" t="s">
        <v>28848</v>
      </c>
      <c r="M2983" s="2" t="s">
        <v>28849</v>
      </c>
      <c r="N2983" s="3" t="s">
        <v>539</v>
      </c>
      <c r="P2983" s="3" t="s">
        <v>85</v>
      </c>
      <c r="Q2983" s="2" t="s">
        <v>28850</v>
      </c>
      <c r="R2983" s="3" t="s">
        <v>27443</v>
      </c>
      <c r="S2983" s="4">
        <v>8</v>
      </c>
      <c r="T2983" s="4">
        <v>8</v>
      </c>
      <c r="U2983" s="5" t="s">
        <v>22552</v>
      </c>
      <c r="V2983" s="5" t="s">
        <v>22552</v>
      </c>
      <c r="W2983" s="5" t="s">
        <v>67</v>
      </c>
      <c r="X2983" s="5" t="s">
        <v>67</v>
      </c>
      <c r="Y2983" s="4">
        <v>73</v>
      </c>
      <c r="Z2983" s="4">
        <v>9</v>
      </c>
      <c r="AA2983" s="4">
        <v>15</v>
      </c>
      <c r="AB2983" s="4">
        <v>1</v>
      </c>
      <c r="AC2983" s="4">
        <v>6</v>
      </c>
      <c r="AD2983" s="4">
        <v>28</v>
      </c>
      <c r="AE2983" s="4">
        <v>32</v>
      </c>
      <c r="AF2983" s="4">
        <v>0</v>
      </c>
      <c r="AG2983" s="4">
        <v>3</v>
      </c>
      <c r="AH2983" s="4">
        <v>24</v>
      </c>
      <c r="AI2983" s="4">
        <v>26</v>
      </c>
      <c r="AJ2983" s="4">
        <v>5</v>
      </c>
      <c r="AK2983" s="4">
        <v>9</v>
      </c>
      <c r="AL2983" s="4">
        <v>17</v>
      </c>
      <c r="AM2983" s="4">
        <v>17</v>
      </c>
      <c r="AN2983" s="4">
        <v>0</v>
      </c>
      <c r="AO2983" s="4">
        <v>0</v>
      </c>
      <c r="AP2983" s="4">
        <v>6</v>
      </c>
      <c r="AQ2983" s="4">
        <v>9</v>
      </c>
      <c r="AR2983" s="3" t="s">
        <v>62</v>
      </c>
      <c r="AS2983" s="3" t="s">
        <v>62</v>
      </c>
      <c r="AT2983" s="3" t="s">
        <v>62</v>
      </c>
      <c r="AV2983" s="6" t="str">
        <f>HYPERLINK("http://mcgill.on.worldcat.org/oclc/39947928","Catalog Record")</f>
        <v>Catalog Record</v>
      </c>
      <c r="AW2983" s="6" t="str">
        <f>HYPERLINK("http://www.worldcat.org/oclc/39947928","WorldCat Record")</f>
        <v>WorldCat Record</v>
      </c>
      <c r="AX2983" s="3" t="s">
        <v>28851</v>
      </c>
      <c r="AY2983" s="3" t="s">
        <v>28852</v>
      </c>
      <c r="AZ2983" s="3" t="s">
        <v>28853</v>
      </c>
      <c r="BA2983" s="3" t="s">
        <v>28853</v>
      </c>
      <c r="BB2983" s="3" t="s">
        <v>28854</v>
      </c>
      <c r="BC2983" s="3" t="s">
        <v>102</v>
      </c>
      <c r="BD2983" s="3" t="s">
        <v>68</v>
      </c>
      <c r="BE2983" s="3" t="s">
        <v>28855</v>
      </c>
      <c r="BF2983" s="3" t="s">
        <v>28854</v>
      </c>
      <c r="BG2983" s="3" t="s">
        <v>28856</v>
      </c>
    </row>
    <row r="2984" spans="1:59" ht="58" x14ac:dyDescent="0.35">
      <c r="A2984" s="2" t="s">
        <v>89</v>
      </c>
      <c r="B2984" s="2" t="s">
        <v>90</v>
      </c>
      <c r="C2984" s="2" t="s">
        <v>28857</v>
      </c>
      <c r="D2984" s="2" t="s">
        <v>28858</v>
      </c>
      <c r="E2984" s="2" t="s">
        <v>28859</v>
      </c>
      <c r="G2984" s="3" t="s">
        <v>62</v>
      </c>
      <c r="I2984" s="3" t="s">
        <v>61</v>
      </c>
      <c r="J2984" s="3" t="s">
        <v>62</v>
      </c>
      <c r="K2984" s="3" t="s">
        <v>63</v>
      </c>
      <c r="L2984" s="2" t="s">
        <v>26260</v>
      </c>
      <c r="M2984" s="2" t="s">
        <v>9596</v>
      </c>
      <c r="N2984" s="3" t="s">
        <v>95</v>
      </c>
      <c r="P2984" s="3" t="s">
        <v>64</v>
      </c>
      <c r="R2984" s="3" t="s">
        <v>27443</v>
      </c>
      <c r="S2984" s="4">
        <v>7</v>
      </c>
      <c r="T2984" s="4">
        <v>9</v>
      </c>
      <c r="U2984" s="5" t="s">
        <v>16936</v>
      </c>
      <c r="V2984" s="5" t="s">
        <v>16936</v>
      </c>
      <c r="W2984" s="5" t="s">
        <v>67</v>
      </c>
      <c r="X2984" s="5" t="s">
        <v>67</v>
      </c>
      <c r="Y2984" s="4">
        <v>690</v>
      </c>
      <c r="Z2984" s="4">
        <v>40</v>
      </c>
      <c r="AA2984" s="4">
        <v>42</v>
      </c>
      <c r="AB2984" s="4">
        <v>1</v>
      </c>
      <c r="AC2984" s="4">
        <v>2</v>
      </c>
      <c r="AD2984" s="4">
        <v>123</v>
      </c>
      <c r="AE2984" s="4">
        <v>125</v>
      </c>
      <c r="AF2984" s="4">
        <v>0</v>
      </c>
      <c r="AG2984" s="4">
        <v>1</v>
      </c>
      <c r="AH2984" s="4">
        <v>104</v>
      </c>
      <c r="AI2984" s="4">
        <v>104</v>
      </c>
      <c r="AJ2984" s="4">
        <v>20</v>
      </c>
      <c r="AK2984" s="4">
        <v>21</v>
      </c>
      <c r="AL2984" s="4">
        <v>56</v>
      </c>
      <c r="AM2984" s="4">
        <v>56</v>
      </c>
      <c r="AN2984" s="4">
        <v>0</v>
      </c>
      <c r="AO2984" s="4">
        <v>0</v>
      </c>
      <c r="AP2984" s="4">
        <v>25</v>
      </c>
      <c r="AQ2984" s="4">
        <v>26</v>
      </c>
      <c r="AR2984" s="3" t="s">
        <v>62</v>
      </c>
      <c r="AS2984" s="3" t="s">
        <v>62</v>
      </c>
      <c r="AT2984" s="3" t="s">
        <v>62</v>
      </c>
      <c r="AV2984" s="6" t="str">
        <f>HYPERLINK("http://mcgill.on.worldcat.org/oclc/7462820","Catalog Record")</f>
        <v>Catalog Record</v>
      </c>
      <c r="AW2984" s="6" t="str">
        <f>HYPERLINK("http://www.worldcat.org/oclc/7462820","WorldCat Record")</f>
        <v>WorldCat Record</v>
      </c>
      <c r="AX2984" s="3" t="s">
        <v>28860</v>
      </c>
      <c r="AY2984" s="3" t="s">
        <v>28861</v>
      </c>
      <c r="AZ2984" s="3" t="s">
        <v>28862</v>
      </c>
      <c r="BA2984" s="3" t="s">
        <v>28862</v>
      </c>
      <c r="BB2984" s="3" t="s">
        <v>28863</v>
      </c>
      <c r="BC2984" s="3" t="s">
        <v>102</v>
      </c>
      <c r="BD2984" s="3" t="s">
        <v>68</v>
      </c>
      <c r="BE2984" s="3" t="s">
        <v>28864</v>
      </c>
      <c r="BF2984" s="3" t="s">
        <v>28863</v>
      </c>
      <c r="BG2984" s="3" t="s">
        <v>28865</v>
      </c>
    </row>
    <row r="2985" spans="1:59" ht="58" x14ac:dyDescent="0.35">
      <c r="A2985" s="2" t="s">
        <v>89</v>
      </c>
      <c r="B2985" s="2" t="s">
        <v>90</v>
      </c>
      <c r="C2985" s="2" t="s">
        <v>28866</v>
      </c>
      <c r="D2985" s="2" t="s">
        <v>28867</v>
      </c>
      <c r="E2985" s="2" t="s">
        <v>28868</v>
      </c>
      <c r="G2985" s="3" t="s">
        <v>62</v>
      </c>
      <c r="I2985" s="3" t="s">
        <v>61</v>
      </c>
      <c r="J2985" s="3" t="s">
        <v>62</v>
      </c>
      <c r="K2985" s="3" t="s">
        <v>63</v>
      </c>
      <c r="L2985" s="2" t="s">
        <v>28869</v>
      </c>
      <c r="M2985" s="2" t="s">
        <v>28154</v>
      </c>
      <c r="N2985" s="3" t="s">
        <v>2924</v>
      </c>
      <c r="P2985" s="3" t="s">
        <v>64</v>
      </c>
      <c r="Q2985" s="2" t="s">
        <v>28870</v>
      </c>
      <c r="R2985" s="3" t="s">
        <v>27443</v>
      </c>
      <c r="S2985" s="4">
        <v>0</v>
      </c>
      <c r="T2985" s="4">
        <v>11</v>
      </c>
      <c r="V2985" s="5" t="s">
        <v>28871</v>
      </c>
      <c r="W2985" s="5" t="s">
        <v>67</v>
      </c>
      <c r="X2985" s="5" t="s">
        <v>67</v>
      </c>
      <c r="Y2985" s="4">
        <v>321</v>
      </c>
      <c r="Z2985" s="4">
        <v>22</v>
      </c>
      <c r="AA2985" s="4">
        <v>25</v>
      </c>
      <c r="AB2985" s="4">
        <v>1</v>
      </c>
      <c r="AC2985" s="4">
        <v>4</v>
      </c>
      <c r="AD2985" s="4">
        <v>100</v>
      </c>
      <c r="AE2985" s="4">
        <v>103</v>
      </c>
      <c r="AF2985" s="4">
        <v>0</v>
      </c>
      <c r="AG2985" s="4">
        <v>3</v>
      </c>
      <c r="AH2985" s="4">
        <v>89</v>
      </c>
      <c r="AI2985" s="4">
        <v>90</v>
      </c>
      <c r="AJ2985" s="4">
        <v>16</v>
      </c>
      <c r="AK2985" s="4">
        <v>18</v>
      </c>
      <c r="AL2985" s="4">
        <v>51</v>
      </c>
      <c r="AM2985" s="4">
        <v>51</v>
      </c>
      <c r="AN2985" s="4">
        <v>0</v>
      </c>
      <c r="AO2985" s="4">
        <v>0</v>
      </c>
      <c r="AP2985" s="4">
        <v>17</v>
      </c>
      <c r="AQ2985" s="4">
        <v>20</v>
      </c>
      <c r="AR2985" s="3" t="s">
        <v>62</v>
      </c>
      <c r="AS2985" s="3" t="s">
        <v>62</v>
      </c>
      <c r="AT2985" s="3" t="s">
        <v>61</v>
      </c>
      <c r="AU2985" s="6" t="str">
        <f>HYPERLINK("http://catalog.hathitrust.org/Record/001478540","HathiTrust Record")</f>
        <v>HathiTrust Record</v>
      </c>
      <c r="AV2985" s="6" t="str">
        <f>HYPERLINK("http://mcgill.on.worldcat.org/oclc/1214415","Catalog Record")</f>
        <v>Catalog Record</v>
      </c>
      <c r="AW2985" s="6" t="str">
        <f>HYPERLINK("http://www.worldcat.org/oclc/1214415","WorldCat Record")</f>
        <v>WorldCat Record</v>
      </c>
      <c r="AX2985" s="3" t="s">
        <v>28872</v>
      </c>
      <c r="AY2985" s="3" t="s">
        <v>28873</v>
      </c>
      <c r="AZ2985" s="3" t="s">
        <v>28874</v>
      </c>
      <c r="BA2985" s="3" t="s">
        <v>28874</v>
      </c>
      <c r="BB2985" s="3" t="s">
        <v>28875</v>
      </c>
      <c r="BC2985" s="3" t="s">
        <v>102</v>
      </c>
      <c r="BD2985" s="3" t="s">
        <v>68</v>
      </c>
      <c r="BF2985" s="3" t="s">
        <v>28875</v>
      </c>
      <c r="BG2985" s="3" t="s">
        <v>28876</v>
      </c>
    </row>
    <row r="2986" spans="1:59" ht="58" x14ac:dyDescent="0.35">
      <c r="A2986" s="2" t="s">
        <v>89</v>
      </c>
      <c r="B2986" s="2" t="s">
        <v>90</v>
      </c>
      <c r="C2986" s="2" t="s">
        <v>28877</v>
      </c>
      <c r="D2986" s="2" t="s">
        <v>28878</v>
      </c>
      <c r="E2986" s="2" t="s">
        <v>28879</v>
      </c>
      <c r="G2986" s="3" t="s">
        <v>62</v>
      </c>
      <c r="I2986" s="3" t="s">
        <v>61</v>
      </c>
      <c r="J2986" s="3" t="s">
        <v>62</v>
      </c>
      <c r="K2986" s="3" t="s">
        <v>63</v>
      </c>
      <c r="L2986" s="2" t="s">
        <v>28880</v>
      </c>
      <c r="M2986" s="2" t="s">
        <v>28881</v>
      </c>
      <c r="N2986" s="3" t="s">
        <v>2975</v>
      </c>
      <c r="P2986" s="3" t="s">
        <v>64</v>
      </c>
      <c r="Q2986" s="2" t="s">
        <v>9551</v>
      </c>
      <c r="R2986" s="3" t="s">
        <v>27443</v>
      </c>
      <c r="S2986" s="4">
        <v>5</v>
      </c>
      <c r="T2986" s="4">
        <v>6</v>
      </c>
      <c r="U2986" s="5" t="s">
        <v>24434</v>
      </c>
      <c r="V2986" s="5" t="s">
        <v>24434</v>
      </c>
      <c r="W2986" s="5" t="s">
        <v>67</v>
      </c>
      <c r="X2986" s="5" t="s">
        <v>67</v>
      </c>
      <c r="Y2986" s="4">
        <v>308</v>
      </c>
      <c r="Z2986" s="4">
        <v>17</v>
      </c>
      <c r="AA2986" s="4">
        <v>95</v>
      </c>
      <c r="AB2986" s="4">
        <v>2</v>
      </c>
      <c r="AC2986" s="4">
        <v>18</v>
      </c>
      <c r="AD2986" s="4">
        <v>99</v>
      </c>
      <c r="AE2986" s="4">
        <v>137</v>
      </c>
      <c r="AF2986" s="4">
        <v>0</v>
      </c>
      <c r="AG2986" s="4">
        <v>8</v>
      </c>
      <c r="AH2986" s="4">
        <v>88</v>
      </c>
      <c r="AI2986" s="4">
        <v>100</v>
      </c>
      <c r="AJ2986" s="4">
        <v>9</v>
      </c>
      <c r="AK2986" s="4">
        <v>21</v>
      </c>
      <c r="AL2986" s="4">
        <v>51</v>
      </c>
      <c r="AM2986" s="4">
        <v>53</v>
      </c>
      <c r="AN2986" s="4">
        <v>0</v>
      </c>
      <c r="AO2986" s="4">
        <v>0</v>
      </c>
      <c r="AP2986" s="4">
        <v>13</v>
      </c>
      <c r="AQ2986" s="4">
        <v>42</v>
      </c>
      <c r="AR2986" s="3" t="s">
        <v>62</v>
      </c>
      <c r="AS2986" s="3" t="s">
        <v>62</v>
      </c>
      <c r="AT2986" s="3" t="s">
        <v>62</v>
      </c>
      <c r="AV2986" s="6" t="str">
        <f>HYPERLINK("http://mcgill.on.worldcat.org/oclc/44777235","Catalog Record")</f>
        <v>Catalog Record</v>
      </c>
      <c r="AW2986" s="6" t="str">
        <f>HYPERLINK("http://www.worldcat.org/oclc/44777235","WorldCat Record")</f>
        <v>WorldCat Record</v>
      </c>
      <c r="AX2986" s="3" t="s">
        <v>28882</v>
      </c>
      <c r="AY2986" s="3" t="s">
        <v>28883</v>
      </c>
      <c r="AZ2986" s="3" t="s">
        <v>28884</v>
      </c>
      <c r="BA2986" s="3" t="s">
        <v>28884</v>
      </c>
      <c r="BB2986" s="3" t="s">
        <v>28885</v>
      </c>
      <c r="BC2986" s="3" t="s">
        <v>102</v>
      </c>
      <c r="BD2986" s="3" t="s">
        <v>68</v>
      </c>
      <c r="BE2986" s="3" t="s">
        <v>28886</v>
      </c>
      <c r="BF2986" s="3" t="s">
        <v>28885</v>
      </c>
      <c r="BG2986" s="3" t="s">
        <v>28887</v>
      </c>
    </row>
    <row r="2987" spans="1:59" ht="58" x14ac:dyDescent="0.35">
      <c r="A2987" s="2" t="s">
        <v>89</v>
      </c>
      <c r="B2987" s="2" t="s">
        <v>90</v>
      </c>
      <c r="C2987" s="2" t="s">
        <v>28888</v>
      </c>
      <c r="D2987" s="2" t="s">
        <v>28889</v>
      </c>
      <c r="E2987" s="2" t="s">
        <v>28890</v>
      </c>
      <c r="G2987" s="3" t="s">
        <v>62</v>
      </c>
      <c r="I2987" s="3" t="s">
        <v>62</v>
      </c>
      <c r="J2987" s="3" t="s">
        <v>62</v>
      </c>
      <c r="K2987" s="3" t="s">
        <v>63</v>
      </c>
      <c r="M2987" s="2" t="s">
        <v>28891</v>
      </c>
      <c r="N2987" s="3" t="s">
        <v>481</v>
      </c>
      <c r="P2987" s="3" t="s">
        <v>1881</v>
      </c>
      <c r="Q2987" s="2" t="s">
        <v>28892</v>
      </c>
      <c r="R2987" s="3" t="s">
        <v>27443</v>
      </c>
      <c r="S2987" s="4">
        <v>2</v>
      </c>
      <c r="T2987" s="4">
        <v>2</v>
      </c>
      <c r="U2987" s="5" t="s">
        <v>3842</v>
      </c>
      <c r="V2987" s="5" t="s">
        <v>3842</v>
      </c>
      <c r="W2987" s="5" t="s">
        <v>67</v>
      </c>
      <c r="X2987" s="5" t="s">
        <v>67</v>
      </c>
      <c r="Y2987" s="4">
        <v>79</v>
      </c>
      <c r="Z2987" s="4">
        <v>3</v>
      </c>
      <c r="AA2987" s="4">
        <v>3</v>
      </c>
      <c r="AB2987" s="4">
        <v>1</v>
      </c>
      <c r="AC2987" s="4">
        <v>1</v>
      </c>
      <c r="AD2987" s="4">
        <v>40</v>
      </c>
      <c r="AE2987" s="4">
        <v>40</v>
      </c>
      <c r="AF2987" s="4">
        <v>0</v>
      </c>
      <c r="AG2987" s="4">
        <v>0</v>
      </c>
      <c r="AH2987" s="4">
        <v>38</v>
      </c>
      <c r="AI2987" s="4">
        <v>38</v>
      </c>
      <c r="AJ2987" s="4">
        <v>1</v>
      </c>
      <c r="AK2987" s="4">
        <v>1</v>
      </c>
      <c r="AL2987" s="4">
        <v>32</v>
      </c>
      <c r="AM2987" s="4">
        <v>32</v>
      </c>
      <c r="AN2987" s="4">
        <v>1</v>
      </c>
      <c r="AO2987" s="4">
        <v>1</v>
      </c>
      <c r="AP2987" s="4">
        <v>1</v>
      </c>
      <c r="AQ2987" s="4">
        <v>1</v>
      </c>
      <c r="AR2987" s="3" t="s">
        <v>62</v>
      </c>
      <c r="AS2987" s="3" t="s">
        <v>62</v>
      </c>
      <c r="AT2987" s="3" t="s">
        <v>61</v>
      </c>
      <c r="AU2987" s="6" t="str">
        <f>HYPERLINK("http://catalog.hathitrust.org/Record/003241302","HathiTrust Record")</f>
        <v>HathiTrust Record</v>
      </c>
      <c r="AV2987" s="6" t="str">
        <f>HYPERLINK("http://mcgill.on.worldcat.org/oclc/38217271","Catalog Record")</f>
        <v>Catalog Record</v>
      </c>
      <c r="AW2987" s="6" t="str">
        <f>HYPERLINK("http://www.worldcat.org/oclc/38217271","WorldCat Record")</f>
        <v>WorldCat Record</v>
      </c>
      <c r="AX2987" s="3" t="s">
        <v>28893</v>
      </c>
      <c r="AY2987" s="3" t="s">
        <v>28894</v>
      </c>
      <c r="AZ2987" s="3" t="s">
        <v>28895</v>
      </c>
      <c r="BA2987" s="3" t="s">
        <v>28895</v>
      </c>
      <c r="BB2987" s="3" t="s">
        <v>28896</v>
      </c>
      <c r="BC2987" s="3" t="s">
        <v>102</v>
      </c>
      <c r="BD2987" s="3" t="s">
        <v>68</v>
      </c>
      <c r="BE2987" s="3" t="s">
        <v>28897</v>
      </c>
      <c r="BF2987" s="3" t="s">
        <v>28896</v>
      </c>
      <c r="BG2987" s="3" t="s">
        <v>28898</v>
      </c>
    </row>
    <row r="2988" spans="1:59" ht="58" x14ac:dyDescent="0.35">
      <c r="A2988" s="2" t="s">
        <v>89</v>
      </c>
      <c r="B2988" s="2" t="s">
        <v>90</v>
      </c>
      <c r="C2988" s="2" t="s">
        <v>28899</v>
      </c>
      <c r="D2988" s="2" t="s">
        <v>28900</v>
      </c>
      <c r="E2988" s="2" t="s">
        <v>28901</v>
      </c>
      <c r="G2988" s="3" t="s">
        <v>62</v>
      </c>
      <c r="I2988" s="3" t="s">
        <v>62</v>
      </c>
      <c r="J2988" s="3" t="s">
        <v>62</v>
      </c>
      <c r="K2988" s="3" t="s">
        <v>63</v>
      </c>
      <c r="M2988" s="2" t="s">
        <v>5539</v>
      </c>
      <c r="N2988" s="3" t="s">
        <v>3062</v>
      </c>
      <c r="P2988" s="3" t="s">
        <v>64</v>
      </c>
      <c r="R2988" s="3" t="s">
        <v>27443</v>
      </c>
      <c r="S2988" s="4">
        <v>11</v>
      </c>
      <c r="T2988" s="4">
        <v>11</v>
      </c>
      <c r="U2988" s="5" t="s">
        <v>1157</v>
      </c>
      <c r="V2988" s="5" t="s">
        <v>1157</v>
      </c>
      <c r="W2988" s="5" t="s">
        <v>67</v>
      </c>
      <c r="X2988" s="5" t="s">
        <v>67</v>
      </c>
      <c r="Y2988" s="4">
        <v>276</v>
      </c>
      <c r="Z2988" s="4">
        <v>18</v>
      </c>
      <c r="AA2988" s="4">
        <v>22</v>
      </c>
      <c r="AB2988" s="4">
        <v>1</v>
      </c>
      <c r="AC2988" s="4">
        <v>5</v>
      </c>
      <c r="AD2988" s="4">
        <v>90</v>
      </c>
      <c r="AE2988" s="4">
        <v>92</v>
      </c>
      <c r="AF2988" s="4">
        <v>0</v>
      </c>
      <c r="AG2988" s="4">
        <v>2</v>
      </c>
      <c r="AH2988" s="4">
        <v>82</v>
      </c>
      <c r="AI2988" s="4">
        <v>82</v>
      </c>
      <c r="AJ2988" s="4">
        <v>10</v>
      </c>
      <c r="AK2988" s="4">
        <v>12</v>
      </c>
      <c r="AL2988" s="4">
        <v>47</v>
      </c>
      <c r="AM2988" s="4">
        <v>47</v>
      </c>
      <c r="AN2988" s="4">
        <v>0</v>
      </c>
      <c r="AO2988" s="4">
        <v>0</v>
      </c>
      <c r="AP2988" s="4">
        <v>15</v>
      </c>
      <c r="AQ2988" s="4">
        <v>16</v>
      </c>
      <c r="AR2988" s="3" t="s">
        <v>62</v>
      </c>
      <c r="AS2988" s="3" t="s">
        <v>62</v>
      </c>
      <c r="AT2988" s="3" t="s">
        <v>62</v>
      </c>
      <c r="AV2988" s="6" t="str">
        <f>HYPERLINK("http://mcgill.on.worldcat.org/oclc/22451446","Catalog Record")</f>
        <v>Catalog Record</v>
      </c>
      <c r="AW2988" s="6" t="str">
        <f>HYPERLINK("http://www.worldcat.org/oclc/22451446","WorldCat Record")</f>
        <v>WorldCat Record</v>
      </c>
      <c r="AX2988" s="3" t="s">
        <v>28902</v>
      </c>
      <c r="AY2988" s="3" t="s">
        <v>28903</v>
      </c>
      <c r="AZ2988" s="3" t="s">
        <v>28904</v>
      </c>
      <c r="BA2988" s="3" t="s">
        <v>28904</v>
      </c>
      <c r="BB2988" s="3" t="s">
        <v>28905</v>
      </c>
      <c r="BC2988" s="3" t="s">
        <v>102</v>
      </c>
      <c r="BD2988" s="3" t="s">
        <v>68</v>
      </c>
      <c r="BE2988" s="3" t="s">
        <v>28906</v>
      </c>
      <c r="BF2988" s="3" t="s">
        <v>28905</v>
      </c>
      <c r="BG2988" s="3" t="s">
        <v>28907</v>
      </c>
    </row>
    <row r="2989" spans="1:59" ht="72.5" x14ac:dyDescent="0.35">
      <c r="A2989" s="2" t="s">
        <v>89</v>
      </c>
      <c r="B2989" s="2" t="s">
        <v>90</v>
      </c>
      <c r="C2989" s="2" t="s">
        <v>28908</v>
      </c>
      <c r="D2989" s="2" t="s">
        <v>28909</v>
      </c>
      <c r="E2989" s="2" t="s">
        <v>28910</v>
      </c>
      <c r="G2989" s="3" t="s">
        <v>62</v>
      </c>
      <c r="I2989" s="3" t="s">
        <v>61</v>
      </c>
      <c r="J2989" s="3" t="s">
        <v>61</v>
      </c>
      <c r="K2989" s="3" t="s">
        <v>63</v>
      </c>
      <c r="L2989" s="2" t="s">
        <v>28911</v>
      </c>
      <c r="M2989" s="2" t="s">
        <v>28912</v>
      </c>
      <c r="N2989" s="3" t="s">
        <v>396</v>
      </c>
      <c r="P2989" s="3" t="s">
        <v>64</v>
      </c>
      <c r="R2989" s="3" t="s">
        <v>27443</v>
      </c>
      <c r="S2989" s="4">
        <v>3</v>
      </c>
      <c r="T2989" s="4">
        <v>99</v>
      </c>
      <c r="U2989" s="5" t="s">
        <v>8419</v>
      </c>
      <c r="V2989" s="5" t="s">
        <v>4783</v>
      </c>
      <c r="W2989" s="5" t="s">
        <v>67</v>
      </c>
      <c r="X2989" s="5" t="s">
        <v>67</v>
      </c>
      <c r="Y2989" s="4">
        <v>561</v>
      </c>
      <c r="Z2989" s="4">
        <v>34</v>
      </c>
      <c r="AA2989" s="4">
        <v>63</v>
      </c>
      <c r="AB2989" s="4">
        <v>2</v>
      </c>
      <c r="AC2989" s="4">
        <v>9</v>
      </c>
      <c r="AD2989" s="4">
        <v>126</v>
      </c>
      <c r="AE2989" s="4">
        <v>144</v>
      </c>
      <c r="AF2989" s="4">
        <v>1</v>
      </c>
      <c r="AG2989" s="4">
        <v>3</v>
      </c>
      <c r="AH2989" s="4">
        <v>103</v>
      </c>
      <c r="AI2989" s="4">
        <v>112</v>
      </c>
      <c r="AJ2989" s="4">
        <v>20</v>
      </c>
      <c r="AK2989" s="4">
        <v>24</v>
      </c>
      <c r="AL2989" s="4">
        <v>59</v>
      </c>
      <c r="AM2989" s="4">
        <v>60</v>
      </c>
      <c r="AN2989" s="4">
        <v>0</v>
      </c>
      <c r="AO2989" s="4">
        <v>0</v>
      </c>
      <c r="AP2989" s="4">
        <v>29</v>
      </c>
      <c r="AQ2989" s="4">
        <v>40</v>
      </c>
      <c r="AR2989" s="3" t="s">
        <v>62</v>
      </c>
      <c r="AS2989" s="3" t="s">
        <v>62</v>
      </c>
      <c r="AT2989" s="3" t="s">
        <v>62</v>
      </c>
      <c r="AV2989" s="6" t="str">
        <f>HYPERLINK("http://mcgill.on.worldcat.org/oclc/12078908","Catalog Record")</f>
        <v>Catalog Record</v>
      </c>
      <c r="AW2989" s="6" t="str">
        <f>HYPERLINK("http://www.worldcat.org/oclc/12078908","WorldCat Record")</f>
        <v>WorldCat Record</v>
      </c>
      <c r="AX2989" s="3" t="s">
        <v>28913</v>
      </c>
      <c r="AY2989" s="3" t="s">
        <v>28914</v>
      </c>
      <c r="AZ2989" s="3" t="s">
        <v>28915</v>
      </c>
      <c r="BA2989" s="3" t="s">
        <v>28915</v>
      </c>
      <c r="BB2989" s="3" t="s">
        <v>28916</v>
      </c>
      <c r="BC2989" s="3" t="s">
        <v>102</v>
      </c>
      <c r="BD2989" s="3" t="s">
        <v>68</v>
      </c>
      <c r="BE2989" s="3" t="s">
        <v>28917</v>
      </c>
      <c r="BF2989" s="3" t="s">
        <v>28916</v>
      </c>
      <c r="BG2989" s="3" t="s">
        <v>28918</v>
      </c>
    </row>
    <row r="2990" spans="1:59" ht="101.5" x14ac:dyDescent="0.35">
      <c r="A2990" s="2" t="s">
        <v>89</v>
      </c>
      <c r="B2990" s="2" t="s">
        <v>90</v>
      </c>
      <c r="C2990" s="2" t="s">
        <v>28919</v>
      </c>
      <c r="D2990" s="2" t="s">
        <v>28920</v>
      </c>
      <c r="E2990" s="2" t="s">
        <v>28910</v>
      </c>
      <c r="G2990" s="3" t="s">
        <v>62</v>
      </c>
      <c r="I2990" s="3" t="s">
        <v>62</v>
      </c>
      <c r="J2990" s="3" t="s">
        <v>61</v>
      </c>
      <c r="K2990" s="3" t="s">
        <v>63</v>
      </c>
      <c r="L2990" s="2" t="s">
        <v>9606</v>
      </c>
      <c r="M2990" s="2" t="s">
        <v>28921</v>
      </c>
      <c r="N2990" s="3" t="s">
        <v>115</v>
      </c>
      <c r="O2990" s="2" t="s">
        <v>28922</v>
      </c>
      <c r="P2990" s="3" t="s">
        <v>64</v>
      </c>
      <c r="R2990" s="3" t="s">
        <v>27443</v>
      </c>
      <c r="S2990" s="4">
        <v>13</v>
      </c>
      <c r="T2990" s="4">
        <v>13</v>
      </c>
      <c r="U2990" s="5" t="s">
        <v>16047</v>
      </c>
      <c r="V2990" s="5" t="s">
        <v>16047</v>
      </c>
      <c r="W2990" s="5" t="s">
        <v>67</v>
      </c>
      <c r="X2990" s="5" t="s">
        <v>67</v>
      </c>
      <c r="Y2990" s="4">
        <v>135</v>
      </c>
      <c r="Z2990" s="4">
        <v>8</v>
      </c>
      <c r="AA2990" s="4">
        <v>63</v>
      </c>
      <c r="AB2990" s="4">
        <v>1</v>
      </c>
      <c r="AC2990" s="4">
        <v>9</v>
      </c>
      <c r="AD2990" s="4">
        <v>20</v>
      </c>
      <c r="AE2990" s="4">
        <v>144</v>
      </c>
      <c r="AF2990" s="4">
        <v>0</v>
      </c>
      <c r="AG2990" s="4">
        <v>3</v>
      </c>
      <c r="AH2990" s="4">
        <v>19</v>
      </c>
      <c r="AI2990" s="4">
        <v>112</v>
      </c>
      <c r="AJ2990" s="4">
        <v>1</v>
      </c>
      <c r="AK2990" s="4">
        <v>24</v>
      </c>
      <c r="AL2990" s="4">
        <v>10</v>
      </c>
      <c r="AM2990" s="4">
        <v>60</v>
      </c>
      <c r="AN2990" s="4">
        <v>0</v>
      </c>
      <c r="AO2990" s="4">
        <v>0</v>
      </c>
      <c r="AP2990" s="4">
        <v>3</v>
      </c>
      <c r="AQ2990" s="4">
        <v>40</v>
      </c>
      <c r="AR2990" s="3" t="s">
        <v>62</v>
      </c>
      <c r="AS2990" s="3" t="s">
        <v>62</v>
      </c>
      <c r="AT2990" s="3" t="s">
        <v>62</v>
      </c>
      <c r="AV2990" s="6" t="str">
        <f>HYPERLINK("http://mcgill.on.worldcat.org/oclc/21625035","Catalog Record")</f>
        <v>Catalog Record</v>
      </c>
      <c r="AW2990" s="6" t="str">
        <f>HYPERLINK("http://www.worldcat.org/oclc/21625035","WorldCat Record")</f>
        <v>WorldCat Record</v>
      </c>
      <c r="AX2990" s="3" t="s">
        <v>28913</v>
      </c>
      <c r="AY2990" s="3" t="s">
        <v>28923</v>
      </c>
      <c r="AZ2990" s="3" t="s">
        <v>28924</v>
      </c>
      <c r="BA2990" s="3" t="s">
        <v>28924</v>
      </c>
      <c r="BB2990" s="3" t="s">
        <v>28925</v>
      </c>
      <c r="BC2990" s="3" t="s">
        <v>102</v>
      </c>
      <c r="BD2990" s="3" t="s">
        <v>68</v>
      </c>
      <c r="BE2990" s="3" t="s">
        <v>28926</v>
      </c>
      <c r="BF2990" s="3" t="s">
        <v>28925</v>
      </c>
      <c r="BG2990" s="3" t="s">
        <v>28927</v>
      </c>
    </row>
    <row r="2991" spans="1:59" ht="58" x14ac:dyDescent="0.35">
      <c r="A2991" s="2" t="s">
        <v>59</v>
      </c>
      <c r="B2991" s="2" t="s">
        <v>60</v>
      </c>
      <c r="C2991" s="2" t="s">
        <v>28928</v>
      </c>
      <c r="D2991" s="2" t="s">
        <v>28929</v>
      </c>
      <c r="E2991" s="2" t="s">
        <v>28930</v>
      </c>
      <c r="G2991" s="3" t="s">
        <v>62</v>
      </c>
      <c r="I2991" s="3" t="s">
        <v>61</v>
      </c>
      <c r="J2991" s="3" t="s">
        <v>62</v>
      </c>
      <c r="K2991" s="3" t="s">
        <v>63</v>
      </c>
      <c r="L2991" s="2" t="s">
        <v>28931</v>
      </c>
      <c r="M2991" s="2" t="s">
        <v>28932</v>
      </c>
      <c r="N2991" s="3" t="s">
        <v>838</v>
      </c>
      <c r="P2991" s="3" t="s">
        <v>64</v>
      </c>
      <c r="Q2991" s="2" t="s">
        <v>28933</v>
      </c>
      <c r="R2991" s="3" t="s">
        <v>27443</v>
      </c>
      <c r="S2991" s="4">
        <v>0</v>
      </c>
      <c r="T2991" s="4">
        <v>16</v>
      </c>
      <c r="V2991" s="5" t="s">
        <v>28934</v>
      </c>
      <c r="W2991" s="5" t="s">
        <v>67</v>
      </c>
      <c r="X2991" s="5" t="s">
        <v>67</v>
      </c>
      <c r="Y2991" s="4">
        <v>521</v>
      </c>
      <c r="Z2991" s="4">
        <v>32</v>
      </c>
      <c r="AA2991" s="4">
        <v>40</v>
      </c>
      <c r="AB2991" s="4">
        <v>4</v>
      </c>
      <c r="AC2991" s="4">
        <v>8</v>
      </c>
      <c r="AD2991" s="4">
        <v>110</v>
      </c>
      <c r="AE2991" s="4">
        <v>117</v>
      </c>
      <c r="AF2991" s="4">
        <v>1</v>
      </c>
      <c r="AG2991" s="4">
        <v>5</v>
      </c>
      <c r="AH2991" s="4">
        <v>94</v>
      </c>
      <c r="AI2991" s="4">
        <v>95</v>
      </c>
      <c r="AJ2991" s="4">
        <v>18</v>
      </c>
      <c r="AK2991" s="4">
        <v>21</v>
      </c>
      <c r="AL2991" s="4">
        <v>54</v>
      </c>
      <c r="AM2991" s="4">
        <v>54</v>
      </c>
      <c r="AN2991" s="4">
        <v>0</v>
      </c>
      <c r="AO2991" s="4">
        <v>0</v>
      </c>
      <c r="AP2991" s="4">
        <v>22</v>
      </c>
      <c r="AQ2991" s="4">
        <v>29</v>
      </c>
      <c r="AR2991" s="3" t="s">
        <v>62</v>
      </c>
      <c r="AS2991" s="3" t="s">
        <v>62</v>
      </c>
      <c r="AT2991" s="3" t="s">
        <v>61</v>
      </c>
      <c r="AU2991" s="6" t="str">
        <f>HYPERLINK("http://catalog.hathitrust.org/Record/001478619","HathiTrust Record")</f>
        <v>HathiTrust Record</v>
      </c>
      <c r="AV2991" s="6" t="str">
        <f>HYPERLINK("http://mcgill.on.worldcat.org/oclc/283775","Catalog Record")</f>
        <v>Catalog Record</v>
      </c>
      <c r="AW2991" s="6" t="str">
        <f>HYPERLINK("http://www.worldcat.org/oclc/283775","WorldCat Record")</f>
        <v>WorldCat Record</v>
      </c>
      <c r="AX2991" s="3" t="s">
        <v>28935</v>
      </c>
      <c r="AY2991" s="3" t="s">
        <v>28936</v>
      </c>
      <c r="AZ2991" s="3" t="s">
        <v>28937</v>
      </c>
      <c r="BA2991" s="3" t="s">
        <v>28937</v>
      </c>
      <c r="BB2991" s="3" t="s">
        <v>28938</v>
      </c>
      <c r="BC2991" s="3" t="s">
        <v>102</v>
      </c>
      <c r="BD2991" s="3" t="s">
        <v>68</v>
      </c>
      <c r="BE2991" s="3" t="s">
        <v>28939</v>
      </c>
      <c r="BF2991" s="3" t="s">
        <v>28938</v>
      </c>
      <c r="BG2991" s="3" t="s">
        <v>28940</v>
      </c>
    </row>
    <row r="2992" spans="1:59" ht="58" x14ac:dyDescent="0.35">
      <c r="A2992" s="2" t="s">
        <v>89</v>
      </c>
      <c r="B2992" s="2" t="s">
        <v>90</v>
      </c>
      <c r="C2992" s="2" t="s">
        <v>28941</v>
      </c>
      <c r="D2992" s="2" t="s">
        <v>28942</v>
      </c>
      <c r="E2992" s="2" t="s">
        <v>28943</v>
      </c>
      <c r="G2992" s="3" t="s">
        <v>62</v>
      </c>
      <c r="I2992" s="3" t="s">
        <v>61</v>
      </c>
      <c r="J2992" s="3" t="s">
        <v>61</v>
      </c>
      <c r="K2992" s="3" t="s">
        <v>63</v>
      </c>
      <c r="L2992" s="2" t="s">
        <v>6057</v>
      </c>
      <c r="M2992" s="2" t="s">
        <v>28944</v>
      </c>
      <c r="N2992" s="3" t="s">
        <v>2924</v>
      </c>
      <c r="O2992" s="2" t="s">
        <v>8350</v>
      </c>
      <c r="P2992" s="3" t="s">
        <v>64</v>
      </c>
      <c r="R2992" s="3" t="s">
        <v>27443</v>
      </c>
      <c r="S2992" s="4">
        <v>3</v>
      </c>
      <c r="T2992" s="4">
        <v>3</v>
      </c>
      <c r="U2992" s="5" t="s">
        <v>16604</v>
      </c>
      <c r="V2992" s="5" t="s">
        <v>16604</v>
      </c>
      <c r="W2992" s="5" t="s">
        <v>67</v>
      </c>
      <c r="X2992" s="5" t="s">
        <v>67</v>
      </c>
      <c r="Y2992" s="4">
        <v>702</v>
      </c>
      <c r="Z2992" s="4">
        <v>33</v>
      </c>
      <c r="AA2992" s="4">
        <v>47</v>
      </c>
      <c r="AB2992" s="4">
        <v>3</v>
      </c>
      <c r="AC2992" s="4">
        <v>4</v>
      </c>
      <c r="AD2992" s="4">
        <v>99</v>
      </c>
      <c r="AE2992" s="4">
        <v>128</v>
      </c>
      <c r="AF2992" s="4">
        <v>1</v>
      </c>
      <c r="AG2992" s="4">
        <v>2</v>
      </c>
      <c r="AH2992" s="4">
        <v>82</v>
      </c>
      <c r="AI2992" s="4">
        <v>104</v>
      </c>
      <c r="AJ2992" s="4">
        <v>19</v>
      </c>
      <c r="AK2992" s="4">
        <v>23</v>
      </c>
      <c r="AL2992" s="4">
        <v>50</v>
      </c>
      <c r="AM2992" s="4">
        <v>57</v>
      </c>
      <c r="AN2992" s="4">
        <v>0</v>
      </c>
      <c r="AO2992" s="4">
        <v>0</v>
      </c>
      <c r="AP2992" s="4">
        <v>21</v>
      </c>
      <c r="AQ2992" s="4">
        <v>31</v>
      </c>
      <c r="AR2992" s="3" t="s">
        <v>62</v>
      </c>
      <c r="AS2992" s="3" t="s">
        <v>62</v>
      </c>
      <c r="AT2992" s="3" t="s">
        <v>61</v>
      </c>
      <c r="AU2992" s="6" t="str">
        <f>HYPERLINK("http://catalog.hathitrust.org/Record/001478622","HathiTrust Record")</f>
        <v>HathiTrust Record</v>
      </c>
      <c r="AV2992" s="6" t="str">
        <f>HYPERLINK("http://mcgill.on.worldcat.org/oclc/531739","Catalog Record")</f>
        <v>Catalog Record</v>
      </c>
      <c r="AW2992" s="6" t="str">
        <f>HYPERLINK("http://www.worldcat.org/oclc/531739","WorldCat Record")</f>
        <v>WorldCat Record</v>
      </c>
      <c r="AX2992" s="3" t="s">
        <v>28945</v>
      </c>
      <c r="AY2992" s="3" t="s">
        <v>28946</v>
      </c>
      <c r="AZ2992" s="3" t="s">
        <v>28947</v>
      </c>
      <c r="BA2992" s="3" t="s">
        <v>28947</v>
      </c>
      <c r="BB2992" s="3" t="s">
        <v>28948</v>
      </c>
      <c r="BC2992" s="3" t="s">
        <v>102</v>
      </c>
      <c r="BD2992" s="3" t="s">
        <v>68</v>
      </c>
      <c r="BF2992" s="3" t="s">
        <v>28948</v>
      </c>
      <c r="BG2992" s="3" t="s">
        <v>28949</v>
      </c>
    </row>
    <row r="2993" spans="1:59" ht="58" x14ac:dyDescent="0.35">
      <c r="A2993" s="2" t="s">
        <v>89</v>
      </c>
      <c r="B2993" s="2" t="s">
        <v>90</v>
      </c>
      <c r="C2993" s="2" t="s">
        <v>28950</v>
      </c>
      <c r="D2993" s="2" t="s">
        <v>28951</v>
      </c>
      <c r="E2993" s="2" t="s">
        <v>28952</v>
      </c>
      <c r="G2993" s="3" t="s">
        <v>62</v>
      </c>
      <c r="I2993" s="3" t="s">
        <v>62</v>
      </c>
      <c r="J2993" s="3" t="s">
        <v>62</v>
      </c>
      <c r="K2993" s="3" t="s">
        <v>63</v>
      </c>
      <c r="L2993" s="2" t="s">
        <v>28953</v>
      </c>
      <c r="M2993" s="2" t="s">
        <v>28954</v>
      </c>
      <c r="N2993" s="3" t="s">
        <v>5251</v>
      </c>
      <c r="P2993" s="3" t="s">
        <v>64</v>
      </c>
      <c r="R2993" s="3" t="s">
        <v>27443</v>
      </c>
      <c r="S2993" s="4">
        <v>1</v>
      </c>
      <c r="T2993" s="4">
        <v>1</v>
      </c>
      <c r="U2993" s="5" t="s">
        <v>19689</v>
      </c>
      <c r="V2993" s="5" t="s">
        <v>19689</v>
      </c>
      <c r="W2993" s="5" t="s">
        <v>67</v>
      </c>
      <c r="X2993" s="5" t="s">
        <v>67</v>
      </c>
      <c r="Y2993" s="4">
        <v>87</v>
      </c>
      <c r="Z2993" s="4">
        <v>7</v>
      </c>
      <c r="AA2993" s="4">
        <v>22</v>
      </c>
      <c r="AB2993" s="4">
        <v>1</v>
      </c>
      <c r="AC2993" s="4">
        <v>2</v>
      </c>
      <c r="AD2993" s="4">
        <v>43</v>
      </c>
      <c r="AE2993" s="4">
        <v>50</v>
      </c>
      <c r="AF2993" s="4">
        <v>0</v>
      </c>
      <c r="AG2993" s="4">
        <v>0</v>
      </c>
      <c r="AH2993" s="4">
        <v>42</v>
      </c>
      <c r="AI2993" s="4">
        <v>44</v>
      </c>
      <c r="AJ2993" s="4">
        <v>5</v>
      </c>
      <c r="AK2993" s="4">
        <v>8</v>
      </c>
      <c r="AL2993" s="4">
        <v>29</v>
      </c>
      <c r="AM2993" s="4">
        <v>29</v>
      </c>
      <c r="AN2993" s="4">
        <v>0</v>
      </c>
      <c r="AO2993" s="4">
        <v>0</v>
      </c>
      <c r="AP2993" s="4">
        <v>5</v>
      </c>
      <c r="AQ2993" s="4">
        <v>12</v>
      </c>
      <c r="AR2993" s="3" t="s">
        <v>62</v>
      </c>
      <c r="AS2993" s="3" t="s">
        <v>61</v>
      </c>
      <c r="AT2993" s="3" t="s">
        <v>62</v>
      </c>
      <c r="AU2993" s="6" t="str">
        <f>HYPERLINK("http://catalog.hathitrust.org/Record/001478713","HathiTrust Record")</f>
        <v>HathiTrust Record</v>
      </c>
      <c r="AV2993" s="6" t="str">
        <f>HYPERLINK("http://mcgill.on.worldcat.org/oclc/2329988","Catalog Record")</f>
        <v>Catalog Record</v>
      </c>
      <c r="AW2993" s="6" t="str">
        <f>HYPERLINK("http://www.worldcat.org/oclc/2329988","WorldCat Record")</f>
        <v>WorldCat Record</v>
      </c>
      <c r="AX2993" s="3" t="s">
        <v>28955</v>
      </c>
      <c r="AY2993" s="3" t="s">
        <v>28956</v>
      </c>
      <c r="AZ2993" s="3" t="s">
        <v>28957</v>
      </c>
      <c r="BA2993" s="3" t="s">
        <v>28957</v>
      </c>
      <c r="BB2993" s="3" t="s">
        <v>28958</v>
      </c>
      <c r="BC2993" s="3" t="s">
        <v>102</v>
      </c>
      <c r="BD2993" s="3" t="s">
        <v>68</v>
      </c>
      <c r="BF2993" s="3" t="s">
        <v>28958</v>
      </c>
      <c r="BG2993" s="3" t="s">
        <v>28959</v>
      </c>
    </row>
    <row r="2994" spans="1:59" ht="58" x14ac:dyDescent="0.35">
      <c r="A2994" s="2" t="s">
        <v>89</v>
      </c>
      <c r="B2994" s="2" t="s">
        <v>90</v>
      </c>
      <c r="C2994" s="2" t="s">
        <v>28960</v>
      </c>
      <c r="D2994" s="2" t="s">
        <v>28961</v>
      </c>
      <c r="E2994" s="2" t="s">
        <v>28962</v>
      </c>
      <c r="G2994" s="3" t="s">
        <v>62</v>
      </c>
      <c r="I2994" s="3" t="s">
        <v>61</v>
      </c>
      <c r="J2994" s="3" t="s">
        <v>62</v>
      </c>
      <c r="K2994" s="3" t="s">
        <v>63</v>
      </c>
      <c r="L2994" s="2" t="s">
        <v>28963</v>
      </c>
      <c r="M2994" s="2" t="s">
        <v>28964</v>
      </c>
      <c r="N2994" s="3" t="s">
        <v>1064</v>
      </c>
      <c r="P2994" s="3" t="s">
        <v>64</v>
      </c>
      <c r="R2994" s="3" t="s">
        <v>27443</v>
      </c>
      <c r="S2994" s="4">
        <v>2</v>
      </c>
      <c r="T2994" s="4">
        <v>2</v>
      </c>
      <c r="U2994" s="5" t="s">
        <v>22966</v>
      </c>
      <c r="V2994" s="5" t="s">
        <v>22966</v>
      </c>
      <c r="W2994" s="5" t="s">
        <v>67</v>
      </c>
      <c r="X2994" s="5" t="s">
        <v>67</v>
      </c>
      <c r="Y2994" s="4">
        <v>290</v>
      </c>
      <c r="Z2994" s="4">
        <v>30</v>
      </c>
      <c r="AA2994" s="4">
        <v>32</v>
      </c>
      <c r="AB2994" s="4">
        <v>3</v>
      </c>
      <c r="AC2994" s="4">
        <v>4</v>
      </c>
      <c r="AD2994" s="4">
        <v>70</v>
      </c>
      <c r="AE2994" s="4">
        <v>87</v>
      </c>
      <c r="AF2994" s="4">
        <v>2</v>
      </c>
      <c r="AG2994" s="4">
        <v>3</v>
      </c>
      <c r="AH2994" s="4">
        <v>53</v>
      </c>
      <c r="AI2994" s="4">
        <v>69</v>
      </c>
      <c r="AJ2994" s="4">
        <v>13</v>
      </c>
      <c r="AK2994" s="4">
        <v>14</v>
      </c>
      <c r="AL2994" s="4">
        <v>27</v>
      </c>
      <c r="AM2994" s="4">
        <v>37</v>
      </c>
      <c r="AN2994" s="4">
        <v>0</v>
      </c>
      <c r="AO2994" s="4">
        <v>0</v>
      </c>
      <c r="AP2994" s="4">
        <v>23</v>
      </c>
      <c r="AQ2994" s="4">
        <v>25</v>
      </c>
      <c r="AR2994" s="3" t="s">
        <v>62</v>
      </c>
      <c r="AS2994" s="3" t="s">
        <v>62</v>
      </c>
      <c r="AT2994" s="3" t="s">
        <v>61</v>
      </c>
      <c r="AU2994" s="6" t="str">
        <f>HYPERLINK("http://catalog.hathitrust.org/Record/001987779","HathiTrust Record")</f>
        <v>HathiTrust Record</v>
      </c>
      <c r="AV2994" s="6" t="str">
        <f>HYPERLINK("http://mcgill.on.worldcat.org/oclc/152655","Catalog Record")</f>
        <v>Catalog Record</v>
      </c>
      <c r="AW2994" s="6" t="str">
        <f>HYPERLINK("http://www.worldcat.org/oclc/152655","WorldCat Record")</f>
        <v>WorldCat Record</v>
      </c>
      <c r="AX2994" s="3" t="s">
        <v>28965</v>
      </c>
      <c r="AY2994" s="3" t="s">
        <v>28966</v>
      </c>
      <c r="AZ2994" s="3" t="s">
        <v>28967</v>
      </c>
      <c r="BA2994" s="3" t="s">
        <v>28967</v>
      </c>
      <c r="BB2994" s="3" t="s">
        <v>28968</v>
      </c>
      <c r="BC2994" s="3" t="s">
        <v>102</v>
      </c>
      <c r="BD2994" s="3" t="s">
        <v>68</v>
      </c>
      <c r="BE2994" s="3" t="s">
        <v>28969</v>
      </c>
      <c r="BF2994" s="3" t="s">
        <v>28968</v>
      </c>
      <c r="BG2994" s="3" t="s">
        <v>28970</v>
      </c>
    </row>
    <row r="2995" spans="1:59" ht="58" x14ac:dyDescent="0.35">
      <c r="A2995" s="2" t="s">
        <v>89</v>
      </c>
      <c r="B2995" s="2" t="s">
        <v>90</v>
      </c>
      <c r="C2995" s="2" t="s">
        <v>28971</v>
      </c>
      <c r="D2995" s="2" t="s">
        <v>28972</v>
      </c>
      <c r="E2995" s="2" t="s">
        <v>28973</v>
      </c>
      <c r="G2995" s="3" t="s">
        <v>62</v>
      </c>
      <c r="I2995" s="3" t="s">
        <v>61</v>
      </c>
      <c r="J2995" s="3" t="s">
        <v>62</v>
      </c>
      <c r="K2995" s="3" t="s">
        <v>63</v>
      </c>
      <c r="L2995" s="2" t="s">
        <v>27641</v>
      </c>
      <c r="M2995" s="2" t="s">
        <v>28974</v>
      </c>
      <c r="N2995" s="3" t="s">
        <v>838</v>
      </c>
      <c r="P2995" s="3" t="s">
        <v>64</v>
      </c>
      <c r="Q2995" s="2" t="s">
        <v>28975</v>
      </c>
      <c r="R2995" s="3" t="s">
        <v>27443</v>
      </c>
      <c r="S2995" s="4">
        <v>4</v>
      </c>
      <c r="T2995" s="4">
        <v>8</v>
      </c>
      <c r="U2995" s="5" t="s">
        <v>28976</v>
      </c>
      <c r="V2995" s="5" t="s">
        <v>9346</v>
      </c>
      <c r="W2995" s="5" t="s">
        <v>67</v>
      </c>
      <c r="X2995" s="5" t="s">
        <v>67</v>
      </c>
      <c r="Y2995" s="4">
        <v>93</v>
      </c>
      <c r="Z2995" s="4">
        <v>13</v>
      </c>
      <c r="AA2995" s="4">
        <v>48</v>
      </c>
      <c r="AB2995" s="4">
        <v>1</v>
      </c>
      <c r="AC2995" s="4">
        <v>6</v>
      </c>
      <c r="AD2995" s="4">
        <v>21</v>
      </c>
      <c r="AE2995" s="4">
        <v>125</v>
      </c>
      <c r="AF2995" s="4">
        <v>0</v>
      </c>
      <c r="AG2995" s="4">
        <v>4</v>
      </c>
      <c r="AH2995" s="4">
        <v>15</v>
      </c>
      <c r="AI2995" s="4">
        <v>94</v>
      </c>
      <c r="AJ2995" s="4">
        <v>7</v>
      </c>
      <c r="AK2995" s="4">
        <v>25</v>
      </c>
      <c r="AL2995" s="4">
        <v>9</v>
      </c>
      <c r="AM2995" s="4">
        <v>54</v>
      </c>
      <c r="AN2995" s="4">
        <v>5</v>
      </c>
      <c r="AO2995" s="4">
        <v>5</v>
      </c>
      <c r="AP2995" s="4">
        <v>9</v>
      </c>
      <c r="AQ2995" s="4">
        <v>38</v>
      </c>
      <c r="AR2995" s="3" t="s">
        <v>62</v>
      </c>
      <c r="AS2995" s="3" t="s">
        <v>62</v>
      </c>
      <c r="AT2995" s="3" t="s">
        <v>61</v>
      </c>
      <c r="AU2995" s="6" t="str">
        <f>HYPERLINK("http://catalog.hathitrust.org/Record/102034671","HathiTrust Record")</f>
        <v>HathiTrust Record</v>
      </c>
      <c r="AV2995" s="6" t="str">
        <f>HYPERLINK("http://mcgill.on.worldcat.org/oclc/2591655","Catalog Record")</f>
        <v>Catalog Record</v>
      </c>
      <c r="AW2995" s="6" t="str">
        <f>HYPERLINK("http://www.worldcat.org/oclc/2591655","WorldCat Record")</f>
        <v>WorldCat Record</v>
      </c>
      <c r="AX2995" s="3" t="s">
        <v>28977</v>
      </c>
      <c r="AY2995" s="3" t="s">
        <v>28978</v>
      </c>
      <c r="AZ2995" s="3" t="s">
        <v>28979</v>
      </c>
      <c r="BA2995" s="3" t="s">
        <v>28979</v>
      </c>
      <c r="BB2995" s="3" t="s">
        <v>28980</v>
      </c>
      <c r="BC2995" s="3" t="s">
        <v>102</v>
      </c>
      <c r="BD2995" s="3" t="s">
        <v>68</v>
      </c>
      <c r="BF2995" s="3" t="s">
        <v>28980</v>
      </c>
      <c r="BG2995" s="3" t="s">
        <v>28981</v>
      </c>
    </row>
    <row r="2996" spans="1:59" ht="58" x14ac:dyDescent="0.35">
      <c r="A2996" s="2" t="s">
        <v>89</v>
      </c>
      <c r="B2996" s="2" t="s">
        <v>90</v>
      </c>
      <c r="C2996" s="2" t="s">
        <v>28982</v>
      </c>
      <c r="D2996" s="2" t="s">
        <v>28983</v>
      </c>
      <c r="E2996" s="2" t="s">
        <v>28984</v>
      </c>
      <c r="G2996" s="3" t="s">
        <v>62</v>
      </c>
      <c r="I2996" s="3" t="s">
        <v>61</v>
      </c>
      <c r="J2996" s="3" t="s">
        <v>62</v>
      </c>
      <c r="K2996" s="3" t="s">
        <v>63</v>
      </c>
      <c r="L2996" s="2" t="s">
        <v>28985</v>
      </c>
      <c r="M2996" s="2" t="s">
        <v>28986</v>
      </c>
      <c r="N2996" s="3" t="s">
        <v>2702</v>
      </c>
      <c r="P2996" s="3" t="s">
        <v>64</v>
      </c>
      <c r="Q2996" s="2" t="s">
        <v>28987</v>
      </c>
      <c r="R2996" s="3" t="s">
        <v>27443</v>
      </c>
      <c r="S2996" s="4">
        <v>4</v>
      </c>
      <c r="T2996" s="4">
        <v>9</v>
      </c>
      <c r="U2996" s="5" t="s">
        <v>28988</v>
      </c>
      <c r="V2996" s="5" t="s">
        <v>4363</v>
      </c>
      <c r="W2996" s="5" t="s">
        <v>67</v>
      </c>
      <c r="X2996" s="5" t="s">
        <v>67</v>
      </c>
      <c r="Y2996" s="4">
        <v>409</v>
      </c>
      <c r="Z2996" s="4">
        <v>23</v>
      </c>
      <c r="AA2996" s="4">
        <v>41</v>
      </c>
      <c r="AB2996" s="4">
        <v>1</v>
      </c>
      <c r="AC2996" s="4">
        <v>3</v>
      </c>
      <c r="AD2996" s="4">
        <v>96</v>
      </c>
      <c r="AE2996" s="4">
        <v>122</v>
      </c>
      <c r="AF2996" s="4">
        <v>0</v>
      </c>
      <c r="AG2996" s="4">
        <v>2</v>
      </c>
      <c r="AH2996" s="4">
        <v>87</v>
      </c>
      <c r="AI2996" s="4">
        <v>101</v>
      </c>
      <c r="AJ2996" s="4">
        <v>13</v>
      </c>
      <c r="AK2996" s="4">
        <v>22</v>
      </c>
      <c r="AL2996" s="4">
        <v>50</v>
      </c>
      <c r="AM2996" s="4">
        <v>56</v>
      </c>
      <c r="AN2996" s="4">
        <v>0</v>
      </c>
      <c r="AO2996" s="4">
        <v>0</v>
      </c>
      <c r="AP2996" s="4">
        <v>15</v>
      </c>
      <c r="AQ2996" s="4">
        <v>26</v>
      </c>
      <c r="AR2996" s="3" t="s">
        <v>62</v>
      </c>
      <c r="AS2996" s="3" t="s">
        <v>62</v>
      </c>
      <c r="AT2996" s="3" t="s">
        <v>62</v>
      </c>
      <c r="AU2996" s="6" t="str">
        <f>HYPERLINK("http://catalog.hathitrust.org/Record/001478818","HathiTrust Record")</f>
        <v>HathiTrust Record</v>
      </c>
      <c r="AV2996" s="6" t="str">
        <f>HYPERLINK("http://mcgill.on.worldcat.org/oclc/1007596","Catalog Record")</f>
        <v>Catalog Record</v>
      </c>
      <c r="AW2996" s="6" t="str">
        <f>HYPERLINK("http://www.worldcat.org/oclc/1007596","WorldCat Record")</f>
        <v>WorldCat Record</v>
      </c>
      <c r="AX2996" s="3" t="s">
        <v>28989</v>
      </c>
      <c r="AY2996" s="3" t="s">
        <v>28990</v>
      </c>
      <c r="AZ2996" s="3" t="s">
        <v>28991</v>
      </c>
      <c r="BA2996" s="3" t="s">
        <v>28991</v>
      </c>
      <c r="BB2996" s="3" t="s">
        <v>28992</v>
      </c>
      <c r="BC2996" s="3" t="s">
        <v>102</v>
      </c>
      <c r="BD2996" s="3" t="s">
        <v>68</v>
      </c>
      <c r="BF2996" s="3" t="s">
        <v>28992</v>
      </c>
      <c r="BG2996" s="3" t="s">
        <v>28993</v>
      </c>
    </row>
    <row r="2997" spans="1:59" ht="58" x14ac:dyDescent="0.35">
      <c r="A2997" s="2" t="s">
        <v>89</v>
      </c>
      <c r="B2997" s="2" t="s">
        <v>90</v>
      </c>
      <c r="C2997" s="2" t="s">
        <v>28994</v>
      </c>
      <c r="D2997" s="2" t="s">
        <v>28995</v>
      </c>
      <c r="E2997" s="2" t="s">
        <v>28996</v>
      </c>
      <c r="G2997" s="3" t="s">
        <v>62</v>
      </c>
      <c r="I2997" s="3" t="s">
        <v>62</v>
      </c>
      <c r="J2997" s="3" t="s">
        <v>62</v>
      </c>
      <c r="K2997" s="3" t="s">
        <v>63</v>
      </c>
      <c r="M2997" s="2" t="s">
        <v>15592</v>
      </c>
      <c r="N2997" s="3" t="s">
        <v>2975</v>
      </c>
      <c r="P2997" s="3" t="s">
        <v>64</v>
      </c>
      <c r="Q2997" s="2" t="s">
        <v>28997</v>
      </c>
      <c r="R2997" s="3" t="s">
        <v>27443</v>
      </c>
      <c r="S2997" s="4">
        <v>11</v>
      </c>
      <c r="T2997" s="4">
        <v>11</v>
      </c>
      <c r="U2997" s="5" t="s">
        <v>8699</v>
      </c>
      <c r="V2997" s="5" t="s">
        <v>8699</v>
      </c>
      <c r="W2997" s="5" t="s">
        <v>67</v>
      </c>
      <c r="X2997" s="5" t="s">
        <v>67</v>
      </c>
      <c r="Y2997" s="4">
        <v>134</v>
      </c>
      <c r="Z2997" s="4">
        <v>12</v>
      </c>
      <c r="AA2997" s="4">
        <v>12</v>
      </c>
      <c r="AB2997" s="4">
        <v>2</v>
      </c>
      <c r="AC2997" s="4">
        <v>2</v>
      </c>
      <c r="AD2997" s="4">
        <v>61</v>
      </c>
      <c r="AE2997" s="4">
        <v>61</v>
      </c>
      <c r="AF2997" s="4">
        <v>0</v>
      </c>
      <c r="AG2997" s="4">
        <v>0</v>
      </c>
      <c r="AH2997" s="4">
        <v>58</v>
      </c>
      <c r="AI2997" s="4">
        <v>58</v>
      </c>
      <c r="AJ2997" s="4">
        <v>7</v>
      </c>
      <c r="AK2997" s="4">
        <v>7</v>
      </c>
      <c r="AL2997" s="4">
        <v>40</v>
      </c>
      <c r="AM2997" s="4">
        <v>40</v>
      </c>
      <c r="AN2997" s="4">
        <v>0</v>
      </c>
      <c r="AO2997" s="4">
        <v>0</v>
      </c>
      <c r="AP2997" s="4">
        <v>7</v>
      </c>
      <c r="AQ2997" s="4">
        <v>7</v>
      </c>
      <c r="AR2997" s="3" t="s">
        <v>62</v>
      </c>
      <c r="AS2997" s="3" t="s">
        <v>62</v>
      </c>
      <c r="AT2997" s="3" t="s">
        <v>62</v>
      </c>
      <c r="AV2997" s="6" t="str">
        <f>HYPERLINK("http://mcgill.on.worldcat.org/oclc/48519743","Catalog Record")</f>
        <v>Catalog Record</v>
      </c>
      <c r="AW2997" s="6" t="str">
        <f>HYPERLINK("http://www.worldcat.org/oclc/48519743","WorldCat Record")</f>
        <v>WorldCat Record</v>
      </c>
      <c r="AX2997" s="3" t="s">
        <v>28998</v>
      </c>
      <c r="AY2997" s="3" t="s">
        <v>28999</v>
      </c>
      <c r="AZ2997" s="3" t="s">
        <v>29000</v>
      </c>
      <c r="BA2997" s="3" t="s">
        <v>29000</v>
      </c>
      <c r="BB2997" s="3" t="s">
        <v>29001</v>
      </c>
      <c r="BC2997" s="3" t="s">
        <v>102</v>
      </c>
      <c r="BD2997" s="3" t="s">
        <v>68</v>
      </c>
      <c r="BE2997" s="3" t="s">
        <v>29002</v>
      </c>
      <c r="BF2997" s="3" t="s">
        <v>29001</v>
      </c>
      <c r="BG2997" s="3" t="s">
        <v>29003</v>
      </c>
    </row>
    <row r="2998" spans="1:59" ht="101.5" x14ac:dyDescent="0.35">
      <c r="A2998" s="2" t="s">
        <v>89</v>
      </c>
      <c r="B2998" s="2" t="s">
        <v>12301</v>
      </c>
      <c r="C2998" s="2" t="s">
        <v>29004</v>
      </c>
      <c r="D2998" s="2" t="s">
        <v>29005</v>
      </c>
      <c r="E2998" s="2" t="s">
        <v>29006</v>
      </c>
      <c r="G2998" s="3" t="s">
        <v>62</v>
      </c>
      <c r="I2998" s="3" t="s">
        <v>62</v>
      </c>
      <c r="J2998" s="3" t="s">
        <v>62</v>
      </c>
      <c r="K2998" s="3" t="s">
        <v>63</v>
      </c>
      <c r="L2998" s="2" t="s">
        <v>29007</v>
      </c>
      <c r="M2998" s="2" t="s">
        <v>21158</v>
      </c>
      <c r="N2998" s="3" t="s">
        <v>880</v>
      </c>
      <c r="P2998" s="3" t="s">
        <v>64</v>
      </c>
      <c r="R2998" s="3" t="s">
        <v>27443</v>
      </c>
      <c r="S2998" s="4">
        <v>0</v>
      </c>
      <c r="T2998" s="4">
        <v>0</v>
      </c>
      <c r="W2998" s="5" t="s">
        <v>67</v>
      </c>
      <c r="X2998" s="5" t="s">
        <v>67</v>
      </c>
      <c r="Y2998" s="4">
        <v>159</v>
      </c>
      <c r="Z2998" s="4">
        <v>11</v>
      </c>
      <c r="AA2998" s="4">
        <v>15</v>
      </c>
      <c r="AB2998" s="4">
        <v>2</v>
      </c>
      <c r="AC2998" s="4">
        <v>5</v>
      </c>
      <c r="AD2998" s="4">
        <v>45</v>
      </c>
      <c r="AE2998" s="4">
        <v>57</v>
      </c>
      <c r="AF2998" s="4">
        <v>1</v>
      </c>
      <c r="AG2998" s="4">
        <v>3</v>
      </c>
      <c r="AH2998" s="4">
        <v>37</v>
      </c>
      <c r="AI2998" s="4">
        <v>46</v>
      </c>
      <c r="AJ2998" s="4">
        <v>9</v>
      </c>
      <c r="AK2998" s="4">
        <v>12</v>
      </c>
      <c r="AL2998" s="4">
        <v>22</v>
      </c>
      <c r="AM2998" s="4">
        <v>28</v>
      </c>
      <c r="AN2998" s="4">
        <v>0</v>
      </c>
      <c r="AO2998" s="4">
        <v>0</v>
      </c>
      <c r="AP2998" s="4">
        <v>10</v>
      </c>
      <c r="AQ2998" s="4">
        <v>12</v>
      </c>
      <c r="AR2998" s="3" t="s">
        <v>62</v>
      </c>
      <c r="AS2998" s="3" t="s">
        <v>62</v>
      </c>
      <c r="AT2998" s="3" t="s">
        <v>62</v>
      </c>
      <c r="AV2998" s="6" t="str">
        <f>HYPERLINK("http://mcgill.on.worldcat.org/oclc/498932462","Catalog Record")</f>
        <v>Catalog Record</v>
      </c>
      <c r="AW2998" s="6" t="str">
        <f>HYPERLINK("http://www.worldcat.org/oclc/498932462","WorldCat Record")</f>
        <v>WorldCat Record</v>
      </c>
      <c r="AX2998" s="3" t="s">
        <v>29008</v>
      </c>
      <c r="AY2998" s="3" t="s">
        <v>29009</v>
      </c>
      <c r="AZ2998" s="3" t="s">
        <v>29010</v>
      </c>
      <c r="BA2998" s="3" t="s">
        <v>29010</v>
      </c>
      <c r="BB2998" s="3" t="s">
        <v>29011</v>
      </c>
      <c r="BC2998" s="3" t="s">
        <v>102</v>
      </c>
      <c r="BD2998" s="3" t="s">
        <v>68</v>
      </c>
      <c r="BE2998" s="3" t="s">
        <v>29012</v>
      </c>
      <c r="BF2998" s="3" t="s">
        <v>29011</v>
      </c>
      <c r="BG2998" s="3" t="s">
        <v>29013</v>
      </c>
    </row>
    <row r="2999" spans="1:59" ht="58" x14ac:dyDescent="0.35">
      <c r="A2999" s="2" t="s">
        <v>89</v>
      </c>
      <c r="B2999" s="2" t="s">
        <v>18023</v>
      </c>
      <c r="C2999" s="2" t="s">
        <v>29014</v>
      </c>
      <c r="D2999" s="2" t="s">
        <v>29015</v>
      </c>
      <c r="E2999" s="2" t="s">
        <v>29016</v>
      </c>
      <c r="G2999" s="3" t="s">
        <v>62</v>
      </c>
      <c r="I2999" s="3" t="s">
        <v>62</v>
      </c>
      <c r="J2999" s="3" t="s">
        <v>61</v>
      </c>
      <c r="K2999" s="3" t="s">
        <v>63</v>
      </c>
      <c r="L2999" s="2" t="s">
        <v>29017</v>
      </c>
      <c r="M2999" s="2" t="s">
        <v>29018</v>
      </c>
      <c r="N2999" s="3" t="s">
        <v>880</v>
      </c>
      <c r="O2999" s="2" t="s">
        <v>2986</v>
      </c>
      <c r="P2999" s="3" t="s">
        <v>64</v>
      </c>
      <c r="R2999" s="3" t="s">
        <v>27443</v>
      </c>
      <c r="S2999" s="4">
        <v>7</v>
      </c>
      <c r="T2999" s="4">
        <v>7</v>
      </c>
      <c r="U2999" s="5" t="s">
        <v>4363</v>
      </c>
      <c r="V2999" s="5" t="s">
        <v>4363</v>
      </c>
      <c r="W2999" s="5" t="s">
        <v>67</v>
      </c>
      <c r="X2999" s="5" t="s">
        <v>67</v>
      </c>
      <c r="Y2999" s="4">
        <v>197</v>
      </c>
      <c r="Z2999" s="4">
        <v>14</v>
      </c>
      <c r="AA2999" s="4">
        <v>39</v>
      </c>
      <c r="AB2999" s="4">
        <v>1</v>
      </c>
      <c r="AC2999" s="4">
        <v>8</v>
      </c>
      <c r="AD2999" s="4">
        <v>65</v>
      </c>
      <c r="AE2999" s="4">
        <v>132</v>
      </c>
      <c r="AF2999" s="4">
        <v>0</v>
      </c>
      <c r="AG2999" s="4">
        <v>5</v>
      </c>
      <c r="AH2999" s="4">
        <v>57</v>
      </c>
      <c r="AI2999" s="4">
        <v>107</v>
      </c>
      <c r="AJ2999" s="4">
        <v>10</v>
      </c>
      <c r="AK2999" s="4">
        <v>24</v>
      </c>
      <c r="AL2999" s="4">
        <v>34</v>
      </c>
      <c r="AM2999" s="4">
        <v>60</v>
      </c>
      <c r="AN2999" s="4">
        <v>0</v>
      </c>
      <c r="AO2999" s="4">
        <v>0</v>
      </c>
      <c r="AP2999" s="4">
        <v>11</v>
      </c>
      <c r="AQ2999" s="4">
        <v>31</v>
      </c>
      <c r="AR2999" s="3" t="s">
        <v>62</v>
      </c>
      <c r="AS2999" s="3" t="s">
        <v>62</v>
      </c>
      <c r="AT2999" s="3" t="s">
        <v>62</v>
      </c>
      <c r="AV2999" s="6" t="str">
        <f>HYPERLINK("http://mcgill.on.worldcat.org/oclc/664839098","Catalog Record")</f>
        <v>Catalog Record</v>
      </c>
      <c r="AW2999" s="6" t="str">
        <f>HYPERLINK("http://www.worldcat.org/oclc/664839098","WorldCat Record")</f>
        <v>WorldCat Record</v>
      </c>
      <c r="AX2999" s="3" t="s">
        <v>29019</v>
      </c>
      <c r="AY2999" s="3" t="s">
        <v>29020</v>
      </c>
      <c r="AZ2999" s="3" t="s">
        <v>29021</v>
      </c>
      <c r="BA2999" s="3" t="s">
        <v>29021</v>
      </c>
      <c r="BB2999" s="3" t="s">
        <v>29022</v>
      </c>
      <c r="BC2999" s="3" t="s">
        <v>102</v>
      </c>
      <c r="BD2999" s="3" t="s">
        <v>68</v>
      </c>
      <c r="BE2999" s="3" t="s">
        <v>29023</v>
      </c>
      <c r="BF2999" s="3" t="s">
        <v>29022</v>
      </c>
      <c r="BG2999" s="3" t="s">
        <v>29024</v>
      </c>
    </row>
    <row r="3000" spans="1:59" ht="58" x14ac:dyDescent="0.35">
      <c r="A3000" s="2" t="s">
        <v>89</v>
      </c>
      <c r="B3000" s="2" t="s">
        <v>90</v>
      </c>
      <c r="C3000" s="2" t="s">
        <v>29025</v>
      </c>
      <c r="D3000" s="2" t="s">
        <v>29026</v>
      </c>
      <c r="E3000" s="2" t="s">
        <v>29027</v>
      </c>
      <c r="G3000" s="3" t="s">
        <v>62</v>
      </c>
      <c r="I3000" s="3" t="s">
        <v>61</v>
      </c>
      <c r="J3000" s="3" t="s">
        <v>62</v>
      </c>
      <c r="K3000" s="3" t="s">
        <v>63</v>
      </c>
      <c r="L3000" s="2" t="s">
        <v>7753</v>
      </c>
      <c r="M3000" s="2" t="s">
        <v>29028</v>
      </c>
      <c r="N3000" s="3" t="s">
        <v>327</v>
      </c>
      <c r="P3000" s="3" t="s">
        <v>64</v>
      </c>
      <c r="R3000" s="3" t="s">
        <v>27443</v>
      </c>
      <c r="S3000" s="4">
        <v>11</v>
      </c>
      <c r="T3000" s="4">
        <v>24</v>
      </c>
      <c r="U3000" s="5" t="s">
        <v>29029</v>
      </c>
      <c r="V3000" s="5" t="s">
        <v>29030</v>
      </c>
      <c r="W3000" s="5" t="s">
        <v>67</v>
      </c>
      <c r="X3000" s="5" t="s">
        <v>67</v>
      </c>
      <c r="Y3000" s="4">
        <v>766</v>
      </c>
      <c r="Z3000" s="4">
        <v>43</v>
      </c>
      <c r="AA3000" s="4">
        <v>95</v>
      </c>
      <c r="AB3000" s="4">
        <v>3</v>
      </c>
      <c r="AC3000" s="4">
        <v>16</v>
      </c>
      <c r="AD3000" s="4">
        <v>127</v>
      </c>
      <c r="AE3000" s="4">
        <v>149</v>
      </c>
      <c r="AF3000" s="4">
        <v>1</v>
      </c>
      <c r="AG3000" s="4">
        <v>8</v>
      </c>
      <c r="AH3000" s="4">
        <v>105</v>
      </c>
      <c r="AI3000" s="4">
        <v>109</v>
      </c>
      <c r="AJ3000" s="4">
        <v>23</v>
      </c>
      <c r="AK3000" s="4">
        <v>28</v>
      </c>
      <c r="AL3000" s="4">
        <v>56</v>
      </c>
      <c r="AM3000" s="4">
        <v>57</v>
      </c>
      <c r="AN3000" s="4">
        <v>0</v>
      </c>
      <c r="AO3000" s="4">
        <v>0</v>
      </c>
      <c r="AP3000" s="4">
        <v>30</v>
      </c>
      <c r="AQ3000" s="4">
        <v>48</v>
      </c>
      <c r="AR3000" s="3" t="s">
        <v>62</v>
      </c>
      <c r="AS3000" s="3" t="s">
        <v>62</v>
      </c>
      <c r="AT3000" s="3" t="s">
        <v>62</v>
      </c>
      <c r="AV3000" s="6" t="str">
        <f>HYPERLINK("http://mcgill.on.worldcat.org/oclc/8785918","Catalog Record")</f>
        <v>Catalog Record</v>
      </c>
      <c r="AW3000" s="6" t="str">
        <f>HYPERLINK("http://www.worldcat.org/oclc/8785918","WorldCat Record")</f>
        <v>WorldCat Record</v>
      </c>
      <c r="AX3000" s="3" t="s">
        <v>29031</v>
      </c>
      <c r="AY3000" s="3" t="s">
        <v>29032</v>
      </c>
      <c r="AZ3000" s="3" t="s">
        <v>29033</v>
      </c>
      <c r="BA3000" s="3" t="s">
        <v>29033</v>
      </c>
      <c r="BB3000" s="3" t="s">
        <v>29034</v>
      </c>
      <c r="BC3000" s="3" t="s">
        <v>102</v>
      </c>
      <c r="BD3000" s="3" t="s">
        <v>68</v>
      </c>
      <c r="BE3000" s="3" t="s">
        <v>29035</v>
      </c>
      <c r="BF3000" s="3" t="s">
        <v>29034</v>
      </c>
      <c r="BG3000" s="3" t="s">
        <v>29036</v>
      </c>
    </row>
    <row r="3001" spans="1:59" ht="72.5" x14ac:dyDescent="0.35">
      <c r="A3001" s="2" t="s">
        <v>89</v>
      </c>
      <c r="B3001" s="2" t="s">
        <v>90</v>
      </c>
      <c r="C3001" s="2" t="s">
        <v>29037</v>
      </c>
      <c r="D3001" s="2" t="s">
        <v>29038</v>
      </c>
      <c r="E3001" s="2" t="s">
        <v>29039</v>
      </c>
      <c r="G3001" s="3" t="s">
        <v>62</v>
      </c>
      <c r="I3001" s="3" t="s">
        <v>62</v>
      </c>
      <c r="J3001" s="3" t="s">
        <v>62</v>
      </c>
      <c r="K3001" s="3" t="s">
        <v>63</v>
      </c>
      <c r="L3001" s="2" t="s">
        <v>29040</v>
      </c>
      <c r="M3001" s="2" t="s">
        <v>29041</v>
      </c>
      <c r="N3001" s="3" t="s">
        <v>1374</v>
      </c>
      <c r="P3001" s="3" t="s">
        <v>64</v>
      </c>
      <c r="R3001" s="3" t="s">
        <v>27443</v>
      </c>
      <c r="S3001" s="4">
        <v>4</v>
      </c>
      <c r="T3001" s="4">
        <v>4</v>
      </c>
      <c r="U3001" s="5" t="s">
        <v>29042</v>
      </c>
      <c r="V3001" s="5" t="s">
        <v>29042</v>
      </c>
      <c r="W3001" s="5" t="s">
        <v>67</v>
      </c>
      <c r="X3001" s="5" t="s">
        <v>67</v>
      </c>
      <c r="Y3001" s="4">
        <v>7</v>
      </c>
      <c r="Z3001" s="4">
        <v>3</v>
      </c>
      <c r="AA3001" s="4">
        <v>17</v>
      </c>
      <c r="AB3001" s="4">
        <v>1</v>
      </c>
      <c r="AC3001" s="4">
        <v>1</v>
      </c>
      <c r="AD3001" s="4">
        <v>2</v>
      </c>
      <c r="AE3001" s="4">
        <v>64</v>
      </c>
      <c r="AF3001" s="4">
        <v>0</v>
      </c>
      <c r="AG3001" s="4">
        <v>0</v>
      </c>
      <c r="AH3001" s="4">
        <v>2</v>
      </c>
      <c r="AI3001" s="4">
        <v>55</v>
      </c>
      <c r="AJ3001" s="4">
        <v>2</v>
      </c>
      <c r="AK3001" s="4">
        <v>8</v>
      </c>
      <c r="AL3001" s="4">
        <v>0</v>
      </c>
      <c r="AM3001" s="4">
        <v>35</v>
      </c>
      <c r="AN3001" s="4">
        <v>0</v>
      </c>
      <c r="AO3001" s="4">
        <v>0</v>
      </c>
      <c r="AP3001" s="4">
        <v>2</v>
      </c>
      <c r="AQ3001" s="4">
        <v>12</v>
      </c>
      <c r="AR3001" s="3" t="s">
        <v>62</v>
      </c>
      <c r="AS3001" s="3" t="s">
        <v>62</v>
      </c>
      <c r="AT3001" s="3" t="s">
        <v>62</v>
      </c>
      <c r="AU3001" s="6" t="str">
        <f>HYPERLINK("http://catalog.hathitrust.org/Record/009261461","HathiTrust Record")</f>
        <v>HathiTrust Record</v>
      </c>
      <c r="AV3001" s="6" t="str">
        <f>HYPERLINK("http://mcgill.on.worldcat.org/oclc/224225400","Catalog Record")</f>
        <v>Catalog Record</v>
      </c>
      <c r="AW3001" s="6" t="str">
        <f>HYPERLINK("http://www.worldcat.org/oclc/224225400","WorldCat Record")</f>
        <v>WorldCat Record</v>
      </c>
      <c r="AX3001" s="3" t="s">
        <v>29043</v>
      </c>
      <c r="AY3001" s="3" t="s">
        <v>29044</v>
      </c>
      <c r="AZ3001" s="3" t="s">
        <v>29045</v>
      </c>
      <c r="BA3001" s="3" t="s">
        <v>29045</v>
      </c>
      <c r="BB3001" s="3" t="s">
        <v>29046</v>
      </c>
      <c r="BC3001" s="3" t="s">
        <v>102</v>
      </c>
      <c r="BD3001" s="3" t="s">
        <v>68</v>
      </c>
      <c r="BF3001" s="3" t="s">
        <v>29046</v>
      </c>
      <c r="BG3001" s="3" t="s">
        <v>29047</v>
      </c>
    </row>
    <row r="3002" spans="1:59" ht="58" x14ac:dyDescent="0.35">
      <c r="A3002" s="2" t="s">
        <v>89</v>
      </c>
      <c r="B3002" s="2" t="s">
        <v>90</v>
      </c>
      <c r="C3002" s="2" t="s">
        <v>29048</v>
      </c>
      <c r="D3002" s="2" t="s">
        <v>29049</v>
      </c>
      <c r="E3002" s="2" t="s">
        <v>29050</v>
      </c>
      <c r="G3002" s="3" t="s">
        <v>62</v>
      </c>
      <c r="I3002" s="3" t="s">
        <v>62</v>
      </c>
      <c r="J3002" s="3" t="s">
        <v>61</v>
      </c>
      <c r="K3002" s="3" t="s">
        <v>63</v>
      </c>
      <c r="L3002" s="2" t="s">
        <v>29051</v>
      </c>
      <c r="M3002" s="2" t="s">
        <v>29052</v>
      </c>
      <c r="N3002" s="3" t="s">
        <v>2975</v>
      </c>
      <c r="P3002" s="3" t="s">
        <v>64</v>
      </c>
      <c r="R3002" s="3" t="s">
        <v>27443</v>
      </c>
      <c r="S3002" s="4">
        <v>23</v>
      </c>
      <c r="T3002" s="4">
        <v>23</v>
      </c>
      <c r="U3002" s="5" t="s">
        <v>22360</v>
      </c>
      <c r="V3002" s="5" t="s">
        <v>22360</v>
      </c>
      <c r="W3002" s="5" t="s">
        <v>67</v>
      </c>
      <c r="X3002" s="5" t="s">
        <v>67</v>
      </c>
      <c r="Y3002" s="4">
        <v>192</v>
      </c>
      <c r="Z3002" s="4">
        <v>24</v>
      </c>
      <c r="AA3002" s="4">
        <v>106</v>
      </c>
      <c r="AB3002" s="4">
        <v>2</v>
      </c>
      <c r="AC3002" s="4">
        <v>20</v>
      </c>
      <c r="AD3002" s="4">
        <v>86</v>
      </c>
      <c r="AE3002" s="4">
        <v>150</v>
      </c>
      <c r="AF3002" s="4">
        <v>0</v>
      </c>
      <c r="AG3002" s="4">
        <v>8</v>
      </c>
      <c r="AH3002" s="4">
        <v>77</v>
      </c>
      <c r="AI3002" s="4">
        <v>107</v>
      </c>
      <c r="AJ3002" s="4">
        <v>11</v>
      </c>
      <c r="AK3002" s="4">
        <v>27</v>
      </c>
      <c r="AL3002" s="4">
        <v>45</v>
      </c>
      <c r="AM3002" s="4">
        <v>56</v>
      </c>
      <c r="AN3002" s="4">
        <v>0</v>
      </c>
      <c r="AO3002" s="4">
        <v>0</v>
      </c>
      <c r="AP3002" s="4">
        <v>14</v>
      </c>
      <c r="AQ3002" s="4">
        <v>51</v>
      </c>
      <c r="AR3002" s="3" t="s">
        <v>61</v>
      </c>
      <c r="AS3002" s="3" t="s">
        <v>62</v>
      </c>
      <c r="AT3002" s="3" t="s">
        <v>62</v>
      </c>
      <c r="AV3002" s="6" t="str">
        <f>HYPERLINK("http://mcgill.on.worldcat.org/oclc/47691120","Catalog Record")</f>
        <v>Catalog Record</v>
      </c>
      <c r="AW3002" s="6" t="str">
        <f>HYPERLINK("http://www.worldcat.org/oclc/47691120","WorldCat Record")</f>
        <v>WorldCat Record</v>
      </c>
      <c r="AX3002" s="3" t="s">
        <v>29053</v>
      </c>
      <c r="AY3002" s="3" t="s">
        <v>29054</v>
      </c>
      <c r="AZ3002" s="3" t="s">
        <v>29055</v>
      </c>
      <c r="BA3002" s="3" t="s">
        <v>29055</v>
      </c>
      <c r="BB3002" s="3" t="s">
        <v>29056</v>
      </c>
      <c r="BC3002" s="3" t="s">
        <v>102</v>
      </c>
      <c r="BD3002" s="3" t="s">
        <v>68</v>
      </c>
      <c r="BE3002" s="3" t="s">
        <v>29057</v>
      </c>
      <c r="BF3002" s="3" t="s">
        <v>29056</v>
      </c>
      <c r="BG3002" s="3" t="s">
        <v>29058</v>
      </c>
    </row>
    <row r="3003" spans="1:59" ht="58" x14ac:dyDescent="0.35">
      <c r="A3003" s="2" t="s">
        <v>89</v>
      </c>
      <c r="B3003" s="2" t="s">
        <v>90</v>
      </c>
      <c r="C3003" s="2" t="s">
        <v>29059</v>
      </c>
      <c r="D3003" s="2" t="s">
        <v>29060</v>
      </c>
      <c r="E3003" s="2" t="s">
        <v>29061</v>
      </c>
      <c r="G3003" s="3" t="s">
        <v>62</v>
      </c>
      <c r="I3003" s="3" t="s">
        <v>62</v>
      </c>
      <c r="J3003" s="3" t="s">
        <v>62</v>
      </c>
      <c r="K3003" s="3" t="s">
        <v>63</v>
      </c>
      <c r="L3003" s="2" t="s">
        <v>29062</v>
      </c>
      <c r="M3003" s="2" t="s">
        <v>29063</v>
      </c>
      <c r="N3003" s="3" t="s">
        <v>1722</v>
      </c>
      <c r="O3003" s="2" t="s">
        <v>2163</v>
      </c>
      <c r="P3003" s="3" t="s">
        <v>64</v>
      </c>
      <c r="Q3003" s="2" t="s">
        <v>29064</v>
      </c>
      <c r="R3003" s="3" t="s">
        <v>27443</v>
      </c>
      <c r="S3003" s="4">
        <v>5</v>
      </c>
      <c r="T3003" s="4">
        <v>5</v>
      </c>
      <c r="U3003" s="5" t="s">
        <v>2050</v>
      </c>
      <c r="V3003" s="5" t="s">
        <v>2050</v>
      </c>
      <c r="W3003" s="5" t="s">
        <v>67</v>
      </c>
      <c r="X3003" s="5" t="s">
        <v>67</v>
      </c>
      <c r="Y3003" s="4">
        <v>58</v>
      </c>
      <c r="Z3003" s="4">
        <v>9</v>
      </c>
      <c r="AA3003" s="4">
        <v>17</v>
      </c>
      <c r="AB3003" s="4">
        <v>3</v>
      </c>
      <c r="AC3003" s="4">
        <v>6</v>
      </c>
      <c r="AD3003" s="4">
        <v>26</v>
      </c>
      <c r="AE3003" s="4">
        <v>42</v>
      </c>
      <c r="AF3003" s="4">
        <v>1</v>
      </c>
      <c r="AG3003" s="4">
        <v>2</v>
      </c>
      <c r="AH3003" s="4">
        <v>21</v>
      </c>
      <c r="AI3003" s="4">
        <v>35</v>
      </c>
      <c r="AJ3003" s="4">
        <v>5</v>
      </c>
      <c r="AK3003" s="4">
        <v>8</v>
      </c>
      <c r="AL3003" s="4">
        <v>15</v>
      </c>
      <c r="AM3003" s="4">
        <v>24</v>
      </c>
      <c r="AN3003" s="4">
        <v>0</v>
      </c>
      <c r="AO3003" s="4">
        <v>0</v>
      </c>
      <c r="AP3003" s="4">
        <v>7</v>
      </c>
      <c r="AQ3003" s="4">
        <v>9</v>
      </c>
      <c r="AR3003" s="3" t="s">
        <v>62</v>
      </c>
      <c r="AS3003" s="3" t="s">
        <v>62</v>
      </c>
      <c r="AT3003" s="3" t="s">
        <v>62</v>
      </c>
      <c r="AV3003" s="6" t="str">
        <f>HYPERLINK("http://mcgill.on.worldcat.org/oclc/213110920","Catalog Record")</f>
        <v>Catalog Record</v>
      </c>
      <c r="AW3003" s="6" t="str">
        <f>HYPERLINK("http://www.worldcat.org/oclc/213110920","WorldCat Record")</f>
        <v>WorldCat Record</v>
      </c>
      <c r="AX3003" s="3" t="s">
        <v>29065</v>
      </c>
      <c r="AY3003" s="3" t="s">
        <v>29066</v>
      </c>
      <c r="AZ3003" s="3" t="s">
        <v>29067</v>
      </c>
      <c r="BA3003" s="3" t="s">
        <v>29067</v>
      </c>
      <c r="BB3003" s="3" t="s">
        <v>29068</v>
      </c>
      <c r="BC3003" s="3" t="s">
        <v>102</v>
      </c>
      <c r="BD3003" s="3" t="s">
        <v>68</v>
      </c>
      <c r="BE3003" s="3" t="s">
        <v>29069</v>
      </c>
      <c r="BF3003" s="3" t="s">
        <v>29068</v>
      </c>
      <c r="BG3003" s="3" t="s">
        <v>29070</v>
      </c>
    </row>
    <row r="3004" spans="1:59" ht="58" x14ac:dyDescent="0.35">
      <c r="A3004" s="2" t="s">
        <v>89</v>
      </c>
      <c r="B3004" s="2" t="s">
        <v>90</v>
      </c>
      <c r="C3004" s="2" t="s">
        <v>29059</v>
      </c>
      <c r="D3004" s="2" t="s">
        <v>29060</v>
      </c>
      <c r="E3004" s="2" t="s">
        <v>29071</v>
      </c>
      <c r="G3004" s="3" t="s">
        <v>62</v>
      </c>
      <c r="I3004" s="3" t="s">
        <v>62</v>
      </c>
      <c r="J3004" s="3" t="s">
        <v>62</v>
      </c>
      <c r="K3004" s="3" t="s">
        <v>63</v>
      </c>
      <c r="L3004" s="2" t="s">
        <v>29072</v>
      </c>
      <c r="M3004" s="2" t="s">
        <v>29073</v>
      </c>
      <c r="N3004" s="3" t="s">
        <v>1195</v>
      </c>
      <c r="O3004" s="2" t="s">
        <v>2163</v>
      </c>
      <c r="P3004" s="3" t="s">
        <v>64</v>
      </c>
      <c r="Q3004" s="2" t="s">
        <v>29074</v>
      </c>
      <c r="R3004" s="3" t="s">
        <v>27443</v>
      </c>
      <c r="S3004" s="4">
        <v>21</v>
      </c>
      <c r="T3004" s="4">
        <v>21</v>
      </c>
      <c r="U3004" s="5" t="s">
        <v>8419</v>
      </c>
      <c r="V3004" s="5" t="s">
        <v>8419</v>
      </c>
      <c r="W3004" s="5" t="s">
        <v>67</v>
      </c>
      <c r="X3004" s="5" t="s">
        <v>67</v>
      </c>
      <c r="Y3004" s="4">
        <v>95</v>
      </c>
      <c r="Z3004" s="4">
        <v>11</v>
      </c>
      <c r="AA3004" s="4">
        <v>18</v>
      </c>
      <c r="AB3004" s="4">
        <v>1</v>
      </c>
      <c r="AC3004" s="4">
        <v>4</v>
      </c>
      <c r="AD3004" s="4">
        <v>46</v>
      </c>
      <c r="AE3004" s="4">
        <v>55</v>
      </c>
      <c r="AF3004" s="4">
        <v>0</v>
      </c>
      <c r="AG3004" s="4">
        <v>1</v>
      </c>
      <c r="AH3004" s="4">
        <v>43</v>
      </c>
      <c r="AI3004" s="4">
        <v>50</v>
      </c>
      <c r="AJ3004" s="4">
        <v>8</v>
      </c>
      <c r="AK3004" s="4">
        <v>10</v>
      </c>
      <c r="AL3004" s="4">
        <v>25</v>
      </c>
      <c r="AM3004" s="4">
        <v>29</v>
      </c>
      <c r="AN3004" s="4">
        <v>0</v>
      </c>
      <c r="AO3004" s="4">
        <v>0</v>
      </c>
      <c r="AP3004" s="4">
        <v>9</v>
      </c>
      <c r="AQ3004" s="4">
        <v>10</v>
      </c>
      <c r="AR3004" s="3" t="s">
        <v>62</v>
      </c>
      <c r="AS3004" s="3" t="s">
        <v>62</v>
      </c>
      <c r="AT3004" s="3" t="s">
        <v>62</v>
      </c>
      <c r="AV3004" s="6" t="str">
        <f>HYPERLINK("http://mcgill.on.worldcat.org/oclc/68373538","Catalog Record")</f>
        <v>Catalog Record</v>
      </c>
      <c r="AW3004" s="6" t="str">
        <f>HYPERLINK("http://www.worldcat.org/oclc/68373538","WorldCat Record")</f>
        <v>WorldCat Record</v>
      </c>
      <c r="AX3004" s="3" t="s">
        <v>29075</v>
      </c>
      <c r="AY3004" s="3" t="s">
        <v>29076</v>
      </c>
      <c r="AZ3004" s="3" t="s">
        <v>29077</v>
      </c>
      <c r="BA3004" s="3" t="s">
        <v>29077</v>
      </c>
      <c r="BB3004" s="3" t="s">
        <v>29078</v>
      </c>
      <c r="BC3004" s="3" t="s">
        <v>102</v>
      </c>
      <c r="BD3004" s="3" t="s">
        <v>68</v>
      </c>
      <c r="BE3004" s="3" t="s">
        <v>29079</v>
      </c>
      <c r="BF3004" s="3" t="s">
        <v>29078</v>
      </c>
      <c r="BG3004" s="3" t="s">
        <v>29080</v>
      </c>
    </row>
    <row r="3005" spans="1:59" ht="58" x14ac:dyDescent="0.35">
      <c r="A3005" s="2" t="s">
        <v>89</v>
      </c>
      <c r="B3005" s="2" t="s">
        <v>90</v>
      </c>
      <c r="C3005" s="2" t="s">
        <v>29081</v>
      </c>
      <c r="D3005" s="2" t="s">
        <v>29082</v>
      </c>
      <c r="E3005" s="2" t="s">
        <v>29083</v>
      </c>
      <c r="G3005" s="3" t="s">
        <v>62</v>
      </c>
      <c r="I3005" s="3" t="s">
        <v>62</v>
      </c>
      <c r="J3005" s="3" t="s">
        <v>62</v>
      </c>
      <c r="K3005" s="3" t="s">
        <v>63</v>
      </c>
      <c r="L3005" s="2" t="s">
        <v>29084</v>
      </c>
      <c r="M3005" s="2" t="s">
        <v>29085</v>
      </c>
      <c r="N3005" s="3" t="s">
        <v>396</v>
      </c>
      <c r="P3005" s="3" t="s">
        <v>64</v>
      </c>
      <c r="Q3005" s="2" t="s">
        <v>29086</v>
      </c>
      <c r="R3005" s="3" t="s">
        <v>27443</v>
      </c>
      <c r="S3005" s="4">
        <v>10</v>
      </c>
      <c r="T3005" s="4">
        <v>10</v>
      </c>
      <c r="U3005" s="5" t="s">
        <v>14412</v>
      </c>
      <c r="V3005" s="5" t="s">
        <v>14412</v>
      </c>
      <c r="W3005" s="5" t="s">
        <v>67</v>
      </c>
      <c r="X3005" s="5" t="s">
        <v>67</v>
      </c>
      <c r="Y3005" s="4">
        <v>203</v>
      </c>
      <c r="Z3005" s="4">
        <v>13</v>
      </c>
      <c r="AA3005" s="4">
        <v>22</v>
      </c>
      <c r="AB3005" s="4">
        <v>1</v>
      </c>
      <c r="AC3005" s="4">
        <v>2</v>
      </c>
      <c r="AD3005" s="4">
        <v>76</v>
      </c>
      <c r="AE3005" s="4">
        <v>95</v>
      </c>
      <c r="AF3005" s="4">
        <v>0</v>
      </c>
      <c r="AG3005" s="4">
        <v>1</v>
      </c>
      <c r="AH3005" s="4">
        <v>69</v>
      </c>
      <c r="AI3005" s="4">
        <v>81</v>
      </c>
      <c r="AJ3005" s="4">
        <v>11</v>
      </c>
      <c r="AK3005" s="4">
        <v>18</v>
      </c>
      <c r="AL3005" s="4">
        <v>40</v>
      </c>
      <c r="AM3005" s="4">
        <v>45</v>
      </c>
      <c r="AN3005" s="4">
        <v>0</v>
      </c>
      <c r="AO3005" s="4">
        <v>0</v>
      </c>
      <c r="AP3005" s="4">
        <v>10</v>
      </c>
      <c r="AQ3005" s="4">
        <v>19</v>
      </c>
      <c r="AR3005" s="3" t="s">
        <v>62</v>
      </c>
      <c r="AS3005" s="3" t="s">
        <v>62</v>
      </c>
      <c r="AT3005" s="3" t="s">
        <v>61</v>
      </c>
      <c r="AU3005" s="6" t="str">
        <f>HYPERLINK("http://catalog.hathitrust.org/Record/000567103","HathiTrust Record")</f>
        <v>HathiTrust Record</v>
      </c>
      <c r="AV3005" s="6" t="str">
        <f>HYPERLINK("http://mcgill.on.worldcat.org/oclc/11316232","Catalog Record")</f>
        <v>Catalog Record</v>
      </c>
      <c r="AW3005" s="6" t="str">
        <f>HYPERLINK("http://www.worldcat.org/oclc/11316232","WorldCat Record")</f>
        <v>WorldCat Record</v>
      </c>
      <c r="AX3005" s="3" t="s">
        <v>29087</v>
      </c>
      <c r="AY3005" s="3" t="s">
        <v>29088</v>
      </c>
      <c r="AZ3005" s="3" t="s">
        <v>29089</v>
      </c>
      <c r="BA3005" s="3" t="s">
        <v>29089</v>
      </c>
      <c r="BB3005" s="3" t="s">
        <v>29090</v>
      </c>
      <c r="BC3005" s="3" t="s">
        <v>102</v>
      </c>
      <c r="BD3005" s="3" t="s">
        <v>68</v>
      </c>
      <c r="BE3005" s="3" t="s">
        <v>29091</v>
      </c>
      <c r="BF3005" s="3" t="s">
        <v>29090</v>
      </c>
      <c r="BG3005" s="3" t="s">
        <v>29092</v>
      </c>
    </row>
    <row r="3006" spans="1:59" ht="58" x14ac:dyDescent="0.35">
      <c r="A3006" s="2" t="s">
        <v>89</v>
      </c>
      <c r="B3006" s="2" t="s">
        <v>90</v>
      </c>
      <c r="C3006" s="2" t="s">
        <v>29093</v>
      </c>
      <c r="D3006" s="2" t="s">
        <v>29094</v>
      </c>
      <c r="E3006" s="2" t="s">
        <v>29095</v>
      </c>
      <c r="G3006" s="3" t="s">
        <v>62</v>
      </c>
      <c r="I3006" s="3" t="s">
        <v>62</v>
      </c>
      <c r="J3006" s="3" t="s">
        <v>62</v>
      </c>
      <c r="K3006" s="3" t="s">
        <v>63</v>
      </c>
      <c r="M3006" s="2" t="s">
        <v>29096</v>
      </c>
      <c r="N3006" s="3" t="s">
        <v>201</v>
      </c>
      <c r="P3006" s="3" t="s">
        <v>64</v>
      </c>
      <c r="R3006" s="3" t="s">
        <v>27443</v>
      </c>
      <c r="S3006" s="4">
        <v>21</v>
      </c>
      <c r="T3006" s="4">
        <v>21</v>
      </c>
      <c r="U3006" s="5" t="s">
        <v>29097</v>
      </c>
      <c r="V3006" s="5" t="s">
        <v>29097</v>
      </c>
      <c r="W3006" s="5" t="s">
        <v>67</v>
      </c>
      <c r="X3006" s="5" t="s">
        <v>67</v>
      </c>
      <c r="Y3006" s="4">
        <v>615</v>
      </c>
      <c r="Z3006" s="4">
        <v>37</v>
      </c>
      <c r="AA3006" s="4">
        <v>39</v>
      </c>
      <c r="AB3006" s="4">
        <v>2</v>
      </c>
      <c r="AC3006" s="4">
        <v>3</v>
      </c>
      <c r="AD3006" s="4">
        <v>124</v>
      </c>
      <c r="AE3006" s="4">
        <v>125</v>
      </c>
      <c r="AF3006" s="4">
        <v>1</v>
      </c>
      <c r="AG3006" s="4">
        <v>1</v>
      </c>
      <c r="AH3006" s="4">
        <v>104</v>
      </c>
      <c r="AI3006" s="4">
        <v>104</v>
      </c>
      <c r="AJ3006" s="4">
        <v>20</v>
      </c>
      <c r="AK3006" s="4">
        <v>21</v>
      </c>
      <c r="AL3006" s="4">
        <v>55</v>
      </c>
      <c r="AM3006" s="4">
        <v>55</v>
      </c>
      <c r="AN3006" s="4">
        <v>0</v>
      </c>
      <c r="AO3006" s="4">
        <v>0</v>
      </c>
      <c r="AP3006" s="4">
        <v>26</v>
      </c>
      <c r="AQ3006" s="4">
        <v>27</v>
      </c>
      <c r="AR3006" s="3" t="s">
        <v>62</v>
      </c>
      <c r="AS3006" s="3" t="s">
        <v>62</v>
      </c>
      <c r="AT3006" s="3" t="s">
        <v>61</v>
      </c>
      <c r="AU3006" s="6" t="str">
        <f>HYPERLINK("http://catalog.hathitrust.org/Record/000033986","HathiTrust Record")</f>
        <v>HathiTrust Record</v>
      </c>
      <c r="AV3006" s="6" t="str">
        <f>HYPERLINK("http://mcgill.on.worldcat.org/oclc/1582837","Catalog Record")</f>
        <v>Catalog Record</v>
      </c>
      <c r="AW3006" s="6" t="str">
        <f>HYPERLINK("http://www.worldcat.org/oclc/1582837","WorldCat Record")</f>
        <v>WorldCat Record</v>
      </c>
      <c r="AX3006" s="3" t="s">
        <v>29098</v>
      </c>
      <c r="AY3006" s="3" t="s">
        <v>29099</v>
      </c>
      <c r="AZ3006" s="3" t="s">
        <v>29100</v>
      </c>
      <c r="BA3006" s="3" t="s">
        <v>29100</v>
      </c>
      <c r="BB3006" s="3" t="s">
        <v>29101</v>
      </c>
      <c r="BC3006" s="3" t="s">
        <v>102</v>
      </c>
      <c r="BD3006" s="3" t="s">
        <v>68</v>
      </c>
      <c r="BE3006" s="3" t="s">
        <v>29102</v>
      </c>
      <c r="BF3006" s="3" t="s">
        <v>29101</v>
      </c>
      <c r="BG3006" s="3" t="s">
        <v>29103</v>
      </c>
    </row>
    <row r="3007" spans="1:59" ht="58" x14ac:dyDescent="0.35">
      <c r="A3007" s="2" t="s">
        <v>89</v>
      </c>
      <c r="B3007" s="2" t="s">
        <v>90</v>
      </c>
      <c r="C3007" s="2" t="s">
        <v>29104</v>
      </c>
      <c r="D3007" s="2" t="s">
        <v>29105</v>
      </c>
      <c r="E3007" s="2" t="s">
        <v>29106</v>
      </c>
      <c r="G3007" s="3" t="s">
        <v>62</v>
      </c>
      <c r="I3007" s="3" t="s">
        <v>62</v>
      </c>
      <c r="J3007" s="3" t="s">
        <v>62</v>
      </c>
      <c r="K3007" s="3" t="s">
        <v>63</v>
      </c>
      <c r="L3007" s="2" t="s">
        <v>29107</v>
      </c>
      <c r="M3007" s="2" t="s">
        <v>29108</v>
      </c>
      <c r="N3007" s="3" t="s">
        <v>2085</v>
      </c>
      <c r="P3007" s="3" t="s">
        <v>64</v>
      </c>
      <c r="R3007" s="3" t="s">
        <v>27443</v>
      </c>
      <c r="S3007" s="4">
        <v>6</v>
      </c>
      <c r="T3007" s="4">
        <v>6</v>
      </c>
      <c r="U3007" s="5" t="s">
        <v>19474</v>
      </c>
      <c r="V3007" s="5" t="s">
        <v>19474</v>
      </c>
      <c r="W3007" s="5" t="s">
        <v>67</v>
      </c>
      <c r="X3007" s="5" t="s">
        <v>67</v>
      </c>
      <c r="Y3007" s="4">
        <v>1160</v>
      </c>
      <c r="Z3007" s="4">
        <v>28</v>
      </c>
      <c r="AA3007" s="4">
        <v>38</v>
      </c>
      <c r="AB3007" s="4">
        <v>4</v>
      </c>
      <c r="AC3007" s="4">
        <v>8</v>
      </c>
      <c r="AD3007" s="4">
        <v>68</v>
      </c>
      <c r="AE3007" s="4">
        <v>84</v>
      </c>
      <c r="AF3007" s="4">
        <v>1</v>
      </c>
      <c r="AG3007" s="4">
        <v>2</v>
      </c>
      <c r="AH3007" s="4">
        <v>57</v>
      </c>
      <c r="AI3007" s="4">
        <v>72</v>
      </c>
      <c r="AJ3007" s="4">
        <v>10</v>
      </c>
      <c r="AK3007" s="4">
        <v>12</v>
      </c>
      <c r="AL3007" s="4">
        <v>33</v>
      </c>
      <c r="AM3007" s="4">
        <v>40</v>
      </c>
      <c r="AN3007" s="4">
        <v>0</v>
      </c>
      <c r="AO3007" s="4">
        <v>0</v>
      </c>
      <c r="AP3007" s="4">
        <v>15</v>
      </c>
      <c r="AQ3007" s="4">
        <v>17</v>
      </c>
      <c r="AR3007" s="3" t="s">
        <v>62</v>
      </c>
      <c r="AS3007" s="3" t="s">
        <v>62</v>
      </c>
      <c r="AT3007" s="3" t="s">
        <v>62</v>
      </c>
      <c r="AV3007" s="6" t="str">
        <f>HYPERLINK("http://mcgill.on.worldcat.org/oclc/1020300173","Catalog Record")</f>
        <v>Catalog Record</v>
      </c>
      <c r="AW3007" s="6" t="str">
        <f>HYPERLINK("http://www.worldcat.org/oclc/1020300173","WorldCat Record")</f>
        <v>WorldCat Record</v>
      </c>
      <c r="AX3007" s="3" t="s">
        <v>29109</v>
      </c>
      <c r="AY3007" s="3" t="s">
        <v>29110</v>
      </c>
      <c r="AZ3007" s="3" t="s">
        <v>29111</v>
      </c>
      <c r="BA3007" s="3" t="s">
        <v>29111</v>
      </c>
      <c r="BB3007" s="3" t="s">
        <v>29112</v>
      </c>
      <c r="BC3007" s="3" t="s">
        <v>102</v>
      </c>
      <c r="BD3007" s="3" t="s">
        <v>68</v>
      </c>
      <c r="BE3007" s="3" t="s">
        <v>29113</v>
      </c>
      <c r="BF3007" s="3" t="s">
        <v>29112</v>
      </c>
      <c r="BG3007" s="3" t="s">
        <v>29114</v>
      </c>
    </row>
    <row r="3008" spans="1:59" ht="72.5" x14ac:dyDescent="0.35">
      <c r="A3008" s="2" t="s">
        <v>89</v>
      </c>
      <c r="B3008" s="2" t="s">
        <v>90</v>
      </c>
      <c r="C3008" s="2" t="s">
        <v>29115</v>
      </c>
      <c r="D3008" s="2" t="s">
        <v>29116</v>
      </c>
      <c r="E3008" s="2" t="s">
        <v>29117</v>
      </c>
      <c r="G3008" s="3" t="s">
        <v>62</v>
      </c>
      <c r="I3008" s="3" t="s">
        <v>62</v>
      </c>
      <c r="J3008" s="3" t="s">
        <v>62</v>
      </c>
      <c r="K3008" s="3" t="s">
        <v>63</v>
      </c>
      <c r="L3008" s="2" t="s">
        <v>5752</v>
      </c>
      <c r="M3008" s="2" t="s">
        <v>29118</v>
      </c>
      <c r="N3008" s="3" t="s">
        <v>625</v>
      </c>
      <c r="P3008" s="3" t="s">
        <v>64</v>
      </c>
      <c r="Q3008" s="2" t="s">
        <v>5493</v>
      </c>
      <c r="R3008" s="3" t="s">
        <v>27443</v>
      </c>
      <c r="S3008" s="4">
        <v>9</v>
      </c>
      <c r="T3008" s="4">
        <v>9</v>
      </c>
      <c r="U3008" s="5" t="s">
        <v>29119</v>
      </c>
      <c r="V3008" s="5" t="s">
        <v>29119</v>
      </c>
      <c r="W3008" s="5" t="s">
        <v>67</v>
      </c>
      <c r="X3008" s="5" t="s">
        <v>67</v>
      </c>
      <c r="Y3008" s="4">
        <v>47</v>
      </c>
      <c r="Z3008" s="4">
        <v>5</v>
      </c>
      <c r="AA3008" s="4">
        <v>26</v>
      </c>
      <c r="AB3008" s="4">
        <v>1</v>
      </c>
      <c r="AC3008" s="4">
        <v>2</v>
      </c>
      <c r="AD3008" s="4">
        <v>17</v>
      </c>
      <c r="AE3008" s="4">
        <v>85</v>
      </c>
      <c r="AF3008" s="4">
        <v>0</v>
      </c>
      <c r="AG3008" s="4">
        <v>0</v>
      </c>
      <c r="AH3008" s="4">
        <v>16</v>
      </c>
      <c r="AI3008" s="4">
        <v>74</v>
      </c>
      <c r="AJ3008" s="4">
        <v>3</v>
      </c>
      <c r="AK3008" s="4">
        <v>13</v>
      </c>
      <c r="AL3008" s="4">
        <v>12</v>
      </c>
      <c r="AM3008" s="4">
        <v>46</v>
      </c>
      <c r="AN3008" s="4">
        <v>0</v>
      </c>
      <c r="AO3008" s="4">
        <v>0</v>
      </c>
      <c r="AP3008" s="4">
        <v>3</v>
      </c>
      <c r="AQ3008" s="4">
        <v>15</v>
      </c>
      <c r="AR3008" s="3" t="s">
        <v>62</v>
      </c>
      <c r="AS3008" s="3" t="s">
        <v>62</v>
      </c>
      <c r="AT3008" s="3" t="s">
        <v>61</v>
      </c>
      <c r="AU3008" s="6" t="str">
        <f>HYPERLINK("http://catalog.hathitrust.org/Record/004334156","HathiTrust Record")</f>
        <v>HathiTrust Record</v>
      </c>
      <c r="AV3008" s="6" t="str">
        <f>HYPERLINK("http://mcgill.on.worldcat.org/oclc/50582438","Catalog Record")</f>
        <v>Catalog Record</v>
      </c>
      <c r="AW3008" s="6" t="str">
        <f>HYPERLINK("http://www.worldcat.org/oclc/50582438","WorldCat Record")</f>
        <v>WorldCat Record</v>
      </c>
      <c r="AX3008" s="3" t="s">
        <v>29120</v>
      </c>
      <c r="AY3008" s="3" t="s">
        <v>29121</v>
      </c>
      <c r="AZ3008" s="3" t="s">
        <v>29122</v>
      </c>
      <c r="BA3008" s="3" t="s">
        <v>29122</v>
      </c>
      <c r="BB3008" s="3" t="s">
        <v>29123</v>
      </c>
      <c r="BC3008" s="3" t="s">
        <v>102</v>
      </c>
      <c r="BD3008" s="3" t="s">
        <v>68</v>
      </c>
      <c r="BE3008" s="3" t="s">
        <v>29124</v>
      </c>
      <c r="BF3008" s="3" t="s">
        <v>29123</v>
      </c>
      <c r="BG3008" s="3" t="s">
        <v>29125</v>
      </c>
    </row>
    <row r="3009" spans="1:59" ht="72.5" x14ac:dyDescent="0.35">
      <c r="A3009" s="2" t="s">
        <v>89</v>
      </c>
      <c r="B3009" s="2" t="s">
        <v>90</v>
      </c>
      <c r="C3009" s="2" t="s">
        <v>29126</v>
      </c>
      <c r="D3009" s="2" t="s">
        <v>29127</v>
      </c>
      <c r="E3009" s="2" t="s">
        <v>29128</v>
      </c>
      <c r="G3009" s="3" t="s">
        <v>62</v>
      </c>
      <c r="I3009" s="3" t="s">
        <v>62</v>
      </c>
      <c r="J3009" s="3" t="s">
        <v>62</v>
      </c>
      <c r="K3009" s="3" t="s">
        <v>63</v>
      </c>
      <c r="L3009" s="2" t="s">
        <v>5752</v>
      </c>
      <c r="M3009" s="2" t="s">
        <v>29129</v>
      </c>
      <c r="N3009" s="3" t="s">
        <v>1722</v>
      </c>
      <c r="P3009" s="3" t="s">
        <v>64</v>
      </c>
      <c r="Q3009" s="2" t="s">
        <v>5493</v>
      </c>
      <c r="R3009" s="3" t="s">
        <v>27443</v>
      </c>
      <c r="S3009" s="4">
        <v>1</v>
      </c>
      <c r="T3009" s="4">
        <v>1</v>
      </c>
      <c r="U3009" s="5" t="s">
        <v>29119</v>
      </c>
      <c r="V3009" s="5" t="s">
        <v>29119</v>
      </c>
      <c r="W3009" s="5" t="s">
        <v>67</v>
      </c>
      <c r="X3009" s="5" t="s">
        <v>67</v>
      </c>
      <c r="Y3009" s="4">
        <v>111</v>
      </c>
      <c r="Z3009" s="4">
        <v>9</v>
      </c>
      <c r="AA3009" s="4">
        <v>22</v>
      </c>
      <c r="AB3009" s="4">
        <v>1</v>
      </c>
      <c r="AC3009" s="4">
        <v>2</v>
      </c>
      <c r="AD3009" s="4">
        <v>46</v>
      </c>
      <c r="AE3009" s="4">
        <v>53</v>
      </c>
      <c r="AF3009" s="4">
        <v>0</v>
      </c>
      <c r="AG3009" s="4">
        <v>0</v>
      </c>
      <c r="AH3009" s="4">
        <v>39</v>
      </c>
      <c r="AI3009" s="4">
        <v>44</v>
      </c>
      <c r="AJ3009" s="4">
        <v>7</v>
      </c>
      <c r="AK3009" s="4">
        <v>10</v>
      </c>
      <c r="AL3009" s="4">
        <v>31</v>
      </c>
      <c r="AM3009" s="4">
        <v>31</v>
      </c>
      <c r="AN3009" s="4">
        <v>0</v>
      </c>
      <c r="AO3009" s="4">
        <v>0</v>
      </c>
      <c r="AP3009" s="4">
        <v>8</v>
      </c>
      <c r="AQ3009" s="4">
        <v>13</v>
      </c>
      <c r="AR3009" s="3" t="s">
        <v>62</v>
      </c>
      <c r="AS3009" s="3" t="s">
        <v>62</v>
      </c>
      <c r="AT3009" s="3" t="s">
        <v>62</v>
      </c>
      <c r="AV3009" s="6" t="str">
        <f>HYPERLINK("http://mcgill.on.worldcat.org/oclc/166626364","Catalog Record")</f>
        <v>Catalog Record</v>
      </c>
      <c r="AW3009" s="6" t="str">
        <f>HYPERLINK("http://www.worldcat.org/oclc/166626364","WorldCat Record")</f>
        <v>WorldCat Record</v>
      </c>
      <c r="AX3009" s="3" t="s">
        <v>29130</v>
      </c>
      <c r="AY3009" s="3" t="s">
        <v>29131</v>
      </c>
      <c r="AZ3009" s="3" t="s">
        <v>29132</v>
      </c>
      <c r="BA3009" s="3" t="s">
        <v>29132</v>
      </c>
      <c r="BB3009" s="3" t="s">
        <v>29133</v>
      </c>
      <c r="BC3009" s="3" t="s">
        <v>102</v>
      </c>
      <c r="BD3009" s="3" t="s">
        <v>68</v>
      </c>
      <c r="BE3009" s="3" t="s">
        <v>29134</v>
      </c>
      <c r="BF3009" s="3" t="s">
        <v>29133</v>
      </c>
      <c r="BG3009" s="3" t="s">
        <v>29135</v>
      </c>
    </row>
    <row r="3010" spans="1:59" ht="58" x14ac:dyDescent="0.35">
      <c r="A3010" s="2" t="s">
        <v>89</v>
      </c>
      <c r="B3010" s="2" t="s">
        <v>90</v>
      </c>
      <c r="C3010" s="2" t="s">
        <v>29136</v>
      </c>
      <c r="D3010" s="2" t="s">
        <v>29137</v>
      </c>
      <c r="E3010" s="2" t="s">
        <v>29138</v>
      </c>
      <c r="G3010" s="3" t="s">
        <v>62</v>
      </c>
      <c r="I3010" s="3" t="s">
        <v>61</v>
      </c>
      <c r="J3010" s="3" t="s">
        <v>62</v>
      </c>
      <c r="K3010" s="3" t="s">
        <v>63</v>
      </c>
      <c r="L3010" s="2" t="s">
        <v>29139</v>
      </c>
      <c r="M3010" s="2" t="s">
        <v>29140</v>
      </c>
      <c r="N3010" s="3" t="s">
        <v>553</v>
      </c>
      <c r="P3010" s="3" t="s">
        <v>64</v>
      </c>
      <c r="Q3010" s="2" t="s">
        <v>29141</v>
      </c>
      <c r="R3010" s="3" t="s">
        <v>27443</v>
      </c>
      <c r="S3010" s="4">
        <v>7</v>
      </c>
      <c r="T3010" s="4">
        <v>14</v>
      </c>
      <c r="U3010" s="5" t="s">
        <v>16291</v>
      </c>
      <c r="V3010" s="5" t="s">
        <v>16291</v>
      </c>
      <c r="W3010" s="5" t="s">
        <v>67</v>
      </c>
      <c r="X3010" s="5" t="s">
        <v>67</v>
      </c>
      <c r="Y3010" s="4">
        <v>42</v>
      </c>
      <c r="Z3010" s="4">
        <v>4</v>
      </c>
      <c r="AA3010" s="4">
        <v>101</v>
      </c>
      <c r="AB3010" s="4">
        <v>1</v>
      </c>
      <c r="AC3010" s="4">
        <v>18</v>
      </c>
      <c r="AD3010" s="4">
        <v>17</v>
      </c>
      <c r="AE3010" s="4">
        <v>135</v>
      </c>
      <c r="AF3010" s="4">
        <v>0</v>
      </c>
      <c r="AG3010" s="4">
        <v>9</v>
      </c>
      <c r="AH3010" s="4">
        <v>15</v>
      </c>
      <c r="AI3010" s="4">
        <v>91</v>
      </c>
      <c r="AJ3010" s="4">
        <v>3</v>
      </c>
      <c r="AK3010" s="4">
        <v>23</v>
      </c>
      <c r="AL3010" s="4">
        <v>12</v>
      </c>
      <c r="AM3010" s="4">
        <v>48</v>
      </c>
      <c r="AN3010" s="4">
        <v>0</v>
      </c>
      <c r="AO3010" s="4">
        <v>0</v>
      </c>
      <c r="AP3010" s="4">
        <v>3</v>
      </c>
      <c r="AQ3010" s="4">
        <v>50</v>
      </c>
      <c r="AR3010" s="3" t="s">
        <v>62</v>
      </c>
      <c r="AS3010" s="3" t="s">
        <v>62</v>
      </c>
      <c r="AT3010" s="3" t="s">
        <v>61</v>
      </c>
      <c r="AU3010" s="6" t="str">
        <f>HYPERLINK("http://catalog.hathitrust.org/Record/004069726","HathiTrust Record")</f>
        <v>HathiTrust Record</v>
      </c>
      <c r="AV3010" s="6" t="str">
        <f>HYPERLINK("http://mcgill.on.worldcat.org/oclc/41388391","Catalog Record")</f>
        <v>Catalog Record</v>
      </c>
      <c r="AW3010" s="6" t="str">
        <f>HYPERLINK("http://www.worldcat.org/oclc/41388391","WorldCat Record")</f>
        <v>WorldCat Record</v>
      </c>
      <c r="AX3010" s="3" t="s">
        <v>29142</v>
      </c>
      <c r="AY3010" s="3" t="s">
        <v>29143</v>
      </c>
      <c r="AZ3010" s="3" t="s">
        <v>29144</v>
      </c>
      <c r="BA3010" s="3" t="s">
        <v>29144</v>
      </c>
      <c r="BB3010" s="3" t="s">
        <v>29145</v>
      </c>
      <c r="BC3010" s="3" t="s">
        <v>102</v>
      </c>
      <c r="BD3010" s="3" t="s">
        <v>68</v>
      </c>
      <c r="BE3010" s="3" t="s">
        <v>29146</v>
      </c>
      <c r="BF3010" s="3" t="s">
        <v>29145</v>
      </c>
      <c r="BG3010" s="3" t="s">
        <v>29147</v>
      </c>
    </row>
    <row r="3011" spans="1:59" ht="58" x14ac:dyDescent="0.35">
      <c r="A3011" s="2" t="s">
        <v>89</v>
      </c>
      <c r="B3011" s="2" t="s">
        <v>90</v>
      </c>
      <c r="C3011" s="2" t="s">
        <v>29148</v>
      </c>
      <c r="D3011" s="2" t="s">
        <v>29149</v>
      </c>
      <c r="E3011" s="2" t="s">
        <v>29150</v>
      </c>
      <c r="G3011" s="3" t="s">
        <v>62</v>
      </c>
      <c r="I3011" s="3" t="s">
        <v>61</v>
      </c>
      <c r="J3011" s="3" t="s">
        <v>62</v>
      </c>
      <c r="K3011" s="3" t="s">
        <v>63</v>
      </c>
      <c r="L3011" s="2" t="s">
        <v>29151</v>
      </c>
      <c r="M3011" s="2" t="s">
        <v>29152</v>
      </c>
      <c r="N3011" s="3" t="s">
        <v>81</v>
      </c>
      <c r="P3011" s="3" t="s">
        <v>64</v>
      </c>
      <c r="R3011" s="3" t="s">
        <v>27443</v>
      </c>
      <c r="S3011" s="4">
        <v>0</v>
      </c>
      <c r="T3011" s="4">
        <v>10</v>
      </c>
      <c r="V3011" s="5" t="s">
        <v>29153</v>
      </c>
      <c r="W3011" s="5" t="s">
        <v>67</v>
      </c>
      <c r="X3011" s="5" t="s">
        <v>67</v>
      </c>
      <c r="Y3011" s="4">
        <v>429</v>
      </c>
      <c r="Z3011" s="4">
        <v>34</v>
      </c>
      <c r="AA3011" s="4">
        <v>37</v>
      </c>
      <c r="AB3011" s="4">
        <v>4</v>
      </c>
      <c r="AC3011" s="4">
        <v>7</v>
      </c>
      <c r="AD3011" s="4">
        <v>121</v>
      </c>
      <c r="AE3011" s="4">
        <v>124</v>
      </c>
      <c r="AF3011" s="4">
        <v>2</v>
      </c>
      <c r="AG3011" s="4">
        <v>5</v>
      </c>
      <c r="AH3011" s="4">
        <v>100</v>
      </c>
      <c r="AI3011" s="4">
        <v>101</v>
      </c>
      <c r="AJ3011" s="4">
        <v>20</v>
      </c>
      <c r="AK3011" s="4">
        <v>23</v>
      </c>
      <c r="AL3011" s="4">
        <v>56</v>
      </c>
      <c r="AM3011" s="4">
        <v>56</v>
      </c>
      <c r="AN3011" s="4">
        <v>0</v>
      </c>
      <c r="AO3011" s="4">
        <v>0</v>
      </c>
      <c r="AP3011" s="4">
        <v>27</v>
      </c>
      <c r="AQ3011" s="4">
        <v>29</v>
      </c>
      <c r="AR3011" s="3" t="s">
        <v>62</v>
      </c>
      <c r="AS3011" s="3" t="s">
        <v>62</v>
      </c>
      <c r="AT3011" s="3" t="s">
        <v>61</v>
      </c>
      <c r="AU3011" s="6" t="str">
        <f>HYPERLINK("http://catalog.hathitrust.org/Record/001479051","HathiTrust Record")</f>
        <v>HathiTrust Record</v>
      </c>
      <c r="AV3011" s="6" t="str">
        <f>HYPERLINK("http://mcgill.on.worldcat.org/oclc/303348","Catalog Record")</f>
        <v>Catalog Record</v>
      </c>
      <c r="AW3011" s="6" t="str">
        <f>HYPERLINK("http://www.worldcat.org/oclc/303348","WorldCat Record")</f>
        <v>WorldCat Record</v>
      </c>
      <c r="AX3011" s="3" t="s">
        <v>29154</v>
      </c>
      <c r="AY3011" s="3" t="s">
        <v>29155</v>
      </c>
      <c r="AZ3011" s="3" t="s">
        <v>29156</v>
      </c>
      <c r="BA3011" s="3" t="s">
        <v>29156</v>
      </c>
      <c r="BB3011" s="3" t="s">
        <v>29157</v>
      </c>
      <c r="BC3011" s="3" t="s">
        <v>102</v>
      </c>
      <c r="BD3011" s="3" t="s">
        <v>68</v>
      </c>
      <c r="BE3011" s="3" t="s">
        <v>29158</v>
      </c>
      <c r="BF3011" s="3" t="s">
        <v>29157</v>
      </c>
      <c r="BG3011" s="3" t="s">
        <v>29159</v>
      </c>
    </row>
    <row r="3012" spans="1:59" ht="101.5" x14ac:dyDescent="0.35">
      <c r="A3012" s="2" t="s">
        <v>89</v>
      </c>
      <c r="B3012" s="2" t="s">
        <v>12301</v>
      </c>
      <c r="C3012" s="2" t="s">
        <v>29160</v>
      </c>
      <c r="D3012" s="2" t="s">
        <v>29161</v>
      </c>
      <c r="E3012" s="2" t="s">
        <v>29162</v>
      </c>
      <c r="G3012" s="3" t="s">
        <v>62</v>
      </c>
      <c r="I3012" s="3" t="s">
        <v>61</v>
      </c>
      <c r="J3012" s="3" t="s">
        <v>61</v>
      </c>
      <c r="K3012" s="3" t="s">
        <v>63</v>
      </c>
      <c r="L3012" s="2" t="s">
        <v>29163</v>
      </c>
      <c r="M3012" s="2" t="s">
        <v>29164</v>
      </c>
      <c r="N3012" s="3" t="s">
        <v>81</v>
      </c>
      <c r="O3012" s="2" t="s">
        <v>21546</v>
      </c>
      <c r="P3012" s="3" t="s">
        <v>64</v>
      </c>
      <c r="Q3012" s="2" t="s">
        <v>29165</v>
      </c>
      <c r="R3012" s="3" t="s">
        <v>27443</v>
      </c>
      <c r="S3012" s="4">
        <v>60</v>
      </c>
      <c r="T3012" s="4">
        <v>76</v>
      </c>
      <c r="U3012" s="5" t="s">
        <v>16073</v>
      </c>
      <c r="V3012" s="5" t="s">
        <v>16073</v>
      </c>
      <c r="W3012" s="5" t="s">
        <v>67</v>
      </c>
      <c r="X3012" s="5" t="s">
        <v>67</v>
      </c>
      <c r="Y3012" s="4">
        <v>816</v>
      </c>
      <c r="Z3012" s="4">
        <v>37</v>
      </c>
      <c r="AA3012" s="4">
        <v>57</v>
      </c>
      <c r="AB3012" s="4">
        <v>2</v>
      </c>
      <c r="AC3012" s="4">
        <v>9</v>
      </c>
      <c r="AD3012" s="4">
        <v>131</v>
      </c>
      <c r="AE3012" s="4">
        <v>152</v>
      </c>
      <c r="AF3012" s="4">
        <v>1</v>
      </c>
      <c r="AG3012" s="4">
        <v>7</v>
      </c>
      <c r="AH3012" s="4">
        <v>108</v>
      </c>
      <c r="AI3012" s="4">
        <v>116</v>
      </c>
      <c r="AJ3012" s="4">
        <v>20</v>
      </c>
      <c r="AK3012" s="4">
        <v>28</v>
      </c>
      <c r="AL3012" s="4">
        <v>60</v>
      </c>
      <c r="AM3012" s="4">
        <v>61</v>
      </c>
      <c r="AN3012" s="4">
        <v>0</v>
      </c>
      <c r="AO3012" s="4">
        <v>0</v>
      </c>
      <c r="AP3012" s="4">
        <v>28</v>
      </c>
      <c r="AQ3012" s="4">
        <v>42</v>
      </c>
      <c r="AR3012" s="3" t="s">
        <v>62</v>
      </c>
      <c r="AS3012" s="3" t="s">
        <v>62</v>
      </c>
      <c r="AT3012" s="3" t="s">
        <v>61</v>
      </c>
      <c r="AU3012" s="6" t="str">
        <f>HYPERLINK("http://catalog.hathitrust.org/Record/000202619","HathiTrust Record")</f>
        <v>HathiTrust Record</v>
      </c>
      <c r="AV3012" s="6" t="str">
        <f>HYPERLINK("http://mcgill.on.worldcat.org/oclc/443932","Catalog Record")</f>
        <v>Catalog Record</v>
      </c>
      <c r="AW3012" s="6" t="str">
        <f>HYPERLINK("http://www.worldcat.org/oclc/443932","WorldCat Record")</f>
        <v>WorldCat Record</v>
      </c>
      <c r="AX3012" s="3" t="s">
        <v>29166</v>
      </c>
      <c r="AY3012" s="3" t="s">
        <v>29167</v>
      </c>
      <c r="AZ3012" s="3" t="s">
        <v>29168</v>
      </c>
      <c r="BA3012" s="3" t="s">
        <v>29168</v>
      </c>
      <c r="BB3012" s="3" t="s">
        <v>29169</v>
      </c>
      <c r="BC3012" s="3" t="s">
        <v>102</v>
      </c>
      <c r="BD3012" s="3" t="s">
        <v>68</v>
      </c>
      <c r="BE3012" s="3" t="s">
        <v>29170</v>
      </c>
      <c r="BF3012" s="3" t="s">
        <v>29169</v>
      </c>
      <c r="BG3012" s="3" t="s">
        <v>29171</v>
      </c>
    </row>
    <row r="3013" spans="1:59" ht="58" x14ac:dyDescent="0.35">
      <c r="A3013" s="2" t="s">
        <v>89</v>
      </c>
      <c r="B3013" s="2" t="s">
        <v>90</v>
      </c>
      <c r="C3013" s="2" t="s">
        <v>29160</v>
      </c>
      <c r="D3013" s="2" t="s">
        <v>29161</v>
      </c>
      <c r="E3013" s="2" t="s">
        <v>29162</v>
      </c>
      <c r="G3013" s="3" t="s">
        <v>62</v>
      </c>
      <c r="I3013" s="3" t="s">
        <v>61</v>
      </c>
      <c r="J3013" s="3" t="s">
        <v>61</v>
      </c>
      <c r="K3013" s="3" t="s">
        <v>63</v>
      </c>
      <c r="L3013" s="2" t="s">
        <v>29163</v>
      </c>
      <c r="M3013" s="2" t="s">
        <v>29164</v>
      </c>
      <c r="N3013" s="3" t="s">
        <v>81</v>
      </c>
      <c r="O3013" s="2" t="s">
        <v>21546</v>
      </c>
      <c r="P3013" s="3" t="s">
        <v>64</v>
      </c>
      <c r="Q3013" s="2" t="s">
        <v>29165</v>
      </c>
      <c r="R3013" s="3" t="s">
        <v>27443</v>
      </c>
      <c r="S3013" s="4">
        <v>16</v>
      </c>
      <c r="T3013" s="4">
        <v>76</v>
      </c>
      <c r="U3013" s="5" t="s">
        <v>6385</v>
      </c>
      <c r="V3013" s="5" t="s">
        <v>16073</v>
      </c>
      <c r="W3013" s="5" t="s">
        <v>67</v>
      </c>
      <c r="X3013" s="5" t="s">
        <v>67</v>
      </c>
      <c r="Y3013" s="4">
        <v>816</v>
      </c>
      <c r="Z3013" s="4">
        <v>37</v>
      </c>
      <c r="AA3013" s="4">
        <v>57</v>
      </c>
      <c r="AB3013" s="4">
        <v>2</v>
      </c>
      <c r="AC3013" s="4">
        <v>9</v>
      </c>
      <c r="AD3013" s="4">
        <v>131</v>
      </c>
      <c r="AE3013" s="4">
        <v>152</v>
      </c>
      <c r="AF3013" s="4">
        <v>1</v>
      </c>
      <c r="AG3013" s="4">
        <v>7</v>
      </c>
      <c r="AH3013" s="4">
        <v>108</v>
      </c>
      <c r="AI3013" s="4">
        <v>116</v>
      </c>
      <c r="AJ3013" s="4">
        <v>20</v>
      </c>
      <c r="AK3013" s="4">
        <v>28</v>
      </c>
      <c r="AL3013" s="4">
        <v>60</v>
      </c>
      <c r="AM3013" s="4">
        <v>61</v>
      </c>
      <c r="AN3013" s="4">
        <v>0</v>
      </c>
      <c r="AO3013" s="4">
        <v>0</v>
      </c>
      <c r="AP3013" s="4">
        <v>28</v>
      </c>
      <c r="AQ3013" s="4">
        <v>42</v>
      </c>
      <c r="AR3013" s="3" t="s">
        <v>62</v>
      </c>
      <c r="AS3013" s="3" t="s">
        <v>62</v>
      </c>
      <c r="AT3013" s="3" t="s">
        <v>61</v>
      </c>
      <c r="AU3013" s="6" t="str">
        <f>HYPERLINK("http://catalog.hathitrust.org/Record/000202619","HathiTrust Record")</f>
        <v>HathiTrust Record</v>
      </c>
      <c r="AV3013" s="6" t="str">
        <f>HYPERLINK("http://mcgill.on.worldcat.org/oclc/443932","Catalog Record")</f>
        <v>Catalog Record</v>
      </c>
      <c r="AW3013" s="6" t="str">
        <f>HYPERLINK("http://www.worldcat.org/oclc/443932","WorldCat Record")</f>
        <v>WorldCat Record</v>
      </c>
      <c r="AX3013" s="3" t="s">
        <v>29166</v>
      </c>
      <c r="AY3013" s="3" t="s">
        <v>29167</v>
      </c>
      <c r="AZ3013" s="3" t="s">
        <v>29168</v>
      </c>
      <c r="BA3013" s="3" t="s">
        <v>29168</v>
      </c>
      <c r="BB3013" s="3" t="s">
        <v>29172</v>
      </c>
      <c r="BC3013" s="3" t="s">
        <v>102</v>
      </c>
      <c r="BD3013" s="3" t="s">
        <v>68</v>
      </c>
      <c r="BE3013" s="3" t="s">
        <v>29170</v>
      </c>
      <c r="BF3013" s="3" t="s">
        <v>29172</v>
      </c>
      <c r="BG3013" s="3" t="s">
        <v>29173</v>
      </c>
    </row>
    <row r="3014" spans="1:59" ht="58" x14ac:dyDescent="0.35">
      <c r="A3014" s="2" t="s">
        <v>89</v>
      </c>
      <c r="B3014" s="2" t="s">
        <v>90</v>
      </c>
      <c r="C3014" s="2" t="s">
        <v>29174</v>
      </c>
      <c r="D3014" s="2" t="s">
        <v>29175</v>
      </c>
      <c r="E3014" s="2" t="s">
        <v>29176</v>
      </c>
      <c r="G3014" s="3" t="s">
        <v>62</v>
      </c>
      <c r="I3014" s="3" t="s">
        <v>62</v>
      </c>
      <c r="J3014" s="3" t="s">
        <v>62</v>
      </c>
      <c r="K3014" s="3" t="s">
        <v>63</v>
      </c>
      <c r="L3014" s="2" t="s">
        <v>29177</v>
      </c>
      <c r="M3014" s="2" t="s">
        <v>29178</v>
      </c>
      <c r="N3014" s="3" t="s">
        <v>712</v>
      </c>
      <c r="O3014" s="2" t="s">
        <v>8443</v>
      </c>
      <c r="P3014" s="3" t="s">
        <v>64</v>
      </c>
      <c r="R3014" s="3" t="s">
        <v>27443</v>
      </c>
      <c r="S3014" s="4">
        <v>1</v>
      </c>
      <c r="T3014" s="4">
        <v>1</v>
      </c>
      <c r="U3014" s="5" t="s">
        <v>29179</v>
      </c>
      <c r="V3014" s="5" t="s">
        <v>29179</v>
      </c>
      <c r="W3014" s="5" t="s">
        <v>67</v>
      </c>
      <c r="X3014" s="5" t="s">
        <v>67</v>
      </c>
      <c r="Y3014" s="4">
        <v>56</v>
      </c>
      <c r="Z3014" s="4">
        <v>3</v>
      </c>
      <c r="AA3014" s="4">
        <v>3</v>
      </c>
      <c r="AB3014" s="4">
        <v>1</v>
      </c>
      <c r="AC3014" s="4">
        <v>1</v>
      </c>
      <c r="AD3014" s="4">
        <v>19</v>
      </c>
      <c r="AE3014" s="4">
        <v>19</v>
      </c>
      <c r="AF3014" s="4">
        <v>0</v>
      </c>
      <c r="AG3014" s="4">
        <v>0</v>
      </c>
      <c r="AH3014" s="4">
        <v>18</v>
      </c>
      <c r="AI3014" s="4">
        <v>18</v>
      </c>
      <c r="AJ3014" s="4">
        <v>2</v>
      </c>
      <c r="AK3014" s="4">
        <v>2</v>
      </c>
      <c r="AL3014" s="4">
        <v>8</v>
      </c>
      <c r="AM3014" s="4">
        <v>8</v>
      </c>
      <c r="AN3014" s="4">
        <v>0</v>
      </c>
      <c r="AO3014" s="4">
        <v>0</v>
      </c>
      <c r="AP3014" s="4">
        <v>2</v>
      </c>
      <c r="AQ3014" s="4">
        <v>2</v>
      </c>
      <c r="AR3014" s="3" t="s">
        <v>62</v>
      </c>
      <c r="AS3014" s="3" t="s">
        <v>62</v>
      </c>
      <c r="AT3014" s="3" t="s">
        <v>62</v>
      </c>
      <c r="AV3014" s="6" t="str">
        <f>HYPERLINK("http://mcgill.on.worldcat.org/oclc/881281320","Catalog Record")</f>
        <v>Catalog Record</v>
      </c>
      <c r="AW3014" s="6" t="str">
        <f>HYPERLINK("http://www.worldcat.org/oclc/881281320","WorldCat Record")</f>
        <v>WorldCat Record</v>
      </c>
      <c r="AX3014" s="3" t="s">
        <v>29180</v>
      </c>
      <c r="AY3014" s="3" t="s">
        <v>29181</v>
      </c>
      <c r="AZ3014" s="3" t="s">
        <v>29182</v>
      </c>
      <c r="BA3014" s="3" t="s">
        <v>29182</v>
      </c>
      <c r="BB3014" s="3" t="s">
        <v>29183</v>
      </c>
      <c r="BC3014" s="3" t="s">
        <v>102</v>
      </c>
      <c r="BD3014" s="3" t="s">
        <v>68</v>
      </c>
      <c r="BE3014" s="3" t="s">
        <v>29184</v>
      </c>
      <c r="BF3014" s="3" t="s">
        <v>29183</v>
      </c>
      <c r="BG3014" s="3" t="s">
        <v>29185</v>
      </c>
    </row>
    <row r="3015" spans="1:59" ht="101.5" x14ac:dyDescent="0.35">
      <c r="A3015" s="2" t="s">
        <v>89</v>
      </c>
      <c r="B3015" s="2" t="s">
        <v>12301</v>
      </c>
      <c r="C3015" s="2" t="s">
        <v>29186</v>
      </c>
      <c r="D3015" s="2" t="s">
        <v>29187</v>
      </c>
      <c r="E3015" s="2" t="s">
        <v>29188</v>
      </c>
      <c r="G3015" s="3" t="s">
        <v>62</v>
      </c>
      <c r="I3015" s="3" t="s">
        <v>61</v>
      </c>
      <c r="J3015" s="3" t="s">
        <v>61</v>
      </c>
      <c r="K3015" s="3" t="s">
        <v>63</v>
      </c>
      <c r="L3015" s="2" t="s">
        <v>29189</v>
      </c>
      <c r="M3015" s="2" t="s">
        <v>29190</v>
      </c>
      <c r="N3015" s="3" t="s">
        <v>2136</v>
      </c>
      <c r="O3015" s="2" t="s">
        <v>2986</v>
      </c>
      <c r="P3015" s="3" t="s">
        <v>64</v>
      </c>
      <c r="R3015" s="3" t="s">
        <v>27443</v>
      </c>
      <c r="S3015" s="4">
        <v>63</v>
      </c>
      <c r="T3015" s="4">
        <v>130</v>
      </c>
      <c r="U3015" s="5" t="s">
        <v>16849</v>
      </c>
      <c r="V3015" s="5" t="s">
        <v>16849</v>
      </c>
      <c r="W3015" s="5" t="s">
        <v>67</v>
      </c>
      <c r="X3015" s="5" t="s">
        <v>67</v>
      </c>
      <c r="Y3015" s="4">
        <v>489</v>
      </c>
      <c r="Z3015" s="4">
        <v>36</v>
      </c>
      <c r="AA3015" s="4">
        <v>58</v>
      </c>
      <c r="AB3015" s="4">
        <v>3</v>
      </c>
      <c r="AC3015" s="4">
        <v>13</v>
      </c>
      <c r="AD3015" s="4">
        <v>111</v>
      </c>
      <c r="AE3015" s="4">
        <v>137</v>
      </c>
      <c r="AF3015" s="4">
        <v>2</v>
      </c>
      <c r="AG3015" s="4">
        <v>7</v>
      </c>
      <c r="AH3015" s="4">
        <v>91</v>
      </c>
      <c r="AI3015" s="4">
        <v>107</v>
      </c>
      <c r="AJ3015" s="4">
        <v>17</v>
      </c>
      <c r="AK3015" s="4">
        <v>25</v>
      </c>
      <c r="AL3015" s="4">
        <v>56</v>
      </c>
      <c r="AM3015" s="4">
        <v>61</v>
      </c>
      <c r="AN3015" s="4">
        <v>0</v>
      </c>
      <c r="AO3015" s="4">
        <v>0</v>
      </c>
      <c r="AP3015" s="4">
        <v>26</v>
      </c>
      <c r="AQ3015" s="4">
        <v>39</v>
      </c>
      <c r="AR3015" s="3" t="s">
        <v>62</v>
      </c>
      <c r="AS3015" s="3" t="s">
        <v>62</v>
      </c>
      <c r="AT3015" s="3" t="s">
        <v>61</v>
      </c>
      <c r="AU3015" s="6" t="str">
        <f>HYPERLINK("http://catalog.hathitrust.org/Record/004759732","HathiTrust Record")</f>
        <v>HathiTrust Record</v>
      </c>
      <c r="AV3015" s="6" t="str">
        <f>HYPERLINK("http://mcgill.on.worldcat.org/oclc/53926857","Catalog Record")</f>
        <v>Catalog Record</v>
      </c>
      <c r="AW3015" s="6" t="str">
        <f>HYPERLINK("http://www.worldcat.org/oclc/53926857","WorldCat Record")</f>
        <v>WorldCat Record</v>
      </c>
      <c r="AX3015" s="3" t="s">
        <v>29191</v>
      </c>
      <c r="AY3015" s="3" t="s">
        <v>29192</v>
      </c>
      <c r="AZ3015" s="3" t="s">
        <v>29193</v>
      </c>
      <c r="BA3015" s="3" t="s">
        <v>29193</v>
      </c>
      <c r="BB3015" s="3" t="s">
        <v>29194</v>
      </c>
      <c r="BC3015" s="3" t="s">
        <v>102</v>
      </c>
      <c r="BD3015" s="3" t="s">
        <v>68</v>
      </c>
      <c r="BE3015" s="3" t="s">
        <v>29195</v>
      </c>
      <c r="BF3015" s="3" t="s">
        <v>29194</v>
      </c>
      <c r="BG3015" s="3" t="s">
        <v>29196</v>
      </c>
    </row>
    <row r="3016" spans="1:59" ht="101.5" x14ac:dyDescent="0.35">
      <c r="A3016" s="2" t="s">
        <v>89</v>
      </c>
      <c r="B3016" s="2" t="s">
        <v>12301</v>
      </c>
      <c r="C3016" s="2" t="s">
        <v>29186</v>
      </c>
      <c r="D3016" s="2" t="s">
        <v>29187</v>
      </c>
      <c r="E3016" s="2" t="s">
        <v>29188</v>
      </c>
      <c r="G3016" s="3" t="s">
        <v>62</v>
      </c>
      <c r="I3016" s="3" t="s">
        <v>61</v>
      </c>
      <c r="J3016" s="3" t="s">
        <v>61</v>
      </c>
      <c r="K3016" s="3" t="s">
        <v>63</v>
      </c>
      <c r="L3016" s="2" t="s">
        <v>29189</v>
      </c>
      <c r="M3016" s="2" t="s">
        <v>29190</v>
      </c>
      <c r="N3016" s="3" t="s">
        <v>2136</v>
      </c>
      <c r="O3016" s="2" t="s">
        <v>2986</v>
      </c>
      <c r="P3016" s="3" t="s">
        <v>64</v>
      </c>
      <c r="R3016" s="3" t="s">
        <v>27443</v>
      </c>
      <c r="S3016" s="4">
        <v>67</v>
      </c>
      <c r="T3016" s="4">
        <v>130</v>
      </c>
      <c r="U3016" s="5" t="s">
        <v>24314</v>
      </c>
      <c r="V3016" s="5" t="s">
        <v>16849</v>
      </c>
      <c r="W3016" s="5" t="s">
        <v>67</v>
      </c>
      <c r="X3016" s="5" t="s">
        <v>67</v>
      </c>
      <c r="Y3016" s="4">
        <v>489</v>
      </c>
      <c r="Z3016" s="4">
        <v>36</v>
      </c>
      <c r="AA3016" s="4">
        <v>58</v>
      </c>
      <c r="AB3016" s="4">
        <v>3</v>
      </c>
      <c r="AC3016" s="4">
        <v>13</v>
      </c>
      <c r="AD3016" s="4">
        <v>111</v>
      </c>
      <c r="AE3016" s="4">
        <v>137</v>
      </c>
      <c r="AF3016" s="4">
        <v>2</v>
      </c>
      <c r="AG3016" s="4">
        <v>7</v>
      </c>
      <c r="AH3016" s="4">
        <v>91</v>
      </c>
      <c r="AI3016" s="4">
        <v>107</v>
      </c>
      <c r="AJ3016" s="4">
        <v>17</v>
      </c>
      <c r="AK3016" s="4">
        <v>25</v>
      </c>
      <c r="AL3016" s="4">
        <v>56</v>
      </c>
      <c r="AM3016" s="4">
        <v>61</v>
      </c>
      <c r="AN3016" s="4">
        <v>0</v>
      </c>
      <c r="AO3016" s="4">
        <v>0</v>
      </c>
      <c r="AP3016" s="4">
        <v>26</v>
      </c>
      <c r="AQ3016" s="4">
        <v>39</v>
      </c>
      <c r="AR3016" s="3" t="s">
        <v>62</v>
      </c>
      <c r="AS3016" s="3" t="s">
        <v>62</v>
      </c>
      <c r="AT3016" s="3" t="s">
        <v>61</v>
      </c>
      <c r="AU3016" s="6" t="str">
        <f>HYPERLINK("http://catalog.hathitrust.org/Record/004759732","HathiTrust Record")</f>
        <v>HathiTrust Record</v>
      </c>
      <c r="AV3016" s="6" t="str">
        <f>HYPERLINK("http://mcgill.on.worldcat.org/oclc/53926857","Catalog Record")</f>
        <v>Catalog Record</v>
      </c>
      <c r="AW3016" s="6" t="str">
        <f>HYPERLINK("http://www.worldcat.org/oclc/53926857","WorldCat Record")</f>
        <v>WorldCat Record</v>
      </c>
      <c r="AX3016" s="3" t="s">
        <v>29191</v>
      </c>
      <c r="AY3016" s="3" t="s">
        <v>29192</v>
      </c>
      <c r="AZ3016" s="3" t="s">
        <v>29193</v>
      </c>
      <c r="BA3016" s="3" t="s">
        <v>29193</v>
      </c>
      <c r="BB3016" s="3" t="s">
        <v>29197</v>
      </c>
      <c r="BC3016" s="3" t="s">
        <v>102</v>
      </c>
      <c r="BD3016" s="3" t="s">
        <v>68</v>
      </c>
      <c r="BE3016" s="3" t="s">
        <v>29195</v>
      </c>
      <c r="BF3016" s="3" t="s">
        <v>29197</v>
      </c>
      <c r="BG3016" s="3" t="s">
        <v>29198</v>
      </c>
    </row>
    <row r="3017" spans="1:59" ht="58" x14ac:dyDescent="0.35">
      <c r="A3017" s="2" t="s">
        <v>89</v>
      </c>
      <c r="B3017" s="2" t="s">
        <v>90</v>
      </c>
      <c r="C3017" s="2" t="s">
        <v>29199</v>
      </c>
      <c r="D3017" s="2" t="s">
        <v>29200</v>
      </c>
      <c r="E3017" s="2" t="s">
        <v>29201</v>
      </c>
      <c r="G3017" s="3" t="s">
        <v>62</v>
      </c>
      <c r="I3017" s="3" t="s">
        <v>62</v>
      </c>
      <c r="J3017" s="3" t="s">
        <v>62</v>
      </c>
      <c r="K3017" s="3" t="s">
        <v>63</v>
      </c>
      <c r="L3017" s="2" t="s">
        <v>29202</v>
      </c>
      <c r="M3017" s="2" t="s">
        <v>21534</v>
      </c>
      <c r="N3017" s="3" t="s">
        <v>115</v>
      </c>
      <c r="P3017" s="3" t="s">
        <v>64</v>
      </c>
      <c r="R3017" s="3" t="s">
        <v>27443</v>
      </c>
      <c r="S3017" s="4">
        <v>9</v>
      </c>
      <c r="T3017" s="4">
        <v>9</v>
      </c>
      <c r="U3017" s="5" t="s">
        <v>6531</v>
      </c>
      <c r="V3017" s="5" t="s">
        <v>6531</v>
      </c>
      <c r="W3017" s="5" t="s">
        <v>67</v>
      </c>
      <c r="X3017" s="5" t="s">
        <v>67</v>
      </c>
      <c r="Y3017" s="4">
        <v>414</v>
      </c>
      <c r="Z3017" s="4">
        <v>34</v>
      </c>
      <c r="AA3017" s="4">
        <v>39</v>
      </c>
      <c r="AB3017" s="4">
        <v>2</v>
      </c>
      <c r="AC3017" s="4">
        <v>4</v>
      </c>
      <c r="AD3017" s="4">
        <v>114</v>
      </c>
      <c r="AE3017" s="4">
        <v>119</v>
      </c>
      <c r="AF3017" s="4">
        <v>1</v>
      </c>
      <c r="AG3017" s="4">
        <v>3</v>
      </c>
      <c r="AH3017" s="4">
        <v>94</v>
      </c>
      <c r="AI3017" s="4">
        <v>96</v>
      </c>
      <c r="AJ3017" s="4">
        <v>17</v>
      </c>
      <c r="AK3017" s="4">
        <v>20</v>
      </c>
      <c r="AL3017" s="4">
        <v>54</v>
      </c>
      <c r="AM3017" s="4">
        <v>55</v>
      </c>
      <c r="AN3017" s="4">
        <v>0</v>
      </c>
      <c r="AO3017" s="4">
        <v>0</v>
      </c>
      <c r="AP3017" s="4">
        <v>25</v>
      </c>
      <c r="AQ3017" s="4">
        <v>28</v>
      </c>
      <c r="AR3017" s="3" t="s">
        <v>62</v>
      </c>
      <c r="AS3017" s="3" t="s">
        <v>62</v>
      </c>
      <c r="AT3017" s="3" t="s">
        <v>62</v>
      </c>
      <c r="AV3017" s="6" t="str">
        <f>HYPERLINK("http://mcgill.on.worldcat.org/oclc/19355008","Catalog Record")</f>
        <v>Catalog Record</v>
      </c>
      <c r="AW3017" s="6" t="str">
        <f>HYPERLINK("http://www.worldcat.org/oclc/19355008","WorldCat Record")</f>
        <v>WorldCat Record</v>
      </c>
      <c r="AX3017" s="3" t="s">
        <v>29203</v>
      </c>
      <c r="AY3017" s="3" t="s">
        <v>29204</v>
      </c>
      <c r="AZ3017" s="3" t="s">
        <v>29205</v>
      </c>
      <c r="BA3017" s="3" t="s">
        <v>29205</v>
      </c>
      <c r="BB3017" s="3" t="s">
        <v>29206</v>
      </c>
      <c r="BC3017" s="3" t="s">
        <v>102</v>
      </c>
      <c r="BD3017" s="3" t="s">
        <v>68</v>
      </c>
      <c r="BE3017" s="3" t="s">
        <v>29207</v>
      </c>
      <c r="BF3017" s="3" t="s">
        <v>29206</v>
      </c>
      <c r="BG3017" s="3" t="s">
        <v>29208</v>
      </c>
    </row>
    <row r="3018" spans="1:59" ht="58" x14ac:dyDescent="0.35">
      <c r="A3018" s="2" t="s">
        <v>89</v>
      </c>
      <c r="B3018" s="2" t="s">
        <v>90</v>
      </c>
      <c r="C3018" s="2" t="s">
        <v>29209</v>
      </c>
      <c r="D3018" s="2" t="s">
        <v>29210</v>
      </c>
      <c r="E3018" s="2" t="s">
        <v>29211</v>
      </c>
      <c r="G3018" s="3" t="s">
        <v>62</v>
      </c>
      <c r="I3018" s="3" t="s">
        <v>62</v>
      </c>
      <c r="J3018" s="3" t="s">
        <v>62</v>
      </c>
      <c r="K3018" s="3" t="s">
        <v>63</v>
      </c>
      <c r="L3018" s="2" t="s">
        <v>29212</v>
      </c>
      <c r="M3018" s="2" t="s">
        <v>4023</v>
      </c>
      <c r="N3018" s="3" t="s">
        <v>596</v>
      </c>
      <c r="P3018" s="3" t="s">
        <v>64</v>
      </c>
      <c r="Q3018" s="2" t="s">
        <v>29213</v>
      </c>
      <c r="R3018" s="3" t="s">
        <v>27443</v>
      </c>
      <c r="S3018" s="4">
        <v>11</v>
      </c>
      <c r="T3018" s="4">
        <v>11</v>
      </c>
      <c r="U3018" s="5" t="s">
        <v>23359</v>
      </c>
      <c r="V3018" s="5" t="s">
        <v>23359</v>
      </c>
      <c r="W3018" s="5" t="s">
        <v>67</v>
      </c>
      <c r="X3018" s="5" t="s">
        <v>67</v>
      </c>
      <c r="Y3018" s="4">
        <v>758</v>
      </c>
      <c r="Z3018" s="4">
        <v>34</v>
      </c>
      <c r="AA3018" s="4">
        <v>44</v>
      </c>
      <c r="AB3018" s="4">
        <v>4</v>
      </c>
      <c r="AC3018" s="4">
        <v>6</v>
      </c>
      <c r="AD3018" s="4">
        <v>90</v>
      </c>
      <c r="AE3018" s="4">
        <v>102</v>
      </c>
      <c r="AF3018" s="4">
        <v>2</v>
      </c>
      <c r="AG3018" s="4">
        <v>3</v>
      </c>
      <c r="AH3018" s="4">
        <v>78</v>
      </c>
      <c r="AI3018" s="4">
        <v>82</v>
      </c>
      <c r="AJ3018" s="4">
        <v>10</v>
      </c>
      <c r="AK3018" s="4">
        <v>15</v>
      </c>
      <c r="AL3018" s="4">
        <v>45</v>
      </c>
      <c r="AM3018" s="4">
        <v>48</v>
      </c>
      <c r="AN3018" s="4">
        <v>0</v>
      </c>
      <c r="AO3018" s="4">
        <v>0</v>
      </c>
      <c r="AP3018" s="4">
        <v>17</v>
      </c>
      <c r="AQ3018" s="4">
        <v>26</v>
      </c>
      <c r="AR3018" s="3" t="s">
        <v>62</v>
      </c>
      <c r="AS3018" s="3" t="s">
        <v>62</v>
      </c>
      <c r="AT3018" s="3" t="s">
        <v>62</v>
      </c>
      <c r="AV3018" s="6" t="str">
        <f>HYPERLINK("http://mcgill.on.worldcat.org/oclc/48932657","Catalog Record")</f>
        <v>Catalog Record</v>
      </c>
      <c r="AW3018" s="6" t="str">
        <f>HYPERLINK("http://www.worldcat.org/oclc/48932657","WorldCat Record")</f>
        <v>WorldCat Record</v>
      </c>
      <c r="AX3018" s="3" t="s">
        <v>29214</v>
      </c>
      <c r="AY3018" s="3" t="s">
        <v>29215</v>
      </c>
      <c r="AZ3018" s="3" t="s">
        <v>29216</v>
      </c>
      <c r="BA3018" s="3" t="s">
        <v>29216</v>
      </c>
      <c r="BB3018" s="3" t="s">
        <v>29217</v>
      </c>
      <c r="BC3018" s="3" t="s">
        <v>102</v>
      </c>
      <c r="BD3018" s="3" t="s">
        <v>68</v>
      </c>
      <c r="BE3018" s="3" t="s">
        <v>29218</v>
      </c>
      <c r="BF3018" s="3" t="s">
        <v>29217</v>
      </c>
      <c r="BG3018" s="3" t="s">
        <v>29219</v>
      </c>
    </row>
    <row r="3019" spans="1:59" ht="58" x14ac:dyDescent="0.35">
      <c r="A3019" s="2" t="s">
        <v>89</v>
      </c>
      <c r="B3019" s="2" t="s">
        <v>90</v>
      </c>
      <c r="C3019" s="2" t="s">
        <v>29220</v>
      </c>
      <c r="D3019" s="2" t="s">
        <v>29221</v>
      </c>
      <c r="E3019" s="2" t="s">
        <v>29222</v>
      </c>
      <c r="G3019" s="3" t="s">
        <v>62</v>
      </c>
      <c r="I3019" s="3" t="s">
        <v>61</v>
      </c>
      <c r="J3019" s="3" t="s">
        <v>62</v>
      </c>
      <c r="K3019" s="3" t="s">
        <v>63</v>
      </c>
      <c r="L3019" s="2" t="s">
        <v>8636</v>
      </c>
      <c r="M3019" s="2" t="s">
        <v>29223</v>
      </c>
      <c r="N3019" s="3" t="s">
        <v>893</v>
      </c>
      <c r="P3019" s="3" t="s">
        <v>64</v>
      </c>
      <c r="R3019" s="3" t="s">
        <v>27443</v>
      </c>
      <c r="S3019" s="4">
        <v>18</v>
      </c>
      <c r="T3019" s="4">
        <v>41</v>
      </c>
      <c r="U3019" s="5" t="s">
        <v>13420</v>
      </c>
      <c r="V3019" s="5" t="s">
        <v>13420</v>
      </c>
      <c r="W3019" s="5" t="s">
        <v>67</v>
      </c>
      <c r="X3019" s="5" t="s">
        <v>67</v>
      </c>
      <c r="Y3019" s="4">
        <v>10</v>
      </c>
      <c r="Z3019" s="4">
        <v>1</v>
      </c>
      <c r="AA3019" s="4">
        <v>7</v>
      </c>
      <c r="AB3019" s="4">
        <v>1</v>
      </c>
      <c r="AC3019" s="4">
        <v>1</v>
      </c>
      <c r="AD3019" s="4">
        <v>4</v>
      </c>
      <c r="AE3019" s="4">
        <v>12</v>
      </c>
      <c r="AF3019" s="4">
        <v>0</v>
      </c>
      <c r="AG3019" s="4">
        <v>0</v>
      </c>
      <c r="AH3019" s="4">
        <v>4</v>
      </c>
      <c r="AI3019" s="4">
        <v>9</v>
      </c>
      <c r="AJ3019" s="4">
        <v>0</v>
      </c>
      <c r="AK3019" s="4">
        <v>4</v>
      </c>
      <c r="AL3019" s="4">
        <v>3</v>
      </c>
      <c r="AM3019" s="4">
        <v>5</v>
      </c>
      <c r="AN3019" s="4">
        <v>0</v>
      </c>
      <c r="AO3019" s="4">
        <v>0</v>
      </c>
      <c r="AP3019" s="4">
        <v>0</v>
      </c>
      <c r="AQ3019" s="4">
        <v>5</v>
      </c>
      <c r="AR3019" s="3" t="s">
        <v>62</v>
      </c>
      <c r="AS3019" s="3" t="s">
        <v>62</v>
      </c>
      <c r="AT3019" s="3" t="s">
        <v>61</v>
      </c>
      <c r="AU3019" s="6" t="str">
        <f>HYPERLINK("http://catalog.hathitrust.org/Record/000249983","HathiTrust Record")</f>
        <v>HathiTrust Record</v>
      </c>
      <c r="AV3019" s="6" t="str">
        <f>HYPERLINK("http://mcgill.on.worldcat.org/oclc/363926865","Catalog Record")</f>
        <v>Catalog Record</v>
      </c>
      <c r="AW3019" s="6" t="str">
        <f>HYPERLINK("http://www.worldcat.org/oclc/363926865","WorldCat Record")</f>
        <v>WorldCat Record</v>
      </c>
      <c r="AX3019" s="3" t="s">
        <v>29224</v>
      </c>
      <c r="AY3019" s="3" t="s">
        <v>29225</v>
      </c>
      <c r="AZ3019" s="3" t="s">
        <v>29226</v>
      </c>
      <c r="BA3019" s="3" t="s">
        <v>29226</v>
      </c>
      <c r="BB3019" s="3" t="s">
        <v>29227</v>
      </c>
      <c r="BC3019" s="3" t="s">
        <v>102</v>
      </c>
      <c r="BD3019" s="3" t="s">
        <v>68</v>
      </c>
      <c r="BE3019" s="3" t="s">
        <v>29228</v>
      </c>
      <c r="BF3019" s="3" t="s">
        <v>29227</v>
      </c>
      <c r="BG3019" s="3" t="s">
        <v>29229</v>
      </c>
    </row>
    <row r="3020" spans="1:59" ht="58" x14ac:dyDescent="0.35">
      <c r="A3020" s="2" t="s">
        <v>89</v>
      </c>
      <c r="B3020" s="2" t="s">
        <v>90</v>
      </c>
      <c r="C3020" s="2" t="s">
        <v>29230</v>
      </c>
      <c r="D3020" s="2" t="s">
        <v>29231</v>
      </c>
      <c r="E3020" s="2" t="s">
        <v>29232</v>
      </c>
      <c r="G3020" s="3" t="s">
        <v>62</v>
      </c>
      <c r="I3020" s="3" t="s">
        <v>62</v>
      </c>
      <c r="J3020" s="3" t="s">
        <v>61</v>
      </c>
      <c r="K3020" s="3" t="s">
        <v>63</v>
      </c>
      <c r="L3020" s="2" t="s">
        <v>29233</v>
      </c>
      <c r="M3020" s="2" t="s">
        <v>29234</v>
      </c>
      <c r="N3020" s="3" t="s">
        <v>698</v>
      </c>
      <c r="O3020" s="2" t="s">
        <v>8443</v>
      </c>
      <c r="P3020" s="3" t="s">
        <v>64</v>
      </c>
      <c r="R3020" s="3" t="s">
        <v>27443</v>
      </c>
      <c r="S3020" s="4">
        <v>31</v>
      </c>
      <c r="T3020" s="4">
        <v>31</v>
      </c>
      <c r="U3020" s="5" t="s">
        <v>14499</v>
      </c>
      <c r="V3020" s="5" t="s">
        <v>14499</v>
      </c>
      <c r="W3020" s="5" t="s">
        <v>67</v>
      </c>
      <c r="X3020" s="5" t="s">
        <v>67</v>
      </c>
      <c r="Y3020" s="4">
        <v>179</v>
      </c>
      <c r="Z3020" s="4">
        <v>11</v>
      </c>
      <c r="AA3020" s="4">
        <v>34</v>
      </c>
      <c r="AB3020" s="4">
        <v>3</v>
      </c>
      <c r="AC3020" s="4">
        <v>7</v>
      </c>
      <c r="AD3020" s="4">
        <v>51</v>
      </c>
      <c r="AE3020" s="4">
        <v>108</v>
      </c>
      <c r="AF3020" s="4">
        <v>2</v>
      </c>
      <c r="AG3020" s="4">
        <v>5</v>
      </c>
      <c r="AH3020" s="4">
        <v>44</v>
      </c>
      <c r="AI3020" s="4">
        <v>88</v>
      </c>
      <c r="AJ3020" s="4">
        <v>7</v>
      </c>
      <c r="AK3020" s="4">
        <v>20</v>
      </c>
      <c r="AL3020" s="4">
        <v>30</v>
      </c>
      <c r="AM3020" s="4">
        <v>54</v>
      </c>
      <c r="AN3020" s="4">
        <v>0</v>
      </c>
      <c r="AO3020" s="4">
        <v>0</v>
      </c>
      <c r="AP3020" s="4">
        <v>8</v>
      </c>
      <c r="AQ3020" s="4">
        <v>26</v>
      </c>
      <c r="AR3020" s="3" t="s">
        <v>62</v>
      </c>
      <c r="AS3020" s="3" t="s">
        <v>62</v>
      </c>
      <c r="AT3020" s="3" t="s">
        <v>62</v>
      </c>
      <c r="AV3020" s="6" t="str">
        <f>HYPERLINK("http://mcgill.on.worldcat.org/oclc/768607168","Catalog Record")</f>
        <v>Catalog Record</v>
      </c>
      <c r="AW3020" s="6" t="str">
        <f>HYPERLINK("http://www.worldcat.org/oclc/768607168","WorldCat Record")</f>
        <v>WorldCat Record</v>
      </c>
      <c r="AX3020" s="3" t="s">
        <v>29235</v>
      </c>
      <c r="AY3020" s="3" t="s">
        <v>29236</v>
      </c>
      <c r="AZ3020" s="3" t="s">
        <v>29237</v>
      </c>
      <c r="BA3020" s="3" t="s">
        <v>29237</v>
      </c>
      <c r="BB3020" s="3" t="s">
        <v>29238</v>
      </c>
      <c r="BC3020" s="3" t="s">
        <v>102</v>
      </c>
      <c r="BD3020" s="3" t="s">
        <v>68</v>
      </c>
      <c r="BE3020" s="3" t="s">
        <v>29239</v>
      </c>
      <c r="BF3020" s="3" t="s">
        <v>29238</v>
      </c>
      <c r="BG3020" s="3" t="s">
        <v>29240</v>
      </c>
    </row>
    <row r="3021" spans="1:59" ht="58" x14ac:dyDescent="0.35">
      <c r="A3021" s="2" t="s">
        <v>89</v>
      </c>
      <c r="B3021" s="2" t="s">
        <v>90</v>
      </c>
      <c r="C3021" s="2" t="s">
        <v>29241</v>
      </c>
      <c r="D3021" s="2" t="s">
        <v>29242</v>
      </c>
      <c r="E3021" s="2" t="s">
        <v>29243</v>
      </c>
      <c r="G3021" s="3" t="s">
        <v>62</v>
      </c>
      <c r="I3021" s="3" t="s">
        <v>62</v>
      </c>
      <c r="J3021" s="3" t="s">
        <v>62</v>
      </c>
      <c r="K3021" s="3" t="s">
        <v>63</v>
      </c>
      <c r="L3021" s="2" t="s">
        <v>27454</v>
      </c>
      <c r="M3021" s="2" t="s">
        <v>29244</v>
      </c>
      <c r="N3021" s="3" t="s">
        <v>285</v>
      </c>
      <c r="P3021" s="3" t="s">
        <v>64</v>
      </c>
      <c r="R3021" s="3" t="s">
        <v>27443</v>
      </c>
      <c r="S3021" s="4">
        <v>62</v>
      </c>
      <c r="T3021" s="4">
        <v>62</v>
      </c>
      <c r="U3021" s="5" t="s">
        <v>29245</v>
      </c>
      <c r="V3021" s="5" t="s">
        <v>29245</v>
      </c>
      <c r="W3021" s="5" t="s">
        <v>67</v>
      </c>
      <c r="X3021" s="5" t="s">
        <v>67</v>
      </c>
      <c r="Y3021" s="4">
        <v>82</v>
      </c>
      <c r="Z3021" s="4">
        <v>18</v>
      </c>
      <c r="AA3021" s="4">
        <v>70</v>
      </c>
      <c r="AB3021" s="4">
        <v>2</v>
      </c>
      <c r="AC3021" s="4">
        <v>10</v>
      </c>
      <c r="AD3021" s="4">
        <v>26</v>
      </c>
      <c r="AE3021" s="4">
        <v>142</v>
      </c>
      <c r="AF3021" s="4">
        <v>0</v>
      </c>
      <c r="AG3021" s="4">
        <v>5</v>
      </c>
      <c r="AH3021" s="4">
        <v>20</v>
      </c>
      <c r="AI3021" s="4">
        <v>110</v>
      </c>
      <c r="AJ3021" s="4">
        <v>10</v>
      </c>
      <c r="AK3021" s="4">
        <v>23</v>
      </c>
      <c r="AL3021" s="4">
        <v>10</v>
      </c>
      <c r="AM3021" s="4">
        <v>60</v>
      </c>
      <c r="AN3021" s="4">
        <v>0</v>
      </c>
      <c r="AO3021" s="4">
        <v>0</v>
      </c>
      <c r="AP3021" s="4">
        <v>11</v>
      </c>
      <c r="AQ3021" s="4">
        <v>40</v>
      </c>
      <c r="AR3021" s="3" t="s">
        <v>62</v>
      </c>
      <c r="AS3021" s="3" t="s">
        <v>62</v>
      </c>
      <c r="AT3021" s="3" t="s">
        <v>61</v>
      </c>
      <c r="AU3021" s="6" t="str">
        <f>HYPERLINK("http://catalog.hathitrust.org/Record/000274149","HathiTrust Record")</f>
        <v>HathiTrust Record</v>
      </c>
      <c r="AV3021" s="6" t="str">
        <f>HYPERLINK("http://mcgill.on.worldcat.org/oclc/213796591","Catalog Record")</f>
        <v>Catalog Record</v>
      </c>
      <c r="AW3021" s="6" t="str">
        <f>HYPERLINK("http://www.worldcat.org/oclc/213796591","WorldCat Record")</f>
        <v>WorldCat Record</v>
      </c>
      <c r="AX3021" s="3" t="s">
        <v>29246</v>
      </c>
      <c r="AY3021" s="3" t="s">
        <v>29247</v>
      </c>
      <c r="AZ3021" s="3" t="s">
        <v>29248</v>
      </c>
      <c r="BA3021" s="3" t="s">
        <v>29248</v>
      </c>
      <c r="BB3021" s="3" t="s">
        <v>29249</v>
      </c>
      <c r="BC3021" s="3" t="s">
        <v>102</v>
      </c>
      <c r="BD3021" s="3" t="s">
        <v>231</v>
      </c>
      <c r="BE3021" s="3" t="s">
        <v>29250</v>
      </c>
      <c r="BF3021" s="3" t="s">
        <v>29249</v>
      </c>
      <c r="BG3021" s="3" t="s">
        <v>29251</v>
      </c>
    </row>
    <row r="3022" spans="1:59" ht="58" x14ac:dyDescent="0.35">
      <c r="A3022" s="2" t="s">
        <v>89</v>
      </c>
      <c r="B3022" s="2" t="s">
        <v>90</v>
      </c>
      <c r="C3022" s="2" t="s">
        <v>29252</v>
      </c>
      <c r="D3022" s="2" t="s">
        <v>29253</v>
      </c>
      <c r="E3022" s="2" t="s">
        <v>29254</v>
      </c>
      <c r="G3022" s="3" t="s">
        <v>62</v>
      </c>
      <c r="I3022" s="3" t="s">
        <v>61</v>
      </c>
      <c r="J3022" s="3" t="s">
        <v>62</v>
      </c>
      <c r="K3022" s="3" t="s">
        <v>63</v>
      </c>
      <c r="L3022" s="2" t="s">
        <v>29255</v>
      </c>
      <c r="M3022" s="2" t="s">
        <v>29256</v>
      </c>
      <c r="N3022" s="3" t="s">
        <v>396</v>
      </c>
      <c r="P3022" s="3" t="s">
        <v>64</v>
      </c>
      <c r="Q3022" s="2" t="s">
        <v>29257</v>
      </c>
      <c r="R3022" s="3" t="s">
        <v>27443</v>
      </c>
      <c r="S3022" s="4">
        <v>12</v>
      </c>
      <c r="T3022" s="4">
        <v>21</v>
      </c>
      <c r="U3022" s="5" t="s">
        <v>29258</v>
      </c>
      <c r="V3022" s="5" t="s">
        <v>29259</v>
      </c>
      <c r="W3022" s="5" t="s">
        <v>67</v>
      </c>
      <c r="X3022" s="5" t="s">
        <v>67</v>
      </c>
      <c r="Y3022" s="4">
        <v>451</v>
      </c>
      <c r="Z3022" s="4">
        <v>24</v>
      </c>
      <c r="AA3022" s="4">
        <v>29</v>
      </c>
      <c r="AB3022" s="4">
        <v>1</v>
      </c>
      <c r="AC3022" s="4">
        <v>4</v>
      </c>
      <c r="AD3022" s="4">
        <v>112</v>
      </c>
      <c r="AE3022" s="4">
        <v>117</v>
      </c>
      <c r="AF3022" s="4">
        <v>0</v>
      </c>
      <c r="AG3022" s="4">
        <v>3</v>
      </c>
      <c r="AH3022" s="4">
        <v>99</v>
      </c>
      <c r="AI3022" s="4">
        <v>99</v>
      </c>
      <c r="AJ3022" s="4">
        <v>18</v>
      </c>
      <c r="AK3022" s="4">
        <v>22</v>
      </c>
      <c r="AL3022" s="4">
        <v>55</v>
      </c>
      <c r="AM3022" s="4">
        <v>55</v>
      </c>
      <c r="AN3022" s="4">
        <v>0</v>
      </c>
      <c r="AO3022" s="4">
        <v>0</v>
      </c>
      <c r="AP3022" s="4">
        <v>19</v>
      </c>
      <c r="AQ3022" s="4">
        <v>23</v>
      </c>
      <c r="AR3022" s="3" t="s">
        <v>62</v>
      </c>
      <c r="AS3022" s="3" t="s">
        <v>62</v>
      </c>
      <c r="AT3022" s="3" t="s">
        <v>61</v>
      </c>
      <c r="AU3022" s="6" t="str">
        <f>HYPERLINK("http://catalog.hathitrust.org/Record/000378476","HathiTrust Record")</f>
        <v>HathiTrust Record</v>
      </c>
      <c r="AV3022" s="6" t="str">
        <f>HYPERLINK("http://mcgill.on.worldcat.org/oclc/11650680","Catalog Record")</f>
        <v>Catalog Record</v>
      </c>
      <c r="AW3022" s="6" t="str">
        <f>HYPERLINK("http://www.worldcat.org/oclc/11650680","WorldCat Record")</f>
        <v>WorldCat Record</v>
      </c>
      <c r="AX3022" s="3" t="s">
        <v>29260</v>
      </c>
      <c r="AY3022" s="3" t="s">
        <v>29261</v>
      </c>
      <c r="AZ3022" s="3" t="s">
        <v>29262</v>
      </c>
      <c r="BA3022" s="3" t="s">
        <v>29262</v>
      </c>
      <c r="BB3022" s="3" t="s">
        <v>29263</v>
      </c>
      <c r="BC3022" s="3" t="s">
        <v>102</v>
      </c>
      <c r="BD3022" s="3" t="s">
        <v>68</v>
      </c>
      <c r="BE3022" s="3" t="s">
        <v>29264</v>
      </c>
      <c r="BF3022" s="3" t="s">
        <v>29263</v>
      </c>
      <c r="BG3022" s="3" t="s">
        <v>29265</v>
      </c>
    </row>
    <row r="3023" spans="1:59" ht="58" x14ac:dyDescent="0.35">
      <c r="A3023" s="2" t="s">
        <v>89</v>
      </c>
      <c r="B3023" s="2" t="s">
        <v>90</v>
      </c>
      <c r="C3023" s="2" t="s">
        <v>29266</v>
      </c>
      <c r="D3023" s="2" t="s">
        <v>29267</v>
      </c>
      <c r="E3023" s="2" t="s">
        <v>29268</v>
      </c>
      <c r="G3023" s="3" t="s">
        <v>62</v>
      </c>
      <c r="I3023" s="3" t="s">
        <v>62</v>
      </c>
      <c r="J3023" s="3" t="s">
        <v>62</v>
      </c>
      <c r="K3023" s="3" t="s">
        <v>63</v>
      </c>
      <c r="L3023" s="2" t="s">
        <v>29269</v>
      </c>
      <c r="M3023" s="2" t="s">
        <v>29270</v>
      </c>
      <c r="N3023" s="3" t="s">
        <v>157</v>
      </c>
      <c r="P3023" s="3" t="s">
        <v>64</v>
      </c>
      <c r="Q3023" s="2" t="s">
        <v>29271</v>
      </c>
      <c r="R3023" s="3" t="s">
        <v>27443</v>
      </c>
      <c r="S3023" s="4">
        <v>12</v>
      </c>
      <c r="T3023" s="4">
        <v>12</v>
      </c>
      <c r="U3023" s="5" t="s">
        <v>5322</v>
      </c>
      <c r="V3023" s="5" t="s">
        <v>5322</v>
      </c>
      <c r="W3023" s="5" t="s">
        <v>67</v>
      </c>
      <c r="X3023" s="5" t="s">
        <v>67</v>
      </c>
      <c r="Y3023" s="4">
        <v>484</v>
      </c>
      <c r="Z3023" s="4">
        <v>31</v>
      </c>
      <c r="AA3023" s="4">
        <v>41</v>
      </c>
      <c r="AB3023" s="4">
        <v>2</v>
      </c>
      <c r="AC3023" s="4">
        <v>9</v>
      </c>
      <c r="AD3023" s="4">
        <v>125</v>
      </c>
      <c r="AE3023" s="4">
        <v>132</v>
      </c>
      <c r="AF3023" s="4">
        <v>1</v>
      </c>
      <c r="AG3023" s="4">
        <v>5</v>
      </c>
      <c r="AH3023" s="4">
        <v>104</v>
      </c>
      <c r="AI3023" s="4">
        <v>106</v>
      </c>
      <c r="AJ3023" s="4">
        <v>22</v>
      </c>
      <c r="AK3023" s="4">
        <v>27</v>
      </c>
      <c r="AL3023" s="4">
        <v>59</v>
      </c>
      <c r="AM3023" s="4">
        <v>60</v>
      </c>
      <c r="AN3023" s="4">
        <v>0</v>
      </c>
      <c r="AO3023" s="4">
        <v>0</v>
      </c>
      <c r="AP3023" s="4">
        <v>29</v>
      </c>
      <c r="AQ3023" s="4">
        <v>34</v>
      </c>
      <c r="AR3023" s="3" t="s">
        <v>62</v>
      </c>
      <c r="AS3023" s="3" t="s">
        <v>62</v>
      </c>
      <c r="AT3023" s="3" t="s">
        <v>61</v>
      </c>
      <c r="AU3023" s="6" t="str">
        <f>HYPERLINK("http://catalog.hathitrust.org/Record/001484243","HathiTrust Record")</f>
        <v>HathiTrust Record</v>
      </c>
      <c r="AV3023" s="6" t="str">
        <f>HYPERLINK("http://mcgill.on.worldcat.org/oclc/995083","Catalog Record")</f>
        <v>Catalog Record</v>
      </c>
      <c r="AW3023" s="6" t="str">
        <f>HYPERLINK("http://www.worldcat.org/oclc/995083","WorldCat Record")</f>
        <v>WorldCat Record</v>
      </c>
      <c r="AX3023" s="3" t="s">
        <v>29272</v>
      </c>
      <c r="AY3023" s="3" t="s">
        <v>29273</v>
      </c>
      <c r="AZ3023" s="3" t="s">
        <v>29274</v>
      </c>
      <c r="BA3023" s="3" t="s">
        <v>29274</v>
      </c>
      <c r="BB3023" s="3" t="s">
        <v>29275</v>
      </c>
      <c r="BC3023" s="3" t="s">
        <v>102</v>
      </c>
      <c r="BD3023" s="3" t="s">
        <v>68</v>
      </c>
      <c r="BE3023" s="3" t="s">
        <v>29276</v>
      </c>
      <c r="BF3023" s="3" t="s">
        <v>29275</v>
      </c>
      <c r="BG3023" s="3" t="s">
        <v>29277</v>
      </c>
    </row>
    <row r="3024" spans="1:59" ht="58" x14ac:dyDescent="0.35">
      <c r="A3024" s="2" t="s">
        <v>89</v>
      </c>
      <c r="B3024" s="2" t="s">
        <v>90</v>
      </c>
      <c r="C3024" s="2" t="s">
        <v>29278</v>
      </c>
      <c r="D3024" s="2" t="s">
        <v>29279</v>
      </c>
      <c r="E3024" s="2" t="s">
        <v>29280</v>
      </c>
      <c r="G3024" s="3" t="s">
        <v>62</v>
      </c>
      <c r="I3024" s="3" t="s">
        <v>62</v>
      </c>
      <c r="J3024" s="3" t="s">
        <v>62</v>
      </c>
      <c r="K3024" s="3" t="s">
        <v>63</v>
      </c>
      <c r="L3024" s="2" t="s">
        <v>29281</v>
      </c>
      <c r="M3024" s="2" t="s">
        <v>29282</v>
      </c>
      <c r="N3024" s="3" t="s">
        <v>396</v>
      </c>
      <c r="P3024" s="3" t="s">
        <v>64</v>
      </c>
      <c r="Q3024" s="2" t="s">
        <v>29283</v>
      </c>
      <c r="R3024" s="3" t="s">
        <v>27443</v>
      </c>
      <c r="S3024" s="4">
        <v>3</v>
      </c>
      <c r="T3024" s="4">
        <v>3</v>
      </c>
      <c r="U3024" s="5" t="s">
        <v>20311</v>
      </c>
      <c r="V3024" s="5" t="s">
        <v>20311</v>
      </c>
      <c r="W3024" s="5" t="s">
        <v>67</v>
      </c>
      <c r="X3024" s="5" t="s">
        <v>67</v>
      </c>
      <c r="Y3024" s="4">
        <v>259</v>
      </c>
      <c r="Z3024" s="4">
        <v>19</v>
      </c>
      <c r="AA3024" s="4">
        <v>22</v>
      </c>
      <c r="AB3024" s="4">
        <v>1</v>
      </c>
      <c r="AC3024" s="4">
        <v>3</v>
      </c>
      <c r="AD3024" s="4">
        <v>92</v>
      </c>
      <c r="AE3024" s="4">
        <v>94</v>
      </c>
      <c r="AF3024" s="4">
        <v>0</v>
      </c>
      <c r="AG3024" s="4">
        <v>1</v>
      </c>
      <c r="AH3024" s="4">
        <v>80</v>
      </c>
      <c r="AI3024" s="4">
        <v>80</v>
      </c>
      <c r="AJ3024" s="4">
        <v>14</v>
      </c>
      <c r="AK3024" s="4">
        <v>14</v>
      </c>
      <c r="AL3024" s="4">
        <v>49</v>
      </c>
      <c r="AM3024" s="4">
        <v>49</v>
      </c>
      <c r="AN3024" s="4">
        <v>0</v>
      </c>
      <c r="AO3024" s="4">
        <v>0</v>
      </c>
      <c r="AP3024" s="4">
        <v>14</v>
      </c>
      <c r="AQ3024" s="4">
        <v>16</v>
      </c>
      <c r="AR3024" s="3" t="s">
        <v>62</v>
      </c>
      <c r="AS3024" s="3" t="s">
        <v>62</v>
      </c>
      <c r="AT3024" s="3" t="s">
        <v>61</v>
      </c>
      <c r="AU3024" s="6" t="str">
        <f>HYPERLINK("http://catalog.hathitrust.org/Record/000489365","HathiTrust Record")</f>
        <v>HathiTrust Record</v>
      </c>
      <c r="AV3024" s="6" t="str">
        <f>HYPERLINK("http://mcgill.on.worldcat.org/oclc/12343677","Catalog Record")</f>
        <v>Catalog Record</v>
      </c>
      <c r="AW3024" s="6" t="str">
        <f>HYPERLINK("http://www.worldcat.org/oclc/12343677","WorldCat Record")</f>
        <v>WorldCat Record</v>
      </c>
      <c r="AX3024" s="3" t="s">
        <v>29284</v>
      </c>
      <c r="AY3024" s="3" t="s">
        <v>29285</v>
      </c>
      <c r="AZ3024" s="3" t="s">
        <v>29286</v>
      </c>
      <c r="BA3024" s="3" t="s">
        <v>29286</v>
      </c>
      <c r="BB3024" s="3" t="s">
        <v>29287</v>
      </c>
      <c r="BC3024" s="3" t="s">
        <v>102</v>
      </c>
      <c r="BD3024" s="3" t="s">
        <v>68</v>
      </c>
      <c r="BE3024" s="3" t="s">
        <v>29288</v>
      </c>
      <c r="BF3024" s="3" t="s">
        <v>29287</v>
      </c>
      <c r="BG3024" s="3" t="s">
        <v>29289</v>
      </c>
    </row>
    <row r="3025" spans="1:59" ht="87" x14ac:dyDescent="0.35">
      <c r="A3025" s="2" t="s">
        <v>89</v>
      </c>
      <c r="B3025" s="2" t="s">
        <v>90</v>
      </c>
      <c r="C3025" s="2" t="s">
        <v>29290</v>
      </c>
      <c r="D3025" s="2" t="s">
        <v>29291</v>
      </c>
      <c r="E3025" s="2" t="s">
        <v>29292</v>
      </c>
      <c r="G3025" s="3" t="s">
        <v>62</v>
      </c>
      <c r="I3025" s="3" t="s">
        <v>62</v>
      </c>
      <c r="J3025" s="3" t="s">
        <v>61</v>
      </c>
      <c r="K3025" s="3" t="s">
        <v>63</v>
      </c>
      <c r="L3025" s="2" t="s">
        <v>21377</v>
      </c>
      <c r="M3025" s="2" t="s">
        <v>29293</v>
      </c>
      <c r="N3025" s="3" t="s">
        <v>81</v>
      </c>
      <c r="O3025" s="2" t="s">
        <v>29294</v>
      </c>
      <c r="P3025" s="3" t="s">
        <v>1881</v>
      </c>
      <c r="Q3025" s="2" t="s">
        <v>29295</v>
      </c>
      <c r="R3025" s="3" t="s">
        <v>27443</v>
      </c>
      <c r="S3025" s="4">
        <v>1</v>
      </c>
      <c r="T3025" s="4">
        <v>1</v>
      </c>
      <c r="U3025" s="5" t="s">
        <v>13085</v>
      </c>
      <c r="V3025" s="5" t="s">
        <v>13085</v>
      </c>
      <c r="W3025" s="5" t="s">
        <v>67</v>
      </c>
      <c r="X3025" s="5" t="s">
        <v>67</v>
      </c>
      <c r="Y3025" s="4">
        <v>117</v>
      </c>
      <c r="Z3025" s="4">
        <v>11</v>
      </c>
      <c r="AA3025" s="4">
        <v>23</v>
      </c>
      <c r="AB3025" s="4">
        <v>1</v>
      </c>
      <c r="AC3025" s="4">
        <v>4</v>
      </c>
      <c r="AD3025" s="4">
        <v>44</v>
      </c>
      <c r="AE3025" s="4">
        <v>114</v>
      </c>
      <c r="AF3025" s="4">
        <v>0</v>
      </c>
      <c r="AG3025" s="4">
        <v>3</v>
      </c>
      <c r="AH3025" s="4">
        <v>35</v>
      </c>
      <c r="AI3025" s="4">
        <v>97</v>
      </c>
      <c r="AJ3025" s="4">
        <v>8</v>
      </c>
      <c r="AK3025" s="4">
        <v>17</v>
      </c>
      <c r="AL3025" s="4">
        <v>26</v>
      </c>
      <c r="AM3025" s="4">
        <v>59</v>
      </c>
      <c r="AN3025" s="4">
        <v>0</v>
      </c>
      <c r="AO3025" s="4">
        <v>0</v>
      </c>
      <c r="AP3025" s="4">
        <v>9</v>
      </c>
      <c r="AQ3025" s="4">
        <v>19</v>
      </c>
      <c r="AR3025" s="3" t="s">
        <v>62</v>
      </c>
      <c r="AS3025" s="3" t="s">
        <v>62</v>
      </c>
      <c r="AT3025" s="3" t="s">
        <v>62</v>
      </c>
      <c r="AV3025" s="6" t="str">
        <f>HYPERLINK("http://mcgill.on.worldcat.org/oclc/335476","Catalog Record")</f>
        <v>Catalog Record</v>
      </c>
      <c r="AW3025" s="6" t="str">
        <f>HYPERLINK("http://www.worldcat.org/oclc/335476","WorldCat Record")</f>
        <v>WorldCat Record</v>
      </c>
      <c r="AX3025" s="3" t="s">
        <v>29296</v>
      </c>
      <c r="AY3025" s="3" t="s">
        <v>29297</v>
      </c>
      <c r="AZ3025" s="3" t="s">
        <v>29298</v>
      </c>
      <c r="BA3025" s="3" t="s">
        <v>29298</v>
      </c>
      <c r="BB3025" s="3" t="s">
        <v>29299</v>
      </c>
      <c r="BC3025" s="3" t="s">
        <v>102</v>
      </c>
      <c r="BD3025" s="3" t="s">
        <v>68</v>
      </c>
      <c r="BF3025" s="3" t="s">
        <v>29299</v>
      </c>
      <c r="BG3025" s="3" t="s">
        <v>29300</v>
      </c>
    </row>
    <row r="3026" spans="1:59" ht="58" x14ac:dyDescent="0.35">
      <c r="A3026" s="2" t="s">
        <v>89</v>
      </c>
      <c r="B3026" s="2" t="s">
        <v>90</v>
      </c>
      <c r="C3026" s="2" t="s">
        <v>29301</v>
      </c>
      <c r="D3026" s="2" t="s">
        <v>29302</v>
      </c>
      <c r="E3026" s="2" t="s">
        <v>29303</v>
      </c>
      <c r="G3026" s="3" t="s">
        <v>62</v>
      </c>
      <c r="I3026" s="3" t="s">
        <v>62</v>
      </c>
      <c r="J3026" s="3" t="s">
        <v>62</v>
      </c>
      <c r="K3026" s="3" t="s">
        <v>63</v>
      </c>
      <c r="L3026" s="2" t="s">
        <v>29151</v>
      </c>
      <c r="M3026" s="2" t="s">
        <v>29304</v>
      </c>
      <c r="N3026" s="3" t="s">
        <v>1467</v>
      </c>
      <c r="P3026" s="3" t="s">
        <v>64</v>
      </c>
      <c r="Q3026" s="2" t="s">
        <v>28437</v>
      </c>
      <c r="R3026" s="3" t="s">
        <v>27443</v>
      </c>
      <c r="S3026" s="4">
        <v>5</v>
      </c>
      <c r="T3026" s="4">
        <v>5</v>
      </c>
      <c r="U3026" s="5" t="s">
        <v>29305</v>
      </c>
      <c r="V3026" s="5" t="s">
        <v>29305</v>
      </c>
      <c r="W3026" s="5" t="s">
        <v>67</v>
      </c>
      <c r="X3026" s="5" t="s">
        <v>67</v>
      </c>
      <c r="Y3026" s="4">
        <v>606</v>
      </c>
      <c r="Z3026" s="4">
        <v>37</v>
      </c>
      <c r="AA3026" s="4">
        <v>42</v>
      </c>
      <c r="AB3026" s="4">
        <v>3</v>
      </c>
      <c r="AC3026" s="4">
        <v>6</v>
      </c>
      <c r="AD3026" s="4">
        <v>126</v>
      </c>
      <c r="AE3026" s="4">
        <v>131</v>
      </c>
      <c r="AF3026" s="4">
        <v>1</v>
      </c>
      <c r="AG3026" s="4">
        <v>3</v>
      </c>
      <c r="AH3026" s="4">
        <v>101</v>
      </c>
      <c r="AI3026" s="4">
        <v>104</v>
      </c>
      <c r="AJ3026" s="4">
        <v>22</v>
      </c>
      <c r="AK3026" s="4">
        <v>24</v>
      </c>
      <c r="AL3026" s="4">
        <v>56</v>
      </c>
      <c r="AM3026" s="4">
        <v>56</v>
      </c>
      <c r="AN3026" s="4">
        <v>0</v>
      </c>
      <c r="AO3026" s="4">
        <v>0</v>
      </c>
      <c r="AP3026" s="4">
        <v>31</v>
      </c>
      <c r="AQ3026" s="4">
        <v>32</v>
      </c>
      <c r="AR3026" s="3" t="s">
        <v>62</v>
      </c>
      <c r="AS3026" s="3" t="s">
        <v>61</v>
      </c>
      <c r="AT3026" s="3" t="s">
        <v>62</v>
      </c>
      <c r="AU3026" s="6" t="str">
        <f>HYPERLINK("http://catalog.hathitrust.org/Record/001479302","HathiTrust Record")</f>
        <v>HathiTrust Record</v>
      </c>
      <c r="AV3026" s="6" t="str">
        <f>HYPERLINK("http://mcgill.on.worldcat.org/oclc/537248","Catalog Record")</f>
        <v>Catalog Record</v>
      </c>
      <c r="AW3026" s="6" t="str">
        <f>HYPERLINK("http://www.worldcat.org/oclc/537248","WorldCat Record")</f>
        <v>WorldCat Record</v>
      </c>
      <c r="AX3026" s="3" t="s">
        <v>29306</v>
      </c>
      <c r="AY3026" s="3" t="s">
        <v>29307</v>
      </c>
      <c r="AZ3026" s="3" t="s">
        <v>29308</v>
      </c>
      <c r="BA3026" s="3" t="s">
        <v>29308</v>
      </c>
      <c r="BB3026" s="3" t="s">
        <v>29309</v>
      </c>
      <c r="BC3026" s="3" t="s">
        <v>102</v>
      </c>
      <c r="BD3026" s="3" t="s">
        <v>68</v>
      </c>
      <c r="BE3026" s="3" t="s">
        <v>29310</v>
      </c>
      <c r="BF3026" s="3" t="s">
        <v>29309</v>
      </c>
      <c r="BG3026" s="3" t="s">
        <v>29311</v>
      </c>
    </row>
    <row r="3027" spans="1:59" ht="58" x14ac:dyDescent="0.35">
      <c r="A3027" s="2" t="s">
        <v>89</v>
      </c>
      <c r="B3027" s="2" t="s">
        <v>90</v>
      </c>
      <c r="C3027" s="2" t="s">
        <v>29312</v>
      </c>
      <c r="D3027" s="2" t="s">
        <v>29313</v>
      </c>
      <c r="E3027" s="2" t="s">
        <v>29314</v>
      </c>
      <c r="G3027" s="3" t="s">
        <v>62</v>
      </c>
      <c r="I3027" s="3" t="s">
        <v>61</v>
      </c>
      <c r="J3027" s="3" t="s">
        <v>62</v>
      </c>
      <c r="K3027" s="3" t="s">
        <v>63</v>
      </c>
      <c r="L3027" s="2" t="s">
        <v>29315</v>
      </c>
      <c r="M3027" s="2" t="s">
        <v>29316</v>
      </c>
      <c r="N3027" s="3" t="s">
        <v>954</v>
      </c>
      <c r="P3027" s="3" t="s">
        <v>64</v>
      </c>
      <c r="R3027" s="3" t="s">
        <v>27443</v>
      </c>
      <c r="S3027" s="4">
        <v>7</v>
      </c>
      <c r="T3027" s="4">
        <v>31</v>
      </c>
      <c r="U3027" s="5" t="s">
        <v>29317</v>
      </c>
      <c r="V3027" s="5" t="s">
        <v>29318</v>
      </c>
      <c r="W3027" s="5" t="s">
        <v>67</v>
      </c>
      <c r="X3027" s="5" t="s">
        <v>67</v>
      </c>
      <c r="Y3027" s="4">
        <v>328</v>
      </c>
      <c r="Z3027" s="4">
        <v>25</v>
      </c>
      <c r="AA3027" s="4">
        <v>30</v>
      </c>
      <c r="AB3027" s="4">
        <v>3</v>
      </c>
      <c r="AC3027" s="4">
        <v>8</v>
      </c>
      <c r="AD3027" s="4">
        <v>107</v>
      </c>
      <c r="AE3027" s="4">
        <v>110</v>
      </c>
      <c r="AF3027" s="4">
        <v>1</v>
      </c>
      <c r="AG3027" s="4">
        <v>4</v>
      </c>
      <c r="AH3027" s="4">
        <v>94</v>
      </c>
      <c r="AI3027" s="4">
        <v>94</v>
      </c>
      <c r="AJ3027" s="4">
        <v>20</v>
      </c>
      <c r="AK3027" s="4">
        <v>22</v>
      </c>
      <c r="AL3027" s="4">
        <v>57</v>
      </c>
      <c r="AM3027" s="4">
        <v>57</v>
      </c>
      <c r="AN3027" s="4">
        <v>0</v>
      </c>
      <c r="AO3027" s="4">
        <v>0</v>
      </c>
      <c r="AP3027" s="4">
        <v>21</v>
      </c>
      <c r="AQ3027" s="4">
        <v>23</v>
      </c>
      <c r="AR3027" s="3" t="s">
        <v>62</v>
      </c>
      <c r="AS3027" s="3" t="s">
        <v>62</v>
      </c>
      <c r="AT3027" s="3" t="s">
        <v>62</v>
      </c>
      <c r="AV3027" s="6" t="str">
        <f>HYPERLINK("http://mcgill.on.worldcat.org/oclc/1478379","Catalog Record")</f>
        <v>Catalog Record</v>
      </c>
      <c r="AW3027" s="6" t="str">
        <f>HYPERLINK("http://www.worldcat.org/oclc/1478379","WorldCat Record")</f>
        <v>WorldCat Record</v>
      </c>
      <c r="AX3027" s="3" t="s">
        <v>29319</v>
      </c>
      <c r="AY3027" s="3" t="s">
        <v>29320</v>
      </c>
      <c r="AZ3027" s="3" t="s">
        <v>29321</v>
      </c>
      <c r="BA3027" s="3" t="s">
        <v>29321</v>
      </c>
      <c r="BB3027" s="3" t="s">
        <v>29322</v>
      </c>
      <c r="BC3027" s="3" t="s">
        <v>102</v>
      </c>
      <c r="BD3027" s="3" t="s">
        <v>68</v>
      </c>
      <c r="BF3027" s="3" t="s">
        <v>29322</v>
      </c>
      <c r="BG3027" s="3" t="s">
        <v>29323</v>
      </c>
    </row>
    <row r="3028" spans="1:59" ht="58" x14ac:dyDescent="0.35">
      <c r="A3028" s="2" t="s">
        <v>89</v>
      </c>
      <c r="B3028" s="2" t="s">
        <v>90</v>
      </c>
      <c r="C3028" s="2" t="s">
        <v>29324</v>
      </c>
      <c r="D3028" s="2" t="s">
        <v>29325</v>
      </c>
      <c r="E3028" s="2" t="s">
        <v>29326</v>
      </c>
      <c r="G3028" s="3" t="s">
        <v>62</v>
      </c>
      <c r="I3028" s="3" t="s">
        <v>62</v>
      </c>
      <c r="J3028" s="3" t="s">
        <v>62</v>
      </c>
      <c r="K3028" s="3" t="s">
        <v>63</v>
      </c>
      <c r="L3028" s="2" t="s">
        <v>29327</v>
      </c>
      <c r="M3028" s="2" t="s">
        <v>23914</v>
      </c>
      <c r="N3028" s="3" t="s">
        <v>880</v>
      </c>
      <c r="P3028" s="3" t="s">
        <v>64</v>
      </c>
      <c r="Q3028" s="2" t="s">
        <v>29328</v>
      </c>
      <c r="R3028" s="3" t="s">
        <v>27443</v>
      </c>
      <c r="S3028" s="4">
        <v>1</v>
      </c>
      <c r="T3028" s="4">
        <v>1</v>
      </c>
      <c r="U3028" s="5" t="s">
        <v>29329</v>
      </c>
      <c r="V3028" s="5" t="s">
        <v>29329</v>
      </c>
      <c r="W3028" s="5" t="s">
        <v>67</v>
      </c>
      <c r="X3028" s="5" t="s">
        <v>67</v>
      </c>
      <c r="Y3028" s="4">
        <v>180</v>
      </c>
      <c r="Z3028" s="4">
        <v>14</v>
      </c>
      <c r="AA3028" s="4">
        <v>21</v>
      </c>
      <c r="AB3028" s="4">
        <v>1</v>
      </c>
      <c r="AC3028" s="4">
        <v>5</v>
      </c>
      <c r="AD3028" s="4">
        <v>72</v>
      </c>
      <c r="AE3028" s="4">
        <v>82</v>
      </c>
      <c r="AF3028" s="4">
        <v>0</v>
      </c>
      <c r="AG3028" s="4">
        <v>1</v>
      </c>
      <c r="AH3028" s="4">
        <v>67</v>
      </c>
      <c r="AI3028" s="4">
        <v>74</v>
      </c>
      <c r="AJ3028" s="4">
        <v>13</v>
      </c>
      <c r="AK3028" s="4">
        <v>15</v>
      </c>
      <c r="AL3028" s="4">
        <v>39</v>
      </c>
      <c r="AM3028" s="4">
        <v>43</v>
      </c>
      <c r="AN3028" s="4">
        <v>0</v>
      </c>
      <c r="AO3028" s="4">
        <v>0</v>
      </c>
      <c r="AP3028" s="4">
        <v>13</v>
      </c>
      <c r="AQ3028" s="4">
        <v>17</v>
      </c>
      <c r="AR3028" s="3" t="s">
        <v>62</v>
      </c>
      <c r="AS3028" s="3" t="s">
        <v>62</v>
      </c>
      <c r="AT3028" s="3" t="s">
        <v>62</v>
      </c>
      <c r="AV3028" s="6" t="str">
        <f>HYPERLINK("http://mcgill.on.worldcat.org/oclc/435730815","Catalog Record")</f>
        <v>Catalog Record</v>
      </c>
      <c r="AW3028" s="6" t="str">
        <f>HYPERLINK("http://www.worldcat.org/oclc/435730815","WorldCat Record")</f>
        <v>WorldCat Record</v>
      </c>
      <c r="AX3028" s="3" t="s">
        <v>29330</v>
      </c>
      <c r="AY3028" s="3" t="s">
        <v>29331</v>
      </c>
      <c r="AZ3028" s="3" t="s">
        <v>29332</v>
      </c>
      <c r="BA3028" s="3" t="s">
        <v>29332</v>
      </c>
      <c r="BB3028" s="3" t="s">
        <v>29333</v>
      </c>
      <c r="BC3028" s="3" t="s">
        <v>102</v>
      </c>
      <c r="BD3028" s="3" t="s">
        <v>68</v>
      </c>
      <c r="BE3028" s="3" t="s">
        <v>29334</v>
      </c>
      <c r="BF3028" s="3" t="s">
        <v>29333</v>
      </c>
      <c r="BG3028" s="3" t="s">
        <v>29335</v>
      </c>
    </row>
    <row r="3029" spans="1:59" ht="72.5" x14ac:dyDescent="0.35">
      <c r="A3029" s="2" t="s">
        <v>89</v>
      </c>
      <c r="B3029" s="2" t="s">
        <v>90</v>
      </c>
      <c r="C3029" s="2" t="s">
        <v>29336</v>
      </c>
      <c r="D3029" s="2" t="s">
        <v>29337</v>
      </c>
      <c r="E3029" s="2" t="s">
        <v>29338</v>
      </c>
      <c r="G3029" s="3" t="s">
        <v>62</v>
      </c>
      <c r="I3029" s="3" t="s">
        <v>62</v>
      </c>
      <c r="J3029" s="3" t="s">
        <v>61</v>
      </c>
      <c r="K3029" s="3" t="s">
        <v>63</v>
      </c>
      <c r="L3029" s="2" t="s">
        <v>29339</v>
      </c>
      <c r="M3029" s="2" t="s">
        <v>29340</v>
      </c>
      <c r="N3029" s="3" t="s">
        <v>2985</v>
      </c>
      <c r="O3029" s="2" t="s">
        <v>2458</v>
      </c>
      <c r="P3029" s="3" t="s">
        <v>64</v>
      </c>
      <c r="R3029" s="3" t="s">
        <v>27443</v>
      </c>
      <c r="S3029" s="4">
        <v>5</v>
      </c>
      <c r="T3029" s="4">
        <v>5</v>
      </c>
      <c r="U3029" s="5" t="s">
        <v>2002</v>
      </c>
      <c r="V3029" s="5" t="s">
        <v>2002</v>
      </c>
      <c r="W3029" s="5" t="s">
        <v>67</v>
      </c>
      <c r="X3029" s="5" t="s">
        <v>67</v>
      </c>
      <c r="Y3029" s="4">
        <v>124</v>
      </c>
      <c r="Z3029" s="4">
        <v>13</v>
      </c>
      <c r="AA3029" s="4">
        <v>118</v>
      </c>
      <c r="AB3029" s="4">
        <v>2</v>
      </c>
      <c r="AC3029" s="4">
        <v>19</v>
      </c>
      <c r="AD3029" s="4">
        <v>53</v>
      </c>
      <c r="AE3029" s="4">
        <v>158</v>
      </c>
      <c r="AF3029" s="4">
        <v>0</v>
      </c>
      <c r="AG3029" s="4">
        <v>9</v>
      </c>
      <c r="AH3029" s="4">
        <v>49</v>
      </c>
      <c r="AI3029" s="4">
        <v>113</v>
      </c>
      <c r="AJ3029" s="4">
        <v>9</v>
      </c>
      <c r="AK3029" s="4">
        <v>27</v>
      </c>
      <c r="AL3029" s="4">
        <v>34</v>
      </c>
      <c r="AM3029" s="4">
        <v>60</v>
      </c>
      <c r="AN3029" s="4">
        <v>0</v>
      </c>
      <c r="AO3029" s="4">
        <v>0</v>
      </c>
      <c r="AP3029" s="4">
        <v>9</v>
      </c>
      <c r="AQ3029" s="4">
        <v>54</v>
      </c>
      <c r="AR3029" s="3" t="s">
        <v>62</v>
      </c>
      <c r="AS3029" s="3" t="s">
        <v>62</v>
      </c>
      <c r="AT3029" s="3" t="s">
        <v>62</v>
      </c>
      <c r="AV3029" s="6" t="str">
        <f>HYPERLINK("http://mcgill.on.worldcat.org/oclc/444371657","Catalog Record")</f>
        <v>Catalog Record</v>
      </c>
      <c r="AW3029" s="6" t="str">
        <f>HYPERLINK("http://www.worldcat.org/oclc/444371657","WorldCat Record")</f>
        <v>WorldCat Record</v>
      </c>
      <c r="AX3029" s="3" t="s">
        <v>29341</v>
      </c>
      <c r="AY3029" s="3" t="s">
        <v>29342</v>
      </c>
      <c r="AZ3029" s="3" t="s">
        <v>29343</v>
      </c>
      <c r="BA3029" s="3" t="s">
        <v>29343</v>
      </c>
      <c r="BB3029" s="3" t="s">
        <v>29344</v>
      </c>
      <c r="BC3029" s="3" t="s">
        <v>102</v>
      </c>
      <c r="BD3029" s="3" t="s">
        <v>68</v>
      </c>
      <c r="BE3029" s="3" t="s">
        <v>29345</v>
      </c>
      <c r="BF3029" s="3" t="s">
        <v>29344</v>
      </c>
      <c r="BG3029" s="3" t="s">
        <v>29346</v>
      </c>
    </row>
    <row r="3030" spans="1:59" ht="58" x14ac:dyDescent="0.35">
      <c r="A3030" s="2" t="s">
        <v>89</v>
      </c>
      <c r="B3030" s="2" t="s">
        <v>90</v>
      </c>
      <c r="C3030" s="2" t="s">
        <v>29347</v>
      </c>
      <c r="D3030" s="2" t="s">
        <v>29348</v>
      </c>
      <c r="E3030" s="2" t="s">
        <v>29349</v>
      </c>
      <c r="G3030" s="3" t="s">
        <v>62</v>
      </c>
      <c r="I3030" s="3" t="s">
        <v>62</v>
      </c>
      <c r="J3030" s="3" t="s">
        <v>62</v>
      </c>
      <c r="K3030" s="3" t="s">
        <v>63</v>
      </c>
      <c r="M3030" s="2" t="s">
        <v>29350</v>
      </c>
      <c r="N3030" s="3" t="s">
        <v>684</v>
      </c>
      <c r="P3030" s="3" t="s">
        <v>64</v>
      </c>
      <c r="Q3030" s="2" t="s">
        <v>29351</v>
      </c>
      <c r="R3030" s="3" t="s">
        <v>27443</v>
      </c>
      <c r="S3030" s="4">
        <v>3</v>
      </c>
      <c r="T3030" s="4">
        <v>3</v>
      </c>
      <c r="U3030" s="5" t="s">
        <v>29352</v>
      </c>
      <c r="V3030" s="5" t="s">
        <v>29352</v>
      </c>
      <c r="W3030" s="5" t="s">
        <v>67</v>
      </c>
      <c r="X3030" s="5" t="s">
        <v>67</v>
      </c>
      <c r="Y3030" s="4">
        <v>54</v>
      </c>
      <c r="Z3030" s="4">
        <v>3</v>
      </c>
      <c r="AA3030" s="4">
        <v>38</v>
      </c>
      <c r="AB3030" s="4">
        <v>1</v>
      </c>
      <c r="AC3030" s="4">
        <v>8</v>
      </c>
      <c r="AD3030" s="4">
        <v>19</v>
      </c>
      <c r="AE3030" s="4">
        <v>80</v>
      </c>
      <c r="AF3030" s="4">
        <v>0</v>
      </c>
      <c r="AG3030" s="4">
        <v>4</v>
      </c>
      <c r="AH3030" s="4">
        <v>18</v>
      </c>
      <c r="AI3030" s="4">
        <v>56</v>
      </c>
      <c r="AJ3030" s="4">
        <v>1</v>
      </c>
      <c r="AK3030" s="4">
        <v>18</v>
      </c>
      <c r="AL3030" s="4">
        <v>12</v>
      </c>
      <c r="AM3030" s="4">
        <v>28</v>
      </c>
      <c r="AN3030" s="4">
        <v>0</v>
      </c>
      <c r="AO3030" s="4">
        <v>0</v>
      </c>
      <c r="AP3030" s="4">
        <v>1</v>
      </c>
      <c r="AQ3030" s="4">
        <v>31</v>
      </c>
      <c r="AR3030" s="3" t="s">
        <v>62</v>
      </c>
      <c r="AS3030" s="3" t="s">
        <v>62</v>
      </c>
      <c r="AT3030" s="3" t="s">
        <v>62</v>
      </c>
      <c r="AV3030" s="6" t="str">
        <f>HYPERLINK("http://mcgill.on.worldcat.org/oclc/648933308","Catalog Record")</f>
        <v>Catalog Record</v>
      </c>
      <c r="AW3030" s="6" t="str">
        <f>HYPERLINK("http://www.worldcat.org/oclc/648933308","WorldCat Record")</f>
        <v>WorldCat Record</v>
      </c>
      <c r="AX3030" s="3" t="s">
        <v>29353</v>
      </c>
      <c r="AY3030" s="3" t="s">
        <v>29354</v>
      </c>
      <c r="AZ3030" s="3" t="s">
        <v>29355</v>
      </c>
      <c r="BA3030" s="3" t="s">
        <v>29355</v>
      </c>
      <c r="BB3030" s="3" t="s">
        <v>29356</v>
      </c>
      <c r="BC3030" s="3" t="s">
        <v>102</v>
      </c>
      <c r="BD3030" s="3" t="s">
        <v>68</v>
      </c>
      <c r="BE3030" s="3" t="s">
        <v>29357</v>
      </c>
      <c r="BF3030" s="3" t="s">
        <v>29356</v>
      </c>
      <c r="BG3030" s="3" t="s">
        <v>29358</v>
      </c>
    </row>
    <row r="3031" spans="1:59" ht="101.5" x14ac:dyDescent="0.35">
      <c r="A3031" s="2" t="s">
        <v>89</v>
      </c>
      <c r="B3031" s="2" t="s">
        <v>12301</v>
      </c>
      <c r="C3031" s="2" t="s">
        <v>29359</v>
      </c>
      <c r="D3031" s="2" t="s">
        <v>29360</v>
      </c>
      <c r="E3031" s="2" t="s">
        <v>29361</v>
      </c>
      <c r="G3031" s="3" t="s">
        <v>62</v>
      </c>
      <c r="I3031" s="3" t="s">
        <v>61</v>
      </c>
      <c r="J3031" s="3" t="s">
        <v>62</v>
      </c>
      <c r="K3031" s="3" t="s">
        <v>63</v>
      </c>
      <c r="L3031" s="2" t="s">
        <v>29362</v>
      </c>
      <c r="M3031" s="2" t="s">
        <v>29363</v>
      </c>
      <c r="N3031" s="3" t="s">
        <v>201</v>
      </c>
      <c r="P3031" s="3" t="s">
        <v>64</v>
      </c>
      <c r="R3031" s="3" t="s">
        <v>27443</v>
      </c>
      <c r="S3031" s="4">
        <v>423</v>
      </c>
      <c r="T3031" s="4">
        <v>427</v>
      </c>
      <c r="U3031" s="5" t="s">
        <v>1118</v>
      </c>
      <c r="V3031" s="5" t="s">
        <v>22226</v>
      </c>
      <c r="W3031" s="5" t="s">
        <v>67</v>
      </c>
      <c r="X3031" s="5" t="s">
        <v>67</v>
      </c>
      <c r="Y3031" s="4">
        <v>571</v>
      </c>
      <c r="Z3031" s="4">
        <v>34</v>
      </c>
      <c r="AA3031" s="4">
        <v>51</v>
      </c>
      <c r="AB3031" s="4">
        <v>4</v>
      </c>
      <c r="AC3031" s="4">
        <v>12</v>
      </c>
      <c r="AD3031" s="4">
        <v>119</v>
      </c>
      <c r="AE3031" s="4">
        <v>142</v>
      </c>
      <c r="AF3031" s="4">
        <v>2</v>
      </c>
      <c r="AG3031" s="4">
        <v>7</v>
      </c>
      <c r="AH3031" s="4">
        <v>96</v>
      </c>
      <c r="AI3031" s="4">
        <v>109</v>
      </c>
      <c r="AJ3031" s="4">
        <v>19</v>
      </c>
      <c r="AK3031" s="4">
        <v>26</v>
      </c>
      <c r="AL3031" s="4">
        <v>55</v>
      </c>
      <c r="AM3031" s="4">
        <v>60</v>
      </c>
      <c r="AN3031" s="4">
        <v>0</v>
      </c>
      <c r="AO3031" s="4">
        <v>5</v>
      </c>
      <c r="AP3031" s="4">
        <v>30</v>
      </c>
      <c r="AQ3031" s="4">
        <v>41</v>
      </c>
      <c r="AR3031" s="3" t="s">
        <v>62</v>
      </c>
      <c r="AS3031" s="3" t="s">
        <v>62</v>
      </c>
      <c r="AT3031" s="3" t="s">
        <v>61</v>
      </c>
      <c r="AU3031" s="6" t="str">
        <f>HYPERLINK("http://catalog.hathitrust.org/Record/000014963","HathiTrust Record")</f>
        <v>HathiTrust Record</v>
      </c>
      <c r="AV3031" s="6" t="str">
        <f>HYPERLINK("http://mcgill.on.worldcat.org/oclc/934604","Catalog Record")</f>
        <v>Catalog Record</v>
      </c>
      <c r="AW3031" s="6" t="str">
        <f>HYPERLINK("http://www.worldcat.org/oclc/934604","WorldCat Record")</f>
        <v>WorldCat Record</v>
      </c>
      <c r="AX3031" s="3" t="s">
        <v>29364</v>
      </c>
      <c r="AY3031" s="3" t="s">
        <v>29365</v>
      </c>
      <c r="AZ3031" s="3" t="s">
        <v>29366</v>
      </c>
      <c r="BA3031" s="3" t="s">
        <v>29366</v>
      </c>
      <c r="BB3031" s="3" t="s">
        <v>29367</v>
      </c>
      <c r="BC3031" s="3" t="s">
        <v>102</v>
      </c>
      <c r="BD3031" s="3" t="s">
        <v>68</v>
      </c>
      <c r="BE3031" s="3" t="s">
        <v>29368</v>
      </c>
      <c r="BF3031" s="3" t="s">
        <v>29367</v>
      </c>
      <c r="BG3031" s="3" t="s">
        <v>29369</v>
      </c>
    </row>
    <row r="3032" spans="1:59" ht="101.5" x14ac:dyDescent="0.35">
      <c r="A3032" s="2" t="s">
        <v>89</v>
      </c>
      <c r="B3032" s="2" t="s">
        <v>12301</v>
      </c>
      <c r="C3032" s="2" t="s">
        <v>29359</v>
      </c>
      <c r="D3032" s="2" t="s">
        <v>29360</v>
      </c>
      <c r="E3032" s="2" t="s">
        <v>29361</v>
      </c>
      <c r="G3032" s="3" t="s">
        <v>62</v>
      </c>
      <c r="I3032" s="3" t="s">
        <v>61</v>
      </c>
      <c r="J3032" s="3" t="s">
        <v>62</v>
      </c>
      <c r="K3032" s="3" t="s">
        <v>63</v>
      </c>
      <c r="L3032" s="2" t="s">
        <v>29362</v>
      </c>
      <c r="M3032" s="2" t="s">
        <v>29363</v>
      </c>
      <c r="N3032" s="3" t="s">
        <v>201</v>
      </c>
      <c r="P3032" s="3" t="s">
        <v>64</v>
      </c>
      <c r="R3032" s="3" t="s">
        <v>27443</v>
      </c>
      <c r="S3032" s="4">
        <v>4</v>
      </c>
      <c r="T3032" s="4">
        <v>427</v>
      </c>
      <c r="U3032" s="5" t="s">
        <v>22226</v>
      </c>
      <c r="V3032" s="5" t="s">
        <v>22226</v>
      </c>
      <c r="W3032" s="5" t="s">
        <v>67</v>
      </c>
      <c r="X3032" s="5" t="s">
        <v>67</v>
      </c>
      <c r="Y3032" s="4">
        <v>571</v>
      </c>
      <c r="Z3032" s="4">
        <v>34</v>
      </c>
      <c r="AA3032" s="4">
        <v>51</v>
      </c>
      <c r="AB3032" s="4">
        <v>4</v>
      </c>
      <c r="AC3032" s="4">
        <v>12</v>
      </c>
      <c r="AD3032" s="4">
        <v>119</v>
      </c>
      <c r="AE3032" s="4">
        <v>142</v>
      </c>
      <c r="AF3032" s="4">
        <v>2</v>
      </c>
      <c r="AG3032" s="4">
        <v>7</v>
      </c>
      <c r="AH3032" s="4">
        <v>96</v>
      </c>
      <c r="AI3032" s="4">
        <v>109</v>
      </c>
      <c r="AJ3032" s="4">
        <v>19</v>
      </c>
      <c r="AK3032" s="4">
        <v>26</v>
      </c>
      <c r="AL3032" s="4">
        <v>55</v>
      </c>
      <c r="AM3032" s="4">
        <v>60</v>
      </c>
      <c r="AN3032" s="4">
        <v>0</v>
      </c>
      <c r="AO3032" s="4">
        <v>5</v>
      </c>
      <c r="AP3032" s="4">
        <v>30</v>
      </c>
      <c r="AQ3032" s="4">
        <v>41</v>
      </c>
      <c r="AR3032" s="3" t="s">
        <v>62</v>
      </c>
      <c r="AS3032" s="3" t="s">
        <v>62</v>
      </c>
      <c r="AT3032" s="3" t="s">
        <v>61</v>
      </c>
      <c r="AU3032" s="6" t="str">
        <f>HYPERLINK("http://catalog.hathitrust.org/Record/000014963","HathiTrust Record")</f>
        <v>HathiTrust Record</v>
      </c>
      <c r="AV3032" s="6" t="str">
        <f>HYPERLINK("http://mcgill.on.worldcat.org/oclc/934604","Catalog Record")</f>
        <v>Catalog Record</v>
      </c>
      <c r="AW3032" s="6" t="str">
        <f>HYPERLINK("http://www.worldcat.org/oclc/934604","WorldCat Record")</f>
        <v>WorldCat Record</v>
      </c>
      <c r="AX3032" s="3" t="s">
        <v>29364</v>
      </c>
      <c r="AY3032" s="3" t="s">
        <v>29365</v>
      </c>
      <c r="AZ3032" s="3" t="s">
        <v>29366</v>
      </c>
      <c r="BA3032" s="3" t="s">
        <v>29366</v>
      </c>
      <c r="BB3032" s="3" t="s">
        <v>29370</v>
      </c>
      <c r="BC3032" s="3" t="s">
        <v>102</v>
      </c>
      <c r="BD3032" s="3" t="s">
        <v>68</v>
      </c>
      <c r="BE3032" s="3" t="s">
        <v>29368</v>
      </c>
      <c r="BF3032" s="3" t="s">
        <v>29370</v>
      </c>
      <c r="BG3032" s="3" t="s">
        <v>29371</v>
      </c>
    </row>
    <row r="3033" spans="1:59" ht="58" x14ac:dyDescent="0.35">
      <c r="A3033" s="2" t="s">
        <v>89</v>
      </c>
      <c r="B3033" s="2" t="s">
        <v>18023</v>
      </c>
      <c r="C3033" s="2" t="s">
        <v>29372</v>
      </c>
      <c r="D3033" s="2" t="s">
        <v>29373</v>
      </c>
      <c r="E3033" s="2" t="s">
        <v>29374</v>
      </c>
      <c r="G3033" s="3" t="s">
        <v>62</v>
      </c>
      <c r="I3033" s="3" t="s">
        <v>62</v>
      </c>
      <c r="J3033" s="3" t="s">
        <v>61</v>
      </c>
      <c r="K3033" s="3" t="s">
        <v>63</v>
      </c>
      <c r="L3033" s="2" t="s">
        <v>29375</v>
      </c>
      <c r="M3033" s="2" t="s">
        <v>16510</v>
      </c>
      <c r="N3033" s="3" t="s">
        <v>2136</v>
      </c>
      <c r="O3033" s="2" t="s">
        <v>17018</v>
      </c>
      <c r="P3033" s="3" t="s">
        <v>64</v>
      </c>
      <c r="R3033" s="3" t="s">
        <v>27443</v>
      </c>
      <c r="S3033" s="4">
        <v>57</v>
      </c>
      <c r="T3033" s="4">
        <v>57</v>
      </c>
      <c r="U3033" s="5" t="s">
        <v>29376</v>
      </c>
      <c r="V3033" s="5" t="s">
        <v>29376</v>
      </c>
      <c r="W3033" s="5" t="s">
        <v>67</v>
      </c>
      <c r="X3033" s="5" t="s">
        <v>67</v>
      </c>
      <c r="Y3033" s="4">
        <v>500</v>
      </c>
      <c r="Z3033" s="4">
        <v>34</v>
      </c>
      <c r="AA3033" s="4">
        <v>77</v>
      </c>
      <c r="AB3033" s="4">
        <v>3</v>
      </c>
      <c r="AC3033" s="4">
        <v>13</v>
      </c>
      <c r="AD3033" s="4">
        <v>113</v>
      </c>
      <c r="AE3033" s="4">
        <v>163</v>
      </c>
      <c r="AF3033" s="4">
        <v>1</v>
      </c>
      <c r="AG3033" s="4">
        <v>8</v>
      </c>
      <c r="AH3033" s="4">
        <v>94</v>
      </c>
      <c r="AI3033" s="4">
        <v>118</v>
      </c>
      <c r="AJ3033" s="4">
        <v>21</v>
      </c>
      <c r="AK3033" s="4">
        <v>29</v>
      </c>
      <c r="AL3033" s="4">
        <v>53</v>
      </c>
      <c r="AM3033" s="4">
        <v>62</v>
      </c>
      <c r="AN3033" s="4">
        <v>0</v>
      </c>
      <c r="AO3033" s="4">
        <v>0</v>
      </c>
      <c r="AP3033" s="4">
        <v>28</v>
      </c>
      <c r="AQ3033" s="4">
        <v>51</v>
      </c>
      <c r="AR3033" s="3" t="s">
        <v>62</v>
      </c>
      <c r="AS3033" s="3" t="s">
        <v>62</v>
      </c>
      <c r="AT3033" s="3" t="s">
        <v>62</v>
      </c>
      <c r="AV3033" s="6" t="str">
        <f>HYPERLINK("http://mcgill.on.worldcat.org/oclc/55228781","Catalog Record")</f>
        <v>Catalog Record</v>
      </c>
      <c r="AW3033" s="6" t="str">
        <f>HYPERLINK("http://www.worldcat.org/oclc/55228781","WorldCat Record")</f>
        <v>WorldCat Record</v>
      </c>
      <c r="AX3033" s="3" t="s">
        <v>29377</v>
      </c>
      <c r="AY3033" s="3" t="s">
        <v>29378</v>
      </c>
      <c r="AZ3033" s="3" t="s">
        <v>29379</v>
      </c>
      <c r="BA3033" s="3" t="s">
        <v>29379</v>
      </c>
      <c r="BB3033" s="3" t="s">
        <v>29380</v>
      </c>
      <c r="BC3033" s="3" t="s">
        <v>102</v>
      </c>
      <c r="BD3033" s="3" t="s">
        <v>68</v>
      </c>
      <c r="BE3033" s="3" t="s">
        <v>29381</v>
      </c>
      <c r="BF3033" s="3" t="s">
        <v>29380</v>
      </c>
      <c r="BG3033" s="3" t="s">
        <v>29382</v>
      </c>
    </row>
    <row r="3034" spans="1:59" ht="58" x14ac:dyDescent="0.35">
      <c r="A3034" s="2" t="s">
        <v>89</v>
      </c>
      <c r="B3034" s="2" t="s">
        <v>90</v>
      </c>
      <c r="C3034" s="2" t="s">
        <v>29383</v>
      </c>
      <c r="D3034" s="2" t="s">
        <v>29384</v>
      </c>
      <c r="E3034" s="2" t="s">
        <v>29385</v>
      </c>
      <c r="G3034" s="3" t="s">
        <v>62</v>
      </c>
      <c r="I3034" s="3" t="s">
        <v>61</v>
      </c>
      <c r="J3034" s="3" t="s">
        <v>62</v>
      </c>
      <c r="K3034" s="3" t="s">
        <v>63</v>
      </c>
      <c r="L3034" s="2" t="s">
        <v>6057</v>
      </c>
      <c r="M3034" s="2" t="s">
        <v>29386</v>
      </c>
      <c r="N3034" s="3" t="s">
        <v>2445</v>
      </c>
      <c r="O3034" s="2" t="s">
        <v>2849</v>
      </c>
      <c r="P3034" s="3" t="s">
        <v>64</v>
      </c>
      <c r="Q3034" s="2" t="s">
        <v>29387</v>
      </c>
      <c r="R3034" s="3" t="s">
        <v>27443</v>
      </c>
      <c r="S3034" s="4">
        <v>4</v>
      </c>
      <c r="T3034" s="4">
        <v>22</v>
      </c>
      <c r="U3034" s="5" t="s">
        <v>16604</v>
      </c>
      <c r="V3034" s="5" t="s">
        <v>16604</v>
      </c>
      <c r="W3034" s="5" t="s">
        <v>67</v>
      </c>
      <c r="X3034" s="5" t="s">
        <v>67</v>
      </c>
      <c r="Y3034" s="4">
        <v>912</v>
      </c>
      <c r="Z3034" s="4">
        <v>31</v>
      </c>
      <c r="AA3034" s="4">
        <v>43</v>
      </c>
      <c r="AB3034" s="4">
        <v>2</v>
      </c>
      <c r="AC3034" s="4">
        <v>8</v>
      </c>
      <c r="AD3034" s="4">
        <v>108</v>
      </c>
      <c r="AE3034" s="4">
        <v>113</v>
      </c>
      <c r="AF3034" s="4">
        <v>0</v>
      </c>
      <c r="AG3034" s="4">
        <v>2</v>
      </c>
      <c r="AH3034" s="4">
        <v>90</v>
      </c>
      <c r="AI3034" s="4">
        <v>93</v>
      </c>
      <c r="AJ3034" s="4">
        <v>12</v>
      </c>
      <c r="AK3034" s="4">
        <v>14</v>
      </c>
      <c r="AL3034" s="4">
        <v>51</v>
      </c>
      <c r="AM3034" s="4">
        <v>53</v>
      </c>
      <c r="AN3034" s="4">
        <v>0</v>
      </c>
      <c r="AO3034" s="4">
        <v>0</v>
      </c>
      <c r="AP3034" s="4">
        <v>20</v>
      </c>
      <c r="AQ3034" s="4">
        <v>23</v>
      </c>
      <c r="AR3034" s="3" t="s">
        <v>62</v>
      </c>
      <c r="AS3034" s="3" t="s">
        <v>62</v>
      </c>
      <c r="AT3034" s="3" t="s">
        <v>62</v>
      </c>
      <c r="AV3034" s="6" t="str">
        <f>HYPERLINK("http://mcgill.on.worldcat.org/oclc/537105","Catalog Record")</f>
        <v>Catalog Record</v>
      </c>
      <c r="AW3034" s="6" t="str">
        <f>HYPERLINK("http://www.worldcat.org/oclc/537105","WorldCat Record")</f>
        <v>WorldCat Record</v>
      </c>
      <c r="AX3034" s="3" t="s">
        <v>29388</v>
      </c>
      <c r="AY3034" s="3" t="s">
        <v>29389</v>
      </c>
      <c r="AZ3034" s="3" t="s">
        <v>29390</v>
      </c>
      <c r="BA3034" s="3" t="s">
        <v>29390</v>
      </c>
      <c r="BB3034" s="3" t="s">
        <v>29391</v>
      </c>
      <c r="BC3034" s="3" t="s">
        <v>102</v>
      </c>
      <c r="BD3034" s="3" t="s">
        <v>68</v>
      </c>
      <c r="BF3034" s="3" t="s">
        <v>29391</v>
      </c>
      <c r="BG3034" s="3" t="s">
        <v>29392</v>
      </c>
    </row>
    <row r="3035" spans="1:59" ht="72.5" x14ac:dyDescent="0.35">
      <c r="A3035" s="2" t="s">
        <v>89</v>
      </c>
      <c r="B3035" s="2" t="s">
        <v>90</v>
      </c>
      <c r="C3035" s="2" t="s">
        <v>29393</v>
      </c>
      <c r="D3035" s="2" t="s">
        <v>29394</v>
      </c>
      <c r="E3035" s="2" t="s">
        <v>29395</v>
      </c>
      <c r="G3035" s="3" t="s">
        <v>62</v>
      </c>
      <c r="I3035" s="3" t="s">
        <v>62</v>
      </c>
      <c r="J3035" s="3" t="s">
        <v>62</v>
      </c>
      <c r="K3035" s="3" t="s">
        <v>63</v>
      </c>
      <c r="L3035" s="2" t="s">
        <v>29107</v>
      </c>
      <c r="M3035" s="2" t="s">
        <v>29396</v>
      </c>
      <c r="N3035" s="3" t="s">
        <v>2085</v>
      </c>
      <c r="O3035" s="2" t="s">
        <v>29397</v>
      </c>
      <c r="P3035" s="3" t="s">
        <v>64</v>
      </c>
      <c r="R3035" s="3" t="s">
        <v>27443</v>
      </c>
      <c r="S3035" s="4">
        <v>1</v>
      </c>
      <c r="T3035" s="4">
        <v>1</v>
      </c>
      <c r="U3035" s="5" t="s">
        <v>29398</v>
      </c>
      <c r="V3035" s="5" t="s">
        <v>29398</v>
      </c>
      <c r="W3035" s="5" t="s">
        <v>67</v>
      </c>
      <c r="X3035" s="5" t="s">
        <v>67</v>
      </c>
      <c r="Y3035" s="4">
        <v>69</v>
      </c>
      <c r="Z3035" s="4">
        <v>3</v>
      </c>
      <c r="AA3035" s="4">
        <v>36</v>
      </c>
      <c r="AB3035" s="4">
        <v>2</v>
      </c>
      <c r="AC3035" s="4">
        <v>8</v>
      </c>
      <c r="AD3035" s="4">
        <v>3</v>
      </c>
      <c r="AE3035" s="4">
        <v>70</v>
      </c>
      <c r="AF3035" s="4">
        <v>0</v>
      </c>
      <c r="AG3035" s="4">
        <v>2</v>
      </c>
      <c r="AH3035" s="4">
        <v>3</v>
      </c>
      <c r="AI3035" s="4">
        <v>64</v>
      </c>
      <c r="AJ3035" s="4">
        <v>1</v>
      </c>
      <c r="AK3035" s="4">
        <v>7</v>
      </c>
      <c r="AL3035" s="4">
        <v>1</v>
      </c>
      <c r="AM3035" s="4">
        <v>40</v>
      </c>
      <c r="AN3035" s="4">
        <v>0</v>
      </c>
      <c r="AO3035" s="4">
        <v>0</v>
      </c>
      <c r="AP3035" s="4">
        <v>1</v>
      </c>
      <c r="AQ3035" s="4">
        <v>11</v>
      </c>
      <c r="AR3035" s="3" t="s">
        <v>62</v>
      </c>
      <c r="AS3035" s="3" t="s">
        <v>62</v>
      </c>
      <c r="AT3035" s="3" t="s">
        <v>62</v>
      </c>
      <c r="AV3035" s="6" t="str">
        <f>HYPERLINK("http://mcgill.on.worldcat.org/oclc/1014063482","Catalog Record")</f>
        <v>Catalog Record</v>
      </c>
      <c r="AW3035" s="6" t="str">
        <f>HYPERLINK("http://www.worldcat.org/oclc/1014063482","WorldCat Record")</f>
        <v>WorldCat Record</v>
      </c>
      <c r="AX3035" s="3" t="s">
        <v>29399</v>
      </c>
      <c r="AY3035" s="3" t="s">
        <v>29400</v>
      </c>
      <c r="AZ3035" s="3" t="s">
        <v>29401</v>
      </c>
      <c r="BA3035" s="3" t="s">
        <v>29401</v>
      </c>
      <c r="BB3035" s="3" t="s">
        <v>29402</v>
      </c>
      <c r="BC3035" s="3" t="s">
        <v>102</v>
      </c>
      <c r="BD3035" s="3" t="s">
        <v>68</v>
      </c>
      <c r="BE3035" s="3" t="s">
        <v>29403</v>
      </c>
      <c r="BF3035" s="3" t="s">
        <v>29402</v>
      </c>
      <c r="BG3035" s="3" t="s">
        <v>29404</v>
      </c>
    </row>
    <row r="3036" spans="1:59" ht="58" x14ac:dyDescent="0.35">
      <c r="A3036" s="2" t="s">
        <v>89</v>
      </c>
      <c r="B3036" s="2" t="s">
        <v>90</v>
      </c>
      <c r="C3036" s="2" t="s">
        <v>29405</v>
      </c>
      <c r="D3036" s="2" t="s">
        <v>29406</v>
      </c>
      <c r="E3036" s="2" t="s">
        <v>29407</v>
      </c>
      <c r="G3036" s="3" t="s">
        <v>62</v>
      </c>
      <c r="I3036" s="3" t="s">
        <v>61</v>
      </c>
      <c r="J3036" s="3" t="s">
        <v>62</v>
      </c>
      <c r="K3036" s="3" t="s">
        <v>63</v>
      </c>
      <c r="L3036" s="2" t="s">
        <v>29408</v>
      </c>
      <c r="M3036" s="2" t="s">
        <v>29409</v>
      </c>
      <c r="N3036" s="3" t="s">
        <v>2110</v>
      </c>
      <c r="P3036" s="3" t="s">
        <v>64</v>
      </c>
      <c r="R3036" s="3" t="s">
        <v>27443</v>
      </c>
      <c r="S3036" s="4">
        <v>14</v>
      </c>
      <c r="T3036" s="4">
        <v>23</v>
      </c>
      <c r="U3036" s="5" t="s">
        <v>29410</v>
      </c>
      <c r="V3036" s="5" t="s">
        <v>29411</v>
      </c>
      <c r="W3036" s="5" t="s">
        <v>67</v>
      </c>
      <c r="X3036" s="5" t="s">
        <v>67</v>
      </c>
      <c r="Y3036" s="4">
        <v>661</v>
      </c>
      <c r="Z3036" s="4">
        <v>33</v>
      </c>
      <c r="AA3036" s="4">
        <v>35</v>
      </c>
      <c r="AB3036" s="4">
        <v>2</v>
      </c>
      <c r="AC3036" s="4">
        <v>4</v>
      </c>
      <c r="AD3036" s="4">
        <v>125</v>
      </c>
      <c r="AE3036" s="4">
        <v>128</v>
      </c>
      <c r="AF3036" s="4">
        <v>1</v>
      </c>
      <c r="AG3036" s="4">
        <v>3</v>
      </c>
      <c r="AH3036" s="4">
        <v>106</v>
      </c>
      <c r="AI3036" s="4">
        <v>108</v>
      </c>
      <c r="AJ3036" s="4">
        <v>18</v>
      </c>
      <c r="AK3036" s="4">
        <v>20</v>
      </c>
      <c r="AL3036" s="4">
        <v>59</v>
      </c>
      <c r="AM3036" s="4">
        <v>60</v>
      </c>
      <c r="AN3036" s="4">
        <v>0</v>
      </c>
      <c r="AO3036" s="4">
        <v>0</v>
      </c>
      <c r="AP3036" s="4">
        <v>23</v>
      </c>
      <c r="AQ3036" s="4">
        <v>24</v>
      </c>
      <c r="AR3036" s="3" t="s">
        <v>62</v>
      </c>
      <c r="AS3036" s="3" t="s">
        <v>62</v>
      </c>
      <c r="AT3036" s="3" t="s">
        <v>62</v>
      </c>
      <c r="AV3036" s="6" t="str">
        <f>HYPERLINK("http://mcgill.on.worldcat.org/oclc/3845319","Catalog Record")</f>
        <v>Catalog Record</v>
      </c>
      <c r="AW3036" s="6" t="str">
        <f>HYPERLINK("http://www.worldcat.org/oclc/3845319","WorldCat Record")</f>
        <v>WorldCat Record</v>
      </c>
      <c r="AX3036" s="3" t="s">
        <v>29412</v>
      </c>
      <c r="AY3036" s="3" t="s">
        <v>29413</v>
      </c>
      <c r="AZ3036" s="3" t="s">
        <v>29414</v>
      </c>
      <c r="BA3036" s="3" t="s">
        <v>29414</v>
      </c>
      <c r="BB3036" s="3" t="s">
        <v>29415</v>
      </c>
      <c r="BC3036" s="3" t="s">
        <v>102</v>
      </c>
      <c r="BD3036" s="3" t="s">
        <v>68</v>
      </c>
      <c r="BE3036" s="3" t="s">
        <v>29416</v>
      </c>
      <c r="BF3036" s="3" t="s">
        <v>29415</v>
      </c>
      <c r="BG3036" s="3" t="s">
        <v>29417</v>
      </c>
    </row>
    <row r="3037" spans="1:59" ht="58" x14ac:dyDescent="0.35">
      <c r="A3037" s="2" t="s">
        <v>59</v>
      </c>
      <c r="B3037" s="2" t="s">
        <v>60</v>
      </c>
      <c r="C3037" s="2" t="s">
        <v>29418</v>
      </c>
      <c r="D3037" s="2" t="s">
        <v>29419</v>
      </c>
      <c r="E3037" s="2" t="s">
        <v>29420</v>
      </c>
      <c r="G3037" s="3" t="s">
        <v>62</v>
      </c>
      <c r="I3037" s="3" t="s">
        <v>61</v>
      </c>
      <c r="J3037" s="3" t="s">
        <v>62</v>
      </c>
      <c r="K3037" s="3" t="s">
        <v>63</v>
      </c>
      <c r="L3037" s="2" t="s">
        <v>29421</v>
      </c>
      <c r="M3037" s="2" t="s">
        <v>29422</v>
      </c>
      <c r="N3037" s="3" t="s">
        <v>919</v>
      </c>
      <c r="P3037" s="3" t="s">
        <v>64</v>
      </c>
      <c r="R3037" s="3" t="s">
        <v>27443</v>
      </c>
      <c r="S3037" s="4">
        <v>3</v>
      </c>
      <c r="T3037" s="4">
        <v>13</v>
      </c>
      <c r="U3037" s="5" t="s">
        <v>1203</v>
      </c>
      <c r="V3037" s="5" t="s">
        <v>1203</v>
      </c>
      <c r="W3037" s="5" t="s">
        <v>67</v>
      </c>
      <c r="X3037" s="5" t="s">
        <v>67</v>
      </c>
      <c r="Y3037" s="4">
        <v>647</v>
      </c>
      <c r="Z3037" s="4">
        <v>30</v>
      </c>
      <c r="AA3037" s="4">
        <v>43</v>
      </c>
      <c r="AB3037" s="4">
        <v>3</v>
      </c>
      <c r="AC3037" s="4">
        <v>11</v>
      </c>
      <c r="AD3037" s="4">
        <v>113</v>
      </c>
      <c r="AE3037" s="4">
        <v>123</v>
      </c>
      <c r="AF3037" s="4">
        <v>1</v>
      </c>
      <c r="AG3037" s="4">
        <v>6</v>
      </c>
      <c r="AH3037" s="4">
        <v>99</v>
      </c>
      <c r="AI3037" s="4">
        <v>105</v>
      </c>
      <c r="AJ3037" s="4">
        <v>18</v>
      </c>
      <c r="AK3037" s="4">
        <v>24</v>
      </c>
      <c r="AL3037" s="4">
        <v>53</v>
      </c>
      <c r="AM3037" s="4">
        <v>53</v>
      </c>
      <c r="AN3037" s="4">
        <v>0</v>
      </c>
      <c r="AO3037" s="4">
        <v>0</v>
      </c>
      <c r="AP3037" s="4">
        <v>20</v>
      </c>
      <c r="AQ3037" s="4">
        <v>26</v>
      </c>
      <c r="AR3037" s="3" t="s">
        <v>62</v>
      </c>
      <c r="AS3037" s="3" t="s">
        <v>61</v>
      </c>
      <c r="AT3037" s="3" t="s">
        <v>62</v>
      </c>
      <c r="AU3037" s="6" t="str">
        <f>HYPERLINK("http://catalog.hathitrust.org/Record/001959105","HathiTrust Record")</f>
        <v>HathiTrust Record</v>
      </c>
      <c r="AV3037" s="6" t="str">
        <f>HYPERLINK("http://mcgill.on.worldcat.org/oclc/534946","Catalog Record")</f>
        <v>Catalog Record</v>
      </c>
      <c r="AW3037" s="6" t="str">
        <f>HYPERLINK("http://www.worldcat.org/oclc/534946","WorldCat Record")</f>
        <v>WorldCat Record</v>
      </c>
      <c r="AX3037" s="3" t="s">
        <v>29423</v>
      </c>
      <c r="AY3037" s="3" t="s">
        <v>29424</v>
      </c>
      <c r="AZ3037" s="3" t="s">
        <v>29425</v>
      </c>
      <c r="BA3037" s="3" t="s">
        <v>29425</v>
      </c>
      <c r="BB3037" s="3" t="s">
        <v>29426</v>
      </c>
      <c r="BC3037" s="3" t="s">
        <v>102</v>
      </c>
      <c r="BD3037" s="3" t="s">
        <v>68</v>
      </c>
      <c r="BE3037" s="3" t="s">
        <v>29427</v>
      </c>
      <c r="BF3037" s="3" t="s">
        <v>29426</v>
      </c>
      <c r="BG3037" s="3" t="s">
        <v>29428</v>
      </c>
    </row>
    <row r="3038" spans="1:59" ht="58" x14ac:dyDescent="0.35">
      <c r="A3038" s="2" t="s">
        <v>89</v>
      </c>
      <c r="B3038" s="2" t="s">
        <v>90</v>
      </c>
      <c r="C3038" s="2" t="s">
        <v>29429</v>
      </c>
      <c r="D3038" s="2" t="s">
        <v>29430</v>
      </c>
      <c r="E3038" s="2" t="s">
        <v>29431</v>
      </c>
      <c r="G3038" s="3" t="s">
        <v>62</v>
      </c>
      <c r="I3038" s="3" t="s">
        <v>62</v>
      </c>
      <c r="J3038" s="3" t="s">
        <v>62</v>
      </c>
      <c r="K3038" s="3" t="s">
        <v>63</v>
      </c>
      <c r="L3038" s="2" t="s">
        <v>29432</v>
      </c>
      <c r="M3038" s="2" t="s">
        <v>29433</v>
      </c>
      <c r="N3038" s="3" t="s">
        <v>655</v>
      </c>
      <c r="P3038" s="3" t="s">
        <v>64</v>
      </c>
      <c r="R3038" s="3" t="s">
        <v>27443</v>
      </c>
      <c r="S3038" s="4">
        <v>2</v>
      </c>
      <c r="T3038" s="4">
        <v>2</v>
      </c>
      <c r="U3038" s="5" t="s">
        <v>29434</v>
      </c>
      <c r="V3038" s="5" t="s">
        <v>29434</v>
      </c>
      <c r="W3038" s="5" t="s">
        <v>67</v>
      </c>
      <c r="X3038" s="5" t="s">
        <v>67</v>
      </c>
      <c r="Y3038" s="4">
        <v>31</v>
      </c>
      <c r="Z3038" s="4">
        <v>3</v>
      </c>
      <c r="AA3038" s="4">
        <v>28</v>
      </c>
      <c r="AB3038" s="4">
        <v>1</v>
      </c>
      <c r="AC3038" s="4">
        <v>6</v>
      </c>
      <c r="AD3038" s="4">
        <v>10</v>
      </c>
      <c r="AE3038" s="4">
        <v>113</v>
      </c>
      <c r="AF3038" s="4">
        <v>0</v>
      </c>
      <c r="AG3038" s="4">
        <v>2</v>
      </c>
      <c r="AH3038" s="4">
        <v>8</v>
      </c>
      <c r="AI3038" s="4">
        <v>102</v>
      </c>
      <c r="AJ3038" s="4">
        <v>1</v>
      </c>
      <c r="AK3038" s="4">
        <v>18</v>
      </c>
      <c r="AL3038" s="4">
        <v>7</v>
      </c>
      <c r="AM3038" s="4">
        <v>57</v>
      </c>
      <c r="AN3038" s="4">
        <v>0</v>
      </c>
      <c r="AO3038" s="4">
        <v>5</v>
      </c>
      <c r="AP3038" s="4">
        <v>2</v>
      </c>
      <c r="AQ3038" s="4">
        <v>21</v>
      </c>
      <c r="AR3038" s="3" t="s">
        <v>62</v>
      </c>
      <c r="AS3038" s="3" t="s">
        <v>62</v>
      </c>
      <c r="AT3038" s="3" t="s">
        <v>61</v>
      </c>
      <c r="AU3038" s="6" t="str">
        <f>HYPERLINK("http://catalog.hathitrust.org/Record/005660324","HathiTrust Record")</f>
        <v>HathiTrust Record</v>
      </c>
      <c r="AV3038" s="6" t="str">
        <f>HYPERLINK("http://mcgill.on.worldcat.org/oclc/145387759","Catalog Record")</f>
        <v>Catalog Record</v>
      </c>
      <c r="AW3038" s="6" t="str">
        <f>HYPERLINK("http://www.worldcat.org/oclc/145387759","WorldCat Record")</f>
        <v>WorldCat Record</v>
      </c>
      <c r="AX3038" s="3" t="s">
        <v>29435</v>
      </c>
      <c r="AY3038" s="3" t="s">
        <v>29436</v>
      </c>
      <c r="AZ3038" s="3" t="s">
        <v>29437</v>
      </c>
      <c r="BA3038" s="3" t="s">
        <v>29437</v>
      </c>
      <c r="BB3038" s="3" t="s">
        <v>29438</v>
      </c>
      <c r="BC3038" s="3" t="s">
        <v>102</v>
      </c>
      <c r="BD3038" s="3" t="s">
        <v>68</v>
      </c>
      <c r="BE3038" s="3" t="s">
        <v>29439</v>
      </c>
      <c r="BF3038" s="3" t="s">
        <v>29438</v>
      </c>
      <c r="BG3038" s="3" t="s">
        <v>29440</v>
      </c>
    </row>
    <row r="3039" spans="1:59" ht="101.5" x14ac:dyDescent="0.35">
      <c r="A3039" s="2" t="s">
        <v>89</v>
      </c>
      <c r="B3039" s="2" t="s">
        <v>12301</v>
      </c>
      <c r="C3039" s="2" t="s">
        <v>29441</v>
      </c>
      <c r="D3039" s="2" t="s">
        <v>29442</v>
      </c>
      <c r="E3039" s="2" t="s">
        <v>29443</v>
      </c>
      <c r="G3039" s="3" t="s">
        <v>62</v>
      </c>
      <c r="I3039" s="3" t="s">
        <v>61</v>
      </c>
      <c r="J3039" s="3" t="s">
        <v>62</v>
      </c>
      <c r="K3039" s="3" t="s">
        <v>63</v>
      </c>
      <c r="L3039" s="2" t="s">
        <v>27595</v>
      </c>
      <c r="M3039" s="2" t="s">
        <v>29444</v>
      </c>
      <c r="N3039" s="3" t="s">
        <v>1064</v>
      </c>
      <c r="P3039" s="3" t="s">
        <v>64</v>
      </c>
      <c r="Q3039" s="2" t="s">
        <v>27597</v>
      </c>
      <c r="R3039" s="3" t="s">
        <v>27443</v>
      </c>
      <c r="S3039" s="4">
        <v>39</v>
      </c>
      <c r="T3039" s="4">
        <v>155</v>
      </c>
      <c r="U3039" s="5" t="s">
        <v>21878</v>
      </c>
      <c r="V3039" s="5" t="s">
        <v>24286</v>
      </c>
      <c r="W3039" s="5" t="s">
        <v>67</v>
      </c>
      <c r="X3039" s="5" t="s">
        <v>67</v>
      </c>
      <c r="Y3039" s="4">
        <v>768</v>
      </c>
      <c r="Z3039" s="4">
        <v>43</v>
      </c>
      <c r="AA3039" s="4">
        <v>69</v>
      </c>
      <c r="AB3039" s="4">
        <v>2</v>
      </c>
      <c r="AC3039" s="4">
        <v>15</v>
      </c>
      <c r="AD3039" s="4">
        <v>126</v>
      </c>
      <c r="AE3039" s="4">
        <v>137</v>
      </c>
      <c r="AF3039" s="4">
        <v>0</v>
      </c>
      <c r="AG3039" s="4">
        <v>7</v>
      </c>
      <c r="AH3039" s="4">
        <v>101</v>
      </c>
      <c r="AI3039" s="4">
        <v>104</v>
      </c>
      <c r="AJ3039" s="4">
        <v>19</v>
      </c>
      <c r="AK3039" s="4">
        <v>25</v>
      </c>
      <c r="AL3039" s="4">
        <v>59</v>
      </c>
      <c r="AM3039" s="4">
        <v>60</v>
      </c>
      <c r="AN3039" s="4">
        <v>0</v>
      </c>
      <c r="AO3039" s="4">
        <v>0</v>
      </c>
      <c r="AP3039" s="4">
        <v>32</v>
      </c>
      <c r="AQ3039" s="4">
        <v>41</v>
      </c>
      <c r="AR3039" s="3" t="s">
        <v>62</v>
      </c>
      <c r="AS3039" s="3" t="s">
        <v>62</v>
      </c>
      <c r="AT3039" s="3" t="s">
        <v>62</v>
      </c>
      <c r="AV3039" s="6" t="str">
        <f>HYPERLINK("http://mcgill.on.worldcat.org/oclc/132582","Catalog Record")</f>
        <v>Catalog Record</v>
      </c>
      <c r="AW3039" s="6" t="str">
        <f>HYPERLINK("http://www.worldcat.org/oclc/132582","WorldCat Record")</f>
        <v>WorldCat Record</v>
      </c>
      <c r="AX3039" s="3" t="s">
        <v>29445</v>
      </c>
      <c r="AY3039" s="3" t="s">
        <v>29446</v>
      </c>
      <c r="AZ3039" s="3" t="s">
        <v>29447</v>
      </c>
      <c r="BA3039" s="3" t="s">
        <v>29447</v>
      </c>
      <c r="BB3039" s="3" t="s">
        <v>29448</v>
      </c>
      <c r="BC3039" s="3" t="s">
        <v>102</v>
      </c>
      <c r="BD3039" s="3" t="s">
        <v>68</v>
      </c>
      <c r="BE3039" s="3" t="s">
        <v>29449</v>
      </c>
      <c r="BF3039" s="3" t="s">
        <v>29448</v>
      </c>
      <c r="BG3039" s="3" t="s">
        <v>29450</v>
      </c>
    </row>
    <row r="3040" spans="1:59" ht="101.5" x14ac:dyDescent="0.35">
      <c r="A3040" s="2" t="s">
        <v>89</v>
      </c>
      <c r="B3040" s="2" t="s">
        <v>12301</v>
      </c>
      <c r="C3040" s="2" t="s">
        <v>29441</v>
      </c>
      <c r="D3040" s="2" t="s">
        <v>29442</v>
      </c>
      <c r="E3040" s="2" t="s">
        <v>29443</v>
      </c>
      <c r="G3040" s="3" t="s">
        <v>62</v>
      </c>
      <c r="I3040" s="3" t="s">
        <v>61</v>
      </c>
      <c r="J3040" s="3" t="s">
        <v>62</v>
      </c>
      <c r="K3040" s="3" t="s">
        <v>63</v>
      </c>
      <c r="L3040" s="2" t="s">
        <v>27595</v>
      </c>
      <c r="M3040" s="2" t="s">
        <v>29444</v>
      </c>
      <c r="N3040" s="3" t="s">
        <v>1064</v>
      </c>
      <c r="P3040" s="3" t="s">
        <v>64</v>
      </c>
      <c r="Q3040" s="2" t="s">
        <v>27597</v>
      </c>
      <c r="R3040" s="3" t="s">
        <v>27443</v>
      </c>
      <c r="S3040" s="4">
        <v>53</v>
      </c>
      <c r="T3040" s="4">
        <v>155</v>
      </c>
      <c r="U3040" s="5" t="s">
        <v>10908</v>
      </c>
      <c r="V3040" s="5" t="s">
        <v>24286</v>
      </c>
      <c r="W3040" s="5" t="s">
        <v>67</v>
      </c>
      <c r="X3040" s="5" t="s">
        <v>67</v>
      </c>
      <c r="Y3040" s="4">
        <v>768</v>
      </c>
      <c r="Z3040" s="4">
        <v>43</v>
      </c>
      <c r="AA3040" s="4">
        <v>69</v>
      </c>
      <c r="AB3040" s="4">
        <v>2</v>
      </c>
      <c r="AC3040" s="4">
        <v>15</v>
      </c>
      <c r="AD3040" s="4">
        <v>126</v>
      </c>
      <c r="AE3040" s="4">
        <v>137</v>
      </c>
      <c r="AF3040" s="4">
        <v>0</v>
      </c>
      <c r="AG3040" s="4">
        <v>7</v>
      </c>
      <c r="AH3040" s="4">
        <v>101</v>
      </c>
      <c r="AI3040" s="4">
        <v>104</v>
      </c>
      <c r="AJ3040" s="4">
        <v>19</v>
      </c>
      <c r="AK3040" s="4">
        <v>25</v>
      </c>
      <c r="AL3040" s="4">
        <v>59</v>
      </c>
      <c r="AM3040" s="4">
        <v>60</v>
      </c>
      <c r="AN3040" s="4">
        <v>0</v>
      </c>
      <c r="AO3040" s="4">
        <v>0</v>
      </c>
      <c r="AP3040" s="4">
        <v>32</v>
      </c>
      <c r="AQ3040" s="4">
        <v>41</v>
      </c>
      <c r="AR3040" s="3" t="s">
        <v>62</v>
      </c>
      <c r="AS3040" s="3" t="s">
        <v>62</v>
      </c>
      <c r="AT3040" s="3" t="s">
        <v>62</v>
      </c>
      <c r="AV3040" s="6" t="str">
        <f>HYPERLINK("http://mcgill.on.worldcat.org/oclc/132582","Catalog Record")</f>
        <v>Catalog Record</v>
      </c>
      <c r="AW3040" s="6" t="str">
        <f>HYPERLINK("http://www.worldcat.org/oclc/132582","WorldCat Record")</f>
        <v>WorldCat Record</v>
      </c>
      <c r="AX3040" s="3" t="s">
        <v>29445</v>
      </c>
      <c r="AY3040" s="3" t="s">
        <v>29446</v>
      </c>
      <c r="AZ3040" s="3" t="s">
        <v>29447</v>
      </c>
      <c r="BA3040" s="3" t="s">
        <v>29447</v>
      </c>
      <c r="BB3040" s="3" t="s">
        <v>29451</v>
      </c>
      <c r="BC3040" s="3" t="s">
        <v>102</v>
      </c>
      <c r="BD3040" s="3" t="s">
        <v>68</v>
      </c>
      <c r="BE3040" s="3" t="s">
        <v>29449</v>
      </c>
      <c r="BF3040" s="3" t="s">
        <v>29451</v>
      </c>
      <c r="BG3040" s="3" t="s">
        <v>29452</v>
      </c>
    </row>
    <row r="3041" spans="1:59" ht="101.5" x14ac:dyDescent="0.35">
      <c r="A3041" s="2" t="s">
        <v>89</v>
      </c>
      <c r="B3041" s="2" t="s">
        <v>12301</v>
      </c>
      <c r="C3041" s="2" t="s">
        <v>29441</v>
      </c>
      <c r="D3041" s="2" t="s">
        <v>29442</v>
      </c>
      <c r="E3041" s="2" t="s">
        <v>29443</v>
      </c>
      <c r="G3041" s="3" t="s">
        <v>62</v>
      </c>
      <c r="I3041" s="3" t="s">
        <v>61</v>
      </c>
      <c r="J3041" s="3" t="s">
        <v>62</v>
      </c>
      <c r="K3041" s="3" t="s">
        <v>63</v>
      </c>
      <c r="L3041" s="2" t="s">
        <v>27595</v>
      </c>
      <c r="M3041" s="2" t="s">
        <v>29444</v>
      </c>
      <c r="N3041" s="3" t="s">
        <v>1064</v>
      </c>
      <c r="P3041" s="3" t="s">
        <v>64</v>
      </c>
      <c r="Q3041" s="2" t="s">
        <v>27597</v>
      </c>
      <c r="R3041" s="3" t="s">
        <v>27443</v>
      </c>
      <c r="S3041" s="4">
        <v>63</v>
      </c>
      <c r="T3041" s="4">
        <v>155</v>
      </c>
      <c r="U3041" s="5" t="s">
        <v>24286</v>
      </c>
      <c r="V3041" s="5" t="s">
        <v>24286</v>
      </c>
      <c r="W3041" s="5" t="s">
        <v>67</v>
      </c>
      <c r="X3041" s="5" t="s">
        <v>67</v>
      </c>
      <c r="Y3041" s="4">
        <v>768</v>
      </c>
      <c r="Z3041" s="4">
        <v>43</v>
      </c>
      <c r="AA3041" s="4">
        <v>69</v>
      </c>
      <c r="AB3041" s="4">
        <v>2</v>
      </c>
      <c r="AC3041" s="4">
        <v>15</v>
      </c>
      <c r="AD3041" s="4">
        <v>126</v>
      </c>
      <c r="AE3041" s="4">
        <v>137</v>
      </c>
      <c r="AF3041" s="4">
        <v>0</v>
      </c>
      <c r="AG3041" s="4">
        <v>7</v>
      </c>
      <c r="AH3041" s="4">
        <v>101</v>
      </c>
      <c r="AI3041" s="4">
        <v>104</v>
      </c>
      <c r="AJ3041" s="4">
        <v>19</v>
      </c>
      <c r="AK3041" s="4">
        <v>25</v>
      </c>
      <c r="AL3041" s="4">
        <v>59</v>
      </c>
      <c r="AM3041" s="4">
        <v>60</v>
      </c>
      <c r="AN3041" s="4">
        <v>0</v>
      </c>
      <c r="AO3041" s="4">
        <v>0</v>
      </c>
      <c r="AP3041" s="4">
        <v>32</v>
      </c>
      <c r="AQ3041" s="4">
        <v>41</v>
      </c>
      <c r="AR3041" s="3" t="s">
        <v>62</v>
      </c>
      <c r="AS3041" s="3" t="s">
        <v>62</v>
      </c>
      <c r="AT3041" s="3" t="s">
        <v>62</v>
      </c>
      <c r="AV3041" s="6" t="str">
        <f>HYPERLINK("http://mcgill.on.worldcat.org/oclc/132582","Catalog Record")</f>
        <v>Catalog Record</v>
      </c>
      <c r="AW3041" s="6" t="str">
        <f>HYPERLINK("http://www.worldcat.org/oclc/132582","WorldCat Record")</f>
        <v>WorldCat Record</v>
      </c>
      <c r="AX3041" s="3" t="s">
        <v>29445</v>
      </c>
      <c r="AY3041" s="3" t="s">
        <v>29446</v>
      </c>
      <c r="AZ3041" s="3" t="s">
        <v>29447</v>
      </c>
      <c r="BA3041" s="3" t="s">
        <v>29447</v>
      </c>
      <c r="BB3041" s="3" t="s">
        <v>29453</v>
      </c>
      <c r="BC3041" s="3" t="s">
        <v>102</v>
      </c>
      <c r="BD3041" s="3" t="s">
        <v>68</v>
      </c>
      <c r="BE3041" s="3" t="s">
        <v>29449</v>
      </c>
      <c r="BF3041" s="3" t="s">
        <v>29453</v>
      </c>
      <c r="BG3041" s="3" t="s">
        <v>29454</v>
      </c>
    </row>
    <row r="3042" spans="1:59" ht="58" x14ac:dyDescent="0.35">
      <c r="A3042" s="2" t="s">
        <v>89</v>
      </c>
      <c r="B3042" s="2" t="s">
        <v>90</v>
      </c>
      <c r="C3042" s="2" t="s">
        <v>29455</v>
      </c>
      <c r="D3042" s="2" t="s">
        <v>29456</v>
      </c>
      <c r="E3042" s="2" t="s">
        <v>29457</v>
      </c>
      <c r="G3042" s="3" t="s">
        <v>62</v>
      </c>
      <c r="I3042" s="3" t="s">
        <v>62</v>
      </c>
      <c r="J3042" s="3" t="s">
        <v>62</v>
      </c>
      <c r="K3042" s="3" t="s">
        <v>63</v>
      </c>
      <c r="L3042" s="2" t="s">
        <v>29458</v>
      </c>
      <c r="M3042" s="2" t="s">
        <v>13756</v>
      </c>
      <c r="N3042" s="3" t="s">
        <v>6410</v>
      </c>
      <c r="O3042" s="2" t="s">
        <v>8350</v>
      </c>
      <c r="P3042" s="3" t="s">
        <v>64</v>
      </c>
      <c r="R3042" s="3" t="s">
        <v>27443</v>
      </c>
      <c r="S3042" s="4">
        <v>4</v>
      </c>
      <c r="T3042" s="4">
        <v>4</v>
      </c>
      <c r="U3042" s="5" t="s">
        <v>7360</v>
      </c>
      <c r="V3042" s="5" t="s">
        <v>7360</v>
      </c>
      <c r="W3042" s="5" t="s">
        <v>67</v>
      </c>
      <c r="X3042" s="5" t="s">
        <v>67</v>
      </c>
      <c r="Y3042" s="4">
        <v>186</v>
      </c>
      <c r="Z3042" s="4">
        <v>9</v>
      </c>
      <c r="AA3042" s="4">
        <v>18</v>
      </c>
      <c r="AB3042" s="4">
        <v>1</v>
      </c>
      <c r="AC3042" s="4">
        <v>4</v>
      </c>
      <c r="AD3042" s="4">
        <v>67</v>
      </c>
      <c r="AE3042" s="4">
        <v>83</v>
      </c>
      <c r="AF3042" s="4">
        <v>0</v>
      </c>
      <c r="AG3042" s="4">
        <v>2</v>
      </c>
      <c r="AH3042" s="4">
        <v>61</v>
      </c>
      <c r="AI3042" s="4">
        <v>74</v>
      </c>
      <c r="AJ3042" s="4">
        <v>7</v>
      </c>
      <c r="AK3042" s="4">
        <v>13</v>
      </c>
      <c r="AL3042" s="4">
        <v>38</v>
      </c>
      <c r="AM3042" s="4">
        <v>43</v>
      </c>
      <c r="AN3042" s="4">
        <v>4</v>
      </c>
      <c r="AO3042" s="4">
        <v>4</v>
      </c>
      <c r="AP3042" s="4">
        <v>8</v>
      </c>
      <c r="AQ3042" s="4">
        <v>14</v>
      </c>
      <c r="AR3042" s="3" t="s">
        <v>62</v>
      </c>
      <c r="AS3042" s="3" t="s">
        <v>62</v>
      </c>
      <c r="AT3042" s="3" t="s">
        <v>61</v>
      </c>
      <c r="AU3042" s="6" t="str">
        <f>HYPERLINK("http://catalog.hathitrust.org/Record/006055427","HathiTrust Record")</f>
        <v>HathiTrust Record</v>
      </c>
      <c r="AV3042" s="6" t="str">
        <f>HYPERLINK("http://mcgill.on.worldcat.org/oclc/14647123","Catalog Record")</f>
        <v>Catalog Record</v>
      </c>
      <c r="AW3042" s="6" t="str">
        <f>HYPERLINK("http://www.worldcat.org/oclc/14647123","WorldCat Record")</f>
        <v>WorldCat Record</v>
      </c>
      <c r="AX3042" s="3" t="s">
        <v>29459</v>
      </c>
      <c r="AY3042" s="3" t="s">
        <v>29460</v>
      </c>
      <c r="AZ3042" s="3" t="s">
        <v>29461</v>
      </c>
      <c r="BA3042" s="3" t="s">
        <v>29461</v>
      </c>
      <c r="BB3042" s="3" t="s">
        <v>29462</v>
      </c>
      <c r="BC3042" s="3" t="s">
        <v>102</v>
      </c>
      <c r="BD3042" s="3" t="s">
        <v>68</v>
      </c>
      <c r="BF3042" s="3" t="s">
        <v>29462</v>
      </c>
      <c r="BG3042" s="3" t="s">
        <v>29463</v>
      </c>
    </row>
    <row r="3043" spans="1:59" ht="58" x14ac:dyDescent="0.35">
      <c r="A3043" s="2" t="s">
        <v>89</v>
      </c>
      <c r="B3043" s="2" t="s">
        <v>90</v>
      </c>
      <c r="C3043" s="2" t="s">
        <v>29464</v>
      </c>
      <c r="D3043" s="2" t="s">
        <v>29465</v>
      </c>
      <c r="E3043" s="2" t="s">
        <v>29466</v>
      </c>
      <c r="G3043" s="3" t="s">
        <v>62</v>
      </c>
      <c r="I3043" s="3" t="s">
        <v>62</v>
      </c>
      <c r="J3043" s="3" t="s">
        <v>62</v>
      </c>
      <c r="K3043" s="3" t="s">
        <v>63</v>
      </c>
      <c r="L3043" s="2" t="s">
        <v>29467</v>
      </c>
      <c r="M3043" s="2" t="s">
        <v>29468</v>
      </c>
      <c r="N3043" s="3" t="s">
        <v>640</v>
      </c>
      <c r="P3043" s="3" t="s">
        <v>64</v>
      </c>
      <c r="Q3043" s="2" t="s">
        <v>29469</v>
      </c>
      <c r="R3043" s="3" t="s">
        <v>27443</v>
      </c>
      <c r="S3043" s="4">
        <v>14</v>
      </c>
      <c r="T3043" s="4">
        <v>14</v>
      </c>
      <c r="U3043" s="5" t="s">
        <v>2872</v>
      </c>
      <c r="V3043" s="5" t="s">
        <v>2872</v>
      </c>
      <c r="W3043" s="5" t="s">
        <v>67</v>
      </c>
      <c r="X3043" s="5" t="s">
        <v>67</v>
      </c>
      <c r="Y3043" s="4">
        <v>472</v>
      </c>
      <c r="Z3043" s="4">
        <v>26</v>
      </c>
      <c r="AA3043" s="4">
        <v>40</v>
      </c>
      <c r="AB3043" s="4">
        <v>2</v>
      </c>
      <c r="AC3043" s="4">
        <v>7</v>
      </c>
      <c r="AD3043" s="4">
        <v>99</v>
      </c>
      <c r="AE3043" s="4">
        <v>113</v>
      </c>
      <c r="AF3043" s="4">
        <v>1</v>
      </c>
      <c r="AG3043" s="4">
        <v>3</v>
      </c>
      <c r="AH3043" s="4">
        <v>85</v>
      </c>
      <c r="AI3043" s="4">
        <v>91</v>
      </c>
      <c r="AJ3043" s="4">
        <v>13</v>
      </c>
      <c r="AK3043" s="4">
        <v>20</v>
      </c>
      <c r="AL3043" s="4">
        <v>51</v>
      </c>
      <c r="AM3043" s="4">
        <v>52</v>
      </c>
      <c r="AN3043" s="4">
        <v>0</v>
      </c>
      <c r="AO3043" s="4">
        <v>0</v>
      </c>
      <c r="AP3043" s="4">
        <v>17</v>
      </c>
      <c r="AQ3043" s="4">
        <v>26</v>
      </c>
      <c r="AR3043" s="3" t="s">
        <v>62</v>
      </c>
      <c r="AS3043" s="3" t="s">
        <v>62</v>
      </c>
      <c r="AT3043" s="3" t="s">
        <v>62</v>
      </c>
      <c r="AV3043" s="6" t="str">
        <f>HYPERLINK("http://mcgill.on.worldcat.org/oclc/52720597","Catalog Record")</f>
        <v>Catalog Record</v>
      </c>
      <c r="AW3043" s="6" t="str">
        <f>HYPERLINK("http://www.worldcat.org/oclc/52720597","WorldCat Record")</f>
        <v>WorldCat Record</v>
      </c>
      <c r="AX3043" s="3" t="s">
        <v>29470</v>
      </c>
      <c r="AY3043" s="3" t="s">
        <v>29471</v>
      </c>
      <c r="AZ3043" s="3" t="s">
        <v>29472</v>
      </c>
      <c r="BA3043" s="3" t="s">
        <v>29472</v>
      </c>
      <c r="BB3043" s="3" t="s">
        <v>29473</v>
      </c>
      <c r="BC3043" s="3" t="s">
        <v>102</v>
      </c>
      <c r="BD3043" s="3" t="s">
        <v>68</v>
      </c>
      <c r="BE3043" s="3" t="s">
        <v>29474</v>
      </c>
      <c r="BF3043" s="3" t="s">
        <v>29473</v>
      </c>
      <c r="BG3043" s="3" t="s">
        <v>29475</v>
      </c>
    </row>
    <row r="3044" spans="1:59" ht="58" x14ac:dyDescent="0.35">
      <c r="A3044" s="2" t="s">
        <v>89</v>
      </c>
      <c r="B3044" s="2" t="s">
        <v>90</v>
      </c>
      <c r="C3044" s="2" t="s">
        <v>29476</v>
      </c>
      <c r="D3044" s="2" t="s">
        <v>29477</v>
      </c>
      <c r="E3044" s="2" t="s">
        <v>29478</v>
      </c>
      <c r="G3044" s="3" t="s">
        <v>62</v>
      </c>
      <c r="I3044" s="3" t="s">
        <v>61</v>
      </c>
      <c r="J3044" s="3" t="s">
        <v>62</v>
      </c>
      <c r="K3044" s="3" t="s">
        <v>63</v>
      </c>
      <c r="L3044" s="2" t="s">
        <v>29479</v>
      </c>
      <c r="M3044" s="2" t="s">
        <v>29480</v>
      </c>
      <c r="N3044" s="3" t="s">
        <v>625</v>
      </c>
      <c r="O3044" s="2" t="s">
        <v>29481</v>
      </c>
      <c r="P3044" s="3" t="s">
        <v>64</v>
      </c>
      <c r="R3044" s="3" t="s">
        <v>27443</v>
      </c>
      <c r="S3044" s="4">
        <v>24</v>
      </c>
      <c r="T3044" s="4">
        <v>53</v>
      </c>
      <c r="U3044" s="5" t="s">
        <v>9895</v>
      </c>
      <c r="V3044" s="5" t="s">
        <v>29482</v>
      </c>
      <c r="W3044" s="5" t="s">
        <v>67</v>
      </c>
      <c r="X3044" s="5" t="s">
        <v>67</v>
      </c>
      <c r="Y3044" s="4">
        <v>154</v>
      </c>
      <c r="Z3044" s="4">
        <v>8</v>
      </c>
      <c r="AA3044" s="4">
        <v>16</v>
      </c>
      <c r="AB3044" s="4">
        <v>1</v>
      </c>
      <c r="AC3044" s="4">
        <v>3</v>
      </c>
      <c r="AD3044" s="4">
        <v>61</v>
      </c>
      <c r="AE3044" s="4">
        <v>85</v>
      </c>
      <c r="AF3044" s="4">
        <v>0</v>
      </c>
      <c r="AG3044" s="4">
        <v>1</v>
      </c>
      <c r="AH3044" s="4">
        <v>55</v>
      </c>
      <c r="AI3044" s="4">
        <v>78</v>
      </c>
      <c r="AJ3044" s="4">
        <v>5</v>
      </c>
      <c r="AK3044" s="4">
        <v>10</v>
      </c>
      <c r="AL3044" s="4">
        <v>33</v>
      </c>
      <c r="AM3044" s="4">
        <v>46</v>
      </c>
      <c r="AN3044" s="4">
        <v>0</v>
      </c>
      <c r="AO3044" s="4">
        <v>0</v>
      </c>
      <c r="AP3044" s="4">
        <v>5</v>
      </c>
      <c r="AQ3044" s="4">
        <v>11</v>
      </c>
      <c r="AR3044" s="3" t="s">
        <v>62</v>
      </c>
      <c r="AS3044" s="3" t="s">
        <v>62</v>
      </c>
      <c r="AT3044" s="3" t="s">
        <v>62</v>
      </c>
      <c r="AV3044" s="6" t="str">
        <f>HYPERLINK("http://mcgill.on.worldcat.org/oclc/52079739","Catalog Record")</f>
        <v>Catalog Record</v>
      </c>
      <c r="AW3044" s="6" t="str">
        <f>HYPERLINK("http://www.worldcat.org/oclc/52079739","WorldCat Record")</f>
        <v>WorldCat Record</v>
      </c>
      <c r="AX3044" s="3" t="s">
        <v>29483</v>
      </c>
      <c r="AY3044" s="3" t="s">
        <v>29484</v>
      </c>
      <c r="AZ3044" s="3" t="s">
        <v>29485</v>
      </c>
      <c r="BA3044" s="3" t="s">
        <v>29485</v>
      </c>
      <c r="BB3044" s="3" t="s">
        <v>29486</v>
      </c>
      <c r="BC3044" s="3" t="s">
        <v>102</v>
      </c>
      <c r="BD3044" s="3" t="s">
        <v>68</v>
      </c>
      <c r="BE3044" s="3" t="s">
        <v>29487</v>
      </c>
      <c r="BF3044" s="3" t="s">
        <v>29486</v>
      </c>
      <c r="BG3044" s="3" t="s">
        <v>29488</v>
      </c>
    </row>
    <row r="3045" spans="1:59" ht="58" x14ac:dyDescent="0.35">
      <c r="A3045" s="2" t="s">
        <v>59</v>
      </c>
      <c r="B3045" s="2" t="s">
        <v>60</v>
      </c>
      <c r="C3045" s="2" t="s">
        <v>29489</v>
      </c>
      <c r="D3045" s="2" t="s">
        <v>29490</v>
      </c>
      <c r="E3045" s="2" t="s">
        <v>29491</v>
      </c>
      <c r="G3045" s="3" t="s">
        <v>62</v>
      </c>
      <c r="I3045" s="3" t="s">
        <v>61</v>
      </c>
      <c r="J3045" s="3" t="s">
        <v>62</v>
      </c>
      <c r="K3045" s="3" t="s">
        <v>63</v>
      </c>
      <c r="L3045" s="2" t="s">
        <v>29492</v>
      </c>
      <c r="M3045" s="2" t="s">
        <v>29493</v>
      </c>
      <c r="N3045" s="3" t="s">
        <v>838</v>
      </c>
      <c r="P3045" s="3" t="s">
        <v>64</v>
      </c>
      <c r="Q3045" s="2" t="s">
        <v>29494</v>
      </c>
      <c r="R3045" s="3" t="s">
        <v>27443</v>
      </c>
      <c r="S3045" s="4">
        <v>0</v>
      </c>
      <c r="T3045" s="4">
        <v>8</v>
      </c>
      <c r="V3045" s="5" t="s">
        <v>15653</v>
      </c>
      <c r="W3045" s="5" t="s">
        <v>67</v>
      </c>
      <c r="X3045" s="5" t="s">
        <v>67</v>
      </c>
      <c r="Y3045" s="4">
        <v>495</v>
      </c>
      <c r="Z3045" s="4">
        <v>25</v>
      </c>
      <c r="AA3045" s="4">
        <v>33</v>
      </c>
      <c r="AB3045" s="4">
        <v>1</v>
      </c>
      <c r="AC3045" s="4">
        <v>6</v>
      </c>
      <c r="AD3045" s="4">
        <v>106</v>
      </c>
      <c r="AE3045" s="4">
        <v>120</v>
      </c>
      <c r="AF3045" s="4">
        <v>0</v>
      </c>
      <c r="AG3045" s="4">
        <v>4</v>
      </c>
      <c r="AH3045" s="4">
        <v>90</v>
      </c>
      <c r="AI3045" s="4">
        <v>98</v>
      </c>
      <c r="AJ3045" s="4">
        <v>16</v>
      </c>
      <c r="AK3045" s="4">
        <v>21</v>
      </c>
      <c r="AL3045" s="4">
        <v>47</v>
      </c>
      <c r="AM3045" s="4">
        <v>52</v>
      </c>
      <c r="AN3045" s="4">
        <v>0</v>
      </c>
      <c r="AO3045" s="4">
        <v>0</v>
      </c>
      <c r="AP3045" s="4">
        <v>21</v>
      </c>
      <c r="AQ3045" s="4">
        <v>27</v>
      </c>
      <c r="AR3045" s="3" t="s">
        <v>62</v>
      </c>
      <c r="AS3045" s="3" t="s">
        <v>62</v>
      </c>
      <c r="AT3045" s="3" t="s">
        <v>61</v>
      </c>
      <c r="AU3045" s="6" t="str">
        <f>HYPERLINK("http://catalog.hathitrust.org/Record/001480199","HathiTrust Record")</f>
        <v>HathiTrust Record</v>
      </c>
      <c r="AV3045" s="6" t="str">
        <f>HYPERLINK("http://mcgill.on.worldcat.org/oclc/350977","Catalog Record")</f>
        <v>Catalog Record</v>
      </c>
      <c r="AW3045" s="6" t="str">
        <f>HYPERLINK("http://www.worldcat.org/oclc/350977","WorldCat Record")</f>
        <v>WorldCat Record</v>
      </c>
      <c r="AX3045" s="3" t="s">
        <v>29495</v>
      </c>
      <c r="AY3045" s="3" t="s">
        <v>29496</v>
      </c>
      <c r="AZ3045" s="3" t="s">
        <v>29497</v>
      </c>
      <c r="BA3045" s="3" t="s">
        <v>29497</v>
      </c>
      <c r="BB3045" s="3" t="s">
        <v>29498</v>
      </c>
      <c r="BC3045" s="3" t="s">
        <v>102</v>
      </c>
      <c r="BD3045" s="3" t="s">
        <v>68</v>
      </c>
      <c r="BF3045" s="3" t="s">
        <v>29498</v>
      </c>
      <c r="BG3045" s="3" t="s">
        <v>29499</v>
      </c>
    </row>
    <row r="3046" spans="1:59" ht="101.5" x14ac:dyDescent="0.35">
      <c r="A3046" s="2" t="s">
        <v>89</v>
      </c>
      <c r="B3046" s="2" t="s">
        <v>12301</v>
      </c>
      <c r="C3046" s="2" t="s">
        <v>29500</v>
      </c>
      <c r="D3046" s="2" t="s">
        <v>29501</v>
      </c>
      <c r="E3046" s="2" t="s">
        <v>29502</v>
      </c>
      <c r="G3046" s="3" t="s">
        <v>62</v>
      </c>
      <c r="I3046" s="3" t="s">
        <v>61</v>
      </c>
      <c r="J3046" s="3" t="s">
        <v>62</v>
      </c>
      <c r="K3046" s="3" t="s">
        <v>63</v>
      </c>
      <c r="L3046" s="2" t="s">
        <v>29503</v>
      </c>
      <c r="M3046" s="2" t="s">
        <v>29504</v>
      </c>
      <c r="N3046" s="3" t="s">
        <v>568</v>
      </c>
      <c r="P3046" s="3" t="s">
        <v>64</v>
      </c>
      <c r="R3046" s="3" t="s">
        <v>27443</v>
      </c>
      <c r="S3046" s="4">
        <v>330</v>
      </c>
      <c r="T3046" s="4">
        <v>563</v>
      </c>
      <c r="U3046" s="5" t="s">
        <v>7448</v>
      </c>
      <c r="V3046" s="5" t="s">
        <v>22421</v>
      </c>
      <c r="W3046" s="5" t="s">
        <v>67</v>
      </c>
      <c r="X3046" s="5" t="s">
        <v>67</v>
      </c>
      <c r="Y3046" s="4">
        <v>440</v>
      </c>
      <c r="Z3046" s="4">
        <v>35</v>
      </c>
      <c r="AA3046" s="4">
        <v>38</v>
      </c>
      <c r="AB3046" s="4">
        <v>4</v>
      </c>
      <c r="AC3046" s="4">
        <v>6</v>
      </c>
      <c r="AD3046" s="4">
        <v>93</v>
      </c>
      <c r="AE3046" s="4">
        <v>96</v>
      </c>
      <c r="AF3046" s="4">
        <v>2</v>
      </c>
      <c r="AG3046" s="4">
        <v>4</v>
      </c>
      <c r="AH3046" s="4">
        <v>74</v>
      </c>
      <c r="AI3046" s="4">
        <v>74</v>
      </c>
      <c r="AJ3046" s="4">
        <v>15</v>
      </c>
      <c r="AK3046" s="4">
        <v>17</v>
      </c>
      <c r="AL3046" s="4">
        <v>47</v>
      </c>
      <c r="AM3046" s="4">
        <v>47</v>
      </c>
      <c r="AN3046" s="4">
        <v>0</v>
      </c>
      <c r="AO3046" s="4">
        <v>0</v>
      </c>
      <c r="AP3046" s="4">
        <v>25</v>
      </c>
      <c r="AQ3046" s="4">
        <v>27</v>
      </c>
      <c r="AR3046" s="3" t="s">
        <v>62</v>
      </c>
      <c r="AS3046" s="3" t="s">
        <v>62</v>
      </c>
      <c r="AT3046" s="3" t="s">
        <v>62</v>
      </c>
      <c r="AV3046" s="6" t="str">
        <f>HYPERLINK("http://mcgill.on.worldcat.org/oclc/41476755","Catalog Record")</f>
        <v>Catalog Record</v>
      </c>
      <c r="AW3046" s="6" t="str">
        <f>HYPERLINK("http://www.worldcat.org/oclc/41476755","WorldCat Record")</f>
        <v>WorldCat Record</v>
      </c>
      <c r="AX3046" s="3" t="s">
        <v>29505</v>
      </c>
      <c r="AY3046" s="3" t="s">
        <v>29506</v>
      </c>
      <c r="AZ3046" s="3" t="s">
        <v>29507</v>
      </c>
      <c r="BA3046" s="3" t="s">
        <v>29507</v>
      </c>
      <c r="BB3046" s="3" t="s">
        <v>29508</v>
      </c>
      <c r="BC3046" s="3" t="s">
        <v>102</v>
      </c>
      <c r="BD3046" s="3" t="s">
        <v>68</v>
      </c>
      <c r="BE3046" s="3" t="s">
        <v>29509</v>
      </c>
      <c r="BF3046" s="3" t="s">
        <v>29508</v>
      </c>
      <c r="BG3046" s="3" t="s">
        <v>29510</v>
      </c>
    </row>
    <row r="3047" spans="1:59" ht="101.5" x14ac:dyDescent="0.35">
      <c r="A3047" s="2" t="s">
        <v>89</v>
      </c>
      <c r="B3047" s="2" t="s">
        <v>12301</v>
      </c>
      <c r="C3047" s="2" t="s">
        <v>29500</v>
      </c>
      <c r="D3047" s="2" t="s">
        <v>29501</v>
      </c>
      <c r="E3047" s="2" t="s">
        <v>29502</v>
      </c>
      <c r="G3047" s="3" t="s">
        <v>62</v>
      </c>
      <c r="I3047" s="3" t="s">
        <v>61</v>
      </c>
      <c r="J3047" s="3" t="s">
        <v>62</v>
      </c>
      <c r="K3047" s="3" t="s">
        <v>63</v>
      </c>
      <c r="L3047" s="2" t="s">
        <v>29503</v>
      </c>
      <c r="M3047" s="2" t="s">
        <v>29504</v>
      </c>
      <c r="N3047" s="3" t="s">
        <v>568</v>
      </c>
      <c r="P3047" s="3" t="s">
        <v>64</v>
      </c>
      <c r="R3047" s="3" t="s">
        <v>27443</v>
      </c>
      <c r="S3047" s="4">
        <v>233</v>
      </c>
      <c r="T3047" s="4">
        <v>563</v>
      </c>
      <c r="U3047" s="5" t="s">
        <v>22421</v>
      </c>
      <c r="V3047" s="5" t="s">
        <v>22421</v>
      </c>
      <c r="W3047" s="5" t="s">
        <v>67</v>
      </c>
      <c r="X3047" s="5" t="s">
        <v>67</v>
      </c>
      <c r="Y3047" s="4">
        <v>440</v>
      </c>
      <c r="Z3047" s="4">
        <v>35</v>
      </c>
      <c r="AA3047" s="4">
        <v>38</v>
      </c>
      <c r="AB3047" s="4">
        <v>4</v>
      </c>
      <c r="AC3047" s="4">
        <v>6</v>
      </c>
      <c r="AD3047" s="4">
        <v>93</v>
      </c>
      <c r="AE3047" s="4">
        <v>96</v>
      </c>
      <c r="AF3047" s="4">
        <v>2</v>
      </c>
      <c r="AG3047" s="4">
        <v>4</v>
      </c>
      <c r="AH3047" s="4">
        <v>74</v>
      </c>
      <c r="AI3047" s="4">
        <v>74</v>
      </c>
      <c r="AJ3047" s="4">
        <v>15</v>
      </c>
      <c r="AK3047" s="4">
        <v>17</v>
      </c>
      <c r="AL3047" s="4">
        <v>47</v>
      </c>
      <c r="AM3047" s="4">
        <v>47</v>
      </c>
      <c r="AN3047" s="4">
        <v>0</v>
      </c>
      <c r="AO3047" s="4">
        <v>0</v>
      </c>
      <c r="AP3047" s="4">
        <v>25</v>
      </c>
      <c r="AQ3047" s="4">
        <v>27</v>
      </c>
      <c r="AR3047" s="3" t="s">
        <v>62</v>
      </c>
      <c r="AS3047" s="3" t="s">
        <v>62</v>
      </c>
      <c r="AT3047" s="3" t="s">
        <v>62</v>
      </c>
      <c r="AV3047" s="6" t="str">
        <f>HYPERLINK("http://mcgill.on.worldcat.org/oclc/41476755","Catalog Record")</f>
        <v>Catalog Record</v>
      </c>
      <c r="AW3047" s="6" t="str">
        <f>HYPERLINK("http://www.worldcat.org/oclc/41476755","WorldCat Record")</f>
        <v>WorldCat Record</v>
      </c>
      <c r="AX3047" s="3" t="s">
        <v>29505</v>
      </c>
      <c r="AY3047" s="3" t="s">
        <v>29506</v>
      </c>
      <c r="AZ3047" s="3" t="s">
        <v>29507</v>
      </c>
      <c r="BA3047" s="3" t="s">
        <v>29507</v>
      </c>
      <c r="BB3047" s="3" t="s">
        <v>29511</v>
      </c>
      <c r="BC3047" s="3" t="s">
        <v>102</v>
      </c>
      <c r="BD3047" s="3" t="s">
        <v>68</v>
      </c>
      <c r="BE3047" s="3" t="s">
        <v>29509</v>
      </c>
      <c r="BF3047" s="3" t="s">
        <v>29511</v>
      </c>
      <c r="BG3047" s="3" t="s">
        <v>29512</v>
      </c>
    </row>
    <row r="3048" spans="1:59" ht="101.5" x14ac:dyDescent="0.35">
      <c r="A3048" s="2" t="s">
        <v>89</v>
      </c>
      <c r="B3048" s="2" t="s">
        <v>12301</v>
      </c>
      <c r="C3048" s="2" t="s">
        <v>29513</v>
      </c>
      <c r="D3048" s="2" t="s">
        <v>29514</v>
      </c>
      <c r="E3048" s="2" t="s">
        <v>29515</v>
      </c>
      <c r="G3048" s="3" t="s">
        <v>62</v>
      </c>
      <c r="I3048" s="3" t="s">
        <v>62</v>
      </c>
      <c r="J3048" s="3" t="s">
        <v>61</v>
      </c>
      <c r="K3048" s="3" t="s">
        <v>63</v>
      </c>
      <c r="L3048" s="2" t="s">
        <v>29516</v>
      </c>
      <c r="M3048" s="2" t="s">
        <v>29517</v>
      </c>
      <c r="N3048" s="3" t="s">
        <v>880</v>
      </c>
      <c r="O3048" s="2" t="s">
        <v>19908</v>
      </c>
      <c r="P3048" s="3" t="s">
        <v>64</v>
      </c>
      <c r="Q3048" s="2" t="s">
        <v>29518</v>
      </c>
      <c r="R3048" s="3" t="s">
        <v>27443</v>
      </c>
      <c r="S3048" s="4">
        <v>44</v>
      </c>
      <c r="T3048" s="4">
        <v>44</v>
      </c>
      <c r="U3048" s="5" t="s">
        <v>12276</v>
      </c>
      <c r="V3048" s="5" t="s">
        <v>12276</v>
      </c>
      <c r="W3048" s="5" t="s">
        <v>67</v>
      </c>
      <c r="X3048" s="5" t="s">
        <v>67</v>
      </c>
      <c r="Y3048" s="4">
        <v>199</v>
      </c>
      <c r="Z3048" s="4">
        <v>18</v>
      </c>
      <c r="AA3048" s="4">
        <v>66</v>
      </c>
      <c r="AB3048" s="4">
        <v>4</v>
      </c>
      <c r="AC3048" s="4">
        <v>17</v>
      </c>
      <c r="AD3048" s="4">
        <v>39</v>
      </c>
      <c r="AE3048" s="4">
        <v>140</v>
      </c>
      <c r="AF3048" s="4">
        <v>1</v>
      </c>
      <c r="AG3048" s="4">
        <v>7</v>
      </c>
      <c r="AH3048" s="4">
        <v>31</v>
      </c>
      <c r="AI3048" s="4">
        <v>111</v>
      </c>
      <c r="AJ3048" s="4">
        <v>12</v>
      </c>
      <c r="AK3048" s="4">
        <v>26</v>
      </c>
      <c r="AL3048" s="4">
        <v>22</v>
      </c>
      <c r="AM3048" s="4">
        <v>58</v>
      </c>
      <c r="AN3048" s="4">
        <v>0</v>
      </c>
      <c r="AO3048" s="4">
        <v>0</v>
      </c>
      <c r="AP3048" s="4">
        <v>12</v>
      </c>
      <c r="AQ3048" s="4">
        <v>35</v>
      </c>
      <c r="AR3048" s="3" t="s">
        <v>62</v>
      </c>
      <c r="AS3048" s="3" t="s">
        <v>62</v>
      </c>
      <c r="AT3048" s="3" t="s">
        <v>62</v>
      </c>
      <c r="AV3048" s="6" t="str">
        <f>HYPERLINK("http://mcgill.on.worldcat.org/oclc/237018426","Catalog Record")</f>
        <v>Catalog Record</v>
      </c>
      <c r="AW3048" s="6" t="str">
        <f>HYPERLINK("http://www.worldcat.org/oclc/237018426","WorldCat Record")</f>
        <v>WorldCat Record</v>
      </c>
      <c r="AX3048" s="3" t="s">
        <v>29519</v>
      </c>
      <c r="AY3048" s="3" t="s">
        <v>29520</v>
      </c>
      <c r="AZ3048" s="3" t="s">
        <v>29521</v>
      </c>
      <c r="BA3048" s="3" t="s">
        <v>29521</v>
      </c>
      <c r="BB3048" s="3" t="s">
        <v>29522</v>
      </c>
      <c r="BC3048" s="3" t="s">
        <v>102</v>
      </c>
      <c r="BD3048" s="3" t="s">
        <v>68</v>
      </c>
      <c r="BE3048" s="3" t="s">
        <v>29523</v>
      </c>
      <c r="BF3048" s="3" t="s">
        <v>29522</v>
      </c>
      <c r="BG3048" s="3" t="s">
        <v>29524</v>
      </c>
    </row>
    <row r="3049" spans="1:59" ht="58" x14ac:dyDescent="0.35">
      <c r="A3049" s="2" t="s">
        <v>89</v>
      </c>
      <c r="B3049" s="2" t="s">
        <v>90</v>
      </c>
      <c r="C3049" s="2" t="s">
        <v>29525</v>
      </c>
      <c r="D3049" s="2" t="s">
        <v>29526</v>
      </c>
      <c r="E3049" s="2" t="s">
        <v>29527</v>
      </c>
      <c r="G3049" s="3" t="s">
        <v>62</v>
      </c>
      <c r="I3049" s="3" t="s">
        <v>62</v>
      </c>
      <c r="J3049" s="3" t="s">
        <v>61</v>
      </c>
      <c r="K3049" s="3" t="s">
        <v>63</v>
      </c>
      <c r="L3049" s="2" t="s">
        <v>29528</v>
      </c>
      <c r="M3049" s="2" t="s">
        <v>29529</v>
      </c>
      <c r="N3049" s="3" t="s">
        <v>2924</v>
      </c>
      <c r="P3049" s="3" t="s">
        <v>1078</v>
      </c>
      <c r="Q3049" s="2" t="s">
        <v>29530</v>
      </c>
      <c r="R3049" s="3" t="s">
        <v>27443</v>
      </c>
      <c r="S3049" s="4">
        <v>3</v>
      </c>
      <c r="T3049" s="4">
        <v>3</v>
      </c>
      <c r="U3049" s="5" t="s">
        <v>5961</v>
      </c>
      <c r="V3049" s="5" t="s">
        <v>5961</v>
      </c>
      <c r="W3049" s="5" t="s">
        <v>67</v>
      </c>
      <c r="X3049" s="5" t="s">
        <v>67</v>
      </c>
      <c r="Y3049" s="4">
        <v>82</v>
      </c>
      <c r="Z3049" s="4">
        <v>5</v>
      </c>
      <c r="AA3049" s="4">
        <v>6</v>
      </c>
      <c r="AB3049" s="4">
        <v>1</v>
      </c>
      <c r="AC3049" s="4">
        <v>1</v>
      </c>
      <c r="AD3049" s="4">
        <v>37</v>
      </c>
      <c r="AE3049" s="4">
        <v>39</v>
      </c>
      <c r="AF3049" s="4">
        <v>0</v>
      </c>
      <c r="AG3049" s="4">
        <v>0</v>
      </c>
      <c r="AH3049" s="4">
        <v>36</v>
      </c>
      <c r="AI3049" s="4">
        <v>38</v>
      </c>
      <c r="AJ3049" s="4">
        <v>2</v>
      </c>
      <c r="AK3049" s="4">
        <v>3</v>
      </c>
      <c r="AL3049" s="4">
        <v>28</v>
      </c>
      <c r="AM3049" s="4">
        <v>28</v>
      </c>
      <c r="AN3049" s="4">
        <v>0</v>
      </c>
      <c r="AO3049" s="4">
        <v>0</v>
      </c>
      <c r="AP3049" s="4">
        <v>2</v>
      </c>
      <c r="AQ3049" s="4">
        <v>3</v>
      </c>
      <c r="AR3049" s="3" t="s">
        <v>62</v>
      </c>
      <c r="AS3049" s="3" t="s">
        <v>62</v>
      </c>
      <c r="AT3049" s="3" t="s">
        <v>62</v>
      </c>
      <c r="AV3049" s="6" t="str">
        <f>HYPERLINK("http://mcgill.on.worldcat.org/oclc/2369758","Catalog Record")</f>
        <v>Catalog Record</v>
      </c>
      <c r="AW3049" s="6" t="str">
        <f>HYPERLINK("http://www.worldcat.org/oclc/2369758","WorldCat Record")</f>
        <v>WorldCat Record</v>
      </c>
      <c r="AX3049" s="3" t="s">
        <v>29531</v>
      </c>
      <c r="AY3049" s="3" t="s">
        <v>29532</v>
      </c>
      <c r="AZ3049" s="3" t="s">
        <v>29533</v>
      </c>
      <c r="BA3049" s="3" t="s">
        <v>29533</v>
      </c>
      <c r="BB3049" s="3" t="s">
        <v>29534</v>
      </c>
      <c r="BC3049" s="3" t="s">
        <v>102</v>
      </c>
      <c r="BD3049" s="3" t="s">
        <v>68</v>
      </c>
      <c r="BF3049" s="3" t="s">
        <v>29534</v>
      </c>
      <c r="BG3049" s="3" t="s">
        <v>29535</v>
      </c>
    </row>
    <row r="3050" spans="1:59" ht="87" x14ac:dyDescent="0.35">
      <c r="A3050" s="2" t="s">
        <v>89</v>
      </c>
      <c r="B3050" s="2" t="s">
        <v>90</v>
      </c>
      <c r="C3050" s="2" t="s">
        <v>29536</v>
      </c>
      <c r="D3050" s="2" t="s">
        <v>29537</v>
      </c>
      <c r="E3050" s="2" t="s">
        <v>29538</v>
      </c>
      <c r="F3050" s="3" t="s">
        <v>2233</v>
      </c>
      <c r="G3050" s="3" t="s">
        <v>61</v>
      </c>
      <c r="I3050" s="3" t="s">
        <v>62</v>
      </c>
      <c r="J3050" s="3" t="s">
        <v>62</v>
      </c>
      <c r="K3050" s="3" t="s">
        <v>63</v>
      </c>
      <c r="L3050" s="2" t="s">
        <v>29539</v>
      </c>
      <c r="M3050" s="2" t="s">
        <v>29540</v>
      </c>
      <c r="N3050" s="3" t="s">
        <v>2975</v>
      </c>
      <c r="P3050" s="3" t="s">
        <v>64</v>
      </c>
      <c r="Q3050" s="2" t="s">
        <v>29541</v>
      </c>
      <c r="R3050" s="3" t="s">
        <v>27443</v>
      </c>
      <c r="S3050" s="4">
        <v>20</v>
      </c>
      <c r="T3050" s="4">
        <v>42</v>
      </c>
      <c r="U3050" s="5" t="s">
        <v>29542</v>
      </c>
      <c r="V3050" s="5" t="s">
        <v>29542</v>
      </c>
      <c r="W3050" s="5" t="s">
        <v>67</v>
      </c>
      <c r="X3050" s="5" t="s">
        <v>67</v>
      </c>
      <c r="Y3050" s="4">
        <v>185</v>
      </c>
      <c r="Z3050" s="4">
        <v>15</v>
      </c>
      <c r="AA3050" s="4">
        <v>16</v>
      </c>
      <c r="AB3050" s="4">
        <v>3</v>
      </c>
      <c r="AC3050" s="4">
        <v>4</v>
      </c>
      <c r="AD3050" s="4">
        <v>69</v>
      </c>
      <c r="AE3050" s="4">
        <v>70</v>
      </c>
      <c r="AF3050" s="4">
        <v>0</v>
      </c>
      <c r="AG3050" s="4">
        <v>0</v>
      </c>
      <c r="AH3050" s="4">
        <v>62</v>
      </c>
      <c r="AI3050" s="4">
        <v>63</v>
      </c>
      <c r="AJ3050" s="4">
        <v>8</v>
      </c>
      <c r="AK3050" s="4">
        <v>8</v>
      </c>
      <c r="AL3050" s="4">
        <v>37</v>
      </c>
      <c r="AM3050" s="4">
        <v>37</v>
      </c>
      <c r="AN3050" s="4">
        <v>0</v>
      </c>
      <c r="AO3050" s="4">
        <v>0</v>
      </c>
      <c r="AP3050" s="4">
        <v>10</v>
      </c>
      <c r="AQ3050" s="4">
        <v>10</v>
      </c>
      <c r="AR3050" s="3" t="s">
        <v>62</v>
      </c>
      <c r="AS3050" s="3" t="s">
        <v>62</v>
      </c>
      <c r="AT3050" s="3" t="s">
        <v>61</v>
      </c>
      <c r="AU3050" s="6" t="str">
        <f>HYPERLINK("http://catalog.hathitrust.org/Record/008307532","HathiTrust Record")</f>
        <v>HathiTrust Record</v>
      </c>
      <c r="AV3050" s="6" t="str">
        <f>HYPERLINK("http://mcgill.on.worldcat.org/oclc/47168716","Catalog Record")</f>
        <v>Catalog Record</v>
      </c>
      <c r="AW3050" s="6" t="str">
        <f>HYPERLINK("http://www.worldcat.org/oclc/47168716","WorldCat Record")</f>
        <v>WorldCat Record</v>
      </c>
      <c r="AX3050" s="3" t="s">
        <v>29543</v>
      </c>
      <c r="AY3050" s="3" t="s">
        <v>29544</v>
      </c>
      <c r="AZ3050" s="3" t="s">
        <v>29545</v>
      </c>
      <c r="BA3050" s="3" t="s">
        <v>29545</v>
      </c>
      <c r="BB3050" s="3" t="s">
        <v>29546</v>
      </c>
      <c r="BC3050" s="3" t="s">
        <v>102</v>
      </c>
      <c r="BD3050" s="3" t="s">
        <v>231</v>
      </c>
      <c r="BE3050" s="3" t="s">
        <v>29547</v>
      </c>
      <c r="BF3050" s="3" t="s">
        <v>29546</v>
      </c>
      <c r="BG3050" s="3" t="s">
        <v>29548</v>
      </c>
    </row>
    <row r="3051" spans="1:59" ht="87" x14ac:dyDescent="0.35">
      <c r="A3051" s="2" t="s">
        <v>89</v>
      </c>
      <c r="B3051" s="2" t="s">
        <v>90</v>
      </c>
      <c r="C3051" s="2" t="s">
        <v>29536</v>
      </c>
      <c r="D3051" s="2" t="s">
        <v>29537</v>
      </c>
      <c r="E3051" s="2" t="s">
        <v>29538</v>
      </c>
      <c r="F3051" s="3" t="s">
        <v>2217</v>
      </c>
      <c r="G3051" s="3" t="s">
        <v>61</v>
      </c>
      <c r="I3051" s="3" t="s">
        <v>62</v>
      </c>
      <c r="J3051" s="3" t="s">
        <v>62</v>
      </c>
      <c r="K3051" s="3" t="s">
        <v>63</v>
      </c>
      <c r="L3051" s="2" t="s">
        <v>29539</v>
      </c>
      <c r="M3051" s="2" t="s">
        <v>29540</v>
      </c>
      <c r="N3051" s="3" t="s">
        <v>2975</v>
      </c>
      <c r="P3051" s="3" t="s">
        <v>64</v>
      </c>
      <c r="Q3051" s="2" t="s">
        <v>29541</v>
      </c>
      <c r="R3051" s="3" t="s">
        <v>27443</v>
      </c>
      <c r="S3051" s="4">
        <v>22</v>
      </c>
      <c r="T3051" s="4">
        <v>42</v>
      </c>
      <c r="U3051" s="5" t="s">
        <v>29542</v>
      </c>
      <c r="V3051" s="5" t="s">
        <v>29542</v>
      </c>
      <c r="W3051" s="5" t="s">
        <v>67</v>
      </c>
      <c r="X3051" s="5" t="s">
        <v>67</v>
      </c>
      <c r="Y3051" s="4">
        <v>185</v>
      </c>
      <c r="Z3051" s="4">
        <v>15</v>
      </c>
      <c r="AA3051" s="4">
        <v>16</v>
      </c>
      <c r="AB3051" s="4">
        <v>3</v>
      </c>
      <c r="AC3051" s="4">
        <v>4</v>
      </c>
      <c r="AD3051" s="4">
        <v>69</v>
      </c>
      <c r="AE3051" s="4">
        <v>70</v>
      </c>
      <c r="AF3051" s="4">
        <v>0</v>
      </c>
      <c r="AG3051" s="4">
        <v>0</v>
      </c>
      <c r="AH3051" s="4">
        <v>62</v>
      </c>
      <c r="AI3051" s="4">
        <v>63</v>
      </c>
      <c r="AJ3051" s="4">
        <v>8</v>
      </c>
      <c r="AK3051" s="4">
        <v>8</v>
      </c>
      <c r="AL3051" s="4">
        <v>37</v>
      </c>
      <c r="AM3051" s="4">
        <v>37</v>
      </c>
      <c r="AN3051" s="4">
        <v>0</v>
      </c>
      <c r="AO3051" s="4">
        <v>0</v>
      </c>
      <c r="AP3051" s="4">
        <v>10</v>
      </c>
      <c r="AQ3051" s="4">
        <v>10</v>
      </c>
      <c r="AR3051" s="3" t="s">
        <v>62</v>
      </c>
      <c r="AS3051" s="3" t="s">
        <v>62</v>
      </c>
      <c r="AT3051" s="3" t="s">
        <v>61</v>
      </c>
      <c r="AU3051" s="6" t="str">
        <f>HYPERLINK("http://catalog.hathitrust.org/Record/008307532","HathiTrust Record")</f>
        <v>HathiTrust Record</v>
      </c>
      <c r="AV3051" s="6" t="str">
        <f>HYPERLINK("http://mcgill.on.worldcat.org/oclc/47168716","Catalog Record")</f>
        <v>Catalog Record</v>
      </c>
      <c r="AW3051" s="6" t="str">
        <f>HYPERLINK("http://www.worldcat.org/oclc/47168716","WorldCat Record")</f>
        <v>WorldCat Record</v>
      </c>
      <c r="AX3051" s="3" t="s">
        <v>29543</v>
      </c>
      <c r="AY3051" s="3" t="s">
        <v>29544</v>
      </c>
      <c r="AZ3051" s="3" t="s">
        <v>29545</v>
      </c>
      <c r="BA3051" s="3" t="s">
        <v>29545</v>
      </c>
      <c r="BB3051" s="3" t="s">
        <v>29549</v>
      </c>
      <c r="BC3051" s="3" t="s">
        <v>102</v>
      </c>
      <c r="BD3051" s="3" t="s">
        <v>231</v>
      </c>
      <c r="BE3051" s="3" t="s">
        <v>29547</v>
      </c>
      <c r="BF3051" s="3" t="s">
        <v>29549</v>
      </c>
      <c r="BG3051" s="3" t="s">
        <v>29550</v>
      </c>
    </row>
    <row r="3052" spans="1:59" ht="58" x14ac:dyDescent="0.35">
      <c r="A3052" s="2" t="s">
        <v>89</v>
      </c>
      <c r="B3052" s="2" t="s">
        <v>90</v>
      </c>
      <c r="C3052" s="2" t="s">
        <v>29551</v>
      </c>
      <c r="D3052" s="2" t="s">
        <v>29552</v>
      </c>
      <c r="E3052" s="2" t="s">
        <v>29553</v>
      </c>
      <c r="F3052" s="3" t="s">
        <v>2233</v>
      </c>
      <c r="G3052" s="3" t="s">
        <v>61</v>
      </c>
      <c r="I3052" s="3" t="s">
        <v>62</v>
      </c>
      <c r="J3052" s="3" t="s">
        <v>62</v>
      </c>
      <c r="K3052" s="3" t="s">
        <v>63</v>
      </c>
      <c r="L3052" s="2" t="s">
        <v>29539</v>
      </c>
      <c r="M3052" s="2" t="s">
        <v>29554</v>
      </c>
      <c r="N3052" s="3" t="s">
        <v>880</v>
      </c>
      <c r="P3052" s="3" t="s">
        <v>64</v>
      </c>
      <c r="Q3052" s="2" t="s">
        <v>29555</v>
      </c>
      <c r="R3052" s="3" t="s">
        <v>27443</v>
      </c>
      <c r="S3052" s="4">
        <v>3</v>
      </c>
      <c r="T3052" s="4">
        <v>6</v>
      </c>
      <c r="U3052" s="5" t="s">
        <v>29556</v>
      </c>
      <c r="V3052" s="5" t="s">
        <v>29557</v>
      </c>
      <c r="W3052" s="5" t="s">
        <v>67</v>
      </c>
      <c r="X3052" s="5" t="s">
        <v>67</v>
      </c>
      <c r="Y3052" s="4">
        <v>136</v>
      </c>
      <c r="Z3052" s="4">
        <v>8</v>
      </c>
      <c r="AA3052" s="4">
        <v>8</v>
      </c>
      <c r="AB3052" s="4">
        <v>1</v>
      </c>
      <c r="AC3052" s="4">
        <v>1</v>
      </c>
      <c r="AD3052" s="4">
        <v>66</v>
      </c>
      <c r="AE3052" s="4">
        <v>67</v>
      </c>
      <c r="AF3052" s="4">
        <v>0</v>
      </c>
      <c r="AG3052" s="4">
        <v>0</v>
      </c>
      <c r="AH3052" s="4">
        <v>61</v>
      </c>
      <c r="AI3052" s="4">
        <v>62</v>
      </c>
      <c r="AJ3052" s="4">
        <v>6</v>
      </c>
      <c r="AK3052" s="4">
        <v>6</v>
      </c>
      <c r="AL3052" s="4">
        <v>37</v>
      </c>
      <c r="AM3052" s="4">
        <v>37</v>
      </c>
      <c r="AN3052" s="4">
        <v>0</v>
      </c>
      <c r="AO3052" s="4">
        <v>0</v>
      </c>
      <c r="AP3052" s="4">
        <v>7</v>
      </c>
      <c r="AQ3052" s="4">
        <v>7</v>
      </c>
      <c r="AR3052" s="3" t="s">
        <v>62</v>
      </c>
      <c r="AS3052" s="3" t="s">
        <v>62</v>
      </c>
      <c r="AT3052" s="3" t="s">
        <v>61</v>
      </c>
      <c r="AU3052" s="6" t="str">
        <f>HYPERLINK("http://catalog.hathitrust.org/Record/010621620","HathiTrust Record")</f>
        <v>HathiTrust Record</v>
      </c>
      <c r="AV3052" s="6" t="str">
        <f>HYPERLINK("http://mcgill.on.worldcat.org/oclc/677848001","Catalog Record")</f>
        <v>Catalog Record</v>
      </c>
      <c r="AW3052" s="6" t="str">
        <f>HYPERLINK("http://www.worldcat.org/oclc/677848001","WorldCat Record")</f>
        <v>WorldCat Record</v>
      </c>
      <c r="AX3052" s="3" t="s">
        <v>29558</v>
      </c>
      <c r="AY3052" s="3" t="s">
        <v>29559</v>
      </c>
      <c r="AZ3052" s="3" t="s">
        <v>29560</v>
      </c>
      <c r="BA3052" s="3" t="s">
        <v>29560</v>
      </c>
      <c r="BB3052" s="3" t="s">
        <v>29561</v>
      </c>
      <c r="BC3052" s="3" t="s">
        <v>102</v>
      </c>
      <c r="BD3052" s="3" t="s">
        <v>68</v>
      </c>
      <c r="BE3052" s="3" t="s">
        <v>29562</v>
      </c>
      <c r="BF3052" s="3" t="s">
        <v>29561</v>
      </c>
      <c r="BG3052" s="3" t="s">
        <v>29563</v>
      </c>
    </row>
    <row r="3053" spans="1:59" ht="58" x14ac:dyDescent="0.35">
      <c r="A3053" s="2" t="s">
        <v>89</v>
      </c>
      <c r="B3053" s="2" t="s">
        <v>90</v>
      </c>
      <c r="C3053" s="2" t="s">
        <v>29551</v>
      </c>
      <c r="D3053" s="2" t="s">
        <v>29552</v>
      </c>
      <c r="E3053" s="2" t="s">
        <v>29553</v>
      </c>
      <c r="F3053" s="3" t="s">
        <v>2217</v>
      </c>
      <c r="G3053" s="3" t="s">
        <v>61</v>
      </c>
      <c r="I3053" s="3" t="s">
        <v>62</v>
      </c>
      <c r="J3053" s="3" t="s">
        <v>62</v>
      </c>
      <c r="K3053" s="3" t="s">
        <v>63</v>
      </c>
      <c r="L3053" s="2" t="s">
        <v>29539</v>
      </c>
      <c r="M3053" s="2" t="s">
        <v>29554</v>
      </c>
      <c r="N3053" s="3" t="s">
        <v>880</v>
      </c>
      <c r="P3053" s="3" t="s">
        <v>64</v>
      </c>
      <c r="Q3053" s="2" t="s">
        <v>29555</v>
      </c>
      <c r="R3053" s="3" t="s">
        <v>27443</v>
      </c>
      <c r="S3053" s="4">
        <v>3</v>
      </c>
      <c r="T3053" s="4">
        <v>6</v>
      </c>
      <c r="U3053" s="5" t="s">
        <v>29557</v>
      </c>
      <c r="V3053" s="5" t="s">
        <v>29557</v>
      </c>
      <c r="W3053" s="5" t="s">
        <v>67</v>
      </c>
      <c r="X3053" s="5" t="s">
        <v>67</v>
      </c>
      <c r="Y3053" s="4">
        <v>136</v>
      </c>
      <c r="Z3053" s="4">
        <v>8</v>
      </c>
      <c r="AA3053" s="4">
        <v>8</v>
      </c>
      <c r="AB3053" s="4">
        <v>1</v>
      </c>
      <c r="AC3053" s="4">
        <v>1</v>
      </c>
      <c r="AD3053" s="4">
        <v>66</v>
      </c>
      <c r="AE3053" s="4">
        <v>67</v>
      </c>
      <c r="AF3053" s="4">
        <v>0</v>
      </c>
      <c r="AG3053" s="4">
        <v>0</v>
      </c>
      <c r="AH3053" s="4">
        <v>61</v>
      </c>
      <c r="AI3053" s="4">
        <v>62</v>
      </c>
      <c r="AJ3053" s="4">
        <v>6</v>
      </c>
      <c r="AK3053" s="4">
        <v>6</v>
      </c>
      <c r="AL3053" s="4">
        <v>37</v>
      </c>
      <c r="AM3053" s="4">
        <v>37</v>
      </c>
      <c r="AN3053" s="4">
        <v>0</v>
      </c>
      <c r="AO3053" s="4">
        <v>0</v>
      </c>
      <c r="AP3053" s="4">
        <v>7</v>
      </c>
      <c r="AQ3053" s="4">
        <v>7</v>
      </c>
      <c r="AR3053" s="3" t="s">
        <v>62</v>
      </c>
      <c r="AS3053" s="3" t="s">
        <v>62</v>
      </c>
      <c r="AT3053" s="3" t="s">
        <v>61</v>
      </c>
      <c r="AU3053" s="6" t="str">
        <f>HYPERLINK("http://catalog.hathitrust.org/Record/010621620","HathiTrust Record")</f>
        <v>HathiTrust Record</v>
      </c>
      <c r="AV3053" s="6" t="str">
        <f>HYPERLINK("http://mcgill.on.worldcat.org/oclc/677848001","Catalog Record")</f>
        <v>Catalog Record</v>
      </c>
      <c r="AW3053" s="6" t="str">
        <f>HYPERLINK("http://www.worldcat.org/oclc/677848001","WorldCat Record")</f>
        <v>WorldCat Record</v>
      </c>
      <c r="AX3053" s="3" t="s">
        <v>29558</v>
      </c>
      <c r="AY3053" s="3" t="s">
        <v>29559</v>
      </c>
      <c r="AZ3053" s="3" t="s">
        <v>29560</v>
      </c>
      <c r="BA3053" s="3" t="s">
        <v>29560</v>
      </c>
      <c r="BB3053" s="3" t="s">
        <v>29564</v>
      </c>
      <c r="BC3053" s="3" t="s">
        <v>102</v>
      </c>
      <c r="BD3053" s="3" t="s">
        <v>68</v>
      </c>
      <c r="BE3053" s="3" t="s">
        <v>29562</v>
      </c>
      <c r="BF3053" s="3" t="s">
        <v>29564</v>
      </c>
      <c r="BG3053" s="3" t="s">
        <v>29565</v>
      </c>
    </row>
    <row r="3054" spans="1:59" ht="72.5" x14ac:dyDescent="0.35">
      <c r="A3054" s="2" t="s">
        <v>89</v>
      </c>
      <c r="B3054" s="2" t="s">
        <v>90</v>
      </c>
      <c r="C3054" s="2" t="s">
        <v>29566</v>
      </c>
      <c r="D3054" s="2" t="s">
        <v>29567</v>
      </c>
      <c r="E3054" s="2" t="s">
        <v>29568</v>
      </c>
      <c r="G3054" s="3" t="s">
        <v>62</v>
      </c>
      <c r="I3054" s="3" t="s">
        <v>62</v>
      </c>
      <c r="J3054" s="3" t="s">
        <v>62</v>
      </c>
      <c r="K3054" s="3" t="s">
        <v>63</v>
      </c>
      <c r="L3054" s="2" t="s">
        <v>29569</v>
      </c>
      <c r="M3054" s="2" t="s">
        <v>5458</v>
      </c>
      <c r="N3054" s="3" t="s">
        <v>327</v>
      </c>
      <c r="P3054" s="3" t="s">
        <v>64</v>
      </c>
      <c r="R3054" s="3" t="s">
        <v>27443</v>
      </c>
      <c r="S3054" s="4">
        <v>36</v>
      </c>
      <c r="T3054" s="4">
        <v>36</v>
      </c>
      <c r="U3054" s="5" t="s">
        <v>2987</v>
      </c>
      <c r="V3054" s="5" t="s">
        <v>2987</v>
      </c>
      <c r="W3054" s="5" t="s">
        <v>67</v>
      </c>
      <c r="X3054" s="5" t="s">
        <v>67</v>
      </c>
      <c r="Y3054" s="4">
        <v>351</v>
      </c>
      <c r="Z3054" s="4">
        <v>23</v>
      </c>
      <c r="AA3054" s="4">
        <v>25</v>
      </c>
      <c r="AB3054" s="4">
        <v>1</v>
      </c>
      <c r="AC3054" s="4">
        <v>2</v>
      </c>
      <c r="AD3054" s="4">
        <v>108</v>
      </c>
      <c r="AE3054" s="4">
        <v>110</v>
      </c>
      <c r="AF3054" s="4">
        <v>0</v>
      </c>
      <c r="AG3054" s="4">
        <v>1</v>
      </c>
      <c r="AH3054" s="4">
        <v>100</v>
      </c>
      <c r="AI3054" s="4">
        <v>102</v>
      </c>
      <c r="AJ3054" s="4">
        <v>16</v>
      </c>
      <c r="AK3054" s="4">
        <v>17</v>
      </c>
      <c r="AL3054" s="4">
        <v>54</v>
      </c>
      <c r="AM3054" s="4">
        <v>55</v>
      </c>
      <c r="AN3054" s="4">
        <v>0</v>
      </c>
      <c r="AO3054" s="4">
        <v>3</v>
      </c>
      <c r="AP3054" s="4">
        <v>19</v>
      </c>
      <c r="AQ3054" s="4">
        <v>20</v>
      </c>
      <c r="AR3054" s="3" t="s">
        <v>62</v>
      </c>
      <c r="AS3054" s="3" t="s">
        <v>62</v>
      </c>
      <c r="AT3054" s="3" t="s">
        <v>61</v>
      </c>
      <c r="AU3054" s="6" t="str">
        <f>HYPERLINK("http://catalog.hathitrust.org/Record/000277096","HathiTrust Record")</f>
        <v>HathiTrust Record</v>
      </c>
      <c r="AV3054" s="6" t="str">
        <f>HYPERLINK("http://mcgill.on.worldcat.org/oclc/8494557","Catalog Record")</f>
        <v>Catalog Record</v>
      </c>
      <c r="AW3054" s="6" t="str">
        <f>HYPERLINK("http://www.worldcat.org/oclc/8494557","WorldCat Record")</f>
        <v>WorldCat Record</v>
      </c>
      <c r="AX3054" s="3" t="s">
        <v>29570</v>
      </c>
      <c r="AY3054" s="3" t="s">
        <v>29571</v>
      </c>
      <c r="AZ3054" s="3" t="s">
        <v>29572</v>
      </c>
      <c r="BA3054" s="3" t="s">
        <v>29572</v>
      </c>
      <c r="BB3054" s="3" t="s">
        <v>29573</v>
      </c>
      <c r="BC3054" s="3" t="s">
        <v>102</v>
      </c>
      <c r="BD3054" s="3" t="s">
        <v>231</v>
      </c>
      <c r="BE3054" s="3" t="s">
        <v>29574</v>
      </c>
      <c r="BF3054" s="3" t="s">
        <v>29573</v>
      </c>
      <c r="BG3054" s="3" t="s">
        <v>29575</v>
      </c>
    </row>
    <row r="3055" spans="1:59" ht="58" x14ac:dyDescent="0.35">
      <c r="A3055" s="2" t="s">
        <v>89</v>
      </c>
      <c r="B3055" s="2" t="s">
        <v>90</v>
      </c>
      <c r="C3055" s="2" t="s">
        <v>29576</v>
      </c>
      <c r="D3055" s="2" t="s">
        <v>29577</v>
      </c>
      <c r="E3055" s="2" t="s">
        <v>29578</v>
      </c>
      <c r="G3055" s="3" t="s">
        <v>62</v>
      </c>
      <c r="I3055" s="3" t="s">
        <v>62</v>
      </c>
      <c r="J3055" s="3" t="s">
        <v>62</v>
      </c>
      <c r="K3055" s="3" t="s">
        <v>63</v>
      </c>
      <c r="L3055" s="2" t="s">
        <v>1843</v>
      </c>
      <c r="M3055" s="2" t="s">
        <v>12744</v>
      </c>
      <c r="N3055" s="3" t="s">
        <v>2000</v>
      </c>
      <c r="P3055" s="3" t="s">
        <v>64</v>
      </c>
      <c r="R3055" s="3" t="s">
        <v>27443</v>
      </c>
      <c r="S3055" s="4">
        <v>37</v>
      </c>
      <c r="T3055" s="4">
        <v>37</v>
      </c>
      <c r="U3055" s="5" t="s">
        <v>29579</v>
      </c>
      <c r="V3055" s="5" t="s">
        <v>29579</v>
      </c>
      <c r="W3055" s="5" t="s">
        <v>67</v>
      </c>
      <c r="X3055" s="5" t="s">
        <v>67</v>
      </c>
      <c r="Y3055" s="4">
        <v>230</v>
      </c>
      <c r="Z3055" s="4">
        <v>13</v>
      </c>
      <c r="AA3055" s="4">
        <v>16</v>
      </c>
      <c r="AB3055" s="4">
        <v>1</v>
      </c>
      <c r="AC3055" s="4">
        <v>1</v>
      </c>
      <c r="AD3055" s="4">
        <v>85</v>
      </c>
      <c r="AE3055" s="4">
        <v>88</v>
      </c>
      <c r="AF3055" s="4">
        <v>0</v>
      </c>
      <c r="AG3055" s="4">
        <v>0</v>
      </c>
      <c r="AH3055" s="4">
        <v>77</v>
      </c>
      <c r="AI3055" s="4">
        <v>79</v>
      </c>
      <c r="AJ3055" s="4">
        <v>8</v>
      </c>
      <c r="AK3055" s="4">
        <v>10</v>
      </c>
      <c r="AL3055" s="4">
        <v>50</v>
      </c>
      <c r="AM3055" s="4">
        <v>50</v>
      </c>
      <c r="AN3055" s="4">
        <v>0</v>
      </c>
      <c r="AO3055" s="4">
        <v>0</v>
      </c>
      <c r="AP3055" s="4">
        <v>10</v>
      </c>
      <c r="AQ3055" s="4">
        <v>13</v>
      </c>
      <c r="AR3055" s="3" t="s">
        <v>62</v>
      </c>
      <c r="AS3055" s="3" t="s">
        <v>62</v>
      </c>
      <c r="AT3055" s="3" t="s">
        <v>62</v>
      </c>
      <c r="AV3055" s="6" t="str">
        <f>HYPERLINK("http://mcgill.on.worldcat.org/oclc/34548644","Catalog Record")</f>
        <v>Catalog Record</v>
      </c>
      <c r="AW3055" s="6" t="str">
        <f>HYPERLINK("http://www.worldcat.org/oclc/34548644","WorldCat Record")</f>
        <v>WorldCat Record</v>
      </c>
      <c r="AX3055" s="3" t="s">
        <v>29580</v>
      </c>
      <c r="AY3055" s="3" t="s">
        <v>29581</v>
      </c>
      <c r="AZ3055" s="3" t="s">
        <v>29582</v>
      </c>
      <c r="BA3055" s="3" t="s">
        <v>29582</v>
      </c>
      <c r="BB3055" s="3" t="s">
        <v>29583</v>
      </c>
      <c r="BC3055" s="3" t="s">
        <v>102</v>
      </c>
      <c r="BD3055" s="3" t="s">
        <v>68</v>
      </c>
      <c r="BE3055" s="3" t="s">
        <v>29584</v>
      </c>
      <c r="BF3055" s="3" t="s">
        <v>29583</v>
      </c>
      <c r="BG3055" s="3" t="s">
        <v>29585</v>
      </c>
    </row>
    <row r="3056" spans="1:59" ht="72.5" x14ac:dyDescent="0.35">
      <c r="A3056" s="2" t="s">
        <v>89</v>
      </c>
      <c r="B3056" s="2" t="s">
        <v>90</v>
      </c>
      <c r="C3056" s="2" t="s">
        <v>29586</v>
      </c>
      <c r="D3056" s="2" t="s">
        <v>29587</v>
      </c>
      <c r="E3056" s="2" t="s">
        <v>29588</v>
      </c>
      <c r="G3056" s="3" t="s">
        <v>62</v>
      </c>
      <c r="I3056" s="3" t="s">
        <v>62</v>
      </c>
      <c r="J3056" s="3" t="s">
        <v>62</v>
      </c>
      <c r="K3056" s="3" t="s">
        <v>63</v>
      </c>
      <c r="L3056" s="2" t="s">
        <v>28214</v>
      </c>
      <c r="M3056" s="2" t="s">
        <v>29589</v>
      </c>
      <c r="N3056" s="3" t="s">
        <v>2566</v>
      </c>
      <c r="P3056" s="3" t="s">
        <v>64</v>
      </c>
      <c r="Q3056" s="2" t="s">
        <v>29590</v>
      </c>
      <c r="R3056" s="3" t="s">
        <v>27443</v>
      </c>
      <c r="S3056" s="4">
        <v>5</v>
      </c>
      <c r="T3056" s="4">
        <v>5</v>
      </c>
      <c r="U3056" s="5" t="s">
        <v>15824</v>
      </c>
      <c r="V3056" s="5" t="s">
        <v>15824</v>
      </c>
      <c r="W3056" s="5" t="s">
        <v>67</v>
      </c>
      <c r="X3056" s="5" t="s">
        <v>67</v>
      </c>
      <c r="Y3056" s="4">
        <v>70</v>
      </c>
      <c r="Z3056" s="4">
        <v>9</v>
      </c>
      <c r="AA3056" s="4">
        <v>12</v>
      </c>
      <c r="AB3056" s="4">
        <v>1</v>
      </c>
      <c r="AC3056" s="4">
        <v>1</v>
      </c>
      <c r="AD3056" s="4">
        <v>31</v>
      </c>
      <c r="AE3056" s="4">
        <v>34</v>
      </c>
      <c r="AF3056" s="4">
        <v>0</v>
      </c>
      <c r="AG3056" s="4">
        <v>0</v>
      </c>
      <c r="AH3056" s="4">
        <v>24</v>
      </c>
      <c r="AI3056" s="4">
        <v>27</v>
      </c>
      <c r="AJ3056" s="4">
        <v>7</v>
      </c>
      <c r="AK3056" s="4">
        <v>10</v>
      </c>
      <c r="AL3056" s="4">
        <v>14</v>
      </c>
      <c r="AM3056" s="4">
        <v>14</v>
      </c>
      <c r="AN3056" s="4">
        <v>0</v>
      </c>
      <c r="AO3056" s="4">
        <v>0</v>
      </c>
      <c r="AP3056" s="4">
        <v>8</v>
      </c>
      <c r="AQ3056" s="4">
        <v>11</v>
      </c>
      <c r="AR3056" s="3" t="s">
        <v>62</v>
      </c>
      <c r="AS3056" s="3" t="s">
        <v>62</v>
      </c>
      <c r="AT3056" s="3" t="s">
        <v>61</v>
      </c>
      <c r="AU3056" s="6" t="str">
        <f>HYPERLINK("http://catalog.hathitrust.org/Record/000014905","HathiTrust Record")</f>
        <v>HathiTrust Record</v>
      </c>
      <c r="AV3056" s="6" t="str">
        <f>HYPERLINK("http://mcgill.on.worldcat.org/oclc/10544132","Catalog Record")</f>
        <v>Catalog Record</v>
      </c>
      <c r="AW3056" s="6" t="str">
        <f>HYPERLINK("http://www.worldcat.org/oclc/10544132","WorldCat Record")</f>
        <v>WorldCat Record</v>
      </c>
      <c r="AX3056" s="3" t="s">
        <v>29591</v>
      </c>
      <c r="AY3056" s="3" t="s">
        <v>29592</v>
      </c>
      <c r="AZ3056" s="3" t="s">
        <v>29593</v>
      </c>
      <c r="BA3056" s="3" t="s">
        <v>29593</v>
      </c>
      <c r="BB3056" s="3" t="s">
        <v>29594</v>
      </c>
      <c r="BC3056" s="3" t="s">
        <v>102</v>
      </c>
      <c r="BD3056" s="3" t="s">
        <v>68</v>
      </c>
      <c r="BE3056" s="3" t="s">
        <v>29595</v>
      </c>
      <c r="BF3056" s="3" t="s">
        <v>29594</v>
      </c>
      <c r="BG3056" s="3" t="s">
        <v>29596</v>
      </c>
    </row>
    <row r="3057" spans="1:59" ht="58" x14ac:dyDescent="0.35">
      <c r="A3057" s="2" t="s">
        <v>89</v>
      </c>
      <c r="B3057" s="2" t="s">
        <v>90</v>
      </c>
      <c r="C3057" s="2" t="s">
        <v>29597</v>
      </c>
      <c r="D3057" s="2" t="s">
        <v>29598</v>
      </c>
      <c r="E3057" s="2" t="s">
        <v>29599</v>
      </c>
      <c r="G3057" s="3" t="s">
        <v>62</v>
      </c>
      <c r="I3057" s="3" t="s">
        <v>62</v>
      </c>
      <c r="J3057" s="3" t="s">
        <v>62</v>
      </c>
      <c r="K3057" s="3" t="s">
        <v>63</v>
      </c>
      <c r="L3057" s="2" t="s">
        <v>29600</v>
      </c>
      <c r="M3057" s="2" t="s">
        <v>29601</v>
      </c>
      <c r="N3057" s="3" t="s">
        <v>2000</v>
      </c>
      <c r="P3057" s="3" t="s">
        <v>64</v>
      </c>
      <c r="Q3057" s="2" t="s">
        <v>29602</v>
      </c>
      <c r="R3057" s="3" t="s">
        <v>27443</v>
      </c>
      <c r="S3057" s="4">
        <v>12</v>
      </c>
      <c r="T3057" s="4">
        <v>12</v>
      </c>
      <c r="U3057" s="5" t="s">
        <v>13186</v>
      </c>
      <c r="V3057" s="5" t="s">
        <v>13186</v>
      </c>
      <c r="W3057" s="5" t="s">
        <v>67</v>
      </c>
      <c r="X3057" s="5" t="s">
        <v>67</v>
      </c>
      <c r="Y3057" s="4">
        <v>234</v>
      </c>
      <c r="Z3057" s="4">
        <v>12</v>
      </c>
      <c r="AA3057" s="4">
        <v>12</v>
      </c>
      <c r="AB3057" s="4">
        <v>2</v>
      </c>
      <c r="AC3057" s="4">
        <v>2</v>
      </c>
      <c r="AD3057" s="4">
        <v>70</v>
      </c>
      <c r="AE3057" s="4">
        <v>72</v>
      </c>
      <c r="AF3057" s="4">
        <v>0</v>
      </c>
      <c r="AG3057" s="4">
        <v>0</v>
      </c>
      <c r="AH3057" s="4">
        <v>66</v>
      </c>
      <c r="AI3057" s="4">
        <v>68</v>
      </c>
      <c r="AJ3057" s="4">
        <v>6</v>
      </c>
      <c r="AK3057" s="4">
        <v>6</v>
      </c>
      <c r="AL3057" s="4">
        <v>39</v>
      </c>
      <c r="AM3057" s="4">
        <v>40</v>
      </c>
      <c r="AN3057" s="4">
        <v>0</v>
      </c>
      <c r="AO3057" s="4">
        <v>0</v>
      </c>
      <c r="AP3057" s="4">
        <v>7</v>
      </c>
      <c r="AQ3057" s="4">
        <v>7</v>
      </c>
      <c r="AR3057" s="3" t="s">
        <v>62</v>
      </c>
      <c r="AS3057" s="3" t="s">
        <v>62</v>
      </c>
      <c r="AT3057" s="3" t="s">
        <v>62</v>
      </c>
      <c r="AV3057" s="6" t="str">
        <f>HYPERLINK("http://mcgill.on.worldcat.org/oclc/34724889","Catalog Record")</f>
        <v>Catalog Record</v>
      </c>
      <c r="AW3057" s="6" t="str">
        <f>HYPERLINK("http://www.worldcat.org/oclc/34724889","WorldCat Record")</f>
        <v>WorldCat Record</v>
      </c>
      <c r="AX3057" s="3" t="s">
        <v>29603</v>
      </c>
      <c r="AY3057" s="3" t="s">
        <v>29604</v>
      </c>
      <c r="AZ3057" s="3" t="s">
        <v>29605</v>
      </c>
      <c r="BA3057" s="3" t="s">
        <v>29605</v>
      </c>
      <c r="BB3057" s="3" t="s">
        <v>29606</v>
      </c>
      <c r="BC3057" s="3" t="s">
        <v>102</v>
      </c>
      <c r="BD3057" s="3" t="s">
        <v>68</v>
      </c>
      <c r="BE3057" s="3" t="s">
        <v>29607</v>
      </c>
      <c r="BF3057" s="3" t="s">
        <v>29606</v>
      </c>
      <c r="BG3057" s="3" t="s">
        <v>29608</v>
      </c>
    </row>
    <row r="3058" spans="1:59" ht="101.5" x14ac:dyDescent="0.35">
      <c r="A3058" s="2" t="s">
        <v>89</v>
      </c>
      <c r="B3058" s="2" t="s">
        <v>12301</v>
      </c>
      <c r="C3058" s="2" t="s">
        <v>29609</v>
      </c>
      <c r="D3058" s="2" t="s">
        <v>29610</v>
      </c>
      <c r="E3058" s="2" t="s">
        <v>29611</v>
      </c>
      <c r="G3058" s="3" t="s">
        <v>62</v>
      </c>
      <c r="I3058" s="3" t="s">
        <v>62</v>
      </c>
      <c r="J3058" s="3" t="s">
        <v>61</v>
      </c>
      <c r="K3058" s="3" t="s">
        <v>63</v>
      </c>
      <c r="L3058" s="2" t="s">
        <v>29612</v>
      </c>
      <c r="M3058" s="2" t="s">
        <v>29613</v>
      </c>
      <c r="N3058" s="3" t="s">
        <v>726</v>
      </c>
      <c r="O3058" s="2" t="s">
        <v>29614</v>
      </c>
      <c r="P3058" s="3" t="s">
        <v>64</v>
      </c>
      <c r="R3058" s="3" t="s">
        <v>27443</v>
      </c>
      <c r="S3058" s="4">
        <v>45</v>
      </c>
      <c r="T3058" s="4">
        <v>45</v>
      </c>
      <c r="U3058" s="5" t="s">
        <v>22226</v>
      </c>
      <c r="V3058" s="5" t="s">
        <v>22226</v>
      </c>
      <c r="W3058" s="5" t="s">
        <v>67</v>
      </c>
      <c r="X3058" s="5" t="s">
        <v>67</v>
      </c>
      <c r="Y3058" s="4">
        <v>138</v>
      </c>
      <c r="Z3058" s="4">
        <v>12</v>
      </c>
      <c r="AA3058" s="4">
        <v>82</v>
      </c>
      <c r="AB3058" s="4">
        <v>3</v>
      </c>
      <c r="AC3058" s="4">
        <v>19</v>
      </c>
      <c r="AD3058" s="4">
        <v>49</v>
      </c>
      <c r="AE3058" s="4">
        <v>156</v>
      </c>
      <c r="AF3058" s="4">
        <v>1</v>
      </c>
      <c r="AG3058" s="4">
        <v>7</v>
      </c>
      <c r="AH3058" s="4">
        <v>44</v>
      </c>
      <c r="AI3058" s="4">
        <v>115</v>
      </c>
      <c r="AJ3058" s="4">
        <v>7</v>
      </c>
      <c r="AK3058" s="4">
        <v>28</v>
      </c>
      <c r="AL3058" s="4">
        <v>29</v>
      </c>
      <c r="AM3058" s="4">
        <v>62</v>
      </c>
      <c r="AN3058" s="4">
        <v>0</v>
      </c>
      <c r="AO3058" s="4">
        <v>0</v>
      </c>
      <c r="AP3058" s="4">
        <v>8</v>
      </c>
      <c r="AQ3058" s="4">
        <v>47</v>
      </c>
      <c r="AR3058" s="3" t="s">
        <v>62</v>
      </c>
      <c r="AS3058" s="3" t="s">
        <v>62</v>
      </c>
      <c r="AT3058" s="3" t="s">
        <v>62</v>
      </c>
      <c r="AV3058" s="6" t="str">
        <f>HYPERLINK("http://mcgill.on.worldcat.org/oclc/938342235","Catalog Record")</f>
        <v>Catalog Record</v>
      </c>
      <c r="AW3058" s="6" t="str">
        <f>HYPERLINK("http://www.worldcat.org/oclc/938342235","WorldCat Record")</f>
        <v>WorldCat Record</v>
      </c>
      <c r="AX3058" s="3" t="s">
        <v>29615</v>
      </c>
      <c r="AY3058" s="3" t="s">
        <v>29616</v>
      </c>
      <c r="AZ3058" s="3" t="s">
        <v>29617</v>
      </c>
      <c r="BA3058" s="3" t="s">
        <v>29617</v>
      </c>
      <c r="BB3058" s="3" t="s">
        <v>29618</v>
      </c>
      <c r="BC3058" s="3" t="s">
        <v>102</v>
      </c>
      <c r="BD3058" s="3" t="s">
        <v>68</v>
      </c>
      <c r="BE3058" s="3" t="s">
        <v>29619</v>
      </c>
      <c r="BF3058" s="3" t="s">
        <v>29618</v>
      </c>
      <c r="BG3058" s="3" t="s">
        <v>29620</v>
      </c>
    </row>
    <row r="3059" spans="1:59" ht="58" x14ac:dyDescent="0.35">
      <c r="A3059" s="2" t="s">
        <v>89</v>
      </c>
      <c r="B3059" s="2" t="s">
        <v>90</v>
      </c>
      <c r="C3059" s="2" t="s">
        <v>29621</v>
      </c>
      <c r="D3059" s="2" t="s">
        <v>29622</v>
      </c>
      <c r="E3059" s="2" t="s">
        <v>29623</v>
      </c>
      <c r="F3059" s="3" t="s">
        <v>1416</v>
      </c>
      <c r="G3059" s="3" t="s">
        <v>61</v>
      </c>
      <c r="I3059" s="3" t="s">
        <v>61</v>
      </c>
      <c r="J3059" s="3" t="s">
        <v>62</v>
      </c>
      <c r="K3059" s="3" t="s">
        <v>63</v>
      </c>
      <c r="M3059" s="2" t="s">
        <v>29624</v>
      </c>
      <c r="N3059" s="3" t="s">
        <v>2924</v>
      </c>
      <c r="P3059" s="3" t="s">
        <v>64</v>
      </c>
      <c r="R3059" s="3" t="s">
        <v>27443</v>
      </c>
      <c r="S3059" s="4">
        <v>0</v>
      </c>
      <c r="T3059" s="4">
        <v>13</v>
      </c>
      <c r="V3059" s="5" t="s">
        <v>29625</v>
      </c>
      <c r="W3059" s="5" t="s">
        <v>67</v>
      </c>
      <c r="X3059" s="5" t="s">
        <v>67</v>
      </c>
      <c r="Y3059" s="4">
        <v>104</v>
      </c>
      <c r="Z3059" s="4">
        <v>22</v>
      </c>
      <c r="AA3059" s="4">
        <v>34</v>
      </c>
      <c r="AB3059" s="4">
        <v>2</v>
      </c>
      <c r="AC3059" s="4">
        <v>8</v>
      </c>
      <c r="AD3059" s="4">
        <v>25</v>
      </c>
      <c r="AE3059" s="4">
        <v>40</v>
      </c>
      <c r="AF3059" s="4">
        <v>1</v>
      </c>
      <c r="AG3059" s="4">
        <v>3</v>
      </c>
      <c r="AH3059" s="4">
        <v>18</v>
      </c>
      <c r="AI3059" s="4">
        <v>27</v>
      </c>
      <c r="AJ3059" s="4">
        <v>11</v>
      </c>
      <c r="AK3059" s="4">
        <v>18</v>
      </c>
      <c r="AL3059" s="4">
        <v>8</v>
      </c>
      <c r="AM3059" s="4">
        <v>14</v>
      </c>
      <c r="AN3059" s="4">
        <v>0</v>
      </c>
      <c r="AO3059" s="4">
        <v>0</v>
      </c>
      <c r="AP3059" s="4">
        <v>13</v>
      </c>
      <c r="AQ3059" s="4">
        <v>20</v>
      </c>
      <c r="AR3059" s="3" t="s">
        <v>62</v>
      </c>
      <c r="AS3059" s="3" t="s">
        <v>62</v>
      </c>
      <c r="AT3059" s="3" t="s">
        <v>62</v>
      </c>
      <c r="AV3059" s="6" t="str">
        <f>HYPERLINK("http://mcgill.on.worldcat.org/oclc/17007872","Catalog Record")</f>
        <v>Catalog Record</v>
      </c>
      <c r="AW3059" s="6" t="str">
        <f>HYPERLINK("http://www.worldcat.org/oclc/17007872","WorldCat Record")</f>
        <v>WorldCat Record</v>
      </c>
      <c r="AX3059" s="3" t="s">
        <v>29626</v>
      </c>
      <c r="AY3059" s="3" t="s">
        <v>29627</v>
      </c>
      <c r="AZ3059" s="3" t="s">
        <v>29628</v>
      </c>
      <c r="BA3059" s="3" t="s">
        <v>29628</v>
      </c>
      <c r="BB3059" s="3" t="s">
        <v>29629</v>
      </c>
      <c r="BC3059" s="3" t="s">
        <v>102</v>
      </c>
      <c r="BD3059" s="3" t="s">
        <v>68</v>
      </c>
      <c r="BE3059" s="3" t="s">
        <v>29630</v>
      </c>
      <c r="BF3059" s="3" t="s">
        <v>29629</v>
      </c>
      <c r="BG3059" s="3" t="s">
        <v>29631</v>
      </c>
    </row>
    <row r="3060" spans="1:59" ht="58" x14ac:dyDescent="0.35">
      <c r="A3060" s="2" t="s">
        <v>89</v>
      </c>
      <c r="B3060" s="2" t="s">
        <v>90</v>
      </c>
      <c r="C3060" s="2" t="s">
        <v>29621</v>
      </c>
      <c r="D3060" s="2" t="s">
        <v>29622</v>
      </c>
      <c r="E3060" s="2" t="s">
        <v>29623</v>
      </c>
      <c r="F3060" s="3" t="s">
        <v>1428</v>
      </c>
      <c r="G3060" s="3" t="s">
        <v>61</v>
      </c>
      <c r="I3060" s="3" t="s">
        <v>61</v>
      </c>
      <c r="J3060" s="3" t="s">
        <v>62</v>
      </c>
      <c r="K3060" s="3" t="s">
        <v>63</v>
      </c>
      <c r="M3060" s="2" t="s">
        <v>29624</v>
      </c>
      <c r="N3060" s="3" t="s">
        <v>2924</v>
      </c>
      <c r="P3060" s="3" t="s">
        <v>64</v>
      </c>
      <c r="R3060" s="3" t="s">
        <v>27443</v>
      </c>
      <c r="S3060" s="4">
        <v>0</v>
      </c>
      <c r="T3060" s="4">
        <v>13</v>
      </c>
      <c r="V3060" s="5" t="s">
        <v>29625</v>
      </c>
      <c r="W3060" s="5" t="s">
        <v>67</v>
      </c>
      <c r="X3060" s="5" t="s">
        <v>67</v>
      </c>
      <c r="Y3060" s="4">
        <v>104</v>
      </c>
      <c r="Z3060" s="4">
        <v>22</v>
      </c>
      <c r="AA3060" s="4">
        <v>34</v>
      </c>
      <c r="AB3060" s="4">
        <v>2</v>
      </c>
      <c r="AC3060" s="4">
        <v>8</v>
      </c>
      <c r="AD3060" s="4">
        <v>25</v>
      </c>
      <c r="AE3060" s="4">
        <v>40</v>
      </c>
      <c r="AF3060" s="4">
        <v>1</v>
      </c>
      <c r="AG3060" s="4">
        <v>3</v>
      </c>
      <c r="AH3060" s="4">
        <v>18</v>
      </c>
      <c r="AI3060" s="4">
        <v>27</v>
      </c>
      <c r="AJ3060" s="4">
        <v>11</v>
      </c>
      <c r="AK3060" s="4">
        <v>18</v>
      </c>
      <c r="AL3060" s="4">
        <v>8</v>
      </c>
      <c r="AM3060" s="4">
        <v>14</v>
      </c>
      <c r="AN3060" s="4">
        <v>0</v>
      </c>
      <c r="AO3060" s="4">
        <v>0</v>
      </c>
      <c r="AP3060" s="4">
        <v>13</v>
      </c>
      <c r="AQ3060" s="4">
        <v>20</v>
      </c>
      <c r="AR3060" s="3" t="s">
        <v>62</v>
      </c>
      <c r="AS3060" s="3" t="s">
        <v>62</v>
      </c>
      <c r="AT3060" s="3" t="s">
        <v>62</v>
      </c>
      <c r="AV3060" s="6" t="str">
        <f>HYPERLINK("http://mcgill.on.worldcat.org/oclc/17007872","Catalog Record")</f>
        <v>Catalog Record</v>
      </c>
      <c r="AW3060" s="6" t="str">
        <f>HYPERLINK("http://www.worldcat.org/oclc/17007872","WorldCat Record")</f>
        <v>WorldCat Record</v>
      </c>
      <c r="AX3060" s="3" t="s">
        <v>29626</v>
      </c>
      <c r="AY3060" s="3" t="s">
        <v>29627</v>
      </c>
      <c r="AZ3060" s="3" t="s">
        <v>29628</v>
      </c>
      <c r="BA3060" s="3" t="s">
        <v>29628</v>
      </c>
      <c r="BB3060" s="3" t="s">
        <v>29632</v>
      </c>
      <c r="BC3060" s="3" t="s">
        <v>102</v>
      </c>
      <c r="BD3060" s="3" t="s">
        <v>68</v>
      </c>
      <c r="BE3060" s="3" t="s">
        <v>29630</v>
      </c>
      <c r="BF3060" s="3" t="s">
        <v>29632</v>
      </c>
      <c r="BG3060" s="3" t="s">
        <v>29633</v>
      </c>
    </row>
    <row r="3061" spans="1:59" ht="58" x14ac:dyDescent="0.35">
      <c r="A3061" s="2" t="s">
        <v>89</v>
      </c>
      <c r="B3061" s="2" t="s">
        <v>90</v>
      </c>
      <c r="C3061" s="2" t="s">
        <v>29621</v>
      </c>
      <c r="D3061" s="2" t="s">
        <v>29622</v>
      </c>
      <c r="E3061" s="2" t="s">
        <v>29623</v>
      </c>
      <c r="F3061" s="3" t="s">
        <v>1434</v>
      </c>
      <c r="G3061" s="3" t="s">
        <v>61</v>
      </c>
      <c r="I3061" s="3" t="s">
        <v>61</v>
      </c>
      <c r="J3061" s="3" t="s">
        <v>62</v>
      </c>
      <c r="K3061" s="3" t="s">
        <v>63</v>
      </c>
      <c r="M3061" s="2" t="s">
        <v>29624</v>
      </c>
      <c r="N3061" s="3" t="s">
        <v>2924</v>
      </c>
      <c r="P3061" s="3" t="s">
        <v>64</v>
      </c>
      <c r="R3061" s="3" t="s">
        <v>27443</v>
      </c>
      <c r="S3061" s="4">
        <v>0</v>
      </c>
      <c r="T3061" s="4">
        <v>13</v>
      </c>
      <c r="V3061" s="5" t="s">
        <v>29625</v>
      </c>
      <c r="W3061" s="5" t="s">
        <v>67</v>
      </c>
      <c r="X3061" s="5" t="s">
        <v>67</v>
      </c>
      <c r="Y3061" s="4">
        <v>104</v>
      </c>
      <c r="Z3061" s="4">
        <v>22</v>
      </c>
      <c r="AA3061" s="4">
        <v>34</v>
      </c>
      <c r="AB3061" s="4">
        <v>2</v>
      </c>
      <c r="AC3061" s="4">
        <v>8</v>
      </c>
      <c r="AD3061" s="4">
        <v>25</v>
      </c>
      <c r="AE3061" s="4">
        <v>40</v>
      </c>
      <c r="AF3061" s="4">
        <v>1</v>
      </c>
      <c r="AG3061" s="4">
        <v>3</v>
      </c>
      <c r="AH3061" s="4">
        <v>18</v>
      </c>
      <c r="AI3061" s="4">
        <v>27</v>
      </c>
      <c r="AJ3061" s="4">
        <v>11</v>
      </c>
      <c r="AK3061" s="4">
        <v>18</v>
      </c>
      <c r="AL3061" s="4">
        <v>8</v>
      </c>
      <c r="AM3061" s="4">
        <v>14</v>
      </c>
      <c r="AN3061" s="4">
        <v>0</v>
      </c>
      <c r="AO3061" s="4">
        <v>0</v>
      </c>
      <c r="AP3061" s="4">
        <v>13</v>
      </c>
      <c r="AQ3061" s="4">
        <v>20</v>
      </c>
      <c r="AR3061" s="3" t="s">
        <v>62</v>
      </c>
      <c r="AS3061" s="3" t="s">
        <v>62</v>
      </c>
      <c r="AT3061" s="3" t="s">
        <v>62</v>
      </c>
      <c r="AV3061" s="6" t="str">
        <f>HYPERLINK("http://mcgill.on.worldcat.org/oclc/17007872","Catalog Record")</f>
        <v>Catalog Record</v>
      </c>
      <c r="AW3061" s="6" t="str">
        <f>HYPERLINK("http://www.worldcat.org/oclc/17007872","WorldCat Record")</f>
        <v>WorldCat Record</v>
      </c>
      <c r="AX3061" s="3" t="s">
        <v>29626</v>
      </c>
      <c r="AY3061" s="3" t="s">
        <v>29627</v>
      </c>
      <c r="AZ3061" s="3" t="s">
        <v>29628</v>
      </c>
      <c r="BA3061" s="3" t="s">
        <v>29628</v>
      </c>
      <c r="BB3061" s="3" t="s">
        <v>29634</v>
      </c>
      <c r="BC3061" s="3" t="s">
        <v>102</v>
      </c>
      <c r="BD3061" s="3" t="s">
        <v>68</v>
      </c>
      <c r="BE3061" s="3" t="s">
        <v>29630</v>
      </c>
      <c r="BF3061" s="3" t="s">
        <v>29634</v>
      </c>
      <c r="BG3061" s="3" t="s">
        <v>29635</v>
      </c>
    </row>
    <row r="3062" spans="1:59" ht="58" x14ac:dyDescent="0.35">
      <c r="A3062" s="2" t="s">
        <v>89</v>
      </c>
      <c r="B3062" s="2" t="s">
        <v>90</v>
      </c>
      <c r="C3062" s="2" t="s">
        <v>29621</v>
      </c>
      <c r="D3062" s="2" t="s">
        <v>29622</v>
      </c>
      <c r="E3062" s="2" t="s">
        <v>29623</v>
      </c>
      <c r="F3062" s="3" t="s">
        <v>1413</v>
      </c>
      <c r="G3062" s="3" t="s">
        <v>61</v>
      </c>
      <c r="I3062" s="3" t="s">
        <v>61</v>
      </c>
      <c r="J3062" s="3" t="s">
        <v>62</v>
      </c>
      <c r="K3062" s="3" t="s">
        <v>63</v>
      </c>
      <c r="M3062" s="2" t="s">
        <v>29624</v>
      </c>
      <c r="N3062" s="3" t="s">
        <v>2924</v>
      </c>
      <c r="P3062" s="3" t="s">
        <v>64</v>
      </c>
      <c r="R3062" s="3" t="s">
        <v>27443</v>
      </c>
      <c r="S3062" s="4">
        <v>0</v>
      </c>
      <c r="T3062" s="4">
        <v>13</v>
      </c>
      <c r="V3062" s="5" t="s">
        <v>29625</v>
      </c>
      <c r="W3062" s="5" t="s">
        <v>67</v>
      </c>
      <c r="X3062" s="5" t="s">
        <v>67</v>
      </c>
      <c r="Y3062" s="4">
        <v>104</v>
      </c>
      <c r="Z3062" s="4">
        <v>22</v>
      </c>
      <c r="AA3062" s="4">
        <v>34</v>
      </c>
      <c r="AB3062" s="4">
        <v>2</v>
      </c>
      <c r="AC3062" s="4">
        <v>8</v>
      </c>
      <c r="AD3062" s="4">
        <v>25</v>
      </c>
      <c r="AE3062" s="4">
        <v>40</v>
      </c>
      <c r="AF3062" s="4">
        <v>1</v>
      </c>
      <c r="AG3062" s="4">
        <v>3</v>
      </c>
      <c r="AH3062" s="4">
        <v>18</v>
      </c>
      <c r="AI3062" s="4">
        <v>27</v>
      </c>
      <c r="AJ3062" s="4">
        <v>11</v>
      </c>
      <c r="AK3062" s="4">
        <v>18</v>
      </c>
      <c r="AL3062" s="4">
        <v>8</v>
      </c>
      <c r="AM3062" s="4">
        <v>14</v>
      </c>
      <c r="AN3062" s="4">
        <v>0</v>
      </c>
      <c r="AO3062" s="4">
        <v>0</v>
      </c>
      <c r="AP3062" s="4">
        <v>13</v>
      </c>
      <c r="AQ3062" s="4">
        <v>20</v>
      </c>
      <c r="AR3062" s="3" t="s">
        <v>62</v>
      </c>
      <c r="AS3062" s="3" t="s">
        <v>62</v>
      </c>
      <c r="AT3062" s="3" t="s">
        <v>62</v>
      </c>
      <c r="AV3062" s="6" t="str">
        <f>HYPERLINK("http://mcgill.on.worldcat.org/oclc/17007872","Catalog Record")</f>
        <v>Catalog Record</v>
      </c>
      <c r="AW3062" s="6" t="str">
        <f>HYPERLINK("http://www.worldcat.org/oclc/17007872","WorldCat Record")</f>
        <v>WorldCat Record</v>
      </c>
      <c r="AX3062" s="3" t="s">
        <v>29626</v>
      </c>
      <c r="AY3062" s="3" t="s">
        <v>29627</v>
      </c>
      <c r="AZ3062" s="3" t="s">
        <v>29628</v>
      </c>
      <c r="BA3062" s="3" t="s">
        <v>29628</v>
      </c>
      <c r="BB3062" s="3" t="s">
        <v>29636</v>
      </c>
      <c r="BC3062" s="3" t="s">
        <v>102</v>
      </c>
      <c r="BD3062" s="3" t="s">
        <v>68</v>
      </c>
      <c r="BE3062" s="3" t="s">
        <v>29630</v>
      </c>
      <c r="BF3062" s="3" t="s">
        <v>29636</v>
      </c>
      <c r="BG3062" s="3" t="s">
        <v>29637</v>
      </c>
    </row>
    <row r="3063" spans="1:59" ht="58" x14ac:dyDescent="0.35">
      <c r="A3063" s="2" t="s">
        <v>89</v>
      </c>
      <c r="B3063" s="2" t="s">
        <v>90</v>
      </c>
      <c r="C3063" s="2" t="s">
        <v>29621</v>
      </c>
      <c r="D3063" s="2" t="s">
        <v>29622</v>
      </c>
      <c r="E3063" s="2" t="s">
        <v>29623</v>
      </c>
      <c r="F3063" s="3" t="s">
        <v>1422</v>
      </c>
      <c r="G3063" s="3" t="s">
        <v>61</v>
      </c>
      <c r="I3063" s="3" t="s">
        <v>61</v>
      </c>
      <c r="J3063" s="3" t="s">
        <v>62</v>
      </c>
      <c r="K3063" s="3" t="s">
        <v>63</v>
      </c>
      <c r="M3063" s="2" t="s">
        <v>29624</v>
      </c>
      <c r="N3063" s="3" t="s">
        <v>2924</v>
      </c>
      <c r="P3063" s="3" t="s">
        <v>64</v>
      </c>
      <c r="R3063" s="3" t="s">
        <v>27443</v>
      </c>
      <c r="S3063" s="4">
        <v>0</v>
      </c>
      <c r="T3063" s="4">
        <v>13</v>
      </c>
      <c r="V3063" s="5" t="s">
        <v>29625</v>
      </c>
      <c r="W3063" s="5" t="s">
        <v>67</v>
      </c>
      <c r="X3063" s="5" t="s">
        <v>67</v>
      </c>
      <c r="Y3063" s="4">
        <v>104</v>
      </c>
      <c r="Z3063" s="4">
        <v>22</v>
      </c>
      <c r="AA3063" s="4">
        <v>34</v>
      </c>
      <c r="AB3063" s="4">
        <v>2</v>
      </c>
      <c r="AC3063" s="4">
        <v>8</v>
      </c>
      <c r="AD3063" s="4">
        <v>25</v>
      </c>
      <c r="AE3063" s="4">
        <v>40</v>
      </c>
      <c r="AF3063" s="4">
        <v>1</v>
      </c>
      <c r="AG3063" s="4">
        <v>3</v>
      </c>
      <c r="AH3063" s="4">
        <v>18</v>
      </c>
      <c r="AI3063" s="4">
        <v>27</v>
      </c>
      <c r="AJ3063" s="4">
        <v>11</v>
      </c>
      <c r="AK3063" s="4">
        <v>18</v>
      </c>
      <c r="AL3063" s="4">
        <v>8</v>
      </c>
      <c r="AM3063" s="4">
        <v>14</v>
      </c>
      <c r="AN3063" s="4">
        <v>0</v>
      </c>
      <c r="AO3063" s="4">
        <v>0</v>
      </c>
      <c r="AP3063" s="4">
        <v>13</v>
      </c>
      <c r="AQ3063" s="4">
        <v>20</v>
      </c>
      <c r="AR3063" s="3" t="s">
        <v>62</v>
      </c>
      <c r="AS3063" s="3" t="s">
        <v>62</v>
      </c>
      <c r="AT3063" s="3" t="s">
        <v>62</v>
      </c>
      <c r="AV3063" s="6" t="str">
        <f>HYPERLINK("http://mcgill.on.worldcat.org/oclc/17007872","Catalog Record")</f>
        <v>Catalog Record</v>
      </c>
      <c r="AW3063" s="6" t="str">
        <f>HYPERLINK("http://www.worldcat.org/oclc/17007872","WorldCat Record")</f>
        <v>WorldCat Record</v>
      </c>
      <c r="AX3063" s="3" t="s">
        <v>29626</v>
      </c>
      <c r="AY3063" s="3" t="s">
        <v>29627</v>
      </c>
      <c r="AZ3063" s="3" t="s">
        <v>29628</v>
      </c>
      <c r="BA3063" s="3" t="s">
        <v>29628</v>
      </c>
      <c r="BB3063" s="3" t="s">
        <v>29638</v>
      </c>
      <c r="BC3063" s="3" t="s">
        <v>102</v>
      </c>
      <c r="BD3063" s="3" t="s">
        <v>68</v>
      </c>
      <c r="BE3063" s="3" t="s">
        <v>29630</v>
      </c>
      <c r="BF3063" s="3" t="s">
        <v>29638</v>
      </c>
      <c r="BG3063" s="3" t="s">
        <v>29639</v>
      </c>
    </row>
    <row r="3064" spans="1:59" ht="58" x14ac:dyDescent="0.35">
      <c r="A3064" s="2" t="s">
        <v>89</v>
      </c>
      <c r="B3064" s="2" t="s">
        <v>90</v>
      </c>
      <c r="C3064" s="2" t="s">
        <v>29640</v>
      </c>
      <c r="D3064" s="2" t="s">
        <v>29641</v>
      </c>
      <c r="E3064" s="2" t="s">
        <v>29642</v>
      </c>
      <c r="G3064" s="3" t="s">
        <v>62</v>
      </c>
      <c r="I3064" s="3" t="s">
        <v>62</v>
      </c>
      <c r="J3064" s="3" t="s">
        <v>62</v>
      </c>
      <c r="K3064" s="3" t="s">
        <v>63</v>
      </c>
      <c r="L3064" s="2" t="s">
        <v>29643</v>
      </c>
      <c r="M3064" s="2" t="s">
        <v>9573</v>
      </c>
      <c r="N3064" s="3" t="s">
        <v>2975</v>
      </c>
      <c r="P3064" s="3" t="s">
        <v>64</v>
      </c>
      <c r="R3064" s="3" t="s">
        <v>27443</v>
      </c>
      <c r="S3064" s="4">
        <v>23</v>
      </c>
      <c r="T3064" s="4">
        <v>23</v>
      </c>
      <c r="U3064" s="5" t="s">
        <v>3427</v>
      </c>
      <c r="V3064" s="5" t="s">
        <v>3427</v>
      </c>
      <c r="W3064" s="5" t="s">
        <v>67</v>
      </c>
      <c r="X3064" s="5" t="s">
        <v>67</v>
      </c>
      <c r="Y3064" s="4">
        <v>754</v>
      </c>
      <c r="Z3064" s="4">
        <v>31</v>
      </c>
      <c r="AA3064" s="4">
        <v>38</v>
      </c>
      <c r="AB3064" s="4">
        <v>2</v>
      </c>
      <c r="AC3064" s="4">
        <v>6</v>
      </c>
      <c r="AD3064" s="4">
        <v>107</v>
      </c>
      <c r="AE3064" s="4">
        <v>110</v>
      </c>
      <c r="AF3064" s="4">
        <v>1</v>
      </c>
      <c r="AG3064" s="4">
        <v>1</v>
      </c>
      <c r="AH3064" s="4">
        <v>94</v>
      </c>
      <c r="AI3064" s="4">
        <v>96</v>
      </c>
      <c r="AJ3064" s="4">
        <v>11</v>
      </c>
      <c r="AK3064" s="4">
        <v>14</v>
      </c>
      <c r="AL3064" s="4">
        <v>54</v>
      </c>
      <c r="AM3064" s="4">
        <v>54</v>
      </c>
      <c r="AN3064" s="4">
        <v>0</v>
      </c>
      <c r="AO3064" s="4">
        <v>0</v>
      </c>
      <c r="AP3064" s="4">
        <v>17</v>
      </c>
      <c r="AQ3064" s="4">
        <v>20</v>
      </c>
      <c r="AR3064" s="3" t="s">
        <v>62</v>
      </c>
      <c r="AS3064" s="3" t="s">
        <v>62</v>
      </c>
      <c r="AT3064" s="3" t="s">
        <v>62</v>
      </c>
      <c r="AV3064" s="6" t="str">
        <f>HYPERLINK("http://mcgill.on.worldcat.org/oclc/44174226","Catalog Record")</f>
        <v>Catalog Record</v>
      </c>
      <c r="AW3064" s="6" t="str">
        <f>HYPERLINK("http://www.worldcat.org/oclc/44174226","WorldCat Record")</f>
        <v>WorldCat Record</v>
      </c>
      <c r="AX3064" s="3" t="s">
        <v>29644</v>
      </c>
      <c r="AY3064" s="3" t="s">
        <v>29645</v>
      </c>
      <c r="AZ3064" s="3" t="s">
        <v>29646</v>
      </c>
      <c r="BA3064" s="3" t="s">
        <v>29646</v>
      </c>
      <c r="BB3064" s="3" t="s">
        <v>29647</v>
      </c>
      <c r="BC3064" s="3" t="s">
        <v>102</v>
      </c>
      <c r="BD3064" s="3" t="s">
        <v>68</v>
      </c>
      <c r="BE3064" s="3" t="s">
        <v>29648</v>
      </c>
      <c r="BF3064" s="3" t="s">
        <v>29647</v>
      </c>
      <c r="BG3064" s="3" t="s">
        <v>29649</v>
      </c>
    </row>
    <row r="3065" spans="1:59" ht="58" x14ac:dyDescent="0.35">
      <c r="A3065" s="2" t="s">
        <v>89</v>
      </c>
      <c r="B3065" s="2" t="s">
        <v>90</v>
      </c>
      <c r="C3065" s="2" t="s">
        <v>29650</v>
      </c>
      <c r="D3065" s="2" t="s">
        <v>29651</v>
      </c>
      <c r="E3065" s="2" t="s">
        <v>29652</v>
      </c>
      <c r="G3065" s="3" t="s">
        <v>62</v>
      </c>
      <c r="I3065" s="3" t="s">
        <v>62</v>
      </c>
      <c r="J3065" s="3" t="s">
        <v>62</v>
      </c>
      <c r="K3065" s="3" t="s">
        <v>63</v>
      </c>
      <c r="M3065" s="2" t="s">
        <v>29653</v>
      </c>
      <c r="N3065" s="3" t="s">
        <v>2110</v>
      </c>
      <c r="P3065" s="3" t="s">
        <v>85</v>
      </c>
      <c r="Q3065" s="2" t="s">
        <v>29654</v>
      </c>
      <c r="R3065" s="3" t="s">
        <v>27443</v>
      </c>
      <c r="S3065" s="4">
        <v>6</v>
      </c>
      <c r="T3065" s="4">
        <v>6</v>
      </c>
      <c r="U3065" s="5" t="s">
        <v>29655</v>
      </c>
      <c r="V3065" s="5" t="s">
        <v>29655</v>
      </c>
      <c r="W3065" s="5" t="s">
        <v>67</v>
      </c>
      <c r="X3065" s="5" t="s">
        <v>67</v>
      </c>
      <c r="Y3065" s="4">
        <v>49</v>
      </c>
      <c r="Z3065" s="4">
        <v>5</v>
      </c>
      <c r="AA3065" s="4">
        <v>6</v>
      </c>
      <c r="AB3065" s="4">
        <v>1</v>
      </c>
      <c r="AC3065" s="4">
        <v>1</v>
      </c>
      <c r="AD3065" s="4">
        <v>28</v>
      </c>
      <c r="AE3065" s="4">
        <v>29</v>
      </c>
      <c r="AF3065" s="4">
        <v>0</v>
      </c>
      <c r="AG3065" s="4">
        <v>0</v>
      </c>
      <c r="AH3065" s="4">
        <v>27</v>
      </c>
      <c r="AI3065" s="4">
        <v>28</v>
      </c>
      <c r="AJ3065" s="4">
        <v>3</v>
      </c>
      <c r="AK3065" s="4">
        <v>4</v>
      </c>
      <c r="AL3065" s="4">
        <v>22</v>
      </c>
      <c r="AM3065" s="4">
        <v>22</v>
      </c>
      <c r="AN3065" s="4">
        <v>0</v>
      </c>
      <c r="AO3065" s="4">
        <v>0</v>
      </c>
      <c r="AP3065" s="4">
        <v>3</v>
      </c>
      <c r="AQ3065" s="4">
        <v>4</v>
      </c>
      <c r="AR3065" s="3" t="s">
        <v>62</v>
      </c>
      <c r="AS3065" s="3" t="s">
        <v>62</v>
      </c>
      <c r="AT3065" s="3" t="s">
        <v>61</v>
      </c>
      <c r="AU3065" s="6" t="str">
        <f>HYPERLINK("http://catalog.hathitrust.org/Record/000685633","HathiTrust Record")</f>
        <v>HathiTrust Record</v>
      </c>
      <c r="AV3065" s="6" t="str">
        <f>HYPERLINK("http://mcgill.on.worldcat.org/oclc/5028891","Catalog Record")</f>
        <v>Catalog Record</v>
      </c>
      <c r="AW3065" s="6" t="str">
        <f>HYPERLINK("http://www.worldcat.org/oclc/5028891","WorldCat Record")</f>
        <v>WorldCat Record</v>
      </c>
      <c r="AX3065" s="3" t="s">
        <v>29656</v>
      </c>
      <c r="AY3065" s="3" t="s">
        <v>29657</v>
      </c>
      <c r="AZ3065" s="3" t="s">
        <v>29658</v>
      </c>
      <c r="BA3065" s="3" t="s">
        <v>29658</v>
      </c>
      <c r="BB3065" s="3" t="s">
        <v>29659</v>
      </c>
      <c r="BC3065" s="3" t="s">
        <v>102</v>
      </c>
      <c r="BD3065" s="3" t="s">
        <v>68</v>
      </c>
      <c r="BF3065" s="3" t="s">
        <v>29659</v>
      </c>
      <c r="BG3065" s="3" t="s">
        <v>29660</v>
      </c>
    </row>
    <row r="3066" spans="1:59" ht="101.5" x14ac:dyDescent="0.35">
      <c r="A3066" s="2" t="s">
        <v>89</v>
      </c>
      <c r="B3066" s="2" t="s">
        <v>12301</v>
      </c>
      <c r="C3066" s="2" t="s">
        <v>29661</v>
      </c>
      <c r="D3066" s="2" t="s">
        <v>29662</v>
      </c>
      <c r="E3066" s="2" t="s">
        <v>29663</v>
      </c>
      <c r="G3066" s="3" t="s">
        <v>62</v>
      </c>
      <c r="I3066" s="3" t="s">
        <v>62</v>
      </c>
      <c r="J3066" s="3" t="s">
        <v>61</v>
      </c>
      <c r="K3066" s="3" t="s">
        <v>63</v>
      </c>
      <c r="L3066" s="2" t="s">
        <v>29664</v>
      </c>
      <c r="M3066" s="2" t="s">
        <v>29665</v>
      </c>
      <c r="N3066" s="3" t="s">
        <v>640</v>
      </c>
      <c r="O3066" s="2" t="s">
        <v>10722</v>
      </c>
      <c r="P3066" s="3" t="s">
        <v>64</v>
      </c>
      <c r="R3066" s="3" t="s">
        <v>27443</v>
      </c>
      <c r="S3066" s="4">
        <v>19</v>
      </c>
      <c r="T3066" s="4">
        <v>19</v>
      </c>
      <c r="U3066" s="5" t="s">
        <v>24525</v>
      </c>
      <c r="V3066" s="5" t="s">
        <v>24525</v>
      </c>
      <c r="W3066" s="5" t="s">
        <v>67</v>
      </c>
      <c r="X3066" s="5" t="s">
        <v>67</v>
      </c>
      <c r="Y3066" s="4">
        <v>462</v>
      </c>
      <c r="Z3066" s="4">
        <v>36</v>
      </c>
      <c r="AA3066" s="4">
        <v>76</v>
      </c>
      <c r="AB3066" s="4">
        <v>2</v>
      </c>
      <c r="AC3066" s="4">
        <v>15</v>
      </c>
      <c r="AD3066" s="4">
        <v>87</v>
      </c>
      <c r="AE3066" s="4">
        <v>153</v>
      </c>
      <c r="AF3066" s="4">
        <v>1</v>
      </c>
      <c r="AG3066" s="4">
        <v>8</v>
      </c>
      <c r="AH3066" s="4">
        <v>72</v>
      </c>
      <c r="AI3066" s="4">
        <v>111</v>
      </c>
      <c r="AJ3066" s="4">
        <v>18</v>
      </c>
      <c r="AK3066" s="4">
        <v>26</v>
      </c>
      <c r="AL3066" s="4">
        <v>34</v>
      </c>
      <c r="AM3066" s="4">
        <v>57</v>
      </c>
      <c r="AN3066" s="4">
        <v>0</v>
      </c>
      <c r="AO3066" s="4">
        <v>0</v>
      </c>
      <c r="AP3066" s="4">
        <v>25</v>
      </c>
      <c r="AQ3066" s="4">
        <v>50</v>
      </c>
      <c r="AR3066" s="3" t="s">
        <v>62</v>
      </c>
      <c r="AS3066" s="3" t="s">
        <v>62</v>
      </c>
      <c r="AT3066" s="3" t="s">
        <v>62</v>
      </c>
      <c r="AV3066" s="6" t="str">
        <f>HYPERLINK("http://mcgill.on.worldcat.org/oclc/54817480","Catalog Record")</f>
        <v>Catalog Record</v>
      </c>
      <c r="AW3066" s="6" t="str">
        <f>HYPERLINK("http://www.worldcat.org/oclc/54817480","WorldCat Record")</f>
        <v>WorldCat Record</v>
      </c>
      <c r="AX3066" s="3" t="s">
        <v>29666</v>
      </c>
      <c r="AY3066" s="3" t="s">
        <v>29667</v>
      </c>
      <c r="AZ3066" s="3" t="s">
        <v>29668</v>
      </c>
      <c r="BA3066" s="3" t="s">
        <v>29668</v>
      </c>
      <c r="BB3066" s="3" t="s">
        <v>29669</v>
      </c>
      <c r="BC3066" s="3" t="s">
        <v>102</v>
      </c>
      <c r="BD3066" s="3" t="s">
        <v>68</v>
      </c>
      <c r="BE3066" s="3" t="s">
        <v>29670</v>
      </c>
      <c r="BF3066" s="3" t="s">
        <v>29669</v>
      </c>
      <c r="BG3066" s="3" t="s">
        <v>29671</v>
      </c>
    </row>
    <row r="3067" spans="1:59" ht="58" x14ac:dyDescent="0.35">
      <c r="A3067" s="2" t="s">
        <v>89</v>
      </c>
      <c r="B3067" s="2" t="s">
        <v>90</v>
      </c>
      <c r="C3067" s="2" t="s">
        <v>29672</v>
      </c>
      <c r="D3067" s="2" t="s">
        <v>29673</v>
      </c>
      <c r="E3067" s="2" t="s">
        <v>29674</v>
      </c>
      <c r="G3067" s="3" t="s">
        <v>62</v>
      </c>
      <c r="I3067" s="3" t="s">
        <v>62</v>
      </c>
      <c r="J3067" s="3" t="s">
        <v>62</v>
      </c>
      <c r="K3067" s="3" t="s">
        <v>63</v>
      </c>
      <c r="L3067" s="2" t="s">
        <v>29675</v>
      </c>
      <c r="M3067" s="2" t="s">
        <v>29676</v>
      </c>
      <c r="N3067" s="3" t="s">
        <v>2924</v>
      </c>
      <c r="O3067" s="2" t="s">
        <v>1941</v>
      </c>
      <c r="P3067" s="3" t="s">
        <v>64</v>
      </c>
      <c r="Q3067" s="2" t="s">
        <v>29677</v>
      </c>
      <c r="R3067" s="3" t="s">
        <v>27443</v>
      </c>
      <c r="S3067" s="4">
        <v>5</v>
      </c>
      <c r="T3067" s="4">
        <v>5</v>
      </c>
      <c r="U3067" s="5" t="s">
        <v>29678</v>
      </c>
      <c r="V3067" s="5" t="s">
        <v>29678</v>
      </c>
      <c r="W3067" s="5" t="s">
        <v>67</v>
      </c>
      <c r="X3067" s="5" t="s">
        <v>67</v>
      </c>
      <c r="Y3067" s="4">
        <v>258</v>
      </c>
      <c r="Z3067" s="4">
        <v>20</v>
      </c>
      <c r="AA3067" s="4">
        <v>22</v>
      </c>
      <c r="AB3067" s="4">
        <v>2</v>
      </c>
      <c r="AC3067" s="4">
        <v>4</v>
      </c>
      <c r="AD3067" s="4">
        <v>97</v>
      </c>
      <c r="AE3067" s="4">
        <v>99</v>
      </c>
      <c r="AF3067" s="4">
        <v>1</v>
      </c>
      <c r="AG3067" s="4">
        <v>1</v>
      </c>
      <c r="AH3067" s="4">
        <v>86</v>
      </c>
      <c r="AI3067" s="4">
        <v>88</v>
      </c>
      <c r="AJ3067" s="4">
        <v>15</v>
      </c>
      <c r="AK3067" s="4">
        <v>15</v>
      </c>
      <c r="AL3067" s="4">
        <v>50</v>
      </c>
      <c r="AM3067" s="4">
        <v>51</v>
      </c>
      <c r="AN3067" s="4">
        <v>0</v>
      </c>
      <c r="AO3067" s="4">
        <v>0</v>
      </c>
      <c r="AP3067" s="4">
        <v>16</v>
      </c>
      <c r="AQ3067" s="4">
        <v>16</v>
      </c>
      <c r="AR3067" s="3" t="s">
        <v>62</v>
      </c>
      <c r="AS3067" s="3" t="s">
        <v>62</v>
      </c>
      <c r="AT3067" s="3" t="s">
        <v>61</v>
      </c>
      <c r="AU3067" s="6" t="str">
        <f>HYPERLINK("http://catalog.hathitrust.org/Record/001481122","HathiTrust Record")</f>
        <v>HathiTrust Record</v>
      </c>
      <c r="AV3067" s="6" t="str">
        <f>HYPERLINK("http://mcgill.on.worldcat.org/oclc/1067675","Catalog Record")</f>
        <v>Catalog Record</v>
      </c>
      <c r="AW3067" s="6" t="str">
        <f>HYPERLINK("http://www.worldcat.org/oclc/1067675","WorldCat Record")</f>
        <v>WorldCat Record</v>
      </c>
      <c r="AX3067" s="3" t="s">
        <v>29679</v>
      </c>
      <c r="AY3067" s="3" t="s">
        <v>29680</v>
      </c>
      <c r="AZ3067" s="3" t="s">
        <v>29681</v>
      </c>
      <c r="BA3067" s="3" t="s">
        <v>29681</v>
      </c>
      <c r="BB3067" s="3" t="s">
        <v>29682</v>
      </c>
      <c r="BC3067" s="3" t="s">
        <v>102</v>
      </c>
      <c r="BD3067" s="3" t="s">
        <v>68</v>
      </c>
      <c r="BF3067" s="3" t="s">
        <v>29682</v>
      </c>
      <c r="BG3067" s="3" t="s">
        <v>29683</v>
      </c>
    </row>
    <row r="3068" spans="1:59" ht="72.5" x14ac:dyDescent="0.35">
      <c r="A3068" s="2" t="s">
        <v>89</v>
      </c>
      <c r="B3068" s="2" t="s">
        <v>1231</v>
      </c>
      <c r="C3068" s="2" t="s">
        <v>29684</v>
      </c>
      <c r="D3068" s="2" t="s">
        <v>29685</v>
      </c>
      <c r="E3068" s="2" t="s">
        <v>29686</v>
      </c>
      <c r="G3068" s="3" t="s">
        <v>62</v>
      </c>
      <c r="I3068" s="3" t="s">
        <v>62</v>
      </c>
      <c r="J3068" s="3" t="s">
        <v>62</v>
      </c>
      <c r="K3068" s="3" t="s">
        <v>63</v>
      </c>
      <c r="L3068" s="2" t="s">
        <v>29687</v>
      </c>
      <c r="M3068" s="2" t="s">
        <v>29688</v>
      </c>
      <c r="N3068" s="3" t="s">
        <v>852</v>
      </c>
      <c r="P3068" s="3" t="s">
        <v>64</v>
      </c>
      <c r="R3068" s="3" t="s">
        <v>27443</v>
      </c>
      <c r="S3068" s="4">
        <v>9</v>
      </c>
      <c r="T3068" s="4">
        <v>9</v>
      </c>
      <c r="U3068" s="5" t="s">
        <v>483</v>
      </c>
      <c r="V3068" s="5" t="s">
        <v>483</v>
      </c>
      <c r="W3068" s="5" t="s">
        <v>67</v>
      </c>
      <c r="X3068" s="5" t="s">
        <v>67</v>
      </c>
      <c r="Y3068" s="4">
        <v>818</v>
      </c>
      <c r="Z3068" s="4">
        <v>53</v>
      </c>
      <c r="AA3068" s="4">
        <v>56</v>
      </c>
      <c r="AB3068" s="4">
        <v>4</v>
      </c>
      <c r="AC3068" s="4">
        <v>6</v>
      </c>
      <c r="AD3068" s="4">
        <v>111</v>
      </c>
      <c r="AE3068" s="4">
        <v>114</v>
      </c>
      <c r="AF3068" s="4">
        <v>2</v>
      </c>
      <c r="AG3068" s="4">
        <v>4</v>
      </c>
      <c r="AH3068" s="4">
        <v>88</v>
      </c>
      <c r="AI3068" s="4">
        <v>88</v>
      </c>
      <c r="AJ3068" s="4">
        <v>18</v>
      </c>
      <c r="AK3068" s="4">
        <v>20</v>
      </c>
      <c r="AL3068" s="4">
        <v>46</v>
      </c>
      <c r="AM3068" s="4">
        <v>46</v>
      </c>
      <c r="AN3068" s="4">
        <v>0</v>
      </c>
      <c r="AO3068" s="4">
        <v>0</v>
      </c>
      <c r="AP3068" s="4">
        <v>30</v>
      </c>
      <c r="AQ3068" s="4">
        <v>32</v>
      </c>
      <c r="AR3068" s="3" t="s">
        <v>62</v>
      </c>
      <c r="AS3068" s="3" t="s">
        <v>62</v>
      </c>
      <c r="AT3068" s="3" t="s">
        <v>61</v>
      </c>
      <c r="AU3068" s="6" t="str">
        <f>HYPERLINK("http://catalog.hathitrust.org/Record/001481305","HathiTrust Record")</f>
        <v>HathiTrust Record</v>
      </c>
      <c r="AV3068" s="6" t="str">
        <f>HYPERLINK("http://mcgill.on.worldcat.org/oclc/23128","Catalog Record")</f>
        <v>Catalog Record</v>
      </c>
      <c r="AW3068" s="6" t="str">
        <f>HYPERLINK("http://www.worldcat.org/oclc/23128","WorldCat Record")</f>
        <v>WorldCat Record</v>
      </c>
      <c r="AX3068" s="3" t="s">
        <v>29689</v>
      </c>
      <c r="AY3068" s="3" t="s">
        <v>29690</v>
      </c>
      <c r="AZ3068" s="3" t="s">
        <v>29691</v>
      </c>
      <c r="BA3068" s="3" t="s">
        <v>29691</v>
      </c>
      <c r="BB3068" s="3" t="s">
        <v>29692</v>
      </c>
      <c r="BC3068" s="3" t="s">
        <v>102</v>
      </c>
      <c r="BD3068" s="3" t="s">
        <v>68</v>
      </c>
      <c r="BE3068" s="3" t="s">
        <v>29693</v>
      </c>
      <c r="BF3068" s="3" t="s">
        <v>29692</v>
      </c>
      <c r="BG3068" s="3" t="s">
        <v>29694</v>
      </c>
    </row>
    <row r="3069" spans="1:59" ht="72.5" x14ac:dyDescent="0.35">
      <c r="A3069" s="2" t="s">
        <v>89</v>
      </c>
      <c r="B3069" s="2" t="s">
        <v>1231</v>
      </c>
      <c r="C3069" s="2" t="s">
        <v>29695</v>
      </c>
      <c r="D3069" s="2" t="s">
        <v>29696</v>
      </c>
      <c r="E3069" s="2" t="s">
        <v>29697</v>
      </c>
      <c r="G3069" s="3" t="s">
        <v>62</v>
      </c>
      <c r="I3069" s="3" t="s">
        <v>62</v>
      </c>
      <c r="J3069" s="3" t="s">
        <v>62</v>
      </c>
      <c r="K3069" s="3" t="s">
        <v>63</v>
      </c>
      <c r="M3069" s="2" t="s">
        <v>29698</v>
      </c>
      <c r="N3069" s="3" t="s">
        <v>684</v>
      </c>
      <c r="P3069" s="3" t="s">
        <v>64</v>
      </c>
      <c r="R3069" s="3" t="s">
        <v>27443</v>
      </c>
      <c r="S3069" s="4">
        <v>3</v>
      </c>
      <c r="T3069" s="4">
        <v>3</v>
      </c>
      <c r="U3069" s="5" t="s">
        <v>17879</v>
      </c>
      <c r="V3069" s="5" t="s">
        <v>17879</v>
      </c>
      <c r="W3069" s="5" t="s">
        <v>67</v>
      </c>
      <c r="X3069" s="5" t="s">
        <v>67</v>
      </c>
      <c r="Y3069" s="4">
        <v>78</v>
      </c>
      <c r="Z3069" s="4">
        <v>12</v>
      </c>
      <c r="AA3069" s="4">
        <v>16</v>
      </c>
      <c r="AB3069" s="4">
        <v>1</v>
      </c>
      <c r="AC3069" s="4">
        <v>4</v>
      </c>
      <c r="AD3069" s="4">
        <v>31</v>
      </c>
      <c r="AE3069" s="4">
        <v>35</v>
      </c>
      <c r="AF3069" s="4">
        <v>0</v>
      </c>
      <c r="AG3069" s="4">
        <v>1</v>
      </c>
      <c r="AH3069" s="4">
        <v>26</v>
      </c>
      <c r="AI3069" s="4">
        <v>29</v>
      </c>
      <c r="AJ3069" s="4">
        <v>8</v>
      </c>
      <c r="AK3069" s="4">
        <v>9</v>
      </c>
      <c r="AL3069" s="4">
        <v>18</v>
      </c>
      <c r="AM3069" s="4">
        <v>19</v>
      </c>
      <c r="AN3069" s="4">
        <v>0</v>
      </c>
      <c r="AO3069" s="4">
        <v>0</v>
      </c>
      <c r="AP3069" s="4">
        <v>9</v>
      </c>
      <c r="AQ3069" s="4">
        <v>11</v>
      </c>
      <c r="AR3069" s="3" t="s">
        <v>62</v>
      </c>
      <c r="AS3069" s="3" t="s">
        <v>62</v>
      </c>
      <c r="AT3069" s="3" t="s">
        <v>62</v>
      </c>
      <c r="AV3069" s="6" t="str">
        <f>HYPERLINK("http://mcgill.on.worldcat.org/oclc/747934784","Catalog Record")</f>
        <v>Catalog Record</v>
      </c>
      <c r="AW3069" s="6" t="str">
        <f>HYPERLINK("http://www.worldcat.org/oclc/747934784","WorldCat Record")</f>
        <v>WorldCat Record</v>
      </c>
      <c r="AX3069" s="3" t="s">
        <v>29699</v>
      </c>
      <c r="AY3069" s="3" t="s">
        <v>29700</v>
      </c>
      <c r="AZ3069" s="3" t="s">
        <v>29701</v>
      </c>
      <c r="BA3069" s="3" t="s">
        <v>29701</v>
      </c>
      <c r="BB3069" s="3" t="s">
        <v>29702</v>
      </c>
      <c r="BC3069" s="3" t="s">
        <v>102</v>
      </c>
      <c r="BD3069" s="3" t="s">
        <v>68</v>
      </c>
      <c r="BE3069" s="3" t="s">
        <v>29703</v>
      </c>
      <c r="BF3069" s="3" t="s">
        <v>29702</v>
      </c>
      <c r="BG3069" s="3" t="s">
        <v>29704</v>
      </c>
    </row>
    <row r="3070" spans="1:59" ht="58" x14ac:dyDescent="0.35">
      <c r="A3070" s="2" t="s">
        <v>89</v>
      </c>
      <c r="B3070" s="2" t="s">
        <v>90</v>
      </c>
      <c r="C3070" s="2" t="s">
        <v>29705</v>
      </c>
      <c r="D3070" s="2" t="s">
        <v>29706</v>
      </c>
      <c r="E3070" s="2" t="s">
        <v>29707</v>
      </c>
      <c r="G3070" s="3" t="s">
        <v>62</v>
      </c>
      <c r="I3070" s="3" t="s">
        <v>61</v>
      </c>
      <c r="J3070" s="3" t="s">
        <v>62</v>
      </c>
      <c r="K3070" s="3" t="s">
        <v>63</v>
      </c>
      <c r="L3070" s="2" t="s">
        <v>29708</v>
      </c>
      <c r="M3070" s="2" t="s">
        <v>29709</v>
      </c>
      <c r="N3070" s="3" t="s">
        <v>611</v>
      </c>
      <c r="P3070" s="3" t="s">
        <v>64</v>
      </c>
      <c r="R3070" s="3" t="s">
        <v>27443</v>
      </c>
      <c r="S3070" s="4">
        <v>0</v>
      </c>
      <c r="T3070" s="4">
        <v>10</v>
      </c>
      <c r="V3070" s="5" t="s">
        <v>18411</v>
      </c>
      <c r="W3070" s="5" t="s">
        <v>67</v>
      </c>
      <c r="X3070" s="5" t="s">
        <v>67</v>
      </c>
      <c r="Y3070" s="4">
        <v>1008</v>
      </c>
      <c r="Z3070" s="4">
        <v>42</v>
      </c>
      <c r="AA3070" s="4">
        <v>51</v>
      </c>
      <c r="AB3070" s="4">
        <v>3</v>
      </c>
      <c r="AC3070" s="4">
        <v>7</v>
      </c>
      <c r="AD3070" s="4">
        <v>126</v>
      </c>
      <c r="AE3070" s="4">
        <v>133</v>
      </c>
      <c r="AF3070" s="4">
        <v>1</v>
      </c>
      <c r="AG3070" s="4">
        <v>4</v>
      </c>
      <c r="AH3070" s="4">
        <v>107</v>
      </c>
      <c r="AI3070" s="4">
        <v>110</v>
      </c>
      <c r="AJ3070" s="4">
        <v>18</v>
      </c>
      <c r="AK3070" s="4">
        <v>22</v>
      </c>
      <c r="AL3070" s="4">
        <v>58</v>
      </c>
      <c r="AM3070" s="4">
        <v>58</v>
      </c>
      <c r="AN3070" s="4">
        <v>0</v>
      </c>
      <c r="AO3070" s="4">
        <v>0</v>
      </c>
      <c r="AP3070" s="4">
        <v>24</v>
      </c>
      <c r="AQ3070" s="4">
        <v>29</v>
      </c>
      <c r="AR3070" s="3" t="s">
        <v>62</v>
      </c>
      <c r="AS3070" s="3" t="s">
        <v>62</v>
      </c>
      <c r="AT3070" s="3" t="s">
        <v>61</v>
      </c>
      <c r="AU3070" s="6" t="str">
        <f>HYPERLINK("http://catalog.hathitrust.org/Record/001481310","HathiTrust Record")</f>
        <v>HathiTrust Record</v>
      </c>
      <c r="AV3070" s="6" t="str">
        <f>HYPERLINK("http://mcgill.on.worldcat.org/oclc/537447","Catalog Record")</f>
        <v>Catalog Record</v>
      </c>
      <c r="AW3070" s="6" t="str">
        <f>HYPERLINK("http://www.worldcat.org/oclc/537447","WorldCat Record")</f>
        <v>WorldCat Record</v>
      </c>
      <c r="AX3070" s="3" t="s">
        <v>29710</v>
      </c>
      <c r="AY3070" s="3" t="s">
        <v>29711</v>
      </c>
      <c r="AZ3070" s="3" t="s">
        <v>29712</v>
      </c>
      <c r="BA3070" s="3" t="s">
        <v>29712</v>
      </c>
      <c r="BB3070" s="3" t="s">
        <v>29713</v>
      </c>
      <c r="BC3070" s="3" t="s">
        <v>102</v>
      </c>
      <c r="BD3070" s="3" t="s">
        <v>68</v>
      </c>
      <c r="BF3070" s="3" t="s">
        <v>29713</v>
      </c>
      <c r="BG3070" s="3" t="s">
        <v>29714</v>
      </c>
    </row>
    <row r="3071" spans="1:59" ht="72.5" x14ac:dyDescent="0.35">
      <c r="A3071" s="2" t="s">
        <v>89</v>
      </c>
      <c r="B3071" s="2" t="s">
        <v>1231</v>
      </c>
      <c r="C3071" s="2" t="s">
        <v>29715</v>
      </c>
      <c r="D3071" s="2" t="s">
        <v>29716</v>
      </c>
      <c r="E3071" s="2" t="s">
        <v>29717</v>
      </c>
      <c r="G3071" s="3" t="s">
        <v>62</v>
      </c>
      <c r="I3071" s="3" t="s">
        <v>62</v>
      </c>
      <c r="J3071" s="3" t="s">
        <v>62</v>
      </c>
      <c r="K3071" s="3" t="s">
        <v>63</v>
      </c>
      <c r="L3071" s="2" t="s">
        <v>29718</v>
      </c>
      <c r="M3071" s="2" t="s">
        <v>29719</v>
      </c>
      <c r="N3071" s="3" t="s">
        <v>186</v>
      </c>
      <c r="P3071" s="3" t="s">
        <v>64</v>
      </c>
      <c r="R3071" s="3" t="s">
        <v>27443</v>
      </c>
      <c r="S3071" s="4">
        <v>12</v>
      </c>
      <c r="T3071" s="4">
        <v>12</v>
      </c>
      <c r="U3071" s="5" t="s">
        <v>9895</v>
      </c>
      <c r="V3071" s="5" t="s">
        <v>9895</v>
      </c>
      <c r="W3071" s="5" t="s">
        <v>67</v>
      </c>
      <c r="X3071" s="5" t="s">
        <v>67</v>
      </c>
      <c r="Y3071" s="4">
        <v>79</v>
      </c>
      <c r="Z3071" s="4">
        <v>3</v>
      </c>
      <c r="AA3071" s="4">
        <v>42</v>
      </c>
      <c r="AB3071" s="4">
        <v>1</v>
      </c>
      <c r="AC3071" s="4">
        <v>3</v>
      </c>
      <c r="AD3071" s="4">
        <v>5</v>
      </c>
      <c r="AE3071" s="4">
        <v>114</v>
      </c>
      <c r="AF3071" s="4">
        <v>0</v>
      </c>
      <c r="AG3071" s="4">
        <v>2</v>
      </c>
      <c r="AH3071" s="4">
        <v>4</v>
      </c>
      <c r="AI3071" s="4">
        <v>96</v>
      </c>
      <c r="AJ3071" s="4">
        <v>1</v>
      </c>
      <c r="AK3071" s="4">
        <v>18</v>
      </c>
      <c r="AL3071" s="4">
        <v>1</v>
      </c>
      <c r="AM3071" s="4">
        <v>49</v>
      </c>
      <c r="AN3071" s="4">
        <v>0</v>
      </c>
      <c r="AO3071" s="4">
        <v>0</v>
      </c>
      <c r="AP3071" s="4">
        <v>2</v>
      </c>
      <c r="AQ3071" s="4">
        <v>24</v>
      </c>
      <c r="AR3071" s="3" t="s">
        <v>62</v>
      </c>
      <c r="AS3071" s="3" t="s">
        <v>62</v>
      </c>
      <c r="AT3071" s="3" t="s">
        <v>62</v>
      </c>
      <c r="AV3071" s="6" t="str">
        <f>HYPERLINK("http://mcgill.on.worldcat.org/oclc/2754257","Catalog Record")</f>
        <v>Catalog Record</v>
      </c>
      <c r="AW3071" s="6" t="str">
        <f>HYPERLINK("http://www.worldcat.org/oclc/2754257","WorldCat Record")</f>
        <v>WorldCat Record</v>
      </c>
      <c r="AX3071" s="3" t="s">
        <v>29720</v>
      </c>
      <c r="AY3071" s="3" t="s">
        <v>29721</v>
      </c>
      <c r="AZ3071" s="3" t="s">
        <v>29722</v>
      </c>
      <c r="BA3071" s="3" t="s">
        <v>29722</v>
      </c>
      <c r="BB3071" s="3" t="s">
        <v>29723</v>
      </c>
      <c r="BC3071" s="3" t="s">
        <v>102</v>
      </c>
      <c r="BD3071" s="3" t="s">
        <v>68</v>
      </c>
      <c r="BE3071" s="3" t="s">
        <v>29724</v>
      </c>
      <c r="BF3071" s="3" t="s">
        <v>29723</v>
      </c>
      <c r="BG3071" s="3" t="s">
        <v>29725</v>
      </c>
    </row>
    <row r="3072" spans="1:59" ht="72.5" x14ac:dyDescent="0.35">
      <c r="A3072" s="2" t="s">
        <v>89</v>
      </c>
      <c r="B3072" s="2" t="s">
        <v>1231</v>
      </c>
      <c r="C3072" s="2" t="s">
        <v>29726</v>
      </c>
      <c r="D3072" s="2" t="s">
        <v>29727</v>
      </c>
      <c r="E3072" s="2" t="s">
        <v>29728</v>
      </c>
      <c r="G3072" s="3" t="s">
        <v>62</v>
      </c>
      <c r="I3072" s="3" t="s">
        <v>62</v>
      </c>
      <c r="J3072" s="3" t="s">
        <v>61</v>
      </c>
      <c r="K3072" s="3" t="s">
        <v>916</v>
      </c>
      <c r="L3072" s="2" t="s">
        <v>29729</v>
      </c>
      <c r="M3072" s="2" t="s">
        <v>29730</v>
      </c>
      <c r="N3072" s="3" t="s">
        <v>954</v>
      </c>
      <c r="O3072" s="2" t="s">
        <v>29731</v>
      </c>
      <c r="P3072" s="3" t="s">
        <v>64</v>
      </c>
      <c r="Q3072" s="2" t="s">
        <v>29732</v>
      </c>
      <c r="R3072" s="3" t="s">
        <v>27443</v>
      </c>
      <c r="S3072" s="4">
        <v>19</v>
      </c>
      <c r="T3072" s="4">
        <v>19</v>
      </c>
      <c r="U3072" s="5" t="s">
        <v>10976</v>
      </c>
      <c r="V3072" s="5" t="s">
        <v>10976</v>
      </c>
      <c r="W3072" s="5" t="s">
        <v>67</v>
      </c>
      <c r="X3072" s="5" t="s">
        <v>67</v>
      </c>
      <c r="Y3072" s="4">
        <v>220</v>
      </c>
      <c r="Z3072" s="4">
        <v>12</v>
      </c>
      <c r="AA3072" s="4">
        <v>74</v>
      </c>
      <c r="AB3072" s="4">
        <v>1</v>
      </c>
      <c r="AC3072" s="4">
        <v>14</v>
      </c>
      <c r="AD3072" s="4">
        <v>70</v>
      </c>
      <c r="AE3072" s="4">
        <v>147</v>
      </c>
      <c r="AF3072" s="4">
        <v>0</v>
      </c>
      <c r="AG3072" s="4">
        <v>7</v>
      </c>
      <c r="AH3072" s="4">
        <v>62</v>
      </c>
      <c r="AI3072" s="4">
        <v>113</v>
      </c>
      <c r="AJ3072" s="4">
        <v>9</v>
      </c>
      <c r="AK3072" s="4">
        <v>26</v>
      </c>
      <c r="AL3072" s="4">
        <v>35</v>
      </c>
      <c r="AM3072" s="4">
        <v>60</v>
      </c>
      <c r="AN3072" s="4">
        <v>0</v>
      </c>
      <c r="AO3072" s="4">
        <v>5</v>
      </c>
      <c r="AP3072" s="4">
        <v>10</v>
      </c>
      <c r="AQ3072" s="4">
        <v>40</v>
      </c>
      <c r="AR3072" s="3" t="s">
        <v>62</v>
      </c>
      <c r="AS3072" s="3" t="s">
        <v>62</v>
      </c>
      <c r="AT3072" s="3" t="s">
        <v>61</v>
      </c>
      <c r="AU3072" s="6" t="str">
        <f>HYPERLINK("http://catalog.hathitrust.org/Record/001481313","HathiTrust Record")</f>
        <v>HathiTrust Record</v>
      </c>
      <c r="AV3072" s="6" t="str">
        <f>HYPERLINK("http://mcgill.on.worldcat.org/oclc/460538","Catalog Record")</f>
        <v>Catalog Record</v>
      </c>
      <c r="AW3072" s="6" t="str">
        <f>HYPERLINK("http://www.worldcat.org/oclc/460538","WorldCat Record")</f>
        <v>WorldCat Record</v>
      </c>
      <c r="AX3072" s="3" t="s">
        <v>29733</v>
      </c>
      <c r="AY3072" s="3" t="s">
        <v>29734</v>
      </c>
      <c r="AZ3072" s="3" t="s">
        <v>29735</v>
      </c>
      <c r="BA3072" s="3" t="s">
        <v>29735</v>
      </c>
      <c r="BB3072" s="3" t="s">
        <v>29736</v>
      </c>
      <c r="BC3072" s="3" t="s">
        <v>102</v>
      </c>
      <c r="BD3072" s="3" t="s">
        <v>68</v>
      </c>
      <c r="BF3072" s="3" t="s">
        <v>29736</v>
      </c>
      <c r="BG3072" s="3" t="s">
        <v>29737</v>
      </c>
    </row>
    <row r="3073" spans="1:59" ht="72.5" x14ac:dyDescent="0.35">
      <c r="A3073" s="2" t="s">
        <v>89</v>
      </c>
      <c r="B3073" s="2" t="s">
        <v>1231</v>
      </c>
      <c r="C3073" s="2" t="s">
        <v>29738</v>
      </c>
      <c r="D3073" s="2" t="s">
        <v>29739</v>
      </c>
      <c r="E3073" s="2" t="s">
        <v>29740</v>
      </c>
      <c r="G3073" s="3" t="s">
        <v>62</v>
      </c>
      <c r="I3073" s="3" t="s">
        <v>62</v>
      </c>
      <c r="J3073" s="3" t="s">
        <v>61</v>
      </c>
      <c r="K3073" s="3" t="s">
        <v>916</v>
      </c>
      <c r="L3073" s="2" t="s">
        <v>29741</v>
      </c>
      <c r="M3073" s="2" t="s">
        <v>29742</v>
      </c>
      <c r="N3073" s="3" t="s">
        <v>1639</v>
      </c>
      <c r="O3073" s="2" t="s">
        <v>29743</v>
      </c>
      <c r="P3073" s="3" t="s">
        <v>64</v>
      </c>
      <c r="R3073" s="3" t="s">
        <v>27443</v>
      </c>
      <c r="S3073" s="4">
        <v>51</v>
      </c>
      <c r="T3073" s="4">
        <v>51</v>
      </c>
      <c r="U3073" s="5" t="s">
        <v>11149</v>
      </c>
      <c r="V3073" s="5" t="s">
        <v>11149</v>
      </c>
      <c r="W3073" s="5" t="s">
        <v>67</v>
      </c>
      <c r="X3073" s="5" t="s">
        <v>67</v>
      </c>
      <c r="Y3073" s="4">
        <v>630</v>
      </c>
      <c r="Z3073" s="4">
        <v>33</v>
      </c>
      <c r="AA3073" s="4">
        <v>74</v>
      </c>
      <c r="AB3073" s="4">
        <v>3</v>
      </c>
      <c r="AC3073" s="4">
        <v>14</v>
      </c>
      <c r="AD3073" s="4">
        <v>101</v>
      </c>
      <c r="AE3073" s="4">
        <v>147</v>
      </c>
      <c r="AF3073" s="4">
        <v>1</v>
      </c>
      <c r="AG3073" s="4">
        <v>7</v>
      </c>
      <c r="AH3073" s="4">
        <v>79</v>
      </c>
      <c r="AI3073" s="4">
        <v>113</v>
      </c>
      <c r="AJ3073" s="4">
        <v>11</v>
      </c>
      <c r="AK3073" s="4">
        <v>26</v>
      </c>
      <c r="AL3073" s="4">
        <v>48</v>
      </c>
      <c r="AM3073" s="4">
        <v>60</v>
      </c>
      <c r="AN3073" s="4">
        <v>5</v>
      </c>
      <c r="AO3073" s="4">
        <v>5</v>
      </c>
      <c r="AP3073" s="4">
        <v>22</v>
      </c>
      <c r="AQ3073" s="4">
        <v>40</v>
      </c>
      <c r="AR3073" s="3" t="s">
        <v>62</v>
      </c>
      <c r="AS3073" s="3" t="s">
        <v>62</v>
      </c>
      <c r="AT3073" s="3" t="s">
        <v>62</v>
      </c>
      <c r="AU3073" s="6" t="str">
        <f>HYPERLINK("http://catalog.hathitrust.org/Record/000000708","HathiTrust Record")</f>
        <v>HathiTrust Record</v>
      </c>
      <c r="AV3073" s="6" t="str">
        <f>HYPERLINK("http://mcgill.on.worldcat.org/oclc/62569","Catalog Record")</f>
        <v>Catalog Record</v>
      </c>
      <c r="AW3073" s="6" t="str">
        <f>HYPERLINK("http://www.worldcat.org/oclc/62569","WorldCat Record")</f>
        <v>WorldCat Record</v>
      </c>
      <c r="AX3073" s="3" t="s">
        <v>29733</v>
      </c>
      <c r="AY3073" s="3" t="s">
        <v>29744</v>
      </c>
      <c r="AZ3073" s="3" t="s">
        <v>29745</v>
      </c>
      <c r="BA3073" s="3" t="s">
        <v>29745</v>
      </c>
      <c r="BB3073" s="3" t="s">
        <v>29746</v>
      </c>
      <c r="BC3073" s="3" t="s">
        <v>102</v>
      </c>
      <c r="BD3073" s="3" t="s">
        <v>231</v>
      </c>
      <c r="BE3073" s="3" t="s">
        <v>29747</v>
      </c>
      <c r="BF3073" s="3" t="s">
        <v>29746</v>
      </c>
      <c r="BG3073" s="3" t="s">
        <v>29748</v>
      </c>
    </row>
    <row r="3074" spans="1:59" ht="58" x14ac:dyDescent="0.35">
      <c r="A3074" s="2" t="s">
        <v>89</v>
      </c>
      <c r="B3074" s="2" t="s">
        <v>90</v>
      </c>
      <c r="C3074" s="2" t="s">
        <v>29749</v>
      </c>
      <c r="D3074" s="2" t="s">
        <v>29750</v>
      </c>
      <c r="E3074" s="2" t="s">
        <v>29751</v>
      </c>
      <c r="G3074" s="3" t="s">
        <v>62</v>
      </c>
      <c r="I3074" s="3" t="s">
        <v>62</v>
      </c>
      <c r="J3074" s="3" t="s">
        <v>62</v>
      </c>
      <c r="K3074" s="3" t="s">
        <v>7988</v>
      </c>
      <c r="L3074" s="2" t="s">
        <v>29752</v>
      </c>
      <c r="M3074" s="2" t="s">
        <v>29753</v>
      </c>
      <c r="N3074" s="3" t="s">
        <v>9091</v>
      </c>
      <c r="P3074" s="3" t="s">
        <v>64</v>
      </c>
      <c r="R3074" s="3" t="s">
        <v>27443</v>
      </c>
      <c r="S3074" s="4">
        <v>7</v>
      </c>
      <c r="T3074" s="4">
        <v>7</v>
      </c>
      <c r="U3074" s="5" t="s">
        <v>24180</v>
      </c>
      <c r="V3074" s="5" t="s">
        <v>24180</v>
      </c>
      <c r="W3074" s="5" t="s">
        <v>67</v>
      </c>
      <c r="X3074" s="5" t="s">
        <v>67</v>
      </c>
      <c r="Y3074" s="4">
        <v>1</v>
      </c>
      <c r="Z3074" s="4">
        <v>1</v>
      </c>
      <c r="AA3074" s="4">
        <v>3</v>
      </c>
      <c r="AB3074" s="4">
        <v>1</v>
      </c>
      <c r="AC3074" s="4">
        <v>1</v>
      </c>
      <c r="AD3074" s="4">
        <v>0</v>
      </c>
      <c r="AE3074" s="4">
        <v>63</v>
      </c>
      <c r="AF3074" s="4">
        <v>0</v>
      </c>
      <c r="AG3074" s="4">
        <v>0</v>
      </c>
      <c r="AH3074" s="4">
        <v>0</v>
      </c>
      <c r="AI3074" s="4">
        <v>60</v>
      </c>
      <c r="AJ3074" s="4">
        <v>0</v>
      </c>
      <c r="AK3074" s="4">
        <v>1</v>
      </c>
      <c r="AL3074" s="4">
        <v>0</v>
      </c>
      <c r="AM3074" s="4">
        <v>38</v>
      </c>
      <c r="AN3074" s="4">
        <v>0</v>
      </c>
      <c r="AO3074" s="4">
        <v>0</v>
      </c>
      <c r="AP3074" s="4">
        <v>0</v>
      </c>
      <c r="AQ3074" s="4">
        <v>1</v>
      </c>
      <c r="AR3074" s="3" t="s">
        <v>62</v>
      </c>
      <c r="AS3074" s="3" t="s">
        <v>62</v>
      </c>
      <c r="AT3074" s="3" t="s">
        <v>62</v>
      </c>
      <c r="AV3074" s="6" t="str">
        <f>HYPERLINK("http://mcgill.on.worldcat.org/oclc/427497027","Catalog Record")</f>
        <v>Catalog Record</v>
      </c>
      <c r="AW3074" s="6" t="str">
        <f>HYPERLINK("http://www.worldcat.org/oclc/427497027","WorldCat Record")</f>
        <v>WorldCat Record</v>
      </c>
      <c r="AX3074" s="3" t="s">
        <v>29754</v>
      </c>
      <c r="AY3074" s="3" t="s">
        <v>29755</v>
      </c>
      <c r="AZ3074" s="3" t="s">
        <v>29756</v>
      </c>
      <c r="BA3074" s="3" t="s">
        <v>29756</v>
      </c>
      <c r="BB3074" s="3" t="s">
        <v>29757</v>
      </c>
      <c r="BC3074" s="3" t="s">
        <v>102</v>
      </c>
      <c r="BD3074" s="3" t="s">
        <v>231</v>
      </c>
      <c r="BF3074" s="3" t="s">
        <v>29757</v>
      </c>
      <c r="BG3074" s="3" t="s">
        <v>29758</v>
      </c>
    </row>
    <row r="3075" spans="1:59" ht="72.5" x14ac:dyDescent="0.35">
      <c r="A3075" s="2" t="s">
        <v>59</v>
      </c>
      <c r="B3075" s="2" t="s">
        <v>60</v>
      </c>
      <c r="C3075" s="2" t="s">
        <v>29759</v>
      </c>
      <c r="D3075" s="2" t="s">
        <v>29760</v>
      </c>
      <c r="E3075" s="2" t="s">
        <v>29761</v>
      </c>
      <c r="G3075" s="3" t="s">
        <v>62</v>
      </c>
      <c r="I3075" s="3" t="s">
        <v>61</v>
      </c>
      <c r="J3075" s="3" t="s">
        <v>62</v>
      </c>
      <c r="K3075" s="3" t="s">
        <v>25097</v>
      </c>
      <c r="L3075" s="2" t="s">
        <v>29762</v>
      </c>
      <c r="M3075" s="2" t="s">
        <v>29763</v>
      </c>
      <c r="N3075" s="3" t="s">
        <v>9051</v>
      </c>
      <c r="P3075" s="3" t="s">
        <v>64</v>
      </c>
      <c r="R3075" s="3" t="s">
        <v>27443</v>
      </c>
      <c r="S3075" s="4">
        <v>0</v>
      </c>
      <c r="T3075" s="4">
        <v>3</v>
      </c>
      <c r="V3075" s="5" t="s">
        <v>29764</v>
      </c>
      <c r="W3075" s="5" t="s">
        <v>67</v>
      </c>
      <c r="X3075" s="5" t="s">
        <v>67</v>
      </c>
      <c r="Y3075" s="4">
        <v>293</v>
      </c>
      <c r="Z3075" s="4">
        <v>7</v>
      </c>
      <c r="AA3075" s="4">
        <v>27</v>
      </c>
      <c r="AB3075" s="4">
        <v>1</v>
      </c>
      <c r="AC3075" s="4">
        <v>2</v>
      </c>
      <c r="AD3075" s="4">
        <v>85</v>
      </c>
      <c r="AE3075" s="4">
        <v>111</v>
      </c>
      <c r="AF3075" s="4">
        <v>0</v>
      </c>
      <c r="AG3075" s="4">
        <v>1</v>
      </c>
      <c r="AH3075" s="4">
        <v>82</v>
      </c>
      <c r="AI3075" s="4">
        <v>101</v>
      </c>
      <c r="AJ3075" s="4">
        <v>5</v>
      </c>
      <c r="AK3075" s="4">
        <v>17</v>
      </c>
      <c r="AL3075" s="4">
        <v>44</v>
      </c>
      <c r="AM3075" s="4">
        <v>51</v>
      </c>
      <c r="AN3075" s="4">
        <v>0</v>
      </c>
      <c r="AO3075" s="4">
        <v>0</v>
      </c>
      <c r="AP3075" s="4">
        <v>5</v>
      </c>
      <c r="AQ3075" s="4">
        <v>18</v>
      </c>
      <c r="AR3075" s="3" t="s">
        <v>62</v>
      </c>
      <c r="AS3075" s="3" t="s">
        <v>61</v>
      </c>
      <c r="AT3075" s="3" t="s">
        <v>62</v>
      </c>
      <c r="AU3075" s="6" t="str">
        <f>HYPERLINK("http://catalog.hathitrust.org/Record/001481337","HathiTrust Record")</f>
        <v>HathiTrust Record</v>
      </c>
      <c r="AV3075" s="6" t="str">
        <f>HYPERLINK("http://mcgill.on.worldcat.org/oclc/630954","Catalog Record")</f>
        <v>Catalog Record</v>
      </c>
      <c r="AW3075" s="6" t="str">
        <f>HYPERLINK("http://www.worldcat.org/oclc/630954","WorldCat Record")</f>
        <v>WorldCat Record</v>
      </c>
      <c r="AX3075" s="3" t="s">
        <v>29765</v>
      </c>
      <c r="AY3075" s="3" t="s">
        <v>29766</v>
      </c>
      <c r="AZ3075" s="3" t="s">
        <v>29767</v>
      </c>
      <c r="BA3075" s="3" t="s">
        <v>29767</v>
      </c>
      <c r="BB3075" s="3" t="s">
        <v>29768</v>
      </c>
      <c r="BC3075" s="3" t="s">
        <v>102</v>
      </c>
      <c r="BD3075" s="3" t="s">
        <v>68</v>
      </c>
      <c r="BF3075" s="3" t="s">
        <v>29768</v>
      </c>
      <c r="BG3075" s="3" t="s">
        <v>29769</v>
      </c>
    </row>
    <row r="3076" spans="1:59" ht="58" x14ac:dyDescent="0.35">
      <c r="A3076" s="2" t="s">
        <v>59</v>
      </c>
      <c r="B3076" s="2" t="s">
        <v>60</v>
      </c>
      <c r="C3076" s="2" t="s">
        <v>29770</v>
      </c>
      <c r="D3076" s="2" t="s">
        <v>29771</v>
      </c>
      <c r="E3076" s="2" t="s">
        <v>29772</v>
      </c>
      <c r="G3076" s="3" t="s">
        <v>62</v>
      </c>
      <c r="I3076" s="3" t="s">
        <v>62</v>
      </c>
      <c r="J3076" s="3" t="s">
        <v>61</v>
      </c>
      <c r="K3076" s="3" t="s">
        <v>63</v>
      </c>
      <c r="L3076" s="2" t="s">
        <v>29773</v>
      </c>
      <c r="M3076" s="2" t="s">
        <v>29774</v>
      </c>
      <c r="N3076" s="3" t="s">
        <v>838</v>
      </c>
      <c r="O3076" s="2" t="s">
        <v>21546</v>
      </c>
      <c r="P3076" s="3" t="s">
        <v>64</v>
      </c>
      <c r="R3076" s="3" t="s">
        <v>27443</v>
      </c>
      <c r="S3076" s="4">
        <v>4</v>
      </c>
      <c r="T3076" s="4">
        <v>4</v>
      </c>
      <c r="U3076" s="5" t="s">
        <v>18411</v>
      </c>
      <c r="V3076" s="5" t="s">
        <v>18411</v>
      </c>
      <c r="W3076" s="5" t="s">
        <v>67</v>
      </c>
      <c r="X3076" s="5" t="s">
        <v>67</v>
      </c>
      <c r="Y3076" s="4">
        <v>126</v>
      </c>
      <c r="Z3076" s="4">
        <v>14</v>
      </c>
      <c r="AA3076" s="4">
        <v>43</v>
      </c>
      <c r="AB3076" s="4">
        <v>1</v>
      </c>
      <c r="AC3076" s="4">
        <v>5</v>
      </c>
      <c r="AD3076" s="4">
        <v>25</v>
      </c>
      <c r="AE3076" s="4">
        <v>133</v>
      </c>
      <c r="AF3076" s="4">
        <v>0</v>
      </c>
      <c r="AG3076" s="4">
        <v>4</v>
      </c>
      <c r="AH3076" s="4">
        <v>21</v>
      </c>
      <c r="AI3076" s="4">
        <v>110</v>
      </c>
      <c r="AJ3076" s="4">
        <v>9</v>
      </c>
      <c r="AK3076" s="4">
        <v>22</v>
      </c>
      <c r="AL3076" s="4">
        <v>13</v>
      </c>
      <c r="AM3076" s="4">
        <v>60</v>
      </c>
      <c r="AN3076" s="4">
        <v>0</v>
      </c>
      <c r="AO3076" s="4">
        <v>2</v>
      </c>
      <c r="AP3076" s="4">
        <v>9</v>
      </c>
      <c r="AQ3076" s="4">
        <v>28</v>
      </c>
      <c r="AR3076" s="3" t="s">
        <v>62</v>
      </c>
      <c r="AS3076" s="3" t="s">
        <v>62</v>
      </c>
      <c r="AT3076" s="3" t="s">
        <v>61</v>
      </c>
      <c r="AU3076" s="6" t="str">
        <f>HYPERLINK("http://catalog.hathitrust.org/Record/001481338","HathiTrust Record")</f>
        <v>HathiTrust Record</v>
      </c>
      <c r="AV3076" s="6" t="str">
        <f>HYPERLINK("http://mcgill.on.worldcat.org/oclc/1653488","Catalog Record")</f>
        <v>Catalog Record</v>
      </c>
      <c r="AW3076" s="6" t="str">
        <f>HYPERLINK("http://www.worldcat.org/oclc/1653488","WorldCat Record")</f>
        <v>WorldCat Record</v>
      </c>
      <c r="AX3076" s="3" t="s">
        <v>29775</v>
      </c>
      <c r="AY3076" s="3" t="s">
        <v>29776</v>
      </c>
      <c r="AZ3076" s="3" t="s">
        <v>29777</v>
      </c>
      <c r="BA3076" s="3" t="s">
        <v>29777</v>
      </c>
      <c r="BB3076" s="3" t="s">
        <v>29778</v>
      </c>
      <c r="BC3076" s="3" t="s">
        <v>102</v>
      </c>
      <c r="BD3076" s="3" t="s">
        <v>68</v>
      </c>
      <c r="BF3076" s="3" t="s">
        <v>29778</v>
      </c>
      <c r="BG3076" s="3" t="s">
        <v>29779</v>
      </c>
    </row>
    <row r="3077" spans="1:59" ht="72.5" x14ac:dyDescent="0.35">
      <c r="A3077" s="2" t="s">
        <v>89</v>
      </c>
      <c r="B3077" s="2" t="s">
        <v>1231</v>
      </c>
      <c r="C3077" s="2" t="s">
        <v>29780</v>
      </c>
      <c r="D3077" s="2" t="s">
        <v>29781</v>
      </c>
      <c r="E3077" s="2" t="s">
        <v>29782</v>
      </c>
      <c r="G3077" s="3" t="s">
        <v>62</v>
      </c>
      <c r="I3077" s="3" t="s">
        <v>62</v>
      </c>
      <c r="J3077" s="3" t="s">
        <v>62</v>
      </c>
      <c r="K3077" s="3" t="s">
        <v>63</v>
      </c>
      <c r="L3077" s="2" t="s">
        <v>29783</v>
      </c>
      <c r="M3077" s="2" t="s">
        <v>29784</v>
      </c>
      <c r="N3077" s="3" t="s">
        <v>327</v>
      </c>
      <c r="P3077" s="3" t="s">
        <v>64</v>
      </c>
      <c r="R3077" s="3" t="s">
        <v>27443</v>
      </c>
      <c r="S3077" s="4">
        <v>5</v>
      </c>
      <c r="T3077" s="4">
        <v>5</v>
      </c>
      <c r="U3077" s="5" t="s">
        <v>9622</v>
      </c>
      <c r="V3077" s="5" t="s">
        <v>9622</v>
      </c>
      <c r="W3077" s="5" t="s">
        <v>67</v>
      </c>
      <c r="X3077" s="5" t="s">
        <v>67</v>
      </c>
      <c r="Y3077" s="4">
        <v>41</v>
      </c>
      <c r="Z3077" s="4">
        <v>3</v>
      </c>
      <c r="AA3077" s="4">
        <v>41</v>
      </c>
      <c r="AB3077" s="4">
        <v>1</v>
      </c>
      <c r="AC3077" s="4">
        <v>6</v>
      </c>
      <c r="AD3077" s="4">
        <v>11</v>
      </c>
      <c r="AE3077" s="4">
        <v>108</v>
      </c>
      <c r="AF3077" s="4">
        <v>0</v>
      </c>
      <c r="AG3077" s="4">
        <v>4</v>
      </c>
      <c r="AH3077" s="4">
        <v>11</v>
      </c>
      <c r="AI3077" s="4">
        <v>82</v>
      </c>
      <c r="AJ3077" s="4">
        <v>1</v>
      </c>
      <c r="AK3077" s="4">
        <v>13</v>
      </c>
      <c r="AL3077" s="4">
        <v>8</v>
      </c>
      <c r="AM3077" s="4">
        <v>49</v>
      </c>
      <c r="AN3077" s="4">
        <v>0</v>
      </c>
      <c r="AO3077" s="4">
        <v>0</v>
      </c>
      <c r="AP3077" s="4">
        <v>1</v>
      </c>
      <c r="AQ3077" s="4">
        <v>25</v>
      </c>
      <c r="AR3077" s="3" t="s">
        <v>62</v>
      </c>
      <c r="AS3077" s="3" t="s">
        <v>62</v>
      </c>
      <c r="AT3077" s="3" t="s">
        <v>62</v>
      </c>
      <c r="AV3077" s="6" t="str">
        <f>HYPERLINK("http://mcgill.on.worldcat.org/oclc/9763459","Catalog Record")</f>
        <v>Catalog Record</v>
      </c>
      <c r="AW3077" s="6" t="str">
        <f>HYPERLINK("http://www.worldcat.org/oclc/9763459","WorldCat Record")</f>
        <v>WorldCat Record</v>
      </c>
      <c r="AX3077" s="3" t="s">
        <v>29785</v>
      </c>
      <c r="AY3077" s="3" t="s">
        <v>29786</v>
      </c>
      <c r="AZ3077" s="3" t="s">
        <v>29787</v>
      </c>
      <c r="BA3077" s="3" t="s">
        <v>29787</v>
      </c>
      <c r="BB3077" s="3" t="s">
        <v>29788</v>
      </c>
      <c r="BC3077" s="3" t="s">
        <v>102</v>
      </c>
      <c r="BD3077" s="3" t="s">
        <v>231</v>
      </c>
      <c r="BE3077" s="3" t="s">
        <v>29789</v>
      </c>
      <c r="BF3077" s="3" t="s">
        <v>29788</v>
      </c>
      <c r="BG3077" s="3" t="s">
        <v>29790</v>
      </c>
    </row>
    <row r="3078" spans="1:59" ht="72.5" x14ac:dyDescent="0.35">
      <c r="A3078" s="2" t="s">
        <v>89</v>
      </c>
      <c r="B3078" s="2" t="s">
        <v>1231</v>
      </c>
      <c r="C3078" s="2" t="s">
        <v>29791</v>
      </c>
      <c r="D3078" s="2" t="s">
        <v>29792</v>
      </c>
      <c r="E3078" s="2" t="s">
        <v>29793</v>
      </c>
      <c r="G3078" s="3" t="s">
        <v>62</v>
      </c>
      <c r="I3078" s="3" t="s">
        <v>62</v>
      </c>
      <c r="J3078" s="3" t="s">
        <v>62</v>
      </c>
      <c r="K3078" s="3" t="s">
        <v>63</v>
      </c>
      <c r="M3078" s="2" t="s">
        <v>29794</v>
      </c>
      <c r="N3078" s="3" t="s">
        <v>1038</v>
      </c>
      <c r="P3078" s="3" t="s">
        <v>64</v>
      </c>
      <c r="Q3078" s="2" t="s">
        <v>29795</v>
      </c>
      <c r="R3078" s="3" t="s">
        <v>27443</v>
      </c>
      <c r="S3078" s="4">
        <v>1</v>
      </c>
      <c r="T3078" s="4">
        <v>1</v>
      </c>
      <c r="U3078" s="5" t="s">
        <v>13499</v>
      </c>
      <c r="V3078" s="5" t="s">
        <v>13499</v>
      </c>
      <c r="W3078" s="5" t="s">
        <v>67</v>
      </c>
      <c r="X3078" s="5" t="s">
        <v>67</v>
      </c>
      <c r="Y3078" s="4">
        <v>59</v>
      </c>
      <c r="Z3078" s="4">
        <v>3</v>
      </c>
      <c r="AA3078" s="4">
        <v>4</v>
      </c>
      <c r="AB3078" s="4">
        <v>1</v>
      </c>
      <c r="AC3078" s="4">
        <v>2</v>
      </c>
      <c r="AD3078" s="4">
        <v>22</v>
      </c>
      <c r="AE3078" s="4">
        <v>22</v>
      </c>
      <c r="AF3078" s="4">
        <v>0</v>
      </c>
      <c r="AG3078" s="4">
        <v>0</v>
      </c>
      <c r="AH3078" s="4">
        <v>21</v>
      </c>
      <c r="AI3078" s="4">
        <v>21</v>
      </c>
      <c r="AJ3078" s="4">
        <v>2</v>
      </c>
      <c r="AK3078" s="4">
        <v>2</v>
      </c>
      <c r="AL3078" s="4">
        <v>13</v>
      </c>
      <c r="AM3078" s="4">
        <v>13</v>
      </c>
      <c r="AN3078" s="4">
        <v>0</v>
      </c>
      <c r="AO3078" s="4">
        <v>0</v>
      </c>
      <c r="AP3078" s="4">
        <v>2</v>
      </c>
      <c r="AQ3078" s="4">
        <v>2</v>
      </c>
      <c r="AR3078" s="3" t="s">
        <v>62</v>
      </c>
      <c r="AS3078" s="3" t="s">
        <v>62</v>
      </c>
      <c r="AT3078" s="3" t="s">
        <v>62</v>
      </c>
      <c r="AV3078" s="6" t="str">
        <f>HYPERLINK("http://mcgill.on.worldcat.org/oclc/946463555","Catalog Record")</f>
        <v>Catalog Record</v>
      </c>
      <c r="AW3078" s="6" t="str">
        <f>HYPERLINK("http://www.worldcat.org/oclc/946463555","WorldCat Record")</f>
        <v>WorldCat Record</v>
      </c>
      <c r="AX3078" s="3" t="s">
        <v>29796</v>
      </c>
      <c r="AY3078" s="3" t="s">
        <v>29797</v>
      </c>
      <c r="AZ3078" s="3" t="s">
        <v>29798</v>
      </c>
      <c r="BA3078" s="3" t="s">
        <v>29798</v>
      </c>
      <c r="BB3078" s="3" t="s">
        <v>29799</v>
      </c>
      <c r="BC3078" s="3" t="s">
        <v>102</v>
      </c>
      <c r="BD3078" s="3" t="s">
        <v>68</v>
      </c>
      <c r="BE3078" s="3" t="s">
        <v>29800</v>
      </c>
      <c r="BF3078" s="3" t="s">
        <v>29799</v>
      </c>
      <c r="BG3078" s="3" t="s">
        <v>29801</v>
      </c>
    </row>
    <row r="3079" spans="1:59" ht="58" x14ac:dyDescent="0.35">
      <c r="A3079" s="2" t="s">
        <v>89</v>
      </c>
      <c r="B3079" s="2" t="s">
        <v>90</v>
      </c>
      <c r="C3079" s="2" t="s">
        <v>29802</v>
      </c>
      <c r="D3079" s="2" t="s">
        <v>29803</v>
      </c>
      <c r="E3079" s="2" t="s">
        <v>29804</v>
      </c>
      <c r="G3079" s="3" t="s">
        <v>62</v>
      </c>
      <c r="I3079" s="3" t="s">
        <v>62</v>
      </c>
      <c r="J3079" s="3" t="s">
        <v>62</v>
      </c>
      <c r="K3079" s="3" t="s">
        <v>63</v>
      </c>
      <c r="L3079" s="2" t="s">
        <v>29805</v>
      </c>
      <c r="M3079" s="2" t="s">
        <v>29806</v>
      </c>
      <c r="N3079" s="3" t="s">
        <v>29807</v>
      </c>
      <c r="O3079" s="2" t="s">
        <v>2986</v>
      </c>
      <c r="P3079" s="3" t="s">
        <v>64</v>
      </c>
      <c r="R3079" s="3" t="s">
        <v>27443</v>
      </c>
      <c r="S3079" s="4">
        <v>4</v>
      </c>
      <c r="T3079" s="4">
        <v>4</v>
      </c>
      <c r="U3079" s="5" t="s">
        <v>6903</v>
      </c>
      <c r="V3079" s="5" t="s">
        <v>6903</v>
      </c>
      <c r="W3079" s="5" t="s">
        <v>67</v>
      </c>
      <c r="X3079" s="5" t="s">
        <v>67</v>
      </c>
      <c r="Y3079" s="4">
        <v>4</v>
      </c>
      <c r="Z3079" s="4">
        <v>2</v>
      </c>
      <c r="AA3079" s="4">
        <v>2</v>
      </c>
      <c r="AB3079" s="4">
        <v>1</v>
      </c>
      <c r="AC3079" s="4">
        <v>1</v>
      </c>
      <c r="AD3079" s="4">
        <v>1</v>
      </c>
      <c r="AE3079" s="4">
        <v>1</v>
      </c>
      <c r="AF3079" s="4">
        <v>0</v>
      </c>
      <c r="AG3079" s="4">
        <v>0</v>
      </c>
      <c r="AH3079" s="4">
        <v>1</v>
      </c>
      <c r="AI3079" s="4">
        <v>1</v>
      </c>
      <c r="AJ3079" s="4">
        <v>1</v>
      </c>
      <c r="AK3079" s="4">
        <v>1</v>
      </c>
      <c r="AL3079" s="4">
        <v>0</v>
      </c>
      <c r="AM3079" s="4">
        <v>0</v>
      </c>
      <c r="AN3079" s="4">
        <v>0</v>
      </c>
      <c r="AO3079" s="4">
        <v>0</v>
      </c>
      <c r="AP3079" s="4">
        <v>1</v>
      </c>
      <c r="AQ3079" s="4">
        <v>1</v>
      </c>
      <c r="AR3079" s="3" t="s">
        <v>62</v>
      </c>
      <c r="AS3079" s="3" t="s">
        <v>62</v>
      </c>
      <c r="AT3079" s="3" t="s">
        <v>62</v>
      </c>
      <c r="AV3079" s="6" t="str">
        <f>HYPERLINK("http://mcgill.on.worldcat.org/oclc/931786678","Catalog Record")</f>
        <v>Catalog Record</v>
      </c>
      <c r="AW3079" s="6" t="str">
        <f>HYPERLINK("http://www.worldcat.org/oclc/931786678","WorldCat Record")</f>
        <v>WorldCat Record</v>
      </c>
      <c r="AX3079" s="3" t="s">
        <v>29808</v>
      </c>
      <c r="AY3079" s="3" t="s">
        <v>29809</v>
      </c>
      <c r="AZ3079" s="3" t="s">
        <v>29810</v>
      </c>
      <c r="BA3079" s="3" t="s">
        <v>29810</v>
      </c>
      <c r="BB3079" s="3" t="s">
        <v>29811</v>
      </c>
      <c r="BC3079" s="3" t="s">
        <v>102</v>
      </c>
      <c r="BD3079" s="3" t="s">
        <v>68</v>
      </c>
      <c r="BF3079" s="3" t="s">
        <v>29811</v>
      </c>
      <c r="BG3079" s="3" t="s">
        <v>29812</v>
      </c>
    </row>
    <row r="3080" spans="1:59" ht="58" x14ac:dyDescent="0.35">
      <c r="A3080" s="2" t="s">
        <v>89</v>
      </c>
      <c r="B3080" s="2" t="s">
        <v>90</v>
      </c>
      <c r="C3080" s="2" t="s">
        <v>29813</v>
      </c>
      <c r="D3080" s="2" t="s">
        <v>29814</v>
      </c>
      <c r="E3080" s="2" t="s">
        <v>29815</v>
      </c>
      <c r="G3080" s="3" t="s">
        <v>62</v>
      </c>
      <c r="I3080" s="3" t="s">
        <v>61</v>
      </c>
      <c r="J3080" s="3" t="s">
        <v>62</v>
      </c>
      <c r="K3080" s="3" t="s">
        <v>63</v>
      </c>
      <c r="L3080" s="2" t="s">
        <v>29816</v>
      </c>
      <c r="M3080" s="2" t="s">
        <v>29817</v>
      </c>
      <c r="N3080" s="3" t="s">
        <v>2702</v>
      </c>
      <c r="P3080" s="3" t="s">
        <v>64</v>
      </c>
      <c r="Q3080" s="2" t="s">
        <v>29818</v>
      </c>
      <c r="R3080" s="3" t="s">
        <v>27443</v>
      </c>
      <c r="S3080" s="4">
        <v>8</v>
      </c>
      <c r="T3080" s="4">
        <v>22</v>
      </c>
      <c r="U3080" s="5" t="s">
        <v>18455</v>
      </c>
      <c r="V3080" s="5" t="s">
        <v>18455</v>
      </c>
      <c r="W3080" s="5" t="s">
        <v>67</v>
      </c>
      <c r="X3080" s="5" t="s">
        <v>67</v>
      </c>
      <c r="Y3080" s="4">
        <v>150</v>
      </c>
      <c r="Z3080" s="4">
        <v>11</v>
      </c>
      <c r="AA3080" s="4">
        <v>12</v>
      </c>
      <c r="AB3080" s="4">
        <v>1</v>
      </c>
      <c r="AC3080" s="4">
        <v>2</v>
      </c>
      <c r="AD3080" s="4">
        <v>68</v>
      </c>
      <c r="AE3080" s="4">
        <v>69</v>
      </c>
      <c r="AF3080" s="4">
        <v>0</v>
      </c>
      <c r="AG3080" s="4">
        <v>1</v>
      </c>
      <c r="AH3080" s="4">
        <v>61</v>
      </c>
      <c r="AI3080" s="4">
        <v>61</v>
      </c>
      <c r="AJ3080" s="4">
        <v>7</v>
      </c>
      <c r="AK3080" s="4">
        <v>8</v>
      </c>
      <c r="AL3080" s="4">
        <v>38</v>
      </c>
      <c r="AM3080" s="4">
        <v>38</v>
      </c>
      <c r="AN3080" s="4">
        <v>0</v>
      </c>
      <c r="AO3080" s="4">
        <v>0</v>
      </c>
      <c r="AP3080" s="4">
        <v>7</v>
      </c>
      <c r="AQ3080" s="4">
        <v>8</v>
      </c>
      <c r="AR3080" s="3" t="s">
        <v>62</v>
      </c>
      <c r="AS3080" s="3" t="s">
        <v>62</v>
      </c>
      <c r="AT3080" s="3" t="s">
        <v>62</v>
      </c>
      <c r="AV3080" s="6" t="str">
        <f>HYPERLINK("http://mcgill.on.worldcat.org/oclc/612693","Catalog Record")</f>
        <v>Catalog Record</v>
      </c>
      <c r="AW3080" s="6" t="str">
        <f>HYPERLINK("http://www.worldcat.org/oclc/612693","WorldCat Record")</f>
        <v>WorldCat Record</v>
      </c>
      <c r="AX3080" s="3" t="s">
        <v>29819</v>
      </c>
      <c r="AY3080" s="3" t="s">
        <v>29820</v>
      </c>
      <c r="AZ3080" s="3" t="s">
        <v>29821</v>
      </c>
      <c r="BA3080" s="3" t="s">
        <v>29821</v>
      </c>
      <c r="BB3080" s="3" t="s">
        <v>29822</v>
      </c>
      <c r="BC3080" s="3" t="s">
        <v>102</v>
      </c>
      <c r="BD3080" s="3" t="s">
        <v>231</v>
      </c>
      <c r="BF3080" s="3" t="s">
        <v>29822</v>
      </c>
      <c r="BG3080" s="3" t="s">
        <v>29823</v>
      </c>
    </row>
    <row r="3081" spans="1:59" ht="58" x14ac:dyDescent="0.35">
      <c r="A3081" s="2" t="s">
        <v>89</v>
      </c>
      <c r="B3081" s="2" t="s">
        <v>90</v>
      </c>
      <c r="C3081" s="2" t="s">
        <v>29824</v>
      </c>
      <c r="D3081" s="2" t="s">
        <v>29825</v>
      </c>
      <c r="E3081" s="2" t="s">
        <v>29826</v>
      </c>
      <c r="G3081" s="3" t="s">
        <v>62</v>
      </c>
      <c r="I3081" s="3" t="s">
        <v>61</v>
      </c>
      <c r="J3081" s="3" t="s">
        <v>62</v>
      </c>
      <c r="K3081" s="3" t="s">
        <v>63</v>
      </c>
      <c r="L3081" s="2" t="s">
        <v>29827</v>
      </c>
      <c r="M3081" s="2" t="s">
        <v>29828</v>
      </c>
      <c r="N3081" s="3" t="s">
        <v>1064</v>
      </c>
      <c r="P3081" s="3" t="s">
        <v>64</v>
      </c>
      <c r="R3081" s="3" t="s">
        <v>27443</v>
      </c>
      <c r="S3081" s="4">
        <v>10</v>
      </c>
      <c r="T3081" s="4">
        <v>22</v>
      </c>
      <c r="U3081" s="5" t="s">
        <v>29829</v>
      </c>
      <c r="V3081" s="5" t="s">
        <v>7448</v>
      </c>
      <c r="W3081" s="5" t="s">
        <v>67</v>
      </c>
      <c r="X3081" s="5" t="s">
        <v>67</v>
      </c>
      <c r="Y3081" s="4">
        <v>465</v>
      </c>
      <c r="Z3081" s="4">
        <v>32</v>
      </c>
      <c r="AA3081" s="4">
        <v>38</v>
      </c>
      <c r="AB3081" s="4">
        <v>2</v>
      </c>
      <c r="AC3081" s="4">
        <v>4</v>
      </c>
      <c r="AD3081" s="4">
        <v>96</v>
      </c>
      <c r="AE3081" s="4">
        <v>117</v>
      </c>
      <c r="AF3081" s="4">
        <v>1</v>
      </c>
      <c r="AG3081" s="4">
        <v>3</v>
      </c>
      <c r="AH3081" s="4">
        <v>82</v>
      </c>
      <c r="AI3081" s="4">
        <v>99</v>
      </c>
      <c r="AJ3081" s="4">
        <v>15</v>
      </c>
      <c r="AK3081" s="4">
        <v>19</v>
      </c>
      <c r="AL3081" s="4">
        <v>44</v>
      </c>
      <c r="AM3081" s="4">
        <v>54</v>
      </c>
      <c r="AN3081" s="4">
        <v>0</v>
      </c>
      <c r="AO3081" s="4">
        <v>0</v>
      </c>
      <c r="AP3081" s="4">
        <v>19</v>
      </c>
      <c r="AQ3081" s="4">
        <v>24</v>
      </c>
      <c r="AR3081" s="3" t="s">
        <v>62</v>
      </c>
      <c r="AS3081" s="3" t="s">
        <v>62</v>
      </c>
      <c r="AT3081" s="3" t="s">
        <v>62</v>
      </c>
      <c r="AV3081" s="6" t="str">
        <f>HYPERLINK("http://mcgill.on.worldcat.org/oclc/277202","Catalog Record")</f>
        <v>Catalog Record</v>
      </c>
      <c r="AW3081" s="6" t="str">
        <f>HYPERLINK("http://www.worldcat.org/oclc/277202","WorldCat Record")</f>
        <v>WorldCat Record</v>
      </c>
      <c r="AX3081" s="3" t="s">
        <v>29830</v>
      </c>
      <c r="AY3081" s="3" t="s">
        <v>29831</v>
      </c>
      <c r="AZ3081" s="3" t="s">
        <v>29832</v>
      </c>
      <c r="BA3081" s="3" t="s">
        <v>29832</v>
      </c>
      <c r="BB3081" s="3" t="s">
        <v>29833</v>
      </c>
      <c r="BC3081" s="3" t="s">
        <v>102</v>
      </c>
      <c r="BD3081" s="3" t="s">
        <v>231</v>
      </c>
      <c r="BE3081" s="3" t="s">
        <v>29834</v>
      </c>
      <c r="BF3081" s="3" t="s">
        <v>29833</v>
      </c>
      <c r="BG3081" s="3" t="s">
        <v>29835</v>
      </c>
    </row>
    <row r="3082" spans="1:59" ht="58" x14ac:dyDescent="0.35">
      <c r="A3082" s="2" t="s">
        <v>89</v>
      </c>
      <c r="B3082" s="2" t="s">
        <v>90</v>
      </c>
      <c r="C3082" s="2" t="s">
        <v>29836</v>
      </c>
      <c r="D3082" s="2" t="s">
        <v>29837</v>
      </c>
      <c r="E3082" s="2" t="s">
        <v>29838</v>
      </c>
      <c r="F3082" s="3" t="s">
        <v>2237</v>
      </c>
      <c r="G3082" s="3" t="s">
        <v>61</v>
      </c>
      <c r="I3082" s="3" t="s">
        <v>62</v>
      </c>
      <c r="J3082" s="3" t="s">
        <v>62</v>
      </c>
      <c r="K3082" s="3" t="s">
        <v>63</v>
      </c>
      <c r="L3082" s="2" t="s">
        <v>29839</v>
      </c>
      <c r="M3082" s="2" t="s">
        <v>29840</v>
      </c>
      <c r="N3082" s="3" t="s">
        <v>81</v>
      </c>
      <c r="P3082" s="3" t="s">
        <v>1078</v>
      </c>
      <c r="Q3082" s="2" t="s">
        <v>29841</v>
      </c>
      <c r="R3082" s="3" t="s">
        <v>27443</v>
      </c>
      <c r="S3082" s="4">
        <v>2</v>
      </c>
      <c r="T3082" s="4">
        <v>3</v>
      </c>
      <c r="U3082" s="5" t="s">
        <v>5074</v>
      </c>
      <c r="V3082" s="5" t="s">
        <v>5074</v>
      </c>
      <c r="W3082" s="5" t="s">
        <v>67</v>
      </c>
      <c r="X3082" s="5" t="s">
        <v>67</v>
      </c>
      <c r="Y3082" s="4">
        <v>44</v>
      </c>
      <c r="Z3082" s="4">
        <v>4</v>
      </c>
      <c r="AA3082" s="4">
        <v>5</v>
      </c>
      <c r="AB3082" s="4">
        <v>1</v>
      </c>
      <c r="AC3082" s="4">
        <v>1</v>
      </c>
      <c r="AD3082" s="4">
        <v>19</v>
      </c>
      <c r="AE3082" s="4">
        <v>21</v>
      </c>
      <c r="AF3082" s="4">
        <v>0</v>
      </c>
      <c r="AG3082" s="4">
        <v>0</v>
      </c>
      <c r="AH3082" s="4">
        <v>16</v>
      </c>
      <c r="AI3082" s="4">
        <v>18</v>
      </c>
      <c r="AJ3082" s="4">
        <v>3</v>
      </c>
      <c r="AK3082" s="4">
        <v>4</v>
      </c>
      <c r="AL3082" s="4">
        <v>10</v>
      </c>
      <c r="AM3082" s="4">
        <v>11</v>
      </c>
      <c r="AN3082" s="4">
        <v>0</v>
      </c>
      <c r="AO3082" s="4">
        <v>0</v>
      </c>
      <c r="AP3082" s="4">
        <v>2</v>
      </c>
      <c r="AQ3082" s="4">
        <v>3</v>
      </c>
      <c r="AR3082" s="3" t="s">
        <v>62</v>
      </c>
      <c r="AS3082" s="3" t="s">
        <v>62</v>
      </c>
      <c r="AT3082" s="3" t="s">
        <v>61</v>
      </c>
      <c r="AU3082" s="6" t="str">
        <f>HYPERLINK("http://catalog.hathitrust.org/Record/010587471","HathiTrust Record")</f>
        <v>HathiTrust Record</v>
      </c>
      <c r="AV3082" s="6" t="str">
        <f>HYPERLINK("http://mcgill.on.worldcat.org/oclc/2495280","Catalog Record")</f>
        <v>Catalog Record</v>
      </c>
      <c r="AW3082" s="6" t="str">
        <f>HYPERLINK("http://www.worldcat.org/oclc/2495280","WorldCat Record")</f>
        <v>WorldCat Record</v>
      </c>
      <c r="AX3082" s="3" t="s">
        <v>29842</v>
      </c>
      <c r="AY3082" s="3" t="s">
        <v>29843</v>
      </c>
      <c r="AZ3082" s="3" t="s">
        <v>29844</v>
      </c>
      <c r="BA3082" s="3" t="s">
        <v>29844</v>
      </c>
      <c r="BB3082" s="3" t="s">
        <v>29845</v>
      </c>
      <c r="BC3082" s="3" t="s">
        <v>102</v>
      </c>
      <c r="BD3082" s="3" t="s">
        <v>68</v>
      </c>
      <c r="BF3082" s="3" t="s">
        <v>29845</v>
      </c>
      <c r="BG3082" s="3" t="s">
        <v>29846</v>
      </c>
    </row>
    <row r="3083" spans="1:59" ht="58" x14ac:dyDescent="0.35">
      <c r="A3083" s="2" t="s">
        <v>89</v>
      </c>
      <c r="B3083" s="2" t="s">
        <v>90</v>
      </c>
      <c r="C3083" s="2" t="s">
        <v>29836</v>
      </c>
      <c r="D3083" s="2" t="s">
        <v>29837</v>
      </c>
      <c r="E3083" s="2" t="s">
        <v>29838</v>
      </c>
      <c r="F3083" s="3" t="s">
        <v>2241</v>
      </c>
      <c r="G3083" s="3" t="s">
        <v>61</v>
      </c>
      <c r="I3083" s="3" t="s">
        <v>62</v>
      </c>
      <c r="J3083" s="3" t="s">
        <v>62</v>
      </c>
      <c r="K3083" s="3" t="s">
        <v>63</v>
      </c>
      <c r="L3083" s="2" t="s">
        <v>29839</v>
      </c>
      <c r="M3083" s="2" t="s">
        <v>29840</v>
      </c>
      <c r="N3083" s="3" t="s">
        <v>81</v>
      </c>
      <c r="P3083" s="3" t="s">
        <v>1078</v>
      </c>
      <c r="Q3083" s="2" t="s">
        <v>29841</v>
      </c>
      <c r="R3083" s="3" t="s">
        <v>27443</v>
      </c>
      <c r="S3083" s="4">
        <v>1</v>
      </c>
      <c r="T3083" s="4">
        <v>3</v>
      </c>
      <c r="U3083" s="5" t="s">
        <v>5074</v>
      </c>
      <c r="V3083" s="5" t="s">
        <v>5074</v>
      </c>
      <c r="W3083" s="5" t="s">
        <v>67</v>
      </c>
      <c r="X3083" s="5" t="s">
        <v>67</v>
      </c>
      <c r="Y3083" s="4">
        <v>44</v>
      </c>
      <c r="Z3083" s="4">
        <v>4</v>
      </c>
      <c r="AA3083" s="4">
        <v>5</v>
      </c>
      <c r="AB3083" s="4">
        <v>1</v>
      </c>
      <c r="AC3083" s="4">
        <v>1</v>
      </c>
      <c r="AD3083" s="4">
        <v>19</v>
      </c>
      <c r="AE3083" s="4">
        <v>21</v>
      </c>
      <c r="AF3083" s="4">
        <v>0</v>
      </c>
      <c r="AG3083" s="4">
        <v>0</v>
      </c>
      <c r="AH3083" s="4">
        <v>16</v>
      </c>
      <c r="AI3083" s="4">
        <v>18</v>
      </c>
      <c r="AJ3083" s="4">
        <v>3</v>
      </c>
      <c r="AK3083" s="4">
        <v>4</v>
      </c>
      <c r="AL3083" s="4">
        <v>10</v>
      </c>
      <c r="AM3083" s="4">
        <v>11</v>
      </c>
      <c r="AN3083" s="4">
        <v>0</v>
      </c>
      <c r="AO3083" s="4">
        <v>0</v>
      </c>
      <c r="AP3083" s="4">
        <v>2</v>
      </c>
      <c r="AQ3083" s="4">
        <v>3</v>
      </c>
      <c r="AR3083" s="3" t="s">
        <v>62</v>
      </c>
      <c r="AS3083" s="3" t="s">
        <v>62</v>
      </c>
      <c r="AT3083" s="3" t="s">
        <v>61</v>
      </c>
      <c r="AU3083" s="6" t="str">
        <f>HYPERLINK("http://catalog.hathitrust.org/Record/010587471","HathiTrust Record")</f>
        <v>HathiTrust Record</v>
      </c>
      <c r="AV3083" s="6" t="str">
        <f>HYPERLINK("http://mcgill.on.worldcat.org/oclc/2495280","Catalog Record")</f>
        <v>Catalog Record</v>
      </c>
      <c r="AW3083" s="6" t="str">
        <f>HYPERLINK("http://www.worldcat.org/oclc/2495280","WorldCat Record")</f>
        <v>WorldCat Record</v>
      </c>
      <c r="AX3083" s="3" t="s">
        <v>29842</v>
      </c>
      <c r="AY3083" s="3" t="s">
        <v>29843</v>
      </c>
      <c r="AZ3083" s="3" t="s">
        <v>29844</v>
      </c>
      <c r="BA3083" s="3" t="s">
        <v>29844</v>
      </c>
      <c r="BB3083" s="3" t="s">
        <v>29847</v>
      </c>
      <c r="BC3083" s="3" t="s">
        <v>102</v>
      </c>
      <c r="BD3083" s="3" t="s">
        <v>68</v>
      </c>
      <c r="BF3083" s="3" t="s">
        <v>29847</v>
      </c>
      <c r="BG3083" s="3" t="s">
        <v>29848</v>
      </c>
    </row>
    <row r="3084" spans="1:59" ht="58" x14ac:dyDescent="0.35">
      <c r="A3084" s="2" t="s">
        <v>89</v>
      </c>
      <c r="B3084" s="2" t="s">
        <v>90</v>
      </c>
      <c r="C3084" s="2" t="s">
        <v>29849</v>
      </c>
      <c r="D3084" s="2" t="s">
        <v>29850</v>
      </c>
      <c r="E3084" s="2" t="s">
        <v>29851</v>
      </c>
      <c r="G3084" s="3" t="s">
        <v>62</v>
      </c>
      <c r="I3084" s="3" t="s">
        <v>61</v>
      </c>
      <c r="J3084" s="3" t="s">
        <v>61</v>
      </c>
      <c r="K3084" s="3" t="s">
        <v>63</v>
      </c>
      <c r="L3084" s="2" t="s">
        <v>29852</v>
      </c>
      <c r="M3084" s="2" t="s">
        <v>29853</v>
      </c>
      <c r="N3084" s="3" t="s">
        <v>919</v>
      </c>
      <c r="O3084" s="2" t="s">
        <v>8350</v>
      </c>
      <c r="P3084" s="3" t="s">
        <v>64</v>
      </c>
      <c r="Q3084" s="2" t="s">
        <v>29165</v>
      </c>
      <c r="R3084" s="3" t="s">
        <v>27443</v>
      </c>
      <c r="S3084" s="4">
        <v>1</v>
      </c>
      <c r="T3084" s="4">
        <v>1</v>
      </c>
      <c r="U3084" s="5" t="s">
        <v>6903</v>
      </c>
      <c r="V3084" s="5" t="s">
        <v>6903</v>
      </c>
      <c r="W3084" s="5" t="s">
        <v>67</v>
      </c>
      <c r="X3084" s="5" t="s">
        <v>67</v>
      </c>
      <c r="Y3084" s="4">
        <v>588</v>
      </c>
      <c r="Z3084" s="4">
        <v>33</v>
      </c>
      <c r="AA3084" s="4">
        <v>42</v>
      </c>
      <c r="AB3084" s="4">
        <v>2</v>
      </c>
      <c r="AC3084" s="4">
        <v>5</v>
      </c>
      <c r="AD3084" s="4">
        <v>116</v>
      </c>
      <c r="AE3084" s="4">
        <v>132</v>
      </c>
      <c r="AF3084" s="4">
        <v>1</v>
      </c>
      <c r="AG3084" s="4">
        <v>4</v>
      </c>
      <c r="AH3084" s="4">
        <v>98</v>
      </c>
      <c r="AI3084" s="4">
        <v>106</v>
      </c>
      <c r="AJ3084" s="4">
        <v>17</v>
      </c>
      <c r="AK3084" s="4">
        <v>21</v>
      </c>
      <c r="AL3084" s="4">
        <v>55</v>
      </c>
      <c r="AM3084" s="4">
        <v>59</v>
      </c>
      <c r="AN3084" s="4">
        <v>0</v>
      </c>
      <c r="AO3084" s="4">
        <v>0</v>
      </c>
      <c r="AP3084" s="4">
        <v>22</v>
      </c>
      <c r="AQ3084" s="4">
        <v>30</v>
      </c>
      <c r="AR3084" s="3" t="s">
        <v>62</v>
      </c>
      <c r="AS3084" s="3" t="s">
        <v>62</v>
      </c>
      <c r="AT3084" s="3" t="s">
        <v>61</v>
      </c>
      <c r="AU3084" s="6" t="str">
        <f>HYPERLINK("http://catalog.hathitrust.org/Record/001481495","HathiTrust Record")</f>
        <v>HathiTrust Record</v>
      </c>
      <c r="AV3084" s="6" t="str">
        <f>HYPERLINK("http://mcgill.on.worldcat.org/oclc/536715","Catalog Record")</f>
        <v>Catalog Record</v>
      </c>
      <c r="AW3084" s="6" t="str">
        <f>HYPERLINK("http://www.worldcat.org/oclc/536715","WorldCat Record")</f>
        <v>WorldCat Record</v>
      </c>
      <c r="AX3084" s="3" t="s">
        <v>29854</v>
      </c>
      <c r="AY3084" s="3" t="s">
        <v>29855</v>
      </c>
      <c r="AZ3084" s="3" t="s">
        <v>29856</v>
      </c>
      <c r="BA3084" s="3" t="s">
        <v>29856</v>
      </c>
      <c r="BB3084" s="3" t="s">
        <v>29857</v>
      </c>
      <c r="BC3084" s="3" t="s">
        <v>102</v>
      </c>
      <c r="BD3084" s="3" t="s">
        <v>68</v>
      </c>
      <c r="BF3084" s="3" t="s">
        <v>29857</v>
      </c>
      <c r="BG3084" s="3" t="s">
        <v>29858</v>
      </c>
    </row>
    <row r="3085" spans="1:59" ht="58" x14ac:dyDescent="0.35">
      <c r="A3085" s="2" t="s">
        <v>89</v>
      </c>
      <c r="B3085" s="2" t="s">
        <v>90</v>
      </c>
      <c r="C3085" s="2" t="s">
        <v>29859</v>
      </c>
      <c r="D3085" s="2" t="s">
        <v>29860</v>
      </c>
      <c r="E3085" s="2" t="s">
        <v>29861</v>
      </c>
      <c r="G3085" s="3" t="s">
        <v>62</v>
      </c>
      <c r="I3085" s="3" t="s">
        <v>62</v>
      </c>
      <c r="J3085" s="3" t="s">
        <v>62</v>
      </c>
      <c r="K3085" s="3" t="s">
        <v>916</v>
      </c>
      <c r="L3085" s="2" t="s">
        <v>29862</v>
      </c>
      <c r="M3085" s="2" t="s">
        <v>29863</v>
      </c>
      <c r="N3085" s="3" t="s">
        <v>19688</v>
      </c>
      <c r="P3085" s="3" t="s">
        <v>64</v>
      </c>
      <c r="R3085" s="3" t="s">
        <v>27443</v>
      </c>
      <c r="S3085" s="4">
        <v>2</v>
      </c>
      <c r="T3085" s="4">
        <v>2</v>
      </c>
      <c r="U3085" s="5" t="s">
        <v>29864</v>
      </c>
      <c r="V3085" s="5" t="s">
        <v>29864</v>
      </c>
      <c r="W3085" s="5" t="s">
        <v>67</v>
      </c>
      <c r="X3085" s="5" t="s">
        <v>67</v>
      </c>
      <c r="Y3085" s="4">
        <v>11</v>
      </c>
      <c r="Z3085" s="4">
        <v>3</v>
      </c>
      <c r="AA3085" s="4">
        <v>16</v>
      </c>
      <c r="AB3085" s="4">
        <v>1</v>
      </c>
      <c r="AC3085" s="4">
        <v>1</v>
      </c>
      <c r="AD3085" s="4">
        <v>2</v>
      </c>
      <c r="AE3085" s="4">
        <v>75</v>
      </c>
      <c r="AF3085" s="4">
        <v>0</v>
      </c>
      <c r="AG3085" s="4">
        <v>0</v>
      </c>
      <c r="AH3085" s="4">
        <v>2</v>
      </c>
      <c r="AI3085" s="4">
        <v>69</v>
      </c>
      <c r="AJ3085" s="4">
        <v>1</v>
      </c>
      <c r="AK3085" s="4">
        <v>12</v>
      </c>
      <c r="AL3085" s="4">
        <v>1</v>
      </c>
      <c r="AM3085" s="4">
        <v>40</v>
      </c>
      <c r="AN3085" s="4">
        <v>0</v>
      </c>
      <c r="AO3085" s="4">
        <v>0</v>
      </c>
      <c r="AP3085" s="4">
        <v>1</v>
      </c>
      <c r="AQ3085" s="4">
        <v>13</v>
      </c>
      <c r="AR3085" s="3" t="s">
        <v>62</v>
      </c>
      <c r="AS3085" s="3" t="s">
        <v>62</v>
      </c>
      <c r="AT3085" s="3" t="s">
        <v>62</v>
      </c>
      <c r="AV3085" s="6" t="str">
        <f>HYPERLINK("http://mcgill.on.worldcat.org/oclc/230710328","Catalog Record")</f>
        <v>Catalog Record</v>
      </c>
      <c r="AW3085" s="6" t="str">
        <f>HYPERLINK("http://www.worldcat.org/oclc/230710328","WorldCat Record")</f>
        <v>WorldCat Record</v>
      </c>
      <c r="AX3085" s="3" t="s">
        <v>29865</v>
      </c>
      <c r="AY3085" s="3" t="s">
        <v>29866</v>
      </c>
      <c r="AZ3085" s="3" t="s">
        <v>29867</v>
      </c>
      <c r="BA3085" s="3" t="s">
        <v>29867</v>
      </c>
      <c r="BB3085" s="3" t="s">
        <v>29868</v>
      </c>
      <c r="BC3085" s="3" t="s">
        <v>102</v>
      </c>
      <c r="BD3085" s="3" t="s">
        <v>231</v>
      </c>
      <c r="BF3085" s="3" t="s">
        <v>29868</v>
      </c>
      <c r="BG3085" s="3" t="s">
        <v>29869</v>
      </c>
    </row>
    <row r="3086" spans="1:59" ht="101.5" x14ac:dyDescent="0.35">
      <c r="A3086" s="2" t="s">
        <v>89</v>
      </c>
      <c r="B3086" s="2" t="s">
        <v>17803</v>
      </c>
      <c r="C3086" s="2" t="s">
        <v>29870</v>
      </c>
      <c r="D3086" s="2" t="s">
        <v>29871</v>
      </c>
      <c r="E3086" s="2" t="s">
        <v>29872</v>
      </c>
      <c r="G3086" s="3" t="s">
        <v>62</v>
      </c>
      <c r="I3086" s="3" t="s">
        <v>62</v>
      </c>
      <c r="J3086" s="3" t="s">
        <v>62</v>
      </c>
      <c r="K3086" s="3" t="s">
        <v>63</v>
      </c>
      <c r="M3086" s="2" t="s">
        <v>29873</v>
      </c>
      <c r="N3086" s="3" t="s">
        <v>129</v>
      </c>
      <c r="O3086" s="2" t="s">
        <v>29874</v>
      </c>
      <c r="P3086" s="3" t="s">
        <v>64</v>
      </c>
      <c r="Q3086" s="2" t="s">
        <v>29875</v>
      </c>
      <c r="R3086" s="3" t="s">
        <v>27443</v>
      </c>
      <c r="S3086" s="4">
        <v>1</v>
      </c>
      <c r="T3086" s="4">
        <v>1</v>
      </c>
      <c r="U3086" s="5" t="s">
        <v>11230</v>
      </c>
      <c r="V3086" s="5" t="s">
        <v>11230</v>
      </c>
      <c r="W3086" s="5" t="s">
        <v>67</v>
      </c>
      <c r="X3086" s="5" t="s">
        <v>67</v>
      </c>
      <c r="Y3086" s="4">
        <v>1</v>
      </c>
      <c r="Z3086" s="4">
        <v>1</v>
      </c>
      <c r="AA3086" s="4">
        <v>1</v>
      </c>
      <c r="AB3086" s="4">
        <v>1</v>
      </c>
      <c r="AC3086" s="4">
        <v>1</v>
      </c>
      <c r="AD3086" s="4">
        <v>0</v>
      </c>
      <c r="AE3086" s="4">
        <v>0</v>
      </c>
      <c r="AF3086" s="4">
        <v>0</v>
      </c>
      <c r="AG3086" s="4">
        <v>0</v>
      </c>
      <c r="AH3086" s="4">
        <v>0</v>
      </c>
      <c r="AI3086" s="4">
        <v>0</v>
      </c>
      <c r="AJ3086" s="4">
        <v>0</v>
      </c>
      <c r="AK3086" s="4">
        <v>0</v>
      </c>
      <c r="AL3086" s="4">
        <v>0</v>
      </c>
      <c r="AM3086" s="4">
        <v>0</v>
      </c>
      <c r="AN3086" s="4">
        <v>0</v>
      </c>
      <c r="AO3086" s="4">
        <v>0</v>
      </c>
      <c r="AP3086" s="4">
        <v>0</v>
      </c>
      <c r="AQ3086" s="4">
        <v>0</v>
      </c>
      <c r="AR3086" s="3" t="s">
        <v>62</v>
      </c>
      <c r="AS3086" s="3" t="s">
        <v>62</v>
      </c>
      <c r="AT3086" s="3" t="s">
        <v>62</v>
      </c>
      <c r="AV3086" s="6" t="str">
        <f>HYPERLINK("http://mcgill.on.worldcat.org/oclc/994614521","Catalog Record")</f>
        <v>Catalog Record</v>
      </c>
      <c r="AW3086" s="6" t="str">
        <f>HYPERLINK("http://www.worldcat.org/oclc/994614521","WorldCat Record")</f>
        <v>WorldCat Record</v>
      </c>
      <c r="AX3086" s="3" t="s">
        <v>29876</v>
      </c>
      <c r="AY3086" s="3" t="s">
        <v>29877</v>
      </c>
      <c r="AZ3086" s="3" t="s">
        <v>29878</v>
      </c>
      <c r="BA3086" s="3" t="s">
        <v>29878</v>
      </c>
      <c r="BB3086" s="3" t="s">
        <v>29879</v>
      </c>
      <c r="BC3086" s="3" t="s">
        <v>102</v>
      </c>
      <c r="BD3086" s="3" t="s">
        <v>68</v>
      </c>
      <c r="BF3086" s="3" t="s">
        <v>29879</v>
      </c>
      <c r="BG3086" s="3" t="s">
        <v>29880</v>
      </c>
    </row>
    <row r="3087" spans="1:59" ht="58" x14ac:dyDescent="0.35">
      <c r="A3087" s="2" t="s">
        <v>89</v>
      </c>
      <c r="B3087" s="2" t="s">
        <v>90</v>
      </c>
      <c r="C3087" s="2" t="s">
        <v>29881</v>
      </c>
      <c r="D3087" s="2" t="s">
        <v>29882</v>
      </c>
      <c r="E3087" s="2" t="s">
        <v>29883</v>
      </c>
      <c r="G3087" s="3" t="s">
        <v>62</v>
      </c>
      <c r="I3087" s="3" t="s">
        <v>62</v>
      </c>
      <c r="J3087" s="3" t="s">
        <v>62</v>
      </c>
      <c r="K3087" s="3" t="s">
        <v>916</v>
      </c>
      <c r="L3087" s="2" t="s">
        <v>29884</v>
      </c>
      <c r="M3087" s="2" t="s">
        <v>29885</v>
      </c>
      <c r="N3087" s="3" t="s">
        <v>1374</v>
      </c>
      <c r="P3087" s="3" t="s">
        <v>64</v>
      </c>
      <c r="R3087" s="3" t="s">
        <v>27443</v>
      </c>
      <c r="S3087" s="4">
        <v>2</v>
      </c>
      <c r="T3087" s="4">
        <v>2</v>
      </c>
      <c r="U3087" s="5" t="s">
        <v>4001</v>
      </c>
      <c r="V3087" s="5" t="s">
        <v>4001</v>
      </c>
      <c r="W3087" s="5" t="s">
        <v>67</v>
      </c>
      <c r="X3087" s="5" t="s">
        <v>67</v>
      </c>
      <c r="Y3087" s="4">
        <v>1</v>
      </c>
      <c r="Z3087" s="4">
        <v>1</v>
      </c>
      <c r="AA3087" s="4">
        <v>3</v>
      </c>
      <c r="AB3087" s="4">
        <v>1</v>
      </c>
      <c r="AC3087" s="4">
        <v>1</v>
      </c>
      <c r="AD3087" s="4">
        <v>0</v>
      </c>
      <c r="AE3087" s="4">
        <v>6</v>
      </c>
      <c r="AF3087" s="4">
        <v>0</v>
      </c>
      <c r="AG3087" s="4">
        <v>0</v>
      </c>
      <c r="AH3087" s="4">
        <v>0</v>
      </c>
      <c r="AI3087" s="4">
        <v>5</v>
      </c>
      <c r="AJ3087" s="4">
        <v>0</v>
      </c>
      <c r="AK3087" s="4">
        <v>2</v>
      </c>
      <c r="AL3087" s="4">
        <v>0</v>
      </c>
      <c r="AM3087" s="4">
        <v>3</v>
      </c>
      <c r="AN3087" s="4">
        <v>0</v>
      </c>
      <c r="AO3087" s="4">
        <v>0</v>
      </c>
      <c r="AP3087" s="4">
        <v>0</v>
      </c>
      <c r="AQ3087" s="4">
        <v>1</v>
      </c>
      <c r="AR3087" s="3" t="s">
        <v>61</v>
      </c>
      <c r="AS3087" s="3" t="s">
        <v>62</v>
      </c>
      <c r="AT3087" s="3" t="s">
        <v>62</v>
      </c>
      <c r="AV3087" s="6" t="str">
        <f>HYPERLINK("http://mcgill.on.worldcat.org/oclc/427084503","Catalog Record")</f>
        <v>Catalog Record</v>
      </c>
      <c r="AW3087" s="6" t="str">
        <f>HYPERLINK("http://www.worldcat.org/oclc/427084503","WorldCat Record")</f>
        <v>WorldCat Record</v>
      </c>
      <c r="AX3087" s="3" t="s">
        <v>29886</v>
      </c>
      <c r="AY3087" s="3" t="s">
        <v>29887</v>
      </c>
      <c r="AZ3087" s="3" t="s">
        <v>29888</v>
      </c>
      <c r="BA3087" s="3" t="s">
        <v>29888</v>
      </c>
      <c r="BB3087" s="3" t="s">
        <v>29889</v>
      </c>
      <c r="BC3087" s="3" t="s">
        <v>102</v>
      </c>
      <c r="BD3087" s="3" t="s">
        <v>68</v>
      </c>
      <c r="BF3087" s="3" t="s">
        <v>29889</v>
      </c>
      <c r="BG3087" s="3" t="s">
        <v>29890</v>
      </c>
    </row>
    <row r="3088" spans="1:59" ht="101.5" x14ac:dyDescent="0.35">
      <c r="A3088" s="2" t="s">
        <v>89</v>
      </c>
      <c r="B3088" s="2" t="s">
        <v>12301</v>
      </c>
      <c r="C3088" s="2" t="s">
        <v>29891</v>
      </c>
      <c r="D3088" s="2" t="s">
        <v>29892</v>
      </c>
      <c r="E3088" s="2" t="s">
        <v>29893</v>
      </c>
      <c r="G3088" s="3" t="s">
        <v>62</v>
      </c>
      <c r="I3088" s="3" t="s">
        <v>61</v>
      </c>
      <c r="J3088" s="3" t="s">
        <v>61</v>
      </c>
      <c r="K3088" s="3" t="s">
        <v>63</v>
      </c>
      <c r="L3088" s="2" t="s">
        <v>29894</v>
      </c>
      <c r="M3088" s="2" t="s">
        <v>29895</v>
      </c>
      <c r="N3088" s="3" t="s">
        <v>129</v>
      </c>
      <c r="O3088" s="2" t="s">
        <v>7791</v>
      </c>
      <c r="P3088" s="3" t="s">
        <v>64</v>
      </c>
      <c r="R3088" s="3" t="s">
        <v>27443</v>
      </c>
      <c r="S3088" s="4">
        <v>95</v>
      </c>
      <c r="T3088" s="4">
        <v>189</v>
      </c>
      <c r="U3088" s="5" t="s">
        <v>20604</v>
      </c>
      <c r="V3088" s="5" t="s">
        <v>15935</v>
      </c>
      <c r="W3088" s="5" t="s">
        <v>67</v>
      </c>
      <c r="X3088" s="5" t="s">
        <v>67</v>
      </c>
      <c r="Y3088" s="4">
        <v>262</v>
      </c>
      <c r="Z3088" s="4">
        <v>21</v>
      </c>
      <c r="AA3088" s="4">
        <v>77</v>
      </c>
      <c r="AB3088" s="4">
        <v>3</v>
      </c>
      <c r="AC3088" s="4">
        <v>19</v>
      </c>
      <c r="AD3088" s="4">
        <v>66</v>
      </c>
      <c r="AE3088" s="4">
        <v>152</v>
      </c>
      <c r="AF3088" s="4">
        <v>1</v>
      </c>
      <c r="AG3088" s="4">
        <v>8</v>
      </c>
      <c r="AH3088" s="4">
        <v>55</v>
      </c>
      <c r="AI3088" s="4">
        <v>111</v>
      </c>
      <c r="AJ3088" s="4">
        <v>10</v>
      </c>
      <c r="AK3088" s="4">
        <v>27</v>
      </c>
      <c r="AL3088" s="4">
        <v>35</v>
      </c>
      <c r="AM3088" s="4">
        <v>60</v>
      </c>
      <c r="AN3088" s="4">
        <v>0</v>
      </c>
      <c r="AO3088" s="4">
        <v>0</v>
      </c>
      <c r="AP3088" s="4">
        <v>14</v>
      </c>
      <c r="AQ3088" s="4">
        <v>49</v>
      </c>
      <c r="AR3088" s="3" t="s">
        <v>62</v>
      </c>
      <c r="AS3088" s="3" t="s">
        <v>62</v>
      </c>
      <c r="AT3088" s="3" t="s">
        <v>62</v>
      </c>
      <c r="AV3088" s="6" t="str">
        <f>HYPERLINK("http://mcgill.on.worldcat.org/oclc/794711764","Catalog Record")</f>
        <v>Catalog Record</v>
      </c>
      <c r="AW3088" s="6" t="str">
        <f>HYPERLINK("http://www.worldcat.org/oclc/794711764","WorldCat Record")</f>
        <v>WorldCat Record</v>
      </c>
      <c r="AX3088" s="3" t="s">
        <v>29896</v>
      </c>
      <c r="AY3088" s="3" t="s">
        <v>29897</v>
      </c>
      <c r="AZ3088" s="3" t="s">
        <v>29898</v>
      </c>
      <c r="BA3088" s="3" t="s">
        <v>29898</v>
      </c>
      <c r="BB3088" s="3" t="s">
        <v>29899</v>
      </c>
      <c r="BC3088" s="3" t="s">
        <v>102</v>
      </c>
      <c r="BD3088" s="3" t="s">
        <v>68</v>
      </c>
      <c r="BE3088" s="3" t="s">
        <v>29900</v>
      </c>
      <c r="BF3088" s="3" t="s">
        <v>29899</v>
      </c>
      <c r="BG3088" s="3" t="s">
        <v>29901</v>
      </c>
    </row>
    <row r="3089" spans="1:59" ht="101.5" x14ac:dyDescent="0.35">
      <c r="A3089" s="2" t="s">
        <v>89</v>
      </c>
      <c r="B3089" s="2" t="s">
        <v>12301</v>
      </c>
      <c r="C3089" s="2" t="s">
        <v>29891</v>
      </c>
      <c r="D3089" s="2" t="s">
        <v>29892</v>
      </c>
      <c r="E3089" s="2" t="s">
        <v>29893</v>
      </c>
      <c r="G3089" s="3" t="s">
        <v>62</v>
      </c>
      <c r="I3089" s="3" t="s">
        <v>61</v>
      </c>
      <c r="J3089" s="3" t="s">
        <v>61</v>
      </c>
      <c r="K3089" s="3" t="s">
        <v>63</v>
      </c>
      <c r="L3089" s="2" t="s">
        <v>29894</v>
      </c>
      <c r="M3089" s="2" t="s">
        <v>29895</v>
      </c>
      <c r="N3089" s="3" t="s">
        <v>129</v>
      </c>
      <c r="O3089" s="2" t="s">
        <v>7791</v>
      </c>
      <c r="P3089" s="3" t="s">
        <v>64</v>
      </c>
      <c r="R3089" s="3" t="s">
        <v>27443</v>
      </c>
      <c r="S3089" s="4">
        <v>94</v>
      </c>
      <c r="T3089" s="4">
        <v>189</v>
      </c>
      <c r="U3089" s="5" t="s">
        <v>15935</v>
      </c>
      <c r="V3089" s="5" t="s">
        <v>15935</v>
      </c>
      <c r="W3089" s="5" t="s">
        <v>67</v>
      </c>
      <c r="X3089" s="5" t="s">
        <v>67</v>
      </c>
      <c r="Y3089" s="4">
        <v>262</v>
      </c>
      <c r="Z3089" s="4">
        <v>21</v>
      </c>
      <c r="AA3089" s="4">
        <v>77</v>
      </c>
      <c r="AB3089" s="4">
        <v>3</v>
      </c>
      <c r="AC3089" s="4">
        <v>19</v>
      </c>
      <c r="AD3089" s="4">
        <v>66</v>
      </c>
      <c r="AE3089" s="4">
        <v>152</v>
      </c>
      <c r="AF3089" s="4">
        <v>1</v>
      </c>
      <c r="AG3089" s="4">
        <v>8</v>
      </c>
      <c r="AH3089" s="4">
        <v>55</v>
      </c>
      <c r="AI3089" s="4">
        <v>111</v>
      </c>
      <c r="AJ3089" s="4">
        <v>10</v>
      </c>
      <c r="AK3089" s="4">
        <v>27</v>
      </c>
      <c r="AL3089" s="4">
        <v>35</v>
      </c>
      <c r="AM3089" s="4">
        <v>60</v>
      </c>
      <c r="AN3089" s="4">
        <v>0</v>
      </c>
      <c r="AO3089" s="4">
        <v>0</v>
      </c>
      <c r="AP3089" s="4">
        <v>14</v>
      </c>
      <c r="AQ3089" s="4">
        <v>49</v>
      </c>
      <c r="AR3089" s="3" t="s">
        <v>62</v>
      </c>
      <c r="AS3089" s="3" t="s">
        <v>62</v>
      </c>
      <c r="AT3089" s="3" t="s">
        <v>62</v>
      </c>
      <c r="AV3089" s="6" t="str">
        <f>HYPERLINK("http://mcgill.on.worldcat.org/oclc/794711764","Catalog Record")</f>
        <v>Catalog Record</v>
      </c>
      <c r="AW3089" s="6" t="str">
        <f>HYPERLINK("http://www.worldcat.org/oclc/794711764","WorldCat Record")</f>
        <v>WorldCat Record</v>
      </c>
      <c r="AX3089" s="3" t="s">
        <v>29896</v>
      </c>
      <c r="AY3089" s="3" t="s">
        <v>29897</v>
      </c>
      <c r="AZ3089" s="3" t="s">
        <v>29898</v>
      </c>
      <c r="BA3089" s="3" t="s">
        <v>29898</v>
      </c>
      <c r="BB3089" s="3" t="s">
        <v>29902</v>
      </c>
      <c r="BC3089" s="3" t="s">
        <v>102</v>
      </c>
      <c r="BD3089" s="3" t="s">
        <v>68</v>
      </c>
      <c r="BE3089" s="3" t="s">
        <v>29900</v>
      </c>
      <c r="BF3089" s="3" t="s">
        <v>29902</v>
      </c>
      <c r="BG3089" s="3" t="s">
        <v>29903</v>
      </c>
    </row>
    <row r="3090" spans="1:59" ht="58" x14ac:dyDescent="0.35">
      <c r="A3090" s="2" t="s">
        <v>89</v>
      </c>
      <c r="B3090" s="2" t="s">
        <v>90</v>
      </c>
      <c r="C3090" s="2" t="s">
        <v>29904</v>
      </c>
      <c r="D3090" s="2" t="s">
        <v>29905</v>
      </c>
      <c r="E3090" s="2" t="s">
        <v>29906</v>
      </c>
      <c r="G3090" s="3" t="s">
        <v>62</v>
      </c>
      <c r="H3090" s="3" t="s">
        <v>916</v>
      </c>
      <c r="I3090" s="3" t="s">
        <v>62</v>
      </c>
      <c r="J3090" s="3" t="s">
        <v>61</v>
      </c>
      <c r="K3090" s="3" t="s">
        <v>63</v>
      </c>
      <c r="L3090" s="2" t="s">
        <v>29894</v>
      </c>
      <c r="M3090" s="2" t="s">
        <v>29907</v>
      </c>
      <c r="N3090" s="3" t="s">
        <v>726</v>
      </c>
      <c r="O3090" s="2" t="s">
        <v>7791</v>
      </c>
      <c r="P3090" s="3" t="s">
        <v>64</v>
      </c>
      <c r="R3090" s="3" t="s">
        <v>27443</v>
      </c>
      <c r="S3090" s="4">
        <v>0</v>
      </c>
      <c r="T3090" s="4">
        <v>0</v>
      </c>
      <c r="W3090" s="5" t="s">
        <v>18024</v>
      </c>
      <c r="X3090" s="5" t="s">
        <v>18024</v>
      </c>
      <c r="Y3090" s="4">
        <v>135</v>
      </c>
      <c r="Z3090" s="4">
        <v>11</v>
      </c>
      <c r="AA3090" s="4">
        <v>77</v>
      </c>
      <c r="AB3090" s="4">
        <v>3</v>
      </c>
      <c r="AC3090" s="4">
        <v>19</v>
      </c>
      <c r="AD3090" s="4">
        <v>34</v>
      </c>
      <c r="AE3090" s="4">
        <v>152</v>
      </c>
      <c r="AF3090" s="4">
        <v>1</v>
      </c>
      <c r="AG3090" s="4">
        <v>8</v>
      </c>
      <c r="AH3090" s="4">
        <v>30</v>
      </c>
      <c r="AI3090" s="4">
        <v>111</v>
      </c>
      <c r="AJ3090" s="4">
        <v>8</v>
      </c>
      <c r="AK3090" s="4">
        <v>27</v>
      </c>
      <c r="AL3090" s="4">
        <v>15</v>
      </c>
      <c r="AM3090" s="4">
        <v>60</v>
      </c>
      <c r="AN3090" s="4">
        <v>0</v>
      </c>
      <c r="AO3090" s="4">
        <v>0</v>
      </c>
      <c r="AP3090" s="4">
        <v>9</v>
      </c>
      <c r="AQ3090" s="4">
        <v>49</v>
      </c>
      <c r="AR3090" s="3" t="s">
        <v>62</v>
      </c>
      <c r="AS3090" s="3" t="s">
        <v>62</v>
      </c>
      <c r="AT3090" s="3" t="s">
        <v>62</v>
      </c>
      <c r="AV3090" s="6" t="str">
        <f>HYPERLINK("http://mcgill.on.worldcat.org/oclc/1021068059","Catalog Record")</f>
        <v>Catalog Record</v>
      </c>
      <c r="AW3090" s="6" t="str">
        <f>HYPERLINK("http://www.worldcat.org/oclc/1021068059","WorldCat Record")</f>
        <v>WorldCat Record</v>
      </c>
      <c r="AX3090" s="3" t="s">
        <v>29896</v>
      </c>
      <c r="AY3090" s="3" t="s">
        <v>29908</v>
      </c>
      <c r="AZ3090" s="3" t="s">
        <v>29909</v>
      </c>
      <c r="BA3090" s="3" t="s">
        <v>29909</v>
      </c>
      <c r="BB3090" s="3" t="s">
        <v>29910</v>
      </c>
      <c r="BC3090" s="3" t="s">
        <v>102</v>
      </c>
      <c r="BD3090" s="3" t="s">
        <v>1135</v>
      </c>
      <c r="BE3090" s="3" t="s">
        <v>29911</v>
      </c>
      <c r="BF3090" s="3" t="s">
        <v>29910</v>
      </c>
      <c r="BG3090" s="3" t="s">
        <v>29912</v>
      </c>
    </row>
    <row r="3091" spans="1:59" ht="58" x14ac:dyDescent="0.35">
      <c r="A3091" s="2" t="s">
        <v>89</v>
      </c>
      <c r="B3091" s="2" t="s">
        <v>90</v>
      </c>
      <c r="C3091" s="2" t="s">
        <v>29913</v>
      </c>
      <c r="D3091" s="2" t="s">
        <v>29914</v>
      </c>
      <c r="E3091" s="2" t="s">
        <v>29915</v>
      </c>
      <c r="G3091" s="3" t="s">
        <v>62</v>
      </c>
      <c r="I3091" s="3" t="s">
        <v>62</v>
      </c>
      <c r="J3091" s="3" t="s">
        <v>61</v>
      </c>
      <c r="K3091" s="3" t="s">
        <v>63</v>
      </c>
      <c r="L3091" s="2" t="s">
        <v>29916</v>
      </c>
      <c r="M3091" s="2" t="s">
        <v>29917</v>
      </c>
      <c r="N3091" s="3" t="s">
        <v>29918</v>
      </c>
      <c r="O3091" s="2" t="s">
        <v>29919</v>
      </c>
      <c r="P3091" s="3" t="s">
        <v>64</v>
      </c>
      <c r="R3091" s="3" t="s">
        <v>27443</v>
      </c>
      <c r="S3091" s="4">
        <v>1</v>
      </c>
      <c r="T3091" s="4">
        <v>1</v>
      </c>
      <c r="U3091" s="5" t="s">
        <v>29864</v>
      </c>
      <c r="V3091" s="5" t="s">
        <v>29864</v>
      </c>
      <c r="W3091" s="5" t="s">
        <v>67</v>
      </c>
      <c r="X3091" s="5" t="s">
        <v>67</v>
      </c>
      <c r="Y3091" s="4">
        <v>1</v>
      </c>
      <c r="Z3091" s="4">
        <v>1</v>
      </c>
      <c r="AA3091" s="4">
        <v>10</v>
      </c>
      <c r="AB3091" s="4">
        <v>1</v>
      </c>
      <c r="AC3091" s="4">
        <v>2</v>
      </c>
      <c r="AD3091" s="4">
        <v>0</v>
      </c>
      <c r="AE3091" s="4">
        <v>36</v>
      </c>
      <c r="AF3091" s="4">
        <v>0</v>
      </c>
      <c r="AG3091" s="4">
        <v>1</v>
      </c>
      <c r="AH3091" s="4">
        <v>0</v>
      </c>
      <c r="AI3091" s="4">
        <v>33</v>
      </c>
      <c r="AJ3091" s="4">
        <v>0</v>
      </c>
      <c r="AK3091" s="4">
        <v>5</v>
      </c>
      <c r="AL3091" s="4">
        <v>0</v>
      </c>
      <c r="AM3091" s="4">
        <v>23</v>
      </c>
      <c r="AN3091" s="4">
        <v>0</v>
      </c>
      <c r="AO3091" s="4">
        <v>0</v>
      </c>
      <c r="AP3091" s="4">
        <v>0</v>
      </c>
      <c r="AQ3091" s="4">
        <v>5</v>
      </c>
      <c r="AR3091" s="3" t="s">
        <v>62</v>
      </c>
      <c r="AS3091" s="3" t="s">
        <v>62</v>
      </c>
      <c r="AT3091" s="3" t="s">
        <v>62</v>
      </c>
      <c r="AV3091" s="6" t="str">
        <f>HYPERLINK("http://mcgill.on.worldcat.org/oclc/61597335","Catalog Record")</f>
        <v>Catalog Record</v>
      </c>
      <c r="AW3091" s="6" t="str">
        <f>HYPERLINK("http://www.worldcat.org/oclc/61597335","WorldCat Record")</f>
        <v>WorldCat Record</v>
      </c>
      <c r="AX3091" s="3" t="s">
        <v>29920</v>
      </c>
      <c r="AY3091" s="3" t="s">
        <v>29921</v>
      </c>
      <c r="AZ3091" s="3" t="s">
        <v>29922</v>
      </c>
      <c r="BA3091" s="3" t="s">
        <v>29922</v>
      </c>
      <c r="BB3091" s="3" t="s">
        <v>29923</v>
      </c>
      <c r="BC3091" s="3" t="s">
        <v>102</v>
      </c>
      <c r="BD3091" s="3" t="s">
        <v>231</v>
      </c>
      <c r="BF3091" s="3" t="s">
        <v>29923</v>
      </c>
      <c r="BG3091" s="3" t="s">
        <v>29924</v>
      </c>
    </row>
    <row r="3092" spans="1:59" ht="58" x14ac:dyDescent="0.35">
      <c r="A3092" s="2" t="s">
        <v>89</v>
      </c>
      <c r="B3092" s="2" t="s">
        <v>90</v>
      </c>
      <c r="C3092" s="2" t="s">
        <v>29925</v>
      </c>
      <c r="D3092" s="2" t="s">
        <v>29926</v>
      </c>
      <c r="E3092" s="2" t="s">
        <v>29927</v>
      </c>
      <c r="G3092" s="3" t="s">
        <v>62</v>
      </c>
      <c r="I3092" s="3" t="s">
        <v>62</v>
      </c>
      <c r="J3092" s="3" t="s">
        <v>62</v>
      </c>
      <c r="K3092" s="3" t="s">
        <v>63</v>
      </c>
      <c r="L3092" s="2" t="s">
        <v>29928</v>
      </c>
      <c r="M3092" s="2" t="s">
        <v>29929</v>
      </c>
      <c r="N3092" s="3" t="s">
        <v>95</v>
      </c>
      <c r="P3092" s="3" t="s">
        <v>64</v>
      </c>
      <c r="Q3092" s="2" t="s">
        <v>29930</v>
      </c>
      <c r="R3092" s="3" t="s">
        <v>27443</v>
      </c>
      <c r="S3092" s="4">
        <v>3</v>
      </c>
      <c r="T3092" s="4">
        <v>3</v>
      </c>
      <c r="U3092" s="5" t="s">
        <v>1238</v>
      </c>
      <c r="V3092" s="5" t="s">
        <v>1238</v>
      </c>
      <c r="W3092" s="5" t="s">
        <v>67</v>
      </c>
      <c r="X3092" s="5" t="s">
        <v>67</v>
      </c>
      <c r="Y3092" s="4">
        <v>5</v>
      </c>
      <c r="Z3092" s="4">
        <v>1</v>
      </c>
      <c r="AA3092" s="4">
        <v>1</v>
      </c>
      <c r="AB3092" s="4">
        <v>1</v>
      </c>
      <c r="AC3092" s="4">
        <v>1</v>
      </c>
      <c r="AD3092" s="4">
        <v>0</v>
      </c>
      <c r="AE3092" s="4">
        <v>0</v>
      </c>
      <c r="AF3092" s="4">
        <v>0</v>
      </c>
      <c r="AG3092" s="4">
        <v>0</v>
      </c>
      <c r="AH3092" s="4">
        <v>0</v>
      </c>
      <c r="AI3092" s="4">
        <v>0</v>
      </c>
      <c r="AJ3092" s="4">
        <v>0</v>
      </c>
      <c r="AK3092" s="4">
        <v>0</v>
      </c>
      <c r="AL3092" s="4">
        <v>0</v>
      </c>
      <c r="AM3092" s="4">
        <v>0</v>
      </c>
      <c r="AN3092" s="4">
        <v>0</v>
      </c>
      <c r="AO3092" s="4">
        <v>0</v>
      </c>
      <c r="AP3092" s="4">
        <v>0</v>
      </c>
      <c r="AQ3092" s="4">
        <v>0</v>
      </c>
      <c r="AR3092" s="3" t="s">
        <v>62</v>
      </c>
      <c r="AS3092" s="3" t="s">
        <v>62</v>
      </c>
      <c r="AT3092" s="3" t="s">
        <v>62</v>
      </c>
      <c r="AV3092" s="6" t="str">
        <f>HYPERLINK("http://mcgill.on.worldcat.org/oclc/19024023","Catalog Record")</f>
        <v>Catalog Record</v>
      </c>
      <c r="AW3092" s="6" t="str">
        <f>HYPERLINK("http://www.worldcat.org/oclc/19024023","WorldCat Record")</f>
        <v>WorldCat Record</v>
      </c>
      <c r="AX3092" s="3" t="s">
        <v>29931</v>
      </c>
      <c r="AY3092" s="3" t="s">
        <v>29932</v>
      </c>
      <c r="AZ3092" s="3" t="s">
        <v>29933</v>
      </c>
      <c r="BA3092" s="3" t="s">
        <v>29933</v>
      </c>
      <c r="BB3092" s="3" t="s">
        <v>29934</v>
      </c>
      <c r="BC3092" s="3" t="s">
        <v>102</v>
      </c>
      <c r="BD3092" s="3" t="s">
        <v>68</v>
      </c>
      <c r="BF3092" s="3" t="s">
        <v>29934</v>
      </c>
      <c r="BG3092" s="3" t="s">
        <v>29935</v>
      </c>
    </row>
    <row r="3093" spans="1:59" ht="101.5" x14ac:dyDescent="0.35">
      <c r="A3093" s="2" t="s">
        <v>89</v>
      </c>
      <c r="B3093" s="2" t="s">
        <v>12301</v>
      </c>
      <c r="C3093" s="2" t="s">
        <v>29936</v>
      </c>
      <c r="D3093" s="2" t="s">
        <v>29937</v>
      </c>
      <c r="E3093" s="2" t="s">
        <v>29938</v>
      </c>
      <c r="G3093" s="3" t="s">
        <v>62</v>
      </c>
      <c r="I3093" s="3" t="s">
        <v>61</v>
      </c>
      <c r="J3093" s="3" t="s">
        <v>62</v>
      </c>
      <c r="K3093" s="3" t="s">
        <v>63</v>
      </c>
      <c r="L3093" s="2" t="s">
        <v>29939</v>
      </c>
      <c r="M3093" s="2" t="s">
        <v>29940</v>
      </c>
      <c r="N3093" s="3" t="s">
        <v>684</v>
      </c>
      <c r="P3093" s="3" t="s">
        <v>64</v>
      </c>
      <c r="R3093" s="3" t="s">
        <v>27443</v>
      </c>
      <c r="S3093" s="4">
        <v>116</v>
      </c>
      <c r="T3093" s="4">
        <v>280</v>
      </c>
      <c r="U3093" s="5" t="s">
        <v>2062</v>
      </c>
      <c r="V3093" s="5" t="s">
        <v>2062</v>
      </c>
      <c r="W3093" s="5" t="s">
        <v>67</v>
      </c>
      <c r="X3093" s="5" t="s">
        <v>67</v>
      </c>
      <c r="Y3093" s="4">
        <v>83</v>
      </c>
      <c r="Z3093" s="4">
        <v>15</v>
      </c>
      <c r="AA3093" s="4">
        <v>17</v>
      </c>
      <c r="AB3093" s="4">
        <v>2</v>
      </c>
      <c r="AC3093" s="4">
        <v>4</v>
      </c>
      <c r="AD3093" s="4">
        <v>27</v>
      </c>
      <c r="AE3093" s="4">
        <v>29</v>
      </c>
      <c r="AF3093" s="4">
        <v>1</v>
      </c>
      <c r="AG3093" s="4">
        <v>3</v>
      </c>
      <c r="AH3093" s="4">
        <v>22</v>
      </c>
      <c r="AI3093" s="4">
        <v>23</v>
      </c>
      <c r="AJ3093" s="4">
        <v>11</v>
      </c>
      <c r="AK3093" s="4">
        <v>12</v>
      </c>
      <c r="AL3093" s="4">
        <v>9</v>
      </c>
      <c r="AM3093" s="4">
        <v>9</v>
      </c>
      <c r="AN3093" s="4">
        <v>0</v>
      </c>
      <c r="AO3093" s="4">
        <v>0</v>
      </c>
      <c r="AP3093" s="4">
        <v>12</v>
      </c>
      <c r="AQ3093" s="4">
        <v>14</v>
      </c>
      <c r="AR3093" s="3" t="s">
        <v>62</v>
      </c>
      <c r="AS3093" s="3" t="s">
        <v>62</v>
      </c>
      <c r="AT3093" s="3" t="s">
        <v>62</v>
      </c>
      <c r="AV3093" s="6" t="str">
        <f>HYPERLINK("http://mcgill.on.worldcat.org/oclc/495597731","Catalog Record")</f>
        <v>Catalog Record</v>
      </c>
      <c r="AW3093" s="6" t="str">
        <f>HYPERLINK("http://www.worldcat.org/oclc/495597731","WorldCat Record")</f>
        <v>WorldCat Record</v>
      </c>
      <c r="AX3093" s="3" t="s">
        <v>29941</v>
      </c>
      <c r="AY3093" s="3" t="s">
        <v>29942</v>
      </c>
      <c r="AZ3093" s="3" t="s">
        <v>29943</v>
      </c>
      <c r="BA3093" s="3" t="s">
        <v>29943</v>
      </c>
      <c r="BB3093" s="3" t="s">
        <v>29944</v>
      </c>
      <c r="BC3093" s="3" t="s">
        <v>102</v>
      </c>
      <c r="BD3093" s="3" t="s">
        <v>68</v>
      </c>
      <c r="BE3093" s="3" t="s">
        <v>29945</v>
      </c>
      <c r="BF3093" s="3" t="s">
        <v>29944</v>
      </c>
      <c r="BG3093" s="3" t="s">
        <v>29946</v>
      </c>
    </row>
    <row r="3094" spans="1:59" ht="101.5" x14ac:dyDescent="0.35">
      <c r="A3094" s="2" t="s">
        <v>89</v>
      </c>
      <c r="B3094" s="2" t="s">
        <v>12301</v>
      </c>
      <c r="C3094" s="2" t="s">
        <v>29936</v>
      </c>
      <c r="D3094" s="2" t="s">
        <v>29937</v>
      </c>
      <c r="E3094" s="2" t="s">
        <v>29938</v>
      </c>
      <c r="G3094" s="3" t="s">
        <v>62</v>
      </c>
      <c r="I3094" s="3" t="s">
        <v>61</v>
      </c>
      <c r="J3094" s="3" t="s">
        <v>62</v>
      </c>
      <c r="K3094" s="3" t="s">
        <v>63</v>
      </c>
      <c r="L3094" s="2" t="s">
        <v>29939</v>
      </c>
      <c r="M3094" s="2" t="s">
        <v>29940</v>
      </c>
      <c r="N3094" s="3" t="s">
        <v>684</v>
      </c>
      <c r="P3094" s="3" t="s">
        <v>64</v>
      </c>
      <c r="R3094" s="3" t="s">
        <v>27443</v>
      </c>
      <c r="S3094" s="4">
        <v>164</v>
      </c>
      <c r="T3094" s="4">
        <v>280</v>
      </c>
      <c r="U3094" s="5" t="s">
        <v>1699</v>
      </c>
      <c r="V3094" s="5" t="s">
        <v>2062</v>
      </c>
      <c r="W3094" s="5" t="s">
        <v>67</v>
      </c>
      <c r="X3094" s="5" t="s">
        <v>67</v>
      </c>
      <c r="Y3094" s="4">
        <v>83</v>
      </c>
      <c r="Z3094" s="4">
        <v>15</v>
      </c>
      <c r="AA3094" s="4">
        <v>17</v>
      </c>
      <c r="AB3094" s="4">
        <v>2</v>
      </c>
      <c r="AC3094" s="4">
        <v>4</v>
      </c>
      <c r="AD3094" s="4">
        <v>27</v>
      </c>
      <c r="AE3094" s="4">
        <v>29</v>
      </c>
      <c r="AF3094" s="4">
        <v>1</v>
      </c>
      <c r="AG3094" s="4">
        <v>3</v>
      </c>
      <c r="AH3094" s="4">
        <v>22</v>
      </c>
      <c r="AI3094" s="4">
        <v>23</v>
      </c>
      <c r="AJ3094" s="4">
        <v>11</v>
      </c>
      <c r="AK3094" s="4">
        <v>12</v>
      </c>
      <c r="AL3094" s="4">
        <v>9</v>
      </c>
      <c r="AM3094" s="4">
        <v>9</v>
      </c>
      <c r="AN3094" s="4">
        <v>0</v>
      </c>
      <c r="AO3094" s="4">
        <v>0</v>
      </c>
      <c r="AP3094" s="4">
        <v>12</v>
      </c>
      <c r="AQ3094" s="4">
        <v>14</v>
      </c>
      <c r="AR3094" s="3" t="s">
        <v>62</v>
      </c>
      <c r="AS3094" s="3" t="s">
        <v>62</v>
      </c>
      <c r="AT3094" s="3" t="s">
        <v>62</v>
      </c>
      <c r="AV3094" s="6" t="str">
        <f>HYPERLINK("http://mcgill.on.worldcat.org/oclc/495597731","Catalog Record")</f>
        <v>Catalog Record</v>
      </c>
      <c r="AW3094" s="6" t="str">
        <f>HYPERLINK("http://www.worldcat.org/oclc/495597731","WorldCat Record")</f>
        <v>WorldCat Record</v>
      </c>
      <c r="AX3094" s="3" t="s">
        <v>29941</v>
      </c>
      <c r="AY3094" s="3" t="s">
        <v>29942</v>
      </c>
      <c r="AZ3094" s="3" t="s">
        <v>29943</v>
      </c>
      <c r="BA3094" s="3" t="s">
        <v>29943</v>
      </c>
      <c r="BB3094" s="3" t="s">
        <v>29947</v>
      </c>
      <c r="BC3094" s="3" t="s">
        <v>102</v>
      </c>
      <c r="BD3094" s="3" t="s">
        <v>68</v>
      </c>
      <c r="BE3094" s="3" t="s">
        <v>29945</v>
      </c>
      <c r="BF3094" s="3" t="s">
        <v>29947</v>
      </c>
      <c r="BG3094" s="3" t="s">
        <v>29948</v>
      </c>
    </row>
    <row r="3095" spans="1:59" ht="58" x14ac:dyDescent="0.35">
      <c r="A3095" s="2" t="s">
        <v>59</v>
      </c>
      <c r="B3095" s="2" t="s">
        <v>60</v>
      </c>
      <c r="C3095" s="2" t="s">
        <v>29949</v>
      </c>
      <c r="D3095" s="2" t="s">
        <v>29950</v>
      </c>
      <c r="E3095" s="2" t="s">
        <v>29951</v>
      </c>
      <c r="G3095" s="3" t="s">
        <v>62</v>
      </c>
      <c r="I3095" s="3" t="s">
        <v>61</v>
      </c>
      <c r="J3095" s="3" t="s">
        <v>62</v>
      </c>
      <c r="K3095" s="3" t="s">
        <v>63</v>
      </c>
      <c r="L3095" s="2" t="s">
        <v>29952</v>
      </c>
      <c r="M3095" s="2" t="s">
        <v>29953</v>
      </c>
      <c r="N3095" s="3" t="s">
        <v>1291</v>
      </c>
      <c r="P3095" s="3" t="s">
        <v>64</v>
      </c>
      <c r="Q3095" s="2" t="s">
        <v>29954</v>
      </c>
      <c r="R3095" s="3" t="s">
        <v>27443</v>
      </c>
      <c r="S3095" s="4">
        <v>0</v>
      </c>
      <c r="T3095" s="4">
        <v>1</v>
      </c>
      <c r="V3095" s="5" t="s">
        <v>5799</v>
      </c>
      <c r="W3095" s="5" t="s">
        <v>67</v>
      </c>
      <c r="X3095" s="5" t="s">
        <v>67</v>
      </c>
      <c r="Y3095" s="4">
        <v>801</v>
      </c>
      <c r="Z3095" s="4">
        <v>43</v>
      </c>
      <c r="AA3095" s="4">
        <v>48</v>
      </c>
      <c r="AB3095" s="4">
        <v>4</v>
      </c>
      <c r="AC3095" s="4">
        <v>9</v>
      </c>
      <c r="AD3095" s="4">
        <v>127</v>
      </c>
      <c r="AE3095" s="4">
        <v>132</v>
      </c>
      <c r="AF3095" s="4">
        <v>2</v>
      </c>
      <c r="AG3095" s="4">
        <v>6</v>
      </c>
      <c r="AH3095" s="4">
        <v>101</v>
      </c>
      <c r="AI3095" s="4">
        <v>103</v>
      </c>
      <c r="AJ3095" s="4">
        <v>20</v>
      </c>
      <c r="AK3095" s="4">
        <v>24</v>
      </c>
      <c r="AL3095" s="4">
        <v>56</v>
      </c>
      <c r="AM3095" s="4">
        <v>57</v>
      </c>
      <c r="AN3095" s="4">
        <v>0</v>
      </c>
      <c r="AO3095" s="4">
        <v>0</v>
      </c>
      <c r="AP3095" s="4">
        <v>31</v>
      </c>
      <c r="AQ3095" s="4">
        <v>34</v>
      </c>
      <c r="AR3095" s="3" t="s">
        <v>62</v>
      </c>
      <c r="AS3095" s="3" t="s">
        <v>62</v>
      </c>
      <c r="AT3095" s="3" t="s">
        <v>61</v>
      </c>
      <c r="AU3095" s="6" t="str">
        <f>HYPERLINK("http://catalog.hathitrust.org/Record/001494992","HathiTrust Record")</f>
        <v>HathiTrust Record</v>
      </c>
      <c r="AV3095" s="6" t="str">
        <f>HYPERLINK("http://mcgill.on.worldcat.org/oclc/485276","Catalog Record")</f>
        <v>Catalog Record</v>
      </c>
      <c r="AW3095" s="6" t="str">
        <f>HYPERLINK("http://www.worldcat.org/oclc/485276","WorldCat Record")</f>
        <v>WorldCat Record</v>
      </c>
      <c r="AX3095" s="3" t="s">
        <v>29955</v>
      </c>
      <c r="AY3095" s="3" t="s">
        <v>29956</v>
      </c>
      <c r="AZ3095" s="3" t="s">
        <v>29957</v>
      </c>
      <c r="BA3095" s="3" t="s">
        <v>29957</v>
      </c>
      <c r="BB3095" s="3" t="s">
        <v>29958</v>
      </c>
      <c r="BC3095" s="3" t="s">
        <v>102</v>
      </c>
      <c r="BD3095" s="3" t="s">
        <v>68</v>
      </c>
      <c r="BF3095" s="3" t="s">
        <v>29958</v>
      </c>
      <c r="BG3095" s="3" t="s">
        <v>29959</v>
      </c>
    </row>
    <row r="3096" spans="1:59" ht="58" x14ac:dyDescent="0.35">
      <c r="A3096" s="2" t="s">
        <v>89</v>
      </c>
      <c r="B3096" s="2" t="s">
        <v>90</v>
      </c>
      <c r="C3096" s="2" t="s">
        <v>29960</v>
      </c>
      <c r="D3096" s="2" t="s">
        <v>29961</v>
      </c>
      <c r="E3096" s="2" t="s">
        <v>29962</v>
      </c>
      <c r="G3096" s="3" t="s">
        <v>62</v>
      </c>
      <c r="I3096" s="3" t="s">
        <v>62</v>
      </c>
      <c r="J3096" s="3" t="s">
        <v>62</v>
      </c>
      <c r="K3096" s="3" t="s">
        <v>63</v>
      </c>
      <c r="L3096" s="2" t="s">
        <v>29963</v>
      </c>
      <c r="M3096" s="2" t="s">
        <v>29964</v>
      </c>
      <c r="N3096" s="3" t="s">
        <v>2305</v>
      </c>
      <c r="P3096" s="3" t="s">
        <v>64</v>
      </c>
      <c r="R3096" s="3" t="s">
        <v>27443</v>
      </c>
      <c r="S3096" s="4">
        <v>26</v>
      </c>
      <c r="T3096" s="4">
        <v>26</v>
      </c>
      <c r="U3096" s="5" t="s">
        <v>2267</v>
      </c>
      <c r="V3096" s="5" t="s">
        <v>2267</v>
      </c>
      <c r="W3096" s="5" t="s">
        <v>67</v>
      </c>
      <c r="X3096" s="5" t="s">
        <v>67</v>
      </c>
      <c r="Y3096" s="4">
        <v>176</v>
      </c>
      <c r="Z3096" s="4">
        <v>13</v>
      </c>
      <c r="AA3096" s="4">
        <v>15</v>
      </c>
      <c r="AB3096" s="4">
        <v>1</v>
      </c>
      <c r="AC3096" s="4">
        <v>2</v>
      </c>
      <c r="AD3096" s="4">
        <v>49</v>
      </c>
      <c r="AE3096" s="4">
        <v>56</v>
      </c>
      <c r="AF3096" s="4">
        <v>0</v>
      </c>
      <c r="AG3096" s="4">
        <v>1</v>
      </c>
      <c r="AH3096" s="4">
        <v>40</v>
      </c>
      <c r="AI3096" s="4">
        <v>46</v>
      </c>
      <c r="AJ3096" s="4">
        <v>10</v>
      </c>
      <c r="AK3096" s="4">
        <v>11</v>
      </c>
      <c r="AL3096" s="4">
        <v>25</v>
      </c>
      <c r="AM3096" s="4">
        <v>26</v>
      </c>
      <c r="AN3096" s="4">
        <v>0</v>
      </c>
      <c r="AO3096" s="4">
        <v>0</v>
      </c>
      <c r="AP3096" s="4">
        <v>9</v>
      </c>
      <c r="AQ3096" s="4">
        <v>11</v>
      </c>
      <c r="AR3096" s="3" t="s">
        <v>62</v>
      </c>
      <c r="AS3096" s="3" t="s">
        <v>62</v>
      </c>
      <c r="AT3096" s="3" t="s">
        <v>61</v>
      </c>
      <c r="AU3096" s="6" t="str">
        <f>HYPERLINK("http://catalog.hathitrust.org/Record/001628224","HathiTrust Record")</f>
        <v>HathiTrust Record</v>
      </c>
      <c r="AV3096" s="6" t="str">
        <f>HYPERLINK("http://mcgill.on.worldcat.org/oclc/824335","Catalog Record")</f>
        <v>Catalog Record</v>
      </c>
      <c r="AW3096" s="6" t="str">
        <f>HYPERLINK("http://www.worldcat.org/oclc/824335","WorldCat Record")</f>
        <v>WorldCat Record</v>
      </c>
      <c r="AX3096" s="3" t="s">
        <v>29965</v>
      </c>
      <c r="AY3096" s="3" t="s">
        <v>29966</v>
      </c>
      <c r="AZ3096" s="3" t="s">
        <v>29967</v>
      </c>
      <c r="BA3096" s="3" t="s">
        <v>29967</v>
      </c>
      <c r="BB3096" s="3" t="s">
        <v>29968</v>
      </c>
      <c r="BC3096" s="3" t="s">
        <v>102</v>
      </c>
      <c r="BD3096" s="3" t="s">
        <v>231</v>
      </c>
      <c r="BF3096" s="3" t="s">
        <v>29968</v>
      </c>
      <c r="BG3096" s="3" t="s">
        <v>29969</v>
      </c>
    </row>
    <row r="3097" spans="1:59" ht="58" x14ac:dyDescent="0.35">
      <c r="A3097" s="2" t="s">
        <v>89</v>
      </c>
      <c r="B3097" s="2" t="s">
        <v>90</v>
      </c>
      <c r="C3097" s="2" t="s">
        <v>29970</v>
      </c>
      <c r="D3097" s="2" t="s">
        <v>29971</v>
      </c>
      <c r="E3097" s="2" t="s">
        <v>29972</v>
      </c>
      <c r="G3097" s="3" t="s">
        <v>62</v>
      </c>
      <c r="I3097" s="3" t="s">
        <v>62</v>
      </c>
      <c r="J3097" s="3" t="s">
        <v>62</v>
      </c>
      <c r="K3097" s="3" t="s">
        <v>63</v>
      </c>
      <c r="L3097" s="2" t="s">
        <v>29973</v>
      </c>
      <c r="M3097" s="2" t="s">
        <v>29974</v>
      </c>
      <c r="N3097" s="3" t="s">
        <v>327</v>
      </c>
      <c r="P3097" s="3" t="s">
        <v>64</v>
      </c>
      <c r="Q3097" s="2" t="s">
        <v>29975</v>
      </c>
      <c r="R3097" s="3" t="s">
        <v>27443</v>
      </c>
      <c r="S3097" s="4">
        <v>34</v>
      </c>
      <c r="T3097" s="4">
        <v>34</v>
      </c>
      <c r="U3097" s="5" t="s">
        <v>29976</v>
      </c>
      <c r="V3097" s="5" t="s">
        <v>29976</v>
      </c>
      <c r="W3097" s="5" t="s">
        <v>67</v>
      </c>
      <c r="X3097" s="5" t="s">
        <v>67</v>
      </c>
      <c r="Y3097" s="4">
        <v>236</v>
      </c>
      <c r="Z3097" s="4">
        <v>6</v>
      </c>
      <c r="AA3097" s="4">
        <v>42</v>
      </c>
      <c r="AB3097" s="4">
        <v>2</v>
      </c>
      <c r="AC3097" s="4">
        <v>8</v>
      </c>
      <c r="AD3097" s="4">
        <v>21</v>
      </c>
      <c r="AE3097" s="4">
        <v>131</v>
      </c>
      <c r="AF3097" s="4">
        <v>0</v>
      </c>
      <c r="AG3097" s="4">
        <v>3</v>
      </c>
      <c r="AH3097" s="4">
        <v>20</v>
      </c>
      <c r="AI3097" s="4">
        <v>111</v>
      </c>
      <c r="AJ3097" s="4">
        <v>1</v>
      </c>
      <c r="AK3097" s="4">
        <v>18</v>
      </c>
      <c r="AL3097" s="4">
        <v>8</v>
      </c>
      <c r="AM3097" s="4">
        <v>62</v>
      </c>
      <c r="AN3097" s="4">
        <v>0</v>
      </c>
      <c r="AO3097" s="4">
        <v>5</v>
      </c>
      <c r="AP3097" s="4">
        <v>1</v>
      </c>
      <c r="AQ3097" s="4">
        <v>23</v>
      </c>
      <c r="AR3097" s="3" t="s">
        <v>62</v>
      </c>
      <c r="AS3097" s="3" t="s">
        <v>62</v>
      </c>
      <c r="AT3097" s="3" t="s">
        <v>62</v>
      </c>
      <c r="AV3097" s="6" t="str">
        <f>HYPERLINK("http://mcgill.on.worldcat.org/oclc/9132112","Catalog Record")</f>
        <v>Catalog Record</v>
      </c>
      <c r="AW3097" s="6" t="str">
        <f>HYPERLINK("http://www.worldcat.org/oclc/9132112","WorldCat Record")</f>
        <v>WorldCat Record</v>
      </c>
      <c r="AX3097" s="3" t="s">
        <v>29977</v>
      </c>
      <c r="AY3097" s="3" t="s">
        <v>29978</v>
      </c>
      <c r="AZ3097" s="3" t="s">
        <v>29979</v>
      </c>
      <c r="BA3097" s="3" t="s">
        <v>29979</v>
      </c>
      <c r="BB3097" s="3" t="s">
        <v>29980</v>
      </c>
      <c r="BC3097" s="3" t="s">
        <v>102</v>
      </c>
      <c r="BD3097" s="3" t="s">
        <v>68</v>
      </c>
      <c r="BE3097" s="3" t="s">
        <v>29981</v>
      </c>
      <c r="BF3097" s="3" t="s">
        <v>29980</v>
      </c>
      <c r="BG3097" s="3" t="s">
        <v>29982</v>
      </c>
    </row>
    <row r="3098" spans="1:59" ht="58" x14ac:dyDescent="0.35">
      <c r="A3098" s="2" t="s">
        <v>89</v>
      </c>
      <c r="B3098" s="2" t="s">
        <v>90</v>
      </c>
      <c r="C3098" s="2" t="s">
        <v>29983</v>
      </c>
      <c r="D3098" s="2" t="s">
        <v>29984</v>
      </c>
      <c r="E3098" s="2" t="s">
        <v>29985</v>
      </c>
      <c r="G3098" s="3" t="s">
        <v>62</v>
      </c>
      <c r="I3098" s="3" t="s">
        <v>62</v>
      </c>
      <c r="J3098" s="3" t="s">
        <v>62</v>
      </c>
      <c r="K3098" s="3" t="s">
        <v>63</v>
      </c>
      <c r="L3098" s="2" t="s">
        <v>29986</v>
      </c>
      <c r="M3098" s="2" t="s">
        <v>29987</v>
      </c>
      <c r="N3098" s="3" t="s">
        <v>539</v>
      </c>
      <c r="P3098" s="3" t="s">
        <v>64</v>
      </c>
      <c r="Q3098" s="2" t="s">
        <v>29988</v>
      </c>
      <c r="R3098" s="3" t="s">
        <v>27443</v>
      </c>
      <c r="S3098" s="4">
        <v>16</v>
      </c>
      <c r="T3098" s="4">
        <v>16</v>
      </c>
      <c r="U3098" s="5" t="s">
        <v>29989</v>
      </c>
      <c r="V3098" s="5" t="s">
        <v>29989</v>
      </c>
      <c r="W3098" s="5" t="s">
        <v>67</v>
      </c>
      <c r="X3098" s="5" t="s">
        <v>67</v>
      </c>
      <c r="Y3098" s="4">
        <v>399</v>
      </c>
      <c r="Z3098" s="4">
        <v>22</v>
      </c>
      <c r="AA3098" s="4">
        <v>22</v>
      </c>
      <c r="AB3098" s="4">
        <v>1</v>
      </c>
      <c r="AC3098" s="4">
        <v>1</v>
      </c>
      <c r="AD3098" s="4">
        <v>93</v>
      </c>
      <c r="AE3098" s="4">
        <v>94</v>
      </c>
      <c r="AF3098" s="4">
        <v>0</v>
      </c>
      <c r="AG3098" s="4">
        <v>0</v>
      </c>
      <c r="AH3098" s="4">
        <v>81</v>
      </c>
      <c r="AI3098" s="4">
        <v>82</v>
      </c>
      <c r="AJ3098" s="4">
        <v>12</v>
      </c>
      <c r="AK3098" s="4">
        <v>12</v>
      </c>
      <c r="AL3098" s="4">
        <v>47</v>
      </c>
      <c r="AM3098" s="4">
        <v>48</v>
      </c>
      <c r="AN3098" s="4">
        <v>0</v>
      </c>
      <c r="AO3098" s="4">
        <v>0</v>
      </c>
      <c r="AP3098" s="4">
        <v>16</v>
      </c>
      <c r="AQ3098" s="4">
        <v>16</v>
      </c>
      <c r="AR3098" s="3" t="s">
        <v>62</v>
      </c>
      <c r="AS3098" s="3" t="s">
        <v>62</v>
      </c>
      <c r="AT3098" s="3" t="s">
        <v>61</v>
      </c>
      <c r="AU3098" s="6" t="str">
        <f>HYPERLINK("http://catalog.hathitrust.org/Record/003998956","HathiTrust Record")</f>
        <v>HathiTrust Record</v>
      </c>
      <c r="AV3098" s="6" t="str">
        <f>HYPERLINK("http://mcgill.on.worldcat.org/oclc/39335797","Catalog Record")</f>
        <v>Catalog Record</v>
      </c>
      <c r="AW3098" s="6" t="str">
        <f>HYPERLINK("http://www.worldcat.org/oclc/39335797","WorldCat Record")</f>
        <v>WorldCat Record</v>
      </c>
      <c r="AX3098" s="3" t="s">
        <v>29990</v>
      </c>
      <c r="AY3098" s="3" t="s">
        <v>29991</v>
      </c>
      <c r="AZ3098" s="3" t="s">
        <v>29992</v>
      </c>
      <c r="BA3098" s="3" t="s">
        <v>29992</v>
      </c>
      <c r="BB3098" s="3" t="s">
        <v>29993</v>
      </c>
      <c r="BC3098" s="3" t="s">
        <v>102</v>
      </c>
      <c r="BD3098" s="3" t="s">
        <v>68</v>
      </c>
      <c r="BE3098" s="3" t="s">
        <v>29994</v>
      </c>
      <c r="BF3098" s="3" t="s">
        <v>29993</v>
      </c>
      <c r="BG3098" s="3" t="s">
        <v>29995</v>
      </c>
    </row>
    <row r="3099" spans="1:59" ht="58" x14ac:dyDescent="0.35">
      <c r="A3099" s="2" t="s">
        <v>89</v>
      </c>
      <c r="B3099" s="2" t="s">
        <v>90</v>
      </c>
      <c r="C3099" s="2" t="s">
        <v>29996</v>
      </c>
      <c r="D3099" s="2" t="s">
        <v>29997</v>
      </c>
      <c r="E3099" s="2" t="s">
        <v>29998</v>
      </c>
      <c r="G3099" s="3" t="s">
        <v>62</v>
      </c>
      <c r="I3099" s="3" t="s">
        <v>61</v>
      </c>
      <c r="J3099" s="3" t="s">
        <v>62</v>
      </c>
      <c r="K3099" s="3" t="s">
        <v>63</v>
      </c>
      <c r="L3099" s="2" t="s">
        <v>29999</v>
      </c>
      <c r="M3099" s="2" t="s">
        <v>30000</v>
      </c>
      <c r="N3099" s="3" t="s">
        <v>893</v>
      </c>
      <c r="P3099" s="3" t="s">
        <v>64</v>
      </c>
      <c r="R3099" s="3" t="s">
        <v>27443</v>
      </c>
      <c r="S3099" s="4">
        <v>14</v>
      </c>
      <c r="T3099" s="4">
        <v>22</v>
      </c>
      <c r="U3099" s="5" t="s">
        <v>6141</v>
      </c>
      <c r="V3099" s="5" t="s">
        <v>6141</v>
      </c>
      <c r="W3099" s="5" t="s">
        <v>67</v>
      </c>
      <c r="X3099" s="5" t="s">
        <v>67</v>
      </c>
      <c r="Y3099" s="4">
        <v>343</v>
      </c>
      <c r="Z3099" s="4">
        <v>19</v>
      </c>
      <c r="AA3099" s="4">
        <v>25</v>
      </c>
      <c r="AB3099" s="4">
        <v>1</v>
      </c>
      <c r="AC3099" s="4">
        <v>2</v>
      </c>
      <c r="AD3099" s="4">
        <v>88</v>
      </c>
      <c r="AE3099" s="4">
        <v>91</v>
      </c>
      <c r="AF3099" s="4">
        <v>0</v>
      </c>
      <c r="AG3099" s="4">
        <v>1</v>
      </c>
      <c r="AH3099" s="4">
        <v>79</v>
      </c>
      <c r="AI3099" s="4">
        <v>81</v>
      </c>
      <c r="AJ3099" s="4">
        <v>14</v>
      </c>
      <c r="AK3099" s="4">
        <v>17</v>
      </c>
      <c r="AL3099" s="4">
        <v>43</v>
      </c>
      <c r="AM3099" s="4">
        <v>44</v>
      </c>
      <c r="AN3099" s="4">
        <v>0</v>
      </c>
      <c r="AO3099" s="4">
        <v>0</v>
      </c>
      <c r="AP3099" s="4">
        <v>15</v>
      </c>
      <c r="AQ3099" s="4">
        <v>18</v>
      </c>
      <c r="AR3099" s="3" t="s">
        <v>62</v>
      </c>
      <c r="AS3099" s="3" t="s">
        <v>62</v>
      </c>
      <c r="AT3099" s="3" t="s">
        <v>61</v>
      </c>
      <c r="AU3099" s="6" t="str">
        <f>HYPERLINK("http://catalog.hathitrust.org/Record/000104201","HathiTrust Record")</f>
        <v>HathiTrust Record</v>
      </c>
      <c r="AV3099" s="6" t="str">
        <f>HYPERLINK("http://mcgill.on.worldcat.org/oclc/8195045","Catalog Record")</f>
        <v>Catalog Record</v>
      </c>
      <c r="AW3099" s="6" t="str">
        <f>HYPERLINK("http://www.worldcat.org/oclc/8195045","WorldCat Record")</f>
        <v>WorldCat Record</v>
      </c>
      <c r="AX3099" s="3" t="s">
        <v>30001</v>
      </c>
      <c r="AY3099" s="3" t="s">
        <v>30002</v>
      </c>
      <c r="AZ3099" s="3" t="s">
        <v>30003</v>
      </c>
      <c r="BA3099" s="3" t="s">
        <v>30003</v>
      </c>
      <c r="BB3099" s="3" t="s">
        <v>30004</v>
      </c>
      <c r="BC3099" s="3" t="s">
        <v>102</v>
      </c>
      <c r="BD3099" s="3" t="s">
        <v>68</v>
      </c>
      <c r="BE3099" s="3" t="s">
        <v>30005</v>
      </c>
      <c r="BF3099" s="3" t="s">
        <v>30004</v>
      </c>
      <c r="BG3099" s="3" t="s">
        <v>30006</v>
      </c>
    </row>
    <row r="3100" spans="1:59" ht="58" x14ac:dyDescent="0.35">
      <c r="A3100" s="2" t="s">
        <v>89</v>
      </c>
      <c r="B3100" s="2" t="s">
        <v>90</v>
      </c>
      <c r="C3100" s="2" t="s">
        <v>30007</v>
      </c>
      <c r="D3100" s="2" t="s">
        <v>30008</v>
      </c>
      <c r="E3100" s="2" t="s">
        <v>30009</v>
      </c>
      <c r="G3100" s="3" t="s">
        <v>62</v>
      </c>
      <c r="I3100" s="3" t="s">
        <v>62</v>
      </c>
      <c r="J3100" s="3" t="s">
        <v>62</v>
      </c>
      <c r="K3100" s="3" t="s">
        <v>63</v>
      </c>
      <c r="L3100" s="2" t="s">
        <v>30010</v>
      </c>
      <c r="N3100" s="3" t="s">
        <v>1662</v>
      </c>
      <c r="P3100" s="3" t="s">
        <v>64</v>
      </c>
      <c r="R3100" s="3" t="s">
        <v>27443</v>
      </c>
      <c r="S3100" s="4">
        <v>28</v>
      </c>
      <c r="T3100" s="4">
        <v>28</v>
      </c>
      <c r="U3100" s="5" t="s">
        <v>2861</v>
      </c>
      <c r="V3100" s="5" t="s">
        <v>2861</v>
      </c>
      <c r="W3100" s="5" t="s">
        <v>67</v>
      </c>
      <c r="X3100" s="5" t="s">
        <v>67</v>
      </c>
      <c r="Y3100" s="4">
        <v>4</v>
      </c>
      <c r="Z3100" s="4">
        <v>2</v>
      </c>
      <c r="AA3100" s="4">
        <v>4</v>
      </c>
      <c r="AB3100" s="4">
        <v>1</v>
      </c>
      <c r="AC3100" s="4">
        <v>1</v>
      </c>
      <c r="AD3100" s="4">
        <v>1</v>
      </c>
      <c r="AE3100" s="4">
        <v>6</v>
      </c>
      <c r="AF3100" s="4">
        <v>0</v>
      </c>
      <c r="AG3100" s="4">
        <v>0</v>
      </c>
      <c r="AH3100" s="4">
        <v>0</v>
      </c>
      <c r="AI3100" s="4">
        <v>4</v>
      </c>
      <c r="AJ3100" s="4">
        <v>0</v>
      </c>
      <c r="AK3100" s="4">
        <v>1</v>
      </c>
      <c r="AL3100" s="4">
        <v>0</v>
      </c>
      <c r="AM3100" s="4">
        <v>1</v>
      </c>
      <c r="AN3100" s="4">
        <v>0</v>
      </c>
      <c r="AO3100" s="4">
        <v>0</v>
      </c>
      <c r="AP3100" s="4">
        <v>1</v>
      </c>
      <c r="AQ3100" s="4">
        <v>3</v>
      </c>
      <c r="AR3100" s="3" t="s">
        <v>62</v>
      </c>
      <c r="AS3100" s="3" t="s">
        <v>62</v>
      </c>
      <c r="AT3100" s="3" t="s">
        <v>62</v>
      </c>
      <c r="AV3100" s="6" t="str">
        <f>HYPERLINK("http://mcgill.on.worldcat.org/oclc/314478938","Catalog Record")</f>
        <v>Catalog Record</v>
      </c>
      <c r="AW3100" s="6" t="str">
        <f>HYPERLINK("http://www.worldcat.org/oclc/314478938","WorldCat Record")</f>
        <v>WorldCat Record</v>
      </c>
      <c r="AX3100" s="3" t="s">
        <v>30011</v>
      </c>
      <c r="AY3100" s="3" t="s">
        <v>30012</v>
      </c>
      <c r="AZ3100" s="3" t="s">
        <v>30013</v>
      </c>
      <c r="BA3100" s="3" t="s">
        <v>30013</v>
      </c>
      <c r="BB3100" s="3" t="s">
        <v>30014</v>
      </c>
      <c r="BC3100" s="3" t="s">
        <v>102</v>
      </c>
      <c r="BD3100" s="3" t="s">
        <v>68</v>
      </c>
      <c r="BF3100" s="3" t="s">
        <v>30014</v>
      </c>
      <c r="BG3100" s="3" t="s">
        <v>30015</v>
      </c>
    </row>
    <row r="3101" spans="1:59" ht="58" x14ac:dyDescent="0.35">
      <c r="A3101" s="2" t="s">
        <v>89</v>
      </c>
      <c r="B3101" s="2" t="s">
        <v>90</v>
      </c>
      <c r="C3101" s="2" t="s">
        <v>30016</v>
      </c>
      <c r="D3101" s="2" t="s">
        <v>30017</v>
      </c>
      <c r="E3101" s="2" t="s">
        <v>30018</v>
      </c>
      <c r="G3101" s="3" t="s">
        <v>62</v>
      </c>
      <c r="I3101" s="3" t="s">
        <v>61</v>
      </c>
      <c r="J3101" s="3" t="s">
        <v>62</v>
      </c>
      <c r="K3101" s="3" t="s">
        <v>63</v>
      </c>
      <c r="M3101" s="2" t="s">
        <v>30019</v>
      </c>
      <c r="N3101" s="3" t="s">
        <v>327</v>
      </c>
      <c r="P3101" s="3" t="s">
        <v>64</v>
      </c>
      <c r="Q3101" s="2" t="s">
        <v>30020</v>
      </c>
      <c r="R3101" s="3" t="s">
        <v>27443</v>
      </c>
      <c r="S3101" s="4">
        <v>3</v>
      </c>
      <c r="T3101" s="4">
        <v>5</v>
      </c>
      <c r="U3101" s="5" t="s">
        <v>30021</v>
      </c>
      <c r="V3101" s="5" t="s">
        <v>30021</v>
      </c>
      <c r="W3101" s="5" t="s">
        <v>67</v>
      </c>
      <c r="X3101" s="5" t="s">
        <v>67</v>
      </c>
      <c r="Y3101" s="4">
        <v>333</v>
      </c>
      <c r="Z3101" s="4">
        <v>27</v>
      </c>
      <c r="AA3101" s="4">
        <v>28</v>
      </c>
      <c r="AB3101" s="4">
        <v>2</v>
      </c>
      <c r="AC3101" s="4">
        <v>3</v>
      </c>
      <c r="AD3101" s="4">
        <v>104</v>
      </c>
      <c r="AE3101" s="4">
        <v>105</v>
      </c>
      <c r="AF3101" s="4">
        <v>1</v>
      </c>
      <c r="AG3101" s="4">
        <v>2</v>
      </c>
      <c r="AH3101" s="4">
        <v>89</v>
      </c>
      <c r="AI3101" s="4">
        <v>89</v>
      </c>
      <c r="AJ3101" s="4">
        <v>17</v>
      </c>
      <c r="AK3101" s="4">
        <v>18</v>
      </c>
      <c r="AL3101" s="4">
        <v>54</v>
      </c>
      <c r="AM3101" s="4">
        <v>54</v>
      </c>
      <c r="AN3101" s="4">
        <v>0</v>
      </c>
      <c r="AO3101" s="4">
        <v>0</v>
      </c>
      <c r="AP3101" s="4">
        <v>21</v>
      </c>
      <c r="AQ3101" s="4">
        <v>22</v>
      </c>
      <c r="AR3101" s="3" t="s">
        <v>62</v>
      </c>
      <c r="AS3101" s="3" t="s">
        <v>62</v>
      </c>
      <c r="AT3101" s="3" t="s">
        <v>62</v>
      </c>
      <c r="AV3101" s="6" t="str">
        <f>HYPERLINK("http://mcgill.on.worldcat.org/oclc/9647141","Catalog Record")</f>
        <v>Catalog Record</v>
      </c>
      <c r="AW3101" s="6" t="str">
        <f>HYPERLINK("http://www.worldcat.org/oclc/9647141","WorldCat Record")</f>
        <v>WorldCat Record</v>
      </c>
      <c r="AX3101" s="3" t="s">
        <v>30022</v>
      </c>
      <c r="AY3101" s="3" t="s">
        <v>30023</v>
      </c>
      <c r="AZ3101" s="3" t="s">
        <v>30024</v>
      </c>
      <c r="BA3101" s="3" t="s">
        <v>30024</v>
      </c>
      <c r="BB3101" s="3" t="s">
        <v>30025</v>
      </c>
      <c r="BC3101" s="3" t="s">
        <v>102</v>
      </c>
      <c r="BD3101" s="3" t="s">
        <v>68</v>
      </c>
      <c r="BE3101" s="3" t="s">
        <v>30026</v>
      </c>
      <c r="BF3101" s="3" t="s">
        <v>30025</v>
      </c>
      <c r="BG3101" s="3" t="s">
        <v>30027</v>
      </c>
    </row>
    <row r="3102" spans="1:59" ht="58" x14ac:dyDescent="0.35">
      <c r="A3102" s="2" t="s">
        <v>89</v>
      </c>
      <c r="B3102" s="2" t="s">
        <v>90</v>
      </c>
      <c r="C3102" s="2" t="s">
        <v>30028</v>
      </c>
      <c r="D3102" s="2" t="s">
        <v>30029</v>
      </c>
      <c r="E3102" s="2" t="s">
        <v>30030</v>
      </c>
      <c r="G3102" s="3" t="s">
        <v>62</v>
      </c>
      <c r="I3102" s="3" t="s">
        <v>61</v>
      </c>
      <c r="J3102" s="3" t="s">
        <v>62</v>
      </c>
      <c r="K3102" s="3" t="s">
        <v>63</v>
      </c>
      <c r="L3102" s="2" t="s">
        <v>30031</v>
      </c>
      <c r="M3102" s="2" t="s">
        <v>30032</v>
      </c>
      <c r="N3102" s="3" t="s">
        <v>424</v>
      </c>
      <c r="O3102" s="2" t="s">
        <v>30033</v>
      </c>
      <c r="P3102" s="3" t="s">
        <v>64</v>
      </c>
      <c r="R3102" s="3" t="s">
        <v>27443</v>
      </c>
      <c r="S3102" s="4">
        <v>22</v>
      </c>
      <c r="T3102" s="4">
        <v>22</v>
      </c>
      <c r="U3102" s="5" t="s">
        <v>1929</v>
      </c>
      <c r="V3102" s="5" t="s">
        <v>1929</v>
      </c>
      <c r="W3102" s="5" t="s">
        <v>67</v>
      </c>
      <c r="X3102" s="5" t="s">
        <v>67</v>
      </c>
      <c r="Y3102" s="4">
        <v>562</v>
      </c>
      <c r="Z3102" s="4">
        <v>19</v>
      </c>
      <c r="AA3102" s="4">
        <v>118</v>
      </c>
      <c r="AB3102" s="4">
        <v>1</v>
      </c>
      <c r="AC3102" s="4">
        <v>14</v>
      </c>
      <c r="AD3102" s="4">
        <v>41</v>
      </c>
      <c r="AE3102" s="4">
        <v>160</v>
      </c>
      <c r="AF3102" s="4">
        <v>0</v>
      </c>
      <c r="AG3102" s="4">
        <v>6</v>
      </c>
      <c r="AH3102" s="4">
        <v>37</v>
      </c>
      <c r="AI3102" s="4">
        <v>117</v>
      </c>
      <c r="AJ3102" s="4">
        <v>6</v>
      </c>
      <c r="AK3102" s="4">
        <v>28</v>
      </c>
      <c r="AL3102" s="4">
        <v>20</v>
      </c>
      <c r="AM3102" s="4">
        <v>61</v>
      </c>
      <c r="AN3102" s="4">
        <v>0</v>
      </c>
      <c r="AO3102" s="4">
        <v>0</v>
      </c>
      <c r="AP3102" s="4">
        <v>9</v>
      </c>
      <c r="AQ3102" s="4">
        <v>50</v>
      </c>
      <c r="AR3102" s="3" t="s">
        <v>62</v>
      </c>
      <c r="AS3102" s="3" t="s">
        <v>62</v>
      </c>
      <c r="AT3102" s="3" t="s">
        <v>62</v>
      </c>
      <c r="AV3102" s="6" t="str">
        <f>HYPERLINK("http://mcgill.on.worldcat.org/oclc/17454791","Catalog Record")</f>
        <v>Catalog Record</v>
      </c>
      <c r="AW3102" s="6" t="str">
        <f>HYPERLINK("http://www.worldcat.org/oclc/17454791","WorldCat Record")</f>
        <v>WorldCat Record</v>
      </c>
      <c r="AX3102" s="3" t="s">
        <v>30034</v>
      </c>
      <c r="AY3102" s="3" t="s">
        <v>30035</v>
      </c>
      <c r="AZ3102" s="3" t="s">
        <v>30036</v>
      </c>
      <c r="BA3102" s="3" t="s">
        <v>30036</v>
      </c>
      <c r="BB3102" s="3" t="s">
        <v>30037</v>
      </c>
      <c r="BC3102" s="3" t="s">
        <v>102</v>
      </c>
      <c r="BD3102" s="3" t="s">
        <v>68</v>
      </c>
      <c r="BE3102" s="3" t="s">
        <v>30038</v>
      </c>
      <c r="BF3102" s="3" t="s">
        <v>30037</v>
      </c>
      <c r="BG3102" s="3" t="s">
        <v>30039</v>
      </c>
    </row>
    <row r="3103" spans="1:59" ht="58" x14ac:dyDescent="0.35">
      <c r="A3103" s="2" t="s">
        <v>89</v>
      </c>
      <c r="B3103" s="2" t="s">
        <v>90</v>
      </c>
      <c r="C3103" s="2" t="s">
        <v>30040</v>
      </c>
      <c r="D3103" s="2" t="s">
        <v>30041</v>
      </c>
      <c r="E3103" s="2" t="s">
        <v>30042</v>
      </c>
      <c r="G3103" s="3" t="s">
        <v>62</v>
      </c>
      <c r="I3103" s="3" t="s">
        <v>62</v>
      </c>
      <c r="J3103" s="3" t="s">
        <v>62</v>
      </c>
      <c r="K3103" s="3" t="s">
        <v>63</v>
      </c>
      <c r="L3103" s="2" t="s">
        <v>30043</v>
      </c>
      <c r="M3103" s="2" t="s">
        <v>30044</v>
      </c>
      <c r="N3103" s="3" t="s">
        <v>129</v>
      </c>
      <c r="P3103" s="3" t="s">
        <v>64</v>
      </c>
      <c r="R3103" s="3" t="s">
        <v>27443</v>
      </c>
      <c r="S3103" s="4">
        <v>2</v>
      </c>
      <c r="T3103" s="4">
        <v>2</v>
      </c>
      <c r="U3103" s="5" t="s">
        <v>30045</v>
      </c>
      <c r="V3103" s="5" t="s">
        <v>30045</v>
      </c>
      <c r="W3103" s="5" t="s">
        <v>67</v>
      </c>
      <c r="X3103" s="5" t="s">
        <v>67</v>
      </c>
      <c r="Y3103" s="4">
        <v>170</v>
      </c>
      <c r="Z3103" s="4">
        <v>15</v>
      </c>
      <c r="AA3103" s="4">
        <v>34</v>
      </c>
      <c r="AB3103" s="4">
        <v>1</v>
      </c>
      <c r="AC3103" s="4">
        <v>5</v>
      </c>
      <c r="AD3103" s="4">
        <v>39</v>
      </c>
      <c r="AE3103" s="4">
        <v>95</v>
      </c>
      <c r="AF3103" s="4">
        <v>0</v>
      </c>
      <c r="AG3103" s="4">
        <v>2</v>
      </c>
      <c r="AH3103" s="4">
        <v>32</v>
      </c>
      <c r="AI3103" s="4">
        <v>82</v>
      </c>
      <c r="AJ3103" s="4">
        <v>10</v>
      </c>
      <c r="AK3103" s="4">
        <v>14</v>
      </c>
      <c r="AL3103" s="4">
        <v>24</v>
      </c>
      <c r="AM3103" s="4">
        <v>49</v>
      </c>
      <c r="AN3103" s="4">
        <v>0</v>
      </c>
      <c r="AO3103" s="4">
        <v>0</v>
      </c>
      <c r="AP3103" s="4">
        <v>11</v>
      </c>
      <c r="AQ3103" s="4">
        <v>19</v>
      </c>
      <c r="AR3103" s="3" t="s">
        <v>62</v>
      </c>
      <c r="AS3103" s="3" t="s">
        <v>62</v>
      </c>
      <c r="AT3103" s="3" t="s">
        <v>62</v>
      </c>
      <c r="AV3103" s="6" t="str">
        <f>HYPERLINK("http://mcgill.on.worldcat.org/oclc/855705703","Catalog Record")</f>
        <v>Catalog Record</v>
      </c>
      <c r="AW3103" s="6" t="str">
        <f>HYPERLINK("http://www.worldcat.org/oclc/855705703","WorldCat Record")</f>
        <v>WorldCat Record</v>
      </c>
      <c r="AX3103" s="3" t="s">
        <v>30046</v>
      </c>
      <c r="AY3103" s="3" t="s">
        <v>30047</v>
      </c>
      <c r="AZ3103" s="3" t="s">
        <v>30048</v>
      </c>
      <c r="BA3103" s="3" t="s">
        <v>30048</v>
      </c>
      <c r="BB3103" s="3" t="s">
        <v>30049</v>
      </c>
      <c r="BC3103" s="3" t="s">
        <v>102</v>
      </c>
      <c r="BD3103" s="3" t="s">
        <v>68</v>
      </c>
      <c r="BE3103" s="3" t="s">
        <v>30050</v>
      </c>
      <c r="BF3103" s="3" t="s">
        <v>30049</v>
      </c>
      <c r="BG3103" s="3" t="s">
        <v>30051</v>
      </c>
    </row>
    <row r="3104" spans="1:59" ht="58" x14ac:dyDescent="0.35">
      <c r="A3104" s="2" t="s">
        <v>89</v>
      </c>
      <c r="B3104" s="2" t="s">
        <v>90</v>
      </c>
      <c r="C3104" s="2" t="s">
        <v>30052</v>
      </c>
      <c r="D3104" s="2" t="s">
        <v>30053</v>
      </c>
      <c r="E3104" s="2" t="s">
        <v>30054</v>
      </c>
      <c r="F3104" s="3" t="s">
        <v>1413</v>
      </c>
      <c r="G3104" s="3" t="s">
        <v>61</v>
      </c>
      <c r="I3104" s="3" t="s">
        <v>62</v>
      </c>
      <c r="J3104" s="3" t="s">
        <v>61</v>
      </c>
      <c r="K3104" s="3" t="s">
        <v>63</v>
      </c>
      <c r="L3104" s="2" t="s">
        <v>30055</v>
      </c>
      <c r="M3104" s="2" t="s">
        <v>30056</v>
      </c>
      <c r="N3104" s="3" t="s">
        <v>157</v>
      </c>
      <c r="P3104" s="3" t="s">
        <v>64</v>
      </c>
      <c r="R3104" s="3" t="s">
        <v>27443</v>
      </c>
      <c r="S3104" s="4">
        <v>5</v>
      </c>
      <c r="T3104" s="4">
        <v>10</v>
      </c>
      <c r="U3104" s="5" t="s">
        <v>8498</v>
      </c>
      <c r="V3104" s="5" t="s">
        <v>8498</v>
      </c>
      <c r="W3104" s="5" t="s">
        <v>67</v>
      </c>
      <c r="X3104" s="5" t="s">
        <v>67</v>
      </c>
      <c r="Y3104" s="4">
        <v>204</v>
      </c>
      <c r="Z3104" s="4">
        <v>12</v>
      </c>
      <c r="AA3104" s="4">
        <v>39</v>
      </c>
      <c r="AB3104" s="4">
        <v>1</v>
      </c>
      <c r="AC3104" s="4">
        <v>5</v>
      </c>
      <c r="AD3104" s="4">
        <v>65</v>
      </c>
      <c r="AE3104" s="4">
        <v>109</v>
      </c>
      <c r="AF3104" s="4">
        <v>0</v>
      </c>
      <c r="AG3104" s="4">
        <v>2</v>
      </c>
      <c r="AH3104" s="4">
        <v>54</v>
      </c>
      <c r="AI3104" s="4">
        <v>86</v>
      </c>
      <c r="AJ3104" s="4">
        <v>7</v>
      </c>
      <c r="AK3104" s="4">
        <v>23</v>
      </c>
      <c r="AL3104" s="4">
        <v>33</v>
      </c>
      <c r="AM3104" s="4">
        <v>47</v>
      </c>
      <c r="AN3104" s="4">
        <v>0</v>
      </c>
      <c r="AO3104" s="4">
        <v>0</v>
      </c>
      <c r="AP3104" s="4">
        <v>11</v>
      </c>
      <c r="AQ3104" s="4">
        <v>28</v>
      </c>
      <c r="AR3104" s="3" t="s">
        <v>62</v>
      </c>
      <c r="AS3104" s="3" t="s">
        <v>62</v>
      </c>
      <c r="AT3104" s="3" t="s">
        <v>61</v>
      </c>
      <c r="AU3104" s="6" t="str">
        <f>HYPERLINK("http://catalog.hathitrust.org/Record/009752604","HathiTrust Record")</f>
        <v>HathiTrust Record</v>
      </c>
      <c r="AV3104" s="6" t="str">
        <f>HYPERLINK("http://mcgill.on.worldcat.org/oclc/1256196","Catalog Record")</f>
        <v>Catalog Record</v>
      </c>
      <c r="AW3104" s="6" t="str">
        <f>HYPERLINK("http://www.worldcat.org/oclc/1256196","WorldCat Record")</f>
        <v>WorldCat Record</v>
      </c>
      <c r="AX3104" s="3" t="s">
        <v>30057</v>
      </c>
      <c r="AY3104" s="3" t="s">
        <v>30058</v>
      </c>
      <c r="AZ3104" s="3" t="s">
        <v>30059</v>
      </c>
      <c r="BA3104" s="3" t="s">
        <v>30059</v>
      </c>
      <c r="BB3104" s="3" t="s">
        <v>30060</v>
      </c>
      <c r="BC3104" s="3" t="s">
        <v>102</v>
      </c>
      <c r="BD3104" s="3" t="s">
        <v>68</v>
      </c>
      <c r="BF3104" s="3" t="s">
        <v>30060</v>
      </c>
      <c r="BG3104" s="3" t="s">
        <v>30061</v>
      </c>
    </row>
    <row r="3105" spans="1:59" ht="58" x14ac:dyDescent="0.35">
      <c r="A3105" s="2" t="s">
        <v>89</v>
      </c>
      <c r="B3105" s="2" t="s">
        <v>90</v>
      </c>
      <c r="C3105" s="2" t="s">
        <v>30052</v>
      </c>
      <c r="D3105" s="2" t="s">
        <v>30053</v>
      </c>
      <c r="E3105" s="2" t="s">
        <v>30054</v>
      </c>
      <c r="F3105" s="3" t="s">
        <v>1416</v>
      </c>
      <c r="G3105" s="3" t="s">
        <v>61</v>
      </c>
      <c r="I3105" s="3" t="s">
        <v>62</v>
      </c>
      <c r="J3105" s="3" t="s">
        <v>61</v>
      </c>
      <c r="K3105" s="3" t="s">
        <v>63</v>
      </c>
      <c r="L3105" s="2" t="s">
        <v>30055</v>
      </c>
      <c r="M3105" s="2" t="s">
        <v>30056</v>
      </c>
      <c r="N3105" s="3" t="s">
        <v>157</v>
      </c>
      <c r="P3105" s="3" t="s">
        <v>64</v>
      </c>
      <c r="R3105" s="3" t="s">
        <v>27443</v>
      </c>
      <c r="S3105" s="4">
        <v>5</v>
      </c>
      <c r="T3105" s="4">
        <v>10</v>
      </c>
      <c r="U3105" s="5" t="s">
        <v>8498</v>
      </c>
      <c r="V3105" s="5" t="s">
        <v>8498</v>
      </c>
      <c r="W3105" s="5" t="s">
        <v>67</v>
      </c>
      <c r="X3105" s="5" t="s">
        <v>67</v>
      </c>
      <c r="Y3105" s="4">
        <v>204</v>
      </c>
      <c r="Z3105" s="4">
        <v>12</v>
      </c>
      <c r="AA3105" s="4">
        <v>39</v>
      </c>
      <c r="AB3105" s="4">
        <v>1</v>
      </c>
      <c r="AC3105" s="4">
        <v>5</v>
      </c>
      <c r="AD3105" s="4">
        <v>65</v>
      </c>
      <c r="AE3105" s="4">
        <v>109</v>
      </c>
      <c r="AF3105" s="4">
        <v>0</v>
      </c>
      <c r="AG3105" s="4">
        <v>2</v>
      </c>
      <c r="AH3105" s="4">
        <v>54</v>
      </c>
      <c r="AI3105" s="4">
        <v>86</v>
      </c>
      <c r="AJ3105" s="4">
        <v>7</v>
      </c>
      <c r="AK3105" s="4">
        <v>23</v>
      </c>
      <c r="AL3105" s="4">
        <v>33</v>
      </c>
      <c r="AM3105" s="4">
        <v>47</v>
      </c>
      <c r="AN3105" s="4">
        <v>0</v>
      </c>
      <c r="AO3105" s="4">
        <v>0</v>
      </c>
      <c r="AP3105" s="4">
        <v>11</v>
      </c>
      <c r="AQ3105" s="4">
        <v>28</v>
      </c>
      <c r="AR3105" s="3" t="s">
        <v>62</v>
      </c>
      <c r="AS3105" s="3" t="s">
        <v>62</v>
      </c>
      <c r="AT3105" s="3" t="s">
        <v>61</v>
      </c>
      <c r="AU3105" s="6" t="str">
        <f>HYPERLINK("http://catalog.hathitrust.org/Record/009752604","HathiTrust Record")</f>
        <v>HathiTrust Record</v>
      </c>
      <c r="AV3105" s="6" t="str">
        <f>HYPERLINK("http://mcgill.on.worldcat.org/oclc/1256196","Catalog Record")</f>
        <v>Catalog Record</v>
      </c>
      <c r="AW3105" s="6" t="str">
        <f>HYPERLINK("http://www.worldcat.org/oclc/1256196","WorldCat Record")</f>
        <v>WorldCat Record</v>
      </c>
      <c r="AX3105" s="3" t="s">
        <v>30057</v>
      </c>
      <c r="AY3105" s="3" t="s">
        <v>30058</v>
      </c>
      <c r="AZ3105" s="3" t="s">
        <v>30059</v>
      </c>
      <c r="BA3105" s="3" t="s">
        <v>30059</v>
      </c>
      <c r="BB3105" s="3" t="s">
        <v>30062</v>
      </c>
      <c r="BC3105" s="3" t="s">
        <v>102</v>
      </c>
      <c r="BD3105" s="3" t="s">
        <v>68</v>
      </c>
      <c r="BF3105" s="3" t="s">
        <v>30062</v>
      </c>
      <c r="BG3105" s="3" t="s">
        <v>30063</v>
      </c>
    </row>
    <row r="3106" spans="1:59" ht="58" x14ac:dyDescent="0.35">
      <c r="A3106" s="2" t="s">
        <v>89</v>
      </c>
      <c r="B3106" s="2" t="s">
        <v>90</v>
      </c>
      <c r="C3106" s="2" t="s">
        <v>30064</v>
      </c>
      <c r="D3106" s="2" t="s">
        <v>30065</v>
      </c>
      <c r="E3106" s="2" t="s">
        <v>30066</v>
      </c>
      <c r="G3106" s="3" t="s">
        <v>62</v>
      </c>
      <c r="I3106" s="3" t="s">
        <v>62</v>
      </c>
      <c r="J3106" s="3" t="s">
        <v>62</v>
      </c>
      <c r="K3106" s="3" t="s">
        <v>63</v>
      </c>
      <c r="L3106" s="2" t="s">
        <v>30067</v>
      </c>
      <c r="M3106" s="2" t="s">
        <v>30068</v>
      </c>
      <c r="N3106" s="3" t="s">
        <v>1077</v>
      </c>
      <c r="P3106" s="3" t="s">
        <v>64</v>
      </c>
      <c r="Q3106" s="2" t="s">
        <v>30069</v>
      </c>
      <c r="R3106" s="3" t="s">
        <v>27443</v>
      </c>
      <c r="S3106" s="4">
        <v>4</v>
      </c>
      <c r="T3106" s="4">
        <v>4</v>
      </c>
      <c r="U3106" s="5" t="s">
        <v>7863</v>
      </c>
      <c r="V3106" s="5" t="s">
        <v>7863</v>
      </c>
      <c r="W3106" s="5" t="s">
        <v>67</v>
      </c>
      <c r="X3106" s="5" t="s">
        <v>67</v>
      </c>
      <c r="Y3106" s="4">
        <v>42</v>
      </c>
      <c r="Z3106" s="4">
        <v>5</v>
      </c>
      <c r="AA3106" s="4">
        <v>5</v>
      </c>
      <c r="AB3106" s="4">
        <v>1</v>
      </c>
      <c r="AC3106" s="4">
        <v>1</v>
      </c>
      <c r="AD3106" s="4">
        <v>19</v>
      </c>
      <c r="AE3106" s="4">
        <v>19</v>
      </c>
      <c r="AF3106" s="4">
        <v>0</v>
      </c>
      <c r="AG3106" s="4">
        <v>0</v>
      </c>
      <c r="AH3106" s="4">
        <v>18</v>
      </c>
      <c r="AI3106" s="4">
        <v>18</v>
      </c>
      <c r="AJ3106" s="4">
        <v>3</v>
      </c>
      <c r="AK3106" s="4">
        <v>3</v>
      </c>
      <c r="AL3106" s="4">
        <v>12</v>
      </c>
      <c r="AM3106" s="4">
        <v>12</v>
      </c>
      <c r="AN3106" s="4">
        <v>0</v>
      </c>
      <c r="AO3106" s="4">
        <v>0</v>
      </c>
      <c r="AP3106" s="4">
        <v>3</v>
      </c>
      <c r="AQ3106" s="4">
        <v>3</v>
      </c>
      <c r="AR3106" s="3" t="s">
        <v>62</v>
      </c>
      <c r="AS3106" s="3" t="s">
        <v>62</v>
      </c>
      <c r="AT3106" s="3" t="s">
        <v>61</v>
      </c>
      <c r="AU3106" s="6" t="str">
        <f>HYPERLINK("http://catalog.hathitrust.org/Record/002903694","HathiTrust Record")</f>
        <v>HathiTrust Record</v>
      </c>
      <c r="AV3106" s="6" t="str">
        <f>HYPERLINK("http://mcgill.on.worldcat.org/oclc/29704090","Catalog Record")</f>
        <v>Catalog Record</v>
      </c>
      <c r="AW3106" s="6" t="str">
        <f>HYPERLINK("http://www.worldcat.org/oclc/29704090","WorldCat Record")</f>
        <v>WorldCat Record</v>
      </c>
      <c r="AX3106" s="3" t="s">
        <v>30070</v>
      </c>
      <c r="AY3106" s="3" t="s">
        <v>30071</v>
      </c>
      <c r="AZ3106" s="3" t="s">
        <v>30072</v>
      </c>
      <c r="BA3106" s="3" t="s">
        <v>30072</v>
      </c>
      <c r="BB3106" s="3" t="s">
        <v>30073</v>
      </c>
      <c r="BC3106" s="3" t="s">
        <v>102</v>
      </c>
      <c r="BD3106" s="3" t="s">
        <v>68</v>
      </c>
      <c r="BE3106" s="3" t="s">
        <v>30074</v>
      </c>
      <c r="BF3106" s="3" t="s">
        <v>30073</v>
      </c>
      <c r="BG3106" s="3" t="s">
        <v>30075</v>
      </c>
    </row>
    <row r="3107" spans="1:59" ht="58" x14ac:dyDescent="0.35">
      <c r="A3107" s="2" t="s">
        <v>89</v>
      </c>
      <c r="B3107" s="2" t="s">
        <v>90</v>
      </c>
      <c r="C3107" s="2" t="s">
        <v>30076</v>
      </c>
      <c r="D3107" s="2" t="s">
        <v>30077</v>
      </c>
      <c r="E3107" s="2" t="s">
        <v>30078</v>
      </c>
      <c r="G3107" s="3" t="s">
        <v>62</v>
      </c>
      <c r="I3107" s="3" t="s">
        <v>62</v>
      </c>
      <c r="J3107" s="3" t="s">
        <v>62</v>
      </c>
      <c r="K3107" s="3" t="s">
        <v>63</v>
      </c>
      <c r="L3107" s="2" t="s">
        <v>30079</v>
      </c>
      <c r="M3107" s="2" t="s">
        <v>30080</v>
      </c>
      <c r="N3107" s="3" t="s">
        <v>553</v>
      </c>
      <c r="P3107" s="3" t="s">
        <v>64</v>
      </c>
      <c r="Q3107" s="2" t="s">
        <v>30081</v>
      </c>
      <c r="R3107" s="3" t="s">
        <v>27443</v>
      </c>
      <c r="S3107" s="4">
        <v>6</v>
      </c>
      <c r="T3107" s="4">
        <v>6</v>
      </c>
      <c r="U3107" s="5" t="s">
        <v>29976</v>
      </c>
      <c r="V3107" s="5" t="s">
        <v>29976</v>
      </c>
      <c r="W3107" s="5" t="s">
        <v>67</v>
      </c>
      <c r="X3107" s="5" t="s">
        <v>67</v>
      </c>
      <c r="Y3107" s="4">
        <v>532</v>
      </c>
      <c r="Z3107" s="4">
        <v>20</v>
      </c>
      <c r="AA3107" s="4">
        <v>32</v>
      </c>
      <c r="AB3107" s="4">
        <v>2</v>
      </c>
      <c r="AC3107" s="4">
        <v>7</v>
      </c>
      <c r="AD3107" s="4">
        <v>113</v>
      </c>
      <c r="AE3107" s="4">
        <v>124</v>
      </c>
      <c r="AF3107" s="4">
        <v>0</v>
      </c>
      <c r="AG3107" s="4">
        <v>2</v>
      </c>
      <c r="AH3107" s="4">
        <v>103</v>
      </c>
      <c r="AI3107" s="4">
        <v>106</v>
      </c>
      <c r="AJ3107" s="4">
        <v>13</v>
      </c>
      <c r="AK3107" s="4">
        <v>17</v>
      </c>
      <c r="AL3107" s="4">
        <v>58</v>
      </c>
      <c r="AM3107" s="4">
        <v>59</v>
      </c>
      <c r="AN3107" s="4">
        <v>0</v>
      </c>
      <c r="AO3107" s="4">
        <v>0</v>
      </c>
      <c r="AP3107" s="4">
        <v>14</v>
      </c>
      <c r="AQ3107" s="4">
        <v>21</v>
      </c>
      <c r="AR3107" s="3" t="s">
        <v>62</v>
      </c>
      <c r="AS3107" s="3" t="s">
        <v>62</v>
      </c>
      <c r="AT3107" s="3" t="s">
        <v>62</v>
      </c>
      <c r="AV3107" s="6" t="str">
        <f>HYPERLINK("http://mcgill.on.worldcat.org/oclc/40964725","Catalog Record")</f>
        <v>Catalog Record</v>
      </c>
      <c r="AW3107" s="6" t="str">
        <f>HYPERLINK("http://www.worldcat.org/oclc/40964725","WorldCat Record")</f>
        <v>WorldCat Record</v>
      </c>
      <c r="AX3107" s="3" t="s">
        <v>30082</v>
      </c>
      <c r="AY3107" s="3" t="s">
        <v>30083</v>
      </c>
      <c r="AZ3107" s="3" t="s">
        <v>30084</v>
      </c>
      <c r="BA3107" s="3" t="s">
        <v>30084</v>
      </c>
      <c r="BB3107" s="3" t="s">
        <v>30085</v>
      </c>
      <c r="BC3107" s="3" t="s">
        <v>102</v>
      </c>
      <c r="BD3107" s="3" t="s">
        <v>68</v>
      </c>
      <c r="BE3107" s="3" t="s">
        <v>30086</v>
      </c>
      <c r="BF3107" s="3" t="s">
        <v>30085</v>
      </c>
      <c r="BG3107" s="3" t="s">
        <v>30087</v>
      </c>
    </row>
    <row r="3108" spans="1:59" ht="58" x14ac:dyDescent="0.35">
      <c r="A3108" s="2" t="s">
        <v>89</v>
      </c>
      <c r="B3108" s="2" t="s">
        <v>90</v>
      </c>
      <c r="C3108" s="2" t="s">
        <v>30088</v>
      </c>
      <c r="D3108" s="2" t="s">
        <v>30089</v>
      </c>
      <c r="E3108" s="2" t="s">
        <v>30090</v>
      </c>
      <c r="G3108" s="3" t="s">
        <v>62</v>
      </c>
      <c r="I3108" s="3" t="s">
        <v>62</v>
      </c>
      <c r="J3108" s="3" t="s">
        <v>62</v>
      </c>
      <c r="K3108" s="3" t="s">
        <v>63</v>
      </c>
      <c r="L3108" s="2" t="s">
        <v>30091</v>
      </c>
      <c r="M3108" s="2" t="s">
        <v>30092</v>
      </c>
      <c r="N3108" s="3" t="s">
        <v>640</v>
      </c>
      <c r="P3108" s="3" t="s">
        <v>64</v>
      </c>
      <c r="R3108" s="3" t="s">
        <v>27443</v>
      </c>
      <c r="S3108" s="4">
        <v>12</v>
      </c>
      <c r="T3108" s="4">
        <v>12</v>
      </c>
      <c r="U3108" s="5" t="s">
        <v>29989</v>
      </c>
      <c r="V3108" s="5" t="s">
        <v>29989</v>
      </c>
      <c r="W3108" s="5" t="s">
        <v>67</v>
      </c>
      <c r="X3108" s="5" t="s">
        <v>67</v>
      </c>
      <c r="Y3108" s="4">
        <v>193</v>
      </c>
      <c r="Z3108" s="4">
        <v>14</v>
      </c>
      <c r="AA3108" s="4">
        <v>14</v>
      </c>
      <c r="AB3108" s="4">
        <v>1</v>
      </c>
      <c r="AC3108" s="4">
        <v>1</v>
      </c>
      <c r="AD3108" s="4">
        <v>81</v>
      </c>
      <c r="AE3108" s="4">
        <v>81</v>
      </c>
      <c r="AF3108" s="4">
        <v>0</v>
      </c>
      <c r="AG3108" s="4">
        <v>0</v>
      </c>
      <c r="AH3108" s="4">
        <v>76</v>
      </c>
      <c r="AI3108" s="4">
        <v>76</v>
      </c>
      <c r="AJ3108" s="4">
        <v>8</v>
      </c>
      <c r="AK3108" s="4">
        <v>8</v>
      </c>
      <c r="AL3108" s="4">
        <v>39</v>
      </c>
      <c r="AM3108" s="4">
        <v>39</v>
      </c>
      <c r="AN3108" s="4">
        <v>0</v>
      </c>
      <c r="AO3108" s="4">
        <v>0</v>
      </c>
      <c r="AP3108" s="4">
        <v>8</v>
      </c>
      <c r="AQ3108" s="4">
        <v>8</v>
      </c>
      <c r="AR3108" s="3" t="s">
        <v>62</v>
      </c>
      <c r="AS3108" s="3" t="s">
        <v>62</v>
      </c>
      <c r="AT3108" s="3" t="s">
        <v>61</v>
      </c>
      <c r="AU3108" s="6" t="str">
        <f>HYPERLINK("http://catalog.hathitrust.org/Record/004768588","HathiTrust Record")</f>
        <v>HathiTrust Record</v>
      </c>
      <c r="AV3108" s="6" t="str">
        <f>HYPERLINK("http://mcgill.on.worldcat.org/oclc/56955178","Catalog Record")</f>
        <v>Catalog Record</v>
      </c>
      <c r="AW3108" s="6" t="str">
        <f>HYPERLINK("http://www.worldcat.org/oclc/56955178","WorldCat Record")</f>
        <v>WorldCat Record</v>
      </c>
      <c r="AX3108" s="3" t="s">
        <v>30093</v>
      </c>
      <c r="AY3108" s="3" t="s">
        <v>30094</v>
      </c>
      <c r="AZ3108" s="3" t="s">
        <v>30095</v>
      </c>
      <c r="BA3108" s="3" t="s">
        <v>30095</v>
      </c>
      <c r="BB3108" s="3" t="s">
        <v>30096</v>
      </c>
      <c r="BC3108" s="3" t="s">
        <v>102</v>
      </c>
      <c r="BD3108" s="3" t="s">
        <v>68</v>
      </c>
      <c r="BE3108" s="3" t="s">
        <v>30097</v>
      </c>
      <c r="BF3108" s="3" t="s">
        <v>30096</v>
      </c>
      <c r="BG3108" s="3" t="s">
        <v>30098</v>
      </c>
    </row>
    <row r="3109" spans="1:59" ht="58" x14ac:dyDescent="0.35">
      <c r="A3109" s="2" t="s">
        <v>89</v>
      </c>
      <c r="B3109" s="2" t="s">
        <v>90</v>
      </c>
      <c r="C3109" s="2" t="s">
        <v>30099</v>
      </c>
      <c r="D3109" s="2" t="s">
        <v>30100</v>
      </c>
      <c r="E3109" s="2" t="s">
        <v>30101</v>
      </c>
      <c r="G3109" s="3" t="s">
        <v>62</v>
      </c>
      <c r="I3109" s="3" t="s">
        <v>62</v>
      </c>
      <c r="J3109" s="3" t="s">
        <v>62</v>
      </c>
      <c r="K3109" s="3" t="s">
        <v>63</v>
      </c>
      <c r="L3109" s="2" t="s">
        <v>30102</v>
      </c>
      <c r="M3109" s="2" t="s">
        <v>30103</v>
      </c>
      <c r="N3109" s="3" t="s">
        <v>509</v>
      </c>
      <c r="P3109" s="3" t="s">
        <v>64</v>
      </c>
      <c r="R3109" s="3" t="s">
        <v>27443</v>
      </c>
      <c r="S3109" s="4">
        <v>6</v>
      </c>
      <c r="T3109" s="4">
        <v>6</v>
      </c>
      <c r="U3109" s="5" t="s">
        <v>9574</v>
      </c>
      <c r="V3109" s="5" t="s">
        <v>9574</v>
      </c>
      <c r="W3109" s="5" t="s">
        <v>67</v>
      </c>
      <c r="X3109" s="5" t="s">
        <v>67</v>
      </c>
      <c r="Y3109" s="4">
        <v>146</v>
      </c>
      <c r="Z3109" s="4">
        <v>38</v>
      </c>
      <c r="AA3109" s="4">
        <v>140</v>
      </c>
      <c r="AB3109" s="4">
        <v>3</v>
      </c>
      <c r="AC3109" s="4">
        <v>24</v>
      </c>
      <c r="AD3109" s="4">
        <v>73</v>
      </c>
      <c r="AE3109" s="4">
        <v>134</v>
      </c>
      <c r="AF3109" s="4">
        <v>1</v>
      </c>
      <c r="AG3109" s="4">
        <v>9</v>
      </c>
      <c r="AH3109" s="4">
        <v>56</v>
      </c>
      <c r="AI3109" s="4">
        <v>84</v>
      </c>
      <c r="AJ3109" s="4">
        <v>16</v>
      </c>
      <c r="AK3109" s="4">
        <v>29</v>
      </c>
      <c r="AL3109" s="4">
        <v>34</v>
      </c>
      <c r="AM3109" s="4">
        <v>44</v>
      </c>
      <c r="AN3109" s="4">
        <v>0</v>
      </c>
      <c r="AO3109" s="4">
        <v>0</v>
      </c>
      <c r="AP3109" s="4">
        <v>21</v>
      </c>
      <c r="AQ3109" s="4">
        <v>55</v>
      </c>
      <c r="AR3109" s="3" t="s">
        <v>61</v>
      </c>
      <c r="AS3109" s="3" t="s">
        <v>62</v>
      </c>
      <c r="AT3109" s="3" t="s">
        <v>62</v>
      </c>
      <c r="AV3109" s="6" t="str">
        <f>HYPERLINK("http://mcgill.on.worldcat.org/oclc/29597342","Catalog Record")</f>
        <v>Catalog Record</v>
      </c>
      <c r="AW3109" s="6" t="str">
        <f>HYPERLINK("http://www.worldcat.org/oclc/29597342","WorldCat Record")</f>
        <v>WorldCat Record</v>
      </c>
      <c r="AX3109" s="3" t="s">
        <v>30104</v>
      </c>
      <c r="AY3109" s="3" t="s">
        <v>30105</v>
      </c>
      <c r="AZ3109" s="3" t="s">
        <v>30106</v>
      </c>
      <c r="BA3109" s="3" t="s">
        <v>30106</v>
      </c>
      <c r="BB3109" s="3" t="s">
        <v>30107</v>
      </c>
      <c r="BC3109" s="3" t="s">
        <v>102</v>
      </c>
      <c r="BD3109" s="3" t="s">
        <v>68</v>
      </c>
      <c r="BE3109" s="3" t="s">
        <v>30108</v>
      </c>
      <c r="BF3109" s="3" t="s">
        <v>30107</v>
      </c>
      <c r="BG3109" s="3" t="s">
        <v>30109</v>
      </c>
    </row>
    <row r="3110" spans="1:59" ht="72.5" x14ac:dyDescent="0.35">
      <c r="A3110" s="2" t="s">
        <v>89</v>
      </c>
      <c r="B3110" s="2" t="s">
        <v>90</v>
      </c>
      <c r="C3110" s="2" t="s">
        <v>30110</v>
      </c>
      <c r="D3110" s="2" t="s">
        <v>30111</v>
      </c>
      <c r="E3110" s="2" t="s">
        <v>30112</v>
      </c>
      <c r="G3110" s="3" t="s">
        <v>62</v>
      </c>
      <c r="I3110" s="3" t="s">
        <v>62</v>
      </c>
      <c r="J3110" s="3" t="s">
        <v>62</v>
      </c>
      <c r="K3110" s="3" t="s">
        <v>63</v>
      </c>
      <c r="L3110" s="2" t="s">
        <v>30113</v>
      </c>
      <c r="M3110" s="2" t="s">
        <v>30114</v>
      </c>
      <c r="N3110" s="3" t="s">
        <v>2085</v>
      </c>
      <c r="P3110" s="3" t="s">
        <v>64</v>
      </c>
      <c r="Q3110" s="2" t="s">
        <v>30115</v>
      </c>
      <c r="R3110" s="3" t="s">
        <v>27443</v>
      </c>
      <c r="S3110" s="4">
        <v>1</v>
      </c>
      <c r="T3110" s="4">
        <v>1</v>
      </c>
      <c r="W3110" s="5" t="s">
        <v>67</v>
      </c>
      <c r="X3110" s="5" t="s">
        <v>67</v>
      </c>
      <c r="Y3110" s="4">
        <v>64</v>
      </c>
      <c r="Z3110" s="4">
        <v>5</v>
      </c>
      <c r="AA3110" s="4">
        <v>5</v>
      </c>
      <c r="AB3110" s="4">
        <v>2</v>
      </c>
      <c r="AC3110" s="4">
        <v>2</v>
      </c>
      <c r="AD3110" s="4">
        <v>26</v>
      </c>
      <c r="AE3110" s="4">
        <v>26</v>
      </c>
      <c r="AF3110" s="4">
        <v>1</v>
      </c>
      <c r="AG3110" s="4">
        <v>1</v>
      </c>
      <c r="AH3110" s="4">
        <v>22</v>
      </c>
      <c r="AI3110" s="4">
        <v>22</v>
      </c>
      <c r="AJ3110" s="4">
        <v>2</v>
      </c>
      <c r="AK3110" s="4">
        <v>2</v>
      </c>
      <c r="AL3110" s="4">
        <v>18</v>
      </c>
      <c r="AM3110" s="4">
        <v>18</v>
      </c>
      <c r="AN3110" s="4">
        <v>0</v>
      </c>
      <c r="AO3110" s="4">
        <v>0</v>
      </c>
      <c r="AP3110" s="4">
        <v>3</v>
      </c>
      <c r="AQ3110" s="4">
        <v>3</v>
      </c>
      <c r="AR3110" s="3" t="s">
        <v>62</v>
      </c>
      <c r="AS3110" s="3" t="s">
        <v>62</v>
      </c>
      <c r="AT3110" s="3" t="s">
        <v>62</v>
      </c>
      <c r="AV3110" s="6" t="str">
        <f>HYPERLINK("http://mcgill.on.worldcat.org/oclc/1021304019","Catalog Record")</f>
        <v>Catalog Record</v>
      </c>
      <c r="AW3110" s="6" t="str">
        <f>HYPERLINK("http://www.worldcat.org/oclc/1021304019","WorldCat Record")</f>
        <v>WorldCat Record</v>
      </c>
      <c r="AX3110" s="3" t="s">
        <v>30116</v>
      </c>
      <c r="AY3110" s="3" t="s">
        <v>30117</v>
      </c>
      <c r="AZ3110" s="3" t="s">
        <v>30118</v>
      </c>
      <c r="BA3110" s="3" t="s">
        <v>30118</v>
      </c>
      <c r="BB3110" s="3" t="s">
        <v>30119</v>
      </c>
      <c r="BC3110" s="3" t="s">
        <v>102</v>
      </c>
      <c r="BD3110" s="3" t="s">
        <v>231</v>
      </c>
      <c r="BE3110" s="3" t="s">
        <v>30120</v>
      </c>
      <c r="BF3110" s="3" t="s">
        <v>30119</v>
      </c>
      <c r="BG3110" s="3" t="s">
        <v>30121</v>
      </c>
    </row>
    <row r="3111" spans="1:59" ht="72.5" x14ac:dyDescent="0.35">
      <c r="A3111" s="2" t="s">
        <v>89</v>
      </c>
      <c r="B3111" s="2" t="s">
        <v>90</v>
      </c>
      <c r="C3111" s="2" t="s">
        <v>30122</v>
      </c>
      <c r="D3111" s="2" t="s">
        <v>30123</v>
      </c>
      <c r="E3111" s="2" t="s">
        <v>30124</v>
      </c>
      <c r="G3111" s="3" t="s">
        <v>62</v>
      </c>
      <c r="I3111" s="3" t="s">
        <v>62</v>
      </c>
      <c r="J3111" s="3" t="s">
        <v>62</v>
      </c>
      <c r="K3111" s="3" t="s">
        <v>63</v>
      </c>
      <c r="L3111" s="2" t="s">
        <v>30125</v>
      </c>
      <c r="M3111" s="2" t="s">
        <v>30126</v>
      </c>
      <c r="N3111" s="3" t="s">
        <v>684</v>
      </c>
      <c r="P3111" s="3" t="s">
        <v>1078</v>
      </c>
      <c r="Q3111" s="2" t="s">
        <v>30127</v>
      </c>
      <c r="R3111" s="3" t="s">
        <v>27443</v>
      </c>
      <c r="S3111" s="4">
        <v>0</v>
      </c>
      <c r="T3111" s="4">
        <v>0</v>
      </c>
      <c r="W3111" s="5" t="s">
        <v>67</v>
      </c>
      <c r="X3111" s="5" t="s">
        <v>67</v>
      </c>
      <c r="Y3111" s="4">
        <v>47</v>
      </c>
      <c r="Z3111" s="4">
        <v>4</v>
      </c>
      <c r="AA3111" s="4">
        <v>4</v>
      </c>
      <c r="AB3111" s="4">
        <v>1</v>
      </c>
      <c r="AC3111" s="4">
        <v>1</v>
      </c>
      <c r="AD3111" s="4">
        <v>36</v>
      </c>
      <c r="AE3111" s="4">
        <v>36</v>
      </c>
      <c r="AF3111" s="4">
        <v>0</v>
      </c>
      <c r="AG3111" s="4">
        <v>0</v>
      </c>
      <c r="AH3111" s="4">
        <v>35</v>
      </c>
      <c r="AI3111" s="4">
        <v>35</v>
      </c>
      <c r="AJ3111" s="4">
        <v>2</v>
      </c>
      <c r="AK3111" s="4">
        <v>2</v>
      </c>
      <c r="AL3111" s="4">
        <v>26</v>
      </c>
      <c r="AM3111" s="4">
        <v>26</v>
      </c>
      <c r="AN3111" s="4">
        <v>0</v>
      </c>
      <c r="AO3111" s="4">
        <v>0</v>
      </c>
      <c r="AP3111" s="4">
        <v>2</v>
      </c>
      <c r="AQ3111" s="4">
        <v>2</v>
      </c>
      <c r="AR3111" s="3" t="s">
        <v>62</v>
      </c>
      <c r="AS3111" s="3" t="s">
        <v>62</v>
      </c>
      <c r="AT3111" s="3" t="s">
        <v>62</v>
      </c>
      <c r="AV3111" s="6" t="str">
        <f>HYPERLINK("http://mcgill.on.worldcat.org/oclc/773671742","Catalog Record")</f>
        <v>Catalog Record</v>
      </c>
      <c r="AW3111" s="6" t="str">
        <f>HYPERLINK("http://www.worldcat.org/oclc/773671742","WorldCat Record")</f>
        <v>WorldCat Record</v>
      </c>
      <c r="AX3111" s="3" t="s">
        <v>30128</v>
      </c>
      <c r="AY3111" s="3" t="s">
        <v>30129</v>
      </c>
      <c r="AZ3111" s="3" t="s">
        <v>30130</v>
      </c>
      <c r="BA3111" s="3" t="s">
        <v>30130</v>
      </c>
      <c r="BB3111" s="3" t="s">
        <v>30131</v>
      </c>
      <c r="BC3111" s="3" t="s">
        <v>102</v>
      </c>
      <c r="BD3111" s="3" t="s">
        <v>68</v>
      </c>
      <c r="BE3111" s="3" t="s">
        <v>30132</v>
      </c>
      <c r="BF3111" s="3" t="s">
        <v>30131</v>
      </c>
      <c r="BG3111" s="3" t="s">
        <v>30133</v>
      </c>
    </row>
    <row r="3112" spans="1:59" ht="58" x14ac:dyDescent="0.35">
      <c r="A3112" s="2" t="s">
        <v>89</v>
      </c>
      <c r="B3112" s="2" t="s">
        <v>90</v>
      </c>
      <c r="C3112" s="2" t="s">
        <v>30134</v>
      </c>
      <c r="D3112" s="2" t="s">
        <v>30135</v>
      </c>
      <c r="E3112" s="2" t="s">
        <v>30136</v>
      </c>
      <c r="G3112" s="3" t="s">
        <v>62</v>
      </c>
      <c r="I3112" s="3" t="s">
        <v>62</v>
      </c>
      <c r="J3112" s="3" t="s">
        <v>62</v>
      </c>
      <c r="K3112" s="3" t="s">
        <v>63</v>
      </c>
      <c r="L3112" s="2" t="s">
        <v>30137</v>
      </c>
      <c r="M3112" s="2" t="s">
        <v>30138</v>
      </c>
      <c r="N3112" s="3" t="s">
        <v>1455</v>
      </c>
      <c r="P3112" s="3" t="s">
        <v>64</v>
      </c>
      <c r="R3112" s="3" t="s">
        <v>27443</v>
      </c>
      <c r="S3112" s="4">
        <v>0</v>
      </c>
      <c r="T3112" s="4">
        <v>0</v>
      </c>
      <c r="W3112" s="5" t="s">
        <v>67</v>
      </c>
      <c r="X3112" s="5" t="s">
        <v>67</v>
      </c>
      <c r="Y3112" s="4">
        <v>437</v>
      </c>
      <c r="Z3112" s="4">
        <v>17</v>
      </c>
      <c r="AA3112" s="4">
        <v>44</v>
      </c>
      <c r="AB3112" s="4">
        <v>1</v>
      </c>
      <c r="AC3112" s="4">
        <v>4</v>
      </c>
      <c r="AD3112" s="4">
        <v>59</v>
      </c>
      <c r="AE3112" s="4">
        <v>83</v>
      </c>
      <c r="AF3112" s="4">
        <v>0</v>
      </c>
      <c r="AG3112" s="4">
        <v>0</v>
      </c>
      <c r="AH3112" s="4">
        <v>55</v>
      </c>
      <c r="AI3112" s="4">
        <v>73</v>
      </c>
      <c r="AJ3112" s="4">
        <v>6</v>
      </c>
      <c r="AK3112" s="4">
        <v>9</v>
      </c>
      <c r="AL3112" s="4">
        <v>32</v>
      </c>
      <c r="AM3112" s="4">
        <v>39</v>
      </c>
      <c r="AN3112" s="4">
        <v>0</v>
      </c>
      <c r="AO3112" s="4">
        <v>0</v>
      </c>
      <c r="AP3112" s="4">
        <v>8</v>
      </c>
      <c r="AQ3112" s="4">
        <v>15</v>
      </c>
      <c r="AR3112" s="3" t="s">
        <v>62</v>
      </c>
      <c r="AS3112" s="3" t="s">
        <v>62</v>
      </c>
      <c r="AT3112" s="3" t="s">
        <v>62</v>
      </c>
      <c r="AV3112" s="6" t="str">
        <f>HYPERLINK("http://mcgill.on.worldcat.org/oclc/897001600","Catalog Record")</f>
        <v>Catalog Record</v>
      </c>
      <c r="AW3112" s="6" t="str">
        <f>HYPERLINK("http://www.worldcat.org/oclc/897001600","WorldCat Record")</f>
        <v>WorldCat Record</v>
      </c>
      <c r="AX3112" s="3" t="s">
        <v>30139</v>
      </c>
      <c r="AY3112" s="3" t="s">
        <v>30140</v>
      </c>
      <c r="AZ3112" s="3" t="s">
        <v>30141</v>
      </c>
      <c r="BA3112" s="3" t="s">
        <v>30141</v>
      </c>
      <c r="BB3112" s="3" t="s">
        <v>30142</v>
      </c>
      <c r="BC3112" s="3" t="s">
        <v>102</v>
      </c>
      <c r="BD3112" s="3" t="s">
        <v>68</v>
      </c>
      <c r="BE3112" s="3" t="s">
        <v>30143</v>
      </c>
      <c r="BF3112" s="3" t="s">
        <v>30142</v>
      </c>
      <c r="BG3112" s="3" t="s">
        <v>30144</v>
      </c>
    </row>
    <row r="3113" spans="1:59" ht="101.5" x14ac:dyDescent="0.35">
      <c r="A3113" s="2" t="s">
        <v>89</v>
      </c>
      <c r="B3113" s="2" t="s">
        <v>12301</v>
      </c>
      <c r="C3113" s="2" t="s">
        <v>30145</v>
      </c>
      <c r="D3113" s="2" t="s">
        <v>30146</v>
      </c>
      <c r="E3113" s="2" t="s">
        <v>30147</v>
      </c>
      <c r="G3113" s="3" t="s">
        <v>62</v>
      </c>
      <c r="I3113" s="3" t="s">
        <v>62</v>
      </c>
      <c r="J3113" s="3" t="s">
        <v>62</v>
      </c>
      <c r="K3113" s="3" t="s">
        <v>63</v>
      </c>
      <c r="L3113" s="2" t="s">
        <v>30148</v>
      </c>
      <c r="M3113" s="2" t="s">
        <v>30149</v>
      </c>
      <c r="N3113" s="3" t="s">
        <v>655</v>
      </c>
      <c r="P3113" s="3" t="s">
        <v>64</v>
      </c>
      <c r="Q3113" s="2" t="s">
        <v>27105</v>
      </c>
      <c r="R3113" s="3" t="s">
        <v>27443</v>
      </c>
      <c r="S3113" s="4">
        <v>52</v>
      </c>
      <c r="T3113" s="4">
        <v>52</v>
      </c>
      <c r="U3113" s="5" t="s">
        <v>22212</v>
      </c>
      <c r="V3113" s="5" t="s">
        <v>22212</v>
      </c>
      <c r="W3113" s="5" t="s">
        <v>67</v>
      </c>
      <c r="X3113" s="5" t="s">
        <v>67</v>
      </c>
      <c r="Y3113" s="4">
        <v>431</v>
      </c>
      <c r="Z3113" s="4">
        <v>30</v>
      </c>
      <c r="AA3113" s="4">
        <v>48</v>
      </c>
      <c r="AB3113" s="4">
        <v>1</v>
      </c>
      <c r="AC3113" s="4">
        <v>8</v>
      </c>
      <c r="AD3113" s="4">
        <v>92</v>
      </c>
      <c r="AE3113" s="4">
        <v>110</v>
      </c>
      <c r="AF3113" s="4">
        <v>0</v>
      </c>
      <c r="AG3113" s="4">
        <v>3</v>
      </c>
      <c r="AH3113" s="4">
        <v>79</v>
      </c>
      <c r="AI3113" s="4">
        <v>90</v>
      </c>
      <c r="AJ3113" s="4">
        <v>13</v>
      </c>
      <c r="AK3113" s="4">
        <v>18</v>
      </c>
      <c r="AL3113" s="4">
        <v>44</v>
      </c>
      <c r="AM3113" s="4">
        <v>51</v>
      </c>
      <c r="AN3113" s="4">
        <v>0</v>
      </c>
      <c r="AO3113" s="4">
        <v>0</v>
      </c>
      <c r="AP3113" s="4">
        <v>21</v>
      </c>
      <c r="AQ3113" s="4">
        <v>27</v>
      </c>
      <c r="AR3113" s="3" t="s">
        <v>62</v>
      </c>
      <c r="AS3113" s="3" t="s">
        <v>62</v>
      </c>
      <c r="AT3113" s="3" t="s">
        <v>61</v>
      </c>
      <c r="AU3113" s="6" t="str">
        <f>HYPERLINK("http://catalog.hathitrust.org/Record/005619874","HathiTrust Record")</f>
        <v>HathiTrust Record</v>
      </c>
      <c r="AV3113" s="6" t="str">
        <f>HYPERLINK("http://mcgill.on.worldcat.org/oclc/85690422","Catalog Record")</f>
        <v>Catalog Record</v>
      </c>
      <c r="AW3113" s="6" t="str">
        <f>HYPERLINK("http://www.worldcat.org/oclc/85690422","WorldCat Record")</f>
        <v>WorldCat Record</v>
      </c>
      <c r="AX3113" s="3" t="s">
        <v>30150</v>
      </c>
      <c r="AY3113" s="3" t="s">
        <v>30151</v>
      </c>
      <c r="AZ3113" s="3" t="s">
        <v>30152</v>
      </c>
      <c r="BA3113" s="3" t="s">
        <v>30152</v>
      </c>
      <c r="BB3113" s="3" t="s">
        <v>30153</v>
      </c>
      <c r="BC3113" s="3" t="s">
        <v>102</v>
      </c>
      <c r="BD3113" s="3" t="s">
        <v>68</v>
      </c>
      <c r="BE3113" s="3" t="s">
        <v>30154</v>
      </c>
      <c r="BF3113" s="3" t="s">
        <v>30153</v>
      </c>
      <c r="BG3113" s="3" t="s">
        <v>30155</v>
      </c>
    </row>
    <row r="3114" spans="1:59" ht="116" x14ac:dyDescent="0.35">
      <c r="A3114" s="2" t="s">
        <v>89</v>
      </c>
      <c r="B3114" s="2" t="s">
        <v>3312</v>
      </c>
      <c r="C3114" s="2" t="s">
        <v>30156</v>
      </c>
      <c r="D3114" s="2" t="s">
        <v>30157</v>
      </c>
      <c r="E3114" s="2" t="s">
        <v>30158</v>
      </c>
      <c r="G3114" s="3" t="s">
        <v>62</v>
      </c>
      <c r="I3114" s="3" t="s">
        <v>62</v>
      </c>
      <c r="J3114" s="3" t="s">
        <v>62</v>
      </c>
      <c r="K3114" s="3" t="s">
        <v>63</v>
      </c>
      <c r="L3114" s="2" t="s">
        <v>30159</v>
      </c>
      <c r="M3114" s="2" t="s">
        <v>30160</v>
      </c>
      <c r="N3114" s="3" t="s">
        <v>684</v>
      </c>
      <c r="P3114" s="3" t="s">
        <v>15264</v>
      </c>
      <c r="R3114" s="3" t="s">
        <v>27443</v>
      </c>
      <c r="S3114" s="4">
        <v>0</v>
      </c>
      <c r="T3114" s="4">
        <v>0</v>
      </c>
      <c r="W3114" s="5" t="s">
        <v>67</v>
      </c>
      <c r="X3114" s="5" t="s">
        <v>67</v>
      </c>
      <c r="Y3114" s="4">
        <v>21</v>
      </c>
      <c r="Z3114" s="4">
        <v>3</v>
      </c>
      <c r="AA3114" s="4">
        <v>3</v>
      </c>
      <c r="AB3114" s="4">
        <v>1</v>
      </c>
      <c r="AC3114" s="4">
        <v>1</v>
      </c>
      <c r="AD3114" s="4">
        <v>14</v>
      </c>
      <c r="AE3114" s="4">
        <v>14</v>
      </c>
      <c r="AF3114" s="4">
        <v>0</v>
      </c>
      <c r="AG3114" s="4">
        <v>0</v>
      </c>
      <c r="AH3114" s="4">
        <v>13</v>
      </c>
      <c r="AI3114" s="4">
        <v>13</v>
      </c>
      <c r="AJ3114" s="4">
        <v>1</v>
      </c>
      <c r="AK3114" s="4">
        <v>1</v>
      </c>
      <c r="AL3114" s="4">
        <v>13</v>
      </c>
      <c r="AM3114" s="4">
        <v>13</v>
      </c>
      <c r="AN3114" s="4">
        <v>0</v>
      </c>
      <c r="AO3114" s="4">
        <v>0</v>
      </c>
      <c r="AP3114" s="4">
        <v>1</v>
      </c>
      <c r="AQ3114" s="4">
        <v>1</v>
      </c>
      <c r="AR3114" s="3" t="s">
        <v>62</v>
      </c>
      <c r="AS3114" s="3" t="s">
        <v>62</v>
      </c>
      <c r="AT3114" s="3" t="s">
        <v>62</v>
      </c>
      <c r="AV3114" s="6" t="str">
        <f>HYPERLINK("http://mcgill.on.worldcat.org/oclc/767500142","Catalog Record")</f>
        <v>Catalog Record</v>
      </c>
      <c r="AW3114" s="6" t="str">
        <f>HYPERLINK("http://www.worldcat.org/oclc/767500142","WorldCat Record")</f>
        <v>WorldCat Record</v>
      </c>
      <c r="AX3114" s="3" t="s">
        <v>30161</v>
      </c>
      <c r="AY3114" s="3" t="s">
        <v>30162</v>
      </c>
      <c r="AZ3114" s="3" t="s">
        <v>30163</v>
      </c>
      <c r="BA3114" s="3" t="s">
        <v>30163</v>
      </c>
      <c r="BB3114" s="3" t="s">
        <v>30164</v>
      </c>
      <c r="BC3114" s="3" t="s">
        <v>102</v>
      </c>
      <c r="BD3114" s="3" t="s">
        <v>68</v>
      </c>
      <c r="BE3114" s="3" t="s">
        <v>30165</v>
      </c>
      <c r="BF3114" s="3" t="s">
        <v>30164</v>
      </c>
      <c r="BG3114" s="3" t="s">
        <v>30166</v>
      </c>
    </row>
    <row r="3115" spans="1:59" ht="58" x14ac:dyDescent="0.35">
      <c r="A3115" s="2" t="s">
        <v>89</v>
      </c>
      <c r="B3115" s="2" t="s">
        <v>90</v>
      </c>
      <c r="C3115" s="2" t="s">
        <v>30167</v>
      </c>
      <c r="D3115" s="2" t="s">
        <v>30168</v>
      </c>
      <c r="E3115" s="2" t="s">
        <v>30169</v>
      </c>
      <c r="G3115" s="3" t="s">
        <v>62</v>
      </c>
      <c r="I3115" s="3" t="s">
        <v>62</v>
      </c>
      <c r="J3115" s="3" t="s">
        <v>62</v>
      </c>
      <c r="K3115" s="3" t="s">
        <v>63</v>
      </c>
      <c r="L3115" s="2" t="s">
        <v>30170</v>
      </c>
      <c r="M3115" s="2" t="s">
        <v>30171</v>
      </c>
      <c r="N3115" s="3" t="s">
        <v>129</v>
      </c>
      <c r="O3115" s="2" t="s">
        <v>30172</v>
      </c>
      <c r="P3115" s="3" t="s">
        <v>64</v>
      </c>
      <c r="R3115" s="3" t="s">
        <v>27443</v>
      </c>
      <c r="S3115" s="4">
        <v>1</v>
      </c>
      <c r="T3115" s="4">
        <v>1</v>
      </c>
      <c r="U3115" s="5" t="s">
        <v>30173</v>
      </c>
      <c r="V3115" s="5" t="s">
        <v>30173</v>
      </c>
      <c r="W3115" s="5" t="s">
        <v>67</v>
      </c>
      <c r="X3115" s="5" t="s">
        <v>67</v>
      </c>
      <c r="Y3115" s="4">
        <v>32</v>
      </c>
      <c r="Z3115" s="4">
        <v>21</v>
      </c>
      <c r="AA3115" s="4">
        <v>40</v>
      </c>
      <c r="AB3115" s="4">
        <v>3</v>
      </c>
      <c r="AC3115" s="4">
        <v>5</v>
      </c>
      <c r="AD3115" s="4">
        <v>11</v>
      </c>
      <c r="AE3115" s="4">
        <v>73</v>
      </c>
      <c r="AF3115" s="4">
        <v>0</v>
      </c>
      <c r="AG3115" s="4">
        <v>0</v>
      </c>
      <c r="AH3115" s="4">
        <v>9</v>
      </c>
      <c r="AI3115" s="4">
        <v>63</v>
      </c>
      <c r="AJ3115" s="4">
        <v>5</v>
      </c>
      <c r="AK3115" s="4">
        <v>11</v>
      </c>
      <c r="AL3115" s="4">
        <v>3</v>
      </c>
      <c r="AM3115" s="4">
        <v>37</v>
      </c>
      <c r="AN3115" s="4">
        <v>0</v>
      </c>
      <c r="AO3115" s="4">
        <v>0</v>
      </c>
      <c r="AP3115" s="4">
        <v>6</v>
      </c>
      <c r="AQ3115" s="4">
        <v>13</v>
      </c>
      <c r="AR3115" s="3" t="s">
        <v>62</v>
      </c>
      <c r="AS3115" s="3" t="s">
        <v>62</v>
      </c>
      <c r="AT3115" s="3" t="s">
        <v>62</v>
      </c>
      <c r="AV3115" s="6" t="str">
        <f>HYPERLINK("http://mcgill.on.worldcat.org/oclc/872332821","Catalog Record")</f>
        <v>Catalog Record</v>
      </c>
      <c r="AW3115" s="6" t="str">
        <f>HYPERLINK("http://www.worldcat.org/oclc/872332821","WorldCat Record")</f>
        <v>WorldCat Record</v>
      </c>
      <c r="AX3115" s="3" t="s">
        <v>30174</v>
      </c>
      <c r="AY3115" s="3" t="s">
        <v>30175</v>
      </c>
      <c r="AZ3115" s="3" t="s">
        <v>30176</v>
      </c>
      <c r="BA3115" s="3" t="s">
        <v>30176</v>
      </c>
      <c r="BB3115" s="3" t="s">
        <v>30177</v>
      </c>
      <c r="BC3115" s="3" t="s">
        <v>102</v>
      </c>
      <c r="BD3115" s="3" t="s">
        <v>68</v>
      </c>
      <c r="BE3115" s="3" t="s">
        <v>30178</v>
      </c>
      <c r="BF3115" s="3" t="s">
        <v>30177</v>
      </c>
      <c r="BG3115" s="3" t="s">
        <v>30179</v>
      </c>
    </row>
    <row r="3116" spans="1:59" ht="58" x14ac:dyDescent="0.35">
      <c r="A3116" s="2" t="s">
        <v>89</v>
      </c>
      <c r="B3116" s="2" t="s">
        <v>90</v>
      </c>
      <c r="C3116" s="2" t="s">
        <v>30180</v>
      </c>
      <c r="D3116" s="2" t="s">
        <v>30181</v>
      </c>
      <c r="E3116" s="2" t="s">
        <v>30182</v>
      </c>
      <c r="G3116" s="3" t="s">
        <v>62</v>
      </c>
      <c r="I3116" s="3" t="s">
        <v>62</v>
      </c>
      <c r="J3116" s="3" t="s">
        <v>62</v>
      </c>
      <c r="K3116" s="3" t="s">
        <v>63</v>
      </c>
      <c r="L3116" s="2" t="s">
        <v>30183</v>
      </c>
      <c r="M3116" s="2" t="s">
        <v>30184</v>
      </c>
      <c r="N3116" s="3" t="s">
        <v>2136</v>
      </c>
      <c r="P3116" s="3" t="s">
        <v>64</v>
      </c>
      <c r="R3116" s="3" t="s">
        <v>27443</v>
      </c>
      <c r="S3116" s="4">
        <v>4</v>
      </c>
      <c r="T3116" s="4">
        <v>4</v>
      </c>
      <c r="U3116" s="5" t="s">
        <v>18535</v>
      </c>
      <c r="V3116" s="5" t="s">
        <v>18535</v>
      </c>
      <c r="W3116" s="5" t="s">
        <v>67</v>
      </c>
      <c r="X3116" s="5" t="s">
        <v>67</v>
      </c>
      <c r="Y3116" s="4">
        <v>790</v>
      </c>
      <c r="Z3116" s="4">
        <v>24</v>
      </c>
      <c r="AA3116" s="4">
        <v>46</v>
      </c>
      <c r="AB3116" s="4">
        <v>1</v>
      </c>
      <c r="AC3116" s="4">
        <v>4</v>
      </c>
      <c r="AD3116" s="4">
        <v>91</v>
      </c>
      <c r="AE3116" s="4">
        <v>105</v>
      </c>
      <c r="AF3116" s="4">
        <v>0</v>
      </c>
      <c r="AG3116" s="4">
        <v>1</v>
      </c>
      <c r="AH3116" s="4">
        <v>80</v>
      </c>
      <c r="AI3116" s="4">
        <v>89</v>
      </c>
      <c r="AJ3116" s="4">
        <v>7</v>
      </c>
      <c r="AK3116" s="4">
        <v>14</v>
      </c>
      <c r="AL3116" s="4">
        <v>48</v>
      </c>
      <c r="AM3116" s="4">
        <v>50</v>
      </c>
      <c r="AN3116" s="4">
        <v>0</v>
      </c>
      <c r="AO3116" s="4">
        <v>0</v>
      </c>
      <c r="AP3116" s="4">
        <v>12</v>
      </c>
      <c r="AQ3116" s="4">
        <v>22</v>
      </c>
      <c r="AR3116" s="3" t="s">
        <v>62</v>
      </c>
      <c r="AS3116" s="3" t="s">
        <v>62</v>
      </c>
      <c r="AT3116" s="3" t="s">
        <v>61</v>
      </c>
      <c r="AU3116" s="6" t="str">
        <f>HYPERLINK("http://catalog.hathitrust.org/Record/005058940","HathiTrust Record")</f>
        <v>HathiTrust Record</v>
      </c>
      <c r="AV3116" s="6" t="str">
        <f>HYPERLINK("http://mcgill.on.worldcat.org/oclc/61129117","Catalog Record")</f>
        <v>Catalog Record</v>
      </c>
      <c r="AW3116" s="6" t="str">
        <f>HYPERLINK("http://www.worldcat.org/oclc/61129117","WorldCat Record")</f>
        <v>WorldCat Record</v>
      </c>
      <c r="AX3116" s="3" t="s">
        <v>30185</v>
      </c>
      <c r="AY3116" s="3" t="s">
        <v>30186</v>
      </c>
      <c r="AZ3116" s="3" t="s">
        <v>30187</v>
      </c>
      <c r="BA3116" s="3" t="s">
        <v>30187</v>
      </c>
      <c r="BB3116" s="3" t="s">
        <v>30188</v>
      </c>
      <c r="BC3116" s="3" t="s">
        <v>102</v>
      </c>
      <c r="BD3116" s="3" t="s">
        <v>68</v>
      </c>
      <c r="BE3116" s="3" t="s">
        <v>30189</v>
      </c>
      <c r="BF3116" s="3" t="s">
        <v>30188</v>
      </c>
      <c r="BG3116" s="3" t="s">
        <v>30190</v>
      </c>
    </row>
    <row r="3117" spans="1:59" ht="58" x14ac:dyDescent="0.35">
      <c r="A3117" s="2" t="s">
        <v>89</v>
      </c>
      <c r="B3117" s="2" t="s">
        <v>90</v>
      </c>
      <c r="C3117" s="2" t="s">
        <v>30191</v>
      </c>
      <c r="D3117" s="2" t="s">
        <v>30192</v>
      </c>
      <c r="E3117" s="2" t="s">
        <v>30193</v>
      </c>
      <c r="G3117" s="3" t="s">
        <v>62</v>
      </c>
      <c r="I3117" s="3" t="s">
        <v>61</v>
      </c>
      <c r="J3117" s="3" t="s">
        <v>61</v>
      </c>
      <c r="K3117" s="3" t="s">
        <v>63</v>
      </c>
      <c r="L3117" s="2" t="s">
        <v>30194</v>
      </c>
      <c r="M3117" s="2" t="s">
        <v>30195</v>
      </c>
      <c r="N3117" s="3" t="s">
        <v>19885</v>
      </c>
      <c r="P3117" s="3" t="s">
        <v>64</v>
      </c>
      <c r="Q3117" s="2" t="s">
        <v>30196</v>
      </c>
      <c r="R3117" s="3" t="s">
        <v>27443</v>
      </c>
      <c r="S3117" s="4">
        <v>0</v>
      </c>
      <c r="T3117" s="4">
        <v>5</v>
      </c>
      <c r="V3117" s="5" t="s">
        <v>18518</v>
      </c>
      <c r="W3117" s="5" t="s">
        <v>67</v>
      </c>
      <c r="X3117" s="5" t="s">
        <v>67</v>
      </c>
      <c r="Y3117" s="4">
        <v>222</v>
      </c>
      <c r="Z3117" s="4">
        <v>14</v>
      </c>
      <c r="AA3117" s="4">
        <v>36</v>
      </c>
      <c r="AB3117" s="4">
        <v>3</v>
      </c>
      <c r="AC3117" s="4">
        <v>7</v>
      </c>
      <c r="AD3117" s="4">
        <v>67</v>
      </c>
      <c r="AE3117" s="4">
        <v>122</v>
      </c>
      <c r="AF3117" s="4">
        <v>1</v>
      </c>
      <c r="AG3117" s="4">
        <v>4</v>
      </c>
      <c r="AH3117" s="4">
        <v>59</v>
      </c>
      <c r="AI3117" s="4">
        <v>104</v>
      </c>
      <c r="AJ3117" s="4">
        <v>8</v>
      </c>
      <c r="AK3117" s="4">
        <v>21</v>
      </c>
      <c r="AL3117" s="4">
        <v>37</v>
      </c>
      <c r="AM3117" s="4">
        <v>56</v>
      </c>
      <c r="AN3117" s="4">
        <v>5</v>
      </c>
      <c r="AO3117" s="4">
        <v>5</v>
      </c>
      <c r="AP3117" s="4">
        <v>8</v>
      </c>
      <c r="AQ3117" s="4">
        <v>23</v>
      </c>
      <c r="AR3117" s="3" t="s">
        <v>62</v>
      </c>
      <c r="AS3117" s="3" t="s">
        <v>61</v>
      </c>
      <c r="AT3117" s="3" t="s">
        <v>62</v>
      </c>
      <c r="AU3117" s="6" t="str">
        <f>HYPERLINK("http://catalog.hathitrust.org/Record/001484718","HathiTrust Record")</f>
        <v>HathiTrust Record</v>
      </c>
      <c r="AV3117" s="6" t="str">
        <f>HYPERLINK("http://mcgill.on.worldcat.org/oclc/14801635","Catalog Record")</f>
        <v>Catalog Record</v>
      </c>
      <c r="AW3117" s="6" t="str">
        <f>HYPERLINK("http://www.worldcat.org/oclc/14801635","WorldCat Record")</f>
        <v>WorldCat Record</v>
      </c>
      <c r="AX3117" s="3" t="s">
        <v>30197</v>
      </c>
      <c r="AY3117" s="3" t="s">
        <v>30198</v>
      </c>
      <c r="AZ3117" s="3" t="s">
        <v>30199</v>
      </c>
      <c r="BA3117" s="3" t="s">
        <v>30199</v>
      </c>
      <c r="BB3117" s="3" t="s">
        <v>30200</v>
      </c>
      <c r="BC3117" s="3" t="s">
        <v>102</v>
      </c>
      <c r="BD3117" s="3" t="s">
        <v>68</v>
      </c>
      <c r="BF3117" s="3" t="s">
        <v>30200</v>
      </c>
      <c r="BG3117" s="3" t="s">
        <v>30201</v>
      </c>
    </row>
    <row r="3118" spans="1:59" ht="58" x14ac:dyDescent="0.35">
      <c r="A3118" s="2" t="s">
        <v>89</v>
      </c>
      <c r="B3118" s="2" t="s">
        <v>2033</v>
      </c>
      <c r="C3118" s="2" t="s">
        <v>30191</v>
      </c>
      <c r="D3118" s="2" t="s">
        <v>30192</v>
      </c>
      <c r="E3118" s="2" t="s">
        <v>30193</v>
      </c>
      <c r="G3118" s="3" t="s">
        <v>62</v>
      </c>
      <c r="I3118" s="3" t="s">
        <v>61</v>
      </c>
      <c r="J3118" s="3" t="s">
        <v>61</v>
      </c>
      <c r="K3118" s="3" t="s">
        <v>63</v>
      </c>
      <c r="L3118" s="2" t="s">
        <v>30194</v>
      </c>
      <c r="M3118" s="2" t="s">
        <v>30195</v>
      </c>
      <c r="N3118" s="3" t="s">
        <v>19885</v>
      </c>
      <c r="P3118" s="3" t="s">
        <v>64</v>
      </c>
      <c r="Q3118" s="2" t="s">
        <v>30196</v>
      </c>
      <c r="R3118" s="3" t="s">
        <v>27443</v>
      </c>
      <c r="S3118" s="4">
        <v>3</v>
      </c>
      <c r="T3118" s="4">
        <v>5</v>
      </c>
      <c r="U3118" s="5" t="s">
        <v>30202</v>
      </c>
      <c r="V3118" s="5" t="s">
        <v>18518</v>
      </c>
      <c r="W3118" s="5" t="s">
        <v>67</v>
      </c>
      <c r="X3118" s="5" t="s">
        <v>67</v>
      </c>
      <c r="Y3118" s="4">
        <v>222</v>
      </c>
      <c r="Z3118" s="4">
        <v>14</v>
      </c>
      <c r="AA3118" s="4">
        <v>36</v>
      </c>
      <c r="AB3118" s="4">
        <v>3</v>
      </c>
      <c r="AC3118" s="4">
        <v>7</v>
      </c>
      <c r="AD3118" s="4">
        <v>67</v>
      </c>
      <c r="AE3118" s="4">
        <v>122</v>
      </c>
      <c r="AF3118" s="4">
        <v>1</v>
      </c>
      <c r="AG3118" s="4">
        <v>4</v>
      </c>
      <c r="AH3118" s="4">
        <v>59</v>
      </c>
      <c r="AI3118" s="4">
        <v>104</v>
      </c>
      <c r="AJ3118" s="4">
        <v>8</v>
      </c>
      <c r="AK3118" s="4">
        <v>21</v>
      </c>
      <c r="AL3118" s="4">
        <v>37</v>
      </c>
      <c r="AM3118" s="4">
        <v>56</v>
      </c>
      <c r="AN3118" s="4">
        <v>5</v>
      </c>
      <c r="AO3118" s="4">
        <v>5</v>
      </c>
      <c r="AP3118" s="4">
        <v>8</v>
      </c>
      <c r="AQ3118" s="4">
        <v>23</v>
      </c>
      <c r="AR3118" s="3" t="s">
        <v>62</v>
      </c>
      <c r="AS3118" s="3" t="s">
        <v>61</v>
      </c>
      <c r="AT3118" s="3" t="s">
        <v>62</v>
      </c>
      <c r="AU3118" s="6" t="str">
        <f>HYPERLINK("http://catalog.hathitrust.org/Record/001484718","HathiTrust Record")</f>
        <v>HathiTrust Record</v>
      </c>
      <c r="AV3118" s="6" t="str">
        <f>HYPERLINK("http://mcgill.on.worldcat.org/oclc/14801635","Catalog Record")</f>
        <v>Catalog Record</v>
      </c>
      <c r="AW3118" s="6" t="str">
        <f>HYPERLINK("http://www.worldcat.org/oclc/14801635","WorldCat Record")</f>
        <v>WorldCat Record</v>
      </c>
      <c r="AX3118" s="3" t="s">
        <v>30197</v>
      </c>
      <c r="AY3118" s="3" t="s">
        <v>30198</v>
      </c>
      <c r="AZ3118" s="3" t="s">
        <v>30199</v>
      </c>
      <c r="BA3118" s="3" t="s">
        <v>30199</v>
      </c>
      <c r="BB3118" s="3" t="s">
        <v>30203</v>
      </c>
      <c r="BC3118" s="3" t="s">
        <v>102</v>
      </c>
      <c r="BD3118" s="3" t="s">
        <v>68</v>
      </c>
      <c r="BF3118" s="3" t="s">
        <v>30203</v>
      </c>
      <c r="BG3118" s="3" t="s">
        <v>30204</v>
      </c>
    </row>
    <row r="3119" spans="1:59" ht="58" x14ac:dyDescent="0.35">
      <c r="A3119" s="2" t="s">
        <v>89</v>
      </c>
      <c r="B3119" s="2" t="s">
        <v>90</v>
      </c>
      <c r="C3119" s="2" t="s">
        <v>30191</v>
      </c>
      <c r="D3119" s="2" t="s">
        <v>30192</v>
      </c>
      <c r="E3119" s="2" t="s">
        <v>30193</v>
      </c>
      <c r="G3119" s="3" t="s">
        <v>62</v>
      </c>
      <c r="I3119" s="3" t="s">
        <v>61</v>
      </c>
      <c r="J3119" s="3" t="s">
        <v>61</v>
      </c>
      <c r="K3119" s="3" t="s">
        <v>63</v>
      </c>
      <c r="L3119" s="2" t="s">
        <v>30194</v>
      </c>
      <c r="M3119" s="2" t="s">
        <v>30195</v>
      </c>
      <c r="N3119" s="3" t="s">
        <v>19885</v>
      </c>
      <c r="P3119" s="3" t="s">
        <v>64</v>
      </c>
      <c r="Q3119" s="2" t="s">
        <v>30196</v>
      </c>
      <c r="R3119" s="3" t="s">
        <v>27443</v>
      </c>
      <c r="S3119" s="4">
        <v>2</v>
      </c>
      <c r="T3119" s="4">
        <v>5</v>
      </c>
      <c r="U3119" s="5" t="s">
        <v>18518</v>
      </c>
      <c r="V3119" s="5" t="s">
        <v>18518</v>
      </c>
      <c r="W3119" s="5" t="s">
        <v>67</v>
      </c>
      <c r="X3119" s="5" t="s">
        <v>67</v>
      </c>
      <c r="Y3119" s="4">
        <v>222</v>
      </c>
      <c r="Z3119" s="4">
        <v>14</v>
      </c>
      <c r="AA3119" s="4">
        <v>36</v>
      </c>
      <c r="AB3119" s="4">
        <v>3</v>
      </c>
      <c r="AC3119" s="4">
        <v>7</v>
      </c>
      <c r="AD3119" s="4">
        <v>67</v>
      </c>
      <c r="AE3119" s="4">
        <v>122</v>
      </c>
      <c r="AF3119" s="4">
        <v>1</v>
      </c>
      <c r="AG3119" s="4">
        <v>4</v>
      </c>
      <c r="AH3119" s="4">
        <v>59</v>
      </c>
      <c r="AI3119" s="4">
        <v>104</v>
      </c>
      <c r="AJ3119" s="4">
        <v>8</v>
      </c>
      <c r="AK3119" s="4">
        <v>21</v>
      </c>
      <c r="AL3119" s="4">
        <v>37</v>
      </c>
      <c r="AM3119" s="4">
        <v>56</v>
      </c>
      <c r="AN3119" s="4">
        <v>5</v>
      </c>
      <c r="AO3119" s="4">
        <v>5</v>
      </c>
      <c r="AP3119" s="4">
        <v>8</v>
      </c>
      <c r="AQ3119" s="4">
        <v>23</v>
      </c>
      <c r="AR3119" s="3" t="s">
        <v>62</v>
      </c>
      <c r="AS3119" s="3" t="s">
        <v>61</v>
      </c>
      <c r="AT3119" s="3" t="s">
        <v>62</v>
      </c>
      <c r="AU3119" s="6" t="str">
        <f>HYPERLINK("http://catalog.hathitrust.org/Record/001484718","HathiTrust Record")</f>
        <v>HathiTrust Record</v>
      </c>
      <c r="AV3119" s="6" t="str">
        <f>HYPERLINK("http://mcgill.on.worldcat.org/oclc/14801635","Catalog Record")</f>
        <v>Catalog Record</v>
      </c>
      <c r="AW3119" s="6" t="str">
        <f>HYPERLINK("http://www.worldcat.org/oclc/14801635","WorldCat Record")</f>
        <v>WorldCat Record</v>
      </c>
      <c r="AX3119" s="3" t="s">
        <v>30197</v>
      </c>
      <c r="AY3119" s="3" t="s">
        <v>30198</v>
      </c>
      <c r="AZ3119" s="3" t="s">
        <v>30199</v>
      </c>
      <c r="BA3119" s="3" t="s">
        <v>30199</v>
      </c>
      <c r="BB3119" s="3" t="s">
        <v>30205</v>
      </c>
      <c r="BC3119" s="3" t="s">
        <v>102</v>
      </c>
      <c r="BD3119" s="3" t="s">
        <v>68</v>
      </c>
      <c r="BF3119" s="3" t="s">
        <v>30205</v>
      </c>
      <c r="BG3119" s="3" t="s">
        <v>30206</v>
      </c>
    </row>
    <row r="3120" spans="1:59" ht="58" x14ac:dyDescent="0.35">
      <c r="A3120" s="2" t="s">
        <v>59</v>
      </c>
      <c r="B3120" s="2" t="s">
        <v>60</v>
      </c>
      <c r="C3120" s="2" t="s">
        <v>30191</v>
      </c>
      <c r="D3120" s="2" t="s">
        <v>30192</v>
      </c>
      <c r="E3120" s="2" t="s">
        <v>30193</v>
      </c>
      <c r="G3120" s="3" t="s">
        <v>62</v>
      </c>
      <c r="I3120" s="3" t="s">
        <v>61</v>
      </c>
      <c r="J3120" s="3" t="s">
        <v>61</v>
      </c>
      <c r="K3120" s="3" t="s">
        <v>63</v>
      </c>
      <c r="L3120" s="2" t="s">
        <v>30194</v>
      </c>
      <c r="M3120" s="2" t="s">
        <v>30195</v>
      </c>
      <c r="N3120" s="3" t="s">
        <v>19885</v>
      </c>
      <c r="P3120" s="3" t="s">
        <v>64</v>
      </c>
      <c r="Q3120" s="2" t="s">
        <v>30196</v>
      </c>
      <c r="R3120" s="3" t="s">
        <v>27443</v>
      </c>
      <c r="S3120" s="4">
        <v>0</v>
      </c>
      <c r="T3120" s="4">
        <v>5</v>
      </c>
      <c r="V3120" s="5" t="s">
        <v>18518</v>
      </c>
      <c r="W3120" s="5" t="s">
        <v>67</v>
      </c>
      <c r="X3120" s="5" t="s">
        <v>67</v>
      </c>
      <c r="Y3120" s="4">
        <v>222</v>
      </c>
      <c r="Z3120" s="4">
        <v>14</v>
      </c>
      <c r="AA3120" s="4">
        <v>36</v>
      </c>
      <c r="AB3120" s="4">
        <v>3</v>
      </c>
      <c r="AC3120" s="4">
        <v>7</v>
      </c>
      <c r="AD3120" s="4">
        <v>67</v>
      </c>
      <c r="AE3120" s="4">
        <v>122</v>
      </c>
      <c r="AF3120" s="4">
        <v>1</v>
      </c>
      <c r="AG3120" s="4">
        <v>4</v>
      </c>
      <c r="AH3120" s="4">
        <v>59</v>
      </c>
      <c r="AI3120" s="4">
        <v>104</v>
      </c>
      <c r="AJ3120" s="4">
        <v>8</v>
      </c>
      <c r="AK3120" s="4">
        <v>21</v>
      </c>
      <c r="AL3120" s="4">
        <v>37</v>
      </c>
      <c r="AM3120" s="4">
        <v>56</v>
      </c>
      <c r="AN3120" s="4">
        <v>5</v>
      </c>
      <c r="AO3120" s="4">
        <v>5</v>
      </c>
      <c r="AP3120" s="4">
        <v>8</v>
      </c>
      <c r="AQ3120" s="4">
        <v>23</v>
      </c>
      <c r="AR3120" s="3" t="s">
        <v>62</v>
      </c>
      <c r="AS3120" s="3" t="s">
        <v>61</v>
      </c>
      <c r="AT3120" s="3" t="s">
        <v>62</v>
      </c>
      <c r="AU3120" s="6" t="str">
        <f>HYPERLINK("http://catalog.hathitrust.org/Record/001484718","HathiTrust Record")</f>
        <v>HathiTrust Record</v>
      </c>
      <c r="AV3120" s="6" t="str">
        <f>HYPERLINK("http://mcgill.on.worldcat.org/oclc/14801635","Catalog Record")</f>
        <v>Catalog Record</v>
      </c>
      <c r="AW3120" s="6" t="str">
        <f>HYPERLINK("http://www.worldcat.org/oclc/14801635","WorldCat Record")</f>
        <v>WorldCat Record</v>
      </c>
      <c r="AX3120" s="3" t="s">
        <v>30197</v>
      </c>
      <c r="AY3120" s="3" t="s">
        <v>30198</v>
      </c>
      <c r="AZ3120" s="3" t="s">
        <v>30199</v>
      </c>
      <c r="BA3120" s="3" t="s">
        <v>30199</v>
      </c>
      <c r="BB3120" s="3" t="s">
        <v>30207</v>
      </c>
      <c r="BC3120" s="3" t="s">
        <v>102</v>
      </c>
      <c r="BD3120" s="3" t="s">
        <v>6923</v>
      </c>
      <c r="BF3120" s="3" t="s">
        <v>30207</v>
      </c>
      <c r="BG3120" s="3" t="s">
        <v>30208</v>
      </c>
    </row>
    <row r="3121" spans="1:59" ht="58" x14ac:dyDescent="0.35">
      <c r="A3121" s="2" t="s">
        <v>89</v>
      </c>
      <c r="B3121" s="2" t="s">
        <v>90</v>
      </c>
      <c r="C3121" s="2" t="s">
        <v>30209</v>
      </c>
      <c r="D3121" s="2" t="s">
        <v>30210</v>
      </c>
      <c r="E3121" s="2" t="s">
        <v>30211</v>
      </c>
      <c r="G3121" s="3" t="s">
        <v>62</v>
      </c>
      <c r="I3121" s="3" t="s">
        <v>61</v>
      </c>
      <c r="J3121" s="3" t="s">
        <v>61</v>
      </c>
      <c r="K3121" s="3" t="s">
        <v>63</v>
      </c>
      <c r="L3121" s="2" t="s">
        <v>30212</v>
      </c>
      <c r="M3121" s="2" t="s">
        <v>30213</v>
      </c>
      <c r="N3121" s="3" t="s">
        <v>106</v>
      </c>
      <c r="O3121" s="2" t="s">
        <v>8350</v>
      </c>
      <c r="P3121" s="3" t="s">
        <v>64</v>
      </c>
      <c r="Q3121" s="2" t="s">
        <v>30214</v>
      </c>
      <c r="R3121" s="3" t="s">
        <v>27443</v>
      </c>
      <c r="S3121" s="4">
        <v>5</v>
      </c>
      <c r="T3121" s="4">
        <v>16</v>
      </c>
      <c r="U3121" s="5" t="s">
        <v>30215</v>
      </c>
      <c r="V3121" s="5" t="s">
        <v>30215</v>
      </c>
      <c r="W3121" s="5" t="s">
        <v>67</v>
      </c>
      <c r="X3121" s="5" t="s">
        <v>67</v>
      </c>
      <c r="Y3121" s="4">
        <v>967</v>
      </c>
      <c r="Z3121" s="4">
        <v>43</v>
      </c>
      <c r="AA3121" s="4">
        <v>58</v>
      </c>
      <c r="AB3121" s="4">
        <v>4</v>
      </c>
      <c r="AC3121" s="4">
        <v>8</v>
      </c>
      <c r="AD3121" s="4">
        <v>125</v>
      </c>
      <c r="AE3121" s="4">
        <v>143</v>
      </c>
      <c r="AF3121" s="4">
        <v>2</v>
      </c>
      <c r="AG3121" s="4">
        <v>5</v>
      </c>
      <c r="AH3121" s="4">
        <v>97</v>
      </c>
      <c r="AI3121" s="4">
        <v>109</v>
      </c>
      <c r="AJ3121" s="4">
        <v>20</v>
      </c>
      <c r="AK3121" s="4">
        <v>26</v>
      </c>
      <c r="AL3121" s="4">
        <v>56</v>
      </c>
      <c r="AM3121" s="4">
        <v>59</v>
      </c>
      <c r="AN3121" s="4">
        <v>0</v>
      </c>
      <c r="AO3121" s="4">
        <v>0</v>
      </c>
      <c r="AP3121" s="4">
        <v>31</v>
      </c>
      <c r="AQ3121" s="4">
        <v>39</v>
      </c>
      <c r="AR3121" s="3" t="s">
        <v>62</v>
      </c>
      <c r="AS3121" s="3" t="s">
        <v>62</v>
      </c>
      <c r="AT3121" s="3" t="s">
        <v>61</v>
      </c>
      <c r="AU3121" s="6" t="str">
        <f>HYPERLINK("http://catalog.hathitrust.org/Record/001485451","HathiTrust Record")</f>
        <v>HathiTrust Record</v>
      </c>
      <c r="AV3121" s="6" t="str">
        <f>HYPERLINK("http://mcgill.on.worldcat.org/oclc/424261","Catalog Record")</f>
        <v>Catalog Record</v>
      </c>
      <c r="AW3121" s="6" t="str">
        <f>HYPERLINK("http://www.worldcat.org/oclc/424261","WorldCat Record")</f>
        <v>WorldCat Record</v>
      </c>
      <c r="AX3121" s="3" t="s">
        <v>30216</v>
      </c>
      <c r="AY3121" s="3" t="s">
        <v>30217</v>
      </c>
      <c r="AZ3121" s="3" t="s">
        <v>30218</v>
      </c>
      <c r="BA3121" s="3" t="s">
        <v>30218</v>
      </c>
      <c r="BB3121" s="3" t="s">
        <v>30219</v>
      </c>
      <c r="BC3121" s="3" t="s">
        <v>102</v>
      </c>
      <c r="BD3121" s="3" t="s">
        <v>68</v>
      </c>
      <c r="BF3121" s="3" t="s">
        <v>30219</v>
      </c>
      <c r="BG3121" s="3" t="s">
        <v>30220</v>
      </c>
    </row>
    <row r="3122" spans="1:59" ht="58" x14ac:dyDescent="0.35">
      <c r="A3122" s="2" t="s">
        <v>89</v>
      </c>
      <c r="B3122" s="2" t="s">
        <v>90</v>
      </c>
      <c r="C3122" s="2" t="s">
        <v>30221</v>
      </c>
      <c r="D3122" s="2" t="s">
        <v>30222</v>
      </c>
      <c r="E3122" s="2" t="s">
        <v>30223</v>
      </c>
      <c r="G3122" s="3" t="s">
        <v>62</v>
      </c>
      <c r="I3122" s="3" t="s">
        <v>62</v>
      </c>
      <c r="J3122" s="3" t="s">
        <v>62</v>
      </c>
      <c r="K3122" s="3" t="s">
        <v>63</v>
      </c>
      <c r="M3122" s="2" t="s">
        <v>30224</v>
      </c>
      <c r="N3122" s="3" t="s">
        <v>698</v>
      </c>
      <c r="P3122" s="3" t="s">
        <v>64</v>
      </c>
      <c r="R3122" s="3" t="s">
        <v>27443</v>
      </c>
      <c r="S3122" s="4">
        <v>0</v>
      </c>
      <c r="T3122" s="4">
        <v>0</v>
      </c>
      <c r="W3122" s="5" t="s">
        <v>67</v>
      </c>
      <c r="X3122" s="5" t="s">
        <v>67</v>
      </c>
      <c r="Y3122" s="4">
        <v>39</v>
      </c>
      <c r="Z3122" s="4">
        <v>8</v>
      </c>
      <c r="AA3122" s="4">
        <v>8</v>
      </c>
      <c r="AB3122" s="4">
        <v>1</v>
      </c>
      <c r="AC3122" s="4">
        <v>1</v>
      </c>
      <c r="AD3122" s="4">
        <v>16</v>
      </c>
      <c r="AE3122" s="4">
        <v>16</v>
      </c>
      <c r="AF3122" s="4">
        <v>0</v>
      </c>
      <c r="AG3122" s="4">
        <v>0</v>
      </c>
      <c r="AH3122" s="4">
        <v>13</v>
      </c>
      <c r="AI3122" s="4">
        <v>13</v>
      </c>
      <c r="AJ3122" s="4">
        <v>6</v>
      </c>
      <c r="AK3122" s="4">
        <v>6</v>
      </c>
      <c r="AL3122" s="4">
        <v>10</v>
      </c>
      <c r="AM3122" s="4">
        <v>10</v>
      </c>
      <c r="AN3122" s="4">
        <v>0</v>
      </c>
      <c r="AO3122" s="4">
        <v>0</v>
      </c>
      <c r="AP3122" s="4">
        <v>6</v>
      </c>
      <c r="AQ3122" s="4">
        <v>6</v>
      </c>
      <c r="AR3122" s="3" t="s">
        <v>62</v>
      </c>
      <c r="AS3122" s="3" t="s">
        <v>62</v>
      </c>
      <c r="AT3122" s="3" t="s">
        <v>62</v>
      </c>
      <c r="AV3122" s="6" t="str">
        <f>HYPERLINK("http://mcgill.on.worldcat.org/oclc/794366940","Catalog Record")</f>
        <v>Catalog Record</v>
      </c>
      <c r="AW3122" s="6" t="str">
        <f>HYPERLINK("http://www.worldcat.org/oclc/794366940","WorldCat Record")</f>
        <v>WorldCat Record</v>
      </c>
      <c r="AX3122" s="3" t="s">
        <v>30225</v>
      </c>
      <c r="AY3122" s="3" t="s">
        <v>30226</v>
      </c>
      <c r="AZ3122" s="3" t="s">
        <v>30227</v>
      </c>
      <c r="BA3122" s="3" t="s">
        <v>30227</v>
      </c>
      <c r="BB3122" s="3" t="s">
        <v>30228</v>
      </c>
      <c r="BC3122" s="3" t="s">
        <v>102</v>
      </c>
      <c r="BD3122" s="3" t="s">
        <v>68</v>
      </c>
      <c r="BE3122" s="3" t="s">
        <v>30229</v>
      </c>
      <c r="BF3122" s="3" t="s">
        <v>30228</v>
      </c>
      <c r="BG3122" s="3" t="s">
        <v>30230</v>
      </c>
    </row>
    <row r="3123" spans="1:59" ht="58" x14ac:dyDescent="0.35">
      <c r="A3123" s="2" t="s">
        <v>89</v>
      </c>
      <c r="B3123" s="2" t="s">
        <v>18023</v>
      </c>
      <c r="C3123" s="2" t="s">
        <v>30232</v>
      </c>
      <c r="D3123" s="2" t="s">
        <v>30233</v>
      </c>
      <c r="E3123" s="2" t="s">
        <v>30234</v>
      </c>
      <c r="G3123" s="3" t="s">
        <v>62</v>
      </c>
      <c r="I3123" s="3" t="s">
        <v>61</v>
      </c>
      <c r="J3123" s="3" t="s">
        <v>62</v>
      </c>
      <c r="K3123" s="3" t="s">
        <v>63</v>
      </c>
      <c r="L3123" s="2" t="s">
        <v>30235</v>
      </c>
      <c r="M3123" s="2" t="s">
        <v>30236</v>
      </c>
      <c r="N3123" s="3" t="s">
        <v>2136</v>
      </c>
      <c r="O3123" s="2" t="s">
        <v>2986</v>
      </c>
      <c r="P3123" s="3" t="s">
        <v>64</v>
      </c>
      <c r="R3123" s="3" t="s">
        <v>27443</v>
      </c>
      <c r="S3123" s="4">
        <v>39</v>
      </c>
      <c r="T3123" s="4">
        <v>68</v>
      </c>
      <c r="U3123" s="5" t="s">
        <v>12842</v>
      </c>
      <c r="V3123" s="5" t="s">
        <v>12842</v>
      </c>
      <c r="W3123" s="5" t="s">
        <v>67</v>
      </c>
      <c r="X3123" s="5" t="s">
        <v>67</v>
      </c>
      <c r="Y3123" s="4">
        <v>363</v>
      </c>
      <c r="Z3123" s="4">
        <v>30</v>
      </c>
      <c r="AA3123" s="4">
        <v>55</v>
      </c>
      <c r="AB3123" s="4">
        <v>2</v>
      </c>
      <c r="AC3123" s="4">
        <v>9</v>
      </c>
      <c r="AD3123" s="4">
        <v>92</v>
      </c>
      <c r="AE3123" s="4">
        <v>139</v>
      </c>
      <c r="AF3123" s="4">
        <v>1</v>
      </c>
      <c r="AG3123" s="4">
        <v>6</v>
      </c>
      <c r="AH3123" s="4">
        <v>80</v>
      </c>
      <c r="AI3123" s="4">
        <v>111</v>
      </c>
      <c r="AJ3123" s="4">
        <v>18</v>
      </c>
      <c r="AK3123" s="4">
        <v>27</v>
      </c>
      <c r="AL3123" s="4">
        <v>46</v>
      </c>
      <c r="AM3123" s="4">
        <v>58</v>
      </c>
      <c r="AN3123" s="4">
        <v>0</v>
      </c>
      <c r="AO3123" s="4">
        <v>0</v>
      </c>
      <c r="AP3123" s="4">
        <v>21</v>
      </c>
      <c r="AQ3123" s="4">
        <v>37</v>
      </c>
      <c r="AR3123" s="3" t="s">
        <v>62</v>
      </c>
      <c r="AS3123" s="3" t="s">
        <v>62</v>
      </c>
      <c r="AT3123" s="3" t="s">
        <v>62</v>
      </c>
      <c r="AV3123" s="6" t="str">
        <f>HYPERLINK("http://mcgill.on.worldcat.org/oclc/53325178","Catalog Record")</f>
        <v>Catalog Record</v>
      </c>
      <c r="AW3123" s="6" t="str">
        <f>HYPERLINK("http://www.worldcat.org/oclc/53325178","WorldCat Record")</f>
        <v>WorldCat Record</v>
      </c>
      <c r="AX3123" s="3" t="s">
        <v>30237</v>
      </c>
      <c r="AY3123" s="3" t="s">
        <v>30238</v>
      </c>
      <c r="AZ3123" s="3" t="s">
        <v>30239</v>
      </c>
      <c r="BA3123" s="3" t="s">
        <v>30239</v>
      </c>
      <c r="BB3123" s="3" t="s">
        <v>30240</v>
      </c>
      <c r="BC3123" s="3" t="s">
        <v>102</v>
      </c>
      <c r="BD3123" s="3" t="s">
        <v>68</v>
      </c>
      <c r="BE3123" s="3" t="s">
        <v>30241</v>
      </c>
      <c r="BF3123" s="3" t="s">
        <v>30240</v>
      </c>
      <c r="BG3123" s="3" t="s">
        <v>30242</v>
      </c>
    </row>
    <row r="3124" spans="1:59" ht="58" x14ac:dyDescent="0.35">
      <c r="A3124" s="2" t="s">
        <v>89</v>
      </c>
      <c r="B3124" s="2" t="s">
        <v>18023</v>
      </c>
      <c r="C3124" s="2" t="s">
        <v>30232</v>
      </c>
      <c r="D3124" s="2" t="s">
        <v>30233</v>
      </c>
      <c r="E3124" s="2" t="s">
        <v>30234</v>
      </c>
      <c r="G3124" s="3" t="s">
        <v>62</v>
      </c>
      <c r="I3124" s="3" t="s">
        <v>61</v>
      </c>
      <c r="J3124" s="3" t="s">
        <v>62</v>
      </c>
      <c r="K3124" s="3" t="s">
        <v>63</v>
      </c>
      <c r="L3124" s="2" t="s">
        <v>30235</v>
      </c>
      <c r="M3124" s="2" t="s">
        <v>30236</v>
      </c>
      <c r="N3124" s="3" t="s">
        <v>2136</v>
      </c>
      <c r="O3124" s="2" t="s">
        <v>2986</v>
      </c>
      <c r="P3124" s="3" t="s">
        <v>64</v>
      </c>
      <c r="R3124" s="3" t="s">
        <v>27443</v>
      </c>
      <c r="S3124" s="4">
        <v>29</v>
      </c>
      <c r="T3124" s="4">
        <v>68</v>
      </c>
      <c r="U3124" s="5" t="s">
        <v>12842</v>
      </c>
      <c r="V3124" s="5" t="s">
        <v>12842</v>
      </c>
      <c r="W3124" s="5" t="s">
        <v>67</v>
      </c>
      <c r="X3124" s="5" t="s">
        <v>67</v>
      </c>
      <c r="Y3124" s="4">
        <v>363</v>
      </c>
      <c r="Z3124" s="4">
        <v>30</v>
      </c>
      <c r="AA3124" s="4">
        <v>55</v>
      </c>
      <c r="AB3124" s="4">
        <v>2</v>
      </c>
      <c r="AC3124" s="4">
        <v>9</v>
      </c>
      <c r="AD3124" s="4">
        <v>92</v>
      </c>
      <c r="AE3124" s="4">
        <v>139</v>
      </c>
      <c r="AF3124" s="4">
        <v>1</v>
      </c>
      <c r="AG3124" s="4">
        <v>6</v>
      </c>
      <c r="AH3124" s="4">
        <v>80</v>
      </c>
      <c r="AI3124" s="4">
        <v>111</v>
      </c>
      <c r="AJ3124" s="4">
        <v>18</v>
      </c>
      <c r="AK3124" s="4">
        <v>27</v>
      </c>
      <c r="AL3124" s="4">
        <v>46</v>
      </c>
      <c r="AM3124" s="4">
        <v>58</v>
      </c>
      <c r="AN3124" s="4">
        <v>0</v>
      </c>
      <c r="AO3124" s="4">
        <v>0</v>
      </c>
      <c r="AP3124" s="4">
        <v>21</v>
      </c>
      <c r="AQ3124" s="4">
        <v>37</v>
      </c>
      <c r="AR3124" s="3" t="s">
        <v>62</v>
      </c>
      <c r="AS3124" s="3" t="s">
        <v>62</v>
      </c>
      <c r="AT3124" s="3" t="s">
        <v>62</v>
      </c>
      <c r="AV3124" s="6" t="str">
        <f>HYPERLINK("http://mcgill.on.worldcat.org/oclc/53325178","Catalog Record")</f>
        <v>Catalog Record</v>
      </c>
      <c r="AW3124" s="6" t="str">
        <f>HYPERLINK("http://www.worldcat.org/oclc/53325178","WorldCat Record")</f>
        <v>WorldCat Record</v>
      </c>
      <c r="AX3124" s="3" t="s">
        <v>30237</v>
      </c>
      <c r="AY3124" s="3" t="s">
        <v>30238</v>
      </c>
      <c r="AZ3124" s="3" t="s">
        <v>30239</v>
      </c>
      <c r="BA3124" s="3" t="s">
        <v>30239</v>
      </c>
      <c r="BB3124" s="3" t="s">
        <v>30243</v>
      </c>
      <c r="BC3124" s="3" t="s">
        <v>102</v>
      </c>
      <c r="BD3124" s="3" t="s">
        <v>68</v>
      </c>
      <c r="BE3124" s="3" t="s">
        <v>30241</v>
      </c>
      <c r="BF3124" s="3" t="s">
        <v>30243</v>
      </c>
      <c r="BG3124" s="3" t="s">
        <v>30244</v>
      </c>
    </row>
    <row r="3125" spans="1:59" ht="58" x14ac:dyDescent="0.35">
      <c r="A3125" s="2" t="s">
        <v>89</v>
      </c>
      <c r="B3125" s="2" t="s">
        <v>90</v>
      </c>
      <c r="C3125" s="2" t="s">
        <v>30245</v>
      </c>
      <c r="D3125" s="2" t="s">
        <v>30246</v>
      </c>
      <c r="E3125" s="2" t="s">
        <v>30247</v>
      </c>
      <c r="G3125" s="3" t="s">
        <v>62</v>
      </c>
      <c r="H3125" s="3" t="s">
        <v>916</v>
      </c>
      <c r="I3125" s="3" t="s">
        <v>62</v>
      </c>
      <c r="J3125" s="3" t="s">
        <v>62</v>
      </c>
      <c r="K3125" s="3" t="s">
        <v>63</v>
      </c>
      <c r="L3125" s="2" t="s">
        <v>30248</v>
      </c>
      <c r="M3125" s="2" t="s">
        <v>30249</v>
      </c>
      <c r="N3125" s="3" t="s">
        <v>741</v>
      </c>
      <c r="P3125" s="3" t="s">
        <v>64</v>
      </c>
      <c r="R3125" s="3" t="s">
        <v>27443</v>
      </c>
      <c r="S3125" s="4">
        <v>1</v>
      </c>
      <c r="T3125" s="4">
        <v>1</v>
      </c>
      <c r="W3125" s="5" t="s">
        <v>173</v>
      </c>
      <c r="X3125" s="5" t="s">
        <v>173</v>
      </c>
      <c r="Y3125" s="4">
        <v>77</v>
      </c>
      <c r="Z3125" s="4">
        <v>5</v>
      </c>
      <c r="AA3125" s="4">
        <v>5</v>
      </c>
      <c r="AB3125" s="4">
        <v>1</v>
      </c>
      <c r="AC3125" s="4">
        <v>1</v>
      </c>
      <c r="AD3125" s="4">
        <v>28</v>
      </c>
      <c r="AE3125" s="4">
        <v>28</v>
      </c>
      <c r="AF3125" s="4">
        <v>0</v>
      </c>
      <c r="AG3125" s="4">
        <v>0</v>
      </c>
      <c r="AH3125" s="4">
        <v>26</v>
      </c>
      <c r="AI3125" s="4">
        <v>26</v>
      </c>
      <c r="AJ3125" s="4">
        <v>4</v>
      </c>
      <c r="AK3125" s="4">
        <v>4</v>
      </c>
      <c r="AL3125" s="4">
        <v>20</v>
      </c>
      <c r="AM3125" s="4">
        <v>20</v>
      </c>
      <c r="AN3125" s="4">
        <v>0</v>
      </c>
      <c r="AO3125" s="4">
        <v>0</v>
      </c>
      <c r="AP3125" s="4">
        <v>4</v>
      </c>
      <c r="AQ3125" s="4">
        <v>4</v>
      </c>
      <c r="AR3125" s="3" t="s">
        <v>62</v>
      </c>
      <c r="AS3125" s="3" t="s">
        <v>62</v>
      </c>
      <c r="AT3125" s="3" t="s">
        <v>62</v>
      </c>
      <c r="AV3125" s="6" t="str">
        <f>HYPERLINK("http://mcgill.on.worldcat.org/oclc/1051685201","Catalog Record")</f>
        <v>Catalog Record</v>
      </c>
      <c r="AW3125" s="6" t="str">
        <f>HYPERLINK("http://www.worldcat.org/oclc/1051685201","WorldCat Record")</f>
        <v>WorldCat Record</v>
      </c>
      <c r="AX3125" s="3" t="s">
        <v>30250</v>
      </c>
      <c r="AY3125" s="3" t="s">
        <v>30251</v>
      </c>
      <c r="AZ3125" s="3" t="s">
        <v>30252</v>
      </c>
      <c r="BA3125" s="3" t="s">
        <v>30252</v>
      </c>
      <c r="BB3125" s="3" t="s">
        <v>30253</v>
      </c>
      <c r="BC3125" s="3" t="s">
        <v>102</v>
      </c>
      <c r="BD3125" s="3" t="s">
        <v>231</v>
      </c>
      <c r="BE3125" s="3" t="s">
        <v>30254</v>
      </c>
      <c r="BF3125" s="3" t="s">
        <v>30253</v>
      </c>
      <c r="BG3125" s="3" t="s">
        <v>30255</v>
      </c>
    </row>
    <row r="3126" spans="1:59" ht="58" x14ac:dyDescent="0.35">
      <c r="A3126" s="2" t="s">
        <v>89</v>
      </c>
      <c r="B3126" s="2" t="s">
        <v>90</v>
      </c>
      <c r="C3126" s="2" t="s">
        <v>30256</v>
      </c>
      <c r="D3126" s="2" t="s">
        <v>30257</v>
      </c>
      <c r="E3126" s="2" t="s">
        <v>30258</v>
      </c>
      <c r="G3126" s="3" t="s">
        <v>62</v>
      </c>
      <c r="I3126" s="3" t="s">
        <v>62</v>
      </c>
      <c r="J3126" s="3" t="s">
        <v>62</v>
      </c>
      <c r="K3126" s="3" t="s">
        <v>63</v>
      </c>
      <c r="L3126" s="2" t="s">
        <v>30259</v>
      </c>
      <c r="M3126" s="2" t="s">
        <v>30260</v>
      </c>
      <c r="N3126" s="3" t="s">
        <v>1455</v>
      </c>
      <c r="P3126" s="3" t="s">
        <v>64</v>
      </c>
      <c r="R3126" s="3" t="s">
        <v>27443</v>
      </c>
      <c r="S3126" s="4">
        <v>2</v>
      </c>
      <c r="T3126" s="4">
        <v>2</v>
      </c>
      <c r="U3126" s="5" t="s">
        <v>25732</v>
      </c>
      <c r="V3126" s="5" t="s">
        <v>25732</v>
      </c>
      <c r="W3126" s="5" t="s">
        <v>67</v>
      </c>
      <c r="X3126" s="5" t="s">
        <v>67</v>
      </c>
      <c r="Y3126" s="4">
        <v>214</v>
      </c>
      <c r="Z3126" s="4">
        <v>11</v>
      </c>
      <c r="AA3126" s="4">
        <v>81</v>
      </c>
      <c r="AB3126" s="4">
        <v>1</v>
      </c>
      <c r="AC3126" s="4">
        <v>14</v>
      </c>
      <c r="AD3126" s="4">
        <v>46</v>
      </c>
      <c r="AE3126" s="4">
        <v>119</v>
      </c>
      <c r="AF3126" s="4">
        <v>0</v>
      </c>
      <c r="AG3126" s="4">
        <v>8</v>
      </c>
      <c r="AH3126" s="4">
        <v>41</v>
      </c>
      <c r="AI3126" s="4">
        <v>82</v>
      </c>
      <c r="AJ3126" s="4">
        <v>6</v>
      </c>
      <c r="AK3126" s="4">
        <v>22</v>
      </c>
      <c r="AL3126" s="4">
        <v>26</v>
      </c>
      <c r="AM3126" s="4">
        <v>45</v>
      </c>
      <c r="AN3126" s="4">
        <v>0</v>
      </c>
      <c r="AO3126" s="4">
        <v>0</v>
      </c>
      <c r="AP3126" s="4">
        <v>7</v>
      </c>
      <c r="AQ3126" s="4">
        <v>43</v>
      </c>
      <c r="AR3126" s="3" t="s">
        <v>62</v>
      </c>
      <c r="AS3126" s="3" t="s">
        <v>62</v>
      </c>
      <c r="AT3126" s="3" t="s">
        <v>62</v>
      </c>
      <c r="AV3126" s="6" t="str">
        <f>HYPERLINK("http://mcgill.on.worldcat.org/oclc/891854030","Catalog Record")</f>
        <v>Catalog Record</v>
      </c>
      <c r="AW3126" s="6" t="str">
        <f>HYPERLINK("http://www.worldcat.org/oclc/891854030","WorldCat Record")</f>
        <v>WorldCat Record</v>
      </c>
      <c r="AX3126" s="3" t="s">
        <v>30261</v>
      </c>
      <c r="AY3126" s="3" t="s">
        <v>30262</v>
      </c>
      <c r="AZ3126" s="3" t="s">
        <v>30263</v>
      </c>
      <c r="BA3126" s="3" t="s">
        <v>30263</v>
      </c>
      <c r="BB3126" s="3" t="s">
        <v>30264</v>
      </c>
      <c r="BC3126" s="3" t="s">
        <v>102</v>
      </c>
      <c r="BD3126" s="3" t="s">
        <v>68</v>
      </c>
      <c r="BE3126" s="3" t="s">
        <v>30265</v>
      </c>
      <c r="BF3126" s="3" t="s">
        <v>30264</v>
      </c>
      <c r="BG3126" s="3" t="s">
        <v>30266</v>
      </c>
    </row>
    <row r="3127" spans="1:59" ht="58" x14ac:dyDescent="0.35">
      <c r="A3127" s="2" t="s">
        <v>89</v>
      </c>
      <c r="B3127" s="2" t="s">
        <v>90</v>
      </c>
      <c r="C3127" s="2" t="s">
        <v>30267</v>
      </c>
      <c r="D3127" s="2" t="s">
        <v>30268</v>
      </c>
      <c r="E3127" s="2" t="s">
        <v>30269</v>
      </c>
      <c r="G3127" s="3" t="s">
        <v>62</v>
      </c>
      <c r="I3127" s="3" t="s">
        <v>62</v>
      </c>
      <c r="J3127" s="3" t="s">
        <v>62</v>
      </c>
      <c r="K3127" s="3" t="s">
        <v>63</v>
      </c>
      <c r="L3127" s="2" t="s">
        <v>30270</v>
      </c>
      <c r="M3127" s="2" t="s">
        <v>30271</v>
      </c>
      <c r="N3127" s="3" t="s">
        <v>2000</v>
      </c>
      <c r="P3127" s="3" t="s">
        <v>64</v>
      </c>
      <c r="Q3127" s="2" t="s">
        <v>5493</v>
      </c>
      <c r="R3127" s="3" t="s">
        <v>27443</v>
      </c>
      <c r="S3127" s="4">
        <v>15</v>
      </c>
      <c r="T3127" s="4">
        <v>15</v>
      </c>
      <c r="U3127" s="5" t="s">
        <v>10239</v>
      </c>
      <c r="V3127" s="5" t="s">
        <v>10239</v>
      </c>
      <c r="W3127" s="5" t="s">
        <v>67</v>
      </c>
      <c r="X3127" s="5" t="s">
        <v>67</v>
      </c>
      <c r="Y3127" s="4">
        <v>189</v>
      </c>
      <c r="Z3127" s="4">
        <v>12</v>
      </c>
      <c r="AA3127" s="4">
        <v>29</v>
      </c>
      <c r="AB3127" s="4">
        <v>1</v>
      </c>
      <c r="AC3127" s="4">
        <v>3</v>
      </c>
      <c r="AD3127" s="4">
        <v>77</v>
      </c>
      <c r="AE3127" s="4">
        <v>94</v>
      </c>
      <c r="AF3127" s="4">
        <v>0</v>
      </c>
      <c r="AG3127" s="4">
        <v>1</v>
      </c>
      <c r="AH3127" s="4">
        <v>72</v>
      </c>
      <c r="AI3127" s="4">
        <v>85</v>
      </c>
      <c r="AJ3127" s="4">
        <v>9</v>
      </c>
      <c r="AK3127" s="4">
        <v>14</v>
      </c>
      <c r="AL3127" s="4">
        <v>44</v>
      </c>
      <c r="AM3127" s="4">
        <v>52</v>
      </c>
      <c r="AN3127" s="4">
        <v>0</v>
      </c>
      <c r="AO3127" s="4">
        <v>0</v>
      </c>
      <c r="AP3127" s="4">
        <v>9</v>
      </c>
      <c r="AQ3127" s="4">
        <v>16</v>
      </c>
      <c r="AR3127" s="3" t="s">
        <v>62</v>
      </c>
      <c r="AS3127" s="3" t="s">
        <v>62</v>
      </c>
      <c r="AT3127" s="3" t="s">
        <v>62</v>
      </c>
      <c r="AV3127" s="6" t="str">
        <f>HYPERLINK("http://mcgill.on.worldcat.org/oclc/33044360","Catalog Record")</f>
        <v>Catalog Record</v>
      </c>
      <c r="AW3127" s="6" t="str">
        <f>HYPERLINK("http://www.worldcat.org/oclc/33044360","WorldCat Record")</f>
        <v>WorldCat Record</v>
      </c>
      <c r="AX3127" s="3" t="s">
        <v>30272</v>
      </c>
      <c r="AY3127" s="3" t="s">
        <v>30273</v>
      </c>
      <c r="AZ3127" s="3" t="s">
        <v>30274</v>
      </c>
      <c r="BA3127" s="3" t="s">
        <v>30274</v>
      </c>
      <c r="BB3127" s="3" t="s">
        <v>30275</v>
      </c>
      <c r="BC3127" s="3" t="s">
        <v>102</v>
      </c>
      <c r="BD3127" s="3" t="s">
        <v>68</v>
      </c>
      <c r="BE3127" s="3" t="s">
        <v>30276</v>
      </c>
      <c r="BF3127" s="3" t="s">
        <v>30275</v>
      </c>
      <c r="BG3127" s="3" t="s">
        <v>30277</v>
      </c>
    </row>
    <row r="3128" spans="1:59" ht="72.5" x14ac:dyDescent="0.35">
      <c r="A3128" s="2" t="s">
        <v>89</v>
      </c>
      <c r="B3128" s="2" t="s">
        <v>90</v>
      </c>
      <c r="C3128" s="2" t="s">
        <v>30278</v>
      </c>
      <c r="D3128" s="2" t="s">
        <v>30279</v>
      </c>
      <c r="E3128" s="2" t="s">
        <v>30280</v>
      </c>
      <c r="G3128" s="3" t="s">
        <v>62</v>
      </c>
      <c r="I3128" s="3" t="s">
        <v>62</v>
      </c>
      <c r="J3128" s="3" t="s">
        <v>62</v>
      </c>
      <c r="K3128" s="3" t="s">
        <v>63</v>
      </c>
      <c r="L3128" s="2" t="s">
        <v>5491</v>
      </c>
      <c r="M3128" s="2" t="s">
        <v>5492</v>
      </c>
      <c r="N3128" s="3" t="s">
        <v>698</v>
      </c>
      <c r="P3128" s="3" t="s">
        <v>64</v>
      </c>
      <c r="Q3128" s="2" t="s">
        <v>5493</v>
      </c>
      <c r="R3128" s="3" t="s">
        <v>27443</v>
      </c>
      <c r="S3128" s="4">
        <v>0</v>
      </c>
      <c r="T3128" s="4">
        <v>0</v>
      </c>
      <c r="W3128" s="5" t="s">
        <v>67</v>
      </c>
      <c r="X3128" s="5" t="s">
        <v>67</v>
      </c>
      <c r="Y3128" s="4">
        <v>43</v>
      </c>
      <c r="Z3128" s="4">
        <v>6</v>
      </c>
      <c r="AA3128" s="4">
        <v>74</v>
      </c>
      <c r="AB3128" s="4">
        <v>1</v>
      </c>
      <c r="AC3128" s="4">
        <v>14</v>
      </c>
      <c r="AD3128" s="4">
        <v>21</v>
      </c>
      <c r="AE3128" s="4">
        <v>101</v>
      </c>
      <c r="AF3128" s="4">
        <v>0</v>
      </c>
      <c r="AG3128" s="4">
        <v>8</v>
      </c>
      <c r="AH3128" s="4">
        <v>19</v>
      </c>
      <c r="AI3128" s="4">
        <v>72</v>
      </c>
      <c r="AJ3128" s="4">
        <v>4</v>
      </c>
      <c r="AK3128" s="4">
        <v>20</v>
      </c>
      <c r="AL3128" s="4">
        <v>16</v>
      </c>
      <c r="AM3128" s="4">
        <v>39</v>
      </c>
      <c r="AN3128" s="4">
        <v>0</v>
      </c>
      <c r="AO3128" s="4">
        <v>0</v>
      </c>
      <c r="AP3128" s="4">
        <v>4</v>
      </c>
      <c r="AQ3128" s="4">
        <v>37</v>
      </c>
      <c r="AR3128" s="3" t="s">
        <v>62</v>
      </c>
      <c r="AS3128" s="3" t="s">
        <v>62</v>
      </c>
      <c r="AT3128" s="3" t="s">
        <v>62</v>
      </c>
      <c r="AV3128" s="6" t="str">
        <f>HYPERLINK("http://mcgill.on.worldcat.org/oclc/820380077","Catalog Record")</f>
        <v>Catalog Record</v>
      </c>
      <c r="AW3128" s="6" t="str">
        <f>HYPERLINK("http://www.worldcat.org/oclc/820380077","WorldCat Record")</f>
        <v>WorldCat Record</v>
      </c>
      <c r="AX3128" s="3" t="s">
        <v>30281</v>
      </c>
      <c r="AY3128" s="3" t="s">
        <v>30282</v>
      </c>
      <c r="AZ3128" s="3" t="s">
        <v>30283</v>
      </c>
      <c r="BA3128" s="3" t="s">
        <v>30283</v>
      </c>
      <c r="BB3128" s="3" t="s">
        <v>30284</v>
      </c>
      <c r="BC3128" s="3" t="s">
        <v>102</v>
      </c>
      <c r="BD3128" s="3" t="s">
        <v>68</v>
      </c>
      <c r="BE3128" s="3" t="s">
        <v>30285</v>
      </c>
      <c r="BF3128" s="3" t="s">
        <v>30284</v>
      </c>
      <c r="BG3128" s="3" t="s">
        <v>30286</v>
      </c>
    </row>
    <row r="3129" spans="1:59" ht="58" x14ac:dyDescent="0.35">
      <c r="A3129" s="2" t="s">
        <v>89</v>
      </c>
      <c r="B3129" s="2" t="s">
        <v>90</v>
      </c>
      <c r="C3129" s="2" t="s">
        <v>30287</v>
      </c>
      <c r="D3129" s="2" t="s">
        <v>30288</v>
      </c>
      <c r="E3129" s="2" t="s">
        <v>30289</v>
      </c>
      <c r="G3129" s="3" t="s">
        <v>62</v>
      </c>
      <c r="I3129" s="3" t="s">
        <v>62</v>
      </c>
      <c r="J3129" s="3" t="s">
        <v>62</v>
      </c>
      <c r="K3129" s="3" t="s">
        <v>63</v>
      </c>
      <c r="L3129" s="2" t="s">
        <v>5491</v>
      </c>
      <c r="M3129" s="2" t="s">
        <v>5646</v>
      </c>
      <c r="N3129" s="3" t="s">
        <v>684</v>
      </c>
      <c r="P3129" s="3" t="s">
        <v>64</v>
      </c>
      <c r="Q3129" s="2" t="s">
        <v>5493</v>
      </c>
      <c r="R3129" s="3" t="s">
        <v>27443</v>
      </c>
      <c r="S3129" s="4">
        <v>0</v>
      </c>
      <c r="T3129" s="4">
        <v>0</v>
      </c>
      <c r="W3129" s="5" t="s">
        <v>67</v>
      </c>
      <c r="X3129" s="5" t="s">
        <v>67</v>
      </c>
      <c r="Y3129" s="4">
        <v>109</v>
      </c>
      <c r="Z3129" s="4">
        <v>16</v>
      </c>
      <c r="AA3129" s="4">
        <v>80</v>
      </c>
      <c r="AB3129" s="4">
        <v>1</v>
      </c>
      <c r="AC3129" s="4">
        <v>14</v>
      </c>
      <c r="AD3129" s="4">
        <v>44</v>
      </c>
      <c r="AE3129" s="4">
        <v>105</v>
      </c>
      <c r="AF3129" s="4">
        <v>0</v>
      </c>
      <c r="AG3129" s="4">
        <v>8</v>
      </c>
      <c r="AH3129" s="4">
        <v>38</v>
      </c>
      <c r="AI3129" s="4">
        <v>73</v>
      </c>
      <c r="AJ3129" s="4">
        <v>12</v>
      </c>
      <c r="AK3129" s="4">
        <v>20</v>
      </c>
      <c r="AL3129" s="4">
        <v>26</v>
      </c>
      <c r="AM3129" s="4">
        <v>40</v>
      </c>
      <c r="AN3129" s="4">
        <v>0</v>
      </c>
      <c r="AO3129" s="4">
        <v>0</v>
      </c>
      <c r="AP3129" s="4">
        <v>12</v>
      </c>
      <c r="AQ3129" s="4">
        <v>40</v>
      </c>
      <c r="AR3129" s="3" t="s">
        <v>62</v>
      </c>
      <c r="AS3129" s="3" t="s">
        <v>62</v>
      </c>
      <c r="AT3129" s="3" t="s">
        <v>62</v>
      </c>
      <c r="AV3129" s="6" t="str">
        <f>HYPERLINK("http://mcgill.on.worldcat.org/oclc/773372462","Catalog Record")</f>
        <v>Catalog Record</v>
      </c>
      <c r="AW3129" s="6" t="str">
        <f>HYPERLINK("http://www.worldcat.org/oclc/773372462","WorldCat Record")</f>
        <v>WorldCat Record</v>
      </c>
      <c r="AX3129" s="3" t="s">
        <v>30290</v>
      </c>
      <c r="AY3129" s="3" t="s">
        <v>30291</v>
      </c>
      <c r="AZ3129" s="3" t="s">
        <v>30292</v>
      </c>
      <c r="BA3129" s="3" t="s">
        <v>30292</v>
      </c>
      <c r="BB3129" s="3" t="s">
        <v>30293</v>
      </c>
      <c r="BC3129" s="3" t="s">
        <v>102</v>
      </c>
      <c r="BD3129" s="3" t="s">
        <v>68</v>
      </c>
      <c r="BE3129" s="3" t="s">
        <v>30294</v>
      </c>
      <c r="BF3129" s="3" t="s">
        <v>30293</v>
      </c>
      <c r="BG3129" s="3" t="s">
        <v>30295</v>
      </c>
    </row>
    <row r="3130" spans="1:59" ht="58" x14ac:dyDescent="0.35">
      <c r="A3130" s="2" t="s">
        <v>89</v>
      </c>
      <c r="B3130" s="2" t="s">
        <v>90</v>
      </c>
      <c r="C3130" s="2" t="s">
        <v>30296</v>
      </c>
      <c r="D3130" s="2" t="s">
        <v>30297</v>
      </c>
      <c r="E3130" s="2" t="s">
        <v>30298</v>
      </c>
      <c r="G3130" s="3" t="s">
        <v>62</v>
      </c>
      <c r="I3130" s="3" t="s">
        <v>61</v>
      </c>
      <c r="J3130" s="3" t="s">
        <v>62</v>
      </c>
      <c r="K3130" s="3" t="s">
        <v>63</v>
      </c>
      <c r="L3130" s="2" t="s">
        <v>30299</v>
      </c>
      <c r="M3130" s="2" t="s">
        <v>30300</v>
      </c>
      <c r="N3130" s="3" t="s">
        <v>1549</v>
      </c>
      <c r="O3130" s="2" t="s">
        <v>9823</v>
      </c>
      <c r="P3130" s="3" t="s">
        <v>64</v>
      </c>
      <c r="R3130" s="3" t="s">
        <v>27443</v>
      </c>
      <c r="S3130" s="4">
        <v>0</v>
      </c>
      <c r="T3130" s="4">
        <v>4</v>
      </c>
      <c r="V3130" s="5" t="s">
        <v>3560</v>
      </c>
      <c r="W3130" s="5" t="s">
        <v>67</v>
      </c>
      <c r="X3130" s="5" t="s">
        <v>67</v>
      </c>
      <c r="Y3130" s="4">
        <v>7</v>
      </c>
      <c r="Z3130" s="4">
        <v>4</v>
      </c>
      <c r="AA3130" s="4">
        <v>29</v>
      </c>
      <c r="AB3130" s="4">
        <v>1</v>
      </c>
      <c r="AC3130" s="4">
        <v>1</v>
      </c>
      <c r="AD3130" s="4">
        <v>2</v>
      </c>
      <c r="AE3130" s="4">
        <v>99</v>
      </c>
      <c r="AF3130" s="4">
        <v>0</v>
      </c>
      <c r="AG3130" s="4">
        <v>0</v>
      </c>
      <c r="AH3130" s="4">
        <v>2</v>
      </c>
      <c r="AI3130" s="4">
        <v>83</v>
      </c>
      <c r="AJ3130" s="4">
        <v>1</v>
      </c>
      <c r="AK3130" s="4">
        <v>14</v>
      </c>
      <c r="AL3130" s="4">
        <v>1</v>
      </c>
      <c r="AM3130" s="4">
        <v>49</v>
      </c>
      <c r="AN3130" s="4">
        <v>0</v>
      </c>
      <c r="AO3130" s="4">
        <v>0</v>
      </c>
      <c r="AP3130" s="4">
        <v>2</v>
      </c>
      <c r="AQ3130" s="4">
        <v>20</v>
      </c>
      <c r="AR3130" s="3" t="s">
        <v>62</v>
      </c>
      <c r="AS3130" s="3" t="s">
        <v>62</v>
      </c>
      <c r="AT3130" s="3" t="s">
        <v>62</v>
      </c>
      <c r="AV3130" s="6" t="str">
        <f>HYPERLINK("http://mcgill.on.worldcat.org/oclc/220999481","Catalog Record")</f>
        <v>Catalog Record</v>
      </c>
      <c r="AW3130" s="6" t="str">
        <f>HYPERLINK("http://www.worldcat.org/oclc/220999481","WorldCat Record")</f>
        <v>WorldCat Record</v>
      </c>
      <c r="AX3130" s="3" t="s">
        <v>30301</v>
      </c>
      <c r="AY3130" s="3" t="s">
        <v>30302</v>
      </c>
      <c r="AZ3130" s="3" t="s">
        <v>30303</v>
      </c>
      <c r="BA3130" s="3" t="s">
        <v>30303</v>
      </c>
      <c r="BB3130" s="3" t="s">
        <v>30304</v>
      </c>
      <c r="BC3130" s="3" t="s">
        <v>102</v>
      </c>
      <c r="BD3130" s="3" t="s">
        <v>68</v>
      </c>
      <c r="BF3130" s="3" t="s">
        <v>30304</v>
      </c>
      <c r="BG3130" s="3" t="s">
        <v>30305</v>
      </c>
    </row>
    <row r="3131" spans="1:59" ht="58" x14ac:dyDescent="0.35">
      <c r="A3131" s="2" t="s">
        <v>89</v>
      </c>
      <c r="B3131" s="2" t="s">
        <v>90</v>
      </c>
      <c r="C3131" s="2" t="s">
        <v>30306</v>
      </c>
      <c r="D3131" s="2" t="s">
        <v>30307</v>
      </c>
      <c r="E3131" s="2" t="s">
        <v>30308</v>
      </c>
      <c r="G3131" s="3" t="s">
        <v>62</v>
      </c>
      <c r="I3131" s="3" t="s">
        <v>62</v>
      </c>
      <c r="J3131" s="3" t="s">
        <v>61</v>
      </c>
      <c r="K3131" s="3" t="s">
        <v>63</v>
      </c>
      <c r="L3131" s="2" t="s">
        <v>30309</v>
      </c>
      <c r="M3131" s="2" t="s">
        <v>30310</v>
      </c>
      <c r="N3131" s="3" t="s">
        <v>25100</v>
      </c>
      <c r="P3131" s="3" t="s">
        <v>64</v>
      </c>
      <c r="R3131" s="3" t="s">
        <v>27443</v>
      </c>
      <c r="S3131" s="4">
        <v>1</v>
      </c>
      <c r="T3131" s="4">
        <v>1</v>
      </c>
      <c r="U3131" s="5" t="s">
        <v>24520</v>
      </c>
      <c r="V3131" s="5" t="s">
        <v>24520</v>
      </c>
      <c r="W3131" s="5" t="s">
        <v>67</v>
      </c>
      <c r="X3131" s="5" t="s">
        <v>67</v>
      </c>
      <c r="Y3131" s="4">
        <v>12</v>
      </c>
      <c r="Z3131" s="4">
        <v>2</v>
      </c>
      <c r="AA3131" s="4">
        <v>28</v>
      </c>
      <c r="AB3131" s="4">
        <v>1</v>
      </c>
      <c r="AC3131" s="4">
        <v>4</v>
      </c>
      <c r="AD3131" s="4">
        <v>3</v>
      </c>
      <c r="AE3131" s="4">
        <v>84</v>
      </c>
      <c r="AF3131" s="4">
        <v>0</v>
      </c>
      <c r="AG3131" s="4">
        <v>1</v>
      </c>
      <c r="AH3131" s="4">
        <v>2</v>
      </c>
      <c r="AI3131" s="4">
        <v>73</v>
      </c>
      <c r="AJ3131" s="4">
        <v>0</v>
      </c>
      <c r="AK3131" s="4">
        <v>8</v>
      </c>
      <c r="AL3131" s="4">
        <v>1</v>
      </c>
      <c r="AM3131" s="4">
        <v>45</v>
      </c>
      <c r="AN3131" s="4">
        <v>0</v>
      </c>
      <c r="AO3131" s="4">
        <v>1</v>
      </c>
      <c r="AP3131" s="4">
        <v>1</v>
      </c>
      <c r="AQ3131" s="4">
        <v>13</v>
      </c>
      <c r="AR3131" s="3" t="s">
        <v>62</v>
      </c>
      <c r="AS3131" s="3" t="s">
        <v>62</v>
      </c>
      <c r="AT3131" s="3" t="s">
        <v>62</v>
      </c>
      <c r="AV3131" s="6" t="str">
        <f>HYPERLINK("http://mcgill.on.worldcat.org/oclc/47679819","Catalog Record")</f>
        <v>Catalog Record</v>
      </c>
      <c r="AW3131" s="6" t="str">
        <f>HYPERLINK("http://www.worldcat.org/oclc/47679819","WorldCat Record")</f>
        <v>WorldCat Record</v>
      </c>
      <c r="AX3131" s="3" t="s">
        <v>30311</v>
      </c>
      <c r="AY3131" s="3" t="s">
        <v>30312</v>
      </c>
      <c r="AZ3131" s="3" t="s">
        <v>30313</v>
      </c>
      <c r="BA3131" s="3" t="s">
        <v>30313</v>
      </c>
      <c r="BB3131" s="3" t="s">
        <v>30314</v>
      </c>
      <c r="BC3131" s="3" t="s">
        <v>102</v>
      </c>
      <c r="BD3131" s="3" t="s">
        <v>68</v>
      </c>
      <c r="BF3131" s="3" t="s">
        <v>30314</v>
      </c>
      <c r="BG3131" s="3" t="s">
        <v>30315</v>
      </c>
    </row>
    <row r="3132" spans="1:59" ht="101.5" x14ac:dyDescent="0.35">
      <c r="A3132" s="2" t="s">
        <v>89</v>
      </c>
      <c r="B3132" s="2" t="s">
        <v>12301</v>
      </c>
      <c r="C3132" s="2" t="s">
        <v>30316</v>
      </c>
      <c r="D3132" s="2" t="s">
        <v>30317</v>
      </c>
      <c r="E3132" s="2" t="s">
        <v>30318</v>
      </c>
      <c r="G3132" s="3" t="s">
        <v>62</v>
      </c>
      <c r="I3132" s="3" t="s">
        <v>61</v>
      </c>
      <c r="J3132" s="3" t="s">
        <v>61</v>
      </c>
      <c r="K3132" s="3" t="s">
        <v>63</v>
      </c>
      <c r="L3132" s="2" t="s">
        <v>30319</v>
      </c>
      <c r="M3132" s="2" t="s">
        <v>30320</v>
      </c>
      <c r="N3132" s="3" t="s">
        <v>1038</v>
      </c>
      <c r="O3132" s="2" t="s">
        <v>30321</v>
      </c>
      <c r="P3132" s="3" t="s">
        <v>64</v>
      </c>
      <c r="R3132" s="3" t="s">
        <v>27443</v>
      </c>
      <c r="S3132" s="4">
        <v>20</v>
      </c>
      <c r="T3132" s="4">
        <v>314</v>
      </c>
      <c r="U3132" s="5" t="s">
        <v>27106</v>
      </c>
      <c r="V3132" s="5" t="s">
        <v>15935</v>
      </c>
      <c r="W3132" s="5" t="s">
        <v>67</v>
      </c>
      <c r="X3132" s="5" t="s">
        <v>67</v>
      </c>
      <c r="Y3132" s="4">
        <v>11</v>
      </c>
      <c r="Z3132" s="4">
        <v>11</v>
      </c>
      <c r="AA3132" s="4">
        <v>86</v>
      </c>
      <c r="AB3132" s="4">
        <v>1</v>
      </c>
      <c r="AC3132" s="4">
        <v>14</v>
      </c>
      <c r="AD3132" s="4">
        <v>6</v>
      </c>
      <c r="AE3132" s="4">
        <v>130</v>
      </c>
      <c r="AF3132" s="4">
        <v>0</v>
      </c>
      <c r="AG3132" s="4">
        <v>8</v>
      </c>
      <c r="AH3132" s="4">
        <v>4</v>
      </c>
      <c r="AI3132" s="4">
        <v>97</v>
      </c>
      <c r="AJ3132" s="4">
        <v>5</v>
      </c>
      <c r="AK3132" s="4">
        <v>31</v>
      </c>
      <c r="AL3132" s="4">
        <v>1</v>
      </c>
      <c r="AM3132" s="4">
        <v>51</v>
      </c>
      <c r="AN3132" s="4">
        <v>0</v>
      </c>
      <c r="AO3132" s="4">
        <v>5</v>
      </c>
      <c r="AP3132" s="4">
        <v>6</v>
      </c>
      <c r="AQ3132" s="4">
        <v>38</v>
      </c>
      <c r="AR3132" s="3" t="s">
        <v>61</v>
      </c>
      <c r="AS3132" s="3" t="s">
        <v>62</v>
      </c>
      <c r="AT3132" s="3" t="s">
        <v>62</v>
      </c>
      <c r="AV3132" s="6" t="str">
        <f>HYPERLINK("http://mcgill.on.worldcat.org/oclc/959890436","Catalog Record")</f>
        <v>Catalog Record</v>
      </c>
      <c r="AW3132" s="6" t="str">
        <f>HYPERLINK("http://www.worldcat.org/oclc/959890436","WorldCat Record")</f>
        <v>WorldCat Record</v>
      </c>
      <c r="AX3132" s="3" t="s">
        <v>30322</v>
      </c>
      <c r="AY3132" s="3" t="s">
        <v>30323</v>
      </c>
      <c r="AZ3132" s="3" t="s">
        <v>30324</v>
      </c>
      <c r="BA3132" s="3" t="s">
        <v>30324</v>
      </c>
      <c r="BB3132" s="3" t="s">
        <v>30325</v>
      </c>
      <c r="BC3132" s="3" t="s">
        <v>102</v>
      </c>
      <c r="BD3132" s="3" t="s">
        <v>68</v>
      </c>
      <c r="BE3132" s="3" t="s">
        <v>30326</v>
      </c>
      <c r="BF3132" s="3" t="s">
        <v>30325</v>
      </c>
      <c r="BG3132" s="3" t="s">
        <v>30327</v>
      </c>
    </row>
    <row r="3133" spans="1:59" ht="101.5" x14ac:dyDescent="0.35">
      <c r="A3133" s="2" t="s">
        <v>89</v>
      </c>
      <c r="B3133" s="2" t="s">
        <v>12301</v>
      </c>
      <c r="C3133" s="2" t="s">
        <v>30316</v>
      </c>
      <c r="D3133" s="2" t="s">
        <v>30317</v>
      </c>
      <c r="E3133" s="2" t="s">
        <v>30318</v>
      </c>
      <c r="G3133" s="3" t="s">
        <v>62</v>
      </c>
      <c r="I3133" s="3" t="s">
        <v>61</v>
      </c>
      <c r="J3133" s="3" t="s">
        <v>61</v>
      </c>
      <c r="K3133" s="3" t="s">
        <v>63</v>
      </c>
      <c r="L3133" s="2" t="s">
        <v>30319</v>
      </c>
      <c r="M3133" s="2" t="s">
        <v>30320</v>
      </c>
      <c r="N3133" s="3" t="s">
        <v>1038</v>
      </c>
      <c r="O3133" s="2" t="s">
        <v>30321</v>
      </c>
      <c r="P3133" s="3" t="s">
        <v>64</v>
      </c>
      <c r="R3133" s="3" t="s">
        <v>27443</v>
      </c>
      <c r="S3133" s="4">
        <v>22</v>
      </c>
      <c r="T3133" s="4">
        <v>314</v>
      </c>
      <c r="U3133" s="5" t="s">
        <v>15935</v>
      </c>
      <c r="V3133" s="5" t="s">
        <v>15935</v>
      </c>
      <c r="W3133" s="5" t="s">
        <v>67</v>
      </c>
      <c r="X3133" s="5" t="s">
        <v>67</v>
      </c>
      <c r="Y3133" s="4">
        <v>11</v>
      </c>
      <c r="Z3133" s="4">
        <v>11</v>
      </c>
      <c r="AA3133" s="4">
        <v>86</v>
      </c>
      <c r="AB3133" s="4">
        <v>1</v>
      </c>
      <c r="AC3133" s="4">
        <v>14</v>
      </c>
      <c r="AD3133" s="4">
        <v>6</v>
      </c>
      <c r="AE3133" s="4">
        <v>130</v>
      </c>
      <c r="AF3133" s="4">
        <v>0</v>
      </c>
      <c r="AG3133" s="4">
        <v>8</v>
      </c>
      <c r="AH3133" s="4">
        <v>4</v>
      </c>
      <c r="AI3133" s="4">
        <v>97</v>
      </c>
      <c r="AJ3133" s="4">
        <v>5</v>
      </c>
      <c r="AK3133" s="4">
        <v>31</v>
      </c>
      <c r="AL3133" s="4">
        <v>1</v>
      </c>
      <c r="AM3133" s="4">
        <v>51</v>
      </c>
      <c r="AN3133" s="4">
        <v>0</v>
      </c>
      <c r="AO3133" s="4">
        <v>5</v>
      </c>
      <c r="AP3133" s="4">
        <v>6</v>
      </c>
      <c r="AQ3133" s="4">
        <v>38</v>
      </c>
      <c r="AR3133" s="3" t="s">
        <v>61</v>
      </c>
      <c r="AS3133" s="3" t="s">
        <v>62</v>
      </c>
      <c r="AT3133" s="3" t="s">
        <v>62</v>
      </c>
      <c r="AV3133" s="6" t="str">
        <f>HYPERLINK("http://mcgill.on.worldcat.org/oclc/959890436","Catalog Record")</f>
        <v>Catalog Record</v>
      </c>
      <c r="AW3133" s="6" t="str">
        <f>HYPERLINK("http://www.worldcat.org/oclc/959890436","WorldCat Record")</f>
        <v>WorldCat Record</v>
      </c>
      <c r="AX3133" s="3" t="s">
        <v>30322</v>
      </c>
      <c r="AY3133" s="3" t="s">
        <v>30323</v>
      </c>
      <c r="AZ3133" s="3" t="s">
        <v>30324</v>
      </c>
      <c r="BA3133" s="3" t="s">
        <v>30324</v>
      </c>
      <c r="BB3133" s="3" t="s">
        <v>30328</v>
      </c>
      <c r="BC3133" s="3" t="s">
        <v>102</v>
      </c>
      <c r="BD3133" s="3" t="s">
        <v>68</v>
      </c>
      <c r="BE3133" s="3" t="s">
        <v>30326</v>
      </c>
      <c r="BF3133" s="3" t="s">
        <v>30328</v>
      </c>
      <c r="BG3133" s="3" t="s">
        <v>30329</v>
      </c>
    </row>
    <row r="3134" spans="1:59" ht="58" x14ac:dyDescent="0.35">
      <c r="A3134" s="2" t="s">
        <v>89</v>
      </c>
      <c r="B3134" s="2" t="s">
        <v>90</v>
      </c>
      <c r="C3134" s="2" t="s">
        <v>30330</v>
      </c>
      <c r="D3134" s="2" t="s">
        <v>30331</v>
      </c>
      <c r="E3134" s="2" t="s">
        <v>30332</v>
      </c>
      <c r="G3134" s="3" t="s">
        <v>62</v>
      </c>
      <c r="I3134" s="3" t="s">
        <v>62</v>
      </c>
      <c r="J3134" s="3" t="s">
        <v>62</v>
      </c>
      <c r="K3134" s="3" t="s">
        <v>63</v>
      </c>
      <c r="L3134" s="2" t="s">
        <v>30333</v>
      </c>
      <c r="M3134" s="2" t="s">
        <v>30334</v>
      </c>
      <c r="N3134" s="3" t="s">
        <v>30335</v>
      </c>
      <c r="P3134" s="3" t="s">
        <v>64</v>
      </c>
      <c r="R3134" s="3" t="s">
        <v>27443</v>
      </c>
      <c r="S3134" s="4">
        <v>2</v>
      </c>
      <c r="T3134" s="4">
        <v>2</v>
      </c>
      <c r="U3134" s="5" t="s">
        <v>25358</v>
      </c>
      <c r="V3134" s="5" t="s">
        <v>25358</v>
      </c>
      <c r="W3134" s="5" t="s">
        <v>67</v>
      </c>
      <c r="X3134" s="5" t="s">
        <v>67</v>
      </c>
      <c r="Y3134" s="4">
        <v>67</v>
      </c>
      <c r="Z3134" s="4">
        <v>4</v>
      </c>
      <c r="AA3134" s="4">
        <v>19</v>
      </c>
      <c r="AB3134" s="4">
        <v>1</v>
      </c>
      <c r="AC3134" s="4">
        <v>2</v>
      </c>
      <c r="AD3134" s="4">
        <v>27</v>
      </c>
      <c r="AE3134" s="4">
        <v>38</v>
      </c>
      <c r="AF3134" s="4">
        <v>0</v>
      </c>
      <c r="AG3134" s="4">
        <v>0</v>
      </c>
      <c r="AH3134" s="4">
        <v>27</v>
      </c>
      <c r="AI3134" s="4">
        <v>33</v>
      </c>
      <c r="AJ3134" s="4">
        <v>1</v>
      </c>
      <c r="AK3134" s="4">
        <v>4</v>
      </c>
      <c r="AL3134" s="4">
        <v>17</v>
      </c>
      <c r="AM3134" s="4">
        <v>18</v>
      </c>
      <c r="AN3134" s="4">
        <v>0</v>
      </c>
      <c r="AO3134" s="4">
        <v>0</v>
      </c>
      <c r="AP3134" s="4">
        <v>1</v>
      </c>
      <c r="AQ3134" s="4">
        <v>8</v>
      </c>
      <c r="AR3134" s="3" t="s">
        <v>62</v>
      </c>
      <c r="AS3134" s="3" t="s">
        <v>61</v>
      </c>
      <c r="AT3134" s="3" t="s">
        <v>62</v>
      </c>
      <c r="AU3134" s="6" t="str">
        <f>HYPERLINK("http://catalog.hathitrust.org/Record/007908881","HathiTrust Record")</f>
        <v>HathiTrust Record</v>
      </c>
      <c r="AV3134" s="6" t="str">
        <f>HYPERLINK("http://mcgill.on.worldcat.org/oclc/2497235","Catalog Record")</f>
        <v>Catalog Record</v>
      </c>
      <c r="AW3134" s="6" t="str">
        <f>HYPERLINK("http://www.worldcat.org/oclc/2497235","WorldCat Record")</f>
        <v>WorldCat Record</v>
      </c>
      <c r="AX3134" s="3" t="s">
        <v>30336</v>
      </c>
      <c r="AY3134" s="3" t="s">
        <v>30337</v>
      </c>
      <c r="AZ3134" s="3" t="s">
        <v>30338</v>
      </c>
      <c r="BA3134" s="3" t="s">
        <v>30338</v>
      </c>
      <c r="BB3134" s="3" t="s">
        <v>30339</v>
      </c>
      <c r="BC3134" s="3" t="s">
        <v>102</v>
      </c>
      <c r="BD3134" s="3" t="s">
        <v>68</v>
      </c>
      <c r="BF3134" s="3" t="s">
        <v>30339</v>
      </c>
      <c r="BG3134" s="3" t="s">
        <v>30340</v>
      </c>
    </row>
    <row r="3135" spans="1:59" ht="116" x14ac:dyDescent="0.35">
      <c r="A3135" s="2" t="s">
        <v>89</v>
      </c>
      <c r="B3135" s="2" t="s">
        <v>3312</v>
      </c>
      <c r="C3135" s="2" t="s">
        <v>30341</v>
      </c>
      <c r="D3135" s="2" t="s">
        <v>30342</v>
      </c>
      <c r="E3135" s="2" t="s">
        <v>30343</v>
      </c>
      <c r="G3135" s="3" t="s">
        <v>62</v>
      </c>
      <c r="I3135" s="3" t="s">
        <v>62</v>
      </c>
      <c r="J3135" s="3" t="s">
        <v>62</v>
      </c>
      <c r="K3135" s="3" t="s">
        <v>63</v>
      </c>
      <c r="L3135" s="2" t="s">
        <v>30344</v>
      </c>
      <c r="M3135" s="2" t="s">
        <v>30345</v>
      </c>
      <c r="N3135" s="3" t="s">
        <v>1077</v>
      </c>
      <c r="O3135" s="2" t="s">
        <v>30346</v>
      </c>
      <c r="P3135" s="3" t="s">
        <v>1675</v>
      </c>
      <c r="Q3135" s="2" t="s">
        <v>30347</v>
      </c>
      <c r="R3135" s="3" t="s">
        <v>27443</v>
      </c>
      <c r="S3135" s="4">
        <v>3</v>
      </c>
      <c r="T3135" s="4">
        <v>3</v>
      </c>
      <c r="U3135" s="5" t="s">
        <v>14288</v>
      </c>
      <c r="V3135" s="5" t="s">
        <v>14288</v>
      </c>
      <c r="W3135" s="5" t="s">
        <v>67</v>
      </c>
      <c r="X3135" s="5" t="s">
        <v>67</v>
      </c>
      <c r="Y3135" s="4">
        <v>9</v>
      </c>
      <c r="Z3135" s="4">
        <v>1</v>
      </c>
      <c r="AA3135" s="4">
        <v>1</v>
      </c>
      <c r="AB3135" s="4">
        <v>1</v>
      </c>
      <c r="AC3135" s="4">
        <v>1</v>
      </c>
      <c r="AD3135" s="4">
        <v>4</v>
      </c>
      <c r="AE3135" s="4">
        <v>4</v>
      </c>
      <c r="AF3135" s="4">
        <v>0</v>
      </c>
      <c r="AG3135" s="4">
        <v>0</v>
      </c>
      <c r="AH3135" s="4">
        <v>4</v>
      </c>
      <c r="AI3135" s="4">
        <v>4</v>
      </c>
      <c r="AJ3135" s="4">
        <v>0</v>
      </c>
      <c r="AK3135" s="4">
        <v>0</v>
      </c>
      <c r="AL3135" s="4">
        <v>2</v>
      </c>
      <c r="AM3135" s="4">
        <v>2</v>
      </c>
      <c r="AN3135" s="4">
        <v>0</v>
      </c>
      <c r="AO3135" s="4">
        <v>0</v>
      </c>
      <c r="AP3135" s="4">
        <v>0</v>
      </c>
      <c r="AQ3135" s="4">
        <v>0</v>
      </c>
      <c r="AR3135" s="3" t="s">
        <v>62</v>
      </c>
      <c r="AS3135" s="3" t="s">
        <v>62</v>
      </c>
      <c r="AT3135" s="3" t="s">
        <v>62</v>
      </c>
      <c r="AV3135" s="6" t="str">
        <f>HYPERLINK("http://mcgill.on.worldcat.org/oclc/32997124","Catalog Record")</f>
        <v>Catalog Record</v>
      </c>
      <c r="AW3135" s="6" t="str">
        <f>HYPERLINK("http://www.worldcat.org/oclc/32997124","WorldCat Record")</f>
        <v>WorldCat Record</v>
      </c>
      <c r="AX3135" s="3" t="s">
        <v>30348</v>
      </c>
      <c r="AY3135" s="3" t="s">
        <v>30349</v>
      </c>
      <c r="AZ3135" s="3" t="s">
        <v>30350</v>
      </c>
      <c r="BA3135" s="3" t="s">
        <v>30350</v>
      </c>
      <c r="BB3135" s="3" t="s">
        <v>30351</v>
      </c>
      <c r="BC3135" s="3" t="s">
        <v>102</v>
      </c>
      <c r="BD3135" s="3" t="s">
        <v>68</v>
      </c>
      <c r="BE3135" s="3" t="s">
        <v>30352</v>
      </c>
      <c r="BF3135" s="3" t="s">
        <v>30351</v>
      </c>
      <c r="BG3135" s="3" t="s">
        <v>30353</v>
      </c>
    </row>
    <row r="3136" spans="1:59" ht="58" x14ac:dyDescent="0.35">
      <c r="A3136" s="2" t="s">
        <v>89</v>
      </c>
      <c r="B3136" s="2" t="s">
        <v>90</v>
      </c>
      <c r="C3136" s="2" t="s">
        <v>30354</v>
      </c>
      <c r="D3136" s="2" t="s">
        <v>30355</v>
      </c>
      <c r="E3136" s="2" t="s">
        <v>30356</v>
      </c>
      <c r="G3136" s="3" t="s">
        <v>62</v>
      </c>
      <c r="I3136" s="3" t="s">
        <v>62</v>
      </c>
      <c r="J3136" s="3" t="s">
        <v>62</v>
      </c>
      <c r="K3136" s="3" t="s">
        <v>63</v>
      </c>
      <c r="M3136" s="2" t="s">
        <v>30357</v>
      </c>
      <c r="N3136" s="3" t="s">
        <v>6421</v>
      </c>
      <c r="P3136" s="3" t="s">
        <v>85</v>
      </c>
      <c r="R3136" s="3" t="s">
        <v>27443</v>
      </c>
      <c r="S3136" s="4">
        <v>1</v>
      </c>
      <c r="T3136" s="4">
        <v>1</v>
      </c>
      <c r="U3136" s="5" t="s">
        <v>5131</v>
      </c>
      <c r="V3136" s="5" t="s">
        <v>5131</v>
      </c>
      <c r="W3136" s="5" t="s">
        <v>67</v>
      </c>
      <c r="X3136" s="5" t="s">
        <v>67</v>
      </c>
      <c r="Y3136" s="4">
        <v>2</v>
      </c>
      <c r="Z3136" s="4">
        <v>2</v>
      </c>
      <c r="AA3136" s="4">
        <v>2</v>
      </c>
      <c r="AB3136" s="4">
        <v>1</v>
      </c>
      <c r="AC3136" s="4">
        <v>1</v>
      </c>
      <c r="AD3136" s="4">
        <v>0</v>
      </c>
      <c r="AE3136" s="4">
        <v>0</v>
      </c>
      <c r="AF3136" s="4">
        <v>0</v>
      </c>
      <c r="AG3136" s="4">
        <v>0</v>
      </c>
      <c r="AH3136" s="4">
        <v>0</v>
      </c>
      <c r="AI3136" s="4">
        <v>0</v>
      </c>
      <c r="AJ3136" s="4">
        <v>0</v>
      </c>
      <c r="AK3136" s="4">
        <v>0</v>
      </c>
      <c r="AL3136" s="4">
        <v>0</v>
      </c>
      <c r="AM3136" s="4">
        <v>0</v>
      </c>
      <c r="AN3136" s="4">
        <v>0</v>
      </c>
      <c r="AO3136" s="4">
        <v>0</v>
      </c>
      <c r="AP3136" s="4">
        <v>0</v>
      </c>
      <c r="AQ3136" s="4">
        <v>0</v>
      </c>
      <c r="AR3136" s="3" t="s">
        <v>61</v>
      </c>
      <c r="AS3136" s="3" t="s">
        <v>62</v>
      </c>
      <c r="AT3136" s="3" t="s">
        <v>62</v>
      </c>
      <c r="AV3136" s="6" t="str">
        <f>HYPERLINK("http://mcgill.on.worldcat.org/oclc/61600926","Catalog Record")</f>
        <v>Catalog Record</v>
      </c>
      <c r="AW3136" s="6" t="str">
        <f>HYPERLINK("http://www.worldcat.org/oclc/61600926","WorldCat Record")</f>
        <v>WorldCat Record</v>
      </c>
      <c r="AX3136" s="3" t="s">
        <v>30358</v>
      </c>
      <c r="AY3136" s="3" t="s">
        <v>30359</v>
      </c>
      <c r="AZ3136" s="3" t="s">
        <v>30360</v>
      </c>
      <c r="BA3136" s="3" t="s">
        <v>30360</v>
      </c>
      <c r="BB3136" s="3" t="s">
        <v>30361</v>
      </c>
      <c r="BC3136" s="3" t="s">
        <v>102</v>
      </c>
      <c r="BD3136" s="3" t="s">
        <v>68</v>
      </c>
      <c r="BF3136" s="3" t="s">
        <v>30361</v>
      </c>
      <c r="BG3136" s="3" t="s">
        <v>30362</v>
      </c>
    </row>
    <row r="3137" spans="1:59" ht="58" x14ac:dyDescent="0.35">
      <c r="A3137" s="2" t="s">
        <v>89</v>
      </c>
      <c r="B3137" s="2" t="s">
        <v>90</v>
      </c>
      <c r="C3137" s="2" t="s">
        <v>30363</v>
      </c>
      <c r="D3137" s="2" t="s">
        <v>30364</v>
      </c>
      <c r="E3137" s="2" t="s">
        <v>30365</v>
      </c>
      <c r="G3137" s="3" t="s">
        <v>62</v>
      </c>
      <c r="I3137" s="3" t="s">
        <v>62</v>
      </c>
      <c r="J3137" s="3" t="s">
        <v>61</v>
      </c>
      <c r="K3137" s="3" t="s">
        <v>63</v>
      </c>
      <c r="L3137" s="2" t="s">
        <v>30366</v>
      </c>
      <c r="M3137" s="2" t="s">
        <v>30367</v>
      </c>
      <c r="N3137" s="3" t="s">
        <v>13089</v>
      </c>
      <c r="O3137" s="2" t="s">
        <v>30368</v>
      </c>
      <c r="P3137" s="3" t="s">
        <v>64</v>
      </c>
      <c r="R3137" s="3" t="s">
        <v>27443</v>
      </c>
      <c r="S3137" s="4">
        <v>1</v>
      </c>
      <c r="T3137" s="4">
        <v>1</v>
      </c>
      <c r="U3137" s="5" t="s">
        <v>5131</v>
      </c>
      <c r="V3137" s="5" t="s">
        <v>5131</v>
      </c>
      <c r="W3137" s="5" t="s">
        <v>67</v>
      </c>
      <c r="X3137" s="5" t="s">
        <v>67</v>
      </c>
      <c r="Y3137" s="4">
        <v>5</v>
      </c>
      <c r="Z3137" s="4">
        <v>2</v>
      </c>
      <c r="AA3137" s="4">
        <v>13</v>
      </c>
      <c r="AB3137" s="4">
        <v>2</v>
      </c>
      <c r="AC3137" s="4">
        <v>2</v>
      </c>
      <c r="AD3137" s="4">
        <v>2</v>
      </c>
      <c r="AE3137" s="4">
        <v>39</v>
      </c>
      <c r="AF3137" s="4">
        <v>0</v>
      </c>
      <c r="AG3137" s="4">
        <v>0</v>
      </c>
      <c r="AH3137" s="4">
        <v>2</v>
      </c>
      <c r="AI3137" s="4">
        <v>33</v>
      </c>
      <c r="AJ3137" s="4">
        <v>0</v>
      </c>
      <c r="AK3137" s="4">
        <v>7</v>
      </c>
      <c r="AL3137" s="4">
        <v>1</v>
      </c>
      <c r="AM3137" s="4">
        <v>19</v>
      </c>
      <c r="AN3137" s="4">
        <v>0</v>
      </c>
      <c r="AO3137" s="4">
        <v>0</v>
      </c>
      <c r="AP3137" s="4">
        <v>0</v>
      </c>
      <c r="AQ3137" s="4">
        <v>9</v>
      </c>
      <c r="AR3137" s="3" t="s">
        <v>62</v>
      </c>
      <c r="AS3137" s="3" t="s">
        <v>62</v>
      </c>
      <c r="AT3137" s="3" t="s">
        <v>62</v>
      </c>
      <c r="AV3137" s="6" t="str">
        <f>HYPERLINK("http://mcgill.on.worldcat.org/oclc/872706746","Catalog Record")</f>
        <v>Catalog Record</v>
      </c>
      <c r="AW3137" s="6" t="str">
        <f>HYPERLINK("http://www.worldcat.org/oclc/872706746","WorldCat Record")</f>
        <v>WorldCat Record</v>
      </c>
      <c r="AX3137" s="3" t="s">
        <v>30369</v>
      </c>
      <c r="AY3137" s="3" t="s">
        <v>30370</v>
      </c>
      <c r="AZ3137" s="3" t="s">
        <v>30371</v>
      </c>
      <c r="BA3137" s="3" t="s">
        <v>30371</v>
      </c>
      <c r="BB3137" s="3" t="s">
        <v>30372</v>
      </c>
      <c r="BC3137" s="3" t="s">
        <v>102</v>
      </c>
      <c r="BD3137" s="3" t="s">
        <v>68</v>
      </c>
      <c r="BF3137" s="3" t="s">
        <v>30372</v>
      </c>
      <c r="BG3137" s="3" t="s">
        <v>30373</v>
      </c>
    </row>
    <row r="3138" spans="1:59" ht="87" x14ac:dyDescent="0.35">
      <c r="A3138" s="2" t="s">
        <v>89</v>
      </c>
      <c r="B3138" s="2" t="s">
        <v>90</v>
      </c>
      <c r="C3138" s="2" t="s">
        <v>30374</v>
      </c>
      <c r="D3138" s="2" t="s">
        <v>30375</v>
      </c>
      <c r="E3138" s="2" t="s">
        <v>30376</v>
      </c>
      <c r="G3138" s="3" t="s">
        <v>62</v>
      </c>
      <c r="I3138" s="3" t="s">
        <v>62</v>
      </c>
      <c r="J3138" s="3" t="s">
        <v>62</v>
      </c>
      <c r="K3138" s="3" t="s">
        <v>63</v>
      </c>
      <c r="L3138" s="2" t="s">
        <v>30377</v>
      </c>
      <c r="M3138" s="2" t="s">
        <v>30378</v>
      </c>
      <c r="N3138" s="3" t="s">
        <v>13195</v>
      </c>
      <c r="P3138" s="3" t="s">
        <v>85</v>
      </c>
      <c r="Q3138" s="2" t="s">
        <v>30379</v>
      </c>
      <c r="R3138" s="3" t="s">
        <v>27443</v>
      </c>
      <c r="S3138" s="4">
        <v>1</v>
      </c>
      <c r="T3138" s="4">
        <v>1</v>
      </c>
      <c r="U3138" s="5" t="s">
        <v>5131</v>
      </c>
      <c r="V3138" s="5" t="s">
        <v>5131</v>
      </c>
      <c r="W3138" s="5" t="s">
        <v>67</v>
      </c>
      <c r="X3138" s="5" t="s">
        <v>67</v>
      </c>
      <c r="Y3138" s="4">
        <v>1</v>
      </c>
      <c r="Z3138" s="4">
        <v>1</v>
      </c>
      <c r="AA3138" s="4">
        <v>1</v>
      </c>
      <c r="AB3138" s="4">
        <v>1</v>
      </c>
      <c r="AC3138" s="4">
        <v>1</v>
      </c>
      <c r="AD3138" s="4">
        <v>0</v>
      </c>
      <c r="AE3138" s="4">
        <v>0</v>
      </c>
      <c r="AF3138" s="4">
        <v>0</v>
      </c>
      <c r="AG3138" s="4">
        <v>0</v>
      </c>
      <c r="AH3138" s="4">
        <v>0</v>
      </c>
      <c r="AI3138" s="4">
        <v>0</v>
      </c>
      <c r="AJ3138" s="4">
        <v>0</v>
      </c>
      <c r="AK3138" s="4">
        <v>0</v>
      </c>
      <c r="AL3138" s="4">
        <v>0</v>
      </c>
      <c r="AM3138" s="4">
        <v>0</v>
      </c>
      <c r="AN3138" s="4">
        <v>0</v>
      </c>
      <c r="AO3138" s="4">
        <v>0</v>
      </c>
      <c r="AP3138" s="4">
        <v>0</v>
      </c>
      <c r="AQ3138" s="4">
        <v>0</v>
      </c>
      <c r="AR3138" s="3" t="s">
        <v>62</v>
      </c>
      <c r="AS3138" s="3" t="s">
        <v>62</v>
      </c>
      <c r="AT3138" s="3" t="s">
        <v>62</v>
      </c>
      <c r="AV3138" s="6" t="str">
        <f>HYPERLINK("http://mcgill.on.worldcat.org/oclc/427531832","Catalog Record")</f>
        <v>Catalog Record</v>
      </c>
      <c r="AW3138" s="6" t="str">
        <f>HYPERLINK("http://www.worldcat.org/oclc/427531832","WorldCat Record")</f>
        <v>WorldCat Record</v>
      </c>
      <c r="AX3138" s="3" t="s">
        <v>30380</v>
      </c>
      <c r="AY3138" s="3" t="s">
        <v>30381</v>
      </c>
      <c r="AZ3138" s="3" t="s">
        <v>30382</v>
      </c>
      <c r="BA3138" s="3" t="s">
        <v>30382</v>
      </c>
      <c r="BB3138" s="3" t="s">
        <v>30383</v>
      </c>
      <c r="BC3138" s="3" t="s">
        <v>102</v>
      </c>
      <c r="BD3138" s="3" t="s">
        <v>68</v>
      </c>
      <c r="BF3138" s="3" t="s">
        <v>30383</v>
      </c>
      <c r="BG3138" s="3" t="s">
        <v>30384</v>
      </c>
    </row>
    <row r="3139" spans="1:59" ht="58" x14ac:dyDescent="0.35">
      <c r="A3139" s="2" t="s">
        <v>89</v>
      </c>
      <c r="B3139" s="2" t="s">
        <v>90</v>
      </c>
      <c r="C3139" s="2" t="s">
        <v>30385</v>
      </c>
      <c r="D3139" s="2" t="s">
        <v>30386</v>
      </c>
      <c r="E3139" s="2" t="s">
        <v>30387</v>
      </c>
      <c r="G3139" s="3" t="s">
        <v>62</v>
      </c>
      <c r="I3139" s="3" t="s">
        <v>61</v>
      </c>
      <c r="J3139" s="3" t="s">
        <v>62</v>
      </c>
      <c r="K3139" s="3" t="s">
        <v>63</v>
      </c>
      <c r="L3139" s="2" t="s">
        <v>30388</v>
      </c>
      <c r="M3139" s="2" t="s">
        <v>30389</v>
      </c>
      <c r="N3139" s="3" t="s">
        <v>1662</v>
      </c>
      <c r="P3139" s="3" t="s">
        <v>64</v>
      </c>
      <c r="R3139" s="3" t="s">
        <v>27443</v>
      </c>
      <c r="S3139" s="4">
        <v>0</v>
      </c>
      <c r="T3139" s="4">
        <v>31</v>
      </c>
      <c r="V3139" s="5" t="s">
        <v>12498</v>
      </c>
      <c r="W3139" s="5" t="s">
        <v>67</v>
      </c>
      <c r="X3139" s="5" t="s">
        <v>67</v>
      </c>
      <c r="Y3139" s="4">
        <v>138</v>
      </c>
      <c r="Z3139" s="4">
        <v>8</v>
      </c>
      <c r="AA3139" s="4">
        <v>18</v>
      </c>
      <c r="AB3139" s="4">
        <v>1</v>
      </c>
      <c r="AC3139" s="4">
        <v>4</v>
      </c>
      <c r="AD3139" s="4">
        <v>57</v>
      </c>
      <c r="AE3139" s="4">
        <v>71</v>
      </c>
      <c r="AF3139" s="4">
        <v>0</v>
      </c>
      <c r="AG3139" s="4">
        <v>3</v>
      </c>
      <c r="AH3139" s="4">
        <v>52</v>
      </c>
      <c r="AI3139" s="4">
        <v>60</v>
      </c>
      <c r="AJ3139" s="4">
        <v>6</v>
      </c>
      <c r="AK3139" s="4">
        <v>14</v>
      </c>
      <c r="AL3139" s="4">
        <v>32</v>
      </c>
      <c r="AM3139" s="4">
        <v>35</v>
      </c>
      <c r="AN3139" s="4">
        <v>0</v>
      </c>
      <c r="AO3139" s="4">
        <v>1</v>
      </c>
      <c r="AP3139" s="4">
        <v>6</v>
      </c>
      <c r="AQ3139" s="4">
        <v>14</v>
      </c>
      <c r="AR3139" s="3" t="s">
        <v>62</v>
      </c>
      <c r="AS3139" s="3" t="s">
        <v>62</v>
      </c>
      <c r="AT3139" s="3" t="s">
        <v>61</v>
      </c>
      <c r="AU3139" s="6" t="str">
        <f>HYPERLINK("http://catalog.hathitrust.org/Record/001485789","HathiTrust Record")</f>
        <v>HathiTrust Record</v>
      </c>
      <c r="AV3139" s="6" t="str">
        <f>HYPERLINK("http://mcgill.on.worldcat.org/oclc/511987","Catalog Record")</f>
        <v>Catalog Record</v>
      </c>
      <c r="AW3139" s="6" t="str">
        <f>HYPERLINK("http://www.worldcat.org/oclc/511987","WorldCat Record")</f>
        <v>WorldCat Record</v>
      </c>
      <c r="AX3139" s="3" t="s">
        <v>30390</v>
      </c>
      <c r="AY3139" s="3" t="s">
        <v>30391</v>
      </c>
      <c r="AZ3139" s="3" t="s">
        <v>30392</v>
      </c>
      <c r="BA3139" s="3" t="s">
        <v>30392</v>
      </c>
      <c r="BB3139" s="3" t="s">
        <v>30393</v>
      </c>
      <c r="BC3139" s="3" t="s">
        <v>102</v>
      </c>
      <c r="BD3139" s="3" t="s">
        <v>68</v>
      </c>
      <c r="BF3139" s="3" t="s">
        <v>30393</v>
      </c>
      <c r="BG3139" s="3" t="s">
        <v>30394</v>
      </c>
    </row>
    <row r="3140" spans="1:59" ht="101.5" x14ac:dyDescent="0.35">
      <c r="A3140" s="2" t="s">
        <v>89</v>
      </c>
      <c r="B3140" s="2" t="s">
        <v>12301</v>
      </c>
      <c r="C3140" s="2" t="s">
        <v>30395</v>
      </c>
      <c r="D3140" s="2" t="s">
        <v>30396</v>
      </c>
      <c r="E3140" s="2" t="s">
        <v>30397</v>
      </c>
      <c r="G3140" s="3" t="s">
        <v>62</v>
      </c>
      <c r="I3140" s="3" t="s">
        <v>62</v>
      </c>
      <c r="J3140" s="3" t="s">
        <v>61</v>
      </c>
      <c r="K3140" s="3" t="s">
        <v>63</v>
      </c>
      <c r="L3140" s="2" t="s">
        <v>30398</v>
      </c>
      <c r="M3140" s="2" t="s">
        <v>30399</v>
      </c>
      <c r="N3140" s="3" t="s">
        <v>1195</v>
      </c>
      <c r="O3140" s="2" t="s">
        <v>2986</v>
      </c>
      <c r="P3140" s="3" t="s">
        <v>64</v>
      </c>
      <c r="R3140" s="3" t="s">
        <v>27443</v>
      </c>
      <c r="S3140" s="4">
        <v>32</v>
      </c>
      <c r="T3140" s="4">
        <v>32</v>
      </c>
      <c r="U3140" s="5" t="s">
        <v>30400</v>
      </c>
      <c r="V3140" s="5" t="s">
        <v>30400</v>
      </c>
      <c r="W3140" s="5" t="s">
        <v>67</v>
      </c>
      <c r="X3140" s="5" t="s">
        <v>67</v>
      </c>
      <c r="Y3140" s="4">
        <v>516</v>
      </c>
      <c r="Z3140" s="4">
        <v>35</v>
      </c>
      <c r="AA3140" s="4">
        <v>83</v>
      </c>
      <c r="AB3140" s="4">
        <v>2</v>
      </c>
      <c r="AC3140" s="4">
        <v>17</v>
      </c>
      <c r="AD3140" s="4">
        <v>92</v>
      </c>
      <c r="AE3140" s="4">
        <v>149</v>
      </c>
      <c r="AF3140" s="4">
        <v>1</v>
      </c>
      <c r="AG3140" s="4">
        <v>7</v>
      </c>
      <c r="AH3140" s="4">
        <v>74</v>
      </c>
      <c r="AI3140" s="4">
        <v>112</v>
      </c>
      <c r="AJ3140" s="4">
        <v>14</v>
      </c>
      <c r="AK3140" s="4">
        <v>27</v>
      </c>
      <c r="AL3140" s="4">
        <v>42</v>
      </c>
      <c r="AM3140" s="4">
        <v>58</v>
      </c>
      <c r="AN3140" s="4">
        <v>0</v>
      </c>
      <c r="AO3140" s="4">
        <v>0</v>
      </c>
      <c r="AP3140" s="4">
        <v>23</v>
      </c>
      <c r="AQ3140" s="4">
        <v>45</v>
      </c>
      <c r="AR3140" s="3" t="s">
        <v>62</v>
      </c>
      <c r="AS3140" s="3" t="s">
        <v>62</v>
      </c>
      <c r="AT3140" s="3" t="s">
        <v>61</v>
      </c>
      <c r="AU3140" s="6" t="str">
        <f>HYPERLINK("http://catalog.hathitrust.org/Record/007265755","HathiTrust Record")</f>
        <v>HathiTrust Record</v>
      </c>
      <c r="AV3140" s="6" t="str">
        <f>HYPERLINK("http://mcgill.on.worldcat.org/oclc/62493628","Catalog Record")</f>
        <v>Catalog Record</v>
      </c>
      <c r="AW3140" s="6" t="str">
        <f>HYPERLINK("http://www.worldcat.org/oclc/62493628","WorldCat Record")</f>
        <v>WorldCat Record</v>
      </c>
      <c r="AX3140" s="3" t="s">
        <v>30401</v>
      </c>
      <c r="AY3140" s="3" t="s">
        <v>30402</v>
      </c>
      <c r="AZ3140" s="3" t="s">
        <v>30403</v>
      </c>
      <c r="BA3140" s="3" t="s">
        <v>30403</v>
      </c>
      <c r="BB3140" s="3" t="s">
        <v>30404</v>
      </c>
      <c r="BC3140" s="3" t="s">
        <v>102</v>
      </c>
      <c r="BD3140" s="3" t="s">
        <v>68</v>
      </c>
      <c r="BE3140" s="3" t="s">
        <v>30405</v>
      </c>
      <c r="BF3140" s="3" t="s">
        <v>30404</v>
      </c>
      <c r="BG3140" s="3" t="s">
        <v>30406</v>
      </c>
    </row>
    <row r="3141" spans="1:59" ht="58" x14ac:dyDescent="0.35">
      <c r="A3141" s="2" t="s">
        <v>89</v>
      </c>
      <c r="B3141" s="2" t="s">
        <v>90</v>
      </c>
      <c r="C3141" s="2" t="s">
        <v>30407</v>
      </c>
      <c r="D3141" s="2" t="s">
        <v>30408</v>
      </c>
      <c r="E3141" s="2" t="s">
        <v>30409</v>
      </c>
      <c r="G3141" s="3" t="s">
        <v>62</v>
      </c>
      <c r="I3141" s="3" t="s">
        <v>61</v>
      </c>
      <c r="J3141" s="3" t="s">
        <v>62</v>
      </c>
      <c r="K3141" s="3" t="s">
        <v>63</v>
      </c>
      <c r="L3141" s="2" t="s">
        <v>30410</v>
      </c>
      <c r="M3141" s="2" t="s">
        <v>30411</v>
      </c>
      <c r="N3141" s="3" t="s">
        <v>824</v>
      </c>
      <c r="P3141" s="3" t="s">
        <v>64</v>
      </c>
      <c r="Q3141" s="2" t="s">
        <v>30412</v>
      </c>
      <c r="R3141" s="3" t="s">
        <v>27443</v>
      </c>
      <c r="S3141" s="4">
        <v>0</v>
      </c>
      <c r="T3141" s="4">
        <v>4</v>
      </c>
      <c r="V3141" s="5" t="s">
        <v>7863</v>
      </c>
      <c r="W3141" s="5" t="s">
        <v>67</v>
      </c>
      <c r="X3141" s="5" t="s">
        <v>67</v>
      </c>
      <c r="Y3141" s="4">
        <v>375</v>
      </c>
      <c r="Z3141" s="4">
        <v>12</v>
      </c>
      <c r="AA3141" s="4">
        <v>17</v>
      </c>
      <c r="AB3141" s="4">
        <v>1</v>
      </c>
      <c r="AC3141" s="4">
        <v>1</v>
      </c>
      <c r="AD3141" s="4">
        <v>95</v>
      </c>
      <c r="AE3141" s="4">
        <v>97</v>
      </c>
      <c r="AF3141" s="4">
        <v>0</v>
      </c>
      <c r="AG3141" s="4">
        <v>0</v>
      </c>
      <c r="AH3141" s="4">
        <v>88</v>
      </c>
      <c r="AI3141" s="4">
        <v>89</v>
      </c>
      <c r="AJ3141" s="4">
        <v>9</v>
      </c>
      <c r="AK3141" s="4">
        <v>10</v>
      </c>
      <c r="AL3141" s="4">
        <v>49</v>
      </c>
      <c r="AM3141" s="4">
        <v>50</v>
      </c>
      <c r="AN3141" s="4">
        <v>0</v>
      </c>
      <c r="AO3141" s="4">
        <v>0</v>
      </c>
      <c r="AP3141" s="4">
        <v>10</v>
      </c>
      <c r="AQ3141" s="4">
        <v>12</v>
      </c>
      <c r="AR3141" s="3" t="s">
        <v>62</v>
      </c>
      <c r="AS3141" s="3" t="s">
        <v>61</v>
      </c>
      <c r="AT3141" s="3" t="s">
        <v>61</v>
      </c>
      <c r="AU3141" s="6" t="str">
        <f>HYPERLINK("http://catalog.hathitrust.org/Record/001485856","HathiTrust Record")</f>
        <v>HathiTrust Record</v>
      </c>
      <c r="AV3141" s="6" t="str">
        <f>HYPERLINK("http://mcgill.on.worldcat.org/oclc/178825","Catalog Record")</f>
        <v>Catalog Record</v>
      </c>
      <c r="AW3141" s="6" t="str">
        <f>HYPERLINK("http://www.worldcat.org/oclc/178825","WorldCat Record")</f>
        <v>WorldCat Record</v>
      </c>
      <c r="AX3141" s="3" t="s">
        <v>30413</v>
      </c>
      <c r="AY3141" s="3" t="s">
        <v>30414</v>
      </c>
      <c r="AZ3141" s="3" t="s">
        <v>30415</v>
      </c>
      <c r="BA3141" s="3" t="s">
        <v>30415</v>
      </c>
      <c r="BB3141" s="3" t="s">
        <v>30416</v>
      </c>
      <c r="BC3141" s="3" t="s">
        <v>102</v>
      </c>
      <c r="BD3141" s="3" t="s">
        <v>68</v>
      </c>
      <c r="BF3141" s="3" t="s">
        <v>30416</v>
      </c>
      <c r="BG3141" s="3" t="s">
        <v>30417</v>
      </c>
    </row>
    <row r="3142" spans="1:59" ht="58" x14ac:dyDescent="0.35">
      <c r="A3142" s="2" t="s">
        <v>89</v>
      </c>
      <c r="B3142" s="2" t="s">
        <v>90</v>
      </c>
      <c r="C3142" s="2" t="s">
        <v>30418</v>
      </c>
      <c r="D3142" s="2" t="s">
        <v>30419</v>
      </c>
      <c r="E3142" s="2" t="s">
        <v>30420</v>
      </c>
      <c r="G3142" s="3" t="s">
        <v>62</v>
      </c>
      <c r="I3142" s="3" t="s">
        <v>62</v>
      </c>
      <c r="J3142" s="3" t="s">
        <v>62</v>
      </c>
      <c r="K3142" s="3" t="s">
        <v>63</v>
      </c>
      <c r="M3142" s="2" t="s">
        <v>30421</v>
      </c>
      <c r="N3142" s="3" t="s">
        <v>95</v>
      </c>
      <c r="P3142" s="3" t="s">
        <v>64</v>
      </c>
      <c r="R3142" s="3" t="s">
        <v>27443</v>
      </c>
      <c r="S3142" s="4">
        <v>15</v>
      </c>
      <c r="T3142" s="4">
        <v>15</v>
      </c>
      <c r="U3142" s="5" t="s">
        <v>30422</v>
      </c>
      <c r="V3142" s="5" t="s">
        <v>30422</v>
      </c>
      <c r="W3142" s="5" t="s">
        <v>67</v>
      </c>
      <c r="X3142" s="5" t="s">
        <v>67</v>
      </c>
      <c r="Y3142" s="4">
        <v>544</v>
      </c>
      <c r="Z3142" s="4">
        <v>40</v>
      </c>
      <c r="AA3142" s="4">
        <v>96</v>
      </c>
      <c r="AB3142" s="4">
        <v>1</v>
      </c>
      <c r="AC3142" s="4">
        <v>16</v>
      </c>
      <c r="AD3142" s="4">
        <v>115</v>
      </c>
      <c r="AE3142" s="4">
        <v>146</v>
      </c>
      <c r="AF3142" s="4">
        <v>0</v>
      </c>
      <c r="AG3142" s="4">
        <v>8</v>
      </c>
      <c r="AH3142" s="4">
        <v>93</v>
      </c>
      <c r="AI3142" s="4">
        <v>105</v>
      </c>
      <c r="AJ3142" s="4">
        <v>19</v>
      </c>
      <c r="AK3142" s="4">
        <v>26</v>
      </c>
      <c r="AL3142" s="4">
        <v>55</v>
      </c>
      <c r="AM3142" s="4">
        <v>58</v>
      </c>
      <c r="AN3142" s="4">
        <v>0</v>
      </c>
      <c r="AO3142" s="4">
        <v>0</v>
      </c>
      <c r="AP3142" s="4">
        <v>25</v>
      </c>
      <c r="AQ3142" s="4">
        <v>47</v>
      </c>
      <c r="AR3142" s="3" t="s">
        <v>62</v>
      </c>
      <c r="AS3142" s="3" t="s">
        <v>62</v>
      </c>
      <c r="AT3142" s="3" t="s">
        <v>62</v>
      </c>
      <c r="AV3142" s="6" t="str">
        <f>HYPERLINK("http://mcgill.on.worldcat.org/oclc/8125402","Catalog Record")</f>
        <v>Catalog Record</v>
      </c>
      <c r="AW3142" s="6" t="str">
        <f>HYPERLINK("http://www.worldcat.org/oclc/8125402","WorldCat Record")</f>
        <v>WorldCat Record</v>
      </c>
      <c r="AX3142" s="3" t="s">
        <v>30423</v>
      </c>
      <c r="AY3142" s="3" t="s">
        <v>30424</v>
      </c>
      <c r="AZ3142" s="3" t="s">
        <v>30425</v>
      </c>
      <c r="BA3142" s="3" t="s">
        <v>30425</v>
      </c>
      <c r="BB3142" s="3" t="s">
        <v>30426</v>
      </c>
      <c r="BC3142" s="3" t="s">
        <v>102</v>
      </c>
      <c r="BD3142" s="3" t="s">
        <v>68</v>
      </c>
      <c r="BE3142" s="3" t="s">
        <v>30427</v>
      </c>
      <c r="BF3142" s="3" t="s">
        <v>30426</v>
      </c>
      <c r="BG3142" s="3" t="s">
        <v>30428</v>
      </c>
    </row>
    <row r="3143" spans="1:59" ht="58" x14ac:dyDescent="0.35">
      <c r="A3143" s="2" t="s">
        <v>89</v>
      </c>
      <c r="B3143" s="2" t="s">
        <v>90</v>
      </c>
      <c r="C3143" s="2" t="s">
        <v>30429</v>
      </c>
      <c r="D3143" s="2" t="s">
        <v>30430</v>
      </c>
      <c r="E3143" s="2" t="s">
        <v>30431</v>
      </c>
      <c r="G3143" s="3" t="s">
        <v>62</v>
      </c>
      <c r="I3143" s="3" t="s">
        <v>62</v>
      </c>
      <c r="J3143" s="3" t="s">
        <v>62</v>
      </c>
      <c r="K3143" s="3" t="s">
        <v>63</v>
      </c>
      <c r="L3143" s="2" t="s">
        <v>30432</v>
      </c>
      <c r="M3143" s="2" t="s">
        <v>30433</v>
      </c>
      <c r="N3143" s="3" t="s">
        <v>327</v>
      </c>
      <c r="O3143" s="2" t="s">
        <v>2163</v>
      </c>
      <c r="P3143" s="3" t="s">
        <v>64</v>
      </c>
      <c r="R3143" s="3" t="s">
        <v>27443</v>
      </c>
      <c r="S3143" s="4">
        <v>3</v>
      </c>
      <c r="T3143" s="4">
        <v>3</v>
      </c>
      <c r="U3143" s="5" t="s">
        <v>30434</v>
      </c>
      <c r="V3143" s="5" t="s">
        <v>30434</v>
      </c>
      <c r="W3143" s="5" t="s">
        <v>67</v>
      </c>
      <c r="X3143" s="5" t="s">
        <v>67</v>
      </c>
      <c r="Y3143" s="4">
        <v>385</v>
      </c>
      <c r="Z3143" s="4">
        <v>30</v>
      </c>
      <c r="AA3143" s="4">
        <v>33</v>
      </c>
      <c r="AB3143" s="4">
        <v>1</v>
      </c>
      <c r="AC3143" s="4">
        <v>3</v>
      </c>
      <c r="AD3143" s="4">
        <v>118</v>
      </c>
      <c r="AE3143" s="4">
        <v>119</v>
      </c>
      <c r="AF3143" s="4">
        <v>0</v>
      </c>
      <c r="AG3143" s="4">
        <v>0</v>
      </c>
      <c r="AH3143" s="4">
        <v>103</v>
      </c>
      <c r="AI3143" s="4">
        <v>103</v>
      </c>
      <c r="AJ3143" s="4">
        <v>18</v>
      </c>
      <c r="AK3143" s="4">
        <v>18</v>
      </c>
      <c r="AL3143" s="4">
        <v>57</v>
      </c>
      <c r="AM3143" s="4">
        <v>57</v>
      </c>
      <c r="AN3143" s="4">
        <v>0</v>
      </c>
      <c r="AO3143" s="4">
        <v>0</v>
      </c>
      <c r="AP3143" s="4">
        <v>21</v>
      </c>
      <c r="AQ3143" s="4">
        <v>22</v>
      </c>
      <c r="AR3143" s="3" t="s">
        <v>62</v>
      </c>
      <c r="AS3143" s="3" t="s">
        <v>62</v>
      </c>
      <c r="AT3143" s="3" t="s">
        <v>61</v>
      </c>
      <c r="AU3143" s="6" t="str">
        <f>HYPERLINK("http://catalog.hathitrust.org/Record/000109056","HathiTrust Record")</f>
        <v>HathiTrust Record</v>
      </c>
      <c r="AV3143" s="6" t="str">
        <f>HYPERLINK("http://mcgill.on.worldcat.org/oclc/8476136","Catalog Record")</f>
        <v>Catalog Record</v>
      </c>
      <c r="AW3143" s="6" t="str">
        <f>HYPERLINK("http://www.worldcat.org/oclc/8476136","WorldCat Record")</f>
        <v>WorldCat Record</v>
      </c>
      <c r="AX3143" s="3" t="s">
        <v>30435</v>
      </c>
      <c r="AY3143" s="3" t="s">
        <v>30436</v>
      </c>
      <c r="AZ3143" s="3" t="s">
        <v>30437</v>
      </c>
      <c r="BA3143" s="3" t="s">
        <v>30437</v>
      </c>
      <c r="BB3143" s="3" t="s">
        <v>30438</v>
      </c>
      <c r="BC3143" s="3" t="s">
        <v>102</v>
      </c>
      <c r="BD3143" s="3" t="s">
        <v>68</v>
      </c>
      <c r="BE3143" s="3" t="s">
        <v>30439</v>
      </c>
      <c r="BF3143" s="3" t="s">
        <v>30438</v>
      </c>
      <c r="BG3143" s="3" t="s">
        <v>30440</v>
      </c>
    </row>
    <row r="3144" spans="1:59" ht="58" x14ac:dyDescent="0.35">
      <c r="A3144" s="2" t="s">
        <v>89</v>
      </c>
      <c r="B3144" s="2" t="s">
        <v>90</v>
      </c>
      <c r="C3144" s="2" t="s">
        <v>30441</v>
      </c>
      <c r="D3144" s="2" t="s">
        <v>30442</v>
      </c>
      <c r="E3144" s="2" t="s">
        <v>30443</v>
      </c>
      <c r="G3144" s="3" t="s">
        <v>62</v>
      </c>
      <c r="I3144" s="3" t="s">
        <v>61</v>
      </c>
      <c r="J3144" s="3" t="s">
        <v>62</v>
      </c>
      <c r="K3144" s="3" t="s">
        <v>63</v>
      </c>
      <c r="L3144" s="2" t="s">
        <v>1062</v>
      </c>
      <c r="M3144" s="2" t="s">
        <v>30444</v>
      </c>
      <c r="N3144" s="3" t="s">
        <v>838</v>
      </c>
      <c r="P3144" s="3" t="s">
        <v>64</v>
      </c>
      <c r="R3144" s="3" t="s">
        <v>27443</v>
      </c>
      <c r="S3144" s="4">
        <v>5</v>
      </c>
      <c r="T3144" s="4">
        <v>15</v>
      </c>
      <c r="U3144" s="5" t="s">
        <v>1052</v>
      </c>
      <c r="V3144" s="5" t="s">
        <v>1052</v>
      </c>
      <c r="W3144" s="5" t="s">
        <v>67</v>
      </c>
      <c r="X3144" s="5" t="s">
        <v>67</v>
      </c>
      <c r="Y3144" s="4">
        <v>784</v>
      </c>
      <c r="Z3144" s="4">
        <v>44</v>
      </c>
      <c r="AA3144" s="4">
        <v>51</v>
      </c>
      <c r="AB3144" s="4">
        <v>1</v>
      </c>
      <c r="AC3144" s="4">
        <v>4</v>
      </c>
      <c r="AD3144" s="4">
        <v>119</v>
      </c>
      <c r="AE3144" s="4">
        <v>125</v>
      </c>
      <c r="AF3144" s="4">
        <v>0</v>
      </c>
      <c r="AG3144" s="4">
        <v>3</v>
      </c>
      <c r="AH3144" s="4">
        <v>98</v>
      </c>
      <c r="AI3144" s="4">
        <v>100</v>
      </c>
      <c r="AJ3144" s="4">
        <v>18</v>
      </c>
      <c r="AK3144" s="4">
        <v>23</v>
      </c>
      <c r="AL3144" s="4">
        <v>55</v>
      </c>
      <c r="AM3144" s="4">
        <v>55</v>
      </c>
      <c r="AN3144" s="4">
        <v>0</v>
      </c>
      <c r="AO3144" s="4">
        <v>0</v>
      </c>
      <c r="AP3144" s="4">
        <v>25</v>
      </c>
      <c r="AQ3144" s="4">
        <v>30</v>
      </c>
      <c r="AR3144" s="3" t="s">
        <v>62</v>
      </c>
      <c r="AS3144" s="3" t="s">
        <v>62</v>
      </c>
      <c r="AT3144" s="3" t="s">
        <v>61</v>
      </c>
      <c r="AU3144" s="6" t="str">
        <f>HYPERLINK("http://catalog.hathitrust.org/Record/001485913","HathiTrust Record")</f>
        <v>HathiTrust Record</v>
      </c>
      <c r="AV3144" s="6" t="str">
        <f>HYPERLINK("http://mcgill.on.worldcat.org/oclc/538125","Catalog Record")</f>
        <v>Catalog Record</v>
      </c>
      <c r="AW3144" s="6" t="str">
        <f>HYPERLINK("http://www.worldcat.org/oclc/538125","WorldCat Record")</f>
        <v>WorldCat Record</v>
      </c>
      <c r="AX3144" s="3" t="s">
        <v>30445</v>
      </c>
      <c r="AY3144" s="3" t="s">
        <v>30446</v>
      </c>
      <c r="AZ3144" s="3" t="s">
        <v>30447</v>
      </c>
      <c r="BA3144" s="3" t="s">
        <v>30447</v>
      </c>
      <c r="BB3144" s="3" t="s">
        <v>30448</v>
      </c>
      <c r="BC3144" s="3" t="s">
        <v>102</v>
      </c>
      <c r="BD3144" s="3" t="s">
        <v>68</v>
      </c>
      <c r="BE3144" s="3" t="s">
        <v>30449</v>
      </c>
      <c r="BF3144" s="3" t="s">
        <v>30448</v>
      </c>
      <c r="BG3144" s="3" t="s">
        <v>30450</v>
      </c>
    </row>
    <row r="3145" spans="1:59" ht="159.5" x14ac:dyDescent="0.35">
      <c r="A3145" s="2" t="s">
        <v>89</v>
      </c>
      <c r="B3145" s="2" t="s">
        <v>90</v>
      </c>
      <c r="C3145" s="2" t="s">
        <v>30451</v>
      </c>
      <c r="D3145" s="2" t="s">
        <v>30452</v>
      </c>
      <c r="E3145" s="2" t="s">
        <v>30453</v>
      </c>
      <c r="G3145" s="3" t="s">
        <v>62</v>
      </c>
      <c r="I3145" s="3" t="s">
        <v>62</v>
      </c>
      <c r="J3145" s="3" t="s">
        <v>62</v>
      </c>
      <c r="K3145" s="3" t="s">
        <v>63</v>
      </c>
      <c r="L3145" s="2" t="s">
        <v>30454</v>
      </c>
      <c r="M3145" s="2" t="s">
        <v>30455</v>
      </c>
      <c r="N3145" s="3" t="s">
        <v>712</v>
      </c>
      <c r="P3145" s="3" t="s">
        <v>64</v>
      </c>
      <c r="Q3145" s="2" t="s">
        <v>30456</v>
      </c>
      <c r="R3145" s="3" t="s">
        <v>27443</v>
      </c>
      <c r="S3145" s="4">
        <v>1</v>
      </c>
      <c r="T3145" s="4">
        <v>1</v>
      </c>
      <c r="U3145" s="5" t="s">
        <v>30457</v>
      </c>
      <c r="V3145" s="5" t="s">
        <v>30457</v>
      </c>
      <c r="W3145" s="5" t="s">
        <v>67</v>
      </c>
      <c r="X3145" s="5" t="s">
        <v>67</v>
      </c>
      <c r="Y3145" s="4">
        <v>64</v>
      </c>
      <c r="Z3145" s="4">
        <v>6</v>
      </c>
      <c r="AA3145" s="4">
        <v>88</v>
      </c>
      <c r="AB3145" s="4">
        <v>1</v>
      </c>
      <c r="AC3145" s="4">
        <v>16</v>
      </c>
      <c r="AD3145" s="4">
        <v>29</v>
      </c>
      <c r="AE3145" s="4">
        <v>115</v>
      </c>
      <c r="AF3145" s="4">
        <v>0</v>
      </c>
      <c r="AG3145" s="4">
        <v>9</v>
      </c>
      <c r="AH3145" s="4">
        <v>27</v>
      </c>
      <c r="AI3145" s="4">
        <v>73</v>
      </c>
      <c r="AJ3145" s="4">
        <v>3</v>
      </c>
      <c r="AK3145" s="4">
        <v>24</v>
      </c>
      <c r="AL3145" s="4">
        <v>20</v>
      </c>
      <c r="AM3145" s="4">
        <v>39</v>
      </c>
      <c r="AN3145" s="4">
        <v>0</v>
      </c>
      <c r="AO3145" s="4">
        <v>0</v>
      </c>
      <c r="AP3145" s="4">
        <v>4</v>
      </c>
      <c r="AQ3145" s="4">
        <v>51</v>
      </c>
      <c r="AR3145" s="3" t="s">
        <v>62</v>
      </c>
      <c r="AS3145" s="3" t="s">
        <v>62</v>
      </c>
      <c r="AT3145" s="3" t="s">
        <v>62</v>
      </c>
      <c r="AV3145" s="6" t="str">
        <f>HYPERLINK("http://mcgill.on.worldcat.org/oclc/867603871","Catalog Record")</f>
        <v>Catalog Record</v>
      </c>
      <c r="AW3145" s="6" t="str">
        <f>HYPERLINK("http://www.worldcat.org/oclc/867603871","WorldCat Record")</f>
        <v>WorldCat Record</v>
      </c>
      <c r="AX3145" s="3" t="s">
        <v>30458</v>
      </c>
      <c r="AY3145" s="3" t="s">
        <v>30459</v>
      </c>
      <c r="AZ3145" s="3" t="s">
        <v>30460</v>
      </c>
      <c r="BA3145" s="3" t="s">
        <v>30460</v>
      </c>
      <c r="BB3145" s="3" t="s">
        <v>30461</v>
      </c>
      <c r="BC3145" s="3" t="s">
        <v>102</v>
      </c>
      <c r="BD3145" s="3" t="s">
        <v>68</v>
      </c>
      <c r="BE3145" s="3" t="s">
        <v>30462</v>
      </c>
      <c r="BF3145" s="3" t="s">
        <v>30461</v>
      </c>
      <c r="BG3145" s="3" t="s">
        <v>30463</v>
      </c>
    </row>
    <row r="3146" spans="1:59" ht="58" x14ac:dyDescent="0.35">
      <c r="A3146" s="2" t="s">
        <v>89</v>
      </c>
      <c r="B3146" s="2" t="s">
        <v>90</v>
      </c>
      <c r="C3146" s="2" t="s">
        <v>30464</v>
      </c>
      <c r="D3146" s="2" t="s">
        <v>30465</v>
      </c>
      <c r="E3146" s="2" t="s">
        <v>30466</v>
      </c>
      <c r="G3146" s="3" t="s">
        <v>62</v>
      </c>
      <c r="I3146" s="3" t="s">
        <v>62</v>
      </c>
      <c r="J3146" s="3" t="s">
        <v>62</v>
      </c>
      <c r="K3146" s="3" t="s">
        <v>63</v>
      </c>
      <c r="L3146" s="2" t="s">
        <v>30467</v>
      </c>
      <c r="M3146" s="2" t="s">
        <v>30468</v>
      </c>
      <c r="N3146" s="3" t="s">
        <v>129</v>
      </c>
      <c r="P3146" s="3" t="s">
        <v>64</v>
      </c>
      <c r="Q3146" s="2" t="s">
        <v>30469</v>
      </c>
      <c r="R3146" s="3" t="s">
        <v>27443</v>
      </c>
      <c r="S3146" s="4">
        <v>1</v>
      </c>
      <c r="T3146" s="4">
        <v>1</v>
      </c>
      <c r="U3146" s="5" t="s">
        <v>30470</v>
      </c>
      <c r="V3146" s="5" t="s">
        <v>30470</v>
      </c>
      <c r="W3146" s="5" t="s">
        <v>67</v>
      </c>
      <c r="X3146" s="5" t="s">
        <v>67</v>
      </c>
      <c r="Y3146" s="4">
        <v>89</v>
      </c>
      <c r="Z3146" s="4">
        <v>11</v>
      </c>
      <c r="AA3146" s="4">
        <v>80</v>
      </c>
      <c r="AB3146" s="4">
        <v>1</v>
      </c>
      <c r="AC3146" s="4">
        <v>16</v>
      </c>
      <c r="AD3146" s="4">
        <v>39</v>
      </c>
      <c r="AE3146" s="4">
        <v>115</v>
      </c>
      <c r="AF3146" s="4">
        <v>0</v>
      </c>
      <c r="AG3146" s="4">
        <v>8</v>
      </c>
      <c r="AH3146" s="4">
        <v>32</v>
      </c>
      <c r="AI3146" s="4">
        <v>80</v>
      </c>
      <c r="AJ3146" s="4">
        <v>9</v>
      </c>
      <c r="AK3146" s="4">
        <v>23</v>
      </c>
      <c r="AL3146" s="4">
        <v>19</v>
      </c>
      <c r="AM3146" s="4">
        <v>40</v>
      </c>
      <c r="AN3146" s="4">
        <v>0</v>
      </c>
      <c r="AO3146" s="4">
        <v>0</v>
      </c>
      <c r="AP3146" s="4">
        <v>10</v>
      </c>
      <c r="AQ3146" s="4">
        <v>43</v>
      </c>
      <c r="AR3146" s="3" t="s">
        <v>62</v>
      </c>
      <c r="AS3146" s="3" t="s">
        <v>62</v>
      </c>
      <c r="AT3146" s="3" t="s">
        <v>62</v>
      </c>
      <c r="AV3146" s="6" t="str">
        <f>HYPERLINK("http://mcgill.on.worldcat.org/oclc/792874987","Catalog Record")</f>
        <v>Catalog Record</v>
      </c>
      <c r="AW3146" s="6" t="str">
        <f>HYPERLINK("http://www.worldcat.org/oclc/792874987","WorldCat Record")</f>
        <v>WorldCat Record</v>
      </c>
      <c r="AX3146" s="3" t="s">
        <v>30471</v>
      </c>
      <c r="AY3146" s="3" t="s">
        <v>30472</v>
      </c>
      <c r="AZ3146" s="3" t="s">
        <v>30473</v>
      </c>
      <c r="BA3146" s="3" t="s">
        <v>30473</v>
      </c>
      <c r="BB3146" s="3" t="s">
        <v>30474</v>
      </c>
      <c r="BC3146" s="3" t="s">
        <v>102</v>
      </c>
      <c r="BD3146" s="3" t="s">
        <v>68</v>
      </c>
      <c r="BE3146" s="3" t="s">
        <v>30475</v>
      </c>
      <c r="BF3146" s="3" t="s">
        <v>30474</v>
      </c>
      <c r="BG3146" s="3" t="s">
        <v>30476</v>
      </c>
    </row>
    <row r="3147" spans="1:59" ht="58" x14ac:dyDescent="0.35">
      <c r="A3147" s="2" t="s">
        <v>89</v>
      </c>
      <c r="B3147" s="2" t="s">
        <v>90</v>
      </c>
      <c r="C3147" s="2" t="s">
        <v>30477</v>
      </c>
      <c r="D3147" s="2" t="s">
        <v>30478</v>
      </c>
      <c r="E3147" s="2" t="s">
        <v>30479</v>
      </c>
      <c r="G3147" s="3" t="s">
        <v>62</v>
      </c>
      <c r="I3147" s="3" t="s">
        <v>62</v>
      </c>
      <c r="J3147" s="3" t="s">
        <v>62</v>
      </c>
      <c r="K3147" s="3" t="s">
        <v>63</v>
      </c>
      <c r="L3147" s="2" t="s">
        <v>30480</v>
      </c>
      <c r="M3147" s="2" t="s">
        <v>30481</v>
      </c>
      <c r="N3147" s="3" t="s">
        <v>698</v>
      </c>
      <c r="P3147" s="3" t="s">
        <v>64</v>
      </c>
      <c r="R3147" s="3" t="s">
        <v>27443</v>
      </c>
      <c r="S3147" s="4">
        <v>2</v>
      </c>
      <c r="T3147" s="4">
        <v>2</v>
      </c>
      <c r="U3147" s="5" t="s">
        <v>26184</v>
      </c>
      <c r="V3147" s="5" t="s">
        <v>26184</v>
      </c>
      <c r="W3147" s="5" t="s">
        <v>67</v>
      </c>
      <c r="X3147" s="5" t="s">
        <v>67</v>
      </c>
      <c r="Y3147" s="4">
        <v>16</v>
      </c>
      <c r="Z3147" s="4">
        <v>1</v>
      </c>
      <c r="AA3147" s="4">
        <v>3</v>
      </c>
      <c r="AB3147" s="4">
        <v>1</v>
      </c>
      <c r="AC3147" s="4">
        <v>3</v>
      </c>
      <c r="AD3147" s="4">
        <v>9</v>
      </c>
      <c r="AE3147" s="4">
        <v>10</v>
      </c>
      <c r="AF3147" s="4">
        <v>0</v>
      </c>
      <c r="AG3147" s="4">
        <v>1</v>
      </c>
      <c r="AH3147" s="4">
        <v>8</v>
      </c>
      <c r="AI3147" s="4">
        <v>8</v>
      </c>
      <c r="AJ3147" s="4">
        <v>0</v>
      </c>
      <c r="AK3147" s="4">
        <v>1</v>
      </c>
      <c r="AL3147" s="4">
        <v>7</v>
      </c>
      <c r="AM3147" s="4">
        <v>7</v>
      </c>
      <c r="AN3147" s="4">
        <v>0</v>
      </c>
      <c r="AO3147" s="4">
        <v>0</v>
      </c>
      <c r="AP3147" s="4">
        <v>0</v>
      </c>
      <c r="AQ3147" s="4">
        <v>0</v>
      </c>
      <c r="AR3147" s="3" t="s">
        <v>62</v>
      </c>
      <c r="AS3147" s="3" t="s">
        <v>62</v>
      </c>
      <c r="AT3147" s="3" t="s">
        <v>62</v>
      </c>
      <c r="AV3147" s="6" t="str">
        <f>HYPERLINK("http://mcgill.on.worldcat.org/oclc/780689129","Catalog Record")</f>
        <v>Catalog Record</v>
      </c>
      <c r="AW3147" s="6" t="str">
        <f>HYPERLINK("http://www.worldcat.org/oclc/780689129","WorldCat Record")</f>
        <v>WorldCat Record</v>
      </c>
      <c r="AX3147" s="3" t="s">
        <v>30482</v>
      </c>
      <c r="AY3147" s="3" t="s">
        <v>30483</v>
      </c>
      <c r="AZ3147" s="3" t="s">
        <v>30484</v>
      </c>
      <c r="BA3147" s="3" t="s">
        <v>30484</v>
      </c>
      <c r="BB3147" s="3" t="s">
        <v>30485</v>
      </c>
      <c r="BC3147" s="3" t="s">
        <v>102</v>
      </c>
      <c r="BD3147" s="3" t="s">
        <v>68</v>
      </c>
      <c r="BE3147" s="3" t="s">
        <v>30486</v>
      </c>
      <c r="BF3147" s="3" t="s">
        <v>30485</v>
      </c>
      <c r="BG3147" s="3" t="s">
        <v>30487</v>
      </c>
    </row>
    <row r="3148" spans="1:59" ht="72.5" x14ac:dyDescent="0.35">
      <c r="A3148" s="2" t="s">
        <v>89</v>
      </c>
      <c r="B3148" s="2" t="s">
        <v>1231</v>
      </c>
      <c r="C3148" s="2" t="s">
        <v>30488</v>
      </c>
      <c r="D3148" s="2" t="s">
        <v>30489</v>
      </c>
      <c r="E3148" s="2" t="s">
        <v>30490</v>
      </c>
      <c r="G3148" s="3" t="s">
        <v>62</v>
      </c>
      <c r="I3148" s="3" t="s">
        <v>62</v>
      </c>
      <c r="J3148" s="3" t="s">
        <v>62</v>
      </c>
      <c r="K3148" s="3" t="s">
        <v>63</v>
      </c>
      <c r="L3148" s="2" t="s">
        <v>30491</v>
      </c>
      <c r="M3148" s="2" t="s">
        <v>30492</v>
      </c>
      <c r="N3148" s="3" t="s">
        <v>698</v>
      </c>
      <c r="P3148" s="3" t="s">
        <v>64</v>
      </c>
      <c r="R3148" s="3" t="s">
        <v>27443</v>
      </c>
      <c r="S3148" s="4">
        <v>1</v>
      </c>
      <c r="T3148" s="4">
        <v>1</v>
      </c>
      <c r="W3148" s="5" t="s">
        <v>67</v>
      </c>
      <c r="X3148" s="5" t="s">
        <v>67</v>
      </c>
      <c r="Y3148" s="4">
        <v>130</v>
      </c>
      <c r="Z3148" s="4">
        <v>11</v>
      </c>
      <c r="AA3148" s="4">
        <v>57</v>
      </c>
      <c r="AB3148" s="4">
        <v>1</v>
      </c>
      <c r="AC3148" s="4">
        <v>15</v>
      </c>
      <c r="AD3148" s="4">
        <v>41</v>
      </c>
      <c r="AE3148" s="4">
        <v>116</v>
      </c>
      <c r="AF3148" s="4">
        <v>0</v>
      </c>
      <c r="AG3148" s="4">
        <v>8</v>
      </c>
      <c r="AH3148" s="4">
        <v>37</v>
      </c>
      <c r="AI3148" s="4">
        <v>83</v>
      </c>
      <c r="AJ3148" s="4">
        <v>5</v>
      </c>
      <c r="AK3148" s="4">
        <v>21</v>
      </c>
      <c r="AL3148" s="4">
        <v>25</v>
      </c>
      <c r="AM3148" s="4">
        <v>42</v>
      </c>
      <c r="AN3148" s="4">
        <v>0</v>
      </c>
      <c r="AO3148" s="4">
        <v>0</v>
      </c>
      <c r="AP3148" s="4">
        <v>7</v>
      </c>
      <c r="AQ3148" s="4">
        <v>40</v>
      </c>
      <c r="AR3148" s="3" t="s">
        <v>62</v>
      </c>
      <c r="AS3148" s="3" t="s">
        <v>62</v>
      </c>
      <c r="AT3148" s="3" t="s">
        <v>62</v>
      </c>
      <c r="AV3148" s="6" t="str">
        <f>HYPERLINK("http://mcgill.on.worldcat.org/oclc/702327609","Catalog Record")</f>
        <v>Catalog Record</v>
      </c>
      <c r="AW3148" s="6" t="str">
        <f>HYPERLINK("http://www.worldcat.org/oclc/702327609","WorldCat Record")</f>
        <v>WorldCat Record</v>
      </c>
      <c r="AX3148" s="3" t="s">
        <v>30493</v>
      </c>
      <c r="AY3148" s="3" t="s">
        <v>30494</v>
      </c>
      <c r="AZ3148" s="3" t="s">
        <v>30495</v>
      </c>
      <c r="BA3148" s="3" t="s">
        <v>30495</v>
      </c>
      <c r="BB3148" s="3" t="s">
        <v>30496</v>
      </c>
      <c r="BC3148" s="3" t="s">
        <v>102</v>
      </c>
      <c r="BD3148" s="3" t="s">
        <v>231</v>
      </c>
      <c r="BE3148" s="3" t="s">
        <v>30497</v>
      </c>
      <c r="BF3148" s="3" t="s">
        <v>30496</v>
      </c>
      <c r="BG3148" s="3" t="s">
        <v>30498</v>
      </c>
    </row>
    <row r="3149" spans="1:59" ht="58" x14ac:dyDescent="0.35">
      <c r="A3149" s="2" t="s">
        <v>89</v>
      </c>
      <c r="B3149" s="2" t="s">
        <v>90</v>
      </c>
      <c r="C3149" s="2" t="s">
        <v>30499</v>
      </c>
      <c r="D3149" s="2" t="s">
        <v>30500</v>
      </c>
      <c r="E3149" s="2" t="s">
        <v>30501</v>
      </c>
      <c r="G3149" s="3" t="s">
        <v>62</v>
      </c>
      <c r="I3149" s="3" t="s">
        <v>62</v>
      </c>
      <c r="J3149" s="3" t="s">
        <v>62</v>
      </c>
      <c r="K3149" s="3" t="s">
        <v>63</v>
      </c>
      <c r="M3149" s="2" t="s">
        <v>30502</v>
      </c>
      <c r="N3149" s="3" t="s">
        <v>712</v>
      </c>
      <c r="P3149" s="3" t="s">
        <v>64</v>
      </c>
      <c r="Q3149" s="2" t="s">
        <v>30503</v>
      </c>
      <c r="R3149" s="3" t="s">
        <v>27443</v>
      </c>
      <c r="S3149" s="4">
        <v>2</v>
      </c>
      <c r="T3149" s="4">
        <v>2</v>
      </c>
      <c r="U3149" s="5" t="s">
        <v>3441</v>
      </c>
      <c r="V3149" s="5" t="s">
        <v>3441</v>
      </c>
      <c r="W3149" s="5" t="s">
        <v>67</v>
      </c>
      <c r="X3149" s="5" t="s">
        <v>67</v>
      </c>
      <c r="Y3149" s="4">
        <v>36</v>
      </c>
      <c r="Z3149" s="4">
        <v>5</v>
      </c>
      <c r="AA3149" s="4">
        <v>76</v>
      </c>
      <c r="AB3149" s="4">
        <v>2</v>
      </c>
      <c r="AC3149" s="4">
        <v>14</v>
      </c>
      <c r="AD3149" s="4">
        <v>17</v>
      </c>
      <c r="AE3149" s="4">
        <v>86</v>
      </c>
      <c r="AF3149" s="4">
        <v>1</v>
      </c>
      <c r="AG3149" s="4">
        <v>8</v>
      </c>
      <c r="AH3149" s="4">
        <v>15</v>
      </c>
      <c r="AI3149" s="4">
        <v>55</v>
      </c>
      <c r="AJ3149" s="4">
        <v>4</v>
      </c>
      <c r="AK3149" s="4">
        <v>17</v>
      </c>
      <c r="AL3149" s="4">
        <v>11</v>
      </c>
      <c r="AM3149" s="4">
        <v>28</v>
      </c>
      <c r="AN3149" s="4">
        <v>0</v>
      </c>
      <c r="AO3149" s="4">
        <v>0</v>
      </c>
      <c r="AP3149" s="4">
        <v>4</v>
      </c>
      <c r="AQ3149" s="4">
        <v>37</v>
      </c>
      <c r="AR3149" s="3" t="s">
        <v>62</v>
      </c>
      <c r="AS3149" s="3" t="s">
        <v>62</v>
      </c>
      <c r="AT3149" s="3" t="s">
        <v>62</v>
      </c>
      <c r="AV3149" s="6" t="str">
        <f>HYPERLINK("http://mcgill.on.worldcat.org/oclc/884315616","Catalog Record")</f>
        <v>Catalog Record</v>
      </c>
      <c r="AW3149" s="6" t="str">
        <f>HYPERLINK("http://www.worldcat.org/oclc/884315616","WorldCat Record")</f>
        <v>WorldCat Record</v>
      </c>
      <c r="AX3149" s="3" t="s">
        <v>30504</v>
      </c>
      <c r="AY3149" s="3" t="s">
        <v>30505</v>
      </c>
      <c r="AZ3149" s="3" t="s">
        <v>30506</v>
      </c>
      <c r="BA3149" s="3" t="s">
        <v>30506</v>
      </c>
      <c r="BB3149" s="3" t="s">
        <v>30507</v>
      </c>
      <c r="BC3149" s="3" t="s">
        <v>102</v>
      </c>
      <c r="BD3149" s="3" t="s">
        <v>68</v>
      </c>
      <c r="BE3149" s="3" t="s">
        <v>30508</v>
      </c>
      <c r="BF3149" s="3" t="s">
        <v>30507</v>
      </c>
      <c r="BG3149" s="3" t="s">
        <v>30509</v>
      </c>
    </row>
    <row r="3150" spans="1:59" ht="58" x14ac:dyDescent="0.35">
      <c r="A3150" s="2" t="s">
        <v>89</v>
      </c>
      <c r="B3150" s="2" t="s">
        <v>90</v>
      </c>
      <c r="C3150" s="2" t="s">
        <v>30510</v>
      </c>
      <c r="D3150" s="2" t="s">
        <v>30511</v>
      </c>
      <c r="E3150" s="2" t="s">
        <v>30512</v>
      </c>
      <c r="G3150" s="3" t="s">
        <v>62</v>
      </c>
      <c r="I3150" s="3" t="s">
        <v>62</v>
      </c>
      <c r="J3150" s="3" t="s">
        <v>62</v>
      </c>
      <c r="K3150" s="3" t="s">
        <v>63</v>
      </c>
      <c r="L3150" s="2" t="s">
        <v>30513</v>
      </c>
      <c r="M3150" s="2" t="s">
        <v>30514</v>
      </c>
      <c r="N3150" s="3" t="s">
        <v>684</v>
      </c>
      <c r="P3150" s="3" t="s">
        <v>64</v>
      </c>
      <c r="Q3150" s="2" t="s">
        <v>30515</v>
      </c>
      <c r="R3150" s="3" t="s">
        <v>27443</v>
      </c>
      <c r="S3150" s="4">
        <v>18</v>
      </c>
      <c r="T3150" s="4">
        <v>18</v>
      </c>
      <c r="U3150" s="5" t="s">
        <v>7837</v>
      </c>
      <c r="V3150" s="5" t="s">
        <v>7837</v>
      </c>
      <c r="W3150" s="5" t="s">
        <v>67</v>
      </c>
      <c r="X3150" s="5" t="s">
        <v>67</v>
      </c>
      <c r="Y3150" s="4">
        <v>22</v>
      </c>
      <c r="Z3150" s="4">
        <v>16</v>
      </c>
      <c r="AA3150" s="4">
        <v>53</v>
      </c>
      <c r="AB3150" s="4">
        <v>1</v>
      </c>
      <c r="AC3150" s="4">
        <v>6</v>
      </c>
      <c r="AD3150" s="4">
        <v>10</v>
      </c>
      <c r="AE3150" s="4">
        <v>55</v>
      </c>
      <c r="AF3150" s="4">
        <v>0</v>
      </c>
      <c r="AG3150" s="4">
        <v>3</v>
      </c>
      <c r="AH3150" s="4">
        <v>6</v>
      </c>
      <c r="AI3150" s="4">
        <v>39</v>
      </c>
      <c r="AJ3150" s="4">
        <v>4</v>
      </c>
      <c r="AK3150" s="4">
        <v>13</v>
      </c>
      <c r="AL3150" s="4">
        <v>1</v>
      </c>
      <c r="AM3150" s="4">
        <v>21</v>
      </c>
      <c r="AN3150" s="4">
        <v>0</v>
      </c>
      <c r="AO3150" s="4">
        <v>0</v>
      </c>
      <c r="AP3150" s="4">
        <v>6</v>
      </c>
      <c r="AQ3150" s="4">
        <v>20</v>
      </c>
      <c r="AR3150" s="3" t="s">
        <v>61</v>
      </c>
      <c r="AS3150" s="3" t="s">
        <v>62</v>
      </c>
      <c r="AT3150" s="3" t="s">
        <v>62</v>
      </c>
      <c r="AV3150" s="6" t="str">
        <f>HYPERLINK("http://mcgill.on.worldcat.org/oclc/671530608","Catalog Record")</f>
        <v>Catalog Record</v>
      </c>
      <c r="AW3150" s="6" t="str">
        <f>HYPERLINK("http://www.worldcat.org/oclc/671530608","WorldCat Record")</f>
        <v>WorldCat Record</v>
      </c>
      <c r="AX3150" s="3" t="s">
        <v>30516</v>
      </c>
      <c r="AY3150" s="3" t="s">
        <v>30517</v>
      </c>
      <c r="AZ3150" s="3" t="s">
        <v>30518</v>
      </c>
      <c r="BA3150" s="3" t="s">
        <v>30518</v>
      </c>
      <c r="BB3150" s="3" t="s">
        <v>30519</v>
      </c>
      <c r="BC3150" s="3" t="s">
        <v>102</v>
      </c>
      <c r="BD3150" s="3" t="s">
        <v>231</v>
      </c>
      <c r="BE3150" s="3" t="s">
        <v>30520</v>
      </c>
      <c r="BF3150" s="3" t="s">
        <v>30519</v>
      </c>
      <c r="BG3150" s="3" t="s">
        <v>30521</v>
      </c>
    </row>
    <row r="3151" spans="1:59" ht="72.5" x14ac:dyDescent="0.35">
      <c r="A3151" s="2" t="s">
        <v>89</v>
      </c>
      <c r="B3151" s="2" t="s">
        <v>90</v>
      </c>
      <c r="C3151" s="2" t="s">
        <v>30522</v>
      </c>
      <c r="D3151" s="2" t="s">
        <v>30523</v>
      </c>
      <c r="E3151" s="2" t="s">
        <v>30524</v>
      </c>
      <c r="G3151" s="3" t="s">
        <v>62</v>
      </c>
      <c r="I3151" s="3" t="s">
        <v>62</v>
      </c>
      <c r="J3151" s="3" t="s">
        <v>62</v>
      </c>
      <c r="K3151" s="3" t="s">
        <v>63</v>
      </c>
      <c r="M3151" s="2" t="s">
        <v>30525</v>
      </c>
      <c r="N3151" s="3" t="s">
        <v>712</v>
      </c>
      <c r="P3151" s="3" t="s">
        <v>64</v>
      </c>
      <c r="R3151" s="3" t="s">
        <v>27443</v>
      </c>
      <c r="S3151" s="4">
        <v>1</v>
      </c>
      <c r="T3151" s="4">
        <v>1</v>
      </c>
      <c r="U3151" s="5" t="s">
        <v>26184</v>
      </c>
      <c r="V3151" s="5" t="s">
        <v>26184</v>
      </c>
      <c r="W3151" s="5" t="s">
        <v>67</v>
      </c>
      <c r="X3151" s="5" t="s">
        <v>67</v>
      </c>
      <c r="Y3151" s="4">
        <v>83</v>
      </c>
      <c r="Z3151" s="4">
        <v>10</v>
      </c>
      <c r="AA3151" s="4">
        <v>16</v>
      </c>
      <c r="AB3151" s="4">
        <v>1</v>
      </c>
      <c r="AC3151" s="4">
        <v>4</v>
      </c>
      <c r="AD3151" s="4">
        <v>25</v>
      </c>
      <c r="AE3151" s="4">
        <v>34</v>
      </c>
      <c r="AF3151" s="4">
        <v>0</v>
      </c>
      <c r="AG3151" s="4">
        <v>0</v>
      </c>
      <c r="AH3151" s="4">
        <v>22</v>
      </c>
      <c r="AI3151" s="4">
        <v>30</v>
      </c>
      <c r="AJ3151" s="4">
        <v>6</v>
      </c>
      <c r="AK3151" s="4">
        <v>9</v>
      </c>
      <c r="AL3151" s="4">
        <v>13</v>
      </c>
      <c r="AM3151" s="4">
        <v>16</v>
      </c>
      <c r="AN3151" s="4">
        <v>0</v>
      </c>
      <c r="AO3151" s="4">
        <v>0</v>
      </c>
      <c r="AP3151" s="4">
        <v>7</v>
      </c>
      <c r="AQ3151" s="4">
        <v>10</v>
      </c>
      <c r="AR3151" s="3" t="s">
        <v>62</v>
      </c>
      <c r="AS3151" s="3" t="s">
        <v>62</v>
      </c>
      <c r="AT3151" s="3" t="s">
        <v>62</v>
      </c>
      <c r="AV3151" s="6" t="str">
        <f>HYPERLINK("http://mcgill.on.worldcat.org/oclc/847600046","Catalog Record")</f>
        <v>Catalog Record</v>
      </c>
      <c r="AW3151" s="6" t="str">
        <f>HYPERLINK("http://www.worldcat.org/oclc/847600046","WorldCat Record")</f>
        <v>WorldCat Record</v>
      </c>
      <c r="AX3151" s="3" t="s">
        <v>30526</v>
      </c>
      <c r="AY3151" s="3" t="s">
        <v>30527</v>
      </c>
      <c r="AZ3151" s="3" t="s">
        <v>30528</v>
      </c>
      <c r="BA3151" s="3" t="s">
        <v>30528</v>
      </c>
      <c r="BB3151" s="3" t="s">
        <v>30529</v>
      </c>
      <c r="BC3151" s="3" t="s">
        <v>102</v>
      </c>
      <c r="BD3151" s="3" t="s">
        <v>68</v>
      </c>
      <c r="BE3151" s="3" t="s">
        <v>30530</v>
      </c>
      <c r="BF3151" s="3" t="s">
        <v>30529</v>
      </c>
      <c r="BG3151" s="3" t="s">
        <v>30531</v>
      </c>
    </row>
    <row r="3152" spans="1:59" ht="58" x14ac:dyDescent="0.35">
      <c r="A3152" s="2" t="s">
        <v>89</v>
      </c>
      <c r="B3152" s="2" t="s">
        <v>90</v>
      </c>
      <c r="C3152" s="2" t="s">
        <v>30532</v>
      </c>
      <c r="D3152" s="2" t="s">
        <v>30533</v>
      </c>
      <c r="E3152" s="2" t="s">
        <v>30534</v>
      </c>
      <c r="G3152" s="3" t="s">
        <v>62</v>
      </c>
      <c r="I3152" s="3" t="s">
        <v>62</v>
      </c>
      <c r="J3152" s="3" t="s">
        <v>62</v>
      </c>
      <c r="K3152" s="3" t="s">
        <v>63</v>
      </c>
      <c r="M3152" s="2" t="s">
        <v>30535</v>
      </c>
      <c r="N3152" s="3" t="s">
        <v>880</v>
      </c>
      <c r="P3152" s="3" t="s">
        <v>64</v>
      </c>
      <c r="Q3152" s="2" t="s">
        <v>30536</v>
      </c>
      <c r="R3152" s="3" t="s">
        <v>27443</v>
      </c>
      <c r="S3152" s="4">
        <v>6</v>
      </c>
      <c r="T3152" s="4">
        <v>6</v>
      </c>
      <c r="U3152" s="5" t="s">
        <v>1642</v>
      </c>
      <c r="V3152" s="5" t="s">
        <v>1642</v>
      </c>
      <c r="W3152" s="5" t="s">
        <v>67</v>
      </c>
      <c r="X3152" s="5" t="s">
        <v>67</v>
      </c>
      <c r="Y3152" s="4">
        <v>55</v>
      </c>
      <c r="Z3152" s="4">
        <v>39</v>
      </c>
      <c r="AA3152" s="4">
        <v>57</v>
      </c>
      <c r="AB3152" s="4">
        <v>3</v>
      </c>
      <c r="AC3152" s="4">
        <v>7</v>
      </c>
      <c r="AD3152" s="4">
        <v>35</v>
      </c>
      <c r="AE3152" s="4">
        <v>45</v>
      </c>
      <c r="AF3152" s="4">
        <v>2</v>
      </c>
      <c r="AG3152" s="4">
        <v>4</v>
      </c>
      <c r="AH3152" s="4">
        <v>17</v>
      </c>
      <c r="AI3152" s="4">
        <v>20</v>
      </c>
      <c r="AJ3152" s="4">
        <v>17</v>
      </c>
      <c r="AK3152" s="4">
        <v>18</v>
      </c>
      <c r="AL3152" s="4">
        <v>7</v>
      </c>
      <c r="AM3152" s="4">
        <v>8</v>
      </c>
      <c r="AN3152" s="4">
        <v>0</v>
      </c>
      <c r="AO3152" s="4">
        <v>0</v>
      </c>
      <c r="AP3152" s="4">
        <v>25</v>
      </c>
      <c r="AQ3152" s="4">
        <v>33</v>
      </c>
      <c r="AR3152" s="3" t="s">
        <v>61</v>
      </c>
      <c r="AS3152" s="3" t="s">
        <v>62</v>
      </c>
      <c r="AT3152" s="3" t="s">
        <v>62</v>
      </c>
      <c r="AV3152" s="6" t="str">
        <f>HYPERLINK("http://mcgill.on.worldcat.org/oclc/662821552","Catalog Record")</f>
        <v>Catalog Record</v>
      </c>
      <c r="AW3152" s="6" t="str">
        <f>HYPERLINK("http://www.worldcat.org/oclc/662821552","WorldCat Record")</f>
        <v>WorldCat Record</v>
      </c>
      <c r="AX3152" s="3" t="s">
        <v>30537</v>
      </c>
      <c r="AY3152" s="3" t="s">
        <v>30538</v>
      </c>
      <c r="AZ3152" s="3" t="s">
        <v>30539</v>
      </c>
      <c r="BA3152" s="3" t="s">
        <v>30539</v>
      </c>
      <c r="BB3152" s="3" t="s">
        <v>30540</v>
      </c>
      <c r="BC3152" s="3" t="s">
        <v>102</v>
      </c>
      <c r="BD3152" s="3" t="s">
        <v>68</v>
      </c>
      <c r="BE3152" s="3" t="s">
        <v>30541</v>
      </c>
      <c r="BF3152" s="3" t="s">
        <v>30540</v>
      </c>
      <c r="BG3152" s="3" t="s">
        <v>30542</v>
      </c>
    </row>
    <row r="3153" spans="1:59" ht="58" x14ac:dyDescent="0.35">
      <c r="A3153" s="2" t="s">
        <v>89</v>
      </c>
      <c r="B3153" s="2" t="s">
        <v>90</v>
      </c>
      <c r="C3153" s="2" t="s">
        <v>30543</v>
      </c>
      <c r="D3153" s="2" t="s">
        <v>30544</v>
      </c>
      <c r="E3153" s="2" t="s">
        <v>30545</v>
      </c>
      <c r="G3153" s="3" t="s">
        <v>62</v>
      </c>
      <c r="I3153" s="3" t="s">
        <v>62</v>
      </c>
      <c r="J3153" s="3" t="s">
        <v>62</v>
      </c>
      <c r="K3153" s="3" t="s">
        <v>63</v>
      </c>
      <c r="M3153" s="2" t="s">
        <v>30546</v>
      </c>
      <c r="N3153" s="3" t="s">
        <v>129</v>
      </c>
      <c r="P3153" s="3" t="s">
        <v>64</v>
      </c>
      <c r="Q3153" s="2" t="s">
        <v>30547</v>
      </c>
      <c r="R3153" s="3" t="s">
        <v>27443</v>
      </c>
      <c r="S3153" s="4">
        <v>5</v>
      </c>
      <c r="T3153" s="4">
        <v>5</v>
      </c>
      <c r="U3153" s="5" t="s">
        <v>26184</v>
      </c>
      <c r="V3153" s="5" t="s">
        <v>26184</v>
      </c>
      <c r="W3153" s="5" t="s">
        <v>67</v>
      </c>
      <c r="X3153" s="5" t="s">
        <v>67</v>
      </c>
      <c r="Y3153" s="4">
        <v>69</v>
      </c>
      <c r="Z3153" s="4">
        <v>7</v>
      </c>
      <c r="AA3153" s="4">
        <v>79</v>
      </c>
      <c r="AB3153" s="4">
        <v>2</v>
      </c>
      <c r="AC3153" s="4">
        <v>15</v>
      </c>
      <c r="AD3153" s="4">
        <v>26</v>
      </c>
      <c r="AE3153" s="4">
        <v>109</v>
      </c>
      <c r="AF3153" s="4">
        <v>1</v>
      </c>
      <c r="AG3153" s="4">
        <v>8</v>
      </c>
      <c r="AH3153" s="4">
        <v>23</v>
      </c>
      <c r="AI3153" s="4">
        <v>75</v>
      </c>
      <c r="AJ3153" s="4">
        <v>5</v>
      </c>
      <c r="AK3153" s="4">
        <v>22</v>
      </c>
      <c r="AL3153" s="4">
        <v>18</v>
      </c>
      <c r="AM3153" s="4">
        <v>41</v>
      </c>
      <c r="AN3153" s="4">
        <v>0</v>
      </c>
      <c r="AO3153" s="4">
        <v>0</v>
      </c>
      <c r="AP3153" s="4">
        <v>5</v>
      </c>
      <c r="AQ3153" s="4">
        <v>43</v>
      </c>
      <c r="AR3153" s="3" t="s">
        <v>62</v>
      </c>
      <c r="AS3153" s="3" t="s">
        <v>62</v>
      </c>
      <c r="AT3153" s="3" t="s">
        <v>62</v>
      </c>
      <c r="AV3153" s="6" t="str">
        <f>HYPERLINK("http://mcgill.on.worldcat.org/oclc/154754170","Catalog Record")</f>
        <v>Catalog Record</v>
      </c>
      <c r="AW3153" s="6" t="str">
        <f>HYPERLINK("http://www.worldcat.org/oclc/154754170","WorldCat Record")</f>
        <v>WorldCat Record</v>
      </c>
      <c r="AX3153" s="3" t="s">
        <v>30548</v>
      </c>
      <c r="AY3153" s="3" t="s">
        <v>30549</v>
      </c>
      <c r="AZ3153" s="3" t="s">
        <v>30550</v>
      </c>
      <c r="BA3153" s="3" t="s">
        <v>30550</v>
      </c>
      <c r="BB3153" s="3" t="s">
        <v>30551</v>
      </c>
      <c r="BC3153" s="3" t="s">
        <v>102</v>
      </c>
      <c r="BD3153" s="3" t="s">
        <v>68</v>
      </c>
      <c r="BE3153" s="3" t="s">
        <v>30552</v>
      </c>
      <c r="BF3153" s="3" t="s">
        <v>30551</v>
      </c>
      <c r="BG3153" s="3" t="s">
        <v>30553</v>
      </c>
    </row>
    <row r="3154" spans="1:59" ht="58" x14ac:dyDescent="0.35">
      <c r="A3154" s="2" t="s">
        <v>89</v>
      </c>
      <c r="B3154" s="2" t="s">
        <v>90</v>
      </c>
      <c r="C3154" s="2" t="s">
        <v>30554</v>
      </c>
      <c r="D3154" s="2" t="s">
        <v>30555</v>
      </c>
      <c r="E3154" s="2" t="s">
        <v>30556</v>
      </c>
      <c r="G3154" s="3" t="s">
        <v>62</v>
      </c>
      <c r="I3154" s="3" t="s">
        <v>62</v>
      </c>
      <c r="J3154" s="3" t="s">
        <v>62</v>
      </c>
      <c r="K3154" s="3" t="s">
        <v>63</v>
      </c>
      <c r="M3154" s="2" t="s">
        <v>30557</v>
      </c>
      <c r="N3154" s="3" t="s">
        <v>880</v>
      </c>
      <c r="P3154" s="3" t="s">
        <v>64</v>
      </c>
      <c r="R3154" s="3" t="s">
        <v>27443</v>
      </c>
      <c r="S3154" s="4">
        <v>1</v>
      </c>
      <c r="T3154" s="4">
        <v>1</v>
      </c>
      <c r="U3154" s="5" t="s">
        <v>21595</v>
      </c>
      <c r="V3154" s="5" t="s">
        <v>21595</v>
      </c>
      <c r="W3154" s="5" t="s">
        <v>67</v>
      </c>
      <c r="X3154" s="5" t="s">
        <v>67</v>
      </c>
      <c r="Y3154" s="4">
        <v>71</v>
      </c>
      <c r="Z3154" s="4">
        <v>6</v>
      </c>
      <c r="AA3154" s="4">
        <v>7</v>
      </c>
      <c r="AB3154" s="4">
        <v>1</v>
      </c>
      <c r="AC3154" s="4">
        <v>2</v>
      </c>
      <c r="AD3154" s="4">
        <v>26</v>
      </c>
      <c r="AE3154" s="4">
        <v>27</v>
      </c>
      <c r="AF3154" s="4">
        <v>0</v>
      </c>
      <c r="AG3154" s="4">
        <v>1</v>
      </c>
      <c r="AH3154" s="4">
        <v>23</v>
      </c>
      <c r="AI3154" s="4">
        <v>23</v>
      </c>
      <c r="AJ3154" s="4">
        <v>1</v>
      </c>
      <c r="AK3154" s="4">
        <v>2</v>
      </c>
      <c r="AL3154" s="4">
        <v>15</v>
      </c>
      <c r="AM3154" s="4">
        <v>15</v>
      </c>
      <c r="AN3154" s="4">
        <v>0</v>
      </c>
      <c r="AO3154" s="4">
        <v>0</v>
      </c>
      <c r="AP3154" s="4">
        <v>4</v>
      </c>
      <c r="AQ3154" s="4">
        <v>4</v>
      </c>
      <c r="AR3154" s="3" t="s">
        <v>62</v>
      </c>
      <c r="AS3154" s="3" t="s">
        <v>62</v>
      </c>
      <c r="AT3154" s="3" t="s">
        <v>62</v>
      </c>
      <c r="AV3154" s="6" t="str">
        <f>HYPERLINK("http://mcgill.on.worldcat.org/oclc/647773654","Catalog Record")</f>
        <v>Catalog Record</v>
      </c>
      <c r="AW3154" s="6" t="str">
        <f>HYPERLINK("http://www.worldcat.org/oclc/647773654","WorldCat Record")</f>
        <v>WorldCat Record</v>
      </c>
      <c r="AX3154" s="3" t="s">
        <v>30558</v>
      </c>
      <c r="AY3154" s="3" t="s">
        <v>30559</v>
      </c>
      <c r="AZ3154" s="3" t="s">
        <v>30560</v>
      </c>
      <c r="BA3154" s="3" t="s">
        <v>30560</v>
      </c>
      <c r="BB3154" s="3" t="s">
        <v>30561</v>
      </c>
      <c r="BC3154" s="3" t="s">
        <v>102</v>
      </c>
      <c r="BD3154" s="3" t="s">
        <v>68</v>
      </c>
      <c r="BE3154" s="3" t="s">
        <v>30562</v>
      </c>
      <c r="BF3154" s="3" t="s">
        <v>30561</v>
      </c>
      <c r="BG3154" s="3" t="s">
        <v>30563</v>
      </c>
    </row>
    <row r="3155" spans="1:59" ht="58" x14ac:dyDescent="0.35">
      <c r="A3155" s="2" t="s">
        <v>89</v>
      </c>
      <c r="B3155" s="2" t="s">
        <v>90</v>
      </c>
      <c r="C3155" s="2" t="s">
        <v>30564</v>
      </c>
      <c r="D3155" s="2" t="s">
        <v>30565</v>
      </c>
      <c r="E3155" s="2" t="s">
        <v>30566</v>
      </c>
      <c r="G3155" s="3" t="s">
        <v>62</v>
      </c>
      <c r="I3155" s="3" t="s">
        <v>62</v>
      </c>
      <c r="J3155" s="3" t="s">
        <v>62</v>
      </c>
      <c r="K3155" s="3" t="s">
        <v>63</v>
      </c>
      <c r="M3155" s="2" t="s">
        <v>30567</v>
      </c>
      <c r="N3155" s="3" t="s">
        <v>712</v>
      </c>
      <c r="P3155" s="3" t="s">
        <v>64</v>
      </c>
      <c r="R3155" s="3" t="s">
        <v>27443</v>
      </c>
      <c r="S3155" s="4">
        <v>7</v>
      </c>
      <c r="T3155" s="4">
        <v>7</v>
      </c>
      <c r="U3155" s="5" t="s">
        <v>30568</v>
      </c>
      <c r="V3155" s="5" t="s">
        <v>30568</v>
      </c>
      <c r="W3155" s="5" t="s">
        <v>67</v>
      </c>
      <c r="X3155" s="5" t="s">
        <v>67</v>
      </c>
      <c r="Y3155" s="4">
        <v>132</v>
      </c>
      <c r="Z3155" s="4">
        <v>10</v>
      </c>
      <c r="AA3155" s="4">
        <v>19</v>
      </c>
      <c r="AB3155" s="4">
        <v>1</v>
      </c>
      <c r="AC3155" s="4">
        <v>6</v>
      </c>
      <c r="AD3155" s="4">
        <v>35</v>
      </c>
      <c r="AE3155" s="4">
        <v>52</v>
      </c>
      <c r="AF3155" s="4">
        <v>0</v>
      </c>
      <c r="AG3155" s="4">
        <v>2</v>
      </c>
      <c r="AH3155" s="4">
        <v>32</v>
      </c>
      <c r="AI3155" s="4">
        <v>47</v>
      </c>
      <c r="AJ3155" s="4">
        <v>5</v>
      </c>
      <c r="AK3155" s="4">
        <v>9</v>
      </c>
      <c r="AL3155" s="4">
        <v>21</v>
      </c>
      <c r="AM3155" s="4">
        <v>28</v>
      </c>
      <c r="AN3155" s="4">
        <v>0</v>
      </c>
      <c r="AO3155" s="4">
        <v>0</v>
      </c>
      <c r="AP3155" s="4">
        <v>7</v>
      </c>
      <c r="AQ3155" s="4">
        <v>12</v>
      </c>
      <c r="AR3155" s="3" t="s">
        <v>62</v>
      </c>
      <c r="AS3155" s="3" t="s">
        <v>62</v>
      </c>
      <c r="AT3155" s="3" t="s">
        <v>62</v>
      </c>
      <c r="AV3155" s="6" t="str">
        <f>HYPERLINK("http://mcgill.on.worldcat.org/oclc/858355497","Catalog Record")</f>
        <v>Catalog Record</v>
      </c>
      <c r="AW3155" s="6" t="str">
        <f>HYPERLINK("http://www.worldcat.org/oclc/858355497","WorldCat Record")</f>
        <v>WorldCat Record</v>
      </c>
      <c r="AX3155" s="3" t="s">
        <v>30569</v>
      </c>
      <c r="AY3155" s="3" t="s">
        <v>30570</v>
      </c>
      <c r="AZ3155" s="3" t="s">
        <v>30571</v>
      </c>
      <c r="BA3155" s="3" t="s">
        <v>30571</v>
      </c>
      <c r="BB3155" s="3" t="s">
        <v>30572</v>
      </c>
      <c r="BC3155" s="3" t="s">
        <v>102</v>
      </c>
      <c r="BD3155" s="3" t="s">
        <v>68</v>
      </c>
      <c r="BE3155" s="3" t="s">
        <v>30573</v>
      </c>
      <c r="BF3155" s="3" t="s">
        <v>30572</v>
      </c>
      <c r="BG3155" s="3" t="s">
        <v>30574</v>
      </c>
    </row>
    <row r="3156" spans="1:59" ht="58" x14ac:dyDescent="0.35">
      <c r="A3156" s="2" t="s">
        <v>89</v>
      </c>
      <c r="B3156" s="2" t="s">
        <v>90</v>
      </c>
      <c r="C3156" s="2" t="s">
        <v>30575</v>
      </c>
      <c r="D3156" s="2" t="s">
        <v>30576</v>
      </c>
      <c r="E3156" s="2" t="s">
        <v>30577</v>
      </c>
      <c r="G3156" s="3" t="s">
        <v>62</v>
      </c>
      <c r="I3156" s="3" t="s">
        <v>62</v>
      </c>
      <c r="J3156" s="3" t="s">
        <v>62</v>
      </c>
      <c r="K3156" s="3" t="s">
        <v>63</v>
      </c>
      <c r="M3156" s="2" t="s">
        <v>30578</v>
      </c>
      <c r="N3156" s="3" t="s">
        <v>129</v>
      </c>
      <c r="P3156" s="3" t="s">
        <v>64</v>
      </c>
      <c r="R3156" s="3" t="s">
        <v>27443</v>
      </c>
      <c r="S3156" s="4">
        <v>0</v>
      </c>
      <c r="T3156" s="4">
        <v>0</v>
      </c>
      <c r="W3156" s="5" t="s">
        <v>13420</v>
      </c>
      <c r="X3156" s="5" t="s">
        <v>13420</v>
      </c>
      <c r="Y3156" s="4">
        <v>47</v>
      </c>
      <c r="Z3156" s="4">
        <v>6</v>
      </c>
      <c r="AA3156" s="4">
        <v>7</v>
      </c>
      <c r="AB3156" s="4">
        <v>1</v>
      </c>
      <c r="AC3156" s="4">
        <v>1</v>
      </c>
      <c r="AD3156" s="4">
        <v>24</v>
      </c>
      <c r="AE3156" s="4">
        <v>25</v>
      </c>
      <c r="AF3156" s="4">
        <v>0</v>
      </c>
      <c r="AG3156" s="4">
        <v>0</v>
      </c>
      <c r="AH3156" s="4">
        <v>22</v>
      </c>
      <c r="AI3156" s="4">
        <v>22</v>
      </c>
      <c r="AJ3156" s="4">
        <v>4</v>
      </c>
      <c r="AK3156" s="4">
        <v>5</v>
      </c>
      <c r="AL3156" s="4">
        <v>16</v>
      </c>
      <c r="AM3156" s="4">
        <v>16</v>
      </c>
      <c r="AN3156" s="4">
        <v>0</v>
      </c>
      <c r="AO3156" s="4">
        <v>0</v>
      </c>
      <c r="AP3156" s="4">
        <v>4</v>
      </c>
      <c r="AQ3156" s="4">
        <v>4</v>
      </c>
      <c r="AR3156" s="3" t="s">
        <v>62</v>
      </c>
      <c r="AS3156" s="3" t="s">
        <v>62</v>
      </c>
      <c r="AT3156" s="3" t="s">
        <v>61</v>
      </c>
      <c r="AU3156" s="6" t="str">
        <f>HYPERLINK("http://catalog.hathitrust.org/Record/000923022","HathiTrust Record")</f>
        <v>HathiTrust Record</v>
      </c>
      <c r="AV3156" s="6" t="str">
        <f>HYPERLINK("http://mcgill.on.worldcat.org/oclc/827841726","Catalog Record")</f>
        <v>Catalog Record</v>
      </c>
      <c r="AW3156" s="6" t="str">
        <f>HYPERLINK("http://www.worldcat.org/oclc/827841726","WorldCat Record")</f>
        <v>WorldCat Record</v>
      </c>
      <c r="AX3156" s="3" t="s">
        <v>30579</v>
      </c>
      <c r="AY3156" s="3" t="s">
        <v>30580</v>
      </c>
      <c r="AZ3156" s="3" t="s">
        <v>30581</v>
      </c>
      <c r="BA3156" s="3" t="s">
        <v>30581</v>
      </c>
      <c r="BB3156" s="3" t="s">
        <v>30582</v>
      </c>
      <c r="BC3156" s="3" t="s">
        <v>102</v>
      </c>
      <c r="BD3156" s="3" t="s">
        <v>68</v>
      </c>
      <c r="BE3156" s="3" t="s">
        <v>30583</v>
      </c>
      <c r="BF3156" s="3" t="s">
        <v>30582</v>
      </c>
      <c r="BG3156" s="3" t="s">
        <v>30584</v>
      </c>
    </row>
    <row r="3157" spans="1:59" ht="58" x14ac:dyDescent="0.35">
      <c r="A3157" s="2" t="s">
        <v>89</v>
      </c>
      <c r="B3157" s="2" t="s">
        <v>6124</v>
      </c>
      <c r="C3157" s="2" t="s">
        <v>30585</v>
      </c>
      <c r="D3157" s="2" t="s">
        <v>30586</v>
      </c>
      <c r="E3157" s="2" t="s">
        <v>30587</v>
      </c>
      <c r="G3157" s="3" t="s">
        <v>62</v>
      </c>
      <c r="I3157" s="3" t="s">
        <v>62</v>
      </c>
      <c r="J3157" s="3" t="s">
        <v>62</v>
      </c>
      <c r="K3157" s="3" t="s">
        <v>63</v>
      </c>
      <c r="L3157" s="2" t="s">
        <v>30588</v>
      </c>
      <c r="M3157" s="2" t="s">
        <v>30589</v>
      </c>
      <c r="N3157" s="3" t="s">
        <v>684</v>
      </c>
      <c r="P3157" s="3" t="s">
        <v>64</v>
      </c>
      <c r="Q3157" s="2" t="s">
        <v>30590</v>
      </c>
      <c r="R3157" s="3" t="s">
        <v>27443</v>
      </c>
      <c r="S3157" s="4">
        <v>1</v>
      </c>
      <c r="T3157" s="4">
        <v>1</v>
      </c>
      <c r="U3157" s="5" t="s">
        <v>3303</v>
      </c>
      <c r="V3157" s="5" t="s">
        <v>3303</v>
      </c>
      <c r="W3157" s="5" t="s">
        <v>67</v>
      </c>
      <c r="X3157" s="5" t="s">
        <v>67</v>
      </c>
      <c r="Y3157" s="4">
        <v>140</v>
      </c>
      <c r="Z3157" s="4">
        <v>16</v>
      </c>
      <c r="AA3157" s="4">
        <v>100</v>
      </c>
      <c r="AB3157" s="4">
        <v>2</v>
      </c>
      <c r="AC3157" s="4">
        <v>18</v>
      </c>
      <c r="AD3157" s="4">
        <v>45</v>
      </c>
      <c r="AE3157" s="4">
        <v>116</v>
      </c>
      <c r="AF3157" s="4">
        <v>1</v>
      </c>
      <c r="AG3157" s="4">
        <v>8</v>
      </c>
      <c r="AH3157" s="4">
        <v>37</v>
      </c>
      <c r="AI3157" s="4">
        <v>76</v>
      </c>
      <c r="AJ3157" s="4">
        <v>10</v>
      </c>
      <c r="AK3157" s="4">
        <v>23</v>
      </c>
      <c r="AL3157" s="4">
        <v>19</v>
      </c>
      <c r="AM3157" s="4">
        <v>42</v>
      </c>
      <c r="AN3157" s="4">
        <v>0</v>
      </c>
      <c r="AO3157" s="4">
        <v>0</v>
      </c>
      <c r="AP3157" s="4">
        <v>13</v>
      </c>
      <c r="AQ3157" s="4">
        <v>47</v>
      </c>
      <c r="AR3157" s="3" t="s">
        <v>62</v>
      </c>
      <c r="AS3157" s="3" t="s">
        <v>62</v>
      </c>
      <c r="AT3157" s="3" t="s">
        <v>62</v>
      </c>
      <c r="AV3157" s="6" t="str">
        <f>HYPERLINK("http://mcgill.on.worldcat.org/oclc/705717052","Catalog Record")</f>
        <v>Catalog Record</v>
      </c>
      <c r="AW3157" s="6" t="str">
        <f>HYPERLINK("http://www.worldcat.org/oclc/705717052","WorldCat Record")</f>
        <v>WorldCat Record</v>
      </c>
      <c r="AX3157" s="3" t="s">
        <v>30591</v>
      </c>
      <c r="AY3157" s="3" t="s">
        <v>30592</v>
      </c>
      <c r="AZ3157" s="3" t="s">
        <v>30593</v>
      </c>
      <c r="BA3157" s="3" t="s">
        <v>30593</v>
      </c>
      <c r="BB3157" s="3" t="s">
        <v>30594</v>
      </c>
      <c r="BC3157" s="3" t="s">
        <v>102</v>
      </c>
      <c r="BD3157" s="3" t="s">
        <v>1135</v>
      </c>
      <c r="BE3157" s="3" t="s">
        <v>30595</v>
      </c>
      <c r="BF3157" s="3" t="s">
        <v>30594</v>
      </c>
      <c r="BG3157" s="3" t="s">
        <v>30596</v>
      </c>
    </row>
    <row r="3158" spans="1:59" ht="58" x14ac:dyDescent="0.35">
      <c r="A3158" s="2" t="s">
        <v>89</v>
      </c>
      <c r="B3158" s="2" t="s">
        <v>90</v>
      </c>
      <c r="C3158" s="2" t="s">
        <v>30597</v>
      </c>
      <c r="D3158" s="2" t="s">
        <v>30598</v>
      </c>
      <c r="E3158" s="2" t="s">
        <v>30599</v>
      </c>
      <c r="G3158" s="3" t="s">
        <v>62</v>
      </c>
      <c r="I3158" s="3" t="s">
        <v>62</v>
      </c>
      <c r="J3158" s="3" t="s">
        <v>62</v>
      </c>
      <c r="K3158" s="3" t="s">
        <v>63</v>
      </c>
      <c r="L3158" s="2" t="s">
        <v>30600</v>
      </c>
      <c r="M3158" s="2" t="s">
        <v>30601</v>
      </c>
      <c r="N3158" s="3" t="s">
        <v>684</v>
      </c>
      <c r="P3158" s="3" t="s">
        <v>64</v>
      </c>
      <c r="R3158" s="3" t="s">
        <v>27443</v>
      </c>
      <c r="S3158" s="4">
        <v>5</v>
      </c>
      <c r="T3158" s="4">
        <v>5</v>
      </c>
      <c r="U3158" s="5" t="s">
        <v>6726</v>
      </c>
      <c r="V3158" s="5" t="s">
        <v>6726</v>
      </c>
      <c r="W3158" s="5" t="s">
        <v>67</v>
      </c>
      <c r="X3158" s="5" t="s">
        <v>67</v>
      </c>
      <c r="Y3158" s="4">
        <v>141</v>
      </c>
      <c r="Z3158" s="4">
        <v>19</v>
      </c>
      <c r="AA3158" s="4">
        <v>22</v>
      </c>
      <c r="AB3158" s="4">
        <v>1</v>
      </c>
      <c r="AC3158" s="4">
        <v>2</v>
      </c>
      <c r="AD3158" s="4">
        <v>57</v>
      </c>
      <c r="AE3158" s="4">
        <v>65</v>
      </c>
      <c r="AF3158" s="4">
        <v>0</v>
      </c>
      <c r="AG3158" s="4">
        <v>0</v>
      </c>
      <c r="AH3158" s="4">
        <v>51</v>
      </c>
      <c r="AI3158" s="4">
        <v>58</v>
      </c>
      <c r="AJ3158" s="4">
        <v>13</v>
      </c>
      <c r="AK3158" s="4">
        <v>13</v>
      </c>
      <c r="AL3158" s="4">
        <v>28</v>
      </c>
      <c r="AM3158" s="4">
        <v>32</v>
      </c>
      <c r="AN3158" s="4">
        <v>0</v>
      </c>
      <c r="AO3158" s="4">
        <v>0</v>
      </c>
      <c r="AP3158" s="4">
        <v>16</v>
      </c>
      <c r="AQ3158" s="4">
        <v>17</v>
      </c>
      <c r="AR3158" s="3" t="s">
        <v>62</v>
      </c>
      <c r="AS3158" s="3" t="s">
        <v>62</v>
      </c>
      <c r="AT3158" s="3" t="s">
        <v>62</v>
      </c>
      <c r="AV3158" s="6" t="str">
        <f>HYPERLINK("http://mcgill.on.worldcat.org/oclc/698332248","Catalog Record")</f>
        <v>Catalog Record</v>
      </c>
      <c r="AW3158" s="6" t="str">
        <f>HYPERLINK("http://www.worldcat.org/oclc/698332248","WorldCat Record")</f>
        <v>WorldCat Record</v>
      </c>
      <c r="AX3158" s="3" t="s">
        <v>30602</v>
      </c>
      <c r="AY3158" s="3" t="s">
        <v>30603</v>
      </c>
      <c r="AZ3158" s="3" t="s">
        <v>30604</v>
      </c>
      <c r="BA3158" s="3" t="s">
        <v>30604</v>
      </c>
      <c r="BB3158" s="3" t="s">
        <v>30605</v>
      </c>
      <c r="BC3158" s="3" t="s">
        <v>102</v>
      </c>
      <c r="BD3158" s="3" t="s">
        <v>231</v>
      </c>
      <c r="BE3158" s="3" t="s">
        <v>30606</v>
      </c>
      <c r="BF3158" s="3" t="s">
        <v>30605</v>
      </c>
      <c r="BG3158" s="3" t="s">
        <v>30607</v>
      </c>
    </row>
    <row r="3159" spans="1:59" ht="58" x14ac:dyDescent="0.35">
      <c r="A3159" s="2" t="s">
        <v>89</v>
      </c>
      <c r="B3159" s="2" t="s">
        <v>90</v>
      </c>
      <c r="C3159" s="2" t="s">
        <v>30608</v>
      </c>
      <c r="D3159" s="2" t="s">
        <v>30609</v>
      </c>
      <c r="E3159" s="2" t="s">
        <v>30610</v>
      </c>
      <c r="G3159" s="3" t="s">
        <v>62</v>
      </c>
      <c r="I3159" s="3" t="s">
        <v>62</v>
      </c>
      <c r="J3159" s="3" t="s">
        <v>62</v>
      </c>
      <c r="K3159" s="3" t="s">
        <v>63</v>
      </c>
      <c r="L3159" s="2" t="s">
        <v>30611</v>
      </c>
      <c r="M3159" s="2" t="s">
        <v>11009</v>
      </c>
      <c r="N3159" s="3" t="s">
        <v>1455</v>
      </c>
      <c r="P3159" s="3" t="s">
        <v>64</v>
      </c>
      <c r="Q3159" s="2" t="s">
        <v>30612</v>
      </c>
      <c r="R3159" s="3" t="s">
        <v>27443</v>
      </c>
      <c r="S3159" s="4">
        <v>0</v>
      </c>
      <c r="T3159" s="4">
        <v>0</v>
      </c>
      <c r="W3159" s="5" t="s">
        <v>67</v>
      </c>
      <c r="X3159" s="5" t="s">
        <v>67</v>
      </c>
      <c r="Y3159" s="4">
        <v>65</v>
      </c>
      <c r="Z3159" s="4">
        <v>6</v>
      </c>
      <c r="AA3159" s="4">
        <v>13</v>
      </c>
      <c r="AB3159" s="4">
        <v>1</v>
      </c>
      <c r="AC3159" s="4">
        <v>4</v>
      </c>
      <c r="AD3159" s="4">
        <v>22</v>
      </c>
      <c r="AE3159" s="4">
        <v>39</v>
      </c>
      <c r="AF3159" s="4">
        <v>0</v>
      </c>
      <c r="AG3159" s="4">
        <v>0</v>
      </c>
      <c r="AH3159" s="4">
        <v>20</v>
      </c>
      <c r="AI3159" s="4">
        <v>35</v>
      </c>
      <c r="AJ3159" s="4">
        <v>4</v>
      </c>
      <c r="AK3159" s="4">
        <v>7</v>
      </c>
      <c r="AL3159" s="4">
        <v>14</v>
      </c>
      <c r="AM3159" s="4">
        <v>24</v>
      </c>
      <c r="AN3159" s="4">
        <v>0</v>
      </c>
      <c r="AO3159" s="4">
        <v>0</v>
      </c>
      <c r="AP3159" s="4">
        <v>4</v>
      </c>
      <c r="AQ3159" s="4">
        <v>8</v>
      </c>
      <c r="AR3159" s="3" t="s">
        <v>62</v>
      </c>
      <c r="AS3159" s="3" t="s">
        <v>62</v>
      </c>
      <c r="AT3159" s="3" t="s">
        <v>62</v>
      </c>
      <c r="AV3159" s="6" t="str">
        <f>HYPERLINK("http://mcgill.on.worldcat.org/oclc/896601651","Catalog Record")</f>
        <v>Catalog Record</v>
      </c>
      <c r="AW3159" s="6" t="str">
        <f>HYPERLINK("http://www.worldcat.org/oclc/896601651","WorldCat Record")</f>
        <v>WorldCat Record</v>
      </c>
      <c r="AX3159" s="3" t="s">
        <v>30613</v>
      </c>
      <c r="AY3159" s="3" t="s">
        <v>30614</v>
      </c>
      <c r="AZ3159" s="3" t="s">
        <v>30615</v>
      </c>
      <c r="BA3159" s="3" t="s">
        <v>30615</v>
      </c>
      <c r="BB3159" s="3" t="s">
        <v>30616</v>
      </c>
      <c r="BC3159" s="3" t="s">
        <v>102</v>
      </c>
      <c r="BD3159" s="3" t="s">
        <v>68</v>
      </c>
      <c r="BE3159" s="3" t="s">
        <v>30617</v>
      </c>
      <c r="BF3159" s="3" t="s">
        <v>30616</v>
      </c>
      <c r="BG3159" s="3" t="s">
        <v>30618</v>
      </c>
    </row>
    <row r="3160" spans="1:59" ht="58" x14ac:dyDescent="0.35">
      <c r="A3160" s="2" t="s">
        <v>89</v>
      </c>
      <c r="B3160" s="2" t="s">
        <v>90</v>
      </c>
      <c r="C3160" s="2" t="s">
        <v>30619</v>
      </c>
      <c r="D3160" s="2" t="s">
        <v>30620</v>
      </c>
      <c r="E3160" s="2" t="s">
        <v>30621</v>
      </c>
      <c r="G3160" s="3" t="s">
        <v>62</v>
      </c>
      <c r="I3160" s="3" t="s">
        <v>61</v>
      </c>
      <c r="J3160" s="3" t="s">
        <v>62</v>
      </c>
      <c r="K3160" s="3" t="s">
        <v>63</v>
      </c>
      <c r="L3160" s="2" t="s">
        <v>30622</v>
      </c>
      <c r="M3160" s="2" t="s">
        <v>30623</v>
      </c>
      <c r="N3160" s="3" t="s">
        <v>880</v>
      </c>
      <c r="P3160" s="3" t="s">
        <v>64</v>
      </c>
      <c r="R3160" s="3" t="s">
        <v>27443</v>
      </c>
      <c r="S3160" s="4">
        <v>7</v>
      </c>
      <c r="T3160" s="4">
        <v>13</v>
      </c>
      <c r="U3160" s="5" t="s">
        <v>20689</v>
      </c>
      <c r="V3160" s="5" t="s">
        <v>20689</v>
      </c>
      <c r="W3160" s="5" t="s">
        <v>67</v>
      </c>
      <c r="X3160" s="5" t="s">
        <v>67</v>
      </c>
      <c r="Y3160" s="4">
        <v>402</v>
      </c>
      <c r="Z3160" s="4">
        <v>42</v>
      </c>
      <c r="AA3160" s="4">
        <v>53</v>
      </c>
      <c r="AB3160" s="4">
        <v>3</v>
      </c>
      <c r="AC3160" s="4">
        <v>7</v>
      </c>
      <c r="AD3160" s="4">
        <v>70</v>
      </c>
      <c r="AE3160" s="4">
        <v>88</v>
      </c>
      <c r="AF3160" s="4">
        <v>1</v>
      </c>
      <c r="AG3160" s="4">
        <v>2</v>
      </c>
      <c r="AH3160" s="4">
        <v>50</v>
      </c>
      <c r="AI3160" s="4">
        <v>64</v>
      </c>
      <c r="AJ3160" s="4">
        <v>17</v>
      </c>
      <c r="AK3160" s="4">
        <v>21</v>
      </c>
      <c r="AL3160" s="4">
        <v>30</v>
      </c>
      <c r="AM3160" s="4">
        <v>35</v>
      </c>
      <c r="AN3160" s="4">
        <v>0</v>
      </c>
      <c r="AO3160" s="4">
        <v>0</v>
      </c>
      <c r="AP3160" s="4">
        <v>28</v>
      </c>
      <c r="AQ3160" s="4">
        <v>33</v>
      </c>
      <c r="AR3160" s="3" t="s">
        <v>62</v>
      </c>
      <c r="AS3160" s="3" t="s">
        <v>62</v>
      </c>
      <c r="AT3160" s="3" t="s">
        <v>62</v>
      </c>
      <c r="AV3160" s="6" t="str">
        <f>HYPERLINK("http://mcgill.on.worldcat.org/oclc/320189778","Catalog Record")</f>
        <v>Catalog Record</v>
      </c>
      <c r="AW3160" s="6" t="str">
        <f>HYPERLINK("http://www.worldcat.org/oclc/320189778","WorldCat Record")</f>
        <v>WorldCat Record</v>
      </c>
      <c r="AX3160" s="3" t="s">
        <v>30624</v>
      </c>
      <c r="AY3160" s="3" t="s">
        <v>30625</v>
      </c>
      <c r="AZ3160" s="3" t="s">
        <v>30626</v>
      </c>
      <c r="BA3160" s="3" t="s">
        <v>30626</v>
      </c>
      <c r="BB3160" s="3" t="s">
        <v>30627</v>
      </c>
      <c r="BC3160" s="3" t="s">
        <v>102</v>
      </c>
      <c r="BD3160" s="3" t="s">
        <v>68</v>
      </c>
      <c r="BE3160" s="3" t="s">
        <v>30628</v>
      </c>
      <c r="BF3160" s="3" t="s">
        <v>30627</v>
      </c>
      <c r="BG3160" s="3" t="s">
        <v>30629</v>
      </c>
    </row>
    <row r="3161" spans="1:59" ht="58" x14ac:dyDescent="0.35">
      <c r="A3161" s="2" t="s">
        <v>89</v>
      </c>
      <c r="B3161" s="2" t="s">
        <v>90</v>
      </c>
      <c r="C3161" s="2" t="s">
        <v>30630</v>
      </c>
      <c r="D3161" s="2" t="s">
        <v>30631</v>
      </c>
      <c r="E3161" s="2" t="s">
        <v>30632</v>
      </c>
      <c r="G3161" s="3" t="s">
        <v>62</v>
      </c>
      <c r="I3161" s="3" t="s">
        <v>62</v>
      </c>
      <c r="J3161" s="3" t="s">
        <v>62</v>
      </c>
      <c r="K3161" s="3" t="s">
        <v>63</v>
      </c>
      <c r="M3161" s="2" t="s">
        <v>30633</v>
      </c>
      <c r="N3161" s="3" t="s">
        <v>880</v>
      </c>
      <c r="P3161" s="3" t="s">
        <v>64</v>
      </c>
      <c r="Q3161" s="2" t="s">
        <v>30634</v>
      </c>
      <c r="R3161" s="3" t="s">
        <v>27443</v>
      </c>
      <c r="S3161" s="4">
        <v>1</v>
      </c>
      <c r="T3161" s="4">
        <v>1</v>
      </c>
      <c r="U3161" s="5" t="s">
        <v>30635</v>
      </c>
      <c r="V3161" s="5" t="s">
        <v>30635</v>
      </c>
      <c r="W3161" s="5" t="s">
        <v>67</v>
      </c>
      <c r="X3161" s="5" t="s">
        <v>67</v>
      </c>
      <c r="Y3161" s="4">
        <v>23</v>
      </c>
      <c r="Z3161" s="4">
        <v>4</v>
      </c>
      <c r="AA3161" s="4">
        <v>4</v>
      </c>
      <c r="AB3161" s="4">
        <v>1</v>
      </c>
      <c r="AC3161" s="4">
        <v>1</v>
      </c>
      <c r="AD3161" s="4">
        <v>13</v>
      </c>
      <c r="AE3161" s="4">
        <v>13</v>
      </c>
      <c r="AF3161" s="4">
        <v>0</v>
      </c>
      <c r="AG3161" s="4">
        <v>0</v>
      </c>
      <c r="AH3161" s="4">
        <v>12</v>
      </c>
      <c r="AI3161" s="4">
        <v>12</v>
      </c>
      <c r="AJ3161" s="4">
        <v>3</v>
      </c>
      <c r="AK3161" s="4">
        <v>3</v>
      </c>
      <c r="AL3161" s="4">
        <v>8</v>
      </c>
      <c r="AM3161" s="4">
        <v>8</v>
      </c>
      <c r="AN3161" s="4">
        <v>0</v>
      </c>
      <c r="AO3161" s="4">
        <v>0</v>
      </c>
      <c r="AP3161" s="4">
        <v>3</v>
      </c>
      <c r="AQ3161" s="4">
        <v>3</v>
      </c>
      <c r="AR3161" s="3" t="s">
        <v>62</v>
      </c>
      <c r="AS3161" s="3" t="s">
        <v>62</v>
      </c>
      <c r="AT3161" s="3" t="s">
        <v>62</v>
      </c>
      <c r="AV3161" s="6" t="str">
        <f>HYPERLINK("http://mcgill.on.worldcat.org/oclc/746897306","Catalog Record")</f>
        <v>Catalog Record</v>
      </c>
      <c r="AW3161" s="6" t="str">
        <f>HYPERLINK("http://www.worldcat.org/oclc/746897306","WorldCat Record")</f>
        <v>WorldCat Record</v>
      </c>
      <c r="AX3161" s="3" t="s">
        <v>30636</v>
      </c>
      <c r="AY3161" s="3" t="s">
        <v>30637</v>
      </c>
      <c r="AZ3161" s="3" t="s">
        <v>30638</v>
      </c>
      <c r="BA3161" s="3" t="s">
        <v>30638</v>
      </c>
      <c r="BB3161" s="3" t="s">
        <v>30639</v>
      </c>
      <c r="BC3161" s="3" t="s">
        <v>102</v>
      </c>
      <c r="BD3161" s="3" t="s">
        <v>68</v>
      </c>
      <c r="BE3161" s="3" t="s">
        <v>30640</v>
      </c>
      <c r="BF3161" s="3" t="s">
        <v>30639</v>
      </c>
      <c r="BG3161" s="3" t="s">
        <v>30641</v>
      </c>
    </row>
    <row r="3162" spans="1:59" ht="58" x14ac:dyDescent="0.35">
      <c r="A3162" s="2" t="s">
        <v>89</v>
      </c>
      <c r="B3162" s="2" t="s">
        <v>90</v>
      </c>
      <c r="C3162" s="2" t="s">
        <v>30642</v>
      </c>
      <c r="D3162" s="2" t="s">
        <v>30643</v>
      </c>
      <c r="E3162" s="2" t="s">
        <v>30644</v>
      </c>
      <c r="G3162" s="3" t="s">
        <v>62</v>
      </c>
      <c r="I3162" s="3" t="s">
        <v>62</v>
      </c>
      <c r="J3162" s="3" t="s">
        <v>62</v>
      </c>
      <c r="K3162" s="3" t="s">
        <v>63</v>
      </c>
      <c r="L3162" s="2" t="s">
        <v>30645</v>
      </c>
      <c r="M3162" s="2" t="s">
        <v>30646</v>
      </c>
      <c r="N3162" s="3" t="s">
        <v>1455</v>
      </c>
      <c r="P3162" s="3" t="s">
        <v>64</v>
      </c>
      <c r="R3162" s="3" t="s">
        <v>27443</v>
      </c>
      <c r="S3162" s="4">
        <v>3</v>
      </c>
      <c r="T3162" s="4">
        <v>3</v>
      </c>
      <c r="U3162" s="5" t="s">
        <v>80</v>
      </c>
      <c r="V3162" s="5" t="s">
        <v>80</v>
      </c>
      <c r="W3162" s="5" t="s">
        <v>67</v>
      </c>
      <c r="X3162" s="5" t="s">
        <v>67</v>
      </c>
      <c r="Y3162" s="4">
        <v>30</v>
      </c>
      <c r="Z3162" s="4">
        <v>6</v>
      </c>
      <c r="AA3162" s="4">
        <v>7</v>
      </c>
      <c r="AB3162" s="4">
        <v>1</v>
      </c>
      <c r="AC3162" s="4">
        <v>2</v>
      </c>
      <c r="AD3162" s="4">
        <v>13</v>
      </c>
      <c r="AE3162" s="4">
        <v>14</v>
      </c>
      <c r="AF3162" s="4">
        <v>0</v>
      </c>
      <c r="AG3162" s="4">
        <v>0</v>
      </c>
      <c r="AH3162" s="4">
        <v>12</v>
      </c>
      <c r="AI3162" s="4">
        <v>13</v>
      </c>
      <c r="AJ3162" s="4">
        <v>2</v>
      </c>
      <c r="AK3162" s="4">
        <v>2</v>
      </c>
      <c r="AL3162" s="4">
        <v>10</v>
      </c>
      <c r="AM3162" s="4">
        <v>10</v>
      </c>
      <c r="AN3162" s="4">
        <v>0</v>
      </c>
      <c r="AO3162" s="4">
        <v>0</v>
      </c>
      <c r="AP3162" s="4">
        <v>3</v>
      </c>
      <c r="AQ3162" s="4">
        <v>3</v>
      </c>
      <c r="AR3162" s="3" t="s">
        <v>62</v>
      </c>
      <c r="AS3162" s="3" t="s">
        <v>62</v>
      </c>
      <c r="AT3162" s="3" t="s">
        <v>62</v>
      </c>
      <c r="AV3162" s="6" t="str">
        <f>HYPERLINK("http://mcgill.on.worldcat.org/oclc/900121388","Catalog Record")</f>
        <v>Catalog Record</v>
      </c>
      <c r="AW3162" s="6" t="str">
        <f>HYPERLINK("http://www.worldcat.org/oclc/900121388","WorldCat Record")</f>
        <v>WorldCat Record</v>
      </c>
      <c r="AX3162" s="3" t="s">
        <v>30647</v>
      </c>
      <c r="AY3162" s="3" t="s">
        <v>30648</v>
      </c>
      <c r="AZ3162" s="3" t="s">
        <v>30649</v>
      </c>
      <c r="BA3162" s="3" t="s">
        <v>30649</v>
      </c>
      <c r="BB3162" s="3" t="s">
        <v>30650</v>
      </c>
      <c r="BC3162" s="3" t="s">
        <v>102</v>
      </c>
      <c r="BD3162" s="3" t="s">
        <v>68</v>
      </c>
      <c r="BE3162" s="3" t="s">
        <v>30651</v>
      </c>
      <c r="BF3162" s="3" t="s">
        <v>30650</v>
      </c>
      <c r="BG3162" s="3" t="s">
        <v>30652</v>
      </c>
    </row>
    <row r="3163" spans="1:59" ht="58" x14ac:dyDescent="0.35">
      <c r="A3163" s="2" t="s">
        <v>89</v>
      </c>
      <c r="B3163" s="2" t="s">
        <v>90</v>
      </c>
      <c r="C3163" s="2" t="s">
        <v>30653</v>
      </c>
      <c r="D3163" s="2" t="s">
        <v>30654</v>
      </c>
      <c r="E3163" s="2" t="s">
        <v>30655</v>
      </c>
      <c r="G3163" s="3" t="s">
        <v>62</v>
      </c>
      <c r="I3163" s="3" t="s">
        <v>62</v>
      </c>
      <c r="J3163" s="3" t="s">
        <v>62</v>
      </c>
      <c r="K3163" s="3" t="s">
        <v>63</v>
      </c>
      <c r="L3163" s="2" t="s">
        <v>30656</v>
      </c>
      <c r="M3163" s="2" t="s">
        <v>30657</v>
      </c>
      <c r="N3163" s="3" t="s">
        <v>712</v>
      </c>
      <c r="P3163" s="3" t="s">
        <v>64</v>
      </c>
      <c r="Q3163" s="2" t="s">
        <v>30658</v>
      </c>
      <c r="R3163" s="3" t="s">
        <v>27443</v>
      </c>
      <c r="S3163" s="4">
        <v>1</v>
      </c>
      <c r="T3163" s="4">
        <v>1</v>
      </c>
      <c r="U3163" s="5" t="s">
        <v>4607</v>
      </c>
      <c r="V3163" s="5" t="s">
        <v>4607</v>
      </c>
      <c r="W3163" s="5" t="s">
        <v>67</v>
      </c>
      <c r="X3163" s="5" t="s">
        <v>67</v>
      </c>
      <c r="Y3163" s="4">
        <v>74</v>
      </c>
      <c r="Z3163" s="4">
        <v>9</v>
      </c>
      <c r="AA3163" s="4">
        <v>15</v>
      </c>
      <c r="AB3163" s="4">
        <v>1</v>
      </c>
      <c r="AC3163" s="4">
        <v>4</v>
      </c>
      <c r="AD3163" s="4">
        <v>28</v>
      </c>
      <c r="AE3163" s="4">
        <v>44</v>
      </c>
      <c r="AF3163" s="4">
        <v>0</v>
      </c>
      <c r="AG3163" s="4">
        <v>0</v>
      </c>
      <c r="AH3163" s="4">
        <v>24</v>
      </c>
      <c r="AI3163" s="4">
        <v>38</v>
      </c>
      <c r="AJ3163" s="4">
        <v>6</v>
      </c>
      <c r="AK3163" s="4">
        <v>8</v>
      </c>
      <c r="AL3163" s="4">
        <v>17</v>
      </c>
      <c r="AM3163" s="4">
        <v>27</v>
      </c>
      <c r="AN3163" s="4">
        <v>0</v>
      </c>
      <c r="AO3163" s="4">
        <v>0</v>
      </c>
      <c r="AP3163" s="4">
        <v>7</v>
      </c>
      <c r="AQ3163" s="4">
        <v>10</v>
      </c>
      <c r="AR3163" s="3" t="s">
        <v>62</v>
      </c>
      <c r="AS3163" s="3" t="s">
        <v>62</v>
      </c>
      <c r="AT3163" s="3" t="s">
        <v>62</v>
      </c>
      <c r="AV3163" s="6" t="str">
        <f>HYPERLINK("http://mcgill.on.worldcat.org/oclc/855977444","Catalog Record")</f>
        <v>Catalog Record</v>
      </c>
      <c r="AW3163" s="6" t="str">
        <f>HYPERLINK("http://www.worldcat.org/oclc/855977444","WorldCat Record")</f>
        <v>WorldCat Record</v>
      </c>
      <c r="AX3163" s="3" t="s">
        <v>30659</v>
      </c>
      <c r="AY3163" s="3" t="s">
        <v>30660</v>
      </c>
      <c r="AZ3163" s="3" t="s">
        <v>30661</v>
      </c>
      <c r="BA3163" s="3" t="s">
        <v>30661</v>
      </c>
      <c r="BB3163" s="3" t="s">
        <v>30662</v>
      </c>
      <c r="BC3163" s="3" t="s">
        <v>102</v>
      </c>
      <c r="BD3163" s="3" t="s">
        <v>68</v>
      </c>
      <c r="BE3163" s="3" t="s">
        <v>30663</v>
      </c>
      <c r="BF3163" s="3" t="s">
        <v>30662</v>
      </c>
      <c r="BG3163" s="3" t="s">
        <v>30664</v>
      </c>
    </row>
    <row r="3164" spans="1:59" ht="58" x14ac:dyDescent="0.35">
      <c r="A3164" s="2" t="s">
        <v>89</v>
      </c>
      <c r="B3164" s="2" t="s">
        <v>90</v>
      </c>
      <c r="C3164" s="2" t="s">
        <v>30665</v>
      </c>
      <c r="D3164" s="2" t="s">
        <v>30666</v>
      </c>
      <c r="E3164" s="2" t="s">
        <v>30667</v>
      </c>
      <c r="G3164" s="3" t="s">
        <v>62</v>
      </c>
      <c r="I3164" s="3" t="s">
        <v>62</v>
      </c>
      <c r="J3164" s="3" t="s">
        <v>62</v>
      </c>
      <c r="K3164" s="3" t="s">
        <v>63</v>
      </c>
      <c r="L3164" s="2" t="s">
        <v>30668</v>
      </c>
      <c r="M3164" s="2" t="s">
        <v>30669</v>
      </c>
      <c r="N3164" s="3" t="s">
        <v>1455</v>
      </c>
      <c r="P3164" s="3" t="s">
        <v>64</v>
      </c>
      <c r="Q3164" s="2" t="s">
        <v>30670</v>
      </c>
      <c r="R3164" s="3" t="s">
        <v>27443</v>
      </c>
      <c r="S3164" s="4">
        <v>2</v>
      </c>
      <c r="T3164" s="4">
        <v>2</v>
      </c>
      <c r="U3164" s="5" t="s">
        <v>6556</v>
      </c>
      <c r="V3164" s="5" t="s">
        <v>6556</v>
      </c>
      <c r="W3164" s="5" t="s">
        <v>67</v>
      </c>
      <c r="X3164" s="5" t="s">
        <v>67</v>
      </c>
      <c r="Y3164" s="4">
        <v>67</v>
      </c>
      <c r="Z3164" s="4">
        <v>11</v>
      </c>
      <c r="AA3164" s="4">
        <v>18</v>
      </c>
      <c r="AB3164" s="4">
        <v>1</v>
      </c>
      <c r="AC3164" s="4">
        <v>4</v>
      </c>
      <c r="AD3164" s="4">
        <v>30</v>
      </c>
      <c r="AE3164" s="4">
        <v>46</v>
      </c>
      <c r="AF3164" s="4">
        <v>0</v>
      </c>
      <c r="AG3164" s="4">
        <v>0</v>
      </c>
      <c r="AH3164" s="4">
        <v>26</v>
      </c>
      <c r="AI3164" s="4">
        <v>41</v>
      </c>
      <c r="AJ3164" s="4">
        <v>4</v>
      </c>
      <c r="AK3164" s="4">
        <v>8</v>
      </c>
      <c r="AL3164" s="4">
        <v>19</v>
      </c>
      <c r="AM3164" s="4">
        <v>27</v>
      </c>
      <c r="AN3164" s="4">
        <v>0</v>
      </c>
      <c r="AO3164" s="4">
        <v>0</v>
      </c>
      <c r="AP3164" s="4">
        <v>6</v>
      </c>
      <c r="AQ3164" s="4">
        <v>10</v>
      </c>
      <c r="AR3164" s="3" t="s">
        <v>62</v>
      </c>
      <c r="AS3164" s="3" t="s">
        <v>62</v>
      </c>
      <c r="AT3164" s="3" t="s">
        <v>62</v>
      </c>
      <c r="AV3164" s="6" t="str">
        <f>HYPERLINK("http://mcgill.on.worldcat.org/oclc/910826848","Catalog Record")</f>
        <v>Catalog Record</v>
      </c>
      <c r="AW3164" s="6" t="str">
        <f>HYPERLINK("http://www.worldcat.org/oclc/910826848","WorldCat Record")</f>
        <v>WorldCat Record</v>
      </c>
      <c r="AX3164" s="3" t="s">
        <v>30671</v>
      </c>
      <c r="AY3164" s="3" t="s">
        <v>30672</v>
      </c>
      <c r="AZ3164" s="3" t="s">
        <v>30673</v>
      </c>
      <c r="BA3164" s="3" t="s">
        <v>30673</v>
      </c>
      <c r="BB3164" s="3" t="s">
        <v>30674</v>
      </c>
      <c r="BC3164" s="3" t="s">
        <v>102</v>
      </c>
      <c r="BD3164" s="3" t="s">
        <v>68</v>
      </c>
      <c r="BE3164" s="3" t="s">
        <v>30675</v>
      </c>
      <c r="BF3164" s="3" t="s">
        <v>30674</v>
      </c>
      <c r="BG3164" s="3" t="s">
        <v>30676</v>
      </c>
    </row>
    <row r="3165" spans="1:59" ht="58" x14ac:dyDescent="0.35">
      <c r="A3165" s="2" t="s">
        <v>89</v>
      </c>
      <c r="B3165" s="2" t="s">
        <v>90</v>
      </c>
      <c r="C3165" s="2" t="s">
        <v>30677</v>
      </c>
      <c r="D3165" s="2" t="s">
        <v>30678</v>
      </c>
      <c r="E3165" s="2" t="s">
        <v>30679</v>
      </c>
      <c r="G3165" s="3" t="s">
        <v>62</v>
      </c>
      <c r="I3165" s="3" t="s">
        <v>61</v>
      </c>
      <c r="J3165" s="3" t="s">
        <v>62</v>
      </c>
      <c r="K3165" s="3" t="s">
        <v>63</v>
      </c>
      <c r="L3165" s="2" t="s">
        <v>30680</v>
      </c>
      <c r="M3165" s="2" t="s">
        <v>30681</v>
      </c>
      <c r="N3165" s="3" t="s">
        <v>712</v>
      </c>
      <c r="P3165" s="3" t="s">
        <v>64</v>
      </c>
      <c r="R3165" s="3" t="s">
        <v>27443</v>
      </c>
      <c r="S3165" s="4">
        <v>45</v>
      </c>
      <c r="T3165" s="4">
        <v>86</v>
      </c>
      <c r="U3165" s="5" t="s">
        <v>30682</v>
      </c>
      <c r="V3165" s="5" t="s">
        <v>30682</v>
      </c>
      <c r="W3165" s="5" t="s">
        <v>67</v>
      </c>
      <c r="X3165" s="5" t="s">
        <v>67</v>
      </c>
      <c r="Y3165" s="4">
        <v>141</v>
      </c>
      <c r="Z3165" s="4">
        <v>78</v>
      </c>
      <c r="AA3165" s="4">
        <v>176</v>
      </c>
      <c r="AB3165" s="4">
        <v>6</v>
      </c>
      <c r="AC3165" s="4">
        <v>24</v>
      </c>
      <c r="AD3165" s="4">
        <v>30</v>
      </c>
      <c r="AE3165" s="4">
        <v>161</v>
      </c>
      <c r="AF3165" s="4">
        <v>1</v>
      </c>
      <c r="AG3165" s="4">
        <v>9</v>
      </c>
      <c r="AH3165" s="4">
        <v>11</v>
      </c>
      <c r="AI3165" s="4">
        <v>110</v>
      </c>
      <c r="AJ3165" s="4">
        <v>8</v>
      </c>
      <c r="AK3165" s="4">
        <v>27</v>
      </c>
      <c r="AL3165" s="4">
        <v>5</v>
      </c>
      <c r="AM3165" s="4">
        <v>61</v>
      </c>
      <c r="AN3165" s="4">
        <v>0</v>
      </c>
      <c r="AO3165" s="4">
        <v>0</v>
      </c>
      <c r="AP3165" s="4">
        <v>23</v>
      </c>
      <c r="AQ3165" s="4">
        <v>55</v>
      </c>
      <c r="AR3165" s="3" t="s">
        <v>61</v>
      </c>
      <c r="AS3165" s="3" t="s">
        <v>62</v>
      </c>
      <c r="AT3165" s="3" t="s">
        <v>62</v>
      </c>
      <c r="AV3165" s="6" t="str">
        <f>HYPERLINK("http://mcgill.on.worldcat.org/oclc/878183175","Catalog Record")</f>
        <v>Catalog Record</v>
      </c>
      <c r="AW3165" s="6" t="str">
        <f>HYPERLINK("http://www.worldcat.org/oclc/878183175","WorldCat Record")</f>
        <v>WorldCat Record</v>
      </c>
      <c r="AX3165" s="3" t="s">
        <v>30683</v>
      </c>
      <c r="AY3165" s="3" t="s">
        <v>30684</v>
      </c>
      <c r="AZ3165" s="3" t="s">
        <v>30685</v>
      </c>
      <c r="BA3165" s="3" t="s">
        <v>30685</v>
      </c>
      <c r="BB3165" s="3" t="s">
        <v>30686</v>
      </c>
      <c r="BC3165" s="3" t="s">
        <v>102</v>
      </c>
      <c r="BD3165" s="3" t="s">
        <v>231</v>
      </c>
      <c r="BE3165" s="3" t="s">
        <v>30687</v>
      </c>
      <c r="BF3165" s="3" t="s">
        <v>30686</v>
      </c>
      <c r="BG3165" s="3" t="s">
        <v>30688</v>
      </c>
    </row>
    <row r="3166" spans="1:59" ht="58" x14ac:dyDescent="0.35">
      <c r="A3166" s="2" t="s">
        <v>89</v>
      </c>
      <c r="B3166" s="2" t="s">
        <v>90</v>
      </c>
      <c r="C3166" s="2" t="s">
        <v>30677</v>
      </c>
      <c r="D3166" s="2" t="s">
        <v>30678</v>
      </c>
      <c r="E3166" s="2" t="s">
        <v>30679</v>
      </c>
      <c r="G3166" s="3" t="s">
        <v>62</v>
      </c>
      <c r="I3166" s="3" t="s">
        <v>61</v>
      </c>
      <c r="J3166" s="3" t="s">
        <v>62</v>
      </c>
      <c r="K3166" s="3" t="s">
        <v>63</v>
      </c>
      <c r="L3166" s="2" t="s">
        <v>30680</v>
      </c>
      <c r="M3166" s="2" t="s">
        <v>30681</v>
      </c>
      <c r="N3166" s="3" t="s">
        <v>712</v>
      </c>
      <c r="P3166" s="3" t="s">
        <v>64</v>
      </c>
      <c r="R3166" s="3" t="s">
        <v>27443</v>
      </c>
      <c r="S3166" s="4">
        <v>41</v>
      </c>
      <c r="T3166" s="4">
        <v>86</v>
      </c>
      <c r="U3166" s="5" t="s">
        <v>30689</v>
      </c>
      <c r="V3166" s="5" t="s">
        <v>30682</v>
      </c>
      <c r="W3166" s="5" t="s">
        <v>67</v>
      </c>
      <c r="X3166" s="5" t="s">
        <v>67</v>
      </c>
      <c r="Y3166" s="4">
        <v>141</v>
      </c>
      <c r="Z3166" s="4">
        <v>78</v>
      </c>
      <c r="AA3166" s="4">
        <v>176</v>
      </c>
      <c r="AB3166" s="4">
        <v>6</v>
      </c>
      <c r="AC3166" s="4">
        <v>24</v>
      </c>
      <c r="AD3166" s="4">
        <v>30</v>
      </c>
      <c r="AE3166" s="4">
        <v>161</v>
      </c>
      <c r="AF3166" s="4">
        <v>1</v>
      </c>
      <c r="AG3166" s="4">
        <v>9</v>
      </c>
      <c r="AH3166" s="4">
        <v>11</v>
      </c>
      <c r="AI3166" s="4">
        <v>110</v>
      </c>
      <c r="AJ3166" s="4">
        <v>8</v>
      </c>
      <c r="AK3166" s="4">
        <v>27</v>
      </c>
      <c r="AL3166" s="4">
        <v>5</v>
      </c>
      <c r="AM3166" s="4">
        <v>61</v>
      </c>
      <c r="AN3166" s="4">
        <v>0</v>
      </c>
      <c r="AO3166" s="4">
        <v>0</v>
      </c>
      <c r="AP3166" s="4">
        <v>23</v>
      </c>
      <c r="AQ3166" s="4">
        <v>55</v>
      </c>
      <c r="AR3166" s="3" t="s">
        <v>61</v>
      </c>
      <c r="AS3166" s="3" t="s">
        <v>62</v>
      </c>
      <c r="AT3166" s="3" t="s">
        <v>62</v>
      </c>
      <c r="AV3166" s="6" t="str">
        <f>HYPERLINK("http://mcgill.on.worldcat.org/oclc/878183175","Catalog Record")</f>
        <v>Catalog Record</v>
      </c>
      <c r="AW3166" s="6" t="str">
        <f>HYPERLINK("http://www.worldcat.org/oclc/878183175","WorldCat Record")</f>
        <v>WorldCat Record</v>
      </c>
      <c r="AX3166" s="3" t="s">
        <v>30683</v>
      </c>
      <c r="AY3166" s="3" t="s">
        <v>30684</v>
      </c>
      <c r="AZ3166" s="3" t="s">
        <v>30685</v>
      </c>
      <c r="BA3166" s="3" t="s">
        <v>30685</v>
      </c>
      <c r="BB3166" s="3" t="s">
        <v>30690</v>
      </c>
      <c r="BC3166" s="3" t="s">
        <v>102</v>
      </c>
      <c r="BD3166" s="3" t="s">
        <v>231</v>
      </c>
      <c r="BE3166" s="3" t="s">
        <v>30687</v>
      </c>
      <c r="BF3166" s="3" t="s">
        <v>30690</v>
      </c>
      <c r="BG3166" s="3" t="s">
        <v>30691</v>
      </c>
    </row>
    <row r="3167" spans="1:59" ht="58" x14ac:dyDescent="0.35">
      <c r="A3167" s="2" t="s">
        <v>89</v>
      </c>
      <c r="B3167" s="2" t="s">
        <v>90</v>
      </c>
      <c r="C3167" s="2" t="s">
        <v>30692</v>
      </c>
      <c r="D3167" s="2" t="s">
        <v>30693</v>
      </c>
      <c r="E3167" s="2" t="s">
        <v>30694</v>
      </c>
      <c r="G3167" s="3" t="s">
        <v>62</v>
      </c>
      <c r="I3167" s="3" t="s">
        <v>62</v>
      </c>
      <c r="J3167" s="3" t="s">
        <v>62</v>
      </c>
      <c r="K3167" s="3" t="s">
        <v>63</v>
      </c>
      <c r="L3167" s="2" t="s">
        <v>30695</v>
      </c>
      <c r="M3167" s="2" t="s">
        <v>30696</v>
      </c>
      <c r="N3167" s="3" t="s">
        <v>698</v>
      </c>
      <c r="P3167" s="3" t="s">
        <v>64</v>
      </c>
      <c r="R3167" s="3" t="s">
        <v>27443</v>
      </c>
      <c r="S3167" s="4">
        <v>9</v>
      </c>
      <c r="T3167" s="4">
        <v>9</v>
      </c>
      <c r="U3167" s="5" t="s">
        <v>7448</v>
      </c>
      <c r="V3167" s="5" t="s">
        <v>7448</v>
      </c>
      <c r="W3167" s="5" t="s">
        <v>67</v>
      </c>
      <c r="X3167" s="5" t="s">
        <v>67</v>
      </c>
      <c r="Y3167" s="4">
        <v>411</v>
      </c>
      <c r="Z3167" s="4">
        <v>30</v>
      </c>
      <c r="AA3167" s="4">
        <v>118</v>
      </c>
      <c r="AB3167" s="4">
        <v>2</v>
      </c>
      <c r="AC3167" s="4">
        <v>15</v>
      </c>
      <c r="AD3167" s="4">
        <v>95</v>
      </c>
      <c r="AE3167" s="4">
        <v>145</v>
      </c>
      <c r="AF3167" s="4">
        <v>1</v>
      </c>
      <c r="AG3167" s="4">
        <v>8</v>
      </c>
      <c r="AH3167" s="4">
        <v>80</v>
      </c>
      <c r="AI3167" s="4">
        <v>103</v>
      </c>
      <c r="AJ3167" s="4">
        <v>18</v>
      </c>
      <c r="AK3167" s="4">
        <v>26</v>
      </c>
      <c r="AL3167" s="4">
        <v>45</v>
      </c>
      <c r="AM3167" s="4">
        <v>55</v>
      </c>
      <c r="AN3167" s="4">
        <v>0</v>
      </c>
      <c r="AO3167" s="4">
        <v>0</v>
      </c>
      <c r="AP3167" s="4">
        <v>24</v>
      </c>
      <c r="AQ3167" s="4">
        <v>50</v>
      </c>
      <c r="AR3167" s="3" t="s">
        <v>62</v>
      </c>
      <c r="AS3167" s="3" t="s">
        <v>62</v>
      </c>
      <c r="AT3167" s="3" t="s">
        <v>62</v>
      </c>
      <c r="AV3167" s="6" t="str">
        <f>HYPERLINK("http://mcgill.on.worldcat.org/oclc/760163213","Catalog Record")</f>
        <v>Catalog Record</v>
      </c>
      <c r="AW3167" s="6" t="str">
        <f>HYPERLINK("http://www.worldcat.org/oclc/760163213","WorldCat Record")</f>
        <v>WorldCat Record</v>
      </c>
      <c r="AX3167" s="3" t="s">
        <v>30697</v>
      </c>
      <c r="AY3167" s="3" t="s">
        <v>30698</v>
      </c>
      <c r="AZ3167" s="3" t="s">
        <v>30699</v>
      </c>
      <c r="BA3167" s="3" t="s">
        <v>30699</v>
      </c>
      <c r="BB3167" s="3" t="s">
        <v>30700</v>
      </c>
      <c r="BC3167" s="3" t="s">
        <v>102</v>
      </c>
      <c r="BD3167" s="3" t="s">
        <v>68</v>
      </c>
      <c r="BE3167" s="3" t="s">
        <v>30701</v>
      </c>
      <c r="BF3167" s="3" t="s">
        <v>30700</v>
      </c>
      <c r="BG3167" s="3" t="s">
        <v>30702</v>
      </c>
    </row>
    <row r="3168" spans="1:59" ht="58" x14ac:dyDescent="0.35">
      <c r="A3168" s="2" t="s">
        <v>89</v>
      </c>
      <c r="B3168" s="2" t="s">
        <v>90</v>
      </c>
      <c r="C3168" s="2" t="s">
        <v>30703</v>
      </c>
      <c r="D3168" s="2" t="s">
        <v>30704</v>
      </c>
      <c r="E3168" s="2" t="s">
        <v>30705</v>
      </c>
      <c r="G3168" s="3" t="s">
        <v>62</v>
      </c>
      <c r="I3168" s="3" t="s">
        <v>61</v>
      </c>
      <c r="J3168" s="3" t="s">
        <v>62</v>
      </c>
      <c r="K3168" s="3" t="s">
        <v>63</v>
      </c>
      <c r="L3168" s="2" t="s">
        <v>30706</v>
      </c>
      <c r="M3168" s="2" t="s">
        <v>30707</v>
      </c>
      <c r="N3168" s="3" t="s">
        <v>684</v>
      </c>
      <c r="P3168" s="3" t="s">
        <v>64</v>
      </c>
      <c r="R3168" s="3" t="s">
        <v>27443</v>
      </c>
      <c r="S3168" s="4">
        <v>9</v>
      </c>
      <c r="T3168" s="4">
        <v>10</v>
      </c>
      <c r="U3168" s="5" t="s">
        <v>30470</v>
      </c>
      <c r="V3168" s="5" t="s">
        <v>30470</v>
      </c>
      <c r="W3168" s="5" t="s">
        <v>67</v>
      </c>
      <c r="X3168" s="5" t="s">
        <v>67</v>
      </c>
      <c r="Y3168" s="4">
        <v>237</v>
      </c>
      <c r="Z3168" s="4">
        <v>63</v>
      </c>
      <c r="AA3168" s="4">
        <v>64</v>
      </c>
      <c r="AB3168" s="4">
        <v>6</v>
      </c>
      <c r="AC3168" s="4">
        <v>6</v>
      </c>
      <c r="AD3168" s="4">
        <v>60</v>
      </c>
      <c r="AE3168" s="4">
        <v>62</v>
      </c>
      <c r="AF3168" s="4">
        <v>1</v>
      </c>
      <c r="AG3168" s="4">
        <v>1</v>
      </c>
      <c r="AH3168" s="4">
        <v>44</v>
      </c>
      <c r="AI3168" s="4">
        <v>44</v>
      </c>
      <c r="AJ3168" s="4">
        <v>18</v>
      </c>
      <c r="AK3168" s="4">
        <v>18</v>
      </c>
      <c r="AL3168" s="4">
        <v>21</v>
      </c>
      <c r="AM3168" s="4">
        <v>22</v>
      </c>
      <c r="AN3168" s="4">
        <v>0</v>
      </c>
      <c r="AO3168" s="4">
        <v>0</v>
      </c>
      <c r="AP3168" s="4">
        <v>23</v>
      </c>
      <c r="AQ3168" s="4">
        <v>24</v>
      </c>
      <c r="AR3168" s="3" t="s">
        <v>61</v>
      </c>
      <c r="AS3168" s="3" t="s">
        <v>62</v>
      </c>
      <c r="AT3168" s="3" t="s">
        <v>62</v>
      </c>
      <c r="AV3168" s="6" t="str">
        <f>HYPERLINK("http://mcgill.on.worldcat.org/oclc/712851332","Catalog Record")</f>
        <v>Catalog Record</v>
      </c>
      <c r="AW3168" s="6" t="str">
        <f>HYPERLINK("http://www.worldcat.org/oclc/712851332","WorldCat Record")</f>
        <v>WorldCat Record</v>
      </c>
      <c r="AX3168" s="3" t="s">
        <v>30708</v>
      </c>
      <c r="AY3168" s="3" t="s">
        <v>30709</v>
      </c>
      <c r="AZ3168" s="3" t="s">
        <v>30710</v>
      </c>
      <c r="BA3168" s="3" t="s">
        <v>30710</v>
      </c>
      <c r="BB3168" s="3" t="s">
        <v>30711</v>
      </c>
      <c r="BC3168" s="3" t="s">
        <v>102</v>
      </c>
      <c r="BD3168" s="3" t="s">
        <v>68</v>
      </c>
      <c r="BE3168" s="3" t="s">
        <v>30712</v>
      </c>
      <c r="BF3168" s="3" t="s">
        <v>30711</v>
      </c>
      <c r="BG3168" s="3" t="s">
        <v>30713</v>
      </c>
    </row>
    <row r="3169" spans="1:59" ht="58" x14ac:dyDescent="0.35">
      <c r="A3169" s="2" t="s">
        <v>89</v>
      </c>
      <c r="B3169" s="2" t="s">
        <v>6124</v>
      </c>
      <c r="C3169" s="2" t="s">
        <v>30714</v>
      </c>
      <c r="D3169" s="2" t="s">
        <v>30715</v>
      </c>
      <c r="E3169" s="2" t="s">
        <v>30716</v>
      </c>
      <c r="G3169" s="3" t="s">
        <v>62</v>
      </c>
      <c r="I3169" s="3" t="s">
        <v>62</v>
      </c>
      <c r="J3169" s="3" t="s">
        <v>62</v>
      </c>
      <c r="K3169" s="3" t="s">
        <v>63</v>
      </c>
      <c r="M3169" s="2" t="s">
        <v>30717</v>
      </c>
      <c r="N3169" s="3" t="s">
        <v>684</v>
      </c>
      <c r="P3169" s="3" t="s">
        <v>64</v>
      </c>
      <c r="R3169" s="3" t="s">
        <v>27443</v>
      </c>
      <c r="S3169" s="4">
        <v>4</v>
      </c>
      <c r="T3169" s="4">
        <v>4</v>
      </c>
      <c r="U3169" s="5" t="s">
        <v>8498</v>
      </c>
      <c r="V3169" s="5" t="s">
        <v>8498</v>
      </c>
      <c r="W3169" s="5" t="s">
        <v>67</v>
      </c>
      <c r="X3169" s="5" t="s">
        <v>67</v>
      </c>
      <c r="Y3169" s="4">
        <v>261</v>
      </c>
      <c r="Z3169" s="4">
        <v>26</v>
      </c>
      <c r="AA3169" s="4">
        <v>30</v>
      </c>
      <c r="AB3169" s="4">
        <v>2</v>
      </c>
      <c r="AC3169" s="4">
        <v>5</v>
      </c>
      <c r="AD3169" s="4">
        <v>94</v>
      </c>
      <c r="AE3169" s="4">
        <v>97</v>
      </c>
      <c r="AF3169" s="4">
        <v>1</v>
      </c>
      <c r="AG3169" s="4">
        <v>3</v>
      </c>
      <c r="AH3169" s="4">
        <v>80</v>
      </c>
      <c r="AI3169" s="4">
        <v>82</v>
      </c>
      <c r="AJ3169" s="4">
        <v>17</v>
      </c>
      <c r="AK3169" s="4">
        <v>20</v>
      </c>
      <c r="AL3169" s="4">
        <v>48</v>
      </c>
      <c r="AM3169" s="4">
        <v>48</v>
      </c>
      <c r="AN3169" s="4">
        <v>0</v>
      </c>
      <c r="AO3169" s="4">
        <v>0</v>
      </c>
      <c r="AP3169" s="4">
        <v>21</v>
      </c>
      <c r="AQ3169" s="4">
        <v>23</v>
      </c>
      <c r="AR3169" s="3" t="s">
        <v>62</v>
      </c>
      <c r="AS3169" s="3" t="s">
        <v>62</v>
      </c>
      <c r="AT3169" s="3" t="s">
        <v>62</v>
      </c>
      <c r="AV3169" s="6" t="str">
        <f>HYPERLINK("http://mcgill.on.worldcat.org/oclc/707842828","Catalog Record")</f>
        <v>Catalog Record</v>
      </c>
      <c r="AW3169" s="6" t="str">
        <f>HYPERLINK("http://www.worldcat.org/oclc/707842828","WorldCat Record")</f>
        <v>WorldCat Record</v>
      </c>
      <c r="AX3169" s="3" t="s">
        <v>30718</v>
      </c>
      <c r="AY3169" s="3" t="s">
        <v>30719</v>
      </c>
      <c r="AZ3169" s="3" t="s">
        <v>30720</v>
      </c>
      <c r="BA3169" s="3" t="s">
        <v>30720</v>
      </c>
      <c r="BB3169" s="3" t="s">
        <v>30721</v>
      </c>
      <c r="BC3169" s="3" t="s">
        <v>102</v>
      </c>
      <c r="BD3169" s="3" t="s">
        <v>68</v>
      </c>
      <c r="BE3169" s="3" t="s">
        <v>30722</v>
      </c>
      <c r="BF3169" s="3" t="s">
        <v>30721</v>
      </c>
      <c r="BG3169" s="3" t="s">
        <v>30723</v>
      </c>
    </row>
    <row r="3170" spans="1:59" ht="58" x14ac:dyDescent="0.35">
      <c r="A3170" s="2" t="s">
        <v>89</v>
      </c>
      <c r="B3170" s="2" t="s">
        <v>90</v>
      </c>
      <c r="C3170" s="2" t="s">
        <v>30724</v>
      </c>
      <c r="D3170" s="2" t="s">
        <v>30725</v>
      </c>
      <c r="E3170" s="2" t="s">
        <v>30726</v>
      </c>
      <c r="G3170" s="3" t="s">
        <v>62</v>
      </c>
      <c r="I3170" s="3" t="s">
        <v>62</v>
      </c>
      <c r="J3170" s="3" t="s">
        <v>62</v>
      </c>
      <c r="K3170" s="3" t="s">
        <v>63</v>
      </c>
      <c r="L3170" s="2" t="s">
        <v>30727</v>
      </c>
      <c r="M3170" s="2" t="s">
        <v>30728</v>
      </c>
      <c r="N3170" s="3" t="s">
        <v>1038</v>
      </c>
      <c r="P3170" s="3" t="s">
        <v>64</v>
      </c>
      <c r="R3170" s="3" t="s">
        <v>27443</v>
      </c>
      <c r="S3170" s="4">
        <v>5</v>
      </c>
      <c r="T3170" s="4">
        <v>5</v>
      </c>
      <c r="U3170" s="5" t="s">
        <v>10639</v>
      </c>
      <c r="V3170" s="5" t="s">
        <v>10639</v>
      </c>
      <c r="W3170" s="5" t="s">
        <v>67</v>
      </c>
      <c r="X3170" s="5" t="s">
        <v>67</v>
      </c>
      <c r="Y3170" s="4">
        <v>189</v>
      </c>
      <c r="Z3170" s="4">
        <v>13</v>
      </c>
      <c r="AA3170" s="4">
        <v>19</v>
      </c>
      <c r="AB3170" s="4">
        <v>1</v>
      </c>
      <c r="AC3170" s="4">
        <v>5</v>
      </c>
      <c r="AD3170" s="4">
        <v>53</v>
      </c>
      <c r="AE3170" s="4">
        <v>63</v>
      </c>
      <c r="AF3170" s="4">
        <v>0</v>
      </c>
      <c r="AG3170" s="4">
        <v>1</v>
      </c>
      <c r="AH3170" s="4">
        <v>48</v>
      </c>
      <c r="AI3170" s="4">
        <v>56</v>
      </c>
      <c r="AJ3170" s="4">
        <v>5</v>
      </c>
      <c r="AK3170" s="4">
        <v>8</v>
      </c>
      <c r="AL3170" s="4">
        <v>32</v>
      </c>
      <c r="AM3170" s="4">
        <v>35</v>
      </c>
      <c r="AN3170" s="4">
        <v>0</v>
      </c>
      <c r="AO3170" s="4">
        <v>0</v>
      </c>
      <c r="AP3170" s="4">
        <v>7</v>
      </c>
      <c r="AQ3170" s="4">
        <v>10</v>
      </c>
      <c r="AR3170" s="3" t="s">
        <v>62</v>
      </c>
      <c r="AS3170" s="3" t="s">
        <v>62</v>
      </c>
      <c r="AT3170" s="3" t="s">
        <v>62</v>
      </c>
      <c r="AV3170" s="6" t="str">
        <f>HYPERLINK("http://mcgill.on.worldcat.org/oclc/907295664","Catalog Record")</f>
        <v>Catalog Record</v>
      </c>
      <c r="AW3170" s="6" t="str">
        <f>HYPERLINK("http://www.worldcat.org/oclc/907295664","WorldCat Record")</f>
        <v>WorldCat Record</v>
      </c>
      <c r="AX3170" s="3" t="s">
        <v>30729</v>
      </c>
      <c r="AY3170" s="3" t="s">
        <v>30730</v>
      </c>
      <c r="AZ3170" s="3" t="s">
        <v>30731</v>
      </c>
      <c r="BA3170" s="3" t="s">
        <v>30731</v>
      </c>
      <c r="BB3170" s="3" t="s">
        <v>30732</v>
      </c>
      <c r="BC3170" s="3" t="s">
        <v>102</v>
      </c>
      <c r="BD3170" s="3" t="s">
        <v>68</v>
      </c>
      <c r="BE3170" s="3" t="s">
        <v>30733</v>
      </c>
      <c r="BF3170" s="3" t="s">
        <v>30732</v>
      </c>
      <c r="BG3170" s="3" t="s">
        <v>30734</v>
      </c>
    </row>
    <row r="3171" spans="1:59" ht="58" x14ac:dyDescent="0.35">
      <c r="A3171" s="2" t="s">
        <v>89</v>
      </c>
      <c r="B3171" s="2" t="s">
        <v>90</v>
      </c>
      <c r="C3171" s="2" t="s">
        <v>30735</v>
      </c>
      <c r="D3171" s="2" t="s">
        <v>30736</v>
      </c>
      <c r="E3171" s="2" t="s">
        <v>30737</v>
      </c>
      <c r="G3171" s="3" t="s">
        <v>62</v>
      </c>
      <c r="H3171" s="3" t="s">
        <v>916</v>
      </c>
      <c r="I3171" s="3" t="s">
        <v>62</v>
      </c>
      <c r="J3171" s="3" t="s">
        <v>62</v>
      </c>
      <c r="K3171" s="3" t="s">
        <v>63</v>
      </c>
      <c r="L3171" s="2" t="s">
        <v>30738</v>
      </c>
      <c r="M3171" s="2" t="s">
        <v>30739</v>
      </c>
      <c r="N3171" s="3" t="s">
        <v>726</v>
      </c>
      <c r="P3171" s="3" t="s">
        <v>64</v>
      </c>
      <c r="R3171" s="3" t="s">
        <v>27443</v>
      </c>
      <c r="S3171" s="4">
        <v>2</v>
      </c>
      <c r="T3171" s="4">
        <v>2</v>
      </c>
      <c r="U3171" s="5" t="s">
        <v>16936</v>
      </c>
      <c r="V3171" s="5" t="s">
        <v>16936</v>
      </c>
      <c r="W3171" s="5" t="s">
        <v>16465</v>
      </c>
      <c r="X3171" s="5" t="s">
        <v>16465</v>
      </c>
      <c r="Y3171" s="4">
        <v>171</v>
      </c>
      <c r="Z3171" s="4">
        <v>7</v>
      </c>
      <c r="AA3171" s="4">
        <v>81</v>
      </c>
      <c r="AB3171" s="4">
        <v>1</v>
      </c>
      <c r="AC3171" s="4">
        <v>16</v>
      </c>
      <c r="AD3171" s="4">
        <v>41</v>
      </c>
      <c r="AE3171" s="4">
        <v>116</v>
      </c>
      <c r="AF3171" s="4">
        <v>0</v>
      </c>
      <c r="AG3171" s="4">
        <v>8</v>
      </c>
      <c r="AH3171" s="4">
        <v>38</v>
      </c>
      <c r="AI3171" s="4">
        <v>83</v>
      </c>
      <c r="AJ3171" s="4">
        <v>3</v>
      </c>
      <c r="AK3171" s="4">
        <v>17</v>
      </c>
      <c r="AL3171" s="4">
        <v>25</v>
      </c>
      <c r="AM3171" s="4">
        <v>46</v>
      </c>
      <c r="AN3171" s="4">
        <v>0</v>
      </c>
      <c r="AO3171" s="4">
        <v>0</v>
      </c>
      <c r="AP3171" s="4">
        <v>4</v>
      </c>
      <c r="AQ3171" s="4">
        <v>36</v>
      </c>
      <c r="AR3171" s="3" t="s">
        <v>62</v>
      </c>
      <c r="AS3171" s="3" t="s">
        <v>62</v>
      </c>
      <c r="AT3171" s="3" t="s">
        <v>62</v>
      </c>
      <c r="AV3171" s="6" t="str">
        <f>HYPERLINK("http://mcgill.on.worldcat.org/oclc/957581426","Catalog Record")</f>
        <v>Catalog Record</v>
      </c>
      <c r="AW3171" s="6" t="str">
        <f>HYPERLINK("http://www.worldcat.org/oclc/957581426","WorldCat Record")</f>
        <v>WorldCat Record</v>
      </c>
      <c r="AX3171" s="3" t="s">
        <v>30740</v>
      </c>
      <c r="AY3171" s="3" t="s">
        <v>30741</v>
      </c>
      <c r="AZ3171" s="3" t="s">
        <v>30742</v>
      </c>
      <c r="BA3171" s="3" t="s">
        <v>30742</v>
      </c>
      <c r="BB3171" s="3" t="s">
        <v>30743</v>
      </c>
      <c r="BC3171" s="3" t="s">
        <v>102</v>
      </c>
      <c r="BD3171" s="3" t="s">
        <v>68</v>
      </c>
      <c r="BE3171" s="3" t="s">
        <v>30744</v>
      </c>
      <c r="BF3171" s="3" t="s">
        <v>30743</v>
      </c>
      <c r="BG3171" s="3" t="s">
        <v>30745</v>
      </c>
    </row>
    <row r="3172" spans="1:59" ht="58" x14ac:dyDescent="0.35">
      <c r="A3172" s="2" t="s">
        <v>89</v>
      </c>
      <c r="B3172" s="2" t="s">
        <v>90</v>
      </c>
      <c r="C3172" s="2" t="s">
        <v>30746</v>
      </c>
      <c r="D3172" s="2" t="s">
        <v>30747</v>
      </c>
      <c r="E3172" s="2" t="s">
        <v>30748</v>
      </c>
      <c r="G3172" s="3" t="s">
        <v>62</v>
      </c>
      <c r="I3172" s="3" t="s">
        <v>62</v>
      </c>
      <c r="J3172" s="3" t="s">
        <v>62</v>
      </c>
      <c r="K3172" s="3" t="s">
        <v>63</v>
      </c>
      <c r="L3172" s="2" t="s">
        <v>30749</v>
      </c>
      <c r="M3172" s="2" t="s">
        <v>30750</v>
      </c>
      <c r="N3172" s="3" t="s">
        <v>129</v>
      </c>
      <c r="P3172" s="3" t="s">
        <v>64</v>
      </c>
      <c r="Q3172" s="2" t="s">
        <v>30751</v>
      </c>
      <c r="R3172" s="3" t="s">
        <v>27443</v>
      </c>
      <c r="S3172" s="4">
        <v>0</v>
      </c>
      <c r="T3172" s="4">
        <v>0</v>
      </c>
      <c r="W3172" s="5" t="s">
        <v>67</v>
      </c>
      <c r="X3172" s="5" t="s">
        <v>67</v>
      </c>
      <c r="Y3172" s="4">
        <v>141</v>
      </c>
      <c r="Z3172" s="4">
        <v>20</v>
      </c>
      <c r="AA3172" s="4">
        <v>79</v>
      </c>
      <c r="AB3172" s="4">
        <v>2</v>
      </c>
      <c r="AC3172" s="4">
        <v>7</v>
      </c>
      <c r="AD3172" s="4">
        <v>55</v>
      </c>
      <c r="AE3172" s="4">
        <v>80</v>
      </c>
      <c r="AF3172" s="4">
        <v>1</v>
      </c>
      <c r="AG3172" s="4">
        <v>1</v>
      </c>
      <c r="AH3172" s="4">
        <v>46</v>
      </c>
      <c r="AI3172" s="4">
        <v>62</v>
      </c>
      <c r="AJ3172" s="4">
        <v>12</v>
      </c>
      <c r="AK3172" s="4">
        <v>16</v>
      </c>
      <c r="AL3172" s="4">
        <v>27</v>
      </c>
      <c r="AM3172" s="4">
        <v>37</v>
      </c>
      <c r="AN3172" s="4">
        <v>0</v>
      </c>
      <c r="AO3172" s="4">
        <v>0</v>
      </c>
      <c r="AP3172" s="4">
        <v>16</v>
      </c>
      <c r="AQ3172" s="4">
        <v>25</v>
      </c>
      <c r="AR3172" s="3" t="s">
        <v>62</v>
      </c>
      <c r="AS3172" s="3" t="s">
        <v>62</v>
      </c>
      <c r="AT3172" s="3" t="s">
        <v>62</v>
      </c>
      <c r="AV3172" s="6" t="str">
        <f>HYPERLINK("http://mcgill.on.worldcat.org/oclc/841186358","Catalog Record")</f>
        <v>Catalog Record</v>
      </c>
      <c r="AW3172" s="6" t="str">
        <f>HYPERLINK("http://www.worldcat.org/oclc/841186358","WorldCat Record")</f>
        <v>WorldCat Record</v>
      </c>
      <c r="AX3172" s="3" t="s">
        <v>30752</v>
      </c>
      <c r="AY3172" s="3" t="s">
        <v>30753</v>
      </c>
      <c r="AZ3172" s="3" t="s">
        <v>30754</v>
      </c>
      <c r="BA3172" s="3" t="s">
        <v>30754</v>
      </c>
      <c r="BB3172" s="3" t="s">
        <v>30755</v>
      </c>
      <c r="BC3172" s="3" t="s">
        <v>102</v>
      </c>
      <c r="BD3172" s="3" t="s">
        <v>68</v>
      </c>
      <c r="BE3172" s="3" t="s">
        <v>30756</v>
      </c>
      <c r="BF3172" s="3" t="s">
        <v>30755</v>
      </c>
      <c r="BG3172" s="3" t="s">
        <v>30757</v>
      </c>
    </row>
    <row r="3173" spans="1:59" ht="58" x14ac:dyDescent="0.35">
      <c r="A3173" s="2" t="s">
        <v>89</v>
      </c>
      <c r="B3173" s="2" t="s">
        <v>6124</v>
      </c>
      <c r="C3173" s="2" t="s">
        <v>30758</v>
      </c>
      <c r="D3173" s="2" t="s">
        <v>30759</v>
      </c>
      <c r="E3173" s="2" t="s">
        <v>30760</v>
      </c>
      <c r="G3173" s="3" t="s">
        <v>62</v>
      </c>
      <c r="I3173" s="3" t="s">
        <v>62</v>
      </c>
      <c r="J3173" s="3" t="s">
        <v>62</v>
      </c>
      <c r="K3173" s="3" t="s">
        <v>63</v>
      </c>
      <c r="L3173" s="2" t="s">
        <v>30761</v>
      </c>
      <c r="M3173" s="2" t="s">
        <v>30762</v>
      </c>
      <c r="N3173" s="3" t="s">
        <v>684</v>
      </c>
      <c r="P3173" s="3" t="s">
        <v>64</v>
      </c>
      <c r="R3173" s="3" t="s">
        <v>27443</v>
      </c>
      <c r="S3173" s="4">
        <v>18</v>
      </c>
      <c r="T3173" s="4">
        <v>18</v>
      </c>
      <c r="U3173" s="5" t="s">
        <v>30763</v>
      </c>
      <c r="V3173" s="5" t="s">
        <v>30763</v>
      </c>
      <c r="W3173" s="5" t="s">
        <v>67</v>
      </c>
      <c r="X3173" s="5" t="s">
        <v>67</v>
      </c>
      <c r="Y3173" s="4">
        <v>272</v>
      </c>
      <c r="Z3173" s="4">
        <v>19</v>
      </c>
      <c r="AA3173" s="4">
        <v>36</v>
      </c>
      <c r="AB3173" s="4">
        <v>1</v>
      </c>
      <c r="AC3173" s="4">
        <v>6</v>
      </c>
      <c r="AD3173" s="4">
        <v>71</v>
      </c>
      <c r="AE3173" s="4">
        <v>98</v>
      </c>
      <c r="AF3173" s="4">
        <v>0</v>
      </c>
      <c r="AG3173" s="4">
        <v>2</v>
      </c>
      <c r="AH3173" s="4">
        <v>62</v>
      </c>
      <c r="AI3173" s="4">
        <v>81</v>
      </c>
      <c r="AJ3173" s="4">
        <v>13</v>
      </c>
      <c r="AK3173" s="4">
        <v>16</v>
      </c>
      <c r="AL3173" s="4">
        <v>34</v>
      </c>
      <c r="AM3173" s="4">
        <v>41</v>
      </c>
      <c r="AN3173" s="4">
        <v>0</v>
      </c>
      <c r="AO3173" s="4">
        <v>0</v>
      </c>
      <c r="AP3173" s="4">
        <v>15</v>
      </c>
      <c r="AQ3173" s="4">
        <v>24</v>
      </c>
      <c r="AR3173" s="3" t="s">
        <v>62</v>
      </c>
      <c r="AS3173" s="3" t="s">
        <v>62</v>
      </c>
      <c r="AT3173" s="3" t="s">
        <v>62</v>
      </c>
      <c r="AV3173" s="6" t="str">
        <f>HYPERLINK("http://mcgill.on.worldcat.org/oclc/316836172","Catalog Record")</f>
        <v>Catalog Record</v>
      </c>
      <c r="AW3173" s="6" t="str">
        <f>HYPERLINK("http://www.worldcat.org/oclc/316836172","WorldCat Record")</f>
        <v>WorldCat Record</v>
      </c>
      <c r="AX3173" s="3" t="s">
        <v>30764</v>
      </c>
      <c r="AY3173" s="3" t="s">
        <v>30765</v>
      </c>
      <c r="AZ3173" s="3" t="s">
        <v>30766</v>
      </c>
      <c r="BA3173" s="3" t="s">
        <v>30766</v>
      </c>
      <c r="BB3173" s="3" t="s">
        <v>30767</v>
      </c>
      <c r="BC3173" s="3" t="s">
        <v>102</v>
      </c>
      <c r="BD3173" s="3" t="s">
        <v>68</v>
      </c>
      <c r="BE3173" s="3" t="s">
        <v>30768</v>
      </c>
      <c r="BF3173" s="3" t="s">
        <v>30767</v>
      </c>
      <c r="BG3173" s="3" t="s">
        <v>30769</v>
      </c>
    </row>
    <row r="3174" spans="1:59" ht="58" x14ac:dyDescent="0.35">
      <c r="A3174" s="2" t="s">
        <v>89</v>
      </c>
      <c r="B3174" s="2" t="s">
        <v>90</v>
      </c>
      <c r="C3174" s="2" t="s">
        <v>30770</v>
      </c>
      <c r="D3174" s="2" t="s">
        <v>30771</v>
      </c>
      <c r="E3174" s="2" t="s">
        <v>30772</v>
      </c>
      <c r="G3174" s="3" t="s">
        <v>62</v>
      </c>
      <c r="I3174" s="3" t="s">
        <v>62</v>
      </c>
      <c r="J3174" s="3" t="s">
        <v>62</v>
      </c>
      <c r="K3174" s="3" t="s">
        <v>63</v>
      </c>
      <c r="L3174" s="2" t="s">
        <v>30773</v>
      </c>
      <c r="M3174" s="2" t="s">
        <v>30774</v>
      </c>
      <c r="N3174" s="3" t="s">
        <v>684</v>
      </c>
      <c r="P3174" s="3" t="s">
        <v>64</v>
      </c>
      <c r="R3174" s="3" t="s">
        <v>27443</v>
      </c>
      <c r="S3174" s="4">
        <v>2</v>
      </c>
      <c r="T3174" s="4">
        <v>2</v>
      </c>
      <c r="U3174" s="5" t="s">
        <v>30775</v>
      </c>
      <c r="V3174" s="5" t="s">
        <v>30775</v>
      </c>
      <c r="W3174" s="5" t="s">
        <v>67</v>
      </c>
      <c r="X3174" s="5" t="s">
        <v>67</v>
      </c>
      <c r="Y3174" s="4">
        <v>308</v>
      </c>
      <c r="Z3174" s="4">
        <v>19</v>
      </c>
      <c r="AA3174" s="4">
        <v>56</v>
      </c>
      <c r="AB3174" s="4">
        <v>2</v>
      </c>
      <c r="AC3174" s="4">
        <v>9</v>
      </c>
      <c r="AD3174" s="4">
        <v>57</v>
      </c>
      <c r="AE3174" s="4">
        <v>96</v>
      </c>
      <c r="AF3174" s="4">
        <v>1</v>
      </c>
      <c r="AG3174" s="4">
        <v>5</v>
      </c>
      <c r="AH3174" s="4">
        <v>48</v>
      </c>
      <c r="AI3174" s="4">
        <v>73</v>
      </c>
      <c r="AJ3174" s="4">
        <v>10</v>
      </c>
      <c r="AK3174" s="4">
        <v>17</v>
      </c>
      <c r="AL3174" s="4">
        <v>28</v>
      </c>
      <c r="AM3174" s="4">
        <v>39</v>
      </c>
      <c r="AN3174" s="4">
        <v>0</v>
      </c>
      <c r="AO3174" s="4">
        <v>0</v>
      </c>
      <c r="AP3174" s="4">
        <v>13</v>
      </c>
      <c r="AQ3174" s="4">
        <v>28</v>
      </c>
      <c r="AR3174" s="3" t="s">
        <v>62</v>
      </c>
      <c r="AS3174" s="3" t="s">
        <v>62</v>
      </c>
      <c r="AT3174" s="3" t="s">
        <v>62</v>
      </c>
      <c r="AV3174" s="6" t="str">
        <f>HYPERLINK("http://mcgill.on.worldcat.org/oclc/640510907","Catalog Record")</f>
        <v>Catalog Record</v>
      </c>
      <c r="AW3174" s="6" t="str">
        <f>HYPERLINK("http://www.worldcat.org/oclc/640510907","WorldCat Record")</f>
        <v>WorldCat Record</v>
      </c>
      <c r="AX3174" s="3" t="s">
        <v>30776</v>
      </c>
      <c r="AY3174" s="3" t="s">
        <v>30777</v>
      </c>
      <c r="AZ3174" s="3" t="s">
        <v>30778</v>
      </c>
      <c r="BA3174" s="3" t="s">
        <v>30778</v>
      </c>
      <c r="BB3174" s="3" t="s">
        <v>30779</v>
      </c>
      <c r="BC3174" s="3" t="s">
        <v>102</v>
      </c>
      <c r="BD3174" s="3" t="s">
        <v>68</v>
      </c>
      <c r="BE3174" s="3" t="s">
        <v>30780</v>
      </c>
      <c r="BF3174" s="3" t="s">
        <v>30779</v>
      </c>
      <c r="BG3174" s="3" t="s">
        <v>30781</v>
      </c>
    </row>
    <row r="3175" spans="1:59" ht="58" x14ac:dyDescent="0.35">
      <c r="A3175" s="2" t="s">
        <v>89</v>
      </c>
      <c r="B3175" s="2" t="s">
        <v>6124</v>
      </c>
      <c r="C3175" s="2" t="s">
        <v>30782</v>
      </c>
      <c r="D3175" s="2" t="s">
        <v>30783</v>
      </c>
      <c r="E3175" s="2" t="s">
        <v>30784</v>
      </c>
      <c r="G3175" s="3" t="s">
        <v>62</v>
      </c>
      <c r="I3175" s="3" t="s">
        <v>62</v>
      </c>
      <c r="J3175" s="3" t="s">
        <v>62</v>
      </c>
      <c r="K3175" s="3" t="s">
        <v>63</v>
      </c>
      <c r="M3175" s="2" t="s">
        <v>30785</v>
      </c>
      <c r="N3175" s="3" t="s">
        <v>712</v>
      </c>
      <c r="P3175" s="3" t="s">
        <v>64</v>
      </c>
      <c r="Q3175" s="2" t="s">
        <v>19266</v>
      </c>
      <c r="R3175" s="3" t="s">
        <v>27443</v>
      </c>
      <c r="S3175" s="4">
        <v>1</v>
      </c>
      <c r="T3175" s="4">
        <v>1</v>
      </c>
      <c r="U3175" s="5" t="s">
        <v>3303</v>
      </c>
      <c r="V3175" s="5" t="s">
        <v>3303</v>
      </c>
      <c r="W3175" s="5" t="s">
        <v>67</v>
      </c>
      <c r="X3175" s="5" t="s">
        <v>67</v>
      </c>
      <c r="Y3175" s="4">
        <v>74</v>
      </c>
      <c r="Z3175" s="4">
        <v>6</v>
      </c>
      <c r="AA3175" s="4">
        <v>16</v>
      </c>
      <c r="AB3175" s="4">
        <v>1</v>
      </c>
      <c r="AC3175" s="4">
        <v>4</v>
      </c>
      <c r="AD3175" s="4">
        <v>23</v>
      </c>
      <c r="AE3175" s="4">
        <v>44</v>
      </c>
      <c r="AF3175" s="4">
        <v>0</v>
      </c>
      <c r="AG3175" s="4">
        <v>0</v>
      </c>
      <c r="AH3175" s="4">
        <v>17</v>
      </c>
      <c r="AI3175" s="4">
        <v>35</v>
      </c>
      <c r="AJ3175" s="4">
        <v>3</v>
      </c>
      <c r="AK3175" s="4">
        <v>8</v>
      </c>
      <c r="AL3175" s="4">
        <v>9</v>
      </c>
      <c r="AM3175" s="4">
        <v>21</v>
      </c>
      <c r="AN3175" s="4">
        <v>0</v>
      </c>
      <c r="AO3175" s="4">
        <v>0</v>
      </c>
      <c r="AP3175" s="4">
        <v>5</v>
      </c>
      <c r="AQ3175" s="4">
        <v>11</v>
      </c>
      <c r="AR3175" s="3" t="s">
        <v>62</v>
      </c>
      <c r="AS3175" s="3" t="s">
        <v>62</v>
      </c>
      <c r="AT3175" s="3" t="s">
        <v>62</v>
      </c>
      <c r="AV3175" s="6" t="str">
        <f>HYPERLINK("http://mcgill.on.worldcat.org/oclc/853287123","Catalog Record")</f>
        <v>Catalog Record</v>
      </c>
      <c r="AW3175" s="6" t="str">
        <f>HYPERLINK("http://www.worldcat.org/oclc/853287123","WorldCat Record")</f>
        <v>WorldCat Record</v>
      </c>
      <c r="AX3175" s="3" t="s">
        <v>30786</v>
      </c>
      <c r="AY3175" s="3" t="s">
        <v>30787</v>
      </c>
      <c r="AZ3175" s="3" t="s">
        <v>30788</v>
      </c>
      <c r="BA3175" s="3" t="s">
        <v>30788</v>
      </c>
      <c r="BB3175" s="3" t="s">
        <v>30789</v>
      </c>
      <c r="BC3175" s="3" t="s">
        <v>102</v>
      </c>
      <c r="BD3175" s="3" t="s">
        <v>1135</v>
      </c>
      <c r="BE3175" s="3" t="s">
        <v>30790</v>
      </c>
      <c r="BF3175" s="3" t="s">
        <v>30789</v>
      </c>
      <c r="BG3175" s="3" t="s">
        <v>30791</v>
      </c>
    </row>
    <row r="3176" spans="1:59" ht="58" x14ac:dyDescent="0.35">
      <c r="A3176" s="2" t="s">
        <v>89</v>
      </c>
      <c r="B3176" s="2" t="s">
        <v>90</v>
      </c>
      <c r="C3176" s="2" t="s">
        <v>30792</v>
      </c>
      <c r="D3176" s="2" t="s">
        <v>30793</v>
      </c>
      <c r="E3176" s="2" t="s">
        <v>30794</v>
      </c>
      <c r="G3176" s="3" t="s">
        <v>62</v>
      </c>
      <c r="I3176" s="3" t="s">
        <v>62</v>
      </c>
      <c r="J3176" s="3" t="s">
        <v>62</v>
      </c>
      <c r="K3176" s="3" t="s">
        <v>63</v>
      </c>
      <c r="L3176" s="2" t="s">
        <v>30795</v>
      </c>
      <c r="M3176" s="2" t="s">
        <v>20098</v>
      </c>
      <c r="N3176" s="3" t="s">
        <v>1038</v>
      </c>
      <c r="P3176" s="3" t="s">
        <v>64</v>
      </c>
      <c r="Q3176" s="2" t="s">
        <v>30658</v>
      </c>
      <c r="R3176" s="3" t="s">
        <v>27443</v>
      </c>
      <c r="S3176" s="4">
        <v>4</v>
      </c>
      <c r="T3176" s="4">
        <v>4</v>
      </c>
      <c r="U3176" s="5" t="s">
        <v>30796</v>
      </c>
      <c r="V3176" s="5" t="s">
        <v>30796</v>
      </c>
      <c r="W3176" s="5" t="s">
        <v>67</v>
      </c>
      <c r="X3176" s="5" t="s">
        <v>67</v>
      </c>
      <c r="Y3176" s="4">
        <v>88</v>
      </c>
      <c r="Z3176" s="4">
        <v>5</v>
      </c>
      <c r="AA3176" s="4">
        <v>12</v>
      </c>
      <c r="AB3176" s="4">
        <v>1</v>
      </c>
      <c r="AC3176" s="4">
        <v>5</v>
      </c>
      <c r="AD3176" s="4">
        <v>23</v>
      </c>
      <c r="AE3176" s="4">
        <v>40</v>
      </c>
      <c r="AF3176" s="4">
        <v>0</v>
      </c>
      <c r="AG3176" s="4">
        <v>1</v>
      </c>
      <c r="AH3176" s="4">
        <v>21</v>
      </c>
      <c r="AI3176" s="4">
        <v>35</v>
      </c>
      <c r="AJ3176" s="4">
        <v>2</v>
      </c>
      <c r="AK3176" s="4">
        <v>4</v>
      </c>
      <c r="AL3176" s="4">
        <v>12</v>
      </c>
      <c r="AM3176" s="4">
        <v>20</v>
      </c>
      <c r="AN3176" s="4">
        <v>0</v>
      </c>
      <c r="AO3176" s="4">
        <v>0</v>
      </c>
      <c r="AP3176" s="4">
        <v>3</v>
      </c>
      <c r="AQ3176" s="4">
        <v>7</v>
      </c>
      <c r="AR3176" s="3" t="s">
        <v>62</v>
      </c>
      <c r="AS3176" s="3" t="s">
        <v>62</v>
      </c>
      <c r="AT3176" s="3" t="s">
        <v>62</v>
      </c>
      <c r="AV3176" s="6" t="str">
        <f>HYPERLINK("http://mcgill.on.worldcat.org/oclc/915323917","Catalog Record")</f>
        <v>Catalog Record</v>
      </c>
      <c r="AW3176" s="6" t="str">
        <f>HYPERLINK("http://www.worldcat.org/oclc/915323917","WorldCat Record")</f>
        <v>WorldCat Record</v>
      </c>
      <c r="AX3176" s="3" t="s">
        <v>30797</v>
      </c>
      <c r="AY3176" s="3" t="s">
        <v>30798</v>
      </c>
      <c r="AZ3176" s="3" t="s">
        <v>30799</v>
      </c>
      <c r="BA3176" s="3" t="s">
        <v>30799</v>
      </c>
      <c r="BB3176" s="3" t="s">
        <v>30800</v>
      </c>
      <c r="BC3176" s="3" t="s">
        <v>102</v>
      </c>
      <c r="BD3176" s="3" t="s">
        <v>68</v>
      </c>
      <c r="BE3176" s="3" t="s">
        <v>30801</v>
      </c>
      <c r="BF3176" s="3" t="s">
        <v>30800</v>
      </c>
      <c r="BG3176" s="3" t="s">
        <v>30802</v>
      </c>
    </row>
    <row r="3177" spans="1:59" ht="58" x14ac:dyDescent="0.35">
      <c r="A3177" s="2" t="s">
        <v>89</v>
      </c>
      <c r="B3177" s="2" t="s">
        <v>90</v>
      </c>
      <c r="C3177" s="2" t="s">
        <v>30803</v>
      </c>
      <c r="D3177" s="2" t="s">
        <v>30804</v>
      </c>
      <c r="E3177" s="2" t="s">
        <v>30805</v>
      </c>
      <c r="G3177" s="3" t="s">
        <v>62</v>
      </c>
      <c r="I3177" s="3" t="s">
        <v>62</v>
      </c>
      <c r="J3177" s="3" t="s">
        <v>62</v>
      </c>
      <c r="K3177" s="3" t="s">
        <v>63</v>
      </c>
      <c r="L3177" s="2" t="s">
        <v>30806</v>
      </c>
      <c r="M3177" s="2" t="s">
        <v>30807</v>
      </c>
      <c r="N3177" s="3" t="s">
        <v>684</v>
      </c>
      <c r="P3177" s="3" t="s">
        <v>64</v>
      </c>
      <c r="R3177" s="3" t="s">
        <v>27443</v>
      </c>
      <c r="S3177" s="4">
        <v>2</v>
      </c>
      <c r="T3177" s="4">
        <v>2</v>
      </c>
      <c r="U3177" s="5" t="s">
        <v>80</v>
      </c>
      <c r="V3177" s="5" t="s">
        <v>80</v>
      </c>
      <c r="W3177" s="5" t="s">
        <v>67</v>
      </c>
      <c r="X3177" s="5" t="s">
        <v>67</v>
      </c>
      <c r="Y3177" s="4">
        <v>119</v>
      </c>
      <c r="Z3177" s="4">
        <v>15</v>
      </c>
      <c r="AA3177" s="4">
        <v>45</v>
      </c>
      <c r="AB3177" s="4">
        <v>1</v>
      </c>
      <c r="AC3177" s="4">
        <v>3</v>
      </c>
      <c r="AD3177" s="4">
        <v>47</v>
      </c>
      <c r="AE3177" s="4">
        <v>59</v>
      </c>
      <c r="AF3177" s="4">
        <v>0</v>
      </c>
      <c r="AG3177" s="4">
        <v>0</v>
      </c>
      <c r="AH3177" s="4">
        <v>43</v>
      </c>
      <c r="AI3177" s="4">
        <v>47</v>
      </c>
      <c r="AJ3177" s="4">
        <v>10</v>
      </c>
      <c r="AK3177" s="4">
        <v>13</v>
      </c>
      <c r="AL3177" s="4">
        <v>26</v>
      </c>
      <c r="AM3177" s="4">
        <v>27</v>
      </c>
      <c r="AN3177" s="4">
        <v>0</v>
      </c>
      <c r="AO3177" s="4">
        <v>0</v>
      </c>
      <c r="AP3177" s="4">
        <v>11</v>
      </c>
      <c r="AQ3177" s="4">
        <v>19</v>
      </c>
      <c r="AR3177" s="3" t="s">
        <v>62</v>
      </c>
      <c r="AS3177" s="3" t="s">
        <v>62</v>
      </c>
      <c r="AT3177" s="3" t="s">
        <v>62</v>
      </c>
      <c r="AV3177" s="6" t="str">
        <f>HYPERLINK("http://mcgill.on.worldcat.org/oclc/752791164","Catalog Record")</f>
        <v>Catalog Record</v>
      </c>
      <c r="AW3177" s="6" t="str">
        <f>HYPERLINK("http://www.worldcat.org/oclc/752791164","WorldCat Record")</f>
        <v>WorldCat Record</v>
      </c>
      <c r="AX3177" s="3" t="s">
        <v>30808</v>
      </c>
      <c r="AY3177" s="3" t="s">
        <v>30809</v>
      </c>
      <c r="AZ3177" s="3" t="s">
        <v>30810</v>
      </c>
      <c r="BA3177" s="3" t="s">
        <v>30810</v>
      </c>
      <c r="BB3177" s="3" t="s">
        <v>30811</v>
      </c>
      <c r="BC3177" s="3" t="s">
        <v>102</v>
      </c>
      <c r="BD3177" s="3" t="s">
        <v>68</v>
      </c>
      <c r="BE3177" s="3" t="s">
        <v>30812</v>
      </c>
      <c r="BF3177" s="3" t="s">
        <v>30811</v>
      </c>
      <c r="BG3177" s="3" t="s">
        <v>30813</v>
      </c>
    </row>
    <row r="3178" spans="1:59" ht="58" x14ac:dyDescent="0.35">
      <c r="A3178" s="2" t="s">
        <v>89</v>
      </c>
      <c r="B3178" s="2" t="s">
        <v>90</v>
      </c>
      <c r="C3178" s="2" t="s">
        <v>30814</v>
      </c>
      <c r="D3178" s="2" t="s">
        <v>30815</v>
      </c>
      <c r="E3178" s="2" t="s">
        <v>30816</v>
      </c>
      <c r="G3178" s="3" t="s">
        <v>62</v>
      </c>
      <c r="I3178" s="3" t="s">
        <v>62</v>
      </c>
      <c r="J3178" s="3" t="s">
        <v>62</v>
      </c>
      <c r="K3178" s="3" t="s">
        <v>63</v>
      </c>
      <c r="L3178" s="2" t="s">
        <v>30817</v>
      </c>
      <c r="M3178" s="2" t="s">
        <v>30818</v>
      </c>
      <c r="N3178" s="3" t="s">
        <v>129</v>
      </c>
      <c r="P3178" s="3" t="s">
        <v>64</v>
      </c>
      <c r="R3178" s="3" t="s">
        <v>27443</v>
      </c>
      <c r="S3178" s="4">
        <v>5</v>
      </c>
      <c r="T3178" s="4">
        <v>5</v>
      </c>
      <c r="U3178" s="5" t="s">
        <v>26184</v>
      </c>
      <c r="V3178" s="5" t="s">
        <v>26184</v>
      </c>
      <c r="W3178" s="5" t="s">
        <v>67</v>
      </c>
      <c r="X3178" s="5" t="s">
        <v>67</v>
      </c>
      <c r="Y3178" s="4">
        <v>127</v>
      </c>
      <c r="Z3178" s="4">
        <v>20</v>
      </c>
      <c r="AA3178" s="4">
        <v>82</v>
      </c>
      <c r="AB3178" s="4">
        <v>2</v>
      </c>
      <c r="AC3178" s="4">
        <v>15</v>
      </c>
      <c r="AD3178" s="4">
        <v>47</v>
      </c>
      <c r="AE3178" s="4">
        <v>113</v>
      </c>
      <c r="AF3178" s="4">
        <v>1</v>
      </c>
      <c r="AG3178" s="4">
        <v>8</v>
      </c>
      <c r="AH3178" s="4">
        <v>38</v>
      </c>
      <c r="AI3178" s="4">
        <v>78</v>
      </c>
      <c r="AJ3178" s="4">
        <v>12</v>
      </c>
      <c r="AK3178" s="4">
        <v>25</v>
      </c>
      <c r="AL3178" s="4">
        <v>24</v>
      </c>
      <c r="AM3178" s="4">
        <v>39</v>
      </c>
      <c r="AN3178" s="4">
        <v>0</v>
      </c>
      <c r="AO3178" s="4">
        <v>0</v>
      </c>
      <c r="AP3178" s="4">
        <v>16</v>
      </c>
      <c r="AQ3178" s="4">
        <v>45</v>
      </c>
      <c r="AR3178" s="3" t="s">
        <v>62</v>
      </c>
      <c r="AS3178" s="3" t="s">
        <v>62</v>
      </c>
      <c r="AT3178" s="3" t="s">
        <v>62</v>
      </c>
      <c r="AV3178" s="6" t="str">
        <f>HYPERLINK("http://mcgill.on.worldcat.org/oclc/758394677","Catalog Record")</f>
        <v>Catalog Record</v>
      </c>
      <c r="AW3178" s="6" t="str">
        <f>HYPERLINK("http://www.worldcat.org/oclc/758394677","WorldCat Record")</f>
        <v>WorldCat Record</v>
      </c>
      <c r="AX3178" s="3" t="s">
        <v>30819</v>
      </c>
      <c r="AY3178" s="3" t="s">
        <v>30820</v>
      </c>
      <c r="AZ3178" s="3" t="s">
        <v>30821</v>
      </c>
      <c r="BA3178" s="3" t="s">
        <v>30821</v>
      </c>
      <c r="BB3178" s="3" t="s">
        <v>30822</v>
      </c>
      <c r="BC3178" s="3" t="s">
        <v>102</v>
      </c>
      <c r="BD3178" s="3" t="s">
        <v>68</v>
      </c>
      <c r="BE3178" s="3" t="s">
        <v>30823</v>
      </c>
      <c r="BF3178" s="3" t="s">
        <v>30822</v>
      </c>
      <c r="BG3178" s="3" t="s">
        <v>30824</v>
      </c>
    </row>
    <row r="3179" spans="1:59" ht="72.5" x14ac:dyDescent="0.35">
      <c r="A3179" s="2" t="s">
        <v>89</v>
      </c>
      <c r="B3179" s="2" t="s">
        <v>1231</v>
      </c>
      <c r="C3179" s="2" t="s">
        <v>30825</v>
      </c>
      <c r="D3179" s="2" t="s">
        <v>30826</v>
      </c>
      <c r="E3179" s="2" t="s">
        <v>30827</v>
      </c>
      <c r="G3179" s="3" t="s">
        <v>62</v>
      </c>
      <c r="I3179" s="3" t="s">
        <v>62</v>
      </c>
      <c r="J3179" s="3" t="s">
        <v>62</v>
      </c>
      <c r="K3179" s="3" t="s">
        <v>63</v>
      </c>
      <c r="L3179" s="2" t="s">
        <v>30828</v>
      </c>
      <c r="M3179" s="2" t="s">
        <v>30829</v>
      </c>
      <c r="N3179" s="3" t="s">
        <v>698</v>
      </c>
      <c r="P3179" s="3" t="s">
        <v>64</v>
      </c>
      <c r="R3179" s="3" t="s">
        <v>27443</v>
      </c>
      <c r="S3179" s="4">
        <v>3</v>
      </c>
      <c r="T3179" s="4">
        <v>3</v>
      </c>
      <c r="U3179" s="5" t="s">
        <v>30830</v>
      </c>
      <c r="V3179" s="5" t="s">
        <v>30830</v>
      </c>
      <c r="W3179" s="5" t="s">
        <v>67</v>
      </c>
      <c r="X3179" s="5" t="s">
        <v>67</v>
      </c>
      <c r="Y3179" s="4">
        <v>621</v>
      </c>
      <c r="Z3179" s="4">
        <v>38</v>
      </c>
      <c r="AA3179" s="4">
        <v>100</v>
      </c>
      <c r="AB3179" s="4">
        <v>4</v>
      </c>
      <c r="AC3179" s="4">
        <v>16</v>
      </c>
      <c r="AD3179" s="4">
        <v>88</v>
      </c>
      <c r="AE3179" s="4">
        <v>140</v>
      </c>
      <c r="AF3179" s="4">
        <v>2</v>
      </c>
      <c r="AG3179" s="4">
        <v>8</v>
      </c>
      <c r="AH3179" s="4">
        <v>69</v>
      </c>
      <c r="AI3179" s="4">
        <v>99</v>
      </c>
      <c r="AJ3179" s="4">
        <v>16</v>
      </c>
      <c r="AK3179" s="4">
        <v>26</v>
      </c>
      <c r="AL3179" s="4">
        <v>36</v>
      </c>
      <c r="AM3179" s="4">
        <v>50</v>
      </c>
      <c r="AN3179" s="4">
        <v>0</v>
      </c>
      <c r="AO3179" s="4">
        <v>0</v>
      </c>
      <c r="AP3179" s="4">
        <v>27</v>
      </c>
      <c r="AQ3179" s="4">
        <v>51</v>
      </c>
      <c r="AR3179" s="3" t="s">
        <v>62</v>
      </c>
      <c r="AS3179" s="3" t="s">
        <v>62</v>
      </c>
      <c r="AT3179" s="3" t="s">
        <v>62</v>
      </c>
      <c r="AV3179" s="6" t="str">
        <f>HYPERLINK("http://mcgill.on.worldcat.org/oclc/759050076","Catalog Record")</f>
        <v>Catalog Record</v>
      </c>
      <c r="AW3179" s="6" t="str">
        <f>HYPERLINK("http://www.worldcat.org/oclc/759050076","WorldCat Record")</f>
        <v>WorldCat Record</v>
      </c>
      <c r="AX3179" s="3" t="s">
        <v>30831</v>
      </c>
      <c r="AY3179" s="3" t="s">
        <v>30832</v>
      </c>
      <c r="AZ3179" s="3" t="s">
        <v>30833</v>
      </c>
      <c r="BA3179" s="3" t="s">
        <v>30833</v>
      </c>
      <c r="BB3179" s="3" t="s">
        <v>30834</v>
      </c>
      <c r="BC3179" s="3" t="s">
        <v>102</v>
      </c>
      <c r="BD3179" s="3" t="s">
        <v>68</v>
      </c>
      <c r="BE3179" s="3" t="s">
        <v>30835</v>
      </c>
      <c r="BF3179" s="3" t="s">
        <v>30834</v>
      </c>
      <c r="BG3179" s="3" t="s">
        <v>30836</v>
      </c>
    </row>
    <row r="3180" spans="1:59" ht="58" x14ac:dyDescent="0.35">
      <c r="A3180" s="2" t="s">
        <v>89</v>
      </c>
      <c r="B3180" s="2" t="s">
        <v>6124</v>
      </c>
      <c r="C3180" s="2" t="s">
        <v>30837</v>
      </c>
      <c r="D3180" s="2" t="s">
        <v>30838</v>
      </c>
      <c r="E3180" s="2" t="s">
        <v>30839</v>
      </c>
      <c r="G3180" s="3" t="s">
        <v>62</v>
      </c>
      <c r="I3180" s="3" t="s">
        <v>62</v>
      </c>
      <c r="J3180" s="3" t="s">
        <v>62</v>
      </c>
      <c r="K3180" s="3" t="s">
        <v>63</v>
      </c>
      <c r="L3180" s="2" t="s">
        <v>30840</v>
      </c>
      <c r="M3180" s="2" t="s">
        <v>30841</v>
      </c>
      <c r="N3180" s="3" t="s">
        <v>726</v>
      </c>
      <c r="P3180" s="3" t="s">
        <v>64</v>
      </c>
      <c r="R3180" s="3" t="s">
        <v>27443</v>
      </c>
      <c r="S3180" s="4">
        <v>2</v>
      </c>
      <c r="T3180" s="4">
        <v>2</v>
      </c>
      <c r="U3180" s="5" t="s">
        <v>1579</v>
      </c>
      <c r="V3180" s="5" t="s">
        <v>1579</v>
      </c>
      <c r="W3180" s="5" t="s">
        <v>67</v>
      </c>
      <c r="X3180" s="5" t="s">
        <v>67</v>
      </c>
      <c r="Y3180" s="4">
        <v>335</v>
      </c>
      <c r="Z3180" s="4">
        <v>36</v>
      </c>
      <c r="AA3180" s="4">
        <v>44</v>
      </c>
      <c r="AB3180" s="4">
        <v>3</v>
      </c>
      <c r="AC3180" s="4">
        <v>8</v>
      </c>
      <c r="AD3180" s="4">
        <v>35</v>
      </c>
      <c r="AE3180" s="4">
        <v>38</v>
      </c>
      <c r="AF3180" s="4">
        <v>0</v>
      </c>
      <c r="AG3180" s="4">
        <v>1</v>
      </c>
      <c r="AH3180" s="4">
        <v>25</v>
      </c>
      <c r="AI3180" s="4">
        <v>27</v>
      </c>
      <c r="AJ3180" s="4">
        <v>10</v>
      </c>
      <c r="AK3180" s="4">
        <v>10</v>
      </c>
      <c r="AL3180" s="4">
        <v>13</v>
      </c>
      <c r="AM3180" s="4">
        <v>15</v>
      </c>
      <c r="AN3180" s="4">
        <v>0</v>
      </c>
      <c r="AO3180" s="4">
        <v>0</v>
      </c>
      <c r="AP3180" s="4">
        <v>11</v>
      </c>
      <c r="AQ3180" s="4">
        <v>12</v>
      </c>
      <c r="AR3180" s="3" t="s">
        <v>61</v>
      </c>
      <c r="AS3180" s="3" t="s">
        <v>62</v>
      </c>
      <c r="AT3180" s="3" t="s">
        <v>62</v>
      </c>
      <c r="AV3180" s="6" t="str">
        <f>HYPERLINK("http://mcgill.on.worldcat.org/oclc/980364538","Catalog Record")</f>
        <v>Catalog Record</v>
      </c>
      <c r="AW3180" s="6" t="str">
        <f>HYPERLINK("http://www.worldcat.org/oclc/980364538","WorldCat Record")</f>
        <v>WorldCat Record</v>
      </c>
      <c r="AX3180" s="3" t="s">
        <v>30842</v>
      </c>
      <c r="AY3180" s="3" t="s">
        <v>30843</v>
      </c>
      <c r="AZ3180" s="3" t="s">
        <v>30844</v>
      </c>
      <c r="BA3180" s="3" t="s">
        <v>30844</v>
      </c>
      <c r="BB3180" s="3" t="s">
        <v>30845</v>
      </c>
      <c r="BC3180" s="3" t="s">
        <v>102</v>
      </c>
      <c r="BD3180" s="3" t="s">
        <v>68</v>
      </c>
      <c r="BE3180" s="3" t="s">
        <v>30846</v>
      </c>
      <c r="BF3180" s="3" t="s">
        <v>30845</v>
      </c>
      <c r="BG3180" s="3" t="s">
        <v>30847</v>
      </c>
    </row>
    <row r="3181" spans="1:59" ht="58" x14ac:dyDescent="0.35">
      <c r="A3181" s="2" t="s">
        <v>89</v>
      </c>
      <c r="B3181" s="2" t="s">
        <v>90</v>
      </c>
      <c r="C3181" s="2" t="s">
        <v>30848</v>
      </c>
      <c r="D3181" s="2" t="s">
        <v>30849</v>
      </c>
      <c r="E3181" s="2" t="s">
        <v>30850</v>
      </c>
      <c r="G3181" s="3" t="s">
        <v>62</v>
      </c>
      <c r="I3181" s="3" t="s">
        <v>62</v>
      </c>
      <c r="J3181" s="3" t="s">
        <v>62</v>
      </c>
      <c r="K3181" s="3" t="s">
        <v>63</v>
      </c>
      <c r="M3181" s="2" t="s">
        <v>30657</v>
      </c>
      <c r="N3181" s="3" t="s">
        <v>712</v>
      </c>
      <c r="P3181" s="3" t="s">
        <v>64</v>
      </c>
      <c r="Q3181" s="2" t="s">
        <v>30658</v>
      </c>
      <c r="R3181" s="3" t="s">
        <v>27443</v>
      </c>
      <c r="S3181" s="4">
        <v>4</v>
      </c>
      <c r="T3181" s="4">
        <v>4</v>
      </c>
      <c r="U3181" s="5" t="s">
        <v>26184</v>
      </c>
      <c r="V3181" s="5" t="s">
        <v>26184</v>
      </c>
      <c r="W3181" s="5" t="s">
        <v>67</v>
      </c>
      <c r="X3181" s="5" t="s">
        <v>67</v>
      </c>
      <c r="Y3181" s="4">
        <v>89</v>
      </c>
      <c r="Z3181" s="4">
        <v>6</v>
      </c>
      <c r="AA3181" s="4">
        <v>15</v>
      </c>
      <c r="AB3181" s="4">
        <v>1</v>
      </c>
      <c r="AC3181" s="4">
        <v>6</v>
      </c>
      <c r="AD3181" s="4">
        <v>33</v>
      </c>
      <c r="AE3181" s="4">
        <v>46</v>
      </c>
      <c r="AF3181" s="4">
        <v>0</v>
      </c>
      <c r="AG3181" s="4">
        <v>1</v>
      </c>
      <c r="AH3181" s="4">
        <v>29</v>
      </c>
      <c r="AI3181" s="4">
        <v>40</v>
      </c>
      <c r="AJ3181" s="4">
        <v>2</v>
      </c>
      <c r="AK3181" s="4">
        <v>6</v>
      </c>
      <c r="AL3181" s="4">
        <v>23</v>
      </c>
      <c r="AM3181" s="4">
        <v>30</v>
      </c>
      <c r="AN3181" s="4">
        <v>0</v>
      </c>
      <c r="AO3181" s="4">
        <v>0</v>
      </c>
      <c r="AP3181" s="4">
        <v>4</v>
      </c>
      <c r="AQ3181" s="4">
        <v>9</v>
      </c>
      <c r="AR3181" s="3" t="s">
        <v>62</v>
      </c>
      <c r="AS3181" s="3" t="s">
        <v>62</v>
      </c>
      <c r="AT3181" s="3" t="s">
        <v>62</v>
      </c>
      <c r="AV3181" s="6" t="str">
        <f>HYPERLINK("http://mcgill.on.worldcat.org/oclc/832277435","Catalog Record")</f>
        <v>Catalog Record</v>
      </c>
      <c r="AW3181" s="6" t="str">
        <f>HYPERLINK("http://www.worldcat.org/oclc/832277435","WorldCat Record")</f>
        <v>WorldCat Record</v>
      </c>
      <c r="AX3181" s="3" t="s">
        <v>30851</v>
      </c>
      <c r="AY3181" s="3" t="s">
        <v>30852</v>
      </c>
      <c r="AZ3181" s="3" t="s">
        <v>30853</v>
      </c>
      <c r="BA3181" s="3" t="s">
        <v>30853</v>
      </c>
      <c r="BB3181" s="3" t="s">
        <v>30854</v>
      </c>
      <c r="BC3181" s="3" t="s">
        <v>102</v>
      </c>
      <c r="BD3181" s="3" t="s">
        <v>231</v>
      </c>
      <c r="BE3181" s="3" t="s">
        <v>30855</v>
      </c>
      <c r="BF3181" s="3" t="s">
        <v>30854</v>
      </c>
      <c r="BG3181" s="3" t="s">
        <v>30856</v>
      </c>
    </row>
    <row r="3182" spans="1:59" ht="58" x14ac:dyDescent="0.35">
      <c r="A3182" s="2" t="s">
        <v>89</v>
      </c>
      <c r="B3182" s="2" t="s">
        <v>6124</v>
      </c>
      <c r="C3182" s="2" t="s">
        <v>30857</v>
      </c>
      <c r="D3182" s="2" t="s">
        <v>30858</v>
      </c>
      <c r="E3182" s="2" t="s">
        <v>30859</v>
      </c>
      <c r="G3182" s="3" t="s">
        <v>62</v>
      </c>
      <c r="I3182" s="3" t="s">
        <v>62</v>
      </c>
      <c r="J3182" s="3" t="s">
        <v>62</v>
      </c>
      <c r="K3182" s="3" t="s">
        <v>63</v>
      </c>
      <c r="L3182" s="2" t="s">
        <v>30860</v>
      </c>
      <c r="M3182" s="2" t="s">
        <v>30861</v>
      </c>
      <c r="N3182" s="3" t="s">
        <v>2085</v>
      </c>
      <c r="P3182" s="3" t="s">
        <v>64</v>
      </c>
      <c r="R3182" s="3" t="s">
        <v>27443</v>
      </c>
      <c r="S3182" s="4">
        <v>0</v>
      </c>
      <c r="T3182" s="4">
        <v>0</v>
      </c>
      <c r="W3182" s="5" t="s">
        <v>67</v>
      </c>
      <c r="X3182" s="5" t="s">
        <v>67</v>
      </c>
      <c r="Y3182" s="4">
        <v>72</v>
      </c>
      <c r="Z3182" s="4">
        <v>14</v>
      </c>
      <c r="AA3182" s="4">
        <v>32</v>
      </c>
      <c r="AB3182" s="4">
        <v>1</v>
      </c>
      <c r="AC3182" s="4">
        <v>7</v>
      </c>
      <c r="AD3182" s="4">
        <v>23</v>
      </c>
      <c r="AE3182" s="4">
        <v>47</v>
      </c>
      <c r="AF3182" s="4">
        <v>0</v>
      </c>
      <c r="AG3182" s="4">
        <v>3</v>
      </c>
      <c r="AH3182" s="4">
        <v>17</v>
      </c>
      <c r="AI3182" s="4">
        <v>33</v>
      </c>
      <c r="AJ3182" s="4">
        <v>8</v>
      </c>
      <c r="AK3182" s="4">
        <v>12</v>
      </c>
      <c r="AL3182" s="4">
        <v>10</v>
      </c>
      <c r="AM3182" s="4">
        <v>18</v>
      </c>
      <c r="AN3182" s="4">
        <v>0</v>
      </c>
      <c r="AO3182" s="4">
        <v>0</v>
      </c>
      <c r="AP3182" s="4">
        <v>9</v>
      </c>
      <c r="AQ3182" s="4">
        <v>19</v>
      </c>
      <c r="AR3182" s="3" t="s">
        <v>61</v>
      </c>
      <c r="AS3182" s="3" t="s">
        <v>62</v>
      </c>
      <c r="AT3182" s="3" t="s">
        <v>62</v>
      </c>
      <c r="AV3182" s="6" t="str">
        <f>HYPERLINK("http://mcgill.on.worldcat.org/oclc/1127772913","Catalog Record")</f>
        <v>Catalog Record</v>
      </c>
      <c r="AW3182" s="6" t="str">
        <f>HYPERLINK("http://www.worldcat.org/oclc/1127772913","WorldCat Record")</f>
        <v>WorldCat Record</v>
      </c>
      <c r="AX3182" s="3" t="s">
        <v>30862</v>
      </c>
      <c r="AY3182" s="3" t="s">
        <v>30863</v>
      </c>
      <c r="AZ3182" s="3" t="s">
        <v>30864</v>
      </c>
      <c r="BA3182" s="3" t="s">
        <v>30864</v>
      </c>
      <c r="BB3182" s="3" t="s">
        <v>30865</v>
      </c>
      <c r="BC3182" s="3" t="s">
        <v>102</v>
      </c>
      <c r="BD3182" s="3" t="s">
        <v>68</v>
      </c>
      <c r="BE3182" s="3" t="s">
        <v>30866</v>
      </c>
      <c r="BF3182" s="3" t="s">
        <v>30865</v>
      </c>
      <c r="BG3182" s="3" t="s">
        <v>30867</v>
      </c>
    </row>
    <row r="3183" spans="1:59" ht="58" x14ac:dyDescent="0.35">
      <c r="A3183" s="2" t="s">
        <v>89</v>
      </c>
      <c r="B3183" s="2" t="s">
        <v>90</v>
      </c>
      <c r="C3183" s="2" t="s">
        <v>30868</v>
      </c>
      <c r="D3183" s="2" t="s">
        <v>30869</v>
      </c>
      <c r="E3183" s="2" t="s">
        <v>30870</v>
      </c>
      <c r="G3183" s="3" t="s">
        <v>62</v>
      </c>
      <c r="I3183" s="3" t="s">
        <v>62</v>
      </c>
      <c r="J3183" s="3" t="s">
        <v>62</v>
      </c>
      <c r="K3183" s="3" t="s">
        <v>63</v>
      </c>
      <c r="L3183" s="2" t="s">
        <v>30871</v>
      </c>
      <c r="M3183" s="2" t="s">
        <v>30872</v>
      </c>
      <c r="N3183" s="3" t="s">
        <v>1455</v>
      </c>
      <c r="P3183" s="3" t="s">
        <v>64</v>
      </c>
      <c r="R3183" s="3" t="s">
        <v>27443</v>
      </c>
      <c r="S3183" s="4">
        <v>8</v>
      </c>
      <c r="T3183" s="4">
        <v>8</v>
      </c>
      <c r="U3183" s="5" t="s">
        <v>19000</v>
      </c>
      <c r="V3183" s="5" t="s">
        <v>19000</v>
      </c>
      <c r="W3183" s="5" t="s">
        <v>67</v>
      </c>
      <c r="X3183" s="5" t="s">
        <v>67</v>
      </c>
      <c r="Y3183" s="4">
        <v>682</v>
      </c>
      <c r="Z3183" s="4">
        <v>36</v>
      </c>
      <c r="AA3183" s="4">
        <v>54</v>
      </c>
      <c r="AB3183" s="4">
        <v>4</v>
      </c>
      <c r="AC3183" s="4">
        <v>13</v>
      </c>
      <c r="AD3183" s="4">
        <v>64</v>
      </c>
      <c r="AE3183" s="4">
        <v>93</v>
      </c>
      <c r="AF3183" s="4">
        <v>2</v>
      </c>
      <c r="AG3183" s="4">
        <v>5</v>
      </c>
      <c r="AH3183" s="4">
        <v>52</v>
      </c>
      <c r="AI3183" s="4">
        <v>73</v>
      </c>
      <c r="AJ3183" s="4">
        <v>11</v>
      </c>
      <c r="AK3183" s="4">
        <v>16</v>
      </c>
      <c r="AL3183" s="4">
        <v>28</v>
      </c>
      <c r="AM3183" s="4">
        <v>41</v>
      </c>
      <c r="AN3183" s="4">
        <v>0</v>
      </c>
      <c r="AO3183" s="4">
        <v>0</v>
      </c>
      <c r="AP3183" s="4">
        <v>16</v>
      </c>
      <c r="AQ3183" s="4">
        <v>23</v>
      </c>
      <c r="AR3183" s="3" t="s">
        <v>62</v>
      </c>
      <c r="AS3183" s="3" t="s">
        <v>62</v>
      </c>
      <c r="AT3183" s="3" t="s">
        <v>62</v>
      </c>
      <c r="AV3183" s="6" t="str">
        <f>HYPERLINK("http://mcgill.on.worldcat.org/oclc/890107122","Catalog Record")</f>
        <v>Catalog Record</v>
      </c>
      <c r="AW3183" s="6" t="str">
        <f>HYPERLINK("http://www.worldcat.org/oclc/890107122","WorldCat Record")</f>
        <v>WorldCat Record</v>
      </c>
      <c r="AX3183" s="3" t="s">
        <v>30873</v>
      </c>
      <c r="AY3183" s="3" t="s">
        <v>30874</v>
      </c>
      <c r="AZ3183" s="3" t="s">
        <v>30875</v>
      </c>
      <c r="BA3183" s="3" t="s">
        <v>30875</v>
      </c>
      <c r="BB3183" s="3" t="s">
        <v>30876</v>
      </c>
      <c r="BC3183" s="3" t="s">
        <v>102</v>
      </c>
      <c r="BD3183" s="3" t="s">
        <v>231</v>
      </c>
      <c r="BE3183" s="3" t="s">
        <v>30877</v>
      </c>
      <c r="BF3183" s="3" t="s">
        <v>30876</v>
      </c>
      <c r="BG3183" s="3" t="s">
        <v>30878</v>
      </c>
    </row>
    <row r="3184" spans="1:59" ht="58" x14ac:dyDescent="0.35">
      <c r="A3184" s="2" t="s">
        <v>89</v>
      </c>
      <c r="B3184" s="2" t="s">
        <v>90</v>
      </c>
      <c r="C3184" s="2" t="s">
        <v>30879</v>
      </c>
      <c r="D3184" s="2" t="s">
        <v>30880</v>
      </c>
      <c r="E3184" s="2" t="s">
        <v>30881</v>
      </c>
      <c r="G3184" s="3" t="s">
        <v>62</v>
      </c>
      <c r="I3184" s="3" t="s">
        <v>62</v>
      </c>
      <c r="J3184" s="3" t="s">
        <v>62</v>
      </c>
      <c r="K3184" s="3" t="s">
        <v>63</v>
      </c>
      <c r="L3184" s="2" t="s">
        <v>30882</v>
      </c>
      <c r="M3184" s="2" t="s">
        <v>20098</v>
      </c>
      <c r="N3184" s="3" t="s">
        <v>1038</v>
      </c>
      <c r="P3184" s="3" t="s">
        <v>64</v>
      </c>
      <c r="Q3184" s="2" t="s">
        <v>30883</v>
      </c>
      <c r="R3184" s="3" t="s">
        <v>27443</v>
      </c>
      <c r="S3184" s="4">
        <v>1</v>
      </c>
      <c r="T3184" s="4">
        <v>1</v>
      </c>
      <c r="U3184" s="5" t="s">
        <v>26184</v>
      </c>
      <c r="V3184" s="5" t="s">
        <v>26184</v>
      </c>
      <c r="W3184" s="5" t="s">
        <v>67</v>
      </c>
      <c r="X3184" s="5" t="s">
        <v>67</v>
      </c>
      <c r="Y3184" s="4">
        <v>68</v>
      </c>
      <c r="Z3184" s="4">
        <v>3</v>
      </c>
      <c r="AA3184" s="4">
        <v>8</v>
      </c>
      <c r="AB3184" s="4">
        <v>1</v>
      </c>
      <c r="AC3184" s="4">
        <v>4</v>
      </c>
      <c r="AD3184" s="4">
        <v>25</v>
      </c>
      <c r="AE3184" s="4">
        <v>39</v>
      </c>
      <c r="AF3184" s="4">
        <v>0</v>
      </c>
      <c r="AG3184" s="4">
        <v>0</v>
      </c>
      <c r="AH3184" s="4">
        <v>24</v>
      </c>
      <c r="AI3184" s="4">
        <v>37</v>
      </c>
      <c r="AJ3184" s="4">
        <v>1</v>
      </c>
      <c r="AK3184" s="4">
        <v>3</v>
      </c>
      <c r="AL3184" s="4">
        <v>17</v>
      </c>
      <c r="AM3184" s="4">
        <v>24</v>
      </c>
      <c r="AN3184" s="4">
        <v>0</v>
      </c>
      <c r="AO3184" s="4">
        <v>0</v>
      </c>
      <c r="AP3184" s="4">
        <v>2</v>
      </c>
      <c r="AQ3184" s="4">
        <v>4</v>
      </c>
      <c r="AR3184" s="3" t="s">
        <v>62</v>
      </c>
      <c r="AS3184" s="3" t="s">
        <v>62</v>
      </c>
      <c r="AT3184" s="3" t="s">
        <v>62</v>
      </c>
      <c r="AV3184" s="6" t="str">
        <f>HYPERLINK("http://mcgill.on.worldcat.org/oclc/724640134","Catalog Record")</f>
        <v>Catalog Record</v>
      </c>
      <c r="AW3184" s="6" t="str">
        <f>HYPERLINK("http://www.worldcat.org/oclc/724640134","WorldCat Record")</f>
        <v>WorldCat Record</v>
      </c>
      <c r="AX3184" s="3" t="s">
        <v>30884</v>
      </c>
      <c r="AY3184" s="3" t="s">
        <v>30885</v>
      </c>
      <c r="AZ3184" s="3" t="s">
        <v>30886</v>
      </c>
      <c r="BA3184" s="3" t="s">
        <v>30886</v>
      </c>
      <c r="BB3184" s="3" t="s">
        <v>30887</v>
      </c>
      <c r="BC3184" s="3" t="s">
        <v>102</v>
      </c>
      <c r="BD3184" s="3" t="s">
        <v>68</v>
      </c>
      <c r="BE3184" s="3" t="s">
        <v>30888</v>
      </c>
      <c r="BF3184" s="3" t="s">
        <v>30887</v>
      </c>
      <c r="BG3184" s="3" t="s">
        <v>30889</v>
      </c>
    </row>
    <row r="3185" spans="1:59" ht="58" x14ac:dyDescent="0.35">
      <c r="A3185" s="2" t="s">
        <v>89</v>
      </c>
      <c r="B3185" s="2" t="s">
        <v>90</v>
      </c>
      <c r="C3185" s="2" t="s">
        <v>30890</v>
      </c>
      <c r="D3185" s="2" t="s">
        <v>30891</v>
      </c>
      <c r="E3185" s="2" t="s">
        <v>30892</v>
      </c>
      <c r="G3185" s="3" t="s">
        <v>62</v>
      </c>
      <c r="I3185" s="3" t="s">
        <v>62</v>
      </c>
      <c r="J3185" s="3" t="s">
        <v>62</v>
      </c>
      <c r="K3185" s="3" t="s">
        <v>63</v>
      </c>
      <c r="L3185" s="2" t="s">
        <v>30893</v>
      </c>
      <c r="M3185" s="2" t="s">
        <v>30894</v>
      </c>
      <c r="N3185" s="3" t="s">
        <v>129</v>
      </c>
      <c r="P3185" s="3" t="s">
        <v>64</v>
      </c>
      <c r="Q3185" s="2" t="s">
        <v>30895</v>
      </c>
      <c r="R3185" s="3" t="s">
        <v>27443</v>
      </c>
      <c r="S3185" s="4">
        <v>1</v>
      </c>
      <c r="T3185" s="4">
        <v>1</v>
      </c>
      <c r="U3185" s="5" t="s">
        <v>26184</v>
      </c>
      <c r="V3185" s="5" t="s">
        <v>26184</v>
      </c>
      <c r="W3185" s="5" t="s">
        <v>67</v>
      </c>
      <c r="X3185" s="5" t="s">
        <v>67</v>
      </c>
      <c r="Y3185" s="4">
        <v>147</v>
      </c>
      <c r="Z3185" s="4">
        <v>12</v>
      </c>
      <c r="AA3185" s="4">
        <v>14</v>
      </c>
      <c r="AB3185" s="4">
        <v>2</v>
      </c>
      <c r="AC3185" s="4">
        <v>3</v>
      </c>
      <c r="AD3185" s="4">
        <v>37</v>
      </c>
      <c r="AE3185" s="4">
        <v>42</v>
      </c>
      <c r="AF3185" s="4">
        <v>0</v>
      </c>
      <c r="AG3185" s="4">
        <v>1</v>
      </c>
      <c r="AH3185" s="4">
        <v>33</v>
      </c>
      <c r="AI3185" s="4">
        <v>38</v>
      </c>
      <c r="AJ3185" s="4">
        <v>5</v>
      </c>
      <c r="AK3185" s="4">
        <v>7</v>
      </c>
      <c r="AL3185" s="4">
        <v>21</v>
      </c>
      <c r="AM3185" s="4">
        <v>24</v>
      </c>
      <c r="AN3185" s="4">
        <v>0</v>
      </c>
      <c r="AO3185" s="4">
        <v>0</v>
      </c>
      <c r="AP3185" s="4">
        <v>6</v>
      </c>
      <c r="AQ3185" s="4">
        <v>8</v>
      </c>
      <c r="AR3185" s="3" t="s">
        <v>62</v>
      </c>
      <c r="AS3185" s="3" t="s">
        <v>62</v>
      </c>
      <c r="AT3185" s="3" t="s">
        <v>62</v>
      </c>
      <c r="AV3185" s="6" t="str">
        <f>HYPERLINK("http://mcgill.on.worldcat.org/oclc/868199925","Catalog Record")</f>
        <v>Catalog Record</v>
      </c>
      <c r="AW3185" s="6" t="str">
        <f>HYPERLINK("http://www.worldcat.org/oclc/868199925","WorldCat Record")</f>
        <v>WorldCat Record</v>
      </c>
      <c r="AX3185" s="3" t="s">
        <v>30896</v>
      </c>
      <c r="AY3185" s="3" t="s">
        <v>30897</v>
      </c>
      <c r="AZ3185" s="3" t="s">
        <v>30898</v>
      </c>
      <c r="BA3185" s="3" t="s">
        <v>30898</v>
      </c>
      <c r="BB3185" s="3" t="s">
        <v>30899</v>
      </c>
      <c r="BC3185" s="3" t="s">
        <v>102</v>
      </c>
      <c r="BD3185" s="3" t="s">
        <v>68</v>
      </c>
      <c r="BE3185" s="3" t="s">
        <v>30900</v>
      </c>
      <c r="BF3185" s="3" t="s">
        <v>30899</v>
      </c>
      <c r="BG3185" s="3" t="s">
        <v>30901</v>
      </c>
    </row>
    <row r="3186" spans="1:59" ht="58" x14ac:dyDescent="0.35">
      <c r="A3186" s="2" t="s">
        <v>89</v>
      </c>
      <c r="B3186" s="2" t="s">
        <v>90</v>
      </c>
      <c r="C3186" s="2" t="s">
        <v>30902</v>
      </c>
      <c r="D3186" s="2" t="s">
        <v>30903</v>
      </c>
      <c r="E3186" s="2" t="s">
        <v>30904</v>
      </c>
      <c r="G3186" s="3" t="s">
        <v>62</v>
      </c>
      <c r="H3186" s="3" t="s">
        <v>916</v>
      </c>
      <c r="I3186" s="3" t="s">
        <v>62</v>
      </c>
      <c r="J3186" s="3" t="s">
        <v>62</v>
      </c>
      <c r="K3186" s="3" t="s">
        <v>63</v>
      </c>
      <c r="L3186" s="2" t="s">
        <v>30905</v>
      </c>
      <c r="M3186" s="2" t="s">
        <v>30906</v>
      </c>
      <c r="N3186" s="3" t="s">
        <v>741</v>
      </c>
      <c r="P3186" s="3" t="s">
        <v>64</v>
      </c>
      <c r="Q3186" s="2" t="s">
        <v>30907</v>
      </c>
      <c r="R3186" s="3" t="s">
        <v>27443</v>
      </c>
      <c r="S3186" s="4">
        <v>0</v>
      </c>
      <c r="T3186" s="4">
        <v>0</v>
      </c>
      <c r="W3186" s="5" t="s">
        <v>18636</v>
      </c>
      <c r="X3186" s="5" t="s">
        <v>18636</v>
      </c>
      <c r="Y3186" s="4">
        <v>51</v>
      </c>
      <c r="Z3186" s="4">
        <v>4</v>
      </c>
      <c r="AA3186" s="4">
        <v>16</v>
      </c>
      <c r="AB3186" s="4">
        <v>2</v>
      </c>
      <c r="AC3186" s="4">
        <v>8</v>
      </c>
      <c r="AD3186" s="4">
        <v>24</v>
      </c>
      <c r="AE3186" s="4">
        <v>43</v>
      </c>
      <c r="AF3186" s="4">
        <v>1</v>
      </c>
      <c r="AG3186" s="4">
        <v>4</v>
      </c>
      <c r="AH3186" s="4">
        <v>22</v>
      </c>
      <c r="AI3186" s="4">
        <v>34</v>
      </c>
      <c r="AJ3186" s="4">
        <v>1</v>
      </c>
      <c r="AK3186" s="4">
        <v>8</v>
      </c>
      <c r="AL3186" s="4">
        <v>19</v>
      </c>
      <c r="AM3186" s="4">
        <v>23</v>
      </c>
      <c r="AN3186" s="4">
        <v>0</v>
      </c>
      <c r="AO3186" s="4">
        <v>0</v>
      </c>
      <c r="AP3186" s="4">
        <v>1</v>
      </c>
      <c r="AQ3186" s="4">
        <v>9</v>
      </c>
      <c r="AR3186" s="3" t="s">
        <v>62</v>
      </c>
      <c r="AS3186" s="3" t="s">
        <v>62</v>
      </c>
      <c r="AT3186" s="3" t="s">
        <v>62</v>
      </c>
      <c r="AV3186" s="6" t="str">
        <f>HYPERLINK("http://mcgill.on.worldcat.org/oclc/1083152245","Catalog Record")</f>
        <v>Catalog Record</v>
      </c>
      <c r="AW3186" s="6" t="str">
        <f>HYPERLINK("http://www.worldcat.org/oclc/1083152245","WorldCat Record")</f>
        <v>WorldCat Record</v>
      </c>
      <c r="AX3186" s="3" t="s">
        <v>30908</v>
      </c>
      <c r="AY3186" s="3" t="s">
        <v>30909</v>
      </c>
      <c r="AZ3186" s="3" t="s">
        <v>30910</v>
      </c>
      <c r="BA3186" s="3" t="s">
        <v>30910</v>
      </c>
      <c r="BB3186" s="3" t="s">
        <v>30911</v>
      </c>
      <c r="BC3186" s="3" t="s">
        <v>102</v>
      </c>
      <c r="BD3186" s="3" t="s">
        <v>68</v>
      </c>
      <c r="BE3186" s="3" t="s">
        <v>30912</v>
      </c>
      <c r="BF3186" s="3" t="s">
        <v>30911</v>
      </c>
      <c r="BG3186" s="3" t="s">
        <v>30913</v>
      </c>
    </row>
    <row r="3187" spans="1:59" ht="58" x14ac:dyDescent="0.35">
      <c r="A3187" s="2" t="s">
        <v>89</v>
      </c>
      <c r="B3187" s="2" t="s">
        <v>90</v>
      </c>
      <c r="C3187" s="2" t="s">
        <v>30914</v>
      </c>
      <c r="D3187" s="2" t="s">
        <v>30915</v>
      </c>
      <c r="E3187" s="2" t="s">
        <v>30916</v>
      </c>
      <c r="G3187" s="3" t="s">
        <v>62</v>
      </c>
      <c r="I3187" s="3" t="s">
        <v>62</v>
      </c>
      <c r="J3187" s="3" t="s">
        <v>62</v>
      </c>
      <c r="K3187" s="3" t="s">
        <v>63</v>
      </c>
      <c r="L3187" s="2" t="s">
        <v>30917</v>
      </c>
      <c r="M3187" s="2" t="s">
        <v>30918</v>
      </c>
      <c r="N3187" s="3" t="s">
        <v>1038</v>
      </c>
      <c r="P3187" s="3" t="s">
        <v>64</v>
      </c>
      <c r="R3187" s="3" t="s">
        <v>27443</v>
      </c>
      <c r="S3187" s="4">
        <v>2</v>
      </c>
      <c r="T3187" s="4">
        <v>2</v>
      </c>
      <c r="U3187" s="5" t="s">
        <v>1929</v>
      </c>
      <c r="V3187" s="5" t="s">
        <v>1929</v>
      </c>
      <c r="W3187" s="5" t="s">
        <v>67</v>
      </c>
      <c r="X3187" s="5" t="s">
        <v>67</v>
      </c>
      <c r="Y3187" s="4">
        <v>62</v>
      </c>
      <c r="Z3187" s="4">
        <v>18</v>
      </c>
      <c r="AA3187" s="4">
        <v>18</v>
      </c>
      <c r="AB3187" s="4">
        <v>1</v>
      </c>
      <c r="AC3187" s="4">
        <v>1</v>
      </c>
      <c r="AD3187" s="4">
        <v>33</v>
      </c>
      <c r="AE3187" s="4">
        <v>33</v>
      </c>
      <c r="AF3187" s="4">
        <v>0</v>
      </c>
      <c r="AG3187" s="4">
        <v>0</v>
      </c>
      <c r="AH3187" s="4">
        <v>25</v>
      </c>
      <c r="AI3187" s="4">
        <v>25</v>
      </c>
      <c r="AJ3187" s="4">
        <v>7</v>
      </c>
      <c r="AK3187" s="4">
        <v>7</v>
      </c>
      <c r="AL3187" s="4">
        <v>17</v>
      </c>
      <c r="AM3187" s="4">
        <v>17</v>
      </c>
      <c r="AN3187" s="4">
        <v>0</v>
      </c>
      <c r="AO3187" s="4">
        <v>0</v>
      </c>
      <c r="AP3187" s="4">
        <v>11</v>
      </c>
      <c r="AQ3187" s="4">
        <v>11</v>
      </c>
      <c r="AR3187" s="3" t="s">
        <v>61</v>
      </c>
      <c r="AS3187" s="3" t="s">
        <v>62</v>
      </c>
      <c r="AT3187" s="3" t="s">
        <v>62</v>
      </c>
      <c r="AV3187" s="6" t="str">
        <f>HYPERLINK("http://mcgill.on.worldcat.org/oclc/933542194","Catalog Record")</f>
        <v>Catalog Record</v>
      </c>
      <c r="AW3187" s="6" t="str">
        <f>HYPERLINK("http://www.worldcat.org/oclc/933542194","WorldCat Record")</f>
        <v>WorldCat Record</v>
      </c>
      <c r="AX3187" s="3" t="s">
        <v>30919</v>
      </c>
      <c r="AY3187" s="3" t="s">
        <v>30920</v>
      </c>
      <c r="AZ3187" s="3" t="s">
        <v>30921</v>
      </c>
      <c r="BA3187" s="3" t="s">
        <v>30921</v>
      </c>
      <c r="BB3187" s="3" t="s">
        <v>30922</v>
      </c>
      <c r="BC3187" s="3" t="s">
        <v>102</v>
      </c>
      <c r="BD3187" s="3" t="s">
        <v>68</v>
      </c>
      <c r="BE3187" s="3" t="s">
        <v>30923</v>
      </c>
      <c r="BF3187" s="3" t="s">
        <v>30922</v>
      </c>
      <c r="BG3187" s="3" t="s">
        <v>30924</v>
      </c>
    </row>
    <row r="3188" spans="1:59" ht="58" x14ac:dyDescent="0.35">
      <c r="A3188" s="2" t="s">
        <v>89</v>
      </c>
      <c r="B3188" s="2" t="s">
        <v>90</v>
      </c>
      <c r="C3188" s="2" t="s">
        <v>30925</v>
      </c>
      <c r="D3188" s="2" t="s">
        <v>30926</v>
      </c>
      <c r="E3188" s="2" t="s">
        <v>30927</v>
      </c>
      <c r="G3188" s="3" t="s">
        <v>62</v>
      </c>
      <c r="I3188" s="3" t="s">
        <v>62</v>
      </c>
      <c r="J3188" s="3" t="s">
        <v>62</v>
      </c>
      <c r="K3188" s="3" t="s">
        <v>63</v>
      </c>
      <c r="M3188" s="2" t="s">
        <v>30928</v>
      </c>
      <c r="N3188" s="3" t="s">
        <v>1455</v>
      </c>
      <c r="P3188" s="3" t="s">
        <v>64</v>
      </c>
      <c r="Q3188" s="2" t="s">
        <v>30929</v>
      </c>
      <c r="R3188" s="3" t="s">
        <v>27443</v>
      </c>
      <c r="S3188" s="4">
        <v>3</v>
      </c>
      <c r="T3188" s="4">
        <v>3</v>
      </c>
      <c r="U3188" s="5" t="s">
        <v>19474</v>
      </c>
      <c r="V3188" s="5" t="s">
        <v>19474</v>
      </c>
      <c r="W3188" s="5" t="s">
        <v>67</v>
      </c>
      <c r="X3188" s="5" t="s">
        <v>67</v>
      </c>
      <c r="Y3188" s="4">
        <v>53</v>
      </c>
      <c r="Z3188" s="4">
        <v>4</v>
      </c>
      <c r="AA3188" s="4">
        <v>10</v>
      </c>
      <c r="AB3188" s="4">
        <v>1</v>
      </c>
      <c r="AC3188" s="4">
        <v>4</v>
      </c>
      <c r="AD3188" s="4">
        <v>22</v>
      </c>
      <c r="AE3188" s="4">
        <v>34</v>
      </c>
      <c r="AF3188" s="4">
        <v>0</v>
      </c>
      <c r="AG3188" s="4">
        <v>0</v>
      </c>
      <c r="AH3188" s="4">
        <v>21</v>
      </c>
      <c r="AI3188" s="4">
        <v>31</v>
      </c>
      <c r="AJ3188" s="4">
        <v>2</v>
      </c>
      <c r="AK3188" s="4">
        <v>5</v>
      </c>
      <c r="AL3188" s="4">
        <v>16</v>
      </c>
      <c r="AM3188" s="4">
        <v>22</v>
      </c>
      <c r="AN3188" s="4">
        <v>0</v>
      </c>
      <c r="AO3188" s="4">
        <v>0</v>
      </c>
      <c r="AP3188" s="4">
        <v>2</v>
      </c>
      <c r="AQ3188" s="4">
        <v>5</v>
      </c>
      <c r="AR3188" s="3" t="s">
        <v>62</v>
      </c>
      <c r="AS3188" s="3" t="s">
        <v>62</v>
      </c>
      <c r="AT3188" s="3" t="s">
        <v>62</v>
      </c>
      <c r="AV3188" s="6" t="str">
        <f>HYPERLINK("http://mcgill.on.worldcat.org/oclc/866614222","Catalog Record")</f>
        <v>Catalog Record</v>
      </c>
      <c r="AW3188" s="6" t="str">
        <f>HYPERLINK("http://www.worldcat.org/oclc/866614222","WorldCat Record")</f>
        <v>WorldCat Record</v>
      </c>
      <c r="AX3188" s="3" t="s">
        <v>30930</v>
      </c>
      <c r="AY3188" s="3" t="s">
        <v>30931</v>
      </c>
      <c r="AZ3188" s="3" t="s">
        <v>30932</v>
      </c>
      <c r="BA3188" s="3" t="s">
        <v>30932</v>
      </c>
      <c r="BB3188" s="3" t="s">
        <v>30933</v>
      </c>
      <c r="BC3188" s="3" t="s">
        <v>102</v>
      </c>
      <c r="BD3188" s="3" t="s">
        <v>68</v>
      </c>
      <c r="BE3188" s="3" t="s">
        <v>30934</v>
      </c>
      <c r="BF3188" s="3" t="s">
        <v>30933</v>
      </c>
      <c r="BG3188" s="3" t="s">
        <v>30935</v>
      </c>
    </row>
    <row r="3189" spans="1:59" ht="58" x14ac:dyDescent="0.35">
      <c r="A3189" s="2" t="s">
        <v>89</v>
      </c>
      <c r="B3189" s="2" t="s">
        <v>90</v>
      </c>
      <c r="C3189" s="2" t="s">
        <v>30936</v>
      </c>
      <c r="D3189" s="2" t="s">
        <v>30937</v>
      </c>
      <c r="E3189" s="2" t="s">
        <v>30938</v>
      </c>
      <c r="G3189" s="3" t="s">
        <v>62</v>
      </c>
      <c r="I3189" s="3" t="s">
        <v>62</v>
      </c>
      <c r="J3189" s="3" t="s">
        <v>62</v>
      </c>
      <c r="K3189" s="3" t="s">
        <v>63</v>
      </c>
      <c r="M3189" s="2" t="s">
        <v>30939</v>
      </c>
      <c r="N3189" s="3" t="s">
        <v>1038</v>
      </c>
      <c r="P3189" s="3" t="s">
        <v>64</v>
      </c>
      <c r="R3189" s="3" t="s">
        <v>27443</v>
      </c>
      <c r="S3189" s="4">
        <v>3</v>
      </c>
      <c r="T3189" s="4">
        <v>3</v>
      </c>
      <c r="U3189" s="5" t="s">
        <v>1469</v>
      </c>
      <c r="V3189" s="5" t="s">
        <v>1469</v>
      </c>
      <c r="W3189" s="5" t="s">
        <v>67</v>
      </c>
      <c r="X3189" s="5" t="s">
        <v>67</v>
      </c>
      <c r="Y3189" s="4">
        <v>73</v>
      </c>
      <c r="Z3189" s="4">
        <v>5</v>
      </c>
      <c r="AA3189" s="4">
        <v>11</v>
      </c>
      <c r="AB3189" s="4">
        <v>1</v>
      </c>
      <c r="AC3189" s="4">
        <v>4</v>
      </c>
      <c r="AD3189" s="4">
        <v>25</v>
      </c>
      <c r="AE3189" s="4">
        <v>35</v>
      </c>
      <c r="AF3189" s="4">
        <v>0</v>
      </c>
      <c r="AG3189" s="4">
        <v>0</v>
      </c>
      <c r="AH3189" s="4">
        <v>24</v>
      </c>
      <c r="AI3189" s="4">
        <v>33</v>
      </c>
      <c r="AJ3189" s="4">
        <v>2</v>
      </c>
      <c r="AK3189" s="4">
        <v>5</v>
      </c>
      <c r="AL3189" s="4">
        <v>18</v>
      </c>
      <c r="AM3189" s="4">
        <v>22</v>
      </c>
      <c r="AN3189" s="4">
        <v>0</v>
      </c>
      <c r="AO3189" s="4">
        <v>0</v>
      </c>
      <c r="AP3189" s="4">
        <v>2</v>
      </c>
      <c r="AQ3189" s="4">
        <v>5</v>
      </c>
      <c r="AR3189" s="3" t="s">
        <v>62</v>
      </c>
      <c r="AS3189" s="3" t="s">
        <v>62</v>
      </c>
      <c r="AT3189" s="3" t="s">
        <v>62</v>
      </c>
      <c r="AV3189" s="6" t="str">
        <f>HYPERLINK("http://mcgill.on.worldcat.org/oclc/910309743","Catalog Record")</f>
        <v>Catalog Record</v>
      </c>
      <c r="AW3189" s="6" t="str">
        <f>HYPERLINK("http://www.worldcat.org/oclc/910309743","WorldCat Record")</f>
        <v>WorldCat Record</v>
      </c>
      <c r="AX3189" s="3" t="s">
        <v>30940</v>
      </c>
      <c r="AY3189" s="3" t="s">
        <v>30941</v>
      </c>
      <c r="AZ3189" s="3" t="s">
        <v>30942</v>
      </c>
      <c r="BA3189" s="3" t="s">
        <v>30942</v>
      </c>
      <c r="BB3189" s="3" t="s">
        <v>30943</v>
      </c>
      <c r="BC3189" s="3" t="s">
        <v>102</v>
      </c>
      <c r="BD3189" s="3" t="s">
        <v>68</v>
      </c>
      <c r="BE3189" s="3" t="s">
        <v>30944</v>
      </c>
      <c r="BF3189" s="3" t="s">
        <v>30943</v>
      </c>
      <c r="BG3189" s="3" t="s">
        <v>30945</v>
      </c>
    </row>
    <row r="3190" spans="1:59" ht="116" x14ac:dyDescent="0.35">
      <c r="A3190" s="2" t="s">
        <v>89</v>
      </c>
      <c r="B3190" s="2" t="s">
        <v>3312</v>
      </c>
      <c r="C3190" s="2" t="s">
        <v>30946</v>
      </c>
      <c r="D3190" s="2" t="s">
        <v>30947</v>
      </c>
      <c r="E3190" s="2" t="s">
        <v>30948</v>
      </c>
      <c r="G3190" s="3" t="s">
        <v>62</v>
      </c>
      <c r="I3190" s="3" t="s">
        <v>62</v>
      </c>
      <c r="J3190" s="3" t="s">
        <v>62</v>
      </c>
      <c r="K3190" s="3" t="s">
        <v>63</v>
      </c>
      <c r="M3190" s="2" t="s">
        <v>30949</v>
      </c>
      <c r="N3190" s="3" t="s">
        <v>684</v>
      </c>
      <c r="O3190" s="2" t="s">
        <v>1674</v>
      </c>
      <c r="P3190" s="3" t="s">
        <v>1675</v>
      </c>
      <c r="R3190" s="3" t="s">
        <v>27443</v>
      </c>
      <c r="S3190" s="4">
        <v>0</v>
      </c>
      <c r="T3190" s="4">
        <v>0</v>
      </c>
      <c r="W3190" s="5" t="s">
        <v>67</v>
      </c>
      <c r="X3190" s="5" t="s">
        <v>67</v>
      </c>
      <c r="Y3190" s="4">
        <v>22</v>
      </c>
      <c r="Z3190" s="4">
        <v>4</v>
      </c>
      <c r="AA3190" s="4">
        <v>4</v>
      </c>
      <c r="AB3190" s="4">
        <v>1</v>
      </c>
      <c r="AC3190" s="4">
        <v>1</v>
      </c>
      <c r="AD3190" s="4">
        <v>10</v>
      </c>
      <c r="AE3190" s="4">
        <v>10</v>
      </c>
      <c r="AF3190" s="4">
        <v>0</v>
      </c>
      <c r="AG3190" s="4">
        <v>0</v>
      </c>
      <c r="AH3190" s="4">
        <v>10</v>
      </c>
      <c r="AI3190" s="4">
        <v>10</v>
      </c>
      <c r="AJ3190" s="4">
        <v>1</v>
      </c>
      <c r="AK3190" s="4">
        <v>1</v>
      </c>
      <c r="AL3190" s="4">
        <v>8</v>
      </c>
      <c r="AM3190" s="4">
        <v>8</v>
      </c>
      <c r="AN3190" s="4">
        <v>0</v>
      </c>
      <c r="AO3190" s="4">
        <v>0</v>
      </c>
      <c r="AP3190" s="4">
        <v>1</v>
      </c>
      <c r="AQ3190" s="4">
        <v>1</v>
      </c>
      <c r="AR3190" s="3" t="s">
        <v>62</v>
      </c>
      <c r="AS3190" s="3" t="s">
        <v>62</v>
      </c>
      <c r="AT3190" s="3" t="s">
        <v>62</v>
      </c>
      <c r="AV3190" s="6" t="str">
        <f>HYPERLINK("http://mcgill.on.worldcat.org/oclc/696295394","Catalog Record")</f>
        <v>Catalog Record</v>
      </c>
      <c r="AW3190" s="6" t="str">
        <f>HYPERLINK("http://www.worldcat.org/oclc/696295394","WorldCat Record")</f>
        <v>WorldCat Record</v>
      </c>
      <c r="AX3190" s="3" t="s">
        <v>30950</v>
      </c>
      <c r="AY3190" s="3" t="s">
        <v>30951</v>
      </c>
      <c r="AZ3190" s="3" t="s">
        <v>30952</v>
      </c>
      <c r="BA3190" s="3" t="s">
        <v>30952</v>
      </c>
      <c r="BB3190" s="3" t="s">
        <v>30953</v>
      </c>
      <c r="BC3190" s="3" t="s">
        <v>102</v>
      </c>
      <c r="BD3190" s="3" t="s">
        <v>68</v>
      </c>
      <c r="BE3190" s="3" t="s">
        <v>30954</v>
      </c>
      <c r="BF3190" s="3" t="s">
        <v>30953</v>
      </c>
      <c r="BG3190" s="3" t="s">
        <v>30955</v>
      </c>
    </row>
    <row r="3191" spans="1:59" ht="58" x14ac:dyDescent="0.35">
      <c r="A3191" s="2" t="s">
        <v>89</v>
      </c>
      <c r="B3191" s="2" t="s">
        <v>90</v>
      </c>
      <c r="C3191" s="2" t="s">
        <v>30956</v>
      </c>
      <c r="D3191" s="2" t="s">
        <v>30957</v>
      </c>
      <c r="E3191" s="2" t="s">
        <v>30958</v>
      </c>
      <c r="G3191" s="3" t="s">
        <v>62</v>
      </c>
      <c r="I3191" s="3" t="s">
        <v>62</v>
      </c>
      <c r="J3191" s="3" t="s">
        <v>62</v>
      </c>
      <c r="K3191" s="3" t="s">
        <v>63</v>
      </c>
      <c r="M3191" s="2" t="s">
        <v>30959</v>
      </c>
      <c r="N3191" s="3" t="s">
        <v>129</v>
      </c>
      <c r="P3191" s="3" t="s">
        <v>64</v>
      </c>
      <c r="R3191" s="3" t="s">
        <v>27443</v>
      </c>
      <c r="S3191" s="4">
        <v>4</v>
      </c>
      <c r="T3191" s="4">
        <v>4</v>
      </c>
      <c r="U3191" s="5" t="s">
        <v>30568</v>
      </c>
      <c r="V3191" s="5" t="s">
        <v>30568</v>
      </c>
      <c r="W3191" s="5" t="s">
        <v>67</v>
      </c>
      <c r="X3191" s="5" t="s">
        <v>67</v>
      </c>
      <c r="Y3191" s="4">
        <v>194</v>
      </c>
      <c r="Z3191" s="4">
        <v>13</v>
      </c>
      <c r="AA3191" s="4">
        <v>47</v>
      </c>
      <c r="AB3191" s="4">
        <v>2</v>
      </c>
      <c r="AC3191" s="4">
        <v>7</v>
      </c>
      <c r="AD3191" s="4">
        <v>49</v>
      </c>
      <c r="AE3191" s="4">
        <v>65</v>
      </c>
      <c r="AF3191" s="4">
        <v>1</v>
      </c>
      <c r="AG3191" s="4">
        <v>3</v>
      </c>
      <c r="AH3191" s="4">
        <v>43</v>
      </c>
      <c r="AI3191" s="4">
        <v>50</v>
      </c>
      <c r="AJ3191" s="4">
        <v>7</v>
      </c>
      <c r="AK3191" s="4">
        <v>13</v>
      </c>
      <c r="AL3191" s="4">
        <v>30</v>
      </c>
      <c r="AM3191" s="4">
        <v>33</v>
      </c>
      <c r="AN3191" s="4">
        <v>0</v>
      </c>
      <c r="AO3191" s="4">
        <v>0</v>
      </c>
      <c r="AP3191" s="4">
        <v>8</v>
      </c>
      <c r="AQ3191" s="4">
        <v>17</v>
      </c>
      <c r="AR3191" s="3" t="s">
        <v>62</v>
      </c>
      <c r="AS3191" s="3" t="s">
        <v>62</v>
      </c>
      <c r="AT3191" s="3" t="s">
        <v>62</v>
      </c>
      <c r="AV3191" s="6" t="str">
        <f>HYPERLINK("http://mcgill.on.worldcat.org/oclc/829055763","Catalog Record")</f>
        <v>Catalog Record</v>
      </c>
      <c r="AW3191" s="6" t="str">
        <f>HYPERLINK("http://www.worldcat.org/oclc/829055763","WorldCat Record")</f>
        <v>WorldCat Record</v>
      </c>
      <c r="AX3191" s="3" t="s">
        <v>30960</v>
      </c>
      <c r="AY3191" s="3" t="s">
        <v>30961</v>
      </c>
      <c r="AZ3191" s="3" t="s">
        <v>30962</v>
      </c>
      <c r="BA3191" s="3" t="s">
        <v>30962</v>
      </c>
      <c r="BB3191" s="3" t="s">
        <v>30963</v>
      </c>
      <c r="BC3191" s="3" t="s">
        <v>102</v>
      </c>
      <c r="BD3191" s="3" t="s">
        <v>68</v>
      </c>
      <c r="BE3191" s="3" t="s">
        <v>30964</v>
      </c>
      <c r="BF3191" s="3" t="s">
        <v>30963</v>
      </c>
      <c r="BG3191" s="3" t="s">
        <v>30965</v>
      </c>
    </row>
    <row r="3192" spans="1:59" ht="58" x14ac:dyDescent="0.35">
      <c r="A3192" s="2" t="s">
        <v>89</v>
      </c>
      <c r="B3192" s="2" t="s">
        <v>90</v>
      </c>
      <c r="C3192" s="2" t="s">
        <v>30966</v>
      </c>
      <c r="D3192" s="2" t="s">
        <v>30967</v>
      </c>
      <c r="E3192" s="2" t="s">
        <v>30968</v>
      </c>
      <c r="G3192" s="3" t="s">
        <v>62</v>
      </c>
      <c r="H3192" s="3" t="s">
        <v>916</v>
      </c>
      <c r="I3192" s="3" t="s">
        <v>62</v>
      </c>
      <c r="J3192" s="3" t="s">
        <v>62</v>
      </c>
      <c r="K3192" s="3" t="s">
        <v>63</v>
      </c>
      <c r="L3192" s="2" t="s">
        <v>30969</v>
      </c>
      <c r="M3192" s="2" t="s">
        <v>30970</v>
      </c>
      <c r="N3192" s="3" t="s">
        <v>741</v>
      </c>
      <c r="P3192" s="3" t="s">
        <v>64</v>
      </c>
      <c r="R3192" s="3" t="s">
        <v>27443</v>
      </c>
      <c r="S3192" s="4">
        <v>2</v>
      </c>
      <c r="T3192" s="4">
        <v>2</v>
      </c>
      <c r="U3192" s="5" t="s">
        <v>8339</v>
      </c>
      <c r="V3192" s="5" t="s">
        <v>8339</v>
      </c>
      <c r="W3192" s="5" t="s">
        <v>4735</v>
      </c>
      <c r="X3192" s="5" t="s">
        <v>4735</v>
      </c>
      <c r="Y3192" s="4">
        <v>695</v>
      </c>
      <c r="Z3192" s="4">
        <v>13</v>
      </c>
      <c r="AA3192" s="4">
        <v>17</v>
      </c>
      <c r="AB3192" s="4">
        <v>1</v>
      </c>
      <c r="AC3192" s="4">
        <v>1</v>
      </c>
      <c r="AD3192" s="4">
        <v>61</v>
      </c>
      <c r="AE3192" s="4">
        <v>65</v>
      </c>
      <c r="AF3192" s="4">
        <v>0</v>
      </c>
      <c r="AG3192" s="4">
        <v>0</v>
      </c>
      <c r="AH3192" s="4">
        <v>55</v>
      </c>
      <c r="AI3192" s="4">
        <v>59</v>
      </c>
      <c r="AJ3192" s="4">
        <v>3</v>
      </c>
      <c r="AK3192" s="4">
        <v>5</v>
      </c>
      <c r="AL3192" s="4">
        <v>35</v>
      </c>
      <c r="AM3192" s="4">
        <v>37</v>
      </c>
      <c r="AN3192" s="4">
        <v>0</v>
      </c>
      <c r="AO3192" s="4">
        <v>0</v>
      </c>
      <c r="AP3192" s="4">
        <v>6</v>
      </c>
      <c r="AQ3192" s="4">
        <v>8</v>
      </c>
      <c r="AR3192" s="3" t="s">
        <v>62</v>
      </c>
      <c r="AS3192" s="3" t="s">
        <v>62</v>
      </c>
      <c r="AT3192" s="3" t="s">
        <v>62</v>
      </c>
      <c r="AV3192" s="6" t="str">
        <f>HYPERLINK("http://mcgill.on.worldcat.org/oclc/1037807373","Catalog Record")</f>
        <v>Catalog Record</v>
      </c>
      <c r="AW3192" s="6" t="str">
        <f>HYPERLINK("http://www.worldcat.org/oclc/1037807373","WorldCat Record")</f>
        <v>WorldCat Record</v>
      </c>
      <c r="AX3192" s="3" t="s">
        <v>30971</v>
      </c>
      <c r="AY3192" s="3" t="s">
        <v>30972</v>
      </c>
      <c r="AZ3192" s="3" t="s">
        <v>30973</v>
      </c>
      <c r="BA3192" s="3" t="s">
        <v>30973</v>
      </c>
      <c r="BB3192" s="3" t="s">
        <v>30974</v>
      </c>
      <c r="BC3192" s="3" t="s">
        <v>102</v>
      </c>
      <c r="BD3192" s="3" t="s">
        <v>68</v>
      </c>
      <c r="BE3192" s="3" t="s">
        <v>30975</v>
      </c>
      <c r="BF3192" s="3" t="s">
        <v>30974</v>
      </c>
      <c r="BG3192" s="3" t="s">
        <v>30976</v>
      </c>
    </row>
    <row r="3193" spans="1:59" ht="58" x14ac:dyDescent="0.35">
      <c r="A3193" s="2" t="s">
        <v>89</v>
      </c>
      <c r="B3193" s="2" t="s">
        <v>90</v>
      </c>
      <c r="C3193" s="2" t="s">
        <v>30977</v>
      </c>
      <c r="D3193" s="2" t="s">
        <v>30978</v>
      </c>
      <c r="E3193" s="2" t="s">
        <v>30979</v>
      </c>
      <c r="G3193" s="3" t="s">
        <v>62</v>
      </c>
      <c r="I3193" s="3" t="s">
        <v>62</v>
      </c>
      <c r="J3193" s="3" t="s">
        <v>62</v>
      </c>
      <c r="K3193" s="3" t="s">
        <v>63</v>
      </c>
      <c r="M3193" s="2" t="s">
        <v>30980</v>
      </c>
      <c r="N3193" s="3" t="s">
        <v>698</v>
      </c>
      <c r="P3193" s="3" t="s">
        <v>64</v>
      </c>
      <c r="R3193" s="3" t="s">
        <v>27443</v>
      </c>
      <c r="S3193" s="4">
        <v>2</v>
      </c>
      <c r="T3193" s="4">
        <v>2</v>
      </c>
      <c r="U3193" s="5" t="s">
        <v>11274</v>
      </c>
      <c r="V3193" s="5" t="s">
        <v>11274</v>
      </c>
      <c r="W3193" s="5" t="s">
        <v>67</v>
      </c>
      <c r="X3193" s="5" t="s">
        <v>67</v>
      </c>
      <c r="Y3193" s="4">
        <v>87</v>
      </c>
      <c r="Z3193" s="4">
        <v>9</v>
      </c>
      <c r="AA3193" s="4">
        <v>20</v>
      </c>
      <c r="AB3193" s="4">
        <v>1</v>
      </c>
      <c r="AC3193" s="4">
        <v>7</v>
      </c>
      <c r="AD3193" s="4">
        <v>35</v>
      </c>
      <c r="AE3193" s="4">
        <v>46</v>
      </c>
      <c r="AF3193" s="4">
        <v>0</v>
      </c>
      <c r="AG3193" s="4">
        <v>2</v>
      </c>
      <c r="AH3193" s="4">
        <v>30</v>
      </c>
      <c r="AI3193" s="4">
        <v>40</v>
      </c>
      <c r="AJ3193" s="4">
        <v>7</v>
      </c>
      <c r="AK3193" s="4">
        <v>13</v>
      </c>
      <c r="AL3193" s="4">
        <v>21</v>
      </c>
      <c r="AM3193" s="4">
        <v>25</v>
      </c>
      <c r="AN3193" s="4">
        <v>0</v>
      </c>
      <c r="AO3193" s="4">
        <v>0</v>
      </c>
      <c r="AP3193" s="4">
        <v>7</v>
      </c>
      <c r="AQ3193" s="4">
        <v>12</v>
      </c>
      <c r="AR3193" s="3" t="s">
        <v>62</v>
      </c>
      <c r="AS3193" s="3" t="s">
        <v>62</v>
      </c>
      <c r="AT3193" s="3" t="s">
        <v>62</v>
      </c>
      <c r="AV3193" s="6" t="str">
        <f>HYPERLINK("http://mcgill.on.worldcat.org/oclc/731925112","Catalog Record")</f>
        <v>Catalog Record</v>
      </c>
      <c r="AW3193" s="6" t="str">
        <f>HYPERLINK("http://www.worldcat.org/oclc/731925112","WorldCat Record")</f>
        <v>WorldCat Record</v>
      </c>
      <c r="AX3193" s="3" t="s">
        <v>30981</v>
      </c>
      <c r="AY3193" s="3" t="s">
        <v>30982</v>
      </c>
      <c r="AZ3193" s="3" t="s">
        <v>30983</v>
      </c>
      <c r="BA3193" s="3" t="s">
        <v>30983</v>
      </c>
      <c r="BB3193" s="3" t="s">
        <v>30984</v>
      </c>
      <c r="BC3193" s="3" t="s">
        <v>102</v>
      </c>
      <c r="BD3193" s="3" t="s">
        <v>68</v>
      </c>
      <c r="BE3193" s="3" t="s">
        <v>30985</v>
      </c>
      <c r="BF3193" s="3" t="s">
        <v>30984</v>
      </c>
      <c r="BG3193" s="3" t="s">
        <v>30986</v>
      </c>
    </row>
    <row r="3194" spans="1:59" ht="58" x14ac:dyDescent="0.35">
      <c r="A3194" s="2" t="s">
        <v>89</v>
      </c>
      <c r="B3194" s="2" t="s">
        <v>90</v>
      </c>
      <c r="C3194" s="2" t="s">
        <v>30987</v>
      </c>
      <c r="D3194" s="2" t="s">
        <v>30988</v>
      </c>
      <c r="E3194" s="2" t="s">
        <v>30989</v>
      </c>
      <c r="G3194" s="3" t="s">
        <v>62</v>
      </c>
      <c r="I3194" s="3" t="s">
        <v>62</v>
      </c>
      <c r="J3194" s="3" t="s">
        <v>62</v>
      </c>
      <c r="K3194" s="3" t="s">
        <v>63</v>
      </c>
      <c r="M3194" s="2" t="s">
        <v>30990</v>
      </c>
      <c r="N3194" s="3" t="s">
        <v>2985</v>
      </c>
      <c r="P3194" s="3" t="s">
        <v>64</v>
      </c>
      <c r="R3194" s="3" t="s">
        <v>27443</v>
      </c>
      <c r="S3194" s="4">
        <v>2</v>
      </c>
      <c r="T3194" s="4">
        <v>2</v>
      </c>
      <c r="U3194" s="5" t="s">
        <v>30470</v>
      </c>
      <c r="V3194" s="5" t="s">
        <v>30470</v>
      </c>
      <c r="W3194" s="5" t="s">
        <v>67</v>
      </c>
      <c r="X3194" s="5" t="s">
        <v>67</v>
      </c>
      <c r="Y3194" s="4">
        <v>44</v>
      </c>
      <c r="Z3194" s="4">
        <v>5</v>
      </c>
      <c r="AA3194" s="4">
        <v>5</v>
      </c>
      <c r="AB3194" s="4">
        <v>1</v>
      </c>
      <c r="AC3194" s="4">
        <v>1</v>
      </c>
      <c r="AD3194" s="4">
        <v>26</v>
      </c>
      <c r="AE3194" s="4">
        <v>26</v>
      </c>
      <c r="AF3194" s="4">
        <v>0</v>
      </c>
      <c r="AG3194" s="4">
        <v>0</v>
      </c>
      <c r="AH3194" s="4">
        <v>26</v>
      </c>
      <c r="AI3194" s="4">
        <v>26</v>
      </c>
      <c r="AJ3194" s="4">
        <v>3</v>
      </c>
      <c r="AK3194" s="4">
        <v>3</v>
      </c>
      <c r="AL3194" s="4">
        <v>20</v>
      </c>
      <c r="AM3194" s="4">
        <v>20</v>
      </c>
      <c r="AN3194" s="4">
        <v>0</v>
      </c>
      <c r="AO3194" s="4">
        <v>0</v>
      </c>
      <c r="AP3194" s="4">
        <v>3</v>
      </c>
      <c r="AQ3194" s="4">
        <v>3</v>
      </c>
      <c r="AR3194" s="3" t="s">
        <v>62</v>
      </c>
      <c r="AS3194" s="3" t="s">
        <v>62</v>
      </c>
      <c r="AT3194" s="3" t="s">
        <v>62</v>
      </c>
      <c r="AV3194" s="6" t="str">
        <f>HYPERLINK("http://mcgill.on.worldcat.org/oclc/453818737","Catalog Record")</f>
        <v>Catalog Record</v>
      </c>
      <c r="AW3194" s="6" t="str">
        <f>HYPERLINK("http://www.worldcat.org/oclc/453818737","WorldCat Record")</f>
        <v>WorldCat Record</v>
      </c>
      <c r="AX3194" s="3" t="s">
        <v>30991</v>
      </c>
      <c r="AY3194" s="3" t="s">
        <v>30992</v>
      </c>
      <c r="AZ3194" s="3" t="s">
        <v>30993</v>
      </c>
      <c r="BA3194" s="3" t="s">
        <v>30993</v>
      </c>
      <c r="BB3194" s="3" t="s">
        <v>30994</v>
      </c>
      <c r="BC3194" s="3" t="s">
        <v>102</v>
      </c>
      <c r="BD3194" s="3" t="s">
        <v>68</v>
      </c>
      <c r="BE3194" s="3" t="s">
        <v>30995</v>
      </c>
      <c r="BF3194" s="3" t="s">
        <v>30994</v>
      </c>
      <c r="BG3194" s="3" t="s">
        <v>30996</v>
      </c>
    </row>
    <row r="3195" spans="1:59" ht="72.5" x14ac:dyDescent="0.35">
      <c r="A3195" s="2" t="s">
        <v>89</v>
      </c>
      <c r="B3195" s="2" t="s">
        <v>1231</v>
      </c>
      <c r="C3195" s="2" t="s">
        <v>30997</v>
      </c>
      <c r="D3195" s="2" t="s">
        <v>30998</v>
      </c>
      <c r="E3195" s="2" t="s">
        <v>30999</v>
      </c>
      <c r="G3195" s="3" t="s">
        <v>62</v>
      </c>
      <c r="I3195" s="3" t="s">
        <v>62</v>
      </c>
      <c r="J3195" s="3" t="s">
        <v>62</v>
      </c>
      <c r="K3195" s="3" t="s">
        <v>63</v>
      </c>
      <c r="M3195" s="2" t="s">
        <v>31000</v>
      </c>
      <c r="N3195" s="3" t="s">
        <v>698</v>
      </c>
      <c r="P3195" s="3" t="s">
        <v>64</v>
      </c>
      <c r="R3195" s="3" t="s">
        <v>27443</v>
      </c>
      <c r="S3195" s="4">
        <v>1</v>
      </c>
      <c r="T3195" s="4">
        <v>1</v>
      </c>
      <c r="U3195" s="5" t="s">
        <v>31001</v>
      </c>
      <c r="V3195" s="5" t="s">
        <v>31001</v>
      </c>
      <c r="W3195" s="5" t="s">
        <v>67</v>
      </c>
      <c r="X3195" s="5" t="s">
        <v>67</v>
      </c>
      <c r="Y3195" s="4">
        <v>135</v>
      </c>
      <c r="Z3195" s="4">
        <v>17</v>
      </c>
      <c r="AA3195" s="4">
        <v>77</v>
      </c>
      <c r="AB3195" s="4">
        <v>1</v>
      </c>
      <c r="AC3195" s="4">
        <v>14</v>
      </c>
      <c r="AD3195" s="4">
        <v>59</v>
      </c>
      <c r="AE3195" s="4">
        <v>114</v>
      </c>
      <c r="AF3195" s="4">
        <v>0</v>
      </c>
      <c r="AG3195" s="4">
        <v>8</v>
      </c>
      <c r="AH3195" s="4">
        <v>52</v>
      </c>
      <c r="AI3195" s="4">
        <v>80</v>
      </c>
      <c r="AJ3195" s="4">
        <v>13</v>
      </c>
      <c r="AK3195" s="4">
        <v>24</v>
      </c>
      <c r="AL3195" s="4">
        <v>32</v>
      </c>
      <c r="AM3195" s="4">
        <v>44</v>
      </c>
      <c r="AN3195" s="4">
        <v>0</v>
      </c>
      <c r="AO3195" s="4">
        <v>0</v>
      </c>
      <c r="AP3195" s="4">
        <v>14</v>
      </c>
      <c r="AQ3195" s="4">
        <v>41</v>
      </c>
      <c r="AR3195" s="3" t="s">
        <v>62</v>
      </c>
      <c r="AS3195" s="3" t="s">
        <v>62</v>
      </c>
      <c r="AT3195" s="3" t="s">
        <v>62</v>
      </c>
      <c r="AV3195" s="6" t="str">
        <f>HYPERLINK("http://mcgill.on.worldcat.org/oclc/769191088","Catalog Record")</f>
        <v>Catalog Record</v>
      </c>
      <c r="AW3195" s="6" t="str">
        <f>HYPERLINK("http://www.worldcat.org/oclc/769191088","WorldCat Record")</f>
        <v>WorldCat Record</v>
      </c>
      <c r="AX3195" s="3" t="s">
        <v>31002</v>
      </c>
      <c r="AY3195" s="3" t="s">
        <v>31003</v>
      </c>
      <c r="AZ3195" s="3" t="s">
        <v>31004</v>
      </c>
      <c r="BA3195" s="3" t="s">
        <v>31004</v>
      </c>
      <c r="BB3195" s="3" t="s">
        <v>31005</v>
      </c>
      <c r="BC3195" s="3" t="s">
        <v>102</v>
      </c>
      <c r="BD3195" s="3" t="s">
        <v>68</v>
      </c>
      <c r="BE3195" s="3" t="s">
        <v>31006</v>
      </c>
      <c r="BF3195" s="3" t="s">
        <v>31005</v>
      </c>
      <c r="BG3195" s="3" t="s">
        <v>31007</v>
      </c>
    </row>
    <row r="3196" spans="1:59" ht="58" x14ac:dyDescent="0.35">
      <c r="A3196" s="2" t="s">
        <v>89</v>
      </c>
      <c r="B3196" s="2" t="s">
        <v>90</v>
      </c>
      <c r="C3196" s="2" t="s">
        <v>31008</v>
      </c>
      <c r="D3196" s="2" t="s">
        <v>31009</v>
      </c>
      <c r="E3196" s="2" t="s">
        <v>31010</v>
      </c>
      <c r="G3196" s="3" t="s">
        <v>62</v>
      </c>
      <c r="I3196" s="3" t="s">
        <v>62</v>
      </c>
      <c r="J3196" s="3" t="s">
        <v>62</v>
      </c>
      <c r="K3196" s="3" t="s">
        <v>63</v>
      </c>
      <c r="L3196" s="2" t="s">
        <v>31011</v>
      </c>
      <c r="M3196" s="2" t="s">
        <v>31012</v>
      </c>
      <c r="N3196" s="3" t="s">
        <v>1455</v>
      </c>
      <c r="P3196" s="3" t="s">
        <v>64</v>
      </c>
      <c r="Q3196" s="2" t="s">
        <v>30612</v>
      </c>
      <c r="R3196" s="3" t="s">
        <v>27443</v>
      </c>
      <c r="S3196" s="4">
        <v>5</v>
      </c>
      <c r="T3196" s="4">
        <v>5</v>
      </c>
      <c r="U3196" s="5" t="s">
        <v>80</v>
      </c>
      <c r="V3196" s="5" t="s">
        <v>80</v>
      </c>
      <c r="W3196" s="5" t="s">
        <v>67</v>
      </c>
      <c r="X3196" s="5" t="s">
        <v>67</v>
      </c>
      <c r="Y3196" s="4">
        <v>72</v>
      </c>
      <c r="Z3196" s="4">
        <v>7</v>
      </c>
      <c r="AA3196" s="4">
        <v>13</v>
      </c>
      <c r="AB3196" s="4">
        <v>1</v>
      </c>
      <c r="AC3196" s="4">
        <v>5</v>
      </c>
      <c r="AD3196" s="4">
        <v>23</v>
      </c>
      <c r="AE3196" s="4">
        <v>46</v>
      </c>
      <c r="AF3196" s="4">
        <v>0</v>
      </c>
      <c r="AG3196" s="4">
        <v>1</v>
      </c>
      <c r="AH3196" s="4">
        <v>20</v>
      </c>
      <c r="AI3196" s="4">
        <v>41</v>
      </c>
      <c r="AJ3196" s="4">
        <v>3</v>
      </c>
      <c r="AK3196" s="4">
        <v>5</v>
      </c>
      <c r="AL3196" s="4">
        <v>16</v>
      </c>
      <c r="AM3196" s="4">
        <v>28</v>
      </c>
      <c r="AN3196" s="4">
        <v>0</v>
      </c>
      <c r="AO3196" s="4">
        <v>0</v>
      </c>
      <c r="AP3196" s="4">
        <v>4</v>
      </c>
      <c r="AQ3196" s="4">
        <v>7</v>
      </c>
      <c r="AR3196" s="3" t="s">
        <v>62</v>
      </c>
      <c r="AS3196" s="3" t="s">
        <v>62</v>
      </c>
      <c r="AT3196" s="3" t="s">
        <v>62</v>
      </c>
      <c r="AV3196" s="6" t="str">
        <f>HYPERLINK("http://mcgill.on.worldcat.org/oclc/877844790","Catalog Record")</f>
        <v>Catalog Record</v>
      </c>
      <c r="AW3196" s="6" t="str">
        <f>HYPERLINK("http://www.worldcat.org/oclc/877844790","WorldCat Record")</f>
        <v>WorldCat Record</v>
      </c>
      <c r="AX3196" s="3" t="s">
        <v>31013</v>
      </c>
      <c r="AY3196" s="3" t="s">
        <v>31014</v>
      </c>
      <c r="AZ3196" s="3" t="s">
        <v>31015</v>
      </c>
      <c r="BA3196" s="3" t="s">
        <v>31015</v>
      </c>
      <c r="BB3196" s="3" t="s">
        <v>31016</v>
      </c>
      <c r="BC3196" s="3" t="s">
        <v>102</v>
      </c>
      <c r="BD3196" s="3" t="s">
        <v>68</v>
      </c>
      <c r="BE3196" s="3" t="s">
        <v>31017</v>
      </c>
      <c r="BF3196" s="3" t="s">
        <v>31016</v>
      </c>
      <c r="BG3196" s="3" t="s">
        <v>31018</v>
      </c>
    </row>
    <row r="3197" spans="1:59" ht="58" x14ac:dyDescent="0.35">
      <c r="A3197" s="2" t="s">
        <v>89</v>
      </c>
      <c r="B3197" s="2" t="s">
        <v>90</v>
      </c>
      <c r="C3197" s="2" t="s">
        <v>31019</v>
      </c>
      <c r="D3197" s="2" t="s">
        <v>31020</v>
      </c>
      <c r="E3197" s="2" t="s">
        <v>31021</v>
      </c>
      <c r="G3197" s="3" t="s">
        <v>62</v>
      </c>
      <c r="I3197" s="3" t="s">
        <v>62</v>
      </c>
      <c r="J3197" s="3" t="s">
        <v>62</v>
      </c>
      <c r="K3197" s="3" t="s">
        <v>63</v>
      </c>
      <c r="L3197" s="2" t="s">
        <v>31022</v>
      </c>
      <c r="M3197" s="2" t="s">
        <v>31023</v>
      </c>
      <c r="N3197" s="3" t="s">
        <v>1455</v>
      </c>
      <c r="P3197" s="3" t="s">
        <v>64</v>
      </c>
      <c r="Q3197" s="2" t="s">
        <v>31024</v>
      </c>
      <c r="R3197" s="3" t="s">
        <v>27443</v>
      </c>
      <c r="S3197" s="4">
        <v>0</v>
      </c>
      <c r="T3197" s="4">
        <v>0</v>
      </c>
      <c r="W3197" s="5" t="s">
        <v>67</v>
      </c>
      <c r="X3197" s="5" t="s">
        <v>67</v>
      </c>
      <c r="Y3197" s="4">
        <v>72</v>
      </c>
      <c r="Z3197" s="4">
        <v>7</v>
      </c>
      <c r="AA3197" s="4">
        <v>12</v>
      </c>
      <c r="AB3197" s="4">
        <v>1</v>
      </c>
      <c r="AC3197" s="4">
        <v>5</v>
      </c>
      <c r="AD3197" s="4">
        <v>34</v>
      </c>
      <c r="AE3197" s="4">
        <v>46</v>
      </c>
      <c r="AF3197" s="4">
        <v>0</v>
      </c>
      <c r="AG3197" s="4">
        <v>1</v>
      </c>
      <c r="AH3197" s="4">
        <v>30</v>
      </c>
      <c r="AI3197" s="4">
        <v>41</v>
      </c>
      <c r="AJ3197" s="4">
        <v>4</v>
      </c>
      <c r="AK3197" s="4">
        <v>6</v>
      </c>
      <c r="AL3197" s="4">
        <v>22</v>
      </c>
      <c r="AM3197" s="4">
        <v>27</v>
      </c>
      <c r="AN3197" s="4">
        <v>0</v>
      </c>
      <c r="AO3197" s="4">
        <v>0</v>
      </c>
      <c r="AP3197" s="4">
        <v>4</v>
      </c>
      <c r="AQ3197" s="4">
        <v>6</v>
      </c>
      <c r="AR3197" s="3" t="s">
        <v>62</v>
      </c>
      <c r="AS3197" s="3" t="s">
        <v>62</v>
      </c>
      <c r="AT3197" s="3" t="s">
        <v>62</v>
      </c>
      <c r="AV3197" s="6" t="str">
        <f>HYPERLINK("http://mcgill.on.worldcat.org/oclc/910826886","Catalog Record")</f>
        <v>Catalog Record</v>
      </c>
      <c r="AW3197" s="6" t="str">
        <f>HYPERLINK("http://www.worldcat.org/oclc/910826886","WorldCat Record")</f>
        <v>WorldCat Record</v>
      </c>
      <c r="AX3197" s="3" t="s">
        <v>31025</v>
      </c>
      <c r="AY3197" s="3" t="s">
        <v>31026</v>
      </c>
      <c r="AZ3197" s="3" t="s">
        <v>31027</v>
      </c>
      <c r="BA3197" s="3" t="s">
        <v>31027</v>
      </c>
      <c r="BB3197" s="3" t="s">
        <v>31028</v>
      </c>
      <c r="BC3197" s="3" t="s">
        <v>102</v>
      </c>
      <c r="BD3197" s="3" t="s">
        <v>68</v>
      </c>
      <c r="BE3197" s="3" t="s">
        <v>31029</v>
      </c>
      <c r="BF3197" s="3" t="s">
        <v>31028</v>
      </c>
      <c r="BG3197" s="3" t="s">
        <v>31030</v>
      </c>
    </row>
    <row r="3198" spans="1:59" ht="58" x14ac:dyDescent="0.35">
      <c r="A3198" s="2" t="s">
        <v>89</v>
      </c>
      <c r="B3198" s="2" t="s">
        <v>90</v>
      </c>
      <c r="C3198" s="2" t="s">
        <v>31031</v>
      </c>
      <c r="D3198" s="2" t="s">
        <v>31032</v>
      </c>
      <c r="E3198" s="2" t="s">
        <v>31033</v>
      </c>
      <c r="G3198" s="3" t="s">
        <v>62</v>
      </c>
      <c r="I3198" s="3" t="s">
        <v>62</v>
      </c>
      <c r="J3198" s="3" t="s">
        <v>62</v>
      </c>
      <c r="K3198" s="3" t="s">
        <v>63</v>
      </c>
      <c r="M3198" s="2" t="s">
        <v>31034</v>
      </c>
      <c r="N3198" s="3" t="s">
        <v>698</v>
      </c>
      <c r="P3198" s="3" t="s">
        <v>64</v>
      </c>
      <c r="Q3198" s="2" t="s">
        <v>31035</v>
      </c>
      <c r="R3198" s="3" t="s">
        <v>27443</v>
      </c>
      <c r="S3198" s="4">
        <v>0</v>
      </c>
      <c r="T3198" s="4">
        <v>0</v>
      </c>
      <c r="W3198" s="5" t="s">
        <v>67</v>
      </c>
      <c r="X3198" s="5" t="s">
        <v>67</v>
      </c>
      <c r="Y3198" s="4">
        <v>145</v>
      </c>
      <c r="Z3198" s="4">
        <v>11</v>
      </c>
      <c r="AA3198" s="4">
        <v>63</v>
      </c>
      <c r="AB3198" s="4">
        <v>1</v>
      </c>
      <c r="AC3198" s="4">
        <v>7</v>
      </c>
      <c r="AD3198" s="4">
        <v>55</v>
      </c>
      <c r="AE3198" s="4">
        <v>106</v>
      </c>
      <c r="AF3198" s="4">
        <v>0</v>
      </c>
      <c r="AG3198" s="4">
        <v>4</v>
      </c>
      <c r="AH3198" s="4">
        <v>49</v>
      </c>
      <c r="AI3198" s="4">
        <v>80</v>
      </c>
      <c r="AJ3198" s="4">
        <v>8</v>
      </c>
      <c r="AK3198" s="4">
        <v>18</v>
      </c>
      <c r="AL3198" s="4">
        <v>31</v>
      </c>
      <c r="AM3198" s="4">
        <v>46</v>
      </c>
      <c r="AN3198" s="4">
        <v>0</v>
      </c>
      <c r="AO3198" s="4">
        <v>0</v>
      </c>
      <c r="AP3198" s="4">
        <v>9</v>
      </c>
      <c r="AQ3198" s="4">
        <v>32</v>
      </c>
      <c r="AR3198" s="3" t="s">
        <v>62</v>
      </c>
      <c r="AS3198" s="3" t="s">
        <v>62</v>
      </c>
      <c r="AT3198" s="3" t="s">
        <v>62</v>
      </c>
      <c r="AV3198" s="6" t="str">
        <f>HYPERLINK("http://mcgill.on.worldcat.org/oclc/769232456","Catalog Record")</f>
        <v>Catalog Record</v>
      </c>
      <c r="AW3198" s="6" t="str">
        <f>HYPERLINK("http://www.worldcat.org/oclc/769232456","WorldCat Record")</f>
        <v>WorldCat Record</v>
      </c>
      <c r="AX3198" s="3" t="s">
        <v>31036</v>
      </c>
      <c r="AY3198" s="3" t="s">
        <v>31037</v>
      </c>
      <c r="AZ3198" s="3" t="s">
        <v>31038</v>
      </c>
      <c r="BA3198" s="3" t="s">
        <v>31038</v>
      </c>
      <c r="BB3198" s="3" t="s">
        <v>31039</v>
      </c>
      <c r="BC3198" s="3" t="s">
        <v>102</v>
      </c>
      <c r="BD3198" s="3" t="s">
        <v>68</v>
      </c>
      <c r="BE3198" s="3" t="s">
        <v>31040</v>
      </c>
      <c r="BF3198" s="3" t="s">
        <v>31039</v>
      </c>
      <c r="BG3198" s="3" t="s">
        <v>31041</v>
      </c>
    </row>
    <row r="3199" spans="1:59" ht="58" x14ac:dyDescent="0.35">
      <c r="A3199" s="2" t="s">
        <v>89</v>
      </c>
      <c r="B3199" s="2" t="s">
        <v>6124</v>
      </c>
      <c r="C3199" s="2" t="s">
        <v>31042</v>
      </c>
      <c r="D3199" s="2" t="s">
        <v>31043</v>
      </c>
      <c r="E3199" s="2" t="s">
        <v>31044</v>
      </c>
      <c r="G3199" s="3" t="s">
        <v>62</v>
      </c>
      <c r="I3199" s="3" t="s">
        <v>62</v>
      </c>
      <c r="J3199" s="3" t="s">
        <v>62</v>
      </c>
      <c r="K3199" s="3" t="s">
        <v>63</v>
      </c>
      <c r="L3199" s="2" t="s">
        <v>31045</v>
      </c>
      <c r="M3199" s="2" t="s">
        <v>31046</v>
      </c>
      <c r="N3199" s="3" t="s">
        <v>129</v>
      </c>
      <c r="P3199" s="3" t="s">
        <v>64</v>
      </c>
      <c r="R3199" s="3" t="s">
        <v>27443</v>
      </c>
      <c r="S3199" s="4">
        <v>0</v>
      </c>
      <c r="T3199" s="4">
        <v>0</v>
      </c>
      <c r="U3199" s="5" t="s">
        <v>31047</v>
      </c>
      <c r="V3199" s="5" t="s">
        <v>31047</v>
      </c>
      <c r="W3199" s="5" t="s">
        <v>67</v>
      </c>
      <c r="X3199" s="5" t="s">
        <v>67</v>
      </c>
      <c r="Y3199" s="4">
        <v>129</v>
      </c>
      <c r="Z3199" s="4">
        <v>27</v>
      </c>
      <c r="AA3199" s="4">
        <v>116</v>
      </c>
      <c r="AB3199" s="4">
        <v>1</v>
      </c>
      <c r="AC3199" s="4">
        <v>19</v>
      </c>
      <c r="AD3199" s="4">
        <v>29</v>
      </c>
      <c r="AE3199" s="4">
        <v>99</v>
      </c>
      <c r="AF3199" s="4">
        <v>0</v>
      </c>
      <c r="AG3199" s="4">
        <v>8</v>
      </c>
      <c r="AH3199" s="4">
        <v>25</v>
      </c>
      <c r="AI3199" s="4">
        <v>65</v>
      </c>
      <c r="AJ3199" s="4">
        <v>8</v>
      </c>
      <c r="AK3199" s="4">
        <v>20</v>
      </c>
      <c r="AL3199" s="4">
        <v>17</v>
      </c>
      <c r="AM3199" s="4">
        <v>33</v>
      </c>
      <c r="AN3199" s="4">
        <v>0</v>
      </c>
      <c r="AO3199" s="4">
        <v>0</v>
      </c>
      <c r="AP3199" s="4">
        <v>7</v>
      </c>
      <c r="AQ3199" s="4">
        <v>41</v>
      </c>
      <c r="AR3199" s="3" t="s">
        <v>61</v>
      </c>
      <c r="AS3199" s="3" t="s">
        <v>62</v>
      </c>
      <c r="AT3199" s="3" t="s">
        <v>62</v>
      </c>
      <c r="AV3199" s="6" t="str">
        <f>HYPERLINK("http://mcgill.on.worldcat.org/oclc/833301182","Catalog Record")</f>
        <v>Catalog Record</v>
      </c>
      <c r="AW3199" s="6" t="str">
        <f>HYPERLINK("http://www.worldcat.org/oclc/833301182","WorldCat Record")</f>
        <v>WorldCat Record</v>
      </c>
      <c r="AX3199" s="3" t="s">
        <v>31048</v>
      </c>
      <c r="AY3199" s="3" t="s">
        <v>31049</v>
      </c>
      <c r="AZ3199" s="3" t="s">
        <v>31050</v>
      </c>
      <c r="BA3199" s="3" t="s">
        <v>31050</v>
      </c>
      <c r="BB3199" s="3" t="s">
        <v>31051</v>
      </c>
      <c r="BC3199" s="3" t="s">
        <v>102</v>
      </c>
      <c r="BD3199" s="3" t="s">
        <v>68</v>
      </c>
      <c r="BE3199" s="3" t="s">
        <v>31052</v>
      </c>
      <c r="BF3199" s="3" t="s">
        <v>31051</v>
      </c>
      <c r="BG3199" s="3" t="s">
        <v>31053</v>
      </c>
    </row>
    <row r="3200" spans="1:59" ht="58" x14ac:dyDescent="0.35">
      <c r="A3200" s="2" t="s">
        <v>59</v>
      </c>
      <c r="B3200" s="2" t="s">
        <v>60</v>
      </c>
      <c r="C3200" s="2" t="s">
        <v>31054</v>
      </c>
      <c r="D3200" s="2" t="s">
        <v>31055</v>
      </c>
      <c r="E3200" s="2" t="s">
        <v>31056</v>
      </c>
      <c r="G3200" s="3" t="s">
        <v>62</v>
      </c>
      <c r="I3200" s="3" t="s">
        <v>61</v>
      </c>
      <c r="J3200" s="3" t="s">
        <v>62</v>
      </c>
      <c r="K3200" s="3" t="s">
        <v>63</v>
      </c>
      <c r="L3200" s="2" t="s">
        <v>31057</v>
      </c>
      <c r="M3200" s="2" t="s">
        <v>31058</v>
      </c>
      <c r="N3200" s="3" t="s">
        <v>1576</v>
      </c>
      <c r="P3200" s="3" t="s">
        <v>64</v>
      </c>
      <c r="R3200" s="3" t="s">
        <v>27443</v>
      </c>
      <c r="S3200" s="4">
        <v>0</v>
      </c>
      <c r="T3200" s="4">
        <v>13</v>
      </c>
      <c r="V3200" s="5" t="s">
        <v>31059</v>
      </c>
      <c r="W3200" s="5" t="s">
        <v>67</v>
      </c>
      <c r="X3200" s="5" t="s">
        <v>67</v>
      </c>
      <c r="Y3200" s="4">
        <v>396</v>
      </c>
      <c r="Z3200" s="4">
        <v>23</v>
      </c>
      <c r="AA3200" s="4">
        <v>28</v>
      </c>
      <c r="AB3200" s="4">
        <v>2</v>
      </c>
      <c r="AC3200" s="4">
        <v>7</v>
      </c>
      <c r="AD3200" s="4">
        <v>100</v>
      </c>
      <c r="AE3200" s="4">
        <v>104</v>
      </c>
      <c r="AF3200" s="4">
        <v>1</v>
      </c>
      <c r="AG3200" s="4">
        <v>5</v>
      </c>
      <c r="AH3200" s="4">
        <v>85</v>
      </c>
      <c r="AI3200" s="4">
        <v>86</v>
      </c>
      <c r="AJ3200" s="4">
        <v>16</v>
      </c>
      <c r="AK3200" s="4">
        <v>19</v>
      </c>
      <c r="AL3200" s="4">
        <v>51</v>
      </c>
      <c r="AM3200" s="4">
        <v>51</v>
      </c>
      <c r="AN3200" s="4">
        <v>0</v>
      </c>
      <c r="AO3200" s="4">
        <v>0</v>
      </c>
      <c r="AP3200" s="4">
        <v>18</v>
      </c>
      <c r="AQ3200" s="4">
        <v>21</v>
      </c>
      <c r="AR3200" s="3" t="s">
        <v>62</v>
      </c>
      <c r="AS3200" s="3" t="s">
        <v>62</v>
      </c>
      <c r="AT3200" s="3" t="s">
        <v>61</v>
      </c>
      <c r="AU3200" s="6" t="str">
        <f>HYPERLINK("http://catalog.hathitrust.org/Record/001485942","HathiTrust Record")</f>
        <v>HathiTrust Record</v>
      </c>
      <c r="AV3200" s="6" t="str">
        <f>HYPERLINK("http://mcgill.on.worldcat.org/oclc/639865","Catalog Record")</f>
        <v>Catalog Record</v>
      </c>
      <c r="AW3200" s="6" t="str">
        <f>HYPERLINK("http://www.worldcat.org/oclc/639865","WorldCat Record")</f>
        <v>WorldCat Record</v>
      </c>
      <c r="AX3200" s="3" t="s">
        <v>31060</v>
      </c>
      <c r="AY3200" s="3" t="s">
        <v>31061</v>
      </c>
      <c r="AZ3200" s="3" t="s">
        <v>31062</v>
      </c>
      <c r="BA3200" s="3" t="s">
        <v>31062</v>
      </c>
      <c r="BB3200" s="3" t="s">
        <v>31063</v>
      </c>
      <c r="BC3200" s="3" t="s">
        <v>102</v>
      </c>
      <c r="BD3200" s="3" t="s">
        <v>68</v>
      </c>
      <c r="BF3200" s="3" t="s">
        <v>31063</v>
      </c>
      <c r="BG3200" s="3" t="s">
        <v>31064</v>
      </c>
    </row>
    <row r="3201" spans="1:59" ht="130.5" x14ac:dyDescent="0.35">
      <c r="A3201" s="2" t="s">
        <v>89</v>
      </c>
      <c r="B3201" s="2" t="s">
        <v>90</v>
      </c>
      <c r="C3201" s="2" t="s">
        <v>31065</v>
      </c>
      <c r="D3201" s="2" t="s">
        <v>31066</v>
      </c>
      <c r="E3201" s="2" t="s">
        <v>31067</v>
      </c>
      <c r="G3201" s="3" t="s">
        <v>62</v>
      </c>
      <c r="I3201" s="3" t="s">
        <v>62</v>
      </c>
      <c r="J3201" s="3" t="s">
        <v>62</v>
      </c>
      <c r="K3201" s="3" t="s">
        <v>63</v>
      </c>
      <c r="L3201" s="2" t="s">
        <v>31068</v>
      </c>
      <c r="M3201" s="2" t="s">
        <v>31069</v>
      </c>
      <c r="N3201" s="3" t="s">
        <v>129</v>
      </c>
      <c r="P3201" s="3" t="s">
        <v>64</v>
      </c>
      <c r="R3201" s="3" t="s">
        <v>27443</v>
      </c>
      <c r="S3201" s="4">
        <v>0</v>
      </c>
      <c r="T3201" s="4">
        <v>0</v>
      </c>
      <c r="W3201" s="5" t="s">
        <v>67</v>
      </c>
      <c r="X3201" s="5" t="s">
        <v>67</v>
      </c>
      <c r="Y3201" s="4">
        <v>49</v>
      </c>
      <c r="Z3201" s="4">
        <v>3</v>
      </c>
      <c r="AA3201" s="4">
        <v>77</v>
      </c>
      <c r="AB3201" s="4">
        <v>1</v>
      </c>
      <c r="AC3201" s="4">
        <v>14</v>
      </c>
      <c r="AD3201" s="4">
        <v>24</v>
      </c>
      <c r="AE3201" s="4">
        <v>108</v>
      </c>
      <c r="AF3201" s="4">
        <v>0</v>
      </c>
      <c r="AG3201" s="4">
        <v>8</v>
      </c>
      <c r="AH3201" s="4">
        <v>24</v>
      </c>
      <c r="AI3201" s="4">
        <v>73</v>
      </c>
      <c r="AJ3201" s="4">
        <v>1</v>
      </c>
      <c r="AK3201" s="4">
        <v>20</v>
      </c>
      <c r="AL3201" s="4">
        <v>13</v>
      </c>
      <c r="AM3201" s="4">
        <v>39</v>
      </c>
      <c r="AN3201" s="4">
        <v>0</v>
      </c>
      <c r="AO3201" s="4">
        <v>0</v>
      </c>
      <c r="AP3201" s="4">
        <v>1</v>
      </c>
      <c r="AQ3201" s="4">
        <v>40</v>
      </c>
      <c r="AR3201" s="3" t="s">
        <v>62</v>
      </c>
      <c r="AS3201" s="3" t="s">
        <v>62</v>
      </c>
      <c r="AT3201" s="3" t="s">
        <v>62</v>
      </c>
      <c r="AV3201" s="6" t="str">
        <f>HYPERLINK("http://mcgill.on.worldcat.org/oclc/855957470","Catalog Record")</f>
        <v>Catalog Record</v>
      </c>
      <c r="AW3201" s="6" t="str">
        <f>HYPERLINK("http://www.worldcat.org/oclc/855957470","WorldCat Record")</f>
        <v>WorldCat Record</v>
      </c>
      <c r="AX3201" s="3" t="s">
        <v>31070</v>
      </c>
      <c r="AY3201" s="3" t="s">
        <v>31071</v>
      </c>
      <c r="AZ3201" s="3" t="s">
        <v>31072</v>
      </c>
      <c r="BA3201" s="3" t="s">
        <v>31072</v>
      </c>
      <c r="BB3201" s="3" t="s">
        <v>31073</v>
      </c>
      <c r="BC3201" s="3" t="s">
        <v>102</v>
      </c>
      <c r="BD3201" s="3" t="s">
        <v>68</v>
      </c>
      <c r="BE3201" s="3" t="s">
        <v>31074</v>
      </c>
      <c r="BF3201" s="3" t="s">
        <v>31073</v>
      </c>
      <c r="BG3201" s="3" t="s">
        <v>31075</v>
      </c>
    </row>
    <row r="3202" spans="1:59" ht="58" x14ac:dyDescent="0.35">
      <c r="A3202" s="2" t="s">
        <v>89</v>
      </c>
      <c r="B3202" s="2" t="s">
        <v>90</v>
      </c>
      <c r="C3202" s="2" t="s">
        <v>31076</v>
      </c>
      <c r="D3202" s="2" t="s">
        <v>31077</v>
      </c>
      <c r="E3202" s="2" t="s">
        <v>31078</v>
      </c>
      <c r="G3202" s="3" t="s">
        <v>62</v>
      </c>
      <c r="I3202" s="3" t="s">
        <v>61</v>
      </c>
      <c r="J3202" s="3" t="s">
        <v>61</v>
      </c>
      <c r="K3202" s="3" t="s">
        <v>63</v>
      </c>
      <c r="L3202" s="2" t="s">
        <v>1062</v>
      </c>
      <c r="M3202" s="2" t="s">
        <v>31079</v>
      </c>
      <c r="N3202" s="3" t="s">
        <v>1576</v>
      </c>
      <c r="P3202" s="3" t="s">
        <v>64</v>
      </c>
      <c r="Q3202" s="2" t="s">
        <v>31080</v>
      </c>
      <c r="R3202" s="3" t="s">
        <v>27443</v>
      </c>
      <c r="S3202" s="4">
        <v>0</v>
      </c>
      <c r="T3202" s="4">
        <v>1</v>
      </c>
      <c r="V3202" s="5" t="s">
        <v>1906</v>
      </c>
      <c r="W3202" s="5" t="s">
        <v>67</v>
      </c>
      <c r="X3202" s="5" t="s">
        <v>67</v>
      </c>
      <c r="Y3202" s="4">
        <v>50</v>
      </c>
      <c r="Z3202" s="4">
        <v>6</v>
      </c>
      <c r="AA3202" s="4">
        <v>37</v>
      </c>
      <c r="AB3202" s="4">
        <v>1</v>
      </c>
      <c r="AC3202" s="4">
        <v>5</v>
      </c>
      <c r="AD3202" s="4">
        <v>18</v>
      </c>
      <c r="AE3202" s="4">
        <v>118</v>
      </c>
      <c r="AF3202" s="4">
        <v>0</v>
      </c>
      <c r="AG3202" s="4">
        <v>3</v>
      </c>
      <c r="AH3202" s="4">
        <v>14</v>
      </c>
      <c r="AI3202" s="4">
        <v>97</v>
      </c>
      <c r="AJ3202" s="4">
        <v>3</v>
      </c>
      <c r="AK3202" s="4">
        <v>20</v>
      </c>
      <c r="AL3202" s="4">
        <v>10</v>
      </c>
      <c r="AM3202" s="4">
        <v>53</v>
      </c>
      <c r="AN3202" s="4">
        <v>0</v>
      </c>
      <c r="AO3202" s="4">
        <v>0</v>
      </c>
      <c r="AP3202" s="4">
        <v>2</v>
      </c>
      <c r="AQ3202" s="4">
        <v>26</v>
      </c>
      <c r="AR3202" s="3" t="s">
        <v>62</v>
      </c>
      <c r="AS3202" s="3" t="s">
        <v>62</v>
      </c>
      <c r="AT3202" s="3" t="s">
        <v>61</v>
      </c>
      <c r="AU3202" s="6" t="str">
        <f>HYPERLINK("http://catalog.hathitrust.org/Record/001485982","HathiTrust Record")</f>
        <v>HathiTrust Record</v>
      </c>
      <c r="AV3202" s="6" t="str">
        <f>HYPERLINK("http://mcgill.on.worldcat.org/oclc/12250134","Catalog Record")</f>
        <v>Catalog Record</v>
      </c>
      <c r="AW3202" s="6" t="str">
        <f>HYPERLINK("http://www.worldcat.org/oclc/12250134","WorldCat Record")</f>
        <v>WorldCat Record</v>
      </c>
      <c r="AX3202" s="3" t="s">
        <v>31081</v>
      </c>
      <c r="AY3202" s="3" t="s">
        <v>31082</v>
      </c>
      <c r="AZ3202" s="3" t="s">
        <v>31083</v>
      </c>
      <c r="BA3202" s="3" t="s">
        <v>31083</v>
      </c>
      <c r="BB3202" s="3" t="s">
        <v>31084</v>
      </c>
      <c r="BC3202" s="3" t="s">
        <v>102</v>
      </c>
      <c r="BD3202" s="3" t="s">
        <v>68</v>
      </c>
      <c r="BF3202" s="3" t="s">
        <v>31084</v>
      </c>
      <c r="BG3202" s="3" t="s">
        <v>31085</v>
      </c>
    </row>
    <row r="3203" spans="1:59" ht="58" x14ac:dyDescent="0.35">
      <c r="A3203" s="2" t="s">
        <v>89</v>
      </c>
      <c r="B3203" s="2" t="s">
        <v>90</v>
      </c>
      <c r="C3203" s="2" t="s">
        <v>31086</v>
      </c>
      <c r="D3203" s="2" t="s">
        <v>31087</v>
      </c>
      <c r="E3203" s="2" t="s">
        <v>31088</v>
      </c>
      <c r="G3203" s="3" t="s">
        <v>62</v>
      </c>
      <c r="I3203" s="3" t="s">
        <v>62</v>
      </c>
      <c r="J3203" s="3" t="s">
        <v>62</v>
      </c>
      <c r="K3203" s="3" t="s">
        <v>63</v>
      </c>
      <c r="L3203" s="2" t="s">
        <v>31089</v>
      </c>
      <c r="M3203" s="2" t="s">
        <v>31090</v>
      </c>
      <c r="N3203" s="3" t="s">
        <v>1455</v>
      </c>
      <c r="O3203" s="2" t="s">
        <v>1941</v>
      </c>
      <c r="P3203" s="3" t="s">
        <v>64</v>
      </c>
      <c r="R3203" s="3" t="s">
        <v>27443</v>
      </c>
      <c r="S3203" s="4">
        <v>3</v>
      </c>
      <c r="T3203" s="4">
        <v>3</v>
      </c>
      <c r="U3203" s="5" t="s">
        <v>21936</v>
      </c>
      <c r="V3203" s="5" t="s">
        <v>21936</v>
      </c>
      <c r="W3203" s="5" t="s">
        <v>67</v>
      </c>
      <c r="X3203" s="5" t="s">
        <v>67</v>
      </c>
      <c r="Y3203" s="4">
        <v>1370</v>
      </c>
      <c r="Z3203" s="4">
        <v>30</v>
      </c>
      <c r="AA3203" s="4">
        <v>40</v>
      </c>
      <c r="AB3203" s="4">
        <v>2</v>
      </c>
      <c r="AC3203" s="4">
        <v>5</v>
      </c>
      <c r="AD3203" s="4">
        <v>81</v>
      </c>
      <c r="AE3203" s="4">
        <v>85</v>
      </c>
      <c r="AF3203" s="4">
        <v>0</v>
      </c>
      <c r="AG3203" s="4">
        <v>0</v>
      </c>
      <c r="AH3203" s="4">
        <v>74</v>
      </c>
      <c r="AI3203" s="4">
        <v>76</v>
      </c>
      <c r="AJ3203" s="4">
        <v>5</v>
      </c>
      <c r="AK3203" s="4">
        <v>7</v>
      </c>
      <c r="AL3203" s="4">
        <v>44</v>
      </c>
      <c r="AM3203" s="4">
        <v>44</v>
      </c>
      <c r="AN3203" s="4">
        <v>0</v>
      </c>
      <c r="AO3203" s="4">
        <v>0</v>
      </c>
      <c r="AP3203" s="4">
        <v>9</v>
      </c>
      <c r="AQ3203" s="4">
        <v>12</v>
      </c>
      <c r="AR3203" s="3" t="s">
        <v>62</v>
      </c>
      <c r="AS3203" s="3" t="s">
        <v>62</v>
      </c>
      <c r="AT3203" s="3" t="s">
        <v>62</v>
      </c>
      <c r="AV3203" s="6" t="str">
        <f>HYPERLINK("http://mcgill.on.worldcat.org/oclc/890377468","Catalog Record")</f>
        <v>Catalog Record</v>
      </c>
      <c r="AW3203" s="6" t="str">
        <f>HYPERLINK("http://www.worldcat.org/oclc/890377468","WorldCat Record")</f>
        <v>WorldCat Record</v>
      </c>
      <c r="AX3203" s="3" t="s">
        <v>31091</v>
      </c>
      <c r="AY3203" s="3" t="s">
        <v>31092</v>
      </c>
      <c r="AZ3203" s="3" t="s">
        <v>31093</v>
      </c>
      <c r="BA3203" s="3" t="s">
        <v>31093</v>
      </c>
      <c r="BB3203" s="3" t="s">
        <v>31094</v>
      </c>
      <c r="BC3203" s="3" t="s">
        <v>102</v>
      </c>
      <c r="BD3203" s="3" t="s">
        <v>68</v>
      </c>
      <c r="BE3203" s="3" t="s">
        <v>31095</v>
      </c>
      <c r="BF3203" s="3" t="s">
        <v>31094</v>
      </c>
      <c r="BG3203" s="3" t="s">
        <v>31096</v>
      </c>
    </row>
    <row r="3204" spans="1:59" ht="58" x14ac:dyDescent="0.35">
      <c r="A3204" s="2" t="s">
        <v>89</v>
      </c>
      <c r="B3204" s="2" t="s">
        <v>2033</v>
      </c>
      <c r="C3204" s="2" t="s">
        <v>31097</v>
      </c>
      <c r="D3204" s="2" t="s">
        <v>31098</v>
      </c>
      <c r="E3204" s="2" t="s">
        <v>31099</v>
      </c>
      <c r="F3204" s="3" t="s">
        <v>31100</v>
      </c>
      <c r="G3204" s="3" t="s">
        <v>62</v>
      </c>
      <c r="I3204" s="3" t="s">
        <v>62</v>
      </c>
      <c r="J3204" s="3" t="s">
        <v>62</v>
      </c>
      <c r="K3204" s="3" t="s">
        <v>63</v>
      </c>
      <c r="M3204" s="2" t="s">
        <v>31101</v>
      </c>
      <c r="N3204" s="3" t="s">
        <v>13086</v>
      </c>
      <c r="P3204" s="3" t="s">
        <v>64</v>
      </c>
      <c r="R3204" s="3" t="s">
        <v>27443</v>
      </c>
      <c r="S3204" s="4">
        <v>2</v>
      </c>
      <c r="T3204" s="4">
        <v>2</v>
      </c>
      <c r="U3204" s="5" t="s">
        <v>15905</v>
      </c>
      <c r="V3204" s="5" t="s">
        <v>15905</v>
      </c>
      <c r="W3204" s="5" t="s">
        <v>67</v>
      </c>
      <c r="X3204" s="5" t="s">
        <v>67</v>
      </c>
      <c r="Y3204" s="4">
        <v>4</v>
      </c>
      <c r="Z3204" s="4">
        <v>1</v>
      </c>
      <c r="AA3204" s="4">
        <v>1</v>
      </c>
      <c r="AB3204" s="4">
        <v>1</v>
      </c>
      <c r="AC3204" s="4">
        <v>1</v>
      </c>
      <c r="AD3204" s="4">
        <v>2</v>
      </c>
      <c r="AE3204" s="4">
        <v>2</v>
      </c>
      <c r="AF3204" s="4">
        <v>0</v>
      </c>
      <c r="AG3204" s="4">
        <v>0</v>
      </c>
      <c r="AH3204" s="4">
        <v>2</v>
      </c>
      <c r="AI3204" s="4">
        <v>2</v>
      </c>
      <c r="AJ3204" s="4">
        <v>0</v>
      </c>
      <c r="AK3204" s="4">
        <v>0</v>
      </c>
      <c r="AL3204" s="4">
        <v>2</v>
      </c>
      <c r="AM3204" s="4">
        <v>2</v>
      </c>
      <c r="AN3204" s="4">
        <v>0</v>
      </c>
      <c r="AO3204" s="4">
        <v>0</v>
      </c>
      <c r="AP3204" s="4">
        <v>0</v>
      </c>
      <c r="AQ3204" s="4">
        <v>0</v>
      </c>
      <c r="AR3204" s="3" t="s">
        <v>62</v>
      </c>
      <c r="AS3204" s="3" t="s">
        <v>62</v>
      </c>
      <c r="AT3204" s="3" t="s">
        <v>62</v>
      </c>
      <c r="AV3204" s="6" t="str">
        <f>HYPERLINK("http://mcgill.on.worldcat.org/oclc/14026424","Catalog Record")</f>
        <v>Catalog Record</v>
      </c>
      <c r="AW3204" s="6" t="str">
        <f>HYPERLINK("http://www.worldcat.org/oclc/14026424","WorldCat Record")</f>
        <v>WorldCat Record</v>
      </c>
      <c r="AX3204" s="3" t="s">
        <v>31102</v>
      </c>
      <c r="AY3204" s="3" t="s">
        <v>31103</v>
      </c>
      <c r="AZ3204" s="3" t="s">
        <v>31104</v>
      </c>
      <c r="BA3204" s="3" t="s">
        <v>31104</v>
      </c>
      <c r="BB3204" s="3" t="s">
        <v>31105</v>
      </c>
      <c r="BC3204" s="3" t="s">
        <v>102</v>
      </c>
      <c r="BD3204" s="3" t="s">
        <v>68</v>
      </c>
      <c r="BF3204" s="3" t="s">
        <v>31105</v>
      </c>
      <c r="BG3204" s="3" t="s">
        <v>31106</v>
      </c>
    </row>
    <row r="3205" spans="1:59" ht="58" x14ac:dyDescent="0.35">
      <c r="A3205" s="2" t="s">
        <v>89</v>
      </c>
      <c r="B3205" s="2" t="s">
        <v>90</v>
      </c>
      <c r="C3205" s="2" t="s">
        <v>31107</v>
      </c>
      <c r="D3205" s="2" t="s">
        <v>31108</v>
      </c>
      <c r="E3205" s="2" t="s">
        <v>31109</v>
      </c>
      <c r="G3205" s="3" t="s">
        <v>62</v>
      </c>
      <c r="I3205" s="3" t="s">
        <v>61</v>
      </c>
      <c r="J3205" s="3" t="s">
        <v>62</v>
      </c>
      <c r="K3205" s="3" t="s">
        <v>63</v>
      </c>
      <c r="L3205" s="2" t="s">
        <v>31110</v>
      </c>
      <c r="M3205" s="2" t="s">
        <v>31111</v>
      </c>
      <c r="N3205" s="3" t="s">
        <v>539</v>
      </c>
      <c r="P3205" s="3" t="s">
        <v>64</v>
      </c>
      <c r="R3205" s="3" t="s">
        <v>27443</v>
      </c>
      <c r="S3205" s="4">
        <v>52</v>
      </c>
      <c r="T3205" s="4">
        <v>72</v>
      </c>
      <c r="U3205" s="5" t="s">
        <v>31112</v>
      </c>
      <c r="V3205" s="5" t="s">
        <v>12923</v>
      </c>
      <c r="W3205" s="5" t="s">
        <v>67</v>
      </c>
      <c r="X3205" s="5" t="s">
        <v>67</v>
      </c>
      <c r="Y3205" s="4">
        <v>152</v>
      </c>
      <c r="Z3205" s="4">
        <v>77</v>
      </c>
      <c r="AA3205" s="4">
        <v>83</v>
      </c>
      <c r="AB3205" s="4">
        <v>3</v>
      </c>
      <c r="AC3205" s="4">
        <v>5</v>
      </c>
      <c r="AD3205" s="4">
        <v>19</v>
      </c>
      <c r="AE3205" s="4">
        <v>23</v>
      </c>
      <c r="AF3205" s="4">
        <v>0</v>
      </c>
      <c r="AG3205" s="4">
        <v>0</v>
      </c>
      <c r="AH3205" s="4">
        <v>12</v>
      </c>
      <c r="AI3205" s="4">
        <v>12</v>
      </c>
      <c r="AJ3205" s="4">
        <v>6</v>
      </c>
      <c r="AK3205" s="4">
        <v>9</v>
      </c>
      <c r="AL3205" s="4">
        <v>6</v>
      </c>
      <c r="AM3205" s="4">
        <v>6</v>
      </c>
      <c r="AN3205" s="4">
        <v>0</v>
      </c>
      <c r="AO3205" s="4">
        <v>0</v>
      </c>
      <c r="AP3205" s="4">
        <v>13</v>
      </c>
      <c r="AQ3205" s="4">
        <v>15</v>
      </c>
      <c r="AR3205" s="3" t="s">
        <v>61</v>
      </c>
      <c r="AS3205" s="3" t="s">
        <v>62</v>
      </c>
      <c r="AT3205" s="3" t="s">
        <v>62</v>
      </c>
      <c r="AV3205" s="6" t="str">
        <f>HYPERLINK("http://mcgill.on.worldcat.org/oclc/43757806","Catalog Record")</f>
        <v>Catalog Record</v>
      </c>
      <c r="AW3205" s="6" t="str">
        <f>HYPERLINK("http://www.worldcat.org/oclc/43757806","WorldCat Record")</f>
        <v>WorldCat Record</v>
      </c>
      <c r="AX3205" s="3" t="s">
        <v>31113</v>
      </c>
      <c r="AY3205" s="3" t="s">
        <v>31114</v>
      </c>
      <c r="AZ3205" s="3" t="s">
        <v>31115</v>
      </c>
      <c r="BA3205" s="3" t="s">
        <v>31115</v>
      </c>
      <c r="BB3205" s="3" t="s">
        <v>31116</v>
      </c>
      <c r="BC3205" s="3" t="s">
        <v>102</v>
      </c>
      <c r="BD3205" s="3" t="s">
        <v>68</v>
      </c>
      <c r="BE3205" s="3" t="s">
        <v>31117</v>
      </c>
      <c r="BF3205" s="3" t="s">
        <v>31116</v>
      </c>
      <c r="BG3205" s="3" t="s">
        <v>31118</v>
      </c>
    </row>
    <row r="3206" spans="1:59" ht="58" x14ac:dyDescent="0.35">
      <c r="A3206" s="2" t="s">
        <v>89</v>
      </c>
      <c r="B3206" s="2" t="s">
        <v>90</v>
      </c>
      <c r="C3206" s="2" t="s">
        <v>31107</v>
      </c>
      <c r="D3206" s="2" t="s">
        <v>31108</v>
      </c>
      <c r="E3206" s="2" t="s">
        <v>31109</v>
      </c>
      <c r="G3206" s="3" t="s">
        <v>62</v>
      </c>
      <c r="I3206" s="3" t="s">
        <v>61</v>
      </c>
      <c r="J3206" s="3" t="s">
        <v>62</v>
      </c>
      <c r="K3206" s="3" t="s">
        <v>63</v>
      </c>
      <c r="L3206" s="2" t="s">
        <v>31110</v>
      </c>
      <c r="M3206" s="2" t="s">
        <v>31111</v>
      </c>
      <c r="N3206" s="3" t="s">
        <v>539</v>
      </c>
      <c r="P3206" s="3" t="s">
        <v>64</v>
      </c>
      <c r="R3206" s="3" t="s">
        <v>27443</v>
      </c>
      <c r="S3206" s="4">
        <v>20</v>
      </c>
      <c r="T3206" s="4">
        <v>72</v>
      </c>
      <c r="U3206" s="5" t="s">
        <v>12923</v>
      </c>
      <c r="V3206" s="5" t="s">
        <v>12923</v>
      </c>
      <c r="W3206" s="5" t="s">
        <v>67</v>
      </c>
      <c r="X3206" s="5" t="s">
        <v>67</v>
      </c>
      <c r="Y3206" s="4">
        <v>152</v>
      </c>
      <c r="Z3206" s="4">
        <v>77</v>
      </c>
      <c r="AA3206" s="4">
        <v>83</v>
      </c>
      <c r="AB3206" s="4">
        <v>3</v>
      </c>
      <c r="AC3206" s="4">
        <v>5</v>
      </c>
      <c r="AD3206" s="4">
        <v>19</v>
      </c>
      <c r="AE3206" s="4">
        <v>23</v>
      </c>
      <c r="AF3206" s="4">
        <v>0</v>
      </c>
      <c r="AG3206" s="4">
        <v>0</v>
      </c>
      <c r="AH3206" s="4">
        <v>12</v>
      </c>
      <c r="AI3206" s="4">
        <v>12</v>
      </c>
      <c r="AJ3206" s="4">
        <v>6</v>
      </c>
      <c r="AK3206" s="4">
        <v>9</v>
      </c>
      <c r="AL3206" s="4">
        <v>6</v>
      </c>
      <c r="AM3206" s="4">
        <v>6</v>
      </c>
      <c r="AN3206" s="4">
        <v>0</v>
      </c>
      <c r="AO3206" s="4">
        <v>0</v>
      </c>
      <c r="AP3206" s="4">
        <v>13</v>
      </c>
      <c r="AQ3206" s="4">
        <v>15</v>
      </c>
      <c r="AR3206" s="3" t="s">
        <v>61</v>
      </c>
      <c r="AS3206" s="3" t="s">
        <v>62</v>
      </c>
      <c r="AT3206" s="3" t="s">
        <v>62</v>
      </c>
      <c r="AV3206" s="6" t="str">
        <f>HYPERLINK("http://mcgill.on.worldcat.org/oclc/43757806","Catalog Record")</f>
        <v>Catalog Record</v>
      </c>
      <c r="AW3206" s="6" t="str">
        <f>HYPERLINK("http://www.worldcat.org/oclc/43757806","WorldCat Record")</f>
        <v>WorldCat Record</v>
      </c>
      <c r="AX3206" s="3" t="s">
        <v>31113</v>
      </c>
      <c r="AY3206" s="3" t="s">
        <v>31114</v>
      </c>
      <c r="AZ3206" s="3" t="s">
        <v>31115</v>
      </c>
      <c r="BA3206" s="3" t="s">
        <v>31115</v>
      </c>
      <c r="BB3206" s="3" t="s">
        <v>31119</v>
      </c>
      <c r="BC3206" s="3" t="s">
        <v>102</v>
      </c>
      <c r="BD3206" s="3" t="s">
        <v>68</v>
      </c>
      <c r="BE3206" s="3" t="s">
        <v>31117</v>
      </c>
      <c r="BF3206" s="3" t="s">
        <v>31119</v>
      </c>
      <c r="BG3206" s="3" t="s">
        <v>31120</v>
      </c>
    </row>
    <row r="3207" spans="1:59" ht="58" x14ac:dyDescent="0.35">
      <c r="A3207" s="2" t="s">
        <v>89</v>
      </c>
      <c r="B3207" s="2" t="s">
        <v>90</v>
      </c>
      <c r="C3207" s="2" t="s">
        <v>31121</v>
      </c>
      <c r="D3207" s="2" t="s">
        <v>31122</v>
      </c>
      <c r="E3207" s="2" t="s">
        <v>31123</v>
      </c>
      <c r="G3207" s="3" t="s">
        <v>62</v>
      </c>
      <c r="I3207" s="3" t="s">
        <v>61</v>
      </c>
      <c r="J3207" s="3" t="s">
        <v>62</v>
      </c>
      <c r="K3207" s="3" t="s">
        <v>63</v>
      </c>
      <c r="M3207" s="2" t="s">
        <v>31124</v>
      </c>
      <c r="N3207" s="3" t="s">
        <v>539</v>
      </c>
      <c r="O3207" s="2" t="s">
        <v>31125</v>
      </c>
      <c r="P3207" s="3" t="s">
        <v>85</v>
      </c>
      <c r="R3207" s="3" t="s">
        <v>27443</v>
      </c>
      <c r="S3207" s="4">
        <v>15</v>
      </c>
      <c r="T3207" s="4">
        <v>15</v>
      </c>
      <c r="U3207" s="5" t="s">
        <v>15824</v>
      </c>
      <c r="V3207" s="5" t="s">
        <v>15824</v>
      </c>
      <c r="W3207" s="5" t="s">
        <v>67</v>
      </c>
      <c r="X3207" s="5" t="s">
        <v>67</v>
      </c>
      <c r="Y3207" s="4">
        <v>7</v>
      </c>
      <c r="Z3207" s="4">
        <v>7</v>
      </c>
      <c r="AA3207" s="4">
        <v>12</v>
      </c>
      <c r="AB3207" s="4">
        <v>6</v>
      </c>
      <c r="AC3207" s="4">
        <v>9</v>
      </c>
      <c r="AD3207" s="4">
        <v>3</v>
      </c>
      <c r="AE3207" s="4">
        <v>4</v>
      </c>
      <c r="AF3207" s="4">
        <v>2</v>
      </c>
      <c r="AG3207" s="4">
        <v>3</v>
      </c>
      <c r="AH3207" s="4">
        <v>0</v>
      </c>
      <c r="AI3207" s="4">
        <v>0</v>
      </c>
      <c r="AJ3207" s="4">
        <v>2</v>
      </c>
      <c r="AK3207" s="4">
        <v>3</v>
      </c>
      <c r="AL3207" s="4">
        <v>0</v>
      </c>
      <c r="AM3207" s="4">
        <v>0</v>
      </c>
      <c r="AN3207" s="4">
        <v>0</v>
      </c>
      <c r="AO3207" s="4">
        <v>0</v>
      </c>
      <c r="AP3207" s="4">
        <v>2</v>
      </c>
      <c r="AQ3207" s="4">
        <v>3</v>
      </c>
      <c r="AR3207" s="3" t="s">
        <v>61</v>
      </c>
      <c r="AS3207" s="3" t="s">
        <v>62</v>
      </c>
      <c r="AT3207" s="3" t="s">
        <v>62</v>
      </c>
      <c r="AV3207" s="6" t="str">
        <f>HYPERLINK("http://mcgill.on.worldcat.org/oclc/43428023","Catalog Record")</f>
        <v>Catalog Record</v>
      </c>
      <c r="AW3207" s="6" t="str">
        <f>HYPERLINK("http://www.worldcat.org/oclc/43428023","WorldCat Record")</f>
        <v>WorldCat Record</v>
      </c>
      <c r="AX3207" s="3" t="s">
        <v>31126</v>
      </c>
      <c r="AY3207" s="3" t="s">
        <v>31127</v>
      </c>
      <c r="AZ3207" s="3" t="s">
        <v>31128</v>
      </c>
      <c r="BA3207" s="3" t="s">
        <v>31128</v>
      </c>
      <c r="BB3207" s="3" t="s">
        <v>31129</v>
      </c>
      <c r="BC3207" s="3" t="s">
        <v>102</v>
      </c>
      <c r="BD3207" s="3" t="s">
        <v>68</v>
      </c>
      <c r="BE3207" s="3" t="s">
        <v>31130</v>
      </c>
      <c r="BF3207" s="3" t="s">
        <v>31129</v>
      </c>
      <c r="BG3207" s="3" t="s">
        <v>31131</v>
      </c>
    </row>
    <row r="3208" spans="1:59" ht="58" x14ac:dyDescent="0.35">
      <c r="A3208" s="2" t="s">
        <v>89</v>
      </c>
      <c r="B3208" s="2" t="s">
        <v>90</v>
      </c>
      <c r="C3208" s="2" t="s">
        <v>31132</v>
      </c>
      <c r="D3208" s="2" t="s">
        <v>31133</v>
      </c>
      <c r="E3208" s="2" t="s">
        <v>31134</v>
      </c>
      <c r="G3208" s="3" t="s">
        <v>62</v>
      </c>
      <c r="I3208" s="3" t="s">
        <v>62</v>
      </c>
      <c r="J3208" s="3" t="s">
        <v>62</v>
      </c>
      <c r="K3208" s="3" t="s">
        <v>63</v>
      </c>
      <c r="L3208" s="2" t="s">
        <v>31135</v>
      </c>
      <c r="M3208" s="2" t="s">
        <v>31136</v>
      </c>
      <c r="N3208" s="3" t="s">
        <v>1455</v>
      </c>
      <c r="P3208" s="3" t="s">
        <v>64</v>
      </c>
      <c r="R3208" s="3" t="s">
        <v>27443</v>
      </c>
      <c r="S3208" s="4">
        <v>11</v>
      </c>
      <c r="T3208" s="4">
        <v>11</v>
      </c>
      <c r="U3208" s="5" t="s">
        <v>14513</v>
      </c>
      <c r="V3208" s="5" t="s">
        <v>14513</v>
      </c>
      <c r="W3208" s="5" t="s">
        <v>67</v>
      </c>
      <c r="X3208" s="5" t="s">
        <v>67</v>
      </c>
      <c r="Y3208" s="4">
        <v>591</v>
      </c>
      <c r="Z3208" s="4">
        <v>27</v>
      </c>
      <c r="AA3208" s="4">
        <v>91</v>
      </c>
      <c r="AB3208" s="4">
        <v>4</v>
      </c>
      <c r="AC3208" s="4">
        <v>17</v>
      </c>
      <c r="AD3208" s="4">
        <v>80</v>
      </c>
      <c r="AE3208" s="4">
        <v>125</v>
      </c>
      <c r="AF3208" s="4">
        <v>1</v>
      </c>
      <c r="AG3208" s="4">
        <v>8</v>
      </c>
      <c r="AH3208" s="4">
        <v>70</v>
      </c>
      <c r="AI3208" s="4">
        <v>91</v>
      </c>
      <c r="AJ3208" s="4">
        <v>11</v>
      </c>
      <c r="AK3208" s="4">
        <v>22</v>
      </c>
      <c r="AL3208" s="4">
        <v>42</v>
      </c>
      <c r="AM3208" s="4">
        <v>49</v>
      </c>
      <c r="AN3208" s="4">
        <v>0</v>
      </c>
      <c r="AO3208" s="4">
        <v>0</v>
      </c>
      <c r="AP3208" s="4">
        <v>15</v>
      </c>
      <c r="AQ3208" s="4">
        <v>43</v>
      </c>
      <c r="AR3208" s="3" t="s">
        <v>62</v>
      </c>
      <c r="AS3208" s="3" t="s">
        <v>62</v>
      </c>
      <c r="AT3208" s="3" t="s">
        <v>62</v>
      </c>
      <c r="AV3208" s="6" t="str">
        <f>HYPERLINK("http://mcgill.on.worldcat.org/oclc/906121578","Catalog Record")</f>
        <v>Catalog Record</v>
      </c>
      <c r="AW3208" s="6" t="str">
        <f>HYPERLINK("http://www.worldcat.org/oclc/906121578","WorldCat Record")</f>
        <v>WorldCat Record</v>
      </c>
      <c r="AX3208" s="3" t="s">
        <v>31137</v>
      </c>
      <c r="AY3208" s="3" t="s">
        <v>31138</v>
      </c>
      <c r="AZ3208" s="3" t="s">
        <v>31139</v>
      </c>
      <c r="BA3208" s="3" t="s">
        <v>31139</v>
      </c>
      <c r="BB3208" s="3" t="s">
        <v>31140</v>
      </c>
      <c r="BC3208" s="3" t="s">
        <v>102</v>
      </c>
      <c r="BD3208" s="3" t="s">
        <v>231</v>
      </c>
      <c r="BE3208" s="3" t="s">
        <v>31141</v>
      </c>
      <c r="BF3208" s="3" t="s">
        <v>31140</v>
      </c>
      <c r="BG3208" s="3" t="s">
        <v>31142</v>
      </c>
    </row>
    <row r="3209" spans="1:59" ht="58" x14ac:dyDescent="0.35">
      <c r="A3209" s="2" t="s">
        <v>89</v>
      </c>
      <c r="B3209" s="2" t="s">
        <v>90</v>
      </c>
      <c r="C3209" s="2" t="s">
        <v>31143</v>
      </c>
      <c r="D3209" s="2" t="s">
        <v>31144</v>
      </c>
      <c r="E3209" s="2" t="s">
        <v>31145</v>
      </c>
      <c r="G3209" s="3" t="s">
        <v>62</v>
      </c>
      <c r="I3209" s="3" t="s">
        <v>61</v>
      </c>
      <c r="J3209" s="3" t="s">
        <v>62</v>
      </c>
      <c r="K3209" s="3" t="s">
        <v>63</v>
      </c>
      <c r="L3209" s="2" t="s">
        <v>31146</v>
      </c>
      <c r="M3209" s="2" t="s">
        <v>31147</v>
      </c>
      <c r="N3209" s="3" t="s">
        <v>2136</v>
      </c>
      <c r="P3209" s="3" t="s">
        <v>64</v>
      </c>
      <c r="R3209" s="3" t="s">
        <v>27443</v>
      </c>
      <c r="S3209" s="4">
        <v>4</v>
      </c>
      <c r="T3209" s="4">
        <v>8</v>
      </c>
      <c r="U3209" s="5" t="s">
        <v>3291</v>
      </c>
      <c r="V3209" s="5" t="s">
        <v>3291</v>
      </c>
      <c r="W3209" s="5" t="s">
        <v>67</v>
      </c>
      <c r="X3209" s="5" t="s">
        <v>67</v>
      </c>
      <c r="Y3209" s="4">
        <v>46</v>
      </c>
      <c r="Z3209" s="4">
        <v>40</v>
      </c>
      <c r="AA3209" s="4">
        <v>61</v>
      </c>
      <c r="AB3209" s="4">
        <v>1</v>
      </c>
      <c r="AC3209" s="4">
        <v>6</v>
      </c>
      <c r="AD3209" s="4">
        <v>26</v>
      </c>
      <c r="AE3209" s="4">
        <v>40</v>
      </c>
      <c r="AF3209" s="4">
        <v>0</v>
      </c>
      <c r="AG3209" s="4">
        <v>3</v>
      </c>
      <c r="AH3209" s="4">
        <v>11</v>
      </c>
      <c r="AI3209" s="4">
        <v>15</v>
      </c>
      <c r="AJ3209" s="4">
        <v>15</v>
      </c>
      <c r="AK3209" s="4">
        <v>21</v>
      </c>
      <c r="AL3209" s="4">
        <v>5</v>
      </c>
      <c r="AM3209" s="4">
        <v>5</v>
      </c>
      <c r="AN3209" s="4">
        <v>0</v>
      </c>
      <c r="AO3209" s="4">
        <v>0</v>
      </c>
      <c r="AP3209" s="4">
        <v>20</v>
      </c>
      <c r="AQ3209" s="4">
        <v>34</v>
      </c>
      <c r="AR3209" s="3" t="s">
        <v>61</v>
      </c>
      <c r="AS3209" s="3" t="s">
        <v>62</v>
      </c>
      <c r="AT3209" s="3" t="s">
        <v>62</v>
      </c>
      <c r="AV3209" s="6" t="str">
        <f>HYPERLINK("http://mcgill.on.worldcat.org/oclc/60798018","Catalog Record")</f>
        <v>Catalog Record</v>
      </c>
      <c r="AW3209" s="6" t="str">
        <f>HYPERLINK("http://www.worldcat.org/oclc/60798018","WorldCat Record")</f>
        <v>WorldCat Record</v>
      </c>
      <c r="AX3209" s="3" t="s">
        <v>31148</v>
      </c>
      <c r="AY3209" s="3" t="s">
        <v>31149</v>
      </c>
      <c r="AZ3209" s="3" t="s">
        <v>31150</v>
      </c>
      <c r="BA3209" s="3" t="s">
        <v>31150</v>
      </c>
      <c r="BB3209" s="3" t="s">
        <v>31151</v>
      </c>
      <c r="BC3209" s="3" t="s">
        <v>102</v>
      </c>
      <c r="BD3209" s="3" t="s">
        <v>68</v>
      </c>
      <c r="BE3209" s="3" t="s">
        <v>31152</v>
      </c>
      <c r="BF3209" s="3" t="s">
        <v>31151</v>
      </c>
      <c r="BG3209" s="3" t="s">
        <v>31153</v>
      </c>
    </row>
    <row r="3210" spans="1:59" ht="58" x14ac:dyDescent="0.35">
      <c r="A3210" s="2" t="s">
        <v>89</v>
      </c>
      <c r="B3210" s="2" t="s">
        <v>90</v>
      </c>
      <c r="C3210" s="2" t="s">
        <v>31154</v>
      </c>
      <c r="D3210" s="2" t="s">
        <v>31155</v>
      </c>
      <c r="E3210" s="2" t="s">
        <v>31156</v>
      </c>
      <c r="G3210" s="3" t="s">
        <v>62</v>
      </c>
      <c r="I3210" s="3" t="s">
        <v>62</v>
      </c>
      <c r="J3210" s="3" t="s">
        <v>62</v>
      </c>
      <c r="K3210" s="3" t="s">
        <v>63</v>
      </c>
      <c r="M3210" s="2" t="s">
        <v>31157</v>
      </c>
      <c r="N3210" s="3" t="s">
        <v>640</v>
      </c>
      <c r="P3210" s="3" t="s">
        <v>64</v>
      </c>
      <c r="R3210" s="3" t="s">
        <v>27443</v>
      </c>
      <c r="S3210" s="4">
        <v>9</v>
      </c>
      <c r="T3210" s="4">
        <v>9</v>
      </c>
      <c r="U3210" s="5" t="s">
        <v>16465</v>
      </c>
      <c r="V3210" s="5" t="s">
        <v>16465</v>
      </c>
      <c r="W3210" s="5" t="s">
        <v>67</v>
      </c>
      <c r="X3210" s="5" t="s">
        <v>67</v>
      </c>
      <c r="Y3210" s="4">
        <v>19</v>
      </c>
      <c r="Z3210" s="4">
        <v>17</v>
      </c>
      <c r="AA3210" s="4">
        <v>19</v>
      </c>
      <c r="AB3210" s="4">
        <v>1</v>
      </c>
      <c r="AC3210" s="4">
        <v>1</v>
      </c>
      <c r="AD3210" s="4">
        <v>5</v>
      </c>
      <c r="AE3210" s="4">
        <v>6</v>
      </c>
      <c r="AF3210" s="4">
        <v>0</v>
      </c>
      <c r="AG3210" s="4">
        <v>0</v>
      </c>
      <c r="AH3210" s="4">
        <v>2</v>
      </c>
      <c r="AI3210" s="4">
        <v>2</v>
      </c>
      <c r="AJ3210" s="4">
        <v>3</v>
      </c>
      <c r="AK3210" s="4">
        <v>3</v>
      </c>
      <c r="AL3210" s="4">
        <v>1</v>
      </c>
      <c r="AM3210" s="4">
        <v>1</v>
      </c>
      <c r="AN3210" s="4">
        <v>0</v>
      </c>
      <c r="AO3210" s="4">
        <v>0</v>
      </c>
      <c r="AP3210" s="4">
        <v>2</v>
      </c>
      <c r="AQ3210" s="4">
        <v>3</v>
      </c>
      <c r="AR3210" s="3" t="s">
        <v>61</v>
      </c>
      <c r="AS3210" s="3" t="s">
        <v>62</v>
      </c>
      <c r="AT3210" s="3" t="s">
        <v>62</v>
      </c>
      <c r="AV3210" s="6" t="str">
        <f>HYPERLINK("http://mcgill.on.worldcat.org/oclc/56807553","Catalog Record")</f>
        <v>Catalog Record</v>
      </c>
      <c r="AW3210" s="6" t="str">
        <f>HYPERLINK("http://www.worldcat.org/oclc/56807553","WorldCat Record")</f>
        <v>WorldCat Record</v>
      </c>
      <c r="AX3210" s="3" t="s">
        <v>31158</v>
      </c>
      <c r="AY3210" s="3" t="s">
        <v>31159</v>
      </c>
      <c r="AZ3210" s="3" t="s">
        <v>31160</v>
      </c>
      <c r="BA3210" s="3" t="s">
        <v>31160</v>
      </c>
      <c r="BB3210" s="3" t="s">
        <v>31161</v>
      </c>
      <c r="BC3210" s="3" t="s">
        <v>102</v>
      </c>
      <c r="BD3210" s="3" t="s">
        <v>68</v>
      </c>
      <c r="BE3210" s="3" t="s">
        <v>31162</v>
      </c>
      <c r="BF3210" s="3" t="s">
        <v>31161</v>
      </c>
      <c r="BG3210" s="3" t="s">
        <v>31163</v>
      </c>
    </row>
    <row r="3211" spans="1:59" ht="58" x14ac:dyDescent="0.35">
      <c r="A3211" s="2" t="s">
        <v>89</v>
      </c>
      <c r="B3211" s="2" t="s">
        <v>90</v>
      </c>
      <c r="C3211" s="2" t="s">
        <v>31164</v>
      </c>
      <c r="D3211" s="2" t="s">
        <v>31165</v>
      </c>
      <c r="E3211" s="2" t="s">
        <v>31166</v>
      </c>
      <c r="G3211" s="3" t="s">
        <v>62</v>
      </c>
      <c r="I3211" s="3" t="s">
        <v>62</v>
      </c>
      <c r="J3211" s="3" t="s">
        <v>62</v>
      </c>
      <c r="K3211" s="3" t="s">
        <v>63</v>
      </c>
      <c r="L3211" s="2" t="s">
        <v>31167</v>
      </c>
      <c r="M3211" s="2" t="s">
        <v>31168</v>
      </c>
      <c r="N3211" s="3" t="s">
        <v>2085</v>
      </c>
      <c r="P3211" s="3" t="s">
        <v>64</v>
      </c>
      <c r="R3211" s="3" t="s">
        <v>27443</v>
      </c>
      <c r="S3211" s="4">
        <v>2</v>
      </c>
      <c r="T3211" s="4">
        <v>2</v>
      </c>
      <c r="U3211" s="5" t="s">
        <v>173</v>
      </c>
      <c r="V3211" s="5" t="s">
        <v>173</v>
      </c>
      <c r="W3211" s="5" t="s">
        <v>67</v>
      </c>
      <c r="X3211" s="5" t="s">
        <v>67</v>
      </c>
      <c r="Y3211" s="4">
        <v>368</v>
      </c>
      <c r="Z3211" s="4">
        <v>15</v>
      </c>
      <c r="AA3211" s="4">
        <v>20</v>
      </c>
      <c r="AB3211" s="4">
        <v>3</v>
      </c>
      <c r="AC3211" s="4">
        <v>6</v>
      </c>
      <c r="AD3211" s="4">
        <v>44</v>
      </c>
      <c r="AE3211" s="4">
        <v>52</v>
      </c>
      <c r="AF3211" s="4">
        <v>1</v>
      </c>
      <c r="AG3211" s="4">
        <v>1</v>
      </c>
      <c r="AH3211" s="4">
        <v>39</v>
      </c>
      <c r="AI3211" s="4">
        <v>46</v>
      </c>
      <c r="AJ3211" s="4">
        <v>6</v>
      </c>
      <c r="AK3211" s="4">
        <v>7</v>
      </c>
      <c r="AL3211" s="4">
        <v>27</v>
      </c>
      <c r="AM3211" s="4">
        <v>30</v>
      </c>
      <c r="AN3211" s="4">
        <v>0</v>
      </c>
      <c r="AO3211" s="4">
        <v>0</v>
      </c>
      <c r="AP3211" s="4">
        <v>5</v>
      </c>
      <c r="AQ3211" s="4">
        <v>6</v>
      </c>
      <c r="AR3211" s="3" t="s">
        <v>62</v>
      </c>
      <c r="AS3211" s="3" t="s">
        <v>62</v>
      </c>
      <c r="AT3211" s="3" t="s">
        <v>62</v>
      </c>
      <c r="AV3211" s="6" t="str">
        <f>HYPERLINK("http://mcgill.on.worldcat.org/oclc/1030901739","Catalog Record")</f>
        <v>Catalog Record</v>
      </c>
      <c r="AW3211" s="6" t="str">
        <f>HYPERLINK("http://www.worldcat.org/oclc/1030901739","WorldCat Record")</f>
        <v>WorldCat Record</v>
      </c>
      <c r="AX3211" s="3" t="s">
        <v>31169</v>
      </c>
      <c r="AY3211" s="3" t="s">
        <v>31170</v>
      </c>
      <c r="AZ3211" s="3" t="s">
        <v>31171</v>
      </c>
      <c r="BA3211" s="3" t="s">
        <v>31171</v>
      </c>
      <c r="BB3211" s="3" t="s">
        <v>31172</v>
      </c>
      <c r="BC3211" s="3" t="s">
        <v>102</v>
      </c>
      <c r="BD3211" s="3" t="s">
        <v>68</v>
      </c>
      <c r="BE3211" s="3" t="s">
        <v>31173</v>
      </c>
      <c r="BF3211" s="3" t="s">
        <v>31172</v>
      </c>
      <c r="BG3211" s="3" t="s">
        <v>31174</v>
      </c>
    </row>
    <row r="3212" spans="1:59" ht="58" x14ac:dyDescent="0.35">
      <c r="A3212" s="2" t="s">
        <v>89</v>
      </c>
      <c r="B3212" s="2" t="s">
        <v>90</v>
      </c>
      <c r="C3212" s="2" t="s">
        <v>31175</v>
      </c>
      <c r="D3212" s="2" t="s">
        <v>31176</v>
      </c>
      <c r="E3212" s="2" t="s">
        <v>31177</v>
      </c>
      <c r="G3212" s="3" t="s">
        <v>62</v>
      </c>
      <c r="I3212" s="3" t="s">
        <v>62</v>
      </c>
      <c r="J3212" s="3" t="s">
        <v>62</v>
      </c>
      <c r="K3212" s="3" t="s">
        <v>63</v>
      </c>
      <c r="L3212" s="2" t="s">
        <v>31178</v>
      </c>
      <c r="M3212" s="2" t="s">
        <v>30872</v>
      </c>
      <c r="N3212" s="3" t="s">
        <v>1455</v>
      </c>
      <c r="P3212" s="3" t="s">
        <v>64</v>
      </c>
      <c r="Q3212" s="2" t="s">
        <v>31179</v>
      </c>
      <c r="R3212" s="3" t="s">
        <v>27443</v>
      </c>
      <c r="S3212" s="4">
        <v>2</v>
      </c>
      <c r="T3212" s="4">
        <v>2</v>
      </c>
      <c r="U3212" s="5" t="s">
        <v>21643</v>
      </c>
      <c r="V3212" s="5" t="s">
        <v>21643</v>
      </c>
      <c r="W3212" s="5" t="s">
        <v>67</v>
      </c>
      <c r="X3212" s="5" t="s">
        <v>67</v>
      </c>
      <c r="Y3212" s="4">
        <v>304</v>
      </c>
      <c r="Z3212" s="4">
        <v>11</v>
      </c>
      <c r="AA3212" s="4">
        <v>27</v>
      </c>
      <c r="AB3212" s="4">
        <v>2</v>
      </c>
      <c r="AC3212" s="4">
        <v>8</v>
      </c>
      <c r="AD3212" s="4">
        <v>57</v>
      </c>
      <c r="AE3212" s="4">
        <v>84</v>
      </c>
      <c r="AF3212" s="4">
        <v>0</v>
      </c>
      <c r="AG3212" s="4">
        <v>3</v>
      </c>
      <c r="AH3212" s="4">
        <v>53</v>
      </c>
      <c r="AI3212" s="4">
        <v>74</v>
      </c>
      <c r="AJ3212" s="4">
        <v>4</v>
      </c>
      <c r="AK3212" s="4">
        <v>12</v>
      </c>
      <c r="AL3212" s="4">
        <v>30</v>
      </c>
      <c r="AM3212" s="4">
        <v>40</v>
      </c>
      <c r="AN3212" s="4">
        <v>0</v>
      </c>
      <c r="AO3212" s="4">
        <v>0</v>
      </c>
      <c r="AP3212" s="4">
        <v>6</v>
      </c>
      <c r="AQ3212" s="4">
        <v>15</v>
      </c>
      <c r="AR3212" s="3" t="s">
        <v>62</v>
      </c>
      <c r="AS3212" s="3" t="s">
        <v>62</v>
      </c>
      <c r="AT3212" s="3" t="s">
        <v>62</v>
      </c>
      <c r="AV3212" s="6" t="str">
        <f>HYPERLINK("http://mcgill.on.worldcat.org/oclc/877364369","Catalog Record")</f>
        <v>Catalog Record</v>
      </c>
      <c r="AW3212" s="6" t="str">
        <f>HYPERLINK("http://www.worldcat.org/oclc/877364369","WorldCat Record")</f>
        <v>WorldCat Record</v>
      </c>
      <c r="AX3212" s="3" t="s">
        <v>31180</v>
      </c>
      <c r="AY3212" s="3" t="s">
        <v>31181</v>
      </c>
      <c r="AZ3212" s="3" t="s">
        <v>31182</v>
      </c>
      <c r="BA3212" s="3" t="s">
        <v>31182</v>
      </c>
      <c r="BB3212" s="3" t="s">
        <v>31183</v>
      </c>
      <c r="BC3212" s="3" t="s">
        <v>102</v>
      </c>
      <c r="BD3212" s="3" t="s">
        <v>68</v>
      </c>
      <c r="BE3212" s="3" t="s">
        <v>31184</v>
      </c>
      <c r="BF3212" s="3" t="s">
        <v>31183</v>
      </c>
      <c r="BG3212" s="3" t="s">
        <v>31185</v>
      </c>
    </row>
    <row r="3213" spans="1:59" ht="58" x14ac:dyDescent="0.35">
      <c r="A3213" s="2" t="s">
        <v>89</v>
      </c>
      <c r="B3213" s="2" t="s">
        <v>90</v>
      </c>
      <c r="C3213" s="2" t="s">
        <v>31186</v>
      </c>
      <c r="D3213" s="2" t="s">
        <v>31187</v>
      </c>
      <c r="E3213" s="2" t="s">
        <v>31188</v>
      </c>
      <c r="G3213" s="3" t="s">
        <v>62</v>
      </c>
      <c r="I3213" s="3" t="s">
        <v>62</v>
      </c>
      <c r="J3213" s="3" t="s">
        <v>62</v>
      </c>
      <c r="K3213" s="3" t="s">
        <v>63</v>
      </c>
      <c r="L3213" s="2" t="s">
        <v>31189</v>
      </c>
      <c r="M3213" s="2" t="s">
        <v>31190</v>
      </c>
      <c r="N3213" s="3" t="s">
        <v>1455</v>
      </c>
      <c r="P3213" s="3" t="s">
        <v>64</v>
      </c>
      <c r="Q3213" s="2" t="s">
        <v>31191</v>
      </c>
      <c r="R3213" s="3" t="s">
        <v>27443</v>
      </c>
      <c r="S3213" s="4">
        <v>0</v>
      </c>
      <c r="T3213" s="4">
        <v>0</v>
      </c>
      <c r="W3213" s="5" t="s">
        <v>67</v>
      </c>
      <c r="X3213" s="5" t="s">
        <v>67</v>
      </c>
      <c r="Y3213" s="4">
        <v>202</v>
      </c>
      <c r="Z3213" s="4">
        <v>10</v>
      </c>
      <c r="AA3213" s="4">
        <v>42</v>
      </c>
      <c r="AB3213" s="4">
        <v>1</v>
      </c>
      <c r="AC3213" s="4">
        <v>3</v>
      </c>
      <c r="AD3213" s="4">
        <v>25</v>
      </c>
      <c r="AE3213" s="4">
        <v>47</v>
      </c>
      <c r="AF3213" s="4">
        <v>0</v>
      </c>
      <c r="AG3213" s="4">
        <v>0</v>
      </c>
      <c r="AH3213" s="4">
        <v>24</v>
      </c>
      <c r="AI3213" s="4">
        <v>37</v>
      </c>
      <c r="AJ3213" s="4">
        <v>4</v>
      </c>
      <c r="AK3213" s="4">
        <v>8</v>
      </c>
      <c r="AL3213" s="4">
        <v>16</v>
      </c>
      <c r="AM3213" s="4">
        <v>22</v>
      </c>
      <c r="AN3213" s="4">
        <v>0</v>
      </c>
      <c r="AO3213" s="4">
        <v>0</v>
      </c>
      <c r="AP3213" s="4">
        <v>4</v>
      </c>
      <c r="AQ3213" s="4">
        <v>13</v>
      </c>
      <c r="AR3213" s="3" t="s">
        <v>62</v>
      </c>
      <c r="AS3213" s="3" t="s">
        <v>62</v>
      </c>
      <c r="AT3213" s="3" t="s">
        <v>62</v>
      </c>
      <c r="AV3213" s="6" t="str">
        <f>HYPERLINK("http://mcgill.on.worldcat.org/oclc/905524312","Catalog Record")</f>
        <v>Catalog Record</v>
      </c>
      <c r="AW3213" s="6" t="str">
        <f>HYPERLINK("http://www.worldcat.org/oclc/905524312","WorldCat Record")</f>
        <v>WorldCat Record</v>
      </c>
      <c r="AX3213" s="3" t="s">
        <v>31192</v>
      </c>
      <c r="AY3213" s="3" t="s">
        <v>31193</v>
      </c>
      <c r="AZ3213" s="3" t="s">
        <v>31194</v>
      </c>
      <c r="BA3213" s="3" t="s">
        <v>31194</v>
      </c>
      <c r="BB3213" s="3" t="s">
        <v>31195</v>
      </c>
      <c r="BC3213" s="3" t="s">
        <v>102</v>
      </c>
      <c r="BD3213" s="3" t="s">
        <v>68</v>
      </c>
      <c r="BE3213" s="3" t="s">
        <v>31196</v>
      </c>
      <c r="BF3213" s="3" t="s">
        <v>31195</v>
      </c>
      <c r="BG3213" s="3" t="s">
        <v>31197</v>
      </c>
    </row>
    <row r="3214" spans="1:59" ht="58" x14ac:dyDescent="0.35">
      <c r="A3214" s="2" t="s">
        <v>89</v>
      </c>
      <c r="B3214" s="2" t="s">
        <v>90</v>
      </c>
      <c r="C3214" s="2" t="s">
        <v>31198</v>
      </c>
      <c r="D3214" s="2" t="s">
        <v>31199</v>
      </c>
      <c r="E3214" s="2" t="s">
        <v>31200</v>
      </c>
      <c r="G3214" s="3" t="s">
        <v>62</v>
      </c>
      <c r="I3214" s="3" t="s">
        <v>62</v>
      </c>
      <c r="J3214" s="3" t="s">
        <v>62</v>
      </c>
      <c r="K3214" s="3" t="s">
        <v>63</v>
      </c>
      <c r="L3214" s="2" t="s">
        <v>31201</v>
      </c>
      <c r="M3214" s="2" t="s">
        <v>31202</v>
      </c>
      <c r="N3214" s="3" t="s">
        <v>6323</v>
      </c>
      <c r="P3214" s="3" t="s">
        <v>64</v>
      </c>
      <c r="R3214" s="3" t="s">
        <v>27443</v>
      </c>
      <c r="S3214" s="4">
        <v>2</v>
      </c>
      <c r="T3214" s="4">
        <v>2</v>
      </c>
      <c r="U3214" s="5" t="s">
        <v>27476</v>
      </c>
      <c r="V3214" s="5" t="s">
        <v>27476</v>
      </c>
      <c r="W3214" s="5" t="s">
        <v>67</v>
      </c>
      <c r="X3214" s="5" t="s">
        <v>67</v>
      </c>
      <c r="Y3214" s="4">
        <v>63</v>
      </c>
      <c r="Z3214" s="4">
        <v>2</v>
      </c>
      <c r="AA3214" s="4">
        <v>6</v>
      </c>
      <c r="AB3214" s="4">
        <v>1</v>
      </c>
      <c r="AC3214" s="4">
        <v>1</v>
      </c>
      <c r="AD3214" s="4">
        <v>21</v>
      </c>
      <c r="AE3214" s="4">
        <v>48</v>
      </c>
      <c r="AF3214" s="4">
        <v>0</v>
      </c>
      <c r="AG3214" s="4">
        <v>0</v>
      </c>
      <c r="AH3214" s="4">
        <v>20</v>
      </c>
      <c r="AI3214" s="4">
        <v>47</v>
      </c>
      <c r="AJ3214" s="4">
        <v>0</v>
      </c>
      <c r="AK3214" s="4">
        <v>3</v>
      </c>
      <c r="AL3214" s="4">
        <v>16</v>
      </c>
      <c r="AM3214" s="4">
        <v>27</v>
      </c>
      <c r="AN3214" s="4">
        <v>0</v>
      </c>
      <c r="AO3214" s="4">
        <v>0</v>
      </c>
      <c r="AP3214" s="4">
        <v>0</v>
      </c>
      <c r="AQ3214" s="4">
        <v>3</v>
      </c>
      <c r="AR3214" s="3" t="s">
        <v>62</v>
      </c>
      <c r="AS3214" s="3" t="s">
        <v>61</v>
      </c>
      <c r="AT3214" s="3" t="s">
        <v>62</v>
      </c>
      <c r="AU3214" s="6" t="str">
        <f>HYPERLINK("http://catalog.hathitrust.org/Record/001999718","HathiTrust Record")</f>
        <v>HathiTrust Record</v>
      </c>
      <c r="AV3214" s="6" t="str">
        <f>HYPERLINK("http://mcgill.on.worldcat.org/oclc/222661","Catalog Record")</f>
        <v>Catalog Record</v>
      </c>
      <c r="AW3214" s="6" t="str">
        <f>HYPERLINK("http://www.worldcat.org/oclc/222661","WorldCat Record")</f>
        <v>WorldCat Record</v>
      </c>
      <c r="AX3214" s="3" t="s">
        <v>31203</v>
      </c>
      <c r="AY3214" s="3" t="s">
        <v>31204</v>
      </c>
      <c r="AZ3214" s="3" t="s">
        <v>31205</v>
      </c>
      <c r="BA3214" s="3" t="s">
        <v>31205</v>
      </c>
      <c r="BB3214" s="3" t="s">
        <v>31206</v>
      </c>
      <c r="BC3214" s="3" t="s">
        <v>102</v>
      </c>
      <c r="BD3214" s="3" t="s">
        <v>68</v>
      </c>
      <c r="BF3214" s="3" t="s">
        <v>31206</v>
      </c>
      <c r="BG3214" s="3" t="s">
        <v>31207</v>
      </c>
    </row>
    <row r="3215" spans="1:59" ht="72.5" x14ac:dyDescent="0.35">
      <c r="A3215" s="2" t="s">
        <v>89</v>
      </c>
      <c r="B3215" s="2" t="s">
        <v>90</v>
      </c>
      <c r="C3215" s="2" t="s">
        <v>31208</v>
      </c>
      <c r="D3215" s="2" t="s">
        <v>31209</v>
      </c>
      <c r="E3215" s="2" t="s">
        <v>31210</v>
      </c>
      <c r="G3215" s="3" t="s">
        <v>62</v>
      </c>
      <c r="I3215" s="3" t="s">
        <v>61</v>
      </c>
      <c r="J3215" s="3" t="s">
        <v>62</v>
      </c>
      <c r="K3215" s="3" t="s">
        <v>63</v>
      </c>
      <c r="L3215" s="2" t="s">
        <v>31211</v>
      </c>
      <c r="M3215" s="2" t="s">
        <v>31212</v>
      </c>
      <c r="N3215" s="3" t="s">
        <v>25335</v>
      </c>
      <c r="P3215" s="3" t="s">
        <v>64</v>
      </c>
      <c r="R3215" s="3" t="s">
        <v>27443</v>
      </c>
      <c r="S3215" s="4">
        <v>2</v>
      </c>
      <c r="T3215" s="4">
        <v>2</v>
      </c>
      <c r="U3215" s="5" t="s">
        <v>27476</v>
      </c>
      <c r="V3215" s="5" t="s">
        <v>27476</v>
      </c>
      <c r="W3215" s="5" t="s">
        <v>67</v>
      </c>
      <c r="X3215" s="5" t="s">
        <v>67</v>
      </c>
      <c r="Y3215" s="4">
        <v>112</v>
      </c>
      <c r="Z3215" s="4">
        <v>5</v>
      </c>
      <c r="AA3215" s="4">
        <v>9</v>
      </c>
      <c r="AB3215" s="4">
        <v>1</v>
      </c>
      <c r="AC3215" s="4">
        <v>1</v>
      </c>
      <c r="AD3215" s="4">
        <v>45</v>
      </c>
      <c r="AE3215" s="4">
        <v>68</v>
      </c>
      <c r="AF3215" s="4">
        <v>0</v>
      </c>
      <c r="AG3215" s="4">
        <v>0</v>
      </c>
      <c r="AH3215" s="4">
        <v>44</v>
      </c>
      <c r="AI3215" s="4">
        <v>66</v>
      </c>
      <c r="AJ3215" s="4">
        <v>3</v>
      </c>
      <c r="AK3215" s="4">
        <v>6</v>
      </c>
      <c r="AL3215" s="4">
        <v>26</v>
      </c>
      <c r="AM3215" s="4">
        <v>39</v>
      </c>
      <c r="AN3215" s="4">
        <v>0</v>
      </c>
      <c r="AO3215" s="4">
        <v>0</v>
      </c>
      <c r="AP3215" s="4">
        <v>3</v>
      </c>
      <c r="AQ3215" s="4">
        <v>6</v>
      </c>
      <c r="AR3215" s="3" t="s">
        <v>62</v>
      </c>
      <c r="AS3215" s="3" t="s">
        <v>62</v>
      </c>
      <c r="AT3215" s="3" t="s">
        <v>62</v>
      </c>
      <c r="AU3215" s="6" t="str">
        <f>HYPERLINK("http://catalog.hathitrust.org/Record/001495185","HathiTrust Record")</f>
        <v>HathiTrust Record</v>
      </c>
      <c r="AV3215" s="6" t="str">
        <f>HYPERLINK("http://mcgill.on.worldcat.org/oclc/3592809","Catalog Record")</f>
        <v>Catalog Record</v>
      </c>
      <c r="AW3215" s="6" t="str">
        <f>HYPERLINK("http://www.worldcat.org/oclc/3592809","WorldCat Record")</f>
        <v>WorldCat Record</v>
      </c>
      <c r="AX3215" s="3" t="s">
        <v>31213</v>
      </c>
      <c r="AY3215" s="3" t="s">
        <v>31214</v>
      </c>
      <c r="AZ3215" s="3" t="s">
        <v>31215</v>
      </c>
      <c r="BA3215" s="3" t="s">
        <v>31215</v>
      </c>
      <c r="BB3215" s="3" t="s">
        <v>31216</v>
      </c>
      <c r="BC3215" s="3" t="s">
        <v>102</v>
      </c>
      <c r="BD3215" s="3" t="s">
        <v>68</v>
      </c>
      <c r="BF3215" s="3" t="s">
        <v>31216</v>
      </c>
      <c r="BG3215" s="3" t="s">
        <v>31217</v>
      </c>
    </row>
    <row r="3216" spans="1:59" ht="58" x14ac:dyDescent="0.35">
      <c r="A3216" s="2" t="s">
        <v>89</v>
      </c>
      <c r="B3216" s="2" t="s">
        <v>90</v>
      </c>
      <c r="C3216" s="2" t="s">
        <v>31218</v>
      </c>
      <c r="D3216" s="2" t="s">
        <v>31219</v>
      </c>
      <c r="E3216" s="2" t="s">
        <v>31220</v>
      </c>
      <c r="G3216" s="3" t="s">
        <v>62</v>
      </c>
      <c r="I3216" s="3" t="s">
        <v>61</v>
      </c>
      <c r="J3216" s="3" t="s">
        <v>61</v>
      </c>
      <c r="K3216" s="3" t="s">
        <v>63</v>
      </c>
      <c r="L3216" s="2" t="s">
        <v>31221</v>
      </c>
      <c r="M3216" s="2" t="s">
        <v>31222</v>
      </c>
      <c r="N3216" s="3" t="s">
        <v>1576</v>
      </c>
      <c r="O3216" s="2" t="s">
        <v>10722</v>
      </c>
      <c r="P3216" s="3" t="s">
        <v>64</v>
      </c>
      <c r="Q3216" s="2" t="s">
        <v>31223</v>
      </c>
      <c r="R3216" s="3" t="s">
        <v>27443</v>
      </c>
      <c r="S3216" s="4">
        <v>0</v>
      </c>
      <c r="T3216" s="4">
        <v>3</v>
      </c>
      <c r="V3216" s="5" t="s">
        <v>10773</v>
      </c>
      <c r="W3216" s="5" t="s">
        <v>67</v>
      </c>
      <c r="X3216" s="5" t="s">
        <v>67</v>
      </c>
      <c r="Y3216" s="4">
        <v>228</v>
      </c>
      <c r="Z3216" s="4">
        <v>32</v>
      </c>
      <c r="AA3216" s="4">
        <v>57</v>
      </c>
      <c r="AB3216" s="4">
        <v>2</v>
      </c>
      <c r="AC3216" s="4">
        <v>5</v>
      </c>
      <c r="AD3216" s="4">
        <v>65</v>
      </c>
      <c r="AE3216" s="4">
        <v>121</v>
      </c>
      <c r="AF3216" s="4">
        <v>1</v>
      </c>
      <c r="AG3216" s="4">
        <v>4</v>
      </c>
      <c r="AH3216" s="4">
        <v>51</v>
      </c>
      <c r="AI3216" s="4">
        <v>91</v>
      </c>
      <c r="AJ3216" s="4">
        <v>16</v>
      </c>
      <c r="AK3216" s="4">
        <v>25</v>
      </c>
      <c r="AL3216" s="4">
        <v>25</v>
      </c>
      <c r="AM3216" s="4">
        <v>47</v>
      </c>
      <c r="AN3216" s="4">
        <v>0</v>
      </c>
      <c r="AO3216" s="4">
        <v>0</v>
      </c>
      <c r="AP3216" s="4">
        <v>23</v>
      </c>
      <c r="AQ3216" s="4">
        <v>38</v>
      </c>
      <c r="AR3216" s="3" t="s">
        <v>62</v>
      </c>
      <c r="AS3216" s="3" t="s">
        <v>62</v>
      </c>
      <c r="AT3216" s="3" t="s">
        <v>61</v>
      </c>
      <c r="AU3216" s="6" t="str">
        <f>HYPERLINK("http://catalog.hathitrust.org/Record/006673289","HathiTrust Record")</f>
        <v>HathiTrust Record</v>
      </c>
      <c r="AV3216" s="6" t="str">
        <f>HYPERLINK("http://mcgill.on.worldcat.org/oclc/1900707","Catalog Record")</f>
        <v>Catalog Record</v>
      </c>
      <c r="AW3216" s="6" t="str">
        <f>HYPERLINK("http://www.worldcat.org/oclc/1900707","WorldCat Record")</f>
        <v>WorldCat Record</v>
      </c>
      <c r="AX3216" s="3" t="s">
        <v>31224</v>
      </c>
      <c r="AY3216" s="3" t="s">
        <v>31225</v>
      </c>
      <c r="AZ3216" s="3" t="s">
        <v>31226</v>
      </c>
      <c r="BA3216" s="3" t="s">
        <v>31226</v>
      </c>
      <c r="BB3216" s="3" t="s">
        <v>31227</v>
      </c>
      <c r="BC3216" s="3" t="s">
        <v>102</v>
      </c>
      <c r="BD3216" s="3" t="s">
        <v>68</v>
      </c>
      <c r="BF3216" s="3" t="s">
        <v>31227</v>
      </c>
      <c r="BG3216" s="3" t="s">
        <v>31228</v>
      </c>
    </row>
    <row r="3217" spans="1:59" ht="58" x14ac:dyDescent="0.35">
      <c r="A3217" s="2" t="s">
        <v>89</v>
      </c>
      <c r="B3217" s="2" t="s">
        <v>90</v>
      </c>
      <c r="C3217" s="2" t="s">
        <v>31229</v>
      </c>
      <c r="D3217" s="2" t="s">
        <v>31230</v>
      </c>
      <c r="E3217" s="2" t="s">
        <v>31231</v>
      </c>
      <c r="G3217" s="3" t="s">
        <v>62</v>
      </c>
      <c r="I3217" s="3" t="s">
        <v>61</v>
      </c>
      <c r="J3217" s="3" t="s">
        <v>62</v>
      </c>
      <c r="K3217" s="3" t="s">
        <v>63</v>
      </c>
      <c r="L3217" s="2" t="s">
        <v>31232</v>
      </c>
      <c r="M3217" s="2" t="s">
        <v>31233</v>
      </c>
      <c r="N3217" s="3" t="s">
        <v>1576</v>
      </c>
      <c r="P3217" s="3" t="s">
        <v>64</v>
      </c>
      <c r="R3217" s="3" t="s">
        <v>27443</v>
      </c>
      <c r="S3217" s="4">
        <v>5</v>
      </c>
      <c r="T3217" s="4">
        <v>8</v>
      </c>
      <c r="U3217" s="5" t="s">
        <v>25358</v>
      </c>
      <c r="V3217" s="5" t="s">
        <v>25358</v>
      </c>
      <c r="W3217" s="5" t="s">
        <v>67</v>
      </c>
      <c r="X3217" s="5" t="s">
        <v>67</v>
      </c>
      <c r="Y3217" s="4">
        <v>449</v>
      </c>
      <c r="Z3217" s="4">
        <v>39</v>
      </c>
      <c r="AA3217" s="4">
        <v>54</v>
      </c>
      <c r="AB3217" s="4">
        <v>2</v>
      </c>
      <c r="AC3217" s="4">
        <v>6</v>
      </c>
      <c r="AD3217" s="4">
        <v>104</v>
      </c>
      <c r="AE3217" s="4">
        <v>125</v>
      </c>
      <c r="AF3217" s="4">
        <v>1</v>
      </c>
      <c r="AG3217" s="4">
        <v>3</v>
      </c>
      <c r="AH3217" s="4">
        <v>85</v>
      </c>
      <c r="AI3217" s="4">
        <v>98</v>
      </c>
      <c r="AJ3217" s="4">
        <v>18</v>
      </c>
      <c r="AK3217" s="4">
        <v>24</v>
      </c>
      <c r="AL3217" s="4">
        <v>44</v>
      </c>
      <c r="AM3217" s="4">
        <v>53</v>
      </c>
      <c r="AN3217" s="4">
        <v>0</v>
      </c>
      <c r="AO3217" s="4">
        <v>0</v>
      </c>
      <c r="AP3217" s="4">
        <v>28</v>
      </c>
      <c r="AQ3217" s="4">
        <v>35</v>
      </c>
      <c r="AR3217" s="3" t="s">
        <v>62</v>
      </c>
      <c r="AS3217" s="3" t="s">
        <v>62</v>
      </c>
      <c r="AT3217" s="3" t="s">
        <v>62</v>
      </c>
      <c r="AV3217" s="6" t="str">
        <f>HYPERLINK("http://mcgill.on.worldcat.org/oclc/2224596","Catalog Record")</f>
        <v>Catalog Record</v>
      </c>
      <c r="AW3217" s="6" t="str">
        <f>HYPERLINK("http://www.worldcat.org/oclc/2224596","WorldCat Record")</f>
        <v>WorldCat Record</v>
      </c>
      <c r="AX3217" s="3" t="s">
        <v>31234</v>
      </c>
      <c r="AY3217" s="3" t="s">
        <v>31235</v>
      </c>
      <c r="AZ3217" s="3" t="s">
        <v>31236</v>
      </c>
      <c r="BA3217" s="3" t="s">
        <v>31236</v>
      </c>
      <c r="BB3217" s="3" t="s">
        <v>31237</v>
      </c>
      <c r="BC3217" s="3" t="s">
        <v>102</v>
      </c>
      <c r="BD3217" s="3" t="s">
        <v>68</v>
      </c>
      <c r="BE3217" s="3" t="s">
        <v>31238</v>
      </c>
      <c r="BF3217" s="3" t="s">
        <v>31237</v>
      </c>
      <c r="BG3217" s="3" t="s">
        <v>31239</v>
      </c>
    </row>
    <row r="3218" spans="1:59" ht="58" x14ac:dyDescent="0.35">
      <c r="A3218" s="2" t="s">
        <v>89</v>
      </c>
      <c r="B3218" s="2" t="s">
        <v>90</v>
      </c>
      <c r="C3218" s="2" t="s">
        <v>31240</v>
      </c>
      <c r="D3218" s="2" t="s">
        <v>31241</v>
      </c>
      <c r="E3218" s="2" t="s">
        <v>31242</v>
      </c>
      <c r="G3218" s="3" t="s">
        <v>62</v>
      </c>
      <c r="I3218" s="3" t="s">
        <v>61</v>
      </c>
      <c r="J3218" s="3" t="s">
        <v>62</v>
      </c>
      <c r="K3218" s="3" t="s">
        <v>63</v>
      </c>
      <c r="L3218" s="2" t="s">
        <v>31243</v>
      </c>
      <c r="M3218" s="2" t="s">
        <v>31244</v>
      </c>
      <c r="N3218" s="3" t="s">
        <v>1662</v>
      </c>
      <c r="O3218" s="2" t="s">
        <v>8350</v>
      </c>
      <c r="P3218" s="3" t="s">
        <v>64</v>
      </c>
      <c r="R3218" s="3" t="s">
        <v>27443</v>
      </c>
      <c r="S3218" s="4">
        <v>3</v>
      </c>
      <c r="T3218" s="4">
        <v>4</v>
      </c>
      <c r="U3218" s="5" t="s">
        <v>27476</v>
      </c>
      <c r="V3218" s="5" t="s">
        <v>27476</v>
      </c>
      <c r="W3218" s="5" t="s">
        <v>67</v>
      </c>
      <c r="X3218" s="5" t="s">
        <v>67</v>
      </c>
      <c r="Y3218" s="4">
        <v>144</v>
      </c>
      <c r="Z3218" s="4">
        <v>9</v>
      </c>
      <c r="AA3218" s="4">
        <v>26</v>
      </c>
      <c r="AB3218" s="4">
        <v>1</v>
      </c>
      <c r="AC3218" s="4">
        <v>4</v>
      </c>
      <c r="AD3218" s="4">
        <v>42</v>
      </c>
      <c r="AE3218" s="4">
        <v>101</v>
      </c>
      <c r="AF3218" s="4">
        <v>0</v>
      </c>
      <c r="AG3218" s="4">
        <v>2</v>
      </c>
      <c r="AH3218" s="4">
        <v>38</v>
      </c>
      <c r="AI3218" s="4">
        <v>88</v>
      </c>
      <c r="AJ3218" s="4">
        <v>7</v>
      </c>
      <c r="AK3218" s="4">
        <v>17</v>
      </c>
      <c r="AL3218" s="4">
        <v>19</v>
      </c>
      <c r="AM3218" s="4">
        <v>48</v>
      </c>
      <c r="AN3218" s="4">
        <v>0</v>
      </c>
      <c r="AO3218" s="4">
        <v>0</v>
      </c>
      <c r="AP3218" s="4">
        <v>7</v>
      </c>
      <c r="AQ3218" s="4">
        <v>19</v>
      </c>
      <c r="AR3218" s="3" t="s">
        <v>62</v>
      </c>
      <c r="AS3218" s="3" t="s">
        <v>61</v>
      </c>
      <c r="AT3218" s="3" t="s">
        <v>62</v>
      </c>
      <c r="AU3218" s="6" t="str">
        <f>HYPERLINK("http://catalog.hathitrust.org/Record/006200967","HathiTrust Record")</f>
        <v>HathiTrust Record</v>
      </c>
      <c r="AV3218" s="6" t="str">
        <f>HYPERLINK("http://mcgill.on.worldcat.org/oclc/541071","Catalog Record")</f>
        <v>Catalog Record</v>
      </c>
      <c r="AW3218" s="6" t="str">
        <f>HYPERLINK("http://www.worldcat.org/oclc/541071","WorldCat Record")</f>
        <v>WorldCat Record</v>
      </c>
      <c r="AX3218" s="3" t="s">
        <v>31245</v>
      </c>
      <c r="AY3218" s="3" t="s">
        <v>31246</v>
      </c>
      <c r="AZ3218" s="3" t="s">
        <v>31247</v>
      </c>
      <c r="BA3218" s="3" t="s">
        <v>31247</v>
      </c>
      <c r="BB3218" s="3" t="s">
        <v>31248</v>
      </c>
      <c r="BC3218" s="3" t="s">
        <v>102</v>
      </c>
      <c r="BD3218" s="3" t="s">
        <v>68</v>
      </c>
      <c r="BF3218" s="3" t="s">
        <v>31248</v>
      </c>
      <c r="BG3218" s="3" t="s">
        <v>31249</v>
      </c>
    </row>
    <row r="3219" spans="1:59" ht="58" x14ac:dyDescent="0.35">
      <c r="A3219" s="2" t="s">
        <v>89</v>
      </c>
      <c r="B3219" s="2" t="s">
        <v>90</v>
      </c>
      <c r="C3219" s="2" t="s">
        <v>31250</v>
      </c>
      <c r="D3219" s="2" t="s">
        <v>31251</v>
      </c>
      <c r="E3219" s="2" t="s">
        <v>31252</v>
      </c>
      <c r="G3219" s="3" t="s">
        <v>62</v>
      </c>
      <c r="I3219" s="3" t="s">
        <v>62</v>
      </c>
      <c r="J3219" s="3" t="s">
        <v>62</v>
      </c>
      <c r="K3219" s="3" t="s">
        <v>916</v>
      </c>
      <c r="L3219" s="2" t="s">
        <v>31253</v>
      </c>
      <c r="M3219" s="2" t="s">
        <v>31254</v>
      </c>
      <c r="N3219" s="3" t="s">
        <v>13088</v>
      </c>
      <c r="O3219" s="2" t="s">
        <v>31255</v>
      </c>
      <c r="P3219" s="3" t="s">
        <v>64</v>
      </c>
      <c r="Q3219" s="2" t="s">
        <v>31256</v>
      </c>
      <c r="R3219" s="3" t="s">
        <v>27443</v>
      </c>
      <c r="S3219" s="4">
        <v>2</v>
      </c>
      <c r="T3219" s="4">
        <v>2</v>
      </c>
      <c r="U3219" s="5" t="s">
        <v>27476</v>
      </c>
      <c r="V3219" s="5" t="s">
        <v>27476</v>
      </c>
      <c r="W3219" s="5" t="s">
        <v>67</v>
      </c>
      <c r="X3219" s="5" t="s">
        <v>67</v>
      </c>
      <c r="Y3219" s="4">
        <v>191</v>
      </c>
      <c r="Z3219" s="4">
        <v>9</v>
      </c>
      <c r="AA3219" s="4">
        <v>18</v>
      </c>
      <c r="AB3219" s="4">
        <v>1</v>
      </c>
      <c r="AC3219" s="4">
        <v>2</v>
      </c>
      <c r="AD3219" s="4">
        <v>67</v>
      </c>
      <c r="AE3219" s="4">
        <v>101</v>
      </c>
      <c r="AF3219" s="4">
        <v>0</v>
      </c>
      <c r="AG3219" s="4">
        <v>0</v>
      </c>
      <c r="AH3219" s="4">
        <v>62</v>
      </c>
      <c r="AI3219" s="4">
        <v>89</v>
      </c>
      <c r="AJ3219" s="4">
        <v>4</v>
      </c>
      <c r="AK3219" s="4">
        <v>9</v>
      </c>
      <c r="AL3219" s="4">
        <v>36</v>
      </c>
      <c r="AM3219" s="4">
        <v>52</v>
      </c>
      <c r="AN3219" s="4">
        <v>0</v>
      </c>
      <c r="AO3219" s="4">
        <v>2</v>
      </c>
      <c r="AP3219" s="4">
        <v>6</v>
      </c>
      <c r="AQ3219" s="4">
        <v>13</v>
      </c>
      <c r="AR3219" s="3" t="s">
        <v>62</v>
      </c>
      <c r="AS3219" s="3" t="s">
        <v>61</v>
      </c>
      <c r="AT3219" s="3" t="s">
        <v>62</v>
      </c>
      <c r="AU3219" s="6" t="str">
        <f>HYPERLINK("http://catalog.hathitrust.org/Record/001999806","HathiTrust Record")</f>
        <v>HathiTrust Record</v>
      </c>
      <c r="AV3219" s="6" t="str">
        <f>HYPERLINK("http://mcgill.on.worldcat.org/oclc/551779","Catalog Record")</f>
        <v>Catalog Record</v>
      </c>
      <c r="AW3219" s="6" t="str">
        <f>HYPERLINK("http://www.worldcat.org/oclc/551779","WorldCat Record")</f>
        <v>WorldCat Record</v>
      </c>
      <c r="AX3219" s="3" t="s">
        <v>31257</v>
      </c>
      <c r="AY3219" s="3" t="s">
        <v>31258</v>
      </c>
      <c r="AZ3219" s="3" t="s">
        <v>31259</v>
      </c>
      <c r="BA3219" s="3" t="s">
        <v>31259</v>
      </c>
      <c r="BB3219" s="3" t="s">
        <v>31260</v>
      </c>
      <c r="BC3219" s="3" t="s">
        <v>102</v>
      </c>
      <c r="BD3219" s="3" t="s">
        <v>68</v>
      </c>
      <c r="BF3219" s="3" t="s">
        <v>31260</v>
      </c>
      <c r="BG3219" s="3" t="s">
        <v>31261</v>
      </c>
    </row>
    <row r="3220" spans="1:59" ht="58" x14ac:dyDescent="0.35">
      <c r="A3220" s="2" t="s">
        <v>89</v>
      </c>
      <c r="B3220" s="2" t="s">
        <v>6124</v>
      </c>
      <c r="C3220" s="2" t="s">
        <v>31262</v>
      </c>
      <c r="D3220" s="2" t="s">
        <v>31263</v>
      </c>
      <c r="E3220" s="2" t="s">
        <v>31264</v>
      </c>
      <c r="G3220" s="3" t="s">
        <v>62</v>
      </c>
      <c r="I3220" s="3" t="s">
        <v>62</v>
      </c>
      <c r="J3220" s="3" t="s">
        <v>62</v>
      </c>
      <c r="K3220" s="3" t="s">
        <v>63</v>
      </c>
      <c r="L3220" s="2" t="s">
        <v>31265</v>
      </c>
      <c r="M3220" s="2" t="s">
        <v>31266</v>
      </c>
      <c r="N3220" s="3" t="s">
        <v>2085</v>
      </c>
      <c r="P3220" s="3" t="s">
        <v>64</v>
      </c>
      <c r="R3220" s="3" t="s">
        <v>27443</v>
      </c>
      <c r="S3220" s="4">
        <v>2</v>
      </c>
      <c r="T3220" s="4">
        <v>2</v>
      </c>
      <c r="U3220" s="5" t="s">
        <v>10384</v>
      </c>
      <c r="V3220" s="5" t="s">
        <v>10384</v>
      </c>
      <c r="W3220" s="5" t="s">
        <v>67</v>
      </c>
      <c r="X3220" s="5" t="s">
        <v>67</v>
      </c>
      <c r="Y3220" s="4">
        <v>677</v>
      </c>
      <c r="Z3220" s="4">
        <v>14</v>
      </c>
      <c r="AA3220" s="4">
        <v>17</v>
      </c>
      <c r="AB3220" s="4">
        <v>2</v>
      </c>
      <c r="AC3220" s="4">
        <v>4</v>
      </c>
      <c r="AD3220" s="4">
        <v>23</v>
      </c>
      <c r="AE3220" s="4">
        <v>24</v>
      </c>
      <c r="AF3220" s="4">
        <v>0</v>
      </c>
      <c r="AG3220" s="4">
        <v>0</v>
      </c>
      <c r="AH3220" s="4">
        <v>23</v>
      </c>
      <c r="AI3220" s="4">
        <v>24</v>
      </c>
      <c r="AJ3220" s="4">
        <v>2</v>
      </c>
      <c r="AK3220" s="4">
        <v>2</v>
      </c>
      <c r="AL3220" s="4">
        <v>12</v>
      </c>
      <c r="AM3220" s="4">
        <v>12</v>
      </c>
      <c r="AN3220" s="4">
        <v>0</v>
      </c>
      <c r="AO3220" s="4">
        <v>0</v>
      </c>
      <c r="AP3220" s="4">
        <v>2</v>
      </c>
      <c r="AQ3220" s="4">
        <v>3</v>
      </c>
      <c r="AR3220" s="3" t="s">
        <v>62</v>
      </c>
      <c r="AS3220" s="3" t="s">
        <v>62</v>
      </c>
      <c r="AT3220" s="3" t="s">
        <v>62</v>
      </c>
      <c r="AV3220" s="6" t="str">
        <f>HYPERLINK("http://mcgill.on.worldcat.org/oclc/1033592936","Catalog Record")</f>
        <v>Catalog Record</v>
      </c>
      <c r="AW3220" s="6" t="str">
        <f>HYPERLINK("http://www.worldcat.org/oclc/1033592936","WorldCat Record")</f>
        <v>WorldCat Record</v>
      </c>
      <c r="AX3220" s="3" t="s">
        <v>31267</v>
      </c>
      <c r="AY3220" s="3" t="s">
        <v>31268</v>
      </c>
      <c r="AZ3220" s="3" t="s">
        <v>31269</v>
      </c>
      <c r="BA3220" s="3" t="s">
        <v>31269</v>
      </c>
      <c r="BB3220" s="3" t="s">
        <v>31270</v>
      </c>
      <c r="BC3220" s="3" t="s">
        <v>102</v>
      </c>
      <c r="BD3220" s="3" t="s">
        <v>231</v>
      </c>
      <c r="BE3220" s="3" t="s">
        <v>31271</v>
      </c>
      <c r="BF3220" s="3" t="s">
        <v>31270</v>
      </c>
      <c r="BG3220" s="3" t="s">
        <v>31272</v>
      </c>
    </row>
    <row r="3221" spans="1:59" ht="58" x14ac:dyDescent="0.35">
      <c r="A3221" s="2" t="s">
        <v>89</v>
      </c>
      <c r="B3221" s="2" t="s">
        <v>90</v>
      </c>
      <c r="C3221" s="2" t="s">
        <v>31273</v>
      </c>
      <c r="D3221" s="2" t="s">
        <v>31274</v>
      </c>
      <c r="E3221" s="2" t="s">
        <v>31275</v>
      </c>
      <c r="G3221" s="3" t="s">
        <v>62</v>
      </c>
      <c r="I3221" s="3" t="s">
        <v>62</v>
      </c>
      <c r="J3221" s="3" t="s">
        <v>62</v>
      </c>
      <c r="K3221" s="3" t="s">
        <v>63</v>
      </c>
      <c r="L3221" s="2" t="s">
        <v>31276</v>
      </c>
      <c r="M3221" s="2" t="s">
        <v>31277</v>
      </c>
      <c r="N3221" s="3" t="s">
        <v>698</v>
      </c>
      <c r="O3221" s="2" t="s">
        <v>1941</v>
      </c>
      <c r="P3221" s="3" t="s">
        <v>64</v>
      </c>
      <c r="R3221" s="3" t="s">
        <v>27443</v>
      </c>
      <c r="S3221" s="4">
        <v>1</v>
      </c>
      <c r="T3221" s="4">
        <v>1</v>
      </c>
      <c r="U3221" s="5" t="s">
        <v>31278</v>
      </c>
      <c r="V3221" s="5" t="s">
        <v>31278</v>
      </c>
      <c r="W3221" s="5" t="s">
        <v>67</v>
      </c>
      <c r="X3221" s="5" t="s">
        <v>67</v>
      </c>
      <c r="Y3221" s="4">
        <v>1</v>
      </c>
      <c r="Z3221" s="4">
        <v>1</v>
      </c>
      <c r="AA3221" s="4">
        <v>1</v>
      </c>
      <c r="AB3221" s="4">
        <v>1</v>
      </c>
      <c r="AC3221" s="4">
        <v>1</v>
      </c>
      <c r="AD3221" s="4">
        <v>0</v>
      </c>
      <c r="AE3221" s="4">
        <v>0</v>
      </c>
      <c r="AF3221" s="4">
        <v>0</v>
      </c>
      <c r="AG3221" s="4">
        <v>0</v>
      </c>
      <c r="AH3221" s="4">
        <v>0</v>
      </c>
      <c r="AI3221" s="4">
        <v>0</v>
      </c>
      <c r="AJ3221" s="4">
        <v>0</v>
      </c>
      <c r="AK3221" s="4">
        <v>0</v>
      </c>
      <c r="AL3221" s="4">
        <v>0</v>
      </c>
      <c r="AM3221" s="4">
        <v>0</v>
      </c>
      <c r="AN3221" s="4">
        <v>0</v>
      </c>
      <c r="AO3221" s="4">
        <v>0</v>
      </c>
      <c r="AP3221" s="4">
        <v>0</v>
      </c>
      <c r="AQ3221" s="4">
        <v>0</v>
      </c>
      <c r="AR3221" s="3" t="s">
        <v>62</v>
      </c>
      <c r="AS3221" s="3" t="s">
        <v>62</v>
      </c>
      <c r="AT3221" s="3" t="s">
        <v>62</v>
      </c>
      <c r="AV3221" s="6" t="str">
        <f>HYPERLINK("http://mcgill.on.worldcat.org/oclc/887750633","Catalog Record")</f>
        <v>Catalog Record</v>
      </c>
      <c r="AW3221" s="6" t="str">
        <f>HYPERLINK("http://www.worldcat.org/oclc/887750633","WorldCat Record")</f>
        <v>WorldCat Record</v>
      </c>
      <c r="AX3221" s="3" t="s">
        <v>31279</v>
      </c>
      <c r="AY3221" s="3" t="s">
        <v>31280</v>
      </c>
      <c r="AZ3221" s="3" t="s">
        <v>31281</v>
      </c>
      <c r="BA3221" s="3" t="s">
        <v>31281</v>
      </c>
      <c r="BB3221" s="3" t="s">
        <v>31282</v>
      </c>
      <c r="BC3221" s="3" t="s">
        <v>102</v>
      </c>
      <c r="BD3221" s="3" t="s">
        <v>68</v>
      </c>
      <c r="BE3221" s="3" t="s">
        <v>31283</v>
      </c>
      <c r="BF3221" s="3" t="s">
        <v>31282</v>
      </c>
      <c r="BG3221" s="3" t="s">
        <v>31284</v>
      </c>
    </row>
    <row r="3222" spans="1:59" ht="58" x14ac:dyDescent="0.35">
      <c r="A3222" s="2" t="s">
        <v>89</v>
      </c>
      <c r="B3222" s="2" t="s">
        <v>90</v>
      </c>
      <c r="C3222" s="2" t="s">
        <v>31285</v>
      </c>
      <c r="D3222" s="2" t="s">
        <v>31286</v>
      </c>
      <c r="E3222" s="2" t="s">
        <v>31287</v>
      </c>
      <c r="G3222" s="3" t="s">
        <v>62</v>
      </c>
      <c r="I3222" s="3" t="s">
        <v>62</v>
      </c>
      <c r="J3222" s="3" t="s">
        <v>61</v>
      </c>
      <c r="K3222" s="3" t="s">
        <v>63</v>
      </c>
      <c r="L3222" s="2" t="s">
        <v>31288</v>
      </c>
      <c r="M3222" s="2" t="s">
        <v>19199</v>
      </c>
      <c r="N3222" s="3" t="s">
        <v>698</v>
      </c>
      <c r="O3222" s="2" t="s">
        <v>2986</v>
      </c>
      <c r="P3222" s="3" t="s">
        <v>64</v>
      </c>
      <c r="R3222" s="3" t="s">
        <v>27443</v>
      </c>
      <c r="S3222" s="4">
        <v>4</v>
      </c>
      <c r="T3222" s="4">
        <v>4</v>
      </c>
      <c r="U3222" s="5" t="s">
        <v>31289</v>
      </c>
      <c r="V3222" s="5" t="s">
        <v>31289</v>
      </c>
      <c r="W3222" s="5" t="s">
        <v>67</v>
      </c>
      <c r="X3222" s="5" t="s">
        <v>67</v>
      </c>
      <c r="Y3222" s="4">
        <v>68</v>
      </c>
      <c r="Z3222" s="4">
        <v>6</v>
      </c>
      <c r="AA3222" s="4">
        <v>43</v>
      </c>
      <c r="AB3222" s="4">
        <v>1</v>
      </c>
      <c r="AC3222" s="4">
        <v>6</v>
      </c>
      <c r="AD3222" s="4">
        <v>19</v>
      </c>
      <c r="AE3222" s="4">
        <v>54</v>
      </c>
      <c r="AF3222" s="4">
        <v>0</v>
      </c>
      <c r="AG3222" s="4">
        <v>2</v>
      </c>
      <c r="AH3222" s="4">
        <v>19</v>
      </c>
      <c r="AI3222" s="4">
        <v>40</v>
      </c>
      <c r="AJ3222" s="4">
        <v>3</v>
      </c>
      <c r="AK3222" s="4">
        <v>11</v>
      </c>
      <c r="AL3222" s="4">
        <v>10</v>
      </c>
      <c r="AM3222" s="4">
        <v>26</v>
      </c>
      <c r="AN3222" s="4">
        <v>0</v>
      </c>
      <c r="AO3222" s="4">
        <v>0</v>
      </c>
      <c r="AP3222" s="4">
        <v>3</v>
      </c>
      <c r="AQ3222" s="4">
        <v>16</v>
      </c>
      <c r="AR3222" s="3" t="s">
        <v>62</v>
      </c>
      <c r="AS3222" s="3" t="s">
        <v>62</v>
      </c>
      <c r="AT3222" s="3" t="s">
        <v>62</v>
      </c>
      <c r="AV3222" s="6" t="str">
        <f>HYPERLINK("http://mcgill.on.worldcat.org/oclc/748331616","Catalog Record")</f>
        <v>Catalog Record</v>
      </c>
      <c r="AW3222" s="6" t="str">
        <f>HYPERLINK("http://www.worldcat.org/oclc/748331616","WorldCat Record")</f>
        <v>WorldCat Record</v>
      </c>
      <c r="AX3222" s="3" t="s">
        <v>31290</v>
      </c>
      <c r="AY3222" s="3" t="s">
        <v>31291</v>
      </c>
      <c r="AZ3222" s="3" t="s">
        <v>31292</v>
      </c>
      <c r="BA3222" s="3" t="s">
        <v>31292</v>
      </c>
      <c r="BB3222" s="3" t="s">
        <v>31293</v>
      </c>
      <c r="BC3222" s="3" t="s">
        <v>102</v>
      </c>
      <c r="BD3222" s="3" t="s">
        <v>68</v>
      </c>
      <c r="BE3222" s="3" t="s">
        <v>31294</v>
      </c>
      <c r="BF3222" s="3" t="s">
        <v>31293</v>
      </c>
      <c r="BG3222" s="3" t="s">
        <v>31295</v>
      </c>
    </row>
    <row r="3223" spans="1:59" ht="58" x14ac:dyDescent="0.35">
      <c r="A3223" s="2" t="s">
        <v>89</v>
      </c>
      <c r="B3223" s="2" t="s">
        <v>90</v>
      </c>
      <c r="C3223" s="2" t="s">
        <v>31296</v>
      </c>
      <c r="D3223" s="2" t="s">
        <v>31297</v>
      </c>
      <c r="E3223" s="2" t="s">
        <v>31298</v>
      </c>
      <c r="G3223" s="3" t="s">
        <v>62</v>
      </c>
      <c r="I3223" s="3" t="s">
        <v>62</v>
      </c>
      <c r="J3223" s="3" t="s">
        <v>62</v>
      </c>
      <c r="K3223" s="3" t="s">
        <v>63</v>
      </c>
      <c r="L3223" s="2" t="s">
        <v>31299</v>
      </c>
      <c r="M3223" s="2" t="s">
        <v>31300</v>
      </c>
      <c r="N3223" s="3" t="s">
        <v>640</v>
      </c>
      <c r="P3223" s="3" t="s">
        <v>64</v>
      </c>
      <c r="Q3223" s="2" t="s">
        <v>31301</v>
      </c>
      <c r="R3223" s="3" t="s">
        <v>27443</v>
      </c>
      <c r="S3223" s="4">
        <v>13</v>
      </c>
      <c r="T3223" s="4">
        <v>13</v>
      </c>
      <c r="U3223" s="5" t="s">
        <v>24600</v>
      </c>
      <c r="V3223" s="5" t="s">
        <v>24600</v>
      </c>
      <c r="W3223" s="5" t="s">
        <v>67</v>
      </c>
      <c r="X3223" s="5" t="s">
        <v>67</v>
      </c>
      <c r="Y3223" s="4">
        <v>128</v>
      </c>
      <c r="Z3223" s="4">
        <v>13</v>
      </c>
      <c r="AA3223" s="4">
        <v>16</v>
      </c>
      <c r="AB3223" s="4">
        <v>1</v>
      </c>
      <c r="AC3223" s="4">
        <v>2</v>
      </c>
      <c r="AD3223" s="4">
        <v>63</v>
      </c>
      <c r="AE3223" s="4">
        <v>67</v>
      </c>
      <c r="AF3223" s="4">
        <v>0</v>
      </c>
      <c r="AG3223" s="4">
        <v>0</v>
      </c>
      <c r="AH3223" s="4">
        <v>55</v>
      </c>
      <c r="AI3223" s="4">
        <v>58</v>
      </c>
      <c r="AJ3223" s="4">
        <v>7</v>
      </c>
      <c r="AK3223" s="4">
        <v>8</v>
      </c>
      <c r="AL3223" s="4">
        <v>36</v>
      </c>
      <c r="AM3223" s="4">
        <v>37</v>
      </c>
      <c r="AN3223" s="4">
        <v>0</v>
      </c>
      <c r="AO3223" s="4">
        <v>0</v>
      </c>
      <c r="AP3223" s="4">
        <v>11</v>
      </c>
      <c r="AQ3223" s="4">
        <v>13</v>
      </c>
      <c r="AR3223" s="3" t="s">
        <v>62</v>
      </c>
      <c r="AS3223" s="3" t="s">
        <v>62</v>
      </c>
      <c r="AT3223" s="3" t="s">
        <v>62</v>
      </c>
      <c r="AV3223" s="6" t="str">
        <f>HYPERLINK("http://mcgill.on.worldcat.org/oclc/56416616","Catalog Record")</f>
        <v>Catalog Record</v>
      </c>
      <c r="AW3223" s="6" t="str">
        <f>HYPERLINK("http://www.worldcat.org/oclc/56416616","WorldCat Record")</f>
        <v>WorldCat Record</v>
      </c>
      <c r="AX3223" s="3" t="s">
        <v>31302</v>
      </c>
      <c r="AY3223" s="3" t="s">
        <v>31303</v>
      </c>
      <c r="AZ3223" s="3" t="s">
        <v>31304</v>
      </c>
      <c r="BA3223" s="3" t="s">
        <v>31304</v>
      </c>
      <c r="BB3223" s="3" t="s">
        <v>31305</v>
      </c>
      <c r="BC3223" s="3" t="s">
        <v>102</v>
      </c>
      <c r="BD3223" s="3" t="s">
        <v>231</v>
      </c>
      <c r="BE3223" s="3" t="s">
        <v>31306</v>
      </c>
      <c r="BF3223" s="3" t="s">
        <v>31305</v>
      </c>
      <c r="BG3223" s="3" t="s">
        <v>31307</v>
      </c>
    </row>
    <row r="3224" spans="1:59" ht="58" x14ac:dyDescent="0.35">
      <c r="A3224" s="2" t="s">
        <v>89</v>
      </c>
      <c r="B3224" s="2" t="s">
        <v>90</v>
      </c>
      <c r="C3224" s="2" t="s">
        <v>31308</v>
      </c>
      <c r="D3224" s="2" t="s">
        <v>31309</v>
      </c>
      <c r="E3224" s="2" t="s">
        <v>31310</v>
      </c>
      <c r="G3224" s="3" t="s">
        <v>62</v>
      </c>
      <c r="I3224" s="3" t="s">
        <v>62</v>
      </c>
      <c r="J3224" s="3" t="s">
        <v>62</v>
      </c>
      <c r="K3224" s="3" t="s">
        <v>63</v>
      </c>
      <c r="L3224" s="2" t="s">
        <v>31311</v>
      </c>
      <c r="M3224" s="2" t="s">
        <v>31312</v>
      </c>
      <c r="N3224" s="3" t="s">
        <v>1722</v>
      </c>
      <c r="P3224" s="3" t="s">
        <v>64</v>
      </c>
      <c r="Q3224" s="2" t="s">
        <v>31313</v>
      </c>
      <c r="R3224" s="3" t="s">
        <v>27443</v>
      </c>
      <c r="S3224" s="4">
        <v>4</v>
      </c>
      <c r="T3224" s="4">
        <v>4</v>
      </c>
      <c r="U3224" s="5" t="s">
        <v>14635</v>
      </c>
      <c r="V3224" s="5" t="s">
        <v>14635</v>
      </c>
      <c r="W3224" s="5" t="s">
        <v>67</v>
      </c>
      <c r="X3224" s="5" t="s">
        <v>67</v>
      </c>
      <c r="Y3224" s="4">
        <v>82</v>
      </c>
      <c r="Z3224" s="4">
        <v>12</v>
      </c>
      <c r="AA3224" s="4">
        <v>55</v>
      </c>
      <c r="AB3224" s="4">
        <v>1</v>
      </c>
      <c r="AC3224" s="4">
        <v>7</v>
      </c>
      <c r="AD3224" s="4">
        <v>45</v>
      </c>
      <c r="AE3224" s="4">
        <v>71</v>
      </c>
      <c r="AF3224" s="4">
        <v>0</v>
      </c>
      <c r="AG3224" s="4">
        <v>4</v>
      </c>
      <c r="AH3224" s="4">
        <v>39</v>
      </c>
      <c r="AI3224" s="4">
        <v>45</v>
      </c>
      <c r="AJ3224" s="4">
        <v>7</v>
      </c>
      <c r="AK3224" s="4">
        <v>21</v>
      </c>
      <c r="AL3224" s="4">
        <v>30</v>
      </c>
      <c r="AM3224" s="4">
        <v>31</v>
      </c>
      <c r="AN3224" s="4">
        <v>0</v>
      </c>
      <c r="AO3224" s="4">
        <v>0</v>
      </c>
      <c r="AP3224" s="4">
        <v>7</v>
      </c>
      <c r="AQ3224" s="4">
        <v>30</v>
      </c>
      <c r="AR3224" s="3" t="s">
        <v>62</v>
      </c>
      <c r="AS3224" s="3" t="s">
        <v>62</v>
      </c>
      <c r="AT3224" s="3" t="s">
        <v>62</v>
      </c>
      <c r="AV3224" s="6" t="str">
        <f>HYPERLINK("http://mcgill.on.worldcat.org/oclc/212988249","Catalog Record")</f>
        <v>Catalog Record</v>
      </c>
      <c r="AW3224" s="6" t="str">
        <f>HYPERLINK("http://www.worldcat.org/oclc/212988249","WorldCat Record")</f>
        <v>WorldCat Record</v>
      </c>
      <c r="AX3224" s="3" t="s">
        <v>31314</v>
      </c>
      <c r="AY3224" s="3" t="s">
        <v>31315</v>
      </c>
      <c r="AZ3224" s="3" t="s">
        <v>31316</v>
      </c>
      <c r="BA3224" s="3" t="s">
        <v>31316</v>
      </c>
      <c r="BB3224" s="3" t="s">
        <v>31317</v>
      </c>
      <c r="BC3224" s="3" t="s">
        <v>102</v>
      </c>
      <c r="BD3224" s="3" t="s">
        <v>68</v>
      </c>
      <c r="BE3224" s="3" t="s">
        <v>31318</v>
      </c>
      <c r="BF3224" s="3" t="s">
        <v>31317</v>
      </c>
      <c r="BG3224" s="3" t="s">
        <v>31319</v>
      </c>
    </row>
    <row r="3225" spans="1:59" ht="58" x14ac:dyDescent="0.35">
      <c r="A3225" s="2" t="s">
        <v>89</v>
      </c>
      <c r="B3225" s="2" t="s">
        <v>90</v>
      </c>
      <c r="C3225" s="2" t="s">
        <v>31320</v>
      </c>
      <c r="D3225" s="2" t="s">
        <v>31321</v>
      </c>
      <c r="E3225" s="2" t="s">
        <v>31322</v>
      </c>
      <c r="G3225" s="3" t="s">
        <v>62</v>
      </c>
      <c r="I3225" s="3" t="s">
        <v>61</v>
      </c>
      <c r="J3225" s="3" t="s">
        <v>62</v>
      </c>
      <c r="K3225" s="3" t="s">
        <v>63</v>
      </c>
      <c r="L3225" s="2" t="s">
        <v>31323</v>
      </c>
      <c r="M3225" s="2" t="s">
        <v>28750</v>
      </c>
      <c r="N3225" s="3" t="s">
        <v>2588</v>
      </c>
      <c r="P3225" s="3" t="s">
        <v>64</v>
      </c>
      <c r="R3225" s="3" t="s">
        <v>27443</v>
      </c>
      <c r="S3225" s="4">
        <v>11</v>
      </c>
      <c r="T3225" s="4">
        <v>29</v>
      </c>
      <c r="U3225" s="5" t="s">
        <v>30470</v>
      </c>
      <c r="V3225" s="5" t="s">
        <v>30470</v>
      </c>
      <c r="W3225" s="5" t="s">
        <v>67</v>
      </c>
      <c r="X3225" s="5" t="s">
        <v>67</v>
      </c>
      <c r="Y3225" s="4">
        <v>1090</v>
      </c>
      <c r="Z3225" s="4">
        <v>55</v>
      </c>
      <c r="AA3225" s="4">
        <v>118</v>
      </c>
      <c r="AB3225" s="4">
        <v>2</v>
      </c>
      <c r="AC3225" s="4">
        <v>17</v>
      </c>
      <c r="AD3225" s="4">
        <v>139</v>
      </c>
      <c r="AE3225" s="4">
        <v>163</v>
      </c>
      <c r="AF3225" s="4">
        <v>1</v>
      </c>
      <c r="AG3225" s="4">
        <v>8</v>
      </c>
      <c r="AH3225" s="4">
        <v>108</v>
      </c>
      <c r="AI3225" s="4">
        <v>115</v>
      </c>
      <c r="AJ3225" s="4">
        <v>21</v>
      </c>
      <c r="AK3225" s="4">
        <v>30</v>
      </c>
      <c r="AL3225" s="4">
        <v>56</v>
      </c>
      <c r="AM3225" s="4">
        <v>58</v>
      </c>
      <c r="AN3225" s="4">
        <v>0</v>
      </c>
      <c r="AO3225" s="4">
        <v>0</v>
      </c>
      <c r="AP3225" s="4">
        <v>35</v>
      </c>
      <c r="AQ3225" s="4">
        <v>54</v>
      </c>
      <c r="AR3225" s="3" t="s">
        <v>62</v>
      </c>
      <c r="AS3225" s="3" t="s">
        <v>62</v>
      </c>
      <c r="AT3225" s="3" t="s">
        <v>61</v>
      </c>
      <c r="AU3225" s="6" t="str">
        <f>HYPERLINK("http://catalog.hathitrust.org/Record/000214175","HathiTrust Record")</f>
        <v>HathiTrust Record</v>
      </c>
      <c r="AV3225" s="6" t="str">
        <f>HYPERLINK("http://mcgill.on.worldcat.org/oclc/2968388","Catalog Record")</f>
        <v>Catalog Record</v>
      </c>
      <c r="AW3225" s="6" t="str">
        <f>HYPERLINK("http://www.worldcat.org/oclc/2968388","WorldCat Record")</f>
        <v>WorldCat Record</v>
      </c>
      <c r="AX3225" s="3" t="s">
        <v>31324</v>
      </c>
      <c r="AY3225" s="3" t="s">
        <v>31325</v>
      </c>
      <c r="AZ3225" s="3" t="s">
        <v>31326</v>
      </c>
      <c r="BA3225" s="3" t="s">
        <v>31326</v>
      </c>
      <c r="BB3225" s="3" t="s">
        <v>31327</v>
      </c>
      <c r="BC3225" s="3" t="s">
        <v>102</v>
      </c>
      <c r="BD3225" s="3" t="s">
        <v>68</v>
      </c>
      <c r="BE3225" s="3" t="s">
        <v>31328</v>
      </c>
      <c r="BF3225" s="3" t="s">
        <v>31327</v>
      </c>
      <c r="BG3225" s="3" t="s">
        <v>31329</v>
      </c>
    </row>
    <row r="3226" spans="1:59" ht="58" x14ac:dyDescent="0.35">
      <c r="A3226" s="2" t="s">
        <v>89</v>
      </c>
      <c r="B3226" s="2" t="s">
        <v>90</v>
      </c>
      <c r="C3226" s="2" t="s">
        <v>31330</v>
      </c>
      <c r="D3226" s="2" t="s">
        <v>31331</v>
      </c>
      <c r="E3226" s="2" t="s">
        <v>31332</v>
      </c>
      <c r="G3226" s="3" t="s">
        <v>62</v>
      </c>
      <c r="I3226" s="3" t="s">
        <v>62</v>
      </c>
      <c r="J3226" s="3" t="s">
        <v>62</v>
      </c>
      <c r="K3226" s="3" t="s">
        <v>63</v>
      </c>
      <c r="L3226" s="2" t="s">
        <v>31333</v>
      </c>
      <c r="M3226" s="2" t="s">
        <v>31334</v>
      </c>
      <c r="N3226" s="3" t="s">
        <v>625</v>
      </c>
      <c r="P3226" s="3" t="s">
        <v>64</v>
      </c>
      <c r="Q3226" s="2" t="s">
        <v>31335</v>
      </c>
      <c r="R3226" s="3" t="s">
        <v>27443</v>
      </c>
      <c r="S3226" s="4">
        <v>23</v>
      </c>
      <c r="T3226" s="4">
        <v>23</v>
      </c>
      <c r="U3226" s="5" t="s">
        <v>30457</v>
      </c>
      <c r="V3226" s="5" t="s">
        <v>30457</v>
      </c>
      <c r="W3226" s="5" t="s">
        <v>67</v>
      </c>
      <c r="X3226" s="5" t="s">
        <v>67</v>
      </c>
      <c r="Y3226" s="4">
        <v>337</v>
      </c>
      <c r="Z3226" s="4">
        <v>28</v>
      </c>
      <c r="AA3226" s="4">
        <v>98</v>
      </c>
      <c r="AB3226" s="4">
        <v>2</v>
      </c>
      <c r="AC3226" s="4">
        <v>16</v>
      </c>
      <c r="AD3226" s="4">
        <v>91</v>
      </c>
      <c r="AE3226" s="4">
        <v>142</v>
      </c>
      <c r="AF3226" s="4">
        <v>1</v>
      </c>
      <c r="AG3226" s="4">
        <v>9</v>
      </c>
      <c r="AH3226" s="4">
        <v>77</v>
      </c>
      <c r="AI3226" s="4">
        <v>101</v>
      </c>
      <c r="AJ3226" s="4">
        <v>16</v>
      </c>
      <c r="AK3226" s="4">
        <v>26</v>
      </c>
      <c r="AL3226" s="4">
        <v>44</v>
      </c>
      <c r="AM3226" s="4">
        <v>51</v>
      </c>
      <c r="AN3226" s="4">
        <v>0</v>
      </c>
      <c r="AO3226" s="4">
        <v>0</v>
      </c>
      <c r="AP3226" s="4">
        <v>20</v>
      </c>
      <c r="AQ3226" s="4">
        <v>50</v>
      </c>
      <c r="AR3226" s="3" t="s">
        <v>62</v>
      </c>
      <c r="AS3226" s="3" t="s">
        <v>62</v>
      </c>
      <c r="AT3226" s="3" t="s">
        <v>62</v>
      </c>
      <c r="AV3226" s="6" t="str">
        <f>HYPERLINK("http://mcgill.on.worldcat.org/oclc/50228085","Catalog Record")</f>
        <v>Catalog Record</v>
      </c>
      <c r="AW3226" s="6" t="str">
        <f>HYPERLINK("http://www.worldcat.org/oclc/50228085","WorldCat Record")</f>
        <v>WorldCat Record</v>
      </c>
      <c r="AX3226" s="3" t="s">
        <v>31336</v>
      </c>
      <c r="AY3226" s="3" t="s">
        <v>31337</v>
      </c>
      <c r="AZ3226" s="3" t="s">
        <v>31338</v>
      </c>
      <c r="BA3226" s="3" t="s">
        <v>31338</v>
      </c>
      <c r="BB3226" s="3" t="s">
        <v>31339</v>
      </c>
      <c r="BC3226" s="3" t="s">
        <v>102</v>
      </c>
      <c r="BD3226" s="3" t="s">
        <v>68</v>
      </c>
      <c r="BE3226" s="3" t="s">
        <v>31340</v>
      </c>
      <c r="BF3226" s="3" t="s">
        <v>31339</v>
      </c>
      <c r="BG3226" s="3" t="s">
        <v>31341</v>
      </c>
    </row>
    <row r="3227" spans="1:59" ht="58" x14ac:dyDescent="0.35">
      <c r="A3227" s="2" t="s">
        <v>89</v>
      </c>
      <c r="B3227" s="2" t="s">
        <v>90</v>
      </c>
      <c r="C3227" s="2" t="s">
        <v>31342</v>
      </c>
      <c r="D3227" s="2" t="s">
        <v>31343</v>
      </c>
      <c r="E3227" s="2" t="s">
        <v>31344</v>
      </c>
      <c r="G3227" s="3" t="s">
        <v>62</v>
      </c>
      <c r="I3227" s="3" t="s">
        <v>62</v>
      </c>
      <c r="J3227" s="3" t="s">
        <v>61</v>
      </c>
      <c r="K3227" s="3" t="s">
        <v>63</v>
      </c>
      <c r="L3227" s="2" t="s">
        <v>31345</v>
      </c>
      <c r="M3227" s="2" t="s">
        <v>14135</v>
      </c>
      <c r="N3227" s="3" t="s">
        <v>2975</v>
      </c>
      <c r="P3227" s="3" t="s">
        <v>64</v>
      </c>
      <c r="R3227" s="3" t="s">
        <v>27443</v>
      </c>
      <c r="S3227" s="4">
        <v>9</v>
      </c>
      <c r="T3227" s="4">
        <v>9</v>
      </c>
      <c r="U3227" s="5" t="s">
        <v>30470</v>
      </c>
      <c r="V3227" s="5" t="s">
        <v>30470</v>
      </c>
      <c r="W3227" s="5" t="s">
        <v>67</v>
      </c>
      <c r="X3227" s="5" t="s">
        <v>67</v>
      </c>
      <c r="Y3227" s="4">
        <v>427</v>
      </c>
      <c r="Z3227" s="4">
        <v>37</v>
      </c>
      <c r="AA3227" s="4">
        <v>113</v>
      </c>
      <c r="AB3227" s="4">
        <v>2</v>
      </c>
      <c r="AC3227" s="4">
        <v>16</v>
      </c>
      <c r="AD3227" s="4">
        <v>103</v>
      </c>
      <c r="AE3227" s="4">
        <v>158</v>
      </c>
      <c r="AF3227" s="4">
        <v>1</v>
      </c>
      <c r="AG3227" s="4">
        <v>9</v>
      </c>
      <c r="AH3227" s="4">
        <v>84</v>
      </c>
      <c r="AI3227" s="4">
        <v>108</v>
      </c>
      <c r="AJ3227" s="4">
        <v>16</v>
      </c>
      <c r="AK3227" s="4">
        <v>28</v>
      </c>
      <c r="AL3227" s="4">
        <v>45</v>
      </c>
      <c r="AM3227" s="4">
        <v>58</v>
      </c>
      <c r="AN3227" s="4">
        <v>0</v>
      </c>
      <c r="AO3227" s="4">
        <v>0</v>
      </c>
      <c r="AP3227" s="4">
        <v>26</v>
      </c>
      <c r="AQ3227" s="4">
        <v>56</v>
      </c>
      <c r="AR3227" s="3" t="s">
        <v>62</v>
      </c>
      <c r="AS3227" s="3" t="s">
        <v>62</v>
      </c>
      <c r="AT3227" s="3" t="s">
        <v>62</v>
      </c>
      <c r="AV3227" s="6" t="str">
        <f>HYPERLINK("http://mcgill.on.worldcat.org/oclc/44045640","Catalog Record")</f>
        <v>Catalog Record</v>
      </c>
      <c r="AW3227" s="6" t="str">
        <f>HYPERLINK("http://www.worldcat.org/oclc/44045640","WorldCat Record")</f>
        <v>WorldCat Record</v>
      </c>
      <c r="AX3227" s="3" t="s">
        <v>31346</v>
      </c>
      <c r="AY3227" s="3" t="s">
        <v>31347</v>
      </c>
      <c r="AZ3227" s="3" t="s">
        <v>31348</v>
      </c>
      <c r="BA3227" s="3" t="s">
        <v>31348</v>
      </c>
      <c r="BB3227" s="3" t="s">
        <v>31349</v>
      </c>
      <c r="BC3227" s="3" t="s">
        <v>102</v>
      </c>
      <c r="BD3227" s="3" t="s">
        <v>68</v>
      </c>
      <c r="BE3227" s="3" t="s">
        <v>31350</v>
      </c>
      <c r="BF3227" s="3" t="s">
        <v>31349</v>
      </c>
      <c r="BG3227" s="3" t="s">
        <v>31351</v>
      </c>
    </row>
    <row r="3228" spans="1:59" ht="58" x14ac:dyDescent="0.35">
      <c r="A3228" s="2" t="s">
        <v>89</v>
      </c>
      <c r="B3228" s="2" t="s">
        <v>90</v>
      </c>
      <c r="C3228" s="2" t="s">
        <v>31352</v>
      </c>
      <c r="D3228" s="2" t="s">
        <v>31353</v>
      </c>
      <c r="E3228" s="2" t="s">
        <v>31354</v>
      </c>
      <c r="G3228" s="3" t="s">
        <v>62</v>
      </c>
      <c r="I3228" s="3" t="s">
        <v>62</v>
      </c>
      <c r="J3228" s="3" t="s">
        <v>62</v>
      </c>
      <c r="K3228" s="3" t="s">
        <v>63</v>
      </c>
      <c r="L3228" s="2" t="s">
        <v>31355</v>
      </c>
      <c r="M3228" s="2" t="s">
        <v>31356</v>
      </c>
      <c r="N3228" s="3" t="s">
        <v>684</v>
      </c>
      <c r="P3228" s="3" t="s">
        <v>64</v>
      </c>
      <c r="R3228" s="3" t="s">
        <v>27443</v>
      </c>
      <c r="S3228" s="4">
        <v>0</v>
      </c>
      <c r="T3228" s="4">
        <v>0</v>
      </c>
      <c r="W3228" s="5" t="s">
        <v>67</v>
      </c>
      <c r="X3228" s="5" t="s">
        <v>67</v>
      </c>
      <c r="Y3228" s="4">
        <v>4</v>
      </c>
      <c r="Z3228" s="4">
        <v>4</v>
      </c>
      <c r="AA3228" s="4">
        <v>49</v>
      </c>
      <c r="AB3228" s="4">
        <v>1</v>
      </c>
      <c r="AC3228" s="4">
        <v>3</v>
      </c>
      <c r="AD3228" s="4">
        <v>3</v>
      </c>
      <c r="AE3228" s="4">
        <v>29</v>
      </c>
      <c r="AF3228" s="4">
        <v>0</v>
      </c>
      <c r="AG3228" s="4">
        <v>1</v>
      </c>
      <c r="AH3228" s="4">
        <v>1</v>
      </c>
      <c r="AI3228" s="4">
        <v>6</v>
      </c>
      <c r="AJ3228" s="4">
        <v>2</v>
      </c>
      <c r="AK3228" s="4">
        <v>16</v>
      </c>
      <c r="AL3228" s="4">
        <v>0</v>
      </c>
      <c r="AM3228" s="4">
        <v>0</v>
      </c>
      <c r="AN3228" s="4">
        <v>0</v>
      </c>
      <c r="AO3228" s="4">
        <v>0</v>
      </c>
      <c r="AP3228" s="4">
        <v>2</v>
      </c>
      <c r="AQ3228" s="4">
        <v>27</v>
      </c>
      <c r="AR3228" s="3" t="s">
        <v>61</v>
      </c>
      <c r="AS3228" s="3" t="s">
        <v>62</v>
      </c>
      <c r="AT3228" s="3" t="s">
        <v>62</v>
      </c>
      <c r="AV3228" s="6" t="str">
        <f>HYPERLINK("http://mcgill.on.worldcat.org/oclc/773666287","Catalog Record")</f>
        <v>Catalog Record</v>
      </c>
      <c r="AW3228" s="6" t="str">
        <f>HYPERLINK("http://www.worldcat.org/oclc/773666287","WorldCat Record")</f>
        <v>WorldCat Record</v>
      </c>
      <c r="AX3228" s="3" t="s">
        <v>31357</v>
      </c>
      <c r="AY3228" s="3" t="s">
        <v>31358</v>
      </c>
      <c r="AZ3228" s="3" t="s">
        <v>31359</v>
      </c>
      <c r="BA3228" s="3" t="s">
        <v>31359</v>
      </c>
      <c r="BB3228" s="3" t="s">
        <v>31360</v>
      </c>
      <c r="BC3228" s="3" t="s">
        <v>102</v>
      </c>
      <c r="BD3228" s="3" t="s">
        <v>68</v>
      </c>
      <c r="BE3228" s="3" t="s">
        <v>31361</v>
      </c>
      <c r="BF3228" s="3" t="s">
        <v>31360</v>
      </c>
      <c r="BG3228" s="3" t="s">
        <v>31362</v>
      </c>
    </row>
    <row r="3229" spans="1:59" ht="72.5" x14ac:dyDescent="0.35">
      <c r="A3229" s="2" t="s">
        <v>89</v>
      </c>
      <c r="B3229" s="2" t="s">
        <v>90</v>
      </c>
      <c r="C3229" s="2" t="s">
        <v>31363</v>
      </c>
      <c r="D3229" s="2" t="s">
        <v>31364</v>
      </c>
      <c r="E3229" s="2" t="s">
        <v>31365</v>
      </c>
      <c r="F3229" s="3" t="s">
        <v>31366</v>
      </c>
      <c r="G3229" s="3" t="s">
        <v>62</v>
      </c>
      <c r="I3229" s="3" t="s">
        <v>62</v>
      </c>
      <c r="J3229" s="3" t="s">
        <v>62</v>
      </c>
      <c r="K3229" s="3" t="s">
        <v>63</v>
      </c>
      <c r="M3229" s="2" t="s">
        <v>31367</v>
      </c>
      <c r="N3229" s="3" t="s">
        <v>655</v>
      </c>
      <c r="P3229" s="3" t="s">
        <v>64</v>
      </c>
      <c r="R3229" s="3" t="s">
        <v>27443</v>
      </c>
      <c r="S3229" s="4">
        <v>17</v>
      </c>
      <c r="T3229" s="4">
        <v>17</v>
      </c>
      <c r="U3229" s="5" t="s">
        <v>31368</v>
      </c>
      <c r="V3229" s="5" t="s">
        <v>31368</v>
      </c>
      <c r="W3229" s="5" t="s">
        <v>67</v>
      </c>
      <c r="X3229" s="5" t="s">
        <v>67</v>
      </c>
      <c r="Y3229" s="4">
        <v>465</v>
      </c>
      <c r="Z3229" s="4">
        <v>35</v>
      </c>
      <c r="AA3229" s="4">
        <v>62</v>
      </c>
      <c r="AB3229" s="4">
        <v>4</v>
      </c>
      <c r="AC3229" s="4">
        <v>13</v>
      </c>
      <c r="AD3229" s="4">
        <v>98</v>
      </c>
      <c r="AE3229" s="4">
        <v>113</v>
      </c>
      <c r="AF3229" s="4">
        <v>1</v>
      </c>
      <c r="AG3229" s="4">
        <v>6</v>
      </c>
      <c r="AH3229" s="4">
        <v>78</v>
      </c>
      <c r="AI3229" s="4">
        <v>83</v>
      </c>
      <c r="AJ3229" s="4">
        <v>13</v>
      </c>
      <c r="AK3229" s="4">
        <v>22</v>
      </c>
      <c r="AL3229" s="4">
        <v>48</v>
      </c>
      <c r="AM3229" s="4">
        <v>50</v>
      </c>
      <c r="AN3229" s="4">
        <v>0</v>
      </c>
      <c r="AO3229" s="4">
        <v>0</v>
      </c>
      <c r="AP3229" s="4">
        <v>23</v>
      </c>
      <c r="AQ3229" s="4">
        <v>35</v>
      </c>
      <c r="AR3229" s="3" t="s">
        <v>62</v>
      </c>
      <c r="AS3229" s="3" t="s">
        <v>62</v>
      </c>
      <c r="AT3229" s="3" t="s">
        <v>62</v>
      </c>
      <c r="AV3229" s="6" t="str">
        <f>HYPERLINK("http://mcgill.on.worldcat.org/oclc/163616658","Catalog Record")</f>
        <v>Catalog Record</v>
      </c>
      <c r="AW3229" s="6" t="str">
        <f>HYPERLINK("http://www.worldcat.org/oclc/163616658","WorldCat Record")</f>
        <v>WorldCat Record</v>
      </c>
      <c r="AX3229" s="3" t="s">
        <v>31369</v>
      </c>
      <c r="AY3229" s="3" t="s">
        <v>31370</v>
      </c>
      <c r="AZ3229" s="3" t="s">
        <v>31371</v>
      </c>
      <c r="BA3229" s="3" t="s">
        <v>31371</v>
      </c>
      <c r="BB3229" s="3" t="s">
        <v>31372</v>
      </c>
      <c r="BC3229" s="3" t="s">
        <v>102</v>
      </c>
      <c r="BD3229" s="3" t="s">
        <v>68</v>
      </c>
      <c r="BE3229" s="3" t="s">
        <v>31373</v>
      </c>
      <c r="BF3229" s="3" t="s">
        <v>31372</v>
      </c>
      <c r="BG3229" s="3" t="s">
        <v>31374</v>
      </c>
    </row>
    <row r="3230" spans="1:59" ht="72.5" x14ac:dyDescent="0.35">
      <c r="A3230" s="2" t="s">
        <v>89</v>
      </c>
      <c r="B3230" s="2" t="s">
        <v>90</v>
      </c>
      <c r="C3230" s="2" t="s">
        <v>31375</v>
      </c>
      <c r="D3230" s="2" t="s">
        <v>31376</v>
      </c>
      <c r="E3230" s="2" t="s">
        <v>31377</v>
      </c>
      <c r="G3230" s="3" t="s">
        <v>62</v>
      </c>
      <c r="I3230" s="3" t="s">
        <v>62</v>
      </c>
      <c r="J3230" s="3" t="s">
        <v>62</v>
      </c>
      <c r="K3230" s="3" t="s">
        <v>63</v>
      </c>
      <c r="M3230" s="2" t="s">
        <v>31378</v>
      </c>
      <c r="N3230" s="3" t="s">
        <v>2985</v>
      </c>
      <c r="P3230" s="3" t="s">
        <v>64</v>
      </c>
      <c r="R3230" s="3" t="s">
        <v>27443</v>
      </c>
      <c r="S3230" s="4">
        <v>2</v>
      </c>
      <c r="T3230" s="4">
        <v>2</v>
      </c>
      <c r="U3230" s="5" t="s">
        <v>4259</v>
      </c>
      <c r="V3230" s="5" t="s">
        <v>4259</v>
      </c>
      <c r="W3230" s="5" t="s">
        <v>67</v>
      </c>
      <c r="X3230" s="5" t="s">
        <v>67</v>
      </c>
      <c r="Y3230" s="4">
        <v>6</v>
      </c>
      <c r="Z3230" s="4">
        <v>1</v>
      </c>
      <c r="AA3230" s="4">
        <v>1</v>
      </c>
      <c r="AB3230" s="4">
        <v>1</v>
      </c>
      <c r="AC3230" s="4">
        <v>1</v>
      </c>
      <c r="AD3230" s="4">
        <v>0</v>
      </c>
      <c r="AE3230" s="4">
        <v>0</v>
      </c>
      <c r="AF3230" s="4">
        <v>0</v>
      </c>
      <c r="AG3230" s="4">
        <v>0</v>
      </c>
      <c r="AH3230" s="4">
        <v>0</v>
      </c>
      <c r="AI3230" s="4">
        <v>0</v>
      </c>
      <c r="AJ3230" s="4">
        <v>0</v>
      </c>
      <c r="AK3230" s="4">
        <v>0</v>
      </c>
      <c r="AL3230" s="4">
        <v>0</v>
      </c>
      <c r="AM3230" s="4">
        <v>0</v>
      </c>
      <c r="AN3230" s="4">
        <v>0</v>
      </c>
      <c r="AO3230" s="4">
        <v>0</v>
      </c>
      <c r="AP3230" s="4">
        <v>0</v>
      </c>
      <c r="AQ3230" s="4">
        <v>0</v>
      </c>
      <c r="AR3230" s="3" t="s">
        <v>62</v>
      </c>
      <c r="AS3230" s="3" t="s">
        <v>62</v>
      </c>
      <c r="AT3230" s="3" t="s">
        <v>62</v>
      </c>
      <c r="AV3230" s="6" t="str">
        <f>HYPERLINK("http://mcgill.on.worldcat.org/oclc/494468804","Catalog Record")</f>
        <v>Catalog Record</v>
      </c>
      <c r="AW3230" s="6" t="str">
        <f>HYPERLINK("http://www.worldcat.org/oclc/494468804","WorldCat Record")</f>
        <v>WorldCat Record</v>
      </c>
      <c r="AX3230" s="3" t="s">
        <v>31379</v>
      </c>
      <c r="AY3230" s="3" t="s">
        <v>31380</v>
      </c>
      <c r="AZ3230" s="3" t="s">
        <v>31381</v>
      </c>
      <c r="BA3230" s="3" t="s">
        <v>31381</v>
      </c>
      <c r="BB3230" s="3" t="s">
        <v>31382</v>
      </c>
      <c r="BC3230" s="3" t="s">
        <v>102</v>
      </c>
      <c r="BD3230" s="3" t="s">
        <v>68</v>
      </c>
      <c r="BE3230" s="3" t="s">
        <v>31383</v>
      </c>
      <c r="BF3230" s="3" t="s">
        <v>31382</v>
      </c>
      <c r="BG3230" s="3" t="s">
        <v>31384</v>
      </c>
    </row>
    <row r="3231" spans="1:59" ht="72.5" x14ac:dyDescent="0.35">
      <c r="A3231" s="2" t="s">
        <v>89</v>
      </c>
      <c r="B3231" s="2" t="s">
        <v>90</v>
      </c>
      <c r="C3231" s="2" t="s">
        <v>31385</v>
      </c>
      <c r="D3231" s="2" t="s">
        <v>31386</v>
      </c>
      <c r="E3231" s="2" t="s">
        <v>31387</v>
      </c>
      <c r="G3231" s="3" t="s">
        <v>62</v>
      </c>
      <c r="I3231" s="3" t="s">
        <v>62</v>
      </c>
      <c r="J3231" s="3" t="s">
        <v>62</v>
      </c>
      <c r="K3231" s="3" t="s">
        <v>63</v>
      </c>
      <c r="M3231" s="2" t="s">
        <v>31388</v>
      </c>
      <c r="N3231" s="3" t="s">
        <v>2975</v>
      </c>
      <c r="P3231" s="3" t="s">
        <v>64</v>
      </c>
      <c r="R3231" s="3" t="s">
        <v>27443</v>
      </c>
      <c r="S3231" s="4">
        <v>28</v>
      </c>
      <c r="T3231" s="4">
        <v>28</v>
      </c>
      <c r="U3231" s="5" t="s">
        <v>20689</v>
      </c>
      <c r="V3231" s="5" t="s">
        <v>20689</v>
      </c>
      <c r="W3231" s="5" t="s">
        <v>67</v>
      </c>
      <c r="X3231" s="5" t="s">
        <v>67</v>
      </c>
      <c r="Y3231" s="4">
        <v>406</v>
      </c>
      <c r="Z3231" s="4">
        <v>31</v>
      </c>
      <c r="AA3231" s="4">
        <v>34</v>
      </c>
      <c r="AB3231" s="4">
        <v>2</v>
      </c>
      <c r="AC3231" s="4">
        <v>5</v>
      </c>
      <c r="AD3231" s="4">
        <v>95</v>
      </c>
      <c r="AE3231" s="4">
        <v>95</v>
      </c>
      <c r="AF3231" s="4">
        <v>1</v>
      </c>
      <c r="AG3231" s="4">
        <v>1</v>
      </c>
      <c r="AH3231" s="4">
        <v>76</v>
      </c>
      <c r="AI3231" s="4">
        <v>76</v>
      </c>
      <c r="AJ3231" s="4">
        <v>15</v>
      </c>
      <c r="AK3231" s="4">
        <v>15</v>
      </c>
      <c r="AL3231" s="4">
        <v>42</v>
      </c>
      <c r="AM3231" s="4">
        <v>42</v>
      </c>
      <c r="AN3231" s="4">
        <v>0</v>
      </c>
      <c r="AO3231" s="4">
        <v>0</v>
      </c>
      <c r="AP3231" s="4">
        <v>21</v>
      </c>
      <c r="AQ3231" s="4">
        <v>21</v>
      </c>
      <c r="AR3231" s="3" t="s">
        <v>62</v>
      </c>
      <c r="AS3231" s="3" t="s">
        <v>62</v>
      </c>
      <c r="AT3231" s="3" t="s">
        <v>61</v>
      </c>
      <c r="AU3231" s="6" t="str">
        <f>HYPERLINK("http://catalog.hathitrust.org/Record/004166668","HathiTrust Record")</f>
        <v>HathiTrust Record</v>
      </c>
      <c r="AV3231" s="6" t="str">
        <f>HYPERLINK("http://mcgill.on.worldcat.org/oclc/45639066","Catalog Record")</f>
        <v>Catalog Record</v>
      </c>
      <c r="AW3231" s="6" t="str">
        <f>HYPERLINK("http://www.worldcat.org/oclc/45639066","WorldCat Record")</f>
        <v>WorldCat Record</v>
      </c>
      <c r="AX3231" s="3" t="s">
        <v>31389</v>
      </c>
      <c r="AY3231" s="3" t="s">
        <v>31390</v>
      </c>
      <c r="AZ3231" s="3" t="s">
        <v>31391</v>
      </c>
      <c r="BA3231" s="3" t="s">
        <v>31391</v>
      </c>
      <c r="BB3231" s="3" t="s">
        <v>31392</v>
      </c>
      <c r="BC3231" s="3" t="s">
        <v>102</v>
      </c>
      <c r="BD3231" s="3" t="s">
        <v>68</v>
      </c>
      <c r="BE3231" s="3" t="s">
        <v>31393</v>
      </c>
      <c r="BF3231" s="3" t="s">
        <v>31392</v>
      </c>
      <c r="BG3231" s="3" t="s">
        <v>31394</v>
      </c>
    </row>
    <row r="3232" spans="1:59" ht="58" x14ac:dyDescent="0.35">
      <c r="A3232" s="2" t="s">
        <v>89</v>
      </c>
      <c r="B3232" s="2" t="s">
        <v>90</v>
      </c>
      <c r="C3232" s="2" t="s">
        <v>31395</v>
      </c>
      <c r="D3232" s="2" t="s">
        <v>31396</v>
      </c>
      <c r="E3232" s="2" t="s">
        <v>31397</v>
      </c>
      <c r="G3232" s="3" t="s">
        <v>62</v>
      </c>
      <c r="I3232" s="3" t="s">
        <v>61</v>
      </c>
      <c r="J3232" s="3" t="s">
        <v>62</v>
      </c>
      <c r="K3232" s="3" t="s">
        <v>63</v>
      </c>
      <c r="M3232" s="2" t="s">
        <v>31398</v>
      </c>
      <c r="N3232" s="3" t="s">
        <v>2110</v>
      </c>
      <c r="P3232" s="3" t="s">
        <v>64</v>
      </c>
      <c r="R3232" s="3" t="s">
        <v>27443</v>
      </c>
      <c r="S3232" s="4">
        <v>9</v>
      </c>
      <c r="T3232" s="4">
        <v>17</v>
      </c>
      <c r="U3232" s="5" t="s">
        <v>1977</v>
      </c>
      <c r="V3232" s="5" t="s">
        <v>1977</v>
      </c>
      <c r="W3232" s="5" t="s">
        <v>67</v>
      </c>
      <c r="X3232" s="5" t="s">
        <v>67</v>
      </c>
      <c r="Y3232" s="4">
        <v>794</v>
      </c>
      <c r="Z3232" s="4">
        <v>55</v>
      </c>
      <c r="AA3232" s="4">
        <v>59</v>
      </c>
      <c r="AB3232" s="4">
        <v>4</v>
      </c>
      <c r="AC3232" s="4">
        <v>8</v>
      </c>
      <c r="AD3232" s="4">
        <v>131</v>
      </c>
      <c r="AE3232" s="4">
        <v>137</v>
      </c>
      <c r="AF3232" s="4">
        <v>2</v>
      </c>
      <c r="AG3232" s="4">
        <v>5</v>
      </c>
      <c r="AH3232" s="4">
        <v>101</v>
      </c>
      <c r="AI3232" s="4">
        <v>104</v>
      </c>
      <c r="AJ3232" s="4">
        <v>24</v>
      </c>
      <c r="AK3232" s="4">
        <v>27</v>
      </c>
      <c r="AL3232" s="4">
        <v>52</v>
      </c>
      <c r="AM3232" s="4">
        <v>53</v>
      </c>
      <c r="AN3232" s="4">
        <v>0</v>
      </c>
      <c r="AO3232" s="4">
        <v>0</v>
      </c>
      <c r="AP3232" s="4">
        <v>38</v>
      </c>
      <c r="AQ3232" s="4">
        <v>41</v>
      </c>
      <c r="AR3232" s="3" t="s">
        <v>62</v>
      </c>
      <c r="AS3232" s="3" t="s">
        <v>62</v>
      </c>
      <c r="AT3232" s="3" t="s">
        <v>62</v>
      </c>
      <c r="AV3232" s="6" t="str">
        <f>HYPERLINK("http://mcgill.on.worldcat.org/oclc/2983211","Catalog Record")</f>
        <v>Catalog Record</v>
      </c>
      <c r="AW3232" s="6" t="str">
        <f>HYPERLINK("http://www.worldcat.org/oclc/2983211","WorldCat Record")</f>
        <v>WorldCat Record</v>
      </c>
      <c r="AX3232" s="3" t="s">
        <v>31399</v>
      </c>
      <c r="AY3232" s="3" t="s">
        <v>31400</v>
      </c>
      <c r="AZ3232" s="3" t="s">
        <v>31401</v>
      </c>
      <c r="BA3232" s="3" t="s">
        <v>31401</v>
      </c>
      <c r="BB3232" s="3" t="s">
        <v>31402</v>
      </c>
      <c r="BC3232" s="3" t="s">
        <v>102</v>
      </c>
      <c r="BD3232" s="3" t="s">
        <v>68</v>
      </c>
      <c r="BE3232" s="3" t="s">
        <v>31403</v>
      </c>
      <c r="BF3232" s="3" t="s">
        <v>31402</v>
      </c>
      <c r="BG3232" s="3" t="s">
        <v>31404</v>
      </c>
    </row>
    <row r="3233" spans="1:59" ht="58" x14ac:dyDescent="0.35">
      <c r="A3233" s="2" t="s">
        <v>89</v>
      </c>
      <c r="B3233" s="2" t="s">
        <v>90</v>
      </c>
      <c r="C3233" s="2" t="s">
        <v>31405</v>
      </c>
      <c r="D3233" s="2" t="s">
        <v>31406</v>
      </c>
      <c r="E3233" s="2" t="s">
        <v>31407</v>
      </c>
      <c r="G3233" s="3" t="s">
        <v>62</v>
      </c>
      <c r="I3233" s="3" t="s">
        <v>62</v>
      </c>
      <c r="J3233" s="3" t="s">
        <v>61</v>
      </c>
      <c r="K3233" s="3" t="s">
        <v>63</v>
      </c>
      <c r="L3233" s="2" t="s">
        <v>31408</v>
      </c>
      <c r="M3233" s="2" t="s">
        <v>31409</v>
      </c>
      <c r="N3233" s="3" t="s">
        <v>1195</v>
      </c>
      <c r="P3233" s="3" t="s">
        <v>64</v>
      </c>
      <c r="R3233" s="3" t="s">
        <v>27443</v>
      </c>
      <c r="S3233" s="4">
        <v>19</v>
      </c>
      <c r="T3233" s="4">
        <v>19</v>
      </c>
      <c r="U3233" s="5" t="s">
        <v>2026</v>
      </c>
      <c r="V3233" s="5" t="s">
        <v>2026</v>
      </c>
      <c r="W3233" s="5" t="s">
        <v>67</v>
      </c>
      <c r="X3233" s="5" t="s">
        <v>67</v>
      </c>
      <c r="Y3233" s="4">
        <v>585</v>
      </c>
      <c r="Z3233" s="4">
        <v>49</v>
      </c>
      <c r="AA3233" s="4">
        <v>90</v>
      </c>
      <c r="AB3233" s="4">
        <v>3</v>
      </c>
      <c r="AC3233" s="4">
        <v>10</v>
      </c>
      <c r="AD3233" s="4">
        <v>108</v>
      </c>
      <c r="AE3233" s="4">
        <v>138</v>
      </c>
      <c r="AF3233" s="4">
        <v>1</v>
      </c>
      <c r="AG3233" s="4">
        <v>4</v>
      </c>
      <c r="AH3233" s="4">
        <v>86</v>
      </c>
      <c r="AI3233" s="4">
        <v>107</v>
      </c>
      <c r="AJ3233" s="4">
        <v>18</v>
      </c>
      <c r="AK3233" s="4">
        <v>23</v>
      </c>
      <c r="AL3233" s="4">
        <v>43</v>
      </c>
      <c r="AM3233" s="4">
        <v>56</v>
      </c>
      <c r="AN3233" s="4">
        <v>0</v>
      </c>
      <c r="AO3233" s="4">
        <v>0</v>
      </c>
      <c r="AP3233" s="4">
        <v>28</v>
      </c>
      <c r="AQ3233" s="4">
        <v>37</v>
      </c>
      <c r="AR3233" s="3" t="s">
        <v>62</v>
      </c>
      <c r="AS3233" s="3" t="s">
        <v>62</v>
      </c>
      <c r="AT3233" s="3" t="s">
        <v>62</v>
      </c>
      <c r="AV3233" s="6" t="str">
        <f>HYPERLINK("http://mcgill.on.worldcat.org/oclc/60560107","Catalog Record")</f>
        <v>Catalog Record</v>
      </c>
      <c r="AW3233" s="6" t="str">
        <f>HYPERLINK("http://www.worldcat.org/oclc/60560107","WorldCat Record")</f>
        <v>WorldCat Record</v>
      </c>
      <c r="AX3233" s="3" t="s">
        <v>31410</v>
      </c>
      <c r="AY3233" s="3" t="s">
        <v>31411</v>
      </c>
      <c r="AZ3233" s="3" t="s">
        <v>31412</v>
      </c>
      <c r="BA3233" s="3" t="s">
        <v>31412</v>
      </c>
      <c r="BB3233" s="3" t="s">
        <v>31413</v>
      </c>
      <c r="BC3233" s="3" t="s">
        <v>102</v>
      </c>
      <c r="BD3233" s="3" t="s">
        <v>68</v>
      </c>
      <c r="BE3233" s="3" t="s">
        <v>31414</v>
      </c>
      <c r="BF3233" s="3" t="s">
        <v>31413</v>
      </c>
      <c r="BG3233" s="3" t="s">
        <v>31415</v>
      </c>
    </row>
    <row r="3234" spans="1:59" ht="58" x14ac:dyDescent="0.35">
      <c r="A3234" s="2" t="s">
        <v>89</v>
      </c>
      <c r="B3234" s="2" t="s">
        <v>90</v>
      </c>
      <c r="C3234" s="2" t="s">
        <v>31416</v>
      </c>
      <c r="D3234" s="2" t="s">
        <v>31417</v>
      </c>
      <c r="E3234" s="2" t="s">
        <v>31418</v>
      </c>
      <c r="G3234" s="3" t="s">
        <v>62</v>
      </c>
      <c r="I3234" s="3" t="s">
        <v>62</v>
      </c>
      <c r="J3234" s="3" t="s">
        <v>62</v>
      </c>
      <c r="K3234" s="3" t="s">
        <v>63</v>
      </c>
      <c r="M3234" s="2" t="s">
        <v>31419</v>
      </c>
      <c r="N3234" s="3" t="s">
        <v>2985</v>
      </c>
      <c r="P3234" s="3" t="s">
        <v>64</v>
      </c>
      <c r="R3234" s="3" t="s">
        <v>27443</v>
      </c>
      <c r="S3234" s="4">
        <v>10</v>
      </c>
      <c r="T3234" s="4">
        <v>10</v>
      </c>
      <c r="U3234" s="5" t="s">
        <v>4805</v>
      </c>
      <c r="V3234" s="5" t="s">
        <v>4805</v>
      </c>
      <c r="W3234" s="5" t="s">
        <v>67</v>
      </c>
      <c r="X3234" s="5" t="s">
        <v>67</v>
      </c>
      <c r="Y3234" s="4">
        <v>384</v>
      </c>
      <c r="Z3234" s="4">
        <v>33</v>
      </c>
      <c r="AA3234" s="4">
        <v>109</v>
      </c>
      <c r="AB3234" s="4">
        <v>2</v>
      </c>
      <c r="AC3234" s="4">
        <v>19</v>
      </c>
      <c r="AD3234" s="4">
        <v>97</v>
      </c>
      <c r="AE3234" s="4">
        <v>151</v>
      </c>
      <c r="AF3234" s="4">
        <v>0</v>
      </c>
      <c r="AG3234" s="4">
        <v>8</v>
      </c>
      <c r="AH3234" s="4">
        <v>85</v>
      </c>
      <c r="AI3234" s="4">
        <v>112</v>
      </c>
      <c r="AJ3234" s="4">
        <v>20</v>
      </c>
      <c r="AK3234" s="4">
        <v>27</v>
      </c>
      <c r="AL3234" s="4">
        <v>46</v>
      </c>
      <c r="AM3234" s="4">
        <v>58</v>
      </c>
      <c r="AN3234" s="4">
        <v>0</v>
      </c>
      <c r="AO3234" s="4">
        <v>0</v>
      </c>
      <c r="AP3234" s="4">
        <v>22</v>
      </c>
      <c r="AQ3234" s="4">
        <v>49</v>
      </c>
      <c r="AR3234" s="3" t="s">
        <v>62</v>
      </c>
      <c r="AS3234" s="3" t="s">
        <v>62</v>
      </c>
      <c r="AT3234" s="3" t="s">
        <v>62</v>
      </c>
      <c r="AV3234" s="6" t="str">
        <f>HYPERLINK("http://mcgill.on.worldcat.org/oclc/407007568","Catalog Record")</f>
        <v>Catalog Record</v>
      </c>
      <c r="AW3234" s="6" t="str">
        <f>HYPERLINK("http://www.worldcat.org/oclc/407007568","WorldCat Record")</f>
        <v>WorldCat Record</v>
      </c>
      <c r="AX3234" s="3" t="s">
        <v>31420</v>
      </c>
      <c r="AY3234" s="3" t="s">
        <v>31421</v>
      </c>
      <c r="AZ3234" s="3" t="s">
        <v>31422</v>
      </c>
      <c r="BA3234" s="3" t="s">
        <v>31422</v>
      </c>
      <c r="BB3234" s="3" t="s">
        <v>31423</v>
      </c>
      <c r="BC3234" s="3" t="s">
        <v>102</v>
      </c>
      <c r="BD3234" s="3" t="s">
        <v>68</v>
      </c>
      <c r="BE3234" s="3" t="s">
        <v>31424</v>
      </c>
      <c r="BF3234" s="3" t="s">
        <v>31423</v>
      </c>
      <c r="BG3234" s="3" t="s">
        <v>31425</v>
      </c>
    </row>
    <row r="3235" spans="1:59" ht="58" x14ac:dyDescent="0.35">
      <c r="A3235" s="2" t="s">
        <v>89</v>
      </c>
      <c r="B3235" s="2" t="s">
        <v>90</v>
      </c>
      <c r="C3235" s="2" t="s">
        <v>31426</v>
      </c>
      <c r="D3235" s="2" t="s">
        <v>31427</v>
      </c>
      <c r="E3235" s="2" t="s">
        <v>31428</v>
      </c>
      <c r="G3235" s="3" t="s">
        <v>62</v>
      </c>
      <c r="I3235" s="3" t="s">
        <v>61</v>
      </c>
      <c r="J3235" s="3" t="s">
        <v>62</v>
      </c>
      <c r="K3235" s="3" t="s">
        <v>63</v>
      </c>
      <c r="M3235" s="2" t="s">
        <v>31429</v>
      </c>
      <c r="N3235" s="3" t="s">
        <v>655</v>
      </c>
      <c r="P3235" s="3" t="s">
        <v>64</v>
      </c>
      <c r="R3235" s="3" t="s">
        <v>27443</v>
      </c>
      <c r="S3235" s="4">
        <v>20</v>
      </c>
      <c r="T3235" s="4">
        <v>29</v>
      </c>
      <c r="U3235" s="5" t="s">
        <v>7837</v>
      </c>
      <c r="V3235" s="5" t="s">
        <v>7837</v>
      </c>
      <c r="W3235" s="5" t="s">
        <v>67</v>
      </c>
      <c r="X3235" s="5" t="s">
        <v>67</v>
      </c>
      <c r="Y3235" s="4">
        <v>77</v>
      </c>
      <c r="Z3235" s="4">
        <v>53</v>
      </c>
      <c r="AA3235" s="4">
        <v>67</v>
      </c>
      <c r="AB3235" s="4">
        <v>3</v>
      </c>
      <c r="AC3235" s="4">
        <v>8</v>
      </c>
      <c r="AD3235" s="4">
        <v>35</v>
      </c>
      <c r="AE3235" s="4">
        <v>43</v>
      </c>
      <c r="AF3235" s="4">
        <v>0</v>
      </c>
      <c r="AG3235" s="4">
        <v>3</v>
      </c>
      <c r="AH3235" s="4">
        <v>17</v>
      </c>
      <c r="AI3235" s="4">
        <v>19</v>
      </c>
      <c r="AJ3235" s="4">
        <v>17</v>
      </c>
      <c r="AK3235" s="4">
        <v>20</v>
      </c>
      <c r="AL3235" s="4">
        <v>8</v>
      </c>
      <c r="AM3235" s="4">
        <v>8</v>
      </c>
      <c r="AN3235" s="4">
        <v>0</v>
      </c>
      <c r="AO3235" s="4">
        <v>0</v>
      </c>
      <c r="AP3235" s="4">
        <v>23</v>
      </c>
      <c r="AQ3235" s="4">
        <v>31</v>
      </c>
      <c r="AR3235" s="3" t="s">
        <v>61</v>
      </c>
      <c r="AS3235" s="3" t="s">
        <v>62</v>
      </c>
      <c r="AT3235" s="3" t="s">
        <v>61</v>
      </c>
      <c r="AU3235" s="6" t="str">
        <f>HYPERLINK("http://catalog.hathitrust.org/Record/007991449","HathiTrust Record")</f>
        <v>HathiTrust Record</v>
      </c>
      <c r="AV3235" s="6" t="str">
        <f>HYPERLINK("http://mcgill.on.worldcat.org/oclc/1127728216","Catalog Record")</f>
        <v>Catalog Record</v>
      </c>
      <c r="AW3235" s="6" t="str">
        <f>HYPERLINK("http://www.worldcat.org/oclc/1127728216","WorldCat Record")</f>
        <v>WorldCat Record</v>
      </c>
      <c r="AX3235" s="3" t="s">
        <v>31430</v>
      </c>
      <c r="AY3235" s="3" t="s">
        <v>31431</v>
      </c>
      <c r="AZ3235" s="3" t="s">
        <v>31432</v>
      </c>
      <c r="BA3235" s="3" t="s">
        <v>31432</v>
      </c>
      <c r="BB3235" s="3" t="s">
        <v>31433</v>
      </c>
      <c r="BC3235" s="3" t="s">
        <v>102</v>
      </c>
      <c r="BD3235" s="3" t="s">
        <v>231</v>
      </c>
      <c r="BE3235" s="3" t="s">
        <v>31434</v>
      </c>
      <c r="BF3235" s="3" t="s">
        <v>31433</v>
      </c>
      <c r="BG3235" s="3" t="s">
        <v>31435</v>
      </c>
    </row>
    <row r="3236" spans="1:59" ht="58" x14ac:dyDescent="0.35">
      <c r="A3236" s="2" t="s">
        <v>89</v>
      </c>
      <c r="B3236" s="2" t="s">
        <v>90</v>
      </c>
      <c r="C3236" s="2" t="s">
        <v>31426</v>
      </c>
      <c r="D3236" s="2" t="s">
        <v>31427</v>
      </c>
      <c r="E3236" s="2" t="s">
        <v>31428</v>
      </c>
      <c r="G3236" s="3" t="s">
        <v>62</v>
      </c>
      <c r="I3236" s="3" t="s">
        <v>61</v>
      </c>
      <c r="J3236" s="3" t="s">
        <v>62</v>
      </c>
      <c r="K3236" s="3" t="s">
        <v>63</v>
      </c>
      <c r="M3236" s="2" t="s">
        <v>31429</v>
      </c>
      <c r="N3236" s="3" t="s">
        <v>655</v>
      </c>
      <c r="P3236" s="3" t="s">
        <v>64</v>
      </c>
      <c r="R3236" s="3" t="s">
        <v>27443</v>
      </c>
      <c r="S3236" s="4">
        <v>9</v>
      </c>
      <c r="T3236" s="4">
        <v>29</v>
      </c>
      <c r="U3236" s="5" t="s">
        <v>24600</v>
      </c>
      <c r="V3236" s="5" t="s">
        <v>7837</v>
      </c>
      <c r="W3236" s="5" t="s">
        <v>67</v>
      </c>
      <c r="X3236" s="5" t="s">
        <v>67</v>
      </c>
      <c r="Y3236" s="4">
        <v>77</v>
      </c>
      <c r="Z3236" s="4">
        <v>53</v>
      </c>
      <c r="AA3236" s="4">
        <v>67</v>
      </c>
      <c r="AB3236" s="4">
        <v>3</v>
      </c>
      <c r="AC3236" s="4">
        <v>8</v>
      </c>
      <c r="AD3236" s="4">
        <v>35</v>
      </c>
      <c r="AE3236" s="4">
        <v>43</v>
      </c>
      <c r="AF3236" s="4">
        <v>0</v>
      </c>
      <c r="AG3236" s="4">
        <v>3</v>
      </c>
      <c r="AH3236" s="4">
        <v>17</v>
      </c>
      <c r="AI3236" s="4">
        <v>19</v>
      </c>
      <c r="AJ3236" s="4">
        <v>17</v>
      </c>
      <c r="AK3236" s="4">
        <v>20</v>
      </c>
      <c r="AL3236" s="4">
        <v>8</v>
      </c>
      <c r="AM3236" s="4">
        <v>8</v>
      </c>
      <c r="AN3236" s="4">
        <v>0</v>
      </c>
      <c r="AO3236" s="4">
        <v>0</v>
      </c>
      <c r="AP3236" s="4">
        <v>23</v>
      </c>
      <c r="AQ3236" s="4">
        <v>31</v>
      </c>
      <c r="AR3236" s="3" t="s">
        <v>61</v>
      </c>
      <c r="AS3236" s="3" t="s">
        <v>62</v>
      </c>
      <c r="AT3236" s="3" t="s">
        <v>61</v>
      </c>
      <c r="AU3236" s="6" t="str">
        <f>HYPERLINK("http://catalog.hathitrust.org/Record/007991449","HathiTrust Record")</f>
        <v>HathiTrust Record</v>
      </c>
      <c r="AV3236" s="6" t="str">
        <f>HYPERLINK("http://mcgill.on.worldcat.org/oclc/1127728216","Catalog Record")</f>
        <v>Catalog Record</v>
      </c>
      <c r="AW3236" s="6" t="str">
        <f>HYPERLINK("http://www.worldcat.org/oclc/1127728216","WorldCat Record")</f>
        <v>WorldCat Record</v>
      </c>
      <c r="AX3236" s="3" t="s">
        <v>31430</v>
      </c>
      <c r="AY3236" s="3" t="s">
        <v>31431</v>
      </c>
      <c r="AZ3236" s="3" t="s">
        <v>31432</v>
      </c>
      <c r="BA3236" s="3" t="s">
        <v>31432</v>
      </c>
      <c r="BB3236" s="3" t="s">
        <v>31436</v>
      </c>
      <c r="BC3236" s="3" t="s">
        <v>102</v>
      </c>
      <c r="BD3236" s="3" t="s">
        <v>68</v>
      </c>
      <c r="BE3236" s="3" t="s">
        <v>31434</v>
      </c>
      <c r="BF3236" s="3" t="s">
        <v>31436</v>
      </c>
      <c r="BG3236" s="3" t="s">
        <v>31437</v>
      </c>
    </row>
    <row r="3237" spans="1:59" ht="58" x14ac:dyDescent="0.35">
      <c r="A3237" s="2" t="s">
        <v>89</v>
      </c>
      <c r="B3237" s="2" t="s">
        <v>6124</v>
      </c>
      <c r="C3237" s="2" t="s">
        <v>31438</v>
      </c>
      <c r="D3237" s="2" t="s">
        <v>31439</v>
      </c>
      <c r="E3237" s="2" t="s">
        <v>31440</v>
      </c>
      <c r="G3237" s="3" t="s">
        <v>62</v>
      </c>
      <c r="I3237" s="3" t="s">
        <v>61</v>
      </c>
      <c r="J3237" s="3" t="s">
        <v>62</v>
      </c>
      <c r="K3237" s="3" t="s">
        <v>63</v>
      </c>
      <c r="L3237" s="2" t="s">
        <v>31441</v>
      </c>
      <c r="M3237" s="2" t="s">
        <v>31442</v>
      </c>
      <c r="N3237" s="3" t="s">
        <v>1195</v>
      </c>
      <c r="P3237" s="3" t="s">
        <v>64</v>
      </c>
      <c r="Q3237" s="2" t="s">
        <v>31443</v>
      </c>
      <c r="R3237" s="3" t="s">
        <v>27443</v>
      </c>
      <c r="S3237" s="4">
        <v>47</v>
      </c>
      <c r="T3237" s="4">
        <v>60</v>
      </c>
      <c r="U3237" s="5" t="s">
        <v>13477</v>
      </c>
      <c r="V3237" s="5" t="s">
        <v>10081</v>
      </c>
      <c r="W3237" s="5" t="s">
        <v>67</v>
      </c>
      <c r="X3237" s="5" t="s">
        <v>67</v>
      </c>
      <c r="Y3237" s="4">
        <v>131</v>
      </c>
      <c r="Z3237" s="4">
        <v>5</v>
      </c>
      <c r="AA3237" s="4">
        <v>11</v>
      </c>
      <c r="AB3237" s="4">
        <v>1</v>
      </c>
      <c r="AC3237" s="4">
        <v>1</v>
      </c>
      <c r="AD3237" s="4">
        <v>8</v>
      </c>
      <c r="AE3237" s="4">
        <v>10</v>
      </c>
      <c r="AF3237" s="4">
        <v>0</v>
      </c>
      <c r="AG3237" s="4">
        <v>0</v>
      </c>
      <c r="AH3237" s="4">
        <v>6</v>
      </c>
      <c r="AI3237" s="4">
        <v>7</v>
      </c>
      <c r="AJ3237" s="4">
        <v>2</v>
      </c>
      <c r="AK3237" s="4">
        <v>2</v>
      </c>
      <c r="AL3237" s="4">
        <v>0</v>
      </c>
      <c r="AM3237" s="4">
        <v>1</v>
      </c>
      <c r="AN3237" s="4">
        <v>0</v>
      </c>
      <c r="AO3237" s="4">
        <v>0</v>
      </c>
      <c r="AP3237" s="4">
        <v>3</v>
      </c>
      <c r="AQ3237" s="4">
        <v>4</v>
      </c>
      <c r="AR3237" s="3" t="s">
        <v>62</v>
      </c>
      <c r="AS3237" s="3" t="s">
        <v>62</v>
      </c>
      <c r="AT3237" s="3" t="s">
        <v>61</v>
      </c>
      <c r="AU3237" s="6" t="str">
        <f>HYPERLINK("http://catalog.hathitrust.org/Record/101677606","HathiTrust Record")</f>
        <v>HathiTrust Record</v>
      </c>
      <c r="AV3237" s="6" t="str">
        <f>HYPERLINK("http://mcgill.on.worldcat.org/oclc/62475593","Catalog Record")</f>
        <v>Catalog Record</v>
      </c>
      <c r="AW3237" s="6" t="str">
        <f>HYPERLINK("http://www.worldcat.org/oclc/62475593","WorldCat Record")</f>
        <v>WorldCat Record</v>
      </c>
      <c r="AX3237" s="3" t="s">
        <v>31444</v>
      </c>
      <c r="AY3237" s="3" t="s">
        <v>31445</v>
      </c>
      <c r="AZ3237" s="3" t="s">
        <v>31446</v>
      </c>
      <c r="BA3237" s="3" t="s">
        <v>31446</v>
      </c>
      <c r="BB3237" s="3" t="s">
        <v>31447</v>
      </c>
      <c r="BC3237" s="3" t="s">
        <v>102</v>
      </c>
      <c r="BD3237" s="3" t="s">
        <v>68</v>
      </c>
      <c r="BE3237" s="3" t="s">
        <v>31448</v>
      </c>
      <c r="BF3237" s="3" t="s">
        <v>31447</v>
      </c>
      <c r="BG3237" s="3" t="s">
        <v>31449</v>
      </c>
    </row>
    <row r="3238" spans="1:59" ht="58" x14ac:dyDescent="0.35">
      <c r="A3238" s="2" t="s">
        <v>89</v>
      </c>
      <c r="B3238" s="2" t="s">
        <v>90</v>
      </c>
      <c r="C3238" s="2" t="s">
        <v>31450</v>
      </c>
      <c r="D3238" s="2" t="s">
        <v>31451</v>
      </c>
      <c r="E3238" s="2" t="s">
        <v>31452</v>
      </c>
      <c r="G3238" s="3" t="s">
        <v>62</v>
      </c>
      <c r="I3238" s="3" t="s">
        <v>62</v>
      </c>
      <c r="J3238" s="3" t="s">
        <v>62</v>
      </c>
      <c r="K3238" s="3" t="s">
        <v>63</v>
      </c>
      <c r="M3238" s="2" t="s">
        <v>31453</v>
      </c>
      <c r="N3238" s="3" t="s">
        <v>596</v>
      </c>
      <c r="P3238" s="3" t="s">
        <v>64</v>
      </c>
      <c r="Q3238" s="2" t="s">
        <v>31454</v>
      </c>
      <c r="R3238" s="3" t="s">
        <v>27443</v>
      </c>
      <c r="S3238" s="4">
        <v>18</v>
      </c>
      <c r="T3238" s="4">
        <v>18</v>
      </c>
      <c r="U3238" s="5" t="s">
        <v>31455</v>
      </c>
      <c r="V3238" s="5" t="s">
        <v>31455</v>
      </c>
      <c r="W3238" s="5" t="s">
        <v>67</v>
      </c>
      <c r="X3238" s="5" t="s">
        <v>67</v>
      </c>
      <c r="Y3238" s="4">
        <v>158</v>
      </c>
      <c r="Z3238" s="4">
        <v>24</v>
      </c>
      <c r="AA3238" s="4">
        <v>25</v>
      </c>
      <c r="AB3238" s="4">
        <v>2</v>
      </c>
      <c r="AC3238" s="4">
        <v>3</v>
      </c>
      <c r="AD3238" s="4">
        <v>63</v>
      </c>
      <c r="AE3238" s="4">
        <v>64</v>
      </c>
      <c r="AF3238" s="4">
        <v>1</v>
      </c>
      <c r="AG3238" s="4">
        <v>2</v>
      </c>
      <c r="AH3238" s="4">
        <v>47</v>
      </c>
      <c r="AI3238" s="4">
        <v>47</v>
      </c>
      <c r="AJ3238" s="4">
        <v>17</v>
      </c>
      <c r="AK3238" s="4">
        <v>18</v>
      </c>
      <c r="AL3238" s="4">
        <v>30</v>
      </c>
      <c r="AM3238" s="4">
        <v>30</v>
      </c>
      <c r="AN3238" s="4">
        <v>0</v>
      </c>
      <c r="AO3238" s="4">
        <v>0</v>
      </c>
      <c r="AP3238" s="4">
        <v>23</v>
      </c>
      <c r="AQ3238" s="4">
        <v>23</v>
      </c>
      <c r="AR3238" s="3" t="s">
        <v>62</v>
      </c>
      <c r="AS3238" s="3" t="s">
        <v>62</v>
      </c>
      <c r="AT3238" s="3" t="s">
        <v>62</v>
      </c>
      <c r="AV3238" s="6" t="str">
        <f>HYPERLINK("http://mcgill.on.worldcat.org/oclc/50707672","Catalog Record")</f>
        <v>Catalog Record</v>
      </c>
      <c r="AW3238" s="6" t="str">
        <f>HYPERLINK("http://www.worldcat.org/oclc/50707672","WorldCat Record")</f>
        <v>WorldCat Record</v>
      </c>
      <c r="AX3238" s="3" t="s">
        <v>31456</v>
      </c>
      <c r="AY3238" s="3" t="s">
        <v>31457</v>
      </c>
      <c r="AZ3238" s="3" t="s">
        <v>31458</v>
      </c>
      <c r="BA3238" s="3" t="s">
        <v>31458</v>
      </c>
      <c r="BB3238" s="3" t="s">
        <v>31459</v>
      </c>
      <c r="BC3238" s="3" t="s">
        <v>102</v>
      </c>
      <c r="BD3238" s="3" t="s">
        <v>68</v>
      </c>
      <c r="BE3238" s="3" t="s">
        <v>31460</v>
      </c>
      <c r="BF3238" s="3" t="s">
        <v>31459</v>
      </c>
      <c r="BG3238" s="3" t="s">
        <v>31461</v>
      </c>
    </row>
    <row r="3239" spans="1:59" ht="101.5" x14ac:dyDescent="0.35">
      <c r="A3239" s="2" t="s">
        <v>89</v>
      </c>
      <c r="B3239" s="2" t="s">
        <v>90</v>
      </c>
      <c r="C3239" s="2" t="s">
        <v>31462</v>
      </c>
      <c r="D3239" s="2" t="s">
        <v>31463</v>
      </c>
      <c r="E3239" s="2" t="s">
        <v>31464</v>
      </c>
      <c r="G3239" s="3" t="s">
        <v>62</v>
      </c>
      <c r="I3239" s="3" t="s">
        <v>62</v>
      </c>
      <c r="J3239" s="3" t="s">
        <v>62</v>
      </c>
      <c r="K3239" s="3" t="s">
        <v>63</v>
      </c>
      <c r="M3239" s="2" t="s">
        <v>31465</v>
      </c>
      <c r="N3239" s="3" t="s">
        <v>1722</v>
      </c>
      <c r="P3239" s="3" t="s">
        <v>64</v>
      </c>
      <c r="R3239" s="3" t="s">
        <v>27443</v>
      </c>
      <c r="S3239" s="4">
        <v>3</v>
      </c>
      <c r="T3239" s="4">
        <v>3</v>
      </c>
      <c r="U3239" s="5" t="s">
        <v>30470</v>
      </c>
      <c r="V3239" s="5" t="s">
        <v>30470</v>
      </c>
      <c r="W3239" s="5" t="s">
        <v>67</v>
      </c>
      <c r="X3239" s="5" t="s">
        <v>67</v>
      </c>
      <c r="Y3239" s="4">
        <v>120</v>
      </c>
      <c r="Z3239" s="4">
        <v>12</v>
      </c>
      <c r="AA3239" s="4">
        <v>85</v>
      </c>
      <c r="AB3239" s="4">
        <v>1</v>
      </c>
      <c r="AC3239" s="4">
        <v>14</v>
      </c>
      <c r="AD3239" s="4">
        <v>55</v>
      </c>
      <c r="AE3239" s="4">
        <v>118</v>
      </c>
      <c r="AF3239" s="4">
        <v>0</v>
      </c>
      <c r="AG3239" s="4">
        <v>8</v>
      </c>
      <c r="AH3239" s="4">
        <v>53</v>
      </c>
      <c r="AI3239" s="4">
        <v>84</v>
      </c>
      <c r="AJ3239" s="4">
        <v>6</v>
      </c>
      <c r="AK3239" s="4">
        <v>20</v>
      </c>
      <c r="AL3239" s="4">
        <v>29</v>
      </c>
      <c r="AM3239" s="4">
        <v>45</v>
      </c>
      <c r="AN3239" s="4">
        <v>0</v>
      </c>
      <c r="AO3239" s="4">
        <v>0</v>
      </c>
      <c r="AP3239" s="4">
        <v>7</v>
      </c>
      <c r="AQ3239" s="4">
        <v>41</v>
      </c>
      <c r="AR3239" s="3" t="s">
        <v>62</v>
      </c>
      <c r="AS3239" s="3" t="s">
        <v>62</v>
      </c>
      <c r="AT3239" s="3" t="s">
        <v>62</v>
      </c>
      <c r="AV3239" s="6" t="str">
        <f>HYPERLINK("http://mcgill.on.worldcat.org/oclc/262478964","Catalog Record")</f>
        <v>Catalog Record</v>
      </c>
      <c r="AW3239" s="6" t="str">
        <f>HYPERLINK("http://www.worldcat.org/oclc/262478964","WorldCat Record")</f>
        <v>WorldCat Record</v>
      </c>
      <c r="AX3239" s="3" t="s">
        <v>31466</v>
      </c>
      <c r="AY3239" s="3" t="s">
        <v>31467</v>
      </c>
      <c r="AZ3239" s="3" t="s">
        <v>31468</v>
      </c>
      <c r="BA3239" s="3" t="s">
        <v>31468</v>
      </c>
      <c r="BB3239" s="3" t="s">
        <v>31469</v>
      </c>
      <c r="BC3239" s="3" t="s">
        <v>102</v>
      </c>
      <c r="BD3239" s="3" t="s">
        <v>68</v>
      </c>
      <c r="BE3239" s="3" t="s">
        <v>31470</v>
      </c>
      <c r="BF3239" s="3" t="s">
        <v>31469</v>
      </c>
      <c r="BG3239" s="3" t="s">
        <v>31471</v>
      </c>
    </row>
    <row r="3240" spans="1:59" ht="58" x14ac:dyDescent="0.35">
      <c r="A3240" s="2" t="s">
        <v>89</v>
      </c>
      <c r="B3240" s="2" t="s">
        <v>90</v>
      </c>
      <c r="C3240" s="2" t="s">
        <v>31472</v>
      </c>
      <c r="D3240" s="2" t="s">
        <v>31473</v>
      </c>
      <c r="E3240" s="2" t="s">
        <v>31474</v>
      </c>
      <c r="G3240" s="3" t="s">
        <v>62</v>
      </c>
      <c r="I3240" s="3" t="s">
        <v>62</v>
      </c>
      <c r="J3240" s="3" t="s">
        <v>61</v>
      </c>
      <c r="K3240" s="3" t="s">
        <v>63</v>
      </c>
      <c r="L3240" s="2" t="s">
        <v>31475</v>
      </c>
      <c r="M3240" s="2" t="s">
        <v>31476</v>
      </c>
      <c r="N3240" s="3" t="s">
        <v>2975</v>
      </c>
      <c r="P3240" s="3" t="s">
        <v>64</v>
      </c>
      <c r="Q3240" s="2" t="s">
        <v>31477</v>
      </c>
      <c r="R3240" s="3" t="s">
        <v>27443</v>
      </c>
      <c r="S3240" s="4">
        <v>19</v>
      </c>
      <c r="T3240" s="4">
        <v>19</v>
      </c>
      <c r="U3240" s="5" t="s">
        <v>30470</v>
      </c>
      <c r="V3240" s="5" t="s">
        <v>30470</v>
      </c>
      <c r="W3240" s="5" t="s">
        <v>67</v>
      </c>
      <c r="X3240" s="5" t="s">
        <v>67</v>
      </c>
      <c r="Y3240" s="4">
        <v>45</v>
      </c>
      <c r="Z3240" s="4">
        <v>33</v>
      </c>
      <c r="AA3240" s="4">
        <v>79</v>
      </c>
      <c r="AB3240" s="4">
        <v>3</v>
      </c>
      <c r="AC3240" s="4">
        <v>6</v>
      </c>
      <c r="AD3240" s="4">
        <v>17</v>
      </c>
      <c r="AE3240" s="4">
        <v>89</v>
      </c>
      <c r="AF3240" s="4">
        <v>1</v>
      </c>
      <c r="AG3240" s="4">
        <v>3</v>
      </c>
      <c r="AH3240" s="4">
        <v>9</v>
      </c>
      <c r="AI3240" s="4">
        <v>65</v>
      </c>
      <c r="AJ3240" s="4">
        <v>8</v>
      </c>
      <c r="AK3240" s="4">
        <v>20</v>
      </c>
      <c r="AL3240" s="4">
        <v>4</v>
      </c>
      <c r="AM3240" s="4">
        <v>33</v>
      </c>
      <c r="AN3240" s="4">
        <v>0</v>
      </c>
      <c r="AO3240" s="4">
        <v>0</v>
      </c>
      <c r="AP3240" s="4">
        <v>13</v>
      </c>
      <c r="AQ3240" s="4">
        <v>34</v>
      </c>
      <c r="AR3240" s="3" t="s">
        <v>61</v>
      </c>
      <c r="AS3240" s="3" t="s">
        <v>62</v>
      </c>
      <c r="AT3240" s="3" t="s">
        <v>62</v>
      </c>
      <c r="AV3240" s="6" t="str">
        <f>HYPERLINK("http://mcgill.on.worldcat.org/oclc/123141169","Catalog Record")</f>
        <v>Catalog Record</v>
      </c>
      <c r="AW3240" s="6" t="str">
        <f>HYPERLINK("http://www.worldcat.org/oclc/123141169","WorldCat Record")</f>
        <v>WorldCat Record</v>
      </c>
      <c r="AX3240" s="3" t="s">
        <v>31478</v>
      </c>
      <c r="AY3240" s="3" t="s">
        <v>31479</v>
      </c>
      <c r="AZ3240" s="3" t="s">
        <v>31480</v>
      </c>
      <c r="BA3240" s="3" t="s">
        <v>31480</v>
      </c>
      <c r="BB3240" s="3" t="s">
        <v>31481</v>
      </c>
      <c r="BC3240" s="3" t="s">
        <v>102</v>
      </c>
      <c r="BD3240" s="3" t="s">
        <v>68</v>
      </c>
      <c r="BE3240" s="3" t="s">
        <v>31482</v>
      </c>
      <c r="BF3240" s="3" t="s">
        <v>31481</v>
      </c>
      <c r="BG3240" s="3" t="s">
        <v>31483</v>
      </c>
    </row>
    <row r="3241" spans="1:59" ht="58" x14ac:dyDescent="0.35">
      <c r="A3241" s="2" t="s">
        <v>89</v>
      </c>
      <c r="B3241" s="2" t="s">
        <v>90</v>
      </c>
      <c r="C3241" s="2" t="s">
        <v>31484</v>
      </c>
      <c r="D3241" s="2" t="s">
        <v>31485</v>
      </c>
      <c r="E3241" s="2" t="s">
        <v>31486</v>
      </c>
      <c r="G3241" s="3" t="s">
        <v>62</v>
      </c>
      <c r="I3241" s="3" t="s">
        <v>62</v>
      </c>
      <c r="J3241" s="3" t="s">
        <v>62</v>
      </c>
      <c r="K3241" s="3" t="s">
        <v>63</v>
      </c>
      <c r="L3241" s="2" t="s">
        <v>31487</v>
      </c>
      <c r="M3241" s="2" t="s">
        <v>31488</v>
      </c>
      <c r="N3241" s="3" t="s">
        <v>1195</v>
      </c>
      <c r="P3241" s="3" t="s">
        <v>64</v>
      </c>
      <c r="Q3241" s="2" t="s">
        <v>31489</v>
      </c>
      <c r="R3241" s="3" t="s">
        <v>27443</v>
      </c>
      <c r="S3241" s="4">
        <v>16</v>
      </c>
      <c r="T3241" s="4">
        <v>16</v>
      </c>
      <c r="U3241" s="5" t="s">
        <v>31490</v>
      </c>
      <c r="V3241" s="5" t="s">
        <v>31490</v>
      </c>
      <c r="W3241" s="5" t="s">
        <v>67</v>
      </c>
      <c r="X3241" s="5" t="s">
        <v>67</v>
      </c>
      <c r="Y3241" s="4">
        <v>147</v>
      </c>
      <c r="Z3241" s="4">
        <v>15</v>
      </c>
      <c r="AA3241" s="4">
        <v>17</v>
      </c>
      <c r="AB3241" s="4">
        <v>1</v>
      </c>
      <c r="AC3241" s="4">
        <v>3</v>
      </c>
      <c r="AD3241" s="4">
        <v>59</v>
      </c>
      <c r="AE3241" s="4">
        <v>62</v>
      </c>
      <c r="AF3241" s="4">
        <v>0</v>
      </c>
      <c r="AG3241" s="4">
        <v>0</v>
      </c>
      <c r="AH3241" s="4">
        <v>51</v>
      </c>
      <c r="AI3241" s="4">
        <v>54</v>
      </c>
      <c r="AJ3241" s="4">
        <v>8</v>
      </c>
      <c r="AK3241" s="4">
        <v>8</v>
      </c>
      <c r="AL3241" s="4">
        <v>34</v>
      </c>
      <c r="AM3241" s="4">
        <v>35</v>
      </c>
      <c r="AN3241" s="4">
        <v>0</v>
      </c>
      <c r="AO3241" s="4">
        <v>0</v>
      </c>
      <c r="AP3241" s="4">
        <v>10</v>
      </c>
      <c r="AQ3241" s="4">
        <v>10</v>
      </c>
      <c r="AR3241" s="3" t="s">
        <v>62</v>
      </c>
      <c r="AS3241" s="3" t="s">
        <v>62</v>
      </c>
      <c r="AT3241" s="3" t="s">
        <v>62</v>
      </c>
      <c r="AV3241" s="6" t="str">
        <f>HYPERLINK("http://mcgill.on.worldcat.org/oclc/63178954","Catalog Record")</f>
        <v>Catalog Record</v>
      </c>
      <c r="AW3241" s="6" t="str">
        <f>HYPERLINK("http://www.worldcat.org/oclc/63178954","WorldCat Record")</f>
        <v>WorldCat Record</v>
      </c>
      <c r="AX3241" s="3" t="s">
        <v>31491</v>
      </c>
      <c r="AY3241" s="3" t="s">
        <v>31492</v>
      </c>
      <c r="AZ3241" s="3" t="s">
        <v>31493</v>
      </c>
      <c r="BA3241" s="3" t="s">
        <v>31493</v>
      </c>
      <c r="BB3241" s="3" t="s">
        <v>31494</v>
      </c>
      <c r="BC3241" s="3" t="s">
        <v>102</v>
      </c>
      <c r="BD3241" s="3" t="s">
        <v>68</v>
      </c>
      <c r="BE3241" s="3" t="s">
        <v>31495</v>
      </c>
      <c r="BF3241" s="3" t="s">
        <v>31494</v>
      </c>
      <c r="BG3241" s="3" t="s">
        <v>31496</v>
      </c>
    </row>
    <row r="3242" spans="1:59" ht="58" x14ac:dyDescent="0.35">
      <c r="A3242" s="2" t="s">
        <v>89</v>
      </c>
      <c r="B3242" s="2" t="s">
        <v>90</v>
      </c>
      <c r="C3242" s="2" t="s">
        <v>31497</v>
      </c>
      <c r="D3242" s="2" t="s">
        <v>31498</v>
      </c>
      <c r="E3242" s="2" t="s">
        <v>31499</v>
      </c>
      <c r="G3242" s="3" t="s">
        <v>62</v>
      </c>
      <c r="I3242" s="3" t="s">
        <v>61</v>
      </c>
      <c r="J3242" s="3" t="s">
        <v>62</v>
      </c>
      <c r="K3242" s="3" t="s">
        <v>63</v>
      </c>
      <c r="M3242" s="2" t="s">
        <v>31500</v>
      </c>
      <c r="N3242" s="3" t="s">
        <v>640</v>
      </c>
      <c r="P3242" s="3" t="s">
        <v>64</v>
      </c>
      <c r="R3242" s="3" t="s">
        <v>27443</v>
      </c>
      <c r="S3242" s="4">
        <v>21</v>
      </c>
      <c r="T3242" s="4">
        <v>29</v>
      </c>
      <c r="U3242" s="5" t="s">
        <v>31501</v>
      </c>
      <c r="V3242" s="5" t="s">
        <v>6726</v>
      </c>
      <c r="W3242" s="5" t="s">
        <v>67</v>
      </c>
      <c r="X3242" s="5" t="s">
        <v>67</v>
      </c>
      <c r="Y3242" s="4">
        <v>246</v>
      </c>
      <c r="Z3242" s="4">
        <v>94</v>
      </c>
      <c r="AA3242" s="4">
        <v>137</v>
      </c>
      <c r="AB3242" s="4">
        <v>4</v>
      </c>
      <c r="AC3242" s="4">
        <v>20</v>
      </c>
      <c r="AD3242" s="4">
        <v>110</v>
      </c>
      <c r="AE3242" s="4">
        <v>144</v>
      </c>
      <c r="AF3242" s="4">
        <v>2</v>
      </c>
      <c r="AG3242" s="4">
        <v>9</v>
      </c>
      <c r="AH3242" s="4">
        <v>71</v>
      </c>
      <c r="AI3242" s="4">
        <v>91</v>
      </c>
      <c r="AJ3242" s="4">
        <v>25</v>
      </c>
      <c r="AK3242" s="4">
        <v>30</v>
      </c>
      <c r="AL3242" s="4">
        <v>33</v>
      </c>
      <c r="AM3242" s="4">
        <v>42</v>
      </c>
      <c r="AN3242" s="4">
        <v>0</v>
      </c>
      <c r="AO3242" s="4">
        <v>0</v>
      </c>
      <c r="AP3242" s="4">
        <v>50</v>
      </c>
      <c r="AQ3242" s="4">
        <v>61</v>
      </c>
      <c r="AR3242" s="3" t="s">
        <v>61</v>
      </c>
      <c r="AS3242" s="3" t="s">
        <v>62</v>
      </c>
      <c r="AT3242" s="3" t="s">
        <v>62</v>
      </c>
      <c r="AV3242" s="6" t="str">
        <f>HYPERLINK("http://mcgill.on.worldcat.org/oclc/54692827","Catalog Record")</f>
        <v>Catalog Record</v>
      </c>
      <c r="AW3242" s="6" t="str">
        <f>HYPERLINK("http://www.worldcat.org/oclc/54692827","WorldCat Record")</f>
        <v>WorldCat Record</v>
      </c>
      <c r="AX3242" s="3" t="s">
        <v>31502</v>
      </c>
      <c r="AY3242" s="3" t="s">
        <v>31503</v>
      </c>
      <c r="AZ3242" s="3" t="s">
        <v>31504</v>
      </c>
      <c r="BA3242" s="3" t="s">
        <v>31504</v>
      </c>
      <c r="BB3242" s="3" t="s">
        <v>31505</v>
      </c>
      <c r="BC3242" s="3" t="s">
        <v>102</v>
      </c>
      <c r="BD3242" s="3" t="s">
        <v>68</v>
      </c>
      <c r="BE3242" s="3" t="s">
        <v>31506</v>
      </c>
      <c r="BF3242" s="3" t="s">
        <v>31505</v>
      </c>
      <c r="BG3242" s="3" t="s">
        <v>31507</v>
      </c>
    </row>
    <row r="3243" spans="1:59" ht="58" x14ac:dyDescent="0.35">
      <c r="A3243" s="2" t="s">
        <v>89</v>
      </c>
      <c r="B3243" s="2" t="s">
        <v>90</v>
      </c>
      <c r="C3243" s="2" t="s">
        <v>31508</v>
      </c>
      <c r="D3243" s="2" t="s">
        <v>31509</v>
      </c>
      <c r="E3243" s="2" t="s">
        <v>31510</v>
      </c>
      <c r="G3243" s="3" t="s">
        <v>62</v>
      </c>
      <c r="I3243" s="3" t="s">
        <v>62</v>
      </c>
      <c r="J3243" s="3" t="s">
        <v>62</v>
      </c>
      <c r="K3243" s="3" t="s">
        <v>63</v>
      </c>
      <c r="M3243" s="2" t="s">
        <v>31511</v>
      </c>
      <c r="N3243" s="3" t="s">
        <v>524</v>
      </c>
      <c r="P3243" s="3" t="s">
        <v>64</v>
      </c>
      <c r="R3243" s="3" t="s">
        <v>27443</v>
      </c>
      <c r="S3243" s="4">
        <v>61</v>
      </c>
      <c r="T3243" s="4">
        <v>61</v>
      </c>
      <c r="U3243" s="5" t="s">
        <v>2667</v>
      </c>
      <c r="V3243" s="5" t="s">
        <v>2667</v>
      </c>
      <c r="W3243" s="5" t="s">
        <v>67</v>
      </c>
      <c r="X3243" s="5" t="s">
        <v>67</v>
      </c>
      <c r="Y3243" s="4">
        <v>258</v>
      </c>
      <c r="Z3243" s="4">
        <v>28</v>
      </c>
      <c r="AA3243" s="4">
        <v>31</v>
      </c>
      <c r="AB3243" s="4">
        <v>1</v>
      </c>
      <c r="AC3243" s="4">
        <v>4</v>
      </c>
      <c r="AD3243" s="4">
        <v>98</v>
      </c>
      <c r="AE3243" s="4">
        <v>99</v>
      </c>
      <c r="AF3243" s="4">
        <v>0</v>
      </c>
      <c r="AG3243" s="4">
        <v>1</v>
      </c>
      <c r="AH3243" s="4">
        <v>85</v>
      </c>
      <c r="AI3243" s="4">
        <v>86</v>
      </c>
      <c r="AJ3243" s="4">
        <v>14</v>
      </c>
      <c r="AK3243" s="4">
        <v>15</v>
      </c>
      <c r="AL3243" s="4">
        <v>44</v>
      </c>
      <c r="AM3243" s="4">
        <v>44</v>
      </c>
      <c r="AN3243" s="4">
        <v>0</v>
      </c>
      <c r="AO3243" s="4">
        <v>0</v>
      </c>
      <c r="AP3243" s="4">
        <v>21</v>
      </c>
      <c r="AQ3243" s="4">
        <v>22</v>
      </c>
      <c r="AR3243" s="3" t="s">
        <v>62</v>
      </c>
      <c r="AS3243" s="3" t="s">
        <v>62</v>
      </c>
      <c r="AT3243" s="3" t="s">
        <v>62</v>
      </c>
      <c r="AV3243" s="6" t="str">
        <f>HYPERLINK("http://mcgill.on.worldcat.org/oclc/32590100","Catalog Record")</f>
        <v>Catalog Record</v>
      </c>
      <c r="AW3243" s="6" t="str">
        <f>HYPERLINK("http://www.worldcat.org/oclc/32590100","WorldCat Record")</f>
        <v>WorldCat Record</v>
      </c>
      <c r="AX3243" s="3" t="s">
        <v>31512</v>
      </c>
      <c r="AY3243" s="3" t="s">
        <v>31513</v>
      </c>
      <c r="AZ3243" s="3" t="s">
        <v>31514</v>
      </c>
      <c r="BA3243" s="3" t="s">
        <v>31514</v>
      </c>
      <c r="BB3243" s="3" t="s">
        <v>31515</v>
      </c>
      <c r="BC3243" s="3" t="s">
        <v>102</v>
      </c>
      <c r="BD3243" s="3" t="s">
        <v>68</v>
      </c>
      <c r="BE3243" s="3" t="s">
        <v>31516</v>
      </c>
      <c r="BF3243" s="3" t="s">
        <v>31515</v>
      </c>
      <c r="BG3243" s="3" t="s">
        <v>31517</v>
      </c>
    </row>
    <row r="3244" spans="1:59" ht="58" x14ac:dyDescent="0.35">
      <c r="A3244" s="2" t="s">
        <v>89</v>
      </c>
      <c r="B3244" s="2" t="s">
        <v>90</v>
      </c>
      <c r="C3244" s="2" t="s">
        <v>31518</v>
      </c>
      <c r="D3244" s="2" t="s">
        <v>31519</v>
      </c>
      <c r="E3244" s="2" t="s">
        <v>31520</v>
      </c>
      <c r="G3244" s="3" t="s">
        <v>62</v>
      </c>
      <c r="I3244" s="3" t="s">
        <v>62</v>
      </c>
      <c r="J3244" s="3" t="s">
        <v>62</v>
      </c>
      <c r="K3244" s="3" t="s">
        <v>63</v>
      </c>
      <c r="M3244" s="2" t="s">
        <v>5144</v>
      </c>
      <c r="N3244" s="3" t="s">
        <v>2975</v>
      </c>
      <c r="P3244" s="3" t="s">
        <v>64</v>
      </c>
      <c r="Q3244" s="2" t="s">
        <v>31521</v>
      </c>
      <c r="R3244" s="3" t="s">
        <v>27443</v>
      </c>
      <c r="S3244" s="4">
        <v>28</v>
      </c>
      <c r="T3244" s="4">
        <v>28</v>
      </c>
      <c r="U3244" s="5" t="s">
        <v>4805</v>
      </c>
      <c r="V3244" s="5" t="s">
        <v>4805</v>
      </c>
      <c r="W3244" s="5" t="s">
        <v>67</v>
      </c>
      <c r="X3244" s="5" t="s">
        <v>67</v>
      </c>
      <c r="Y3244" s="4">
        <v>426</v>
      </c>
      <c r="Z3244" s="4">
        <v>26</v>
      </c>
      <c r="AA3244" s="4">
        <v>29</v>
      </c>
      <c r="AB3244" s="4">
        <v>3</v>
      </c>
      <c r="AC3244" s="4">
        <v>6</v>
      </c>
      <c r="AD3244" s="4">
        <v>112</v>
      </c>
      <c r="AE3244" s="4">
        <v>114</v>
      </c>
      <c r="AF3244" s="4">
        <v>1</v>
      </c>
      <c r="AG3244" s="4">
        <v>3</v>
      </c>
      <c r="AH3244" s="4">
        <v>100</v>
      </c>
      <c r="AI3244" s="4">
        <v>101</v>
      </c>
      <c r="AJ3244" s="4">
        <v>15</v>
      </c>
      <c r="AK3244" s="4">
        <v>17</v>
      </c>
      <c r="AL3244" s="4">
        <v>55</v>
      </c>
      <c r="AM3244" s="4">
        <v>55</v>
      </c>
      <c r="AN3244" s="4">
        <v>0</v>
      </c>
      <c r="AO3244" s="4">
        <v>0</v>
      </c>
      <c r="AP3244" s="4">
        <v>19</v>
      </c>
      <c r="AQ3244" s="4">
        <v>20</v>
      </c>
      <c r="AR3244" s="3" t="s">
        <v>62</v>
      </c>
      <c r="AS3244" s="3" t="s">
        <v>62</v>
      </c>
      <c r="AT3244" s="3" t="s">
        <v>62</v>
      </c>
      <c r="AV3244" s="6" t="str">
        <f>HYPERLINK("http://mcgill.on.worldcat.org/oclc/46456414","Catalog Record")</f>
        <v>Catalog Record</v>
      </c>
      <c r="AW3244" s="6" t="str">
        <f>HYPERLINK("http://www.worldcat.org/oclc/46456414","WorldCat Record")</f>
        <v>WorldCat Record</v>
      </c>
      <c r="AX3244" s="3" t="s">
        <v>31522</v>
      </c>
      <c r="AY3244" s="3" t="s">
        <v>31523</v>
      </c>
      <c r="AZ3244" s="3" t="s">
        <v>31524</v>
      </c>
      <c r="BA3244" s="3" t="s">
        <v>31524</v>
      </c>
      <c r="BB3244" s="3" t="s">
        <v>31525</v>
      </c>
      <c r="BC3244" s="3" t="s">
        <v>102</v>
      </c>
      <c r="BD3244" s="3" t="s">
        <v>68</v>
      </c>
      <c r="BE3244" s="3" t="s">
        <v>31526</v>
      </c>
      <c r="BF3244" s="3" t="s">
        <v>31525</v>
      </c>
      <c r="BG3244" s="3" t="s">
        <v>31527</v>
      </c>
    </row>
    <row r="3245" spans="1:59" ht="72.5" x14ac:dyDescent="0.35">
      <c r="A3245" s="2" t="s">
        <v>89</v>
      </c>
      <c r="B3245" s="2" t="s">
        <v>90</v>
      </c>
      <c r="C3245" s="2" t="s">
        <v>31528</v>
      </c>
      <c r="D3245" s="2" t="s">
        <v>31529</v>
      </c>
      <c r="E3245" s="2" t="s">
        <v>31530</v>
      </c>
      <c r="G3245" s="3" t="s">
        <v>62</v>
      </c>
      <c r="I3245" s="3" t="s">
        <v>62</v>
      </c>
      <c r="J3245" s="3" t="s">
        <v>62</v>
      </c>
      <c r="K3245" s="3" t="s">
        <v>63</v>
      </c>
      <c r="L3245" s="2" t="s">
        <v>31531</v>
      </c>
      <c r="M3245" s="2" t="s">
        <v>31532</v>
      </c>
      <c r="N3245" s="3" t="s">
        <v>655</v>
      </c>
      <c r="P3245" s="3" t="s">
        <v>64</v>
      </c>
      <c r="Q3245" s="2" t="s">
        <v>31533</v>
      </c>
      <c r="R3245" s="3" t="s">
        <v>27443</v>
      </c>
      <c r="S3245" s="4">
        <v>11</v>
      </c>
      <c r="T3245" s="4">
        <v>11</v>
      </c>
      <c r="U3245" s="5" t="s">
        <v>20377</v>
      </c>
      <c r="V3245" s="5" t="s">
        <v>20377</v>
      </c>
      <c r="W3245" s="5" t="s">
        <v>67</v>
      </c>
      <c r="X3245" s="5" t="s">
        <v>67</v>
      </c>
      <c r="Y3245" s="4">
        <v>331</v>
      </c>
      <c r="Z3245" s="4">
        <v>42</v>
      </c>
      <c r="AA3245" s="4">
        <v>49</v>
      </c>
      <c r="AB3245" s="4">
        <v>2</v>
      </c>
      <c r="AC3245" s="4">
        <v>4</v>
      </c>
      <c r="AD3245" s="4">
        <v>77</v>
      </c>
      <c r="AE3245" s="4">
        <v>80</v>
      </c>
      <c r="AF3245" s="4">
        <v>0</v>
      </c>
      <c r="AG3245" s="4">
        <v>1</v>
      </c>
      <c r="AH3245" s="4">
        <v>56</v>
      </c>
      <c r="AI3245" s="4">
        <v>58</v>
      </c>
      <c r="AJ3245" s="4">
        <v>19</v>
      </c>
      <c r="AK3245" s="4">
        <v>20</v>
      </c>
      <c r="AL3245" s="4">
        <v>31</v>
      </c>
      <c r="AM3245" s="4">
        <v>32</v>
      </c>
      <c r="AN3245" s="4">
        <v>1</v>
      </c>
      <c r="AO3245" s="4">
        <v>1</v>
      </c>
      <c r="AP3245" s="4">
        <v>26</v>
      </c>
      <c r="AQ3245" s="4">
        <v>28</v>
      </c>
      <c r="AR3245" s="3" t="s">
        <v>61</v>
      </c>
      <c r="AS3245" s="3" t="s">
        <v>62</v>
      </c>
      <c r="AT3245" s="3" t="s">
        <v>61</v>
      </c>
      <c r="AU3245" s="6" t="str">
        <f>HYPERLINK("http://catalog.hathitrust.org/Record/005639608","HathiTrust Record")</f>
        <v>HathiTrust Record</v>
      </c>
      <c r="AV3245" s="6" t="str">
        <f>HYPERLINK("http://mcgill.on.worldcat.org/oclc/154769387","Catalog Record")</f>
        <v>Catalog Record</v>
      </c>
      <c r="AW3245" s="6" t="str">
        <f>HYPERLINK("http://www.worldcat.org/oclc/154769387","WorldCat Record")</f>
        <v>WorldCat Record</v>
      </c>
      <c r="AX3245" s="3" t="s">
        <v>31534</v>
      </c>
      <c r="AY3245" s="3" t="s">
        <v>31535</v>
      </c>
      <c r="AZ3245" s="3" t="s">
        <v>31536</v>
      </c>
      <c r="BA3245" s="3" t="s">
        <v>31536</v>
      </c>
      <c r="BB3245" s="3" t="s">
        <v>31537</v>
      </c>
      <c r="BC3245" s="3" t="s">
        <v>102</v>
      </c>
      <c r="BD3245" s="3" t="s">
        <v>68</v>
      </c>
      <c r="BE3245" s="3" t="s">
        <v>31538</v>
      </c>
      <c r="BF3245" s="3" t="s">
        <v>31537</v>
      </c>
      <c r="BG3245" s="3" t="s">
        <v>31539</v>
      </c>
    </row>
    <row r="3246" spans="1:59" ht="58" x14ac:dyDescent="0.35">
      <c r="A3246" s="2" t="s">
        <v>89</v>
      </c>
      <c r="B3246" s="2" t="s">
        <v>90</v>
      </c>
      <c r="C3246" s="2" t="s">
        <v>31540</v>
      </c>
      <c r="D3246" s="2" t="s">
        <v>31541</v>
      </c>
      <c r="E3246" s="2" t="s">
        <v>31542</v>
      </c>
      <c r="G3246" s="3" t="s">
        <v>62</v>
      </c>
      <c r="I3246" s="3" t="s">
        <v>62</v>
      </c>
      <c r="J3246" s="3" t="s">
        <v>62</v>
      </c>
      <c r="K3246" s="3" t="s">
        <v>63</v>
      </c>
      <c r="L3246" s="2" t="s">
        <v>31543</v>
      </c>
      <c r="M3246" s="2" t="s">
        <v>31544</v>
      </c>
      <c r="N3246" s="3" t="s">
        <v>2136</v>
      </c>
      <c r="P3246" s="3" t="s">
        <v>64</v>
      </c>
      <c r="Q3246" s="2" t="s">
        <v>31545</v>
      </c>
      <c r="R3246" s="3" t="s">
        <v>27443</v>
      </c>
      <c r="S3246" s="4">
        <v>21</v>
      </c>
      <c r="T3246" s="4">
        <v>21</v>
      </c>
      <c r="U3246" s="5" t="s">
        <v>31546</v>
      </c>
      <c r="V3246" s="5" t="s">
        <v>31546</v>
      </c>
      <c r="W3246" s="5" t="s">
        <v>67</v>
      </c>
      <c r="X3246" s="5" t="s">
        <v>67</v>
      </c>
      <c r="Y3246" s="4">
        <v>158</v>
      </c>
      <c r="Z3246" s="4">
        <v>14</v>
      </c>
      <c r="AA3246" s="4">
        <v>78</v>
      </c>
      <c r="AB3246" s="4">
        <v>1</v>
      </c>
      <c r="AC3246" s="4">
        <v>15</v>
      </c>
      <c r="AD3246" s="4">
        <v>62</v>
      </c>
      <c r="AE3246" s="4">
        <v>112</v>
      </c>
      <c r="AF3246" s="4">
        <v>0</v>
      </c>
      <c r="AG3246" s="4">
        <v>8</v>
      </c>
      <c r="AH3246" s="4">
        <v>56</v>
      </c>
      <c r="AI3246" s="4">
        <v>81</v>
      </c>
      <c r="AJ3246" s="4">
        <v>7</v>
      </c>
      <c r="AK3246" s="4">
        <v>22</v>
      </c>
      <c r="AL3246" s="4">
        <v>33</v>
      </c>
      <c r="AM3246" s="4">
        <v>39</v>
      </c>
      <c r="AN3246" s="4">
        <v>0</v>
      </c>
      <c r="AO3246" s="4">
        <v>0</v>
      </c>
      <c r="AP3246" s="4">
        <v>8</v>
      </c>
      <c r="AQ3246" s="4">
        <v>38</v>
      </c>
      <c r="AR3246" s="3" t="s">
        <v>62</v>
      </c>
      <c r="AS3246" s="3" t="s">
        <v>62</v>
      </c>
      <c r="AT3246" s="3" t="s">
        <v>62</v>
      </c>
      <c r="AV3246" s="6" t="str">
        <f>HYPERLINK("http://mcgill.on.worldcat.org/oclc/56656168","Catalog Record")</f>
        <v>Catalog Record</v>
      </c>
      <c r="AW3246" s="6" t="str">
        <f>HYPERLINK("http://www.worldcat.org/oclc/56656168","WorldCat Record")</f>
        <v>WorldCat Record</v>
      </c>
      <c r="AX3246" s="3" t="s">
        <v>31547</v>
      </c>
      <c r="AY3246" s="3" t="s">
        <v>31548</v>
      </c>
      <c r="AZ3246" s="3" t="s">
        <v>31549</v>
      </c>
      <c r="BA3246" s="3" t="s">
        <v>31549</v>
      </c>
      <c r="BB3246" s="3" t="s">
        <v>31550</v>
      </c>
      <c r="BC3246" s="3" t="s">
        <v>102</v>
      </c>
      <c r="BD3246" s="3" t="s">
        <v>68</v>
      </c>
      <c r="BE3246" s="3" t="s">
        <v>31551</v>
      </c>
      <c r="BF3246" s="3" t="s">
        <v>31550</v>
      </c>
      <c r="BG3246" s="3" t="s">
        <v>31552</v>
      </c>
    </row>
    <row r="3247" spans="1:59" ht="58" x14ac:dyDescent="0.35">
      <c r="A3247" s="2" t="s">
        <v>89</v>
      </c>
      <c r="B3247" s="2" t="s">
        <v>90</v>
      </c>
      <c r="C3247" s="2" t="s">
        <v>31553</v>
      </c>
      <c r="D3247" s="2" t="s">
        <v>31554</v>
      </c>
      <c r="E3247" s="2" t="s">
        <v>31555</v>
      </c>
      <c r="G3247" s="3" t="s">
        <v>62</v>
      </c>
      <c r="I3247" s="3" t="s">
        <v>62</v>
      </c>
      <c r="J3247" s="3" t="s">
        <v>62</v>
      </c>
      <c r="K3247" s="3" t="s">
        <v>63</v>
      </c>
      <c r="L3247" s="2" t="s">
        <v>31556</v>
      </c>
      <c r="M3247" s="2" t="s">
        <v>9573</v>
      </c>
      <c r="N3247" s="3" t="s">
        <v>2975</v>
      </c>
      <c r="O3247" s="2" t="s">
        <v>31557</v>
      </c>
      <c r="P3247" s="3" t="s">
        <v>64</v>
      </c>
      <c r="R3247" s="3" t="s">
        <v>27443</v>
      </c>
      <c r="S3247" s="4">
        <v>8</v>
      </c>
      <c r="T3247" s="4">
        <v>8</v>
      </c>
      <c r="U3247" s="5" t="s">
        <v>30470</v>
      </c>
      <c r="V3247" s="5" t="s">
        <v>30470</v>
      </c>
      <c r="W3247" s="5" t="s">
        <v>67</v>
      </c>
      <c r="X3247" s="5" t="s">
        <v>67</v>
      </c>
      <c r="Y3247" s="4">
        <v>581</v>
      </c>
      <c r="Z3247" s="4">
        <v>30</v>
      </c>
      <c r="AA3247" s="4">
        <v>33</v>
      </c>
      <c r="AB3247" s="4">
        <v>2</v>
      </c>
      <c r="AC3247" s="4">
        <v>3</v>
      </c>
      <c r="AD3247" s="4">
        <v>96</v>
      </c>
      <c r="AE3247" s="4">
        <v>100</v>
      </c>
      <c r="AF3247" s="4">
        <v>0</v>
      </c>
      <c r="AG3247" s="4">
        <v>1</v>
      </c>
      <c r="AH3247" s="4">
        <v>77</v>
      </c>
      <c r="AI3247" s="4">
        <v>80</v>
      </c>
      <c r="AJ3247" s="4">
        <v>13</v>
      </c>
      <c r="AK3247" s="4">
        <v>15</v>
      </c>
      <c r="AL3247" s="4">
        <v>37</v>
      </c>
      <c r="AM3247" s="4">
        <v>38</v>
      </c>
      <c r="AN3247" s="4">
        <v>0</v>
      </c>
      <c r="AO3247" s="4">
        <v>0</v>
      </c>
      <c r="AP3247" s="4">
        <v>25</v>
      </c>
      <c r="AQ3247" s="4">
        <v>27</v>
      </c>
      <c r="AR3247" s="3" t="s">
        <v>62</v>
      </c>
      <c r="AS3247" s="3" t="s">
        <v>62</v>
      </c>
      <c r="AT3247" s="3" t="s">
        <v>62</v>
      </c>
      <c r="AV3247" s="6" t="str">
        <f>HYPERLINK("http://mcgill.on.worldcat.org/oclc/45806411","Catalog Record")</f>
        <v>Catalog Record</v>
      </c>
      <c r="AW3247" s="6" t="str">
        <f>HYPERLINK("http://www.worldcat.org/oclc/45806411","WorldCat Record")</f>
        <v>WorldCat Record</v>
      </c>
      <c r="AX3247" s="3" t="s">
        <v>31558</v>
      </c>
      <c r="AY3247" s="3" t="s">
        <v>31559</v>
      </c>
      <c r="AZ3247" s="3" t="s">
        <v>31560</v>
      </c>
      <c r="BA3247" s="3" t="s">
        <v>31560</v>
      </c>
      <c r="BB3247" s="3" t="s">
        <v>31561</v>
      </c>
      <c r="BC3247" s="3" t="s">
        <v>102</v>
      </c>
      <c r="BD3247" s="3" t="s">
        <v>68</v>
      </c>
      <c r="BE3247" s="3" t="s">
        <v>31562</v>
      </c>
      <c r="BF3247" s="3" t="s">
        <v>31561</v>
      </c>
      <c r="BG3247" s="3" t="s">
        <v>31563</v>
      </c>
    </row>
    <row r="3248" spans="1:59" ht="58" x14ac:dyDescent="0.35">
      <c r="A3248" s="2" t="s">
        <v>89</v>
      </c>
      <c r="B3248" s="2" t="s">
        <v>90</v>
      </c>
      <c r="C3248" s="2" t="s">
        <v>31564</v>
      </c>
      <c r="D3248" s="2" t="s">
        <v>31565</v>
      </c>
      <c r="E3248" s="2" t="s">
        <v>31566</v>
      </c>
      <c r="G3248" s="3" t="s">
        <v>62</v>
      </c>
      <c r="I3248" s="3" t="s">
        <v>62</v>
      </c>
      <c r="J3248" s="3" t="s">
        <v>62</v>
      </c>
      <c r="K3248" s="3" t="s">
        <v>63</v>
      </c>
      <c r="L3248" s="2" t="s">
        <v>31567</v>
      </c>
      <c r="M3248" s="2" t="s">
        <v>31568</v>
      </c>
      <c r="N3248" s="3" t="s">
        <v>880</v>
      </c>
      <c r="O3248" s="2" t="s">
        <v>2163</v>
      </c>
      <c r="P3248" s="3" t="s">
        <v>64</v>
      </c>
      <c r="R3248" s="3" t="s">
        <v>27443</v>
      </c>
      <c r="S3248" s="4">
        <v>29</v>
      </c>
      <c r="T3248" s="4">
        <v>29</v>
      </c>
      <c r="U3248" s="5" t="s">
        <v>31569</v>
      </c>
      <c r="V3248" s="5" t="s">
        <v>31569</v>
      </c>
      <c r="W3248" s="5" t="s">
        <v>67</v>
      </c>
      <c r="X3248" s="5" t="s">
        <v>67</v>
      </c>
      <c r="Y3248" s="4">
        <v>1752</v>
      </c>
      <c r="Z3248" s="4">
        <v>33</v>
      </c>
      <c r="AA3248" s="4">
        <v>92</v>
      </c>
      <c r="AB3248" s="4">
        <v>1</v>
      </c>
      <c r="AC3248" s="4">
        <v>8</v>
      </c>
      <c r="AD3248" s="4">
        <v>109</v>
      </c>
      <c r="AE3248" s="4">
        <v>129</v>
      </c>
      <c r="AF3248" s="4">
        <v>0</v>
      </c>
      <c r="AG3248" s="4">
        <v>2</v>
      </c>
      <c r="AH3248" s="4">
        <v>95</v>
      </c>
      <c r="AI3248" s="4">
        <v>103</v>
      </c>
      <c r="AJ3248" s="4">
        <v>9</v>
      </c>
      <c r="AK3248" s="4">
        <v>21</v>
      </c>
      <c r="AL3248" s="4">
        <v>52</v>
      </c>
      <c r="AM3248" s="4">
        <v>54</v>
      </c>
      <c r="AN3248" s="4">
        <v>0</v>
      </c>
      <c r="AO3248" s="4">
        <v>0</v>
      </c>
      <c r="AP3248" s="4">
        <v>18</v>
      </c>
      <c r="AQ3248" s="4">
        <v>32</v>
      </c>
      <c r="AR3248" s="3" t="s">
        <v>62</v>
      </c>
      <c r="AS3248" s="3" t="s">
        <v>62</v>
      </c>
      <c r="AT3248" s="3" t="s">
        <v>62</v>
      </c>
      <c r="AV3248" s="6" t="str">
        <f>HYPERLINK("http://mcgill.on.worldcat.org/oclc/428926444","Catalog Record")</f>
        <v>Catalog Record</v>
      </c>
      <c r="AW3248" s="6" t="str">
        <f>HYPERLINK("http://www.worldcat.org/oclc/428926444","WorldCat Record")</f>
        <v>WorldCat Record</v>
      </c>
      <c r="AX3248" s="3" t="s">
        <v>31570</v>
      </c>
      <c r="AY3248" s="3" t="s">
        <v>31571</v>
      </c>
      <c r="AZ3248" s="3" t="s">
        <v>31572</v>
      </c>
      <c r="BA3248" s="3" t="s">
        <v>31572</v>
      </c>
      <c r="BB3248" s="3" t="s">
        <v>31573</v>
      </c>
      <c r="BC3248" s="3" t="s">
        <v>102</v>
      </c>
      <c r="BD3248" s="3" t="s">
        <v>68</v>
      </c>
      <c r="BE3248" s="3" t="s">
        <v>31574</v>
      </c>
      <c r="BF3248" s="3" t="s">
        <v>31573</v>
      </c>
      <c r="BG3248" s="3" t="s">
        <v>31575</v>
      </c>
    </row>
    <row r="3249" spans="1:59" ht="58" x14ac:dyDescent="0.35">
      <c r="A3249" s="2" t="s">
        <v>89</v>
      </c>
      <c r="B3249" s="2" t="s">
        <v>90</v>
      </c>
      <c r="C3249" s="2" t="s">
        <v>31576</v>
      </c>
      <c r="D3249" s="2" t="s">
        <v>31577</v>
      </c>
      <c r="E3249" s="2" t="s">
        <v>31578</v>
      </c>
      <c r="G3249" s="3" t="s">
        <v>62</v>
      </c>
      <c r="I3249" s="3" t="s">
        <v>62</v>
      </c>
      <c r="J3249" s="3" t="s">
        <v>62</v>
      </c>
      <c r="K3249" s="3" t="s">
        <v>63</v>
      </c>
      <c r="L3249" s="2" t="s">
        <v>31579</v>
      </c>
      <c r="M3249" s="2" t="s">
        <v>31580</v>
      </c>
      <c r="N3249" s="3" t="s">
        <v>655</v>
      </c>
      <c r="O3249" s="2" t="s">
        <v>2163</v>
      </c>
      <c r="P3249" s="3" t="s">
        <v>64</v>
      </c>
      <c r="Q3249" s="2" t="s">
        <v>31581</v>
      </c>
      <c r="R3249" s="3" t="s">
        <v>27443</v>
      </c>
      <c r="S3249" s="4">
        <v>2</v>
      </c>
      <c r="T3249" s="4">
        <v>2</v>
      </c>
      <c r="U3249" s="5" t="s">
        <v>31582</v>
      </c>
      <c r="V3249" s="5" t="s">
        <v>31582</v>
      </c>
      <c r="W3249" s="5" t="s">
        <v>67</v>
      </c>
      <c r="X3249" s="5" t="s">
        <v>67</v>
      </c>
      <c r="Y3249" s="4">
        <v>198</v>
      </c>
      <c r="Z3249" s="4">
        <v>13</v>
      </c>
      <c r="AA3249" s="4">
        <v>25</v>
      </c>
      <c r="AB3249" s="4">
        <v>2</v>
      </c>
      <c r="AC3249" s="4">
        <v>7</v>
      </c>
      <c r="AD3249" s="4">
        <v>66</v>
      </c>
      <c r="AE3249" s="4">
        <v>78</v>
      </c>
      <c r="AF3249" s="4">
        <v>0</v>
      </c>
      <c r="AG3249" s="4">
        <v>2</v>
      </c>
      <c r="AH3249" s="4">
        <v>60</v>
      </c>
      <c r="AI3249" s="4">
        <v>69</v>
      </c>
      <c r="AJ3249" s="4">
        <v>7</v>
      </c>
      <c r="AK3249" s="4">
        <v>13</v>
      </c>
      <c r="AL3249" s="4">
        <v>38</v>
      </c>
      <c r="AM3249" s="4">
        <v>43</v>
      </c>
      <c r="AN3249" s="4">
        <v>0</v>
      </c>
      <c r="AO3249" s="4">
        <v>0</v>
      </c>
      <c r="AP3249" s="4">
        <v>8</v>
      </c>
      <c r="AQ3249" s="4">
        <v>14</v>
      </c>
      <c r="AR3249" s="3" t="s">
        <v>62</v>
      </c>
      <c r="AS3249" s="3" t="s">
        <v>62</v>
      </c>
      <c r="AT3249" s="3" t="s">
        <v>62</v>
      </c>
      <c r="AV3249" s="6" t="str">
        <f>HYPERLINK("http://mcgill.on.worldcat.org/oclc/156890946","Catalog Record")</f>
        <v>Catalog Record</v>
      </c>
      <c r="AW3249" s="6" t="str">
        <f>HYPERLINK("http://www.worldcat.org/oclc/156890946","WorldCat Record")</f>
        <v>WorldCat Record</v>
      </c>
      <c r="AX3249" s="3" t="s">
        <v>31583</v>
      </c>
      <c r="AY3249" s="3" t="s">
        <v>31584</v>
      </c>
      <c r="AZ3249" s="3" t="s">
        <v>31585</v>
      </c>
      <c r="BA3249" s="3" t="s">
        <v>31585</v>
      </c>
      <c r="BB3249" s="3" t="s">
        <v>31586</v>
      </c>
      <c r="BC3249" s="3" t="s">
        <v>102</v>
      </c>
      <c r="BD3249" s="3" t="s">
        <v>68</v>
      </c>
      <c r="BE3249" s="3" t="s">
        <v>31587</v>
      </c>
      <c r="BF3249" s="3" t="s">
        <v>31586</v>
      </c>
      <c r="BG3249" s="3" t="s">
        <v>31588</v>
      </c>
    </row>
    <row r="3250" spans="1:59" ht="58" x14ac:dyDescent="0.35">
      <c r="A3250" s="2" t="s">
        <v>89</v>
      </c>
      <c r="B3250" s="2" t="s">
        <v>6124</v>
      </c>
      <c r="C3250" s="2" t="s">
        <v>31589</v>
      </c>
      <c r="D3250" s="2" t="s">
        <v>31590</v>
      </c>
      <c r="E3250" s="2" t="s">
        <v>31591</v>
      </c>
      <c r="G3250" s="3" t="s">
        <v>62</v>
      </c>
      <c r="I3250" s="3" t="s">
        <v>62</v>
      </c>
      <c r="J3250" s="3" t="s">
        <v>62</v>
      </c>
      <c r="K3250" s="3" t="s">
        <v>63</v>
      </c>
      <c r="L3250" s="2" t="s">
        <v>31592</v>
      </c>
      <c r="M3250" s="2" t="s">
        <v>31593</v>
      </c>
      <c r="N3250" s="3" t="s">
        <v>1722</v>
      </c>
      <c r="P3250" s="3" t="s">
        <v>64</v>
      </c>
      <c r="R3250" s="3" t="s">
        <v>27443</v>
      </c>
      <c r="S3250" s="4">
        <v>21</v>
      </c>
      <c r="T3250" s="4">
        <v>21</v>
      </c>
      <c r="U3250" s="5" t="s">
        <v>8074</v>
      </c>
      <c r="V3250" s="5" t="s">
        <v>8074</v>
      </c>
      <c r="W3250" s="5" t="s">
        <v>67</v>
      </c>
      <c r="X3250" s="5" t="s">
        <v>67</v>
      </c>
      <c r="Y3250" s="4">
        <v>144</v>
      </c>
      <c r="Z3250" s="4">
        <v>71</v>
      </c>
      <c r="AA3250" s="4">
        <v>83</v>
      </c>
      <c r="AB3250" s="4">
        <v>4</v>
      </c>
      <c r="AC3250" s="4">
        <v>7</v>
      </c>
      <c r="AD3250" s="4">
        <v>67</v>
      </c>
      <c r="AE3250" s="4">
        <v>70</v>
      </c>
      <c r="AF3250" s="4">
        <v>2</v>
      </c>
      <c r="AG3250" s="4">
        <v>3</v>
      </c>
      <c r="AH3250" s="4">
        <v>40</v>
      </c>
      <c r="AI3250" s="4">
        <v>41</v>
      </c>
      <c r="AJ3250" s="4">
        <v>21</v>
      </c>
      <c r="AK3250" s="4">
        <v>22</v>
      </c>
      <c r="AL3250" s="4">
        <v>21</v>
      </c>
      <c r="AM3250" s="4">
        <v>21</v>
      </c>
      <c r="AN3250" s="4">
        <v>0</v>
      </c>
      <c r="AO3250" s="4">
        <v>0</v>
      </c>
      <c r="AP3250" s="4">
        <v>36</v>
      </c>
      <c r="AQ3250" s="4">
        <v>38</v>
      </c>
      <c r="AR3250" s="3" t="s">
        <v>61</v>
      </c>
      <c r="AS3250" s="3" t="s">
        <v>62</v>
      </c>
      <c r="AT3250" s="3" t="s">
        <v>62</v>
      </c>
      <c r="AV3250" s="6" t="str">
        <f>HYPERLINK("http://mcgill.on.worldcat.org/oclc/198535906","Catalog Record")</f>
        <v>Catalog Record</v>
      </c>
      <c r="AW3250" s="6" t="str">
        <f>HYPERLINK("http://www.worldcat.org/oclc/198535906","WorldCat Record")</f>
        <v>WorldCat Record</v>
      </c>
      <c r="AX3250" s="3" t="s">
        <v>31594</v>
      </c>
      <c r="AY3250" s="3" t="s">
        <v>31595</v>
      </c>
      <c r="AZ3250" s="3" t="s">
        <v>31596</v>
      </c>
      <c r="BA3250" s="3" t="s">
        <v>31596</v>
      </c>
      <c r="BB3250" s="3" t="s">
        <v>31597</v>
      </c>
      <c r="BC3250" s="3" t="s">
        <v>102</v>
      </c>
      <c r="BD3250" s="3" t="s">
        <v>68</v>
      </c>
      <c r="BE3250" s="3" t="s">
        <v>31598</v>
      </c>
      <c r="BF3250" s="3" t="s">
        <v>31597</v>
      </c>
      <c r="BG3250" s="3" t="s">
        <v>31599</v>
      </c>
    </row>
    <row r="3251" spans="1:59" ht="58" x14ac:dyDescent="0.35">
      <c r="A3251" s="2" t="s">
        <v>89</v>
      </c>
      <c r="B3251" s="2" t="s">
        <v>90</v>
      </c>
      <c r="C3251" s="2" t="s">
        <v>31600</v>
      </c>
      <c r="D3251" s="2" t="s">
        <v>31601</v>
      </c>
      <c r="E3251" s="2" t="s">
        <v>31602</v>
      </c>
      <c r="G3251" s="3" t="s">
        <v>62</v>
      </c>
      <c r="I3251" s="3" t="s">
        <v>62</v>
      </c>
      <c r="J3251" s="3" t="s">
        <v>62</v>
      </c>
      <c r="K3251" s="3" t="s">
        <v>63</v>
      </c>
      <c r="L3251" s="2" t="s">
        <v>31603</v>
      </c>
      <c r="M3251" s="2" t="s">
        <v>31604</v>
      </c>
      <c r="N3251" s="3" t="s">
        <v>1077</v>
      </c>
      <c r="P3251" s="3" t="s">
        <v>64</v>
      </c>
      <c r="Q3251" s="2" t="s">
        <v>31605</v>
      </c>
      <c r="R3251" s="3" t="s">
        <v>27443</v>
      </c>
      <c r="S3251" s="4">
        <v>10</v>
      </c>
      <c r="T3251" s="4">
        <v>10</v>
      </c>
      <c r="U3251" s="5" t="s">
        <v>31501</v>
      </c>
      <c r="V3251" s="5" t="s">
        <v>31501</v>
      </c>
      <c r="W3251" s="5" t="s">
        <v>67</v>
      </c>
      <c r="X3251" s="5" t="s">
        <v>67</v>
      </c>
      <c r="Y3251" s="4">
        <v>45</v>
      </c>
      <c r="Z3251" s="4">
        <v>34</v>
      </c>
      <c r="AA3251" s="4">
        <v>36</v>
      </c>
      <c r="AB3251" s="4">
        <v>2</v>
      </c>
      <c r="AC3251" s="4">
        <v>4</v>
      </c>
      <c r="AD3251" s="4">
        <v>31</v>
      </c>
      <c r="AE3251" s="4">
        <v>33</v>
      </c>
      <c r="AF3251" s="4">
        <v>1</v>
      </c>
      <c r="AG3251" s="4">
        <v>3</v>
      </c>
      <c r="AH3251" s="4">
        <v>18</v>
      </c>
      <c r="AI3251" s="4">
        <v>18</v>
      </c>
      <c r="AJ3251" s="4">
        <v>19</v>
      </c>
      <c r="AK3251" s="4">
        <v>20</v>
      </c>
      <c r="AL3251" s="4">
        <v>4</v>
      </c>
      <c r="AM3251" s="4">
        <v>4</v>
      </c>
      <c r="AN3251" s="4">
        <v>0</v>
      </c>
      <c r="AO3251" s="4">
        <v>0</v>
      </c>
      <c r="AP3251" s="4">
        <v>25</v>
      </c>
      <c r="AQ3251" s="4">
        <v>27</v>
      </c>
      <c r="AR3251" s="3" t="s">
        <v>61</v>
      </c>
      <c r="AS3251" s="3" t="s">
        <v>62</v>
      </c>
      <c r="AT3251" s="3" t="s">
        <v>62</v>
      </c>
      <c r="AV3251" s="6" t="str">
        <f>HYPERLINK("http://mcgill.on.worldcat.org/oclc/30831072","Catalog Record")</f>
        <v>Catalog Record</v>
      </c>
      <c r="AW3251" s="6" t="str">
        <f>HYPERLINK("http://www.worldcat.org/oclc/30831072","WorldCat Record")</f>
        <v>WorldCat Record</v>
      </c>
      <c r="AX3251" s="3" t="s">
        <v>31606</v>
      </c>
      <c r="AY3251" s="3" t="s">
        <v>31607</v>
      </c>
      <c r="AZ3251" s="3" t="s">
        <v>31608</v>
      </c>
      <c r="BA3251" s="3" t="s">
        <v>31608</v>
      </c>
      <c r="BB3251" s="3" t="s">
        <v>31609</v>
      </c>
      <c r="BC3251" s="3" t="s">
        <v>102</v>
      </c>
      <c r="BD3251" s="3" t="s">
        <v>68</v>
      </c>
      <c r="BE3251" s="3" t="s">
        <v>31610</v>
      </c>
      <c r="BF3251" s="3" t="s">
        <v>31609</v>
      </c>
      <c r="BG3251" s="3" t="s">
        <v>31611</v>
      </c>
    </row>
    <row r="3252" spans="1:59" ht="58" x14ac:dyDescent="0.35">
      <c r="A3252" s="2" t="s">
        <v>89</v>
      </c>
      <c r="B3252" s="2" t="s">
        <v>90</v>
      </c>
      <c r="C3252" s="2" t="s">
        <v>31612</v>
      </c>
      <c r="D3252" s="2" t="s">
        <v>31613</v>
      </c>
      <c r="E3252" s="2" t="s">
        <v>31614</v>
      </c>
      <c r="G3252" s="3" t="s">
        <v>62</v>
      </c>
      <c r="I3252" s="3" t="s">
        <v>61</v>
      </c>
      <c r="J3252" s="3" t="s">
        <v>62</v>
      </c>
      <c r="K3252" s="3" t="s">
        <v>63</v>
      </c>
      <c r="L3252" s="2" t="s">
        <v>31615</v>
      </c>
      <c r="M3252" s="2" t="s">
        <v>31616</v>
      </c>
      <c r="N3252" s="3" t="s">
        <v>655</v>
      </c>
      <c r="P3252" s="3" t="s">
        <v>64</v>
      </c>
      <c r="Q3252" s="2" t="s">
        <v>31521</v>
      </c>
      <c r="R3252" s="3" t="s">
        <v>27443</v>
      </c>
      <c r="S3252" s="4">
        <v>9</v>
      </c>
      <c r="T3252" s="4">
        <v>21</v>
      </c>
      <c r="U3252" s="5" t="s">
        <v>4805</v>
      </c>
      <c r="V3252" s="5" t="s">
        <v>4805</v>
      </c>
      <c r="W3252" s="5" t="s">
        <v>67</v>
      </c>
      <c r="X3252" s="5" t="s">
        <v>67</v>
      </c>
      <c r="Y3252" s="4">
        <v>436</v>
      </c>
      <c r="Z3252" s="4">
        <v>39</v>
      </c>
      <c r="AA3252" s="4">
        <v>66</v>
      </c>
      <c r="AB3252" s="4">
        <v>1</v>
      </c>
      <c r="AC3252" s="4">
        <v>5</v>
      </c>
      <c r="AD3252" s="4">
        <v>109</v>
      </c>
      <c r="AE3252" s="4">
        <v>125</v>
      </c>
      <c r="AF3252" s="4">
        <v>0</v>
      </c>
      <c r="AG3252" s="4">
        <v>2</v>
      </c>
      <c r="AH3252" s="4">
        <v>91</v>
      </c>
      <c r="AI3252" s="4">
        <v>99</v>
      </c>
      <c r="AJ3252" s="4">
        <v>18</v>
      </c>
      <c r="AK3252" s="4">
        <v>21</v>
      </c>
      <c r="AL3252" s="4">
        <v>47</v>
      </c>
      <c r="AM3252" s="4">
        <v>52</v>
      </c>
      <c r="AN3252" s="4">
        <v>0</v>
      </c>
      <c r="AO3252" s="4">
        <v>0</v>
      </c>
      <c r="AP3252" s="4">
        <v>28</v>
      </c>
      <c r="AQ3252" s="4">
        <v>34</v>
      </c>
      <c r="AR3252" s="3" t="s">
        <v>62</v>
      </c>
      <c r="AS3252" s="3" t="s">
        <v>62</v>
      </c>
      <c r="AT3252" s="3" t="s">
        <v>61</v>
      </c>
      <c r="AU3252" s="6" t="str">
        <f>HYPERLINK("http://catalog.hathitrust.org/Record/005406826","HathiTrust Record")</f>
        <v>HathiTrust Record</v>
      </c>
      <c r="AV3252" s="6" t="str">
        <f>HYPERLINK("http://mcgill.on.worldcat.org/oclc/70267211","Catalog Record")</f>
        <v>Catalog Record</v>
      </c>
      <c r="AW3252" s="6" t="str">
        <f>HYPERLINK("http://www.worldcat.org/oclc/70267211","WorldCat Record")</f>
        <v>WorldCat Record</v>
      </c>
      <c r="AX3252" s="3" t="s">
        <v>31617</v>
      </c>
      <c r="AY3252" s="3" t="s">
        <v>31618</v>
      </c>
      <c r="AZ3252" s="3" t="s">
        <v>31619</v>
      </c>
      <c r="BA3252" s="3" t="s">
        <v>31619</v>
      </c>
      <c r="BB3252" s="3" t="s">
        <v>31620</v>
      </c>
      <c r="BC3252" s="3" t="s">
        <v>102</v>
      </c>
      <c r="BD3252" s="3" t="s">
        <v>68</v>
      </c>
      <c r="BE3252" s="3" t="s">
        <v>31621</v>
      </c>
      <c r="BF3252" s="3" t="s">
        <v>31620</v>
      </c>
      <c r="BG3252" s="3" t="s">
        <v>31622</v>
      </c>
    </row>
    <row r="3253" spans="1:59" ht="58" x14ac:dyDescent="0.35">
      <c r="A3253" s="2" t="s">
        <v>89</v>
      </c>
      <c r="B3253" s="2" t="s">
        <v>90</v>
      </c>
      <c r="C3253" s="2" t="s">
        <v>31623</v>
      </c>
      <c r="D3253" s="2" t="s">
        <v>31624</v>
      </c>
      <c r="E3253" s="2" t="s">
        <v>31625</v>
      </c>
      <c r="G3253" s="3" t="s">
        <v>62</v>
      </c>
      <c r="I3253" s="3" t="s">
        <v>62</v>
      </c>
      <c r="J3253" s="3" t="s">
        <v>62</v>
      </c>
      <c r="K3253" s="3" t="s">
        <v>63</v>
      </c>
      <c r="M3253" s="2" t="s">
        <v>31626</v>
      </c>
      <c r="N3253" s="3" t="s">
        <v>655</v>
      </c>
      <c r="P3253" s="3" t="s">
        <v>64</v>
      </c>
      <c r="R3253" s="3" t="s">
        <v>27443</v>
      </c>
      <c r="S3253" s="4">
        <v>40</v>
      </c>
      <c r="T3253" s="4">
        <v>40</v>
      </c>
      <c r="U3253" s="5" t="s">
        <v>840</v>
      </c>
      <c r="V3253" s="5" t="s">
        <v>840</v>
      </c>
      <c r="W3253" s="5" t="s">
        <v>5356</v>
      </c>
      <c r="X3253" s="5" t="s">
        <v>5356</v>
      </c>
      <c r="Y3253" s="4">
        <v>769</v>
      </c>
      <c r="Z3253" s="4">
        <v>46</v>
      </c>
      <c r="AA3253" s="4">
        <v>85</v>
      </c>
      <c r="AB3253" s="4">
        <v>3</v>
      </c>
      <c r="AC3253" s="4">
        <v>15</v>
      </c>
      <c r="AD3253" s="4">
        <v>124</v>
      </c>
      <c r="AE3253" s="4">
        <v>146</v>
      </c>
      <c r="AF3253" s="4">
        <v>1</v>
      </c>
      <c r="AG3253" s="4">
        <v>8</v>
      </c>
      <c r="AH3253" s="4">
        <v>101</v>
      </c>
      <c r="AI3253" s="4">
        <v>105</v>
      </c>
      <c r="AJ3253" s="4">
        <v>16</v>
      </c>
      <c r="AK3253" s="4">
        <v>25</v>
      </c>
      <c r="AL3253" s="4">
        <v>58</v>
      </c>
      <c r="AM3253" s="4">
        <v>58</v>
      </c>
      <c r="AN3253" s="4">
        <v>0</v>
      </c>
      <c r="AO3253" s="4">
        <v>1</v>
      </c>
      <c r="AP3253" s="4">
        <v>27</v>
      </c>
      <c r="AQ3253" s="4">
        <v>47</v>
      </c>
      <c r="AR3253" s="3" t="s">
        <v>62</v>
      </c>
      <c r="AS3253" s="3" t="s">
        <v>62</v>
      </c>
      <c r="AT3253" s="3" t="s">
        <v>61</v>
      </c>
      <c r="AU3253" s="6" t="str">
        <f>HYPERLINK("http://catalog.hathitrust.org/Record/007268715","HathiTrust Record")</f>
        <v>HathiTrust Record</v>
      </c>
      <c r="AV3253" s="6" t="str">
        <f>HYPERLINK("http://mcgill.on.worldcat.org/oclc/78555140","Catalog Record")</f>
        <v>Catalog Record</v>
      </c>
      <c r="AW3253" s="6" t="str">
        <f>HYPERLINK("http://www.worldcat.org/oclc/78555140","WorldCat Record")</f>
        <v>WorldCat Record</v>
      </c>
      <c r="AX3253" s="3" t="s">
        <v>31627</v>
      </c>
      <c r="AY3253" s="3" t="s">
        <v>31628</v>
      </c>
      <c r="AZ3253" s="3" t="s">
        <v>31629</v>
      </c>
      <c r="BA3253" s="3" t="s">
        <v>31629</v>
      </c>
      <c r="BB3253" s="3" t="s">
        <v>31630</v>
      </c>
      <c r="BC3253" s="3" t="s">
        <v>102</v>
      </c>
      <c r="BD3253" s="3" t="s">
        <v>231</v>
      </c>
      <c r="BE3253" s="3" t="s">
        <v>31631</v>
      </c>
      <c r="BF3253" s="3" t="s">
        <v>31630</v>
      </c>
      <c r="BG3253" s="3" t="s">
        <v>31632</v>
      </c>
    </row>
    <row r="3254" spans="1:59" ht="58" x14ac:dyDescent="0.35">
      <c r="A3254" s="2" t="s">
        <v>89</v>
      </c>
      <c r="B3254" s="2" t="s">
        <v>90</v>
      </c>
      <c r="C3254" s="2" t="s">
        <v>31633</v>
      </c>
      <c r="D3254" s="2" t="s">
        <v>31634</v>
      </c>
      <c r="E3254" s="2" t="s">
        <v>31635</v>
      </c>
      <c r="G3254" s="3" t="s">
        <v>62</v>
      </c>
      <c r="I3254" s="3" t="s">
        <v>62</v>
      </c>
      <c r="J3254" s="3" t="s">
        <v>62</v>
      </c>
      <c r="K3254" s="3" t="s">
        <v>63</v>
      </c>
      <c r="L3254" s="2" t="s">
        <v>31636</v>
      </c>
      <c r="M3254" s="2" t="s">
        <v>31637</v>
      </c>
      <c r="N3254" s="3" t="s">
        <v>1038</v>
      </c>
      <c r="P3254" s="3" t="s">
        <v>64</v>
      </c>
      <c r="Q3254" s="2" t="s">
        <v>31638</v>
      </c>
      <c r="R3254" s="3" t="s">
        <v>27443</v>
      </c>
      <c r="S3254" s="4">
        <v>1</v>
      </c>
      <c r="T3254" s="4">
        <v>1</v>
      </c>
      <c r="U3254" s="5" t="s">
        <v>16887</v>
      </c>
      <c r="V3254" s="5" t="s">
        <v>16887</v>
      </c>
      <c r="W3254" s="5" t="s">
        <v>67</v>
      </c>
      <c r="X3254" s="5" t="s">
        <v>67</v>
      </c>
      <c r="Y3254" s="4">
        <v>317</v>
      </c>
      <c r="Z3254" s="4">
        <v>5</v>
      </c>
      <c r="AA3254" s="4">
        <v>8</v>
      </c>
      <c r="AB3254" s="4">
        <v>1</v>
      </c>
      <c r="AC3254" s="4">
        <v>3</v>
      </c>
      <c r="AD3254" s="4">
        <v>33</v>
      </c>
      <c r="AE3254" s="4">
        <v>43</v>
      </c>
      <c r="AF3254" s="4">
        <v>0</v>
      </c>
      <c r="AG3254" s="4">
        <v>0</v>
      </c>
      <c r="AH3254" s="4">
        <v>32</v>
      </c>
      <c r="AI3254" s="4">
        <v>41</v>
      </c>
      <c r="AJ3254" s="4">
        <v>1</v>
      </c>
      <c r="AK3254" s="4">
        <v>1</v>
      </c>
      <c r="AL3254" s="4">
        <v>16</v>
      </c>
      <c r="AM3254" s="4">
        <v>22</v>
      </c>
      <c r="AN3254" s="4">
        <v>0</v>
      </c>
      <c r="AO3254" s="4">
        <v>0</v>
      </c>
      <c r="AP3254" s="4">
        <v>2</v>
      </c>
      <c r="AQ3254" s="4">
        <v>2</v>
      </c>
      <c r="AR3254" s="3" t="s">
        <v>62</v>
      </c>
      <c r="AS3254" s="3" t="s">
        <v>62</v>
      </c>
      <c r="AT3254" s="3" t="s">
        <v>62</v>
      </c>
      <c r="AV3254" s="6" t="str">
        <f>HYPERLINK("http://mcgill.on.worldcat.org/oclc/959236502","Catalog Record")</f>
        <v>Catalog Record</v>
      </c>
      <c r="AW3254" s="6" t="str">
        <f>HYPERLINK("http://www.worldcat.org/oclc/959236502","WorldCat Record")</f>
        <v>WorldCat Record</v>
      </c>
      <c r="AX3254" s="3" t="s">
        <v>31639</v>
      </c>
      <c r="AY3254" s="3" t="s">
        <v>31640</v>
      </c>
      <c r="AZ3254" s="3" t="s">
        <v>31641</v>
      </c>
      <c r="BA3254" s="3" t="s">
        <v>31641</v>
      </c>
      <c r="BB3254" s="3" t="s">
        <v>31642</v>
      </c>
      <c r="BC3254" s="3" t="s">
        <v>102</v>
      </c>
      <c r="BD3254" s="3" t="s">
        <v>68</v>
      </c>
      <c r="BE3254" s="3" t="s">
        <v>31643</v>
      </c>
      <c r="BF3254" s="3" t="s">
        <v>31642</v>
      </c>
      <c r="BG3254" s="3" t="s">
        <v>31644</v>
      </c>
    </row>
    <row r="3255" spans="1:59" ht="58" x14ac:dyDescent="0.35">
      <c r="A3255" s="2" t="s">
        <v>89</v>
      </c>
      <c r="B3255" s="2" t="s">
        <v>90</v>
      </c>
      <c r="C3255" s="2" t="s">
        <v>31645</v>
      </c>
      <c r="D3255" s="2" t="s">
        <v>31646</v>
      </c>
      <c r="E3255" s="2" t="s">
        <v>31647</v>
      </c>
      <c r="G3255" s="3" t="s">
        <v>62</v>
      </c>
      <c r="I3255" s="3" t="s">
        <v>62</v>
      </c>
      <c r="J3255" s="3" t="s">
        <v>62</v>
      </c>
      <c r="K3255" s="3" t="s">
        <v>63</v>
      </c>
      <c r="L3255" s="2" t="s">
        <v>31648</v>
      </c>
      <c r="M3255" s="2" t="s">
        <v>31649</v>
      </c>
      <c r="N3255" s="3" t="s">
        <v>129</v>
      </c>
      <c r="P3255" s="3" t="s">
        <v>64</v>
      </c>
      <c r="R3255" s="3" t="s">
        <v>27443</v>
      </c>
      <c r="S3255" s="4">
        <v>0</v>
      </c>
      <c r="T3255" s="4">
        <v>0</v>
      </c>
      <c r="W3255" s="5" t="s">
        <v>67</v>
      </c>
      <c r="X3255" s="5" t="s">
        <v>67</v>
      </c>
      <c r="Y3255" s="4">
        <v>72</v>
      </c>
      <c r="Z3255" s="4">
        <v>4</v>
      </c>
      <c r="AA3255" s="4">
        <v>4</v>
      </c>
      <c r="AB3255" s="4">
        <v>1</v>
      </c>
      <c r="AC3255" s="4">
        <v>1</v>
      </c>
      <c r="AD3255" s="4">
        <v>2</v>
      </c>
      <c r="AE3255" s="4">
        <v>2</v>
      </c>
      <c r="AF3255" s="4">
        <v>0</v>
      </c>
      <c r="AG3255" s="4">
        <v>0</v>
      </c>
      <c r="AH3255" s="4">
        <v>1</v>
      </c>
      <c r="AI3255" s="4">
        <v>1</v>
      </c>
      <c r="AJ3255" s="4">
        <v>1</v>
      </c>
      <c r="AK3255" s="4">
        <v>1</v>
      </c>
      <c r="AL3255" s="4">
        <v>1</v>
      </c>
      <c r="AM3255" s="4">
        <v>1</v>
      </c>
      <c r="AN3255" s="4">
        <v>0</v>
      </c>
      <c r="AO3255" s="4">
        <v>0</v>
      </c>
      <c r="AP3255" s="4">
        <v>1</v>
      </c>
      <c r="AQ3255" s="4">
        <v>1</v>
      </c>
      <c r="AR3255" s="3" t="s">
        <v>62</v>
      </c>
      <c r="AS3255" s="3" t="s">
        <v>62</v>
      </c>
      <c r="AT3255" s="3" t="s">
        <v>62</v>
      </c>
      <c r="AV3255" s="6" t="str">
        <f>HYPERLINK("http://mcgill.on.worldcat.org/oclc/812688660","Catalog Record")</f>
        <v>Catalog Record</v>
      </c>
      <c r="AW3255" s="6" t="str">
        <f>HYPERLINK("http://www.worldcat.org/oclc/812688660","WorldCat Record")</f>
        <v>WorldCat Record</v>
      </c>
      <c r="AX3255" s="3" t="s">
        <v>31650</v>
      </c>
      <c r="AY3255" s="3" t="s">
        <v>31651</v>
      </c>
      <c r="AZ3255" s="3" t="s">
        <v>31652</v>
      </c>
      <c r="BA3255" s="3" t="s">
        <v>31652</v>
      </c>
      <c r="BB3255" s="3" t="s">
        <v>31653</v>
      </c>
      <c r="BC3255" s="3" t="s">
        <v>102</v>
      </c>
      <c r="BD3255" s="3" t="s">
        <v>68</v>
      </c>
      <c r="BE3255" s="3" t="s">
        <v>31654</v>
      </c>
      <c r="BF3255" s="3" t="s">
        <v>31653</v>
      </c>
      <c r="BG3255" s="3" t="s">
        <v>31655</v>
      </c>
    </row>
    <row r="3256" spans="1:59" ht="58" x14ac:dyDescent="0.35">
      <c r="A3256" s="2" t="s">
        <v>89</v>
      </c>
      <c r="B3256" s="2" t="s">
        <v>90</v>
      </c>
      <c r="C3256" s="2" t="s">
        <v>31656</v>
      </c>
      <c r="D3256" s="2" t="s">
        <v>31657</v>
      </c>
      <c r="E3256" s="2" t="s">
        <v>31658</v>
      </c>
      <c r="G3256" s="3" t="s">
        <v>62</v>
      </c>
      <c r="I3256" s="3" t="s">
        <v>62</v>
      </c>
      <c r="J3256" s="3" t="s">
        <v>61</v>
      </c>
      <c r="K3256" s="3" t="s">
        <v>63</v>
      </c>
      <c r="L3256" s="2" t="s">
        <v>31659</v>
      </c>
      <c r="P3256" s="3" t="s">
        <v>64</v>
      </c>
      <c r="R3256" s="3" t="s">
        <v>27443</v>
      </c>
      <c r="S3256" s="4">
        <v>1</v>
      </c>
      <c r="T3256" s="4">
        <v>1</v>
      </c>
      <c r="U3256" s="5" t="s">
        <v>25358</v>
      </c>
      <c r="V3256" s="5" t="s">
        <v>25358</v>
      </c>
      <c r="W3256" s="5" t="s">
        <v>67</v>
      </c>
      <c r="X3256" s="5" t="s">
        <v>67</v>
      </c>
      <c r="Y3256" s="4">
        <v>49</v>
      </c>
      <c r="Z3256" s="4">
        <v>5</v>
      </c>
      <c r="AA3256" s="4">
        <v>19</v>
      </c>
      <c r="AB3256" s="4">
        <v>1</v>
      </c>
      <c r="AC3256" s="4">
        <v>1</v>
      </c>
      <c r="AD3256" s="4">
        <v>8</v>
      </c>
      <c r="AE3256" s="4">
        <v>80</v>
      </c>
      <c r="AF3256" s="4">
        <v>0</v>
      </c>
      <c r="AG3256" s="4">
        <v>0</v>
      </c>
      <c r="AH3256" s="4">
        <v>8</v>
      </c>
      <c r="AI3256" s="4">
        <v>78</v>
      </c>
      <c r="AJ3256" s="4">
        <v>1</v>
      </c>
      <c r="AK3256" s="4">
        <v>9</v>
      </c>
      <c r="AL3256" s="4">
        <v>6</v>
      </c>
      <c r="AM3256" s="4">
        <v>47</v>
      </c>
      <c r="AN3256" s="4">
        <v>0</v>
      </c>
      <c r="AO3256" s="4">
        <v>0</v>
      </c>
      <c r="AP3256" s="4">
        <v>1</v>
      </c>
      <c r="AQ3256" s="4">
        <v>9</v>
      </c>
      <c r="AR3256" s="3" t="s">
        <v>62</v>
      </c>
      <c r="AS3256" s="3" t="s">
        <v>62</v>
      </c>
      <c r="AT3256" s="3" t="s">
        <v>62</v>
      </c>
      <c r="AV3256" s="6" t="str">
        <f>HYPERLINK("http://mcgill.on.worldcat.org/oclc/848907582","Catalog Record")</f>
        <v>Catalog Record</v>
      </c>
      <c r="AW3256" s="6" t="str">
        <f>HYPERLINK("http://www.worldcat.org/oclc/848907582","WorldCat Record")</f>
        <v>WorldCat Record</v>
      </c>
      <c r="AX3256" s="3" t="s">
        <v>31660</v>
      </c>
      <c r="AY3256" s="3" t="s">
        <v>31661</v>
      </c>
      <c r="AZ3256" s="3" t="s">
        <v>31662</v>
      </c>
      <c r="BA3256" s="3" t="s">
        <v>31662</v>
      </c>
      <c r="BB3256" s="3" t="s">
        <v>31663</v>
      </c>
      <c r="BC3256" s="3" t="s">
        <v>102</v>
      </c>
      <c r="BD3256" s="3" t="s">
        <v>68</v>
      </c>
      <c r="BE3256" s="3" t="s">
        <v>31664</v>
      </c>
      <c r="BF3256" s="3" t="s">
        <v>31663</v>
      </c>
      <c r="BG3256" s="3" t="s">
        <v>31665</v>
      </c>
    </row>
    <row r="3257" spans="1:59" ht="58" x14ac:dyDescent="0.35">
      <c r="A3257" s="2" t="s">
        <v>89</v>
      </c>
      <c r="B3257" s="2" t="s">
        <v>90</v>
      </c>
      <c r="C3257" s="2" t="s">
        <v>31666</v>
      </c>
      <c r="D3257" s="2" t="s">
        <v>31667</v>
      </c>
      <c r="E3257" s="2" t="s">
        <v>31668</v>
      </c>
      <c r="G3257" s="3" t="s">
        <v>62</v>
      </c>
      <c r="I3257" s="3" t="s">
        <v>62</v>
      </c>
      <c r="J3257" s="3" t="s">
        <v>62</v>
      </c>
      <c r="K3257" s="3" t="s">
        <v>63</v>
      </c>
      <c r="L3257" s="2" t="s">
        <v>31669</v>
      </c>
      <c r="M3257" s="2" t="s">
        <v>31670</v>
      </c>
      <c r="N3257" s="3" t="s">
        <v>1077</v>
      </c>
      <c r="P3257" s="3" t="s">
        <v>64</v>
      </c>
      <c r="R3257" s="3" t="s">
        <v>27443</v>
      </c>
      <c r="S3257" s="4">
        <v>33</v>
      </c>
      <c r="T3257" s="4">
        <v>33</v>
      </c>
      <c r="U3257" s="5" t="s">
        <v>31671</v>
      </c>
      <c r="V3257" s="5" t="s">
        <v>31671</v>
      </c>
      <c r="W3257" s="5" t="s">
        <v>67</v>
      </c>
      <c r="X3257" s="5" t="s">
        <v>67</v>
      </c>
      <c r="Y3257" s="4">
        <v>326</v>
      </c>
      <c r="Z3257" s="4">
        <v>53</v>
      </c>
      <c r="AA3257" s="4">
        <v>107</v>
      </c>
      <c r="AB3257" s="4">
        <v>2</v>
      </c>
      <c r="AC3257" s="4">
        <v>20</v>
      </c>
      <c r="AD3257" s="4">
        <v>94</v>
      </c>
      <c r="AE3257" s="4">
        <v>126</v>
      </c>
      <c r="AF3257" s="4">
        <v>0</v>
      </c>
      <c r="AG3257" s="4">
        <v>9</v>
      </c>
      <c r="AH3257" s="4">
        <v>72</v>
      </c>
      <c r="AI3257" s="4">
        <v>79</v>
      </c>
      <c r="AJ3257" s="4">
        <v>17</v>
      </c>
      <c r="AK3257" s="4">
        <v>28</v>
      </c>
      <c r="AL3257" s="4">
        <v>38</v>
      </c>
      <c r="AM3257" s="4">
        <v>41</v>
      </c>
      <c r="AN3257" s="4">
        <v>0</v>
      </c>
      <c r="AO3257" s="4">
        <v>0</v>
      </c>
      <c r="AP3257" s="4">
        <v>30</v>
      </c>
      <c r="AQ3257" s="4">
        <v>56</v>
      </c>
      <c r="AR3257" s="3" t="s">
        <v>61</v>
      </c>
      <c r="AS3257" s="3" t="s">
        <v>62</v>
      </c>
      <c r="AT3257" s="3" t="s">
        <v>62</v>
      </c>
      <c r="AV3257" s="6" t="str">
        <f>HYPERLINK("http://mcgill.on.worldcat.org/oclc/30363788","Catalog Record")</f>
        <v>Catalog Record</v>
      </c>
      <c r="AW3257" s="6" t="str">
        <f>HYPERLINK("http://www.worldcat.org/oclc/30363788","WorldCat Record")</f>
        <v>WorldCat Record</v>
      </c>
      <c r="AX3257" s="3" t="s">
        <v>31672</v>
      </c>
      <c r="AY3257" s="3" t="s">
        <v>31673</v>
      </c>
      <c r="AZ3257" s="3" t="s">
        <v>31674</v>
      </c>
      <c r="BA3257" s="3" t="s">
        <v>31674</v>
      </c>
      <c r="BB3257" s="3" t="s">
        <v>31675</v>
      </c>
      <c r="BC3257" s="3" t="s">
        <v>102</v>
      </c>
      <c r="BD3257" s="3" t="s">
        <v>68</v>
      </c>
      <c r="BE3257" s="3" t="s">
        <v>31676</v>
      </c>
      <c r="BF3257" s="3" t="s">
        <v>31675</v>
      </c>
      <c r="BG3257" s="3" t="s">
        <v>31677</v>
      </c>
    </row>
    <row r="3258" spans="1:59" ht="58" x14ac:dyDescent="0.35">
      <c r="A3258" s="2" t="s">
        <v>89</v>
      </c>
      <c r="B3258" s="2" t="s">
        <v>90</v>
      </c>
      <c r="C3258" s="2" t="s">
        <v>31678</v>
      </c>
      <c r="D3258" s="2" t="s">
        <v>31679</v>
      </c>
      <c r="E3258" s="2" t="s">
        <v>31680</v>
      </c>
      <c r="G3258" s="3" t="s">
        <v>62</v>
      </c>
      <c r="I3258" s="3" t="s">
        <v>62</v>
      </c>
      <c r="J3258" s="3" t="s">
        <v>62</v>
      </c>
      <c r="K3258" s="3" t="s">
        <v>63</v>
      </c>
      <c r="L3258" s="2" t="s">
        <v>31681</v>
      </c>
      <c r="M3258" s="2" t="s">
        <v>31682</v>
      </c>
      <c r="N3258" s="3" t="s">
        <v>880</v>
      </c>
      <c r="P3258" s="3" t="s">
        <v>64</v>
      </c>
      <c r="R3258" s="3" t="s">
        <v>27443</v>
      </c>
      <c r="S3258" s="4">
        <v>2</v>
      </c>
      <c r="T3258" s="4">
        <v>2</v>
      </c>
      <c r="U3258" s="5" t="s">
        <v>5146</v>
      </c>
      <c r="V3258" s="5" t="s">
        <v>5146</v>
      </c>
      <c r="W3258" s="5" t="s">
        <v>67</v>
      </c>
      <c r="X3258" s="5" t="s">
        <v>67</v>
      </c>
      <c r="Y3258" s="4">
        <v>93</v>
      </c>
      <c r="Z3258" s="4">
        <v>21</v>
      </c>
      <c r="AA3258" s="4">
        <v>64</v>
      </c>
      <c r="AB3258" s="4">
        <v>1</v>
      </c>
      <c r="AC3258" s="4">
        <v>7</v>
      </c>
      <c r="AD3258" s="4">
        <v>34</v>
      </c>
      <c r="AE3258" s="4">
        <v>92</v>
      </c>
      <c r="AF3258" s="4">
        <v>0</v>
      </c>
      <c r="AG3258" s="4">
        <v>1</v>
      </c>
      <c r="AH3258" s="4">
        <v>24</v>
      </c>
      <c r="AI3258" s="4">
        <v>72</v>
      </c>
      <c r="AJ3258" s="4">
        <v>14</v>
      </c>
      <c r="AK3258" s="4">
        <v>20</v>
      </c>
      <c r="AL3258" s="4">
        <v>10</v>
      </c>
      <c r="AM3258" s="4">
        <v>34</v>
      </c>
      <c r="AN3258" s="4">
        <v>0</v>
      </c>
      <c r="AO3258" s="4">
        <v>0</v>
      </c>
      <c r="AP3258" s="4">
        <v>17</v>
      </c>
      <c r="AQ3258" s="4">
        <v>29</v>
      </c>
      <c r="AR3258" s="3" t="s">
        <v>62</v>
      </c>
      <c r="AS3258" s="3" t="s">
        <v>62</v>
      </c>
      <c r="AT3258" s="3" t="s">
        <v>62</v>
      </c>
      <c r="AV3258" s="6" t="str">
        <f>HYPERLINK("http://mcgill.on.worldcat.org/oclc/620352005","Catalog Record")</f>
        <v>Catalog Record</v>
      </c>
      <c r="AW3258" s="6" t="str">
        <f>HYPERLINK("http://www.worldcat.org/oclc/620352005","WorldCat Record")</f>
        <v>WorldCat Record</v>
      </c>
      <c r="AX3258" s="3" t="s">
        <v>31683</v>
      </c>
      <c r="AY3258" s="3" t="s">
        <v>31684</v>
      </c>
      <c r="AZ3258" s="3" t="s">
        <v>31685</v>
      </c>
      <c r="BA3258" s="3" t="s">
        <v>31685</v>
      </c>
      <c r="BB3258" s="3" t="s">
        <v>31686</v>
      </c>
      <c r="BC3258" s="3" t="s">
        <v>102</v>
      </c>
      <c r="BD3258" s="3" t="s">
        <v>68</v>
      </c>
      <c r="BE3258" s="3" t="s">
        <v>31687</v>
      </c>
      <c r="BF3258" s="3" t="s">
        <v>31686</v>
      </c>
      <c r="BG3258" s="3" t="s">
        <v>31688</v>
      </c>
    </row>
    <row r="3259" spans="1:59" ht="58" x14ac:dyDescent="0.35">
      <c r="A3259" s="2" t="s">
        <v>89</v>
      </c>
      <c r="B3259" s="2" t="s">
        <v>90</v>
      </c>
      <c r="C3259" s="2" t="s">
        <v>31689</v>
      </c>
      <c r="D3259" s="2" t="s">
        <v>31690</v>
      </c>
      <c r="E3259" s="2" t="s">
        <v>31691</v>
      </c>
      <c r="G3259" s="3" t="s">
        <v>62</v>
      </c>
      <c r="I3259" s="3" t="s">
        <v>62</v>
      </c>
      <c r="J3259" s="3" t="s">
        <v>62</v>
      </c>
      <c r="K3259" s="3" t="s">
        <v>63</v>
      </c>
      <c r="L3259" s="2" t="s">
        <v>31692</v>
      </c>
      <c r="M3259" s="2" t="s">
        <v>31693</v>
      </c>
      <c r="N3259" s="3" t="s">
        <v>1195</v>
      </c>
      <c r="P3259" s="3" t="s">
        <v>64</v>
      </c>
      <c r="R3259" s="3" t="s">
        <v>27443</v>
      </c>
      <c r="S3259" s="4">
        <v>40</v>
      </c>
      <c r="T3259" s="4">
        <v>40</v>
      </c>
      <c r="U3259" s="5" t="s">
        <v>12510</v>
      </c>
      <c r="V3259" s="5" t="s">
        <v>12510</v>
      </c>
      <c r="W3259" s="5" t="s">
        <v>67</v>
      </c>
      <c r="X3259" s="5" t="s">
        <v>67</v>
      </c>
      <c r="Y3259" s="4">
        <v>3377</v>
      </c>
      <c r="Z3259" s="4">
        <v>140</v>
      </c>
      <c r="AA3259" s="4">
        <v>146</v>
      </c>
      <c r="AB3259" s="4">
        <v>6</v>
      </c>
      <c r="AC3259" s="4">
        <v>10</v>
      </c>
      <c r="AD3259" s="4">
        <v>144</v>
      </c>
      <c r="AE3259" s="4">
        <v>146</v>
      </c>
      <c r="AF3259" s="4">
        <v>1</v>
      </c>
      <c r="AG3259" s="4">
        <v>3</v>
      </c>
      <c r="AH3259" s="4">
        <v>109</v>
      </c>
      <c r="AI3259" s="4">
        <v>110</v>
      </c>
      <c r="AJ3259" s="4">
        <v>22</v>
      </c>
      <c r="AK3259" s="4">
        <v>24</v>
      </c>
      <c r="AL3259" s="4">
        <v>58</v>
      </c>
      <c r="AM3259" s="4">
        <v>58</v>
      </c>
      <c r="AN3259" s="4">
        <v>0</v>
      </c>
      <c r="AO3259" s="4">
        <v>0</v>
      </c>
      <c r="AP3259" s="4">
        <v>41</v>
      </c>
      <c r="AQ3259" s="4">
        <v>42</v>
      </c>
      <c r="AR3259" s="3" t="s">
        <v>62</v>
      </c>
      <c r="AS3259" s="3" t="s">
        <v>62</v>
      </c>
      <c r="AT3259" s="3" t="s">
        <v>62</v>
      </c>
      <c r="AV3259" s="6" t="str">
        <f>HYPERLINK("http://mcgill.on.worldcat.org/oclc/69249460","Catalog Record")</f>
        <v>Catalog Record</v>
      </c>
      <c r="AW3259" s="6" t="str">
        <f>HYPERLINK("http://www.worldcat.org/oclc/69249460","WorldCat Record")</f>
        <v>WorldCat Record</v>
      </c>
      <c r="AX3259" s="3" t="s">
        <v>31694</v>
      </c>
      <c r="AY3259" s="3" t="s">
        <v>31695</v>
      </c>
      <c r="AZ3259" s="3" t="s">
        <v>31696</v>
      </c>
      <c r="BA3259" s="3" t="s">
        <v>31696</v>
      </c>
      <c r="BB3259" s="3" t="s">
        <v>31697</v>
      </c>
      <c r="BC3259" s="3" t="s">
        <v>102</v>
      </c>
      <c r="BD3259" s="3" t="s">
        <v>68</v>
      </c>
      <c r="BE3259" s="3" t="s">
        <v>31698</v>
      </c>
      <c r="BF3259" s="3" t="s">
        <v>31697</v>
      </c>
      <c r="BG3259" s="3" t="s">
        <v>31699</v>
      </c>
    </row>
    <row r="3260" spans="1:59" ht="72.5" x14ac:dyDescent="0.35">
      <c r="A3260" s="2" t="s">
        <v>89</v>
      </c>
      <c r="B3260" s="2" t="s">
        <v>90</v>
      </c>
      <c r="C3260" s="2" t="s">
        <v>31700</v>
      </c>
      <c r="D3260" s="2" t="s">
        <v>31701</v>
      </c>
      <c r="E3260" s="2" t="s">
        <v>31702</v>
      </c>
      <c r="G3260" s="3" t="s">
        <v>62</v>
      </c>
      <c r="I3260" s="3" t="s">
        <v>62</v>
      </c>
      <c r="J3260" s="3" t="s">
        <v>62</v>
      </c>
      <c r="K3260" s="3" t="s">
        <v>63</v>
      </c>
      <c r="L3260" s="2" t="s">
        <v>31703</v>
      </c>
      <c r="M3260" s="2" t="s">
        <v>31704</v>
      </c>
      <c r="N3260" s="3" t="s">
        <v>2985</v>
      </c>
      <c r="P3260" s="3" t="s">
        <v>64</v>
      </c>
      <c r="R3260" s="3" t="s">
        <v>27443</v>
      </c>
      <c r="S3260" s="4">
        <v>12</v>
      </c>
      <c r="T3260" s="4">
        <v>12</v>
      </c>
      <c r="U3260" s="5" t="s">
        <v>20032</v>
      </c>
      <c r="V3260" s="5" t="s">
        <v>20032</v>
      </c>
      <c r="W3260" s="5" t="s">
        <v>67</v>
      </c>
      <c r="X3260" s="5" t="s">
        <v>67</v>
      </c>
      <c r="Y3260" s="4">
        <v>1557</v>
      </c>
      <c r="Z3260" s="4">
        <v>86</v>
      </c>
      <c r="AA3260" s="4">
        <v>98</v>
      </c>
      <c r="AB3260" s="4">
        <v>8</v>
      </c>
      <c r="AC3260" s="4">
        <v>13</v>
      </c>
      <c r="AD3260" s="4">
        <v>100</v>
      </c>
      <c r="AE3260" s="4">
        <v>109</v>
      </c>
      <c r="AF3260" s="4">
        <v>1</v>
      </c>
      <c r="AG3260" s="4">
        <v>6</v>
      </c>
      <c r="AH3260" s="4">
        <v>84</v>
      </c>
      <c r="AI3260" s="4">
        <v>87</v>
      </c>
      <c r="AJ3260" s="4">
        <v>13</v>
      </c>
      <c r="AK3260" s="4">
        <v>17</v>
      </c>
      <c r="AL3260" s="4">
        <v>49</v>
      </c>
      <c r="AM3260" s="4">
        <v>50</v>
      </c>
      <c r="AN3260" s="4">
        <v>0</v>
      </c>
      <c r="AO3260" s="4">
        <v>0</v>
      </c>
      <c r="AP3260" s="4">
        <v>21</v>
      </c>
      <c r="AQ3260" s="4">
        <v>27</v>
      </c>
      <c r="AR3260" s="3" t="s">
        <v>62</v>
      </c>
      <c r="AS3260" s="3" t="s">
        <v>62</v>
      </c>
      <c r="AT3260" s="3" t="s">
        <v>61</v>
      </c>
      <c r="AU3260" s="6" t="str">
        <f>HYPERLINK("http://catalog.hathitrust.org/Record/007296205","HathiTrust Record")</f>
        <v>HathiTrust Record</v>
      </c>
      <c r="AV3260" s="6" t="str">
        <f>HYPERLINK("http://mcgill.on.worldcat.org/oclc/452271919","Catalog Record")</f>
        <v>Catalog Record</v>
      </c>
      <c r="AW3260" s="6" t="str">
        <f>HYPERLINK("http://www.worldcat.org/oclc/452271919","WorldCat Record")</f>
        <v>WorldCat Record</v>
      </c>
      <c r="AX3260" s="3" t="s">
        <v>31705</v>
      </c>
      <c r="AY3260" s="3" t="s">
        <v>31706</v>
      </c>
      <c r="AZ3260" s="3" t="s">
        <v>31707</v>
      </c>
      <c r="BA3260" s="3" t="s">
        <v>31707</v>
      </c>
      <c r="BB3260" s="3" t="s">
        <v>31708</v>
      </c>
      <c r="BC3260" s="3" t="s">
        <v>102</v>
      </c>
      <c r="BD3260" s="3" t="s">
        <v>68</v>
      </c>
      <c r="BE3260" s="3" t="s">
        <v>31709</v>
      </c>
      <c r="BF3260" s="3" t="s">
        <v>31708</v>
      </c>
      <c r="BG3260" s="3" t="s">
        <v>31710</v>
      </c>
    </row>
    <row r="3261" spans="1:59" ht="58" x14ac:dyDescent="0.35">
      <c r="A3261" s="2" t="s">
        <v>89</v>
      </c>
      <c r="B3261" s="2" t="s">
        <v>90</v>
      </c>
      <c r="C3261" s="2" t="s">
        <v>31711</v>
      </c>
      <c r="D3261" s="2" t="s">
        <v>31712</v>
      </c>
      <c r="E3261" s="2" t="s">
        <v>31713</v>
      </c>
      <c r="G3261" s="3" t="s">
        <v>62</v>
      </c>
      <c r="I3261" s="3" t="s">
        <v>62</v>
      </c>
      <c r="J3261" s="3" t="s">
        <v>62</v>
      </c>
      <c r="K3261" s="3" t="s">
        <v>63</v>
      </c>
      <c r="L3261" s="2" t="s">
        <v>31714</v>
      </c>
      <c r="M3261" s="2" t="s">
        <v>31715</v>
      </c>
      <c r="N3261" s="3" t="s">
        <v>1195</v>
      </c>
      <c r="O3261" s="2" t="s">
        <v>31716</v>
      </c>
      <c r="P3261" s="3" t="s">
        <v>64</v>
      </c>
      <c r="R3261" s="3" t="s">
        <v>27443</v>
      </c>
      <c r="S3261" s="4">
        <v>15</v>
      </c>
      <c r="T3261" s="4">
        <v>15</v>
      </c>
      <c r="U3261" s="5" t="s">
        <v>31717</v>
      </c>
      <c r="V3261" s="5" t="s">
        <v>31717</v>
      </c>
      <c r="W3261" s="5" t="s">
        <v>67</v>
      </c>
      <c r="X3261" s="5" t="s">
        <v>67</v>
      </c>
      <c r="Y3261" s="4">
        <v>94</v>
      </c>
      <c r="Z3261" s="4">
        <v>8</v>
      </c>
      <c r="AA3261" s="4">
        <v>9</v>
      </c>
      <c r="AB3261" s="4">
        <v>1</v>
      </c>
      <c r="AC3261" s="4">
        <v>2</v>
      </c>
      <c r="AD3261" s="4">
        <v>43</v>
      </c>
      <c r="AE3261" s="4">
        <v>44</v>
      </c>
      <c r="AF3261" s="4">
        <v>0</v>
      </c>
      <c r="AG3261" s="4">
        <v>1</v>
      </c>
      <c r="AH3261" s="4">
        <v>39</v>
      </c>
      <c r="AI3261" s="4">
        <v>40</v>
      </c>
      <c r="AJ3261" s="4">
        <v>4</v>
      </c>
      <c r="AK3261" s="4">
        <v>5</v>
      </c>
      <c r="AL3261" s="4">
        <v>23</v>
      </c>
      <c r="AM3261" s="4">
        <v>23</v>
      </c>
      <c r="AN3261" s="4">
        <v>0</v>
      </c>
      <c r="AO3261" s="4">
        <v>0</v>
      </c>
      <c r="AP3261" s="4">
        <v>5</v>
      </c>
      <c r="AQ3261" s="4">
        <v>6</v>
      </c>
      <c r="AR3261" s="3" t="s">
        <v>62</v>
      </c>
      <c r="AS3261" s="3" t="s">
        <v>62</v>
      </c>
      <c r="AT3261" s="3" t="s">
        <v>62</v>
      </c>
      <c r="AV3261" s="6" t="str">
        <f>HYPERLINK("http://mcgill.on.worldcat.org/oclc/70841007","Catalog Record")</f>
        <v>Catalog Record</v>
      </c>
      <c r="AW3261" s="6" t="str">
        <f>HYPERLINK("http://www.worldcat.org/oclc/70841007","WorldCat Record")</f>
        <v>WorldCat Record</v>
      </c>
      <c r="AX3261" s="3" t="s">
        <v>31718</v>
      </c>
      <c r="AY3261" s="3" t="s">
        <v>31719</v>
      </c>
      <c r="AZ3261" s="3" t="s">
        <v>31720</v>
      </c>
      <c r="BA3261" s="3" t="s">
        <v>31720</v>
      </c>
      <c r="BB3261" s="3" t="s">
        <v>31721</v>
      </c>
      <c r="BC3261" s="3" t="s">
        <v>102</v>
      </c>
      <c r="BD3261" s="3" t="s">
        <v>68</v>
      </c>
      <c r="BE3261" s="3" t="s">
        <v>31722</v>
      </c>
      <c r="BF3261" s="3" t="s">
        <v>31721</v>
      </c>
      <c r="BG3261" s="3" t="s">
        <v>31723</v>
      </c>
    </row>
    <row r="3262" spans="1:59" ht="101.5" x14ac:dyDescent="0.35">
      <c r="A3262" s="2" t="s">
        <v>89</v>
      </c>
      <c r="B3262" s="2" t="s">
        <v>12301</v>
      </c>
      <c r="C3262" s="2" t="s">
        <v>31724</v>
      </c>
      <c r="D3262" s="2" t="s">
        <v>31725</v>
      </c>
      <c r="E3262" s="2" t="s">
        <v>31726</v>
      </c>
      <c r="G3262" s="3" t="s">
        <v>62</v>
      </c>
      <c r="I3262" s="3" t="s">
        <v>61</v>
      </c>
      <c r="J3262" s="3" t="s">
        <v>61</v>
      </c>
      <c r="K3262" s="3" t="s">
        <v>63</v>
      </c>
      <c r="L3262" s="2" t="s">
        <v>31727</v>
      </c>
      <c r="M3262" s="2" t="s">
        <v>31728</v>
      </c>
      <c r="N3262" s="3" t="s">
        <v>1455</v>
      </c>
      <c r="O3262" s="2" t="s">
        <v>17053</v>
      </c>
      <c r="P3262" s="3" t="s">
        <v>64</v>
      </c>
      <c r="R3262" s="3" t="s">
        <v>27443</v>
      </c>
      <c r="S3262" s="4">
        <v>0</v>
      </c>
      <c r="T3262" s="4">
        <v>2</v>
      </c>
      <c r="V3262" s="5" t="s">
        <v>7930</v>
      </c>
      <c r="W3262" s="5" t="s">
        <v>67</v>
      </c>
      <c r="X3262" s="5" t="s">
        <v>67</v>
      </c>
      <c r="Y3262" s="4">
        <v>307</v>
      </c>
      <c r="Z3262" s="4">
        <v>9</v>
      </c>
      <c r="AA3262" s="4">
        <v>119</v>
      </c>
      <c r="AB3262" s="4">
        <v>2</v>
      </c>
      <c r="AC3262" s="4">
        <v>21</v>
      </c>
      <c r="AD3262" s="4">
        <v>41</v>
      </c>
      <c r="AE3262" s="4">
        <v>156</v>
      </c>
      <c r="AF3262" s="4">
        <v>0</v>
      </c>
      <c r="AG3262" s="4">
        <v>7</v>
      </c>
      <c r="AH3262" s="4">
        <v>38</v>
      </c>
      <c r="AI3262" s="4">
        <v>115</v>
      </c>
      <c r="AJ3262" s="4">
        <v>2</v>
      </c>
      <c r="AK3262" s="4">
        <v>29</v>
      </c>
      <c r="AL3262" s="4">
        <v>24</v>
      </c>
      <c r="AM3262" s="4">
        <v>60</v>
      </c>
      <c r="AN3262" s="4">
        <v>0</v>
      </c>
      <c r="AO3262" s="4">
        <v>0</v>
      </c>
      <c r="AP3262" s="4">
        <v>4</v>
      </c>
      <c r="AQ3262" s="4">
        <v>47</v>
      </c>
      <c r="AR3262" s="3" t="s">
        <v>62</v>
      </c>
      <c r="AS3262" s="3" t="s">
        <v>62</v>
      </c>
      <c r="AT3262" s="3" t="s">
        <v>62</v>
      </c>
      <c r="AV3262" s="6" t="str">
        <f>HYPERLINK("http://mcgill.on.worldcat.org/oclc/899880838","Catalog Record")</f>
        <v>Catalog Record</v>
      </c>
      <c r="AW3262" s="6" t="str">
        <f>HYPERLINK("http://www.worldcat.org/oclc/899880838","WorldCat Record")</f>
        <v>WorldCat Record</v>
      </c>
      <c r="AX3262" s="3" t="s">
        <v>31729</v>
      </c>
      <c r="AY3262" s="3" t="s">
        <v>31730</v>
      </c>
      <c r="AZ3262" s="3" t="s">
        <v>31731</v>
      </c>
      <c r="BA3262" s="3" t="s">
        <v>31731</v>
      </c>
      <c r="BB3262" s="3" t="s">
        <v>31732</v>
      </c>
      <c r="BC3262" s="3" t="s">
        <v>102</v>
      </c>
      <c r="BD3262" s="3" t="s">
        <v>68</v>
      </c>
      <c r="BE3262" s="3" t="s">
        <v>31733</v>
      </c>
      <c r="BF3262" s="3" t="s">
        <v>31732</v>
      </c>
      <c r="BG3262" s="3" t="s">
        <v>31734</v>
      </c>
    </row>
    <row r="3263" spans="1:59" ht="101.5" x14ac:dyDescent="0.35">
      <c r="A3263" s="2" t="s">
        <v>89</v>
      </c>
      <c r="B3263" s="2" t="s">
        <v>12301</v>
      </c>
      <c r="C3263" s="2" t="s">
        <v>31724</v>
      </c>
      <c r="D3263" s="2" t="s">
        <v>31725</v>
      </c>
      <c r="E3263" s="2" t="s">
        <v>31726</v>
      </c>
      <c r="G3263" s="3" t="s">
        <v>62</v>
      </c>
      <c r="I3263" s="3" t="s">
        <v>61</v>
      </c>
      <c r="J3263" s="3" t="s">
        <v>61</v>
      </c>
      <c r="K3263" s="3" t="s">
        <v>63</v>
      </c>
      <c r="L3263" s="2" t="s">
        <v>31727</v>
      </c>
      <c r="M3263" s="2" t="s">
        <v>31728</v>
      </c>
      <c r="N3263" s="3" t="s">
        <v>1455</v>
      </c>
      <c r="O3263" s="2" t="s">
        <v>17053</v>
      </c>
      <c r="P3263" s="3" t="s">
        <v>64</v>
      </c>
      <c r="R3263" s="3" t="s">
        <v>27443</v>
      </c>
      <c r="S3263" s="4">
        <v>0</v>
      </c>
      <c r="T3263" s="4">
        <v>2</v>
      </c>
      <c r="V3263" s="5" t="s">
        <v>7930</v>
      </c>
      <c r="W3263" s="5" t="s">
        <v>67</v>
      </c>
      <c r="X3263" s="5" t="s">
        <v>67</v>
      </c>
      <c r="Y3263" s="4">
        <v>307</v>
      </c>
      <c r="Z3263" s="4">
        <v>9</v>
      </c>
      <c r="AA3263" s="4">
        <v>119</v>
      </c>
      <c r="AB3263" s="4">
        <v>2</v>
      </c>
      <c r="AC3263" s="4">
        <v>21</v>
      </c>
      <c r="AD3263" s="4">
        <v>41</v>
      </c>
      <c r="AE3263" s="4">
        <v>156</v>
      </c>
      <c r="AF3263" s="4">
        <v>0</v>
      </c>
      <c r="AG3263" s="4">
        <v>7</v>
      </c>
      <c r="AH3263" s="4">
        <v>38</v>
      </c>
      <c r="AI3263" s="4">
        <v>115</v>
      </c>
      <c r="AJ3263" s="4">
        <v>2</v>
      </c>
      <c r="AK3263" s="4">
        <v>29</v>
      </c>
      <c r="AL3263" s="4">
        <v>24</v>
      </c>
      <c r="AM3263" s="4">
        <v>60</v>
      </c>
      <c r="AN3263" s="4">
        <v>0</v>
      </c>
      <c r="AO3263" s="4">
        <v>0</v>
      </c>
      <c r="AP3263" s="4">
        <v>4</v>
      </c>
      <c r="AQ3263" s="4">
        <v>47</v>
      </c>
      <c r="AR3263" s="3" t="s">
        <v>62</v>
      </c>
      <c r="AS3263" s="3" t="s">
        <v>62</v>
      </c>
      <c r="AT3263" s="3" t="s">
        <v>62</v>
      </c>
      <c r="AV3263" s="6" t="str">
        <f>HYPERLINK("http://mcgill.on.worldcat.org/oclc/899880838","Catalog Record")</f>
        <v>Catalog Record</v>
      </c>
      <c r="AW3263" s="6" t="str">
        <f>HYPERLINK("http://www.worldcat.org/oclc/899880838","WorldCat Record")</f>
        <v>WorldCat Record</v>
      </c>
      <c r="AX3263" s="3" t="s">
        <v>31729</v>
      </c>
      <c r="AY3263" s="3" t="s">
        <v>31730</v>
      </c>
      <c r="AZ3263" s="3" t="s">
        <v>31731</v>
      </c>
      <c r="BA3263" s="3" t="s">
        <v>31731</v>
      </c>
      <c r="BB3263" s="3" t="s">
        <v>31735</v>
      </c>
      <c r="BC3263" s="3" t="s">
        <v>102</v>
      </c>
      <c r="BD3263" s="3" t="s">
        <v>68</v>
      </c>
      <c r="BE3263" s="3" t="s">
        <v>31733</v>
      </c>
      <c r="BF3263" s="3" t="s">
        <v>31735</v>
      </c>
      <c r="BG3263" s="3" t="s">
        <v>31736</v>
      </c>
    </row>
    <row r="3264" spans="1:59" ht="101.5" x14ac:dyDescent="0.35">
      <c r="A3264" s="2" t="s">
        <v>89</v>
      </c>
      <c r="B3264" s="2" t="s">
        <v>12301</v>
      </c>
      <c r="C3264" s="2" t="s">
        <v>31724</v>
      </c>
      <c r="D3264" s="2" t="s">
        <v>31725</v>
      </c>
      <c r="E3264" s="2" t="s">
        <v>31726</v>
      </c>
      <c r="G3264" s="3" t="s">
        <v>62</v>
      </c>
      <c r="I3264" s="3" t="s">
        <v>61</v>
      </c>
      <c r="J3264" s="3" t="s">
        <v>61</v>
      </c>
      <c r="K3264" s="3" t="s">
        <v>63</v>
      </c>
      <c r="L3264" s="2" t="s">
        <v>31727</v>
      </c>
      <c r="M3264" s="2" t="s">
        <v>31728</v>
      </c>
      <c r="N3264" s="3" t="s">
        <v>1455</v>
      </c>
      <c r="O3264" s="2" t="s">
        <v>17053</v>
      </c>
      <c r="P3264" s="3" t="s">
        <v>64</v>
      </c>
      <c r="R3264" s="3" t="s">
        <v>27443</v>
      </c>
      <c r="S3264" s="4">
        <v>2</v>
      </c>
      <c r="T3264" s="4">
        <v>2</v>
      </c>
      <c r="U3264" s="5" t="s">
        <v>7930</v>
      </c>
      <c r="V3264" s="5" t="s">
        <v>7930</v>
      </c>
      <c r="W3264" s="5" t="s">
        <v>67</v>
      </c>
      <c r="X3264" s="5" t="s">
        <v>67</v>
      </c>
      <c r="Y3264" s="4">
        <v>307</v>
      </c>
      <c r="Z3264" s="4">
        <v>9</v>
      </c>
      <c r="AA3264" s="4">
        <v>119</v>
      </c>
      <c r="AB3264" s="4">
        <v>2</v>
      </c>
      <c r="AC3264" s="4">
        <v>21</v>
      </c>
      <c r="AD3264" s="4">
        <v>41</v>
      </c>
      <c r="AE3264" s="4">
        <v>156</v>
      </c>
      <c r="AF3264" s="4">
        <v>0</v>
      </c>
      <c r="AG3264" s="4">
        <v>7</v>
      </c>
      <c r="AH3264" s="4">
        <v>38</v>
      </c>
      <c r="AI3264" s="4">
        <v>115</v>
      </c>
      <c r="AJ3264" s="4">
        <v>2</v>
      </c>
      <c r="AK3264" s="4">
        <v>29</v>
      </c>
      <c r="AL3264" s="4">
        <v>24</v>
      </c>
      <c r="AM3264" s="4">
        <v>60</v>
      </c>
      <c r="AN3264" s="4">
        <v>0</v>
      </c>
      <c r="AO3264" s="4">
        <v>0</v>
      </c>
      <c r="AP3264" s="4">
        <v>4</v>
      </c>
      <c r="AQ3264" s="4">
        <v>47</v>
      </c>
      <c r="AR3264" s="3" t="s">
        <v>62</v>
      </c>
      <c r="AS3264" s="3" t="s">
        <v>62</v>
      </c>
      <c r="AT3264" s="3" t="s">
        <v>62</v>
      </c>
      <c r="AV3264" s="6" t="str">
        <f>HYPERLINK("http://mcgill.on.worldcat.org/oclc/899880838","Catalog Record")</f>
        <v>Catalog Record</v>
      </c>
      <c r="AW3264" s="6" t="str">
        <f>HYPERLINK("http://www.worldcat.org/oclc/899880838","WorldCat Record")</f>
        <v>WorldCat Record</v>
      </c>
      <c r="AX3264" s="3" t="s">
        <v>31729</v>
      </c>
      <c r="AY3264" s="3" t="s">
        <v>31730</v>
      </c>
      <c r="AZ3264" s="3" t="s">
        <v>31731</v>
      </c>
      <c r="BA3264" s="3" t="s">
        <v>31731</v>
      </c>
      <c r="BB3264" s="3" t="s">
        <v>31737</v>
      </c>
      <c r="BC3264" s="3" t="s">
        <v>102</v>
      </c>
      <c r="BD3264" s="3" t="s">
        <v>68</v>
      </c>
      <c r="BE3264" s="3" t="s">
        <v>31733</v>
      </c>
      <c r="BF3264" s="3" t="s">
        <v>31737</v>
      </c>
      <c r="BG3264" s="3" t="s">
        <v>31738</v>
      </c>
    </row>
    <row r="3265" spans="1:59" ht="72.5" x14ac:dyDescent="0.35">
      <c r="A3265" s="2" t="s">
        <v>89</v>
      </c>
      <c r="B3265" s="2" t="s">
        <v>90</v>
      </c>
      <c r="C3265" s="2" t="s">
        <v>31739</v>
      </c>
      <c r="D3265" s="2" t="s">
        <v>31740</v>
      </c>
      <c r="E3265" s="2" t="s">
        <v>31741</v>
      </c>
      <c r="G3265" s="3" t="s">
        <v>62</v>
      </c>
      <c r="I3265" s="3" t="s">
        <v>61</v>
      </c>
      <c r="J3265" s="3" t="s">
        <v>62</v>
      </c>
      <c r="K3265" s="3" t="s">
        <v>63</v>
      </c>
      <c r="L3265" s="2" t="s">
        <v>31742</v>
      </c>
      <c r="M3265" s="2" t="s">
        <v>31743</v>
      </c>
      <c r="N3265" s="3" t="s">
        <v>2985</v>
      </c>
      <c r="O3265" s="2" t="s">
        <v>3181</v>
      </c>
      <c r="P3265" s="3" t="s">
        <v>64</v>
      </c>
      <c r="R3265" s="3" t="s">
        <v>27443</v>
      </c>
      <c r="S3265" s="4">
        <v>8</v>
      </c>
      <c r="T3265" s="4">
        <v>19</v>
      </c>
      <c r="U3265" s="5" t="s">
        <v>9685</v>
      </c>
      <c r="V3265" s="5" t="s">
        <v>9685</v>
      </c>
      <c r="W3265" s="5" t="s">
        <v>67</v>
      </c>
      <c r="X3265" s="5" t="s">
        <v>67</v>
      </c>
      <c r="Y3265" s="4">
        <v>44</v>
      </c>
      <c r="Z3265" s="4">
        <v>2</v>
      </c>
      <c r="AA3265" s="4">
        <v>2</v>
      </c>
      <c r="AB3265" s="4">
        <v>1</v>
      </c>
      <c r="AC3265" s="4">
        <v>1</v>
      </c>
      <c r="AD3265" s="4">
        <v>2</v>
      </c>
      <c r="AE3265" s="4">
        <v>2</v>
      </c>
      <c r="AF3265" s="4">
        <v>0</v>
      </c>
      <c r="AG3265" s="4">
        <v>0</v>
      </c>
      <c r="AH3265" s="4">
        <v>1</v>
      </c>
      <c r="AI3265" s="4">
        <v>1</v>
      </c>
      <c r="AJ3265" s="4">
        <v>0</v>
      </c>
      <c r="AK3265" s="4">
        <v>0</v>
      </c>
      <c r="AL3265" s="4">
        <v>0</v>
      </c>
      <c r="AM3265" s="4">
        <v>0</v>
      </c>
      <c r="AN3265" s="4">
        <v>0</v>
      </c>
      <c r="AO3265" s="4">
        <v>0</v>
      </c>
      <c r="AP3265" s="4">
        <v>1</v>
      </c>
      <c r="AQ3265" s="4">
        <v>1</v>
      </c>
      <c r="AR3265" s="3" t="s">
        <v>62</v>
      </c>
      <c r="AS3265" s="3" t="s">
        <v>62</v>
      </c>
      <c r="AT3265" s="3" t="s">
        <v>61</v>
      </c>
      <c r="AU3265" s="6" t="str">
        <f>HYPERLINK("http://catalog.hathitrust.org/Record/005555872","HathiTrust Record")</f>
        <v>HathiTrust Record</v>
      </c>
      <c r="AV3265" s="6" t="str">
        <f>HYPERLINK("http://mcgill.on.worldcat.org/oclc/216936703","Catalog Record")</f>
        <v>Catalog Record</v>
      </c>
      <c r="AW3265" s="6" t="str">
        <f>HYPERLINK("http://www.worldcat.org/oclc/216936703","WorldCat Record")</f>
        <v>WorldCat Record</v>
      </c>
      <c r="AX3265" s="3" t="s">
        <v>31744</v>
      </c>
      <c r="AY3265" s="3" t="s">
        <v>31745</v>
      </c>
      <c r="AZ3265" s="3" t="s">
        <v>31746</v>
      </c>
      <c r="BA3265" s="3" t="s">
        <v>31746</v>
      </c>
      <c r="BB3265" s="3" t="s">
        <v>31747</v>
      </c>
      <c r="BC3265" s="3" t="s">
        <v>102</v>
      </c>
      <c r="BD3265" s="3" t="s">
        <v>68</v>
      </c>
      <c r="BE3265" s="3" t="s">
        <v>31748</v>
      </c>
      <c r="BF3265" s="3" t="s">
        <v>31747</v>
      </c>
      <c r="BG3265" s="3" t="s">
        <v>31749</v>
      </c>
    </row>
    <row r="3266" spans="1:59" ht="72.5" x14ac:dyDescent="0.35">
      <c r="A3266" s="2" t="s">
        <v>89</v>
      </c>
      <c r="B3266" s="2" t="s">
        <v>90</v>
      </c>
      <c r="C3266" s="2" t="s">
        <v>31739</v>
      </c>
      <c r="D3266" s="2" t="s">
        <v>31740</v>
      </c>
      <c r="E3266" s="2" t="s">
        <v>31741</v>
      </c>
      <c r="G3266" s="3" t="s">
        <v>62</v>
      </c>
      <c r="I3266" s="3" t="s">
        <v>61</v>
      </c>
      <c r="J3266" s="3" t="s">
        <v>62</v>
      </c>
      <c r="K3266" s="3" t="s">
        <v>63</v>
      </c>
      <c r="L3266" s="2" t="s">
        <v>31742</v>
      </c>
      <c r="M3266" s="2" t="s">
        <v>31743</v>
      </c>
      <c r="N3266" s="3" t="s">
        <v>2985</v>
      </c>
      <c r="O3266" s="2" t="s">
        <v>3181</v>
      </c>
      <c r="P3266" s="3" t="s">
        <v>64</v>
      </c>
      <c r="R3266" s="3" t="s">
        <v>27443</v>
      </c>
      <c r="S3266" s="4">
        <v>11</v>
      </c>
      <c r="T3266" s="4">
        <v>19</v>
      </c>
      <c r="U3266" s="5" t="s">
        <v>31750</v>
      </c>
      <c r="V3266" s="5" t="s">
        <v>9685</v>
      </c>
      <c r="W3266" s="5" t="s">
        <v>67</v>
      </c>
      <c r="X3266" s="5" t="s">
        <v>67</v>
      </c>
      <c r="Y3266" s="4">
        <v>44</v>
      </c>
      <c r="Z3266" s="4">
        <v>2</v>
      </c>
      <c r="AA3266" s="4">
        <v>2</v>
      </c>
      <c r="AB3266" s="4">
        <v>1</v>
      </c>
      <c r="AC3266" s="4">
        <v>1</v>
      </c>
      <c r="AD3266" s="4">
        <v>2</v>
      </c>
      <c r="AE3266" s="4">
        <v>2</v>
      </c>
      <c r="AF3266" s="4">
        <v>0</v>
      </c>
      <c r="AG3266" s="4">
        <v>0</v>
      </c>
      <c r="AH3266" s="4">
        <v>1</v>
      </c>
      <c r="AI3266" s="4">
        <v>1</v>
      </c>
      <c r="AJ3266" s="4">
        <v>0</v>
      </c>
      <c r="AK3266" s="4">
        <v>0</v>
      </c>
      <c r="AL3266" s="4">
        <v>0</v>
      </c>
      <c r="AM3266" s="4">
        <v>0</v>
      </c>
      <c r="AN3266" s="4">
        <v>0</v>
      </c>
      <c r="AO3266" s="4">
        <v>0</v>
      </c>
      <c r="AP3266" s="4">
        <v>1</v>
      </c>
      <c r="AQ3266" s="4">
        <v>1</v>
      </c>
      <c r="AR3266" s="3" t="s">
        <v>62</v>
      </c>
      <c r="AS3266" s="3" t="s">
        <v>62</v>
      </c>
      <c r="AT3266" s="3" t="s">
        <v>61</v>
      </c>
      <c r="AU3266" s="6" t="str">
        <f>HYPERLINK("http://catalog.hathitrust.org/Record/005555872","HathiTrust Record")</f>
        <v>HathiTrust Record</v>
      </c>
      <c r="AV3266" s="6" t="str">
        <f>HYPERLINK("http://mcgill.on.worldcat.org/oclc/216936703","Catalog Record")</f>
        <v>Catalog Record</v>
      </c>
      <c r="AW3266" s="6" t="str">
        <f>HYPERLINK("http://www.worldcat.org/oclc/216936703","WorldCat Record")</f>
        <v>WorldCat Record</v>
      </c>
      <c r="AX3266" s="3" t="s">
        <v>31744</v>
      </c>
      <c r="AY3266" s="3" t="s">
        <v>31745</v>
      </c>
      <c r="AZ3266" s="3" t="s">
        <v>31746</v>
      </c>
      <c r="BA3266" s="3" t="s">
        <v>31746</v>
      </c>
      <c r="BB3266" s="3" t="s">
        <v>31751</v>
      </c>
      <c r="BC3266" s="3" t="s">
        <v>102</v>
      </c>
      <c r="BD3266" s="3" t="s">
        <v>68</v>
      </c>
      <c r="BE3266" s="3" t="s">
        <v>31748</v>
      </c>
      <c r="BF3266" s="3" t="s">
        <v>31751</v>
      </c>
      <c r="BG3266" s="3" t="s">
        <v>31752</v>
      </c>
    </row>
    <row r="3267" spans="1:59" ht="72.5" x14ac:dyDescent="0.35">
      <c r="A3267" s="2" t="s">
        <v>89</v>
      </c>
      <c r="B3267" s="2" t="s">
        <v>90</v>
      </c>
      <c r="C3267" s="2" t="s">
        <v>31753</v>
      </c>
      <c r="D3267" s="2" t="s">
        <v>31754</v>
      </c>
      <c r="E3267" s="2" t="s">
        <v>31755</v>
      </c>
      <c r="G3267" s="3" t="s">
        <v>62</v>
      </c>
      <c r="I3267" s="3" t="s">
        <v>62</v>
      </c>
      <c r="J3267" s="3" t="s">
        <v>62</v>
      </c>
      <c r="K3267" s="3" t="s">
        <v>63</v>
      </c>
      <c r="M3267" s="2" t="s">
        <v>31756</v>
      </c>
      <c r="N3267" s="3" t="s">
        <v>1455</v>
      </c>
      <c r="P3267" s="3" t="s">
        <v>64</v>
      </c>
      <c r="R3267" s="3" t="s">
        <v>27443</v>
      </c>
      <c r="S3267" s="4">
        <v>1</v>
      </c>
      <c r="T3267" s="4">
        <v>1</v>
      </c>
      <c r="U3267" s="5" t="s">
        <v>2529</v>
      </c>
      <c r="V3267" s="5" t="s">
        <v>2529</v>
      </c>
      <c r="W3267" s="5" t="s">
        <v>67</v>
      </c>
      <c r="X3267" s="5" t="s">
        <v>67</v>
      </c>
      <c r="Y3267" s="4">
        <v>119</v>
      </c>
      <c r="Z3267" s="4">
        <v>5</v>
      </c>
      <c r="AA3267" s="4">
        <v>76</v>
      </c>
      <c r="AB3267" s="4">
        <v>1</v>
      </c>
      <c r="AC3267" s="4">
        <v>15</v>
      </c>
      <c r="AD3267" s="4">
        <v>33</v>
      </c>
      <c r="AE3267" s="4">
        <v>99</v>
      </c>
      <c r="AF3267" s="4">
        <v>0</v>
      </c>
      <c r="AG3267" s="4">
        <v>9</v>
      </c>
      <c r="AH3267" s="4">
        <v>31</v>
      </c>
      <c r="AI3267" s="4">
        <v>65</v>
      </c>
      <c r="AJ3267" s="4">
        <v>3</v>
      </c>
      <c r="AK3267" s="4">
        <v>21</v>
      </c>
      <c r="AL3267" s="4">
        <v>22</v>
      </c>
      <c r="AM3267" s="4">
        <v>36</v>
      </c>
      <c r="AN3267" s="4">
        <v>0</v>
      </c>
      <c r="AO3267" s="4">
        <v>0</v>
      </c>
      <c r="AP3267" s="4">
        <v>3</v>
      </c>
      <c r="AQ3267" s="4">
        <v>42</v>
      </c>
      <c r="AR3267" s="3" t="s">
        <v>62</v>
      </c>
      <c r="AS3267" s="3" t="s">
        <v>62</v>
      </c>
      <c r="AT3267" s="3" t="s">
        <v>62</v>
      </c>
      <c r="AV3267" s="6" t="str">
        <f>HYPERLINK("http://mcgill.on.worldcat.org/oclc/903269999","Catalog Record")</f>
        <v>Catalog Record</v>
      </c>
      <c r="AW3267" s="6" t="str">
        <f>HYPERLINK("http://www.worldcat.org/oclc/903269999","WorldCat Record")</f>
        <v>WorldCat Record</v>
      </c>
      <c r="AX3267" s="3" t="s">
        <v>31757</v>
      </c>
      <c r="AY3267" s="3" t="s">
        <v>31758</v>
      </c>
      <c r="AZ3267" s="3" t="s">
        <v>31759</v>
      </c>
      <c r="BA3267" s="3" t="s">
        <v>31759</v>
      </c>
      <c r="BB3267" s="3" t="s">
        <v>31760</v>
      </c>
      <c r="BC3267" s="3" t="s">
        <v>102</v>
      </c>
      <c r="BD3267" s="3" t="s">
        <v>68</v>
      </c>
      <c r="BE3267" s="3" t="s">
        <v>31761</v>
      </c>
      <c r="BF3267" s="3" t="s">
        <v>31760</v>
      </c>
      <c r="BG3267" s="3" t="s">
        <v>31762</v>
      </c>
    </row>
    <row r="3268" spans="1:59" ht="58" x14ac:dyDescent="0.35">
      <c r="A3268" s="2" t="s">
        <v>89</v>
      </c>
      <c r="B3268" s="2" t="s">
        <v>90</v>
      </c>
      <c r="C3268" s="2" t="s">
        <v>31763</v>
      </c>
      <c r="D3268" s="2" t="s">
        <v>31764</v>
      </c>
      <c r="E3268" s="2" t="s">
        <v>31765</v>
      </c>
      <c r="G3268" s="3" t="s">
        <v>62</v>
      </c>
      <c r="I3268" s="3" t="s">
        <v>62</v>
      </c>
      <c r="J3268" s="3" t="s">
        <v>62</v>
      </c>
      <c r="K3268" s="3" t="s">
        <v>63</v>
      </c>
      <c r="M3268" s="2" t="s">
        <v>31766</v>
      </c>
      <c r="N3268" s="3" t="s">
        <v>466</v>
      </c>
      <c r="P3268" s="3" t="s">
        <v>64</v>
      </c>
      <c r="Q3268" s="2" t="s">
        <v>31767</v>
      </c>
      <c r="R3268" s="3" t="s">
        <v>27443</v>
      </c>
      <c r="S3268" s="4">
        <v>22</v>
      </c>
      <c r="T3268" s="4">
        <v>22</v>
      </c>
      <c r="U3268" s="5" t="s">
        <v>31546</v>
      </c>
      <c r="V3268" s="5" t="s">
        <v>31546</v>
      </c>
      <c r="W3268" s="5" t="s">
        <v>67</v>
      </c>
      <c r="X3268" s="5" t="s">
        <v>67</v>
      </c>
      <c r="Y3268" s="4">
        <v>337</v>
      </c>
      <c r="Z3268" s="4">
        <v>18</v>
      </c>
      <c r="AA3268" s="4">
        <v>19</v>
      </c>
      <c r="AB3268" s="4">
        <v>1</v>
      </c>
      <c r="AC3268" s="4">
        <v>2</v>
      </c>
      <c r="AD3268" s="4">
        <v>101</v>
      </c>
      <c r="AE3268" s="4">
        <v>102</v>
      </c>
      <c r="AF3268" s="4">
        <v>0</v>
      </c>
      <c r="AG3268" s="4">
        <v>1</v>
      </c>
      <c r="AH3268" s="4">
        <v>93</v>
      </c>
      <c r="AI3268" s="4">
        <v>93</v>
      </c>
      <c r="AJ3268" s="4">
        <v>10</v>
      </c>
      <c r="AK3268" s="4">
        <v>11</v>
      </c>
      <c r="AL3268" s="4">
        <v>49</v>
      </c>
      <c r="AM3268" s="4">
        <v>49</v>
      </c>
      <c r="AN3268" s="4">
        <v>0</v>
      </c>
      <c r="AO3268" s="4">
        <v>0</v>
      </c>
      <c r="AP3268" s="4">
        <v>14</v>
      </c>
      <c r="AQ3268" s="4">
        <v>14</v>
      </c>
      <c r="AR3268" s="3" t="s">
        <v>62</v>
      </c>
      <c r="AS3268" s="3" t="s">
        <v>62</v>
      </c>
      <c r="AT3268" s="3" t="s">
        <v>61</v>
      </c>
      <c r="AU3268" s="6" t="str">
        <f>HYPERLINK("http://catalog.hathitrust.org/Record/002611882","HathiTrust Record")</f>
        <v>HathiTrust Record</v>
      </c>
      <c r="AV3268" s="6" t="str">
        <f>HYPERLINK("http://mcgill.on.worldcat.org/oclc/25283005","Catalog Record")</f>
        <v>Catalog Record</v>
      </c>
      <c r="AW3268" s="6" t="str">
        <f>HYPERLINK("http://www.worldcat.org/oclc/25283005","WorldCat Record")</f>
        <v>WorldCat Record</v>
      </c>
      <c r="AX3268" s="3" t="s">
        <v>31768</v>
      </c>
      <c r="AY3268" s="3" t="s">
        <v>31769</v>
      </c>
      <c r="AZ3268" s="3" t="s">
        <v>31770</v>
      </c>
      <c r="BA3268" s="3" t="s">
        <v>31770</v>
      </c>
      <c r="BB3268" s="3" t="s">
        <v>31771</v>
      </c>
      <c r="BC3268" s="3" t="s">
        <v>102</v>
      </c>
      <c r="BD3268" s="3" t="s">
        <v>68</v>
      </c>
      <c r="BE3268" s="3" t="s">
        <v>31772</v>
      </c>
      <c r="BF3268" s="3" t="s">
        <v>31771</v>
      </c>
      <c r="BG3268" s="3" t="s">
        <v>31773</v>
      </c>
    </row>
    <row r="3269" spans="1:59" ht="58" x14ac:dyDescent="0.35">
      <c r="A3269" s="2" t="s">
        <v>89</v>
      </c>
      <c r="B3269" s="2" t="s">
        <v>90</v>
      </c>
      <c r="C3269" s="2" t="s">
        <v>31774</v>
      </c>
      <c r="D3269" s="2" t="s">
        <v>31775</v>
      </c>
      <c r="E3269" s="2" t="s">
        <v>31776</v>
      </c>
      <c r="G3269" s="3" t="s">
        <v>62</v>
      </c>
      <c r="H3269" s="3" t="s">
        <v>916</v>
      </c>
      <c r="I3269" s="3" t="s">
        <v>62</v>
      </c>
      <c r="J3269" s="3" t="s">
        <v>62</v>
      </c>
      <c r="K3269" s="3" t="s">
        <v>63</v>
      </c>
      <c r="L3269" s="2" t="s">
        <v>31777</v>
      </c>
      <c r="M3269" s="2" t="s">
        <v>31778</v>
      </c>
      <c r="N3269" s="3" t="s">
        <v>741</v>
      </c>
      <c r="O3269" s="2" t="s">
        <v>1941</v>
      </c>
      <c r="P3269" s="3" t="s">
        <v>64</v>
      </c>
      <c r="R3269" s="3" t="s">
        <v>27443</v>
      </c>
      <c r="S3269" s="4">
        <v>2</v>
      </c>
      <c r="T3269" s="4">
        <v>2</v>
      </c>
      <c r="W3269" s="5" t="s">
        <v>22439</v>
      </c>
      <c r="X3269" s="5" t="s">
        <v>22439</v>
      </c>
      <c r="Y3269" s="4">
        <v>1098</v>
      </c>
      <c r="Z3269" s="4">
        <v>22</v>
      </c>
      <c r="AA3269" s="4">
        <v>23</v>
      </c>
      <c r="AB3269" s="4">
        <v>2</v>
      </c>
      <c r="AC3269" s="4">
        <v>3</v>
      </c>
      <c r="AD3269" s="4">
        <v>67</v>
      </c>
      <c r="AE3269" s="4">
        <v>67</v>
      </c>
      <c r="AF3269" s="4">
        <v>0</v>
      </c>
      <c r="AG3269" s="4">
        <v>0</v>
      </c>
      <c r="AH3269" s="4">
        <v>61</v>
      </c>
      <c r="AI3269" s="4">
        <v>61</v>
      </c>
      <c r="AJ3269" s="4">
        <v>3</v>
      </c>
      <c r="AK3269" s="4">
        <v>3</v>
      </c>
      <c r="AL3269" s="4">
        <v>38</v>
      </c>
      <c r="AM3269" s="4">
        <v>38</v>
      </c>
      <c r="AN3269" s="4">
        <v>0</v>
      </c>
      <c r="AO3269" s="4">
        <v>0</v>
      </c>
      <c r="AP3269" s="4">
        <v>5</v>
      </c>
      <c r="AQ3269" s="4">
        <v>5</v>
      </c>
      <c r="AR3269" s="3" t="s">
        <v>62</v>
      </c>
      <c r="AS3269" s="3" t="s">
        <v>62</v>
      </c>
      <c r="AT3269" s="3" t="s">
        <v>62</v>
      </c>
      <c r="AV3269" s="6" t="str">
        <f>HYPERLINK("http://mcgill.on.worldcat.org/oclc/1083699228","Catalog Record")</f>
        <v>Catalog Record</v>
      </c>
      <c r="AW3269" s="6" t="str">
        <f>HYPERLINK("http://www.worldcat.org/oclc/1083699228","WorldCat Record")</f>
        <v>WorldCat Record</v>
      </c>
      <c r="AX3269" s="3" t="s">
        <v>31779</v>
      </c>
      <c r="AY3269" s="3" t="s">
        <v>31780</v>
      </c>
      <c r="AZ3269" s="3" t="s">
        <v>31781</v>
      </c>
      <c r="BA3269" s="3" t="s">
        <v>31781</v>
      </c>
      <c r="BB3269" s="3" t="s">
        <v>31782</v>
      </c>
      <c r="BC3269" s="3" t="s">
        <v>102</v>
      </c>
      <c r="BD3269" s="3" t="s">
        <v>231</v>
      </c>
      <c r="BE3269" s="3" t="s">
        <v>31783</v>
      </c>
      <c r="BF3269" s="3" t="s">
        <v>31782</v>
      </c>
      <c r="BG3269" s="3" t="s">
        <v>31784</v>
      </c>
    </row>
    <row r="3270" spans="1:59" ht="58" x14ac:dyDescent="0.35">
      <c r="A3270" s="2" t="s">
        <v>89</v>
      </c>
      <c r="B3270" s="2" t="s">
        <v>90</v>
      </c>
      <c r="C3270" s="2" t="s">
        <v>31785</v>
      </c>
      <c r="D3270" s="2" t="s">
        <v>31786</v>
      </c>
      <c r="E3270" s="2" t="s">
        <v>31787</v>
      </c>
      <c r="G3270" s="3" t="s">
        <v>62</v>
      </c>
      <c r="I3270" s="3" t="s">
        <v>61</v>
      </c>
      <c r="J3270" s="3" t="s">
        <v>62</v>
      </c>
      <c r="K3270" s="3" t="s">
        <v>63</v>
      </c>
      <c r="L3270" s="2" t="s">
        <v>31788</v>
      </c>
      <c r="M3270" s="2" t="s">
        <v>31789</v>
      </c>
      <c r="N3270" s="3" t="s">
        <v>1455</v>
      </c>
      <c r="P3270" s="3" t="s">
        <v>64</v>
      </c>
      <c r="R3270" s="3" t="s">
        <v>27443</v>
      </c>
      <c r="S3270" s="4">
        <v>15</v>
      </c>
      <c r="T3270" s="4">
        <v>19</v>
      </c>
      <c r="U3270" s="5" t="s">
        <v>7837</v>
      </c>
      <c r="V3270" s="5" t="s">
        <v>7837</v>
      </c>
      <c r="W3270" s="5" t="s">
        <v>67</v>
      </c>
      <c r="X3270" s="5" t="s">
        <v>67</v>
      </c>
      <c r="Y3270" s="4">
        <v>256</v>
      </c>
      <c r="Z3270" s="4">
        <v>15</v>
      </c>
      <c r="AA3270" s="4">
        <v>83</v>
      </c>
      <c r="AB3270" s="4">
        <v>1</v>
      </c>
      <c r="AC3270" s="4">
        <v>15</v>
      </c>
      <c r="AD3270" s="4">
        <v>53</v>
      </c>
      <c r="AE3270" s="4">
        <v>114</v>
      </c>
      <c r="AF3270" s="4">
        <v>0</v>
      </c>
      <c r="AG3270" s="4">
        <v>8</v>
      </c>
      <c r="AH3270" s="4">
        <v>47</v>
      </c>
      <c r="AI3270" s="4">
        <v>81</v>
      </c>
      <c r="AJ3270" s="4">
        <v>6</v>
      </c>
      <c r="AK3270" s="4">
        <v>20</v>
      </c>
      <c r="AL3270" s="4">
        <v>31</v>
      </c>
      <c r="AM3270" s="4">
        <v>44</v>
      </c>
      <c r="AN3270" s="4">
        <v>0</v>
      </c>
      <c r="AO3270" s="4">
        <v>0</v>
      </c>
      <c r="AP3270" s="4">
        <v>8</v>
      </c>
      <c r="AQ3270" s="4">
        <v>40</v>
      </c>
      <c r="AR3270" s="3" t="s">
        <v>62</v>
      </c>
      <c r="AS3270" s="3" t="s">
        <v>62</v>
      </c>
      <c r="AT3270" s="3" t="s">
        <v>62</v>
      </c>
      <c r="AV3270" s="6" t="str">
        <f>HYPERLINK("http://mcgill.on.worldcat.org/oclc/910964890","Catalog Record")</f>
        <v>Catalog Record</v>
      </c>
      <c r="AW3270" s="6" t="str">
        <f>HYPERLINK("http://www.worldcat.org/oclc/910964890","WorldCat Record")</f>
        <v>WorldCat Record</v>
      </c>
      <c r="AX3270" s="3" t="s">
        <v>31790</v>
      </c>
      <c r="AY3270" s="3" t="s">
        <v>31791</v>
      </c>
      <c r="AZ3270" s="3" t="s">
        <v>31792</v>
      </c>
      <c r="BA3270" s="3" t="s">
        <v>31792</v>
      </c>
      <c r="BB3270" s="3" t="s">
        <v>31793</v>
      </c>
      <c r="BC3270" s="3" t="s">
        <v>102</v>
      </c>
      <c r="BD3270" s="3" t="s">
        <v>231</v>
      </c>
      <c r="BE3270" s="3" t="s">
        <v>31794</v>
      </c>
      <c r="BF3270" s="3" t="s">
        <v>31793</v>
      </c>
      <c r="BG3270" s="3" t="s">
        <v>31795</v>
      </c>
    </row>
    <row r="3271" spans="1:59" ht="58" x14ac:dyDescent="0.35">
      <c r="A3271" s="2" t="s">
        <v>89</v>
      </c>
      <c r="B3271" s="2" t="s">
        <v>90</v>
      </c>
      <c r="C3271" s="2" t="s">
        <v>31785</v>
      </c>
      <c r="D3271" s="2" t="s">
        <v>31786</v>
      </c>
      <c r="E3271" s="2" t="s">
        <v>31787</v>
      </c>
      <c r="G3271" s="3" t="s">
        <v>62</v>
      </c>
      <c r="I3271" s="3" t="s">
        <v>61</v>
      </c>
      <c r="J3271" s="3" t="s">
        <v>62</v>
      </c>
      <c r="K3271" s="3" t="s">
        <v>63</v>
      </c>
      <c r="L3271" s="2" t="s">
        <v>31788</v>
      </c>
      <c r="M3271" s="2" t="s">
        <v>31789</v>
      </c>
      <c r="N3271" s="3" t="s">
        <v>1455</v>
      </c>
      <c r="P3271" s="3" t="s">
        <v>64</v>
      </c>
      <c r="R3271" s="3" t="s">
        <v>27443</v>
      </c>
      <c r="S3271" s="4">
        <v>4</v>
      </c>
      <c r="T3271" s="4">
        <v>19</v>
      </c>
      <c r="U3271" s="5" t="s">
        <v>10772</v>
      </c>
      <c r="V3271" s="5" t="s">
        <v>7837</v>
      </c>
      <c r="W3271" s="5" t="s">
        <v>67</v>
      </c>
      <c r="X3271" s="5" t="s">
        <v>67</v>
      </c>
      <c r="Y3271" s="4">
        <v>256</v>
      </c>
      <c r="Z3271" s="4">
        <v>15</v>
      </c>
      <c r="AA3271" s="4">
        <v>83</v>
      </c>
      <c r="AB3271" s="4">
        <v>1</v>
      </c>
      <c r="AC3271" s="4">
        <v>15</v>
      </c>
      <c r="AD3271" s="4">
        <v>53</v>
      </c>
      <c r="AE3271" s="4">
        <v>114</v>
      </c>
      <c r="AF3271" s="4">
        <v>0</v>
      </c>
      <c r="AG3271" s="4">
        <v>8</v>
      </c>
      <c r="AH3271" s="4">
        <v>47</v>
      </c>
      <c r="AI3271" s="4">
        <v>81</v>
      </c>
      <c r="AJ3271" s="4">
        <v>6</v>
      </c>
      <c r="AK3271" s="4">
        <v>20</v>
      </c>
      <c r="AL3271" s="4">
        <v>31</v>
      </c>
      <c r="AM3271" s="4">
        <v>44</v>
      </c>
      <c r="AN3271" s="4">
        <v>0</v>
      </c>
      <c r="AO3271" s="4">
        <v>0</v>
      </c>
      <c r="AP3271" s="4">
        <v>8</v>
      </c>
      <c r="AQ3271" s="4">
        <v>40</v>
      </c>
      <c r="AR3271" s="3" t="s">
        <v>62</v>
      </c>
      <c r="AS3271" s="3" t="s">
        <v>62</v>
      </c>
      <c r="AT3271" s="3" t="s">
        <v>62</v>
      </c>
      <c r="AV3271" s="6" t="str">
        <f>HYPERLINK("http://mcgill.on.worldcat.org/oclc/910964890","Catalog Record")</f>
        <v>Catalog Record</v>
      </c>
      <c r="AW3271" s="6" t="str">
        <f>HYPERLINK("http://www.worldcat.org/oclc/910964890","WorldCat Record")</f>
        <v>WorldCat Record</v>
      </c>
      <c r="AX3271" s="3" t="s">
        <v>31790</v>
      </c>
      <c r="AY3271" s="3" t="s">
        <v>31791</v>
      </c>
      <c r="AZ3271" s="3" t="s">
        <v>31792</v>
      </c>
      <c r="BA3271" s="3" t="s">
        <v>31792</v>
      </c>
      <c r="BB3271" s="3" t="s">
        <v>31796</v>
      </c>
      <c r="BC3271" s="3" t="s">
        <v>102</v>
      </c>
      <c r="BD3271" s="3" t="s">
        <v>68</v>
      </c>
      <c r="BE3271" s="3" t="s">
        <v>31794</v>
      </c>
      <c r="BF3271" s="3" t="s">
        <v>31796</v>
      </c>
      <c r="BG3271" s="3" t="s">
        <v>31797</v>
      </c>
    </row>
    <row r="3272" spans="1:59" ht="58" x14ac:dyDescent="0.35">
      <c r="A3272" s="2" t="s">
        <v>89</v>
      </c>
      <c r="B3272" s="2" t="s">
        <v>90</v>
      </c>
      <c r="C3272" s="2" t="s">
        <v>31798</v>
      </c>
      <c r="D3272" s="2" t="s">
        <v>31799</v>
      </c>
      <c r="E3272" s="2" t="s">
        <v>31800</v>
      </c>
      <c r="G3272" s="3" t="s">
        <v>62</v>
      </c>
      <c r="I3272" s="3" t="s">
        <v>62</v>
      </c>
      <c r="J3272" s="3" t="s">
        <v>62</v>
      </c>
      <c r="K3272" s="3" t="s">
        <v>63</v>
      </c>
      <c r="L3272" s="2" t="s">
        <v>31801</v>
      </c>
      <c r="M3272" s="2" t="s">
        <v>31802</v>
      </c>
      <c r="N3272" s="3" t="s">
        <v>129</v>
      </c>
      <c r="P3272" s="3" t="s">
        <v>64</v>
      </c>
      <c r="R3272" s="3" t="s">
        <v>27443</v>
      </c>
      <c r="S3272" s="4">
        <v>12</v>
      </c>
      <c r="T3272" s="4">
        <v>12</v>
      </c>
      <c r="U3272" s="5" t="s">
        <v>80</v>
      </c>
      <c r="V3272" s="5" t="s">
        <v>80</v>
      </c>
      <c r="W3272" s="5" t="s">
        <v>67</v>
      </c>
      <c r="X3272" s="5" t="s">
        <v>67</v>
      </c>
      <c r="Y3272" s="4">
        <v>241</v>
      </c>
      <c r="Z3272" s="4">
        <v>20</v>
      </c>
      <c r="AA3272" s="4">
        <v>56</v>
      </c>
      <c r="AB3272" s="4">
        <v>2</v>
      </c>
      <c r="AC3272" s="4">
        <v>7</v>
      </c>
      <c r="AD3272" s="4">
        <v>60</v>
      </c>
      <c r="AE3272" s="4">
        <v>73</v>
      </c>
      <c r="AF3272" s="4">
        <v>1</v>
      </c>
      <c r="AG3272" s="4">
        <v>3</v>
      </c>
      <c r="AH3272" s="4">
        <v>50</v>
      </c>
      <c r="AI3272" s="4">
        <v>53</v>
      </c>
      <c r="AJ3272" s="4">
        <v>12</v>
      </c>
      <c r="AK3272" s="4">
        <v>18</v>
      </c>
      <c r="AL3272" s="4">
        <v>32</v>
      </c>
      <c r="AM3272" s="4">
        <v>33</v>
      </c>
      <c r="AN3272" s="4">
        <v>0</v>
      </c>
      <c r="AO3272" s="4">
        <v>0</v>
      </c>
      <c r="AP3272" s="4">
        <v>15</v>
      </c>
      <c r="AQ3272" s="4">
        <v>25</v>
      </c>
      <c r="AR3272" s="3" t="s">
        <v>62</v>
      </c>
      <c r="AS3272" s="3" t="s">
        <v>62</v>
      </c>
      <c r="AT3272" s="3" t="s">
        <v>62</v>
      </c>
      <c r="AV3272" s="6" t="str">
        <f>HYPERLINK("http://mcgill.on.worldcat.org/oclc/844989464","Catalog Record")</f>
        <v>Catalog Record</v>
      </c>
      <c r="AW3272" s="6" t="str">
        <f>HYPERLINK("http://www.worldcat.org/oclc/844989464","WorldCat Record")</f>
        <v>WorldCat Record</v>
      </c>
      <c r="AX3272" s="3" t="s">
        <v>31803</v>
      </c>
      <c r="AY3272" s="3" t="s">
        <v>31804</v>
      </c>
      <c r="AZ3272" s="3" t="s">
        <v>31805</v>
      </c>
      <c r="BA3272" s="3" t="s">
        <v>31805</v>
      </c>
      <c r="BB3272" s="3" t="s">
        <v>31806</v>
      </c>
      <c r="BC3272" s="3" t="s">
        <v>102</v>
      </c>
      <c r="BD3272" s="3" t="s">
        <v>68</v>
      </c>
      <c r="BE3272" s="3" t="s">
        <v>31807</v>
      </c>
      <c r="BF3272" s="3" t="s">
        <v>31806</v>
      </c>
      <c r="BG3272" s="3" t="s">
        <v>31808</v>
      </c>
    </row>
    <row r="3273" spans="1:59" ht="116" x14ac:dyDescent="0.35">
      <c r="A3273" s="2" t="s">
        <v>89</v>
      </c>
      <c r="B3273" s="2" t="s">
        <v>90</v>
      </c>
      <c r="C3273" s="2" t="s">
        <v>31809</v>
      </c>
      <c r="D3273" s="2" t="s">
        <v>31810</v>
      </c>
      <c r="E3273" s="2" t="s">
        <v>31811</v>
      </c>
      <c r="G3273" s="3" t="s">
        <v>62</v>
      </c>
      <c r="I3273" s="3" t="s">
        <v>62</v>
      </c>
      <c r="J3273" s="3" t="s">
        <v>61</v>
      </c>
      <c r="K3273" s="3" t="s">
        <v>916</v>
      </c>
      <c r="L3273" s="2" t="s">
        <v>31812</v>
      </c>
      <c r="M3273" s="2" t="s">
        <v>31813</v>
      </c>
      <c r="N3273" s="3" t="s">
        <v>21070</v>
      </c>
      <c r="P3273" s="3" t="s">
        <v>64</v>
      </c>
      <c r="R3273" s="3" t="s">
        <v>27443</v>
      </c>
      <c r="S3273" s="4">
        <v>2</v>
      </c>
      <c r="T3273" s="4">
        <v>2</v>
      </c>
      <c r="U3273" s="5" t="s">
        <v>27476</v>
      </c>
      <c r="V3273" s="5" t="s">
        <v>27476</v>
      </c>
      <c r="W3273" s="5" t="s">
        <v>67</v>
      </c>
      <c r="X3273" s="5" t="s">
        <v>67</v>
      </c>
      <c r="Y3273" s="4">
        <v>93</v>
      </c>
      <c r="Z3273" s="4">
        <v>9</v>
      </c>
      <c r="AA3273" s="4">
        <v>48</v>
      </c>
      <c r="AB3273" s="4">
        <v>1</v>
      </c>
      <c r="AC3273" s="4">
        <v>5</v>
      </c>
      <c r="AD3273" s="4">
        <v>47</v>
      </c>
      <c r="AE3273" s="4">
        <v>97</v>
      </c>
      <c r="AF3273" s="4">
        <v>0</v>
      </c>
      <c r="AG3273" s="4">
        <v>3</v>
      </c>
      <c r="AH3273" s="4">
        <v>44</v>
      </c>
      <c r="AI3273" s="4">
        <v>76</v>
      </c>
      <c r="AJ3273" s="4">
        <v>6</v>
      </c>
      <c r="AK3273" s="4">
        <v>23</v>
      </c>
      <c r="AL3273" s="4">
        <v>33</v>
      </c>
      <c r="AM3273" s="4">
        <v>43</v>
      </c>
      <c r="AN3273" s="4">
        <v>0</v>
      </c>
      <c r="AO3273" s="4">
        <v>0</v>
      </c>
      <c r="AP3273" s="4">
        <v>5</v>
      </c>
      <c r="AQ3273" s="4">
        <v>29</v>
      </c>
      <c r="AR3273" s="3" t="s">
        <v>62</v>
      </c>
      <c r="AS3273" s="3" t="s">
        <v>61</v>
      </c>
      <c r="AT3273" s="3" t="s">
        <v>62</v>
      </c>
      <c r="AU3273" s="6" t="str">
        <f>HYPERLINK("http://catalog.hathitrust.org/Record/006096384","HathiTrust Record")</f>
        <v>HathiTrust Record</v>
      </c>
      <c r="AV3273" s="6" t="str">
        <f>HYPERLINK("http://mcgill.on.worldcat.org/oclc/2959303","Catalog Record")</f>
        <v>Catalog Record</v>
      </c>
      <c r="AW3273" s="6" t="str">
        <f>HYPERLINK("http://www.worldcat.org/oclc/2959303","WorldCat Record")</f>
        <v>WorldCat Record</v>
      </c>
      <c r="AX3273" s="3" t="s">
        <v>31814</v>
      </c>
      <c r="AY3273" s="3" t="s">
        <v>31815</v>
      </c>
      <c r="AZ3273" s="3" t="s">
        <v>31816</v>
      </c>
      <c r="BA3273" s="3" t="s">
        <v>31816</v>
      </c>
      <c r="BB3273" s="3" t="s">
        <v>31817</v>
      </c>
      <c r="BC3273" s="3" t="s">
        <v>102</v>
      </c>
      <c r="BD3273" s="3" t="s">
        <v>68</v>
      </c>
      <c r="BF3273" s="3" t="s">
        <v>31817</v>
      </c>
      <c r="BG3273" s="3" t="s">
        <v>31818</v>
      </c>
    </row>
    <row r="3274" spans="1:59" ht="58" x14ac:dyDescent="0.35">
      <c r="A3274" s="2" t="s">
        <v>89</v>
      </c>
      <c r="B3274" s="2" t="s">
        <v>90</v>
      </c>
      <c r="C3274" s="2" t="s">
        <v>31819</v>
      </c>
      <c r="D3274" s="2" t="s">
        <v>31820</v>
      </c>
      <c r="E3274" s="2" t="s">
        <v>31821</v>
      </c>
      <c r="G3274" s="3" t="s">
        <v>62</v>
      </c>
      <c r="I3274" s="3" t="s">
        <v>61</v>
      </c>
      <c r="J3274" s="3" t="s">
        <v>62</v>
      </c>
      <c r="K3274" s="3" t="s">
        <v>916</v>
      </c>
      <c r="L3274" s="2" t="s">
        <v>31822</v>
      </c>
      <c r="M3274" s="2" t="s">
        <v>31823</v>
      </c>
      <c r="N3274" s="3" t="s">
        <v>2727</v>
      </c>
      <c r="P3274" s="3" t="s">
        <v>64</v>
      </c>
      <c r="R3274" s="3" t="s">
        <v>27443</v>
      </c>
      <c r="S3274" s="4">
        <v>4</v>
      </c>
      <c r="T3274" s="4">
        <v>4</v>
      </c>
      <c r="U3274" s="5" t="s">
        <v>5131</v>
      </c>
      <c r="V3274" s="5" t="s">
        <v>5131</v>
      </c>
      <c r="W3274" s="5" t="s">
        <v>67</v>
      </c>
      <c r="X3274" s="5" t="s">
        <v>67</v>
      </c>
      <c r="Y3274" s="4">
        <v>167</v>
      </c>
      <c r="Z3274" s="4">
        <v>40</v>
      </c>
      <c r="AA3274" s="4">
        <v>43</v>
      </c>
      <c r="AB3274" s="4">
        <v>2</v>
      </c>
      <c r="AC3274" s="4">
        <v>5</v>
      </c>
      <c r="AD3274" s="4">
        <v>79</v>
      </c>
      <c r="AE3274" s="4">
        <v>82</v>
      </c>
      <c r="AF3274" s="4">
        <v>0</v>
      </c>
      <c r="AG3274" s="4">
        <v>2</v>
      </c>
      <c r="AH3274" s="4">
        <v>62</v>
      </c>
      <c r="AI3274" s="4">
        <v>64</v>
      </c>
      <c r="AJ3274" s="4">
        <v>20</v>
      </c>
      <c r="AK3274" s="4">
        <v>22</v>
      </c>
      <c r="AL3274" s="4">
        <v>32</v>
      </c>
      <c r="AM3274" s="4">
        <v>32</v>
      </c>
      <c r="AN3274" s="4">
        <v>0</v>
      </c>
      <c r="AO3274" s="4">
        <v>0</v>
      </c>
      <c r="AP3274" s="4">
        <v>26</v>
      </c>
      <c r="AQ3274" s="4">
        <v>27</v>
      </c>
      <c r="AR3274" s="3" t="s">
        <v>62</v>
      </c>
      <c r="AS3274" s="3" t="s">
        <v>61</v>
      </c>
      <c r="AT3274" s="3" t="s">
        <v>62</v>
      </c>
      <c r="AU3274" s="6" t="str">
        <f>HYPERLINK("http://catalog.hathitrust.org/Record/001486195","HathiTrust Record")</f>
        <v>HathiTrust Record</v>
      </c>
      <c r="AV3274" s="6" t="str">
        <f>HYPERLINK("http://mcgill.on.worldcat.org/oclc/538522","Catalog Record")</f>
        <v>Catalog Record</v>
      </c>
      <c r="AW3274" s="6" t="str">
        <f>HYPERLINK("http://www.worldcat.org/oclc/538522","WorldCat Record")</f>
        <v>WorldCat Record</v>
      </c>
      <c r="AX3274" s="3" t="s">
        <v>31824</v>
      </c>
      <c r="AY3274" s="3" t="s">
        <v>31825</v>
      </c>
      <c r="AZ3274" s="3" t="s">
        <v>31826</v>
      </c>
      <c r="BA3274" s="3" t="s">
        <v>31826</v>
      </c>
      <c r="BB3274" s="3" t="s">
        <v>31827</v>
      </c>
      <c r="BC3274" s="3" t="s">
        <v>102</v>
      </c>
      <c r="BD3274" s="3" t="s">
        <v>68</v>
      </c>
      <c r="BF3274" s="3" t="s">
        <v>31827</v>
      </c>
      <c r="BG3274" s="3" t="s">
        <v>31828</v>
      </c>
    </row>
    <row r="3275" spans="1:59" ht="72.5" x14ac:dyDescent="0.35">
      <c r="A3275" s="2" t="s">
        <v>89</v>
      </c>
      <c r="B3275" s="2" t="s">
        <v>31829</v>
      </c>
      <c r="C3275" s="2" t="s">
        <v>31830</v>
      </c>
      <c r="D3275" s="2" t="s">
        <v>31831</v>
      </c>
      <c r="E3275" s="2" t="s">
        <v>31832</v>
      </c>
      <c r="G3275" s="3" t="s">
        <v>62</v>
      </c>
      <c r="I3275" s="3" t="s">
        <v>62</v>
      </c>
      <c r="J3275" s="3" t="s">
        <v>62</v>
      </c>
      <c r="K3275" s="3" t="s">
        <v>63</v>
      </c>
      <c r="L3275" s="2" t="s">
        <v>31833</v>
      </c>
      <c r="M3275" s="2" t="s">
        <v>31834</v>
      </c>
      <c r="N3275" s="3" t="s">
        <v>1639</v>
      </c>
      <c r="P3275" s="3" t="s">
        <v>64</v>
      </c>
      <c r="Q3275" s="2" t="s">
        <v>31835</v>
      </c>
      <c r="R3275" s="3" t="s">
        <v>27443</v>
      </c>
      <c r="S3275" s="4">
        <v>2</v>
      </c>
      <c r="T3275" s="4">
        <v>2</v>
      </c>
      <c r="U3275" s="5" t="s">
        <v>4501</v>
      </c>
      <c r="V3275" s="5" t="s">
        <v>4501</v>
      </c>
      <c r="W3275" s="5" t="s">
        <v>67</v>
      </c>
      <c r="X3275" s="5" t="s">
        <v>67</v>
      </c>
      <c r="Y3275" s="4">
        <v>151</v>
      </c>
      <c r="Z3275" s="4">
        <v>41</v>
      </c>
      <c r="AA3275" s="4">
        <v>56</v>
      </c>
      <c r="AB3275" s="4">
        <v>2</v>
      </c>
      <c r="AC3275" s="4">
        <v>6</v>
      </c>
      <c r="AD3275" s="4">
        <v>59</v>
      </c>
      <c r="AE3275" s="4">
        <v>69</v>
      </c>
      <c r="AF3275" s="4">
        <v>1</v>
      </c>
      <c r="AG3275" s="4">
        <v>5</v>
      </c>
      <c r="AH3275" s="4">
        <v>37</v>
      </c>
      <c r="AI3275" s="4">
        <v>41</v>
      </c>
      <c r="AJ3275" s="4">
        <v>16</v>
      </c>
      <c r="AK3275" s="4">
        <v>25</v>
      </c>
      <c r="AL3275" s="4">
        <v>15</v>
      </c>
      <c r="AM3275" s="4">
        <v>16</v>
      </c>
      <c r="AN3275" s="4">
        <v>0</v>
      </c>
      <c r="AO3275" s="4">
        <v>0</v>
      </c>
      <c r="AP3275" s="4">
        <v>27</v>
      </c>
      <c r="AQ3275" s="4">
        <v>36</v>
      </c>
      <c r="AR3275" s="3" t="s">
        <v>61</v>
      </c>
      <c r="AS3275" s="3" t="s">
        <v>62</v>
      </c>
      <c r="AT3275" s="3" t="s">
        <v>61</v>
      </c>
      <c r="AU3275" s="6" t="str">
        <f>HYPERLINK("http://catalog.hathitrust.org/Record/007156147","HathiTrust Record")</f>
        <v>HathiTrust Record</v>
      </c>
      <c r="AV3275" s="6" t="str">
        <f>HYPERLINK("http://mcgill.on.worldcat.org/oclc/96919","Catalog Record")</f>
        <v>Catalog Record</v>
      </c>
      <c r="AW3275" s="6" t="str">
        <f>HYPERLINK("http://www.worldcat.org/oclc/96919","WorldCat Record")</f>
        <v>WorldCat Record</v>
      </c>
      <c r="AX3275" s="3" t="s">
        <v>31836</v>
      </c>
      <c r="AY3275" s="3" t="s">
        <v>31837</v>
      </c>
      <c r="AZ3275" s="3" t="s">
        <v>31838</v>
      </c>
      <c r="BA3275" s="3" t="s">
        <v>31838</v>
      </c>
      <c r="BB3275" s="3" t="s">
        <v>31839</v>
      </c>
      <c r="BC3275" s="3" t="s">
        <v>102</v>
      </c>
      <c r="BD3275" s="3" t="s">
        <v>68</v>
      </c>
      <c r="BE3275" s="3" t="s">
        <v>31840</v>
      </c>
      <c r="BF3275" s="3" t="s">
        <v>31839</v>
      </c>
      <c r="BG3275" s="3" t="s">
        <v>31841</v>
      </c>
    </row>
    <row r="3276" spans="1:59" ht="58" x14ac:dyDescent="0.35">
      <c r="A3276" s="2" t="s">
        <v>89</v>
      </c>
      <c r="B3276" s="2" t="s">
        <v>90</v>
      </c>
      <c r="C3276" s="2" t="s">
        <v>31843</v>
      </c>
      <c r="D3276" s="2" t="s">
        <v>31844</v>
      </c>
      <c r="E3276" s="2" t="s">
        <v>31845</v>
      </c>
      <c r="G3276" s="3" t="s">
        <v>62</v>
      </c>
      <c r="I3276" s="3" t="s">
        <v>62</v>
      </c>
      <c r="J3276" s="3" t="s">
        <v>62</v>
      </c>
      <c r="K3276" s="3" t="s">
        <v>63</v>
      </c>
      <c r="L3276" s="2" t="s">
        <v>31846</v>
      </c>
      <c r="M3276" s="2" t="s">
        <v>31334</v>
      </c>
      <c r="N3276" s="3" t="s">
        <v>625</v>
      </c>
      <c r="P3276" s="3" t="s">
        <v>64</v>
      </c>
      <c r="Q3276" s="2" t="s">
        <v>15099</v>
      </c>
      <c r="R3276" s="3" t="s">
        <v>27443</v>
      </c>
      <c r="S3276" s="4">
        <v>13</v>
      </c>
      <c r="T3276" s="4">
        <v>13</v>
      </c>
      <c r="U3276" s="5" t="s">
        <v>17302</v>
      </c>
      <c r="V3276" s="5" t="s">
        <v>17302</v>
      </c>
      <c r="W3276" s="5" t="s">
        <v>67</v>
      </c>
      <c r="X3276" s="5" t="s">
        <v>67</v>
      </c>
      <c r="Y3276" s="4">
        <v>322</v>
      </c>
      <c r="Z3276" s="4">
        <v>23</v>
      </c>
      <c r="AA3276" s="4">
        <v>81</v>
      </c>
      <c r="AB3276" s="4">
        <v>1</v>
      </c>
      <c r="AC3276" s="4">
        <v>15</v>
      </c>
      <c r="AD3276" s="4">
        <v>104</v>
      </c>
      <c r="AE3276" s="4">
        <v>138</v>
      </c>
      <c r="AF3276" s="4">
        <v>0</v>
      </c>
      <c r="AG3276" s="4">
        <v>8</v>
      </c>
      <c r="AH3276" s="4">
        <v>93</v>
      </c>
      <c r="AI3276" s="4">
        <v>105</v>
      </c>
      <c r="AJ3276" s="4">
        <v>14</v>
      </c>
      <c r="AK3276" s="4">
        <v>24</v>
      </c>
      <c r="AL3276" s="4">
        <v>53</v>
      </c>
      <c r="AM3276" s="4">
        <v>55</v>
      </c>
      <c r="AN3276" s="4">
        <v>0</v>
      </c>
      <c r="AO3276" s="4">
        <v>0</v>
      </c>
      <c r="AP3276" s="4">
        <v>18</v>
      </c>
      <c r="AQ3276" s="4">
        <v>42</v>
      </c>
      <c r="AR3276" s="3" t="s">
        <v>62</v>
      </c>
      <c r="AS3276" s="3" t="s">
        <v>62</v>
      </c>
      <c r="AT3276" s="3" t="s">
        <v>62</v>
      </c>
      <c r="AV3276" s="6" t="str">
        <f>HYPERLINK("http://mcgill.on.worldcat.org/oclc/51172232","Catalog Record")</f>
        <v>Catalog Record</v>
      </c>
      <c r="AW3276" s="6" t="str">
        <f>HYPERLINK("http://www.worldcat.org/oclc/51172232","WorldCat Record")</f>
        <v>WorldCat Record</v>
      </c>
      <c r="AX3276" s="3" t="s">
        <v>31847</v>
      </c>
      <c r="AY3276" s="3" t="s">
        <v>31848</v>
      </c>
      <c r="AZ3276" s="3" t="s">
        <v>31849</v>
      </c>
      <c r="BA3276" s="3" t="s">
        <v>31849</v>
      </c>
      <c r="BB3276" s="3" t="s">
        <v>31850</v>
      </c>
      <c r="BC3276" s="3" t="s">
        <v>102</v>
      </c>
      <c r="BD3276" s="3" t="s">
        <v>68</v>
      </c>
      <c r="BE3276" s="3" t="s">
        <v>31851</v>
      </c>
      <c r="BF3276" s="3" t="s">
        <v>31850</v>
      </c>
      <c r="BG3276" s="3" t="s">
        <v>31852</v>
      </c>
    </row>
    <row r="3277" spans="1:59" ht="58" x14ac:dyDescent="0.35">
      <c r="A3277" s="2" t="s">
        <v>89</v>
      </c>
      <c r="B3277" s="2" t="s">
        <v>90</v>
      </c>
      <c r="C3277" s="2" t="s">
        <v>31853</v>
      </c>
      <c r="D3277" s="2" t="s">
        <v>31854</v>
      </c>
      <c r="E3277" s="2" t="s">
        <v>31855</v>
      </c>
      <c r="G3277" s="3" t="s">
        <v>62</v>
      </c>
      <c r="I3277" s="3" t="s">
        <v>62</v>
      </c>
      <c r="J3277" s="3" t="s">
        <v>62</v>
      </c>
      <c r="K3277" s="3" t="s">
        <v>63</v>
      </c>
      <c r="M3277" s="2" t="s">
        <v>31856</v>
      </c>
      <c r="N3277" s="3" t="s">
        <v>509</v>
      </c>
      <c r="P3277" s="3" t="s">
        <v>64</v>
      </c>
      <c r="Q3277" s="2" t="s">
        <v>31857</v>
      </c>
      <c r="R3277" s="3" t="s">
        <v>27443</v>
      </c>
      <c r="S3277" s="4">
        <v>14</v>
      </c>
      <c r="T3277" s="4">
        <v>14</v>
      </c>
      <c r="U3277" s="5" t="s">
        <v>26967</v>
      </c>
      <c r="V3277" s="5" t="s">
        <v>26967</v>
      </c>
      <c r="W3277" s="5" t="s">
        <v>67</v>
      </c>
      <c r="X3277" s="5" t="s">
        <v>67</v>
      </c>
      <c r="Y3277" s="4">
        <v>109</v>
      </c>
      <c r="Z3277" s="4">
        <v>49</v>
      </c>
      <c r="AA3277" s="4">
        <v>51</v>
      </c>
      <c r="AB3277" s="4">
        <v>2</v>
      </c>
      <c r="AC3277" s="4">
        <v>4</v>
      </c>
      <c r="AD3277" s="4">
        <v>61</v>
      </c>
      <c r="AE3277" s="4">
        <v>63</v>
      </c>
      <c r="AF3277" s="4">
        <v>1</v>
      </c>
      <c r="AG3277" s="4">
        <v>3</v>
      </c>
      <c r="AH3277" s="4">
        <v>37</v>
      </c>
      <c r="AI3277" s="4">
        <v>38</v>
      </c>
      <c r="AJ3277" s="4">
        <v>21</v>
      </c>
      <c r="AK3277" s="4">
        <v>23</v>
      </c>
      <c r="AL3277" s="4">
        <v>19</v>
      </c>
      <c r="AM3277" s="4">
        <v>19</v>
      </c>
      <c r="AN3277" s="4">
        <v>0</v>
      </c>
      <c r="AO3277" s="4">
        <v>0</v>
      </c>
      <c r="AP3277" s="4">
        <v>32</v>
      </c>
      <c r="AQ3277" s="4">
        <v>34</v>
      </c>
      <c r="AR3277" s="3" t="s">
        <v>61</v>
      </c>
      <c r="AS3277" s="3" t="s">
        <v>62</v>
      </c>
      <c r="AT3277" s="3" t="s">
        <v>61</v>
      </c>
      <c r="AU3277" s="6" t="str">
        <f>HYPERLINK("http://catalog.hathitrust.org/Record/003075237","HathiTrust Record")</f>
        <v>HathiTrust Record</v>
      </c>
      <c r="AV3277" s="6" t="str">
        <f>HYPERLINK("http://mcgill.on.worldcat.org/oclc/31442069","Catalog Record")</f>
        <v>Catalog Record</v>
      </c>
      <c r="AW3277" s="6" t="str">
        <f>HYPERLINK("http://www.worldcat.org/oclc/31442069","WorldCat Record")</f>
        <v>WorldCat Record</v>
      </c>
      <c r="AX3277" s="3" t="s">
        <v>31858</v>
      </c>
      <c r="AY3277" s="3" t="s">
        <v>31859</v>
      </c>
      <c r="AZ3277" s="3" t="s">
        <v>31860</v>
      </c>
      <c r="BA3277" s="3" t="s">
        <v>31860</v>
      </c>
      <c r="BB3277" s="3" t="s">
        <v>31861</v>
      </c>
      <c r="BC3277" s="3" t="s">
        <v>102</v>
      </c>
      <c r="BD3277" s="3" t="s">
        <v>68</v>
      </c>
      <c r="BE3277" s="3" t="s">
        <v>31862</v>
      </c>
      <c r="BF3277" s="3" t="s">
        <v>31861</v>
      </c>
      <c r="BG3277" s="3" t="s">
        <v>31863</v>
      </c>
    </row>
    <row r="3278" spans="1:59" ht="58" x14ac:dyDescent="0.35">
      <c r="A3278" s="2" t="s">
        <v>89</v>
      </c>
      <c r="B3278" s="2" t="s">
        <v>90</v>
      </c>
      <c r="C3278" s="2" t="s">
        <v>31864</v>
      </c>
      <c r="D3278" s="2" t="s">
        <v>31865</v>
      </c>
      <c r="E3278" s="2" t="s">
        <v>31866</v>
      </c>
      <c r="G3278" s="3" t="s">
        <v>62</v>
      </c>
      <c r="I3278" s="3" t="s">
        <v>62</v>
      </c>
      <c r="J3278" s="3" t="s">
        <v>62</v>
      </c>
      <c r="K3278" s="3" t="s">
        <v>63</v>
      </c>
      <c r="L3278" s="2" t="s">
        <v>31867</v>
      </c>
      <c r="M3278" s="2" t="s">
        <v>15098</v>
      </c>
      <c r="N3278" s="3" t="s">
        <v>2975</v>
      </c>
      <c r="P3278" s="3" t="s">
        <v>64</v>
      </c>
      <c r="Q3278" s="2" t="s">
        <v>31868</v>
      </c>
      <c r="R3278" s="3" t="s">
        <v>27443</v>
      </c>
      <c r="S3278" s="4">
        <v>5</v>
      </c>
      <c r="T3278" s="4">
        <v>5</v>
      </c>
      <c r="U3278" s="5" t="s">
        <v>2188</v>
      </c>
      <c r="V3278" s="5" t="s">
        <v>2188</v>
      </c>
      <c r="W3278" s="5" t="s">
        <v>67</v>
      </c>
      <c r="X3278" s="5" t="s">
        <v>67</v>
      </c>
      <c r="Y3278" s="4">
        <v>217</v>
      </c>
      <c r="Z3278" s="4">
        <v>18</v>
      </c>
      <c r="AA3278" s="4">
        <v>111</v>
      </c>
      <c r="AB3278" s="4">
        <v>2</v>
      </c>
      <c r="AC3278" s="4">
        <v>18</v>
      </c>
      <c r="AD3278" s="4">
        <v>83</v>
      </c>
      <c r="AE3278" s="4">
        <v>135</v>
      </c>
      <c r="AF3278" s="4">
        <v>1</v>
      </c>
      <c r="AG3278" s="4">
        <v>8</v>
      </c>
      <c r="AH3278" s="4">
        <v>73</v>
      </c>
      <c r="AI3278" s="4">
        <v>97</v>
      </c>
      <c r="AJ3278" s="4">
        <v>12</v>
      </c>
      <c r="AK3278" s="4">
        <v>24</v>
      </c>
      <c r="AL3278" s="4">
        <v>43</v>
      </c>
      <c r="AM3278" s="4">
        <v>53</v>
      </c>
      <c r="AN3278" s="4">
        <v>0</v>
      </c>
      <c r="AO3278" s="4">
        <v>0</v>
      </c>
      <c r="AP3278" s="4">
        <v>16</v>
      </c>
      <c r="AQ3278" s="4">
        <v>46</v>
      </c>
      <c r="AR3278" s="3" t="s">
        <v>62</v>
      </c>
      <c r="AS3278" s="3" t="s">
        <v>62</v>
      </c>
      <c r="AT3278" s="3" t="s">
        <v>62</v>
      </c>
      <c r="AV3278" s="6" t="str">
        <f>HYPERLINK("http://mcgill.on.worldcat.org/oclc/46472050","Catalog Record")</f>
        <v>Catalog Record</v>
      </c>
      <c r="AW3278" s="6" t="str">
        <f>HYPERLINK("http://www.worldcat.org/oclc/46472050","WorldCat Record")</f>
        <v>WorldCat Record</v>
      </c>
      <c r="AX3278" s="3" t="s">
        <v>31869</v>
      </c>
      <c r="AY3278" s="3" t="s">
        <v>31870</v>
      </c>
      <c r="AZ3278" s="3" t="s">
        <v>31871</v>
      </c>
      <c r="BA3278" s="3" t="s">
        <v>31871</v>
      </c>
      <c r="BB3278" s="3" t="s">
        <v>31872</v>
      </c>
      <c r="BC3278" s="3" t="s">
        <v>102</v>
      </c>
      <c r="BD3278" s="3" t="s">
        <v>68</v>
      </c>
      <c r="BE3278" s="3" t="s">
        <v>31873</v>
      </c>
      <c r="BF3278" s="3" t="s">
        <v>31872</v>
      </c>
      <c r="BG3278" s="3" t="s">
        <v>31874</v>
      </c>
    </row>
    <row r="3279" spans="1:59" ht="58" x14ac:dyDescent="0.35">
      <c r="A3279" s="2" t="s">
        <v>89</v>
      </c>
      <c r="B3279" s="2" t="s">
        <v>90</v>
      </c>
      <c r="C3279" s="2" t="s">
        <v>31875</v>
      </c>
      <c r="D3279" s="2" t="s">
        <v>31876</v>
      </c>
      <c r="E3279" s="2" t="s">
        <v>31877</v>
      </c>
      <c r="G3279" s="3" t="s">
        <v>62</v>
      </c>
      <c r="I3279" s="3" t="s">
        <v>61</v>
      </c>
      <c r="J3279" s="3" t="s">
        <v>62</v>
      </c>
      <c r="K3279" s="3" t="s">
        <v>63</v>
      </c>
      <c r="L3279" s="2" t="s">
        <v>31878</v>
      </c>
      <c r="M3279" s="2" t="s">
        <v>31879</v>
      </c>
      <c r="N3279" s="3" t="s">
        <v>568</v>
      </c>
      <c r="P3279" s="3" t="s">
        <v>64</v>
      </c>
      <c r="R3279" s="3" t="s">
        <v>27443</v>
      </c>
      <c r="S3279" s="4">
        <v>7</v>
      </c>
      <c r="T3279" s="4">
        <v>27</v>
      </c>
      <c r="U3279" s="5" t="s">
        <v>22190</v>
      </c>
      <c r="V3279" s="5" t="s">
        <v>22190</v>
      </c>
      <c r="W3279" s="5" t="s">
        <v>67</v>
      </c>
      <c r="X3279" s="5" t="s">
        <v>67</v>
      </c>
      <c r="Y3279" s="4">
        <v>1500</v>
      </c>
      <c r="Z3279" s="4">
        <v>74</v>
      </c>
      <c r="AA3279" s="4">
        <v>95</v>
      </c>
      <c r="AB3279" s="4">
        <v>4</v>
      </c>
      <c r="AC3279" s="4">
        <v>13</v>
      </c>
      <c r="AD3279" s="4">
        <v>136</v>
      </c>
      <c r="AE3279" s="4">
        <v>149</v>
      </c>
      <c r="AF3279" s="4">
        <v>1</v>
      </c>
      <c r="AG3279" s="4">
        <v>6</v>
      </c>
      <c r="AH3279" s="4">
        <v>109</v>
      </c>
      <c r="AI3279" s="4">
        <v>112</v>
      </c>
      <c r="AJ3279" s="4">
        <v>22</v>
      </c>
      <c r="AK3279" s="4">
        <v>26</v>
      </c>
      <c r="AL3279" s="4">
        <v>56</v>
      </c>
      <c r="AM3279" s="4">
        <v>58</v>
      </c>
      <c r="AN3279" s="4">
        <v>0</v>
      </c>
      <c r="AO3279" s="4">
        <v>0</v>
      </c>
      <c r="AP3279" s="4">
        <v>36</v>
      </c>
      <c r="AQ3279" s="4">
        <v>46</v>
      </c>
      <c r="AR3279" s="3" t="s">
        <v>62</v>
      </c>
      <c r="AS3279" s="3" t="s">
        <v>62</v>
      </c>
      <c r="AT3279" s="3" t="s">
        <v>61</v>
      </c>
      <c r="AU3279" s="6" t="str">
        <f>HYPERLINK("http://catalog.hathitrust.org/Record/004144927","HathiTrust Record")</f>
        <v>HathiTrust Record</v>
      </c>
      <c r="AV3279" s="6" t="str">
        <f>HYPERLINK("http://mcgill.on.worldcat.org/oclc/45093768","Catalog Record")</f>
        <v>Catalog Record</v>
      </c>
      <c r="AW3279" s="6" t="str">
        <f>HYPERLINK("http://www.worldcat.org/oclc/45093768","WorldCat Record")</f>
        <v>WorldCat Record</v>
      </c>
      <c r="AX3279" s="3" t="s">
        <v>31880</v>
      </c>
      <c r="AY3279" s="3" t="s">
        <v>31881</v>
      </c>
      <c r="AZ3279" s="3" t="s">
        <v>31882</v>
      </c>
      <c r="BA3279" s="3" t="s">
        <v>31882</v>
      </c>
      <c r="BB3279" s="3" t="s">
        <v>31883</v>
      </c>
      <c r="BC3279" s="3" t="s">
        <v>102</v>
      </c>
      <c r="BD3279" s="3" t="s">
        <v>68</v>
      </c>
      <c r="BE3279" s="3" t="s">
        <v>31884</v>
      </c>
      <c r="BF3279" s="3" t="s">
        <v>31883</v>
      </c>
      <c r="BG3279" s="3" t="s">
        <v>31885</v>
      </c>
    </row>
    <row r="3280" spans="1:59" ht="58" x14ac:dyDescent="0.35">
      <c r="A3280" s="2" t="s">
        <v>89</v>
      </c>
      <c r="B3280" s="2" t="s">
        <v>90</v>
      </c>
      <c r="C3280" s="2" t="s">
        <v>31886</v>
      </c>
      <c r="D3280" s="2" t="s">
        <v>31887</v>
      </c>
      <c r="E3280" s="2" t="s">
        <v>31888</v>
      </c>
      <c r="F3280" s="3" t="s">
        <v>2217</v>
      </c>
      <c r="G3280" s="3" t="s">
        <v>61</v>
      </c>
      <c r="I3280" s="3" t="s">
        <v>62</v>
      </c>
      <c r="J3280" s="3" t="s">
        <v>62</v>
      </c>
      <c r="K3280" s="3" t="s">
        <v>63</v>
      </c>
      <c r="L3280" s="2" t="s">
        <v>31889</v>
      </c>
      <c r="M3280" s="2" t="s">
        <v>31890</v>
      </c>
      <c r="N3280" s="3" t="s">
        <v>640</v>
      </c>
      <c r="P3280" s="3" t="s">
        <v>85</v>
      </c>
      <c r="R3280" s="3" t="s">
        <v>27443</v>
      </c>
      <c r="S3280" s="4">
        <v>5</v>
      </c>
      <c r="T3280" s="4">
        <v>5</v>
      </c>
      <c r="U3280" s="5" t="s">
        <v>22190</v>
      </c>
      <c r="V3280" s="5" t="s">
        <v>22190</v>
      </c>
      <c r="W3280" s="5" t="s">
        <v>67</v>
      </c>
      <c r="X3280" s="5" t="s">
        <v>67</v>
      </c>
      <c r="Y3280" s="4">
        <v>65</v>
      </c>
      <c r="Z3280" s="4">
        <v>7</v>
      </c>
      <c r="AA3280" s="4">
        <v>18</v>
      </c>
      <c r="AB3280" s="4">
        <v>1</v>
      </c>
      <c r="AC3280" s="4">
        <v>11</v>
      </c>
      <c r="AD3280" s="4">
        <v>38</v>
      </c>
      <c r="AE3280" s="4">
        <v>45</v>
      </c>
      <c r="AF3280" s="4">
        <v>0</v>
      </c>
      <c r="AG3280" s="4">
        <v>5</v>
      </c>
      <c r="AH3280" s="4">
        <v>36</v>
      </c>
      <c r="AI3280" s="4">
        <v>38</v>
      </c>
      <c r="AJ3280" s="4">
        <v>5</v>
      </c>
      <c r="AK3280" s="4">
        <v>9</v>
      </c>
      <c r="AL3280" s="4">
        <v>26</v>
      </c>
      <c r="AM3280" s="4">
        <v>27</v>
      </c>
      <c r="AN3280" s="4">
        <v>0</v>
      </c>
      <c r="AO3280" s="4">
        <v>0</v>
      </c>
      <c r="AP3280" s="4">
        <v>5</v>
      </c>
      <c r="AQ3280" s="4">
        <v>10</v>
      </c>
      <c r="AR3280" s="3" t="s">
        <v>62</v>
      </c>
      <c r="AS3280" s="3" t="s">
        <v>62</v>
      </c>
      <c r="AT3280" s="3" t="s">
        <v>61</v>
      </c>
      <c r="AU3280" s="6" t="str">
        <f>HYPERLINK("http://catalog.hathitrust.org/Record/004766153","HathiTrust Record")</f>
        <v>HathiTrust Record</v>
      </c>
      <c r="AV3280" s="6" t="str">
        <f>HYPERLINK("http://mcgill.on.worldcat.org/oclc/56498770","Catalog Record")</f>
        <v>Catalog Record</v>
      </c>
      <c r="AW3280" s="6" t="str">
        <f>HYPERLINK("http://www.worldcat.org/oclc/56498770","WorldCat Record")</f>
        <v>WorldCat Record</v>
      </c>
      <c r="AX3280" s="3" t="s">
        <v>31891</v>
      </c>
      <c r="AY3280" s="3" t="s">
        <v>31892</v>
      </c>
      <c r="AZ3280" s="3" t="s">
        <v>31893</v>
      </c>
      <c r="BA3280" s="3" t="s">
        <v>31893</v>
      </c>
      <c r="BB3280" s="3" t="s">
        <v>31894</v>
      </c>
      <c r="BC3280" s="3" t="s">
        <v>102</v>
      </c>
      <c r="BD3280" s="3" t="s">
        <v>68</v>
      </c>
      <c r="BE3280" s="3" t="s">
        <v>31895</v>
      </c>
      <c r="BF3280" s="3" t="s">
        <v>31894</v>
      </c>
      <c r="BG3280" s="3" t="s">
        <v>31896</v>
      </c>
    </row>
    <row r="3281" spans="1:59" ht="58" x14ac:dyDescent="0.35">
      <c r="A3281" s="2" t="s">
        <v>89</v>
      </c>
      <c r="B3281" s="2" t="s">
        <v>90</v>
      </c>
      <c r="C3281" s="2" t="s">
        <v>31897</v>
      </c>
      <c r="D3281" s="2" t="s">
        <v>31898</v>
      </c>
      <c r="E3281" s="2" t="s">
        <v>31899</v>
      </c>
      <c r="G3281" s="3" t="s">
        <v>62</v>
      </c>
      <c r="I3281" s="3" t="s">
        <v>61</v>
      </c>
      <c r="J3281" s="3" t="s">
        <v>62</v>
      </c>
      <c r="K3281" s="3" t="s">
        <v>63</v>
      </c>
      <c r="L3281" s="2" t="s">
        <v>31889</v>
      </c>
      <c r="M3281" s="2" t="s">
        <v>31900</v>
      </c>
      <c r="N3281" s="3" t="s">
        <v>954</v>
      </c>
      <c r="P3281" s="3" t="s">
        <v>85</v>
      </c>
      <c r="Q3281" s="2" t="s">
        <v>31901</v>
      </c>
      <c r="R3281" s="3" t="s">
        <v>27443</v>
      </c>
      <c r="S3281" s="4">
        <v>11</v>
      </c>
      <c r="T3281" s="4">
        <v>17</v>
      </c>
      <c r="U3281" s="5" t="s">
        <v>25358</v>
      </c>
      <c r="V3281" s="5" t="s">
        <v>20934</v>
      </c>
      <c r="W3281" s="5" t="s">
        <v>67</v>
      </c>
      <c r="X3281" s="5" t="s">
        <v>67</v>
      </c>
      <c r="Y3281" s="4">
        <v>161</v>
      </c>
      <c r="Z3281" s="4">
        <v>15</v>
      </c>
      <c r="AA3281" s="4">
        <v>37</v>
      </c>
      <c r="AB3281" s="4">
        <v>2</v>
      </c>
      <c r="AC3281" s="4">
        <v>16</v>
      </c>
      <c r="AD3281" s="4">
        <v>66</v>
      </c>
      <c r="AE3281" s="4">
        <v>84</v>
      </c>
      <c r="AF3281" s="4">
        <v>0</v>
      </c>
      <c r="AG3281" s="4">
        <v>5</v>
      </c>
      <c r="AH3281" s="4">
        <v>60</v>
      </c>
      <c r="AI3281" s="4">
        <v>71</v>
      </c>
      <c r="AJ3281" s="4">
        <v>11</v>
      </c>
      <c r="AK3281" s="4">
        <v>17</v>
      </c>
      <c r="AL3281" s="4">
        <v>44</v>
      </c>
      <c r="AM3281" s="4">
        <v>46</v>
      </c>
      <c r="AN3281" s="4">
        <v>0</v>
      </c>
      <c r="AO3281" s="4">
        <v>0</v>
      </c>
      <c r="AP3281" s="4">
        <v>10</v>
      </c>
      <c r="AQ3281" s="4">
        <v>19</v>
      </c>
      <c r="AR3281" s="3" t="s">
        <v>62</v>
      </c>
      <c r="AS3281" s="3" t="s">
        <v>62</v>
      </c>
      <c r="AT3281" s="3" t="s">
        <v>61</v>
      </c>
      <c r="AU3281" s="6" t="str">
        <f>HYPERLINK("http://catalog.hathitrust.org/Record/001486202","HathiTrust Record")</f>
        <v>HathiTrust Record</v>
      </c>
      <c r="AV3281" s="6" t="str">
        <f>HYPERLINK("http://mcgill.on.worldcat.org/oclc/244123","Catalog Record")</f>
        <v>Catalog Record</v>
      </c>
      <c r="AW3281" s="6" t="str">
        <f>HYPERLINK("http://www.worldcat.org/oclc/244123","WorldCat Record")</f>
        <v>WorldCat Record</v>
      </c>
      <c r="AX3281" s="3" t="s">
        <v>31902</v>
      </c>
      <c r="AY3281" s="3" t="s">
        <v>31903</v>
      </c>
      <c r="AZ3281" s="3" t="s">
        <v>31904</v>
      </c>
      <c r="BA3281" s="3" t="s">
        <v>31904</v>
      </c>
      <c r="BB3281" s="3" t="s">
        <v>31905</v>
      </c>
      <c r="BC3281" s="3" t="s">
        <v>102</v>
      </c>
      <c r="BD3281" s="3" t="s">
        <v>231</v>
      </c>
      <c r="BF3281" s="3" t="s">
        <v>31905</v>
      </c>
      <c r="BG3281" s="3" t="s">
        <v>31906</v>
      </c>
    </row>
    <row r="3282" spans="1:59" ht="58" x14ac:dyDescent="0.35">
      <c r="A3282" s="2" t="s">
        <v>89</v>
      </c>
      <c r="B3282" s="2" t="s">
        <v>90</v>
      </c>
      <c r="C3282" s="2" t="s">
        <v>31907</v>
      </c>
      <c r="D3282" s="2" t="s">
        <v>31908</v>
      </c>
      <c r="E3282" s="2" t="s">
        <v>31909</v>
      </c>
      <c r="G3282" s="3" t="s">
        <v>62</v>
      </c>
      <c r="I3282" s="3" t="s">
        <v>61</v>
      </c>
      <c r="J3282" s="3" t="s">
        <v>62</v>
      </c>
      <c r="K3282" s="3" t="s">
        <v>63</v>
      </c>
      <c r="L3282" s="2" t="s">
        <v>31910</v>
      </c>
      <c r="M3282" s="2" t="s">
        <v>31911</v>
      </c>
      <c r="N3282" s="3" t="s">
        <v>2702</v>
      </c>
      <c r="P3282" s="3" t="s">
        <v>64</v>
      </c>
      <c r="Q3282" s="2" t="s">
        <v>31912</v>
      </c>
      <c r="R3282" s="3" t="s">
        <v>27443</v>
      </c>
      <c r="S3282" s="4">
        <v>1</v>
      </c>
      <c r="T3282" s="4">
        <v>1</v>
      </c>
      <c r="U3282" s="5" t="s">
        <v>31913</v>
      </c>
      <c r="V3282" s="5" t="s">
        <v>31913</v>
      </c>
      <c r="W3282" s="5" t="s">
        <v>67</v>
      </c>
      <c r="X3282" s="5" t="s">
        <v>67</v>
      </c>
      <c r="Y3282" s="4">
        <v>178</v>
      </c>
      <c r="Z3282" s="4">
        <v>12</v>
      </c>
      <c r="AA3282" s="4">
        <v>22</v>
      </c>
      <c r="AB3282" s="4">
        <v>1</v>
      </c>
      <c r="AC3282" s="4">
        <v>1</v>
      </c>
      <c r="AD3282" s="4">
        <v>55</v>
      </c>
      <c r="AE3282" s="4">
        <v>71</v>
      </c>
      <c r="AF3282" s="4">
        <v>0</v>
      </c>
      <c r="AG3282" s="4">
        <v>0</v>
      </c>
      <c r="AH3282" s="4">
        <v>49</v>
      </c>
      <c r="AI3282" s="4">
        <v>61</v>
      </c>
      <c r="AJ3282" s="4">
        <v>6</v>
      </c>
      <c r="AK3282" s="4">
        <v>14</v>
      </c>
      <c r="AL3282" s="4">
        <v>27</v>
      </c>
      <c r="AM3282" s="4">
        <v>34</v>
      </c>
      <c r="AN3282" s="4">
        <v>0</v>
      </c>
      <c r="AO3282" s="4">
        <v>0</v>
      </c>
      <c r="AP3282" s="4">
        <v>9</v>
      </c>
      <c r="AQ3282" s="4">
        <v>17</v>
      </c>
      <c r="AR3282" s="3" t="s">
        <v>62</v>
      </c>
      <c r="AS3282" s="3" t="s">
        <v>62</v>
      </c>
      <c r="AT3282" s="3" t="s">
        <v>61</v>
      </c>
      <c r="AU3282" s="6" t="str">
        <f>HYPERLINK("http://catalog.hathitrust.org/Record/001486214","HathiTrust Record")</f>
        <v>HathiTrust Record</v>
      </c>
      <c r="AV3282" s="6" t="str">
        <f>HYPERLINK("http://mcgill.on.worldcat.org/oclc/543679","Catalog Record")</f>
        <v>Catalog Record</v>
      </c>
      <c r="AW3282" s="6" t="str">
        <f>HYPERLINK("http://www.worldcat.org/oclc/543679","WorldCat Record")</f>
        <v>WorldCat Record</v>
      </c>
      <c r="AX3282" s="3" t="s">
        <v>31914</v>
      </c>
      <c r="AY3282" s="3" t="s">
        <v>31915</v>
      </c>
      <c r="AZ3282" s="3" t="s">
        <v>31916</v>
      </c>
      <c r="BA3282" s="3" t="s">
        <v>31916</v>
      </c>
      <c r="BB3282" s="3" t="s">
        <v>31917</v>
      </c>
      <c r="BC3282" s="3" t="s">
        <v>102</v>
      </c>
      <c r="BD3282" s="3" t="s">
        <v>68</v>
      </c>
      <c r="BF3282" s="3" t="s">
        <v>31917</v>
      </c>
      <c r="BG3282" s="3" t="s">
        <v>31918</v>
      </c>
    </row>
    <row r="3283" spans="1:59" ht="116" x14ac:dyDescent="0.35">
      <c r="A3283" s="2" t="s">
        <v>89</v>
      </c>
      <c r="B3283" s="2" t="s">
        <v>90</v>
      </c>
      <c r="C3283" s="2" t="s">
        <v>31919</v>
      </c>
      <c r="D3283" s="2" t="s">
        <v>31920</v>
      </c>
      <c r="E3283" s="2" t="s">
        <v>31921</v>
      </c>
      <c r="G3283" s="3" t="s">
        <v>62</v>
      </c>
      <c r="I3283" s="3" t="s">
        <v>62</v>
      </c>
      <c r="J3283" s="3" t="s">
        <v>62</v>
      </c>
      <c r="K3283" s="3" t="s">
        <v>63</v>
      </c>
      <c r="L3283" s="2" t="s">
        <v>31922</v>
      </c>
      <c r="M3283" s="2" t="s">
        <v>31923</v>
      </c>
      <c r="N3283" s="3" t="s">
        <v>31924</v>
      </c>
      <c r="P3283" s="3" t="s">
        <v>64</v>
      </c>
      <c r="R3283" s="3" t="s">
        <v>27443</v>
      </c>
      <c r="S3283" s="4">
        <v>1</v>
      </c>
      <c r="T3283" s="4">
        <v>1</v>
      </c>
      <c r="U3283" s="5" t="s">
        <v>27476</v>
      </c>
      <c r="V3283" s="5" t="s">
        <v>27476</v>
      </c>
      <c r="W3283" s="5" t="s">
        <v>67</v>
      </c>
      <c r="X3283" s="5" t="s">
        <v>67</v>
      </c>
      <c r="Y3283" s="4">
        <v>34</v>
      </c>
      <c r="Z3283" s="4">
        <v>2</v>
      </c>
      <c r="AA3283" s="4">
        <v>6</v>
      </c>
      <c r="AB3283" s="4">
        <v>1</v>
      </c>
      <c r="AC3283" s="4">
        <v>1</v>
      </c>
      <c r="AD3283" s="4">
        <v>16</v>
      </c>
      <c r="AE3283" s="4">
        <v>47</v>
      </c>
      <c r="AF3283" s="4">
        <v>0</v>
      </c>
      <c r="AG3283" s="4">
        <v>0</v>
      </c>
      <c r="AH3283" s="4">
        <v>15</v>
      </c>
      <c r="AI3283" s="4">
        <v>45</v>
      </c>
      <c r="AJ3283" s="4">
        <v>1</v>
      </c>
      <c r="AK3283" s="4">
        <v>4</v>
      </c>
      <c r="AL3283" s="4">
        <v>12</v>
      </c>
      <c r="AM3283" s="4">
        <v>30</v>
      </c>
      <c r="AN3283" s="4">
        <v>0</v>
      </c>
      <c r="AO3283" s="4">
        <v>0</v>
      </c>
      <c r="AP3283" s="4">
        <v>1</v>
      </c>
      <c r="AQ3283" s="4">
        <v>4</v>
      </c>
      <c r="AR3283" s="3" t="s">
        <v>62</v>
      </c>
      <c r="AS3283" s="3" t="s">
        <v>61</v>
      </c>
      <c r="AT3283" s="3" t="s">
        <v>62</v>
      </c>
      <c r="AU3283" s="6" t="str">
        <f>HYPERLINK("http://catalog.hathitrust.org/Record/010824474","HathiTrust Record")</f>
        <v>HathiTrust Record</v>
      </c>
      <c r="AV3283" s="6" t="str">
        <f>HYPERLINK("http://mcgill.on.worldcat.org/oclc/9706462","Catalog Record")</f>
        <v>Catalog Record</v>
      </c>
      <c r="AW3283" s="6" t="str">
        <f>HYPERLINK("http://www.worldcat.org/oclc/9706462","WorldCat Record")</f>
        <v>WorldCat Record</v>
      </c>
      <c r="AX3283" s="3" t="s">
        <v>31925</v>
      </c>
      <c r="AY3283" s="3" t="s">
        <v>31926</v>
      </c>
      <c r="AZ3283" s="3" t="s">
        <v>31927</v>
      </c>
      <c r="BA3283" s="3" t="s">
        <v>31927</v>
      </c>
      <c r="BB3283" s="3" t="s">
        <v>31928</v>
      </c>
      <c r="BC3283" s="3" t="s">
        <v>102</v>
      </c>
      <c r="BD3283" s="3" t="s">
        <v>68</v>
      </c>
      <c r="BF3283" s="3" t="s">
        <v>31928</v>
      </c>
      <c r="BG3283" s="3" t="s">
        <v>31929</v>
      </c>
    </row>
    <row r="3284" spans="1:59" ht="116" x14ac:dyDescent="0.35">
      <c r="A3284" s="2" t="s">
        <v>89</v>
      </c>
      <c r="B3284" s="2" t="s">
        <v>3312</v>
      </c>
      <c r="C3284" s="2" t="s">
        <v>31930</v>
      </c>
      <c r="D3284" s="2" t="s">
        <v>31931</v>
      </c>
      <c r="E3284" s="2" t="s">
        <v>31932</v>
      </c>
      <c r="G3284" s="3" t="s">
        <v>62</v>
      </c>
      <c r="I3284" s="3" t="s">
        <v>62</v>
      </c>
      <c r="J3284" s="3" t="s">
        <v>61</v>
      </c>
      <c r="K3284" s="3" t="s">
        <v>63</v>
      </c>
      <c r="L3284" s="2" t="s">
        <v>31933</v>
      </c>
      <c r="M3284" s="2" t="s">
        <v>31934</v>
      </c>
      <c r="N3284" s="3" t="s">
        <v>2085</v>
      </c>
      <c r="O3284" s="2" t="s">
        <v>1674</v>
      </c>
      <c r="P3284" s="3" t="s">
        <v>1675</v>
      </c>
      <c r="R3284" s="3" t="s">
        <v>27443</v>
      </c>
      <c r="S3284" s="4">
        <v>0</v>
      </c>
      <c r="T3284" s="4">
        <v>0</v>
      </c>
      <c r="W3284" s="5" t="s">
        <v>67</v>
      </c>
      <c r="X3284" s="5" t="s">
        <v>67</v>
      </c>
      <c r="Y3284" s="4">
        <v>10</v>
      </c>
      <c r="Z3284" s="4">
        <v>2</v>
      </c>
      <c r="AA3284" s="4">
        <v>2</v>
      </c>
      <c r="AB3284" s="4">
        <v>1</v>
      </c>
      <c r="AC3284" s="4">
        <v>1</v>
      </c>
      <c r="AD3284" s="4">
        <v>3</v>
      </c>
      <c r="AE3284" s="4">
        <v>5</v>
      </c>
      <c r="AF3284" s="4">
        <v>0</v>
      </c>
      <c r="AG3284" s="4">
        <v>0</v>
      </c>
      <c r="AH3284" s="4">
        <v>3</v>
      </c>
      <c r="AI3284" s="4">
        <v>5</v>
      </c>
      <c r="AJ3284" s="4">
        <v>0</v>
      </c>
      <c r="AK3284" s="4">
        <v>0</v>
      </c>
      <c r="AL3284" s="4">
        <v>2</v>
      </c>
      <c r="AM3284" s="4">
        <v>3</v>
      </c>
      <c r="AN3284" s="4">
        <v>0</v>
      </c>
      <c r="AO3284" s="4">
        <v>0</v>
      </c>
      <c r="AP3284" s="4">
        <v>0</v>
      </c>
      <c r="AQ3284" s="4">
        <v>0</v>
      </c>
      <c r="AR3284" s="3" t="s">
        <v>62</v>
      </c>
      <c r="AS3284" s="3" t="s">
        <v>62</v>
      </c>
      <c r="AT3284" s="3" t="s">
        <v>62</v>
      </c>
      <c r="AV3284" s="6" t="str">
        <f>HYPERLINK("http://mcgill.on.worldcat.org/oclc/1003415751","Catalog Record")</f>
        <v>Catalog Record</v>
      </c>
      <c r="AW3284" s="6" t="str">
        <f>HYPERLINK("http://www.worldcat.org/oclc/1003415751","WorldCat Record")</f>
        <v>WorldCat Record</v>
      </c>
      <c r="AX3284" s="3" t="s">
        <v>31935</v>
      </c>
      <c r="AY3284" s="3" t="s">
        <v>31936</v>
      </c>
      <c r="AZ3284" s="3" t="s">
        <v>31937</v>
      </c>
      <c r="BA3284" s="3" t="s">
        <v>31937</v>
      </c>
      <c r="BB3284" s="3" t="s">
        <v>31938</v>
      </c>
      <c r="BC3284" s="3" t="s">
        <v>102</v>
      </c>
      <c r="BD3284" s="3" t="s">
        <v>68</v>
      </c>
      <c r="BE3284" s="3" t="s">
        <v>31939</v>
      </c>
      <c r="BF3284" s="3" t="s">
        <v>31938</v>
      </c>
      <c r="BG3284" s="3" t="s">
        <v>31940</v>
      </c>
    </row>
    <row r="3285" spans="1:59" ht="116" x14ac:dyDescent="0.35">
      <c r="A3285" s="2" t="s">
        <v>89</v>
      </c>
      <c r="B3285" s="2" t="s">
        <v>3312</v>
      </c>
      <c r="C3285" s="2" t="s">
        <v>31941</v>
      </c>
      <c r="D3285" s="2" t="s">
        <v>31942</v>
      </c>
      <c r="E3285" s="2" t="s">
        <v>31943</v>
      </c>
      <c r="G3285" s="3" t="s">
        <v>62</v>
      </c>
      <c r="I3285" s="3" t="s">
        <v>62</v>
      </c>
      <c r="J3285" s="3" t="s">
        <v>61</v>
      </c>
      <c r="K3285" s="3" t="s">
        <v>63</v>
      </c>
      <c r="L3285" s="2" t="s">
        <v>31933</v>
      </c>
      <c r="M3285" s="2" t="s">
        <v>31944</v>
      </c>
      <c r="N3285" s="3" t="s">
        <v>726</v>
      </c>
      <c r="O3285" s="2" t="s">
        <v>31945</v>
      </c>
      <c r="P3285" s="3" t="s">
        <v>1675</v>
      </c>
      <c r="R3285" s="3" t="s">
        <v>27443</v>
      </c>
      <c r="S3285" s="4">
        <v>0</v>
      </c>
      <c r="T3285" s="4">
        <v>0</v>
      </c>
      <c r="W3285" s="5" t="s">
        <v>67</v>
      </c>
      <c r="X3285" s="5" t="s">
        <v>67</v>
      </c>
      <c r="Y3285" s="4">
        <v>1</v>
      </c>
      <c r="Z3285" s="4">
        <v>1</v>
      </c>
      <c r="AA3285" s="4">
        <v>2</v>
      </c>
      <c r="AB3285" s="4">
        <v>1</v>
      </c>
      <c r="AC3285" s="4">
        <v>1</v>
      </c>
      <c r="AD3285" s="4">
        <v>0</v>
      </c>
      <c r="AE3285" s="4">
        <v>5</v>
      </c>
      <c r="AF3285" s="4">
        <v>0</v>
      </c>
      <c r="AG3285" s="4">
        <v>0</v>
      </c>
      <c r="AH3285" s="4">
        <v>0</v>
      </c>
      <c r="AI3285" s="4">
        <v>5</v>
      </c>
      <c r="AJ3285" s="4">
        <v>0</v>
      </c>
      <c r="AK3285" s="4">
        <v>0</v>
      </c>
      <c r="AL3285" s="4">
        <v>0</v>
      </c>
      <c r="AM3285" s="4">
        <v>3</v>
      </c>
      <c r="AN3285" s="4">
        <v>0</v>
      </c>
      <c r="AO3285" s="4">
        <v>0</v>
      </c>
      <c r="AP3285" s="4">
        <v>0</v>
      </c>
      <c r="AQ3285" s="4">
        <v>0</v>
      </c>
      <c r="AR3285" s="3" t="s">
        <v>62</v>
      </c>
      <c r="AS3285" s="3" t="s">
        <v>62</v>
      </c>
      <c r="AT3285" s="3" t="s">
        <v>62</v>
      </c>
      <c r="AV3285" s="6" t="str">
        <f>HYPERLINK("http://mcgill.on.worldcat.org/oclc/1083125729","Catalog Record")</f>
        <v>Catalog Record</v>
      </c>
      <c r="AW3285" s="6" t="str">
        <f>HYPERLINK("http://www.worldcat.org/oclc/1083125729","WorldCat Record")</f>
        <v>WorldCat Record</v>
      </c>
      <c r="AX3285" s="3" t="s">
        <v>31935</v>
      </c>
      <c r="AY3285" s="3" t="s">
        <v>31946</v>
      </c>
      <c r="AZ3285" s="3" t="s">
        <v>31947</v>
      </c>
      <c r="BA3285" s="3" t="s">
        <v>31947</v>
      </c>
      <c r="BB3285" s="3" t="s">
        <v>31948</v>
      </c>
      <c r="BC3285" s="3" t="s">
        <v>102</v>
      </c>
      <c r="BD3285" s="3" t="s">
        <v>68</v>
      </c>
      <c r="BE3285" s="3" t="s">
        <v>31949</v>
      </c>
      <c r="BF3285" s="3" t="s">
        <v>31948</v>
      </c>
      <c r="BG3285" s="3" t="s">
        <v>31950</v>
      </c>
    </row>
    <row r="3286" spans="1:59" ht="116" x14ac:dyDescent="0.35">
      <c r="A3286" s="2" t="s">
        <v>89</v>
      </c>
      <c r="B3286" s="2" t="s">
        <v>3312</v>
      </c>
      <c r="C3286" s="2" t="s">
        <v>31951</v>
      </c>
      <c r="D3286" s="2" t="s">
        <v>31952</v>
      </c>
      <c r="E3286" s="2" t="s">
        <v>31953</v>
      </c>
      <c r="G3286" s="3" t="s">
        <v>62</v>
      </c>
      <c r="I3286" s="3" t="s">
        <v>62</v>
      </c>
      <c r="J3286" s="3" t="s">
        <v>62</v>
      </c>
      <c r="K3286" s="3" t="s">
        <v>63</v>
      </c>
      <c r="L3286" s="2" t="s">
        <v>31954</v>
      </c>
      <c r="M3286" s="2" t="s">
        <v>31955</v>
      </c>
      <c r="N3286" s="3" t="s">
        <v>698</v>
      </c>
      <c r="O3286" s="2" t="s">
        <v>1674</v>
      </c>
      <c r="P3286" s="3" t="s">
        <v>1675</v>
      </c>
      <c r="R3286" s="3" t="s">
        <v>27443</v>
      </c>
      <c r="S3286" s="4">
        <v>0</v>
      </c>
      <c r="T3286" s="4">
        <v>0</v>
      </c>
      <c r="W3286" s="5" t="s">
        <v>67</v>
      </c>
      <c r="X3286" s="5" t="s">
        <v>67</v>
      </c>
      <c r="Y3286" s="4">
        <v>19</v>
      </c>
      <c r="Z3286" s="4">
        <v>1</v>
      </c>
      <c r="AA3286" s="4">
        <v>1</v>
      </c>
      <c r="AB3286" s="4">
        <v>1</v>
      </c>
      <c r="AC3286" s="4">
        <v>1</v>
      </c>
      <c r="AD3286" s="4">
        <v>12</v>
      </c>
      <c r="AE3286" s="4">
        <v>12</v>
      </c>
      <c r="AF3286" s="4">
        <v>0</v>
      </c>
      <c r="AG3286" s="4">
        <v>0</v>
      </c>
      <c r="AH3286" s="4">
        <v>11</v>
      </c>
      <c r="AI3286" s="4">
        <v>11</v>
      </c>
      <c r="AJ3286" s="4">
        <v>0</v>
      </c>
      <c r="AK3286" s="4">
        <v>0</v>
      </c>
      <c r="AL3286" s="4">
        <v>11</v>
      </c>
      <c r="AM3286" s="4">
        <v>11</v>
      </c>
      <c r="AN3286" s="4">
        <v>0</v>
      </c>
      <c r="AO3286" s="4">
        <v>0</v>
      </c>
      <c r="AP3286" s="4">
        <v>0</v>
      </c>
      <c r="AQ3286" s="4">
        <v>0</v>
      </c>
      <c r="AR3286" s="3" t="s">
        <v>62</v>
      </c>
      <c r="AS3286" s="3" t="s">
        <v>62</v>
      </c>
      <c r="AT3286" s="3" t="s">
        <v>62</v>
      </c>
      <c r="AV3286" s="6" t="str">
        <f>HYPERLINK("http://mcgill.on.worldcat.org/oclc/793807082","Catalog Record")</f>
        <v>Catalog Record</v>
      </c>
      <c r="AW3286" s="6" t="str">
        <f>HYPERLINK("http://www.worldcat.org/oclc/793807082","WorldCat Record")</f>
        <v>WorldCat Record</v>
      </c>
      <c r="AX3286" s="3" t="s">
        <v>31956</v>
      </c>
      <c r="AY3286" s="3" t="s">
        <v>31957</v>
      </c>
      <c r="AZ3286" s="3" t="s">
        <v>31958</v>
      </c>
      <c r="BA3286" s="3" t="s">
        <v>31958</v>
      </c>
      <c r="BB3286" s="3" t="s">
        <v>31959</v>
      </c>
      <c r="BC3286" s="3" t="s">
        <v>102</v>
      </c>
      <c r="BD3286" s="3" t="s">
        <v>68</v>
      </c>
      <c r="BE3286" s="3" t="s">
        <v>31960</v>
      </c>
      <c r="BF3286" s="3" t="s">
        <v>31959</v>
      </c>
      <c r="BG3286" s="3" t="s">
        <v>31961</v>
      </c>
    </row>
    <row r="3287" spans="1:59" ht="58" x14ac:dyDescent="0.35">
      <c r="A3287" s="2" t="s">
        <v>89</v>
      </c>
      <c r="B3287" s="2" t="s">
        <v>90</v>
      </c>
      <c r="C3287" s="2" t="s">
        <v>31962</v>
      </c>
      <c r="D3287" s="2" t="s">
        <v>31963</v>
      </c>
      <c r="E3287" s="2" t="s">
        <v>31964</v>
      </c>
      <c r="G3287" s="3" t="s">
        <v>62</v>
      </c>
      <c r="I3287" s="3" t="s">
        <v>62</v>
      </c>
      <c r="J3287" s="3" t="s">
        <v>62</v>
      </c>
      <c r="K3287" s="3" t="s">
        <v>63</v>
      </c>
      <c r="M3287" s="2" t="s">
        <v>31334</v>
      </c>
      <c r="N3287" s="3" t="s">
        <v>625</v>
      </c>
      <c r="P3287" s="3" t="s">
        <v>64</v>
      </c>
      <c r="Q3287" s="2" t="s">
        <v>31965</v>
      </c>
      <c r="R3287" s="3" t="s">
        <v>27443</v>
      </c>
      <c r="S3287" s="4">
        <v>11</v>
      </c>
      <c r="T3287" s="4">
        <v>11</v>
      </c>
      <c r="U3287" s="5" t="s">
        <v>14657</v>
      </c>
      <c r="V3287" s="5" t="s">
        <v>14657</v>
      </c>
      <c r="W3287" s="5" t="s">
        <v>67</v>
      </c>
      <c r="X3287" s="5" t="s">
        <v>67</v>
      </c>
      <c r="Y3287" s="4">
        <v>178</v>
      </c>
      <c r="Z3287" s="4">
        <v>7</v>
      </c>
      <c r="AA3287" s="4">
        <v>81</v>
      </c>
      <c r="AB3287" s="4">
        <v>2</v>
      </c>
      <c r="AC3287" s="4">
        <v>15</v>
      </c>
      <c r="AD3287" s="4">
        <v>65</v>
      </c>
      <c r="AE3287" s="4">
        <v>124</v>
      </c>
      <c r="AF3287" s="4">
        <v>1</v>
      </c>
      <c r="AG3287" s="4">
        <v>8</v>
      </c>
      <c r="AH3287" s="4">
        <v>59</v>
      </c>
      <c r="AI3287" s="4">
        <v>88</v>
      </c>
      <c r="AJ3287" s="4">
        <v>5</v>
      </c>
      <c r="AK3287" s="4">
        <v>22</v>
      </c>
      <c r="AL3287" s="4">
        <v>36</v>
      </c>
      <c r="AM3287" s="4">
        <v>44</v>
      </c>
      <c r="AN3287" s="4">
        <v>0</v>
      </c>
      <c r="AO3287" s="4">
        <v>0</v>
      </c>
      <c r="AP3287" s="4">
        <v>5</v>
      </c>
      <c r="AQ3287" s="4">
        <v>42</v>
      </c>
      <c r="AR3287" s="3" t="s">
        <v>62</v>
      </c>
      <c r="AS3287" s="3" t="s">
        <v>62</v>
      </c>
      <c r="AT3287" s="3" t="s">
        <v>62</v>
      </c>
      <c r="AV3287" s="6" t="str">
        <f>HYPERLINK("http://mcgill.on.worldcat.org/oclc/51764583","Catalog Record")</f>
        <v>Catalog Record</v>
      </c>
      <c r="AW3287" s="6" t="str">
        <f>HYPERLINK("http://www.worldcat.org/oclc/51764583","WorldCat Record")</f>
        <v>WorldCat Record</v>
      </c>
      <c r="AX3287" s="3" t="s">
        <v>31966</v>
      </c>
      <c r="AY3287" s="3" t="s">
        <v>31967</v>
      </c>
      <c r="AZ3287" s="3" t="s">
        <v>31968</v>
      </c>
      <c r="BA3287" s="3" t="s">
        <v>31968</v>
      </c>
      <c r="BB3287" s="3" t="s">
        <v>31969</v>
      </c>
      <c r="BC3287" s="3" t="s">
        <v>102</v>
      </c>
      <c r="BD3287" s="3" t="s">
        <v>68</v>
      </c>
      <c r="BE3287" s="3" t="s">
        <v>31970</v>
      </c>
      <c r="BF3287" s="3" t="s">
        <v>31969</v>
      </c>
      <c r="BG3287" s="3" t="s">
        <v>31971</v>
      </c>
    </row>
    <row r="3288" spans="1:59" ht="58" x14ac:dyDescent="0.35">
      <c r="A3288" s="2" t="s">
        <v>89</v>
      </c>
      <c r="B3288" s="2" t="s">
        <v>90</v>
      </c>
      <c r="C3288" s="2" t="s">
        <v>31972</v>
      </c>
      <c r="D3288" s="2" t="s">
        <v>31973</v>
      </c>
      <c r="E3288" s="2" t="s">
        <v>31974</v>
      </c>
      <c r="G3288" s="3" t="s">
        <v>62</v>
      </c>
      <c r="I3288" s="3" t="s">
        <v>62</v>
      </c>
      <c r="J3288" s="3" t="s">
        <v>62</v>
      </c>
      <c r="K3288" s="3" t="s">
        <v>63</v>
      </c>
      <c r="L3288" s="2" t="s">
        <v>31975</v>
      </c>
      <c r="M3288" s="2" t="s">
        <v>31976</v>
      </c>
      <c r="N3288" s="3" t="s">
        <v>880</v>
      </c>
      <c r="O3288" s="2" t="s">
        <v>2163</v>
      </c>
      <c r="P3288" s="3" t="s">
        <v>64</v>
      </c>
      <c r="R3288" s="3" t="s">
        <v>27443</v>
      </c>
      <c r="S3288" s="4">
        <v>2</v>
      </c>
      <c r="T3288" s="4">
        <v>2</v>
      </c>
      <c r="U3288" s="5" t="s">
        <v>29557</v>
      </c>
      <c r="V3288" s="5" t="s">
        <v>29557</v>
      </c>
      <c r="W3288" s="5" t="s">
        <v>67</v>
      </c>
      <c r="X3288" s="5" t="s">
        <v>67</v>
      </c>
      <c r="Y3288" s="4">
        <v>52</v>
      </c>
      <c r="Z3288" s="4">
        <v>7</v>
      </c>
      <c r="AA3288" s="4">
        <v>7</v>
      </c>
      <c r="AB3288" s="4">
        <v>1</v>
      </c>
      <c r="AC3288" s="4">
        <v>1</v>
      </c>
      <c r="AD3288" s="4">
        <v>25</v>
      </c>
      <c r="AE3288" s="4">
        <v>25</v>
      </c>
      <c r="AF3288" s="4">
        <v>0</v>
      </c>
      <c r="AG3288" s="4">
        <v>0</v>
      </c>
      <c r="AH3288" s="4">
        <v>23</v>
      </c>
      <c r="AI3288" s="4">
        <v>23</v>
      </c>
      <c r="AJ3288" s="4">
        <v>5</v>
      </c>
      <c r="AK3288" s="4">
        <v>5</v>
      </c>
      <c r="AL3288" s="4">
        <v>17</v>
      </c>
      <c r="AM3288" s="4">
        <v>17</v>
      </c>
      <c r="AN3288" s="4">
        <v>0</v>
      </c>
      <c r="AO3288" s="4">
        <v>0</v>
      </c>
      <c r="AP3288" s="4">
        <v>5</v>
      </c>
      <c r="AQ3288" s="4">
        <v>5</v>
      </c>
      <c r="AR3288" s="3" t="s">
        <v>62</v>
      </c>
      <c r="AS3288" s="3" t="s">
        <v>62</v>
      </c>
      <c r="AT3288" s="3" t="s">
        <v>62</v>
      </c>
      <c r="AV3288" s="6" t="str">
        <f>HYPERLINK("http://mcgill.on.worldcat.org/oclc/694620568","Catalog Record")</f>
        <v>Catalog Record</v>
      </c>
      <c r="AW3288" s="6" t="str">
        <f>HYPERLINK("http://www.worldcat.org/oclc/694620568","WorldCat Record")</f>
        <v>WorldCat Record</v>
      </c>
      <c r="AX3288" s="3" t="s">
        <v>31977</v>
      </c>
      <c r="AY3288" s="3" t="s">
        <v>31978</v>
      </c>
      <c r="AZ3288" s="3" t="s">
        <v>31979</v>
      </c>
      <c r="BA3288" s="3" t="s">
        <v>31979</v>
      </c>
      <c r="BB3288" s="3" t="s">
        <v>31980</v>
      </c>
      <c r="BC3288" s="3" t="s">
        <v>102</v>
      </c>
      <c r="BD3288" s="3" t="s">
        <v>68</v>
      </c>
      <c r="BE3288" s="3" t="s">
        <v>31981</v>
      </c>
      <c r="BF3288" s="3" t="s">
        <v>31980</v>
      </c>
      <c r="BG3288" s="3" t="s">
        <v>31982</v>
      </c>
    </row>
    <row r="3289" spans="1:59" ht="58" x14ac:dyDescent="0.35">
      <c r="A3289" s="2" t="s">
        <v>89</v>
      </c>
      <c r="B3289" s="2" t="s">
        <v>90</v>
      </c>
      <c r="C3289" s="2" t="s">
        <v>31983</v>
      </c>
      <c r="D3289" s="2" t="s">
        <v>31984</v>
      </c>
      <c r="E3289" s="2" t="s">
        <v>31985</v>
      </c>
      <c r="G3289" s="3" t="s">
        <v>62</v>
      </c>
      <c r="I3289" s="3" t="s">
        <v>62</v>
      </c>
      <c r="J3289" s="3" t="s">
        <v>62</v>
      </c>
      <c r="K3289" s="3" t="s">
        <v>63</v>
      </c>
      <c r="L3289" s="2" t="s">
        <v>31986</v>
      </c>
      <c r="M3289" s="2" t="s">
        <v>31987</v>
      </c>
      <c r="N3289" s="3" t="s">
        <v>129</v>
      </c>
      <c r="P3289" s="3" t="s">
        <v>64</v>
      </c>
      <c r="Q3289" s="2" t="s">
        <v>31988</v>
      </c>
      <c r="R3289" s="3" t="s">
        <v>27443</v>
      </c>
      <c r="S3289" s="4">
        <v>1</v>
      </c>
      <c r="T3289" s="4">
        <v>1</v>
      </c>
      <c r="U3289" s="5" t="s">
        <v>5085</v>
      </c>
      <c r="V3289" s="5" t="s">
        <v>5085</v>
      </c>
      <c r="W3289" s="5" t="s">
        <v>67</v>
      </c>
      <c r="X3289" s="5" t="s">
        <v>67</v>
      </c>
      <c r="Y3289" s="4">
        <v>46</v>
      </c>
      <c r="Z3289" s="4">
        <v>2</v>
      </c>
      <c r="AA3289" s="4">
        <v>47</v>
      </c>
      <c r="AB3289" s="4">
        <v>2</v>
      </c>
      <c r="AC3289" s="4">
        <v>5</v>
      </c>
      <c r="AD3289" s="4">
        <v>20</v>
      </c>
      <c r="AE3289" s="4">
        <v>70</v>
      </c>
      <c r="AF3289" s="4">
        <v>1</v>
      </c>
      <c r="AG3289" s="4">
        <v>2</v>
      </c>
      <c r="AH3289" s="4">
        <v>19</v>
      </c>
      <c r="AI3289" s="4">
        <v>53</v>
      </c>
      <c r="AJ3289" s="4">
        <v>1</v>
      </c>
      <c r="AK3289" s="4">
        <v>8</v>
      </c>
      <c r="AL3289" s="4">
        <v>14</v>
      </c>
      <c r="AM3289" s="4">
        <v>30</v>
      </c>
      <c r="AN3289" s="4">
        <v>0</v>
      </c>
      <c r="AO3289" s="4">
        <v>0</v>
      </c>
      <c r="AP3289" s="4">
        <v>1</v>
      </c>
      <c r="AQ3289" s="4">
        <v>20</v>
      </c>
      <c r="AR3289" s="3" t="s">
        <v>62</v>
      </c>
      <c r="AS3289" s="3" t="s">
        <v>62</v>
      </c>
      <c r="AT3289" s="3" t="s">
        <v>62</v>
      </c>
      <c r="AV3289" s="6" t="str">
        <f>HYPERLINK("http://mcgill.on.worldcat.org/oclc/822895887","Catalog Record")</f>
        <v>Catalog Record</v>
      </c>
      <c r="AW3289" s="6" t="str">
        <f>HYPERLINK("http://www.worldcat.org/oclc/822895887","WorldCat Record")</f>
        <v>WorldCat Record</v>
      </c>
      <c r="AX3289" s="3" t="s">
        <v>31989</v>
      </c>
      <c r="AY3289" s="3" t="s">
        <v>31990</v>
      </c>
      <c r="AZ3289" s="3" t="s">
        <v>31991</v>
      </c>
      <c r="BA3289" s="3" t="s">
        <v>31991</v>
      </c>
      <c r="BB3289" s="3" t="s">
        <v>31992</v>
      </c>
      <c r="BC3289" s="3" t="s">
        <v>102</v>
      </c>
      <c r="BD3289" s="3" t="s">
        <v>68</v>
      </c>
      <c r="BE3289" s="3" t="s">
        <v>31993</v>
      </c>
      <c r="BF3289" s="3" t="s">
        <v>31992</v>
      </c>
      <c r="BG3289" s="3" t="s">
        <v>31994</v>
      </c>
    </row>
    <row r="3290" spans="1:59" ht="58" x14ac:dyDescent="0.35">
      <c r="A3290" s="2" t="s">
        <v>89</v>
      </c>
      <c r="B3290" s="2" t="s">
        <v>90</v>
      </c>
      <c r="C3290" s="2" t="s">
        <v>31995</v>
      </c>
      <c r="D3290" s="2" t="s">
        <v>31996</v>
      </c>
      <c r="E3290" s="2" t="s">
        <v>31997</v>
      </c>
      <c r="G3290" s="3" t="s">
        <v>62</v>
      </c>
      <c r="I3290" s="3" t="s">
        <v>62</v>
      </c>
      <c r="J3290" s="3" t="s">
        <v>62</v>
      </c>
      <c r="K3290" s="3" t="s">
        <v>63</v>
      </c>
      <c r="M3290" s="2" t="s">
        <v>31998</v>
      </c>
      <c r="N3290" s="3" t="s">
        <v>2985</v>
      </c>
      <c r="P3290" s="3" t="s">
        <v>64</v>
      </c>
      <c r="Q3290" s="2" t="s">
        <v>31999</v>
      </c>
      <c r="R3290" s="3" t="s">
        <v>27443</v>
      </c>
      <c r="S3290" s="4">
        <v>6</v>
      </c>
      <c r="T3290" s="4">
        <v>6</v>
      </c>
      <c r="U3290" s="5" t="s">
        <v>22814</v>
      </c>
      <c r="V3290" s="5" t="s">
        <v>22814</v>
      </c>
      <c r="W3290" s="5" t="s">
        <v>67</v>
      </c>
      <c r="X3290" s="5" t="s">
        <v>67</v>
      </c>
      <c r="Y3290" s="4">
        <v>86</v>
      </c>
      <c r="Z3290" s="4">
        <v>13</v>
      </c>
      <c r="AA3290" s="4">
        <v>51</v>
      </c>
      <c r="AB3290" s="4">
        <v>1</v>
      </c>
      <c r="AC3290" s="4">
        <v>13</v>
      </c>
      <c r="AD3290" s="4">
        <v>30</v>
      </c>
      <c r="AE3290" s="4">
        <v>96</v>
      </c>
      <c r="AF3290" s="4">
        <v>0</v>
      </c>
      <c r="AG3290" s="4">
        <v>7</v>
      </c>
      <c r="AH3290" s="4">
        <v>23</v>
      </c>
      <c r="AI3290" s="4">
        <v>65</v>
      </c>
      <c r="AJ3290" s="4">
        <v>6</v>
      </c>
      <c r="AK3290" s="4">
        <v>21</v>
      </c>
      <c r="AL3290" s="4">
        <v>16</v>
      </c>
      <c r="AM3290" s="4">
        <v>36</v>
      </c>
      <c r="AN3290" s="4">
        <v>0</v>
      </c>
      <c r="AO3290" s="4">
        <v>0</v>
      </c>
      <c r="AP3290" s="4">
        <v>10</v>
      </c>
      <c r="AQ3290" s="4">
        <v>39</v>
      </c>
      <c r="AR3290" s="3" t="s">
        <v>62</v>
      </c>
      <c r="AS3290" s="3" t="s">
        <v>62</v>
      </c>
      <c r="AT3290" s="3" t="s">
        <v>62</v>
      </c>
      <c r="AV3290" s="6" t="str">
        <f>HYPERLINK("http://mcgill.on.worldcat.org/oclc/288985991","Catalog Record")</f>
        <v>Catalog Record</v>
      </c>
      <c r="AW3290" s="6" t="str">
        <f>HYPERLINK("http://www.worldcat.org/oclc/288985991","WorldCat Record")</f>
        <v>WorldCat Record</v>
      </c>
      <c r="AX3290" s="3" t="s">
        <v>32000</v>
      </c>
      <c r="AY3290" s="3" t="s">
        <v>32001</v>
      </c>
      <c r="AZ3290" s="3" t="s">
        <v>32002</v>
      </c>
      <c r="BA3290" s="3" t="s">
        <v>32002</v>
      </c>
      <c r="BB3290" s="3" t="s">
        <v>32003</v>
      </c>
      <c r="BC3290" s="3" t="s">
        <v>102</v>
      </c>
      <c r="BD3290" s="3" t="s">
        <v>68</v>
      </c>
      <c r="BE3290" s="3" t="s">
        <v>32004</v>
      </c>
      <c r="BF3290" s="3" t="s">
        <v>32003</v>
      </c>
      <c r="BG3290" s="3" t="s">
        <v>32005</v>
      </c>
    </row>
    <row r="3291" spans="1:59" ht="58" x14ac:dyDescent="0.35">
      <c r="A3291" s="2" t="s">
        <v>89</v>
      </c>
      <c r="B3291" s="2" t="s">
        <v>90</v>
      </c>
      <c r="C3291" s="2" t="s">
        <v>32006</v>
      </c>
      <c r="D3291" s="2" t="s">
        <v>32007</v>
      </c>
      <c r="E3291" s="2" t="s">
        <v>32008</v>
      </c>
      <c r="G3291" s="3" t="s">
        <v>62</v>
      </c>
      <c r="I3291" s="3" t="s">
        <v>62</v>
      </c>
      <c r="J3291" s="3" t="s">
        <v>62</v>
      </c>
      <c r="K3291" s="3" t="s">
        <v>63</v>
      </c>
      <c r="M3291" s="2" t="s">
        <v>32009</v>
      </c>
      <c r="N3291" s="3" t="s">
        <v>596</v>
      </c>
      <c r="P3291" s="3" t="s">
        <v>64</v>
      </c>
      <c r="Q3291" s="2" t="s">
        <v>32010</v>
      </c>
      <c r="R3291" s="3" t="s">
        <v>27443</v>
      </c>
      <c r="S3291" s="4">
        <v>47</v>
      </c>
      <c r="T3291" s="4">
        <v>47</v>
      </c>
      <c r="U3291" s="5" t="s">
        <v>18535</v>
      </c>
      <c r="V3291" s="5" t="s">
        <v>18535</v>
      </c>
      <c r="W3291" s="5" t="s">
        <v>67</v>
      </c>
      <c r="X3291" s="5" t="s">
        <v>67</v>
      </c>
      <c r="Y3291" s="4">
        <v>107</v>
      </c>
      <c r="Z3291" s="4">
        <v>23</v>
      </c>
      <c r="AA3291" s="4">
        <v>29</v>
      </c>
      <c r="AB3291" s="4">
        <v>2</v>
      </c>
      <c r="AC3291" s="4">
        <v>3</v>
      </c>
      <c r="AD3291" s="4">
        <v>36</v>
      </c>
      <c r="AE3291" s="4">
        <v>46</v>
      </c>
      <c r="AF3291" s="4">
        <v>0</v>
      </c>
      <c r="AG3291" s="4">
        <v>1</v>
      </c>
      <c r="AH3291" s="4">
        <v>25</v>
      </c>
      <c r="AI3291" s="4">
        <v>32</v>
      </c>
      <c r="AJ3291" s="4">
        <v>10</v>
      </c>
      <c r="AK3291" s="4">
        <v>13</v>
      </c>
      <c r="AL3291" s="4">
        <v>14</v>
      </c>
      <c r="AM3291" s="4">
        <v>17</v>
      </c>
      <c r="AN3291" s="4">
        <v>0</v>
      </c>
      <c r="AO3291" s="4">
        <v>0</v>
      </c>
      <c r="AP3291" s="4">
        <v>16</v>
      </c>
      <c r="AQ3291" s="4">
        <v>21</v>
      </c>
      <c r="AR3291" s="3" t="s">
        <v>62</v>
      </c>
      <c r="AS3291" s="3" t="s">
        <v>62</v>
      </c>
      <c r="AT3291" s="3" t="s">
        <v>62</v>
      </c>
      <c r="AV3291" s="6" t="str">
        <f>HYPERLINK("http://mcgill.on.worldcat.org/oclc/51652926","Catalog Record")</f>
        <v>Catalog Record</v>
      </c>
      <c r="AW3291" s="6" t="str">
        <f>HYPERLINK("http://www.worldcat.org/oclc/51652926","WorldCat Record")</f>
        <v>WorldCat Record</v>
      </c>
      <c r="AX3291" s="3" t="s">
        <v>32011</v>
      </c>
      <c r="AY3291" s="3" t="s">
        <v>32012</v>
      </c>
      <c r="AZ3291" s="3" t="s">
        <v>32013</v>
      </c>
      <c r="BA3291" s="3" t="s">
        <v>32013</v>
      </c>
      <c r="BB3291" s="3" t="s">
        <v>32014</v>
      </c>
      <c r="BC3291" s="3" t="s">
        <v>102</v>
      </c>
      <c r="BD3291" s="3" t="s">
        <v>231</v>
      </c>
      <c r="BE3291" s="3" t="s">
        <v>32015</v>
      </c>
      <c r="BF3291" s="3" t="s">
        <v>32014</v>
      </c>
      <c r="BG3291" s="3" t="s">
        <v>32016</v>
      </c>
    </row>
    <row r="3292" spans="1:59" ht="58" x14ac:dyDescent="0.35">
      <c r="A3292" s="2" t="s">
        <v>89</v>
      </c>
      <c r="B3292" s="2" t="s">
        <v>90</v>
      </c>
      <c r="C3292" s="2" t="s">
        <v>32017</v>
      </c>
      <c r="D3292" s="2" t="s">
        <v>32018</v>
      </c>
      <c r="E3292" s="2" t="s">
        <v>32019</v>
      </c>
      <c r="G3292" s="3" t="s">
        <v>62</v>
      </c>
      <c r="I3292" s="3" t="s">
        <v>62</v>
      </c>
      <c r="J3292" s="3" t="s">
        <v>62</v>
      </c>
      <c r="K3292" s="3" t="s">
        <v>63</v>
      </c>
      <c r="M3292" s="2" t="s">
        <v>32020</v>
      </c>
      <c r="N3292" s="3" t="s">
        <v>157</v>
      </c>
      <c r="P3292" s="3" t="s">
        <v>64</v>
      </c>
      <c r="Q3292" s="2" t="s">
        <v>32021</v>
      </c>
      <c r="R3292" s="3" t="s">
        <v>27443</v>
      </c>
      <c r="S3292" s="4">
        <v>7</v>
      </c>
      <c r="T3292" s="4">
        <v>7</v>
      </c>
      <c r="U3292" s="5" t="s">
        <v>5909</v>
      </c>
      <c r="V3292" s="5" t="s">
        <v>5909</v>
      </c>
      <c r="W3292" s="5" t="s">
        <v>67</v>
      </c>
      <c r="X3292" s="5" t="s">
        <v>67</v>
      </c>
      <c r="Y3292" s="4">
        <v>12</v>
      </c>
      <c r="Z3292" s="4">
        <v>2</v>
      </c>
      <c r="AA3292" s="4">
        <v>2</v>
      </c>
      <c r="AB3292" s="4">
        <v>2</v>
      </c>
      <c r="AC3292" s="4">
        <v>2</v>
      </c>
      <c r="AD3292" s="4">
        <v>2</v>
      </c>
      <c r="AE3292" s="4">
        <v>2</v>
      </c>
      <c r="AF3292" s="4">
        <v>0</v>
      </c>
      <c r="AG3292" s="4">
        <v>0</v>
      </c>
      <c r="AH3292" s="4">
        <v>2</v>
      </c>
      <c r="AI3292" s="4">
        <v>2</v>
      </c>
      <c r="AJ3292" s="4">
        <v>0</v>
      </c>
      <c r="AK3292" s="4">
        <v>0</v>
      </c>
      <c r="AL3292" s="4">
        <v>2</v>
      </c>
      <c r="AM3292" s="4">
        <v>2</v>
      </c>
      <c r="AN3292" s="4">
        <v>0</v>
      </c>
      <c r="AO3292" s="4">
        <v>0</v>
      </c>
      <c r="AP3292" s="4">
        <v>0</v>
      </c>
      <c r="AQ3292" s="4">
        <v>0</v>
      </c>
      <c r="AR3292" s="3" t="s">
        <v>62</v>
      </c>
      <c r="AS3292" s="3" t="s">
        <v>62</v>
      </c>
      <c r="AT3292" s="3" t="s">
        <v>62</v>
      </c>
      <c r="AV3292" s="6" t="str">
        <f>HYPERLINK("http://mcgill.on.worldcat.org/oclc/53020735","Catalog Record")</f>
        <v>Catalog Record</v>
      </c>
      <c r="AW3292" s="6" t="str">
        <f>HYPERLINK("http://www.worldcat.org/oclc/53020735","WorldCat Record")</f>
        <v>WorldCat Record</v>
      </c>
      <c r="AX3292" s="3" t="s">
        <v>32022</v>
      </c>
      <c r="AY3292" s="3" t="s">
        <v>32023</v>
      </c>
      <c r="AZ3292" s="3" t="s">
        <v>32024</v>
      </c>
      <c r="BA3292" s="3" t="s">
        <v>32024</v>
      </c>
      <c r="BB3292" s="3" t="s">
        <v>32025</v>
      </c>
      <c r="BC3292" s="3" t="s">
        <v>102</v>
      </c>
      <c r="BD3292" s="3" t="s">
        <v>68</v>
      </c>
      <c r="BF3292" s="3" t="s">
        <v>32025</v>
      </c>
      <c r="BG3292" s="3" t="s">
        <v>32026</v>
      </c>
    </row>
    <row r="3293" spans="1:59" ht="58" x14ac:dyDescent="0.35">
      <c r="A3293" s="2" t="s">
        <v>89</v>
      </c>
      <c r="B3293" s="2" t="s">
        <v>90</v>
      </c>
      <c r="C3293" s="2" t="s">
        <v>32027</v>
      </c>
      <c r="D3293" s="2" t="s">
        <v>32028</v>
      </c>
      <c r="E3293" s="2" t="s">
        <v>32029</v>
      </c>
      <c r="G3293" s="3" t="s">
        <v>62</v>
      </c>
      <c r="I3293" s="3" t="s">
        <v>62</v>
      </c>
      <c r="J3293" s="3" t="s">
        <v>62</v>
      </c>
      <c r="K3293" s="3" t="s">
        <v>63</v>
      </c>
      <c r="L3293" s="2" t="s">
        <v>32030</v>
      </c>
      <c r="M3293" s="2" t="s">
        <v>32031</v>
      </c>
      <c r="N3293" s="3" t="s">
        <v>568</v>
      </c>
      <c r="P3293" s="3" t="s">
        <v>64</v>
      </c>
      <c r="Q3293" s="2" t="s">
        <v>32032</v>
      </c>
      <c r="R3293" s="3" t="s">
        <v>27443</v>
      </c>
      <c r="S3293" s="4">
        <v>2</v>
      </c>
      <c r="T3293" s="4">
        <v>2</v>
      </c>
      <c r="U3293" s="5" t="s">
        <v>6834</v>
      </c>
      <c r="V3293" s="5" t="s">
        <v>6834</v>
      </c>
      <c r="W3293" s="5" t="s">
        <v>67</v>
      </c>
      <c r="X3293" s="5" t="s">
        <v>67</v>
      </c>
      <c r="Y3293" s="4">
        <v>79</v>
      </c>
      <c r="Z3293" s="4">
        <v>1</v>
      </c>
      <c r="AA3293" s="4">
        <v>6</v>
      </c>
      <c r="AB3293" s="4">
        <v>1</v>
      </c>
      <c r="AC3293" s="4">
        <v>3</v>
      </c>
      <c r="AD3293" s="4">
        <v>35</v>
      </c>
      <c r="AE3293" s="4">
        <v>41</v>
      </c>
      <c r="AF3293" s="4">
        <v>0</v>
      </c>
      <c r="AG3293" s="4">
        <v>0</v>
      </c>
      <c r="AH3293" s="4">
        <v>34</v>
      </c>
      <c r="AI3293" s="4">
        <v>40</v>
      </c>
      <c r="AJ3293" s="4">
        <v>0</v>
      </c>
      <c r="AK3293" s="4">
        <v>2</v>
      </c>
      <c r="AL3293" s="4">
        <v>26</v>
      </c>
      <c r="AM3293" s="4">
        <v>29</v>
      </c>
      <c r="AN3293" s="4">
        <v>0</v>
      </c>
      <c r="AO3293" s="4">
        <v>0</v>
      </c>
      <c r="AP3293" s="4">
        <v>0</v>
      </c>
      <c r="AQ3293" s="4">
        <v>2</v>
      </c>
      <c r="AR3293" s="3" t="s">
        <v>62</v>
      </c>
      <c r="AS3293" s="3" t="s">
        <v>62</v>
      </c>
      <c r="AT3293" s="3" t="s">
        <v>61</v>
      </c>
      <c r="AU3293" s="6" t="str">
        <f>HYPERLINK("http://catalog.hathitrust.org/Record/007238609","HathiTrust Record")</f>
        <v>HathiTrust Record</v>
      </c>
      <c r="AV3293" s="6" t="str">
        <f>HYPERLINK("http://mcgill.on.worldcat.org/oclc/38010686","Catalog Record")</f>
        <v>Catalog Record</v>
      </c>
      <c r="AW3293" s="6" t="str">
        <f>HYPERLINK("http://www.worldcat.org/oclc/38010686","WorldCat Record")</f>
        <v>WorldCat Record</v>
      </c>
      <c r="AX3293" s="3" t="s">
        <v>32033</v>
      </c>
      <c r="AY3293" s="3" t="s">
        <v>32034</v>
      </c>
      <c r="AZ3293" s="3" t="s">
        <v>32035</v>
      </c>
      <c r="BA3293" s="3" t="s">
        <v>32035</v>
      </c>
      <c r="BB3293" s="3" t="s">
        <v>32036</v>
      </c>
      <c r="BC3293" s="3" t="s">
        <v>102</v>
      </c>
      <c r="BD3293" s="3" t="s">
        <v>68</v>
      </c>
      <c r="BE3293" s="3" t="s">
        <v>32037</v>
      </c>
      <c r="BF3293" s="3" t="s">
        <v>32036</v>
      </c>
      <c r="BG3293" s="3" t="s">
        <v>32038</v>
      </c>
    </row>
    <row r="3294" spans="1:59" ht="58" x14ac:dyDescent="0.35">
      <c r="A3294" s="2" t="s">
        <v>89</v>
      </c>
      <c r="B3294" s="2" t="s">
        <v>90</v>
      </c>
      <c r="C3294" s="2" t="s">
        <v>32041</v>
      </c>
      <c r="D3294" s="2" t="s">
        <v>32042</v>
      </c>
      <c r="E3294" s="2" t="s">
        <v>32043</v>
      </c>
      <c r="G3294" s="3" t="s">
        <v>62</v>
      </c>
      <c r="I3294" s="3" t="s">
        <v>61</v>
      </c>
      <c r="J3294" s="3" t="s">
        <v>62</v>
      </c>
      <c r="K3294" s="3" t="s">
        <v>63</v>
      </c>
      <c r="L3294" s="2" t="s">
        <v>32044</v>
      </c>
      <c r="M3294" s="2" t="s">
        <v>32045</v>
      </c>
      <c r="N3294" s="3" t="s">
        <v>838</v>
      </c>
      <c r="P3294" s="3" t="s">
        <v>64</v>
      </c>
      <c r="R3294" s="3" t="s">
        <v>32039</v>
      </c>
      <c r="S3294" s="4">
        <v>5</v>
      </c>
      <c r="T3294" s="4">
        <v>12</v>
      </c>
      <c r="U3294" s="5" t="s">
        <v>32046</v>
      </c>
      <c r="V3294" s="5" t="s">
        <v>32047</v>
      </c>
      <c r="W3294" s="5" t="s">
        <v>67</v>
      </c>
      <c r="X3294" s="5" t="s">
        <v>67</v>
      </c>
      <c r="Y3294" s="4">
        <v>1239</v>
      </c>
      <c r="Z3294" s="4">
        <v>56</v>
      </c>
      <c r="AA3294" s="4">
        <v>70</v>
      </c>
      <c r="AB3294" s="4">
        <v>3</v>
      </c>
      <c r="AC3294" s="4">
        <v>8</v>
      </c>
      <c r="AD3294" s="4">
        <v>136</v>
      </c>
      <c r="AE3294" s="4">
        <v>149</v>
      </c>
      <c r="AF3294" s="4">
        <v>1</v>
      </c>
      <c r="AG3294" s="4">
        <v>5</v>
      </c>
      <c r="AH3294" s="4">
        <v>102</v>
      </c>
      <c r="AI3294" s="4">
        <v>108</v>
      </c>
      <c r="AJ3294" s="4">
        <v>22</v>
      </c>
      <c r="AK3294" s="4">
        <v>28</v>
      </c>
      <c r="AL3294" s="4">
        <v>57</v>
      </c>
      <c r="AM3294" s="4">
        <v>57</v>
      </c>
      <c r="AN3294" s="4">
        <v>0</v>
      </c>
      <c r="AO3294" s="4">
        <v>0</v>
      </c>
      <c r="AP3294" s="4">
        <v>38</v>
      </c>
      <c r="AQ3294" s="4">
        <v>47</v>
      </c>
      <c r="AR3294" s="3" t="s">
        <v>62</v>
      </c>
      <c r="AS3294" s="3" t="s">
        <v>62</v>
      </c>
      <c r="AT3294" s="3" t="s">
        <v>61</v>
      </c>
      <c r="AU3294" s="6" t="str">
        <f>HYPERLINK("http://catalog.hathitrust.org/Record/001486425","HathiTrust Record")</f>
        <v>HathiTrust Record</v>
      </c>
      <c r="AV3294" s="6" t="str">
        <f>HYPERLINK("http://mcgill.on.worldcat.org/oclc/426454","Catalog Record")</f>
        <v>Catalog Record</v>
      </c>
      <c r="AW3294" s="6" t="str">
        <f>HYPERLINK("http://www.worldcat.org/oclc/426454","WorldCat Record")</f>
        <v>WorldCat Record</v>
      </c>
      <c r="AX3294" s="3" t="s">
        <v>32048</v>
      </c>
      <c r="AY3294" s="3" t="s">
        <v>32049</v>
      </c>
      <c r="AZ3294" s="3" t="s">
        <v>32050</v>
      </c>
      <c r="BA3294" s="3" t="s">
        <v>32050</v>
      </c>
      <c r="BB3294" s="3" t="s">
        <v>32051</v>
      </c>
      <c r="BC3294" s="3" t="s">
        <v>102</v>
      </c>
      <c r="BD3294" s="3" t="s">
        <v>68</v>
      </c>
      <c r="BE3294" s="3" t="s">
        <v>32052</v>
      </c>
      <c r="BF3294" s="3" t="s">
        <v>32051</v>
      </c>
      <c r="BG3294" s="3" t="s">
        <v>32053</v>
      </c>
    </row>
    <row r="3295" spans="1:59" ht="58" x14ac:dyDescent="0.35">
      <c r="A3295" s="2" t="s">
        <v>89</v>
      </c>
      <c r="B3295" s="2" t="s">
        <v>90</v>
      </c>
      <c r="C3295" s="2" t="s">
        <v>32054</v>
      </c>
      <c r="D3295" s="2" t="s">
        <v>32055</v>
      </c>
      <c r="E3295" s="2" t="s">
        <v>32056</v>
      </c>
      <c r="G3295" s="3" t="s">
        <v>62</v>
      </c>
      <c r="I3295" s="3" t="s">
        <v>62</v>
      </c>
      <c r="J3295" s="3" t="s">
        <v>62</v>
      </c>
      <c r="K3295" s="3" t="s">
        <v>63</v>
      </c>
      <c r="M3295" s="2" t="s">
        <v>32057</v>
      </c>
      <c r="N3295" s="3" t="s">
        <v>129</v>
      </c>
      <c r="P3295" s="3" t="s">
        <v>64</v>
      </c>
      <c r="R3295" s="3" t="s">
        <v>32039</v>
      </c>
      <c r="S3295" s="4">
        <v>3</v>
      </c>
      <c r="T3295" s="4">
        <v>3</v>
      </c>
      <c r="U3295" s="5" t="s">
        <v>16936</v>
      </c>
      <c r="V3295" s="5" t="s">
        <v>16936</v>
      </c>
      <c r="W3295" s="5" t="s">
        <v>67</v>
      </c>
      <c r="X3295" s="5" t="s">
        <v>67</v>
      </c>
      <c r="Y3295" s="4">
        <v>24</v>
      </c>
      <c r="Z3295" s="4">
        <v>5</v>
      </c>
      <c r="AA3295" s="4">
        <v>5</v>
      </c>
      <c r="AB3295" s="4">
        <v>1</v>
      </c>
      <c r="AC3295" s="4">
        <v>1</v>
      </c>
      <c r="AD3295" s="4">
        <v>7</v>
      </c>
      <c r="AE3295" s="4">
        <v>7</v>
      </c>
      <c r="AF3295" s="4">
        <v>0</v>
      </c>
      <c r="AG3295" s="4">
        <v>0</v>
      </c>
      <c r="AH3295" s="4">
        <v>6</v>
      </c>
      <c r="AI3295" s="4">
        <v>6</v>
      </c>
      <c r="AJ3295" s="4">
        <v>4</v>
      </c>
      <c r="AK3295" s="4">
        <v>4</v>
      </c>
      <c r="AL3295" s="4">
        <v>2</v>
      </c>
      <c r="AM3295" s="4">
        <v>2</v>
      </c>
      <c r="AN3295" s="4">
        <v>0</v>
      </c>
      <c r="AO3295" s="4">
        <v>0</v>
      </c>
      <c r="AP3295" s="4">
        <v>4</v>
      </c>
      <c r="AQ3295" s="4">
        <v>4</v>
      </c>
      <c r="AR3295" s="3" t="s">
        <v>62</v>
      </c>
      <c r="AS3295" s="3" t="s">
        <v>62</v>
      </c>
      <c r="AT3295" s="3" t="s">
        <v>62</v>
      </c>
      <c r="AV3295" s="6" t="str">
        <f>HYPERLINK("http://mcgill.on.worldcat.org/oclc/861975128","Catalog Record")</f>
        <v>Catalog Record</v>
      </c>
      <c r="AW3295" s="6" t="str">
        <f>HYPERLINK("http://www.worldcat.org/oclc/861975128","WorldCat Record")</f>
        <v>WorldCat Record</v>
      </c>
      <c r="AX3295" s="3" t="s">
        <v>32058</v>
      </c>
      <c r="AY3295" s="3" t="s">
        <v>32059</v>
      </c>
      <c r="AZ3295" s="3" t="s">
        <v>32060</v>
      </c>
      <c r="BA3295" s="3" t="s">
        <v>32060</v>
      </c>
      <c r="BB3295" s="3" t="s">
        <v>32061</v>
      </c>
      <c r="BC3295" s="3" t="s">
        <v>102</v>
      </c>
      <c r="BD3295" s="3" t="s">
        <v>68</v>
      </c>
      <c r="BE3295" s="3" t="s">
        <v>32062</v>
      </c>
      <c r="BF3295" s="3" t="s">
        <v>32061</v>
      </c>
      <c r="BG3295" s="3" t="s">
        <v>32063</v>
      </c>
    </row>
    <row r="3296" spans="1:59" ht="58" x14ac:dyDescent="0.35">
      <c r="A3296" s="2" t="s">
        <v>89</v>
      </c>
      <c r="B3296" s="2" t="s">
        <v>90</v>
      </c>
      <c r="C3296" s="2" t="s">
        <v>32064</v>
      </c>
      <c r="D3296" s="2" t="s">
        <v>32065</v>
      </c>
      <c r="E3296" s="2" t="s">
        <v>32066</v>
      </c>
      <c r="F3296" s="3" t="s">
        <v>32067</v>
      </c>
      <c r="G3296" s="3" t="s">
        <v>61</v>
      </c>
      <c r="I3296" s="3" t="s">
        <v>62</v>
      </c>
      <c r="J3296" s="3" t="s">
        <v>62</v>
      </c>
      <c r="K3296" s="3" t="s">
        <v>63</v>
      </c>
      <c r="M3296" s="2" t="s">
        <v>32068</v>
      </c>
      <c r="N3296" s="3" t="s">
        <v>95</v>
      </c>
      <c r="P3296" s="3" t="s">
        <v>85</v>
      </c>
      <c r="Q3296" s="2" t="s">
        <v>25875</v>
      </c>
      <c r="R3296" s="3" t="s">
        <v>32039</v>
      </c>
      <c r="S3296" s="4">
        <v>6</v>
      </c>
      <c r="T3296" s="4">
        <v>16</v>
      </c>
      <c r="U3296" s="5" t="s">
        <v>4176</v>
      </c>
      <c r="V3296" s="5" t="s">
        <v>32069</v>
      </c>
      <c r="W3296" s="5" t="s">
        <v>67</v>
      </c>
      <c r="X3296" s="5" t="s">
        <v>67</v>
      </c>
      <c r="Y3296" s="4">
        <v>151</v>
      </c>
      <c r="Z3296" s="4">
        <v>9</v>
      </c>
      <c r="AA3296" s="4">
        <v>16</v>
      </c>
      <c r="AB3296" s="4">
        <v>1</v>
      </c>
      <c r="AC3296" s="4">
        <v>1</v>
      </c>
      <c r="AD3296" s="4">
        <v>62</v>
      </c>
      <c r="AE3296" s="4">
        <v>66</v>
      </c>
      <c r="AF3296" s="4">
        <v>0</v>
      </c>
      <c r="AG3296" s="4">
        <v>0</v>
      </c>
      <c r="AH3296" s="4">
        <v>57</v>
      </c>
      <c r="AI3296" s="4">
        <v>60</v>
      </c>
      <c r="AJ3296" s="4">
        <v>8</v>
      </c>
      <c r="AK3296" s="4">
        <v>12</v>
      </c>
      <c r="AL3296" s="4">
        <v>37</v>
      </c>
      <c r="AM3296" s="4">
        <v>38</v>
      </c>
      <c r="AN3296" s="4">
        <v>0</v>
      </c>
      <c r="AO3296" s="4">
        <v>0</v>
      </c>
      <c r="AP3296" s="4">
        <v>8</v>
      </c>
      <c r="AQ3296" s="4">
        <v>12</v>
      </c>
      <c r="AR3296" s="3" t="s">
        <v>62</v>
      </c>
      <c r="AS3296" s="3" t="s">
        <v>62</v>
      </c>
      <c r="AT3296" s="3" t="s">
        <v>61</v>
      </c>
      <c r="AU3296" s="6" t="str">
        <f>HYPERLINK("http://catalog.hathitrust.org/Record/000106158","HathiTrust Record")</f>
        <v>HathiTrust Record</v>
      </c>
      <c r="AV3296" s="6" t="str">
        <f>HYPERLINK("http://mcgill.on.worldcat.org/oclc/8666919","Catalog Record")</f>
        <v>Catalog Record</v>
      </c>
      <c r="AW3296" s="6" t="str">
        <f>HYPERLINK("http://www.worldcat.org/oclc/8666919","WorldCat Record")</f>
        <v>WorldCat Record</v>
      </c>
      <c r="AX3296" s="3" t="s">
        <v>32070</v>
      </c>
      <c r="AY3296" s="3" t="s">
        <v>32071</v>
      </c>
      <c r="AZ3296" s="3" t="s">
        <v>32072</v>
      </c>
      <c r="BA3296" s="3" t="s">
        <v>32072</v>
      </c>
      <c r="BB3296" s="3" t="s">
        <v>32073</v>
      </c>
      <c r="BC3296" s="3" t="s">
        <v>102</v>
      </c>
      <c r="BD3296" s="3" t="s">
        <v>68</v>
      </c>
      <c r="BE3296" s="3" t="s">
        <v>32074</v>
      </c>
      <c r="BF3296" s="3" t="s">
        <v>32073</v>
      </c>
      <c r="BG3296" s="3" t="s">
        <v>32075</v>
      </c>
    </row>
    <row r="3297" spans="1:59" ht="58" x14ac:dyDescent="0.35">
      <c r="A3297" s="2" t="s">
        <v>89</v>
      </c>
      <c r="B3297" s="2" t="s">
        <v>90</v>
      </c>
      <c r="C3297" s="2" t="s">
        <v>32064</v>
      </c>
      <c r="D3297" s="2" t="s">
        <v>32065</v>
      </c>
      <c r="E3297" s="2" t="s">
        <v>32066</v>
      </c>
      <c r="F3297" s="3" t="s">
        <v>32076</v>
      </c>
      <c r="G3297" s="3" t="s">
        <v>61</v>
      </c>
      <c r="I3297" s="3" t="s">
        <v>62</v>
      </c>
      <c r="J3297" s="3" t="s">
        <v>62</v>
      </c>
      <c r="K3297" s="3" t="s">
        <v>63</v>
      </c>
      <c r="M3297" s="2" t="s">
        <v>32068</v>
      </c>
      <c r="N3297" s="3" t="s">
        <v>95</v>
      </c>
      <c r="P3297" s="3" t="s">
        <v>85</v>
      </c>
      <c r="Q3297" s="2" t="s">
        <v>25875</v>
      </c>
      <c r="R3297" s="3" t="s">
        <v>32039</v>
      </c>
      <c r="S3297" s="4">
        <v>5</v>
      </c>
      <c r="T3297" s="4">
        <v>16</v>
      </c>
      <c r="U3297" s="5" t="s">
        <v>32077</v>
      </c>
      <c r="V3297" s="5" t="s">
        <v>32069</v>
      </c>
      <c r="W3297" s="5" t="s">
        <v>67</v>
      </c>
      <c r="X3297" s="5" t="s">
        <v>67</v>
      </c>
      <c r="Y3297" s="4">
        <v>151</v>
      </c>
      <c r="Z3297" s="4">
        <v>9</v>
      </c>
      <c r="AA3297" s="4">
        <v>16</v>
      </c>
      <c r="AB3297" s="4">
        <v>1</v>
      </c>
      <c r="AC3297" s="4">
        <v>1</v>
      </c>
      <c r="AD3297" s="4">
        <v>62</v>
      </c>
      <c r="AE3297" s="4">
        <v>66</v>
      </c>
      <c r="AF3297" s="4">
        <v>0</v>
      </c>
      <c r="AG3297" s="4">
        <v>0</v>
      </c>
      <c r="AH3297" s="4">
        <v>57</v>
      </c>
      <c r="AI3297" s="4">
        <v>60</v>
      </c>
      <c r="AJ3297" s="4">
        <v>8</v>
      </c>
      <c r="AK3297" s="4">
        <v>12</v>
      </c>
      <c r="AL3297" s="4">
        <v>37</v>
      </c>
      <c r="AM3297" s="4">
        <v>38</v>
      </c>
      <c r="AN3297" s="4">
        <v>0</v>
      </c>
      <c r="AO3297" s="4">
        <v>0</v>
      </c>
      <c r="AP3297" s="4">
        <v>8</v>
      </c>
      <c r="AQ3297" s="4">
        <v>12</v>
      </c>
      <c r="AR3297" s="3" t="s">
        <v>62</v>
      </c>
      <c r="AS3297" s="3" t="s">
        <v>62</v>
      </c>
      <c r="AT3297" s="3" t="s">
        <v>61</v>
      </c>
      <c r="AU3297" s="6" t="str">
        <f>HYPERLINK("http://catalog.hathitrust.org/Record/000106158","HathiTrust Record")</f>
        <v>HathiTrust Record</v>
      </c>
      <c r="AV3297" s="6" t="str">
        <f>HYPERLINK("http://mcgill.on.worldcat.org/oclc/8666919","Catalog Record")</f>
        <v>Catalog Record</v>
      </c>
      <c r="AW3297" s="6" t="str">
        <f>HYPERLINK("http://www.worldcat.org/oclc/8666919","WorldCat Record")</f>
        <v>WorldCat Record</v>
      </c>
      <c r="AX3297" s="3" t="s">
        <v>32070</v>
      </c>
      <c r="AY3297" s="3" t="s">
        <v>32071</v>
      </c>
      <c r="AZ3297" s="3" t="s">
        <v>32072</v>
      </c>
      <c r="BA3297" s="3" t="s">
        <v>32072</v>
      </c>
      <c r="BB3297" s="3" t="s">
        <v>32078</v>
      </c>
      <c r="BC3297" s="3" t="s">
        <v>102</v>
      </c>
      <c r="BD3297" s="3" t="s">
        <v>68</v>
      </c>
      <c r="BE3297" s="3" t="s">
        <v>32074</v>
      </c>
      <c r="BF3297" s="3" t="s">
        <v>32078</v>
      </c>
      <c r="BG3297" s="3" t="s">
        <v>32079</v>
      </c>
    </row>
    <row r="3298" spans="1:59" ht="58" x14ac:dyDescent="0.35">
      <c r="A3298" s="2" t="s">
        <v>89</v>
      </c>
      <c r="B3298" s="2" t="s">
        <v>90</v>
      </c>
      <c r="C3298" s="2" t="s">
        <v>32064</v>
      </c>
      <c r="D3298" s="2" t="s">
        <v>32065</v>
      </c>
      <c r="E3298" s="2" t="s">
        <v>32066</v>
      </c>
      <c r="F3298" s="3" t="s">
        <v>1776</v>
      </c>
      <c r="G3298" s="3" t="s">
        <v>61</v>
      </c>
      <c r="I3298" s="3" t="s">
        <v>62</v>
      </c>
      <c r="J3298" s="3" t="s">
        <v>62</v>
      </c>
      <c r="K3298" s="3" t="s">
        <v>63</v>
      </c>
      <c r="M3298" s="2" t="s">
        <v>32068</v>
      </c>
      <c r="N3298" s="3" t="s">
        <v>95</v>
      </c>
      <c r="P3298" s="3" t="s">
        <v>85</v>
      </c>
      <c r="Q3298" s="2" t="s">
        <v>25875</v>
      </c>
      <c r="R3298" s="3" t="s">
        <v>32039</v>
      </c>
      <c r="S3298" s="4">
        <v>5</v>
      </c>
      <c r="T3298" s="4">
        <v>16</v>
      </c>
      <c r="U3298" s="5" t="s">
        <v>32069</v>
      </c>
      <c r="V3298" s="5" t="s">
        <v>32069</v>
      </c>
      <c r="W3298" s="5" t="s">
        <v>67</v>
      </c>
      <c r="X3298" s="5" t="s">
        <v>67</v>
      </c>
      <c r="Y3298" s="4">
        <v>151</v>
      </c>
      <c r="Z3298" s="4">
        <v>9</v>
      </c>
      <c r="AA3298" s="4">
        <v>16</v>
      </c>
      <c r="AB3298" s="4">
        <v>1</v>
      </c>
      <c r="AC3298" s="4">
        <v>1</v>
      </c>
      <c r="AD3298" s="4">
        <v>62</v>
      </c>
      <c r="AE3298" s="4">
        <v>66</v>
      </c>
      <c r="AF3298" s="4">
        <v>0</v>
      </c>
      <c r="AG3298" s="4">
        <v>0</v>
      </c>
      <c r="AH3298" s="4">
        <v>57</v>
      </c>
      <c r="AI3298" s="4">
        <v>60</v>
      </c>
      <c r="AJ3298" s="4">
        <v>8</v>
      </c>
      <c r="AK3298" s="4">
        <v>12</v>
      </c>
      <c r="AL3298" s="4">
        <v>37</v>
      </c>
      <c r="AM3298" s="4">
        <v>38</v>
      </c>
      <c r="AN3298" s="4">
        <v>0</v>
      </c>
      <c r="AO3298" s="4">
        <v>0</v>
      </c>
      <c r="AP3298" s="4">
        <v>8</v>
      </c>
      <c r="AQ3298" s="4">
        <v>12</v>
      </c>
      <c r="AR3298" s="3" t="s">
        <v>62</v>
      </c>
      <c r="AS3298" s="3" t="s">
        <v>62</v>
      </c>
      <c r="AT3298" s="3" t="s">
        <v>61</v>
      </c>
      <c r="AU3298" s="6" t="str">
        <f>HYPERLINK("http://catalog.hathitrust.org/Record/000106158","HathiTrust Record")</f>
        <v>HathiTrust Record</v>
      </c>
      <c r="AV3298" s="6" t="str">
        <f>HYPERLINK("http://mcgill.on.worldcat.org/oclc/8666919","Catalog Record")</f>
        <v>Catalog Record</v>
      </c>
      <c r="AW3298" s="6" t="str">
        <f>HYPERLINK("http://www.worldcat.org/oclc/8666919","WorldCat Record")</f>
        <v>WorldCat Record</v>
      </c>
      <c r="AX3298" s="3" t="s">
        <v>32070</v>
      </c>
      <c r="AY3298" s="3" t="s">
        <v>32071</v>
      </c>
      <c r="AZ3298" s="3" t="s">
        <v>32072</v>
      </c>
      <c r="BA3298" s="3" t="s">
        <v>32072</v>
      </c>
      <c r="BB3298" s="3" t="s">
        <v>32080</v>
      </c>
      <c r="BC3298" s="3" t="s">
        <v>102</v>
      </c>
      <c r="BD3298" s="3" t="s">
        <v>68</v>
      </c>
      <c r="BE3298" s="3" t="s">
        <v>32074</v>
      </c>
      <c r="BF3298" s="3" t="s">
        <v>32080</v>
      </c>
      <c r="BG3298" s="3" t="s">
        <v>32081</v>
      </c>
    </row>
    <row r="3299" spans="1:59" ht="58" x14ac:dyDescent="0.35">
      <c r="A3299" s="2" t="s">
        <v>89</v>
      </c>
      <c r="B3299" s="2" t="s">
        <v>90</v>
      </c>
      <c r="C3299" s="2" t="s">
        <v>32082</v>
      </c>
      <c r="D3299" s="2" t="s">
        <v>32083</v>
      </c>
      <c r="E3299" s="2" t="s">
        <v>32084</v>
      </c>
      <c r="G3299" s="3" t="s">
        <v>62</v>
      </c>
      <c r="I3299" s="3" t="s">
        <v>62</v>
      </c>
      <c r="J3299" s="3" t="s">
        <v>62</v>
      </c>
      <c r="K3299" s="3" t="s">
        <v>63</v>
      </c>
      <c r="L3299" s="2" t="s">
        <v>32085</v>
      </c>
      <c r="M3299" s="2" t="s">
        <v>32086</v>
      </c>
      <c r="N3299" s="3" t="s">
        <v>698</v>
      </c>
      <c r="P3299" s="3" t="s">
        <v>64</v>
      </c>
      <c r="R3299" s="3" t="s">
        <v>32039</v>
      </c>
      <c r="S3299" s="4">
        <v>7</v>
      </c>
      <c r="T3299" s="4">
        <v>7</v>
      </c>
      <c r="U3299" s="5" t="s">
        <v>906</v>
      </c>
      <c r="V3299" s="5" t="s">
        <v>906</v>
      </c>
      <c r="W3299" s="5" t="s">
        <v>67</v>
      </c>
      <c r="X3299" s="5" t="s">
        <v>67</v>
      </c>
      <c r="Y3299" s="4">
        <v>149</v>
      </c>
      <c r="Z3299" s="4">
        <v>12</v>
      </c>
      <c r="AA3299" s="4">
        <v>81</v>
      </c>
      <c r="AB3299" s="4">
        <v>1</v>
      </c>
      <c r="AC3299" s="4">
        <v>14</v>
      </c>
      <c r="AD3299" s="4">
        <v>48</v>
      </c>
      <c r="AE3299" s="4">
        <v>116</v>
      </c>
      <c r="AF3299" s="4">
        <v>0</v>
      </c>
      <c r="AG3299" s="4">
        <v>8</v>
      </c>
      <c r="AH3299" s="4">
        <v>44</v>
      </c>
      <c r="AI3299" s="4">
        <v>81</v>
      </c>
      <c r="AJ3299" s="4">
        <v>8</v>
      </c>
      <c r="AK3299" s="4">
        <v>22</v>
      </c>
      <c r="AL3299" s="4">
        <v>28</v>
      </c>
      <c r="AM3299" s="4">
        <v>42</v>
      </c>
      <c r="AN3299" s="4">
        <v>0</v>
      </c>
      <c r="AO3299" s="4">
        <v>0</v>
      </c>
      <c r="AP3299" s="4">
        <v>8</v>
      </c>
      <c r="AQ3299" s="4">
        <v>42</v>
      </c>
      <c r="AR3299" s="3" t="s">
        <v>62</v>
      </c>
      <c r="AS3299" s="3" t="s">
        <v>62</v>
      </c>
      <c r="AT3299" s="3" t="s">
        <v>62</v>
      </c>
      <c r="AV3299" s="6" t="str">
        <f>HYPERLINK("http://mcgill.on.worldcat.org/oclc/751721304","Catalog Record")</f>
        <v>Catalog Record</v>
      </c>
      <c r="AW3299" s="6" t="str">
        <f>HYPERLINK("http://www.worldcat.org/oclc/751721304","WorldCat Record")</f>
        <v>WorldCat Record</v>
      </c>
      <c r="AX3299" s="3" t="s">
        <v>32087</v>
      </c>
      <c r="AY3299" s="3" t="s">
        <v>32088</v>
      </c>
      <c r="AZ3299" s="3" t="s">
        <v>32089</v>
      </c>
      <c r="BA3299" s="3" t="s">
        <v>32089</v>
      </c>
      <c r="BB3299" s="3" t="s">
        <v>32090</v>
      </c>
      <c r="BC3299" s="3" t="s">
        <v>102</v>
      </c>
      <c r="BD3299" s="3" t="s">
        <v>231</v>
      </c>
      <c r="BE3299" s="3" t="s">
        <v>32091</v>
      </c>
      <c r="BF3299" s="3" t="s">
        <v>32090</v>
      </c>
      <c r="BG3299" s="3" t="s">
        <v>32092</v>
      </c>
    </row>
    <row r="3300" spans="1:59" ht="58" x14ac:dyDescent="0.35">
      <c r="A3300" s="2" t="s">
        <v>89</v>
      </c>
      <c r="B3300" s="2" t="s">
        <v>90</v>
      </c>
      <c r="C3300" s="2" t="s">
        <v>32093</v>
      </c>
      <c r="D3300" s="2" t="s">
        <v>32094</v>
      </c>
      <c r="E3300" s="2" t="s">
        <v>32095</v>
      </c>
      <c r="G3300" s="3" t="s">
        <v>62</v>
      </c>
      <c r="I3300" s="3" t="s">
        <v>62</v>
      </c>
      <c r="J3300" s="3" t="s">
        <v>62</v>
      </c>
      <c r="K3300" s="3" t="s">
        <v>63</v>
      </c>
      <c r="L3300" s="2" t="s">
        <v>32096</v>
      </c>
      <c r="M3300" s="2" t="s">
        <v>32097</v>
      </c>
      <c r="N3300" s="3" t="s">
        <v>129</v>
      </c>
      <c r="P3300" s="3" t="s">
        <v>64</v>
      </c>
      <c r="Q3300" s="2" t="s">
        <v>32098</v>
      </c>
      <c r="R3300" s="3" t="s">
        <v>32039</v>
      </c>
      <c r="S3300" s="4">
        <v>3</v>
      </c>
      <c r="T3300" s="4">
        <v>3</v>
      </c>
      <c r="U3300" s="5" t="s">
        <v>32099</v>
      </c>
      <c r="V3300" s="5" t="s">
        <v>32099</v>
      </c>
      <c r="W3300" s="5" t="s">
        <v>67</v>
      </c>
      <c r="X3300" s="5" t="s">
        <v>67</v>
      </c>
      <c r="Y3300" s="4">
        <v>109</v>
      </c>
      <c r="Z3300" s="4">
        <v>5</v>
      </c>
      <c r="AA3300" s="4">
        <v>89</v>
      </c>
      <c r="AB3300" s="4">
        <v>1</v>
      </c>
      <c r="AC3300" s="4">
        <v>15</v>
      </c>
      <c r="AD3300" s="4">
        <v>35</v>
      </c>
      <c r="AE3300" s="4">
        <v>114</v>
      </c>
      <c r="AF3300" s="4">
        <v>0</v>
      </c>
      <c r="AG3300" s="4">
        <v>8</v>
      </c>
      <c r="AH3300" s="4">
        <v>33</v>
      </c>
      <c r="AI3300" s="4">
        <v>78</v>
      </c>
      <c r="AJ3300" s="4">
        <v>3</v>
      </c>
      <c r="AK3300" s="4">
        <v>20</v>
      </c>
      <c r="AL3300" s="4">
        <v>24</v>
      </c>
      <c r="AM3300" s="4">
        <v>40</v>
      </c>
      <c r="AN3300" s="4">
        <v>0</v>
      </c>
      <c r="AO3300" s="4">
        <v>0</v>
      </c>
      <c r="AP3300" s="4">
        <v>3</v>
      </c>
      <c r="AQ3300" s="4">
        <v>43</v>
      </c>
      <c r="AR3300" s="3" t="s">
        <v>62</v>
      </c>
      <c r="AS3300" s="3" t="s">
        <v>62</v>
      </c>
      <c r="AT3300" s="3" t="s">
        <v>62</v>
      </c>
      <c r="AV3300" s="6" t="str">
        <f>HYPERLINK("http://mcgill.on.worldcat.org/oclc/830030007","Catalog Record")</f>
        <v>Catalog Record</v>
      </c>
      <c r="AW3300" s="6" t="str">
        <f>HYPERLINK("http://www.worldcat.org/oclc/830030007","WorldCat Record")</f>
        <v>WorldCat Record</v>
      </c>
      <c r="AX3300" s="3" t="s">
        <v>32100</v>
      </c>
      <c r="AY3300" s="3" t="s">
        <v>32101</v>
      </c>
      <c r="AZ3300" s="3" t="s">
        <v>32102</v>
      </c>
      <c r="BA3300" s="3" t="s">
        <v>32102</v>
      </c>
      <c r="BB3300" s="3" t="s">
        <v>32103</v>
      </c>
      <c r="BC3300" s="3" t="s">
        <v>102</v>
      </c>
      <c r="BD3300" s="3" t="s">
        <v>68</v>
      </c>
      <c r="BE3300" s="3" t="s">
        <v>32104</v>
      </c>
      <c r="BF3300" s="3" t="s">
        <v>32103</v>
      </c>
      <c r="BG3300" s="3" t="s">
        <v>32105</v>
      </c>
    </row>
    <row r="3301" spans="1:59" ht="58" x14ac:dyDescent="0.35">
      <c r="A3301" s="2" t="s">
        <v>89</v>
      </c>
      <c r="B3301" s="2" t="s">
        <v>90</v>
      </c>
      <c r="C3301" s="2" t="s">
        <v>32106</v>
      </c>
      <c r="D3301" s="2" t="s">
        <v>32107</v>
      </c>
      <c r="E3301" s="2" t="s">
        <v>32108</v>
      </c>
      <c r="F3301" s="3" t="s">
        <v>1416</v>
      </c>
      <c r="G3301" s="3" t="s">
        <v>61</v>
      </c>
      <c r="I3301" s="3" t="s">
        <v>61</v>
      </c>
      <c r="J3301" s="3" t="s">
        <v>61</v>
      </c>
      <c r="K3301" s="3" t="s">
        <v>63</v>
      </c>
      <c r="L3301" s="2" t="s">
        <v>32109</v>
      </c>
      <c r="M3301" s="2" t="s">
        <v>3475</v>
      </c>
      <c r="N3301" s="3" t="s">
        <v>2588</v>
      </c>
      <c r="P3301" s="3" t="s">
        <v>64</v>
      </c>
      <c r="R3301" s="3" t="s">
        <v>32039</v>
      </c>
      <c r="S3301" s="4">
        <v>10</v>
      </c>
      <c r="T3301" s="4">
        <v>64</v>
      </c>
      <c r="U3301" s="5" t="s">
        <v>32110</v>
      </c>
      <c r="V3301" s="5" t="s">
        <v>32111</v>
      </c>
      <c r="W3301" s="5" t="s">
        <v>67</v>
      </c>
      <c r="X3301" s="5" t="s">
        <v>67</v>
      </c>
      <c r="Y3301" s="4">
        <v>444</v>
      </c>
      <c r="Z3301" s="4">
        <v>27</v>
      </c>
      <c r="AA3301" s="4">
        <v>31</v>
      </c>
      <c r="AB3301" s="4">
        <v>2</v>
      </c>
      <c r="AC3301" s="4">
        <v>3</v>
      </c>
      <c r="AD3301" s="4">
        <v>111</v>
      </c>
      <c r="AE3301" s="4">
        <v>116</v>
      </c>
      <c r="AF3301" s="4">
        <v>1</v>
      </c>
      <c r="AG3301" s="4">
        <v>2</v>
      </c>
      <c r="AH3301" s="4">
        <v>99</v>
      </c>
      <c r="AI3301" s="4">
        <v>99</v>
      </c>
      <c r="AJ3301" s="4">
        <v>13</v>
      </c>
      <c r="AK3301" s="4">
        <v>16</v>
      </c>
      <c r="AL3301" s="4">
        <v>50</v>
      </c>
      <c r="AM3301" s="4">
        <v>52</v>
      </c>
      <c r="AN3301" s="4">
        <v>0</v>
      </c>
      <c r="AO3301" s="4">
        <v>0</v>
      </c>
      <c r="AP3301" s="4">
        <v>20</v>
      </c>
      <c r="AQ3301" s="4">
        <v>22</v>
      </c>
      <c r="AR3301" s="3" t="s">
        <v>62</v>
      </c>
      <c r="AS3301" s="3" t="s">
        <v>62</v>
      </c>
      <c r="AT3301" s="3" t="s">
        <v>61</v>
      </c>
      <c r="AU3301" s="6" t="str">
        <f>HYPERLINK("http://catalog.hathitrust.org/Record/000186013","HathiTrust Record")</f>
        <v>HathiTrust Record</v>
      </c>
      <c r="AV3301" s="6" t="str">
        <f>HYPERLINK("http://mcgill.on.worldcat.org/oclc/2006000","Catalog Record")</f>
        <v>Catalog Record</v>
      </c>
      <c r="AW3301" s="6" t="str">
        <f>HYPERLINK("http://www.worldcat.org/oclc/2006000","WorldCat Record")</f>
        <v>WorldCat Record</v>
      </c>
      <c r="AX3301" s="3" t="s">
        <v>32112</v>
      </c>
      <c r="AY3301" s="3" t="s">
        <v>32113</v>
      </c>
      <c r="AZ3301" s="3" t="s">
        <v>32114</v>
      </c>
      <c r="BA3301" s="3" t="s">
        <v>32114</v>
      </c>
      <c r="BB3301" s="3" t="s">
        <v>32115</v>
      </c>
      <c r="BC3301" s="3" t="s">
        <v>102</v>
      </c>
      <c r="BD3301" s="3" t="s">
        <v>68</v>
      </c>
      <c r="BE3301" s="3" t="s">
        <v>32116</v>
      </c>
      <c r="BF3301" s="3" t="s">
        <v>32115</v>
      </c>
      <c r="BG3301" s="3" t="s">
        <v>32117</v>
      </c>
    </row>
    <row r="3302" spans="1:59" ht="58" x14ac:dyDescent="0.35">
      <c r="A3302" s="2" t="s">
        <v>89</v>
      </c>
      <c r="B3302" s="2" t="s">
        <v>90</v>
      </c>
      <c r="C3302" s="2" t="s">
        <v>32106</v>
      </c>
      <c r="D3302" s="2" t="s">
        <v>32107</v>
      </c>
      <c r="E3302" s="2" t="s">
        <v>32108</v>
      </c>
      <c r="F3302" s="3" t="s">
        <v>1413</v>
      </c>
      <c r="G3302" s="3" t="s">
        <v>61</v>
      </c>
      <c r="I3302" s="3" t="s">
        <v>61</v>
      </c>
      <c r="J3302" s="3" t="s">
        <v>61</v>
      </c>
      <c r="K3302" s="3" t="s">
        <v>63</v>
      </c>
      <c r="L3302" s="2" t="s">
        <v>32109</v>
      </c>
      <c r="M3302" s="2" t="s">
        <v>3475</v>
      </c>
      <c r="N3302" s="3" t="s">
        <v>2588</v>
      </c>
      <c r="P3302" s="3" t="s">
        <v>64</v>
      </c>
      <c r="R3302" s="3" t="s">
        <v>32039</v>
      </c>
      <c r="S3302" s="4">
        <v>21</v>
      </c>
      <c r="T3302" s="4">
        <v>64</v>
      </c>
      <c r="U3302" s="5" t="s">
        <v>32111</v>
      </c>
      <c r="V3302" s="5" t="s">
        <v>32111</v>
      </c>
      <c r="W3302" s="5" t="s">
        <v>67</v>
      </c>
      <c r="X3302" s="5" t="s">
        <v>67</v>
      </c>
      <c r="Y3302" s="4">
        <v>444</v>
      </c>
      <c r="Z3302" s="4">
        <v>27</v>
      </c>
      <c r="AA3302" s="4">
        <v>31</v>
      </c>
      <c r="AB3302" s="4">
        <v>2</v>
      </c>
      <c r="AC3302" s="4">
        <v>3</v>
      </c>
      <c r="AD3302" s="4">
        <v>111</v>
      </c>
      <c r="AE3302" s="4">
        <v>116</v>
      </c>
      <c r="AF3302" s="4">
        <v>1</v>
      </c>
      <c r="AG3302" s="4">
        <v>2</v>
      </c>
      <c r="AH3302" s="4">
        <v>99</v>
      </c>
      <c r="AI3302" s="4">
        <v>99</v>
      </c>
      <c r="AJ3302" s="4">
        <v>13</v>
      </c>
      <c r="AK3302" s="4">
        <v>16</v>
      </c>
      <c r="AL3302" s="4">
        <v>50</v>
      </c>
      <c r="AM3302" s="4">
        <v>52</v>
      </c>
      <c r="AN3302" s="4">
        <v>0</v>
      </c>
      <c r="AO3302" s="4">
        <v>0</v>
      </c>
      <c r="AP3302" s="4">
        <v>20</v>
      </c>
      <c r="AQ3302" s="4">
        <v>22</v>
      </c>
      <c r="AR3302" s="3" t="s">
        <v>62</v>
      </c>
      <c r="AS3302" s="3" t="s">
        <v>62</v>
      </c>
      <c r="AT3302" s="3" t="s">
        <v>61</v>
      </c>
      <c r="AU3302" s="6" t="str">
        <f>HYPERLINK("http://catalog.hathitrust.org/Record/000186013","HathiTrust Record")</f>
        <v>HathiTrust Record</v>
      </c>
      <c r="AV3302" s="6" t="str">
        <f>HYPERLINK("http://mcgill.on.worldcat.org/oclc/2006000","Catalog Record")</f>
        <v>Catalog Record</v>
      </c>
      <c r="AW3302" s="6" t="str">
        <f>HYPERLINK("http://www.worldcat.org/oclc/2006000","WorldCat Record")</f>
        <v>WorldCat Record</v>
      </c>
      <c r="AX3302" s="3" t="s">
        <v>32112</v>
      </c>
      <c r="AY3302" s="3" t="s">
        <v>32113</v>
      </c>
      <c r="AZ3302" s="3" t="s">
        <v>32114</v>
      </c>
      <c r="BA3302" s="3" t="s">
        <v>32114</v>
      </c>
      <c r="BB3302" s="3" t="s">
        <v>32118</v>
      </c>
      <c r="BC3302" s="3" t="s">
        <v>102</v>
      </c>
      <c r="BD3302" s="3" t="s">
        <v>68</v>
      </c>
      <c r="BE3302" s="3" t="s">
        <v>32116</v>
      </c>
      <c r="BF3302" s="3" t="s">
        <v>32118</v>
      </c>
      <c r="BG3302" s="3" t="s">
        <v>32119</v>
      </c>
    </row>
    <row r="3303" spans="1:59" ht="58" x14ac:dyDescent="0.35">
      <c r="A3303" s="2" t="s">
        <v>89</v>
      </c>
      <c r="B3303" s="2" t="s">
        <v>90</v>
      </c>
      <c r="C3303" s="2" t="s">
        <v>32120</v>
      </c>
      <c r="D3303" s="2" t="s">
        <v>32121</v>
      </c>
      <c r="E3303" s="2" t="s">
        <v>32122</v>
      </c>
      <c r="G3303" s="3" t="s">
        <v>62</v>
      </c>
      <c r="I3303" s="3" t="s">
        <v>62</v>
      </c>
      <c r="J3303" s="3" t="s">
        <v>62</v>
      </c>
      <c r="K3303" s="3" t="s">
        <v>63</v>
      </c>
      <c r="L3303" s="2" t="s">
        <v>32123</v>
      </c>
      <c r="M3303" s="2" t="s">
        <v>32124</v>
      </c>
      <c r="N3303" s="3" t="s">
        <v>1639</v>
      </c>
      <c r="P3303" s="3" t="s">
        <v>64</v>
      </c>
      <c r="Q3303" s="2" t="s">
        <v>32125</v>
      </c>
      <c r="R3303" s="3" t="s">
        <v>32039</v>
      </c>
      <c r="S3303" s="4">
        <v>1</v>
      </c>
      <c r="T3303" s="4">
        <v>1</v>
      </c>
      <c r="U3303" s="5" t="s">
        <v>9187</v>
      </c>
      <c r="V3303" s="5" t="s">
        <v>9187</v>
      </c>
      <c r="W3303" s="5" t="s">
        <v>67</v>
      </c>
      <c r="X3303" s="5" t="s">
        <v>67</v>
      </c>
      <c r="Y3303" s="4">
        <v>503</v>
      </c>
      <c r="Z3303" s="4">
        <v>35</v>
      </c>
      <c r="AA3303" s="4">
        <v>38</v>
      </c>
      <c r="AB3303" s="4">
        <v>2</v>
      </c>
      <c r="AC3303" s="4">
        <v>4</v>
      </c>
      <c r="AD3303" s="4">
        <v>123</v>
      </c>
      <c r="AE3303" s="4">
        <v>126</v>
      </c>
      <c r="AF3303" s="4">
        <v>1</v>
      </c>
      <c r="AG3303" s="4">
        <v>3</v>
      </c>
      <c r="AH3303" s="4">
        <v>100</v>
      </c>
      <c r="AI3303" s="4">
        <v>101</v>
      </c>
      <c r="AJ3303" s="4">
        <v>21</v>
      </c>
      <c r="AK3303" s="4">
        <v>23</v>
      </c>
      <c r="AL3303" s="4">
        <v>54</v>
      </c>
      <c r="AM3303" s="4">
        <v>54</v>
      </c>
      <c r="AN3303" s="4">
        <v>0</v>
      </c>
      <c r="AO3303" s="4">
        <v>0</v>
      </c>
      <c r="AP3303" s="4">
        <v>28</v>
      </c>
      <c r="AQ3303" s="4">
        <v>30</v>
      </c>
      <c r="AR3303" s="3" t="s">
        <v>62</v>
      </c>
      <c r="AS3303" s="3" t="s">
        <v>62</v>
      </c>
      <c r="AT3303" s="3" t="s">
        <v>61</v>
      </c>
      <c r="AU3303" s="6" t="str">
        <f>HYPERLINK("http://catalog.hathitrust.org/Record/001486469","HathiTrust Record")</f>
        <v>HathiTrust Record</v>
      </c>
      <c r="AV3303" s="6" t="str">
        <f>HYPERLINK("http://mcgill.on.worldcat.org/oclc/108556","Catalog Record")</f>
        <v>Catalog Record</v>
      </c>
      <c r="AW3303" s="6" t="str">
        <f>HYPERLINK("http://www.worldcat.org/oclc/108556","WorldCat Record")</f>
        <v>WorldCat Record</v>
      </c>
      <c r="AX3303" s="3" t="s">
        <v>32126</v>
      </c>
      <c r="AY3303" s="3" t="s">
        <v>32127</v>
      </c>
      <c r="AZ3303" s="3" t="s">
        <v>32128</v>
      </c>
      <c r="BA3303" s="3" t="s">
        <v>32128</v>
      </c>
      <c r="BB3303" s="3" t="s">
        <v>32129</v>
      </c>
      <c r="BC3303" s="3" t="s">
        <v>102</v>
      </c>
      <c r="BD3303" s="3" t="s">
        <v>68</v>
      </c>
      <c r="BE3303" s="3" t="s">
        <v>32130</v>
      </c>
      <c r="BF3303" s="3" t="s">
        <v>32129</v>
      </c>
      <c r="BG3303" s="3" t="s">
        <v>32131</v>
      </c>
    </row>
    <row r="3304" spans="1:59" ht="58" x14ac:dyDescent="0.35">
      <c r="A3304" s="2" t="s">
        <v>89</v>
      </c>
      <c r="B3304" s="2" t="s">
        <v>90</v>
      </c>
      <c r="C3304" s="2" t="s">
        <v>32132</v>
      </c>
      <c r="D3304" s="2" t="s">
        <v>32133</v>
      </c>
      <c r="E3304" s="2" t="s">
        <v>32134</v>
      </c>
      <c r="G3304" s="3" t="s">
        <v>62</v>
      </c>
      <c r="I3304" s="3" t="s">
        <v>61</v>
      </c>
      <c r="J3304" s="3" t="s">
        <v>62</v>
      </c>
      <c r="K3304" s="3" t="s">
        <v>63</v>
      </c>
      <c r="L3304" s="2" t="s">
        <v>32135</v>
      </c>
      <c r="M3304" s="2" t="s">
        <v>31616</v>
      </c>
      <c r="N3304" s="3" t="s">
        <v>655</v>
      </c>
      <c r="P3304" s="3" t="s">
        <v>64</v>
      </c>
      <c r="Q3304" s="2" t="s">
        <v>32136</v>
      </c>
      <c r="R3304" s="3" t="s">
        <v>32039</v>
      </c>
      <c r="S3304" s="4">
        <v>12</v>
      </c>
      <c r="T3304" s="4">
        <v>20</v>
      </c>
      <c r="U3304" s="5" t="s">
        <v>32137</v>
      </c>
      <c r="V3304" s="5" t="s">
        <v>32137</v>
      </c>
      <c r="W3304" s="5" t="s">
        <v>67</v>
      </c>
      <c r="X3304" s="5" t="s">
        <v>67</v>
      </c>
      <c r="Y3304" s="4">
        <v>309</v>
      </c>
      <c r="Z3304" s="4">
        <v>19</v>
      </c>
      <c r="AA3304" s="4">
        <v>101</v>
      </c>
      <c r="AB3304" s="4">
        <v>1</v>
      </c>
      <c r="AC3304" s="4">
        <v>17</v>
      </c>
      <c r="AD3304" s="4">
        <v>91</v>
      </c>
      <c r="AE3304" s="4">
        <v>144</v>
      </c>
      <c r="AF3304" s="4">
        <v>0</v>
      </c>
      <c r="AG3304" s="4">
        <v>8</v>
      </c>
      <c r="AH3304" s="4">
        <v>83</v>
      </c>
      <c r="AI3304" s="4">
        <v>103</v>
      </c>
      <c r="AJ3304" s="4">
        <v>11</v>
      </c>
      <c r="AK3304" s="4">
        <v>26</v>
      </c>
      <c r="AL3304" s="4">
        <v>44</v>
      </c>
      <c r="AM3304" s="4">
        <v>54</v>
      </c>
      <c r="AN3304" s="4">
        <v>0</v>
      </c>
      <c r="AO3304" s="4">
        <v>0</v>
      </c>
      <c r="AP3304" s="4">
        <v>13</v>
      </c>
      <c r="AQ3304" s="4">
        <v>49</v>
      </c>
      <c r="AR3304" s="3" t="s">
        <v>62</v>
      </c>
      <c r="AS3304" s="3" t="s">
        <v>62</v>
      </c>
      <c r="AT3304" s="3" t="s">
        <v>62</v>
      </c>
      <c r="AV3304" s="6" t="str">
        <f>HYPERLINK("http://mcgill.on.worldcat.org/oclc/76828871","Catalog Record")</f>
        <v>Catalog Record</v>
      </c>
      <c r="AW3304" s="6" t="str">
        <f>HYPERLINK("http://www.worldcat.org/oclc/76828871","WorldCat Record")</f>
        <v>WorldCat Record</v>
      </c>
      <c r="AX3304" s="3" t="s">
        <v>32138</v>
      </c>
      <c r="AY3304" s="3" t="s">
        <v>32139</v>
      </c>
      <c r="AZ3304" s="3" t="s">
        <v>32140</v>
      </c>
      <c r="BA3304" s="3" t="s">
        <v>32140</v>
      </c>
      <c r="BB3304" s="3" t="s">
        <v>32141</v>
      </c>
      <c r="BC3304" s="3" t="s">
        <v>102</v>
      </c>
      <c r="BD3304" s="3" t="s">
        <v>68</v>
      </c>
      <c r="BE3304" s="3" t="s">
        <v>32142</v>
      </c>
      <c r="BF3304" s="3" t="s">
        <v>32141</v>
      </c>
      <c r="BG3304" s="3" t="s">
        <v>32143</v>
      </c>
    </row>
    <row r="3305" spans="1:59" ht="58" x14ac:dyDescent="0.35">
      <c r="A3305" s="2" t="s">
        <v>89</v>
      </c>
      <c r="B3305" s="2" t="s">
        <v>90</v>
      </c>
      <c r="C3305" s="2" t="s">
        <v>32144</v>
      </c>
      <c r="D3305" s="2" t="s">
        <v>32145</v>
      </c>
      <c r="E3305" s="2" t="s">
        <v>32146</v>
      </c>
      <c r="G3305" s="3" t="s">
        <v>62</v>
      </c>
      <c r="I3305" s="3" t="s">
        <v>61</v>
      </c>
      <c r="J3305" s="3" t="s">
        <v>62</v>
      </c>
      <c r="K3305" s="3" t="s">
        <v>63</v>
      </c>
      <c r="L3305" s="2" t="s">
        <v>32147</v>
      </c>
      <c r="M3305" s="2" t="s">
        <v>32148</v>
      </c>
      <c r="N3305" s="3" t="s">
        <v>611</v>
      </c>
      <c r="P3305" s="3" t="s">
        <v>64</v>
      </c>
      <c r="R3305" s="3" t="s">
        <v>32039</v>
      </c>
      <c r="S3305" s="4">
        <v>9</v>
      </c>
      <c r="T3305" s="4">
        <v>10</v>
      </c>
      <c r="U3305" s="5" t="s">
        <v>15386</v>
      </c>
      <c r="V3305" s="5" t="s">
        <v>15386</v>
      </c>
      <c r="W3305" s="5" t="s">
        <v>67</v>
      </c>
      <c r="X3305" s="5" t="s">
        <v>67</v>
      </c>
      <c r="Y3305" s="4">
        <v>334</v>
      </c>
      <c r="Z3305" s="4">
        <v>9</v>
      </c>
      <c r="AA3305" s="4">
        <v>15</v>
      </c>
      <c r="AB3305" s="4">
        <v>1</v>
      </c>
      <c r="AC3305" s="4">
        <v>1</v>
      </c>
      <c r="AD3305" s="4">
        <v>71</v>
      </c>
      <c r="AE3305" s="4">
        <v>78</v>
      </c>
      <c r="AF3305" s="4">
        <v>0</v>
      </c>
      <c r="AG3305" s="4">
        <v>0</v>
      </c>
      <c r="AH3305" s="4">
        <v>64</v>
      </c>
      <c r="AI3305" s="4">
        <v>70</v>
      </c>
      <c r="AJ3305" s="4">
        <v>4</v>
      </c>
      <c r="AK3305" s="4">
        <v>7</v>
      </c>
      <c r="AL3305" s="4">
        <v>42</v>
      </c>
      <c r="AM3305" s="4">
        <v>45</v>
      </c>
      <c r="AN3305" s="4">
        <v>0</v>
      </c>
      <c r="AO3305" s="4">
        <v>0</v>
      </c>
      <c r="AP3305" s="4">
        <v>7</v>
      </c>
      <c r="AQ3305" s="4">
        <v>11</v>
      </c>
      <c r="AR3305" s="3" t="s">
        <v>62</v>
      </c>
      <c r="AS3305" s="3" t="s">
        <v>62</v>
      </c>
      <c r="AT3305" s="3" t="s">
        <v>62</v>
      </c>
      <c r="AU3305" s="6" t="str">
        <f>HYPERLINK("http://catalog.hathitrust.org/Record/001495248","HathiTrust Record")</f>
        <v>HathiTrust Record</v>
      </c>
      <c r="AV3305" s="6" t="str">
        <f>HYPERLINK("http://mcgill.on.worldcat.org/oclc/538078","Catalog Record")</f>
        <v>Catalog Record</v>
      </c>
      <c r="AW3305" s="6" t="str">
        <f>HYPERLINK("http://www.worldcat.org/oclc/538078","WorldCat Record")</f>
        <v>WorldCat Record</v>
      </c>
      <c r="AX3305" s="3" t="s">
        <v>32149</v>
      </c>
      <c r="AY3305" s="3" t="s">
        <v>32150</v>
      </c>
      <c r="AZ3305" s="3" t="s">
        <v>32151</v>
      </c>
      <c r="BA3305" s="3" t="s">
        <v>32151</v>
      </c>
      <c r="BB3305" s="3" t="s">
        <v>32152</v>
      </c>
      <c r="BC3305" s="3" t="s">
        <v>102</v>
      </c>
      <c r="BD3305" s="3" t="s">
        <v>68</v>
      </c>
      <c r="BF3305" s="3" t="s">
        <v>32152</v>
      </c>
      <c r="BG3305" s="3" t="s">
        <v>32153</v>
      </c>
    </row>
    <row r="3306" spans="1:59" ht="58" x14ac:dyDescent="0.35">
      <c r="A3306" s="2" t="s">
        <v>89</v>
      </c>
      <c r="B3306" s="2" t="s">
        <v>90</v>
      </c>
      <c r="C3306" s="2" t="s">
        <v>32154</v>
      </c>
      <c r="D3306" s="2" t="s">
        <v>32155</v>
      </c>
      <c r="E3306" s="2" t="s">
        <v>32156</v>
      </c>
      <c r="G3306" s="3" t="s">
        <v>62</v>
      </c>
      <c r="I3306" s="3" t="s">
        <v>62</v>
      </c>
      <c r="J3306" s="3" t="s">
        <v>62</v>
      </c>
      <c r="K3306" s="3" t="s">
        <v>63</v>
      </c>
      <c r="L3306" s="2" t="s">
        <v>32157</v>
      </c>
      <c r="M3306" s="2" t="s">
        <v>32158</v>
      </c>
      <c r="N3306" s="3" t="s">
        <v>129</v>
      </c>
      <c r="P3306" s="3" t="s">
        <v>64</v>
      </c>
      <c r="R3306" s="3" t="s">
        <v>32039</v>
      </c>
      <c r="S3306" s="4">
        <v>3</v>
      </c>
      <c r="T3306" s="4">
        <v>3</v>
      </c>
      <c r="U3306" s="5" t="s">
        <v>29976</v>
      </c>
      <c r="V3306" s="5" t="s">
        <v>29976</v>
      </c>
      <c r="W3306" s="5" t="s">
        <v>67</v>
      </c>
      <c r="X3306" s="5" t="s">
        <v>67</v>
      </c>
      <c r="Y3306" s="4">
        <v>182</v>
      </c>
      <c r="Z3306" s="4">
        <v>12</v>
      </c>
      <c r="AA3306" s="4">
        <v>12</v>
      </c>
      <c r="AB3306" s="4">
        <v>2</v>
      </c>
      <c r="AC3306" s="4">
        <v>2</v>
      </c>
      <c r="AD3306" s="4">
        <v>55</v>
      </c>
      <c r="AE3306" s="4">
        <v>55</v>
      </c>
      <c r="AF3306" s="4">
        <v>1</v>
      </c>
      <c r="AG3306" s="4">
        <v>1</v>
      </c>
      <c r="AH3306" s="4">
        <v>50</v>
      </c>
      <c r="AI3306" s="4">
        <v>50</v>
      </c>
      <c r="AJ3306" s="4">
        <v>7</v>
      </c>
      <c r="AK3306" s="4">
        <v>7</v>
      </c>
      <c r="AL3306" s="4">
        <v>33</v>
      </c>
      <c r="AM3306" s="4">
        <v>33</v>
      </c>
      <c r="AN3306" s="4">
        <v>0</v>
      </c>
      <c r="AO3306" s="4">
        <v>0</v>
      </c>
      <c r="AP3306" s="4">
        <v>9</v>
      </c>
      <c r="AQ3306" s="4">
        <v>9</v>
      </c>
      <c r="AR3306" s="3" t="s">
        <v>62</v>
      </c>
      <c r="AS3306" s="3" t="s">
        <v>62</v>
      </c>
      <c r="AT3306" s="3" t="s">
        <v>62</v>
      </c>
      <c r="AV3306" s="6" t="str">
        <f>HYPERLINK("http://mcgill.on.worldcat.org/oclc/816563950","Catalog Record")</f>
        <v>Catalog Record</v>
      </c>
      <c r="AW3306" s="6" t="str">
        <f>HYPERLINK("http://www.worldcat.org/oclc/816563950","WorldCat Record")</f>
        <v>WorldCat Record</v>
      </c>
      <c r="AX3306" s="3" t="s">
        <v>32159</v>
      </c>
      <c r="AY3306" s="3" t="s">
        <v>32160</v>
      </c>
      <c r="AZ3306" s="3" t="s">
        <v>32161</v>
      </c>
      <c r="BA3306" s="3" t="s">
        <v>32161</v>
      </c>
      <c r="BB3306" s="3" t="s">
        <v>32162</v>
      </c>
      <c r="BC3306" s="3" t="s">
        <v>102</v>
      </c>
      <c r="BD3306" s="3" t="s">
        <v>68</v>
      </c>
      <c r="BE3306" s="3" t="s">
        <v>32163</v>
      </c>
      <c r="BF3306" s="3" t="s">
        <v>32162</v>
      </c>
      <c r="BG3306" s="3" t="s">
        <v>32164</v>
      </c>
    </row>
    <row r="3307" spans="1:59" ht="58" x14ac:dyDescent="0.35">
      <c r="A3307" s="2" t="s">
        <v>89</v>
      </c>
      <c r="B3307" s="2" t="s">
        <v>90</v>
      </c>
      <c r="C3307" s="2" t="s">
        <v>32165</v>
      </c>
      <c r="D3307" s="2" t="s">
        <v>32166</v>
      </c>
      <c r="E3307" s="2" t="s">
        <v>32167</v>
      </c>
      <c r="G3307" s="3" t="s">
        <v>62</v>
      </c>
      <c r="I3307" s="3" t="s">
        <v>62</v>
      </c>
      <c r="J3307" s="3" t="s">
        <v>62</v>
      </c>
      <c r="K3307" s="3" t="s">
        <v>63</v>
      </c>
      <c r="L3307" s="2" t="s">
        <v>32168</v>
      </c>
      <c r="M3307" s="2" t="s">
        <v>32169</v>
      </c>
      <c r="N3307" s="3" t="s">
        <v>553</v>
      </c>
      <c r="O3307" s="2" t="s">
        <v>32170</v>
      </c>
      <c r="P3307" s="3" t="s">
        <v>64</v>
      </c>
      <c r="R3307" s="3" t="s">
        <v>32039</v>
      </c>
      <c r="S3307" s="4">
        <v>2</v>
      </c>
      <c r="T3307" s="4">
        <v>2</v>
      </c>
      <c r="U3307" s="5" t="s">
        <v>13757</v>
      </c>
      <c r="V3307" s="5" t="s">
        <v>13757</v>
      </c>
      <c r="W3307" s="5" t="s">
        <v>67</v>
      </c>
      <c r="X3307" s="5" t="s">
        <v>67</v>
      </c>
      <c r="Y3307" s="4">
        <v>752</v>
      </c>
      <c r="Z3307" s="4">
        <v>35</v>
      </c>
      <c r="AA3307" s="4">
        <v>41</v>
      </c>
      <c r="AB3307" s="4">
        <v>2</v>
      </c>
      <c r="AC3307" s="4">
        <v>5</v>
      </c>
      <c r="AD3307" s="4">
        <v>129</v>
      </c>
      <c r="AE3307" s="4">
        <v>133</v>
      </c>
      <c r="AF3307" s="4">
        <v>1</v>
      </c>
      <c r="AG3307" s="4">
        <v>3</v>
      </c>
      <c r="AH3307" s="4">
        <v>107</v>
      </c>
      <c r="AI3307" s="4">
        <v>108</v>
      </c>
      <c r="AJ3307" s="4">
        <v>20</v>
      </c>
      <c r="AK3307" s="4">
        <v>22</v>
      </c>
      <c r="AL3307" s="4">
        <v>58</v>
      </c>
      <c r="AM3307" s="4">
        <v>58</v>
      </c>
      <c r="AN3307" s="4">
        <v>0</v>
      </c>
      <c r="AO3307" s="4">
        <v>0</v>
      </c>
      <c r="AP3307" s="4">
        <v>27</v>
      </c>
      <c r="AQ3307" s="4">
        <v>30</v>
      </c>
      <c r="AR3307" s="3" t="s">
        <v>62</v>
      </c>
      <c r="AS3307" s="3" t="s">
        <v>62</v>
      </c>
      <c r="AT3307" s="3" t="s">
        <v>62</v>
      </c>
      <c r="AV3307" s="6" t="str">
        <f>HYPERLINK("http://mcgill.on.worldcat.org/oclc/41655294","Catalog Record")</f>
        <v>Catalog Record</v>
      </c>
      <c r="AW3307" s="6" t="str">
        <f>HYPERLINK("http://www.worldcat.org/oclc/41655294","WorldCat Record")</f>
        <v>WorldCat Record</v>
      </c>
      <c r="AX3307" s="3" t="s">
        <v>32171</v>
      </c>
      <c r="AY3307" s="3" t="s">
        <v>32172</v>
      </c>
      <c r="AZ3307" s="3" t="s">
        <v>32173</v>
      </c>
      <c r="BA3307" s="3" t="s">
        <v>32173</v>
      </c>
      <c r="BB3307" s="3" t="s">
        <v>32174</v>
      </c>
      <c r="BC3307" s="3" t="s">
        <v>102</v>
      </c>
      <c r="BD3307" s="3" t="s">
        <v>68</v>
      </c>
      <c r="BE3307" s="3" t="s">
        <v>32175</v>
      </c>
      <c r="BF3307" s="3" t="s">
        <v>32174</v>
      </c>
      <c r="BG3307" s="3" t="s">
        <v>32176</v>
      </c>
    </row>
    <row r="3308" spans="1:59" ht="58" x14ac:dyDescent="0.35">
      <c r="A3308" s="2" t="s">
        <v>89</v>
      </c>
      <c r="B3308" s="2" t="s">
        <v>90</v>
      </c>
      <c r="C3308" s="2" t="s">
        <v>32177</v>
      </c>
      <c r="D3308" s="2" t="s">
        <v>32178</v>
      </c>
      <c r="E3308" s="2" t="s">
        <v>32179</v>
      </c>
      <c r="G3308" s="3" t="s">
        <v>62</v>
      </c>
      <c r="I3308" s="3" t="s">
        <v>61</v>
      </c>
      <c r="J3308" s="3" t="s">
        <v>62</v>
      </c>
      <c r="K3308" s="3" t="s">
        <v>63</v>
      </c>
      <c r="L3308" s="2" t="s">
        <v>32180</v>
      </c>
      <c r="M3308" s="2" t="s">
        <v>32181</v>
      </c>
      <c r="N3308" s="3" t="s">
        <v>186</v>
      </c>
      <c r="P3308" s="3" t="s">
        <v>64</v>
      </c>
      <c r="R3308" s="3" t="s">
        <v>32039</v>
      </c>
      <c r="S3308" s="4">
        <v>3</v>
      </c>
      <c r="T3308" s="4">
        <v>8</v>
      </c>
      <c r="U3308" s="5" t="s">
        <v>32182</v>
      </c>
      <c r="V3308" s="5" t="s">
        <v>2987</v>
      </c>
      <c r="W3308" s="5" t="s">
        <v>67</v>
      </c>
      <c r="X3308" s="5" t="s">
        <v>67</v>
      </c>
      <c r="Y3308" s="4">
        <v>296</v>
      </c>
      <c r="Z3308" s="4">
        <v>18</v>
      </c>
      <c r="AA3308" s="4">
        <v>25</v>
      </c>
      <c r="AB3308" s="4">
        <v>2</v>
      </c>
      <c r="AC3308" s="4">
        <v>3</v>
      </c>
      <c r="AD3308" s="4">
        <v>86</v>
      </c>
      <c r="AE3308" s="4">
        <v>95</v>
      </c>
      <c r="AF3308" s="4">
        <v>1</v>
      </c>
      <c r="AG3308" s="4">
        <v>2</v>
      </c>
      <c r="AH3308" s="4">
        <v>74</v>
      </c>
      <c r="AI3308" s="4">
        <v>81</v>
      </c>
      <c r="AJ3308" s="4">
        <v>10</v>
      </c>
      <c r="AK3308" s="4">
        <v>15</v>
      </c>
      <c r="AL3308" s="4">
        <v>46</v>
      </c>
      <c r="AM3308" s="4">
        <v>48</v>
      </c>
      <c r="AN3308" s="4">
        <v>0</v>
      </c>
      <c r="AO3308" s="4">
        <v>0</v>
      </c>
      <c r="AP3308" s="4">
        <v>14</v>
      </c>
      <c r="AQ3308" s="4">
        <v>19</v>
      </c>
      <c r="AR3308" s="3" t="s">
        <v>62</v>
      </c>
      <c r="AS3308" s="3" t="s">
        <v>62</v>
      </c>
      <c r="AT3308" s="3" t="s">
        <v>62</v>
      </c>
      <c r="AV3308" s="6" t="str">
        <f>HYPERLINK("http://mcgill.on.worldcat.org/oclc/2122165","Catalog Record")</f>
        <v>Catalog Record</v>
      </c>
      <c r="AW3308" s="6" t="str">
        <f>HYPERLINK("http://www.worldcat.org/oclc/2122165","WorldCat Record")</f>
        <v>WorldCat Record</v>
      </c>
      <c r="AX3308" s="3" t="s">
        <v>32183</v>
      </c>
      <c r="AY3308" s="3" t="s">
        <v>32184</v>
      </c>
      <c r="AZ3308" s="3" t="s">
        <v>32185</v>
      </c>
      <c r="BA3308" s="3" t="s">
        <v>32185</v>
      </c>
      <c r="BB3308" s="3" t="s">
        <v>32186</v>
      </c>
      <c r="BC3308" s="3" t="s">
        <v>102</v>
      </c>
      <c r="BD3308" s="3" t="s">
        <v>68</v>
      </c>
      <c r="BE3308" s="3" t="s">
        <v>32187</v>
      </c>
      <c r="BF3308" s="3" t="s">
        <v>32186</v>
      </c>
      <c r="BG3308" s="3" t="s">
        <v>32188</v>
      </c>
    </row>
    <row r="3309" spans="1:59" ht="58" x14ac:dyDescent="0.35">
      <c r="A3309" s="2" t="s">
        <v>89</v>
      </c>
      <c r="B3309" s="2" t="s">
        <v>90</v>
      </c>
      <c r="C3309" s="2" t="s">
        <v>32189</v>
      </c>
      <c r="D3309" s="2" t="s">
        <v>32190</v>
      </c>
      <c r="E3309" s="2" t="s">
        <v>32191</v>
      </c>
      <c r="G3309" s="3" t="s">
        <v>62</v>
      </c>
      <c r="I3309" s="3" t="s">
        <v>62</v>
      </c>
      <c r="J3309" s="3" t="s">
        <v>62</v>
      </c>
      <c r="K3309" s="3" t="s">
        <v>63</v>
      </c>
      <c r="M3309" s="2" t="s">
        <v>32192</v>
      </c>
      <c r="N3309" s="3" t="s">
        <v>684</v>
      </c>
      <c r="P3309" s="3" t="s">
        <v>64</v>
      </c>
      <c r="R3309" s="3" t="s">
        <v>32039</v>
      </c>
      <c r="S3309" s="4">
        <v>0</v>
      </c>
      <c r="T3309" s="4">
        <v>0</v>
      </c>
      <c r="W3309" s="5" t="s">
        <v>67</v>
      </c>
      <c r="X3309" s="5" t="s">
        <v>67</v>
      </c>
      <c r="Y3309" s="4">
        <v>40</v>
      </c>
      <c r="Z3309" s="4">
        <v>5</v>
      </c>
      <c r="AA3309" s="4">
        <v>28</v>
      </c>
      <c r="AB3309" s="4">
        <v>1</v>
      </c>
      <c r="AC3309" s="4">
        <v>8</v>
      </c>
      <c r="AD3309" s="4">
        <v>18</v>
      </c>
      <c r="AE3309" s="4">
        <v>58</v>
      </c>
      <c r="AF3309" s="4">
        <v>0</v>
      </c>
      <c r="AG3309" s="4">
        <v>4</v>
      </c>
      <c r="AH3309" s="4">
        <v>15</v>
      </c>
      <c r="AI3309" s="4">
        <v>41</v>
      </c>
      <c r="AJ3309" s="4">
        <v>2</v>
      </c>
      <c r="AK3309" s="4">
        <v>14</v>
      </c>
      <c r="AL3309" s="4">
        <v>10</v>
      </c>
      <c r="AM3309" s="4">
        <v>21</v>
      </c>
      <c r="AN3309" s="4">
        <v>0</v>
      </c>
      <c r="AO3309" s="4">
        <v>0</v>
      </c>
      <c r="AP3309" s="4">
        <v>4</v>
      </c>
      <c r="AQ3309" s="4">
        <v>23</v>
      </c>
      <c r="AR3309" s="3" t="s">
        <v>62</v>
      </c>
      <c r="AS3309" s="3" t="s">
        <v>62</v>
      </c>
      <c r="AT3309" s="3" t="s">
        <v>62</v>
      </c>
      <c r="AV3309" s="6" t="str">
        <f>HYPERLINK("http://mcgill.on.worldcat.org/oclc/775438865","Catalog Record")</f>
        <v>Catalog Record</v>
      </c>
      <c r="AW3309" s="6" t="str">
        <f>HYPERLINK("http://www.worldcat.org/oclc/775438865","WorldCat Record")</f>
        <v>WorldCat Record</v>
      </c>
      <c r="AX3309" s="3" t="s">
        <v>32193</v>
      </c>
      <c r="AY3309" s="3" t="s">
        <v>32194</v>
      </c>
      <c r="AZ3309" s="3" t="s">
        <v>32195</v>
      </c>
      <c r="BA3309" s="3" t="s">
        <v>32195</v>
      </c>
      <c r="BB3309" s="3" t="s">
        <v>32196</v>
      </c>
      <c r="BC3309" s="3" t="s">
        <v>102</v>
      </c>
      <c r="BD3309" s="3" t="s">
        <v>68</v>
      </c>
      <c r="BE3309" s="3" t="s">
        <v>32197</v>
      </c>
      <c r="BF3309" s="3" t="s">
        <v>32196</v>
      </c>
      <c r="BG3309" s="3" t="s">
        <v>32198</v>
      </c>
    </row>
    <row r="3310" spans="1:59" ht="58" x14ac:dyDescent="0.35">
      <c r="A3310" s="2" t="s">
        <v>89</v>
      </c>
      <c r="B3310" s="2" t="s">
        <v>90</v>
      </c>
      <c r="C3310" s="2" t="s">
        <v>32199</v>
      </c>
      <c r="D3310" s="2" t="s">
        <v>32200</v>
      </c>
      <c r="E3310" s="2" t="s">
        <v>32201</v>
      </c>
      <c r="G3310" s="3" t="s">
        <v>62</v>
      </c>
      <c r="I3310" s="3" t="s">
        <v>61</v>
      </c>
      <c r="J3310" s="3" t="s">
        <v>61</v>
      </c>
      <c r="K3310" s="3" t="s">
        <v>63</v>
      </c>
      <c r="L3310" s="2" t="s">
        <v>32202</v>
      </c>
      <c r="M3310" s="2" t="s">
        <v>32203</v>
      </c>
      <c r="N3310" s="3" t="s">
        <v>1305</v>
      </c>
      <c r="P3310" s="3" t="s">
        <v>64</v>
      </c>
      <c r="R3310" s="3" t="s">
        <v>32039</v>
      </c>
      <c r="S3310" s="4">
        <v>8</v>
      </c>
      <c r="T3310" s="4">
        <v>27</v>
      </c>
      <c r="U3310" s="5" t="s">
        <v>11785</v>
      </c>
      <c r="V3310" s="5" t="s">
        <v>11785</v>
      </c>
      <c r="W3310" s="5" t="s">
        <v>67</v>
      </c>
      <c r="X3310" s="5" t="s">
        <v>67</v>
      </c>
      <c r="Y3310" s="4">
        <v>530</v>
      </c>
      <c r="Z3310" s="4">
        <v>20</v>
      </c>
      <c r="AA3310" s="4">
        <v>108</v>
      </c>
      <c r="AB3310" s="4">
        <v>2</v>
      </c>
      <c r="AC3310" s="4">
        <v>9</v>
      </c>
      <c r="AD3310" s="4">
        <v>74</v>
      </c>
      <c r="AE3310" s="4">
        <v>159</v>
      </c>
      <c r="AF3310" s="4">
        <v>1</v>
      </c>
      <c r="AG3310" s="4">
        <v>3</v>
      </c>
      <c r="AH3310" s="4">
        <v>67</v>
      </c>
      <c r="AI3310" s="4">
        <v>116</v>
      </c>
      <c r="AJ3310" s="4">
        <v>7</v>
      </c>
      <c r="AK3310" s="4">
        <v>27</v>
      </c>
      <c r="AL3310" s="4">
        <v>38</v>
      </c>
      <c r="AM3310" s="4">
        <v>63</v>
      </c>
      <c r="AN3310" s="4">
        <v>0</v>
      </c>
      <c r="AO3310" s="4">
        <v>8</v>
      </c>
      <c r="AP3310" s="4">
        <v>11</v>
      </c>
      <c r="AQ3310" s="4">
        <v>47</v>
      </c>
      <c r="AR3310" s="3" t="s">
        <v>62</v>
      </c>
      <c r="AS3310" s="3" t="s">
        <v>62</v>
      </c>
      <c r="AT3310" s="3" t="s">
        <v>62</v>
      </c>
      <c r="AV3310" s="6" t="str">
        <f>HYPERLINK("http://mcgill.on.worldcat.org/oclc/14752860","Catalog Record")</f>
        <v>Catalog Record</v>
      </c>
      <c r="AW3310" s="6" t="str">
        <f>HYPERLINK("http://www.worldcat.org/oclc/14752860","WorldCat Record")</f>
        <v>WorldCat Record</v>
      </c>
      <c r="AX3310" s="3" t="s">
        <v>32204</v>
      </c>
      <c r="AY3310" s="3" t="s">
        <v>32205</v>
      </c>
      <c r="AZ3310" s="3" t="s">
        <v>32206</v>
      </c>
      <c r="BA3310" s="3" t="s">
        <v>32206</v>
      </c>
      <c r="BB3310" s="3" t="s">
        <v>32207</v>
      </c>
      <c r="BC3310" s="3" t="s">
        <v>102</v>
      </c>
      <c r="BD3310" s="3" t="s">
        <v>68</v>
      </c>
      <c r="BF3310" s="3" t="s">
        <v>32207</v>
      </c>
      <c r="BG3310" s="3" t="s">
        <v>32208</v>
      </c>
    </row>
    <row r="3311" spans="1:59" ht="58" x14ac:dyDescent="0.35">
      <c r="A3311" s="2" t="s">
        <v>89</v>
      </c>
      <c r="B3311" s="2" t="s">
        <v>90</v>
      </c>
      <c r="C3311" s="2" t="s">
        <v>32209</v>
      </c>
      <c r="D3311" s="2" t="s">
        <v>32210</v>
      </c>
      <c r="E3311" s="2" t="s">
        <v>32211</v>
      </c>
      <c r="G3311" s="3" t="s">
        <v>62</v>
      </c>
      <c r="I3311" s="3" t="s">
        <v>62</v>
      </c>
      <c r="J3311" s="3" t="s">
        <v>62</v>
      </c>
      <c r="K3311" s="3" t="s">
        <v>63</v>
      </c>
      <c r="L3311" s="2" t="s">
        <v>32212</v>
      </c>
      <c r="M3311" s="2" t="s">
        <v>32213</v>
      </c>
      <c r="N3311" s="3" t="s">
        <v>712</v>
      </c>
      <c r="P3311" s="3" t="s">
        <v>85</v>
      </c>
      <c r="R3311" s="3" t="s">
        <v>32039</v>
      </c>
      <c r="S3311" s="4">
        <v>0</v>
      </c>
      <c r="T3311" s="4">
        <v>0</v>
      </c>
      <c r="W3311" s="5" t="s">
        <v>67</v>
      </c>
      <c r="X3311" s="5" t="s">
        <v>67</v>
      </c>
      <c r="Y3311" s="4">
        <v>11</v>
      </c>
      <c r="Z3311" s="4">
        <v>4</v>
      </c>
      <c r="AA3311" s="4">
        <v>7</v>
      </c>
      <c r="AB3311" s="4">
        <v>1</v>
      </c>
      <c r="AC3311" s="4">
        <v>4</v>
      </c>
      <c r="AD3311" s="4">
        <v>5</v>
      </c>
      <c r="AE3311" s="4">
        <v>6</v>
      </c>
      <c r="AF3311" s="4">
        <v>0</v>
      </c>
      <c r="AG3311" s="4">
        <v>1</v>
      </c>
      <c r="AH3311" s="4">
        <v>4</v>
      </c>
      <c r="AI3311" s="4">
        <v>5</v>
      </c>
      <c r="AJ3311" s="4">
        <v>1</v>
      </c>
      <c r="AK3311" s="4">
        <v>2</v>
      </c>
      <c r="AL3311" s="4">
        <v>4</v>
      </c>
      <c r="AM3311" s="4">
        <v>4</v>
      </c>
      <c r="AN3311" s="4">
        <v>0</v>
      </c>
      <c r="AO3311" s="4">
        <v>0</v>
      </c>
      <c r="AP3311" s="4">
        <v>1</v>
      </c>
      <c r="AQ3311" s="4">
        <v>2</v>
      </c>
      <c r="AR3311" s="3" t="s">
        <v>62</v>
      </c>
      <c r="AS3311" s="3" t="s">
        <v>62</v>
      </c>
      <c r="AT3311" s="3" t="s">
        <v>62</v>
      </c>
      <c r="AV3311" s="6" t="str">
        <f>HYPERLINK("http://mcgill.on.worldcat.org/oclc/896834615","Catalog Record")</f>
        <v>Catalog Record</v>
      </c>
      <c r="AW3311" s="6" t="str">
        <f>HYPERLINK("http://www.worldcat.org/oclc/896834615","WorldCat Record")</f>
        <v>WorldCat Record</v>
      </c>
      <c r="AX3311" s="3" t="s">
        <v>32214</v>
      </c>
      <c r="AY3311" s="3" t="s">
        <v>32215</v>
      </c>
      <c r="AZ3311" s="3" t="s">
        <v>32216</v>
      </c>
      <c r="BA3311" s="3" t="s">
        <v>32216</v>
      </c>
      <c r="BB3311" s="3" t="s">
        <v>32217</v>
      </c>
      <c r="BC3311" s="3" t="s">
        <v>102</v>
      </c>
      <c r="BD3311" s="3" t="s">
        <v>68</v>
      </c>
      <c r="BE3311" s="3" t="s">
        <v>32218</v>
      </c>
      <c r="BF3311" s="3" t="s">
        <v>32217</v>
      </c>
      <c r="BG3311" s="3" t="s">
        <v>32219</v>
      </c>
    </row>
    <row r="3312" spans="1:59" ht="58" x14ac:dyDescent="0.35">
      <c r="A3312" s="2" t="s">
        <v>89</v>
      </c>
      <c r="B3312" s="2" t="s">
        <v>90</v>
      </c>
      <c r="C3312" s="2" t="s">
        <v>32220</v>
      </c>
      <c r="D3312" s="2" t="s">
        <v>32221</v>
      </c>
      <c r="E3312" s="2" t="s">
        <v>32222</v>
      </c>
      <c r="G3312" s="3" t="s">
        <v>62</v>
      </c>
      <c r="I3312" s="3" t="s">
        <v>62</v>
      </c>
      <c r="J3312" s="3" t="s">
        <v>62</v>
      </c>
      <c r="K3312" s="3" t="s">
        <v>63</v>
      </c>
      <c r="L3312" s="2" t="s">
        <v>32223</v>
      </c>
      <c r="M3312" s="2" t="s">
        <v>32224</v>
      </c>
      <c r="N3312" s="3" t="s">
        <v>1264</v>
      </c>
      <c r="P3312" s="3" t="s">
        <v>64</v>
      </c>
      <c r="Q3312" s="2" t="s">
        <v>32225</v>
      </c>
      <c r="R3312" s="3" t="s">
        <v>32039</v>
      </c>
      <c r="S3312" s="4">
        <v>4</v>
      </c>
      <c r="T3312" s="4">
        <v>4</v>
      </c>
      <c r="U3312" s="5" t="s">
        <v>11023</v>
      </c>
      <c r="V3312" s="5" t="s">
        <v>11023</v>
      </c>
      <c r="W3312" s="5" t="s">
        <v>67</v>
      </c>
      <c r="X3312" s="5" t="s">
        <v>67</v>
      </c>
      <c r="Y3312" s="4">
        <v>200</v>
      </c>
      <c r="Z3312" s="4">
        <v>5</v>
      </c>
      <c r="AA3312" s="4">
        <v>5</v>
      </c>
      <c r="AB3312" s="4">
        <v>1</v>
      </c>
      <c r="AC3312" s="4">
        <v>1</v>
      </c>
      <c r="AD3312" s="4">
        <v>76</v>
      </c>
      <c r="AE3312" s="4">
        <v>76</v>
      </c>
      <c r="AF3312" s="4">
        <v>0</v>
      </c>
      <c r="AG3312" s="4">
        <v>0</v>
      </c>
      <c r="AH3312" s="4">
        <v>73</v>
      </c>
      <c r="AI3312" s="4">
        <v>73</v>
      </c>
      <c r="AJ3312" s="4">
        <v>3</v>
      </c>
      <c r="AK3312" s="4">
        <v>3</v>
      </c>
      <c r="AL3312" s="4">
        <v>45</v>
      </c>
      <c r="AM3312" s="4">
        <v>45</v>
      </c>
      <c r="AN3312" s="4">
        <v>0</v>
      </c>
      <c r="AO3312" s="4">
        <v>0</v>
      </c>
      <c r="AP3312" s="4">
        <v>3</v>
      </c>
      <c r="AQ3312" s="4">
        <v>3</v>
      </c>
      <c r="AR3312" s="3" t="s">
        <v>62</v>
      </c>
      <c r="AS3312" s="3" t="s">
        <v>62</v>
      </c>
      <c r="AT3312" s="3" t="s">
        <v>61</v>
      </c>
      <c r="AU3312" s="6" t="str">
        <f>HYPERLINK("http://catalog.hathitrust.org/Record/002241794","HathiTrust Record")</f>
        <v>HathiTrust Record</v>
      </c>
      <c r="AV3312" s="6" t="str">
        <f>HYPERLINK("http://mcgill.on.worldcat.org/oclc/3031443","Catalog Record")</f>
        <v>Catalog Record</v>
      </c>
      <c r="AW3312" s="6" t="str">
        <f>HYPERLINK("http://www.worldcat.org/oclc/3031443","WorldCat Record")</f>
        <v>WorldCat Record</v>
      </c>
      <c r="AX3312" s="3" t="s">
        <v>32226</v>
      </c>
      <c r="AY3312" s="3" t="s">
        <v>32227</v>
      </c>
      <c r="AZ3312" s="3" t="s">
        <v>32228</v>
      </c>
      <c r="BA3312" s="3" t="s">
        <v>32228</v>
      </c>
      <c r="BB3312" s="3" t="s">
        <v>32229</v>
      </c>
      <c r="BC3312" s="3" t="s">
        <v>102</v>
      </c>
      <c r="BD3312" s="3" t="s">
        <v>68</v>
      </c>
      <c r="BF3312" s="3" t="s">
        <v>32229</v>
      </c>
      <c r="BG3312" s="3" t="s">
        <v>32230</v>
      </c>
    </row>
    <row r="3313" spans="1:59" ht="58" x14ac:dyDescent="0.35">
      <c r="A3313" s="2" t="s">
        <v>89</v>
      </c>
      <c r="B3313" s="2" t="s">
        <v>90</v>
      </c>
      <c r="C3313" s="2" t="s">
        <v>32231</v>
      </c>
      <c r="D3313" s="2" t="s">
        <v>32232</v>
      </c>
      <c r="E3313" s="2" t="s">
        <v>32233</v>
      </c>
      <c r="G3313" s="3" t="s">
        <v>62</v>
      </c>
      <c r="I3313" s="3" t="s">
        <v>62</v>
      </c>
      <c r="J3313" s="3" t="s">
        <v>62</v>
      </c>
      <c r="K3313" s="3" t="s">
        <v>63</v>
      </c>
      <c r="L3313" s="2" t="s">
        <v>32234</v>
      </c>
      <c r="M3313" s="2" t="s">
        <v>32235</v>
      </c>
      <c r="N3313" s="3" t="s">
        <v>2975</v>
      </c>
      <c r="P3313" s="3" t="s">
        <v>64</v>
      </c>
      <c r="Q3313" s="2" t="s">
        <v>32236</v>
      </c>
      <c r="R3313" s="3" t="s">
        <v>32039</v>
      </c>
      <c r="S3313" s="4">
        <v>5</v>
      </c>
      <c r="T3313" s="4">
        <v>5</v>
      </c>
      <c r="U3313" s="5" t="s">
        <v>2502</v>
      </c>
      <c r="V3313" s="5" t="s">
        <v>2502</v>
      </c>
      <c r="W3313" s="5" t="s">
        <v>67</v>
      </c>
      <c r="X3313" s="5" t="s">
        <v>67</v>
      </c>
      <c r="Y3313" s="4">
        <v>114</v>
      </c>
      <c r="Z3313" s="4">
        <v>5</v>
      </c>
      <c r="AA3313" s="4">
        <v>5</v>
      </c>
      <c r="AB3313" s="4">
        <v>1</v>
      </c>
      <c r="AC3313" s="4">
        <v>1</v>
      </c>
      <c r="AD3313" s="4">
        <v>24</v>
      </c>
      <c r="AE3313" s="4">
        <v>24</v>
      </c>
      <c r="AF3313" s="4">
        <v>0</v>
      </c>
      <c r="AG3313" s="4">
        <v>0</v>
      </c>
      <c r="AH3313" s="4">
        <v>22</v>
      </c>
      <c r="AI3313" s="4">
        <v>22</v>
      </c>
      <c r="AJ3313" s="4">
        <v>3</v>
      </c>
      <c r="AK3313" s="4">
        <v>3</v>
      </c>
      <c r="AL3313" s="4">
        <v>17</v>
      </c>
      <c r="AM3313" s="4">
        <v>17</v>
      </c>
      <c r="AN3313" s="4">
        <v>0</v>
      </c>
      <c r="AO3313" s="4">
        <v>0</v>
      </c>
      <c r="AP3313" s="4">
        <v>3</v>
      </c>
      <c r="AQ3313" s="4">
        <v>3</v>
      </c>
      <c r="AR3313" s="3" t="s">
        <v>62</v>
      </c>
      <c r="AS3313" s="3" t="s">
        <v>62</v>
      </c>
      <c r="AT3313" s="3" t="s">
        <v>62</v>
      </c>
      <c r="AV3313" s="6" t="str">
        <f>HYPERLINK("http://mcgill.on.worldcat.org/oclc/47927735","Catalog Record")</f>
        <v>Catalog Record</v>
      </c>
      <c r="AW3313" s="6" t="str">
        <f>HYPERLINK("http://www.worldcat.org/oclc/47927735","WorldCat Record")</f>
        <v>WorldCat Record</v>
      </c>
      <c r="AX3313" s="3" t="s">
        <v>32237</v>
      </c>
      <c r="AY3313" s="3" t="s">
        <v>32238</v>
      </c>
      <c r="AZ3313" s="3" t="s">
        <v>32239</v>
      </c>
      <c r="BA3313" s="3" t="s">
        <v>32239</v>
      </c>
      <c r="BB3313" s="3" t="s">
        <v>32240</v>
      </c>
      <c r="BC3313" s="3" t="s">
        <v>102</v>
      </c>
      <c r="BD3313" s="3" t="s">
        <v>231</v>
      </c>
      <c r="BE3313" s="3" t="s">
        <v>32241</v>
      </c>
      <c r="BF3313" s="3" t="s">
        <v>32240</v>
      </c>
      <c r="BG3313" s="3" t="s">
        <v>32242</v>
      </c>
    </row>
    <row r="3314" spans="1:59" ht="58" x14ac:dyDescent="0.35">
      <c r="A3314" s="2" t="s">
        <v>89</v>
      </c>
      <c r="B3314" s="2" t="s">
        <v>90</v>
      </c>
      <c r="C3314" s="2" t="s">
        <v>32243</v>
      </c>
      <c r="D3314" s="2" t="s">
        <v>32244</v>
      </c>
      <c r="E3314" s="2" t="s">
        <v>32245</v>
      </c>
      <c r="G3314" s="3" t="s">
        <v>62</v>
      </c>
      <c r="I3314" s="3" t="s">
        <v>61</v>
      </c>
      <c r="J3314" s="3" t="s">
        <v>61</v>
      </c>
      <c r="K3314" s="3" t="s">
        <v>63</v>
      </c>
      <c r="L3314" s="2" t="s">
        <v>32246</v>
      </c>
      <c r="M3314" s="2" t="s">
        <v>32247</v>
      </c>
      <c r="N3314" s="3" t="s">
        <v>2702</v>
      </c>
      <c r="P3314" s="3" t="s">
        <v>64</v>
      </c>
      <c r="R3314" s="3" t="s">
        <v>32039</v>
      </c>
      <c r="S3314" s="4">
        <v>4</v>
      </c>
      <c r="T3314" s="4">
        <v>7</v>
      </c>
      <c r="U3314" s="5" t="s">
        <v>32248</v>
      </c>
      <c r="V3314" s="5" t="s">
        <v>32249</v>
      </c>
      <c r="W3314" s="5" t="s">
        <v>67</v>
      </c>
      <c r="X3314" s="5" t="s">
        <v>67</v>
      </c>
      <c r="Y3314" s="4">
        <v>137</v>
      </c>
      <c r="Z3314" s="4">
        <v>13</v>
      </c>
      <c r="AA3314" s="4">
        <v>38</v>
      </c>
      <c r="AB3314" s="4">
        <v>2</v>
      </c>
      <c r="AC3314" s="4">
        <v>4</v>
      </c>
      <c r="AD3314" s="4">
        <v>22</v>
      </c>
      <c r="AE3314" s="4">
        <v>127</v>
      </c>
      <c r="AF3314" s="4">
        <v>1</v>
      </c>
      <c r="AG3314" s="4">
        <v>2</v>
      </c>
      <c r="AH3314" s="4">
        <v>17</v>
      </c>
      <c r="AI3314" s="4">
        <v>108</v>
      </c>
      <c r="AJ3314" s="4">
        <v>8</v>
      </c>
      <c r="AK3314" s="4">
        <v>18</v>
      </c>
      <c r="AL3314" s="4">
        <v>6</v>
      </c>
      <c r="AM3314" s="4">
        <v>59</v>
      </c>
      <c r="AN3314" s="4">
        <v>0</v>
      </c>
      <c r="AO3314" s="4">
        <v>5</v>
      </c>
      <c r="AP3314" s="4">
        <v>10</v>
      </c>
      <c r="AQ3314" s="4">
        <v>24</v>
      </c>
      <c r="AR3314" s="3" t="s">
        <v>62</v>
      </c>
      <c r="AS3314" s="3" t="s">
        <v>62</v>
      </c>
      <c r="AT3314" s="3" t="s">
        <v>62</v>
      </c>
      <c r="AV3314" s="6" t="str">
        <f>HYPERLINK("http://mcgill.on.worldcat.org/oclc/14653588","Catalog Record")</f>
        <v>Catalog Record</v>
      </c>
      <c r="AW3314" s="6" t="str">
        <f>HYPERLINK("http://www.worldcat.org/oclc/14653588","WorldCat Record")</f>
        <v>WorldCat Record</v>
      </c>
      <c r="AX3314" s="3" t="s">
        <v>32250</v>
      </c>
      <c r="AY3314" s="3" t="s">
        <v>32251</v>
      </c>
      <c r="AZ3314" s="3" t="s">
        <v>32252</v>
      </c>
      <c r="BA3314" s="3" t="s">
        <v>32252</v>
      </c>
      <c r="BB3314" s="3" t="s">
        <v>32253</v>
      </c>
      <c r="BC3314" s="3" t="s">
        <v>102</v>
      </c>
      <c r="BD3314" s="3" t="s">
        <v>68</v>
      </c>
      <c r="BF3314" s="3" t="s">
        <v>32253</v>
      </c>
      <c r="BG3314" s="3" t="s">
        <v>32254</v>
      </c>
    </row>
    <row r="3315" spans="1:59" ht="116" x14ac:dyDescent="0.35">
      <c r="A3315" s="2" t="s">
        <v>89</v>
      </c>
      <c r="B3315" s="2" t="s">
        <v>3312</v>
      </c>
      <c r="C3315" s="2" t="s">
        <v>32255</v>
      </c>
      <c r="D3315" s="2" t="s">
        <v>32256</v>
      </c>
      <c r="E3315" s="2" t="s">
        <v>32257</v>
      </c>
      <c r="F3315" s="3" t="s">
        <v>2233</v>
      </c>
      <c r="G3315" s="3" t="s">
        <v>61</v>
      </c>
      <c r="I3315" s="3" t="s">
        <v>62</v>
      </c>
      <c r="J3315" s="3" t="s">
        <v>62</v>
      </c>
      <c r="K3315" s="3" t="s">
        <v>63</v>
      </c>
      <c r="L3315" s="2" t="s">
        <v>32258</v>
      </c>
      <c r="M3315" s="2" t="s">
        <v>32259</v>
      </c>
      <c r="N3315" s="3" t="s">
        <v>1038</v>
      </c>
      <c r="O3315" s="2" t="s">
        <v>32260</v>
      </c>
      <c r="P3315" s="3" t="s">
        <v>1675</v>
      </c>
      <c r="Q3315" s="2" t="s">
        <v>32261</v>
      </c>
      <c r="R3315" s="3" t="s">
        <v>32039</v>
      </c>
      <c r="S3315" s="4">
        <v>1</v>
      </c>
      <c r="T3315" s="4">
        <v>3</v>
      </c>
      <c r="U3315" s="5" t="s">
        <v>1894</v>
      </c>
      <c r="V3315" s="5" t="s">
        <v>1894</v>
      </c>
      <c r="W3315" s="5" t="s">
        <v>67</v>
      </c>
      <c r="X3315" s="5" t="s">
        <v>67</v>
      </c>
      <c r="Y3315" s="4">
        <v>21</v>
      </c>
      <c r="Z3315" s="4">
        <v>2</v>
      </c>
      <c r="AA3315" s="4">
        <v>2</v>
      </c>
      <c r="AB3315" s="4">
        <v>1</v>
      </c>
      <c r="AC3315" s="4">
        <v>1</v>
      </c>
      <c r="AD3315" s="4">
        <v>9</v>
      </c>
      <c r="AE3315" s="4">
        <v>9</v>
      </c>
      <c r="AF3315" s="4">
        <v>0</v>
      </c>
      <c r="AG3315" s="4">
        <v>0</v>
      </c>
      <c r="AH3315" s="4">
        <v>9</v>
      </c>
      <c r="AI3315" s="4">
        <v>9</v>
      </c>
      <c r="AJ3315" s="4">
        <v>1</v>
      </c>
      <c r="AK3315" s="4">
        <v>1</v>
      </c>
      <c r="AL3315" s="4">
        <v>8</v>
      </c>
      <c r="AM3315" s="4">
        <v>8</v>
      </c>
      <c r="AN3315" s="4">
        <v>0</v>
      </c>
      <c r="AO3315" s="4">
        <v>0</v>
      </c>
      <c r="AP3315" s="4">
        <v>1</v>
      </c>
      <c r="AQ3315" s="4">
        <v>1</v>
      </c>
      <c r="AR3315" s="3" t="s">
        <v>62</v>
      </c>
      <c r="AS3315" s="3" t="s">
        <v>62</v>
      </c>
      <c r="AT3315" s="3" t="s">
        <v>62</v>
      </c>
      <c r="AV3315" s="6" t="str">
        <f>HYPERLINK("http://mcgill.on.worldcat.org/oclc/968252232","Catalog Record")</f>
        <v>Catalog Record</v>
      </c>
      <c r="AW3315" s="6" t="str">
        <f>HYPERLINK("http://www.worldcat.org/oclc/968252232","WorldCat Record")</f>
        <v>WorldCat Record</v>
      </c>
      <c r="AX3315" s="3" t="s">
        <v>32262</v>
      </c>
      <c r="AY3315" s="3" t="s">
        <v>32263</v>
      </c>
      <c r="AZ3315" s="3" t="s">
        <v>32264</v>
      </c>
      <c r="BA3315" s="3" t="s">
        <v>32264</v>
      </c>
      <c r="BB3315" s="3" t="s">
        <v>32265</v>
      </c>
      <c r="BC3315" s="3" t="s">
        <v>102</v>
      </c>
      <c r="BD3315" s="3" t="s">
        <v>68</v>
      </c>
      <c r="BE3315" s="3" t="s">
        <v>32266</v>
      </c>
      <c r="BF3315" s="3" t="s">
        <v>32265</v>
      </c>
      <c r="BG3315" s="3" t="s">
        <v>32267</v>
      </c>
    </row>
    <row r="3316" spans="1:59" ht="116" x14ac:dyDescent="0.35">
      <c r="A3316" s="2" t="s">
        <v>89</v>
      </c>
      <c r="B3316" s="2" t="s">
        <v>3312</v>
      </c>
      <c r="C3316" s="2" t="s">
        <v>32255</v>
      </c>
      <c r="D3316" s="2" t="s">
        <v>32256</v>
      </c>
      <c r="E3316" s="2" t="s">
        <v>32257</v>
      </c>
      <c r="F3316" s="3" t="s">
        <v>2217</v>
      </c>
      <c r="G3316" s="3" t="s">
        <v>61</v>
      </c>
      <c r="I3316" s="3" t="s">
        <v>62</v>
      </c>
      <c r="J3316" s="3" t="s">
        <v>62</v>
      </c>
      <c r="K3316" s="3" t="s">
        <v>63</v>
      </c>
      <c r="L3316" s="2" t="s">
        <v>32258</v>
      </c>
      <c r="M3316" s="2" t="s">
        <v>32259</v>
      </c>
      <c r="N3316" s="3" t="s">
        <v>1038</v>
      </c>
      <c r="O3316" s="2" t="s">
        <v>32260</v>
      </c>
      <c r="P3316" s="3" t="s">
        <v>1675</v>
      </c>
      <c r="Q3316" s="2" t="s">
        <v>32261</v>
      </c>
      <c r="R3316" s="3" t="s">
        <v>32039</v>
      </c>
      <c r="S3316" s="4">
        <v>2</v>
      </c>
      <c r="T3316" s="4">
        <v>3</v>
      </c>
      <c r="U3316" s="5" t="s">
        <v>1894</v>
      </c>
      <c r="V3316" s="5" t="s">
        <v>1894</v>
      </c>
      <c r="W3316" s="5" t="s">
        <v>67</v>
      </c>
      <c r="X3316" s="5" t="s">
        <v>67</v>
      </c>
      <c r="Y3316" s="4">
        <v>21</v>
      </c>
      <c r="Z3316" s="4">
        <v>2</v>
      </c>
      <c r="AA3316" s="4">
        <v>2</v>
      </c>
      <c r="AB3316" s="4">
        <v>1</v>
      </c>
      <c r="AC3316" s="4">
        <v>1</v>
      </c>
      <c r="AD3316" s="4">
        <v>9</v>
      </c>
      <c r="AE3316" s="4">
        <v>9</v>
      </c>
      <c r="AF3316" s="4">
        <v>0</v>
      </c>
      <c r="AG3316" s="4">
        <v>0</v>
      </c>
      <c r="AH3316" s="4">
        <v>9</v>
      </c>
      <c r="AI3316" s="4">
        <v>9</v>
      </c>
      <c r="AJ3316" s="4">
        <v>1</v>
      </c>
      <c r="AK3316" s="4">
        <v>1</v>
      </c>
      <c r="AL3316" s="4">
        <v>8</v>
      </c>
      <c r="AM3316" s="4">
        <v>8</v>
      </c>
      <c r="AN3316" s="4">
        <v>0</v>
      </c>
      <c r="AO3316" s="4">
        <v>0</v>
      </c>
      <c r="AP3316" s="4">
        <v>1</v>
      </c>
      <c r="AQ3316" s="4">
        <v>1</v>
      </c>
      <c r="AR3316" s="3" t="s">
        <v>62</v>
      </c>
      <c r="AS3316" s="3" t="s">
        <v>62</v>
      </c>
      <c r="AT3316" s="3" t="s">
        <v>62</v>
      </c>
      <c r="AV3316" s="6" t="str">
        <f>HYPERLINK("http://mcgill.on.worldcat.org/oclc/968252232","Catalog Record")</f>
        <v>Catalog Record</v>
      </c>
      <c r="AW3316" s="6" t="str">
        <f>HYPERLINK("http://www.worldcat.org/oclc/968252232","WorldCat Record")</f>
        <v>WorldCat Record</v>
      </c>
      <c r="AX3316" s="3" t="s">
        <v>32262</v>
      </c>
      <c r="AY3316" s="3" t="s">
        <v>32263</v>
      </c>
      <c r="AZ3316" s="3" t="s">
        <v>32264</v>
      </c>
      <c r="BA3316" s="3" t="s">
        <v>32264</v>
      </c>
      <c r="BB3316" s="3" t="s">
        <v>32268</v>
      </c>
      <c r="BC3316" s="3" t="s">
        <v>102</v>
      </c>
      <c r="BD3316" s="3" t="s">
        <v>68</v>
      </c>
      <c r="BE3316" s="3" t="s">
        <v>32266</v>
      </c>
      <c r="BF3316" s="3" t="s">
        <v>32268</v>
      </c>
      <c r="BG3316" s="3" t="s">
        <v>32269</v>
      </c>
    </row>
    <row r="3317" spans="1:59" ht="116" x14ac:dyDescent="0.35">
      <c r="A3317" s="2" t="s">
        <v>89</v>
      </c>
      <c r="B3317" s="2" t="s">
        <v>3312</v>
      </c>
      <c r="C3317" s="2" t="s">
        <v>32270</v>
      </c>
      <c r="D3317" s="2" t="s">
        <v>32271</v>
      </c>
      <c r="E3317" s="2" t="s">
        <v>32272</v>
      </c>
      <c r="F3317" s="3" t="s">
        <v>2233</v>
      </c>
      <c r="G3317" s="3" t="s">
        <v>61</v>
      </c>
      <c r="I3317" s="3" t="s">
        <v>62</v>
      </c>
      <c r="J3317" s="3" t="s">
        <v>62</v>
      </c>
      <c r="K3317" s="3" t="s">
        <v>63</v>
      </c>
      <c r="L3317" s="2" t="s">
        <v>32273</v>
      </c>
      <c r="M3317" s="2" t="s">
        <v>32274</v>
      </c>
      <c r="N3317" s="3" t="s">
        <v>726</v>
      </c>
      <c r="P3317" s="3" t="s">
        <v>1675</v>
      </c>
      <c r="R3317" s="3" t="s">
        <v>32039</v>
      </c>
      <c r="S3317" s="4">
        <v>0</v>
      </c>
      <c r="T3317" s="4">
        <v>0</v>
      </c>
      <c r="W3317" s="5" t="s">
        <v>22112</v>
      </c>
      <c r="X3317" s="5" t="s">
        <v>22112</v>
      </c>
      <c r="Y3317" s="4">
        <v>2</v>
      </c>
      <c r="Z3317" s="4">
        <v>1</v>
      </c>
      <c r="AA3317" s="4">
        <v>1</v>
      </c>
      <c r="AB3317" s="4">
        <v>1</v>
      </c>
      <c r="AC3317" s="4">
        <v>1</v>
      </c>
      <c r="AD3317" s="4">
        <v>1</v>
      </c>
      <c r="AE3317" s="4">
        <v>1</v>
      </c>
      <c r="AF3317" s="4">
        <v>0</v>
      </c>
      <c r="AG3317" s="4">
        <v>0</v>
      </c>
      <c r="AH3317" s="4">
        <v>1</v>
      </c>
      <c r="AI3317" s="4">
        <v>1</v>
      </c>
      <c r="AJ3317" s="4">
        <v>0</v>
      </c>
      <c r="AK3317" s="4">
        <v>0</v>
      </c>
      <c r="AL3317" s="4">
        <v>0</v>
      </c>
      <c r="AM3317" s="4">
        <v>0</v>
      </c>
      <c r="AN3317" s="4">
        <v>0</v>
      </c>
      <c r="AO3317" s="4">
        <v>0</v>
      </c>
      <c r="AP3317" s="4">
        <v>0</v>
      </c>
      <c r="AQ3317" s="4">
        <v>0</v>
      </c>
      <c r="AR3317" s="3" t="s">
        <v>62</v>
      </c>
      <c r="AS3317" s="3" t="s">
        <v>62</v>
      </c>
      <c r="AT3317" s="3" t="s">
        <v>62</v>
      </c>
      <c r="AV3317" s="6" t="str">
        <f>HYPERLINK("http://mcgill.on.worldcat.org/oclc/1117339463","Catalog Record")</f>
        <v>Catalog Record</v>
      </c>
      <c r="AW3317" s="6" t="str">
        <f>HYPERLINK("http://www.worldcat.org/oclc/1117339463","WorldCat Record")</f>
        <v>WorldCat Record</v>
      </c>
      <c r="AX3317" s="3" t="s">
        <v>32275</v>
      </c>
      <c r="AY3317" s="3" t="s">
        <v>32276</v>
      </c>
      <c r="AZ3317" s="3" t="s">
        <v>32277</v>
      </c>
      <c r="BA3317" s="3" t="s">
        <v>32277</v>
      </c>
      <c r="BB3317" s="3" t="s">
        <v>32278</v>
      </c>
      <c r="BC3317" s="3" t="s">
        <v>102</v>
      </c>
      <c r="BD3317" s="3" t="s">
        <v>68</v>
      </c>
      <c r="BE3317" s="3" t="s">
        <v>32279</v>
      </c>
      <c r="BF3317" s="3" t="s">
        <v>32278</v>
      </c>
      <c r="BG3317" s="3" t="s">
        <v>32280</v>
      </c>
    </row>
    <row r="3318" spans="1:59" ht="116" x14ac:dyDescent="0.35">
      <c r="A3318" s="2" t="s">
        <v>89</v>
      </c>
      <c r="B3318" s="2" t="s">
        <v>3312</v>
      </c>
      <c r="C3318" s="2" t="s">
        <v>32270</v>
      </c>
      <c r="D3318" s="2" t="s">
        <v>32271</v>
      </c>
      <c r="E3318" s="2" t="s">
        <v>32272</v>
      </c>
      <c r="F3318" s="3" t="s">
        <v>2217</v>
      </c>
      <c r="G3318" s="3" t="s">
        <v>61</v>
      </c>
      <c r="I3318" s="3" t="s">
        <v>62</v>
      </c>
      <c r="J3318" s="3" t="s">
        <v>62</v>
      </c>
      <c r="K3318" s="3" t="s">
        <v>63</v>
      </c>
      <c r="L3318" s="2" t="s">
        <v>32273</v>
      </c>
      <c r="M3318" s="2" t="s">
        <v>32274</v>
      </c>
      <c r="N3318" s="3" t="s">
        <v>726</v>
      </c>
      <c r="P3318" s="3" t="s">
        <v>1675</v>
      </c>
      <c r="R3318" s="3" t="s">
        <v>32039</v>
      </c>
      <c r="S3318" s="4">
        <v>0</v>
      </c>
      <c r="T3318" s="4">
        <v>0</v>
      </c>
      <c r="W3318" s="5" t="s">
        <v>22112</v>
      </c>
      <c r="X3318" s="5" t="s">
        <v>22112</v>
      </c>
      <c r="Y3318" s="4">
        <v>2</v>
      </c>
      <c r="Z3318" s="4">
        <v>1</v>
      </c>
      <c r="AA3318" s="4">
        <v>1</v>
      </c>
      <c r="AB3318" s="4">
        <v>1</v>
      </c>
      <c r="AC3318" s="4">
        <v>1</v>
      </c>
      <c r="AD3318" s="4">
        <v>1</v>
      </c>
      <c r="AE3318" s="4">
        <v>1</v>
      </c>
      <c r="AF3318" s="4">
        <v>0</v>
      </c>
      <c r="AG3318" s="4">
        <v>0</v>
      </c>
      <c r="AH3318" s="4">
        <v>1</v>
      </c>
      <c r="AI3318" s="4">
        <v>1</v>
      </c>
      <c r="AJ3318" s="4">
        <v>0</v>
      </c>
      <c r="AK3318" s="4">
        <v>0</v>
      </c>
      <c r="AL3318" s="4">
        <v>0</v>
      </c>
      <c r="AM3318" s="4">
        <v>0</v>
      </c>
      <c r="AN3318" s="4">
        <v>0</v>
      </c>
      <c r="AO3318" s="4">
        <v>0</v>
      </c>
      <c r="AP3318" s="4">
        <v>0</v>
      </c>
      <c r="AQ3318" s="4">
        <v>0</v>
      </c>
      <c r="AR3318" s="3" t="s">
        <v>62</v>
      </c>
      <c r="AS3318" s="3" t="s">
        <v>62</v>
      </c>
      <c r="AT3318" s="3" t="s">
        <v>62</v>
      </c>
      <c r="AV3318" s="6" t="str">
        <f>HYPERLINK("http://mcgill.on.worldcat.org/oclc/1117339463","Catalog Record")</f>
        <v>Catalog Record</v>
      </c>
      <c r="AW3318" s="6" t="str">
        <f>HYPERLINK("http://www.worldcat.org/oclc/1117339463","WorldCat Record")</f>
        <v>WorldCat Record</v>
      </c>
      <c r="AX3318" s="3" t="s">
        <v>32275</v>
      </c>
      <c r="AY3318" s="3" t="s">
        <v>32276</v>
      </c>
      <c r="AZ3318" s="3" t="s">
        <v>32277</v>
      </c>
      <c r="BA3318" s="3" t="s">
        <v>32277</v>
      </c>
      <c r="BB3318" s="3" t="s">
        <v>32281</v>
      </c>
      <c r="BC3318" s="3" t="s">
        <v>102</v>
      </c>
      <c r="BD3318" s="3" t="s">
        <v>68</v>
      </c>
      <c r="BE3318" s="3" t="s">
        <v>32279</v>
      </c>
      <c r="BF3318" s="3" t="s">
        <v>32281</v>
      </c>
      <c r="BG3318" s="3" t="s">
        <v>32282</v>
      </c>
    </row>
    <row r="3319" spans="1:59" ht="58" x14ac:dyDescent="0.35">
      <c r="A3319" s="2" t="s">
        <v>89</v>
      </c>
      <c r="B3319" s="2" t="s">
        <v>90</v>
      </c>
      <c r="C3319" s="2" t="s">
        <v>32283</v>
      </c>
      <c r="D3319" s="2" t="s">
        <v>32284</v>
      </c>
      <c r="E3319" s="2" t="s">
        <v>32285</v>
      </c>
      <c r="G3319" s="3" t="s">
        <v>62</v>
      </c>
      <c r="I3319" s="3" t="s">
        <v>61</v>
      </c>
      <c r="J3319" s="3" t="s">
        <v>62</v>
      </c>
      <c r="K3319" s="3" t="s">
        <v>63</v>
      </c>
      <c r="L3319" s="2" t="s">
        <v>32286</v>
      </c>
      <c r="M3319" s="2" t="s">
        <v>32287</v>
      </c>
      <c r="N3319" s="3" t="s">
        <v>115</v>
      </c>
      <c r="P3319" s="3" t="s">
        <v>64</v>
      </c>
      <c r="R3319" s="3" t="s">
        <v>32039</v>
      </c>
      <c r="S3319" s="4">
        <v>9</v>
      </c>
      <c r="T3319" s="4">
        <v>10</v>
      </c>
      <c r="U3319" s="5" t="s">
        <v>32288</v>
      </c>
      <c r="V3319" s="5" t="s">
        <v>8024</v>
      </c>
      <c r="W3319" s="5" t="s">
        <v>67</v>
      </c>
      <c r="X3319" s="5" t="s">
        <v>67</v>
      </c>
      <c r="Y3319" s="4">
        <v>202</v>
      </c>
      <c r="Z3319" s="4">
        <v>58</v>
      </c>
      <c r="AA3319" s="4">
        <v>62</v>
      </c>
      <c r="AB3319" s="4">
        <v>5</v>
      </c>
      <c r="AC3319" s="4">
        <v>9</v>
      </c>
      <c r="AD3319" s="4">
        <v>99</v>
      </c>
      <c r="AE3319" s="4">
        <v>103</v>
      </c>
      <c r="AF3319" s="4">
        <v>1</v>
      </c>
      <c r="AG3319" s="4">
        <v>5</v>
      </c>
      <c r="AH3319" s="4">
        <v>71</v>
      </c>
      <c r="AI3319" s="4">
        <v>72</v>
      </c>
      <c r="AJ3319" s="4">
        <v>24</v>
      </c>
      <c r="AK3319" s="4">
        <v>28</v>
      </c>
      <c r="AL3319" s="4">
        <v>41</v>
      </c>
      <c r="AM3319" s="4">
        <v>41</v>
      </c>
      <c r="AN3319" s="4">
        <v>0</v>
      </c>
      <c r="AO3319" s="4">
        <v>0</v>
      </c>
      <c r="AP3319" s="4">
        <v>33</v>
      </c>
      <c r="AQ3319" s="4">
        <v>36</v>
      </c>
      <c r="AR3319" s="3" t="s">
        <v>61</v>
      </c>
      <c r="AS3319" s="3" t="s">
        <v>62</v>
      </c>
      <c r="AT3319" s="3" t="s">
        <v>61</v>
      </c>
      <c r="AU3319" s="6" t="str">
        <f>HYPERLINK("http://catalog.hathitrust.org/Record/001818492","HathiTrust Record")</f>
        <v>HathiTrust Record</v>
      </c>
      <c r="AV3319" s="6" t="str">
        <f>HYPERLINK("http://mcgill.on.worldcat.org/oclc/18988172","Catalog Record")</f>
        <v>Catalog Record</v>
      </c>
      <c r="AW3319" s="6" t="str">
        <f>HYPERLINK("http://www.worldcat.org/oclc/18988172","WorldCat Record")</f>
        <v>WorldCat Record</v>
      </c>
      <c r="AX3319" s="3" t="s">
        <v>32289</v>
      </c>
      <c r="AY3319" s="3" t="s">
        <v>32290</v>
      </c>
      <c r="AZ3319" s="3" t="s">
        <v>32291</v>
      </c>
      <c r="BA3319" s="3" t="s">
        <v>32291</v>
      </c>
      <c r="BB3319" s="3" t="s">
        <v>32292</v>
      </c>
      <c r="BC3319" s="3" t="s">
        <v>102</v>
      </c>
      <c r="BD3319" s="3" t="s">
        <v>68</v>
      </c>
      <c r="BE3319" s="3" t="s">
        <v>32293</v>
      </c>
      <c r="BF3319" s="3" t="s">
        <v>32292</v>
      </c>
      <c r="BG3319" s="3" t="s">
        <v>32294</v>
      </c>
    </row>
    <row r="3320" spans="1:59" ht="58" x14ac:dyDescent="0.35">
      <c r="A3320" s="2" t="s">
        <v>89</v>
      </c>
      <c r="B3320" s="2" t="s">
        <v>90</v>
      </c>
      <c r="C3320" s="2" t="s">
        <v>32295</v>
      </c>
      <c r="D3320" s="2" t="s">
        <v>32296</v>
      </c>
      <c r="E3320" s="2" t="s">
        <v>32297</v>
      </c>
      <c r="G3320" s="3" t="s">
        <v>62</v>
      </c>
      <c r="I3320" s="3" t="s">
        <v>61</v>
      </c>
      <c r="J3320" s="3" t="s">
        <v>62</v>
      </c>
      <c r="K3320" s="3" t="s">
        <v>63</v>
      </c>
      <c r="L3320" s="2" t="s">
        <v>32109</v>
      </c>
      <c r="M3320" s="2" t="s">
        <v>32298</v>
      </c>
      <c r="N3320" s="3" t="s">
        <v>1905</v>
      </c>
      <c r="P3320" s="3" t="s">
        <v>64</v>
      </c>
      <c r="Q3320" s="2" t="s">
        <v>32299</v>
      </c>
      <c r="R3320" s="3" t="s">
        <v>32039</v>
      </c>
      <c r="S3320" s="4">
        <v>23</v>
      </c>
      <c r="T3320" s="4">
        <v>32</v>
      </c>
      <c r="U3320" s="5" t="s">
        <v>11453</v>
      </c>
      <c r="V3320" s="5" t="s">
        <v>11453</v>
      </c>
      <c r="W3320" s="5" t="s">
        <v>67</v>
      </c>
      <c r="X3320" s="5" t="s">
        <v>67</v>
      </c>
      <c r="Y3320" s="4">
        <v>157</v>
      </c>
      <c r="Z3320" s="4">
        <v>14</v>
      </c>
      <c r="AA3320" s="4">
        <v>21</v>
      </c>
      <c r="AB3320" s="4">
        <v>3</v>
      </c>
      <c r="AC3320" s="4">
        <v>5</v>
      </c>
      <c r="AD3320" s="4">
        <v>61</v>
      </c>
      <c r="AE3320" s="4">
        <v>65</v>
      </c>
      <c r="AF3320" s="4">
        <v>1</v>
      </c>
      <c r="AG3320" s="4">
        <v>3</v>
      </c>
      <c r="AH3320" s="4">
        <v>54</v>
      </c>
      <c r="AI3320" s="4">
        <v>56</v>
      </c>
      <c r="AJ3320" s="4">
        <v>8</v>
      </c>
      <c r="AK3320" s="4">
        <v>12</v>
      </c>
      <c r="AL3320" s="4">
        <v>33</v>
      </c>
      <c r="AM3320" s="4">
        <v>34</v>
      </c>
      <c r="AN3320" s="4">
        <v>0</v>
      </c>
      <c r="AO3320" s="4">
        <v>0</v>
      </c>
      <c r="AP3320" s="4">
        <v>12</v>
      </c>
      <c r="AQ3320" s="4">
        <v>15</v>
      </c>
      <c r="AR3320" s="3" t="s">
        <v>62</v>
      </c>
      <c r="AS3320" s="3" t="s">
        <v>62</v>
      </c>
      <c r="AT3320" s="3" t="s">
        <v>62</v>
      </c>
      <c r="AV3320" s="6" t="str">
        <f>HYPERLINK("http://mcgill.on.worldcat.org/oclc/17547159","Catalog Record")</f>
        <v>Catalog Record</v>
      </c>
      <c r="AW3320" s="6" t="str">
        <f>HYPERLINK("http://www.worldcat.org/oclc/17547159","WorldCat Record")</f>
        <v>WorldCat Record</v>
      </c>
      <c r="AX3320" s="3" t="s">
        <v>32300</v>
      </c>
      <c r="AY3320" s="3" t="s">
        <v>32301</v>
      </c>
      <c r="AZ3320" s="3" t="s">
        <v>32302</v>
      </c>
      <c r="BA3320" s="3" t="s">
        <v>32302</v>
      </c>
      <c r="BB3320" s="3" t="s">
        <v>32303</v>
      </c>
      <c r="BC3320" s="3" t="s">
        <v>102</v>
      </c>
      <c r="BD3320" s="3" t="s">
        <v>68</v>
      </c>
      <c r="BE3320" s="3" t="s">
        <v>32304</v>
      </c>
      <c r="BF3320" s="3" t="s">
        <v>32303</v>
      </c>
      <c r="BG3320" s="3" t="s">
        <v>32305</v>
      </c>
    </row>
    <row r="3321" spans="1:59" ht="72.5" x14ac:dyDescent="0.35">
      <c r="A3321" s="2" t="s">
        <v>89</v>
      </c>
      <c r="B3321" s="2" t="s">
        <v>90</v>
      </c>
      <c r="C3321" s="2" t="s">
        <v>32306</v>
      </c>
      <c r="D3321" s="2" t="s">
        <v>32307</v>
      </c>
      <c r="E3321" s="2" t="s">
        <v>32308</v>
      </c>
      <c r="G3321" s="3" t="s">
        <v>62</v>
      </c>
      <c r="I3321" s="3" t="s">
        <v>62</v>
      </c>
      <c r="J3321" s="3" t="s">
        <v>61</v>
      </c>
      <c r="K3321" s="3" t="s">
        <v>63</v>
      </c>
      <c r="L3321" s="2" t="s">
        <v>32309</v>
      </c>
      <c r="M3321" s="2" t="s">
        <v>32310</v>
      </c>
      <c r="N3321" s="3" t="s">
        <v>81</v>
      </c>
      <c r="O3321" s="2" t="s">
        <v>32311</v>
      </c>
      <c r="P3321" s="3" t="s">
        <v>64</v>
      </c>
      <c r="R3321" s="3" t="s">
        <v>32039</v>
      </c>
      <c r="S3321" s="4">
        <v>5</v>
      </c>
      <c r="T3321" s="4">
        <v>5</v>
      </c>
      <c r="U3321" s="5" t="s">
        <v>32312</v>
      </c>
      <c r="V3321" s="5" t="s">
        <v>32312</v>
      </c>
      <c r="W3321" s="5" t="s">
        <v>67</v>
      </c>
      <c r="X3321" s="5" t="s">
        <v>67</v>
      </c>
      <c r="Y3321" s="4">
        <v>5</v>
      </c>
      <c r="Z3321" s="4">
        <v>3</v>
      </c>
      <c r="AA3321" s="4">
        <v>15</v>
      </c>
      <c r="AB3321" s="4">
        <v>1</v>
      </c>
      <c r="AC3321" s="4">
        <v>2</v>
      </c>
      <c r="AD3321" s="4">
        <v>2</v>
      </c>
      <c r="AE3321" s="4">
        <v>62</v>
      </c>
      <c r="AF3321" s="4">
        <v>0</v>
      </c>
      <c r="AG3321" s="4">
        <v>1</v>
      </c>
      <c r="AH3321" s="4">
        <v>2</v>
      </c>
      <c r="AI3321" s="4">
        <v>56</v>
      </c>
      <c r="AJ3321" s="4">
        <v>2</v>
      </c>
      <c r="AK3321" s="4">
        <v>12</v>
      </c>
      <c r="AL3321" s="4">
        <v>0</v>
      </c>
      <c r="AM3321" s="4">
        <v>32</v>
      </c>
      <c r="AN3321" s="4">
        <v>0</v>
      </c>
      <c r="AO3321" s="4">
        <v>0</v>
      </c>
      <c r="AP3321" s="4">
        <v>2</v>
      </c>
      <c r="AQ3321" s="4">
        <v>11</v>
      </c>
      <c r="AR3321" s="3" t="s">
        <v>62</v>
      </c>
      <c r="AS3321" s="3" t="s">
        <v>62</v>
      </c>
      <c r="AT3321" s="3" t="s">
        <v>61</v>
      </c>
      <c r="AU3321" s="6" t="str">
        <f>HYPERLINK("http://catalog.hathitrust.org/Record/012347922","HathiTrust Record")</f>
        <v>HathiTrust Record</v>
      </c>
      <c r="AV3321" s="6" t="str">
        <f>HYPERLINK("http://mcgill.on.worldcat.org/oclc/427266348","Catalog Record")</f>
        <v>Catalog Record</v>
      </c>
      <c r="AW3321" s="6" t="str">
        <f>HYPERLINK("http://www.worldcat.org/oclc/427266348","WorldCat Record")</f>
        <v>WorldCat Record</v>
      </c>
      <c r="AX3321" s="3" t="s">
        <v>32313</v>
      </c>
      <c r="AY3321" s="3" t="s">
        <v>32314</v>
      </c>
      <c r="AZ3321" s="3" t="s">
        <v>32315</v>
      </c>
      <c r="BA3321" s="3" t="s">
        <v>32315</v>
      </c>
      <c r="BB3321" s="3" t="s">
        <v>32316</v>
      </c>
      <c r="BC3321" s="3" t="s">
        <v>102</v>
      </c>
      <c r="BD3321" s="3" t="s">
        <v>68</v>
      </c>
      <c r="BE3321" s="3" t="s">
        <v>32317</v>
      </c>
      <c r="BF3321" s="3" t="s">
        <v>32316</v>
      </c>
      <c r="BG3321" s="3" t="s">
        <v>32318</v>
      </c>
    </row>
    <row r="3322" spans="1:59" ht="72.5" x14ac:dyDescent="0.35">
      <c r="A3322" s="2" t="s">
        <v>89</v>
      </c>
      <c r="B3322" s="2" t="s">
        <v>90</v>
      </c>
      <c r="C3322" s="2" t="s">
        <v>32319</v>
      </c>
      <c r="D3322" s="2" t="s">
        <v>32320</v>
      </c>
      <c r="E3322" s="2" t="s">
        <v>32321</v>
      </c>
      <c r="G3322" s="3" t="s">
        <v>62</v>
      </c>
      <c r="I3322" s="3" t="s">
        <v>62</v>
      </c>
      <c r="J3322" s="3" t="s">
        <v>62</v>
      </c>
      <c r="K3322" s="3" t="s">
        <v>63</v>
      </c>
      <c r="L3322" s="2" t="s">
        <v>32322</v>
      </c>
      <c r="M3322" s="2" t="s">
        <v>32323</v>
      </c>
      <c r="N3322" s="3" t="s">
        <v>625</v>
      </c>
      <c r="P3322" s="3" t="s">
        <v>64</v>
      </c>
      <c r="Q3322" s="2" t="s">
        <v>32324</v>
      </c>
      <c r="R3322" s="3" t="s">
        <v>32039</v>
      </c>
      <c r="S3322" s="4">
        <v>6</v>
      </c>
      <c r="T3322" s="4">
        <v>6</v>
      </c>
      <c r="U3322" s="5" t="s">
        <v>11453</v>
      </c>
      <c r="V3322" s="5" t="s">
        <v>11453</v>
      </c>
      <c r="W3322" s="5" t="s">
        <v>67</v>
      </c>
      <c r="X3322" s="5" t="s">
        <v>67</v>
      </c>
      <c r="Y3322" s="4">
        <v>116</v>
      </c>
      <c r="Z3322" s="4">
        <v>6</v>
      </c>
      <c r="AA3322" s="4">
        <v>77</v>
      </c>
      <c r="AB3322" s="4">
        <v>1</v>
      </c>
      <c r="AC3322" s="4">
        <v>14</v>
      </c>
      <c r="AD3322" s="4">
        <v>40</v>
      </c>
      <c r="AE3322" s="4">
        <v>113</v>
      </c>
      <c r="AF3322" s="4">
        <v>0</v>
      </c>
      <c r="AG3322" s="4">
        <v>8</v>
      </c>
      <c r="AH3322" s="4">
        <v>39</v>
      </c>
      <c r="AI3322" s="4">
        <v>79</v>
      </c>
      <c r="AJ3322" s="4">
        <v>3</v>
      </c>
      <c r="AK3322" s="4">
        <v>21</v>
      </c>
      <c r="AL3322" s="4">
        <v>30</v>
      </c>
      <c r="AM3322" s="4">
        <v>41</v>
      </c>
      <c r="AN3322" s="4">
        <v>0</v>
      </c>
      <c r="AO3322" s="4">
        <v>0</v>
      </c>
      <c r="AP3322" s="4">
        <v>3</v>
      </c>
      <c r="AQ3322" s="4">
        <v>41</v>
      </c>
      <c r="AR3322" s="3" t="s">
        <v>62</v>
      </c>
      <c r="AS3322" s="3" t="s">
        <v>62</v>
      </c>
      <c r="AT3322" s="3" t="s">
        <v>62</v>
      </c>
      <c r="AV3322" s="6" t="str">
        <f>HYPERLINK("http://mcgill.on.worldcat.org/oclc/50572166","Catalog Record")</f>
        <v>Catalog Record</v>
      </c>
      <c r="AW3322" s="6" t="str">
        <f>HYPERLINK("http://www.worldcat.org/oclc/50572166","WorldCat Record")</f>
        <v>WorldCat Record</v>
      </c>
      <c r="AX3322" s="3" t="s">
        <v>32325</v>
      </c>
      <c r="AY3322" s="3" t="s">
        <v>32326</v>
      </c>
      <c r="AZ3322" s="3" t="s">
        <v>32327</v>
      </c>
      <c r="BA3322" s="3" t="s">
        <v>32327</v>
      </c>
      <c r="BB3322" s="3" t="s">
        <v>32328</v>
      </c>
      <c r="BC3322" s="3" t="s">
        <v>102</v>
      </c>
      <c r="BD3322" s="3" t="s">
        <v>68</v>
      </c>
      <c r="BE3322" s="3" t="s">
        <v>32329</v>
      </c>
      <c r="BF3322" s="3" t="s">
        <v>32328</v>
      </c>
      <c r="BG3322" s="3" t="s">
        <v>32330</v>
      </c>
    </row>
    <row r="3323" spans="1:59" ht="58" x14ac:dyDescent="0.35">
      <c r="A3323" s="2" t="s">
        <v>89</v>
      </c>
      <c r="B3323" s="2" t="s">
        <v>90</v>
      </c>
      <c r="C3323" s="2" t="s">
        <v>32331</v>
      </c>
      <c r="D3323" s="2" t="s">
        <v>32332</v>
      </c>
      <c r="E3323" s="2" t="s">
        <v>32333</v>
      </c>
      <c r="G3323" s="3" t="s">
        <v>62</v>
      </c>
      <c r="I3323" s="3" t="s">
        <v>62</v>
      </c>
      <c r="J3323" s="3" t="s">
        <v>62</v>
      </c>
      <c r="K3323" s="3" t="s">
        <v>63</v>
      </c>
      <c r="L3323" s="2" t="s">
        <v>32334</v>
      </c>
      <c r="M3323" s="2" t="s">
        <v>32335</v>
      </c>
      <c r="N3323" s="3" t="s">
        <v>509</v>
      </c>
      <c r="P3323" s="3" t="s">
        <v>64</v>
      </c>
      <c r="R3323" s="3" t="s">
        <v>32039</v>
      </c>
      <c r="S3323" s="4">
        <v>6</v>
      </c>
      <c r="T3323" s="4">
        <v>6</v>
      </c>
      <c r="U3323" s="5" t="s">
        <v>6691</v>
      </c>
      <c r="V3323" s="5" t="s">
        <v>6691</v>
      </c>
      <c r="W3323" s="5" t="s">
        <v>67</v>
      </c>
      <c r="X3323" s="5" t="s">
        <v>67</v>
      </c>
      <c r="Y3323" s="4">
        <v>283</v>
      </c>
      <c r="Z3323" s="4">
        <v>11</v>
      </c>
      <c r="AA3323" s="4">
        <v>18</v>
      </c>
      <c r="AB3323" s="4">
        <v>1</v>
      </c>
      <c r="AC3323" s="4">
        <v>2</v>
      </c>
      <c r="AD3323" s="4">
        <v>90</v>
      </c>
      <c r="AE3323" s="4">
        <v>100</v>
      </c>
      <c r="AF3323" s="4">
        <v>0</v>
      </c>
      <c r="AG3323" s="4">
        <v>1</v>
      </c>
      <c r="AH3323" s="4">
        <v>84</v>
      </c>
      <c r="AI3323" s="4">
        <v>93</v>
      </c>
      <c r="AJ3323" s="4">
        <v>9</v>
      </c>
      <c r="AK3323" s="4">
        <v>13</v>
      </c>
      <c r="AL3323" s="4">
        <v>51</v>
      </c>
      <c r="AM3323" s="4">
        <v>53</v>
      </c>
      <c r="AN3323" s="4">
        <v>0</v>
      </c>
      <c r="AO3323" s="4">
        <v>0</v>
      </c>
      <c r="AP3323" s="4">
        <v>9</v>
      </c>
      <c r="AQ3323" s="4">
        <v>13</v>
      </c>
      <c r="AR3323" s="3" t="s">
        <v>62</v>
      </c>
      <c r="AS3323" s="3" t="s">
        <v>62</v>
      </c>
      <c r="AT3323" s="3" t="s">
        <v>62</v>
      </c>
      <c r="AV3323" s="6" t="str">
        <f>HYPERLINK("http://mcgill.on.worldcat.org/oclc/30069770","Catalog Record")</f>
        <v>Catalog Record</v>
      </c>
      <c r="AW3323" s="6" t="str">
        <f>HYPERLINK("http://www.worldcat.org/oclc/30069770","WorldCat Record")</f>
        <v>WorldCat Record</v>
      </c>
      <c r="AX3323" s="3" t="s">
        <v>32336</v>
      </c>
      <c r="AY3323" s="3" t="s">
        <v>32337</v>
      </c>
      <c r="AZ3323" s="3" t="s">
        <v>32338</v>
      </c>
      <c r="BA3323" s="3" t="s">
        <v>32338</v>
      </c>
      <c r="BB3323" s="3" t="s">
        <v>32339</v>
      </c>
      <c r="BC3323" s="3" t="s">
        <v>102</v>
      </c>
      <c r="BD3323" s="3" t="s">
        <v>68</v>
      </c>
      <c r="BE3323" s="3" t="s">
        <v>32340</v>
      </c>
      <c r="BF3323" s="3" t="s">
        <v>32339</v>
      </c>
      <c r="BG3323" s="3" t="s">
        <v>32341</v>
      </c>
    </row>
    <row r="3324" spans="1:59" ht="87" x14ac:dyDescent="0.35">
      <c r="A3324" s="2" t="s">
        <v>89</v>
      </c>
      <c r="B3324" s="2" t="s">
        <v>90</v>
      </c>
      <c r="C3324" s="2" t="s">
        <v>32342</v>
      </c>
      <c r="D3324" s="2" t="s">
        <v>32343</v>
      </c>
      <c r="E3324" s="2" t="s">
        <v>32344</v>
      </c>
      <c r="G3324" s="3" t="s">
        <v>62</v>
      </c>
      <c r="I3324" s="3" t="s">
        <v>62</v>
      </c>
      <c r="J3324" s="3" t="s">
        <v>62</v>
      </c>
      <c r="K3324" s="3" t="s">
        <v>63</v>
      </c>
      <c r="L3324" s="2" t="s">
        <v>32345</v>
      </c>
      <c r="M3324" s="2" t="s">
        <v>32346</v>
      </c>
      <c r="N3324" s="3" t="s">
        <v>880</v>
      </c>
      <c r="P3324" s="3" t="s">
        <v>64</v>
      </c>
      <c r="R3324" s="3" t="s">
        <v>32039</v>
      </c>
      <c r="S3324" s="4">
        <v>0</v>
      </c>
      <c r="T3324" s="4">
        <v>0</v>
      </c>
      <c r="W3324" s="5" t="s">
        <v>67</v>
      </c>
      <c r="X3324" s="5" t="s">
        <v>67</v>
      </c>
      <c r="Y3324" s="4">
        <v>428</v>
      </c>
      <c r="Z3324" s="4">
        <v>18</v>
      </c>
      <c r="AA3324" s="4">
        <v>84</v>
      </c>
      <c r="AB3324" s="4">
        <v>1</v>
      </c>
      <c r="AC3324" s="4">
        <v>16</v>
      </c>
      <c r="AD3324" s="4">
        <v>97</v>
      </c>
      <c r="AE3324" s="4">
        <v>137</v>
      </c>
      <c r="AF3324" s="4">
        <v>0</v>
      </c>
      <c r="AG3324" s="4">
        <v>8</v>
      </c>
      <c r="AH3324" s="4">
        <v>89</v>
      </c>
      <c r="AI3324" s="4">
        <v>103</v>
      </c>
      <c r="AJ3324" s="4">
        <v>13</v>
      </c>
      <c r="AK3324" s="4">
        <v>24</v>
      </c>
      <c r="AL3324" s="4">
        <v>50</v>
      </c>
      <c r="AM3324" s="4">
        <v>54</v>
      </c>
      <c r="AN3324" s="4">
        <v>0</v>
      </c>
      <c r="AO3324" s="4">
        <v>0</v>
      </c>
      <c r="AP3324" s="4">
        <v>13</v>
      </c>
      <c r="AQ3324" s="4">
        <v>43</v>
      </c>
      <c r="AR3324" s="3" t="s">
        <v>62</v>
      </c>
      <c r="AS3324" s="3" t="s">
        <v>62</v>
      </c>
      <c r="AT3324" s="3" t="s">
        <v>62</v>
      </c>
      <c r="AV3324" s="6" t="str">
        <f>HYPERLINK("http://mcgill.on.worldcat.org/oclc/435728500","Catalog Record")</f>
        <v>Catalog Record</v>
      </c>
      <c r="AW3324" s="6" t="str">
        <f>HYPERLINK("http://www.worldcat.org/oclc/435728500","WorldCat Record")</f>
        <v>WorldCat Record</v>
      </c>
      <c r="AX3324" s="3" t="s">
        <v>32347</v>
      </c>
      <c r="AY3324" s="3" t="s">
        <v>32348</v>
      </c>
      <c r="AZ3324" s="3" t="s">
        <v>32349</v>
      </c>
      <c r="BA3324" s="3" t="s">
        <v>32349</v>
      </c>
      <c r="BB3324" s="3" t="s">
        <v>32350</v>
      </c>
      <c r="BC3324" s="3" t="s">
        <v>102</v>
      </c>
      <c r="BD3324" s="3" t="s">
        <v>68</v>
      </c>
      <c r="BE3324" s="3" t="s">
        <v>32351</v>
      </c>
      <c r="BF3324" s="3" t="s">
        <v>32350</v>
      </c>
      <c r="BG3324" s="3" t="s">
        <v>32352</v>
      </c>
    </row>
    <row r="3325" spans="1:59" ht="58" x14ac:dyDescent="0.35">
      <c r="A3325" s="2" t="s">
        <v>89</v>
      </c>
      <c r="B3325" s="2" t="s">
        <v>90</v>
      </c>
      <c r="C3325" s="2" t="s">
        <v>32353</v>
      </c>
      <c r="D3325" s="2" t="s">
        <v>32354</v>
      </c>
      <c r="E3325" s="2" t="s">
        <v>32355</v>
      </c>
      <c r="G3325" s="3" t="s">
        <v>62</v>
      </c>
      <c r="I3325" s="3" t="s">
        <v>62</v>
      </c>
      <c r="J3325" s="3" t="s">
        <v>62</v>
      </c>
      <c r="K3325" s="3" t="s">
        <v>63</v>
      </c>
      <c r="L3325" s="2" t="s">
        <v>32356</v>
      </c>
      <c r="M3325" s="2" t="s">
        <v>32357</v>
      </c>
      <c r="N3325" s="3" t="s">
        <v>115</v>
      </c>
      <c r="P3325" s="3" t="s">
        <v>85</v>
      </c>
      <c r="R3325" s="3" t="s">
        <v>32039</v>
      </c>
      <c r="S3325" s="4">
        <v>8</v>
      </c>
      <c r="T3325" s="4">
        <v>8</v>
      </c>
      <c r="U3325" s="5" t="s">
        <v>1118</v>
      </c>
      <c r="V3325" s="5" t="s">
        <v>1118</v>
      </c>
      <c r="W3325" s="5" t="s">
        <v>67</v>
      </c>
      <c r="X3325" s="5" t="s">
        <v>67</v>
      </c>
      <c r="Y3325" s="4">
        <v>1</v>
      </c>
      <c r="Z3325" s="4">
        <v>1</v>
      </c>
      <c r="AA3325" s="4">
        <v>1</v>
      </c>
      <c r="AB3325" s="4">
        <v>1</v>
      </c>
      <c r="AC3325" s="4">
        <v>1</v>
      </c>
      <c r="AD3325" s="4">
        <v>0</v>
      </c>
      <c r="AE3325" s="4">
        <v>10</v>
      </c>
      <c r="AF3325" s="4">
        <v>0</v>
      </c>
      <c r="AG3325" s="4">
        <v>0</v>
      </c>
      <c r="AH3325" s="4">
        <v>0</v>
      </c>
      <c r="AI3325" s="4">
        <v>9</v>
      </c>
      <c r="AJ3325" s="4">
        <v>0</v>
      </c>
      <c r="AK3325" s="4">
        <v>0</v>
      </c>
      <c r="AL3325" s="4">
        <v>0</v>
      </c>
      <c r="AM3325" s="4">
        <v>9</v>
      </c>
      <c r="AN3325" s="4">
        <v>0</v>
      </c>
      <c r="AO3325" s="4">
        <v>0</v>
      </c>
      <c r="AP3325" s="4">
        <v>0</v>
      </c>
      <c r="AQ3325" s="4">
        <v>0</v>
      </c>
      <c r="AR3325" s="3" t="s">
        <v>62</v>
      </c>
      <c r="AS3325" s="3" t="s">
        <v>62</v>
      </c>
      <c r="AT3325" s="3" t="s">
        <v>62</v>
      </c>
      <c r="AV3325" s="6" t="str">
        <f>HYPERLINK("http://mcgill.on.worldcat.org/oclc/61637641","Catalog Record")</f>
        <v>Catalog Record</v>
      </c>
      <c r="AW3325" s="6" t="str">
        <f>HYPERLINK("http://www.worldcat.org/oclc/61637641","WorldCat Record")</f>
        <v>WorldCat Record</v>
      </c>
      <c r="AX3325" s="3" t="s">
        <v>32358</v>
      </c>
      <c r="AY3325" s="3" t="s">
        <v>32359</v>
      </c>
      <c r="AZ3325" s="3" t="s">
        <v>32360</v>
      </c>
      <c r="BA3325" s="3" t="s">
        <v>32360</v>
      </c>
      <c r="BB3325" s="3" t="s">
        <v>32361</v>
      </c>
      <c r="BC3325" s="3" t="s">
        <v>102</v>
      </c>
      <c r="BD3325" s="3" t="s">
        <v>68</v>
      </c>
      <c r="BE3325" s="3" t="s">
        <v>32362</v>
      </c>
      <c r="BF3325" s="3" t="s">
        <v>32361</v>
      </c>
      <c r="BG3325" s="3" t="s">
        <v>32363</v>
      </c>
    </row>
    <row r="3326" spans="1:59" ht="58" x14ac:dyDescent="0.35">
      <c r="A3326" s="2" t="s">
        <v>89</v>
      </c>
      <c r="B3326" s="2" t="s">
        <v>90</v>
      </c>
      <c r="C3326" s="2" t="s">
        <v>32364</v>
      </c>
      <c r="D3326" s="2" t="s">
        <v>32365</v>
      </c>
      <c r="E3326" s="2" t="s">
        <v>32366</v>
      </c>
      <c r="G3326" s="3" t="s">
        <v>62</v>
      </c>
      <c r="I3326" s="3" t="s">
        <v>62</v>
      </c>
      <c r="J3326" s="3" t="s">
        <v>62</v>
      </c>
      <c r="K3326" s="3" t="s">
        <v>63</v>
      </c>
      <c r="L3326" s="2" t="s">
        <v>32367</v>
      </c>
      <c r="M3326" s="2" t="s">
        <v>32368</v>
      </c>
      <c r="N3326" s="3" t="s">
        <v>3062</v>
      </c>
      <c r="P3326" s="3" t="s">
        <v>64</v>
      </c>
      <c r="Q3326" s="2" t="s">
        <v>32369</v>
      </c>
      <c r="R3326" s="3" t="s">
        <v>32039</v>
      </c>
      <c r="S3326" s="4">
        <v>22</v>
      </c>
      <c r="T3326" s="4">
        <v>22</v>
      </c>
      <c r="U3326" s="5" t="s">
        <v>4989</v>
      </c>
      <c r="V3326" s="5" t="s">
        <v>4989</v>
      </c>
      <c r="W3326" s="5" t="s">
        <v>67</v>
      </c>
      <c r="X3326" s="5" t="s">
        <v>67</v>
      </c>
      <c r="Y3326" s="4">
        <v>104</v>
      </c>
      <c r="Z3326" s="4">
        <v>5</v>
      </c>
      <c r="AA3326" s="4">
        <v>5</v>
      </c>
      <c r="AB3326" s="4">
        <v>2</v>
      </c>
      <c r="AC3326" s="4">
        <v>2</v>
      </c>
      <c r="AD3326" s="4">
        <v>41</v>
      </c>
      <c r="AE3326" s="4">
        <v>41</v>
      </c>
      <c r="AF3326" s="4">
        <v>0</v>
      </c>
      <c r="AG3326" s="4">
        <v>0</v>
      </c>
      <c r="AH3326" s="4">
        <v>40</v>
      </c>
      <c r="AI3326" s="4">
        <v>40</v>
      </c>
      <c r="AJ3326" s="4">
        <v>1</v>
      </c>
      <c r="AK3326" s="4">
        <v>1</v>
      </c>
      <c r="AL3326" s="4">
        <v>30</v>
      </c>
      <c r="AM3326" s="4">
        <v>30</v>
      </c>
      <c r="AN3326" s="4">
        <v>0</v>
      </c>
      <c r="AO3326" s="4">
        <v>0</v>
      </c>
      <c r="AP3326" s="4">
        <v>1</v>
      </c>
      <c r="AQ3326" s="4">
        <v>1</v>
      </c>
      <c r="AR3326" s="3" t="s">
        <v>62</v>
      </c>
      <c r="AS3326" s="3" t="s">
        <v>62</v>
      </c>
      <c r="AT3326" s="3" t="s">
        <v>62</v>
      </c>
      <c r="AV3326" s="6" t="str">
        <f>HYPERLINK("http://mcgill.on.worldcat.org/oclc/24068086","Catalog Record")</f>
        <v>Catalog Record</v>
      </c>
      <c r="AW3326" s="6" t="str">
        <f>HYPERLINK("http://www.worldcat.org/oclc/24068086","WorldCat Record")</f>
        <v>WorldCat Record</v>
      </c>
      <c r="AX3326" s="3" t="s">
        <v>32370</v>
      </c>
      <c r="AY3326" s="3" t="s">
        <v>32371</v>
      </c>
      <c r="AZ3326" s="3" t="s">
        <v>32372</v>
      </c>
      <c r="BA3326" s="3" t="s">
        <v>32372</v>
      </c>
      <c r="BB3326" s="3" t="s">
        <v>32373</v>
      </c>
      <c r="BC3326" s="3" t="s">
        <v>102</v>
      </c>
      <c r="BD3326" s="3" t="s">
        <v>68</v>
      </c>
      <c r="BE3326" s="3" t="s">
        <v>32374</v>
      </c>
      <c r="BF3326" s="3" t="s">
        <v>32373</v>
      </c>
      <c r="BG3326" s="3" t="s">
        <v>32375</v>
      </c>
    </row>
    <row r="3327" spans="1:59" ht="58" x14ac:dyDescent="0.35">
      <c r="A3327" s="2" t="s">
        <v>89</v>
      </c>
      <c r="B3327" s="2" t="s">
        <v>90</v>
      </c>
      <c r="C3327" s="2" t="s">
        <v>32376</v>
      </c>
      <c r="D3327" s="2" t="s">
        <v>32377</v>
      </c>
      <c r="E3327" s="2" t="s">
        <v>32378</v>
      </c>
      <c r="G3327" s="3" t="s">
        <v>62</v>
      </c>
      <c r="I3327" s="3" t="s">
        <v>62</v>
      </c>
      <c r="J3327" s="3" t="s">
        <v>62</v>
      </c>
      <c r="K3327" s="3" t="s">
        <v>63</v>
      </c>
      <c r="L3327" s="2" t="s">
        <v>32379</v>
      </c>
      <c r="M3327" s="2" t="s">
        <v>32380</v>
      </c>
      <c r="N3327" s="3" t="s">
        <v>684</v>
      </c>
      <c r="P3327" s="3" t="s">
        <v>64</v>
      </c>
      <c r="Q3327" s="2" t="s">
        <v>32381</v>
      </c>
      <c r="R3327" s="3" t="s">
        <v>32039</v>
      </c>
      <c r="S3327" s="4">
        <v>1</v>
      </c>
      <c r="T3327" s="4">
        <v>1</v>
      </c>
      <c r="U3327" s="5" t="s">
        <v>11453</v>
      </c>
      <c r="V3327" s="5" t="s">
        <v>11453</v>
      </c>
      <c r="W3327" s="5" t="s">
        <v>67</v>
      </c>
      <c r="X3327" s="5" t="s">
        <v>67</v>
      </c>
      <c r="Y3327" s="4">
        <v>89</v>
      </c>
      <c r="Z3327" s="4">
        <v>4</v>
      </c>
      <c r="AA3327" s="4">
        <v>4</v>
      </c>
      <c r="AB3327" s="4">
        <v>1</v>
      </c>
      <c r="AC3327" s="4">
        <v>1</v>
      </c>
      <c r="AD3327" s="4">
        <v>52</v>
      </c>
      <c r="AE3327" s="4">
        <v>52</v>
      </c>
      <c r="AF3327" s="4">
        <v>0</v>
      </c>
      <c r="AG3327" s="4">
        <v>0</v>
      </c>
      <c r="AH3327" s="4">
        <v>51</v>
      </c>
      <c r="AI3327" s="4">
        <v>51</v>
      </c>
      <c r="AJ3327" s="4">
        <v>2</v>
      </c>
      <c r="AK3327" s="4">
        <v>2</v>
      </c>
      <c r="AL3327" s="4">
        <v>31</v>
      </c>
      <c r="AM3327" s="4">
        <v>31</v>
      </c>
      <c r="AN3327" s="4">
        <v>0</v>
      </c>
      <c r="AO3327" s="4">
        <v>0</v>
      </c>
      <c r="AP3327" s="4">
        <v>2</v>
      </c>
      <c r="AQ3327" s="4">
        <v>2</v>
      </c>
      <c r="AR3327" s="3" t="s">
        <v>62</v>
      </c>
      <c r="AS3327" s="3" t="s">
        <v>62</v>
      </c>
      <c r="AT3327" s="3" t="s">
        <v>62</v>
      </c>
      <c r="AV3327" s="6" t="str">
        <f>HYPERLINK("http://mcgill.on.worldcat.org/oclc/702168539","Catalog Record")</f>
        <v>Catalog Record</v>
      </c>
      <c r="AW3327" s="6" t="str">
        <f>HYPERLINK("http://www.worldcat.org/oclc/702168539","WorldCat Record")</f>
        <v>WorldCat Record</v>
      </c>
      <c r="AX3327" s="3" t="s">
        <v>32382</v>
      </c>
      <c r="AY3327" s="3" t="s">
        <v>32383</v>
      </c>
      <c r="AZ3327" s="3" t="s">
        <v>32384</v>
      </c>
      <c r="BA3327" s="3" t="s">
        <v>32384</v>
      </c>
      <c r="BB3327" s="3" t="s">
        <v>32385</v>
      </c>
      <c r="BC3327" s="3" t="s">
        <v>102</v>
      </c>
      <c r="BD3327" s="3" t="s">
        <v>68</v>
      </c>
      <c r="BE3327" s="3" t="s">
        <v>32386</v>
      </c>
      <c r="BF3327" s="3" t="s">
        <v>32385</v>
      </c>
      <c r="BG3327" s="3" t="s">
        <v>32387</v>
      </c>
    </row>
    <row r="3328" spans="1:59" ht="87" x14ac:dyDescent="0.35">
      <c r="A3328" s="2" t="s">
        <v>89</v>
      </c>
      <c r="B3328" s="2" t="s">
        <v>90</v>
      </c>
      <c r="C3328" s="2" t="s">
        <v>32388</v>
      </c>
      <c r="D3328" s="2" t="s">
        <v>32389</v>
      </c>
      <c r="E3328" s="2" t="s">
        <v>32390</v>
      </c>
      <c r="G3328" s="3" t="s">
        <v>62</v>
      </c>
      <c r="I3328" s="3" t="s">
        <v>62</v>
      </c>
      <c r="J3328" s="3" t="s">
        <v>62</v>
      </c>
      <c r="K3328" s="3" t="s">
        <v>63</v>
      </c>
      <c r="L3328" s="2" t="s">
        <v>32391</v>
      </c>
      <c r="M3328" s="2" t="s">
        <v>32392</v>
      </c>
      <c r="N3328" s="3" t="s">
        <v>201</v>
      </c>
      <c r="O3328" s="2" t="s">
        <v>32393</v>
      </c>
      <c r="P3328" s="3" t="s">
        <v>64</v>
      </c>
      <c r="Q3328" s="2" t="s">
        <v>32394</v>
      </c>
      <c r="R3328" s="3" t="s">
        <v>32039</v>
      </c>
      <c r="S3328" s="4">
        <v>13</v>
      </c>
      <c r="T3328" s="4">
        <v>13</v>
      </c>
      <c r="U3328" s="5" t="s">
        <v>32395</v>
      </c>
      <c r="V3328" s="5" t="s">
        <v>32395</v>
      </c>
      <c r="W3328" s="5" t="s">
        <v>67</v>
      </c>
      <c r="X3328" s="5" t="s">
        <v>67</v>
      </c>
      <c r="Y3328" s="4">
        <v>200</v>
      </c>
      <c r="Z3328" s="4">
        <v>16</v>
      </c>
      <c r="AA3328" s="4">
        <v>18</v>
      </c>
      <c r="AB3328" s="4">
        <v>2</v>
      </c>
      <c r="AC3328" s="4">
        <v>2</v>
      </c>
      <c r="AD3328" s="4">
        <v>75</v>
      </c>
      <c r="AE3328" s="4">
        <v>77</v>
      </c>
      <c r="AF3328" s="4">
        <v>1</v>
      </c>
      <c r="AG3328" s="4">
        <v>1</v>
      </c>
      <c r="AH3328" s="4">
        <v>67</v>
      </c>
      <c r="AI3328" s="4">
        <v>67</v>
      </c>
      <c r="AJ3328" s="4">
        <v>12</v>
      </c>
      <c r="AK3328" s="4">
        <v>14</v>
      </c>
      <c r="AL3328" s="4">
        <v>40</v>
      </c>
      <c r="AM3328" s="4">
        <v>40</v>
      </c>
      <c r="AN3328" s="4">
        <v>0</v>
      </c>
      <c r="AO3328" s="4">
        <v>0</v>
      </c>
      <c r="AP3328" s="4">
        <v>14</v>
      </c>
      <c r="AQ3328" s="4">
        <v>16</v>
      </c>
      <c r="AR3328" s="3" t="s">
        <v>62</v>
      </c>
      <c r="AS3328" s="3" t="s">
        <v>62</v>
      </c>
      <c r="AT3328" s="3" t="s">
        <v>62</v>
      </c>
      <c r="AV3328" s="6" t="str">
        <f>HYPERLINK("http://mcgill.on.worldcat.org/oclc/3255333","Catalog Record")</f>
        <v>Catalog Record</v>
      </c>
      <c r="AW3328" s="6" t="str">
        <f>HYPERLINK("http://www.worldcat.org/oclc/3255333","WorldCat Record")</f>
        <v>WorldCat Record</v>
      </c>
      <c r="AX3328" s="3" t="s">
        <v>32396</v>
      </c>
      <c r="AY3328" s="3" t="s">
        <v>32397</v>
      </c>
      <c r="AZ3328" s="3" t="s">
        <v>32398</v>
      </c>
      <c r="BA3328" s="3" t="s">
        <v>32398</v>
      </c>
      <c r="BB3328" s="3" t="s">
        <v>32399</v>
      </c>
      <c r="BC3328" s="3" t="s">
        <v>102</v>
      </c>
      <c r="BD3328" s="3" t="s">
        <v>68</v>
      </c>
      <c r="BE3328" s="3" t="s">
        <v>32400</v>
      </c>
      <c r="BF3328" s="3" t="s">
        <v>32399</v>
      </c>
      <c r="BG3328" s="3" t="s">
        <v>32401</v>
      </c>
    </row>
    <row r="3329" spans="1:59" ht="58" x14ac:dyDescent="0.35">
      <c r="A3329" s="2" t="s">
        <v>89</v>
      </c>
      <c r="B3329" s="2" t="s">
        <v>90</v>
      </c>
      <c r="C3329" s="2" t="s">
        <v>32402</v>
      </c>
      <c r="D3329" s="2" t="s">
        <v>32403</v>
      </c>
      <c r="E3329" s="2" t="s">
        <v>32404</v>
      </c>
      <c r="G3329" s="3" t="s">
        <v>62</v>
      </c>
      <c r="I3329" s="3" t="s">
        <v>62</v>
      </c>
      <c r="J3329" s="3" t="s">
        <v>62</v>
      </c>
      <c r="K3329" s="3" t="s">
        <v>63</v>
      </c>
      <c r="L3329" s="2" t="s">
        <v>32405</v>
      </c>
      <c r="M3329" s="2" t="s">
        <v>32406</v>
      </c>
      <c r="N3329" s="3" t="s">
        <v>684</v>
      </c>
      <c r="O3329" s="2" t="s">
        <v>4699</v>
      </c>
      <c r="P3329" s="3" t="s">
        <v>1078</v>
      </c>
      <c r="Q3329" s="2" t="s">
        <v>32407</v>
      </c>
      <c r="R3329" s="3" t="s">
        <v>32039</v>
      </c>
      <c r="S3329" s="4">
        <v>0</v>
      </c>
      <c r="T3329" s="4">
        <v>0</v>
      </c>
      <c r="W3329" s="5" t="s">
        <v>67</v>
      </c>
      <c r="X3329" s="5" t="s">
        <v>67</v>
      </c>
      <c r="Y3329" s="4">
        <v>5</v>
      </c>
      <c r="Z3329" s="4">
        <v>1</v>
      </c>
      <c r="AA3329" s="4">
        <v>1</v>
      </c>
      <c r="AB3329" s="4">
        <v>1</v>
      </c>
      <c r="AC3329" s="4">
        <v>1</v>
      </c>
      <c r="AD3329" s="4">
        <v>0</v>
      </c>
      <c r="AE3329" s="4">
        <v>0</v>
      </c>
      <c r="AF3329" s="4">
        <v>0</v>
      </c>
      <c r="AG3329" s="4">
        <v>0</v>
      </c>
      <c r="AH3329" s="4">
        <v>0</v>
      </c>
      <c r="AI3329" s="4">
        <v>0</v>
      </c>
      <c r="AJ3329" s="4">
        <v>0</v>
      </c>
      <c r="AK3329" s="4">
        <v>0</v>
      </c>
      <c r="AL3329" s="4">
        <v>0</v>
      </c>
      <c r="AM3329" s="4">
        <v>0</v>
      </c>
      <c r="AN3329" s="4">
        <v>0</v>
      </c>
      <c r="AO3329" s="4">
        <v>0</v>
      </c>
      <c r="AP3329" s="4">
        <v>0</v>
      </c>
      <c r="AQ3329" s="4">
        <v>0</v>
      </c>
      <c r="AR3329" s="3" t="s">
        <v>62</v>
      </c>
      <c r="AS3329" s="3" t="s">
        <v>62</v>
      </c>
      <c r="AT3329" s="3" t="s">
        <v>62</v>
      </c>
      <c r="AV3329" s="6" t="str">
        <f>HYPERLINK("http://mcgill.on.worldcat.org/oclc/724302672","Catalog Record")</f>
        <v>Catalog Record</v>
      </c>
      <c r="AW3329" s="6" t="str">
        <f>HYPERLINK("http://www.worldcat.org/oclc/724302672","WorldCat Record")</f>
        <v>WorldCat Record</v>
      </c>
      <c r="AX3329" s="3" t="s">
        <v>32408</v>
      </c>
      <c r="AY3329" s="3" t="s">
        <v>32409</v>
      </c>
      <c r="AZ3329" s="3" t="s">
        <v>32410</v>
      </c>
      <c r="BA3329" s="3" t="s">
        <v>32410</v>
      </c>
      <c r="BB3329" s="3" t="s">
        <v>32411</v>
      </c>
      <c r="BC3329" s="3" t="s">
        <v>102</v>
      </c>
      <c r="BD3329" s="3" t="s">
        <v>68</v>
      </c>
      <c r="BE3329" s="3" t="s">
        <v>32412</v>
      </c>
      <c r="BF3329" s="3" t="s">
        <v>32411</v>
      </c>
      <c r="BG3329" s="3" t="s">
        <v>32413</v>
      </c>
    </row>
    <row r="3330" spans="1:59" ht="72.5" x14ac:dyDescent="0.35">
      <c r="A3330" s="2" t="s">
        <v>89</v>
      </c>
      <c r="B3330" s="2" t="s">
        <v>90</v>
      </c>
      <c r="C3330" s="2" t="s">
        <v>32414</v>
      </c>
      <c r="D3330" s="2" t="s">
        <v>32415</v>
      </c>
      <c r="E3330" s="2" t="s">
        <v>32416</v>
      </c>
      <c r="G3330" s="3" t="s">
        <v>62</v>
      </c>
      <c r="I3330" s="3" t="s">
        <v>62</v>
      </c>
      <c r="J3330" s="3" t="s">
        <v>62</v>
      </c>
      <c r="K3330" s="3" t="s">
        <v>63</v>
      </c>
      <c r="L3330" s="2" t="s">
        <v>32417</v>
      </c>
      <c r="M3330" s="2" t="s">
        <v>32418</v>
      </c>
      <c r="N3330" s="3" t="s">
        <v>1038</v>
      </c>
      <c r="P3330" s="3" t="s">
        <v>1078</v>
      </c>
      <c r="Q3330" s="2" t="s">
        <v>32419</v>
      </c>
      <c r="R3330" s="3" t="s">
        <v>32039</v>
      </c>
      <c r="S3330" s="4">
        <v>0</v>
      </c>
      <c r="T3330" s="4">
        <v>0</v>
      </c>
      <c r="W3330" s="5" t="s">
        <v>67</v>
      </c>
      <c r="X3330" s="5" t="s">
        <v>67</v>
      </c>
      <c r="Y3330" s="4">
        <v>3</v>
      </c>
      <c r="Z3330" s="4">
        <v>1</v>
      </c>
      <c r="AA3330" s="4">
        <v>1</v>
      </c>
      <c r="AB3330" s="4">
        <v>1</v>
      </c>
      <c r="AC3330" s="4">
        <v>1</v>
      </c>
      <c r="AD3330" s="4">
        <v>1</v>
      </c>
      <c r="AE3330" s="4">
        <v>16</v>
      </c>
      <c r="AF3330" s="4">
        <v>0</v>
      </c>
      <c r="AG3330" s="4">
        <v>0</v>
      </c>
      <c r="AH3330" s="4">
        <v>1</v>
      </c>
      <c r="AI3330" s="4">
        <v>15</v>
      </c>
      <c r="AJ3330" s="4">
        <v>0</v>
      </c>
      <c r="AK3330" s="4">
        <v>0</v>
      </c>
      <c r="AL3330" s="4">
        <v>0</v>
      </c>
      <c r="AM3330" s="4">
        <v>14</v>
      </c>
      <c r="AN3330" s="4">
        <v>0</v>
      </c>
      <c r="AO3330" s="4">
        <v>0</v>
      </c>
      <c r="AP3330" s="4">
        <v>0</v>
      </c>
      <c r="AQ3330" s="4">
        <v>0</v>
      </c>
      <c r="AR3330" s="3" t="s">
        <v>62</v>
      </c>
      <c r="AS3330" s="3" t="s">
        <v>62</v>
      </c>
      <c r="AT3330" s="3" t="s">
        <v>62</v>
      </c>
      <c r="AV3330" s="6" t="str">
        <f>HYPERLINK("http://mcgill.on.worldcat.org/oclc/1031084662","Catalog Record")</f>
        <v>Catalog Record</v>
      </c>
      <c r="AW3330" s="6" t="str">
        <f>HYPERLINK("http://www.worldcat.org/oclc/1031084662","WorldCat Record")</f>
        <v>WorldCat Record</v>
      </c>
      <c r="AX3330" s="3" t="s">
        <v>32420</v>
      </c>
      <c r="AY3330" s="3" t="s">
        <v>32421</v>
      </c>
      <c r="AZ3330" s="3" t="s">
        <v>32422</v>
      </c>
      <c r="BA3330" s="3" t="s">
        <v>32422</v>
      </c>
      <c r="BB3330" s="3" t="s">
        <v>32423</v>
      </c>
      <c r="BC3330" s="3" t="s">
        <v>102</v>
      </c>
      <c r="BD3330" s="3" t="s">
        <v>68</v>
      </c>
      <c r="BE3330" s="3" t="s">
        <v>32424</v>
      </c>
      <c r="BF3330" s="3" t="s">
        <v>32423</v>
      </c>
      <c r="BG3330" s="3" t="s">
        <v>32425</v>
      </c>
    </row>
    <row r="3331" spans="1:59" ht="72.5" x14ac:dyDescent="0.35">
      <c r="A3331" s="2" t="s">
        <v>89</v>
      </c>
      <c r="B3331" s="2" t="s">
        <v>90</v>
      </c>
      <c r="C3331" s="2" t="s">
        <v>32426</v>
      </c>
      <c r="D3331" s="2" t="s">
        <v>32427</v>
      </c>
      <c r="E3331" s="2" t="s">
        <v>32428</v>
      </c>
      <c r="G3331" s="3" t="s">
        <v>62</v>
      </c>
      <c r="I3331" s="3" t="s">
        <v>61</v>
      </c>
      <c r="J3331" s="3" t="s">
        <v>62</v>
      </c>
      <c r="K3331" s="3" t="s">
        <v>63</v>
      </c>
      <c r="L3331" s="2" t="s">
        <v>32429</v>
      </c>
      <c r="M3331" s="2" t="s">
        <v>32430</v>
      </c>
      <c r="N3331" s="3" t="s">
        <v>1576</v>
      </c>
      <c r="P3331" s="3" t="s">
        <v>5609</v>
      </c>
      <c r="Q3331" s="2" t="s">
        <v>32431</v>
      </c>
      <c r="R3331" s="3" t="s">
        <v>32039</v>
      </c>
      <c r="S3331" s="4">
        <v>20</v>
      </c>
      <c r="T3331" s="4">
        <v>23</v>
      </c>
      <c r="U3331" s="5" t="s">
        <v>1551</v>
      </c>
      <c r="V3331" s="5" t="s">
        <v>1551</v>
      </c>
      <c r="W3331" s="5" t="s">
        <v>67</v>
      </c>
      <c r="X3331" s="5" t="s">
        <v>67</v>
      </c>
      <c r="Y3331" s="4">
        <v>315</v>
      </c>
      <c r="Z3331" s="4">
        <v>16</v>
      </c>
      <c r="AA3331" s="4">
        <v>17</v>
      </c>
      <c r="AB3331" s="4">
        <v>1</v>
      </c>
      <c r="AC3331" s="4">
        <v>1</v>
      </c>
      <c r="AD3331" s="4">
        <v>92</v>
      </c>
      <c r="AE3331" s="4">
        <v>92</v>
      </c>
      <c r="AF3331" s="4">
        <v>0</v>
      </c>
      <c r="AG3331" s="4">
        <v>0</v>
      </c>
      <c r="AH3331" s="4">
        <v>84</v>
      </c>
      <c r="AI3331" s="4">
        <v>84</v>
      </c>
      <c r="AJ3331" s="4">
        <v>10</v>
      </c>
      <c r="AK3331" s="4">
        <v>10</v>
      </c>
      <c r="AL3331" s="4">
        <v>49</v>
      </c>
      <c r="AM3331" s="4">
        <v>49</v>
      </c>
      <c r="AN3331" s="4">
        <v>0</v>
      </c>
      <c r="AO3331" s="4">
        <v>0</v>
      </c>
      <c r="AP3331" s="4">
        <v>12</v>
      </c>
      <c r="AQ3331" s="4">
        <v>12</v>
      </c>
      <c r="AR3331" s="3" t="s">
        <v>62</v>
      </c>
      <c r="AS3331" s="3" t="s">
        <v>62</v>
      </c>
      <c r="AT3331" s="3" t="s">
        <v>61</v>
      </c>
      <c r="AU3331" s="6" t="str">
        <f>HYPERLINK("http://catalog.hathitrust.org/Record/001486609","HathiTrust Record")</f>
        <v>HathiTrust Record</v>
      </c>
      <c r="AV3331" s="6" t="str">
        <f>HYPERLINK("http://mcgill.on.worldcat.org/oclc/988466","Catalog Record")</f>
        <v>Catalog Record</v>
      </c>
      <c r="AW3331" s="6" t="str">
        <f>HYPERLINK("http://www.worldcat.org/oclc/988466","WorldCat Record")</f>
        <v>WorldCat Record</v>
      </c>
      <c r="AX3331" s="3" t="s">
        <v>32432</v>
      </c>
      <c r="AY3331" s="3" t="s">
        <v>32433</v>
      </c>
      <c r="AZ3331" s="3" t="s">
        <v>32434</v>
      </c>
      <c r="BA3331" s="3" t="s">
        <v>32434</v>
      </c>
      <c r="BB3331" s="3" t="s">
        <v>32435</v>
      </c>
      <c r="BC3331" s="3" t="s">
        <v>102</v>
      </c>
      <c r="BD3331" s="3" t="s">
        <v>231</v>
      </c>
      <c r="BF3331" s="3" t="s">
        <v>32435</v>
      </c>
      <c r="BG3331" s="3" t="s">
        <v>32436</v>
      </c>
    </row>
    <row r="3332" spans="1:59" ht="58" x14ac:dyDescent="0.35">
      <c r="A3332" s="2" t="s">
        <v>89</v>
      </c>
      <c r="B3332" s="2" t="s">
        <v>90</v>
      </c>
      <c r="C3332" s="2" t="s">
        <v>32437</v>
      </c>
      <c r="D3332" s="2" t="s">
        <v>32438</v>
      </c>
      <c r="E3332" s="2" t="s">
        <v>32439</v>
      </c>
      <c r="G3332" s="3" t="s">
        <v>62</v>
      </c>
      <c r="I3332" s="3" t="s">
        <v>62</v>
      </c>
      <c r="J3332" s="3" t="s">
        <v>62</v>
      </c>
      <c r="K3332" s="3" t="s">
        <v>63</v>
      </c>
      <c r="L3332" s="2" t="s">
        <v>32440</v>
      </c>
      <c r="M3332" s="2" t="s">
        <v>32441</v>
      </c>
      <c r="N3332" s="3" t="s">
        <v>2975</v>
      </c>
      <c r="P3332" s="3" t="s">
        <v>64</v>
      </c>
      <c r="Q3332" s="2" t="s">
        <v>32442</v>
      </c>
      <c r="R3332" s="3" t="s">
        <v>32039</v>
      </c>
      <c r="S3332" s="4">
        <v>2</v>
      </c>
      <c r="T3332" s="4">
        <v>2</v>
      </c>
      <c r="U3332" s="5" t="s">
        <v>5789</v>
      </c>
      <c r="V3332" s="5" t="s">
        <v>5789</v>
      </c>
      <c r="W3332" s="5" t="s">
        <v>67</v>
      </c>
      <c r="X3332" s="5" t="s">
        <v>67</v>
      </c>
      <c r="Y3332" s="4">
        <v>126</v>
      </c>
      <c r="Z3332" s="4">
        <v>12</v>
      </c>
      <c r="AA3332" s="4">
        <v>25</v>
      </c>
      <c r="AB3332" s="4">
        <v>2</v>
      </c>
      <c r="AC3332" s="4">
        <v>2</v>
      </c>
      <c r="AD3332" s="4">
        <v>70</v>
      </c>
      <c r="AE3332" s="4">
        <v>76</v>
      </c>
      <c r="AF3332" s="4">
        <v>0</v>
      </c>
      <c r="AG3332" s="4">
        <v>0</v>
      </c>
      <c r="AH3332" s="4">
        <v>65</v>
      </c>
      <c r="AI3332" s="4">
        <v>67</v>
      </c>
      <c r="AJ3332" s="4">
        <v>4</v>
      </c>
      <c r="AK3332" s="4">
        <v>7</v>
      </c>
      <c r="AL3332" s="4">
        <v>43</v>
      </c>
      <c r="AM3332" s="4">
        <v>43</v>
      </c>
      <c r="AN3332" s="4">
        <v>0</v>
      </c>
      <c r="AO3332" s="4">
        <v>0</v>
      </c>
      <c r="AP3332" s="4">
        <v>5</v>
      </c>
      <c r="AQ3332" s="4">
        <v>11</v>
      </c>
      <c r="AR3332" s="3" t="s">
        <v>62</v>
      </c>
      <c r="AS3332" s="3" t="s">
        <v>62</v>
      </c>
      <c r="AT3332" s="3" t="s">
        <v>61</v>
      </c>
      <c r="AU3332" s="6" t="str">
        <f>HYPERLINK("http://catalog.hathitrust.org/Record/003555799","HathiTrust Record")</f>
        <v>HathiTrust Record</v>
      </c>
      <c r="AV3332" s="6" t="str">
        <f>HYPERLINK("http://mcgill.on.worldcat.org/oclc/45419937","Catalog Record")</f>
        <v>Catalog Record</v>
      </c>
      <c r="AW3332" s="6" t="str">
        <f>HYPERLINK("http://www.worldcat.org/oclc/45419937","WorldCat Record")</f>
        <v>WorldCat Record</v>
      </c>
      <c r="AX3332" s="3" t="s">
        <v>32443</v>
      </c>
      <c r="AY3332" s="3" t="s">
        <v>32444</v>
      </c>
      <c r="AZ3332" s="3" t="s">
        <v>32445</v>
      </c>
      <c r="BA3332" s="3" t="s">
        <v>32445</v>
      </c>
      <c r="BB3332" s="3" t="s">
        <v>32446</v>
      </c>
      <c r="BC3332" s="3" t="s">
        <v>102</v>
      </c>
      <c r="BD3332" s="3" t="s">
        <v>68</v>
      </c>
      <c r="BE3332" s="3" t="s">
        <v>32447</v>
      </c>
      <c r="BF3332" s="3" t="s">
        <v>32446</v>
      </c>
      <c r="BG3332" s="3" t="s">
        <v>32448</v>
      </c>
    </row>
    <row r="3333" spans="1:59" ht="58" x14ac:dyDescent="0.35">
      <c r="A3333" s="2" t="s">
        <v>89</v>
      </c>
      <c r="B3333" s="2" t="s">
        <v>90</v>
      </c>
      <c r="C3333" s="2" t="s">
        <v>32449</v>
      </c>
      <c r="D3333" s="2" t="s">
        <v>32450</v>
      </c>
      <c r="E3333" s="2" t="s">
        <v>32451</v>
      </c>
      <c r="G3333" s="3" t="s">
        <v>62</v>
      </c>
      <c r="I3333" s="3" t="s">
        <v>62</v>
      </c>
      <c r="J3333" s="3" t="s">
        <v>62</v>
      </c>
      <c r="K3333" s="3" t="s">
        <v>63</v>
      </c>
      <c r="L3333" s="2" t="s">
        <v>32452</v>
      </c>
      <c r="M3333" s="2" t="s">
        <v>32453</v>
      </c>
      <c r="N3333" s="3" t="s">
        <v>87</v>
      </c>
      <c r="P3333" s="3" t="s">
        <v>64</v>
      </c>
      <c r="Q3333" s="2" t="s">
        <v>32454</v>
      </c>
      <c r="R3333" s="3" t="s">
        <v>32039</v>
      </c>
      <c r="S3333" s="4">
        <v>38</v>
      </c>
      <c r="T3333" s="4">
        <v>38</v>
      </c>
      <c r="U3333" s="5" t="s">
        <v>16766</v>
      </c>
      <c r="V3333" s="5" t="s">
        <v>16766</v>
      </c>
      <c r="W3333" s="5" t="s">
        <v>67</v>
      </c>
      <c r="X3333" s="5" t="s">
        <v>67</v>
      </c>
      <c r="Y3333" s="4">
        <v>153</v>
      </c>
      <c r="Z3333" s="4">
        <v>15</v>
      </c>
      <c r="AA3333" s="4">
        <v>24</v>
      </c>
      <c r="AB3333" s="4">
        <v>2</v>
      </c>
      <c r="AC3333" s="4">
        <v>5</v>
      </c>
      <c r="AD3333" s="4">
        <v>42</v>
      </c>
      <c r="AE3333" s="4">
        <v>71</v>
      </c>
      <c r="AF3333" s="4">
        <v>0</v>
      </c>
      <c r="AG3333" s="4">
        <v>2</v>
      </c>
      <c r="AH3333" s="4">
        <v>39</v>
      </c>
      <c r="AI3333" s="4">
        <v>65</v>
      </c>
      <c r="AJ3333" s="4">
        <v>10</v>
      </c>
      <c r="AK3333" s="4">
        <v>13</v>
      </c>
      <c r="AL3333" s="4">
        <v>17</v>
      </c>
      <c r="AM3333" s="4">
        <v>30</v>
      </c>
      <c r="AN3333" s="4">
        <v>0</v>
      </c>
      <c r="AO3333" s="4">
        <v>0</v>
      </c>
      <c r="AP3333" s="4">
        <v>12</v>
      </c>
      <c r="AQ3333" s="4">
        <v>17</v>
      </c>
      <c r="AR3333" s="3" t="s">
        <v>62</v>
      </c>
      <c r="AS3333" s="3" t="s">
        <v>62</v>
      </c>
      <c r="AT3333" s="3" t="s">
        <v>62</v>
      </c>
      <c r="AV3333" s="6" t="str">
        <f>HYPERLINK("http://mcgill.on.worldcat.org/oclc/5697015","Catalog Record")</f>
        <v>Catalog Record</v>
      </c>
      <c r="AW3333" s="6" t="str">
        <f>HYPERLINK("http://www.worldcat.org/oclc/5697015","WorldCat Record")</f>
        <v>WorldCat Record</v>
      </c>
      <c r="AX3333" s="3" t="s">
        <v>32455</v>
      </c>
      <c r="AY3333" s="3" t="s">
        <v>32456</v>
      </c>
      <c r="AZ3333" s="3" t="s">
        <v>32457</v>
      </c>
      <c r="BA3333" s="3" t="s">
        <v>32457</v>
      </c>
      <c r="BB3333" s="3" t="s">
        <v>32458</v>
      </c>
      <c r="BC3333" s="3" t="s">
        <v>102</v>
      </c>
      <c r="BD3333" s="3" t="s">
        <v>68</v>
      </c>
      <c r="BE3333" s="3" t="s">
        <v>32459</v>
      </c>
      <c r="BF3333" s="3" t="s">
        <v>32458</v>
      </c>
      <c r="BG3333" s="3" t="s">
        <v>32460</v>
      </c>
    </row>
    <row r="3334" spans="1:59" ht="72.5" x14ac:dyDescent="0.35">
      <c r="A3334" s="2" t="s">
        <v>89</v>
      </c>
      <c r="B3334" s="2" t="s">
        <v>90</v>
      </c>
      <c r="C3334" s="2" t="s">
        <v>32461</v>
      </c>
      <c r="D3334" s="2" t="s">
        <v>32462</v>
      </c>
      <c r="E3334" s="2" t="s">
        <v>32463</v>
      </c>
      <c r="G3334" s="3" t="s">
        <v>62</v>
      </c>
      <c r="I3334" s="3" t="s">
        <v>62</v>
      </c>
      <c r="J3334" s="3" t="s">
        <v>62</v>
      </c>
      <c r="K3334" s="3" t="s">
        <v>63</v>
      </c>
      <c r="L3334" s="2" t="s">
        <v>32464</v>
      </c>
      <c r="M3334" s="2" t="s">
        <v>32465</v>
      </c>
      <c r="N3334" s="3" t="s">
        <v>466</v>
      </c>
      <c r="P3334" s="3" t="s">
        <v>85</v>
      </c>
      <c r="Q3334" s="2" t="s">
        <v>27543</v>
      </c>
      <c r="R3334" s="3" t="s">
        <v>32039</v>
      </c>
      <c r="S3334" s="4">
        <v>9</v>
      </c>
      <c r="T3334" s="4">
        <v>9</v>
      </c>
      <c r="U3334" s="5" t="s">
        <v>11453</v>
      </c>
      <c r="V3334" s="5" t="s">
        <v>11453</v>
      </c>
      <c r="W3334" s="5" t="s">
        <v>67</v>
      </c>
      <c r="X3334" s="5" t="s">
        <v>67</v>
      </c>
      <c r="Y3334" s="4">
        <v>43</v>
      </c>
      <c r="Z3334" s="4">
        <v>2</v>
      </c>
      <c r="AA3334" s="4">
        <v>4</v>
      </c>
      <c r="AB3334" s="4">
        <v>1</v>
      </c>
      <c r="AC3334" s="4">
        <v>3</v>
      </c>
      <c r="AD3334" s="4">
        <v>20</v>
      </c>
      <c r="AE3334" s="4">
        <v>23</v>
      </c>
      <c r="AF3334" s="4">
        <v>0</v>
      </c>
      <c r="AG3334" s="4">
        <v>2</v>
      </c>
      <c r="AH3334" s="4">
        <v>19</v>
      </c>
      <c r="AI3334" s="4">
        <v>20</v>
      </c>
      <c r="AJ3334" s="4">
        <v>1</v>
      </c>
      <c r="AK3334" s="4">
        <v>3</v>
      </c>
      <c r="AL3334" s="4">
        <v>16</v>
      </c>
      <c r="AM3334" s="4">
        <v>17</v>
      </c>
      <c r="AN3334" s="4">
        <v>0</v>
      </c>
      <c r="AO3334" s="4">
        <v>0</v>
      </c>
      <c r="AP3334" s="4">
        <v>1</v>
      </c>
      <c r="AQ3334" s="4">
        <v>2</v>
      </c>
      <c r="AR3334" s="3" t="s">
        <v>62</v>
      </c>
      <c r="AS3334" s="3" t="s">
        <v>62</v>
      </c>
      <c r="AT3334" s="3" t="s">
        <v>62</v>
      </c>
      <c r="AV3334" s="6" t="str">
        <f>HYPERLINK("http://mcgill.on.worldcat.org/oclc/27003592","Catalog Record")</f>
        <v>Catalog Record</v>
      </c>
      <c r="AW3334" s="6" t="str">
        <f>HYPERLINK("http://www.worldcat.org/oclc/27003592","WorldCat Record")</f>
        <v>WorldCat Record</v>
      </c>
      <c r="AX3334" s="3" t="s">
        <v>32466</v>
      </c>
      <c r="AY3334" s="3" t="s">
        <v>32467</v>
      </c>
      <c r="AZ3334" s="3" t="s">
        <v>32468</v>
      </c>
      <c r="BA3334" s="3" t="s">
        <v>32468</v>
      </c>
      <c r="BB3334" s="3" t="s">
        <v>32469</v>
      </c>
      <c r="BC3334" s="3" t="s">
        <v>102</v>
      </c>
      <c r="BD3334" s="3" t="s">
        <v>68</v>
      </c>
      <c r="BE3334" s="3" t="s">
        <v>32470</v>
      </c>
      <c r="BF3334" s="3" t="s">
        <v>32469</v>
      </c>
      <c r="BG3334" s="3" t="s">
        <v>32471</v>
      </c>
    </row>
    <row r="3335" spans="1:59" ht="58" x14ac:dyDescent="0.35">
      <c r="A3335" s="2" t="s">
        <v>89</v>
      </c>
      <c r="B3335" s="2" t="s">
        <v>90</v>
      </c>
      <c r="C3335" s="2" t="s">
        <v>32472</v>
      </c>
      <c r="D3335" s="2" t="s">
        <v>32473</v>
      </c>
      <c r="E3335" s="2" t="s">
        <v>32474</v>
      </c>
      <c r="G3335" s="3" t="s">
        <v>62</v>
      </c>
      <c r="I3335" s="3" t="s">
        <v>62</v>
      </c>
      <c r="J3335" s="3" t="s">
        <v>62</v>
      </c>
      <c r="K3335" s="3" t="s">
        <v>63</v>
      </c>
      <c r="M3335" s="2" t="s">
        <v>32475</v>
      </c>
      <c r="N3335" s="3" t="s">
        <v>655</v>
      </c>
      <c r="P3335" s="3" t="s">
        <v>64</v>
      </c>
      <c r="Q3335" s="2" t="s">
        <v>32476</v>
      </c>
      <c r="R3335" s="3" t="s">
        <v>32039</v>
      </c>
      <c r="S3335" s="4">
        <v>14</v>
      </c>
      <c r="T3335" s="4">
        <v>14</v>
      </c>
      <c r="U3335" s="5" t="s">
        <v>1375</v>
      </c>
      <c r="V3335" s="5" t="s">
        <v>1375</v>
      </c>
      <c r="W3335" s="5" t="s">
        <v>67</v>
      </c>
      <c r="X3335" s="5" t="s">
        <v>67</v>
      </c>
      <c r="Y3335" s="4">
        <v>157</v>
      </c>
      <c r="Z3335" s="4">
        <v>11</v>
      </c>
      <c r="AA3335" s="4">
        <v>12</v>
      </c>
      <c r="AB3335" s="4">
        <v>1</v>
      </c>
      <c r="AC3335" s="4">
        <v>1</v>
      </c>
      <c r="AD3335" s="4">
        <v>62</v>
      </c>
      <c r="AE3335" s="4">
        <v>62</v>
      </c>
      <c r="AF3335" s="4">
        <v>0</v>
      </c>
      <c r="AG3335" s="4">
        <v>0</v>
      </c>
      <c r="AH3335" s="4">
        <v>59</v>
      </c>
      <c r="AI3335" s="4">
        <v>59</v>
      </c>
      <c r="AJ3335" s="4">
        <v>7</v>
      </c>
      <c r="AK3335" s="4">
        <v>7</v>
      </c>
      <c r="AL3335" s="4">
        <v>37</v>
      </c>
      <c r="AM3335" s="4">
        <v>37</v>
      </c>
      <c r="AN3335" s="4">
        <v>0</v>
      </c>
      <c r="AO3335" s="4">
        <v>0</v>
      </c>
      <c r="AP3335" s="4">
        <v>8</v>
      </c>
      <c r="AQ3335" s="4">
        <v>8</v>
      </c>
      <c r="AR3335" s="3" t="s">
        <v>62</v>
      </c>
      <c r="AS3335" s="3" t="s">
        <v>62</v>
      </c>
      <c r="AT3335" s="3" t="s">
        <v>62</v>
      </c>
      <c r="AV3335" s="6" t="str">
        <f>HYPERLINK("http://mcgill.on.worldcat.org/oclc/62161349","Catalog Record")</f>
        <v>Catalog Record</v>
      </c>
      <c r="AW3335" s="6" t="str">
        <f>HYPERLINK("http://www.worldcat.org/oclc/62161349","WorldCat Record")</f>
        <v>WorldCat Record</v>
      </c>
      <c r="AX3335" s="3" t="s">
        <v>32477</v>
      </c>
      <c r="AY3335" s="3" t="s">
        <v>32478</v>
      </c>
      <c r="AZ3335" s="3" t="s">
        <v>32479</v>
      </c>
      <c r="BA3335" s="3" t="s">
        <v>32479</v>
      </c>
      <c r="BB3335" s="3" t="s">
        <v>32480</v>
      </c>
      <c r="BC3335" s="3" t="s">
        <v>102</v>
      </c>
      <c r="BD3335" s="3" t="s">
        <v>231</v>
      </c>
      <c r="BE3335" s="3" t="s">
        <v>32481</v>
      </c>
      <c r="BF3335" s="3" t="s">
        <v>32480</v>
      </c>
      <c r="BG3335" s="3" t="s">
        <v>32482</v>
      </c>
    </row>
    <row r="3336" spans="1:59" ht="116" x14ac:dyDescent="0.35">
      <c r="A3336" s="2" t="s">
        <v>89</v>
      </c>
      <c r="B3336" s="2" t="s">
        <v>3312</v>
      </c>
      <c r="C3336" s="2" t="s">
        <v>32483</v>
      </c>
      <c r="D3336" s="2" t="s">
        <v>32484</v>
      </c>
      <c r="E3336" s="2" t="s">
        <v>32485</v>
      </c>
      <c r="G3336" s="3" t="s">
        <v>62</v>
      </c>
      <c r="I3336" s="3" t="s">
        <v>62</v>
      </c>
      <c r="J3336" s="3" t="s">
        <v>62</v>
      </c>
      <c r="K3336" s="3" t="s">
        <v>63</v>
      </c>
      <c r="L3336" s="2" t="s">
        <v>32486</v>
      </c>
      <c r="M3336" s="2" t="s">
        <v>32487</v>
      </c>
      <c r="N3336" s="3" t="s">
        <v>524</v>
      </c>
      <c r="O3336" s="2" t="s">
        <v>1674</v>
      </c>
      <c r="P3336" s="3" t="s">
        <v>1675</v>
      </c>
      <c r="Q3336" s="2" t="s">
        <v>32488</v>
      </c>
      <c r="R3336" s="3" t="s">
        <v>32039</v>
      </c>
      <c r="S3336" s="4">
        <v>1</v>
      </c>
      <c r="T3336" s="4">
        <v>1</v>
      </c>
      <c r="U3336" s="5" t="s">
        <v>1337</v>
      </c>
      <c r="V3336" s="5" t="s">
        <v>1337</v>
      </c>
      <c r="W3336" s="5" t="s">
        <v>67</v>
      </c>
      <c r="X3336" s="5" t="s">
        <v>67</v>
      </c>
      <c r="Y3336" s="4">
        <v>27</v>
      </c>
      <c r="Z3336" s="4">
        <v>4</v>
      </c>
      <c r="AA3336" s="4">
        <v>4</v>
      </c>
      <c r="AB3336" s="4">
        <v>1</v>
      </c>
      <c r="AC3336" s="4">
        <v>1</v>
      </c>
      <c r="AD3336" s="4">
        <v>11</v>
      </c>
      <c r="AE3336" s="4">
        <v>11</v>
      </c>
      <c r="AF3336" s="4">
        <v>0</v>
      </c>
      <c r="AG3336" s="4">
        <v>0</v>
      </c>
      <c r="AH3336" s="4">
        <v>11</v>
      </c>
      <c r="AI3336" s="4">
        <v>11</v>
      </c>
      <c r="AJ3336" s="4">
        <v>1</v>
      </c>
      <c r="AK3336" s="4">
        <v>1</v>
      </c>
      <c r="AL3336" s="4">
        <v>10</v>
      </c>
      <c r="AM3336" s="4">
        <v>10</v>
      </c>
      <c r="AN3336" s="4">
        <v>0</v>
      </c>
      <c r="AO3336" s="4">
        <v>0</v>
      </c>
      <c r="AP3336" s="4">
        <v>1</v>
      </c>
      <c r="AQ3336" s="4">
        <v>1</v>
      </c>
      <c r="AR3336" s="3" t="s">
        <v>62</v>
      </c>
      <c r="AS3336" s="3" t="s">
        <v>62</v>
      </c>
      <c r="AT3336" s="3" t="s">
        <v>61</v>
      </c>
      <c r="AU3336" s="6" t="str">
        <f>HYPERLINK("http://catalog.hathitrust.org/Record/006238590","HathiTrust Record")</f>
        <v>HathiTrust Record</v>
      </c>
      <c r="AV3336" s="6" t="str">
        <f>HYPERLINK("http://mcgill.on.worldcat.org/oclc/33458736","Catalog Record")</f>
        <v>Catalog Record</v>
      </c>
      <c r="AW3336" s="6" t="str">
        <f>HYPERLINK("http://www.worldcat.org/oclc/33458736","WorldCat Record")</f>
        <v>WorldCat Record</v>
      </c>
      <c r="AX3336" s="3" t="s">
        <v>32489</v>
      </c>
      <c r="AY3336" s="3" t="s">
        <v>32490</v>
      </c>
      <c r="AZ3336" s="3" t="s">
        <v>32491</v>
      </c>
      <c r="BA3336" s="3" t="s">
        <v>32491</v>
      </c>
      <c r="BB3336" s="3" t="s">
        <v>32492</v>
      </c>
      <c r="BC3336" s="3" t="s">
        <v>102</v>
      </c>
      <c r="BD3336" s="3" t="s">
        <v>68</v>
      </c>
      <c r="BE3336" s="3" t="s">
        <v>32493</v>
      </c>
      <c r="BF3336" s="3" t="s">
        <v>32492</v>
      </c>
      <c r="BG3336" s="3" t="s">
        <v>32494</v>
      </c>
    </row>
    <row r="3337" spans="1:59" ht="58" x14ac:dyDescent="0.35">
      <c r="A3337" s="2" t="s">
        <v>89</v>
      </c>
      <c r="B3337" s="2" t="s">
        <v>90</v>
      </c>
      <c r="C3337" s="2" t="s">
        <v>32495</v>
      </c>
      <c r="D3337" s="2" t="s">
        <v>32496</v>
      </c>
      <c r="E3337" s="2" t="s">
        <v>32497</v>
      </c>
      <c r="G3337" s="3" t="s">
        <v>62</v>
      </c>
      <c r="I3337" s="3" t="s">
        <v>61</v>
      </c>
      <c r="J3337" s="3" t="s">
        <v>61</v>
      </c>
      <c r="K3337" s="3" t="s">
        <v>63</v>
      </c>
      <c r="L3337" s="2" t="s">
        <v>4803</v>
      </c>
      <c r="M3337" s="2" t="s">
        <v>32498</v>
      </c>
      <c r="N3337" s="3" t="s">
        <v>13197</v>
      </c>
      <c r="P3337" s="3" t="s">
        <v>64</v>
      </c>
      <c r="Q3337" s="2" t="s">
        <v>32499</v>
      </c>
      <c r="R3337" s="3" t="s">
        <v>32039</v>
      </c>
      <c r="S3337" s="4">
        <v>4</v>
      </c>
      <c r="T3337" s="4">
        <v>9</v>
      </c>
      <c r="U3337" s="5" t="s">
        <v>11453</v>
      </c>
      <c r="V3337" s="5" t="s">
        <v>11453</v>
      </c>
      <c r="W3337" s="5" t="s">
        <v>67</v>
      </c>
      <c r="X3337" s="5" t="s">
        <v>1338</v>
      </c>
      <c r="Y3337" s="4">
        <v>332</v>
      </c>
      <c r="Z3337" s="4">
        <v>20</v>
      </c>
      <c r="AA3337" s="4">
        <v>47</v>
      </c>
      <c r="AB3337" s="4">
        <v>2</v>
      </c>
      <c r="AC3337" s="4">
        <v>5</v>
      </c>
      <c r="AD3337" s="4">
        <v>65</v>
      </c>
      <c r="AE3337" s="4">
        <v>121</v>
      </c>
      <c r="AF3337" s="4">
        <v>1</v>
      </c>
      <c r="AG3337" s="4">
        <v>3</v>
      </c>
      <c r="AH3337" s="4">
        <v>55</v>
      </c>
      <c r="AI3337" s="4">
        <v>96</v>
      </c>
      <c r="AJ3337" s="4">
        <v>12</v>
      </c>
      <c r="AK3337" s="4">
        <v>22</v>
      </c>
      <c r="AL3337" s="4">
        <v>36</v>
      </c>
      <c r="AM3337" s="4">
        <v>53</v>
      </c>
      <c r="AN3337" s="4">
        <v>0</v>
      </c>
      <c r="AO3337" s="4">
        <v>5</v>
      </c>
      <c r="AP3337" s="4">
        <v>14</v>
      </c>
      <c r="AQ3337" s="4">
        <v>30</v>
      </c>
      <c r="AR3337" s="3" t="s">
        <v>62</v>
      </c>
      <c r="AS3337" s="3" t="s">
        <v>61</v>
      </c>
      <c r="AT3337" s="3" t="s">
        <v>62</v>
      </c>
      <c r="AU3337" s="6" t="str">
        <f>HYPERLINK("http://catalog.hathitrust.org/Record/001486619","HathiTrust Record")</f>
        <v>HathiTrust Record</v>
      </c>
      <c r="AV3337" s="6" t="str">
        <f>HYPERLINK("http://mcgill.on.worldcat.org/oclc/1015901","Catalog Record")</f>
        <v>Catalog Record</v>
      </c>
      <c r="AW3337" s="6" t="str">
        <f>HYPERLINK("http://www.worldcat.org/oclc/1015901","WorldCat Record")</f>
        <v>WorldCat Record</v>
      </c>
      <c r="AX3337" s="3" t="s">
        <v>32500</v>
      </c>
      <c r="AY3337" s="3" t="s">
        <v>32501</v>
      </c>
      <c r="AZ3337" s="3" t="s">
        <v>32502</v>
      </c>
      <c r="BA3337" s="3" t="s">
        <v>32502</v>
      </c>
      <c r="BB3337" s="3" t="s">
        <v>32503</v>
      </c>
      <c r="BC3337" s="3" t="s">
        <v>102</v>
      </c>
      <c r="BD3337" s="3" t="s">
        <v>68</v>
      </c>
      <c r="BF3337" s="3" t="s">
        <v>32503</v>
      </c>
      <c r="BG3337" s="3" t="s">
        <v>32504</v>
      </c>
    </row>
    <row r="3338" spans="1:59" ht="58" x14ac:dyDescent="0.35">
      <c r="A3338" s="2" t="s">
        <v>89</v>
      </c>
      <c r="B3338" s="2" t="s">
        <v>90</v>
      </c>
      <c r="C3338" s="2" t="s">
        <v>32505</v>
      </c>
      <c r="D3338" s="2" t="s">
        <v>32506</v>
      </c>
      <c r="E3338" s="2" t="s">
        <v>32507</v>
      </c>
      <c r="F3338" s="3" t="s">
        <v>2233</v>
      </c>
      <c r="G3338" s="3" t="s">
        <v>61</v>
      </c>
      <c r="I3338" s="3" t="s">
        <v>62</v>
      </c>
      <c r="J3338" s="3" t="s">
        <v>62</v>
      </c>
      <c r="K3338" s="3" t="s">
        <v>63</v>
      </c>
      <c r="M3338" s="2" t="s">
        <v>32508</v>
      </c>
      <c r="N3338" s="3" t="s">
        <v>1038</v>
      </c>
      <c r="P3338" s="3" t="s">
        <v>85</v>
      </c>
      <c r="Q3338" s="2" t="s">
        <v>32509</v>
      </c>
      <c r="R3338" s="3" t="s">
        <v>32039</v>
      </c>
      <c r="S3338" s="4">
        <v>2</v>
      </c>
      <c r="T3338" s="4">
        <v>4</v>
      </c>
      <c r="U3338" s="5" t="s">
        <v>30470</v>
      </c>
      <c r="V3338" s="5" t="s">
        <v>30470</v>
      </c>
      <c r="W3338" s="5" t="s">
        <v>67</v>
      </c>
      <c r="X3338" s="5" t="s">
        <v>67</v>
      </c>
      <c r="Y3338" s="4">
        <v>30</v>
      </c>
      <c r="Z3338" s="4">
        <v>4</v>
      </c>
      <c r="AA3338" s="4">
        <v>9</v>
      </c>
      <c r="AB3338" s="4">
        <v>1</v>
      </c>
      <c r="AC3338" s="4">
        <v>5</v>
      </c>
      <c r="AD3338" s="4">
        <v>16</v>
      </c>
      <c r="AE3338" s="4">
        <v>20</v>
      </c>
      <c r="AF3338" s="4">
        <v>0</v>
      </c>
      <c r="AG3338" s="4">
        <v>3</v>
      </c>
      <c r="AH3338" s="4">
        <v>15</v>
      </c>
      <c r="AI3338" s="4">
        <v>17</v>
      </c>
      <c r="AJ3338" s="4">
        <v>1</v>
      </c>
      <c r="AK3338" s="4">
        <v>5</v>
      </c>
      <c r="AL3338" s="4">
        <v>12</v>
      </c>
      <c r="AM3338" s="4">
        <v>12</v>
      </c>
      <c r="AN3338" s="4">
        <v>0</v>
      </c>
      <c r="AO3338" s="4">
        <v>0</v>
      </c>
      <c r="AP3338" s="4">
        <v>1</v>
      </c>
      <c r="AQ3338" s="4">
        <v>4</v>
      </c>
      <c r="AR3338" s="3" t="s">
        <v>62</v>
      </c>
      <c r="AS3338" s="3" t="s">
        <v>62</v>
      </c>
      <c r="AT3338" s="3" t="s">
        <v>62</v>
      </c>
      <c r="AV3338" s="6" t="str">
        <f>HYPERLINK("http://mcgill.on.worldcat.org/oclc/953450008","Catalog Record")</f>
        <v>Catalog Record</v>
      </c>
      <c r="AW3338" s="6" t="str">
        <f>HYPERLINK("http://www.worldcat.org/oclc/953450008","WorldCat Record")</f>
        <v>WorldCat Record</v>
      </c>
      <c r="AX3338" s="3" t="s">
        <v>32510</v>
      </c>
      <c r="AY3338" s="3" t="s">
        <v>32511</v>
      </c>
      <c r="AZ3338" s="3" t="s">
        <v>32512</v>
      </c>
      <c r="BA3338" s="3" t="s">
        <v>32512</v>
      </c>
      <c r="BB3338" s="3" t="s">
        <v>32513</v>
      </c>
      <c r="BC3338" s="3" t="s">
        <v>102</v>
      </c>
      <c r="BD3338" s="3" t="s">
        <v>68</v>
      </c>
      <c r="BE3338" s="3" t="s">
        <v>32514</v>
      </c>
      <c r="BF3338" s="3" t="s">
        <v>32513</v>
      </c>
      <c r="BG3338" s="3" t="s">
        <v>32515</v>
      </c>
    </row>
    <row r="3339" spans="1:59" ht="58" x14ac:dyDescent="0.35">
      <c r="A3339" s="2" t="s">
        <v>89</v>
      </c>
      <c r="B3339" s="2" t="s">
        <v>90</v>
      </c>
      <c r="C3339" s="2" t="s">
        <v>32505</v>
      </c>
      <c r="D3339" s="2" t="s">
        <v>32506</v>
      </c>
      <c r="E3339" s="2" t="s">
        <v>32507</v>
      </c>
      <c r="F3339" s="3" t="s">
        <v>2217</v>
      </c>
      <c r="G3339" s="3" t="s">
        <v>61</v>
      </c>
      <c r="I3339" s="3" t="s">
        <v>62</v>
      </c>
      <c r="J3339" s="3" t="s">
        <v>62</v>
      </c>
      <c r="K3339" s="3" t="s">
        <v>63</v>
      </c>
      <c r="M3339" s="2" t="s">
        <v>32508</v>
      </c>
      <c r="N3339" s="3" t="s">
        <v>1038</v>
      </c>
      <c r="P3339" s="3" t="s">
        <v>85</v>
      </c>
      <c r="Q3339" s="2" t="s">
        <v>32509</v>
      </c>
      <c r="R3339" s="3" t="s">
        <v>32039</v>
      </c>
      <c r="S3339" s="4">
        <v>2</v>
      </c>
      <c r="T3339" s="4">
        <v>4</v>
      </c>
      <c r="U3339" s="5" t="s">
        <v>30470</v>
      </c>
      <c r="V3339" s="5" t="s">
        <v>30470</v>
      </c>
      <c r="W3339" s="5" t="s">
        <v>67</v>
      </c>
      <c r="X3339" s="5" t="s">
        <v>67</v>
      </c>
      <c r="Y3339" s="4">
        <v>30</v>
      </c>
      <c r="Z3339" s="4">
        <v>4</v>
      </c>
      <c r="AA3339" s="4">
        <v>9</v>
      </c>
      <c r="AB3339" s="4">
        <v>1</v>
      </c>
      <c r="AC3339" s="4">
        <v>5</v>
      </c>
      <c r="AD3339" s="4">
        <v>16</v>
      </c>
      <c r="AE3339" s="4">
        <v>20</v>
      </c>
      <c r="AF3339" s="4">
        <v>0</v>
      </c>
      <c r="AG3339" s="4">
        <v>3</v>
      </c>
      <c r="AH3339" s="4">
        <v>15</v>
      </c>
      <c r="AI3339" s="4">
        <v>17</v>
      </c>
      <c r="AJ3339" s="4">
        <v>1</v>
      </c>
      <c r="AK3339" s="4">
        <v>5</v>
      </c>
      <c r="AL3339" s="4">
        <v>12</v>
      </c>
      <c r="AM3339" s="4">
        <v>12</v>
      </c>
      <c r="AN3339" s="4">
        <v>0</v>
      </c>
      <c r="AO3339" s="4">
        <v>0</v>
      </c>
      <c r="AP3339" s="4">
        <v>1</v>
      </c>
      <c r="AQ3339" s="4">
        <v>4</v>
      </c>
      <c r="AR3339" s="3" t="s">
        <v>62</v>
      </c>
      <c r="AS3339" s="3" t="s">
        <v>62</v>
      </c>
      <c r="AT3339" s="3" t="s">
        <v>62</v>
      </c>
      <c r="AV3339" s="6" t="str">
        <f>HYPERLINK("http://mcgill.on.worldcat.org/oclc/953450008","Catalog Record")</f>
        <v>Catalog Record</v>
      </c>
      <c r="AW3339" s="6" t="str">
        <f>HYPERLINK("http://www.worldcat.org/oclc/953450008","WorldCat Record")</f>
        <v>WorldCat Record</v>
      </c>
      <c r="AX3339" s="3" t="s">
        <v>32510</v>
      </c>
      <c r="AY3339" s="3" t="s">
        <v>32511</v>
      </c>
      <c r="AZ3339" s="3" t="s">
        <v>32512</v>
      </c>
      <c r="BA3339" s="3" t="s">
        <v>32512</v>
      </c>
      <c r="BB3339" s="3" t="s">
        <v>32516</v>
      </c>
      <c r="BC3339" s="3" t="s">
        <v>102</v>
      </c>
      <c r="BD3339" s="3" t="s">
        <v>68</v>
      </c>
      <c r="BE3339" s="3" t="s">
        <v>32514</v>
      </c>
      <c r="BF3339" s="3" t="s">
        <v>32516</v>
      </c>
      <c r="BG3339" s="3" t="s">
        <v>32517</v>
      </c>
    </row>
    <row r="3340" spans="1:59" ht="58" x14ac:dyDescent="0.35">
      <c r="A3340" s="2" t="s">
        <v>89</v>
      </c>
      <c r="B3340" s="2" t="s">
        <v>90</v>
      </c>
      <c r="C3340" s="2" t="s">
        <v>32518</v>
      </c>
      <c r="D3340" s="2" t="s">
        <v>32519</v>
      </c>
      <c r="E3340" s="2" t="s">
        <v>32520</v>
      </c>
      <c r="G3340" s="3" t="s">
        <v>62</v>
      </c>
      <c r="I3340" s="3" t="s">
        <v>62</v>
      </c>
      <c r="J3340" s="3" t="s">
        <v>61</v>
      </c>
      <c r="K3340" s="3" t="s">
        <v>63</v>
      </c>
      <c r="L3340" s="2" t="s">
        <v>32521</v>
      </c>
      <c r="M3340" s="2" t="s">
        <v>12807</v>
      </c>
      <c r="N3340" s="3" t="s">
        <v>698</v>
      </c>
      <c r="O3340" s="2" t="s">
        <v>2986</v>
      </c>
      <c r="P3340" s="3" t="s">
        <v>64</v>
      </c>
      <c r="R3340" s="3" t="s">
        <v>32039</v>
      </c>
      <c r="S3340" s="4">
        <v>1</v>
      </c>
      <c r="T3340" s="4">
        <v>1</v>
      </c>
      <c r="U3340" s="5" t="s">
        <v>11453</v>
      </c>
      <c r="V3340" s="5" t="s">
        <v>11453</v>
      </c>
      <c r="W3340" s="5" t="s">
        <v>67</v>
      </c>
      <c r="X3340" s="5" t="s">
        <v>67</v>
      </c>
      <c r="Y3340" s="4">
        <v>111</v>
      </c>
      <c r="Z3340" s="4">
        <v>6</v>
      </c>
      <c r="AA3340" s="4">
        <v>104</v>
      </c>
      <c r="AB3340" s="4">
        <v>1</v>
      </c>
      <c r="AC3340" s="4">
        <v>17</v>
      </c>
      <c r="AD3340" s="4">
        <v>35</v>
      </c>
      <c r="AE3340" s="4">
        <v>136</v>
      </c>
      <c r="AF3340" s="4">
        <v>0</v>
      </c>
      <c r="AG3340" s="4">
        <v>8</v>
      </c>
      <c r="AH3340" s="4">
        <v>29</v>
      </c>
      <c r="AI3340" s="4">
        <v>95</v>
      </c>
      <c r="AJ3340" s="4">
        <v>2</v>
      </c>
      <c r="AK3340" s="4">
        <v>23</v>
      </c>
      <c r="AL3340" s="4">
        <v>21</v>
      </c>
      <c r="AM3340" s="4">
        <v>49</v>
      </c>
      <c r="AN3340" s="4">
        <v>0</v>
      </c>
      <c r="AO3340" s="4">
        <v>0</v>
      </c>
      <c r="AP3340" s="4">
        <v>5</v>
      </c>
      <c r="AQ3340" s="4">
        <v>48</v>
      </c>
      <c r="AR3340" s="3" t="s">
        <v>62</v>
      </c>
      <c r="AS3340" s="3" t="s">
        <v>62</v>
      </c>
      <c r="AT3340" s="3" t="s">
        <v>62</v>
      </c>
      <c r="AV3340" s="6" t="str">
        <f>HYPERLINK("http://mcgill.on.worldcat.org/oclc/799794646","Catalog Record")</f>
        <v>Catalog Record</v>
      </c>
      <c r="AW3340" s="6" t="str">
        <f>HYPERLINK("http://www.worldcat.org/oclc/799794646","WorldCat Record")</f>
        <v>WorldCat Record</v>
      </c>
      <c r="AX3340" s="3" t="s">
        <v>32522</v>
      </c>
      <c r="AY3340" s="3" t="s">
        <v>32523</v>
      </c>
      <c r="AZ3340" s="3" t="s">
        <v>32524</v>
      </c>
      <c r="BA3340" s="3" t="s">
        <v>32524</v>
      </c>
      <c r="BB3340" s="3" t="s">
        <v>32525</v>
      </c>
      <c r="BC3340" s="3" t="s">
        <v>102</v>
      </c>
      <c r="BD3340" s="3" t="s">
        <v>68</v>
      </c>
      <c r="BE3340" s="3" t="s">
        <v>32526</v>
      </c>
      <c r="BF3340" s="3" t="s">
        <v>32525</v>
      </c>
      <c r="BG3340" s="3" t="s">
        <v>32527</v>
      </c>
    </row>
    <row r="3341" spans="1:59" ht="101.5" x14ac:dyDescent="0.35">
      <c r="A3341" s="2" t="s">
        <v>89</v>
      </c>
      <c r="B3341" s="2" t="s">
        <v>12301</v>
      </c>
      <c r="C3341" s="2" t="s">
        <v>32528</v>
      </c>
      <c r="D3341" s="2" t="s">
        <v>32529</v>
      </c>
      <c r="E3341" s="2" t="s">
        <v>32530</v>
      </c>
      <c r="G3341" s="3" t="s">
        <v>62</v>
      </c>
      <c r="I3341" s="3" t="s">
        <v>61</v>
      </c>
      <c r="J3341" s="3" t="s">
        <v>61</v>
      </c>
      <c r="K3341" s="3" t="s">
        <v>63</v>
      </c>
      <c r="L3341" s="2" t="s">
        <v>32531</v>
      </c>
      <c r="M3341" s="2" t="s">
        <v>32532</v>
      </c>
      <c r="N3341" s="3" t="s">
        <v>1038</v>
      </c>
      <c r="O3341" s="2" t="s">
        <v>30321</v>
      </c>
      <c r="P3341" s="3" t="s">
        <v>64</v>
      </c>
      <c r="R3341" s="3" t="s">
        <v>32039</v>
      </c>
      <c r="S3341" s="4">
        <v>49</v>
      </c>
      <c r="T3341" s="4">
        <v>367</v>
      </c>
      <c r="U3341" s="5" t="s">
        <v>8626</v>
      </c>
      <c r="V3341" s="5" t="s">
        <v>15935</v>
      </c>
      <c r="W3341" s="5" t="s">
        <v>67</v>
      </c>
      <c r="X3341" s="5" t="s">
        <v>67</v>
      </c>
      <c r="Y3341" s="4">
        <v>4</v>
      </c>
      <c r="Z3341" s="4">
        <v>4</v>
      </c>
      <c r="AA3341" s="4">
        <v>63</v>
      </c>
      <c r="AB3341" s="4">
        <v>1</v>
      </c>
      <c r="AC3341" s="4">
        <v>4</v>
      </c>
      <c r="AD3341" s="4">
        <v>3</v>
      </c>
      <c r="AE3341" s="4">
        <v>92</v>
      </c>
      <c r="AF3341" s="4">
        <v>0</v>
      </c>
      <c r="AG3341" s="4">
        <v>2</v>
      </c>
      <c r="AH3341" s="4">
        <v>2</v>
      </c>
      <c r="AI3341" s="4">
        <v>70</v>
      </c>
      <c r="AJ3341" s="4">
        <v>3</v>
      </c>
      <c r="AK3341" s="4">
        <v>17</v>
      </c>
      <c r="AL3341" s="4">
        <v>0</v>
      </c>
      <c r="AM3341" s="4">
        <v>36</v>
      </c>
      <c r="AN3341" s="4">
        <v>0</v>
      </c>
      <c r="AO3341" s="4">
        <v>5</v>
      </c>
      <c r="AP3341" s="4">
        <v>2</v>
      </c>
      <c r="AQ3341" s="4">
        <v>30</v>
      </c>
      <c r="AR3341" s="3" t="s">
        <v>61</v>
      </c>
      <c r="AS3341" s="3" t="s">
        <v>62</v>
      </c>
      <c r="AT3341" s="3" t="s">
        <v>62</v>
      </c>
      <c r="AV3341" s="6" t="str">
        <f t="shared" ref="AV3341:AV3348" si="50">HYPERLINK("http://mcgill.on.worldcat.org/oclc/958299570","Catalog Record")</f>
        <v>Catalog Record</v>
      </c>
      <c r="AW3341" s="6" t="str">
        <f t="shared" ref="AW3341:AW3348" si="51">HYPERLINK("http://www.worldcat.org/oclc/958299570","WorldCat Record")</f>
        <v>WorldCat Record</v>
      </c>
      <c r="AX3341" s="3" t="s">
        <v>32533</v>
      </c>
      <c r="AY3341" s="3" t="s">
        <v>32534</v>
      </c>
      <c r="AZ3341" s="3" t="s">
        <v>32535</v>
      </c>
      <c r="BA3341" s="3" t="s">
        <v>32535</v>
      </c>
      <c r="BB3341" s="3" t="s">
        <v>32536</v>
      </c>
      <c r="BC3341" s="3" t="s">
        <v>102</v>
      </c>
      <c r="BD3341" s="3" t="s">
        <v>68</v>
      </c>
      <c r="BE3341" s="3" t="s">
        <v>32537</v>
      </c>
      <c r="BF3341" s="3" t="s">
        <v>32536</v>
      </c>
      <c r="BG3341" s="3" t="s">
        <v>32538</v>
      </c>
    </row>
    <row r="3342" spans="1:59" ht="101.5" x14ac:dyDescent="0.35">
      <c r="A3342" s="2" t="s">
        <v>89</v>
      </c>
      <c r="B3342" s="2" t="s">
        <v>12301</v>
      </c>
      <c r="C3342" s="2" t="s">
        <v>32528</v>
      </c>
      <c r="D3342" s="2" t="s">
        <v>32529</v>
      </c>
      <c r="E3342" s="2" t="s">
        <v>32530</v>
      </c>
      <c r="G3342" s="3" t="s">
        <v>62</v>
      </c>
      <c r="I3342" s="3" t="s">
        <v>61</v>
      </c>
      <c r="J3342" s="3" t="s">
        <v>61</v>
      </c>
      <c r="K3342" s="3" t="s">
        <v>63</v>
      </c>
      <c r="L3342" s="2" t="s">
        <v>32531</v>
      </c>
      <c r="M3342" s="2" t="s">
        <v>32532</v>
      </c>
      <c r="N3342" s="3" t="s">
        <v>1038</v>
      </c>
      <c r="O3342" s="2" t="s">
        <v>30321</v>
      </c>
      <c r="P3342" s="3" t="s">
        <v>64</v>
      </c>
      <c r="R3342" s="3" t="s">
        <v>32039</v>
      </c>
      <c r="S3342" s="4">
        <v>53</v>
      </c>
      <c r="T3342" s="4">
        <v>367</v>
      </c>
      <c r="U3342" s="5" t="s">
        <v>642</v>
      </c>
      <c r="V3342" s="5" t="s">
        <v>15935</v>
      </c>
      <c r="W3342" s="5" t="s">
        <v>67</v>
      </c>
      <c r="X3342" s="5" t="s">
        <v>67</v>
      </c>
      <c r="Y3342" s="4">
        <v>4</v>
      </c>
      <c r="Z3342" s="4">
        <v>4</v>
      </c>
      <c r="AA3342" s="4">
        <v>63</v>
      </c>
      <c r="AB3342" s="4">
        <v>1</v>
      </c>
      <c r="AC3342" s="4">
        <v>4</v>
      </c>
      <c r="AD3342" s="4">
        <v>3</v>
      </c>
      <c r="AE3342" s="4">
        <v>92</v>
      </c>
      <c r="AF3342" s="4">
        <v>0</v>
      </c>
      <c r="AG3342" s="4">
        <v>2</v>
      </c>
      <c r="AH3342" s="4">
        <v>2</v>
      </c>
      <c r="AI3342" s="4">
        <v>70</v>
      </c>
      <c r="AJ3342" s="4">
        <v>3</v>
      </c>
      <c r="AK3342" s="4">
        <v>17</v>
      </c>
      <c r="AL3342" s="4">
        <v>0</v>
      </c>
      <c r="AM3342" s="4">
        <v>36</v>
      </c>
      <c r="AN3342" s="4">
        <v>0</v>
      </c>
      <c r="AO3342" s="4">
        <v>5</v>
      </c>
      <c r="AP3342" s="4">
        <v>2</v>
      </c>
      <c r="AQ3342" s="4">
        <v>30</v>
      </c>
      <c r="AR3342" s="3" t="s">
        <v>61</v>
      </c>
      <c r="AS3342" s="3" t="s">
        <v>62</v>
      </c>
      <c r="AT3342" s="3" t="s">
        <v>62</v>
      </c>
      <c r="AV3342" s="6" t="str">
        <f t="shared" si="50"/>
        <v>Catalog Record</v>
      </c>
      <c r="AW3342" s="6" t="str">
        <f t="shared" si="51"/>
        <v>WorldCat Record</v>
      </c>
      <c r="AX3342" s="3" t="s">
        <v>32533</v>
      </c>
      <c r="AY3342" s="3" t="s">
        <v>32534</v>
      </c>
      <c r="AZ3342" s="3" t="s">
        <v>32535</v>
      </c>
      <c r="BA3342" s="3" t="s">
        <v>32535</v>
      </c>
      <c r="BB3342" s="3" t="s">
        <v>32539</v>
      </c>
      <c r="BC3342" s="3" t="s">
        <v>102</v>
      </c>
      <c r="BD3342" s="3" t="s">
        <v>68</v>
      </c>
      <c r="BE3342" s="3" t="s">
        <v>32537</v>
      </c>
      <c r="BF3342" s="3" t="s">
        <v>32539</v>
      </c>
      <c r="BG3342" s="3" t="s">
        <v>32540</v>
      </c>
    </row>
    <row r="3343" spans="1:59" ht="101.5" x14ac:dyDescent="0.35">
      <c r="A3343" s="2" t="s">
        <v>89</v>
      </c>
      <c r="B3343" s="2" t="s">
        <v>12301</v>
      </c>
      <c r="C3343" s="2" t="s">
        <v>32528</v>
      </c>
      <c r="D3343" s="2" t="s">
        <v>32529</v>
      </c>
      <c r="E3343" s="2" t="s">
        <v>32530</v>
      </c>
      <c r="G3343" s="3" t="s">
        <v>62</v>
      </c>
      <c r="I3343" s="3" t="s">
        <v>61</v>
      </c>
      <c r="J3343" s="3" t="s">
        <v>61</v>
      </c>
      <c r="K3343" s="3" t="s">
        <v>63</v>
      </c>
      <c r="L3343" s="2" t="s">
        <v>32531</v>
      </c>
      <c r="M3343" s="2" t="s">
        <v>32532</v>
      </c>
      <c r="N3343" s="3" t="s">
        <v>1038</v>
      </c>
      <c r="O3343" s="2" t="s">
        <v>30321</v>
      </c>
      <c r="P3343" s="3" t="s">
        <v>64</v>
      </c>
      <c r="R3343" s="3" t="s">
        <v>32039</v>
      </c>
      <c r="S3343" s="4">
        <v>41</v>
      </c>
      <c r="T3343" s="4">
        <v>367</v>
      </c>
      <c r="U3343" s="5" t="s">
        <v>10372</v>
      </c>
      <c r="V3343" s="5" t="s">
        <v>15935</v>
      </c>
      <c r="W3343" s="5" t="s">
        <v>67</v>
      </c>
      <c r="X3343" s="5" t="s">
        <v>67</v>
      </c>
      <c r="Y3343" s="4">
        <v>4</v>
      </c>
      <c r="Z3343" s="4">
        <v>4</v>
      </c>
      <c r="AA3343" s="4">
        <v>63</v>
      </c>
      <c r="AB3343" s="4">
        <v>1</v>
      </c>
      <c r="AC3343" s="4">
        <v>4</v>
      </c>
      <c r="AD3343" s="4">
        <v>3</v>
      </c>
      <c r="AE3343" s="4">
        <v>92</v>
      </c>
      <c r="AF3343" s="4">
        <v>0</v>
      </c>
      <c r="AG3343" s="4">
        <v>2</v>
      </c>
      <c r="AH3343" s="4">
        <v>2</v>
      </c>
      <c r="AI3343" s="4">
        <v>70</v>
      </c>
      <c r="AJ3343" s="4">
        <v>3</v>
      </c>
      <c r="AK3343" s="4">
        <v>17</v>
      </c>
      <c r="AL3343" s="4">
        <v>0</v>
      </c>
      <c r="AM3343" s="4">
        <v>36</v>
      </c>
      <c r="AN3343" s="4">
        <v>0</v>
      </c>
      <c r="AO3343" s="4">
        <v>5</v>
      </c>
      <c r="AP3343" s="4">
        <v>2</v>
      </c>
      <c r="AQ3343" s="4">
        <v>30</v>
      </c>
      <c r="AR3343" s="3" t="s">
        <v>61</v>
      </c>
      <c r="AS3343" s="3" t="s">
        <v>62</v>
      </c>
      <c r="AT3343" s="3" t="s">
        <v>62</v>
      </c>
      <c r="AV3343" s="6" t="str">
        <f t="shared" si="50"/>
        <v>Catalog Record</v>
      </c>
      <c r="AW3343" s="6" t="str">
        <f t="shared" si="51"/>
        <v>WorldCat Record</v>
      </c>
      <c r="AX3343" s="3" t="s">
        <v>32533</v>
      </c>
      <c r="AY3343" s="3" t="s">
        <v>32534</v>
      </c>
      <c r="AZ3343" s="3" t="s">
        <v>32535</v>
      </c>
      <c r="BA3343" s="3" t="s">
        <v>32535</v>
      </c>
      <c r="BB3343" s="3" t="s">
        <v>32541</v>
      </c>
      <c r="BC3343" s="3" t="s">
        <v>102</v>
      </c>
      <c r="BD3343" s="3" t="s">
        <v>68</v>
      </c>
      <c r="BE3343" s="3" t="s">
        <v>32537</v>
      </c>
      <c r="BF3343" s="3" t="s">
        <v>32541</v>
      </c>
      <c r="BG3343" s="3" t="s">
        <v>32542</v>
      </c>
    </row>
    <row r="3344" spans="1:59" ht="101.5" x14ac:dyDescent="0.35">
      <c r="A3344" s="2" t="s">
        <v>89</v>
      </c>
      <c r="B3344" s="2" t="s">
        <v>12301</v>
      </c>
      <c r="C3344" s="2" t="s">
        <v>32528</v>
      </c>
      <c r="D3344" s="2" t="s">
        <v>32529</v>
      </c>
      <c r="E3344" s="2" t="s">
        <v>32530</v>
      </c>
      <c r="G3344" s="3" t="s">
        <v>62</v>
      </c>
      <c r="I3344" s="3" t="s">
        <v>61</v>
      </c>
      <c r="J3344" s="3" t="s">
        <v>61</v>
      </c>
      <c r="K3344" s="3" t="s">
        <v>63</v>
      </c>
      <c r="L3344" s="2" t="s">
        <v>32531</v>
      </c>
      <c r="M3344" s="2" t="s">
        <v>32532</v>
      </c>
      <c r="N3344" s="3" t="s">
        <v>1038</v>
      </c>
      <c r="O3344" s="2" t="s">
        <v>30321</v>
      </c>
      <c r="P3344" s="3" t="s">
        <v>64</v>
      </c>
      <c r="R3344" s="3" t="s">
        <v>32039</v>
      </c>
      <c r="S3344" s="4">
        <v>35</v>
      </c>
      <c r="T3344" s="4">
        <v>367</v>
      </c>
      <c r="U3344" s="5" t="s">
        <v>15935</v>
      </c>
      <c r="V3344" s="5" t="s">
        <v>15935</v>
      </c>
      <c r="W3344" s="5" t="s">
        <v>67</v>
      </c>
      <c r="X3344" s="5" t="s">
        <v>67</v>
      </c>
      <c r="Y3344" s="4">
        <v>4</v>
      </c>
      <c r="Z3344" s="4">
        <v>4</v>
      </c>
      <c r="AA3344" s="4">
        <v>63</v>
      </c>
      <c r="AB3344" s="4">
        <v>1</v>
      </c>
      <c r="AC3344" s="4">
        <v>4</v>
      </c>
      <c r="AD3344" s="4">
        <v>3</v>
      </c>
      <c r="AE3344" s="4">
        <v>92</v>
      </c>
      <c r="AF3344" s="4">
        <v>0</v>
      </c>
      <c r="AG3344" s="4">
        <v>2</v>
      </c>
      <c r="AH3344" s="4">
        <v>2</v>
      </c>
      <c r="AI3344" s="4">
        <v>70</v>
      </c>
      <c r="AJ3344" s="4">
        <v>3</v>
      </c>
      <c r="AK3344" s="4">
        <v>17</v>
      </c>
      <c r="AL3344" s="4">
        <v>0</v>
      </c>
      <c r="AM3344" s="4">
        <v>36</v>
      </c>
      <c r="AN3344" s="4">
        <v>0</v>
      </c>
      <c r="AO3344" s="4">
        <v>5</v>
      </c>
      <c r="AP3344" s="4">
        <v>2</v>
      </c>
      <c r="AQ3344" s="4">
        <v>30</v>
      </c>
      <c r="AR3344" s="3" t="s">
        <v>61</v>
      </c>
      <c r="AS3344" s="3" t="s">
        <v>62</v>
      </c>
      <c r="AT3344" s="3" t="s">
        <v>62</v>
      </c>
      <c r="AV3344" s="6" t="str">
        <f t="shared" si="50"/>
        <v>Catalog Record</v>
      </c>
      <c r="AW3344" s="6" t="str">
        <f t="shared" si="51"/>
        <v>WorldCat Record</v>
      </c>
      <c r="AX3344" s="3" t="s">
        <v>32533</v>
      </c>
      <c r="AY3344" s="3" t="s">
        <v>32534</v>
      </c>
      <c r="AZ3344" s="3" t="s">
        <v>32535</v>
      </c>
      <c r="BA3344" s="3" t="s">
        <v>32535</v>
      </c>
      <c r="BB3344" s="3" t="s">
        <v>32543</v>
      </c>
      <c r="BC3344" s="3" t="s">
        <v>102</v>
      </c>
      <c r="BD3344" s="3" t="s">
        <v>68</v>
      </c>
      <c r="BE3344" s="3" t="s">
        <v>32537</v>
      </c>
      <c r="BF3344" s="3" t="s">
        <v>32543</v>
      </c>
      <c r="BG3344" s="3" t="s">
        <v>32544</v>
      </c>
    </row>
    <row r="3345" spans="1:59" ht="101.5" x14ac:dyDescent="0.35">
      <c r="A3345" s="2" t="s">
        <v>89</v>
      </c>
      <c r="B3345" s="2" t="s">
        <v>12301</v>
      </c>
      <c r="C3345" s="2" t="s">
        <v>32528</v>
      </c>
      <c r="D3345" s="2" t="s">
        <v>32529</v>
      </c>
      <c r="E3345" s="2" t="s">
        <v>32530</v>
      </c>
      <c r="G3345" s="3" t="s">
        <v>62</v>
      </c>
      <c r="I3345" s="3" t="s">
        <v>61</v>
      </c>
      <c r="J3345" s="3" t="s">
        <v>61</v>
      </c>
      <c r="K3345" s="3" t="s">
        <v>63</v>
      </c>
      <c r="L3345" s="2" t="s">
        <v>32531</v>
      </c>
      <c r="M3345" s="2" t="s">
        <v>32532</v>
      </c>
      <c r="N3345" s="3" t="s">
        <v>1038</v>
      </c>
      <c r="O3345" s="2" t="s">
        <v>30321</v>
      </c>
      <c r="P3345" s="3" t="s">
        <v>64</v>
      </c>
      <c r="R3345" s="3" t="s">
        <v>32039</v>
      </c>
      <c r="S3345" s="4">
        <v>55</v>
      </c>
      <c r="T3345" s="4">
        <v>367</v>
      </c>
      <c r="U3345" s="5" t="s">
        <v>2307</v>
      </c>
      <c r="V3345" s="5" t="s">
        <v>15935</v>
      </c>
      <c r="W3345" s="5" t="s">
        <v>67</v>
      </c>
      <c r="X3345" s="5" t="s">
        <v>67</v>
      </c>
      <c r="Y3345" s="4">
        <v>4</v>
      </c>
      <c r="Z3345" s="4">
        <v>4</v>
      </c>
      <c r="AA3345" s="4">
        <v>63</v>
      </c>
      <c r="AB3345" s="4">
        <v>1</v>
      </c>
      <c r="AC3345" s="4">
        <v>4</v>
      </c>
      <c r="AD3345" s="4">
        <v>3</v>
      </c>
      <c r="AE3345" s="4">
        <v>92</v>
      </c>
      <c r="AF3345" s="4">
        <v>0</v>
      </c>
      <c r="AG3345" s="4">
        <v>2</v>
      </c>
      <c r="AH3345" s="4">
        <v>2</v>
      </c>
      <c r="AI3345" s="4">
        <v>70</v>
      </c>
      <c r="AJ3345" s="4">
        <v>3</v>
      </c>
      <c r="AK3345" s="4">
        <v>17</v>
      </c>
      <c r="AL3345" s="4">
        <v>0</v>
      </c>
      <c r="AM3345" s="4">
        <v>36</v>
      </c>
      <c r="AN3345" s="4">
        <v>0</v>
      </c>
      <c r="AO3345" s="4">
        <v>5</v>
      </c>
      <c r="AP3345" s="4">
        <v>2</v>
      </c>
      <c r="AQ3345" s="4">
        <v>30</v>
      </c>
      <c r="AR3345" s="3" t="s">
        <v>61</v>
      </c>
      <c r="AS3345" s="3" t="s">
        <v>62</v>
      </c>
      <c r="AT3345" s="3" t="s">
        <v>62</v>
      </c>
      <c r="AV3345" s="6" t="str">
        <f t="shared" si="50"/>
        <v>Catalog Record</v>
      </c>
      <c r="AW3345" s="6" t="str">
        <f t="shared" si="51"/>
        <v>WorldCat Record</v>
      </c>
      <c r="AX3345" s="3" t="s">
        <v>32533</v>
      </c>
      <c r="AY3345" s="3" t="s">
        <v>32534</v>
      </c>
      <c r="AZ3345" s="3" t="s">
        <v>32535</v>
      </c>
      <c r="BA3345" s="3" t="s">
        <v>32535</v>
      </c>
      <c r="BB3345" s="3" t="s">
        <v>32545</v>
      </c>
      <c r="BC3345" s="3" t="s">
        <v>102</v>
      </c>
      <c r="BD3345" s="3" t="s">
        <v>68</v>
      </c>
      <c r="BE3345" s="3" t="s">
        <v>32537</v>
      </c>
      <c r="BF3345" s="3" t="s">
        <v>32545</v>
      </c>
      <c r="BG3345" s="3" t="s">
        <v>32546</v>
      </c>
    </row>
    <row r="3346" spans="1:59" ht="101.5" x14ac:dyDescent="0.35">
      <c r="A3346" s="2" t="s">
        <v>89</v>
      </c>
      <c r="B3346" s="2" t="s">
        <v>12301</v>
      </c>
      <c r="C3346" s="2" t="s">
        <v>32528</v>
      </c>
      <c r="D3346" s="2" t="s">
        <v>32529</v>
      </c>
      <c r="E3346" s="2" t="s">
        <v>32530</v>
      </c>
      <c r="G3346" s="3" t="s">
        <v>62</v>
      </c>
      <c r="I3346" s="3" t="s">
        <v>61</v>
      </c>
      <c r="J3346" s="3" t="s">
        <v>61</v>
      </c>
      <c r="K3346" s="3" t="s">
        <v>63</v>
      </c>
      <c r="L3346" s="2" t="s">
        <v>32531</v>
      </c>
      <c r="M3346" s="2" t="s">
        <v>32532</v>
      </c>
      <c r="N3346" s="3" t="s">
        <v>1038</v>
      </c>
      <c r="O3346" s="2" t="s">
        <v>30321</v>
      </c>
      <c r="P3346" s="3" t="s">
        <v>64</v>
      </c>
      <c r="R3346" s="3" t="s">
        <v>32039</v>
      </c>
      <c r="S3346" s="4">
        <v>38</v>
      </c>
      <c r="T3346" s="4">
        <v>367</v>
      </c>
      <c r="U3346" s="5" t="s">
        <v>2307</v>
      </c>
      <c r="V3346" s="5" t="s">
        <v>15935</v>
      </c>
      <c r="W3346" s="5" t="s">
        <v>67</v>
      </c>
      <c r="X3346" s="5" t="s">
        <v>67</v>
      </c>
      <c r="Y3346" s="4">
        <v>4</v>
      </c>
      <c r="Z3346" s="4">
        <v>4</v>
      </c>
      <c r="AA3346" s="4">
        <v>63</v>
      </c>
      <c r="AB3346" s="4">
        <v>1</v>
      </c>
      <c r="AC3346" s="4">
        <v>4</v>
      </c>
      <c r="AD3346" s="4">
        <v>3</v>
      </c>
      <c r="AE3346" s="4">
        <v>92</v>
      </c>
      <c r="AF3346" s="4">
        <v>0</v>
      </c>
      <c r="AG3346" s="4">
        <v>2</v>
      </c>
      <c r="AH3346" s="4">
        <v>2</v>
      </c>
      <c r="AI3346" s="4">
        <v>70</v>
      </c>
      <c r="AJ3346" s="4">
        <v>3</v>
      </c>
      <c r="AK3346" s="4">
        <v>17</v>
      </c>
      <c r="AL3346" s="4">
        <v>0</v>
      </c>
      <c r="AM3346" s="4">
        <v>36</v>
      </c>
      <c r="AN3346" s="4">
        <v>0</v>
      </c>
      <c r="AO3346" s="4">
        <v>5</v>
      </c>
      <c r="AP3346" s="4">
        <v>2</v>
      </c>
      <c r="AQ3346" s="4">
        <v>30</v>
      </c>
      <c r="AR3346" s="3" t="s">
        <v>61</v>
      </c>
      <c r="AS3346" s="3" t="s">
        <v>62</v>
      </c>
      <c r="AT3346" s="3" t="s">
        <v>62</v>
      </c>
      <c r="AV3346" s="6" t="str">
        <f t="shared" si="50"/>
        <v>Catalog Record</v>
      </c>
      <c r="AW3346" s="6" t="str">
        <f t="shared" si="51"/>
        <v>WorldCat Record</v>
      </c>
      <c r="AX3346" s="3" t="s">
        <v>32533</v>
      </c>
      <c r="AY3346" s="3" t="s">
        <v>32534</v>
      </c>
      <c r="AZ3346" s="3" t="s">
        <v>32535</v>
      </c>
      <c r="BA3346" s="3" t="s">
        <v>32535</v>
      </c>
      <c r="BB3346" s="3" t="s">
        <v>32547</v>
      </c>
      <c r="BC3346" s="3" t="s">
        <v>102</v>
      </c>
      <c r="BD3346" s="3" t="s">
        <v>68</v>
      </c>
      <c r="BE3346" s="3" t="s">
        <v>32537</v>
      </c>
      <c r="BF3346" s="3" t="s">
        <v>32547</v>
      </c>
      <c r="BG3346" s="3" t="s">
        <v>32548</v>
      </c>
    </row>
    <row r="3347" spans="1:59" ht="101.5" x14ac:dyDescent="0.35">
      <c r="A3347" s="2" t="s">
        <v>89</v>
      </c>
      <c r="B3347" s="2" t="s">
        <v>12301</v>
      </c>
      <c r="C3347" s="2" t="s">
        <v>32528</v>
      </c>
      <c r="D3347" s="2" t="s">
        <v>32529</v>
      </c>
      <c r="E3347" s="2" t="s">
        <v>32530</v>
      </c>
      <c r="G3347" s="3" t="s">
        <v>62</v>
      </c>
      <c r="I3347" s="3" t="s">
        <v>61</v>
      </c>
      <c r="J3347" s="3" t="s">
        <v>61</v>
      </c>
      <c r="K3347" s="3" t="s">
        <v>63</v>
      </c>
      <c r="L3347" s="2" t="s">
        <v>32531</v>
      </c>
      <c r="M3347" s="2" t="s">
        <v>32532</v>
      </c>
      <c r="N3347" s="3" t="s">
        <v>1038</v>
      </c>
      <c r="O3347" s="2" t="s">
        <v>30321</v>
      </c>
      <c r="P3347" s="3" t="s">
        <v>64</v>
      </c>
      <c r="R3347" s="3" t="s">
        <v>32039</v>
      </c>
      <c r="S3347" s="4">
        <v>43</v>
      </c>
      <c r="T3347" s="4">
        <v>367</v>
      </c>
      <c r="U3347" s="5" t="s">
        <v>32549</v>
      </c>
      <c r="V3347" s="5" t="s">
        <v>15935</v>
      </c>
      <c r="W3347" s="5" t="s">
        <v>67</v>
      </c>
      <c r="X3347" s="5" t="s">
        <v>67</v>
      </c>
      <c r="Y3347" s="4">
        <v>4</v>
      </c>
      <c r="Z3347" s="4">
        <v>4</v>
      </c>
      <c r="AA3347" s="4">
        <v>63</v>
      </c>
      <c r="AB3347" s="4">
        <v>1</v>
      </c>
      <c r="AC3347" s="4">
        <v>4</v>
      </c>
      <c r="AD3347" s="4">
        <v>3</v>
      </c>
      <c r="AE3347" s="4">
        <v>92</v>
      </c>
      <c r="AF3347" s="4">
        <v>0</v>
      </c>
      <c r="AG3347" s="4">
        <v>2</v>
      </c>
      <c r="AH3347" s="4">
        <v>2</v>
      </c>
      <c r="AI3347" s="4">
        <v>70</v>
      </c>
      <c r="AJ3347" s="4">
        <v>3</v>
      </c>
      <c r="AK3347" s="4">
        <v>17</v>
      </c>
      <c r="AL3347" s="4">
        <v>0</v>
      </c>
      <c r="AM3347" s="4">
        <v>36</v>
      </c>
      <c r="AN3347" s="4">
        <v>0</v>
      </c>
      <c r="AO3347" s="4">
        <v>5</v>
      </c>
      <c r="AP3347" s="4">
        <v>2</v>
      </c>
      <c r="AQ3347" s="4">
        <v>30</v>
      </c>
      <c r="AR3347" s="3" t="s">
        <v>61</v>
      </c>
      <c r="AS3347" s="3" t="s">
        <v>62</v>
      </c>
      <c r="AT3347" s="3" t="s">
        <v>62</v>
      </c>
      <c r="AV3347" s="6" t="str">
        <f t="shared" si="50"/>
        <v>Catalog Record</v>
      </c>
      <c r="AW3347" s="6" t="str">
        <f t="shared" si="51"/>
        <v>WorldCat Record</v>
      </c>
      <c r="AX3347" s="3" t="s">
        <v>32533</v>
      </c>
      <c r="AY3347" s="3" t="s">
        <v>32534</v>
      </c>
      <c r="AZ3347" s="3" t="s">
        <v>32535</v>
      </c>
      <c r="BA3347" s="3" t="s">
        <v>32535</v>
      </c>
      <c r="BB3347" s="3" t="s">
        <v>32550</v>
      </c>
      <c r="BC3347" s="3" t="s">
        <v>102</v>
      </c>
      <c r="BD3347" s="3" t="s">
        <v>68</v>
      </c>
      <c r="BE3347" s="3" t="s">
        <v>32537</v>
      </c>
      <c r="BF3347" s="3" t="s">
        <v>32550</v>
      </c>
      <c r="BG3347" s="3" t="s">
        <v>32551</v>
      </c>
    </row>
    <row r="3348" spans="1:59" ht="101.5" x14ac:dyDescent="0.35">
      <c r="A3348" s="2" t="s">
        <v>89</v>
      </c>
      <c r="B3348" s="2" t="s">
        <v>12301</v>
      </c>
      <c r="C3348" s="2" t="s">
        <v>32528</v>
      </c>
      <c r="D3348" s="2" t="s">
        <v>32529</v>
      </c>
      <c r="E3348" s="2" t="s">
        <v>32530</v>
      </c>
      <c r="G3348" s="3" t="s">
        <v>62</v>
      </c>
      <c r="I3348" s="3" t="s">
        <v>61</v>
      </c>
      <c r="J3348" s="3" t="s">
        <v>61</v>
      </c>
      <c r="K3348" s="3" t="s">
        <v>63</v>
      </c>
      <c r="L3348" s="2" t="s">
        <v>32531</v>
      </c>
      <c r="M3348" s="2" t="s">
        <v>32532</v>
      </c>
      <c r="N3348" s="3" t="s">
        <v>1038</v>
      </c>
      <c r="O3348" s="2" t="s">
        <v>30321</v>
      </c>
      <c r="P3348" s="3" t="s">
        <v>64</v>
      </c>
      <c r="R3348" s="3" t="s">
        <v>32039</v>
      </c>
      <c r="S3348" s="4">
        <v>53</v>
      </c>
      <c r="T3348" s="4">
        <v>367</v>
      </c>
      <c r="U3348" s="5" t="s">
        <v>15871</v>
      </c>
      <c r="V3348" s="5" t="s">
        <v>15935</v>
      </c>
      <c r="W3348" s="5" t="s">
        <v>67</v>
      </c>
      <c r="X3348" s="5" t="s">
        <v>67</v>
      </c>
      <c r="Y3348" s="4">
        <v>4</v>
      </c>
      <c r="Z3348" s="4">
        <v>4</v>
      </c>
      <c r="AA3348" s="4">
        <v>63</v>
      </c>
      <c r="AB3348" s="4">
        <v>1</v>
      </c>
      <c r="AC3348" s="4">
        <v>4</v>
      </c>
      <c r="AD3348" s="4">
        <v>3</v>
      </c>
      <c r="AE3348" s="4">
        <v>92</v>
      </c>
      <c r="AF3348" s="4">
        <v>0</v>
      </c>
      <c r="AG3348" s="4">
        <v>2</v>
      </c>
      <c r="AH3348" s="4">
        <v>2</v>
      </c>
      <c r="AI3348" s="4">
        <v>70</v>
      </c>
      <c r="AJ3348" s="4">
        <v>3</v>
      </c>
      <c r="AK3348" s="4">
        <v>17</v>
      </c>
      <c r="AL3348" s="4">
        <v>0</v>
      </c>
      <c r="AM3348" s="4">
        <v>36</v>
      </c>
      <c r="AN3348" s="4">
        <v>0</v>
      </c>
      <c r="AO3348" s="4">
        <v>5</v>
      </c>
      <c r="AP3348" s="4">
        <v>2</v>
      </c>
      <c r="AQ3348" s="4">
        <v>30</v>
      </c>
      <c r="AR3348" s="3" t="s">
        <v>61</v>
      </c>
      <c r="AS3348" s="3" t="s">
        <v>62</v>
      </c>
      <c r="AT3348" s="3" t="s">
        <v>62</v>
      </c>
      <c r="AV3348" s="6" t="str">
        <f t="shared" si="50"/>
        <v>Catalog Record</v>
      </c>
      <c r="AW3348" s="6" t="str">
        <f t="shared" si="51"/>
        <v>WorldCat Record</v>
      </c>
      <c r="AX3348" s="3" t="s">
        <v>32533</v>
      </c>
      <c r="AY3348" s="3" t="s">
        <v>32534</v>
      </c>
      <c r="AZ3348" s="3" t="s">
        <v>32535</v>
      </c>
      <c r="BA3348" s="3" t="s">
        <v>32535</v>
      </c>
      <c r="BB3348" s="3" t="s">
        <v>32552</v>
      </c>
      <c r="BC3348" s="3" t="s">
        <v>102</v>
      </c>
      <c r="BD3348" s="3" t="s">
        <v>68</v>
      </c>
      <c r="BE3348" s="3" t="s">
        <v>32537</v>
      </c>
      <c r="BF3348" s="3" t="s">
        <v>32552</v>
      </c>
      <c r="BG3348" s="3" t="s">
        <v>32553</v>
      </c>
    </row>
    <row r="3349" spans="1:59" ht="116" x14ac:dyDescent="0.35">
      <c r="A3349" s="2" t="s">
        <v>89</v>
      </c>
      <c r="B3349" s="2" t="s">
        <v>6121</v>
      </c>
      <c r="C3349" s="2" t="s">
        <v>32554</v>
      </c>
      <c r="D3349" s="2" t="s">
        <v>32555</v>
      </c>
      <c r="E3349" s="2" t="s">
        <v>32556</v>
      </c>
      <c r="F3349" s="3" t="s">
        <v>14825</v>
      </c>
      <c r="G3349" s="3" t="s">
        <v>61</v>
      </c>
      <c r="I3349" s="3" t="s">
        <v>62</v>
      </c>
      <c r="J3349" s="3" t="s">
        <v>62</v>
      </c>
      <c r="K3349" s="3" t="s">
        <v>63</v>
      </c>
      <c r="M3349" s="2" t="s">
        <v>32557</v>
      </c>
      <c r="N3349" s="3" t="s">
        <v>1905</v>
      </c>
      <c r="O3349" s="2" t="s">
        <v>32558</v>
      </c>
      <c r="P3349" s="3" t="s">
        <v>64</v>
      </c>
      <c r="R3349" s="3" t="s">
        <v>32039</v>
      </c>
      <c r="S3349" s="4">
        <v>0</v>
      </c>
      <c r="T3349" s="4">
        <v>71</v>
      </c>
      <c r="V3349" s="5" t="s">
        <v>32559</v>
      </c>
      <c r="W3349" s="5" t="s">
        <v>67</v>
      </c>
      <c r="X3349" s="5" t="s">
        <v>67</v>
      </c>
      <c r="Y3349" s="4">
        <v>17</v>
      </c>
      <c r="Z3349" s="4">
        <v>16</v>
      </c>
      <c r="AA3349" s="4">
        <v>18</v>
      </c>
      <c r="AB3349" s="4">
        <v>1</v>
      </c>
      <c r="AC3349" s="4">
        <v>1</v>
      </c>
      <c r="AD3349" s="4">
        <v>7</v>
      </c>
      <c r="AE3349" s="4">
        <v>9</v>
      </c>
      <c r="AF3349" s="4">
        <v>0</v>
      </c>
      <c r="AG3349" s="4">
        <v>0</v>
      </c>
      <c r="AH3349" s="4">
        <v>2</v>
      </c>
      <c r="AI3349" s="4">
        <v>2</v>
      </c>
      <c r="AJ3349" s="4">
        <v>4</v>
      </c>
      <c r="AK3349" s="4">
        <v>5</v>
      </c>
      <c r="AL3349" s="4">
        <v>0</v>
      </c>
      <c r="AM3349" s="4">
        <v>0</v>
      </c>
      <c r="AN3349" s="4">
        <v>0</v>
      </c>
      <c r="AO3349" s="4">
        <v>0</v>
      </c>
      <c r="AP3349" s="4">
        <v>6</v>
      </c>
      <c r="AQ3349" s="4">
        <v>8</v>
      </c>
      <c r="AR3349" s="3" t="s">
        <v>61</v>
      </c>
      <c r="AS3349" s="3" t="s">
        <v>62</v>
      </c>
      <c r="AT3349" s="3" t="s">
        <v>62</v>
      </c>
      <c r="AV3349" s="6" t="str">
        <f>HYPERLINK("http://mcgill.on.worldcat.org/oclc/16181427","Catalog Record")</f>
        <v>Catalog Record</v>
      </c>
      <c r="AW3349" s="6" t="str">
        <f>HYPERLINK("http://www.worldcat.org/oclc/16181427","WorldCat Record")</f>
        <v>WorldCat Record</v>
      </c>
      <c r="AX3349" s="3" t="s">
        <v>32560</v>
      </c>
      <c r="AY3349" s="3" t="s">
        <v>32561</v>
      </c>
      <c r="AZ3349" s="3" t="s">
        <v>32562</v>
      </c>
      <c r="BA3349" s="3" t="s">
        <v>32562</v>
      </c>
      <c r="BB3349" s="3" t="s">
        <v>32563</v>
      </c>
      <c r="BC3349" s="3" t="s">
        <v>102</v>
      </c>
      <c r="BD3349" s="3" t="s">
        <v>68</v>
      </c>
      <c r="BE3349" s="3" t="s">
        <v>32564</v>
      </c>
      <c r="BF3349" s="3" t="s">
        <v>32563</v>
      </c>
      <c r="BG3349" s="3" t="s">
        <v>32565</v>
      </c>
    </row>
    <row r="3350" spans="1:59" ht="116" x14ac:dyDescent="0.35">
      <c r="A3350" s="2" t="s">
        <v>89</v>
      </c>
      <c r="B3350" s="2" t="s">
        <v>6121</v>
      </c>
      <c r="C3350" s="2" t="s">
        <v>32554</v>
      </c>
      <c r="D3350" s="2" t="s">
        <v>32555</v>
      </c>
      <c r="E3350" s="2" t="s">
        <v>32556</v>
      </c>
      <c r="F3350" s="3" t="s">
        <v>14834</v>
      </c>
      <c r="G3350" s="3" t="s">
        <v>61</v>
      </c>
      <c r="I3350" s="3" t="s">
        <v>62</v>
      </c>
      <c r="J3350" s="3" t="s">
        <v>62</v>
      </c>
      <c r="K3350" s="3" t="s">
        <v>63</v>
      </c>
      <c r="M3350" s="2" t="s">
        <v>32557</v>
      </c>
      <c r="N3350" s="3" t="s">
        <v>1905</v>
      </c>
      <c r="O3350" s="2" t="s">
        <v>32558</v>
      </c>
      <c r="P3350" s="3" t="s">
        <v>64</v>
      </c>
      <c r="R3350" s="3" t="s">
        <v>32039</v>
      </c>
      <c r="S3350" s="4">
        <v>14</v>
      </c>
      <c r="T3350" s="4">
        <v>71</v>
      </c>
      <c r="U3350" s="5" t="s">
        <v>32566</v>
      </c>
      <c r="V3350" s="5" t="s">
        <v>32559</v>
      </c>
      <c r="W3350" s="5" t="s">
        <v>67</v>
      </c>
      <c r="X3350" s="5" t="s">
        <v>67</v>
      </c>
      <c r="Y3350" s="4">
        <v>17</v>
      </c>
      <c r="Z3350" s="4">
        <v>16</v>
      </c>
      <c r="AA3350" s="4">
        <v>18</v>
      </c>
      <c r="AB3350" s="4">
        <v>1</v>
      </c>
      <c r="AC3350" s="4">
        <v>1</v>
      </c>
      <c r="AD3350" s="4">
        <v>7</v>
      </c>
      <c r="AE3350" s="4">
        <v>9</v>
      </c>
      <c r="AF3350" s="4">
        <v>0</v>
      </c>
      <c r="AG3350" s="4">
        <v>0</v>
      </c>
      <c r="AH3350" s="4">
        <v>2</v>
      </c>
      <c r="AI3350" s="4">
        <v>2</v>
      </c>
      <c r="AJ3350" s="4">
        <v>4</v>
      </c>
      <c r="AK3350" s="4">
        <v>5</v>
      </c>
      <c r="AL3350" s="4">
        <v>0</v>
      </c>
      <c r="AM3350" s="4">
        <v>0</v>
      </c>
      <c r="AN3350" s="4">
        <v>0</v>
      </c>
      <c r="AO3350" s="4">
        <v>0</v>
      </c>
      <c r="AP3350" s="4">
        <v>6</v>
      </c>
      <c r="AQ3350" s="4">
        <v>8</v>
      </c>
      <c r="AR3350" s="3" t="s">
        <v>61</v>
      </c>
      <c r="AS3350" s="3" t="s">
        <v>62</v>
      </c>
      <c r="AT3350" s="3" t="s">
        <v>62</v>
      </c>
      <c r="AV3350" s="6" t="str">
        <f>HYPERLINK("http://mcgill.on.worldcat.org/oclc/16181427","Catalog Record")</f>
        <v>Catalog Record</v>
      </c>
      <c r="AW3350" s="6" t="str">
        <f>HYPERLINK("http://www.worldcat.org/oclc/16181427","WorldCat Record")</f>
        <v>WorldCat Record</v>
      </c>
      <c r="AX3350" s="3" t="s">
        <v>32560</v>
      </c>
      <c r="AY3350" s="3" t="s">
        <v>32561</v>
      </c>
      <c r="AZ3350" s="3" t="s">
        <v>32562</v>
      </c>
      <c r="BA3350" s="3" t="s">
        <v>32562</v>
      </c>
      <c r="BB3350" s="3" t="s">
        <v>32567</v>
      </c>
      <c r="BC3350" s="3" t="s">
        <v>102</v>
      </c>
      <c r="BD3350" s="3" t="s">
        <v>68</v>
      </c>
      <c r="BE3350" s="3" t="s">
        <v>32564</v>
      </c>
      <c r="BF3350" s="3" t="s">
        <v>32567</v>
      </c>
      <c r="BG3350" s="3" t="s">
        <v>32568</v>
      </c>
    </row>
    <row r="3351" spans="1:59" ht="87" x14ac:dyDescent="0.35">
      <c r="A3351" s="2" t="s">
        <v>89</v>
      </c>
      <c r="B3351" s="2" t="s">
        <v>11757</v>
      </c>
      <c r="C3351" s="2" t="s">
        <v>32554</v>
      </c>
      <c r="D3351" s="2" t="s">
        <v>32555</v>
      </c>
      <c r="E3351" s="2" t="s">
        <v>32556</v>
      </c>
      <c r="F3351" s="3" t="s">
        <v>32569</v>
      </c>
      <c r="G3351" s="3" t="s">
        <v>61</v>
      </c>
      <c r="I3351" s="3" t="s">
        <v>62</v>
      </c>
      <c r="J3351" s="3" t="s">
        <v>62</v>
      </c>
      <c r="K3351" s="3" t="s">
        <v>63</v>
      </c>
      <c r="M3351" s="2" t="s">
        <v>32557</v>
      </c>
      <c r="N3351" s="3" t="s">
        <v>1905</v>
      </c>
      <c r="O3351" s="2" t="s">
        <v>32558</v>
      </c>
      <c r="P3351" s="3" t="s">
        <v>64</v>
      </c>
      <c r="R3351" s="3" t="s">
        <v>32039</v>
      </c>
      <c r="S3351" s="4">
        <v>11</v>
      </c>
      <c r="T3351" s="4">
        <v>71</v>
      </c>
      <c r="U3351" s="5" t="s">
        <v>16902</v>
      </c>
      <c r="V3351" s="5" t="s">
        <v>32559</v>
      </c>
      <c r="W3351" s="5" t="s">
        <v>67</v>
      </c>
      <c r="X3351" s="5" t="s">
        <v>67</v>
      </c>
      <c r="Y3351" s="4">
        <v>17</v>
      </c>
      <c r="Z3351" s="4">
        <v>16</v>
      </c>
      <c r="AA3351" s="4">
        <v>18</v>
      </c>
      <c r="AB3351" s="4">
        <v>1</v>
      </c>
      <c r="AC3351" s="4">
        <v>1</v>
      </c>
      <c r="AD3351" s="4">
        <v>7</v>
      </c>
      <c r="AE3351" s="4">
        <v>9</v>
      </c>
      <c r="AF3351" s="4">
        <v>0</v>
      </c>
      <c r="AG3351" s="4">
        <v>0</v>
      </c>
      <c r="AH3351" s="4">
        <v>2</v>
      </c>
      <c r="AI3351" s="4">
        <v>2</v>
      </c>
      <c r="AJ3351" s="4">
        <v>4</v>
      </c>
      <c r="AK3351" s="4">
        <v>5</v>
      </c>
      <c r="AL3351" s="4">
        <v>0</v>
      </c>
      <c r="AM3351" s="4">
        <v>0</v>
      </c>
      <c r="AN3351" s="4">
        <v>0</v>
      </c>
      <c r="AO3351" s="4">
        <v>0</v>
      </c>
      <c r="AP3351" s="4">
        <v>6</v>
      </c>
      <c r="AQ3351" s="4">
        <v>8</v>
      </c>
      <c r="AR3351" s="3" t="s">
        <v>61</v>
      </c>
      <c r="AS3351" s="3" t="s">
        <v>62</v>
      </c>
      <c r="AT3351" s="3" t="s">
        <v>62</v>
      </c>
      <c r="AV3351" s="6" t="str">
        <f>HYPERLINK("http://mcgill.on.worldcat.org/oclc/16181427","Catalog Record")</f>
        <v>Catalog Record</v>
      </c>
      <c r="AW3351" s="6" t="str">
        <f>HYPERLINK("http://www.worldcat.org/oclc/16181427","WorldCat Record")</f>
        <v>WorldCat Record</v>
      </c>
      <c r="AX3351" s="3" t="s">
        <v>32560</v>
      </c>
      <c r="AY3351" s="3" t="s">
        <v>32561</v>
      </c>
      <c r="AZ3351" s="3" t="s">
        <v>32562</v>
      </c>
      <c r="BA3351" s="3" t="s">
        <v>32562</v>
      </c>
      <c r="BB3351" s="3" t="s">
        <v>32570</v>
      </c>
      <c r="BC3351" s="3" t="s">
        <v>102</v>
      </c>
      <c r="BD3351" s="3" t="s">
        <v>68</v>
      </c>
      <c r="BE3351" s="3" t="s">
        <v>32564</v>
      </c>
      <c r="BF3351" s="3" t="s">
        <v>32570</v>
      </c>
      <c r="BG3351" s="3" t="s">
        <v>32571</v>
      </c>
    </row>
    <row r="3352" spans="1:59" ht="116" x14ac:dyDescent="0.35">
      <c r="A3352" s="2" t="s">
        <v>89</v>
      </c>
      <c r="B3352" s="2" t="s">
        <v>6121</v>
      </c>
      <c r="C3352" s="2" t="s">
        <v>32554</v>
      </c>
      <c r="D3352" s="2" t="s">
        <v>32555</v>
      </c>
      <c r="E3352" s="2" t="s">
        <v>32556</v>
      </c>
      <c r="F3352" s="3" t="s">
        <v>32572</v>
      </c>
      <c r="G3352" s="3" t="s">
        <v>61</v>
      </c>
      <c r="I3352" s="3" t="s">
        <v>62</v>
      </c>
      <c r="J3352" s="3" t="s">
        <v>62</v>
      </c>
      <c r="K3352" s="3" t="s">
        <v>63</v>
      </c>
      <c r="M3352" s="2" t="s">
        <v>32557</v>
      </c>
      <c r="N3352" s="3" t="s">
        <v>1905</v>
      </c>
      <c r="O3352" s="2" t="s">
        <v>32558</v>
      </c>
      <c r="P3352" s="3" t="s">
        <v>64</v>
      </c>
      <c r="R3352" s="3" t="s">
        <v>32039</v>
      </c>
      <c r="S3352" s="4">
        <v>18</v>
      </c>
      <c r="T3352" s="4">
        <v>71</v>
      </c>
      <c r="U3352" s="5" t="s">
        <v>32559</v>
      </c>
      <c r="V3352" s="5" t="s">
        <v>32559</v>
      </c>
      <c r="W3352" s="5" t="s">
        <v>67</v>
      </c>
      <c r="X3352" s="5" t="s">
        <v>67</v>
      </c>
      <c r="Y3352" s="4">
        <v>17</v>
      </c>
      <c r="Z3352" s="4">
        <v>16</v>
      </c>
      <c r="AA3352" s="4">
        <v>18</v>
      </c>
      <c r="AB3352" s="4">
        <v>1</v>
      </c>
      <c r="AC3352" s="4">
        <v>1</v>
      </c>
      <c r="AD3352" s="4">
        <v>7</v>
      </c>
      <c r="AE3352" s="4">
        <v>9</v>
      </c>
      <c r="AF3352" s="4">
        <v>0</v>
      </c>
      <c r="AG3352" s="4">
        <v>0</v>
      </c>
      <c r="AH3352" s="4">
        <v>2</v>
      </c>
      <c r="AI3352" s="4">
        <v>2</v>
      </c>
      <c r="AJ3352" s="4">
        <v>4</v>
      </c>
      <c r="AK3352" s="4">
        <v>5</v>
      </c>
      <c r="AL3352" s="4">
        <v>0</v>
      </c>
      <c r="AM3352" s="4">
        <v>0</v>
      </c>
      <c r="AN3352" s="4">
        <v>0</v>
      </c>
      <c r="AO3352" s="4">
        <v>0</v>
      </c>
      <c r="AP3352" s="4">
        <v>6</v>
      </c>
      <c r="AQ3352" s="4">
        <v>8</v>
      </c>
      <c r="AR3352" s="3" t="s">
        <v>61</v>
      </c>
      <c r="AS3352" s="3" t="s">
        <v>62</v>
      </c>
      <c r="AT3352" s="3" t="s">
        <v>62</v>
      </c>
      <c r="AV3352" s="6" t="str">
        <f>HYPERLINK("http://mcgill.on.worldcat.org/oclc/16181427","Catalog Record")</f>
        <v>Catalog Record</v>
      </c>
      <c r="AW3352" s="6" t="str">
        <f>HYPERLINK("http://www.worldcat.org/oclc/16181427","WorldCat Record")</f>
        <v>WorldCat Record</v>
      </c>
      <c r="AX3352" s="3" t="s">
        <v>32560</v>
      </c>
      <c r="AY3352" s="3" t="s">
        <v>32561</v>
      </c>
      <c r="AZ3352" s="3" t="s">
        <v>32562</v>
      </c>
      <c r="BA3352" s="3" t="s">
        <v>32562</v>
      </c>
      <c r="BB3352" s="3" t="s">
        <v>32573</v>
      </c>
      <c r="BC3352" s="3" t="s">
        <v>102</v>
      </c>
      <c r="BD3352" s="3" t="s">
        <v>68</v>
      </c>
      <c r="BE3352" s="3" t="s">
        <v>32564</v>
      </c>
      <c r="BF3352" s="3" t="s">
        <v>32573</v>
      </c>
      <c r="BG3352" s="3" t="s">
        <v>32574</v>
      </c>
    </row>
    <row r="3353" spans="1:59" ht="116" x14ac:dyDescent="0.35">
      <c r="A3353" s="2" t="s">
        <v>89</v>
      </c>
      <c r="B3353" s="2" t="s">
        <v>6121</v>
      </c>
      <c r="C3353" s="2" t="s">
        <v>32554</v>
      </c>
      <c r="D3353" s="2" t="s">
        <v>32555</v>
      </c>
      <c r="E3353" s="2" t="s">
        <v>32556</v>
      </c>
      <c r="F3353" s="3" t="s">
        <v>32575</v>
      </c>
      <c r="G3353" s="3" t="s">
        <v>61</v>
      </c>
      <c r="I3353" s="3" t="s">
        <v>62</v>
      </c>
      <c r="J3353" s="3" t="s">
        <v>62</v>
      </c>
      <c r="K3353" s="3" t="s">
        <v>63</v>
      </c>
      <c r="M3353" s="2" t="s">
        <v>32557</v>
      </c>
      <c r="N3353" s="3" t="s">
        <v>1905</v>
      </c>
      <c r="O3353" s="2" t="s">
        <v>32558</v>
      </c>
      <c r="P3353" s="3" t="s">
        <v>64</v>
      </c>
      <c r="R3353" s="3" t="s">
        <v>32039</v>
      </c>
      <c r="S3353" s="4">
        <v>28</v>
      </c>
      <c r="T3353" s="4">
        <v>71</v>
      </c>
      <c r="U3353" s="5" t="s">
        <v>32576</v>
      </c>
      <c r="V3353" s="5" t="s">
        <v>32559</v>
      </c>
      <c r="W3353" s="5" t="s">
        <v>67</v>
      </c>
      <c r="X3353" s="5" t="s">
        <v>67</v>
      </c>
      <c r="Y3353" s="4">
        <v>17</v>
      </c>
      <c r="Z3353" s="4">
        <v>16</v>
      </c>
      <c r="AA3353" s="4">
        <v>18</v>
      </c>
      <c r="AB3353" s="4">
        <v>1</v>
      </c>
      <c r="AC3353" s="4">
        <v>1</v>
      </c>
      <c r="AD3353" s="4">
        <v>7</v>
      </c>
      <c r="AE3353" s="4">
        <v>9</v>
      </c>
      <c r="AF3353" s="4">
        <v>0</v>
      </c>
      <c r="AG3353" s="4">
        <v>0</v>
      </c>
      <c r="AH3353" s="4">
        <v>2</v>
      </c>
      <c r="AI3353" s="4">
        <v>2</v>
      </c>
      <c r="AJ3353" s="4">
        <v>4</v>
      </c>
      <c r="AK3353" s="4">
        <v>5</v>
      </c>
      <c r="AL3353" s="4">
        <v>0</v>
      </c>
      <c r="AM3353" s="4">
        <v>0</v>
      </c>
      <c r="AN3353" s="4">
        <v>0</v>
      </c>
      <c r="AO3353" s="4">
        <v>0</v>
      </c>
      <c r="AP3353" s="4">
        <v>6</v>
      </c>
      <c r="AQ3353" s="4">
        <v>8</v>
      </c>
      <c r="AR3353" s="3" t="s">
        <v>61</v>
      </c>
      <c r="AS3353" s="3" t="s">
        <v>62</v>
      </c>
      <c r="AT3353" s="3" t="s">
        <v>62</v>
      </c>
      <c r="AV3353" s="6" t="str">
        <f>HYPERLINK("http://mcgill.on.worldcat.org/oclc/16181427","Catalog Record")</f>
        <v>Catalog Record</v>
      </c>
      <c r="AW3353" s="6" t="str">
        <f>HYPERLINK("http://www.worldcat.org/oclc/16181427","WorldCat Record")</f>
        <v>WorldCat Record</v>
      </c>
      <c r="AX3353" s="3" t="s">
        <v>32560</v>
      </c>
      <c r="AY3353" s="3" t="s">
        <v>32561</v>
      </c>
      <c r="AZ3353" s="3" t="s">
        <v>32562</v>
      </c>
      <c r="BA3353" s="3" t="s">
        <v>32562</v>
      </c>
      <c r="BB3353" s="3" t="s">
        <v>32577</v>
      </c>
      <c r="BC3353" s="3" t="s">
        <v>102</v>
      </c>
      <c r="BD3353" s="3" t="s">
        <v>68</v>
      </c>
      <c r="BE3353" s="3" t="s">
        <v>32564</v>
      </c>
      <c r="BF3353" s="3" t="s">
        <v>32577</v>
      </c>
      <c r="BG3353" s="3" t="s">
        <v>32578</v>
      </c>
    </row>
    <row r="3354" spans="1:59" ht="58" x14ac:dyDescent="0.35">
      <c r="A3354" s="2" t="s">
        <v>89</v>
      </c>
      <c r="B3354" s="2" t="s">
        <v>90</v>
      </c>
      <c r="C3354" s="2" t="s">
        <v>32579</v>
      </c>
      <c r="D3354" s="2" t="s">
        <v>32580</v>
      </c>
      <c r="E3354" s="2" t="s">
        <v>32581</v>
      </c>
      <c r="G3354" s="3" t="s">
        <v>62</v>
      </c>
      <c r="I3354" s="3" t="s">
        <v>62</v>
      </c>
      <c r="J3354" s="3" t="s">
        <v>62</v>
      </c>
      <c r="K3354" s="3" t="s">
        <v>63</v>
      </c>
      <c r="L3354" s="2" t="s">
        <v>32582</v>
      </c>
      <c r="M3354" s="2" t="s">
        <v>32583</v>
      </c>
      <c r="N3354" s="3" t="s">
        <v>1455</v>
      </c>
      <c r="P3354" s="3" t="s">
        <v>64</v>
      </c>
      <c r="R3354" s="3" t="s">
        <v>32039</v>
      </c>
      <c r="S3354" s="4">
        <v>2</v>
      </c>
      <c r="T3354" s="4">
        <v>2</v>
      </c>
      <c r="U3354" s="5" t="s">
        <v>9836</v>
      </c>
      <c r="V3354" s="5" t="s">
        <v>9836</v>
      </c>
      <c r="W3354" s="5" t="s">
        <v>67</v>
      </c>
      <c r="X3354" s="5" t="s">
        <v>67</v>
      </c>
      <c r="Y3354" s="4">
        <v>453</v>
      </c>
      <c r="Z3354" s="4">
        <v>16</v>
      </c>
      <c r="AA3354" s="4">
        <v>18</v>
      </c>
      <c r="AB3354" s="4">
        <v>3</v>
      </c>
      <c r="AC3354" s="4">
        <v>4</v>
      </c>
      <c r="AD3354" s="4">
        <v>75</v>
      </c>
      <c r="AE3354" s="4">
        <v>75</v>
      </c>
      <c r="AF3354" s="4">
        <v>1</v>
      </c>
      <c r="AG3354" s="4">
        <v>1</v>
      </c>
      <c r="AH3354" s="4">
        <v>66</v>
      </c>
      <c r="AI3354" s="4">
        <v>66</v>
      </c>
      <c r="AJ3354" s="4">
        <v>4</v>
      </c>
      <c r="AK3354" s="4">
        <v>4</v>
      </c>
      <c r="AL3354" s="4">
        <v>41</v>
      </c>
      <c r="AM3354" s="4">
        <v>41</v>
      </c>
      <c r="AN3354" s="4">
        <v>0</v>
      </c>
      <c r="AO3354" s="4">
        <v>0</v>
      </c>
      <c r="AP3354" s="4">
        <v>8</v>
      </c>
      <c r="AQ3354" s="4">
        <v>8</v>
      </c>
      <c r="AR3354" s="3" t="s">
        <v>62</v>
      </c>
      <c r="AS3354" s="3" t="s">
        <v>62</v>
      </c>
      <c r="AT3354" s="3" t="s">
        <v>62</v>
      </c>
      <c r="AV3354" s="6" t="str">
        <f>HYPERLINK("http://mcgill.on.worldcat.org/oclc/891615957","Catalog Record")</f>
        <v>Catalog Record</v>
      </c>
      <c r="AW3354" s="6" t="str">
        <f>HYPERLINK("http://www.worldcat.org/oclc/891615957","WorldCat Record")</f>
        <v>WorldCat Record</v>
      </c>
      <c r="AX3354" s="3" t="s">
        <v>32584</v>
      </c>
      <c r="AY3354" s="3" t="s">
        <v>32585</v>
      </c>
      <c r="AZ3354" s="3" t="s">
        <v>32586</v>
      </c>
      <c r="BA3354" s="3" t="s">
        <v>32586</v>
      </c>
      <c r="BB3354" s="3" t="s">
        <v>32587</v>
      </c>
      <c r="BC3354" s="3" t="s">
        <v>102</v>
      </c>
      <c r="BD3354" s="3" t="s">
        <v>68</v>
      </c>
      <c r="BE3354" s="3" t="s">
        <v>32588</v>
      </c>
      <c r="BF3354" s="3" t="s">
        <v>32587</v>
      </c>
      <c r="BG3354" s="3" t="s">
        <v>32589</v>
      </c>
    </row>
    <row r="3355" spans="1:59" ht="58" x14ac:dyDescent="0.35">
      <c r="A3355" s="2" t="s">
        <v>89</v>
      </c>
      <c r="B3355" s="2" t="s">
        <v>90</v>
      </c>
      <c r="C3355" s="2" t="s">
        <v>32590</v>
      </c>
      <c r="D3355" s="2" t="s">
        <v>32591</v>
      </c>
      <c r="E3355" s="2" t="s">
        <v>32592</v>
      </c>
      <c r="G3355" s="3" t="s">
        <v>62</v>
      </c>
      <c r="I3355" s="3" t="s">
        <v>62</v>
      </c>
      <c r="J3355" s="3" t="s">
        <v>62</v>
      </c>
      <c r="K3355" s="3" t="s">
        <v>63</v>
      </c>
      <c r="M3355" s="2" t="s">
        <v>7656</v>
      </c>
      <c r="N3355" s="3" t="s">
        <v>726</v>
      </c>
      <c r="P3355" s="3" t="s">
        <v>64</v>
      </c>
      <c r="Q3355" s="2" t="s">
        <v>32593</v>
      </c>
      <c r="R3355" s="3" t="s">
        <v>32039</v>
      </c>
      <c r="S3355" s="4">
        <v>2</v>
      </c>
      <c r="T3355" s="4">
        <v>2</v>
      </c>
      <c r="U3355" s="5" t="s">
        <v>16766</v>
      </c>
      <c r="V3355" s="5" t="s">
        <v>16766</v>
      </c>
      <c r="W3355" s="5" t="s">
        <v>67</v>
      </c>
      <c r="X3355" s="5" t="s">
        <v>67</v>
      </c>
      <c r="Y3355" s="4">
        <v>57</v>
      </c>
      <c r="Z3355" s="4">
        <v>1</v>
      </c>
      <c r="AA3355" s="4">
        <v>12</v>
      </c>
      <c r="AB3355" s="4">
        <v>1</v>
      </c>
      <c r="AC3355" s="4">
        <v>6</v>
      </c>
      <c r="AD3355" s="4">
        <v>19</v>
      </c>
      <c r="AE3355" s="4">
        <v>39</v>
      </c>
      <c r="AF3355" s="4">
        <v>0</v>
      </c>
      <c r="AG3355" s="4">
        <v>3</v>
      </c>
      <c r="AH3355" s="4">
        <v>18</v>
      </c>
      <c r="AI3355" s="4">
        <v>30</v>
      </c>
      <c r="AJ3355" s="4">
        <v>0</v>
      </c>
      <c r="AK3355" s="4">
        <v>7</v>
      </c>
      <c r="AL3355" s="4">
        <v>14</v>
      </c>
      <c r="AM3355" s="4">
        <v>21</v>
      </c>
      <c r="AN3355" s="4">
        <v>0</v>
      </c>
      <c r="AO3355" s="4">
        <v>0</v>
      </c>
      <c r="AP3355" s="4">
        <v>0</v>
      </c>
      <c r="AQ3355" s="4">
        <v>8</v>
      </c>
      <c r="AR3355" s="3" t="s">
        <v>62</v>
      </c>
      <c r="AS3355" s="3" t="s">
        <v>62</v>
      </c>
      <c r="AT3355" s="3" t="s">
        <v>62</v>
      </c>
      <c r="AV3355" s="6" t="str">
        <f>HYPERLINK("http://mcgill.on.worldcat.org/oclc/973734382","Catalog Record")</f>
        <v>Catalog Record</v>
      </c>
      <c r="AW3355" s="6" t="str">
        <f>HYPERLINK("http://www.worldcat.org/oclc/973734382","WorldCat Record")</f>
        <v>WorldCat Record</v>
      </c>
      <c r="AX3355" s="3" t="s">
        <v>32594</v>
      </c>
      <c r="AY3355" s="3" t="s">
        <v>32595</v>
      </c>
      <c r="AZ3355" s="3" t="s">
        <v>32596</v>
      </c>
      <c r="BA3355" s="3" t="s">
        <v>32596</v>
      </c>
      <c r="BB3355" s="3" t="s">
        <v>32597</v>
      </c>
      <c r="BC3355" s="3" t="s">
        <v>102</v>
      </c>
      <c r="BD3355" s="3" t="s">
        <v>68</v>
      </c>
      <c r="BE3355" s="3" t="s">
        <v>32598</v>
      </c>
      <c r="BF3355" s="3" t="s">
        <v>32597</v>
      </c>
      <c r="BG3355" s="3" t="s">
        <v>32599</v>
      </c>
    </row>
    <row r="3356" spans="1:59" ht="58" x14ac:dyDescent="0.35">
      <c r="A3356" s="2" t="s">
        <v>89</v>
      </c>
      <c r="B3356" s="2" t="s">
        <v>90</v>
      </c>
      <c r="C3356" s="2" t="s">
        <v>32600</v>
      </c>
      <c r="D3356" s="2" t="s">
        <v>32601</v>
      </c>
      <c r="E3356" s="2" t="s">
        <v>32602</v>
      </c>
      <c r="F3356" s="3" t="s">
        <v>22459</v>
      </c>
      <c r="G3356" s="3" t="s">
        <v>61</v>
      </c>
      <c r="I3356" s="3" t="s">
        <v>61</v>
      </c>
      <c r="J3356" s="3" t="s">
        <v>61</v>
      </c>
      <c r="K3356" s="3" t="s">
        <v>63</v>
      </c>
      <c r="L3356" s="2" t="s">
        <v>32603</v>
      </c>
      <c r="M3356" s="2" t="s">
        <v>32604</v>
      </c>
      <c r="N3356" s="3" t="s">
        <v>625</v>
      </c>
      <c r="O3356" s="2" t="s">
        <v>17427</v>
      </c>
      <c r="P3356" s="3" t="s">
        <v>64</v>
      </c>
      <c r="R3356" s="3" t="s">
        <v>32039</v>
      </c>
      <c r="S3356" s="4">
        <v>25</v>
      </c>
      <c r="T3356" s="4">
        <v>285</v>
      </c>
      <c r="U3356" s="5" t="s">
        <v>32605</v>
      </c>
      <c r="V3356" s="5" t="s">
        <v>14076</v>
      </c>
      <c r="W3356" s="5" t="s">
        <v>67</v>
      </c>
      <c r="X3356" s="5" t="s">
        <v>67</v>
      </c>
      <c r="Y3356" s="4">
        <v>212</v>
      </c>
      <c r="Z3356" s="4">
        <v>17</v>
      </c>
      <c r="AA3356" s="4">
        <v>76</v>
      </c>
      <c r="AB3356" s="4">
        <v>2</v>
      </c>
      <c r="AC3356" s="4">
        <v>20</v>
      </c>
      <c r="AD3356" s="4">
        <v>40</v>
      </c>
      <c r="AE3356" s="4">
        <v>125</v>
      </c>
      <c r="AF3356" s="4">
        <v>0</v>
      </c>
      <c r="AG3356" s="4">
        <v>8</v>
      </c>
      <c r="AH3356" s="4">
        <v>34</v>
      </c>
      <c r="AI3356" s="4">
        <v>95</v>
      </c>
      <c r="AJ3356" s="4">
        <v>3</v>
      </c>
      <c r="AK3356" s="4">
        <v>23</v>
      </c>
      <c r="AL3356" s="4">
        <v>18</v>
      </c>
      <c r="AM3356" s="4">
        <v>48</v>
      </c>
      <c r="AN3356" s="4">
        <v>0</v>
      </c>
      <c r="AO3356" s="4">
        <v>0</v>
      </c>
      <c r="AP3356" s="4">
        <v>7</v>
      </c>
      <c r="AQ3356" s="4">
        <v>41</v>
      </c>
      <c r="AR3356" s="3" t="s">
        <v>62</v>
      </c>
      <c r="AS3356" s="3" t="s">
        <v>62</v>
      </c>
      <c r="AT3356" s="3" t="s">
        <v>61</v>
      </c>
      <c r="AU3356" s="6" t="str">
        <f>HYPERLINK("http://catalog.hathitrust.org/Record/009930845","HathiTrust Record")</f>
        <v>HathiTrust Record</v>
      </c>
      <c r="AV3356" s="6" t="str">
        <f>HYPERLINK("http://mcgill.on.worldcat.org/oclc/50767995","Catalog Record")</f>
        <v>Catalog Record</v>
      </c>
      <c r="AW3356" s="6" t="str">
        <f>HYPERLINK("http://www.worldcat.org/oclc/50767995","WorldCat Record")</f>
        <v>WorldCat Record</v>
      </c>
      <c r="AX3356" s="3" t="s">
        <v>32606</v>
      </c>
      <c r="AY3356" s="3" t="s">
        <v>32607</v>
      </c>
      <c r="AZ3356" s="3" t="s">
        <v>32608</v>
      </c>
      <c r="BA3356" s="3" t="s">
        <v>32608</v>
      </c>
      <c r="BB3356" s="3" t="s">
        <v>32609</v>
      </c>
      <c r="BC3356" s="3" t="s">
        <v>102</v>
      </c>
      <c r="BD3356" s="3" t="s">
        <v>68</v>
      </c>
      <c r="BE3356" s="3" t="s">
        <v>32610</v>
      </c>
      <c r="BF3356" s="3" t="s">
        <v>32609</v>
      </c>
      <c r="BG3356" s="3" t="s">
        <v>32611</v>
      </c>
    </row>
    <row r="3357" spans="1:59" ht="58" x14ac:dyDescent="0.35">
      <c r="A3357" s="2" t="s">
        <v>89</v>
      </c>
      <c r="B3357" s="2" t="s">
        <v>90</v>
      </c>
      <c r="C3357" s="2" t="s">
        <v>32612</v>
      </c>
      <c r="D3357" s="2" t="s">
        <v>32613</v>
      </c>
      <c r="E3357" s="2" t="s">
        <v>32614</v>
      </c>
      <c r="F3357" s="3" t="s">
        <v>2217</v>
      </c>
      <c r="G3357" s="3" t="s">
        <v>61</v>
      </c>
      <c r="I3357" s="3" t="s">
        <v>62</v>
      </c>
      <c r="J3357" s="3" t="s">
        <v>62</v>
      </c>
      <c r="K3357" s="3" t="s">
        <v>63</v>
      </c>
      <c r="L3357" s="2" t="s">
        <v>32615</v>
      </c>
      <c r="M3357" s="2" t="s">
        <v>32616</v>
      </c>
      <c r="N3357" s="3" t="s">
        <v>2085</v>
      </c>
      <c r="P3357" s="3" t="s">
        <v>64</v>
      </c>
      <c r="R3357" s="3" t="s">
        <v>32039</v>
      </c>
      <c r="S3357" s="4">
        <v>2</v>
      </c>
      <c r="T3357" s="4">
        <v>2</v>
      </c>
      <c r="U3357" s="5" t="s">
        <v>1761</v>
      </c>
      <c r="V3357" s="5" t="s">
        <v>1761</v>
      </c>
      <c r="W3357" s="5" t="s">
        <v>67</v>
      </c>
      <c r="X3357" s="5" t="s">
        <v>67</v>
      </c>
      <c r="Y3357" s="4">
        <v>290</v>
      </c>
      <c r="Z3357" s="4">
        <v>6</v>
      </c>
      <c r="AA3357" s="4">
        <v>9</v>
      </c>
      <c r="AB3357" s="4">
        <v>1</v>
      </c>
      <c r="AC3357" s="4">
        <v>2</v>
      </c>
      <c r="AD3357" s="4">
        <v>53</v>
      </c>
      <c r="AE3357" s="4">
        <v>55</v>
      </c>
      <c r="AF3357" s="4">
        <v>0</v>
      </c>
      <c r="AG3357" s="4">
        <v>0</v>
      </c>
      <c r="AH3357" s="4">
        <v>49</v>
      </c>
      <c r="AI3357" s="4">
        <v>50</v>
      </c>
      <c r="AJ3357" s="4">
        <v>3</v>
      </c>
      <c r="AK3357" s="4">
        <v>5</v>
      </c>
      <c r="AL3357" s="4">
        <v>34</v>
      </c>
      <c r="AM3357" s="4">
        <v>34</v>
      </c>
      <c r="AN3357" s="4">
        <v>0</v>
      </c>
      <c r="AO3357" s="4">
        <v>0</v>
      </c>
      <c r="AP3357" s="4">
        <v>3</v>
      </c>
      <c r="AQ3357" s="4">
        <v>5</v>
      </c>
      <c r="AR3357" s="3" t="s">
        <v>62</v>
      </c>
      <c r="AS3357" s="3" t="s">
        <v>62</v>
      </c>
      <c r="AT3357" s="3" t="s">
        <v>62</v>
      </c>
      <c r="AV3357" s="6" t="str">
        <f>HYPERLINK("http://mcgill.on.worldcat.org/oclc/1026358784","Catalog Record")</f>
        <v>Catalog Record</v>
      </c>
      <c r="AW3357" s="6" t="str">
        <f>HYPERLINK("http://www.worldcat.org/oclc/1026358784","WorldCat Record")</f>
        <v>WorldCat Record</v>
      </c>
      <c r="AX3357" s="3" t="s">
        <v>32617</v>
      </c>
      <c r="AY3357" s="3" t="s">
        <v>32618</v>
      </c>
      <c r="AZ3357" s="3" t="s">
        <v>32619</v>
      </c>
      <c r="BA3357" s="3" t="s">
        <v>32619</v>
      </c>
      <c r="BB3357" s="3" t="s">
        <v>32620</v>
      </c>
      <c r="BC3357" s="3" t="s">
        <v>102</v>
      </c>
      <c r="BD3357" s="3" t="s">
        <v>68</v>
      </c>
      <c r="BE3357" s="3" t="s">
        <v>32621</v>
      </c>
      <c r="BF3357" s="3" t="s">
        <v>32620</v>
      </c>
      <c r="BG3357" s="3" t="s">
        <v>32622</v>
      </c>
    </row>
    <row r="3358" spans="1:59" ht="58" x14ac:dyDescent="0.35">
      <c r="A3358" s="2" t="s">
        <v>89</v>
      </c>
      <c r="B3358" s="2" t="s">
        <v>90</v>
      </c>
      <c r="C3358" s="2" t="s">
        <v>32612</v>
      </c>
      <c r="D3358" s="2" t="s">
        <v>32613</v>
      </c>
      <c r="E3358" s="2" t="s">
        <v>32614</v>
      </c>
      <c r="F3358" s="3" t="s">
        <v>2233</v>
      </c>
      <c r="G3358" s="3" t="s">
        <v>61</v>
      </c>
      <c r="I3358" s="3" t="s">
        <v>62</v>
      </c>
      <c r="J3358" s="3" t="s">
        <v>62</v>
      </c>
      <c r="K3358" s="3" t="s">
        <v>63</v>
      </c>
      <c r="L3358" s="2" t="s">
        <v>32615</v>
      </c>
      <c r="M3358" s="2" t="s">
        <v>32616</v>
      </c>
      <c r="N3358" s="3" t="s">
        <v>2085</v>
      </c>
      <c r="P3358" s="3" t="s">
        <v>64</v>
      </c>
      <c r="R3358" s="3" t="s">
        <v>32039</v>
      </c>
      <c r="S3358" s="4">
        <v>0</v>
      </c>
      <c r="T3358" s="4">
        <v>2</v>
      </c>
      <c r="V3358" s="5" t="s">
        <v>1761</v>
      </c>
      <c r="W3358" s="5" t="s">
        <v>67</v>
      </c>
      <c r="X3358" s="5" t="s">
        <v>67</v>
      </c>
      <c r="Y3358" s="4">
        <v>290</v>
      </c>
      <c r="Z3358" s="4">
        <v>6</v>
      </c>
      <c r="AA3358" s="4">
        <v>9</v>
      </c>
      <c r="AB3358" s="4">
        <v>1</v>
      </c>
      <c r="AC3358" s="4">
        <v>2</v>
      </c>
      <c r="AD3358" s="4">
        <v>53</v>
      </c>
      <c r="AE3358" s="4">
        <v>55</v>
      </c>
      <c r="AF3358" s="4">
        <v>0</v>
      </c>
      <c r="AG3358" s="4">
        <v>0</v>
      </c>
      <c r="AH3358" s="4">
        <v>49</v>
      </c>
      <c r="AI3358" s="4">
        <v>50</v>
      </c>
      <c r="AJ3358" s="4">
        <v>3</v>
      </c>
      <c r="AK3358" s="4">
        <v>5</v>
      </c>
      <c r="AL3358" s="4">
        <v>34</v>
      </c>
      <c r="AM3358" s="4">
        <v>34</v>
      </c>
      <c r="AN3358" s="4">
        <v>0</v>
      </c>
      <c r="AO3358" s="4">
        <v>0</v>
      </c>
      <c r="AP3358" s="4">
        <v>3</v>
      </c>
      <c r="AQ3358" s="4">
        <v>5</v>
      </c>
      <c r="AR3358" s="3" t="s">
        <v>62</v>
      </c>
      <c r="AS3358" s="3" t="s">
        <v>62</v>
      </c>
      <c r="AT3358" s="3" t="s">
        <v>62</v>
      </c>
      <c r="AV3358" s="6" t="str">
        <f>HYPERLINK("http://mcgill.on.worldcat.org/oclc/1026358784","Catalog Record")</f>
        <v>Catalog Record</v>
      </c>
      <c r="AW3358" s="6" t="str">
        <f>HYPERLINK("http://www.worldcat.org/oclc/1026358784","WorldCat Record")</f>
        <v>WorldCat Record</v>
      </c>
      <c r="AX3358" s="3" t="s">
        <v>32617</v>
      </c>
      <c r="AY3358" s="3" t="s">
        <v>32618</v>
      </c>
      <c r="AZ3358" s="3" t="s">
        <v>32619</v>
      </c>
      <c r="BA3358" s="3" t="s">
        <v>32619</v>
      </c>
      <c r="BB3358" s="3" t="s">
        <v>32623</v>
      </c>
      <c r="BC3358" s="3" t="s">
        <v>102</v>
      </c>
      <c r="BD3358" s="3" t="s">
        <v>68</v>
      </c>
      <c r="BE3358" s="3" t="s">
        <v>32621</v>
      </c>
      <c r="BF3358" s="3" t="s">
        <v>32623</v>
      </c>
      <c r="BG3358" s="3" t="s">
        <v>32624</v>
      </c>
    </row>
    <row r="3359" spans="1:59" ht="58" x14ac:dyDescent="0.35">
      <c r="A3359" s="2" t="s">
        <v>89</v>
      </c>
      <c r="B3359" s="2" t="s">
        <v>90</v>
      </c>
      <c r="C3359" s="2" t="s">
        <v>32625</v>
      </c>
      <c r="D3359" s="2" t="s">
        <v>32626</v>
      </c>
      <c r="E3359" s="2" t="s">
        <v>32627</v>
      </c>
      <c r="G3359" s="3" t="s">
        <v>62</v>
      </c>
      <c r="I3359" s="3" t="s">
        <v>62</v>
      </c>
      <c r="J3359" s="3" t="s">
        <v>61</v>
      </c>
      <c r="K3359" s="3" t="s">
        <v>916</v>
      </c>
      <c r="L3359" s="2" t="s">
        <v>32628</v>
      </c>
      <c r="M3359" s="2" t="s">
        <v>32629</v>
      </c>
      <c r="N3359" s="3" t="s">
        <v>32630</v>
      </c>
      <c r="P3359" s="3" t="s">
        <v>64</v>
      </c>
      <c r="R3359" s="3" t="s">
        <v>32039</v>
      </c>
      <c r="S3359" s="4">
        <v>2</v>
      </c>
      <c r="T3359" s="4">
        <v>2</v>
      </c>
      <c r="U3359" s="5" t="s">
        <v>4653</v>
      </c>
      <c r="V3359" s="5" t="s">
        <v>4653</v>
      </c>
      <c r="W3359" s="5" t="s">
        <v>67</v>
      </c>
      <c r="X3359" s="5" t="s">
        <v>67</v>
      </c>
      <c r="Y3359" s="4">
        <v>1</v>
      </c>
      <c r="Z3359" s="4">
        <v>1</v>
      </c>
      <c r="AA3359" s="4">
        <v>13</v>
      </c>
      <c r="AB3359" s="4">
        <v>1</v>
      </c>
      <c r="AC3359" s="4">
        <v>1</v>
      </c>
      <c r="AD3359" s="4">
        <v>0</v>
      </c>
      <c r="AE3359" s="4">
        <v>78</v>
      </c>
      <c r="AF3359" s="4">
        <v>0</v>
      </c>
      <c r="AG3359" s="4">
        <v>0</v>
      </c>
      <c r="AH3359" s="4">
        <v>0</v>
      </c>
      <c r="AI3359" s="4">
        <v>73</v>
      </c>
      <c r="AJ3359" s="4">
        <v>0</v>
      </c>
      <c r="AK3359" s="4">
        <v>5</v>
      </c>
      <c r="AL3359" s="4">
        <v>0</v>
      </c>
      <c r="AM3359" s="4">
        <v>39</v>
      </c>
      <c r="AN3359" s="4">
        <v>0</v>
      </c>
      <c r="AO3359" s="4">
        <v>4</v>
      </c>
      <c r="AP3359" s="4">
        <v>0</v>
      </c>
      <c r="AQ3359" s="4">
        <v>7</v>
      </c>
      <c r="AR3359" s="3" t="s">
        <v>62</v>
      </c>
      <c r="AS3359" s="3" t="s">
        <v>62</v>
      </c>
      <c r="AT3359" s="3" t="s">
        <v>62</v>
      </c>
      <c r="AV3359" s="6" t="str">
        <f>HYPERLINK("http://mcgill.on.worldcat.org/oclc/427527198","Catalog Record")</f>
        <v>Catalog Record</v>
      </c>
      <c r="AW3359" s="6" t="str">
        <f>HYPERLINK("http://www.worldcat.org/oclc/427527198","WorldCat Record")</f>
        <v>WorldCat Record</v>
      </c>
      <c r="AX3359" s="3" t="s">
        <v>32631</v>
      </c>
      <c r="AY3359" s="3" t="s">
        <v>32632</v>
      </c>
      <c r="AZ3359" s="3" t="s">
        <v>32633</v>
      </c>
      <c r="BA3359" s="3" t="s">
        <v>32633</v>
      </c>
      <c r="BB3359" s="3" t="s">
        <v>32634</v>
      </c>
      <c r="BC3359" s="3" t="s">
        <v>102</v>
      </c>
      <c r="BD3359" s="3" t="s">
        <v>68</v>
      </c>
      <c r="BF3359" s="3" t="s">
        <v>32634</v>
      </c>
      <c r="BG3359" s="3" t="s">
        <v>32635</v>
      </c>
    </row>
    <row r="3360" spans="1:59" ht="101.5" x14ac:dyDescent="0.35">
      <c r="A3360" s="2" t="s">
        <v>89</v>
      </c>
      <c r="B3360" s="2" t="s">
        <v>12301</v>
      </c>
      <c r="C3360" s="2" t="s">
        <v>32636</v>
      </c>
      <c r="D3360" s="2" t="s">
        <v>32637</v>
      </c>
      <c r="E3360" s="2" t="s">
        <v>32638</v>
      </c>
      <c r="G3360" s="3" t="s">
        <v>62</v>
      </c>
      <c r="I3360" s="3" t="s">
        <v>61</v>
      </c>
      <c r="J3360" s="3" t="s">
        <v>61</v>
      </c>
      <c r="K3360" s="3" t="s">
        <v>63</v>
      </c>
      <c r="L3360" s="2" t="s">
        <v>32639</v>
      </c>
      <c r="M3360" s="2" t="s">
        <v>32640</v>
      </c>
      <c r="N3360" s="3" t="s">
        <v>1038</v>
      </c>
      <c r="O3360" s="2" t="s">
        <v>32641</v>
      </c>
      <c r="P3360" s="3" t="s">
        <v>64</v>
      </c>
      <c r="R3360" s="3" t="s">
        <v>32039</v>
      </c>
      <c r="S3360" s="4">
        <v>11</v>
      </c>
      <c r="T3360" s="4">
        <v>135</v>
      </c>
      <c r="U3360" s="5" t="s">
        <v>8699</v>
      </c>
      <c r="V3360" s="5" t="s">
        <v>30422</v>
      </c>
      <c r="W3360" s="5" t="s">
        <v>67</v>
      </c>
      <c r="X3360" s="5" t="s">
        <v>67</v>
      </c>
      <c r="Y3360" s="4">
        <v>61</v>
      </c>
      <c r="Z3360" s="4">
        <v>6</v>
      </c>
      <c r="AA3360" s="4">
        <v>110</v>
      </c>
      <c r="AB3360" s="4">
        <v>2</v>
      </c>
      <c r="AC3360" s="4">
        <v>26</v>
      </c>
      <c r="AD3360" s="4">
        <v>12</v>
      </c>
      <c r="AE3360" s="4">
        <v>151</v>
      </c>
      <c r="AF3360" s="4">
        <v>0</v>
      </c>
      <c r="AG3360" s="4">
        <v>9</v>
      </c>
      <c r="AH3360" s="4">
        <v>11</v>
      </c>
      <c r="AI3360" s="4">
        <v>107</v>
      </c>
      <c r="AJ3360" s="4">
        <v>1</v>
      </c>
      <c r="AK3360" s="4">
        <v>28</v>
      </c>
      <c r="AL3360" s="4">
        <v>3</v>
      </c>
      <c r="AM3360" s="4">
        <v>56</v>
      </c>
      <c r="AN3360" s="4">
        <v>0</v>
      </c>
      <c r="AO3360" s="4">
        <v>5</v>
      </c>
      <c r="AP3360" s="4">
        <v>2</v>
      </c>
      <c r="AQ3360" s="4">
        <v>51</v>
      </c>
      <c r="AR3360" s="3" t="s">
        <v>62</v>
      </c>
      <c r="AS3360" s="3" t="s">
        <v>62</v>
      </c>
      <c r="AT3360" s="3" t="s">
        <v>62</v>
      </c>
      <c r="AV3360" s="6" t="str">
        <f t="shared" ref="AV3360:AV3367" si="52">HYPERLINK("http://mcgill.on.worldcat.org/oclc/927438923","Catalog Record")</f>
        <v>Catalog Record</v>
      </c>
      <c r="AW3360" s="6" t="str">
        <f t="shared" ref="AW3360:AW3367" si="53">HYPERLINK("http://www.worldcat.org/oclc/927438923","WorldCat Record")</f>
        <v>WorldCat Record</v>
      </c>
      <c r="AX3360" s="3" t="s">
        <v>32642</v>
      </c>
      <c r="AY3360" s="3" t="s">
        <v>32643</v>
      </c>
      <c r="AZ3360" s="3" t="s">
        <v>32644</v>
      </c>
      <c r="BA3360" s="3" t="s">
        <v>32644</v>
      </c>
      <c r="BB3360" s="3" t="s">
        <v>32645</v>
      </c>
      <c r="BC3360" s="3" t="s">
        <v>102</v>
      </c>
      <c r="BD3360" s="3" t="s">
        <v>68</v>
      </c>
      <c r="BE3360" s="3" t="s">
        <v>32646</v>
      </c>
      <c r="BF3360" s="3" t="s">
        <v>32645</v>
      </c>
      <c r="BG3360" s="3" t="s">
        <v>32647</v>
      </c>
    </row>
    <row r="3361" spans="1:59" ht="101.5" x14ac:dyDescent="0.35">
      <c r="A3361" s="2" t="s">
        <v>89</v>
      </c>
      <c r="B3361" s="2" t="s">
        <v>12301</v>
      </c>
      <c r="C3361" s="2" t="s">
        <v>32636</v>
      </c>
      <c r="D3361" s="2" t="s">
        <v>32637</v>
      </c>
      <c r="E3361" s="2" t="s">
        <v>32638</v>
      </c>
      <c r="G3361" s="3" t="s">
        <v>62</v>
      </c>
      <c r="I3361" s="3" t="s">
        <v>61</v>
      </c>
      <c r="J3361" s="3" t="s">
        <v>61</v>
      </c>
      <c r="K3361" s="3" t="s">
        <v>63</v>
      </c>
      <c r="L3361" s="2" t="s">
        <v>32639</v>
      </c>
      <c r="M3361" s="2" t="s">
        <v>32640</v>
      </c>
      <c r="N3361" s="3" t="s">
        <v>1038</v>
      </c>
      <c r="O3361" s="2" t="s">
        <v>32641</v>
      </c>
      <c r="P3361" s="3" t="s">
        <v>64</v>
      </c>
      <c r="R3361" s="3" t="s">
        <v>32039</v>
      </c>
      <c r="S3361" s="4">
        <v>23</v>
      </c>
      <c r="T3361" s="4">
        <v>135</v>
      </c>
      <c r="U3361" s="5" t="s">
        <v>10070</v>
      </c>
      <c r="V3361" s="5" t="s">
        <v>30422</v>
      </c>
      <c r="W3361" s="5" t="s">
        <v>67</v>
      </c>
      <c r="X3361" s="5" t="s">
        <v>67</v>
      </c>
      <c r="Y3361" s="4">
        <v>61</v>
      </c>
      <c r="Z3361" s="4">
        <v>6</v>
      </c>
      <c r="AA3361" s="4">
        <v>110</v>
      </c>
      <c r="AB3361" s="4">
        <v>2</v>
      </c>
      <c r="AC3361" s="4">
        <v>26</v>
      </c>
      <c r="AD3361" s="4">
        <v>12</v>
      </c>
      <c r="AE3361" s="4">
        <v>151</v>
      </c>
      <c r="AF3361" s="4">
        <v>0</v>
      </c>
      <c r="AG3361" s="4">
        <v>9</v>
      </c>
      <c r="AH3361" s="4">
        <v>11</v>
      </c>
      <c r="AI3361" s="4">
        <v>107</v>
      </c>
      <c r="AJ3361" s="4">
        <v>1</v>
      </c>
      <c r="AK3361" s="4">
        <v>28</v>
      </c>
      <c r="AL3361" s="4">
        <v>3</v>
      </c>
      <c r="AM3361" s="4">
        <v>56</v>
      </c>
      <c r="AN3361" s="4">
        <v>0</v>
      </c>
      <c r="AO3361" s="4">
        <v>5</v>
      </c>
      <c r="AP3361" s="4">
        <v>2</v>
      </c>
      <c r="AQ3361" s="4">
        <v>51</v>
      </c>
      <c r="AR3361" s="3" t="s">
        <v>62</v>
      </c>
      <c r="AS3361" s="3" t="s">
        <v>62</v>
      </c>
      <c r="AT3361" s="3" t="s">
        <v>62</v>
      </c>
      <c r="AV3361" s="6" t="str">
        <f t="shared" si="52"/>
        <v>Catalog Record</v>
      </c>
      <c r="AW3361" s="6" t="str">
        <f t="shared" si="53"/>
        <v>WorldCat Record</v>
      </c>
      <c r="AX3361" s="3" t="s">
        <v>32642</v>
      </c>
      <c r="AY3361" s="3" t="s">
        <v>32643</v>
      </c>
      <c r="AZ3361" s="3" t="s">
        <v>32644</v>
      </c>
      <c r="BA3361" s="3" t="s">
        <v>32644</v>
      </c>
      <c r="BB3361" s="3" t="s">
        <v>32648</v>
      </c>
      <c r="BC3361" s="3" t="s">
        <v>102</v>
      </c>
      <c r="BD3361" s="3" t="s">
        <v>68</v>
      </c>
      <c r="BE3361" s="3" t="s">
        <v>32646</v>
      </c>
      <c r="BF3361" s="3" t="s">
        <v>32648</v>
      </c>
      <c r="BG3361" s="3" t="s">
        <v>32649</v>
      </c>
    </row>
    <row r="3362" spans="1:59" ht="101.5" x14ac:dyDescent="0.35">
      <c r="A3362" s="2" t="s">
        <v>89</v>
      </c>
      <c r="B3362" s="2" t="s">
        <v>12301</v>
      </c>
      <c r="C3362" s="2" t="s">
        <v>32636</v>
      </c>
      <c r="D3362" s="2" t="s">
        <v>32637</v>
      </c>
      <c r="E3362" s="2" t="s">
        <v>32638</v>
      </c>
      <c r="G3362" s="3" t="s">
        <v>62</v>
      </c>
      <c r="I3362" s="3" t="s">
        <v>61</v>
      </c>
      <c r="J3362" s="3" t="s">
        <v>61</v>
      </c>
      <c r="K3362" s="3" t="s">
        <v>63</v>
      </c>
      <c r="L3362" s="2" t="s">
        <v>32639</v>
      </c>
      <c r="M3362" s="2" t="s">
        <v>32640</v>
      </c>
      <c r="N3362" s="3" t="s">
        <v>1038</v>
      </c>
      <c r="O3362" s="2" t="s">
        <v>32641</v>
      </c>
      <c r="P3362" s="3" t="s">
        <v>64</v>
      </c>
      <c r="R3362" s="3" t="s">
        <v>32039</v>
      </c>
      <c r="S3362" s="4">
        <v>10</v>
      </c>
      <c r="T3362" s="4">
        <v>135</v>
      </c>
      <c r="U3362" s="5" t="s">
        <v>10809</v>
      </c>
      <c r="V3362" s="5" t="s">
        <v>30422</v>
      </c>
      <c r="W3362" s="5" t="s">
        <v>67</v>
      </c>
      <c r="X3362" s="5" t="s">
        <v>67</v>
      </c>
      <c r="Y3362" s="4">
        <v>61</v>
      </c>
      <c r="Z3362" s="4">
        <v>6</v>
      </c>
      <c r="AA3362" s="4">
        <v>110</v>
      </c>
      <c r="AB3362" s="4">
        <v>2</v>
      </c>
      <c r="AC3362" s="4">
        <v>26</v>
      </c>
      <c r="AD3362" s="4">
        <v>12</v>
      </c>
      <c r="AE3362" s="4">
        <v>151</v>
      </c>
      <c r="AF3362" s="4">
        <v>0</v>
      </c>
      <c r="AG3362" s="4">
        <v>9</v>
      </c>
      <c r="AH3362" s="4">
        <v>11</v>
      </c>
      <c r="AI3362" s="4">
        <v>107</v>
      </c>
      <c r="AJ3362" s="4">
        <v>1</v>
      </c>
      <c r="AK3362" s="4">
        <v>28</v>
      </c>
      <c r="AL3362" s="4">
        <v>3</v>
      </c>
      <c r="AM3362" s="4">
        <v>56</v>
      </c>
      <c r="AN3362" s="4">
        <v>0</v>
      </c>
      <c r="AO3362" s="4">
        <v>5</v>
      </c>
      <c r="AP3362" s="4">
        <v>2</v>
      </c>
      <c r="AQ3362" s="4">
        <v>51</v>
      </c>
      <c r="AR3362" s="3" t="s">
        <v>62</v>
      </c>
      <c r="AS3362" s="3" t="s">
        <v>62</v>
      </c>
      <c r="AT3362" s="3" t="s">
        <v>62</v>
      </c>
      <c r="AV3362" s="6" t="str">
        <f t="shared" si="52"/>
        <v>Catalog Record</v>
      </c>
      <c r="AW3362" s="6" t="str">
        <f t="shared" si="53"/>
        <v>WorldCat Record</v>
      </c>
      <c r="AX3362" s="3" t="s">
        <v>32642</v>
      </c>
      <c r="AY3362" s="3" t="s">
        <v>32643</v>
      </c>
      <c r="AZ3362" s="3" t="s">
        <v>32644</v>
      </c>
      <c r="BA3362" s="3" t="s">
        <v>32644</v>
      </c>
      <c r="BB3362" s="3" t="s">
        <v>32650</v>
      </c>
      <c r="BC3362" s="3" t="s">
        <v>102</v>
      </c>
      <c r="BD3362" s="3" t="s">
        <v>68</v>
      </c>
      <c r="BE3362" s="3" t="s">
        <v>32646</v>
      </c>
      <c r="BF3362" s="3" t="s">
        <v>32650</v>
      </c>
      <c r="BG3362" s="3" t="s">
        <v>32651</v>
      </c>
    </row>
    <row r="3363" spans="1:59" ht="101.5" x14ac:dyDescent="0.35">
      <c r="A3363" s="2" t="s">
        <v>89</v>
      </c>
      <c r="B3363" s="2" t="s">
        <v>12301</v>
      </c>
      <c r="C3363" s="2" t="s">
        <v>32636</v>
      </c>
      <c r="D3363" s="2" t="s">
        <v>32637</v>
      </c>
      <c r="E3363" s="2" t="s">
        <v>32638</v>
      </c>
      <c r="G3363" s="3" t="s">
        <v>62</v>
      </c>
      <c r="I3363" s="3" t="s">
        <v>61</v>
      </c>
      <c r="J3363" s="3" t="s">
        <v>61</v>
      </c>
      <c r="K3363" s="3" t="s">
        <v>63</v>
      </c>
      <c r="L3363" s="2" t="s">
        <v>32639</v>
      </c>
      <c r="M3363" s="2" t="s">
        <v>32640</v>
      </c>
      <c r="N3363" s="3" t="s">
        <v>1038</v>
      </c>
      <c r="O3363" s="2" t="s">
        <v>32641</v>
      </c>
      <c r="P3363" s="3" t="s">
        <v>64</v>
      </c>
      <c r="R3363" s="3" t="s">
        <v>32039</v>
      </c>
      <c r="S3363" s="4">
        <v>13</v>
      </c>
      <c r="T3363" s="4">
        <v>135</v>
      </c>
      <c r="U3363" s="5" t="s">
        <v>12308</v>
      </c>
      <c r="V3363" s="5" t="s">
        <v>30422</v>
      </c>
      <c r="W3363" s="5" t="s">
        <v>67</v>
      </c>
      <c r="X3363" s="5" t="s">
        <v>67</v>
      </c>
      <c r="Y3363" s="4">
        <v>61</v>
      </c>
      <c r="Z3363" s="4">
        <v>6</v>
      </c>
      <c r="AA3363" s="4">
        <v>110</v>
      </c>
      <c r="AB3363" s="4">
        <v>2</v>
      </c>
      <c r="AC3363" s="4">
        <v>26</v>
      </c>
      <c r="AD3363" s="4">
        <v>12</v>
      </c>
      <c r="AE3363" s="4">
        <v>151</v>
      </c>
      <c r="AF3363" s="4">
        <v>0</v>
      </c>
      <c r="AG3363" s="4">
        <v>9</v>
      </c>
      <c r="AH3363" s="4">
        <v>11</v>
      </c>
      <c r="AI3363" s="4">
        <v>107</v>
      </c>
      <c r="AJ3363" s="4">
        <v>1</v>
      </c>
      <c r="AK3363" s="4">
        <v>28</v>
      </c>
      <c r="AL3363" s="4">
        <v>3</v>
      </c>
      <c r="AM3363" s="4">
        <v>56</v>
      </c>
      <c r="AN3363" s="4">
        <v>0</v>
      </c>
      <c r="AO3363" s="4">
        <v>5</v>
      </c>
      <c r="AP3363" s="4">
        <v>2</v>
      </c>
      <c r="AQ3363" s="4">
        <v>51</v>
      </c>
      <c r="AR3363" s="3" t="s">
        <v>62</v>
      </c>
      <c r="AS3363" s="3" t="s">
        <v>62</v>
      </c>
      <c r="AT3363" s="3" t="s">
        <v>62</v>
      </c>
      <c r="AV3363" s="6" t="str">
        <f t="shared" si="52"/>
        <v>Catalog Record</v>
      </c>
      <c r="AW3363" s="6" t="str">
        <f t="shared" si="53"/>
        <v>WorldCat Record</v>
      </c>
      <c r="AX3363" s="3" t="s">
        <v>32642</v>
      </c>
      <c r="AY3363" s="3" t="s">
        <v>32643</v>
      </c>
      <c r="AZ3363" s="3" t="s">
        <v>32644</v>
      </c>
      <c r="BA3363" s="3" t="s">
        <v>32644</v>
      </c>
      <c r="BB3363" s="3" t="s">
        <v>32652</v>
      </c>
      <c r="BC3363" s="3" t="s">
        <v>102</v>
      </c>
      <c r="BD3363" s="3" t="s">
        <v>68</v>
      </c>
      <c r="BE3363" s="3" t="s">
        <v>32646</v>
      </c>
      <c r="BF3363" s="3" t="s">
        <v>32652</v>
      </c>
      <c r="BG3363" s="3" t="s">
        <v>32653</v>
      </c>
    </row>
    <row r="3364" spans="1:59" ht="101.5" x14ac:dyDescent="0.35">
      <c r="A3364" s="2" t="s">
        <v>89</v>
      </c>
      <c r="B3364" s="2" t="s">
        <v>12301</v>
      </c>
      <c r="C3364" s="2" t="s">
        <v>32636</v>
      </c>
      <c r="D3364" s="2" t="s">
        <v>32637</v>
      </c>
      <c r="E3364" s="2" t="s">
        <v>32638</v>
      </c>
      <c r="G3364" s="3" t="s">
        <v>62</v>
      </c>
      <c r="I3364" s="3" t="s">
        <v>61</v>
      </c>
      <c r="J3364" s="3" t="s">
        <v>61</v>
      </c>
      <c r="K3364" s="3" t="s">
        <v>63</v>
      </c>
      <c r="L3364" s="2" t="s">
        <v>32639</v>
      </c>
      <c r="M3364" s="2" t="s">
        <v>32640</v>
      </c>
      <c r="N3364" s="3" t="s">
        <v>1038</v>
      </c>
      <c r="O3364" s="2" t="s">
        <v>32641</v>
      </c>
      <c r="P3364" s="3" t="s">
        <v>64</v>
      </c>
      <c r="R3364" s="3" t="s">
        <v>32039</v>
      </c>
      <c r="S3364" s="4">
        <v>13</v>
      </c>
      <c r="T3364" s="4">
        <v>135</v>
      </c>
      <c r="U3364" s="5" t="s">
        <v>32654</v>
      </c>
      <c r="V3364" s="5" t="s">
        <v>30422</v>
      </c>
      <c r="W3364" s="5" t="s">
        <v>67</v>
      </c>
      <c r="X3364" s="5" t="s">
        <v>67</v>
      </c>
      <c r="Y3364" s="4">
        <v>61</v>
      </c>
      <c r="Z3364" s="4">
        <v>6</v>
      </c>
      <c r="AA3364" s="4">
        <v>110</v>
      </c>
      <c r="AB3364" s="4">
        <v>2</v>
      </c>
      <c r="AC3364" s="4">
        <v>26</v>
      </c>
      <c r="AD3364" s="4">
        <v>12</v>
      </c>
      <c r="AE3364" s="4">
        <v>151</v>
      </c>
      <c r="AF3364" s="4">
        <v>0</v>
      </c>
      <c r="AG3364" s="4">
        <v>9</v>
      </c>
      <c r="AH3364" s="4">
        <v>11</v>
      </c>
      <c r="AI3364" s="4">
        <v>107</v>
      </c>
      <c r="AJ3364" s="4">
        <v>1</v>
      </c>
      <c r="AK3364" s="4">
        <v>28</v>
      </c>
      <c r="AL3364" s="4">
        <v>3</v>
      </c>
      <c r="AM3364" s="4">
        <v>56</v>
      </c>
      <c r="AN3364" s="4">
        <v>0</v>
      </c>
      <c r="AO3364" s="4">
        <v>5</v>
      </c>
      <c r="AP3364" s="4">
        <v>2</v>
      </c>
      <c r="AQ3364" s="4">
        <v>51</v>
      </c>
      <c r="AR3364" s="3" t="s">
        <v>62</v>
      </c>
      <c r="AS3364" s="3" t="s">
        <v>62</v>
      </c>
      <c r="AT3364" s="3" t="s">
        <v>62</v>
      </c>
      <c r="AV3364" s="6" t="str">
        <f t="shared" si="52"/>
        <v>Catalog Record</v>
      </c>
      <c r="AW3364" s="6" t="str">
        <f t="shared" si="53"/>
        <v>WorldCat Record</v>
      </c>
      <c r="AX3364" s="3" t="s">
        <v>32642</v>
      </c>
      <c r="AY3364" s="3" t="s">
        <v>32643</v>
      </c>
      <c r="AZ3364" s="3" t="s">
        <v>32644</v>
      </c>
      <c r="BA3364" s="3" t="s">
        <v>32644</v>
      </c>
      <c r="BB3364" s="3" t="s">
        <v>32655</v>
      </c>
      <c r="BC3364" s="3" t="s">
        <v>102</v>
      </c>
      <c r="BD3364" s="3" t="s">
        <v>68</v>
      </c>
      <c r="BE3364" s="3" t="s">
        <v>32646</v>
      </c>
      <c r="BF3364" s="3" t="s">
        <v>32655</v>
      </c>
      <c r="BG3364" s="3" t="s">
        <v>32656</v>
      </c>
    </row>
    <row r="3365" spans="1:59" ht="101.5" x14ac:dyDescent="0.35">
      <c r="A3365" s="2" t="s">
        <v>89</v>
      </c>
      <c r="B3365" s="2" t="s">
        <v>12301</v>
      </c>
      <c r="C3365" s="2" t="s">
        <v>32636</v>
      </c>
      <c r="D3365" s="2" t="s">
        <v>32637</v>
      </c>
      <c r="E3365" s="2" t="s">
        <v>32638</v>
      </c>
      <c r="G3365" s="3" t="s">
        <v>62</v>
      </c>
      <c r="I3365" s="3" t="s">
        <v>61</v>
      </c>
      <c r="J3365" s="3" t="s">
        <v>61</v>
      </c>
      <c r="K3365" s="3" t="s">
        <v>63</v>
      </c>
      <c r="L3365" s="2" t="s">
        <v>32639</v>
      </c>
      <c r="M3365" s="2" t="s">
        <v>32640</v>
      </c>
      <c r="N3365" s="3" t="s">
        <v>1038</v>
      </c>
      <c r="O3365" s="2" t="s">
        <v>32641</v>
      </c>
      <c r="P3365" s="3" t="s">
        <v>64</v>
      </c>
      <c r="R3365" s="3" t="s">
        <v>32039</v>
      </c>
      <c r="S3365" s="4">
        <v>22</v>
      </c>
      <c r="T3365" s="4">
        <v>135</v>
      </c>
      <c r="U3365" s="5" t="s">
        <v>20171</v>
      </c>
      <c r="V3365" s="5" t="s">
        <v>30422</v>
      </c>
      <c r="W3365" s="5" t="s">
        <v>67</v>
      </c>
      <c r="X3365" s="5" t="s">
        <v>67</v>
      </c>
      <c r="Y3365" s="4">
        <v>61</v>
      </c>
      <c r="Z3365" s="4">
        <v>6</v>
      </c>
      <c r="AA3365" s="4">
        <v>110</v>
      </c>
      <c r="AB3365" s="4">
        <v>2</v>
      </c>
      <c r="AC3365" s="4">
        <v>26</v>
      </c>
      <c r="AD3365" s="4">
        <v>12</v>
      </c>
      <c r="AE3365" s="4">
        <v>151</v>
      </c>
      <c r="AF3365" s="4">
        <v>0</v>
      </c>
      <c r="AG3365" s="4">
        <v>9</v>
      </c>
      <c r="AH3365" s="4">
        <v>11</v>
      </c>
      <c r="AI3365" s="4">
        <v>107</v>
      </c>
      <c r="AJ3365" s="4">
        <v>1</v>
      </c>
      <c r="AK3365" s="4">
        <v>28</v>
      </c>
      <c r="AL3365" s="4">
        <v>3</v>
      </c>
      <c r="AM3365" s="4">
        <v>56</v>
      </c>
      <c r="AN3365" s="4">
        <v>0</v>
      </c>
      <c r="AO3365" s="4">
        <v>5</v>
      </c>
      <c r="AP3365" s="4">
        <v>2</v>
      </c>
      <c r="AQ3365" s="4">
        <v>51</v>
      </c>
      <c r="AR3365" s="3" t="s">
        <v>62</v>
      </c>
      <c r="AS3365" s="3" t="s">
        <v>62</v>
      </c>
      <c r="AT3365" s="3" t="s">
        <v>62</v>
      </c>
      <c r="AV3365" s="6" t="str">
        <f t="shared" si="52"/>
        <v>Catalog Record</v>
      </c>
      <c r="AW3365" s="6" t="str">
        <f t="shared" si="53"/>
        <v>WorldCat Record</v>
      </c>
      <c r="AX3365" s="3" t="s">
        <v>32642</v>
      </c>
      <c r="AY3365" s="3" t="s">
        <v>32643</v>
      </c>
      <c r="AZ3365" s="3" t="s">
        <v>32644</v>
      </c>
      <c r="BA3365" s="3" t="s">
        <v>32644</v>
      </c>
      <c r="BB3365" s="3" t="s">
        <v>32657</v>
      </c>
      <c r="BC3365" s="3" t="s">
        <v>102</v>
      </c>
      <c r="BD3365" s="3" t="s">
        <v>68</v>
      </c>
      <c r="BE3365" s="3" t="s">
        <v>32646</v>
      </c>
      <c r="BF3365" s="3" t="s">
        <v>32657</v>
      </c>
      <c r="BG3365" s="3" t="s">
        <v>32658</v>
      </c>
    </row>
    <row r="3366" spans="1:59" ht="101.5" x14ac:dyDescent="0.35">
      <c r="A3366" s="2" t="s">
        <v>89</v>
      </c>
      <c r="B3366" s="2" t="s">
        <v>12301</v>
      </c>
      <c r="C3366" s="2" t="s">
        <v>32636</v>
      </c>
      <c r="D3366" s="2" t="s">
        <v>32637</v>
      </c>
      <c r="E3366" s="2" t="s">
        <v>32638</v>
      </c>
      <c r="G3366" s="3" t="s">
        <v>62</v>
      </c>
      <c r="I3366" s="3" t="s">
        <v>61</v>
      </c>
      <c r="J3366" s="3" t="s">
        <v>61</v>
      </c>
      <c r="K3366" s="3" t="s">
        <v>63</v>
      </c>
      <c r="L3366" s="2" t="s">
        <v>32639</v>
      </c>
      <c r="M3366" s="2" t="s">
        <v>32640</v>
      </c>
      <c r="N3366" s="3" t="s">
        <v>1038</v>
      </c>
      <c r="O3366" s="2" t="s">
        <v>32641</v>
      </c>
      <c r="P3366" s="3" t="s">
        <v>64</v>
      </c>
      <c r="R3366" s="3" t="s">
        <v>32039</v>
      </c>
      <c r="S3366" s="4">
        <v>31</v>
      </c>
      <c r="T3366" s="4">
        <v>135</v>
      </c>
      <c r="U3366" s="5" t="s">
        <v>2667</v>
      </c>
      <c r="V3366" s="5" t="s">
        <v>30422</v>
      </c>
      <c r="W3366" s="5" t="s">
        <v>67</v>
      </c>
      <c r="X3366" s="5" t="s">
        <v>67</v>
      </c>
      <c r="Y3366" s="4">
        <v>61</v>
      </c>
      <c r="Z3366" s="4">
        <v>6</v>
      </c>
      <c r="AA3366" s="4">
        <v>110</v>
      </c>
      <c r="AB3366" s="4">
        <v>2</v>
      </c>
      <c r="AC3366" s="4">
        <v>26</v>
      </c>
      <c r="AD3366" s="4">
        <v>12</v>
      </c>
      <c r="AE3366" s="4">
        <v>151</v>
      </c>
      <c r="AF3366" s="4">
        <v>0</v>
      </c>
      <c r="AG3366" s="4">
        <v>9</v>
      </c>
      <c r="AH3366" s="4">
        <v>11</v>
      </c>
      <c r="AI3366" s="4">
        <v>107</v>
      </c>
      <c r="AJ3366" s="4">
        <v>1</v>
      </c>
      <c r="AK3366" s="4">
        <v>28</v>
      </c>
      <c r="AL3366" s="4">
        <v>3</v>
      </c>
      <c r="AM3366" s="4">
        <v>56</v>
      </c>
      <c r="AN3366" s="4">
        <v>0</v>
      </c>
      <c r="AO3366" s="4">
        <v>5</v>
      </c>
      <c r="AP3366" s="4">
        <v>2</v>
      </c>
      <c r="AQ3366" s="4">
        <v>51</v>
      </c>
      <c r="AR3366" s="3" t="s">
        <v>62</v>
      </c>
      <c r="AS3366" s="3" t="s">
        <v>62</v>
      </c>
      <c r="AT3366" s="3" t="s">
        <v>62</v>
      </c>
      <c r="AV3366" s="6" t="str">
        <f t="shared" si="52"/>
        <v>Catalog Record</v>
      </c>
      <c r="AW3366" s="6" t="str">
        <f t="shared" si="53"/>
        <v>WorldCat Record</v>
      </c>
      <c r="AX3366" s="3" t="s">
        <v>32642</v>
      </c>
      <c r="AY3366" s="3" t="s">
        <v>32643</v>
      </c>
      <c r="AZ3366" s="3" t="s">
        <v>32644</v>
      </c>
      <c r="BA3366" s="3" t="s">
        <v>32644</v>
      </c>
      <c r="BB3366" s="3" t="s">
        <v>32659</v>
      </c>
      <c r="BC3366" s="3" t="s">
        <v>102</v>
      </c>
      <c r="BD3366" s="3" t="s">
        <v>68</v>
      </c>
      <c r="BE3366" s="3" t="s">
        <v>32646</v>
      </c>
      <c r="BF3366" s="3" t="s">
        <v>32659</v>
      </c>
      <c r="BG3366" s="3" t="s">
        <v>32660</v>
      </c>
    </row>
    <row r="3367" spans="1:59" ht="101.5" x14ac:dyDescent="0.35">
      <c r="A3367" s="2" t="s">
        <v>89</v>
      </c>
      <c r="B3367" s="2" t="s">
        <v>12301</v>
      </c>
      <c r="C3367" s="2" t="s">
        <v>32636</v>
      </c>
      <c r="D3367" s="2" t="s">
        <v>32637</v>
      </c>
      <c r="E3367" s="2" t="s">
        <v>32638</v>
      </c>
      <c r="G3367" s="3" t="s">
        <v>62</v>
      </c>
      <c r="I3367" s="3" t="s">
        <v>61</v>
      </c>
      <c r="J3367" s="3" t="s">
        <v>61</v>
      </c>
      <c r="K3367" s="3" t="s">
        <v>63</v>
      </c>
      <c r="L3367" s="2" t="s">
        <v>32639</v>
      </c>
      <c r="M3367" s="2" t="s">
        <v>32640</v>
      </c>
      <c r="N3367" s="3" t="s">
        <v>1038</v>
      </c>
      <c r="O3367" s="2" t="s">
        <v>32641</v>
      </c>
      <c r="P3367" s="3" t="s">
        <v>64</v>
      </c>
      <c r="R3367" s="3" t="s">
        <v>32039</v>
      </c>
      <c r="S3367" s="4">
        <v>12</v>
      </c>
      <c r="T3367" s="4">
        <v>135</v>
      </c>
      <c r="U3367" s="5" t="s">
        <v>30422</v>
      </c>
      <c r="V3367" s="5" t="s">
        <v>30422</v>
      </c>
      <c r="W3367" s="5" t="s">
        <v>67</v>
      </c>
      <c r="X3367" s="5" t="s">
        <v>67</v>
      </c>
      <c r="Y3367" s="4">
        <v>61</v>
      </c>
      <c r="Z3367" s="4">
        <v>6</v>
      </c>
      <c r="AA3367" s="4">
        <v>110</v>
      </c>
      <c r="AB3367" s="4">
        <v>2</v>
      </c>
      <c r="AC3367" s="4">
        <v>26</v>
      </c>
      <c r="AD3367" s="4">
        <v>12</v>
      </c>
      <c r="AE3367" s="4">
        <v>151</v>
      </c>
      <c r="AF3367" s="4">
        <v>0</v>
      </c>
      <c r="AG3367" s="4">
        <v>9</v>
      </c>
      <c r="AH3367" s="4">
        <v>11</v>
      </c>
      <c r="AI3367" s="4">
        <v>107</v>
      </c>
      <c r="AJ3367" s="4">
        <v>1</v>
      </c>
      <c r="AK3367" s="4">
        <v>28</v>
      </c>
      <c r="AL3367" s="4">
        <v>3</v>
      </c>
      <c r="AM3367" s="4">
        <v>56</v>
      </c>
      <c r="AN3367" s="4">
        <v>0</v>
      </c>
      <c r="AO3367" s="4">
        <v>5</v>
      </c>
      <c r="AP3367" s="4">
        <v>2</v>
      </c>
      <c r="AQ3367" s="4">
        <v>51</v>
      </c>
      <c r="AR3367" s="3" t="s">
        <v>62</v>
      </c>
      <c r="AS3367" s="3" t="s">
        <v>62</v>
      </c>
      <c r="AT3367" s="3" t="s">
        <v>62</v>
      </c>
      <c r="AV3367" s="6" t="str">
        <f t="shared" si="52"/>
        <v>Catalog Record</v>
      </c>
      <c r="AW3367" s="6" t="str">
        <f t="shared" si="53"/>
        <v>WorldCat Record</v>
      </c>
      <c r="AX3367" s="3" t="s">
        <v>32642</v>
      </c>
      <c r="AY3367" s="3" t="s">
        <v>32643</v>
      </c>
      <c r="AZ3367" s="3" t="s">
        <v>32644</v>
      </c>
      <c r="BA3367" s="3" t="s">
        <v>32644</v>
      </c>
      <c r="BB3367" s="3" t="s">
        <v>32661</v>
      </c>
      <c r="BC3367" s="3" t="s">
        <v>102</v>
      </c>
      <c r="BD3367" s="3" t="s">
        <v>231</v>
      </c>
      <c r="BE3367" s="3" t="s">
        <v>32646</v>
      </c>
      <c r="BF3367" s="3" t="s">
        <v>32661</v>
      </c>
      <c r="BG3367" s="3" t="s">
        <v>32662</v>
      </c>
    </row>
    <row r="3368" spans="1:59" ht="101.5" x14ac:dyDescent="0.35">
      <c r="A3368" s="2" t="s">
        <v>89</v>
      </c>
      <c r="B3368" s="2" t="s">
        <v>12301</v>
      </c>
      <c r="C3368" s="2" t="s">
        <v>32663</v>
      </c>
      <c r="D3368" s="2" t="s">
        <v>32664</v>
      </c>
      <c r="E3368" s="2" t="s">
        <v>32665</v>
      </c>
      <c r="F3368" s="3" t="s">
        <v>21516</v>
      </c>
      <c r="G3368" s="3" t="s">
        <v>62</v>
      </c>
      <c r="I3368" s="3" t="s">
        <v>61</v>
      </c>
      <c r="J3368" s="3" t="s">
        <v>62</v>
      </c>
      <c r="K3368" s="3" t="s">
        <v>63</v>
      </c>
      <c r="L3368" s="2" t="s">
        <v>32639</v>
      </c>
      <c r="M3368" s="2" t="s">
        <v>32666</v>
      </c>
      <c r="N3368" s="3" t="s">
        <v>1038</v>
      </c>
      <c r="P3368" s="3" t="s">
        <v>64</v>
      </c>
      <c r="R3368" s="3" t="s">
        <v>32039</v>
      </c>
      <c r="S3368" s="4">
        <v>16</v>
      </c>
      <c r="T3368" s="4">
        <v>100</v>
      </c>
      <c r="U3368" s="5" t="s">
        <v>32667</v>
      </c>
      <c r="V3368" s="5" t="s">
        <v>30422</v>
      </c>
      <c r="W3368" s="5" t="s">
        <v>67</v>
      </c>
      <c r="X3368" s="5" t="s">
        <v>67</v>
      </c>
      <c r="Y3368" s="4">
        <v>12</v>
      </c>
      <c r="Z3368" s="4">
        <v>1</v>
      </c>
      <c r="AA3368" s="4">
        <v>1</v>
      </c>
      <c r="AB3368" s="4">
        <v>1</v>
      </c>
      <c r="AC3368" s="4">
        <v>1</v>
      </c>
      <c r="AD3368" s="4">
        <v>2</v>
      </c>
      <c r="AE3368" s="4">
        <v>2</v>
      </c>
      <c r="AF3368" s="4">
        <v>0</v>
      </c>
      <c r="AG3368" s="4">
        <v>0</v>
      </c>
      <c r="AH3368" s="4">
        <v>2</v>
      </c>
      <c r="AI3368" s="4">
        <v>2</v>
      </c>
      <c r="AJ3368" s="4">
        <v>0</v>
      </c>
      <c r="AK3368" s="4">
        <v>0</v>
      </c>
      <c r="AL3368" s="4">
        <v>1</v>
      </c>
      <c r="AM3368" s="4">
        <v>1</v>
      </c>
      <c r="AN3368" s="4">
        <v>0</v>
      </c>
      <c r="AO3368" s="4">
        <v>0</v>
      </c>
      <c r="AP3368" s="4">
        <v>0</v>
      </c>
      <c r="AQ3368" s="4">
        <v>0</v>
      </c>
      <c r="AR3368" s="3" t="s">
        <v>62</v>
      </c>
      <c r="AS3368" s="3" t="s">
        <v>62</v>
      </c>
      <c r="AT3368" s="3" t="s">
        <v>62</v>
      </c>
      <c r="AV3368" s="6" t="str">
        <f t="shared" ref="AV3368:AV3375" si="54">HYPERLINK("http://mcgill.on.worldcat.org/oclc/919483898","Catalog Record")</f>
        <v>Catalog Record</v>
      </c>
      <c r="AW3368" s="6" t="str">
        <f t="shared" ref="AW3368:AW3375" si="55">HYPERLINK("http://www.worldcat.org/oclc/919483898","WorldCat Record")</f>
        <v>WorldCat Record</v>
      </c>
      <c r="AX3368" s="3" t="s">
        <v>32668</v>
      </c>
      <c r="AY3368" s="3" t="s">
        <v>32669</v>
      </c>
      <c r="AZ3368" s="3" t="s">
        <v>32670</v>
      </c>
      <c r="BA3368" s="3" t="s">
        <v>32670</v>
      </c>
      <c r="BB3368" s="3" t="s">
        <v>32671</v>
      </c>
      <c r="BC3368" s="3" t="s">
        <v>102</v>
      </c>
      <c r="BD3368" s="3" t="s">
        <v>68</v>
      </c>
      <c r="BE3368" s="3" t="s">
        <v>32672</v>
      </c>
      <c r="BF3368" s="3" t="s">
        <v>32671</v>
      </c>
      <c r="BG3368" s="3" t="s">
        <v>32673</v>
      </c>
    </row>
    <row r="3369" spans="1:59" ht="101.5" x14ac:dyDescent="0.35">
      <c r="A3369" s="2" t="s">
        <v>89</v>
      </c>
      <c r="B3369" s="2" t="s">
        <v>12301</v>
      </c>
      <c r="C3369" s="2" t="s">
        <v>32663</v>
      </c>
      <c r="D3369" s="2" t="s">
        <v>32664</v>
      </c>
      <c r="E3369" s="2" t="s">
        <v>32665</v>
      </c>
      <c r="F3369" s="3" t="s">
        <v>21516</v>
      </c>
      <c r="G3369" s="3" t="s">
        <v>62</v>
      </c>
      <c r="I3369" s="3" t="s">
        <v>61</v>
      </c>
      <c r="J3369" s="3" t="s">
        <v>62</v>
      </c>
      <c r="K3369" s="3" t="s">
        <v>63</v>
      </c>
      <c r="L3369" s="2" t="s">
        <v>32639</v>
      </c>
      <c r="M3369" s="2" t="s">
        <v>32666</v>
      </c>
      <c r="N3369" s="3" t="s">
        <v>1038</v>
      </c>
      <c r="P3369" s="3" t="s">
        <v>64</v>
      </c>
      <c r="R3369" s="3" t="s">
        <v>32039</v>
      </c>
      <c r="S3369" s="4">
        <v>17</v>
      </c>
      <c r="T3369" s="4">
        <v>100</v>
      </c>
      <c r="U3369" s="5" t="s">
        <v>6337</v>
      </c>
      <c r="V3369" s="5" t="s">
        <v>30422</v>
      </c>
      <c r="W3369" s="5" t="s">
        <v>67</v>
      </c>
      <c r="X3369" s="5" t="s">
        <v>67</v>
      </c>
      <c r="Y3369" s="4">
        <v>12</v>
      </c>
      <c r="Z3369" s="4">
        <v>1</v>
      </c>
      <c r="AA3369" s="4">
        <v>1</v>
      </c>
      <c r="AB3369" s="4">
        <v>1</v>
      </c>
      <c r="AC3369" s="4">
        <v>1</v>
      </c>
      <c r="AD3369" s="4">
        <v>2</v>
      </c>
      <c r="AE3369" s="4">
        <v>2</v>
      </c>
      <c r="AF3369" s="4">
        <v>0</v>
      </c>
      <c r="AG3369" s="4">
        <v>0</v>
      </c>
      <c r="AH3369" s="4">
        <v>2</v>
      </c>
      <c r="AI3369" s="4">
        <v>2</v>
      </c>
      <c r="AJ3369" s="4">
        <v>0</v>
      </c>
      <c r="AK3369" s="4">
        <v>0</v>
      </c>
      <c r="AL3369" s="4">
        <v>1</v>
      </c>
      <c r="AM3369" s="4">
        <v>1</v>
      </c>
      <c r="AN3369" s="4">
        <v>0</v>
      </c>
      <c r="AO3369" s="4">
        <v>0</v>
      </c>
      <c r="AP3369" s="4">
        <v>0</v>
      </c>
      <c r="AQ3369" s="4">
        <v>0</v>
      </c>
      <c r="AR3369" s="3" t="s">
        <v>62</v>
      </c>
      <c r="AS3369" s="3" t="s">
        <v>62</v>
      </c>
      <c r="AT3369" s="3" t="s">
        <v>62</v>
      </c>
      <c r="AV3369" s="6" t="str">
        <f t="shared" si="54"/>
        <v>Catalog Record</v>
      </c>
      <c r="AW3369" s="6" t="str">
        <f t="shared" si="55"/>
        <v>WorldCat Record</v>
      </c>
      <c r="AX3369" s="3" t="s">
        <v>32668</v>
      </c>
      <c r="AY3369" s="3" t="s">
        <v>32669</v>
      </c>
      <c r="AZ3369" s="3" t="s">
        <v>32670</v>
      </c>
      <c r="BA3369" s="3" t="s">
        <v>32670</v>
      </c>
      <c r="BB3369" s="3" t="s">
        <v>32674</v>
      </c>
      <c r="BC3369" s="3" t="s">
        <v>102</v>
      </c>
      <c r="BD3369" s="3" t="s">
        <v>68</v>
      </c>
      <c r="BE3369" s="3" t="s">
        <v>32672</v>
      </c>
      <c r="BF3369" s="3" t="s">
        <v>32674</v>
      </c>
      <c r="BG3369" s="3" t="s">
        <v>32675</v>
      </c>
    </row>
    <row r="3370" spans="1:59" ht="101.5" x14ac:dyDescent="0.35">
      <c r="A3370" s="2" t="s">
        <v>89</v>
      </c>
      <c r="B3370" s="2" t="s">
        <v>12301</v>
      </c>
      <c r="C3370" s="2" t="s">
        <v>32663</v>
      </c>
      <c r="D3370" s="2" t="s">
        <v>32664</v>
      </c>
      <c r="E3370" s="2" t="s">
        <v>32665</v>
      </c>
      <c r="F3370" s="3" t="s">
        <v>21516</v>
      </c>
      <c r="G3370" s="3" t="s">
        <v>62</v>
      </c>
      <c r="I3370" s="3" t="s">
        <v>61</v>
      </c>
      <c r="J3370" s="3" t="s">
        <v>62</v>
      </c>
      <c r="K3370" s="3" t="s">
        <v>63</v>
      </c>
      <c r="L3370" s="2" t="s">
        <v>32639</v>
      </c>
      <c r="M3370" s="2" t="s">
        <v>32666</v>
      </c>
      <c r="N3370" s="3" t="s">
        <v>1038</v>
      </c>
      <c r="P3370" s="3" t="s">
        <v>64</v>
      </c>
      <c r="R3370" s="3" t="s">
        <v>32039</v>
      </c>
      <c r="S3370" s="4">
        <v>14</v>
      </c>
      <c r="T3370" s="4">
        <v>100</v>
      </c>
      <c r="U3370" s="5" t="s">
        <v>9685</v>
      </c>
      <c r="V3370" s="5" t="s">
        <v>30422</v>
      </c>
      <c r="W3370" s="5" t="s">
        <v>67</v>
      </c>
      <c r="X3370" s="5" t="s">
        <v>67</v>
      </c>
      <c r="Y3370" s="4">
        <v>12</v>
      </c>
      <c r="Z3370" s="4">
        <v>1</v>
      </c>
      <c r="AA3370" s="4">
        <v>1</v>
      </c>
      <c r="AB3370" s="4">
        <v>1</v>
      </c>
      <c r="AC3370" s="4">
        <v>1</v>
      </c>
      <c r="AD3370" s="4">
        <v>2</v>
      </c>
      <c r="AE3370" s="4">
        <v>2</v>
      </c>
      <c r="AF3370" s="4">
        <v>0</v>
      </c>
      <c r="AG3370" s="4">
        <v>0</v>
      </c>
      <c r="AH3370" s="4">
        <v>2</v>
      </c>
      <c r="AI3370" s="4">
        <v>2</v>
      </c>
      <c r="AJ3370" s="4">
        <v>0</v>
      </c>
      <c r="AK3370" s="4">
        <v>0</v>
      </c>
      <c r="AL3370" s="4">
        <v>1</v>
      </c>
      <c r="AM3370" s="4">
        <v>1</v>
      </c>
      <c r="AN3370" s="4">
        <v>0</v>
      </c>
      <c r="AO3370" s="4">
        <v>0</v>
      </c>
      <c r="AP3370" s="4">
        <v>0</v>
      </c>
      <c r="AQ3370" s="4">
        <v>0</v>
      </c>
      <c r="AR3370" s="3" t="s">
        <v>62</v>
      </c>
      <c r="AS3370" s="3" t="s">
        <v>62</v>
      </c>
      <c r="AT3370" s="3" t="s">
        <v>62</v>
      </c>
      <c r="AV3370" s="6" t="str">
        <f t="shared" si="54"/>
        <v>Catalog Record</v>
      </c>
      <c r="AW3370" s="6" t="str">
        <f t="shared" si="55"/>
        <v>WorldCat Record</v>
      </c>
      <c r="AX3370" s="3" t="s">
        <v>32668</v>
      </c>
      <c r="AY3370" s="3" t="s">
        <v>32669</v>
      </c>
      <c r="AZ3370" s="3" t="s">
        <v>32670</v>
      </c>
      <c r="BA3370" s="3" t="s">
        <v>32670</v>
      </c>
      <c r="BB3370" s="3" t="s">
        <v>32676</v>
      </c>
      <c r="BC3370" s="3" t="s">
        <v>102</v>
      </c>
      <c r="BD3370" s="3" t="s">
        <v>68</v>
      </c>
      <c r="BE3370" s="3" t="s">
        <v>32672</v>
      </c>
      <c r="BF3370" s="3" t="s">
        <v>32676</v>
      </c>
      <c r="BG3370" s="3" t="s">
        <v>32677</v>
      </c>
    </row>
    <row r="3371" spans="1:59" ht="101.5" x14ac:dyDescent="0.35">
      <c r="A3371" s="2" t="s">
        <v>89</v>
      </c>
      <c r="B3371" s="2" t="s">
        <v>12301</v>
      </c>
      <c r="C3371" s="2" t="s">
        <v>32663</v>
      </c>
      <c r="D3371" s="2" t="s">
        <v>32664</v>
      </c>
      <c r="E3371" s="2" t="s">
        <v>32665</v>
      </c>
      <c r="F3371" s="3" t="s">
        <v>21516</v>
      </c>
      <c r="G3371" s="3" t="s">
        <v>62</v>
      </c>
      <c r="I3371" s="3" t="s">
        <v>61</v>
      </c>
      <c r="J3371" s="3" t="s">
        <v>62</v>
      </c>
      <c r="K3371" s="3" t="s">
        <v>63</v>
      </c>
      <c r="L3371" s="2" t="s">
        <v>32639</v>
      </c>
      <c r="M3371" s="2" t="s">
        <v>32666</v>
      </c>
      <c r="N3371" s="3" t="s">
        <v>1038</v>
      </c>
      <c r="P3371" s="3" t="s">
        <v>64</v>
      </c>
      <c r="R3371" s="3" t="s">
        <v>32039</v>
      </c>
      <c r="S3371" s="4">
        <v>12</v>
      </c>
      <c r="T3371" s="4">
        <v>100</v>
      </c>
      <c r="U3371" s="5" t="s">
        <v>30422</v>
      </c>
      <c r="V3371" s="5" t="s">
        <v>30422</v>
      </c>
      <c r="W3371" s="5" t="s">
        <v>67</v>
      </c>
      <c r="X3371" s="5" t="s">
        <v>67</v>
      </c>
      <c r="Y3371" s="4">
        <v>12</v>
      </c>
      <c r="Z3371" s="4">
        <v>1</v>
      </c>
      <c r="AA3371" s="4">
        <v>1</v>
      </c>
      <c r="AB3371" s="4">
        <v>1</v>
      </c>
      <c r="AC3371" s="4">
        <v>1</v>
      </c>
      <c r="AD3371" s="4">
        <v>2</v>
      </c>
      <c r="AE3371" s="4">
        <v>2</v>
      </c>
      <c r="AF3371" s="4">
        <v>0</v>
      </c>
      <c r="AG3371" s="4">
        <v>0</v>
      </c>
      <c r="AH3371" s="4">
        <v>2</v>
      </c>
      <c r="AI3371" s="4">
        <v>2</v>
      </c>
      <c r="AJ3371" s="4">
        <v>0</v>
      </c>
      <c r="AK3371" s="4">
        <v>0</v>
      </c>
      <c r="AL3371" s="4">
        <v>1</v>
      </c>
      <c r="AM3371" s="4">
        <v>1</v>
      </c>
      <c r="AN3371" s="4">
        <v>0</v>
      </c>
      <c r="AO3371" s="4">
        <v>0</v>
      </c>
      <c r="AP3371" s="4">
        <v>0</v>
      </c>
      <c r="AQ3371" s="4">
        <v>0</v>
      </c>
      <c r="AR3371" s="3" t="s">
        <v>62</v>
      </c>
      <c r="AS3371" s="3" t="s">
        <v>62</v>
      </c>
      <c r="AT3371" s="3" t="s">
        <v>62</v>
      </c>
      <c r="AV3371" s="6" t="str">
        <f t="shared" si="54"/>
        <v>Catalog Record</v>
      </c>
      <c r="AW3371" s="6" t="str">
        <f t="shared" si="55"/>
        <v>WorldCat Record</v>
      </c>
      <c r="AX3371" s="3" t="s">
        <v>32668</v>
      </c>
      <c r="AY3371" s="3" t="s">
        <v>32669</v>
      </c>
      <c r="AZ3371" s="3" t="s">
        <v>32670</v>
      </c>
      <c r="BA3371" s="3" t="s">
        <v>32670</v>
      </c>
      <c r="BB3371" s="3" t="s">
        <v>32678</v>
      </c>
      <c r="BC3371" s="3" t="s">
        <v>102</v>
      </c>
      <c r="BD3371" s="3" t="s">
        <v>68</v>
      </c>
      <c r="BE3371" s="3" t="s">
        <v>32672</v>
      </c>
      <c r="BF3371" s="3" t="s">
        <v>32678</v>
      </c>
      <c r="BG3371" s="3" t="s">
        <v>32679</v>
      </c>
    </row>
    <row r="3372" spans="1:59" ht="101.5" x14ac:dyDescent="0.35">
      <c r="A3372" s="2" t="s">
        <v>89</v>
      </c>
      <c r="B3372" s="2" t="s">
        <v>24239</v>
      </c>
      <c r="C3372" s="2" t="s">
        <v>32663</v>
      </c>
      <c r="D3372" s="2" t="s">
        <v>32664</v>
      </c>
      <c r="E3372" s="2" t="s">
        <v>32665</v>
      </c>
      <c r="F3372" s="3" t="s">
        <v>21516</v>
      </c>
      <c r="G3372" s="3" t="s">
        <v>62</v>
      </c>
      <c r="I3372" s="3" t="s">
        <v>61</v>
      </c>
      <c r="J3372" s="3" t="s">
        <v>62</v>
      </c>
      <c r="K3372" s="3" t="s">
        <v>63</v>
      </c>
      <c r="L3372" s="2" t="s">
        <v>32639</v>
      </c>
      <c r="M3372" s="2" t="s">
        <v>32666</v>
      </c>
      <c r="N3372" s="3" t="s">
        <v>1038</v>
      </c>
      <c r="P3372" s="3" t="s">
        <v>64</v>
      </c>
      <c r="R3372" s="3" t="s">
        <v>32039</v>
      </c>
      <c r="S3372" s="4">
        <v>3</v>
      </c>
      <c r="T3372" s="4">
        <v>100</v>
      </c>
      <c r="U3372" s="5" t="s">
        <v>32680</v>
      </c>
      <c r="V3372" s="5" t="s">
        <v>30422</v>
      </c>
      <c r="W3372" s="5" t="s">
        <v>67</v>
      </c>
      <c r="X3372" s="5" t="s">
        <v>67</v>
      </c>
      <c r="Y3372" s="4">
        <v>12</v>
      </c>
      <c r="Z3372" s="4">
        <v>1</v>
      </c>
      <c r="AA3372" s="4">
        <v>1</v>
      </c>
      <c r="AB3372" s="4">
        <v>1</v>
      </c>
      <c r="AC3372" s="4">
        <v>1</v>
      </c>
      <c r="AD3372" s="4">
        <v>2</v>
      </c>
      <c r="AE3372" s="4">
        <v>2</v>
      </c>
      <c r="AF3372" s="4">
        <v>0</v>
      </c>
      <c r="AG3372" s="4">
        <v>0</v>
      </c>
      <c r="AH3372" s="4">
        <v>2</v>
      </c>
      <c r="AI3372" s="4">
        <v>2</v>
      </c>
      <c r="AJ3372" s="4">
        <v>0</v>
      </c>
      <c r="AK3372" s="4">
        <v>0</v>
      </c>
      <c r="AL3372" s="4">
        <v>1</v>
      </c>
      <c r="AM3372" s="4">
        <v>1</v>
      </c>
      <c r="AN3372" s="4">
        <v>0</v>
      </c>
      <c r="AO3372" s="4">
        <v>0</v>
      </c>
      <c r="AP3372" s="4">
        <v>0</v>
      </c>
      <c r="AQ3372" s="4">
        <v>0</v>
      </c>
      <c r="AR3372" s="3" t="s">
        <v>62</v>
      </c>
      <c r="AS3372" s="3" t="s">
        <v>62</v>
      </c>
      <c r="AT3372" s="3" t="s">
        <v>62</v>
      </c>
      <c r="AV3372" s="6" t="str">
        <f t="shared" si="54"/>
        <v>Catalog Record</v>
      </c>
      <c r="AW3372" s="6" t="str">
        <f t="shared" si="55"/>
        <v>WorldCat Record</v>
      </c>
      <c r="AX3372" s="3" t="s">
        <v>32668</v>
      </c>
      <c r="AY3372" s="3" t="s">
        <v>32669</v>
      </c>
      <c r="AZ3372" s="3" t="s">
        <v>32670</v>
      </c>
      <c r="BA3372" s="3" t="s">
        <v>32670</v>
      </c>
      <c r="BB3372" s="3" t="s">
        <v>32681</v>
      </c>
      <c r="BC3372" s="3" t="s">
        <v>102</v>
      </c>
      <c r="BD3372" s="3" t="s">
        <v>68</v>
      </c>
      <c r="BE3372" s="3" t="s">
        <v>32672</v>
      </c>
      <c r="BF3372" s="3" t="s">
        <v>32681</v>
      </c>
      <c r="BG3372" s="3" t="s">
        <v>32682</v>
      </c>
    </row>
    <row r="3373" spans="1:59" ht="101.5" x14ac:dyDescent="0.35">
      <c r="A3373" s="2" t="s">
        <v>89</v>
      </c>
      <c r="B3373" s="2" t="s">
        <v>12301</v>
      </c>
      <c r="C3373" s="2" t="s">
        <v>32663</v>
      </c>
      <c r="D3373" s="2" t="s">
        <v>32664</v>
      </c>
      <c r="E3373" s="2" t="s">
        <v>32665</v>
      </c>
      <c r="F3373" s="3" t="s">
        <v>21516</v>
      </c>
      <c r="G3373" s="3" t="s">
        <v>62</v>
      </c>
      <c r="I3373" s="3" t="s">
        <v>61</v>
      </c>
      <c r="J3373" s="3" t="s">
        <v>62</v>
      </c>
      <c r="K3373" s="3" t="s">
        <v>63</v>
      </c>
      <c r="L3373" s="2" t="s">
        <v>32639</v>
      </c>
      <c r="M3373" s="2" t="s">
        <v>32666</v>
      </c>
      <c r="N3373" s="3" t="s">
        <v>1038</v>
      </c>
      <c r="P3373" s="3" t="s">
        <v>64</v>
      </c>
      <c r="R3373" s="3" t="s">
        <v>32039</v>
      </c>
      <c r="S3373" s="4">
        <v>13</v>
      </c>
      <c r="T3373" s="4">
        <v>100</v>
      </c>
      <c r="U3373" s="5" t="s">
        <v>10070</v>
      </c>
      <c r="V3373" s="5" t="s">
        <v>30422</v>
      </c>
      <c r="W3373" s="5" t="s">
        <v>67</v>
      </c>
      <c r="X3373" s="5" t="s">
        <v>67</v>
      </c>
      <c r="Y3373" s="4">
        <v>12</v>
      </c>
      <c r="Z3373" s="4">
        <v>1</v>
      </c>
      <c r="AA3373" s="4">
        <v>1</v>
      </c>
      <c r="AB3373" s="4">
        <v>1</v>
      </c>
      <c r="AC3373" s="4">
        <v>1</v>
      </c>
      <c r="AD3373" s="4">
        <v>2</v>
      </c>
      <c r="AE3373" s="4">
        <v>2</v>
      </c>
      <c r="AF3373" s="4">
        <v>0</v>
      </c>
      <c r="AG3373" s="4">
        <v>0</v>
      </c>
      <c r="AH3373" s="4">
        <v>2</v>
      </c>
      <c r="AI3373" s="4">
        <v>2</v>
      </c>
      <c r="AJ3373" s="4">
        <v>0</v>
      </c>
      <c r="AK3373" s="4">
        <v>0</v>
      </c>
      <c r="AL3373" s="4">
        <v>1</v>
      </c>
      <c r="AM3373" s="4">
        <v>1</v>
      </c>
      <c r="AN3373" s="4">
        <v>0</v>
      </c>
      <c r="AO3373" s="4">
        <v>0</v>
      </c>
      <c r="AP3373" s="4">
        <v>0</v>
      </c>
      <c r="AQ3373" s="4">
        <v>0</v>
      </c>
      <c r="AR3373" s="3" t="s">
        <v>62</v>
      </c>
      <c r="AS3373" s="3" t="s">
        <v>62</v>
      </c>
      <c r="AT3373" s="3" t="s">
        <v>62</v>
      </c>
      <c r="AV3373" s="6" t="str">
        <f t="shared" si="54"/>
        <v>Catalog Record</v>
      </c>
      <c r="AW3373" s="6" t="str">
        <f t="shared" si="55"/>
        <v>WorldCat Record</v>
      </c>
      <c r="AX3373" s="3" t="s">
        <v>32668</v>
      </c>
      <c r="AY3373" s="3" t="s">
        <v>32669</v>
      </c>
      <c r="AZ3373" s="3" t="s">
        <v>32670</v>
      </c>
      <c r="BA3373" s="3" t="s">
        <v>32670</v>
      </c>
      <c r="BB3373" s="3" t="s">
        <v>32683</v>
      </c>
      <c r="BC3373" s="3" t="s">
        <v>102</v>
      </c>
      <c r="BD3373" s="3" t="s">
        <v>68</v>
      </c>
      <c r="BE3373" s="3" t="s">
        <v>32672</v>
      </c>
      <c r="BF3373" s="3" t="s">
        <v>32683</v>
      </c>
      <c r="BG3373" s="3" t="s">
        <v>32684</v>
      </c>
    </row>
    <row r="3374" spans="1:59" ht="101.5" x14ac:dyDescent="0.35">
      <c r="A3374" s="2" t="s">
        <v>89</v>
      </c>
      <c r="B3374" s="2" t="s">
        <v>12301</v>
      </c>
      <c r="C3374" s="2" t="s">
        <v>32663</v>
      </c>
      <c r="D3374" s="2" t="s">
        <v>32664</v>
      </c>
      <c r="E3374" s="2" t="s">
        <v>32665</v>
      </c>
      <c r="F3374" s="3" t="s">
        <v>21516</v>
      </c>
      <c r="G3374" s="3" t="s">
        <v>62</v>
      </c>
      <c r="I3374" s="3" t="s">
        <v>61</v>
      </c>
      <c r="J3374" s="3" t="s">
        <v>62</v>
      </c>
      <c r="K3374" s="3" t="s">
        <v>63</v>
      </c>
      <c r="L3374" s="2" t="s">
        <v>32639</v>
      </c>
      <c r="M3374" s="2" t="s">
        <v>32666</v>
      </c>
      <c r="N3374" s="3" t="s">
        <v>1038</v>
      </c>
      <c r="P3374" s="3" t="s">
        <v>64</v>
      </c>
      <c r="R3374" s="3" t="s">
        <v>32039</v>
      </c>
      <c r="S3374" s="4">
        <v>10</v>
      </c>
      <c r="T3374" s="4">
        <v>100</v>
      </c>
      <c r="U3374" s="5" t="s">
        <v>4771</v>
      </c>
      <c r="V3374" s="5" t="s">
        <v>30422</v>
      </c>
      <c r="W3374" s="5" t="s">
        <v>67</v>
      </c>
      <c r="X3374" s="5" t="s">
        <v>67</v>
      </c>
      <c r="Y3374" s="4">
        <v>12</v>
      </c>
      <c r="Z3374" s="4">
        <v>1</v>
      </c>
      <c r="AA3374" s="4">
        <v>1</v>
      </c>
      <c r="AB3374" s="4">
        <v>1</v>
      </c>
      <c r="AC3374" s="4">
        <v>1</v>
      </c>
      <c r="AD3374" s="4">
        <v>2</v>
      </c>
      <c r="AE3374" s="4">
        <v>2</v>
      </c>
      <c r="AF3374" s="4">
        <v>0</v>
      </c>
      <c r="AG3374" s="4">
        <v>0</v>
      </c>
      <c r="AH3374" s="4">
        <v>2</v>
      </c>
      <c r="AI3374" s="4">
        <v>2</v>
      </c>
      <c r="AJ3374" s="4">
        <v>0</v>
      </c>
      <c r="AK3374" s="4">
        <v>0</v>
      </c>
      <c r="AL3374" s="4">
        <v>1</v>
      </c>
      <c r="AM3374" s="4">
        <v>1</v>
      </c>
      <c r="AN3374" s="4">
        <v>0</v>
      </c>
      <c r="AO3374" s="4">
        <v>0</v>
      </c>
      <c r="AP3374" s="4">
        <v>0</v>
      </c>
      <c r="AQ3374" s="4">
        <v>0</v>
      </c>
      <c r="AR3374" s="3" t="s">
        <v>62</v>
      </c>
      <c r="AS3374" s="3" t="s">
        <v>62</v>
      </c>
      <c r="AT3374" s="3" t="s">
        <v>62</v>
      </c>
      <c r="AV3374" s="6" t="str">
        <f t="shared" si="54"/>
        <v>Catalog Record</v>
      </c>
      <c r="AW3374" s="6" t="str">
        <f t="shared" si="55"/>
        <v>WorldCat Record</v>
      </c>
      <c r="AX3374" s="3" t="s">
        <v>32668</v>
      </c>
      <c r="AY3374" s="3" t="s">
        <v>32669</v>
      </c>
      <c r="AZ3374" s="3" t="s">
        <v>32670</v>
      </c>
      <c r="BA3374" s="3" t="s">
        <v>32670</v>
      </c>
      <c r="BB3374" s="3" t="s">
        <v>32685</v>
      </c>
      <c r="BC3374" s="3" t="s">
        <v>102</v>
      </c>
      <c r="BD3374" s="3" t="s">
        <v>68</v>
      </c>
      <c r="BE3374" s="3" t="s">
        <v>32672</v>
      </c>
      <c r="BF3374" s="3" t="s">
        <v>32685</v>
      </c>
      <c r="BG3374" s="3" t="s">
        <v>32686</v>
      </c>
    </row>
    <row r="3375" spans="1:59" ht="101.5" x14ac:dyDescent="0.35">
      <c r="A3375" s="2" t="s">
        <v>89</v>
      </c>
      <c r="B3375" s="2" t="s">
        <v>12301</v>
      </c>
      <c r="C3375" s="2" t="s">
        <v>32663</v>
      </c>
      <c r="D3375" s="2" t="s">
        <v>32664</v>
      </c>
      <c r="E3375" s="2" t="s">
        <v>32665</v>
      </c>
      <c r="F3375" s="3" t="s">
        <v>21516</v>
      </c>
      <c r="G3375" s="3" t="s">
        <v>62</v>
      </c>
      <c r="I3375" s="3" t="s">
        <v>61</v>
      </c>
      <c r="J3375" s="3" t="s">
        <v>62</v>
      </c>
      <c r="K3375" s="3" t="s">
        <v>63</v>
      </c>
      <c r="L3375" s="2" t="s">
        <v>32639</v>
      </c>
      <c r="M3375" s="2" t="s">
        <v>32666</v>
      </c>
      <c r="N3375" s="3" t="s">
        <v>1038</v>
      </c>
      <c r="P3375" s="3" t="s">
        <v>64</v>
      </c>
      <c r="R3375" s="3" t="s">
        <v>32039</v>
      </c>
      <c r="S3375" s="4">
        <v>15</v>
      </c>
      <c r="T3375" s="4">
        <v>100</v>
      </c>
      <c r="U3375" s="5" t="s">
        <v>20355</v>
      </c>
      <c r="V3375" s="5" t="s">
        <v>30422</v>
      </c>
      <c r="W3375" s="5" t="s">
        <v>67</v>
      </c>
      <c r="X3375" s="5" t="s">
        <v>67</v>
      </c>
      <c r="Y3375" s="4">
        <v>12</v>
      </c>
      <c r="Z3375" s="4">
        <v>1</v>
      </c>
      <c r="AA3375" s="4">
        <v>1</v>
      </c>
      <c r="AB3375" s="4">
        <v>1</v>
      </c>
      <c r="AC3375" s="4">
        <v>1</v>
      </c>
      <c r="AD3375" s="4">
        <v>2</v>
      </c>
      <c r="AE3375" s="4">
        <v>2</v>
      </c>
      <c r="AF3375" s="4">
        <v>0</v>
      </c>
      <c r="AG3375" s="4">
        <v>0</v>
      </c>
      <c r="AH3375" s="4">
        <v>2</v>
      </c>
      <c r="AI3375" s="4">
        <v>2</v>
      </c>
      <c r="AJ3375" s="4">
        <v>0</v>
      </c>
      <c r="AK3375" s="4">
        <v>0</v>
      </c>
      <c r="AL3375" s="4">
        <v>1</v>
      </c>
      <c r="AM3375" s="4">
        <v>1</v>
      </c>
      <c r="AN3375" s="4">
        <v>0</v>
      </c>
      <c r="AO3375" s="4">
        <v>0</v>
      </c>
      <c r="AP3375" s="4">
        <v>0</v>
      </c>
      <c r="AQ3375" s="4">
        <v>0</v>
      </c>
      <c r="AR3375" s="3" t="s">
        <v>62</v>
      </c>
      <c r="AS3375" s="3" t="s">
        <v>62</v>
      </c>
      <c r="AT3375" s="3" t="s">
        <v>62</v>
      </c>
      <c r="AV3375" s="6" t="str">
        <f t="shared" si="54"/>
        <v>Catalog Record</v>
      </c>
      <c r="AW3375" s="6" t="str">
        <f t="shared" si="55"/>
        <v>WorldCat Record</v>
      </c>
      <c r="AX3375" s="3" t="s">
        <v>32668</v>
      </c>
      <c r="AY3375" s="3" t="s">
        <v>32669</v>
      </c>
      <c r="AZ3375" s="3" t="s">
        <v>32670</v>
      </c>
      <c r="BA3375" s="3" t="s">
        <v>32670</v>
      </c>
      <c r="BB3375" s="3" t="s">
        <v>32687</v>
      </c>
      <c r="BC3375" s="3" t="s">
        <v>102</v>
      </c>
      <c r="BD3375" s="3" t="s">
        <v>68</v>
      </c>
      <c r="BE3375" s="3" t="s">
        <v>32672</v>
      </c>
      <c r="BF3375" s="3" t="s">
        <v>32687</v>
      </c>
      <c r="BG3375" s="3" t="s">
        <v>32688</v>
      </c>
    </row>
    <row r="3376" spans="1:59" ht="101.5" x14ac:dyDescent="0.35">
      <c r="A3376" s="2" t="s">
        <v>89</v>
      </c>
      <c r="B3376" s="2" t="s">
        <v>12301</v>
      </c>
      <c r="C3376" s="2" t="s">
        <v>32689</v>
      </c>
      <c r="D3376" s="2" t="s">
        <v>32690</v>
      </c>
      <c r="E3376" s="2" t="s">
        <v>32691</v>
      </c>
      <c r="G3376" s="3" t="s">
        <v>62</v>
      </c>
      <c r="I3376" s="3" t="s">
        <v>61</v>
      </c>
      <c r="J3376" s="3" t="s">
        <v>61</v>
      </c>
      <c r="K3376" s="3" t="s">
        <v>63</v>
      </c>
      <c r="L3376" s="2" t="s">
        <v>32692</v>
      </c>
      <c r="M3376" s="2" t="s">
        <v>32693</v>
      </c>
      <c r="N3376" s="3" t="s">
        <v>684</v>
      </c>
      <c r="O3376" s="2" t="s">
        <v>17648</v>
      </c>
      <c r="P3376" s="3" t="s">
        <v>64</v>
      </c>
      <c r="R3376" s="3" t="s">
        <v>32039</v>
      </c>
      <c r="S3376" s="4">
        <v>146</v>
      </c>
      <c r="T3376" s="4">
        <v>1105</v>
      </c>
      <c r="U3376" s="5" t="s">
        <v>32694</v>
      </c>
      <c r="V3376" s="5" t="s">
        <v>4771</v>
      </c>
      <c r="W3376" s="5" t="s">
        <v>67</v>
      </c>
      <c r="X3376" s="5" t="s">
        <v>67</v>
      </c>
      <c r="Y3376" s="4">
        <v>87</v>
      </c>
      <c r="Z3376" s="4">
        <v>7</v>
      </c>
      <c r="AA3376" s="4">
        <v>33</v>
      </c>
      <c r="AB3376" s="4">
        <v>1</v>
      </c>
      <c r="AC3376" s="4">
        <v>12</v>
      </c>
      <c r="AD3376" s="4">
        <v>31</v>
      </c>
      <c r="AE3376" s="4">
        <v>81</v>
      </c>
      <c r="AF3376" s="4">
        <v>0</v>
      </c>
      <c r="AG3376" s="4">
        <v>6</v>
      </c>
      <c r="AH3376" s="4">
        <v>26</v>
      </c>
      <c r="AI3376" s="4">
        <v>64</v>
      </c>
      <c r="AJ3376" s="4">
        <v>5</v>
      </c>
      <c r="AK3376" s="4">
        <v>16</v>
      </c>
      <c r="AL3376" s="4">
        <v>14</v>
      </c>
      <c r="AM3376" s="4">
        <v>36</v>
      </c>
      <c r="AN3376" s="4">
        <v>0</v>
      </c>
      <c r="AO3376" s="4">
        <v>0</v>
      </c>
      <c r="AP3376" s="4">
        <v>6</v>
      </c>
      <c r="AQ3376" s="4">
        <v>22</v>
      </c>
      <c r="AR3376" s="3" t="s">
        <v>62</v>
      </c>
      <c r="AS3376" s="3" t="s">
        <v>62</v>
      </c>
      <c r="AT3376" s="3" t="s">
        <v>62</v>
      </c>
      <c r="AV3376" s="6" t="str">
        <f>HYPERLINK("http://mcgill.on.worldcat.org/oclc/311783016","Catalog Record")</f>
        <v>Catalog Record</v>
      </c>
      <c r="AW3376" s="6" t="str">
        <f>HYPERLINK("http://www.worldcat.org/oclc/311783016","WorldCat Record")</f>
        <v>WorldCat Record</v>
      </c>
      <c r="AX3376" s="3" t="s">
        <v>32695</v>
      </c>
      <c r="AY3376" s="3" t="s">
        <v>32696</v>
      </c>
      <c r="AZ3376" s="3" t="s">
        <v>32697</v>
      </c>
      <c r="BA3376" s="3" t="s">
        <v>32697</v>
      </c>
      <c r="BB3376" s="3" t="s">
        <v>32698</v>
      </c>
      <c r="BC3376" s="3" t="s">
        <v>102</v>
      </c>
      <c r="BD3376" s="3" t="s">
        <v>68</v>
      </c>
      <c r="BE3376" s="3" t="s">
        <v>32699</v>
      </c>
      <c r="BF3376" s="3" t="s">
        <v>32698</v>
      </c>
      <c r="BG3376" s="3" t="s">
        <v>32700</v>
      </c>
    </row>
    <row r="3377" spans="1:59" ht="101.5" x14ac:dyDescent="0.35">
      <c r="A3377" s="2" t="s">
        <v>89</v>
      </c>
      <c r="B3377" s="2" t="s">
        <v>12301</v>
      </c>
      <c r="C3377" s="2" t="s">
        <v>32689</v>
      </c>
      <c r="D3377" s="2" t="s">
        <v>32690</v>
      </c>
      <c r="E3377" s="2" t="s">
        <v>32691</v>
      </c>
      <c r="G3377" s="3" t="s">
        <v>62</v>
      </c>
      <c r="I3377" s="3" t="s">
        <v>61</v>
      </c>
      <c r="J3377" s="3" t="s">
        <v>61</v>
      </c>
      <c r="K3377" s="3" t="s">
        <v>63</v>
      </c>
      <c r="L3377" s="2" t="s">
        <v>32692</v>
      </c>
      <c r="M3377" s="2" t="s">
        <v>32693</v>
      </c>
      <c r="N3377" s="3" t="s">
        <v>684</v>
      </c>
      <c r="O3377" s="2" t="s">
        <v>17648</v>
      </c>
      <c r="P3377" s="3" t="s">
        <v>64</v>
      </c>
      <c r="R3377" s="3" t="s">
        <v>32039</v>
      </c>
      <c r="S3377" s="4">
        <v>92</v>
      </c>
      <c r="T3377" s="4">
        <v>1105</v>
      </c>
      <c r="U3377" s="5" t="s">
        <v>32701</v>
      </c>
      <c r="V3377" s="5" t="s">
        <v>4771</v>
      </c>
      <c r="W3377" s="5" t="s">
        <v>67</v>
      </c>
      <c r="X3377" s="5" t="s">
        <v>67</v>
      </c>
      <c r="Y3377" s="4">
        <v>87</v>
      </c>
      <c r="Z3377" s="4">
        <v>7</v>
      </c>
      <c r="AA3377" s="4">
        <v>33</v>
      </c>
      <c r="AB3377" s="4">
        <v>1</v>
      </c>
      <c r="AC3377" s="4">
        <v>12</v>
      </c>
      <c r="AD3377" s="4">
        <v>31</v>
      </c>
      <c r="AE3377" s="4">
        <v>81</v>
      </c>
      <c r="AF3377" s="4">
        <v>0</v>
      </c>
      <c r="AG3377" s="4">
        <v>6</v>
      </c>
      <c r="AH3377" s="4">
        <v>26</v>
      </c>
      <c r="AI3377" s="4">
        <v>64</v>
      </c>
      <c r="AJ3377" s="4">
        <v>5</v>
      </c>
      <c r="AK3377" s="4">
        <v>16</v>
      </c>
      <c r="AL3377" s="4">
        <v>14</v>
      </c>
      <c r="AM3377" s="4">
        <v>36</v>
      </c>
      <c r="AN3377" s="4">
        <v>0</v>
      </c>
      <c r="AO3377" s="4">
        <v>0</v>
      </c>
      <c r="AP3377" s="4">
        <v>6</v>
      </c>
      <c r="AQ3377" s="4">
        <v>22</v>
      </c>
      <c r="AR3377" s="3" t="s">
        <v>62</v>
      </c>
      <c r="AS3377" s="3" t="s">
        <v>62</v>
      </c>
      <c r="AT3377" s="3" t="s">
        <v>62</v>
      </c>
      <c r="AV3377" s="6" t="str">
        <f>HYPERLINK("http://mcgill.on.worldcat.org/oclc/311783016","Catalog Record")</f>
        <v>Catalog Record</v>
      </c>
      <c r="AW3377" s="6" t="str">
        <f>HYPERLINK("http://www.worldcat.org/oclc/311783016","WorldCat Record")</f>
        <v>WorldCat Record</v>
      </c>
      <c r="AX3377" s="3" t="s">
        <v>32695</v>
      </c>
      <c r="AY3377" s="3" t="s">
        <v>32696</v>
      </c>
      <c r="AZ3377" s="3" t="s">
        <v>32697</v>
      </c>
      <c r="BA3377" s="3" t="s">
        <v>32697</v>
      </c>
      <c r="BB3377" s="3" t="s">
        <v>32702</v>
      </c>
      <c r="BC3377" s="3" t="s">
        <v>102</v>
      </c>
      <c r="BD3377" s="3" t="s">
        <v>68</v>
      </c>
      <c r="BE3377" s="3" t="s">
        <v>32699</v>
      </c>
      <c r="BF3377" s="3" t="s">
        <v>32702</v>
      </c>
      <c r="BG3377" s="3" t="s">
        <v>32703</v>
      </c>
    </row>
    <row r="3378" spans="1:59" ht="101.5" x14ac:dyDescent="0.35">
      <c r="A3378" s="2" t="s">
        <v>89</v>
      </c>
      <c r="B3378" s="2" t="s">
        <v>12301</v>
      </c>
      <c r="C3378" s="2" t="s">
        <v>32689</v>
      </c>
      <c r="D3378" s="2" t="s">
        <v>32690</v>
      </c>
      <c r="E3378" s="2" t="s">
        <v>32691</v>
      </c>
      <c r="G3378" s="3" t="s">
        <v>62</v>
      </c>
      <c r="I3378" s="3" t="s">
        <v>61</v>
      </c>
      <c r="J3378" s="3" t="s">
        <v>61</v>
      </c>
      <c r="K3378" s="3" t="s">
        <v>63</v>
      </c>
      <c r="L3378" s="2" t="s">
        <v>32692</v>
      </c>
      <c r="M3378" s="2" t="s">
        <v>32693</v>
      </c>
      <c r="N3378" s="3" t="s">
        <v>684</v>
      </c>
      <c r="O3378" s="2" t="s">
        <v>17648</v>
      </c>
      <c r="P3378" s="3" t="s">
        <v>64</v>
      </c>
      <c r="R3378" s="3" t="s">
        <v>32039</v>
      </c>
      <c r="S3378" s="4">
        <v>156</v>
      </c>
      <c r="T3378" s="4">
        <v>1105</v>
      </c>
      <c r="U3378" s="5" t="s">
        <v>32704</v>
      </c>
      <c r="V3378" s="5" t="s">
        <v>4771</v>
      </c>
      <c r="W3378" s="5" t="s">
        <v>67</v>
      </c>
      <c r="X3378" s="5" t="s">
        <v>67</v>
      </c>
      <c r="Y3378" s="4">
        <v>87</v>
      </c>
      <c r="Z3378" s="4">
        <v>7</v>
      </c>
      <c r="AA3378" s="4">
        <v>33</v>
      </c>
      <c r="AB3378" s="4">
        <v>1</v>
      </c>
      <c r="AC3378" s="4">
        <v>12</v>
      </c>
      <c r="AD3378" s="4">
        <v>31</v>
      </c>
      <c r="AE3378" s="4">
        <v>81</v>
      </c>
      <c r="AF3378" s="4">
        <v>0</v>
      </c>
      <c r="AG3378" s="4">
        <v>6</v>
      </c>
      <c r="AH3378" s="4">
        <v>26</v>
      </c>
      <c r="AI3378" s="4">
        <v>64</v>
      </c>
      <c r="AJ3378" s="4">
        <v>5</v>
      </c>
      <c r="AK3378" s="4">
        <v>16</v>
      </c>
      <c r="AL3378" s="4">
        <v>14</v>
      </c>
      <c r="AM3378" s="4">
        <v>36</v>
      </c>
      <c r="AN3378" s="4">
        <v>0</v>
      </c>
      <c r="AO3378" s="4">
        <v>0</v>
      </c>
      <c r="AP3378" s="4">
        <v>6</v>
      </c>
      <c r="AQ3378" s="4">
        <v>22</v>
      </c>
      <c r="AR3378" s="3" t="s">
        <v>62</v>
      </c>
      <c r="AS3378" s="3" t="s">
        <v>62</v>
      </c>
      <c r="AT3378" s="3" t="s">
        <v>62</v>
      </c>
      <c r="AV3378" s="6" t="str">
        <f>HYPERLINK("http://mcgill.on.worldcat.org/oclc/311783016","Catalog Record")</f>
        <v>Catalog Record</v>
      </c>
      <c r="AW3378" s="6" t="str">
        <f>HYPERLINK("http://www.worldcat.org/oclc/311783016","WorldCat Record")</f>
        <v>WorldCat Record</v>
      </c>
      <c r="AX3378" s="3" t="s">
        <v>32695</v>
      </c>
      <c r="AY3378" s="3" t="s">
        <v>32696</v>
      </c>
      <c r="AZ3378" s="3" t="s">
        <v>32697</v>
      </c>
      <c r="BA3378" s="3" t="s">
        <v>32697</v>
      </c>
      <c r="BB3378" s="3" t="s">
        <v>32705</v>
      </c>
      <c r="BC3378" s="3" t="s">
        <v>102</v>
      </c>
      <c r="BD3378" s="3" t="s">
        <v>68</v>
      </c>
      <c r="BE3378" s="3" t="s">
        <v>32699</v>
      </c>
      <c r="BF3378" s="3" t="s">
        <v>32705</v>
      </c>
      <c r="BG3378" s="3" t="s">
        <v>32706</v>
      </c>
    </row>
    <row r="3379" spans="1:59" ht="101.5" x14ac:dyDescent="0.35">
      <c r="A3379" s="2" t="s">
        <v>89</v>
      </c>
      <c r="B3379" s="2" t="s">
        <v>12301</v>
      </c>
      <c r="C3379" s="2" t="s">
        <v>32689</v>
      </c>
      <c r="D3379" s="2" t="s">
        <v>32690</v>
      </c>
      <c r="E3379" s="2" t="s">
        <v>32691</v>
      </c>
      <c r="G3379" s="3" t="s">
        <v>62</v>
      </c>
      <c r="I3379" s="3" t="s">
        <v>61</v>
      </c>
      <c r="J3379" s="3" t="s">
        <v>61</v>
      </c>
      <c r="K3379" s="3" t="s">
        <v>63</v>
      </c>
      <c r="L3379" s="2" t="s">
        <v>32692</v>
      </c>
      <c r="M3379" s="2" t="s">
        <v>32693</v>
      </c>
      <c r="N3379" s="3" t="s">
        <v>684</v>
      </c>
      <c r="O3379" s="2" t="s">
        <v>17648</v>
      </c>
      <c r="P3379" s="3" t="s">
        <v>64</v>
      </c>
      <c r="R3379" s="3" t="s">
        <v>32039</v>
      </c>
      <c r="S3379" s="4">
        <v>148</v>
      </c>
      <c r="T3379" s="4">
        <v>1105</v>
      </c>
      <c r="U3379" s="5" t="s">
        <v>26932</v>
      </c>
      <c r="V3379" s="5" t="s">
        <v>4771</v>
      </c>
      <c r="W3379" s="5" t="s">
        <v>67</v>
      </c>
      <c r="X3379" s="5" t="s">
        <v>67</v>
      </c>
      <c r="Y3379" s="4">
        <v>87</v>
      </c>
      <c r="Z3379" s="4">
        <v>7</v>
      </c>
      <c r="AA3379" s="4">
        <v>33</v>
      </c>
      <c r="AB3379" s="4">
        <v>1</v>
      </c>
      <c r="AC3379" s="4">
        <v>12</v>
      </c>
      <c r="AD3379" s="4">
        <v>31</v>
      </c>
      <c r="AE3379" s="4">
        <v>81</v>
      </c>
      <c r="AF3379" s="4">
        <v>0</v>
      </c>
      <c r="AG3379" s="4">
        <v>6</v>
      </c>
      <c r="AH3379" s="4">
        <v>26</v>
      </c>
      <c r="AI3379" s="4">
        <v>64</v>
      </c>
      <c r="AJ3379" s="4">
        <v>5</v>
      </c>
      <c r="AK3379" s="4">
        <v>16</v>
      </c>
      <c r="AL3379" s="4">
        <v>14</v>
      </c>
      <c r="AM3379" s="4">
        <v>36</v>
      </c>
      <c r="AN3379" s="4">
        <v>0</v>
      </c>
      <c r="AO3379" s="4">
        <v>0</v>
      </c>
      <c r="AP3379" s="4">
        <v>6</v>
      </c>
      <c r="AQ3379" s="4">
        <v>22</v>
      </c>
      <c r="AR3379" s="3" t="s">
        <v>62</v>
      </c>
      <c r="AS3379" s="3" t="s">
        <v>62</v>
      </c>
      <c r="AT3379" s="3" t="s">
        <v>62</v>
      </c>
      <c r="AV3379" s="6" t="str">
        <f>HYPERLINK("http://mcgill.on.worldcat.org/oclc/311783016","Catalog Record")</f>
        <v>Catalog Record</v>
      </c>
      <c r="AW3379" s="6" t="str">
        <f>HYPERLINK("http://www.worldcat.org/oclc/311783016","WorldCat Record")</f>
        <v>WorldCat Record</v>
      </c>
      <c r="AX3379" s="3" t="s">
        <v>32695</v>
      </c>
      <c r="AY3379" s="3" t="s">
        <v>32696</v>
      </c>
      <c r="AZ3379" s="3" t="s">
        <v>32697</v>
      </c>
      <c r="BA3379" s="3" t="s">
        <v>32697</v>
      </c>
      <c r="BB3379" s="3" t="s">
        <v>32707</v>
      </c>
      <c r="BC3379" s="3" t="s">
        <v>102</v>
      </c>
      <c r="BD3379" s="3" t="s">
        <v>68</v>
      </c>
      <c r="BE3379" s="3" t="s">
        <v>32699</v>
      </c>
      <c r="BF3379" s="3" t="s">
        <v>32707</v>
      </c>
      <c r="BG3379" s="3" t="s">
        <v>32708</v>
      </c>
    </row>
    <row r="3380" spans="1:59" ht="101.5" x14ac:dyDescent="0.35">
      <c r="A3380" s="2" t="s">
        <v>89</v>
      </c>
      <c r="B3380" s="2" t="s">
        <v>12301</v>
      </c>
      <c r="C3380" s="2" t="s">
        <v>32689</v>
      </c>
      <c r="D3380" s="2" t="s">
        <v>32690</v>
      </c>
      <c r="E3380" s="2" t="s">
        <v>32691</v>
      </c>
      <c r="G3380" s="3" t="s">
        <v>62</v>
      </c>
      <c r="I3380" s="3" t="s">
        <v>61</v>
      </c>
      <c r="J3380" s="3" t="s">
        <v>61</v>
      </c>
      <c r="K3380" s="3" t="s">
        <v>63</v>
      </c>
      <c r="L3380" s="2" t="s">
        <v>32692</v>
      </c>
      <c r="M3380" s="2" t="s">
        <v>32693</v>
      </c>
      <c r="N3380" s="3" t="s">
        <v>684</v>
      </c>
      <c r="O3380" s="2" t="s">
        <v>17648</v>
      </c>
      <c r="P3380" s="3" t="s">
        <v>64</v>
      </c>
      <c r="R3380" s="3" t="s">
        <v>32039</v>
      </c>
      <c r="S3380" s="4">
        <v>145</v>
      </c>
      <c r="T3380" s="4">
        <v>1105</v>
      </c>
      <c r="U3380" s="5" t="s">
        <v>32709</v>
      </c>
      <c r="V3380" s="5" t="s">
        <v>4771</v>
      </c>
      <c r="W3380" s="5" t="s">
        <v>67</v>
      </c>
      <c r="X3380" s="5" t="s">
        <v>67</v>
      </c>
      <c r="Y3380" s="4">
        <v>87</v>
      </c>
      <c r="Z3380" s="4">
        <v>7</v>
      </c>
      <c r="AA3380" s="4">
        <v>33</v>
      </c>
      <c r="AB3380" s="4">
        <v>1</v>
      </c>
      <c r="AC3380" s="4">
        <v>12</v>
      </c>
      <c r="AD3380" s="4">
        <v>31</v>
      </c>
      <c r="AE3380" s="4">
        <v>81</v>
      </c>
      <c r="AF3380" s="4">
        <v>0</v>
      </c>
      <c r="AG3380" s="4">
        <v>6</v>
      </c>
      <c r="AH3380" s="4">
        <v>26</v>
      </c>
      <c r="AI3380" s="4">
        <v>64</v>
      </c>
      <c r="AJ3380" s="4">
        <v>5</v>
      </c>
      <c r="AK3380" s="4">
        <v>16</v>
      </c>
      <c r="AL3380" s="4">
        <v>14</v>
      </c>
      <c r="AM3380" s="4">
        <v>36</v>
      </c>
      <c r="AN3380" s="4">
        <v>0</v>
      </c>
      <c r="AO3380" s="4">
        <v>0</v>
      </c>
      <c r="AP3380" s="4">
        <v>6</v>
      </c>
      <c r="AQ3380" s="4">
        <v>22</v>
      </c>
      <c r="AR3380" s="3" t="s">
        <v>62</v>
      </c>
      <c r="AS3380" s="3" t="s">
        <v>62</v>
      </c>
      <c r="AT3380" s="3" t="s">
        <v>62</v>
      </c>
      <c r="AV3380" s="6" t="str">
        <f>HYPERLINK("http://mcgill.on.worldcat.org/oclc/311783016","Catalog Record")</f>
        <v>Catalog Record</v>
      </c>
      <c r="AW3380" s="6" t="str">
        <f>HYPERLINK("http://www.worldcat.org/oclc/311783016","WorldCat Record")</f>
        <v>WorldCat Record</v>
      </c>
      <c r="AX3380" s="3" t="s">
        <v>32695</v>
      </c>
      <c r="AY3380" s="3" t="s">
        <v>32696</v>
      </c>
      <c r="AZ3380" s="3" t="s">
        <v>32697</v>
      </c>
      <c r="BA3380" s="3" t="s">
        <v>32697</v>
      </c>
      <c r="BB3380" s="3" t="s">
        <v>32710</v>
      </c>
      <c r="BC3380" s="3" t="s">
        <v>102</v>
      </c>
      <c r="BD3380" s="3" t="s">
        <v>68</v>
      </c>
      <c r="BE3380" s="3" t="s">
        <v>32699</v>
      </c>
      <c r="BF3380" s="3" t="s">
        <v>32710</v>
      </c>
      <c r="BG3380" s="3" t="s">
        <v>32711</v>
      </c>
    </row>
    <row r="3381" spans="1:59" ht="58" x14ac:dyDescent="0.35">
      <c r="A3381" s="2" t="s">
        <v>59</v>
      </c>
      <c r="B3381" s="2" t="s">
        <v>60</v>
      </c>
      <c r="C3381" s="2" t="s">
        <v>32712</v>
      </c>
      <c r="D3381" s="2" t="s">
        <v>32713</v>
      </c>
      <c r="E3381" s="2" t="s">
        <v>32714</v>
      </c>
      <c r="F3381" s="3" t="s">
        <v>2217</v>
      </c>
      <c r="G3381" s="3" t="s">
        <v>61</v>
      </c>
      <c r="I3381" s="3" t="s">
        <v>61</v>
      </c>
      <c r="J3381" s="3" t="s">
        <v>62</v>
      </c>
      <c r="K3381" s="3" t="s">
        <v>63</v>
      </c>
      <c r="L3381" s="2" t="s">
        <v>32715</v>
      </c>
      <c r="M3381" s="2" t="s">
        <v>32716</v>
      </c>
      <c r="N3381" s="3" t="s">
        <v>954</v>
      </c>
      <c r="P3381" s="3" t="s">
        <v>64</v>
      </c>
      <c r="R3381" s="3" t="s">
        <v>32039</v>
      </c>
      <c r="S3381" s="4">
        <v>0</v>
      </c>
      <c r="T3381" s="4">
        <v>33</v>
      </c>
      <c r="V3381" s="5" t="s">
        <v>32717</v>
      </c>
      <c r="W3381" s="5" t="s">
        <v>67</v>
      </c>
      <c r="X3381" s="5" t="s">
        <v>67</v>
      </c>
      <c r="Y3381" s="4">
        <v>554</v>
      </c>
      <c r="Z3381" s="4">
        <v>28</v>
      </c>
      <c r="AA3381" s="4">
        <v>31</v>
      </c>
      <c r="AB3381" s="4">
        <v>2</v>
      </c>
      <c r="AC3381" s="4">
        <v>5</v>
      </c>
      <c r="AD3381" s="4">
        <v>122</v>
      </c>
      <c r="AE3381" s="4">
        <v>124</v>
      </c>
      <c r="AF3381" s="4">
        <v>1</v>
      </c>
      <c r="AG3381" s="4">
        <v>3</v>
      </c>
      <c r="AH3381" s="4">
        <v>104</v>
      </c>
      <c r="AI3381" s="4">
        <v>105</v>
      </c>
      <c r="AJ3381" s="4">
        <v>16</v>
      </c>
      <c r="AK3381" s="4">
        <v>18</v>
      </c>
      <c r="AL3381" s="4">
        <v>56</v>
      </c>
      <c r="AM3381" s="4">
        <v>56</v>
      </c>
      <c r="AN3381" s="4">
        <v>0</v>
      </c>
      <c r="AO3381" s="4">
        <v>0</v>
      </c>
      <c r="AP3381" s="4">
        <v>22</v>
      </c>
      <c r="AQ3381" s="4">
        <v>24</v>
      </c>
      <c r="AR3381" s="3" t="s">
        <v>62</v>
      </c>
      <c r="AS3381" s="3" t="s">
        <v>62</v>
      </c>
      <c r="AT3381" s="3" t="s">
        <v>61</v>
      </c>
      <c r="AU3381" s="6" t="str">
        <f>HYPERLINK("http://catalog.hathitrust.org/Record/001113724","HathiTrust Record")</f>
        <v>HathiTrust Record</v>
      </c>
      <c r="AV3381" s="6" t="str">
        <f>HYPERLINK("http://mcgill.on.worldcat.org/oclc/335985","Catalog Record")</f>
        <v>Catalog Record</v>
      </c>
      <c r="AW3381" s="6" t="str">
        <f>HYPERLINK("http://www.worldcat.org/oclc/335985","WorldCat Record")</f>
        <v>WorldCat Record</v>
      </c>
      <c r="AX3381" s="3" t="s">
        <v>32718</v>
      </c>
      <c r="AY3381" s="3" t="s">
        <v>32719</v>
      </c>
      <c r="AZ3381" s="3" t="s">
        <v>32720</v>
      </c>
      <c r="BA3381" s="3" t="s">
        <v>32720</v>
      </c>
      <c r="BB3381" s="3" t="s">
        <v>32721</v>
      </c>
      <c r="BC3381" s="3" t="s">
        <v>102</v>
      </c>
      <c r="BD3381" s="3" t="s">
        <v>68</v>
      </c>
      <c r="BE3381" s="3" t="s">
        <v>32722</v>
      </c>
      <c r="BF3381" s="3" t="s">
        <v>32721</v>
      </c>
      <c r="BG3381" s="3" t="s">
        <v>32723</v>
      </c>
    </row>
    <row r="3382" spans="1:59" ht="58" x14ac:dyDescent="0.35">
      <c r="A3382" s="2" t="s">
        <v>59</v>
      </c>
      <c r="B3382" s="2" t="s">
        <v>60</v>
      </c>
      <c r="C3382" s="2" t="s">
        <v>32712</v>
      </c>
      <c r="D3382" s="2" t="s">
        <v>32713</v>
      </c>
      <c r="E3382" s="2" t="s">
        <v>32714</v>
      </c>
      <c r="F3382" s="3" t="s">
        <v>2233</v>
      </c>
      <c r="G3382" s="3" t="s">
        <v>61</v>
      </c>
      <c r="I3382" s="3" t="s">
        <v>61</v>
      </c>
      <c r="J3382" s="3" t="s">
        <v>62</v>
      </c>
      <c r="K3382" s="3" t="s">
        <v>63</v>
      </c>
      <c r="L3382" s="2" t="s">
        <v>32715</v>
      </c>
      <c r="M3382" s="2" t="s">
        <v>32716</v>
      </c>
      <c r="N3382" s="3" t="s">
        <v>954</v>
      </c>
      <c r="P3382" s="3" t="s">
        <v>64</v>
      </c>
      <c r="R3382" s="3" t="s">
        <v>32039</v>
      </c>
      <c r="S3382" s="4">
        <v>0</v>
      </c>
      <c r="T3382" s="4">
        <v>33</v>
      </c>
      <c r="V3382" s="5" t="s">
        <v>32717</v>
      </c>
      <c r="W3382" s="5" t="s">
        <v>67</v>
      </c>
      <c r="X3382" s="5" t="s">
        <v>67</v>
      </c>
      <c r="Y3382" s="4">
        <v>554</v>
      </c>
      <c r="Z3382" s="4">
        <v>28</v>
      </c>
      <c r="AA3382" s="4">
        <v>31</v>
      </c>
      <c r="AB3382" s="4">
        <v>2</v>
      </c>
      <c r="AC3382" s="4">
        <v>5</v>
      </c>
      <c r="AD3382" s="4">
        <v>122</v>
      </c>
      <c r="AE3382" s="4">
        <v>124</v>
      </c>
      <c r="AF3382" s="4">
        <v>1</v>
      </c>
      <c r="AG3382" s="4">
        <v>3</v>
      </c>
      <c r="AH3382" s="4">
        <v>104</v>
      </c>
      <c r="AI3382" s="4">
        <v>105</v>
      </c>
      <c r="AJ3382" s="4">
        <v>16</v>
      </c>
      <c r="AK3382" s="4">
        <v>18</v>
      </c>
      <c r="AL3382" s="4">
        <v>56</v>
      </c>
      <c r="AM3382" s="4">
        <v>56</v>
      </c>
      <c r="AN3382" s="4">
        <v>0</v>
      </c>
      <c r="AO3382" s="4">
        <v>0</v>
      </c>
      <c r="AP3382" s="4">
        <v>22</v>
      </c>
      <c r="AQ3382" s="4">
        <v>24</v>
      </c>
      <c r="AR3382" s="3" t="s">
        <v>62</v>
      </c>
      <c r="AS3382" s="3" t="s">
        <v>62</v>
      </c>
      <c r="AT3382" s="3" t="s">
        <v>61</v>
      </c>
      <c r="AU3382" s="6" t="str">
        <f>HYPERLINK("http://catalog.hathitrust.org/Record/001113724","HathiTrust Record")</f>
        <v>HathiTrust Record</v>
      </c>
      <c r="AV3382" s="6" t="str">
        <f>HYPERLINK("http://mcgill.on.worldcat.org/oclc/335985","Catalog Record")</f>
        <v>Catalog Record</v>
      </c>
      <c r="AW3382" s="6" t="str">
        <f>HYPERLINK("http://www.worldcat.org/oclc/335985","WorldCat Record")</f>
        <v>WorldCat Record</v>
      </c>
      <c r="AX3382" s="3" t="s">
        <v>32718</v>
      </c>
      <c r="AY3382" s="3" t="s">
        <v>32719</v>
      </c>
      <c r="AZ3382" s="3" t="s">
        <v>32720</v>
      </c>
      <c r="BA3382" s="3" t="s">
        <v>32720</v>
      </c>
      <c r="BB3382" s="3" t="s">
        <v>32724</v>
      </c>
      <c r="BC3382" s="3" t="s">
        <v>102</v>
      </c>
      <c r="BD3382" s="3" t="s">
        <v>68</v>
      </c>
      <c r="BE3382" s="3" t="s">
        <v>32722</v>
      </c>
      <c r="BF3382" s="3" t="s">
        <v>32724</v>
      </c>
      <c r="BG3382" s="3" t="s">
        <v>32725</v>
      </c>
    </row>
    <row r="3383" spans="1:59" ht="58" x14ac:dyDescent="0.35">
      <c r="A3383" s="2" t="s">
        <v>59</v>
      </c>
      <c r="B3383" s="2" t="s">
        <v>60</v>
      </c>
      <c r="C3383" s="2" t="s">
        <v>32726</v>
      </c>
      <c r="D3383" s="2" t="s">
        <v>32727</v>
      </c>
      <c r="E3383" s="2" t="s">
        <v>32728</v>
      </c>
      <c r="F3383" s="3" t="s">
        <v>32729</v>
      </c>
      <c r="G3383" s="3" t="s">
        <v>61</v>
      </c>
      <c r="I3383" s="3" t="s">
        <v>62</v>
      </c>
      <c r="J3383" s="3" t="s">
        <v>62</v>
      </c>
      <c r="K3383" s="3" t="s">
        <v>63</v>
      </c>
      <c r="L3383" s="2" t="s">
        <v>32715</v>
      </c>
      <c r="M3383" s="2" t="s">
        <v>32730</v>
      </c>
      <c r="N3383" s="3" t="s">
        <v>1064</v>
      </c>
      <c r="P3383" s="3" t="s">
        <v>64</v>
      </c>
      <c r="R3383" s="3" t="s">
        <v>32039</v>
      </c>
      <c r="S3383" s="4">
        <v>0</v>
      </c>
      <c r="T3383" s="4">
        <v>9</v>
      </c>
      <c r="V3383" s="5" t="s">
        <v>18909</v>
      </c>
      <c r="W3383" s="5" t="s">
        <v>67</v>
      </c>
      <c r="X3383" s="5" t="s">
        <v>67</v>
      </c>
      <c r="Y3383" s="4">
        <v>12</v>
      </c>
      <c r="Z3383" s="4">
        <v>2</v>
      </c>
      <c r="AA3383" s="4">
        <v>7</v>
      </c>
      <c r="AB3383" s="4">
        <v>2</v>
      </c>
      <c r="AC3383" s="4">
        <v>5</v>
      </c>
      <c r="AD3383" s="4">
        <v>0</v>
      </c>
      <c r="AE3383" s="4">
        <v>4</v>
      </c>
      <c r="AF3383" s="4">
        <v>0</v>
      </c>
      <c r="AG3383" s="4">
        <v>2</v>
      </c>
      <c r="AH3383" s="4">
        <v>0</v>
      </c>
      <c r="AI3383" s="4">
        <v>0</v>
      </c>
      <c r="AJ3383" s="4">
        <v>0</v>
      </c>
      <c r="AK3383" s="4">
        <v>4</v>
      </c>
      <c r="AL3383" s="4">
        <v>0</v>
      </c>
      <c r="AM3383" s="4">
        <v>0</v>
      </c>
      <c r="AN3383" s="4">
        <v>0</v>
      </c>
      <c r="AO3383" s="4">
        <v>0</v>
      </c>
      <c r="AP3383" s="4">
        <v>0</v>
      </c>
      <c r="AQ3383" s="4">
        <v>3</v>
      </c>
      <c r="AR3383" s="3" t="s">
        <v>62</v>
      </c>
      <c r="AS3383" s="3" t="s">
        <v>62</v>
      </c>
      <c r="AT3383" s="3" t="s">
        <v>61</v>
      </c>
      <c r="AU3383" s="6" t="str">
        <f>HYPERLINK("http://catalog.hathitrust.org/Record/001113724","HathiTrust Record")</f>
        <v>HathiTrust Record</v>
      </c>
      <c r="AV3383" s="6" t="str">
        <f>HYPERLINK("http://mcgill.on.worldcat.org/oclc/270803184","Catalog Record")</f>
        <v>Catalog Record</v>
      </c>
      <c r="AW3383" s="6" t="str">
        <f>HYPERLINK("http://www.worldcat.org/oclc/270803184","WorldCat Record")</f>
        <v>WorldCat Record</v>
      </c>
      <c r="AX3383" s="3" t="s">
        <v>32731</v>
      </c>
      <c r="AY3383" s="3" t="s">
        <v>32732</v>
      </c>
      <c r="AZ3383" s="3" t="s">
        <v>32733</v>
      </c>
      <c r="BA3383" s="3" t="s">
        <v>32733</v>
      </c>
      <c r="BB3383" s="3" t="s">
        <v>32734</v>
      </c>
      <c r="BC3383" s="3" t="s">
        <v>102</v>
      </c>
      <c r="BD3383" s="3" t="s">
        <v>68</v>
      </c>
      <c r="BE3383" s="3" t="s">
        <v>32722</v>
      </c>
      <c r="BF3383" s="3" t="s">
        <v>32734</v>
      </c>
      <c r="BG3383" s="3" t="s">
        <v>32735</v>
      </c>
    </row>
    <row r="3384" spans="1:59" ht="58" x14ac:dyDescent="0.35">
      <c r="A3384" s="2" t="s">
        <v>59</v>
      </c>
      <c r="B3384" s="2" t="s">
        <v>60</v>
      </c>
      <c r="C3384" s="2" t="s">
        <v>32726</v>
      </c>
      <c r="D3384" s="2" t="s">
        <v>32727</v>
      </c>
      <c r="E3384" s="2" t="s">
        <v>32728</v>
      </c>
      <c r="F3384" s="3" t="s">
        <v>32736</v>
      </c>
      <c r="G3384" s="3" t="s">
        <v>61</v>
      </c>
      <c r="I3384" s="3" t="s">
        <v>62</v>
      </c>
      <c r="J3384" s="3" t="s">
        <v>62</v>
      </c>
      <c r="K3384" s="3" t="s">
        <v>63</v>
      </c>
      <c r="L3384" s="2" t="s">
        <v>32715</v>
      </c>
      <c r="M3384" s="2" t="s">
        <v>32730</v>
      </c>
      <c r="N3384" s="3" t="s">
        <v>1064</v>
      </c>
      <c r="P3384" s="3" t="s">
        <v>64</v>
      </c>
      <c r="R3384" s="3" t="s">
        <v>32039</v>
      </c>
      <c r="S3384" s="4">
        <v>9</v>
      </c>
      <c r="T3384" s="4">
        <v>9</v>
      </c>
      <c r="U3384" s="5" t="s">
        <v>18909</v>
      </c>
      <c r="V3384" s="5" t="s">
        <v>18909</v>
      </c>
      <c r="W3384" s="5" t="s">
        <v>67</v>
      </c>
      <c r="X3384" s="5" t="s">
        <v>67</v>
      </c>
      <c r="Y3384" s="4">
        <v>12</v>
      </c>
      <c r="Z3384" s="4">
        <v>2</v>
      </c>
      <c r="AA3384" s="4">
        <v>7</v>
      </c>
      <c r="AB3384" s="4">
        <v>2</v>
      </c>
      <c r="AC3384" s="4">
        <v>5</v>
      </c>
      <c r="AD3384" s="4">
        <v>0</v>
      </c>
      <c r="AE3384" s="4">
        <v>4</v>
      </c>
      <c r="AF3384" s="4">
        <v>0</v>
      </c>
      <c r="AG3384" s="4">
        <v>2</v>
      </c>
      <c r="AH3384" s="4">
        <v>0</v>
      </c>
      <c r="AI3384" s="4">
        <v>0</v>
      </c>
      <c r="AJ3384" s="4">
        <v>0</v>
      </c>
      <c r="AK3384" s="4">
        <v>4</v>
      </c>
      <c r="AL3384" s="4">
        <v>0</v>
      </c>
      <c r="AM3384" s="4">
        <v>0</v>
      </c>
      <c r="AN3384" s="4">
        <v>0</v>
      </c>
      <c r="AO3384" s="4">
        <v>0</v>
      </c>
      <c r="AP3384" s="4">
        <v>0</v>
      </c>
      <c r="AQ3384" s="4">
        <v>3</v>
      </c>
      <c r="AR3384" s="3" t="s">
        <v>62</v>
      </c>
      <c r="AS3384" s="3" t="s">
        <v>62</v>
      </c>
      <c r="AT3384" s="3" t="s">
        <v>61</v>
      </c>
      <c r="AU3384" s="6" t="str">
        <f>HYPERLINK("http://catalog.hathitrust.org/Record/001113724","HathiTrust Record")</f>
        <v>HathiTrust Record</v>
      </c>
      <c r="AV3384" s="6" t="str">
        <f>HYPERLINK("http://mcgill.on.worldcat.org/oclc/270803184","Catalog Record")</f>
        <v>Catalog Record</v>
      </c>
      <c r="AW3384" s="6" t="str">
        <f>HYPERLINK("http://www.worldcat.org/oclc/270803184","WorldCat Record")</f>
        <v>WorldCat Record</v>
      </c>
      <c r="AX3384" s="3" t="s">
        <v>32731</v>
      </c>
      <c r="AY3384" s="3" t="s">
        <v>32732</v>
      </c>
      <c r="AZ3384" s="3" t="s">
        <v>32733</v>
      </c>
      <c r="BA3384" s="3" t="s">
        <v>32733</v>
      </c>
      <c r="BB3384" s="3" t="s">
        <v>32737</v>
      </c>
      <c r="BC3384" s="3" t="s">
        <v>102</v>
      </c>
      <c r="BD3384" s="3" t="s">
        <v>68</v>
      </c>
      <c r="BE3384" s="3" t="s">
        <v>32722</v>
      </c>
      <c r="BF3384" s="3" t="s">
        <v>32737</v>
      </c>
      <c r="BG3384" s="3" t="s">
        <v>32738</v>
      </c>
    </row>
    <row r="3385" spans="1:59" ht="101.5" x14ac:dyDescent="0.35">
      <c r="A3385" s="2" t="s">
        <v>89</v>
      </c>
      <c r="B3385" s="2" t="s">
        <v>12301</v>
      </c>
      <c r="C3385" s="2" t="s">
        <v>32739</v>
      </c>
      <c r="D3385" s="2" t="s">
        <v>32740</v>
      </c>
      <c r="E3385" s="2" t="s">
        <v>32741</v>
      </c>
      <c r="G3385" s="3" t="s">
        <v>62</v>
      </c>
      <c r="I3385" s="3" t="s">
        <v>62</v>
      </c>
      <c r="J3385" s="3" t="s">
        <v>61</v>
      </c>
      <c r="K3385" s="3" t="s">
        <v>63</v>
      </c>
      <c r="L3385" s="2" t="s">
        <v>32742</v>
      </c>
      <c r="M3385" s="2" t="s">
        <v>32743</v>
      </c>
      <c r="N3385" s="3" t="s">
        <v>1455</v>
      </c>
      <c r="O3385" s="2" t="s">
        <v>17053</v>
      </c>
      <c r="P3385" s="3" t="s">
        <v>64</v>
      </c>
      <c r="R3385" s="3" t="s">
        <v>32039</v>
      </c>
      <c r="S3385" s="4">
        <v>10</v>
      </c>
      <c r="T3385" s="4">
        <v>10</v>
      </c>
      <c r="U3385" s="5" t="s">
        <v>15964</v>
      </c>
      <c r="V3385" s="5" t="s">
        <v>15964</v>
      </c>
      <c r="W3385" s="5" t="s">
        <v>67</v>
      </c>
      <c r="X3385" s="5" t="s">
        <v>67</v>
      </c>
      <c r="Y3385" s="4">
        <v>111</v>
      </c>
      <c r="Z3385" s="4">
        <v>13</v>
      </c>
      <c r="AA3385" s="4">
        <v>84</v>
      </c>
      <c r="AB3385" s="4">
        <v>4</v>
      </c>
      <c r="AC3385" s="4">
        <v>20</v>
      </c>
      <c r="AD3385" s="4">
        <v>27</v>
      </c>
      <c r="AE3385" s="4">
        <v>135</v>
      </c>
      <c r="AF3385" s="4">
        <v>1</v>
      </c>
      <c r="AG3385" s="4">
        <v>7</v>
      </c>
      <c r="AH3385" s="4">
        <v>22</v>
      </c>
      <c r="AI3385" s="4">
        <v>97</v>
      </c>
      <c r="AJ3385" s="4">
        <v>7</v>
      </c>
      <c r="AK3385" s="4">
        <v>28</v>
      </c>
      <c r="AL3385" s="4">
        <v>9</v>
      </c>
      <c r="AM3385" s="4">
        <v>52</v>
      </c>
      <c r="AN3385" s="4">
        <v>0</v>
      </c>
      <c r="AO3385" s="4">
        <v>0</v>
      </c>
      <c r="AP3385" s="4">
        <v>9</v>
      </c>
      <c r="AQ3385" s="4">
        <v>44</v>
      </c>
      <c r="AR3385" s="3" t="s">
        <v>62</v>
      </c>
      <c r="AS3385" s="3" t="s">
        <v>62</v>
      </c>
      <c r="AT3385" s="3" t="s">
        <v>62</v>
      </c>
      <c r="AV3385" s="6" t="str">
        <f>HYPERLINK("http://mcgill.on.worldcat.org/oclc/864087517","Catalog Record")</f>
        <v>Catalog Record</v>
      </c>
      <c r="AW3385" s="6" t="str">
        <f>HYPERLINK("http://www.worldcat.org/oclc/864087517","WorldCat Record")</f>
        <v>WorldCat Record</v>
      </c>
      <c r="AX3385" s="3" t="s">
        <v>32744</v>
      </c>
      <c r="AY3385" s="3" t="s">
        <v>32745</v>
      </c>
      <c r="AZ3385" s="3" t="s">
        <v>32746</v>
      </c>
      <c r="BA3385" s="3" t="s">
        <v>32746</v>
      </c>
      <c r="BB3385" s="3" t="s">
        <v>32747</v>
      </c>
      <c r="BC3385" s="3" t="s">
        <v>102</v>
      </c>
      <c r="BD3385" s="3" t="s">
        <v>68</v>
      </c>
      <c r="BE3385" s="3" t="s">
        <v>32748</v>
      </c>
      <c r="BF3385" s="3" t="s">
        <v>32747</v>
      </c>
      <c r="BG3385" s="3" t="s">
        <v>32749</v>
      </c>
    </row>
    <row r="3386" spans="1:59" ht="58" x14ac:dyDescent="0.35">
      <c r="A3386" s="2" t="s">
        <v>89</v>
      </c>
      <c r="B3386" s="2" t="s">
        <v>90</v>
      </c>
      <c r="C3386" s="2" t="s">
        <v>32750</v>
      </c>
      <c r="D3386" s="2" t="s">
        <v>32751</v>
      </c>
      <c r="E3386" s="2" t="s">
        <v>32752</v>
      </c>
      <c r="G3386" s="3" t="s">
        <v>62</v>
      </c>
      <c r="I3386" s="3" t="s">
        <v>61</v>
      </c>
      <c r="J3386" s="3" t="s">
        <v>61</v>
      </c>
      <c r="K3386" s="3" t="s">
        <v>63</v>
      </c>
      <c r="L3386" s="2" t="s">
        <v>32753</v>
      </c>
      <c r="M3386" s="2" t="s">
        <v>32754</v>
      </c>
      <c r="N3386" s="3" t="s">
        <v>81</v>
      </c>
      <c r="O3386" s="2" t="s">
        <v>1941</v>
      </c>
      <c r="P3386" s="3" t="s">
        <v>64</v>
      </c>
      <c r="R3386" s="3" t="s">
        <v>32039</v>
      </c>
      <c r="S3386" s="4">
        <v>31</v>
      </c>
      <c r="T3386" s="4">
        <v>126</v>
      </c>
      <c r="U3386" s="5" t="s">
        <v>16979</v>
      </c>
      <c r="V3386" s="5" t="s">
        <v>8315</v>
      </c>
      <c r="W3386" s="5" t="s">
        <v>67</v>
      </c>
      <c r="X3386" s="5" t="s">
        <v>67</v>
      </c>
      <c r="Y3386" s="4">
        <v>2210</v>
      </c>
      <c r="Z3386" s="4">
        <v>73</v>
      </c>
      <c r="AA3386" s="4">
        <v>140</v>
      </c>
      <c r="AB3386" s="4">
        <v>4</v>
      </c>
      <c r="AC3386" s="4">
        <v>14</v>
      </c>
      <c r="AD3386" s="4">
        <v>139</v>
      </c>
      <c r="AE3386" s="4">
        <v>173</v>
      </c>
      <c r="AF3386" s="4">
        <v>2</v>
      </c>
      <c r="AG3386" s="4">
        <v>6</v>
      </c>
      <c r="AH3386" s="4">
        <v>107</v>
      </c>
      <c r="AI3386" s="4">
        <v>119</v>
      </c>
      <c r="AJ3386" s="4">
        <v>23</v>
      </c>
      <c r="AK3386" s="4">
        <v>31</v>
      </c>
      <c r="AL3386" s="4">
        <v>56</v>
      </c>
      <c r="AM3386" s="4">
        <v>65</v>
      </c>
      <c r="AN3386" s="4">
        <v>0</v>
      </c>
      <c r="AO3386" s="4">
        <v>0</v>
      </c>
      <c r="AP3386" s="4">
        <v>36</v>
      </c>
      <c r="AQ3386" s="4">
        <v>55</v>
      </c>
      <c r="AR3386" s="3" t="s">
        <v>62</v>
      </c>
      <c r="AS3386" s="3" t="s">
        <v>62</v>
      </c>
      <c r="AT3386" s="3" t="s">
        <v>61</v>
      </c>
      <c r="AU3386" s="6" t="str">
        <f>HYPERLINK("http://catalog.hathitrust.org/Record/001112713","HathiTrust Record")</f>
        <v>HathiTrust Record</v>
      </c>
      <c r="AV3386" s="6" t="str">
        <f>HYPERLINK("http://mcgill.on.worldcat.org/oclc/439345","Catalog Record")</f>
        <v>Catalog Record</v>
      </c>
      <c r="AW3386" s="6" t="str">
        <f>HYPERLINK("http://www.worldcat.org/oclc/439345","WorldCat Record")</f>
        <v>WorldCat Record</v>
      </c>
      <c r="AX3386" s="3" t="s">
        <v>32755</v>
      </c>
      <c r="AY3386" s="3" t="s">
        <v>32756</v>
      </c>
      <c r="AZ3386" s="3" t="s">
        <v>32757</v>
      </c>
      <c r="BA3386" s="3" t="s">
        <v>32757</v>
      </c>
      <c r="BB3386" s="3" t="s">
        <v>32758</v>
      </c>
      <c r="BC3386" s="3" t="s">
        <v>102</v>
      </c>
      <c r="BD3386" s="3" t="s">
        <v>68</v>
      </c>
      <c r="BF3386" s="3" t="s">
        <v>32758</v>
      </c>
      <c r="BG3386" s="3" t="s">
        <v>32759</v>
      </c>
    </row>
    <row r="3387" spans="1:59" ht="58" x14ac:dyDescent="0.35">
      <c r="A3387" s="2" t="s">
        <v>89</v>
      </c>
      <c r="B3387" s="2" t="s">
        <v>90</v>
      </c>
      <c r="C3387" s="2" t="s">
        <v>32750</v>
      </c>
      <c r="D3387" s="2" t="s">
        <v>32751</v>
      </c>
      <c r="E3387" s="2" t="s">
        <v>32752</v>
      </c>
      <c r="G3387" s="3" t="s">
        <v>62</v>
      </c>
      <c r="I3387" s="3" t="s">
        <v>61</v>
      </c>
      <c r="J3387" s="3" t="s">
        <v>61</v>
      </c>
      <c r="K3387" s="3" t="s">
        <v>63</v>
      </c>
      <c r="L3387" s="2" t="s">
        <v>32753</v>
      </c>
      <c r="M3387" s="2" t="s">
        <v>32754</v>
      </c>
      <c r="N3387" s="3" t="s">
        <v>81</v>
      </c>
      <c r="O3387" s="2" t="s">
        <v>1941</v>
      </c>
      <c r="P3387" s="3" t="s">
        <v>64</v>
      </c>
      <c r="R3387" s="3" t="s">
        <v>32039</v>
      </c>
      <c r="S3387" s="4">
        <v>0</v>
      </c>
      <c r="T3387" s="4">
        <v>126</v>
      </c>
      <c r="V3387" s="5" t="s">
        <v>8315</v>
      </c>
      <c r="W3387" s="5" t="s">
        <v>67</v>
      </c>
      <c r="X3387" s="5" t="s">
        <v>67</v>
      </c>
      <c r="Y3387" s="4">
        <v>2210</v>
      </c>
      <c r="Z3387" s="4">
        <v>73</v>
      </c>
      <c r="AA3387" s="4">
        <v>140</v>
      </c>
      <c r="AB3387" s="4">
        <v>4</v>
      </c>
      <c r="AC3387" s="4">
        <v>14</v>
      </c>
      <c r="AD3387" s="4">
        <v>139</v>
      </c>
      <c r="AE3387" s="4">
        <v>173</v>
      </c>
      <c r="AF3387" s="4">
        <v>2</v>
      </c>
      <c r="AG3387" s="4">
        <v>6</v>
      </c>
      <c r="AH3387" s="4">
        <v>107</v>
      </c>
      <c r="AI3387" s="4">
        <v>119</v>
      </c>
      <c r="AJ3387" s="4">
        <v>23</v>
      </c>
      <c r="AK3387" s="4">
        <v>31</v>
      </c>
      <c r="AL3387" s="4">
        <v>56</v>
      </c>
      <c r="AM3387" s="4">
        <v>65</v>
      </c>
      <c r="AN3387" s="4">
        <v>0</v>
      </c>
      <c r="AO3387" s="4">
        <v>0</v>
      </c>
      <c r="AP3387" s="4">
        <v>36</v>
      </c>
      <c r="AQ3387" s="4">
        <v>55</v>
      </c>
      <c r="AR3387" s="3" t="s">
        <v>62</v>
      </c>
      <c r="AS3387" s="3" t="s">
        <v>62</v>
      </c>
      <c r="AT3387" s="3" t="s">
        <v>61</v>
      </c>
      <c r="AU3387" s="6" t="str">
        <f>HYPERLINK("http://catalog.hathitrust.org/Record/001112713","HathiTrust Record")</f>
        <v>HathiTrust Record</v>
      </c>
      <c r="AV3387" s="6" t="str">
        <f>HYPERLINK("http://mcgill.on.worldcat.org/oclc/439345","Catalog Record")</f>
        <v>Catalog Record</v>
      </c>
      <c r="AW3387" s="6" t="str">
        <f>HYPERLINK("http://www.worldcat.org/oclc/439345","WorldCat Record")</f>
        <v>WorldCat Record</v>
      </c>
      <c r="AX3387" s="3" t="s">
        <v>32755</v>
      </c>
      <c r="AY3387" s="3" t="s">
        <v>32756</v>
      </c>
      <c r="AZ3387" s="3" t="s">
        <v>32757</v>
      </c>
      <c r="BA3387" s="3" t="s">
        <v>32757</v>
      </c>
      <c r="BB3387" s="3" t="s">
        <v>32760</v>
      </c>
      <c r="BC3387" s="3" t="s">
        <v>102</v>
      </c>
      <c r="BD3387" s="3" t="s">
        <v>68</v>
      </c>
      <c r="BF3387" s="3" t="s">
        <v>32760</v>
      </c>
      <c r="BG3387" s="3" t="s">
        <v>32761</v>
      </c>
    </row>
    <row r="3388" spans="1:59" ht="58" x14ac:dyDescent="0.35">
      <c r="A3388" s="2" t="s">
        <v>89</v>
      </c>
      <c r="B3388" s="2" t="s">
        <v>90</v>
      </c>
      <c r="C3388" s="2" t="s">
        <v>32750</v>
      </c>
      <c r="D3388" s="2" t="s">
        <v>32751</v>
      </c>
      <c r="E3388" s="2" t="s">
        <v>32752</v>
      </c>
      <c r="G3388" s="3" t="s">
        <v>62</v>
      </c>
      <c r="I3388" s="3" t="s">
        <v>61</v>
      </c>
      <c r="J3388" s="3" t="s">
        <v>61</v>
      </c>
      <c r="K3388" s="3" t="s">
        <v>63</v>
      </c>
      <c r="L3388" s="2" t="s">
        <v>32753</v>
      </c>
      <c r="M3388" s="2" t="s">
        <v>32754</v>
      </c>
      <c r="N3388" s="3" t="s">
        <v>81</v>
      </c>
      <c r="O3388" s="2" t="s">
        <v>1941</v>
      </c>
      <c r="P3388" s="3" t="s">
        <v>64</v>
      </c>
      <c r="R3388" s="3" t="s">
        <v>32039</v>
      </c>
      <c r="S3388" s="4">
        <v>36</v>
      </c>
      <c r="T3388" s="4">
        <v>126</v>
      </c>
      <c r="U3388" s="5" t="s">
        <v>76</v>
      </c>
      <c r="V3388" s="5" t="s">
        <v>8315</v>
      </c>
      <c r="W3388" s="5" t="s">
        <v>67</v>
      </c>
      <c r="X3388" s="5" t="s">
        <v>67</v>
      </c>
      <c r="Y3388" s="4">
        <v>2210</v>
      </c>
      <c r="Z3388" s="4">
        <v>73</v>
      </c>
      <c r="AA3388" s="4">
        <v>140</v>
      </c>
      <c r="AB3388" s="4">
        <v>4</v>
      </c>
      <c r="AC3388" s="4">
        <v>14</v>
      </c>
      <c r="AD3388" s="4">
        <v>139</v>
      </c>
      <c r="AE3388" s="4">
        <v>173</v>
      </c>
      <c r="AF3388" s="4">
        <v>2</v>
      </c>
      <c r="AG3388" s="4">
        <v>6</v>
      </c>
      <c r="AH3388" s="4">
        <v>107</v>
      </c>
      <c r="AI3388" s="4">
        <v>119</v>
      </c>
      <c r="AJ3388" s="4">
        <v>23</v>
      </c>
      <c r="AK3388" s="4">
        <v>31</v>
      </c>
      <c r="AL3388" s="4">
        <v>56</v>
      </c>
      <c r="AM3388" s="4">
        <v>65</v>
      </c>
      <c r="AN3388" s="4">
        <v>0</v>
      </c>
      <c r="AO3388" s="4">
        <v>0</v>
      </c>
      <c r="AP3388" s="4">
        <v>36</v>
      </c>
      <c r="AQ3388" s="4">
        <v>55</v>
      </c>
      <c r="AR3388" s="3" t="s">
        <v>62</v>
      </c>
      <c r="AS3388" s="3" t="s">
        <v>62</v>
      </c>
      <c r="AT3388" s="3" t="s">
        <v>61</v>
      </c>
      <c r="AU3388" s="6" t="str">
        <f>HYPERLINK("http://catalog.hathitrust.org/Record/001112713","HathiTrust Record")</f>
        <v>HathiTrust Record</v>
      </c>
      <c r="AV3388" s="6" t="str">
        <f>HYPERLINK("http://mcgill.on.worldcat.org/oclc/439345","Catalog Record")</f>
        <v>Catalog Record</v>
      </c>
      <c r="AW3388" s="6" t="str">
        <f>HYPERLINK("http://www.worldcat.org/oclc/439345","WorldCat Record")</f>
        <v>WorldCat Record</v>
      </c>
      <c r="AX3388" s="3" t="s">
        <v>32755</v>
      </c>
      <c r="AY3388" s="3" t="s">
        <v>32756</v>
      </c>
      <c r="AZ3388" s="3" t="s">
        <v>32757</v>
      </c>
      <c r="BA3388" s="3" t="s">
        <v>32757</v>
      </c>
      <c r="BB3388" s="3" t="s">
        <v>32762</v>
      </c>
      <c r="BC3388" s="3" t="s">
        <v>102</v>
      </c>
      <c r="BD3388" s="3" t="s">
        <v>68</v>
      </c>
      <c r="BF3388" s="3" t="s">
        <v>32762</v>
      </c>
      <c r="BG3388" s="3" t="s">
        <v>32763</v>
      </c>
    </row>
    <row r="3389" spans="1:59" ht="101.5" x14ac:dyDescent="0.35">
      <c r="A3389" s="2" t="s">
        <v>89</v>
      </c>
      <c r="B3389" s="2" t="s">
        <v>12301</v>
      </c>
      <c r="C3389" s="2" t="s">
        <v>32764</v>
      </c>
      <c r="D3389" s="2" t="s">
        <v>32765</v>
      </c>
      <c r="E3389" s="2" t="s">
        <v>32766</v>
      </c>
      <c r="G3389" s="3" t="s">
        <v>62</v>
      </c>
      <c r="I3389" s="3" t="s">
        <v>61</v>
      </c>
      <c r="J3389" s="3" t="s">
        <v>62</v>
      </c>
      <c r="K3389" s="3" t="s">
        <v>63</v>
      </c>
      <c r="L3389" s="2" t="s">
        <v>32767</v>
      </c>
      <c r="M3389" s="2" t="s">
        <v>32768</v>
      </c>
      <c r="N3389" s="3" t="s">
        <v>568</v>
      </c>
      <c r="P3389" s="3" t="s">
        <v>64</v>
      </c>
      <c r="R3389" s="3" t="s">
        <v>32039</v>
      </c>
      <c r="S3389" s="4">
        <v>344</v>
      </c>
      <c r="T3389" s="4">
        <v>1179</v>
      </c>
      <c r="U3389" s="5" t="s">
        <v>3110</v>
      </c>
      <c r="V3389" s="5" t="s">
        <v>3110</v>
      </c>
      <c r="W3389" s="5" t="s">
        <v>67</v>
      </c>
      <c r="X3389" s="5" t="s">
        <v>5085</v>
      </c>
      <c r="Y3389" s="4">
        <v>240</v>
      </c>
      <c r="Z3389" s="4">
        <v>11</v>
      </c>
      <c r="AA3389" s="4">
        <v>23</v>
      </c>
      <c r="AB3389" s="4">
        <v>1</v>
      </c>
      <c r="AC3389" s="4">
        <v>5</v>
      </c>
      <c r="AD3389" s="4">
        <v>48</v>
      </c>
      <c r="AE3389" s="4">
        <v>57</v>
      </c>
      <c r="AF3389" s="4">
        <v>0</v>
      </c>
      <c r="AG3389" s="4">
        <v>4</v>
      </c>
      <c r="AH3389" s="4">
        <v>42</v>
      </c>
      <c r="AI3389" s="4">
        <v>46</v>
      </c>
      <c r="AJ3389" s="4">
        <v>5</v>
      </c>
      <c r="AK3389" s="4">
        <v>11</v>
      </c>
      <c r="AL3389" s="4">
        <v>25</v>
      </c>
      <c r="AM3389" s="4">
        <v>27</v>
      </c>
      <c r="AN3389" s="4">
        <v>0</v>
      </c>
      <c r="AO3389" s="4">
        <v>0</v>
      </c>
      <c r="AP3389" s="4">
        <v>7</v>
      </c>
      <c r="AQ3389" s="4">
        <v>13</v>
      </c>
      <c r="AR3389" s="3" t="s">
        <v>62</v>
      </c>
      <c r="AS3389" s="3" t="s">
        <v>62</v>
      </c>
      <c r="AT3389" s="3" t="s">
        <v>62</v>
      </c>
      <c r="AV3389" s="6" t="str">
        <f>HYPERLINK("http://mcgill.on.worldcat.org/oclc/42780525","Catalog Record")</f>
        <v>Catalog Record</v>
      </c>
      <c r="AW3389" s="6" t="str">
        <f>HYPERLINK("http://www.worldcat.org/oclc/42780525","WorldCat Record")</f>
        <v>WorldCat Record</v>
      </c>
      <c r="AX3389" s="3" t="s">
        <v>32769</v>
      </c>
      <c r="AY3389" s="3" t="s">
        <v>32770</v>
      </c>
      <c r="AZ3389" s="3" t="s">
        <v>32771</v>
      </c>
      <c r="BA3389" s="3" t="s">
        <v>32771</v>
      </c>
      <c r="BB3389" s="3" t="s">
        <v>32772</v>
      </c>
      <c r="BC3389" s="3" t="s">
        <v>102</v>
      </c>
      <c r="BD3389" s="3" t="s">
        <v>68</v>
      </c>
      <c r="BE3389" s="3" t="s">
        <v>32773</v>
      </c>
      <c r="BF3389" s="3" t="s">
        <v>32772</v>
      </c>
      <c r="BG3389" s="3" t="s">
        <v>32774</v>
      </c>
    </row>
    <row r="3390" spans="1:59" ht="101.5" x14ac:dyDescent="0.35">
      <c r="A3390" s="2" t="s">
        <v>89</v>
      </c>
      <c r="B3390" s="2" t="s">
        <v>12301</v>
      </c>
      <c r="C3390" s="2" t="s">
        <v>32764</v>
      </c>
      <c r="D3390" s="2" t="s">
        <v>32765</v>
      </c>
      <c r="E3390" s="2" t="s">
        <v>32766</v>
      </c>
      <c r="G3390" s="3" t="s">
        <v>62</v>
      </c>
      <c r="I3390" s="3" t="s">
        <v>61</v>
      </c>
      <c r="J3390" s="3" t="s">
        <v>62</v>
      </c>
      <c r="K3390" s="3" t="s">
        <v>63</v>
      </c>
      <c r="L3390" s="2" t="s">
        <v>32767</v>
      </c>
      <c r="M3390" s="2" t="s">
        <v>32768</v>
      </c>
      <c r="N3390" s="3" t="s">
        <v>568</v>
      </c>
      <c r="P3390" s="3" t="s">
        <v>64</v>
      </c>
      <c r="R3390" s="3" t="s">
        <v>32039</v>
      </c>
      <c r="S3390" s="4">
        <v>242</v>
      </c>
      <c r="T3390" s="4">
        <v>1179</v>
      </c>
      <c r="U3390" s="5" t="s">
        <v>3110</v>
      </c>
      <c r="V3390" s="5" t="s">
        <v>3110</v>
      </c>
      <c r="W3390" s="5" t="s">
        <v>67</v>
      </c>
      <c r="X3390" s="5" t="s">
        <v>5085</v>
      </c>
      <c r="Y3390" s="4">
        <v>240</v>
      </c>
      <c r="Z3390" s="4">
        <v>11</v>
      </c>
      <c r="AA3390" s="4">
        <v>23</v>
      </c>
      <c r="AB3390" s="4">
        <v>1</v>
      </c>
      <c r="AC3390" s="4">
        <v>5</v>
      </c>
      <c r="AD3390" s="4">
        <v>48</v>
      </c>
      <c r="AE3390" s="4">
        <v>57</v>
      </c>
      <c r="AF3390" s="4">
        <v>0</v>
      </c>
      <c r="AG3390" s="4">
        <v>4</v>
      </c>
      <c r="AH3390" s="4">
        <v>42</v>
      </c>
      <c r="AI3390" s="4">
        <v>46</v>
      </c>
      <c r="AJ3390" s="4">
        <v>5</v>
      </c>
      <c r="AK3390" s="4">
        <v>11</v>
      </c>
      <c r="AL3390" s="4">
        <v>25</v>
      </c>
      <c r="AM3390" s="4">
        <v>27</v>
      </c>
      <c r="AN3390" s="4">
        <v>0</v>
      </c>
      <c r="AO3390" s="4">
        <v>0</v>
      </c>
      <c r="AP3390" s="4">
        <v>7</v>
      </c>
      <c r="AQ3390" s="4">
        <v>13</v>
      </c>
      <c r="AR3390" s="3" t="s">
        <v>62</v>
      </c>
      <c r="AS3390" s="3" t="s">
        <v>62</v>
      </c>
      <c r="AT3390" s="3" t="s">
        <v>62</v>
      </c>
      <c r="AV3390" s="6" t="str">
        <f>HYPERLINK("http://mcgill.on.worldcat.org/oclc/42780525","Catalog Record")</f>
        <v>Catalog Record</v>
      </c>
      <c r="AW3390" s="6" t="str">
        <f>HYPERLINK("http://www.worldcat.org/oclc/42780525","WorldCat Record")</f>
        <v>WorldCat Record</v>
      </c>
      <c r="AX3390" s="3" t="s">
        <v>32769</v>
      </c>
      <c r="AY3390" s="3" t="s">
        <v>32770</v>
      </c>
      <c r="AZ3390" s="3" t="s">
        <v>32771</v>
      </c>
      <c r="BA3390" s="3" t="s">
        <v>32771</v>
      </c>
      <c r="BB3390" s="3" t="s">
        <v>32775</v>
      </c>
      <c r="BC3390" s="3" t="s">
        <v>102</v>
      </c>
      <c r="BD3390" s="3" t="s">
        <v>68</v>
      </c>
      <c r="BE3390" s="3" t="s">
        <v>32773</v>
      </c>
      <c r="BF3390" s="3" t="s">
        <v>32775</v>
      </c>
      <c r="BG3390" s="3" t="s">
        <v>32776</v>
      </c>
    </row>
    <row r="3391" spans="1:59" ht="101.5" x14ac:dyDescent="0.35">
      <c r="A3391" s="2" t="s">
        <v>89</v>
      </c>
      <c r="B3391" s="2" t="s">
        <v>12301</v>
      </c>
      <c r="C3391" s="2" t="s">
        <v>32764</v>
      </c>
      <c r="D3391" s="2" t="s">
        <v>32765</v>
      </c>
      <c r="E3391" s="2" t="s">
        <v>32766</v>
      </c>
      <c r="G3391" s="3" t="s">
        <v>62</v>
      </c>
      <c r="I3391" s="3" t="s">
        <v>61</v>
      </c>
      <c r="J3391" s="3" t="s">
        <v>62</v>
      </c>
      <c r="K3391" s="3" t="s">
        <v>63</v>
      </c>
      <c r="L3391" s="2" t="s">
        <v>32767</v>
      </c>
      <c r="M3391" s="2" t="s">
        <v>32768</v>
      </c>
      <c r="N3391" s="3" t="s">
        <v>568</v>
      </c>
      <c r="P3391" s="3" t="s">
        <v>64</v>
      </c>
      <c r="R3391" s="3" t="s">
        <v>32039</v>
      </c>
      <c r="S3391" s="4">
        <v>51</v>
      </c>
      <c r="T3391" s="4">
        <v>1179</v>
      </c>
      <c r="U3391" s="5" t="s">
        <v>3110</v>
      </c>
      <c r="V3391" s="5" t="s">
        <v>3110</v>
      </c>
      <c r="W3391" s="5" t="s">
        <v>67</v>
      </c>
      <c r="X3391" s="5" t="s">
        <v>5085</v>
      </c>
      <c r="Y3391" s="4">
        <v>240</v>
      </c>
      <c r="Z3391" s="4">
        <v>11</v>
      </c>
      <c r="AA3391" s="4">
        <v>23</v>
      </c>
      <c r="AB3391" s="4">
        <v>1</v>
      </c>
      <c r="AC3391" s="4">
        <v>5</v>
      </c>
      <c r="AD3391" s="4">
        <v>48</v>
      </c>
      <c r="AE3391" s="4">
        <v>57</v>
      </c>
      <c r="AF3391" s="4">
        <v>0</v>
      </c>
      <c r="AG3391" s="4">
        <v>4</v>
      </c>
      <c r="AH3391" s="4">
        <v>42</v>
      </c>
      <c r="AI3391" s="4">
        <v>46</v>
      </c>
      <c r="AJ3391" s="4">
        <v>5</v>
      </c>
      <c r="AK3391" s="4">
        <v>11</v>
      </c>
      <c r="AL3391" s="4">
        <v>25</v>
      </c>
      <c r="AM3391" s="4">
        <v>27</v>
      </c>
      <c r="AN3391" s="4">
        <v>0</v>
      </c>
      <c r="AO3391" s="4">
        <v>0</v>
      </c>
      <c r="AP3391" s="4">
        <v>7</v>
      </c>
      <c r="AQ3391" s="4">
        <v>13</v>
      </c>
      <c r="AR3391" s="3" t="s">
        <v>62</v>
      </c>
      <c r="AS3391" s="3" t="s">
        <v>62</v>
      </c>
      <c r="AT3391" s="3" t="s">
        <v>62</v>
      </c>
      <c r="AV3391" s="6" t="str">
        <f>HYPERLINK("http://mcgill.on.worldcat.org/oclc/42780525","Catalog Record")</f>
        <v>Catalog Record</v>
      </c>
      <c r="AW3391" s="6" t="str">
        <f>HYPERLINK("http://www.worldcat.org/oclc/42780525","WorldCat Record")</f>
        <v>WorldCat Record</v>
      </c>
      <c r="AX3391" s="3" t="s">
        <v>32769</v>
      </c>
      <c r="AY3391" s="3" t="s">
        <v>32770</v>
      </c>
      <c r="AZ3391" s="3" t="s">
        <v>32771</v>
      </c>
      <c r="BA3391" s="3" t="s">
        <v>32771</v>
      </c>
      <c r="BB3391" s="3" t="s">
        <v>32777</v>
      </c>
      <c r="BC3391" s="3" t="s">
        <v>102</v>
      </c>
      <c r="BD3391" s="3" t="s">
        <v>68</v>
      </c>
      <c r="BE3391" s="3" t="s">
        <v>32773</v>
      </c>
      <c r="BF3391" s="3" t="s">
        <v>32777</v>
      </c>
      <c r="BG3391" s="3" t="s">
        <v>32778</v>
      </c>
    </row>
    <row r="3392" spans="1:59" ht="101.5" x14ac:dyDescent="0.35">
      <c r="A3392" s="2" t="s">
        <v>89</v>
      </c>
      <c r="B3392" s="2" t="s">
        <v>12301</v>
      </c>
      <c r="C3392" s="2" t="s">
        <v>32764</v>
      </c>
      <c r="D3392" s="2" t="s">
        <v>32765</v>
      </c>
      <c r="E3392" s="2" t="s">
        <v>32766</v>
      </c>
      <c r="G3392" s="3" t="s">
        <v>62</v>
      </c>
      <c r="I3392" s="3" t="s">
        <v>61</v>
      </c>
      <c r="J3392" s="3" t="s">
        <v>62</v>
      </c>
      <c r="K3392" s="3" t="s">
        <v>63</v>
      </c>
      <c r="L3392" s="2" t="s">
        <v>32767</v>
      </c>
      <c r="M3392" s="2" t="s">
        <v>32768</v>
      </c>
      <c r="N3392" s="3" t="s">
        <v>568</v>
      </c>
      <c r="P3392" s="3" t="s">
        <v>64</v>
      </c>
      <c r="R3392" s="3" t="s">
        <v>32039</v>
      </c>
      <c r="S3392" s="4">
        <v>355</v>
      </c>
      <c r="T3392" s="4">
        <v>1179</v>
      </c>
      <c r="U3392" s="5" t="s">
        <v>3110</v>
      </c>
      <c r="V3392" s="5" t="s">
        <v>3110</v>
      </c>
      <c r="W3392" s="5" t="s">
        <v>67</v>
      </c>
      <c r="X3392" s="5" t="s">
        <v>5085</v>
      </c>
      <c r="Y3392" s="4">
        <v>240</v>
      </c>
      <c r="Z3392" s="4">
        <v>11</v>
      </c>
      <c r="AA3392" s="4">
        <v>23</v>
      </c>
      <c r="AB3392" s="4">
        <v>1</v>
      </c>
      <c r="AC3392" s="4">
        <v>5</v>
      </c>
      <c r="AD3392" s="4">
        <v>48</v>
      </c>
      <c r="AE3392" s="4">
        <v>57</v>
      </c>
      <c r="AF3392" s="4">
        <v>0</v>
      </c>
      <c r="AG3392" s="4">
        <v>4</v>
      </c>
      <c r="AH3392" s="4">
        <v>42</v>
      </c>
      <c r="AI3392" s="4">
        <v>46</v>
      </c>
      <c r="AJ3392" s="4">
        <v>5</v>
      </c>
      <c r="AK3392" s="4">
        <v>11</v>
      </c>
      <c r="AL3392" s="4">
        <v>25</v>
      </c>
      <c r="AM3392" s="4">
        <v>27</v>
      </c>
      <c r="AN3392" s="4">
        <v>0</v>
      </c>
      <c r="AO3392" s="4">
        <v>0</v>
      </c>
      <c r="AP3392" s="4">
        <v>7</v>
      </c>
      <c r="AQ3392" s="4">
        <v>13</v>
      </c>
      <c r="AR3392" s="3" t="s">
        <v>62</v>
      </c>
      <c r="AS3392" s="3" t="s">
        <v>62</v>
      </c>
      <c r="AT3392" s="3" t="s">
        <v>62</v>
      </c>
      <c r="AV3392" s="6" t="str">
        <f>HYPERLINK("http://mcgill.on.worldcat.org/oclc/42780525","Catalog Record")</f>
        <v>Catalog Record</v>
      </c>
      <c r="AW3392" s="6" t="str">
        <f>HYPERLINK("http://www.worldcat.org/oclc/42780525","WorldCat Record")</f>
        <v>WorldCat Record</v>
      </c>
      <c r="AX3392" s="3" t="s">
        <v>32769</v>
      </c>
      <c r="AY3392" s="3" t="s">
        <v>32770</v>
      </c>
      <c r="AZ3392" s="3" t="s">
        <v>32771</v>
      </c>
      <c r="BA3392" s="3" t="s">
        <v>32771</v>
      </c>
      <c r="BB3392" s="3" t="s">
        <v>32779</v>
      </c>
      <c r="BC3392" s="3" t="s">
        <v>102</v>
      </c>
      <c r="BD3392" s="3" t="s">
        <v>68</v>
      </c>
      <c r="BE3392" s="3" t="s">
        <v>32773</v>
      </c>
      <c r="BF3392" s="3" t="s">
        <v>32779</v>
      </c>
      <c r="BG3392" s="3" t="s">
        <v>32780</v>
      </c>
    </row>
    <row r="3393" spans="1:59" ht="101.5" x14ac:dyDescent="0.35">
      <c r="A3393" s="2" t="s">
        <v>89</v>
      </c>
      <c r="B3393" s="2" t="s">
        <v>12301</v>
      </c>
      <c r="C3393" s="2" t="s">
        <v>32764</v>
      </c>
      <c r="D3393" s="2" t="s">
        <v>32765</v>
      </c>
      <c r="E3393" s="2" t="s">
        <v>32766</v>
      </c>
      <c r="G3393" s="3" t="s">
        <v>62</v>
      </c>
      <c r="I3393" s="3" t="s">
        <v>61</v>
      </c>
      <c r="J3393" s="3" t="s">
        <v>62</v>
      </c>
      <c r="K3393" s="3" t="s">
        <v>63</v>
      </c>
      <c r="L3393" s="2" t="s">
        <v>32767</v>
      </c>
      <c r="M3393" s="2" t="s">
        <v>32768</v>
      </c>
      <c r="N3393" s="3" t="s">
        <v>568</v>
      </c>
      <c r="P3393" s="3" t="s">
        <v>64</v>
      </c>
      <c r="R3393" s="3" t="s">
        <v>32039</v>
      </c>
      <c r="S3393" s="4">
        <v>51</v>
      </c>
      <c r="T3393" s="4">
        <v>1179</v>
      </c>
      <c r="U3393" s="5" t="s">
        <v>32781</v>
      </c>
      <c r="V3393" s="5" t="s">
        <v>3110</v>
      </c>
      <c r="W3393" s="5" t="s">
        <v>67</v>
      </c>
      <c r="X3393" s="5" t="s">
        <v>5085</v>
      </c>
      <c r="Y3393" s="4">
        <v>240</v>
      </c>
      <c r="Z3393" s="4">
        <v>11</v>
      </c>
      <c r="AA3393" s="4">
        <v>23</v>
      </c>
      <c r="AB3393" s="4">
        <v>1</v>
      </c>
      <c r="AC3393" s="4">
        <v>5</v>
      </c>
      <c r="AD3393" s="4">
        <v>48</v>
      </c>
      <c r="AE3393" s="4">
        <v>57</v>
      </c>
      <c r="AF3393" s="4">
        <v>0</v>
      </c>
      <c r="AG3393" s="4">
        <v>4</v>
      </c>
      <c r="AH3393" s="4">
        <v>42</v>
      </c>
      <c r="AI3393" s="4">
        <v>46</v>
      </c>
      <c r="AJ3393" s="4">
        <v>5</v>
      </c>
      <c r="AK3393" s="4">
        <v>11</v>
      </c>
      <c r="AL3393" s="4">
        <v>25</v>
      </c>
      <c r="AM3393" s="4">
        <v>27</v>
      </c>
      <c r="AN3393" s="4">
        <v>0</v>
      </c>
      <c r="AO3393" s="4">
        <v>0</v>
      </c>
      <c r="AP3393" s="4">
        <v>7</v>
      </c>
      <c r="AQ3393" s="4">
        <v>13</v>
      </c>
      <c r="AR3393" s="3" t="s">
        <v>62</v>
      </c>
      <c r="AS3393" s="3" t="s">
        <v>62</v>
      </c>
      <c r="AT3393" s="3" t="s">
        <v>62</v>
      </c>
      <c r="AV3393" s="6" t="str">
        <f>HYPERLINK("http://mcgill.on.worldcat.org/oclc/42780525","Catalog Record")</f>
        <v>Catalog Record</v>
      </c>
      <c r="AW3393" s="6" t="str">
        <f>HYPERLINK("http://www.worldcat.org/oclc/42780525","WorldCat Record")</f>
        <v>WorldCat Record</v>
      </c>
      <c r="AX3393" s="3" t="s">
        <v>32769</v>
      </c>
      <c r="AY3393" s="3" t="s">
        <v>32770</v>
      </c>
      <c r="AZ3393" s="3" t="s">
        <v>32771</v>
      </c>
      <c r="BA3393" s="3" t="s">
        <v>32771</v>
      </c>
      <c r="BB3393" s="3" t="s">
        <v>32782</v>
      </c>
      <c r="BC3393" s="3" t="s">
        <v>102</v>
      </c>
      <c r="BD3393" s="3" t="s">
        <v>68</v>
      </c>
      <c r="BE3393" s="3" t="s">
        <v>32773</v>
      </c>
      <c r="BF3393" s="3" t="s">
        <v>32782</v>
      </c>
      <c r="BG3393" s="3" t="s">
        <v>32783</v>
      </c>
    </row>
    <row r="3394" spans="1:59" ht="101.5" x14ac:dyDescent="0.35">
      <c r="A3394" s="2" t="s">
        <v>89</v>
      </c>
      <c r="B3394" s="2" t="s">
        <v>12301</v>
      </c>
      <c r="C3394" s="2" t="s">
        <v>32784</v>
      </c>
      <c r="D3394" s="2" t="s">
        <v>32785</v>
      </c>
      <c r="E3394" s="2" t="s">
        <v>32786</v>
      </c>
      <c r="F3394" s="3" t="s">
        <v>13105</v>
      </c>
      <c r="G3394" s="3" t="s">
        <v>62</v>
      </c>
      <c r="I3394" s="3" t="s">
        <v>61</v>
      </c>
      <c r="J3394" s="3" t="s">
        <v>62</v>
      </c>
      <c r="K3394" s="3" t="s">
        <v>63</v>
      </c>
      <c r="L3394" s="2" t="s">
        <v>32787</v>
      </c>
      <c r="M3394" s="2" t="s">
        <v>32768</v>
      </c>
      <c r="N3394" s="3" t="s">
        <v>568</v>
      </c>
      <c r="P3394" s="3" t="s">
        <v>64</v>
      </c>
      <c r="R3394" s="3" t="s">
        <v>32039</v>
      </c>
      <c r="S3394" s="4">
        <v>364</v>
      </c>
      <c r="T3394" s="4">
        <v>903</v>
      </c>
      <c r="U3394" s="5" t="s">
        <v>22226</v>
      </c>
      <c r="V3394" s="5" t="s">
        <v>2667</v>
      </c>
      <c r="W3394" s="5" t="s">
        <v>67</v>
      </c>
      <c r="X3394" s="5" t="s">
        <v>67</v>
      </c>
      <c r="Y3394" s="4">
        <v>38</v>
      </c>
      <c r="Z3394" s="4">
        <v>1</v>
      </c>
      <c r="AA3394" s="4">
        <v>2</v>
      </c>
      <c r="AB3394" s="4">
        <v>1</v>
      </c>
      <c r="AC3394" s="4">
        <v>2</v>
      </c>
      <c r="AD3394" s="4">
        <v>13</v>
      </c>
      <c r="AE3394" s="4">
        <v>14</v>
      </c>
      <c r="AF3394" s="4">
        <v>0</v>
      </c>
      <c r="AG3394" s="4">
        <v>1</v>
      </c>
      <c r="AH3394" s="4">
        <v>13</v>
      </c>
      <c r="AI3394" s="4">
        <v>13</v>
      </c>
      <c r="AJ3394" s="4">
        <v>0</v>
      </c>
      <c r="AK3394" s="4">
        <v>1</v>
      </c>
      <c r="AL3394" s="4">
        <v>12</v>
      </c>
      <c r="AM3394" s="4">
        <v>12</v>
      </c>
      <c r="AN3394" s="4">
        <v>0</v>
      </c>
      <c r="AO3394" s="4">
        <v>0</v>
      </c>
      <c r="AP3394" s="4">
        <v>0</v>
      </c>
      <c r="AQ3394" s="4">
        <v>0</v>
      </c>
      <c r="AR3394" s="3" t="s">
        <v>62</v>
      </c>
      <c r="AS3394" s="3" t="s">
        <v>62</v>
      </c>
      <c r="AT3394" s="3" t="s">
        <v>62</v>
      </c>
      <c r="AV3394" s="6" t="str">
        <f>HYPERLINK("http://mcgill.on.worldcat.org/oclc/45125590","Catalog Record")</f>
        <v>Catalog Record</v>
      </c>
      <c r="AW3394" s="6" t="str">
        <f>HYPERLINK("http://www.worldcat.org/oclc/45125590","WorldCat Record")</f>
        <v>WorldCat Record</v>
      </c>
      <c r="AX3394" s="3" t="s">
        <v>32788</v>
      </c>
      <c r="AY3394" s="3" t="s">
        <v>32789</v>
      </c>
      <c r="AZ3394" s="3" t="s">
        <v>32790</v>
      </c>
      <c r="BA3394" s="3" t="s">
        <v>32790</v>
      </c>
      <c r="BB3394" s="3" t="s">
        <v>32791</v>
      </c>
      <c r="BC3394" s="3" t="s">
        <v>102</v>
      </c>
      <c r="BD3394" s="3" t="s">
        <v>68</v>
      </c>
      <c r="BE3394" s="3" t="s">
        <v>32792</v>
      </c>
      <c r="BF3394" s="3" t="s">
        <v>32791</v>
      </c>
      <c r="BG3394" s="3" t="s">
        <v>32793</v>
      </c>
    </row>
    <row r="3395" spans="1:59" ht="101.5" x14ac:dyDescent="0.35">
      <c r="A3395" s="2" t="s">
        <v>89</v>
      </c>
      <c r="B3395" s="2" t="s">
        <v>12301</v>
      </c>
      <c r="C3395" s="2" t="s">
        <v>32784</v>
      </c>
      <c r="D3395" s="2" t="s">
        <v>32785</v>
      </c>
      <c r="E3395" s="2" t="s">
        <v>32786</v>
      </c>
      <c r="F3395" s="3" t="s">
        <v>13105</v>
      </c>
      <c r="G3395" s="3" t="s">
        <v>62</v>
      </c>
      <c r="I3395" s="3" t="s">
        <v>61</v>
      </c>
      <c r="J3395" s="3" t="s">
        <v>62</v>
      </c>
      <c r="K3395" s="3" t="s">
        <v>63</v>
      </c>
      <c r="L3395" s="2" t="s">
        <v>32787</v>
      </c>
      <c r="M3395" s="2" t="s">
        <v>32768</v>
      </c>
      <c r="N3395" s="3" t="s">
        <v>568</v>
      </c>
      <c r="P3395" s="3" t="s">
        <v>64</v>
      </c>
      <c r="R3395" s="3" t="s">
        <v>32039</v>
      </c>
      <c r="S3395" s="4">
        <v>167</v>
      </c>
      <c r="T3395" s="4">
        <v>903</v>
      </c>
      <c r="U3395" s="5" t="s">
        <v>2667</v>
      </c>
      <c r="V3395" s="5" t="s">
        <v>2667</v>
      </c>
      <c r="W3395" s="5" t="s">
        <v>67</v>
      </c>
      <c r="X3395" s="5" t="s">
        <v>67</v>
      </c>
      <c r="Y3395" s="4">
        <v>38</v>
      </c>
      <c r="Z3395" s="4">
        <v>1</v>
      </c>
      <c r="AA3395" s="4">
        <v>2</v>
      </c>
      <c r="AB3395" s="4">
        <v>1</v>
      </c>
      <c r="AC3395" s="4">
        <v>2</v>
      </c>
      <c r="AD3395" s="4">
        <v>13</v>
      </c>
      <c r="AE3395" s="4">
        <v>14</v>
      </c>
      <c r="AF3395" s="4">
        <v>0</v>
      </c>
      <c r="AG3395" s="4">
        <v>1</v>
      </c>
      <c r="AH3395" s="4">
        <v>13</v>
      </c>
      <c r="AI3395" s="4">
        <v>13</v>
      </c>
      <c r="AJ3395" s="4">
        <v>0</v>
      </c>
      <c r="AK3395" s="4">
        <v>1</v>
      </c>
      <c r="AL3395" s="4">
        <v>12</v>
      </c>
      <c r="AM3395" s="4">
        <v>12</v>
      </c>
      <c r="AN3395" s="4">
        <v>0</v>
      </c>
      <c r="AO3395" s="4">
        <v>0</v>
      </c>
      <c r="AP3395" s="4">
        <v>0</v>
      </c>
      <c r="AQ3395" s="4">
        <v>0</v>
      </c>
      <c r="AR3395" s="3" t="s">
        <v>62</v>
      </c>
      <c r="AS3395" s="3" t="s">
        <v>62</v>
      </c>
      <c r="AT3395" s="3" t="s">
        <v>62</v>
      </c>
      <c r="AV3395" s="6" t="str">
        <f>HYPERLINK("http://mcgill.on.worldcat.org/oclc/45125590","Catalog Record")</f>
        <v>Catalog Record</v>
      </c>
      <c r="AW3395" s="6" t="str">
        <f>HYPERLINK("http://www.worldcat.org/oclc/45125590","WorldCat Record")</f>
        <v>WorldCat Record</v>
      </c>
      <c r="AX3395" s="3" t="s">
        <v>32788</v>
      </c>
      <c r="AY3395" s="3" t="s">
        <v>32789</v>
      </c>
      <c r="AZ3395" s="3" t="s">
        <v>32790</v>
      </c>
      <c r="BA3395" s="3" t="s">
        <v>32790</v>
      </c>
      <c r="BB3395" s="3" t="s">
        <v>32794</v>
      </c>
      <c r="BC3395" s="3" t="s">
        <v>102</v>
      </c>
      <c r="BD3395" s="3" t="s">
        <v>68</v>
      </c>
      <c r="BE3395" s="3" t="s">
        <v>32792</v>
      </c>
      <c r="BF3395" s="3" t="s">
        <v>32794</v>
      </c>
      <c r="BG3395" s="3" t="s">
        <v>32795</v>
      </c>
    </row>
    <row r="3396" spans="1:59" ht="101.5" x14ac:dyDescent="0.35">
      <c r="A3396" s="2" t="s">
        <v>89</v>
      </c>
      <c r="B3396" s="2" t="s">
        <v>12301</v>
      </c>
      <c r="C3396" s="2" t="s">
        <v>32784</v>
      </c>
      <c r="D3396" s="2" t="s">
        <v>32785</v>
      </c>
      <c r="E3396" s="2" t="s">
        <v>32786</v>
      </c>
      <c r="F3396" s="3" t="s">
        <v>13105</v>
      </c>
      <c r="G3396" s="3" t="s">
        <v>62</v>
      </c>
      <c r="I3396" s="3" t="s">
        <v>61</v>
      </c>
      <c r="J3396" s="3" t="s">
        <v>62</v>
      </c>
      <c r="K3396" s="3" t="s">
        <v>63</v>
      </c>
      <c r="L3396" s="2" t="s">
        <v>32787</v>
      </c>
      <c r="M3396" s="2" t="s">
        <v>32768</v>
      </c>
      <c r="N3396" s="3" t="s">
        <v>568</v>
      </c>
      <c r="P3396" s="3" t="s">
        <v>64</v>
      </c>
      <c r="R3396" s="3" t="s">
        <v>32039</v>
      </c>
      <c r="S3396" s="4">
        <v>372</v>
      </c>
      <c r="T3396" s="4">
        <v>903</v>
      </c>
      <c r="U3396" s="5" t="s">
        <v>8626</v>
      </c>
      <c r="V3396" s="5" t="s">
        <v>2667</v>
      </c>
      <c r="W3396" s="5" t="s">
        <v>67</v>
      </c>
      <c r="X3396" s="5" t="s">
        <v>67</v>
      </c>
      <c r="Y3396" s="4">
        <v>38</v>
      </c>
      <c r="Z3396" s="4">
        <v>1</v>
      </c>
      <c r="AA3396" s="4">
        <v>2</v>
      </c>
      <c r="AB3396" s="4">
        <v>1</v>
      </c>
      <c r="AC3396" s="4">
        <v>2</v>
      </c>
      <c r="AD3396" s="4">
        <v>13</v>
      </c>
      <c r="AE3396" s="4">
        <v>14</v>
      </c>
      <c r="AF3396" s="4">
        <v>0</v>
      </c>
      <c r="AG3396" s="4">
        <v>1</v>
      </c>
      <c r="AH3396" s="4">
        <v>13</v>
      </c>
      <c r="AI3396" s="4">
        <v>13</v>
      </c>
      <c r="AJ3396" s="4">
        <v>0</v>
      </c>
      <c r="AK3396" s="4">
        <v>1</v>
      </c>
      <c r="AL3396" s="4">
        <v>12</v>
      </c>
      <c r="AM3396" s="4">
        <v>12</v>
      </c>
      <c r="AN3396" s="4">
        <v>0</v>
      </c>
      <c r="AO3396" s="4">
        <v>0</v>
      </c>
      <c r="AP3396" s="4">
        <v>0</v>
      </c>
      <c r="AQ3396" s="4">
        <v>0</v>
      </c>
      <c r="AR3396" s="3" t="s">
        <v>62</v>
      </c>
      <c r="AS3396" s="3" t="s">
        <v>62</v>
      </c>
      <c r="AT3396" s="3" t="s">
        <v>62</v>
      </c>
      <c r="AV3396" s="6" t="str">
        <f>HYPERLINK("http://mcgill.on.worldcat.org/oclc/45125590","Catalog Record")</f>
        <v>Catalog Record</v>
      </c>
      <c r="AW3396" s="6" t="str">
        <f>HYPERLINK("http://www.worldcat.org/oclc/45125590","WorldCat Record")</f>
        <v>WorldCat Record</v>
      </c>
      <c r="AX3396" s="3" t="s">
        <v>32788</v>
      </c>
      <c r="AY3396" s="3" t="s">
        <v>32789</v>
      </c>
      <c r="AZ3396" s="3" t="s">
        <v>32790</v>
      </c>
      <c r="BA3396" s="3" t="s">
        <v>32790</v>
      </c>
      <c r="BB3396" s="3" t="s">
        <v>32796</v>
      </c>
      <c r="BC3396" s="3" t="s">
        <v>102</v>
      </c>
      <c r="BD3396" s="3" t="s">
        <v>68</v>
      </c>
      <c r="BE3396" s="3" t="s">
        <v>32792</v>
      </c>
      <c r="BF3396" s="3" t="s">
        <v>32796</v>
      </c>
      <c r="BG3396" s="3" t="s">
        <v>32797</v>
      </c>
    </row>
    <row r="3397" spans="1:59" ht="101.5" x14ac:dyDescent="0.35">
      <c r="A3397" s="2" t="s">
        <v>89</v>
      </c>
      <c r="B3397" s="2" t="s">
        <v>12301</v>
      </c>
      <c r="C3397" s="2" t="s">
        <v>32798</v>
      </c>
      <c r="D3397" s="2" t="s">
        <v>32799</v>
      </c>
      <c r="E3397" s="2" t="s">
        <v>32800</v>
      </c>
      <c r="G3397" s="3" t="s">
        <v>62</v>
      </c>
      <c r="I3397" s="3" t="s">
        <v>62</v>
      </c>
      <c r="J3397" s="3" t="s">
        <v>61</v>
      </c>
      <c r="K3397" s="3" t="s">
        <v>63</v>
      </c>
      <c r="L3397" s="2" t="s">
        <v>3097</v>
      </c>
      <c r="M3397" s="2" t="s">
        <v>32801</v>
      </c>
      <c r="N3397" s="3" t="s">
        <v>712</v>
      </c>
      <c r="O3397" s="2" t="s">
        <v>15933</v>
      </c>
      <c r="P3397" s="3" t="s">
        <v>64</v>
      </c>
      <c r="R3397" s="3" t="s">
        <v>32039</v>
      </c>
      <c r="S3397" s="4">
        <v>28</v>
      </c>
      <c r="T3397" s="4">
        <v>28</v>
      </c>
      <c r="U3397" s="5" t="s">
        <v>8815</v>
      </c>
      <c r="V3397" s="5" t="s">
        <v>8815</v>
      </c>
      <c r="W3397" s="5" t="s">
        <v>67</v>
      </c>
      <c r="X3397" s="5" t="s">
        <v>67</v>
      </c>
      <c r="Y3397" s="4">
        <v>134</v>
      </c>
      <c r="Z3397" s="4">
        <v>2</v>
      </c>
      <c r="AA3397" s="4">
        <v>34</v>
      </c>
      <c r="AB3397" s="4">
        <v>1</v>
      </c>
      <c r="AC3397" s="4">
        <v>6</v>
      </c>
      <c r="AD3397" s="4">
        <v>9</v>
      </c>
      <c r="AE3397" s="4">
        <v>86</v>
      </c>
      <c r="AF3397" s="4">
        <v>0</v>
      </c>
      <c r="AG3397" s="4">
        <v>4</v>
      </c>
      <c r="AH3397" s="4">
        <v>7</v>
      </c>
      <c r="AI3397" s="4">
        <v>69</v>
      </c>
      <c r="AJ3397" s="4">
        <v>1</v>
      </c>
      <c r="AK3397" s="4">
        <v>19</v>
      </c>
      <c r="AL3397" s="4">
        <v>6</v>
      </c>
      <c r="AM3397" s="4">
        <v>42</v>
      </c>
      <c r="AN3397" s="4">
        <v>0</v>
      </c>
      <c r="AO3397" s="4">
        <v>0</v>
      </c>
      <c r="AP3397" s="4">
        <v>1</v>
      </c>
      <c r="AQ3397" s="4">
        <v>26</v>
      </c>
      <c r="AR3397" s="3" t="s">
        <v>62</v>
      </c>
      <c r="AS3397" s="3" t="s">
        <v>62</v>
      </c>
      <c r="AT3397" s="3" t="s">
        <v>62</v>
      </c>
      <c r="AV3397" s="6" t="str">
        <f>HYPERLINK("http://mcgill.on.worldcat.org/oclc/854139283","Catalog Record")</f>
        <v>Catalog Record</v>
      </c>
      <c r="AW3397" s="6" t="str">
        <f>HYPERLINK("http://www.worldcat.org/oclc/854139283","WorldCat Record")</f>
        <v>WorldCat Record</v>
      </c>
      <c r="AX3397" s="3" t="s">
        <v>32802</v>
      </c>
      <c r="AY3397" s="3" t="s">
        <v>32803</v>
      </c>
      <c r="AZ3397" s="3" t="s">
        <v>32804</v>
      </c>
      <c r="BA3397" s="3" t="s">
        <v>32804</v>
      </c>
      <c r="BB3397" s="3" t="s">
        <v>32805</v>
      </c>
      <c r="BC3397" s="3" t="s">
        <v>102</v>
      </c>
      <c r="BD3397" s="3" t="s">
        <v>68</v>
      </c>
      <c r="BE3397" s="3" t="s">
        <v>32806</v>
      </c>
      <c r="BF3397" s="3" t="s">
        <v>32805</v>
      </c>
      <c r="BG3397" s="3" t="s">
        <v>32807</v>
      </c>
    </row>
    <row r="3398" spans="1:59" ht="101.5" x14ac:dyDescent="0.35">
      <c r="A3398" s="2" t="s">
        <v>89</v>
      </c>
      <c r="B3398" s="2" t="s">
        <v>12301</v>
      </c>
      <c r="C3398" s="2" t="s">
        <v>32808</v>
      </c>
      <c r="D3398" s="2" t="s">
        <v>32809</v>
      </c>
      <c r="E3398" s="2" t="s">
        <v>32810</v>
      </c>
      <c r="G3398" s="3" t="s">
        <v>62</v>
      </c>
      <c r="I3398" s="3" t="s">
        <v>62</v>
      </c>
      <c r="J3398" s="3" t="s">
        <v>61</v>
      </c>
      <c r="K3398" s="3" t="s">
        <v>63</v>
      </c>
      <c r="L3398" s="2" t="s">
        <v>32811</v>
      </c>
      <c r="M3398" s="2" t="s">
        <v>32812</v>
      </c>
      <c r="N3398" s="3" t="s">
        <v>2085</v>
      </c>
      <c r="O3398" s="2" t="s">
        <v>32813</v>
      </c>
      <c r="P3398" s="3" t="s">
        <v>64</v>
      </c>
      <c r="R3398" s="3" t="s">
        <v>32039</v>
      </c>
      <c r="S3398" s="4">
        <v>35</v>
      </c>
      <c r="T3398" s="4">
        <v>35</v>
      </c>
      <c r="U3398" s="5" t="s">
        <v>24314</v>
      </c>
      <c r="V3398" s="5" t="s">
        <v>24314</v>
      </c>
      <c r="W3398" s="5" t="s">
        <v>67</v>
      </c>
      <c r="X3398" s="5" t="s">
        <v>67</v>
      </c>
      <c r="Y3398" s="4">
        <v>113</v>
      </c>
      <c r="Z3398" s="4">
        <v>11</v>
      </c>
      <c r="AA3398" s="4">
        <v>34</v>
      </c>
      <c r="AB3398" s="4">
        <v>3</v>
      </c>
      <c r="AC3398" s="4">
        <v>6</v>
      </c>
      <c r="AD3398" s="4">
        <v>30</v>
      </c>
      <c r="AE3398" s="4">
        <v>86</v>
      </c>
      <c r="AF3398" s="4">
        <v>1</v>
      </c>
      <c r="AG3398" s="4">
        <v>4</v>
      </c>
      <c r="AH3398" s="4">
        <v>24</v>
      </c>
      <c r="AI3398" s="4">
        <v>69</v>
      </c>
      <c r="AJ3398" s="4">
        <v>5</v>
      </c>
      <c r="AK3398" s="4">
        <v>19</v>
      </c>
      <c r="AL3398" s="4">
        <v>16</v>
      </c>
      <c r="AM3398" s="4">
        <v>42</v>
      </c>
      <c r="AN3398" s="4">
        <v>0</v>
      </c>
      <c r="AO3398" s="4">
        <v>0</v>
      </c>
      <c r="AP3398" s="4">
        <v>8</v>
      </c>
      <c r="AQ3398" s="4">
        <v>26</v>
      </c>
      <c r="AR3398" s="3" t="s">
        <v>62</v>
      </c>
      <c r="AS3398" s="3" t="s">
        <v>62</v>
      </c>
      <c r="AT3398" s="3" t="s">
        <v>62</v>
      </c>
      <c r="AV3398" s="6" t="str">
        <f>HYPERLINK("http://mcgill.on.worldcat.org/oclc/1020028162","Catalog Record")</f>
        <v>Catalog Record</v>
      </c>
      <c r="AW3398" s="6" t="str">
        <f>HYPERLINK("http://www.worldcat.org/oclc/1020028162","WorldCat Record")</f>
        <v>WorldCat Record</v>
      </c>
      <c r="AX3398" s="3" t="s">
        <v>32802</v>
      </c>
      <c r="AY3398" s="3" t="s">
        <v>32814</v>
      </c>
      <c r="AZ3398" s="3" t="s">
        <v>32815</v>
      </c>
      <c r="BA3398" s="3" t="s">
        <v>32815</v>
      </c>
      <c r="BB3398" s="3" t="s">
        <v>32816</v>
      </c>
      <c r="BC3398" s="3" t="s">
        <v>102</v>
      </c>
      <c r="BD3398" s="3" t="s">
        <v>68</v>
      </c>
      <c r="BE3398" s="3" t="s">
        <v>32817</v>
      </c>
      <c r="BF3398" s="3" t="s">
        <v>32816</v>
      </c>
      <c r="BG3398" s="3" t="s">
        <v>32818</v>
      </c>
    </row>
    <row r="3399" spans="1:59" ht="101.5" x14ac:dyDescent="0.35">
      <c r="A3399" s="2" t="s">
        <v>89</v>
      </c>
      <c r="B3399" s="2" t="s">
        <v>12301</v>
      </c>
      <c r="C3399" s="2" t="s">
        <v>32819</v>
      </c>
      <c r="D3399" s="2" t="s">
        <v>32820</v>
      </c>
      <c r="E3399" s="2" t="s">
        <v>32821</v>
      </c>
      <c r="G3399" s="3" t="s">
        <v>62</v>
      </c>
      <c r="I3399" s="3" t="s">
        <v>62</v>
      </c>
      <c r="J3399" s="3" t="s">
        <v>61</v>
      </c>
      <c r="K3399" s="3" t="s">
        <v>63</v>
      </c>
      <c r="L3399" s="2" t="s">
        <v>32822</v>
      </c>
      <c r="M3399" s="2" t="s">
        <v>32823</v>
      </c>
      <c r="N3399" s="3" t="s">
        <v>2985</v>
      </c>
      <c r="O3399" s="2" t="s">
        <v>17427</v>
      </c>
      <c r="P3399" s="3" t="s">
        <v>64</v>
      </c>
      <c r="R3399" s="3" t="s">
        <v>32039</v>
      </c>
      <c r="S3399" s="4">
        <v>3</v>
      </c>
      <c r="T3399" s="4">
        <v>3</v>
      </c>
      <c r="U3399" s="5" t="s">
        <v>32824</v>
      </c>
      <c r="V3399" s="5" t="s">
        <v>32824</v>
      </c>
      <c r="W3399" s="5" t="s">
        <v>67</v>
      </c>
      <c r="X3399" s="5" t="s">
        <v>67</v>
      </c>
      <c r="Y3399" s="4">
        <v>179</v>
      </c>
      <c r="Z3399" s="4">
        <v>16</v>
      </c>
      <c r="AA3399" s="4">
        <v>59</v>
      </c>
      <c r="AB3399" s="4">
        <v>1</v>
      </c>
      <c r="AC3399" s="4">
        <v>9</v>
      </c>
      <c r="AD3399" s="4">
        <v>39</v>
      </c>
      <c r="AE3399" s="4">
        <v>129</v>
      </c>
      <c r="AF3399" s="4">
        <v>0</v>
      </c>
      <c r="AG3399" s="4">
        <v>4</v>
      </c>
      <c r="AH3399" s="4">
        <v>34</v>
      </c>
      <c r="AI3399" s="4">
        <v>99</v>
      </c>
      <c r="AJ3399" s="4">
        <v>5</v>
      </c>
      <c r="AK3399" s="4">
        <v>23</v>
      </c>
      <c r="AL3399" s="4">
        <v>23</v>
      </c>
      <c r="AM3399" s="4">
        <v>57</v>
      </c>
      <c r="AN3399" s="4">
        <v>0</v>
      </c>
      <c r="AO3399" s="4">
        <v>0</v>
      </c>
      <c r="AP3399" s="4">
        <v>9</v>
      </c>
      <c r="AQ3399" s="4">
        <v>36</v>
      </c>
      <c r="AR3399" s="3" t="s">
        <v>62</v>
      </c>
      <c r="AS3399" s="3" t="s">
        <v>62</v>
      </c>
      <c r="AT3399" s="3" t="s">
        <v>61</v>
      </c>
      <c r="AU3399" s="6" t="str">
        <f>HYPERLINK("http://catalog.hathitrust.org/Record/005641606","HathiTrust Record")</f>
        <v>HathiTrust Record</v>
      </c>
      <c r="AV3399" s="6" t="str">
        <f>HYPERLINK("http://mcgill.on.worldcat.org/oclc/191024171","Catalog Record")</f>
        <v>Catalog Record</v>
      </c>
      <c r="AW3399" s="6" t="str">
        <f>HYPERLINK("http://www.worldcat.org/oclc/191024171","WorldCat Record")</f>
        <v>WorldCat Record</v>
      </c>
      <c r="AX3399" s="3" t="s">
        <v>32825</v>
      </c>
      <c r="AY3399" s="3" t="s">
        <v>32826</v>
      </c>
      <c r="AZ3399" s="3" t="s">
        <v>32827</v>
      </c>
      <c r="BA3399" s="3" t="s">
        <v>32827</v>
      </c>
      <c r="BB3399" s="3" t="s">
        <v>32828</v>
      </c>
      <c r="BC3399" s="3" t="s">
        <v>102</v>
      </c>
      <c r="BD3399" s="3" t="s">
        <v>68</v>
      </c>
      <c r="BE3399" s="3" t="s">
        <v>32829</v>
      </c>
      <c r="BF3399" s="3" t="s">
        <v>32828</v>
      </c>
      <c r="BG3399" s="3" t="s">
        <v>32830</v>
      </c>
    </row>
    <row r="3400" spans="1:59" ht="101.5" x14ac:dyDescent="0.35">
      <c r="A3400" s="2" t="s">
        <v>89</v>
      </c>
      <c r="B3400" s="2" t="s">
        <v>24239</v>
      </c>
      <c r="C3400" s="2" t="s">
        <v>32831</v>
      </c>
      <c r="D3400" s="2" t="s">
        <v>32832</v>
      </c>
      <c r="E3400" s="2" t="s">
        <v>32833</v>
      </c>
      <c r="G3400" s="3" t="s">
        <v>62</v>
      </c>
      <c r="I3400" s="3" t="s">
        <v>62</v>
      </c>
      <c r="J3400" s="3" t="s">
        <v>62</v>
      </c>
      <c r="K3400" s="3" t="s">
        <v>63</v>
      </c>
      <c r="L3400" s="2" t="s">
        <v>32834</v>
      </c>
      <c r="M3400" s="2" t="s">
        <v>32835</v>
      </c>
      <c r="N3400" s="3" t="s">
        <v>1639</v>
      </c>
      <c r="P3400" s="3" t="s">
        <v>64</v>
      </c>
      <c r="R3400" s="3" t="s">
        <v>32039</v>
      </c>
      <c r="S3400" s="4">
        <v>56</v>
      </c>
      <c r="T3400" s="4">
        <v>56</v>
      </c>
      <c r="U3400" s="5" t="s">
        <v>24180</v>
      </c>
      <c r="V3400" s="5" t="s">
        <v>24180</v>
      </c>
      <c r="W3400" s="5" t="s">
        <v>67</v>
      </c>
      <c r="X3400" s="5" t="s">
        <v>67</v>
      </c>
      <c r="Y3400" s="4">
        <v>630</v>
      </c>
      <c r="Z3400" s="4">
        <v>35</v>
      </c>
      <c r="AA3400" s="4">
        <v>43</v>
      </c>
      <c r="AB3400" s="4">
        <v>4</v>
      </c>
      <c r="AC3400" s="4">
        <v>10</v>
      </c>
      <c r="AD3400" s="4">
        <v>106</v>
      </c>
      <c r="AE3400" s="4">
        <v>112</v>
      </c>
      <c r="AF3400" s="4">
        <v>1</v>
      </c>
      <c r="AG3400" s="4">
        <v>5</v>
      </c>
      <c r="AH3400" s="4">
        <v>87</v>
      </c>
      <c r="AI3400" s="4">
        <v>90</v>
      </c>
      <c r="AJ3400" s="4">
        <v>16</v>
      </c>
      <c r="AK3400" s="4">
        <v>21</v>
      </c>
      <c r="AL3400" s="4">
        <v>53</v>
      </c>
      <c r="AM3400" s="4">
        <v>54</v>
      </c>
      <c r="AN3400" s="4">
        <v>0</v>
      </c>
      <c r="AO3400" s="4">
        <v>0</v>
      </c>
      <c r="AP3400" s="4">
        <v>25</v>
      </c>
      <c r="AQ3400" s="4">
        <v>29</v>
      </c>
      <c r="AR3400" s="3" t="s">
        <v>62</v>
      </c>
      <c r="AS3400" s="3" t="s">
        <v>62</v>
      </c>
      <c r="AT3400" s="3" t="s">
        <v>61</v>
      </c>
      <c r="AU3400" s="6" t="str">
        <f>HYPERLINK("http://catalog.hathitrust.org/Record/001113981","HathiTrust Record")</f>
        <v>HathiTrust Record</v>
      </c>
      <c r="AV3400" s="6" t="str">
        <f>HYPERLINK("http://mcgill.on.worldcat.org/oclc/99559","Catalog Record")</f>
        <v>Catalog Record</v>
      </c>
      <c r="AW3400" s="6" t="str">
        <f>HYPERLINK("http://www.worldcat.org/oclc/99559","WorldCat Record")</f>
        <v>WorldCat Record</v>
      </c>
      <c r="AX3400" s="3" t="s">
        <v>32836</v>
      </c>
      <c r="AY3400" s="3" t="s">
        <v>32837</v>
      </c>
      <c r="AZ3400" s="3" t="s">
        <v>32838</v>
      </c>
      <c r="BA3400" s="3" t="s">
        <v>32838</v>
      </c>
      <c r="BB3400" s="3" t="s">
        <v>32839</v>
      </c>
      <c r="BC3400" s="3" t="s">
        <v>102</v>
      </c>
      <c r="BD3400" s="3" t="s">
        <v>68</v>
      </c>
      <c r="BE3400" s="3" t="s">
        <v>32840</v>
      </c>
      <c r="BF3400" s="3" t="s">
        <v>32839</v>
      </c>
      <c r="BG3400" s="3" t="s">
        <v>32841</v>
      </c>
    </row>
    <row r="3401" spans="1:59" ht="58" x14ac:dyDescent="0.35">
      <c r="A3401" s="2" t="s">
        <v>89</v>
      </c>
      <c r="B3401" s="2" t="s">
        <v>90</v>
      </c>
      <c r="C3401" s="2" t="s">
        <v>32842</v>
      </c>
      <c r="D3401" s="2" t="s">
        <v>32843</v>
      </c>
      <c r="E3401" s="2" t="s">
        <v>32844</v>
      </c>
      <c r="G3401" s="3" t="s">
        <v>62</v>
      </c>
      <c r="I3401" s="3" t="s">
        <v>62</v>
      </c>
      <c r="J3401" s="3" t="s">
        <v>62</v>
      </c>
      <c r="K3401" s="3" t="s">
        <v>63</v>
      </c>
      <c r="L3401" s="2" t="s">
        <v>32845</v>
      </c>
      <c r="M3401" s="2" t="s">
        <v>32846</v>
      </c>
      <c r="N3401" s="3" t="s">
        <v>25036</v>
      </c>
      <c r="P3401" s="3" t="s">
        <v>64</v>
      </c>
      <c r="Q3401" s="2" t="s">
        <v>32847</v>
      </c>
      <c r="R3401" s="3" t="s">
        <v>32039</v>
      </c>
      <c r="S3401" s="4">
        <v>1</v>
      </c>
      <c r="T3401" s="4">
        <v>1</v>
      </c>
      <c r="U3401" s="5" t="s">
        <v>22966</v>
      </c>
      <c r="V3401" s="5" t="s">
        <v>22966</v>
      </c>
      <c r="W3401" s="5" t="s">
        <v>67</v>
      </c>
      <c r="X3401" s="5" t="s">
        <v>67</v>
      </c>
      <c r="Y3401" s="4">
        <v>109</v>
      </c>
      <c r="Z3401" s="4">
        <v>3</v>
      </c>
      <c r="AA3401" s="4">
        <v>25</v>
      </c>
      <c r="AB3401" s="4">
        <v>1</v>
      </c>
      <c r="AC3401" s="4">
        <v>1</v>
      </c>
      <c r="AD3401" s="4">
        <v>46</v>
      </c>
      <c r="AE3401" s="4">
        <v>87</v>
      </c>
      <c r="AF3401" s="4">
        <v>0</v>
      </c>
      <c r="AG3401" s="4">
        <v>0</v>
      </c>
      <c r="AH3401" s="4">
        <v>45</v>
      </c>
      <c r="AI3401" s="4">
        <v>76</v>
      </c>
      <c r="AJ3401" s="4">
        <v>1</v>
      </c>
      <c r="AK3401" s="4">
        <v>9</v>
      </c>
      <c r="AL3401" s="4">
        <v>30</v>
      </c>
      <c r="AM3401" s="4">
        <v>49</v>
      </c>
      <c r="AN3401" s="4">
        <v>0</v>
      </c>
      <c r="AO3401" s="4">
        <v>2</v>
      </c>
      <c r="AP3401" s="4">
        <v>1</v>
      </c>
      <c r="AQ3401" s="4">
        <v>12</v>
      </c>
      <c r="AR3401" s="3" t="s">
        <v>62</v>
      </c>
      <c r="AS3401" s="3" t="s">
        <v>61</v>
      </c>
      <c r="AT3401" s="3" t="s">
        <v>62</v>
      </c>
      <c r="AU3401" s="6" t="str">
        <f>HYPERLINK("http://catalog.hathitrust.org/Record/001034459","HathiTrust Record")</f>
        <v>HathiTrust Record</v>
      </c>
      <c r="AV3401" s="6" t="str">
        <f>HYPERLINK("http://mcgill.on.worldcat.org/oclc/3236310","Catalog Record")</f>
        <v>Catalog Record</v>
      </c>
      <c r="AW3401" s="6" t="str">
        <f>HYPERLINK("http://www.worldcat.org/oclc/3236310","WorldCat Record")</f>
        <v>WorldCat Record</v>
      </c>
      <c r="AX3401" s="3" t="s">
        <v>32848</v>
      </c>
      <c r="AY3401" s="3" t="s">
        <v>32849</v>
      </c>
      <c r="AZ3401" s="3" t="s">
        <v>32850</v>
      </c>
      <c r="BA3401" s="3" t="s">
        <v>32850</v>
      </c>
      <c r="BB3401" s="3" t="s">
        <v>32851</v>
      </c>
      <c r="BC3401" s="3" t="s">
        <v>102</v>
      </c>
      <c r="BD3401" s="3" t="s">
        <v>68</v>
      </c>
      <c r="BF3401" s="3" t="s">
        <v>32851</v>
      </c>
      <c r="BG3401" s="3" t="s">
        <v>32852</v>
      </c>
    </row>
    <row r="3402" spans="1:59" ht="101.5" x14ac:dyDescent="0.35">
      <c r="A3402" s="2" t="s">
        <v>89</v>
      </c>
      <c r="B3402" s="2" t="s">
        <v>12301</v>
      </c>
      <c r="C3402" s="2" t="s">
        <v>32853</v>
      </c>
      <c r="D3402" s="2" t="s">
        <v>32854</v>
      </c>
      <c r="E3402" s="2" t="s">
        <v>32855</v>
      </c>
      <c r="G3402" s="3" t="s">
        <v>62</v>
      </c>
      <c r="I3402" s="3" t="s">
        <v>61</v>
      </c>
      <c r="J3402" s="3" t="s">
        <v>62</v>
      </c>
      <c r="K3402" s="3" t="s">
        <v>63</v>
      </c>
      <c r="L3402" s="2" t="s">
        <v>32856</v>
      </c>
      <c r="M3402" s="2" t="s">
        <v>14579</v>
      </c>
      <c r="N3402" s="3" t="s">
        <v>129</v>
      </c>
      <c r="O3402" s="2" t="s">
        <v>2458</v>
      </c>
      <c r="P3402" s="3" t="s">
        <v>64</v>
      </c>
      <c r="R3402" s="3" t="s">
        <v>32039</v>
      </c>
      <c r="S3402" s="4">
        <v>76</v>
      </c>
      <c r="T3402" s="4">
        <v>138</v>
      </c>
      <c r="U3402" s="5" t="s">
        <v>12369</v>
      </c>
      <c r="V3402" s="5" t="s">
        <v>12369</v>
      </c>
      <c r="W3402" s="5" t="s">
        <v>67</v>
      </c>
      <c r="X3402" s="5" t="s">
        <v>67</v>
      </c>
      <c r="Y3402" s="4">
        <v>100</v>
      </c>
      <c r="Z3402" s="4">
        <v>11</v>
      </c>
      <c r="AA3402" s="4">
        <v>31</v>
      </c>
      <c r="AB3402" s="4">
        <v>1</v>
      </c>
      <c r="AC3402" s="4">
        <v>5</v>
      </c>
      <c r="AD3402" s="4">
        <v>32</v>
      </c>
      <c r="AE3402" s="4">
        <v>81</v>
      </c>
      <c r="AF3402" s="4">
        <v>0</v>
      </c>
      <c r="AG3402" s="4">
        <v>2</v>
      </c>
      <c r="AH3402" s="4">
        <v>27</v>
      </c>
      <c r="AI3402" s="4">
        <v>67</v>
      </c>
      <c r="AJ3402" s="4">
        <v>4</v>
      </c>
      <c r="AK3402" s="4">
        <v>15</v>
      </c>
      <c r="AL3402" s="4">
        <v>16</v>
      </c>
      <c r="AM3402" s="4">
        <v>41</v>
      </c>
      <c r="AN3402" s="4">
        <v>0</v>
      </c>
      <c r="AO3402" s="4">
        <v>0</v>
      </c>
      <c r="AP3402" s="4">
        <v>7</v>
      </c>
      <c r="AQ3402" s="4">
        <v>21</v>
      </c>
      <c r="AR3402" s="3" t="s">
        <v>62</v>
      </c>
      <c r="AS3402" s="3" t="s">
        <v>62</v>
      </c>
      <c r="AT3402" s="3" t="s">
        <v>62</v>
      </c>
      <c r="AV3402" s="6" t="str">
        <f>HYPERLINK("http://mcgill.on.worldcat.org/oclc/754713352","Catalog Record")</f>
        <v>Catalog Record</v>
      </c>
      <c r="AW3402" s="6" t="str">
        <f>HYPERLINK("http://www.worldcat.org/oclc/754713352","WorldCat Record")</f>
        <v>WorldCat Record</v>
      </c>
      <c r="AX3402" s="3" t="s">
        <v>32857</v>
      </c>
      <c r="AY3402" s="3" t="s">
        <v>32858</v>
      </c>
      <c r="AZ3402" s="3" t="s">
        <v>32859</v>
      </c>
      <c r="BA3402" s="3" t="s">
        <v>32859</v>
      </c>
      <c r="BB3402" s="3" t="s">
        <v>32860</v>
      </c>
      <c r="BC3402" s="3" t="s">
        <v>102</v>
      </c>
      <c r="BD3402" s="3" t="s">
        <v>68</v>
      </c>
      <c r="BE3402" s="3" t="s">
        <v>32861</v>
      </c>
      <c r="BF3402" s="3" t="s">
        <v>32860</v>
      </c>
      <c r="BG3402" s="3" t="s">
        <v>32862</v>
      </c>
    </row>
    <row r="3403" spans="1:59" ht="101.5" x14ac:dyDescent="0.35">
      <c r="A3403" s="2" t="s">
        <v>89</v>
      </c>
      <c r="B3403" s="2" t="s">
        <v>12301</v>
      </c>
      <c r="C3403" s="2" t="s">
        <v>32853</v>
      </c>
      <c r="D3403" s="2" t="s">
        <v>32854</v>
      </c>
      <c r="E3403" s="2" t="s">
        <v>32855</v>
      </c>
      <c r="G3403" s="3" t="s">
        <v>62</v>
      </c>
      <c r="I3403" s="3" t="s">
        <v>61</v>
      </c>
      <c r="J3403" s="3" t="s">
        <v>62</v>
      </c>
      <c r="K3403" s="3" t="s">
        <v>63</v>
      </c>
      <c r="L3403" s="2" t="s">
        <v>32856</v>
      </c>
      <c r="M3403" s="2" t="s">
        <v>14579</v>
      </c>
      <c r="N3403" s="3" t="s">
        <v>129</v>
      </c>
      <c r="O3403" s="2" t="s">
        <v>2458</v>
      </c>
      <c r="P3403" s="3" t="s">
        <v>64</v>
      </c>
      <c r="R3403" s="3" t="s">
        <v>32039</v>
      </c>
      <c r="S3403" s="4">
        <v>62</v>
      </c>
      <c r="T3403" s="4">
        <v>138</v>
      </c>
      <c r="U3403" s="5" t="s">
        <v>12369</v>
      </c>
      <c r="V3403" s="5" t="s">
        <v>12369</v>
      </c>
      <c r="W3403" s="5" t="s">
        <v>67</v>
      </c>
      <c r="X3403" s="5" t="s">
        <v>67</v>
      </c>
      <c r="Y3403" s="4">
        <v>100</v>
      </c>
      <c r="Z3403" s="4">
        <v>11</v>
      </c>
      <c r="AA3403" s="4">
        <v>31</v>
      </c>
      <c r="AB3403" s="4">
        <v>1</v>
      </c>
      <c r="AC3403" s="4">
        <v>5</v>
      </c>
      <c r="AD3403" s="4">
        <v>32</v>
      </c>
      <c r="AE3403" s="4">
        <v>81</v>
      </c>
      <c r="AF3403" s="4">
        <v>0</v>
      </c>
      <c r="AG3403" s="4">
        <v>2</v>
      </c>
      <c r="AH3403" s="4">
        <v>27</v>
      </c>
      <c r="AI3403" s="4">
        <v>67</v>
      </c>
      <c r="AJ3403" s="4">
        <v>4</v>
      </c>
      <c r="AK3403" s="4">
        <v>15</v>
      </c>
      <c r="AL3403" s="4">
        <v>16</v>
      </c>
      <c r="AM3403" s="4">
        <v>41</v>
      </c>
      <c r="AN3403" s="4">
        <v>0</v>
      </c>
      <c r="AO3403" s="4">
        <v>0</v>
      </c>
      <c r="AP3403" s="4">
        <v>7</v>
      </c>
      <c r="AQ3403" s="4">
        <v>21</v>
      </c>
      <c r="AR3403" s="3" t="s">
        <v>62</v>
      </c>
      <c r="AS3403" s="3" t="s">
        <v>62</v>
      </c>
      <c r="AT3403" s="3" t="s">
        <v>62</v>
      </c>
      <c r="AV3403" s="6" t="str">
        <f>HYPERLINK("http://mcgill.on.worldcat.org/oclc/754713352","Catalog Record")</f>
        <v>Catalog Record</v>
      </c>
      <c r="AW3403" s="6" t="str">
        <f>HYPERLINK("http://www.worldcat.org/oclc/754713352","WorldCat Record")</f>
        <v>WorldCat Record</v>
      </c>
      <c r="AX3403" s="3" t="s">
        <v>32857</v>
      </c>
      <c r="AY3403" s="3" t="s">
        <v>32858</v>
      </c>
      <c r="AZ3403" s="3" t="s">
        <v>32859</v>
      </c>
      <c r="BA3403" s="3" t="s">
        <v>32859</v>
      </c>
      <c r="BB3403" s="3" t="s">
        <v>32863</v>
      </c>
      <c r="BC3403" s="3" t="s">
        <v>102</v>
      </c>
      <c r="BD3403" s="3" t="s">
        <v>68</v>
      </c>
      <c r="BE3403" s="3" t="s">
        <v>32861</v>
      </c>
      <c r="BF3403" s="3" t="s">
        <v>32863</v>
      </c>
      <c r="BG3403" s="3" t="s">
        <v>32864</v>
      </c>
    </row>
    <row r="3404" spans="1:59" ht="58" x14ac:dyDescent="0.35">
      <c r="A3404" s="2" t="s">
        <v>89</v>
      </c>
      <c r="B3404" s="2" t="s">
        <v>90</v>
      </c>
      <c r="C3404" s="2" t="s">
        <v>32865</v>
      </c>
      <c r="D3404" s="2" t="s">
        <v>32866</v>
      </c>
      <c r="E3404" s="2" t="s">
        <v>32867</v>
      </c>
      <c r="G3404" s="3" t="s">
        <v>62</v>
      </c>
      <c r="I3404" s="3" t="s">
        <v>62</v>
      </c>
      <c r="J3404" s="3" t="s">
        <v>62</v>
      </c>
      <c r="K3404" s="3" t="s">
        <v>63</v>
      </c>
      <c r="L3404" s="2" t="s">
        <v>32868</v>
      </c>
      <c r="M3404" s="2" t="s">
        <v>32869</v>
      </c>
      <c r="N3404" s="3" t="s">
        <v>655</v>
      </c>
      <c r="P3404" s="3" t="s">
        <v>64</v>
      </c>
      <c r="R3404" s="3" t="s">
        <v>32039</v>
      </c>
      <c r="S3404" s="4">
        <v>1</v>
      </c>
      <c r="T3404" s="4">
        <v>1</v>
      </c>
      <c r="U3404" s="5" t="s">
        <v>20121</v>
      </c>
      <c r="V3404" s="5" t="s">
        <v>20121</v>
      </c>
      <c r="W3404" s="5" t="s">
        <v>67</v>
      </c>
      <c r="X3404" s="5" t="s">
        <v>67</v>
      </c>
      <c r="Y3404" s="4">
        <v>174</v>
      </c>
      <c r="Z3404" s="4">
        <v>16</v>
      </c>
      <c r="AA3404" s="4">
        <v>83</v>
      </c>
      <c r="AB3404" s="4">
        <v>2</v>
      </c>
      <c r="AC3404" s="4">
        <v>15</v>
      </c>
      <c r="AD3404" s="4">
        <v>59</v>
      </c>
      <c r="AE3404" s="4">
        <v>127</v>
      </c>
      <c r="AF3404" s="4">
        <v>1</v>
      </c>
      <c r="AG3404" s="4">
        <v>9</v>
      </c>
      <c r="AH3404" s="4">
        <v>51</v>
      </c>
      <c r="AI3404" s="4">
        <v>90</v>
      </c>
      <c r="AJ3404" s="4">
        <v>12</v>
      </c>
      <c r="AK3404" s="4">
        <v>22</v>
      </c>
      <c r="AL3404" s="4">
        <v>26</v>
      </c>
      <c r="AM3404" s="4">
        <v>45</v>
      </c>
      <c r="AN3404" s="4">
        <v>5</v>
      </c>
      <c r="AO3404" s="4">
        <v>5</v>
      </c>
      <c r="AP3404" s="4">
        <v>14</v>
      </c>
      <c r="AQ3404" s="4">
        <v>45</v>
      </c>
      <c r="AR3404" s="3" t="s">
        <v>62</v>
      </c>
      <c r="AS3404" s="3" t="s">
        <v>62</v>
      </c>
      <c r="AT3404" s="3" t="s">
        <v>61</v>
      </c>
      <c r="AU3404" s="6" t="str">
        <f>HYPERLINK("http://catalog.hathitrust.org/Record/102053517","HathiTrust Record")</f>
        <v>HathiTrust Record</v>
      </c>
      <c r="AV3404" s="6" t="str">
        <f>HYPERLINK("http://mcgill.on.worldcat.org/oclc/81453264","Catalog Record")</f>
        <v>Catalog Record</v>
      </c>
      <c r="AW3404" s="6" t="str">
        <f>HYPERLINK("http://www.worldcat.org/oclc/81453264","WorldCat Record")</f>
        <v>WorldCat Record</v>
      </c>
      <c r="AX3404" s="3" t="s">
        <v>32870</v>
      </c>
      <c r="AY3404" s="3" t="s">
        <v>32871</v>
      </c>
      <c r="AZ3404" s="3" t="s">
        <v>32872</v>
      </c>
      <c r="BA3404" s="3" t="s">
        <v>32872</v>
      </c>
      <c r="BB3404" s="3" t="s">
        <v>32873</v>
      </c>
      <c r="BC3404" s="3" t="s">
        <v>102</v>
      </c>
      <c r="BD3404" s="3" t="s">
        <v>68</v>
      </c>
      <c r="BE3404" s="3" t="s">
        <v>32874</v>
      </c>
      <c r="BF3404" s="3" t="s">
        <v>32873</v>
      </c>
      <c r="BG3404" s="3" t="s">
        <v>32875</v>
      </c>
    </row>
    <row r="3405" spans="1:59" ht="58" x14ac:dyDescent="0.35">
      <c r="A3405" s="2" t="s">
        <v>59</v>
      </c>
      <c r="B3405" s="2" t="s">
        <v>60</v>
      </c>
      <c r="C3405" s="2" t="s">
        <v>32876</v>
      </c>
      <c r="D3405" s="2" t="s">
        <v>32877</v>
      </c>
      <c r="E3405" s="2" t="s">
        <v>32878</v>
      </c>
      <c r="G3405" s="3" t="s">
        <v>62</v>
      </c>
      <c r="I3405" s="3" t="s">
        <v>62</v>
      </c>
      <c r="J3405" s="3" t="s">
        <v>62</v>
      </c>
      <c r="K3405" s="3" t="s">
        <v>63</v>
      </c>
      <c r="L3405" s="2" t="s">
        <v>32879</v>
      </c>
      <c r="M3405" s="2" t="s">
        <v>32880</v>
      </c>
      <c r="N3405" s="3" t="s">
        <v>106</v>
      </c>
      <c r="P3405" s="3" t="s">
        <v>64</v>
      </c>
      <c r="Q3405" s="2" t="s">
        <v>32881</v>
      </c>
      <c r="R3405" s="3" t="s">
        <v>32039</v>
      </c>
      <c r="S3405" s="4">
        <v>3</v>
      </c>
      <c r="T3405" s="4">
        <v>3</v>
      </c>
      <c r="U3405" s="5" t="s">
        <v>32882</v>
      </c>
      <c r="V3405" s="5" t="s">
        <v>32882</v>
      </c>
      <c r="W3405" s="5" t="s">
        <v>67</v>
      </c>
      <c r="X3405" s="5" t="s">
        <v>67</v>
      </c>
      <c r="Y3405" s="4">
        <v>14</v>
      </c>
      <c r="Z3405" s="4">
        <v>3</v>
      </c>
      <c r="AA3405" s="4">
        <v>15</v>
      </c>
      <c r="AB3405" s="4">
        <v>1</v>
      </c>
      <c r="AC3405" s="4">
        <v>2</v>
      </c>
      <c r="AD3405" s="4">
        <v>1</v>
      </c>
      <c r="AE3405" s="4">
        <v>82</v>
      </c>
      <c r="AF3405" s="4">
        <v>0</v>
      </c>
      <c r="AG3405" s="4">
        <v>0</v>
      </c>
      <c r="AH3405" s="4">
        <v>1</v>
      </c>
      <c r="AI3405" s="4">
        <v>75</v>
      </c>
      <c r="AJ3405" s="4">
        <v>1</v>
      </c>
      <c r="AK3405" s="4">
        <v>10</v>
      </c>
      <c r="AL3405" s="4">
        <v>1</v>
      </c>
      <c r="AM3405" s="4">
        <v>44</v>
      </c>
      <c r="AN3405" s="4">
        <v>0</v>
      </c>
      <c r="AO3405" s="4">
        <v>0</v>
      </c>
      <c r="AP3405" s="4">
        <v>1</v>
      </c>
      <c r="AQ3405" s="4">
        <v>10</v>
      </c>
      <c r="AR3405" s="3" t="s">
        <v>62</v>
      </c>
      <c r="AS3405" s="3" t="s">
        <v>62</v>
      </c>
      <c r="AT3405" s="3" t="s">
        <v>61</v>
      </c>
      <c r="AU3405" s="6" t="str">
        <f>HYPERLINK("http://catalog.hathitrust.org/Record/001114136","HathiTrust Record")</f>
        <v>HathiTrust Record</v>
      </c>
      <c r="AV3405" s="6" t="str">
        <f>HYPERLINK("http://mcgill.on.worldcat.org/oclc/152343288","Catalog Record")</f>
        <v>Catalog Record</v>
      </c>
      <c r="AW3405" s="6" t="str">
        <f>HYPERLINK("http://www.worldcat.org/oclc/152343288","WorldCat Record")</f>
        <v>WorldCat Record</v>
      </c>
      <c r="AX3405" s="3" t="s">
        <v>32883</v>
      </c>
      <c r="AY3405" s="3" t="s">
        <v>32884</v>
      </c>
      <c r="AZ3405" s="3" t="s">
        <v>32885</v>
      </c>
      <c r="BA3405" s="3" t="s">
        <v>32885</v>
      </c>
      <c r="BB3405" s="3" t="s">
        <v>32886</v>
      </c>
      <c r="BC3405" s="3" t="s">
        <v>102</v>
      </c>
      <c r="BD3405" s="3" t="s">
        <v>68</v>
      </c>
      <c r="BF3405" s="3" t="s">
        <v>32886</v>
      </c>
      <c r="BG3405" s="3" t="s">
        <v>32887</v>
      </c>
    </row>
    <row r="3406" spans="1:59" ht="101.5" x14ac:dyDescent="0.35">
      <c r="A3406" s="2" t="s">
        <v>89</v>
      </c>
      <c r="B3406" s="2" t="s">
        <v>12301</v>
      </c>
      <c r="C3406" s="2" t="s">
        <v>32888</v>
      </c>
      <c r="D3406" s="2" t="s">
        <v>32889</v>
      </c>
      <c r="E3406" s="2" t="s">
        <v>32890</v>
      </c>
      <c r="G3406" s="3" t="s">
        <v>62</v>
      </c>
      <c r="I3406" s="3" t="s">
        <v>61</v>
      </c>
      <c r="J3406" s="3" t="s">
        <v>61</v>
      </c>
      <c r="K3406" s="3" t="s">
        <v>63</v>
      </c>
      <c r="M3406" s="2" t="s">
        <v>32891</v>
      </c>
      <c r="N3406" s="3" t="s">
        <v>712</v>
      </c>
      <c r="O3406" s="2" t="s">
        <v>17648</v>
      </c>
      <c r="P3406" s="3" t="s">
        <v>64</v>
      </c>
      <c r="Q3406" s="2" t="s">
        <v>32892</v>
      </c>
      <c r="R3406" s="3" t="s">
        <v>32039</v>
      </c>
      <c r="S3406" s="4">
        <v>29</v>
      </c>
      <c r="T3406" s="4">
        <v>91</v>
      </c>
      <c r="U3406" s="5" t="s">
        <v>32893</v>
      </c>
      <c r="V3406" s="5" t="s">
        <v>12510</v>
      </c>
      <c r="W3406" s="5" t="s">
        <v>67</v>
      </c>
      <c r="X3406" s="5" t="s">
        <v>5085</v>
      </c>
      <c r="Y3406" s="4">
        <v>139</v>
      </c>
      <c r="Z3406" s="4">
        <v>15</v>
      </c>
      <c r="AA3406" s="4">
        <v>57</v>
      </c>
      <c r="AB3406" s="4">
        <v>2</v>
      </c>
      <c r="AC3406" s="4">
        <v>13</v>
      </c>
      <c r="AD3406" s="4">
        <v>42</v>
      </c>
      <c r="AE3406" s="4">
        <v>130</v>
      </c>
      <c r="AF3406" s="4">
        <v>0</v>
      </c>
      <c r="AG3406" s="4">
        <v>5</v>
      </c>
      <c r="AH3406" s="4">
        <v>39</v>
      </c>
      <c r="AI3406" s="4">
        <v>106</v>
      </c>
      <c r="AJ3406" s="4">
        <v>8</v>
      </c>
      <c r="AK3406" s="4">
        <v>21</v>
      </c>
      <c r="AL3406" s="4">
        <v>24</v>
      </c>
      <c r="AM3406" s="4">
        <v>57</v>
      </c>
      <c r="AN3406" s="4">
        <v>0</v>
      </c>
      <c r="AO3406" s="4">
        <v>0</v>
      </c>
      <c r="AP3406" s="4">
        <v>10</v>
      </c>
      <c r="AQ3406" s="4">
        <v>31</v>
      </c>
      <c r="AR3406" s="3" t="s">
        <v>62</v>
      </c>
      <c r="AS3406" s="3" t="s">
        <v>62</v>
      </c>
      <c r="AT3406" s="3" t="s">
        <v>62</v>
      </c>
      <c r="AV3406" s="6" t="str">
        <f>HYPERLINK("http://mcgill.on.worldcat.org/oclc/829243499","Catalog Record")</f>
        <v>Catalog Record</v>
      </c>
      <c r="AW3406" s="6" t="str">
        <f>HYPERLINK("http://www.worldcat.org/oclc/829243499","WorldCat Record")</f>
        <v>WorldCat Record</v>
      </c>
      <c r="AX3406" s="3" t="s">
        <v>32894</v>
      </c>
      <c r="AY3406" s="3" t="s">
        <v>32895</v>
      </c>
      <c r="AZ3406" s="3" t="s">
        <v>32896</v>
      </c>
      <c r="BA3406" s="3" t="s">
        <v>32896</v>
      </c>
      <c r="BB3406" s="3" t="s">
        <v>32897</v>
      </c>
      <c r="BC3406" s="3" t="s">
        <v>102</v>
      </c>
      <c r="BD3406" s="3" t="s">
        <v>68</v>
      </c>
      <c r="BE3406" s="3" t="s">
        <v>32898</v>
      </c>
      <c r="BF3406" s="3" t="s">
        <v>32897</v>
      </c>
      <c r="BG3406" s="3" t="s">
        <v>32899</v>
      </c>
    </row>
    <row r="3407" spans="1:59" ht="101.5" x14ac:dyDescent="0.35">
      <c r="A3407" s="2" t="s">
        <v>89</v>
      </c>
      <c r="B3407" s="2" t="s">
        <v>12301</v>
      </c>
      <c r="C3407" s="2" t="s">
        <v>32888</v>
      </c>
      <c r="D3407" s="2" t="s">
        <v>32889</v>
      </c>
      <c r="E3407" s="2" t="s">
        <v>32890</v>
      </c>
      <c r="G3407" s="3" t="s">
        <v>62</v>
      </c>
      <c r="I3407" s="3" t="s">
        <v>61</v>
      </c>
      <c r="J3407" s="3" t="s">
        <v>61</v>
      </c>
      <c r="K3407" s="3" t="s">
        <v>63</v>
      </c>
      <c r="M3407" s="2" t="s">
        <v>32891</v>
      </c>
      <c r="N3407" s="3" t="s">
        <v>712</v>
      </c>
      <c r="O3407" s="2" t="s">
        <v>17648</v>
      </c>
      <c r="P3407" s="3" t="s">
        <v>64</v>
      </c>
      <c r="Q3407" s="2" t="s">
        <v>32892</v>
      </c>
      <c r="R3407" s="3" t="s">
        <v>32039</v>
      </c>
      <c r="S3407" s="4">
        <v>28</v>
      </c>
      <c r="T3407" s="4">
        <v>91</v>
      </c>
      <c r="U3407" s="5" t="s">
        <v>1052</v>
      </c>
      <c r="V3407" s="5" t="s">
        <v>12510</v>
      </c>
      <c r="W3407" s="5" t="s">
        <v>67</v>
      </c>
      <c r="X3407" s="5" t="s">
        <v>5085</v>
      </c>
      <c r="Y3407" s="4">
        <v>139</v>
      </c>
      <c r="Z3407" s="4">
        <v>15</v>
      </c>
      <c r="AA3407" s="4">
        <v>57</v>
      </c>
      <c r="AB3407" s="4">
        <v>2</v>
      </c>
      <c r="AC3407" s="4">
        <v>13</v>
      </c>
      <c r="AD3407" s="4">
        <v>42</v>
      </c>
      <c r="AE3407" s="4">
        <v>130</v>
      </c>
      <c r="AF3407" s="4">
        <v>0</v>
      </c>
      <c r="AG3407" s="4">
        <v>5</v>
      </c>
      <c r="AH3407" s="4">
        <v>39</v>
      </c>
      <c r="AI3407" s="4">
        <v>106</v>
      </c>
      <c r="AJ3407" s="4">
        <v>8</v>
      </c>
      <c r="AK3407" s="4">
        <v>21</v>
      </c>
      <c r="AL3407" s="4">
        <v>24</v>
      </c>
      <c r="AM3407" s="4">
        <v>57</v>
      </c>
      <c r="AN3407" s="4">
        <v>0</v>
      </c>
      <c r="AO3407" s="4">
        <v>0</v>
      </c>
      <c r="AP3407" s="4">
        <v>10</v>
      </c>
      <c r="AQ3407" s="4">
        <v>31</v>
      </c>
      <c r="AR3407" s="3" t="s">
        <v>62</v>
      </c>
      <c r="AS3407" s="3" t="s">
        <v>62</v>
      </c>
      <c r="AT3407" s="3" t="s">
        <v>62</v>
      </c>
      <c r="AV3407" s="6" t="str">
        <f>HYPERLINK("http://mcgill.on.worldcat.org/oclc/829243499","Catalog Record")</f>
        <v>Catalog Record</v>
      </c>
      <c r="AW3407" s="6" t="str">
        <f>HYPERLINK("http://www.worldcat.org/oclc/829243499","WorldCat Record")</f>
        <v>WorldCat Record</v>
      </c>
      <c r="AX3407" s="3" t="s">
        <v>32894</v>
      </c>
      <c r="AY3407" s="3" t="s">
        <v>32895</v>
      </c>
      <c r="AZ3407" s="3" t="s">
        <v>32896</v>
      </c>
      <c r="BA3407" s="3" t="s">
        <v>32896</v>
      </c>
      <c r="BB3407" s="3" t="s">
        <v>32900</v>
      </c>
      <c r="BC3407" s="3" t="s">
        <v>102</v>
      </c>
      <c r="BD3407" s="3" t="s">
        <v>68</v>
      </c>
      <c r="BE3407" s="3" t="s">
        <v>32898</v>
      </c>
      <c r="BF3407" s="3" t="s">
        <v>32900</v>
      </c>
      <c r="BG3407" s="3" t="s">
        <v>32901</v>
      </c>
    </row>
    <row r="3408" spans="1:59" ht="101.5" x14ac:dyDescent="0.35">
      <c r="A3408" s="2" t="s">
        <v>89</v>
      </c>
      <c r="B3408" s="2" t="s">
        <v>12301</v>
      </c>
      <c r="C3408" s="2" t="s">
        <v>32888</v>
      </c>
      <c r="D3408" s="2" t="s">
        <v>32889</v>
      </c>
      <c r="E3408" s="2" t="s">
        <v>32890</v>
      </c>
      <c r="G3408" s="3" t="s">
        <v>62</v>
      </c>
      <c r="I3408" s="3" t="s">
        <v>61</v>
      </c>
      <c r="J3408" s="3" t="s">
        <v>61</v>
      </c>
      <c r="K3408" s="3" t="s">
        <v>63</v>
      </c>
      <c r="M3408" s="2" t="s">
        <v>32891</v>
      </c>
      <c r="N3408" s="3" t="s">
        <v>712</v>
      </c>
      <c r="O3408" s="2" t="s">
        <v>17648</v>
      </c>
      <c r="P3408" s="3" t="s">
        <v>64</v>
      </c>
      <c r="Q3408" s="2" t="s">
        <v>32892</v>
      </c>
      <c r="R3408" s="3" t="s">
        <v>32039</v>
      </c>
      <c r="S3408" s="4">
        <v>6</v>
      </c>
      <c r="T3408" s="4">
        <v>91</v>
      </c>
      <c r="U3408" s="5" t="s">
        <v>4816</v>
      </c>
      <c r="V3408" s="5" t="s">
        <v>12510</v>
      </c>
      <c r="W3408" s="5" t="s">
        <v>67</v>
      </c>
      <c r="X3408" s="5" t="s">
        <v>5085</v>
      </c>
      <c r="Y3408" s="4">
        <v>139</v>
      </c>
      <c r="Z3408" s="4">
        <v>15</v>
      </c>
      <c r="AA3408" s="4">
        <v>57</v>
      </c>
      <c r="AB3408" s="4">
        <v>2</v>
      </c>
      <c r="AC3408" s="4">
        <v>13</v>
      </c>
      <c r="AD3408" s="4">
        <v>42</v>
      </c>
      <c r="AE3408" s="4">
        <v>130</v>
      </c>
      <c r="AF3408" s="4">
        <v>0</v>
      </c>
      <c r="AG3408" s="4">
        <v>5</v>
      </c>
      <c r="AH3408" s="4">
        <v>39</v>
      </c>
      <c r="AI3408" s="4">
        <v>106</v>
      </c>
      <c r="AJ3408" s="4">
        <v>8</v>
      </c>
      <c r="AK3408" s="4">
        <v>21</v>
      </c>
      <c r="AL3408" s="4">
        <v>24</v>
      </c>
      <c r="AM3408" s="4">
        <v>57</v>
      </c>
      <c r="AN3408" s="4">
        <v>0</v>
      </c>
      <c r="AO3408" s="4">
        <v>0</v>
      </c>
      <c r="AP3408" s="4">
        <v>10</v>
      </c>
      <c r="AQ3408" s="4">
        <v>31</v>
      </c>
      <c r="AR3408" s="3" t="s">
        <v>62</v>
      </c>
      <c r="AS3408" s="3" t="s">
        <v>62</v>
      </c>
      <c r="AT3408" s="3" t="s">
        <v>62</v>
      </c>
      <c r="AV3408" s="6" t="str">
        <f>HYPERLINK("http://mcgill.on.worldcat.org/oclc/829243499","Catalog Record")</f>
        <v>Catalog Record</v>
      </c>
      <c r="AW3408" s="6" t="str">
        <f>HYPERLINK("http://www.worldcat.org/oclc/829243499","WorldCat Record")</f>
        <v>WorldCat Record</v>
      </c>
      <c r="AX3408" s="3" t="s">
        <v>32894</v>
      </c>
      <c r="AY3408" s="3" t="s">
        <v>32895</v>
      </c>
      <c r="AZ3408" s="3" t="s">
        <v>32896</v>
      </c>
      <c r="BA3408" s="3" t="s">
        <v>32896</v>
      </c>
      <c r="BB3408" s="3" t="s">
        <v>32902</v>
      </c>
      <c r="BC3408" s="3" t="s">
        <v>102</v>
      </c>
      <c r="BD3408" s="3" t="s">
        <v>68</v>
      </c>
      <c r="BE3408" s="3" t="s">
        <v>32898</v>
      </c>
      <c r="BF3408" s="3" t="s">
        <v>32902</v>
      </c>
      <c r="BG3408" s="3" t="s">
        <v>32903</v>
      </c>
    </row>
    <row r="3409" spans="1:59" ht="101.5" x14ac:dyDescent="0.35">
      <c r="A3409" s="2" t="s">
        <v>89</v>
      </c>
      <c r="B3409" s="2" t="s">
        <v>12301</v>
      </c>
      <c r="C3409" s="2" t="s">
        <v>32888</v>
      </c>
      <c r="D3409" s="2" t="s">
        <v>32889</v>
      </c>
      <c r="E3409" s="2" t="s">
        <v>32890</v>
      </c>
      <c r="G3409" s="3" t="s">
        <v>62</v>
      </c>
      <c r="I3409" s="3" t="s">
        <v>61</v>
      </c>
      <c r="J3409" s="3" t="s">
        <v>61</v>
      </c>
      <c r="K3409" s="3" t="s">
        <v>63</v>
      </c>
      <c r="M3409" s="2" t="s">
        <v>32891</v>
      </c>
      <c r="N3409" s="3" t="s">
        <v>712</v>
      </c>
      <c r="O3409" s="2" t="s">
        <v>17648</v>
      </c>
      <c r="P3409" s="3" t="s">
        <v>64</v>
      </c>
      <c r="Q3409" s="2" t="s">
        <v>32892</v>
      </c>
      <c r="R3409" s="3" t="s">
        <v>32039</v>
      </c>
      <c r="S3409" s="4">
        <v>27</v>
      </c>
      <c r="T3409" s="4">
        <v>91</v>
      </c>
      <c r="U3409" s="5" t="s">
        <v>9685</v>
      </c>
      <c r="V3409" s="5" t="s">
        <v>12510</v>
      </c>
      <c r="W3409" s="5" t="s">
        <v>67</v>
      </c>
      <c r="X3409" s="5" t="s">
        <v>5085</v>
      </c>
      <c r="Y3409" s="4">
        <v>139</v>
      </c>
      <c r="Z3409" s="4">
        <v>15</v>
      </c>
      <c r="AA3409" s="4">
        <v>57</v>
      </c>
      <c r="AB3409" s="4">
        <v>2</v>
      </c>
      <c r="AC3409" s="4">
        <v>13</v>
      </c>
      <c r="AD3409" s="4">
        <v>42</v>
      </c>
      <c r="AE3409" s="4">
        <v>130</v>
      </c>
      <c r="AF3409" s="4">
        <v>0</v>
      </c>
      <c r="AG3409" s="4">
        <v>5</v>
      </c>
      <c r="AH3409" s="4">
        <v>39</v>
      </c>
      <c r="AI3409" s="4">
        <v>106</v>
      </c>
      <c r="AJ3409" s="4">
        <v>8</v>
      </c>
      <c r="AK3409" s="4">
        <v>21</v>
      </c>
      <c r="AL3409" s="4">
        <v>24</v>
      </c>
      <c r="AM3409" s="4">
        <v>57</v>
      </c>
      <c r="AN3409" s="4">
        <v>0</v>
      </c>
      <c r="AO3409" s="4">
        <v>0</v>
      </c>
      <c r="AP3409" s="4">
        <v>10</v>
      </c>
      <c r="AQ3409" s="4">
        <v>31</v>
      </c>
      <c r="AR3409" s="3" t="s">
        <v>62</v>
      </c>
      <c r="AS3409" s="3" t="s">
        <v>62</v>
      </c>
      <c r="AT3409" s="3" t="s">
        <v>62</v>
      </c>
      <c r="AV3409" s="6" t="str">
        <f>HYPERLINK("http://mcgill.on.worldcat.org/oclc/829243499","Catalog Record")</f>
        <v>Catalog Record</v>
      </c>
      <c r="AW3409" s="6" t="str">
        <f>HYPERLINK("http://www.worldcat.org/oclc/829243499","WorldCat Record")</f>
        <v>WorldCat Record</v>
      </c>
      <c r="AX3409" s="3" t="s">
        <v>32894</v>
      </c>
      <c r="AY3409" s="3" t="s">
        <v>32895</v>
      </c>
      <c r="AZ3409" s="3" t="s">
        <v>32896</v>
      </c>
      <c r="BA3409" s="3" t="s">
        <v>32896</v>
      </c>
      <c r="BB3409" s="3" t="s">
        <v>32904</v>
      </c>
      <c r="BC3409" s="3" t="s">
        <v>102</v>
      </c>
      <c r="BD3409" s="3" t="s">
        <v>68</v>
      </c>
      <c r="BE3409" s="3" t="s">
        <v>32898</v>
      </c>
      <c r="BF3409" s="3" t="s">
        <v>32904</v>
      </c>
      <c r="BG3409" s="3" t="s">
        <v>32905</v>
      </c>
    </row>
    <row r="3410" spans="1:59" ht="58" x14ac:dyDescent="0.35">
      <c r="A3410" s="2" t="s">
        <v>89</v>
      </c>
      <c r="B3410" s="2" t="s">
        <v>90</v>
      </c>
      <c r="C3410" s="2" t="s">
        <v>32906</v>
      </c>
      <c r="D3410" s="2" t="s">
        <v>32907</v>
      </c>
      <c r="E3410" s="2" t="s">
        <v>32908</v>
      </c>
      <c r="G3410" s="3" t="s">
        <v>62</v>
      </c>
      <c r="I3410" s="3" t="s">
        <v>62</v>
      </c>
      <c r="J3410" s="3" t="s">
        <v>62</v>
      </c>
      <c r="K3410" s="3" t="s">
        <v>63</v>
      </c>
      <c r="L3410" s="2" t="s">
        <v>32909</v>
      </c>
      <c r="M3410" s="2" t="s">
        <v>17574</v>
      </c>
      <c r="N3410" s="3" t="s">
        <v>625</v>
      </c>
      <c r="P3410" s="3" t="s">
        <v>64</v>
      </c>
      <c r="Q3410" s="2" t="s">
        <v>32136</v>
      </c>
      <c r="R3410" s="3" t="s">
        <v>32039</v>
      </c>
      <c r="S3410" s="4">
        <v>2</v>
      </c>
      <c r="T3410" s="4">
        <v>2</v>
      </c>
      <c r="U3410" s="5" t="s">
        <v>440</v>
      </c>
      <c r="V3410" s="5" t="s">
        <v>440</v>
      </c>
      <c r="W3410" s="5" t="s">
        <v>67</v>
      </c>
      <c r="X3410" s="5" t="s">
        <v>67</v>
      </c>
      <c r="Y3410" s="4">
        <v>267</v>
      </c>
      <c r="Z3410" s="4">
        <v>13</v>
      </c>
      <c r="AA3410" s="4">
        <v>90</v>
      </c>
      <c r="AB3410" s="4">
        <v>2</v>
      </c>
      <c r="AC3410" s="4">
        <v>18</v>
      </c>
      <c r="AD3410" s="4">
        <v>88</v>
      </c>
      <c r="AE3410" s="4">
        <v>133</v>
      </c>
      <c r="AF3410" s="4">
        <v>0</v>
      </c>
      <c r="AG3410" s="4">
        <v>8</v>
      </c>
      <c r="AH3410" s="4">
        <v>82</v>
      </c>
      <c r="AI3410" s="4">
        <v>97</v>
      </c>
      <c r="AJ3410" s="4">
        <v>6</v>
      </c>
      <c r="AK3410" s="4">
        <v>21</v>
      </c>
      <c r="AL3410" s="4">
        <v>49</v>
      </c>
      <c r="AM3410" s="4">
        <v>52</v>
      </c>
      <c r="AN3410" s="4">
        <v>0</v>
      </c>
      <c r="AO3410" s="4">
        <v>0</v>
      </c>
      <c r="AP3410" s="4">
        <v>8</v>
      </c>
      <c r="AQ3410" s="4">
        <v>42</v>
      </c>
      <c r="AR3410" s="3" t="s">
        <v>62</v>
      </c>
      <c r="AS3410" s="3" t="s">
        <v>62</v>
      </c>
      <c r="AT3410" s="3" t="s">
        <v>62</v>
      </c>
      <c r="AV3410" s="6" t="str">
        <f>HYPERLINK("http://mcgill.on.worldcat.org/oclc/50478456","Catalog Record")</f>
        <v>Catalog Record</v>
      </c>
      <c r="AW3410" s="6" t="str">
        <f>HYPERLINK("http://www.worldcat.org/oclc/50478456","WorldCat Record")</f>
        <v>WorldCat Record</v>
      </c>
      <c r="AX3410" s="3" t="s">
        <v>32910</v>
      </c>
      <c r="AY3410" s="3" t="s">
        <v>32911</v>
      </c>
      <c r="AZ3410" s="3" t="s">
        <v>32912</v>
      </c>
      <c r="BA3410" s="3" t="s">
        <v>32912</v>
      </c>
      <c r="BB3410" s="3" t="s">
        <v>32913</v>
      </c>
      <c r="BC3410" s="3" t="s">
        <v>102</v>
      </c>
      <c r="BD3410" s="3" t="s">
        <v>68</v>
      </c>
      <c r="BE3410" s="3" t="s">
        <v>32914</v>
      </c>
      <c r="BF3410" s="3" t="s">
        <v>32913</v>
      </c>
      <c r="BG3410" s="3" t="s">
        <v>32915</v>
      </c>
    </row>
    <row r="3411" spans="1:59" ht="58" x14ac:dyDescent="0.35">
      <c r="A3411" s="2" t="s">
        <v>89</v>
      </c>
      <c r="B3411" s="2" t="s">
        <v>18023</v>
      </c>
      <c r="C3411" s="2" t="s">
        <v>32916</v>
      </c>
      <c r="D3411" s="2" t="s">
        <v>32917</v>
      </c>
      <c r="E3411" s="2" t="s">
        <v>32918</v>
      </c>
      <c r="G3411" s="3" t="s">
        <v>62</v>
      </c>
      <c r="I3411" s="3" t="s">
        <v>61</v>
      </c>
      <c r="J3411" s="3" t="s">
        <v>62</v>
      </c>
      <c r="K3411" s="3" t="s">
        <v>63</v>
      </c>
      <c r="L3411" s="2" t="s">
        <v>32919</v>
      </c>
      <c r="M3411" s="2" t="s">
        <v>14791</v>
      </c>
      <c r="N3411" s="3" t="s">
        <v>1195</v>
      </c>
      <c r="P3411" s="3" t="s">
        <v>64</v>
      </c>
      <c r="R3411" s="3" t="s">
        <v>32039</v>
      </c>
      <c r="S3411" s="4">
        <v>38</v>
      </c>
      <c r="T3411" s="4">
        <v>62</v>
      </c>
      <c r="U3411" s="5" t="s">
        <v>12548</v>
      </c>
      <c r="V3411" s="5" t="s">
        <v>12548</v>
      </c>
      <c r="W3411" s="5" t="s">
        <v>67</v>
      </c>
      <c r="X3411" s="5" t="s">
        <v>67</v>
      </c>
      <c r="Y3411" s="4">
        <v>216</v>
      </c>
      <c r="Z3411" s="4">
        <v>12</v>
      </c>
      <c r="AA3411" s="4">
        <v>80</v>
      </c>
      <c r="AB3411" s="4">
        <v>1</v>
      </c>
      <c r="AC3411" s="4">
        <v>17</v>
      </c>
      <c r="AD3411" s="4">
        <v>76</v>
      </c>
      <c r="AE3411" s="4">
        <v>125</v>
      </c>
      <c r="AF3411" s="4">
        <v>0</v>
      </c>
      <c r="AG3411" s="4">
        <v>10</v>
      </c>
      <c r="AH3411" s="4">
        <v>70</v>
      </c>
      <c r="AI3411" s="4">
        <v>90</v>
      </c>
      <c r="AJ3411" s="4">
        <v>8</v>
      </c>
      <c r="AK3411" s="4">
        <v>21</v>
      </c>
      <c r="AL3411" s="4">
        <v>44</v>
      </c>
      <c r="AM3411" s="4">
        <v>48</v>
      </c>
      <c r="AN3411" s="4">
        <v>0</v>
      </c>
      <c r="AO3411" s="4">
        <v>0</v>
      </c>
      <c r="AP3411" s="4">
        <v>10</v>
      </c>
      <c r="AQ3411" s="4">
        <v>43</v>
      </c>
      <c r="AR3411" s="3" t="s">
        <v>62</v>
      </c>
      <c r="AS3411" s="3" t="s">
        <v>62</v>
      </c>
      <c r="AT3411" s="3" t="s">
        <v>62</v>
      </c>
      <c r="AV3411" s="6" t="str">
        <f>HYPERLINK("http://mcgill.on.worldcat.org/oclc/65978625","Catalog Record")</f>
        <v>Catalog Record</v>
      </c>
      <c r="AW3411" s="6" t="str">
        <f>HYPERLINK("http://www.worldcat.org/oclc/65978625","WorldCat Record")</f>
        <v>WorldCat Record</v>
      </c>
      <c r="AX3411" s="3" t="s">
        <v>32920</v>
      </c>
      <c r="AY3411" s="3" t="s">
        <v>32921</v>
      </c>
      <c r="AZ3411" s="3" t="s">
        <v>32922</v>
      </c>
      <c r="BA3411" s="3" t="s">
        <v>32922</v>
      </c>
      <c r="BB3411" s="3" t="s">
        <v>32923</v>
      </c>
      <c r="BC3411" s="3" t="s">
        <v>102</v>
      </c>
      <c r="BD3411" s="3" t="s">
        <v>68</v>
      </c>
      <c r="BE3411" s="3" t="s">
        <v>32924</v>
      </c>
      <c r="BF3411" s="3" t="s">
        <v>32923</v>
      </c>
      <c r="BG3411" s="3" t="s">
        <v>32925</v>
      </c>
    </row>
    <row r="3412" spans="1:59" ht="58" x14ac:dyDescent="0.35">
      <c r="A3412" s="2" t="s">
        <v>89</v>
      </c>
      <c r="B3412" s="2" t="s">
        <v>18023</v>
      </c>
      <c r="C3412" s="2" t="s">
        <v>32916</v>
      </c>
      <c r="D3412" s="2" t="s">
        <v>32917</v>
      </c>
      <c r="E3412" s="2" t="s">
        <v>32918</v>
      </c>
      <c r="G3412" s="3" t="s">
        <v>62</v>
      </c>
      <c r="I3412" s="3" t="s">
        <v>61</v>
      </c>
      <c r="J3412" s="3" t="s">
        <v>62</v>
      </c>
      <c r="K3412" s="3" t="s">
        <v>63</v>
      </c>
      <c r="L3412" s="2" t="s">
        <v>32919</v>
      </c>
      <c r="M3412" s="2" t="s">
        <v>14791</v>
      </c>
      <c r="N3412" s="3" t="s">
        <v>1195</v>
      </c>
      <c r="P3412" s="3" t="s">
        <v>64</v>
      </c>
      <c r="R3412" s="3" t="s">
        <v>32039</v>
      </c>
      <c r="S3412" s="4">
        <v>24</v>
      </c>
      <c r="T3412" s="4">
        <v>62</v>
      </c>
      <c r="U3412" s="5" t="s">
        <v>24180</v>
      </c>
      <c r="V3412" s="5" t="s">
        <v>12548</v>
      </c>
      <c r="W3412" s="5" t="s">
        <v>67</v>
      </c>
      <c r="X3412" s="5" t="s">
        <v>67</v>
      </c>
      <c r="Y3412" s="4">
        <v>216</v>
      </c>
      <c r="Z3412" s="4">
        <v>12</v>
      </c>
      <c r="AA3412" s="4">
        <v>80</v>
      </c>
      <c r="AB3412" s="4">
        <v>1</v>
      </c>
      <c r="AC3412" s="4">
        <v>17</v>
      </c>
      <c r="AD3412" s="4">
        <v>76</v>
      </c>
      <c r="AE3412" s="4">
        <v>125</v>
      </c>
      <c r="AF3412" s="4">
        <v>0</v>
      </c>
      <c r="AG3412" s="4">
        <v>10</v>
      </c>
      <c r="AH3412" s="4">
        <v>70</v>
      </c>
      <c r="AI3412" s="4">
        <v>90</v>
      </c>
      <c r="AJ3412" s="4">
        <v>8</v>
      </c>
      <c r="AK3412" s="4">
        <v>21</v>
      </c>
      <c r="AL3412" s="4">
        <v>44</v>
      </c>
      <c r="AM3412" s="4">
        <v>48</v>
      </c>
      <c r="AN3412" s="4">
        <v>0</v>
      </c>
      <c r="AO3412" s="4">
        <v>0</v>
      </c>
      <c r="AP3412" s="4">
        <v>10</v>
      </c>
      <c r="AQ3412" s="4">
        <v>43</v>
      </c>
      <c r="AR3412" s="3" t="s">
        <v>62</v>
      </c>
      <c r="AS3412" s="3" t="s">
        <v>62</v>
      </c>
      <c r="AT3412" s="3" t="s">
        <v>62</v>
      </c>
      <c r="AV3412" s="6" t="str">
        <f>HYPERLINK("http://mcgill.on.worldcat.org/oclc/65978625","Catalog Record")</f>
        <v>Catalog Record</v>
      </c>
      <c r="AW3412" s="6" t="str">
        <f>HYPERLINK("http://www.worldcat.org/oclc/65978625","WorldCat Record")</f>
        <v>WorldCat Record</v>
      </c>
      <c r="AX3412" s="3" t="s">
        <v>32920</v>
      </c>
      <c r="AY3412" s="3" t="s">
        <v>32921</v>
      </c>
      <c r="AZ3412" s="3" t="s">
        <v>32922</v>
      </c>
      <c r="BA3412" s="3" t="s">
        <v>32922</v>
      </c>
      <c r="BB3412" s="3" t="s">
        <v>32926</v>
      </c>
      <c r="BC3412" s="3" t="s">
        <v>102</v>
      </c>
      <c r="BD3412" s="3" t="s">
        <v>68</v>
      </c>
      <c r="BE3412" s="3" t="s">
        <v>32924</v>
      </c>
      <c r="BF3412" s="3" t="s">
        <v>32926</v>
      </c>
      <c r="BG3412" s="3" t="s">
        <v>32927</v>
      </c>
    </row>
    <row r="3413" spans="1:59" ht="101.5" x14ac:dyDescent="0.35">
      <c r="A3413" s="2" t="s">
        <v>89</v>
      </c>
      <c r="B3413" s="2" t="s">
        <v>90</v>
      </c>
      <c r="C3413" s="2" t="s">
        <v>32928</v>
      </c>
      <c r="D3413" s="2" t="s">
        <v>32929</v>
      </c>
      <c r="E3413" s="2" t="s">
        <v>32930</v>
      </c>
      <c r="G3413" s="3" t="s">
        <v>62</v>
      </c>
      <c r="I3413" s="3" t="s">
        <v>61</v>
      </c>
      <c r="J3413" s="3" t="s">
        <v>61</v>
      </c>
      <c r="K3413" s="3" t="s">
        <v>63</v>
      </c>
      <c r="L3413" s="2" t="s">
        <v>32931</v>
      </c>
      <c r="M3413" s="2" t="s">
        <v>32932</v>
      </c>
      <c r="N3413" s="3" t="s">
        <v>852</v>
      </c>
      <c r="O3413" s="2" t="s">
        <v>32933</v>
      </c>
      <c r="P3413" s="3" t="s">
        <v>64</v>
      </c>
      <c r="R3413" s="3" t="s">
        <v>32039</v>
      </c>
      <c r="S3413" s="4">
        <v>11</v>
      </c>
      <c r="T3413" s="4">
        <v>53</v>
      </c>
      <c r="U3413" s="5" t="s">
        <v>511</v>
      </c>
      <c r="V3413" s="5" t="s">
        <v>511</v>
      </c>
      <c r="W3413" s="5" t="s">
        <v>67</v>
      </c>
      <c r="X3413" s="5" t="s">
        <v>67</v>
      </c>
      <c r="Y3413" s="4">
        <v>283</v>
      </c>
      <c r="Z3413" s="4">
        <v>25</v>
      </c>
      <c r="AA3413" s="4">
        <v>42</v>
      </c>
      <c r="AB3413" s="4">
        <v>3</v>
      </c>
      <c r="AC3413" s="4">
        <v>11</v>
      </c>
      <c r="AD3413" s="4">
        <v>104</v>
      </c>
      <c r="AE3413" s="4">
        <v>125</v>
      </c>
      <c r="AF3413" s="4">
        <v>1</v>
      </c>
      <c r="AG3413" s="4">
        <v>6</v>
      </c>
      <c r="AH3413" s="4">
        <v>93</v>
      </c>
      <c r="AI3413" s="4">
        <v>105</v>
      </c>
      <c r="AJ3413" s="4">
        <v>17</v>
      </c>
      <c r="AK3413" s="4">
        <v>25</v>
      </c>
      <c r="AL3413" s="4">
        <v>54</v>
      </c>
      <c r="AM3413" s="4">
        <v>58</v>
      </c>
      <c r="AN3413" s="4">
        <v>0</v>
      </c>
      <c r="AO3413" s="4">
        <v>0</v>
      </c>
      <c r="AP3413" s="4">
        <v>16</v>
      </c>
      <c r="AQ3413" s="4">
        <v>26</v>
      </c>
      <c r="AR3413" s="3" t="s">
        <v>62</v>
      </c>
      <c r="AS3413" s="3" t="s">
        <v>62</v>
      </c>
      <c r="AT3413" s="3" t="s">
        <v>62</v>
      </c>
      <c r="AV3413" s="6" t="str">
        <f>HYPERLINK("http://mcgill.on.worldcat.org/oclc/51988","Catalog Record")</f>
        <v>Catalog Record</v>
      </c>
      <c r="AW3413" s="6" t="str">
        <f>HYPERLINK("http://www.worldcat.org/oclc/51988","WorldCat Record")</f>
        <v>WorldCat Record</v>
      </c>
      <c r="AX3413" s="3" t="s">
        <v>32934</v>
      </c>
      <c r="AY3413" s="3" t="s">
        <v>32935</v>
      </c>
      <c r="AZ3413" s="3" t="s">
        <v>32936</v>
      </c>
      <c r="BA3413" s="3" t="s">
        <v>32936</v>
      </c>
      <c r="BB3413" s="3" t="s">
        <v>32937</v>
      </c>
      <c r="BC3413" s="3" t="s">
        <v>102</v>
      </c>
      <c r="BD3413" s="3" t="s">
        <v>68</v>
      </c>
      <c r="BF3413" s="3" t="s">
        <v>32937</v>
      </c>
      <c r="BG3413" s="3" t="s">
        <v>32938</v>
      </c>
    </row>
    <row r="3414" spans="1:59" ht="58" x14ac:dyDescent="0.35">
      <c r="A3414" s="2" t="s">
        <v>59</v>
      </c>
      <c r="B3414" s="2" t="s">
        <v>60</v>
      </c>
      <c r="C3414" s="2" t="s">
        <v>32939</v>
      </c>
      <c r="D3414" s="2" t="s">
        <v>32940</v>
      </c>
      <c r="E3414" s="2" t="s">
        <v>32941</v>
      </c>
      <c r="G3414" s="3" t="s">
        <v>62</v>
      </c>
      <c r="I3414" s="3" t="s">
        <v>61</v>
      </c>
      <c r="J3414" s="3" t="s">
        <v>61</v>
      </c>
      <c r="K3414" s="3" t="s">
        <v>63</v>
      </c>
      <c r="L3414" s="2" t="s">
        <v>32942</v>
      </c>
      <c r="M3414" s="2" t="s">
        <v>28932</v>
      </c>
      <c r="N3414" s="3" t="s">
        <v>838</v>
      </c>
      <c r="P3414" s="3" t="s">
        <v>64</v>
      </c>
      <c r="R3414" s="3" t="s">
        <v>32039</v>
      </c>
      <c r="S3414" s="4">
        <v>2</v>
      </c>
      <c r="T3414" s="4">
        <v>43</v>
      </c>
      <c r="U3414" s="5" t="s">
        <v>32943</v>
      </c>
      <c r="V3414" s="5" t="s">
        <v>18411</v>
      </c>
      <c r="W3414" s="5" t="s">
        <v>67</v>
      </c>
      <c r="X3414" s="5" t="s">
        <v>67</v>
      </c>
      <c r="Y3414" s="4">
        <v>738</v>
      </c>
      <c r="Z3414" s="4">
        <v>32</v>
      </c>
      <c r="AA3414" s="4">
        <v>57</v>
      </c>
      <c r="AB3414" s="4">
        <v>4</v>
      </c>
      <c r="AC3414" s="4">
        <v>9</v>
      </c>
      <c r="AD3414" s="4">
        <v>109</v>
      </c>
      <c r="AE3414" s="4">
        <v>144</v>
      </c>
      <c r="AF3414" s="4">
        <v>1</v>
      </c>
      <c r="AG3414" s="4">
        <v>3</v>
      </c>
      <c r="AH3414" s="4">
        <v>93</v>
      </c>
      <c r="AI3414" s="4">
        <v>114</v>
      </c>
      <c r="AJ3414" s="4">
        <v>17</v>
      </c>
      <c r="AK3414" s="4">
        <v>25</v>
      </c>
      <c r="AL3414" s="4">
        <v>50</v>
      </c>
      <c r="AM3414" s="4">
        <v>60</v>
      </c>
      <c r="AN3414" s="4">
        <v>0</v>
      </c>
      <c r="AO3414" s="4">
        <v>0</v>
      </c>
      <c r="AP3414" s="4">
        <v>22</v>
      </c>
      <c r="AQ3414" s="4">
        <v>36</v>
      </c>
      <c r="AR3414" s="3" t="s">
        <v>62</v>
      </c>
      <c r="AS3414" s="3" t="s">
        <v>62</v>
      </c>
      <c r="AT3414" s="3" t="s">
        <v>61</v>
      </c>
      <c r="AU3414" s="6" t="str">
        <f>HYPERLINK("http://catalog.hathitrust.org/Record/001114341","HathiTrust Record")</f>
        <v>HathiTrust Record</v>
      </c>
      <c r="AV3414" s="6" t="str">
        <f>HYPERLINK("http://mcgill.on.worldcat.org/oclc/543829","Catalog Record")</f>
        <v>Catalog Record</v>
      </c>
      <c r="AW3414" s="6" t="str">
        <f>HYPERLINK("http://www.worldcat.org/oclc/543829","WorldCat Record")</f>
        <v>WorldCat Record</v>
      </c>
      <c r="AX3414" s="3" t="s">
        <v>32944</v>
      </c>
      <c r="AY3414" s="3" t="s">
        <v>32945</v>
      </c>
      <c r="AZ3414" s="3" t="s">
        <v>32946</v>
      </c>
      <c r="BA3414" s="3" t="s">
        <v>32946</v>
      </c>
      <c r="BB3414" s="3" t="s">
        <v>32947</v>
      </c>
      <c r="BC3414" s="3" t="s">
        <v>102</v>
      </c>
      <c r="BD3414" s="3" t="s">
        <v>68</v>
      </c>
      <c r="BF3414" s="3" t="s">
        <v>32947</v>
      </c>
      <c r="BG3414" s="3" t="s">
        <v>32948</v>
      </c>
    </row>
    <row r="3415" spans="1:59" ht="58" x14ac:dyDescent="0.35">
      <c r="A3415" s="2" t="s">
        <v>89</v>
      </c>
      <c r="B3415" s="2" t="s">
        <v>90</v>
      </c>
      <c r="C3415" s="2" t="s">
        <v>32950</v>
      </c>
      <c r="D3415" s="2" t="s">
        <v>32951</v>
      </c>
      <c r="E3415" s="2" t="s">
        <v>32952</v>
      </c>
      <c r="G3415" s="3" t="s">
        <v>62</v>
      </c>
      <c r="I3415" s="3" t="s">
        <v>61</v>
      </c>
      <c r="J3415" s="3" t="s">
        <v>62</v>
      </c>
      <c r="K3415" s="3" t="s">
        <v>63</v>
      </c>
      <c r="L3415" s="2" t="s">
        <v>32953</v>
      </c>
      <c r="M3415" s="2" t="s">
        <v>32954</v>
      </c>
      <c r="N3415" s="3" t="s">
        <v>1064</v>
      </c>
      <c r="O3415" s="2" t="s">
        <v>8350</v>
      </c>
      <c r="P3415" s="3" t="s">
        <v>64</v>
      </c>
      <c r="R3415" s="3" t="s">
        <v>32039</v>
      </c>
      <c r="S3415" s="4">
        <v>2</v>
      </c>
      <c r="T3415" s="4">
        <v>5</v>
      </c>
      <c r="U3415" s="5" t="s">
        <v>32955</v>
      </c>
      <c r="V3415" s="5" t="s">
        <v>526</v>
      </c>
      <c r="W3415" s="5" t="s">
        <v>67</v>
      </c>
      <c r="X3415" s="5" t="s">
        <v>67</v>
      </c>
      <c r="Y3415" s="4">
        <v>273</v>
      </c>
      <c r="Z3415" s="4">
        <v>19</v>
      </c>
      <c r="AA3415" s="4">
        <v>19</v>
      </c>
      <c r="AB3415" s="4">
        <v>1</v>
      </c>
      <c r="AC3415" s="4">
        <v>1</v>
      </c>
      <c r="AD3415" s="4">
        <v>106</v>
      </c>
      <c r="AE3415" s="4">
        <v>106</v>
      </c>
      <c r="AF3415" s="4">
        <v>0</v>
      </c>
      <c r="AG3415" s="4">
        <v>0</v>
      </c>
      <c r="AH3415" s="4">
        <v>94</v>
      </c>
      <c r="AI3415" s="4">
        <v>94</v>
      </c>
      <c r="AJ3415" s="4">
        <v>15</v>
      </c>
      <c r="AK3415" s="4">
        <v>15</v>
      </c>
      <c r="AL3415" s="4">
        <v>52</v>
      </c>
      <c r="AM3415" s="4">
        <v>52</v>
      </c>
      <c r="AN3415" s="4">
        <v>0</v>
      </c>
      <c r="AO3415" s="4">
        <v>3</v>
      </c>
      <c r="AP3415" s="4">
        <v>16</v>
      </c>
      <c r="AQ3415" s="4">
        <v>16</v>
      </c>
      <c r="AR3415" s="3" t="s">
        <v>62</v>
      </c>
      <c r="AS3415" s="3" t="s">
        <v>62</v>
      </c>
      <c r="AT3415" s="3" t="s">
        <v>61</v>
      </c>
      <c r="AU3415" s="6" t="str">
        <f>HYPERLINK("http://catalog.hathitrust.org/Record/001114512","HathiTrust Record")</f>
        <v>HathiTrust Record</v>
      </c>
      <c r="AV3415" s="6" t="str">
        <f>HYPERLINK("http://mcgill.on.worldcat.org/oclc/152631","Catalog Record")</f>
        <v>Catalog Record</v>
      </c>
      <c r="AW3415" s="6" t="str">
        <f>HYPERLINK("http://www.worldcat.org/oclc/152631","WorldCat Record")</f>
        <v>WorldCat Record</v>
      </c>
      <c r="AX3415" s="3" t="s">
        <v>32956</v>
      </c>
      <c r="AY3415" s="3" t="s">
        <v>32957</v>
      </c>
      <c r="AZ3415" s="3" t="s">
        <v>32958</v>
      </c>
      <c r="BA3415" s="3" t="s">
        <v>32958</v>
      </c>
      <c r="BB3415" s="3" t="s">
        <v>32959</v>
      </c>
      <c r="BC3415" s="3" t="s">
        <v>102</v>
      </c>
      <c r="BD3415" s="3" t="s">
        <v>68</v>
      </c>
      <c r="BE3415" s="3" t="s">
        <v>32960</v>
      </c>
      <c r="BF3415" s="3" t="s">
        <v>32959</v>
      </c>
      <c r="BG3415" s="3" t="s">
        <v>32961</v>
      </c>
    </row>
    <row r="3416" spans="1:59" ht="72.5" x14ac:dyDescent="0.35">
      <c r="A3416" s="2" t="s">
        <v>89</v>
      </c>
      <c r="B3416" s="2" t="s">
        <v>90</v>
      </c>
      <c r="C3416" s="2" t="s">
        <v>32963</v>
      </c>
      <c r="D3416" s="2" t="s">
        <v>32964</v>
      </c>
      <c r="E3416" s="2" t="s">
        <v>32965</v>
      </c>
      <c r="F3416" s="3" t="s">
        <v>32966</v>
      </c>
      <c r="G3416" s="3" t="s">
        <v>62</v>
      </c>
      <c r="I3416" s="3" t="s">
        <v>62</v>
      </c>
      <c r="J3416" s="3" t="s">
        <v>62</v>
      </c>
      <c r="K3416" s="3" t="s">
        <v>63</v>
      </c>
      <c r="L3416" s="2" t="s">
        <v>32967</v>
      </c>
      <c r="M3416" s="2" t="s">
        <v>32968</v>
      </c>
      <c r="N3416" s="3" t="s">
        <v>6421</v>
      </c>
      <c r="P3416" s="3" t="s">
        <v>64</v>
      </c>
      <c r="Q3416" s="2" t="s">
        <v>32969</v>
      </c>
      <c r="R3416" s="3" t="s">
        <v>32962</v>
      </c>
      <c r="S3416" s="4">
        <v>4</v>
      </c>
      <c r="T3416" s="4">
        <v>4</v>
      </c>
      <c r="U3416" s="5" t="s">
        <v>3243</v>
      </c>
      <c r="V3416" s="5" t="s">
        <v>3243</v>
      </c>
      <c r="W3416" s="5" t="s">
        <v>67</v>
      </c>
      <c r="X3416" s="5" t="s">
        <v>67</v>
      </c>
      <c r="Y3416" s="4">
        <v>296</v>
      </c>
      <c r="Z3416" s="4">
        <v>18</v>
      </c>
      <c r="AA3416" s="4">
        <v>20</v>
      </c>
      <c r="AB3416" s="4">
        <v>2</v>
      </c>
      <c r="AC3416" s="4">
        <v>3</v>
      </c>
      <c r="AD3416" s="4">
        <v>78</v>
      </c>
      <c r="AE3416" s="4">
        <v>85</v>
      </c>
      <c r="AF3416" s="4">
        <v>0</v>
      </c>
      <c r="AG3416" s="4">
        <v>1</v>
      </c>
      <c r="AH3416" s="4">
        <v>70</v>
      </c>
      <c r="AI3416" s="4">
        <v>75</v>
      </c>
      <c r="AJ3416" s="4">
        <v>9</v>
      </c>
      <c r="AK3416" s="4">
        <v>11</v>
      </c>
      <c r="AL3416" s="4">
        <v>40</v>
      </c>
      <c r="AM3416" s="4">
        <v>43</v>
      </c>
      <c r="AN3416" s="4">
        <v>0</v>
      </c>
      <c r="AO3416" s="4">
        <v>0</v>
      </c>
      <c r="AP3416" s="4">
        <v>13</v>
      </c>
      <c r="AQ3416" s="4">
        <v>15</v>
      </c>
      <c r="AR3416" s="3" t="s">
        <v>62</v>
      </c>
      <c r="AS3416" s="3" t="s">
        <v>62</v>
      </c>
      <c r="AT3416" s="3" t="s">
        <v>62</v>
      </c>
      <c r="AV3416" s="6" t="str">
        <f>HYPERLINK("http://mcgill.on.worldcat.org/oclc/547339","Catalog Record")</f>
        <v>Catalog Record</v>
      </c>
      <c r="AW3416" s="6" t="str">
        <f>HYPERLINK("http://www.worldcat.org/oclc/547339","WorldCat Record")</f>
        <v>WorldCat Record</v>
      </c>
      <c r="AX3416" s="3" t="s">
        <v>32970</v>
      </c>
      <c r="AY3416" s="3" t="s">
        <v>32971</v>
      </c>
      <c r="AZ3416" s="3" t="s">
        <v>32972</v>
      </c>
      <c r="BA3416" s="3" t="s">
        <v>32972</v>
      </c>
      <c r="BB3416" s="3" t="s">
        <v>32973</v>
      </c>
      <c r="BC3416" s="3" t="s">
        <v>102</v>
      </c>
      <c r="BD3416" s="3" t="s">
        <v>68</v>
      </c>
      <c r="BF3416" s="3" t="s">
        <v>32973</v>
      </c>
      <c r="BG3416" s="3" t="s">
        <v>32974</v>
      </c>
    </row>
    <row r="3417" spans="1:59" ht="87" x14ac:dyDescent="0.35">
      <c r="A3417" s="2" t="s">
        <v>89</v>
      </c>
      <c r="B3417" s="2" t="s">
        <v>90</v>
      </c>
      <c r="C3417" s="2" t="s">
        <v>32977</v>
      </c>
      <c r="D3417" s="2" t="s">
        <v>32978</v>
      </c>
      <c r="E3417" s="2" t="s">
        <v>32979</v>
      </c>
      <c r="G3417" s="3" t="s">
        <v>62</v>
      </c>
      <c r="I3417" s="3" t="s">
        <v>61</v>
      </c>
      <c r="J3417" s="3" t="s">
        <v>61</v>
      </c>
      <c r="K3417" s="3" t="s">
        <v>25033</v>
      </c>
      <c r="L3417" s="2" t="s">
        <v>32980</v>
      </c>
      <c r="M3417" s="2" t="s">
        <v>32981</v>
      </c>
      <c r="N3417" s="3" t="s">
        <v>32982</v>
      </c>
      <c r="O3417" s="2" t="s">
        <v>32983</v>
      </c>
      <c r="P3417" s="3" t="s">
        <v>64</v>
      </c>
      <c r="R3417" s="3" t="s">
        <v>32962</v>
      </c>
      <c r="S3417" s="4">
        <v>0</v>
      </c>
      <c r="T3417" s="4">
        <v>1</v>
      </c>
      <c r="V3417" s="5" t="s">
        <v>7930</v>
      </c>
      <c r="W3417" s="5" t="s">
        <v>67</v>
      </c>
      <c r="X3417" s="5" t="s">
        <v>67</v>
      </c>
      <c r="Y3417" s="4">
        <v>101</v>
      </c>
      <c r="Z3417" s="4">
        <v>5</v>
      </c>
      <c r="AA3417" s="4">
        <v>40</v>
      </c>
      <c r="AB3417" s="4">
        <v>1</v>
      </c>
      <c r="AC3417" s="4">
        <v>5</v>
      </c>
      <c r="AD3417" s="4">
        <v>30</v>
      </c>
      <c r="AE3417" s="4">
        <v>126</v>
      </c>
      <c r="AF3417" s="4">
        <v>0</v>
      </c>
      <c r="AG3417" s="4">
        <v>2</v>
      </c>
      <c r="AH3417" s="4">
        <v>27</v>
      </c>
      <c r="AI3417" s="4">
        <v>106</v>
      </c>
      <c r="AJ3417" s="4">
        <v>3</v>
      </c>
      <c r="AK3417" s="4">
        <v>18</v>
      </c>
      <c r="AL3417" s="4">
        <v>21</v>
      </c>
      <c r="AM3417" s="4">
        <v>60</v>
      </c>
      <c r="AN3417" s="4">
        <v>0</v>
      </c>
      <c r="AO3417" s="4">
        <v>0</v>
      </c>
      <c r="AP3417" s="4">
        <v>3</v>
      </c>
      <c r="AQ3417" s="4">
        <v>24</v>
      </c>
      <c r="AR3417" s="3" t="s">
        <v>62</v>
      </c>
      <c r="AS3417" s="3" t="s">
        <v>61</v>
      </c>
      <c r="AT3417" s="3" t="s">
        <v>62</v>
      </c>
      <c r="AU3417" s="6" t="str">
        <f>HYPERLINK("http://catalog.hathitrust.org/Record/001517711","HathiTrust Record")</f>
        <v>HathiTrust Record</v>
      </c>
      <c r="AV3417" s="6" t="str">
        <f>HYPERLINK("http://mcgill.on.worldcat.org/oclc/1112117","Catalog Record")</f>
        <v>Catalog Record</v>
      </c>
      <c r="AW3417" s="6" t="str">
        <f>HYPERLINK("http://www.worldcat.org/oclc/1112117","WorldCat Record")</f>
        <v>WorldCat Record</v>
      </c>
      <c r="AX3417" s="3" t="s">
        <v>32984</v>
      </c>
      <c r="AY3417" s="3" t="s">
        <v>32985</v>
      </c>
      <c r="AZ3417" s="3" t="s">
        <v>32986</v>
      </c>
      <c r="BA3417" s="3" t="s">
        <v>32986</v>
      </c>
      <c r="BB3417" s="3" t="s">
        <v>32987</v>
      </c>
      <c r="BC3417" s="3" t="s">
        <v>102</v>
      </c>
      <c r="BD3417" s="3" t="s">
        <v>68</v>
      </c>
      <c r="BF3417" s="3" t="s">
        <v>32987</v>
      </c>
      <c r="BG3417" s="3" t="s">
        <v>32988</v>
      </c>
    </row>
    <row r="3418" spans="1:59" ht="58" x14ac:dyDescent="0.35">
      <c r="A3418" s="2" t="s">
        <v>89</v>
      </c>
      <c r="B3418" s="2" t="s">
        <v>90</v>
      </c>
      <c r="C3418" s="2" t="s">
        <v>32989</v>
      </c>
      <c r="D3418" s="2" t="s">
        <v>32990</v>
      </c>
      <c r="E3418" s="2" t="s">
        <v>32991</v>
      </c>
      <c r="G3418" s="3" t="s">
        <v>62</v>
      </c>
      <c r="I3418" s="3" t="s">
        <v>62</v>
      </c>
      <c r="J3418" s="3" t="s">
        <v>62</v>
      </c>
      <c r="K3418" s="3" t="s">
        <v>63</v>
      </c>
      <c r="M3418" s="2" t="s">
        <v>32992</v>
      </c>
      <c r="N3418" s="3" t="s">
        <v>481</v>
      </c>
      <c r="O3418" s="2" t="s">
        <v>2986</v>
      </c>
      <c r="P3418" s="3" t="s">
        <v>64</v>
      </c>
      <c r="Q3418" s="2" t="s">
        <v>32993</v>
      </c>
      <c r="R3418" s="3" t="s">
        <v>32962</v>
      </c>
      <c r="S3418" s="4">
        <v>1</v>
      </c>
      <c r="T3418" s="4">
        <v>1</v>
      </c>
      <c r="U3418" s="5" t="s">
        <v>32994</v>
      </c>
      <c r="V3418" s="5" t="s">
        <v>32994</v>
      </c>
      <c r="W3418" s="5" t="s">
        <v>67</v>
      </c>
      <c r="X3418" s="5" t="s">
        <v>67</v>
      </c>
      <c r="Y3418" s="4">
        <v>42</v>
      </c>
      <c r="Z3418" s="4">
        <v>4</v>
      </c>
      <c r="AA3418" s="4">
        <v>18</v>
      </c>
      <c r="AB3418" s="4">
        <v>2</v>
      </c>
      <c r="AC3418" s="4">
        <v>3</v>
      </c>
      <c r="AD3418" s="4">
        <v>15</v>
      </c>
      <c r="AE3418" s="4">
        <v>79</v>
      </c>
      <c r="AF3418" s="4">
        <v>0</v>
      </c>
      <c r="AG3418" s="4">
        <v>1</v>
      </c>
      <c r="AH3418" s="4">
        <v>14</v>
      </c>
      <c r="AI3418" s="4">
        <v>72</v>
      </c>
      <c r="AJ3418" s="4">
        <v>1</v>
      </c>
      <c r="AK3418" s="4">
        <v>13</v>
      </c>
      <c r="AL3418" s="4">
        <v>10</v>
      </c>
      <c r="AM3418" s="4">
        <v>43</v>
      </c>
      <c r="AN3418" s="4">
        <v>0</v>
      </c>
      <c r="AO3418" s="4">
        <v>0</v>
      </c>
      <c r="AP3418" s="4">
        <v>2</v>
      </c>
      <c r="AQ3418" s="4">
        <v>15</v>
      </c>
      <c r="AR3418" s="3" t="s">
        <v>62</v>
      </c>
      <c r="AS3418" s="3" t="s">
        <v>62</v>
      </c>
      <c r="AT3418" s="3" t="s">
        <v>62</v>
      </c>
      <c r="AV3418" s="6" t="str">
        <f>HYPERLINK("http://mcgill.on.worldcat.org/oclc/38024336","Catalog Record")</f>
        <v>Catalog Record</v>
      </c>
      <c r="AW3418" s="6" t="str">
        <f>HYPERLINK("http://www.worldcat.org/oclc/38024336","WorldCat Record")</f>
        <v>WorldCat Record</v>
      </c>
      <c r="AX3418" s="3" t="s">
        <v>32995</v>
      </c>
      <c r="AY3418" s="3" t="s">
        <v>32996</v>
      </c>
      <c r="AZ3418" s="3" t="s">
        <v>32997</v>
      </c>
      <c r="BA3418" s="3" t="s">
        <v>32997</v>
      </c>
      <c r="BB3418" s="3" t="s">
        <v>32998</v>
      </c>
      <c r="BC3418" s="3" t="s">
        <v>102</v>
      </c>
      <c r="BD3418" s="3" t="s">
        <v>68</v>
      </c>
      <c r="BE3418" s="3" t="s">
        <v>32999</v>
      </c>
      <c r="BF3418" s="3" t="s">
        <v>32998</v>
      </c>
      <c r="BG3418" s="3" t="s">
        <v>33000</v>
      </c>
    </row>
    <row r="3419" spans="1:59" ht="72.5" x14ac:dyDescent="0.35">
      <c r="A3419" s="2" t="s">
        <v>89</v>
      </c>
      <c r="B3419" s="2" t="s">
        <v>90</v>
      </c>
      <c r="C3419" s="2" t="s">
        <v>33001</v>
      </c>
      <c r="D3419" s="2" t="s">
        <v>33002</v>
      </c>
      <c r="E3419" s="2" t="s">
        <v>33003</v>
      </c>
      <c r="G3419" s="3" t="s">
        <v>62</v>
      </c>
      <c r="I3419" s="3" t="s">
        <v>62</v>
      </c>
      <c r="J3419" s="3" t="s">
        <v>62</v>
      </c>
      <c r="K3419" s="3" t="s">
        <v>63</v>
      </c>
      <c r="M3419" s="2" t="s">
        <v>33004</v>
      </c>
      <c r="N3419" s="3" t="s">
        <v>712</v>
      </c>
      <c r="P3419" s="3" t="s">
        <v>64</v>
      </c>
      <c r="R3419" s="3" t="s">
        <v>32962</v>
      </c>
      <c r="S3419" s="4">
        <v>0</v>
      </c>
      <c r="T3419" s="4">
        <v>0</v>
      </c>
      <c r="W3419" s="5" t="s">
        <v>67</v>
      </c>
      <c r="X3419" s="5" t="s">
        <v>67</v>
      </c>
      <c r="Y3419" s="4">
        <v>114</v>
      </c>
      <c r="Z3419" s="4">
        <v>46</v>
      </c>
      <c r="AA3419" s="4">
        <v>48</v>
      </c>
      <c r="AB3419" s="4">
        <v>1</v>
      </c>
      <c r="AC3419" s="4">
        <v>2</v>
      </c>
      <c r="AD3419" s="4">
        <v>54</v>
      </c>
      <c r="AE3419" s="4">
        <v>54</v>
      </c>
      <c r="AF3419" s="4">
        <v>0</v>
      </c>
      <c r="AG3419" s="4">
        <v>0</v>
      </c>
      <c r="AH3419" s="4">
        <v>37</v>
      </c>
      <c r="AI3419" s="4">
        <v>37</v>
      </c>
      <c r="AJ3419" s="4">
        <v>17</v>
      </c>
      <c r="AK3419" s="4">
        <v>17</v>
      </c>
      <c r="AL3419" s="4">
        <v>18</v>
      </c>
      <c r="AM3419" s="4">
        <v>18</v>
      </c>
      <c r="AN3419" s="4">
        <v>0</v>
      </c>
      <c r="AO3419" s="4">
        <v>0</v>
      </c>
      <c r="AP3419" s="4">
        <v>23</v>
      </c>
      <c r="AQ3419" s="4">
        <v>23</v>
      </c>
      <c r="AR3419" s="3" t="s">
        <v>61</v>
      </c>
      <c r="AS3419" s="3" t="s">
        <v>62</v>
      </c>
      <c r="AT3419" s="3" t="s">
        <v>62</v>
      </c>
      <c r="AV3419" s="6" t="str">
        <f>HYPERLINK("http://mcgill.on.worldcat.org/oclc/880843088","Catalog Record")</f>
        <v>Catalog Record</v>
      </c>
      <c r="AW3419" s="6" t="str">
        <f>HYPERLINK("http://www.worldcat.org/oclc/880843088","WorldCat Record")</f>
        <v>WorldCat Record</v>
      </c>
      <c r="AX3419" s="3" t="s">
        <v>33005</v>
      </c>
      <c r="AY3419" s="3" t="s">
        <v>33006</v>
      </c>
      <c r="AZ3419" s="3" t="s">
        <v>33007</v>
      </c>
      <c r="BA3419" s="3" t="s">
        <v>33007</v>
      </c>
      <c r="BB3419" s="3" t="s">
        <v>33008</v>
      </c>
      <c r="BC3419" s="3" t="s">
        <v>102</v>
      </c>
      <c r="BD3419" s="3" t="s">
        <v>68</v>
      </c>
      <c r="BE3419" s="3" t="s">
        <v>33009</v>
      </c>
      <c r="BF3419" s="3" t="s">
        <v>33008</v>
      </c>
      <c r="BG3419" s="3" t="s">
        <v>33010</v>
      </c>
    </row>
    <row r="3420" spans="1:59" ht="72.5" x14ac:dyDescent="0.35">
      <c r="A3420" s="2" t="s">
        <v>89</v>
      </c>
      <c r="B3420" s="2" t="s">
        <v>1231</v>
      </c>
      <c r="C3420" s="2" t="s">
        <v>33011</v>
      </c>
      <c r="D3420" s="2" t="s">
        <v>33012</v>
      </c>
      <c r="E3420" s="2" t="s">
        <v>33013</v>
      </c>
      <c r="G3420" s="3" t="s">
        <v>62</v>
      </c>
      <c r="I3420" s="3" t="s">
        <v>61</v>
      </c>
      <c r="J3420" s="3" t="s">
        <v>61</v>
      </c>
      <c r="K3420" s="3" t="s">
        <v>63</v>
      </c>
      <c r="L3420" s="2" t="s">
        <v>33014</v>
      </c>
      <c r="M3420" s="2" t="s">
        <v>33015</v>
      </c>
      <c r="N3420" s="3" t="s">
        <v>19618</v>
      </c>
      <c r="P3420" s="3" t="s">
        <v>64</v>
      </c>
      <c r="R3420" s="3" t="s">
        <v>32962</v>
      </c>
      <c r="S3420" s="4">
        <v>0</v>
      </c>
      <c r="T3420" s="4">
        <v>31</v>
      </c>
      <c r="V3420" s="5" t="s">
        <v>3243</v>
      </c>
      <c r="W3420" s="5" t="s">
        <v>67</v>
      </c>
      <c r="X3420" s="5" t="s">
        <v>67</v>
      </c>
      <c r="Y3420" s="4">
        <v>81</v>
      </c>
      <c r="Z3420" s="4">
        <v>39</v>
      </c>
      <c r="AA3420" s="4">
        <v>53</v>
      </c>
      <c r="AB3420" s="4">
        <v>6</v>
      </c>
      <c r="AC3420" s="4">
        <v>12</v>
      </c>
      <c r="AD3420" s="4">
        <v>45</v>
      </c>
      <c r="AE3420" s="4">
        <v>54</v>
      </c>
      <c r="AF3420" s="4">
        <v>2</v>
      </c>
      <c r="AG3420" s="4">
        <v>5</v>
      </c>
      <c r="AH3420" s="4">
        <v>31</v>
      </c>
      <c r="AI3420" s="4">
        <v>34</v>
      </c>
      <c r="AJ3420" s="4">
        <v>16</v>
      </c>
      <c r="AK3420" s="4">
        <v>23</v>
      </c>
      <c r="AL3420" s="4">
        <v>15</v>
      </c>
      <c r="AM3420" s="4">
        <v>15</v>
      </c>
      <c r="AN3420" s="4">
        <v>0</v>
      </c>
      <c r="AO3420" s="4">
        <v>0</v>
      </c>
      <c r="AP3420" s="4">
        <v>24</v>
      </c>
      <c r="AQ3420" s="4">
        <v>30</v>
      </c>
      <c r="AR3420" s="3" t="s">
        <v>62</v>
      </c>
      <c r="AS3420" s="3" t="s">
        <v>62</v>
      </c>
      <c r="AT3420" s="3" t="s">
        <v>62</v>
      </c>
      <c r="AU3420" s="6" t="str">
        <f>HYPERLINK("http://catalog.hathitrust.org/Record/007936238","HathiTrust Record")</f>
        <v>HathiTrust Record</v>
      </c>
      <c r="AV3420" s="6" t="str">
        <f>HYPERLINK("http://mcgill.on.worldcat.org/oclc/3025580","Catalog Record")</f>
        <v>Catalog Record</v>
      </c>
      <c r="AW3420" s="6" t="str">
        <f>HYPERLINK("http://www.worldcat.org/oclc/3025580","WorldCat Record")</f>
        <v>WorldCat Record</v>
      </c>
      <c r="AX3420" s="3" t="s">
        <v>33016</v>
      </c>
      <c r="AY3420" s="3" t="s">
        <v>33017</v>
      </c>
      <c r="AZ3420" s="3" t="s">
        <v>33018</v>
      </c>
      <c r="BA3420" s="3" t="s">
        <v>33018</v>
      </c>
      <c r="BB3420" s="3" t="s">
        <v>33019</v>
      </c>
      <c r="BC3420" s="3" t="s">
        <v>102</v>
      </c>
      <c r="BD3420" s="3" t="s">
        <v>68</v>
      </c>
      <c r="BF3420" s="3" t="s">
        <v>33019</v>
      </c>
      <c r="BG3420" s="3" t="s">
        <v>33020</v>
      </c>
    </row>
    <row r="3421" spans="1:59" ht="58" x14ac:dyDescent="0.35">
      <c r="A3421" s="2" t="s">
        <v>89</v>
      </c>
      <c r="B3421" s="2" t="s">
        <v>2033</v>
      </c>
      <c r="C3421" s="2" t="s">
        <v>33011</v>
      </c>
      <c r="D3421" s="2" t="s">
        <v>33012</v>
      </c>
      <c r="E3421" s="2" t="s">
        <v>33013</v>
      </c>
      <c r="G3421" s="3" t="s">
        <v>62</v>
      </c>
      <c r="I3421" s="3" t="s">
        <v>61</v>
      </c>
      <c r="J3421" s="3" t="s">
        <v>61</v>
      </c>
      <c r="K3421" s="3" t="s">
        <v>63</v>
      </c>
      <c r="L3421" s="2" t="s">
        <v>33014</v>
      </c>
      <c r="M3421" s="2" t="s">
        <v>33015</v>
      </c>
      <c r="N3421" s="3" t="s">
        <v>19618</v>
      </c>
      <c r="P3421" s="3" t="s">
        <v>64</v>
      </c>
      <c r="R3421" s="3" t="s">
        <v>32962</v>
      </c>
      <c r="S3421" s="4">
        <v>6</v>
      </c>
      <c r="T3421" s="4">
        <v>31</v>
      </c>
      <c r="U3421" s="5" t="s">
        <v>33021</v>
      </c>
      <c r="V3421" s="5" t="s">
        <v>3243</v>
      </c>
      <c r="W3421" s="5" t="s">
        <v>67</v>
      </c>
      <c r="X3421" s="5" t="s">
        <v>67</v>
      </c>
      <c r="Y3421" s="4">
        <v>81</v>
      </c>
      <c r="Z3421" s="4">
        <v>39</v>
      </c>
      <c r="AA3421" s="4">
        <v>53</v>
      </c>
      <c r="AB3421" s="4">
        <v>6</v>
      </c>
      <c r="AC3421" s="4">
        <v>12</v>
      </c>
      <c r="AD3421" s="4">
        <v>45</v>
      </c>
      <c r="AE3421" s="4">
        <v>54</v>
      </c>
      <c r="AF3421" s="4">
        <v>2</v>
      </c>
      <c r="AG3421" s="4">
        <v>5</v>
      </c>
      <c r="AH3421" s="4">
        <v>31</v>
      </c>
      <c r="AI3421" s="4">
        <v>34</v>
      </c>
      <c r="AJ3421" s="4">
        <v>16</v>
      </c>
      <c r="AK3421" s="4">
        <v>23</v>
      </c>
      <c r="AL3421" s="4">
        <v>15</v>
      </c>
      <c r="AM3421" s="4">
        <v>15</v>
      </c>
      <c r="AN3421" s="4">
        <v>0</v>
      </c>
      <c r="AO3421" s="4">
        <v>0</v>
      </c>
      <c r="AP3421" s="4">
        <v>24</v>
      </c>
      <c r="AQ3421" s="4">
        <v>30</v>
      </c>
      <c r="AR3421" s="3" t="s">
        <v>62</v>
      </c>
      <c r="AS3421" s="3" t="s">
        <v>62</v>
      </c>
      <c r="AT3421" s="3" t="s">
        <v>62</v>
      </c>
      <c r="AU3421" s="6" t="str">
        <f>HYPERLINK("http://catalog.hathitrust.org/Record/007936238","HathiTrust Record")</f>
        <v>HathiTrust Record</v>
      </c>
      <c r="AV3421" s="6" t="str">
        <f>HYPERLINK("http://mcgill.on.worldcat.org/oclc/3025580","Catalog Record")</f>
        <v>Catalog Record</v>
      </c>
      <c r="AW3421" s="6" t="str">
        <f>HYPERLINK("http://www.worldcat.org/oclc/3025580","WorldCat Record")</f>
        <v>WorldCat Record</v>
      </c>
      <c r="AX3421" s="3" t="s">
        <v>33016</v>
      </c>
      <c r="AY3421" s="3" t="s">
        <v>33017</v>
      </c>
      <c r="AZ3421" s="3" t="s">
        <v>33018</v>
      </c>
      <c r="BA3421" s="3" t="s">
        <v>33018</v>
      </c>
      <c r="BB3421" s="3" t="s">
        <v>33022</v>
      </c>
      <c r="BC3421" s="3" t="s">
        <v>102</v>
      </c>
      <c r="BD3421" s="3" t="s">
        <v>68</v>
      </c>
      <c r="BF3421" s="3" t="s">
        <v>33022</v>
      </c>
      <c r="BG3421" s="3" t="s">
        <v>33023</v>
      </c>
    </row>
    <row r="3422" spans="1:59" ht="58" x14ac:dyDescent="0.35">
      <c r="A3422" s="2" t="s">
        <v>89</v>
      </c>
      <c r="B3422" s="2" t="s">
        <v>90</v>
      </c>
      <c r="C3422" s="2" t="s">
        <v>33024</v>
      </c>
      <c r="D3422" s="2" t="s">
        <v>33025</v>
      </c>
      <c r="E3422" s="2" t="s">
        <v>33026</v>
      </c>
      <c r="F3422" s="3" t="s">
        <v>2217</v>
      </c>
      <c r="G3422" s="3" t="s">
        <v>61</v>
      </c>
      <c r="I3422" s="3" t="s">
        <v>61</v>
      </c>
      <c r="J3422" s="3" t="s">
        <v>62</v>
      </c>
      <c r="K3422" s="3" t="s">
        <v>63</v>
      </c>
      <c r="L3422" s="2" t="s">
        <v>33027</v>
      </c>
      <c r="M3422" s="2" t="s">
        <v>33028</v>
      </c>
      <c r="N3422" s="3" t="s">
        <v>115</v>
      </c>
      <c r="P3422" s="3" t="s">
        <v>64</v>
      </c>
      <c r="Q3422" s="2" t="s">
        <v>33029</v>
      </c>
      <c r="R3422" s="3" t="s">
        <v>32962</v>
      </c>
      <c r="S3422" s="4">
        <v>18</v>
      </c>
      <c r="T3422" s="4">
        <v>31</v>
      </c>
      <c r="U3422" s="5" t="s">
        <v>33030</v>
      </c>
      <c r="V3422" s="5" t="s">
        <v>33030</v>
      </c>
      <c r="W3422" s="5" t="s">
        <v>67</v>
      </c>
      <c r="X3422" s="5" t="s">
        <v>67</v>
      </c>
      <c r="Y3422" s="4">
        <v>173</v>
      </c>
      <c r="Z3422" s="4">
        <v>51</v>
      </c>
      <c r="AA3422" s="4">
        <v>54</v>
      </c>
      <c r="AB3422" s="4">
        <v>4</v>
      </c>
      <c r="AC3422" s="4">
        <v>7</v>
      </c>
      <c r="AD3422" s="4">
        <v>87</v>
      </c>
      <c r="AE3422" s="4">
        <v>90</v>
      </c>
      <c r="AF3422" s="4">
        <v>1</v>
      </c>
      <c r="AG3422" s="4">
        <v>4</v>
      </c>
      <c r="AH3422" s="4">
        <v>64</v>
      </c>
      <c r="AI3422" s="4">
        <v>65</v>
      </c>
      <c r="AJ3422" s="4">
        <v>22</v>
      </c>
      <c r="AK3422" s="4">
        <v>25</v>
      </c>
      <c r="AL3422" s="4">
        <v>31</v>
      </c>
      <c r="AM3422" s="4">
        <v>31</v>
      </c>
      <c r="AN3422" s="4">
        <v>0</v>
      </c>
      <c r="AO3422" s="4">
        <v>0</v>
      </c>
      <c r="AP3422" s="4">
        <v>33</v>
      </c>
      <c r="AQ3422" s="4">
        <v>35</v>
      </c>
      <c r="AR3422" s="3" t="s">
        <v>61</v>
      </c>
      <c r="AS3422" s="3" t="s">
        <v>62</v>
      </c>
      <c r="AT3422" s="3" t="s">
        <v>61</v>
      </c>
      <c r="AU3422" s="6" t="str">
        <f>HYPERLINK("http://catalog.hathitrust.org/Record/001815339","HathiTrust Record")</f>
        <v>HathiTrust Record</v>
      </c>
      <c r="AV3422" s="6" t="str">
        <f>HYPERLINK("http://mcgill.on.worldcat.org/oclc/20594775","Catalog Record")</f>
        <v>Catalog Record</v>
      </c>
      <c r="AW3422" s="6" t="str">
        <f>HYPERLINK("http://www.worldcat.org/oclc/20594775","WorldCat Record")</f>
        <v>WorldCat Record</v>
      </c>
      <c r="AX3422" s="3" t="s">
        <v>33031</v>
      </c>
      <c r="AY3422" s="3" t="s">
        <v>33032</v>
      </c>
      <c r="AZ3422" s="3" t="s">
        <v>33033</v>
      </c>
      <c r="BA3422" s="3" t="s">
        <v>33033</v>
      </c>
      <c r="BB3422" s="3" t="s">
        <v>33034</v>
      </c>
      <c r="BC3422" s="3" t="s">
        <v>102</v>
      </c>
      <c r="BD3422" s="3" t="s">
        <v>231</v>
      </c>
      <c r="BE3422" s="3" t="s">
        <v>33035</v>
      </c>
      <c r="BF3422" s="3" t="s">
        <v>33034</v>
      </c>
      <c r="BG3422" s="3" t="s">
        <v>33036</v>
      </c>
    </row>
    <row r="3423" spans="1:59" ht="58" x14ac:dyDescent="0.35">
      <c r="A3423" s="2" t="s">
        <v>89</v>
      </c>
      <c r="B3423" s="2" t="s">
        <v>90</v>
      </c>
      <c r="C3423" s="2" t="s">
        <v>33024</v>
      </c>
      <c r="D3423" s="2" t="s">
        <v>33025</v>
      </c>
      <c r="E3423" s="2" t="s">
        <v>33026</v>
      </c>
      <c r="F3423" s="3" t="s">
        <v>2233</v>
      </c>
      <c r="G3423" s="3" t="s">
        <v>61</v>
      </c>
      <c r="I3423" s="3" t="s">
        <v>61</v>
      </c>
      <c r="J3423" s="3" t="s">
        <v>62</v>
      </c>
      <c r="K3423" s="3" t="s">
        <v>63</v>
      </c>
      <c r="L3423" s="2" t="s">
        <v>33027</v>
      </c>
      <c r="M3423" s="2" t="s">
        <v>33028</v>
      </c>
      <c r="N3423" s="3" t="s">
        <v>115</v>
      </c>
      <c r="P3423" s="3" t="s">
        <v>64</v>
      </c>
      <c r="Q3423" s="2" t="s">
        <v>33029</v>
      </c>
      <c r="R3423" s="3" t="s">
        <v>32962</v>
      </c>
      <c r="S3423" s="4">
        <v>13</v>
      </c>
      <c r="T3423" s="4">
        <v>31</v>
      </c>
      <c r="U3423" s="5" t="s">
        <v>33030</v>
      </c>
      <c r="V3423" s="5" t="s">
        <v>33030</v>
      </c>
      <c r="W3423" s="5" t="s">
        <v>67</v>
      </c>
      <c r="X3423" s="5" t="s">
        <v>67</v>
      </c>
      <c r="Y3423" s="4">
        <v>173</v>
      </c>
      <c r="Z3423" s="4">
        <v>51</v>
      </c>
      <c r="AA3423" s="4">
        <v>54</v>
      </c>
      <c r="AB3423" s="4">
        <v>4</v>
      </c>
      <c r="AC3423" s="4">
        <v>7</v>
      </c>
      <c r="AD3423" s="4">
        <v>87</v>
      </c>
      <c r="AE3423" s="4">
        <v>90</v>
      </c>
      <c r="AF3423" s="4">
        <v>1</v>
      </c>
      <c r="AG3423" s="4">
        <v>4</v>
      </c>
      <c r="AH3423" s="4">
        <v>64</v>
      </c>
      <c r="AI3423" s="4">
        <v>65</v>
      </c>
      <c r="AJ3423" s="4">
        <v>22</v>
      </c>
      <c r="AK3423" s="4">
        <v>25</v>
      </c>
      <c r="AL3423" s="4">
        <v>31</v>
      </c>
      <c r="AM3423" s="4">
        <v>31</v>
      </c>
      <c r="AN3423" s="4">
        <v>0</v>
      </c>
      <c r="AO3423" s="4">
        <v>0</v>
      </c>
      <c r="AP3423" s="4">
        <v>33</v>
      </c>
      <c r="AQ3423" s="4">
        <v>35</v>
      </c>
      <c r="AR3423" s="3" t="s">
        <v>61</v>
      </c>
      <c r="AS3423" s="3" t="s">
        <v>62</v>
      </c>
      <c r="AT3423" s="3" t="s">
        <v>61</v>
      </c>
      <c r="AU3423" s="6" t="str">
        <f>HYPERLINK("http://catalog.hathitrust.org/Record/001815339","HathiTrust Record")</f>
        <v>HathiTrust Record</v>
      </c>
      <c r="AV3423" s="6" t="str">
        <f>HYPERLINK("http://mcgill.on.worldcat.org/oclc/20594775","Catalog Record")</f>
        <v>Catalog Record</v>
      </c>
      <c r="AW3423" s="6" t="str">
        <f>HYPERLINK("http://www.worldcat.org/oclc/20594775","WorldCat Record")</f>
        <v>WorldCat Record</v>
      </c>
      <c r="AX3423" s="3" t="s">
        <v>33031</v>
      </c>
      <c r="AY3423" s="3" t="s">
        <v>33032</v>
      </c>
      <c r="AZ3423" s="3" t="s">
        <v>33033</v>
      </c>
      <c r="BA3423" s="3" t="s">
        <v>33033</v>
      </c>
      <c r="BB3423" s="3" t="s">
        <v>33037</v>
      </c>
      <c r="BC3423" s="3" t="s">
        <v>102</v>
      </c>
      <c r="BD3423" s="3" t="s">
        <v>68</v>
      </c>
      <c r="BE3423" s="3" t="s">
        <v>33035</v>
      </c>
      <c r="BF3423" s="3" t="s">
        <v>33037</v>
      </c>
      <c r="BG3423" s="3" t="s">
        <v>33038</v>
      </c>
    </row>
    <row r="3424" spans="1:59" ht="58" x14ac:dyDescent="0.35">
      <c r="A3424" s="2" t="s">
        <v>89</v>
      </c>
      <c r="B3424" s="2" t="s">
        <v>90</v>
      </c>
      <c r="C3424" s="2" t="s">
        <v>33039</v>
      </c>
      <c r="D3424" s="2" t="s">
        <v>33040</v>
      </c>
      <c r="E3424" s="2" t="s">
        <v>33041</v>
      </c>
      <c r="G3424" s="3" t="s">
        <v>62</v>
      </c>
      <c r="I3424" s="3" t="s">
        <v>62</v>
      </c>
      <c r="J3424" s="3" t="s">
        <v>62</v>
      </c>
      <c r="K3424" s="3" t="s">
        <v>63</v>
      </c>
      <c r="L3424" s="2" t="s">
        <v>33042</v>
      </c>
      <c r="M3424" s="2" t="s">
        <v>33043</v>
      </c>
      <c r="N3424" s="3" t="s">
        <v>655</v>
      </c>
      <c r="P3424" s="3" t="s">
        <v>64</v>
      </c>
      <c r="R3424" s="3" t="s">
        <v>32962</v>
      </c>
      <c r="S3424" s="4">
        <v>6</v>
      </c>
      <c r="T3424" s="4">
        <v>6</v>
      </c>
      <c r="U3424" s="5" t="s">
        <v>17587</v>
      </c>
      <c r="V3424" s="5" t="s">
        <v>17587</v>
      </c>
      <c r="W3424" s="5" t="s">
        <v>67</v>
      </c>
      <c r="X3424" s="5" t="s">
        <v>67</v>
      </c>
      <c r="Y3424" s="4">
        <v>103</v>
      </c>
      <c r="Z3424" s="4">
        <v>64</v>
      </c>
      <c r="AA3424" s="4">
        <v>69</v>
      </c>
      <c r="AB3424" s="4">
        <v>5</v>
      </c>
      <c r="AC3424" s="4">
        <v>6</v>
      </c>
      <c r="AD3424" s="4">
        <v>41</v>
      </c>
      <c r="AE3424" s="4">
        <v>44</v>
      </c>
      <c r="AF3424" s="4">
        <v>0</v>
      </c>
      <c r="AG3424" s="4">
        <v>0</v>
      </c>
      <c r="AH3424" s="4">
        <v>27</v>
      </c>
      <c r="AI3424" s="4">
        <v>28</v>
      </c>
      <c r="AJ3424" s="4">
        <v>16</v>
      </c>
      <c r="AK3424" s="4">
        <v>18</v>
      </c>
      <c r="AL3424" s="4">
        <v>14</v>
      </c>
      <c r="AM3424" s="4">
        <v>14</v>
      </c>
      <c r="AN3424" s="4">
        <v>0</v>
      </c>
      <c r="AO3424" s="4">
        <v>0</v>
      </c>
      <c r="AP3424" s="4">
        <v>20</v>
      </c>
      <c r="AQ3424" s="4">
        <v>22</v>
      </c>
      <c r="AR3424" s="3" t="s">
        <v>61</v>
      </c>
      <c r="AS3424" s="3" t="s">
        <v>62</v>
      </c>
      <c r="AT3424" s="3" t="s">
        <v>62</v>
      </c>
      <c r="AV3424" s="6" t="str">
        <f>HYPERLINK("http://mcgill.on.worldcat.org/oclc/70839303","Catalog Record")</f>
        <v>Catalog Record</v>
      </c>
      <c r="AW3424" s="6" t="str">
        <f>HYPERLINK("http://www.worldcat.org/oclc/70839303","WorldCat Record")</f>
        <v>WorldCat Record</v>
      </c>
      <c r="AX3424" s="3" t="s">
        <v>33044</v>
      </c>
      <c r="AY3424" s="3" t="s">
        <v>33045</v>
      </c>
      <c r="AZ3424" s="3" t="s">
        <v>33046</v>
      </c>
      <c r="BA3424" s="3" t="s">
        <v>33046</v>
      </c>
      <c r="BB3424" s="3" t="s">
        <v>33047</v>
      </c>
      <c r="BC3424" s="3" t="s">
        <v>102</v>
      </c>
      <c r="BD3424" s="3" t="s">
        <v>231</v>
      </c>
      <c r="BE3424" s="3" t="s">
        <v>33048</v>
      </c>
      <c r="BF3424" s="3" t="s">
        <v>33047</v>
      </c>
      <c r="BG3424" s="3" t="s">
        <v>33049</v>
      </c>
    </row>
    <row r="3425" spans="1:59" ht="58" x14ac:dyDescent="0.35">
      <c r="A3425" s="2" t="s">
        <v>89</v>
      </c>
      <c r="B3425" s="2" t="s">
        <v>90</v>
      </c>
      <c r="C3425" s="2" t="s">
        <v>33050</v>
      </c>
      <c r="D3425" s="2" t="s">
        <v>33051</v>
      </c>
      <c r="E3425" s="2" t="s">
        <v>33052</v>
      </c>
      <c r="G3425" s="3" t="s">
        <v>62</v>
      </c>
      <c r="I3425" s="3" t="s">
        <v>61</v>
      </c>
      <c r="J3425" s="3" t="s">
        <v>62</v>
      </c>
      <c r="K3425" s="3" t="s">
        <v>63</v>
      </c>
      <c r="L3425" s="2" t="s">
        <v>33053</v>
      </c>
      <c r="M3425" s="2" t="s">
        <v>33054</v>
      </c>
      <c r="N3425" s="3" t="s">
        <v>285</v>
      </c>
      <c r="P3425" s="3" t="s">
        <v>64</v>
      </c>
      <c r="Q3425" s="2" t="s">
        <v>33055</v>
      </c>
      <c r="R3425" s="3" t="s">
        <v>32962</v>
      </c>
      <c r="S3425" s="4">
        <v>2</v>
      </c>
      <c r="T3425" s="4">
        <v>2</v>
      </c>
      <c r="U3425" s="5" t="s">
        <v>33056</v>
      </c>
      <c r="V3425" s="5" t="s">
        <v>33056</v>
      </c>
      <c r="W3425" s="5" t="s">
        <v>67</v>
      </c>
      <c r="X3425" s="5" t="s">
        <v>67</v>
      </c>
      <c r="Y3425" s="4">
        <v>149</v>
      </c>
      <c r="Z3425" s="4">
        <v>63</v>
      </c>
      <c r="AA3425" s="4">
        <v>65</v>
      </c>
      <c r="AB3425" s="4">
        <v>4</v>
      </c>
      <c r="AC3425" s="4">
        <v>5</v>
      </c>
      <c r="AD3425" s="4">
        <v>79</v>
      </c>
      <c r="AE3425" s="4">
        <v>81</v>
      </c>
      <c r="AF3425" s="4">
        <v>1</v>
      </c>
      <c r="AG3425" s="4">
        <v>2</v>
      </c>
      <c r="AH3425" s="4">
        <v>53</v>
      </c>
      <c r="AI3425" s="4">
        <v>54</v>
      </c>
      <c r="AJ3425" s="4">
        <v>23</v>
      </c>
      <c r="AK3425" s="4">
        <v>24</v>
      </c>
      <c r="AL3425" s="4">
        <v>27</v>
      </c>
      <c r="AM3425" s="4">
        <v>27</v>
      </c>
      <c r="AN3425" s="4">
        <v>0</v>
      </c>
      <c r="AO3425" s="4">
        <v>0</v>
      </c>
      <c r="AP3425" s="4">
        <v>35</v>
      </c>
      <c r="AQ3425" s="4">
        <v>37</v>
      </c>
      <c r="AR3425" s="3" t="s">
        <v>61</v>
      </c>
      <c r="AS3425" s="3" t="s">
        <v>62</v>
      </c>
      <c r="AT3425" s="3" t="s">
        <v>61</v>
      </c>
      <c r="AU3425" s="6" t="str">
        <f>HYPERLINK("http://catalog.hathitrust.org/Record/002195450","HathiTrust Record")</f>
        <v>HathiTrust Record</v>
      </c>
      <c r="AV3425" s="6" t="str">
        <f>HYPERLINK("http://mcgill.on.worldcat.org/oclc/8345453","Catalog Record")</f>
        <v>Catalog Record</v>
      </c>
      <c r="AW3425" s="6" t="str">
        <f>HYPERLINK("http://www.worldcat.org/oclc/8345453","WorldCat Record")</f>
        <v>WorldCat Record</v>
      </c>
      <c r="AX3425" s="3" t="s">
        <v>33057</v>
      </c>
      <c r="AY3425" s="3" t="s">
        <v>33058</v>
      </c>
      <c r="AZ3425" s="3" t="s">
        <v>33059</v>
      </c>
      <c r="BA3425" s="3" t="s">
        <v>33059</v>
      </c>
      <c r="BB3425" s="3" t="s">
        <v>33060</v>
      </c>
      <c r="BC3425" s="3" t="s">
        <v>102</v>
      </c>
      <c r="BD3425" s="3" t="s">
        <v>68</v>
      </c>
      <c r="BE3425" s="3" t="s">
        <v>33061</v>
      </c>
      <c r="BF3425" s="3" t="s">
        <v>33060</v>
      </c>
      <c r="BG3425" s="3" t="s">
        <v>33062</v>
      </c>
    </row>
    <row r="3426" spans="1:59" ht="58" x14ac:dyDescent="0.35">
      <c r="A3426" s="2" t="s">
        <v>89</v>
      </c>
      <c r="B3426" s="2" t="s">
        <v>90</v>
      </c>
      <c r="C3426" s="2" t="s">
        <v>33063</v>
      </c>
      <c r="D3426" s="2" t="s">
        <v>33064</v>
      </c>
      <c r="E3426" s="2" t="s">
        <v>33065</v>
      </c>
      <c r="G3426" s="3" t="s">
        <v>62</v>
      </c>
      <c r="I3426" s="3" t="s">
        <v>62</v>
      </c>
      <c r="J3426" s="3" t="s">
        <v>62</v>
      </c>
      <c r="K3426" s="3" t="s">
        <v>63</v>
      </c>
      <c r="L3426" s="2" t="s">
        <v>33066</v>
      </c>
      <c r="M3426" s="2" t="s">
        <v>33067</v>
      </c>
      <c r="N3426" s="3" t="s">
        <v>625</v>
      </c>
      <c r="P3426" s="3" t="s">
        <v>64</v>
      </c>
      <c r="R3426" s="3" t="s">
        <v>32962</v>
      </c>
      <c r="S3426" s="4">
        <v>3</v>
      </c>
      <c r="T3426" s="4">
        <v>3</v>
      </c>
      <c r="U3426" s="5" t="s">
        <v>33068</v>
      </c>
      <c r="V3426" s="5" t="s">
        <v>33068</v>
      </c>
      <c r="W3426" s="5" t="s">
        <v>67</v>
      </c>
      <c r="X3426" s="5" t="s">
        <v>67</v>
      </c>
      <c r="Y3426" s="4">
        <v>20</v>
      </c>
      <c r="Z3426" s="4">
        <v>1</v>
      </c>
      <c r="AA3426" s="4">
        <v>93</v>
      </c>
      <c r="AB3426" s="4">
        <v>1</v>
      </c>
      <c r="AC3426" s="4">
        <v>10</v>
      </c>
      <c r="AD3426" s="4">
        <v>0</v>
      </c>
      <c r="AE3426" s="4">
        <v>125</v>
      </c>
      <c r="AF3426" s="4">
        <v>0</v>
      </c>
      <c r="AG3426" s="4">
        <v>1</v>
      </c>
      <c r="AH3426" s="4">
        <v>0</v>
      </c>
      <c r="AI3426" s="4">
        <v>101</v>
      </c>
      <c r="AJ3426" s="4">
        <v>0</v>
      </c>
      <c r="AK3426" s="4">
        <v>17</v>
      </c>
      <c r="AL3426" s="4">
        <v>0</v>
      </c>
      <c r="AM3426" s="4">
        <v>53</v>
      </c>
      <c r="AN3426" s="4">
        <v>0</v>
      </c>
      <c r="AO3426" s="4">
        <v>1</v>
      </c>
      <c r="AP3426" s="4">
        <v>0</v>
      </c>
      <c r="AQ3426" s="4">
        <v>32</v>
      </c>
      <c r="AR3426" s="3" t="s">
        <v>62</v>
      </c>
      <c r="AS3426" s="3" t="s">
        <v>62</v>
      </c>
      <c r="AT3426" s="3" t="s">
        <v>62</v>
      </c>
      <c r="AV3426" s="6" t="str">
        <f>HYPERLINK("http://mcgill.on.worldcat.org/oclc/52326778","Catalog Record")</f>
        <v>Catalog Record</v>
      </c>
      <c r="AW3426" s="6" t="str">
        <f>HYPERLINK("http://www.worldcat.org/oclc/52326778","WorldCat Record")</f>
        <v>WorldCat Record</v>
      </c>
      <c r="AX3426" s="3" t="s">
        <v>33069</v>
      </c>
      <c r="AY3426" s="3" t="s">
        <v>33070</v>
      </c>
      <c r="AZ3426" s="3" t="s">
        <v>33071</v>
      </c>
      <c r="BA3426" s="3" t="s">
        <v>33071</v>
      </c>
      <c r="BB3426" s="3" t="s">
        <v>33072</v>
      </c>
      <c r="BC3426" s="3" t="s">
        <v>102</v>
      </c>
      <c r="BD3426" s="3" t="s">
        <v>68</v>
      </c>
      <c r="BE3426" s="3" t="s">
        <v>33073</v>
      </c>
      <c r="BF3426" s="3" t="s">
        <v>33072</v>
      </c>
      <c r="BG3426" s="3" t="s">
        <v>33074</v>
      </c>
    </row>
    <row r="3427" spans="1:59" ht="58" x14ac:dyDescent="0.35">
      <c r="A3427" s="2" t="s">
        <v>89</v>
      </c>
      <c r="B3427" s="2" t="s">
        <v>90</v>
      </c>
      <c r="C3427" s="2" t="s">
        <v>33075</v>
      </c>
      <c r="D3427" s="2" t="s">
        <v>33076</v>
      </c>
      <c r="E3427" s="2" t="s">
        <v>33077</v>
      </c>
      <c r="G3427" s="3" t="s">
        <v>62</v>
      </c>
      <c r="I3427" s="3" t="s">
        <v>62</v>
      </c>
      <c r="J3427" s="3" t="s">
        <v>62</v>
      </c>
      <c r="K3427" s="3" t="s">
        <v>63</v>
      </c>
      <c r="L3427" s="2" t="s">
        <v>33078</v>
      </c>
      <c r="M3427" s="2" t="s">
        <v>8989</v>
      </c>
      <c r="N3427" s="3" t="s">
        <v>438</v>
      </c>
      <c r="P3427" s="3" t="s">
        <v>64</v>
      </c>
      <c r="Q3427" s="2" t="s">
        <v>33079</v>
      </c>
      <c r="R3427" s="3" t="s">
        <v>32962</v>
      </c>
      <c r="S3427" s="4">
        <v>11</v>
      </c>
      <c r="T3427" s="4">
        <v>11</v>
      </c>
      <c r="U3427" s="5" t="s">
        <v>468</v>
      </c>
      <c r="V3427" s="5" t="s">
        <v>468</v>
      </c>
      <c r="W3427" s="5" t="s">
        <v>67</v>
      </c>
      <c r="X3427" s="5" t="s">
        <v>67</v>
      </c>
      <c r="Y3427" s="4">
        <v>373</v>
      </c>
      <c r="Z3427" s="4">
        <v>19</v>
      </c>
      <c r="AA3427" s="4">
        <v>20</v>
      </c>
      <c r="AB3427" s="4">
        <v>1</v>
      </c>
      <c r="AC3427" s="4">
        <v>2</v>
      </c>
      <c r="AD3427" s="4">
        <v>111</v>
      </c>
      <c r="AE3427" s="4">
        <v>112</v>
      </c>
      <c r="AF3427" s="4">
        <v>0</v>
      </c>
      <c r="AG3427" s="4">
        <v>1</v>
      </c>
      <c r="AH3427" s="4">
        <v>100</v>
      </c>
      <c r="AI3427" s="4">
        <v>100</v>
      </c>
      <c r="AJ3427" s="4">
        <v>16</v>
      </c>
      <c r="AK3427" s="4">
        <v>17</v>
      </c>
      <c r="AL3427" s="4">
        <v>56</v>
      </c>
      <c r="AM3427" s="4">
        <v>56</v>
      </c>
      <c r="AN3427" s="4">
        <v>0</v>
      </c>
      <c r="AO3427" s="4">
        <v>0</v>
      </c>
      <c r="AP3427" s="4">
        <v>17</v>
      </c>
      <c r="AQ3427" s="4">
        <v>17</v>
      </c>
      <c r="AR3427" s="3" t="s">
        <v>62</v>
      </c>
      <c r="AS3427" s="3" t="s">
        <v>62</v>
      </c>
      <c r="AT3427" s="3" t="s">
        <v>61</v>
      </c>
      <c r="AU3427" s="6" t="str">
        <f>HYPERLINK("http://catalog.hathitrust.org/Record/002064654","HathiTrust Record")</f>
        <v>HathiTrust Record</v>
      </c>
      <c r="AV3427" s="6" t="str">
        <f>HYPERLINK("http://mcgill.on.worldcat.org/oclc/19921141","Catalog Record")</f>
        <v>Catalog Record</v>
      </c>
      <c r="AW3427" s="6" t="str">
        <f>HYPERLINK("http://www.worldcat.org/oclc/19921141","WorldCat Record")</f>
        <v>WorldCat Record</v>
      </c>
      <c r="AX3427" s="3" t="s">
        <v>33080</v>
      </c>
      <c r="AY3427" s="3" t="s">
        <v>33081</v>
      </c>
      <c r="AZ3427" s="3" t="s">
        <v>33082</v>
      </c>
      <c r="BA3427" s="3" t="s">
        <v>33082</v>
      </c>
      <c r="BB3427" s="3" t="s">
        <v>33083</v>
      </c>
      <c r="BC3427" s="3" t="s">
        <v>102</v>
      </c>
      <c r="BD3427" s="3" t="s">
        <v>68</v>
      </c>
      <c r="BE3427" s="3" t="s">
        <v>33084</v>
      </c>
      <c r="BF3427" s="3" t="s">
        <v>33083</v>
      </c>
      <c r="BG3427" s="3" t="s">
        <v>33085</v>
      </c>
    </row>
    <row r="3428" spans="1:59" ht="58" x14ac:dyDescent="0.35">
      <c r="A3428" s="2" t="s">
        <v>89</v>
      </c>
      <c r="B3428" s="2" t="s">
        <v>90</v>
      </c>
      <c r="C3428" s="2" t="s">
        <v>33086</v>
      </c>
      <c r="D3428" s="2" t="s">
        <v>33087</v>
      </c>
      <c r="E3428" s="2" t="s">
        <v>33088</v>
      </c>
      <c r="G3428" s="3" t="s">
        <v>62</v>
      </c>
      <c r="I3428" s="3" t="s">
        <v>61</v>
      </c>
      <c r="J3428" s="3" t="s">
        <v>62</v>
      </c>
      <c r="K3428" s="3" t="s">
        <v>63</v>
      </c>
      <c r="L3428" s="2" t="s">
        <v>33089</v>
      </c>
      <c r="M3428" s="2" t="s">
        <v>33090</v>
      </c>
      <c r="N3428" s="3" t="s">
        <v>78</v>
      </c>
      <c r="O3428" s="2" t="s">
        <v>33091</v>
      </c>
      <c r="P3428" s="3" t="s">
        <v>64</v>
      </c>
      <c r="R3428" s="3" t="s">
        <v>32962</v>
      </c>
      <c r="S3428" s="4">
        <v>0</v>
      </c>
      <c r="T3428" s="4">
        <v>3</v>
      </c>
      <c r="V3428" s="5" t="s">
        <v>33092</v>
      </c>
      <c r="W3428" s="5" t="s">
        <v>67</v>
      </c>
      <c r="X3428" s="5" t="s">
        <v>67</v>
      </c>
      <c r="Y3428" s="4">
        <v>227</v>
      </c>
      <c r="Z3428" s="4">
        <v>14</v>
      </c>
      <c r="AA3428" s="4">
        <v>21</v>
      </c>
      <c r="AB3428" s="4">
        <v>1</v>
      </c>
      <c r="AC3428" s="4">
        <v>3</v>
      </c>
      <c r="AD3428" s="4">
        <v>70</v>
      </c>
      <c r="AE3428" s="4">
        <v>82</v>
      </c>
      <c r="AF3428" s="4">
        <v>0</v>
      </c>
      <c r="AG3428" s="4">
        <v>1</v>
      </c>
      <c r="AH3428" s="4">
        <v>66</v>
      </c>
      <c r="AI3428" s="4">
        <v>74</v>
      </c>
      <c r="AJ3428" s="4">
        <v>10</v>
      </c>
      <c r="AK3428" s="4">
        <v>12</v>
      </c>
      <c r="AL3428" s="4">
        <v>41</v>
      </c>
      <c r="AM3428" s="4">
        <v>43</v>
      </c>
      <c r="AN3428" s="4">
        <v>0</v>
      </c>
      <c r="AO3428" s="4">
        <v>0</v>
      </c>
      <c r="AP3428" s="4">
        <v>11</v>
      </c>
      <c r="AQ3428" s="4">
        <v>15</v>
      </c>
      <c r="AR3428" s="3" t="s">
        <v>62</v>
      </c>
      <c r="AS3428" s="3" t="s">
        <v>62</v>
      </c>
      <c r="AT3428" s="3" t="s">
        <v>61</v>
      </c>
      <c r="AU3428" s="6" t="str">
        <f>HYPERLINK("http://catalog.hathitrust.org/Record/001114891","HathiTrust Record")</f>
        <v>HathiTrust Record</v>
      </c>
      <c r="AV3428" s="6" t="str">
        <f>HYPERLINK("http://mcgill.on.worldcat.org/oclc/552425","Catalog Record")</f>
        <v>Catalog Record</v>
      </c>
      <c r="AW3428" s="6" t="str">
        <f>HYPERLINK("http://www.worldcat.org/oclc/552425","WorldCat Record")</f>
        <v>WorldCat Record</v>
      </c>
      <c r="AX3428" s="3" t="s">
        <v>33093</v>
      </c>
      <c r="AY3428" s="3" t="s">
        <v>33094</v>
      </c>
      <c r="AZ3428" s="3" t="s">
        <v>33095</v>
      </c>
      <c r="BA3428" s="3" t="s">
        <v>33095</v>
      </c>
      <c r="BB3428" s="3" t="s">
        <v>33096</v>
      </c>
      <c r="BC3428" s="3" t="s">
        <v>102</v>
      </c>
      <c r="BD3428" s="3" t="s">
        <v>68</v>
      </c>
      <c r="BF3428" s="3" t="s">
        <v>33096</v>
      </c>
      <c r="BG3428" s="3" t="s">
        <v>33097</v>
      </c>
    </row>
    <row r="3429" spans="1:59" ht="58" x14ac:dyDescent="0.35">
      <c r="A3429" s="2" t="s">
        <v>59</v>
      </c>
      <c r="B3429" s="2" t="s">
        <v>60</v>
      </c>
      <c r="C3429" s="2" t="s">
        <v>33086</v>
      </c>
      <c r="D3429" s="2" t="s">
        <v>33087</v>
      </c>
      <c r="E3429" s="2" t="s">
        <v>33088</v>
      </c>
      <c r="G3429" s="3" t="s">
        <v>62</v>
      </c>
      <c r="I3429" s="3" t="s">
        <v>61</v>
      </c>
      <c r="J3429" s="3" t="s">
        <v>62</v>
      </c>
      <c r="K3429" s="3" t="s">
        <v>63</v>
      </c>
      <c r="L3429" s="2" t="s">
        <v>33089</v>
      </c>
      <c r="M3429" s="2" t="s">
        <v>33090</v>
      </c>
      <c r="N3429" s="3" t="s">
        <v>78</v>
      </c>
      <c r="O3429" s="2" t="s">
        <v>33091</v>
      </c>
      <c r="P3429" s="3" t="s">
        <v>64</v>
      </c>
      <c r="R3429" s="3" t="s">
        <v>32962</v>
      </c>
      <c r="S3429" s="4">
        <v>0</v>
      </c>
      <c r="T3429" s="4">
        <v>3</v>
      </c>
      <c r="V3429" s="5" t="s">
        <v>33092</v>
      </c>
      <c r="W3429" s="5" t="s">
        <v>67</v>
      </c>
      <c r="X3429" s="5" t="s">
        <v>67</v>
      </c>
      <c r="Y3429" s="4">
        <v>227</v>
      </c>
      <c r="Z3429" s="4">
        <v>14</v>
      </c>
      <c r="AA3429" s="4">
        <v>21</v>
      </c>
      <c r="AB3429" s="4">
        <v>1</v>
      </c>
      <c r="AC3429" s="4">
        <v>3</v>
      </c>
      <c r="AD3429" s="4">
        <v>70</v>
      </c>
      <c r="AE3429" s="4">
        <v>82</v>
      </c>
      <c r="AF3429" s="4">
        <v>0</v>
      </c>
      <c r="AG3429" s="4">
        <v>1</v>
      </c>
      <c r="AH3429" s="4">
        <v>66</v>
      </c>
      <c r="AI3429" s="4">
        <v>74</v>
      </c>
      <c r="AJ3429" s="4">
        <v>10</v>
      </c>
      <c r="AK3429" s="4">
        <v>12</v>
      </c>
      <c r="AL3429" s="4">
        <v>41</v>
      </c>
      <c r="AM3429" s="4">
        <v>43</v>
      </c>
      <c r="AN3429" s="4">
        <v>0</v>
      </c>
      <c r="AO3429" s="4">
        <v>0</v>
      </c>
      <c r="AP3429" s="4">
        <v>11</v>
      </c>
      <c r="AQ3429" s="4">
        <v>15</v>
      </c>
      <c r="AR3429" s="3" t="s">
        <v>62</v>
      </c>
      <c r="AS3429" s="3" t="s">
        <v>62</v>
      </c>
      <c r="AT3429" s="3" t="s">
        <v>61</v>
      </c>
      <c r="AU3429" s="6" t="str">
        <f>HYPERLINK("http://catalog.hathitrust.org/Record/001114891","HathiTrust Record")</f>
        <v>HathiTrust Record</v>
      </c>
      <c r="AV3429" s="6" t="str">
        <f>HYPERLINK("http://mcgill.on.worldcat.org/oclc/552425","Catalog Record")</f>
        <v>Catalog Record</v>
      </c>
      <c r="AW3429" s="6" t="str">
        <f>HYPERLINK("http://www.worldcat.org/oclc/552425","WorldCat Record")</f>
        <v>WorldCat Record</v>
      </c>
      <c r="AX3429" s="3" t="s">
        <v>33093</v>
      </c>
      <c r="AY3429" s="3" t="s">
        <v>33094</v>
      </c>
      <c r="AZ3429" s="3" t="s">
        <v>33095</v>
      </c>
      <c r="BA3429" s="3" t="s">
        <v>33095</v>
      </c>
      <c r="BB3429" s="3" t="s">
        <v>33098</v>
      </c>
      <c r="BC3429" s="3" t="s">
        <v>102</v>
      </c>
      <c r="BD3429" s="3" t="s">
        <v>68</v>
      </c>
      <c r="BF3429" s="3" t="s">
        <v>33098</v>
      </c>
      <c r="BG3429" s="3" t="s">
        <v>33099</v>
      </c>
    </row>
    <row r="3430" spans="1:59" ht="101.5" x14ac:dyDescent="0.35">
      <c r="A3430" s="2" t="s">
        <v>89</v>
      </c>
      <c r="B3430" s="2" t="s">
        <v>12301</v>
      </c>
      <c r="C3430" s="2" t="s">
        <v>33100</v>
      </c>
      <c r="D3430" s="2" t="s">
        <v>33101</v>
      </c>
      <c r="E3430" s="2" t="s">
        <v>33102</v>
      </c>
      <c r="G3430" s="3" t="s">
        <v>62</v>
      </c>
      <c r="I3430" s="3" t="s">
        <v>62</v>
      </c>
      <c r="J3430" s="3" t="s">
        <v>61</v>
      </c>
      <c r="K3430" s="3" t="s">
        <v>63</v>
      </c>
      <c r="L3430" s="2" t="s">
        <v>33103</v>
      </c>
      <c r="M3430" s="2" t="s">
        <v>33104</v>
      </c>
      <c r="N3430" s="3" t="s">
        <v>698</v>
      </c>
      <c r="O3430" s="2" t="s">
        <v>10722</v>
      </c>
      <c r="P3430" s="3" t="s">
        <v>64</v>
      </c>
      <c r="R3430" s="3" t="s">
        <v>32962</v>
      </c>
      <c r="S3430" s="4">
        <v>5</v>
      </c>
      <c r="T3430" s="4">
        <v>5</v>
      </c>
      <c r="U3430" s="5" t="s">
        <v>10250</v>
      </c>
      <c r="V3430" s="5" t="s">
        <v>10250</v>
      </c>
      <c r="W3430" s="5" t="s">
        <v>67</v>
      </c>
      <c r="X3430" s="5" t="s">
        <v>67</v>
      </c>
      <c r="Y3430" s="4">
        <v>129</v>
      </c>
      <c r="Z3430" s="4">
        <v>5</v>
      </c>
      <c r="AA3430" s="4">
        <v>31</v>
      </c>
      <c r="AB3430" s="4">
        <v>1</v>
      </c>
      <c r="AC3430" s="4">
        <v>4</v>
      </c>
      <c r="AD3430" s="4">
        <v>30</v>
      </c>
      <c r="AE3430" s="4">
        <v>99</v>
      </c>
      <c r="AF3430" s="4">
        <v>0</v>
      </c>
      <c r="AG3430" s="4">
        <v>2</v>
      </c>
      <c r="AH3430" s="4">
        <v>27</v>
      </c>
      <c r="AI3430" s="4">
        <v>88</v>
      </c>
      <c r="AJ3430" s="4">
        <v>3</v>
      </c>
      <c r="AK3430" s="4">
        <v>10</v>
      </c>
      <c r="AL3430" s="4">
        <v>18</v>
      </c>
      <c r="AM3430" s="4">
        <v>52</v>
      </c>
      <c r="AN3430" s="4">
        <v>0</v>
      </c>
      <c r="AO3430" s="4">
        <v>0</v>
      </c>
      <c r="AP3430" s="4">
        <v>3</v>
      </c>
      <c r="AQ3430" s="4">
        <v>14</v>
      </c>
      <c r="AR3430" s="3" t="s">
        <v>62</v>
      </c>
      <c r="AS3430" s="3" t="s">
        <v>62</v>
      </c>
      <c r="AT3430" s="3" t="s">
        <v>62</v>
      </c>
      <c r="AV3430" s="6" t="str">
        <f>HYPERLINK("http://mcgill.on.worldcat.org/oclc/751780685","Catalog Record")</f>
        <v>Catalog Record</v>
      </c>
      <c r="AW3430" s="6" t="str">
        <f>HYPERLINK("http://www.worldcat.org/oclc/751780685","WorldCat Record")</f>
        <v>WorldCat Record</v>
      </c>
      <c r="AX3430" s="3" t="s">
        <v>33105</v>
      </c>
      <c r="AY3430" s="3" t="s">
        <v>33106</v>
      </c>
      <c r="AZ3430" s="3" t="s">
        <v>33107</v>
      </c>
      <c r="BA3430" s="3" t="s">
        <v>33107</v>
      </c>
      <c r="BB3430" s="3" t="s">
        <v>33108</v>
      </c>
      <c r="BC3430" s="3" t="s">
        <v>102</v>
      </c>
      <c r="BD3430" s="3" t="s">
        <v>68</v>
      </c>
      <c r="BE3430" s="3" t="s">
        <v>33109</v>
      </c>
      <c r="BF3430" s="3" t="s">
        <v>33108</v>
      </c>
      <c r="BG3430" s="3" t="s">
        <v>33110</v>
      </c>
    </row>
    <row r="3431" spans="1:59" ht="101.5" x14ac:dyDescent="0.35">
      <c r="A3431" s="2" t="s">
        <v>89</v>
      </c>
      <c r="B3431" s="2" t="s">
        <v>12301</v>
      </c>
      <c r="C3431" s="2" t="s">
        <v>33111</v>
      </c>
      <c r="D3431" s="2" t="s">
        <v>33112</v>
      </c>
      <c r="E3431" s="2" t="s">
        <v>33113</v>
      </c>
      <c r="G3431" s="3" t="s">
        <v>62</v>
      </c>
      <c r="I3431" s="3" t="s">
        <v>61</v>
      </c>
      <c r="J3431" s="3" t="s">
        <v>61</v>
      </c>
      <c r="K3431" s="3" t="s">
        <v>63</v>
      </c>
      <c r="L3431" s="2" t="s">
        <v>33103</v>
      </c>
      <c r="M3431" s="2" t="s">
        <v>33114</v>
      </c>
      <c r="N3431" s="3" t="s">
        <v>1038</v>
      </c>
      <c r="O3431" s="2" t="s">
        <v>17053</v>
      </c>
      <c r="P3431" s="3" t="s">
        <v>64</v>
      </c>
      <c r="R3431" s="3" t="s">
        <v>32962</v>
      </c>
      <c r="S3431" s="4">
        <v>16</v>
      </c>
      <c r="T3431" s="4">
        <v>110</v>
      </c>
      <c r="U3431" s="5" t="s">
        <v>22400</v>
      </c>
      <c r="V3431" s="5" t="s">
        <v>20604</v>
      </c>
      <c r="W3431" s="5" t="s">
        <v>67</v>
      </c>
      <c r="X3431" s="5" t="s">
        <v>67</v>
      </c>
      <c r="Y3431" s="4">
        <v>123</v>
      </c>
      <c r="Z3431" s="4">
        <v>7</v>
      </c>
      <c r="AA3431" s="4">
        <v>21</v>
      </c>
      <c r="AB3431" s="4">
        <v>1</v>
      </c>
      <c r="AC3431" s="4">
        <v>4</v>
      </c>
      <c r="AD3431" s="4">
        <v>30</v>
      </c>
      <c r="AE3431" s="4">
        <v>56</v>
      </c>
      <c r="AF3431" s="4">
        <v>0</v>
      </c>
      <c r="AG3431" s="4">
        <v>2</v>
      </c>
      <c r="AH3431" s="4">
        <v>28</v>
      </c>
      <c r="AI3431" s="4">
        <v>49</v>
      </c>
      <c r="AJ3431" s="4">
        <v>2</v>
      </c>
      <c r="AK3431" s="4">
        <v>5</v>
      </c>
      <c r="AL3431" s="4">
        <v>18</v>
      </c>
      <c r="AM3431" s="4">
        <v>27</v>
      </c>
      <c r="AN3431" s="4">
        <v>0</v>
      </c>
      <c r="AO3431" s="4">
        <v>0</v>
      </c>
      <c r="AP3431" s="4">
        <v>3</v>
      </c>
      <c r="AQ3431" s="4">
        <v>11</v>
      </c>
      <c r="AR3431" s="3" t="s">
        <v>62</v>
      </c>
      <c r="AS3431" s="3" t="s">
        <v>62</v>
      </c>
      <c r="AT3431" s="3" t="s">
        <v>62</v>
      </c>
      <c r="AV3431" s="6" t="str">
        <f>HYPERLINK("http://mcgill.on.worldcat.org/oclc/920818893","Catalog Record")</f>
        <v>Catalog Record</v>
      </c>
      <c r="AW3431" s="6" t="str">
        <f>HYPERLINK("http://www.worldcat.org/oclc/920818893","WorldCat Record")</f>
        <v>WorldCat Record</v>
      </c>
      <c r="AX3431" s="3" t="s">
        <v>33115</v>
      </c>
      <c r="AY3431" s="3" t="s">
        <v>33116</v>
      </c>
      <c r="AZ3431" s="3" t="s">
        <v>33117</v>
      </c>
      <c r="BA3431" s="3" t="s">
        <v>33117</v>
      </c>
      <c r="BB3431" s="3" t="s">
        <v>33118</v>
      </c>
      <c r="BC3431" s="3" t="s">
        <v>102</v>
      </c>
      <c r="BD3431" s="3" t="s">
        <v>68</v>
      </c>
      <c r="BE3431" s="3" t="s">
        <v>33119</v>
      </c>
      <c r="BF3431" s="3" t="s">
        <v>33118</v>
      </c>
      <c r="BG3431" s="3" t="s">
        <v>33120</v>
      </c>
    </row>
    <row r="3432" spans="1:59" ht="101.5" x14ac:dyDescent="0.35">
      <c r="A3432" s="2" t="s">
        <v>89</v>
      </c>
      <c r="B3432" s="2" t="s">
        <v>12301</v>
      </c>
      <c r="C3432" s="2" t="s">
        <v>33111</v>
      </c>
      <c r="D3432" s="2" t="s">
        <v>33112</v>
      </c>
      <c r="E3432" s="2" t="s">
        <v>33113</v>
      </c>
      <c r="G3432" s="3" t="s">
        <v>62</v>
      </c>
      <c r="I3432" s="3" t="s">
        <v>61</v>
      </c>
      <c r="J3432" s="3" t="s">
        <v>61</v>
      </c>
      <c r="K3432" s="3" t="s">
        <v>63</v>
      </c>
      <c r="L3432" s="2" t="s">
        <v>33103</v>
      </c>
      <c r="M3432" s="2" t="s">
        <v>33114</v>
      </c>
      <c r="N3432" s="3" t="s">
        <v>1038</v>
      </c>
      <c r="O3432" s="2" t="s">
        <v>17053</v>
      </c>
      <c r="P3432" s="3" t="s">
        <v>64</v>
      </c>
      <c r="R3432" s="3" t="s">
        <v>32962</v>
      </c>
      <c r="S3432" s="4">
        <v>23</v>
      </c>
      <c r="T3432" s="4">
        <v>110</v>
      </c>
      <c r="U3432" s="5" t="s">
        <v>6944</v>
      </c>
      <c r="V3432" s="5" t="s">
        <v>20604</v>
      </c>
      <c r="W3432" s="5" t="s">
        <v>67</v>
      </c>
      <c r="X3432" s="5" t="s">
        <v>67</v>
      </c>
      <c r="Y3432" s="4">
        <v>123</v>
      </c>
      <c r="Z3432" s="4">
        <v>7</v>
      </c>
      <c r="AA3432" s="4">
        <v>21</v>
      </c>
      <c r="AB3432" s="4">
        <v>1</v>
      </c>
      <c r="AC3432" s="4">
        <v>4</v>
      </c>
      <c r="AD3432" s="4">
        <v>30</v>
      </c>
      <c r="AE3432" s="4">
        <v>56</v>
      </c>
      <c r="AF3432" s="4">
        <v>0</v>
      </c>
      <c r="AG3432" s="4">
        <v>2</v>
      </c>
      <c r="AH3432" s="4">
        <v>28</v>
      </c>
      <c r="AI3432" s="4">
        <v>49</v>
      </c>
      <c r="AJ3432" s="4">
        <v>2</v>
      </c>
      <c r="AK3432" s="4">
        <v>5</v>
      </c>
      <c r="AL3432" s="4">
        <v>18</v>
      </c>
      <c r="AM3432" s="4">
        <v>27</v>
      </c>
      <c r="AN3432" s="4">
        <v>0</v>
      </c>
      <c r="AO3432" s="4">
        <v>0</v>
      </c>
      <c r="AP3432" s="4">
        <v>3</v>
      </c>
      <c r="AQ3432" s="4">
        <v>11</v>
      </c>
      <c r="AR3432" s="3" t="s">
        <v>62</v>
      </c>
      <c r="AS3432" s="3" t="s">
        <v>62</v>
      </c>
      <c r="AT3432" s="3" t="s">
        <v>62</v>
      </c>
      <c r="AV3432" s="6" t="str">
        <f>HYPERLINK("http://mcgill.on.worldcat.org/oclc/920818893","Catalog Record")</f>
        <v>Catalog Record</v>
      </c>
      <c r="AW3432" s="6" t="str">
        <f>HYPERLINK("http://www.worldcat.org/oclc/920818893","WorldCat Record")</f>
        <v>WorldCat Record</v>
      </c>
      <c r="AX3432" s="3" t="s">
        <v>33115</v>
      </c>
      <c r="AY3432" s="3" t="s">
        <v>33116</v>
      </c>
      <c r="AZ3432" s="3" t="s">
        <v>33117</v>
      </c>
      <c r="BA3432" s="3" t="s">
        <v>33117</v>
      </c>
      <c r="BB3432" s="3" t="s">
        <v>33121</v>
      </c>
      <c r="BC3432" s="3" t="s">
        <v>102</v>
      </c>
      <c r="BD3432" s="3" t="s">
        <v>68</v>
      </c>
      <c r="BE3432" s="3" t="s">
        <v>33119</v>
      </c>
      <c r="BF3432" s="3" t="s">
        <v>33121</v>
      </c>
      <c r="BG3432" s="3" t="s">
        <v>33122</v>
      </c>
    </row>
    <row r="3433" spans="1:59" ht="101.5" x14ac:dyDescent="0.35">
      <c r="A3433" s="2" t="s">
        <v>89</v>
      </c>
      <c r="B3433" s="2" t="s">
        <v>12301</v>
      </c>
      <c r="C3433" s="2" t="s">
        <v>33111</v>
      </c>
      <c r="D3433" s="2" t="s">
        <v>33112</v>
      </c>
      <c r="E3433" s="2" t="s">
        <v>33113</v>
      </c>
      <c r="G3433" s="3" t="s">
        <v>62</v>
      </c>
      <c r="I3433" s="3" t="s">
        <v>61</v>
      </c>
      <c r="J3433" s="3" t="s">
        <v>61</v>
      </c>
      <c r="K3433" s="3" t="s">
        <v>63</v>
      </c>
      <c r="L3433" s="2" t="s">
        <v>33103</v>
      </c>
      <c r="M3433" s="2" t="s">
        <v>33114</v>
      </c>
      <c r="N3433" s="3" t="s">
        <v>1038</v>
      </c>
      <c r="O3433" s="2" t="s">
        <v>17053</v>
      </c>
      <c r="P3433" s="3" t="s">
        <v>64</v>
      </c>
      <c r="R3433" s="3" t="s">
        <v>32962</v>
      </c>
      <c r="S3433" s="4">
        <v>19</v>
      </c>
      <c r="T3433" s="4">
        <v>110</v>
      </c>
      <c r="U3433" s="5" t="s">
        <v>33123</v>
      </c>
      <c r="V3433" s="5" t="s">
        <v>20604</v>
      </c>
      <c r="W3433" s="5" t="s">
        <v>67</v>
      </c>
      <c r="X3433" s="5" t="s">
        <v>67</v>
      </c>
      <c r="Y3433" s="4">
        <v>123</v>
      </c>
      <c r="Z3433" s="4">
        <v>7</v>
      </c>
      <c r="AA3433" s="4">
        <v>21</v>
      </c>
      <c r="AB3433" s="4">
        <v>1</v>
      </c>
      <c r="AC3433" s="4">
        <v>4</v>
      </c>
      <c r="AD3433" s="4">
        <v>30</v>
      </c>
      <c r="AE3433" s="4">
        <v>56</v>
      </c>
      <c r="AF3433" s="4">
        <v>0</v>
      </c>
      <c r="AG3433" s="4">
        <v>2</v>
      </c>
      <c r="AH3433" s="4">
        <v>28</v>
      </c>
      <c r="AI3433" s="4">
        <v>49</v>
      </c>
      <c r="AJ3433" s="4">
        <v>2</v>
      </c>
      <c r="AK3433" s="4">
        <v>5</v>
      </c>
      <c r="AL3433" s="4">
        <v>18</v>
      </c>
      <c r="AM3433" s="4">
        <v>27</v>
      </c>
      <c r="AN3433" s="4">
        <v>0</v>
      </c>
      <c r="AO3433" s="4">
        <v>0</v>
      </c>
      <c r="AP3433" s="4">
        <v>3</v>
      </c>
      <c r="AQ3433" s="4">
        <v>11</v>
      </c>
      <c r="AR3433" s="3" t="s">
        <v>62</v>
      </c>
      <c r="AS3433" s="3" t="s">
        <v>62</v>
      </c>
      <c r="AT3433" s="3" t="s">
        <v>62</v>
      </c>
      <c r="AV3433" s="6" t="str">
        <f>HYPERLINK("http://mcgill.on.worldcat.org/oclc/920818893","Catalog Record")</f>
        <v>Catalog Record</v>
      </c>
      <c r="AW3433" s="6" t="str">
        <f>HYPERLINK("http://www.worldcat.org/oclc/920818893","WorldCat Record")</f>
        <v>WorldCat Record</v>
      </c>
      <c r="AX3433" s="3" t="s">
        <v>33115</v>
      </c>
      <c r="AY3433" s="3" t="s">
        <v>33116</v>
      </c>
      <c r="AZ3433" s="3" t="s">
        <v>33117</v>
      </c>
      <c r="BA3433" s="3" t="s">
        <v>33117</v>
      </c>
      <c r="BB3433" s="3" t="s">
        <v>33124</v>
      </c>
      <c r="BC3433" s="3" t="s">
        <v>102</v>
      </c>
      <c r="BD3433" s="3" t="s">
        <v>68</v>
      </c>
      <c r="BE3433" s="3" t="s">
        <v>33119</v>
      </c>
      <c r="BF3433" s="3" t="s">
        <v>33124</v>
      </c>
      <c r="BG3433" s="3" t="s">
        <v>33125</v>
      </c>
    </row>
    <row r="3434" spans="1:59" ht="101.5" x14ac:dyDescent="0.35">
      <c r="A3434" s="2" t="s">
        <v>89</v>
      </c>
      <c r="B3434" s="2" t="s">
        <v>12301</v>
      </c>
      <c r="C3434" s="2" t="s">
        <v>33111</v>
      </c>
      <c r="D3434" s="2" t="s">
        <v>33112</v>
      </c>
      <c r="E3434" s="2" t="s">
        <v>33113</v>
      </c>
      <c r="G3434" s="3" t="s">
        <v>62</v>
      </c>
      <c r="I3434" s="3" t="s">
        <v>61</v>
      </c>
      <c r="J3434" s="3" t="s">
        <v>61</v>
      </c>
      <c r="K3434" s="3" t="s">
        <v>63</v>
      </c>
      <c r="L3434" s="2" t="s">
        <v>33103</v>
      </c>
      <c r="M3434" s="2" t="s">
        <v>33114</v>
      </c>
      <c r="N3434" s="3" t="s">
        <v>1038</v>
      </c>
      <c r="O3434" s="2" t="s">
        <v>17053</v>
      </c>
      <c r="P3434" s="3" t="s">
        <v>64</v>
      </c>
      <c r="R3434" s="3" t="s">
        <v>32962</v>
      </c>
      <c r="S3434" s="4">
        <v>34</v>
      </c>
      <c r="T3434" s="4">
        <v>110</v>
      </c>
      <c r="U3434" s="5" t="s">
        <v>3110</v>
      </c>
      <c r="V3434" s="5" t="s">
        <v>20604</v>
      </c>
      <c r="W3434" s="5" t="s">
        <v>67</v>
      </c>
      <c r="X3434" s="5" t="s">
        <v>67</v>
      </c>
      <c r="Y3434" s="4">
        <v>123</v>
      </c>
      <c r="Z3434" s="4">
        <v>7</v>
      </c>
      <c r="AA3434" s="4">
        <v>21</v>
      </c>
      <c r="AB3434" s="4">
        <v>1</v>
      </c>
      <c r="AC3434" s="4">
        <v>4</v>
      </c>
      <c r="AD3434" s="4">
        <v>30</v>
      </c>
      <c r="AE3434" s="4">
        <v>56</v>
      </c>
      <c r="AF3434" s="4">
        <v>0</v>
      </c>
      <c r="AG3434" s="4">
        <v>2</v>
      </c>
      <c r="AH3434" s="4">
        <v>28</v>
      </c>
      <c r="AI3434" s="4">
        <v>49</v>
      </c>
      <c r="AJ3434" s="4">
        <v>2</v>
      </c>
      <c r="AK3434" s="4">
        <v>5</v>
      </c>
      <c r="AL3434" s="4">
        <v>18</v>
      </c>
      <c r="AM3434" s="4">
        <v>27</v>
      </c>
      <c r="AN3434" s="4">
        <v>0</v>
      </c>
      <c r="AO3434" s="4">
        <v>0</v>
      </c>
      <c r="AP3434" s="4">
        <v>3</v>
      </c>
      <c r="AQ3434" s="4">
        <v>11</v>
      </c>
      <c r="AR3434" s="3" t="s">
        <v>62</v>
      </c>
      <c r="AS3434" s="3" t="s">
        <v>62</v>
      </c>
      <c r="AT3434" s="3" t="s">
        <v>62</v>
      </c>
      <c r="AV3434" s="6" t="str">
        <f>HYPERLINK("http://mcgill.on.worldcat.org/oclc/920818893","Catalog Record")</f>
        <v>Catalog Record</v>
      </c>
      <c r="AW3434" s="6" t="str">
        <f>HYPERLINK("http://www.worldcat.org/oclc/920818893","WorldCat Record")</f>
        <v>WorldCat Record</v>
      </c>
      <c r="AX3434" s="3" t="s">
        <v>33115</v>
      </c>
      <c r="AY3434" s="3" t="s">
        <v>33116</v>
      </c>
      <c r="AZ3434" s="3" t="s">
        <v>33117</v>
      </c>
      <c r="BA3434" s="3" t="s">
        <v>33117</v>
      </c>
      <c r="BB3434" s="3" t="s">
        <v>33126</v>
      </c>
      <c r="BC3434" s="3" t="s">
        <v>102</v>
      </c>
      <c r="BD3434" s="3" t="s">
        <v>68</v>
      </c>
      <c r="BE3434" s="3" t="s">
        <v>33119</v>
      </c>
      <c r="BF3434" s="3" t="s">
        <v>33126</v>
      </c>
      <c r="BG3434" s="3" t="s">
        <v>33127</v>
      </c>
    </row>
    <row r="3435" spans="1:59" ht="101.5" x14ac:dyDescent="0.35">
      <c r="A3435" s="2" t="s">
        <v>89</v>
      </c>
      <c r="B3435" s="2" t="s">
        <v>12301</v>
      </c>
      <c r="C3435" s="2" t="s">
        <v>33111</v>
      </c>
      <c r="D3435" s="2" t="s">
        <v>33112</v>
      </c>
      <c r="E3435" s="2" t="s">
        <v>33113</v>
      </c>
      <c r="G3435" s="3" t="s">
        <v>62</v>
      </c>
      <c r="I3435" s="3" t="s">
        <v>61</v>
      </c>
      <c r="J3435" s="3" t="s">
        <v>61</v>
      </c>
      <c r="K3435" s="3" t="s">
        <v>63</v>
      </c>
      <c r="L3435" s="2" t="s">
        <v>33103</v>
      </c>
      <c r="M3435" s="2" t="s">
        <v>33114</v>
      </c>
      <c r="N3435" s="3" t="s">
        <v>1038</v>
      </c>
      <c r="O3435" s="2" t="s">
        <v>17053</v>
      </c>
      <c r="P3435" s="3" t="s">
        <v>64</v>
      </c>
      <c r="R3435" s="3" t="s">
        <v>32962</v>
      </c>
      <c r="S3435" s="4">
        <v>18</v>
      </c>
      <c r="T3435" s="4">
        <v>110</v>
      </c>
      <c r="U3435" s="5" t="s">
        <v>20604</v>
      </c>
      <c r="V3435" s="5" t="s">
        <v>20604</v>
      </c>
      <c r="W3435" s="5" t="s">
        <v>67</v>
      </c>
      <c r="X3435" s="5" t="s">
        <v>67</v>
      </c>
      <c r="Y3435" s="4">
        <v>123</v>
      </c>
      <c r="Z3435" s="4">
        <v>7</v>
      </c>
      <c r="AA3435" s="4">
        <v>21</v>
      </c>
      <c r="AB3435" s="4">
        <v>1</v>
      </c>
      <c r="AC3435" s="4">
        <v>4</v>
      </c>
      <c r="AD3435" s="4">
        <v>30</v>
      </c>
      <c r="AE3435" s="4">
        <v>56</v>
      </c>
      <c r="AF3435" s="4">
        <v>0</v>
      </c>
      <c r="AG3435" s="4">
        <v>2</v>
      </c>
      <c r="AH3435" s="4">
        <v>28</v>
      </c>
      <c r="AI3435" s="4">
        <v>49</v>
      </c>
      <c r="AJ3435" s="4">
        <v>2</v>
      </c>
      <c r="AK3435" s="4">
        <v>5</v>
      </c>
      <c r="AL3435" s="4">
        <v>18</v>
      </c>
      <c r="AM3435" s="4">
        <v>27</v>
      </c>
      <c r="AN3435" s="4">
        <v>0</v>
      </c>
      <c r="AO3435" s="4">
        <v>0</v>
      </c>
      <c r="AP3435" s="4">
        <v>3</v>
      </c>
      <c r="AQ3435" s="4">
        <v>11</v>
      </c>
      <c r="AR3435" s="3" t="s">
        <v>62</v>
      </c>
      <c r="AS3435" s="3" t="s">
        <v>62</v>
      </c>
      <c r="AT3435" s="3" t="s">
        <v>62</v>
      </c>
      <c r="AV3435" s="6" t="str">
        <f>HYPERLINK("http://mcgill.on.worldcat.org/oclc/920818893","Catalog Record")</f>
        <v>Catalog Record</v>
      </c>
      <c r="AW3435" s="6" t="str">
        <f>HYPERLINK("http://www.worldcat.org/oclc/920818893","WorldCat Record")</f>
        <v>WorldCat Record</v>
      </c>
      <c r="AX3435" s="3" t="s">
        <v>33115</v>
      </c>
      <c r="AY3435" s="3" t="s">
        <v>33116</v>
      </c>
      <c r="AZ3435" s="3" t="s">
        <v>33117</v>
      </c>
      <c r="BA3435" s="3" t="s">
        <v>33117</v>
      </c>
      <c r="BB3435" s="3" t="s">
        <v>33128</v>
      </c>
      <c r="BC3435" s="3" t="s">
        <v>102</v>
      </c>
      <c r="BD3435" s="3" t="s">
        <v>68</v>
      </c>
      <c r="BE3435" s="3" t="s">
        <v>33119</v>
      </c>
      <c r="BF3435" s="3" t="s">
        <v>33128</v>
      </c>
      <c r="BG3435" s="3" t="s">
        <v>33129</v>
      </c>
    </row>
    <row r="3436" spans="1:59" ht="58" x14ac:dyDescent="0.35">
      <c r="A3436" s="2" t="s">
        <v>89</v>
      </c>
      <c r="B3436" s="2" t="s">
        <v>18023</v>
      </c>
      <c r="C3436" s="2" t="s">
        <v>33130</v>
      </c>
      <c r="D3436" s="2" t="s">
        <v>33131</v>
      </c>
      <c r="E3436" s="2" t="s">
        <v>33132</v>
      </c>
      <c r="G3436" s="3" t="s">
        <v>62</v>
      </c>
      <c r="I3436" s="3" t="s">
        <v>62</v>
      </c>
      <c r="J3436" s="3" t="s">
        <v>62</v>
      </c>
      <c r="K3436" s="3" t="s">
        <v>63</v>
      </c>
      <c r="L3436" s="2" t="s">
        <v>33133</v>
      </c>
      <c r="M3436" s="2" t="s">
        <v>33134</v>
      </c>
      <c r="N3436" s="3" t="s">
        <v>129</v>
      </c>
      <c r="O3436" s="2" t="s">
        <v>19908</v>
      </c>
      <c r="P3436" s="3" t="s">
        <v>64</v>
      </c>
      <c r="R3436" s="3" t="s">
        <v>32962</v>
      </c>
      <c r="S3436" s="4">
        <v>0</v>
      </c>
      <c r="T3436" s="4">
        <v>0</v>
      </c>
      <c r="W3436" s="5" t="s">
        <v>67</v>
      </c>
      <c r="X3436" s="5" t="s">
        <v>67</v>
      </c>
      <c r="Y3436" s="4">
        <v>87</v>
      </c>
      <c r="Z3436" s="4">
        <v>10</v>
      </c>
      <c r="AA3436" s="4">
        <v>70</v>
      </c>
      <c r="AB3436" s="4">
        <v>1</v>
      </c>
      <c r="AC3436" s="4">
        <v>13</v>
      </c>
      <c r="AD3436" s="4">
        <v>20</v>
      </c>
      <c r="AE3436" s="4">
        <v>123</v>
      </c>
      <c r="AF3436" s="4">
        <v>0</v>
      </c>
      <c r="AG3436" s="4">
        <v>6</v>
      </c>
      <c r="AH3436" s="4">
        <v>18</v>
      </c>
      <c r="AI3436" s="4">
        <v>94</v>
      </c>
      <c r="AJ3436" s="4">
        <v>4</v>
      </c>
      <c r="AK3436" s="4">
        <v>24</v>
      </c>
      <c r="AL3436" s="4">
        <v>11</v>
      </c>
      <c r="AM3436" s="4">
        <v>49</v>
      </c>
      <c r="AN3436" s="4">
        <v>0</v>
      </c>
      <c r="AO3436" s="4">
        <v>4</v>
      </c>
      <c r="AP3436" s="4">
        <v>5</v>
      </c>
      <c r="AQ3436" s="4">
        <v>39</v>
      </c>
      <c r="AR3436" s="3" t="s">
        <v>62</v>
      </c>
      <c r="AS3436" s="3" t="s">
        <v>62</v>
      </c>
      <c r="AT3436" s="3" t="s">
        <v>62</v>
      </c>
      <c r="AV3436" s="6" t="str">
        <f>HYPERLINK("http://mcgill.on.worldcat.org/oclc/712124916","Catalog Record")</f>
        <v>Catalog Record</v>
      </c>
      <c r="AW3436" s="6" t="str">
        <f>HYPERLINK("http://www.worldcat.org/oclc/712124916","WorldCat Record")</f>
        <v>WorldCat Record</v>
      </c>
      <c r="AX3436" s="3" t="s">
        <v>33135</v>
      </c>
      <c r="AY3436" s="3" t="s">
        <v>33136</v>
      </c>
      <c r="AZ3436" s="3" t="s">
        <v>33137</v>
      </c>
      <c r="BA3436" s="3" t="s">
        <v>33137</v>
      </c>
      <c r="BB3436" s="3" t="s">
        <v>33138</v>
      </c>
      <c r="BC3436" s="3" t="s">
        <v>102</v>
      </c>
      <c r="BD3436" s="3" t="s">
        <v>68</v>
      </c>
      <c r="BE3436" s="3" t="s">
        <v>33139</v>
      </c>
      <c r="BF3436" s="3" t="s">
        <v>33138</v>
      </c>
      <c r="BG3436" s="3" t="s">
        <v>33140</v>
      </c>
    </row>
    <row r="3437" spans="1:59" ht="58" x14ac:dyDescent="0.35">
      <c r="A3437" s="2" t="s">
        <v>89</v>
      </c>
      <c r="B3437" s="2" t="s">
        <v>18023</v>
      </c>
      <c r="C3437" s="2" t="s">
        <v>33141</v>
      </c>
      <c r="D3437" s="2" t="s">
        <v>33142</v>
      </c>
      <c r="E3437" s="2" t="s">
        <v>33143</v>
      </c>
      <c r="G3437" s="3" t="s">
        <v>62</v>
      </c>
      <c r="I3437" s="3" t="s">
        <v>62</v>
      </c>
      <c r="J3437" s="3" t="s">
        <v>61</v>
      </c>
      <c r="K3437" s="3" t="s">
        <v>63</v>
      </c>
      <c r="L3437" s="2" t="s">
        <v>33144</v>
      </c>
      <c r="M3437" s="2" t="s">
        <v>33145</v>
      </c>
      <c r="N3437" s="3" t="s">
        <v>1455</v>
      </c>
      <c r="O3437" s="2" t="s">
        <v>7791</v>
      </c>
      <c r="P3437" s="3" t="s">
        <v>64</v>
      </c>
      <c r="R3437" s="3" t="s">
        <v>32962</v>
      </c>
      <c r="S3437" s="4">
        <v>14</v>
      </c>
      <c r="T3437" s="4">
        <v>14</v>
      </c>
      <c r="U3437" s="5" t="s">
        <v>1699</v>
      </c>
      <c r="V3437" s="5" t="s">
        <v>1699</v>
      </c>
      <c r="W3437" s="5" t="s">
        <v>67</v>
      </c>
      <c r="X3437" s="5" t="s">
        <v>67</v>
      </c>
      <c r="Y3437" s="4">
        <v>82</v>
      </c>
      <c r="Z3437" s="4">
        <v>6</v>
      </c>
      <c r="AA3437" s="4">
        <v>34</v>
      </c>
      <c r="AB3437" s="4">
        <v>1</v>
      </c>
      <c r="AC3437" s="4">
        <v>9</v>
      </c>
      <c r="AD3437" s="4">
        <v>26</v>
      </c>
      <c r="AE3437" s="4">
        <v>91</v>
      </c>
      <c r="AF3437" s="4">
        <v>0</v>
      </c>
      <c r="AG3437" s="4">
        <v>4</v>
      </c>
      <c r="AH3437" s="4">
        <v>24</v>
      </c>
      <c r="AI3437" s="4">
        <v>74</v>
      </c>
      <c r="AJ3437" s="4">
        <v>2</v>
      </c>
      <c r="AK3437" s="4">
        <v>13</v>
      </c>
      <c r="AL3437" s="4">
        <v>14</v>
      </c>
      <c r="AM3437" s="4">
        <v>46</v>
      </c>
      <c r="AN3437" s="4">
        <v>0</v>
      </c>
      <c r="AO3437" s="4">
        <v>0</v>
      </c>
      <c r="AP3437" s="4">
        <v>4</v>
      </c>
      <c r="AQ3437" s="4">
        <v>20</v>
      </c>
      <c r="AR3437" s="3" t="s">
        <v>62</v>
      </c>
      <c r="AS3437" s="3" t="s">
        <v>62</v>
      </c>
      <c r="AT3437" s="3" t="s">
        <v>62</v>
      </c>
      <c r="AV3437" s="6" t="str">
        <f>HYPERLINK("http://mcgill.on.worldcat.org/oclc/881875780","Catalog Record")</f>
        <v>Catalog Record</v>
      </c>
      <c r="AW3437" s="6" t="str">
        <f>HYPERLINK("http://www.worldcat.org/oclc/881875780","WorldCat Record")</f>
        <v>WorldCat Record</v>
      </c>
      <c r="AX3437" s="3" t="s">
        <v>33146</v>
      </c>
      <c r="AY3437" s="3" t="s">
        <v>33147</v>
      </c>
      <c r="AZ3437" s="3" t="s">
        <v>33148</v>
      </c>
      <c r="BA3437" s="3" t="s">
        <v>33148</v>
      </c>
      <c r="BB3437" s="3" t="s">
        <v>33149</v>
      </c>
      <c r="BC3437" s="3" t="s">
        <v>102</v>
      </c>
      <c r="BD3437" s="3" t="s">
        <v>68</v>
      </c>
      <c r="BE3437" s="3" t="s">
        <v>33150</v>
      </c>
      <c r="BF3437" s="3" t="s">
        <v>33149</v>
      </c>
      <c r="BG3437" s="3" t="s">
        <v>33151</v>
      </c>
    </row>
    <row r="3438" spans="1:59" ht="58" x14ac:dyDescent="0.35">
      <c r="A3438" s="2" t="s">
        <v>89</v>
      </c>
      <c r="B3438" s="2" t="s">
        <v>18023</v>
      </c>
      <c r="C3438" s="2" t="s">
        <v>33152</v>
      </c>
      <c r="D3438" s="2" t="s">
        <v>33153</v>
      </c>
      <c r="E3438" s="2" t="s">
        <v>33154</v>
      </c>
      <c r="G3438" s="3" t="s">
        <v>62</v>
      </c>
      <c r="I3438" s="3" t="s">
        <v>62</v>
      </c>
      <c r="J3438" s="3" t="s">
        <v>61</v>
      </c>
      <c r="K3438" s="3" t="s">
        <v>63</v>
      </c>
      <c r="L3438" s="2" t="s">
        <v>33155</v>
      </c>
      <c r="M3438" s="2" t="s">
        <v>33156</v>
      </c>
      <c r="N3438" s="3" t="s">
        <v>1455</v>
      </c>
      <c r="O3438" s="2" t="s">
        <v>33157</v>
      </c>
      <c r="P3438" s="3" t="s">
        <v>64</v>
      </c>
      <c r="R3438" s="3" t="s">
        <v>32962</v>
      </c>
      <c r="S3438" s="4">
        <v>6</v>
      </c>
      <c r="T3438" s="4">
        <v>6</v>
      </c>
      <c r="U3438" s="5" t="s">
        <v>1469</v>
      </c>
      <c r="V3438" s="5" t="s">
        <v>1469</v>
      </c>
      <c r="W3438" s="5" t="s">
        <v>67</v>
      </c>
      <c r="X3438" s="5" t="s">
        <v>67</v>
      </c>
      <c r="Y3438" s="4">
        <v>12</v>
      </c>
      <c r="Z3438" s="4">
        <v>3</v>
      </c>
      <c r="AA3438" s="4">
        <v>36</v>
      </c>
      <c r="AB3438" s="4">
        <v>1</v>
      </c>
      <c r="AC3438" s="4">
        <v>6</v>
      </c>
      <c r="AD3438" s="4">
        <v>2</v>
      </c>
      <c r="AE3438" s="4">
        <v>87</v>
      </c>
      <c r="AF3438" s="4">
        <v>0</v>
      </c>
      <c r="AG3438" s="4">
        <v>3</v>
      </c>
      <c r="AH3438" s="4">
        <v>2</v>
      </c>
      <c r="AI3438" s="4">
        <v>74</v>
      </c>
      <c r="AJ3438" s="4">
        <v>1</v>
      </c>
      <c r="AK3438" s="4">
        <v>16</v>
      </c>
      <c r="AL3438" s="4">
        <v>1</v>
      </c>
      <c r="AM3438" s="4">
        <v>41</v>
      </c>
      <c r="AN3438" s="4">
        <v>0</v>
      </c>
      <c r="AO3438" s="4">
        <v>1</v>
      </c>
      <c r="AP3438" s="4">
        <v>1</v>
      </c>
      <c r="AQ3438" s="4">
        <v>22</v>
      </c>
      <c r="AR3438" s="3" t="s">
        <v>62</v>
      </c>
      <c r="AS3438" s="3" t="s">
        <v>62</v>
      </c>
      <c r="AT3438" s="3" t="s">
        <v>62</v>
      </c>
      <c r="AV3438" s="6" t="str">
        <f>HYPERLINK("http://mcgill.on.worldcat.org/oclc/904020059","Catalog Record")</f>
        <v>Catalog Record</v>
      </c>
      <c r="AW3438" s="6" t="str">
        <f>HYPERLINK("http://www.worldcat.org/oclc/904020059","WorldCat Record")</f>
        <v>WorldCat Record</v>
      </c>
      <c r="AX3438" s="3" t="s">
        <v>33158</v>
      </c>
      <c r="AY3438" s="3" t="s">
        <v>33159</v>
      </c>
      <c r="AZ3438" s="3" t="s">
        <v>33160</v>
      </c>
      <c r="BA3438" s="3" t="s">
        <v>33160</v>
      </c>
      <c r="BB3438" s="3" t="s">
        <v>33161</v>
      </c>
      <c r="BC3438" s="3" t="s">
        <v>102</v>
      </c>
      <c r="BD3438" s="3" t="s">
        <v>68</v>
      </c>
      <c r="BE3438" s="3" t="s">
        <v>33162</v>
      </c>
      <c r="BF3438" s="3" t="s">
        <v>33161</v>
      </c>
      <c r="BG3438" s="3" t="s">
        <v>33163</v>
      </c>
    </row>
    <row r="3439" spans="1:59" ht="58" x14ac:dyDescent="0.35">
      <c r="A3439" s="2" t="s">
        <v>89</v>
      </c>
      <c r="B3439" s="2" t="s">
        <v>90</v>
      </c>
      <c r="C3439" s="2" t="s">
        <v>33164</v>
      </c>
      <c r="D3439" s="2" t="s">
        <v>33165</v>
      </c>
      <c r="E3439" s="2" t="s">
        <v>33166</v>
      </c>
      <c r="G3439" s="3" t="s">
        <v>62</v>
      </c>
      <c r="I3439" s="3" t="s">
        <v>62</v>
      </c>
      <c r="J3439" s="3" t="s">
        <v>62</v>
      </c>
      <c r="K3439" s="3" t="s">
        <v>63</v>
      </c>
      <c r="L3439" s="2" t="s">
        <v>33167</v>
      </c>
      <c r="M3439" s="2" t="s">
        <v>33168</v>
      </c>
      <c r="N3439" s="3" t="s">
        <v>129</v>
      </c>
      <c r="P3439" s="3" t="s">
        <v>64</v>
      </c>
      <c r="R3439" s="3" t="s">
        <v>32962</v>
      </c>
      <c r="S3439" s="4">
        <v>3</v>
      </c>
      <c r="T3439" s="4">
        <v>3</v>
      </c>
      <c r="U3439" s="5" t="s">
        <v>33169</v>
      </c>
      <c r="V3439" s="5" t="s">
        <v>33169</v>
      </c>
      <c r="W3439" s="5" t="s">
        <v>67</v>
      </c>
      <c r="X3439" s="5" t="s">
        <v>67</v>
      </c>
      <c r="Y3439" s="4">
        <v>310</v>
      </c>
      <c r="Z3439" s="4">
        <v>21</v>
      </c>
      <c r="AA3439" s="4">
        <v>57</v>
      </c>
      <c r="AB3439" s="4">
        <v>1</v>
      </c>
      <c r="AC3439" s="4">
        <v>4</v>
      </c>
      <c r="AD3439" s="4">
        <v>52</v>
      </c>
      <c r="AE3439" s="4">
        <v>71</v>
      </c>
      <c r="AF3439" s="4">
        <v>0</v>
      </c>
      <c r="AG3439" s="4">
        <v>0</v>
      </c>
      <c r="AH3439" s="4">
        <v>46</v>
      </c>
      <c r="AI3439" s="4">
        <v>56</v>
      </c>
      <c r="AJ3439" s="4">
        <v>8</v>
      </c>
      <c r="AK3439" s="4">
        <v>11</v>
      </c>
      <c r="AL3439" s="4">
        <v>32</v>
      </c>
      <c r="AM3439" s="4">
        <v>37</v>
      </c>
      <c r="AN3439" s="4">
        <v>0</v>
      </c>
      <c r="AO3439" s="4">
        <v>0</v>
      </c>
      <c r="AP3439" s="4">
        <v>9</v>
      </c>
      <c r="AQ3439" s="4">
        <v>18</v>
      </c>
      <c r="AR3439" s="3" t="s">
        <v>62</v>
      </c>
      <c r="AS3439" s="3" t="s">
        <v>62</v>
      </c>
      <c r="AT3439" s="3" t="s">
        <v>62</v>
      </c>
      <c r="AV3439" s="6" t="str">
        <f>HYPERLINK("http://mcgill.on.worldcat.org/oclc/794136884","Catalog Record")</f>
        <v>Catalog Record</v>
      </c>
      <c r="AW3439" s="6" t="str">
        <f>HYPERLINK("http://www.worldcat.org/oclc/794136884","WorldCat Record")</f>
        <v>WorldCat Record</v>
      </c>
      <c r="AX3439" s="3" t="s">
        <v>33170</v>
      </c>
      <c r="AY3439" s="3" t="s">
        <v>33171</v>
      </c>
      <c r="AZ3439" s="3" t="s">
        <v>33172</v>
      </c>
      <c r="BA3439" s="3" t="s">
        <v>33172</v>
      </c>
      <c r="BB3439" s="3" t="s">
        <v>33173</v>
      </c>
      <c r="BC3439" s="3" t="s">
        <v>102</v>
      </c>
      <c r="BD3439" s="3" t="s">
        <v>68</v>
      </c>
      <c r="BE3439" s="3" t="s">
        <v>33174</v>
      </c>
      <c r="BF3439" s="3" t="s">
        <v>33173</v>
      </c>
      <c r="BG3439" s="3" t="s">
        <v>33175</v>
      </c>
    </row>
    <row r="3440" spans="1:59" ht="58" x14ac:dyDescent="0.35">
      <c r="A3440" s="2" t="s">
        <v>89</v>
      </c>
      <c r="B3440" s="2" t="s">
        <v>90</v>
      </c>
      <c r="C3440" s="2" t="s">
        <v>33176</v>
      </c>
      <c r="D3440" s="2" t="s">
        <v>33177</v>
      </c>
      <c r="E3440" s="2" t="s">
        <v>33178</v>
      </c>
      <c r="G3440" s="3" t="s">
        <v>62</v>
      </c>
      <c r="I3440" s="3" t="s">
        <v>62</v>
      </c>
      <c r="J3440" s="3" t="s">
        <v>62</v>
      </c>
      <c r="K3440" s="3" t="s">
        <v>63</v>
      </c>
      <c r="M3440" s="2" t="s">
        <v>33179</v>
      </c>
      <c r="N3440" s="3" t="s">
        <v>129</v>
      </c>
      <c r="P3440" s="3" t="s">
        <v>64</v>
      </c>
      <c r="R3440" s="3" t="s">
        <v>32962</v>
      </c>
      <c r="S3440" s="4">
        <v>0</v>
      </c>
      <c r="T3440" s="4">
        <v>0</v>
      </c>
      <c r="W3440" s="5" t="s">
        <v>67</v>
      </c>
      <c r="X3440" s="5" t="s">
        <v>67</v>
      </c>
      <c r="Y3440" s="4">
        <v>48</v>
      </c>
      <c r="Z3440" s="4">
        <v>2</v>
      </c>
      <c r="AA3440" s="4">
        <v>8</v>
      </c>
      <c r="AB3440" s="4">
        <v>1</v>
      </c>
      <c r="AC3440" s="4">
        <v>3</v>
      </c>
      <c r="AD3440" s="4">
        <v>10</v>
      </c>
      <c r="AE3440" s="4">
        <v>20</v>
      </c>
      <c r="AF3440" s="4">
        <v>0</v>
      </c>
      <c r="AG3440" s="4">
        <v>1</v>
      </c>
      <c r="AH3440" s="4">
        <v>9</v>
      </c>
      <c r="AI3440" s="4">
        <v>15</v>
      </c>
      <c r="AJ3440" s="4">
        <v>0</v>
      </c>
      <c r="AK3440" s="4">
        <v>4</v>
      </c>
      <c r="AL3440" s="4">
        <v>9</v>
      </c>
      <c r="AM3440" s="4">
        <v>12</v>
      </c>
      <c r="AN3440" s="4">
        <v>0</v>
      </c>
      <c r="AO3440" s="4">
        <v>0</v>
      </c>
      <c r="AP3440" s="4">
        <v>0</v>
      </c>
      <c r="AQ3440" s="4">
        <v>5</v>
      </c>
      <c r="AR3440" s="3" t="s">
        <v>62</v>
      </c>
      <c r="AS3440" s="3" t="s">
        <v>62</v>
      </c>
      <c r="AT3440" s="3" t="s">
        <v>62</v>
      </c>
      <c r="AV3440" s="6" t="str">
        <f>HYPERLINK("http://mcgill.on.worldcat.org/oclc/852713460","Catalog Record")</f>
        <v>Catalog Record</v>
      </c>
      <c r="AW3440" s="6" t="str">
        <f>HYPERLINK("http://www.worldcat.org/oclc/852713460","WorldCat Record")</f>
        <v>WorldCat Record</v>
      </c>
      <c r="AX3440" s="3" t="s">
        <v>33180</v>
      </c>
      <c r="AY3440" s="3" t="s">
        <v>33181</v>
      </c>
      <c r="AZ3440" s="3" t="s">
        <v>33182</v>
      </c>
      <c r="BA3440" s="3" t="s">
        <v>33182</v>
      </c>
      <c r="BB3440" s="3" t="s">
        <v>33183</v>
      </c>
      <c r="BC3440" s="3" t="s">
        <v>102</v>
      </c>
      <c r="BD3440" s="3" t="s">
        <v>68</v>
      </c>
      <c r="BE3440" s="3" t="s">
        <v>33184</v>
      </c>
      <c r="BF3440" s="3" t="s">
        <v>33183</v>
      </c>
      <c r="BG3440" s="3" t="s">
        <v>33185</v>
      </c>
    </row>
    <row r="3441" spans="1:59" ht="58" x14ac:dyDescent="0.35">
      <c r="A3441" s="2" t="s">
        <v>89</v>
      </c>
      <c r="B3441" s="2" t="s">
        <v>90</v>
      </c>
      <c r="C3441" s="2" t="s">
        <v>33186</v>
      </c>
      <c r="D3441" s="2" t="s">
        <v>33187</v>
      </c>
      <c r="E3441" s="2" t="s">
        <v>33188</v>
      </c>
      <c r="G3441" s="3" t="s">
        <v>62</v>
      </c>
      <c r="I3441" s="3" t="s">
        <v>62</v>
      </c>
      <c r="J3441" s="3" t="s">
        <v>62</v>
      </c>
      <c r="K3441" s="3" t="s">
        <v>63</v>
      </c>
      <c r="L3441" s="2" t="s">
        <v>33189</v>
      </c>
      <c r="M3441" s="2" t="s">
        <v>33190</v>
      </c>
      <c r="N3441" s="3" t="s">
        <v>640</v>
      </c>
      <c r="P3441" s="3" t="s">
        <v>64</v>
      </c>
      <c r="R3441" s="3" t="s">
        <v>32962</v>
      </c>
      <c r="S3441" s="4">
        <v>3</v>
      </c>
      <c r="T3441" s="4">
        <v>3</v>
      </c>
      <c r="U3441" s="5" t="s">
        <v>8024</v>
      </c>
      <c r="V3441" s="5" t="s">
        <v>8024</v>
      </c>
      <c r="W3441" s="5" t="s">
        <v>67</v>
      </c>
      <c r="X3441" s="5" t="s">
        <v>67</v>
      </c>
      <c r="Y3441" s="4">
        <v>267</v>
      </c>
      <c r="Z3441" s="4">
        <v>23</v>
      </c>
      <c r="AA3441" s="4">
        <v>47</v>
      </c>
      <c r="AB3441" s="4">
        <v>2</v>
      </c>
      <c r="AC3441" s="4">
        <v>7</v>
      </c>
      <c r="AD3441" s="4">
        <v>74</v>
      </c>
      <c r="AE3441" s="4">
        <v>107</v>
      </c>
      <c r="AF3441" s="4">
        <v>0</v>
      </c>
      <c r="AG3441" s="4">
        <v>3</v>
      </c>
      <c r="AH3441" s="4">
        <v>69</v>
      </c>
      <c r="AI3441" s="4">
        <v>88</v>
      </c>
      <c r="AJ3441" s="4">
        <v>13</v>
      </c>
      <c r="AK3441" s="4">
        <v>19</v>
      </c>
      <c r="AL3441" s="4">
        <v>35</v>
      </c>
      <c r="AM3441" s="4">
        <v>43</v>
      </c>
      <c r="AN3441" s="4">
        <v>0</v>
      </c>
      <c r="AO3441" s="4">
        <v>0</v>
      </c>
      <c r="AP3441" s="4">
        <v>14</v>
      </c>
      <c r="AQ3441" s="4">
        <v>30</v>
      </c>
      <c r="AR3441" s="3" t="s">
        <v>62</v>
      </c>
      <c r="AS3441" s="3" t="s">
        <v>62</v>
      </c>
      <c r="AT3441" s="3" t="s">
        <v>61</v>
      </c>
      <c r="AU3441" s="6" t="str">
        <f>HYPERLINK("http://catalog.hathitrust.org/Record/004350706","HathiTrust Record")</f>
        <v>HathiTrust Record</v>
      </c>
      <c r="AV3441" s="6" t="str">
        <f>HYPERLINK("http://mcgill.on.worldcat.org/oclc/52784118","Catalog Record")</f>
        <v>Catalog Record</v>
      </c>
      <c r="AW3441" s="6" t="str">
        <f>HYPERLINK("http://www.worldcat.org/oclc/52784118","WorldCat Record")</f>
        <v>WorldCat Record</v>
      </c>
      <c r="AX3441" s="3" t="s">
        <v>33191</v>
      </c>
      <c r="AY3441" s="3" t="s">
        <v>33192</v>
      </c>
      <c r="AZ3441" s="3" t="s">
        <v>33193</v>
      </c>
      <c r="BA3441" s="3" t="s">
        <v>33193</v>
      </c>
      <c r="BB3441" s="3" t="s">
        <v>33194</v>
      </c>
      <c r="BC3441" s="3" t="s">
        <v>102</v>
      </c>
      <c r="BD3441" s="3" t="s">
        <v>68</v>
      </c>
      <c r="BE3441" s="3" t="s">
        <v>33195</v>
      </c>
      <c r="BF3441" s="3" t="s">
        <v>33194</v>
      </c>
      <c r="BG3441" s="3" t="s">
        <v>33196</v>
      </c>
    </row>
    <row r="3442" spans="1:59" ht="101.5" x14ac:dyDescent="0.35">
      <c r="A3442" s="2" t="s">
        <v>89</v>
      </c>
      <c r="B3442" s="2" t="s">
        <v>12301</v>
      </c>
      <c r="C3442" s="2" t="s">
        <v>33197</v>
      </c>
      <c r="D3442" s="2" t="s">
        <v>33198</v>
      </c>
      <c r="E3442" s="2" t="s">
        <v>33199</v>
      </c>
      <c r="G3442" s="3" t="s">
        <v>62</v>
      </c>
      <c r="I3442" s="3" t="s">
        <v>62</v>
      </c>
      <c r="J3442" s="3" t="s">
        <v>61</v>
      </c>
      <c r="K3442" s="3" t="s">
        <v>63</v>
      </c>
      <c r="L3442" s="2" t="s">
        <v>33200</v>
      </c>
      <c r="M3442" s="2" t="s">
        <v>33201</v>
      </c>
      <c r="N3442" s="3" t="s">
        <v>712</v>
      </c>
      <c r="O3442" s="2" t="s">
        <v>19908</v>
      </c>
      <c r="P3442" s="3" t="s">
        <v>64</v>
      </c>
      <c r="R3442" s="3" t="s">
        <v>32962</v>
      </c>
      <c r="S3442" s="4">
        <v>0</v>
      </c>
      <c r="T3442" s="4">
        <v>0</v>
      </c>
      <c r="W3442" s="5" t="s">
        <v>67</v>
      </c>
      <c r="X3442" s="5" t="s">
        <v>67</v>
      </c>
      <c r="Y3442" s="4">
        <v>5</v>
      </c>
      <c r="Z3442" s="4">
        <v>1</v>
      </c>
      <c r="AA3442" s="4">
        <v>61</v>
      </c>
      <c r="AB3442" s="4">
        <v>1</v>
      </c>
      <c r="AC3442" s="4">
        <v>6</v>
      </c>
      <c r="AD3442" s="4">
        <v>1</v>
      </c>
      <c r="AE3442" s="4">
        <v>112</v>
      </c>
      <c r="AF3442" s="4">
        <v>0</v>
      </c>
      <c r="AG3442" s="4">
        <v>3</v>
      </c>
      <c r="AH3442" s="4">
        <v>0</v>
      </c>
      <c r="AI3442" s="4">
        <v>91</v>
      </c>
      <c r="AJ3442" s="4">
        <v>0</v>
      </c>
      <c r="AK3442" s="4">
        <v>18</v>
      </c>
      <c r="AL3442" s="4">
        <v>1</v>
      </c>
      <c r="AM3442" s="4">
        <v>52</v>
      </c>
      <c r="AN3442" s="4">
        <v>0</v>
      </c>
      <c r="AO3442" s="4">
        <v>0</v>
      </c>
      <c r="AP3442" s="4">
        <v>0</v>
      </c>
      <c r="AQ3442" s="4">
        <v>29</v>
      </c>
      <c r="AR3442" s="3" t="s">
        <v>62</v>
      </c>
      <c r="AS3442" s="3" t="s">
        <v>62</v>
      </c>
      <c r="AT3442" s="3" t="s">
        <v>62</v>
      </c>
      <c r="AV3442" s="6" t="str">
        <f>HYPERLINK("http://mcgill.on.worldcat.org/oclc/856014002","Catalog Record")</f>
        <v>Catalog Record</v>
      </c>
      <c r="AW3442" s="6" t="str">
        <f>HYPERLINK("http://www.worldcat.org/oclc/856014002","WorldCat Record")</f>
        <v>WorldCat Record</v>
      </c>
      <c r="AX3442" s="3" t="s">
        <v>33202</v>
      </c>
      <c r="AY3442" s="3" t="s">
        <v>33203</v>
      </c>
      <c r="AZ3442" s="3" t="s">
        <v>33204</v>
      </c>
      <c r="BA3442" s="3" t="s">
        <v>33204</v>
      </c>
      <c r="BB3442" s="3" t="s">
        <v>33205</v>
      </c>
      <c r="BC3442" s="3" t="s">
        <v>102</v>
      </c>
      <c r="BD3442" s="3" t="s">
        <v>68</v>
      </c>
      <c r="BE3442" s="3" t="s">
        <v>33206</v>
      </c>
      <c r="BF3442" s="3" t="s">
        <v>33205</v>
      </c>
      <c r="BG3442" s="3" t="s">
        <v>33207</v>
      </c>
    </row>
    <row r="3443" spans="1:59" ht="101.5" x14ac:dyDescent="0.35">
      <c r="A3443" s="2" t="s">
        <v>89</v>
      </c>
      <c r="B3443" s="2" t="s">
        <v>12301</v>
      </c>
      <c r="C3443" s="2" t="s">
        <v>33208</v>
      </c>
      <c r="D3443" s="2" t="s">
        <v>33209</v>
      </c>
      <c r="E3443" s="2" t="s">
        <v>33210</v>
      </c>
      <c r="G3443" s="3" t="s">
        <v>62</v>
      </c>
      <c r="I3443" s="3" t="s">
        <v>61</v>
      </c>
      <c r="J3443" s="3" t="s">
        <v>61</v>
      </c>
      <c r="K3443" s="3" t="s">
        <v>63</v>
      </c>
      <c r="L3443" s="2" t="s">
        <v>33211</v>
      </c>
      <c r="M3443" s="2" t="s">
        <v>33212</v>
      </c>
      <c r="N3443" s="3" t="s">
        <v>129</v>
      </c>
      <c r="O3443" s="2" t="s">
        <v>33213</v>
      </c>
      <c r="P3443" s="3" t="s">
        <v>64</v>
      </c>
      <c r="R3443" s="3" t="s">
        <v>32962</v>
      </c>
      <c r="S3443" s="4">
        <v>26</v>
      </c>
      <c r="T3443" s="4">
        <v>65</v>
      </c>
      <c r="U3443" s="5" t="s">
        <v>15935</v>
      </c>
      <c r="V3443" s="5" t="s">
        <v>15935</v>
      </c>
      <c r="W3443" s="5" t="s">
        <v>67</v>
      </c>
      <c r="X3443" s="5" t="s">
        <v>67</v>
      </c>
      <c r="Y3443" s="4">
        <v>42</v>
      </c>
      <c r="Z3443" s="4">
        <v>2</v>
      </c>
      <c r="AA3443" s="4">
        <v>38</v>
      </c>
      <c r="AB3443" s="4">
        <v>1</v>
      </c>
      <c r="AC3443" s="4">
        <v>7</v>
      </c>
      <c r="AD3443" s="4">
        <v>10</v>
      </c>
      <c r="AE3443" s="4">
        <v>75</v>
      </c>
      <c r="AF3443" s="4">
        <v>0</v>
      </c>
      <c r="AG3443" s="4">
        <v>3</v>
      </c>
      <c r="AH3443" s="4">
        <v>10</v>
      </c>
      <c r="AI3443" s="4">
        <v>65</v>
      </c>
      <c r="AJ3443" s="4">
        <v>1</v>
      </c>
      <c r="AK3443" s="4">
        <v>13</v>
      </c>
      <c r="AL3443" s="4">
        <v>7</v>
      </c>
      <c r="AM3443" s="4">
        <v>34</v>
      </c>
      <c r="AN3443" s="4">
        <v>0</v>
      </c>
      <c r="AO3443" s="4">
        <v>0</v>
      </c>
      <c r="AP3443" s="4">
        <v>1</v>
      </c>
      <c r="AQ3443" s="4">
        <v>18</v>
      </c>
      <c r="AR3443" s="3" t="s">
        <v>62</v>
      </c>
      <c r="AS3443" s="3" t="s">
        <v>62</v>
      </c>
      <c r="AT3443" s="3" t="s">
        <v>62</v>
      </c>
      <c r="AV3443" s="6" t="str">
        <f>HYPERLINK("http://mcgill.on.worldcat.org/oclc/800032829","Catalog Record")</f>
        <v>Catalog Record</v>
      </c>
      <c r="AW3443" s="6" t="str">
        <f>HYPERLINK("http://www.worldcat.org/oclc/800032829","WorldCat Record")</f>
        <v>WorldCat Record</v>
      </c>
      <c r="AX3443" s="3" t="s">
        <v>33214</v>
      </c>
      <c r="AY3443" s="3" t="s">
        <v>33215</v>
      </c>
      <c r="AZ3443" s="3" t="s">
        <v>33216</v>
      </c>
      <c r="BA3443" s="3" t="s">
        <v>33216</v>
      </c>
      <c r="BB3443" s="3" t="s">
        <v>33217</v>
      </c>
      <c r="BC3443" s="3" t="s">
        <v>102</v>
      </c>
      <c r="BD3443" s="3" t="s">
        <v>68</v>
      </c>
      <c r="BE3443" s="3" t="s">
        <v>33218</v>
      </c>
      <c r="BF3443" s="3" t="s">
        <v>33217</v>
      </c>
      <c r="BG3443" s="3" t="s">
        <v>33219</v>
      </c>
    </row>
    <row r="3444" spans="1:59" ht="58" x14ac:dyDescent="0.35">
      <c r="A3444" s="2" t="s">
        <v>89</v>
      </c>
      <c r="B3444" s="2" t="s">
        <v>18023</v>
      </c>
      <c r="C3444" s="2" t="s">
        <v>33220</v>
      </c>
      <c r="D3444" s="2" t="s">
        <v>33221</v>
      </c>
      <c r="E3444" s="2" t="s">
        <v>33222</v>
      </c>
      <c r="G3444" s="3" t="s">
        <v>62</v>
      </c>
      <c r="I3444" s="3" t="s">
        <v>62</v>
      </c>
      <c r="J3444" s="3" t="s">
        <v>61</v>
      </c>
      <c r="K3444" s="3" t="s">
        <v>63</v>
      </c>
      <c r="L3444" s="2" t="s">
        <v>33223</v>
      </c>
      <c r="M3444" s="2" t="s">
        <v>33224</v>
      </c>
      <c r="N3444" s="3" t="s">
        <v>596</v>
      </c>
      <c r="O3444" s="2" t="s">
        <v>2458</v>
      </c>
      <c r="P3444" s="3" t="s">
        <v>64</v>
      </c>
      <c r="R3444" s="3" t="s">
        <v>32962</v>
      </c>
      <c r="S3444" s="4">
        <v>8</v>
      </c>
      <c r="T3444" s="4">
        <v>8</v>
      </c>
      <c r="U3444" s="5" t="s">
        <v>22112</v>
      </c>
      <c r="V3444" s="5" t="s">
        <v>22112</v>
      </c>
      <c r="W3444" s="5" t="s">
        <v>67</v>
      </c>
      <c r="X3444" s="5" t="s">
        <v>67</v>
      </c>
      <c r="Y3444" s="4">
        <v>339</v>
      </c>
      <c r="Z3444" s="4">
        <v>24</v>
      </c>
      <c r="AA3444" s="4">
        <v>62</v>
      </c>
      <c r="AB3444" s="4">
        <v>1</v>
      </c>
      <c r="AC3444" s="4">
        <v>13</v>
      </c>
      <c r="AD3444" s="4">
        <v>92</v>
      </c>
      <c r="AE3444" s="4">
        <v>141</v>
      </c>
      <c r="AF3444" s="4">
        <v>0</v>
      </c>
      <c r="AG3444" s="4">
        <v>7</v>
      </c>
      <c r="AH3444" s="4">
        <v>83</v>
      </c>
      <c r="AI3444" s="4">
        <v>114</v>
      </c>
      <c r="AJ3444" s="4">
        <v>15</v>
      </c>
      <c r="AK3444" s="4">
        <v>27</v>
      </c>
      <c r="AL3444" s="4">
        <v>42</v>
      </c>
      <c r="AM3444" s="4">
        <v>60</v>
      </c>
      <c r="AN3444" s="4">
        <v>0</v>
      </c>
      <c r="AO3444" s="4">
        <v>0</v>
      </c>
      <c r="AP3444" s="4">
        <v>19</v>
      </c>
      <c r="AQ3444" s="4">
        <v>35</v>
      </c>
      <c r="AR3444" s="3" t="s">
        <v>62</v>
      </c>
      <c r="AS3444" s="3" t="s">
        <v>62</v>
      </c>
      <c r="AT3444" s="3" t="s">
        <v>62</v>
      </c>
      <c r="AV3444" s="6" t="str">
        <f>HYPERLINK("http://mcgill.on.worldcat.org/oclc/50101008","Catalog Record")</f>
        <v>Catalog Record</v>
      </c>
      <c r="AW3444" s="6" t="str">
        <f>HYPERLINK("http://www.worldcat.org/oclc/50101008","WorldCat Record")</f>
        <v>WorldCat Record</v>
      </c>
      <c r="AX3444" s="3" t="s">
        <v>33225</v>
      </c>
      <c r="AY3444" s="3" t="s">
        <v>33226</v>
      </c>
      <c r="AZ3444" s="3" t="s">
        <v>33227</v>
      </c>
      <c r="BA3444" s="3" t="s">
        <v>33227</v>
      </c>
      <c r="BB3444" s="3" t="s">
        <v>33228</v>
      </c>
      <c r="BC3444" s="3" t="s">
        <v>102</v>
      </c>
      <c r="BD3444" s="3" t="s">
        <v>68</v>
      </c>
      <c r="BE3444" s="3" t="s">
        <v>33229</v>
      </c>
      <c r="BF3444" s="3" t="s">
        <v>33228</v>
      </c>
      <c r="BG3444" s="3" t="s">
        <v>33230</v>
      </c>
    </row>
    <row r="3445" spans="1:59" ht="58" x14ac:dyDescent="0.35">
      <c r="A3445" s="2" t="s">
        <v>89</v>
      </c>
      <c r="B3445" s="2" t="s">
        <v>90</v>
      </c>
      <c r="C3445" s="2" t="s">
        <v>33231</v>
      </c>
      <c r="D3445" s="2" t="s">
        <v>33232</v>
      </c>
      <c r="E3445" s="2" t="s">
        <v>33233</v>
      </c>
      <c r="G3445" s="3" t="s">
        <v>62</v>
      </c>
      <c r="I3445" s="3" t="s">
        <v>61</v>
      </c>
      <c r="J3445" s="3" t="s">
        <v>62</v>
      </c>
      <c r="K3445" s="3" t="s">
        <v>63</v>
      </c>
      <c r="L3445" s="2" t="s">
        <v>33234</v>
      </c>
      <c r="M3445" s="2" t="s">
        <v>33235</v>
      </c>
      <c r="N3445" s="3" t="s">
        <v>954</v>
      </c>
      <c r="P3445" s="3" t="s">
        <v>64</v>
      </c>
      <c r="R3445" s="3" t="s">
        <v>32962</v>
      </c>
      <c r="S3445" s="4">
        <v>12</v>
      </c>
      <c r="T3445" s="4">
        <v>12</v>
      </c>
      <c r="U3445" s="5" t="s">
        <v>33236</v>
      </c>
      <c r="V3445" s="5" t="s">
        <v>33236</v>
      </c>
      <c r="W3445" s="5" t="s">
        <v>67</v>
      </c>
      <c r="X3445" s="5" t="s">
        <v>67</v>
      </c>
      <c r="Y3445" s="4">
        <v>710</v>
      </c>
      <c r="Z3445" s="4">
        <v>49</v>
      </c>
      <c r="AA3445" s="4">
        <v>54</v>
      </c>
      <c r="AB3445" s="4">
        <v>3</v>
      </c>
      <c r="AC3445" s="4">
        <v>7</v>
      </c>
      <c r="AD3445" s="4">
        <v>135</v>
      </c>
      <c r="AE3445" s="4">
        <v>139</v>
      </c>
      <c r="AF3445" s="4">
        <v>2</v>
      </c>
      <c r="AG3445" s="4">
        <v>5</v>
      </c>
      <c r="AH3445" s="4">
        <v>109</v>
      </c>
      <c r="AI3445" s="4">
        <v>110</v>
      </c>
      <c r="AJ3445" s="4">
        <v>23</v>
      </c>
      <c r="AK3445" s="4">
        <v>26</v>
      </c>
      <c r="AL3445" s="4">
        <v>61</v>
      </c>
      <c r="AM3445" s="4">
        <v>61</v>
      </c>
      <c r="AN3445" s="4">
        <v>0</v>
      </c>
      <c r="AO3445" s="4">
        <v>0</v>
      </c>
      <c r="AP3445" s="4">
        <v>32</v>
      </c>
      <c r="AQ3445" s="4">
        <v>35</v>
      </c>
      <c r="AR3445" s="3" t="s">
        <v>62</v>
      </c>
      <c r="AS3445" s="3" t="s">
        <v>62</v>
      </c>
      <c r="AT3445" s="3" t="s">
        <v>62</v>
      </c>
      <c r="AV3445" s="6" t="str">
        <f>HYPERLINK("http://mcgill.on.worldcat.org/oclc/545237","Catalog Record")</f>
        <v>Catalog Record</v>
      </c>
      <c r="AW3445" s="6" t="str">
        <f>HYPERLINK("http://www.worldcat.org/oclc/545237","WorldCat Record")</f>
        <v>WorldCat Record</v>
      </c>
      <c r="AX3445" s="3" t="s">
        <v>33237</v>
      </c>
      <c r="AY3445" s="3" t="s">
        <v>33238</v>
      </c>
      <c r="AZ3445" s="3" t="s">
        <v>33239</v>
      </c>
      <c r="BA3445" s="3" t="s">
        <v>33239</v>
      </c>
      <c r="BB3445" s="3" t="s">
        <v>33240</v>
      </c>
      <c r="BC3445" s="3" t="s">
        <v>102</v>
      </c>
      <c r="BD3445" s="3" t="s">
        <v>68</v>
      </c>
      <c r="BE3445" s="3" t="s">
        <v>33241</v>
      </c>
      <c r="BF3445" s="3" t="s">
        <v>33240</v>
      </c>
      <c r="BG3445" s="3" t="s">
        <v>33242</v>
      </c>
    </row>
    <row r="3446" spans="1:59" ht="58" x14ac:dyDescent="0.35">
      <c r="A3446" s="2" t="s">
        <v>59</v>
      </c>
      <c r="B3446" s="2" t="s">
        <v>60</v>
      </c>
      <c r="C3446" s="2" t="s">
        <v>33231</v>
      </c>
      <c r="D3446" s="2" t="s">
        <v>33232</v>
      </c>
      <c r="E3446" s="2" t="s">
        <v>33233</v>
      </c>
      <c r="G3446" s="3" t="s">
        <v>62</v>
      </c>
      <c r="I3446" s="3" t="s">
        <v>61</v>
      </c>
      <c r="J3446" s="3" t="s">
        <v>62</v>
      </c>
      <c r="K3446" s="3" t="s">
        <v>63</v>
      </c>
      <c r="L3446" s="2" t="s">
        <v>33234</v>
      </c>
      <c r="M3446" s="2" t="s">
        <v>33235</v>
      </c>
      <c r="N3446" s="3" t="s">
        <v>954</v>
      </c>
      <c r="P3446" s="3" t="s">
        <v>64</v>
      </c>
      <c r="R3446" s="3" t="s">
        <v>32962</v>
      </c>
      <c r="S3446" s="4">
        <v>0</v>
      </c>
      <c r="T3446" s="4">
        <v>12</v>
      </c>
      <c r="V3446" s="5" t="s">
        <v>33236</v>
      </c>
      <c r="W3446" s="5" t="s">
        <v>67</v>
      </c>
      <c r="X3446" s="5" t="s">
        <v>67</v>
      </c>
      <c r="Y3446" s="4">
        <v>710</v>
      </c>
      <c r="Z3446" s="4">
        <v>49</v>
      </c>
      <c r="AA3446" s="4">
        <v>54</v>
      </c>
      <c r="AB3446" s="4">
        <v>3</v>
      </c>
      <c r="AC3446" s="4">
        <v>7</v>
      </c>
      <c r="AD3446" s="4">
        <v>135</v>
      </c>
      <c r="AE3446" s="4">
        <v>139</v>
      </c>
      <c r="AF3446" s="4">
        <v>2</v>
      </c>
      <c r="AG3446" s="4">
        <v>5</v>
      </c>
      <c r="AH3446" s="4">
        <v>109</v>
      </c>
      <c r="AI3446" s="4">
        <v>110</v>
      </c>
      <c r="AJ3446" s="4">
        <v>23</v>
      </c>
      <c r="AK3446" s="4">
        <v>26</v>
      </c>
      <c r="AL3446" s="4">
        <v>61</v>
      </c>
      <c r="AM3446" s="4">
        <v>61</v>
      </c>
      <c r="AN3446" s="4">
        <v>0</v>
      </c>
      <c r="AO3446" s="4">
        <v>0</v>
      </c>
      <c r="AP3446" s="4">
        <v>32</v>
      </c>
      <c r="AQ3446" s="4">
        <v>35</v>
      </c>
      <c r="AR3446" s="3" t="s">
        <v>62</v>
      </c>
      <c r="AS3446" s="3" t="s">
        <v>62</v>
      </c>
      <c r="AT3446" s="3" t="s">
        <v>62</v>
      </c>
      <c r="AV3446" s="6" t="str">
        <f>HYPERLINK("http://mcgill.on.worldcat.org/oclc/545237","Catalog Record")</f>
        <v>Catalog Record</v>
      </c>
      <c r="AW3446" s="6" t="str">
        <f>HYPERLINK("http://www.worldcat.org/oclc/545237","WorldCat Record")</f>
        <v>WorldCat Record</v>
      </c>
      <c r="AX3446" s="3" t="s">
        <v>33237</v>
      </c>
      <c r="AY3446" s="3" t="s">
        <v>33238</v>
      </c>
      <c r="AZ3446" s="3" t="s">
        <v>33239</v>
      </c>
      <c r="BA3446" s="3" t="s">
        <v>33239</v>
      </c>
      <c r="BB3446" s="3" t="s">
        <v>33243</v>
      </c>
      <c r="BC3446" s="3" t="s">
        <v>102</v>
      </c>
      <c r="BD3446" s="3" t="s">
        <v>68</v>
      </c>
      <c r="BE3446" s="3" t="s">
        <v>33241</v>
      </c>
      <c r="BF3446" s="3" t="s">
        <v>33243</v>
      </c>
      <c r="BG3446" s="3" t="s">
        <v>33244</v>
      </c>
    </row>
    <row r="3447" spans="1:59" ht="72.5" x14ac:dyDescent="0.35">
      <c r="A3447" s="2" t="s">
        <v>89</v>
      </c>
      <c r="B3447" s="2" t="s">
        <v>90</v>
      </c>
      <c r="C3447" s="2" t="s">
        <v>33245</v>
      </c>
      <c r="D3447" s="2" t="s">
        <v>33246</v>
      </c>
      <c r="E3447" s="2" t="s">
        <v>33247</v>
      </c>
      <c r="F3447" s="3" t="s">
        <v>33248</v>
      </c>
      <c r="G3447" s="3" t="s">
        <v>62</v>
      </c>
      <c r="I3447" s="3" t="s">
        <v>62</v>
      </c>
      <c r="J3447" s="3" t="s">
        <v>62</v>
      </c>
      <c r="K3447" s="3" t="s">
        <v>63</v>
      </c>
      <c r="L3447" s="2" t="s">
        <v>33249</v>
      </c>
      <c r="M3447" s="2" t="s">
        <v>33250</v>
      </c>
      <c r="N3447" s="3" t="s">
        <v>25335</v>
      </c>
      <c r="P3447" s="3" t="s">
        <v>64</v>
      </c>
      <c r="Q3447" s="2" t="s">
        <v>33251</v>
      </c>
      <c r="R3447" s="3" t="s">
        <v>32962</v>
      </c>
      <c r="S3447" s="4">
        <v>1</v>
      </c>
      <c r="T3447" s="4">
        <v>1</v>
      </c>
      <c r="U3447" s="5" t="s">
        <v>33236</v>
      </c>
      <c r="V3447" s="5" t="s">
        <v>33236</v>
      </c>
      <c r="W3447" s="5" t="s">
        <v>67</v>
      </c>
      <c r="X3447" s="5" t="s">
        <v>67</v>
      </c>
      <c r="Y3447" s="4">
        <v>142</v>
      </c>
      <c r="Z3447" s="4">
        <v>5</v>
      </c>
      <c r="AA3447" s="4">
        <v>9</v>
      </c>
      <c r="AB3447" s="4">
        <v>1</v>
      </c>
      <c r="AC3447" s="4">
        <v>2</v>
      </c>
      <c r="AD3447" s="4">
        <v>36</v>
      </c>
      <c r="AE3447" s="4">
        <v>77</v>
      </c>
      <c r="AF3447" s="4">
        <v>0</v>
      </c>
      <c r="AG3447" s="4">
        <v>0</v>
      </c>
      <c r="AH3447" s="4">
        <v>32</v>
      </c>
      <c r="AI3447" s="4">
        <v>73</v>
      </c>
      <c r="AJ3447" s="4">
        <v>2</v>
      </c>
      <c r="AK3447" s="4">
        <v>4</v>
      </c>
      <c r="AL3447" s="4">
        <v>20</v>
      </c>
      <c r="AM3447" s="4">
        <v>42</v>
      </c>
      <c r="AN3447" s="4">
        <v>0</v>
      </c>
      <c r="AO3447" s="4">
        <v>0</v>
      </c>
      <c r="AP3447" s="4">
        <v>4</v>
      </c>
      <c r="AQ3447" s="4">
        <v>7</v>
      </c>
      <c r="AR3447" s="3" t="s">
        <v>62</v>
      </c>
      <c r="AS3447" s="3" t="s">
        <v>61</v>
      </c>
      <c r="AT3447" s="3" t="s">
        <v>62</v>
      </c>
      <c r="AU3447" s="6" t="str">
        <f>HYPERLINK("http://catalog.hathitrust.org/Record/001521552","HathiTrust Record")</f>
        <v>HathiTrust Record</v>
      </c>
      <c r="AV3447" s="6" t="str">
        <f>HYPERLINK("http://mcgill.on.worldcat.org/oclc/5314281","Catalog Record")</f>
        <v>Catalog Record</v>
      </c>
      <c r="AW3447" s="6" t="str">
        <f>HYPERLINK("http://www.worldcat.org/oclc/5314281","WorldCat Record")</f>
        <v>WorldCat Record</v>
      </c>
      <c r="AX3447" s="3" t="s">
        <v>33252</v>
      </c>
      <c r="AY3447" s="3" t="s">
        <v>33253</v>
      </c>
      <c r="AZ3447" s="3" t="s">
        <v>33254</v>
      </c>
      <c r="BA3447" s="3" t="s">
        <v>33254</v>
      </c>
      <c r="BB3447" s="3" t="s">
        <v>33255</v>
      </c>
      <c r="BC3447" s="3" t="s">
        <v>102</v>
      </c>
      <c r="BD3447" s="3" t="s">
        <v>68</v>
      </c>
      <c r="BF3447" s="3" t="s">
        <v>33255</v>
      </c>
      <c r="BG3447" s="3" t="s">
        <v>33256</v>
      </c>
    </row>
    <row r="3448" spans="1:59" ht="58" x14ac:dyDescent="0.35">
      <c r="A3448" s="2" t="s">
        <v>89</v>
      </c>
      <c r="B3448" s="2" t="s">
        <v>90</v>
      </c>
      <c r="C3448" s="2" t="s">
        <v>33257</v>
      </c>
      <c r="D3448" s="2" t="s">
        <v>33258</v>
      </c>
      <c r="E3448" s="2" t="s">
        <v>33259</v>
      </c>
      <c r="G3448" s="3" t="s">
        <v>62</v>
      </c>
      <c r="I3448" s="3" t="s">
        <v>62</v>
      </c>
      <c r="J3448" s="3" t="s">
        <v>62</v>
      </c>
      <c r="K3448" s="3" t="s">
        <v>63</v>
      </c>
      <c r="L3448" s="2" t="s">
        <v>33260</v>
      </c>
      <c r="M3448" s="2" t="s">
        <v>33261</v>
      </c>
      <c r="N3448" s="3" t="s">
        <v>1077</v>
      </c>
      <c r="O3448" s="2" t="s">
        <v>1941</v>
      </c>
      <c r="P3448" s="3" t="s">
        <v>64</v>
      </c>
      <c r="R3448" s="3" t="s">
        <v>32962</v>
      </c>
      <c r="S3448" s="4">
        <v>7</v>
      </c>
      <c r="T3448" s="4">
        <v>7</v>
      </c>
      <c r="U3448" s="5" t="s">
        <v>5915</v>
      </c>
      <c r="V3448" s="5" t="s">
        <v>5915</v>
      </c>
      <c r="W3448" s="5" t="s">
        <v>67</v>
      </c>
      <c r="X3448" s="5" t="s">
        <v>67</v>
      </c>
      <c r="Y3448" s="4">
        <v>1377</v>
      </c>
      <c r="Z3448" s="4">
        <v>15</v>
      </c>
      <c r="AA3448" s="4">
        <v>24</v>
      </c>
      <c r="AB3448" s="4">
        <v>1</v>
      </c>
      <c r="AC3448" s="4">
        <v>1</v>
      </c>
      <c r="AD3448" s="4">
        <v>103</v>
      </c>
      <c r="AE3448" s="4">
        <v>107</v>
      </c>
      <c r="AF3448" s="4">
        <v>0</v>
      </c>
      <c r="AG3448" s="4">
        <v>0</v>
      </c>
      <c r="AH3448" s="4">
        <v>96</v>
      </c>
      <c r="AI3448" s="4">
        <v>97</v>
      </c>
      <c r="AJ3448" s="4">
        <v>8</v>
      </c>
      <c r="AK3448" s="4">
        <v>10</v>
      </c>
      <c r="AL3448" s="4">
        <v>57</v>
      </c>
      <c r="AM3448" s="4">
        <v>58</v>
      </c>
      <c r="AN3448" s="4">
        <v>0</v>
      </c>
      <c r="AO3448" s="4">
        <v>0</v>
      </c>
      <c r="AP3448" s="4">
        <v>10</v>
      </c>
      <c r="AQ3448" s="4">
        <v>12</v>
      </c>
      <c r="AR3448" s="3" t="s">
        <v>62</v>
      </c>
      <c r="AS3448" s="3" t="s">
        <v>62</v>
      </c>
      <c r="AT3448" s="3" t="s">
        <v>62</v>
      </c>
      <c r="AV3448" s="6" t="str">
        <f>HYPERLINK("http://mcgill.on.worldcat.org/oclc/26809557","Catalog Record")</f>
        <v>Catalog Record</v>
      </c>
      <c r="AW3448" s="6" t="str">
        <f>HYPERLINK("http://www.worldcat.org/oclc/26809557","WorldCat Record")</f>
        <v>WorldCat Record</v>
      </c>
      <c r="AX3448" s="3" t="s">
        <v>33262</v>
      </c>
      <c r="AY3448" s="3" t="s">
        <v>33263</v>
      </c>
      <c r="AZ3448" s="3" t="s">
        <v>33264</v>
      </c>
      <c r="BA3448" s="3" t="s">
        <v>33264</v>
      </c>
      <c r="BB3448" s="3" t="s">
        <v>33265</v>
      </c>
      <c r="BC3448" s="3" t="s">
        <v>102</v>
      </c>
      <c r="BD3448" s="3" t="s">
        <v>68</v>
      </c>
      <c r="BE3448" s="3" t="s">
        <v>33266</v>
      </c>
      <c r="BF3448" s="3" t="s">
        <v>33265</v>
      </c>
      <c r="BG3448" s="3" t="s">
        <v>33267</v>
      </c>
    </row>
    <row r="3449" spans="1:59" ht="72.5" x14ac:dyDescent="0.35">
      <c r="A3449" s="2" t="s">
        <v>59</v>
      </c>
      <c r="B3449" s="2" t="s">
        <v>60</v>
      </c>
      <c r="C3449" s="2" t="s">
        <v>33268</v>
      </c>
      <c r="D3449" s="2" t="s">
        <v>33269</v>
      </c>
      <c r="E3449" s="2" t="s">
        <v>33270</v>
      </c>
      <c r="F3449" s="3" t="s">
        <v>33271</v>
      </c>
      <c r="G3449" s="3" t="s">
        <v>62</v>
      </c>
      <c r="I3449" s="3" t="s">
        <v>62</v>
      </c>
      <c r="J3449" s="3" t="s">
        <v>61</v>
      </c>
      <c r="K3449" s="3" t="s">
        <v>916</v>
      </c>
      <c r="L3449" s="2" t="s">
        <v>33272</v>
      </c>
      <c r="M3449" s="2" t="s">
        <v>33273</v>
      </c>
      <c r="N3449" s="3" t="s">
        <v>83</v>
      </c>
      <c r="P3449" s="3" t="s">
        <v>64</v>
      </c>
      <c r="Q3449" s="2" t="s">
        <v>33274</v>
      </c>
      <c r="R3449" s="3" t="s">
        <v>32962</v>
      </c>
      <c r="S3449" s="4">
        <v>2</v>
      </c>
      <c r="T3449" s="4">
        <v>2</v>
      </c>
      <c r="U3449" s="5" t="s">
        <v>5821</v>
      </c>
      <c r="V3449" s="5" t="s">
        <v>5821</v>
      </c>
      <c r="W3449" s="5" t="s">
        <v>67</v>
      </c>
      <c r="X3449" s="5" t="s">
        <v>67</v>
      </c>
      <c r="Y3449" s="4">
        <v>97</v>
      </c>
      <c r="Z3449" s="4">
        <v>21</v>
      </c>
      <c r="AA3449" s="4">
        <v>47</v>
      </c>
      <c r="AB3449" s="4">
        <v>2</v>
      </c>
      <c r="AC3449" s="4">
        <v>12</v>
      </c>
      <c r="AD3449" s="4">
        <v>52</v>
      </c>
      <c r="AE3449" s="4">
        <v>68</v>
      </c>
      <c r="AF3449" s="4">
        <v>0</v>
      </c>
      <c r="AG3449" s="4">
        <v>6</v>
      </c>
      <c r="AH3449" s="4">
        <v>42</v>
      </c>
      <c r="AI3449" s="4">
        <v>47</v>
      </c>
      <c r="AJ3449" s="4">
        <v>14</v>
      </c>
      <c r="AK3449" s="4">
        <v>23</v>
      </c>
      <c r="AL3449" s="4">
        <v>26</v>
      </c>
      <c r="AM3449" s="4">
        <v>27</v>
      </c>
      <c r="AN3449" s="4">
        <v>0</v>
      </c>
      <c r="AO3449" s="4">
        <v>0</v>
      </c>
      <c r="AP3449" s="4">
        <v>16</v>
      </c>
      <c r="AQ3449" s="4">
        <v>30</v>
      </c>
      <c r="AR3449" s="3" t="s">
        <v>61</v>
      </c>
      <c r="AS3449" s="3" t="s">
        <v>61</v>
      </c>
      <c r="AT3449" s="3" t="s">
        <v>62</v>
      </c>
      <c r="AU3449" s="6" t="str">
        <f>HYPERLINK("http://catalog.hathitrust.org/Record/001671199","HathiTrust Record")</f>
        <v>HathiTrust Record</v>
      </c>
      <c r="AV3449" s="6" t="str">
        <f>HYPERLINK("http://mcgill.on.worldcat.org/oclc/506994","Catalog Record")</f>
        <v>Catalog Record</v>
      </c>
      <c r="AW3449" s="6" t="str">
        <f>HYPERLINK("http://www.worldcat.org/oclc/506994","WorldCat Record")</f>
        <v>WorldCat Record</v>
      </c>
      <c r="AX3449" s="3" t="s">
        <v>33275</v>
      </c>
      <c r="AY3449" s="3" t="s">
        <v>33276</v>
      </c>
      <c r="AZ3449" s="3" t="s">
        <v>33277</v>
      </c>
      <c r="BA3449" s="3" t="s">
        <v>33277</v>
      </c>
      <c r="BB3449" s="3" t="s">
        <v>33278</v>
      </c>
      <c r="BC3449" s="3" t="s">
        <v>102</v>
      </c>
      <c r="BD3449" s="3" t="s">
        <v>68</v>
      </c>
      <c r="BF3449" s="3" t="s">
        <v>33278</v>
      </c>
      <c r="BG3449" s="3" t="s">
        <v>33279</v>
      </c>
    </row>
    <row r="3450" spans="1:59" ht="72.5" x14ac:dyDescent="0.35">
      <c r="A3450" s="2" t="s">
        <v>89</v>
      </c>
      <c r="B3450" s="2" t="s">
        <v>90</v>
      </c>
      <c r="C3450" s="2" t="s">
        <v>33280</v>
      </c>
      <c r="D3450" s="2" t="s">
        <v>33281</v>
      </c>
      <c r="E3450" s="2" t="s">
        <v>33282</v>
      </c>
      <c r="F3450" s="3" t="s">
        <v>33283</v>
      </c>
      <c r="G3450" s="3" t="s">
        <v>62</v>
      </c>
      <c r="I3450" s="3" t="s">
        <v>62</v>
      </c>
      <c r="J3450" s="3" t="s">
        <v>61</v>
      </c>
      <c r="K3450" s="3" t="s">
        <v>63</v>
      </c>
      <c r="L3450" s="2" t="s">
        <v>33284</v>
      </c>
      <c r="M3450" s="2" t="s">
        <v>33273</v>
      </c>
      <c r="N3450" s="3" t="s">
        <v>83</v>
      </c>
      <c r="P3450" s="3" t="s">
        <v>64</v>
      </c>
      <c r="Q3450" s="2" t="s">
        <v>33285</v>
      </c>
      <c r="R3450" s="3" t="s">
        <v>32962</v>
      </c>
      <c r="S3450" s="4">
        <v>14</v>
      </c>
      <c r="T3450" s="4">
        <v>14</v>
      </c>
      <c r="U3450" s="5" t="s">
        <v>33286</v>
      </c>
      <c r="V3450" s="5" t="s">
        <v>33286</v>
      </c>
      <c r="W3450" s="5" t="s">
        <v>67</v>
      </c>
      <c r="X3450" s="5" t="s">
        <v>67</v>
      </c>
      <c r="Y3450" s="4">
        <v>193</v>
      </c>
      <c r="Z3450" s="4">
        <v>39</v>
      </c>
      <c r="AA3450" s="4">
        <v>70</v>
      </c>
      <c r="AB3450" s="4">
        <v>3</v>
      </c>
      <c r="AC3450" s="4">
        <v>8</v>
      </c>
      <c r="AD3450" s="4">
        <v>60</v>
      </c>
      <c r="AE3450" s="4">
        <v>85</v>
      </c>
      <c r="AF3450" s="4">
        <v>1</v>
      </c>
      <c r="AG3450" s="4">
        <v>5</v>
      </c>
      <c r="AH3450" s="4">
        <v>44</v>
      </c>
      <c r="AI3450" s="4">
        <v>59</v>
      </c>
      <c r="AJ3450" s="4">
        <v>17</v>
      </c>
      <c r="AK3450" s="4">
        <v>26</v>
      </c>
      <c r="AL3450" s="4">
        <v>28</v>
      </c>
      <c r="AM3450" s="4">
        <v>36</v>
      </c>
      <c r="AN3450" s="4">
        <v>0</v>
      </c>
      <c r="AO3450" s="4">
        <v>0</v>
      </c>
      <c r="AP3450" s="4">
        <v>23</v>
      </c>
      <c r="AQ3450" s="4">
        <v>35</v>
      </c>
      <c r="AR3450" s="3" t="s">
        <v>61</v>
      </c>
      <c r="AS3450" s="3" t="s">
        <v>62</v>
      </c>
      <c r="AT3450" s="3" t="s">
        <v>62</v>
      </c>
      <c r="AU3450" s="6" t="str">
        <f>HYPERLINK("http://catalog.hathitrust.org/Record/000814400","HathiTrust Record")</f>
        <v>HathiTrust Record</v>
      </c>
      <c r="AV3450" s="6" t="str">
        <f>HYPERLINK("http://mcgill.on.worldcat.org/oclc/2365453","Catalog Record")</f>
        <v>Catalog Record</v>
      </c>
      <c r="AW3450" s="6" t="str">
        <f>HYPERLINK("http://www.worldcat.org/oclc/2365453","WorldCat Record")</f>
        <v>WorldCat Record</v>
      </c>
      <c r="AX3450" s="3" t="s">
        <v>33287</v>
      </c>
      <c r="AY3450" s="3" t="s">
        <v>33288</v>
      </c>
      <c r="AZ3450" s="3" t="s">
        <v>33289</v>
      </c>
      <c r="BA3450" s="3" t="s">
        <v>33289</v>
      </c>
      <c r="BB3450" s="3" t="s">
        <v>33290</v>
      </c>
      <c r="BC3450" s="3" t="s">
        <v>102</v>
      </c>
      <c r="BD3450" s="3" t="s">
        <v>68</v>
      </c>
      <c r="BF3450" s="3" t="s">
        <v>33290</v>
      </c>
      <c r="BG3450" s="3" t="s">
        <v>33291</v>
      </c>
    </row>
    <row r="3451" spans="1:59" ht="72.5" x14ac:dyDescent="0.35">
      <c r="A3451" s="2" t="s">
        <v>89</v>
      </c>
      <c r="B3451" s="2" t="s">
        <v>90</v>
      </c>
      <c r="C3451" s="2" t="s">
        <v>33292</v>
      </c>
      <c r="D3451" s="2" t="s">
        <v>33293</v>
      </c>
      <c r="E3451" s="2" t="s">
        <v>33294</v>
      </c>
      <c r="F3451" s="3" t="s">
        <v>33295</v>
      </c>
      <c r="G3451" s="3" t="s">
        <v>62</v>
      </c>
      <c r="I3451" s="3" t="s">
        <v>62</v>
      </c>
      <c r="J3451" s="3" t="s">
        <v>62</v>
      </c>
      <c r="K3451" s="3" t="s">
        <v>916</v>
      </c>
      <c r="L3451" s="2" t="s">
        <v>33296</v>
      </c>
      <c r="M3451" s="2" t="s">
        <v>33297</v>
      </c>
      <c r="N3451" s="3" t="s">
        <v>13196</v>
      </c>
      <c r="P3451" s="3" t="s">
        <v>64</v>
      </c>
      <c r="Q3451" s="2" t="s">
        <v>33298</v>
      </c>
      <c r="R3451" s="3" t="s">
        <v>32962</v>
      </c>
      <c r="S3451" s="4">
        <v>2</v>
      </c>
      <c r="T3451" s="4">
        <v>2</v>
      </c>
      <c r="U3451" s="5" t="s">
        <v>5909</v>
      </c>
      <c r="V3451" s="5" t="s">
        <v>5909</v>
      </c>
      <c r="W3451" s="5" t="s">
        <v>67</v>
      </c>
      <c r="X3451" s="5" t="s">
        <v>67</v>
      </c>
      <c r="Y3451" s="4">
        <v>151</v>
      </c>
      <c r="Z3451" s="4">
        <v>22</v>
      </c>
      <c r="AA3451" s="4">
        <v>22</v>
      </c>
      <c r="AB3451" s="4">
        <v>2</v>
      </c>
      <c r="AC3451" s="4">
        <v>2</v>
      </c>
      <c r="AD3451" s="4">
        <v>59</v>
      </c>
      <c r="AE3451" s="4">
        <v>60</v>
      </c>
      <c r="AF3451" s="4">
        <v>0</v>
      </c>
      <c r="AG3451" s="4">
        <v>0</v>
      </c>
      <c r="AH3451" s="4">
        <v>50</v>
      </c>
      <c r="AI3451" s="4">
        <v>51</v>
      </c>
      <c r="AJ3451" s="4">
        <v>11</v>
      </c>
      <c r="AK3451" s="4">
        <v>11</v>
      </c>
      <c r="AL3451" s="4">
        <v>30</v>
      </c>
      <c r="AM3451" s="4">
        <v>30</v>
      </c>
      <c r="AN3451" s="4">
        <v>0</v>
      </c>
      <c r="AO3451" s="4">
        <v>0</v>
      </c>
      <c r="AP3451" s="4">
        <v>17</v>
      </c>
      <c r="AQ3451" s="4">
        <v>17</v>
      </c>
      <c r="AR3451" s="3" t="s">
        <v>61</v>
      </c>
      <c r="AS3451" s="3" t="s">
        <v>61</v>
      </c>
      <c r="AT3451" s="3" t="s">
        <v>62</v>
      </c>
      <c r="AU3451" s="6" t="str">
        <f>HYPERLINK("http://catalog.hathitrust.org/Record/000814402","HathiTrust Record")</f>
        <v>HathiTrust Record</v>
      </c>
      <c r="AV3451" s="6" t="str">
        <f>HYPERLINK("http://mcgill.on.worldcat.org/oclc/3920494","Catalog Record")</f>
        <v>Catalog Record</v>
      </c>
      <c r="AW3451" s="6" t="str">
        <f>HYPERLINK("http://www.worldcat.org/oclc/3920494","WorldCat Record")</f>
        <v>WorldCat Record</v>
      </c>
      <c r="AX3451" s="3" t="s">
        <v>33299</v>
      </c>
      <c r="AY3451" s="3" t="s">
        <v>33300</v>
      </c>
      <c r="AZ3451" s="3" t="s">
        <v>33301</v>
      </c>
      <c r="BA3451" s="3" t="s">
        <v>33301</v>
      </c>
      <c r="BB3451" s="3" t="s">
        <v>33302</v>
      </c>
      <c r="BC3451" s="3" t="s">
        <v>102</v>
      </c>
      <c r="BD3451" s="3" t="s">
        <v>68</v>
      </c>
      <c r="BF3451" s="3" t="s">
        <v>33302</v>
      </c>
      <c r="BG3451" s="3" t="s">
        <v>33303</v>
      </c>
    </row>
    <row r="3452" spans="1:59" ht="72.5" x14ac:dyDescent="0.35">
      <c r="A3452" s="2" t="s">
        <v>89</v>
      </c>
      <c r="B3452" s="2" t="s">
        <v>90</v>
      </c>
      <c r="C3452" s="2" t="s">
        <v>33304</v>
      </c>
      <c r="D3452" s="2" t="s">
        <v>33305</v>
      </c>
      <c r="E3452" s="2" t="s">
        <v>33306</v>
      </c>
      <c r="F3452" s="3" t="s">
        <v>33307</v>
      </c>
      <c r="G3452" s="3" t="s">
        <v>62</v>
      </c>
      <c r="I3452" s="3" t="s">
        <v>62</v>
      </c>
      <c r="J3452" s="3" t="s">
        <v>61</v>
      </c>
      <c r="K3452" s="3" t="s">
        <v>63</v>
      </c>
      <c r="L3452" s="2" t="s">
        <v>33308</v>
      </c>
      <c r="M3452" s="2" t="s">
        <v>33309</v>
      </c>
      <c r="N3452" s="3" t="s">
        <v>33310</v>
      </c>
      <c r="P3452" s="3" t="s">
        <v>64</v>
      </c>
      <c r="Q3452" s="2" t="s">
        <v>33311</v>
      </c>
      <c r="R3452" s="3" t="s">
        <v>32962</v>
      </c>
      <c r="S3452" s="4">
        <v>4</v>
      </c>
      <c r="T3452" s="4">
        <v>4</v>
      </c>
      <c r="U3452" s="5" t="s">
        <v>24736</v>
      </c>
      <c r="V3452" s="5" t="s">
        <v>24736</v>
      </c>
      <c r="W3452" s="5" t="s">
        <v>67</v>
      </c>
      <c r="X3452" s="5" t="s">
        <v>67</v>
      </c>
      <c r="Y3452" s="4">
        <v>11</v>
      </c>
      <c r="Z3452" s="4">
        <v>3</v>
      </c>
      <c r="AA3452" s="4">
        <v>34</v>
      </c>
      <c r="AB3452" s="4">
        <v>1</v>
      </c>
      <c r="AC3452" s="4">
        <v>5</v>
      </c>
      <c r="AD3452" s="4">
        <v>6</v>
      </c>
      <c r="AE3452" s="4">
        <v>34</v>
      </c>
      <c r="AF3452" s="4">
        <v>0</v>
      </c>
      <c r="AG3452" s="4">
        <v>3</v>
      </c>
      <c r="AH3452" s="4">
        <v>6</v>
      </c>
      <c r="AI3452" s="4">
        <v>20</v>
      </c>
      <c r="AJ3452" s="4">
        <v>2</v>
      </c>
      <c r="AK3452" s="4">
        <v>20</v>
      </c>
      <c r="AL3452" s="4">
        <v>3</v>
      </c>
      <c r="AM3452" s="4">
        <v>5</v>
      </c>
      <c r="AN3452" s="4">
        <v>0</v>
      </c>
      <c r="AO3452" s="4">
        <v>0</v>
      </c>
      <c r="AP3452" s="4">
        <v>2</v>
      </c>
      <c r="AQ3452" s="4">
        <v>25</v>
      </c>
      <c r="AR3452" s="3" t="s">
        <v>61</v>
      </c>
      <c r="AS3452" s="3" t="s">
        <v>61</v>
      </c>
      <c r="AT3452" s="3" t="s">
        <v>62</v>
      </c>
      <c r="AU3452" s="6" t="str">
        <f>HYPERLINK("http://catalog.hathitrust.org/Record/012307342","HathiTrust Record")</f>
        <v>HathiTrust Record</v>
      </c>
      <c r="AV3452" s="6" t="str">
        <f>HYPERLINK("http://mcgill.on.worldcat.org/oclc/29104004","Catalog Record")</f>
        <v>Catalog Record</v>
      </c>
      <c r="AW3452" s="6" t="str">
        <f>HYPERLINK("http://www.worldcat.org/oclc/29104004","WorldCat Record")</f>
        <v>WorldCat Record</v>
      </c>
      <c r="AX3452" s="3" t="s">
        <v>33312</v>
      </c>
      <c r="AY3452" s="3" t="s">
        <v>33313</v>
      </c>
      <c r="AZ3452" s="3" t="s">
        <v>33314</v>
      </c>
      <c r="BA3452" s="3" t="s">
        <v>33314</v>
      </c>
      <c r="BB3452" s="3" t="s">
        <v>33315</v>
      </c>
      <c r="BC3452" s="3" t="s">
        <v>102</v>
      </c>
      <c r="BD3452" s="3" t="s">
        <v>68</v>
      </c>
      <c r="BF3452" s="3" t="s">
        <v>33315</v>
      </c>
      <c r="BG3452" s="3" t="s">
        <v>33316</v>
      </c>
    </row>
    <row r="3453" spans="1:59" ht="58" x14ac:dyDescent="0.35">
      <c r="A3453" s="2" t="s">
        <v>89</v>
      </c>
      <c r="B3453" s="2" t="s">
        <v>90</v>
      </c>
      <c r="C3453" s="2" t="s">
        <v>33317</v>
      </c>
      <c r="D3453" s="2" t="s">
        <v>33318</v>
      </c>
      <c r="E3453" s="2" t="s">
        <v>33319</v>
      </c>
      <c r="G3453" s="3" t="s">
        <v>62</v>
      </c>
      <c r="I3453" s="3" t="s">
        <v>62</v>
      </c>
      <c r="J3453" s="3" t="s">
        <v>62</v>
      </c>
      <c r="K3453" s="3" t="s">
        <v>63</v>
      </c>
      <c r="L3453" s="2" t="s">
        <v>33320</v>
      </c>
      <c r="M3453" s="2" t="s">
        <v>33321</v>
      </c>
      <c r="N3453" s="3" t="s">
        <v>78</v>
      </c>
      <c r="P3453" s="3" t="s">
        <v>64</v>
      </c>
      <c r="Q3453" s="2" t="s">
        <v>33322</v>
      </c>
      <c r="R3453" s="3" t="s">
        <v>32962</v>
      </c>
      <c r="S3453" s="4">
        <v>5</v>
      </c>
      <c r="T3453" s="4">
        <v>5</v>
      </c>
      <c r="U3453" s="5" t="s">
        <v>24793</v>
      </c>
      <c r="V3453" s="5" t="s">
        <v>24793</v>
      </c>
      <c r="W3453" s="5" t="s">
        <v>67</v>
      </c>
      <c r="X3453" s="5" t="s">
        <v>67</v>
      </c>
      <c r="Y3453" s="4">
        <v>88</v>
      </c>
      <c r="Z3453" s="4">
        <v>33</v>
      </c>
      <c r="AA3453" s="4">
        <v>60</v>
      </c>
      <c r="AB3453" s="4">
        <v>3</v>
      </c>
      <c r="AC3453" s="4">
        <v>9</v>
      </c>
      <c r="AD3453" s="4">
        <v>52</v>
      </c>
      <c r="AE3453" s="4">
        <v>68</v>
      </c>
      <c r="AF3453" s="4">
        <v>0</v>
      </c>
      <c r="AG3453" s="4">
        <v>3</v>
      </c>
      <c r="AH3453" s="4">
        <v>38</v>
      </c>
      <c r="AI3453" s="4">
        <v>45</v>
      </c>
      <c r="AJ3453" s="4">
        <v>15</v>
      </c>
      <c r="AK3453" s="4">
        <v>25</v>
      </c>
      <c r="AL3453" s="4">
        <v>20</v>
      </c>
      <c r="AM3453" s="4">
        <v>22</v>
      </c>
      <c r="AN3453" s="4">
        <v>0</v>
      </c>
      <c r="AO3453" s="4">
        <v>0</v>
      </c>
      <c r="AP3453" s="4">
        <v>21</v>
      </c>
      <c r="AQ3453" s="4">
        <v>33</v>
      </c>
      <c r="AR3453" s="3" t="s">
        <v>61</v>
      </c>
      <c r="AS3453" s="3" t="s">
        <v>62</v>
      </c>
      <c r="AT3453" s="3" t="s">
        <v>61</v>
      </c>
      <c r="AU3453" s="6" t="str">
        <f>HYPERLINK("http://catalog.hathitrust.org/Record/001638728","HathiTrust Record")</f>
        <v>HathiTrust Record</v>
      </c>
      <c r="AV3453" s="6" t="str">
        <f>HYPERLINK("http://mcgill.on.worldcat.org/oclc/1228554","Catalog Record")</f>
        <v>Catalog Record</v>
      </c>
      <c r="AW3453" s="6" t="str">
        <f>HYPERLINK("http://www.worldcat.org/oclc/1228554","WorldCat Record")</f>
        <v>WorldCat Record</v>
      </c>
      <c r="AX3453" s="3" t="s">
        <v>33323</v>
      </c>
      <c r="AY3453" s="3" t="s">
        <v>33324</v>
      </c>
      <c r="AZ3453" s="3" t="s">
        <v>33325</v>
      </c>
      <c r="BA3453" s="3" t="s">
        <v>33325</v>
      </c>
      <c r="BB3453" s="3" t="s">
        <v>33326</v>
      </c>
      <c r="BC3453" s="3" t="s">
        <v>102</v>
      </c>
      <c r="BD3453" s="3" t="s">
        <v>68</v>
      </c>
      <c r="BF3453" s="3" t="s">
        <v>33326</v>
      </c>
      <c r="BG3453" s="3" t="s">
        <v>33327</v>
      </c>
    </row>
    <row r="3454" spans="1:59" ht="58" x14ac:dyDescent="0.35">
      <c r="A3454" s="2" t="s">
        <v>89</v>
      </c>
      <c r="B3454" s="2" t="s">
        <v>90</v>
      </c>
      <c r="C3454" s="2" t="s">
        <v>33328</v>
      </c>
      <c r="D3454" s="2" t="s">
        <v>33329</v>
      </c>
      <c r="E3454" s="2" t="s">
        <v>33330</v>
      </c>
      <c r="G3454" s="3" t="s">
        <v>62</v>
      </c>
      <c r="I3454" s="3" t="s">
        <v>61</v>
      </c>
      <c r="J3454" s="3" t="s">
        <v>61</v>
      </c>
      <c r="K3454" s="3" t="s">
        <v>63</v>
      </c>
      <c r="L3454" s="2" t="s">
        <v>33331</v>
      </c>
      <c r="M3454" s="2" t="s">
        <v>33332</v>
      </c>
      <c r="N3454" s="3" t="s">
        <v>866</v>
      </c>
      <c r="P3454" s="3" t="s">
        <v>64</v>
      </c>
      <c r="R3454" s="3" t="s">
        <v>32962</v>
      </c>
      <c r="S3454" s="4">
        <v>0</v>
      </c>
      <c r="T3454" s="4">
        <v>4</v>
      </c>
      <c r="V3454" s="5" t="s">
        <v>33333</v>
      </c>
      <c r="W3454" s="5" t="s">
        <v>67</v>
      </c>
      <c r="X3454" s="5" t="s">
        <v>67</v>
      </c>
      <c r="Y3454" s="4">
        <v>319</v>
      </c>
      <c r="Z3454" s="4">
        <v>63</v>
      </c>
      <c r="AA3454" s="4">
        <v>93</v>
      </c>
      <c r="AB3454" s="4">
        <v>5</v>
      </c>
      <c r="AC3454" s="4">
        <v>13</v>
      </c>
      <c r="AD3454" s="4">
        <v>97</v>
      </c>
      <c r="AE3454" s="4">
        <v>114</v>
      </c>
      <c r="AF3454" s="4">
        <v>2</v>
      </c>
      <c r="AG3454" s="4">
        <v>6</v>
      </c>
      <c r="AH3454" s="4">
        <v>71</v>
      </c>
      <c r="AI3454" s="4">
        <v>76</v>
      </c>
      <c r="AJ3454" s="4">
        <v>23</v>
      </c>
      <c r="AK3454" s="4">
        <v>30</v>
      </c>
      <c r="AL3454" s="4">
        <v>36</v>
      </c>
      <c r="AM3454" s="4">
        <v>37</v>
      </c>
      <c r="AN3454" s="4">
        <v>0</v>
      </c>
      <c r="AO3454" s="4">
        <v>0</v>
      </c>
      <c r="AP3454" s="4">
        <v>34</v>
      </c>
      <c r="AQ3454" s="4">
        <v>46</v>
      </c>
      <c r="AR3454" s="3" t="s">
        <v>61</v>
      </c>
      <c r="AS3454" s="3" t="s">
        <v>62</v>
      </c>
      <c r="AT3454" s="3" t="s">
        <v>62</v>
      </c>
      <c r="AV3454" s="6" t="str">
        <f>HYPERLINK("http://mcgill.on.worldcat.org/oclc/539643","Catalog Record")</f>
        <v>Catalog Record</v>
      </c>
      <c r="AW3454" s="6" t="str">
        <f>HYPERLINK("http://www.worldcat.org/oclc/539643","WorldCat Record")</f>
        <v>WorldCat Record</v>
      </c>
      <c r="AX3454" s="3" t="s">
        <v>33334</v>
      </c>
      <c r="AY3454" s="3" t="s">
        <v>33335</v>
      </c>
      <c r="AZ3454" s="3" t="s">
        <v>33336</v>
      </c>
      <c r="BA3454" s="3" t="s">
        <v>33336</v>
      </c>
      <c r="BB3454" s="3" t="s">
        <v>33337</v>
      </c>
      <c r="BC3454" s="3" t="s">
        <v>102</v>
      </c>
      <c r="BD3454" s="3" t="s">
        <v>68</v>
      </c>
      <c r="BE3454" s="3" t="s">
        <v>33338</v>
      </c>
      <c r="BF3454" s="3" t="s">
        <v>33337</v>
      </c>
      <c r="BG3454" s="3" t="s">
        <v>33339</v>
      </c>
    </row>
    <row r="3455" spans="1:59" ht="58" x14ac:dyDescent="0.35">
      <c r="A3455" s="2" t="s">
        <v>89</v>
      </c>
      <c r="B3455" s="2" t="s">
        <v>90</v>
      </c>
      <c r="C3455" s="2" t="s">
        <v>33328</v>
      </c>
      <c r="D3455" s="2" t="s">
        <v>33329</v>
      </c>
      <c r="E3455" s="2" t="s">
        <v>33330</v>
      </c>
      <c r="G3455" s="3" t="s">
        <v>62</v>
      </c>
      <c r="I3455" s="3" t="s">
        <v>61</v>
      </c>
      <c r="J3455" s="3" t="s">
        <v>61</v>
      </c>
      <c r="K3455" s="3" t="s">
        <v>63</v>
      </c>
      <c r="L3455" s="2" t="s">
        <v>33331</v>
      </c>
      <c r="M3455" s="2" t="s">
        <v>33332</v>
      </c>
      <c r="N3455" s="3" t="s">
        <v>866</v>
      </c>
      <c r="P3455" s="3" t="s">
        <v>64</v>
      </c>
      <c r="R3455" s="3" t="s">
        <v>32962</v>
      </c>
      <c r="S3455" s="4">
        <v>0</v>
      </c>
      <c r="T3455" s="4">
        <v>4</v>
      </c>
      <c r="V3455" s="5" t="s">
        <v>33333</v>
      </c>
      <c r="W3455" s="5" t="s">
        <v>67</v>
      </c>
      <c r="X3455" s="5" t="s">
        <v>67</v>
      </c>
      <c r="Y3455" s="4">
        <v>319</v>
      </c>
      <c r="Z3455" s="4">
        <v>63</v>
      </c>
      <c r="AA3455" s="4">
        <v>93</v>
      </c>
      <c r="AB3455" s="4">
        <v>5</v>
      </c>
      <c r="AC3455" s="4">
        <v>13</v>
      </c>
      <c r="AD3455" s="4">
        <v>97</v>
      </c>
      <c r="AE3455" s="4">
        <v>114</v>
      </c>
      <c r="AF3455" s="4">
        <v>2</v>
      </c>
      <c r="AG3455" s="4">
        <v>6</v>
      </c>
      <c r="AH3455" s="4">
        <v>71</v>
      </c>
      <c r="AI3455" s="4">
        <v>76</v>
      </c>
      <c r="AJ3455" s="4">
        <v>23</v>
      </c>
      <c r="AK3455" s="4">
        <v>30</v>
      </c>
      <c r="AL3455" s="4">
        <v>36</v>
      </c>
      <c r="AM3455" s="4">
        <v>37</v>
      </c>
      <c r="AN3455" s="4">
        <v>0</v>
      </c>
      <c r="AO3455" s="4">
        <v>0</v>
      </c>
      <c r="AP3455" s="4">
        <v>34</v>
      </c>
      <c r="AQ3455" s="4">
        <v>46</v>
      </c>
      <c r="AR3455" s="3" t="s">
        <v>61</v>
      </c>
      <c r="AS3455" s="3" t="s">
        <v>62</v>
      </c>
      <c r="AT3455" s="3" t="s">
        <v>62</v>
      </c>
      <c r="AV3455" s="6" t="str">
        <f>HYPERLINK("http://mcgill.on.worldcat.org/oclc/539643","Catalog Record")</f>
        <v>Catalog Record</v>
      </c>
      <c r="AW3455" s="6" t="str">
        <f>HYPERLINK("http://www.worldcat.org/oclc/539643","WorldCat Record")</f>
        <v>WorldCat Record</v>
      </c>
      <c r="AX3455" s="3" t="s">
        <v>33334</v>
      </c>
      <c r="AY3455" s="3" t="s">
        <v>33335</v>
      </c>
      <c r="AZ3455" s="3" t="s">
        <v>33336</v>
      </c>
      <c r="BA3455" s="3" t="s">
        <v>33336</v>
      </c>
      <c r="BB3455" s="3" t="s">
        <v>33340</v>
      </c>
      <c r="BC3455" s="3" t="s">
        <v>102</v>
      </c>
      <c r="BD3455" s="3" t="s">
        <v>68</v>
      </c>
      <c r="BE3455" s="3" t="s">
        <v>33338</v>
      </c>
      <c r="BF3455" s="3" t="s">
        <v>33340</v>
      </c>
      <c r="BG3455" s="3" t="s">
        <v>33341</v>
      </c>
    </row>
    <row r="3456" spans="1:59" ht="58" x14ac:dyDescent="0.35">
      <c r="A3456" s="2" t="s">
        <v>89</v>
      </c>
      <c r="B3456" s="2" t="s">
        <v>90</v>
      </c>
      <c r="C3456" s="2" t="s">
        <v>33342</v>
      </c>
      <c r="D3456" s="2" t="s">
        <v>33343</v>
      </c>
      <c r="E3456" s="2" t="s">
        <v>33344</v>
      </c>
      <c r="G3456" s="3" t="s">
        <v>62</v>
      </c>
      <c r="I3456" s="3" t="s">
        <v>61</v>
      </c>
      <c r="J3456" s="3" t="s">
        <v>62</v>
      </c>
      <c r="K3456" s="3" t="s">
        <v>63</v>
      </c>
      <c r="L3456" s="2" t="s">
        <v>33345</v>
      </c>
      <c r="M3456" s="2" t="s">
        <v>33346</v>
      </c>
      <c r="N3456" s="3" t="s">
        <v>2924</v>
      </c>
      <c r="P3456" s="3" t="s">
        <v>64</v>
      </c>
      <c r="R3456" s="3" t="s">
        <v>32962</v>
      </c>
      <c r="S3456" s="4">
        <v>0</v>
      </c>
      <c r="T3456" s="4">
        <v>1</v>
      </c>
      <c r="V3456" s="5" t="s">
        <v>20127</v>
      </c>
      <c r="W3456" s="5" t="s">
        <v>67</v>
      </c>
      <c r="X3456" s="5" t="s">
        <v>67</v>
      </c>
      <c r="Y3456" s="4">
        <v>103</v>
      </c>
      <c r="Z3456" s="4">
        <v>26</v>
      </c>
      <c r="AA3456" s="4">
        <v>28</v>
      </c>
      <c r="AB3456" s="4">
        <v>3</v>
      </c>
      <c r="AC3456" s="4">
        <v>4</v>
      </c>
      <c r="AD3456" s="4">
        <v>54</v>
      </c>
      <c r="AE3456" s="4">
        <v>56</v>
      </c>
      <c r="AF3456" s="4">
        <v>0</v>
      </c>
      <c r="AG3456" s="4">
        <v>1</v>
      </c>
      <c r="AH3456" s="4">
        <v>40</v>
      </c>
      <c r="AI3456" s="4">
        <v>40</v>
      </c>
      <c r="AJ3456" s="4">
        <v>13</v>
      </c>
      <c r="AK3456" s="4">
        <v>14</v>
      </c>
      <c r="AL3456" s="4">
        <v>23</v>
      </c>
      <c r="AM3456" s="4">
        <v>23</v>
      </c>
      <c r="AN3456" s="4">
        <v>0</v>
      </c>
      <c r="AO3456" s="4">
        <v>0</v>
      </c>
      <c r="AP3456" s="4">
        <v>17</v>
      </c>
      <c r="AQ3456" s="4">
        <v>19</v>
      </c>
      <c r="AR3456" s="3" t="s">
        <v>61</v>
      </c>
      <c r="AS3456" s="3" t="s">
        <v>62</v>
      </c>
      <c r="AT3456" s="3" t="s">
        <v>61</v>
      </c>
      <c r="AU3456" s="6" t="str">
        <f>HYPERLINK("http://catalog.hathitrust.org/Record/001177803","HathiTrust Record")</f>
        <v>HathiTrust Record</v>
      </c>
      <c r="AV3456" s="6" t="str">
        <f>HYPERLINK("http://mcgill.on.worldcat.org/oclc/3928253","Catalog Record")</f>
        <v>Catalog Record</v>
      </c>
      <c r="AW3456" s="6" t="str">
        <f>HYPERLINK("http://www.worldcat.org/oclc/3928253","WorldCat Record")</f>
        <v>WorldCat Record</v>
      </c>
      <c r="AX3456" s="3" t="s">
        <v>33347</v>
      </c>
      <c r="AY3456" s="3" t="s">
        <v>33348</v>
      </c>
      <c r="AZ3456" s="3" t="s">
        <v>33349</v>
      </c>
      <c r="BA3456" s="3" t="s">
        <v>33349</v>
      </c>
      <c r="BB3456" s="3" t="s">
        <v>33350</v>
      </c>
      <c r="BC3456" s="3" t="s">
        <v>102</v>
      </c>
      <c r="BD3456" s="3" t="s">
        <v>68</v>
      </c>
      <c r="BF3456" s="3" t="s">
        <v>33350</v>
      </c>
      <c r="BG3456" s="3" t="s">
        <v>33351</v>
      </c>
    </row>
    <row r="3457" spans="1:59" ht="58" x14ac:dyDescent="0.35">
      <c r="A3457" s="2" t="s">
        <v>89</v>
      </c>
      <c r="B3457" s="2" t="s">
        <v>90</v>
      </c>
      <c r="C3457" s="2" t="s">
        <v>33352</v>
      </c>
      <c r="D3457" s="2" t="s">
        <v>33353</v>
      </c>
      <c r="E3457" s="2" t="s">
        <v>33354</v>
      </c>
      <c r="G3457" s="3" t="s">
        <v>62</v>
      </c>
      <c r="I3457" s="3" t="s">
        <v>62</v>
      </c>
      <c r="J3457" s="3" t="s">
        <v>61</v>
      </c>
      <c r="K3457" s="3" t="s">
        <v>916</v>
      </c>
      <c r="L3457" s="2" t="s">
        <v>33355</v>
      </c>
      <c r="M3457" s="2" t="s">
        <v>33356</v>
      </c>
      <c r="N3457" s="3" t="s">
        <v>24124</v>
      </c>
      <c r="P3457" s="3" t="s">
        <v>64</v>
      </c>
      <c r="R3457" s="3" t="s">
        <v>32962</v>
      </c>
      <c r="S3457" s="4">
        <v>1</v>
      </c>
      <c r="T3457" s="4">
        <v>1</v>
      </c>
      <c r="U3457" s="5" t="s">
        <v>16142</v>
      </c>
      <c r="V3457" s="5" t="s">
        <v>16142</v>
      </c>
      <c r="W3457" s="5" t="s">
        <v>67</v>
      </c>
      <c r="X3457" s="5" t="s">
        <v>67</v>
      </c>
      <c r="Y3457" s="4">
        <v>47</v>
      </c>
      <c r="Z3457" s="4">
        <v>16</v>
      </c>
      <c r="AA3457" s="4">
        <v>45</v>
      </c>
      <c r="AB3457" s="4">
        <v>2</v>
      </c>
      <c r="AC3457" s="4">
        <v>12</v>
      </c>
      <c r="AD3457" s="4">
        <v>22</v>
      </c>
      <c r="AE3457" s="4">
        <v>45</v>
      </c>
      <c r="AF3457" s="4">
        <v>0</v>
      </c>
      <c r="AG3457" s="4">
        <v>6</v>
      </c>
      <c r="AH3457" s="4">
        <v>20</v>
      </c>
      <c r="AI3457" s="4">
        <v>27</v>
      </c>
      <c r="AJ3457" s="4">
        <v>6</v>
      </c>
      <c r="AK3457" s="4">
        <v>21</v>
      </c>
      <c r="AL3457" s="4">
        <v>12</v>
      </c>
      <c r="AM3457" s="4">
        <v>14</v>
      </c>
      <c r="AN3457" s="4">
        <v>0</v>
      </c>
      <c r="AO3457" s="4">
        <v>0</v>
      </c>
      <c r="AP3457" s="4">
        <v>6</v>
      </c>
      <c r="AQ3457" s="4">
        <v>26</v>
      </c>
      <c r="AR3457" s="3" t="s">
        <v>61</v>
      </c>
      <c r="AS3457" s="3" t="s">
        <v>62</v>
      </c>
      <c r="AT3457" s="3" t="s">
        <v>62</v>
      </c>
      <c r="AV3457" s="6" t="str">
        <f>HYPERLINK("http://mcgill.on.worldcat.org/oclc/6016967","Catalog Record")</f>
        <v>Catalog Record</v>
      </c>
      <c r="AW3457" s="6" t="str">
        <f>HYPERLINK("http://www.worldcat.org/oclc/6016967","WorldCat Record")</f>
        <v>WorldCat Record</v>
      </c>
      <c r="AX3457" s="3" t="s">
        <v>33357</v>
      </c>
      <c r="AY3457" s="3" t="s">
        <v>33358</v>
      </c>
      <c r="AZ3457" s="3" t="s">
        <v>33359</v>
      </c>
      <c r="BA3457" s="3" t="s">
        <v>33359</v>
      </c>
      <c r="BB3457" s="3" t="s">
        <v>33360</v>
      </c>
      <c r="BC3457" s="3" t="s">
        <v>102</v>
      </c>
      <c r="BD3457" s="3" t="s">
        <v>68</v>
      </c>
      <c r="BF3457" s="3" t="s">
        <v>33360</v>
      </c>
      <c r="BG3457" s="3" t="s">
        <v>33361</v>
      </c>
    </row>
    <row r="3458" spans="1:59" ht="58" x14ac:dyDescent="0.35">
      <c r="A3458" s="2" t="s">
        <v>89</v>
      </c>
      <c r="B3458" s="2" t="s">
        <v>90</v>
      </c>
      <c r="C3458" s="2" t="s">
        <v>33362</v>
      </c>
      <c r="D3458" s="2" t="s">
        <v>33363</v>
      </c>
      <c r="E3458" s="2" t="s">
        <v>33364</v>
      </c>
      <c r="G3458" s="3" t="s">
        <v>62</v>
      </c>
      <c r="I3458" s="3" t="s">
        <v>62</v>
      </c>
      <c r="J3458" s="3" t="s">
        <v>62</v>
      </c>
      <c r="K3458" s="3" t="s">
        <v>63</v>
      </c>
      <c r="L3458" s="2" t="s">
        <v>33365</v>
      </c>
      <c r="M3458" s="2" t="s">
        <v>30271</v>
      </c>
      <c r="N3458" s="3" t="s">
        <v>2000</v>
      </c>
      <c r="P3458" s="3" t="s">
        <v>64</v>
      </c>
      <c r="R3458" s="3" t="s">
        <v>32962</v>
      </c>
      <c r="S3458" s="4">
        <v>4</v>
      </c>
      <c r="T3458" s="4">
        <v>4</v>
      </c>
      <c r="U3458" s="5" t="s">
        <v>20377</v>
      </c>
      <c r="V3458" s="5" t="s">
        <v>20377</v>
      </c>
      <c r="W3458" s="5" t="s">
        <v>67</v>
      </c>
      <c r="X3458" s="5" t="s">
        <v>67</v>
      </c>
      <c r="Y3458" s="4">
        <v>280</v>
      </c>
      <c r="Z3458" s="4">
        <v>19</v>
      </c>
      <c r="AA3458" s="4">
        <v>22</v>
      </c>
      <c r="AB3458" s="4">
        <v>1</v>
      </c>
      <c r="AC3458" s="4">
        <v>3</v>
      </c>
      <c r="AD3458" s="4">
        <v>97</v>
      </c>
      <c r="AE3458" s="4">
        <v>105</v>
      </c>
      <c r="AF3458" s="4">
        <v>0</v>
      </c>
      <c r="AG3458" s="4">
        <v>2</v>
      </c>
      <c r="AH3458" s="4">
        <v>87</v>
      </c>
      <c r="AI3458" s="4">
        <v>92</v>
      </c>
      <c r="AJ3458" s="4">
        <v>13</v>
      </c>
      <c r="AK3458" s="4">
        <v>16</v>
      </c>
      <c r="AL3458" s="4">
        <v>49</v>
      </c>
      <c r="AM3458" s="4">
        <v>52</v>
      </c>
      <c r="AN3458" s="4">
        <v>0</v>
      </c>
      <c r="AO3458" s="4">
        <v>0</v>
      </c>
      <c r="AP3458" s="4">
        <v>15</v>
      </c>
      <c r="AQ3458" s="4">
        <v>17</v>
      </c>
      <c r="AR3458" s="3" t="s">
        <v>62</v>
      </c>
      <c r="AS3458" s="3" t="s">
        <v>62</v>
      </c>
      <c r="AT3458" s="3" t="s">
        <v>62</v>
      </c>
      <c r="AV3458" s="6" t="str">
        <f>HYPERLINK("http://mcgill.on.worldcat.org/oclc/34742310","Catalog Record")</f>
        <v>Catalog Record</v>
      </c>
      <c r="AW3458" s="6" t="str">
        <f>HYPERLINK("http://www.worldcat.org/oclc/34742310","WorldCat Record")</f>
        <v>WorldCat Record</v>
      </c>
      <c r="AX3458" s="3" t="s">
        <v>33366</v>
      </c>
      <c r="AY3458" s="3" t="s">
        <v>33367</v>
      </c>
      <c r="AZ3458" s="3" t="s">
        <v>33368</v>
      </c>
      <c r="BA3458" s="3" t="s">
        <v>33368</v>
      </c>
      <c r="BB3458" s="3" t="s">
        <v>33369</v>
      </c>
      <c r="BC3458" s="3" t="s">
        <v>102</v>
      </c>
      <c r="BD3458" s="3" t="s">
        <v>68</v>
      </c>
      <c r="BE3458" s="3" t="s">
        <v>33370</v>
      </c>
      <c r="BF3458" s="3" t="s">
        <v>33369</v>
      </c>
      <c r="BG3458" s="3" t="s">
        <v>33371</v>
      </c>
    </row>
    <row r="3459" spans="1:59" ht="58" x14ac:dyDescent="0.35">
      <c r="A3459" s="2" t="s">
        <v>89</v>
      </c>
      <c r="B3459" s="2" t="s">
        <v>90</v>
      </c>
      <c r="C3459" s="2" t="s">
        <v>33372</v>
      </c>
      <c r="D3459" s="2" t="s">
        <v>33373</v>
      </c>
      <c r="E3459" s="2" t="s">
        <v>33374</v>
      </c>
      <c r="G3459" s="3" t="s">
        <v>62</v>
      </c>
      <c r="I3459" s="3" t="s">
        <v>62</v>
      </c>
      <c r="J3459" s="3" t="s">
        <v>62</v>
      </c>
      <c r="K3459" s="3" t="s">
        <v>63</v>
      </c>
      <c r="L3459" s="2" t="s">
        <v>33375</v>
      </c>
      <c r="M3459" s="2" t="s">
        <v>33376</v>
      </c>
      <c r="N3459" s="3" t="s">
        <v>809</v>
      </c>
      <c r="P3459" s="3" t="s">
        <v>64</v>
      </c>
      <c r="Q3459" s="2" t="s">
        <v>33377</v>
      </c>
      <c r="R3459" s="3" t="s">
        <v>32962</v>
      </c>
      <c r="S3459" s="4">
        <v>4</v>
      </c>
      <c r="T3459" s="4">
        <v>4</v>
      </c>
      <c r="U3459" s="5" t="s">
        <v>1469</v>
      </c>
      <c r="V3459" s="5" t="s">
        <v>1469</v>
      </c>
      <c r="W3459" s="5" t="s">
        <v>67</v>
      </c>
      <c r="X3459" s="5" t="s">
        <v>67</v>
      </c>
      <c r="Y3459" s="4">
        <v>56</v>
      </c>
      <c r="Z3459" s="4">
        <v>9</v>
      </c>
      <c r="AA3459" s="4">
        <v>11</v>
      </c>
      <c r="AB3459" s="4">
        <v>1</v>
      </c>
      <c r="AC3459" s="4">
        <v>2</v>
      </c>
      <c r="AD3459" s="4">
        <v>21</v>
      </c>
      <c r="AE3459" s="4">
        <v>23</v>
      </c>
      <c r="AF3459" s="4">
        <v>0</v>
      </c>
      <c r="AG3459" s="4">
        <v>1</v>
      </c>
      <c r="AH3459" s="4">
        <v>19</v>
      </c>
      <c r="AI3459" s="4">
        <v>21</v>
      </c>
      <c r="AJ3459" s="4">
        <v>4</v>
      </c>
      <c r="AK3459" s="4">
        <v>6</v>
      </c>
      <c r="AL3459" s="4">
        <v>12</v>
      </c>
      <c r="AM3459" s="4">
        <v>12</v>
      </c>
      <c r="AN3459" s="4">
        <v>0</v>
      </c>
      <c r="AO3459" s="4">
        <v>0</v>
      </c>
      <c r="AP3459" s="4">
        <v>5</v>
      </c>
      <c r="AQ3459" s="4">
        <v>7</v>
      </c>
      <c r="AR3459" s="3" t="s">
        <v>62</v>
      </c>
      <c r="AS3459" s="3" t="s">
        <v>62</v>
      </c>
      <c r="AT3459" s="3" t="s">
        <v>62</v>
      </c>
      <c r="AV3459" s="6" t="str">
        <f>HYPERLINK("http://mcgill.on.worldcat.org/oclc/11040223","Catalog Record")</f>
        <v>Catalog Record</v>
      </c>
      <c r="AW3459" s="6" t="str">
        <f>HYPERLINK("http://www.worldcat.org/oclc/11040223","WorldCat Record")</f>
        <v>WorldCat Record</v>
      </c>
      <c r="AX3459" s="3" t="s">
        <v>33378</v>
      </c>
      <c r="AY3459" s="3" t="s">
        <v>33379</v>
      </c>
      <c r="AZ3459" s="3" t="s">
        <v>33380</v>
      </c>
      <c r="BA3459" s="3" t="s">
        <v>33380</v>
      </c>
      <c r="BB3459" s="3" t="s">
        <v>33381</v>
      </c>
      <c r="BC3459" s="3" t="s">
        <v>102</v>
      </c>
      <c r="BD3459" s="3" t="s">
        <v>68</v>
      </c>
      <c r="BF3459" s="3" t="s">
        <v>33381</v>
      </c>
      <c r="BG3459" s="3" t="s">
        <v>33382</v>
      </c>
    </row>
    <row r="3460" spans="1:59" ht="72.5" x14ac:dyDescent="0.35">
      <c r="A3460" s="2" t="s">
        <v>89</v>
      </c>
      <c r="B3460" s="2" t="s">
        <v>90</v>
      </c>
      <c r="C3460" s="2" t="s">
        <v>33383</v>
      </c>
      <c r="D3460" s="2" t="s">
        <v>33384</v>
      </c>
      <c r="E3460" s="2" t="s">
        <v>33385</v>
      </c>
      <c r="G3460" s="3" t="s">
        <v>62</v>
      </c>
      <c r="H3460" s="3" t="s">
        <v>916</v>
      </c>
      <c r="I3460" s="3" t="s">
        <v>62</v>
      </c>
      <c r="J3460" s="3" t="s">
        <v>62</v>
      </c>
      <c r="K3460" s="3" t="s">
        <v>63</v>
      </c>
      <c r="M3460" s="2" t="s">
        <v>33386</v>
      </c>
      <c r="N3460" s="3" t="s">
        <v>741</v>
      </c>
      <c r="P3460" s="3" t="s">
        <v>64</v>
      </c>
      <c r="Q3460" s="2" t="s">
        <v>33387</v>
      </c>
      <c r="R3460" s="3" t="s">
        <v>32962</v>
      </c>
      <c r="S3460" s="4">
        <v>0</v>
      </c>
      <c r="T3460" s="4">
        <v>0</v>
      </c>
      <c r="W3460" s="5" t="s">
        <v>12369</v>
      </c>
      <c r="X3460" s="5" t="s">
        <v>12369</v>
      </c>
      <c r="Y3460" s="4">
        <v>146</v>
      </c>
      <c r="Z3460" s="4">
        <v>9</v>
      </c>
      <c r="AA3460" s="4">
        <v>11</v>
      </c>
      <c r="AB3460" s="4">
        <v>1</v>
      </c>
      <c r="AC3460" s="4">
        <v>3</v>
      </c>
      <c r="AD3460" s="4">
        <v>58</v>
      </c>
      <c r="AE3460" s="4">
        <v>64</v>
      </c>
      <c r="AF3460" s="4">
        <v>0</v>
      </c>
      <c r="AG3460" s="4">
        <v>2</v>
      </c>
      <c r="AH3460" s="4">
        <v>53</v>
      </c>
      <c r="AI3460" s="4">
        <v>58</v>
      </c>
      <c r="AJ3460" s="4">
        <v>8</v>
      </c>
      <c r="AK3460" s="4">
        <v>10</v>
      </c>
      <c r="AL3460" s="4">
        <v>31</v>
      </c>
      <c r="AM3460" s="4">
        <v>33</v>
      </c>
      <c r="AN3460" s="4">
        <v>0</v>
      </c>
      <c r="AO3460" s="4">
        <v>0</v>
      </c>
      <c r="AP3460" s="4">
        <v>8</v>
      </c>
      <c r="AQ3460" s="4">
        <v>10</v>
      </c>
      <c r="AR3460" s="3" t="s">
        <v>62</v>
      </c>
      <c r="AS3460" s="3" t="s">
        <v>62</v>
      </c>
      <c r="AT3460" s="3" t="s">
        <v>62</v>
      </c>
      <c r="AV3460" s="6" t="str">
        <f>HYPERLINK("http://mcgill.on.worldcat.org/oclc/1076380091","Catalog Record")</f>
        <v>Catalog Record</v>
      </c>
      <c r="AW3460" s="6" t="str">
        <f>HYPERLINK("http://www.worldcat.org/oclc/1076380091","WorldCat Record")</f>
        <v>WorldCat Record</v>
      </c>
      <c r="AX3460" s="3" t="s">
        <v>33388</v>
      </c>
      <c r="AY3460" s="3" t="s">
        <v>33389</v>
      </c>
      <c r="AZ3460" s="3" t="s">
        <v>33390</v>
      </c>
      <c r="BA3460" s="3" t="s">
        <v>33390</v>
      </c>
      <c r="BB3460" s="3" t="s">
        <v>33391</v>
      </c>
      <c r="BC3460" s="3" t="s">
        <v>102</v>
      </c>
      <c r="BD3460" s="3" t="s">
        <v>68</v>
      </c>
      <c r="BE3460" s="3" t="s">
        <v>33392</v>
      </c>
      <c r="BF3460" s="3" t="s">
        <v>33391</v>
      </c>
      <c r="BG3460" s="3" t="s">
        <v>33393</v>
      </c>
    </row>
    <row r="3461" spans="1:59" ht="72.5" x14ac:dyDescent="0.35">
      <c r="A3461" s="2" t="s">
        <v>89</v>
      </c>
      <c r="B3461" s="2" t="s">
        <v>90</v>
      </c>
      <c r="C3461" s="2" t="s">
        <v>33397</v>
      </c>
      <c r="D3461" s="2" t="s">
        <v>33398</v>
      </c>
      <c r="E3461" s="2" t="s">
        <v>33399</v>
      </c>
      <c r="F3461" s="3" t="s">
        <v>33400</v>
      </c>
      <c r="G3461" s="3" t="s">
        <v>62</v>
      </c>
      <c r="I3461" s="3" t="s">
        <v>62</v>
      </c>
      <c r="J3461" s="3" t="s">
        <v>62</v>
      </c>
      <c r="K3461" s="3" t="s">
        <v>63</v>
      </c>
      <c r="M3461" s="2" t="s">
        <v>33401</v>
      </c>
      <c r="N3461" s="3" t="s">
        <v>655</v>
      </c>
      <c r="P3461" s="3" t="s">
        <v>64</v>
      </c>
      <c r="Q3461" s="2" t="s">
        <v>33402</v>
      </c>
      <c r="R3461" s="3" t="s">
        <v>32962</v>
      </c>
      <c r="S3461" s="4">
        <v>6</v>
      </c>
      <c r="T3461" s="4">
        <v>6</v>
      </c>
      <c r="U3461" s="5" t="s">
        <v>20582</v>
      </c>
      <c r="V3461" s="5" t="s">
        <v>20582</v>
      </c>
      <c r="W3461" s="5" t="s">
        <v>67</v>
      </c>
      <c r="X3461" s="5" t="s">
        <v>67</v>
      </c>
      <c r="Y3461" s="4">
        <v>297</v>
      </c>
      <c r="Z3461" s="4">
        <v>15</v>
      </c>
      <c r="AA3461" s="4">
        <v>33</v>
      </c>
      <c r="AB3461" s="4">
        <v>1</v>
      </c>
      <c r="AC3461" s="4">
        <v>6</v>
      </c>
      <c r="AD3461" s="4">
        <v>83</v>
      </c>
      <c r="AE3461" s="4">
        <v>103</v>
      </c>
      <c r="AF3461" s="4">
        <v>0</v>
      </c>
      <c r="AG3461" s="4">
        <v>2</v>
      </c>
      <c r="AH3461" s="4">
        <v>76</v>
      </c>
      <c r="AI3461" s="4">
        <v>86</v>
      </c>
      <c r="AJ3461" s="4">
        <v>10</v>
      </c>
      <c r="AK3461" s="4">
        <v>14</v>
      </c>
      <c r="AL3461" s="4">
        <v>45</v>
      </c>
      <c r="AM3461" s="4">
        <v>50</v>
      </c>
      <c r="AN3461" s="4">
        <v>0</v>
      </c>
      <c r="AO3461" s="4">
        <v>0</v>
      </c>
      <c r="AP3461" s="4">
        <v>11</v>
      </c>
      <c r="AQ3461" s="4">
        <v>21</v>
      </c>
      <c r="AR3461" s="3" t="s">
        <v>62</v>
      </c>
      <c r="AS3461" s="3" t="s">
        <v>62</v>
      </c>
      <c r="AT3461" s="3" t="s">
        <v>61</v>
      </c>
      <c r="AU3461" s="6" t="str">
        <f>HYPERLINK("http://catalog.hathitrust.org/Record/005671413","HathiTrust Record")</f>
        <v>HathiTrust Record</v>
      </c>
      <c r="AV3461" s="6" t="str">
        <f>HYPERLINK("http://mcgill.on.worldcat.org/oclc/176897672","Catalog Record")</f>
        <v>Catalog Record</v>
      </c>
      <c r="AW3461" s="6" t="str">
        <f>HYPERLINK("http://www.worldcat.org/oclc/176897672","WorldCat Record")</f>
        <v>WorldCat Record</v>
      </c>
      <c r="AX3461" s="3" t="s">
        <v>33403</v>
      </c>
      <c r="AY3461" s="3" t="s">
        <v>33404</v>
      </c>
      <c r="AZ3461" s="3" t="s">
        <v>33405</v>
      </c>
      <c r="BA3461" s="3" t="s">
        <v>33405</v>
      </c>
      <c r="BB3461" s="3" t="s">
        <v>33406</v>
      </c>
      <c r="BC3461" s="3" t="s">
        <v>102</v>
      </c>
      <c r="BD3461" s="3" t="s">
        <v>231</v>
      </c>
      <c r="BE3461" s="3" t="s">
        <v>33407</v>
      </c>
      <c r="BF3461" s="3" t="s">
        <v>33406</v>
      </c>
      <c r="BG3461" s="3" t="s">
        <v>33408</v>
      </c>
    </row>
    <row r="3462" spans="1:59" ht="58" x14ac:dyDescent="0.35">
      <c r="A3462" s="2" t="s">
        <v>89</v>
      </c>
      <c r="B3462" s="2" t="s">
        <v>90</v>
      </c>
      <c r="C3462" s="2" t="s">
        <v>33411</v>
      </c>
      <c r="D3462" s="2" t="s">
        <v>33412</v>
      </c>
      <c r="E3462" s="2" t="s">
        <v>33413</v>
      </c>
      <c r="G3462" s="3" t="s">
        <v>62</v>
      </c>
      <c r="I3462" s="3" t="s">
        <v>62</v>
      </c>
      <c r="J3462" s="3" t="s">
        <v>62</v>
      </c>
      <c r="K3462" s="3" t="s">
        <v>63</v>
      </c>
      <c r="M3462" s="2" t="s">
        <v>33414</v>
      </c>
      <c r="N3462" s="3" t="s">
        <v>640</v>
      </c>
      <c r="P3462" s="3" t="s">
        <v>64</v>
      </c>
      <c r="R3462" s="3" t="s">
        <v>32962</v>
      </c>
      <c r="S3462" s="4">
        <v>6</v>
      </c>
      <c r="T3462" s="4">
        <v>6</v>
      </c>
      <c r="U3462" s="5" t="s">
        <v>23850</v>
      </c>
      <c r="V3462" s="5" t="s">
        <v>23850</v>
      </c>
      <c r="W3462" s="5" t="s">
        <v>67</v>
      </c>
      <c r="X3462" s="5" t="s">
        <v>67</v>
      </c>
      <c r="Y3462" s="4">
        <v>179</v>
      </c>
      <c r="Z3462" s="4">
        <v>19</v>
      </c>
      <c r="AA3462" s="4">
        <v>24</v>
      </c>
      <c r="AB3462" s="4">
        <v>1</v>
      </c>
      <c r="AC3462" s="4">
        <v>4</v>
      </c>
      <c r="AD3462" s="4">
        <v>84</v>
      </c>
      <c r="AE3462" s="4">
        <v>87</v>
      </c>
      <c r="AF3462" s="4">
        <v>0</v>
      </c>
      <c r="AG3462" s="4">
        <v>0</v>
      </c>
      <c r="AH3462" s="4">
        <v>78</v>
      </c>
      <c r="AI3462" s="4">
        <v>80</v>
      </c>
      <c r="AJ3462" s="4">
        <v>13</v>
      </c>
      <c r="AK3462" s="4">
        <v>13</v>
      </c>
      <c r="AL3462" s="4">
        <v>47</v>
      </c>
      <c r="AM3462" s="4">
        <v>48</v>
      </c>
      <c r="AN3462" s="4">
        <v>0</v>
      </c>
      <c r="AO3462" s="4">
        <v>0</v>
      </c>
      <c r="AP3462" s="4">
        <v>14</v>
      </c>
      <c r="AQ3462" s="4">
        <v>15</v>
      </c>
      <c r="AR3462" s="3" t="s">
        <v>62</v>
      </c>
      <c r="AS3462" s="3" t="s">
        <v>62</v>
      </c>
      <c r="AT3462" s="3" t="s">
        <v>62</v>
      </c>
      <c r="AV3462" s="6" t="str">
        <f>HYPERLINK("http://mcgill.on.worldcat.org/oclc/56911728","Catalog Record")</f>
        <v>Catalog Record</v>
      </c>
      <c r="AW3462" s="6" t="str">
        <f>HYPERLINK("http://www.worldcat.org/oclc/56911728","WorldCat Record")</f>
        <v>WorldCat Record</v>
      </c>
      <c r="AX3462" s="3" t="s">
        <v>33415</v>
      </c>
      <c r="AY3462" s="3" t="s">
        <v>33416</v>
      </c>
      <c r="AZ3462" s="3" t="s">
        <v>33417</v>
      </c>
      <c r="BA3462" s="3" t="s">
        <v>33417</v>
      </c>
      <c r="BB3462" s="3" t="s">
        <v>33418</v>
      </c>
      <c r="BC3462" s="3" t="s">
        <v>102</v>
      </c>
      <c r="BD3462" s="3" t="s">
        <v>231</v>
      </c>
      <c r="BE3462" s="3" t="s">
        <v>33419</v>
      </c>
      <c r="BF3462" s="3" t="s">
        <v>33418</v>
      </c>
      <c r="BG3462" s="3" t="s">
        <v>33420</v>
      </c>
    </row>
    <row r="3463" spans="1:59" ht="58" x14ac:dyDescent="0.35">
      <c r="A3463" s="2" t="s">
        <v>89</v>
      </c>
      <c r="B3463" s="2" t="s">
        <v>90</v>
      </c>
      <c r="C3463" s="2" t="s">
        <v>33421</v>
      </c>
      <c r="D3463" s="2" t="s">
        <v>33422</v>
      </c>
      <c r="E3463" s="2" t="s">
        <v>33423</v>
      </c>
      <c r="G3463" s="3" t="s">
        <v>62</v>
      </c>
      <c r="I3463" s="3" t="s">
        <v>62</v>
      </c>
      <c r="J3463" s="3" t="s">
        <v>62</v>
      </c>
      <c r="K3463" s="3" t="s">
        <v>63</v>
      </c>
      <c r="L3463" s="2" t="s">
        <v>33424</v>
      </c>
      <c r="M3463" s="2" t="s">
        <v>33425</v>
      </c>
      <c r="N3463" s="3" t="s">
        <v>2924</v>
      </c>
      <c r="P3463" s="3" t="s">
        <v>64</v>
      </c>
      <c r="R3463" s="3" t="s">
        <v>32962</v>
      </c>
      <c r="S3463" s="4">
        <v>5</v>
      </c>
      <c r="T3463" s="4">
        <v>5</v>
      </c>
      <c r="U3463" s="5" t="s">
        <v>33426</v>
      </c>
      <c r="V3463" s="5" t="s">
        <v>33426</v>
      </c>
      <c r="W3463" s="5" t="s">
        <v>67</v>
      </c>
      <c r="X3463" s="5" t="s">
        <v>67</v>
      </c>
      <c r="Y3463" s="4">
        <v>293</v>
      </c>
      <c r="Z3463" s="4">
        <v>18</v>
      </c>
      <c r="AA3463" s="4">
        <v>20</v>
      </c>
      <c r="AB3463" s="4">
        <v>2</v>
      </c>
      <c r="AC3463" s="4">
        <v>3</v>
      </c>
      <c r="AD3463" s="4">
        <v>90</v>
      </c>
      <c r="AE3463" s="4">
        <v>95</v>
      </c>
      <c r="AF3463" s="4">
        <v>1</v>
      </c>
      <c r="AG3463" s="4">
        <v>2</v>
      </c>
      <c r="AH3463" s="4">
        <v>81</v>
      </c>
      <c r="AI3463" s="4">
        <v>84</v>
      </c>
      <c r="AJ3463" s="4">
        <v>15</v>
      </c>
      <c r="AK3463" s="4">
        <v>15</v>
      </c>
      <c r="AL3463" s="4">
        <v>47</v>
      </c>
      <c r="AM3463" s="4">
        <v>49</v>
      </c>
      <c r="AN3463" s="4">
        <v>0</v>
      </c>
      <c r="AO3463" s="4">
        <v>0</v>
      </c>
      <c r="AP3463" s="4">
        <v>14</v>
      </c>
      <c r="AQ3463" s="4">
        <v>16</v>
      </c>
      <c r="AR3463" s="3" t="s">
        <v>62</v>
      </c>
      <c r="AS3463" s="3" t="s">
        <v>62</v>
      </c>
      <c r="AT3463" s="3" t="s">
        <v>61</v>
      </c>
      <c r="AU3463" s="6" t="str">
        <f>HYPERLINK("http://catalog.hathitrust.org/Record/002001722","HathiTrust Record")</f>
        <v>HathiTrust Record</v>
      </c>
      <c r="AV3463" s="6" t="str">
        <f>HYPERLINK("http://mcgill.on.worldcat.org/oclc/653564","Catalog Record")</f>
        <v>Catalog Record</v>
      </c>
      <c r="AW3463" s="6" t="str">
        <f>HYPERLINK("http://www.worldcat.org/oclc/653564","WorldCat Record")</f>
        <v>WorldCat Record</v>
      </c>
      <c r="AX3463" s="3" t="s">
        <v>33427</v>
      </c>
      <c r="AY3463" s="3" t="s">
        <v>33428</v>
      </c>
      <c r="AZ3463" s="3" t="s">
        <v>33429</v>
      </c>
      <c r="BA3463" s="3" t="s">
        <v>33429</v>
      </c>
      <c r="BB3463" s="3" t="s">
        <v>33430</v>
      </c>
      <c r="BC3463" s="3" t="s">
        <v>102</v>
      </c>
      <c r="BD3463" s="3" t="s">
        <v>68</v>
      </c>
      <c r="BF3463" s="3" t="s">
        <v>33430</v>
      </c>
      <c r="BG3463" s="3" t="s">
        <v>33431</v>
      </c>
    </row>
    <row r="3464" spans="1:59" ht="101.5" x14ac:dyDescent="0.35">
      <c r="A3464" s="2" t="s">
        <v>89</v>
      </c>
      <c r="B3464" s="2" t="s">
        <v>12301</v>
      </c>
      <c r="C3464" s="2" t="s">
        <v>33432</v>
      </c>
      <c r="D3464" s="2" t="s">
        <v>33433</v>
      </c>
      <c r="E3464" s="2" t="s">
        <v>33434</v>
      </c>
      <c r="G3464" s="3" t="s">
        <v>62</v>
      </c>
      <c r="I3464" s="3" t="s">
        <v>62</v>
      </c>
      <c r="J3464" s="3" t="s">
        <v>61</v>
      </c>
      <c r="K3464" s="3" t="s">
        <v>63</v>
      </c>
      <c r="L3464" s="2" t="s">
        <v>33435</v>
      </c>
      <c r="M3464" s="2" t="s">
        <v>33436</v>
      </c>
      <c r="N3464" s="3" t="s">
        <v>698</v>
      </c>
      <c r="O3464" s="2" t="s">
        <v>2986</v>
      </c>
      <c r="P3464" s="3" t="s">
        <v>64</v>
      </c>
      <c r="R3464" s="3" t="s">
        <v>32962</v>
      </c>
      <c r="S3464" s="4">
        <v>67</v>
      </c>
      <c r="T3464" s="4">
        <v>67</v>
      </c>
      <c r="U3464" s="5" t="s">
        <v>33437</v>
      </c>
      <c r="V3464" s="5" t="s">
        <v>33437</v>
      </c>
      <c r="W3464" s="5" t="s">
        <v>67</v>
      </c>
      <c r="X3464" s="5" t="s">
        <v>67</v>
      </c>
      <c r="Y3464" s="4">
        <v>163</v>
      </c>
      <c r="Z3464" s="4">
        <v>19</v>
      </c>
      <c r="AA3464" s="4">
        <v>44</v>
      </c>
      <c r="AB3464" s="4">
        <v>1</v>
      </c>
      <c r="AC3464" s="4">
        <v>7</v>
      </c>
      <c r="AD3464" s="4">
        <v>56</v>
      </c>
      <c r="AE3464" s="4">
        <v>110</v>
      </c>
      <c r="AF3464" s="4">
        <v>0</v>
      </c>
      <c r="AG3464" s="4">
        <v>5</v>
      </c>
      <c r="AH3464" s="4">
        <v>48</v>
      </c>
      <c r="AI3464" s="4">
        <v>90</v>
      </c>
      <c r="AJ3464" s="4">
        <v>12</v>
      </c>
      <c r="AK3464" s="4">
        <v>23</v>
      </c>
      <c r="AL3464" s="4">
        <v>29</v>
      </c>
      <c r="AM3464" s="4">
        <v>46</v>
      </c>
      <c r="AN3464" s="4">
        <v>0</v>
      </c>
      <c r="AO3464" s="4">
        <v>0</v>
      </c>
      <c r="AP3464" s="4">
        <v>13</v>
      </c>
      <c r="AQ3464" s="4">
        <v>31</v>
      </c>
      <c r="AR3464" s="3" t="s">
        <v>62</v>
      </c>
      <c r="AS3464" s="3" t="s">
        <v>62</v>
      </c>
      <c r="AT3464" s="3" t="s">
        <v>62</v>
      </c>
      <c r="AV3464" s="6" t="str">
        <f>HYPERLINK("http://mcgill.on.worldcat.org/oclc/729863174","Catalog Record")</f>
        <v>Catalog Record</v>
      </c>
      <c r="AW3464" s="6" t="str">
        <f>HYPERLINK("http://www.worldcat.org/oclc/729863174","WorldCat Record")</f>
        <v>WorldCat Record</v>
      </c>
      <c r="AX3464" s="3" t="s">
        <v>33438</v>
      </c>
      <c r="AY3464" s="3" t="s">
        <v>33439</v>
      </c>
      <c r="AZ3464" s="3" t="s">
        <v>33440</v>
      </c>
      <c r="BA3464" s="3" t="s">
        <v>33440</v>
      </c>
      <c r="BB3464" s="3" t="s">
        <v>33441</v>
      </c>
      <c r="BC3464" s="3" t="s">
        <v>102</v>
      </c>
      <c r="BD3464" s="3" t="s">
        <v>68</v>
      </c>
      <c r="BE3464" s="3" t="s">
        <v>33442</v>
      </c>
      <c r="BF3464" s="3" t="s">
        <v>33441</v>
      </c>
      <c r="BG3464" s="3" t="s">
        <v>33443</v>
      </c>
    </row>
    <row r="3465" spans="1:59" ht="58" x14ac:dyDescent="0.35">
      <c r="A3465" s="2" t="s">
        <v>89</v>
      </c>
      <c r="B3465" s="2" t="s">
        <v>90</v>
      </c>
      <c r="C3465" s="2" t="s">
        <v>33444</v>
      </c>
      <c r="D3465" s="2" t="s">
        <v>33445</v>
      </c>
      <c r="E3465" s="2" t="s">
        <v>33446</v>
      </c>
      <c r="G3465" s="3" t="s">
        <v>62</v>
      </c>
      <c r="I3465" s="3" t="s">
        <v>61</v>
      </c>
      <c r="J3465" s="3" t="s">
        <v>62</v>
      </c>
      <c r="K3465" s="3" t="s">
        <v>63</v>
      </c>
      <c r="L3465" s="2" t="s">
        <v>33447</v>
      </c>
      <c r="M3465" s="2" t="s">
        <v>31398</v>
      </c>
      <c r="N3465" s="3" t="s">
        <v>2110</v>
      </c>
      <c r="P3465" s="3" t="s">
        <v>64</v>
      </c>
      <c r="Q3465" s="2" t="s">
        <v>33448</v>
      </c>
      <c r="R3465" s="3" t="s">
        <v>32962</v>
      </c>
      <c r="S3465" s="4">
        <v>3</v>
      </c>
      <c r="T3465" s="4">
        <v>22</v>
      </c>
      <c r="U3465" s="5" t="s">
        <v>33449</v>
      </c>
      <c r="V3465" s="5" t="s">
        <v>18898</v>
      </c>
      <c r="W3465" s="5" t="s">
        <v>67</v>
      </c>
      <c r="X3465" s="5" t="s">
        <v>67</v>
      </c>
      <c r="Y3465" s="4">
        <v>355</v>
      </c>
      <c r="Z3465" s="4">
        <v>26</v>
      </c>
      <c r="AA3465" s="4">
        <v>29</v>
      </c>
      <c r="AB3465" s="4">
        <v>2</v>
      </c>
      <c r="AC3465" s="4">
        <v>5</v>
      </c>
      <c r="AD3465" s="4">
        <v>109</v>
      </c>
      <c r="AE3465" s="4">
        <v>112</v>
      </c>
      <c r="AF3465" s="4">
        <v>1</v>
      </c>
      <c r="AG3465" s="4">
        <v>4</v>
      </c>
      <c r="AH3465" s="4">
        <v>95</v>
      </c>
      <c r="AI3465" s="4">
        <v>96</v>
      </c>
      <c r="AJ3465" s="4">
        <v>19</v>
      </c>
      <c r="AK3465" s="4">
        <v>21</v>
      </c>
      <c r="AL3465" s="4">
        <v>51</v>
      </c>
      <c r="AM3465" s="4">
        <v>51</v>
      </c>
      <c r="AN3465" s="4">
        <v>0</v>
      </c>
      <c r="AO3465" s="4">
        <v>0</v>
      </c>
      <c r="AP3465" s="4">
        <v>21</v>
      </c>
      <c r="AQ3465" s="4">
        <v>24</v>
      </c>
      <c r="AR3465" s="3" t="s">
        <v>62</v>
      </c>
      <c r="AS3465" s="3" t="s">
        <v>62</v>
      </c>
      <c r="AT3465" s="3" t="s">
        <v>62</v>
      </c>
      <c r="AV3465" s="6" t="str">
        <f>HYPERLINK("http://mcgill.on.worldcat.org/oclc/2645305","Catalog Record")</f>
        <v>Catalog Record</v>
      </c>
      <c r="AW3465" s="6" t="str">
        <f>HYPERLINK("http://www.worldcat.org/oclc/2645305","WorldCat Record")</f>
        <v>WorldCat Record</v>
      </c>
      <c r="AX3465" s="3" t="s">
        <v>33450</v>
      </c>
      <c r="AY3465" s="3" t="s">
        <v>33451</v>
      </c>
      <c r="AZ3465" s="3" t="s">
        <v>33452</v>
      </c>
      <c r="BA3465" s="3" t="s">
        <v>33452</v>
      </c>
      <c r="BB3465" s="3" t="s">
        <v>33453</v>
      </c>
      <c r="BC3465" s="3" t="s">
        <v>102</v>
      </c>
      <c r="BD3465" s="3" t="s">
        <v>68</v>
      </c>
      <c r="BE3465" s="3" t="s">
        <v>33454</v>
      </c>
      <c r="BF3465" s="3" t="s">
        <v>33453</v>
      </c>
      <c r="BG3465" s="3" t="s">
        <v>33455</v>
      </c>
    </row>
    <row r="3466" spans="1:59" ht="87" x14ac:dyDescent="0.35">
      <c r="A3466" s="2" t="s">
        <v>89</v>
      </c>
      <c r="B3466" s="2" t="s">
        <v>1231</v>
      </c>
      <c r="C3466" s="2" t="s">
        <v>33456</v>
      </c>
      <c r="D3466" s="2" t="s">
        <v>33457</v>
      </c>
      <c r="E3466" s="2" t="s">
        <v>33458</v>
      </c>
      <c r="G3466" s="3" t="s">
        <v>62</v>
      </c>
      <c r="H3466" s="3" t="s">
        <v>916</v>
      </c>
      <c r="I3466" s="3" t="s">
        <v>62</v>
      </c>
      <c r="J3466" s="3" t="s">
        <v>62</v>
      </c>
      <c r="K3466" s="3" t="s">
        <v>63</v>
      </c>
      <c r="M3466" s="2" t="s">
        <v>33459</v>
      </c>
      <c r="N3466" s="3" t="s">
        <v>726</v>
      </c>
      <c r="P3466" s="3" t="s">
        <v>64</v>
      </c>
      <c r="Q3466" s="2" t="s">
        <v>33460</v>
      </c>
      <c r="R3466" s="3" t="s">
        <v>32962</v>
      </c>
      <c r="S3466" s="4">
        <v>0</v>
      </c>
      <c r="T3466" s="4">
        <v>0</v>
      </c>
      <c r="W3466" s="5" t="s">
        <v>17213</v>
      </c>
      <c r="X3466" s="5" t="s">
        <v>17213</v>
      </c>
      <c r="Y3466" s="4">
        <v>29</v>
      </c>
      <c r="Z3466" s="4">
        <v>1</v>
      </c>
      <c r="AA3466" s="4">
        <v>1</v>
      </c>
      <c r="AB3466" s="4">
        <v>1</v>
      </c>
      <c r="AC3466" s="4">
        <v>1</v>
      </c>
      <c r="AD3466" s="4">
        <v>12</v>
      </c>
      <c r="AE3466" s="4">
        <v>12</v>
      </c>
      <c r="AF3466" s="4">
        <v>0</v>
      </c>
      <c r="AG3466" s="4">
        <v>0</v>
      </c>
      <c r="AH3466" s="4">
        <v>11</v>
      </c>
      <c r="AI3466" s="4">
        <v>11</v>
      </c>
      <c r="AJ3466" s="4">
        <v>0</v>
      </c>
      <c r="AK3466" s="4">
        <v>0</v>
      </c>
      <c r="AL3466" s="4">
        <v>8</v>
      </c>
      <c r="AM3466" s="4">
        <v>8</v>
      </c>
      <c r="AN3466" s="4">
        <v>0</v>
      </c>
      <c r="AO3466" s="4">
        <v>0</v>
      </c>
      <c r="AP3466" s="4">
        <v>0</v>
      </c>
      <c r="AQ3466" s="4">
        <v>0</v>
      </c>
      <c r="AR3466" s="3" t="s">
        <v>62</v>
      </c>
      <c r="AS3466" s="3" t="s">
        <v>62</v>
      </c>
      <c r="AT3466" s="3" t="s">
        <v>62</v>
      </c>
      <c r="AV3466" s="6" t="str">
        <f>HYPERLINK("http://mcgill.on.worldcat.org/oclc/985344048","Catalog Record")</f>
        <v>Catalog Record</v>
      </c>
      <c r="AW3466" s="6" t="str">
        <f>HYPERLINK("http://www.worldcat.org/oclc/985344048","WorldCat Record")</f>
        <v>WorldCat Record</v>
      </c>
      <c r="AX3466" s="3" t="s">
        <v>33461</v>
      </c>
      <c r="AY3466" s="3" t="s">
        <v>33462</v>
      </c>
      <c r="AZ3466" s="3" t="s">
        <v>33463</v>
      </c>
      <c r="BA3466" s="3" t="s">
        <v>33463</v>
      </c>
      <c r="BB3466" s="3" t="s">
        <v>33464</v>
      </c>
      <c r="BC3466" s="3" t="s">
        <v>102</v>
      </c>
      <c r="BD3466" s="3" t="s">
        <v>68</v>
      </c>
      <c r="BE3466" s="3" t="s">
        <v>33465</v>
      </c>
      <c r="BF3466" s="3" t="s">
        <v>33464</v>
      </c>
      <c r="BG3466" s="3" t="s">
        <v>33466</v>
      </c>
    </row>
    <row r="3467" spans="1:59" ht="58" x14ac:dyDescent="0.35">
      <c r="A3467" s="2" t="s">
        <v>89</v>
      </c>
      <c r="B3467" s="2" t="s">
        <v>90</v>
      </c>
      <c r="C3467" s="2" t="s">
        <v>33467</v>
      </c>
      <c r="D3467" s="2" t="s">
        <v>33468</v>
      </c>
      <c r="E3467" s="2" t="s">
        <v>33469</v>
      </c>
      <c r="G3467" s="3" t="s">
        <v>62</v>
      </c>
      <c r="I3467" s="3" t="s">
        <v>62</v>
      </c>
      <c r="J3467" s="3" t="s">
        <v>62</v>
      </c>
      <c r="K3467" s="3" t="s">
        <v>63</v>
      </c>
      <c r="L3467" s="2" t="s">
        <v>33470</v>
      </c>
      <c r="M3467" s="2" t="s">
        <v>33471</v>
      </c>
      <c r="N3467" s="3" t="s">
        <v>1038</v>
      </c>
      <c r="O3467" s="2" t="s">
        <v>5022</v>
      </c>
      <c r="P3467" s="3" t="s">
        <v>64</v>
      </c>
      <c r="R3467" s="3" t="s">
        <v>32962</v>
      </c>
      <c r="S3467" s="4">
        <v>0</v>
      </c>
      <c r="T3467" s="4">
        <v>0</v>
      </c>
      <c r="W3467" s="5" t="s">
        <v>67</v>
      </c>
      <c r="X3467" s="5" t="s">
        <v>67</v>
      </c>
      <c r="Y3467" s="4">
        <v>103</v>
      </c>
      <c r="Z3467" s="4">
        <v>3</v>
      </c>
      <c r="AA3467" s="4">
        <v>17</v>
      </c>
      <c r="AB3467" s="4">
        <v>1</v>
      </c>
      <c r="AC3467" s="4">
        <v>4</v>
      </c>
      <c r="AD3467" s="4">
        <v>10</v>
      </c>
      <c r="AE3467" s="4">
        <v>26</v>
      </c>
      <c r="AF3467" s="4">
        <v>0</v>
      </c>
      <c r="AG3467" s="4">
        <v>0</v>
      </c>
      <c r="AH3467" s="4">
        <v>9</v>
      </c>
      <c r="AI3467" s="4">
        <v>25</v>
      </c>
      <c r="AJ3467" s="4">
        <v>1</v>
      </c>
      <c r="AK3467" s="4">
        <v>1</v>
      </c>
      <c r="AL3467" s="4">
        <v>3</v>
      </c>
      <c r="AM3467" s="4">
        <v>11</v>
      </c>
      <c r="AN3467" s="4">
        <v>0</v>
      </c>
      <c r="AO3467" s="4">
        <v>0</v>
      </c>
      <c r="AP3467" s="4">
        <v>1</v>
      </c>
      <c r="AQ3467" s="4">
        <v>1</v>
      </c>
      <c r="AR3467" s="3" t="s">
        <v>62</v>
      </c>
      <c r="AS3467" s="3" t="s">
        <v>62</v>
      </c>
      <c r="AT3467" s="3" t="s">
        <v>62</v>
      </c>
      <c r="AV3467" s="6" t="str">
        <f>HYPERLINK("http://mcgill.on.worldcat.org/oclc/954205522","Catalog Record")</f>
        <v>Catalog Record</v>
      </c>
      <c r="AW3467" s="6" t="str">
        <f>HYPERLINK("http://www.worldcat.org/oclc/954205522","WorldCat Record")</f>
        <v>WorldCat Record</v>
      </c>
      <c r="AX3467" s="3" t="s">
        <v>33472</v>
      </c>
      <c r="AY3467" s="3" t="s">
        <v>33473</v>
      </c>
      <c r="AZ3467" s="3" t="s">
        <v>33474</v>
      </c>
      <c r="BA3467" s="3" t="s">
        <v>33474</v>
      </c>
      <c r="BB3467" s="3" t="s">
        <v>33475</v>
      </c>
      <c r="BC3467" s="3" t="s">
        <v>102</v>
      </c>
      <c r="BD3467" s="3" t="s">
        <v>68</v>
      </c>
      <c r="BE3467" s="3" t="s">
        <v>33476</v>
      </c>
      <c r="BF3467" s="3" t="s">
        <v>33475</v>
      </c>
      <c r="BG3467" s="3" t="s">
        <v>33477</v>
      </c>
    </row>
    <row r="3468" spans="1:59" ht="58" x14ac:dyDescent="0.35">
      <c r="A3468" s="2" t="s">
        <v>89</v>
      </c>
      <c r="B3468" s="2" t="s">
        <v>90</v>
      </c>
      <c r="C3468" s="2" t="s">
        <v>33478</v>
      </c>
      <c r="D3468" s="2" t="s">
        <v>33479</v>
      </c>
      <c r="E3468" s="2" t="s">
        <v>33480</v>
      </c>
      <c r="G3468" s="3" t="s">
        <v>62</v>
      </c>
      <c r="I3468" s="3" t="s">
        <v>62</v>
      </c>
      <c r="J3468" s="3" t="s">
        <v>62</v>
      </c>
      <c r="K3468" s="3" t="s">
        <v>63</v>
      </c>
      <c r="M3468" s="2" t="s">
        <v>33481</v>
      </c>
      <c r="N3468" s="3" t="s">
        <v>880</v>
      </c>
      <c r="P3468" s="3" t="s">
        <v>64</v>
      </c>
      <c r="Q3468" s="2" t="s">
        <v>33482</v>
      </c>
      <c r="R3468" s="3" t="s">
        <v>32962</v>
      </c>
      <c r="S3468" s="4">
        <v>0</v>
      </c>
      <c r="T3468" s="4">
        <v>0</v>
      </c>
      <c r="W3468" s="5" t="s">
        <v>67</v>
      </c>
      <c r="X3468" s="5" t="s">
        <v>67</v>
      </c>
      <c r="Y3468" s="4">
        <v>68</v>
      </c>
      <c r="Z3468" s="4">
        <v>10</v>
      </c>
      <c r="AA3468" s="4">
        <v>10</v>
      </c>
      <c r="AB3468" s="4">
        <v>2</v>
      </c>
      <c r="AC3468" s="4">
        <v>2</v>
      </c>
      <c r="AD3468" s="4">
        <v>42</v>
      </c>
      <c r="AE3468" s="4">
        <v>42</v>
      </c>
      <c r="AF3468" s="4">
        <v>1</v>
      </c>
      <c r="AG3468" s="4">
        <v>1</v>
      </c>
      <c r="AH3468" s="4">
        <v>38</v>
      </c>
      <c r="AI3468" s="4">
        <v>38</v>
      </c>
      <c r="AJ3468" s="4">
        <v>7</v>
      </c>
      <c r="AK3468" s="4">
        <v>7</v>
      </c>
      <c r="AL3468" s="4">
        <v>26</v>
      </c>
      <c r="AM3468" s="4">
        <v>26</v>
      </c>
      <c r="AN3468" s="4">
        <v>0</v>
      </c>
      <c r="AO3468" s="4">
        <v>0</v>
      </c>
      <c r="AP3468" s="4">
        <v>8</v>
      </c>
      <c r="AQ3468" s="4">
        <v>8</v>
      </c>
      <c r="AR3468" s="3" t="s">
        <v>62</v>
      </c>
      <c r="AS3468" s="3" t="s">
        <v>62</v>
      </c>
      <c r="AT3468" s="3" t="s">
        <v>62</v>
      </c>
      <c r="AV3468" s="6" t="str">
        <f>HYPERLINK("http://mcgill.on.worldcat.org/oclc/671298152","Catalog Record")</f>
        <v>Catalog Record</v>
      </c>
      <c r="AW3468" s="6" t="str">
        <f>HYPERLINK("http://www.worldcat.org/oclc/671298152","WorldCat Record")</f>
        <v>WorldCat Record</v>
      </c>
      <c r="AX3468" s="3" t="s">
        <v>33483</v>
      </c>
      <c r="AY3468" s="3" t="s">
        <v>33484</v>
      </c>
      <c r="AZ3468" s="3" t="s">
        <v>33485</v>
      </c>
      <c r="BA3468" s="3" t="s">
        <v>33485</v>
      </c>
      <c r="BB3468" s="3" t="s">
        <v>33486</v>
      </c>
      <c r="BC3468" s="3" t="s">
        <v>102</v>
      </c>
      <c r="BD3468" s="3" t="s">
        <v>68</v>
      </c>
      <c r="BE3468" s="3" t="s">
        <v>33487</v>
      </c>
      <c r="BF3468" s="3" t="s">
        <v>33486</v>
      </c>
      <c r="BG3468" s="3" t="s">
        <v>33488</v>
      </c>
    </row>
    <row r="3469" spans="1:59" ht="58" x14ac:dyDescent="0.35">
      <c r="A3469" s="2" t="s">
        <v>89</v>
      </c>
      <c r="B3469" s="2" t="s">
        <v>90</v>
      </c>
      <c r="C3469" s="2" t="s">
        <v>33489</v>
      </c>
      <c r="D3469" s="2" t="s">
        <v>33490</v>
      </c>
      <c r="E3469" s="2" t="s">
        <v>33491</v>
      </c>
      <c r="G3469" s="3" t="s">
        <v>62</v>
      </c>
      <c r="I3469" s="3" t="s">
        <v>62</v>
      </c>
      <c r="J3469" s="3" t="s">
        <v>62</v>
      </c>
      <c r="K3469" s="3" t="s">
        <v>63</v>
      </c>
      <c r="M3469" s="2" t="s">
        <v>33492</v>
      </c>
      <c r="N3469" s="3" t="s">
        <v>655</v>
      </c>
      <c r="P3469" s="3" t="s">
        <v>64</v>
      </c>
      <c r="Q3469" s="2" t="s">
        <v>33493</v>
      </c>
      <c r="R3469" s="3" t="s">
        <v>32962</v>
      </c>
      <c r="S3469" s="4">
        <v>4</v>
      </c>
      <c r="T3469" s="4">
        <v>4</v>
      </c>
      <c r="U3469" s="5" t="s">
        <v>33494</v>
      </c>
      <c r="V3469" s="5" t="s">
        <v>33494</v>
      </c>
      <c r="W3469" s="5" t="s">
        <v>67</v>
      </c>
      <c r="X3469" s="5" t="s">
        <v>67</v>
      </c>
      <c r="Y3469" s="4">
        <v>60</v>
      </c>
      <c r="Z3469" s="4">
        <v>7</v>
      </c>
      <c r="AA3469" s="4">
        <v>7</v>
      </c>
      <c r="AB3469" s="4">
        <v>1</v>
      </c>
      <c r="AC3469" s="4">
        <v>1</v>
      </c>
      <c r="AD3469" s="4">
        <v>38</v>
      </c>
      <c r="AE3469" s="4">
        <v>38</v>
      </c>
      <c r="AF3469" s="4">
        <v>0</v>
      </c>
      <c r="AG3469" s="4">
        <v>0</v>
      </c>
      <c r="AH3469" s="4">
        <v>36</v>
      </c>
      <c r="AI3469" s="4">
        <v>36</v>
      </c>
      <c r="AJ3469" s="4">
        <v>3</v>
      </c>
      <c r="AK3469" s="4">
        <v>3</v>
      </c>
      <c r="AL3469" s="4">
        <v>24</v>
      </c>
      <c r="AM3469" s="4">
        <v>24</v>
      </c>
      <c r="AN3469" s="4">
        <v>0</v>
      </c>
      <c r="AO3469" s="4">
        <v>0</v>
      </c>
      <c r="AP3469" s="4">
        <v>4</v>
      </c>
      <c r="AQ3469" s="4">
        <v>4</v>
      </c>
      <c r="AR3469" s="3" t="s">
        <v>62</v>
      </c>
      <c r="AS3469" s="3" t="s">
        <v>62</v>
      </c>
      <c r="AT3469" s="3" t="s">
        <v>61</v>
      </c>
      <c r="AU3469" s="6" t="str">
        <f>HYPERLINK("http://catalog.hathitrust.org/Record/005591168","HathiTrust Record")</f>
        <v>HathiTrust Record</v>
      </c>
      <c r="AV3469" s="6" t="str">
        <f>HYPERLINK("http://mcgill.on.worldcat.org/oclc/133156415","Catalog Record")</f>
        <v>Catalog Record</v>
      </c>
      <c r="AW3469" s="6" t="str">
        <f>HYPERLINK("http://www.worldcat.org/oclc/133156415","WorldCat Record")</f>
        <v>WorldCat Record</v>
      </c>
      <c r="AX3469" s="3" t="s">
        <v>33495</v>
      </c>
      <c r="AY3469" s="3" t="s">
        <v>33496</v>
      </c>
      <c r="AZ3469" s="3" t="s">
        <v>33497</v>
      </c>
      <c r="BA3469" s="3" t="s">
        <v>33497</v>
      </c>
      <c r="BB3469" s="3" t="s">
        <v>33498</v>
      </c>
      <c r="BC3469" s="3" t="s">
        <v>102</v>
      </c>
      <c r="BD3469" s="3" t="s">
        <v>68</v>
      </c>
      <c r="BE3469" s="3" t="s">
        <v>33499</v>
      </c>
      <c r="BF3469" s="3" t="s">
        <v>33498</v>
      </c>
      <c r="BG3469" s="3" t="s">
        <v>33500</v>
      </c>
    </row>
    <row r="3470" spans="1:59" ht="58" x14ac:dyDescent="0.35">
      <c r="A3470" s="2" t="s">
        <v>89</v>
      </c>
      <c r="B3470" s="2" t="s">
        <v>90</v>
      </c>
      <c r="C3470" s="2" t="s">
        <v>33501</v>
      </c>
      <c r="D3470" s="2" t="s">
        <v>33502</v>
      </c>
      <c r="E3470" s="2" t="s">
        <v>33503</v>
      </c>
      <c r="G3470" s="3" t="s">
        <v>62</v>
      </c>
      <c r="I3470" s="3" t="s">
        <v>62</v>
      </c>
      <c r="J3470" s="3" t="s">
        <v>62</v>
      </c>
      <c r="K3470" s="3" t="s">
        <v>63</v>
      </c>
      <c r="L3470" s="2" t="s">
        <v>33504</v>
      </c>
      <c r="M3470" s="2" t="s">
        <v>33505</v>
      </c>
      <c r="N3470" s="3" t="s">
        <v>2975</v>
      </c>
      <c r="O3470" s="2" t="s">
        <v>2187</v>
      </c>
      <c r="P3470" s="3" t="s">
        <v>64</v>
      </c>
      <c r="R3470" s="3" t="s">
        <v>32962</v>
      </c>
      <c r="S3470" s="4">
        <v>10</v>
      </c>
      <c r="T3470" s="4">
        <v>10</v>
      </c>
      <c r="U3470" s="5" t="s">
        <v>33506</v>
      </c>
      <c r="V3470" s="5" t="s">
        <v>33506</v>
      </c>
      <c r="W3470" s="5" t="s">
        <v>67</v>
      </c>
      <c r="X3470" s="5" t="s">
        <v>67</v>
      </c>
      <c r="Y3470" s="4">
        <v>441</v>
      </c>
      <c r="Z3470" s="4">
        <v>13</v>
      </c>
      <c r="AA3470" s="4">
        <v>15</v>
      </c>
      <c r="AB3470" s="4">
        <v>2</v>
      </c>
      <c r="AC3470" s="4">
        <v>2</v>
      </c>
      <c r="AD3470" s="4">
        <v>55</v>
      </c>
      <c r="AE3470" s="4">
        <v>59</v>
      </c>
      <c r="AF3470" s="4">
        <v>0</v>
      </c>
      <c r="AG3470" s="4">
        <v>0</v>
      </c>
      <c r="AH3470" s="4">
        <v>53</v>
      </c>
      <c r="AI3470" s="4">
        <v>57</v>
      </c>
      <c r="AJ3470" s="4">
        <v>2</v>
      </c>
      <c r="AK3470" s="4">
        <v>3</v>
      </c>
      <c r="AL3470" s="4">
        <v>30</v>
      </c>
      <c r="AM3470" s="4">
        <v>30</v>
      </c>
      <c r="AN3470" s="4">
        <v>0</v>
      </c>
      <c r="AO3470" s="4">
        <v>0</v>
      </c>
      <c r="AP3470" s="4">
        <v>2</v>
      </c>
      <c r="AQ3470" s="4">
        <v>3</v>
      </c>
      <c r="AR3470" s="3" t="s">
        <v>62</v>
      </c>
      <c r="AS3470" s="3" t="s">
        <v>62</v>
      </c>
      <c r="AT3470" s="3" t="s">
        <v>62</v>
      </c>
      <c r="AV3470" s="6" t="str">
        <f>HYPERLINK("http://mcgill.on.worldcat.org/oclc/47240708","Catalog Record")</f>
        <v>Catalog Record</v>
      </c>
      <c r="AW3470" s="6" t="str">
        <f>HYPERLINK("http://www.worldcat.org/oclc/47240708","WorldCat Record")</f>
        <v>WorldCat Record</v>
      </c>
      <c r="AX3470" s="3" t="s">
        <v>33507</v>
      </c>
      <c r="AY3470" s="3" t="s">
        <v>33508</v>
      </c>
      <c r="AZ3470" s="3" t="s">
        <v>33509</v>
      </c>
      <c r="BA3470" s="3" t="s">
        <v>33509</v>
      </c>
      <c r="BB3470" s="3" t="s">
        <v>33510</v>
      </c>
      <c r="BC3470" s="3" t="s">
        <v>102</v>
      </c>
      <c r="BD3470" s="3" t="s">
        <v>68</v>
      </c>
      <c r="BE3470" s="3" t="s">
        <v>33511</v>
      </c>
      <c r="BF3470" s="3" t="s">
        <v>33510</v>
      </c>
      <c r="BG3470" s="3" t="s">
        <v>33512</v>
      </c>
    </row>
    <row r="3471" spans="1:59" ht="58" x14ac:dyDescent="0.35">
      <c r="A3471" s="2" t="s">
        <v>89</v>
      </c>
      <c r="B3471" s="2" t="s">
        <v>90</v>
      </c>
      <c r="C3471" s="2" t="s">
        <v>33513</v>
      </c>
      <c r="D3471" s="2" t="s">
        <v>33514</v>
      </c>
      <c r="E3471" s="2" t="s">
        <v>33515</v>
      </c>
      <c r="G3471" s="3" t="s">
        <v>62</v>
      </c>
      <c r="I3471" s="3" t="s">
        <v>61</v>
      </c>
      <c r="J3471" s="3" t="s">
        <v>62</v>
      </c>
      <c r="K3471" s="3" t="s">
        <v>63</v>
      </c>
      <c r="L3471" s="2" t="s">
        <v>33516</v>
      </c>
      <c r="M3471" s="2" t="s">
        <v>33517</v>
      </c>
      <c r="N3471" s="3" t="s">
        <v>852</v>
      </c>
      <c r="O3471" s="2" t="s">
        <v>2849</v>
      </c>
      <c r="P3471" s="3" t="s">
        <v>64</v>
      </c>
      <c r="Q3471" s="2" t="s">
        <v>33518</v>
      </c>
      <c r="R3471" s="3" t="s">
        <v>32962</v>
      </c>
      <c r="S3471" s="4">
        <v>0</v>
      </c>
      <c r="T3471" s="4">
        <v>10</v>
      </c>
      <c r="V3471" s="5" t="s">
        <v>33519</v>
      </c>
      <c r="W3471" s="5" t="s">
        <v>67</v>
      </c>
      <c r="X3471" s="5" t="s">
        <v>67</v>
      </c>
      <c r="Y3471" s="4">
        <v>517</v>
      </c>
      <c r="Z3471" s="4">
        <v>31</v>
      </c>
      <c r="AA3471" s="4">
        <v>41</v>
      </c>
      <c r="AB3471" s="4">
        <v>3</v>
      </c>
      <c r="AC3471" s="4">
        <v>11</v>
      </c>
      <c r="AD3471" s="4">
        <v>115</v>
      </c>
      <c r="AE3471" s="4">
        <v>121</v>
      </c>
      <c r="AF3471" s="4">
        <v>1</v>
      </c>
      <c r="AG3471" s="4">
        <v>4</v>
      </c>
      <c r="AH3471" s="4">
        <v>98</v>
      </c>
      <c r="AI3471" s="4">
        <v>102</v>
      </c>
      <c r="AJ3471" s="4">
        <v>17</v>
      </c>
      <c r="AK3471" s="4">
        <v>20</v>
      </c>
      <c r="AL3471" s="4">
        <v>54</v>
      </c>
      <c r="AM3471" s="4">
        <v>55</v>
      </c>
      <c r="AN3471" s="4">
        <v>0</v>
      </c>
      <c r="AO3471" s="4">
        <v>0</v>
      </c>
      <c r="AP3471" s="4">
        <v>25</v>
      </c>
      <c r="AQ3471" s="4">
        <v>29</v>
      </c>
      <c r="AR3471" s="3" t="s">
        <v>62</v>
      </c>
      <c r="AS3471" s="3" t="s">
        <v>62</v>
      </c>
      <c r="AT3471" s="3" t="s">
        <v>61</v>
      </c>
      <c r="AU3471" s="6" t="str">
        <f>HYPERLINK("http://catalog.hathitrust.org/Record/001488247","HathiTrust Record")</f>
        <v>HathiTrust Record</v>
      </c>
      <c r="AV3471" s="6" t="str">
        <f>HYPERLINK("http://mcgill.on.worldcat.org/oclc/11231","Catalog Record")</f>
        <v>Catalog Record</v>
      </c>
      <c r="AW3471" s="6" t="str">
        <f>HYPERLINK("http://www.worldcat.org/oclc/11231","WorldCat Record")</f>
        <v>WorldCat Record</v>
      </c>
      <c r="AX3471" s="3" t="s">
        <v>33520</v>
      </c>
      <c r="AY3471" s="3" t="s">
        <v>33521</v>
      </c>
      <c r="AZ3471" s="3" t="s">
        <v>33522</v>
      </c>
      <c r="BA3471" s="3" t="s">
        <v>33522</v>
      </c>
      <c r="BB3471" s="3" t="s">
        <v>33523</v>
      </c>
      <c r="BC3471" s="3" t="s">
        <v>102</v>
      </c>
      <c r="BD3471" s="3" t="s">
        <v>68</v>
      </c>
      <c r="BE3471" s="3" t="s">
        <v>33524</v>
      </c>
      <c r="BF3471" s="3" t="s">
        <v>33523</v>
      </c>
      <c r="BG3471" s="3" t="s">
        <v>33525</v>
      </c>
    </row>
    <row r="3472" spans="1:59" ht="58" x14ac:dyDescent="0.35">
      <c r="A3472" s="2" t="s">
        <v>89</v>
      </c>
      <c r="B3472" s="2" t="s">
        <v>18023</v>
      </c>
      <c r="C3472" s="2" t="s">
        <v>33526</v>
      </c>
      <c r="D3472" s="2" t="s">
        <v>33527</v>
      </c>
      <c r="E3472" s="2" t="s">
        <v>33528</v>
      </c>
      <c r="G3472" s="3" t="s">
        <v>62</v>
      </c>
      <c r="I3472" s="3" t="s">
        <v>62</v>
      </c>
      <c r="J3472" s="3" t="s">
        <v>62</v>
      </c>
      <c r="K3472" s="3" t="s">
        <v>63</v>
      </c>
      <c r="L3472" s="2" t="s">
        <v>33529</v>
      </c>
      <c r="M3472" s="2" t="s">
        <v>33530</v>
      </c>
      <c r="N3472" s="3" t="s">
        <v>129</v>
      </c>
      <c r="P3472" s="3" t="s">
        <v>64</v>
      </c>
      <c r="R3472" s="3" t="s">
        <v>32962</v>
      </c>
      <c r="S3472" s="4">
        <v>2</v>
      </c>
      <c r="T3472" s="4">
        <v>2</v>
      </c>
      <c r="U3472" s="5" t="s">
        <v>33531</v>
      </c>
      <c r="V3472" s="5" t="s">
        <v>33531</v>
      </c>
      <c r="W3472" s="5" t="s">
        <v>67</v>
      </c>
      <c r="X3472" s="5" t="s">
        <v>67</v>
      </c>
      <c r="Y3472" s="4">
        <v>65</v>
      </c>
      <c r="Z3472" s="4">
        <v>8</v>
      </c>
      <c r="AA3472" s="4">
        <v>14</v>
      </c>
      <c r="AB3472" s="4">
        <v>1</v>
      </c>
      <c r="AC3472" s="4">
        <v>5</v>
      </c>
      <c r="AD3472" s="4">
        <v>12</v>
      </c>
      <c r="AE3472" s="4">
        <v>22</v>
      </c>
      <c r="AF3472" s="4">
        <v>0</v>
      </c>
      <c r="AG3472" s="4">
        <v>1</v>
      </c>
      <c r="AH3472" s="4">
        <v>12</v>
      </c>
      <c r="AI3472" s="4">
        <v>22</v>
      </c>
      <c r="AJ3472" s="4">
        <v>2</v>
      </c>
      <c r="AK3472" s="4">
        <v>4</v>
      </c>
      <c r="AL3472" s="4">
        <v>8</v>
      </c>
      <c r="AM3472" s="4">
        <v>13</v>
      </c>
      <c r="AN3472" s="4">
        <v>0</v>
      </c>
      <c r="AO3472" s="4">
        <v>0</v>
      </c>
      <c r="AP3472" s="4">
        <v>2</v>
      </c>
      <c r="AQ3472" s="4">
        <v>5</v>
      </c>
      <c r="AR3472" s="3" t="s">
        <v>62</v>
      </c>
      <c r="AS3472" s="3" t="s">
        <v>62</v>
      </c>
      <c r="AT3472" s="3" t="s">
        <v>62</v>
      </c>
      <c r="AV3472" s="6" t="str">
        <f>HYPERLINK("http://mcgill.on.worldcat.org/oclc/635476788","Catalog Record")</f>
        <v>Catalog Record</v>
      </c>
      <c r="AW3472" s="6" t="str">
        <f>HYPERLINK("http://www.worldcat.org/oclc/635476788","WorldCat Record")</f>
        <v>WorldCat Record</v>
      </c>
      <c r="AX3472" s="3" t="s">
        <v>33532</v>
      </c>
      <c r="AY3472" s="3" t="s">
        <v>33533</v>
      </c>
      <c r="AZ3472" s="3" t="s">
        <v>33534</v>
      </c>
      <c r="BA3472" s="3" t="s">
        <v>33534</v>
      </c>
      <c r="BB3472" s="3" t="s">
        <v>33535</v>
      </c>
      <c r="BC3472" s="3" t="s">
        <v>102</v>
      </c>
      <c r="BD3472" s="3" t="s">
        <v>68</v>
      </c>
      <c r="BE3472" s="3" t="s">
        <v>33536</v>
      </c>
      <c r="BF3472" s="3" t="s">
        <v>33535</v>
      </c>
      <c r="BG3472" s="3" t="s">
        <v>33537</v>
      </c>
    </row>
    <row r="3473" spans="1:59" ht="58" x14ac:dyDescent="0.35">
      <c r="A3473" s="2" t="s">
        <v>89</v>
      </c>
      <c r="B3473" s="2" t="s">
        <v>90</v>
      </c>
      <c r="C3473" s="2" t="s">
        <v>33538</v>
      </c>
      <c r="D3473" s="2" t="s">
        <v>33539</v>
      </c>
      <c r="E3473" s="2" t="s">
        <v>33540</v>
      </c>
      <c r="G3473" s="3" t="s">
        <v>62</v>
      </c>
      <c r="I3473" s="3" t="s">
        <v>62</v>
      </c>
      <c r="J3473" s="3" t="s">
        <v>62</v>
      </c>
      <c r="K3473" s="3" t="s">
        <v>63</v>
      </c>
      <c r="M3473" s="2" t="s">
        <v>33541</v>
      </c>
      <c r="N3473" s="3" t="s">
        <v>553</v>
      </c>
      <c r="O3473" s="2" t="s">
        <v>2163</v>
      </c>
      <c r="P3473" s="3" t="s">
        <v>64</v>
      </c>
      <c r="Q3473" s="2" t="s">
        <v>33542</v>
      </c>
      <c r="R3473" s="3" t="s">
        <v>32962</v>
      </c>
      <c r="S3473" s="4">
        <v>2</v>
      </c>
      <c r="T3473" s="4">
        <v>2</v>
      </c>
      <c r="U3473" s="5" t="s">
        <v>6411</v>
      </c>
      <c r="V3473" s="5" t="s">
        <v>6411</v>
      </c>
      <c r="W3473" s="5" t="s">
        <v>67</v>
      </c>
      <c r="X3473" s="5" t="s">
        <v>67</v>
      </c>
      <c r="Y3473" s="4">
        <v>24</v>
      </c>
      <c r="Z3473" s="4">
        <v>3</v>
      </c>
      <c r="AA3473" s="4">
        <v>5</v>
      </c>
      <c r="AB3473" s="4">
        <v>1</v>
      </c>
      <c r="AC3473" s="4">
        <v>1</v>
      </c>
      <c r="AD3473" s="4">
        <v>12</v>
      </c>
      <c r="AE3473" s="4">
        <v>13</v>
      </c>
      <c r="AF3473" s="4">
        <v>0</v>
      </c>
      <c r="AG3473" s="4">
        <v>0</v>
      </c>
      <c r="AH3473" s="4">
        <v>11</v>
      </c>
      <c r="AI3473" s="4">
        <v>12</v>
      </c>
      <c r="AJ3473" s="4">
        <v>2</v>
      </c>
      <c r="AK3473" s="4">
        <v>3</v>
      </c>
      <c r="AL3473" s="4">
        <v>8</v>
      </c>
      <c r="AM3473" s="4">
        <v>9</v>
      </c>
      <c r="AN3473" s="4">
        <v>0</v>
      </c>
      <c r="AO3473" s="4">
        <v>0</v>
      </c>
      <c r="AP3473" s="4">
        <v>1</v>
      </c>
      <c r="AQ3473" s="4">
        <v>2</v>
      </c>
      <c r="AR3473" s="3" t="s">
        <v>62</v>
      </c>
      <c r="AS3473" s="3" t="s">
        <v>62</v>
      </c>
      <c r="AT3473" s="3" t="s">
        <v>62</v>
      </c>
      <c r="AV3473" s="6" t="str">
        <f>HYPERLINK("http://mcgill.on.worldcat.org/oclc/42240645","Catalog Record")</f>
        <v>Catalog Record</v>
      </c>
      <c r="AW3473" s="6" t="str">
        <f>HYPERLINK("http://www.worldcat.org/oclc/42240645","WorldCat Record")</f>
        <v>WorldCat Record</v>
      </c>
      <c r="AX3473" s="3" t="s">
        <v>33543</v>
      </c>
      <c r="AY3473" s="3" t="s">
        <v>33544</v>
      </c>
      <c r="AZ3473" s="3" t="s">
        <v>33545</v>
      </c>
      <c r="BA3473" s="3" t="s">
        <v>33545</v>
      </c>
      <c r="BB3473" s="3" t="s">
        <v>33546</v>
      </c>
      <c r="BC3473" s="3" t="s">
        <v>102</v>
      </c>
      <c r="BD3473" s="3" t="s">
        <v>68</v>
      </c>
      <c r="BE3473" s="3" t="s">
        <v>33547</v>
      </c>
      <c r="BF3473" s="3" t="s">
        <v>33546</v>
      </c>
      <c r="BG3473" s="3" t="s">
        <v>33548</v>
      </c>
    </row>
    <row r="3474" spans="1:59" ht="58" x14ac:dyDescent="0.35">
      <c r="A3474" s="2" t="s">
        <v>59</v>
      </c>
      <c r="B3474" s="2" t="s">
        <v>60</v>
      </c>
      <c r="C3474" s="2" t="s">
        <v>33549</v>
      </c>
      <c r="D3474" s="2" t="s">
        <v>33550</v>
      </c>
      <c r="E3474" s="2" t="s">
        <v>33551</v>
      </c>
      <c r="G3474" s="3" t="s">
        <v>62</v>
      </c>
      <c r="I3474" s="3" t="s">
        <v>62</v>
      </c>
      <c r="J3474" s="3" t="s">
        <v>62</v>
      </c>
      <c r="K3474" s="3" t="s">
        <v>63</v>
      </c>
      <c r="L3474" s="2" t="s">
        <v>33552</v>
      </c>
      <c r="M3474" s="2" t="s">
        <v>33553</v>
      </c>
      <c r="N3474" s="3" t="s">
        <v>625</v>
      </c>
      <c r="P3474" s="3" t="s">
        <v>64</v>
      </c>
      <c r="R3474" s="3" t="s">
        <v>32962</v>
      </c>
      <c r="S3474" s="4">
        <v>4</v>
      </c>
      <c r="T3474" s="4">
        <v>4</v>
      </c>
      <c r="U3474" s="5" t="s">
        <v>7837</v>
      </c>
      <c r="V3474" s="5" t="s">
        <v>7837</v>
      </c>
      <c r="W3474" s="5" t="s">
        <v>67</v>
      </c>
      <c r="X3474" s="5" t="s">
        <v>67</v>
      </c>
      <c r="Y3474" s="4">
        <v>80</v>
      </c>
      <c r="Z3474" s="4">
        <v>5</v>
      </c>
      <c r="AA3474" s="4">
        <v>50</v>
      </c>
      <c r="AB3474" s="4">
        <v>1</v>
      </c>
      <c r="AC3474" s="4">
        <v>6</v>
      </c>
      <c r="AD3474" s="4">
        <v>10</v>
      </c>
      <c r="AE3474" s="4">
        <v>102</v>
      </c>
      <c r="AF3474" s="4">
        <v>0</v>
      </c>
      <c r="AG3474" s="4">
        <v>1</v>
      </c>
      <c r="AH3474" s="4">
        <v>9</v>
      </c>
      <c r="AI3474" s="4">
        <v>90</v>
      </c>
      <c r="AJ3474" s="4">
        <v>4</v>
      </c>
      <c r="AK3474" s="4">
        <v>14</v>
      </c>
      <c r="AL3474" s="4">
        <v>5</v>
      </c>
      <c r="AM3474" s="4">
        <v>45</v>
      </c>
      <c r="AN3474" s="4">
        <v>0</v>
      </c>
      <c r="AO3474" s="4">
        <v>0</v>
      </c>
      <c r="AP3474" s="4">
        <v>4</v>
      </c>
      <c r="AQ3474" s="4">
        <v>20</v>
      </c>
      <c r="AR3474" s="3" t="s">
        <v>62</v>
      </c>
      <c r="AS3474" s="3" t="s">
        <v>62</v>
      </c>
      <c r="AT3474" s="3" t="s">
        <v>62</v>
      </c>
      <c r="AV3474" s="6" t="str">
        <f>HYPERLINK("http://mcgill.on.worldcat.org/oclc/51568868","Catalog Record")</f>
        <v>Catalog Record</v>
      </c>
      <c r="AW3474" s="6" t="str">
        <f>HYPERLINK("http://www.worldcat.org/oclc/51568868","WorldCat Record")</f>
        <v>WorldCat Record</v>
      </c>
      <c r="AX3474" s="3" t="s">
        <v>33554</v>
      </c>
      <c r="AY3474" s="3" t="s">
        <v>33555</v>
      </c>
      <c r="AZ3474" s="3" t="s">
        <v>33556</v>
      </c>
      <c r="BA3474" s="3" t="s">
        <v>33556</v>
      </c>
      <c r="BB3474" s="3" t="s">
        <v>33557</v>
      </c>
      <c r="BC3474" s="3" t="s">
        <v>102</v>
      </c>
      <c r="BD3474" s="3" t="s">
        <v>68</v>
      </c>
      <c r="BE3474" s="3" t="s">
        <v>33558</v>
      </c>
      <c r="BF3474" s="3" t="s">
        <v>33557</v>
      </c>
      <c r="BG3474" s="3" t="s">
        <v>33559</v>
      </c>
    </row>
    <row r="3475" spans="1:59" ht="58" x14ac:dyDescent="0.35">
      <c r="A3475" s="2" t="s">
        <v>89</v>
      </c>
      <c r="B3475" s="2" t="s">
        <v>90</v>
      </c>
      <c r="C3475" s="2" t="s">
        <v>33560</v>
      </c>
      <c r="D3475" s="2" t="s">
        <v>33561</v>
      </c>
      <c r="E3475" s="2" t="s">
        <v>33562</v>
      </c>
      <c r="G3475" s="3" t="s">
        <v>62</v>
      </c>
      <c r="I3475" s="3" t="s">
        <v>62</v>
      </c>
      <c r="J3475" s="3" t="s">
        <v>62</v>
      </c>
      <c r="K3475" s="3" t="s">
        <v>63</v>
      </c>
      <c r="L3475" s="2" t="s">
        <v>33563</v>
      </c>
      <c r="M3475" s="2" t="s">
        <v>28574</v>
      </c>
      <c r="N3475" s="3" t="s">
        <v>1455</v>
      </c>
      <c r="P3475" s="3" t="s">
        <v>64</v>
      </c>
      <c r="R3475" s="3" t="s">
        <v>32962</v>
      </c>
      <c r="S3475" s="4">
        <v>0</v>
      </c>
      <c r="T3475" s="4">
        <v>0</v>
      </c>
      <c r="W3475" s="5" t="s">
        <v>67</v>
      </c>
      <c r="X3475" s="5" t="s">
        <v>67</v>
      </c>
      <c r="Y3475" s="4">
        <v>424</v>
      </c>
      <c r="Z3475" s="4">
        <v>18</v>
      </c>
      <c r="AA3475" s="4">
        <v>85</v>
      </c>
      <c r="AB3475" s="4">
        <v>1</v>
      </c>
      <c r="AC3475" s="4">
        <v>14</v>
      </c>
      <c r="AD3475" s="4">
        <v>75</v>
      </c>
      <c r="AE3475" s="4">
        <v>137</v>
      </c>
      <c r="AF3475" s="4">
        <v>0</v>
      </c>
      <c r="AG3475" s="4">
        <v>8</v>
      </c>
      <c r="AH3475" s="4">
        <v>66</v>
      </c>
      <c r="AI3475" s="4">
        <v>99</v>
      </c>
      <c r="AJ3475" s="4">
        <v>7</v>
      </c>
      <c r="AK3475" s="4">
        <v>24</v>
      </c>
      <c r="AL3475" s="4">
        <v>39</v>
      </c>
      <c r="AM3475" s="4">
        <v>52</v>
      </c>
      <c r="AN3475" s="4">
        <v>0</v>
      </c>
      <c r="AO3475" s="4">
        <v>0</v>
      </c>
      <c r="AP3475" s="4">
        <v>12</v>
      </c>
      <c r="AQ3475" s="4">
        <v>46</v>
      </c>
      <c r="AR3475" s="3" t="s">
        <v>62</v>
      </c>
      <c r="AS3475" s="3" t="s">
        <v>62</v>
      </c>
      <c r="AT3475" s="3" t="s">
        <v>62</v>
      </c>
      <c r="AV3475" s="6" t="str">
        <f>HYPERLINK("http://mcgill.on.worldcat.org/oclc/893721595","Catalog Record")</f>
        <v>Catalog Record</v>
      </c>
      <c r="AW3475" s="6" t="str">
        <f>HYPERLINK("http://www.worldcat.org/oclc/893721595","WorldCat Record")</f>
        <v>WorldCat Record</v>
      </c>
      <c r="AX3475" s="3" t="s">
        <v>33564</v>
      </c>
      <c r="AY3475" s="3" t="s">
        <v>33565</v>
      </c>
      <c r="AZ3475" s="3" t="s">
        <v>33566</v>
      </c>
      <c r="BA3475" s="3" t="s">
        <v>33566</v>
      </c>
      <c r="BB3475" s="3" t="s">
        <v>33567</v>
      </c>
      <c r="BC3475" s="3" t="s">
        <v>102</v>
      </c>
      <c r="BD3475" s="3" t="s">
        <v>68</v>
      </c>
      <c r="BE3475" s="3" t="s">
        <v>33568</v>
      </c>
      <c r="BF3475" s="3" t="s">
        <v>33567</v>
      </c>
      <c r="BG3475" s="3" t="s">
        <v>33569</v>
      </c>
    </row>
    <row r="3476" spans="1:59" ht="58" x14ac:dyDescent="0.35">
      <c r="A3476" s="2" t="s">
        <v>89</v>
      </c>
      <c r="B3476" s="2" t="s">
        <v>90</v>
      </c>
      <c r="C3476" s="2" t="s">
        <v>33570</v>
      </c>
      <c r="D3476" s="2" t="s">
        <v>33571</v>
      </c>
      <c r="E3476" s="2" t="s">
        <v>33572</v>
      </c>
      <c r="G3476" s="3" t="s">
        <v>62</v>
      </c>
      <c r="I3476" s="3" t="s">
        <v>62</v>
      </c>
      <c r="J3476" s="3" t="s">
        <v>62</v>
      </c>
      <c r="K3476" s="3" t="s">
        <v>63</v>
      </c>
      <c r="L3476" s="2" t="s">
        <v>33573</v>
      </c>
      <c r="M3476" s="2" t="s">
        <v>33574</v>
      </c>
      <c r="N3476" s="3" t="s">
        <v>1455</v>
      </c>
      <c r="P3476" s="3" t="s">
        <v>64</v>
      </c>
      <c r="Q3476" s="2" t="s">
        <v>33575</v>
      </c>
      <c r="R3476" s="3" t="s">
        <v>32962</v>
      </c>
      <c r="S3476" s="4">
        <v>0</v>
      </c>
      <c r="T3476" s="4">
        <v>0</v>
      </c>
      <c r="W3476" s="5" t="s">
        <v>67</v>
      </c>
      <c r="X3476" s="5" t="s">
        <v>67</v>
      </c>
      <c r="Y3476" s="4">
        <v>259</v>
      </c>
      <c r="Z3476" s="4">
        <v>19</v>
      </c>
      <c r="AA3476" s="4">
        <v>23</v>
      </c>
      <c r="AB3476" s="4">
        <v>1</v>
      </c>
      <c r="AC3476" s="4">
        <v>3</v>
      </c>
      <c r="AD3476" s="4">
        <v>76</v>
      </c>
      <c r="AE3476" s="4">
        <v>81</v>
      </c>
      <c r="AF3476" s="4">
        <v>0</v>
      </c>
      <c r="AG3476" s="4">
        <v>1</v>
      </c>
      <c r="AH3476" s="4">
        <v>66</v>
      </c>
      <c r="AI3476" s="4">
        <v>69</v>
      </c>
      <c r="AJ3476" s="4">
        <v>9</v>
      </c>
      <c r="AK3476" s="4">
        <v>9</v>
      </c>
      <c r="AL3476" s="4">
        <v>38</v>
      </c>
      <c r="AM3476" s="4">
        <v>40</v>
      </c>
      <c r="AN3476" s="4">
        <v>0</v>
      </c>
      <c r="AO3476" s="4">
        <v>0</v>
      </c>
      <c r="AP3476" s="4">
        <v>15</v>
      </c>
      <c r="AQ3476" s="4">
        <v>17</v>
      </c>
      <c r="AR3476" s="3" t="s">
        <v>62</v>
      </c>
      <c r="AS3476" s="3" t="s">
        <v>62</v>
      </c>
      <c r="AT3476" s="3" t="s">
        <v>62</v>
      </c>
      <c r="AV3476" s="6" t="str">
        <f>HYPERLINK("http://mcgill.on.worldcat.org/oclc/905554614","Catalog Record")</f>
        <v>Catalog Record</v>
      </c>
      <c r="AW3476" s="6" t="str">
        <f>HYPERLINK("http://www.worldcat.org/oclc/905554614","WorldCat Record")</f>
        <v>WorldCat Record</v>
      </c>
      <c r="AX3476" s="3" t="s">
        <v>33576</v>
      </c>
      <c r="AY3476" s="3" t="s">
        <v>33577</v>
      </c>
      <c r="AZ3476" s="3" t="s">
        <v>33578</v>
      </c>
      <c r="BA3476" s="3" t="s">
        <v>33578</v>
      </c>
      <c r="BB3476" s="3" t="s">
        <v>33579</v>
      </c>
      <c r="BC3476" s="3" t="s">
        <v>102</v>
      </c>
      <c r="BD3476" s="3" t="s">
        <v>68</v>
      </c>
      <c r="BE3476" s="3" t="s">
        <v>33580</v>
      </c>
      <c r="BF3476" s="3" t="s">
        <v>33579</v>
      </c>
      <c r="BG3476" s="3" t="s">
        <v>33581</v>
      </c>
    </row>
    <row r="3477" spans="1:59" ht="58" x14ac:dyDescent="0.35">
      <c r="A3477" s="2" t="s">
        <v>89</v>
      </c>
      <c r="B3477" s="2" t="s">
        <v>90</v>
      </c>
      <c r="C3477" s="2" t="s">
        <v>33582</v>
      </c>
      <c r="D3477" s="2" t="s">
        <v>33583</v>
      </c>
      <c r="E3477" s="2" t="s">
        <v>33584</v>
      </c>
      <c r="G3477" s="3" t="s">
        <v>62</v>
      </c>
      <c r="I3477" s="3" t="s">
        <v>62</v>
      </c>
      <c r="J3477" s="3" t="s">
        <v>62</v>
      </c>
      <c r="K3477" s="3" t="s">
        <v>63</v>
      </c>
      <c r="M3477" s="2" t="s">
        <v>33585</v>
      </c>
      <c r="N3477" s="3" t="s">
        <v>2136</v>
      </c>
      <c r="P3477" s="3" t="s">
        <v>64</v>
      </c>
      <c r="Q3477" s="2" t="s">
        <v>33586</v>
      </c>
      <c r="R3477" s="3" t="s">
        <v>32962</v>
      </c>
      <c r="S3477" s="4">
        <v>11</v>
      </c>
      <c r="T3477" s="4">
        <v>11</v>
      </c>
      <c r="U3477" s="5" t="s">
        <v>12876</v>
      </c>
      <c r="V3477" s="5" t="s">
        <v>12876</v>
      </c>
      <c r="W3477" s="5" t="s">
        <v>67</v>
      </c>
      <c r="X3477" s="5" t="s">
        <v>67</v>
      </c>
      <c r="Y3477" s="4">
        <v>169</v>
      </c>
      <c r="Z3477" s="4">
        <v>16</v>
      </c>
      <c r="AA3477" s="4">
        <v>16</v>
      </c>
      <c r="AB3477" s="4">
        <v>1</v>
      </c>
      <c r="AC3477" s="4">
        <v>1</v>
      </c>
      <c r="AD3477" s="4">
        <v>74</v>
      </c>
      <c r="AE3477" s="4">
        <v>74</v>
      </c>
      <c r="AF3477" s="4">
        <v>0</v>
      </c>
      <c r="AG3477" s="4">
        <v>0</v>
      </c>
      <c r="AH3477" s="4">
        <v>68</v>
      </c>
      <c r="AI3477" s="4">
        <v>68</v>
      </c>
      <c r="AJ3477" s="4">
        <v>11</v>
      </c>
      <c r="AK3477" s="4">
        <v>11</v>
      </c>
      <c r="AL3477" s="4">
        <v>36</v>
      </c>
      <c r="AM3477" s="4">
        <v>36</v>
      </c>
      <c r="AN3477" s="4">
        <v>0</v>
      </c>
      <c r="AO3477" s="4">
        <v>0</v>
      </c>
      <c r="AP3477" s="4">
        <v>14</v>
      </c>
      <c r="AQ3477" s="4">
        <v>14</v>
      </c>
      <c r="AR3477" s="3" t="s">
        <v>62</v>
      </c>
      <c r="AS3477" s="3" t="s">
        <v>62</v>
      </c>
      <c r="AT3477" s="3" t="s">
        <v>61</v>
      </c>
      <c r="AU3477" s="6" t="str">
        <f>HYPERLINK("http://catalog.hathitrust.org/Record/005239493","HathiTrust Record")</f>
        <v>HathiTrust Record</v>
      </c>
      <c r="AV3477" s="6" t="str">
        <f>HYPERLINK("http://mcgill.on.worldcat.org/oclc/61458347","Catalog Record")</f>
        <v>Catalog Record</v>
      </c>
      <c r="AW3477" s="6" t="str">
        <f>HYPERLINK("http://www.worldcat.org/oclc/61458347","WorldCat Record")</f>
        <v>WorldCat Record</v>
      </c>
      <c r="AX3477" s="3" t="s">
        <v>33587</v>
      </c>
      <c r="AY3477" s="3" t="s">
        <v>33588</v>
      </c>
      <c r="AZ3477" s="3" t="s">
        <v>33589</v>
      </c>
      <c r="BA3477" s="3" t="s">
        <v>33589</v>
      </c>
      <c r="BB3477" s="3" t="s">
        <v>33590</v>
      </c>
      <c r="BC3477" s="3" t="s">
        <v>102</v>
      </c>
      <c r="BD3477" s="3" t="s">
        <v>68</v>
      </c>
      <c r="BE3477" s="3" t="s">
        <v>33591</v>
      </c>
      <c r="BF3477" s="3" t="s">
        <v>33590</v>
      </c>
      <c r="BG3477" s="3" t="s">
        <v>33592</v>
      </c>
    </row>
    <row r="3478" spans="1:59" ht="58" x14ac:dyDescent="0.35">
      <c r="A3478" s="2" t="s">
        <v>89</v>
      </c>
      <c r="B3478" s="2" t="s">
        <v>90</v>
      </c>
      <c r="C3478" s="2" t="s">
        <v>33593</v>
      </c>
      <c r="D3478" s="2" t="s">
        <v>33594</v>
      </c>
      <c r="E3478" s="2" t="s">
        <v>33595</v>
      </c>
      <c r="G3478" s="3" t="s">
        <v>62</v>
      </c>
      <c r="I3478" s="3" t="s">
        <v>62</v>
      </c>
      <c r="J3478" s="3" t="s">
        <v>62</v>
      </c>
      <c r="K3478" s="3" t="s">
        <v>63</v>
      </c>
      <c r="L3478" s="2" t="s">
        <v>33596</v>
      </c>
      <c r="M3478" s="2" t="s">
        <v>14948</v>
      </c>
      <c r="N3478" s="3" t="s">
        <v>596</v>
      </c>
      <c r="P3478" s="3" t="s">
        <v>64</v>
      </c>
      <c r="R3478" s="3" t="s">
        <v>32962</v>
      </c>
      <c r="S3478" s="4">
        <v>30</v>
      </c>
      <c r="T3478" s="4">
        <v>30</v>
      </c>
      <c r="U3478" s="5" t="s">
        <v>33597</v>
      </c>
      <c r="V3478" s="5" t="s">
        <v>33597</v>
      </c>
      <c r="W3478" s="5" t="s">
        <v>67</v>
      </c>
      <c r="X3478" s="5" t="s">
        <v>67</v>
      </c>
      <c r="Y3478" s="4">
        <v>1109</v>
      </c>
      <c r="Z3478" s="4">
        <v>44</v>
      </c>
      <c r="AA3478" s="4">
        <v>109</v>
      </c>
      <c r="AB3478" s="4">
        <v>2</v>
      </c>
      <c r="AC3478" s="4">
        <v>18</v>
      </c>
      <c r="AD3478" s="4">
        <v>122</v>
      </c>
      <c r="AE3478" s="4">
        <v>155</v>
      </c>
      <c r="AF3478" s="4">
        <v>0</v>
      </c>
      <c r="AG3478" s="4">
        <v>8</v>
      </c>
      <c r="AH3478" s="4">
        <v>104</v>
      </c>
      <c r="AI3478" s="4">
        <v>113</v>
      </c>
      <c r="AJ3478" s="4">
        <v>19</v>
      </c>
      <c r="AK3478" s="4">
        <v>27</v>
      </c>
      <c r="AL3478" s="4">
        <v>55</v>
      </c>
      <c r="AM3478" s="4">
        <v>59</v>
      </c>
      <c r="AN3478" s="4">
        <v>0</v>
      </c>
      <c r="AO3478" s="4">
        <v>0</v>
      </c>
      <c r="AP3478" s="4">
        <v>25</v>
      </c>
      <c r="AQ3478" s="4">
        <v>50</v>
      </c>
      <c r="AR3478" s="3" t="s">
        <v>62</v>
      </c>
      <c r="AS3478" s="3" t="s">
        <v>62</v>
      </c>
      <c r="AT3478" s="3" t="s">
        <v>62</v>
      </c>
      <c r="AV3478" s="6" t="str">
        <f>HYPERLINK("http://mcgill.on.worldcat.org/oclc/48363173","Catalog Record")</f>
        <v>Catalog Record</v>
      </c>
      <c r="AW3478" s="6" t="str">
        <f>HYPERLINK("http://www.worldcat.org/oclc/48363173","WorldCat Record")</f>
        <v>WorldCat Record</v>
      </c>
      <c r="AX3478" s="3" t="s">
        <v>33598</v>
      </c>
      <c r="AY3478" s="3" t="s">
        <v>33599</v>
      </c>
      <c r="AZ3478" s="3" t="s">
        <v>33600</v>
      </c>
      <c r="BA3478" s="3" t="s">
        <v>33600</v>
      </c>
      <c r="BB3478" s="3" t="s">
        <v>33601</v>
      </c>
      <c r="BC3478" s="3" t="s">
        <v>102</v>
      </c>
      <c r="BD3478" s="3" t="s">
        <v>68</v>
      </c>
      <c r="BE3478" s="3" t="s">
        <v>33602</v>
      </c>
      <c r="BF3478" s="3" t="s">
        <v>33601</v>
      </c>
      <c r="BG3478" s="3" t="s">
        <v>33603</v>
      </c>
    </row>
    <row r="3479" spans="1:59" ht="58" x14ac:dyDescent="0.35">
      <c r="A3479" s="2" t="s">
        <v>89</v>
      </c>
      <c r="B3479" s="2" t="s">
        <v>90</v>
      </c>
      <c r="C3479" s="2" t="s">
        <v>33604</v>
      </c>
      <c r="D3479" s="2" t="s">
        <v>33605</v>
      </c>
      <c r="E3479" s="2" t="s">
        <v>33606</v>
      </c>
      <c r="G3479" s="3" t="s">
        <v>62</v>
      </c>
      <c r="I3479" s="3" t="s">
        <v>62</v>
      </c>
      <c r="J3479" s="3" t="s">
        <v>62</v>
      </c>
      <c r="K3479" s="3" t="s">
        <v>63</v>
      </c>
      <c r="L3479" s="2" t="s">
        <v>33607</v>
      </c>
      <c r="M3479" s="2" t="s">
        <v>33608</v>
      </c>
      <c r="N3479" s="3" t="s">
        <v>698</v>
      </c>
      <c r="P3479" s="3" t="s">
        <v>64</v>
      </c>
      <c r="Q3479" s="2" t="s">
        <v>33609</v>
      </c>
      <c r="R3479" s="3" t="s">
        <v>32962</v>
      </c>
      <c r="S3479" s="4">
        <v>3</v>
      </c>
      <c r="T3479" s="4">
        <v>3</v>
      </c>
      <c r="U3479" s="5" t="s">
        <v>13800</v>
      </c>
      <c r="V3479" s="5" t="s">
        <v>13800</v>
      </c>
      <c r="W3479" s="5" t="s">
        <v>67</v>
      </c>
      <c r="X3479" s="5" t="s">
        <v>67</v>
      </c>
      <c r="Y3479" s="4">
        <v>37</v>
      </c>
      <c r="Z3479" s="4">
        <v>6</v>
      </c>
      <c r="AA3479" s="4">
        <v>9</v>
      </c>
      <c r="AB3479" s="4">
        <v>2</v>
      </c>
      <c r="AC3479" s="4">
        <v>3</v>
      </c>
      <c r="AD3479" s="4">
        <v>12</v>
      </c>
      <c r="AE3479" s="4">
        <v>13</v>
      </c>
      <c r="AF3479" s="4">
        <v>1</v>
      </c>
      <c r="AG3479" s="4">
        <v>2</v>
      </c>
      <c r="AH3479" s="4">
        <v>9</v>
      </c>
      <c r="AI3479" s="4">
        <v>10</v>
      </c>
      <c r="AJ3479" s="4">
        <v>4</v>
      </c>
      <c r="AK3479" s="4">
        <v>5</v>
      </c>
      <c r="AL3479" s="4">
        <v>7</v>
      </c>
      <c r="AM3479" s="4">
        <v>7</v>
      </c>
      <c r="AN3479" s="4">
        <v>0</v>
      </c>
      <c r="AO3479" s="4">
        <v>0</v>
      </c>
      <c r="AP3479" s="4">
        <v>5</v>
      </c>
      <c r="AQ3479" s="4">
        <v>6</v>
      </c>
      <c r="AR3479" s="3" t="s">
        <v>62</v>
      </c>
      <c r="AS3479" s="3" t="s">
        <v>62</v>
      </c>
      <c r="AT3479" s="3" t="s">
        <v>62</v>
      </c>
      <c r="AV3479" s="6" t="str">
        <f>HYPERLINK("http://mcgill.on.worldcat.org/oclc/772110901","Catalog Record")</f>
        <v>Catalog Record</v>
      </c>
      <c r="AW3479" s="6" t="str">
        <f>HYPERLINK("http://www.worldcat.org/oclc/772110901","WorldCat Record")</f>
        <v>WorldCat Record</v>
      </c>
      <c r="AX3479" s="3" t="s">
        <v>33610</v>
      </c>
      <c r="AY3479" s="3" t="s">
        <v>33611</v>
      </c>
      <c r="AZ3479" s="3" t="s">
        <v>33612</v>
      </c>
      <c r="BA3479" s="3" t="s">
        <v>33612</v>
      </c>
      <c r="BB3479" s="3" t="s">
        <v>33613</v>
      </c>
      <c r="BC3479" s="3" t="s">
        <v>102</v>
      </c>
      <c r="BD3479" s="3" t="s">
        <v>231</v>
      </c>
      <c r="BE3479" s="3" t="s">
        <v>33614</v>
      </c>
      <c r="BF3479" s="3" t="s">
        <v>33613</v>
      </c>
      <c r="BG3479" s="3" t="s">
        <v>33615</v>
      </c>
    </row>
    <row r="3480" spans="1:59" ht="58" x14ac:dyDescent="0.35">
      <c r="A3480" s="2" t="s">
        <v>89</v>
      </c>
      <c r="B3480" s="2" t="s">
        <v>90</v>
      </c>
      <c r="C3480" s="2" t="s">
        <v>33616</v>
      </c>
      <c r="D3480" s="2" t="s">
        <v>33617</v>
      </c>
      <c r="E3480" s="2" t="s">
        <v>33618</v>
      </c>
      <c r="G3480" s="3" t="s">
        <v>62</v>
      </c>
      <c r="I3480" s="3" t="s">
        <v>61</v>
      </c>
      <c r="J3480" s="3" t="s">
        <v>62</v>
      </c>
      <c r="K3480" s="3" t="s">
        <v>63</v>
      </c>
      <c r="M3480" s="2" t="s">
        <v>33619</v>
      </c>
      <c r="N3480" s="3" t="s">
        <v>327</v>
      </c>
      <c r="P3480" s="3" t="s">
        <v>64</v>
      </c>
      <c r="R3480" s="3" t="s">
        <v>32962</v>
      </c>
      <c r="S3480" s="4">
        <v>34</v>
      </c>
      <c r="T3480" s="4">
        <v>108</v>
      </c>
      <c r="U3480" s="5" t="s">
        <v>33620</v>
      </c>
      <c r="V3480" s="5" t="s">
        <v>1761</v>
      </c>
      <c r="W3480" s="5" t="s">
        <v>67</v>
      </c>
      <c r="X3480" s="5" t="s">
        <v>67</v>
      </c>
      <c r="Y3480" s="4">
        <v>1060</v>
      </c>
      <c r="Z3480" s="4">
        <v>46</v>
      </c>
      <c r="AA3480" s="4">
        <v>52</v>
      </c>
      <c r="AB3480" s="4">
        <v>3</v>
      </c>
      <c r="AC3480" s="4">
        <v>7</v>
      </c>
      <c r="AD3480" s="4">
        <v>132</v>
      </c>
      <c r="AE3480" s="4">
        <v>137</v>
      </c>
      <c r="AF3480" s="4">
        <v>1</v>
      </c>
      <c r="AG3480" s="4">
        <v>5</v>
      </c>
      <c r="AH3480" s="4">
        <v>109</v>
      </c>
      <c r="AI3480" s="4">
        <v>110</v>
      </c>
      <c r="AJ3480" s="4">
        <v>20</v>
      </c>
      <c r="AK3480" s="4">
        <v>23</v>
      </c>
      <c r="AL3480" s="4">
        <v>59</v>
      </c>
      <c r="AM3480" s="4">
        <v>59</v>
      </c>
      <c r="AN3480" s="4">
        <v>0</v>
      </c>
      <c r="AO3480" s="4">
        <v>0</v>
      </c>
      <c r="AP3480" s="4">
        <v>31</v>
      </c>
      <c r="AQ3480" s="4">
        <v>36</v>
      </c>
      <c r="AR3480" s="3" t="s">
        <v>62</v>
      </c>
      <c r="AS3480" s="3" t="s">
        <v>62</v>
      </c>
      <c r="AT3480" s="3" t="s">
        <v>61</v>
      </c>
      <c r="AU3480" s="6" t="str">
        <f>HYPERLINK("http://catalog.hathitrust.org/Record/000204850","HathiTrust Record")</f>
        <v>HathiTrust Record</v>
      </c>
      <c r="AV3480" s="6" t="str">
        <f>HYPERLINK("http://mcgill.on.worldcat.org/oclc/10017933","Catalog Record")</f>
        <v>Catalog Record</v>
      </c>
      <c r="AW3480" s="6" t="str">
        <f>HYPERLINK("http://www.worldcat.org/oclc/10017933","WorldCat Record")</f>
        <v>WorldCat Record</v>
      </c>
      <c r="AX3480" s="3" t="s">
        <v>33621</v>
      </c>
      <c r="AY3480" s="3" t="s">
        <v>33622</v>
      </c>
      <c r="AZ3480" s="3" t="s">
        <v>33623</v>
      </c>
      <c r="BA3480" s="3" t="s">
        <v>33623</v>
      </c>
      <c r="BB3480" s="3" t="s">
        <v>33624</v>
      </c>
      <c r="BC3480" s="3" t="s">
        <v>102</v>
      </c>
      <c r="BD3480" s="3" t="s">
        <v>68</v>
      </c>
      <c r="BE3480" s="3" t="s">
        <v>33625</v>
      </c>
      <c r="BF3480" s="3" t="s">
        <v>33624</v>
      </c>
      <c r="BG3480" s="3" t="s">
        <v>33626</v>
      </c>
    </row>
    <row r="3481" spans="1:59" ht="101.5" x14ac:dyDescent="0.35">
      <c r="A3481" s="2" t="s">
        <v>89</v>
      </c>
      <c r="B3481" s="2" t="s">
        <v>33627</v>
      </c>
      <c r="C3481" s="2" t="s">
        <v>33628</v>
      </c>
      <c r="D3481" s="2" t="s">
        <v>33629</v>
      </c>
      <c r="E3481" s="2" t="s">
        <v>33630</v>
      </c>
      <c r="F3481" s="3" t="s">
        <v>33631</v>
      </c>
      <c r="G3481" s="3" t="s">
        <v>62</v>
      </c>
      <c r="I3481" s="3" t="s">
        <v>61</v>
      </c>
      <c r="J3481" s="3" t="s">
        <v>62</v>
      </c>
      <c r="K3481" s="3" t="s">
        <v>63</v>
      </c>
      <c r="L3481" s="2" t="s">
        <v>33632</v>
      </c>
      <c r="M3481" s="2" t="s">
        <v>33633</v>
      </c>
      <c r="N3481" s="3" t="s">
        <v>1195</v>
      </c>
      <c r="P3481" s="3" t="s">
        <v>64</v>
      </c>
      <c r="Q3481" s="2" t="s">
        <v>33634</v>
      </c>
      <c r="R3481" s="3" t="s">
        <v>32962</v>
      </c>
      <c r="S3481" s="4">
        <v>7</v>
      </c>
      <c r="T3481" s="4">
        <v>9</v>
      </c>
      <c r="U3481" s="5" t="s">
        <v>33635</v>
      </c>
      <c r="V3481" s="5" t="s">
        <v>28719</v>
      </c>
      <c r="W3481" s="5" t="s">
        <v>67</v>
      </c>
      <c r="X3481" s="5" t="s">
        <v>67</v>
      </c>
      <c r="Y3481" s="4">
        <v>359</v>
      </c>
      <c r="Z3481" s="4">
        <v>15</v>
      </c>
      <c r="AA3481" s="4">
        <v>30</v>
      </c>
      <c r="AB3481" s="4">
        <v>3</v>
      </c>
      <c r="AC3481" s="4">
        <v>5</v>
      </c>
      <c r="AD3481" s="4">
        <v>28</v>
      </c>
      <c r="AE3481" s="4">
        <v>45</v>
      </c>
      <c r="AF3481" s="4">
        <v>1</v>
      </c>
      <c r="AG3481" s="4">
        <v>2</v>
      </c>
      <c r="AH3481" s="4">
        <v>27</v>
      </c>
      <c r="AI3481" s="4">
        <v>40</v>
      </c>
      <c r="AJ3481" s="4">
        <v>3</v>
      </c>
      <c r="AK3481" s="4">
        <v>6</v>
      </c>
      <c r="AL3481" s="4">
        <v>15</v>
      </c>
      <c r="AM3481" s="4">
        <v>23</v>
      </c>
      <c r="AN3481" s="4">
        <v>0</v>
      </c>
      <c r="AO3481" s="4">
        <v>0</v>
      </c>
      <c r="AP3481" s="4">
        <v>3</v>
      </c>
      <c r="AQ3481" s="4">
        <v>7</v>
      </c>
      <c r="AR3481" s="3" t="s">
        <v>62</v>
      </c>
      <c r="AS3481" s="3" t="s">
        <v>62</v>
      </c>
      <c r="AT3481" s="3" t="s">
        <v>62</v>
      </c>
      <c r="AV3481" s="6" t="str">
        <f>HYPERLINK("http://mcgill.on.worldcat.org/oclc/63175036","Catalog Record")</f>
        <v>Catalog Record</v>
      </c>
      <c r="AW3481" s="6" t="str">
        <f>HYPERLINK("http://www.worldcat.org/oclc/63175036","WorldCat Record")</f>
        <v>WorldCat Record</v>
      </c>
      <c r="AX3481" s="3" t="s">
        <v>33636</v>
      </c>
      <c r="AY3481" s="3" t="s">
        <v>33637</v>
      </c>
      <c r="AZ3481" s="3" t="s">
        <v>33638</v>
      </c>
      <c r="BA3481" s="3" t="s">
        <v>33638</v>
      </c>
      <c r="BB3481" s="3" t="s">
        <v>33639</v>
      </c>
      <c r="BC3481" s="3" t="s">
        <v>33640</v>
      </c>
      <c r="BD3481" s="3" t="s">
        <v>68</v>
      </c>
      <c r="BE3481" s="3" t="s">
        <v>33641</v>
      </c>
      <c r="BF3481" s="3" t="s">
        <v>33639</v>
      </c>
      <c r="BG3481" s="3" t="s">
        <v>33642</v>
      </c>
    </row>
    <row r="3482" spans="1:59" ht="58" x14ac:dyDescent="0.35">
      <c r="A3482" s="2" t="s">
        <v>89</v>
      </c>
      <c r="B3482" s="2" t="s">
        <v>90</v>
      </c>
      <c r="C3482" s="2" t="s">
        <v>33643</v>
      </c>
      <c r="D3482" s="2" t="s">
        <v>33644</v>
      </c>
      <c r="E3482" s="2" t="s">
        <v>33645</v>
      </c>
      <c r="G3482" s="3" t="s">
        <v>62</v>
      </c>
      <c r="I3482" s="3" t="s">
        <v>62</v>
      </c>
      <c r="J3482" s="3" t="s">
        <v>61</v>
      </c>
      <c r="K3482" s="3" t="s">
        <v>63</v>
      </c>
      <c r="L3482" s="2" t="s">
        <v>33646</v>
      </c>
      <c r="M3482" s="2" t="s">
        <v>33647</v>
      </c>
      <c r="N3482" s="3" t="s">
        <v>880</v>
      </c>
      <c r="P3482" s="3" t="s">
        <v>85</v>
      </c>
      <c r="Q3482" s="2" t="s">
        <v>33648</v>
      </c>
      <c r="R3482" s="3" t="s">
        <v>32962</v>
      </c>
      <c r="S3482" s="4">
        <v>3</v>
      </c>
      <c r="T3482" s="4">
        <v>3</v>
      </c>
      <c r="U3482" s="5" t="s">
        <v>33649</v>
      </c>
      <c r="V3482" s="5" t="s">
        <v>33649</v>
      </c>
      <c r="W3482" s="5" t="s">
        <v>67</v>
      </c>
      <c r="X3482" s="5" t="s">
        <v>67</v>
      </c>
      <c r="Y3482" s="4">
        <v>3</v>
      </c>
      <c r="Z3482" s="4">
        <v>3</v>
      </c>
      <c r="AA3482" s="4">
        <v>55</v>
      </c>
      <c r="AB3482" s="4">
        <v>2</v>
      </c>
      <c r="AC3482" s="4">
        <v>12</v>
      </c>
      <c r="AD3482" s="4">
        <v>1</v>
      </c>
      <c r="AE3482" s="4">
        <v>72</v>
      </c>
      <c r="AF3482" s="4">
        <v>0</v>
      </c>
      <c r="AG3482" s="4">
        <v>4</v>
      </c>
      <c r="AH3482" s="4">
        <v>0</v>
      </c>
      <c r="AI3482" s="4">
        <v>57</v>
      </c>
      <c r="AJ3482" s="4">
        <v>1</v>
      </c>
      <c r="AK3482" s="4">
        <v>18</v>
      </c>
      <c r="AL3482" s="4">
        <v>0</v>
      </c>
      <c r="AM3482" s="4">
        <v>36</v>
      </c>
      <c r="AN3482" s="4">
        <v>0</v>
      </c>
      <c r="AO3482" s="4">
        <v>0</v>
      </c>
      <c r="AP3482" s="4">
        <v>1</v>
      </c>
      <c r="AQ3482" s="4">
        <v>19</v>
      </c>
      <c r="AR3482" s="3" t="s">
        <v>61</v>
      </c>
      <c r="AS3482" s="3" t="s">
        <v>62</v>
      </c>
      <c r="AT3482" s="3" t="s">
        <v>62</v>
      </c>
      <c r="AV3482" s="6" t="str">
        <f>HYPERLINK("http://mcgill.on.worldcat.org/oclc/853071924","Catalog Record")</f>
        <v>Catalog Record</v>
      </c>
      <c r="AW3482" s="6" t="str">
        <f>HYPERLINK("http://www.worldcat.org/oclc/853071924","WorldCat Record")</f>
        <v>WorldCat Record</v>
      </c>
      <c r="AX3482" s="3" t="s">
        <v>33650</v>
      </c>
      <c r="AY3482" s="3" t="s">
        <v>33651</v>
      </c>
      <c r="AZ3482" s="3" t="s">
        <v>33652</v>
      </c>
      <c r="BA3482" s="3" t="s">
        <v>33652</v>
      </c>
      <c r="BB3482" s="3" t="s">
        <v>33653</v>
      </c>
      <c r="BC3482" s="3" t="s">
        <v>102</v>
      </c>
      <c r="BD3482" s="3" t="s">
        <v>68</v>
      </c>
      <c r="BE3482" s="3" t="s">
        <v>33654</v>
      </c>
      <c r="BF3482" s="3" t="s">
        <v>33653</v>
      </c>
      <c r="BG3482" s="3" t="s">
        <v>33655</v>
      </c>
    </row>
    <row r="3483" spans="1:59" ht="58" x14ac:dyDescent="0.35">
      <c r="A3483" s="2" t="s">
        <v>89</v>
      </c>
      <c r="B3483" s="2" t="s">
        <v>90</v>
      </c>
      <c r="C3483" s="2" t="s">
        <v>33656</v>
      </c>
      <c r="D3483" s="2" t="s">
        <v>33657</v>
      </c>
      <c r="E3483" s="2" t="s">
        <v>33658</v>
      </c>
      <c r="G3483" s="3" t="s">
        <v>62</v>
      </c>
      <c r="I3483" s="3" t="s">
        <v>62</v>
      </c>
      <c r="J3483" s="3" t="s">
        <v>61</v>
      </c>
      <c r="K3483" s="3" t="s">
        <v>63</v>
      </c>
      <c r="L3483" s="2" t="s">
        <v>33646</v>
      </c>
      <c r="M3483" s="2" t="s">
        <v>33659</v>
      </c>
      <c r="N3483" s="3" t="s">
        <v>684</v>
      </c>
      <c r="O3483" s="2" t="s">
        <v>33660</v>
      </c>
      <c r="P3483" s="3" t="s">
        <v>85</v>
      </c>
      <c r="Q3483" s="2" t="s">
        <v>33661</v>
      </c>
      <c r="R3483" s="3" t="s">
        <v>32962</v>
      </c>
      <c r="S3483" s="4">
        <v>6</v>
      </c>
      <c r="T3483" s="4">
        <v>6</v>
      </c>
      <c r="U3483" s="5" t="s">
        <v>23473</v>
      </c>
      <c r="V3483" s="5" t="s">
        <v>23473</v>
      </c>
      <c r="W3483" s="5" t="s">
        <v>67</v>
      </c>
      <c r="X3483" s="5" t="s">
        <v>67</v>
      </c>
      <c r="Y3483" s="4">
        <v>7</v>
      </c>
      <c r="Z3483" s="4">
        <v>2</v>
      </c>
      <c r="AA3483" s="4">
        <v>55</v>
      </c>
      <c r="AB3483" s="4">
        <v>1</v>
      </c>
      <c r="AC3483" s="4">
        <v>12</v>
      </c>
      <c r="AD3483" s="4">
        <v>3</v>
      </c>
      <c r="AE3483" s="4">
        <v>72</v>
      </c>
      <c r="AF3483" s="4">
        <v>0</v>
      </c>
      <c r="AG3483" s="4">
        <v>4</v>
      </c>
      <c r="AH3483" s="4">
        <v>3</v>
      </c>
      <c r="AI3483" s="4">
        <v>57</v>
      </c>
      <c r="AJ3483" s="4">
        <v>1</v>
      </c>
      <c r="AK3483" s="4">
        <v>18</v>
      </c>
      <c r="AL3483" s="4">
        <v>2</v>
      </c>
      <c r="AM3483" s="4">
        <v>36</v>
      </c>
      <c r="AN3483" s="4">
        <v>0</v>
      </c>
      <c r="AO3483" s="4">
        <v>0</v>
      </c>
      <c r="AP3483" s="4">
        <v>1</v>
      </c>
      <c r="AQ3483" s="4">
        <v>19</v>
      </c>
      <c r="AR3483" s="3" t="s">
        <v>61</v>
      </c>
      <c r="AS3483" s="3" t="s">
        <v>62</v>
      </c>
      <c r="AT3483" s="3" t="s">
        <v>62</v>
      </c>
      <c r="AV3483" s="6" t="str">
        <f>HYPERLINK("http://mcgill.on.worldcat.org/oclc/878024402","Catalog Record")</f>
        <v>Catalog Record</v>
      </c>
      <c r="AW3483" s="6" t="str">
        <f>HYPERLINK("http://www.worldcat.org/oclc/878024402","WorldCat Record")</f>
        <v>WorldCat Record</v>
      </c>
      <c r="AX3483" s="3" t="s">
        <v>33650</v>
      </c>
      <c r="AY3483" s="3" t="s">
        <v>33662</v>
      </c>
      <c r="AZ3483" s="3" t="s">
        <v>33663</v>
      </c>
      <c r="BA3483" s="3" t="s">
        <v>33663</v>
      </c>
      <c r="BB3483" s="3" t="s">
        <v>33664</v>
      </c>
      <c r="BC3483" s="3" t="s">
        <v>102</v>
      </c>
      <c r="BD3483" s="3" t="s">
        <v>68</v>
      </c>
      <c r="BE3483" s="3" t="s">
        <v>33665</v>
      </c>
      <c r="BF3483" s="3" t="s">
        <v>33664</v>
      </c>
      <c r="BG3483" s="3" t="s">
        <v>33666</v>
      </c>
    </row>
    <row r="3484" spans="1:59" ht="58" x14ac:dyDescent="0.35">
      <c r="A3484" s="2" t="s">
        <v>89</v>
      </c>
      <c r="B3484" s="2" t="s">
        <v>90</v>
      </c>
      <c r="C3484" s="2" t="s">
        <v>33667</v>
      </c>
      <c r="D3484" s="2" t="s">
        <v>33668</v>
      </c>
      <c r="E3484" s="2" t="s">
        <v>33669</v>
      </c>
      <c r="G3484" s="3" t="s">
        <v>62</v>
      </c>
      <c r="I3484" s="3" t="s">
        <v>62</v>
      </c>
      <c r="J3484" s="3" t="s">
        <v>62</v>
      </c>
      <c r="K3484" s="3" t="s">
        <v>63</v>
      </c>
      <c r="M3484" s="2" t="s">
        <v>33670</v>
      </c>
      <c r="N3484" s="3" t="s">
        <v>1455</v>
      </c>
      <c r="P3484" s="3" t="s">
        <v>64</v>
      </c>
      <c r="R3484" s="3" t="s">
        <v>32962</v>
      </c>
      <c r="S3484" s="4">
        <v>0</v>
      </c>
      <c r="T3484" s="4">
        <v>0</v>
      </c>
      <c r="W3484" s="5" t="s">
        <v>67</v>
      </c>
      <c r="X3484" s="5" t="s">
        <v>67</v>
      </c>
      <c r="Y3484" s="4">
        <v>35</v>
      </c>
      <c r="Z3484" s="4">
        <v>2</v>
      </c>
      <c r="AA3484" s="4">
        <v>3</v>
      </c>
      <c r="AB3484" s="4">
        <v>1</v>
      </c>
      <c r="AC3484" s="4">
        <v>2</v>
      </c>
      <c r="AD3484" s="4">
        <v>17</v>
      </c>
      <c r="AE3484" s="4">
        <v>18</v>
      </c>
      <c r="AF3484" s="4">
        <v>0</v>
      </c>
      <c r="AG3484" s="4">
        <v>1</v>
      </c>
      <c r="AH3484" s="4">
        <v>16</v>
      </c>
      <c r="AI3484" s="4">
        <v>16</v>
      </c>
      <c r="AJ3484" s="4">
        <v>1</v>
      </c>
      <c r="AK3484" s="4">
        <v>2</v>
      </c>
      <c r="AL3484" s="4">
        <v>10</v>
      </c>
      <c r="AM3484" s="4">
        <v>10</v>
      </c>
      <c r="AN3484" s="4">
        <v>0</v>
      </c>
      <c r="AO3484" s="4">
        <v>0</v>
      </c>
      <c r="AP3484" s="4">
        <v>1</v>
      </c>
      <c r="AQ3484" s="4">
        <v>2</v>
      </c>
      <c r="AR3484" s="3" t="s">
        <v>62</v>
      </c>
      <c r="AS3484" s="3" t="s">
        <v>62</v>
      </c>
      <c r="AT3484" s="3" t="s">
        <v>62</v>
      </c>
      <c r="AV3484" s="6" t="str">
        <f>HYPERLINK("http://mcgill.on.worldcat.org/oclc/928066113","Catalog Record")</f>
        <v>Catalog Record</v>
      </c>
      <c r="AW3484" s="6" t="str">
        <f>HYPERLINK("http://www.worldcat.org/oclc/928066113","WorldCat Record")</f>
        <v>WorldCat Record</v>
      </c>
      <c r="AX3484" s="3" t="s">
        <v>33671</v>
      </c>
      <c r="AY3484" s="3" t="s">
        <v>33672</v>
      </c>
      <c r="AZ3484" s="3" t="s">
        <v>33673</v>
      </c>
      <c r="BA3484" s="3" t="s">
        <v>33673</v>
      </c>
      <c r="BB3484" s="3" t="s">
        <v>33674</v>
      </c>
      <c r="BC3484" s="3" t="s">
        <v>102</v>
      </c>
      <c r="BD3484" s="3" t="s">
        <v>68</v>
      </c>
      <c r="BF3484" s="3" t="s">
        <v>33674</v>
      </c>
      <c r="BG3484" s="3" t="s">
        <v>33675</v>
      </c>
    </row>
    <row r="3485" spans="1:59" ht="101.5" x14ac:dyDescent="0.35">
      <c r="A3485" s="2" t="s">
        <v>89</v>
      </c>
      <c r="B3485" s="2" t="s">
        <v>90</v>
      </c>
      <c r="C3485" s="2" t="s">
        <v>33676</v>
      </c>
      <c r="D3485" s="2" t="s">
        <v>33677</v>
      </c>
      <c r="E3485" s="2" t="s">
        <v>33678</v>
      </c>
      <c r="G3485" s="3" t="s">
        <v>62</v>
      </c>
      <c r="I3485" s="3" t="s">
        <v>61</v>
      </c>
      <c r="J3485" s="3" t="s">
        <v>62</v>
      </c>
      <c r="K3485" s="3" t="s">
        <v>63</v>
      </c>
      <c r="L3485" s="2" t="s">
        <v>33679</v>
      </c>
      <c r="M3485" s="2" t="s">
        <v>33680</v>
      </c>
      <c r="N3485" s="3" t="s">
        <v>24124</v>
      </c>
      <c r="P3485" s="3" t="s">
        <v>64</v>
      </c>
      <c r="R3485" s="3" t="s">
        <v>32962</v>
      </c>
      <c r="S3485" s="4">
        <v>4</v>
      </c>
      <c r="T3485" s="4">
        <v>4</v>
      </c>
      <c r="U3485" s="5" t="s">
        <v>33681</v>
      </c>
      <c r="V3485" s="5" t="s">
        <v>33681</v>
      </c>
      <c r="W3485" s="5" t="s">
        <v>67</v>
      </c>
      <c r="X3485" s="5" t="s">
        <v>67</v>
      </c>
      <c r="Y3485" s="4">
        <v>522</v>
      </c>
      <c r="Z3485" s="4">
        <v>17</v>
      </c>
      <c r="AA3485" s="4">
        <v>21</v>
      </c>
      <c r="AB3485" s="4">
        <v>3</v>
      </c>
      <c r="AC3485" s="4">
        <v>3</v>
      </c>
      <c r="AD3485" s="4">
        <v>93</v>
      </c>
      <c r="AE3485" s="4">
        <v>95</v>
      </c>
      <c r="AF3485" s="4">
        <v>1</v>
      </c>
      <c r="AG3485" s="4">
        <v>1</v>
      </c>
      <c r="AH3485" s="4">
        <v>84</v>
      </c>
      <c r="AI3485" s="4">
        <v>85</v>
      </c>
      <c r="AJ3485" s="4">
        <v>10</v>
      </c>
      <c r="AK3485" s="4">
        <v>11</v>
      </c>
      <c r="AL3485" s="4">
        <v>49</v>
      </c>
      <c r="AM3485" s="4">
        <v>50</v>
      </c>
      <c r="AN3485" s="4">
        <v>0</v>
      </c>
      <c r="AO3485" s="4">
        <v>0</v>
      </c>
      <c r="AP3485" s="4">
        <v>11</v>
      </c>
      <c r="AQ3485" s="4">
        <v>13</v>
      </c>
      <c r="AR3485" s="3" t="s">
        <v>62</v>
      </c>
      <c r="AS3485" s="3" t="s">
        <v>61</v>
      </c>
      <c r="AT3485" s="3" t="s">
        <v>62</v>
      </c>
      <c r="AU3485" s="6" t="str">
        <f>HYPERLINK("http://catalog.hathitrust.org/Record/001488687","HathiTrust Record")</f>
        <v>HathiTrust Record</v>
      </c>
      <c r="AV3485" s="6" t="str">
        <f>HYPERLINK("http://mcgill.on.worldcat.org/oclc/569268","Catalog Record")</f>
        <v>Catalog Record</v>
      </c>
      <c r="AW3485" s="6" t="str">
        <f>HYPERLINK("http://www.worldcat.org/oclc/569268","WorldCat Record")</f>
        <v>WorldCat Record</v>
      </c>
      <c r="AX3485" s="3" t="s">
        <v>33682</v>
      </c>
      <c r="AY3485" s="3" t="s">
        <v>33683</v>
      </c>
      <c r="AZ3485" s="3" t="s">
        <v>33684</v>
      </c>
      <c r="BA3485" s="3" t="s">
        <v>33684</v>
      </c>
      <c r="BB3485" s="3" t="s">
        <v>33685</v>
      </c>
      <c r="BC3485" s="3" t="s">
        <v>102</v>
      </c>
      <c r="BD3485" s="3" t="s">
        <v>231</v>
      </c>
      <c r="BF3485" s="3" t="s">
        <v>33685</v>
      </c>
      <c r="BG3485" s="3" t="s">
        <v>33686</v>
      </c>
    </row>
    <row r="3486" spans="1:59" ht="58" x14ac:dyDescent="0.35">
      <c r="A3486" s="2" t="s">
        <v>89</v>
      </c>
      <c r="B3486" s="2" t="s">
        <v>90</v>
      </c>
      <c r="C3486" s="2" t="s">
        <v>33687</v>
      </c>
      <c r="D3486" s="2" t="s">
        <v>33688</v>
      </c>
      <c r="E3486" s="2" t="s">
        <v>33689</v>
      </c>
      <c r="G3486" s="3" t="s">
        <v>62</v>
      </c>
      <c r="I3486" s="3" t="s">
        <v>62</v>
      </c>
      <c r="J3486" s="3" t="s">
        <v>62</v>
      </c>
      <c r="K3486" s="3" t="s">
        <v>63</v>
      </c>
      <c r="L3486" s="2" t="s">
        <v>33690</v>
      </c>
      <c r="M3486" s="2" t="s">
        <v>33691</v>
      </c>
      <c r="N3486" s="3" t="s">
        <v>625</v>
      </c>
      <c r="P3486" s="3" t="s">
        <v>64</v>
      </c>
      <c r="R3486" s="3" t="s">
        <v>32962</v>
      </c>
      <c r="S3486" s="4">
        <v>6</v>
      </c>
      <c r="T3486" s="4">
        <v>6</v>
      </c>
      <c r="U3486" s="5" t="s">
        <v>33620</v>
      </c>
      <c r="V3486" s="5" t="s">
        <v>33620</v>
      </c>
      <c r="W3486" s="5" t="s">
        <v>67</v>
      </c>
      <c r="X3486" s="5" t="s">
        <v>67</v>
      </c>
      <c r="Y3486" s="4">
        <v>33</v>
      </c>
      <c r="Z3486" s="4">
        <v>23</v>
      </c>
      <c r="AA3486" s="4">
        <v>27</v>
      </c>
      <c r="AB3486" s="4">
        <v>1</v>
      </c>
      <c r="AC3486" s="4">
        <v>2</v>
      </c>
      <c r="AD3486" s="4">
        <v>17</v>
      </c>
      <c r="AE3486" s="4">
        <v>21</v>
      </c>
      <c r="AF3486" s="4">
        <v>0</v>
      </c>
      <c r="AG3486" s="4">
        <v>1</v>
      </c>
      <c r="AH3486" s="4">
        <v>9</v>
      </c>
      <c r="AI3486" s="4">
        <v>11</v>
      </c>
      <c r="AJ3486" s="4">
        <v>9</v>
      </c>
      <c r="AK3486" s="4">
        <v>12</v>
      </c>
      <c r="AL3486" s="4">
        <v>4</v>
      </c>
      <c r="AM3486" s="4">
        <v>4</v>
      </c>
      <c r="AN3486" s="4">
        <v>0</v>
      </c>
      <c r="AO3486" s="4">
        <v>0</v>
      </c>
      <c r="AP3486" s="4">
        <v>11</v>
      </c>
      <c r="AQ3486" s="4">
        <v>15</v>
      </c>
      <c r="AR3486" s="3" t="s">
        <v>61</v>
      </c>
      <c r="AS3486" s="3" t="s">
        <v>62</v>
      </c>
      <c r="AT3486" s="3" t="s">
        <v>62</v>
      </c>
      <c r="AV3486" s="6" t="str">
        <f>HYPERLINK("http://mcgill.on.worldcat.org/oclc/52594084","Catalog Record")</f>
        <v>Catalog Record</v>
      </c>
      <c r="AW3486" s="6" t="str">
        <f>HYPERLINK("http://www.worldcat.org/oclc/52594084","WorldCat Record")</f>
        <v>WorldCat Record</v>
      </c>
      <c r="AX3486" s="3" t="s">
        <v>33692</v>
      </c>
      <c r="AY3486" s="3" t="s">
        <v>33693</v>
      </c>
      <c r="AZ3486" s="3" t="s">
        <v>33694</v>
      </c>
      <c r="BA3486" s="3" t="s">
        <v>33694</v>
      </c>
      <c r="BB3486" s="3" t="s">
        <v>33695</v>
      </c>
      <c r="BC3486" s="3" t="s">
        <v>102</v>
      </c>
      <c r="BD3486" s="3" t="s">
        <v>68</v>
      </c>
      <c r="BE3486" s="3" t="s">
        <v>33696</v>
      </c>
      <c r="BF3486" s="3" t="s">
        <v>33695</v>
      </c>
      <c r="BG3486" s="3" t="s">
        <v>33697</v>
      </c>
    </row>
    <row r="3487" spans="1:59" ht="58" x14ac:dyDescent="0.35">
      <c r="A3487" s="2" t="s">
        <v>89</v>
      </c>
      <c r="B3487" s="2" t="s">
        <v>90</v>
      </c>
      <c r="C3487" s="2" t="s">
        <v>33698</v>
      </c>
      <c r="D3487" s="2" t="s">
        <v>33699</v>
      </c>
      <c r="E3487" s="2" t="s">
        <v>33700</v>
      </c>
      <c r="G3487" s="3" t="s">
        <v>62</v>
      </c>
      <c r="I3487" s="3" t="s">
        <v>62</v>
      </c>
      <c r="J3487" s="3" t="s">
        <v>62</v>
      </c>
      <c r="K3487" s="3" t="s">
        <v>63</v>
      </c>
      <c r="L3487" s="2" t="s">
        <v>33701</v>
      </c>
      <c r="M3487" s="2" t="s">
        <v>33702</v>
      </c>
      <c r="N3487" s="3" t="s">
        <v>9051</v>
      </c>
      <c r="P3487" s="3" t="s">
        <v>1881</v>
      </c>
      <c r="R3487" s="3" t="s">
        <v>32962</v>
      </c>
      <c r="S3487" s="4">
        <v>1</v>
      </c>
      <c r="T3487" s="4">
        <v>1</v>
      </c>
      <c r="U3487" s="5" t="s">
        <v>23223</v>
      </c>
      <c r="V3487" s="5" t="s">
        <v>23223</v>
      </c>
      <c r="W3487" s="5" t="s">
        <v>67</v>
      </c>
      <c r="X3487" s="5" t="s">
        <v>67</v>
      </c>
      <c r="Y3487" s="4">
        <v>49</v>
      </c>
      <c r="Z3487" s="4">
        <v>1</v>
      </c>
      <c r="AA3487" s="4">
        <v>1</v>
      </c>
      <c r="AB3487" s="4">
        <v>1</v>
      </c>
      <c r="AC3487" s="4">
        <v>1</v>
      </c>
      <c r="AD3487" s="4">
        <v>7</v>
      </c>
      <c r="AE3487" s="4">
        <v>8</v>
      </c>
      <c r="AF3487" s="4">
        <v>0</v>
      </c>
      <c r="AG3487" s="4">
        <v>0</v>
      </c>
      <c r="AH3487" s="4">
        <v>7</v>
      </c>
      <c r="AI3487" s="4">
        <v>8</v>
      </c>
      <c r="AJ3487" s="4">
        <v>0</v>
      </c>
      <c r="AK3487" s="4">
        <v>0</v>
      </c>
      <c r="AL3487" s="4">
        <v>6</v>
      </c>
      <c r="AM3487" s="4">
        <v>6</v>
      </c>
      <c r="AN3487" s="4">
        <v>0</v>
      </c>
      <c r="AO3487" s="4">
        <v>0</v>
      </c>
      <c r="AP3487" s="4">
        <v>0</v>
      </c>
      <c r="AQ3487" s="4">
        <v>0</v>
      </c>
      <c r="AR3487" s="3" t="s">
        <v>62</v>
      </c>
      <c r="AS3487" s="3" t="s">
        <v>62</v>
      </c>
      <c r="AT3487" s="3" t="s">
        <v>62</v>
      </c>
      <c r="AU3487" s="6" t="str">
        <f>HYPERLINK("http://catalog.hathitrust.org/Record/002003743","HathiTrust Record")</f>
        <v>HathiTrust Record</v>
      </c>
      <c r="AV3487" s="6" t="str">
        <f>HYPERLINK("http://mcgill.on.worldcat.org/oclc/9649744","Catalog Record")</f>
        <v>Catalog Record</v>
      </c>
      <c r="AW3487" s="6" t="str">
        <f>HYPERLINK("http://www.worldcat.org/oclc/9649744","WorldCat Record")</f>
        <v>WorldCat Record</v>
      </c>
      <c r="AX3487" s="3" t="s">
        <v>33703</v>
      </c>
      <c r="AY3487" s="3" t="s">
        <v>33704</v>
      </c>
      <c r="AZ3487" s="3" t="s">
        <v>33705</v>
      </c>
      <c r="BA3487" s="3" t="s">
        <v>33705</v>
      </c>
      <c r="BB3487" s="3" t="s">
        <v>33706</v>
      </c>
      <c r="BC3487" s="3" t="s">
        <v>102</v>
      </c>
      <c r="BD3487" s="3" t="s">
        <v>68</v>
      </c>
      <c r="BF3487" s="3" t="s">
        <v>33706</v>
      </c>
      <c r="BG3487" s="3" t="s">
        <v>33707</v>
      </c>
    </row>
    <row r="3488" spans="1:59" ht="58" x14ac:dyDescent="0.35">
      <c r="A3488" s="2" t="s">
        <v>89</v>
      </c>
      <c r="B3488" s="2" t="s">
        <v>90</v>
      </c>
      <c r="C3488" s="2" t="s">
        <v>33708</v>
      </c>
      <c r="D3488" s="2" t="s">
        <v>33709</v>
      </c>
      <c r="E3488" s="2" t="s">
        <v>33710</v>
      </c>
      <c r="G3488" s="3" t="s">
        <v>62</v>
      </c>
      <c r="I3488" s="3" t="s">
        <v>62</v>
      </c>
      <c r="J3488" s="3" t="s">
        <v>62</v>
      </c>
      <c r="K3488" s="3" t="s">
        <v>63</v>
      </c>
      <c r="L3488" s="2" t="s">
        <v>33711</v>
      </c>
      <c r="M3488" s="2" t="s">
        <v>33712</v>
      </c>
      <c r="N3488" s="3" t="s">
        <v>186</v>
      </c>
      <c r="P3488" s="3" t="s">
        <v>64</v>
      </c>
      <c r="R3488" s="3" t="s">
        <v>32962</v>
      </c>
      <c r="S3488" s="4">
        <v>1</v>
      </c>
      <c r="T3488" s="4">
        <v>1</v>
      </c>
      <c r="U3488" s="5" t="s">
        <v>26240</v>
      </c>
      <c r="V3488" s="5" t="s">
        <v>26240</v>
      </c>
      <c r="W3488" s="5" t="s">
        <v>67</v>
      </c>
      <c r="X3488" s="5" t="s">
        <v>67</v>
      </c>
      <c r="Y3488" s="4">
        <v>111</v>
      </c>
      <c r="Z3488" s="4">
        <v>12</v>
      </c>
      <c r="AA3488" s="4">
        <v>13</v>
      </c>
      <c r="AB3488" s="4">
        <v>1</v>
      </c>
      <c r="AC3488" s="4">
        <v>2</v>
      </c>
      <c r="AD3488" s="4">
        <v>55</v>
      </c>
      <c r="AE3488" s="4">
        <v>56</v>
      </c>
      <c r="AF3488" s="4">
        <v>0</v>
      </c>
      <c r="AG3488" s="4">
        <v>1</v>
      </c>
      <c r="AH3488" s="4">
        <v>50</v>
      </c>
      <c r="AI3488" s="4">
        <v>50</v>
      </c>
      <c r="AJ3488" s="4">
        <v>10</v>
      </c>
      <c r="AK3488" s="4">
        <v>10</v>
      </c>
      <c r="AL3488" s="4">
        <v>30</v>
      </c>
      <c r="AM3488" s="4">
        <v>30</v>
      </c>
      <c r="AN3488" s="4">
        <v>0</v>
      </c>
      <c r="AO3488" s="4">
        <v>0</v>
      </c>
      <c r="AP3488" s="4">
        <v>9</v>
      </c>
      <c r="AQ3488" s="4">
        <v>10</v>
      </c>
      <c r="AR3488" s="3" t="s">
        <v>62</v>
      </c>
      <c r="AS3488" s="3" t="s">
        <v>62</v>
      </c>
      <c r="AT3488" s="3" t="s">
        <v>61</v>
      </c>
      <c r="AU3488" s="6" t="str">
        <f>HYPERLINK("http://catalog.hathitrust.org/Record/007158012","HathiTrust Record")</f>
        <v>HathiTrust Record</v>
      </c>
      <c r="AV3488" s="6" t="str">
        <f>HYPERLINK("http://mcgill.on.worldcat.org/oclc/2441023","Catalog Record")</f>
        <v>Catalog Record</v>
      </c>
      <c r="AW3488" s="6" t="str">
        <f>HYPERLINK("http://www.worldcat.org/oclc/2441023","WorldCat Record")</f>
        <v>WorldCat Record</v>
      </c>
      <c r="AX3488" s="3" t="s">
        <v>33713</v>
      </c>
      <c r="AY3488" s="3" t="s">
        <v>33714</v>
      </c>
      <c r="AZ3488" s="3" t="s">
        <v>33715</v>
      </c>
      <c r="BA3488" s="3" t="s">
        <v>33715</v>
      </c>
      <c r="BB3488" s="3" t="s">
        <v>33716</v>
      </c>
      <c r="BC3488" s="3" t="s">
        <v>102</v>
      </c>
      <c r="BD3488" s="3" t="s">
        <v>68</v>
      </c>
      <c r="BF3488" s="3" t="s">
        <v>33716</v>
      </c>
      <c r="BG3488" s="3" t="s">
        <v>33717</v>
      </c>
    </row>
    <row r="3489" spans="1:59" ht="72.5" x14ac:dyDescent="0.35">
      <c r="A3489" s="2" t="s">
        <v>59</v>
      </c>
      <c r="B3489" s="2" t="s">
        <v>60</v>
      </c>
      <c r="C3489" s="2" t="s">
        <v>33718</v>
      </c>
      <c r="D3489" s="2" t="s">
        <v>33719</v>
      </c>
      <c r="E3489" s="2" t="s">
        <v>33720</v>
      </c>
      <c r="F3489" s="3" t="s">
        <v>7338</v>
      </c>
      <c r="G3489" s="3" t="s">
        <v>62</v>
      </c>
      <c r="I3489" s="3" t="s">
        <v>61</v>
      </c>
      <c r="J3489" s="3" t="s">
        <v>62</v>
      </c>
      <c r="K3489" s="3" t="s">
        <v>63</v>
      </c>
      <c r="L3489" s="2" t="s">
        <v>33721</v>
      </c>
      <c r="M3489" s="2" t="s">
        <v>33722</v>
      </c>
      <c r="N3489" s="3" t="s">
        <v>954</v>
      </c>
      <c r="P3489" s="3" t="s">
        <v>64</v>
      </c>
      <c r="Q3489" s="2" t="s">
        <v>33723</v>
      </c>
      <c r="R3489" s="3" t="s">
        <v>32962</v>
      </c>
      <c r="S3489" s="4">
        <v>10</v>
      </c>
      <c r="T3489" s="4">
        <v>25</v>
      </c>
      <c r="U3489" s="5" t="s">
        <v>25719</v>
      </c>
      <c r="V3489" s="5" t="s">
        <v>17649</v>
      </c>
      <c r="W3489" s="5" t="s">
        <v>67</v>
      </c>
      <c r="X3489" s="5" t="s">
        <v>67</v>
      </c>
      <c r="Y3489" s="4">
        <v>694</v>
      </c>
      <c r="Z3489" s="4">
        <v>50</v>
      </c>
      <c r="AA3489" s="4">
        <v>55</v>
      </c>
      <c r="AB3489" s="4">
        <v>6</v>
      </c>
      <c r="AC3489" s="4">
        <v>10</v>
      </c>
      <c r="AD3489" s="4">
        <v>128</v>
      </c>
      <c r="AE3489" s="4">
        <v>132</v>
      </c>
      <c r="AF3489" s="4">
        <v>2</v>
      </c>
      <c r="AG3489" s="4">
        <v>6</v>
      </c>
      <c r="AH3489" s="4">
        <v>98</v>
      </c>
      <c r="AI3489" s="4">
        <v>98</v>
      </c>
      <c r="AJ3489" s="4">
        <v>21</v>
      </c>
      <c r="AK3489" s="4">
        <v>24</v>
      </c>
      <c r="AL3489" s="4">
        <v>56</v>
      </c>
      <c r="AM3489" s="4">
        <v>56</v>
      </c>
      <c r="AN3489" s="4">
        <v>0</v>
      </c>
      <c r="AO3489" s="4">
        <v>0</v>
      </c>
      <c r="AP3489" s="4">
        <v>37</v>
      </c>
      <c r="AQ3489" s="4">
        <v>40</v>
      </c>
      <c r="AR3489" s="3" t="s">
        <v>62</v>
      </c>
      <c r="AS3489" s="3" t="s">
        <v>62</v>
      </c>
      <c r="AT3489" s="3" t="s">
        <v>62</v>
      </c>
      <c r="AV3489" s="6" t="str">
        <f>HYPERLINK("http://mcgill.on.worldcat.org/oclc/363110","Catalog Record")</f>
        <v>Catalog Record</v>
      </c>
      <c r="AW3489" s="6" t="str">
        <f>HYPERLINK("http://www.worldcat.org/oclc/363110","WorldCat Record")</f>
        <v>WorldCat Record</v>
      </c>
      <c r="AX3489" s="3" t="s">
        <v>33724</v>
      </c>
      <c r="AY3489" s="3" t="s">
        <v>33725</v>
      </c>
      <c r="AZ3489" s="3" t="s">
        <v>33726</v>
      </c>
      <c r="BA3489" s="3" t="s">
        <v>33726</v>
      </c>
      <c r="BB3489" s="3" t="s">
        <v>33727</v>
      </c>
      <c r="BC3489" s="3" t="s">
        <v>102</v>
      </c>
      <c r="BD3489" s="3" t="s">
        <v>68</v>
      </c>
      <c r="BF3489" s="3" t="s">
        <v>33727</v>
      </c>
      <c r="BG3489" s="3" t="s">
        <v>33728</v>
      </c>
    </row>
    <row r="3490" spans="1:59" ht="58" x14ac:dyDescent="0.35">
      <c r="A3490" s="2" t="s">
        <v>89</v>
      </c>
      <c r="B3490" s="2" t="s">
        <v>18023</v>
      </c>
      <c r="C3490" s="2" t="s">
        <v>33729</v>
      </c>
      <c r="D3490" s="2" t="s">
        <v>33730</v>
      </c>
      <c r="E3490" s="2" t="s">
        <v>33731</v>
      </c>
      <c r="G3490" s="3" t="s">
        <v>62</v>
      </c>
      <c r="I3490" s="3" t="s">
        <v>61</v>
      </c>
      <c r="J3490" s="3" t="s">
        <v>62</v>
      </c>
      <c r="K3490" s="3" t="s">
        <v>63</v>
      </c>
      <c r="L3490" s="2" t="s">
        <v>33732</v>
      </c>
      <c r="M3490" s="2" t="s">
        <v>33733</v>
      </c>
      <c r="N3490" s="3" t="s">
        <v>1482</v>
      </c>
      <c r="P3490" s="3" t="s">
        <v>64</v>
      </c>
      <c r="R3490" s="3" t="s">
        <v>32962</v>
      </c>
      <c r="S3490" s="4">
        <v>32</v>
      </c>
      <c r="T3490" s="4">
        <v>202</v>
      </c>
      <c r="U3490" s="5" t="s">
        <v>10785</v>
      </c>
      <c r="V3490" s="5" t="s">
        <v>24240</v>
      </c>
      <c r="W3490" s="5" t="s">
        <v>67</v>
      </c>
      <c r="X3490" s="5" t="s">
        <v>67</v>
      </c>
      <c r="Y3490" s="4">
        <v>289</v>
      </c>
      <c r="Z3490" s="4">
        <v>8</v>
      </c>
      <c r="AA3490" s="4">
        <v>67</v>
      </c>
      <c r="AB3490" s="4">
        <v>1</v>
      </c>
      <c r="AC3490" s="4">
        <v>10</v>
      </c>
      <c r="AD3490" s="4">
        <v>41</v>
      </c>
      <c r="AE3490" s="4">
        <v>141</v>
      </c>
      <c r="AF3490" s="4">
        <v>0</v>
      </c>
      <c r="AG3490" s="4">
        <v>5</v>
      </c>
      <c r="AH3490" s="4">
        <v>36</v>
      </c>
      <c r="AI3490" s="4">
        <v>112</v>
      </c>
      <c r="AJ3490" s="4">
        <v>2</v>
      </c>
      <c r="AK3490" s="4">
        <v>25</v>
      </c>
      <c r="AL3490" s="4">
        <v>19</v>
      </c>
      <c r="AM3490" s="4">
        <v>58</v>
      </c>
      <c r="AN3490" s="4">
        <v>0</v>
      </c>
      <c r="AO3490" s="4">
        <v>0</v>
      </c>
      <c r="AP3490" s="4">
        <v>6</v>
      </c>
      <c r="AQ3490" s="4">
        <v>39</v>
      </c>
      <c r="AR3490" s="3" t="s">
        <v>62</v>
      </c>
      <c r="AS3490" s="3" t="s">
        <v>62</v>
      </c>
      <c r="AT3490" s="3" t="s">
        <v>62</v>
      </c>
      <c r="AV3490" s="6" t="str">
        <f>HYPERLINK("http://mcgill.on.worldcat.org/oclc/13867925","Catalog Record")</f>
        <v>Catalog Record</v>
      </c>
      <c r="AW3490" s="6" t="str">
        <f>HYPERLINK("http://www.worldcat.org/oclc/13867925","WorldCat Record")</f>
        <v>WorldCat Record</v>
      </c>
      <c r="AX3490" s="3" t="s">
        <v>33734</v>
      </c>
      <c r="AY3490" s="3" t="s">
        <v>33735</v>
      </c>
      <c r="AZ3490" s="3" t="s">
        <v>33736</v>
      </c>
      <c r="BA3490" s="3" t="s">
        <v>33736</v>
      </c>
      <c r="BB3490" s="3" t="s">
        <v>33737</v>
      </c>
      <c r="BC3490" s="3" t="s">
        <v>102</v>
      </c>
      <c r="BD3490" s="3" t="s">
        <v>68</v>
      </c>
      <c r="BE3490" s="3" t="s">
        <v>33738</v>
      </c>
      <c r="BF3490" s="3" t="s">
        <v>33737</v>
      </c>
      <c r="BG3490" s="3" t="s">
        <v>33739</v>
      </c>
    </row>
    <row r="3491" spans="1:59" ht="58" x14ac:dyDescent="0.35">
      <c r="A3491" s="2" t="s">
        <v>89</v>
      </c>
      <c r="B3491" s="2" t="s">
        <v>18023</v>
      </c>
      <c r="C3491" s="2" t="s">
        <v>33729</v>
      </c>
      <c r="D3491" s="2" t="s">
        <v>33730</v>
      </c>
      <c r="E3491" s="2" t="s">
        <v>33731</v>
      </c>
      <c r="G3491" s="3" t="s">
        <v>62</v>
      </c>
      <c r="I3491" s="3" t="s">
        <v>61</v>
      </c>
      <c r="J3491" s="3" t="s">
        <v>62</v>
      </c>
      <c r="K3491" s="3" t="s">
        <v>63</v>
      </c>
      <c r="L3491" s="2" t="s">
        <v>33732</v>
      </c>
      <c r="M3491" s="2" t="s">
        <v>33733</v>
      </c>
      <c r="N3491" s="3" t="s">
        <v>1482</v>
      </c>
      <c r="P3491" s="3" t="s">
        <v>64</v>
      </c>
      <c r="R3491" s="3" t="s">
        <v>32962</v>
      </c>
      <c r="S3491" s="4">
        <v>10</v>
      </c>
      <c r="T3491" s="4">
        <v>202</v>
      </c>
      <c r="U3491" s="5" t="s">
        <v>14499</v>
      </c>
      <c r="V3491" s="5" t="s">
        <v>24240</v>
      </c>
      <c r="W3491" s="5" t="s">
        <v>67</v>
      </c>
      <c r="X3491" s="5" t="s">
        <v>67</v>
      </c>
      <c r="Y3491" s="4">
        <v>289</v>
      </c>
      <c r="Z3491" s="4">
        <v>8</v>
      </c>
      <c r="AA3491" s="4">
        <v>67</v>
      </c>
      <c r="AB3491" s="4">
        <v>1</v>
      </c>
      <c r="AC3491" s="4">
        <v>10</v>
      </c>
      <c r="AD3491" s="4">
        <v>41</v>
      </c>
      <c r="AE3491" s="4">
        <v>141</v>
      </c>
      <c r="AF3491" s="4">
        <v>0</v>
      </c>
      <c r="AG3491" s="4">
        <v>5</v>
      </c>
      <c r="AH3491" s="4">
        <v>36</v>
      </c>
      <c r="AI3491" s="4">
        <v>112</v>
      </c>
      <c r="AJ3491" s="4">
        <v>2</v>
      </c>
      <c r="AK3491" s="4">
        <v>25</v>
      </c>
      <c r="AL3491" s="4">
        <v>19</v>
      </c>
      <c r="AM3491" s="4">
        <v>58</v>
      </c>
      <c r="AN3491" s="4">
        <v>0</v>
      </c>
      <c r="AO3491" s="4">
        <v>0</v>
      </c>
      <c r="AP3491" s="4">
        <v>6</v>
      </c>
      <c r="AQ3491" s="4">
        <v>39</v>
      </c>
      <c r="AR3491" s="3" t="s">
        <v>62</v>
      </c>
      <c r="AS3491" s="3" t="s">
        <v>62</v>
      </c>
      <c r="AT3491" s="3" t="s">
        <v>62</v>
      </c>
      <c r="AV3491" s="6" t="str">
        <f>HYPERLINK("http://mcgill.on.worldcat.org/oclc/13867925","Catalog Record")</f>
        <v>Catalog Record</v>
      </c>
      <c r="AW3491" s="6" t="str">
        <f>HYPERLINK("http://www.worldcat.org/oclc/13867925","WorldCat Record")</f>
        <v>WorldCat Record</v>
      </c>
      <c r="AX3491" s="3" t="s">
        <v>33734</v>
      </c>
      <c r="AY3491" s="3" t="s">
        <v>33735</v>
      </c>
      <c r="AZ3491" s="3" t="s">
        <v>33736</v>
      </c>
      <c r="BA3491" s="3" t="s">
        <v>33736</v>
      </c>
      <c r="BB3491" s="3" t="s">
        <v>33740</v>
      </c>
      <c r="BC3491" s="3" t="s">
        <v>102</v>
      </c>
      <c r="BD3491" s="3" t="s">
        <v>68</v>
      </c>
      <c r="BE3491" s="3" t="s">
        <v>33738</v>
      </c>
      <c r="BF3491" s="3" t="s">
        <v>33740</v>
      </c>
      <c r="BG3491" s="3" t="s">
        <v>33741</v>
      </c>
    </row>
    <row r="3492" spans="1:59" ht="58" x14ac:dyDescent="0.35">
      <c r="A3492" s="2" t="s">
        <v>89</v>
      </c>
      <c r="B3492" s="2" t="s">
        <v>18023</v>
      </c>
      <c r="C3492" s="2" t="s">
        <v>33729</v>
      </c>
      <c r="D3492" s="2" t="s">
        <v>33730</v>
      </c>
      <c r="E3492" s="2" t="s">
        <v>33731</v>
      </c>
      <c r="G3492" s="3" t="s">
        <v>62</v>
      </c>
      <c r="I3492" s="3" t="s">
        <v>61</v>
      </c>
      <c r="J3492" s="3" t="s">
        <v>62</v>
      </c>
      <c r="K3492" s="3" t="s">
        <v>63</v>
      </c>
      <c r="L3492" s="2" t="s">
        <v>33732</v>
      </c>
      <c r="M3492" s="2" t="s">
        <v>33733</v>
      </c>
      <c r="N3492" s="3" t="s">
        <v>1482</v>
      </c>
      <c r="P3492" s="3" t="s">
        <v>64</v>
      </c>
      <c r="R3492" s="3" t="s">
        <v>32962</v>
      </c>
      <c r="S3492" s="4">
        <v>148</v>
      </c>
      <c r="T3492" s="4">
        <v>202</v>
      </c>
      <c r="U3492" s="5" t="s">
        <v>14499</v>
      </c>
      <c r="V3492" s="5" t="s">
        <v>24240</v>
      </c>
      <c r="W3492" s="5" t="s">
        <v>67</v>
      </c>
      <c r="X3492" s="5" t="s">
        <v>67</v>
      </c>
      <c r="Y3492" s="4">
        <v>289</v>
      </c>
      <c r="Z3492" s="4">
        <v>8</v>
      </c>
      <c r="AA3492" s="4">
        <v>67</v>
      </c>
      <c r="AB3492" s="4">
        <v>1</v>
      </c>
      <c r="AC3492" s="4">
        <v>10</v>
      </c>
      <c r="AD3492" s="4">
        <v>41</v>
      </c>
      <c r="AE3492" s="4">
        <v>141</v>
      </c>
      <c r="AF3492" s="4">
        <v>0</v>
      </c>
      <c r="AG3492" s="4">
        <v>5</v>
      </c>
      <c r="AH3492" s="4">
        <v>36</v>
      </c>
      <c r="AI3492" s="4">
        <v>112</v>
      </c>
      <c r="AJ3492" s="4">
        <v>2</v>
      </c>
      <c r="AK3492" s="4">
        <v>25</v>
      </c>
      <c r="AL3492" s="4">
        <v>19</v>
      </c>
      <c r="AM3492" s="4">
        <v>58</v>
      </c>
      <c r="AN3492" s="4">
        <v>0</v>
      </c>
      <c r="AO3492" s="4">
        <v>0</v>
      </c>
      <c r="AP3492" s="4">
        <v>6</v>
      </c>
      <c r="AQ3492" s="4">
        <v>39</v>
      </c>
      <c r="AR3492" s="3" t="s">
        <v>62</v>
      </c>
      <c r="AS3492" s="3" t="s">
        <v>62</v>
      </c>
      <c r="AT3492" s="3" t="s">
        <v>62</v>
      </c>
      <c r="AV3492" s="6" t="str">
        <f>HYPERLINK("http://mcgill.on.worldcat.org/oclc/13867925","Catalog Record")</f>
        <v>Catalog Record</v>
      </c>
      <c r="AW3492" s="6" t="str">
        <f>HYPERLINK("http://www.worldcat.org/oclc/13867925","WorldCat Record")</f>
        <v>WorldCat Record</v>
      </c>
      <c r="AX3492" s="3" t="s">
        <v>33734</v>
      </c>
      <c r="AY3492" s="3" t="s">
        <v>33735</v>
      </c>
      <c r="AZ3492" s="3" t="s">
        <v>33736</v>
      </c>
      <c r="BA3492" s="3" t="s">
        <v>33736</v>
      </c>
      <c r="BB3492" s="3" t="s">
        <v>33742</v>
      </c>
      <c r="BC3492" s="3" t="s">
        <v>102</v>
      </c>
      <c r="BD3492" s="3" t="s">
        <v>68</v>
      </c>
      <c r="BE3492" s="3" t="s">
        <v>33738</v>
      </c>
      <c r="BF3492" s="3" t="s">
        <v>33742</v>
      </c>
      <c r="BG3492" s="3" t="s">
        <v>33743</v>
      </c>
    </row>
    <row r="3493" spans="1:59" ht="58" x14ac:dyDescent="0.35">
      <c r="A3493" s="2" t="s">
        <v>89</v>
      </c>
      <c r="B3493" s="2" t="s">
        <v>18023</v>
      </c>
      <c r="C3493" s="2" t="s">
        <v>33729</v>
      </c>
      <c r="D3493" s="2" t="s">
        <v>33730</v>
      </c>
      <c r="E3493" s="2" t="s">
        <v>33731</v>
      </c>
      <c r="G3493" s="3" t="s">
        <v>62</v>
      </c>
      <c r="I3493" s="3" t="s">
        <v>61</v>
      </c>
      <c r="J3493" s="3" t="s">
        <v>62</v>
      </c>
      <c r="K3493" s="3" t="s">
        <v>63</v>
      </c>
      <c r="L3493" s="2" t="s">
        <v>33732</v>
      </c>
      <c r="M3493" s="2" t="s">
        <v>33733</v>
      </c>
      <c r="N3493" s="3" t="s">
        <v>1482</v>
      </c>
      <c r="P3493" s="3" t="s">
        <v>64</v>
      </c>
      <c r="R3493" s="3" t="s">
        <v>32962</v>
      </c>
      <c r="S3493" s="4">
        <v>12</v>
      </c>
      <c r="T3493" s="4">
        <v>202</v>
      </c>
      <c r="U3493" s="5" t="s">
        <v>24240</v>
      </c>
      <c r="V3493" s="5" t="s">
        <v>24240</v>
      </c>
      <c r="W3493" s="5" t="s">
        <v>67</v>
      </c>
      <c r="X3493" s="5" t="s">
        <v>67</v>
      </c>
      <c r="Y3493" s="4">
        <v>289</v>
      </c>
      <c r="Z3493" s="4">
        <v>8</v>
      </c>
      <c r="AA3493" s="4">
        <v>67</v>
      </c>
      <c r="AB3493" s="4">
        <v>1</v>
      </c>
      <c r="AC3493" s="4">
        <v>10</v>
      </c>
      <c r="AD3493" s="4">
        <v>41</v>
      </c>
      <c r="AE3493" s="4">
        <v>141</v>
      </c>
      <c r="AF3493" s="4">
        <v>0</v>
      </c>
      <c r="AG3493" s="4">
        <v>5</v>
      </c>
      <c r="AH3493" s="4">
        <v>36</v>
      </c>
      <c r="AI3493" s="4">
        <v>112</v>
      </c>
      <c r="AJ3493" s="4">
        <v>2</v>
      </c>
      <c r="AK3493" s="4">
        <v>25</v>
      </c>
      <c r="AL3493" s="4">
        <v>19</v>
      </c>
      <c r="AM3493" s="4">
        <v>58</v>
      </c>
      <c r="AN3493" s="4">
        <v>0</v>
      </c>
      <c r="AO3493" s="4">
        <v>0</v>
      </c>
      <c r="AP3493" s="4">
        <v>6</v>
      </c>
      <c r="AQ3493" s="4">
        <v>39</v>
      </c>
      <c r="AR3493" s="3" t="s">
        <v>62</v>
      </c>
      <c r="AS3493" s="3" t="s">
        <v>62</v>
      </c>
      <c r="AT3493" s="3" t="s">
        <v>62</v>
      </c>
      <c r="AV3493" s="6" t="str">
        <f>HYPERLINK("http://mcgill.on.worldcat.org/oclc/13867925","Catalog Record")</f>
        <v>Catalog Record</v>
      </c>
      <c r="AW3493" s="6" t="str">
        <f>HYPERLINK("http://www.worldcat.org/oclc/13867925","WorldCat Record")</f>
        <v>WorldCat Record</v>
      </c>
      <c r="AX3493" s="3" t="s">
        <v>33734</v>
      </c>
      <c r="AY3493" s="3" t="s">
        <v>33735</v>
      </c>
      <c r="AZ3493" s="3" t="s">
        <v>33736</v>
      </c>
      <c r="BA3493" s="3" t="s">
        <v>33736</v>
      </c>
      <c r="BB3493" s="3" t="s">
        <v>33744</v>
      </c>
      <c r="BC3493" s="3" t="s">
        <v>102</v>
      </c>
      <c r="BD3493" s="3" t="s">
        <v>68</v>
      </c>
      <c r="BE3493" s="3" t="s">
        <v>33738</v>
      </c>
      <c r="BF3493" s="3" t="s">
        <v>33744</v>
      </c>
      <c r="BG3493" s="3" t="s">
        <v>33745</v>
      </c>
    </row>
    <row r="3494" spans="1:59" ht="58" x14ac:dyDescent="0.35">
      <c r="A3494" s="2" t="s">
        <v>89</v>
      </c>
      <c r="B3494" s="2" t="s">
        <v>90</v>
      </c>
      <c r="C3494" s="2" t="s">
        <v>33746</v>
      </c>
      <c r="D3494" s="2" t="s">
        <v>33747</v>
      </c>
      <c r="E3494" s="2" t="s">
        <v>33748</v>
      </c>
      <c r="G3494" s="3" t="s">
        <v>62</v>
      </c>
      <c r="I3494" s="3" t="s">
        <v>62</v>
      </c>
      <c r="J3494" s="3" t="s">
        <v>62</v>
      </c>
      <c r="K3494" s="3" t="s">
        <v>63</v>
      </c>
      <c r="L3494" s="2" t="s">
        <v>33749</v>
      </c>
      <c r="M3494" s="2" t="s">
        <v>12415</v>
      </c>
      <c r="N3494" s="3" t="s">
        <v>712</v>
      </c>
      <c r="O3494" s="2" t="s">
        <v>2163</v>
      </c>
      <c r="P3494" s="3" t="s">
        <v>64</v>
      </c>
      <c r="Q3494" s="2" t="s">
        <v>33750</v>
      </c>
      <c r="R3494" s="3" t="s">
        <v>32962</v>
      </c>
      <c r="S3494" s="4">
        <v>1</v>
      </c>
      <c r="T3494" s="4">
        <v>1</v>
      </c>
      <c r="U3494" s="5" t="s">
        <v>33751</v>
      </c>
      <c r="V3494" s="5" t="s">
        <v>33751</v>
      </c>
      <c r="W3494" s="5" t="s">
        <v>67</v>
      </c>
      <c r="X3494" s="5" t="s">
        <v>67</v>
      </c>
      <c r="Y3494" s="4">
        <v>480</v>
      </c>
      <c r="Z3494" s="4">
        <v>25</v>
      </c>
      <c r="AA3494" s="4">
        <v>31</v>
      </c>
      <c r="AB3494" s="4">
        <v>1</v>
      </c>
      <c r="AC3494" s="4">
        <v>2</v>
      </c>
      <c r="AD3494" s="4">
        <v>68</v>
      </c>
      <c r="AE3494" s="4">
        <v>75</v>
      </c>
      <c r="AF3494" s="4">
        <v>0</v>
      </c>
      <c r="AG3494" s="4">
        <v>0</v>
      </c>
      <c r="AH3494" s="4">
        <v>57</v>
      </c>
      <c r="AI3494" s="4">
        <v>59</v>
      </c>
      <c r="AJ3494" s="4">
        <v>10</v>
      </c>
      <c r="AK3494" s="4">
        <v>13</v>
      </c>
      <c r="AL3494" s="4">
        <v>31</v>
      </c>
      <c r="AM3494" s="4">
        <v>33</v>
      </c>
      <c r="AN3494" s="4">
        <v>0</v>
      </c>
      <c r="AO3494" s="4">
        <v>0</v>
      </c>
      <c r="AP3494" s="4">
        <v>15</v>
      </c>
      <c r="AQ3494" s="4">
        <v>20</v>
      </c>
      <c r="AR3494" s="3" t="s">
        <v>62</v>
      </c>
      <c r="AS3494" s="3" t="s">
        <v>62</v>
      </c>
      <c r="AT3494" s="3" t="s">
        <v>62</v>
      </c>
      <c r="AV3494" s="6" t="str">
        <f>HYPERLINK("http://mcgill.on.worldcat.org/oclc/857848721","Catalog Record")</f>
        <v>Catalog Record</v>
      </c>
      <c r="AW3494" s="6" t="str">
        <f>HYPERLINK("http://www.worldcat.org/oclc/857848721","WorldCat Record")</f>
        <v>WorldCat Record</v>
      </c>
      <c r="AX3494" s="3" t="s">
        <v>33752</v>
      </c>
      <c r="AY3494" s="3" t="s">
        <v>33753</v>
      </c>
      <c r="AZ3494" s="3" t="s">
        <v>33754</v>
      </c>
      <c r="BA3494" s="3" t="s">
        <v>33754</v>
      </c>
      <c r="BB3494" s="3" t="s">
        <v>33755</v>
      </c>
      <c r="BC3494" s="3" t="s">
        <v>102</v>
      </c>
      <c r="BD3494" s="3" t="s">
        <v>68</v>
      </c>
      <c r="BE3494" s="3" t="s">
        <v>33756</v>
      </c>
      <c r="BF3494" s="3" t="s">
        <v>33755</v>
      </c>
      <c r="BG3494" s="3" t="s">
        <v>33757</v>
      </c>
    </row>
    <row r="3495" spans="1:59" ht="116" x14ac:dyDescent="0.35">
      <c r="A3495" s="2" t="s">
        <v>59</v>
      </c>
      <c r="B3495" s="2" t="s">
        <v>60</v>
      </c>
      <c r="C3495" s="2" t="s">
        <v>33758</v>
      </c>
      <c r="D3495" s="2" t="s">
        <v>33759</v>
      </c>
      <c r="E3495" s="2" t="s">
        <v>33760</v>
      </c>
      <c r="G3495" s="3" t="s">
        <v>62</v>
      </c>
      <c r="I3495" s="3" t="s">
        <v>62</v>
      </c>
      <c r="J3495" s="3" t="s">
        <v>62</v>
      </c>
      <c r="K3495" s="3" t="s">
        <v>63</v>
      </c>
      <c r="M3495" s="2" t="s">
        <v>33761</v>
      </c>
      <c r="N3495" s="3" t="s">
        <v>355</v>
      </c>
      <c r="P3495" s="3" t="s">
        <v>64</v>
      </c>
      <c r="Q3495" s="2" t="s">
        <v>33762</v>
      </c>
      <c r="R3495" s="3" t="s">
        <v>32962</v>
      </c>
      <c r="S3495" s="4">
        <v>6</v>
      </c>
      <c r="T3495" s="4">
        <v>6</v>
      </c>
      <c r="U3495" s="5" t="s">
        <v>33763</v>
      </c>
      <c r="V3495" s="5" t="s">
        <v>33763</v>
      </c>
      <c r="W3495" s="5" t="s">
        <v>67</v>
      </c>
      <c r="X3495" s="5" t="s">
        <v>67</v>
      </c>
      <c r="Y3495" s="4">
        <v>359</v>
      </c>
      <c r="Z3495" s="4">
        <v>28</v>
      </c>
      <c r="AA3495" s="4">
        <v>30</v>
      </c>
      <c r="AB3495" s="4">
        <v>1</v>
      </c>
      <c r="AC3495" s="4">
        <v>2</v>
      </c>
      <c r="AD3495" s="4">
        <v>100</v>
      </c>
      <c r="AE3495" s="4">
        <v>102</v>
      </c>
      <c r="AF3495" s="4">
        <v>0</v>
      </c>
      <c r="AG3495" s="4">
        <v>1</v>
      </c>
      <c r="AH3495" s="4">
        <v>88</v>
      </c>
      <c r="AI3495" s="4">
        <v>89</v>
      </c>
      <c r="AJ3495" s="4">
        <v>12</v>
      </c>
      <c r="AK3495" s="4">
        <v>14</v>
      </c>
      <c r="AL3495" s="4">
        <v>51</v>
      </c>
      <c r="AM3495" s="4">
        <v>51</v>
      </c>
      <c r="AN3495" s="4">
        <v>0</v>
      </c>
      <c r="AO3495" s="4">
        <v>0</v>
      </c>
      <c r="AP3495" s="4">
        <v>16</v>
      </c>
      <c r="AQ3495" s="4">
        <v>17</v>
      </c>
      <c r="AR3495" s="3" t="s">
        <v>62</v>
      </c>
      <c r="AS3495" s="3" t="s">
        <v>62</v>
      </c>
      <c r="AT3495" s="3" t="s">
        <v>61</v>
      </c>
      <c r="AU3495" s="6" t="str">
        <f>HYPERLINK("http://catalog.hathitrust.org/Record/000337514","HathiTrust Record")</f>
        <v>HathiTrust Record</v>
      </c>
      <c r="AV3495" s="6" t="str">
        <f>HYPERLINK("http://mcgill.on.worldcat.org/oclc/10228866","Catalog Record")</f>
        <v>Catalog Record</v>
      </c>
      <c r="AW3495" s="6" t="str">
        <f>HYPERLINK("http://www.worldcat.org/oclc/10228866","WorldCat Record")</f>
        <v>WorldCat Record</v>
      </c>
      <c r="AX3495" s="3" t="s">
        <v>33764</v>
      </c>
      <c r="AY3495" s="3" t="s">
        <v>33765</v>
      </c>
      <c r="AZ3495" s="3" t="s">
        <v>33766</v>
      </c>
      <c r="BA3495" s="3" t="s">
        <v>33766</v>
      </c>
      <c r="BB3495" s="3" t="s">
        <v>33767</v>
      </c>
      <c r="BC3495" s="3" t="s">
        <v>102</v>
      </c>
      <c r="BD3495" s="3" t="s">
        <v>68</v>
      </c>
      <c r="BE3495" s="3" t="s">
        <v>33768</v>
      </c>
      <c r="BF3495" s="3" t="s">
        <v>33767</v>
      </c>
      <c r="BG3495" s="3" t="s">
        <v>33769</v>
      </c>
    </row>
    <row r="3496" spans="1:59" ht="72.5" x14ac:dyDescent="0.35">
      <c r="A3496" s="2" t="s">
        <v>59</v>
      </c>
      <c r="B3496" s="2" t="s">
        <v>60</v>
      </c>
      <c r="C3496" s="2" t="s">
        <v>33770</v>
      </c>
      <c r="D3496" s="2" t="s">
        <v>33771</v>
      </c>
      <c r="E3496" s="2" t="s">
        <v>33772</v>
      </c>
      <c r="F3496" s="3" t="s">
        <v>33773</v>
      </c>
      <c r="G3496" s="3" t="s">
        <v>62</v>
      </c>
      <c r="I3496" s="3" t="s">
        <v>62</v>
      </c>
      <c r="J3496" s="3" t="s">
        <v>62</v>
      </c>
      <c r="K3496" s="3" t="s">
        <v>63</v>
      </c>
      <c r="L3496" s="2" t="s">
        <v>33774</v>
      </c>
      <c r="M3496" s="2" t="s">
        <v>33775</v>
      </c>
      <c r="N3496" s="3" t="s">
        <v>95</v>
      </c>
      <c r="P3496" s="3" t="s">
        <v>64</v>
      </c>
      <c r="Q3496" s="2" t="s">
        <v>33776</v>
      </c>
      <c r="R3496" s="3" t="s">
        <v>32962</v>
      </c>
      <c r="S3496" s="4">
        <v>3</v>
      </c>
      <c r="T3496" s="4">
        <v>3</v>
      </c>
      <c r="U3496" s="5" t="s">
        <v>6903</v>
      </c>
      <c r="V3496" s="5" t="s">
        <v>6903</v>
      </c>
      <c r="W3496" s="5" t="s">
        <v>67</v>
      </c>
      <c r="X3496" s="5" t="s">
        <v>67</v>
      </c>
      <c r="Y3496" s="4">
        <v>361</v>
      </c>
      <c r="Z3496" s="4">
        <v>18</v>
      </c>
      <c r="AA3496" s="4">
        <v>18</v>
      </c>
      <c r="AB3496" s="4">
        <v>3</v>
      </c>
      <c r="AC3496" s="4">
        <v>3</v>
      </c>
      <c r="AD3496" s="4">
        <v>83</v>
      </c>
      <c r="AE3496" s="4">
        <v>83</v>
      </c>
      <c r="AF3496" s="4">
        <v>1</v>
      </c>
      <c r="AG3496" s="4">
        <v>1</v>
      </c>
      <c r="AH3496" s="4">
        <v>75</v>
      </c>
      <c r="AI3496" s="4">
        <v>75</v>
      </c>
      <c r="AJ3496" s="4">
        <v>9</v>
      </c>
      <c r="AK3496" s="4">
        <v>9</v>
      </c>
      <c r="AL3496" s="4">
        <v>38</v>
      </c>
      <c r="AM3496" s="4">
        <v>38</v>
      </c>
      <c r="AN3496" s="4">
        <v>0</v>
      </c>
      <c r="AO3496" s="4">
        <v>0</v>
      </c>
      <c r="AP3496" s="4">
        <v>14</v>
      </c>
      <c r="AQ3496" s="4">
        <v>14</v>
      </c>
      <c r="AR3496" s="3" t="s">
        <v>62</v>
      </c>
      <c r="AS3496" s="3" t="s">
        <v>62</v>
      </c>
      <c r="AT3496" s="3" t="s">
        <v>62</v>
      </c>
      <c r="AV3496" s="6" t="str">
        <f>HYPERLINK("http://mcgill.on.worldcat.org/oclc/6710719","Catalog Record")</f>
        <v>Catalog Record</v>
      </c>
      <c r="AW3496" s="6" t="str">
        <f>HYPERLINK("http://www.worldcat.org/oclc/6710719","WorldCat Record")</f>
        <v>WorldCat Record</v>
      </c>
      <c r="AX3496" s="3" t="s">
        <v>33777</v>
      </c>
      <c r="AY3496" s="3" t="s">
        <v>33778</v>
      </c>
      <c r="AZ3496" s="3" t="s">
        <v>33779</v>
      </c>
      <c r="BA3496" s="3" t="s">
        <v>33779</v>
      </c>
      <c r="BB3496" s="3" t="s">
        <v>33780</v>
      </c>
      <c r="BC3496" s="3" t="s">
        <v>102</v>
      </c>
      <c r="BD3496" s="3" t="s">
        <v>68</v>
      </c>
      <c r="BF3496" s="3" t="s">
        <v>33780</v>
      </c>
      <c r="BG3496" s="3" t="s">
        <v>33781</v>
      </c>
    </row>
    <row r="3497" spans="1:59" ht="58" x14ac:dyDescent="0.35">
      <c r="A3497" s="2" t="s">
        <v>59</v>
      </c>
      <c r="B3497" s="2" t="s">
        <v>60</v>
      </c>
      <c r="C3497" s="2" t="s">
        <v>33782</v>
      </c>
      <c r="D3497" s="2" t="s">
        <v>33783</v>
      </c>
      <c r="E3497" s="2" t="s">
        <v>33784</v>
      </c>
      <c r="G3497" s="3" t="s">
        <v>62</v>
      </c>
      <c r="I3497" s="3" t="s">
        <v>62</v>
      </c>
      <c r="J3497" s="3" t="s">
        <v>62</v>
      </c>
      <c r="K3497" s="3" t="s">
        <v>63</v>
      </c>
      <c r="L3497" s="2" t="s">
        <v>33785</v>
      </c>
      <c r="M3497" s="2" t="s">
        <v>1844</v>
      </c>
      <c r="N3497" s="3" t="s">
        <v>466</v>
      </c>
      <c r="P3497" s="3" t="s">
        <v>64</v>
      </c>
      <c r="R3497" s="3" t="s">
        <v>32962</v>
      </c>
      <c r="S3497" s="4">
        <v>17</v>
      </c>
      <c r="T3497" s="4">
        <v>17</v>
      </c>
      <c r="U3497" s="5" t="s">
        <v>33786</v>
      </c>
      <c r="V3497" s="5" t="s">
        <v>33786</v>
      </c>
      <c r="W3497" s="5" t="s">
        <v>67</v>
      </c>
      <c r="X3497" s="5" t="s">
        <v>67</v>
      </c>
      <c r="Y3497" s="4">
        <v>502</v>
      </c>
      <c r="Z3497" s="4">
        <v>28</v>
      </c>
      <c r="AA3497" s="4">
        <v>33</v>
      </c>
      <c r="AB3497" s="4">
        <v>1</v>
      </c>
      <c r="AC3497" s="4">
        <v>4</v>
      </c>
      <c r="AD3497" s="4">
        <v>112</v>
      </c>
      <c r="AE3497" s="4">
        <v>119</v>
      </c>
      <c r="AF3497" s="4">
        <v>0</v>
      </c>
      <c r="AG3497" s="4">
        <v>1</v>
      </c>
      <c r="AH3497" s="4">
        <v>97</v>
      </c>
      <c r="AI3497" s="4">
        <v>102</v>
      </c>
      <c r="AJ3497" s="4">
        <v>16</v>
      </c>
      <c r="AK3497" s="4">
        <v>17</v>
      </c>
      <c r="AL3497" s="4">
        <v>55</v>
      </c>
      <c r="AM3497" s="4">
        <v>57</v>
      </c>
      <c r="AN3497" s="4">
        <v>0</v>
      </c>
      <c r="AO3497" s="4">
        <v>0</v>
      </c>
      <c r="AP3497" s="4">
        <v>22</v>
      </c>
      <c r="AQ3497" s="4">
        <v>23</v>
      </c>
      <c r="AR3497" s="3" t="s">
        <v>62</v>
      </c>
      <c r="AS3497" s="3" t="s">
        <v>62</v>
      </c>
      <c r="AT3497" s="3" t="s">
        <v>62</v>
      </c>
      <c r="AV3497" s="6" t="str">
        <f>HYPERLINK("http://mcgill.on.worldcat.org/oclc/25164783","Catalog Record")</f>
        <v>Catalog Record</v>
      </c>
      <c r="AW3497" s="6" t="str">
        <f>HYPERLINK("http://www.worldcat.org/oclc/25164783","WorldCat Record")</f>
        <v>WorldCat Record</v>
      </c>
      <c r="AX3497" s="3" t="s">
        <v>33787</v>
      </c>
      <c r="AY3497" s="3" t="s">
        <v>33788</v>
      </c>
      <c r="AZ3497" s="3" t="s">
        <v>33789</v>
      </c>
      <c r="BA3497" s="3" t="s">
        <v>33789</v>
      </c>
      <c r="BB3497" s="3" t="s">
        <v>33790</v>
      </c>
      <c r="BC3497" s="3" t="s">
        <v>102</v>
      </c>
      <c r="BD3497" s="3" t="s">
        <v>6923</v>
      </c>
      <c r="BE3497" s="3" t="s">
        <v>33791</v>
      </c>
      <c r="BF3497" s="3" t="s">
        <v>33790</v>
      </c>
      <c r="BG3497" s="3" t="s">
        <v>33792</v>
      </c>
    </row>
    <row r="3498" spans="1:59" ht="101.5" x14ac:dyDescent="0.35">
      <c r="A3498" s="2" t="s">
        <v>89</v>
      </c>
      <c r="B3498" s="2" t="s">
        <v>12301</v>
      </c>
      <c r="C3498" s="2" t="s">
        <v>33793</v>
      </c>
      <c r="D3498" s="2" t="s">
        <v>33794</v>
      </c>
      <c r="E3498" s="2" t="s">
        <v>33795</v>
      </c>
      <c r="G3498" s="3" t="s">
        <v>62</v>
      </c>
      <c r="I3498" s="3" t="s">
        <v>62</v>
      </c>
      <c r="J3498" s="3" t="s">
        <v>61</v>
      </c>
      <c r="K3498" s="3" t="s">
        <v>63</v>
      </c>
      <c r="L3498" s="2" t="s">
        <v>33796</v>
      </c>
      <c r="M3498" s="2" t="s">
        <v>33797</v>
      </c>
      <c r="N3498" s="3" t="s">
        <v>539</v>
      </c>
      <c r="P3498" s="3" t="s">
        <v>64</v>
      </c>
      <c r="R3498" s="3" t="s">
        <v>32962</v>
      </c>
      <c r="S3498" s="4">
        <v>5</v>
      </c>
      <c r="T3498" s="4">
        <v>5</v>
      </c>
      <c r="U3498" s="5" t="s">
        <v>10908</v>
      </c>
      <c r="V3498" s="5" t="s">
        <v>10908</v>
      </c>
      <c r="W3498" s="5" t="s">
        <v>67</v>
      </c>
      <c r="X3498" s="5" t="s">
        <v>67</v>
      </c>
      <c r="Y3498" s="4">
        <v>160</v>
      </c>
      <c r="Z3498" s="4">
        <v>14</v>
      </c>
      <c r="AA3498" s="4">
        <v>94</v>
      </c>
      <c r="AB3498" s="4">
        <v>1</v>
      </c>
      <c r="AC3498" s="4">
        <v>17</v>
      </c>
      <c r="AD3498" s="4">
        <v>43</v>
      </c>
      <c r="AE3498" s="4">
        <v>130</v>
      </c>
      <c r="AF3498" s="4">
        <v>0</v>
      </c>
      <c r="AG3498" s="4">
        <v>8</v>
      </c>
      <c r="AH3498" s="4">
        <v>35</v>
      </c>
      <c r="AI3498" s="4">
        <v>88</v>
      </c>
      <c r="AJ3498" s="4">
        <v>6</v>
      </c>
      <c r="AK3498" s="4">
        <v>25</v>
      </c>
      <c r="AL3498" s="4">
        <v>25</v>
      </c>
      <c r="AM3498" s="4">
        <v>49</v>
      </c>
      <c r="AN3498" s="4">
        <v>0</v>
      </c>
      <c r="AO3498" s="4">
        <v>0</v>
      </c>
      <c r="AP3498" s="4">
        <v>10</v>
      </c>
      <c r="AQ3498" s="4">
        <v>49</v>
      </c>
      <c r="AR3498" s="3" t="s">
        <v>62</v>
      </c>
      <c r="AS3498" s="3" t="s">
        <v>62</v>
      </c>
      <c r="AT3498" s="3" t="s">
        <v>61</v>
      </c>
      <c r="AU3498" s="6" t="str">
        <f>HYPERLINK("http://catalog.hathitrust.org/Record/007233612","HathiTrust Record")</f>
        <v>HathiTrust Record</v>
      </c>
      <c r="AV3498" s="6" t="str">
        <f>HYPERLINK("http://mcgill.on.worldcat.org/oclc/37451787","Catalog Record")</f>
        <v>Catalog Record</v>
      </c>
      <c r="AW3498" s="6" t="str">
        <f>HYPERLINK("http://www.worldcat.org/oclc/37451787","WorldCat Record")</f>
        <v>WorldCat Record</v>
      </c>
      <c r="AX3498" s="3" t="s">
        <v>33798</v>
      </c>
      <c r="AY3498" s="3" t="s">
        <v>33799</v>
      </c>
      <c r="AZ3498" s="3" t="s">
        <v>33800</v>
      </c>
      <c r="BA3498" s="3" t="s">
        <v>33800</v>
      </c>
      <c r="BB3498" s="3" t="s">
        <v>33801</v>
      </c>
      <c r="BC3498" s="3" t="s">
        <v>102</v>
      </c>
      <c r="BD3498" s="3" t="s">
        <v>68</v>
      </c>
      <c r="BE3498" s="3" t="s">
        <v>33802</v>
      </c>
      <c r="BF3498" s="3" t="s">
        <v>33801</v>
      </c>
      <c r="BG3498" s="3" t="s">
        <v>33803</v>
      </c>
    </row>
    <row r="3499" spans="1:59" ht="101.5" x14ac:dyDescent="0.35">
      <c r="A3499" s="2" t="s">
        <v>89</v>
      </c>
      <c r="B3499" s="2" t="s">
        <v>12301</v>
      </c>
      <c r="C3499" s="2" t="s">
        <v>33804</v>
      </c>
      <c r="D3499" s="2" t="s">
        <v>33805</v>
      </c>
      <c r="E3499" s="2" t="s">
        <v>33795</v>
      </c>
      <c r="G3499" s="3" t="s">
        <v>62</v>
      </c>
      <c r="I3499" s="3" t="s">
        <v>62</v>
      </c>
      <c r="J3499" s="3" t="s">
        <v>61</v>
      </c>
      <c r="K3499" s="3" t="s">
        <v>63</v>
      </c>
      <c r="L3499" s="2" t="s">
        <v>33806</v>
      </c>
      <c r="M3499" s="2" t="s">
        <v>33807</v>
      </c>
      <c r="N3499" s="3" t="s">
        <v>129</v>
      </c>
      <c r="O3499" s="2" t="s">
        <v>11716</v>
      </c>
      <c r="P3499" s="3" t="s">
        <v>64</v>
      </c>
      <c r="R3499" s="3" t="s">
        <v>32962</v>
      </c>
      <c r="S3499" s="4">
        <v>2</v>
      </c>
      <c r="T3499" s="4">
        <v>2</v>
      </c>
      <c r="U3499" s="5" t="s">
        <v>3331</v>
      </c>
      <c r="V3499" s="5" t="s">
        <v>3331</v>
      </c>
      <c r="W3499" s="5" t="s">
        <v>67</v>
      </c>
      <c r="X3499" s="5" t="s">
        <v>67</v>
      </c>
      <c r="Y3499" s="4">
        <v>135</v>
      </c>
      <c r="Z3499" s="4">
        <v>8</v>
      </c>
      <c r="AA3499" s="4">
        <v>94</v>
      </c>
      <c r="AB3499" s="4">
        <v>1</v>
      </c>
      <c r="AC3499" s="4">
        <v>17</v>
      </c>
      <c r="AD3499" s="4">
        <v>22</v>
      </c>
      <c r="AE3499" s="4">
        <v>130</v>
      </c>
      <c r="AF3499" s="4">
        <v>0</v>
      </c>
      <c r="AG3499" s="4">
        <v>8</v>
      </c>
      <c r="AH3499" s="4">
        <v>17</v>
      </c>
      <c r="AI3499" s="4">
        <v>88</v>
      </c>
      <c r="AJ3499" s="4">
        <v>4</v>
      </c>
      <c r="AK3499" s="4">
        <v>25</v>
      </c>
      <c r="AL3499" s="4">
        <v>11</v>
      </c>
      <c r="AM3499" s="4">
        <v>49</v>
      </c>
      <c r="AN3499" s="4">
        <v>0</v>
      </c>
      <c r="AO3499" s="4">
        <v>0</v>
      </c>
      <c r="AP3499" s="4">
        <v>6</v>
      </c>
      <c r="AQ3499" s="4">
        <v>49</v>
      </c>
      <c r="AR3499" s="3" t="s">
        <v>62</v>
      </c>
      <c r="AS3499" s="3" t="s">
        <v>62</v>
      </c>
      <c r="AT3499" s="3" t="s">
        <v>62</v>
      </c>
      <c r="AV3499" s="6" t="str">
        <f>HYPERLINK("http://mcgill.on.worldcat.org/oclc/841186905","Catalog Record")</f>
        <v>Catalog Record</v>
      </c>
      <c r="AW3499" s="6" t="str">
        <f>HYPERLINK("http://www.worldcat.org/oclc/841186905","WorldCat Record")</f>
        <v>WorldCat Record</v>
      </c>
      <c r="AX3499" s="3" t="s">
        <v>33798</v>
      </c>
      <c r="AY3499" s="3" t="s">
        <v>33808</v>
      </c>
      <c r="AZ3499" s="3" t="s">
        <v>33809</v>
      </c>
      <c r="BA3499" s="3" t="s">
        <v>33809</v>
      </c>
      <c r="BB3499" s="3" t="s">
        <v>33810</v>
      </c>
      <c r="BC3499" s="3" t="s">
        <v>102</v>
      </c>
      <c r="BD3499" s="3" t="s">
        <v>68</v>
      </c>
      <c r="BE3499" s="3" t="s">
        <v>33811</v>
      </c>
      <c r="BF3499" s="3" t="s">
        <v>33810</v>
      </c>
      <c r="BG3499" s="3" t="s">
        <v>33812</v>
      </c>
    </row>
    <row r="3500" spans="1:59" ht="72.5" x14ac:dyDescent="0.35">
      <c r="A3500" s="2" t="s">
        <v>89</v>
      </c>
      <c r="B3500" s="2" t="s">
        <v>90</v>
      </c>
      <c r="C3500" s="2" t="s">
        <v>33813</v>
      </c>
      <c r="D3500" s="2" t="s">
        <v>33814</v>
      </c>
      <c r="E3500" s="2" t="s">
        <v>33815</v>
      </c>
      <c r="G3500" s="3" t="s">
        <v>62</v>
      </c>
      <c r="I3500" s="3" t="s">
        <v>61</v>
      </c>
      <c r="J3500" s="3" t="s">
        <v>62</v>
      </c>
      <c r="K3500" s="3" t="s">
        <v>63</v>
      </c>
      <c r="L3500" s="2" t="s">
        <v>33816</v>
      </c>
      <c r="M3500" s="2" t="s">
        <v>33817</v>
      </c>
      <c r="N3500" s="3" t="s">
        <v>893</v>
      </c>
      <c r="P3500" s="3" t="s">
        <v>64</v>
      </c>
      <c r="R3500" s="3" t="s">
        <v>32962</v>
      </c>
      <c r="S3500" s="4">
        <v>34</v>
      </c>
      <c r="T3500" s="4">
        <v>50</v>
      </c>
      <c r="U3500" s="5" t="s">
        <v>33818</v>
      </c>
      <c r="V3500" s="5" t="s">
        <v>33819</v>
      </c>
      <c r="W3500" s="5" t="s">
        <v>67</v>
      </c>
      <c r="X3500" s="5" t="s">
        <v>67</v>
      </c>
      <c r="Y3500" s="4">
        <v>363</v>
      </c>
      <c r="Z3500" s="4">
        <v>41</v>
      </c>
      <c r="AA3500" s="4">
        <v>45</v>
      </c>
      <c r="AB3500" s="4">
        <v>2</v>
      </c>
      <c r="AC3500" s="4">
        <v>6</v>
      </c>
      <c r="AD3500" s="4">
        <v>114</v>
      </c>
      <c r="AE3500" s="4">
        <v>118</v>
      </c>
      <c r="AF3500" s="4">
        <v>0</v>
      </c>
      <c r="AG3500" s="4">
        <v>3</v>
      </c>
      <c r="AH3500" s="4">
        <v>99</v>
      </c>
      <c r="AI3500" s="4">
        <v>101</v>
      </c>
      <c r="AJ3500" s="4">
        <v>17</v>
      </c>
      <c r="AK3500" s="4">
        <v>20</v>
      </c>
      <c r="AL3500" s="4">
        <v>53</v>
      </c>
      <c r="AM3500" s="4">
        <v>54</v>
      </c>
      <c r="AN3500" s="4">
        <v>0</v>
      </c>
      <c r="AO3500" s="4">
        <v>0</v>
      </c>
      <c r="AP3500" s="4">
        <v>26</v>
      </c>
      <c r="AQ3500" s="4">
        <v>28</v>
      </c>
      <c r="AR3500" s="3" t="s">
        <v>62</v>
      </c>
      <c r="AS3500" s="3" t="s">
        <v>62</v>
      </c>
      <c r="AT3500" s="3" t="s">
        <v>61</v>
      </c>
      <c r="AU3500" s="6" t="str">
        <f>HYPERLINK("http://catalog.hathitrust.org/Record/000778224","HathiTrust Record")</f>
        <v>HathiTrust Record</v>
      </c>
      <c r="AV3500" s="6" t="str">
        <f>HYPERLINK("http://mcgill.on.worldcat.org/oclc/9018920","Catalog Record")</f>
        <v>Catalog Record</v>
      </c>
      <c r="AW3500" s="6" t="str">
        <f>HYPERLINK("http://www.worldcat.org/oclc/9018920","WorldCat Record")</f>
        <v>WorldCat Record</v>
      </c>
      <c r="AX3500" s="3" t="s">
        <v>33820</v>
      </c>
      <c r="AY3500" s="3" t="s">
        <v>33821</v>
      </c>
      <c r="AZ3500" s="3" t="s">
        <v>33822</v>
      </c>
      <c r="BA3500" s="3" t="s">
        <v>33822</v>
      </c>
      <c r="BB3500" s="3" t="s">
        <v>33823</v>
      </c>
      <c r="BC3500" s="3" t="s">
        <v>102</v>
      </c>
      <c r="BD3500" s="3" t="s">
        <v>68</v>
      </c>
      <c r="BE3500" s="3" t="s">
        <v>33824</v>
      </c>
      <c r="BF3500" s="3" t="s">
        <v>33823</v>
      </c>
      <c r="BG3500" s="3" t="s">
        <v>33825</v>
      </c>
    </row>
    <row r="3501" spans="1:59" ht="58" x14ac:dyDescent="0.35">
      <c r="A3501" s="2" t="s">
        <v>59</v>
      </c>
      <c r="B3501" s="2" t="s">
        <v>60</v>
      </c>
      <c r="C3501" s="2" t="s">
        <v>33826</v>
      </c>
      <c r="D3501" s="2" t="s">
        <v>33827</v>
      </c>
      <c r="E3501" s="2" t="s">
        <v>33828</v>
      </c>
      <c r="G3501" s="3" t="s">
        <v>62</v>
      </c>
      <c r="I3501" s="3" t="s">
        <v>62</v>
      </c>
      <c r="J3501" s="3" t="s">
        <v>62</v>
      </c>
      <c r="K3501" s="3" t="s">
        <v>63</v>
      </c>
      <c r="M3501" s="2" t="s">
        <v>33829</v>
      </c>
      <c r="N3501" s="3" t="s">
        <v>438</v>
      </c>
      <c r="P3501" s="3" t="s">
        <v>64</v>
      </c>
      <c r="R3501" s="3" t="s">
        <v>32962</v>
      </c>
      <c r="S3501" s="4">
        <v>17</v>
      </c>
      <c r="T3501" s="4">
        <v>17</v>
      </c>
      <c r="U3501" s="5" t="s">
        <v>13911</v>
      </c>
      <c r="V3501" s="5" t="s">
        <v>13911</v>
      </c>
      <c r="W3501" s="5" t="s">
        <v>67</v>
      </c>
      <c r="X3501" s="5" t="s">
        <v>67</v>
      </c>
      <c r="Y3501" s="4">
        <v>154</v>
      </c>
      <c r="Z3501" s="4">
        <v>29</v>
      </c>
      <c r="AA3501" s="4">
        <v>32</v>
      </c>
      <c r="AB3501" s="4">
        <v>1</v>
      </c>
      <c r="AC3501" s="4">
        <v>4</v>
      </c>
      <c r="AD3501" s="4">
        <v>58</v>
      </c>
      <c r="AE3501" s="4">
        <v>61</v>
      </c>
      <c r="AF3501" s="4">
        <v>0</v>
      </c>
      <c r="AG3501" s="4">
        <v>3</v>
      </c>
      <c r="AH3501" s="4">
        <v>44</v>
      </c>
      <c r="AI3501" s="4">
        <v>44</v>
      </c>
      <c r="AJ3501" s="4">
        <v>14</v>
      </c>
      <c r="AK3501" s="4">
        <v>16</v>
      </c>
      <c r="AL3501" s="4">
        <v>29</v>
      </c>
      <c r="AM3501" s="4">
        <v>29</v>
      </c>
      <c r="AN3501" s="4">
        <v>0</v>
      </c>
      <c r="AO3501" s="4">
        <v>0</v>
      </c>
      <c r="AP3501" s="4">
        <v>21</v>
      </c>
      <c r="AQ3501" s="4">
        <v>23</v>
      </c>
      <c r="AR3501" s="3" t="s">
        <v>62</v>
      </c>
      <c r="AS3501" s="3" t="s">
        <v>62</v>
      </c>
      <c r="AT3501" s="3" t="s">
        <v>62</v>
      </c>
      <c r="AV3501" s="6" t="str">
        <f>HYPERLINK("http://mcgill.on.worldcat.org/oclc/65765179","Catalog Record")</f>
        <v>Catalog Record</v>
      </c>
      <c r="AW3501" s="6" t="str">
        <f>HYPERLINK("http://www.worldcat.org/oclc/65765179","WorldCat Record")</f>
        <v>WorldCat Record</v>
      </c>
      <c r="AX3501" s="3" t="s">
        <v>33830</v>
      </c>
      <c r="AY3501" s="3" t="s">
        <v>33831</v>
      </c>
      <c r="AZ3501" s="3" t="s">
        <v>33832</v>
      </c>
      <c r="BA3501" s="3" t="s">
        <v>33832</v>
      </c>
      <c r="BB3501" s="3" t="s">
        <v>33833</v>
      </c>
      <c r="BC3501" s="3" t="s">
        <v>102</v>
      </c>
      <c r="BD3501" s="3" t="s">
        <v>68</v>
      </c>
      <c r="BE3501" s="3" t="s">
        <v>33834</v>
      </c>
      <c r="BF3501" s="3" t="s">
        <v>33833</v>
      </c>
      <c r="BG3501" s="3" t="s">
        <v>33835</v>
      </c>
    </row>
    <row r="3502" spans="1:59" ht="58" x14ac:dyDescent="0.35">
      <c r="A3502" s="2" t="s">
        <v>89</v>
      </c>
      <c r="B3502" s="2" t="s">
        <v>90</v>
      </c>
      <c r="C3502" s="2" t="s">
        <v>33836</v>
      </c>
      <c r="D3502" s="2" t="s">
        <v>33837</v>
      </c>
      <c r="E3502" s="2" t="s">
        <v>33838</v>
      </c>
      <c r="G3502" s="3" t="s">
        <v>62</v>
      </c>
      <c r="I3502" s="3" t="s">
        <v>61</v>
      </c>
      <c r="J3502" s="3" t="s">
        <v>62</v>
      </c>
      <c r="K3502" s="3" t="s">
        <v>63</v>
      </c>
      <c r="L3502" s="2" t="s">
        <v>33839</v>
      </c>
      <c r="M3502" s="2" t="s">
        <v>3098</v>
      </c>
      <c r="N3502" s="3" t="s">
        <v>625</v>
      </c>
      <c r="P3502" s="3" t="s">
        <v>64</v>
      </c>
      <c r="R3502" s="3" t="s">
        <v>32962</v>
      </c>
      <c r="S3502" s="4">
        <v>76</v>
      </c>
      <c r="T3502" s="4">
        <v>178</v>
      </c>
      <c r="U3502" s="5" t="s">
        <v>33840</v>
      </c>
      <c r="V3502" s="5" t="s">
        <v>1307</v>
      </c>
      <c r="W3502" s="5" t="s">
        <v>67</v>
      </c>
      <c r="X3502" s="5" t="s">
        <v>67</v>
      </c>
      <c r="Y3502" s="4">
        <v>516</v>
      </c>
      <c r="Z3502" s="4">
        <v>30</v>
      </c>
      <c r="AA3502" s="4">
        <v>103</v>
      </c>
      <c r="AB3502" s="4">
        <v>4</v>
      </c>
      <c r="AC3502" s="4">
        <v>20</v>
      </c>
      <c r="AD3502" s="4">
        <v>86</v>
      </c>
      <c r="AE3502" s="4">
        <v>134</v>
      </c>
      <c r="AF3502" s="4">
        <v>0</v>
      </c>
      <c r="AG3502" s="4">
        <v>8</v>
      </c>
      <c r="AH3502" s="4">
        <v>78</v>
      </c>
      <c r="AI3502" s="4">
        <v>97</v>
      </c>
      <c r="AJ3502" s="4">
        <v>10</v>
      </c>
      <c r="AK3502" s="4">
        <v>22</v>
      </c>
      <c r="AL3502" s="4">
        <v>43</v>
      </c>
      <c r="AM3502" s="4">
        <v>47</v>
      </c>
      <c r="AN3502" s="4">
        <v>0</v>
      </c>
      <c r="AO3502" s="4">
        <v>0</v>
      </c>
      <c r="AP3502" s="4">
        <v>15</v>
      </c>
      <c r="AQ3502" s="4">
        <v>45</v>
      </c>
      <c r="AR3502" s="3" t="s">
        <v>62</v>
      </c>
      <c r="AS3502" s="3" t="s">
        <v>62</v>
      </c>
      <c r="AT3502" s="3" t="s">
        <v>62</v>
      </c>
      <c r="AV3502" s="6" t="str">
        <f>HYPERLINK("http://mcgill.on.worldcat.org/oclc/51000006","Catalog Record")</f>
        <v>Catalog Record</v>
      </c>
      <c r="AW3502" s="6" t="str">
        <f>HYPERLINK("http://www.worldcat.org/oclc/51000006","WorldCat Record")</f>
        <v>WorldCat Record</v>
      </c>
      <c r="AX3502" s="3" t="s">
        <v>33841</v>
      </c>
      <c r="AY3502" s="3" t="s">
        <v>33842</v>
      </c>
      <c r="AZ3502" s="3" t="s">
        <v>33843</v>
      </c>
      <c r="BA3502" s="3" t="s">
        <v>33843</v>
      </c>
      <c r="BB3502" s="3" t="s">
        <v>33844</v>
      </c>
      <c r="BC3502" s="3" t="s">
        <v>102</v>
      </c>
      <c r="BD3502" s="3" t="s">
        <v>231</v>
      </c>
      <c r="BE3502" s="3" t="s">
        <v>33845</v>
      </c>
      <c r="BF3502" s="3" t="s">
        <v>33844</v>
      </c>
      <c r="BG3502" s="3" t="s">
        <v>33846</v>
      </c>
    </row>
    <row r="3503" spans="1:59" ht="58" x14ac:dyDescent="0.35">
      <c r="A3503" s="2" t="s">
        <v>59</v>
      </c>
      <c r="B3503" s="2" t="s">
        <v>60</v>
      </c>
      <c r="C3503" s="2" t="s">
        <v>33847</v>
      </c>
      <c r="D3503" s="2" t="s">
        <v>33848</v>
      </c>
      <c r="E3503" s="2" t="s">
        <v>33849</v>
      </c>
      <c r="G3503" s="3" t="s">
        <v>62</v>
      </c>
      <c r="I3503" s="3" t="s">
        <v>62</v>
      </c>
      <c r="J3503" s="3" t="s">
        <v>62</v>
      </c>
      <c r="K3503" s="3" t="s">
        <v>63</v>
      </c>
      <c r="L3503" s="2" t="s">
        <v>33850</v>
      </c>
      <c r="M3503" s="2" t="s">
        <v>33851</v>
      </c>
      <c r="N3503" s="3" t="s">
        <v>553</v>
      </c>
      <c r="P3503" s="3" t="s">
        <v>64</v>
      </c>
      <c r="R3503" s="3" t="s">
        <v>32962</v>
      </c>
      <c r="S3503" s="4">
        <v>3</v>
      </c>
      <c r="T3503" s="4">
        <v>3</v>
      </c>
      <c r="U3503" s="5" t="s">
        <v>33620</v>
      </c>
      <c r="V3503" s="5" t="s">
        <v>33620</v>
      </c>
      <c r="W3503" s="5" t="s">
        <v>67</v>
      </c>
      <c r="X3503" s="5" t="s">
        <v>67</v>
      </c>
      <c r="Y3503" s="4">
        <v>98</v>
      </c>
      <c r="Z3503" s="4">
        <v>6</v>
      </c>
      <c r="AA3503" s="4">
        <v>46</v>
      </c>
      <c r="AB3503" s="4">
        <v>1</v>
      </c>
      <c r="AC3503" s="4">
        <v>2</v>
      </c>
      <c r="AD3503" s="4">
        <v>17</v>
      </c>
      <c r="AE3503" s="4">
        <v>118</v>
      </c>
      <c r="AF3503" s="4">
        <v>0</v>
      </c>
      <c r="AG3503" s="4">
        <v>1</v>
      </c>
      <c r="AH3503" s="4">
        <v>15</v>
      </c>
      <c r="AI3503" s="4">
        <v>97</v>
      </c>
      <c r="AJ3503" s="4">
        <v>2</v>
      </c>
      <c r="AK3503" s="4">
        <v>14</v>
      </c>
      <c r="AL3503" s="4">
        <v>7</v>
      </c>
      <c r="AM3503" s="4">
        <v>48</v>
      </c>
      <c r="AN3503" s="4">
        <v>0</v>
      </c>
      <c r="AO3503" s="4">
        <v>0</v>
      </c>
      <c r="AP3503" s="4">
        <v>4</v>
      </c>
      <c r="AQ3503" s="4">
        <v>25</v>
      </c>
      <c r="AR3503" s="3" t="s">
        <v>62</v>
      </c>
      <c r="AS3503" s="3" t="s">
        <v>62</v>
      </c>
      <c r="AT3503" s="3" t="s">
        <v>62</v>
      </c>
      <c r="AV3503" s="6" t="str">
        <f>HYPERLINK("http://mcgill.on.worldcat.org/oclc/45094158","Catalog Record")</f>
        <v>Catalog Record</v>
      </c>
      <c r="AW3503" s="6" t="str">
        <f>HYPERLINK("http://www.worldcat.org/oclc/45094158","WorldCat Record")</f>
        <v>WorldCat Record</v>
      </c>
      <c r="AX3503" s="3" t="s">
        <v>33852</v>
      </c>
      <c r="AY3503" s="3" t="s">
        <v>33853</v>
      </c>
      <c r="AZ3503" s="3" t="s">
        <v>33854</v>
      </c>
      <c r="BA3503" s="3" t="s">
        <v>33854</v>
      </c>
      <c r="BB3503" s="3" t="s">
        <v>33855</v>
      </c>
      <c r="BC3503" s="3" t="s">
        <v>102</v>
      </c>
      <c r="BD3503" s="3" t="s">
        <v>68</v>
      </c>
      <c r="BE3503" s="3" t="s">
        <v>33856</v>
      </c>
      <c r="BF3503" s="3" t="s">
        <v>33855</v>
      </c>
      <c r="BG3503" s="3" t="s">
        <v>33857</v>
      </c>
    </row>
    <row r="3504" spans="1:59" ht="58" x14ac:dyDescent="0.35">
      <c r="A3504" s="2" t="s">
        <v>59</v>
      </c>
      <c r="B3504" s="2" t="s">
        <v>60</v>
      </c>
      <c r="C3504" s="2" t="s">
        <v>33858</v>
      </c>
      <c r="D3504" s="2" t="s">
        <v>33859</v>
      </c>
      <c r="E3504" s="2" t="s">
        <v>33860</v>
      </c>
      <c r="G3504" s="3" t="s">
        <v>62</v>
      </c>
      <c r="I3504" s="3" t="s">
        <v>62</v>
      </c>
      <c r="J3504" s="3" t="s">
        <v>62</v>
      </c>
      <c r="K3504" s="3" t="s">
        <v>63</v>
      </c>
      <c r="M3504" s="2" t="s">
        <v>33861</v>
      </c>
      <c r="N3504" s="3" t="s">
        <v>1905</v>
      </c>
      <c r="P3504" s="3" t="s">
        <v>64</v>
      </c>
      <c r="R3504" s="3" t="s">
        <v>32962</v>
      </c>
      <c r="S3504" s="4">
        <v>3</v>
      </c>
      <c r="T3504" s="4">
        <v>3</v>
      </c>
      <c r="U3504" s="5" t="s">
        <v>17447</v>
      </c>
      <c r="V3504" s="5" t="s">
        <v>17447</v>
      </c>
      <c r="W3504" s="5" t="s">
        <v>67</v>
      </c>
      <c r="X3504" s="5" t="s">
        <v>67</v>
      </c>
      <c r="Y3504" s="4">
        <v>82</v>
      </c>
      <c r="Z3504" s="4">
        <v>9</v>
      </c>
      <c r="AA3504" s="4">
        <v>9</v>
      </c>
      <c r="AB3504" s="4">
        <v>1</v>
      </c>
      <c r="AC3504" s="4">
        <v>1</v>
      </c>
      <c r="AD3504" s="4">
        <v>46</v>
      </c>
      <c r="AE3504" s="4">
        <v>46</v>
      </c>
      <c r="AF3504" s="4">
        <v>0</v>
      </c>
      <c r="AG3504" s="4">
        <v>0</v>
      </c>
      <c r="AH3504" s="4">
        <v>42</v>
      </c>
      <c r="AI3504" s="4">
        <v>42</v>
      </c>
      <c r="AJ3504" s="4">
        <v>6</v>
      </c>
      <c r="AK3504" s="4">
        <v>6</v>
      </c>
      <c r="AL3504" s="4">
        <v>25</v>
      </c>
      <c r="AM3504" s="4">
        <v>25</v>
      </c>
      <c r="AN3504" s="4">
        <v>0</v>
      </c>
      <c r="AO3504" s="4">
        <v>0</v>
      </c>
      <c r="AP3504" s="4">
        <v>5</v>
      </c>
      <c r="AQ3504" s="4">
        <v>5</v>
      </c>
      <c r="AR3504" s="3" t="s">
        <v>62</v>
      </c>
      <c r="AS3504" s="3" t="s">
        <v>62</v>
      </c>
      <c r="AT3504" s="3" t="s">
        <v>61</v>
      </c>
      <c r="AU3504" s="6" t="str">
        <f>HYPERLINK("http://catalog.hathitrust.org/Record/000818850","HathiTrust Record")</f>
        <v>HathiTrust Record</v>
      </c>
      <c r="AV3504" s="6" t="str">
        <f>HYPERLINK("http://mcgill.on.worldcat.org/oclc/13559856","Catalog Record")</f>
        <v>Catalog Record</v>
      </c>
      <c r="AW3504" s="6" t="str">
        <f>HYPERLINK("http://www.worldcat.org/oclc/13559856","WorldCat Record")</f>
        <v>WorldCat Record</v>
      </c>
      <c r="AX3504" s="3" t="s">
        <v>33862</v>
      </c>
      <c r="AY3504" s="3" t="s">
        <v>33863</v>
      </c>
      <c r="AZ3504" s="3" t="s">
        <v>33864</v>
      </c>
      <c r="BA3504" s="3" t="s">
        <v>33864</v>
      </c>
      <c r="BB3504" s="3" t="s">
        <v>33865</v>
      </c>
      <c r="BC3504" s="3" t="s">
        <v>102</v>
      </c>
      <c r="BD3504" s="3" t="s">
        <v>68</v>
      </c>
      <c r="BE3504" s="3" t="s">
        <v>33866</v>
      </c>
      <c r="BF3504" s="3" t="s">
        <v>33865</v>
      </c>
      <c r="BG3504" s="3" t="s">
        <v>33867</v>
      </c>
    </row>
    <row r="3505" spans="1:59" ht="58" x14ac:dyDescent="0.35">
      <c r="A3505" s="2" t="s">
        <v>89</v>
      </c>
      <c r="B3505" s="2" t="s">
        <v>90</v>
      </c>
      <c r="C3505" s="2" t="s">
        <v>33868</v>
      </c>
      <c r="D3505" s="2" t="s">
        <v>33869</v>
      </c>
      <c r="E3505" s="2" t="s">
        <v>33870</v>
      </c>
      <c r="G3505" s="3" t="s">
        <v>62</v>
      </c>
      <c r="I3505" s="3" t="s">
        <v>62</v>
      </c>
      <c r="J3505" s="3" t="s">
        <v>62</v>
      </c>
      <c r="K3505" s="3" t="s">
        <v>63</v>
      </c>
      <c r="M3505" s="2" t="s">
        <v>33871</v>
      </c>
      <c r="N3505" s="3" t="s">
        <v>726</v>
      </c>
      <c r="P3505" s="3" t="s">
        <v>64</v>
      </c>
      <c r="R3505" s="3" t="s">
        <v>32962</v>
      </c>
      <c r="S3505" s="4">
        <v>0</v>
      </c>
      <c r="T3505" s="4">
        <v>0</v>
      </c>
      <c r="W3505" s="5" t="s">
        <v>67</v>
      </c>
      <c r="X3505" s="5" t="s">
        <v>67</v>
      </c>
      <c r="Y3505" s="4">
        <v>28</v>
      </c>
      <c r="Z3505" s="4">
        <v>15</v>
      </c>
      <c r="AA3505" s="4">
        <v>93</v>
      </c>
      <c r="AB3505" s="4">
        <v>1</v>
      </c>
      <c r="AC3505" s="4">
        <v>16</v>
      </c>
      <c r="AD3505" s="4">
        <v>11</v>
      </c>
      <c r="AE3505" s="4">
        <v>85</v>
      </c>
      <c r="AF3505" s="4">
        <v>0</v>
      </c>
      <c r="AG3505" s="4">
        <v>8</v>
      </c>
      <c r="AH3505" s="4">
        <v>5</v>
      </c>
      <c r="AI3505" s="4">
        <v>49</v>
      </c>
      <c r="AJ3505" s="4">
        <v>5</v>
      </c>
      <c r="AK3505" s="4">
        <v>23</v>
      </c>
      <c r="AL3505" s="4">
        <v>3</v>
      </c>
      <c r="AM3505" s="4">
        <v>21</v>
      </c>
      <c r="AN3505" s="4">
        <v>0</v>
      </c>
      <c r="AO3505" s="4">
        <v>0</v>
      </c>
      <c r="AP3505" s="4">
        <v>6</v>
      </c>
      <c r="AQ3505" s="4">
        <v>43</v>
      </c>
      <c r="AR3505" s="3" t="s">
        <v>61</v>
      </c>
      <c r="AS3505" s="3" t="s">
        <v>62</v>
      </c>
      <c r="AT3505" s="3" t="s">
        <v>62</v>
      </c>
      <c r="AV3505" s="6" t="str">
        <f>HYPERLINK("http://mcgill.on.worldcat.org/oclc/784293048","Catalog Record")</f>
        <v>Catalog Record</v>
      </c>
      <c r="AW3505" s="6" t="str">
        <f>HYPERLINK("http://www.worldcat.org/oclc/784293048","WorldCat Record")</f>
        <v>WorldCat Record</v>
      </c>
      <c r="AX3505" s="3" t="s">
        <v>33872</v>
      </c>
      <c r="AY3505" s="3" t="s">
        <v>33873</v>
      </c>
      <c r="AZ3505" s="3" t="s">
        <v>33874</v>
      </c>
      <c r="BA3505" s="3" t="s">
        <v>33874</v>
      </c>
      <c r="BB3505" s="3" t="s">
        <v>33875</v>
      </c>
      <c r="BC3505" s="3" t="s">
        <v>102</v>
      </c>
      <c r="BD3505" s="3" t="s">
        <v>68</v>
      </c>
      <c r="BE3505" s="3" t="s">
        <v>33876</v>
      </c>
      <c r="BF3505" s="3" t="s">
        <v>33875</v>
      </c>
      <c r="BG3505" s="3" t="s">
        <v>33877</v>
      </c>
    </row>
    <row r="3506" spans="1:59" ht="72.5" x14ac:dyDescent="0.35">
      <c r="A3506" s="2" t="s">
        <v>59</v>
      </c>
      <c r="B3506" s="2" t="s">
        <v>60</v>
      </c>
      <c r="C3506" s="2" t="s">
        <v>33878</v>
      </c>
      <c r="D3506" s="2" t="s">
        <v>33879</v>
      </c>
      <c r="E3506" s="2" t="s">
        <v>33880</v>
      </c>
      <c r="G3506" s="3" t="s">
        <v>62</v>
      </c>
      <c r="I3506" s="3" t="s">
        <v>62</v>
      </c>
      <c r="J3506" s="3" t="s">
        <v>62</v>
      </c>
      <c r="K3506" s="3" t="s">
        <v>63</v>
      </c>
      <c r="L3506" s="2" t="s">
        <v>33881</v>
      </c>
      <c r="M3506" s="2" t="s">
        <v>33882</v>
      </c>
      <c r="N3506" s="3" t="s">
        <v>396</v>
      </c>
      <c r="O3506" s="2" t="s">
        <v>12082</v>
      </c>
      <c r="P3506" s="3" t="s">
        <v>1881</v>
      </c>
      <c r="Q3506" s="2" t="s">
        <v>33883</v>
      </c>
      <c r="R3506" s="3" t="s">
        <v>32962</v>
      </c>
      <c r="S3506" s="4">
        <v>2</v>
      </c>
      <c r="T3506" s="4">
        <v>2</v>
      </c>
      <c r="U3506" s="5" t="s">
        <v>4211</v>
      </c>
      <c r="V3506" s="5" t="s">
        <v>4211</v>
      </c>
      <c r="W3506" s="5" t="s">
        <v>67</v>
      </c>
      <c r="X3506" s="5" t="s">
        <v>67</v>
      </c>
      <c r="Y3506" s="4">
        <v>21</v>
      </c>
      <c r="Z3506" s="4">
        <v>3</v>
      </c>
      <c r="AA3506" s="4">
        <v>3</v>
      </c>
      <c r="AB3506" s="4">
        <v>1</v>
      </c>
      <c r="AC3506" s="4">
        <v>1</v>
      </c>
      <c r="AD3506" s="4">
        <v>5</v>
      </c>
      <c r="AE3506" s="4">
        <v>5</v>
      </c>
      <c r="AF3506" s="4">
        <v>0</v>
      </c>
      <c r="AG3506" s="4">
        <v>0</v>
      </c>
      <c r="AH3506" s="4">
        <v>5</v>
      </c>
      <c r="AI3506" s="4">
        <v>5</v>
      </c>
      <c r="AJ3506" s="4">
        <v>1</v>
      </c>
      <c r="AK3506" s="4">
        <v>1</v>
      </c>
      <c r="AL3506" s="4">
        <v>5</v>
      </c>
      <c r="AM3506" s="4">
        <v>5</v>
      </c>
      <c r="AN3506" s="4">
        <v>0</v>
      </c>
      <c r="AO3506" s="4">
        <v>0</v>
      </c>
      <c r="AP3506" s="4">
        <v>1</v>
      </c>
      <c r="AQ3506" s="4">
        <v>1</v>
      </c>
      <c r="AR3506" s="3" t="s">
        <v>62</v>
      </c>
      <c r="AS3506" s="3" t="s">
        <v>62</v>
      </c>
      <c r="AT3506" s="3" t="s">
        <v>62</v>
      </c>
      <c r="AV3506" s="6" t="str">
        <f>HYPERLINK("http://mcgill.on.worldcat.org/oclc/13991938","Catalog Record")</f>
        <v>Catalog Record</v>
      </c>
      <c r="AW3506" s="6" t="str">
        <f>HYPERLINK("http://www.worldcat.org/oclc/13991938","WorldCat Record")</f>
        <v>WorldCat Record</v>
      </c>
      <c r="AX3506" s="3" t="s">
        <v>33884</v>
      </c>
      <c r="AY3506" s="3" t="s">
        <v>33885</v>
      </c>
      <c r="AZ3506" s="3" t="s">
        <v>33886</v>
      </c>
      <c r="BA3506" s="3" t="s">
        <v>33886</v>
      </c>
      <c r="BB3506" s="3" t="s">
        <v>33887</v>
      </c>
      <c r="BC3506" s="3" t="s">
        <v>102</v>
      </c>
      <c r="BD3506" s="3" t="s">
        <v>68</v>
      </c>
      <c r="BF3506" s="3" t="s">
        <v>33887</v>
      </c>
      <c r="BG3506" s="3" t="s">
        <v>33888</v>
      </c>
    </row>
    <row r="3507" spans="1:59" ht="116" x14ac:dyDescent="0.35">
      <c r="A3507" s="2" t="s">
        <v>89</v>
      </c>
      <c r="B3507" s="2" t="s">
        <v>3312</v>
      </c>
      <c r="C3507" s="2" t="s">
        <v>33889</v>
      </c>
      <c r="D3507" s="2" t="s">
        <v>33890</v>
      </c>
      <c r="E3507" s="2" t="s">
        <v>33891</v>
      </c>
      <c r="G3507" s="3" t="s">
        <v>62</v>
      </c>
      <c r="I3507" s="3" t="s">
        <v>62</v>
      </c>
      <c r="J3507" s="3" t="s">
        <v>62</v>
      </c>
      <c r="K3507" s="3" t="s">
        <v>63</v>
      </c>
      <c r="L3507" s="2" t="s">
        <v>33892</v>
      </c>
      <c r="M3507" s="2" t="s">
        <v>33893</v>
      </c>
      <c r="N3507" s="3" t="s">
        <v>640</v>
      </c>
      <c r="O3507" s="2" t="s">
        <v>1674</v>
      </c>
      <c r="P3507" s="3" t="s">
        <v>1675</v>
      </c>
      <c r="Q3507" s="2" t="s">
        <v>33894</v>
      </c>
      <c r="R3507" s="3" t="s">
        <v>32962</v>
      </c>
      <c r="S3507" s="4">
        <v>1</v>
      </c>
      <c r="T3507" s="4">
        <v>1</v>
      </c>
      <c r="U3507" s="5" t="s">
        <v>1337</v>
      </c>
      <c r="V3507" s="5" t="s">
        <v>1337</v>
      </c>
      <c r="W3507" s="5" t="s">
        <v>67</v>
      </c>
      <c r="X3507" s="5" t="s">
        <v>67</v>
      </c>
      <c r="Y3507" s="4">
        <v>19</v>
      </c>
      <c r="Z3507" s="4">
        <v>3</v>
      </c>
      <c r="AA3507" s="4">
        <v>3</v>
      </c>
      <c r="AB3507" s="4">
        <v>1</v>
      </c>
      <c r="AC3507" s="4">
        <v>1</v>
      </c>
      <c r="AD3507" s="4">
        <v>8</v>
      </c>
      <c r="AE3507" s="4">
        <v>8</v>
      </c>
      <c r="AF3507" s="4">
        <v>0</v>
      </c>
      <c r="AG3507" s="4">
        <v>0</v>
      </c>
      <c r="AH3507" s="4">
        <v>8</v>
      </c>
      <c r="AI3507" s="4">
        <v>8</v>
      </c>
      <c r="AJ3507" s="4">
        <v>1</v>
      </c>
      <c r="AK3507" s="4">
        <v>1</v>
      </c>
      <c r="AL3507" s="4">
        <v>4</v>
      </c>
      <c r="AM3507" s="4">
        <v>4</v>
      </c>
      <c r="AN3507" s="4">
        <v>0</v>
      </c>
      <c r="AO3507" s="4">
        <v>0</v>
      </c>
      <c r="AP3507" s="4">
        <v>1</v>
      </c>
      <c r="AQ3507" s="4">
        <v>1</v>
      </c>
      <c r="AR3507" s="3" t="s">
        <v>62</v>
      </c>
      <c r="AS3507" s="3" t="s">
        <v>62</v>
      </c>
      <c r="AT3507" s="3" t="s">
        <v>61</v>
      </c>
      <c r="AU3507" s="6" t="str">
        <f>HYPERLINK("http://catalog.hathitrust.org/Record/005398795","HathiTrust Record")</f>
        <v>HathiTrust Record</v>
      </c>
      <c r="AV3507" s="6" t="str">
        <f>HYPERLINK("http://mcgill.on.worldcat.org/oclc/55754798","Catalog Record")</f>
        <v>Catalog Record</v>
      </c>
      <c r="AW3507" s="6" t="str">
        <f>HYPERLINK("http://www.worldcat.org/oclc/55754798","WorldCat Record")</f>
        <v>WorldCat Record</v>
      </c>
      <c r="AX3507" s="3" t="s">
        <v>33895</v>
      </c>
      <c r="AY3507" s="3" t="s">
        <v>33896</v>
      </c>
      <c r="AZ3507" s="3" t="s">
        <v>33897</v>
      </c>
      <c r="BA3507" s="3" t="s">
        <v>33897</v>
      </c>
      <c r="BB3507" s="3" t="s">
        <v>33898</v>
      </c>
      <c r="BC3507" s="3" t="s">
        <v>102</v>
      </c>
      <c r="BD3507" s="3" t="s">
        <v>68</v>
      </c>
      <c r="BE3507" s="3" t="s">
        <v>33899</v>
      </c>
      <c r="BF3507" s="3" t="s">
        <v>33898</v>
      </c>
      <c r="BG3507" s="3" t="s">
        <v>33900</v>
      </c>
    </row>
    <row r="3508" spans="1:59" ht="58" x14ac:dyDescent="0.35">
      <c r="A3508" s="2" t="s">
        <v>89</v>
      </c>
      <c r="B3508" s="2" t="s">
        <v>90</v>
      </c>
      <c r="C3508" s="2" t="s">
        <v>33901</v>
      </c>
      <c r="D3508" s="2" t="s">
        <v>33902</v>
      </c>
      <c r="E3508" s="2" t="s">
        <v>33903</v>
      </c>
      <c r="G3508" s="3" t="s">
        <v>62</v>
      </c>
      <c r="I3508" s="3" t="s">
        <v>62</v>
      </c>
      <c r="J3508" s="3" t="s">
        <v>62</v>
      </c>
      <c r="K3508" s="3" t="s">
        <v>63</v>
      </c>
      <c r="M3508" s="2" t="s">
        <v>33904</v>
      </c>
      <c r="N3508" s="3" t="s">
        <v>954</v>
      </c>
      <c r="P3508" s="3" t="s">
        <v>64</v>
      </c>
      <c r="R3508" s="3" t="s">
        <v>32962</v>
      </c>
      <c r="S3508" s="4">
        <v>3</v>
      </c>
      <c r="T3508" s="4">
        <v>3</v>
      </c>
      <c r="U3508" s="5" t="s">
        <v>2113</v>
      </c>
      <c r="V3508" s="5" t="s">
        <v>2113</v>
      </c>
      <c r="W3508" s="5" t="s">
        <v>67</v>
      </c>
      <c r="X3508" s="5" t="s">
        <v>67</v>
      </c>
      <c r="Y3508" s="4">
        <v>750</v>
      </c>
      <c r="Z3508" s="4">
        <v>40</v>
      </c>
      <c r="AA3508" s="4">
        <v>45</v>
      </c>
      <c r="AB3508" s="4">
        <v>2</v>
      </c>
      <c r="AC3508" s="4">
        <v>6</v>
      </c>
      <c r="AD3508" s="4">
        <v>122</v>
      </c>
      <c r="AE3508" s="4">
        <v>126</v>
      </c>
      <c r="AF3508" s="4">
        <v>0</v>
      </c>
      <c r="AG3508" s="4">
        <v>3</v>
      </c>
      <c r="AH3508" s="4">
        <v>99</v>
      </c>
      <c r="AI3508" s="4">
        <v>100</v>
      </c>
      <c r="AJ3508" s="4">
        <v>17</v>
      </c>
      <c r="AK3508" s="4">
        <v>19</v>
      </c>
      <c r="AL3508" s="4">
        <v>55</v>
      </c>
      <c r="AM3508" s="4">
        <v>55</v>
      </c>
      <c r="AN3508" s="4">
        <v>0</v>
      </c>
      <c r="AO3508" s="4">
        <v>0</v>
      </c>
      <c r="AP3508" s="4">
        <v>28</v>
      </c>
      <c r="AQ3508" s="4">
        <v>31</v>
      </c>
      <c r="AR3508" s="3" t="s">
        <v>62</v>
      </c>
      <c r="AS3508" s="3" t="s">
        <v>62</v>
      </c>
      <c r="AT3508" s="3" t="s">
        <v>62</v>
      </c>
      <c r="AV3508" s="6" t="str">
        <f>HYPERLINK("http://mcgill.on.worldcat.org/oclc/408150","Catalog Record")</f>
        <v>Catalog Record</v>
      </c>
      <c r="AW3508" s="6" t="str">
        <f>HYPERLINK("http://www.worldcat.org/oclc/408150","WorldCat Record")</f>
        <v>WorldCat Record</v>
      </c>
      <c r="AX3508" s="3" t="s">
        <v>33905</v>
      </c>
      <c r="AY3508" s="3" t="s">
        <v>33906</v>
      </c>
      <c r="AZ3508" s="3" t="s">
        <v>33907</v>
      </c>
      <c r="BA3508" s="3" t="s">
        <v>33907</v>
      </c>
      <c r="BB3508" s="3" t="s">
        <v>33908</v>
      </c>
      <c r="BC3508" s="3" t="s">
        <v>102</v>
      </c>
      <c r="BD3508" s="3" t="s">
        <v>231</v>
      </c>
      <c r="BF3508" s="3" t="s">
        <v>33908</v>
      </c>
      <c r="BG3508" s="3" t="s">
        <v>33909</v>
      </c>
    </row>
    <row r="3509" spans="1:59" ht="58" x14ac:dyDescent="0.35">
      <c r="A3509" s="2" t="s">
        <v>59</v>
      </c>
      <c r="B3509" s="2" t="s">
        <v>60</v>
      </c>
      <c r="C3509" s="2" t="s">
        <v>33910</v>
      </c>
      <c r="D3509" s="2" t="s">
        <v>33911</v>
      </c>
      <c r="E3509" s="2" t="s">
        <v>33912</v>
      </c>
      <c r="G3509" s="3" t="s">
        <v>62</v>
      </c>
      <c r="I3509" s="3" t="s">
        <v>62</v>
      </c>
      <c r="J3509" s="3" t="s">
        <v>62</v>
      </c>
      <c r="K3509" s="3" t="s">
        <v>63</v>
      </c>
      <c r="M3509" s="2" t="s">
        <v>20619</v>
      </c>
      <c r="N3509" s="3" t="s">
        <v>396</v>
      </c>
      <c r="P3509" s="3" t="s">
        <v>64</v>
      </c>
      <c r="Q3509" s="2" t="s">
        <v>33448</v>
      </c>
      <c r="R3509" s="3" t="s">
        <v>32962</v>
      </c>
      <c r="S3509" s="4">
        <v>2</v>
      </c>
      <c r="T3509" s="4">
        <v>2</v>
      </c>
      <c r="U3509" s="5" t="s">
        <v>4176</v>
      </c>
      <c r="V3509" s="5" t="s">
        <v>4176</v>
      </c>
      <c r="W3509" s="5" t="s">
        <v>67</v>
      </c>
      <c r="X3509" s="5" t="s">
        <v>67</v>
      </c>
      <c r="Y3509" s="4">
        <v>289</v>
      </c>
      <c r="Z3509" s="4">
        <v>18</v>
      </c>
      <c r="AA3509" s="4">
        <v>25</v>
      </c>
      <c r="AB3509" s="4">
        <v>1</v>
      </c>
      <c r="AC3509" s="4">
        <v>2</v>
      </c>
      <c r="AD3509" s="4">
        <v>96</v>
      </c>
      <c r="AE3509" s="4">
        <v>104</v>
      </c>
      <c r="AF3509" s="4">
        <v>0</v>
      </c>
      <c r="AG3509" s="4">
        <v>1</v>
      </c>
      <c r="AH3509" s="4">
        <v>87</v>
      </c>
      <c r="AI3509" s="4">
        <v>88</v>
      </c>
      <c r="AJ3509" s="4">
        <v>12</v>
      </c>
      <c r="AK3509" s="4">
        <v>15</v>
      </c>
      <c r="AL3509" s="4">
        <v>50</v>
      </c>
      <c r="AM3509" s="4">
        <v>51</v>
      </c>
      <c r="AN3509" s="4">
        <v>0</v>
      </c>
      <c r="AO3509" s="4">
        <v>0</v>
      </c>
      <c r="AP3509" s="4">
        <v>13</v>
      </c>
      <c r="AQ3509" s="4">
        <v>20</v>
      </c>
      <c r="AR3509" s="3" t="s">
        <v>62</v>
      </c>
      <c r="AS3509" s="3" t="s">
        <v>62</v>
      </c>
      <c r="AT3509" s="3" t="s">
        <v>62</v>
      </c>
      <c r="AV3509" s="6" t="str">
        <f>HYPERLINK("http://mcgill.on.worldcat.org/oclc/10207799","Catalog Record")</f>
        <v>Catalog Record</v>
      </c>
      <c r="AW3509" s="6" t="str">
        <f>HYPERLINK("http://www.worldcat.org/oclc/10207799","WorldCat Record")</f>
        <v>WorldCat Record</v>
      </c>
      <c r="AX3509" s="3" t="s">
        <v>33913</v>
      </c>
      <c r="AY3509" s="3" t="s">
        <v>33914</v>
      </c>
      <c r="AZ3509" s="3" t="s">
        <v>33915</v>
      </c>
      <c r="BA3509" s="3" t="s">
        <v>33915</v>
      </c>
      <c r="BB3509" s="3" t="s">
        <v>33916</v>
      </c>
      <c r="BC3509" s="3" t="s">
        <v>102</v>
      </c>
      <c r="BD3509" s="3" t="s">
        <v>68</v>
      </c>
      <c r="BE3509" s="3" t="s">
        <v>33917</v>
      </c>
      <c r="BF3509" s="3" t="s">
        <v>33916</v>
      </c>
      <c r="BG3509" s="3" t="s">
        <v>33918</v>
      </c>
    </row>
    <row r="3510" spans="1:59" ht="58" x14ac:dyDescent="0.35">
      <c r="A3510" s="2" t="s">
        <v>59</v>
      </c>
      <c r="B3510" s="2" t="s">
        <v>60</v>
      </c>
      <c r="C3510" s="2" t="s">
        <v>33919</v>
      </c>
      <c r="D3510" s="2" t="s">
        <v>33920</v>
      </c>
      <c r="E3510" s="2" t="s">
        <v>33921</v>
      </c>
      <c r="G3510" s="3" t="s">
        <v>62</v>
      </c>
      <c r="I3510" s="3" t="s">
        <v>61</v>
      </c>
      <c r="J3510" s="3" t="s">
        <v>62</v>
      </c>
      <c r="K3510" s="3" t="s">
        <v>63</v>
      </c>
      <c r="L3510" s="2" t="s">
        <v>33922</v>
      </c>
      <c r="M3510" s="2" t="s">
        <v>33923</v>
      </c>
      <c r="N3510" s="3" t="s">
        <v>930</v>
      </c>
      <c r="P3510" s="3" t="s">
        <v>64</v>
      </c>
      <c r="Q3510" s="2" t="s">
        <v>33924</v>
      </c>
      <c r="R3510" s="3" t="s">
        <v>32962</v>
      </c>
      <c r="S3510" s="4">
        <v>0</v>
      </c>
      <c r="T3510" s="4">
        <v>10</v>
      </c>
      <c r="V3510" s="5" t="s">
        <v>1630</v>
      </c>
      <c r="W3510" s="5" t="s">
        <v>67</v>
      </c>
      <c r="X3510" s="5" t="s">
        <v>67</v>
      </c>
      <c r="Y3510" s="4">
        <v>556</v>
      </c>
      <c r="Z3510" s="4">
        <v>29</v>
      </c>
      <c r="AA3510" s="4">
        <v>34</v>
      </c>
      <c r="AB3510" s="4">
        <v>3</v>
      </c>
      <c r="AC3510" s="4">
        <v>8</v>
      </c>
      <c r="AD3510" s="4">
        <v>97</v>
      </c>
      <c r="AE3510" s="4">
        <v>100</v>
      </c>
      <c r="AF3510" s="4">
        <v>1</v>
      </c>
      <c r="AG3510" s="4">
        <v>4</v>
      </c>
      <c r="AH3510" s="4">
        <v>81</v>
      </c>
      <c r="AI3510" s="4">
        <v>82</v>
      </c>
      <c r="AJ3510" s="4">
        <v>17</v>
      </c>
      <c r="AK3510" s="4">
        <v>20</v>
      </c>
      <c r="AL3510" s="4">
        <v>46</v>
      </c>
      <c r="AM3510" s="4">
        <v>46</v>
      </c>
      <c r="AN3510" s="4">
        <v>0</v>
      </c>
      <c r="AO3510" s="4">
        <v>0</v>
      </c>
      <c r="AP3510" s="4">
        <v>22</v>
      </c>
      <c r="AQ3510" s="4">
        <v>24</v>
      </c>
      <c r="AR3510" s="3" t="s">
        <v>62</v>
      </c>
      <c r="AS3510" s="3" t="s">
        <v>61</v>
      </c>
      <c r="AT3510" s="3" t="s">
        <v>62</v>
      </c>
      <c r="AU3510" s="6" t="str">
        <f>HYPERLINK("http://catalog.hathitrust.org/Record/001489231","HathiTrust Record")</f>
        <v>HathiTrust Record</v>
      </c>
      <c r="AV3510" s="6" t="str">
        <f>HYPERLINK("http://mcgill.on.worldcat.org/oclc/551744","Catalog Record")</f>
        <v>Catalog Record</v>
      </c>
      <c r="AW3510" s="6" t="str">
        <f>HYPERLINK("http://www.worldcat.org/oclc/551744","WorldCat Record")</f>
        <v>WorldCat Record</v>
      </c>
      <c r="AX3510" s="3" t="s">
        <v>33925</v>
      </c>
      <c r="AY3510" s="3" t="s">
        <v>33926</v>
      </c>
      <c r="AZ3510" s="3" t="s">
        <v>33927</v>
      </c>
      <c r="BA3510" s="3" t="s">
        <v>33927</v>
      </c>
      <c r="BB3510" s="3" t="s">
        <v>33928</v>
      </c>
      <c r="BC3510" s="3" t="s">
        <v>102</v>
      </c>
      <c r="BD3510" s="3" t="s">
        <v>68</v>
      </c>
      <c r="BF3510" s="3" t="s">
        <v>33928</v>
      </c>
      <c r="BG3510" s="3" t="s">
        <v>33929</v>
      </c>
    </row>
    <row r="3511" spans="1:59" ht="58" x14ac:dyDescent="0.35">
      <c r="A3511" s="2" t="s">
        <v>59</v>
      </c>
      <c r="B3511" s="2" t="s">
        <v>60</v>
      </c>
      <c r="C3511" s="2" t="s">
        <v>33930</v>
      </c>
      <c r="D3511" s="2" t="s">
        <v>33931</v>
      </c>
      <c r="E3511" s="2" t="s">
        <v>33932</v>
      </c>
      <c r="G3511" s="3" t="s">
        <v>62</v>
      </c>
      <c r="I3511" s="3" t="s">
        <v>62</v>
      </c>
      <c r="J3511" s="3" t="s">
        <v>62</v>
      </c>
      <c r="K3511" s="3" t="s">
        <v>63</v>
      </c>
      <c r="M3511" s="2" t="s">
        <v>33933</v>
      </c>
      <c r="N3511" s="3" t="s">
        <v>1905</v>
      </c>
      <c r="P3511" s="3" t="s">
        <v>64</v>
      </c>
      <c r="R3511" s="3" t="s">
        <v>32962</v>
      </c>
      <c r="S3511" s="4">
        <v>9</v>
      </c>
      <c r="T3511" s="4">
        <v>9</v>
      </c>
      <c r="U3511" s="5" t="s">
        <v>6903</v>
      </c>
      <c r="V3511" s="5" t="s">
        <v>6903</v>
      </c>
      <c r="W3511" s="5" t="s">
        <v>67</v>
      </c>
      <c r="X3511" s="5" t="s">
        <v>67</v>
      </c>
      <c r="Y3511" s="4">
        <v>632</v>
      </c>
      <c r="Z3511" s="4">
        <v>45</v>
      </c>
      <c r="AA3511" s="4">
        <v>51</v>
      </c>
      <c r="AB3511" s="4">
        <v>4</v>
      </c>
      <c r="AC3511" s="4">
        <v>7</v>
      </c>
      <c r="AD3511" s="4">
        <v>125</v>
      </c>
      <c r="AE3511" s="4">
        <v>131</v>
      </c>
      <c r="AF3511" s="4">
        <v>2</v>
      </c>
      <c r="AG3511" s="4">
        <v>5</v>
      </c>
      <c r="AH3511" s="4">
        <v>101</v>
      </c>
      <c r="AI3511" s="4">
        <v>101</v>
      </c>
      <c r="AJ3511" s="4">
        <v>19</v>
      </c>
      <c r="AK3511" s="4">
        <v>21</v>
      </c>
      <c r="AL3511" s="4">
        <v>53</v>
      </c>
      <c r="AM3511" s="4">
        <v>53</v>
      </c>
      <c r="AN3511" s="4">
        <v>0</v>
      </c>
      <c r="AO3511" s="4">
        <v>0</v>
      </c>
      <c r="AP3511" s="4">
        <v>34</v>
      </c>
      <c r="AQ3511" s="4">
        <v>39</v>
      </c>
      <c r="AR3511" s="3" t="s">
        <v>62</v>
      </c>
      <c r="AS3511" s="3" t="s">
        <v>62</v>
      </c>
      <c r="AT3511" s="3" t="s">
        <v>62</v>
      </c>
      <c r="AV3511" s="6" t="str">
        <f>HYPERLINK("http://mcgill.on.worldcat.org/oclc/11574136","Catalog Record")</f>
        <v>Catalog Record</v>
      </c>
      <c r="AW3511" s="6" t="str">
        <f>HYPERLINK("http://www.worldcat.org/oclc/11574136","WorldCat Record")</f>
        <v>WorldCat Record</v>
      </c>
      <c r="AX3511" s="3" t="s">
        <v>33934</v>
      </c>
      <c r="AY3511" s="3" t="s">
        <v>33935</v>
      </c>
      <c r="AZ3511" s="3" t="s">
        <v>33936</v>
      </c>
      <c r="BA3511" s="3" t="s">
        <v>33936</v>
      </c>
      <c r="BB3511" s="3" t="s">
        <v>33937</v>
      </c>
      <c r="BC3511" s="3" t="s">
        <v>102</v>
      </c>
      <c r="BD3511" s="3" t="s">
        <v>68</v>
      </c>
      <c r="BE3511" s="3" t="s">
        <v>33938</v>
      </c>
      <c r="BF3511" s="3" t="s">
        <v>33937</v>
      </c>
      <c r="BG3511" s="3" t="s">
        <v>33939</v>
      </c>
    </row>
    <row r="3512" spans="1:59" ht="58" x14ac:dyDescent="0.35">
      <c r="A3512" s="2" t="s">
        <v>89</v>
      </c>
      <c r="B3512" s="2" t="s">
        <v>90</v>
      </c>
      <c r="C3512" s="2" t="s">
        <v>33940</v>
      </c>
      <c r="D3512" s="2" t="s">
        <v>33941</v>
      </c>
      <c r="E3512" s="2" t="s">
        <v>33942</v>
      </c>
      <c r="G3512" s="3" t="s">
        <v>62</v>
      </c>
      <c r="I3512" s="3" t="s">
        <v>61</v>
      </c>
      <c r="J3512" s="3" t="s">
        <v>61</v>
      </c>
      <c r="K3512" s="3" t="s">
        <v>63</v>
      </c>
      <c r="L3512" s="2" t="s">
        <v>33943</v>
      </c>
      <c r="M3512" s="2" t="s">
        <v>33944</v>
      </c>
      <c r="N3512" s="3" t="s">
        <v>115</v>
      </c>
      <c r="O3512" s="2" t="s">
        <v>1941</v>
      </c>
      <c r="P3512" s="3" t="s">
        <v>64</v>
      </c>
      <c r="R3512" s="3" t="s">
        <v>32962</v>
      </c>
      <c r="S3512" s="4">
        <v>22</v>
      </c>
      <c r="T3512" s="4">
        <v>55</v>
      </c>
      <c r="U3512" s="5" t="s">
        <v>8916</v>
      </c>
      <c r="V3512" s="5" t="s">
        <v>8916</v>
      </c>
      <c r="W3512" s="5" t="s">
        <v>67</v>
      </c>
      <c r="X3512" s="5" t="s">
        <v>67</v>
      </c>
      <c r="Y3512" s="4">
        <v>2438</v>
      </c>
      <c r="Z3512" s="4">
        <v>102</v>
      </c>
      <c r="AA3512" s="4">
        <v>137</v>
      </c>
      <c r="AB3512" s="4">
        <v>3</v>
      </c>
      <c r="AC3512" s="4">
        <v>14</v>
      </c>
      <c r="AD3512" s="4">
        <v>139</v>
      </c>
      <c r="AE3512" s="4">
        <v>164</v>
      </c>
      <c r="AF3512" s="4">
        <v>1</v>
      </c>
      <c r="AG3512" s="4">
        <v>7</v>
      </c>
      <c r="AH3512" s="4">
        <v>105</v>
      </c>
      <c r="AI3512" s="4">
        <v>114</v>
      </c>
      <c r="AJ3512" s="4">
        <v>21</v>
      </c>
      <c r="AK3512" s="4">
        <v>30</v>
      </c>
      <c r="AL3512" s="4">
        <v>55</v>
      </c>
      <c r="AM3512" s="4">
        <v>59</v>
      </c>
      <c r="AN3512" s="4">
        <v>0</v>
      </c>
      <c r="AO3512" s="4">
        <v>0</v>
      </c>
      <c r="AP3512" s="4">
        <v>37</v>
      </c>
      <c r="AQ3512" s="4">
        <v>55</v>
      </c>
      <c r="AR3512" s="3" t="s">
        <v>62</v>
      </c>
      <c r="AS3512" s="3" t="s">
        <v>62</v>
      </c>
      <c r="AT3512" s="3" t="s">
        <v>62</v>
      </c>
      <c r="AV3512" s="6" t="str">
        <f>HYPERLINK("http://mcgill.on.worldcat.org/oclc/18983518","Catalog Record")</f>
        <v>Catalog Record</v>
      </c>
      <c r="AW3512" s="6" t="str">
        <f>HYPERLINK("http://www.worldcat.org/oclc/18983518","WorldCat Record")</f>
        <v>WorldCat Record</v>
      </c>
      <c r="AX3512" s="3" t="s">
        <v>33945</v>
      </c>
      <c r="AY3512" s="3" t="s">
        <v>33946</v>
      </c>
      <c r="AZ3512" s="3" t="s">
        <v>33947</v>
      </c>
      <c r="BA3512" s="3" t="s">
        <v>33947</v>
      </c>
      <c r="BB3512" s="3" t="s">
        <v>33948</v>
      </c>
      <c r="BC3512" s="3" t="s">
        <v>102</v>
      </c>
      <c r="BD3512" s="3" t="s">
        <v>68</v>
      </c>
      <c r="BE3512" s="3" t="s">
        <v>33949</v>
      </c>
      <c r="BF3512" s="3" t="s">
        <v>33948</v>
      </c>
      <c r="BG3512" s="3" t="s">
        <v>33950</v>
      </c>
    </row>
    <row r="3513" spans="1:59" ht="58" x14ac:dyDescent="0.35">
      <c r="A3513" s="2" t="s">
        <v>59</v>
      </c>
      <c r="B3513" s="2" t="s">
        <v>60</v>
      </c>
      <c r="C3513" s="2" t="s">
        <v>33951</v>
      </c>
      <c r="D3513" s="2" t="s">
        <v>33952</v>
      </c>
      <c r="E3513" s="2" t="s">
        <v>33953</v>
      </c>
      <c r="G3513" s="3" t="s">
        <v>62</v>
      </c>
      <c r="I3513" s="3" t="s">
        <v>62</v>
      </c>
      <c r="J3513" s="3" t="s">
        <v>62</v>
      </c>
      <c r="K3513" s="3" t="s">
        <v>63</v>
      </c>
      <c r="L3513" s="2" t="s">
        <v>33954</v>
      </c>
      <c r="M3513" s="2" t="s">
        <v>33955</v>
      </c>
      <c r="N3513" s="3" t="s">
        <v>893</v>
      </c>
      <c r="O3513" s="2" t="s">
        <v>33956</v>
      </c>
      <c r="P3513" s="3" t="s">
        <v>1881</v>
      </c>
      <c r="Q3513" s="2" t="s">
        <v>33957</v>
      </c>
      <c r="R3513" s="3" t="s">
        <v>32962</v>
      </c>
      <c r="S3513" s="4">
        <v>1</v>
      </c>
      <c r="T3513" s="4">
        <v>1</v>
      </c>
      <c r="U3513" s="5" t="s">
        <v>11785</v>
      </c>
      <c r="V3513" s="5" t="s">
        <v>11785</v>
      </c>
      <c r="W3513" s="5" t="s">
        <v>67</v>
      </c>
      <c r="X3513" s="5" t="s">
        <v>67</v>
      </c>
      <c r="Y3513" s="4">
        <v>12</v>
      </c>
      <c r="Z3513" s="4">
        <v>1</v>
      </c>
      <c r="AA3513" s="4">
        <v>1</v>
      </c>
      <c r="AB3513" s="4">
        <v>1</v>
      </c>
      <c r="AC3513" s="4">
        <v>1</v>
      </c>
      <c r="AD3513" s="4">
        <v>1</v>
      </c>
      <c r="AE3513" s="4">
        <v>5</v>
      </c>
      <c r="AF3513" s="4">
        <v>0</v>
      </c>
      <c r="AG3513" s="4">
        <v>0</v>
      </c>
      <c r="AH3513" s="4">
        <v>1</v>
      </c>
      <c r="AI3513" s="4">
        <v>5</v>
      </c>
      <c r="AJ3513" s="4">
        <v>0</v>
      </c>
      <c r="AK3513" s="4">
        <v>0</v>
      </c>
      <c r="AL3513" s="4">
        <v>1</v>
      </c>
      <c r="AM3513" s="4">
        <v>4</v>
      </c>
      <c r="AN3513" s="4">
        <v>0</v>
      </c>
      <c r="AO3513" s="4">
        <v>0</v>
      </c>
      <c r="AP3513" s="4">
        <v>0</v>
      </c>
      <c r="AQ3513" s="4">
        <v>0</v>
      </c>
      <c r="AR3513" s="3" t="s">
        <v>62</v>
      </c>
      <c r="AS3513" s="3" t="s">
        <v>62</v>
      </c>
      <c r="AT3513" s="3" t="s">
        <v>61</v>
      </c>
      <c r="AU3513" s="6" t="str">
        <f>HYPERLINK("http://catalog.hathitrust.org/Record/010067313","HathiTrust Record")</f>
        <v>HathiTrust Record</v>
      </c>
      <c r="AV3513" s="6" t="str">
        <f>HYPERLINK("http://mcgill.on.worldcat.org/oclc/10124110","Catalog Record")</f>
        <v>Catalog Record</v>
      </c>
      <c r="AW3513" s="6" t="str">
        <f>HYPERLINK("http://www.worldcat.org/oclc/10124110","WorldCat Record")</f>
        <v>WorldCat Record</v>
      </c>
      <c r="AX3513" s="3" t="s">
        <v>33958</v>
      </c>
      <c r="AY3513" s="3" t="s">
        <v>33959</v>
      </c>
      <c r="AZ3513" s="3" t="s">
        <v>33960</v>
      </c>
      <c r="BA3513" s="3" t="s">
        <v>33960</v>
      </c>
      <c r="BB3513" s="3" t="s">
        <v>33961</v>
      </c>
      <c r="BC3513" s="3" t="s">
        <v>102</v>
      </c>
      <c r="BD3513" s="3" t="s">
        <v>68</v>
      </c>
      <c r="BF3513" s="3" t="s">
        <v>33961</v>
      </c>
      <c r="BG3513" s="3" t="s">
        <v>33962</v>
      </c>
    </row>
    <row r="3514" spans="1:59" ht="58" x14ac:dyDescent="0.35">
      <c r="A3514" s="2" t="s">
        <v>59</v>
      </c>
      <c r="B3514" s="2" t="s">
        <v>60</v>
      </c>
      <c r="C3514" s="2" t="s">
        <v>33963</v>
      </c>
      <c r="D3514" s="2" t="s">
        <v>33964</v>
      </c>
      <c r="E3514" s="2" t="s">
        <v>33965</v>
      </c>
      <c r="G3514" s="3" t="s">
        <v>62</v>
      </c>
      <c r="I3514" s="3" t="s">
        <v>61</v>
      </c>
      <c r="J3514" s="3" t="s">
        <v>62</v>
      </c>
      <c r="K3514" s="3" t="s">
        <v>63</v>
      </c>
      <c r="L3514" s="2" t="s">
        <v>33966</v>
      </c>
      <c r="M3514" s="2" t="s">
        <v>33967</v>
      </c>
      <c r="N3514" s="3" t="s">
        <v>755</v>
      </c>
      <c r="O3514" s="2" t="s">
        <v>8350</v>
      </c>
      <c r="P3514" s="3" t="s">
        <v>64</v>
      </c>
      <c r="Q3514" s="2" t="s">
        <v>33968</v>
      </c>
      <c r="R3514" s="3" t="s">
        <v>32962</v>
      </c>
      <c r="S3514" s="4">
        <v>0</v>
      </c>
      <c r="T3514" s="4">
        <v>5</v>
      </c>
      <c r="V3514" s="5" t="s">
        <v>21679</v>
      </c>
      <c r="W3514" s="5" t="s">
        <v>67</v>
      </c>
      <c r="X3514" s="5" t="s">
        <v>67</v>
      </c>
      <c r="Y3514" s="4">
        <v>641</v>
      </c>
      <c r="Z3514" s="4">
        <v>32</v>
      </c>
      <c r="AA3514" s="4">
        <v>38</v>
      </c>
      <c r="AB3514" s="4">
        <v>3</v>
      </c>
      <c r="AC3514" s="4">
        <v>4</v>
      </c>
      <c r="AD3514" s="4">
        <v>112</v>
      </c>
      <c r="AE3514" s="4">
        <v>118</v>
      </c>
      <c r="AF3514" s="4">
        <v>1</v>
      </c>
      <c r="AG3514" s="4">
        <v>2</v>
      </c>
      <c r="AH3514" s="4">
        <v>93</v>
      </c>
      <c r="AI3514" s="4">
        <v>98</v>
      </c>
      <c r="AJ3514" s="4">
        <v>14</v>
      </c>
      <c r="AK3514" s="4">
        <v>18</v>
      </c>
      <c r="AL3514" s="4">
        <v>51</v>
      </c>
      <c r="AM3514" s="4">
        <v>53</v>
      </c>
      <c r="AN3514" s="4">
        <v>0</v>
      </c>
      <c r="AO3514" s="4">
        <v>0</v>
      </c>
      <c r="AP3514" s="4">
        <v>24</v>
      </c>
      <c r="AQ3514" s="4">
        <v>28</v>
      </c>
      <c r="AR3514" s="3" t="s">
        <v>62</v>
      </c>
      <c r="AS3514" s="3" t="s">
        <v>62</v>
      </c>
      <c r="AT3514" s="3" t="s">
        <v>61</v>
      </c>
      <c r="AU3514" s="6" t="str">
        <f>HYPERLINK("http://catalog.hathitrust.org/Record/001489243","HathiTrust Record")</f>
        <v>HathiTrust Record</v>
      </c>
      <c r="AV3514" s="6" t="str">
        <f>HYPERLINK("http://mcgill.on.worldcat.org/oclc/291093","Catalog Record")</f>
        <v>Catalog Record</v>
      </c>
      <c r="AW3514" s="6" t="str">
        <f>HYPERLINK("http://www.worldcat.org/oclc/291093","WorldCat Record")</f>
        <v>WorldCat Record</v>
      </c>
      <c r="AX3514" s="3" t="s">
        <v>33969</v>
      </c>
      <c r="AY3514" s="3" t="s">
        <v>33970</v>
      </c>
      <c r="AZ3514" s="3" t="s">
        <v>33971</v>
      </c>
      <c r="BA3514" s="3" t="s">
        <v>33971</v>
      </c>
      <c r="BB3514" s="3" t="s">
        <v>33972</v>
      </c>
      <c r="BC3514" s="3" t="s">
        <v>102</v>
      </c>
      <c r="BD3514" s="3" t="s">
        <v>68</v>
      </c>
      <c r="BF3514" s="3" t="s">
        <v>33972</v>
      </c>
      <c r="BG3514" s="3" t="s">
        <v>33973</v>
      </c>
    </row>
    <row r="3515" spans="1:59" ht="72.5" x14ac:dyDescent="0.35">
      <c r="A3515" s="2" t="s">
        <v>59</v>
      </c>
      <c r="B3515" s="2" t="s">
        <v>60</v>
      </c>
      <c r="C3515" s="2" t="s">
        <v>33974</v>
      </c>
      <c r="D3515" s="2" t="s">
        <v>33975</v>
      </c>
      <c r="E3515" s="2" t="s">
        <v>33976</v>
      </c>
      <c r="F3515" s="3" t="s">
        <v>33977</v>
      </c>
      <c r="G3515" s="3" t="s">
        <v>61</v>
      </c>
      <c r="I3515" s="3" t="s">
        <v>62</v>
      </c>
      <c r="J3515" s="3" t="s">
        <v>62</v>
      </c>
      <c r="K3515" s="3" t="s">
        <v>63</v>
      </c>
      <c r="M3515" s="2" t="s">
        <v>33978</v>
      </c>
      <c r="N3515" s="3" t="s">
        <v>186</v>
      </c>
      <c r="P3515" s="3" t="s">
        <v>85</v>
      </c>
      <c r="Q3515" s="2" t="s">
        <v>33979</v>
      </c>
      <c r="R3515" s="3" t="s">
        <v>32962</v>
      </c>
      <c r="S3515" s="4">
        <v>1</v>
      </c>
      <c r="T3515" s="4">
        <v>2</v>
      </c>
      <c r="U3515" s="5" t="s">
        <v>9447</v>
      </c>
      <c r="V3515" s="5" t="s">
        <v>9447</v>
      </c>
      <c r="W3515" s="5" t="s">
        <v>67</v>
      </c>
      <c r="X3515" s="5" t="s">
        <v>67</v>
      </c>
      <c r="Y3515" s="4">
        <v>60</v>
      </c>
      <c r="Z3515" s="4">
        <v>5</v>
      </c>
      <c r="AA3515" s="4">
        <v>9</v>
      </c>
      <c r="AB3515" s="4">
        <v>1</v>
      </c>
      <c r="AC3515" s="4">
        <v>5</v>
      </c>
      <c r="AD3515" s="4">
        <v>33</v>
      </c>
      <c r="AE3515" s="4">
        <v>46</v>
      </c>
      <c r="AF3515" s="4">
        <v>0</v>
      </c>
      <c r="AG3515" s="4">
        <v>3</v>
      </c>
      <c r="AH3515" s="4">
        <v>30</v>
      </c>
      <c r="AI3515" s="4">
        <v>41</v>
      </c>
      <c r="AJ3515" s="4">
        <v>3</v>
      </c>
      <c r="AK3515" s="4">
        <v>6</v>
      </c>
      <c r="AL3515" s="4">
        <v>26</v>
      </c>
      <c r="AM3515" s="4">
        <v>29</v>
      </c>
      <c r="AN3515" s="4">
        <v>0</v>
      </c>
      <c r="AO3515" s="4">
        <v>0</v>
      </c>
      <c r="AP3515" s="4">
        <v>3</v>
      </c>
      <c r="AQ3515" s="4">
        <v>5</v>
      </c>
      <c r="AR3515" s="3" t="s">
        <v>62</v>
      </c>
      <c r="AS3515" s="3" t="s">
        <v>62</v>
      </c>
      <c r="AT3515" s="3" t="s">
        <v>61</v>
      </c>
      <c r="AU3515" s="6" t="str">
        <f>HYPERLINK("http://catalog.hathitrust.org/Record/000937779","HathiTrust Record")</f>
        <v>HathiTrust Record</v>
      </c>
      <c r="AV3515" s="6" t="str">
        <f>HYPERLINK("http://mcgill.on.worldcat.org/oclc/2876961","Catalog Record")</f>
        <v>Catalog Record</v>
      </c>
      <c r="AW3515" s="6" t="str">
        <f>HYPERLINK("http://www.worldcat.org/oclc/2876961","WorldCat Record")</f>
        <v>WorldCat Record</v>
      </c>
      <c r="AX3515" s="3" t="s">
        <v>33980</v>
      </c>
      <c r="AY3515" s="3" t="s">
        <v>33981</v>
      </c>
      <c r="AZ3515" s="3" t="s">
        <v>33982</v>
      </c>
      <c r="BA3515" s="3" t="s">
        <v>33982</v>
      </c>
      <c r="BB3515" s="3" t="s">
        <v>33983</v>
      </c>
      <c r="BC3515" s="3" t="s">
        <v>102</v>
      </c>
      <c r="BD3515" s="3" t="s">
        <v>68</v>
      </c>
      <c r="BE3515" s="3" t="s">
        <v>33984</v>
      </c>
      <c r="BF3515" s="3" t="s">
        <v>33983</v>
      </c>
      <c r="BG3515" s="3" t="s">
        <v>33985</v>
      </c>
    </row>
    <row r="3516" spans="1:59" ht="72.5" x14ac:dyDescent="0.35">
      <c r="A3516" s="2" t="s">
        <v>59</v>
      </c>
      <c r="B3516" s="2" t="s">
        <v>60</v>
      </c>
      <c r="C3516" s="2" t="s">
        <v>33974</v>
      </c>
      <c r="D3516" s="2" t="s">
        <v>33975</v>
      </c>
      <c r="E3516" s="2" t="s">
        <v>33976</v>
      </c>
      <c r="F3516" s="3" t="s">
        <v>33986</v>
      </c>
      <c r="G3516" s="3" t="s">
        <v>61</v>
      </c>
      <c r="I3516" s="3" t="s">
        <v>62</v>
      </c>
      <c r="J3516" s="3" t="s">
        <v>62</v>
      </c>
      <c r="K3516" s="3" t="s">
        <v>63</v>
      </c>
      <c r="M3516" s="2" t="s">
        <v>33978</v>
      </c>
      <c r="N3516" s="3" t="s">
        <v>186</v>
      </c>
      <c r="P3516" s="3" t="s">
        <v>85</v>
      </c>
      <c r="Q3516" s="2" t="s">
        <v>33979</v>
      </c>
      <c r="R3516" s="3" t="s">
        <v>32962</v>
      </c>
      <c r="S3516" s="4">
        <v>1</v>
      </c>
      <c r="T3516" s="4">
        <v>2</v>
      </c>
      <c r="U3516" s="5" t="s">
        <v>9447</v>
      </c>
      <c r="V3516" s="5" t="s">
        <v>9447</v>
      </c>
      <c r="W3516" s="5" t="s">
        <v>67</v>
      </c>
      <c r="X3516" s="5" t="s">
        <v>67</v>
      </c>
      <c r="Y3516" s="4">
        <v>60</v>
      </c>
      <c r="Z3516" s="4">
        <v>5</v>
      </c>
      <c r="AA3516" s="4">
        <v>9</v>
      </c>
      <c r="AB3516" s="4">
        <v>1</v>
      </c>
      <c r="AC3516" s="4">
        <v>5</v>
      </c>
      <c r="AD3516" s="4">
        <v>33</v>
      </c>
      <c r="AE3516" s="4">
        <v>46</v>
      </c>
      <c r="AF3516" s="4">
        <v>0</v>
      </c>
      <c r="AG3516" s="4">
        <v>3</v>
      </c>
      <c r="AH3516" s="4">
        <v>30</v>
      </c>
      <c r="AI3516" s="4">
        <v>41</v>
      </c>
      <c r="AJ3516" s="4">
        <v>3</v>
      </c>
      <c r="AK3516" s="4">
        <v>6</v>
      </c>
      <c r="AL3516" s="4">
        <v>26</v>
      </c>
      <c r="AM3516" s="4">
        <v>29</v>
      </c>
      <c r="AN3516" s="4">
        <v>0</v>
      </c>
      <c r="AO3516" s="4">
        <v>0</v>
      </c>
      <c r="AP3516" s="4">
        <v>3</v>
      </c>
      <c r="AQ3516" s="4">
        <v>5</v>
      </c>
      <c r="AR3516" s="3" t="s">
        <v>62</v>
      </c>
      <c r="AS3516" s="3" t="s">
        <v>62</v>
      </c>
      <c r="AT3516" s="3" t="s">
        <v>61</v>
      </c>
      <c r="AU3516" s="6" t="str">
        <f>HYPERLINK("http://catalog.hathitrust.org/Record/000937779","HathiTrust Record")</f>
        <v>HathiTrust Record</v>
      </c>
      <c r="AV3516" s="6" t="str">
        <f>HYPERLINK("http://mcgill.on.worldcat.org/oclc/2876961","Catalog Record")</f>
        <v>Catalog Record</v>
      </c>
      <c r="AW3516" s="6" t="str">
        <f>HYPERLINK("http://www.worldcat.org/oclc/2876961","WorldCat Record")</f>
        <v>WorldCat Record</v>
      </c>
      <c r="AX3516" s="3" t="s">
        <v>33980</v>
      </c>
      <c r="AY3516" s="3" t="s">
        <v>33981</v>
      </c>
      <c r="AZ3516" s="3" t="s">
        <v>33982</v>
      </c>
      <c r="BA3516" s="3" t="s">
        <v>33982</v>
      </c>
      <c r="BB3516" s="3" t="s">
        <v>33987</v>
      </c>
      <c r="BC3516" s="3" t="s">
        <v>102</v>
      </c>
      <c r="BD3516" s="3" t="s">
        <v>68</v>
      </c>
      <c r="BE3516" s="3" t="s">
        <v>33984</v>
      </c>
      <c r="BF3516" s="3" t="s">
        <v>33987</v>
      </c>
      <c r="BG3516" s="3" t="s">
        <v>33988</v>
      </c>
    </row>
    <row r="3517" spans="1:59" ht="58" x14ac:dyDescent="0.35">
      <c r="A3517" s="2" t="s">
        <v>59</v>
      </c>
      <c r="B3517" s="2" t="s">
        <v>60</v>
      </c>
      <c r="C3517" s="2" t="s">
        <v>33989</v>
      </c>
      <c r="D3517" s="2" t="s">
        <v>33990</v>
      </c>
      <c r="E3517" s="2" t="s">
        <v>33991</v>
      </c>
      <c r="G3517" s="3" t="s">
        <v>62</v>
      </c>
      <c r="I3517" s="3" t="s">
        <v>61</v>
      </c>
      <c r="J3517" s="3" t="s">
        <v>62</v>
      </c>
      <c r="K3517" s="3" t="s">
        <v>63</v>
      </c>
      <c r="L3517" s="2" t="s">
        <v>33992</v>
      </c>
      <c r="M3517" s="2" t="s">
        <v>33993</v>
      </c>
      <c r="N3517" s="3" t="s">
        <v>1662</v>
      </c>
      <c r="P3517" s="3" t="s">
        <v>64</v>
      </c>
      <c r="R3517" s="3" t="s">
        <v>32962</v>
      </c>
      <c r="S3517" s="4">
        <v>2</v>
      </c>
      <c r="T3517" s="4">
        <v>2</v>
      </c>
      <c r="U3517" s="5" t="s">
        <v>8990</v>
      </c>
      <c r="V3517" s="5" t="s">
        <v>8990</v>
      </c>
      <c r="W3517" s="5" t="s">
        <v>67</v>
      </c>
      <c r="X3517" s="5" t="s">
        <v>67</v>
      </c>
      <c r="Y3517" s="4">
        <v>236</v>
      </c>
      <c r="Z3517" s="4">
        <v>24</v>
      </c>
      <c r="AA3517" s="4">
        <v>26</v>
      </c>
      <c r="AB3517" s="4">
        <v>1</v>
      </c>
      <c r="AC3517" s="4">
        <v>1</v>
      </c>
      <c r="AD3517" s="4">
        <v>81</v>
      </c>
      <c r="AE3517" s="4">
        <v>82</v>
      </c>
      <c r="AF3517" s="4">
        <v>0</v>
      </c>
      <c r="AG3517" s="4">
        <v>0</v>
      </c>
      <c r="AH3517" s="4">
        <v>67</v>
      </c>
      <c r="AI3517" s="4">
        <v>67</v>
      </c>
      <c r="AJ3517" s="4">
        <v>14</v>
      </c>
      <c r="AK3517" s="4">
        <v>15</v>
      </c>
      <c r="AL3517" s="4">
        <v>39</v>
      </c>
      <c r="AM3517" s="4">
        <v>39</v>
      </c>
      <c r="AN3517" s="4">
        <v>0</v>
      </c>
      <c r="AO3517" s="4">
        <v>0</v>
      </c>
      <c r="AP3517" s="4">
        <v>19</v>
      </c>
      <c r="AQ3517" s="4">
        <v>20</v>
      </c>
      <c r="AR3517" s="3" t="s">
        <v>62</v>
      </c>
      <c r="AS3517" s="3" t="s">
        <v>62</v>
      </c>
      <c r="AT3517" s="3" t="s">
        <v>61</v>
      </c>
      <c r="AU3517" s="6" t="str">
        <f>HYPERLINK("http://catalog.hathitrust.org/Record/007157846","HathiTrust Record")</f>
        <v>HathiTrust Record</v>
      </c>
      <c r="AV3517" s="6" t="str">
        <f>HYPERLINK("http://mcgill.on.worldcat.org/oclc/2140599","Catalog Record")</f>
        <v>Catalog Record</v>
      </c>
      <c r="AW3517" s="6" t="str">
        <f>HYPERLINK("http://www.worldcat.org/oclc/2140599","WorldCat Record")</f>
        <v>WorldCat Record</v>
      </c>
      <c r="AX3517" s="3" t="s">
        <v>33994</v>
      </c>
      <c r="AY3517" s="3" t="s">
        <v>33995</v>
      </c>
      <c r="AZ3517" s="3" t="s">
        <v>33996</v>
      </c>
      <c r="BA3517" s="3" t="s">
        <v>33996</v>
      </c>
      <c r="BB3517" s="3" t="s">
        <v>33997</v>
      </c>
      <c r="BC3517" s="3" t="s">
        <v>102</v>
      </c>
      <c r="BD3517" s="3" t="s">
        <v>68</v>
      </c>
      <c r="BF3517" s="3" t="s">
        <v>33997</v>
      </c>
      <c r="BG3517" s="3" t="s">
        <v>33998</v>
      </c>
    </row>
    <row r="3518" spans="1:59" ht="58" x14ac:dyDescent="0.35">
      <c r="A3518" s="2" t="s">
        <v>59</v>
      </c>
      <c r="B3518" s="2" t="s">
        <v>60</v>
      </c>
      <c r="C3518" s="2" t="s">
        <v>33999</v>
      </c>
      <c r="D3518" s="2" t="s">
        <v>34000</v>
      </c>
      <c r="E3518" s="2" t="s">
        <v>34001</v>
      </c>
      <c r="G3518" s="3" t="s">
        <v>62</v>
      </c>
      <c r="I3518" s="3" t="s">
        <v>62</v>
      </c>
      <c r="J3518" s="3" t="s">
        <v>62</v>
      </c>
      <c r="K3518" s="3" t="s">
        <v>63</v>
      </c>
      <c r="L3518" s="2" t="s">
        <v>34002</v>
      </c>
      <c r="M3518" s="2" t="s">
        <v>34003</v>
      </c>
      <c r="N3518" s="3" t="s">
        <v>466</v>
      </c>
      <c r="P3518" s="3" t="s">
        <v>64</v>
      </c>
      <c r="Q3518" s="2" t="s">
        <v>34004</v>
      </c>
      <c r="R3518" s="3" t="s">
        <v>32962</v>
      </c>
      <c r="S3518" s="4">
        <v>6</v>
      </c>
      <c r="T3518" s="4">
        <v>6</v>
      </c>
      <c r="U3518" s="5" t="s">
        <v>3717</v>
      </c>
      <c r="V3518" s="5" t="s">
        <v>3717</v>
      </c>
      <c r="W3518" s="5" t="s">
        <v>67</v>
      </c>
      <c r="X3518" s="5" t="s">
        <v>67</v>
      </c>
      <c r="Y3518" s="4">
        <v>24</v>
      </c>
      <c r="Z3518" s="4">
        <v>1</v>
      </c>
      <c r="AA3518" s="4">
        <v>1</v>
      </c>
      <c r="AB3518" s="4">
        <v>1</v>
      </c>
      <c r="AC3518" s="4">
        <v>1</v>
      </c>
      <c r="AD3518" s="4">
        <v>9</v>
      </c>
      <c r="AE3518" s="4">
        <v>9</v>
      </c>
      <c r="AF3518" s="4">
        <v>0</v>
      </c>
      <c r="AG3518" s="4">
        <v>0</v>
      </c>
      <c r="AH3518" s="4">
        <v>9</v>
      </c>
      <c r="AI3518" s="4">
        <v>9</v>
      </c>
      <c r="AJ3518" s="4">
        <v>0</v>
      </c>
      <c r="AK3518" s="4">
        <v>0</v>
      </c>
      <c r="AL3518" s="4">
        <v>8</v>
      </c>
      <c r="AM3518" s="4">
        <v>8</v>
      </c>
      <c r="AN3518" s="4">
        <v>0</v>
      </c>
      <c r="AO3518" s="4">
        <v>0</v>
      </c>
      <c r="AP3518" s="4">
        <v>0</v>
      </c>
      <c r="AQ3518" s="4">
        <v>0</v>
      </c>
      <c r="AR3518" s="3" t="s">
        <v>62</v>
      </c>
      <c r="AS3518" s="3" t="s">
        <v>62</v>
      </c>
      <c r="AT3518" s="3" t="s">
        <v>62</v>
      </c>
      <c r="AV3518" s="6" t="str">
        <f>HYPERLINK("http://mcgill.on.worldcat.org/oclc/27252646","Catalog Record")</f>
        <v>Catalog Record</v>
      </c>
      <c r="AW3518" s="6" t="str">
        <f>HYPERLINK("http://www.worldcat.org/oclc/27252646","WorldCat Record")</f>
        <v>WorldCat Record</v>
      </c>
      <c r="AX3518" s="3" t="s">
        <v>34005</v>
      </c>
      <c r="AY3518" s="3" t="s">
        <v>34006</v>
      </c>
      <c r="AZ3518" s="3" t="s">
        <v>34007</v>
      </c>
      <c r="BA3518" s="3" t="s">
        <v>34007</v>
      </c>
      <c r="BB3518" s="3" t="s">
        <v>34008</v>
      </c>
      <c r="BC3518" s="3" t="s">
        <v>102</v>
      </c>
      <c r="BD3518" s="3" t="s">
        <v>68</v>
      </c>
      <c r="BE3518" s="3" t="s">
        <v>34009</v>
      </c>
      <c r="BF3518" s="3" t="s">
        <v>34008</v>
      </c>
      <c r="BG3518" s="3" t="s">
        <v>34010</v>
      </c>
    </row>
    <row r="3519" spans="1:59" ht="58" x14ac:dyDescent="0.35">
      <c r="A3519" s="2" t="s">
        <v>89</v>
      </c>
      <c r="B3519" s="2" t="s">
        <v>90</v>
      </c>
      <c r="C3519" s="2" t="s">
        <v>34011</v>
      </c>
      <c r="D3519" s="2" t="s">
        <v>34012</v>
      </c>
      <c r="E3519" s="2" t="s">
        <v>34013</v>
      </c>
      <c r="G3519" s="3" t="s">
        <v>62</v>
      </c>
      <c r="I3519" s="3" t="s">
        <v>62</v>
      </c>
      <c r="J3519" s="3" t="s">
        <v>62</v>
      </c>
      <c r="K3519" s="3" t="s">
        <v>63</v>
      </c>
      <c r="L3519" s="2" t="s">
        <v>34014</v>
      </c>
      <c r="M3519" s="2" t="s">
        <v>34015</v>
      </c>
      <c r="N3519" s="3" t="s">
        <v>1455</v>
      </c>
      <c r="P3519" s="3" t="s">
        <v>64</v>
      </c>
      <c r="Q3519" s="2" t="s">
        <v>34016</v>
      </c>
      <c r="R3519" s="3" t="s">
        <v>32962</v>
      </c>
      <c r="S3519" s="4">
        <v>0</v>
      </c>
      <c r="T3519" s="4">
        <v>0</v>
      </c>
      <c r="W3519" s="5" t="s">
        <v>67</v>
      </c>
      <c r="X3519" s="5" t="s">
        <v>67</v>
      </c>
      <c r="Y3519" s="4">
        <v>107</v>
      </c>
      <c r="Z3519" s="4">
        <v>7</v>
      </c>
      <c r="AA3519" s="4">
        <v>7</v>
      </c>
      <c r="AB3519" s="4">
        <v>1</v>
      </c>
      <c r="AC3519" s="4">
        <v>1</v>
      </c>
      <c r="AD3519" s="4">
        <v>56</v>
      </c>
      <c r="AE3519" s="4">
        <v>56</v>
      </c>
      <c r="AF3519" s="4">
        <v>0</v>
      </c>
      <c r="AG3519" s="4">
        <v>0</v>
      </c>
      <c r="AH3519" s="4">
        <v>51</v>
      </c>
      <c r="AI3519" s="4">
        <v>51</v>
      </c>
      <c r="AJ3519" s="4">
        <v>6</v>
      </c>
      <c r="AK3519" s="4">
        <v>6</v>
      </c>
      <c r="AL3519" s="4">
        <v>32</v>
      </c>
      <c r="AM3519" s="4">
        <v>32</v>
      </c>
      <c r="AN3519" s="4">
        <v>0</v>
      </c>
      <c r="AO3519" s="4">
        <v>0</v>
      </c>
      <c r="AP3519" s="4">
        <v>6</v>
      </c>
      <c r="AQ3519" s="4">
        <v>6</v>
      </c>
      <c r="AR3519" s="3" t="s">
        <v>62</v>
      </c>
      <c r="AS3519" s="3" t="s">
        <v>62</v>
      </c>
      <c r="AT3519" s="3" t="s">
        <v>62</v>
      </c>
      <c r="AV3519" s="6" t="str">
        <f>HYPERLINK("http://mcgill.on.worldcat.org/oclc/906027956","Catalog Record")</f>
        <v>Catalog Record</v>
      </c>
      <c r="AW3519" s="6" t="str">
        <f>HYPERLINK("http://www.worldcat.org/oclc/906027956","WorldCat Record")</f>
        <v>WorldCat Record</v>
      </c>
      <c r="AX3519" s="3" t="s">
        <v>34017</v>
      </c>
      <c r="AY3519" s="3" t="s">
        <v>34018</v>
      </c>
      <c r="AZ3519" s="3" t="s">
        <v>34019</v>
      </c>
      <c r="BA3519" s="3" t="s">
        <v>34019</v>
      </c>
      <c r="BB3519" s="3" t="s">
        <v>34020</v>
      </c>
      <c r="BC3519" s="3" t="s">
        <v>102</v>
      </c>
      <c r="BD3519" s="3" t="s">
        <v>68</v>
      </c>
      <c r="BE3519" s="3" t="s">
        <v>34021</v>
      </c>
      <c r="BF3519" s="3" t="s">
        <v>34020</v>
      </c>
      <c r="BG3519" s="3" t="s">
        <v>34022</v>
      </c>
    </row>
    <row r="3520" spans="1:59" ht="58" x14ac:dyDescent="0.35">
      <c r="A3520" s="2" t="s">
        <v>59</v>
      </c>
      <c r="B3520" s="2" t="s">
        <v>60</v>
      </c>
      <c r="C3520" s="2" t="s">
        <v>34023</v>
      </c>
      <c r="D3520" s="2" t="s">
        <v>34024</v>
      </c>
      <c r="E3520" s="2" t="s">
        <v>34025</v>
      </c>
      <c r="G3520" s="3" t="s">
        <v>62</v>
      </c>
      <c r="I3520" s="3" t="s">
        <v>62</v>
      </c>
      <c r="J3520" s="3" t="s">
        <v>62</v>
      </c>
      <c r="K3520" s="3" t="s">
        <v>63</v>
      </c>
      <c r="L3520" s="2" t="s">
        <v>34026</v>
      </c>
      <c r="M3520" s="2" t="s">
        <v>34027</v>
      </c>
      <c r="N3520" s="3" t="s">
        <v>87</v>
      </c>
      <c r="P3520" s="3" t="s">
        <v>64</v>
      </c>
      <c r="R3520" s="3" t="s">
        <v>32962</v>
      </c>
      <c r="S3520" s="4">
        <v>7</v>
      </c>
      <c r="T3520" s="4">
        <v>7</v>
      </c>
      <c r="U3520" s="5" t="s">
        <v>5131</v>
      </c>
      <c r="V3520" s="5" t="s">
        <v>5131</v>
      </c>
      <c r="W3520" s="5" t="s">
        <v>67</v>
      </c>
      <c r="X3520" s="5" t="s">
        <v>67</v>
      </c>
      <c r="Y3520" s="4">
        <v>16</v>
      </c>
      <c r="Z3520" s="4">
        <v>4</v>
      </c>
      <c r="AA3520" s="4">
        <v>4</v>
      </c>
      <c r="AB3520" s="4">
        <v>1</v>
      </c>
      <c r="AC3520" s="4">
        <v>1</v>
      </c>
      <c r="AD3520" s="4">
        <v>8</v>
      </c>
      <c r="AE3520" s="4">
        <v>8</v>
      </c>
      <c r="AF3520" s="4">
        <v>0</v>
      </c>
      <c r="AG3520" s="4">
        <v>0</v>
      </c>
      <c r="AH3520" s="4">
        <v>6</v>
      </c>
      <c r="AI3520" s="4">
        <v>6</v>
      </c>
      <c r="AJ3520" s="4">
        <v>2</v>
      </c>
      <c r="AK3520" s="4">
        <v>2</v>
      </c>
      <c r="AL3520" s="4">
        <v>3</v>
      </c>
      <c r="AM3520" s="4">
        <v>3</v>
      </c>
      <c r="AN3520" s="4">
        <v>0</v>
      </c>
      <c r="AO3520" s="4">
        <v>0</v>
      </c>
      <c r="AP3520" s="4">
        <v>3</v>
      </c>
      <c r="AQ3520" s="4">
        <v>3</v>
      </c>
      <c r="AR3520" s="3" t="s">
        <v>62</v>
      </c>
      <c r="AS3520" s="3" t="s">
        <v>62</v>
      </c>
      <c r="AT3520" s="3" t="s">
        <v>62</v>
      </c>
      <c r="AV3520" s="6" t="str">
        <f>HYPERLINK("http://mcgill.on.worldcat.org/oclc/237457949","Catalog Record")</f>
        <v>Catalog Record</v>
      </c>
      <c r="AW3520" s="6" t="str">
        <f>HYPERLINK("http://www.worldcat.org/oclc/237457949","WorldCat Record")</f>
        <v>WorldCat Record</v>
      </c>
      <c r="AX3520" s="3" t="s">
        <v>34028</v>
      </c>
      <c r="AY3520" s="3" t="s">
        <v>34029</v>
      </c>
      <c r="AZ3520" s="3" t="s">
        <v>34030</v>
      </c>
      <c r="BA3520" s="3" t="s">
        <v>34030</v>
      </c>
      <c r="BB3520" s="3" t="s">
        <v>34031</v>
      </c>
      <c r="BC3520" s="3" t="s">
        <v>102</v>
      </c>
      <c r="BD3520" s="3" t="s">
        <v>68</v>
      </c>
      <c r="BE3520" s="3" t="s">
        <v>34032</v>
      </c>
      <c r="BF3520" s="3" t="s">
        <v>34031</v>
      </c>
      <c r="BG3520" s="3" t="s">
        <v>34033</v>
      </c>
    </row>
    <row r="3521" spans="1:59" ht="58" x14ac:dyDescent="0.35">
      <c r="A3521" s="2" t="s">
        <v>59</v>
      </c>
      <c r="B3521" s="2" t="s">
        <v>60</v>
      </c>
      <c r="C3521" s="2" t="s">
        <v>34034</v>
      </c>
      <c r="D3521" s="2" t="s">
        <v>34035</v>
      </c>
      <c r="E3521" s="2" t="s">
        <v>34036</v>
      </c>
      <c r="G3521" s="3" t="s">
        <v>62</v>
      </c>
      <c r="I3521" s="3" t="s">
        <v>62</v>
      </c>
      <c r="J3521" s="3" t="s">
        <v>62</v>
      </c>
      <c r="K3521" s="3" t="s">
        <v>63</v>
      </c>
      <c r="L3521" s="2" t="s">
        <v>34037</v>
      </c>
      <c r="M3521" s="2" t="s">
        <v>34038</v>
      </c>
      <c r="N3521" s="3" t="s">
        <v>6048</v>
      </c>
      <c r="P3521" s="3" t="s">
        <v>64</v>
      </c>
      <c r="R3521" s="3" t="s">
        <v>32962</v>
      </c>
      <c r="S3521" s="4">
        <v>7</v>
      </c>
      <c r="T3521" s="4">
        <v>7</v>
      </c>
      <c r="U3521" s="5" t="s">
        <v>5131</v>
      </c>
      <c r="V3521" s="5" t="s">
        <v>5131</v>
      </c>
      <c r="W3521" s="5" t="s">
        <v>67</v>
      </c>
      <c r="X3521" s="5" t="s">
        <v>67</v>
      </c>
      <c r="Y3521" s="4">
        <v>171</v>
      </c>
      <c r="Z3521" s="4">
        <v>12</v>
      </c>
      <c r="AA3521" s="4">
        <v>13</v>
      </c>
      <c r="AB3521" s="4">
        <v>1</v>
      </c>
      <c r="AC3521" s="4">
        <v>2</v>
      </c>
      <c r="AD3521" s="4">
        <v>49</v>
      </c>
      <c r="AE3521" s="4">
        <v>50</v>
      </c>
      <c r="AF3521" s="4">
        <v>0</v>
      </c>
      <c r="AG3521" s="4">
        <v>1</v>
      </c>
      <c r="AH3521" s="4">
        <v>45</v>
      </c>
      <c r="AI3521" s="4">
        <v>45</v>
      </c>
      <c r="AJ3521" s="4">
        <v>6</v>
      </c>
      <c r="AK3521" s="4">
        <v>7</v>
      </c>
      <c r="AL3521" s="4">
        <v>34</v>
      </c>
      <c r="AM3521" s="4">
        <v>34</v>
      </c>
      <c r="AN3521" s="4">
        <v>0</v>
      </c>
      <c r="AO3521" s="4">
        <v>0</v>
      </c>
      <c r="AP3521" s="4">
        <v>6</v>
      </c>
      <c r="AQ3521" s="4">
        <v>7</v>
      </c>
      <c r="AR3521" s="3" t="s">
        <v>62</v>
      </c>
      <c r="AS3521" s="3" t="s">
        <v>62</v>
      </c>
      <c r="AT3521" s="3" t="s">
        <v>62</v>
      </c>
      <c r="AV3521" s="6" t="str">
        <f>HYPERLINK("http://mcgill.on.worldcat.org/oclc/1515188","Catalog Record")</f>
        <v>Catalog Record</v>
      </c>
      <c r="AW3521" s="6" t="str">
        <f>HYPERLINK("http://www.worldcat.org/oclc/1515188","WorldCat Record")</f>
        <v>WorldCat Record</v>
      </c>
      <c r="AX3521" s="3" t="s">
        <v>34039</v>
      </c>
      <c r="AY3521" s="3" t="s">
        <v>34040</v>
      </c>
      <c r="AZ3521" s="3" t="s">
        <v>34041</v>
      </c>
      <c r="BA3521" s="3" t="s">
        <v>34041</v>
      </c>
      <c r="BB3521" s="3" t="s">
        <v>34042</v>
      </c>
      <c r="BC3521" s="3" t="s">
        <v>102</v>
      </c>
      <c r="BD3521" s="3" t="s">
        <v>68</v>
      </c>
      <c r="BF3521" s="3" t="s">
        <v>34042</v>
      </c>
      <c r="BG3521" s="3" t="s">
        <v>34043</v>
      </c>
    </row>
    <row r="3522" spans="1:59" ht="58" x14ac:dyDescent="0.35">
      <c r="A3522" s="2" t="s">
        <v>59</v>
      </c>
      <c r="B3522" s="2" t="s">
        <v>60</v>
      </c>
      <c r="C3522" s="2" t="s">
        <v>34044</v>
      </c>
      <c r="D3522" s="2" t="s">
        <v>34045</v>
      </c>
      <c r="E3522" s="2" t="s">
        <v>34046</v>
      </c>
      <c r="G3522" s="3" t="s">
        <v>62</v>
      </c>
      <c r="I3522" s="3" t="s">
        <v>62</v>
      </c>
      <c r="J3522" s="3" t="s">
        <v>62</v>
      </c>
      <c r="K3522" s="3" t="s">
        <v>63</v>
      </c>
      <c r="L3522" s="2" t="s">
        <v>34047</v>
      </c>
      <c r="M3522" s="2" t="s">
        <v>34048</v>
      </c>
      <c r="N3522" s="3" t="s">
        <v>1077</v>
      </c>
      <c r="P3522" s="3" t="s">
        <v>85</v>
      </c>
      <c r="R3522" s="3" t="s">
        <v>32962</v>
      </c>
      <c r="S3522" s="4">
        <v>1</v>
      </c>
      <c r="T3522" s="4">
        <v>1</v>
      </c>
      <c r="U3522" s="5" t="s">
        <v>34049</v>
      </c>
      <c r="V3522" s="5" t="s">
        <v>34049</v>
      </c>
      <c r="W3522" s="5" t="s">
        <v>67</v>
      </c>
      <c r="X3522" s="5" t="s">
        <v>67</v>
      </c>
      <c r="Y3522" s="4">
        <v>1</v>
      </c>
      <c r="Z3522" s="4">
        <v>1</v>
      </c>
      <c r="AA3522" s="4">
        <v>1</v>
      </c>
      <c r="AB3522" s="4">
        <v>1</v>
      </c>
      <c r="AC3522" s="4">
        <v>1</v>
      </c>
      <c r="AD3522" s="4">
        <v>0</v>
      </c>
      <c r="AE3522" s="4">
        <v>0</v>
      </c>
      <c r="AF3522" s="4">
        <v>0</v>
      </c>
      <c r="AG3522" s="4">
        <v>0</v>
      </c>
      <c r="AH3522" s="4">
        <v>0</v>
      </c>
      <c r="AI3522" s="4">
        <v>0</v>
      </c>
      <c r="AJ3522" s="4">
        <v>0</v>
      </c>
      <c r="AK3522" s="4">
        <v>0</v>
      </c>
      <c r="AL3522" s="4">
        <v>0</v>
      </c>
      <c r="AM3522" s="4">
        <v>0</v>
      </c>
      <c r="AN3522" s="4">
        <v>0</v>
      </c>
      <c r="AO3522" s="4">
        <v>0</v>
      </c>
      <c r="AP3522" s="4">
        <v>0</v>
      </c>
      <c r="AQ3522" s="4">
        <v>0</v>
      </c>
      <c r="AR3522" s="3" t="s">
        <v>62</v>
      </c>
      <c r="AS3522" s="3" t="s">
        <v>62</v>
      </c>
      <c r="AT3522" s="3" t="s">
        <v>62</v>
      </c>
      <c r="AV3522" s="6" t="str">
        <f>HYPERLINK("http://mcgill.on.worldcat.org/oclc/428033974","Catalog Record")</f>
        <v>Catalog Record</v>
      </c>
      <c r="AW3522" s="6" t="str">
        <f>HYPERLINK("http://www.worldcat.org/oclc/428033974","WorldCat Record")</f>
        <v>WorldCat Record</v>
      </c>
      <c r="AX3522" s="3" t="s">
        <v>34050</v>
      </c>
      <c r="AY3522" s="3" t="s">
        <v>34051</v>
      </c>
      <c r="AZ3522" s="3" t="s">
        <v>34052</v>
      </c>
      <c r="BA3522" s="3" t="s">
        <v>34052</v>
      </c>
      <c r="BB3522" s="3" t="s">
        <v>34053</v>
      </c>
      <c r="BC3522" s="3" t="s">
        <v>102</v>
      </c>
      <c r="BD3522" s="3" t="s">
        <v>68</v>
      </c>
      <c r="BF3522" s="3" t="s">
        <v>34053</v>
      </c>
      <c r="BG3522" s="3" t="s">
        <v>34054</v>
      </c>
    </row>
    <row r="3523" spans="1:59" ht="58" x14ac:dyDescent="0.35">
      <c r="A3523" s="2" t="s">
        <v>59</v>
      </c>
      <c r="B3523" s="2" t="s">
        <v>60</v>
      </c>
      <c r="C3523" s="2" t="s">
        <v>34055</v>
      </c>
      <c r="D3523" s="2" t="s">
        <v>34056</v>
      </c>
      <c r="E3523" s="2" t="s">
        <v>34057</v>
      </c>
      <c r="G3523" s="3" t="s">
        <v>62</v>
      </c>
      <c r="I3523" s="3" t="s">
        <v>62</v>
      </c>
      <c r="J3523" s="3" t="s">
        <v>62</v>
      </c>
      <c r="K3523" s="3" t="s">
        <v>63</v>
      </c>
      <c r="L3523" s="2" t="s">
        <v>34058</v>
      </c>
      <c r="M3523" s="2" t="s">
        <v>34059</v>
      </c>
      <c r="N3523" s="3" t="s">
        <v>1482</v>
      </c>
      <c r="P3523" s="3" t="s">
        <v>64</v>
      </c>
      <c r="R3523" s="3" t="s">
        <v>32962</v>
      </c>
      <c r="S3523" s="4">
        <v>10</v>
      </c>
      <c r="T3523" s="4">
        <v>10</v>
      </c>
      <c r="U3523" s="5" t="s">
        <v>34060</v>
      </c>
      <c r="V3523" s="5" t="s">
        <v>34060</v>
      </c>
      <c r="W3523" s="5" t="s">
        <v>67</v>
      </c>
      <c r="X3523" s="5" t="s">
        <v>67</v>
      </c>
      <c r="Y3523" s="4">
        <v>84</v>
      </c>
      <c r="Z3523" s="4">
        <v>6</v>
      </c>
      <c r="AA3523" s="4">
        <v>6</v>
      </c>
      <c r="AB3523" s="4">
        <v>1</v>
      </c>
      <c r="AC3523" s="4">
        <v>1</v>
      </c>
      <c r="AD3523" s="4">
        <v>22</v>
      </c>
      <c r="AE3523" s="4">
        <v>22</v>
      </c>
      <c r="AF3523" s="4">
        <v>0</v>
      </c>
      <c r="AG3523" s="4">
        <v>0</v>
      </c>
      <c r="AH3523" s="4">
        <v>20</v>
      </c>
      <c r="AI3523" s="4">
        <v>20</v>
      </c>
      <c r="AJ3523" s="4">
        <v>1</v>
      </c>
      <c r="AK3523" s="4">
        <v>1</v>
      </c>
      <c r="AL3523" s="4">
        <v>14</v>
      </c>
      <c r="AM3523" s="4">
        <v>14</v>
      </c>
      <c r="AN3523" s="4">
        <v>0</v>
      </c>
      <c r="AO3523" s="4">
        <v>0</v>
      </c>
      <c r="AP3523" s="4">
        <v>2</v>
      </c>
      <c r="AQ3523" s="4">
        <v>2</v>
      </c>
      <c r="AR3523" s="3" t="s">
        <v>62</v>
      </c>
      <c r="AS3523" s="3" t="s">
        <v>62</v>
      </c>
      <c r="AT3523" s="3" t="s">
        <v>62</v>
      </c>
      <c r="AV3523" s="6" t="str">
        <f>HYPERLINK("http://mcgill.on.worldcat.org/oclc/17768215","Catalog Record")</f>
        <v>Catalog Record</v>
      </c>
      <c r="AW3523" s="6" t="str">
        <f>HYPERLINK("http://www.worldcat.org/oclc/17768215","WorldCat Record")</f>
        <v>WorldCat Record</v>
      </c>
      <c r="AX3523" s="3" t="s">
        <v>34061</v>
      </c>
      <c r="AY3523" s="3" t="s">
        <v>34062</v>
      </c>
      <c r="AZ3523" s="3" t="s">
        <v>34063</v>
      </c>
      <c r="BA3523" s="3" t="s">
        <v>34063</v>
      </c>
      <c r="BB3523" s="3" t="s">
        <v>34064</v>
      </c>
      <c r="BC3523" s="3" t="s">
        <v>102</v>
      </c>
      <c r="BD3523" s="3" t="s">
        <v>68</v>
      </c>
      <c r="BE3523" s="3" t="s">
        <v>34065</v>
      </c>
      <c r="BF3523" s="3" t="s">
        <v>34064</v>
      </c>
      <c r="BG3523" s="3" t="s">
        <v>34066</v>
      </c>
    </row>
    <row r="3524" spans="1:59" ht="58" x14ac:dyDescent="0.35">
      <c r="A3524" s="2" t="s">
        <v>59</v>
      </c>
      <c r="B3524" s="2" t="s">
        <v>60</v>
      </c>
      <c r="C3524" s="2" t="s">
        <v>34067</v>
      </c>
      <c r="D3524" s="2" t="s">
        <v>34068</v>
      </c>
      <c r="E3524" s="2" t="s">
        <v>34069</v>
      </c>
      <c r="G3524" s="3" t="s">
        <v>62</v>
      </c>
      <c r="I3524" s="3" t="s">
        <v>62</v>
      </c>
      <c r="J3524" s="3" t="s">
        <v>62</v>
      </c>
      <c r="K3524" s="3" t="s">
        <v>63</v>
      </c>
      <c r="L3524" s="2" t="s">
        <v>34070</v>
      </c>
      <c r="M3524" s="2" t="s">
        <v>34071</v>
      </c>
      <c r="N3524" s="3" t="s">
        <v>640</v>
      </c>
      <c r="P3524" s="3" t="s">
        <v>64</v>
      </c>
      <c r="R3524" s="3" t="s">
        <v>32962</v>
      </c>
      <c r="S3524" s="4">
        <v>4</v>
      </c>
      <c r="T3524" s="4">
        <v>4</v>
      </c>
      <c r="U3524" s="5" t="s">
        <v>10262</v>
      </c>
      <c r="V3524" s="5" t="s">
        <v>10262</v>
      </c>
      <c r="W3524" s="5" t="s">
        <v>67</v>
      </c>
      <c r="X3524" s="5" t="s">
        <v>67</v>
      </c>
      <c r="Y3524" s="4">
        <v>588</v>
      </c>
      <c r="Z3524" s="4">
        <v>42</v>
      </c>
      <c r="AA3524" s="4">
        <v>114</v>
      </c>
      <c r="AB3524" s="4">
        <v>3</v>
      </c>
      <c r="AC3524" s="4">
        <v>19</v>
      </c>
      <c r="AD3524" s="4">
        <v>114</v>
      </c>
      <c r="AE3524" s="4">
        <v>150</v>
      </c>
      <c r="AF3524" s="4">
        <v>1</v>
      </c>
      <c r="AG3524" s="4">
        <v>8</v>
      </c>
      <c r="AH3524" s="4">
        <v>95</v>
      </c>
      <c r="AI3524" s="4">
        <v>109</v>
      </c>
      <c r="AJ3524" s="4">
        <v>18</v>
      </c>
      <c r="AK3524" s="4">
        <v>25</v>
      </c>
      <c r="AL3524" s="4">
        <v>46</v>
      </c>
      <c r="AM3524" s="4">
        <v>53</v>
      </c>
      <c r="AN3524" s="4">
        <v>0</v>
      </c>
      <c r="AO3524" s="4">
        <v>0</v>
      </c>
      <c r="AP3524" s="4">
        <v>30</v>
      </c>
      <c r="AQ3524" s="4">
        <v>50</v>
      </c>
      <c r="AR3524" s="3" t="s">
        <v>62</v>
      </c>
      <c r="AS3524" s="3" t="s">
        <v>62</v>
      </c>
      <c r="AT3524" s="3" t="s">
        <v>62</v>
      </c>
      <c r="AV3524" s="6" t="str">
        <f>HYPERLINK("http://mcgill.on.worldcat.org/oclc/55535025","Catalog Record")</f>
        <v>Catalog Record</v>
      </c>
      <c r="AW3524" s="6" t="str">
        <f>HYPERLINK("http://www.worldcat.org/oclc/55535025","WorldCat Record")</f>
        <v>WorldCat Record</v>
      </c>
      <c r="AX3524" s="3" t="s">
        <v>34072</v>
      </c>
      <c r="AY3524" s="3" t="s">
        <v>34073</v>
      </c>
      <c r="AZ3524" s="3" t="s">
        <v>34074</v>
      </c>
      <c r="BA3524" s="3" t="s">
        <v>34074</v>
      </c>
      <c r="BB3524" s="3" t="s">
        <v>34075</v>
      </c>
      <c r="BC3524" s="3" t="s">
        <v>102</v>
      </c>
      <c r="BD3524" s="3" t="s">
        <v>68</v>
      </c>
      <c r="BE3524" s="3" t="s">
        <v>34076</v>
      </c>
      <c r="BF3524" s="3" t="s">
        <v>34075</v>
      </c>
      <c r="BG3524" s="3" t="s">
        <v>34077</v>
      </c>
    </row>
    <row r="3525" spans="1:59" ht="58" x14ac:dyDescent="0.35">
      <c r="A3525" s="2" t="s">
        <v>59</v>
      </c>
      <c r="B3525" s="2" t="s">
        <v>60</v>
      </c>
      <c r="C3525" s="2" t="s">
        <v>34078</v>
      </c>
      <c r="D3525" s="2" t="s">
        <v>34079</v>
      </c>
      <c r="E3525" s="2" t="s">
        <v>34080</v>
      </c>
      <c r="G3525" s="3" t="s">
        <v>62</v>
      </c>
      <c r="I3525" s="3" t="s">
        <v>62</v>
      </c>
      <c r="J3525" s="3" t="s">
        <v>62</v>
      </c>
      <c r="K3525" s="3" t="s">
        <v>63</v>
      </c>
      <c r="M3525" s="2" t="s">
        <v>34081</v>
      </c>
      <c r="N3525" s="3" t="s">
        <v>596</v>
      </c>
      <c r="P3525" s="3" t="s">
        <v>64</v>
      </c>
      <c r="R3525" s="3" t="s">
        <v>32962</v>
      </c>
      <c r="S3525" s="4">
        <v>1</v>
      </c>
      <c r="T3525" s="4">
        <v>1</v>
      </c>
      <c r="U3525" s="5" t="s">
        <v>4246</v>
      </c>
      <c r="V3525" s="5" t="s">
        <v>4246</v>
      </c>
      <c r="W3525" s="5" t="s">
        <v>67</v>
      </c>
      <c r="X3525" s="5" t="s">
        <v>67</v>
      </c>
      <c r="Y3525" s="4">
        <v>206</v>
      </c>
      <c r="Z3525" s="4">
        <v>14</v>
      </c>
      <c r="AA3525" s="4">
        <v>14</v>
      </c>
      <c r="AB3525" s="4">
        <v>1</v>
      </c>
      <c r="AC3525" s="4">
        <v>1</v>
      </c>
      <c r="AD3525" s="4">
        <v>72</v>
      </c>
      <c r="AE3525" s="4">
        <v>72</v>
      </c>
      <c r="AF3525" s="4">
        <v>0</v>
      </c>
      <c r="AG3525" s="4">
        <v>0</v>
      </c>
      <c r="AH3525" s="4">
        <v>70</v>
      </c>
      <c r="AI3525" s="4">
        <v>70</v>
      </c>
      <c r="AJ3525" s="4">
        <v>6</v>
      </c>
      <c r="AK3525" s="4">
        <v>6</v>
      </c>
      <c r="AL3525" s="4">
        <v>34</v>
      </c>
      <c r="AM3525" s="4">
        <v>34</v>
      </c>
      <c r="AN3525" s="4">
        <v>0</v>
      </c>
      <c r="AO3525" s="4">
        <v>0</v>
      </c>
      <c r="AP3525" s="4">
        <v>7</v>
      </c>
      <c r="AQ3525" s="4">
        <v>7</v>
      </c>
      <c r="AR3525" s="3" t="s">
        <v>62</v>
      </c>
      <c r="AS3525" s="3" t="s">
        <v>62</v>
      </c>
      <c r="AT3525" s="3" t="s">
        <v>62</v>
      </c>
      <c r="AV3525" s="6" t="str">
        <f>HYPERLINK("http://mcgill.on.worldcat.org/oclc/49860159","Catalog Record")</f>
        <v>Catalog Record</v>
      </c>
      <c r="AW3525" s="6" t="str">
        <f>HYPERLINK("http://www.worldcat.org/oclc/49860159","WorldCat Record")</f>
        <v>WorldCat Record</v>
      </c>
      <c r="AX3525" s="3" t="s">
        <v>34082</v>
      </c>
      <c r="AY3525" s="3" t="s">
        <v>34083</v>
      </c>
      <c r="AZ3525" s="3" t="s">
        <v>34084</v>
      </c>
      <c r="BA3525" s="3" t="s">
        <v>34084</v>
      </c>
      <c r="BB3525" s="3" t="s">
        <v>34085</v>
      </c>
      <c r="BC3525" s="3" t="s">
        <v>102</v>
      </c>
      <c r="BD3525" s="3" t="s">
        <v>68</v>
      </c>
      <c r="BE3525" s="3" t="s">
        <v>34086</v>
      </c>
      <c r="BF3525" s="3" t="s">
        <v>34085</v>
      </c>
      <c r="BG3525" s="3" t="s">
        <v>34087</v>
      </c>
    </row>
    <row r="3526" spans="1:59" ht="58" x14ac:dyDescent="0.35">
      <c r="A3526" s="2" t="s">
        <v>89</v>
      </c>
      <c r="B3526" s="2" t="s">
        <v>90</v>
      </c>
      <c r="C3526" s="2" t="s">
        <v>34088</v>
      </c>
      <c r="D3526" s="2" t="s">
        <v>34089</v>
      </c>
      <c r="E3526" s="2" t="s">
        <v>34090</v>
      </c>
      <c r="G3526" s="3" t="s">
        <v>62</v>
      </c>
      <c r="I3526" s="3" t="s">
        <v>62</v>
      </c>
      <c r="J3526" s="3" t="s">
        <v>62</v>
      </c>
      <c r="K3526" s="3" t="s">
        <v>63</v>
      </c>
      <c r="L3526" s="2" t="s">
        <v>34091</v>
      </c>
      <c r="M3526" s="2" t="s">
        <v>30557</v>
      </c>
      <c r="N3526" s="3" t="s">
        <v>880</v>
      </c>
      <c r="P3526" s="3" t="s">
        <v>64</v>
      </c>
      <c r="Q3526" s="2" t="s">
        <v>34092</v>
      </c>
      <c r="R3526" s="3" t="s">
        <v>32962</v>
      </c>
      <c r="S3526" s="4">
        <v>0</v>
      </c>
      <c r="T3526" s="4">
        <v>0</v>
      </c>
      <c r="W3526" s="5" t="s">
        <v>67</v>
      </c>
      <c r="X3526" s="5" t="s">
        <v>67</v>
      </c>
      <c r="Y3526" s="4">
        <v>135</v>
      </c>
      <c r="Z3526" s="4">
        <v>9</v>
      </c>
      <c r="AA3526" s="4">
        <v>9</v>
      </c>
      <c r="AB3526" s="4">
        <v>1</v>
      </c>
      <c r="AC3526" s="4">
        <v>1</v>
      </c>
      <c r="AD3526" s="4">
        <v>66</v>
      </c>
      <c r="AE3526" s="4">
        <v>67</v>
      </c>
      <c r="AF3526" s="4">
        <v>0</v>
      </c>
      <c r="AG3526" s="4">
        <v>0</v>
      </c>
      <c r="AH3526" s="4">
        <v>61</v>
      </c>
      <c r="AI3526" s="4">
        <v>62</v>
      </c>
      <c r="AJ3526" s="4">
        <v>7</v>
      </c>
      <c r="AK3526" s="4">
        <v>7</v>
      </c>
      <c r="AL3526" s="4">
        <v>36</v>
      </c>
      <c r="AM3526" s="4">
        <v>36</v>
      </c>
      <c r="AN3526" s="4">
        <v>0</v>
      </c>
      <c r="AO3526" s="4">
        <v>0</v>
      </c>
      <c r="AP3526" s="4">
        <v>8</v>
      </c>
      <c r="AQ3526" s="4">
        <v>8</v>
      </c>
      <c r="AR3526" s="3" t="s">
        <v>62</v>
      </c>
      <c r="AS3526" s="3" t="s">
        <v>62</v>
      </c>
      <c r="AT3526" s="3" t="s">
        <v>62</v>
      </c>
      <c r="AV3526" s="6" t="str">
        <f>HYPERLINK("http://mcgill.on.worldcat.org/oclc/649077589","Catalog Record")</f>
        <v>Catalog Record</v>
      </c>
      <c r="AW3526" s="6" t="str">
        <f>HYPERLINK("http://www.worldcat.org/oclc/649077589","WorldCat Record")</f>
        <v>WorldCat Record</v>
      </c>
      <c r="AX3526" s="3" t="s">
        <v>34093</v>
      </c>
      <c r="AY3526" s="3" t="s">
        <v>34094</v>
      </c>
      <c r="AZ3526" s="3" t="s">
        <v>34095</v>
      </c>
      <c r="BA3526" s="3" t="s">
        <v>34095</v>
      </c>
      <c r="BB3526" s="3" t="s">
        <v>34096</v>
      </c>
      <c r="BC3526" s="3" t="s">
        <v>102</v>
      </c>
      <c r="BD3526" s="3" t="s">
        <v>68</v>
      </c>
      <c r="BE3526" s="3" t="s">
        <v>34097</v>
      </c>
      <c r="BF3526" s="3" t="s">
        <v>34096</v>
      </c>
      <c r="BG3526" s="3" t="s">
        <v>34098</v>
      </c>
    </row>
    <row r="3527" spans="1:59" ht="116" x14ac:dyDescent="0.35">
      <c r="A3527" s="2" t="s">
        <v>59</v>
      </c>
      <c r="B3527" s="2" t="s">
        <v>60</v>
      </c>
      <c r="C3527" s="2" t="s">
        <v>34099</v>
      </c>
      <c r="D3527" s="2" t="s">
        <v>34100</v>
      </c>
      <c r="E3527" s="2" t="s">
        <v>34101</v>
      </c>
      <c r="G3527" s="3" t="s">
        <v>62</v>
      </c>
      <c r="I3527" s="3" t="s">
        <v>62</v>
      </c>
      <c r="J3527" s="3" t="s">
        <v>62</v>
      </c>
      <c r="K3527" s="3" t="s">
        <v>63</v>
      </c>
      <c r="M3527" s="2" t="s">
        <v>34102</v>
      </c>
      <c r="N3527" s="3" t="s">
        <v>355</v>
      </c>
      <c r="P3527" s="3" t="s">
        <v>64</v>
      </c>
      <c r="Q3527" s="2" t="s">
        <v>34103</v>
      </c>
      <c r="R3527" s="3" t="s">
        <v>32962</v>
      </c>
      <c r="S3527" s="4">
        <v>5</v>
      </c>
      <c r="T3527" s="4">
        <v>5</v>
      </c>
      <c r="U3527" s="5" t="s">
        <v>9622</v>
      </c>
      <c r="V3527" s="5" t="s">
        <v>9622</v>
      </c>
      <c r="W3527" s="5" t="s">
        <v>67</v>
      </c>
      <c r="X3527" s="5" t="s">
        <v>67</v>
      </c>
      <c r="Y3527" s="4">
        <v>194</v>
      </c>
      <c r="Z3527" s="4">
        <v>15</v>
      </c>
      <c r="AA3527" s="4">
        <v>19</v>
      </c>
      <c r="AB3527" s="4">
        <v>1</v>
      </c>
      <c r="AC3527" s="4">
        <v>2</v>
      </c>
      <c r="AD3527" s="4">
        <v>89</v>
      </c>
      <c r="AE3527" s="4">
        <v>93</v>
      </c>
      <c r="AF3527" s="4">
        <v>0</v>
      </c>
      <c r="AG3527" s="4">
        <v>1</v>
      </c>
      <c r="AH3527" s="4">
        <v>79</v>
      </c>
      <c r="AI3527" s="4">
        <v>82</v>
      </c>
      <c r="AJ3527" s="4">
        <v>12</v>
      </c>
      <c r="AK3527" s="4">
        <v>13</v>
      </c>
      <c r="AL3527" s="4">
        <v>45</v>
      </c>
      <c r="AM3527" s="4">
        <v>47</v>
      </c>
      <c r="AN3527" s="4">
        <v>0</v>
      </c>
      <c r="AO3527" s="4">
        <v>0</v>
      </c>
      <c r="AP3527" s="4">
        <v>12</v>
      </c>
      <c r="AQ3527" s="4">
        <v>15</v>
      </c>
      <c r="AR3527" s="3" t="s">
        <v>62</v>
      </c>
      <c r="AS3527" s="3" t="s">
        <v>62</v>
      </c>
      <c r="AT3527" s="3" t="s">
        <v>61</v>
      </c>
      <c r="AU3527" s="6" t="str">
        <f>HYPERLINK("http://catalog.hathitrust.org/Record/000569253","HathiTrust Record")</f>
        <v>HathiTrust Record</v>
      </c>
      <c r="AV3527" s="6" t="str">
        <f>HYPERLINK("http://mcgill.on.worldcat.org/oclc/9830252","Catalog Record")</f>
        <v>Catalog Record</v>
      </c>
      <c r="AW3527" s="6" t="str">
        <f>HYPERLINK("http://www.worldcat.org/oclc/9830252","WorldCat Record")</f>
        <v>WorldCat Record</v>
      </c>
      <c r="AX3527" s="3" t="s">
        <v>34104</v>
      </c>
      <c r="AY3527" s="3" t="s">
        <v>34105</v>
      </c>
      <c r="AZ3527" s="3" t="s">
        <v>34106</v>
      </c>
      <c r="BA3527" s="3" t="s">
        <v>34106</v>
      </c>
      <c r="BB3527" s="3" t="s">
        <v>34107</v>
      </c>
      <c r="BC3527" s="3" t="s">
        <v>102</v>
      </c>
      <c r="BD3527" s="3" t="s">
        <v>68</v>
      </c>
      <c r="BE3527" s="3" t="s">
        <v>34108</v>
      </c>
      <c r="BF3527" s="3" t="s">
        <v>34107</v>
      </c>
      <c r="BG3527" s="3" t="s">
        <v>34109</v>
      </c>
    </row>
    <row r="3528" spans="1:59" ht="58" x14ac:dyDescent="0.35">
      <c r="A3528" s="2" t="s">
        <v>59</v>
      </c>
      <c r="B3528" s="2" t="s">
        <v>60</v>
      </c>
      <c r="C3528" s="2" t="s">
        <v>34110</v>
      </c>
      <c r="D3528" s="2" t="s">
        <v>34111</v>
      </c>
      <c r="E3528" s="2" t="s">
        <v>34112</v>
      </c>
      <c r="G3528" s="3" t="s">
        <v>62</v>
      </c>
      <c r="I3528" s="3" t="s">
        <v>62</v>
      </c>
      <c r="J3528" s="3" t="s">
        <v>62</v>
      </c>
      <c r="K3528" s="3" t="s">
        <v>63</v>
      </c>
      <c r="M3528" s="2" t="s">
        <v>34113</v>
      </c>
      <c r="N3528" s="3" t="s">
        <v>396</v>
      </c>
      <c r="P3528" s="3" t="s">
        <v>64</v>
      </c>
      <c r="R3528" s="3" t="s">
        <v>32962</v>
      </c>
      <c r="S3528" s="4">
        <v>4</v>
      </c>
      <c r="T3528" s="4">
        <v>4</v>
      </c>
      <c r="U3528" s="5" t="s">
        <v>34114</v>
      </c>
      <c r="V3528" s="5" t="s">
        <v>34114</v>
      </c>
      <c r="W3528" s="5" t="s">
        <v>67</v>
      </c>
      <c r="X3528" s="5" t="s">
        <v>67</v>
      </c>
      <c r="Y3528" s="4">
        <v>248</v>
      </c>
      <c r="Z3528" s="4">
        <v>20</v>
      </c>
      <c r="AA3528" s="4">
        <v>22</v>
      </c>
      <c r="AB3528" s="4">
        <v>1</v>
      </c>
      <c r="AC3528" s="4">
        <v>2</v>
      </c>
      <c r="AD3528" s="4">
        <v>92</v>
      </c>
      <c r="AE3528" s="4">
        <v>96</v>
      </c>
      <c r="AF3528" s="4">
        <v>0</v>
      </c>
      <c r="AG3528" s="4">
        <v>0</v>
      </c>
      <c r="AH3528" s="4">
        <v>84</v>
      </c>
      <c r="AI3528" s="4">
        <v>87</v>
      </c>
      <c r="AJ3528" s="4">
        <v>12</v>
      </c>
      <c r="AK3528" s="4">
        <v>12</v>
      </c>
      <c r="AL3528" s="4">
        <v>45</v>
      </c>
      <c r="AM3528" s="4">
        <v>47</v>
      </c>
      <c r="AN3528" s="4">
        <v>0</v>
      </c>
      <c r="AO3528" s="4">
        <v>0</v>
      </c>
      <c r="AP3528" s="4">
        <v>14</v>
      </c>
      <c r="AQ3528" s="4">
        <v>15</v>
      </c>
      <c r="AR3528" s="3" t="s">
        <v>62</v>
      </c>
      <c r="AS3528" s="3" t="s">
        <v>62</v>
      </c>
      <c r="AT3528" s="3" t="s">
        <v>61</v>
      </c>
      <c r="AU3528" s="6" t="str">
        <f>HYPERLINK("http://catalog.hathitrust.org/Record/000374716","HathiTrust Record")</f>
        <v>HathiTrust Record</v>
      </c>
      <c r="AV3528" s="6" t="str">
        <f>HYPERLINK("http://mcgill.on.worldcat.org/oclc/11970369","Catalog Record")</f>
        <v>Catalog Record</v>
      </c>
      <c r="AW3528" s="6" t="str">
        <f>HYPERLINK("http://www.worldcat.org/oclc/11970369","WorldCat Record")</f>
        <v>WorldCat Record</v>
      </c>
      <c r="AX3528" s="3" t="s">
        <v>34115</v>
      </c>
      <c r="AY3528" s="3" t="s">
        <v>34116</v>
      </c>
      <c r="AZ3528" s="3" t="s">
        <v>34117</v>
      </c>
      <c r="BA3528" s="3" t="s">
        <v>34117</v>
      </c>
      <c r="BB3528" s="3" t="s">
        <v>34118</v>
      </c>
      <c r="BC3528" s="3" t="s">
        <v>102</v>
      </c>
      <c r="BD3528" s="3" t="s">
        <v>68</v>
      </c>
      <c r="BE3528" s="3" t="s">
        <v>34119</v>
      </c>
      <c r="BF3528" s="3" t="s">
        <v>34118</v>
      </c>
      <c r="BG3528" s="3" t="s">
        <v>34120</v>
      </c>
    </row>
    <row r="3529" spans="1:59" ht="72.5" x14ac:dyDescent="0.35">
      <c r="A3529" s="2" t="s">
        <v>89</v>
      </c>
      <c r="B3529" s="2" t="s">
        <v>90</v>
      </c>
      <c r="C3529" s="2" t="s">
        <v>34121</v>
      </c>
      <c r="D3529" s="2" t="s">
        <v>34122</v>
      </c>
      <c r="E3529" s="2" t="s">
        <v>34123</v>
      </c>
      <c r="F3529" s="3" t="s">
        <v>1416</v>
      </c>
      <c r="G3529" s="3" t="s">
        <v>61</v>
      </c>
      <c r="I3529" s="3" t="s">
        <v>61</v>
      </c>
      <c r="J3529" s="3" t="s">
        <v>62</v>
      </c>
      <c r="K3529" s="3" t="s">
        <v>63</v>
      </c>
      <c r="L3529" s="2" t="s">
        <v>33284</v>
      </c>
      <c r="M3529" s="2" t="s">
        <v>34124</v>
      </c>
      <c r="N3529" s="3" t="s">
        <v>7359</v>
      </c>
      <c r="P3529" s="3" t="s">
        <v>64</v>
      </c>
      <c r="Q3529" s="2" t="s">
        <v>34125</v>
      </c>
      <c r="R3529" s="3" t="s">
        <v>34126</v>
      </c>
      <c r="S3529" s="4">
        <v>11</v>
      </c>
      <c r="T3529" s="4">
        <v>19</v>
      </c>
      <c r="U3529" s="5" t="s">
        <v>22190</v>
      </c>
      <c r="V3529" s="5" t="s">
        <v>22190</v>
      </c>
      <c r="W3529" s="5" t="s">
        <v>67</v>
      </c>
      <c r="X3529" s="5" t="s">
        <v>67</v>
      </c>
      <c r="Y3529" s="4">
        <v>107</v>
      </c>
      <c r="Z3529" s="4">
        <v>22</v>
      </c>
      <c r="AA3529" s="4">
        <v>33</v>
      </c>
      <c r="AB3529" s="4">
        <v>3</v>
      </c>
      <c r="AC3529" s="4">
        <v>3</v>
      </c>
      <c r="AD3529" s="4">
        <v>31</v>
      </c>
      <c r="AE3529" s="4">
        <v>33</v>
      </c>
      <c r="AF3529" s="4">
        <v>1</v>
      </c>
      <c r="AG3529" s="4">
        <v>1</v>
      </c>
      <c r="AH3529" s="4">
        <v>24</v>
      </c>
      <c r="AI3529" s="4">
        <v>24</v>
      </c>
      <c r="AJ3529" s="4">
        <v>6</v>
      </c>
      <c r="AK3529" s="4">
        <v>6</v>
      </c>
      <c r="AL3529" s="4">
        <v>12</v>
      </c>
      <c r="AM3529" s="4">
        <v>12</v>
      </c>
      <c r="AN3529" s="4">
        <v>0</v>
      </c>
      <c r="AO3529" s="4">
        <v>0</v>
      </c>
      <c r="AP3529" s="4">
        <v>9</v>
      </c>
      <c r="AQ3529" s="4">
        <v>11</v>
      </c>
      <c r="AR3529" s="3" t="s">
        <v>61</v>
      </c>
      <c r="AS3529" s="3" t="s">
        <v>62</v>
      </c>
      <c r="AT3529" s="3" t="s">
        <v>61</v>
      </c>
      <c r="AU3529" s="6" t="str">
        <f>HYPERLINK("http://catalog.hathitrust.org/Record/007133959","HathiTrust Record")</f>
        <v>HathiTrust Record</v>
      </c>
      <c r="AV3529" s="6" t="str">
        <f>HYPERLINK("http://mcgill.on.worldcat.org/oclc/15834746","Catalog Record")</f>
        <v>Catalog Record</v>
      </c>
      <c r="AW3529" s="6" t="str">
        <f>HYPERLINK("http://www.worldcat.org/oclc/15834746","WorldCat Record")</f>
        <v>WorldCat Record</v>
      </c>
      <c r="AX3529" s="3" t="s">
        <v>34127</v>
      </c>
      <c r="AY3529" s="3" t="s">
        <v>34128</v>
      </c>
      <c r="AZ3529" s="3" t="s">
        <v>34129</v>
      </c>
      <c r="BA3529" s="3" t="s">
        <v>34129</v>
      </c>
      <c r="BB3529" s="3" t="s">
        <v>34130</v>
      </c>
      <c r="BC3529" s="3" t="s">
        <v>102</v>
      </c>
      <c r="BD3529" s="3" t="s">
        <v>68</v>
      </c>
      <c r="BF3529" s="3" t="s">
        <v>34130</v>
      </c>
      <c r="BG3529" s="3" t="s">
        <v>34131</v>
      </c>
    </row>
    <row r="3530" spans="1:59" ht="72.5" x14ac:dyDescent="0.35">
      <c r="A3530" s="2" t="s">
        <v>89</v>
      </c>
      <c r="B3530" s="2" t="s">
        <v>90</v>
      </c>
      <c r="C3530" s="2" t="s">
        <v>34121</v>
      </c>
      <c r="D3530" s="2" t="s">
        <v>34122</v>
      </c>
      <c r="E3530" s="2" t="s">
        <v>34123</v>
      </c>
      <c r="F3530" s="3" t="s">
        <v>34132</v>
      </c>
      <c r="G3530" s="3" t="s">
        <v>61</v>
      </c>
      <c r="I3530" s="3" t="s">
        <v>61</v>
      </c>
      <c r="J3530" s="3" t="s">
        <v>62</v>
      </c>
      <c r="K3530" s="3" t="s">
        <v>63</v>
      </c>
      <c r="L3530" s="2" t="s">
        <v>33284</v>
      </c>
      <c r="M3530" s="2" t="s">
        <v>34124</v>
      </c>
      <c r="N3530" s="3" t="s">
        <v>7359</v>
      </c>
      <c r="P3530" s="3" t="s">
        <v>64</v>
      </c>
      <c r="Q3530" s="2" t="s">
        <v>34125</v>
      </c>
      <c r="R3530" s="3" t="s">
        <v>34126</v>
      </c>
      <c r="S3530" s="4">
        <v>4</v>
      </c>
      <c r="T3530" s="4">
        <v>19</v>
      </c>
      <c r="U3530" s="5" t="s">
        <v>34133</v>
      </c>
      <c r="V3530" s="5" t="s">
        <v>22190</v>
      </c>
      <c r="W3530" s="5" t="s">
        <v>67</v>
      </c>
      <c r="X3530" s="5" t="s">
        <v>67</v>
      </c>
      <c r="Y3530" s="4">
        <v>107</v>
      </c>
      <c r="Z3530" s="4">
        <v>22</v>
      </c>
      <c r="AA3530" s="4">
        <v>33</v>
      </c>
      <c r="AB3530" s="4">
        <v>3</v>
      </c>
      <c r="AC3530" s="4">
        <v>3</v>
      </c>
      <c r="AD3530" s="4">
        <v>31</v>
      </c>
      <c r="AE3530" s="4">
        <v>33</v>
      </c>
      <c r="AF3530" s="4">
        <v>1</v>
      </c>
      <c r="AG3530" s="4">
        <v>1</v>
      </c>
      <c r="AH3530" s="4">
        <v>24</v>
      </c>
      <c r="AI3530" s="4">
        <v>24</v>
      </c>
      <c r="AJ3530" s="4">
        <v>6</v>
      </c>
      <c r="AK3530" s="4">
        <v>6</v>
      </c>
      <c r="AL3530" s="4">
        <v>12</v>
      </c>
      <c r="AM3530" s="4">
        <v>12</v>
      </c>
      <c r="AN3530" s="4">
        <v>0</v>
      </c>
      <c r="AO3530" s="4">
        <v>0</v>
      </c>
      <c r="AP3530" s="4">
        <v>9</v>
      </c>
      <c r="AQ3530" s="4">
        <v>11</v>
      </c>
      <c r="AR3530" s="3" t="s">
        <v>61</v>
      </c>
      <c r="AS3530" s="3" t="s">
        <v>62</v>
      </c>
      <c r="AT3530" s="3" t="s">
        <v>61</v>
      </c>
      <c r="AU3530" s="6" t="str">
        <f>HYPERLINK("http://catalog.hathitrust.org/Record/007133959","HathiTrust Record")</f>
        <v>HathiTrust Record</v>
      </c>
      <c r="AV3530" s="6" t="str">
        <f>HYPERLINK("http://mcgill.on.worldcat.org/oclc/15834746","Catalog Record")</f>
        <v>Catalog Record</v>
      </c>
      <c r="AW3530" s="6" t="str">
        <f>HYPERLINK("http://www.worldcat.org/oclc/15834746","WorldCat Record")</f>
        <v>WorldCat Record</v>
      </c>
      <c r="AX3530" s="3" t="s">
        <v>34127</v>
      </c>
      <c r="AY3530" s="3" t="s">
        <v>34128</v>
      </c>
      <c r="AZ3530" s="3" t="s">
        <v>34129</v>
      </c>
      <c r="BA3530" s="3" t="s">
        <v>34129</v>
      </c>
      <c r="BB3530" s="3" t="s">
        <v>34134</v>
      </c>
      <c r="BC3530" s="3" t="s">
        <v>102</v>
      </c>
      <c r="BD3530" s="3" t="s">
        <v>68</v>
      </c>
      <c r="BF3530" s="3" t="s">
        <v>34134</v>
      </c>
      <c r="BG3530" s="3" t="s">
        <v>34135</v>
      </c>
    </row>
    <row r="3531" spans="1:59" ht="72.5" x14ac:dyDescent="0.35">
      <c r="A3531" s="2" t="s">
        <v>89</v>
      </c>
      <c r="B3531" s="2" t="s">
        <v>90</v>
      </c>
      <c r="C3531" s="2" t="s">
        <v>34136</v>
      </c>
      <c r="D3531" s="2" t="s">
        <v>34137</v>
      </c>
      <c r="E3531" s="2" t="s">
        <v>34138</v>
      </c>
      <c r="F3531" s="3" t="s">
        <v>34139</v>
      </c>
      <c r="G3531" s="3" t="s">
        <v>62</v>
      </c>
      <c r="I3531" s="3" t="s">
        <v>61</v>
      </c>
      <c r="J3531" s="3" t="s">
        <v>62</v>
      </c>
      <c r="K3531" s="3" t="s">
        <v>63</v>
      </c>
      <c r="L3531" s="2" t="s">
        <v>34140</v>
      </c>
      <c r="M3531" s="2" t="s">
        <v>34141</v>
      </c>
      <c r="N3531" s="3" t="s">
        <v>2702</v>
      </c>
      <c r="P3531" s="3" t="s">
        <v>64</v>
      </c>
      <c r="Q3531" s="2" t="s">
        <v>34142</v>
      </c>
      <c r="R3531" s="3" t="s">
        <v>34126</v>
      </c>
      <c r="S3531" s="4">
        <v>10</v>
      </c>
      <c r="T3531" s="4">
        <v>18</v>
      </c>
      <c r="U3531" s="5" t="s">
        <v>34143</v>
      </c>
      <c r="V3531" s="5" t="s">
        <v>32069</v>
      </c>
      <c r="W3531" s="5" t="s">
        <v>67</v>
      </c>
      <c r="X3531" s="5" t="s">
        <v>67</v>
      </c>
      <c r="Y3531" s="4">
        <v>11</v>
      </c>
      <c r="Z3531" s="4">
        <v>9</v>
      </c>
      <c r="AA3531" s="4">
        <v>51</v>
      </c>
      <c r="AB3531" s="4">
        <v>2</v>
      </c>
      <c r="AC3531" s="4">
        <v>8</v>
      </c>
      <c r="AD3531" s="4">
        <v>3</v>
      </c>
      <c r="AE3531" s="4">
        <v>77</v>
      </c>
      <c r="AF3531" s="4">
        <v>0</v>
      </c>
      <c r="AG3531" s="4">
        <v>3</v>
      </c>
      <c r="AH3531" s="4">
        <v>1</v>
      </c>
      <c r="AI3531" s="4">
        <v>53</v>
      </c>
      <c r="AJ3531" s="4">
        <v>2</v>
      </c>
      <c r="AK3531" s="4">
        <v>21</v>
      </c>
      <c r="AL3531" s="4">
        <v>1</v>
      </c>
      <c r="AM3531" s="4">
        <v>31</v>
      </c>
      <c r="AN3531" s="4">
        <v>0</v>
      </c>
      <c r="AO3531" s="4">
        <v>0</v>
      </c>
      <c r="AP3531" s="4">
        <v>3</v>
      </c>
      <c r="AQ3531" s="4">
        <v>29</v>
      </c>
      <c r="AR3531" s="3" t="s">
        <v>61</v>
      </c>
      <c r="AS3531" s="3" t="s">
        <v>62</v>
      </c>
      <c r="AT3531" s="3" t="s">
        <v>62</v>
      </c>
      <c r="AV3531" s="6" t="str">
        <f>HYPERLINK("http://mcgill.on.worldcat.org/oclc/978155107","Catalog Record")</f>
        <v>Catalog Record</v>
      </c>
      <c r="AW3531" s="6" t="str">
        <f>HYPERLINK("http://www.worldcat.org/oclc/978155107","WorldCat Record")</f>
        <v>WorldCat Record</v>
      </c>
      <c r="AX3531" s="3" t="s">
        <v>34144</v>
      </c>
      <c r="AY3531" s="3" t="s">
        <v>34145</v>
      </c>
      <c r="AZ3531" s="3" t="s">
        <v>34146</v>
      </c>
      <c r="BA3531" s="3" t="s">
        <v>34146</v>
      </c>
      <c r="BB3531" s="3" t="s">
        <v>34147</v>
      </c>
      <c r="BC3531" s="3" t="s">
        <v>102</v>
      </c>
      <c r="BD3531" s="3" t="s">
        <v>68</v>
      </c>
      <c r="BF3531" s="3" t="s">
        <v>34147</v>
      </c>
      <c r="BG3531" s="3" t="s">
        <v>34148</v>
      </c>
    </row>
    <row r="3532" spans="1:59" ht="72.5" x14ac:dyDescent="0.35">
      <c r="A3532" s="2" t="s">
        <v>89</v>
      </c>
      <c r="B3532" s="2" t="s">
        <v>90</v>
      </c>
      <c r="C3532" s="2" t="s">
        <v>34136</v>
      </c>
      <c r="D3532" s="2" t="s">
        <v>34137</v>
      </c>
      <c r="E3532" s="2" t="s">
        <v>34138</v>
      </c>
      <c r="F3532" s="3" t="s">
        <v>34139</v>
      </c>
      <c r="G3532" s="3" t="s">
        <v>62</v>
      </c>
      <c r="I3532" s="3" t="s">
        <v>61</v>
      </c>
      <c r="J3532" s="3" t="s">
        <v>62</v>
      </c>
      <c r="K3532" s="3" t="s">
        <v>63</v>
      </c>
      <c r="L3532" s="2" t="s">
        <v>34140</v>
      </c>
      <c r="M3532" s="2" t="s">
        <v>34141</v>
      </c>
      <c r="N3532" s="3" t="s">
        <v>2702</v>
      </c>
      <c r="P3532" s="3" t="s">
        <v>64</v>
      </c>
      <c r="Q3532" s="2" t="s">
        <v>34142</v>
      </c>
      <c r="R3532" s="3" t="s">
        <v>34126</v>
      </c>
      <c r="S3532" s="4">
        <v>8</v>
      </c>
      <c r="T3532" s="4">
        <v>18</v>
      </c>
      <c r="U3532" s="5" t="s">
        <v>32069</v>
      </c>
      <c r="V3532" s="5" t="s">
        <v>32069</v>
      </c>
      <c r="W3532" s="5" t="s">
        <v>67</v>
      </c>
      <c r="X3532" s="5" t="s">
        <v>67</v>
      </c>
      <c r="Y3532" s="4">
        <v>11</v>
      </c>
      <c r="Z3532" s="4">
        <v>9</v>
      </c>
      <c r="AA3532" s="4">
        <v>51</v>
      </c>
      <c r="AB3532" s="4">
        <v>2</v>
      </c>
      <c r="AC3532" s="4">
        <v>8</v>
      </c>
      <c r="AD3532" s="4">
        <v>3</v>
      </c>
      <c r="AE3532" s="4">
        <v>77</v>
      </c>
      <c r="AF3532" s="4">
        <v>0</v>
      </c>
      <c r="AG3532" s="4">
        <v>3</v>
      </c>
      <c r="AH3532" s="4">
        <v>1</v>
      </c>
      <c r="AI3532" s="4">
        <v>53</v>
      </c>
      <c r="AJ3532" s="4">
        <v>2</v>
      </c>
      <c r="AK3532" s="4">
        <v>21</v>
      </c>
      <c r="AL3532" s="4">
        <v>1</v>
      </c>
      <c r="AM3532" s="4">
        <v>31</v>
      </c>
      <c r="AN3532" s="4">
        <v>0</v>
      </c>
      <c r="AO3532" s="4">
        <v>0</v>
      </c>
      <c r="AP3532" s="4">
        <v>3</v>
      </c>
      <c r="AQ3532" s="4">
        <v>29</v>
      </c>
      <c r="AR3532" s="3" t="s">
        <v>61</v>
      </c>
      <c r="AS3532" s="3" t="s">
        <v>62</v>
      </c>
      <c r="AT3532" s="3" t="s">
        <v>62</v>
      </c>
      <c r="AV3532" s="6" t="str">
        <f>HYPERLINK("http://mcgill.on.worldcat.org/oclc/978155107","Catalog Record")</f>
        <v>Catalog Record</v>
      </c>
      <c r="AW3532" s="6" t="str">
        <f>HYPERLINK("http://www.worldcat.org/oclc/978155107","WorldCat Record")</f>
        <v>WorldCat Record</v>
      </c>
      <c r="AX3532" s="3" t="s">
        <v>34144</v>
      </c>
      <c r="AY3532" s="3" t="s">
        <v>34145</v>
      </c>
      <c r="AZ3532" s="3" t="s">
        <v>34146</v>
      </c>
      <c r="BA3532" s="3" t="s">
        <v>34146</v>
      </c>
      <c r="BB3532" s="3" t="s">
        <v>34149</v>
      </c>
      <c r="BC3532" s="3" t="s">
        <v>102</v>
      </c>
      <c r="BD3532" s="3" t="s">
        <v>231</v>
      </c>
      <c r="BF3532" s="3" t="s">
        <v>34149</v>
      </c>
      <c r="BG3532" s="3" t="s">
        <v>34150</v>
      </c>
    </row>
    <row r="3533" spans="1:59" ht="87" x14ac:dyDescent="0.35">
      <c r="A3533" s="2" t="s">
        <v>89</v>
      </c>
      <c r="B3533" s="2" t="s">
        <v>90</v>
      </c>
      <c r="C3533" s="2" t="s">
        <v>34151</v>
      </c>
      <c r="D3533" s="2" t="s">
        <v>34152</v>
      </c>
      <c r="E3533" s="2" t="s">
        <v>34153</v>
      </c>
      <c r="F3533" s="3" t="s">
        <v>34154</v>
      </c>
      <c r="G3533" s="3" t="s">
        <v>62</v>
      </c>
      <c r="I3533" s="3" t="s">
        <v>61</v>
      </c>
      <c r="J3533" s="3" t="s">
        <v>62</v>
      </c>
      <c r="K3533" s="3" t="s">
        <v>63</v>
      </c>
      <c r="L3533" s="2" t="s">
        <v>33284</v>
      </c>
      <c r="M3533" s="2" t="s">
        <v>34155</v>
      </c>
      <c r="N3533" s="3" t="s">
        <v>1662</v>
      </c>
      <c r="P3533" s="3" t="s">
        <v>64</v>
      </c>
      <c r="Q3533" s="2" t="s">
        <v>34156</v>
      </c>
      <c r="R3533" s="3" t="s">
        <v>34126</v>
      </c>
      <c r="S3533" s="4">
        <v>0</v>
      </c>
      <c r="T3533" s="4">
        <v>4</v>
      </c>
      <c r="V3533" s="5" t="s">
        <v>34157</v>
      </c>
      <c r="W3533" s="5" t="s">
        <v>67</v>
      </c>
      <c r="X3533" s="5" t="s">
        <v>67</v>
      </c>
      <c r="Y3533" s="4">
        <v>5</v>
      </c>
      <c r="Z3533" s="4">
        <v>1</v>
      </c>
      <c r="AA3533" s="4">
        <v>1</v>
      </c>
      <c r="AB3533" s="4">
        <v>1</v>
      </c>
      <c r="AC3533" s="4">
        <v>1</v>
      </c>
      <c r="AD3533" s="4">
        <v>1</v>
      </c>
      <c r="AE3533" s="4">
        <v>1</v>
      </c>
      <c r="AF3533" s="4">
        <v>0</v>
      </c>
      <c r="AG3533" s="4">
        <v>0</v>
      </c>
      <c r="AH3533" s="4">
        <v>1</v>
      </c>
      <c r="AI3533" s="4">
        <v>1</v>
      </c>
      <c r="AJ3533" s="4">
        <v>0</v>
      </c>
      <c r="AK3533" s="4">
        <v>0</v>
      </c>
      <c r="AL3533" s="4">
        <v>1</v>
      </c>
      <c r="AM3533" s="4">
        <v>1</v>
      </c>
      <c r="AN3533" s="4">
        <v>0</v>
      </c>
      <c r="AO3533" s="4">
        <v>0</v>
      </c>
      <c r="AP3533" s="4">
        <v>0</v>
      </c>
      <c r="AQ3533" s="4">
        <v>0</v>
      </c>
      <c r="AR3533" s="3" t="s">
        <v>61</v>
      </c>
      <c r="AS3533" s="3" t="s">
        <v>62</v>
      </c>
      <c r="AT3533" s="3" t="s">
        <v>62</v>
      </c>
      <c r="AV3533" s="6" t="str">
        <f>HYPERLINK("http://mcgill.on.worldcat.org/oclc/61546599","Catalog Record")</f>
        <v>Catalog Record</v>
      </c>
      <c r="AW3533" s="6" t="str">
        <f>HYPERLINK("http://www.worldcat.org/oclc/61546599","WorldCat Record")</f>
        <v>WorldCat Record</v>
      </c>
      <c r="AX3533" s="3" t="s">
        <v>34158</v>
      </c>
      <c r="AY3533" s="3" t="s">
        <v>34159</v>
      </c>
      <c r="AZ3533" s="3" t="s">
        <v>34160</v>
      </c>
      <c r="BA3533" s="3" t="s">
        <v>34160</v>
      </c>
      <c r="BB3533" s="3" t="s">
        <v>34161</v>
      </c>
      <c r="BC3533" s="3" t="s">
        <v>34162</v>
      </c>
      <c r="BD3533" s="3" t="s">
        <v>68</v>
      </c>
      <c r="BF3533" s="3" t="s">
        <v>34161</v>
      </c>
      <c r="BG3533" s="3" t="s">
        <v>34163</v>
      </c>
    </row>
    <row r="3534" spans="1:59" ht="72.5" x14ac:dyDescent="0.35">
      <c r="A3534" s="2" t="s">
        <v>89</v>
      </c>
      <c r="B3534" s="2" t="s">
        <v>90</v>
      </c>
      <c r="C3534" s="2" t="s">
        <v>34164</v>
      </c>
      <c r="D3534" s="2" t="s">
        <v>34165</v>
      </c>
      <c r="E3534" s="2" t="s">
        <v>34166</v>
      </c>
      <c r="F3534" s="3" t="s">
        <v>34167</v>
      </c>
      <c r="G3534" s="3" t="s">
        <v>62</v>
      </c>
      <c r="I3534" s="3" t="s">
        <v>62</v>
      </c>
      <c r="J3534" s="3" t="s">
        <v>62</v>
      </c>
      <c r="K3534" s="3" t="s">
        <v>63</v>
      </c>
      <c r="L3534" s="2" t="s">
        <v>33284</v>
      </c>
      <c r="M3534" s="2" t="s">
        <v>34168</v>
      </c>
      <c r="N3534" s="3" t="s">
        <v>930</v>
      </c>
      <c r="P3534" s="3" t="s">
        <v>64</v>
      </c>
      <c r="Q3534" s="2" t="s">
        <v>34169</v>
      </c>
      <c r="R3534" s="3" t="s">
        <v>34126</v>
      </c>
      <c r="S3534" s="4">
        <v>4</v>
      </c>
      <c r="T3534" s="4">
        <v>4</v>
      </c>
      <c r="U3534" s="5" t="s">
        <v>34170</v>
      </c>
      <c r="V3534" s="5" t="s">
        <v>34170</v>
      </c>
      <c r="W3534" s="5" t="s">
        <v>67</v>
      </c>
      <c r="X3534" s="5" t="s">
        <v>67</v>
      </c>
      <c r="Y3534" s="4">
        <v>15</v>
      </c>
      <c r="Z3534" s="4">
        <v>15</v>
      </c>
      <c r="AA3534" s="4">
        <v>15</v>
      </c>
      <c r="AB3534" s="4">
        <v>1</v>
      </c>
      <c r="AC3534" s="4">
        <v>1</v>
      </c>
      <c r="AD3534" s="4">
        <v>10</v>
      </c>
      <c r="AE3534" s="4">
        <v>10</v>
      </c>
      <c r="AF3534" s="4">
        <v>0</v>
      </c>
      <c r="AG3534" s="4">
        <v>0</v>
      </c>
      <c r="AH3534" s="4">
        <v>2</v>
      </c>
      <c r="AI3534" s="4">
        <v>2</v>
      </c>
      <c r="AJ3534" s="4">
        <v>5</v>
      </c>
      <c r="AK3534" s="4">
        <v>5</v>
      </c>
      <c r="AL3534" s="4">
        <v>0</v>
      </c>
      <c r="AM3534" s="4">
        <v>0</v>
      </c>
      <c r="AN3534" s="4">
        <v>0</v>
      </c>
      <c r="AO3534" s="4">
        <v>0</v>
      </c>
      <c r="AP3534" s="4">
        <v>10</v>
      </c>
      <c r="AQ3534" s="4">
        <v>10</v>
      </c>
      <c r="AR3534" s="3" t="s">
        <v>61</v>
      </c>
      <c r="AS3534" s="3" t="s">
        <v>62</v>
      </c>
      <c r="AT3534" s="3" t="s">
        <v>62</v>
      </c>
      <c r="AV3534" s="6" t="str">
        <f>HYPERLINK("http://mcgill.on.worldcat.org/oclc/63030276","Catalog Record")</f>
        <v>Catalog Record</v>
      </c>
      <c r="AW3534" s="6" t="str">
        <f>HYPERLINK("http://www.worldcat.org/oclc/63030276","WorldCat Record")</f>
        <v>WorldCat Record</v>
      </c>
      <c r="AX3534" s="3" t="s">
        <v>34171</v>
      </c>
      <c r="AY3534" s="3" t="s">
        <v>34172</v>
      </c>
      <c r="AZ3534" s="3" t="s">
        <v>34173</v>
      </c>
      <c r="BA3534" s="3" t="s">
        <v>34173</v>
      </c>
      <c r="BB3534" s="3" t="s">
        <v>34174</v>
      </c>
      <c r="BC3534" s="3" t="s">
        <v>102</v>
      </c>
      <c r="BD3534" s="3" t="s">
        <v>68</v>
      </c>
      <c r="BF3534" s="3" t="s">
        <v>34174</v>
      </c>
      <c r="BG3534" s="3" t="s">
        <v>34175</v>
      </c>
    </row>
    <row r="3535" spans="1:59" ht="72.5" x14ac:dyDescent="0.35">
      <c r="A3535" s="2" t="s">
        <v>89</v>
      </c>
      <c r="B3535" s="2" t="s">
        <v>90</v>
      </c>
      <c r="C3535" s="2" t="s">
        <v>34176</v>
      </c>
      <c r="D3535" s="2" t="s">
        <v>34177</v>
      </c>
      <c r="E3535" s="2" t="s">
        <v>34178</v>
      </c>
      <c r="F3535" s="3" t="s">
        <v>34179</v>
      </c>
      <c r="G3535" s="3" t="s">
        <v>61</v>
      </c>
      <c r="I3535" s="3" t="s">
        <v>61</v>
      </c>
      <c r="J3535" s="3" t="s">
        <v>62</v>
      </c>
      <c r="K3535" s="3" t="s">
        <v>63</v>
      </c>
      <c r="L3535" s="2" t="s">
        <v>33284</v>
      </c>
      <c r="M3535" s="2" t="s">
        <v>34180</v>
      </c>
      <c r="N3535" s="3" t="s">
        <v>2445</v>
      </c>
      <c r="P3535" s="3" t="s">
        <v>85</v>
      </c>
      <c r="Q3535" s="2" t="s">
        <v>34181</v>
      </c>
      <c r="R3535" s="3" t="s">
        <v>34126</v>
      </c>
      <c r="S3535" s="4">
        <v>0</v>
      </c>
      <c r="T3535" s="4">
        <v>3</v>
      </c>
      <c r="V3535" s="5" t="s">
        <v>34157</v>
      </c>
      <c r="W3535" s="5" t="s">
        <v>67</v>
      </c>
      <c r="X3535" s="5" t="s">
        <v>67</v>
      </c>
      <c r="Y3535" s="4">
        <v>62</v>
      </c>
      <c r="Z3535" s="4">
        <v>6</v>
      </c>
      <c r="AA3535" s="4">
        <v>6</v>
      </c>
      <c r="AB3535" s="4">
        <v>1</v>
      </c>
      <c r="AC3535" s="4">
        <v>1</v>
      </c>
      <c r="AD3535" s="4">
        <v>32</v>
      </c>
      <c r="AE3535" s="4">
        <v>32</v>
      </c>
      <c r="AF3535" s="4">
        <v>0</v>
      </c>
      <c r="AG3535" s="4">
        <v>0</v>
      </c>
      <c r="AH3535" s="4">
        <v>30</v>
      </c>
      <c r="AI3535" s="4">
        <v>30</v>
      </c>
      <c r="AJ3535" s="4">
        <v>2</v>
      </c>
      <c r="AK3535" s="4">
        <v>2</v>
      </c>
      <c r="AL3535" s="4">
        <v>22</v>
      </c>
      <c r="AM3535" s="4">
        <v>22</v>
      </c>
      <c r="AN3535" s="4">
        <v>0</v>
      </c>
      <c r="AO3535" s="4">
        <v>0</v>
      </c>
      <c r="AP3535" s="4">
        <v>4</v>
      </c>
      <c r="AQ3535" s="4">
        <v>4</v>
      </c>
      <c r="AR3535" s="3" t="s">
        <v>61</v>
      </c>
      <c r="AS3535" s="3" t="s">
        <v>62</v>
      </c>
      <c r="AT3535" s="3" t="s">
        <v>61</v>
      </c>
      <c r="AU3535" s="6" t="str">
        <f>HYPERLINK("http://catalog.hathitrust.org/Record/001638699","HathiTrust Record")</f>
        <v>HathiTrust Record</v>
      </c>
      <c r="AV3535" s="6" t="str">
        <f>HYPERLINK("http://mcgill.on.worldcat.org/oclc/999214","Catalog Record")</f>
        <v>Catalog Record</v>
      </c>
      <c r="AW3535" s="6" t="str">
        <f>HYPERLINK("http://www.worldcat.org/oclc/999214","WorldCat Record")</f>
        <v>WorldCat Record</v>
      </c>
      <c r="AX3535" s="3" t="s">
        <v>34182</v>
      </c>
      <c r="AY3535" s="3" t="s">
        <v>34183</v>
      </c>
      <c r="AZ3535" s="3" t="s">
        <v>34184</v>
      </c>
      <c r="BA3535" s="3" t="s">
        <v>34184</v>
      </c>
      <c r="BB3535" s="3" t="s">
        <v>34185</v>
      </c>
      <c r="BC3535" s="3" t="s">
        <v>102</v>
      </c>
      <c r="BD3535" s="3" t="s">
        <v>68</v>
      </c>
      <c r="BF3535" s="3" t="s">
        <v>34185</v>
      </c>
      <c r="BG3535" s="3" t="s">
        <v>34186</v>
      </c>
    </row>
    <row r="3536" spans="1:59" ht="72.5" x14ac:dyDescent="0.35">
      <c r="A3536" s="2" t="s">
        <v>89</v>
      </c>
      <c r="B3536" s="2" t="s">
        <v>90</v>
      </c>
      <c r="C3536" s="2" t="s">
        <v>34187</v>
      </c>
      <c r="D3536" s="2" t="s">
        <v>34188</v>
      </c>
      <c r="E3536" s="2" t="s">
        <v>34189</v>
      </c>
      <c r="F3536" s="3" t="s">
        <v>34190</v>
      </c>
      <c r="G3536" s="3" t="s">
        <v>62</v>
      </c>
      <c r="I3536" s="3" t="s">
        <v>61</v>
      </c>
      <c r="J3536" s="3" t="s">
        <v>62</v>
      </c>
      <c r="K3536" s="3" t="s">
        <v>63</v>
      </c>
      <c r="L3536" s="2" t="s">
        <v>34191</v>
      </c>
      <c r="M3536" s="2" t="s">
        <v>34192</v>
      </c>
      <c r="N3536" s="3" t="s">
        <v>1467</v>
      </c>
      <c r="P3536" s="3" t="s">
        <v>64</v>
      </c>
      <c r="Q3536" s="2" t="s">
        <v>34193</v>
      </c>
      <c r="R3536" s="3" t="s">
        <v>34126</v>
      </c>
      <c r="S3536" s="4">
        <v>12</v>
      </c>
      <c r="T3536" s="4">
        <v>21</v>
      </c>
      <c r="U3536" s="5" t="s">
        <v>13600</v>
      </c>
      <c r="V3536" s="5" t="s">
        <v>13600</v>
      </c>
      <c r="W3536" s="5" t="s">
        <v>67</v>
      </c>
      <c r="X3536" s="5" t="s">
        <v>67</v>
      </c>
      <c r="Y3536" s="4">
        <v>172</v>
      </c>
      <c r="Z3536" s="4">
        <v>39</v>
      </c>
      <c r="AA3536" s="4">
        <v>49</v>
      </c>
      <c r="AB3536" s="4">
        <v>4</v>
      </c>
      <c r="AC3536" s="4">
        <v>6</v>
      </c>
      <c r="AD3536" s="4">
        <v>77</v>
      </c>
      <c r="AE3536" s="4">
        <v>83</v>
      </c>
      <c r="AF3536" s="4">
        <v>2</v>
      </c>
      <c r="AG3536" s="4">
        <v>3</v>
      </c>
      <c r="AH3536" s="4">
        <v>54</v>
      </c>
      <c r="AI3536" s="4">
        <v>57</v>
      </c>
      <c r="AJ3536" s="4">
        <v>16</v>
      </c>
      <c r="AK3536" s="4">
        <v>20</v>
      </c>
      <c r="AL3536" s="4">
        <v>33</v>
      </c>
      <c r="AM3536" s="4">
        <v>33</v>
      </c>
      <c r="AN3536" s="4">
        <v>0</v>
      </c>
      <c r="AO3536" s="4">
        <v>0</v>
      </c>
      <c r="AP3536" s="4">
        <v>26</v>
      </c>
      <c r="AQ3536" s="4">
        <v>32</v>
      </c>
      <c r="AR3536" s="3" t="s">
        <v>61</v>
      </c>
      <c r="AS3536" s="3" t="s">
        <v>62</v>
      </c>
      <c r="AT3536" s="3" t="s">
        <v>61</v>
      </c>
      <c r="AU3536" s="6" t="str">
        <f>HYPERLINK("http://catalog.hathitrust.org/Record/000291604","HathiTrust Record")</f>
        <v>HathiTrust Record</v>
      </c>
      <c r="AV3536" s="6" t="str">
        <f>HYPERLINK("http://mcgill.on.worldcat.org/oclc/2018365","Catalog Record")</f>
        <v>Catalog Record</v>
      </c>
      <c r="AW3536" s="6" t="str">
        <f>HYPERLINK("http://www.worldcat.org/oclc/2018365","WorldCat Record")</f>
        <v>WorldCat Record</v>
      </c>
      <c r="AX3536" s="3" t="s">
        <v>34194</v>
      </c>
      <c r="AY3536" s="3" t="s">
        <v>34195</v>
      </c>
      <c r="AZ3536" s="3" t="s">
        <v>34196</v>
      </c>
      <c r="BA3536" s="3" t="s">
        <v>34196</v>
      </c>
      <c r="BB3536" s="3" t="s">
        <v>34197</v>
      </c>
      <c r="BC3536" s="3" t="s">
        <v>102</v>
      </c>
      <c r="BD3536" s="3" t="s">
        <v>68</v>
      </c>
      <c r="BF3536" s="3" t="s">
        <v>34197</v>
      </c>
      <c r="BG3536" s="3" t="s">
        <v>34198</v>
      </c>
    </row>
    <row r="3537" spans="1:59" ht="72.5" x14ac:dyDescent="0.35">
      <c r="A3537" s="2" t="s">
        <v>89</v>
      </c>
      <c r="B3537" s="2" t="s">
        <v>90</v>
      </c>
      <c r="C3537" s="2" t="s">
        <v>34187</v>
      </c>
      <c r="D3537" s="2" t="s">
        <v>34188</v>
      </c>
      <c r="E3537" s="2" t="s">
        <v>34189</v>
      </c>
      <c r="F3537" s="3" t="s">
        <v>34190</v>
      </c>
      <c r="G3537" s="3" t="s">
        <v>62</v>
      </c>
      <c r="I3537" s="3" t="s">
        <v>61</v>
      </c>
      <c r="J3537" s="3" t="s">
        <v>62</v>
      </c>
      <c r="K3537" s="3" t="s">
        <v>63</v>
      </c>
      <c r="L3537" s="2" t="s">
        <v>34191</v>
      </c>
      <c r="M3537" s="2" t="s">
        <v>34192</v>
      </c>
      <c r="N3537" s="3" t="s">
        <v>1467</v>
      </c>
      <c r="P3537" s="3" t="s">
        <v>64</v>
      </c>
      <c r="Q3537" s="2" t="s">
        <v>34193</v>
      </c>
      <c r="R3537" s="3" t="s">
        <v>34126</v>
      </c>
      <c r="S3537" s="4">
        <v>9</v>
      </c>
      <c r="T3537" s="4">
        <v>21</v>
      </c>
      <c r="U3537" s="5" t="s">
        <v>34199</v>
      </c>
      <c r="V3537" s="5" t="s">
        <v>13600</v>
      </c>
      <c r="W3537" s="5" t="s">
        <v>67</v>
      </c>
      <c r="X3537" s="5" t="s">
        <v>67</v>
      </c>
      <c r="Y3537" s="4">
        <v>172</v>
      </c>
      <c r="Z3537" s="4">
        <v>39</v>
      </c>
      <c r="AA3537" s="4">
        <v>49</v>
      </c>
      <c r="AB3537" s="4">
        <v>4</v>
      </c>
      <c r="AC3537" s="4">
        <v>6</v>
      </c>
      <c r="AD3537" s="4">
        <v>77</v>
      </c>
      <c r="AE3537" s="4">
        <v>83</v>
      </c>
      <c r="AF3537" s="4">
        <v>2</v>
      </c>
      <c r="AG3537" s="4">
        <v>3</v>
      </c>
      <c r="AH3537" s="4">
        <v>54</v>
      </c>
      <c r="AI3537" s="4">
        <v>57</v>
      </c>
      <c r="AJ3537" s="4">
        <v>16</v>
      </c>
      <c r="AK3537" s="4">
        <v>20</v>
      </c>
      <c r="AL3537" s="4">
        <v>33</v>
      </c>
      <c r="AM3537" s="4">
        <v>33</v>
      </c>
      <c r="AN3537" s="4">
        <v>0</v>
      </c>
      <c r="AO3537" s="4">
        <v>0</v>
      </c>
      <c r="AP3537" s="4">
        <v>26</v>
      </c>
      <c r="AQ3537" s="4">
        <v>32</v>
      </c>
      <c r="AR3537" s="3" t="s">
        <v>61</v>
      </c>
      <c r="AS3537" s="3" t="s">
        <v>62</v>
      </c>
      <c r="AT3537" s="3" t="s">
        <v>61</v>
      </c>
      <c r="AU3537" s="6" t="str">
        <f>HYPERLINK("http://catalog.hathitrust.org/Record/000291604","HathiTrust Record")</f>
        <v>HathiTrust Record</v>
      </c>
      <c r="AV3537" s="6" t="str">
        <f>HYPERLINK("http://mcgill.on.worldcat.org/oclc/2018365","Catalog Record")</f>
        <v>Catalog Record</v>
      </c>
      <c r="AW3537" s="6" t="str">
        <f>HYPERLINK("http://www.worldcat.org/oclc/2018365","WorldCat Record")</f>
        <v>WorldCat Record</v>
      </c>
      <c r="AX3537" s="3" t="s">
        <v>34194</v>
      </c>
      <c r="AY3537" s="3" t="s">
        <v>34195</v>
      </c>
      <c r="AZ3537" s="3" t="s">
        <v>34196</v>
      </c>
      <c r="BA3537" s="3" t="s">
        <v>34196</v>
      </c>
      <c r="BB3537" s="3" t="s">
        <v>34200</v>
      </c>
      <c r="BC3537" s="3" t="s">
        <v>102</v>
      </c>
      <c r="BD3537" s="3" t="s">
        <v>68</v>
      </c>
      <c r="BF3537" s="3" t="s">
        <v>34200</v>
      </c>
      <c r="BG3537" s="3" t="s">
        <v>34201</v>
      </c>
    </row>
    <row r="3538" spans="1:59" ht="72.5" x14ac:dyDescent="0.35">
      <c r="A3538" s="2" t="s">
        <v>89</v>
      </c>
      <c r="B3538" s="2" t="s">
        <v>90</v>
      </c>
      <c r="C3538" s="2" t="s">
        <v>34202</v>
      </c>
      <c r="D3538" s="2" t="s">
        <v>34203</v>
      </c>
      <c r="E3538" s="2" t="s">
        <v>34204</v>
      </c>
      <c r="F3538" s="3" t="s">
        <v>34205</v>
      </c>
      <c r="G3538" s="3" t="s">
        <v>62</v>
      </c>
      <c r="I3538" s="3" t="s">
        <v>61</v>
      </c>
      <c r="J3538" s="3" t="s">
        <v>62</v>
      </c>
      <c r="K3538" s="3" t="s">
        <v>63</v>
      </c>
      <c r="L3538" s="2" t="s">
        <v>34206</v>
      </c>
      <c r="M3538" s="2" t="s">
        <v>34207</v>
      </c>
      <c r="N3538" s="3" t="s">
        <v>1467</v>
      </c>
      <c r="P3538" s="3" t="s">
        <v>64</v>
      </c>
      <c r="Q3538" s="2" t="s">
        <v>34208</v>
      </c>
      <c r="R3538" s="3" t="s">
        <v>34126</v>
      </c>
      <c r="S3538" s="4">
        <v>25</v>
      </c>
      <c r="T3538" s="4">
        <v>43</v>
      </c>
      <c r="U3538" s="5" t="s">
        <v>7341</v>
      </c>
      <c r="V3538" s="5" t="s">
        <v>627</v>
      </c>
      <c r="W3538" s="5" t="s">
        <v>67</v>
      </c>
      <c r="X3538" s="5" t="s">
        <v>67</v>
      </c>
      <c r="Y3538" s="4">
        <v>152</v>
      </c>
      <c r="Z3538" s="4">
        <v>23</v>
      </c>
      <c r="AA3538" s="4">
        <v>44</v>
      </c>
      <c r="AB3538" s="4">
        <v>2</v>
      </c>
      <c r="AC3538" s="4">
        <v>7</v>
      </c>
      <c r="AD3538" s="4">
        <v>75</v>
      </c>
      <c r="AE3538" s="4">
        <v>87</v>
      </c>
      <c r="AF3538" s="4">
        <v>0</v>
      </c>
      <c r="AG3538" s="4">
        <v>3</v>
      </c>
      <c r="AH3538" s="4">
        <v>59</v>
      </c>
      <c r="AI3538" s="4">
        <v>61</v>
      </c>
      <c r="AJ3538" s="4">
        <v>11</v>
      </c>
      <c r="AK3538" s="4">
        <v>19</v>
      </c>
      <c r="AL3538" s="4">
        <v>37</v>
      </c>
      <c r="AM3538" s="4">
        <v>38</v>
      </c>
      <c r="AN3538" s="4">
        <v>0</v>
      </c>
      <c r="AO3538" s="4">
        <v>0</v>
      </c>
      <c r="AP3538" s="4">
        <v>18</v>
      </c>
      <c r="AQ3538" s="4">
        <v>28</v>
      </c>
      <c r="AR3538" s="3" t="s">
        <v>61</v>
      </c>
      <c r="AS3538" s="3" t="s">
        <v>62</v>
      </c>
      <c r="AT3538" s="3" t="s">
        <v>62</v>
      </c>
      <c r="AV3538" s="6" t="str">
        <f>HYPERLINK("http://mcgill.on.worldcat.org/oclc/3191396","Catalog Record")</f>
        <v>Catalog Record</v>
      </c>
      <c r="AW3538" s="6" t="str">
        <f>HYPERLINK("http://www.worldcat.org/oclc/3191396","WorldCat Record")</f>
        <v>WorldCat Record</v>
      </c>
      <c r="AX3538" s="3" t="s">
        <v>34209</v>
      </c>
      <c r="AY3538" s="3" t="s">
        <v>34210</v>
      </c>
      <c r="AZ3538" s="3" t="s">
        <v>34211</v>
      </c>
      <c r="BA3538" s="3" t="s">
        <v>34211</v>
      </c>
      <c r="BB3538" s="3" t="s">
        <v>34212</v>
      </c>
      <c r="BC3538" s="3" t="s">
        <v>4753</v>
      </c>
      <c r="BD3538" s="3" t="s">
        <v>68</v>
      </c>
      <c r="BF3538" s="3" t="s">
        <v>34212</v>
      </c>
      <c r="BG3538" s="3" t="s">
        <v>34213</v>
      </c>
    </row>
    <row r="3539" spans="1:59" ht="72.5" x14ac:dyDescent="0.35">
      <c r="A3539" s="2" t="s">
        <v>89</v>
      </c>
      <c r="B3539" s="2" t="s">
        <v>90</v>
      </c>
      <c r="C3539" s="2" t="s">
        <v>34202</v>
      </c>
      <c r="D3539" s="2" t="s">
        <v>34203</v>
      </c>
      <c r="E3539" s="2" t="s">
        <v>34204</v>
      </c>
      <c r="F3539" s="3" t="s">
        <v>34205</v>
      </c>
      <c r="G3539" s="3" t="s">
        <v>62</v>
      </c>
      <c r="I3539" s="3" t="s">
        <v>61</v>
      </c>
      <c r="J3539" s="3" t="s">
        <v>62</v>
      </c>
      <c r="K3539" s="3" t="s">
        <v>63</v>
      </c>
      <c r="L3539" s="2" t="s">
        <v>34206</v>
      </c>
      <c r="M3539" s="2" t="s">
        <v>34207</v>
      </c>
      <c r="N3539" s="3" t="s">
        <v>1467</v>
      </c>
      <c r="P3539" s="3" t="s">
        <v>64</v>
      </c>
      <c r="Q3539" s="2" t="s">
        <v>34208</v>
      </c>
      <c r="R3539" s="3" t="s">
        <v>34126</v>
      </c>
      <c r="S3539" s="4">
        <v>18</v>
      </c>
      <c r="T3539" s="4">
        <v>43</v>
      </c>
      <c r="U3539" s="5" t="s">
        <v>627</v>
      </c>
      <c r="V3539" s="5" t="s">
        <v>627</v>
      </c>
      <c r="W3539" s="5" t="s">
        <v>67</v>
      </c>
      <c r="X3539" s="5" t="s">
        <v>67</v>
      </c>
      <c r="Y3539" s="4">
        <v>152</v>
      </c>
      <c r="Z3539" s="4">
        <v>23</v>
      </c>
      <c r="AA3539" s="4">
        <v>44</v>
      </c>
      <c r="AB3539" s="4">
        <v>2</v>
      </c>
      <c r="AC3539" s="4">
        <v>7</v>
      </c>
      <c r="AD3539" s="4">
        <v>75</v>
      </c>
      <c r="AE3539" s="4">
        <v>87</v>
      </c>
      <c r="AF3539" s="4">
        <v>0</v>
      </c>
      <c r="AG3539" s="4">
        <v>3</v>
      </c>
      <c r="AH3539" s="4">
        <v>59</v>
      </c>
      <c r="AI3539" s="4">
        <v>61</v>
      </c>
      <c r="AJ3539" s="4">
        <v>11</v>
      </c>
      <c r="AK3539" s="4">
        <v>19</v>
      </c>
      <c r="AL3539" s="4">
        <v>37</v>
      </c>
      <c r="AM3539" s="4">
        <v>38</v>
      </c>
      <c r="AN3539" s="4">
        <v>0</v>
      </c>
      <c r="AO3539" s="4">
        <v>0</v>
      </c>
      <c r="AP3539" s="4">
        <v>18</v>
      </c>
      <c r="AQ3539" s="4">
        <v>28</v>
      </c>
      <c r="AR3539" s="3" t="s">
        <v>61</v>
      </c>
      <c r="AS3539" s="3" t="s">
        <v>62</v>
      </c>
      <c r="AT3539" s="3" t="s">
        <v>62</v>
      </c>
      <c r="AV3539" s="6" t="str">
        <f>HYPERLINK("http://mcgill.on.worldcat.org/oclc/3191396","Catalog Record")</f>
        <v>Catalog Record</v>
      </c>
      <c r="AW3539" s="6" t="str">
        <f>HYPERLINK("http://www.worldcat.org/oclc/3191396","WorldCat Record")</f>
        <v>WorldCat Record</v>
      </c>
      <c r="AX3539" s="3" t="s">
        <v>34209</v>
      </c>
      <c r="AY3539" s="3" t="s">
        <v>34210</v>
      </c>
      <c r="AZ3539" s="3" t="s">
        <v>34211</v>
      </c>
      <c r="BA3539" s="3" t="s">
        <v>34211</v>
      </c>
      <c r="BB3539" s="3" t="s">
        <v>34214</v>
      </c>
      <c r="BC3539" s="3" t="s">
        <v>4753</v>
      </c>
      <c r="BD3539" s="3" t="s">
        <v>68</v>
      </c>
      <c r="BF3539" s="3" t="s">
        <v>34214</v>
      </c>
      <c r="BG3539" s="3" t="s">
        <v>34215</v>
      </c>
    </row>
    <row r="3540" spans="1:59" ht="72.5" x14ac:dyDescent="0.35">
      <c r="A3540" s="2" t="s">
        <v>89</v>
      </c>
      <c r="B3540" s="2" t="s">
        <v>90</v>
      </c>
      <c r="C3540" s="2" t="s">
        <v>34216</v>
      </c>
      <c r="D3540" s="2" t="s">
        <v>34217</v>
      </c>
      <c r="E3540" s="2" t="s">
        <v>34218</v>
      </c>
      <c r="F3540" s="3" t="s">
        <v>1390</v>
      </c>
      <c r="G3540" s="3" t="s">
        <v>61</v>
      </c>
      <c r="I3540" s="3" t="s">
        <v>61</v>
      </c>
      <c r="J3540" s="3" t="s">
        <v>62</v>
      </c>
      <c r="K3540" s="3" t="s">
        <v>63</v>
      </c>
      <c r="M3540" s="2" t="s">
        <v>34219</v>
      </c>
      <c r="N3540" s="3" t="s">
        <v>2924</v>
      </c>
      <c r="P3540" s="3" t="s">
        <v>64</v>
      </c>
      <c r="Q3540" s="2" t="s">
        <v>34220</v>
      </c>
      <c r="R3540" s="3" t="s">
        <v>34126</v>
      </c>
      <c r="S3540" s="4">
        <v>1</v>
      </c>
      <c r="T3540" s="4">
        <v>17</v>
      </c>
      <c r="U3540" s="5" t="s">
        <v>6629</v>
      </c>
      <c r="V3540" s="5" t="s">
        <v>22541</v>
      </c>
      <c r="W3540" s="5" t="s">
        <v>67</v>
      </c>
      <c r="X3540" s="5" t="s">
        <v>67</v>
      </c>
      <c r="Y3540" s="4">
        <v>23</v>
      </c>
      <c r="Z3540" s="4">
        <v>17</v>
      </c>
      <c r="AA3540" s="4">
        <v>17</v>
      </c>
      <c r="AB3540" s="4">
        <v>2</v>
      </c>
      <c r="AC3540" s="4">
        <v>2</v>
      </c>
      <c r="AD3540" s="4">
        <v>10</v>
      </c>
      <c r="AE3540" s="4">
        <v>10</v>
      </c>
      <c r="AF3540" s="4">
        <v>0</v>
      </c>
      <c r="AG3540" s="4">
        <v>0</v>
      </c>
      <c r="AH3540" s="4">
        <v>2</v>
      </c>
      <c r="AI3540" s="4">
        <v>2</v>
      </c>
      <c r="AJ3540" s="4">
        <v>7</v>
      </c>
      <c r="AK3540" s="4">
        <v>7</v>
      </c>
      <c r="AL3540" s="4">
        <v>0</v>
      </c>
      <c r="AM3540" s="4">
        <v>0</v>
      </c>
      <c r="AN3540" s="4">
        <v>0</v>
      </c>
      <c r="AO3540" s="4">
        <v>0</v>
      </c>
      <c r="AP3540" s="4">
        <v>8</v>
      </c>
      <c r="AQ3540" s="4">
        <v>8</v>
      </c>
      <c r="AR3540" s="3" t="s">
        <v>61</v>
      </c>
      <c r="AS3540" s="3" t="s">
        <v>62</v>
      </c>
      <c r="AT3540" s="3" t="s">
        <v>62</v>
      </c>
      <c r="AV3540" s="6" t="str">
        <f>HYPERLINK("http://mcgill.on.worldcat.org/oclc/155769257","Catalog Record")</f>
        <v>Catalog Record</v>
      </c>
      <c r="AW3540" s="6" t="str">
        <f>HYPERLINK("http://www.worldcat.org/oclc/155769257","WorldCat Record")</f>
        <v>WorldCat Record</v>
      </c>
      <c r="AX3540" s="3" t="s">
        <v>34221</v>
      </c>
      <c r="AY3540" s="3" t="s">
        <v>34222</v>
      </c>
      <c r="AZ3540" s="3" t="s">
        <v>34223</v>
      </c>
      <c r="BA3540" s="3" t="s">
        <v>34223</v>
      </c>
      <c r="BB3540" s="3" t="s">
        <v>34224</v>
      </c>
      <c r="BC3540" s="3" t="s">
        <v>102</v>
      </c>
      <c r="BD3540" s="3" t="s">
        <v>68</v>
      </c>
      <c r="BF3540" s="3" t="s">
        <v>34224</v>
      </c>
      <c r="BG3540" s="3" t="s">
        <v>34225</v>
      </c>
    </row>
    <row r="3541" spans="1:59" ht="72.5" x14ac:dyDescent="0.35">
      <c r="A3541" s="2" t="s">
        <v>89</v>
      </c>
      <c r="B3541" s="2" t="s">
        <v>90</v>
      </c>
      <c r="C3541" s="2" t="s">
        <v>34216</v>
      </c>
      <c r="D3541" s="2" t="s">
        <v>34217</v>
      </c>
      <c r="E3541" s="2" t="s">
        <v>34218</v>
      </c>
      <c r="F3541" s="3" t="s">
        <v>1371</v>
      </c>
      <c r="G3541" s="3" t="s">
        <v>61</v>
      </c>
      <c r="I3541" s="3" t="s">
        <v>61</v>
      </c>
      <c r="J3541" s="3" t="s">
        <v>62</v>
      </c>
      <c r="K3541" s="3" t="s">
        <v>63</v>
      </c>
      <c r="M3541" s="2" t="s">
        <v>34219</v>
      </c>
      <c r="N3541" s="3" t="s">
        <v>2924</v>
      </c>
      <c r="P3541" s="3" t="s">
        <v>64</v>
      </c>
      <c r="Q3541" s="2" t="s">
        <v>34220</v>
      </c>
      <c r="R3541" s="3" t="s">
        <v>34126</v>
      </c>
      <c r="S3541" s="4">
        <v>2</v>
      </c>
      <c r="T3541" s="4">
        <v>17</v>
      </c>
      <c r="U3541" s="5" t="s">
        <v>22541</v>
      </c>
      <c r="V3541" s="5" t="s">
        <v>22541</v>
      </c>
      <c r="W3541" s="5" t="s">
        <v>67</v>
      </c>
      <c r="X3541" s="5" t="s">
        <v>67</v>
      </c>
      <c r="Y3541" s="4">
        <v>23</v>
      </c>
      <c r="Z3541" s="4">
        <v>17</v>
      </c>
      <c r="AA3541" s="4">
        <v>17</v>
      </c>
      <c r="AB3541" s="4">
        <v>2</v>
      </c>
      <c r="AC3541" s="4">
        <v>2</v>
      </c>
      <c r="AD3541" s="4">
        <v>10</v>
      </c>
      <c r="AE3541" s="4">
        <v>10</v>
      </c>
      <c r="AF3541" s="4">
        <v>0</v>
      </c>
      <c r="AG3541" s="4">
        <v>0</v>
      </c>
      <c r="AH3541" s="4">
        <v>2</v>
      </c>
      <c r="AI3541" s="4">
        <v>2</v>
      </c>
      <c r="AJ3541" s="4">
        <v>7</v>
      </c>
      <c r="AK3541" s="4">
        <v>7</v>
      </c>
      <c r="AL3541" s="4">
        <v>0</v>
      </c>
      <c r="AM3541" s="4">
        <v>0</v>
      </c>
      <c r="AN3541" s="4">
        <v>0</v>
      </c>
      <c r="AO3541" s="4">
        <v>0</v>
      </c>
      <c r="AP3541" s="4">
        <v>8</v>
      </c>
      <c r="AQ3541" s="4">
        <v>8</v>
      </c>
      <c r="AR3541" s="3" t="s">
        <v>61</v>
      </c>
      <c r="AS3541" s="3" t="s">
        <v>62</v>
      </c>
      <c r="AT3541" s="3" t="s">
        <v>62</v>
      </c>
      <c r="AV3541" s="6" t="str">
        <f>HYPERLINK("http://mcgill.on.worldcat.org/oclc/155769257","Catalog Record")</f>
        <v>Catalog Record</v>
      </c>
      <c r="AW3541" s="6" t="str">
        <f>HYPERLINK("http://www.worldcat.org/oclc/155769257","WorldCat Record")</f>
        <v>WorldCat Record</v>
      </c>
      <c r="AX3541" s="3" t="s">
        <v>34221</v>
      </c>
      <c r="AY3541" s="3" t="s">
        <v>34222</v>
      </c>
      <c r="AZ3541" s="3" t="s">
        <v>34223</v>
      </c>
      <c r="BA3541" s="3" t="s">
        <v>34223</v>
      </c>
      <c r="BB3541" s="3" t="s">
        <v>34226</v>
      </c>
      <c r="BC3541" s="3" t="s">
        <v>102</v>
      </c>
      <c r="BD3541" s="3" t="s">
        <v>68</v>
      </c>
      <c r="BF3541" s="3" t="s">
        <v>34226</v>
      </c>
      <c r="BG3541" s="3" t="s">
        <v>34227</v>
      </c>
    </row>
    <row r="3542" spans="1:59" ht="72.5" x14ac:dyDescent="0.35">
      <c r="A3542" s="2" t="s">
        <v>89</v>
      </c>
      <c r="B3542" s="2" t="s">
        <v>90</v>
      </c>
      <c r="C3542" s="2" t="s">
        <v>34216</v>
      </c>
      <c r="D3542" s="2" t="s">
        <v>34217</v>
      </c>
      <c r="E3542" s="2" t="s">
        <v>34218</v>
      </c>
      <c r="F3542" s="3" t="s">
        <v>1381</v>
      </c>
      <c r="G3542" s="3" t="s">
        <v>61</v>
      </c>
      <c r="I3542" s="3" t="s">
        <v>61</v>
      </c>
      <c r="J3542" s="3" t="s">
        <v>62</v>
      </c>
      <c r="K3542" s="3" t="s">
        <v>63</v>
      </c>
      <c r="M3542" s="2" t="s">
        <v>34219</v>
      </c>
      <c r="N3542" s="3" t="s">
        <v>2924</v>
      </c>
      <c r="P3542" s="3" t="s">
        <v>64</v>
      </c>
      <c r="Q3542" s="2" t="s">
        <v>34220</v>
      </c>
      <c r="R3542" s="3" t="s">
        <v>34126</v>
      </c>
      <c r="S3542" s="4">
        <v>3</v>
      </c>
      <c r="T3542" s="4">
        <v>17</v>
      </c>
      <c r="U3542" s="5" t="s">
        <v>22541</v>
      </c>
      <c r="V3542" s="5" t="s">
        <v>22541</v>
      </c>
      <c r="W3542" s="5" t="s">
        <v>67</v>
      </c>
      <c r="X3542" s="5" t="s">
        <v>67</v>
      </c>
      <c r="Y3542" s="4">
        <v>23</v>
      </c>
      <c r="Z3542" s="4">
        <v>17</v>
      </c>
      <c r="AA3542" s="4">
        <v>17</v>
      </c>
      <c r="AB3542" s="4">
        <v>2</v>
      </c>
      <c r="AC3542" s="4">
        <v>2</v>
      </c>
      <c r="AD3542" s="4">
        <v>10</v>
      </c>
      <c r="AE3542" s="4">
        <v>10</v>
      </c>
      <c r="AF3542" s="4">
        <v>0</v>
      </c>
      <c r="AG3542" s="4">
        <v>0</v>
      </c>
      <c r="AH3542" s="4">
        <v>2</v>
      </c>
      <c r="AI3542" s="4">
        <v>2</v>
      </c>
      <c r="AJ3542" s="4">
        <v>7</v>
      </c>
      <c r="AK3542" s="4">
        <v>7</v>
      </c>
      <c r="AL3542" s="4">
        <v>0</v>
      </c>
      <c r="AM3542" s="4">
        <v>0</v>
      </c>
      <c r="AN3542" s="4">
        <v>0</v>
      </c>
      <c r="AO3542" s="4">
        <v>0</v>
      </c>
      <c r="AP3542" s="4">
        <v>8</v>
      </c>
      <c r="AQ3542" s="4">
        <v>8</v>
      </c>
      <c r="AR3542" s="3" t="s">
        <v>61</v>
      </c>
      <c r="AS3542" s="3" t="s">
        <v>62</v>
      </c>
      <c r="AT3542" s="3" t="s">
        <v>62</v>
      </c>
      <c r="AV3542" s="6" t="str">
        <f>HYPERLINK("http://mcgill.on.worldcat.org/oclc/155769257","Catalog Record")</f>
        <v>Catalog Record</v>
      </c>
      <c r="AW3542" s="6" t="str">
        <f>HYPERLINK("http://www.worldcat.org/oclc/155769257","WorldCat Record")</f>
        <v>WorldCat Record</v>
      </c>
      <c r="AX3542" s="3" t="s">
        <v>34221</v>
      </c>
      <c r="AY3542" s="3" t="s">
        <v>34222</v>
      </c>
      <c r="AZ3542" s="3" t="s">
        <v>34223</v>
      </c>
      <c r="BA3542" s="3" t="s">
        <v>34223</v>
      </c>
      <c r="BB3542" s="3" t="s">
        <v>34228</v>
      </c>
      <c r="BC3542" s="3" t="s">
        <v>102</v>
      </c>
      <c r="BD3542" s="3" t="s">
        <v>68</v>
      </c>
      <c r="BF3542" s="3" t="s">
        <v>34228</v>
      </c>
      <c r="BG3542" s="3" t="s">
        <v>34229</v>
      </c>
    </row>
    <row r="3543" spans="1:59" ht="72.5" x14ac:dyDescent="0.35">
      <c r="A3543" s="2" t="s">
        <v>89</v>
      </c>
      <c r="B3543" s="2" t="s">
        <v>90</v>
      </c>
      <c r="C3543" s="2" t="s">
        <v>34230</v>
      </c>
      <c r="D3543" s="2" t="s">
        <v>34231</v>
      </c>
      <c r="E3543" s="2" t="s">
        <v>34232</v>
      </c>
      <c r="F3543" s="3" t="s">
        <v>34233</v>
      </c>
      <c r="G3543" s="3" t="s">
        <v>62</v>
      </c>
      <c r="I3543" s="3" t="s">
        <v>61</v>
      </c>
      <c r="J3543" s="3" t="s">
        <v>62</v>
      </c>
      <c r="K3543" s="3" t="s">
        <v>63</v>
      </c>
      <c r="L3543" s="2" t="s">
        <v>34234</v>
      </c>
      <c r="M3543" s="2" t="s">
        <v>34235</v>
      </c>
      <c r="N3543" s="3" t="s">
        <v>838</v>
      </c>
      <c r="P3543" s="3" t="s">
        <v>34236</v>
      </c>
      <c r="Q3543" s="2" t="s">
        <v>34237</v>
      </c>
      <c r="R3543" s="3" t="s">
        <v>34126</v>
      </c>
      <c r="S3543" s="4">
        <v>3</v>
      </c>
      <c r="T3543" s="4">
        <v>5</v>
      </c>
      <c r="U3543" s="5" t="s">
        <v>34238</v>
      </c>
      <c r="V3543" s="5" t="s">
        <v>34238</v>
      </c>
      <c r="W3543" s="5" t="s">
        <v>67</v>
      </c>
      <c r="X3543" s="5" t="s">
        <v>67</v>
      </c>
      <c r="Y3543" s="4">
        <v>172</v>
      </c>
      <c r="Z3543" s="4">
        <v>53</v>
      </c>
      <c r="AA3543" s="4">
        <v>61</v>
      </c>
      <c r="AB3543" s="4">
        <v>4</v>
      </c>
      <c r="AC3543" s="4">
        <v>5</v>
      </c>
      <c r="AD3543" s="4">
        <v>75</v>
      </c>
      <c r="AE3543" s="4">
        <v>86</v>
      </c>
      <c r="AF3543" s="4">
        <v>1</v>
      </c>
      <c r="AG3543" s="4">
        <v>2</v>
      </c>
      <c r="AH3543" s="4">
        <v>55</v>
      </c>
      <c r="AI3543" s="4">
        <v>63</v>
      </c>
      <c r="AJ3543" s="4">
        <v>16</v>
      </c>
      <c r="AK3543" s="4">
        <v>20</v>
      </c>
      <c r="AL3543" s="4">
        <v>34</v>
      </c>
      <c r="AM3543" s="4">
        <v>36</v>
      </c>
      <c r="AN3543" s="4">
        <v>0</v>
      </c>
      <c r="AO3543" s="4">
        <v>0</v>
      </c>
      <c r="AP3543" s="4">
        <v>24</v>
      </c>
      <c r="AQ3543" s="4">
        <v>29</v>
      </c>
      <c r="AR3543" s="3" t="s">
        <v>61</v>
      </c>
      <c r="AS3543" s="3" t="s">
        <v>62</v>
      </c>
      <c r="AT3543" s="3" t="s">
        <v>61</v>
      </c>
      <c r="AU3543" s="6" t="str">
        <f>HYPERLINK("http://catalog.hathitrust.org/Record/000663240","HathiTrust Record")</f>
        <v>HathiTrust Record</v>
      </c>
      <c r="AV3543" s="6" t="str">
        <f>HYPERLINK("http://mcgill.on.worldcat.org/oclc/1580579","Catalog Record")</f>
        <v>Catalog Record</v>
      </c>
      <c r="AW3543" s="6" t="str">
        <f>HYPERLINK("http://www.worldcat.org/oclc/1580579","WorldCat Record")</f>
        <v>WorldCat Record</v>
      </c>
      <c r="AX3543" s="3" t="s">
        <v>34239</v>
      </c>
      <c r="AY3543" s="3" t="s">
        <v>34240</v>
      </c>
      <c r="AZ3543" s="3" t="s">
        <v>34241</v>
      </c>
      <c r="BA3543" s="3" t="s">
        <v>34241</v>
      </c>
      <c r="BB3543" s="3" t="s">
        <v>34242</v>
      </c>
      <c r="BC3543" s="3" t="s">
        <v>34162</v>
      </c>
      <c r="BD3543" s="3" t="s">
        <v>68</v>
      </c>
      <c r="BF3543" s="3" t="s">
        <v>34242</v>
      </c>
      <c r="BG3543" s="3" t="s">
        <v>34243</v>
      </c>
    </row>
    <row r="3544" spans="1:59" ht="72.5" x14ac:dyDescent="0.35">
      <c r="A3544" s="2" t="s">
        <v>89</v>
      </c>
      <c r="B3544" s="2" t="s">
        <v>90</v>
      </c>
      <c r="C3544" s="2" t="s">
        <v>34244</v>
      </c>
      <c r="D3544" s="2" t="s">
        <v>34245</v>
      </c>
      <c r="E3544" s="2" t="s">
        <v>34246</v>
      </c>
      <c r="F3544" s="3" t="s">
        <v>34247</v>
      </c>
      <c r="G3544" s="3" t="s">
        <v>62</v>
      </c>
      <c r="I3544" s="3" t="s">
        <v>61</v>
      </c>
      <c r="J3544" s="3" t="s">
        <v>62</v>
      </c>
      <c r="K3544" s="3" t="s">
        <v>63</v>
      </c>
      <c r="L3544" s="2" t="s">
        <v>34248</v>
      </c>
      <c r="M3544" s="2" t="s">
        <v>34249</v>
      </c>
      <c r="N3544" s="3" t="s">
        <v>2924</v>
      </c>
      <c r="P3544" s="3" t="s">
        <v>64</v>
      </c>
      <c r="Q3544" s="2" t="s">
        <v>34250</v>
      </c>
      <c r="R3544" s="3" t="s">
        <v>34126</v>
      </c>
      <c r="S3544" s="4">
        <v>2</v>
      </c>
      <c r="T3544" s="4">
        <v>4</v>
      </c>
      <c r="U3544" s="5" t="s">
        <v>22541</v>
      </c>
      <c r="V3544" s="5" t="s">
        <v>22541</v>
      </c>
      <c r="W3544" s="5" t="s">
        <v>67</v>
      </c>
      <c r="X3544" s="5" t="s">
        <v>67</v>
      </c>
      <c r="Y3544" s="4">
        <v>66</v>
      </c>
      <c r="Z3544" s="4">
        <v>33</v>
      </c>
      <c r="AA3544" s="4">
        <v>35</v>
      </c>
      <c r="AB3544" s="4">
        <v>3</v>
      </c>
      <c r="AC3544" s="4">
        <v>5</v>
      </c>
      <c r="AD3544" s="4">
        <v>27</v>
      </c>
      <c r="AE3544" s="4">
        <v>29</v>
      </c>
      <c r="AF3544" s="4">
        <v>1</v>
      </c>
      <c r="AG3544" s="4">
        <v>3</v>
      </c>
      <c r="AH3544" s="4">
        <v>16</v>
      </c>
      <c r="AI3544" s="4">
        <v>16</v>
      </c>
      <c r="AJ3544" s="4">
        <v>13</v>
      </c>
      <c r="AK3544" s="4">
        <v>15</v>
      </c>
      <c r="AL3544" s="4">
        <v>7</v>
      </c>
      <c r="AM3544" s="4">
        <v>7</v>
      </c>
      <c r="AN3544" s="4">
        <v>0</v>
      </c>
      <c r="AO3544" s="4">
        <v>0</v>
      </c>
      <c r="AP3544" s="4">
        <v>17</v>
      </c>
      <c r="AQ3544" s="4">
        <v>18</v>
      </c>
      <c r="AR3544" s="3" t="s">
        <v>61</v>
      </c>
      <c r="AS3544" s="3" t="s">
        <v>62</v>
      </c>
      <c r="AT3544" s="3" t="s">
        <v>62</v>
      </c>
      <c r="AV3544" s="6" t="str">
        <f>HYPERLINK("http://mcgill.on.worldcat.org/oclc/220032593","Catalog Record")</f>
        <v>Catalog Record</v>
      </c>
      <c r="AW3544" s="6" t="str">
        <f>HYPERLINK("http://www.worldcat.org/oclc/220032593","WorldCat Record")</f>
        <v>WorldCat Record</v>
      </c>
      <c r="AX3544" s="3" t="s">
        <v>34251</v>
      </c>
      <c r="AY3544" s="3" t="s">
        <v>34252</v>
      </c>
      <c r="AZ3544" s="3" t="s">
        <v>34253</v>
      </c>
      <c r="BA3544" s="3" t="s">
        <v>34253</v>
      </c>
      <c r="BB3544" s="3" t="s">
        <v>34254</v>
      </c>
      <c r="BC3544" s="3" t="s">
        <v>102</v>
      </c>
      <c r="BD3544" s="3" t="s">
        <v>68</v>
      </c>
      <c r="BF3544" s="3" t="s">
        <v>34254</v>
      </c>
      <c r="BG3544" s="3" t="s">
        <v>34255</v>
      </c>
    </row>
    <row r="3545" spans="1:59" ht="72.5" x14ac:dyDescent="0.35">
      <c r="A3545" s="2" t="s">
        <v>89</v>
      </c>
      <c r="B3545" s="2" t="s">
        <v>90</v>
      </c>
      <c r="C3545" s="2" t="s">
        <v>34256</v>
      </c>
      <c r="D3545" s="2" t="s">
        <v>34257</v>
      </c>
      <c r="E3545" s="2" t="s">
        <v>34258</v>
      </c>
      <c r="F3545" s="3" t="s">
        <v>34259</v>
      </c>
      <c r="G3545" s="3" t="s">
        <v>62</v>
      </c>
      <c r="I3545" s="3" t="s">
        <v>62</v>
      </c>
      <c r="J3545" s="3" t="s">
        <v>62</v>
      </c>
      <c r="K3545" s="3" t="s">
        <v>63</v>
      </c>
      <c r="L3545" s="2" t="s">
        <v>34260</v>
      </c>
      <c r="M3545" s="2" t="s">
        <v>34261</v>
      </c>
      <c r="N3545" s="3" t="s">
        <v>1576</v>
      </c>
      <c r="P3545" s="3" t="s">
        <v>64</v>
      </c>
      <c r="Q3545" s="2" t="s">
        <v>34262</v>
      </c>
      <c r="R3545" s="3" t="s">
        <v>34126</v>
      </c>
      <c r="S3545" s="4">
        <v>13</v>
      </c>
      <c r="T3545" s="4">
        <v>13</v>
      </c>
      <c r="U3545" s="5" t="s">
        <v>1052</v>
      </c>
      <c r="V3545" s="5" t="s">
        <v>1052</v>
      </c>
      <c r="W3545" s="5" t="s">
        <v>67</v>
      </c>
      <c r="X3545" s="5" t="s">
        <v>67</v>
      </c>
      <c r="Y3545" s="4">
        <v>142</v>
      </c>
      <c r="Z3545" s="4">
        <v>37</v>
      </c>
      <c r="AA3545" s="4">
        <v>69</v>
      </c>
      <c r="AB3545" s="4">
        <v>3</v>
      </c>
      <c r="AC3545" s="4">
        <v>7</v>
      </c>
      <c r="AD3545" s="4">
        <v>69</v>
      </c>
      <c r="AE3545" s="4">
        <v>88</v>
      </c>
      <c r="AF3545" s="4">
        <v>1</v>
      </c>
      <c r="AG3545" s="4">
        <v>3</v>
      </c>
      <c r="AH3545" s="4">
        <v>49</v>
      </c>
      <c r="AI3545" s="4">
        <v>59</v>
      </c>
      <c r="AJ3545" s="4">
        <v>15</v>
      </c>
      <c r="AK3545" s="4">
        <v>25</v>
      </c>
      <c r="AL3545" s="4">
        <v>30</v>
      </c>
      <c r="AM3545" s="4">
        <v>34</v>
      </c>
      <c r="AN3545" s="4">
        <v>0</v>
      </c>
      <c r="AO3545" s="4">
        <v>0</v>
      </c>
      <c r="AP3545" s="4">
        <v>27</v>
      </c>
      <c r="AQ3545" s="4">
        <v>38</v>
      </c>
      <c r="AR3545" s="3" t="s">
        <v>61</v>
      </c>
      <c r="AS3545" s="3" t="s">
        <v>62</v>
      </c>
      <c r="AT3545" s="3" t="s">
        <v>62</v>
      </c>
      <c r="AV3545" s="6" t="str">
        <f>HYPERLINK("http://mcgill.on.worldcat.org/oclc/4258965","Catalog Record")</f>
        <v>Catalog Record</v>
      </c>
      <c r="AW3545" s="6" t="str">
        <f>HYPERLINK("http://www.worldcat.org/oclc/4258965","WorldCat Record")</f>
        <v>WorldCat Record</v>
      </c>
      <c r="AX3545" s="3" t="s">
        <v>34263</v>
      </c>
      <c r="AY3545" s="3" t="s">
        <v>34264</v>
      </c>
      <c r="AZ3545" s="3" t="s">
        <v>34265</v>
      </c>
      <c r="BA3545" s="3" t="s">
        <v>34265</v>
      </c>
      <c r="BB3545" s="3" t="s">
        <v>34266</v>
      </c>
      <c r="BC3545" s="3" t="s">
        <v>102</v>
      </c>
      <c r="BD3545" s="3" t="s">
        <v>68</v>
      </c>
      <c r="BF3545" s="3" t="s">
        <v>34266</v>
      </c>
      <c r="BG3545" s="3" t="s">
        <v>34267</v>
      </c>
    </row>
    <row r="3546" spans="1:59" ht="72.5" x14ac:dyDescent="0.35">
      <c r="A3546" s="2" t="s">
        <v>89</v>
      </c>
      <c r="B3546" s="2" t="s">
        <v>1231</v>
      </c>
      <c r="C3546" s="2" t="s">
        <v>34268</v>
      </c>
      <c r="D3546" s="2" t="s">
        <v>34269</v>
      </c>
      <c r="E3546" s="2" t="s">
        <v>34270</v>
      </c>
      <c r="F3546" s="3" t="s">
        <v>34271</v>
      </c>
      <c r="G3546" s="3" t="s">
        <v>62</v>
      </c>
      <c r="I3546" s="3" t="s">
        <v>61</v>
      </c>
      <c r="J3546" s="3" t="s">
        <v>62</v>
      </c>
      <c r="K3546" s="3" t="s">
        <v>63</v>
      </c>
      <c r="L3546" s="2" t="s">
        <v>34272</v>
      </c>
      <c r="M3546" s="2" t="s">
        <v>34273</v>
      </c>
      <c r="N3546" s="3" t="s">
        <v>81</v>
      </c>
      <c r="P3546" s="3" t="s">
        <v>85</v>
      </c>
      <c r="Q3546" s="2" t="s">
        <v>34274</v>
      </c>
      <c r="R3546" s="3" t="s">
        <v>34126</v>
      </c>
      <c r="S3546" s="4">
        <v>0</v>
      </c>
      <c r="T3546" s="4">
        <v>3</v>
      </c>
      <c r="V3546" s="5" t="s">
        <v>21585</v>
      </c>
      <c r="W3546" s="5" t="s">
        <v>67</v>
      </c>
      <c r="X3546" s="5" t="s">
        <v>67</v>
      </c>
      <c r="Y3546" s="4">
        <v>59</v>
      </c>
      <c r="Z3546" s="4">
        <v>14</v>
      </c>
      <c r="AA3546" s="4">
        <v>17</v>
      </c>
      <c r="AB3546" s="4">
        <v>3</v>
      </c>
      <c r="AC3546" s="4">
        <v>3</v>
      </c>
      <c r="AD3546" s="4">
        <v>30</v>
      </c>
      <c r="AE3546" s="4">
        <v>32</v>
      </c>
      <c r="AF3546" s="4">
        <v>1</v>
      </c>
      <c r="AG3546" s="4">
        <v>1</v>
      </c>
      <c r="AH3546" s="4">
        <v>21</v>
      </c>
      <c r="AI3546" s="4">
        <v>22</v>
      </c>
      <c r="AJ3546" s="4">
        <v>8</v>
      </c>
      <c r="AK3546" s="4">
        <v>9</v>
      </c>
      <c r="AL3546" s="4">
        <v>15</v>
      </c>
      <c r="AM3546" s="4">
        <v>15</v>
      </c>
      <c r="AN3546" s="4">
        <v>0</v>
      </c>
      <c r="AO3546" s="4">
        <v>0</v>
      </c>
      <c r="AP3546" s="4">
        <v>10</v>
      </c>
      <c r="AQ3546" s="4">
        <v>12</v>
      </c>
      <c r="AR3546" s="3" t="s">
        <v>61</v>
      </c>
      <c r="AS3546" s="3" t="s">
        <v>62</v>
      </c>
      <c r="AT3546" s="3" t="s">
        <v>61</v>
      </c>
      <c r="AU3546" s="6" t="str">
        <f>HYPERLINK("http://catalog.hathitrust.org/Record/001646731","HathiTrust Record")</f>
        <v>HathiTrust Record</v>
      </c>
      <c r="AV3546" s="6" t="str">
        <f>HYPERLINK("http://mcgill.on.worldcat.org/oclc/1135050","Catalog Record")</f>
        <v>Catalog Record</v>
      </c>
      <c r="AW3546" s="6" t="str">
        <f>HYPERLINK("http://www.worldcat.org/oclc/1135050","WorldCat Record")</f>
        <v>WorldCat Record</v>
      </c>
      <c r="AX3546" s="3" t="s">
        <v>34275</v>
      </c>
      <c r="AY3546" s="3" t="s">
        <v>34276</v>
      </c>
      <c r="AZ3546" s="3" t="s">
        <v>34277</v>
      </c>
      <c r="BA3546" s="3" t="s">
        <v>34277</v>
      </c>
      <c r="BB3546" s="3" t="s">
        <v>34278</v>
      </c>
      <c r="BC3546" s="3" t="s">
        <v>102</v>
      </c>
      <c r="BD3546" s="3" t="s">
        <v>68</v>
      </c>
      <c r="BF3546" s="3" t="s">
        <v>34278</v>
      </c>
      <c r="BG3546" s="3" t="s">
        <v>34279</v>
      </c>
    </row>
    <row r="3547" spans="1:59" ht="72.5" x14ac:dyDescent="0.35">
      <c r="A3547" s="2" t="s">
        <v>89</v>
      </c>
      <c r="B3547" s="2" t="s">
        <v>90</v>
      </c>
      <c r="C3547" s="2" t="s">
        <v>34268</v>
      </c>
      <c r="D3547" s="2" t="s">
        <v>34269</v>
      </c>
      <c r="E3547" s="2" t="s">
        <v>34270</v>
      </c>
      <c r="F3547" s="3" t="s">
        <v>34271</v>
      </c>
      <c r="G3547" s="3" t="s">
        <v>62</v>
      </c>
      <c r="I3547" s="3" t="s">
        <v>61</v>
      </c>
      <c r="J3547" s="3" t="s">
        <v>62</v>
      </c>
      <c r="K3547" s="3" t="s">
        <v>63</v>
      </c>
      <c r="L3547" s="2" t="s">
        <v>34272</v>
      </c>
      <c r="M3547" s="2" t="s">
        <v>34273</v>
      </c>
      <c r="N3547" s="3" t="s">
        <v>81</v>
      </c>
      <c r="P3547" s="3" t="s">
        <v>85</v>
      </c>
      <c r="Q3547" s="2" t="s">
        <v>34274</v>
      </c>
      <c r="R3547" s="3" t="s">
        <v>34126</v>
      </c>
      <c r="S3547" s="4">
        <v>3</v>
      </c>
      <c r="T3547" s="4">
        <v>3</v>
      </c>
      <c r="U3547" s="5" t="s">
        <v>21585</v>
      </c>
      <c r="V3547" s="5" t="s">
        <v>21585</v>
      </c>
      <c r="W3547" s="5" t="s">
        <v>67</v>
      </c>
      <c r="X3547" s="5" t="s">
        <v>67</v>
      </c>
      <c r="Y3547" s="4">
        <v>59</v>
      </c>
      <c r="Z3547" s="4">
        <v>14</v>
      </c>
      <c r="AA3547" s="4">
        <v>17</v>
      </c>
      <c r="AB3547" s="4">
        <v>3</v>
      </c>
      <c r="AC3547" s="4">
        <v>3</v>
      </c>
      <c r="AD3547" s="4">
        <v>30</v>
      </c>
      <c r="AE3547" s="4">
        <v>32</v>
      </c>
      <c r="AF3547" s="4">
        <v>1</v>
      </c>
      <c r="AG3547" s="4">
        <v>1</v>
      </c>
      <c r="AH3547" s="4">
        <v>21</v>
      </c>
      <c r="AI3547" s="4">
        <v>22</v>
      </c>
      <c r="AJ3547" s="4">
        <v>8</v>
      </c>
      <c r="AK3547" s="4">
        <v>9</v>
      </c>
      <c r="AL3547" s="4">
        <v>15</v>
      </c>
      <c r="AM3547" s="4">
        <v>15</v>
      </c>
      <c r="AN3547" s="4">
        <v>0</v>
      </c>
      <c r="AO3547" s="4">
        <v>0</v>
      </c>
      <c r="AP3547" s="4">
        <v>10</v>
      </c>
      <c r="AQ3547" s="4">
        <v>12</v>
      </c>
      <c r="AR3547" s="3" t="s">
        <v>61</v>
      </c>
      <c r="AS3547" s="3" t="s">
        <v>62</v>
      </c>
      <c r="AT3547" s="3" t="s">
        <v>61</v>
      </c>
      <c r="AU3547" s="6" t="str">
        <f>HYPERLINK("http://catalog.hathitrust.org/Record/001646731","HathiTrust Record")</f>
        <v>HathiTrust Record</v>
      </c>
      <c r="AV3547" s="6" t="str">
        <f>HYPERLINK("http://mcgill.on.worldcat.org/oclc/1135050","Catalog Record")</f>
        <v>Catalog Record</v>
      </c>
      <c r="AW3547" s="6" t="str">
        <f>HYPERLINK("http://www.worldcat.org/oclc/1135050","WorldCat Record")</f>
        <v>WorldCat Record</v>
      </c>
      <c r="AX3547" s="3" t="s">
        <v>34275</v>
      </c>
      <c r="AY3547" s="3" t="s">
        <v>34276</v>
      </c>
      <c r="AZ3547" s="3" t="s">
        <v>34277</v>
      </c>
      <c r="BA3547" s="3" t="s">
        <v>34277</v>
      </c>
      <c r="BB3547" s="3" t="s">
        <v>34280</v>
      </c>
      <c r="BC3547" s="3" t="s">
        <v>102</v>
      </c>
      <c r="BD3547" s="3" t="s">
        <v>68</v>
      </c>
      <c r="BF3547" s="3" t="s">
        <v>34280</v>
      </c>
      <c r="BG3547" s="3" t="s">
        <v>34281</v>
      </c>
    </row>
    <row r="3548" spans="1:59" ht="72.5" x14ac:dyDescent="0.35">
      <c r="A3548" s="2" t="s">
        <v>89</v>
      </c>
      <c r="B3548" s="2" t="s">
        <v>90</v>
      </c>
      <c r="C3548" s="2" t="s">
        <v>34282</v>
      </c>
      <c r="D3548" s="2" t="s">
        <v>34283</v>
      </c>
      <c r="E3548" s="2" t="s">
        <v>34284</v>
      </c>
      <c r="F3548" s="3" t="s">
        <v>34285</v>
      </c>
      <c r="G3548" s="3" t="s">
        <v>62</v>
      </c>
      <c r="I3548" s="3" t="s">
        <v>62</v>
      </c>
      <c r="J3548" s="3" t="s">
        <v>62</v>
      </c>
      <c r="K3548" s="3" t="s">
        <v>63</v>
      </c>
      <c r="L3548" s="2" t="s">
        <v>34191</v>
      </c>
      <c r="M3548" s="2" t="s">
        <v>34286</v>
      </c>
      <c r="N3548" s="3" t="s">
        <v>954</v>
      </c>
      <c r="P3548" s="3" t="s">
        <v>64</v>
      </c>
      <c r="Q3548" s="2" t="s">
        <v>34287</v>
      </c>
      <c r="R3548" s="3" t="s">
        <v>34126</v>
      </c>
      <c r="S3548" s="4">
        <v>18</v>
      </c>
      <c r="T3548" s="4">
        <v>18</v>
      </c>
      <c r="U3548" s="5" t="s">
        <v>13600</v>
      </c>
      <c r="V3548" s="5" t="s">
        <v>13600</v>
      </c>
      <c r="W3548" s="5" t="s">
        <v>67</v>
      </c>
      <c r="X3548" s="5" t="s">
        <v>67</v>
      </c>
      <c r="Y3548" s="4">
        <v>168</v>
      </c>
      <c r="Z3548" s="4">
        <v>41</v>
      </c>
      <c r="AA3548" s="4">
        <v>55</v>
      </c>
      <c r="AB3548" s="4">
        <v>3</v>
      </c>
      <c r="AC3548" s="4">
        <v>9</v>
      </c>
      <c r="AD3548" s="4">
        <v>81</v>
      </c>
      <c r="AE3548" s="4">
        <v>87</v>
      </c>
      <c r="AF3548" s="4">
        <v>2</v>
      </c>
      <c r="AG3548" s="4">
        <v>4</v>
      </c>
      <c r="AH3548" s="4">
        <v>57</v>
      </c>
      <c r="AI3548" s="4">
        <v>59</v>
      </c>
      <c r="AJ3548" s="4">
        <v>17</v>
      </c>
      <c r="AK3548" s="4">
        <v>21</v>
      </c>
      <c r="AL3548" s="4">
        <v>31</v>
      </c>
      <c r="AM3548" s="4">
        <v>32</v>
      </c>
      <c r="AN3548" s="4">
        <v>0</v>
      </c>
      <c r="AO3548" s="4">
        <v>0</v>
      </c>
      <c r="AP3548" s="4">
        <v>28</v>
      </c>
      <c r="AQ3548" s="4">
        <v>33</v>
      </c>
      <c r="AR3548" s="3" t="s">
        <v>61</v>
      </c>
      <c r="AS3548" s="3" t="s">
        <v>62</v>
      </c>
      <c r="AT3548" s="3" t="s">
        <v>61</v>
      </c>
      <c r="AU3548" s="6" t="str">
        <f>HYPERLINK("http://catalog.hathitrust.org/Record/000291605","HathiTrust Record")</f>
        <v>HathiTrust Record</v>
      </c>
      <c r="AV3548" s="6" t="str">
        <f>HYPERLINK("http://mcgill.on.worldcat.org/oclc/455978","Catalog Record")</f>
        <v>Catalog Record</v>
      </c>
      <c r="AW3548" s="6" t="str">
        <f>HYPERLINK("http://www.worldcat.org/oclc/455978","WorldCat Record")</f>
        <v>WorldCat Record</v>
      </c>
      <c r="AX3548" s="3" t="s">
        <v>34288</v>
      </c>
      <c r="AY3548" s="3" t="s">
        <v>34289</v>
      </c>
      <c r="AZ3548" s="3" t="s">
        <v>34290</v>
      </c>
      <c r="BA3548" s="3" t="s">
        <v>34290</v>
      </c>
      <c r="BB3548" s="3" t="s">
        <v>34291</v>
      </c>
      <c r="BC3548" s="3" t="s">
        <v>102</v>
      </c>
      <c r="BD3548" s="3" t="s">
        <v>68</v>
      </c>
      <c r="BF3548" s="3" t="s">
        <v>34291</v>
      </c>
      <c r="BG3548" s="3" t="s">
        <v>34292</v>
      </c>
    </row>
    <row r="3549" spans="1:59" ht="72.5" x14ac:dyDescent="0.35">
      <c r="A3549" s="2" t="s">
        <v>89</v>
      </c>
      <c r="B3549" s="2" t="s">
        <v>90</v>
      </c>
      <c r="C3549" s="2" t="s">
        <v>34293</v>
      </c>
      <c r="D3549" s="2" t="s">
        <v>34294</v>
      </c>
      <c r="E3549" s="2" t="s">
        <v>34295</v>
      </c>
      <c r="F3549" s="3" t="s">
        <v>34296</v>
      </c>
      <c r="G3549" s="3" t="s">
        <v>62</v>
      </c>
      <c r="I3549" s="3" t="s">
        <v>61</v>
      </c>
      <c r="J3549" s="3" t="s">
        <v>62</v>
      </c>
      <c r="K3549" s="3" t="s">
        <v>63</v>
      </c>
      <c r="L3549" s="2" t="s">
        <v>34297</v>
      </c>
      <c r="M3549" s="2" t="s">
        <v>34298</v>
      </c>
      <c r="N3549" s="3" t="s">
        <v>81</v>
      </c>
      <c r="P3549" s="3" t="s">
        <v>64</v>
      </c>
      <c r="Q3549" s="2" t="s">
        <v>34299</v>
      </c>
      <c r="R3549" s="3" t="s">
        <v>34126</v>
      </c>
      <c r="S3549" s="4">
        <v>5</v>
      </c>
      <c r="T3549" s="4">
        <v>5</v>
      </c>
      <c r="U3549" s="5" t="s">
        <v>34300</v>
      </c>
      <c r="V3549" s="5" t="s">
        <v>34300</v>
      </c>
      <c r="W3549" s="5" t="s">
        <v>67</v>
      </c>
      <c r="X3549" s="5" t="s">
        <v>67</v>
      </c>
      <c r="Y3549" s="4">
        <v>228</v>
      </c>
      <c r="Z3549" s="4">
        <v>53</v>
      </c>
      <c r="AA3549" s="4">
        <v>80</v>
      </c>
      <c r="AB3549" s="4">
        <v>3</v>
      </c>
      <c r="AC3549" s="4">
        <v>12</v>
      </c>
      <c r="AD3549" s="4">
        <v>93</v>
      </c>
      <c r="AE3549" s="4">
        <v>103</v>
      </c>
      <c r="AF3549" s="4">
        <v>1</v>
      </c>
      <c r="AG3549" s="4">
        <v>4</v>
      </c>
      <c r="AH3549" s="4">
        <v>68</v>
      </c>
      <c r="AI3549" s="4">
        <v>72</v>
      </c>
      <c r="AJ3549" s="4">
        <v>20</v>
      </c>
      <c r="AK3549" s="4">
        <v>26</v>
      </c>
      <c r="AL3549" s="4">
        <v>34</v>
      </c>
      <c r="AM3549" s="4">
        <v>36</v>
      </c>
      <c r="AN3549" s="4">
        <v>0</v>
      </c>
      <c r="AO3549" s="4">
        <v>0</v>
      </c>
      <c r="AP3549" s="4">
        <v>32</v>
      </c>
      <c r="AQ3549" s="4">
        <v>40</v>
      </c>
      <c r="AR3549" s="3" t="s">
        <v>61</v>
      </c>
      <c r="AS3549" s="3" t="s">
        <v>62</v>
      </c>
      <c r="AT3549" s="3" t="s">
        <v>61</v>
      </c>
      <c r="AU3549" s="6" t="str">
        <f>HYPERLINK("http://catalog.hathitrust.org/Record/001638725","HathiTrust Record")</f>
        <v>HathiTrust Record</v>
      </c>
      <c r="AV3549" s="6" t="str">
        <f>HYPERLINK("http://mcgill.on.worldcat.org/oclc/18808","Catalog Record")</f>
        <v>Catalog Record</v>
      </c>
      <c r="AW3549" s="6" t="str">
        <f>HYPERLINK("http://www.worldcat.org/oclc/18808","WorldCat Record")</f>
        <v>WorldCat Record</v>
      </c>
      <c r="AX3549" s="3" t="s">
        <v>34301</v>
      </c>
      <c r="AY3549" s="3" t="s">
        <v>34302</v>
      </c>
      <c r="AZ3549" s="3" t="s">
        <v>34303</v>
      </c>
      <c r="BA3549" s="3" t="s">
        <v>34303</v>
      </c>
      <c r="BB3549" s="3" t="s">
        <v>34304</v>
      </c>
      <c r="BC3549" s="3" t="s">
        <v>102</v>
      </c>
      <c r="BD3549" s="3" t="s">
        <v>68</v>
      </c>
      <c r="BF3549" s="3" t="s">
        <v>34304</v>
      </c>
      <c r="BG3549" s="3" t="s">
        <v>34305</v>
      </c>
    </row>
    <row r="3550" spans="1:59" ht="72.5" x14ac:dyDescent="0.35">
      <c r="A3550" s="2" t="s">
        <v>89</v>
      </c>
      <c r="B3550" s="2" t="s">
        <v>90</v>
      </c>
      <c r="C3550" s="2" t="s">
        <v>34306</v>
      </c>
      <c r="D3550" s="2" t="s">
        <v>34307</v>
      </c>
      <c r="E3550" s="2" t="s">
        <v>34308</v>
      </c>
      <c r="F3550" s="3" t="s">
        <v>34309</v>
      </c>
      <c r="G3550" s="3" t="s">
        <v>62</v>
      </c>
      <c r="I3550" s="3" t="s">
        <v>62</v>
      </c>
      <c r="J3550" s="3" t="s">
        <v>62</v>
      </c>
      <c r="K3550" s="3" t="s">
        <v>63</v>
      </c>
      <c r="L3550" s="2" t="s">
        <v>34272</v>
      </c>
      <c r="M3550" s="2" t="s">
        <v>34310</v>
      </c>
      <c r="N3550" s="3" t="s">
        <v>81</v>
      </c>
      <c r="P3550" s="3" t="s">
        <v>85</v>
      </c>
      <c r="Q3550" s="2" t="s">
        <v>34311</v>
      </c>
      <c r="R3550" s="3" t="s">
        <v>34126</v>
      </c>
      <c r="S3550" s="4">
        <v>5</v>
      </c>
      <c r="T3550" s="4">
        <v>5</v>
      </c>
      <c r="U3550" s="5" t="s">
        <v>34312</v>
      </c>
      <c r="V3550" s="5" t="s">
        <v>34312</v>
      </c>
      <c r="W3550" s="5" t="s">
        <v>67</v>
      </c>
      <c r="X3550" s="5" t="s">
        <v>67</v>
      </c>
      <c r="Y3550" s="4">
        <v>78</v>
      </c>
      <c r="Z3550" s="4">
        <v>9</v>
      </c>
      <c r="AA3550" s="4">
        <v>32</v>
      </c>
      <c r="AB3550" s="4">
        <v>2</v>
      </c>
      <c r="AC3550" s="4">
        <v>11</v>
      </c>
      <c r="AD3550" s="4">
        <v>39</v>
      </c>
      <c r="AE3550" s="4">
        <v>49</v>
      </c>
      <c r="AF3550" s="4">
        <v>0</v>
      </c>
      <c r="AG3550" s="4">
        <v>3</v>
      </c>
      <c r="AH3550" s="4">
        <v>34</v>
      </c>
      <c r="AI3550" s="4">
        <v>37</v>
      </c>
      <c r="AJ3550" s="4">
        <v>5</v>
      </c>
      <c r="AK3550" s="4">
        <v>10</v>
      </c>
      <c r="AL3550" s="4">
        <v>21</v>
      </c>
      <c r="AM3550" s="4">
        <v>23</v>
      </c>
      <c r="AN3550" s="4">
        <v>0</v>
      </c>
      <c r="AO3550" s="4">
        <v>0</v>
      </c>
      <c r="AP3550" s="4">
        <v>4</v>
      </c>
      <c r="AQ3550" s="4">
        <v>11</v>
      </c>
      <c r="AR3550" s="3" t="s">
        <v>61</v>
      </c>
      <c r="AS3550" s="3" t="s">
        <v>62</v>
      </c>
      <c r="AT3550" s="3" t="s">
        <v>61</v>
      </c>
      <c r="AU3550" s="6" t="str">
        <f>HYPERLINK("http://catalog.hathitrust.org/Record/001638727","HathiTrust Record")</f>
        <v>HathiTrust Record</v>
      </c>
      <c r="AV3550" s="6" t="str">
        <f>HYPERLINK("http://mcgill.on.worldcat.org/oclc/1141150","Catalog Record")</f>
        <v>Catalog Record</v>
      </c>
      <c r="AW3550" s="6" t="str">
        <f>HYPERLINK("http://www.worldcat.org/oclc/1141150","WorldCat Record")</f>
        <v>WorldCat Record</v>
      </c>
      <c r="AX3550" s="3" t="s">
        <v>34313</v>
      </c>
      <c r="AY3550" s="3" t="s">
        <v>34314</v>
      </c>
      <c r="AZ3550" s="3" t="s">
        <v>34315</v>
      </c>
      <c r="BA3550" s="3" t="s">
        <v>34315</v>
      </c>
      <c r="BB3550" s="3" t="s">
        <v>34316</v>
      </c>
      <c r="BC3550" s="3" t="s">
        <v>102</v>
      </c>
      <c r="BD3550" s="3" t="s">
        <v>231</v>
      </c>
      <c r="BF3550" s="3" t="s">
        <v>34316</v>
      </c>
      <c r="BG3550" s="3" t="s">
        <v>34317</v>
      </c>
    </row>
    <row r="3551" spans="1:59" ht="72.5" x14ac:dyDescent="0.35">
      <c r="A3551" s="2" t="s">
        <v>89</v>
      </c>
      <c r="B3551" s="2" t="s">
        <v>90</v>
      </c>
      <c r="C3551" s="2" t="s">
        <v>34318</v>
      </c>
      <c r="D3551" s="2" t="s">
        <v>34319</v>
      </c>
      <c r="E3551" s="2" t="s">
        <v>34320</v>
      </c>
      <c r="F3551" s="3" t="s">
        <v>34321</v>
      </c>
      <c r="G3551" s="3" t="s">
        <v>62</v>
      </c>
      <c r="I3551" s="3" t="s">
        <v>61</v>
      </c>
      <c r="J3551" s="3" t="s">
        <v>62</v>
      </c>
      <c r="K3551" s="3" t="s">
        <v>63</v>
      </c>
      <c r="L3551" s="2" t="s">
        <v>34322</v>
      </c>
      <c r="M3551" s="2" t="s">
        <v>34323</v>
      </c>
      <c r="N3551" s="3" t="s">
        <v>852</v>
      </c>
      <c r="P3551" s="3" t="s">
        <v>64</v>
      </c>
      <c r="Q3551" s="2" t="s">
        <v>34324</v>
      </c>
      <c r="R3551" s="3" t="s">
        <v>34126</v>
      </c>
      <c r="S3551" s="4">
        <v>25</v>
      </c>
      <c r="T3551" s="4">
        <v>25</v>
      </c>
      <c r="U3551" s="5" t="s">
        <v>15824</v>
      </c>
      <c r="V3551" s="5" t="s">
        <v>15824</v>
      </c>
      <c r="W3551" s="5" t="s">
        <v>67</v>
      </c>
      <c r="X3551" s="5" t="s">
        <v>67</v>
      </c>
      <c r="Y3551" s="4">
        <v>140</v>
      </c>
      <c r="Z3551" s="4">
        <v>21</v>
      </c>
      <c r="AA3551" s="4">
        <v>32</v>
      </c>
      <c r="AB3551" s="4">
        <v>2</v>
      </c>
      <c r="AC3551" s="4">
        <v>3</v>
      </c>
      <c r="AD3551" s="4">
        <v>68</v>
      </c>
      <c r="AE3551" s="4">
        <v>75</v>
      </c>
      <c r="AF3551" s="4">
        <v>0</v>
      </c>
      <c r="AG3551" s="4">
        <v>1</v>
      </c>
      <c r="AH3551" s="4">
        <v>56</v>
      </c>
      <c r="AI3551" s="4">
        <v>58</v>
      </c>
      <c r="AJ3551" s="4">
        <v>8</v>
      </c>
      <c r="AK3551" s="4">
        <v>12</v>
      </c>
      <c r="AL3551" s="4">
        <v>32</v>
      </c>
      <c r="AM3551" s="4">
        <v>33</v>
      </c>
      <c r="AN3551" s="4">
        <v>0</v>
      </c>
      <c r="AO3551" s="4">
        <v>0</v>
      </c>
      <c r="AP3551" s="4">
        <v>15</v>
      </c>
      <c r="AQ3551" s="4">
        <v>22</v>
      </c>
      <c r="AR3551" s="3" t="s">
        <v>61</v>
      </c>
      <c r="AS3551" s="3" t="s">
        <v>62</v>
      </c>
      <c r="AT3551" s="3" t="s">
        <v>62</v>
      </c>
      <c r="AV3551" s="6" t="str">
        <f>HYPERLINK("http://mcgill.on.worldcat.org/oclc/747797","Catalog Record")</f>
        <v>Catalog Record</v>
      </c>
      <c r="AW3551" s="6" t="str">
        <f>HYPERLINK("http://www.worldcat.org/oclc/747797","WorldCat Record")</f>
        <v>WorldCat Record</v>
      </c>
      <c r="AX3551" s="3" t="s">
        <v>34325</v>
      </c>
      <c r="AY3551" s="3" t="s">
        <v>34326</v>
      </c>
      <c r="AZ3551" s="3" t="s">
        <v>34327</v>
      </c>
      <c r="BA3551" s="3" t="s">
        <v>34327</v>
      </c>
      <c r="BB3551" s="3" t="s">
        <v>34328</v>
      </c>
      <c r="BC3551" s="3" t="s">
        <v>102</v>
      </c>
      <c r="BD3551" s="3" t="s">
        <v>68</v>
      </c>
      <c r="BF3551" s="3" t="s">
        <v>34328</v>
      </c>
      <c r="BG3551" s="3" t="s">
        <v>34329</v>
      </c>
    </row>
    <row r="3552" spans="1:59" ht="72.5" x14ac:dyDescent="0.35">
      <c r="A3552" s="2" t="s">
        <v>89</v>
      </c>
      <c r="B3552" s="2" t="s">
        <v>90</v>
      </c>
      <c r="C3552" s="2" t="s">
        <v>34330</v>
      </c>
      <c r="D3552" s="2" t="s">
        <v>34331</v>
      </c>
      <c r="E3552" s="2" t="s">
        <v>34332</v>
      </c>
      <c r="F3552" s="3" t="s">
        <v>34333</v>
      </c>
      <c r="G3552" s="3" t="s">
        <v>62</v>
      </c>
      <c r="I3552" s="3" t="s">
        <v>61</v>
      </c>
      <c r="J3552" s="3" t="s">
        <v>62</v>
      </c>
      <c r="K3552" s="3" t="s">
        <v>63</v>
      </c>
      <c r="L3552" s="2" t="s">
        <v>34334</v>
      </c>
      <c r="M3552" s="2" t="s">
        <v>34335</v>
      </c>
      <c r="N3552" s="3" t="s">
        <v>852</v>
      </c>
      <c r="P3552" s="3" t="s">
        <v>64</v>
      </c>
      <c r="R3552" s="3" t="s">
        <v>34126</v>
      </c>
      <c r="S3552" s="4">
        <v>1</v>
      </c>
      <c r="T3552" s="4">
        <v>5</v>
      </c>
      <c r="U3552" s="5" t="s">
        <v>1711</v>
      </c>
      <c r="V3552" s="5" t="s">
        <v>1711</v>
      </c>
      <c r="W3552" s="5" t="s">
        <v>67</v>
      </c>
      <c r="X3552" s="5" t="s">
        <v>67</v>
      </c>
      <c r="Y3552" s="4">
        <v>206</v>
      </c>
      <c r="Z3552" s="4">
        <v>38</v>
      </c>
      <c r="AA3552" s="4">
        <v>41</v>
      </c>
      <c r="AB3552" s="4">
        <v>1</v>
      </c>
      <c r="AC3552" s="4">
        <v>1</v>
      </c>
      <c r="AD3552" s="4">
        <v>79</v>
      </c>
      <c r="AE3552" s="4">
        <v>81</v>
      </c>
      <c r="AF3552" s="4">
        <v>0</v>
      </c>
      <c r="AG3552" s="4">
        <v>0</v>
      </c>
      <c r="AH3552" s="4">
        <v>59</v>
      </c>
      <c r="AI3552" s="4">
        <v>59</v>
      </c>
      <c r="AJ3552" s="4">
        <v>11</v>
      </c>
      <c r="AK3552" s="4">
        <v>12</v>
      </c>
      <c r="AL3552" s="4">
        <v>33</v>
      </c>
      <c r="AM3552" s="4">
        <v>33</v>
      </c>
      <c r="AN3552" s="4">
        <v>0</v>
      </c>
      <c r="AO3552" s="4">
        <v>0</v>
      </c>
      <c r="AP3552" s="4">
        <v>25</v>
      </c>
      <c r="AQ3552" s="4">
        <v>26</v>
      </c>
      <c r="AR3552" s="3" t="s">
        <v>61</v>
      </c>
      <c r="AS3552" s="3" t="s">
        <v>62</v>
      </c>
      <c r="AT3552" s="3" t="s">
        <v>61</v>
      </c>
      <c r="AU3552" s="6" t="str">
        <f>HYPERLINK("http://catalog.hathitrust.org/Record/001636728","HathiTrust Record")</f>
        <v>HathiTrust Record</v>
      </c>
      <c r="AV3552" s="6" t="str">
        <f>HYPERLINK("http://mcgill.on.worldcat.org/oclc/380097","Catalog Record")</f>
        <v>Catalog Record</v>
      </c>
      <c r="AW3552" s="6" t="str">
        <f>HYPERLINK("http://www.worldcat.org/oclc/380097","WorldCat Record")</f>
        <v>WorldCat Record</v>
      </c>
      <c r="AX3552" s="3" t="s">
        <v>34336</v>
      </c>
      <c r="AY3552" s="3" t="s">
        <v>34337</v>
      </c>
      <c r="AZ3552" s="3" t="s">
        <v>34338</v>
      </c>
      <c r="BA3552" s="3" t="s">
        <v>34338</v>
      </c>
      <c r="BB3552" s="3" t="s">
        <v>34339</v>
      </c>
      <c r="BC3552" s="3" t="s">
        <v>102</v>
      </c>
      <c r="BD3552" s="3" t="s">
        <v>68</v>
      </c>
      <c r="BF3552" s="3" t="s">
        <v>34339</v>
      </c>
      <c r="BG3552" s="3" t="s">
        <v>34340</v>
      </c>
    </row>
    <row r="3553" spans="1:59" ht="72.5" x14ac:dyDescent="0.35">
      <c r="A3553" s="2" t="s">
        <v>89</v>
      </c>
      <c r="B3553" s="2" t="s">
        <v>90</v>
      </c>
      <c r="C3553" s="2" t="s">
        <v>34330</v>
      </c>
      <c r="D3553" s="2" t="s">
        <v>34331</v>
      </c>
      <c r="E3553" s="2" t="s">
        <v>34332</v>
      </c>
      <c r="F3553" s="3" t="s">
        <v>34333</v>
      </c>
      <c r="G3553" s="3" t="s">
        <v>62</v>
      </c>
      <c r="I3553" s="3" t="s">
        <v>61</v>
      </c>
      <c r="J3553" s="3" t="s">
        <v>62</v>
      </c>
      <c r="K3553" s="3" t="s">
        <v>63</v>
      </c>
      <c r="L3553" s="2" t="s">
        <v>34334</v>
      </c>
      <c r="M3553" s="2" t="s">
        <v>34335</v>
      </c>
      <c r="N3553" s="3" t="s">
        <v>852</v>
      </c>
      <c r="P3553" s="3" t="s">
        <v>64</v>
      </c>
      <c r="R3553" s="3" t="s">
        <v>34126</v>
      </c>
      <c r="S3553" s="4">
        <v>4</v>
      </c>
      <c r="T3553" s="4">
        <v>5</v>
      </c>
      <c r="U3553" s="5" t="s">
        <v>34341</v>
      </c>
      <c r="V3553" s="5" t="s">
        <v>1711</v>
      </c>
      <c r="W3553" s="5" t="s">
        <v>67</v>
      </c>
      <c r="X3553" s="5" t="s">
        <v>67</v>
      </c>
      <c r="Y3553" s="4">
        <v>206</v>
      </c>
      <c r="Z3553" s="4">
        <v>38</v>
      </c>
      <c r="AA3553" s="4">
        <v>41</v>
      </c>
      <c r="AB3553" s="4">
        <v>1</v>
      </c>
      <c r="AC3553" s="4">
        <v>1</v>
      </c>
      <c r="AD3553" s="4">
        <v>79</v>
      </c>
      <c r="AE3553" s="4">
        <v>81</v>
      </c>
      <c r="AF3553" s="4">
        <v>0</v>
      </c>
      <c r="AG3553" s="4">
        <v>0</v>
      </c>
      <c r="AH3553" s="4">
        <v>59</v>
      </c>
      <c r="AI3553" s="4">
        <v>59</v>
      </c>
      <c r="AJ3553" s="4">
        <v>11</v>
      </c>
      <c r="AK3553" s="4">
        <v>12</v>
      </c>
      <c r="AL3553" s="4">
        <v>33</v>
      </c>
      <c r="AM3553" s="4">
        <v>33</v>
      </c>
      <c r="AN3553" s="4">
        <v>0</v>
      </c>
      <c r="AO3553" s="4">
        <v>0</v>
      </c>
      <c r="AP3553" s="4">
        <v>25</v>
      </c>
      <c r="AQ3553" s="4">
        <v>26</v>
      </c>
      <c r="AR3553" s="3" t="s">
        <v>61</v>
      </c>
      <c r="AS3553" s="3" t="s">
        <v>62</v>
      </c>
      <c r="AT3553" s="3" t="s">
        <v>61</v>
      </c>
      <c r="AU3553" s="6" t="str">
        <f>HYPERLINK("http://catalog.hathitrust.org/Record/001636728","HathiTrust Record")</f>
        <v>HathiTrust Record</v>
      </c>
      <c r="AV3553" s="6" t="str">
        <f>HYPERLINK("http://mcgill.on.worldcat.org/oclc/380097","Catalog Record")</f>
        <v>Catalog Record</v>
      </c>
      <c r="AW3553" s="6" t="str">
        <f>HYPERLINK("http://www.worldcat.org/oclc/380097","WorldCat Record")</f>
        <v>WorldCat Record</v>
      </c>
      <c r="AX3553" s="3" t="s">
        <v>34336</v>
      </c>
      <c r="AY3553" s="3" t="s">
        <v>34337</v>
      </c>
      <c r="AZ3553" s="3" t="s">
        <v>34338</v>
      </c>
      <c r="BA3553" s="3" t="s">
        <v>34338</v>
      </c>
      <c r="BB3553" s="3" t="s">
        <v>34342</v>
      </c>
      <c r="BC3553" s="3" t="s">
        <v>102</v>
      </c>
      <c r="BD3553" s="3" t="s">
        <v>68</v>
      </c>
      <c r="BF3553" s="3" t="s">
        <v>34342</v>
      </c>
      <c r="BG3553" s="3" t="s">
        <v>34343</v>
      </c>
    </row>
    <row r="3554" spans="1:59" ht="72.5" x14ac:dyDescent="0.35">
      <c r="A3554" s="2" t="s">
        <v>89</v>
      </c>
      <c r="B3554" s="2" t="s">
        <v>90</v>
      </c>
      <c r="C3554" s="2" t="s">
        <v>34330</v>
      </c>
      <c r="D3554" s="2" t="s">
        <v>34331</v>
      </c>
      <c r="E3554" s="2" t="s">
        <v>34332</v>
      </c>
      <c r="F3554" s="3" t="s">
        <v>34333</v>
      </c>
      <c r="G3554" s="3" t="s">
        <v>62</v>
      </c>
      <c r="I3554" s="3" t="s">
        <v>61</v>
      </c>
      <c r="J3554" s="3" t="s">
        <v>62</v>
      </c>
      <c r="K3554" s="3" t="s">
        <v>63</v>
      </c>
      <c r="L3554" s="2" t="s">
        <v>34334</v>
      </c>
      <c r="M3554" s="2" t="s">
        <v>34335</v>
      </c>
      <c r="N3554" s="3" t="s">
        <v>852</v>
      </c>
      <c r="P3554" s="3" t="s">
        <v>64</v>
      </c>
      <c r="R3554" s="3" t="s">
        <v>34126</v>
      </c>
      <c r="S3554" s="4">
        <v>0</v>
      </c>
      <c r="T3554" s="4">
        <v>5</v>
      </c>
      <c r="V3554" s="5" t="s">
        <v>1711</v>
      </c>
      <c r="W3554" s="5" t="s">
        <v>67</v>
      </c>
      <c r="X3554" s="5" t="s">
        <v>67</v>
      </c>
      <c r="Y3554" s="4">
        <v>206</v>
      </c>
      <c r="Z3554" s="4">
        <v>38</v>
      </c>
      <c r="AA3554" s="4">
        <v>41</v>
      </c>
      <c r="AB3554" s="4">
        <v>1</v>
      </c>
      <c r="AC3554" s="4">
        <v>1</v>
      </c>
      <c r="AD3554" s="4">
        <v>79</v>
      </c>
      <c r="AE3554" s="4">
        <v>81</v>
      </c>
      <c r="AF3554" s="4">
        <v>0</v>
      </c>
      <c r="AG3554" s="4">
        <v>0</v>
      </c>
      <c r="AH3554" s="4">
        <v>59</v>
      </c>
      <c r="AI3554" s="4">
        <v>59</v>
      </c>
      <c r="AJ3554" s="4">
        <v>11</v>
      </c>
      <c r="AK3554" s="4">
        <v>12</v>
      </c>
      <c r="AL3554" s="4">
        <v>33</v>
      </c>
      <c r="AM3554" s="4">
        <v>33</v>
      </c>
      <c r="AN3554" s="4">
        <v>0</v>
      </c>
      <c r="AO3554" s="4">
        <v>0</v>
      </c>
      <c r="AP3554" s="4">
        <v>25</v>
      </c>
      <c r="AQ3554" s="4">
        <v>26</v>
      </c>
      <c r="AR3554" s="3" t="s">
        <v>61</v>
      </c>
      <c r="AS3554" s="3" t="s">
        <v>62</v>
      </c>
      <c r="AT3554" s="3" t="s">
        <v>61</v>
      </c>
      <c r="AU3554" s="6" t="str">
        <f>HYPERLINK("http://catalog.hathitrust.org/Record/001636728","HathiTrust Record")</f>
        <v>HathiTrust Record</v>
      </c>
      <c r="AV3554" s="6" t="str">
        <f>HYPERLINK("http://mcgill.on.worldcat.org/oclc/380097","Catalog Record")</f>
        <v>Catalog Record</v>
      </c>
      <c r="AW3554" s="6" t="str">
        <f>HYPERLINK("http://www.worldcat.org/oclc/380097","WorldCat Record")</f>
        <v>WorldCat Record</v>
      </c>
      <c r="AX3554" s="3" t="s">
        <v>34336</v>
      </c>
      <c r="AY3554" s="3" t="s">
        <v>34337</v>
      </c>
      <c r="AZ3554" s="3" t="s">
        <v>34338</v>
      </c>
      <c r="BA3554" s="3" t="s">
        <v>34338</v>
      </c>
      <c r="BB3554" s="3" t="s">
        <v>34344</v>
      </c>
      <c r="BC3554" s="3" t="s">
        <v>102</v>
      </c>
      <c r="BD3554" s="3" t="s">
        <v>68</v>
      </c>
      <c r="BF3554" s="3" t="s">
        <v>34344</v>
      </c>
      <c r="BG3554" s="3" t="s">
        <v>34345</v>
      </c>
    </row>
    <row r="3555" spans="1:59" ht="72.5" x14ac:dyDescent="0.35">
      <c r="A3555" s="2" t="s">
        <v>89</v>
      </c>
      <c r="B3555" s="2" t="s">
        <v>90</v>
      </c>
      <c r="C3555" s="2" t="s">
        <v>34346</v>
      </c>
      <c r="D3555" s="2" t="s">
        <v>34347</v>
      </c>
      <c r="E3555" s="2" t="s">
        <v>34348</v>
      </c>
      <c r="F3555" s="3" t="s">
        <v>34349</v>
      </c>
      <c r="G3555" s="3" t="s">
        <v>62</v>
      </c>
      <c r="I3555" s="3" t="s">
        <v>62</v>
      </c>
      <c r="J3555" s="3" t="s">
        <v>61</v>
      </c>
      <c r="K3555" s="3" t="s">
        <v>63</v>
      </c>
      <c r="L3555" s="2" t="s">
        <v>34350</v>
      </c>
      <c r="M3555" s="2" t="s">
        <v>34351</v>
      </c>
      <c r="N3555" s="3" t="s">
        <v>24124</v>
      </c>
      <c r="P3555" s="3" t="s">
        <v>64</v>
      </c>
      <c r="Q3555" s="2" t="s">
        <v>34352</v>
      </c>
      <c r="R3555" s="3" t="s">
        <v>34126</v>
      </c>
      <c r="S3555" s="4">
        <v>4</v>
      </c>
      <c r="T3555" s="4">
        <v>4</v>
      </c>
      <c r="U3555" s="5" t="s">
        <v>1663</v>
      </c>
      <c r="V3555" s="5" t="s">
        <v>1663</v>
      </c>
      <c r="W3555" s="5" t="s">
        <v>67</v>
      </c>
      <c r="X3555" s="5" t="s">
        <v>67</v>
      </c>
      <c r="Y3555" s="4">
        <v>123</v>
      </c>
      <c r="Z3555" s="4">
        <v>19</v>
      </c>
      <c r="AA3555" s="4">
        <v>60</v>
      </c>
      <c r="AB3555" s="4">
        <v>2</v>
      </c>
      <c r="AC3555" s="4">
        <v>10</v>
      </c>
      <c r="AD3555" s="4">
        <v>58</v>
      </c>
      <c r="AE3555" s="4">
        <v>83</v>
      </c>
      <c r="AF3555" s="4">
        <v>1</v>
      </c>
      <c r="AG3555" s="4">
        <v>5</v>
      </c>
      <c r="AH3555" s="4">
        <v>45</v>
      </c>
      <c r="AI3555" s="4">
        <v>59</v>
      </c>
      <c r="AJ3555" s="4">
        <v>13</v>
      </c>
      <c r="AK3555" s="4">
        <v>23</v>
      </c>
      <c r="AL3555" s="4">
        <v>28</v>
      </c>
      <c r="AM3555" s="4">
        <v>34</v>
      </c>
      <c r="AN3555" s="4">
        <v>5</v>
      </c>
      <c r="AO3555" s="4">
        <v>5</v>
      </c>
      <c r="AP3555" s="4">
        <v>15</v>
      </c>
      <c r="AQ3555" s="4">
        <v>31</v>
      </c>
      <c r="AR3555" s="3" t="s">
        <v>61</v>
      </c>
      <c r="AS3555" s="3" t="s">
        <v>62</v>
      </c>
      <c r="AT3555" s="3" t="s">
        <v>62</v>
      </c>
      <c r="AU3555" s="6" t="str">
        <f>HYPERLINK("http://catalog.hathitrust.org/Record/100878645","HathiTrust Record")</f>
        <v>HathiTrust Record</v>
      </c>
      <c r="AV3555" s="6" t="str">
        <f>HYPERLINK("http://mcgill.on.worldcat.org/oclc/3664881","Catalog Record")</f>
        <v>Catalog Record</v>
      </c>
      <c r="AW3555" s="6" t="str">
        <f>HYPERLINK("http://www.worldcat.org/oclc/3664881","WorldCat Record")</f>
        <v>WorldCat Record</v>
      </c>
      <c r="AX3555" s="3" t="s">
        <v>34353</v>
      </c>
      <c r="AY3555" s="3" t="s">
        <v>34354</v>
      </c>
      <c r="AZ3555" s="3" t="s">
        <v>34355</v>
      </c>
      <c r="BA3555" s="3" t="s">
        <v>34355</v>
      </c>
      <c r="BB3555" s="3" t="s">
        <v>34356</v>
      </c>
      <c r="BC3555" s="3" t="s">
        <v>102</v>
      </c>
      <c r="BD3555" s="3" t="s">
        <v>68</v>
      </c>
      <c r="BF3555" s="3" t="s">
        <v>34356</v>
      </c>
      <c r="BG3555" s="3" t="s">
        <v>34357</v>
      </c>
    </row>
    <row r="3556" spans="1:59" ht="72.5" x14ac:dyDescent="0.35">
      <c r="A3556" s="2" t="s">
        <v>89</v>
      </c>
      <c r="B3556" s="2" t="s">
        <v>1231</v>
      </c>
      <c r="C3556" s="2" t="s">
        <v>34358</v>
      </c>
      <c r="D3556" s="2" t="s">
        <v>34359</v>
      </c>
      <c r="E3556" s="2" t="s">
        <v>34360</v>
      </c>
      <c r="F3556" s="3" t="s">
        <v>34361</v>
      </c>
      <c r="G3556" s="3" t="s">
        <v>62</v>
      </c>
      <c r="I3556" s="3" t="s">
        <v>62</v>
      </c>
      <c r="J3556" s="3" t="s">
        <v>62</v>
      </c>
      <c r="K3556" s="3" t="s">
        <v>63</v>
      </c>
      <c r="L3556" s="2" t="s">
        <v>33284</v>
      </c>
      <c r="N3556" s="3" t="s">
        <v>4865</v>
      </c>
      <c r="P3556" s="3" t="s">
        <v>64</v>
      </c>
      <c r="Q3556" s="2" t="s">
        <v>34362</v>
      </c>
      <c r="R3556" s="3" t="s">
        <v>34126</v>
      </c>
      <c r="S3556" s="4">
        <v>2</v>
      </c>
      <c r="T3556" s="4">
        <v>2</v>
      </c>
      <c r="U3556" s="5" t="s">
        <v>34363</v>
      </c>
      <c r="V3556" s="5" t="s">
        <v>34363</v>
      </c>
      <c r="W3556" s="5" t="s">
        <v>67</v>
      </c>
      <c r="X3556" s="5" t="s">
        <v>67</v>
      </c>
      <c r="Y3556" s="4">
        <v>144</v>
      </c>
      <c r="Z3556" s="4">
        <v>35</v>
      </c>
      <c r="AA3556" s="4">
        <v>49</v>
      </c>
      <c r="AB3556" s="4">
        <v>5</v>
      </c>
      <c r="AC3556" s="4">
        <v>14</v>
      </c>
      <c r="AD3556" s="4">
        <v>59</v>
      </c>
      <c r="AE3556" s="4">
        <v>66</v>
      </c>
      <c r="AF3556" s="4">
        <v>2</v>
      </c>
      <c r="AG3556" s="4">
        <v>6</v>
      </c>
      <c r="AH3556" s="4">
        <v>44</v>
      </c>
      <c r="AI3556" s="4">
        <v>46</v>
      </c>
      <c r="AJ3556" s="4">
        <v>14</v>
      </c>
      <c r="AK3556" s="4">
        <v>19</v>
      </c>
      <c r="AL3556" s="4">
        <v>28</v>
      </c>
      <c r="AM3556" s="4">
        <v>28</v>
      </c>
      <c r="AN3556" s="4">
        <v>0</v>
      </c>
      <c r="AO3556" s="4">
        <v>0</v>
      </c>
      <c r="AP3556" s="4">
        <v>20</v>
      </c>
      <c r="AQ3556" s="4">
        <v>26</v>
      </c>
      <c r="AR3556" s="3" t="s">
        <v>61</v>
      </c>
      <c r="AS3556" s="3" t="s">
        <v>62</v>
      </c>
      <c r="AT3556" s="3" t="s">
        <v>62</v>
      </c>
      <c r="AV3556" s="6" t="str">
        <f>HYPERLINK("http://mcgill.on.worldcat.org/oclc/29438436","Catalog Record")</f>
        <v>Catalog Record</v>
      </c>
      <c r="AW3556" s="6" t="str">
        <f>HYPERLINK("http://www.worldcat.org/oclc/29438436","WorldCat Record")</f>
        <v>WorldCat Record</v>
      </c>
      <c r="AX3556" s="3" t="s">
        <v>34364</v>
      </c>
      <c r="AY3556" s="3" t="s">
        <v>34365</v>
      </c>
      <c r="AZ3556" s="3" t="s">
        <v>34366</v>
      </c>
      <c r="BA3556" s="3" t="s">
        <v>34366</v>
      </c>
      <c r="BB3556" s="3" t="s">
        <v>34367</v>
      </c>
      <c r="BC3556" s="3" t="s">
        <v>102</v>
      </c>
      <c r="BD3556" s="3" t="s">
        <v>68</v>
      </c>
      <c r="BF3556" s="3" t="s">
        <v>34367</v>
      </c>
      <c r="BG3556" s="3" t="s">
        <v>34368</v>
      </c>
    </row>
    <row r="3557" spans="1:59" ht="58" x14ac:dyDescent="0.35">
      <c r="A3557" s="2" t="s">
        <v>59</v>
      </c>
      <c r="B3557" s="2" t="s">
        <v>60</v>
      </c>
      <c r="C3557" s="2" t="s">
        <v>34369</v>
      </c>
      <c r="D3557" s="2" t="s">
        <v>34370</v>
      </c>
      <c r="E3557" s="2" t="s">
        <v>34371</v>
      </c>
      <c r="G3557" s="3" t="s">
        <v>62</v>
      </c>
      <c r="I3557" s="3" t="s">
        <v>62</v>
      </c>
      <c r="J3557" s="3" t="s">
        <v>62</v>
      </c>
      <c r="K3557" s="3" t="s">
        <v>63</v>
      </c>
      <c r="M3557" s="2" t="s">
        <v>7493</v>
      </c>
      <c r="N3557" s="3" t="s">
        <v>87</v>
      </c>
      <c r="P3557" s="3" t="s">
        <v>64</v>
      </c>
      <c r="R3557" s="3" t="s">
        <v>34126</v>
      </c>
      <c r="S3557" s="4">
        <v>5</v>
      </c>
      <c r="T3557" s="4">
        <v>5</v>
      </c>
      <c r="U3557" s="5" t="s">
        <v>287</v>
      </c>
      <c r="V3557" s="5" t="s">
        <v>287</v>
      </c>
      <c r="W3557" s="5" t="s">
        <v>67</v>
      </c>
      <c r="X3557" s="5" t="s">
        <v>67</v>
      </c>
      <c r="Y3557" s="4">
        <v>610</v>
      </c>
      <c r="Z3557" s="4">
        <v>30</v>
      </c>
      <c r="AA3557" s="4">
        <v>31</v>
      </c>
      <c r="AB3557" s="4">
        <v>2</v>
      </c>
      <c r="AC3557" s="4">
        <v>3</v>
      </c>
      <c r="AD3557" s="4">
        <v>112</v>
      </c>
      <c r="AE3557" s="4">
        <v>113</v>
      </c>
      <c r="AF3557" s="4">
        <v>1</v>
      </c>
      <c r="AG3557" s="4">
        <v>2</v>
      </c>
      <c r="AH3557" s="4">
        <v>101</v>
      </c>
      <c r="AI3557" s="4">
        <v>101</v>
      </c>
      <c r="AJ3557" s="4">
        <v>17</v>
      </c>
      <c r="AK3557" s="4">
        <v>18</v>
      </c>
      <c r="AL3557" s="4">
        <v>53</v>
      </c>
      <c r="AM3557" s="4">
        <v>53</v>
      </c>
      <c r="AN3557" s="4">
        <v>0</v>
      </c>
      <c r="AO3557" s="4">
        <v>0</v>
      </c>
      <c r="AP3557" s="4">
        <v>18</v>
      </c>
      <c r="AQ3557" s="4">
        <v>18</v>
      </c>
      <c r="AR3557" s="3" t="s">
        <v>62</v>
      </c>
      <c r="AS3557" s="3" t="s">
        <v>62</v>
      </c>
      <c r="AT3557" s="3" t="s">
        <v>62</v>
      </c>
      <c r="AV3557" s="6" t="str">
        <f>HYPERLINK("http://mcgill.on.worldcat.org/oclc/3360884","Catalog Record")</f>
        <v>Catalog Record</v>
      </c>
      <c r="AW3557" s="6" t="str">
        <f>HYPERLINK("http://www.worldcat.org/oclc/3360884","WorldCat Record")</f>
        <v>WorldCat Record</v>
      </c>
      <c r="AX3557" s="3" t="s">
        <v>34372</v>
      </c>
      <c r="AY3557" s="3" t="s">
        <v>34373</v>
      </c>
      <c r="AZ3557" s="3" t="s">
        <v>34374</v>
      </c>
      <c r="BA3557" s="3" t="s">
        <v>34374</v>
      </c>
      <c r="BB3557" s="3" t="s">
        <v>34375</v>
      </c>
      <c r="BC3557" s="3" t="s">
        <v>102</v>
      </c>
      <c r="BD3557" s="3" t="s">
        <v>231</v>
      </c>
      <c r="BE3557" s="3" t="s">
        <v>34376</v>
      </c>
      <c r="BF3557" s="3" t="s">
        <v>34375</v>
      </c>
      <c r="BG3557" s="3" t="s">
        <v>34377</v>
      </c>
    </row>
    <row r="3558" spans="1:59" ht="58" x14ac:dyDescent="0.35">
      <c r="A3558" s="2" t="s">
        <v>89</v>
      </c>
      <c r="B3558" s="2" t="s">
        <v>90</v>
      </c>
      <c r="C3558" s="2" t="s">
        <v>34378</v>
      </c>
      <c r="D3558" s="2" t="s">
        <v>34379</v>
      </c>
      <c r="E3558" s="2" t="s">
        <v>34380</v>
      </c>
      <c r="G3558" s="3" t="s">
        <v>62</v>
      </c>
      <c r="I3558" s="3" t="s">
        <v>61</v>
      </c>
      <c r="J3558" s="3" t="s">
        <v>62</v>
      </c>
      <c r="K3558" s="3" t="s">
        <v>63</v>
      </c>
      <c r="M3558" s="2" t="s">
        <v>34381</v>
      </c>
      <c r="N3558" s="3" t="s">
        <v>2000</v>
      </c>
      <c r="P3558" s="3" t="s">
        <v>64</v>
      </c>
      <c r="R3558" s="3" t="s">
        <v>34126</v>
      </c>
      <c r="S3558" s="4">
        <v>12</v>
      </c>
      <c r="T3558" s="4">
        <v>20</v>
      </c>
      <c r="U3558" s="5" t="s">
        <v>16887</v>
      </c>
      <c r="V3558" s="5" t="s">
        <v>16887</v>
      </c>
      <c r="W3558" s="5" t="s">
        <v>67</v>
      </c>
      <c r="X3558" s="5" t="s">
        <v>67</v>
      </c>
      <c r="Y3558" s="4">
        <v>410</v>
      </c>
      <c r="Z3558" s="4">
        <v>26</v>
      </c>
      <c r="AA3558" s="4">
        <v>31</v>
      </c>
      <c r="AB3558" s="4">
        <v>2</v>
      </c>
      <c r="AC3558" s="4">
        <v>4</v>
      </c>
      <c r="AD3558" s="4">
        <v>108</v>
      </c>
      <c r="AE3558" s="4">
        <v>113</v>
      </c>
      <c r="AF3558" s="4">
        <v>1</v>
      </c>
      <c r="AG3558" s="4">
        <v>3</v>
      </c>
      <c r="AH3558" s="4">
        <v>94</v>
      </c>
      <c r="AI3558" s="4">
        <v>97</v>
      </c>
      <c r="AJ3558" s="4">
        <v>15</v>
      </c>
      <c r="AK3558" s="4">
        <v>19</v>
      </c>
      <c r="AL3558" s="4">
        <v>54</v>
      </c>
      <c r="AM3558" s="4">
        <v>54</v>
      </c>
      <c r="AN3558" s="4">
        <v>0</v>
      </c>
      <c r="AO3558" s="4">
        <v>0</v>
      </c>
      <c r="AP3558" s="4">
        <v>20</v>
      </c>
      <c r="AQ3558" s="4">
        <v>25</v>
      </c>
      <c r="AR3558" s="3" t="s">
        <v>62</v>
      </c>
      <c r="AS3558" s="3" t="s">
        <v>62</v>
      </c>
      <c r="AT3558" s="3" t="s">
        <v>62</v>
      </c>
      <c r="AV3558" s="6" t="str">
        <f>HYPERLINK("http://mcgill.on.worldcat.org/oclc/32509011","Catalog Record")</f>
        <v>Catalog Record</v>
      </c>
      <c r="AW3558" s="6" t="str">
        <f>HYPERLINK("http://www.worldcat.org/oclc/32509011","WorldCat Record")</f>
        <v>WorldCat Record</v>
      </c>
      <c r="AX3558" s="3" t="s">
        <v>34382</v>
      </c>
      <c r="AY3558" s="3" t="s">
        <v>34383</v>
      </c>
      <c r="AZ3558" s="3" t="s">
        <v>34384</v>
      </c>
      <c r="BA3558" s="3" t="s">
        <v>34384</v>
      </c>
      <c r="BB3558" s="3" t="s">
        <v>34385</v>
      </c>
      <c r="BC3558" s="3" t="s">
        <v>102</v>
      </c>
      <c r="BD3558" s="3" t="s">
        <v>68</v>
      </c>
      <c r="BE3558" s="3" t="s">
        <v>34386</v>
      </c>
      <c r="BF3558" s="3" t="s">
        <v>34385</v>
      </c>
      <c r="BG3558" s="3" t="s">
        <v>34387</v>
      </c>
    </row>
    <row r="3559" spans="1:59" ht="58" x14ac:dyDescent="0.35">
      <c r="A3559" s="2" t="s">
        <v>89</v>
      </c>
      <c r="B3559" s="2" t="s">
        <v>90</v>
      </c>
      <c r="C3559" s="2" t="s">
        <v>34378</v>
      </c>
      <c r="D3559" s="2" t="s">
        <v>34379</v>
      </c>
      <c r="E3559" s="2" t="s">
        <v>34380</v>
      </c>
      <c r="G3559" s="3" t="s">
        <v>62</v>
      </c>
      <c r="I3559" s="3" t="s">
        <v>61</v>
      </c>
      <c r="J3559" s="3" t="s">
        <v>62</v>
      </c>
      <c r="K3559" s="3" t="s">
        <v>63</v>
      </c>
      <c r="M3559" s="2" t="s">
        <v>34381</v>
      </c>
      <c r="N3559" s="3" t="s">
        <v>2000</v>
      </c>
      <c r="P3559" s="3" t="s">
        <v>64</v>
      </c>
      <c r="R3559" s="3" t="s">
        <v>34126</v>
      </c>
      <c r="S3559" s="4">
        <v>8</v>
      </c>
      <c r="T3559" s="4">
        <v>20</v>
      </c>
      <c r="U3559" s="5" t="s">
        <v>34388</v>
      </c>
      <c r="V3559" s="5" t="s">
        <v>16887</v>
      </c>
      <c r="W3559" s="5" t="s">
        <v>67</v>
      </c>
      <c r="X3559" s="5" t="s">
        <v>67</v>
      </c>
      <c r="Y3559" s="4">
        <v>410</v>
      </c>
      <c r="Z3559" s="4">
        <v>26</v>
      </c>
      <c r="AA3559" s="4">
        <v>31</v>
      </c>
      <c r="AB3559" s="4">
        <v>2</v>
      </c>
      <c r="AC3559" s="4">
        <v>4</v>
      </c>
      <c r="AD3559" s="4">
        <v>108</v>
      </c>
      <c r="AE3559" s="4">
        <v>113</v>
      </c>
      <c r="AF3559" s="4">
        <v>1</v>
      </c>
      <c r="AG3559" s="4">
        <v>3</v>
      </c>
      <c r="AH3559" s="4">
        <v>94</v>
      </c>
      <c r="AI3559" s="4">
        <v>97</v>
      </c>
      <c r="AJ3559" s="4">
        <v>15</v>
      </c>
      <c r="AK3559" s="4">
        <v>19</v>
      </c>
      <c r="AL3559" s="4">
        <v>54</v>
      </c>
      <c r="AM3559" s="4">
        <v>54</v>
      </c>
      <c r="AN3559" s="4">
        <v>0</v>
      </c>
      <c r="AO3559" s="4">
        <v>0</v>
      </c>
      <c r="AP3559" s="4">
        <v>20</v>
      </c>
      <c r="AQ3559" s="4">
        <v>25</v>
      </c>
      <c r="AR3559" s="3" t="s">
        <v>62</v>
      </c>
      <c r="AS3559" s="3" t="s">
        <v>62</v>
      </c>
      <c r="AT3559" s="3" t="s">
        <v>62</v>
      </c>
      <c r="AV3559" s="6" t="str">
        <f>HYPERLINK("http://mcgill.on.worldcat.org/oclc/32509011","Catalog Record")</f>
        <v>Catalog Record</v>
      </c>
      <c r="AW3559" s="6" t="str">
        <f>HYPERLINK("http://www.worldcat.org/oclc/32509011","WorldCat Record")</f>
        <v>WorldCat Record</v>
      </c>
      <c r="AX3559" s="3" t="s">
        <v>34382</v>
      </c>
      <c r="AY3559" s="3" t="s">
        <v>34383</v>
      </c>
      <c r="AZ3559" s="3" t="s">
        <v>34384</v>
      </c>
      <c r="BA3559" s="3" t="s">
        <v>34384</v>
      </c>
      <c r="BB3559" s="3" t="s">
        <v>34389</v>
      </c>
      <c r="BC3559" s="3" t="s">
        <v>102</v>
      </c>
      <c r="BD3559" s="3" t="s">
        <v>68</v>
      </c>
      <c r="BE3559" s="3" t="s">
        <v>34386</v>
      </c>
      <c r="BF3559" s="3" t="s">
        <v>34389</v>
      </c>
      <c r="BG3559" s="3" t="s">
        <v>34390</v>
      </c>
    </row>
    <row r="3560" spans="1:59" ht="58" x14ac:dyDescent="0.35">
      <c r="A3560" s="2" t="s">
        <v>89</v>
      </c>
      <c r="B3560" s="2" t="s">
        <v>90</v>
      </c>
      <c r="C3560" s="2" t="s">
        <v>34391</v>
      </c>
      <c r="D3560" s="2" t="s">
        <v>34392</v>
      </c>
      <c r="E3560" s="2" t="s">
        <v>34393</v>
      </c>
      <c r="G3560" s="3" t="s">
        <v>62</v>
      </c>
      <c r="I3560" s="3" t="s">
        <v>61</v>
      </c>
      <c r="J3560" s="3" t="s">
        <v>62</v>
      </c>
      <c r="K3560" s="3" t="s">
        <v>63</v>
      </c>
      <c r="M3560" s="2" t="s">
        <v>1999</v>
      </c>
      <c r="N3560" s="3" t="s">
        <v>2000</v>
      </c>
      <c r="P3560" s="3" t="s">
        <v>64</v>
      </c>
      <c r="R3560" s="3" t="s">
        <v>34126</v>
      </c>
      <c r="S3560" s="4">
        <v>30</v>
      </c>
      <c r="T3560" s="4">
        <v>93</v>
      </c>
      <c r="U3560" s="5" t="s">
        <v>1469</v>
      </c>
      <c r="V3560" s="5" t="s">
        <v>16047</v>
      </c>
      <c r="W3560" s="5" t="s">
        <v>67</v>
      </c>
      <c r="X3560" s="5" t="s">
        <v>67</v>
      </c>
      <c r="Y3560" s="4">
        <v>422</v>
      </c>
      <c r="Z3560" s="4">
        <v>27</v>
      </c>
      <c r="AA3560" s="4">
        <v>28</v>
      </c>
      <c r="AB3560" s="4">
        <v>2</v>
      </c>
      <c r="AC3560" s="4">
        <v>3</v>
      </c>
      <c r="AD3560" s="4">
        <v>109</v>
      </c>
      <c r="AE3560" s="4">
        <v>110</v>
      </c>
      <c r="AF3560" s="4">
        <v>1</v>
      </c>
      <c r="AG3560" s="4">
        <v>2</v>
      </c>
      <c r="AH3560" s="4">
        <v>95</v>
      </c>
      <c r="AI3560" s="4">
        <v>96</v>
      </c>
      <c r="AJ3560" s="4">
        <v>18</v>
      </c>
      <c r="AK3560" s="4">
        <v>19</v>
      </c>
      <c r="AL3560" s="4">
        <v>56</v>
      </c>
      <c r="AM3560" s="4">
        <v>56</v>
      </c>
      <c r="AN3560" s="4">
        <v>0</v>
      </c>
      <c r="AO3560" s="4">
        <v>0</v>
      </c>
      <c r="AP3560" s="4">
        <v>21</v>
      </c>
      <c r="AQ3560" s="4">
        <v>22</v>
      </c>
      <c r="AR3560" s="3" t="s">
        <v>62</v>
      </c>
      <c r="AS3560" s="3" t="s">
        <v>62</v>
      </c>
      <c r="AT3560" s="3" t="s">
        <v>62</v>
      </c>
      <c r="AV3560" s="6" t="str">
        <f>HYPERLINK("http://mcgill.on.worldcat.org/oclc/31291775","Catalog Record")</f>
        <v>Catalog Record</v>
      </c>
      <c r="AW3560" s="6" t="str">
        <f>HYPERLINK("http://www.worldcat.org/oclc/31291775","WorldCat Record")</f>
        <v>WorldCat Record</v>
      </c>
      <c r="AX3560" s="3" t="s">
        <v>34394</v>
      </c>
      <c r="AY3560" s="3" t="s">
        <v>34395</v>
      </c>
      <c r="AZ3560" s="3" t="s">
        <v>34396</v>
      </c>
      <c r="BA3560" s="3" t="s">
        <v>34396</v>
      </c>
      <c r="BB3560" s="3" t="s">
        <v>34397</v>
      </c>
      <c r="BC3560" s="3" t="s">
        <v>102</v>
      </c>
      <c r="BD3560" s="3" t="s">
        <v>231</v>
      </c>
      <c r="BE3560" s="3" t="s">
        <v>34398</v>
      </c>
      <c r="BF3560" s="3" t="s">
        <v>34397</v>
      </c>
      <c r="BG3560" s="3" t="s">
        <v>34399</v>
      </c>
    </row>
    <row r="3561" spans="1:59" ht="58" x14ac:dyDescent="0.35">
      <c r="A3561" s="2" t="s">
        <v>89</v>
      </c>
      <c r="B3561" s="2" t="s">
        <v>90</v>
      </c>
      <c r="C3561" s="2" t="s">
        <v>34400</v>
      </c>
      <c r="D3561" s="2" t="s">
        <v>34401</v>
      </c>
      <c r="E3561" s="2" t="s">
        <v>34402</v>
      </c>
      <c r="G3561" s="3" t="s">
        <v>62</v>
      </c>
      <c r="I3561" s="3" t="s">
        <v>62</v>
      </c>
      <c r="J3561" s="3" t="s">
        <v>62</v>
      </c>
      <c r="K3561" s="3" t="s">
        <v>63</v>
      </c>
      <c r="L3561" s="2" t="s">
        <v>34403</v>
      </c>
      <c r="M3561" s="2" t="s">
        <v>8661</v>
      </c>
      <c r="N3561" s="3" t="s">
        <v>509</v>
      </c>
      <c r="P3561" s="3" t="s">
        <v>64</v>
      </c>
      <c r="Q3561" s="2" t="s">
        <v>15099</v>
      </c>
      <c r="R3561" s="3" t="s">
        <v>34126</v>
      </c>
      <c r="S3561" s="4">
        <v>27</v>
      </c>
      <c r="T3561" s="4">
        <v>27</v>
      </c>
      <c r="U3561" s="5" t="s">
        <v>1144</v>
      </c>
      <c r="V3561" s="5" t="s">
        <v>1144</v>
      </c>
      <c r="W3561" s="5" t="s">
        <v>67</v>
      </c>
      <c r="X3561" s="5" t="s">
        <v>67</v>
      </c>
      <c r="Y3561" s="4">
        <v>355</v>
      </c>
      <c r="Z3561" s="4">
        <v>30</v>
      </c>
      <c r="AA3561" s="4">
        <v>33</v>
      </c>
      <c r="AB3561" s="4">
        <v>1</v>
      </c>
      <c r="AC3561" s="4">
        <v>4</v>
      </c>
      <c r="AD3561" s="4">
        <v>101</v>
      </c>
      <c r="AE3561" s="4">
        <v>102</v>
      </c>
      <c r="AF3561" s="4">
        <v>0</v>
      </c>
      <c r="AG3561" s="4">
        <v>0</v>
      </c>
      <c r="AH3561" s="4">
        <v>88</v>
      </c>
      <c r="AI3561" s="4">
        <v>89</v>
      </c>
      <c r="AJ3561" s="4">
        <v>15</v>
      </c>
      <c r="AK3561" s="4">
        <v>15</v>
      </c>
      <c r="AL3561" s="4">
        <v>49</v>
      </c>
      <c r="AM3561" s="4">
        <v>49</v>
      </c>
      <c r="AN3561" s="4">
        <v>0</v>
      </c>
      <c r="AO3561" s="4">
        <v>0</v>
      </c>
      <c r="AP3561" s="4">
        <v>23</v>
      </c>
      <c r="AQ3561" s="4">
        <v>23</v>
      </c>
      <c r="AR3561" s="3" t="s">
        <v>62</v>
      </c>
      <c r="AS3561" s="3" t="s">
        <v>62</v>
      </c>
      <c r="AT3561" s="3" t="s">
        <v>62</v>
      </c>
      <c r="AV3561" s="6" t="str">
        <f>HYPERLINK("http://mcgill.on.worldcat.org/oclc/29845576","Catalog Record")</f>
        <v>Catalog Record</v>
      </c>
      <c r="AW3561" s="6" t="str">
        <f>HYPERLINK("http://www.worldcat.org/oclc/29845576","WorldCat Record")</f>
        <v>WorldCat Record</v>
      </c>
      <c r="AX3561" s="3" t="s">
        <v>34404</v>
      </c>
      <c r="AY3561" s="3" t="s">
        <v>34405</v>
      </c>
      <c r="AZ3561" s="3" t="s">
        <v>34406</v>
      </c>
      <c r="BA3561" s="3" t="s">
        <v>34406</v>
      </c>
      <c r="BB3561" s="3" t="s">
        <v>34407</v>
      </c>
      <c r="BC3561" s="3" t="s">
        <v>102</v>
      </c>
      <c r="BD3561" s="3" t="s">
        <v>231</v>
      </c>
      <c r="BE3561" s="3" t="s">
        <v>34408</v>
      </c>
      <c r="BF3561" s="3" t="s">
        <v>34407</v>
      </c>
      <c r="BG3561" s="3" t="s">
        <v>34409</v>
      </c>
    </row>
    <row r="3562" spans="1:59" ht="58" x14ac:dyDescent="0.35">
      <c r="A3562" s="2" t="s">
        <v>89</v>
      </c>
      <c r="B3562" s="2" t="s">
        <v>90</v>
      </c>
      <c r="C3562" s="2" t="s">
        <v>34410</v>
      </c>
      <c r="D3562" s="2" t="s">
        <v>34411</v>
      </c>
      <c r="E3562" s="2" t="s">
        <v>34412</v>
      </c>
      <c r="G3562" s="3" t="s">
        <v>62</v>
      </c>
      <c r="I3562" s="3" t="s">
        <v>62</v>
      </c>
      <c r="J3562" s="3" t="s">
        <v>62</v>
      </c>
      <c r="K3562" s="3" t="s">
        <v>63</v>
      </c>
      <c r="L3562" s="2" t="s">
        <v>34413</v>
      </c>
      <c r="M3562" s="2" t="s">
        <v>34414</v>
      </c>
      <c r="N3562" s="3" t="s">
        <v>712</v>
      </c>
      <c r="P3562" s="3" t="s">
        <v>64</v>
      </c>
      <c r="R3562" s="3" t="s">
        <v>34126</v>
      </c>
      <c r="S3562" s="4">
        <v>5</v>
      </c>
      <c r="T3562" s="4">
        <v>5</v>
      </c>
      <c r="U3562" s="5" t="s">
        <v>3030</v>
      </c>
      <c r="V3562" s="5" t="s">
        <v>3030</v>
      </c>
      <c r="W3562" s="5" t="s">
        <v>67</v>
      </c>
      <c r="X3562" s="5" t="s">
        <v>67</v>
      </c>
      <c r="Y3562" s="4">
        <v>229</v>
      </c>
      <c r="Z3562" s="4">
        <v>18</v>
      </c>
      <c r="AA3562" s="4">
        <v>23</v>
      </c>
      <c r="AB3562" s="4">
        <v>3</v>
      </c>
      <c r="AC3562" s="4">
        <v>5</v>
      </c>
      <c r="AD3562" s="4">
        <v>66</v>
      </c>
      <c r="AE3562" s="4">
        <v>81</v>
      </c>
      <c r="AF3562" s="4">
        <v>2</v>
      </c>
      <c r="AG3562" s="4">
        <v>2</v>
      </c>
      <c r="AH3562" s="4">
        <v>58</v>
      </c>
      <c r="AI3562" s="4">
        <v>71</v>
      </c>
      <c r="AJ3562" s="4">
        <v>9</v>
      </c>
      <c r="AK3562" s="4">
        <v>11</v>
      </c>
      <c r="AL3562" s="4">
        <v>40</v>
      </c>
      <c r="AM3562" s="4">
        <v>46</v>
      </c>
      <c r="AN3562" s="4">
        <v>0</v>
      </c>
      <c r="AO3562" s="4">
        <v>0</v>
      </c>
      <c r="AP3562" s="4">
        <v>11</v>
      </c>
      <c r="AQ3562" s="4">
        <v>14</v>
      </c>
      <c r="AR3562" s="3" t="s">
        <v>62</v>
      </c>
      <c r="AS3562" s="3" t="s">
        <v>62</v>
      </c>
      <c r="AT3562" s="3" t="s">
        <v>62</v>
      </c>
      <c r="AV3562" s="6" t="str">
        <f>HYPERLINK("http://mcgill.on.worldcat.org/oclc/841558925","Catalog Record")</f>
        <v>Catalog Record</v>
      </c>
      <c r="AW3562" s="6" t="str">
        <f>HYPERLINK("http://www.worldcat.org/oclc/841558925","WorldCat Record")</f>
        <v>WorldCat Record</v>
      </c>
      <c r="AX3562" s="3" t="s">
        <v>34415</v>
      </c>
      <c r="AY3562" s="3" t="s">
        <v>34416</v>
      </c>
      <c r="AZ3562" s="3" t="s">
        <v>34417</v>
      </c>
      <c r="BA3562" s="3" t="s">
        <v>34417</v>
      </c>
      <c r="BB3562" s="3" t="s">
        <v>34418</v>
      </c>
      <c r="BC3562" s="3" t="s">
        <v>102</v>
      </c>
      <c r="BD3562" s="3" t="s">
        <v>68</v>
      </c>
      <c r="BE3562" s="3" t="s">
        <v>34419</v>
      </c>
      <c r="BF3562" s="3" t="s">
        <v>34418</v>
      </c>
      <c r="BG3562" s="3" t="s">
        <v>34420</v>
      </c>
    </row>
    <row r="3563" spans="1:59" ht="58" x14ac:dyDescent="0.35">
      <c r="A3563" s="2" t="s">
        <v>89</v>
      </c>
      <c r="B3563" s="2" t="s">
        <v>90</v>
      </c>
      <c r="C3563" s="2" t="s">
        <v>34421</v>
      </c>
      <c r="D3563" s="2" t="s">
        <v>34422</v>
      </c>
      <c r="E3563" s="2" t="s">
        <v>34423</v>
      </c>
      <c r="G3563" s="3" t="s">
        <v>62</v>
      </c>
      <c r="I3563" s="3" t="s">
        <v>61</v>
      </c>
      <c r="J3563" s="3" t="s">
        <v>62</v>
      </c>
      <c r="K3563" s="3" t="s">
        <v>63</v>
      </c>
      <c r="L3563" s="2" t="s">
        <v>3278</v>
      </c>
      <c r="M3563" s="2" t="s">
        <v>34424</v>
      </c>
      <c r="N3563" s="3" t="s">
        <v>2000</v>
      </c>
      <c r="P3563" s="3" t="s">
        <v>64</v>
      </c>
      <c r="Q3563" s="2" t="s">
        <v>34425</v>
      </c>
      <c r="R3563" s="3" t="s">
        <v>34126</v>
      </c>
      <c r="S3563" s="4">
        <v>5</v>
      </c>
      <c r="T3563" s="4">
        <v>30</v>
      </c>
      <c r="U3563" s="5" t="s">
        <v>34426</v>
      </c>
      <c r="V3563" s="5" t="s">
        <v>2015</v>
      </c>
      <c r="W3563" s="5" t="s">
        <v>67</v>
      </c>
      <c r="X3563" s="5" t="s">
        <v>67</v>
      </c>
      <c r="Y3563" s="4">
        <v>117</v>
      </c>
      <c r="Z3563" s="4">
        <v>69</v>
      </c>
      <c r="AA3563" s="4">
        <v>77</v>
      </c>
      <c r="AB3563" s="4">
        <v>3</v>
      </c>
      <c r="AC3563" s="4">
        <v>4</v>
      </c>
      <c r="AD3563" s="4">
        <v>67</v>
      </c>
      <c r="AE3563" s="4">
        <v>68</v>
      </c>
      <c r="AF3563" s="4">
        <v>1</v>
      </c>
      <c r="AG3563" s="4">
        <v>1</v>
      </c>
      <c r="AH3563" s="4">
        <v>36</v>
      </c>
      <c r="AI3563" s="4">
        <v>36</v>
      </c>
      <c r="AJ3563" s="4">
        <v>24</v>
      </c>
      <c r="AK3563" s="4">
        <v>24</v>
      </c>
      <c r="AL3563" s="4">
        <v>17</v>
      </c>
      <c r="AM3563" s="4">
        <v>17</v>
      </c>
      <c r="AN3563" s="4">
        <v>0</v>
      </c>
      <c r="AO3563" s="4">
        <v>0</v>
      </c>
      <c r="AP3563" s="4">
        <v>42</v>
      </c>
      <c r="AQ3563" s="4">
        <v>43</v>
      </c>
      <c r="AR3563" s="3" t="s">
        <v>61</v>
      </c>
      <c r="AS3563" s="3" t="s">
        <v>62</v>
      </c>
      <c r="AT3563" s="3" t="s">
        <v>62</v>
      </c>
      <c r="AV3563" s="6" t="str">
        <f>HYPERLINK("http://mcgill.on.worldcat.org/oclc/36673997","Catalog Record")</f>
        <v>Catalog Record</v>
      </c>
      <c r="AW3563" s="6" t="str">
        <f>HYPERLINK("http://www.worldcat.org/oclc/36673997","WorldCat Record")</f>
        <v>WorldCat Record</v>
      </c>
      <c r="AX3563" s="3" t="s">
        <v>34427</v>
      </c>
      <c r="AY3563" s="3" t="s">
        <v>34428</v>
      </c>
      <c r="AZ3563" s="3" t="s">
        <v>34429</v>
      </c>
      <c r="BA3563" s="3" t="s">
        <v>34429</v>
      </c>
      <c r="BB3563" s="3" t="s">
        <v>34430</v>
      </c>
      <c r="BC3563" s="3" t="s">
        <v>102</v>
      </c>
      <c r="BD3563" s="3" t="s">
        <v>68</v>
      </c>
      <c r="BE3563" s="3" t="s">
        <v>34431</v>
      </c>
      <c r="BF3563" s="3" t="s">
        <v>34430</v>
      </c>
      <c r="BG3563" s="3" t="s">
        <v>34432</v>
      </c>
    </row>
    <row r="3564" spans="1:59" ht="58" x14ac:dyDescent="0.35">
      <c r="A3564" s="2" t="s">
        <v>89</v>
      </c>
      <c r="B3564" s="2" t="s">
        <v>90</v>
      </c>
      <c r="C3564" s="2" t="s">
        <v>34421</v>
      </c>
      <c r="D3564" s="2" t="s">
        <v>34422</v>
      </c>
      <c r="E3564" s="2" t="s">
        <v>34423</v>
      </c>
      <c r="G3564" s="3" t="s">
        <v>62</v>
      </c>
      <c r="I3564" s="3" t="s">
        <v>61</v>
      </c>
      <c r="J3564" s="3" t="s">
        <v>62</v>
      </c>
      <c r="K3564" s="3" t="s">
        <v>63</v>
      </c>
      <c r="L3564" s="2" t="s">
        <v>3278</v>
      </c>
      <c r="M3564" s="2" t="s">
        <v>34424</v>
      </c>
      <c r="N3564" s="3" t="s">
        <v>2000</v>
      </c>
      <c r="P3564" s="3" t="s">
        <v>64</v>
      </c>
      <c r="Q3564" s="2" t="s">
        <v>34425</v>
      </c>
      <c r="R3564" s="3" t="s">
        <v>34126</v>
      </c>
      <c r="S3564" s="4">
        <v>25</v>
      </c>
      <c r="T3564" s="4">
        <v>30</v>
      </c>
      <c r="U3564" s="5" t="s">
        <v>2015</v>
      </c>
      <c r="V3564" s="5" t="s">
        <v>2015</v>
      </c>
      <c r="W3564" s="5" t="s">
        <v>67</v>
      </c>
      <c r="X3564" s="5" t="s">
        <v>67</v>
      </c>
      <c r="Y3564" s="4">
        <v>117</v>
      </c>
      <c r="Z3564" s="4">
        <v>69</v>
      </c>
      <c r="AA3564" s="4">
        <v>77</v>
      </c>
      <c r="AB3564" s="4">
        <v>3</v>
      </c>
      <c r="AC3564" s="4">
        <v>4</v>
      </c>
      <c r="AD3564" s="4">
        <v>67</v>
      </c>
      <c r="AE3564" s="4">
        <v>68</v>
      </c>
      <c r="AF3564" s="4">
        <v>1</v>
      </c>
      <c r="AG3564" s="4">
        <v>1</v>
      </c>
      <c r="AH3564" s="4">
        <v>36</v>
      </c>
      <c r="AI3564" s="4">
        <v>36</v>
      </c>
      <c r="AJ3564" s="4">
        <v>24</v>
      </c>
      <c r="AK3564" s="4">
        <v>24</v>
      </c>
      <c r="AL3564" s="4">
        <v>17</v>
      </c>
      <c r="AM3564" s="4">
        <v>17</v>
      </c>
      <c r="AN3564" s="4">
        <v>0</v>
      </c>
      <c r="AO3564" s="4">
        <v>0</v>
      </c>
      <c r="AP3564" s="4">
        <v>42</v>
      </c>
      <c r="AQ3564" s="4">
        <v>43</v>
      </c>
      <c r="AR3564" s="3" t="s">
        <v>61</v>
      </c>
      <c r="AS3564" s="3" t="s">
        <v>62</v>
      </c>
      <c r="AT3564" s="3" t="s">
        <v>62</v>
      </c>
      <c r="AV3564" s="6" t="str">
        <f>HYPERLINK("http://mcgill.on.worldcat.org/oclc/36673997","Catalog Record")</f>
        <v>Catalog Record</v>
      </c>
      <c r="AW3564" s="6" t="str">
        <f>HYPERLINK("http://www.worldcat.org/oclc/36673997","WorldCat Record")</f>
        <v>WorldCat Record</v>
      </c>
      <c r="AX3564" s="3" t="s">
        <v>34427</v>
      </c>
      <c r="AY3564" s="3" t="s">
        <v>34428</v>
      </c>
      <c r="AZ3564" s="3" t="s">
        <v>34429</v>
      </c>
      <c r="BA3564" s="3" t="s">
        <v>34429</v>
      </c>
      <c r="BB3564" s="3" t="s">
        <v>34433</v>
      </c>
      <c r="BC3564" s="3" t="s">
        <v>102</v>
      </c>
      <c r="BD3564" s="3" t="s">
        <v>68</v>
      </c>
      <c r="BE3564" s="3" t="s">
        <v>34431</v>
      </c>
      <c r="BF3564" s="3" t="s">
        <v>34433</v>
      </c>
      <c r="BG3564" s="3" t="s">
        <v>34434</v>
      </c>
    </row>
    <row r="3565" spans="1:59" ht="58" x14ac:dyDescent="0.35">
      <c r="A3565" s="2" t="s">
        <v>89</v>
      </c>
      <c r="B3565" s="2" t="s">
        <v>90</v>
      </c>
      <c r="C3565" s="2" t="s">
        <v>34435</v>
      </c>
      <c r="D3565" s="2" t="s">
        <v>34436</v>
      </c>
      <c r="E3565" s="2" t="s">
        <v>34437</v>
      </c>
      <c r="G3565" s="3" t="s">
        <v>62</v>
      </c>
      <c r="I3565" s="3" t="s">
        <v>62</v>
      </c>
      <c r="J3565" s="3" t="s">
        <v>62</v>
      </c>
      <c r="K3565" s="3" t="s">
        <v>63</v>
      </c>
      <c r="L3565" s="2" t="s">
        <v>34438</v>
      </c>
      <c r="M3565" s="2" t="s">
        <v>34439</v>
      </c>
      <c r="N3565" s="3" t="s">
        <v>2985</v>
      </c>
      <c r="P3565" s="3" t="s">
        <v>64</v>
      </c>
      <c r="R3565" s="3" t="s">
        <v>34126</v>
      </c>
      <c r="S3565" s="4">
        <v>16</v>
      </c>
      <c r="T3565" s="4">
        <v>16</v>
      </c>
      <c r="U3565" s="5" t="s">
        <v>21500</v>
      </c>
      <c r="V3565" s="5" t="s">
        <v>21500</v>
      </c>
      <c r="W3565" s="5" t="s">
        <v>67</v>
      </c>
      <c r="X3565" s="5" t="s">
        <v>67</v>
      </c>
      <c r="Y3565" s="4">
        <v>238</v>
      </c>
      <c r="Z3565" s="4">
        <v>17</v>
      </c>
      <c r="AA3565" s="4">
        <v>108</v>
      </c>
      <c r="AB3565" s="4">
        <v>2</v>
      </c>
      <c r="AC3565" s="4">
        <v>19</v>
      </c>
      <c r="AD3565" s="4">
        <v>83</v>
      </c>
      <c r="AE3565" s="4">
        <v>137</v>
      </c>
      <c r="AF3565" s="4">
        <v>0</v>
      </c>
      <c r="AG3565" s="4">
        <v>8</v>
      </c>
      <c r="AH3565" s="4">
        <v>77</v>
      </c>
      <c r="AI3565" s="4">
        <v>99</v>
      </c>
      <c r="AJ3565" s="4">
        <v>11</v>
      </c>
      <c r="AK3565" s="4">
        <v>23</v>
      </c>
      <c r="AL3565" s="4">
        <v>48</v>
      </c>
      <c r="AM3565" s="4">
        <v>54</v>
      </c>
      <c r="AN3565" s="4">
        <v>0</v>
      </c>
      <c r="AO3565" s="4">
        <v>0</v>
      </c>
      <c r="AP3565" s="4">
        <v>12</v>
      </c>
      <c r="AQ3565" s="4">
        <v>45</v>
      </c>
      <c r="AR3565" s="3" t="s">
        <v>62</v>
      </c>
      <c r="AS3565" s="3" t="s">
        <v>62</v>
      </c>
      <c r="AT3565" s="3" t="s">
        <v>62</v>
      </c>
      <c r="AV3565" s="6" t="str">
        <f>HYPERLINK("http://mcgill.on.worldcat.org/oclc/314378750","Catalog Record")</f>
        <v>Catalog Record</v>
      </c>
      <c r="AW3565" s="6" t="str">
        <f>HYPERLINK("http://www.worldcat.org/oclc/314378750","WorldCat Record")</f>
        <v>WorldCat Record</v>
      </c>
      <c r="AX3565" s="3" t="s">
        <v>34440</v>
      </c>
      <c r="AY3565" s="3" t="s">
        <v>34441</v>
      </c>
      <c r="AZ3565" s="3" t="s">
        <v>34442</v>
      </c>
      <c r="BA3565" s="3" t="s">
        <v>34442</v>
      </c>
      <c r="BB3565" s="3" t="s">
        <v>34443</v>
      </c>
      <c r="BC3565" s="3" t="s">
        <v>102</v>
      </c>
      <c r="BD3565" s="3" t="s">
        <v>68</v>
      </c>
      <c r="BE3565" s="3" t="s">
        <v>34444</v>
      </c>
      <c r="BF3565" s="3" t="s">
        <v>34443</v>
      </c>
      <c r="BG3565" s="3" t="s">
        <v>34445</v>
      </c>
    </row>
    <row r="3566" spans="1:59" ht="58" x14ac:dyDescent="0.35">
      <c r="A3566" s="2" t="s">
        <v>89</v>
      </c>
      <c r="B3566" s="2" t="s">
        <v>90</v>
      </c>
      <c r="C3566" s="2" t="s">
        <v>34446</v>
      </c>
      <c r="D3566" s="2" t="s">
        <v>34447</v>
      </c>
      <c r="E3566" s="2" t="s">
        <v>34448</v>
      </c>
      <c r="G3566" s="3" t="s">
        <v>62</v>
      </c>
      <c r="I3566" s="3" t="s">
        <v>62</v>
      </c>
      <c r="J3566" s="3" t="s">
        <v>62</v>
      </c>
      <c r="K3566" s="3" t="s">
        <v>63</v>
      </c>
      <c r="L3566" s="2" t="s">
        <v>34449</v>
      </c>
      <c r="M3566" s="2" t="s">
        <v>34450</v>
      </c>
      <c r="N3566" s="3" t="s">
        <v>13197</v>
      </c>
      <c r="P3566" s="3" t="s">
        <v>85</v>
      </c>
      <c r="R3566" s="3" t="s">
        <v>34126</v>
      </c>
      <c r="S3566" s="4">
        <v>16</v>
      </c>
      <c r="T3566" s="4">
        <v>16</v>
      </c>
      <c r="U3566" s="5" t="s">
        <v>3231</v>
      </c>
      <c r="V3566" s="5" t="s">
        <v>3231</v>
      </c>
      <c r="W3566" s="5" t="s">
        <v>67</v>
      </c>
      <c r="X3566" s="5" t="s">
        <v>67</v>
      </c>
      <c r="Y3566" s="4">
        <v>152</v>
      </c>
      <c r="Z3566" s="4">
        <v>10</v>
      </c>
      <c r="AA3566" s="4">
        <v>20</v>
      </c>
      <c r="AB3566" s="4">
        <v>1</v>
      </c>
      <c r="AC3566" s="4">
        <v>5</v>
      </c>
      <c r="AD3566" s="4">
        <v>66</v>
      </c>
      <c r="AE3566" s="4">
        <v>96</v>
      </c>
      <c r="AF3566" s="4">
        <v>0</v>
      </c>
      <c r="AG3566" s="4">
        <v>3</v>
      </c>
      <c r="AH3566" s="4">
        <v>62</v>
      </c>
      <c r="AI3566" s="4">
        <v>87</v>
      </c>
      <c r="AJ3566" s="4">
        <v>7</v>
      </c>
      <c r="AK3566" s="4">
        <v>14</v>
      </c>
      <c r="AL3566" s="4">
        <v>41</v>
      </c>
      <c r="AM3566" s="4">
        <v>52</v>
      </c>
      <c r="AN3566" s="4">
        <v>0</v>
      </c>
      <c r="AO3566" s="4">
        <v>0</v>
      </c>
      <c r="AP3566" s="4">
        <v>8</v>
      </c>
      <c r="AQ3566" s="4">
        <v>14</v>
      </c>
      <c r="AR3566" s="3" t="s">
        <v>62</v>
      </c>
      <c r="AS3566" s="3" t="s">
        <v>62</v>
      </c>
      <c r="AT3566" s="3" t="s">
        <v>62</v>
      </c>
      <c r="AU3566" s="6" t="str">
        <f>HYPERLINK("http://catalog.hathitrust.org/Record/007708657","HathiTrust Record")</f>
        <v>HathiTrust Record</v>
      </c>
      <c r="AV3566" s="6" t="str">
        <f>HYPERLINK("http://mcgill.on.worldcat.org/oclc/2221621","Catalog Record")</f>
        <v>Catalog Record</v>
      </c>
      <c r="AW3566" s="6" t="str">
        <f>HYPERLINK("http://www.worldcat.org/oclc/2221621","WorldCat Record")</f>
        <v>WorldCat Record</v>
      </c>
      <c r="AX3566" s="3" t="s">
        <v>34451</v>
      </c>
      <c r="AY3566" s="3" t="s">
        <v>34452</v>
      </c>
      <c r="AZ3566" s="3" t="s">
        <v>34453</v>
      </c>
      <c r="BA3566" s="3" t="s">
        <v>34453</v>
      </c>
      <c r="BB3566" s="3" t="s">
        <v>34454</v>
      </c>
      <c r="BC3566" s="3" t="s">
        <v>102</v>
      </c>
      <c r="BD3566" s="3" t="s">
        <v>68</v>
      </c>
      <c r="BF3566" s="3" t="s">
        <v>34454</v>
      </c>
      <c r="BG3566" s="3" t="s">
        <v>34455</v>
      </c>
    </row>
    <row r="3567" spans="1:59" ht="58" x14ac:dyDescent="0.35">
      <c r="A3567" s="2" t="s">
        <v>89</v>
      </c>
      <c r="B3567" s="2" t="s">
        <v>90</v>
      </c>
      <c r="C3567" s="2" t="s">
        <v>34456</v>
      </c>
      <c r="D3567" s="2" t="s">
        <v>34457</v>
      </c>
      <c r="E3567" s="2" t="s">
        <v>34458</v>
      </c>
      <c r="G3567" s="3" t="s">
        <v>62</v>
      </c>
      <c r="I3567" s="3" t="s">
        <v>62</v>
      </c>
      <c r="J3567" s="3" t="s">
        <v>62</v>
      </c>
      <c r="K3567" s="3" t="s">
        <v>63</v>
      </c>
      <c r="L3567" s="2" t="s">
        <v>34459</v>
      </c>
      <c r="M3567" s="2" t="s">
        <v>34460</v>
      </c>
      <c r="N3567" s="3" t="s">
        <v>698</v>
      </c>
      <c r="P3567" s="3" t="s">
        <v>1881</v>
      </c>
      <c r="R3567" s="3" t="s">
        <v>34126</v>
      </c>
      <c r="S3567" s="4">
        <v>3</v>
      </c>
      <c r="T3567" s="4">
        <v>3</v>
      </c>
      <c r="W3567" s="5" t="s">
        <v>67</v>
      </c>
      <c r="X3567" s="5" t="s">
        <v>67</v>
      </c>
      <c r="Y3567" s="4">
        <v>33</v>
      </c>
      <c r="Z3567" s="4">
        <v>3</v>
      </c>
      <c r="AA3567" s="4">
        <v>5</v>
      </c>
      <c r="AB3567" s="4">
        <v>1</v>
      </c>
      <c r="AC3567" s="4">
        <v>3</v>
      </c>
      <c r="AD3567" s="4">
        <v>17</v>
      </c>
      <c r="AE3567" s="4">
        <v>17</v>
      </c>
      <c r="AF3567" s="4">
        <v>0</v>
      </c>
      <c r="AG3567" s="4">
        <v>0</v>
      </c>
      <c r="AH3567" s="4">
        <v>16</v>
      </c>
      <c r="AI3567" s="4">
        <v>16</v>
      </c>
      <c r="AJ3567" s="4">
        <v>1</v>
      </c>
      <c r="AK3567" s="4">
        <v>1</v>
      </c>
      <c r="AL3567" s="4">
        <v>15</v>
      </c>
      <c r="AM3567" s="4">
        <v>15</v>
      </c>
      <c r="AN3567" s="4">
        <v>0</v>
      </c>
      <c r="AO3567" s="4">
        <v>0</v>
      </c>
      <c r="AP3567" s="4">
        <v>1</v>
      </c>
      <c r="AQ3567" s="4">
        <v>1</v>
      </c>
      <c r="AR3567" s="3" t="s">
        <v>62</v>
      </c>
      <c r="AS3567" s="3" t="s">
        <v>62</v>
      </c>
      <c r="AT3567" s="3" t="s">
        <v>62</v>
      </c>
      <c r="AV3567" s="6" t="str">
        <f>HYPERLINK("http://mcgill.on.worldcat.org/oclc/780473750","Catalog Record")</f>
        <v>Catalog Record</v>
      </c>
      <c r="AW3567" s="6" t="str">
        <f>HYPERLINK("http://www.worldcat.org/oclc/780473750","WorldCat Record")</f>
        <v>WorldCat Record</v>
      </c>
      <c r="AX3567" s="3" t="s">
        <v>34461</v>
      </c>
      <c r="AY3567" s="3" t="s">
        <v>34462</v>
      </c>
      <c r="AZ3567" s="3" t="s">
        <v>34463</v>
      </c>
      <c r="BA3567" s="3" t="s">
        <v>34463</v>
      </c>
      <c r="BB3567" s="3" t="s">
        <v>34464</v>
      </c>
      <c r="BC3567" s="3" t="s">
        <v>102</v>
      </c>
      <c r="BD3567" s="3" t="s">
        <v>231</v>
      </c>
      <c r="BE3567" s="3" t="s">
        <v>34465</v>
      </c>
      <c r="BF3567" s="3" t="s">
        <v>34464</v>
      </c>
      <c r="BG3567" s="3" t="s">
        <v>34466</v>
      </c>
    </row>
    <row r="3568" spans="1:59" ht="58" x14ac:dyDescent="0.35">
      <c r="A3568" s="2" t="s">
        <v>89</v>
      </c>
      <c r="B3568" s="2" t="s">
        <v>90</v>
      </c>
      <c r="C3568" s="2" t="s">
        <v>34467</v>
      </c>
      <c r="D3568" s="2" t="s">
        <v>34468</v>
      </c>
      <c r="E3568" s="2" t="s">
        <v>34469</v>
      </c>
      <c r="G3568" s="3" t="s">
        <v>62</v>
      </c>
      <c r="I3568" s="3" t="s">
        <v>62</v>
      </c>
      <c r="J3568" s="3" t="s">
        <v>62</v>
      </c>
      <c r="K3568" s="3" t="s">
        <v>63</v>
      </c>
      <c r="M3568" s="2" t="s">
        <v>34470</v>
      </c>
      <c r="N3568" s="3" t="s">
        <v>625</v>
      </c>
      <c r="P3568" s="3" t="s">
        <v>64</v>
      </c>
      <c r="Q3568" s="2" t="s">
        <v>34471</v>
      </c>
      <c r="R3568" s="3" t="s">
        <v>34126</v>
      </c>
      <c r="S3568" s="4">
        <v>5</v>
      </c>
      <c r="T3568" s="4">
        <v>5</v>
      </c>
      <c r="U3568" s="5" t="s">
        <v>29305</v>
      </c>
      <c r="V3568" s="5" t="s">
        <v>29305</v>
      </c>
      <c r="W3568" s="5" t="s">
        <v>67</v>
      </c>
      <c r="X3568" s="5" t="s">
        <v>67</v>
      </c>
      <c r="Y3568" s="4">
        <v>310</v>
      </c>
      <c r="Z3568" s="4">
        <v>14</v>
      </c>
      <c r="AA3568" s="4">
        <v>15</v>
      </c>
      <c r="AB3568" s="4">
        <v>1</v>
      </c>
      <c r="AC3568" s="4">
        <v>2</v>
      </c>
      <c r="AD3568" s="4">
        <v>82</v>
      </c>
      <c r="AE3568" s="4">
        <v>84</v>
      </c>
      <c r="AF3568" s="4">
        <v>0</v>
      </c>
      <c r="AG3568" s="4">
        <v>1</v>
      </c>
      <c r="AH3568" s="4">
        <v>74</v>
      </c>
      <c r="AI3568" s="4">
        <v>75</v>
      </c>
      <c r="AJ3568" s="4">
        <v>9</v>
      </c>
      <c r="AK3568" s="4">
        <v>10</v>
      </c>
      <c r="AL3568" s="4">
        <v>41</v>
      </c>
      <c r="AM3568" s="4">
        <v>41</v>
      </c>
      <c r="AN3568" s="4">
        <v>0</v>
      </c>
      <c r="AO3568" s="4">
        <v>0</v>
      </c>
      <c r="AP3568" s="4">
        <v>11</v>
      </c>
      <c r="AQ3568" s="4">
        <v>12</v>
      </c>
      <c r="AR3568" s="3" t="s">
        <v>62</v>
      </c>
      <c r="AS3568" s="3" t="s">
        <v>62</v>
      </c>
      <c r="AT3568" s="3" t="s">
        <v>62</v>
      </c>
      <c r="AV3568" s="6" t="str">
        <f>HYPERLINK("http://mcgill.on.worldcat.org/oclc/52464676","Catalog Record")</f>
        <v>Catalog Record</v>
      </c>
      <c r="AW3568" s="6" t="str">
        <f>HYPERLINK("http://www.worldcat.org/oclc/52464676","WorldCat Record")</f>
        <v>WorldCat Record</v>
      </c>
      <c r="AX3568" s="3" t="s">
        <v>34472</v>
      </c>
      <c r="AY3568" s="3" t="s">
        <v>34473</v>
      </c>
      <c r="AZ3568" s="3" t="s">
        <v>34474</v>
      </c>
      <c r="BA3568" s="3" t="s">
        <v>34474</v>
      </c>
      <c r="BB3568" s="3" t="s">
        <v>34475</v>
      </c>
      <c r="BC3568" s="3" t="s">
        <v>102</v>
      </c>
      <c r="BD3568" s="3" t="s">
        <v>68</v>
      </c>
      <c r="BE3568" s="3" t="s">
        <v>34476</v>
      </c>
      <c r="BF3568" s="3" t="s">
        <v>34475</v>
      </c>
      <c r="BG3568" s="3" t="s">
        <v>34477</v>
      </c>
    </row>
    <row r="3569" spans="1:59" ht="58" x14ac:dyDescent="0.35">
      <c r="A3569" s="2" t="s">
        <v>89</v>
      </c>
      <c r="B3569" s="2" t="s">
        <v>90</v>
      </c>
      <c r="C3569" s="2" t="s">
        <v>34478</v>
      </c>
      <c r="D3569" s="2" t="s">
        <v>34479</v>
      </c>
      <c r="E3569" s="2" t="s">
        <v>34480</v>
      </c>
      <c r="G3569" s="3" t="s">
        <v>62</v>
      </c>
      <c r="I3569" s="3" t="s">
        <v>61</v>
      </c>
      <c r="J3569" s="3" t="s">
        <v>62</v>
      </c>
      <c r="K3569" s="3" t="s">
        <v>63</v>
      </c>
      <c r="L3569" s="2" t="s">
        <v>34481</v>
      </c>
      <c r="M3569" s="2" t="s">
        <v>34482</v>
      </c>
      <c r="N3569" s="3" t="s">
        <v>1195</v>
      </c>
      <c r="P3569" s="3" t="s">
        <v>64</v>
      </c>
      <c r="R3569" s="3" t="s">
        <v>34126</v>
      </c>
      <c r="S3569" s="4">
        <v>13</v>
      </c>
      <c r="T3569" s="4">
        <v>29</v>
      </c>
      <c r="U3569" s="5" t="s">
        <v>29305</v>
      </c>
      <c r="V3569" s="5" t="s">
        <v>29305</v>
      </c>
      <c r="W3569" s="5" t="s">
        <v>67</v>
      </c>
      <c r="X3569" s="5" t="s">
        <v>67</v>
      </c>
      <c r="Y3569" s="4">
        <v>381</v>
      </c>
      <c r="Z3569" s="4">
        <v>15</v>
      </c>
      <c r="AA3569" s="4">
        <v>79</v>
      </c>
      <c r="AB3569" s="4">
        <v>2</v>
      </c>
      <c r="AC3569" s="4">
        <v>14</v>
      </c>
      <c r="AD3569" s="4">
        <v>96</v>
      </c>
      <c r="AE3569" s="4">
        <v>141</v>
      </c>
      <c r="AF3569" s="4">
        <v>1</v>
      </c>
      <c r="AG3569" s="4">
        <v>8</v>
      </c>
      <c r="AH3569" s="4">
        <v>88</v>
      </c>
      <c r="AI3569" s="4">
        <v>105</v>
      </c>
      <c r="AJ3569" s="4">
        <v>9</v>
      </c>
      <c r="AK3569" s="4">
        <v>20</v>
      </c>
      <c r="AL3569" s="4">
        <v>52</v>
      </c>
      <c r="AM3569" s="4">
        <v>57</v>
      </c>
      <c r="AN3569" s="4">
        <v>0</v>
      </c>
      <c r="AO3569" s="4">
        <v>0</v>
      </c>
      <c r="AP3569" s="4">
        <v>12</v>
      </c>
      <c r="AQ3569" s="4">
        <v>41</v>
      </c>
      <c r="AR3569" s="3" t="s">
        <v>62</v>
      </c>
      <c r="AS3569" s="3" t="s">
        <v>62</v>
      </c>
      <c r="AT3569" s="3" t="s">
        <v>62</v>
      </c>
      <c r="AV3569" s="6" t="str">
        <f>HYPERLINK("http://mcgill.on.worldcat.org/oclc/61362668","Catalog Record")</f>
        <v>Catalog Record</v>
      </c>
      <c r="AW3569" s="6" t="str">
        <f>HYPERLINK("http://www.worldcat.org/oclc/61362668","WorldCat Record")</f>
        <v>WorldCat Record</v>
      </c>
      <c r="AX3569" s="3" t="s">
        <v>34483</v>
      </c>
      <c r="AY3569" s="3" t="s">
        <v>34484</v>
      </c>
      <c r="AZ3569" s="3" t="s">
        <v>34485</v>
      </c>
      <c r="BA3569" s="3" t="s">
        <v>34485</v>
      </c>
      <c r="BB3569" s="3" t="s">
        <v>34486</v>
      </c>
      <c r="BC3569" s="3" t="s">
        <v>102</v>
      </c>
      <c r="BD3569" s="3" t="s">
        <v>68</v>
      </c>
      <c r="BE3569" s="3" t="s">
        <v>34487</v>
      </c>
      <c r="BF3569" s="3" t="s">
        <v>34486</v>
      </c>
      <c r="BG3569" s="3" t="s">
        <v>34488</v>
      </c>
    </row>
    <row r="3570" spans="1:59" ht="58" x14ac:dyDescent="0.35">
      <c r="A3570" s="2" t="s">
        <v>89</v>
      </c>
      <c r="B3570" s="2" t="s">
        <v>90</v>
      </c>
      <c r="C3570" s="2" t="s">
        <v>34489</v>
      </c>
      <c r="D3570" s="2" t="s">
        <v>34490</v>
      </c>
      <c r="E3570" s="2" t="s">
        <v>34491</v>
      </c>
      <c r="G3570" s="3" t="s">
        <v>62</v>
      </c>
      <c r="I3570" s="3" t="s">
        <v>62</v>
      </c>
      <c r="J3570" s="3" t="s">
        <v>62</v>
      </c>
      <c r="K3570" s="3" t="s">
        <v>63</v>
      </c>
      <c r="L3570" s="2" t="s">
        <v>34492</v>
      </c>
      <c r="M3570" s="2" t="s">
        <v>34493</v>
      </c>
      <c r="N3570" s="3" t="s">
        <v>596</v>
      </c>
      <c r="P3570" s="3" t="s">
        <v>64</v>
      </c>
      <c r="R3570" s="3" t="s">
        <v>34126</v>
      </c>
      <c r="S3570" s="4">
        <v>5</v>
      </c>
      <c r="T3570" s="4">
        <v>5</v>
      </c>
      <c r="U3570" s="5" t="s">
        <v>34494</v>
      </c>
      <c r="V3570" s="5" t="s">
        <v>34494</v>
      </c>
      <c r="W3570" s="5" t="s">
        <v>67</v>
      </c>
      <c r="X3570" s="5" t="s">
        <v>67</v>
      </c>
      <c r="Y3570" s="4">
        <v>44</v>
      </c>
      <c r="Z3570" s="4">
        <v>29</v>
      </c>
      <c r="AA3570" s="4">
        <v>30</v>
      </c>
      <c r="AB3570" s="4">
        <v>2</v>
      </c>
      <c r="AC3570" s="4">
        <v>3</v>
      </c>
      <c r="AD3570" s="4">
        <v>19</v>
      </c>
      <c r="AE3570" s="4">
        <v>19</v>
      </c>
      <c r="AF3570" s="4">
        <v>0</v>
      </c>
      <c r="AG3570" s="4">
        <v>0</v>
      </c>
      <c r="AH3570" s="4">
        <v>12</v>
      </c>
      <c r="AI3570" s="4">
        <v>12</v>
      </c>
      <c r="AJ3570" s="4">
        <v>11</v>
      </c>
      <c r="AK3570" s="4">
        <v>11</v>
      </c>
      <c r="AL3570" s="4">
        <v>3</v>
      </c>
      <c r="AM3570" s="4">
        <v>3</v>
      </c>
      <c r="AN3570" s="4">
        <v>0</v>
      </c>
      <c r="AO3570" s="4">
        <v>0</v>
      </c>
      <c r="AP3570" s="4">
        <v>13</v>
      </c>
      <c r="AQ3570" s="4">
        <v>13</v>
      </c>
      <c r="AR3570" s="3" t="s">
        <v>61</v>
      </c>
      <c r="AS3570" s="3" t="s">
        <v>62</v>
      </c>
      <c r="AT3570" s="3" t="s">
        <v>62</v>
      </c>
      <c r="AV3570" s="6" t="str">
        <f>HYPERLINK("http://mcgill.on.worldcat.org/oclc/50185948","Catalog Record")</f>
        <v>Catalog Record</v>
      </c>
      <c r="AW3570" s="6" t="str">
        <f>HYPERLINK("http://www.worldcat.org/oclc/50185948","WorldCat Record")</f>
        <v>WorldCat Record</v>
      </c>
      <c r="AX3570" s="3" t="s">
        <v>34495</v>
      </c>
      <c r="AY3570" s="3" t="s">
        <v>34496</v>
      </c>
      <c r="AZ3570" s="3" t="s">
        <v>34497</v>
      </c>
      <c r="BA3570" s="3" t="s">
        <v>34497</v>
      </c>
      <c r="BB3570" s="3" t="s">
        <v>34498</v>
      </c>
      <c r="BC3570" s="3" t="s">
        <v>102</v>
      </c>
      <c r="BD3570" s="3" t="s">
        <v>68</v>
      </c>
      <c r="BE3570" s="3" t="s">
        <v>34499</v>
      </c>
      <c r="BF3570" s="3" t="s">
        <v>34498</v>
      </c>
      <c r="BG3570" s="3" t="s">
        <v>34500</v>
      </c>
    </row>
    <row r="3571" spans="1:59" ht="58" x14ac:dyDescent="0.35">
      <c r="A3571" s="2" t="s">
        <v>59</v>
      </c>
      <c r="B3571" s="2" t="s">
        <v>60</v>
      </c>
      <c r="C3571" s="2" t="s">
        <v>34501</v>
      </c>
      <c r="D3571" s="2" t="s">
        <v>34502</v>
      </c>
      <c r="E3571" s="2" t="s">
        <v>34503</v>
      </c>
      <c r="G3571" s="3" t="s">
        <v>62</v>
      </c>
      <c r="I3571" s="3" t="s">
        <v>62</v>
      </c>
      <c r="J3571" s="3" t="s">
        <v>62</v>
      </c>
      <c r="K3571" s="3" t="s">
        <v>63</v>
      </c>
      <c r="L3571" s="2" t="s">
        <v>34504</v>
      </c>
      <c r="M3571" s="2" t="s">
        <v>34505</v>
      </c>
      <c r="N3571" s="3" t="s">
        <v>625</v>
      </c>
      <c r="P3571" s="3" t="s">
        <v>64</v>
      </c>
      <c r="Q3571" s="2" t="s">
        <v>34506</v>
      </c>
      <c r="R3571" s="3" t="s">
        <v>34126</v>
      </c>
      <c r="S3571" s="4">
        <v>2</v>
      </c>
      <c r="T3571" s="4">
        <v>2</v>
      </c>
      <c r="U3571" s="5" t="s">
        <v>2963</v>
      </c>
      <c r="V3571" s="5" t="s">
        <v>2963</v>
      </c>
      <c r="W3571" s="5" t="s">
        <v>67</v>
      </c>
      <c r="X3571" s="5" t="s">
        <v>67</v>
      </c>
      <c r="Y3571" s="4">
        <v>219</v>
      </c>
      <c r="Z3571" s="4">
        <v>59</v>
      </c>
      <c r="AA3571" s="4">
        <v>160</v>
      </c>
      <c r="AB3571" s="4">
        <v>4</v>
      </c>
      <c r="AC3571" s="4">
        <v>26</v>
      </c>
      <c r="AD3571" s="4">
        <v>90</v>
      </c>
      <c r="AE3571" s="4">
        <v>149</v>
      </c>
      <c r="AF3571" s="4">
        <v>1</v>
      </c>
      <c r="AG3571" s="4">
        <v>9</v>
      </c>
      <c r="AH3571" s="4">
        <v>67</v>
      </c>
      <c r="AI3571" s="4">
        <v>98</v>
      </c>
      <c r="AJ3571" s="4">
        <v>19</v>
      </c>
      <c r="AK3571" s="4">
        <v>29</v>
      </c>
      <c r="AL3571" s="4">
        <v>38</v>
      </c>
      <c r="AM3571" s="4">
        <v>51</v>
      </c>
      <c r="AN3571" s="4">
        <v>0</v>
      </c>
      <c r="AO3571" s="4">
        <v>0</v>
      </c>
      <c r="AP3571" s="4">
        <v>29</v>
      </c>
      <c r="AQ3571" s="4">
        <v>59</v>
      </c>
      <c r="AR3571" s="3" t="s">
        <v>61</v>
      </c>
      <c r="AS3571" s="3" t="s">
        <v>62</v>
      </c>
      <c r="AT3571" s="3" t="s">
        <v>62</v>
      </c>
      <c r="AV3571" s="6" t="str">
        <f>HYPERLINK("http://mcgill.on.worldcat.org/oclc/52749883","Catalog Record")</f>
        <v>Catalog Record</v>
      </c>
      <c r="AW3571" s="6" t="str">
        <f>HYPERLINK("http://www.worldcat.org/oclc/52749883","WorldCat Record")</f>
        <v>WorldCat Record</v>
      </c>
      <c r="AX3571" s="3" t="s">
        <v>34507</v>
      </c>
      <c r="AY3571" s="3" t="s">
        <v>34508</v>
      </c>
      <c r="AZ3571" s="3" t="s">
        <v>34509</v>
      </c>
      <c r="BA3571" s="3" t="s">
        <v>34509</v>
      </c>
      <c r="BB3571" s="3" t="s">
        <v>34510</v>
      </c>
      <c r="BC3571" s="3" t="s">
        <v>102</v>
      </c>
      <c r="BD3571" s="3" t="s">
        <v>68</v>
      </c>
      <c r="BE3571" s="3" t="s">
        <v>34511</v>
      </c>
      <c r="BF3571" s="3" t="s">
        <v>34510</v>
      </c>
      <c r="BG3571" s="3" t="s">
        <v>34512</v>
      </c>
    </row>
    <row r="3572" spans="1:59" ht="72.5" x14ac:dyDescent="0.35">
      <c r="A3572" s="2" t="s">
        <v>59</v>
      </c>
      <c r="B3572" s="2" t="s">
        <v>60</v>
      </c>
      <c r="C3572" s="2" t="s">
        <v>34513</v>
      </c>
      <c r="D3572" s="2" t="s">
        <v>34514</v>
      </c>
      <c r="E3572" s="2" t="s">
        <v>34515</v>
      </c>
      <c r="G3572" s="3" t="s">
        <v>62</v>
      </c>
      <c r="I3572" s="3" t="s">
        <v>62</v>
      </c>
      <c r="J3572" s="3" t="s">
        <v>62</v>
      </c>
      <c r="K3572" s="3" t="s">
        <v>63</v>
      </c>
      <c r="M3572" s="2" t="s">
        <v>34516</v>
      </c>
      <c r="N3572" s="3" t="s">
        <v>481</v>
      </c>
      <c r="P3572" s="3" t="s">
        <v>64</v>
      </c>
      <c r="R3572" s="3" t="s">
        <v>34126</v>
      </c>
      <c r="S3572" s="4">
        <v>4</v>
      </c>
      <c r="T3572" s="4">
        <v>4</v>
      </c>
      <c r="U3572" s="5" t="s">
        <v>11570</v>
      </c>
      <c r="V3572" s="5" t="s">
        <v>11570</v>
      </c>
      <c r="W3572" s="5" t="s">
        <v>67</v>
      </c>
      <c r="X3572" s="5" t="s">
        <v>67</v>
      </c>
      <c r="Y3572" s="4">
        <v>449</v>
      </c>
      <c r="Z3572" s="4">
        <v>17</v>
      </c>
      <c r="AA3572" s="4">
        <v>97</v>
      </c>
      <c r="AB3572" s="4">
        <v>2</v>
      </c>
      <c r="AC3572" s="4">
        <v>17</v>
      </c>
      <c r="AD3572" s="4">
        <v>103</v>
      </c>
      <c r="AE3572" s="4">
        <v>135</v>
      </c>
      <c r="AF3572" s="4">
        <v>1</v>
      </c>
      <c r="AG3572" s="4">
        <v>8</v>
      </c>
      <c r="AH3572" s="4">
        <v>92</v>
      </c>
      <c r="AI3572" s="4">
        <v>99</v>
      </c>
      <c r="AJ3572" s="4">
        <v>10</v>
      </c>
      <c r="AK3572" s="4">
        <v>19</v>
      </c>
      <c r="AL3572" s="4">
        <v>54</v>
      </c>
      <c r="AM3572" s="4">
        <v>55</v>
      </c>
      <c r="AN3572" s="4">
        <v>0</v>
      </c>
      <c r="AO3572" s="4">
        <v>0</v>
      </c>
      <c r="AP3572" s="4">
        <v>13</v>
      </c>
      <c r="AQ3572" s="4">
        <v>41</v>
      </c>
      <c r="AR3572" s="3" t="s">
        <v>62</v>
      </c>
      <c r="AS3572" s="3" t="s">
        <v>62</v>
      </c>
      <c r="AT3572" s="3" t="s">
        <v>62</v>
      </c>
      <c r="AV3572" s="6" t="str">
        <f>HYPERLINK("http://mcgill.on.worldcat.org/oclc/35620349","Catalog Record")</f>
        <v>Catalog Record</v>
      </c>
      <c r="AW3572" s="6" t="str">
        <f>HYPERLINK("http://www.worldcat.org/oclc/35620349","WorldCat Record")</f>
        <v>WorldCat Record</v>
      </c>
      <c r="AX3572" s="3" t="s">
        <v>34517</v>
      </c>
      <c r="AY3572" s="3" t="s">
        <v>34518</v>
      </c>
      <c r="AZ3572" s="3" t="s">
        <v>34519</v>
      </c>
      <c r="BA3572" s="3" t="s">
        <v>34519</v>
      </c>
      <c r="BB3572" s="3" t="s">
        <v>34520</v>
      </c>
      <c r="BC3572" s="3" t="s">
        <v>102</v>
      </c>
      <c r="BD3572" s="3" t="s">
        <v>68</v>
      </c>
      <c r="BE3572" s="3" t="s">
        <v>34521</v>
      </c>
      <c r="BF3572" s="3" t="s">
        <v>34520</v>
      </c>
      <c r="BG3572" s="3" t="s">
        <v>34522</v>
      </c>
    </row>
    <row r="3573" spans="1:59" ht="58" x14ac:dyDescent="0.35">
      <c r="A3573" s="2" t="s">
        <v>59</v>
      </c>
      <c r="B3573" s="2" t="s">
        <v>60</v>
      </c>
      <c r="C3573" s="2" t="s">
        <v>34523</v>
      </c>
      <c r="D3573" s="2" t="s">
        <v>34524</v>
      </c>
      <c r="E3573" s="2" t="s">
        <v>34525</v>
      </c>
      <c r="G3573" s="3" t="s">
        <v>62</v>
      </c>
      <c r="I3573" s="3" t="s">
        <v>62</v>
      </c>
      <c r="J3573" s="3" t="s">
        <v>62</v>
      </c>
      <c r="K3573" s="3" t="s">
        <v>63</v>
      </c>
      <c r="L3573" s="2" t="s">
        <v>34526</v>
      </c>
      <c r="M3573" s="2" t="s">
        <v>34527</v>
      </c>
      <c r="N3573" s="3" t="s">
        <v>1639</v>
      </c>
      <c r="P3573" s="3" t="s">
        <v>64</v>
      </c>
      <c r="R3573" s="3" t="s">
        <v>34126</v>
      </c>
      <c r="S3573" s="4">
        <v>1</v>
      </c>
      <c r="T3573" s="4">
        <v>1</v>
      </c>
      <c r="U3573" s="5" t="s">
        <v>31490</v>
      </c>
      <c r="V3573" s="5" t="s">
        <v>31490</v>
      </c>
      <c r="W3573" s="5" t="s">
        <v>67</v>
      </c>
      <c r="X3573" s="5" t="s">
        <v>67</v>
      </c>
      <c r="Y3573" s="4">
        <v>462</v>
      </c>
      <c r="Z3573" s="4">
        <v>22</v>
      </c>
      <c r="AA3573" s="4">
        <v>24</v>
      </c>
      <c r="AB3573" s="4">
        <v>2</v>
      </c>
      <c r="AC3573" s="4">
        <v>4</v>
      </c>
      <c r="AD3573" s="4">
        <v>103</v>
      </c>
      <c r="AE3573" s="4">
        <v>105</v>
      </c>
      <c r="AF3573" s="4">
        <v>0</v>
      </c>
      <c r="AG3573" s="4">
        <v>2</v>
      </c>
      <c r="AH3573" s="4">
        <v>93</v>
      </c>
      <c r="AI3573" s="4">
        <v>94</v>
      </c>
      <c r="AJ3573" s="4">
        <v>14</v>
      </c>
      <c r="AK3573" s="4">
        <v>16</v>
      </c>
      <c r="AL3573" s="4">
        <v>48</v>
      </c>
      <c r="AM3573" s="4">
        <v>48</v>
      </c>
      <c r="AN3573" s="4">
        <v>0</v>
      </c>
      <c r="AO3573" s="4">
        <v>0</v>
      </c>
      <c r="AP3573" s="4">
        <v>16</v>
      </c>
      <c r="AQ3573" s="4">
        <v>17</v>
      </c>
      <c r="AR3573" s="3" t="s">
        <v>62</v>
      </c>
      <c r="AS3573" s="3" t="s">
        <v>62</v>
      </c>
      <c r="AT3573" s="3" t="s">
        <v>61</v>
      </c>
      <c r="AU3573" s="6" t="str">
        <f>HYPERLINK("http://catalog.hathitrust.org/Record/001489919","HathiTrust Record")</f>
        <v>HathiTrust Record</v>
      </c>
      <c r="AV3573" s="6" t="str">
        <f>HYPERLINK("http://mcgill.on.worldcat.org/oclc/105900","Catalog Record")</f>
        <v>Catalog Record</v>
      </c>
      <c r="AW3573" s="6" t="str">
        <f>HYPERLINK("http://www.worldcat.org/oclc/105900","WorldCat Record")</f>
        <v>WorldCat Record</v>
      </c>
      <c r="AX3573" s="3" t="s">
        <v>34528</v>
      </c>
      <c r="AY3573" s="3" t="s">
        <v>34529</v>
      </c>
      <c r="AZ3573" s="3" t="s">
        <v>34530</v>
      </c>
      <c r="BA3573" s="3" t="s">
        <v>34530</v>
      </c>
      <c r="BB3573" s="3" t="s">
        <v>34531</v>
      </c>
      <c r="BC3573" s="3" t="s">
        <v>102</v>
      </c>
      <c r="BD3573" s="3" t="s">
        <v>68</v>
      </c>
      <c r="BE3573" s="3" t="s">
        <v>34532</v>
      </c>
      <c r="BF3573" s="3" t="s">
        <v>34531</v>
      </c>
      <c r="BG3573" s="3" t="s">
        <v>34533</v>
      </c>
    </row>
    <row r="3574" spans="1:59" ht="72.5" x14ac:dyDescent="0.35">
      <c r="A3574" s="2" t="s">
        <v>59</v>
      </c>
      <c r="B3574" s="2" t="s">
        <v>60</v>
      </c>
      <c r="C3574" s="2" t="s">
        <v>34534</v>
      </c>
      <c r="D3574" s="2" t="s">
        <v>34535</v>
      </c>
      <c r="E3574" s="2" t="s">
        <v>34536</v>
      </c>
      <c r="G3574" s="3" t="s">
        <v>62</v>
      </c>
      <c r="I3574" s="3" t="s">
        <v>62</v>
      </c>
      <c r="J3574" s="3" t="s">
        <v>62</v>
      </c>
      <c r="K3574" s="3" t="s">
        <v>63</v>
      </c>
      <c r="L3574" s="2" t="s">
        <v>34537</v>
      </c>
      <c r="M3574" s="2" t="s">
        <v>34538</v>
      </c>
      <c r="N3574" s="3" t="s">
        <v>824</v>
      </c>
      <c r="P3574" s="3" t="s">
        <v>64</v>
      </c>
      <c r="Q3574" s="2" t="s">
        <v>34539</v>
      </c>
      <c r="R3574" s="3" t="s">
        <v>34126</v>
      </c>
      <c r="S3574" s="4">
        <v>2</v>
      </c>
      <c r="T3574" s="4">
        <v>2</v>
      </c>
      <c r="U3574" s="5" t="s">
        <v>6663</v>
      </c>
      <c r="V3574" s="5" t="s">
        <v>6663</v>
      </c>
      <c r="W3574" s="5" t="s">
        <v>67</v>
      </c>
      <c r="X3574" s="5" t="s">
        <v>67</v>
      </c>
      <c r="Y3574" s="4">
        <v>565</v>
      </c>
      <c r="Z3574" s="4">
        <v>9</v>
      </c>
      <c r="AA3574" s="4">
        <v>15</v>
      </c>
      <c r="AB3574" s="4">
        <v>1</v>
      </c>
      <c r="AC3574" s="4">
        <v>2</v>
      </c>
      <c r="AD3574" s="4">
        <v>88</v>
      </c>
      <c r="AE3574" s="4">
        <v>96</v>
      </c>
      <c r="AF3574" s="4">
        <v>0</v>
      </c>
      <c r="AG3574" s="4">
        <v>0</v>
      </c>
      <c r="AH3574" s="4">
        <v>84</v>
      </c>
      <c r="AI3574" s="4">
        <v>91</v>
      </c>
      <c r="AJ3574" s="4">
        <v>6</v>
      </c>
      <c r="AK3574" s="4">
        <v>8</v>
      </c>
      <c r="AL3574" s="4">
        <v>46</v>
      </c>
      <c r="AM3574" s="4">
        <v>49</v>
      </c>
      <c r="AN3574" s="4">
        <v>0</v>
      </c>
      <c r="AO3574" s="4">
        <v>0</v>
      </c>
      <c r="AP3574" s="4">
        <v>6</v>
      </c>
      <c r="AQ3574" s="4">
        <v>9</v>
      </c>
      <c r="AR3574" s="3" t="s">
        <v>62</v>
      </c>
      <c r="AS3574" s="3" t="s">
        <v>62</v>
      </c>
      <c r="AT3574" s="3" t="s">
        <v>61</v>
      </c>
      <c r="AU3574" s="6" t="str">
        <f>HYPERLINK("http://catalog.hathitrust.org/Record/001489921","HathiTrust Record")</f>
        <v>HathiTrust Record</v>
      </c>
      <c r="AV3574" s="6" t="str">
        <f>HYPERLINK("http://mcgill.on.worldcat.org/oclc/1237775","Catalog Record")</f>
        <v>Catalog Record</v>
      </c>
      <c r="AW3574" s="6" t="str">
        <f>HYPERLINK("http://www.worldcat.org/oclc/1237775","WorldCat Record")</f>
        <v>WorldCat Record</v>
      </c>
      <c r="AX3574" s="3" t="s">
        <v>34540</v>
      </c>
      <c r="AY3574" s="3" t="s">
        <v>34541</v>
      </c>
      <c r="AZ3574" s="3" t="s">
        <v>34542</v>
      </c>
      <c r="BA3574" s="3" t="s">
        <v>34542</v>
      </c>
      <c r="BB3574" s="3" t="s">
        <v>34543</v>
      </c>
      <c r="BC3574" s="3" t="s">
        <v>102</v>
      </c>
      <c r="BD3574" s="3" t="s">
        <v>68</v>
      </c>
      <c r="BF3574" s="3" t="s">
        <v>34543</v>
      </c>
      <c r="BG3574" s="3" t="s">
        <v>34544</v>
      </c>
    </row>
    <row r="3575" spans="1:59" ht="72.5" x14ac:dyDescent="0.35">
      <c r="A3575" s="2" t="s">
        <v>89</v>
      </c>
      <c r="B3575" s="2" t="s">
        <v>90</v>
      </c>
      <c r="C3575" s="2" t="s">
        <v>34545</v>
      </c>
      <c r="D3575" s="2" t="s">
        <v>34546</v>
      </c>
      <c r="E3575" s="2" t="s">
        <v>34547</v>
      </c>
      <c r="G3575" s="3" t="s">
        <v>62</v>
      </c>
      <c r="I3575" s="3" t="s">
        <v>62</v>
      </c>
      <c r="J3575" s="3" t="s">
        <v>62</v>
      </c>
      <c r="K3575" s="3" t="s">
        <v>63</v>
      </c>
      <c r="L3575" s="2" t="s">
        <v>34548</v>
      </c>
      <c r="M3575" s="2" t="s">
        <v>34549</v>
      </c>
      <c r="N3575" s="3" t="s">
        <v>1455</v>
      </c>
      <c r="P3575" s="3" t="s">
        <v>64</v>
      </c>
      <c r="R3575" s="3" t="s">
        <v>34126</v>
      </c>
      <c r="S3575" s="4">
        <v>0</v>
      </c>
      <c r="T3575" s="4">
        <v>0</v>
      </c>
      <c r="W3575" s="5" t="s">
        <v>67</v>
      </c>
      <c r="X3575" s="5" t="s">
        <v>67</v>
      </c>
      <c r="Y3575" s="4">
        <v>56</v>
      </c>
      <c r="Z3575" s="4">
        <v>4</v>
      </c>
      <c r="AA3575" s="4">
        <v>137</v>
      </c>
      <c r="AB3575" s="4">
        <v>1</v>
      </c>
      <c r="AC3575" s="4">
        <v>18</v>
      </c>
      <c r="AD3575" s="4">
        <v>6</v>
      </c>
      <c r="AE3575" s="4">
        <v>144</v>
      </c>
      <c r="AF3575" s="4">
        <v>0</v>
      </c>
      <c r="AG3575" s="4">
        <v>8</v>
      </c>
      <c r="AH3575" s="4">
        <v>5</v>
      </c>
      <c r="AI3575" s="4">
        <v>101</v>
      </c>
      <c r="AJ3575" s="4">
        <v>2</v>
      </c>
      <c r="AK3575" s="4">
        <v>26</v>
      </c>
      <c r="AL3575" s="4">
        <v>3</v>
      </c>
      <c r="AM3575" s="4">
        <v>54</v>
      </c>
      <c r="AN3575" s="4">
        <v>0</v>
      </c>
      <c r="AO3575" s="4">
        <v>0</v>
      </c>
      <c r="AP3575" s="4">
        <v>2</v>
      </c>
      <c r="AQ3575" s="4">
        <v>50</v>
      </c>
      <c r="AR3575" s="3" t="s">
        <v>62</v>
      </c>
      <c r="AS3575" s="3" t="s">
        <v>62</v>
      </c>
      <c r="AT3575" s="3" t="s">
        <v>62</v>
      </c>
      <c r="AV3575" s="6" t="str">
        <f>HYPERLINK("http://mcgill.on.worldcat.org/oclc/910981645","Catalog Record")</f>
        <v>Catalog Record</v>
      </c>
      <c r="AW3575" s="6" t="str">
        <f>HYPERLINK("http://www.worldcat.org/oclc/910981645","WorldCat Record")</f>
        <v>WorldCat Record</v>
      </c>
      <c r="AX3575" s="3" t="s">
        <v>34550</v>
      </c>
      <c r="AY3575" s="3" t="s">
        <v>34551</v>
      </c>
      <c r="AZ3575" s="3" t="s">
        <v>34552</v>
      </c>
      <c r="BA3575" s="3" t="s">
        <v>34552</v>
      </c>
      <c r="BB3575" s="3" t="s">
        <v>34553</v>
      </c>
      <c r="BC3575" s="3" t="s">
        <v>102</v>
      </c>
      <c r="BD3575" s="3" t="s">
        <v>68</v>
      </c>
      <c r="BE3575" s="3" t="s">
        <v>34554</v>
      </c>
      <c r="BF3575" s="3" t="s">
        <v>34553</v>
      </c>
      <c r="BG3575" s="3" t="s">
        <v>34555</v>
      </c>
    </row>
    <row r="3576" spans="1:59" ht="58" x14ac:dyDescent="0.35">
      <c r="A3576" s="2" t="s">
        <v>89</v>
      </c>
      <c r="B3576" s="2" t="s">
        <v>90</v>
      </c>
      <c r="C3576" s="2" t="s">
        <v>34556</v>
      </c>
      <c r="D3576" s="2" t="s">
        <v>34557</v>
      </c>
      <c r="E3576" s="2" t="s">
        <v>34558</v>
      </c>
      <c r="G3576" s="3" t="s">
        <v>62</v>
      </c>
      <c r="I3576" s="3" t="s">
        <v>62</v>
      </c>
      <c r="J3576" s="3" t="s">
        <v>62</v>
      </c>
      <c r="K3576" s="3" t="s">
        <v>63</v>
      </c>
      <c r="L3576" s="2" t="s">
        <v>34559</v>
      </c>
      <c r="M3576" s="2" t="s">
        <v>34560</v>
      </c>
      <c r="N3576" s="3" t="s">
        <v>698</v>
      </c>
      <c r="O3576" s="2" t="s">
        <v>2163</v>
      </c>
      <c r="P3576" s="3" t="s">
        <v>64</v>
      </c>
      <c r="R3576" s="3" t="s">
        <v>34126</v>
      </c>
      <c r="S3576" s="4">
        <v>2</v>
      </c>
      <c r="T3576" s="4">
        <v>2</v>
      </c>
      <c r="U3576" s="5" t="s">
        <v>34561</v>
      </c>
      <c r="V3576" s="5" t="s">
        <v>34561</v>
      </c>
      <c r="W3576" s="5" t="s">
        <v>67</v>
      </c>
      <c r="X3576" s="5" t="s">
        <v>67</v>
      </c>
      <c r="Y3576" s="4">
        <v>1690</v>
      </c>
      <c r="Z3576" s="4">
        <v>53</v>
      </c>
      <c r="AA3576" s="4">
        <v>66</v>
      </c>
      <c r="AB3576" s="4">
        <v>3</v>
      </c>
      <c r="AC3576" s="4">
        <v>6</v>
      </c>
      <c r="AD3576" s="4">
        <v>113</v>
      </c>
      <c r="AE3576" s="4">
        <v>115</v>
      </c>
      <c r="AF3576" s="4">
        <v>0</v>
      </c>
      <c r="AG3576" s="4">
        <v>0</v>
      </c>
      <c r="AH3576" s="4">
        <v>95</v>
      </c>
      <c r="AI3576" s="4">
        <v>96</v>
      </c>
      <c r="AJ3576" s="4">
        <v>15</v>
      </c>
      <c r="AK3576" s="4">
        <v>15</v>
      </c>
      <c r="AL3576" s="4">
        <v>54</v>
      </c>
      <c r="AM3576" s="4">
        <v>55</v>
      </c>
      <c r="AN3576" s="4">
        <v>0</v>
      </c>
      <c r="AO3576" s="4">
        <v>0</v>
      </c>
      <c r="AP3576" s="4">
        <v>22</v>
      </c>
      <c r="AQ3576" s="4">
        <v>22</v>
      </c>
      <c r="AR3576" s="3" t="s">
        <v>62</v>
      </c>
      <c r="AS3576" s="3" t="s">
        <v>62</v>
      </c>
      <c r="AT3576" s="3" t="s">
        <v>62</v>
      </c>
      <c r="AV3576" s="6" t="str">
        <f>HYPERLINK("http://mcgill.on.worldcat.org/oclc/769424501","Catalog Record")</f>
        <v>Catalog Record</v>
      </c>
      <c r="AW3576" s="6" t="str">
        <f>HYPERLINK("http://www.worldcat.org/oclc/769424501","WorldCat Record")</f>
        <v>WorldCat Record</v>
      </c>
      <c r="AX3576" s="3" t="s">
        <v>34562</v>
      </c>
      <c r="AY3576" s="3" t="s">
        <v>34563</v>
      </c>
      <c r="AZ3576" s="3" t="s">
        <v>34564</v>
      </c>
      <c r="BA3576" s="3" t="s">
        <v>34564</v>
      </c>
      <c r="BB3576" s="3" t="s">
        <v>34565</v>
      </c>
      <c r="BC3576" s="3" t="s">
        <v>102</v>
      </c>
      <c r="BD3576" s="3" t="s">
        <v>68</v>
      </c>
      <c r="BE3576" s="3" t="s">
        <v>34566</v>
      </c>
      <c r="BF3576" s="3" t="s">
        <v>34565</v>
      </c>
      <c r="BG3576" s="3" t="s">
        <v>34567</v>
      </c>
    </row>
    <row r="3577" spans="1:59" ht="58" x14ac:dyDescent="0.35">
      <c r="A3577" s="2" t="s">
        <v>89</v>
      </c>
      <c r="B3577" s="2" t="s">
        <v>90</v>
      </c>
      <c r="C3577" s="2" t="s">
        <v>34568</v>
      </c>
      <c r="D3577" s="2" t="s">
        <v>34569</v>
      </c>
      <c r="E3577" s="2" t="s">
        <v>34570</v>
      </c>
      <c r="F3577" s="3" t="s">
        <v>1371</v>
      </c>
      <c r="G3577" s="3" t="s">
        <v>61</v>
      </c>
      <c r="I3577" s="3" t="s">
        <v>62</v>
      </c>
      <c r="J3577" s="3" t="s">
        <v>62</v>
      </c>
      <c r="K3577" s="3" t="s">
        <v>63</v>
      </c>
      <c r="L3577" s="2" t="s">
        <v>34571</v>
      </c>
      <c r="M3577" s="2" t="s">
        <v>34572</v>
      </c>
      <c r="N3577" s="3" t="s">
        <v>5051</v>
      </c>
      <c r="P3577" s="3" t="s">
        <v>64</v>
      </c>
      <c r="R3577" s="3" t="s">
        <v>34126</v>
      </c>
      <c r="S3577" s="4">
        <v>0</v>
      </c>
      <c r="T3577" s="4">
        <v>3</v>
      </c>
      <c r="V3577" s="5" t="s">
        <v>28278</v>
      </c>
      <c r="W3577" s="5" t="s">
        <v>67</v>
      </c>
      <c r="X3577" s="5" t="s">
        <v>67</v>
      </c>
      <c r="Y3577" s="4">
        <v>2</v>
      </c>
      <c r="Z3577" s="4">
        <v>2</v>
      </c>
      <c r="AA3577" s="4">
        <v>2</v>
      </c>
      <c r="AB3577" s="4">
        <v>2</v>
      </c>
      <c r="AC3577" s="4">
        <v>2</v>
      </c>
      <c r="AD3577" s="4">
        <v>0</v>
      </c>
      <c r="AE3577" s="4">
        <v>0</v>
      </c>
      <c r="AF3577" s="4">
        <v>0</v>
      </c>
      <c r="AG3577" s="4">
        <v>0</v>
      </c>
      <c r="AH3577" s="4">
        <v>0</v>
      </c>
      <c r="AI3577" s="4">
        <v>0</v>
      </c>
      <c r="AJ3577" s="4">
        <v>0</v>
      </c>
      <c r="AK3577" s="4">
        <v>0</v>
      </c>
      <c r="AL3577" s="4">
        <v>0</v>
      </c>
      <c r="AM3577" s="4">
        <v>0</v>
      </c>
      <c r="AN3577" s="4">
        <v>0</v>
      </c>
      <c r="AO3577" s="4">
        <v>0</v>
      </c>
      <c r="AP3577" s="4">
        <v>0</v>
      </c>
      <c r="AQ3577" s="4">
        <v>0</v>
      </c>
      <c r="AR3577" s="3" t="s">
        <v>62</v>
      </c>
      <c r="AS3577" s="3" t="s">
        <v>62</v>
      </c>
      <c r="AT3577" s="3" t="s">
        <v>62</v>
      </c>
      <c r="AV3577" s="6" t="str">
        <f>HYPERLINK("http://mcgill.on.worldcat.org/oclc/427483386","Catalog Record")</f>
        <v>Catalog Record</v>
      </c>
      <c r="AW3577" s="6" t="str">
        <f>HYPERLINK("http://www.worldcat.org/oclc/427483386","WorldCat Record")</f>
        <v>WorldCat Record</v>
      </c>
      <c r="AX3577" s="3" t="s">
        <v>34573</v>
      </c>
      <c r="AY3577" s="3" t="s">
        <v>34574</v>
      </c>
      <c r="AZ3577" s="3" t="s">
        <v>34575</v>
      </c>
      <c r="BA3577" s="3" t="s">
        <v>34575</v>
      </c>
      <c r="BB3577" s="3" t="s">
        <v>34576</v>
      </c>
      <c r="BC3577" s="3" t="s">
        <v>102</v>
      </c>
      <c r="BD3577" s="3" t="s">
        <v>68</v>
      </c>
      <c r="BF3577" s="3" t="s">
        <v>34576</v>
      </c>
      <c r="BG3577" s="3" t="s">
        <v>34577</v>
      </c>
    </row>
    <row r="3578" spans="1:59" ht="58" x14ac:dyDescent="0.35">
      <c r="A3578" s="2" t="s">
        <v>89</v>
      </c>
      <c r="B3578" s="2" t="s">
        <v>90</v>
      </c>
      <c r="C3578" s="2" t="s">
        <v>34568</v>
      </c>
      <c r="D3578" s="2" t="s">
        <v>34569</v>
      </c>
      <c r="E3578" s="2" t="s">
        <v>34570</v>
      </c>
      <c r="F3578" s="3" t="s">
        <v>1381</v>
      </c>
      <c r="G3578" s="3" t="s">
        <v>61</v>
      </c>
      <c r="I3578" s="3" t="s">
        <v>62</v>
      </c>
      <c r="J3578" s="3" t="s">
        <v>62</v>
      </c>
      <c r="K3578" s="3" t="s">
        <v>63</v>
      </c>
      <c r="L3578" s="2" t="s">
        <v>34571</v>
      </c>
      <c r="M3578" s="2" t="s">
        <v>34572</v>
      </c>
      <c r="N3578" s="3" t="s">
        <v>5051</v>
      </c>
      <c r="P3578" s="3" t="s">
        <v>64</v>
      </c>
      <c r="R3578" s="3" t="s">
        <v>34126</v>
      </c>
      <c r="S3578" s="4">
        <v>3</v>
      </c>
      <c r="T3578" s="4">
        <v>3</v>
      </c>
      <c r="U3578" s="5" t="s">
        <v>28278</v>
      </c>
      <c r="V3578" s="5" t="s">
        <v>28278</v>
      </c>
      <c r="W3578" s="5" t="s">
        <v>67</v>
      </c>
      <c r="X3578" s="5" t="s">
        <v>67</v>
      </c>
      <c r="Y3578" s="4">
        <v>2</v>
      </c>
      <c r="Z3578" s="4">
        <v>2</v>
      </c>
      <c r="AA3578" s="4">
        <v>2</v>
      </c>
      <c r="AB3578" s="4">
        <v>2</v>
      </c>
      <c r="AC3578" s="4">
        <v>2</v>
      </c>
      <c r="AD3578" s="4">
        <v>0</v>
      </c>
      <c r="AE3578" s="4">
        <v>0</v>
      </c>
      <c r="AF3578" s="4">
        <v>0</v>
      </c>
      <c r="AG3578" s="4">
        <v>0</v>
      </c>
      <c r="AH3578" s="4">
        <v>0</v>
      </c>
      <c r="AI3578" s="4">
        <v>0</v>
      </c>
      <c r="AJ3578" s="4">
        <v>0</v>
      </c>
      <c r="AK3578" s="4">
        <v>0</v>
      </c>
      <c r="AL3578" s="4">
        <v>0</v>
      </c>
      <c r="AM3578" s="4">
        <v>0</v>
      </c>
      <c r="AN3578" s="4">
        <v>0</v>
      </c>
      <c r="AO3578" s="4">
        <v>0</v>
      </c>
      <c r="AP3578" s="4">
        <v>0</v>
      </c>
      <c r="AQ3578" s="4">
        <v>0</v>
      </c>
      <c r="AR3578" s="3" t="s">
        <v>62</v>
      </c>
      <c r="AS3578" s="3" t="s">
        <v>62</v>
      </c>
      <c r="AT3578" s="3" t="s">
        <v>62</v>
      </c>
      <c r="AV3578" s="6" t="str">
        <f>HYPERLINK("http://mcgill.on.worldcat.org/oclc/427483386","Catalog Record")</f>
        <v>Catalog Record</v>
      </c>
      <c r="AW3578" s="6" t="str">
        <f>HYPERLINK("http://www.worldcat.org/oclc/427483386","WorldCat Record")</f>
        <v>WorldCat Record</v>
      </c>
      <c r="AX3578" s="3" t="s">
        <v>34573</v>
      </c>
      <c r="AY3578" s="3" t="s">
        <v>34574</v>
      </c>
      <c r="AZ3578" s="3" t="s">
        <v>34575</v>
      </c>
      <c r="BA3578" s="3" t="s">
        <v>34575</v>
      </c>
      <c r="BB3578" s="3" t="s">
        <v>34578</v>
      </c>
      <c r="BC3578" s="3" t="s">
        <v>102</v>
      </c>
      <c r="BD3578" s="3" t="s">
        <v>68</v>
      </c>
      <c r="BF3578" s="3" t="s">
        <v>34578</v>
      </c>
      <c r="BG3578" s="3" t="s">
        <v>34579</v>
      </c>
    </row>
    <row r="3579" spans="1:59" ht="58" x14ac:dyDescent="0.35">
      <c r="A3579" s="2" t="s">
        <v>89</v>
      </c>
      <c r="B3579" s="2" t="s">
        <v>90</v>
      </c>
      <c r="C3579" s="2" t="s">
        <v>34580</v>
      </c>
      <c r="D3579" s="2" t="s">
        <v>34581</v>
      </c>
      <c r="E3579" s="2" t="s">
        <v>34582</v>
      </c>
      <c r="F3579" s="3" t="s">
        <v>2217</v>
      </c>
      <c r="G3579" s="3" t="s">
        <v>61</v>
      </c>
      <c r="I3579" s="3" t="s">
        <v>62</v>
      </c>
      <c r="J3579" s="3" t="s">
        <v>62</v>
      </c>
      <c r="K3579" s="3" t="s">
        <v>63</v>
      </c>
      <c r="L3579" s="2" t="s">
        <v>4850</v>
      </c>
      <c r="M3579" s="2" t="s">
        <v>34583</v>
      </c>
      <c r="N3579" s="3" t="s">
        <v>640</v>
      </c>
      <c r="P3579" s="3" t="s">
        <v>64</v>
      </c>
      <c r="R3579" s="3" t="s">
        <v>34126</v>
      </c>
      <c r="S3579" s="4">
        <v>4</v>
      </c>
      <c r="T3579" s="4">
        <v>12</v>
      </c>
      <c r="U3579" s="5" t="s">
        <v>34584</v>
      </c>
      <c r="V3579" s="5" t="s">
        <v>4783</v>
      </c>
      <c r="W3579" s="5" t="s">
        <v>67</v>
      </c>
      <c r="X3579" s="5" t="s">
        <v>67</v>
      </c>
      <c r="Y3579" s="4">
        <v>21</v>
      </c>
      <c r="Z3579" s="4">
        <v>2</v>
      </c>
      <c r="AA3579" s="4">
        <v>2</v>
      </c>
      <c r="AB3579" s="4">
        <v>1</v>
      </c>
      <c r="AC3579" s="4">
        <v>1</v>
      </c>
      <c r="AD3579" s="4">
        <v>7</v>
      </c>
      <c r="AE3579" s="4">
        <v>8</v>
      </c>
      <c r="AF3579" s="4">
        <v>0</v>
      </c>
      <c r="AG3579" s="4">
        <v>0</v>
      </c>
      <c r="AH3579" s="4">
        <v>7</v>
      </c>
      <c r="AI3579" s="4">
        <v>7</v>
      </c>
      <c r="AJ3579" s="4">
        <v>1</v>
      </c>
      <c r="AK3579" s="4">
        <v>1</v>
      </c>
      <c r="AL3579" s="4">
        <v>3</v>
      </c>
      <c r="AM3579" s="4">
        <v>4</v>
      </c>
      <c r="AN3579" s="4">
        <v>5</v>
      </c>
      <c r="AO3579" s="4">
        <v>5</v>
      </c>
      <c r="AP3579" s="4">
        <v>1</v>
      </c>
      <c r="AQ3579" s="4">
        <v>1</v>
      </c>
      <c r="AR3579" s="3" t="s">
        <v>62</v>
      </c>
      <c r="AS3579" s="3" t="s">
        <v>62</v>
      </c>
      <c r="AT3579" s="3" t="s">
        <v>61</v>
      </c>
      <c r="AU3579" s="6" t="str">
        <f t="shared" ref="AU3579:AU3587" si="56">HYPERLINK("http://catalog.hathitrust.org/Record/009801832","HathiTrust Record")</f>
        <v>HathiTrust Record</v>
      </c>
      <c r="AV3579" s="6" t="str">
        <f t="shared" ref="AV3579:AV3587" si="57">HYPERLINK("http://mcgill.on.worldcat.org/oclc/56614709","Catalog Record")</f>
        <v>Catalog Record</v>
      </c>
      <c r="AW3579" s="6" t="str">
        <f t="shared" ref="AW3579:AW3587" si="58">HYPERLINK("http://www.worldcat.org/oclc/56614709","WorldCat Record")</f>
        <v>WorldCat Record</v>
      </c>
      <c r="AX3579" s="3" t="s">
        <v>34585</v>
      </c>
      <c r="AY3579" s="3" t="s">
        <v>34586</v>
      </c>
      <c r="AZ3579" s="3" t="s">
        <v>34587</v>
      </c>
      <c r="BA3579" s="3" t="s">
        <v>34587</v>
      </c>
      <c r="BB3579" s="3" t="s">
        <v>34588</v>
      </c>
      <c r="BC3579" s="3" t="s">
        <v>102</v>
      </c>
      <c r="BD3579" s="3" t="s">
        <v>68</v>
      </c>
      <c r="BE3579" s="3" t="s">
        <v>34589</v>
      </c>
      <c r="BF3579" s="3" t="s">
        <v>34588</v>
      </c>
      <c r="BG3579" s="3" t="s">
        <v>34590</v>
      </c>
    </row>
    <row r="3580" spans="1:59" ht="58" x14ac:dyDescent="0.35">
      <c r="A3580" s="2" t="s">
        <v>89</v>
      </c>
      <c r="B3580" s="2" t="s">
        <v>90</v>
      </c>
      <c r="C3580" s="2" t="s">
        <v>34580</v>
      </c>
      <c r="D3580" s="2" t="s">
        <v>34581</v>
      </c>
      <c r="E3580" s="2" t="s">
        <v>34582</v>
      </c>
      <c r="F3580" s="3" t="s">
        <v>2248</v>
      </c>
      <c r="G3580" s="3" t="s">
        <v>61</v>
      </c>
      <c r="I3580" s="3" t="s">
        <v>62</v>
      </c>
      <c r="J3580" s="3" t="s">
        <v>62</v>
      </c>
      <c r="K3580" s="3" t="s">
        <v>63</v>
      </c>
      <c r="L3580" s="2" t="s">
        <v>4850</v>
      </c>
      <c r="M3580" s="2" t="s">
        <v>34583</v>
      </c>
      <c r="N3580" s="3" t="s">
        <v>640</v>
      </c>
      <c r="P3580" s="3" t="s">
        <v>64</v>
      </c>
      <c r="R3580" s="3" t="s">
        <v>34126</v>
      </c>
      <c r="S3580" s="4">
        <v>0</v>
      </c>
      <c r="T3580" s="4">
        <v>12</v>
      </c>
      <c r="V3580" s="5" t="s">
        <v>4783</v>
      </c>
      <c r="W3580" s="5" t="s">
        <v>67</v>
      </c>
      <c r="X3580" s="5" t="s">
        <v>67</v>
      </c>
      <c r="Y3580" s="4">
        <v>21</v>
      </c>
      <c r="Z3580" s="4">
        <v>2</v>
      </c>
      <c r="AA3580" s="4">
        <v>2</v>
      </c>
      <c r="AB3580" s="4">
        <v>1</v>
      </c>
      <c r="AC3580" s="4">
        <v>1</v>
      </c>
      <c r="AD3580" s="4">
        <v>7</v>
      </c>
      <c r="AE3580" s="4">
        <v>8</v>
      </c>
      <c r="AF3580" s="4">
        <v>0</v>
      </c>
      <c r="AG3580" s="4">
        <v>0</v>
      </c>
      <c r="AH3580" s="4">
        <v>7</v>
      </c>
      <c r="AI3580" s="4">
        <v>7</v>
      </c>
      <c r="AJ3580" s="4">
        <v>1</v>
      </c>
      <c r="AK3580" s="4">
        <v>1</v>
      </c>
      <c r="AL3580" s="4">
        <v>3</v>
      </c>
      <c r="AM3580" s="4">
        <v>4</v>
      </c>
      <c r="AN3580" s="4">
        <v>5</v>
      </c>
      <c r="AO3580" s="4">
        <v>5</v>
      </c>
      <c r="AP3580" s="4">
        <v>1</v>
      </c>
      <c r="AQ3580" s="4">
        <v>1</v>
      </c>
      <c r="AR3580" s="3" t="s">
        <v>62</v>
      </c>
      <c r="AS3580" s="3" t="s">
        <v>62</v>
      </c>
      <c r="AT3580" s="3" t="s">
        <v>61</v>
      </c>
      <c r="AU3580" s="6" t="str">
        <f t="shared" si="56"/>
        <v>HathiTrust Record</v>
      </c>
      <c r="AV3580" s="6" t="str">
        <f t="shared" si="57"/>
        <v>Catalog Record</v>
      </c>
      <c r="AW3580" s="6" t="str">
        <f t="shared" si="58"/>
        <v>WorldCat Record</v>
      </c>
      <c r="AX3580" s="3" t="s">
        <v>34585</v>
      </c>
      <c r="AY3580" s="3" t="s">
        <v>34586</v>
      </c>
      <c r="AZ3580" s="3" t="s">
        <v>34587</v>
      </c>
      <c r="BA3580" s="3" t="s">
        <v>34587</v>
      </c>
      <c r="BB3580" s="3" t="s">
        <v>34591</v>
      </c>
      <c r="BC3580" s="3" t="s">
        <v>102</v>
      </c>
      <c r="BD3580" s="3" t="s">
        <v>68</v>
      </c>
      <c r="BE3580" s="3" t="s">
        <v>34589</v>
      </c>
      <c r="BF3580" s="3" t="s">
        <v>34591</v>
      </c>
      <c r="BG3580" s="3" t="s">
        <v>34592</v>
      </c>
    </row>
    <row r="3581" spans="1:59" ht="58" x14ac:dyDescent="0.35">
      <c r="A3581" s="2" t="s">
        <v>89</v>
      </c>
      <c r="B3581" s="2" t="s">
        <v>90</v>
      </c>
      <c r="C3581" s="2" t="s">
        <v>34580</v>
      </c>
      <c r="D3581" s="2" t="s">
        <v>34581</v>
      </c>
      <c r="E3581" s="2" t="s">
        <v>34582</v>
      </c>
      <c r="F3581" s="3" t="s">
        <v>2241</v>
      </c>
      <c r="G3581" s="3" t="s">
        <v>61</v>
      </c>
      <c r="I3581" s="3" t="s">
        <v>62</v>
      </c>
      <c r="J3581" s="3" t="s">
        <v>62</v>
      </c>
      <c r="K3581" s="3" t="s">
        <v>63</v>
      </c>
      <c r="L3581" s="2" t="s">
        <v>4850</v>
      </c>
      <c r="M3581" s="2" t="s">
        <v>34583</v>
      </c>
      <c r="N3581" s="3" t="s">
        <v>640</v>
      </c>
      <c r="P3581" s="3" t="s">
        <v>64</v>
      </c>
      <c r="R3581" s="3" t="s">
        <v>34126</v>
      </c>
      <c r="S3581" s="4">
        <v>0</v>
      </c>
      <c r="T3581" s="4">
        <v>12</v>
      </c>
      <c r="V3581" s="5" t="s">
        <v>4783</v>
      </c>
      <c r="W3581" s="5" t="s">
        <v>67</v>
      </c>
      <c r="X3581" s="5" t="s">
        <v>67</v>
      </c>
      <c r="Y3581" s="4">
        <v>21</v>
      </c>
      <c r="Z3581" s="4">
        <v>2</v>
      </c>
      <c r="AA3581" s="4">
        <v>2</v>
      </c>
      <c r="AB3581" s="4">
        <v>1</v>
      </c>
      <c r="AC3581" s="4">
        <v>1</v>
      </c>
      <c r="AD3581" s="4">
        <v>7</v>
      </c>
      <c r="AE3581" s="4">
        <v>8</v>
      </c>
      <c r="AF3581" s="4">
        <v>0</v>
      </c>
      <c r="AG3581" s="4">
        <v>0</v>
      </c>
      <c r="AH3581" s="4">
        <v>7</v>
      </c>
      <c r="AI3581" s="4">
        <v>7</v>
      </c>
      <c r="AJ3581" s="4">
        <v>1</v>
      </c>
      <c r="AK3581" s="4">
        <v>1</v>
      </c>
      <c r="AL3581" s="4">
        <v>3</v>
      </c>
      <c r="AM3581" s="4">
        <v>4</v>
      </c>
      <c r="AN3581" s="4">
        <v>5</v>
      </c>
      <c r="AO3581" s="4">
        <v>5</v>
      </c>
      <c r="AP3581" s="4">
        <v>1</v>
      </c>
      <c r="AQ3581" s="4">
        <v>1</v>
      </c>
      <c r="AR3581" s="3" t="s">
        <v>62</v>
      </c>
      <c r="AS3581" s="3" t="s">
        <v>62</v>
      </c>
      <c r="AT3581" s="3" t="s">
        <v>61</v>
      </c>
      <c r="AU3581" s="6" t="str">
        <f t="shared" si="56"/>
        <v>HathiTrust Record</v>
      </c>
      <c r="AV3581" s="6" t="str">
        <f t="shared" si="57"/>
        <v>Catalog Record</v>
      </c>
      <c r="AW3581" s="6" t="str">
        <f t="shared" si="58"/>
        <v>WorldCat Record</v>
      </c>
      <c r="AX3581" s="3" t="s">
        <v>34585</v>
      </c>
      <c r="AY3581" s="3" t="s">
        <v>34586</v>
      </c>
      <c r="AZ3581" s="3" t="s">
        <v>34587</v>
      </c>
      <c r="BA3581" s="3" t="s">
        <v>34587</v>
      </c>
      <c r="BB3581" s="3" t="s">
        <v>34593</v>
      </c>
      <c r="BC3581" s="3" t="s">
        <v>102</v>
      </c>
      <c r="BD3581" s="3" t="s">
        <v>68</v>
      </c>
      <c r="BE3581" s="3" t="s">
        <v>34589</v>
      </c>
      <c r="BF3581" s="3" t="s">
        <v>34593</v>
      </c>
      <c r="BG3581" s="3" t="s">
        <v>34594</v>
      </c>
    </row>
    <row r="3582" spans="1:59" ht="58" x14ac:dyDescent="0.35">
      <c r="A3582" s="2" t="s">
        <v>89</v>
      </c>
      <c r="B3582" s="2" t="s">
        <v>90</v>
      </c>
      <c r="C3582" s="2" t="s">
        <v>34580</v>
      </c>
      <c r="D3582" s="2" t="s">
        <v>34581</v>
      </c>
      <c r="E3582" s="2" t="s">
        <v>34582</v>
      </c>
      <c r="F3582" s="3" t="s">
        <v>2223</v>
      </c>
      <c r="G3582" s="3" t="s">
        <v>61</v>
      </c>
      <c r="I3582" s="3" t="s">
        <v>62</v>
      </c>
      <c r="J3582" s="3" t="s">
        <v>62</v>
      </c>
      <c r="K3582" s="3" t="s">
        <v>63</v>
      </c>
      <c r="L3582" s="2" t="s">
        <v>4850</v>
      </c>
      <c r="M3582" s="2" t="s">
        <v>34583</v>
      </c>
      <c r="N3582" s="3" t="s">
        <v>640</v>
      </c>
      <c r="P3582" s="3" t="s">
        <v>64</v>
      </c>
      <c r="R3582" s="3" t="s">
        <v>34126</v>
      </c>
      <c r="S3582" s="4">
        <v>0</v>
      </c>
      <c r="T3582" s="4">
        <v>12</v>
      </c>
      <c r="V3582" s="5" t="s">
        <v>4783</v>
      </c>
      <c r="W3582" s="5" t="s">
        <v>67</v>
      </c>
      <c r="X3582" s="5" t="s">
        <v>67</v>
      </c>
      <c r="Y3582" s="4">
        <v>21</v>
      </c>
      <c r="Z3582" s="4">
        <v>2</v>
      </c>
      <c r="AA3582" s="4">
        <v>2</v>
      </c>
      <c r="AB3582" s="4">
        <v>1</v>
      </c>
      <c r="AC3582" s="4">
        <v>1</v>
      </c>
      <c r="AD3582" s="4">
        <v>7</v>
      </c>
      <c r="AE3582" s="4">
        <v>8</v>
      </c>
      <c r="AF3582" s="4">
        <v>0</v>
      </c>
      <c r="AG3582" s="4">
        <v>0</v>
      </c>
      <c r="AH3582" s="4">
        <v>7</v>
      </c>
      <c r="AI3582" s="4">
        <v>7</v>
      </c>
      <c r="AJ3582" s="4">
        <v>1</v>
      </c>
      <c r="AK3582" s="4">
        <v>1</v>
      </c>
      <c r="AL3582" s="4">
        <v>3</v>
      </c>
      <c r="AM3582" s="4">
        <v>4</v>
      </c>
      <c r="AN3582" s="4">
        <v>5</v>
      </c>
      <c r="AO3582" s="4">
        <v>5</v>
      </c>
      <c r="AP3582" s="4">
        <v>1</v>
      </c>
      <c r="AQ3582" s="4">
        <v>1</v>
      </c>
      <c r="AR3582" s="3" t="s">
        <v>62</v>
      </c>
      <c r="AS3582" s="3" t="s">
        <v>62</v>
      </c>
      <c r="AT3582" s="3" t="s">
        <v>61</v>
      </c>
      <c r="AU3582" s="6" t="str">
        <f t="shared" si="56"/>
        <v>HathiTrust Record</v>
      </c>
      <c r="AV3582" s="6" t="str">
        <f t="shared" si="57"/>
        <v>Catalog Record</v>
      </c>
      <c r="AW3582" s="6" t="str">
        <f t="shared" si="58"/>
        <v>WorldCat Record</v>
      </c>
      <c r="AX3582" s="3" t="s">
        <v>34585</v>
      </c>
      <c r="AY3582" s="3" t="s">
        <v>34586</v>
      </c>
      <c r="AZ3582" s="3" t="s">
        <v>34587</v>
      </c>
      <c r="BA3582" s="3" t="s">
        <v>34587</v>
      </c>
      <c r="BB3582" s="3" t="s">
        <v>34595</v>
      </c>
      <c r="BC3582" s="3" t="s">
        <v>102</v>
      </c>
      <c r="BD3582" s="3" t="s">
        <v>68</v>
      </c>
      <c r="BE3582" s="3" t="s">
        <v>34589</v>
      </c>
      <c r="BF3582" s="3" t="s">
        <v>34595</v>
      </c>
      <c r="BG3582" s="3" t="s">
        <v>34596</v>
      </c>
    </row>
    <row r="3583" spans="1:59" ht="58" x14ac:dyDescent="0.35">
      <c r="A3583" s="2" t="s">
        <v>89</v>
      </c>
      <c r="B3583" s="2" t="s">
        <v>90</v>
      </c>
      <c r="C3583" s="2" t="s">
        <v>34580</v>
      </c>
      <c r="D3583" s="2" t="s">
        <v>34581</v>
      </c>
      <c r="E3583" s="2" t="s">
        <v>34582</v>
      </c>
      <c r="F3583" s="3" t="s">
        <v>6195</v>
      </c>
      <c r="G3583" s="3" t="s">
        <v>61</v>
      </c>
      <c r="I3583" s="3" t="s">
        <v>62</v>
      </c>
      <c r="J3583" s="3" t="s">
        <v>62</v>
      </c>
      <c r="K3583" s="3" t="s">
        <v>63</v>
      </c>
      <c r="L3583" s="2" t="s">
        <v>4850</v>
      </c>
      <c r="M3583" s="2" t="s">
        <v>34583</v>
      </c>
      <c r="N3583" s="3" t="s">
        <v>640</v>
      </c>
      <c r="P3583" s="3" t="s">
        <v>64</v>
      </c>
      <c r="R3583" s="3" t="s">
        <v>34126</v>
      </c>
      <c r="S3583" s="4">
        <v>3</v>
      </c>
      <c r="T3583" s="4">
        <v>12</v>
      </c>
      <c r="U3583" s="5" t="s">
        <v>4783</v>
      </c>
      <c r="V3583" s="5" t="s">
        <v>4783</v>
      </c>
      <c r="W3583" s="5" t="s">
        <v>67</v>
      </c>
      <c r="X3583" s="5" t="s">
        <v>67</v>
      </c>
      <c r="Y3583" s="4">
        <v>21</v>
      </c>
      <c r="Z3583" s="4">
        <v>2</v>
      </c>
      <c r="AA3583" s="4">
        <v>2</v>
      </c>
      <c r="AB3583" s="4">
        <v>1</v>
      </c>
      <c r="AC3583" s="4">
        <v>1</v>
      </c>
      <c r="AD3583" s="4">
        <v>7</v>
      </c>
      <c r="AE3583" s="4">
        <v>8</v>
      </c>
      <c r="AF3583" s="4">
        <v>0</v>
      </c>
      <c r="AG3583" s="4">
        <v>0</v>
      </c>
      <c r="AH3583" s="4">
        <v>7</v>
      </c>
      <c r="AI3583" s="4">
        <v>7</v>
      </c>
      <c r="AJ3583" s="4">
        <v>1</v>
      </c>
      <c r="AK3583" s="4">
        <v>1</v>
      </c>
      <c r="AL3583" s="4">
        <v>3</v>
      </c>
      <c r="AM3583" s="4">
        <v>4</v>
      </c>
      <c r="AN3583" s="4">
        <v>5</v>
      </c>
      <c r="AO3583" s="4">
        <v>5</v>
      </c>
      <c r="AP3583" s="4">
        <v>1</v>
      </c>
      <c r="AQ3583" s="4">
        <v>1</v>
      </c>
      <c r="AR3583" s="3" t="s">
        <v>62</v>
      </c>
      <c r="AS3583" s="3" t="s">
        <v>62</v>
      </c>
      <c r="AT3583" s="3" t="s">
        <v>61</v>
      </c>
      <c r="AU3583" s="6" t="str">
        <f t="shared" si="56"/>
        <v>HathiTrust Record</v>
      </c>
      <c r="AV3583" s="6" t="str">
        <f t="shared" si="57"/>
        <v>Catalog Record</v>
      </c>
      <c r="AW3583" s="6" t="str">
        <f t="shared" si="58"/>
        <v>WorldCat Record</v>
      </c>
      <c r="AX3583" s="3" t="s">
        <v>34585</v>
      </c>
      <c r="AY3583" s="3" t="s">
        <v>34586</v>
      </c>
      <c r="AZ3583" s="3" t="s">
        <v>34587</v>
      </c>
      <c r="BA3583" s="3" t="s">
        <v>34587</v>
      </c>
      <c r="BB3583" s="3" t="s">
        <v>34597</v>
      </c>
      <c r="BC3583" s="3" t="s">
        <v>102</v>
      </c>
      <c r="BD3583" s="3" t="s">
        <v>68</v>
      </c>
      <c r="BE3583" s="3" t="s">
        <v>34589</v>
      </c>
      <c r="BF3583" s="3" t="s">
        <v>34597</v>
      </c>
      <c r="BG3583" s="3" t="s">
        <v>34598</v>
      </c>
    </row>
    <row r="3584" spans="1:59" ht="58" x14ac:dyDescent="0.35">
      <c r="A3584" s="2" t="s">
        <v>89</v>
      </c>
      <c r="B3584" s="2" t="s">
        <v>90</v>
      </c>
      <c r="C3584" s="2" t="s">
        <v>34580</v>
      </c>
      <c r="D3584" s="2" t="s">
        <v>34581</v>
      </c>
      <c r="E3584" s="2" t="s">
        <v>34582</v>
      </c>
      <c r="F3584" s="3" t="s">
        <v>2233</v>
      </c>
      <c r="G3584" s="3" t="s">
        <v>61</v>
      </c>
      <c r="I3584" s="3" t="s">
        <v>62</v>
      </c>
      <c r="J3584" s="3" t="s">
        <v>62</v>
      </c>
      <c r="K3584" s="3" t="s">
        <v>63</v>
      </c>
      <c r="L3584" s="2" t="s">
        <v>4850</v>
      </c>
      <c r="M3584" s="2" t="s">
        <v>34583</v>
      </c>
      <c r="N3584" s="3" t="s">
        <v>640</v>
      </c>
      <c r="P3584" s="3" t="s">
        <v>64</v>
      </c>
      <c r="R3584" s="3" t="s">
        <v>34126</v>
      </c>
      <c r="S3584" s="4">
        <v>5</v>
      </c>
      <c r="T3584" s="4">
        <v>12</v>
      </c>
      <c r="U3584" s="5" t="s">
        <v>34584</v>
      </c>
      <c r="V3584" s="5" t="s">
        <v>4783</v>
      </c>
      <c r="W3584" s="5" t="s">
        <v>67</v>
      </c>
      <c r="X3584" s="5" t="s">
        <v>67</v>
      </c>
      <c r="Y3584" s="4">
        <v>21</v>
      </c>
      <c r="Z3584" s="4">
        <v>2</v>
      </c>
      <c r="AA3584" s="4">
        <v>2</v>
      </c>
      <c r="AB3584" s="4">
        <v>1</v>
      </c>
      <c r="AC3584" s="4">
        <v>1</v>
      </c>
      <c r="AD3584" s="4">
        <v>7</v>
      </c>
      <c r="AE3584" s="4">
        <v>8</v>
      </c>
      <c r="AF3584" s="4">
        <v>0</v>
      </c>
      <c r="AG3584" s="4">
        <v>0</v>
      </c>
      <c r="AH3584" s="4">
        <v>7</v>
      </c>
      <c r="AI3584" s="4">
        <v>7</v>
      </c>
      <c r="AJ3584" s="4">
        <v>1</v>
      </c>
      <c r="AK3584" s="4">
        <v>1</v>
      </c>
      <c r="AL3584" s="4">
        <v>3</v>
      </c>
      <c r="AM3584" s="4">
        <v>4</v>
      </c>
      <c r="AN3584" s="4">
        <v>5</v>
      </c>
      <c r="AO3584" s="4">
        <v>5</v>
      </c>
      <c r="AP3584" s="4">
        <v>1</v>
      </c>
      <c r="AQ3584" s="4">
        <v>1</v>
      </c>
      <c r="AR3584" s="3" t="s">
        <v>62</v>
      </c>
      <c r="AS3584" s="3" t="s">
        <v>62</v>
      </c>
      <c r="AT3584" s="3" t="s">
        <v>61</v>
      </c>
      <c r="AU3584" s="6" t="str">
        <f t="shared" si="56"/>
        <v>HathiTrust Record</v>
      </c>
      <c r="AV3584" s="6" t="str">
        <f t="shared" si="57"/>
        <v>Catalog Record</v>
      </c>
      <c r="AW3584" s="6" t="str">
        <f t="shared" si="58"/>
        <v>WorldCat Record</v>
      </c>
      <c r="AX3584" s="3" t="s">
        <v>34585</v>
      </c>
      <c r="AY3584" s="3" t="s">
        <v>34586</v>
      </c>
      <c r="AZ3584" s="3" t="s">
        <v>34587</v>
      </c>
      <c r="BA3584" s="3" t="s">
        <v>34587</v>
      </c>
      <c r="BB3584" s="3" t="s">
        <v>34599</v>
      </c>
      <c r="BC3584" s="3" t="s">
        <v>102</v>
      </c>
      <c r="BD3584" s="3" t="s">
        <v>68</v>
      </c>
      <c r="BE3584" s="3" t="s">
        <v>34589</v>
      </c>
      <c r="BF3584" s="3" t="s">
        <v>34599</v>
      </c>
      <c r="BG3584" s="3" t="s">
        <v>34600</v>
      </c>
    </row>
    <row r="3585" spans="1:59" ht="58" x14ac:dyDescent="0.35">
      <c r="A3585" s="2" t="s">
        <v>89</v>
      </c>
      <c r="B3585" s="2" t="s">
        <v>90</v>
      </c>
      <c r="C3585" s="2" t="s">
        <v>34580</v>
      </c>
      <c r="D3585" s="2" t="s">
        <v>34581</v>
      </c>
      <c r="E3585" s="2" t="s">
        <v>34582</v>
      </c>
      <c r="F3585" s="3" t="s">
        <v>2214</v>
      </c>
      <c r="G3585" s="3" t="s">
        <v>61</v>
      </c>
      <c r="I3585" s="3" t="s">
        <v>62</v>
      </c>
      <c r="J3585" s="3" t="s">
        <v>62</v>
      </c>
      <c r="K3585" s="3" t="s">
        <v>63</v>
      </c>
      <c r="L3585" s="2" t="s">
        <v>4850</v>
      </c>
      <c r="M3585" s="2" t="s">
        <v>34583</v>
      </c>
      <c r="N3585" s="3" t="s">
        <v>640</v>
      </c>
      <c r="P3585" s="3" t="s">
        <v>64</v>
      </c>
      <c r="R3585" s="3" t="s">
        <v>34126</v>
      </c>
      <c r="S3585" s="4">
        <v>0</v>
      </c>
      <c r="T3585" s="4">
        <v>12</v>
      </c>
      <c r="V3585" s="5" t="s">
        <v>4783</v>
      </c>
      <c r="W3585" s="5" t="s">
        <v>67</v>
      </c>
      <c r="X3585" s="5" t="s">
        <v>67</v>
      </c>
      <c r="Y3585" s="4">
        <v>21</v>
      </c>
      <c r="Z3585" s="4">
        <v>2</v>
      </c>
      <c r="AA3585" s="4">
        <v>2</v>
      </c>
      <c r="AB3585" s="4">
        <v>1</v>
      </c>
      <c r="AC3585" s="4">
        <v>1</v>
      </c>
      <c r="AD3585" s="4">
        <v>7</v>
      </c>
      <c r="AE3585" s="4">
        <v>8</v>
      </c>
      <c r="AF3585" s="4">
        <v>0</v>
      </c>
      <c r="AG3585" s="4">
        <v>0</v>
      </c>
      <c r="AH3585" s="4">
        <v>7</v>
      </c>
      <c r="AI3585" s="4">
        <v>7</v>
      </c>
      <c r="AJ3585" s="4">
        <v>1</v>
      </c>
      <c r="AK3585" s="4">
        <v>1</v>
      </c>
      <c r="AL3585" s="4">
        <v>3</v>
      </c>
      <c r="AM3585" s="4">
        <v>4</v>
      </c>
      <c r="AN3585" s="4">
        <v>5</v>
      </c>
      <c r="AO3585" s="4">
        <v>5</v>
      </c>
      <c r="AP3585" s="4">
        <v>1</v>
      </c>
      <c r="AQ3585" s="4">
        <v>1</v>
      </c>
      <c r="AR3585" s="3" t="s">
        <v>62</v>
      </c>
      <c r="AS3585" s="3" t="s">
        <v>62</v>
      </c>
      <c r="AT3585" s="3" t="s">
        <v>61</v>
      </c>
      <c r="AU3585" s="6" t="str">
        <f t="shared" si="56"/>
        <v>HathiTrust Record</v>
      </c>
      <c r="AV3585" s="6" t="str">
        <f t="shared" si="57"/>
        <v>Catalog Record</v>
      </c>
      <c r="AW3585" s="6" t="str">
        <f t="shared" si="58"/>
        <v>WorldCat Record</v>
      </c>
      <c r="AX3585" s="3" t="s">
        <v>34585</v>
      </c>
      <c r="AY3585" s="3" t="s">
        <v>34586</v>
      </c>
      <c r="AZ3585" s="3" t="s">
        <v>34587</v>
      </c>
      <c r="BA3585" s="3" t="s">
        <v>34587</v>
      </c>
      <c r="BB3585" s="3" t="s">
        <v>34601</v>
      </c>
      <c r="BC3585" s="3" t="s">
        <v>102</v>
      </c>
      <c r="BD3585" s="3" t="s">
        <v>68</v>
      </c>
      <c r="BE3585" s="3" t="s">
        <v>34589</v>
      </c>
      <c r="BF3585" s="3" t="s">
        <v>34601</v>
      </c>
      <c r="BG3585" s="3" t="s">
        <v>34602</v>
      </c>
    </row>
    <row r="3586" spans="1:59" ht="58" x14ac:dyDescent="0.35">
      <c r="A3586" s="2" t="s">
        <v>89</v>
      </c>
      <c r="B3586" s="2" t="s">
        <v>90</v>
      </c>
      <c r="C3586" s="2" t="s">
        <v>34580</v>
      </c>
      <c r="D3586" s="2" t="s">
        <v>34581</v>
      </c>
      <c r="E3586" s="2" t="s">
        <v>34582</v>
      </c>
      <c r="F3586" s="3" t="s">
        <v>6192</v>
      </c>
      <c r="G3586" s="3" t="s">
        <v>61</v>
      </c>
      <c r="I3586" s="3" t="s">
        <v>62</v>
      </c>
      <c r="J3586" s="3" t="s">
        <v>62</v>
      </c>
      <c r="K3586" s="3" t="s">
        <v>63</v>
      </c>
      <c r="L3586" s="2" t="s">
        <v>4850</v>
      </c>
      <c r="M3586" s="2" t="s">
        <v>34583</v>
      </c>
      <c r="N3586" s="3" t="s">
        <v>640</v>
      </c>
      <c r="P3586" s="3" t="s">
        <v>64</v>
      </c>
      <c r="R3586" s="3" t="s">
        <v>34126</v>
      </c>
      <c r="S3586" s="4">
        <v>0</v>
      </c>
      <c r="T3586" s="4">
        <v>12</v>
      </c>
      <c r="V3586" s="5" t="s">
        <v>4783</v>
      </c>
      <c r="W3586" s="5" t="s">
        <v>67</v>
      </c>
      <c r="X3586" s="5" t="s">
        <v>67</v>
      </c>
      <c r="Y3586" s="4">
        <v>21</v>
      </c>
      <c r="Z3586" s="4">
        <v>2</v>
      </c>
      <c r="AA3586" s="4">
        <v>2</v>
      </c>
      <c r="AB3586" s="4">
        <v>1</v>
      </c>
      <c r="AC3586" s="4">
        <v>1</v>
      </c>
      <c r="AD3586" s="4">
        <v>7</v>
      </c>
      <c r="AE3586" s="4">
        <v>8</v>
      </c>
      <c r="AF3586" s="4">
        <v>0</v>
      </c>
      <c r="AG3586" s="4">
        <v>0</v>
      </c>
      <c r="AH3586" s="4">
        <v>7</v>
      </c>
      <c r="AI3586" s="4">
        <v>7</v>
      </c>
      <c r="AJ3586" s="4">
        <v>1</v>
      </c>
      <c r="AK3586" s="4">
        <v>1</v>
      </c>
      <c r="AL3586" s="4">
        <v>3</v>
      </c>
      <c r="AM3586" s="4">
        <v>4</v>
      </c>
      <c r="AN3586" s="4">
        <v>5</v>
      </c>
      <c r="AO3586" s="4">
        <v>5</v>
      </c>
      <c r="AP3586" s="4">
        <v>1</v>
      </c>
      <c r="AQ3586" s="4">
        <v>1</v>
      </c>
      <c r="AR3586" s="3" t="s">
        <v>62</v>
      </c>
      <c r="AS3586" s="3" t="s">
        <v>62</v>
      </c>
      <c r="AT3586" s="3" t="s">
        <v>61</v>
      </c>
      <c r="AU3586" s="6" t="str">
        <f t="shared" si="56"/>
        <v>HathiTrust Record</v>
      </c>
      <c r="AV3586" s="6" t="str">
        <f t="shared" si="57"/>
        <v>Catalog Record</v>
      </c>
      <c r="AW3586" s="6" t="str">
        <f t="shared" si="58"/>
        <v>WorldCat Record</v>
      </c>
      <c r="AX3586" s="3" t="s">
        <v>34585</v>
      </c>
      <c r="AY3586" s="3" t="s">
        <v>34586</v>
      </c>
      <c r="AZ3586" s="3" t="s">
        <v>34587</v>
      </c>
      <c r="BA3586" s="3" t="s">
        <v>34587</v>
      </c>
      <c r="BB3586" s="3" t="s">
        <v>34603</v>
      </c>
      <c r="BC3586" s="3" t="s">
        <v>102</v>
      </c>
      <c r="BD3586" s="3" t="s">
        <v>68</v>
      </c>
      <c r="BE3586" s="3" t="s">
        <v>34589</v>
      </c>
      <c r="BF3586" s="3" t="s">
        <v>34603</v>
      </c>
      <c r="BG3586" s="3" t="s">
        <v>34604</v>
      </c>
    </row>
    <row r="3587" spans="1:59" ht="58" x14ac:dyDescent="0.35">
      <c r="A3587" s="2" t="s">
        <v>89</v>
      </c>
      <c r="B3587" s="2" t="s">
        <v>90</v>
      </c>
      <c r="C3587" s="2" t="s">
        <v>34580</v>
      </c>
      <c r="D3587" s="2" t="s">
        <v>34581</v>
      </c>
      <c r="E3587" s="2" t="s">
        <v>34582</v>
      </c>
      <c r="F3587" s="3" t="s">
        <v>2237</v>
      </c>
      <c r="G3587" s="3" t="s">
        <v>61</v>
      </c>
      <c r="I3587" s="3" t="s">
        <v>62</v>
      </c>
      <c r="J3587" s="3" t="s">
        <v>62</v>
      </c>
      <c r="K3587" s="3" t="s">
        <v>63</v>
      </c>
      <c r="L3587" s="2" t="s">
        <v>4850</v>
      </c>
      <c r="M3587" s="2" t="s">
        <v>34583</v>
      </c>
      <c r="N3587" s="3" t="s">
        <v>640</v>
      </c>
      <c r="P3587" s="3" t="s">
        <v>64</v>
      </c>
      <c r="R3587" s="3" t="s">
        <v>34126</v>
      </c>
      <c r="S3587" s="4">
        <v>0</v>
      </c>
      <c r="T3587" s="4">
        <v>12</v>
      </c>
      <c r="V3587" s="5" t="s">
        <v>4783</v>
      </c>
      <c r="W3587" s="5" t="s">
        <v>67</v>
      </c>
      <c r="X3587" s="5" t="s">
        <v>67</v>
      </c>
      <c r="Y3587" s="4">
        <v>21</v>
      </c>
      <c r="Z3587" s="4">
        <v>2</v>
      </c>
      <c r="AA3587" s="4">
        <v>2</v>
      </c>
      <c r="AB3587" s="4">
        <v>1</v>
      </c>
      <c r="AC3587" s="4">
        <v>1</v>
      </c>
      <c r="AD3587" s="4">
        <v>7</v>
      </c>
      <c r="AE3587" s="4">
        <v>8</v>
      </c>
      <c r="AF3587" s="4">
        <v>0</v>
      </c>
      <c r="AG3587" s="4">
        <v>0</v>
      </c>
      <c r="AH3587" s="4">
        <v>7</v>
      </c>
      <c r="AI3587" s="4">
        <v>7</v>
      </c>
      <c r="AJ3587" s="4">
        <v>1</v>
      </c>
      <c r="AK3587" s="4">
        <v>1</v>
      </c>
      <c r="AL3587" s="4">
        <v>3</v>
      </c>
      <c r="AM3587" s="4">
        <v>4</v>
      </c>
      <c r="AN3587" s="4">
        <v>5</v>
      </c>
      <c r="AO3587" s="4">
        <v>5</v>
      </c>
      <c r="AP3587" s="4">
        <v>1</v>
      </c>
      <c r="AQ3587" s="4">
        <v>1</v>
      </c>
      <c r="AR3587" s="3" t="s">
        <v>62</v>
      </c>
      <c r="AS3587" s="3" t="s">
        <v>62</v>
      </c>
      <c r="AT3587" s="3" t="s">
        <v>61</v>
      </c>
      <c r="AU3587" s="6" t="str">
        <f t="shared" si="56"/>
        <v>HathiTrust Record</v>
      </c>
      <c r="AV3587" s="6" t="str">
        <f t="shared" si="57"/>
        <v>Catalog Record</v>
      </c>
      <c r="AW3587" s="6" t="str">
        <f t="shared" si="58"/>
        <v>WorldCat Record</v>
      </c>
      <c r="AX3587" s="3" t="s">
        <v>34585</v>
      </c>
      <c r="AY3587" s="3" t="s">
        <v>34586</v>
      </c>
      <c r="AZ3587" s="3" t="s">
        <v>34587</v>
      </c>
      <c r="BA3587" s="3" t="s">
        <v>34587</v>
      </c>
      <c r="BB3587" s="3" t="s">
        <v>34605</v>
      </c>
      <c r="BC3587" s="3" t="s">
        <v>102</v>
      </c>
      <c r="BD3587" s="3" t="s">
        <v>68</v>
      </c>
      <c r="BE3587" s="3" t="s">
        <v>34589</v>
      </c>
      <c r="BF3587" s="3" t="s">
        <v>34605</v>
      </c>
      <c r="BG3587" s="3" t="s">
        <v>34606</v>
      </c>
    </row>
    <row r="3588" spans="1:59" ht="58" x14ac:dyDescent="0.35">
      <c r="A3588" s="2" t="s">
        <v>59</v>
      </c>
      <c r="B3588" s="2" t="s">
        <v>60</v>
      </c>
      <c r="C3588" s="2" t="s">
        <v>34607</v>
      </c>
      <c r="D3588" s="2" t="s">
        <v>34608</v>
      </c>
      <c r="E3588" s="2" t="s">
        <v>34609</v>
      </c>
      <c r="G3588" s="3" t="s">
        <v>62</v>
      </c>
      <c r="I3588" s="3" t="s">
        <v>61</v>
      </c>
      <c r="J3588" s="3" t="s">
        <v>62</v>
      </c>
      <c r="K3588" s="3" t="s">
        <v>63</v>
      </c>
      <c r="L3588" s="2" t="s">
        <v>34610</v>
      </c>
      <c r="M3588" s="2" t="s">
        <v>34611</v>
      </c>
      <c r="N3588" s="3" t="s">
        <v>95</v>
      </c>
      <c r="P3588" s="3" t="s">
        <v>64</v>
      </c>
      <c r="R3588" s="3" t="s">
        <v>34126</v>
      </c>
      <c r="S3588" s="4">
        <v>0</v>
      </c>
      <c r="T3588" s="4">
        <v>7</v>
      </c>
      <c r="V3588" s="5" t="s">
        <v>14912</v>
      </c>
      <c r="W3588" s="5" t="s">
        <v>67</v>
      </c>
      <c r="X3588" s="5" t="s">
        <v>67</v>
      </c>
      <c r="Y3588" s="4">
        <v>681</v>
      </c>
      <c r="Z3588" s="4">
        <v>34</v>
      </c>
      <c r="AA3588" s="4">
        <v>46</v>
      </c>
      <c r="AB3588" s="4">
        <v>4</v>
      </c>
      <c r="AC3588" s="4">
        <v>7</v>
      </c>
      <c r="AD3588" s="4">
        <v>125</v>
      </c>
      <c r="AE3588" s="4">
        <v>136</v>
      </c>
      <c r="AF3588" s="4">
        <v>1</v>
      </c>
      <c r="AG3588" s="4">
        <v>4</v>
      </c>
      <c r="AH3588" s="4">
        <v>109</v>
      </c>
      <c r="AI3588" s="4">
        <v>112</v>
      </c>
      <c r="AJ3588" s="4">
        <v>17</v>
      </c>
      <c r="AK3588" s="4">
        <v>21</v>
      </c>
      <c r="AL3588" s="4">
        <v>55</v>
      </c>
      <c r="AM3588" s="4">
        <v>56</v>
      </c>
      <c r="AN3588" s="4">
        <v>0</v>
      </c>
      <c r="AO3588" s="4">
        <v>0</v>
      </c>
      <c r="AP3588" s="4">
        <v>24</v>
      </c>
      <c r="AQ3588" s="4">
        <v>32</v>
      </c>
      <c r="AR3588" s="3" t="s">
        <v>62</v>
      </c>
      <c r="AS3588" s="3" t="s">
        <v>61</v>
      </c>
      <c r="AT3588" s="3" t="s">
        <v>62</v>
      </c>
      <c r="AU3588" s="6" t="str">
        <f>HYPERLINK("http://catalog.hathitrust.org/Record/006155819","HathiTrust Record")</f>
        <v>HathiTrust Record</v>
      </c>
      <c r="AV3588" s="6" t="str">
        <f>HYPERLINK("http://mcgill.on.worldcat.org/oclc/7464692","Catalog Record")</f>
        <v>Catalog Record</v>
      </c>
      <c r="AW3588" s="6" t="str">
        <f>HYPERLINK("http://www.worldcat.org/oclc/7464692","WorldCat Record")</f>
        <v>WorldCat Record</v>
      </c>
      <c r="AX3588" s="3" t="s">
        <v>34612</v>
      </c>
      <c r="AY3588" s="3" t="s">
        <v>34613</v>
      </c>
      <c r="AZ3588" s="3" t="s">
        <v>34614</v>
      </c>
      <c r="BA3588" s="3" t="s">
        <v>34614</v>
      </c>
      <c r="BB3588" s="3" t="s">
        <v>34615</v>
      </c>
      <c r="BC3588" s="3" t="s">
        <v>102</v>
      </c>
      <c r="BD3588" s="3" t="s">
        <v>68</v>
      </c>
      <c r="BE3588" s="3" t="s">
        <v>34616</v>
      </c>
      <c r="BF3588" s="3" t="s">
        <v>34615</v>
      </c>
      <c r="BG3588" s="3" t="s">
        <v>34617</v>
      </c>
    </row>
    <row r="3589" spans="1:59" ht="58" x14ac:dyDescent="0.35">
      <c r="A3589" s="2" t="s">
        <v>89</v>
      </c>
      <c r="B3589" s="2" t="s">
        <v>90</v>
      </c>
      <c r="C3589" s="2" t="s">
        <v>34618</v>
      </c>
      <c r="D3589" s="2" t="s">
        <v>34619</v>
      </c>
      <c r="E3589" s="2" t="s">
        <v>34620</v>
      </c>
      <c r="G3589" s="3" t="s">
        <v>62</v>
      </c>
      <c r="I3589" s="3" t="s">
        <v>62</v>
      </c>
      <c r="J3589" s="3" t="s">
        <v>62</v>
      </c>
      <c r="K3589" s="3" t="s">
        <v>63</v>
      </c>
      <c r="L3589" s="2" t="s">
        <v>34621</v>
      </c>
      <c r="M3589" s="2" t="s">
        <v>34622</v>
      </c>
      <c r="N3589" s="3" t="s">
        <v>2136</v>
      </c>
      <c r="P3589" s="3" t="s">
        <v>85</v>
      </c>
      <c r="Q3589" s="2" t="s">
        <v>34623</v>
      </c>
      <c r="R3589" s="3" t="s">
        <v>34126</v>
      </c>
      <c r="S3589" s="4">
        <v>3</v>
      </c>
      <c r="T3589" s="4">
        <v>3</v>
      </c>
      <c r="U3589" s="5" t="s">
        <v>23000</v>
      </c>
      <c r="V3589" s="5" t="s">
        <v>23000</v>
      </c>
      <c r="W3589" s="5" t="s">
        <v>67</v>
      </c>
      <c r="X3589" s="5" t="s">
        <v>67</v>
      </c>
      <c r="Y3589" s="4">
        <v>10</v>
      </c>
      <c r="Z3589" s="4">
        <v>6</v>
      </c>
      <c r="AA3589" s="4">
        <v>25</v>
      </c>
      <c r="AB3589" s="4">
        <v>1</v>
      </c>
      <c r="AC3589" s="4">
        <v>13</v>
      </c>
      <c r="AD3589" s="4">
        <v>2</v>
      </c>
      <c r="AE3589" s="4">
        <v>11</v>
      </c>
      <c r="AF3589" s="4">
        <v>0</v>
      </c>
      <c r="AG3589" s="4">
        <v>4</v>
      </c>
      <c r="AH3589" s="4">
        <v>2</v>
      </c>
      <c r="AI3589" s="4">
        <v>6</v>
      </c>
      <c r="AJ3589" s="4">
        <v>2</v>
      </c>
      <c r="AK3589" s="4">
        <v>8</v>
      </c>
      <c r="AL3589" s="4">
        <v>1</v>
      </c>
      <c r="AM3589" s="4">
        <v>2</v>
      </c>
      <c r="AN3589" s="4">
        <v>0</v>
      </c>
      <c r="AO3589" s="4">
        <v>0</v>
      </c>
      <c r="AP3589" s="4">
        <v>2</v>
      </c>
      <c r="AQ3589" s="4">
        <v>9</v>
      </c>
      <c r="AR3589" s="3" t="s">
        <v>62</v>
      </c>
      <c r="AS3589" s="3" t="s">
        <v>62</v>
      </c>
      <c r="AT3589" s="3" t="s">
        <v>62</v>
      </c>
      <c r="AV3589" s="6" t="str">
        <f>HYPERLINK("http://mcgill.on.worldcat.org/oclc/61429625","Catalog Record")</f>
        <v>Catalog Record</v>
      </c>
      <c r="AW3589" s="6" t="str">
        <f>HYPERLINK("http://www.worldcat.org/oclc/61429625","WorldCat Record")</f>
        <v>WorldCat Record</v>
      </c>
      <c r="AX3589" s="3" t="s">
        <v>34624</v>
      </c>
      <c r="AY3589" s="3" t="s">
        <v>34625</v>
      </c>
      <c r="AZ3589" s="3" t="s">
        <v>34626</v>
      </c>
      <c r="BA3589" s="3" t="s">
        <v>34626</v>
      </c>
      <c r="BB3589" s="3" t="s">
        <v>34627</v>
      </c>
      <c r="BC3589" s="3" t="s">
        <v>102</v>
      </c>
      <c r="BD3589" s="3" t="s">
        <v>68</v>
      </c>
      <c r="BE3589" s="3" t="s">
        <v>34628</v>
      </c>
      <c r="BF3589" s="3" t="s">
        <v>34627</v>
      </c>
      <c r="BG3589" s="3" t="s">
        <v>34629</v>
      </c>
    </row>
    <row r="3590" spans="1:59" ht="58" x14ac:dyDescent="0.35">
      <c r="A3590" s="2" t="s">
        <v>89</v>
      </c>
      <c r="B3590" s="2" t="s">
        <v>90</v>
      </c>
      <c r="C3590" s="2" t="s">
        <v>34630</v>
      </c>
      <c r="D3590" s="2" t="s">
        <v>34631</v>
      </c>
      <c r="E3590" s="2" t="s">
        <v>34632</v>
      </c>
      <c r="G3590" s="3" t="s">
        <v>62</v>
      </c>
      <c r="I3590" s="3" t="s">
        <v>61</v>
      </c>
      <c r="J3590" s="3" t="s">
        <v>62</v>
      </c>
      <c r="K3590" s="3" t="s">
        <v>63</v>
      </c>
      <c r="L3590" s="2" t="s">
        <v>34633</v>
      </c>
      <c r="M3590" s="2" t="s">
        <v>34634</v>
      </c>
      <c r="N3590" s="3" t="s">
        <v>524</v>
      </c>
      <c r="P3590" s="3" t="s">
        <v>64</v>
      </c>
      <c r="Q3590" s="2" t="s">
        <v>34635</v>
      </c>
      <c r="R3590" s="3" t="s">
        <v>34126</v>
      </c>
      <c r="S3590" s="4">
        <v>0</v>
      </c>
      <c r="T3590" s="4">
        <v>1</v>
      </c>
      <c r="V3590" s="5" t="s">
        <v>9243</v>
      </c>
      <c r="W3590" s="5" t="s">
        <v>67</v>
      </c>
      <c r="X3590" s="5" t="s">
        <v>67</v>
      </c>
      <c r="Y3590" s="4">
        <v>69</v>
      </c>
      <c r="Z3590" s="4">
        <v>14</v>
      </c>
      <c r="AA3590" s="4">
        <v>15</v>
      </c>
      <c r="AB3590" s="4">
        <v>2</v>
      </c>
      <c r="AC3590" s="4">
        <v>3</v>
      </c>
      <c r="AD3590" s="4">
        <v>43</v>
      </c>
      <c r="AE3590" s="4">
        <v>43</v>
      </c>
      <c r="AF3590" s="4">
        <v>1</v>
      </c>
      <c r="AG3590" s="4">
        <v>1</v>
      </c>
      <c r="AH3590" s="4">
        <v>38</v>
      </c>
      <c r="AI3590" s="4">
        <v>38</v>
      </c>
      <c r="AJ3590" s="4">
        <v>9</v>
      </c>
      <c r="AK3590" s="4">
        <v>9</v>
      </c>
      <c r="AL3590" s="4">
        <v>22</v>
      </c>
      <c r="AM3590" s="4">
        <v>22</v>
      </c>
      <c r="AN3590" s="4">
        <v>0</v>
      </c>
      <c r="AO3590" s="4">
        <v>0</v>
      </c>
      <c r="AP3590" s="4">
        <v>11</v>
      </c>
      <c r="AQ3590" s="4">
        <v>11</v>
      </c>
      <c r="AR3590" s="3" t="s">
        <v>61</v>
      </c>
      <c r="AS3590" s="3" t="s">
        <v>62</v>
      </c>
      <c r="AT3590" s="3" t="s">
        <v>61</v>
      </c>
      <c r="AU3590" s="6" t="str">
        <f>HYPERLINK("http://catalog.hathitrust.org/Record/003024542","HathiTrust Record")</f>
        <v>HathiTrust Record</v>
      </c>
      <c r="AV3590" s="6" t="str">
        <f>HYPERLINK("http://mcgill.on.worldcat.org/oclc/36556982","Catalog Record")</f>
        <v>Catalog Record</v>
      </c>
      <c r="AW3590" s="6" t="str">
        <f>HYPERLINK("http://www.worldcat.org/oclc/36556982","WorldCat Record")</f>
        <v>WorldCat Record</v>
      </c>
      <c r="AX3590" s="3" t="s">
        <v>34636</v>
      </c>
      <c r="AY3590" s="3" t="s">
        <v>34637</v>
      </c>
      <c r="AZ3590" s="3" t="s">
        <v>34638</v>
      </c>
      <c r="BA3590" s="3" t="s">
        <v>34638</v>
      </c>
      <c r="BB3590" s="3" t="s">
        <v>34639</v>
      </c>
      <c r="BC3590" s="3" t="s">
        <v>102</v>
      </c>
      <c r="BD3590" s="3" t="s">
        <v>68</v>
      </c>
      <c r="BE3590" s="3" t="s">
        <v>34640</v>
      </c>
      <c r="BF3590" s="3" t="s">
        <v>34639</v>
      </c>
      <c r="BG3590" s="3" t="s">
        <v>34641</v>
      </c>
    </row>
    <row r="3591" spans="1:59" ht="58" x14ac:dyDescent="0.35">
      <c r="A3591" s="2" t="s">
        <v>59</v>
      </c>
      <c r="B3591" s="2" t="s">
        <v>60</v>
      </c>
      <c r="C3591" s="2" t="s">
        <v>34642</v>
      </c>
      <c r="D3591" s="2" t="s">
        <v>34643</v>
      </c>
      <c r="E3591" s="2" t="s">
        <v>34644</v>
      </c>
      <c r="G3591" s="3" t="s">
        <v>62</v>
      </c>
      <c r="I3591" s="3" t="s">
        <v>62</v>
      </c>
      <c r="J3591" s="3" t="s">
        <v>62</v>
      </c>
      <c r="K3591" s="3" t="s">
        <v>63</v>
      </c>
      <c r="L3591" s="2" t="s">
        <v>34645</v>
      </c>
      <c r="M3591" s="2" t="s">
        <v>34646</v>
      </c>
      <c r="N3591" s="3" t="s">
        <v>201</v>
      </c>
      <c r="P3591" s="3" t="s">
        <v>64</v>
      </c>
      <c r="R3591" s="3" t="s">
        <v>34126</v>
      </c>
      <c r="S3591" s="4">
        <v>8</v>
      </c>
      <c r="T3591" s="4">
        <v>8</v>
      </c>
      <c r="U3591" s="5" t="s">
        <v>13026</v>
      </c>
      <c r="V3591" s="5" t="s">
        <v>13026</v>
      </c>
      <c r="W3591" s="5" t="s">
        <v>67</v>
      </c>
      <c r="X3591" s="5" t="s">
        <v>67</v>
      </c>
      <c r="Y3591" s="4">
        <v>79</v>
      </c>
      <c r="Z3591" s="4">
        <v>7</v>
      </c>
      <c r="AA3591" s="4">
        <v>12</v>
      </c>
      <c r="AB3591" s="4">
        <v>1</v>
      </c>
      <c r="AC3591" s="4">
        <v>1</v>
      </c>
      <c r="AD3591" s="4">
        <v>16</v>
      </c>
      <c r="AE3591" s="4">
        <v>37</v>
      </c>
      <c r="AF3591" s="4">
        <v>0</v>
      </c>
      <c r="AG3591" s="4">
        <v>0</v>
      </c>
      <c r="AH3591" s="4">
        <v>16</v>
      </c>
      <c r="AI3591" s="4">
        <v>32</v>
      </c>
      <c r="AJ3591" s="4">
        <v>5</v>
      </c>
      <c r="AK3591" s="4">
        <v>8</v>
      </c>
      <c r="AL3591" s="4">
        <v>9</v>
      </c>
      <c r="AM3591" s="4">
        <v>21</v>
      </c>
      <c r="AN3591" s="4">
        <v>0</v>
      </c>
      <c r="AO3591" s="4">
        <v>0</v>
      </c>
      <c r="AP3591" s="4">
        <v>5</v>
      </c>
      <c r="AQ3591" s="4">
        <v>9</v>
      </c>
      <c r="AR3591" s="3" t="s">
        <v>62</v>
      </c>
      <c r="AS3591" s="3" t="s">
        <v>62</v>
      </c>
      <c r="AT3591" s="3" t="s">
        <v>61</v>
      </c>
      <c r="AU3591" s="6" t="str">
        <f>HYPERLINK("http://catalog.hathitrust.org/Record/000739490","HathiTrust Record")</f>
        <v>HathiTrust Record</v>
      </c>
      <c r="AV3591" s="6" t="str">
        <f>HYPERLINK("http://mcgill.on.worldcat.org/oclc/3903076","Catalog Record")</f>
        <v>Catalog Record</v>
      </c>
      <c r="AW3591" s="6" t="str">
        <f>HYPERLINK("http://www.worldcat.org/oclc/3903076","WorldCat Record")</f>
        <v>WorldCat Record</v>
      </c>
      <c r="AX3591" s="3" t="s">
        <v>34647</v>
      </c>
      <c r="AY3591" s="3" t="s">
        <v>34648</v>
      </c>
      <c r="AZ3591" s="3" t="s">
        <v>34649</v>
      </c>
      <c r="BA3591" s="3" t="s">
        <v>34649</v>
      </c>
      <c r="BB3591" s="3" t="s">
        <v>34650</v>
      </c>
      <c r="BC3591" s="3" t="s">
        <v>102</v>
      </c>
      <c r="BD3591" s="3" t="s">
        <v>68</v>
      </c>
      <c r="BE3591" s="3" t="s">
        <v>34651</v>
      </c>
      <c r="BF3591" s="3" t="s">
        <v>34650</v>
      </c>
      <c r="BG3591" s="3" t="s">
        <v>34652</v>
      </c>
    </row>
    <row r="3592" spans="1:59" ht="58" x14ac:dyDescent="0.35">
      <c r="A3592" s="2" t="s">
        <v>89</v>
      </c>
      <c r="B3592" s="2" t="s">
        <v>90</v>
      </c>
      <c r="C3592" s="2" t="s">
        <v>34653</v>
      </c>
      <c r="D3592" s="2" t="s">
        <v>34654</v>
      </c>
      <c r="E3592" s="2" t="s">
        <v>34655</v>
      </c>
      <c r="G3592" s="3" t="s">
        <v>62</v>
      </c>
      <c r="I3592" s="3" t="s">
        <v>62</v>
      </c>
      <c r="J3592" s="3" t="s">
        <v>62</v>
      </c>
      <c r="K3592" s="3" t="s">
        <v>63</v>
      </c>
      <c r="L3592" s="2" t="s">
        <v>34656</v>
      </c>
      <c r="M3592" s="2" t="s">
        <v>34657</v>
      </c>
      <c r="N3592" s="3" t="s">
        <v>726</v>
      </c>
      <c r="P3592" s="3" t="s">
        <v>64</v>
      </c>
      <c r="R3592" s="3" t="s">
        <v>34126</v>
      </c>
      <c r="S3592" s="4">
        <v>0</v>
      </c>
      <c r="T3592" s="4">
        <v>0</v>
      </c>
      <c r="W3592" s="5" t="s">
        <v>67</v>
      </c>
      <c r="X3592" s="5" t="s">
        <v>67</v>
      </c>
      <c r="Y3592" s="4">
        <v>599</v>
      </c>
      <c r="Z3592" s="4">
        <v>10</v>
      </c>
      <c r="AA3592" s="4">
        <v>16</v>
      </c>
      <c r="AB3592" s="4">
        <v>3</v>
      </c>
      <c r="AC3592" s="4">
        <v>6</v>
      </c>
      <c r="AD3592" s="4">
        <v>49</v>
      </c>
      <c r="AE3592" s="4">
        <v>62</v>
      </c>
      <c r="AF3592" s="4">
        <v>1</v>
      </c>
      <c r="AG3592" s="4">
        <v>2</v>
      </c>
      <c r="AH3592" s="4">
        <v>47</v>
      </c>
      <c r="AI3592" s="4">
        <v>56</v>
      </c>
      <c r="AJ3592" s="4">
        <v>2</v>
      </c>
      <c r="AK3592" s="4">
        <v>4</v>
      </c>
      <c r="AL3592" s="4">
        <v>34</v>
      </c>
      <c r="AM3592" s="4">
        <v>39</v>
      </c>
      <c r="AN3592" s="4">
        <v>0</v>
      </c>
      <c r="AO3592" s="4">
        <v>0</v>
      </c>
      <c r="AP3592" s="4">
        <v>3</v>
      </c>
      <c r="AQ3592" s="4">
        <v>6</v>
      </c>
      <c r="AR3592" s="3" t="s">
        <v>62</v>
      </c>
      <c r="AS3592" s="3" t="s">
        <v>62</v>
      </c>
      <c r="AT3592" s="3" t="s">
        <v>62</v>
      </c>
      <c r="AV3592" s="6" t="str">
        <f>HYPERLINK("http://mcgill.on.worldcat.org/oclc/953918859","Catalog Record")</f>
        <v>Catalog Record</v>
      </c>
      <c r="AW3592" s="6" t="str">
        <f>HYPERLINK("http://www.worldcat.org/oclc/953918859","WorldCat Record")</f>
        <v>WorldCat Record</v>
      </c>
      <c r="AX3592" s="3" t="s">
        <v>34658</v>
      </c>
      <c r="AY3592" s="3" t="s">
        <v>34659</v>
      </c>
      <c r="AZ3592" s="3" t="s">
        <v>34660</v>
      </c>
      <c r="BA3592" s="3" t="s">
        <v>34660</v>
      </c>
      <c r="BB3592" s="3" t="s">
        <v>34661</v>
      </c>
      <c r="BC3592" s="3" t="s">
        <v>102</v>
      </c>
      <c r="BD3592" s="3" t="s">
        <v>68</v>
      </c>
      <c r="BE3592" s="3" t="s">
        <v>34662</v>
      </c>
      <c r="BF3592" s="3" t="s">
        <v>34661</v>
      </c>
      <c r="BG3592" s="3" t="s">
        <v>34663</v>
      </c>
    </row>
    <row r="3593" spans="1:59" ht="145" x14ac:dyDescent="0.35">
      <c r="A3593" s="2" t="s">
        <v>59</v>
      </c>
      <c r="B3593" s="2" t="s">
        <v>60</v>
      </c>
      <c r="C3593" s="2" t="s">
        <v>34664</v>
      </c>
      <c r="D3593" s="2" t="s">
        <v>34665</v>
      </c>
      <c r="E3593" s="2" t="s">
        <v>34666</v>
      </c>
      <c r="G3593" s="3" t="s">
        <v>62</v>
      </c>
      <c r="I3593" s="3" t="s">
        <v>62</v>
      </c>
      <c r="J3593" s="3" t="s">
        <v>62</v>
      </c>
      <c r="K3593" s="3" t="s">
        <v>63</v>
      </c>
      <c r="L3593" s="2" t="s">
        <v>34667</v>
      </c>
      <c r="M3593" s="2" t="s">
        <v>34668</v>
      </c>
      <c r="N3593" s="3" t="s">
        <v>2566</v>
      </c>
      <c r="O3593" s="2" t="s">
        <v>2163</v>
      </c>
      <c r="P3593" s="3" t="s">
        <v>64</v>
      </c>
      <c r="R3593" s="3" t="s">
        <v>34126</v>
      </c>
      <c r="S3593" s="4">
        <v>1</v>
      </c>
      <c r="T3593" s="4">
        <v>1</v>
      </c>
      <c r="U3593" s="5" t="s">
        <v>34669</v>
      </c>
      <c r="V3593" s="5" t="s">
        <v>34669</v>
      </c>
      <c r="W3593" s="5" t="s">
        <v>67</v>
      </c>
      <c r="X3593" s="5" t="s">
        <v>67</v>
      </c>
      <c r="Y3593" s="4">
        <v>322</v>
      </c>
      <c r="Z3593" s="4">
        <v>12</v>
      </c>
      <c r="AA3593" s="4">
        <v>13</v>
      </c>
      <c r="AB3593" s="4">
        <v>2</v>
      </c>
      <c r="AC3593" s="4">
        <v>3</v>
      </c>
      <c r="AD3593" s="4">
        <v>65</v>
      </c>
      <c r="AE3593" s="4">
        <v>66</v>
      </c>
      <c r="AF3593" s="4">
        <v>0</v>
      </c>
      <c r="AG3593" s="4">
        <v>1</v>
      </c>
      <c r="AH3593" s="4">
        <v>62</v>
      </c>
      <c r="AI3593" s="4">
        <v>62</v>
      </c>
      <c r="AJ3593" s="4">
        <v>5</v>
      </c>
      <c r="AK3593" s="4">
        <v>6</v>
      </c>
      <c r="AL3593" s="4">
        <v>35</v>
      </c>
      <c r="AM3593" s="4">
        <v>35</v>
      </c>
      <c r="AN3593" s="4">
        <v>0</v>
      </c>
      <c r="AO3593" s="4">
        <v>0</v>
      </c>
      <c r="AP3593" s="4">
        <v>6</v>
      </c>
      <c r="AQ3593" s="4">
        <v>6</v>
      </c>
      <c r="AR3593" s="3" t="s">
        <v>62</v>
      </c>
      <c r="AS3593" s="3" t="s">
        <v>62</v>
      </c>
      <c r="AT3593" s="3" t="s">
        <v>62</v>
      </c>
      <c r="AV3593" s="6" t="str">
        <f>HYPERLINK("http://mcgill.on.worldcat.org/oclc/762266","Catalog Record")</f>
        <v>Catalog Record</v>
      </c>
      <c r="AW3593" s="6" t="str">
        <f>HYPERLINK("http://www.worldcat.org/oclc/762266","WorldCat Record")</f>
        <v>WorldCat Record</v>
      </c>
      <c r="AX3593" s="3" t="s">
        <v>34670</v>
      </c>
      <c r="AY3593" s="3" t="s">
        <v>34671</v>
      </c>
      <c r="AZ3593" s="3" t="s">
        <v>34672</v>
      </c>
      <c r="BA3593" s="3" t="s">
        <v>34672</v>
      </c>
      <c r="BB3593" s="3" t="s">
        <v>34673</v>
      </c>
      <c r="BC3593" s="3" t="s">
        <v>102</v>
      </c>
      <c r="BD3593" s="3" t="s">
        <v>68</v>
      </c>
      <c r="BE3593" s="3" t="s">
        <v>34674</v>
      </c>
      <c r="BF3593" s="3" t="s">
        <v>34673</v>
      </c>
      <c r="BG3593" s="3" t="s">
        <v>34675</v>
      </c>
    </row>
    <row r="3594" spans="1:59" ht="58" x14ac:dyDescent="0.35">
      <c r="A3594" s="2" t="s">
        <v>59</v>
      </c>
      <c r="B3594" s="2" t="s">
        <v>60</v>
      </c>
      <c r="C3594" s="2" t="s">
        <v>34676</v>
      </c>
      <c r="D3594" s="2" t="s">
        <v>34677</v>
      </c>
      <c r="E3594" s="2" t="s">
        <v>34678</v>
      </c>
      <c r="G3594" s="3" t="s">
        <v>62</v>
      </c>
      <c r="I3594" s="3" t="s">
        <v>62</v>
      </c>
      <c r="J3594" s="3" t="s">
        <v>62</v>
      </c>
      <c r="K3594" s="3" t="s">
        <v>63</v>
      </c>
      <c r="L3594" s="2" t="s">
        <v>34679</v>
      </c>
      <c r="M3594" s="2" t="s">
        <v>34680</v>
      </c>
      <c r="N3594" s="3" t="s">
        <v>893</v>
      </c>
      <c r="P3594" s="3" t="s">
        <v>64</v>
      </c>
      <c r="R3594" s="3" t="s">
        <v>34126</v>
      </c>
      <c r="S3594" s="4">
        <v>1</v>
      </c>
      <c r="T3594" s="4">
        <v>1</v>
      </c>
      <c r="U3594" s="5" t="s">
        <v>34669</v>
      </c>
      <c r="V3594" s="5" t="s">
        <v>34669</v>
      </c>
      <c r="W3594" s="5" t="s">
        <v>67</v>
      </c>
      <c r="X3594" s="5" t="s">
        <v>67</v>
      </c>
      <c r="Y3594" s="4">
        <v>181</v>
      </c>
      <c r="Z3594" s="4">
        <v>11</v>
      </c>
      <c r="AA3594" s="4">
        <v>36</v>
      </c>
      <c r="AB3594" s="4">
        <v>1</v>
      </c>
      <c r="AC3594" s="4">
        <v>7</v>
      </c>
      <c r="AD3594" s="4">
        <v>55</v>
      </c>
      <c r="AE3594" s="4">
        <v>91</v>
      </c>
      <c r="AF3594" s="4">
        <v>0</v>
      </c>
      <c r="AG3594" s="4">
        <v>1</v>
      </c>
      <c r="AH3594" s="4">
        <v>51</v>
      </c>
      <c r="AI3594" s="4">
        <v>76</v>
      </c>
      <c r="AJ3594" s="4">
        <v>8</v>
      </c>
      <c r="AK3594" s="4">
        <v>13</v>
      </c>
      <c r="AL3594" s="4">
        <v>26</v>
      </c>
      <c r="AM3594" s="4">
        <v>40</v>
      </c>
      <c r="AN3594" s="4">
        <v>0</v>
      </c>
      <c r="AO3594" s="4">
        <v>0</v>
      </c>
      <c r="AP3594" s="4">
        <v>8</v>
      </c>
      <c r="AQ3594" s="4">
        <v>19</v>
      </c>
      <c r="AR3594" s="3" t="s">
        <v>62</v>
      </c>
      <c r="AS3594" s="3" t="s">
        <v>62</v>
      </c>
      <c r="AT3594" s="3" t="s">
        <v>62</v>
      </c>
      <c r="AV3594" s="6" t="str">
        <f>HYPERLINK("http://mcgill.on.worldcat.org/oclc/8845478","Catalog Record")</f>
        <v>Catalog Record</v>
      </c>
      <c r="AW3594" s="6" t="str">
        <f>HYPERLINK("http://www.worldcat.org/oclc/8845478","WorldCat Record")</f>
        <v>WorldCat Record</v>
      </c>
      <c r="AX3594" s="3" t="s">
        <v>34681</v>
      </c>
      <c r="AY3594" s="3" t="s">
        <v>34682</v>
      </c>
      <c r="AZ3594" s="3" t="s">
        <v>34683</v>
      </c>
      <c r="BA3594" s="3" t="s">
        <v>34683</v>
      </c>
      <c r="BB3594" s="3" t="s">
        <v>34684</v>
      </c>
      <c r="BC3594" s="3" t="s">
        <v>102</v>
      </c>
      <c r="BD3594" s="3" t="s">
        <v>68</v>
      </c>
      <c r="BE3594" s="3" t="s">
        <v>34685</v>
      </c>
      <c r="BF3594" s="3" t="s">
        <v>34684</v>
      </c>
      <c r="BG3594" s="3" t="s">
        <v>34686</v>
      </c>
    </row>
    <row r="3595" spans="1:59" ht="72.5" x14ac:dyDescent="0.35">
      <c r="A3595" s="2" t="s">
        <v>59</v>
      </c>
      <c r="B3595" s="2" t="s">
        <v>60</v>
      </c>
      <c r="C3595" s="2" t="s">
        <v>34687</v>
      </c>
      <c r="D3595" s="2" t="s">
        <v>34688</v>
      </c>
      <c r="E3595" s="2" t="s">
        <v>34689</v>
      </c>
      <c r="G3595" s="3" t="s">
        <v>62</v>
      </c>
      <c r="I3595" s="3" t="s">
        <v>62</v>
      </c>
      <c r="J3595" s="3" t="s">
        <v>62</v>
      </c>
      <c r="K3595" s="3" t="s">
        <v>63</v>
      </c>
      <c r="L3595" s="2" t="s">
        <v>34690</v>
      </c>
      <c r="M3595" s="2" t="s">
        <v>34691</v>
      </c>
      <c r="N3595" s="3" t="s">
        <v>625</v>
      </c>
      <c r="P3595" s="3" t="s">
        <v>64</v>
      </c>
      <c r="R3595" s="3" t="s">
        <v>34126</v>
      </c>
      <c r="S3595" s="4">
        <v>1</v>
      </c>
      <c r="T3595" s="4">
        <v>1</v>
      </c>
      <c r="U3595" s="5" t="s">
        <v>6485</v>
      </c>
      <c r="V3595" s="5" t="s">
        <v>6485</v>
      </c>
      <c r="W3595" s="5" t="s">
        <v>67</v>
      </c>
      <c r="X3595" s="5" t="s">
        <v>67</v>
      </c>
      <c r="Y3595" s="4">
        <v>119</v>
      </c>
      <c r="Z3595" s="4">
        <v>3</v>
      </c>
      <c r="AA3595" s="4">
        <v>7</v>
      </c>
      <c r="AB3595" s="4">
        <v>1</v>
      </c>
      <c r="AC3595" s="4">
        <v>3</v>
      </c>
      <c r="AD3595" s="4">
        <v>37</v>
      </c>
      <c r="AE3595" s="4">
        <v>47</v>
      </c>
      <c r="AF3595" s="4">
        <v>0</v>
      </c>
      <c r="AG3595" s="4">
        <v>2</v>
      </c>
      <c r="AH3595" s="4">
        <v>37</v>
      </c>
      <c r="AI3595" s="4">
        <v>46</v>
      </c>
      <c r="AJ3595" s="4">
        <v>2</v>
      </c>
      <c r="AK3595" s="4">
        <v>5</v>
      </c>
      <c r="AL3595" s="4">
        <v>21</v>
      </c>
      <c r="AM3595" s="4">
        <v>25</v>
      </c>
      <c r="AN3595" s="4">
        <v>0</v>
      </c>
      <c r="AO3595" s="4">
        <v>4</v>
      </c>
      <c r="AP3595" s="4">
        <v>2</v>
      </c>
      <c r="AQ3595" s="4">
        <v>4</v>
      </c>
      <c r="AR3595" s="3" t="s">
        <v>62</v>
      </c>
      <c r="AS3595" s="3" t="s">
        <v>62</v>
      </c>
      <c r="AT3595" s="3" t="s">
        <v>61</v>
      </c>
      <c r="AU3595" s="6" t="str">
        <f>HYPERLINK("http://catalog.hathitrust.org/Record/102028928","HathiTrust Record")</f>
        <v>HathiTrust Record</v>
      </c>
      <c r="AV3595" s="6" t="str">
        <f>HYPERLINK("http://mcgill.on.worldcat.org/oclc/52901651","Catalog Record")</f>
        <v>Catalog Record</v>
      </c>
      <c r="AW3595" s="6" t="str">
        <f>HYPERLINK("http://www.worldcat.org/oclc/52901651","WorldCat Record")</f>
        <v>WorldCat Record</v>
      </c>
      <c r="AX3595" s="3" t="s">
        <v>34692</v>
      </c>
      <c r="AY3595" s="3" t="s">
        <v>34693</v>
      </c>
      <c r="AZ3595" s="3" t="s">
        <v>34694</v>
      </c>
      <c r="BA3595" s="3" t="s">
        <v>34694</v>
      </c>
      <c r="BB3595" s="3" t="s">
        <v>34695</v>
      </c>
      <c r="BC3595" s="3" t="s">
        <v>102</v>
      </c>
      <c r="BD3595" s="3" t="s">
        <v>68</v>
      </c>
      <c r="BE3595" s="3" t="s">
        <v>34696</v>
      </c>
      <c r="BF3595" s="3" t="s">
        <v>34695</v>
      </c>
      <c r="BG3595" s="3" t="s">
        <v>34697</v>
      </c>
    </row>
    <row r="3596" spans="1:59" ht="58" x14ac:dyDescent="0.35">
      <c r="A3596" s="2" t="s">
        <v>59</v>
      </c>
      <c r="B3596" s="2" t="s">
        <v>60</v>
      </c>
      <c r="C3596" s="2" t="s">
        <v>34698</v>
      </c>
      <c r="D3596" s="2" t="s">
        <v>34699</v>
      </c>
      <c r="E3596" s="2" t="s">
        <v>34700</v>
      </c>
      <c r="G3596" s="3" t="s">
        <v>62</v>
      </c>
      <c r="I3596" s="3" t="s">
        <v>62</v>
      </c>
      <c r="J3596" s="3" t="s">
        <v>62</v>
      </c>
      <c r="K3596" s="3" t="s">
        <v>63</v>
      </c>
      <c r="M3596" s="2" t="s">
        <v>34701</v>
      </c>
      <c r="N3596" s="3" t="s">
        <v>1905</v>
      </c>
      <c r="P3596" s="3" t="s">
        <v>64</v>
      </c>
      <c r="R3596" s="3" t="s">
        <v>34126</v>
      </c>
      <c r="S3596" s="4">
        <v>6</v>
      </c>
      <c r="T3596" s="4">
        <v>6</v>
      </c>
      <c r="U3596" s="5" t="s">
        <v>11740</v>
      </c>
      <c r="V3596" s="5" t="s">
        <v>11740</v>
      </c>
      <c r="W3596" s="5" t="s">
        <v>67</v>
      </c>
      <c r="X3596" s="5" t="s">
        <v>67</v>
      </c>
      <c r="Y3596" s="4">
        <v>282</v>
      </c>
      <c r="Z3596" s="4">
        <v>17</v>
      </c>
      <c r="AA3596" s="4">
        <v>20</v>
      </c>
      <c r="AB3596" s="4">
        <v>1</v>
      </c>
      <c r="AC3596" s="4">
        <v>2</v>
      </c>
      <c r="AD3596" s="4">
        <v>67</v>
      </c>
      <c r="AE3596" s="4">
        <v>75</v>
      </c>
      <c r="AF3596" s="4">
        <v>0</v>
      </c>
      <c r="AG3596" s="4">
        <v>0</v>
      </c>
      <c r="AH3596" s="4">
        <v>60</v>
      </c>
      <c r="AI3596" s="4">
        <v>67</v>
      </c>
      <c r="AJ3596" s="4">
        <v>10</v>
      </c>
      <c r="AK3596" s="4">
        <v>11</v>
      </c>
      <c r="AL3596" s="4">
        <v>27</v>
      </c>
      <c r="AM3596" s="4">
        <v>33</v>
      </c>
      <c r="AN3596" s="4">
        <v>0</v>
      </c>
      <c r="AO3596" s="4">
        <v>0</v>
      </c>
      <c r="AP3596" s="4">
        <v>13</v>
      </c>
      <c r="AQ3596" s="4">
        <v>14</v>
      </c>
      <c r="AR3596" s="3" t="s">
        <v>62</v>
      </c>
      <c r="AS3596" s="3" t="s">
        <v>62</v>
      </c>
      <c r="AT3596" s="3" t="s">
        <v>61</v>
      </c>
      <c r="AU3596" s="6" t="str">
        <f>HYPERLINK("http://catalog.hathitrust.org/Record/000885365","HathiTrust Record")</f>
        <v>HathiTrust Record</v>
      </c>
      <c r="AV3596" s="6" t="str">
        <f>HYPERLINK("http://mcgill.on.worldcat.org/oclc/15519977","Catalog Record")</f>
        <v>Catalog Record</v>
      </c>
      <c r="AW3596" s="6" t="str">
        <f>HYPERLINK("http://www.worldcat.org/oclc/15519977","WorldCat Record")</f>
        <v>WorldCat Record</v>
      </c>
      <c r="AX3596" s="3" t="s">
        <v>34702</v>
      </c>
      <c r="AY3596" s="3" t="s">
        <v>34703</v>
      </c>
      <c r="AZ3596" s="3" t="s">
        <v>34704</v>
      </c>
      <c r="BA3596" s="3" t="s">
        <v>34704</v>
      </c>
      <c r="BB3596" s="3" t="s">
        <v>34705</v>
      </c>
      <c r="BC3596" s="3" t="s">
        <v>102</v>
      </c>
      <c r="BD3596" s="3" t="s">
        <v>68</v>
      </c>
      <c r="BE3596" s="3" t="s">
        <v>34706</v>
      </c>
      <c r="BF3596" s="3" t="s">
        <v>34705</v>
      </c>
      <c r="BG3596" s="3" t="s">
        <v>34707</v>
      </c>
    </row>
    <row r="3597" spans="1:59" ht="72.5" x14ac:dyDescent="0.35">
      <c r="A3597" s="2" t="s">
        <v>59</v>
      </c>
      <c r="B3597" s="2" t="s">
        <v>60</v>
      </c>
      <c r="C3597" s="2" t="s">
        <v>34708</v>
      </c>
      <c r="D3597" s="2" t="s">
        <v>34709</v>
      </c>
      <c r="E3597" s="2" t="s">
        <v>34710</v>
      </c>
      <c r="G3597" s="3" t="s">
        <v>62</v>
      </c>
      <c r="I3597" s="3" t="s">
        <v>62</v>
      </c>
      <c r="J3597" s="3" t="s">
        <v>62</v>
      </c>
      <c r="K3597" s="3" t="s">
        <v>63</v>
      </c>
      <c r="L3597" s="2" t="s">
        <v>34711</v>
      </c>
      <c r="M3597" s="2" t="s">
        <v>34712</v>
      </c>
      <c r="N3597" s="3" t="s">
        <v>1905</v>
      </c>
      <c r="O3597" s="2" t="s">
        <v>2163</v>
      </c>
      <c r="P3597" s="3" t="s">
        <v>64</v>
      </c>
      <c r="R3597" s="3" t="s">
        <v>34126</v>
      </c>
      <c r="S3597" s="4">
        <v>6</v>
      </c>
      <c r="T3597" s="4">
        <v>6</v>
      </c>
      <c r="U3597" s="5" t="s">
        <v>526</v>
      </c>
      <c r="V3597" s="5" t="s">
        <v>526</v>
      </c>
      <c r="W3597" s="5" t="s">
        <v>67</v>
      </c>
      <c r="X3597" s="5" t="s">
        <v>67</v>
      </c>
      <c r="Y3597" s="4">
        <v>89</v>
      </c>
      <c r="Z3597" s="4">
        <v>2</v>
      </c>
      <c r="AA3597" s="4">
        <v>2</v>
      </c>
      <c r="AB3597" s="4">
        <v>1</v>
      </c>
      <c r="AC3597" s="4">
        <v>1</v>
      </c>
      <c r="AD3597" s="4">
        <v>16</v>
      </c>
      <c r="AE3597" s="4">
        <v>16</v>
      </c>
      <c r="AF3597" s="4">
        <v>0</v>
      </c>
      <c r="AG3597" s="4">
        <v>0</v>
      </c>
      <c r="AH3597" s="4">
        <v>16</v>
      </c>
      <c r="AI3597" s="4">
        <v>16</v>
      </c>
      <c r="AJ3597" s="4">
        <v>0</v>
      </c>
      <c r="AK3597" s="4">
        <v>0</v>
      </c>
      <c r="AL3597" s="4">
        <v>13</v>
      </c>
      <c r="AM3597" s="4">
        <v>13</v>
      </c>
      <c r="AN3597" s="4">
        <v>0</v>
      </c>
      <c r="AO3597" s="4">
        <v>0</v>
      </c>
      <c r="AP3597" s="4">
        <v>0</v>
      </c>
      <c r="AQ3597" s="4">
        <v>0</v>
      </c>
      <c r="AR3597" s="3" t="s">
        <v>62</v>
      </c>
      <c r="AS3597" s="3" t="s">
        <v>62</v>
      </c>
      <c r="AT3597" s="3" t="s">
        <v>62</v>
      </c>
      <c r="AV3597" s="6" t="str">
        <f>HYPERLINK("http://mcgill.on.worldcat.org/oclc/16918250","Catalog Record")</f>
        <v>Catalog Record</v>
      </c>
      <c r="AW3597" s="6" t="str">
        <f>HYPERLINK("http://www.worldcat.org/oclc/16918250","WorldCat Record")</f>
        <v>WorldCat Record</v>
      </c>
      <c r="AX3597" s="3" t="s">
        <v>34713</v>
      </c>
      <c r="AY3597" s="3" t="s">
        <v>34714</v>
      </c>
      <c r="AZ3597" s="3" t="s">
        <v>34715</v>
      </c>
      <c r="BA3597" s="3" t="s">
        <v>34715</v>
      </c>
      <c r="BB3597" s="3" t="s">
        <v>34716</v>
      </c>
      <c r="BC3597" s="3" t="s">
        <v>102</v>
      </c>
      <c r="BD3597" s="3" t="s">
        <v>68</v>
      </c>
      <c r="BE3597" s="3" t="s">
        <v>34717</v>
      </c>
      <c r="BF3597" s="3" t="s">
        <v>34716</v>
      </c>
      <c r="BG3597" s="3" t="s">
        <v>34718</v>
      </c>
    </row>
    <row r="3598" spans="1:59" ht="72.5" x14ac:dyDescent="0.35">
      <c r="A3598" s="2" t="s">
        <v>59</v>
      </c>
      <c r="B3598" s="2" t="s">
        <v>60</v>
      </c>
      <c r="C3598" s="2" t="s">
        <v>34719</v>
      </c>
      <c r="D3598" s="2" t="s">
        <v>34720</v>
      </c>
      <c r="E3598" s="2" t="s">
        <v>34721</v>
      </c>
      <c r="G3598" s="3" t="s">
        <v>62</v>
      </c>
      <c r="I3598" s="3" t="s">
        <v>62</v>
      </c>
      <c r="J3598" s="3" t="s">
        <v>62</v>
      </c>
      <c r="K3598" s="3" t="s">
        <v>63</v>
      </c>
      <c r="L3598" s="2" t="s">
        <v>34722</v>
      </c>
      <c r="M3598" s="2" t="s">
        <v>34723</v>
      </c>
      <c r="N3598" s="3" t="s">
        <v>568</v>
      </c>
      <c r="P3598" s="3" t="s">
        <v>64</v>
      </c>
      <c r="R3598" s="3" t="s">
        <v>34126</v>
      </c>
      <c r="S3598" s="4">
        <v>3</v>
      </c>
      <c r="T3598" s="4">
        <v>3</v>
      </c>
      <c r="U3598" s="5" t="s">
        <v>5146</v>
      </c>
      <c r="V3598" s="5" t="s">
        <v>5146</v>
      </c>
      <c r="W3598" s="5" t="s">
        <v>67</v>
      </c>
      <c r="X3598" s="5" t="s">
        <v>67</v>
      </c>
      <c r="Y3598" s="4">
        <v>1545</v>
      </c>
      <c r="Z3598" s="4">
        <v>47</v>
      </c>
      <c r="AA3598" s="4">
        <v>55</v>
      </c>
      <c r="AB3598" s="4">
        <v>6</v>
      </c>
      <c r="AC3598" s="4">
        <v>11</v>
      </c>
      <c r="AD3598" s="4">
        <v>118</v>
      </c>
      <c r="AE3598" s="4">
        <v>120</v>
      </c>
      <c r="AF3598" s="4">
        <v>1</v>
      </c>
      <c r="AG3598" s="4">
        <v>3</v>
      </c>
      <c r="AH3598" s="4">
        <v>101</v>
      </c>
      <c r="AI3598" s="4">
        <v>102</v>
      </c>
      <c r="AJ3598" s="4">
        <v>17</v>
      </c>
      <c r="AK3598" s="4">
        <v>19</v>
      </c>
      <c r="AL3598" s="4">
        <v>54</v>
      </c>
      <c r="AM3598" s="4">
        <v>54</v>
      </c>
      <c r="AN3598" s="4">
        <v>0</v>
      </c>
      <c r="AO3598" s="4">
        <v>0</v>
      </c>
      <c r="AP3598" s="4">
        <v>23</v>
      </c>
      <c r="AQ3598" s="4">
        <v>24</v>
      </c>
      <c r="AR3598" s="3" t="s">
        <v>62</v>
      </c>
      <c r="AS3598" s="3" t="s">
        <v>62</v>
      </c>
      <c r="AT3598" s="3" t="s">
        <v>61</v>
      </c>
      <c r="AU3598" s="6" t="str">
        <f>HYPERLINK("http://catalog.hathitrust.org/Record/004097734","HathiTrust Record")</f>
        <v>HathiTrust Record</v>
      </c>
      <c r="AV3598" s="6" t="str">
        <f>HYPERLINK("http://mcgill.on.worldcat.org/oclc/43648512","Catalog Record")</f>
        <v>Catalog Record</v>
      </c>
      <c r="AW3598" s="6" t="str">
        <f>HYPERLINK("http://www.worldcat.org/oclc/43648512","WorldCat Record")</f>
        <v>WorldCat Record</v>
      </c>
      <c r="AX3598" s="3" t="s">
        <v>34724</v>
      </c>
      <c r="AY3598" s="3" t="s">
        <v>34725</v>
      </c>
      <c r="AZ3598" s="3" t="s">
        <v>34726</v>
      </c>
      <c r="BA3598" s="3" t="s">
        <v>34726</v>
      </c>
      <c r="BB3598" s="3" t="s">
        <v>34727</v>
      </c>
      <c r="BC3598" s="3" t="s">
        <v>102</v>
      </c>
      <c r="BD3598" s="3" t="s">
        <v>68</v>
      </c>
      <c r="BE3598" s="3" t="s">
        <v>34728</v>
      </c>
      <c r="BF3598" s="3" t="s">
        <v>34727</v>
      </c>
      <c r="BG3598" s="3" t="s">
        <v>34729</v>
      </c>
    </row>
    <row r="3599" spans="1:59" ht="87" x14ac:dyDescent="0.35">
      <c r="A3599" s="2" t="s">
        <v>89</v>
      </c>
      <c r="B3599" s="2" t="s">
        <v>90</v>
      </c>
      <c r="C3599" s="2" t="s">
        <v>34730</v>
      </c>
      <c r="D3599" s="2" t="s">
        <v>34731</v>
      </c>
      <c r="E3599" s="2" t="s">
        <v>34732</v>
      </c>
      <c r="G3599" s="3" t="s">
        <v>62</v>
      </c>
      <c r="I3599" s="3" t="s">
        <v>61</v>
      </c>
      <c r="J3599" s="3" t="s">
        <v>62</v>
      </c>
      <c r="K3599" s="3" t="s">
        <v>63</v>
      </c>
      <c r="L3599" s="2" t="s">
        <v>34733</v>
      </c>
      <c r="M3599" s="2" t="s">
        <v>34734</v>
      </c>
      <c r="N3599" s="3" t="s">
        <v>655</v>
      </c>
      <c r="O3599" s="2" t="s">
        <v>2163</v>
      </c>
      <c r="P3599" s="3" t="s">
        <v>64</v>
      </c>
      <c r="R3599" s="3" t="s">
        <v>34126</v>
      </c>
      <c r="S3599" s="4">
        <v>22</v>
      </c>
      <c r="T3599" s="4">
        <v>34</v>
      </c>
      <c r="U3599" s="5" t="s">
        <v>15934</v>
      </c>
      <c r="V3599" s="5" t="s">
        <v>15934</v>
      </c>
      <c r="W3599" s="5" t="s">
        <v>67</v>
      </c>
      <c r="X3599" s="5" t="s">
        <v>67</v>
      </c>
      <c r="Y3599" s="4">
        <v>937</v>
      </c>
      <c r="Z3599" s="4">
        <v>31</v>
      </c>
      <c r="AA3599" s="4">
        <v>51</v>
      </c>
      <c r="AB3599" s="4">
        <v>4</v>
      </c>
      <c r="AC3599" s="4">
        <v>7</v>
      </c>
      <c r="AD3599" s="4">
        <v>94</v>
      </c>
      <c r="AE3599" s="4">
        <v>104</v>
      </c>
      <c r="AF3599" s="4">
        <v>1</v>
      </c>
      <c r="AG3599" s="4">
        <v>2</v>
      </c>
      <c r="AH3599" s="4">
        <v>82</v>
      </c>
      <c r="AI3599" s="4">
        <v>87</v>
      </c>
      <c r="AJ3599" s="4">
        <v>10</v>
      </c>
      <c r="AK3599" s="4">
        <v>12</v>
      </c>
      <c r="AL3599" s="4">
        <v>44</v>
      </c>
      <c r="AM3599" s="4">
        <v>46</v>
      </c>
      <c r="AN3599" s="4">
        <v>0</v>
      </c>
      <c r="AO3599" s="4">
        <v>0</v>
      </c>
      <c r="AP3599" s="4">
        <v>14</v>
      </c>
      <c r="AQ3599" s="4">
        <v>19</v>
      </c>
      <c r="AR3599" s="3" t="s">
        <v>62</v>
      </c>
      <c r="AS3599" s="3" t="s">
        <v>62</v>
      </c>
      <c r="AT3599" s="3" t="s">
        <v>62</v>
      </c>
      <c r="AV3599" s="6" t="str">
        <f>HYPERLINK("http://mcgill.on.worldcat.org/oclc/69020922","Catalog Record")</f>
        <v>Catalog Record</v>
      </c>
      <c r="AW3599" s="6" t="str">
        <f>HYPERLINK("http://www.worldcat.org/oclc/69020922","WorldCat Record")</f>
        <v>WorldCat Record</v>
      </c>
      <c r="AX3599" s="3" t="s">
        <v>34735</v>
      </c>
      <c r="AY3599" s="3" t="s">
        <v>34736</v>
      </c>
      <c r="AZ3599" s="3" t="s">
        <v>34737</v>
      </c>
      <c r="BA3599" s="3" t="s">
        <v>34737</v>
      </c>
      <c r="BB3599" s="3" t="s">
        <v>34738</v>
      </c>
      <c r="BC3599" s="3" t="s">
        <v>102</v>
      </c>
      <c r="BD3599" s="3" t="s">
        <v>68</v>
      </c>
      <c r="BE3599" s="3" t="s">
        <v>34739</v>
      </c>
      <c r="BF3599" s="3" t="s">
        <v>34738</v>
      </c>
      <c r="BG3599" s="3" t="s">
        <v>34740</v>
      </c>
    </row>
    <row r="3600" spans="1:59" ht="116" x14ac:dyDescent="0.35">
      <c r="A3600" s="2" t="s">
        <v>89</v>
      </c>
      <c r="B3600" s="2" t="s">
        <v>3312</v>
      </c>
      <c r="C3600" s="2" t="s">
        <v>34741</v>
      </c>
      <c r="D3600" s="2" t="s">
        <v>34742</v>
      </c>
      <c r="E3600" s="2" t="s">
        <v>34743</v>
      </c>
      <c r="G3600" s="3" t="s">
        <v>62</v>
      </c>
      <c r="I3600" s="3" t="s">
        <v>62</v>
      </c>
      <c r="J3600" s="3" t="s">
        <v>62</v>
      </c>
      <c r="K3600" s="3" t="s">
        <v>63</v>
      </c>
      <c r="L3600" s="2" t="s">
        <v>34744</v>
      </c>
      <c r="M3600" s="2" t="s">
        <v>15262</v>
      </c>
      <c r="N3600" s="3" t="s">
        <v>726</v>
      </c>
      <c r="O3600" s="2" t="s">
        <v>15263</v>
      </c>
      <c r="P3600" s="3" t="s">
        <v>15264</v>
      </c>
      <c r="Q3600" s="2" t="s">
        <v>34745</v>
      </c>
      <c r="R3600" s="3" t="s">
        <v>34126</v>
      </c>
      <c r="S3600" s="4">
        <v>0</v>
      </c>
      <c r="T3600" s="4">
        <v>0</v>
      </c>
      <c r="W3600" s="5" t="s">
        <v>67</v>
      </c>
      <c r="X3600" s="5" t="s">
        <v>67</v>
      </c>
      <c r="Y3600" s="4">
        <v>46</v>
      </c>
      <c r="Z3600" s="4">
        <v>4</v>
      </c>
      <c r="AA3600" s="4">
        <v>4</v>
      </c>
      <c r="AB3600" s="4">
        <v>1</v>
      </c>
      <c r="AC3600" s="4">
        <v>1</v>
      </c>
      <c r="AD3600" s="4">
        <v>37</v>
      </c>
      <c r="AE3600" s="4">
        <v>37</v>
      </c>
      <c r="AF3600" s="4">
        <v>0</v>
      </c>
      <c r="AG3600" s="4">
        <v>0</v>
      </c>
      <c r="AH3600" s="4">
        <v>35</v>
      </c>
      <c r="AI3600" s="4">
        <v>35</v>
      </c>
      <c r="AJ3600" s="4">
        <v>3</v>
      </c>
      <c r="AK3600" s="4">
        <v>3</v>
      </c>
      <c r="AL3600" s="4">
        <v>31</v>
      </c>
      <c r="AM3600" s="4">
        <v>31</v>
      </c>
      <c r="AN3600" s="4">
        <v>0</v>
      </c>
      <c r="AO3600" s="4">
        <v>0</v>
      </c>
      <c r="AP3600" s="4">
        <v>3</v>
      </c>
      <c r="AQ3600" s="4">
        <v>3</v>
      </c>
      <c r="AR3600" s="3" t="s">
        <v>62</v>
      </c>
      <c r="AS3600" s="3" t="s">
        <v>62</v>
      </c>
      <c r="AT3600" s="3" t="s">
        <v>62</v>
      </c>
      <c r="AV3600" s="6" t="str">
        <f>HYPERLINK("http://mcgill.on.worldcat.org/oclc/1012920150","Catalog Record")</f>
        <v>Catalog Record</v>
      </c>
      <c r="AW3600" s="6" t="str">
        <f>HYPERLINK("http://www.worldcat.org/oclc/1012920150","WorldCat Record")</f>
        <v>WorldCat Record</v>
      </c>
      <c r="AX3600" s="3" t="s">
        <v>34746</v>
      </c>
      <c r="AY3600" s="3" t="s">
        <v>34747</v>
      </c>
      <c r="AZ3600" s="3" t="s">
        <v>34748</v>
      </c>
      <c r="BA3600" s="3" t="s">
        <v>34748</v>
      </c>
      <c r="BB3600" s="3" t="s">
        <v>34749</v>
      </c>
      <c r="BC3600" s="3" t="s">
        <v>102</v>
      </c>
      <c r="BD3600" s="3" t="s">
        <v>68</v>
      </c>
      <c r="BE3600" s="3" t="s">
        <v>34750</v>
      </c>
      <c r="BF3600" s="3" t="s">
        <v>34749</v>
      </c>
      <c r="BG3600" s="3" t="s">
        <v>34751</v>
      </c>
    </row>
    <row r="3601" spans="1:59" ht="58" x14ac:dyDescent="0.35">
      <c r="A3601" s="2" t="s">
        <v>89</v>
      </c>
      <c r="B3601" s="2" t="s">
        <v>90</v>
      </c>
      <c r="C3601" s="2" t="s">
        <v>34752</v>
      </c>
      <c r="D3601" s="2" t="s">
        <v>34753</v>
      </c>
      <c r="E3601" s="2" t="s">
        <v>34754</v>
      </c>
      <c r="F3601" s="3" t="s">
        <v>34755</v>
      </c>
      <c r="G3601" s="3" t="s">
        <v>62</v>
      </c>
      <c r="I3601" s="3" t="s">
        <v>62</v>
      </c>
      <c r="J3601" s="3" t="s">
        <v>62</v>
      </c>
      <c r="K3601" s="3" t="s">
        <v>63</v>
      </c>
      <c r="L3601" s="2" t="s">
        <v>34756</v>
      </c>
      <c r="M3601" s="2" t="s">
        <v>34757</v>
      </c>
      <c r="N3601" s="3" t="s">
        <v>684</v>
      </c>
      <c r="P3601" s="3" t="s">
        <v>64</v>
      </c>
      <c r="Q3601" s="2" t="s">
        <v>34758</v>
      </c>
      <c r="R3601" s="3" t="s">
        <v>34126</v>
      </c>
      <c r="S3601" s="4">
        <v>0</v>
      </c>
      <c r="T3601" s="4">
        <v>0</v>
      </c>
      <c r="W3601" s="5" t="s">
        <v>67</v>
      </c>
      <c r="X3601" s="5" t="s">
        <v>67</v>
      </c>
      <c r="Y3601" s="4">
        <v>26</v>
      </c>
      <c r="Z3601" s="4">
        <v>1</v>
      </c>
      <c r="AA3601" s="4">
        <v>1</v>
      </c>
      <c r="AB3601" s="4">
        <v>1</v>
      </c>
      <c r="AC3601" s="4">
        <v>1</v>
      </c>
      <c r="AD3601" s="4">
        <v>9</v>
      </c>
      <c r="AE3601" s="4">
        <v>9</v>
      </c>
      <c r="AF3601" s="4">
        <v>0</v>
      </c>
      <c r="AG3601" s="4">
        <v>0</v>
      </c>
      <c r="AH3601" s="4">
        <v>8</v>
      </c>
      <c r="AI3601" s="4">
        <v>8</v>
      </c>
      <c r="AJ3601" s="4">
        <v>0</v>
      </c>
      <c r="AK3601" s="4">
        <v>0</v>
      </c>
      <c r="AL3601" s="4">
        <v>7</v>
      </c>
      <c r="AM3601" s="4">
        <v>7</v>
      </c>
      <c r="AN3601" s="4">
        <v>0</v>
      </c>
      <c r="AO3601" s="4">
        <v>0</v>
      </c>
      <c r="AP3601" s="4">
        <v>0</v>
      </c>
      <c r="AQ3601" s="4">
        <v>0</v>
      </c>
      <c r="AR3601" s="3" t="s">
        <v>62</v>
      </c>
      <c r="AS3601" s="3" t="s">
        <v>62</v>
      </c>
      <c r="AT3601" s="3" t="s">
        <v>62</v>
      </c>
      <c r="AV3601" s="6" t="str">
        <f>HYPERLINK("http://mcgill.on.worldcat.org/oclc/747819322","Catalog Record")</f>
        <v>Catalog Record</v>
      </c>
      <c r="AW3601" s="6" t="str">
        <f>HYPERLINK("http://www.worldcat.org/oclc/747819322","WorldCat Record")</f>
        <v>WorldCat Record</v>
      </c>
      <c r="AX3601" s="3" t="s">
        <v>34759</v>
      </c>
      <c r="AY3601" s="3" t="s">
        <v>34760</v>
      </c>
      <c r="AZ3601" s="3" t="s">
        <v>34761</v>
      </c>
      <c r="BA3601" s="3" t="s">
        <v>34761</v>
      </c>
      <c r="BB3601" s="3" t="s">
        <v>34762</v>
      </c>
      <c r="BC3601" s="3" t="s">
        <v>102</v>
      </c>
      <c r="BD3601" s="3" t="s">
        <v>68</v>
      </c>
      <c r="BE3601" s="3" t="s">
        <v>34763</v>
      </c>
      <c r="BF3601" s="3" t="s">
        <v>34762</v>
      </c>
      <c r="BG3601" s="3" t="s">
        <v>34764</v>
      </c>
    </row>
    <row r="3602" spans="1:59" ht="58" x14ac:dyDescent="0.35">
      <c r="A3602" s="2" t="s">
        <v>59</v>
      </c>
      <c r="B3602" s="2" t="s">
        <v>60</v>
      </c>
      <c r="C3602" s="2" t="s">
        <v>34765</v>
      </c>
      <c r="D3602" s="2" t="s">
        <v>34766</v>
      </c>
      <c r="E3602" s="2" t="s">
        <v>34767</v>
      </c>
      <c r="G3602" s="3" t="s">
        <v>62</v>
      </c>
      <c r="I3602" s="3" t="s">
        <v>62</v>
      </c>
      <c r="J3602" s="3" t="s">
        <v>62</v>
      </c>
      <c r="K3602" s="3" t="s">
        <v>63</v>
      </c>
      <c r="L3602" s="2" t="s">
        <v>34768</v>
      </c>
      <c r="M3602" s="2" t="s">
        <v>34769</v>
      </c>
      <c r="N3602" s="3" t="s">
        <v>201</v>
      </c>
      <c r="P3602" s="3" t="s">
        <v>64</v>
      </c>
      <c r="R3602" s="3" t="s">
        <v>34126</v>
      </c>
      <c r="S3602" s="4">
        <v>4</v>
      </c>
      <c r="T3602" s="4">
        <v>4</v>
      </c>
      <c r="U3602" s="5" t="s">
        <v>7837</v>
      </c>
      <c r="V3602" s="5" t="s">
        <v>7837</v>
      </c>
      <c r="W3602" s="5" t="s">
        <v>67</v>
      </c>
      <c r="X3602" s="5" t="s">
        <v>67</v>
      </c>
      <c r="Y3602" s="4">
        <v>31</v>
      </c>
      <c r="Z3602" s="4">
        <v>1</v>
      </c>
      <c r="AA3602" s="4">
        <v>1</v>
      </c>
      <c r="AB3602" s="4">
        <v>1</v>
      </c>
      <c r="AC3602" s="4">
        <v>1</v>
      </c>
      <c r="AD3602" s="4">
        <v>11</v>
      </c>
      <c r="AE3602" s="4">
        <v>13</v>
      </c>
      <c r="AF3602" s="4">
        <v>0</v>
      </c>
      <c r="AG3602" s="4">
        <v>0</v>
      </c>
      <c r="AH3602" s="4">
        <v>10</v>
      </c>
      <c r="AI3602" s="4">
        <v>12</v>
      </c>
      <c r="AJ3602" s="4">
        <v>0</v>
      </c>
      <c r="AK3602" s="4">
        <v>0</v>
      </c>
      <c r="AL3602" s="4">
        <v>7</v>
      </c>
      <c r="AM3602" s="4">
        <v>9</v>
      </c>
      <c r="AN3602" s="4">
        <v>0</v>
      </c>
      <c r="AO3602" s="4">
        <v>0</v>
      </c>
      <c r="AP3602" s="4">
        <v>0</v>
      </c>
      <c r="AQ3602" s="4">
        <v>0</v>
      </c>
      <c r="AR3602" s="3" t="s">
        <v>62</v>
      </c>
      <c r="AS3602" s="3" t="s">
        <v>62</v>
      </c>
      <c r="AT3602" s="3" t="s">
        <v>62</v>
      </c>
      <c r="AV3602" s="6" t="str">
        <f>HYPERLINK("http://mcgill.on.worldcat.org/oclc/4886632","Catalog Record")</f>
        <v>Catalog Record</v>
      </c>
      <c r="AW3602" s="6" t="str">
        <f>HYPERLINK("http://www.worldcat.org/oclc/4886632","WorldCat Record")</f>
        <v>WorldCat Record</v>
      </c>
      <c r="AX3602" s="3" t="s">
        <v>34770</v>
      </c>
      <c r="AY3602" s="3" t="s">
        <v>34771</v>
      </c>
      <c r="AZ3602" s="3" t="s">
        <v>34772</v>
      </c>
      <c r="BA3602" s="3" t="s">
        <v>34772</v>
      </c>
      <c r="BB3602" s="3" t="s">
        <v>34773</v>
      </c>
      <c r="BC3602" s="3" t="s">
        <v>102</v>
      </c>
      <c r="BD3602" s="3" t="s">
        <v>6923</v>
      </c>
      <c r="BF3602" s="3" t="s">
        <v>34773</v>
      </c>
      <c r="BG3602" s="3" t="s">
        <v>34774</v>
      </c>
    </row>
    <row r="3603" spans="1:59" ht="72.5" x14ac:dyDescent="0.35">
      <c r="A3603" s="2" t="s">
        <v>89</v>
      </c>
      <c r="B3603" s="2" t="s">
        <v>90</v>
      </c>
      <c r="C3603" s="2" t="s">
        <v>34775</v>
      </c>
      <c r="D3603" s="2" t="s">
        <v>34776</v>
      </c>
      <c r="E3603" s="2" t="s">
        <v>34777</v>
      </c>
      <c r="G3603" s="3" t="s">
        <v>62</v>
      </c>
      <c r="I3603" s="3" t="s">
        <v>62</v>
      </c>
      <c r="J3603" s="3" t="s">
        <v>62</v>
      </c>
      <c r="K3603" s="3" t="s">
        <v>63</v>
      </c>
      <c r="L3603" s="2" t="s">
        <v>34778</v>
      </c>
      <c r="M3603" s="2" t="s">
        <v>34779</v>
      </c>
      <c r="N3603" s="3" t="s">
        <v>129</v>
      </c>
      <c r="P3603" s="3" t="s">
        <v>64</v>
      </c>
      <c r="R3603" s="3" t="s">
        <v>34126</v>
      </c>
      <c r="S3603" s="4">
        <v>0</v>
      </c>
      <c r="T3603" s="4">
        <v>0</v>
      </c>
      <c r="W3603" s="5" t="s">
        <v>67</v>
      </c>
      <c r="X3603" s="5" t="s">
        <v>67</v>
      </c>
      <c r="Y3603" s="4">
        <v>82</v>
      </c>
      <c r="Z3603" s="4">
        <v>6</v>
      </c>
      <c r="AA3603" s="4">
        <v>78</v>
      </c>
      <c r="AB3603" s="4">
        <v>1</v>
      </c>
      <c r="AC3603" s="4">
        <v>14</v>
      </c>
      <c r="AD3603" s="4">
        <v>13</v>
      </c>
      <c r="AE3603" s="4">
        <v>112</v>
      </c>
      <c r="AF3603" s="4">
        <v>0</v>
      </c>
      <c r="AG3603" s="4">
        <v>8</v>
      </c>
      <c r="AH3603" s="4">
        <v>13</v>
      </c>
      <c r="AI3603" s="4">
        <v>81</v>
      </c>
      <c r="AJ3603" s="4">
        <v>2</v>
      </c>
      <c r="AK3603" s="4">
        <v>20</v>
      </c>
      <c r="AL3603" s="4">
        <v>9</v>
      </c>
      <c r="AM3603" s="4">
        <v>46</v>
      </c>
      <c r="AN3603" s="4">
        <v>0</v>
      </c>
      <c r="AO3603" s="4">
        <v>0</v>
      </c>
      <c r="AP3603" s="4">
        <v>2</v>
      </c>
      <c r="AQ3603" s="4">
        <v>39</v>
      </c>
      <c r="AR3603" s="3" t="s">
        <v>62</v>
      </c>
      <c r="AS3603" s="3" t="s">
        <v>62</v>
      </c>
      <c r="AT3603" s="3" t="s">
        <v>62</v>
      </c>
      <c r="AV3603" s="6" t="str">
        <f>HYPERLINK("http://mcgill.on.worldcat.org/oclc/868429201","Catalog Record")</f>
        <v>Catalog Record</v>
      </c>
      <c r="AW3603" s="6" t="str">
        <f>HYPERLINK("http://www.worldcat.org/oclc/868429201","WorldCat Record")</f>
        <v>WorldCat Record</v>
      </c>
      <c r="AX3603" s="3" t="s">
        <v>34780</v>
      </c>
      <c r="AY3603" s="3" t="s">
        <v>34781</v>
      </c>
      <c r="AZ3603" s="3" t="s">
        <v>34782</v>
      </c>
      <c r="BA3603" s="3" t="s">
        <v>34782</v>
      </c>
      <c r="BB3603" s="3" t="s">
        <v>34783</v>
      </c>
      <c r="BC3603" s="3" t="s">
        <v>102</v>
      </c>
      <c r="BD3603" s="3" t="s">
        <v>68</v>
      </c>
      <c r="BE3603" s="3" t="s">
        <v>34784</v>
      </c>
      <c r="BF3603" s="3" t="s">
        <v>34783</v>
      </c>
      <c r="BG3603" s="3" t="s">
        <v>34785</v>
      </c>
    </row>
    <row r="3604" spans="1:59" ht="58" x14ac:dyDescent="0.35">
      <c r="A3604" s="2" t="s">
        <v>59</v>
      </c>
      <c r="B3604" s="2" t="s">
        <v>60</v>
      </c>
      <c r="C3604" s="2" t="s">
        <v>34786</v>
      </c>
      <c r="D3604" s="2" t="s">
        <v>34787</v>
      </c>
      <c r="E3604" s="2" t="s">
        <v>34788</v>
      </c>
      <c r="G3604" s="3" t="s">
        <v>62</v>
      </c>
      <c r="I3604" s="3" t="s">
        <v>62</v>
      </c>
      <c r="J3604" s="3" t="s">
        <v>62</v>
      </c>
      <c r="K3604" s="3" t="s">
        <v>63</v>
      </c>
      <c r="L3604" s="2" t="s">
        <v>34789</v>
      </c>
      <c r="M3604" s="2" t="s">
        <v>34790</v>
      </c>
      <c r="N3604" s="3" t="s">
        <v>3062</v>
      </c>
      <c r="P3604" s="3" t="s">
        <v>64</v>
      </c>
      <c r="R3604" s="3" t="s">
        <v>34126</v>
      </c>
      <c r="S3604" s="4">
        <v>2</v>
      </c>
      <c r="T3604" s="4">
        <v>2</v>
      </c>
      <c r="U3604" s="5" t="s">
        <v>34791</v>
      </c>
      <c r="V3604" s="5" t="s">
        <v>34791</v>
      </c>
      <c r="W3604" s="5" t="s">
        <v>67</v>
      </c>
      <c r="X3604" s="5" t="s">
        <v>67</v>
      </c>
      <c r="Y3604" s="4">
        <v>415</v>
      </c>
      <c r="Z3604" s="4">
        <v>19</v>
      </c>
      <c r="AA3604" s="4">
        <v>19</v>
      </c>
      <c r="AB3604" s="4">
        <v>2</v>
      </c>
      <c r="AC3604" s="4">
        <v>2</v>
      </c>
      <c r="AD3604" s="4">
        <v>93</v>
      </c>
      <c r="AE3604" s="4">
        <v>93</v>
      </c>
      <c r="AF3604" s="4">
        <v>0</v>
      </c>
      <c r="AG3604" s="4">
        <v>0</v>
      </c>
      <c r="AH3604" s="4">
        <v>86</v>
      </c>
      <c r="AI3604" s="4">
        <v>86</v>
      </c>
      <c r="AJ3604" s="4">
        <v>12</v>
      </c>
      <c r="AK3604" s="4">
        <v>12</v>
      </c>
      <c r="AL3604" s="4">
        <v>45</v>
      </c>
      <c r="AM3604" s="4">
        <v>45</v>
      </c>
      <c r="AN3604" s="4">
        <v>0</v>
      </c>
      <c r="AO3604" s="4">
        <v>0</v>
      </c>
      <c r="AP3604" s="4">
        <v>14</v>
      </c>
      <c r="AQ3604" s="4">
        <v>14</v>
      </c>
      <c r="AR3604" s="3" t="s">
        <v>62</v>
      </c>
      <c r="AS3604" s="3" t="s">
        <v>62</v>
      </c>
      <c r="AT3604" s="3" t="s">
        <v>61</v>
      </c>
      <c r="AU3604" s="6" t="str">
        <f>HYPERLINK("http://catalog.hathitrust.org/Record/002514204","HathiTrust Record")</f>
        <v>HathiTrust Record</v>
      </c>
      <c r="AV3604" s="6" t="str">
        <f>HYPERLINK("http://mcgill.on.worldcat.org/oclc/22112979","Catalog Record")</f>
        <v>Catalog Record</v>
      </c>
      <c r="AW3604" s="6" t="str">
        <f>HYPERLINK("http://www.worldcat.org/oclc/22112979","WorldCat Record")</f>
        <v>WorldCat Record</v>
      </c>
      <c r="AX3604" s="3" t="s">
        <v>34792</v>
      </c>
      <c r="AY3604" s="3" t="s">
        <v>34793</v>
      </c>
      <c r="AZ3604" s="3" t="s">
        <v>34794</v>
      </c>
      <c r="BA3604" s="3" t="s">
        <v>34794</v>
      </c>
      <c r="BB3604" s="3" t="s">
        <v>34795</v>
      </c>
      <c r="BC3604" s="3" t="s">
        <v>102</v>
      </c>
      <c r="BD3604" s="3" t="s">
        <v>68</v>
      </c>
      <c r="BE3604" s="3" t="s">
        <v>34796</v>
      </c>
      <c r="BF3604" s="3" t="s">
        <v>34795</v>
      </c>
      <c r="BG3604" s="3" t="s">
        <v>34797</v>
      </c>
    </row>
    <row r="3605" spans="1:59" ht="58" x14ac:dyDescent="0.35">
      <c r="A3605" s="2" t="s">
        <v>89</v>
      </c>
      <c r="B3605" s="2" t="s">
        <v>90</v>
      </c>
      <c r="C3605" s="2" t="s">
        <v>34798</v>
      </c>
      <c r="D3605" s="2" t="s">
        <v>34799</v>
      </c>
      <c r="E3605" s="2" t="s">
        <v>34800</v>
      </c>
      <c r="G3605" s="3" t="s">
        <v>62</v>
      </c>
      <c r="I3605" s="3" t="s">
        <v>62</v>
      </c>
      <c r="J3605" s="3" t="s">
        <v>62</v>
      </c>
      <c r="K3605" s="3" t="s">
        <v>63</v>
      </c>
      <c r="L3605" s="2" t="s">
        <v>34801</v>
      </c>
      <c r="M3605" s="2" t="s">
        <v>34802</v>
      </c>
      <c r="N3605" s="3" t="s">
        <v>640</v>
      </c>
      <c r="P3605" s="3" t="s">
        <v>64</v>
      </c>
      <c r="R3605" s="3" t="s">
        <v>34126</v>
      </c>
      <c r="S3605" s="4">
        <v>7</v>
      </c>
      <c r="T3605" s="4">
        <v>7</v>
      </c>
      <c r="U3605" s="5" t="s">
        <v>14354</v>
      </c>
      <c r="V3605" s="5" t="s">
        <v>14354</v>
      </c>
      <c r="W3605" s="5" t="s">
        <v>67</v>
      </c>
      <c r="X3605" s="5" t="s">
        <v>67</v>
      </c>
      <c r="Y3605" s="4">
        <v>341</v>
      </c>
      <c r="Z3605" s="4">
        <v>24</v>
      </c>
      <c r="AA3605" s="4">
        <v>38</v>
      </c>
      <c r="AB3605" s="4">
        <v>1</v>
      </c>
      <c r="AC3605" s="4">
        <v>7</v>
      </c>
      <c r="AD3605" s="4">
        <v>99</v>
      </c>
      <c r="AE3605" s="4">
        <v>114</v>
      </c>
      <c r="AF3605" s="4">
        <v>0</v>
      </c>
      <c r="AG3605" s="4">
        <v>3</v>
      </c>
      <c r="AH3605" s="4">
        <v>90</v>
      </c>
      <c r="AI3605" s="4">
        <v>96</v>
      </c>
      <c r="AJ3605" s="4">
        <v>16</v>
      </c>
      <c r="AK3605" s="4">
        <v>19</v>
      </c>
      <c r="AL3605" s="4">
        <v>50</v>
      </c>
      <c r="AM3605" s="4">
        <v>52</v>
      </c>
      <c r="AN3605" s="4">
        <v>0</v>
      </c>
      <c r="AO3605" s="4">
        <v>0</v>
      </c>
      <c r="AP3605" s="4">
        <v>20</v>
      </c>
      <c r="AQ3605" s="4">
        <v>29</v>
      </c>
      <c r="AR3605" s="3" t="s">
        <v>62</v>
      </c>
      <c r="AS3605" s="3" t="s">
        <v>62</v>
      </c>
      <c r="AT3605" s="3" t="s">
        <v>62</v>
      </c>
      <c r="AV3605" s="6" t="str">
        <f>HYPERLINK("http://mcgill.on.worldcat.org/oclc/53392996","Catalog Record")</f>
        <v>Catalog Record</v>
      </c>
      <c r="AW3605" s="6" t="str">
        <f>HYPERLINK("http://www.worldcat.org/oclc/53392996","WorldCat Record")</f>
        <v>WorldCat Record</v>
      </c>
      <c r="AX3605" s="3" t="s">
        <v>34803</v>
      </c>
      <c r="AY3605" s="3" t="s">
        <v>34804</v>
      </c>
      <c r="AZ3605" s="3" t="s">
        <v>34805</v>
      </c>
      <c r="BA3605" s="3" t="s">
        <v>34805</v>
      </c>
      <c r="BB3605" s="3" t="s">
        <v>34806</v>
      </c>
      <c r="BC3605" s="3" t="s">
        <v>102</v>
      </c>
      <c r="BD3605" s="3" t="s">
        <v>68</v>
      </c>
      <c r="BE3605" s="3" t="s">
        <v>34807</v>
      </c>
      <c r="BF3605" s="3" t="s">
        <v>34806</v>
      </c>
      <c r="BG3605" s="3" t="s">
        <v>34808</v>
      </c>
    </row>
    <row r="3606" spans="1:59" ht="58" x14ac:dyDescent="0.35">
      <c r="A3606" s="2" t="s">
        <v>59</v>
      </c>
      <c r="B3606" s="2" t="s">
        <v>60</v>
      </c>
      <c r="C3606" s="2" t="s">
        <v>34809</v>
      </c>
      <c r="D3606" s="2" t="s">
        <v>34810</v>
      </c>
      <c r="E3606" s="2" t="s">
        <v>34811</v>
      </c>
      <c r="G3606" s="3" t="s">
        <v>62</v>
      </c>
      <c r="I3606" s="3" t="s">
        <v>62</v>
      </c>
      <c r="J3606" s="3" t="s">
        <v>62</v>
      </c>
      <c r="K3606" s="3" t="s">
        <v>63</v>
      </c>
      <c r="L3606" s="2" t="s">
        <v>34812</v>
      </c>
      <c r="M3606" s="2" t="s">
        <v>34813</v>
      </c>
      <c r="N3606" s="3" t="s">
        <v>838</v>
      </c>
      <c r="P3606" s="3" t="s">
        <v>64</v>
      </c>
      <c r="R3606" s="3" t="s">
        <v>34126</v>
      </c>
      <c r="S3606" s="4">
        <v>7</v>
      </c>
      <c r="T3606" s="4">
        <v>7</v>
      </c>
      <c r="U3606" s="5" t="s">
        <v>7391</v>
      </c>
      <c r="V3606" s="5" t="s">
        <v>7391</v>
      </c>
      <c r="W3606" s="5" t="s">
        <v>67</v>
      </c>
      <c r="X3606" s="5" t="s">
        <v>67</v>
      </c>
      <c r="Y3606" s="4">
        <v>207</v>
      </c>
      <c r="Z3606" s="4">
        <v>19</v>
      </c>
      <c r="AA3606" s="4">
        <v>22</v>
      </c>
      <c r="AB3606" s="4">
        <v>1</v>
      </c>
      <c r="AC3606" s="4">
        <v>1</v>
      </c>
      <c r="AD3606" s="4">
        <v>67</v>
      </c>
      <c r="AE3606" s="4">
        <v>68</v>
      </c>
      <c r="AF3606" s="4">
        <v>0</v>
      </c>
      <c r="AG3606" s="4">
        <v>0</v>
      </c>
      <c r="AH3606" s="4">
        <v>60</v>
      </c>
      <c r="AI3606" s="4">
        <v>60</v>
      </c>
      <c r="AJ3606" s="4">
        <v>15</v>
      </c>
      <c r="AK3606" s="4">
        <v>15</v>
      </c>
      <c r="AL3606" s="4">
        <v>36</v>
      </c>
      <c r="AM3606" s="4">
        <v>36</v>
      </c>
      <c r="AN3606" s="4">
        <v>0</v>
      </c>
      <c r="AO3606" s="4">
        <v>0</v>
      </c>
      <c r="AP3606" s="4">
        <v>16</v>
      </c>
      <c r="AQ3606" s="4">
        <v>17</v>
      </c>
      <c r="AR3606" s="3" t="s">
        <v>62</v>
      </c>
      <c r="AS3606" s="3" t="s">
        <v>62</v>
      </c>
      <c r="AT3606" s="3" t="s">
        <v>61</v>
      </c>
      <c r="AU3606" s="6" t="str">
        <f>HYPERLINK("http://catalog.hathitrust.org/Record/001221273","HathiTrust Record")</f>
        <v>HathiTrust Record</v>
      </c>
      <c r="AV3606" s="6" t="str">
        <f>HYPERLINK("http://mcgill.on.worldcat.org/oclc/491259","Catalog Record")</f>
        <v>Catalog Record</v>
      </c>
      <c r="AW3606" s="6" t="str">
        <f>HYPERLINK("http://www.worldcat.org/oclc/491259","WorldCat Record")</f>
        <v>WorldCat Record</v>
      </c>
      <c r="AX3606" s="3" t="s">
        <v>34814</v>
      </c>
      <c r="AY3606" s="3" t="s">
        <v>34815</v>
      </c>
      <c r="AZ3606" s="3" t="s">
        <v>34816</v>
      </c>
      <c r="BA3606" s="3" t="s">
        <v>34816</v>
      </c>
      <c r="BB3606" s="3" t="s">
        <v>34817</v>
      </c>
      <c r="BC3606" s="3" t="s">
        <v>102</v>
      </c>
      <c r="BD3606" s="3" t="s">
        <v>68</v>
      </c>
      <c r="BF3606" s="3" t="s">
        <v>34817</v>
      </c>
      <c r="BG3606" s="3" t="s">
        <v>34818</v>
      </c>
    </row>
    <row r="3607" spans="1:59" ht="58" x14ac:dyDescent="0.35">
      <c r="A3607" s="2" t="s">
        <v>89</v>
      </c>
      <c r="B3607" s="2" t="s">
        <v>90</v>
      </c>
      <c r="C3607" s="2" t="s">
        <v>34819</v>
      </c>
      <c r="D3607" s="2" t="s">
        <v>34820</v>
      </c>
      <c r="E3607" s="2" t="s">
        <v>34821</v>
      </c>
      <c r="G3607" s="3" t="s">
        <v>62</v>
      </c>
      <c r="I3607" s="3" t="s">
        <v>62</v>
      </c>
      <c r="J3607" s="3" t="s">
        <v>62</v>
      </c>
      <c r="K3607" s="3" t="s">
        <v>63</v>
      </c>
      <c r="L3607" s="2" t="s">
        <v>34822</v>
      </c>
      <c r="M3607" s="2" t="s">
        <v>34823</v>
      </c>
      <c r="N3607" s="3" t="s">
        <v>466</v>
      </c>
      <c r="P3607" s="3" t="s">
        <v>64</v>
      </c>
      <c r="Q3607" s="2" t="s">
        <v>34824</v>
      </c>
      <c r="R3607" s="3" t="s">
        <v>34126</v>
      </c>
      <c r="S3607" s="4">
        <v>3</v>
      </c>
      <c r="T3607" s="4">
        <v>3</v>
      </c>
      <c r="U3607" s="5" t="s">
        <v>1723</v>
      </c>
      <c r="V3607" s="5" t="s">
        <v>1723</v>
      </c>
      <c r="W3607" s="5" t="s">
        <v>67</v>
      </c>
      <c r="X3607" s="5" t="s">
        <v>67</v>
      </c>
      <c r="Y3607" s="4">
        <v>41</v>
      </c>
      <c r="Z3607" s="4">
        <v>8</v>
      </c>
      <c r="AA3607" s="4">
        <v>10</v>
      </c>
      <c r="AB3607" s="4">
        <v>2</v>
      </c>
      <c r="AC3607" s="4">
        <v>4</v>
      </c>
      <c r="AD3607" s="4">
        <v>14</v>
      </c>
      <c r="AE3607" s="4">
        <v>15</v>
      </c>
      <c r="AF3607" s="4">
        <v>1</v>
      </c>
      <c r="AG3607" s="4">
        <v>2</v>
      </c>
      <c r="AH3607" s="4">
        <v>12</v>
      </c>
      <c r="AI3607" s="4">
        <v>13</v>
      </c>
      <c r="AJ3607" s="4">
        <v>6</v>
      </c>
      <c r="AK3607" s="4">
        <v>7</v>
      </c>
      <c r="AL3607" s="4">
        <v>4</v>
      </c>
      <c r="AM3607" s="4">
        <v>4</v>
      </c>
      <c r="AN3607" s="4">
        <v>0</v>
      </c>
      <c r="AO3607" s="4">
        <v>0</v>
      </c>
      <c r="AP3607" s="4">
        <v>6</v>
      </c>
      <c r="AQ3607" s="4">
        <v>7</v>
      </c>
      <c r="AR3607" s="3" t="s">
        <v>62</v>
      </c>
      <c r="AS3607" s="3" t="s">
        <v>62</v>
      </c>
      <c r="AT3607" s="3" t="s">
        <v>61</v>
      </c>
      <c r="AU3607" s="6" t="str">
        <f>HYPERLINK("http://catalog.hathitrust.org/Record/010573700","HathiTrust Record")</f>
        <v>HathiTrust Record</v>
      </c>
      <c r="AV3607" s="6" t="str">
        <f>HYPERLINK("http://mcgill.on.worldcat.org/oclc/26931789","Catalog Record")</f>
        <v>Catalog Record</v>
      </c>
      <c r="AW3607" s="6" t="str">
        <f>HYPERLINK("http://www.worldcat.org/oclc/26931789","WorldCat Record")</f>
        <v>WorldCat Record</v>
      </c>
      <c r="AX3607" s="3" t="s">
        <v>34825</v>
      </c>
      <c r="AY3607" s="3" t="s">
        <v>34826</v>
      </c>
      <c r="AZ3607" s="3" t="s">
        <v>34827</v>
      </c>
      <c r="BA3607" s="3" t="s">
        <v>34827</v>
      </c>
      <c r="BB3607" s="3" t="s">
        <v>34828</v>
      </c>
      <c r="BC3607" s="3" t="s">
        <v>102</v>
      </c>
      <c r="BD3607" s="3" t="s">
        <v>68</v>
      </c>
      <c r="BE3607" s="3" t="s">
        <v>34829</v>
      </c>
      <c r="BF3607" s="3" t="s">
        <v>34828</v>
      </c>
      <c r="BG3607" s="3" t="s">
        <v>34830</v>
      </c>
    </row>
    <row r="3608" spans="1:59" ht="58" x14ac:dyDescent="0.35">
      <c r="A3608" s="2" t="s">
        <v>59</v>
      </c>
      <c r="B3608" s="2" t="s">
        <v>60</v>
      </c>
      <c r="C3608" s="2" t="s">
        <v>34831</v>
      </c>
      <c r="D3608" s="2" t="s">
        <v>34832</v>
      </c>
      <c r="E3608" s="2" t="s">
        <v>34833</v>
      </c>
      <c r="G3608" s="3" t="s">
        <v>62</v>
      </c>
      <c r="I3608" s="3" t="s">
        <v>62</v>
      </c>
      <c r="J3608" s="3" t="s">
        <v>62</v>
      </c>
      <c r="K3608" s="3" t="s">
        <v>63</v>
      </c>
      <c r="M3608" s="2" t="s">
        <v>34834</v>
      </c>
      <c r="N3608" s="3" t="s">
        <v>285</v>
      </c>
      <c r="P3608" s="3" t="s">
        <v>64</v>
      </c>
      <c r="R3608" s="3" t="s">
        <v>34126</v>
      </c>
      <c r="S3608" s="4">
        <v>5</v>
      </c>
      <c r="T3608" s="4">
        <v>5</v>
      </c>
      <c r="U3608" s="5" t="s">
        <v>34835</v>
      </c>
      <c r="V3608" s="5" t="s">
        <v>34835</v>
      </c>
      <c r="W3608" s="5" t="s">
        <v>67</v>
      </c>
      <c r="X3608" s="5" t="s">
        <v>67</v>
      </c>
      <c r="Y3608" s="4">
        <v>99</v>
      </c>
      <c r="Z3608" s="4">
        <v>8</v>
      </c>
      <c r="AA3608" s="4">
        <v>8</v>
      </c>
      <c r="AB3608" s="4">
        <v>1</v>
      </c>
      <c r="AC3608" s="4">
        <v>1</v>
      </c>
      <c r="AD3608" s="4">
        <v>45</v>
      </c>
      <c r="AE3608" s="4">
        <v>45</v>
      </c>
      <c r="AF3608" s="4">
        <v>0</v>
      </c>
      <c r="AG3608" s="4">
        <v>0</v>
      </c>
      <c r="AH3608" s="4">
        <v>41</v>
      </c>
      <c r="AI3608" s="4">
        <v>41</v>
      </c>
      <c r="AJ3608" s="4">
        <v>6</v>
      </c>
      <c r="AK3608" s="4">
        <v>6</v>
      </c>
      <c r="AL3608" s="4">
        <v>23</v>
      </c>
      <c r="AM3608" s="4">
        <v>23</v>
      </c>
      <c r="AN3608" s="4">
        <v>0</v>
      </c>
      <c r="AO3608" s="4">
        <v>0</v>
      </c>
      <c r="AP3608" s="4">
        <v>6</v>
      </c>
      <c r="AQ3608" s="4">
        <v>6</v>
      </c>
      <c r="AR3608" s="3" t="s">
        <v>62</v>
      </c>
      <c r="AS3608" s="3" t="s">
        <v>62</v>
      </c>
      <c r="AT3608" s="3" t="s">
        <v>62</v>
      </c>
      <c r="AV3608" s="6" t="str">
        <f>HYPERLINK("http://mcgill.on.worldcat.org/oclc/7542944","Catalog Record")</f>
        <v>Catalog Record</v>
      </c>
      <c r="AW3608" s="6" t="str">
        <f>HYPERLINK("http://www.worldcat.org/oclc/7542944","WorldCat Record")</f>
        <v>WorldCat Record</v>
      </c>
      <c r="AX3608" s="3" t="s">
        <v>34836</v>
      </c>
      <c r="AY3608" s="3" t="s">
        <v>34837</v>
      </c>
      <c r="AZ3608" s="3" t="s">
        <v>34838</v>
      </c>
      <c r="BA3608" s="3" t="s">
        <v>34838</v>
      </c>
      <c r="BB3608" s="3" t="s">
        <v>34839</v>
      </c>
      <c r="BC3608" s="3" t="s">
        <v>102</v>
      </c>
      <c r="BD3608" s="3" t="s">
        <v>68</v>
      </c>
      <c r="BE3608" s="3" t="s">
        <v>34840</v>
      </c>
      <c r="BF3608" s="3" t="s">
        <v>34839</v>
      </c>
      <c r="BG3608" s="3" t="s">
        <v>34841</v>
      </c>
    </row>
    <row r="3609" spans="1:59" ht="58" x14ac:dyDescent="0.35">
      <c r="A3609" s="2" t="s">
        <v>89</v>
      </c>
      <c r="B3609" s="2" t="s">
        <v>90</v>
      </c>
      <c r="C3609" s="2" t="s">
        <v>34842</v>
      </c>
      <c r="D3609" s="2" t="s">
        <v>34843</v>
      </c>
      <c r="E3609" s="2" t="s">
        <v>34844</v>
      </c>
      <c r="G3609" s="3" t="s">
        <v>62</v>
      </c>
      <c r="I3609" s="3" t="s">
        <v>62</v>
      </c>
      <c r="J3609" s="3" t="s">
        <v>62</v>
      </c>
      <c r="K3609" s="3" t="s">
        <v>63</v>
      </c>
      <c r="L3609" s="2" t="s">
        <v>34845</v>
      </c>
      <c r="M3609" s="2" t="s">
        <v>34846</v>
      </c>
      <c r="N3609" s="3" t="s">
        <v>2975</v>
      </c>
      <c r="P3609" s="3" t="s">
        <v>64</v>
      </c>
      <c r="Q3609" s="2" t="s">
        <v>34847</v>
      </c>
      <c r="R3609" s="3" t="s">
        <v>34126</v>
      </c>
      <c r="S3609" s="4">
        <v>7</v>
      </c>
      <c r="T3609" s="4">
        <v>7</v>
      </c>
      <c r="U3609" s="5" t="s">
        <v>5894</v>
      </c>
      <c r="V3609" s="5" t="s">
        <v>5894</v>
      </c>
      <c r="W3609" s="5" t="s">
        <v>67</v>
      </c>
      <c r="X3609" s="5" t="s">
        <v>67</v>
      </c>
      <c r="Y3609" s="4">
        <v>175</v>
      </c>
      <c r="Z3609" s="4">
        <v>16</v>
      </c>
      <c r="AA3609" s="4">
        <v>17</v>
      </c>
      <c r="AB3609" s="4">
        <v>2</v>
      </c>
      <c r="AC3609" s="4">
        <v>3</v>
      </c>
      <c r="AD3609" s="4">
        <v>81</v>
      </c>
      <c r="AE3609" s="4">
        <v>82</v>
      </c>
      <c r="AF3609" s="4">
        <v>0</v>
      </c>
      <c r="AG3609" s="4">
        <v>1</v>
      </c>
      <c r="AH3609" s="4">
        <v>75</v>
      </c>
      <c r="AI3609" s="4">
        <v>76</v>
      </c>
      <c r="AJ3609" s="4">
        <v>13</v>
      </c>
      <c r="AK3609" s="4">
        <v>14</v>
      </c>
      <c r="AL3609" s="4">
        <v>44</v>
      </c>
      <c r="AM3609" s="4">
        <v>44</v>
      </c>
      <c r="AN3609" s="4">
        <v>0</v>
      </c>
      <c r="AO3609" s="4">
        <v>0</v>
      </c>
      <c r="AP3609" s="4">
        <v>13</v>
      </c>
      <c r="AQ3609" s="4">
        <v>14</v>
      </c>
      <c r="AR3609" s="3" t="s">
        <v>62</v>
      </c>
      <c r="AS3609" s="3" t="s">
        <v>62</v>
      </c>
      <c r="AT3609" s="3" t="s">
        <v>61</v>
      </c>
      <c r="AU3609" s="6" t="str">
        <f>HYPERLINK("http://catalog.hathitrust.org/Record/003558320","HathiTrust Record")</f>
        <v>HathiTrust Record</v>
      </c>
      <c r="AV3609" s="6" t="str">
        <f>HYPERLINK("http://mcgill.on.worldcat.org/oclc/46985295","Catalog Record")</f>
        <v>Catalog Record</v>
      </c>
      <c r="AW3609" s="6" t="str">
        <f>HYPERLINK("http://www.worldcat.org/oclc/46985295","WorldCat Record")</f>
        <v>WorldCat Record</v>
      </c>
      <c r="AX3609" s="3" t="s">
        <v>34848</v>
      </c>
      <c r="AY3609" s="3" t="s">
        <v>34849</v>
      </c>
      <c r="AZ3609" s="3" t="s">
        <v>34850</v>
      </c>
      <c r="BA3609" s="3" t="s">
        <v>34850</v>
      </c>
      <c r="BB3609" s="3" t="s">
        <v>34851</v>
      </c>
      <c r="BC3609" s="3" t="s">
        <v>102</v>
      </c>
      <c r="BD3609" s="3" t="s">
        <v>68</v>
      </c>
      <c r="BE3609" s="3" t="s">
        <v>34852</v>
      </c>
      <c r="BF3609" s="3" t="s">
        <v>34851</v>
      </c>
      <c r="BG3609" s="3" t="s">
        <v>34853</v>
      </c>
    </row>
    <row r="3610" spans="1:59" ht="58" x14ac:dyDescent="0.35">
      <c r="A3610" s="2" t="s">
        <v>89</v>
      </c>
      <c r="B3610" s="2" t="s">
        <v>90</v>
      </c>
      <c r="C3610" s="2" t="s">
        <v>34854</v>
      </c>
      <c r="D3610" s="2" t="s">
        <v>34855</v>
      </c>
      <c r="E3610" s="2" t="s">
        <v>34856</v>
      </c>
      <c r="G3610" s="3" t="s">
        <v>62</v>
      </c>
      <c r="I3610" s="3" t="s">
        <v>62</v>
      </c>
      <c r="J3610" s="3" t="s">
        <v>62</v>
      </c>
      <c r="K3610" s="3" t="s">
        <v>63</v>
      </c>
      <c r="L3610" s="2" t="s">
        <v>34857</v>
      </c>
      <c r="M3610" s="2" t="s">
        <v>34858</v>
      </c>
      <c r="N3610" s="3" t="s">
        <v>726</v>
      </c>
      <c r="P3610" s="3" t="s">
        <v>64</v>
      </c>
      <c r="R3610" s="3" t="s">
        <v>34126</v>
      </c>
      <c r="S3610" s="4">
        <v>2</v>
      </c>
      <c r="T3610" s="4">
        <v>2</v>
      </c>
      <c r="U3610" s="5" t="s">
        <v>31569</v>
      </c>
      <c r="V3610" s="5" t="s">
        <v>31569</v>
      </c>
      <c r="W3610" s="5" t="s">
        <v>67</v>
      </c>
      <c r="X3610" s="5" t="s">
        <v>67</v>
      </c>
      <c r="Y3610" s="4">
        <v>254</v>
      </c>
      <c r="Z3610" s="4">
        <v>11</v>
      </c>
      <c r="AA3610" s="4">
        <v>20</v>
      </c>
      <c r="AB3610" s="4">
        <v>3</v>
      </c>
      <c r="AC3610" s="4">
        <v>8</v>
      </c>
      <c r="AD3610" s="4">
        <v>46</v>
      </c>
      <c r="AE3610" s="4">
        <v>62</v>
      </c>
      <c r="AF3610" s="4">
        <v>1</v>
      </c>
      <c r="AG3610" s="4">
        <v>3</v>
      </c>
      <c r="AH3610" s="4">
        <v>43</v>
      </c>
      <c r="AI3610" s="4">
        <v>53</v>
      </c>
      <c r="AJ3610" s="4">
        <v>3</v>
      </c>
      <c r="AK3610" s="4">
        <v>7</v>
      </c>
      <c r="AL3610" s="4">
        <v>28</v>
      </c>
      <c r="AM3610" s="4">
        <v>34</v>
      </c>
      <c r="AN3610" s="4">
        <v>0</v>
      </c>
      <c r="AO3610" s="4">
        <v>0</v>
      </c>
      <c r="AP3610" s="4">
        <v>5</v>
      </c>
      <c r="AQ3610" s="4">
        <v>10</v>
      </c>
      <c r="AR3610" s="3" t="s">
        <v>62</v>
      </c>
      <c r="AS3610" s="3" t="s">
        <v>62</v>
      </c>
      <c r="AT3610" s="3" t="s">
        <v>62</v>
      </c>
      <c r="AV3610" s="6" t="str">
        <f>HYPERLINK("http://mcgill.on.worldcat.org/oclc/983799177","Catalog Record")</f>
        <v>Catalog Record</v>
      </c>
      <c r="AW3610" s="6" t="str">
        <f>HYPERLINK("http://www.worldcat.org/oclc/983799177","WorldCat Record")</f>
        <v>WorldCat Record</v>
      </c>
      <c r="AX3610" s="3" t="s">
        <v>34859</v>
      </c>
      <c r="AY3610" s="3" t="s">
        <v>34860</v>
      </c>
      <c r="AZ3610" s="3" t="s">
        <v>34861</v>
      </c>
      <c r="BA3610" s="3" t="s">
        <v>34861</v>
      </c>
      <c r="BB3610" s="3" t="s">
        <v>34862</v>
      </c>
      <c r="BC3610" s="3" t="s">
        <v>102</v>
      </c>
      <c r="BD3610" s="3" t="s">
        <v>68</v>
      </c>
      <c r="BE3610" s="3" t="s">
        <v>34863</v>
      </c>
      <c r="BF3610" s="3" t="s">
        <v>34862</v>
      </c>
      <c r="BG3610" s="3" t="s">
        <v>34864</v>
      </c>
    </row>
    <row r="3611" spans="1:59" ht="58" x14ac:dyDescent="0.35">
      <c r="A3611" s="2" t="s">
        <v>59</v>
      </c>
      <c r="B3611" s="2" t="s">
        <v>60</v>
      </c>
      <c r="C3611" s="2" t="s">
        <v>34865</v>
      </c>
      <c r="D3611" s="2" t="s">
        <v>34866</v>
      </c>
      <c r="E3611" s="2" t="s">
        <v>34867</v>
      </c>
      <c r="G3611" s="3" t="s">
        <v>62</v>
      </c>
      <c r="I3611" s="3" t="s">
        <v>62</v>
      </c>
      <c r="J3611" s="3" t="s">
        <v>62</v>
      </c>
      <c r="K3611" s="3" t="s">
        <v>63</v>
      </c>
      <c r="L3611" s="2" t="s">
        <v>34868</v>
      </c>
      <c r="M3611" s="2" t="s">
        <v>34869</v>
      </c>
      <c r="N3611" s="3" t="s">
        <v>115</v>
      </c>
      <c r="P3611" s="3" t="s">
        <v>85</v>
      </c>
      <c r="R3611" s="3" t="s">
        <v>34126</v>
      </c>
      <c r="S3611" s="4">
        <v>2</v>
      </c>
      <c r="T3611" s="4">
        <v>2</v>
      </c>
      <c r="U3611" s="5" t="s">
        <v>34870</v>
      </c>
      <c r="V3611" s="5" t="s">
        <v>34870</v>
      </c>
      <c r="W3611" s="5" t="s">
        <v>67</v>
      </c>
      <c r="X3611" s="5" t="s">
        <v>67</v>
      </c>
      <c r="Y3611" s="4">
        <v>9</v>
      </c>
      <c r="Z3611" s="4">
        <v>9</v>
      </c>
      <c r="AA3611" s="4">
        <v>42</v>
      </c>
      <c r="AB3611" s="4">
        <v>1</v>
      </c>
      <c r="AC3611" s="4">
        <v>14</v>
      </c>
      <c r="AD3611" s="4">
        <v>7</v>
      </c>
      <c r="AE3611" s="4">
        <v>44</v>
      </c>
      <c r="AF3611" s="4">
        <v>0</v>
      </c>
      <c r="AG3611" s="4">
        <v>5</v>
      </c>
      <c r="AH3611" s="4">
        <v>3</v>
      </c>
      <c r="AI3611" s="4">
        <v>27</v>
      </c>
      <c r="AJ3611" s="4">
        <v>6</v>
      </c>
      <c r="AK3611" s="4">
        <v>21</v>
      </c>
      <c r="AL3611" s="4">
        <v>1</v>
      </c>
      <c r="AM3611" s="4">
        <v>7</v>
      </c>
      <c r="AN3611" s="4">
        <v>0</v>
      </c>
      <c r="AO3611" s="4">
        <v>0</v>
      </c>
      <c r="AP3611" s="4">
        <v>6</v>
      </c>
      <c r="AQ3611" s="4">
        <v>25</v>
      </c>
      <c r="AR3611" s="3" t="s">
        <v>61</v>
      </c>
      <c r="AS3611" s="3" t="s">
        <v>62</v>
      </c>
      <c r="AT3611" s="3" t="s">
        <v>62</v>
      </c>
      <c r="AV3611" s="6" t="str">
        <f>HYPERLINK("http://mcgill.on.worldcat.org/oclc/321011940","Catalog Record")</f>
        <v>Catalog Record</v>
      </c>
      <c r="AW3611" s="6" t="str">
        <f>HYPERLINK("http://www.worldcat.org/oclc/321011940","WorldCat Record")</f>
        <v>WorldCat Record</v>
      </c>
      <c r="AX3611" s="3" t="s">
        <v>34871</v>
      </c>
      <c r="AY3611" s="3" t="s">
        <v>34872</v>
      </c>
      <c r="AZ3611" s="3" t="s">
        <v>34873</v>
      </c>
      <c r="BA3611" s="3" t="s">
        <v>34873</v>
      </c>
      <c r="BB3611" s="3" t="s">
        <v>34874</v>
      </c>
      <c r="BC3611" s="3" t="s">
        <v>102</v>
      </c>
      <c r="BD3611" s="3" t="s">
        <v>68</v>
      </c>
      <c r="BE3611" s="3" t="s">
        <v>34875</v>
      </c>
      <c r="BF3611" s="3" t="s">
        <v>34874</v>
      </c>
      <c r="BG3611" s="3" t="s">
        <v>34876</v>
      </c>
    </row>
    <row r="3612" spans="1:59" ht="58" x14ac:dyDescent="0.35">
      <c r="A3612" s="2" t="s">
        <v>89</v>
      </c>
      <c r="B3612" s="2" t="s">
        <v>90</v>
      </c>
      <c r="C3612" s="2" t="s">
        <v>34877</v>
      </c>
      <c r="D3612" s="2" t="s">
        <v>34878</v>
      </c>
      <c r="E3612" s="2" t="s">
        <v>34879</v>
      </c>
      <c r="G3612" s="3" t="s">
        <v>62</v>
      </c>
      <c r="I3612" s="3" t="s">
        <v>62</v>
      </c>
      <c r="J3612" s="3" t="s">
        <v>62</v>
      </c>
      <c r="K3612" s="3" t="s">
        <v>63</v>
      </c>
      <c r="L3612" s="2" t="s">
        <v>34868</v>
      </c>
      <c r="M3612" s="2" t="s">
        <v>9954</v>
      </c>
      <c r="N3612" s="3" t="s">
        <v>2000</v>
      </c>
      <c r="P3612" s="3" t="s">
        <v>85</v>
      </c>
      <c r="R3612" s="3" t="s">
        <v>34126</v>
      </c>
      <c r="S3612" s="4">
        <v>3</v>
      </c>
      <c r="T3612" s="4">
        <v>3</v>
      </c>
      <c r="U3612" s="5" t="s">
        <v>34870</v>
      </c>
      <c r="V3612" s="5" t="s">
        <v>34870</v>
      </c>
      <c r="W3612" s="5" t="s">
        <v>67</v>
      </c>
      <c r="X3612" s="5" t="s">
        <v>67</v>
      </c>
      <c r="Y3612" s="4">
        <v>44</v>
      </c>
      <c r="Z3612" s="4">
        <v>25</v>
      </c>
      <c r="AA3612" s="4">
        <v>29</v>
      </c>
      <c r="AB3612" s="4">
        <v>9</v>
      </c>
      <c r="AC3612" s="4">
        <v>9</v>
      </c>
      <c r="AD3612" s="4">
        <v>17</v>
      </c>
      <c r="AE3612" s="4">
        <v>20</v>
      </c>
      <c r="AF3612" s="4">
        <v>3</v>
      </c>
      <c r="AG3612" s="4">
        <v>3</v>
      </c>
      <c r="AH3612" s="4">
        <v>12</v>
      </c>
      <c r="AI3612" s="4">
        <v>14</v>
      </c>
      <c r="AJ3612" s="4">
        <v>13</v>
      </c>
      <c r="AK3612" s="4">
        <v>16</v>
      </c>
      <c r="AL3612" s="4">
        <v>4</v>
      </c>
      <c r="AM3612" s="4">
        <v>4</v>
      </c>
      <c r="AN3612" s="4">
        <v>0</v>
      </c>
      <c r="AO3612" s="4">
        <v>0</v>
      </c>
      <c r="AP3612" s="4">
        <v>11</v>
      </c>
      <c r="AQ3612" s="4">
        <v>14</v>
      </c>
      <c r="AR3612" s="3" t="s">
        <v>61</v>
      </c>
      <c r="AS3612" s="3" t="s">
        <v>62</v>
      </c>
      <c r="AT3612" s="3" t="s">
        <v>62</v>
      </c>
      <c r="AV3612" s="6" t="str">
        <f>HYPERLINK("http://mcgill.on.worldcat.org/oclc/35977590","Catalog Record")</f>
        <v>Catalog Record</v>
      </c>
      <c r="AW3612" s="6" t="str">
        <f>HYPERLINK("http://www.worldcat.org/oclc/35977590","WorldCat Record")</f>
        <v>WorldCat Record</v>
      </c>
      <c r="AX3612" s="3" t="s">
        <v>34880</v>
      </c>
      <c r="AY3612" s="3" t="s">
        <v>34881</v>
      </c>
      <c r="AZ3612" s="3" t="s">
        <v>34882</v>
      </c>
      <c r="BA3612" s="3" t="s">
        <v>34882</v>
      </c>
      <c r="BB3612" s="3" t="s">
        <v>34883</v>
      </c>
      <c r="BC3612" s="3" t="s">
        <v>102</v>
      </c>
      <c r="BD3612" s="3" t="s">
        <v>68</v>
      </c>
      <c r="BE3612" s="3" t="s">
        <v>34884</v>
      </c>
      <c r="BF3612" s="3" t="s">
        <v>34883</v>
      </c>
      <c r="BG3612" s="3" t="s">
        <v>34885</v>
      </c>
    </row>
    <row r="3613" spans="1:59" ht="58" x14ac:dyDescent="0.35">
      <c r="A3613" s="2" t="s">
        <v>89</v>
      </c>
      <c r="B3613" s="2" t="s">
        <v>90</v>
      </c>
      <c r="C3613" s="2" t="s">
        <v>34886</v>
      </c>
      <c r="D3613" s="2" t="s">
        <v>34887</v>
      </c>
      <c r="E3613" s="2" t="s">
        <v>34888</v>
      </c>
      <c r="G3613" s="3" t="s">
        <v>62</v>
      </c>
      <c r="I3613" s="3" t="s">
        <v>61</v>
      </c>
      <c r="J3613" s="3" t="s">
        <v>62</v>
      </c>
      <c r="K3613" s="3" t="s">
        <v>63</v>
      </c>
      <c r="L3613" s="2" t="s">
        <v>34889</v>
      </c>
      <c r="M3613" s="2" t="s">
        <v>34890</v>
      </c>
      <c r="N3613" s="3" t="s">
        <v>1195</v>
      </c>
      <c r="P3613" s="3" t="s">
        <v>64</v>
      </c>
      <c r="Q3613" s="2" t="s">
        <v>34891</v>
      </c>
      <c r="R3613" s="3" t="s">
        <v>34126</v>
      </c>
      <c r="S3613" s="4">
        <v>8</v>
      </c>
      <c r="T3613" s="4">
        <v>12</v>
      </c>
      <c r="U3613" s="5" t="s">
        <v>34892</v>
      </c>
      <c r="V3613" s="5" t="s">
        <v>34892</v>
      </c>
      <c r="W3613" s="5" t="s">
        <v>67</v>
      </c>
      <c r="X3613" s="5" t="s">
        <v>67</v>
      </c>
      <c r="Y3613" s="4">
        <v>300</v>
      </c>
      <c r="Z3613" s="4">
        <v>23</v>
      </c>
      <c r="AA3613" s="4">
        <v>23</v>
      </c>
      <c r="AB3613" s="4">
        <v>1</v>
      </c>
      <c r="AC3613" s="4">
        <v>1</v>
      </c>
      <c r="AD3613" s="4">
        <v>98</v>
      </c>
      <c r="AE3613" s="4">
        <v>98</v>
      </c>
      <c r="AF3613" s="4">
        <v>0</v>
      </c>
      <c r="AG3613" s="4">
        <v>0</v>
      </c>
      <c r="AH3613" s="4">
        <v>86</v>
      </c>
      <c r="AI3613" s="4">
        <v>86</v>
      </c>
      <c r="AJ3613" s="4">
        <v>13</v>
      </c>
      <c r="AK3613" s="4">
        <v>13</v>
      </c>
      <c r="AL3613" s="4">
        <v>52</v>
      </c>
      <c r="AM3613" s="4">
        <v>52</v>
      </c>
      <c r="AN3613" s="4">
        <v>0</v>
      </c>
      <c r="AO3613" s="4">
        <v>0</v>
      </c>
      <c r="AP3613" s="4">
        <v>17</v>
      </c>
      <c r="AQ3613" s="4">
        <v>17</v>
      </c>
      <c r="AR3613" s="3" t="s">
        <v>62</v>
      </c>
      <c r="AS3613" s="3" t="s">
        <v>62</v>
      </c>
      <c r="AT3613" s="3" t="s">
        <v>62</v>
      </c>
      <c r="AV3613" s="6" t="str">
        <f>HYPERLINK("http://mcgill.on.worldcat.org/oclc/62891595","Catalog Record")</f>
        <v>Catalog Record</v>
      </c>
      <c r="AW3613" s="6" t="str">
        <f>HYPERLINK("http://www.worldcat.org/oclc/62891595","WorldCat Record")</f>
        <v>WorldCat Record</v>
      </c>
      <c r="AX3613" s="3" t="s">
        <v>34893</v>
      </c>
      <c r="AY3613" s="3" t="s">
        <v>34894</v>
      </c>
      <c r="AZ3613" s="3" t="s">
        <v>34895</v>
      </c>
      <c r="BA3613" s="3" t="s">
        <v>34895</v>
      </c>
      <c r="BB3613" s="3" t="s">
        <v>34896</v>
      </c>
      <c r="BC3613" s="3" t="s">
        <v>102</v>
      </c>
      <c r="BD3613" s="3" t="s">
        <v>68</v>
      </c>
      <c r="BE3613" s="3" t="s">
        <v>34897</v>
      </c>
      <c r="BF3613" s="3" t="s">
        <v>34896</v>
      </c>
      <c r="BG3613" s="3" t="s">
        <v>34898</v>
      </c>
    </row>
    <row r="3614" spans="1:59" ht="58" x14ac:dyDescent="0.35">
      <c r="A3614" s="2" t="s">
        <v>89</v>
      </c>
      <c r="B3614" s="2" t="s">
        <v>90</v>
      </c>
      <c r="C3614" s="2" t="s">
        <v>34899</v>
      </c>
      <c r="D3614" s="2" t="s">
        <v>34900</v>
      </c>
      <c r="E3614" s="2" t="s">
        <v>34901</v>
      </c>
      <c r="G3614" s="3" t="s">
        <v>62</v>
      </c>
      <c r="I3614" s="3" t="s">
        <v>62</v>
      </c>
      <c r="J3614" s="3" t="s">
        <v>62</v>
      </c>
      <c r="K3614" s="3" t="s">
        <v>63</v>
      </c>
      <c r="M3614" s="2" t="s">
        <v>34902</v>
      </c>
      <c r="N3614" s="3" t="s">
        <v>712</v>
      </c>
      <c r="P3614" s="3" t="s">
        <v>85</v>
      </c>
      <c r="Q3614" s="2" t="s">
        <v>34903</v>
      </c>
      <c r="R3614" s="3" t="s">
        <v>34126</v>
      </c>
      <c r="S3614" s="4">
        <v>0</v>
      </c>
      <c r="T3614" s="4">
        <v>0</v>
      </c>
      <c r="W3614" s="5" t="s">
        <v>4805</v>
      </c>
      <c r="X3614" s="5" t="s">
        <v>4805</v>
      </c>
      <c r="Y3614" s="4">
        <v>25</v>
      </c>
      <c r="Z3614" s="4">
        <v>3</v>
      </c>
      <c r="AA3614" s="4">
        <v>5</v>
      </c>
      <c r="AB3614" s="4">
        <v>1</v>
      </c>
      <c r="AC3614" s="4">
        <v>3</v>
      </c>
      <c r="AD3614" s="4">
        <v>13</v>
      </c>
      <c r="AE3614" s="4">
        <v>14</v>
      </c>
      <c r="AF3614" s="4">
        <v>0</v>
      </c>
      <c r="AG3614" s="4">
        <v>1</v>
      </c>
      <c r="AH3614" s="4">
        <v>12</v>
      </c>
      <c r="AI3614" s="4">
        <v>12</v>
      </c>
      <c r="AJ3614" s="4">
        <v>1</v>
      </c>
      <c r="AK3614" s="4">
        <v>2</v>
      </c>
      <c r="AL3614" s="4">
        <v>10</v>
      </c>
      <c r="AM3614" s="4">
        <v>10</v>
      </c>
      <c r="AN3614" s="4">
        <v>0</v>
      </c>
      <c r="AO3614" s="4">
        <v>0</v>
      </c>
      <c r="AP3614" s="4">
        <v>1</v>
      </c>
      <c r="AQ3614" s="4">
        <v>2</v>
      </c>
      <c r="AR3614" s="3" t="s">
        <v>62</v>
      </c>
      <c r="AS3614" s="3" t="s">
        <v>62</v>
      </c>
      <c r="AT3614" s="3" t="s">
        <v>62</v>
      </c>
      <c r="AV3614" s="6" t="str">
        <f>HYPERLINK("http://mcgill.on.worldcat.org/oclc/871670880","Catalog Record")</f>
        <v>Catalog Record</v>
      </c>
      <c r="AW3614" s="6" t="str">
        <f>HYPERLINK("http://www.worldcat.org/oclc/871670880","WorldCat Record")</f>
        <v>WorldCat Record</v>
      </c>
      <c r="AX3614" s="3" t="s">
        <v>34904</v>
      </c>
      <c r="AY3614" s="3" t="s">
        <v>34905</v>
      </c>
      <c r="AZ3614" s="3" t="s">
        <v>34906</v>
      </c>
      <c r="BA3614" s="3" t="s">
        <v>34906</v>
      </c>
      <c r="BB3614" s="3" t="s">
        <v>34907</v>
      </c>
      <c r="BC3614" s="3" t="s">
        <v>102</v>
      </c>
      <c r="BD3614" s="3" t="s">
        <v>68</v>
      </c>
      <c r="BE3614" s="3" t="s">
        <v>34908</v>
      </c>
      <c r="BF3614" s="3" t="s">
        <v>34907</v>
      </c>
      <c r="BG3614" s="3" t="s">
        <v>34909</v>
      </c>
    </row>
    <row r="3615" spans="1:59" ht="72.5" x14ac:dyDescent="0.35">
      <c r="A3615" s="2" t="s">
        <v>89</v>
      </c>
      <c r="B3615" s="2" t="s">
        <v>1231</v>
      </c>
      <c r="C3615" s="2" t="s">
        <v>34910</v>
      </c>
      <c r="D3615" s="2" t="s">
        <v>34911</v>
      </c>
      <c r="E3615" s="2" t="s">
        <v>34912</v>
      </c>
      <c r="G3615" s="3" t="s">
        <v>62</v>
      </c>
      <c r="I3615" s="3" t="s">
        <v>62</v>
      </c>
      <c r="J3615" s="3" t="s">
        <v>62</v>
      </c>
      <c r="K3615" s="3" t="s">
        <v>63</v>
      </c>
      <c r="L3615" s="2" t="s">
        <v>34913</v>
      </c>
      <c r="M3615" s="2" t="s">
        <v>34914</v>
      </c>
      <c r="N3615" s="3" t="s">
        <v>553</v>
      </c>
      <c r="P3615" s="3" t="s">
        <v>64</v>
      </c>
      <c r="R3615" s="3" t="s">
        <v>34126</v>
      </c>
      <c r="S3615" s="4">
        <v>15</v>
      </c>
      <c r="T3615" s="4">
        <v>15</v>
      </c>
      <c r="U3615" s="5" t="s">
        <v>34915</v>
      </c>
      <c r="V3615" s="5" t="s">
        <v>34915</v>
      </c>
      <c r="W3615" s="5" t="s">
        <v>67</v>
      </c>
      <c r="X3615" s="5" t="s">
        <v>67</v>
      </c>
      <c r="Y3615" s="4">
        <v>335</v>
      </c>
      <c r="Z3615" s="4">
        <v>26</v>
      </c>
      <c r="AA3615" s="4">
        <v>48</v>
      </c>
      <c r="AB3615" s="4">
        <v>2</v>
      </c>
      <c r="AC3615" s="4">
        <v>6</v>
      </c>
      <c r="AD3615" s="4">
        <v>92</v>
      </c>
      <c r="AE3615" s="4">
        <v>128</v>
      </c>
      <c r="AF3615" s="4">
        <v>0</v>
      </c>
      <c r="AG3615" s="4">
        <v>3</v>
      </c>
      <c r="AH3615" s="4">
        <v>80</v>
      </c>
      <c r="AI3615" s="4">
        <v>104</v>
      </c>
      <c r="AJ3615" s="4">
        <v>13</v>
      </c>
      <c r="AK3615" s="4">
        <v>22</v>
      </c>
      <c r="AL3615" s="4">
        <v>44</v>
      </c>
      <c r="AM3615" s="4">
        <v>57</v>
      </c>
      <c r="AN3615" s="4">
        <v>0</v>
      </c>
      <c r="AO3615" s="4">
        <v>0</v>
      </c>
      <c r="AP3615" s="4">
        <v>18</v>
      </c>
      <c r="AQ3615" s="4">
        <v>32</v>
      </c>
      <c r="AR3615" s="3" t="s">
        <v>62</v>
      </c>
      <c r="AS3615" s="3" t="s">
        <v>62</v>
      </c>
      <c r="AT3615" s="3" t="s">
        <v>62</v>
      </c>
      <c r="AV3615" s="6" t="str">
        <f>HYPERLINK("http://mcgill.on.worldcat.org/oclc/41540251","Catalog Record")</f>
        <v>Catalog Record</v>
      </c>
      <c r="AW3615" s="6" t="str">
        <f>HYPERLINK("http://www.worldcat.org/oclc/41540251","WorldCat Record")</f>
        <v>WorldCat Record</v>
      </c>
      <c r="AX3615" s="3" t="s">
        <v>34916</v>
      </c>
      <c r="AY3615" s="3" t="s">
        <v>34917</v>
      </c>
      <c r="AZ3615" s="3" t="s">
        <v>34918</v>
      </c>
      <c r="BA3615" s="3" t="s">
        <v>34918</v>
      </c>
      <c r="BB3615" s="3" t="s">
        <v>34919</v>
      </c>
      <c r="BC3615" s="3" t="s">
        <v>102</v>
      </c>
      <c r="BD3615" s="3" t="s">
        <v>68</v>
      </c>
      <c r="BE3615" s="3" t="s">
        <v>34920</v>
      </c>
      <c r="BF3615" s="3" t="s">
        <v>34919</v>
      </c>
      <c r="BG3615" s="3" t="s">
        <v>34921</v>
      </c>
    </row>
    <row r="3616" spans="1:59" ht="58" x14ac:dyDescent="0.35">
      <c r="A3616" s="2" t="s">
        <v>59</v>
      </c>
      <c r="B3616" s="2" t="s">
        <v>60</v>
      </c>
      <c r="C3616" s="2" t="s">
        <v>34922</v>
      </c>
      <c r="D3616" s="2" t="s">
        <v>34923</v>
      </c>
      <c r="E3616" s="2" t="s">
        <v>34924</v>
      </c>
      <c r="G3616" s="3" t="s">
        <v>62</v>
      </c>
      <c r="I3616" s="3" t="s">
        <v>62</v>
      </c>
      <c r="J3616" s="3" t="s">
        <v>62</v>
      </c>
      <c r="K3616" s="3" t="s">
        <v>63</v>
      </c>
      <c r="L3616" s="2" t="s">
        <v>34925</v>
      </c>
      <c r="M3616" s="2" t="s">
        <v>34926</v>
      </c>
      <c r="N3616" s="3" t="s">
        <v>95</v>
      </c>
      <c r="P3616" s="3" t="s">
        <v>64</v>
      </c>
      <c r="R3616" s="3" t="s">
        <v>34126</v>
      </c>
      <c r="S3616" s="4">
        <v>9</v>
      </c>
      <c r="T3616" s="4">
        <v>9</v>
      </c>
      <c r="U3616" s="5" t="s">
        <v>34170</v>
      </c>
      <c r="V3616" s="5" t="s">
        <v>34170</v>
      </c>
      <c r="W3616" s="5" t="s">
        <v>67</v>
      </c>
      <c r="X3616" s="5" t="s">
        <v>67</v>
      </c>
      <c r="Y3616" s="4">
        <v>203</v>
      </c>
      <c r="Z3616" s="4">
        <v>15</v>
      </c>
      <c r="AA3616" s="4">
        <v>15</v>
      </c>
      <c r="AB3616" s="4">
        <v>3</v>
      </c>
      <c r="AC3616" s="4">
        <v>3</v>
      </c>
      <c r="AD3616" s="4">
        <v>47</v>
      </c>
      <c r="AE3616" s="4">
        <v>47</v>
      </c>
      <c r="AF3616" s="4">
        <v>1</v>
      </c>
      <c r="AG3616" s="4">
        <v>1</v>
      </c>
      <c r="AH3616" s="4">
        <v>42</v>
      </c>
      <c r="AI3616" s="4">
        <v>42</v>
      </c>
      <c r="AJ3616" s="4">
        <v>7</v>
      </c>
      <c r="AK3616" s="4">
        <v>7</v>
      </c>
      <c r="AL3616" s="4">
        <v>25</v>
      </c>
      <c r="AM3616" s="4">
        <v>25</v>
      </c>
      <c r="AN3616" s="4">
        <v>0</v>
      </c>
      <c r="AO3616" s="4">
        <v>0</v>
      </c>
      <c r="AP3616" s="4">
        <v>7</v>
      </c>
      <c r="AQ3616" s="4">
        <v>7</v>
      </c>
      <c r="AR3616" s="3" t="s">
        <v>62</v>
      </c>
      <c r="AS3616" s="3" t="s">
        <v>62</v>
      </c>
      <c r="AT3616" s="3" t="s">
        <v>62</v>
      </c>
      <c r="AV3616" s="6" t="str">
        <f>HYPERLINK("http://mcgill.on.worldcat.org/oclc/8115111","Catalog Record")</f>
        <v>Catalog Record</v>
      </c>
      <c r="AW3616" s="6" t="str">
        <f>HYPERLINK("http://www.worldcat.org/oclc/8115111","WorldCat Record")</f>
        <v>WorldCat Record</v>
      </c>
      <c r="AX3616" s="3" t="s">
        <v>34927</v>
      </c>
      <c r="AY3616" s="3" t="s">
        <v>34928</v>
      </c>
      <c r="AZ3616" s="3" t="s">
        <v>34929</v>
      </c>
      <c r="BA3616" s="3" t="s">
        <v>34929</v>
      </c>
      <c r="BB3616" s="3" t="s">
        <v>34930</v>
      </c>
      <c r="BC3616" s="3" t="s">
        <v>102</v>
      </c>
      <c r="BD3616" s="3" t="s">
        <v>68</v>
      </c>
      <c r="BE3616" s="3" t="s">
        <v>34931</v>
      </c>
      <c r="BF3616" s="3" t="s">
        <v>34930</v>
      </c>
      <c r="BG3616" s="3" t="s">
        <v>34932</v>
      </c>
    </row>
    <row r="3617" spans="1:59" ht="87" x14ac:dyDescent="0.35">
      <c r="A3617" s="2" t="s">
        <v>59</v>
      </c>
      <c r="B3617" s="2" t="s">
        <v>60</v>
      </c>
      <c r="C3617" s="2" t="s">
        <v>34933</v>
      </c>
      <c r="D3617" s="2" t="s">
        <v>34934</v>
      </c>
      <c r="E3617" s="2" t="s">
        <v>34935</v>
      </c>
      <c r="F3617" s="3" t="s">
        <v>34936</v>
      </c>
      <c r="G3617" s="3" t="s">
        <v>62</v>
      </c>
      <c r="I3617" s="3" t="s">
        <v>62</v>
      </c>
      <c r="J3617" s="3" t="s">
        <v>62</v>
      </c>
      <c r="K3617" s="3" t="s">
        <v>63</v>
      </c>
      <c r="L3617" s="2" t="s">
        <v>34937</v>
      </c>
      <c r="M3617" s="2" t="s">
        <v>34938</v>
      </c>
      <c r="N3617" s="3" t="s">
        <v>524</v>
      </c>
      <c r="P3617" s="3" t="s">
        <v>64</v>
      </c>
      <c r="Q3617" s="2" t="s">
        <v>34939</v>
      </c>
      <c r="R3617" s="3" t="s">
        <v>34126</v>
      </c>
      <c r="S3617" s="4">
        <v>9</v>
      </c>
      <c r="T3617" s="4">
        <v>9</v>
      </c>
      <c r="U3617" s="5" t="s">
        <v>34940</v>
      </c>
      <c r="V3617" s="5" t="s">
        <v>34940</v>
      </c>
      <c r="W3617" s="5" t="s">
        <v>67</v>
      </c>
      <c r="X3617" s="5" t="s">
        <v>67</v>
      </c>
      <c r="Y3617" s="4">
        <v>261</v>
      </c>
      <c r="Z3617" s="4">
        <v>48</v>
      </c>
      <c r="AA3617" s="4">
        <v>61</v>
      </c>
      <c r="AB3617" s="4">
        <v>4</v>
      </c>
      <c r="AC3617" s="4">
        <v>5</v>
      </c>
      <c r="AD3617" s="4">
        <v>91</v>
      </c>
      <c r="AE3617" s="4">
        <v>96</v>
      </c>
      <c r="AF3617" s="4">
        <v>0</v>
      </c>
      <c r="AG3617" s="4">
        <v>1</v>
      </c>
      <c r="AH3617" s="4">
        <v>69</v>
      </c>
      <c r="AI3617" s="4">
        <v>72</v>
      </c>
      <c r="AJ3617" s="4">
        <v>14</v>
      </c>
      <c r="AK3617" s="4">
        <v>19</v>
      </c>
      <c r="AL3617" s="4">
        <v>38</v>
      </c>
      <c r="AM3617" s="4">
        <v>39</v>
      </c>
      <c r="AN3617" s="4">
        <v>0</v>
      </c>
      <c r="AO3617" s="4">
        <v>0</v>
      </c>
      <c r="AP3617" s="4">
        <v>27</v>
      </c>
      <c r="AQ3617" s="4">
        <v>32</v>
      </c>
      <c r="AR3617" s="3" t="s">
        <v>61</v>
      </c>
      <c r="AS3617" s="3" t="s">
        <v>62</v>
      </c>
      <c r="AT3617" s="3" t="s">
        <v>62</v>
      </c>
      <c r="AV3617" s="6" t="str">
        <f>HYPERLINK("http://mcgill.on.worldcat.org/oclc/34143811","Catalog Record")</f>
        <v>Catalog Record</v>
      </c>
      <c r="AW3617" s="6" t="str">
        <f>HYPERLINK("http://www.worldcat.org/oclc/34143811","WorldCat Record")</f>
        <v>WorldCat Record</v>
      </c>
      <c r="AX3617" s="3" t="s">
        <v>34941</v>
      </c>
      <c r="AY3617" s="3" t="s">
        <v>34942</v>
      </c>
      <c r="AZ3617" s="3" t="s">
        <v>34943</v>
      </c>
      <c r="BA3617" s="3" t="s">
        <v>34943</v>
      </c>
      <c r="BB3617" s="3" t="s">
        <v>34944</v>
      </c>
      <c r="BC3617" s="3" t="s">
        <v>102</v>
      </c>
      <c r="BD3617" s="3" t="s">
        <v>68</v>
      </c>
      <c r="BE3617" s="3" t="s">
        <v>34945</v>
      </c>
      <c r="BF3617" s="3" t="s">
        <v>34944</v>
      </c>
      <c r="BG3617" s="3" t="s">
        <v>34946</v>
      </c>
    </row>
    <row r="3618" spans="1:59" ht="58" x14ac:dyDescent="0.35">
      <c r="A3618" s="2" t="s">
        <v>89</v>
      </c>
      <c r="B3618" s="2" t="s">
        <v>90</v>
      </c>
      <c r="C3618" s="2" t="s">
        <v>34947</v>
      </c>
      <c r="D3618" s="2" t="s">
        <v>34948</v>
      </c>
      <c r="E3618" s="2" t="s">
        <v>34949</v>
      </c>
      <c r="G3618" s="3" t="s">
        <v>62</v>
      </c>
      <c r="I3618" s="3" t="s">
        <v>62</v>
      </c>
      <c r="J3618" s="3" t="s">
        <v>62</v>
      </c>
      <c r="K3618" s="3" t="s">
        <v>63</v>
      </c>
      <c r="L3618" s="2" t="s">
        <v>34950</v>
      </c>
      <c r="M3618" s="2" t="s">
        <v>34951</v>
      </c>
      <c r="N3618" s="3" t="s">
        <v>640</v>
      </c>
      <c r="P3618" s="3" t="s">
        <v>64</v>
      </c>
      <c r="Q3618" s="2" t="s">
        <v>34952</v>
      </c>
      <c r="R3618" s="3" t="s">
        <v>34126</v>
      </c>
      <c r="S3618" s="4">
        <v>5</v>
      </c>
      <c r="T3618" s="4">
        <v>5</v>
      </c>
      <c r="U3618" s="5" t="s">
        <v>34953</v>
      </c>
      <c r="V3618" s="5" t="s">
        <v>34953</v>
      </c>
      <c r="W3618" s="5" t="s">
        <v>67</v>
      </c>
      <c r="X3618" s="5" t="s">
        <v>67</v>
      </c>
      <c r="Y3618" s="4">
        <v>85</v>
      </c>
      <c r="Z3618" s="4">
        <v>6</v>
      </c>
      <c r="AA3618" s="4">
        <v>105</v>
      </c>
      <c r="AB3618" s="4">
        <v>1</v>
      </c>
      <c r="AC3618" s="4">
        <v>17</v>
      </c>
      <c r="AD3618" s="4">
        <v>36</v>
      </c>
      <c r="AE3618" s="4">
        <v>115</v>
      </c>
      <c r="AF3618" s="4">
        <v>0</v>
      </c>
      <c r="AG3618" s="4">
        <v>8</v>
      </c>
      <c r="AH3618" s="4">
        <v>34</v>
      </c>
      <c r="AI3618" s="4">
        <v>78</v>
      </c>
      <c r="AJ3618" s="4">
        <v>5</v>
      </c>
      <c r="AK3618" s="4">
        <v>23</v>
      </c>
      <c r="AL3618" s="4">
        <v>15</v>
      </c>
      <c r="AM3618" s="4">
        <v>35</v>
      </c>
      <c r="AN3618" s="4">
        <v>0</v>
      </c>
      <c r="AO3618" s="4">
        <v>0</v>
      </c>
      <c r="AP3618" s="4">
        <v>4</v>
      </c>
      <c r="AQ3618" s="4">
        <v>43</v>
      </c>
      <c r="AR3618" s="3" t="s">
        <v>62</v>
      </c>
      <c r="AS3618" s="3" t="s">
        <v>62</v>
      </c>
      <c r="AT3618" s="3" t="s">
        <v>62</v>
      </c>
      <c r="AV3618" s="6" t="str">
        <f>HYPERLINK("http://mcgill.on.worldcat.org/oclc/54512536","Catalog Record")</f>
        <v>Catalog Record</v>
      </c>
      <c r="AW3618" s="6" t="str">
        <f>HYPERLINK("http://www.worldcat.org/oclc/54512536","WorldCat Record")</f>
        <v>WorldCat Record</v>
      </c>
      <c r="AX3618" s="3" t="s">
        <v>34954</v>
      </c>
      <c r="AY3618" s="3" t="s">
        <v>34955</v>
      </c>
      <c r="AZ3618" s="3" t="s">
        <v>34956</v>
      </c>
      <c r="BA3618" s="3" t="s">
        <v>34956</v>
      </c>
      <c r="BB3618" s="3" t="s">
        <v>34957</v>
      </c>
      <c r="BC3618" s="3" t="s">
        <v>102</v>
      </c>
      <c r="BD3618" s="3" t="s">
        <v>68</v>
      </c>
      <c r="BE3618" s="3" t="s">
        <v>34958</v>
      </c>
      <c r="BF3618" s="3" t="s">
        <v>34957</v>
      </c>
      <c r="BG3618" s="3" t="s">
        <v>34959</v>
      </c>
    </row>
    <row r="3619" spans="1:59" ht="58" x14ac:dyDescent="0.35">
      <c r="A3619" s="2" t="s">
        <v>89</v>
      </c>
      <c r="B3619" s="2" t="s">
        <v>90</v>
      </c>
      <c r="C3619" s="2" t="s">
        <v>34960</v>
      </c>
      <c r="D3619" s="2" t="s">
        <v>34961</v>
      </c>
      <c r="E3619" s="2" t="s">
        <v>34962</v>
      </c>
      <c r="G3619" s="3" t="s">
        <v>62</v>
      </c>
      <c r="I3619" s="3" t="s">
        <v>62</v>
      </c>
      <c r="J3619" s="3" t="s">
        <v>62</v>
      </c>
      <c r="K3619" s="3" t="s">
        <v>63</v>
      </c>
      <c r="M3619" s="2" t="s">
        <v>34963</v>
      </c>
      <c r="N3619" s="3" t="s">
        <v>2975</v>
      </c>
      <c r="P3619" s="3" t="s">
        <v>64</v>
      </c>
      <c r="R3619" s="3" t="s">
        <v>34126</v>
      </c>
      <c r="S3619" s="4">
        <v>1</v>
      </c>
      <c r="T3619" s="4">
        <v>1</v>
      </c>
      <c r="U3619" s="5" t="s">
        <v>6386</v>
      </c>
      <c r="V3619" s="5" t="s">
        <v>6386</v>
      </c>
      <c r="W3619" s="5" t="s">
        <v>67</v>
      </c>
      <c r="X3619" s="5" t="s">
        <v>67</v>
      </c>
      <c r="Y3619" s="4">
        <v>4</v>
      </c>
      <c r="Z3619" s="4">
        <v>1</v>
      </c>
      <c r="AA3619" s="4">
        <v>1</v>
      </c>
      <c r="AB3619" s="4">
        <v>1</v>
      </c>
      <c r="AC3619" s="4">
        <v>1</v>
      </c>
      <c r="AD3619" s="4">
        <v>2</v>
      </c>
      <c r="AE3619" s="4">
        <v>2</v>
      </c>
      <c r="AF3619" s="4">
        <v>0</v>
      </c>
      <c r="AG3619" s="4">
        <v>0</v>
      </c>
      <c r="AH3619" s="4">
        <v>2</v>
      </c>
      <c r="AI3619" s="4">
        <v>2</v>
      </c>
      <c r="AJ3619" s="4">
        <v>0</v>
      </c>
      <c r="AK3619" s="4">
        <v>0</v>
      </c>
      <c r="AL3619" s="4">
        <v>2</v>
      </c>
      <c r="AM3619" s="4">
        <v>2</v>
      </c>
      <c r="AN3619" s="4">
        <v>0</v>
      </c>
      <c r="AO3619" s="4">
        <v>0</v>
      </c>
      <c r="AP3619" s="4">
        <v>0</v>
      </c>
      <c r="AQ3619" s="4">
        <v>0</v>
      </c>
      <c r="AR3619" s="3" t="s">
        <v>62</v>
      </c>
      <c r="AS3619" s="3" t="s">
        <v>62</v>
      </c>
      <c r="AT3619" s="3" t="s">
        <v>62</v>
      </c>
      <c r="AV3619" s="6" t="str">
        <f>HYPERLINK("http://mcgill.on.worldcat.org/oclc/46516170","Catalog Record")</f>
        <v>Catalog Record</v>
      </c>
      <c r="AW3619" s="6" t="str">
        <f>HYPERLINK("http://www.worldcat.org/oclc/46516170","WorldCat Record")</f>
        <v>WorldCat Record</v>
      </c>
      <c r="AX3619" s="3" t="s">
        <v>34964</v>
      </c>
      <c r="AY3619" s="3" t="s">
        <v>34965</v>
      </c>
      <c r="AZ3619" s="3" t="s">
        <v>34966</v>
      </c>
      <c r="BA3619" s="3" t="s">
        <v>34966</v>
      </c>
      <c r="BB3619" s="3" t="s">
        <v>34967</v>
      </c>
      <c r="BC3619" s="3" t="s">
        <v>102</v>
      </c>
      <c r="BD3619" s="3" t="s">
        <v>68</v>
      </c>
      <c r="BF3619" s="3" t="s">
        <v>34967</v>
      </c>
      <c r="BG3619" s="3" t="s">
        <v>34968</v>
      </c>
    </row>
    <row r="3620" spans="1:59" ht="72.5" x14ac:dyDescent="0.35">
      <c r="A3620" s="2" t="s">
        <v>89</v>
      </c>
      <c r="B3620" s="2" t="s">
        <v>1231</v>
      </c>
      <c r="C3620" s="2" t="s">
        <v>34969</v>
      </c>
      <c r="D3620" s="2" t="s">
        <v>34970</v>
      </c>
      <c r="E3620" s="2" t="s">
        <v>34971</v>
      </c>
      <c r="G3620" s="3" t="s">
        <v>62</v>
      </c>
      <c r="I3620" s="3" t="s">
        <v>62</v>
      </c>
      <c r="J3620" s="3" t="s">
        <v>62</v>
      </c>
      <c r="K3620" s="3" t="s">
        <v>63</v>
      </c>
      <c r="L3620" s="2" t="s">
        <v>34972</v>
      </c>
      <c r="M3620" s="2" t="s">
        <v>34973</v>
      </c>
      <c r="N3620" s="3" t="s">
        <v>684</v>
      </c>
      <c r="O3620" s="2" t="s">
        <v>1941</v>
      </c>
      <c r="P3620" s="3" t="s">
        <v>64</v>
      </c>
      <c r="Q3620" s="2" t="s">
        <v>34974</v>
      </c>
      <c r="R3620" s="3" t="s">
        <v>34126</v>
      </c>
      <c r="S3620" s="4">
        <v>0</v>
      </c>
      <c r="T3620" s="4">
        <v>0</v>
      </c>
      <c r="W3620" s="5" t="s">
        <v>67</v>
      </c>
      <c r="X3620" s="5" t="s">
        <v>67</v>
      </c>
      <c r="Y3620" s="4">
        <v>18</v>
      </c>
      <c r="Z3620" s="4">
        <v>1</v>
      </c>
      <c r="AA3620" s="4">
        <v>1</v>
      </c>
      <c r="AB3620" s="4">
        <v>1</v>
      </c>
      <c r="AC3620" s="4">
        <v>1</v>
      </c>
      <c r="AD3620" s="4">
        <v>11</v>
      </c>
      <c r="AE3620" s="4">
        <v>11</v>
      </c>
      <c r="AF3620" s="4">
        <v>0</v>
      </c>
      <c r="AG3620" s="4">
        <v>0</v>
      </c>
      <c r="AH3620" s="4">
        <v>11</v>
      </c>
      <c r="AI3620" s="4">
        <v>11</v>
      </c>
      <c r="AJ3620" s="4">
        <v>0</v>
      </c>
      <c r="AK3620" s="4">
        <v>0</v>
      </c>
      <c r="AL3620" s="4">
        <v>10</v>
      </c>
      <c r="AM3620" s="4">
        <v>10</v>
      </c>
      <c r="AN3620" s="4">
        <v>0</v>
      </c>
      <c r="AO3620" s="4">
        <v>0</v>
      </c>
      <c r="AP3620" s="4">
        <v>0</v>
      </c>
      <c r="AQ3620" s="4">
        <v>0</v>
      </c>
      <c r="AR3620" s="3" t="s">
        <v>62</v>
      </c>
      <c r="AS3620" s="3" t="s">
        <v>62</v>
      </c>
      <c r="AT3620" s="3" t="s">
        <v>62</v>
      </c>
      <c r="AV3620" s="6" t="str">
        <f>HYPERLINK("http://mcgill.on.worldcat.org/oclc/772503070","Catalog Record")</f>
        <v>Catalog Record</v>
      </c>
      <c r="AW3620" s="6" t="str">
        <f>HYPERLINK("http://www.worldcat.org/oclc/772503070","WorldCat Record")</f>
        <v>WorldCat Record</v>
      </c>
      <c r="AX3620" s="3" t="s">
        <v>34975</v>
      </c>
      <c r="AY3620" s="3" t="s">
        <v>34976</v>
      </c>
      <c r="AZ3620" s="3" t="s">
        <v>34977</v>
      </c>
      <c r="BA3620" s="3" t="s">
        <v>34977</v>
      </c>
      <c r="BB3620" s="3" t="s">
        <v>34978</v>
      </c>
      <c r="BC3620" s="3" t="s">
        <v>102</v>
      </c>
      <c r="BD3620" s="3" t="s">
        <v>68</v>
      </c>
      <c r="BE3620" s="3" t="s">
        <v>34979</v>
      </c>
      <c r="BF3620" s="3" t="s">
        <v>34978</v>
      </c>
      <c r="BG3620" s="3" t="s">
        <v>34980</v>
      </c>
    </row>
    <row r="3621" spans="1:59" ht="101.5" x14ac:dyDescent="0.35">
      <c r="A3621" s="2" t="s">
        <v>59</v>
      </c>
      <c r="B3621" s="2" t="s">
        <v>60</v>
      </c>
      <c r="C3621" s="2" t="s">
        <v>34981</v>
      </c>
      <c r="D3621" s="2" t="s">
        <v>34982</v>
      </c>
      <c r="E3621" s="2" t="s">
        <v>34983</v>
      </c>
      <c r="G3621" s="3" t="s">
        <v>62</v>
      </c>
      <c r="I3621" s="3" t="s">
        <v>62</v>
      </c>
      <c r="J3621" s="3" t="s">
        <v>62</v>
      </c>
      <c r="K3621" s="3" t="s">
        <v>63</v>
      </c>
      <c r="M3621" s="2" t="s">
        <v>34984</v>
      </c>
      <c r="N3621" s="3" t="s">
        <v>509</v>
      </c>
      <c r="P3621" s="3" t="s">
        <v>64</v>
      </c>
      <c r="Q3621" s="2" t="s">
        <v>34985</v>
      </c>
      <c r="R3621" s="3" t="s">
        <v>34126</v>
      </c>
      <c r="S3621" s="4">
        <v>16</v>
      </c>
      <c r="T3621" s="4">
        <v>16</v>
      </c>
      <c r="U3621" s="5" t="s">
        <v>483</v>
      </c>
      <c r="V3621" s="5" t="s">
        <v>483</v>
      </c>
      <c r="W3621" s="5" t="s">
        <v>67</v>
      </c>
      <c r="X3621" s="5" t="s">
        <v>67</v>
      </c>
      <c r="Y3621" s="4">
        <v>71</v>
      </c>
      <c r="Z3621" s="4">
        <v>8</v>
      </c>
      <c r="AA3621" s="4">
        <v>8</v>
      </c>
      <c r="AB3621" s="4">
        <v>1</v>
      </c>
      <c r="AC3621" s="4">
        <v>1</v>
      </c>
      <c r="AD3621" s="4">
        <v>22</v>
      </c>
      <c r="AE3621" s="4">
        <v>22</v>
      </c>
      <c r="AF3621" s="4">
        <v>0</v>
      </c>
      <c r="AG3621" s="4">
        <v>0</v>
      </c>
      <c r="AH3621" s="4">
        <v>19</v>
      </c>
      <c r="AI3621" s="4">
        <v>19</v>
      </c>
      <c r="AJ3621" s="4">
        <v>3</v>
      </c>
      <c r="AK3621" s="4">
        <v>3</v>
      </c>
      <c r="AL3621" s="4">
        <v>12</v>
      </c>
      <c r="AM3621" s="4">
        <v>12</v>
      </c>
      <c r="AN3621" s="4">
        <v>0</v>
      </c>
      <c r="AO3621" s="4">
        <v>0</v>
      </c>
      <c r="AP3621" s="4">
        <v>5</v>
      </c>
      <c r="AQ3621" s="4">
        <v>5</v>
      </c>
      <c r="AR3621" s="3" t="s">
        <v>62</v>
      </c>
      <c r="AS3621" s="3" t="s">
        <v>62</v>
      </c>
      <c r="AT3621" s="3" t="s">
        <v>61</v>
      </c>
      <c r="AU3621" s="6" t="str">
        <f>HYPERLINK("http://catalog.hathitrust.org/Record/003515473","HathiTrust Record")</f>
        <v>HathiTrust Record</v>
      </c>
      <c r="AV3621" s="6" t="str">
        <f>HYPERLINK("http://mcgill.on.worldcat.org/oclc/32394776","Catalog Record")</f>
        <v>Catalog Record</v>
      </c>
      <c r="AW3621" s="6" t="str">
        <f>HYPERLINK("http://www.worldcat.org/oclc/32394776","WorldCat Record")</f>
        <v>WorldCat Record</v>
      </c>
      <c r="AX3621" s="3" t="s">
        <v>34986</v>
      </c>
      <c r="AY3621" s="3" t="s">
        <v>34987</v>
      </c>
      <c r="AZ3621" s="3" t="s">
        <v>34988</v>
      </c>
      <c r="BA3621" s="3" t="s">
        <v>34988</v>
      </c>
      <c r="BB3621" s="3" t="s">
        <v>34989</v>
      </c>
      <c r="BC3621" s="3" t="s">
        <v>102</v>
      </c>
      <c r="BD3621" s="3" t="s">
        <v>68</v>
      </c>
      <c r="BE3621" s="3" t="s">
        <v>34990</v>
      </c>
      <c r="BF3621" s="3" t="s">
        <v>34989</v>
      </c>
      <c r="BG3621" s="3" t="s">
        <v>34991</v>
      </c>
    </row>
    <row r="3622" spans="1:59" ht="58" x14ac:dyDescent="0.35">
      <c r="A3622" s="2" t="s">
        <v>89</v>
      </c>
      <c r="B3622" s="2" t="s">
        <v>90</v>
      </c>
      <c r="C3622" s="2" t="s">
        <v>34992</v>
      </c>
      <c r="D3622" s="2" t="s">
        <v>34993</v>
      </c>
      <c r="E3622" s="2" t="s">
        <v>34994</v>
      </c>
      <c r="G3622" s="3" t="s">
        <v>62</v>
      </c>
      <c r="I3622" s="3" t="s">
        <v>62</v>
      </c>
      <c r="J3622" s="3" t="s">
        <v>62</v>
      </c>
      <c r="K3622" s="3" t="s">
        <v>63</v>
      </c>
      <c r="M3622" s="2" t="s">
        <v>34995</v>
      </c>
      <c r="N3622" s="3" t="s">
        <v>481</v>
      </c>
      <c r="P3622" s="3" t="s">
        <v>85</v>
      </c>
      <c r="Q3622" s="2" t="s">
        <v>34996</v>
      </c>
      <c r="R3622" s="3" t="s">
        <v>34126</v>
      </c>
      <c r="S3622" s="4">
        <v>5</v>
      </c>
      <c r="T3622" s="4">
        <v>5</v>
      </c>
      <c r="U3622" s="5" t="s">
        <v>34997</v>
      </c>
      <c r="V3622" s="5" t="s">
        <v>34997</v>
      </c>
      <c r="W3622" s="5" t="s">
        <v>67</v>
      </c>
      <c r="X3622" s="5" t="s">
        <v>67</v>
      </c>
      <c r="Y3622" s="4">
        <v>15</v>
      </c>
      <c r="Z3622" s="4">
        <v>8</v>
      </c>
      <c r="AA3622" s="4">
        <v>13</v>
      </c>
      <c r="AB3622" s="4">
        <v>4</v>
      </c>
      <c r="AC3622" s="4">
        <v>8</v>
      </c>
      <c r="AD3622" s="4">
        <v>4</v>
      </c>
      <c r="AE3622" s="4">
        <v>9</v>
      </c>
      <c r="AF3622" s="4">
        <v>1</v>
      </c>
      <c r="AG3622" s="4">
        <v>5</v>
      </c>
      <c r="AH3622" s="4">
        <v>2</v>
      </c>
      <c r="AI3622" s="4">
        <v>4</v>
      </c>
      <c r="AJ3622" s="4">
        <v>4</v>
      </c>
      <c r="AK3622" s="4">
        <v>8</v>
      </c>
      <c r="AL3622" s="4">
        <v>1</v>
      </c>
      <c r="AM3622" s="4">
        <v>1</v>
      </c>
      <c r="AN3622" s="4">
        <v>0</v>
      </c>
      <c r="AO3622" s="4">
        <v>0</v>
      </c>
      <c r="AP3622" s="4">
        <v>3</v>
      </c>
      <c r="AQ3622" s="4">
        <v>7</v>
      </c>
      <c r="AR3622" s="3" t="s">
        <v>62</v>
      </c>
      <c r="AS3622" s="3" t="s">
        <v>62</v>
      </c>
      <c r="AT3622" s="3" t="s">
        <v>62</v>
      </c>
      <c r="AV3622" s="6" t="str">
        <f>HYPERLINK("http://mcgill.on.worldcat.org/oclc/39868585","Catalog Record")</f>
        <v>Catalog Record</v>
      </c>
      <c r="AW3622" s="6" t="str">
        <f>HYPERLINK("http://www.worldcat.org/oclc/39868585","WorldCat Record")</f>
        <v>WorldCat Record</v>
      </c>
      <c r="AX3622" s="3" t="s">
        <v>34998</v>
      </c>
      <c r="AY3622" s="3" t="s">
        <v>34999</v>
      </c>
      <c r="AZ3622" s="3" t="s">
        <v>35000</v>
      </c>
      <c r="BA3622" s="3" t="s">
        <v>35000</v>
      </c>
      <c r="BB3622" s="3" t="s">
        <v>35001</v>
      </c>
      <c r="BC3622" s="3" t="s">
        <v>102</v>
      </c>
      <c r="BD3622" s="3" t="s">
        <v>68</v>
      </c>
      <c r="BE3622" s="3" t="s">
        <v>35002</v>
      </c>
      <c r="BF3622" s="3" t="s">
        <v>35001</v>
      </c>
      <c r="BG3622" s="3" t="s">
        <v>35003</v>
      </c>
    </row>
    <row r="3623" spans="1:59" ht="58" x14ac:dyDescent="0.35">
      <c r="A3623" s="2" t="s">
        <v>89</v>
      </c>
      <c r="B3623" s="2" t="s">
        <v>90</v>
      </c>
      <c r="C3623" s="2" t="s">
        <v>35004</v>
      </c>
      <c r="D3623" s="2" t="s">
        <v>35005</v>
      </c>
      <c r="E3623" s="2" t="s">
        <v>35006</v>
      </c>
      <c r="G3623" s="3" t="s">
        <v>62</v>
      </c>
      <c r="I3623" s="3" t="s">
        <v>62</v>
      </c>
      <c r="J3623" s="3" t="s">
        <v>62</v>
      </c>
      <c r="K3623" s="3" t="s">
        <v>63</v>
      </c>
      <c r="L3623" s="2" t="s">
        <v>35007</v>
      </c>
      <c r="M3623" s="2" t="s">
        <v>35008</v>
      </c>
      <c r="N3623" s="3" t="s">
        <v>115</v>
      </c>
      <c r="O3623" s="2" t="s">
        <v>2849</v>
      </c>
      <c r="P3623" s="3" t="s">
        <v>64</v>
      </c>
      <c r="R3623" s="3" t="s">
        <v>34126</v>
      </c>
      <c r="S3623" s="4">
        <v>65</v>
      </c>
      <c r="T3623" s="4">
        <v>65</v>
      </c>
      <c r="U3623" s="5" t="s">
        <v>21972</v>
      </c>
      <c r="V3623" s="5" t="s">
        <v>21972</v>
      </c>
      <c r="W3623" s="5" t="s">
        <v>67</v>
      </c>
      <c r="X3623" s="5" t="s">
        <v>67</v>
      </c>
      <c r="Y3623" s="4">
        <v>69</v>
      </c>
      <c r="Z3623" s="4">
        <v>44</v>
      </c>
      <c r="AA3623" s="4">
        <v>57</v>
      </c>
      <c r="AB3623" s="4">
        <v>2</v>
      </c>
      <c r="AC3623" s="4">
        <v>5</v>
      </c>
      <c r="AD3623" s="4">
        <v>28</v>
      </c>
      <c r="AE3623" s="4">
        <v>58</v>
      </c>
      <c r="AF3623" s="4">
        <v>0</v>
      </c>
      <c r="AG3623" s="4">
        <v>2</v>
      </c>
      <c r="AH3623" s="4">
        <v>21</v>
      </c>
      <c r="AI3623" s="4">
        <v>45</v>
      </c>
      <c r="AJ3623" s="4">
        <v>13</v>
      </c>
      <c r="AK3623" s="4">
        <v>18</v>
      </c>
      <c r="AL3623" s="4">
        <v>11</v>
      </c>
      <c r="AM3623" s="4">
        <v>21</v>
      </c>
      <c r="AN3623" s="4">
        <v>0</v>
      </c>
      <c r="AO3623" s="4">
        <v>5</v>
      </c>
      <c r="AP3623" s="4">
        <v>15</v>
      </c>
      <c r="AQ3623" s="4">
        <v>21</v>
      </c>
      <c r="AR3623" s="3" t="s">
        <v>61</v>
      </c>
      <c r="AS3623" s="3" t="s">
        <v>62</v>
      </c>
      <c r="AT3623" s="3" t="s">
        <v>61</v>
      </c>
      <c r="AU3623" s="6" t="str">
        <f>HYPERLINK("http://catalog.hathitrust.org/Record/002227719","HathiTrust Record")</f>
        <v>HathiTrust Record</v>
      </c>
      <c r="AV3623" s="6" t="str">
        <f>HYPERLINK("http://mcgill.on.worldcat.org/oclc/18877248","Catalog Record")</f>
        <v>Catalog Record</v>
      </c>
      <c r="AW3623" s="6" t="str">
        <f>HYPERLINK("http://www.worldcat.org/oclc/18877248","WorldCat Record")</f>
        <v>WorldCat Record</v>
      </c>
      <c r="AX3623" s="3" t="s">
        <v>35009</v>
      </c>
      <c r="AY3623" s="3" t="s">
        <v>35010</v>
      </c>
      <c r="AZ3623" s="3" t="s">
        <v>35011</v>
      </c>
      <c r="BA3623" s="3" t="s">
        <v>35011</v>
      </c>
      <c r="BB3623" s="3" t="s">
        <v>35012</v>
      </c>
      <c r="BC3623" s="3" t="s">
        <v>102</v>
      </c>
      <c r="BD3623" s="3" t="s">
        <v>68</v>
      </c>
      <c r="BE3623" s="3" t="s">
        <v>35013</v>
      </c>
      <c r="BF3623" s="3" t="s">
        <v>35012</v>
      </c>
      <c r="BG3623" s="3" t="s">
        <v>35014</v>
      </c>
    </row>
    <row r="3624" spans="1:59" ht="58" x14ac:dyDescent="0.35">
      <c r="A3624" s="2" t="s">
        <v>89</v>
      </c>
      <c r="B3624" s="2" t="s">
        <v>90</v>
      </c>
      <c r="C3624" s="2" t="s">
        <v>35015</v>
      </c>
      <c r="D3624" s="2" t="s">
        <v>35016</v>
      </c>
      <c r="E3624" s="2" t="s">
        <v>35017</v>
      </c>
      <c r="G3624" s="3" t="s">
        <v>62</v>
      </c>
      <c r="I3624" s="3" t="s">
        <v>62</v>
      </c>
      <c r="J3624" s="3" t="s">
        <v>62</v>
      </c>
      <c r="K3624" s="3" t="s">
        <v>63</v>
      </c>
      <c r="L3624" s="2" t="s">
        <v>35018</v>
      </c>
      <c r="M3624" s="2" t="s">
        <v>35019</v>
      </c>
      <c r="N3624" s="3" t="s">
        <v>741</v>
      </c>
      <c r="P3624" s="3" t="s">
        <v>64</v>
      </c>
      <c r="R3624" s="3" t="s">
        <v>34126</v>
      </c>
      <c r="S3624" s="4">
        <v>1</v>
      </c>
      <c r="T3624" s="4">
        <v>1</v>
      </c>
      <c r="U3624" s="5" t="s">
        <v>4771</v>
      </c>
      <c r="V3624" s="5" t="s">
        <v>4771</v>
      </c>
      <c r="W3624" s="5" t="s">
        <v>4771</v>
      </c>
      <c r="X3624" s="5" t="s">
        <v>4771</v>
      </c>
      <c r="Y3624" s="4">
        <v>163</v>
      </c>
      <c r="Z3624" s="4">
        <v>10</v>
      </c>
      <c r="AA3624" s="4">
        <v>20</v>
      </c>
      <c r="AB3624" s="4">
        <v>1</v>
      </c>
      <c r="AC3624" s="4">
        <v>6</v>
      </c>
      <c r="AD3624" s="4">
        <v>39</v>
      </c>
      <c r="AE3624" s="4">
        <v>56</v>
      </c>
      <c r="AF3624" s="4">
        <v>0</v>
      </c>
      <c r="AG3624" s="4">
        <v>3</v>
      </c>
      <c r="AH3624" s="4">
        <v>32</v>
      </c>
      <c r="AI3624" s="4">
        <v>44</v>
      </c>
      <c r="AJ3624" s="4">
        <v>3</v>
      </c>
      <c r="AK3624" s="4">
        <v>9</v>
      </c>
      <c r="AL3624" s="4">
        <v>18</v>
      </c>
      <c r="AM3624" s="4">
        <v>25</v>
      </c>
      <c r="AN3624" s="4">
        <v>0</v>
      </c>
      <c r="AO3624" s="4">
        <v>0</v>
      </c>
      <c r="AP3624" s="4">
        <v>7</v>
      </c>
      <c r="AQ3624" s="4">
        <v>14</v>
      </c>
      <c r="AR3624" s="3" t="s">
        <v>62</v>
      </c>
      <c r="AS3624" s="3" t="s">
        <v>62</v>
      </c>
      <c r="AT3624" s="3" t="s">
        <v>62</v>
      </c>
      <c r="AV3624" s="6" t="str">
        <f>HYPERLINK("http://mcgill.on.worldcat.org/oclc/1028893800","Catalog Record")</f>
        <v>Catalog Record</v>
      </c>
      <c r="AW3624" s="6" t="str">
        <f>HYPERLINK("http://www.worldcat.org/oclc/1028893800","WorldCat Record")</f>
        <v>WorldCat Record</v>
      </c>
      <c r="AX3624" s="3" t="s">
        <v>35020</v>
      </c>
      <c r="AY3624" s="3" t="s">
        <v>35021</v>
      </c>
      <c r="AZ3624" s="3" t="s">
        <v>35022</v>
      </c>
      <c r="BA3624" s="3" t="s">
        <v>35022</v>
      </c>
      <c r="BB3624" s="3" t="s">
        <v>35023</v>
      </c>
      <c r="BC3624" s="3" t="s">
        <v>102</v>
      </c>
      <c r="BD3624" s="3" t="s">
        <v>68</v>
      </c>
      <c r="BE3624" s="3" t="s">
        <v>35024</v>
      </c>
      <c r="BF3624" s="3" t="s">
        <v>35023</v>
      </c>
      <c r="BG3624" s="3" t="s">
        <v>35025</v>
      </c>
    </row>
    <row r="3625" spans="1:59" ht="58" x14ac:dyDescent="0.35">
      <c r="A3625" s="2" t="s">
        <v>59</v>
      </c>
      <c r="B3625" s="2" t="s">
        <v>60</v>
      </c>
      <c r="C3625" s="2" t="s">
        <v>35026</v>
      </c>
      <c r="D3625" s="2" t="s">
        <v>35027</v>
      </c>
      <c r="E3625" s="2" t="s">
        <v>35028</v>
      </c>
      <c r="G3625" s="3" t="s">
        <v>62</v>
      </c>
      <c r="I3625" s="3" t="s">
        <v>61</v>
      </c>
      <c r="J3625" s="3" t="s">
        <v>62</v>
      </c>
      <c r="K3625" s="3" t="s">
        <v>63</v>
      </c>
      <c r="L3625" s="2" t="s">
        <v>35029</v>
      </c>
      <c r="M3625" s="2" t="s">
        <v>35030</v>
      </c>
      <c r="N3625" s="3" t="s">
        <v>1482</v>
      </c>
      <c r="O3625" s="2" t="s">
        <v>986</v>
      </c>
      <c r="P3625" s="3" t="s">
        <v>64</v>
      </c>
      <c r="R3625" s="3" t="s">
        <v>34126</v>
      </c>
      <c r="S3625" s="4">
        <v>4</v>
      </c>
      <c r="T3625" s="4">
        <v>4</v>
      </c>
      <c r="U3625" s="5" t="s">
        <v>26943</v>
      </c>
      <c r="V3625" s="5" t="s">
        <v>26943</v>
      </c>
      <c r="W3625" s="5" t="s">
        <v>67</v>
      </c>
      <c r="X3625" s="5" t="s">
        <v>67</v>
      </c>
      <c r="Y3625" s="4">
        <v>669</v>
      </c>
      <c r="Z3625" s="4">
        <v>37</v>
      </c>
      <c r="AA3625" s="4">
        <v>42</v>
      </c>
      <c r="AB3625" s="4">
        <v>3</v>
      </c>
      <c r="AC3625" s="4">
        <v>4</v>
      </c>
      <c r="AD3625" s="4">
        <v>65</v>
      </c>
      <c r="AE3625" s="4">
        <v>76</v>
      </c>
      <c r="AF3625" s="4">
        <v>0</v>
      </c>
      <c r="AG3625" s="4">
        <v>1</v>
      </c>
      <c r="AH3625" s="4">
        <v>58</v>
      </c>
      <c r="AI3625" s="4">
        <v>66</v>
      </c>
      <c r="AJ3625" s="4">
        <v>9</v>
      </c>
      <c r="AK3625" s="4">
        <v>13</v>
      </c>
      <c r="AL3625" s="4">
        <v>30</v>
      </c>
      <c r="AM3625" s="4">
        <v>33</v>
      </c>
      <c r="AN3625" s="4">
        <v>0</v>
      </c>
      <c r="AO3625" s="4">
        <v>0</v>
      </c>
      <c r="AP3625" s="4">
        <v>14</v>
      </c>
      <c r="AQ3625" s="4">
        <v>16</v>
      </c>
      <c r="AR3625" s="3" t="s">
        <v>62</v>
      </c>
      <c r="AS3625" s="3" t="s">
        <v>62</v>
      </c>
      <c r="AT3625" s="3" t="s">
        <v>62</v>
      </c>
      <c r="AV3625" s="6" t="str">
        <f>HYPERLINK("http://mcgill.on.worldcat.org/oclc/13581735","Catalog Record")</f>
        <v>Catalog Record</v>
      </c>
      <c r="AW3625" s="6" t="str">
        <f>HYPERLINK("http://www.worldcat.org/oclc/13581735","WorldCat Record")</f>
        <v>WorldCat Record</v>
      </c>
      <c r="AX3625" s="3" t="s">
        <v>35031</v>
      </c>
      <c r="AY3625" s="3" t="s">
        <v>35032</v>
      </c>
      <c r="AZ3625" s="3" t="s">
        <v>35033</v>
      </c>
      <c r="BA3625" s="3" t="s">
        <v>35033</v>
      </c>
      <c r="BB3625" s="3" t="s">
        <v>35034</v>
      </c>
      <c r="BC3625" s="3" t="s">
        <v>102</v>
      </c>
      <c r="BD3625" s="3" t="s">
        <v>68</v>
      </c>
      <c r="BE3625" s="3" t="s">
        <v>35035</v>
      </c>
      <c r="BF3625" s="3" t="s">
        <v>35034</v>
      </c>
      <c r="BG3625" s="3" t="s">
        <v>35036</v>
      </c>
    </row>
    <row r="3626" spans="1:59" ht="72.5" x14ac:dyDescent="0.35">
      <c r="A3626" s="2" t="s">
        <v>89</v>
      </c>
      <c r="B3626" s="2" t="s">
        <v>1231</v>
      </c>
      <c r="C3626" s="2" t="s">
        <v>35037</v>
      </c>
      <c r="D3626" s="2" t="s">
        <v>35038</v>
      </c>
      <c r="E3626" s="2" t="s">
        <v>35039</v>
      </c>
      <c r="G3626" s="3" t="s">
        <v>62</v>
      </c>
      <c r="I3626" s="3" t="s">
        <v>61</v>
      </c>
      <c r="J3626" s="3" t="s">
        <v>62</v>
      </c>
      <c r="K3626" s="3" t="s">
        <v>63</v>
      </c>
      <c r="L3626" s="2" t="s">
        <v>35040</v>
      </c>
      <c r="M3626" s="2" t="s">
        <v>35041</v>
      </c>
      <c r="N3626" s="3" t="s">
        <v>1639</v>
      </c>
      <c r="P3626" s="3" t="s">
        <v>64</v>
      </c>
      <c r="R3626" s="3" t="s">
        <v>34126</v>
      </c>
      <c r="S3626" s="4">
        <v>3</v>
      </c>
      <c r="T3626" s="4">
        <v>28</v>
      </c>
      <c r="U3626" s="5" t="s">
        <v>35042</v>
      </c>
      <c r="V3626" s="5" t="s">
        <v>9221</v>
      </c>
      <c r="W3626" s="5" t="s">
        <v>67</v>
      </c>
      <c r="X3626" s="5" t="s">
        <v>67</v>
      </c>
      <c r="Y3626" s="4">
        <v>2351</v>
      </c>
      <c r="Z3626" s="4">
        <v>88</v>
      </c>
      <c r="AA3626" s="4">
        <v>98</v>
      </c>
      <c r="AB3626" s="4">
        <v>4</v>
      </c>
      <c r="AC3626" s="4">
        <v>7</v>
      </c>
      <c r="AD3626" s="4">
        <v>151</v>
      </c>
      <c r="AE3626" s="4">
        <v>159</v>
      </c>
      <c r="AF3626" s="4">
        <v>2</v>
      </c>
      <c r="AG3626" s="4">
        <v>4</v>
      </c>
      <c r="AH3626" s="4">
        <v>111</v>
      </c>
      <c r="AI3626" s="4">
        <v>114</v>
      </c>
      <c r="AJ3626" s="4">
        <v>23</v>
      </c>
      <c r="AK3626" s="4">
        <v>25</v>
      </c>
      <c r="AL3626" s="4">
        <v>61</v>
      </c>
      <c r="AM3626" s="4">
        <v>62</v>
      </c>
      <c r="AN3626" s="4">
        <v>0</v>
      </c>
      <c r="AO3626" s="4">
        <v>0</v>
      </c>
      <c r="AP3626" s="4">
        <v>45</v>
      </c>
      <c r="AQ3626" s="4">
        <v>51</v>
      </c>
      <c r="AR3626" s="3" t="s">
        <v>62</v>
      </c>
      <c r="AS3626" s="3" t="s">
        <v>62</v>
      </c>
      <c r="AT3626" s="3" t="s">
        <v>61</v>
      </c>
      <c r="AU3626" s="6" t="str">
        <f>HYPERLINK("http://catalog.hathitrust.org/Record/001490216","HathiTrust Record")</f>
        <v>HathiTrust Record</v>
      </c>
      <c r="AV3626" s="6" t="str">
        <f>HYPERLINK("http://mcgill.on.worldcat.org/oclc/55770","Catalog Record")</f>
        <v>Catalog Record</v>
      </c>
      <c r="AW3626" s="6" t="str">
        <f>HYPERLINK("http://www.worldcat.org/oclc/55770","WorldCat Record")</f>
        <v>WorldCat Record</v>
      </c>
      <c r="AX3626" s="3" t="s">
        <v>35043</v>
      </c>
      <c r="AY3626" s="3" t="s">
        <v>35044</v>
      </c>
      <c r="AZ3626" s="3" t="s">
        <v>35045</v>
      </c>
      <c r="BA3626" s="3" t="s">
        <v>35045</v>
      </c>
      <c r="BB3626" s="3" t="s">
        <v>35046</v>
      </c>
      <c r="BC3626" s="3" t="s">
        <v>102</v>
      </c>
      <c r="BD3626" s="3" t="s">
        <v>68</v>
      </c>
      <c r="BF3626" s="3" t="s">
        <v>35046</v>
      </c>
      <c r="BG3626" s="3" t="s">
        <v>35047</v>
      </c>
    </row>
    <row r="3627" spans="1:59" ht="58" x14ac:dyDescent="0.35">
      <c r="A3627" s="2" t="s">
        <v>59</v>
      </c>
      <c r="B3627" s="2" t="s">
        <v>60</v>
      </c>
      <c r="C3627" s="2" t="s">
        <v>35037</v>
      </c>
      <c r="D3627" s="2" t="s">
        <v>35038</v>
      </c>
      <c r="E3627" s="2" t="s">
        <v>35039</v>
      </c>
      <c r="G3627" s="3" t="s">
        <v>62</v>
      </c>
      <c r="I3627" s="3" t="s">
        <v>61</v>
      </c>
      <c r="J3627" s="3" t="s">
        <v>62</v>
      </c>
      <c r="K3627" s="3" t="s">
        <v>63</v>
      </c>
      <c r="L3627" s="2" t="s">
        <v>35040</v>
      </c>
      <c r="M3627" s="2" t="s">
        <v>35041</v>
      </c>
      <c r="N3627" s="3" t="s">
        <v>1639</v>
      </c>
      <c r="P3627" s="3" t="s">
        <v>64</v>
      </c>
      <c r="R3627" s="3" t="s">
        <v>34126</v>
      </c>
      <c r="S3627" s="4">
        <v>6</v>
      </c>
      <c r="T3627" s="4">
        <v>28</v>
      </c>
      <c r="U3627" s="5" t="s">
        <v>30202</v>
      </c>
      <c r="V3627" s="5" t="s">
        <v>9221</v>
      </c>
      <c r="W3627" s="5" t="s">
        <v>67</v>
      </c>
      <c r="X3627" s="5" t="s">
        <v>67</v>
      </c>
      <c r="Y3627" s="4">
        <v>2351</v>
      </c>
      <c r="Z3627" s="4">
        <v>88</v>
      </c>
      <c r="AA3627" s="4">
        <v>98</v>
      </c>
      <c r="AB3627" s="4">
        <v>4</v>
      </c>
      <c r="AC3627" s="4">
        <v>7</v>
      </c>
      <c r="AD3627" s="4">
        <v>151</v>
      </c>
      <c r="AE3627" s="4">
        <v>159</v>
      </c>
      <c r="AF3627" s="4">
        <v>2</v>
      </c>
      <c r="AG3627" s="4">
        <v>4</v>
      </c>
      <c r="AH3627" s="4">
        <v>111</v>
      </c>
      <c r="AI3627" s="4">
        <v>114</v>
      </c>
      <c r="AJ3627" s="4">
        <v>23</v>
      </c>
      <c r="AK3627" s="4">
        <v>25</v>
      </c>
      <c r="AL3627" s="4">
        <v>61</v>
      </c>
      <c r="AM3627" s="4">
        <v>62</v>
      </c>
      <c r="AN3627" s="4">
        <v>0</v>
      </c>
      <c r="AO3627" s="4">
        <v>0</v>
      </c>
      <c r="AP3627" s="4">
        <v>45</v>
      </c>
      <c r="AQ3627" s="4">
        <v>51</v>
      </c>
      <c r="AR3627" s="3" t="s">
        <v>62</v>
      </c>
      <c r="AS3627" s="3" t="s">
        <v>62</v>
      </c>
      <c r="AT3627" s="3" t="s">
        <v>61</v>
      </c>
      <c r="AU3627" s="6" t="str">
        <f>HYPERLINK("http://catalog.hathitrust.org/Record/001490216","HathiTrust Record")</f>
        <v>HathiTrust Record</v>
      </c>
      <c r="AV3627" s="6" t="str">
        <f>HYPERLINK("http://mcgill.on.worldcat.org/oclc/55770","Catalog Record")</f>
        <v>Catalog Record</v>
      </c>
      <c r="AW3627" s="6" t="str">
        <f>HYPERLINK("http://www.worldcat.org/oclc/55770","WorldCat Record")</f>
        <v>WorldCat Record</v>
      </c>
      <c r="AX3627" s="3" t="s">
        <v>35043</v>
      </c>
      <c r="AY3627" s="3" t="s">
        <v>35044</v>
      </c>
      <c r="AZ3627" s="3" t="s">
        <v>35045</v>
      </c>
      <c r="BA3627" s="3" t="s">
        <v>35045</v>
      </c>
      <c r="BB3627" s="3" t="s">
        <v>35048</v>
      </c>
      <c r="BC3627" s="3" t="s">
        <v>102</v>
      </c>
      <c r="BD3627" s="3" t="s">
        <v>68</v>
      </c>
      <c r="BF3627" s="3" t="s">
        <v>35048</v>
      </c>
      <c r="BG3627" s="3" t="s">
        <v>35049</v>
      </c>
    </row>
    <row r="3628" spans="1:59" ht="58" x14ac:dyDescent="0.35">
      <c r="A3628" s="2" t="s">
        <v>59</v>
      </c>
      <c r="B3628" s="2" t="s">
        <v>60</v>
      </c>
      <c r="C3628" s="2" t="s">
        <v>35050</v>
      </c>
      <c r="D3628" s="2" t="s">
        <v>35051</v>
      </c>
      <c r="E3628" s="2" t="s">
        <v>35052</v>
      </c>
      <c r="G3628" s="3" t="s">
        <v>62</v>
      </c>
      <c r="I3628" s="3" t="s">
        <v>62</v>
      </c>
      <c r="J3628" s="3" t="s">
        <v>62</v>
      </c>
      <c r="K3628" s="3" t="s">
        <v>63</v>
      </c>
      <c r="L3628" s="2" t="s">
        <v>35053</v>
      </c>
      <c r="M3628" s="2" t="s">
        <v>35054</v>
      </c>
      <c r="N3628" s="3" t="s">
        <v>466</v>
      </c>
      <c r="P3628" s="3" t="s">
        <v>64</v>
      </c>
      <c r="R3628" s="3" t="s">
        <v>34126</v>
      </c>
      <c r="S3628" s="4">
        <v>18</v>
      </c>
      <c r="T3628" s="4">
        <v>18</v>
      </c>
      <c r="U3628" s="5" t="s">
        <v>4048</v>
      </c>
      <c r="V3628" s="5" t="s">
        <v>4048</v>
      </c>
      <c r="W3628" s="5" t="s">
        <v>67</v>
      </c>
      <c r="X3628" s="5" t="s">
        <v>67</v>
      </c>
      <c r="Y3628" s="4">
        <v>576</v>
      </c>
      <c r="Z3628" s="4">
        <v>30</v>
      </c>
      <c r="AA3628" s="4">
        <v>51</v>
      </c>
      <c r="AB3628" s="4">
        <v>2</v>
      </c>
      <c r="AC3628" s="4">
        <v>5</v>
      </c>
      <c r="AD3628" s="4">
        <v>110</v>
      </c>
      <c r="AE3628" s="4">
        <v>119</v>
      </c>
      <c r="AF3628" s="4">
        <v>1</v>
      </c>
      <c r="AG3628" s="4">
        <v>2</v>
      </c>
      <c r="AH3628" s="4">
        <v>97</v>
      </c>
      <c r="AI3628" s="4">
        <v>103</v>
      </c>
      <c r="AJ3628" s="4">
        <v>14</v>
      </c>
      <c r="AK3628" s="4">
        <v>16</v>
      </c>
      <c r="AL3628" s="4">
        <v>51</v>
      </c>
      <c r="AM3628" s="4">
        <v>53</v>
      </c>
      <c r="AN3628" s="4">
        <v>0</v>
      </c>
      <c r="AO3628" s="4">
        <v>0</v>
      </c>
      <c r="AP3628" s="4">
        <v>19</v>
      </c>
      <c r="AQ3628" s="4">
        <v>24</v>
      </c>
      <c r="AR3628" s="3" t="s">
        <v>62</v>
      </c>
      <c r="AS3628" s="3" t="s">
        <v>62</v>
      </c>
      <c r="AT3628" s="3" t="s">
        <v>61</v>
      </c>
      <c r="AU3628" s="6" t="str">
        <f>HYPERLINK("http://catalog.hathitrust.org/Record/002612016","HathiTrust Record")</f>
        <v>HathiTrust Record</v>
      </c>
      <c r="AV3628" s="6" t="str">
        <f>HYPERLINK("http://mcgill.on.worldcat.org/oclc/25711431","Catalog Record")</f>
        <v>Catalog Record</v>
      </c>
      <c r="AW3628" s="6" t="str">
        <f>HYPERLINK("http://www.worldcat.org/oclc/25711431","WorldCat Record")</f>
        <v>WorldCat Record</v>
      </c>
      <c r="AX3628" s="3" t="s">
        <v>35055</v>
      </c>
      <c r="AY3628" s="3" t="s">
        <v>35056</v>
      </c>
      <c r="AZ3628" s="3" t="s">
        <v>35057</v>
      </c>
      <c r="BA3628" s="3" t="s">
        <v>35057</v>
      </c>
      <c r="BB3628" s="3" t="s">
        <v>35058</v>
      </c>
      <c r="BC3628" s="3" t="s">
        <v>102</v>
      </c>
      <c r="BD3628" s="3" t="s">
        <v>68</v>
      </c>
      <c r="BE3628" s="3" t="s">
        <v>35059</v>
      </c>
      <c r="BF3628" s="3" t="s">
        <v>35058</v>
      </c>
      <c r="BG3628" s="3" t="s">
        <v>35060</v>
      </c>
    </row>
    <row r="3629" spans="1:59" ht="58" x14ac:dyDescent="0.35">
      <c r="A3629" s="2" t="s">
        <v>59</v>
      </c>
      <c r="B3629" s="2" t="s">
        <v>60</v>
      </c>
      <c r="C3629" s="2" t="s">
        <v>35061</v>
      </c>
      <c r="D3629" s="2" t="s">
        <v>35062</v>
      </c>
      <c r="E3629" s="2" t="s">
        <v>35063</v>
      </c>
      <c r="G3629" s="3" t="s">
        <v>62</v>
      </c>
      <c r="I3629" s="3" t="s">
        <v>61</v>
      </c>
      <c r="J3629" s="3" t="s">
        <v>61</v>
      </c>
      <c r="K3629" s="3" t="s">
        <v>63</v>
      </c>
      <c r="M3629" s="2" t="s">
        <v>19151</v>
      </c>
      <c r="N3629" s="3" t="s">
        <v>1077</v>
      </c>
      <c r="O3629" s="2" t="s">
        <v>2986</v>
      </c>
      <c r="P3629" s="3" t="s">
        <v>64</v>
      </c>
      <c r="R3629" s="3" t="s">
        <v>34126</v>
      </c>
      <c r="S3629" s="4">
        <v>20</v>
      </c>
      <c r="T3629" s="4">
        <v>37</v>
      </c>
      <c r="U3629" s="5" t="s">
        <v>34561</v>
      </c>
      <c r="V3629" s="5" t="s">
        <v>35064</v>
      </c>
      <c r="W3629" s="5" t="s">
        <v>67</v>
      </c>
      <c r="X3629" s="5" t="s">
        <v>67</v>
      </c>
      <c r="Y3629" s="4">
        <v>377</v>
      </c>
      <c r="Z3629" s="4">
        <v>28</v>
      </c>
      <c r="AA3629" s="4">
        <v>121</v>
      </c>
      <c r="AB3629" s="4">
        <v>1</v>
      </c>
      <c r="AC3629" s="4">
        <v>20</v>
      </c>
      <c r="AD3629" s="4">
        <v>96</v>
      </c>
      <c r="AE3629" s="4">
        <v>162</v>
      </c>
      <c r="AF3629" s="4">
        <v>0</v>
      </c>
      <c r="AG3629" s="4">
        <v>8</v>
      </c>
      <c r="AH3629" s="4">
        <v>84</v>
      </c>
      <c r="AI3629" s="4">
        <v>117</v>
      </c>
      <c r="AJ3629" s="4">
        <v>12</v>
      </c>
      <c r="AK3629" s="4">
        <v>28</v>
      </c>
      <c r="AL3629" s="4">
        <v>47</v>
      </c>
      <c r="AM3629" s="4">
        <v>60</v>
      </c>
      <c r="AN3629" s="4">
        <v>0</v>
      </c>
      <c r="AO3629" s="4">
        <v>0</v>
      </c>
      <c r="AP3629" s="4">
        <v>15</v>
      </c>
      <c r="AQ3629" s="4">
        <v>52</v>
      </c>
      <c r="AR3629" s="3" t="s">
        <v>62</v>
      </c>
      <c r="AS3629" s="3" t="s">
        <v>62</v>
      </c>
      <c r="AT3629" s="3" t="s">
        <v>62</v>
      </c>
      <c r="AV3629" s="6" t="str">
        <f>HYPERLINK("http://mcgill.on.worldcat.org/oclc/27769089","Catalog Record")</f>
        <v>Catalog Record</v>
      </c>
      <c r="AW3629" s="6" t="str">
        <f>HYPERLINK("http://www.worldcat.org/oclc/27769089","WorldCat Record")</f>
        <v>WorldCat Record</v>
      </c>
      <c r="AX3629" s="3" t="s">
        <v>35065</v>
      </c>
      <c r="AY3629" s="3" t="s">
        <v>35066</v>
      </c>
      <c r="AZ3629" s="3" t="s">
        <v>35067</v>
      </c>
      <c r="BA3629" s="3" t="s">
        <v>35067</v>
      </c>
      <c r="BB3629" s="3" t="s">
        <v>35068</v>
      </c>
      <c r="BC3629" s="3" t="s">
        <v>102</v>
      </c>
      <c r="BD3629" s="3" t="s">
        <v>68</v>
      </c>
      <c r="BE3629" s="3" t="s">
        <v>35069</v>
      </c>
      <c r="BF3629" s="3" t="s">
        <v>35068</v>
      </c>
      <c r="BG3629" s="3" t="s">
        <v>35070</v>
      </c>
    </row>
    <row r="3630" spans="1:59" ht="58" x14ac:dyDescent="0.35">
      <c r="A3630" s="2" t="s">
        <v>89</v>
      </c>
      <c r="B3630" s="2" t="s">
        <v>90</v>
      </c>
      <c r="C3630" s="2" t="s">
        <v>35071</v>
      </c>
      <c r="D3630" s="2" t="s">
        <v>35072</v>
      </c>
      <c r="E3630" s="2" t="s">
        <v>35073</v>
      </c>
      <c r="G3630" s="3" t="s">
        <v>62</v>
      </c>
      <c r="I3630" s="3" t="s">
        <v>62</v>
      </c>
      <c r="J3630" s="3" t="s">
        <v>62</v>
      </c>
      <c r="K3630" s="3" t="s">
        <v>63</v>
      </c>
      <c r="L3630" s="2" t="s">
        <v>35074</v>
      </c>
      <c r="M3630" s="2" t="s">
        <v>35075</v>
      </c>
      <c r="N3630" s="3" t="s">
        <v>625</v>
      </c>
      <c r="P3630" s="3" t="s">
        <v>64</v>
      </c>
      <c r="R3630" s="3" t="s">
        <v>34126</v>
      </c>
      <c r="S3630" s="4">
        <v>22</v>
      </c>
      <c r="T3630" s="4">
        <v>22</v>
      </c>
      <c r="U3630" s="5" t="s">
        <v>9232</v>
      </c>
      <c r="V3630" s="5" t="s">
        <v>9232</v>
      </c>
      <c r="W3630" s="5" t="s">
        <v>67</v>
      </c>
      <c r="X3630" s="5" t="s">
        <v>67</v>
      </c>
      <c r="Y3630" s="4">
        <v>899</v>
      </c>
      <c r="Z3630" s="4">
        <v>58</v>
      </c>
      <c r="AA3630" s="4">
        <v>126</v>
      </c>
      <c r="AB3630" s="4">
        <v>4</v>
      </c>
      <c r="AC3630" s="4">
        <v>19</v>
      </c>
      <c r="AD3630" s="4">
        <v>125</v>
      </c>
      <c r="AE3630" s="4">
        <v>151</v>
      </c>
      <c r="AF3630" s="4">
        <v>1</v>
      </c>
      <c r="AG3630" s="4">
        <v>8</v>
      </c>
      <c r="AH3630" s="4">
        <v>96</v>
      </c>
      <c r="AI3630" s="4">
        <v>104</v>
      </c>
      <c r="AJ3630" s="4">
        <v>18</v>
      </c>
      <c r="AK3630" s="4">
        <v>24</v>
      </c>
      <c r="AL3630" s="4">
        <v>52</v>
      </c>
      <c r="AM3630" s="4">
        <v>55</v>
      </c>
      <c r="AN3630" s="4">
        <v>0</v>
      </c>
      <c r="AO3630" s="4">
        <v>0</v>
      </c>
      <c r="AP3630" s="4">
        <v>35</v>
      </c>
      <c r="AQ3630" s="4">
        <v>52</v>
      </c>
      <c r="AR3630" s="3" t="s">
        <v>62</v>
      </c>
      <c r="AS3630" s="3" t="s">
        <v>62</v>
      </c>
      <c r="AT3630" s="3" t="s">
        <v>61</v>
      </c>
      <c r="AU3630" s="6" t="str">
        <f>HYPERLINK("http://catalog.hathitrust.org/Record/004318678","HathiTrust Record")</f>
        <v>HathiTrust Record</v>
      </c>
      <c r="AV3630" s="6" t="str">
        <f>HYPERLINK("http://mcgill.on.worldcat.org/oclc/51898972","Catalog Record")</f>
        <v>Catalog Record</v>
      </c>
      <c r="AW3630" s="6" t="str">
        <f>HYPERLINK("http://www.worldcat.org/oclc/51898972","WorldCat Record")</f>
        <v>WorldCat Record</v>
      </c>
      <c r="AX3630" s="3" t="s">
        <v>35076</v>
      </c>
      <c r="AY3630" s="3" t="s">
        <v>35077</v>
      </c>
      <c r="AZ3630" s="3" t="s">
        <v>35078</v>
      </c>
      <c r="BA3630" s="3" t="s">
        <v>35078</v>
      </c>
      <c r="BB3630" s="3" t="s">
        <v>35079</v>
      </c>
      <c r="BC3630" s="3" t="s">
        <v>102</v>
      </c>
      <c r="BD3630" s="3" t="s">
        <v>68</v>
      </c>
      <c r="BE3630" s="3" t="s">
        <v>35080</v>
      </c>
      <c r="BF3630" s="3" t="s">
        <v>35079</v>
      </c>
      <c r="BG3630" s="3" t="s">
        <v>35081</v>
      </c>
    </row>
    <row r="3631" spans="1:59" ht="58" x14ac:dyDescent="0.35">
      <c r="A3631" s="2" t="s">
        <v>89</v>
      </c>
      <c r="B3631" s="2" t="s">
        <v>90</v>
      </c>
      <c r="C3631" s="2" t="s">
        <v>35082</v>
      </c>
      <c r="D3631" s="2" t="s">
        <v>35083</v>
      </c>
      <c r="E3631" s="2" t="s">
        <v>35084</v>
      </c>
      <c r="G3631" s="3" t="s">
        <v>62</v>
      </c>
      <c r="I3631" s="3" t="s">
        <v>62</v>
      </c>
      <c r="J3631" s="3" t="s">
        <v>62</v>
      </c>
      <c r="K3631" s="3" t="s">
        <v>63</v>
      </c>
      <c r="L3631" s="2" t="s">
        <v>35085</v>
      </c>
      <c r="M3631" s="2" t="s">
        <v>35086</v>
      </c>
      <c r="N3631" s="3" t="s">
        <v>625</v>
      </c>
      <c r="P3631" s="3" t="s">
        <v>64</v>
      </c>
      <c r="R3631" s="3" t="s">
        <v>34126</v>
      </c>
      <c r="S3631" s="4">
        <v>3</v>
      </c>
      <c r="T3631" s="4">
        <v>3</v>
      </c>
      <c r="U3631" s="5" t="s">
        <v>35087</v>
      </c>
      <c r="V3631" s="5" t="s">
        <v>35087</v>
      </c>
      <c r="W3631" s="5" t="s">
        <v>67</v>
      </c>
      <c r="X3631" s="5" t="s">
        <v>67</v>
      </c>
      <c r="Y3631" s="4">
        <v>115</v>
      </c>
      <c r="Z3631" s="4">
        <v>12</v>
      </c>
      <c r="AA3631" s="4">
        <v>12</v>
      </c>
      <c r="AB3631" s="4">
        <v>1</v>
      </c>
      <c r="AC3631" s="4">
        <v>1</v>
      </c>
      <c r="AD3631" s="4">
        <v>50</v>
      </c>
      <c r="AE3631" s="4">
        <v>50</v>
      </c>
      <c r="AF3631" s="4">
        <v>0</v>
      </c>
      <c r="AG3631" s="4">
        <v>0</v>
      </c>
      <c r="AH3631" s="4">
        <v>44</v>
      </c>
      <c r="AI3631" s="4">
        <v>44</v>
      </c>
      <c r="AJ3631" s="4">
        <v>7</v>
      </c>
      <c r="AK3631" s="4">
        <v>7</v>
      </c>
      <c r="AL3631" s="4">
        <v>20</v>
      </c>
      <c r="AM3631" s="4">
        <v>20</v>
      </c>
      <c r="AN3631" s="4">
        <v>0</v>
      </c>
      <c r="AO3631" s="4">
        <v>0</v>
      </c>
      <c r="AP3631" s="4">
        <v>10</v>
      </c>
      <c r="AQ3631" s="4">
        <v>10</v>
      </c>
      <c r="AR3631" s="3" t="s">
        <v>62</v>
      </c>
      <c r="AS3631" s="3" t="s">
        <v>62</v>
      </c>
      <c r="AT3631" s="3" t="s">
        <v>61</v>
      </c>
      <c r="AU3631" s="6" t="str">
        <f>HYPERLINK("http://catalog.hathitrust.org/Record/004332853","HathiTrust Record")</f>
        <v>HathiTrust Record</v>
      </c>
      <c r="AV3631" s="6" t="str">
        <f>HYPERLINK("http://mcgill.on.worldcat.org/oclc/52896345","Catalog Record")</f>
        <v>Catalog Record</v>
      </c>
      <c r="AW3631" s="6" t="str">
        <f>HYPERLINK("http://www.worldcat.org/oclc/52896345","WorldCat Record")</f>
        <v>WorldCat Record</v>
      </c>
      <c r="AX3631" s="3" t="s">
        <v>35088</v>
      </c>
      <c r="AY3631" s="3" t="s">
        <v>35089</v>
      </c>
      <c r="AZ3631" s="3" t="s">
        <v>35090</v>
      </c>
      <c r="BA3631" s="3" t="s">
        <v>35090</v>
      </c>
      <c r="BB3631" s="3" t="s">
        <v>35091</v>
      </c>
      <c r="BC3631" s="3" t="s">
        <v>102</v>
      </c>
      <c r="BD3631" s="3" t="s">
        <v>68</v>
      </c>
      <c r="BE3631" s="3" t="s">
        <v>35092</v>
      </c>
      <c r="BF3631" s="3" t="s">
        <v>35091</v>
      </c>
      <c r="BG3631" s="3" t="s">
        <v>35093</v>
      </c>
    </row>
    <row r="3632" spans="1:59" ht="58" x14ac:dyDescent="0.35">
      <c r="A3632" s="2" t="s">
        <v>89</v>
      </c>
      <c r="B3632" s="2" t="s">
        <v>90</v>
      </c>
      <c r="C3632" s="2" t="s">
        <v>35094</v>
      </c>
      <c r="D3632" s="2" t="s">
        <v>35095</v>
      </c>
      <c r="E3632" s="2" t="s">
        <v>35096</v>
      </c>
      <c r="G3632" s="3" t="s">
        <v>62</v>
      </c>
      <c r="I3632" s="3" t="s">
        <v>62</v>
      </c>
      <c r="J3632" s="3" t="s">
        <v>62</v>
      </c>
      <c r="K3632" s="3" t="s">
        <v>63</v>
      </c>
      <c r="L3632" s="2" t="s">
        <v>35097</v>
      </c>
      <c r="M3632" s="2" t="s">
        <v>35098</v>
      </c>
      <c r="N3632" s="3" t="s">
        <v>625</v>
      </c>
      <c r="P3632" s="3" t="s">
        <v>64</v>
      </c>
      <c r="R3632" s="3" t="s">
        <v>34126</v>
      </c>
      <c r="S3632" s="4">
        <v>18</v>
      </c>
      <c r="T3632" s="4">
        <v>18</v>
      </c>
      <c r="U3632" s="5" t="s">
        <v>1630</v>
      </c>
      <c r="V3632" s="5" t="s">
        <v>1630</v>
      </c>
      <c r="W3632" s="5" t="s">
        <v>67</v>
      </c>
      <c r="X3632" s="5" t="s">
        <v>67</v>
      </c>
      <c r="Y3632" s="4">
        <v>252</v>
      </c>
      <c r="Z3632" s="4">
        <v>16</v>
      </c>
      <c r="AA3632" s="4">
        <v>19</v>
      </c>
      <c r="AB3632" s="4">
        <v>2</v>
      </c>
      <c r="AC3632" s="4">
        <v>4</v>
      </c>
      <c r="AD3632" s="4">
        <v>77</v>
      </c>
      <c r="AE3632" s="4">
        <v>78</v>
      </c>
      <c r="AF3632" s="4">
        <v>1</v>
      </c>
      <c r="AG3632" s="4">
        <v>1</v>
      </c>
      <c r="AH3632" s="4">
        <v>70</v>
      </c>
      <c r="AI3632" s="4">
        <v>70</v>
      </c>
      <c r="AJ3632" s="4">
        <v>10</v>
      </c>
      <c r="AK3632" s="4">
        <v>10</v>
      </c>
      <c r="AL3632" s="4">
        <v>35</v>
      </c>
      <c r="AM3632" s="4">
        <v>35</v>
      </c>
      <c r="AN3632" s="4">
        <v>0</v>
      </c>
      <c r="AO3632" s="4">
        <v>0</v>
      </c>
      <c r="AP3632" s="4">
        <v>13</v>
      </c>
      <c r="AQ3632" s="4">
        <v>14</v>
      </c>
      <c r="AR3632" s="3" t="s">
        <v>62</v>
      </c>
      <c r="AS3632" s="3" t="s">
        <v>62</v>
      </c>
      <c r="AT3632" s="3" t="s">
        <v>61</v>
      </c>
      <c r="AU3632" s="6" t="str">
        <f>HYPERLINK("http://catalog.hathitrust.org/Record/004322639","HathiTrust Record")</f>
        <v>HathiTrust Record</v>
      </c>
      <c r="AV3632" s="6" t="str">
        <f>HYPERLINK("http://mcgill.on.worldcat.org/oclc/49602045","Catalog Record")</f>
        <v>Catalog Record</v>
      </c>
      <c r="AW3632" s="6" t="str">
        <f>HYPERLINK("http://www.worldcat.org/oclc/49602045","WorldCat Record")</f>
        <v>WorldCat Record</v>
      </c>
      <c r="AX3632" s="3" t="s">
        <v>35099</v>
      </c>
      <c r="AY3632" s="3" t="s">
        <v>35100</v>
      </c>
      <c r="AZ3632" s="3" t="s">
        <v>35101</v>
      </c>
      <c r="BA3632" s="3" t="s">
        <v>35101</v>
      </c>
      <c r="BB3632" s="3" t="s">
        <v>35102</v>
      </c>
      <c r="BC3632" s="3" t="s">
        <v>102</v>
      </c>
      <c r="BD3632" s="3" t="s">
        <v>68</v>
      </c>
      <c r="BE3632" s="3" t="s">
        <v>35103</v>
      </c>
      <c r="BF3632" s="3" t="s">
        <v>35102</v>
      </c>
      <c r="BG3632" s="3" t="s">
        <v>35104</v>
      </c>
    </row>
    <row r="3633" spans="1:59" ht="58" x14ac:dyDescent="0.35">
      <c r="A3633" s="2" t="s">
        <v>89</v>
      </c>
      <c r="B3633" s="2" t="s">
        <v>90</v>
      </c>
      <c r="C3633" s="2" t="s">
        <v>35105</v>
      </c>
      <c r="D3633" s="2" t="s">
        <v>35106</v>
      </c>
      <c r="E3633" s="2" t="s">
        <v>35107</v>
      </c>
      <c r="G3633" s="3" t="s">
        <v>62</v>
      </c>
      <c r="I3633" s="3" t="s">
        <v>62</v>
      </c>
      <c r="J3633" s="3" t="s">
        <v>62</v>
      </c>
      <c r="K3633" s="3" t="s">
        <v>63</v>
      </c>
      <c r="L3633" s="2" t="s">
        <v>35108</v>
      </c>
      <c r="M3633" s="2" t="s">
        <v>35109</v>
      </c>
      <c r="N3633" s="3" t="s">
        <v>1077</v>
      </c>
      <c r="P3633" s="3" t="s">
        <v>64</v>
      </c>
      <c r="R3633" s="3" t="s">
        <v>34126</v>
      </c>
      <c r="S3633" s="4">
        <v>23</v>
      </c>
      <c r="T3633" s="4">
        <v>23</v>
      </c>
      <c r="U3633" s="5" t="s">
        <v>2474</v>
      </c>
      <c r="V3633" s="5" t="s">
        <v>2474</v>
      </c>
      <c r="W3633" s="5" t="s">
        <v>67</v>
      </c>
      <c r="X3633" s="5" t="s">
        <v>67</v>
      </c>
      <c r="Y3633" s="4">
        <v>380</v>
      </c>
      <c r="Z3633" s="4">
        <v>45</v>
      </c>
      <c r="AA3633" s="4">
        <v>45</v>
      </c>
      <c r="AB3633" s="4">
        <v>4</v>
      </c>
      <c r="AC3633" s="4">
        <v>4</v>
      </c>
      <c r="AD3633" s="4">
        <v>96</v>
      </c>
      <c r="AE3633" s="4">
        <v>103</v>
      </c>
      <c r="AF3633" s="4">
        <v>2</v>
      </c>
      <c r="AG3633" s="4">
        <v>2</v>
      </c>
      <c r="AH3633" s="4">
        <v>73</v>
      </c>
      <c r="AI3633" s="4">
        <v>79</v>
      </c>
      <c r="AJ3633" s="4">
        <v>17</v>
      </c>
      <c r="AK3633" s="4">
        <v>17</v>
      </c>
      <c r="AL3633" s="4">
        <v>44</v>
      </c>
      <c r="AM3633" s="4">
        <v>48</v>
      </c>
      <c r="AN3633" s="4">
        <v>0</v>
      </c>
      <c r="AO3633" s="4">
        <v>0</v>
      </c>
      <c r="AP3633" s="4">
        <v>32</v>
      </c>
      <c r="AQ3633" s="4">
        <v>32</v>
      </c>
      <c r="AR3633" s="3" t="s">
        <v>62</v>
      </c>
      <c r="AS3633" s="3" t="s">
        <v>62</v>
      </c>
      <c r="AT3633" s="3" t="s">
        <v>62</v>
      </c>
      <c r="AV3633" s="6" t="str">
        <f>HYPERLINK("http://mcgill.on.worldcat.org/oclc/28880450","Catalog Record")</f>
        <v>Catalog Record</v>
      </c>
      <c r="AW3633" s="6" t="str">
        <f>HYPERLINK("http://www.worldcat.org/oclc/28880450","WorldCat Record")</f>
        <v>WorldCat Record</v>
      </c>
      <c r="AX3633" s="3" t="s">
        <v>35110</v>
      </c>
      <c r="AY3633" s="3" t="s">
        <v>35111</v>
      </c>
      <c r="AZ3633" s="3" t="s">
        <v>35112</v>
      </c>
      <c r="BA3633" s="3" t="s">
        <v>35112</v>
      </c>
      <c r="BB3633" s="3" t="s">
        <v>35113</v>
      </c>
      <c r="BC3633" s="3" t="s">
        <v>102</v>
      </c>
      <c r="BD3633" s="3" t="s">
        <v>68</v>
      </c>
      <c r="BE3633" s="3" t="s">
        <v>35114</v>
      </c>
      <c r="BF3633" s="3" t="s">
        <v>35113</v>
      </c>
      <c r="BG3633" s="3" t="s">
        <v>35115</v>
      </c>
    </row>
    <row r="3634" spans="1:59" ht="58" x14ac:dyDescent="0.35">
      <c r="A3634" s="2" t="s">
        <v>59</v>
      </c>
      <c r="B3634" s="2" t="s">
        <v>60</v>
      </c>
      <c r="C3634" s="2" t="s">
        <v>35116</v>
      </c>
      <c r="D3634" s="2" t="s">
        <v>35117</v>
      </c>
      <c r="E3634" s="2" t="s">
        <v>35118</v>
      </c>
      <c r="G3634" s="3" t="s">
        <v>62</v>
      </c>
      <c r="I3634" s="3" t="s">
        <v>62</v>
      </c>
      <c r="J3634" s="3" t="s">
        <v>62</v>
      </c>
      <c r="K3634" s="3" t="s">
        <v>63</v>
      </c>
      <c r="L3634" s="2" t="s">
        <v>35119</v>
      </c>
      <c r="M3634" s="2" t="s">
        <v>35120</v>
      </c>
      <c r="N3634" s="3" t="s">
        <v>2000</v>
      </c>
      <c r="P3634" s="3" t="s">
        <v>64</v>
      </c>
      <c r="R3634" s="3" t="s">
        <v>34126</v>
      </c>
      <c r="S3634" s="4">
        <v>20</v>
      </c>
      <c r="T3634" s="4">
        <v>20</v>
      </c>
      <c r="U3634" s="5" t="s">
        <v>33286</v>
      </c>
      <c r="V3634" s="5" t="s">
        <v>33286</v>
      </c>
      <c r="W3634" s="5" t="s">
        <v>67</v>
      </c>
      <c r="X3634" s="5" t="s">
        <v>67</v>
      </c>
      <c r="Y3634" s="4">
        <v>666</v>
      </c>
      <c r="Z3634" s="4">
        <v>31</v>
      </c>
      <c r="AA3634" s="4">
        <v>33</v>
      </c>
      <c r="AB3634" s="4">
        <v>2</v>
      </c>
      <c r="AC3634" s="4">
        <v>4</v>
      </c>
      <c r="AD3634" s="4">
        <v>120</v>
      </c>
      <c r="AE3634" s="4">
        <v>122</v>
      </c>
      <c r="AF3634" s="4">
        <v>1</v>
      </c>
      <c r="AG3634" s="4">
        <v>3</v>
      </c>
      <c r="AH3634" s="4">
        <v>104</v>
      </c>
      <c r="AI3634" s="4">
        <v>105</v>
      </c>
      <c r="AJ3634" s="4">
        <v>15</v>
      </c>
      <c r="AK3634" s="4">
        <v>17</v>
      </c>
      <c r="AL3634" s="4">
        <v>55</v>
      </c>
      <c r="AM3634" s="4">
        <v>55</v>
      </c>
      <c r="AN3634" s="4">
        <v>0</v>
      </c>
      <c r="AO3634" s="4">
        <v>0</v>
      </c>
      <c r="AP3634" s="4">
        <v>25</v>
      </c>
      <c r="AQ3634" s="4">
        <v>26</v>
      </c>
      <c r="AR3634" s="3" t="s">
        <v>62</v>
      </c>
      <c r="AS3634" s="3" t="s">
        <v>62</v>
      </c>
      <c r="AT3634" s="3" t="s">
        <v>61</v>
      </c>
      <c r="AU3634" s="6" t="str">
        <f>HYPERLINK("http://catalog.hathitrust.org/Record/003120517","HathiTrust Record")</f>
        <v>HathiTrust Record</v>
      </c>
      <c r="AV3634" s="6" t="str">
        <f>HYPERLINK("http://mcgill.on.worldcat.org/oclc/34545007","Catalog Record")</f>
        <v>Catalog Record</v>
      </c>
      <c r="AW3634" s="6" t="str">
        <f>HYPERLINK("http://www.worldcat.org/oclc/34545007","WorldCat Record")</f>
        <v>WorldCat Record</v>
      </c>
      <c r="AX3634" s="3" t="s">
        <v>35121</v>
      </c>
      <c r="AY3634" s="3" t="s">
        <v>35122</v>
      </c>
      <c r="AZ3634" s="3" t="s">
        <v>35123</v>
      </c>
      <c r="BA3634" s="3" t="s">
        <v>35123</v>
      </c>
      <c r="BB3634" s="3" t="s">
        <v>35124</v>
      </c>
      <c r="BC3634" s="3" t="s">
        <v>102</v>
      </c>
      <c r="BD3634" s="3" t="s">
        <v>68</v>
      </c>
      <c r="BE3634" s="3" t="s">
        <v>35125</v>
      </c>
      <c r="BF3634" s="3" t="s">
        <v>35124</v>
      </c>
      <c r="BG3634" s="3" t="s">
        <v>35126</v>
      </c>
    </row>
    <row r="3635" spans="1:59" ht="58" x14ac:dyDescent="0.35">
      <c r="A3635" s="2" t="s">
        <v>89</v>
      </c>
      <c r="B3635" s="2" t="s">
        <v>90</v>
      </c>
      <c r="C3635" s="2" t="s">
        <v>35127</v>
      </c>
      <c r="D3635" s="2" t="s">
        <v>35128</v>
      </c>
      <c r="E3635" s="2" t="s">
        <v>35129</v>
      </c>
      <c r="G3635" s="3" t="s">
        <v>62</v>
      </c>
      <c r="I3635" s="3" t="s">
        <v>62</v>
      </c>
      <c r="J3635" s="3" t="s">
        <v>62</v>
      </c>
      <c r="K3635" s="3" t="s">
        <v>63</v>
      </c>
      <c r="L3635" s="2" t="s">
        <v>35130</v>
      </c>
      <c r="M3635" s="2" t="s">
        <v>35131</v>
      </c>
      <c r="N3635" s="3" t="s">
        <v>568</v>
      </c>
      <c r="P3635" s="3" t="s">
        <v>64</v>
      </c>
      <c r="R3635" s="3" t="s">
        <v>34126</v>
      </c>
      <c r="S3635" s="4">
        <v>12</v>
      </c>
      <c r="T3635" s="4">
        <v>12</v>
      </c>
      <c r="U3635" s="5" t="s">
        <v>35132</v>
      </c>
      <c r="V3635" s="5" t="s">
        <v>35132</v>
      </c>
      <c r="W3635" s="5" t="s">
        <v>67</v>
      </c>
      <c r="X3635" s="5" t="s">
        <v>67</v>
      </c>
      <c r="Y3635" s="4">
        <v>299</v>
      </c>
      <c r="Z3635" s="4">
        <v>26</v>
      </c>
      <c r="AA3635" s="4">
        <v>27</v>
      </c>
      <c r="AB3635" s="4">
        <v>1</v>
      </c>
      <c r="AC3635" s="4">
        <v>2</v>
      </c>
      <c r="AD3635" s="4">
        <v>91</v>
      </c>
      <c r="AE3635" s="4">
        <v>92</v>
      </c>
      <c r="AF3635" s="4">
        <v>0</v>
      </c>
      <c r="AG3635" s="4">
        <v>1</v>
      </c>
      <c r="AH3635" s="4">
        <v>78</v>
      </c>
      <c r="AI3635" s="4">
        <v>78</v>
      </c>
      <c r="AJ3635" s="4">
        <v>17</v>
      </c>
      <c r="AK3635" s="4">
        <v>18</v>
      </c>
      <c r="AL3635" s="4">
        <v>41</v>
      </c>
      <c r="AM3635" s="4">
        <v>41</v>
      </c>
      <c r="AN3635" s="4">
        <v>0</v>
      </c>
      <c r="AO3635" s="4">
        <v>0</v>
      </c>
      <c r="AP3635" s="4">
        <v>21</v>
      </c>
      <c r="AQ3635" s="4">
        <v>22</v>
      </c>
      <c r="AR3635" s="3" t="s">
        <v>62</v>
      </c>
      <c r="AS3635" s="3" t="s">
        <v>62</v>
      </c>
      <c r="AT3635" s="3" t="s">
        <v>62</v>
      </c>
      <c r="AV3635" s="6" t="str">
        <f>HYPERLINK("http://mcgill.on.worldcat.org/oclc/42080294","Catalog Record")</f>
        <v>Catalog Record</v>
      </c>
      <c r="AW3635" s="6" t="str">
        <f>HYPERLINK("http://www.worldcat.org/oclc/42080294","WorldCat Record")</f>
        <v>WorldCat Record</v>
      </c>
      <c r="AX3635" s="3" t="s">
        <v>35133</v>
      </c>
      <c r="AY3635" s="3" t="s">
        <v>35134</v>
      </c>
      <c r="AZ3635" s="3" t="s">
        <v>35135</v>
      </c>
      <c r="BA3635" s="3" t="s">
        <v>35135</v>
      </c>
      <c r="BB3635" s="3" t="s">
        <v>35136</v>
      </c>
      <c r="BC3635" s="3" t="s">
        <v>102</v>
      </c>
      <c r="BD3635" s="3" t="s">
        <v>68</v>
      </c>
      <c r="BE3635" s="3" t="s">
        <v>35137</v>
      </c>
      <c r="BF3635" s="3" t="s">
        <v>35136</v>
      </c>
      <c r="BG3635" s="3" t="s">
        <v>35138</v>
      </c>
    </row>
    <row r="3636" spans="1:59" ht="58" x14ac:dyDescent="0.35">
      <c r="A3636" s="2" t="s">
        <v>59</v>
      </c>
      <c r="B3636" s="2" t="s">
        <v>60</v>
      </c>
      <c r="C3636" s="2" t="s">
        <v>35139</v>
      </c>
      <c r="D3636" s="2" t="s">
        <v>35140</v>
      </c>
      <c r="E3636" s="2" t="s">
        <v>35141</v>
      </c>
      <c r="G3636" s="3" t="s">
        <v>62</v>
      </c>
      <c r="I3636" s="3" t="s">
        <v>62</v>
      </c>
      <c r="J3636" s="3" t="s">
        <v>62</v>
      </c>
      <c r="K3636" s="3" t="s">
        <v>63</v>
      </c>
      <c r="M3636" s="2" t="s">
        <v>35142</v>
      </c>
      <c r="N3636" s="3" t="s">
        <v>2975</v>
      </c>
      <c r="P3636" s="3" t="s">
        <v>64</v>
      </c>
      <c r="R3636" s="3" t="s">
        <v>34126</v>
      </c>
      <c r="S3636" s="4">
        <v>2</v>
      </c>
      <c r="T3636" s="4">
        <v>2</v>
      </c>
      <c r="U3636" s="5" t="s">
        <v>28659</v>
      </c>
      <c r="V3636" s="5" t="s">
        <v>28659</v>
      </c>
      <c r="W3636" s="5" t="s">
        <v>67</v>
      </c>
      <c r="X3636" s="5" t="s">
        <v>67</v>
      </c>
      <c r="Y3636" s="4">
        <v>329</v>
      </c>
      <c r="Z3636" s="4">
        <v>22</v>
      </c>
      <c r="AA3636" s="4">
        <v>23</v>
      </c>
      <c r="AB3636" s="4">
        <v>1</v>
      </c>
      <c r="AC3636" s="4">
        <v>2</v>
      </c>
      <c r="AD3636" s="4">
        <v>83</v>
      </c>
      <c r="AE3636" s="4">
        <v>84</v>
      </c>
      <c r="AF3636" s="4">
        <v>0</v>
      </c>
      <c r="AG3636" s="4">
        <v>1</v>
      </c>
      <c r="AH3636" s="4">
        <v>73</v>
      </c>
      <c r="AI3636" s="4">
        <v>74</v>
      </c>
      <c r="AJ3636" s="4">
        <v>11</v>
      </c>
      <c r="AK3636" s="4">
        <v>12</v>
      </c>
      <c r="AL3636" s="4">
        <v>40</v>
      </c>
      <c r="AM3636" s="4">
        <v>40</v>
      </c>
      <c r="AN3636" s="4">
        <v>0</v>
      </c>
      <c r="AO3636" s="4">
        <v>0</v>
      </c>
      <c r="AP3636" s="4">
        <v>16</v>
      </c>
      <c r="AQ3636" s="4">
        <v>17</v>
      </c>
      <c r="AR3636" s="3" t="s">
        <v>62</v>
      </c>
      <c r="AS3636" s="3" t="s">
        <v>62</v>
      </c>
      <c r="AT3636" s="3" t="s">
        <v>61</v>
      </c>
      <c r="AU3636" s="6" t="str">
        <f>HYPERLINK("http://catalog.hathitrust.org/Record/004179076","HathiTrust Record")</f>
        <v>HathiTrust Record</v>
      </c>
      <c r="AV3636" s="6" t="str">
        <f>HYPERLINK("http://mcgill.on.worldcat.org/oclc/44420664","Catalog Record")</f>
        <v>Catalog Record</v>
      </c>
      <c r="AW3636" s="6" t="str">
        <f>HYPERLINK("http://www.worldcat.org/oclc/44420664","WorldCat Record")</f>
        <v>WorldCat Record</v>
      </c>
      <c r="AX3636" s="3" t="s">
        <v>35143</v>
      </c>
      <c r="AY3636" s="3" t="s">
        <v>35144</v>
      </c>
      <c r="AZ3636" s="3" t="s">
        <v>35145</v>
      </c>
      <c r="BA3636" s="3" t="s">
        <v>35145</v>
      </c>
      <c r="BB3636" s="3" t="s">
        <v>35146</v>
      </c>
      <c r="BC3636" s="3" t="s">
        <v>102</v>
      </c>
      <c r="BD3636" s="3" t="s">
        <v>68</v>
      </c>
      <c r="BE3636" s="3" t="s">
        <v>35147</v>
      </c>
      <c r="BF3636" s="3" t="s">
        <v>35146</v>
      </c>
      <c r="BG3636" s="3" t="s">
        <v>35148</v>
      </c>
    </row>
    <row r="3637" spans="1:59" ht="58" x14ac:dyDescent="0.35">
      <c r="A3637" s="2" t="s">
        <v>59</v>
      </c>
      <c r="B3637" s="2" t="s">
        <v>60</v>
      </c>
      <c r="C3637" s="2" t="s">
        <v>35149</v>
      </c>
      <c r="D3637" s="2" t="s">
        <v>35150</v>
      </c>
      <c r="E3637" s="2" t="s">
        <v>35151</v>
      </c>
      <c r="G3637" s="3" t="s">
        <v>62</v>
      </c>
      <c r="I3637" s="3" t="s">
        <v>61</v>
      </c>
      <c r="J3637" s="3" t="s">
        <v>62</v>
      </c>
      <c r="K3637" s="3" t="s">
        <v>63</v>
      </c>
      <c r="L3637" s="2" t="s">
        <v>35152</v>
      </c>
      <c r="M3637" s="2" t="s">
        <v>35153</v>
      </c>
      <c r="N3637" s="3" t="s">
        <v>2975</v>
      </c>
      <c r="P3637" s="3" t="s">
        <v>64</v>
      </c>
      <c r="R3637" s="3" t="s">
        <v>34126</v>
      </c>
      <c r="S3637" s="4">
        <v>3</v>
      </c>
      <c r="T3637" s="4">
        <v>11</v>
      </c>
      <c r="U3637" s="5" t="s">
        <v>35154</v>
      </c>
      <c r="V3637" s="5" t="s">
        <v>35154</v>
      </c>
      <c r="W3637" s="5" t="s">
        <v>67</v>
      </c>
      <c r="X3637" s="5" t="s">
        <v>67</v>
      </c>
      <c r="Y3637" s="4">
        <v>567</v>
      </c>
      <c r="Z3637" s="4">
        <v>15</v>
      </c>
      <c r="AA3637" s="4">
        <v>107</v>
      </c>
      <c r="AB3637" s="4">
        <v>2</v>
      </c>
      <c r="AC3637" s="4">
        <v>19</v>
      </c>
      <c r="AD3637" s="4">
        <v>103</v>
      </c>
      <c r="AE3637" s="4">
        <v>151</v>
      </c>
      <c r="AF3637" s="4">
        <v>0</v>
      </c>
      <c r="AG3637" s="4">
        <v>8</v>
      </c>
      <c r="AH3637" s="4">
        <v>93</v>
      </c>
      <c r="AI3637" s="4">
        <v>111</v>
      </c>
      <c r="AJ3637" s="4">
        <v>9</v>
      </c>
      <c r="AK3637" s="4">
        <v>25</v>
      </c>
      <c r="AL3637" s="4">
        <v>54</v>
      </c>
      <c r="AM3637" s="4">
        <v>61</v>
      </c>
      <c r="AN3637" s="4">
        <v>0</v>
      </c>
      <c r="AO3637" s="4">
        <v>0</v>
      </c>
      <c r="AP3637" s="4">
        <v>11</v>
      </c>
      <c r="AQ3637" s="4">
        <v>46</v>
      </c>
      <c r="AR3637" s="3" t="s">
        <v>62</v>
      </c>
      <c r="AS3637" s="3" t="s">
        <v>62</v>
      </c>
      <c r="AT3637" s="3" t="s">
        <v>62</v>
      </c>
      <c r="AV3637" s="6" t="str">
        <f>HYPERLINK("http://mcgill.on.worldcat.org/oclc/45362678","Catalog Record")</f>
        <v>Catalog Record</v>
      </c>
      <c r="AW3637" s="6" t="str">
        <f>HYPERLINK("http://www.worldcat.org/oclc/45362678","WorldCat Record")</f>
        <v>WorldCat Record</v>
      </c>
      <c r="AX3637" s="3" t="s">
        <v>35155</v>
      </c>
      <c r="AY3637" s="3" t="s">
        <v>35156</v>
      </c>
      <c r="AZ3637" s="3" t="s">
        <v>35157</v>
      </c>
      <c r="BA3637" s="3" t="s">
        <v>35157</v>
      </c>
      <c r="BB3637" s="3" t="s">
        <v>35158</v>
      </c>
      <c r="BC3637" s="3" t="s">
        <v>102</v>
      </c>
      <c r="BD3637" s="3" t="s">
        <v>68</v>
      </c>
      <c r="BE3637" s="3" t="s">
        <v>35159</v>
      </c>
      <c r="BF3637" s="3" t="s">
        <v>35158</v>
      </c>
      <c r="BG3637" s="3" t="s">
        <v>35160</v>
      </c>
    </row>
    <row r="3638" spans="1:59" ht="58" x14ac:dyDescent="0.35">
      <c r="A3638" s="2" t="s">
        <v>89</v>
      </c>
      <c r="B3638" s="2" t="s">
        <v>90</v>
      </c>
      <c r="C3638" s="2" t="s">
        <v>35161</v>
      </c>
      <c r="D3638" s="2" t="s">
        <v>35162</v>
      </c>
      <c r="E3638" s="2" t="s">
        <v>35163</v>
      </c>
      <c r="G3638" s="3" t="s">
        <v>62</v>
      </c>
      <c r="I3638" s="3" t="s">
        <v>62</v>
      </c>
      <c r="J3638" s="3" t="s">
        <v>62</v>
      </c>
      <c r="K3638" s="3" t="s">
        <v>63</v>
      </c>
      <c r="M3638" s="2" t="s">
        <v>35075</v>
      </c>
      <c r="N3638" s="3" t="s">
        <v>625</v>
      </c>
      <c r="P3638" s="3" t="s">
        <v>64</v>
      </c>
      <c r="R3638" s="3" t="s">
        <v>34126</v>
      </c>
      <c r="S3638" s="4">
        <v>12</v>
      </c>
      <c r="T3638" s="4">
        <v>12</v>
      </c>
      <c r="U3638" s="5" t="s">
        <v>15112</v>
      </c>
      <c r="V3638" s="5" t="s">
        <v>15112</v>
      </c>
      <c r="W3638" s="5" t="s">
        <v>67</v>
      </c>
      <c r="X3638" s="5" t="s">
        <v>67</v>
      </c>
      <c r="Y3638" s="4">
        <v>340</v>
      </c>
      <c r="Z3638" s="4">
        <v>22</v>
      </c>
      <c r="AA3638" s="4">
        <v>25</v>
      </c>
      <c r="AB3638" s="4">
        <v>1</v>
      </c>
      <c r="AC3638" s="4">
        <v>4</v>
      </c>
      <c r="AD3638" s="4">
        <v>93</v>
      </c>
      <c r="AE3638" s="4">
        <v>94</v>
      </c>
      <c r="AF3638" s="4">
        <v>0</v>
      </c>
      <c r="AG3638" s="4">
        <v>1</v>
      </c>
      <c r="AH3638" s="4">
        <v>82</v>
      </c>
      <c r="AI3638" s="4">
        <v>83</v>
      </c>
      <c r="AJ3638" s="4">
        <v>12</v>
      </c>
      <c r="AK3638" s="4">
        <v>13</v>
      </c>
      <c r="AL3638" s="4">
        <v>48</v>
      </c>
      <c r="AM3638" s="4">
        <v>48</v>
      </c>
      <c r="AN3638" s="4">
        <v>0</v>
      </c>
      <c r="AO3638" s="4">
        <v>0</v>
      </c>
      <c r="AP3638" s="4">
        <v>16</v>
      </c>
      <c r="AQ3638" s="4">
        <v>17</v>
      </c>
      <c r="AR3638" s="3" t="s">
        <v>62</v>
      </c>
      <c r="AS3638" s="3" t="s">
        <v>62</v>
      </c>
      <c r="AT3638" s="3" t="s">
        <v>61</v>
      </c>
      <c r="AU3638" s="6" t="str">
        <f>HYPERLINK("http://catalog.hathitrust.org/Record/004354122","HathiTrust Record")</f>
        <v>HathiTrust Record</v>
      </c>
      <c r="AV3638" s="6" t="str">
        <f>HYPERLINK("http://mcgill.on.worldcat.org/oclc/52127912","Catalog Record")</f>
        <v>Catalog Record</v>
      </c>
      <c r="AW3638" s="6" t="str">
        <f>HYPERLINK("http://www.worldcat.org/oclc/52127912","WorldCat Record")</f>
        <v>WorldCat Record</v>
      </c>
      <c r="AX3638" s="3" t="s">
        <v>35164</v>
      </c>
      <c r="AY3638" s="3" t="s">
        <v>35165</v>
      </c>
      <c r="AZ3638" s="3" t="s">
        <v>35166</v>
      </c>
      <c r="BA3638" s="3" t="s">
        <v>35166</v>
      </c>
      <c r="BB3638" s="3" t="s">
        <v>35167</v>
      </c>
      <c r="BC3638" s="3" t="s">
        <v>102</v>
      </c>
      <c r="BD3638" s="3" t="s">
        <v>68</v>
      </c>
      <c r="BE3638" s="3" t="s">
        <v>35168</v>
      </c>
      <c r="BF3638" s="3" t="s">
        <v>35167</v>
      </c>
      <c r="BG3638" s="3" t="s">
        <v>35169</v>
      </c>
    </row>
    <row r="3639" spans="1:59" ht="72.5" x14ac:dyDescent="0.35">
      <c r="A3639" s="2" t="s">
        <v>89</v>
      </c>
      <c r="B3639" s="2" t="s">
        <v>1231</v>
      </c>
      <c r="C3639" s="2" t="s">
        <v>35170</v>
      </c>
      <c r="D3639" s="2" t="s">
        <v>35171</v>
      </c>
      <c r="E3639" s="2" t="s">
        <v>35172</v>
      </c>
      <c r="G3639" s="3" t="s">
        <v>62</v>
      </c>
      <c r="I3639" s="3" t="s">
        <v>61</v>
      </c>
      <c r="J3639" s="3" t="s">
        <v>62</v>
      </c>
      <c r="K3639" s="3" t="s">
        <v>63</v>
      </c>
      <c r="L3639" s="2" t="s">
        <v>35173</v>
      </c>
      <c r="M3639" s="2" t="s">
        <v>35174</v>
      </c>
      <c r="N3639" s="3" t="s">
        <v>186</v>
      </c>
      <c r="P3639" s="3" t="s">
        <v>64</v>
      </c>
      <c r="Q3639" s="2" t="s">
        <v>35175</v>
      </c>
      <c r="R3639" s="3" t="s">
        <v>34126</v>
      </c>
      <c r="S3639" s="4">
        <v>6</v>
      </c>
      <c r="T3639" s="4">
        <v>6</v>
      </c>
      <c r="U3639" s="5" t="s">
        <v>35176</v>
      </c>
      <c r="V3639" s="5" t="s">
        <v>35176</v>
      </c>
      <c r="W3639" s="5" t="s">
        <v>67</v>
      </c>
      <c r="X3639" s="5" t="s">
        <v>67</v>
      </c>
      <c r="Y3639" s="4">
        <v>373</v>
      </c>
      <c r="Z3639" s="4">
        <v>32</v>
      </c>
      <c r="AA3639" s="4">
        <v>36</v>
      </c>
      <c r="AB3639" s="4">
        <v>3</v>
      </c>
      <c r="AC3639" s="4">
        <v>7</v>
      </c>
      <c r="AD3639" s="4">
        <v>109</v>
      </c>
      <c r="AE3639" s="4">
        <v>113</v>
      </c>
      <c r="AF3639" s="4">
        <v>1</v>
      </c>
      <c r="AG3639" s="4">
        <v>5</v>
      </c>
      <c r="AH3639" s="4">
        <v>95</v>
      </c>
      <c r="AI3639" s="4">
        <v>96</v>
      </c>
      <c r="AJ3639" s="4">
        <v>21</v>
      </c>
      <c r="AK3639" s="4">
        <v>24</v>
      </c>
      <c r="AL3639" s="4">
        <v>48</v>
      </c>
      <c r="AM3639" s="4">
        <v>48</v>
      </c>
      <c r="AN3639" s="4">
        <v>0</v>
      </c>
      <c r="AO3639" s="4">
        <v>0</v>
      </c>
      <c r="AP3639" s="4">
        <v>25</v>
      </c>
      <c r="AQ3639" s="4">
        <v>28</v>
      </c>
      <c r="AR3639" s="3" t="s">
        <v>62</v>
      </c>
      <c r="AS3639" s="3" t="s">
        <v>62</v>
      </c>
      <c r="AT3639" s="3" t="s">
        <v>61</v>
      </c>
      <c r="AU3639" s="6" t="str">
        <f>HYPERLINK("http://catalog.hathitrust.org/Record/000015894","HathiTrust Record")</f>
        <v>HathiTrust Record</v>
      </c>
      <c r="AV3639" s="6" t="str">
        <f>HYPERLINK("http://mcgill.on.worldcat.org/oclc/980316","Catalog Record")</f>
        <v>Catalog Record</v>
      </c>
      <c r="AW3639" s="6" t="str">
        <f>HYPERLINK("http://www.worldcat.org/oclc/980316","WorldCat Record")</f>
        <v>WorldCat Record</v>
      </c>
      <c r="AX3639" s="3" t="s">
        <v>35177</v>
      </c>
      <c r="AY3639" s="3" t="s">
        <v>35178</v>
      </c>
      <c r="AZ3639" s="3" t="s">
        <v>35179</v>
      </c>
      <c r="BA3639" s="3" t="s">
        <v>35179</v>
      </c>
      <c r="BB3639" s="3" t="s">
        <v>35180</v>
      </c>
      <c r="BC3639" s="3" t="s">
        <v>102</v>
      </c>
      <c r="BD3639" s="3" t="s">
        <v>68</v>
      </c>
      <c r="BE3639" s="3" t="s">
        <v>35181</v>
      </c>
      <c r="BF3639" s="3" t="s">
        <v>35180</v>
      </c>
      <c r="BG3639" s="3" t="s">
        <v>35182</v>
      </c>
    </row>
    <row r="3640" spans="1:59" ht="58" x14ac:dyDescent="0.35">
      <c r="A3640" s="2" t="s">
        <v>59</v>
      </c>
      <c r="B3640" s="2" t="s">
        <v>60</v>
      </c>
      <c r="C3640" s="2" t="s">
        <v>35170</v>
      </c>
      <c r="D3640" s="2" t="s">
        <v>35171</v>
      </c>
      <c r="E3640" s="2" t="s">
        <v>35172</v>
      </c>
      <c r="G3640" s="3" t="s">
        <v>62</v>
      </c>
      <c r="I3640" s="3" t="s">
        <v>61</v>
      </c>
      <c r="J3640" s="3" t="s">
        <v>62</v>
      </c>
      <c r="K3640" s="3" t="s">
        <v>63</v>
      </c>
      <c r="L3640" s="2" t="s">
        <v>35173</v>
      </c>
      <c r="M3640" s="2" t="s">
        <v>35174</v>
      </c>
      <c r="N3640" s="3" t="s">
        <v>186</v>
      </c>
      <c r="P3640" s="3" t="s">
        <v>64</v>
      </c>
      <c r="Q3640" s="2" t="s">
        <v>35175</v>
      </c>
      <c r="R3640" s="3" t="s">
        <v>34126</v>
      </c>
      <c r="S3640" s="4">
        <v>0</v>
      </c>
      <c r="T3640" s="4">
        <v>6</v>
      </c>
      <c r="V3640" s="5" t="s">
        <v>35176</v>
      </c>
      <c r="W3640" s="5" t="s">
        <v>67</v>
      </c>
      <c r="X3640" s="5" t="s">
        <v>67</v>
      </c>
      <c r="Y3640" s="4">
        <v>373</v>
      </c>
      <c r="Z3640" s="4">
        <v>32</v>
      </c>
      <c r="AA3640" s="4">
        <v>36</v>
      </c>
      <c r="AB3640" s="4">
        <v>3</v>
      </c>
      <c r="AC3640" s="4">
        <v>7</v>
      </c>
      <c r="AD3640" s="4">
        <v>109</v>
      </c>
      <c r="AE3640" s="4">
        <v>113</v>
      </c>
      <c r="AF3640" s="4">
        <v>1</v>
      </c>
      <c r="AG3640" s="4">
        <v>5</v>
      </c>
      <c r="AH3640" s="4">
        <v>95</v>
      </c>
      <c r="AI3640" s="4">
        <v>96</v>
      </c>
      <c r="AJ3640" s="4">
        <v>21</v>
      </c>
      <c r="AK3640" s="4">
        <v>24</v>
      </c>
      <c r="AL3640" s="4">
        <v>48</v>
      </c>
      <c r="AM3640" s="4">
        <v>48</v>
      </c>
      <c r="AN3640" s="4">
        <v>0</v>
      </c>
      <c r="AO3640" s="4">
        <v>0</v>
      </c>
      <c r="AP3640" s="4">
        <v>25</v>
      </c>
      <c r="AQ3640" s="4">
        <v>28</v>
      </c>
      <c r="AR3640" s="3" t="s">
        <v>62</v>
      </c>
      <c r="AS3640" s="3" t="s">
        <v>62</v>
      </c>
      <c r="AT3640" s="3" t="s">
        <v>61</v>
      </c>
      <c r="AU3640" s="6" t="str">
        <f>HYPERLINK("http://catalog.hathitrust.org/Record/000015894","HathiTrust Record")</f>
        <v>HathiTrust Record</v>
      </c>
      <c r="AV3640" s="6" t="str">
        <f>HYPERLINK("http://mcgill.on.worldcat.org/oclc/980316","Catalog Record")</f>
        <v>Catalog Record</v>
      </c>
      <c r="AW3640" s="6" t="str">
        <f>HYPERLINK("http://www.worldcat.org/oclc/980316","WorldCat Record")</f>
        <v>WorldCat Record</v>
      </c>
      <c r="AX3640" s="3" t="s">
        <v>35177</v>
      </c>
      <c r="AY3640" s="3" t="s">
        <v>35178</v>
      </c>
      <c r="AZ3640" s="3" t="s">
        <v>35179</v>
      </c>
      <c r="BA3640" s="3" t="s">
        <v>35179</v>
      </c>
      <c r="BB3640" s="3" t="s">
        <v>35183</v>
      </c>
      <c r="BC3640" s="3" t="s">
        <v>102</v>
      </c>
      <c r="BD3640" s="3" t="s">
        <v>68</v>
      </c>
      <c r="BE3640" s="3" t="s">
        <v>35181</v>
      </c>
      <c r="BF3640" s="3" t="s">
        <v>35183</v>
      </c>
      <c r="BG3640" s="3" t="s">
        <v>35184</v>
      </c>
    </row>
    <row r="3641" spans="1:59" ht="58" x14ac:dyDescent="0.35">
      <c r="A3641" s="2" t="s">
        <v>59</v>
      </c>
      <c r="B3641" s="2" t="s">
        <v>60</v>
      </c>
      <c r="C3641" s="2" t="s">
        <v>35185</v>
      </c>
      <c r="D3641" s="2" t="s">
        <v>35186</v>
      </c>
      <c r="E3641" s="2" t="s">
        <v>35187</v>
      </c>
      <c r="G3641" s="3" t="s">
        <v>62</v>
      </c>
      <c r="I3641" s="3" t="s">
        <v>62</v>
      </c>
      <c r="J3641" s="3" t="s">
        <v>62</v>
      </c>
      <c r="K3641" s="3" t="s">
        <v>63</v>
      </c>
      <c r="L3641" s="2" t="s">
        <v>35188</v>
      </c>
      <c r="M3641" s="2" t="s">
        <v>35189</v>
      </c>
      <c r="N3641" s="3" t="s">
        <v>1482</v>
      </c>
      <c r="O3641" s="2" t="s">
        <v>2163</v>
      </c>
      <c r="P3641" s="3" t="s">
        <v>64</v>
      </c>
      <c r="R3641" s="3" t="s">
        <v>34126</v>
      </c>
      <c r="S3641" s="4">
        <v>8</v>
      </c>
      <c r="T3641" s="4">
        <v>8</v>
      </c>
      <c r="U3641" s="5" t="s">
        <v>11740</v>
      </c>
      <c r="V3641" s="5" t="s">
        <v>11740</v>
      </c>
      <c r="W3641" s="5" t="s">
        <v>67</v>
      </c>
      <c r="X3641" s="5" t="s">
        <v>67</v>
      </c>
      <c r="Y3641" s="4">
        <v>947</v>
      </c>
      <c r="Z3641" s="4">
        <v>21</v>
      </c>
      <c r="AA3641" s="4">
        <v>30</v>
      </c>
      <c r="AB3641" s="4">
        <v>3</v>
      </c>
      <c r="AC3641" s="4">
        <v>6</v>
      </c>
      <c r="AD3641" s="4">
        <v>105</v>
      </c>
      <c r="AE3641" s="4">
        <v>120</v>
      </c>
      <c r="AF3641" s="4">
        <v>0</v>
      </c>
      <c r="AG3641" s="4">
        <v>1</v>
      </c>
      <c r="AH3641" s="4">
        <v>97</v>
      </c>
      <c r="AI3641" s="4">
        <v>107</v>
      </c>
      <c r="AJ3641" s="4">
        <v>11</v>
      </c>
      <c r="AK3641" s="4">
        <v>14</v>
      </c>
      <c r="AL3641" s="4">
        <v>50</v>
      </c>
      <c r="AM3641" s="4">
        <v>55</v>
      </c>
      <c r="AN3641" s="4">
        <v>0</v>
      </c>
      <c r="AO3641" s="4">
        <v>0</v>
      </c>
      <c r="AP3641" s="4">
        <v>14</v>
      </c>
      <c r="AQ3641" s="4">
        <v>19</v>
      </c>
      <c r="AR3641" s="3" t="s">
        <v>62</v>
      </c>
      <c r="AS3641" s="3" t="s">
        <v>62</v>
      </c>
      <c r="AT3641" s="3" t="s">
        <v>62</v>
      </c>
      <c r="AV3641" s="6" t="str">
        <f>HYPERLINK("http://mcgill.on.worldcat.org/oclc/13095393","Catalog Record")</f>
        <v>Catalog Record</v>
      </c>
      <c r="AW3641" s="6" t="str">
        <f>HYPERLINK("http://www.worldcat.org/oclc/13095393","WorldCat Record")</f>
        <v>WorldCat Record</v>
      </c>
      <c r="AX3641" s="3" t="s">
        <v>35190</v>
      </c>
      <c r="AY3641" s="3" t="s">
        <v>35191</v>
      </c>
      <c r="AZ3641" s="3" t="s">
        <v>35192</v>
      </c>
      <c r="BA3641" s="3" t="s">
        <v>35192</v>
      </c>
      <c r="BB3641" s="3" t="s">
        <v>35193</v>
      </c>
      <c r="BC3641" s="3" t="s">
        <v>102</v>
      </c>
      <c r="BD3641" s="3" t="s">
        <v>6923</v>
      </c>
      <c r="BE3641" s="3" t="s">
        <v>35194</v>
      </c>
      <c r="BF3641" s="3" t="s">
        <v>35193</v>
      </c>
      <c r="BG3641" s="3" t="s">
        <v>35195</v>
      </c>
    </row>
    <row r="3642" spans="1:59" ht="58" x14ac:dyDescent="0.35">
      <c r="A3642" s="2" t="s">
        <v>89</v>
      </c>
      <c r="B3642" s="2" t="s">
        <v>90</v>
      </c>
      <c r="C3642" s="2" t="s">
        <v>35196</v>
      </c>
      <c r="D3642" s="2" t="s">
        <v>35197</v>
      </c>
      <c r="E3642" s="2" t="s">
        <v>35198</v>
      </c>
      <c r="G3642" s="3" t="s">
        <v>62</v>
      </c>
      <c r="I3642" s="3" t="s">
        <v>62</v>
      </c>
      <c r="J3642" s="3" t="s">
        <v>62</v>
      </c>
      <c r="K3642" s="3" t="s">
        <v>63</v>
      </c>
      <c r="L3642" s="2" t="s">
        <v>35199</v>
      </c>
      <c r="M3642" s="2" t="s">
        <v>35200</v>
      </c>
      <c r="N3642" s="3" t="s">
        <v>553</v>
      </c>
      <c r="P3642" s="3" t="s">
        <v>64</v>
      </c>
      <c r="R3642" s="3" t="s">
        <v>34126</v>
      </c>
      <c r="S3642" s="4">
        <v>2</v>
      </c>
      <c r="T3642" s="4">
        <v>2</v>
      </c>
      <c r="U3642" s="5" t="s">
        <v>25056</v>
      </c>
      <c r="V3642" s="5" t="s">
        <v>25056</v>
      </c>
      <c r="W3642" s="5" t="s">
        <v>67</v>
      </c>
      <c r="X3642" s="5" t="s">
        <v>67</v>
      </c>
      <c r="Y3642" s="4">
        <v>420</v>
      </c>
      <c r="Z3642" s="4">
        <v>19</v>
      </c>
      <c r="AA3642" s="4">
        <v>19</v>
      </c>
      <c r="AB3642" s="4">
        <v>1</v>
      </c>
      <c r="AC3642" s="4">
        <v>1</v>
      </c>
      <c r="AD3642" s="4">
        <v>92</v>
      </c>
      <c r="AE3642" s="4">
        <v>92</v>
      </c>
      <c r="AF3642" s="4">
        <v>0</v>
      </c>
      <c r="AG3642" s="4">
        <v>0</v>
      </c>
      <c r="AH3642" s="4">
        <v>84</v>
      </c>
      <c r="AI3642" s="4">
        <v>84</v>
      </c>
      <c r="AJ3642" s="4">
        <v>12</v>
      </c>
      <c r="AK3642" s="4">
        <v>12</v>
      </c>
      <c r="AL3642" s="4">
        <v>43</v>
      </c>
      <c r="AM3642" s="4">
        <v>43</v>
      </c>
      <c r="AN3642" s="4">
        <v>0</v>
      </c>
      <c r="AO3642" s="4">
        <v>0</v>
      </c>
      <c r="AP3642" s="4">
        <v>14</v>
      </c>
      <c r="AQ3642" s="4">
        <v>14</v>
      </c>
      <c r="AR3642" s="3" t="s">
        <v>62</v>
      </c>
      <c r="AS3642" s="3" t="s">
        <v>62</v>
      </c>
      <c r="AT3642" s="3" t="s">
        <v>61</v>
      </c>
      <c r="AU3642" s="6" t="str">
        <f>HYPERLINK("http://catalog.hathitrust.org/Record/003595204","HathiTrust Record")</f>
        <v>HathiTrust Record</v>
      </c>
      <c r="AV3642" s="6" t="str">
        <f>HYPERLINK("http://mcgill.on.worldcat.org/oclc/40408755","Catalog Record")</f>
        <v>Catalog Record</v>
      </c>
      <c r="AW3642" s="6" t="str">
        <f>HYPERLINK("http://www.worldcat.org/oclc/40408755","WorldCat Record")</f>
        <v>WorldCat Record</v>
      </c>
      <c r="AX3642" s="3" t="s">
        <v>35201</v>
      </c>
      <c r="AY3642" s="3" t="s">
        <v>35202</v>
      </c>
      <c r="AZ3642" s="3" t="s">
        <v>35203</v>
      </c>
      <c r="BA3642" s="3" t="s">
        <v>35203</v>
      </c>
      <c r="BB3642" s="3" t="s">
        <v>35204</v>
      </c>
      <c r="BC3642" s="3" t="s">
        <v>102</v>
      </c>
      <c r="BD3642" s="3" t="s">
        <v>68</v>
      </c>
      <c r="BE3642" s="3" t="s">
        <v>35205</v>
      </c>
      <c r="BF3642" s="3" t="s">
        <v>35204</v>
      </c>
      <c r="BG3642" s="3" t="s">
        <v>35206</v>
      </c>
    </row>
    <row r="3643" spans="1:59" ht="72.5" x14ac:dyDescent="0.35">
      <c r="A3643" s="2" t="s">
        <v>89</v>
      </c>
      <c r="B3643" s="2" t="s">
        <v>90</v>
      </c>
      <c r="C3643" s="2" t="s">
        <v>35207</v>
      </c>
      <c r="D3643" s="2" t="s">
        <v>35208</v>
      </c>
      <c r="E3643" s="2" t="s">
        <v>35209</v>
      </c>
      <c r="G3643" s="3" t="s">
        <v>62</v>
      </c>
      <c r="I3643" s="3" t="s">
        <v>62</v>
      </c>
      <c r="J3643" s="3" t="s">
        <v>62</v>
      </c>
      <c r="K3643" s="3" t="s">
        <v>63</v>
      </c>
      <c r="M3643" s="2" t="s">
        <v>35210</v>
      </c>
      <c r="N3643" s="3" t="s">
        <v>880</v>
      </c>
      <c r="P3643" s="3" t="s">
        <v>64</v>
      </c>
      <c r="R3643" s="3" t="s">
        <v>34126</v>
      </c>
      <c r="S3643" s="4">
        <v>0</v>
      </c>
      <c r="T3643" s="4">
        <v>0</v>
      </c>
      <c r="W3643" s="5" t="s">
        <v>67</v>
      </c>
      <c r="X3643" s="5" t="s">
        <v>67</v>
      </c>
      <c r="Y3643" s="4">
        <v>127</v>
      </c>
      <c r="Z3643" s="4">
        <v>12</v>
      </c>
      <c r="AA3643" s="4">
        <v>13</v>
      </c>
      <c r="AB3643" s="4">
        <v>1</v>
      </c>
      <c r="AC3643" s="4">
        <v>2</v>
      </c>
      <c r="AD3643" s="4">
        <v>54</v>
      </c>
      <c r="AE3643" s="4">
        <v>55</v>
      </c>
      <c r="AF3643" s="4">
        <v>0</v>
      </c>
      <c r="AG3643" s="4">
        <v>1</v>
      </c>
      <c r="AH3643" s="4">
        <v>49</v>
      </c>
      <c r="AI3643" s="4">
        <v>50</v>
      </c>
      <c r="AJ3643" s="4">
        <v>8</v>
      </c>
      <c r="AK3643" s="4">
        <v>9</v>
      </c>
      <c r="AL3643" s="4">
        <v>35</v>
      </c>
      <c r="AM3643" s="4">
        <v>35</v>
      </c>
      <c r="AN3643" s="4">
        <v>0</v>
      </c>
      <c r="AO3643" s="4">
        <v>0</v>
      </c>
      <c r="AP3643" s="4">
        <v>9</v>
      </c>
      <c r="AQ3643" s="4">
        <v>10</v>
      </c>
      <c r="AR3643" s="3" t="s">
        <v>62</v>
      </c>
      <c r="AS3643" s="3" t="s">
        <v>62</v>
      </c>
      <c r="AT3643" s="3" t="s">
        <v>62</v>
      </c>
      <c r="AV3643" s="6" t="str">
        <f>HYPERLINK("http://mcgill.on.worldcat.org/oclc/476832891","Catalog Record")</f>
        <v>Catalog Record</v>
      </c>
      <c r="AW3643" s="6" t="str">
        <f>HYPERLINK("http://www.worldcat.org/oclc/476832891","WorldCat Record")</f>
        <v>WorldCat Record</v>
      </c>
      <c r="AX3643" s="3" t="s">
        <v>35211</v>
      </c>
      <c r="AY3643" s="3" t="s">
        <v>35212</v>
      </c>
      <c r="AZ3643" s="3" t="s">
        <v>35213</v>
      </c>
      <c r="BA3643" s="3" t="s">
        <v>35213</v>
      </c>
      <c r="BB3643" s="3" t="s">
        <v>35214</v>
      </c>
      <c r="BC3643" s="3" t="s">
        <v>102</v>
      </c>
      <c r="BD3643" s="3" t="s">
        <v>68</v>
      </c>
      <c r="BE3643" s="3" t="s">
        <v>35215</v>
      </c>
      <c r="BF3643" s="3" t="s">
        <v>35214</v>
      </c>
      <c r="BG3643" s="3" t="s">
        <v>35216</v>
      </c>
    </row>
    <row r="3644" spans="1:59" ht="87" x14ac:dyDescent="0.35">
      <c r="A3644" s="2" t="s">
        <v>89</v>
      </c>
      <c r="B3644" s="2" t="s">
        <v>90</v>
      </c>
      <c r="C3644" s="2" t="s">
        <v>35217</v>
      </c>
      <c r="D3644" s="2" t="s">
        <v>35218</v>
      </c>
      <c r="E3644" s="2" t="s">
        <v>35219</v>
      </c>
      <c r="G3644" s="3" t="s">
        <v>62</v>
      </c>
      <c r="I3644" s="3" t="s">
        <v>62</v>
      </c>
      <c r="J3644" s="3" t="s">
        <v>62</v>
      </c>
      <c r="K3644" s="3" t="s">
        <v>63</v>
      </c>
      <c r="L3644" s="2" t="s">
        <v>35220</v>
      </c>
      <c r="M3644" s="2" t="s">
        <v>35221</v>
      </c>
      <c r="N3644" s="3" t="s">
        <v>1195</v>
      </c>
      <c r="O3644" s="2" t="s">
        <v>35222</v>
      </c>
      <c r="P3644" s="3" t="s">
        <v>35223</v>
      </c>
      <c r="R3644" s="3" t="s">
        <v>34126</v>
      </c>
      <c r="S3644" s="4">
        <v>1</v>
      </c>
      <c r="T3644" s="4">
        <v>1</v>
      </c>
      <c r="U3644" s="5" t="s">
        <v>7326</v>
      </c>
      <c r="V3644" s="5" t="s">
        <v>7326</v>
      </c>
      <c r="W3644" s="5" t="s">
        <v>67</v>
      </c>
      <c r="X3644" s="5" t="s">
        <v>67</v>
      </c>
      <c r="Y3644" s="4">
        <v>6</v>
      </c>
      <c r="Z3644" s="4">
        <v>1</v>
      </c>
      <c r="AA3644" s="4">
        <v>1</v>
      </c>
      <c r="AB3644" s="4">
        <v>1</v>
      </c>
      <c r="AC3644" s="4">
        <v>1</v>
      </c>
      <c r="AD3644" s="4">
        <v>5</v>
      </c>
      <c r="AE3644" s="4">
        <v>5</v>
      </c>
      <c r="AF3644" s="4">
        <v>0</v>
      </c>
      <c r="AG3644" s="4">
        <v>0</v>
      </c>
      <c r="AH3644" s="4">
        <v>5</v>
      </c>
      <c r="AI3644" s="4">
        <v>5</v>
      </c>
      <c r="AJ3644" s="4">
        <v>0</v>
      </c>
      <c r="AK3644" s="4">
        <v>0</v>
      </c>
      <c r="AL3644" s="4">
        <v>3</v>
      </c>
      <c r="AM3644" s="4">
        <v>3</v>
      </c>
      <c r="AN3644" s="4">
        <v>0</v>
      </c>
      <c r="AO3644" s="4">
        <v>0</v>
      </c>
      <c r="AP3644" s="4">
        <v>0</v>
      </c>
      <c r="AQ3644" s="4">
        <v>0</v>
      </c>
      <c r="AR3644" s="3" t="s">
        <v>62</v>
      </c>
      <c r="AS3644" s="3" t="s">
        <v>62</v>
      </c>
      <c r="AT3644" s="3" t="s">
        <v>62</v>
      </c>
      <c r="AV3644" s="6" t="str">
        <f>HYPERLINK("http://mcgill.on.worldcat.org/oclc/173219334","Catalog Record")</f>
        <v>Catalog Record</v>
      </c>
      <c r="AW3644" s="6" t="str">
        <f>HYPERLINK("http://www.worldcat.org/oclc/173219334","WorldCat Record")</f>
        <v>WorldCat Record</v>
      </c>
      <c r="AX3644" s="3" t="s">
        <v>35224</v>
      </c>
      <c r="AY3644" s="3" t="s">
        <v>35225</v>
      </c>
      <c r="AZ3644" s="3" t="s">
        <v>35226</v>
      </c>
      <c r="BA3644" s="3" t="s">
        <v>35226</v>
      </c>
      <c r="BB3644" s="3" t="s">
        <v>35227</v>
      </c>
      <c r="BC3644" s="3" t="s">
        <v>102</v>
      </c>
      <c r="BD3644" s="3" t="s">
        <v>68</v>
      </c>
      <c r="BF3644" s="3" t="s">
        <v>35227</v>
      </c>
      <c r="BG3644" s="3" t="s">
        <v>35228</v>
      </c>
    </row>
    <row r="3645" spans="1:59" ht="72.5" x14ac:dyDescent="0.35">
      <c r="A3645" s="2" t="s">
        <v>89</v>
      </c>
      <c r="B3645" s="2" t="s">
        <v>90</v>
      </c>
      <c r="C3645" s="2" t="s">
        <v>35229</v>
      </c>
      <c r="D3645" s="2" t="s">
        <v>35230</v>
      </c>
      <c r="E3645" s="2" t="s">
        <v>35231</v>
      </c>
      <c r="G3645" s="3" t="s">
        <v>62</v>
      </c>
      <c r="I3645" s="3" t="s">
        <v>61</v>
      </c>
      <c r="J3645" s="3" t="s">
        <v>62</v>
      </c>
      <c r="K3645" s="3" t="s">
        <v>63</v>
      </c>
      <c r="M3645" s="2" t="s">
        <v>35232</v>
      </c>
      <c r="N3645" s="3" t="s">
        <v>2136</v>
      </c>
      <c r="P3645" s="3" t="s">
        <v>64</v>
      </c>
      <c r="Q3645" s="2" t="s">
        <v>35233</v>
      </c>
      <c r="R3645" s="3" t="s">
        <v>34126</v>
      </c>
      <c r="S3645" s="4">
        <v>9</v>
      </c>
      <c r="T3645" s="4">
        <v>10</v>
      </c>
      <c r="U3645" s="5" t="s">
        <v>35234</v>
      </c>
      <c r="V3645" s="5" t="s">
        <v>398</v>
      </c>
      <c r="W3645" s="5" t="s">
        <v>67</v>
      </c>
      <c r="X3645" s="5" t="s">
        <v>67</v>
      </c>
      <c r="Y3645" s="4">
        <v>128</v>
      </c>
      <c r="Z3645" s="4">
        <v>9</v>
      </c>
      <c r="AA3645" s="4">
        <v>11</v>
      </c>
      <c r="AB3645" s="4">
        <v>1</v>
      </c>
      <c r="AC3645" s="4">
        <v>1</v>
      </c>
      <c r="AD3645" s="4">
        <v>57</v>
      </c>
      <c r="AE3645" s="4">
        <v>60</v>
      </c>
      <c r="AF3645" s="4">
        <v>0</v>
      </c>
      <c r="AG3645" s="4">
        <v>0</v>
      </c>
      <c r="AH3645" s="4">
        <v>53</v>
      </c>
      <c r="AI3645" s="4">
        <v>56</v>
      </c>
      <c r="AJ3645" s="4">
        <v>7</v>
      </c>
      <c r="AK3645" s="4">
        <v>8</v>
      </c>
      <c r="AL3645" s="4">
        <v>35</v>
      </c>
      <c r="AM3645" s="4">
        <v>36</v>
      </c>
      <c r="AN3645" s="4">
        <v>0</v>
      </c>
      <c r="AO3645" s="4">
        <v>0</v>
      </c>
      <c r="AP3645" s="4">
        <v>7</v>
      </c>
      <c r="AQ3645" s="4">
        <v>8</v>
      </c>
      <c r="AR3645" s="3" t="s">
        <v>62</v>
      </c>
      <c r="AS3645" s="3" t="s">
        <v>62</v>
      </c>
      <c r="AT3645" s="3" t="s">
        <v>61</v>
      </c>
      <c r="AU3645" s="6" t="str">
        <f>HYPERLINK("http://catalog.hathitrust.org/Record/004237623","HathiTrust Record")</f>
        <v>HathiTrust Record</v>
      </c>
      <c r="AV3645" s="6" t="str">
        <f>HYPERLINK("http://mcgill.on.worldcat.org/oclc/63177386","Catalog Record")</f>
        <v>Catalog Record</v>
      </c>
      <c r="AW3645" s="6" t="str">
        <f>HYPERLINK("http://www.worldcat.org/oclc/63177386","WorldCat Record")</f>
        <v>WorldCat Record</v>
      </c>
      <c r="AX3645" s="3" t="s">
        <v>35235</v>
      </c>
      <c r="AY3645" s="3" t="s">
        <v>35236</v>
      </c>
      <c r="AZ3645" s="3" t="s">
        <v>35237</v>
      </c>
      <c r="BA3645" s="3" t="s">
        <v>35237</v>
      </c>
      <c r="BB3645" s="3" t="s">
        <v>35238</v>
      </c>
      <c r="BC3645" s="3" t="s">
        <v>102</v>
      </c>
      <c r="BD3645" s="3" t="s">
        <v>68</v>
      </c>
      <c r="BE3645" s="3" t="s">
        <v>35239</v>
      </c>
      <c r="BF3645" s="3" t="s">
        <v>35238</v>
      </c>
      <c r="BG3645" s="3" t="s">
        <v>35240</v>
      </c>
    </row>
    <row r="3646" spans="1:59" ht="58" x14ac:dyDescent="0.35">
      <c r="A3646" s="2" t="s">
        <v>89</v>
      </c>
      <c r="B3646" s="2" t="s">
        <v>90</v>
      </c>
      <c r="C3646" s="2" t="s">
        <v>35241</v>
      </c>
      <c r="D3646" s="2" t="s">
        <v>35242</v>
      </c>
      <c r="E3646" s="2" t="s">
        <v>35243</v>
      </c>
      <c r="G3646" s="3" t="s">
        <v>62</v>
      </c>
      <c r="I3646" s="3" t="s">
        <v>62</v>
      </c>
      <c r="J3646" s="3" t="s">
        <v>62</v>
      </c>
      <c r="K3646" s="3" t="s">
        <v>63</v>
      </c>
      <c r="M3646" s="2" t="s">
        <v>35244</v>
      </c>
      <c r="N3646" s="3" t="s">
        <v>568</v>
      </c>
      <c r="P3646" s="3" t="s">
        <v>64</v>
      </c>
      <c r="R3646" s="3" t="s">
        <v>34126</v>
      </c>
      <c r="S3646" s="4">
        <v>31</v>
      </c>
      <c r="T3646" s="4">
        <v>31</v>
      </c>
      <c r="U3646" s="5" t="s">
        <v>10976</v>
      </c>
      <c r="V3646" s="5" t="s">
        <v>10976</v>
      </c>
      <c r="W3646" s="5" t="s">
        <v>67</v>
      </c>
      <c r="X3646" s="5" t="s">
        <v>67</v>
      </c>
      <c r="Y3646" s="4">
        <v>159</v>
      </c>
      <c r="Z3646" s="4">
        <v>77</v>
      </c>
      <c r="AA3646" s="4">
        <v>114</v>
      </c>
      <c r="AB3646" s="4">
        <v>3</v>
      </c>
      <c r="AC3646" s="4">
        <v>18</v>
      </c>
      <c r="AD3646" s="4">
        <v>68</v>
      </c>
      <c r="AE3646" s="4">
        <v>91</v>
      </c>
      <c r="AF3646" s="4">
        <v>1</v>
      </c>
      <c r="AG3646" s="4">
        <v>8</v>
      </c>
      <c r="AH3646" s="4">
        <v>38</v>
      </c>
      <c r="AI3646" s="4">
        <v>42</v>
      </c>
      <c r="AJ3646" s="4">
        <v>20</v>
      </c>
      <c r="AK3646" s="4">
        <v>28</v>
      </c>
      <c r="AL3646" s="4">
        <v>18</v>
      </c>
      <c r="AM3646" s="4">
        <v>19</v>
      </c>
      <c r="AN3646" s="4">
        <v>0</v>
      </c>
      <c r="AO3646" s="4">
        <v>0</v>
      </c>
      <c r="AP3646" s="4">
        <v>39</v>
      </c>
      <c r="AQ3646" s="4">
        <v>57</v>
      </c>
      <c r="AR3646" s="3" t="s">
        <v>61</v>
      </c>
      <c r="AS3646" s="3" t="s">
        <v>62</v>
      </c>
      <c r="AT3646" s="3" t="s">
        <v>62</v>
      </c>
      <c r="AV3646" s="6" t="str">
        <f>HYPERLINK("http://mcgill.on.worldcat.org/oclc/42138169","Catalog Record")</f>
        <v>Catalog Record</v>
      </c>
      <c r="AW3646" s="6" t="str">
        <f>HYPERLINK("http://www.worldcat.org/oclc/42138169","WorldCat Record")</f>
        <v>WorldCat Record</v>
      </c>
      <c r="AX3646" s="3" t="s">
        <v>35245</v>
      </c>
      <c r="AY3646" s="3" t="s">
        <v>35246</v>
      </c>
      <c r="AZ3646" s="3" t="s">
        <v>35247</v>
      </c>
      <c r="BA3646" s="3" t="s">
        <v>35247</v>
      </c>
      <c r="BB3646" s="3" t="s">
        <v>35248</v>
      </c>
      <c r="BC3646" s="3" t="s">
        <v>102</v>
      </c>
      <c r="BD3646" s="3" t="s">
        <v>68</v>
      </c>
      <c r="BE3646" s="3" t="s">
        <v>35249</v>
      </c>
      <c r="BF3646" s="3" t="s">
        <v>35248</v>
      </c>
      <c r="BG3646" s="3" t="s">
        <v>35250</v>
      </c>
    </row>
    <row r="3647" spans="1:59" ht="58" x14ac:dyDescent="0.35">
      <c r="A3647" s="2" t="s">
        <v>59</v>
      </c>
      <c r="B3647" s="2" t="s">
        <v>60</v>
      </c>
      <c r="C3647" s="2" t="s">
        <v>35251</v>
      </c>
      <c r="D3647" s="2" t="s">
        <v>35252</v>
      </c>
      <c r="E3647" s="2" t="s">
        <v>35253</v>
      </c>
      <c r="G3647" s="3" t="s">
        <v>62</v>
      </c>
      <c r="I3647" s="3" t="s">
        <v>61</v>
      </c>
      <c r="J3647" s="3" t="s">
        <v>62</v>
      </c>
      <c r="K3647" s="3" t="s">
        <v>63</v>
      </c>
      <c r="M3647" s="2" t="s">
        <v>35254</v>
      </c>
      <c r="N3647" s="3" t="s">
        <v>524</v>
      </c>
      <c r="P3647" s="3" t="s">
        <v>64</v>
      </c>
      <c r="R3647" s="3" t="s">
        <v>34126</v>
      </c>
      <c r="S3647" s="4">
        <v>18</v>
      </c>
      <c r="T3647" s="4">
        <v>36</v>
      </c>
      <c r="U3647" s="5" t="s">
        <v>35255</v>
      </c>
      <c r="V3647" s="5" t="s">
        <v>6531</v>
      </c>
      <c r="W3647" s="5" t="s">
        <v>67</v>
      </c>
      <c r="X3647" s="5" t="s">
        <v>67</v>
      </c>
      <c r="Y3647" s="4">
        <v>51</v>
      </c>
      <c r="Z3647" s="4">
        <v>43</v>
      </c>
      <c r="AA3647" s="4">
        <v>46</v>
      </c>
      <c r="AB3647" s="4">
        <v>4</v>
      </c>
      <c r="AC3647" s="4">
        <v>4</v>
      </c>
      <c r="AD3647" s="4">
        <v>21</v>
      </c>
      <c r="AE3647" s="4">
        <v>24</v>
      </c>
      <c r="AF3647" s="4">
        <v>0</v>
      </c>
      <c r="AG3647" s="4">
        <v>0</v>
      </c>
      <c r="AH3647" s="4">
        <v>8</v>
      </c>
      <c r="AI3647" s="4">
        <v>9</v>
      </c>
      <c r="AJ3647" s="4">
        <v>14</v>
      </c>
      <c r="AK3647" s="4">
        <v>17</v>
      </c>
      <c r="AL3647" s="4">
        <v>1</v>
      </c>
      <c r="AM3647" s="4">
        <v>1</v>
      </c>
      <c r="AN3647" s="4">
        <v>0</v>
      </c>
      <c r="AO3647" s="4">
        <v>0</v>
      </c>
      <c r="AP3647" s="4">
        <v>17</v>
      </c>
      <c r="AQ3647" s="4">
        <v>20</v>
      </c>
      <c r="AR3647" s="3" t="s">
        <v>61</v>
      </c>
      <c r="AS3647" s="3" t="s">
        <v>62</v>
      </c>
      <c r="AT3647" s="3" t="s">
        <v>62</v>
      </c>
      <c r="AV3647" s="6" t="str">
        <f>HYPERLINK("http://mcgill.on.worldcat.org/oclc/35688342","Catalog Record")</f>
        <v>Catalog Record</v>
      </c>
      <c r="AW3647" s="6" t="str">
        <f>HYPERLINK("http://www.worldcat.org/oclc/35688342","WorldCat Record")</f>
        <v>WorldCat Record</v>
      </c>
      <c r="AX3647" s="3" t="s">
        <v>35256</v>
      </c>
      <c r="AY3647" s="3" t="s">
        <v>35257</v>
      </c>
      <c r="AZ3647" s="3" t="s">
        <v>35258</v>
      </c>
      <c r="BA3647" s="3" t="s">
        <v>35258</v>
      </c>
      <c r="BB3647" s="3" t="s">
        <v>35259</v>
      </c>
      <c r="BC3647" s="3" t="s">
        <v>102</v>
      </c>
      <c r="BD3647" s="3" t="s">
        <v>68</v>
      </c>
      <c r="BE3647" s="3" t="s">
        <v>35260</v>
      </c>
      <c r="BF3647" s="3" t="s">
        <v>35259</v>
      </c>
      <c r="BG3647" s="3" t="s">
        <v>35261</v>
      </c>
    </row>
    <row r="3648" spans="1:59" ht="58" x14ac:dyDescent="0.35">
      <c r="A3648" s="2" t="s">
        <v>89</v>
      </c>
      <c r="B3648" s="2" t="s">
        <v>90</v>
      </c>
      <c r="C3648" s="2" t="s">
        <v>35262</v>
      </c>
      <c r="D3648" s="2" t="s">
        <v>35263</v>
      </c>
      <c r="E3648" s="2" t="s">
        <v>35264</v>
      </c>
      <c r="G3648" s="3" t="s">
        <v>62</v>
      </c>
      <c r="I3648" s="3" t="s">
        <v>62</v>
      </c>
      <c r="J3648" s="3" t="s">
        <v>62</v>
      </c>
      <c r="K3648" s="3" t="s">
        <v>63</v>
      </c>
      <c r="L3648" s="2" t="s">
        <v>35265</v>
      </c>
      <c r="M3648" s="2" t="s">
        <v>5144</v>
      </c>
      <c r="N3648" s="3" t="s">
        <v>2975</v>
      </c>
      <c r="P3648" s="3" t="s">
        <v>64</v>
      </c>
      <c r="Q3648" s="2" t="s">
        <v>35266</v>
      </c>
      <c r="R3648" s="3" t="s">
        <v>34126</v>
      </c>
      <c r="S3648" s="4">
        <v>12</v>
      </c>
      <c r="T3648" s="4">
        <v>12</v>
      </c>
      <c r="U3648" s="5" t="s">
        <v>35267</v>
      </c>
      <c r="V3648" s="5" t="s">
        <v>35267</v>
      </c>
      <c r="W3648" s="5" t="s">
        <v>67</v>
      </c>
      <c r="X3648" s="5" t="s">
        <v>67</v>
      </c>
      <c r="Y3648" s="4">
        <v>315</v>
      </c>
      <c r="Z3648" s="4">
        <v>23</v>
      </c>
      <c r="AA3648" s="4">
        <v>94</v>
      </c>
      <c r="AB3648" s="4">
        <v>2</v>
      </c>
      <c r="AC3648" s="4">
        <v>18</v>
      </c>
      <c r="AD3648" s="4">
        <v>98</v>
      </c>
      <c r="AE3648" s="4">
        <v>144</v>
      </c>
      <c r="AF3648" s="4">
        <v>0</v>
      </c>
      <c r="AG3648" s="4">
        <v>8</v>
      </c>
      <c r="AH3648" s="4">
        <v>85</v>
      </c>
      <c r="AI3648" s="4">
        <v>104</v>
      </c>
      <c r="AJ3648" s="4">
        <v>11</v>
      </c>
      <c r="AK3648" s="4">
        <v>22</v>
      </c>
      <c r="AL3648" s="4">
        <v>55</v>
      </c>
      <c r="AM3648" s="4">
        <v>60</v>
      </c>
      <c r="AN3648" s="4">
        <v>0</v>
      </c>
      <c r="AO3648" s="4">
        <v>0</v>
      </c>
      <c r="AP3648" s="4">
        <v>16</v>
      </c>
      <c r="AQ3648" s="4">
        <v>45</v>
      </c>
      <c r="AR3648" s="3" t="s">
        <v>62</v>
      </c>
      <c r="AS3648" s="3" t="s">
        <v>62</v>
      </c>
      <c r="AT3648" s="3" t="s">
        <v>62</v>
      </c>
      <c r="AV3648" s="6" t="str">
        <f>HYPERLINK("http://mcgill.on.worldcat.org/oclc/46472305","Catalog Record")</f>
        <v>Catalog Record</v>
      </c>
      <c r="AW3648" s="6" t="str">
        <f>HYPERLINK("http://www.worldcat.org/oclc/46472305","WorldCat Record")</f>
        <v>WorldCat Record</v>
      </c>
      <c r="AX3648" s="3" t="s">
        <v>35268</v>
      </c>
      <c r="AY3648" s="3" t="s">
        <v>35269</v>
      </c>
      <c r="AZ3648" s="3" t="s">
        <v>35270</v>
      </c>
      <c r="BA3648" s="3" t="s">
        <v>35270</v>
      </c>
      <c r="BB3648" s="3" t="s">
        <v>35271</v>
      </c>
      <c r="BC3648" s="3" t="s">
        <v>102</v>
      </c>
      <c r="BD3648" s="3" t="s">
        <v>68</v>
      </c>
      <c r="BE3648" s="3" t="s">
        <v>35272</v>
      </c>
      <c r="BF3648" s="3" t="s">
        <v>35271</v>
      </c>
      <c r="BG3648" s="3" t="s">
        <v>35273</v>
      </c>
    </row>
    <row r="3649" spans="1:59" ht="72.5" x14ac:dyDescent="0.35">
      <c r="A3649" s="2" t="s">
        <v>89</v>
      </c>
      <c r="B3649" s="2" t="s">
        <v>90</v>
      </c>
      <c r="C3649" s="2" t="s">
        <v>35274</v>
      </c>
      <c r="D3649" s="2" t="s">
        <v>35275</v>
      </c>
      <c r="E3649" s="2" t="s">
        <v>35276</v>
      </c>
      <c r="G3649" s="3" t="s">
        <v>62</v>
      </c>
      <c r="I3649" s="3" t="s">
        <v>62</v>
      </c>
      <c r="J3649" s="3" t="s">
        <v>62</v>
      </c>
      <c r="K3649" s="3" t="s">
        <v>63</v>
      </c>
      <c r="L3649" s="2" t="s">
        <v>35277</v>
      </c>
      <c r="M3649" s="2" t="s">
        <v>13710</v>
      </c>
      <c r="N3649" s="3" t="s">
        <v>568</v>
      </c>
      <c r="P3649" s="3" t="s">
        <v>64</v>
      </c>
      <c r="Q3649" s="2" t="s">
        <v>35278</v>
      </c>
      <c r="R3649" s="3" t="s">
        <v>34126</v>
      </c>
      <c r="S3649" s="4">
        <v>11</v>
      </c>
      <c r="T3649" s="4">
        <v>11</v>
      </c>
      <c r="U3649" s="5" t="s">
        <v>342</v>
      </c>
      <c r="V3649" s="5" t="s">
        <v>342</v>
      </c>
      <c r="W3649" s="5" t="s">
        <v>67</v>
      </c>
      <c r="X3649" s="5" t="s">
        <v>67</v>
      </c>
      <c r="Y3649" s="4">
        <v>195</v>
      </c>
      <c r="Z3649" s="4">
        <v>13</v>
      </c>
      <c r="AA3649" s="4">
        <v>13</v>
      </c>
      <c r="AB3649" s="4">
        <v>2</v>
      </c>
      <c r="AC3649" s="4">
        <v>2</v>
      </c>
      <c r="AD3649" s="4">
        <v>82</v>
      </c>
      <c r="AE3649" s="4">
        <v>84</v>
      </c>
      <c r="AF3649" s="4">
        <v>0</v>
      </c>
      <c r="AG3649" s="4">
        <v>0</v>
      </c>
      <c r="AH3649" s="4">
        <v>78</v>
      </c>
      <c r="AI3649" s="4">
        <v>79</v>
      </c>
      <c r="AJ3649" s="4">
        <v>8</v>
      </c>
      <c r="AK3649" s="4">
        <v>8</v>
      </c>
      <c r="AL3649" s="4">
        <v>48</v>
      </c>
      <c r="AM3649" s="4">
        <v>49</v>
      </c>
      <c r="AN3649" s="4">
        <v>0</v>
      </c>
      <c r="AO3649" s="4">
        <v>0</v>
      </c>
      <c r="AP3649" s="4">
        <v>9</v>
      </c>
      <c r="AQ3649" s="4">
        <v>9</v>
      </c>
      <c r="AR3649" s="3" t="s">
        <v>62</v>
      </c>
      <c r="AS3649" s="3" t="s">
        <v>62</v>
      </c>
      <c r="AT3649" s="3" t="s">
        <v>61</v>
      </c>
      <c r="AU3649" s="6" t="str">
        <f>HYPERLINK("http://catalog.hathitrust.org/Record/004157321","HathiTrust Record")</f>
        <v>HathiTrust Record</v>
      </c>
      <c r="AV3649" s="6" t="str">
        <f>HYPERLINK("http://mcgill.on.worldcat.org/oclc/45485036","Catalog Record")</f>
        <v>Catalog Record</v>
      </c>
      <c r="AW3649" s="6" t="str">
        <f>HYPERLINK("http://www.worldcat.org/oclc/45485036","WorldCat Record")</f>
        <v>WorldCat Record</v>
      </c>
      <c r="AX3649" s="3" t="s">
        <v>35279</v>
      </c>
      <c r="AY3649" s="3" t="s">
        <v>35280</v>
      </c>
      <c r="AZ3649" s="3" t="s">
        <v>35281</v>
      </c>
      <c r="BA3649" s="3" t="s">
        <v>35281</v>
      </c>
      <c r="BB3649" s="3" t="s">
        <v>35282</v>
      </c>
      <c r="BC3649" s="3" t="s">
        <v>102</v>
      </c>
      <c r="BD3649" s="3" t="s">
        <v>231</v>
      </c>
      <c r="BE3649" s="3" t="s">
        <v>35283</v>
      </c>
      <c r="BF3649" s="3" t="s">
        <v>35282</v>
      </c>
      <c r="BG3649" s="3" t="s">
        <v>35284</v>
      </c>
    </row>
    <row r="3650" spans="1:59" ht="58" x14ac:dyDescent="0.35">
      <c r="A3650" s="2" t="s">
        <v>89</v>
      </c>
      <c r="B3650" s="2" t="s">
        <v>90</v>
      </c>
      <c r="C3650" s="2" t="s">
        <v>35285</v>
      </c>
      <c r="D3650" s="2" t="s">
        <v>35286</v>
      </c>
      <c r="E3650" s="2" t="s">
        <v>35287</v>
      </c>
      <c r="G3650" s="3" t="s">
        <v>62</v>
      </c>
      <c r="I3650" s="3" t="s">
        <v>62</v>
      </c>
      <c r="J3650" s="3" t="s">
        <v>62</v>
      </c>
      <c r="K3650" s="3" t="s">
        <v>63</v>
      </c>
      <c r="L3650" s="2" t="s">
        <v>35288</v>
      </c>
      <c r="M3650" s="2" t="s">
        <v>35289</v>
      </c>
      <c r="N3650" s="3" t="s">
        <v>698</v>
      </c>
      <c r="P3650" s="3" t="s">
        <v>85</v>
      </c>
      <c r="R3650" s="3" t="s">
        <v>34126</v>
      </c>
      <c r="S3650" s="4">
        <v>0</v>
      </c>
      <c r="T3650" s="4">
        <v>0</v>
      </c>
      <c r="W3650" s="5" t="s">
        <v>67</v>
      </c>
      <c r="X3650" s="5" t="s">
        <v>67</v>
      </c>
      <c r="Y3650" s="4">
        <v>4</v>
      </c>
      <c r="Z3650" s="4">
        <v>3</v>
      </c>
      <c r="AA3650" s="4">
        <v>7</v>
      </c>
      <c r="AB3650" s="4">
        <v>1</v>
      </c>
      <c r="AC3650" s="4">
        <v>4</v>
      </c>
      <c r="AD3650" s="4">
        <v>2</v>
      </c>
      <c r="AE3650" s="4">
        <v>5</v>
      </c>
      <c r="AF3650" s="4">
        <v>0</v>
      </c>
      <c r="AG3650" s="4">
        <v>2</v>
      </c>
      <c r="AH3650" s="4">
        <v>2</v>
      </c>
      <c r="AI3650" s="4">
        <v>4</v>
      </c>
      <c r="AJ3650" s="4">
        <v>1</v>
      </c>
      <c r="AK3650" s="4">
        <v>4</v>
      </c>
      <c r="AL3650" s="4">
        <v>2</v>
      </c>
      <c r="AM3650" s="4">
        <v>2</v>
      </c>
      <c r="AN3650" s="4">
        <v>0</v>
      </c>
      <c r="AO3650" s="4">
        <v>0</v>
      </c>
      <c r="AP3650" s="4">
        <v>1</v>
      </c>
      <c r="AQ3650" s="4">
        <v>4</v>
      </c>
      <c r="AR3650" s="3" t="s">
        <v>62</v>
      </c>
      <c r="AS3650" s="3" t="s">
        <v>62</v>
      </c>
      <c r="AT3650" s="3" t="s">
        <v>62</v>
      </c>
      <c r="AV3650" s="6" t="str">
        <f>HYPERLINK("http://mcgill.on.worldcat.org/oclc/815656473","Catalog Record")</f>
        <v>Catalog Record</v>
      </c>
      <c r="AW3650" s="6" t="str">
        <f>HYPERLINK("http://www.worldcat.org/oclc/815656473","WorldCat Record")</f>
        <v>WorldCat Record</v>
      </c>
      <c r="AX3650" s="3" t="s">
        <v>35290</v>
      </c>
      <c r="AY3650" s="3" t="s">
        <v>35291</v>
      </c>
      <c r="AZ3650" s="3" t="s">
        <v>35292</v>
      </c>
      <c r="BA3650" s="3" t="s">
        <v>35292</v>
      </c>
      <c r="BB3650" s="3" t="s">
        <v>35293</v>
      </c>
      <c r="BC3650" s="3" t="s">
        <v>102</v>
      </c>
      <c r="BD3650" s="3" t="s">
        <v>68</v>
      </c>
      <c r="BE3650" s="3" t="s">
        <v>35294</v>
      </c>
      <c r="BF3650" s="3" t="s">
        <v>35293</v>
      </c>
      <c r="BG3650" s="3" t="s">
        <v>35295</v>
      </c>
    </row>
    <row r="3651" spans="1:59" ht="72.5" x14ac:dyDescent="0.35">
      <c r="A3651" s="2" t="s">
        <v>89</v>
      </c>
      <c r="B3651" s="2" t="s">
        <v>1231</v>
      </c>
      <c r="C3651" s="2" t="s">
        <v>35296</v>
      </c>
      <c r="D3651" s="2" t="s">
        <v>35297</v>
      </c>
      <c r="E3651" s="2" t="s">
        <v>35298</v>
      </c>
      <c r="G3651" s="3" t="s">
        <v>62</v>
      </c>
      <c r="I3651" s="3" t="s">
        <v>62</v>
      </c>
      <c r="J3651" s="3" t="s">
        <v>62</v>
      </c>
      <c r="K3651" s="3" t="s">
        <v>63</v>
      </c>
      <c r="L3651" s="2" t="s">
        <v>35299</v>
      </c>
      <c r="M3651" s="2" t="s">
        <v>35300</v>
      </c>
      <c r="N3651" s="3" t="s">
        <v>726</v>
      </c>
      <c r="P3651" s="3" t="s">
        <v>64</v>
      </c>
      <c r="R3651" s="3" t="s">
        <v>34126</v>
      </c>
      <c r="S3651" s="4">
        <v>0</v>
      </c>
      <c r="T3651" s="4">
        <v>0</v>
      </c>
      <c r="W3651" s="5" t="s">
        <v>67</v>
      </c>
      <c r="X3651" s="5" t="s">
        <v>67</v>
      </c>
      <c r="Y3651" s="4">
        <v>43</v>
      </c>
      <c r="Z3651" s="4">
        <v>5</v>
      </c>
      <c r="AA3651" s="4">
        <v>5</v>
      </c>
      <c r="AB3651" s="4">
        <v>1</v>
      </c>
      <c r="AC3651" s="4">
        <v>1</v>
      </c>
      <c r="AD3651" s="4">
        <v>20</v>
      </c>
      <c r="AE3651" s="4">
        <v>20</v>
      </c>
      <c r="AF3651" s="4">
        <v>0</v>
      </c>
      <c r="AG3651" s="4">
        <v>0</v>
      </c>
      <c r="AH3651" s="4">
        <v>17</v>
      </c>
      <c r="AI3651" s="4">
        <v>17</v>
      </c>
      <c r="AJ3651" s="4">
        <v>3</v>
      </c>
      <c r="AK3651" s="4">
        <v>3</v>
      </c>
      <c r="AL3651" s="4">
        <v>15</v>
      </c>
      <c r="AM3651" s="4">
        <v>15</v>
      </c>
      <c r="AN3651" s="4">
        <v>0</v>
      </c>
      <c r="AO3651" s="4">
        <v>0</v>
      </c>
      <c r="AP3651" s="4">
        <v>3</v>
      </c>
      <c r="AQ3651" s="4">
        <v>3</v>
      </c>
      <c r="AR3651" s="3" t="s">
        <v>62</v>
      </c>
      <c r="AS3651" s="3" t="s">
        <v>62</v>
      </c>
      <c r="AT3651" s="3" t="s">
        <v>62</v>
      </c>
      <c r="AV3651" s="6" t="str">
        <f>HYPERLINK("http://mcgill.on.worldcat.org/oclc/951999016","Catalog Record")</f>
        <v>Catalog Record</v>
      </c>
      <c r="AW3651" s="6" t="str">
        <f>HYPERLINK("http://www.worldcat.org/oclc/951999016","WorldCat Record")</f>
        <v>WorldCat Record</v>
      </c>
      <c r="AX3651" s="3" t="s">
        <v>35301</v>
      </c>
      <c r="AY3651" s="3" t="s">
        <v>35302</v>
      </c>
      <c r="AZ3651" s="3" t="s">
        <v>35303</v>
      </c>
      <c r="BA3651" s="3" t="s">
        <v>35303</v>
      </c>
      <c r="BB3651" s="3" t="s">
        <v>35304</v>
      </c>
      <c r="BC3651" s="3" t="s">
        <v>102</v>
      </c>
      <c r="BD3651" s="3" t="s">
        <v>68</v>
      </c>
      <c r="BE3651" s="3" t="s">
        <v>35305</v>
      </c>
      <c r="BF3651" s="3" t="s">
        <v>35304</v>
      </c>
      <c r="BG3651" s="3" t="s">
        <v>35306</v>
      </c>
    </row>
    <row r="3652" spans="1:59" ht="58" x14ac:dyDescent="0.35">
      <c r="A3652" s="2" t="s">
        <v>89</v>
      </c>
      <c r="B3652" s="2" t="s">
        <v>90</v>
      </c>
      <c r="C3652" s="2" t="s">
        <v>35307</v>
      </c>
      <c r="D3652" s="2" t="s">
        <v>35308</v>
      </c>
      <c r="E3652" s="2" t="s">
        <v>35309</v>
      </c>
      <c r="G3652" s="3" t="s">
        <v>62</v>
      </c>
      <c r="I3652" s="3" t="s">
        <v>62</v>
      </c>
      <c r="J3652" s="3" t="s">
        <v>62</v>
      </c>
      <c r="K3652" s="3" t="s">
        <v>63</v>
      </c>
      <c r="L3652" s="2" t="s">
        <v>35310</v>
      </c>
      <c r="M3652" s="2" t="s">
        <v>35311</v>
      </c>
      <c r="N3652" s="3" t="s">
        <v>625</v>
      </c>
      <c r="P3652" s="3" t="s">
        <v>64</v>
      </c>
      <c r="Q3652" s="2" t="s">
        <v>35312</v>
      </c>
      <c r="R3652" s="3" t="s">
        <v>34126</v>
      </c>
      <c r="S3652" s="4">
        <v>3</v>
      </c>
      <c r="T3652" s="4">
        <v>3</v>
      </c>
      <c r="U3652" s="5" t="s">
        <v>25112</v>
      </c>
      <c r="V3652" s="5" t="s">
        <v>25112</v>
      </c>
      <c r="W3652" s="5" t="s">
        <v>67</v>
      </c>
      <c r="X3652" s="5" t="s">
        <v>67</v>
      </c>
      <c r="Y3652" s="4">
        <v>145</v>
      </c>
      <c r="Z3652" s="4">
        <v>10</v>
      </c>
      <c r="AA3652" s="4">
        <v>15</v>
      </c>
      <c r="AB3652" s="4">
        <v>1</v>
      </c>
      <c r="AC3652" s="4">
        <v>4</v>
      </c>
      <c r="AD3652" s="4">
        <v>53</v>
      </c>
      <c r="AE3652" s="4">
        <v>66</v>
      </c>
      <c r="AF3652" s="4">
        <v>0</v>
      </c>
      <c r="AG3652" s="4">
        <v>0</v>
      </c>
      <c r="AH3652" s="4">
        <v>52</v>
      </c>
      <c r="AI3652" s="4">
        <v>63</v>
      </c>
      <c r="AJ3652" s="4">
        <v>7</v>
      </c>
      <c r="AK3652" s="4">
        <v>8</v>
      </c>
      <c r="AL3652" s="4">
        <v>27</v>
      </c>
      <c r="AM3652" s="4">
        <v>34</v>
      </c>
      <c r="AN3652" s="4">
        <v>0</v>
      </c>
      <c r="AO3652" s="4">
        <v>0</v>
      </c>
      <c r="AP3652" s="4">
        <v>8</v>
      </c>
      <c r="AQ3652" s="4">
        <v>9</v>
      </c>
      <c r="AR3652" s="3" t="s">
        <v>62</v>
      </c>
      <c r="AS3652" s="3" t="s">
        <v>62</v>
      </c>
      <c r="AT3652" s="3" t="s">
        <v>62</v>
      </c>
      <c r="AV3652" s="6" t="str">
        <f>HYPERLINK("http://mcgill.on.worldcat.org/oclc/49727758","Catalog Record")</f>
        <v>Catalog Record</v>
      </c>
      <c r="AW3652" s="6" t="str">
        <f>HYPERLINK("http://www.worldcat.org/oclc/49727758","WorldCat Record")</f>
        <v>WorldCat Record</v>
      </c>
      <c r="AX3652" s="3" t="s">
        <v>35313</v>
      </c>
      <c r="AY3652" s="3" t="s">
        <v>35314</v>
      </c>
      <c r="AZ3652" s="3" t="s">
        <v>35315</v>
      </c>
      <c r="BA3652" s="3" t="s">
        <v>35315</v>
      </c>
      <c r="BB3652" s="3" t="s">
        <v>35316</v>
      </c>
      <c r="BC3652" s="3" t="s">
        <v>102</v>
      </c>
      <c r="BD3652" s="3" t="s">
        <v>68</v>
      </c>
      <c r="BE3652" s="3" t="s">
        <v>35317</v>
      </c>
      <c r="BF3652" s="3" t="s">
        <v>35316</v>
      </c>
      <c r="BG3652" s="3" t="s">
        <v>35318</v>
      </c>
    </row>
    <row r="3653" spans="1:59" ht="58" x14ac:dyDescent="0.35">
      <c r="A3653" s="2" t="s">
        <v>89</v>
      </c>
      <c r="B3653" s="2" t="s">
        <v>90</v>
      </c>
      <c r="C3653" s="2" t="s">
        <v>35319</v>
      </c>
      <c r="D3653" s="2" t="s">
        <v>35320</v>
      </c>
      <c r="E3653" s="2" t="s">
        <v>35321</v>
      </c>
      <c r="G3653" s="3" t="s">
        <v>62</v>
      </c>
      <c r="I3653" s="3" t="s">
        <v>62</v>
      </c>
      <c r="J3653" s="3" t="s">
        <v>62</v>
      </c>
      <c r="K3653" s="3" t="s">
        <v>63</v>
      </c>
      <c r="M3653" s="2" t="s">
        <v>35322</v>
      </c>
      <c r="N3653" s="3" t="s">
        <v>2000</v>
      </c>
      <c r="O3653" s="2" t="s">
        <v>2163</v>
      </c>
      <c r="P3653" s="3" t="s">
        <v>64</v>
      </c>
      <c r="Q3653" s="2" t="s">
        <v>35323</v>
      </c>
      <c r="R3653" s="3" t="s">
        <v>34126</v>
      </c>
      <c r="S3653" s="4">
        <v>35</v>
      </c>
      <c r="T3653" s="4">
        <v>35</v>
      </c>
      <c r="U3653" s="5" t="s">
        <v>13959</v>
      </c>
      <c r="V3653" s="5" t="s">
        <v>13959</v>
      </c>
      <c r="W3653" s="5" t="s">
        <v>67</v>
      </c>
      <c r="X3653" s="5" t="s">
        <v>67</v>
      </c>
      <c r="Y3653" s="4">
        <v>142</v>
      </c>
      <c r="Z3653" s="4">
        <v>7</v>
      </c>
      <c r="AA3653" s="4">
        <v>7</v>
      </c>
      <c r="AB3653" s="4">
        <v>1</v>
      </c>
      <c r="AC3653" s="4">
        <v>1</v>
      </c>
      <c r="AD3653" s="4">
        <v>37</v>
      </c>
      <c r="AE3653" s="4">
        <v>37</v>
      </c>
      <c r="AF3653" s="4">
        <v>0</v>
      </c>
      <c r="AG3653" s="4">
        <v>0</v>
      </c>
      <c r="AH3653" s="4">
        <v>32</v>
      </c>
      <c r="AI3653" s="4">
        <v>32</v>
      </c>
      <c r="AJ3653" s="4">
        <v>4</v>
      </c>
      <c r="AK3653" s="4">
        <v>4</v>
      </c>
      <c r="AL3653" s="4">
        <v>21</v>
      </c>
      <c r="AM3653" s="4">
        <v>21</v>
      </c>
      <c r="AN3653" s="4">
        <v>0</v>
      </c>
      <c r="AO3653" s="4">
        <v>0</v>
      </c>
      <c r="AP3653" s="4">
        <v>6</v>
      </c>
      <c r="AQ3653" s="4">
        <v>6</v>
      </c>
      <c r="AR3653" s="3" t="s">
        <v>62</v>
      </c>
      <c r="AS3653" s="3" t="s">
        <v>62</v>
      </c>
      <c r="AT3653" s="3" t="s">
        <v>61</v>
      </c>
      <c r="AU3653" s="6" t="str">
        <f>HYPERLINK("http://catalog.hathitrust.org/Record/009547321","HathiTrust Record")</f>
        <v>HathiTrust Record</v>
      </c>
      <c r="AV3653" s="6" t="str">
        <f>HYPERLINK("http://mcgill.on.worldcat.org/oclc/36444182","Catalog Record")</f>
        <v>Catalog Record</v>
      </c>
      <c r="AW3653" s="6" t="str">
        <f>HYPERLINK("http://www.worldcat.org/oclc/36444182","WorldCat Record")</f>
        <v>WorldCat Record</v>
      </c>
      <c r="AX3653" s="3" t="s">
        <v>35324</v>
      </c>
      <c r="AY3653" s="3" t="s">
        <v>35325</v>
      </c>
      <c r="AZ3653" s="3" t="s">
        <v>35326</v>
      </c>
      <c r="BA3653" s="3" t="s">
        <v>35326</v>
      </c>
      <c r="BB3653" s="3" t="s">
        <v>35327</v>
      </c>
      <c r="BC3653" s="3" t="s">
        <v>102</v>
      </c>
      <c r="BD3653" s="3" t="s">
        <v>68</v>
      </c>
      <c r="BE3653" s="3" t="s">
        <v>35328</v>
      </c>
      <c r="BF3653" s="3" t="s">
        <v>35327</v>
      </c>
      <c r="BG3653" s="3" t="s">
        <v>35329</v>
      </c>
    </row>
    <row r="3654" spans="1:59" ht="58" x14ac:dyDescent="0.35">
      <c r="A3654" s="2" t="s">
        <v>89</v>
      </c>
      <c r="B3654" s="2" t="s">
        <v>90</v>
      </c>
      <c r="C3654" s="2" t="s">
        <v>35330</v>
      </c>
      <c r="D3654" s="2" t="s">
        <v>35331</v>
      </c>
      <c r="E3654" s="2" t="s">
        <v>35332</v>
      </c>
      <c r="G3654" s="3" t="s">
        <v>62</v>
      </c>
      <c r="I3654" s="3" t="s">
        <v>62</v>
      </c>
      <c r="J3654" s="3" t="s">
        <v>62</v>
      </c>
      <c r="K3654" s="3" t="s">
        <v>63</v>
      </c>
      <c r="L3654" s="2" t="s">
        <v>35333</v>
      </c>
      <c r="M3654" s="2" t="s">
        <v>35334</v>
      </c>
      <c r="N3654" s="3" t="s">
        <v>640</v>
      </c>
      <c r="P3654" s="3" t="s">
        <v>64</v>
      </c>
      <c r="R3654" s="3" t="s">
        <v>34126</v>
      </c>
      <c r="S3654" s="4">
        <v>11</v>
      </c>
      <c r="T3654" s="4">
        <v>11</v>
      </c>
      <c r="U3654" s="5" t="s">
        <v>5471</v>
      </c>
      <c r="V3654" s="5" t="s">
        <v>5471</v>
      </c>
      <c r="W3654" s="5" t="s">
        <v>67</v>
      </c>
      <c r="X3654" s="5" t="s">
        <v>67</v>
      </c>
      <c r="Y3654" s="4">
        <v>661</v>
      </c>
      <c r="Z3654" s="4">
        <v>36</v>
      </c>
      <c r="AA3654" s="4">
        <v>115</v>
      </c>
      <c r="AB3654" s="4">
        <v>1</v>
      </c>
      <c r="AC3654" s="4">
        <v>17</v>
      </c>
      <c r="AD3654" s="4">
        <v>108</v>
      </c>
      <c r="AE3654" s="4">
        <v>147</v>
      </c>
      <c r="AF3654" s="4">
        <v>0</v>
      </c>
      <c r="AG3654" s="4">
        <v>8</v>
      </c>
      <c r="AH3654" s="4">
        <v>91</v>
      </c>
      <c r="AI3654" s="4">
        <v>104</v>
      </c>
      <c r="AJ3654" s="4">
        <v>16</v>
      </c>
      <c r="AK3654" s="4">
        <v>25</v>
      </c>
      <c r="AL3654" s="4">
        <v>45</v>
      </c>
      <c r="AM3654" s="4">
        <v>54</v>
      </c>
      <c r="AN3654" s="4">
        <v>0</v>
      </c>
      <c r="AO3654" s="4">
        <v>0</v>
      </c>
      <c r="AP3654" s="4">
        <v>26</v>
      </c>
      <c r="AQ3654" s="4">
        <v>49</v>
      </c>
      <c r="AR3654" s="3" t="s">
        <v>62</v>
      </c>
      <c r="AS3654" s="3" t="s">
        <v>62</v>
      </c>
      <c r="AT3654" s="3" t="s">
        <v>61</v>
      </c>
      <c r="AU3654" s="6" t="str">
        <f>HYPERLINK("http://catalog.hathitrust.org/Record/004759340","HathiTrust Record")</f>
        <v>HathiTrust Record</v>
      </c>
      <c r="AV3654" s="6" t="str">
        <f>HYPERLINK("http://mcgill.on.worldcat.org/oclc/54400145","Catalog Record")</f>
        <v>Catalog Record</v>
      </c>
      <c r="AW3654" s="6" t="str">
        <f>HYPERLINK("http://www.worldcat.org/oclc/54400145","WorldCat Record")</f>
        <v>WorldCat Record</v>
      </c>
      <c r="AX3654" s="3" t="s">
        <v>35335</v>
      </c>
      <c r="AY3654" s="3" t="s">
        <v>35336</v>
      </c>
      <c r="AZ3654" s="3" t="s">
        <v>35337</v>
      </c>
      <c r="BA3654" s="3" t="s">
        <v>35337</v>
      </c>
      <c r="BB3654" s="3" t="s">
        <v>35338</v>
      </c>
      <c r="BC3654" s="3" t="s">
        <v>102</v>
      </c>
      <c r="BD3654" s="3" t="s">
        <v>68</v>
      </c>
      <c r="BE3654" s="3" t="s">
        <v>35339</v>
      </c>
      <c r="BF3654" s="3" t="s">
        <v>35338</v>
      </c>
      <c r="BG3654" s="3" t="s">
        <v>35340</v>
      </c>
    </row>
    <row r="3655" spans="1:59" ht="58" x14ac:dyDescent="0.35">
      <c r="A3655" s="2" t="s">
        <v>59</v>
      </c>
      <c r="B3655" s="2" t="s">
        <v>60</v>
      </c>
      <c r="C3655" s="2" t="s">
        <v>35341</v>
      </c>
      <c r="D3655" s="2" t="s">
        <v>35342</v>
      </c>
      <c r="E3655" s="2" t="s">
        <v>35343</v>
      </c>
      <c r="G3655" s="3" t="s">
        <v>62</v>
      </c>
      <c r="I3655" s="3" t="s">
        <v>62</v>
      </c>
      <c r="J3655" s="3" t="s">
        <v>62</v>
      </c>
      <c r="K3655" s="3" t="s">
        <v>63</v>
      </c>
      <c r="M3655" s="2" t="s">
        <v>35344</v>
      </c>
      <c r="N3655" s="3" t="s">
        <v>2000</v>
      </c>
      <c r="P3655" s="3" t="s">
        <v>64</v>
      </c>
      <c r="R3655" s="3" t="s">
        <v>34126</v>
      </c>
      <c r="S3655" s="4">
        <v>15</v>
      </c>
      <c r="T3655" s="4">
        <v>15</v>
      </c>
      <c r="U3655" s="5" t="s">
        <v>16753</v>
      </c>
      <c r="V3655" s="5" t="s">
        <v>16753</v>
      </c>
      <c r="W3655" s="5" t="s">
        <v>67</v>
      </c>
      <c r="X3655" s="5" t="s">
        <v>67</v>
      </c>
      <c r="Y3655" s="4">
        <v>590</v>
      </c>
      <c r="Z3655" s="4">
        <v>36</v>
      </c>
      <c r="AA3655" s="4">
        <v>36</v>
      </c>
      <c r="AB3655" s="4">
        <v>1</v>
      </c>
      <c r="AC3655" s="4">
        <v>1</v>
      </c>
      <c r="AD3655" s="4">
        <v>99</v>
      </c>
      <c r="AE3655" s="4">
        <v>99</v>
      </c>
      <c r="AF3655" s="4">
        <v>0</v>
      </c>
      <c r="AG3655" s="4">
        <v>0</v>
      </c>
      <c r="AH3655" s="4">
        <v>83</v>
      </c>
      <c r="AI3655" s="4">
        <v>83</v>
      </c>
      <c r="AJ3655" s="4">
        <v>18</v>
      </c>
      <c r="AK3655" s="4">
        <v>18</v>
      </c>
      <c r="AL3655" s="4">
        <v>46</v>
      </c>
      <c r="AM3655" s="4">
        <v>46</v>
      </c>
      <c r="AN3655" s="4">
        <v>0</v>
      </c>
      <c r="AO3655" s="4">
        <v>0</v>
      </c>
      <c r="AP3655" s="4">
        <v>23</v>
      </c>
      <c r="AQ3655" s="4">
        <v>23</v>
      </c>
      <c r="AR3655" s="3" t="s">
        <v>62</v>
      </c>
      <c r="AS3655" s="3" t="s">
        <v>62</v>
      </c>
      <c r="AT3655" s="3" t="s">
        <v>61</v>
      </c>
      <c r="AU3655" s="6" t="str">
        <f>HYPERLINK("http://catalog.hathitrust.org/Record/003099692","HathiTrust Record")</f>
        <v>HathiTrust Record</v>
      </c>
      <c r="AV3655" s="6" t="str">
        <f>HYPERLINK("http://mcgill.on.worldcat.org/oclc/34476273","Catalog Record")</f>
        <v>Catalog Record</v>
      </c>
      <c r="AW3655" s="6" t="str">
        <f>HYPERLINK("http://www.worldcat.org/oclc/34476273","WorldCat Record")</f>
        <v>WorldCat Record</v>
      </c>
      <c r="AX3655" s="3" t="s">
        <v>35345</v>
      </c>
      <c r="AY3655" s="3" t="s">
        <v>35346</v>
      </c>
      <c r="AZ3655" s="3" t="s">
        <v>35347</v>
      </c>
      <c r="BA3655" s="3" t="s">
        <v>35347</v>
      </c>
      <c r="BB3655" s="3" t="s">
        <v>35348</v>
      </c>
      <c r="BC3655" s="3" t="s">
        <v>102</v>
      </c>
      <c r="BD3655" s="3" t="s">
        <v>68</v>
      </c>
      <c r="BE3655" s="3" t="s">
        <v>35349</v>
      </c>
      <c r="BF3655" s="3" t="s">
        <v>35348</v>
      </c>
      <c r="BG3655" s="3" t="s">
        <v>35350</v>
      </c>
    </row>
    <row r="3656" spans="1:59" ht="58" x14ac:dyDescent="0.35">
      <c r="A3656" s="2" t="s">
        <v>89</v>
      </c>
      <c r="B3656" s="2" t="s">
        <v>90</v>
      </c>
      <c r="C3656" s="2" t="s">
        <v>35351</v>
      </c>
      <c r="D3656" s="2" t="s">
        <v>35352</v>
      </c>
      <c r="E3656" s="2" t="s">
        <v>35353</v>
      </c>
      <c r="G3656" s="3" t="s">
        <v>62</v>
      </c>
      <c r="I3656" s="3" t="s">
        <v>62</v>
      </c>
      <c r="J3656" s="3" t="s">
        <v>62</v>
      </c>
      <c r="K3656" s="3" t="s">
        <v>63</v>
      </c>
      <c r="L3656" s="2" t="s">
        <v>35354</v>
      </c>
      <c r="M3656" s="2" t="s">
        <v>35355</v>
      </c>
      <c r="N3656" s="3" t="s">
        <v>625</v>
      </c>
      <c r="P3656" s="3" t="s">
        <v>64</v>
      </c>
      <c r="R3656" s="3" t="s">
        <v>34126</v>
      </c>
      <c r="S3656" s="4">
        <v>4</v>
      </c>
      <c r="T3656" s="4">
        <v>4</v>
      </c>
      <c r="U3656" s="5" t="s">
        <v>3413</v>
      </c>
      <c r="V3656" s="5" t="s">
        <v>3413</v>
      </c>
      <c r="W3656" s="5" t="s">
        <v>67</v>
      </c>
      <c r="X3656" s="5" t="s">
        <v>67</v>
      </c>
      <c r="Y3656" s="4">
        <v>279</v>
      </c>
      <c r="Z3656" s="4">
        <v>18</v>
      </c>
      <c r="AA3656" s="4">
        <v>54</v>
      </c>
      <c r="AB3656" s="4">
        <v>1</v>
      </c>
      <c r="AC3656" s="4">
        <v>15</v>
      </c>
      <c r="AD3656" s="4">
        <v>89</v>
      </c>
      <c r="AE3656" s="4">
        <v>118</v>
      </c>
      <c r="AF3656" s="4">
        <v>0</v>
      </c>
      <c r="AG3656" s="4">
        <v>7</v>
      </c>
      <c r="AH3656" s="4">
        <v>82</v>
      </c>
      <c r="AI3656" s="4">
        <v>87</v>
      </c>
      <c r="AJ3656" s="4">
        <v>13</v>
      </c>
      <c r="AK3656" s="4">
        <v>23</v>
      </c>
      <c r="AL3656" s="4">
        <v>47</v>
      </c>
      <c r="AM3656" s="4">
        <v>48</v>
      </c>
      <c r="AN3656" s="4">
        <v>0</v>
      </c>
      <c r="AO3656" s="4">
        <v>0</v>
      </c>
      <c r="AP3656" s="4">
        <v>15</v>
      </c>
      <c r="AQ3656" s="4">
        <v>41</v>
      </c>
      <c r="AR3656" s="3" t="s">
        <v>62</v>
      </c>
      <c r="AS3656" s="3" t="s">
        <v>62</v>
      </c>
      <c r="AT3656" s="3" t="s">
        <v>62</v>
      </c>
      <c r="AV3656" s="6" t="str">
        <f>HYPERLINK("http://mcgill.on.worldcat.org/oclc/52327522","Catalog Record")</f>
        <v>Catalog Record</v>
      </c>
      <c r="AW3656" s="6" t="str">
        <f>HYPERLINK("http://www.worldcat.org/oclc/52327522","WorldCat Record")</f>
        <v>WorldCat Record</v>
      </c>
      <c r="AX3656" s="3" t="s">
        <v>35356</v>
      </c>
      <c r="AY3656" s="3" t="s">
        <v>35357</v>
      </c>
      <c r="AZ3656" s="3" t="s">
        <v>35358</v>
      </c>
      <c r="BA3656" s="3" t="s">
        <v>35358</v>
      </c>
      <c r="BB3656" s="3" t="s">
        <v>35359</v>
      </c>
      <c r="BC3656" s="3" t="s">
        <v>102</v>
      </c>
      <c r="BD3656" s="3" t="s">
        <v>68</v>
      </c>
      <c r="BE3656" s="3" t="s">
        <v>35360</v>
      </c>
      <c r="BF3656" s="3" t="s">
        <v>35359</v>
      </c>
      <c r="BG3656" s="3" t="s">
        <v>35361</v>
      </c>
    </row>
    <row r="3657" spans="1:59" ht="72.5" x14ac:dyDescent="0.35">
      <c r="A3657" s="2" t="s">
        <v>89</v>
      </c>
      <c r="B3657" s="2" t="s">
        <v>1231</v>
      </c>
      <c r="C3657" s="2" t="s">
        <v>35362</v>
      </c>
      <c r="D3657" s="2" t="s">
        <v>35363</v>
      </c>
      <c r="E3657" s="2" t="s">
        <v>35364</v>
      </c>
      <c r="G3657" s="3" t="s">
        <v>62</v>
      </c>
      <c r="I3657" s="3" t="s">
        <v>62</v>
      </c>
      <c r="J3657" s="3" t="s">
        <v>62</v>
      </c>
      <c r="K3657" s="3" t="s">
        <v>63</v>
      </c>
      <c r="M3657" s="2" t="s">
        <v>35365</v>
      </c>
      <c r="N3657" s="3" t="s">
        <v>2085</v>
      </c>
      <c r="P3657" s="3" t="s">
        <v>64</v>
      </c>
      <c r="R3657" s="3" t="s">
        <v>34126</v>
      </c>
      <c r="S3657" s="4">
        <v>0</v>
      </c>
      <c r="T3657" s="4">
        <v>0</v>
      </c>
      <c r="W3657" s="5" t="s">
        <v>67</v>
      </c>
      <c r="X3657" s="5" t="s">
        <v>67</v>
      </c>
      <c r="Y3657" s="4">
        <v>24</v>
      </c>
      <c r="Z3657" s="4">
        <v>3</v>
      </c>
      <c r="AA3657" s="4">
        <v>3</v>
      </c>
      <c r="AB3657" s="4">
        <v>1</v>
      </c>
      <c r="AC3657" s="4">
        <v>1</v>
      </c>
      <c r="AD3657" s="4">
        <v>14</v>
      </c>
      <c r="AE3657" s="4">
        <v>14</v>
      </c>
      <c r="AF3657" s="4">
        <v>0</v>
      </c>
      <c r="AG3657" s="4">
        <v>0</v>
      </c>
      <c r="AH3657" s="4">
        <v>14</v>
      </c>
      <c r="AI3657" s="4">
        <v>14</v>
      </c>
      <c r="AJ3657" s="4">
        <v>2</v>
      </c>
      <c r="AK3657" s="4">
        <v>2</v>
      </c>
      <c r="AL3657" s="4">
        <v>10</v>
      </c>
      <c r="AM3657" s="4">
        <v>10</v>
      </c>
      <c r="AN3657" s="4">
        <v>0</v>
      </c>
      <c r="AO3657" s="4">
        <v>0</v>
      </c>
      <c r="AP3657" s="4">
        <v>2</v>
      </c>
      <c r="AQ3657" s="4">
        <v>2</v>
      </c>
      <c r="AR3657" s="3" t="s">
        <v>62</v>
      </c>
      <c r="AS3657" s="3" t="s">
        <v>62</v>
      </c>
      <c r="AT3657" s="3" t="s">
        <v>62</v>
      </c>
      <c r="AV3657" s="6" t="str">
        <f>HYPERLINK("http://mcgill.on.worldcat.org/oclc/1035514518","Catalog Record")</f>
        <v>Catalog Record</v>
      </c>
      <c r="AW3657" s="6" t="str">
        <f>HYPERLINK("http://www.worldcat.org/oclc/1035514518","WorldCat Record")</f>
        <v>WorldCat Record</v>
      </c>
      <c r="AX3657" s="3" t="s">
        <v>35366</v>
      </c>
      <c r="AY3657" s="3" t="s">
        <v>35367</v>
      </c>
      <c r="AZ3657" s="3" t="s">
        <v>35368</v>
      </c>
      <c r="BA3657" s="3" t="s">
        <v>35368</v>
      </c>
      <c r="BB3657" s="3" t="s">
        <v>35369</v>
      </c>
      <c r="BC3657" s="3" t="s">
        <v>102</v>
      </c>
      <c r="BD3657" s="3" t="s">
        <v>68</v>
      </c>
      <c r="BE3657" s="3" t="s">
        <v>35370</v>
      </c>
      <c r="BF3657" s="3" t="s">
        <v>35369</v>
      </c>
      <c r="BG3657" s="3" t="s">
        <v>35371</v>
      </c>
    </row>
    <row r="3658" spans="1:59" ht="58" x14ac:dyDescent="0.35">
      <c r="A3658" s="2" t="s">
        <v>89</v>
      </c>
      <c r="B3658" s="2" t="s">
        <v>90</v>
      </c>
      <c r="C3658" s="2" t="s">
        <v>35372</v>
      </c>
      <c r="D3658" s="2" t="s">
        <v>35373</v>
      </c>
      <c r="E3658" s="2" t="s">
        <v>35374</v>
      </c>
      <c r="G3658" s="3" t="s">
        <v>62</v>
      </c>
      <c r="I3658" s="3" t="s">
        <v>62</v>
      </c>
      <c r="J3658" s="3" t="s">
        <v>61</v>
      </c>
      <c r="K3658" s="3" t="s">
        <v>35375</v>
      </c>
      <c r="L3658" s="2" t="s">
        <v>35376</v>
      </c>
      <c r="M3658" s="2" t="s">
        <v>35377</v>
      </c>
      <c r="N3658" s="3" t="s">
        <v>25036</v>
      </c>
      <c r="P3658" s="3" t="s">
        <v>64</v>
      </c>
      <c r="R3658" s="3" t="s">
        <v>34126</v>
      </c>
      <c r="S3658" s="4">
        <v>1</v>
      </c>
      <c r="T3658" s="4">
        <v>1</v>
      </c>
      <c r="U3658" s="5" t="s">
        <v>27444</v>
      </c>
      <c r="V3658" s="5" t="s">
        <v>27444</v>
      </c>
      <c r="W3658" s="5" t="s">
        <v>67</v>
      </c>
      <c r="X3658" s="5" t="s">
        <v>67</v>
      </c>
      <c r="Y3658" s="4">
        <v>8</v>
      </c>
      <c r="Z3658" s="4">
        <v>2</v>
      </c>
      <c r="AA3658" s="4">
        <v>39</v>
      </c>
      <c r="AB3658" s="4">
        <v>1</v>
      </c>
      <c r="AC3658" s="4">
        <v>5</v>
      </c>
      <c r="AD3658" s="4">
        <v>3</v>
      </c>
      <c r="AE3658" s="4">
        <v>107</v>
      </c>
      <c r="AF3658" s="4">
        <v>0</v>
      </c>
      <c r="AG3658" s="4">
        <v>1</v>
      </c>
      <c r="AH3658" s="4">
        <v>2</v>
      </c>
      <c r="AI3658" s="4">
        <v>92</v>
      </c>
      <c r="AJ3658" s="4">
        <v>0</v>
      </c>
      <c r="AK3658" s="4">
        <v>16</v>
      </c>
      <c r="AL3658" s="4">
        <v>2</v>
      </c>
      <c r="AM3658" s="4">
        <v>48</v>
      </c>
      <c r="AN3658" s="4">
        <v>0</v>
      </c>
      <c r="AO3658" s="4">
        <v>1</v>
      </c>
      <c r="AP3658" s="4">
        <v>0</v>
      </c>
      <c r="AQ3658" s="4">
        <v>22</v>
      </c>
      <c r="AR3658" s="3" t="s">
        <v>62</v>
      </c>
      <c r="AS3658" s="3" t="s">
        <v>61</v>
      </c>
      <c r="AT3658" s="3" t="s">
        <v>62</v>
      </c>
      <c r="AU3658" s="6" t="str">
        <f>HYPERLINK("http://catalog.hathitrust.org/Record/007683868","HathiTrust Record")</f>
        <v>HathiTrust Record</v>
      </c>
      <c r="AV3658" s="6" t="str">
        <f>HYPERLINK("http://mcgill.on.worldcat.org/oclc/38879480","Catalog Record")</f>
        <v>Catalog Record</v>
      </c>
      <c r="AW3658" s="6" t="str">
        <f>HYPERLINK("http://www.worldcat.org/oclc/38879480","WorldCat Record")</f>
        <v>WorldCat Record</v>
      </c>
      <c r="AX3658" s="3" t="s">
        <v>35378</v>
      </c>
      <c r="AY3658" s="3" t="s">
        <v>35379</v>
      </c>
      <c r="AZ3658" s="3" t="s">
        <v>35380</v>
      </c>
      <c r="BA3658" s="3" t="s">
        <v>35380</v>
      </c>
      <c r="BB3658" s="3" t="s">
        <v>35381</v>
      </c>
      <c r="BC3658" s="3" t="s">
        <v>102</v>
      </c>
      <c r="BD3658" s="3" t="s">
        <v>68</v>
      </c>
      <c r="BF3658" s="3" t="s">
        <v>35381</v>
      </c>
      <c r="BG3658" s="3" t="s">
        <v>35382</v>
      </c>
    </row>
    <row r="3659" spans="1:59" ht="58" x14ac:dyDescent="0.35">
      <c r="A3659" s="2" t="s">
        <v>59</v>
      </c>
      <c r="B3659" s="2" t="s">
        <v>60</v>
      </c>
      <c r="C3659" s="2" t="s">
        <v>35383</v>
      </c>
      <c r="D3659" s="2" t="s">
        <v>35384</v>
      </c>
      <c r="E3659" s="2" t="s">
        <v>35385</v>
      </c>
      <c r="G3659" s="3" t="s">
        <v>62</v>
      </c>
      <c r="I3659" s="3" t="s">
        <v>61</v>
      </c>
      <c r="J3659" s="3" t="s">
        <v>62</v>
      </c>
      <c r="K3659" s="3" t="s">
        <v>63</v>
      </c>
      <c r="L3659" s="2" t="s">
        <v>35386</v>
      </c>
      <c r="M3659" s="2" t="s">
        <v>35387</v>
      </c>
      <c r="N3659" s="3" t="s">
        <v>539</v>
      </c>
      <c r="P3659" s="3" t="s">
        <v>64</v>
      </c>
      <c r="Q3659" s="2" t="s">
        <v>35388</v>
      </c>
      <c r="R3659" s="3" t="s">
        <v>34126</v>
      </c>
      <c r="S3659" s="4">
        <v>7</v>
      </c>
      <c r="T3659" s="4">
        <v>7</v>
      </c>
      <c r="U3659" s="5" t="s">
        <v>27978</v>
      </c>
      <c r="V3659" s="5" t="s">
        <v>27978</v>
      </c>
      <c r="W3659" s="5" t="s">
        <v>67</v>
      </c>
      <c r="X3659" s="5" t="s">
        <v>67</v>
      </c>
      <c r="Y3659" s="4">
        <v>1309</v>
      </c>
      <c r="Z3659" s="4">
        <v>44</v>
      </c>
      <c r="AA3659" s="4">
        <v>46</v>
      </c>
      <c r="AB3659" s="4">
        <v>2</v>
      </c>
      <c r="AC3659" s="4">
        <v>3</v>
      </c>
      <c r="AD3659" s="4">
        <v>113</v>
      </c>
      <c r="AE3659" s="4">
        <v>114</v>
      </c>
      <c r="AF3659" s="4">
        <v>0</v>
      </c>
      <c r="AG3659" s="4">
        <v>0</v>
      </c>
      <c r="AH3659" s="4">
        <v>101</v>
      </c>
      <c r="AI3659" s="4">
        <v>101</v>
      </c>
      <c r="AJ3659" s="4">
        <v>13</v>
      </c>
      <c r="AK3659" s="4">
        <v>13</v>
      </c>
      <c r="AL3659" s="4">
        <v>53</v>
      </c>
      <c r="AM3659" s="4">
        <v>53</v>
      </c>
      <c r="AN3659" s="4">
        <v>0</v>
      </c>
      <c r="AO3659" s="4">
        <v>0</v>
      </c>
      <c r="AP3659" s="4">
        <v>19</v>
      </c>
      <c r="AQ3659" s="4">
        <v>20</v>
      </c>
      <c r="AR3659" s="3" t="s">
        <v>62</v>
      </c>
      <c r="AS3659" s="3" t="s">
        <v>62</v>
      </c>
      <c r="AT3659" s="3" t="s">
        <v>61</v>
      </c>
      <c r="AU3659" s="6" t="str">
        <f>HYPERLINK("http://catalog.hathitrust.org/Record/004007845","HathiTrust Record")</f>
        <v>HathiTrust Record</v>
      </c>
      <c r="AV3659" s="6" t="str">
        <f>HYPERLINK("http://mcgill.on.worldcat.org/oclc/39013712","Catalog Record")</f>
        <v>Catalog Record</v>
      </c>
      <c r="AW3659" s="6" t="str">
        <f>HYPERLINK("http://www.worldcat.org/oclc/39013712","WorldCat Record")</f>
        <v>WorldCat Record</v>
      </c>
      <c r="AX3659" s="3" t="s">
        <v>35389</v>
      </c>
      <c r="AY3659" s="3" t="s">
        <v>35390</v>
      </c>
      <c r="AZ3659" s="3" t="s">
        <v>35391</v>
      </c>
      <c r="BA3659" s="3" t="s">
        <v>35391</v>
      </c>
      <c r="BB3659" s="3" t="s">
        <v>35392</v>
      </c>
      <c r="BC3659" s="3" t="s">
        <v>102</v>
      </c>
      <c r="BD3659" s="3" t="s">
        <v>68</v>
      </c>
      <c r="BE3659" s="3" t="s">
        <v>35393</v>
      </c>
      <c r="BF3659" s="3" t="s">
        <v>35392</v>
      </c>
      <c r="BG3659" s="3" t="s">
        <v>35394</v>
      </c>
    </row>
    <row r="3660" spans="1:59" ht="58" x14ac:dyDescent="0.35">
      <c r="A3660" s="2" t="s">
        <v>89</v>
      </c>
      <c r="B3660" s="2" t="s">
        <v>90</v>
      </c>
      <c r="C3660" s="2" t="s">
        <v>35395</v>
      </c>
      <c r="D3660" s="2" t="s">
        <v>35396</v>
      </c>
      <c r="E3660" s="2" t="s">
        <v>35397</v>
      </c>
      <c r="G3660" s="3" t="s">
        <v>62</v>
      </c>
      <c r="I3660" s="3" t="s">
        <v>62</v>
      </c>
      <c r="J3660" s="3" t="s">
        <v>62</v>
      </c>
      <c r="K3660" s="3" t="s">
        <v>63</v>
      </c>
      <c r="L3660" s="2" t="s">
        <v>35386</v>
      </c>
      <c r="M3660" s="2" t="s">
        <v>35398</v>
      </c>
      <c r="N3660" s="3" t="s">
        <v>2085</v>
      </c>
      <c r="P3660" s="3" t="s">
        <v>64</v>
      </c>
      <c r="Q3660" s="2" t="s">
        <v>35399</v>
      </c>
      <c r="R3660" s="3" t="s">
        <v>34126</v>
      </c>
      <c r="S3660" s="4">
        <v>1</v>
      </c>
      <c r="T3660" s="4">
        <v>1</v>
      </c>
      <c r="U3660" s="5" t="s">
        <v>3310</v>
      </c>
      <c r="V3660" s="5" t="s">
        <v>3310</v>
      </c>
      <c r="W3660" s="5" t="s">
        <v>67</v>
      </c>
      <c r="X3660" s="5" t="s">
        <v>67</v>
      </c>
      <c r="Y3660" s="4">
        <v>555</v>
      </c>
      <c r="Z3660" s="4">
        <v>12</v>
      </c>
      <c r="AA3660" s="4">
        <v>12</v>
      </c>
      <c r="AB3660" s="4">
        <v>2</v>
      </c>
      <c r="AC3660" s="4">
        <v>2</v>
      </c>
      <c r="AD3660" s="4">
        <v>72</v>
      </c>
      <c r="AE3660" s="4">
        <v>72</v>
      </c>
      <c r="AF3660" s="4">
        <v>0</v>
      </c>
      <c r="AG3660" s="4">
        <v>0</v>
      </c>
      <c r="AH3660" s="4">
        <v>66</v>
      </c>
      <c r="AI3660" s="4">
        <v>66</v>
      </c>
      <c r="AJ3660" s="4">
        <v>5</v>
      </c>
      <c r="AK3660" s="4">
        <v>5</v>
      </c>
      <c r="AL3660" s="4">
        <v>39</v>
      </c>
      <c r="AM3660" s="4">
        <v>39</v>
      </c>
      <c r="AN3660" s="4">
        <v>0</v>
      </c>
      <c r="AO3660" s="4">
        <v>0</v>
      </c>
      <c r="AP3660" s="4">
        <v>8</v>
      </c>
      <c r="AQ3660" s="4">
        <v>8</v>
      </c>
      <c r="AR3660" s="3" t="s">
        <v>62</v>
      </c>
      <c r="AS3660" s="3" t="s">
        <v>62</v>
      </c>
      <c r="AT3660" s="3" t="s">
        <v>62</v>
      </c>
      <c r="AV3660" s="6" t="str">
        <f>HYPERLINK("http://mcgill.on.worldcat.org/oclc/1028993195","Catalog Record")</f>
        <v>Catalog Record</v>
      </c>
      <c r="AW3660" s="6" t="str">
        <f>HYPERLINK("http://www.worldcat.org/oclc/1028993195","WorldCat Record")</f>
        <v>WorldCat Record</v>
      </c>
      <c r="AX3660" s="3" t="s">
        <v>35400</v>
      </c>
      <c r="AY3660" s="3" t="s">
        <v>35401</v>
      </c>
      <c r="AZ3660" s="3" t="s">
        <v>35402</v>
      </c>
      <c r="BA3660" s="3" t="s">
        <v>35402</v>
      </c>
      <c r="BB3660" s="3" t="s">
        <v>35403</v>
      </c>
      <c r="BC3660" s="3" t="s">
        <v>102</v>
      </c>
      <c r="BD3660" s="3" t="s">
        <v>68</v>
      </c>
      <c r="BE3660" s="3" t="s">
        <v>35404</v>
      </c>
      <c r="BF3660" s="3" t="s">
        <v>35403</v>
      </c>
      <c r="BG3660" s="3" t="s">
        <v>35405</v>
      </c>
    </row>
    <row r="3661" spans="1:59" ht="58" x14ac:dyDescent="0.35">
      <c r="A3661" s="2" t="s">
        <v>89</v>
      </c>
      <c r="B3661" s="2" t="s">
        <v>90</v>
      </c>
      <c r="C3661" s="2" t="s">
        <v>35406</v>
      </c>
      <c r="D3661" s="2" t="s">
        <v>35407</v>
      </c>
      <c r="E3661" s="2" t="s">
        <v>35408</v>
      </c>
      <c r="G3661" s="3" t="s">
        <v>62</v>
      </c>
      <c r="I3661" s="3" t="s">
        <v>62</v>
      </c>
      <c r="J3661" s="3" t="s">
        <v>62</v>
      </c>
      <c r="K3661" s="3" t="s">
        <v>63</v>
      </c>
      <c r="L3661" s="2" t="s">
        <v>35409</v>
      </c>
      <c r="M3661" s="2" t="s">
        <v>35410</v>
      </c>
      <c r="N3661" s="3" t="s">
        <v>539</v>
      </c>
      <c r="P3661" s="3" t="s">
        <v>64</v>
      </c>
      <c r="R3661" s="3" t="s">
        <v>34126</v>
      </c>
      <c r="S3661" s="4">
        <v>25</v>
      </c>
      <c r="T3661" s="4">
        <v>25</v>
      </c>
      <c r="U3661" s="5" t="s">
        <v>468</v>
      </c>
      <c r="V3661" s="5" t="s">
        <v>468</v>
      </c>
      <c r="W3661" s="5" t="s">
        <v>67</v>
      </c>
      <c r="X3661" s="5" t="s">
        <v>67</v>
      </c>
      <c r="Y3661" s="4">
        <v>590</v>
      </c>
      <c r="Z3661" s="4">
        <v>39</v>
      </c>
      <c r="AA3661" s="4">
        <v>47</v>
      </c>
      <c r="AB3661" s="4">
        <v>3</v>
      </c>
      <c r="AC3661" s="4">
        <v>5</v>
      </c>
      <c r="AD3661" s="4">
        <v>121</v>
      </c>
      <c r="AE3661" s="4">
        <v>134</v>
      </c>
      <c r="AF3661" s="4">
        <v>1</v>
      </c>
      <c r="AG3661" s="4">
        <v>1</v>
      </c>
      <c r="AH3661" s="4">
        <v>99</v>
      </c>
      <c r="AI3661" s="4">
        <v>110</v>
      </c>
      <c r="AJ3661" s="4">
        <v>17</v>
      </c>
      <c r="AK3661" s="4">
        <v>20</v>
      </c>
      <c r="AL3661" s="4">
        <v>53</v>
      </c>
      <c r="AM3661" s="4">
        <v>58</v>
      </c>
      <c r="AN3661" s="4">
        <v>0</v>
      </c>
      <c r="AO3661" s="4">
        <v>0</v>
      </c>
      <c r="AP3661" s="4">
        <v>30</v>
      </c>
      <c r="AQ3661" s="4">
        <v>34</v>
      </c>
      <c r="AR3661" s="3" t="s">
        <v>62</v>
      </c>
      <c r="AS3661" s="3" t="s">
        <v>62</v>
      </c>
      <c r="AT3661" s="3" t="s">
        <v>62</v>
      </c>
      <c r="AV3661" s="6" t="str">
        <f>HYPERLINK("http://mcgill.on.worldcat.org/oclc/40241586","Catalog Record")</f>
        <v>Catalog Record</v>
      </c>
      <c r="AW3661" s="6" t="str">
        <f>HYPERLINK("http://www.worldcat.org/oclc/40241586","WorldCat Record")</f>
        <v>WorldCat Record</v>
      </c>
      <c r="AX3661" s="3" t="s">
        <v>35411</v>
      </c>
      <c r="AY3661" s="3" t="s">
        <v>35412</v>
      </c>
      <c r="AZ3661" s="3" t="s">
        <v>35413</v>
      </c>
      <c r="BA3661" s="3" t="s">
        <v>35413</v>
      </c>
      <c r="BB3661" s="3" t="s">
        <v>35414</v>
      </c>
      <c r="BC3661" s="3" t="s">
        <v>102</v>
      </c>
      <c r="BD3661" s="3" t="s">
        <v>68</v>
      </c>
      <c r="BE3661" s="3" t="s">
        <v>35415</v>
      </c>
      <c r="BF3661" s="3" t="s">
        <v>35414</v>
      </c>
      <c r="BG3661" s="3" t="s">
        <v>35416</v>
      </c>
    </row>
    <row r="3662" spans="1:59" ht="58" x14ac:dyDescent="0.35">
      <c r="A3662" s="2" t="s">
        <v>89</v>
      </c>
      <c r="B3662" s="2" t="s">
        <v>90</v>
      </c>
      <c r="C3662" s="2" t="s">
        <v>35417</v>
      </c>
      <c r="D3662" s="2" t="s">
        <v>35418</v>
      </c>
      <c r="E3662" s="2" t="s">
        <v>35419</v>
      </c>
      <c r="G3662" s="3" t="s">
        <v>62</v>
      </c>
      <c r="I3662" s="3" t="s">
        <v>62</v>
      </c>
      <c r="J3662" s="3" t="s">
        <v>61</v>
      </c>
      <c r="K3662" s="3" t="s">
        <v>63</v>
      </c>
      <c r="M3662" s="2" t="s">
        <v>35420</v>
      </c>
      <c r="N3662" s="3" t="s">
        <v>596</v>
      </c>
      <c r="O3662" s="2" t="s">
        <v>2163</v>
      </c>
      <c r="P3662" s="3" t="s">
        <v>64</v>
      </c>
      <c r="R3662" s="3" t="s">
        <v>34126</v>
      </c>
      <c r="S3662" s="4">
        <v>5</v>
      </c>
      <c r="T3662" s="4">
        <v>5</v>
      </c>
      <c r="U3662" s="5" t="s">
        <v>11453</v>
      </c>
      <c r="V3662" s="5" t="s">
        <v>11453</v>
      </c>
      <c r="W3662" s="5" t="s">
        <v>67</v>
      </c>
      <c r="X3662" s="5" t="s">
        <v>67</v>
      </c>
      <c r="Y3662" s="4">
        <v>327</v>
      </c>
      <c r="Z3662" s="4">
        <v>10</v>
      </c>
      <c r="AA3662" s="4">
        <v>17</v>
      </c>
      <c r="AB3662" s="4">
        <v>1</v>
      </c>
      <c r="AC3662" s="4">
        <v>4</v>
      </c>
      <c r="AD3662" s="4">
        <v>77</v>
      </c>
      <c r="AE3662" s="4">
        <v>92</v>
      </c>
      <c r="AF3662" s="4">
        <v>0</v>
      </c>
      <c r="AG3662" s="4">
        <v>0</v>
      </c>
      <c r="AH3662" s="4">
        <v>68</v>
      </c>
      <c r="AI3662" s="4">
        <v>81</v>
      </c>
      <c r="AJ3662" s="4">
        <v>4</v>
      </c>
      <c r="AK3662" s="4">
        <v>6</v>
      </c>
      <c r="AL3662" s="4">
        <v>41</v>
      </c>
      <c r="AM3662" s="4">
        <v>47</v>
      </c>
      <c r="AN3662" s="4">
        <v>0</v>
      </c>
      <c r="AO3662" s="4">
        <v>0</v>
      </c>
      <c r="AP3662" s="4">
        <v>8</v>
      </c>
      <c r="AQ3662" s="4">
        <v>10</v>
      </c>
      <c r="AR3662" s="3" t="s">
        <v>62</v>
      </c>
      <c r="AS3662" s="3" t="s">
        <v>62</v>
      </c>
      <c r="AT3662" s="3" t="s">
        <v>61</v>
      </c>
      <c r="AU3662" s="6" t="str">
        <f>HYPERLINK("http://catalog.hathitrust.org/Record/004279790","HathiTrust Record")</f>
        <v>HathiTrust Record</v>
      </c>
      <c r="AV3662" s="6" t="str">
        <f>HYPERLINK("http://mcgill.on.worldcat.org/oclc/49276633","Catalog Record")</f>
        <v>Catalog Record</v>
      </c>
      <c r="AW3662" s="6" t="str">
        <f>HYPERLINK("http://www.worldcat.org/oclc/49276633","WorldCat Record")</f>
        <v>WorldCat Record</v>
      </c>
      <c r="AX3662" s="3" t="s">
        <v>35421</v>
      </c>
      <c r="AY3662" s="3" t="s">
        <v>35422</v>
      </c>
      <c r="AZ3662" s="3" t="s">
        <v>35423</v>
      </c>
      <c r="BA3662" s="3" t="s">
        <v>35423</v>
      </c>
      <c r="BB3662" s="3" t="s">
        <v>35424</v>
      </c>
      <c r="BC3662" s="3" t="s">
        <v>102</v>
      </c>
      <c r="BD3662" s="3" t="s">
        <v>68</v>
      </c>
      <c r="BE3662" s="3" t="s">
        <v>35425</v>
      </c>
      <c r="BF3662" s="3" t="s">
        <v>35424</v>
      </c>
      <c r="BG3662" s="3" t="s">
        <v>35426</v>
      </c>
    </row>
    <row r="3663" spans="1:59" ht="58" x14ac:dyDescent="0.35">
      <c r="A3663" s="2" t="s">
        <v>89</v>
      </c>
      <c r="B3663" s="2" t="s">
        <v>90</v>
      </c>
      <c r="C3663" s="2" t="s">
        <v>35427</v>
      </c>
      <c r="D3663" s="2" t="s">
        <v>35428</v>
      </c>
      <c r="E3663" s="2" t="s">
        <v>35429</v>
      </c>
      <c r="G3663" s="3" t="s">
        <v>62</v>
      </c>
      <c r="I3663" s="3" t="s">
        <v>62</v>
      </c>
      <c r="J3663" s="3" t="s">
        <v>61</v>
      </c>
      <c r="K3663" s="3" t="s">
        <v>63</v>
      </c>
      <c r="L3663" s="2" t="s">
        <v>35430</v>
      </c>
      <c r="M3663" s="2" t="s">
        <v>35431</v>
      </c>
      <c r="N3663" s="3" t="s">
        <v>157</v>
      </c>
      <c r="O3663" s="2" t="s">
        <v>35432</v>
      </c>
      <c r="P3663" s="3" t="s">
        <v>64</v>
      </c>
      <c r="R3663" s="3" t="s">
        <v>34126</v>
      </c>
      <c r="S3663" s="4">
        <v>52</v>
      </c>
      <c r="T3663" s="4">
        <v>52</v>
      </c>
      <c r="U3663" s="5" t="s">
        <v>11901</v>
      </c>
      <c r="V3663" s="5" t="s">
        <v>11901</v>
      </c>
      <c r="W3663" s="5" t="s">
        <v>67</v>
      </c>
      <c r="X3663" s="5" t="s">
        <v>67</v>
      </c>
      <c r="Y3663" s="4">
        <v>2109</v>
      </c>
      <c r="Z3663" s="4">
        <v>49</v>
      </c>
      <c r="AA3663" s="4">
        <v>109</v>
      </c>
      <c r="AB3663" s="4">
        <v>3</v>
      </c>
      <c r="AC3663" s="4">
        <v>5</v>
      </c>
      <c r="AD3663" s="4">
        <v>123</v>
      </c>
      <c r="AE3663" s="4">
        <v>150</v>
      </c>
      <c r="AF3663" s="4">
        <v>1</v>
      </c>
      <c r="AG3663" s="4">
        <v>2</v>
      </c>
      <c r="AH3663" s="4">
        <v>95</v>
      </c>
      <c r="AI3663" s="4">
        <v>110</v>
      </c>
      <c r="AJ3663" s="4">
        <v>18</v>
      </c>
      <c r="AK3663" s="4">
        <v>24</v>
      </c>
      <c r="AL3663" s="4">
        <v>55</v>
      </c>
      <c r="AM3663" s="4">
        <v>60</v>
      </c>
      <c r="AN3663" s="4">
        <v>0</v>
      </c>
      <c r="AO3663" s="4">
        <v>0</v>
      </c>
      <c r="AP3663" s="4">
        <v>28</v>
      </c>
      <c r="AQ3663" s="4">
        <v>45</v>
      </c>
      <c r="AR3663" s="3" t="s">
        <v>62</v>
      </c>
      <c r="AS3663" s="3" t="s">
        <v>62</v>
      </c>
      <c r="AT3663" s="3" t="s">
        <v>61</v>
      </c>
      <c r="AU3663" s="6" t="str">
        <f>HYPERLINK("http://catalog.hathitrust.org/Record/000012068","HathiTrust Record")</f>
        <v>HathiTrust Record</v>
      </c>
      <c r="AV3663" s="6" t="str">
        <f>HYPERLINK("http://mcgill.on.worldcat.org/oclc/804986","Catalog Record")</f>
        <v>Catalog Record</v>
      </c>
      <c r="AW3663" s="6" t="str">
        <f>HYPERLINK("http://www.worldcat.org/oclc/804986","WorldCat Record")</f>
        <v>WorldCat Record</v>
      </c>
      <c r="AX3663" s="3" t="s">
        <v>35433</v>
      </c>
      <c r="AY3663" s="3" t="s">
        <v>35434</v>
      </c>
      <c r="AZ3663" s="3" t="s">
        <v>35435</v>
      </c>
      <c r="BA3663" s="3" t="s">
        <v>35435</v>
      </c>
      <c r="BB3663" s="3" t="s">
        <v>35436</v>
      </c>
      <c r="BC3663" s="3" t="s">
        <v>102</v>
      </c>
      <c r="BD3663" s="3" t="s">
        <v>68</v>
      </c>
      <c r="BE3663" s="3" t="s">
        <v>35437</v>
      </c>
      <c r="BF3663" s="3" t="s">
        <v>35436</v>
      </c>
      <c r="BG3663" s="3" t="s">
        <v>35438</v>
      </c>
    </row>
    <row r="3664" spans="1:59" ht="87" x14ac:dyDescent="0.35">
      <c r="A3664" s="2" t="s">
        <v>89</v>
      </c>
      <c r="B3664" s="2" t="s">
        <v>90</v>
      </c>
      <c r="C3664" s="2" t="s">
        <v>35439</v>
      </c>
      <c r="D3664" s="2" t="s">
        <v>35440</v>
      </c>
      <c r="E3664" s="2" t="s">
        <v>35429</v>
      </c>
      <c r="G3664" s="3" t="s">
        <v>62</v>
      </c>
      <c r="I3664" s="3" t="s">
        <v>62</v>
      </c>
      <c r="J3664" s="3" t="s">
        <v>61</v>
      </c>
      <c r="K3664" s="3" t="s">
        <v>63</v>
      </c>
      <c r="L3664" s="2" t="s">
        <v>35441</v>
      </c>
      <c r="M3664" s="2" t="s">
        <v>35442</v>
      </c>
      <c r="N3664" s="3" t="s">
        <v>655</v>
      </c>
      <c r="O3664" s="2" t="s">
        <v>35443</v>
      </c>
      <c r="P3664" s="3" t="s">
        <v>64</v>
      </c>
      <c r="Q3664" s="2" t="s">
        <v>35444</v>
      </c>
      <c r="R3664" s="3" t="s">
        <v>34126</v>
      </c>
      <c r="S3664" s="4">
        <v>3</v>
      </c>
      <c r="T3664" s="4">
        <v>3</v>
      </c>
      <c r="U3664" s="5" t="s">
        <v>6849</v>
      </c>
      <c r="V3664" s="5" t="s">
        <v>6849</v>
      </c>
      <c r="W3664" s="5" t="s">
        <v>67</v>
      </c>
      <c r="X3664" s="5" t="s">
        <v>67</v>
      </c>
      <c r="Y3664" s="4">
        <v>489</v>
      </c>
      <c r="Z3664" s="4">
        <v>14</v>
      </c>
      <c r="AA3664" s="4">
        <v>109</v>
      </c>
      <c r="AB3664" s="4">
        <v>2</v>
      </c>
      <c r="AC3664" s="4">
        <v>5</v>
      </c>
      <c r="AD3664" s="4">
        <v>27</v>
      </c>
      <c r="AE3664" s="4">
        <v>150</v>
      </c>
      <c r="AF3664" s="4">
        <v>0</v>
      </c>
      <c r="AG3664" s="4">
        <v>2</v>
      </c>
      <c r="AH3664" s="4">
        <v>26</v>
      </c>
      <c r="AI3664" s="4">
        <v>110</v>
      </c>
      <c r="AJ3664" s="4">
        <v>4</v>
      </c>
      <c r="AK3664" s="4">
        <v>24</v>
      </c>
      <c r="AL3664" s="4">
        <v>11</v>
      </c>
      <c r="AM3664" s="4">
        <v>60</v>
      </c>
      <c r="AN3664" s="4">
        <v>0</v>
      </c>
      <c r="AO3664" s="4">
        <v>0</v>
      </c>
      <c r="AP3664" s="4">
        <v>5</v>
      </c>
      <c r="AQ3664" s="4">
        <v>45</v>
      </c>
      <c r="AR3664" s="3" t="s">
        <v>62</v>
      </c>
      <c r="AS3664" s="3" t="s">
        <v>62</v>
      </c>
      <c r="AT3664" s="3" t="s">
        <v>62</v>
      </c>
      <c r="AV3664" s="6" t="str">
        <f>HYPERLINK("http://mcgill.on.worldcat.org/oclc/144685093","Catalog Record")</f>
        <v>Catalog Record</v>
      </c>
      <c r="AW3664" s="6" t="str">
        <f>HYPERLINK("http://www.worldcat.org/oclc/144685093","WorldCat Record")</f>
        <v>WorldCat Record</v>
      </c>
      <c r="AX3664" s="3" t="s">
        <v>35433</v>
      </c>
      <c r="AY3664" s="3" t="s">
        <v>35445</v>
      </c>
      <c r="AZ3664" s="3" t="s">
        <v>35446</v>
      </c>
      <c r="BA3664" s="3" t="s">
        <v>35446</v>
      </c>
      <c r="BB3664" s="3" t="s">
        <v>35447</v>
      </c>
      <c r="BC3664" s="3" t="s">
        <v>102</v>
      </c>
      <c r="BD3664" s="3" t="s">
        <v>68</v>
      </c>
      <c r="BE3664" s="3" t="s">
        <v>35448</v>
      </c>
      <c r="BF3664" s="3" t="s">
        <v>35447</v>
      </c>
      <c r="BG3664" s="3" t="s">
        <v>35449</v>
      </c>
    </row>
    <row r="3665" spans="1:59" ht="58" x14ac:dyDescent="0.35">
      <c r="A3665" s="2" t="s">
        <v>89</v>
      </c>
      <c r="B3665" s="2" t="s">
        <v>90</v>
      </c>
      <c r="C3665" s="2" t="s">
        <v>35450</v>
      </c>
      <c r="D3665" s="2" t="s">
        <v>35451</v>
      </c>
      <c r="E3665" s="2" t="s">
        <v>35452</v>
      </c>
      <c r="G3665" s="3" t="s">
        <v>62</v>
      </c>
      <c r="I3665" s="3" t="s">
        <v>61</v>
      </c>
      <c r="J3665" s="3" t="s">
        <v>62</v>
      </c>
      <c r="K3665" s="3" t="s">
        <v>63</v>
      </c>
      <c r="L3665" s="2" t="s">
        <v>35453</v>
      </c>
      <c r="M3665" s="2" t="s">
        <v>35454</v>
      </c>
      <c r="N3665" s="3" t="s">
        <v>3062</v>
      </c>
      <c r="P3665" s="3" t="s">
        <v>64</v>
      </c>
      <c r="R3665" s="3" t="s">
        <v>34126</v>
      </c>
      <c r="S3665" s="4">
        <v>5</v>
      </c>
      <c r="T3665" s="4">
        <v>30</v>
      </c>
      <c r="U3665" s="5" t="s">
        <v>13723</v>
      </c>
      <c r="V3665" s="5" t="s">
        <v>13723</v>
      </c>
      <c r="W3665" s="5" t="s">
        <v>67</v>
      </c>
      <c r="X3665" s="5" t="s">
        <v>67</v>
      </c>
      <c r="Y3665" s="4">
        <v>953</v>
      </c>
      <c r="Z3665" s="4">
        <v>34</v>
      </c>
      <c r="AA3665" s="4">
        <v>106</v>
      </c>
      <c r="AB3665" s="4">
        <v>2</v>
      </c>
      <c r="AC3665" s="4">
        <v>18</v>
      </c>
      <c r="AD3665" s="4">
        <v>116</v>
      </c>
      <c r="AE3665" s="4">
        <v>149</v>
      </c>
      <c r="AF3665" s="4">
        <v>0</v>
      </c>
      <c r="AG3665" s="4">
        <v>8</v>
      </c>
      <c r="AH3665" s="4">
        <v>102</v>
      </c>
      <c r="AI3665" s="4">
        <v>108</v>
      </c>
      <c r="AJ3665" s="4">
        <v>13</v>
      </c>
      <c r="AK3665" s="4">
        <v>23</v>
      </c>
      <c r="AL3665" s="4">
        <v>55</v>
      </c>
      <c r="AM3665" s="4">
        <v>57</v>
      </c>
      <c r="AN3665" s="4">
        <v>0</v>
      </c>
      <c r="AO3665" s="4">
        <v>0</v>
      </c>
      <c r="AP3665" s="4">
        <v>20</v>
      </c>
      <c r="AQ3665" s="4">
        <v>47</v>
      </c>
      <c r="AR3665" s="3" t="s">
        <v>62</v>
      </c>
      <c r="AS3665" s="3" t="s">
        <v>62</v>
      </c>
      <c r="AT3665" s="3" t="s">
        <v>61</v>
      </c>
      <c r="AU3665" s="6" t="str">
        <f>HYPERLINK("http://catalog.hathitrust.org/Record/002450200","HathiTrust Record")</f>
        <v>HathiTrust Record</v>
      </c>
      <c r="AV3665" s="6" t="str">
        <f>HYPERLINK("http://mcgill.on.worldcat.org/oclc/22305488","Catalog Record")</f>
        <v>Catalog Record</v>
      </c>
      <c r="AW3665" s="6" t="str">
        <f>HYPERLINK("http://www.worldcat.org/oclc/22305488","WorldCat Record")</f>
        <v>WorldCat Record</v>
      </c>
      <c r="AX3665" s="3" t="s">
        <v>35455</v>
      </c>
      <c r="AY3665" s="3" t="s">
        <v>35456</v>
      </c>
      <c r="AZ3665" s="3" t="s">
        <v>35457</v>
      </c>
      <c r="BA3665" s="3" t="s">
        <v>35457</v>
      </c>
      <c r="BB3665" s="3" t="s">
        <v>35458</v>
      </c>
      <c r="BC3665" s="3" t="s">
        <v>102</v>
      </c>
      <c r="BD3665" s="3" t="s">
        <v>68</v>
      </c>
      <c r="BE3665" s="3" t="s">
        <v>35459</v>
      </c>
      <c r="BF3665" s="3" t="s">
        <v>35458</v>
      </c>
      <c r="BG3665" s="3" t="s">
        <v>35460</v>
      </c>
    </row>
    <row r="3666" spans="1:59" ht="58" x14ac:dyDescent="0.35">
      <c r="A3666" s="2" t="s">
        <v>89</v>
      </c>
      <c r="B3666" s="2" t="s">
        <v>90</v>
      </c>
      <c r="C3666" s="2" t="s">
        <v>35461</v>
      </c>
      <c r="D3666" s="2" t="s">
        <v>35462</v>
      </c>
      <c r="E3666" s="2" t="s">
        <v>35463</v>
      </c>
      <c r="G3666" s="3" t="s">
        <v>62</v>
      </c>
      <c r="I3666" s="3" t="s">
        <v>62</v>
      </c>
      <c r="J3666" s="3" t="s">
        <v>62</v>
      </c>
      <c r="K3666" s="3" t="s">
        <v>63</v>
      </c>
      <c r="L3666" s="2" t="s">
        <v>35453</v>
      </c>
      <c r="M3666" s="2" t="s">
        <v>35464</v>
      </c>
      <c r="N3666" s="3" t="s">
        <v>1639</v>
      </c>
      <c r="P3666" s="3" t="s">
        <v>64</v>
      </c>
      <c r="R3666" s="3" t="s">
        <v>34126</v>
      </c>
      <c r="S3666" s="4">
        <v>46</v>
      </c>
      <c r="T3666" s="4">
        <v>46</v>
      </c>
      <c r="U3666" s="5" t="s">
        <v>15838</v>
      </c>
      <c r="V3666" s="5" t="s">
        <v>15838</v>
      </c>
      <c r="W3666" s="5" t="s">
        <v>67</v>
      </c>
      <c r="X3666" s="5" t="s">
        <v>67</v>
      </c>
      <c r="Y3666" s="4">
        <v>534</v>
      </c>
      <c r="Z3666" s="4">
        <v>16</v>
      </c>
      <c r="AA3666" s="4">
        <v>23</v>
      </c>
      <c r="AB3666" s="4">
        <v>1</v>
      </c>
      <c r="AC3666" s="4">
        <v>1</v>
      </c>
      <c r="AD3666" s="4">
        <v>47</v>
      </c>
      <c r="AE3666" s="4">
        <v>61</v>
      </c>
      <c r="AF3666" s="4">
        <v>0</v>
      </c>
      <c r="AG3666" s="4">
        <v>0</v>
      </c>
      <c r="AH3666" s="4">
        <v>42</v>
      </c>
      <c r="AI3666" s="4">
        <v>54</v>
      </c>
      <c r="AJ3666" s="4">
        <v>1</v>
      </c>
      <c r="AK3666" s="4">
        <v>3</v>
      </c>
      <c r="AL3666" s="4">
        <v>24</v>
      </c>
      <c r="AM3666" s="4">
        <v>28</v>
      </c>
      <c r="AN3666" s="4">
        <v>0</v>
      </c>
      <c r="AO3666" s="4">
        <v>0</v>
      </c>
      <c r="AP3666" s="4">
        <v>5</v>
      </c>
      <c r="AQ3666" s="4">
        <v>10</v>
      </c>
      <c r="AR3666" s="3" t="s">
        <v>62</v>
      </c>
      <c r="AS3666" s="3" t="s">
        <v>62</v>
      </c>
      <c r="AT3666" s="3" t="s">
        <v>61</v>
      </c>
      <c r="AU3666" s="6" t="str">
        <f>HYPERLINK("http://catalog.hathitrust.org/Record/001490312","HathiTrust Record")</f>
        <v>HathiTrust Record</v>
      </c>
      <c r="AV3666" s="6" t="str">
        <f>HYPERLINK("http://mcgill.on.worldcat.org/oclc/7943103","Catalog Record")</f>
        <v>Catalog Record</v>
      </c>
      <c r="AW3666" s="6" t="str">
        <f>HYPERLINK("http://www.worldcat.org/oclc/7943103","WorldCat Record")</f>
        <v>WorldCat Record</v>
      </c>
      <c r="AX3666" s="3" t="s">
        <v>35465</v>
      </c>
      <c r="AY3666" s="3" t="s">
        <v>35466</v>
      </c>
      <c r="AZ3666" s="3" t="s">
        <v>35467</v>
      </c>
      <c r="BA3666" s="3" t="s">
        <v>35467</v>
      </c>
      <c r="BB3666" s="3" t="s">
        <v>35468</v>
      </c>
      <c r="BC3666" s="3" t="s">
        <v>102</v>
      </c>
      <c r="BD3666" s="3" t="s">
        <v>68</v>
      </c>
      <c r="BE3666" s="3" t="s">
        <v>35469</v>
      </c>
      <c r="BF3666" s="3" t="s">
        <v>35468</v>
      </c>
      <c r="BG3666" s="3" t="s">
        <v>35470</v>
      </c>
    </row>
    <row r="3667" spans="1:59" ht="58" x14ac:dyDescent="0.35">
      <c r="A3667" s="2" t="s">
        <v>89</v>
      </c>
      <c r="B3667" s="2" t="s">
        <v>90</v>
      </c>
      <c r="C3667" s="2" t="s">
        <v>35471</v>
      </c>
      <c r="D3667" s="2" t="s">
        <v>35472</v>
      </c>
      <c r="E3667" s="2" t="s">
        <v>35473</v>
      </c>
      <c r="G3667" s="3" t="s">
        <v>62</v>
      </c>
      <c r="I3667" s="3" t="s">
        <v>61</v>
      </c>
      <c r="J3667" s="3" t="s">
        <v>61</v>
      </c>
      <c r="K3667" s="3" t="s">
        <v>63</v>
      </c>
      <c r="L3667" s="2" t="s">
        <v>35453</v>
      </c>
      <c r="M3667" s="2" t="s">
        <v>35474</v>
      </c>
      <c r="N3667" s="3" t="s">
        <v>1905</v>
      </c>
      <c r="P3667" s="3" t="s">
        <v>64</v>
      </c>
      <c r="R3667" s="3" t="s">
        <v>34126</v>
      </c>
      <c r="S3667" s="4">
        <v>19</v>
      </c>
      <c r="T3667" s="4">
        <v>99</v>
      </c>
      <c r="U3667" s="5" t="s">
        <v>28934</v>
      </c>
      <c r="V3667" s="5" t="s">
        <v>28934</v>
      </c>
      <c r="W3667" s="5" t="s">
        <v>67</v>
      </c>
      <c r="X3667" s="5" t="s">
        <v>67</v>
      </c>
      <c r="Y3667" s="4">
        <v>1082</v>
      </c>
      <c r="Z3667" s="4">
        <v>29</v>
      </c>
      <c r="AA3667" s="4">
        <v>73</v>
      </c>
      <c r="AB3667" s="4">
        <v>1</v>
      </c>
      <c r="AC3667" s="4">
        <v>8</v>
      </c>
      <c r="AD3667" s="4">
        <v>75</v>
      </c>
      <c r="AE3667" s="4">
        <v>143</v>
      </c>
      <c r="AF3667" s="4">
        <v>0</v>
      </c>
      <c r="AG3667" s="4">
        <v>3</v>
      </c>
      <c r="AH3667" s="4">
        <v>61</v>
      </c>
      <c r="AI3667" s="4">
        <v>113</v>
      </c>
      <c r="AJ3667" s="4">
        <v>8</v>
      </c>
      <c r="AK3667" s="4">
        <v>22</v>
      </c>
      <c r="AL3667" s="4">
        <v>30</v>
      </c>
      <c r="AM3667" s="4">
        <v>60</v>
      </c>
      <c r="AN3667" s="4">
        <v>0</v>
      </c>
      <c r="AO3667" s="4">
        <v>5</v>
      </c>
      <c r="AP3667" s="4">
        <v>15</v>
      </c>
      <c r="AQ3667" s="4">
        <v>35</v>
      </c>
      <c r="AR3667" s="3" t="s">
        <v>62</v>
      </c>
      <c r="AS3667" s="3" t="s">
        <v>62</v>
      </c>
      <c r="AT3667" s="3" t="s">
        <v>62</v>
      </c>
      <c r="AV3667" s="6" t="str">
        <f>HYPERLINK("http://mcgill.on.worldcat.org/oclc/16405709","Catalog Record")</f>
        <v>Catalog Record</v>
      </c>
      <c r="AW3667" s="6" t="str">
        <f>HYPERLINK("http://www.worldcat.org/oclc/16405709","WorldCat Record")</f>
        <v>WorldCat Record</v>
      </c>
      <c r="AX3667" s="3" t="s">
        <v>35475</v>
      </c>
      <c r="AY3667" s="3" t="s">
        <v>35476</v>
      </c>
      <c r="AZ3667" s="3" t="s">
        <v>35477</v>
      </c>
      <c r="BA3667" s="3" t="s">
        <v>35477</v>
      </c>
      <c r="BB3667" s="3" t="s">
        <v>35478</v>
      </c>
      <c r="BC3667" s="3" t="s">
        <v>102</v>
      </c>
      <c r="BD3667" s="3" t="s">
        <v>68</v>
      </c>
      <c r="BE3667" s="3" t="s">
        <v>35479</v>
      </c>
      <c r="BF3667" s="3" t="s">
        <v>35478</v>
      </c>
      <c r="BG3667" s="3" t="s">
        <v>35480</v>
      </c>
    </row>
    <row r="3668" spans="1:59" ht="58" x14ac:dyDescent="0.35">
      <c r="A3668" s="2" t="s">
        <v>89</v>
      </c>
      <c r="B3668" s="2" t="s">
        <v>90</v>
      </c>
      <c r="C3668" s="2" t="s">
        <v>35471</v>
      </c>
      <c r="D3668" s="2" t="s">
        <v>35472</v>
      </c>
      <c r="E3668" s="2" t="s">
        <v>35473</v>
      </c>
      <c r="G3668" s="3" t="s">
        <v>62</v>
      </c>
      <c r="I3668" s="3" t="s">
        <v>61</v>
      </c>
      <c r="J3668" s="3" t="s">
        <v>61</v>
      </c>
      <c r="K3668" s="3" t="s">
        <v>63</v>
      </c>
      <c r="L3668" s="2" t="s">
        <v>35453</v>
      </c>
      <c r="M3668" s="2" t="s">
        <v>35474</v>
      </c>
      <c r="N3668" s="3" t="s">
        <v>1905</v>
      </c>
      <c r="P3668" s="3" t="s">
        <v>64</v>
      </c>
      <c r="R3668" s="3" t="s">
        <v>34126</v>
      </c>
      <c r="S3668" s="4">
        <v>80</v>
      </c>
      <c r="T3668" s="4">
        <v>99</v>
      </c>
      <c r="U3668" s="5" t="s">
        <v>11453</v>
      </c>
      <c r="V3668" s="5" t="s">
        <v>28934</v>
      </c>
      <c r="W3668" s="5" t="s">
        <v>67</v>
      </c>
      <c r="X3668" s="5" t="s">
        <v>67</v>
      </c>
      <c r="Y3668" s="4">
        <v>1082</v>
      </c>
      <c r="Z3668" s="4">
        <v>29</v>
      </c>
      <c r="AA3668" s="4">
        <v>73</v>
      </c>
      <c r="AB3668" s="4">
        <v>1</v>
      </c>
      <c r="AC3668" s="4">
        <v>8</v>
      </c>
      <c r="AD3668" s="4">
        <v>75</v>
      </c>
      <c r="AE3668" s="4">
        <v>143</v>
      </c>
      <c r="AF3668" s="4">
        <v>0</v>
      </c>
      <c r="AG3668" s="4">
        <v>3</v>
      </c>
      <c r="AH3668" s="4">
        <v>61</v>
      </c>
      <c r="AI3668" s="4">
        <v>113</v>
      </c>
      <c r="AJ3668" s="4">
        <v>8</v>
      </c>
      <c r="AK3668" s="4">
        <v>22</v>
      </c>
      <c r="AL3668" s="4">
        <v>30</v>
      </c>
      <c r="AM3668" s="4">
        <v>60</v>
      </c>
      <c r="AN3668" s="4">
        <v>0</v>
      </c>
      <c r="AO3668" s="4">
        <v>5</v>
      </c>
      <c r="AP3668" s="4">
        <v>15</v>
      </c>
      <c r="AQ3668" s="4">
        <v>35</v>
      </c>
      <c r="AR3668" s="3" t="s">
        <v>62</v>
      </c>
      <c r="AS3668" s="3" t="s">
        <v>62</v>
      </c>
      <c r="AT3668" s="3" t="s">
        <v>62</v>
      </c>
      <c r="AV3668" s="6" t="str">
        <f>HYPERLINK("http://mcgill.on.worldcat.org/oclc/16405709","Catalog Record")</f>
        <v>Catalog Record</v>
      </c>
      <c r="AW3668" s="6" t="str">
        <f>HYPERLINK("http://www.worldcat.org/oclc/16405709","WorldCat Record")</f>
        <v>WorldCat Record</v>
      </c>
      <c r="AX3668" s="3" t="s">
        <v>35475</v>
      </c>
      <c r="AY3668" s="3" t="s">
        <v>35476</v>
      </c>
      <c r="AZ3668" s="3" t="s">
        <v>35477</v>
      </c>
      <c r="BA3668" s="3" t="s">
        <v>35477</v>
      </c>
      <c r="BB3668" s="3" t="s">
        <v>35481</v>
      </c>
      <c r="BC3668" s="3" t="s">
        <v>102</v>
      </c>
      <c r="BD3668" s="3" t="s">
        <v>68</v>
      </c>
      <c r="BE3668" s="3" t="s">
        <v>35479</v>
      </c>
      <c r="BF3668" s="3" t="s">
        <v>35481</v>
      </c>
      <c r="BG3668" s="3" t="s">
        <v>35482</v>
      </c>
    </row>
    <row r="3669" spans="1:59" ht="58" x14ac:dyDescent="0.35">
      <c r="A3669" s="2" t="s">
        <v>89</v>
      </c>
      <c r="B3669" s="2" t="s">
        <v>90</v>
      </c>
      <c r="C3669" s="2" t="s">
        <v>35483</v>
      </c>
      <c r="D3669" s="2" t="s">
        <v>35484</v>
      </c>
      <c r="E3669" s="2" t="s">
        <v>35485</v>
      </c>
      <c r="G3669" s="3" t="s">
        <v>62</v>
      </c>
      <c r="I3669" s="3" t="s">
        <v>62</v>
      </c>
      <c r="J3669" s="3" t="s">
        <v>62</v>
      </c>
      <c r="K3669" s="3" t="s">
        <v>63</v>
      </c>
      <c r="L3669" s="2" t="s">
        <v>35486</v>
      </c>
      <c r="M3669" s="2" t="s">
        <v>35487</v>
      </c>
      <c r="N3669" s="3" t="s">
        <v>129</v>
      </c>
      <c r="O3669" s="2" t="s">
        <v>35488</v>
      </c>
      <c r="P3669" s="3" t="s">
        <v>64</v>
      </c>
      <c r="Q3669" s="2" t="s">
        <v>35489</v>
      </c>
      <c r="R3669" s="3" t="s">
        <v>34126</v>
      </c>
      <c r="S3669" s="4">
        <v>13</v>
      </c>
      <c r="T3669" s="4">
        <v>13</v>
      </c>
      <c r="U3669" s="5" t="s">
        <v>15905</v>
      </c>
      <c r="V3669" s="5" t="s">
        <v>15905</v>
      </c>
      <c r="W3669" s="5" t="s">
        <v>67</v>
      </c>
      <c r="X3669" s="5" t="s">
        <v>67</v>
      </c>
      <c r="Y3669" s="4">
        <v>799</v>
      </c>
      <c r="Z3669" s="4">
        <v>11</v>
      </c>
      <c r="AA3669" s="4">
        <v>20</v>
      </c>
      <c r="AB3669" s="4">
        <v>1</v>
      </c>
      <c r="AC3669" s="4">
        <v>3</v>
      </c>
      <c r="AD3669" s="4">
        <v>75</v>
      </c>
      <c r="AE3669" s="4">
        <v>86</v>
      </c>
      <c r="AF3669" s="4">
        <v>0</v>
      </c>
      <c r="AG3669" s="4">
        <v>0</v>
      </c>
      <c r="AH3669" s="4">
        <v>69</v>
      </c>
      <c r="AI3669" s="4">
        <v>77</v>
      </c>
      <c r="AJ3669" s="4">
        <v>5</v>
      </c>
      <c r="AK3669" s="4">
        <v>8</v>
      </c>
      <c r="AL3669" s="4">
        <v>40</v>
      </c>
      <c r="AM3669" s="4">
        <v>43</v>
      </c>
      <c r="AN3669" s="4">
        <v>0</v>
      </c>
      <c r="AO3669" s="4">
        <v>0</v>
      </c>
      <c r="AP3669" s="4">
        <v>7</v>
      </c>
      <c r="AQ3669" s="4">
        <v>12</v>
      </c>
      <c r="AR3669" s="3" t="s">
        <v>62</v>
      </c>
      <c r="AS3669" s="3" t="s">
        <v>62</v>
      </c>
      <c r="AT3669" s="3" t="s">
        <v>62</v>
      </c>
      <c r="AV3669" s="6" t="str">
        <f>HYPERLINK("http://mcgill.on.worldcat.org/oclc/796756009","Catalog Record")</f>
        <v>Catalog Record</v>
      </c>
      <c r="AW3669" s="6" t="str">
        <f>HYPERLINK("http://www.worldcat.org/oclc/796756009","WorldCat Record")</f>
        <v>WorldCat Record</v>
      </c>
      <c r="AX3669" s="3" t="s">
        <v>35490</v>
      </c>
      <c r="AY3669" s="3" t="s">
        <v>35491</v>
      </c>
      <c r="AZ3669" s="3" t="s">
        <v>35492</v>
      </c>
      <c r="BA3669" s="3" t="s">
        <v>35492</v>
      </c>
      <c r="BB3669" s="3" t="s">
        <v>35493</v>
      </c>
      <c r="BC3669" s="3" t="s">
        <v>102</v>
      </c>
      <c r="BD3669" s="3" t="s">
        <v>231</v>
      </c>
      <c r="BE3669" s="3" t="s">
        <v>35494</v>
      </c>
      <c r="BF3669" s="3" t="s">
        <v>35493</v>
      </c>
      <c r="BG3669" s="3" t="s">
        <v>35495</v>
      </c>
    </row>
    <row r="3670" spans="1:59" ht="58" x14ac:dyDescent="0.35">
      <c r="A3670" s="2" t="s">
        <v>89</v>
      </c>
      <c r="B3670" s="2" t="s">
        <v>90</v>
      </c>
      <c r="C3670" s="2" t="s">
        <v>35496</v>
      </c>
      <c r="D3670" s="2" t="s">
        <v>35497</v>
      </c>
      <c r="E3670" s="2" t="s">
        <v>35498</v>
      </c>
      <c r="G3670" s="3" t="s">
        <v>62</v>
      </c>
      <c r="I3670" s="3" t="s">
        <v>62</v>
      </c>
      <c r="J3670" s="3" t="s">
        <v>62</v>
      </c>
      <c r="K3670" s="3" t="s">
        <v>63</v>
      </c>
      <c r="L3670" s="2" t="s">
        <v>35453</v>
      </c>
      <c r="M3670" s="2" t="s">
        <v>35499</v>
      </c>
      <c r="N3670" s="3" t="s">
        <v>568</v>
      </c>
      <c r="P3670" s="3" t="s">
        <v>85</v>
      </c>
      <c r="Q3670" s="2" t="s">
        <v>35500</v>
      </c>
      <c r="R3670" s="3" t="s">
        <v>34126</v>
      </c>
      <c r="S3670" s="4">
        <v>16</v>
      </c>
      <c r="T3670" s="4">
        <v>16</v>
      </c>
      <c r="U3670" s="5" t="s">
        <v>3583</v>
      </c>
      <c r="V3670" s="5" t="s">
        <v>3583</v>
      </c>
      <c r="W3670" s="5" t="s">
        <v>67</v>
      </c>
      <c r="X3670" s="5" t="s">
        <v>67</v>
      </c>
      <c r="Y3670" s="4">
        <v>57</v>
      </c>
      <c r="Z3670" s="4">
        <v>8</v>
      </c>
      <c r="AA3670" s="4">
        <v>9</v>
      </c>
      <c r="AB3670" s="4">
        <v>5</v>
      </c>
      <c r="AC3670" s="4">
        <v>6</v>
      </c>
      <c r="AD3670" s="4">
        <v>3</v>
      </c>
      <c r="AE3670" s="4">
        <v>3</v>
      </c>
      <c r="AF3670" s="4">
        <v>3</v>
      </c>
      <c r="AG3670" s="4">
        <v>3</v>
      </c>
      <c r="AH3670" s="4">
        <v>1</v>
      </c>
      <c r="AI3670" s="4">
        <v>1</v>
      </c>
      <c r="AJ3670" s="4">
        <v>3</v>
      </c>
      <c r="AK3670" s="4">
        <v>3</v>
      </c>
      <c r="AL3670" s="4">
        <v>0</v>
      </c>
      <c r="AM3670" s="4">
        <v>0</v>
      </c>
      <c r="AN3670" s="4">
        <v>0</v>
      </c>
      <c r="AO3670" s="4">
        <v>0</v>
      </c>
      <c r="AP3670" s="4">
        <v>3</v>
      </c>
      <c r="AQ3670" s="4">
        <v>3</v>
      </c>
      <c r="AR3670" s="3" t="s">
        <v>62</v>
      </c>
      <c r="AS3670" s="3" t="s">
        <v>62</v>
      </c>
      <c r="AT3670" s="3" t="s">
        <v>62</v>
      </c>
      <c r="AV3670" s="6" t="str">
        <f>HYPERLINK("http://mcgill.on.worldcat.org/oclc/44081821","Catalog Record")</f>
        <v>Catalog Record</v>
      </c>
      <c r="AW3670" s="6" t="str">
        <f>HYPERLINK("http://www.worldcat.org/oclc/44081821","WorldCat Record")</f>
        <v>WorldCat Record</v>
      </c>
      <c r="AX3670" s="3" t="s">
        <v>35501</v>
      </c>
      <c r="AY3670" s="3" t="s">
        <v>35502</v>
      </c>
      <c r="AZ3670" s="3" t="s">
        <v>35503</v>
      </c>
      <c r="BA3670" s="3" t="s">
        <v>35503</v>
      </c>
      <c r="BB3670" s="3" t="s">
        <v>35504</v>
      </c>
      <c r="BC3670" s="3" t="s">
        <v>102</v>
      </c>
      <c r="BD3670" s="3" t="s">
        <v>68</v>
      </c>
      <c r="BE3670" s="3" t="s">
        <v>35505</v>
      </c>
      <c r="BF3670" s="3" t="s">
        <v>35504</v>
      </c>
      <c r="BG3670" s="3" t="s">
        <v>35506</v>
      </c>
    </row>
    <row r="3671" spans="1:59" ht="58" x14ac:dyDescent="0.35">
      <c r="A3671" s="2" t="s">
        <v>59</v>
      </c>
      <c r="B3671" s="2" t="s">
        <v>60</v>
      </c>
      <c r="C3671" s="2" t="s">
        <v>35507</v>
      </c>
      <c r="D3671" s="2" t="s">
        <v>35508</v>
      </c>
      <c r="E3671" s="2" t="s">
        <v>35509</v>
      </c>
      <c r="G3671" s="3" t="s">
        <v>62</v>
      </c>
      <c r="I3671" s="3" t="s">
        <v>62</v>
      </c>
      <c r="J3671" s="3" t="s">
        <v>62</v>
      </c>
      <c r="K3671" s="3" t="s">
        <v>63</v>
      </c>
      <c r="L3671" s="2" t="s">
        <v>35510</v>
      </c>
      <c r="M3671" s="2" t="s">
        <v>35511</v>
      </c>
      <c r="N3671" s="3" t="s">
        <v>568</v>
      </c>
      <c r="P3671" s="3" t="s">
        <v>64</v>
      </c>
      <c r="R3671" s="3" t="s">
        <v>34126</v>
      </c>
      <c r="S3671" s="4">
        <v>1</v>
      </c>
      <c r="T3671" s="4">
        <v>1</v>
      </c>
      <c r="U3671" s="5" t="s">
        <v>8111</v>
      </c>
      <c r="V3671" s="5" t="s">
        <v>8111</v>
      </c>
      <c r="W3671" s="5" t="s">
        <v>67</v>
      </c>
      <c r="X3671" s="5" t="s">
        <v>67</v>
      </c>
      <c r="Y3671" s="4">
        <v>435</v>
      </c>
      <c r="Z3671" s="4">
        <v>17</v>
      </c>
      <c r="AA3671" s="4">
        <v>28</v>
      </c>
      <c r="AB3671" s="4">
        <v>2</v>
      </c>
      <c r="AC3671" s="4">
        <v>5</v>
      </c>
      <c r="AD3671" s="4">
        <v>48</v>
      </c>
      <c r="AE3671" s="4">
        <v>53</v>
      </c>
      <c r="AF3671" s="4">
        <v>0</v>
      </c>
      <c r="AG3671" s="4">
        <v>0</v>
      </c>
      <c r="AH3671" s="4">
        <v>43</v>
      </c>
      <c r="AI3671" s="4">
        <v>46</v>
      </c>
      <c r="AJ3671" s="4">
        <v>8</v>
      </c>
      <c r="AK3671" s="4">
        <v>10</v>
      </c>
      <c r="AL3671" s="4">
        <v>22</v>
      </c>
      <c r="AM3671" s="4">
        <v>22</v>
      </c>
      <c r="AN3671" s="4">
        <v>5</v>
      </c>
      <c r="AO3671" s="4">
        <v>5</v>
      </c>
      <c r="AP3671" s="4">
        <v>8</v>
      </c>
      <c r="AQ3671" s="4">
        <v>12</v>
      </c>
      <c r="AR3671" s="3" t="s">
        <v>62</v>
      </c>
      <c r="AS3671" s="3" t="s">
        <v>62</v>
      </c>
      <c r="AT3671" s="3" t="s">
        <v>61</v>
      </c>
      <c r="AU3671" s="6" t="str">
        <f>HYPERLINK("http://catalog.hathitrust.org/Record/102009155","HathiTrust Record")</f>
        <v>HathiTrust Record</v>
      </c>
      <c r="AV3671" s="6" t="str">
        <f>HYPERLINK("http://mcgill.on.worldcat.org/oclc/42786284","Catalog Record")</f>
        <v>Catalog Record</v>
      </c>
      <c r="AW3671" s="6" t="str">
        <f>HYPERLINK("http://www.worldcat.org/oclc/42786284","WorldCat Record")</f>
        <v>WorldCat Record</v>
      </c>
      <c r="AX3671" s="3" t="s">
        <v>35512</v>
      </c>
      <c r="AY3671" s="3" t="s">
        <v>35513</v>
      </c>
      <c r="AZ3671" s="3" t="s">
        <v>35514</v>
      </c>
      <c r="BA3671" s="3" t="s">
        <v>35514</v>
      </c>
      <c r="BB3671" s="3" t="s">
        <v>35515</v>
      </c>
      <c r="BC3671" s="3" t="s">
        <v>102</v>
      </c>
      <c r="BD3671" s="3" t="s">
        <v>68</v>
      </c>
      <c r="BE3671" s="3" t="s">
        <v>35516</v>
      </c>
      <c r="BF3671" s="3" t="s">
        <v>35515</v>
      </c>
      <c r="BG3671" s="3" t="s">
        <v>35517</v>
      </c>
    </row>
    <row r="3672" spans="1:59" ht="58" x14ac:dyDescent="0.35">
      <c r="A3672" s="2" t="s">
        <v>89</v>
      </c>
      <c r="B3672" s="2" t="s">
        <v>90</v>
      </c>
      <c r="C3672" s="2" t="s">
        <v>35518</v>
      </c>
      <c r="D3672" s="2" t="s">
        <v>35519</v>
      </c>
      <c r="E3672" s="2" t="s">
        <v>35520</v>
      </c>
      <c r="G3672" s="3" t="s">
        <v>62</v>
      </c>
      <c r="I3672" s="3" t="s">
        <v>62</v>
      </c>
      <c r="J3672" s="3" t="s">
        <v>62</v>
      </c>
      <c r="K3672" s="3" t="s">
        <v>63</v>
      </c>
      <c r="L3672" s="2" t="s">
        <v>35521</v>
      </c>
      <c r="M3672" s="2" t="s">
        <v>35522</v>
      </c>
      <c r="N3672" s="3" t="s">
        <v>553</v>
      </c>
      <c r="P3672" s="3" t="s">
        <v>64</v>
      </c>
      <c r="R3672" s="3" t="s">
        <v>34126</v>
      </c>
      <c r="S3672" s="4">
        <v>3</v>
      </c>
      <c r="T3672" s="4">
        <v>3</v>
      </c>
      <c r="U3672" s="5" t="s">
        <v>35523</v>
      </c>
      <c r="V3672" s="5" t="s">
        <v>35523</v>
      </c>
      <c r="W3672" s="5" t="s">
        <v>67</v>
      </c>
      <c r="X3672" s="5" t="s">
        <v>67</v>
      </c>
      <c r="Y3672" s="4">
        <v>368</v>
      </c>
      <c r="Z3672" s="4">
        <v>14</v>
      </c>
      <c r="AA3672" s="4">
        <v>14</v>
      </c>
      <c r="AB3672" s="4">
        <v>1</v>
      </c>
      <c r="AC3672" s="4">
        <v>1</v>
      </c>
      <c r="AD3672" s="4">
        <v>76</v>
      </c>
      <c r="AE3672" s="4">
        <v>76</v>
      </c>
      <c r="AF3672" s="4">
        <v>0</v>
      </c>
      <c r="AG3672" s="4">
        <v>0</v>
      </c>
      <c r="AH3672" s="4">
        <v>69</v>
      </c>
      <c r="AI3672" s="4">
        <v>69</v>
      </c>
      <c r="AJ3672" s="4">
        <v>6</v>
      </c>
      <c r="AK3672" s="4">
        <v>6</v>
      </c>
      <c r="AL3672" s="4">
        <v>39</v>
      </c>
      <c r="AM3672" s="4">
        <v>39</v>
      </c>
      <c r="AN3672" s="4">
        <v>0</v>
      </c>
      <c r="AO3672" s="4">
        <v>0</v>
      </c>
      <c r="AP3672" s="4">
        <v>10</v>
      </c>
      <c r="AQ3672" s="4">
        <v>10</v>
      </c>
      <c r="AR3672" s="3" t="s">
        <v>62</v>
      </c>
      <c r="AS3672" s="3" t="s">
        <v>62</v>
      </c>
      <c r="AT3672" s="3" t="s">
        <v>62</v>
      </c>
      <c r="AV3672" s="6" t="str">
        <f>HYPERLINK("http://mcgill.on.worldcat.org/oclc/41565113","Catalog Record")</f>
        <v>Catalog Record</v>
      </c>
      <c r="AW3672" s="6" t="str">
        <f>HYPERLINK("http://www.worldcat.org/oclc/41565113","WorldCat Record")</f>
        <v>WorldCat Record</v>
      </c>
      <c r="AX3672" s="3" t="s">
        <v>35524</v>
      </c>
      <c r="AY3672" s="3" t="s">
        <v>35525</v>
      </c>
      <c r="AZ3672" s="3" t="s">
        <v>35526</v>
      </c>
      <c r="BA3672" s="3" t="s">
        <v>35526</v>
      </c>
      <c r="BB3672" s="3" t="s">
        <v>35527</v>
      </c>
      <c r="BC3672" s="3" t="s">
        <v>102</v>
      </c>
      <c r="BD3672" s="3" t="s">
        <v>68</v>
      </c>
      <c r="BE3672" s="3" t="s">
        <v>35528</v>
      </c>
      <c r="BF3672" s="3" t="s">
        <v>35527</v>
      </c>
      <c r="BG3672" s="3" t="s">
        <v>35529</v>
      </c>
    </row>
    <row r="3673" spans="1:59" ht="58" x14ac:dyDescent="0.35">
      <c r="A3673" s="2" t="s">
        <v>59</v>
      </c>
      <c r="B3673" s="2" t="s">
        <v>60</v>
      </c>
      <c r="C3673" s="2" t="s">
        <v>35530</v>
      </c>
      <c r="D3673" s="2" t="s">
        <v>35531</v>
      </c>
      <c r="E3673" s="2" t="s">
        <v>35532</v>
      </c>
      <c r="G3673" s="3" t="s">
        <v>62</v>
      </c>
      <c r="I3673" s="3" t="s">
        <v>62</v>
      </c>
      <c r="J3673" s="3" t="s">
        <v>62</v>
      </c>
      <c r="K3673" s="3" t="s">
        <v>63</v>
      </c>
      <c r="M3673" s="2" t="s">
        <v>12451</v>
      </c>
      <c r="N3673" s="3" t="s">
        <v>481</v>
      </c>
      <c r="P3673" s="3" t="s">
        <v>64</v>
      </c>
      <c r="R3673" s="3" t="s">
        <v>34126</v>
      </c>
      <c r="S3673" s="4">
        <v>24</v>
      </c>
      <c r="T3673" s="4">
        <v>24</v>
      </c>
      <c r="U3673" s="5" t="s">
        <v>8532</v>
      </c>
      <c r="V3673" s="5" t="s">
        <v>8532</v>
      </c>
      <c r="W3673" s="5" t="s">
        <v>67</v>
      </c>
      <c r="X3673" s="5" t="s">
        <v>67</v>
      </c>
      <c r="Y3673" s="4">
        <v>304</v>
      </c>
      <c r="Z3673" s="4">
        <v>23</v>
      </c>
      <c r="AA3673" s="4">
        <v>29</v>
      </c>
      <c r="AB3673" s="4">
        <v>2</v>
      </c>
      <c r="AC3673" s="4">
        <v>5</v>
      </c>
      <c r="AD3673" s="4">
        <v>106</v>
      </c>
      <c r="AE3673" s="4">
        <v>115</v>
      </c>
      <c r="AF3673" s="4">
        <v>1</v>
      </c>
      <c r="AG3673" s="4">
        <v>4</v>
      </c>
      <c r="AH3673" s="4">
        <v>95</v>
      </c>
      <c r="AI3673" s="4">
        <v>100</v>
      </c>
      <c r="AJ3673" s="4">
        <v>16</v>
      </c>
      <c r="AK3673" s="4">
        <v>21</v>
      </c>
      <c r="AL3673" s="4">
        <v>53</v>
      </c>
      <c r="AM3673" s="4">
        <v>55</v>
      </c>
      <c r="AN3673" s="4">
        <v>0</v>
      </c>
      <c r="AO3673" s="4">
        <v>0</v>
      </c>
      <c r="AP3673" s="4">
        <v>19</v>
      </c>
      <c r="AQ3673" s="4">
        <v>24</v>
      </c>
      <c r="AR3673" s="3" t="s">
        <v>62</v>
      </c>
      <c r="AS3673" s="3" t="s">
        <v>62</v>
      </c>
      <c r="AT3673" s="3" t="s">
        <v>62</v>
      </c>
      <c r="AV3673" s="6" t="str">
        <f>HYPERLINK("http://mcgill.on.worldcat.org/oclc/36485808","Catalog Record")</f>
        <v>Catalog Record</v>
      </c>
      <c r="AW3673" s="6" t="str">
        <f>HYPERLINK("http://www.worldcat.org/oclc/36485808","WorldCat Record")</f>
        <v>WorldCat Record</v>
      </c>
      <c r="AX3673" s="3" t="s">
        <v>35533</v>
      </c>
      <c r="AY3673" s="3" t="s">
        <v>35534</v>
      </c>
      <c r="AZ3673" s="3" t="s">
        <v>35535</v>
      </c>
      <c r="BA3673" s="3" t="s">
        <v>35535</v>
      </c>
      <c r="BB3673" s="3" t="s">
        <v>35536</v>
      </c>
      <c r="BC3673" s="3" t="s">
        <v>102</v>
      </c>
      <c r="BD3673" s="3" t="s">
        <v>231</v>
      </c>
      <c r="BE3673" s="3" t="s">
        <v>35537</v>
      </c>
      <c r="BF3673" s="3" t="s">
        <v>35536</v>
      </c>
      <c r="BG3673" s="3" t="s">
        <v>35538</v>
      </c>
    </row>
    <row r="3674" spans="1:59" ht="58" x14ac:dyDescent="0.35">
      <c r="A3674" s="2" t="s">
        <v>59</v>
      </c>
      <c r="B3674" s="2" t="s">
        <v>60</v>
      </c>
      <c r="C3674" s="2" t="s">
        <v>35539</v>
      </c>
      <c r="D3674" s="2" t="s">
        <v>35540</v>
      </c>
      <c r="E3674" s="2" t="s">
        <v>35541</v>
      </c>
      <c r="G3674" s="3" t="s">
        <v>62</v>
      </c>
      <c r="I3674" s="3" t="s">
        <v>62</v>
      </c>
      <c r="J3674" s="3" t="s">
        <v>62</v>
      </c>
      <c r="K3674" s="3" t="s">
        <v>63</v>
      </c>
      <c r="L3674" s="2" t="s">
        <v>27399</v>
      </c>
      <c r="M3674" s="2" t="s">
        <v>35542</v>
      </c>
      <c r="N3674" s="3" t="s">
        <v>396</v>
      </c>
      <c r="P3674" s="3" t="s">
        <v>64</v>
      </c>
      <c r="R3674" s="3" t="s">
        <v>34126</v>
      </c>
      <c r="S3674" s="4">
        <v>10</v>
      </c>
      <c r="T3674" s="4">
        <v>10</v>
      </c>
      <c r="U3674" s="5" t="s">
        <v>17100</v>
      </c>
      <c r="V3674" s="5" t="s">
        <v>17100</v>
      </c>
      <c r="W3674" s="5" t="s">
        <v>67</v>
      </c>
      <c r="X3674" s="5" t="s">
        <v>67</v>
      </c>
      <c r="Y3674" s="4">
        <v>366</v>
      </c>
      <c r="Z3674" s="4">
        <v>23</v>
      </c>
      <c r="AA3674" s="4">
        <v>24</v>
      </c>
      <c r="AB3674" s="4">
        <v>2</v>
      </c>
      <c r="AC3674" s="4">
        <v>3</v>
      </c>
      <c r="AD3674" s="4">
        <v>112</v>
      </c>
      <c r="AE3674" s="4">
        <v>114</v>
      </c>
      <c r="AF3674" s="4">
        <v>1</v>
      </c>
      <c r="AG3674" s="4">
        <v>2</v>
      </c>
      <c r="AH3674" s="4">
        <v>101</v>
      </c>
      <c r="AI3674" s="4">
        <v>102</v>
      </c>
      <c r="AJ3674" s="4">
        <v>15</v>
      </c>
      <c r="AK3674" s="4">
        <v>16</v>
      </c>
      <c r="AL3674" s="4">
        <v>51</v>
      </c>
      <c r="AM3674" s="4">
        <v>51</v>
      </c>
      <c r="AN3674" s="4">
        <v>0</v>
      </c>
      <c r="AO3674" s="4">
        <v>0</v>
      </c>
      <c r="AP3674" s="4">
        <v>18</v>
      </c>
      <c r="AQ3674" s="4">
        <v>18</v>
      </c>
      <c r="AR3674" s="3" t="s">
        <v>62</v>
      </c>
      <c r="AS3674" s="3" t="s">
        <v>62</v>
      </c>
      <c r="AT3674" s="3" t="s">
        <v>62</v>
      </c>
      <c r="AV3674" s="6" t="str">
        <f>HYPERLINK("http://mcgill.on.worldcat.org/oclc/11676612","Catalog Record")</f>
        <v>Catalog Record</v>
      </c>
      <c r="AW3674" s="6" t="str">
        <f>HYPERLINK("http://www.worldcat.org/oclc/11676612","WorldCat Record")</f>
        <v>WorldCat Record</v>
      </c>
      <c r="AX3674" s="3" t="s">
        <v>35543</v>
      </c>
      <c r="AY3674" s="3" t="s">
        <v>35544</v>
      </c>
      <c r="AZ3674" s="3" t="s">
        <v>35545</v>
      </c>
      <c r="BA3674" s="3" t="s">
        <v>35545</v>
      </c>
      <c r="BB3674" s="3" t="s">
        <v>35546</v>
      </c>
      <c r="BC3674" s="3" t="s">
        <v>102</v>
      </c>
      <c r="BD3674" s="3" t="s">
        <v>6923</v>
      </c>
      <c r="BE3674" s="3" t="s">
        <v>35547</v>
      </c>
      <c r="BF3674" s="3" t="s">
        <v>35546</v>
      </c>
      <c r="BG3674" s="3" t="s">
        <v>35548</v>
      </c>
    </row>
    <row r="3675" spans="1:59" ht="58" x14ac:dyDescent="0.35">
      <c r="A3675" s="2" t="s">
        <v>59</v>
      </c>
      <c r="B3675" s="2" t="s">
        <v>60</v>
      </c>
      <c r="C3675" s="2" t="s">
        <v>35549</v>
      </c>
      <c r="D3675" s="2" t="s">
        <v>35550</v>
      </c>
      <c r="E3675" s="2" t="s">
        <v>35551</v>
      </c>
      <c r="G3675" s="3" t="s">
        <v>62</v>
      </c>
      <c r="I3675" s="3" t="s">
        <v>62</v>
      </c>
      <c r="J3675" s="3" t="s">
        <v>62</v>
      </c>
      <c r="K3675" s="3" t="s">
        <v>63</v>
      </c>
      <c r="L3675" s="2" t="s">
        <v>35552</v>
      </c>
      <c r="M3675" s="2" t="s">
        <v>35553</v>
      </c>
      <c r="N3675" s="3" t="s">
        <v>568</v>
      </c>
      <c r="P3675" s="3" t="s">
        <v>64</v>
      </c>
      <c r="R3675" s="3" t="s">
        <v>34126</v>
      </c>
      <c r="S3675" s="4">
        <v>7</v>
      </c>
      <c r="T3675" s="4">
        <v>7</v>
      </c>
      <c r="U3675" s="5" t="s">
        <v>6918</v>
      </c>
      <c r="V3675" s="5" t="s">
        <v>6918</v>
      </c>
      <c r="W3675" s="5" t="s">
        <v>67</v>
      </c>
      <c r="X3675" s="5" t="s">
        <v>67</v>
      </c>
      <c r="Y3675" s="4">
        <v>1588</v>
      </c>
      <c r="Z3675" s="4">
        <v>52</v>
      </c>
      <c r="AA3675" s="4">
        <v>63</v>
      </c>
      <c r="AB3675" s="4">
        <v>2</v>
      </c>
      <c r="AC3675" s="4">
        <v>7</v>
      </c>
      <c r="AD3675" s="4">
        <v>121</v>
      </c>
      <c r="AE3675" s="4">
        <v>127</v>
      </c>
      <c r="AF3675" s="4">
        <v>1</v>
      </c>
      <c r="AG3675" s="4">
        <v>3</v>
      </c>
      <c r="AH3675" s="4">
        <v>100</v>
      </c>
      <c r="AI3675" s="4">
        <v>103</v>
      </c>
      <c r="AJ3675" s="4">
        <v>15</v>
      </c>
      <c r="AK3675" s="4">
        <v>18</v>
      </c>
      <c r="AL3675" s="4">
        <v>53</v>
      </c>
      <c r="AM3675" s="4">
        <v>55</v>
      </c>
      <c r="AN3675" s="4">
        <v>0</v>
      </c>
      <c r="AO3675" s="4">
        <v>0</v>
      </c>
      <c r="AP3675" s="4">
        <v>25</v>
      </c>
      <c r="AQ3675" s="4">
        <v>29</v>
      </c>
      <c r="AR3675" s="3" t="s">
        <v>62</v>
      </c>
      <c r="AS3675" s="3" t="s">
        <v>62</v>
      </c>
      <c r="AT3675" s="3" t="s">
        <v>61</v>
      </c>
      <c r="AU3675" s="6" t="str">
        <f>HYPERLINK("http://catalog.hathitrust.org/Record/004096174","HathiTrust Record")</f>
        <v>HathiTrust Record</v>
      </c>
      <c r="AV3675" s="6" t="str">
        <f>HYPERLINK("http://mcgill.on.worldcat.org/oclc/43185815","Catalog Record")</f>
        <v>Catalog Record</v>
      </c>
      <c r="AW3675" s="6" t="str">
        <f>HYPERLINK("http://www.worldcat.org/oclc/43185815","WorldCat Record")</f>
        <v>WorldCat Record</v>
      </c>
      <c r="AX3675" s="3" t="s">
        <v>35554</v>
      </c>
      <c r="AY3675" s="3" t="s">
        <v>35555</v>
      </c>
      <c r="AZ3675" s="3" t="s">
        <v>35556</v>
      </c>
      <c r="BA3675" s="3" t="s">
        <v>35556</v>
      </c>
      <c r="BB3675" s="3" t="s">
        <v>35557</v>
      </c>
      <c r="BC3675" s="3" t="s">
        <v>102</v>
      </c>
      <c r="BD3675" s="3" t="s">
        <v>6923</v>
      </c>
      <c r="BE3675" s="3" t="s">
        <v>35558</v>
      </c>
      <c r="BF3675" s="3" t="s">
        <v>35557</v>
      </c>
      <c r="BG3675" s="3" t="s">
        <v>35559</v>
      </c>
    </row>
    <row r="3676" spans="1:59" ht="58" x14ac:dyDescent="0.35">
      <c r="A3676" s="2" t="s">
        <v>89</v>
      </c>
      <c r="B3676" s="2" t="s">
        <v>90</v>
      </c>
      <c r="C3676" s="2" t="s">
        <v>35560</v>
      </c>
      <c r="D3676" s="2" t="s">
        <v>35561</v>
      </c>
      <c r="E3676" s="2" t="s">
        <v>35562</v>
      </c>
      <c r="G3676" s="3" t="s">
        <v>62</v>
      </c>
      <c r="I3676" s="3" t="s">
        <v>62</v>
      </c>
      <c r="J3676" s="3" t="s">
        <v>62</v>
      </c>
      <c r="K3676" s="3" t="s">
        <v>63</v>
      </c>
      <c r="L3676" s="2" t="s">
        <v>35563</v>
      </c>
      <c r="M3676" s="2" t="s">
        <v>35564</v>
      </c>
      <c r="N3676" s="3" t="s">
        <v>712</v>
      </c>
      <c r="P3676" s="3" t="s">
        <v>64</v>
      </c>
      <c r="R3676" s="3" t="s">
        <v>34126</v>
      </c>
      <c r="S3676" s="4">
        <v>1</v>
      </c>
      <c r="T3676" s="4">
        <v>1</v>
      </c>
      <c r="U3676" s="5" t="s">
        <v>15386</v>
      </c>
      <c r="V3676" s="5" t="s">
        <v>15386</v>
      </c>
      <c r="W3676" s="5" t="s">
        <v>67</v>
      </c>
      <c r="X3676" s="5" t="s">
        <v>67</v>
      </c>
      <c r="Y3676" s="4">
        <v>174</v>
      </c>
      <c r="Z3676" s="4">
        <v>14</v>
      </c>
      <c r="AA3676" s="4">
        <v>18</v>
      </c>
      <c r="AB3676" s="4">
        <v>2</v>
      </c>
      <c r="AC3676" s="4">
        <v>4</v>
      </c>
      <c r="AD3676" s="4">
        <v>36</v>
      </c>
      <c r="AE3676" s="4">
        <v>37</v>
      </c>
      <c r="AF3676" s="4">
        <v>0</v>
      </c>
      <c r="AG3676" s="4">
        <v>0</v>
      </c>
      <c r="AH3676" s="4">
        <v>32</v>
      </c>
      <c r="AI3676" s="4">
        <v>33</v>
      </c>
      <c r="AJ3676" s="4">
        <v>4</v>
      </c>
      <c r="AK3676" s="4">
        <v>4</v>
      </c>
      <c r="AL3676" s="4">
        <v>23</v>
      </c>
      <c r="AM3676" s="4">
        <v>24</v>
      </c>
      <c r="AN3676" s="4">
        <v>0</v>
      </c>
      <c r="AO3676" s="4">
        <v>0</v>
      </c>
      <c r="AP3676" s="4">
        <v>6</v>
      </c>
      <c r="AQ3676" s="4">
        <v>6</v>
      </c>
      <c r="AR3676" s="3" t="s">
        <v>62</v>
      </c>
      <c r="AS3676" s="3" t="s">
        <v>62</v>
      </c>
      <c r="AT3676" s="3" t="s">
        <v>62</v>
      </c>
      <c r="AV3676" s="6" t="str">
        <f>HYPERLINK("http://mcgill.on.worldcat.org/oclc/890161501","Catalog Record")</f>
        <v>Catalog Record</v>
      </c>
      <c r="AW3676" s="6" t="str">
        <f>HYPERLINK("http://www.worldcat.org/oclc/890161501","WorldCat Record")</f>
        <v>WorldCat Record</v>
      </c>
      <c r="AX3676" s="3" t="s">
        <v>35565</v>
      </c>
      <c r="AY3676" s="3" t="s">
        <v>35566</v>
      </c>
      <c r="AZ3676" s="3" t="s">
        <v>35567</v>
      </c>
      <c r="BA3676" s="3" t="s">
        <v>35567</v>
      </c>
      <c r="BB3676" s="3" t="s">
        <v>35568</v>
      </c>
      <c r="BC3676" s="3" t="s">
        <v>102</v>
      </c>
      <c r="BD3676" s="3" t="s">
        <v>68</v>
      </c>
      <c r="BE3676" s="3" t="s">
        <v>35569</v>
      </c>
      <c r="BF3676" s="3" t="s">
        <v>35568</v>
      </c>
      <c r="BG3676" s="3" t="s">
        <v>35570</v>
      </c>
    </row>
    <row r="3677" spans="1:59" ht="58" x14ac:dyDescent="0.35">
      <c r="A3677" s="2" t="s">
        <v>89</v>
      </c>
      <c r="B3677" s="2" t="s">
        <v>90</v>
      </c>
      <c r="C3677" s="2" t="s">
        <v>35571</v>
      </c>
      <c r="D3677" s="2" t="s">
        <v>35572</v>
      </c>
      <c r="E3677" s="2" t="s">
        <v>35573</v>
      </c>
      <c r="G3677" s="3" t="s">
        <v>62</v>
      </c>
      <c r="I3677" s="3" t="s">
        <v>62</v>
      </c>
      <c r="J3677" s="3" t="s">
        <v>62</v>
      </c>
      <c r="K3677" s="3" t="s">
        <v>916</v>
      </c>
      <c r="L3677" s="2" t="s">
        <v>35574</v>
      </c>
      <c r="M3677" s="2" t="s">
        <v>35575</v>
      </c>
      <c r="N3677" s="3" t="s">
        <v>698</v>
      </c>
      <c r="P3677" s="3" t="s">
        <v>64</v>
      </c>
      <c r="R3677" s="3" t="s">
        <v>34126</v>
      </c>
      <c r="S3677" s="4">
        <v>0</v>
      </c>
      <c r="T3677" s="4">
        <v>0</v>
      </c>
      <c r="W3677" s="5" t="s">
        <v>67</v>
      </c>
      <c r="X3677" s="5" t="s">
        <v>67</v>
      </c>
      <c r="Y3677" s="4">
        <v>66</v>
      </c>
      <c r="Z3677" s="4">
        <v>55</v>
      </c>
      <c r="AA3677" s="4">
        <v>69</v>
      </c>
      <c r="AB3677" s="4">
        <v>2</v>
      </c>
      <c r="AC3677" s="4">
        <v>3</v>
      </c>
      <c r="AD3677" s="4">
        <v>31</v>
      </c>
      <c r="AE3677" s="4">
        <v>37</v>
      </c>
      <c r="AF3677" s="4">
        <v>0</v>
      </c>
      <c r="AG3677" s="4">
        <v>0</v>
      </c>
      <c r="AH3677" s="4">
        <v>13</v>
      </c>
      <c r="AI3677" s="4">
        <v>15</v>
      </c>
      <c r="AJ3677" s="4">
        <v>14</v>
      </c>
      <c r="AK3677" s="4">
        <v>16</v>
      </c>
      <c r="AL3677" s="4">
        <v>5</v>
      </c>
      <c r="AM3677" s="4">
        <v>6</v>
      </c>
      <c r="AN3677" s="4">
        <v>0</v>
      </c>
      <c r="AO3677" s="4">
        <v>0</v>
      </c>
      <c r="AP3677" s="4">
        <v>24</v>
      </c>
      <c r="AQ3677" s="4">
        <v>28</v>
      </c>
      <c r="AR3677" s="3" t="s">
        <v>61</v>
      </c>
      <c r="AS3677" s="3" t="s">
        <v>62</v>
      </c>
      <c r="AT3677" s="3" t="s">
        <v>61</v>
      </c>
      <c r="AU3677" s="6" t="str">
        <f>HYPERLINK("http://catalog.hathitrust.org/Record/101699220","HathiTrust Record")</f>
        <v>HathiTrust Record</v>
      </c>
      <c r="AV3677" s="6" t="str">
        <f>HYPERLINK("http://mcgill.on.worldcat.org/oclc/794965516","Catalog Record")</f>
        <v>Catalog Record</v>
      </c>
      <c r="AW3677" s="6" t="str">
        <f>HYPERLINK("http://www.worldcat.org/oclc/794965516","WorldCat Record")</f>
        <v>WorldCat Record</v>
      </c>
      <c r="AX3677" s="3" t="s">
        <v>35576</v>
      </c>
      <c r="AY3677" s="3" t="s">
        <v>35577</v>
      </c>
      <c r="AZ3677" s="3" t="s">
        <v>35578</v>
      </c>
      <c r="BA3677" s="3" t="s">
        <v>35578</v>
      </c>
      <c r="BB3677" s="3" t="s">
        <v>35579</v>
      </c>
      <c r="BC3677" s="3" t="s">
        <v>102</v>
      </c>
      <c r="BD3677" s="3" t="s">
        <v>68</v>
      </c>
      <c r="BE3677" s="3" t="s">
        <v>35580</v>
      </c>
      <c r="BF3677" s="3" t="s">
        <v>35579</v>
      </c>
      <c r="BG3677" s="3" t="s">
        <v>35581</v>
      </c>
    </row>
    <row r="3678" spans="1:59" ht="58" x14ac:dyDescent="0.35">
      <c r="A3678" s="2" t="s">
        <v>89</v>
      </c>
      <c r="B3678" s="2" t="s">
        <v>90</v>
      </c>
      <c r="C3678" s="2" t="s">
        <v>35582</v>
      </c>
      <c r="D3678" s="2" t="s">
        <v>35583</v>
      </c>
      <c r="E3678" s="2" t="s">
        <v>35584</v>
      </c>
      <c r="G3678" s="3" t="s">
        <v>62</v>
      </c>
      <c r="I3678" s="3" t="s">
        <v>62</v>
      </c>
      <c r="J3678" s="3" t="s">
        <v>62</v>
      </c>
      <c r="K3678" s="3" t="s">
        <v>63</v>
      </c>
      <c r="L3678" s="2" t="s">
        <v>35585</v>
      </c>
      <c r="M3678" s="2" t="s">
        <v>35586</v>
      </c>
      <c r="N3678" s="3" t="s">
        <v>726</v>
      </c>
      <c r="P3678" s="3" t="s">
        <v>64</v>
      </c>
      <c r="R3678" s="3" t="s">
        <v>34126</v>
      </c>
      <c r="S3678" s="4">
        <v>0</v>
      </c>
      <c r="T3678" s="4">
        <v>0</v>
      </c>
      <c r="W3678" s="5" t="s">
        <v>67</v>
      </c>
      <c r="X3678" s="5" t="s">
        <v>67</v>
      </c>
      <c r="Y3678" s="4">
        <v>9</v>
      </c>
      <c r="Z3678" s="4">
        <v>1</v>
      </c>
      <c r="AA3678" s="4">
        <v>5</v>
      </c>
      <c r="AB3678" s="4">
        <v>1</v>
      </c>
      <c r="AC3678" s="4">
        <v>2</v>
      </c>
      <c r="AD3678" s="4">
        <v>4</v>
      </c>
      <c r="AE3678" s="4">
        <v>12</v>
      </c>
      <c r="AF3678" s="4">
        <v>0</v>
      </c>
      <c r="AG3678" s="4">
        <v>1</v>
      </c>
      <c r="AH3678" s="4">
        <v>3</v>
      </c>
      <c r="AI3678" s="4">
        <v>9</v>
      </c>
      <c r="AJ3678" s="4">
        <v>0</v>
      </c>
      <c r="AK3678" s="4">
        <v>4</v>
      </c>
      <c r="AL3678" s="4">
        <v>3</v>
      </c>
      <c r="AM3678" s="4">
        <v>6</v>
      </c>
      <c r="AN3678" s="4">
        <v>0</v>
      </c>
      <c r="AO3678" s="4">
        <v>0</v>
      </c>
      <c r="AP3678" s="4">
        <v>0</v>
      </c>
      <c r="AQ3678" s="4">
        <v>4</v>
      </c>
      <c r="AR3678" s="3" t="s">
        <v>62</v>
      </c>
      <c r="AS3678" s="3" t="s">
        <v>62</v>
      </c>
      <c r="AT3678" s="3" t="s">
        <v>62</v>
      </c>
      <c r="AV3678" s="6" t="str">
        <f>HYPERLINK("http://mcgill.on.worldcat.org/oclc/1004262279","Catalog Record")</f>
        <v>Catalog Record</v>
      </c>
      <c r="AW3678" s="6" t="str">
        <f>HYPERLINK("http://www.worldcat.org/oclc/1004262279","WorldCat Record")</f>
        <v>WorldCat Record</v>
      </c>
      <c r="AX3678" s="3" t="s">
        <v>35587</v>
      </c>
      <c r="AY3678" s="3" t="s">
        <v>35588</v>
      </c>
      <c r="AZ3678" s="3" t="s">
        <v>35589</v>
      </c>
      <c r="BA3678" s="3" t="s">
        <v>35589</v>
      </c>
      <c r="BB3678" s="3" t="s">
        <v>35590</v>
      </c>
      <c r="BC3678" s="3" t="s">
        <v>102</v>
      </c>
      <c r="BD3678" s="3" t="s">
        <v>68</v>
      </c>
      <c r="BE3678" s="3" t="s">
        <v>35591</v>
      </c>
      <c r="BF3678" s="3" t="s">
        <v>35590</v>
      </c>
      <c r="BG3678" s="3" t="s">
        <v>35592</v>
      </c>
    </row>
    <row r="3679" spans="1:59" ht="58" x14ac:dyDescent="0.35">
      <c r="A3679" s="2" t="s">
        <v>59</v>
      </c>
      <c r="B3679" s="2" t="s">
        <v>60</v>
      </c>
      <c r="C3679" s="2" t="s">
        <v>35593</v>
      </c>
      <c r="D3679" s="2" t="s">
        <v>35594</v>
      </c>
      <c r="E3679" s="2" t="s">
        <v>35595</v>
      </c>
      <c r="G3679" s="3" t="s">
        <v>62</v>
      </c>
      <c r="I3679" s="3" t="s">
        <v>62</v>
      </c>
      <c r="J3679" s="3" t="s">
        <v>62</v>
      </c>
      <c r="K3679" s="3" t="s">
        <v>63</v>
      </c>
      <c r="L3679" s="2" t="s">
        <v>35596</v>
      </c>
      <c r="M3679" s="2" t="s">
        <v>35597</v>
      </c>
      <c r="N3679" s="3" t="s">
        <v>5038</v>
      </c>
      <c r="P3679" s="3" t="s">
        <v>64</v>
      </c>
      <c r="R3679" s="3" t="s">
        <v>34126</v>
      </c>
      <c r="S3679" s="4">
        <v>1</v>
      </c>
      <c r="T3679" s="4">
        <v>1</v>
      </c>
      <c r="U3679" s="5" t="s">
        <v>82</v>
      </c>
      <c r="V3679" s="5" t="s">
        <v>82</v>
      </c>
      <c r="W3679" s="5" t="s">
        <v>67</v>
      </c>
      <c r="X3679" s="5" t="s">
        <v>67</v>
      </c>
      <c r="Y3679" s="4">
        <v>29</v>
      </c>
      <c r="Z3679" s="4">
        <v>6</v>
      </c>
      <c r="AA3679" s="4">
        <v>6</v>
      </c>
      <c r="AB3679" s="4">
        <v>1</v>
      </c>
      <c r="AC3679" s="4">
        <v>1</v>
      </c>
      <c r="AD3679" s="4">
        <v>16</v>
      </c>
      <c r="AE3679" s="4">
        <v>16</v>
      </c>
      <c r="AF3679" s="4">
        <v>0</v>
      </c>
      <c r="AG3679" s="4">
        <v>0</v>
      </c>
      <c r="AH3679" s="4">
        <v>13</v>
      </c>
      <c r="AI3679" s="4">
        <v>13</v>
      </c>
      <c r="AJ3679" s="4">
        <v>3</v>
      </c>
      <c r="AK3679" s="4">
        <v>3</v>
      </c>
      <c r="AL3679" s="4">
        <v>7</v>
      </c>
      <c r="AM3679" s="4">
        <v>7</v>
      </c>
      <c r="AN3679" s="4">
        <v>0</v>
      </c>
      <c r="AO3679" s="4">
        <v>0</v>
      </c>
      <c r="AP3679" s="4">
        <v>4</v>
      </c>
      <c r="AQ3679" s="4">
        <v>4</v>
      </c>
      <c r="AR3679" s="3" t="s">
        <v>62</v>
      </c>
      <c r="AS3679" s="3" t="s">
        <v>62</v>
      </c>
      <c r="AT3679" s="3" t="s">
        <v>61</v>
      </c>
      <c r="AU3679" s="6" t="str">
        <f>HYPERLINK("http://catalog.hathitrust.org/Record/001271781","HathiTrust Record")</f>
        <v>HathiTrust Record</v>
      </c>
      <c r="AV3679" s="6" t="str">
        <f>HYPERLINK("http://mcgill.on.worldcat.org/oclc/9625081","Catalog Record")</f>
        <v>Catalog Record</v>
      </c>
      <c r="AW3679" s="6" t="str">
        <f>HYPERLINK("http://www.worldcat.org/oclc/9625081","WorldCat Record")</f>
        <v>WorldCat Record</v>
      </c>
      <c r="AX3679" s="3" t="s">
        <v>35598</v>
      </c>
      <c r="AY3679" s="3" t="s">
        <v>35599</v>
      </c>
      <c r="AZ3679" s="3" t="s">
        <v>35600</v>
      </c>
      <c r="BA3679" s="3" t="s">
        <v>35600</v>
      </c>
      <c r="BB3679" s="3" t="s">
        <v>35601</v>
      </c>
      <c r="BC3679" s="3" t="s">
        <v>102</v>
      </c>
      <c r="BD3679" s="3" t="s">
        <v>68</v>
      </c>
      <c r="BF3679" s="3" t="s">
        <v>35601</v>
      </c>
      <c r="BG3679" s="3" t="s">
        <v>35602</v>
      </c>
    </row>
    <row r="3680" spans="1:59" ht="58" x14ac:dyDescent="0.35">
      <c r="A3680" s="2" t="s">
        <v>89</v>
      </c>
      <c r="B3680" s="2" t="s">
        <v>90</v>
      </c>
      <c r="C3680" s="2" t="s">
        <v>35603</v>
      </c>
      <c r="D3680" s="2" t="s">
        <v>35604</v>
      </c>
      <c r="E3680" s="2" t="s">
        <v>35605</v>
      </c>
      <c r="G3680" s="3" t="s">
        <v>62</v>
      </c>
      <c r="I3680" s="3" t="s">
        <v>61</v>
      </c>
      <c r="J3680" s="3" t="s">
        <v>62</v>
      </c>
      <c r="K3680" s="3" t="s">
        <v>63</v>
      </c>
      <c r="L3680" s="2" t="s">
        <v>35606</v>
      </c>
      <c r="M3680" s="2" t="s">
        <v>17852</v>
      </c>
      <c r="N3680" s="3" t="s">
        <v>115</v>
      </c>
      <c r="P3680" s="3" t="s">
        <v>64</v>
      </c>
      <c r="Q3680" s="2" t="s">
        <v>14985</v>
      </c>
      <c r="R3680" s="3" t="s">
        <v>34126</v>
      </c>
      <c r="S3680" s="4">
        <v>11</v>
      </c>
      <c r="T3680" s="4">
        <v>28</v>
      </c>
      <c r="U3680" s="5" t="s">
        <v>35607</v>
      </c>
      <c r="V3680" s="5" t="s">
        <v>3717</v>
      </c>
      <c r="W3680" s="5" t="s">
        <v>67</v>
      </c>
      <c r="X3680" s="5" t="s">
        <v>67</v>
      </c>
      <c r="Y3680" s="4">
        <v>795</v>
      </c>
      <c r="Z3680" s="4">
        <v>49</v>
      </c>
      <c r="AA3680" s="4">
        <v>57</v>
      </c>
      <c r="AB3680" s="4">
        <v>1</v>
      </c>
      <c r="AC3680" s="4">
        <v>3</v>
      </c>
      <c r="AD3680" s="4">
        <v>90</v>
      </c>
      <c r="AE3680" s="4">
        <v>100</v>
      </c>
      <c r="AF3680" s="4">
        <v>0</v>
      </c>
      <c r="AG3680" s="4">
        <v>2</v>
      </c>
      <c r="AH3680" s="4">
        <v>71</v>
      </c>
      <c r="AI3680" s="4">
        <v>78</v>
      </c>
      <c r="AJ3680" s="4">
        <v>16</v>
      </c>
      <c r="AK3680" s="4">
        <v>20</v>
      </c>
      <c r="AL3680" s="4">
        <v>36</v>
      </c>
      <c r="AM3680" s="4">
        <v>39</v>
      </c>
      <c r="AN3680" s="4">
        <v>0</v>
      </c>
      <c r="AO3680" s="4">
        <v>2</v>
      </c>
      <c r="AP3680" s="4">
        <v>24</v>
      </c>
      <c r="AQ3680" s="4">
        <v>29</v>
      </c>
      <c r="AR3680" s="3" t="s">
        <v>62</v>
      </c>
      <c r="AS3680" s="3" t="s">
        <v>62</v>
      </c>
      <c r="AT3680" s="3" t="s">
        <v>61</v>
      </c>
      <c r="AU3680" s="6" t="str">
        <f>HYPERLINK("http://catalog.hathitrust.org/Record/102007663","HathiTrust Record")</f>
        <v>HathiTrust Record</v>
      </c>
      <c r="AV3680" s="6" t="str">
        <f>HYPERLINK("http://mcgill.on.worldcat.org/oclc/18106591","Catalog Record")</f>
        <v>Catalog Record</v>
      </c>
      <c r="AW3680" s="6" t="str">
        <f>HYPERLINK("http://www.worldcat.org/oclc/18106591","WorldCat Record")</f>
        <v>WorldCat Record</v>
      </c>
      <c r="AX3680" s="3" t="s">
        <v>35608</v>
      </c>
      <c r="AY3680" s="3" t="s">
        <v>35609</v>
      </c>
      <c r="AZ3680" s="3" t="s">
        <v>35610</v>
      </c>
      <c r="BA3680" s="3" t="s">
        <v>35610</v>
      </c>
      <c r="BB3680" s="3" t="s">
        <v>35611</v>
      </c>
      <c r="BC3680" s="3" t="s">
        <v>102</v>
      </c>
      <c r="BD3680" s="3" t="s">
        <v>68</v>
      </c>
      <c r="BE3680" s="3" t="s">
        <v>35612</v>
      </c>
      <c r="BF3680" s="3" t="s">
        <v>35611</v>
      </c>
      <c r="BG3680" s="3" t="s">
        <v>35613</v>
      </c>
    </row>
    <row r="3681" spans="1:59" ht="58" x14ac:dyDescent="0.35">
      <c r="A3681" s="2" t="s">
        <v>89</v>
      </c>
      <c r="B3681" s="2" t="s">
        <v>90</v>
      </c>
      <c r="C3681" s="2" t="s">
        <v>35614</v>
      </c>
      <c r="D3681" s="2" t="s">
        <v>35615</v>
      </c>
      <c r="E3681" s="2" t="s">
        <v>35616</v>
      </c>
      <c r="G3681" s="3" t="s">
        <v>62</v>
      </c>
      <c r="I3681" s="3" t="s">
        <v>61</v>
      </c>
      <c r="J3681" s="3" t="s">
        <v>61</v>
      </c>
      <c r="K3681" s="3" t="s">
        <v>63</v>
      </c>
      <c r="L3681" s="2" t="s">
        <v>35617</v>
      </c>
      <c r="M3681" s="2" t="s">
        <v>35618</v>
      </c>
      <c r="N3681" s="3" t="s">
        <v>954</v>
      </c>
      <c r="P3681" s="3" t="s">
        <v>64</v>
      </c>
      <c r="Q3681" s="2" t="s">
        <v>35619</v>
      </c>
      <c r="R3681" s="3" t="s">
        <v>34126</v>
      </c>
      <c r="S3681" s="4">
        <v>5</v>
      </c>
      <c r="T3681" s="4">
        <v>58</v>
      </c>
      <c r="U3681" s="5" t="s">
        <v>22552</v>
      </c>
      <c r="V3681" s="5" t="s">
        <v>22552</v>
      </c>
      <c r="W3681" s="5" t="s">
        <v>67</v>
      </c>
      <c r="X3681" s="5" t="s">
        <v>67</v>
      </c>
      <c r="Y3681" s="4">
        <v>1068</v>
      </c>
      <c r="Z3681" s="4">
        <v>60</v>
      </c>
      <c r="AA3681" s="4">
        <v>80</v>
      </c>
      <c r="AB3681" s="4">
        <v>5</v>
      </c>
      <c r="AC3681" s="4">
        <v>16</v>
      </c>
      <c r="AD3681" s="4">
        <v>140</v>
      </c>
      <c r="AE3681" s="4">
        <v>154</v>
      </c>
      <c r="AF3681" s="4">
        <v>2</v>
      </c>
      <c r="AG3681" s="4">
        <v>6</v>
      </c>
      <c r="AH3681" s="4">
        <v>110</v>
      </c>
      <c r="AI3681" s="4">
        <v>117</v>
      </c>
      <c r="AJ3681" s="4">
        <v>21</v>
      </c>
      <c r="AK3681" s="4">
        <v>26</v>
      </c>
      <c r="AL3681" s="4">
        <v>59</v>
      </c>
      <c r="AM3681" s="4">
        <v>60</v>
      </c>
      <c r="AN3681" s="4">
        <v>0</v>
      </c>
      <c r="AO3681" s="4">
        <v>0</v>
      </c>
      <c r="AP3681" s="4">
        <v>38</v>
      </c>
      <c r="AQ3681" s="4">
        <v>45</v>
      </c>
      <c r="AR3681" s="3" t="s">
        <v>62</v>
      </c>
      <c r="AS3681" s="3" t="s">
        <v>62</v>
      </c>
      <c r="AT3681" s="3" t="s">
        <v>61</v>
      </c>
      <c r="AU3681" s="6" t="str">
        <f>HYPERLINK("http://catalog.hathitrust.org/Record/000229593","HathiTrust Record")</f>
        <v>HathiTrust Record</v>
      </c>
      <c r="AV3681" s="6" t="str">
        <f>HYPERLINK("http://mcgill.on.worldcat.org/oclc/250558","Catalog Record")</f>
        <v>Catalog Record</v>
      </c>
      <c r="AW3681" s="6" t="str">
        <f>HYPERLINK("http://www.worldcat.org/oclc/250558","WorldCat Record")</f>
        <v>WorldCat Record</v>
      </c>
      <c r="AX3681" s="3" t="s">
        <v>35620</v>
      </c>
      <c r="AY3681" s="3" t="s">
        <v>35621</v>
      </c>
      <c r="AZ3681" s="3" t="s">
        <v>35622</v>
      </c>
      <c r="BA3681" s="3" t="s">
        <v>35622</v>
      </c>
      <c r="BB3681" s="3" t="s">
        <v>35623</v>
      </c>
      <c r="BC3681" s="3" t="s">
        <v>102</v>
      </c>
      <c r="BD3681" s="3" t="s">
        <v>68</v>
      </c>
      <c r="BF3681" s="3" t="s">
        <v>35623</v>
      </c>
      <c r="BG3681" s="3" t="s">
        <v>35624</v>
      </c>
    </row>
    <row r="3682" spans="1:59" ht="58" x14ac:dyDescent="0.35">
      <c r="A3682" s="2" t="s">
        <v>89</v>
      </c>
      <c r="B3682" s="2" t="s">
        <v>90</v>
      </c>
      <c r="C3682" s="2" t="s">
        <v>35625</v>
      </c>
      <c r="D3682" s="2" t="s">
        <v>35626</v>
      </c>
      <c r="E3682" s="2" t="s">
        <v>35627</v>
      </c>
      <c r="G3682" s="3" t="s">
        <v>62</v>
      </c>
      <c r="I3682" s="3" t="s">
        <v>62</v>
      </c>
      <c r="J3682" s="3" t="s">
        <v>62</v>
      </c>
      <c r="K3682" s="3" t="s">
        <v>63</v>
      </c>
      <c r="L3682" s="2" t="s">
        <v>35628</v>
      </c>
      <c r="M3682" s="2" t="s">
        <v>35629</v>
      </c>
      <c r="N3682" s="3" t="s">
        <v>2975</v>
      </c>
      <c r="O3682" s="2" t="s">
        <v>35630</v>
      </c>
      <c r="P3682" s="3" t="s">
        <v>64</v>
      </c>
      <c r="R3682" s="3" t="s">
        <v>34126</v>
      </c>
      <c r="S3682" s="4">
        <v>16</v>
      </c>
      <c r="T3682" s="4">
        <v>16</v>
      </c>
      <c r="U3682" s="5" t="s">
        <v>12245</v>
      </c>
      <c r="V3682" s="5" t="s">
        <v>12245</v>
      </c>
      <c r="W3682" s="5" t="s">
        <v>67</v>
      </c>
      <c r="X3682" s="5" t="s">
        <v>67</v>
      </c>
      <c r="Y3682" s="4">
        <v>75</v>
      </c>
      <c r="Z3682" s="4">
        <v>5</v>
      </c>
      <c r="AA3682" s="4">
        <v>14</v>
      </c>
      <c r="AB3682" s="4">
        <v>2</v>
      </c>
      <c r="AC3682" s="4">
        <v>2</v>
      </c>
      <c r="AD3682" s="4">
        <v>40</v>
      </c>
      <c r="AE3682" s="4">
        <v>71</v>
      </c>
      <c r="AF3682" s="4">
        <v>0</v>
      </c>
      <c r="AG3682" s="4">
        <v>0</v>
      </c>
      <c r="AH3682" s="4">
        <v>39</v>
      </c>
      <c r="AI3682" s="4">
        <v>66</v>
      </c>
      <c r="AJ3682" s="4">
        <v>3</v>
      </c>
      <c r="AK3682" s="4">
        <v>11</v>
      </c>
      <c r="AL3682" s="4">
        <v>21</v>
      </c>
      <c r="AM3682" s="4">
        <v>40</v>
      </c>
      <c r="AN3682" s="4">
        <v>0</v>
      </c>
      <c r="AO3682" s="4">
        <v>0</v>
      </c>
      <c r="AP3682" s="4">
        <v>3</v>
      </c>
      <c r="AQ3682" s="4">
        <v>11</v>
      </c>
      <c r="AR3682" s="3" t="s">
        <v>62</v>
      </c>
      <c r="AS3682" s="3" t="s">
        <v>62</v>
      </c>
      <c r="AT3682" s="3" t="s">
        <v>62</v>
      </c>
      <c r="AV3682" s="6" t="str">
        <f>HYPERLINK("http://mcgill.on.worldcat.org/oclc/47210147","Catalog Record")</f>
        <v>Catalog Record</v>
      </c>
      <c r="AW3682" s="6" t="str">
        <f>HYPERLINK("http://www.worldcat.org/oclc/47210147","WorldCat Record")</f>
        <v>WorldCat Record</v>
      </c>
      <c r="AX3682" s="3" t="s">
        <v>35631</v>
      </c>
      <c r="AY3682" s="3" t="s">
        <v>35632</v>
      </c>
      <c r="AZ3682" s="3" t="s">
        <v>35633</v>
      </c>
      <c r="BA3682" s="3" t="s">
        <v>35633</v>
      </c>
      <c r="BB3682" s="3" t="s">
        <v>35634</v>
      </c>
      <c r="BC3682" s="3" t="s">
        <v>102</v>
      </c>
      <c r="BD3682" s="3" t="s">
        <v>68</v>
      </c>
      <c r="BE3682" s="3" t="s">
        <v>35635</v>
      </c>
      <c r="BF3682" s="3" t="s">
        <v>35634</v>
      </c>
      <c r="BG3682" s="3" t="s">
        <v>35636</v>
      </c>
    </row>
    <row r="3683" spans="1:59" ht="58" x14ac:dyDescent="0.35">
      <c r="A3683" s="2" t="s">
        <v>59</v>
      </c>
      <c r="B3683" s="2" t="s">
        <v>60</v>
      </c>
      <c r="C3683" s="2" t="s">
        <v>35637</v>
      </c>
      <c r="D3683" s="2" t="s">
        <v>35638</v>
      </c>
      <c r="E3683" s="2" t="s">
        <v>35639</v>
      </c>
      <c r="F3683" s="3" t="s">
        <v>2217</v>
      </c>
      <c r="G3683" s="3" t="s">
        <v>61</v>
      </c>
      <c r="I3683" s="3" t="s">
        <v>61</v>
      </c>
      <c r="J3683" s="3" t="s">
        <v>62</v>
      </c>
      <c r="K3683" s="3" t="s">
        <v>63</v>
      </c>
      <c r="L3683" s="2" t="s">
        <v>35640</v>
      </c>
      <c r="M3683" s="2" t="s">
        <v>35641</v>
      </c>
      <c r="N3683" s="3" t="s">
        <v>81</v>
      </c>
      <c r="P3683" s="3" t="s">
        <v>64</v>
      </c>
      <c r="R3683" s="3" t="s">
        <v>34126</v>
      </c>
      <c r="S3683" s="4">
        <v>0</v>
      </c>
      <c r="T3683" s="4">
        <v>14</v>
      </c>
      <c r="V3683" s="5" t="s">
        <v>33394</v>
      </c>
      <c r="W3683" s="5" t="s">
        <v>67</v>
      </c>
      <c r="X3683" s="5" t="s">
        <v>67</v>
      </c>
      <c r="Y3683" s="4">
        <v>698</v>
      </c>
      <c r="Z3683" s="4">
        <v>36</v>
      </c>
      <c r="AA3683" s="4">
        <v>40</v>
      </c>
      <c r="AB3683" s="4">
        <v>2</v>
      </c>
      <c r="AC3683" s="4">
        <v>6</v>
      </c>
      <c r="AD3683" s="4">
        <v>122</v>
      </c>
      <c r="AE3683" s="4">
        <v>124</v>
      </c>
      <c r="AF3683" s="4">
        <v>1</v>
      </c>
      <c r="AG3683" s="4">
        <v>3</v>
      </c>
      <c r="AH3683" s="4">
        <v>103</v>
      </c>
      <c r="AI3683" s="4">
        <v>103</v>
      </c>
      <c r="AJ3683" s="4">
        <v>20</v>
      </c>
      <c r="AK3683" s="4">
        <v>22</v>
      </c>
      <c r="AL3683" s="4">
        <v>55</v>
      </c>
      <c r="AM3683" s="4">
        <v>55</v>
      </c>
      <c r="AN3683" s="4">
        <v>0</v>
      </c>
      <c r="AO3683" s="4">
        <v>0</v>
      </c>
      <c r="AP3683" s="4">
        <v>28</v>
      </c>
      <c r="AQ3683" s="4">
        <v>30</v>
      </c>
      <c r="AR3683" s="3" t="s">
        <v>62</v>
      </c>
      <c r="AS3683" s="3" t="s">
        <v>62</v>
      </c>
      <c r="AT3683" s="3" t="s">
        <v>61</v>
      </c>
      <c r="AU3683" s="6" t="str">
        <f>HYPERLINK("http://catalog.hathitrust.org/Record/000236069","HathiTrust Record")</f>
        <v>HathiTrust Record</v>
      </c>
      <c r="AV3683" s="6" t="str">
        <f>HYPERLINK("http://mcgill.on.worldcat.org/oclc/419987","Catalog Record")</f>
        <v>Catalog Record</v>
      </c>
      <c r="AW3683" s="6" t="str">
        <f>HYPERLINK("http://www.worldcat.org/oclc/419987","WorldCat Record")</f>
        <v>WorldCat Record</v>
      </c>
      <c r="AX3683" s="3" t="s">
        <v>35642</v>
      </c>
      <c r="AY3683" s="3" t="s">
        <v>35643</v>
      </c>
      <c r="AZ3683" s="3" t="s">
        <v>35644</v>
      </c>
      <c r="BA3683" s="3" t="s">
        <v>35644</v>
      </c>
      <c r="BB3683" s="3" t="s">
        <v>35645</v>
      </c>
      <c r="BC3683" s="3" t="s">
        <v>102</v>
      </c>
      <c r="BD3683" s="3" t="s">
        <v>68</v>
      </c>
      <c r="BE3683" s="3" t="s">
        <v>35646</v>
      </c>
      <c r="BF3683" s="3" t="s">
        <v>35645</v>
      </c>
      <c r="BG3683" s="3" t="s">
        <v>35647</v>
      </c>
    </row>
    <row r="3684" spans="1:59" ht="58" x14ac:dyDescent="0.35">
      <c r="A3684" s="2" t="s">
        <v>59</v>
      </c>
      <c r="B3684" s="2" t="s">
        <v>60</v>
      </c>
      <c r="C3684" s="2" t="s">
        <v>35637</v>
      </c>
      <c r="D3684" s="2" t="s">
        <v>35638</v>
      </c>
      <c r="E3684" s="2" t="s">
        <v>35639</v>
      </c>
      <c r="F3684" s="3" t="s">
        <v>2233</v>
      </c>
      <c r="G3684" s="3" t="s">
        <v>61</v>
      </c>
      <c r="I3684" s="3" t="s">
        <v>61</v>
      </c>
      <c r="J3684" s="3" t="s">
        <v>62</v>
      </c>
      <c r="K3684" s="3" t="s">
        <v>63</v>
      </c>
      <c r="L3684" s="2" t="s">
        <v>35640</v>
      </c>
      <c r="M3684" s="2" t="s">
        <v>35641</v>
      </c>
      <c r="N3684" s="3" t="s">
        <v>81</v>
      </c>
      <c r="P3684" s="3" t="s">
        <v>64</v>
      </c>
      <c r="R3684" s="3" t="s">
        <v>34126</v>
      </c>
      <c r="S3684" s="4">
        <v>4</v>
      </c>
      <c r="T3684" s="4">
        <v>14</v>
      </c>
      <c r="U3684" s="5" t="s">
        <v>35648</v>
      </c>
      <c r="V3684" s="5" t="s">
        <v>33394</v>
      </c>
      <c r="W3684" s="5" t="s">
        <v>67</v>
      </c>
      <c r="X3684" s="5" t="s">
        <v>67</v>
      </c>
      <c r="Y3684" s="4">
        <v>698</v>
      </c>
      <c r="Z3684" s="4">
        <v>36</v>
      </c>
      <c r="AA3684" s="4">
        <v>40</v>
      </c>
      <c r="AB3684" s="4">
        <v>2</v>
      </c>
      <c r="AC3684" s="4">
        <v>6</v>
      </c>
      <c r="AD3684" s="4">
        <v>122</v>
      </c>
      <c r="AE3684" s="4">
        <v>124</v>
      </c>
      <c r="AF3684" s="4">
        <v>1</v>
      </c>
      <c r="AG3684" s="4">
        <v>3</v>
      </c>
      <c r="AH3684" s="4">
        <v>103</v>
      </c>
      <c r="AI3684" s="4">
        <v>103</v>
      </c>
      <c r="AJ3684" s="4">
        <v>20</v>
      </c>
      <c r="AK3684" s="4">
        <v>22</v>
      </c>
      <c r="AL3684" s="4">
        <v>55</v>
      </c>
      <c r="AM3684" s="4">
        <v>55</v>
      </c>
      <c r="AN3684" s="4">
        <v>0</v>
      </c>
      <c r="AO3684" s="4">
        <v>0</v>
      </c>
      <c r="AP3684" s="4">
        <v>28</v>
      </c>
      <c r="AQ3684" s="4">
        <v>30</v>
      </c>
      <c r="AR3684" s="3" t="s">
        <v>62</v>
      </c>
      <c r="AS3684" s="3" t="s">
        <v>62</v>
      </c>
      <c r="AT3684" s="3" t="s">
        <v>61</v>
      </c>
      <c r="AU3684" s="6" t="str">
        <f>HYPERLINK("http://catalog.hathitrust.org/Record/000236069","HathiTrust Record")</f>
        <v>HathiTrust Record</v>
      </c>
      <c r="AV3684" s="6" t="str">
        <f>HYPERLINK("http://mcgill.on.worldcat.org/oclc/419987","Catalog Record")</f>
        <v>Catalog Record</v>
      </c>
      <c r="AW3684" s="6" t="str">
        <f>HYPERLINK("http://www.worldcat.org/oclc/419987","WorldCat Record")</f>
        <v>WorldCat Record</v>
      </c>
      <c r="AX3684" s="3" t="s">
        <v>35642</v>
      </c>
      <c r="AY3684" s="3" t="s">
        <v>35643</v>
      </c>
      <c r="AZ3684" s="3" t="s">
        <v>35644</v>
      </c>
      <c r="BA3684" s="3" t="s">
        <v>35644</v>
      </c>
      <c r="BB3684" s="3" t="s">
        <v>35649</v>
      </c>
      <c r="BC3684" s="3" t="s">
        <v>102</v>
      </c>
      <c r="BD3684" s="3" t="s">
        <v>68</v>
      </c>
      <c r="BE3684" s="3" t="s">
        <v>35646</v>
      </c>
      <c r="BF3684" s="3" t="s">
        <v>35649</v>
      </c>
      <c r="BG3684" s="3" t="s">
        <v>35650</v>
      </c>
    </row>
    <row r="3685" spans="1:59" ht="58" x14ac:dyDescent="0.35">
      <c r="A3685" s="2" t="s">
        <v>59</v>
      </c>
      <c r="B3685" s="2" t="s">
        <v>60</v>
      </c>
      <c r="C3685" s="2" t="s">
        <v>35651</v>
      </c>
      <c r="D3685" s="2" t="s">
        <v>35652</v>
      </c>
      <c r="E3685" s="2" t="s">
        <v>35653</v>
      </c>
      <c r="G3685" s="3" t="s">
        <v>62</v>
      </c>
      <c r="I3685" s="3" t="s">
        <v>61</v>
      </c>
      <c r="J3685" s="3" t="s">
        <v>62</v>
      </c>
      <c r="K3685" s="3" t="s">
        <v>63</v>
      </c>
      <c r="L3685" s="2" t="s">
        <v>35654</v>
      </c>
      <c r="M3685" s="2" t="s">
        <v>35655</v>
      </c>
      <c r="N3685" s="3" t="s">
        <v>838</v>
      </c>
      <c r="P3685" s="3" t="s">
        <v>64</v>
      </c>
      <c r="R3685" s="3" t="s">
        <v>34126</v>
      </c>
      <c r="S3685" s="4">
        <v>4</v>
      </c>
      <c r="T3685" s="4">
        <v>7</v>
      </c>
      <c r="U3685" s="5" t="s">
        <v>35656</v>
      </c>
      <c r="V3685" s="5" t="s">
        <v>18476</v>
      </c>
      <c r="W3685" s="5" t="s">
        <v>67</v>
      </c>
      <c r="X3685" s="5" t="s">
        <v>67</v>
      </c>
      <c r="Y3685" s="4">
        <v>196</v>
      </c>
      <c r="Z3685" s="4">
        <v>7</v>
      </c>
      <c r="AA3685" s="4">
        <v>17</v>
      </c>
      <c r="AB3685" s="4">
        <v>2</v>
      </c>
      <c r="AC3685" s="4">
        <v>3</v>
      </c>
      <c r="AD3685" s="4">
        <v>45</v>
      </c>
      <c r="AE3685" s="4">
        <v>74</v>
      </c>
      <c r="AF3685" s="4">
        <v>0</v>
      </c>
      <c r="AG3685" s="4">
        <v>1</v>
      </c>
      <c r="AH3685" s="4">
        <v>43</v>
      </c>
      <c r="AI3685" s="4">
        <v>66</v>
      </c>
      <c r="AJ3685" s="4">
        <v>4</v>
      </c>
      <c r="AK3685" s="4">
        <v>10</v>
      </c>
      <c r="AL3685" s="4">
        <v>19</v>
      </c>
      <c r="AM3685" s="4">
        <v>32</v>
      </c>
      <c r="AN3685" s="4">
        <v>0</v>
      </c>
      <c r="AO3685" s="4">
        <v>0</v>
      </c>
      <c r="AP3685" s="4">
        <v>4</v>
      </c>
      <c r="AQ3685" s="4">
        <v>12</v>
      </c>
      <c r="AR3685" s="3" t="s">
        <v>62</v>
      </c>
      <c r="AS3685" s="3" t="s">
        <v>62</v>
      </c>
      <c r="AT3685" s="3" t="s">
        <v>62</v>
      </c>
      <c r="AV3685" s="6" t="str">
        <f>HYPERLINK("http://mcgill.on.worldcat.org/oclc/1113845","Catalog Record")</f>
        <v>Catalog Record</v>
      </c>
      <c r="AW3685" s="6" t="str">
        <f>HYPERLINK("http://www.worldcat.org/oclc/1113845","WorldCat Record")</f>
        <v>WorldCat Record</v>
      </c>
      <c r="AX3685" s="3" t="s">
        <v>35657</v>
      </c>
      <c r="AY3685" s="3" t="s">
        <v>35658</v>
      </c>
      <c r="AZ3685" s="3" t="s">
        <v>35659</v>
      </c>
      <c r="BA3685" s="3" t="s">
        <v>35659</v>
      </c>
      <c r="BB3685" s="3" t="s">
        <v>35660</v>
      </c>
      <c r="BC3685" s="3" t="s">
        <v>102</v>
      </c>
      <c r="BD3685" s="3" t="s">
        <v>68</v>
      </c>
      <c r="BF3685" s="3" t="s">
        <v>35660</v>
      </c>
      <c r="BG3685" s="3" t="s">
        <v>35661</v>
      </c>
    </row>
    <row r="3686" spans="1:59" ht="58" x14ac:dyDescent="0.35">
      <c r="A3686" s="2" t="s">
        <v>89</v>
      </c>
      <c r="B3686" s="2" t="s">
        <v>90</v>
      </c>
      <c r="C3686" s="2" t="s">
        <v>35651</v>
      </c>
      <c r="D3686" s="2" t="s">
        <v>35652</v>
      </c>
      <c r="E3686" s="2" t="s">
        <v>35653</v>
      </c>
      <c r="G3686" s="3" t="s">
        <v>62</v>
      </c>
      <c r="I3686" s="3" t="s">
        <v>61</v>
      </c>
      <c r="J3686" s="3" t="s">
        <v>62</v>
      </c>
      <c r="K3686" s="3" t="s">
        <v>63</v>
      </c>
      <c r="L3686" s="2" t="s">
        <v>35654</v>
      </c>
      <c r="M3686" s="2" t="s">
        <v>35655</v>
      </c>
      <c r="N3686" s="3" t="s">
        <v>838</v>
      </c>
      <c r="P3686" s="3" t="s">
        <v>64</v>
      </c>
      <c r="R3686" s="3" t="s">
        <v>34126</v>
      </c>
      <c r="S3686" s="4">
        <v>3</v>
      </c>
      <c r="T3686" s="4">
        <v>7</v>
      </c>
      <c r="U3686" s="5" t="s">
        <v>18476</v>
      </c>
      <c r="V3686" s="5" t="s">
        <v>18476</v>
      </c>
      <c r="W3686" s="5" t="s">
        <v>67</v>
      </c>
      <c r="X3686" s="5" t="s">
        <v>67</v>
      </c>
      <c r="Y3686" s="4">
        <v>196</v>
      </c>
      <c r="Z3686" s="4">
        <v>7</v>
      </c>
      <c r="AA3686" s="4">
        <v>17</v>
      </c>
      <c r="AB3686" s="4">
        <v>2</v>
      </c>
      <c r="AC3686" s="4">
        <v>3</v>
      </c>
      <c r="AD3686" s="4">
        <v>45</v>
      </c>
      <c r="AE3686" s="4">
        <v>74</v>
      </c>
      <c r="AF3686" s="4">
        <v>0</v>
      </c>
      <c r="AG3686" s="4">
        <v>1</v>
      </c>
      <c r="AH3686" s="4">
        <v>43</v>
      </c>
      <c r="AI3686" s="4">
        <v>66</v>
      </c>
      <c r="AJ3686" s="4">
        <v>4</v>
      </c>
      <c r="AK3686" s="4">
        <v>10</v>
      </c>
      <c r="AL3686" s="4">
        <v>19</v>
      </c>
      <c r="AM3686" s="4">
        <v>32</v>
      </c>
      <c r="AN3686" s="4">
        <v>0</v>
      </c>
      <c r="AO3686" s="4">
        <v>0</v>
      </c>
      <c r="AP3686" s="4">
        <v>4</v>
      </c>
      <c r="AQ3686" s="4">
        <v>12</v>
      </c>
      <c r="AR3686" s="3" t="s">
        <v>62</v>
      </c>
      <c r="AS3686" s="3" t="s">
        <v>62</v>
      </c>
      <c r="AT3686" s="3" t="s">
        <v>62</v>
      </c>
      <c r="AV3686" s="6" t="str">
        <f>HYPERLINK("http://mcgill.on.worldcat.org/oclc/1113845","Catalog Record")</f>
        <v>Catalog Record</v>
      </c>
      <c r="AW3686" s="6" t="str">
        <f>HYPERLINK("http://www.worldcat.org/oclc/1113845","WorldCat Record")</f>
        <v>WorldCat Record</v>
      </c>
      <c r="AX3686" s="3" t="s">
        <v>35657</v>
      </c>
      <c r="AY3686" s="3" t="s">
        <v>35658</v>
      </c>
      <c r="AZ3686" s="3" t="s">
        <v>35659</v>
      </c>
      <c r="BA3686" s="3" t="s">
        <v>35659</v>
      </c>
      <c r="BB3686" s="3" t="s">
        <v>35662</v>
      </c>
      <c r="BC3686" s="3" t="s">
        <v>102</v>
      </c>
      <c r="BD3686" s="3" t="s">
        <v>68</v>
      </c>
      <c r="BF3686" s="3" t="s">
        <v>35662</v>
      </c>
      <c r="BG3686" s="3" t="s">
        <v>35663</v>
      </c>
    </row>
    <row r="3687" spans="1:59" ht="58" x14ac:dyDescent="0.35">
      <c r="A3687" s="2" t="s">
        <v>89</v>
      </c>
      <c r="B3687" s="2" t="s">
        <v>90</v>
      </c>
      <c r="C3687" s="2" t="s">
        <v>35664</v>
      </c>
      <c r="D3687" s="2" t="s">
        <v>35665</v>
      </c>
      <c r="E3687" s="2" t="s">
        <v>35666</v>
      </c>
      <c r="G3687" s="3" t="s">
        <v>62</v>
      </c>
      <c r="I3687" s="3" t="s">
        <v>62</v>
      </c>
      <c r="J3687" s="3" t="s">
        <v>62</v>
      </c>
      <c r="K3687" s="3" t="s">
        <v>63</v>
      </c>
      <c r="L3687" s="2" t="s">
        <v>35654</v>
      </c>
      <c r="M3687" s="2" t="s">
        <v>35667</v>
      </c>
      <c r="N3687" s="3" t="s">
        <v>2588</v>
      </c>
      <c r="P3687" s="3" t="s">
        <v>64</v>
      </c>
      <c r="Q3687" s="2" t="s">
        <v>35668</v>
      </c>
      <c r="R3687" s="3" t="s">
        <v>34126</v>
      </c>
      <c r="S3687" s="4">
        <v>8</v>
      </c>
      <c r="T3687" s="4">
        <v>8</v>
      </c>
      <c r="U3687" s="5" t="s">
        <v>18476</v>
      </c>
      <c r="V3687" s="5" t="s">
        <v>18476</v>
      </c>
      <c r="W3687" s="5" t="s">
        <v>67</v>
      </c>
      <c r="X3687" s="5" t="s">
        <v>67</v>
      </c>
      <c r="Y3687" s="4">
        <v>218</v>
      </c>
      <c r="Z3687" s="4">
        <v>26</v>
      </c>
      <c r="AA3687" s="4">
        <v>41</v>
      </c>
      <c r="AB3687" s="4">
        <v>2</v>
      </c>
      <c r="AC3687" s="4">
        <v>5</v>
      </c>
      <c r="AD3687" s="4">
        <v>58</v>
      </c>
      <c r="AE3687" s="4">
        <v>113</v>
      </c>
      <c r="AF3687" s="4">
        <v>0</v>
      </c>
      <c r="AG3687" s="4">
        <v>3</v>
      </c>
      <c r="AH3687" s="4">
        <v>46</v>
      </c>
      <c r="AI3687" s="4">
        <v>93</v>
      </c>
      <c r="AJ3687" s="4">
        <v>12</v>
      </c>
      <c r="AK3687" s="4">
        <v>22</v>
      </c>
      <c r="AL3687" s="4">
        <v>23</v>
      </c>
      <c r="AM3687" s="4">
        <v>46</v>
      </c>
      <c r="AN3687" s="4">
        <v>5</v>
      </c>
      <c r="AO3687" s="4">
        <v>5</v>
      </c>
      <c r="AP3687" s="4">
        <v>20</v>
      </c>
      <c r="AQ3687" s="4">
        <v>31</v>
      </c>
      <c r="AR3687" s="3" t="s">
        <v>62</v>
      </c>
      <c r="AS3687" s="3" t="s">
        <v>62</v>
      </c>
      <c r="AT3687" s="3" t="s">
        <v>61</v>
      </c>
      <c r="AU3687" s="6" t="str">
        <f>HYPERLINK("http://catalog.hathitrust.org/Record/102038593","HathiTrust Record")</f>
        <v>HathiTrust Record</v>
      </c>
      <c r="AV3687" s="6" t="str">
        <f>HYPERLINK("http://mcgill.on.worldcat.org/oclc/3482999","Catalog Record")</f>
        <v>Catalog Record</v>
      </c>
      <c r="AW3687" s="6" t="str">
        <f>HYPERLINK("http://www.worldcat.org/oclc/3482999","WorldCat Record")</f>
        <v>WorldCat Record</v>
      </c>
      <c r="AX3687" s="3" t="s">
        <v>35669</v>
      </c>
      <c r="AY3687" s="3" t="s">
        <v>35670</v>
      </c>
      <c r="AZ3687" s="3" t="s">
        <v>35671</v>
      </c>
      <c r="BA3687" s="3" t="s">
        <v>35671</v>
      </c>
      <c r="BB3687" s="3" t="s">
        <v>35672</v>
      </c>
      <c r="BC3687" s="3" t="s">
        <v>102</v>
      </c>
      <c r="BD3687" s="3" t="s">
        <v>68</v>
      </c>
      <c r="BE3687" s="3" t="s">
        <v>35673</v>
      </c>
      <c r="BF3687" s="3" t="s">
        <v>35672</v>
      </c>
      <c r="BG3687" s="3" t="s">
        <v>35674</v>
      </c>
    </row>
    <row r="3688" spans="1:59" ht="58" x14ac:dyDescent="0.35">
      <c r="A3688" s="2" t="s">
        <v>89</v>
      </c>
      <c r="B3688" s="2" t="s">
        <v>90</v>
      </c>
      <c r="C3688" s="2" t="s">
        <v>35675</v>
      </c>
      <c r="D3688" s="2" t="s">
        <v>35676</v>
      </c>
      <c r="E3688" s="2" t="s">
        <v>35677</v>
      </c>
      <c r="G3688" s="3" t="s">
        <v>62</v>
      </c>
      <c r="I3688" s="3" t="s">
        <v>61</v>
      </c>
      <c r="J3688" s="3" t="s">
        <v>62</v>
      </c>
      <c r="K3688" s="3" t="s">
        <v>63</v>
      </c>
      <c r="L3688" s="2" t="s">
        <v>35678</v>
      </c>
      <c r="M3688" s="2" t="s">
        <v>35679</v>
      </c>
      <c r="N3688" s="3" t="s">
        <v>1467</v>
      </c>
      <c r="O3688" s="2" t="s">
        <v>35680</v>
      </c>
      <c r="P3688" s="3" t="s">
        <v>64</v>
      </c>
      <c r="R3688" s="3" t="s">
        <v>34126</v>
      </c>
      <c r="S3688" s="4">
        <v>6</v>
      </c>
      <c r="T3688" s="4">
        <v>12</v>
      </c>
      <c r="U3688" s="5" t="s">
        <v>6810</v>
      </c>
      <c r="V3688" s="5" t="s">
        <v>6810</v>
      </c>
      <c r="W3688" s="5" t="s">
        <v>67</v>
      </c>
      <c r="X3688" s="5" t="s">
        <v>67</v>
      </c>
      <c r="Y3688" s="4">
        <v>2005</v>
      </c>
      <c r="Z3688" s="4">
        <v>48</v>
      </c>
      <c r="AA3688" s="4">
        <v>62</v>
      </c>
      <c r="AB3688" s="4">
        <v>3</v>
      </c>
      <c r="AC3688" s="4">
        <v>5</v>
      </c>
      <c r="AD3688" s="4">
        <v>123</v>
      </c>
      <c r="AE3688" s="4">
        <v>133</v>
      </c>
      <c r="AF3688" s="4">
        <v>1</v>
      </c>
      <c r="AG3688" s="4">
        <v>2</v>
      </c>
      <c r="AH3688" s="4">
        <v>104</v>
      </c>
      <c r="AI3688" s="4">
        <v>107</v>
      </c>
      <c r="AJ3688" s="4">
        <v>14</v>
      </c>
      <c r="AK3688" s="4">
        <v>18</v>
      </c>
      <c r="AL3688" s="4">
        <v>53</v>
      </c>
      <c r="AM3688" s="4">
        <v>56</v>
      </c>
      <c r="AN3688" s="4">
        <v>0</v>
      </c>
      <c r="AO3688" s="4">
        <v>0</v>
      </c>
      <c r="AP3688" s="4">
        <v>25</v>
      </c>
      <c r="AQ3688" s="4">
        <v>30</v>
      </c>
      <c r="AR3688" s="3" t="s">
        <v>62</v>
      </c>
      <c r="AS3688" s="3" t="s">
        <v>62</v>
      </c>
      <c r="AT3688" s="3" t="s">
        <v>61</v>
      </c>
      <c r="AU3688" s="6" t="str">
        <f>HYPERLINK("http://catalog.hathitrust.org/Record/001490438","HathiTrust Record")</f>
        <v>HathiTrust Record</v>
      </c>
      <c r="AV3688" s="6" t="str">
        <f>HYPERLINK("http://mcgill.on.worldcat.org/oclc/268803","Catalog Record")</f>
        <v>Catalog Record</v>
      </c>
      <c r="AW3688" s="6" t="str">
        <f>HYPERLINK("http://www.worldcat.org/oclc/268803","WorldCat Record")</f>
        <v>WorldCat Record</v>
      </c>
      <c r="AX3688" s="3" t="s">
        <v>35681</v>
      </c>
      <c r="AY3688" s="3" t="s">
        <v>35682</v>
      </c>
      <c r="AZ3688" s="3" t="s">
        <v>35683</v>
      </c>
      <c r="BA3688" s="3" t="s">
        <v>35683</v>
      </c>
      <c r="BB3688" s="3" t="s">
        <v>35684</v>
      </c>
      <c r="BC3688" s="3" t="s">
        <v>102</v>
      </c>
      <c r="BD3688" s="3" t="s">
        <v>68</v>
      </c>
      <c r="BE3688" s="3" t="s">
        <v>35685</v>
      </c>
      <c r="BF3688" s="3" t="s">
        <v>35684</v>
      </c>
      <c r="BG3688" s="3" t="s">
        <v>35686</v>
      </c>
    </row>
    <row r="3689" spans="1:59" ht="58" x14ac:dyDescent="0.35">
      <c r="A3689" s="2" t="s">
        <v>89</v>
      </c>
      <c r="B3689" s="2" t="s">
        <v>90</v>
      </c>
      <c r="C3689" s="2" t="s">
        <v>35687</v>
      </c>
      <c r="D3689" s="2" t="s">
        <v>35688</v>
      </c>
      <c r="E3689" s="2" t="s">
        <v>35689</v>
      </c>
      <c r="G3689" s="3" t="s">
        <v>62</v>
      </c>
      <c r="I3689" s="3" t="s">
        <v>62</v>
      </c>
      <c r="J3689" s="3" t="s">
        <v>62</v>
      </c>
      <c r="K3689" s="3" t="s">
        <v>63</v>
      </c>
      <c r="L3689" s="2" t="s">
        <v>35678</v>
      </c>
      <c r="M3689" s="2" t="s">
        <v>35690</v>
      </c>
      <c r="N3689" s="3" t="s">
        <v>755</v>
      </c>
      <c r="O3689" s="2" t="s">
        <v>1941</v>
      </c>
      <c r="P3689" s="3" t="s">
        <v>64</v>
      </c>
      <c r="R3689" s="3" t="s">
        <v>34126</v>
      </c>
      <c r="S3689" s="4">
        <v>11</v>
      </c>
      <c r="T3689" s="4">
        <v>11</v>
      </c>
      <c r="U3689" s="5" t="s">
        <v>24793</v>
      </c>
      <c r="V3689" s="5" t="s">
        <v>24793</v>
      </c>
      <c r="W3689" s="5" t="s">
        <v>67</v>
      </c>
      <c r="X3689" s="5" t="s">
        <v>67</v>
      </c>
      <c r="Y3689" s="4">
        <v>1745</v>
      </c>
      <c r="Z3689" s="4">
        <v>50</v>
      </c>
      <c r="AA3689" s="4">
        <v>82</v>
      </c>
      <c r="AB3689" s="4">
        <v>4</v>
      </c>
      <c r="AC3689" s="4">
        <v>6</v>
      </c>
      <c r="AD3689" s="4">
        <v>123</v>
      </c>
      <c r="AE3689" s="4">
        <v>137</v>
      </c>
      <c r="AF3689" s="4">
        <v>2</v>
      </c>
      <c r="AG3689" s="4">
        <v>3</v>
      </c>
      <c r="AH3689" s="4">
        <v>102</v>
      </c>
      <c r="AI3689" s="4">
        <v>107</v>
      </c>
      <c r="AJ3689" s="4">
        <v>17</v>
      </c>
      <c r="AK3689" s="4">
        <v>20</v>
      </c>
      <c r="AL3689" s="4">
        <v>54</v>
      </c>
      <c r="AM3689" s="4">
        <v>56</v>
      </c>
      <c r="AN3689" s="4">
        <v>0</v>
      </c>
      <c r="AO3689" s="4">
        <v>3</v>
      </c>
      <c r="AP3689" s="4">
        <v>30</v>
      </c>
      <c r="AQ3689" s="4">
        <v>38</v>
      </c>
      <c r="AR3689" s="3" t="s">
        <v>62</v>
      </c>
      <c r="AS3689" s="3" t="s">
        <v>62</v>
      </c>
      <c r="AT3689" s="3" t="s">
        <v>61</v>
      </c>
      <c r="AU3689" s="6" t="str">
        <f>HYPERLINK("http://catalog.hathitrust.org/Record/001490439","HathiTrust Record")</f>
        <v>HathiTrust Record</v>
      </c>
      <c r="AV3689" s="6" t="str">
        <f>HYPERLINK("http://mcgill.on.worldcat.org/oclc/547689","Catalog Record")</f>
        <v>Catalog Record</v>
      </c>
      <c r="AW3689" s="6" t="str">
        <f>HYPERLINK("http://www.worldcat.org/oclc/547689","WorldCat Record")</f>
        <v>WorldCat Record</v>
      </c>
      <c r="AX3689" s="3" t="s">
        <v>35691</v>
      </c>
      <c r="AY3689" s="3" t="s">
        <v>35692</v>
      </c>
      <c r="AZ3689" s="3" t="s">
        <v>35693</v>
      </c>
      <c r="BA3689" s="3" t="s">
        <v>35693</v>
      </c>
      <c r="BB3689" s="3" t="s">
        <v>35694</v>
      </c>
      <c r="BC3689" s="3" t="s">
        <v>102</v>
      </c>
      <c r="BD3689" s="3" t="s">
        <v>68</v>
      </c>
      <c r="BE3689" s="3" t="s">
        <v>35695</v>
      </c>
      <c r="BF3689" s="3" t="s">
        <v>35694</v>
      </c>
      <c r="BG3689" s="3" t="s">
        <v>35696</v>
      </c>
    </row>
    <row r="3690" spans="1:59" ht="58" x14ac:dyDescent="0.35">
      <c r="A3690" s="2" t="s">
        <v>59</v>
      </c>
      <c r="B3690" s="2" t="s">
        <v>60</v>
      </c>
      <c r="C3690" s="2" t="s">
        <v>35697</v>
      </c>
      <c r="D3690" s="2" t="s">
        <v>35698</v>
      </c>
      <c r="E3690" s="2" t="s">
        <v>35699</v>
      </c>
      <c r="G3690" s="3" t="s">
        <v>61</v>
      </c>
      <c r="I3690" s="3" t="s">
        <v>62</v>
      </c>
      <c r="J3690" s="3" t="s">
        <v>61</v>
      </c>
      <c r="K3690" s="3" t="s">
        <v>63</v>
      </c>
      <c r="L3690" s="2" t="s">
        <v>35700</v>
      </c>
      <c r="M3690" s="2" t="s">
        <v>35701</v>
      </c>
      <c r="N3690" s="3" t="s">
        <v>2924</v>
      </c>
      <c r="P3690" s="3" t="s">
        <v>64</v>
      </c>
      <c r="R3690" s="3" t="s">
        <v>34126</v>
      </c>
      <c r="S3690" s="4">
        <v>2</v>
      </c>
      <c r="T3690" s="4">
        <v>2</v>
      </c>
      <c r="U3690" s="5" t="s">
        <v>35702</v>
      </c>
      <c r="V3690" s="5" t="s">
        <v>35702</v>
      </c>
      <c r="W3690" s="5" t="s">
        <v>67</v>
      </c>
      <c r="X3690" s="5" t="s">
        <v>67</v>
      </c>
      <c r="Y3690" s="4">
        <v>28</v>
      </c>
      <c r="Z3690" s="4">
        <v>5</v>
      </c>
      <c r="AA3690" s="4">
        <v>40</v>
      </c>
      <c r="AB3690" s="4">
        <v>1</v>
      </c>
      <c r="AC3690" s="4">
        <v>5</v>
      </c>
      <c r="AD3690" s="4">
        <v>7</v>
      </c>
      <c r="AE3690" s="4">
        <v>130</v>
      </c>
      <c r="AF3690" s="4">
        <v>0</v>
      </c>
      <c r="AG3690" s="4">
        <v>3</v>
      </c>
      <c r="AH3690" s="4">
        <v>3</v>
      </c>
      <c r="AI3690" s="4">
        <v>105</v>
      </c>
      <c r="AJ3690" s="4">
        <v>1</v>
      </c>
      <c r="AK3690" s="4">
        <v>20</v>
      </c>
      <c r="AL3690" s="4">
        <v>1</v>
      </c>
      <c r="AM3690" s="4">
        <v>54</v>
      </c>
      <c r="AN3690" s="4">
        <v>0</v>
      </c>
      <c r="AO3690" s="4">
        <v>0</v>
      </c>
      <c r="AP3690" s="4">
        <v>3</v>
      </c>
      <c r="AQ3690" s="4">
        <v>31</v>
      </c>
      <c r="AR3690" s="3" t="s">
        <v>62</v>
      </c>
      <c r="AS3690" s="3" t="s">
        <v>62</v>
      </c>
      <c r="AT3690" s="3" t="s">
        <v>61</v>
      </c>
      <c r="AU3690" s="6" t="str">
        <f>HYPERLINK("http://catalog.hathitrust.org/Record/004395433","HathiTrust Record")</f>
        <v>HathiTrust Record</v>
      </c>
      <c r="AV3690" s="6" t="str">
        <f>HYPERLINK("http://mcgill.on.worldcat.org/oclc/318237421","Catalog Record")</f>
        <v>Catalog Record</v>
      </c>
      <c r="AW3690" s="6" t="str">
        <f>HYPERLINK("http://www.worldcat.org/oclc/318237421","WorldCat Record")</f>
        <v>WorldCat Record</v>
      </c>
      <c r="AX3690" s="3" t="s">
        <v>35703</v>
      </c>
      <c r="AY3690" s="3" t="s">
        <v>35704</v>
      </c>
      <c r="AZ3690" s="3" t="s">
        <v>35705</v>
      </c>
      <c r="BA3690" s="3" t="s">
        <v>35705</v>
      </c>
      <c r="BB3690" s="3" t="s">
        <v>35706</v>
      </c>
      <c r="BC3690" s="3" t="s">
        <v>102</v>
      </c>
      <c r="BD3690" s="3" t="s">
        <v>68</v>
      </c>
      <c r="BF3690" s="3" t="s">
        <v>35706</v>
      </c>
      <c r="BG3690" s="3" t="s">
        <v>35707</v>
      </c>
    </row>
    <row r="3691" spans="1:59" ht="58" x14ac:dyDescent="0.35">
      <c r="A3691" s="2" t="s">
        <v>59</v>
      </c>
      <c r="B3691" s="2" t="s">
        <v>60</v>
      </c>
      <c r="C3691" s="2" t="s">
        <v>35708</v>
      </c>
      <c r="D3691" s="2" t="s">
        <v>35709</v>
      </c>
      <c r="E3691" s="2" t="s">
        <v>35710</v>
      </c>
      <c r="G3691" s="3" t="s">
        <v>62</v>
      </c>
      <c r="I3691" s="3" t="s">
        <v>62</v>
      </c>
      <c r="J3691" s="3" t="s">
        <v>62</v>
      </c>
      <c r="K3691" s="3" t="s">
        <v>63</v>
      </c>
      <c r="L3691" s="2" t="s">
        <v>35711</v>
      </c>
      <c r="M3691" s="2" t="s">
        <v>35712</v>
      </c>
      <c r="N3691" s="3" t="s">
        <v>568</v>
      </c>
      <c r="O3691" s="2" t="s">
        <v>2163</v>
      </c>
      <c r="P3691" s="3" t="s">
        <v>64</v>
      </c>
      <c r="R3691" s="3" t="s">
        <v>34126</v>
      </c>
      <c r="S3691" s="4">
        <v>1</v>
      </c>
      <c r="T3691" s="4">
        <v>1</v>
      </c>
      <c r="U3691" s="5" t="s">
        <v>35713</v>
      </c>
      <c r="V3691" s="5" t="s">
        <v>35713</v>
      </c>
      <c r="W3691" s="5" t="s">
        <v>67</v>
      </c>
      <c r="X3691" s="5" t="s">
        <v>67</v>
      </c>
      <c r="Y3691" s="4">
        <v>490</v>
      </c>
      <c r="Z3691" s="4">
        <v>13</v>
      </c>
      <c r="AA3691" s="4">
        <v>13</v>
      </c>
      <c r="AB3691" s="4">
        <v>3</v>
      </c>
      <c r="AC3691" s="4">
        <v>3</v>
      </c>
      <c r="AD3691" s="4">
        <v>41</v>
      </c>
      <c r="AE3691" s="4">
        <v>41</v>
      </c>
      <c r="AF3691" s="4">
        <v>0</v>
      </c>
      <c r="AG3691" s="4">
        <v>0</v>
      </c>
      <c r="AH3691" s="4">
        <v>39</v>
      </c>
      <c r="AI3691" s="4">
        <v>39</v>
      </c>
      <c r="AJ3691" s="4">
        <v>1</v>
      </c>
      <c r="AK3691" s="4">
        <v>1</v>
      </c>
      <c r="AL3691" s="4">
        <v>18</v>
      </c>
      <c r="AM3691" s="4">
        <v>18</v>
      </c>
      <c r="AN3691" s="4">
        <v>0</v>
      </c>
      <c r="AO3691" s="4">
        <v>0</v>
      </c>
      <c r="AP3691" s="4">
        <v>2</v>
      </c>
      <c r="AQ3691" s="4">
        <v>2</v>
      </c>
      <c r="AR3691" s="3" t="s">
        <v>62</v>
      </c>
      <c r="AS3691" s="3" t="s">
        <v>62</v>
      </c>
      <c r="AT3691" s="3" t="s">
        <v>61</v>
      </c>
      <c r="AU3691" s="6" t="str">
        <f>HYPERLINK("http://catalog.hathitrust.org/Record/007239510","HathiTrust Record")</f>
        <v>HathiTrust Record</v>
      </c>
      <c r="AV3691" s="6" t="str">
        <f>HYPERLINK("http://mcgill.on.worldcat.org/oclc/43333554","Catalog Record")</f>
        <v>Catalog Record</v>
      </c>
      <c r="AW3691" s="6" t="str">
        <f>HYPERLINK("http://www.worldcat.org/oclc/43333554","WorldCat Record")</f>
        <v>WorldCat Record</v>
      </c>
      <c r="AX3691" s="3" t="s">
        <v>35714</v>
      </c>
      <c r="AY3691" s="3" t="s">
        <v>35715</v>
      </c>
      <c r="AZ3691" s="3" t="s">
        <v>35716</v>
      </c>
      <c r="BA3691" s="3" t="s">
        <v>35716</v>
      </c>
      <c r="BB3691" s="3" t="s">
        <v>35717</v>
      </c>
      <c r="BC3691" s="3" t="s">
        <v>102</v>
      </c>
      <c r="BD3691" s="3" t="s">
        <v>68</v>
      </c>
      <c r="BE3691" s="3" t="s">
        <v>35718</v>
      </c>
      <c r="BF3691" s="3" t="s">
        <v>35717</v>
      </c>
      <c r="BG3691" s="3" t="s">
        <v>35719</v>
      </c>
    </row>
    <row r="3692" spans="1:59" ht="58" x14ac:dyDescent="0.35">
      <c r="A3692" s="2" t="s">
        <v>89</v>
      </c>
      <c r="B3692" s="2" t="s">
        <v>90</v>
      </c>
      <c r="C3692" s="2" t="s">
        <v>35720</v>
      </c>
      <c r="D3692" s="2" t="s">
        <v>35721</v>
      </c>
      <c r="E3692" s="2" t="s">
        <v>35722</v>
      </c>
      <c r="G3692" s="3" t="s">
        <v>62</v>
      </c>
      <c r="I3692" s="3" t="s">
        <v>62</v>
      </c>
      <c r="J3692" s="3" t="s">
        <v>62</v>
      </c>
      <c r="K3692" s="3" t="s">
        <v>63</v>
      </c>
      <c r="L3692" s="2" t="s">
        <v>35723</v>
      </c>
      <c r="N3692" s="3" t="s">
        <v>698</v>
      </c>
      <c r="P3692" s="3" t="s">
        <v>64</v>
      </c>
      <c r="R3692" s="3" t="s">
        <v>34126</v>
      </c>
      <c r="S3692" s="4">
        <v>0</v>
      </c>
      <c r="T3692" s="4">
        <v>0</v>
      </c>
      <c r="W3692" s="5" t="s">
        <v>67</v>
      </c>
      <c r="X3692" s="5" t="s">
        <v>67</v>
      </c>
      <c r="Y3692" s="4">
        <v>2</v>
      </c>
      <c r="Z3692" s="4">
        <v>2</v>
      </c>
      <c r="AA3692" s="4">
        <v>2</v>
      </c>
      <c r="AB3692" s="4">
        <v>1</v>
      </c>
      <c r="AC3692" s="4">
        <v>1</v>
      </c>
      <c r="AD3692" s="4">
        <v>1</v>
      </c>
      <c r="AE3692" s="4">
        <v>1</v>
      </c>
      <c r="AF3692" s="4">
        <v>0</v>
      </c>
      <c r="AG3692" s="4">
        <v>0</v>
      </c>
      <c r="AH3692" s="4">
        <v>1</v>
      </c>
      <c r="AI3692" s="4">
        <v>1</v>
      </c>
      <c r="AJ3692" s="4">
        <v>1</v>
      </c>
      <c r="AK3692" s="4">
        <v>1</v>
      </c>
      <c r="AL3692" s="4">
        <v>0</v>
      </c>
      <c r="AM3692" s="4">
        <v>0</v>
      </c>
      <c r="AN3692" s="4">
        <v>0</v>
      </c>
      <c r="AO3692" s="4">
        <v>0</v>
      </c>
      <c r="AP3692" s="4">
        <v>1</v>
      </c>
      <c r="AQ3692" s="4">
        <v>1</v>
      </c>
      <c r="AR3692" s="3" t="s">
        <v>62</v>
      </c>
      <c r="AS3692" s="3" t="s">
        <v>62</v>
      </c>
      <c r="AT3692" s="3" t="s">
        <v>62</v>
      </c>
      <c r="AV3692" s="6" t="str">
        <f>HYPERLINK("http://mcgill.on.worldcat.org/oclc/829873844","Catalog Record")</f>
        <v>Catalog Record</v>
      </c>
      <c r="AW3692" s="6" t="str">
        <f>HYPERLINK("http://www.worldcat.org/oclc/829873844","WorldCat Record")</f>
        <v>WorldCat Record</v>
      </c>
      <c r="AX3692" s="3" t="s">
        <v>35724</v>
      </c>
      <c r="AY3692" s="3" t="s">
        <v>35725</v>
      </c>
      <c r="AZ3692" s="3" t="s">
        <v>35726</v>
      </c>
      <c r="BA3692" s="3" t="s">
        <v>35726</v>
      </c>
      <c r="BB3692" s="3" t="s">
        <v>35727</v>
      </c>
      <c r="BC3692" s="3" t="s">
        <v>102</v>
      </c>
      <c r="BD3692" s="3" t="s">
        <v>68</v>
      </c>
      <c r="BF3692" s="3" t="s">
        <v>35727</v>
      </c>
      <c r="BG3692" s="3" t="s">
        <v>35728</v>
      </c>
    </row>
    <row r="3693" spans="1:59" ht="72.5" x14ac:dyDescent="0.35">
      <c r="A3693" s="2" t="s">
        <v>59</v>
      </c>
      <c r="B3693" s="2" t="s">
        <v>60</v>
      </c>
      <c r="C3693" s="2" t="s">
        <v>35729</v>
      </c>
      <c r="D3693" s="2" t="s">
        <v>35730</v>
      </c>
      <c r="E3693" s="2" t="s">
        <v>35731</v>
      </c>
      <c r="G3693" s="3" t="s">
        <v>62</v>
      </c>
      <c r="I3693" s="3" t="s">
        <v>62</v>
      </c>
      <c r="J3693" s="3" t="s">
        <v>62</v>
      </c>
      <c r="K3693" s="3" t="s">
        <v>63</v>
      </c>
      <c r="L3693" s="2" t="s">
        <v>35732</v>
      </c>
      <c r="M3693" s="2" t="s">
        <v>35733</v>
      </c>
      <c r="N3693" s="3" t="s">
        <v>596</v>
      </c>
      <c r="O3693" s="2" t="s">
        <v>1941</v>
      </c>
      <c r="P3693" s="3" t="s">
        <v>64</v>
      </c>
      <c r="R3693" s="3" t="s">
        <v>34126</v>
      </c>
      <c r="S3693" s="4">
        <v>9</v>
      </c>
      <c r="T3693" s="4">
        <v>9</v>
      </c>
      <c r="U3693" s="5" t="s">
        <v>20492</v>
      </c>
      <c r="V3693" s="5" t="s">
        <v>20492</v>
      </c>
      <c r="W3693" s="5" t="s">
        <v>67</v>
      </c>
      <c r="X3693" s="5" t="s">
        <v>67</v>
      </c>
      <c r="Y3693" s="4">
        <v>714</v>
      </c>
      <c r="Z3693" s="4">
        <v>25</v>
      </c>
      <c r="AA3693" s="4">
        <v>30</v>
      </c>
      <c r="AB3693" s="4">
        <v>1</v>
      </c>
      <c r="AC3693" s="4">
        <v>2</v>
      </c>
      <c r="AD3693" s="4">
        <v>49</v>
      </c>
      <c r="AE3693" s="4">
        <v>49</v>
      </c>
      <c r="AF3693" s="4">
        <v>0</v>
      </c>
      <c r="AG3693" s="4">
        <v>0</v>
      </c>
      <c r="AH3693" s="4">
        <v>44</v>
      </c>
      <c r="AI3693" s="4">
        <v>44</v>
      </c>
      <c r="AJ3693" s="4">
        <v>5</v>
      </c>
      <c r="AK3693" s="4">
        <v>5</v>
      </c>
      <c r="AL3693" s="4">
        <v>21</v>
      </c>
      <c r="AM3693" s="4">
        <v>21</v>
      </c>
      <c r="AN3693" s="4">
        <v>5</v>
      </c>
      <c r="AO3693" s="4">
        <v>5</v>
      </c>
      <c r="AP3693" s="4">
        <v>8</v>
      </c>
      <c r="AQ3693" s="4">
        <v>8</v>
      </c>
      <c r="AR3693" s="3" t="s">
        <v>62</v>
      </c>
      <c r="AS3693" s="3" t="s">
        <v>62</v>
      </c>
      <c r="AT3693" s="3" t="s">
        <v>61</v>
      </c>
      <c r="AU3693" s="6" t="str">
        <f>HYPERLINK("http://catalog.hathitrust.org/Record/008363988","HathiTrust Record")</f>
        <v>HathiTrust Record</v>
      </c>
      <c r="AV3693" s="6" t="str">
        <f>HYPERLINK("http://mcgill.on.worldcat.org/oclc/50479383","Catalog Record")</f>
        <v>Catalog Record</v>
      </c>
      <c r="AW3693" s="6" t="str">
        <f>HYPERLINK("http://www.worldcat.org/oclc/50479383","WorldCat Record")</f>
        <v>WorldCat Record</v>
      </c>
      <c r="AX3693" s="3" t="s">
        <v>35734</v>
      </c>
      <c r="AY3693" s="3" t="s">
        <v>35735</v>
      </c>
      <c r="AZ3693" s="3" t="s">
        <v>35736</v>
      </c>
      <c r="BA3693" s="3" t="s">
        <v>35736</v>
      </c>
      <c r="BB3693" s="3" t="s">
        <v>35737</v>
      </c>
      <c r="BC3693" s="3" t="s">
        <v>102</v>
      </c>
      <c r="BD3693" s="3" t="s">
        <v>68</v>
      </c>
      <c r="BE3693" s="3" t="s">
        <v>35738</v>
      </c>
      <c r="BF3693" s="3" t="s">
        <v>35737</v>
      </c>
      <c r="BG3693" s="3" t="s">
        <v>35739</v>
      </c>
    </row>
    <row r="3694" spans="1:59" ht="72.5" x14ac:dyDescent="0.35">
      <c r="A3694" s="2" t="s">
        <v>59</v>
      </c>
      <c r="B3694" s="2" t="s">
        <v>60</v>
      </c>
      <c r="C3694" s="2" t="s">
        <v>35740</v>
      </c>
      <c r="D3694" s="2" t="s">
        <v>35741</v>
      </c>
      <c r="E3694" s="2" t="s">
        <v>35742</v>
      </c>
      <c r="F3694" s="3" t="s">
        <v>35743</v>
      </c>
      <c r="G3694" s="3" t="s">
        <v>62</v>
      </c>
      <c r="I3694" s="3" t="s">
        <v>62</v>
      </c>
      <c r="J3694" s="3" t="s">
        <v>62</v>
      </c>
      <c r="K3694" s="3" t="s">
        <v>63</v>
      </c>
      <c r="L3694" s="2" t="s">
        <v>35744</v>
      </c>
      <c r="M3694" s="2" t="s">
        <v>35745</v>
      </c>
      <c r="N3694" s="3" t="s">
        <v>795</v>
      </c>
      <c r="P3694" s="3" t="s">
        <v>1881</v>
      </c>
      <c r="Q3694" s="2" t="s">
        <v>35746</v>
      </c>
      <c r="R3694" s="3" t="s">
        <v>34126</v>
      </c>
      <c r="S3694" s="4">
        <v>3</v>
      </c>
      <c r="T3694" s="4">
        <v>3</v>
      </c>
      <c r="U3694" s="5" t="s">
        <v>35747</v>
      </c>
      <c r="V3694" s="5" t="s">
        <v>35747</v>
      </c>
      <c r="W3694" s="5" t="s">
        <v>67</v>
      </c>
      <c r="X3694" s="5" t="s">
        <v>67</v>
      </c>
      <c r="Y3694" s="4">
        <v>82</v>
      </c>
      <c r="Z3694" s="4">
        <v>6</v>
      </c>
      <c r="AA3694" s="4">
        <v>7</v>
      </c>
      <c r="AB3694" s="4">
        <v>1</v>
      </c>
      <c r="AC3694" s="4">
        <v>1</v>
      </c>
      <c r="AD3694" s="4">
        <v>36</v>
      </c>
      <c r="AE3694" s="4">
        <v>44</v>
      </c>
      <c r="AF3694" s="4">
        <v>0</v>
      </c>
      <c r="AG3694" s="4">
        <v>0</v>
      </c>
      <c r="AH3694" s="4">
        <v>33</v>
      </c>
      <c r="AI3694" s="4">
        <v>41</v>
      </c>
      <c r="AJ3694" s="4">
        <v>4</v>
      </c>
      <c r="AK3694" s="4">
        <v>5</v>
      </c>
      <c r="AL3694" s="4">
        <v>24</v>
      </c>
      <c r="AM3694" s="4">
        <v>29</v>
      </c>
      <c r="AN3694" s="4">
        <v>0</v>
      </c>
      <c r="AO3694" s="4">
        <v>4</v>
      </c>
      <c r="AP3694" s="4">
        <v>4</v>
      </c>
      <c r="AQ3694" s="4">
        <v>5</v>
      </c>
      <c r="AR3694" s="3" t="s">
        <v>62</v>
      </c>
      <c r="AS3694" s="3" t="s">
        <v>62</v>
      </c>
      <c r="AT3694" s="3" t="s">
        <v>61</v>
      </c>
      <c r="AU3694" s="6" t="str">
        <f>HYPERLINK("http://catalog.hathitrust.org/Record/003340837","HathiTrust Record")</f>
        <v>HathiTrust Record</v>
      </c>
      <c r="AV3694" s="6" t="str">
        <f>HYPERLINK("http://mcgill.on.worldcat.org/oclc/796463","Catalog Record")</f>
        <v>Catalog Record</v>
      </c>
      <c r="AW3694" s="6" t="str">
        <f>HYPERLINK("http://www.worldcat.org/oclc/796463","WorldCat Record")</f>
        <v>WorldCat Record</v>
      </c>
      <c r="AX3694" s="3" t="s">
        <v>35748</v>
      </c>
      <c r="AY3694" s="3" t="s">
        <v>35749</v>
      </c>
      <c r="AZ3694" s="3" t="s">
        <v>35750</v>
      </c>
      <c r="BA3694" s="3" t="s">
        <v>35750</v>
      </c>
      <c r="BB3694" s="3" t="s">
        <v>35751</v>
      </c>
      <c r="BC3694" s="3" t="s">
        <v>102</v>
      </c>
      <c r="BD3694" s="3" t="s">
        <v>68</v>
      </c>
      <c r="BF3694" s="3" t="s">
        <v>35751</v>
      </c>
      <c r="BG3694" s="3" t="s">
        <v>35752</v>
      </c>
    </row>
    <row r="3695" spans="1:59" ht="72.5" x14ac:dyDescent="0.35">
      <c r="A3695" s="2" t="s">
        <v>59</v>
      </c>
      <c r="B3695" s="2" t="s">
        <v>60</v>
      </c>
      <c r="C3695" s="2" t="s">
        <v>35753</v>
      </c>
      <c r="D3695" s="2" t="s">
        <v>35754</v>
      </c>
      <c r="E3695" s="2" t="s">
        <v>35755</v>
      </c>
      <c r="F3695" s="3" t="s">
        <v>35756</v>
      </c>
      <c r="G3695" s="3" t="s">
        <v>61</v>
      </c>
      <c r="I3695" s="3" t="s">
        <v>62</v>
      </c>
      <c r="J3695" s="3" t="s">
        <v>62</v>
      </c>
      <c r="K3695" s="3" t="s">
        <v>63</v>
      </c>
      <c r="L3695" s="2" t="s">
        <v>35757</v>
      </c>
      <c r="M3695" s="2" t="s">
        <v>35758</v>
      </c>
      <c r="N3695" s="3" t="s">
        <v>1305</v>
      </c>
      <c r="P3695" s="3" t="s">
        <v>1881</v>
      </c>
      <c r="Q3695" s="2" t="s">
        <v>35759</v>
      </c>
      <c r="R3695" s="3" t="s">
        <v>34126</v>
      </c>
      <c r="S3695" s="4">
        <v>3</v>
      </c>
      <c r="T3695" s="4">
        <v>3</v>
      </c>
      <c r="U3695" s="5" t="s">
        <v>18783</v>
      </c>
      <c r="V3695" s="5" t="s">
        <v>18783</v>
      </c>
      <c r="W3695" s="5" t="s">
        <v>67</v>
      </c>
      <c r="X3695" s="5" t="s">
        <v>67</v>
      </c>
      <c r="Y3695" s="4">
        <v>123</v>
      </c>
      <c r="Z3695" s="4">
        <v>11</v>
      </c>
      <c r="AA3695" s="4">
        <v>17</v>
      </c>
      <c r="AB3695" s="4">
        <v>1</v>
      </c>
      <c r="AC3695" s="4">
        <v>1</v>
      </c>
      <c r="AD3695" s="4">
        <v>57</v>
      </c>
      <c r="AE3695" s="4">
        <v>72</v>
      </c>
      <c r="AF3695" s="4">
        <v>0</v>
      </c>
      <c r="AG3695" s="4">
        <v>0</v>
      </c>
      <c r="AH3695" s="4">
        <v>49</v>
      </c>
      <c r="AI3695" s="4">
        <v>62</v>
      </c>
      <c r="AJ3695" s="4">
        <v>7</v>
      </c>
      <c r="AK3695" s="4">
        <v>12</v>
      </c>
      <c r="AL3695" s="4">
        <v>33</v>
      </c>
      <c r="AM3695" s="4">
        <v>39</v>
      </c>
      <c r="AN3695" s="4">
        <v>0</v>
      </c>
      <c r="AO3695" s="4">
        <v>0</v>
      </c>
      <c r="AP3695" s="4">
        <v>8</v>
      </c>
      <c r="AQ3695" s="4">
        <v>13</v>
      </c>
      <c r="AR3695" s="3" t="s">
        <v>62</v>
      </c>
      <c r="AS3695" s="3" t="s">
        <v>62</v>
      </c>
      <c r="AT3695" s="3" t="s">
        <v>61</v>
      </c>
      <c r="AU3695" s="6" t="str">
        <f t="shared" ref="AU3695:AU3703" si="59">HYPERLINK("http://catalog.hathitrust.org/Record/000228441","HathiTrust Record")</f>
        <v>HathiTrust Record</v>
      </c>
      <c r="AV3695" s="6" t="str">
        <f t="shared" ref="AV3695:AV3703" si="60">HYPERLINK("http://mcgill.on.worldcat.org/oclc/1824768","Catalog Record")</f>
        <v>Catalog Record</v>
      </c>
      <c r="AW3695" s="6" t="str">
        <f t="shared" ref="AW3695:AW3703" si="61">HYPERLINK("http://www.worldcat.org/oclc/1824768","WorldCat Record")</f>
        <v>WorldCat Record</v>
      </c>
      <c r="AX3695" s="3" t="s">
        <v>35760</v>
      </c>
      <c r="AY3695" s="3" t="s">
        <v>35761</v>
      </c>
      <c r="AZ3695" s="3" t="s">
        <v>35762</v>
      </c>
      <c r="BA3695" s="3" t="s">
        <v>35762</v>
      </c>
      <c r="BB3695" s="3" t="s">
        <v>35763</v>
      </c>
      <c r="BC3695" s="3" t="s">
        <v>102</v>
      </c>
      <c r="BD3695" s="3" t="s">
        <v>68</v>
      </c>
      <c r="BE3695" s="3" t="s">
        <v>35764</v>
      </c>
      <c r="BF3695" s="3" t="s">
        <v>35763</v>
      </c>
      <c r="BG3695" s="3" t="s">
        <v>35765</v>
      </c>
    </row>
    <row r="3696" spans="1:59" ht="72.5" x14ac:dyDescent="0.35">
      <c r="A3696" s="2" t="s">
        <v>59</v>
      </c>
      <c r="B3696" s="2" t="s">
        <v>60</v>
      </c>
      <c r="C3696" s="2" t="s">
        <v>35753</v>
      </c>
      <c r="D3696" s="2" t="s">
        <v>35754</v>
      </c>
      <c r="E3696" s="2" t="s">
        <v>35755</v>
      </c>
      <c r="F3696" s="3" t="s">
        <v>35766</v>
      </c>
      <c r="G3696" s="3" t="s">
        <v>61</v>
      </c>
      <c r="I3696" s="3" t="s">
        <v>62</v>
      </c>
      <c r="J3696" s="3" t="s">
        <v>62</v>
      </c>
      <c r="K3696" s="3" t="s">
        <v>63</v>
      </c>
      <c r="L3696" s="2" t="s">
        <v>35757</v>
      </c>
      <c r="M3696" s="2" t="s">
        <v>35758</v>
      </c>
      <c r="N3696" s="3" t="s">
        <v>1305</v>
      </c>
      <c r="P3696" s="3" t="s">
        <v>1881</v>
      </c>
      <c r="Q3696" s="2" t="s">
        <v>35759</v>
      </c>
      <c r="R3696" s="3" t="s">
        <v>34126</v>
      </c>
      <c r="S3696" s="4">
        <v>0</v>
      </c>
      <c r="T3696" s="4">
        <v>3</v>
      </c>
      <c r="V3696" s="5" t="s">
        <v>18783</v>
      </c>
      <c r="W3696" s="5" t="s">
        <v>67</v>
      </c>
      <c r="X3696" s="5" t="s">
        <v>67</v>
      </c>
      <c r="Y3696" s="4">
        <v>123</v>
      </c>
      <c r="Z3696" s="4">
        <v>11</v>
      </c>
      <c r="AA3696" s="4">
        <v>17</v>
      </c>
      <c r="AB3696" s="4">
        <v>1</v>
      </c>
      <c r="AC3696" s="4">
        <v>1</v>
      </c>
      <c r="AD3696" s="4">
        <v>57</v>
      </c>
      <c r="AE3696" s="4">
        <v>72</v>
      </c>
      <c r="AF3696" s="4">
        <v>0</v>
      </c>
      <c r="AG3696" s="4">
        <v>0</v>
      </c>
      <c r="AH3696" s="4">
        <v>49</v>
      </c>
      <c r="AI3696" s="4">
        <v>62</v>
      </c>
      <c r="AJ3696" s="4">
        <v>7</v>
      </c>
      <c r="AK3696" s="4">
        <v>12</v>
      </c>
      <c r="AL3696" s="4">
        <v>33</v>
      </c>
      <c r="AM3696" s="4">
        <v>39</v>
      </c>
      <c r="AN3696" s="4">
        <v>0</v>
      </c>
      <c r="AO3696" s="4">
        <v>0</v>
      </c>
      <c r="AP3696" s="4">
        <v>8</v>
      </c>
      <c r="AQ3696" s="4">
        <v>13</v>
      </c>
      <c r="AR3696" s="3" t="s">
        <v>62</v>
      </c>
      <c r="AS3696" s="3" t="s">
        <v>62</v>
      </c>
      <c r="AT3696" s="3" t="s">
        <v>61</v>
      </c>
      <c r="AU3696" s="6" t="str">
        <f t="shared" si="59"/>
        <v>HathiTrust Record</v>
      </c>
      <c r="AV3696" s="6" t="str">
        <f t="shared" si="60"/>
        <v>Catalog Record</v>
      </c>
      <c r="AW3696" s="6" t="str">
        <f t="shared" si="61"/>
        <v>WorldCat Record</v>
      </c>
      <c r="AX3696" s="3" t="s">
        <v>35760</v>
      </c>
      <c r="AY3696" s="3" t="s">
        <v>35761</v>
      </c>
      <c r="AZ3696" s="3" t="s">
        <v>35762</v>
      </c>
      <c r="BA3696" s="3" t="s">
        <v>35762</v>
      </c>
      <c r="BB3696" s="3" t="s">
        <v>35767</v>
      </c>
      <c r="BC3696" s="3" t="s">
        <v>102</v>
      </c>
      <c r="BD3696" s="3" t="s">
        <v>68</v>
      </c>
      <c r="BE3696" s="3" t="s">
        <v>35764</v>
      </c>
      <c r="BF3696" s="3" t="s">
        <v>35767</v>
      </c>
      <c r="BG3696" s="3" t="s">
        <v>35768</v>
      </c>
    </row>
    <row r="3697" spans="1:59" ht="72.5" x14ac:dyDescent="0.35">
      <c r="A3697" s="2" t="s">
        <v>59</v>
      </c>
      <c r="B3697" s="2" t="s">
        <v>60</v>
      </c>
      <c r="C3697" s="2" t="s">
        <v>35753</v>
      </c>
      <c r="D3697" s="2" t="s">
        <v>35754</v>
      </c>
      <c r="E3697" s="2" t="s">
        <v>35755</v>
      </c>
      <c r="F3697" s="3" t="s">
        <v>33986</v>
      </c>
      <c r="G3697" s="3" t="s">
        <v>61</v>
      </c>
      <c r="I3697" s="3" t="s">
        <v>62</v>
      </c>
      <c r="J3697" s="3" t="s">
        <v>62</v>
      </c>
      <c r="K3697" s="3" t="s">
        <v>63</v>
      </c>
      <c r="L3697" s="2" t="s">
        <v>35757</v>
      </c>
      <c r="M3697" s="2" t="s">
        <v>35758</v>
      </c>
      <c r="N3697" s="3" t="s">
        <v>1305</v>
      </c>
      <c r="P3697" s="3" t="s">
        <v>1881</v>
      </c>
      <c r="Q3697" s="2" t="s">
        <v>35759</v>
      </c>
      <c r="R3697" s="3" t="s">
        <v>34126</v>
      </c>
      <c r="S3697" s="4">
        <v>0</v>
      </c>
      <c r="T3697" s="4">
        <v>3</v>
      </c>
      <c r="V3697" s="5" t="s">
        <v>18783</v>
      </c>
      <c r="W3697" s="5" t="s">
        <v>67</v>
      </c>
      <c r="X3697" s="5" t="s">
        <v>67</v>
      </c>
      <c r="Y3697" s="4">
        <v>123</v>
      </c>
      <c r="Z3697" s="4">
        <v>11</v>
      </c>
      <c r="AA3697" s="4">
        <v>17</v>
      </c>
      <c r="AB3697" s="4">
        <v>1</v>
      </c>
      <c r="AC3697" s="4">
        <v>1</v>
      </c>
      <c r="AD3697" s="4">
        <v>57</v>
      </c>
      <c r="AE3697" s="4">
        <v>72</v>
      </c>
      <c r="AF3697" s="4">
        <v>0</v>
      </c>
      <c r="AG3697" s="4">
        <v>0</v>
      </c>
      <c r="AH3697" s="4">
        <v>49</v>
      </c>
      <c r="AI3697" s="4">
        <v>62</v>
      </c>
      <c r="AJ3697" s="4">
        <v>7</v>
      </c>
      <c r="AK3697" s="4">
        <v>12</v>
      </c>
      <c r="AL3697" s="4">
        <v>33</v>
      </c>
      <c r="AM3697" s="4">
        <v>39</v>
      </c>
      <c r="AN3697" s="4">
        <v>0</v>
      </c>
      <c r="AO3697" s="4">
        <v>0</v>
      </c>
      <c r="AP3697" s="4">
        <v>8</v>
      </c>
      <c r="AQ3697" s="4">
        <v>13</v>
      </c>
      <c r="AR3697" s="3" t="s">
        <v>62</v>
      </c>
      <c r="AS3697" s="3" t="s">
        <v>62</v>
      </c>
      <c r="AT3697" s="3" t="s">
        <v>61</v>
      </c>
      <c r="AU3697" s="6" t="str">
        <f t="shared" si="59"/>
        <v>HathiTrust Record</v>
      </c>
      <c r="AV3697" s="6" t="str">
        <f t="shared" si="60"/>
        <v>Catalog Record</v>
      </c>
      <c r="AW3697" s="6" t="str">
        <f t="shared" si="61"/>
        <v>WorldCat Record</v>
      </c>
      <c r="AX3697" s="3" t="s">
        <v>35760</v>
      </c>
      <c r="AY3697" s="3" t="s">
        <v>35761</v>
      </c>
      <c r="AZ3697" s="3" t="s">
        <v>35762</v>
      </c>
      <c r="BA3697" s="3" t="s">
        <v>35762</v>
      </c>
      <c r="BB3697" s="3" t="s">
        <v>35769</v>
      </c>
      <c r="BC3697" s="3" t="s">
        <v>102</v>
      </c>
      <c r="BD3697" s="3" t="s">
        <v>68</v>
      </c>
      <c r="BE3697" s="3" t="s">
        <v>35764</v>
      </c>
      <c r="BF3697" s="3" t="s">
        <v>35769</v>
      </c>
      <c r="BG3697" s="3" t="s">
        <v>35770</v>
      </c>
    </row>
    <row r="3698" spans="1:59" ht="72.5" x14ac:dyDescent="0.35">
      <c r="A3698" s="2" t="s">
        <v>59</v>
      </c>
      <c r="B3698" s="2" t="s">
        <v>60</v>
      </c>
      <c r="C3698" s="2" t="s">
        <v>35753</v>
      </c>
      <c r="D3698" s="2" t="s">
        <v>35754</v>
      </c>
      <c r="E3698" s="2" t="s">
        <v>35755</v>
      </c>
      <c r="F3698" s="3" t="s">
        <v>35771</v>
      </c>
      <c r="G3698" s="3" t="s">
        <v>61</v>
      </c>
      <c r="I3698" s="3" t="s">
        <v>62</v>
      </c>
      <c r="J3698" s="3" t="s">
        <v>62</v>
      </c>
      <c r="K3698" s="3" t="s">
        <v>63</v>
      </c>
      <c r="L3698" s="2" t="s">
        <v>35757</v>
      </c>
      <c r="M3698" s="2" t="s">
        <v>35758</v>
      </c>
      <c r="N3698" s="3" t="s">
        <v>1305</v>
      </c>
      <c r="P3698" s="3" t="s">
        <v>1881</v>
      </c>
      <c r="Q3698" s="2" t="s">
        <v>35759</v>
      </c>
      <c r="R3698" s="3" t="s">
        <v>34126</v>
      </c>
      <c r="S3698" s="4">
        <v>0</v>
      </c>
      <c r="T3698" s="4">
        <v>3</v>
      </c>
      <c r="V3698" s="5" t="s">
        <v>18783</v>
      </c>
      <c r="W3698" s="5" t="s">
        <v>67</v>
      </c>
      <c r="X3698" s="5" t="s">
        <v>67</v>
      </c>
      <c r="Y3698" s="4">
        <v>123</v>
      </c>
      <c r="Z3698" s="4">
        <v>11</v>
      </c>
      <c r="AA3698" s="4">
        <v>17</v>
      </c>
      <c r="AB3698" s="4">
        <v>1</v>
      </c>
      <c r="AC3698" s="4">
        <v>1</v>
      </c>
      <c r="AD3698" s="4">
        <v>57</v>
      </c>
      <c r="AE3698" s="4">
        <v>72</v>
      </c>
      <c r="AF3698" s="4">
        <v>0</v>
      </c>
      <c r="AG3698" s="4">
        <v>0</v>
      </c>
      <c r="AH3698" s="4">
        <v>49</v>
      </c>
      <c r="AI3698" s="4">
        <v>62</v>
      </c>
      <c r="AJ3698" s="4">
        <v>7</v>
      </c>
      <c r="AK3698" s="4">
        <v>12</v>
      </c>
      <c r="AL3698" s="4">
        <v>33</v>
      </c>
      <c r="AM3698" s="4">
        <v>39</v>
      </c>
      <c r="AN3698" s="4">
        <v>0</v>
      </c>
      <c r="AO3698" s="4">
        <v>0</v>
      </c>
      <c r="AP3698" s="4">
        <v>8</v>
      </c>
      <c r="AQ3698" s="4">
        <v>13</v>
      </c>
      <c r="AR3698" s="3" t="s">
        <v>62</v>
      </c>
      <c r="AS3698" s="3" t="s">
        <v>62</v>
      </c>
      <c r="AT3698" s="3" t="s">
        <v>61</v>
      </c>
      <c r="AU3698" s="6" t="str">
        <f t="shared" si="59"/>
        <v>HathiTrust Record</v>
      </c>
      <c r="AV3698" s="6" t="str">
        <f t="shared" si="60"/>
        <v>Catalog Record</v>
      </c>
      <c r="AW3698" s="6" t="str">
        <f t="shared" si="61"/>
        <v>WorldCat Record</v>
      </c>
      <c r="AX3698" s="3" t="s">
        <v>35760</v>
      </c>
      <c r="AY3698" s="3" t="s">
        <v>35761</v>
      </c>
      <c r="AZ3698" s="3" t="s">
        <v>35762</v>
      </c>
      <c r="BA3698" s="3" t="s">
        <v>35762</v>
      </c>
      <c r="BB3698" s="3" t="s">
        <v>35772</v>
      </c>
      <c r="BC3698" s="3" t="s">
        <v>102</v>
      </c>
      <c r="BD3698" s="3" t="s">
        <v>68</v>
      </c>
      <c r="BE3698" s="3" t="s">
        <v>35764</v>
      </c>
      <c r="BF3698" s="3" t="s">
        <v>35772</v>
      </c>
      <c r="BG3698" s="3" t="s">
        <v>35773</v>
      </c>
    </row>
    <row r="3699" spans="1:59" ht="72.5" x14ac:dyDescent="0.35">
      <c r="A3699" s="2" t="s">
        <v>59</v>
      </c>
      <c r="B3699" s="2" t="s">
        <v>60</v>
      </c>
      <c r="C3699" s="2" t="s">
        <v>35753</v>
      </c>
      <c r="D3699" s="2" t="s">
        <v>35754</v>
      </c>
      <c r="E3699" s="2" t="s">
        <v>35755</v>
      </c>
      <c r="F3699" s="3" t="s">
        <v>35774</v>
      </c>
      <c r="G3699" s="3" t="s">
        <v>61</v>
      </c>
      <c r="I3699" s="3" t="s">
        <v>62</v>
      </c>
      <c r="J3699" s="3" t="s">
        <v>62</v>
      </c>
      <c r="K3699" s="3" t="s">
        <v>63</v>
      </c>
      <c r="L3699" s="2" t="s">
        <v>35757</v>
      </c>
      <c r="M3699" s="2" t="s">
        <v>35758</v>
      </c>
      <c r="N3699" s="3" t="s">
        <v>1305</v>
      </c>
      <c r="P3699" s="3" t="s">
        <v>1881</v>
      </c>
      <c r="Q3699" s="2" t="s">
        <v>35759</v>
      </c>
      <c r="R3699" s="3" t="s">
        <v>34126</v>
      </c>
      <c r="S3699" s="4">
        <v>0</v>
      </c>
      <c r="T3699" s="4">
        <v>3</v>
      </c>
      <c r="V3699" s="5" t="s">
        <v>18783</v>
      </c>
      <c r="W3699" s="5" t="s">
        <v>67</v>
      </c>
      <c r="X3699" s="5" t="s">
        <v>67</v>
      </c>
      <c r="Y3699" s="4">
        <v>123</v>
      </c>
      <c r="Z3699" s="4">
        <v>11</v>
      </c>
      <c r="AA3699" s="4">
        <v>17</v>
      </c>
      <c r="AB3699" s="4">
        <v>1</v>
      </c>
      <c r="AC3699" s="4">
        <v>1</v>
      </c>
      <c r="AD3699" s="4">
        <v>57</v>
      </c>
      <c r="AE3699" s="4">
        <v>72</v>
      </c>
      <c r="AF3699" s="4">
        <v>0</v>
      </c>
      <c r="AG3699" s="4">
        <v>0</v>
      </c>
      <c r="AH3699" s="4">
        <v>49</v>
      </c>
      <c r="AI3699" s="4">
        <v>62</v>
      </c>
      <c r="AJ3699" s="4">
        <v>7</v>
      </c>
      <c r="AK3699" s="4">
        <v>12</v>
      </c>
      <c r="AL3699" s="4">
        <v>33</v>
      </c>
      <c r="AM3699" s="4">
        <v>39</v>
      </c>
      <c r="AN3699" s="4">
        <v>0</v>
      </c>
      <c r="AO3699" s="4">
        <v>0</v>
      </c>
      <c r="AP3699" s="4">
        <v>8</v>
      </c>
      <c r="AQ3699" s="4">
        <v>13</v>
      </c>
      <c r="AR3699" s="3" t="s">
        <v>62</v>
      </c>
      <c r="AS3699" s="3" t="s">
        <v>62</v>
      </c>
      <c r="AT3699" s="3" t="s">
        <v>61</v>
      </c>
      <c r="AU3699" s="6" t="str">
        <f t="shared" si="59"/>
        <v>HathiTrust Record</v>
      </c>
      <c r="AV3699" s="6" t="str">
        <f t="shared" si="60"/>
        <v>Catalog Record</v>
      </c>
      <c r="AW3699" s="6" t="str">
        <f t="shared" si="61"/>
        <v>WorldCat Record</v>
      </c>
      <c r="AX3699" s="3" t="s">
        <v>35760</v>
      </c>
      <c r="AY3699" s="3" t="s">
        <v>35761</v>
      </c>
      <c r="AZ3699" s="3" t="s">
        <v>35762</v>
      </c>
      <c r="BA3699" s="3" t="s">
        <v>35762</v>
      </c>
      <c r="BB3699" s="3" t="s">
        <v>35775</v>
      </c>
      <c r="BC3699" s="3" t="s">
        <v>102</v>
      </c>
      <c r="BD3699" s="3" t="s">
        <v>68</v>
      </c>
      <c r="BE3699" s="3" t="s">
        <v>35764</v>
      </c>
      <c r="BF3699" s="3" t="s">
        <v>35775</v>
      </c>
      <c r="BG3699" s="3" t="s">
        <v>35776</v>
      </c>
    </row>
    <row r="3700" spans="1:59" ht="72.5" x14ac:dyDescent="0.35">
      <c r="A3700" s="2" t="s">
        <v>59</v>
      </c>
      <c r="B3700" s="2" t="s">
        <v>60</v>
      </c>
      <c r="C3700" s="2" t="s">
        <v>35753</v>
      </c>
      <c r="D3700" s="2" t="s">
        <v>35754</v>
      </c>
      <c r="E3700" s="2" t="s">
        <v>35755</v>
      </c>
      <c r="F3700" s="3" t="s">
        <v>35777</v>
      </c>
      <c r="G3700" s="3" t="s">
        <v>61</v>
      </c>
      <c r="I3700" s="3" t="s">
        <v>62</v>
      </c>
      <c r="J3700" s="3" t="s">
        <v>62</v>
      </c>
      <c r="K3700" s="3" t="s">
        <v>63</v>
      </c>
      <c r="L3700" s="2" t="s">
        <v>35757</v>
      </c>
      <c r="M3700" s="2" t="s">
        <v>35758</v>
      </c>
      <c r="N3700" s="3" t="s">
        <v>1305</v>
      </c>
      <c r="P3700" s="3" t="s">
        <v>1881</v>
      </c>
      <c r="Q3700" s="2" t="s">
        <v>35759</v>
      </c>
      <c r="R3700" s="3" t="s">
        <v>34126</v>
      </c>
      <c r="S3700" s="4">
        <v>0</v>
      </c>
      <c r="T3700" s="4">
        <v>3</v>
      </c>
      <c r="V3700" s="5" t="s">
        <v>18783</v>
      </c>
      <c r="W3700" s="5" t="s">
        <v>67</v>
      </c>
      <c r="X3700" s="5" t="s">
        <v>67</v>
      </c>
      <c r="Y3700" s="4">
        <v>123</v>
      </c>
      <c r="Z3700" s="4">
        <v>11</v>
      </c>
      <c r="AA3700" s="4">
        <v>17</v>
      </c>
      <c r="AB3700" s="4">
        <v>1</v>
      </c>
      <c r="AC3700" s="4">
        <v>1</v>
      </c>
      <c r="AD3700" s="4">
        <v>57</v>
      </c>
      <c r="AE3700" s="4">
        <v>72</v>
      </c>
      <c r="AF3700" s="4">
        <v>0</v>
      </c>
      <c r="AG3700" s="4">
        <v>0</v>
      </c>
      <c r="AH3700" s="4">
        <v>49</v>
      </c>
      <c r="AI3700" s="4">
        <v>62</v>
      </c>
      <c r="AJ3700" s="4">
        <v>7</v>
      </c>
      <c r="AK3700" s="4">
        <v>12</v>
      </c>
      <c r="AL3700" s="4">
        <v>33</v>
      </c>
      <c r="AM3700" s="4">
        <v>39</v>
      </c>
      <c r="AN3700" s="4">
        <v>0</v>
      </c>
      <c r="AO3700" s="4">
        <v>0</v>
      </c>
      <c r="AP3700" s="4">
        <v>8</v>
      </c>
      <c r="AQ3700" s="4">
        <v>13</v>
      </c>
      <c r="AR3700" s="3" t="s">
        <v>62</v>
      </c>
      <c r="AS3700" s="3" t="s">
        <v>62</v>
      </c>
      <c r="AT3700" s="3" t="s">
        <v>61</v>
      </c>
      <c r="AU3700" s="6" t="str">
        <f t="shared" si="59"/>
        <v>HathiTrust Record</v>
      </c>
      <c r="AV3700" s="6" t="str">
        <f t="shared" si="60"/>
        <v>Catalog Record</v>
      </c>
      <c r="AW3700" s="6" t="str">
        <f t="shared" si="61"/>
        <v>WorldCat Record</v>
      </c>
      <c r="AX3700" s="3" t="s">
        <v>35760</v>
      </c>
      <c r="AY3700" s="3" t="s">
        <v>35761</v>
      </c>
      <c r="AZ3700" s="3" t="s">
        <v>35762</v>
      </c>
      <c r="BA3700" s="3" t="s">
        <v>35762</v>
      </c>
      <c r="BB3700" s="3" t="s">
        <v>35778</v>
      </c>
      <c r="BC3700" s="3" t="s">
        <v>102</v>
      </c>
      <c r="BD3700" s="3" t="s">
        <v>68</v>
      </c>
      <c r="BE3700" s="3" t="s">
        <v>35764</v>
      </c>
      <c r="BF3700" s="3" t="s">
        <v>35778</v>
      </c>
      <c r="BG3700" s="3" t="s">
        <v>35779</v>
      </c>
    </row>
    <row r="3701" spans="1:59" ht="72.5" x14ac:dyDescent="0.35">
      <c r="A3701" s="2" t="s">
        <v>59</v>
      </c>
      <c r="B3701" s="2" t="s">
        <v>60</v>
      </c>
      <c r="C3701" s="2" t="s">
        <v>35753</v>
      </c>
      <c r="D3701" s="2" t="s">
        <v>35754</v>
      </c>
      <c r="E3701" s="2" t="s">
        <v>35755</v>
      </c>
      <c r="F3701" s="3" t="s">
        <v>35780</v>
      </c>
      <c r="G3701" s="3" t="s">
        <v>61</v>
      </c>
      <c r="I3701" s="3" t="s">
        <v>62</v>
      </c>
      <c r="J3701" s="3" t="s">
        <v>62</v>
      </c>
      <c r="K3701" s="3" t="s">
        <v>63</v>
      </c>
      <c r="L3701" s="2" t="s">
        <v>35757</v>
      </c>
      <c r="M3701" s="2" t="s">
        <v>35758</v>
      </c>
      <c r="N3701" s="3" t="s">
        <v>1305</v>
      </c>
      <c r="P3701" s="3" t="s">
        <v>1881</v>
      </c>
      <c r="Q3701" s="2" t="s">
        <v>35759</v>
      </c>
      <c r="R3701" s="3" t="s">
        <v>34126</v>
      </c>
      <c r="S3701" s="4">
        <v>0</v>
      </c>
      <c r="T3701" s="4">
        <v>3</v>
      </c>
      <c r="V3701" s="5" t="s">
        <v>18783</v>
      </c>
      <c r="W3701" s="5" t="s">
        <v>67</v>
      </c>
      <c r="X3701" s="5" t="s">
        <v>67</v>
      </c>
      <c r="Y3701" s="4">
        <v>123</v>
      </c>
      <c r="Z3701" s="4">
        <v>11</v>
      </c>
      <c r="AA3701" s="4">
        <v>17</v>
      </c>
      <c r="AB3701" s="4">
        <v>1</v>
      </c>
      <c r="AC3701" s="4">
        <v>1</v>
      </c>
      <c r="AD3701" s="4">
        <v>57</v>
      </c>
      <c r="AE3701" s="4">
        <v>72</v>
      </c>
      <c r="AF3701" s="4">
        <v>0</v>
      </c>
      <c r="AG3701" s="4">
        <v>0</v>
      </c>
      <c r="AH3701" s="4">
        <v>49</v>
      </c>
      <c r="AI3701" s="4">
        <v>62</v>
      </c>
      <c r="AJ3701" s="4">
        <v>7</v>
      </c>
      <c r="AK3701" s="4">
        <v>12</v>
      </c>
      <c r="AL3701" s="4">
        <v>33</v>
      </c>
      <c r="AM3701" s="4">
        <v>39</v>
      </c>
      <c r="AN3701" s="4">
        <v>0</v>
      </c>
      <c r="AO3701" s="4">
        <v>0</v>
      </c>
      <c r="AP3701" s="4">
        <v>8</v>
      </c>
      <c r="AQ3701" s="4">
        <v>13</v>
      </c>
      <c r="AR3701" s="3" t="s">
        <v>62</v>
      </c>
      <c r="AS3701" s="3" t="s">
        <v>62</v>
      </c>
      <c r="AT3701" s="3" t="s">
        <v>61</v>
      </c>
      <c r="AU3701" s="6" t="str">
        <f t="shared" si="59"/>
        <v>HathiTrust Record</v>
      </c>
      <c r="AV3701" s="6" t="str">
        <f t="shared" si="60"/>
        <v>Catalog Record</v>
      </c>
      <c r="AW3701" s="6" t="str">
        <f t="shared" si="61"/>
        <v>WorldCat Record</v>
      </c>
      <c r="AX3701" s="3" t="s">
        <v>35760</v>
      </c>
      <c r="AY3701" s="3" t="s">
        <v>35761</v>
      </c>
      <c r="AZ3701" s="3" t="s">
        <v>35762</v>
      </c>
      <c r="BA3701" s="3" t="s">
        <v>35762</v>
      </c>
      <c r="BB3701" s="3" t="s">
        <v>35781</v>
      </c>
      <c r="BC3701" s="3" t="s">
        <v>102</v>
      </c>
      <c r="BD3701" s="3" t="s">
        <v>68</v>
      </c>
      <c r="BE3701" s="3" t="s">
        <v>35764</v>
      </c>
      <c r="BF3701" s="3" t="s">
        <v>35781</v>
      </c>
      <c r="BG3701" s="3" t="s">
        <v>35782</v>
      </c>
    </row>
    <row r="3702" spans="1:59" ht="72.5" x14ac:dyDescent="0.35">
      <c r="A3702" s="2" t="s">
        <v>59</v>
      </c>
      <c r="B3702" s="2" t="s">
        <v>60</v>
      </c>
      <c r="C3702" s="2" t="s">
        <v>35753</v>
      </c>
      <c r="D3702" s="2" t="s">
        <v>35754</v>
      </c>
      <c r="E3702" s="2" t="s">
        <v>35755</v>
      </c>
      <c r="F3702" s="3" t="s">
        <v>35783</v>
      </c>
      <c r="G3702" s="3" t="s">
        <v>61</v>
      </c>
      <c r="I3702" s="3" t="s">
        <v>62</v>
      </c>
      <c r="J3702" s="3" t="s">
        <v>62</v>
      </c>
      <c r="K3702" s="3" t="s">
        <v>63</v>
      </c>
      <c r="L3702" s="2" t="s">
        <v>35757</v>
      </c>
      <c r="M3702" s="2" t="s">
        <v>35758</v>
      </c>
      <c r="N3702" s="3" t="s">
        <v>1305</v>
      </c>
      <c r="P3702" s="3" t="s">
        <v>1881</v>
      </c>
      <c r="Q3702" s="2" t="s">
        <v>35759</v>
      </c>
      <c r="R3702" s="3" t="s">
        <v>34126</v>
      </c>
      <c r="S3702" s="4">
        <v>0</v>
      </c>
      <c r="T3702" s="4">
        <v>3</v>
      </c>
      <c r="V3702" s="5" t="s">
        <v>18783</v>
      </c>
      <c r="W3702" s="5" t="s">
        <v>67</v>
      </c>
      <c r="X3702" s="5" t="s">
        <v>67</v>
      </c>
      <c r="Y3702" s="4">
        <v>123</v>
      </c>
      <c r="Z3702" s="4">
        <v>11</v>
      </c>
      <c r="AA3702" s="4">
        <v>17</v>
      </c>
      <c r="AB3702" s="4">
        <v>1</v>
      </c>
      <c r="AC3702" s="4">
        <v>1</v>
      </c>
      <c r="AD3702" s="4">
        <v>57</v>
      </c>
      <c r="AE3702" s="4">
        <v>72</v>
      </c>
      <c r="AF3702" s="4">
        <v>0</v>
      </c>
      <c r="AG3702" s="4">
        <v>0</v>
      </c>
      <c r="AH3702" s="4">
        <v>49</v>
      </c>
      <c r="AI3702" s="4">
        <v>62</v>
      </c>
      <c r="AJ3702" s="4">
        <v>7</v>
      </c>
      <c r="AK3702" s="4">
        <v>12</v>
      </c>
      <c r="AL3702" s="4">
        <v>33</v>
      </c>
      <c r="AM3702" s="4">
        <v>39</v>
      </c>
      <c r="AN3702" s="4">
        <v>0</v>
      </c>
      <c r="AO3702" s="4">
        <v>0</v>
      </c>
      <c r="AP3702" s="4">
        <v>8</v>
      </c>
      <c r="AQ3702" s="4">
        <v>13</v>
      </c>
      <c r="AR3702" s="3" t="s">
        <v>62</v>
      </c>
      <c r="AS3702" s="3" t="s">
        <v>62</v>
      </c>
      <c r="AT3702" s="3" t="s">
        <v>61</v>
      </c>
      <c r="AU3702" s="6" t="str">
        <f t="shared" si="59"/>
        <v>HathiTrust Record</v>
      </c>
      <c r="AV3702" s="6" t="str">
        <f t="shared" si="60"/>
        <v>Catalog Record</v>
      </c>
      <c r="AW3702" s="6" t="str">
        <f t="shared" si="61"/>
        <v>WorldCat Record</v>
      </c>
      <c r="AX3702" s="3" t="s">
        <v>35760</v>
      </c>
      <c r="AY3702" s="3" t="s">
        <v>35761</v>
      </c>
      <c r="AZ3702" s="3" t="s">
        <v>35762</v>
      </c>
      <c r="BA3702" s="3" t="s">
        <v>35762</v>
      </c>
      <c r="BB3702" s="3" t="s">
        <v>35784</v>
      </c>
      <c r="BC3702" s="3" t="s">
        <v>102</v>
      </c>
      <c r="BD3702" s="3" t="s">
        <v>68</v>
      </c>
      <c r="BE3702" s="3" t="s">
        <v>35764</v>
      </c>
      <c r="BF3702" s="3" t="s">
        <v>35784</v>
      </c>
      <c r="BG3702" s="3" t="s">
        <v>35785</v>
      </c>
    </row>
    <row r="3703" spans="1:59" ht="72.5" x14ac:dyDescent="0.35">
      <c r="A3703" s="2" t="s">
        <v>59</v>
      </c>
      <c r="B3703" s="2" t="s">
        <v>60</v>
      </c>
      <c r="C3703" s="2" t="s">
        <v>35753</v>
      </c>
      <c r="D3703" s="2" t="s">
        <v>35754</v>
      </c>
      <c r="E3703" s="2" t="s">
        <v>35755</v>
      </c>
      <c r="F3703" s="3" t="s">
        <v>35786</v>
      </c>
      <c r="G3703" s="3" t="s">
        <v>61</v>
      </c>
      <c r="I3703" s="3" t="s">
        <v>62</v>
      </c>
      <c r="J3703" s="3" t="s">
        <v>62</v>
      </c>
      <c r="K3703" s="3" t="s">
        <v>63</v>
      </c>
      <c r="L3703" s="2" t="s">
        <v>35757</v>
      </c>
      <c r="M3703" s="2" t="s">
        <v>35758</v>
      </c>
      <c r="N3703" s="3" t="s">
        <v>1305</v>
      </c>
      <c r="P3703" s="3" t="s">
        <v>1881</v>
      </c>
      <c r="Q3703" s="2" t="s">
        <v>35759</v>
      </c>
      <c r="R3703" s="3" t="s">
        <v>34126</v>
      </c>
      <c r="S3703" s="4">
        <v>0</v>
      </c>
      <c r="T3703" s="4">
        <v>3</v>
      </c>
      <c r="V3703" s="5" t="s">
        <v>18783</v>
      </c>
      <c r="W3703" s="5" t="s">
        <v>67</v>
      </c>
      <c r="X3703" s="5" t="s">
        <v>67</v>
      </c>
      <c r="Y3703" s="4">
        <v>123</v>
      </c>
      <c r="Z3703" s="4">
        <v>11</v>
      </c>
      <c r="AA3703" s="4">
        <v>17</v>
      </c>
      <c r="AB3703" s="4">
        <v>1</v>
      </c>
      <c r="AC3703" s="4">
        <v>1</v>
      </c>
      <c r="AD3703" s="4">
        <v>57</v>
      </c>
      <c r="AE3703" s="4">
        <v>72</v>
      </c>
      <c r="AF3703" s="4">
        <v>0</v>
      </c>
      <c r="AG3703" s="4">
        <v>0</v>
      </c>
      <c r="AH3703" s="4">
        <v>49</v>
      </c>
      <c r="AI3703" s="4">
        <v>62</v>
      </c>
      <c r="AJ3703" s="4">
        <v>7</v>
      </c>
      <c r="AK3703" s="4">
        <v>12</v>
      </c>
      <c r="AL3703" s="4">
        <v>33</v>
      </c>
      <c r="AM3703" s="4">
        <v>39</v>
      </c>
      <c r="AN3703" s="4">
        <v>0</v>
      </c>
      <c r="AO3703" s="4">
        <v>0</v>
      </c>
      <c r="AP3703" s="4">
        <v>8</v>
      </c>
      <c r="AQ3703" s="4">
        <v>13</v>
      </c>
      <c r="AR3703" s="3" t="s">
        <v>62</v>
      </c>
      <c r="AS3703" s="3" t="s">
        <v>62</v>
      </c>
      <c r="AT3703" s="3" t="s">
        <v>61</v>
      </c>
      <c r="AU3703" s="6" t="str">
        <f t="shared" si="59"/>
        <v>HathiTrust Record</v>
      </c>
      <c r="AV3703" s="6" t="str">
        <f t="shared" si="60"/>
        <v>Catalog Record</v>
      </c>
      <c r="AW3703" s="6" t="str">
        <f t="shared" si="61"/>
        <v>WorldCat Record</v>
      </c>
      <c r="AX3703" s="3" t="s">
        <v>35760</v>
      </c>
      <c r="AY3703" s="3" t="s">
        <v>35761</v>
      </c>
      <c r="AZ3703" s="3" t="s">
        <v>35762</v>
      </c>
      <c r="BA3703" s="3" t="s">
        <v>35762</v>
      </c>
      <c r="BB3703" s="3" t="s">
        <v>35787</v>
      </c>
      <c r="BC3703" s="3" t="s">
        <v>102</v>
      </c>
      <c r="BD3703" s="3" t="s">
        <v>68</v>
      </c>
      <c r="BE3703" s="3" t="s">
        <v>35764</v>
      </c>
      <c r="BF3703" s="3" t="s">
        <v>35787</v>
      </c>
      <c r="BG3703" s="3" t="s">
        <v>35788</v>
      </c>
    </row>
    <row r="3704" spans="1:59" ht="58" x14ac:dyDescent="0.35">
      <c r="A3704" s="2" t="s">
        <v>59</v>
      </c>
      <c r="B3704" s="2" t="s">
        <v>60</v>
      </c>
      <c r="C3704" s="2" t="s">
        <v>35789</v>
      </c>
      <c r="D3704" s="2" t="s">
        <v>35790</v>
      </c>
      <c r="E3704" s="2" t="s">
        <v>35791</v>
      </c>
      <c r="G3704" s="3" t="s">
        <v>62</v>
      </c>
      <c r="I3704" s="3" t="s">
        <v>62</v>
      </c>
      <c r="J3704" s="3" t="s">
        <v>62</v>
      </c>
      <c r="K3704" s="3" t="s">
        <v>63</v>
      </c>
      <c r="M3704" s="2" t="s">
        <v>35792</v>
      </c>
      <c r="N3704" s="3" t="s">
        <v>553</v>
      </c>
      <c r="P3704" s="3" t="s">
        <v>64</v>
      </c>
      <c r="R3704" s="3" t="s">
        <v>34126</v>
      </c>
      <c r="S3704" s="4">
        <v>4</v>
      </c>
      <c r="T3704" s="4">
        <v>4</v>
      </c>
      <c r="U3704" s="5" t="s">
        <v>16837</v>
      </c>
      <c r="V3704" s="5" t="s">
        <v>16837</v>
      </c>
      <c r="W3704" s="5" t="s">
        <v>67</v>
      </c>
      <c r="X3704" s="5" t="s">
        <v>67</v>
      </c>
      <c r="Y3704" s="4">
        <v>61</v>
      </c>
      <c r="Z3704" s="4">
        <v>6</v>
      </c>
      <c r="AA3704" s="4">
        <v>13</v>
      </c>
      <c r="AB3704" s="4">
        <v>3</v>
      </c>
      <c r="AC3704" s="4">
        <v>3</v>
      </c>
      <c r="AD3704" s="4">
        <v>30</v>
      </c>
      <c r="AE3704" s="4">
        <v>38</v>
      </c>
      <c r="AF3704" s="4">
        <v>2</v>
      </c>
      <c r="AG3704" s="4">
        <v>2</v>
      </c>
      <c r="AH3704" s="4">
        <v>26</v>
      </c>
      <c r="AI3704" s="4">
        <v>32</v>
      </c>
      <c r="AJ3704" s="4">
        <v>2</v>
      </c>
      <c r="AK3704" s="4">
        <v>5</v>
      </c>
      <c r="AL3704" s="4">
        <v>18</v>
      </c>
      <c r="AM3704" s="4">
        <v>23</v>
      </c>
      <c r="AN3704" s="4">
        <v>0</v>
      </c>
      <c r="AO3704" s="4">
        <v>0</v>
      </c>
      <c r="AP3704" s="4">
        <v>5</v>
      </c>
      <c r="AQ3704" s="4">
        <v>9</v>
      </c>
      <c r="AR3704" s="3" t="s">
        <v>62</v>
      </c>
      <c r="AS3704" s="3" t="s">
        <v>62</v>
      </c>
      <c r="AT3704" s="3" t="s">
        <v>61</v>
      </c>
      <c r="AU3704" s="6" t="str">
        <f>HYPERLINK("http://catalog.hathitrust.org/Record/003497247","HathiTrust Record")</f>
        <v>HathiTrust Record</v>
      </c>
      <c r="AV3704" s="6" t="str">
        <f>HYPERLINK("http://mcgill.on.worldcat.org/oclc/42715694","Catalog Record")</f>
        <v>Catalog Record</v>
      </c>
      <c r="AW3704" s="6" t="str">
        <f>HYPERLINK("http://www.worldcat.org/oclc/42715694","WorldCat Record")</f>
        <v>WorldCat Record</v>
      </c>
      <c r="AX3704" s="3" t="s">
        <v>35793</v>
      </c>
      <c r="AY3704" s="3" t="s">
        <v>35794</v>
      </c>
      <c r="AZ3704" s="3" t="s">
        <v>35795</v>
      </c>
      <c r="BA3704" s="3" t="s">
        <v>35795</v>
      </c>
      <c r="BB3704" s="3" t="s">
        <v>35796</v>
      </c>
      <c r="BC3704" s="3" t="s">
        <v>102</v>
      </c>
      <c r="BD3704" s="3" t="s">
        <v>68</v>
      </c>
      <c r="BE3704" s="3" t="s">
        <v>35797</v>
      </c>
      <c r="BF3704" s="3" t="s">
        <v>35796</v>
      </c>
      <c r="BG3704" s="3" t="s">
        <v>35798</v>
      </c>
    </row>
    <row r="3705" spans="1:59" ht="58" x14ac:dyDescent="0.35">
      <c r="A3705" s="2" t="s">
        <v>59</v>
      </c>
      <c r="B3705" s="2" t="s">
        <v>60</v>
      </c>
      <c r="C3705" s="2" t="s">
        <v>35799</v>
      </c>
      <c r="D3705" s="2" t="s">
        <v>35800</v>
      </c>
      <c r="E3705" s="2" t="s">
        <v>35801</v>
      </c>
      <c r="G3705" s="3" t="s">
        <v>62</v>
      </c>
      <c r="I3705" s="3" t="s">
        <v>62</v>
      </c>
      <c r="J3705" s="3" t="s">
        <v>62</v>
      </c>
      <c r="K3705" s="3" t="s">
        <v>63</v>
      </c>
      <c r="M3705" s="2" t="s">
        <v>35802</v>
      </c>
      <c r="N3705" s="3" t="s">
        <v>1064</v>
      </c>
      <c r="P3705" s="3" t="s">
        <v>64</v>
      </c>
      <c r="R3705" s="3" t="s">
        <v>34126</v>
      </c>
      <c r="S3705" s="4">
        <v>3</v>
      </c>
      <c r="T3705" s="4">
        <v>3</v>
      </c>
      <c r="U3705" s="5" t="s">
        <v>15136</v>
      </c>
      <c r="V3705" s="5" t="s">
        <v>15136</v>
      </c>
      <c r="W3705" s="5" t="s">
        <v>67</v>
      </c>
      <c r="X3705" s="5" t="s">
        <v>67</v>
      </c>
      <c r="Y3705" s="4">
        <v>2</v>
      </c>
      <c r="Z3705" s="4">
        <v>1</v>
      </c>
      <c r="AA3705" s="4">
        <v>1</v>
      </c>
      <c r="AB3705" s="4">
        <v>1</v>
      </c>
      <c r="AC3705" s="4">
        <v>1</v>
      </c>
      <c r="AD3705" s="4">
        <v>0</v>
      </c>
      <c r="AE3705" s="4">
        <v>0</v>
      </c>
      <c r="AF3705" s="4">
        <v>0</v>
      </c>
      <c r="AG3705" s="4">
        <v>0</v>
      </c>
      <c r="AH3705" s="4">
        <v>0</v>
      </c>
      <c r="AI3705" s="4">
        <v>0</v>
      </c>
      <c r="AJ3705" s="4">
        <v>0</v>
      </c>
      <c r="AK3705" s="4">
        <v>0</v>
      </c>
      <c r="AL3705" s="4">
        <v>0</v>
      </c>
      <c r="AM3705" s="4">
        <v>0</v>
      </c>
      <c r="AN3705" s="4">
        <v>0</v>
      </c>
      <c r="AO3705" s="4">
        <v>0</v>
      </c>
      <c r="AP3705" s="4">
        <v>0</v>
      </c>
      <c r="AQ3705" s="4">
        <v>0</v>
      </c>
      <c r="AR3705" s="3" t="s">
        <v>62</v>
      </c>
      <c r="AS3705" s="3" t="s">
        <v>62</v>
      </c>
      <c r="AT3705" s="3" t="s">
        <v>62</v>
      </c>
      <c r="AV3705" s="6" t="str">
        <f>HYPERLINK("http://mcgill.on.worldcat.org/oclc/70367842","Catalog Record")</f>
        <v>Catalog Record</v>
      </c>
      <c r="AW3705" s="6" t="str">
        <f>HYPERLINK("http://www.worldcat.org/oclc/70367842","WorldCat Record")</f>
        <v>WorldCat Record</v>
      </c>
      <c r="AX3705" s="3" t="s">
        <v>35803</v>
      </c>
      <c r="AY3705" s="3" t="s">
        <v>35804</v>
      </c>
      <c r="AZ3705" s="3" t="s">
        <v>35805</v>
      </c>
      <c r="BA3705" s="3" t="s">
        <v>35805</v>
      </c>
      <c r="BB3705" s="3" t="s">
        <v>35806</v>
      </c>
      <c r="BC3705" s="3" t="s">
        <v>102</v>
      </c>
      <c r="BD3705" s="3" t="s">
        <v>68</v>
      </c>
      <c r="BF3705" s="3" t="s">
        <v>35806</v>
      </c>
      <c r="BG3705" s="3" t="s">
        <v>35807</v>
      </c>
    </row>
    <row r="3706" spans="1:59" ht="58" x14ac:dyDescent="0.35">
      <c r="A3706" s="2" t="s">
        <v>59</v>
      </c>
      <c r="B3706" s="2" t="s">
        <v>60</v>
      </c>
      <c r="C3706" s="2" t="s">
        <v>35808</v>
      </c>
      <c r="D3706" s="2" t="s">
        <v>35809</v>
      </c>
      <c r="E3706" s="2" t="s">
        <v>35810</v>
      </c>
      <c r="G3706" s="3" t="s">
        <v>62</v>
      </c>
      <c r="I3706" s="3" t="s">
        <v>61</v>
      </c>
      <c r="J3706" s="3" t="s">
        <v>62</v>
      </c>
      <c r="K3706" s="3" t="s">
        <v>63</v>
      </c>
      <c r="L3706" s="2" t="s">
        <v>35811</v>
      </c>
      <c r="M3706" s="2" t="s">
        <v>35812</v>
      </c>
      <c r="N3706" s="3" t="s">
        <v>866</v>
      </c>
      <c r="P3706" s="3" t="s">
        <v>64</v>
      </c>
      <c r="Q3706" s="2" t="s">
        <v>35813</v>
      </c>
      <c r="R3706" s="3" t="s">
        <v>34126</v>
      </c>
      <c r="S3706" s="4">
        <v>14</v>
      </c>
      <c r="T3706" s="4">
        <v>23</v>
      </c>
      <c r="U3706" s="5" t="s">
        <v>14505</v>
      </c>
      <c r="V3706" s="5" t="s">
        <v>11207</v>
      </c>
      <c r="W3706" s="5" t="s">
        <v>67</v>
      </c>
      <c r="X3706" s="5" t="s">
        <v>67</v>
      </c>
      <c r="Y3706" s="4">
        <v>17</v>
      </c>
      <c r="Z3706" s="4">
        <v>6</v>
      </c>
      <c r="AA3706" s="4">
        <v>28</v>
      </c>
      <c r="AB3706" s="4">
        <v>1</v>
      </c>
      <c r="AC3706" s="4">
        <v>5</v>
      </c>
      <c r="AD3706" s="4">
        <v>7</v>
      </c>
      <c r="AE3706" s="4">
        <v>89</v>
      </c>
      <c r="AF3706" s="4">
        <v>0</v>
      </c>
      <c r="AG3706" s="4">
        <v>3</v>
      </c>
      <c r="AH3706" s="4">
        <v>6</v>
      </c>
      <c r="AI3706" s="4">
        <v>75</v>
      </c>
      <c r="AJ3706" s="4">
        <v>2</v>
      </c>
      <c r="AK3706" s="4">
        <v>13</v>
      </c>
      <c r="AL3706" s="4">
        <v>3</v>
      </c>
      <c r="AM3706" s="4">
        <v>43</v>
      </c>
      <c r="AN3706" s="4">
        <v>0</v>
      </c>
      <c r="AO3706" s="4">
        <v>0</v>
      </c>
      <c r="AP3706" s="4">
        <v>3</v>
      </c>
      <c r="AQ3706" s="4">
        <v>17</v>
      </c>
      <c r="AR3706" s="3" t="s">
        <v>62</v>
      </c>
      <c r="AS3706" s="3" t="s">
        <v>62</v>
      </c>
      <c r="AT3706" s="3" t="s">
        <v>62</v>
      </c>
      <c r="AV3706" s="6" t="str">
        <f>HYPERLINK("http://mcgill.on.worldcat.org/oclc/187318123","Catalog Record")</f>
        <v>Catalog Record</v>
      </c>
      <c r="AW3706" s="6" t="str">
        <f>HYPERLINK("http://www.worldcat.org/oclc/187318123","WorldCat Record")</f>
        <v>WorldCat Record</v>
      </c>
      <c r="AX3706" s="3" t="s">
        <v>35814</v>
      </c>
      <c r="AY3706" s="3" t="s">
        <v>35815</v>
      </c>
      <c r="AZ3706" s="3" t="s">
        <v>35816</v>
      </c>
      <c r="BA3706" s="3" t="s">
        <v>35816</v>
      </c>
      <c r="BB3706" s="3" t="s">
        <v>35817</v>
      </c>
      <c r="BC3706" s="3" t="s">
        <v>102</v>
      </c>
      <c r="BD3706" s="3" t="s">
        <v>68</v>
      </c>
      <c r="BF3706" s="3" t="s">
        <v>35817</v>
      </c>
      <c r="BG3706" s="3" t="s">
        <v>35818</v>
      </c>
    </row>
    <row r="3707" spans="1:59" ht="58" x14ac:dyDescent="0.35">
      <c r="A3707" s="2" t="s">
        <v>59</v>
      </c>
      <c r="B3707" s="2" t="s">
        <v>60</v>
      </c>
      <c r="C3707" s="2" t="s">
        <v>35819</v>
      </c>
      <c r="D3707" s="2" t="s">
        <v>35820</v>
      </c>
      <c r="E3707" s="2" t="s">
        <v>35821</v>
      </c>
      <c r="F3707" s="3" t="s">
        <v>1413</v>
      </c>
      <c r="G3707" s="3" t="s">
        <v>61</v>
      </c>
      <c r="I3707" s="3" t="s">
        <v>62</v>
      </c>
      <c r="J3707" s="3" t="s">
        <v>62</v>
      </c>
      <c r="K3707" s="3" t="s">
        <v>63</v>
      </c>
      <c r="L3707" s="2" t="s">
        <v>35822</v>
      </c>
      <c r="M3707" s="2" t="s">
        <v>35823</v>
      </c>
      <c r="N3707" s="3" t="s">
        <v>824</v>
      </c>
      <c r="P3707" s="3" t="s">
        <v>64</v>
      </c>
      <c r="R3707" s="3" t="s">
        <v>34126</v>
      </c>
      <c r="S3707" s="4">
        <v>0</v>
      </c>
      <c r="T3707" s="4">
        <v>11</v>
      </c>
      <c r="V3707" s="5" t="s">
        <v>32069</v>
      </c>
      <c r="W3707" s="5" t="s">
        <v>67</v>
      </c>
      <c r="X3707" s="5" t="s">
        <v>67</v>
      </c>
      <c r="Y3707" s="4">
        <v>1145</v>
      </c>
      <c r="Z3707" s="4">
        <v>57</v>
      </c>
      <c r="AA3707" s="4">
        <v>58</v>
      </c>
      <c r="AB3707" s="4">
        <v>2</v>
      </c>
      <c r="AC3707" s="4">
        <v>3</v>
      </c>
      <c r="AD3707" s="4">
        <v>139</v>
      </c>
      <c r="AE3707" s="4">
        <v>140</v>
      </c>
      <c r="AF3707" s="4">
        <v>0</v>
      </c>
      <c r="AG3707" s="4">
        <v>1</v>
      </c>
      <c r="AH3707" s="4">
        <v>112</v>
      </c>
      <c r="AI3707" s="4">
        <v>112</v>
      </c>
      <c r="AJ3707" s="4">
        <v>20</v>
      </c>
      <c r="AK3707" s="4">
        <v>21</v>
      </c>
      <c r="AL3707" s="4">
        <v>59</v>
      </c>
      <c r="AM3707" s="4">
        <v>59</v>
      </c>
      <c r="AN3707" s="4">
        <v>0</v>
      </c>
      <c r="AO3707" s="4">
        <v>0</v>
      </c>
      <c r="AP3707" s="4">
        <v>35</v>
      </c>
      <c r="AQ3707" s="4">
        <v>36</v>
      </c>
      <c r="AR3707" s="3" t="s">
        <v>62</v>
      </c>
      <c r="AS3707" s="3" t="s">
        <v>62</v>
      </c>
      <c r="AT3707" s="3" t="s">
        <v>61</v>
      </c>
      <c r="AU3707" s="6" t="str">
        <f>HYPERLINK("http://catalog.hathitrust.org/Record/000695024","HathiTrust Record")</f>
        <v>HathiTrust Record</v>
      </c>
      <c r="AV3707" s="6" t="str">
        <f>HYPERLINK("http://mcgill.on.worldcat.org/oclc/271888","Catalog Record")</f>
        <v>Catalog Record</v>
      </c>
      <c r="AW3707" s="6" t="str">
        <f>HYPERLINK("http://www.worldcat.org/oclc/271888","WorldCat Record")</f>
        <v>WorldCat Record</v>
      </c>
      <c r="AX3707" s="3" t="s">
        <v>35824</v>
      </c>
      <c r="AY3707" s="3" t="s">
        <v>35825</v>
      </c>
      <c r="AZ3707" s="3" t="s">
        <v>35826</v>
      </c>
      <c r="BA3707" s="3" t="s">
        <v>35826</v>
      </c>
      <c r="BB3707" s="3" t="s">
        <v>35827</v>
      </c>
      <c r="BC3707" s="3" t="s">
        <v>102</v>
      </c>
      <c r="BD3707" s="3" t="s">
        <v>68</v>
      </c>
      <c r="BE3707" s="3" t="s">
        <v>35828</v>
      </c>
      <c r="BF3707" s="3" t="s">
        <v>35827</v>
      </c>
      <c r="BG3707" s="3" t="s">
        <v>35829</v>
      </c>
    </row>
    <row r="3708" spans="1:59" ht="58" x14ac:dyDescent="0.35">
      <c r="A3708" s="2" t="s">
        <v>59</v>
      </c>
      <c r="B3708" s="2" t="s">
        <v>60</v>
      </c>
      <c r="C3708" s="2" t="s">
        <v>35819</v>
      </c>
      <c r="D3708" s="2" t="s">
        <v>35820</v>
      </c>
      <c r="E3708" s="2" t="s">
        <v>35821</v>
      </c>
      <c r="F3708" s="3" t="s">
        <v>1396</v>
      </c>
      <c r="G3708" s="3" t="s">
        <v>61</v>
      </c>
      <c r="I3708" s="3" t="s">
        <v>62</v>
      </c>
      <c r="J3708" s="3" t="s">
        <v>62</v>
      </c>
      <c r="K3708" s="3" t="s">
        <v>63</v>
      </c>
      <c r="L3708" s="2" t="s">
        <v>35822</v>
      </c>
      <c r="M3708" s="2" t="s">
        <v>35823</v>
      </c>
      <c r="N3708" s="3" t="s">
        <v>824</v>
      </c>
      <c r="P3708" s="3" t="s">
        <v>64</v>
      </c>
      <c r="R3708" s="3" t="s">
        <v>34126</v>
      </c>
      <c r="S3708" s="4">
        <v>4</v>
      </c>
      <c r="T3708" s="4">
        <v>11</v>
      </c>
      <c r="U3708" s="5" t="s">
        <v>35830</v>
      </c>
      <c r="V3708" s="5" t="s">
        <v>32069</v>
      </c>
      <c r="W3708" s="5" t="s">
        <v>67</v>
      </c>
      <c r="X3708" s="5" t="s">
        <v>67</v>
      </c>
      <c r="Y3708" s="4">
        <v>1145</v>
      </c>
      <c r="Z3708" s="4">
        <v>57</v>
      </c>
      <c r="AA3708" s="4">
        <v>58</v>
      </c>
      <c r="AB3708" s="4">
        <v>2</v>
      </c>
      <c r="AC3708" s="4">
        <v>3</v>
      </c>
      <c r="AD3708" s="4">
        <v>139</v>
      </c>
      <c r="AE3708" s="4">
        <v>140</v>
      </c>
      <c r="AF3708" s="4">
        <v>0</v>
      </c>
      <c r="AG3708" s="4">
        <v>1</v>
      </c>
      <c r="AH3708" s="4">
        <v>112</v>
      </c>
      <c r="AI3708" s="4">
        <v>112</v>
      </c>
      <c r="AJ3708" s="4">
        <v>20</v>
      </c>
      <c r="AK3708" s="4">
        <v>21</v>
      </c>
      <c r="AL3708" s="4">
        <v>59</v>
      </c>
      <c r="AM3708" s="4">
        <v>59</v>
      </c>
      <c r="AN3708" s="4">
        <v>0</v>
      </c>
      <c r="AO3708" s="4">
        <v>0</v>
      </c>
      <c r="AP3708" s="4">
        <v>35</v>
      </c>
      <c r="AQ3708" s="4">
        <v>36</v>
      </c>
      <c r="AR3708" s="3" t="s">
        <v>62</v>
      </c>
      <c r="AS3708" s="3" t="s">
        <v>62</v>
      </c>
      <c r="AT3708" s="3" t="s">
        <v>61</v>
      </c>
      <c r="AU3708" s="6" t="str">
        <f>HYPERLINK("http://catalog.hathitrust.org/Record/000695024","HathiTrust Record")</f>
        <v>HathiTrust Record</v>
      </c>
      <c r="AV3708" s="6" t="str">
        <f>HYPERLINK("http://mcgill.on.worldcat.org/oclc/271888","Catalog Record")</f>
        <v>Catalog Record</v>
      </c>
      <c r="AW3708" s="6" t="str">
        <f>HYPERLINK("http://www.worldcat.org/oclc/271888","WorldCat Record")</f>
        <v>WorldCat Record</v>
      </c>
      <c r="AX3708" s="3" t="s">
        <v>35824</v>
      </c>
      <c r="AY3708" s="3" t="s">
        <v>35825</v>
      </c>
      <c r="AZ3708" s="3" t="s">
        <v>35826</v>
      </c>
      <c r="BA3708" s="3" t="s">
        <v>35826</v>
      </c>
      <c r="BB3708" s="3" t="s">
        <v>35831</v>
      </c>
      <c r="BC3708" s="3" t="s">
        <v>102</v>
      </c>
      <c r="BD3708" s="3" t="s">
        <v>68</v>
      </c>
      <c r="BE3708" s="3" t="s">
        <v>35828</v>
      </c>
      <c r="BF3708" s="3" t="s">
        <v>35831</v>
      </c>
      <c r="BG3708" s="3" t="s">
        <v>35832</v>
      </c>
    </row>
    <row r="3709" spans="1:59" ht="58" x14ac:dyDescent="0.35">
      <c r="A3709" s="2" t="s">
        <v>59</v>
      </c>
      <c r="B3709" s="2" t="s">
        <v>60</v>
      </c>
      <c r="C3709" s="2" t="s">
        <v>35819</v>
      </c>
      <c r="D3709" s="2" t="s">
        <v>35820</v>
      </c>
      <c r="E3709" s="2" t="s">
        <v>35821</v>
      </c>
      <c r="F3709" s="3" t="s">
        <v>1428</v>
      </c>
      <c r="G3709" s="3" t="s">
        <v>61</v>
      </c>
      <c r="I3709" s="3" t="s">
        <v>62</v>
      </c>
      <c r="J3709" s="3" t="s">
        <v>62</v>
      </c>
      <c r="K3709" s="3" t="s">
        <v>63</v>
      </c>
      <c r="L3709" s="2" t="s">
        <v>35822</v>
      </c>
      <c r="M3709" s="2" t="s">
        <v>35823</v>
      </c>
      <c r="N3709" s="3" t="s">
        <v>824</v>
      </c>
      <c r="P3709" s="3" t="s">
        <v>64</v>
      </c>
      <c r="R3709" s="3" t="s">
        <v>34126</v>
      </c>
      <c r="S3709" s="4">
        <v>0</v>
      </c>
      <c r="T3709" s="4">
        <v>11</v>
      </c>
      <c r="V3709" s="5" t="s">
        <v>32069</v>
      </c>
      <c r="W3709" s="5" t="s">
        <v>67</v>
      </c>
      <c r="X3709" s="5" t="s">
        <v>67</v>
      </c>
      <c r="Y3709" s="4">
        <v>1145</v>
      </c>
      <c r="Z3709" s="4">
        <v>57</v>
      </c>
      <c r="AA3709" s="4">
        <v>58</v>
      </c>
      <c r="AB3709" s="4">
        <v>2</v>
      </c>
      <c r="AC3709" s="4">
        <v>3</v>
      </c>
      <c r="AD3709" s="4">
        <v>139</v>
      </c>
      <c r="AE3709" s="4">
        <v>140</v>
      </c>
      <c r="AF3709" s="4">
        <v>0</v>
      </c>
      <c r="AG3709" s="4">
        <v>1</v>
      </c>
      <c r="AH3709" s="4">
        <v>112</v>
      </c>
      <c r="AI3709" s="4">
        <v>112</v>
      </c>
      <c r="AJ3709" s="4">
        <v>20</v>
      </c>
      <c r="AK3709" s="4">
        <v>21</v>
      </c>
      <c r="AL3709" s="4">
        <v>59</v>
      </c>
      <c r="AM3709" s="4">
        <v>59</v>
      </c>
      <c r="AN3709" s="4">
        <v>0</v>
      </c>
      <c r="AO3709" s="4">
        <v>0</v>
      </c>
      <c r="AP3709" s="4">
        <v>35</v>
      </c>
      <c r="AQ3709" s="4">
        <v>36</v>
      </c>
      <c r="AR3709" s="3" t="s">
        <v>62</v>
      </c>
      <c r="AS3709" s="3" t="s">
        <v>62</v>
      </c>
      <c r="AT3709" s="3" t="s">
        <v>61</v>
      </c>
      <c r="AU3709" s="6" t="str">
        <f>HYPERLINK("http://catalog.hathitrust.org/Record/000695024","HathiTrust Record")</f>
        <v>HathiTrust Record</v>
      </c>
      <c r="AV3709" s="6" t="str">
        <f>HYPERLINK("http://mcgill.on.worldcat.org/oclc/271888","Catalog Record")</f>
        <v>Catalog Record</v>
      </c>
      <c r="AW3709" s="6" t="str">
        <f>HYPERLINK("http://www.worldcat.org/oclc/271888","WorldCat Record")</f>
        <v>WorldCat Record</v>
      </c>
      <c r="AX3709" s="3" t="s">
        <v>35824</v>
      </c>
      <c r="AY3709" s="3" t="s">
        <v>35825</v>
      </c>
      <c r="AZ3709" s="3" t="s">
        <v>35826</v>
      </c>
      <c r="BA3709" s="3" t="s">
        <v>35826</v>
      </c>
      <c r="BB3709" s="3" t="s">
        <v>35833</v>
      </c>
      <c r="BC3709" s="3" t="s">
        <v>102</v>
      </c>
      <c r="BD3709" s="3" t="s">
        <v>68</v>
      </c>
      <c r="BE3709" s="3" t="s">
        <v>35828</v>
      </c>
      <c r="BF3709" s="3" t="s">
        <v>35833</v>
      </c>
      <c r="BG3709" s="3" t="s">
        <v>35834</v>
      </c>
    </row>
    <row r="3710" spans="1:59" ht="58" x14ac:dyDescent="0.35">
      <c r="A3710" s="2" t="s">
        <v>59</v>
      </c>
      <c r="B3710" s="2" t="s">
        <v>60</v>
      </c>
      <c r="C3710" s="2" t="s">
        <v>35835</v>
      </c>
      <c r="D3710" s="2" t="s">
        <v>35836</v>
      </c>
      <c r="E3710" s="2" t="s">
        <v>35837</v>
      </c>
      <c r="G3710" s="3" t="s">
        <v>62</v>
      </c>
      <c r="I3710" s="3" t="s">
        <v>62</v>
      </c>
      <c r="J3710" s="3" t="s">
        <v>62</v>
      </c>
      <c r="K3710" s="3" t="s">
        <v>63</v>
      </c>
      <c r="M3710" s="2" t="s">
        <v>35838</v>
      </c>
      <c r="N3710" s="3" t="s">
        <v>1905</v>
      </c>
      <c r="P3710" s="3" t="s">
        <v>64</v>
      </c>
      <c r="R3710" s="3" t="s">
        <v>34126</v>
      </c>
      <c r="S3710" s="4">
        <v>10</v>
      </c>
      <c r="T3710" s="4">
        <v>10</v>
      </c>
      <c r="U3710" s="5" t="s">
        <v>35839</v>
      </c>
      <c r="V3710" s="5" t="s">
        <v>35839</v>
      </c>
      <c r="W3710" s="5" t="s">
        <v>67</v>
      </c>
      <c r="X3710" s="5" t="s">
        <v>67</v>
      </c>
      <c r="Y3710" s="4">
        <v>136</v>
      </c>
      <c r="Z3710" s="4">
        <v>4</v>
      </c>
      <c r="AA3710" s="4">
        <v>4</v>
      </c>
      <c r="AB3710" s="4">
        <v>1</v>
      </c>
      <c r="AC3710" s="4">
        <v>1</v>
      </c>
      <c r="AD3710" s="4">
        <v>43</v>
      </c>
      <c r="AE3710" s="4">
        <v>43</v>
      </c>
      <c r="AF3710" s="4">
        <v>0</v>
      </c>
      <c r="AG3710" s="4">
        <v>0</v>
      </c>
      <c r="AH3710" s="4">
        <v>42</v>
      </c>
      <c r="AI3710" s="4">
        <v>42</v>
      </c>
      <c r="AJ3710" s="4">
        <v>2</v>
      </c>
      <c r="AK3710" s="4">
        <v>2</v>
      </c>
      <c r="AL3710" s="4">
        <v>24</v>
      </c>
      <c r="AM3710" s="4">
        <v>24</v>
      </c>
      <c r="AN3710" s="4">
        <v>0</v>
      </c>
      <c r="AO3710" s="4">
        <v>0</v>
      </c>
      <c r="AP3710" s="4">
        <v>1</v>
      </c>
      <c r="AQ3710" s="4">
        <v>1</v>
      </c>
      <c r="AR3710" s="3" t="s">
        <v>62</v>
      </c>
      <c r="AS3710" s="3" t="s">
        <v>62</v>
      </c>
      <c r="AT3710" s="3" t="s">
        <v>61</v>
      </c>
      <c r="AU3710" s="6" t="str">
        <f>HYPERLINK("http://catalog.hathitrust.org/Record/000949617","HathiTrust Record")</f>
        <v>HathiTrust Record</v>
      </c>
      <c r="AV3710" s="6" t="str">
        <f>HYPERLINK("http://mcgill.on.worldcat.org/oclc/17614582","Catalog Record")</f>
        <v>Catalog Record</v>
      </c>
      <c r="AW3710" s="6" t="str">
        <f>HYPERLINK("http://www.worldcat.org/oclc/17614582","WorldCat Record")</f>
        <v>WorldCat Record</v>
      </c>
      <c r="AX3710" s="3" t="s">
        <v>35840</v>
      </c>
      <c r="AY3710" s="3" t="s">
        <v>35841</v>
      </c>
      <c r="AZ3710" s="3" t="s">
        <v>35842</v>
      </c>
      <c r="BA3710" s="3" t="s">
        <v>35842</v>
      </c>
      <c r="BB3710" s="3" t="s">
        <v>35843</v>
      </c>
      <c r="BC3710" s="3" t="s">
        <v>102</v>
      </c>
      <c r="BD3710" s="3" t="s">
        <v>68</v>
      </c>
      <c r="BE3710" s="3" t="s">
        <v>35844</v>
      </c>
      <c r="BF3710" s="3" t="s">
        <v>35843</v>
      </c>
      <c r="BG3710" s="3" t="s">
        <v>35845</v>
      </c>
    </row>
    <row r="3711" spans="1:59" ht="87" x14ac:dyDescent="0.35">
      <c r="A3711" s="2" t="s">
        <v>89</v>
      </c>
      <c r="B3711" s="2" t="s">
        <v>90</v>
      </c>
      <c r="C3711" s="2" t="s">
        <v>35846</v>
      </c>
      <c r="D3711" s="2" t="s">
        <v>35847</v>
      </c>
      <c r="E3711" s="2" t="s">
        <v>35848</v>
      </c>
      <c r="G3711" s="3" t="s">
        <v>62</v>
      </c>
      <c r="I3711" s="3" t="s">
        <v>62</v>
      </c>
      <c r="J3711" s="3" t="s">
        <v>62</v>
      </c>
      <c r="K3711" s="3" t="s">
        <v>63</v>
      </c>
      <c r="L3711" s="2" t="s">
        <v>35849</v>
      </c>
      <c r="M3711" s="2" t="s">
        <v>35850</v>
      </c>
      <c r="N3711" s="3" t="s">
        <v>1455</v>
      </c>
      <c r="P3711" s="3" t="s">
        <v>64</v>
      </c>
      <c r="Q3711" s="2" t="s">
        <v>35851</v>
      </c>
      <c r="R3711" s="3" t="s">
        <v>34126</v>
      </c>
      <c r="S3711" s="4">
        <v>1</v>
      </c>
      <c r="T3711" s="4">
        <v>1</v>
      </c>
      <c r="U3711" s="5" t="s">
        <v>35852</v>
      </c>
      <c r="V3711" s="5" t="s">
        <v>35852</v>
      </c>
      <c r="W3711" s="5" t="s">
        <v>67</v>
      </c>
      <c r="X3711" s="5" t="s">
        <v>67</v>
      </c>
      <c r="Y3711" s="4">
        <v>73</v>
      </c>
      <c r="Z3711" s="4">
        <v>6</v>
      </c>
      <c r="AA3711" s="4">
        <v>6</v>
      </c>
      <c r="AB3711" s="4">
        <v>1</v>
      </c>
      <c r="AC3711" s="4">
        <v>1</v>
      </c>
      <c r="AD3711" s="4">
        <v>36</v>
      </c>
      <c r="AE3711" s="4">
        <v>36</v>
      </c>
      <c r="AF3711" s="4">
        <v>0</v>
      </c>
      <c r="AG3711" s="4">
        <v>0</v>
      </c>
      <c r="AH3711" s="4">
        <v>34</v>
      </c>
      <c r="AI3711" s="4">
        <v>34</v>
      </c>
      <c r="AJ3711" s="4">
        <v>4</v>
      </c>
      <c r="AK3711" s="4">
        <v>4</v>
      </c>
      <c r="AL3711" s="4">
        <v>22</v>
      </c>
      <c r="AM3711" s="4">
        <v>22</v>
      </c>
      <c r="AN3711" s="4">
        <v>0</v>
      </c>
      <c r="AO3711" s="4">
        <v>0</v>
      </c>
      <c r="AP3711" s="4">
        <v>4</v>
      </c>
      <c r="AQ3711" s="4">
        <v>4</v>
      </c>
      <c r="AR3711" s="3" t="s">
        <v>62</v>
      </c>
      <c r="AS3711" s="3" t="s">
        <v>62</v>
      </c>
      <c r="AT3711" s="3" t="s">
        <v>62</v>
      </c>
      <c r="AV3711" s="6" t="str">
        <f>HYPERLINK("http://mcgill.on.worldcat.org/oclc/900243010","Catalog Record")</f>
        <v>Catalog Record</v>
      </c>
      <c r="AW3711" s="6" t="str">
        <f>HYPERLINK("http://www.worldcat.org/oclc/900243010","WorldCat Record")</f>
        <v>WorldCat Record</v>
      </c>
      <c r="AX3711" s="3" t="s">
        <v>35853</v>
      </c>
      <c r="AY3711" s="3" t="s">
        <v>35854</v>
      </c>
      <c r="AZ3711" s="3" t="s">
        <v>35855</v>
      </c>
      <c r="BA3711" s="3" t="s">
        <v>35855</v>
      </c>
      <c r="BB3711" s="3" t="s">
        <v>35856</v>
      </c>
      <c r="BC3711" s="3" t="s">
        <v>102</v>
      </c>
      <c r="BD3711" s="3" t="s">
        <v>68</v>
      </c>
      <c r="BE3711" s="3" t="s">
        <v>35857</v>
      </c>
      <c r="BF3711" s="3" t="s">
        <v>35856</v>
      </c>
      <c r="BG3711" s="3" t="s">
        <v>35858</v>
      </c>
    </row>
    <row r="3712" spans="1:59" ht="72.5" x14ac:dyDescent="0.35">
      <c r="A3712" s="2" t="s">
        <v>89</v>
      </c>
      <c r="B3712" s="2" t="s">
        <v>90</v>
      </c>
      <c r="C3712" s="2" t="s">
        <v>35859</v>
      </c>
      <c r="D3712" s="2" t="s">
        <v>35860</v>
      </c>
      <c r="E3712" s="2" t="s">
        <v>35861</v>
      </c>
      <c r="G3712" s="3" t="s">
        <v>62</v>
      </c>
      <c r="I3712" s="3" t="s">
        <v>62</v>
      </c>
      <c r="J3712" s="3" t="s">
        <v>62</v>
      </c>
      <c r="K3712" s="3" t="s">
        <v>63</v>
      </c>
      <c r="L3712" s="2" t="s">
        <v>35862</v>
      </c>
      <c r="M3712" s="2" t="s">
        <v>35863</v>
      </c>
      <c r="N3712" s="3" t="s">
        <v>625</v>
      </c>
      <c r="O3712" s="2" t="s">
        <v>2163</v>
      </c>
      <c r="P3712" s="3" t="s">
        <v>64</v>
      </c>
      <c r="R3712" s="3" t="s">
        <v>34126</v>
      </c>
      <c r="S3712" s="4">
        <v>5</v>
      </c>
      <c r="T3712" s="4">
        <v>5</v>
      </c>
      <c r="U3712" s="5" t="s">
        <v>8351</v>
      </c>
      <c r="V3712" s="5" t="s">
        <v>8351</v>
      </c>
      <c r="W3712" s="5" t="s">
        <v>67</v>
      </c>
      <c r="X3712" s="5" t="s">
        <v>67</v>
      </c>
      <c r="Y3712" s="4">
        <v>663</v>
      </c>
      <c r="Z3712" s="4">
        <v>22</v>
      </c>
      <c r="AA3712" s="4">
        <v>22</v>
      </c>
      <c r="AB3712" s="4">
        <v>2</v>
      </c>
      <c r="AC3712" s="4">
        <v>2</v>
      </c>
      <c r="AD3712" s="4">
        <v>56</v>
      </c>
      <c r="AE3712" s="4">
        <v>56</v>
      </c>
      <c r="AF3712" s="4">
        <v>0</v>
      </c>
      <c r="AG3712" s="4">
        <v>0</v>
      </c>
      <c r="AH3712" s="4">
        <v>52</v>
      </c>
      <c r="AI3712" s="4">
        <v>52</v>
      </c>
      <c r="AJ3712" s="4">
        <v>4</v>
      </c>
      <c r="AK3712" s="4">
        <v>4</v>
      </c>
      <c r="AL3712" s="4">
        <v>27</v>
      </c>
      <c r="AM3712" s="4">
        <v>27</v>
      </c>
      <c r="AN3712" s="4">
        <v>0</v>
      </c>
      <c r="AO3712" s="4">
        <v>0</v>
      </c>
      <c r="AP3712" s="4">
        <v>5</v>
      </c>
      <c r="AQ3712" s="4">
        <v>5</v>
      </c>
      <c r="AR3712" s="3" t="s">
        <v>62</v>
      </c>
      <c r="AS3712" s="3" t="s">
        <v>62</v>
      </c>
      <c r="AT3712" s="3" t="s">
        <v>61</v>
      </c>
      <c r="AU3712" s="6" t="str">
        <f>HYPERLINK("http://catalog.hathitrust.org/Record/004338696","HathiTrust Record")</f>
        <v>HathiTrust Record</v>
      </c>
      <c r="AV3712" s="6" t="str">
        <f>HYPERLINK("http://mcgill.on.worldcat.org/oclc/51178412","Catalog Record")</f>
        <v>Catalog Record</v>
      </c>
      <c r="AW3712" s="6" t="str">
        <f>HYPERLINK("http://www.worldcat.org/oclc/51178412","WorldCat Record")</f>
        <v>WorldCat Record</v>
      </c>
      <c r="AX3712" s="3" t="s">
        <v>35864</v>
      </c>
      <c r="AY3712" s="3" t="s">
        <v>35865</v>
      </c>
      <c r="AZ3712" s="3" t="s">
        <v>35866</v>
      </c>
      <c r="BA3712" s="3" t="s">
        <v>35866</v>
      </c>
      <c r="BB3712" s="3" t="s">
        <v>35867</v>
      </c>
      <c r="BC3712" s="3" t="s">
        <v>102</v>
      </c>
      <c r="BD3712" s="3" t="s">
        <v>68</v>
      </c>
      <c r="BE3712" s="3" t="s">
        <v>35868</v>
      </c>
      <c r="BF3712" s="3" t="s">
        <v>35867</v>
      </c>
      <c r="BG3712" s="3" t="s">
        <v>35869</v>
      </c>
    </row>
    <row r="3713" spans="1:59" ht="58" x14ac:dyDescent="0.35">
      <c r="A3713" s="2" t="s">
        <v>59</v>
      </c>
      <c r="B3713" s="2" t="s">
        <v>60</v>
      </c>
      <c r="C3713" s="2" t="s">
        <v>35870</v>
      </c>
      <c r="D3713" s="2" t="s">
        <v>35871</v>
      </c>
      <c r="E3713" s="2" t="s">
        <v>35872</v>
      </c>
      <c r="G3713" s="3" t="s">
        <v>62</v>
      </c>
      <c r="I3713" s="3" t="s">
        <v>62</v>
      </c>
      <c r="J3713" s="3" t="s">
        <v>62</v>
      </c>
      <c r="K3713" s="3" t="s">
        <v>63</v>
      </c>
      <c r="L3713" s="2" t="s">
        <v>35873</v>
      </c>
      <c r="M3713" s="2" t="s">
        <v>35874</v>
      </c>
      <c r="N3713" s="3" t="s">
        <v>893</v>
      </c>
      <c r="P3713" s="3" t="s">
        <v>64</v>
      </c>
      <c r="R3713" s="3" t="s">
        <v>34126</v>
      </c>
      <c r="S3713" s="4">
        <v>2</v>
      </c>
      <c r="T3713" s="4">
        <v>2</v>
      </c>
      <c r="U3713" s="5" t="s">
        <v>35875</v>
      </c>
      <c r="V3713" s="5" t="s">
        <v>35875</v>
      </c>
      <c r="W3713" s="5" t="s">
        <v>67</v>
      </c>
      <c r="X3713" s="5" t="s">
        <v>67</v>
      </c>
      <c r="Y3713" s="4">
        <v>505</v>
      </c>
      <c r="Z3713" s="4">
        <v>24</v>
      </c>
      <c r="AA3713" s="4">
        <v>29</v>
      </c>
      <c r="AB3713" s="4">
        <v>1</v>
      </c>
      <c r="AC3713" s="4">
        <v>3</v>
      </c>
      <c r="AD3713" s="4">
        <v>99</v>
      </c>
      <c r="AE3713" s="4">
        <v>107</v>
      </c>
      <c r="AF3713" s="4">
        <v>0</v>
      </c>
      <c r="AG3713" s="4">
        <v>2</v>
      </c>
      <c r="AH3713" s="4">
        <v>87</v>
      </c>
      <c r="AI3713" s="4">
        <v>91</v>
      </c>
      <c r="AJ3713" s="4">
        <v>12</v>
      </c>
      <c r="AK3713" s="4">
        <v>16</v>
      </c>
      <c r="AL3713" s="4">
        <v>47</v>
      </c>
      <c r="AM3713" s="4">
        <v>49</v>
      </c>
      <c r="AN3713" s="4">
        <v>0</v>
      </c>
      <c r="AO3713" s="4">
        <v>0</v>
      </c>
      <c r="AP3713" s="4">
        <v>14</v>
      </c>
      <c r="AQ3713" s="4">
        <v>18</v>
      </c>
      <c r="AR3713" s="3" t="s">
        <v>62</v>
      </c>
      <c r="AS3713" s="3" t="s">
        <v>62</v>
      </c>
      <c r="AT3713" s="3" t="s">
        <v>61</v>
      </c>
      <c r="AU3713" s="6" t="str">
        <f>HYPERLINK("http://catalog.hathitrust.org/Record/000106448","HathiTrust Record")</f>
        <v>HathiTrust Record</v>
      </c>
      <c r="AV3713" s="6" t="str">
        <f>HYPERLINK("http://mcgill.on.worldcat.org/oclc/8132972","Catalog Record")</f>
        <v>Catalog Record</v>
      </c>
      <c r="AW3713" s="6" t="str">
        <f>HYPERLINK("http://www.worldcat.org/oclc/8132972","WorldCat Record")</f>
        <v>WorldCat Record</v>
      </c>
      <c r="AX3713" s="3" t="s">
        <v>35876</v>
      </c>
      <c r="AY3713" s="3" t="s">
        <v>35877</v>
      </c>
      <c r="AZ3713" s="3" t="s">
        <v>35878</v>
      </c>
      <c r="BA3713" s="3" t="s">
        <v>35878</v>
      </c>
      <c r="BB3713" s="3" t="s">
        <v>35879</v>
      </c>
      <c r="BC3713" s="3" t="s">
        <v>102</v>
      </c>
      <c r="BD3713" s="3" t="s">
        <v>68</v>
      </c>
      <c r="BE3713" s="3" t="s">
        <v>35880</v>
      </c>
      <c r="BF3713" s="3" t="s">
        <v>35879</v>
      </c>
      <c r="BG3713" s="3" t="s">
        <v>35881</v>
      </c>
    </row>
    <row r="3714" spans="1:59" ht="58" x14ac:dyDescent="0.35">
      <c r="A3714" s="2" t="s">
        <v>59</v>
      </c>
      <c r="B3714" s="2" t="s">
        <v>60</v>
      </c>
      <c r="C3714" s="2" t="s">
        <v>35882</v>
      </c>
      <c r="D3714" s="2" t="s">
        <v>35883</v>
      </c>
      <c r="E3714" s="2" t="s">
        <v>35884</v>
      </c>
      <c r="G3714" s="3" t="s">
        <v>62</v>
      </c>
      <c r="I3714" s="3" t="s">
        <v>62</v>
      </c>
      <c r="J3714" s="3" t="s">
        <v>62</v>
      </c>
      <c r="K3714" s="3" t="s">
        <v>63</v>
      </c>
      <c r="L3714" s="2" t="s">
        <v>35885</v>
      </c>
      <c r="M3714" s="2" t="s">
        <v>35886</v>
      </c>
      <c r="N3714" s="3" t="s">
        <v>509</v>
      </c>
      <c r="P3714" s="3" t="s">
        <v>64</v>
      </c>
      <c r="R3714" s="3" t="s">
        <v>34126</v>
      </c>
      <c r="S3714" s="4">
        <v>3</v>
      </c>
      <c r="T3714" s="4">
        <v>3</v>
      </c>
      <c r="U3714" s="5" t="s">
        <v>5743</v>
      </c>
      <c r="V3714" s="5" t="s">
        <v>5743</v>
      </c>
      <c r="W3714" s="5" t="s">
        <v>67</v>
      </c>
      <c r="X3714" s="5" t="s">
        <v>67</v>
      </c>
      <c r="Y3714" s="4">
        <v>675</v>
      </c>
      <c r="Z3714" s="4">
        <v>28</v>
      </c>
      <c r="AA3714" s="4">
        <v>36</v>
      </c>
      <c r="AB3714" s="4">
        <v>1</v>
      </c>
      <c r="AC3714" s="4">
        <v>2</v>
      </c>
      <c r="AD3714" s="4">
        <v>90</v>
      </c>
      <c r="AE3714" s="4">
        <v>104</v>
      </c>
      <c r="AF3714" s="4">
        <v>0</v>
      </c>
      <c r="AG3714" s="4">
        <v>0</v>
      </c>
      <c r="AH3714" s="4">
        <v>81</v>
      </c>
      <c r="AI3714" s="4">
        <v>89</v>
      </c>
      <c r="AJ3714" s="4">
        <v>10</v>
      </c>
      <c r="AK3714" s="4">
        <v>14</v>
      </c>
      <c r="AL3714" s="4">
        <v>47</v>
      </c>
      <c r="AM3714" s="4">
        <v>49</v>
      </c>
      <c r="AN3714" s="4">
        <v>5</v>
      </c>
      <c r="AO3714" s="4">
        <v>5</v>
      </c>
      <c r="AP3714" s="4">
        <v>14</v>
      </c>
      <c r="AQ3714" s="4">
        <v>19</v>
      </c>
      <c r="AR3714" s="3" t="s">
        <v>62</v>
      </c>
      <c r="AS3714" s="3" t="s">
        <v>62</v>
      </c>
      <c r="AT3714" s="3" t="s">
        <v>61</v>
      </c>
      <c r="AU3714" s="6" t="str">
        <f>HYPERLINK("http://catalog.hathitrust.org/Record/002889710","HathiTrust Record")</f>
        <v>HathiTrust Record</v>
      </c>
      <c r="AV3714" s="6" t="str">
        <f>HYPERLINK("http://mcgill.on.worldcat.org/oclc/30111267","Catalog Record")</f>
        <v>Catalog Record</v>
      </c>
      <c r="AW3714" s="6" t="str">
        <f>HYPERLINK("http://www.worldcat.org/oclc/30111267","WorldCat Record")</f>
        <v>WorldCat Record</v>
      </c>
      <c r="AX3714" s="3" t="s">
        <v>35887</v>
      </c>
      <c r="AY3714" s="3" t="s">
        <v>35888</v>
      </c>
      <c r="AZ3714" s="3" t="s">
        <v>35889</v>
      </c>
      <c r="BA3714" s="3" t="s">
        <v>35889</v>
      </c>
      <c r="BB3714" s="3" t="s">
        <v>35890</v>
      </c>
      <c r="BC3714" s="3" t="s">
        <v>102</v>
      </c>
      <c r="BD3714" s="3" t="s">
        <v>6923</v>
      </c>
      <c r="BE3714" s="3" t="s">
        <v>35891</v>
      </c>
      <c r="BF3714" s="3" t="s">
        <v>35890</v>
      </c>
      <c r="BG3714" s="3" t="s">
        <v>35892</v>
      </c>
    </row>
    <row r="3715" spans="1:59" ht="72.5" x14ac:dyDescent="0.35">
      <c r="A3715" s="2" t="s">
        <v>59</v>
      </c>
      <c r="B3715" s="2" t="s">
        <v>60</v>
      </c>
      <c r="C3715" s="2" t="s">
        <v>35893</v>
      </c>
      <c r="D3715" s="2" t="s">
        <v>35894</v>
      </c>
      <c r="E3715" s="2" t="s">
        <v>35895</v>
      </c>
      <c r="G3715" s="3" t="s">
        <v>62</v>
      </c>
      <c r="I3715" s="3" t="s">
        <v>62</v>
      </c>
      <c r="J3715" s="3" t="s">
        <v>62</v>
      </c>
      <c r="K3715" s="3" t="s">
        <v>63</v>
      </c>
      <c r="M3715" s="2" t="s">
        <v>35896</v>
      </c>
      <c r="N3715" s="3" t="s">
        <v>3062</v>
      </c>
      <c r="P3715" s="3" t="s">
        <v>64</v>
      </c>
      <c r="R3715" s="3" t="s">
        <v>34126</v>
      </c>
      <c r="S3715" s="4">
        <v>13</v>
      </c>
      <c r="T3715" s="4">
        <v>13</v>
      </c>
      <c r="U3715" s="5" t="s">
        <v>16259</v>
      </c>
      <c r="V3715" s="5" t="s">
        <v>16259</v>
      </c>
      <c r="W3715" s="5" t="s">
        <v>67</v>
      </c>
      <c r="X3715" s="5" t="s">
        <v>67</v>
      </c>
      <c r="Y3715" s="4">
        <v>642</v>
      </c>
      <c r="Z3715" s="4">
        <v>26</v>
      </c>
      <c r="AA3715" s="4">
        <v>26</v>
      </c>
      <c r="AB3715" s="4">
        <v>2</v>
      </c>
      <c r="AC3715" s="4">
        <v>2</v>
      </c>
      <c r="AD3715" s="4">
        <v>113</v>
      </c>
      <c r="AE3715" s="4">
        <v>113</v>
      </c>
      <c r="AF3715" s="4">
        <v>0</v>
      </c>
      <c r="AG3715" s="4">
        <v>0</v>
      </c>
      <c r="AH3715" s="4">
        <v>105</v>
      </c>
      <c r="AI3715" s="4">
        <v>105</v>
      </c>
      <c r="AJ3715" s="4">
        <v>13</v>
      </c>
      <c r="AK3715" s="4">
        <v>13</v>
      </c>
      <c r="AL3715" s="4">
        <v>56</v>
      </c>
      <c r="AM3715" s="4">
        <v>56</v>
      </c>
      <c r="AN3715" s="4">
        <v>0</v>
      </c>
      <c r="AO3715" s="4">
        <v>0</v>
      </c>
      <c r="AP3715" s="4">
        <v>16</v>
      </c>
      <c r="AQ3715" s="4">
        <v>16</v>
      </c>
      <c r="AR3715" s="3" t="s">
        <v>62</v>
      </c>
      <c r="AS3715" s="3" t="s">
        <v>62</v>
      </c>
      <c r="AT3715" s="3" t="s">
        <v>62</v>
      </c>
      <c r="AV3715" s="6" t="str">
        <f>HYPERLINK("http://mcgill.on.worldcat.org/oclc/23382455","Catalog Record")</f>
        <v>Catalog Record</v>
      </c>
      <c r="AW3715" s="6" t="str">
        <f>HYPERLINK("http://www.worldcat.org/oclc/23382455","WorldCat Record")</f>
        <v>WorldCat Record</v>
      </c>
      <c r="AX3715" s="3" t="s">
        <v>35897</v>
      </c>
      <c r="AY3715" s="3" t="s">
        <v>35898</v>
      </c>
      <c r="AZ3715" s="3" t="s">
        <v>35899</v>
      </c>
      <c r="BA3715" s="3" t="s">
        <v>35899</v>
      </c>
      <c r="BB3715" s="3" t="s">
        <v>35900</v>
      </c>
      <c r="BC3715" s="3" t="s">
        <v>102</v>
      </c>
      <c r="BD3715" s="3" t="s">
        <v>68</v>
      </c>
      <c r="BE3715" s="3" t="s">
        <v>35901</v>
      </c>
      <c r="BF3715" s="3" t="s">
        <v>35900</v>
      </c>
      <c r="BG3715" s="3" t="s">
        <v>35902</v>
      </c>
    </row>
    <row r="3716" spans="1:59" ht="87" x14ac:dyDescent="0.35">
      <c r="A3716" s="2" t="s">
        <v>59</v>
      </c>
      <c r="B3716" s="2" t="s">
        <v>60</v>
      </c>
      <c r="C3716" s="2" t="s">
        <v>35903</v>
      </c>
      <c r="D3716" s="2" t="s">
        <v>35904</v>
      </c>
      <c r="E3716" s="2" t="s">
        <v>35905</v>
      </c>
      <c r="G3716" s="3" t="s">
        <v>62</v>
      </c>
      <c r="I3716" s="3" t="s">
        <v>61</v>
      </c>
      <c r="J3716" s="3" t="s">
        <v>62</v>
      </c>
      <c r="K3716" s="3" t="s">
        <v>63</v>
      </c>
      <c r="L3716" s="2" t="s">
        <v>35906</v>
      </c>
      <c r="M3716" s="2" t="s">
        <v>35907</v>
      </c>
      <c r="N3716" s="3" t="s">
        <v>115</v>
      </c>
      <c r="P3716" s="3" t="s">
        <v>64</v>
      </c>
      <c r="Q3716" s="2" t="s">
        <v>35908</v>
      </c>
      <c r="R3716" s="3" t="s">
        <v>34126</v>
      </c>
      <c r="S3716" s="4">
        <v>11</v>
      </c>
      <c r="T3716" s="4">
        <v>35</v>
      </c>
      <c r="U3716" s="5" t="s">
        <v>35909</v>
      </c>
      <c r="V3716" s="5" t="s">
        <v>17100</v>
      </c>
      <c r="W3716" s="5" t="s">
        <v>67</v>
      </c>
      <c r="X3716" s="5" t="s">
        <v>67</v>
      </c>
      <c r="Y3716" s="4">
        <v>109</v>
      </c>
      <c r="Z3716" s="4">
        <v>61</v>
      </c>
      <c r="AA3716" s="4">
        <v>75</v>
      </c>
      <c r="AB3716" s="4">
        <v>4</v>
      </c>
      <c r="AC3716" s="4">
        <v>6</v>
      </c>
      <c r="AD3716" s="4">
        <v>50</v>
      </c>
      <c r="AE3716" s="4">
        <v>58</v>
      </c>
      <c r="AF3716" s="4">
        <v>0</v>
      </c>
      <c r="AG3716" s="4">
        <v>1</v>
      </c>
      <c r="AH3716" s="4">
        <v>28</v>
      </c>
      <c r="AI3716" s="4">
        <v>31</v>
      </c>
      <c r="AJ3716" s="4">
        <v>16</v>
      </c>
      <c r="AK3716" s="4">
        <v>21</v>
      </c>
      <c r="AL3716" s="4">
        <v>18</v>
      </c>
      <c r="AM3716" s="4">
        <v>18</v>
      </c>
      <c r="AN3716" s="4">
        <v>0</v>
      </c>
      <c r="AO3716" s="4">
        <v>0</v>
      </c>
      <c r="AP3716" s="4">
        <v>26</v>
      </c>
      <c r="AQ3716" s="4">
        <v>33</v>
      </c>
      <c r="AR3716" s="3" t="s">
        <v>61</v>
      </c>
      <c r="AS3716" s="3" t="s">
        <v>62</v>
      </c>
      <c r="AT3716" s="3" t="s">
        <v>62</v>
      </c>
      <c r="AV3716" s="6" t="str">
        <f>HYPERLINK("http://mcgill.on.worldcat.org/oclc/21674487","Catalog Record")</f>
        <v>Catalog Record</v>
      </c>
      <c r="AW3716" s="6" t="str">
        <f>HYPERLINK("http://www.worldcat.org/oclc/21674487","WorldCat Record")</f>
        <v>WorldCat Record</v>
      </c>
      <c r="AX3716" s="3" t="s">
        <v>35910</v>
      </c>
      <c r="AY3716" s="3" t="s">
        <v>35911</v>
      </c>
      <c r="AZ3716" s="3" t="s">
        <v>35912</v>
      </c>
      <c r="BA3716" s="3" t="s">
        <v>35912</v>
      </c>
      <c r="BB3716" s="3" t="s">
        <v>35913</v>
      </c>
      <c r="BC3716" s="3" t="s">
        <v>102</v>
      </c>
      <c r="BD3716" s="3" t="s">
        <v>68</v>
      </c>
      <c r="BE3716" s="3" t="s">
        <v>35914</v>
      </c>
      <c r="BF3716" s="3" t="s">
        <v>35913</v>
      </c>
      <c r="BG3716" s="3" t="s">
        <v>35915</v>
      </c>
    </row>
    <row r="3717" spans="1:59" ht="58" x14ac:dyDescent="0.35">
      <c r="A3717" s="2" t="s">
        <v>59</v>
      </c>
      <c r="B3717" s="2" t="s">
        <v>60</v>
      </c>
      <c r="C3717" s="2" t="s">
        <v>35916</v>
      </c>
      <c r="D3717" s="2" t="s">
        <v>35917</v>
      </c>
      <c r="E3717" s="2" t="s">
        <v>35918</v>
      </c>
      <c r="G3717" s="3" t="s">
        <v>62</v>
      </c>
      <c r="I3717" s="3" t="s">
        <v>62</v>
      </c>
      <c r="J3717" s="3" t="s">
        <v>62</v>
      </c>
      <c r="K3717" s="3" t="s">
        <v>63</v>
      </c>
      <c r="L3717" s="2" t="s">
        <v>35919</v>
      </c>
      <c r="M3717" s="2" t="s">
        <v>35920</v>
      </c>
      <c r="N3717" s="3" t="s">
        <v>115</v>
      </c>
      <c r="P3717" s="3" t="s">
        <v>64</v>
      </c>
      <c r="Q3717" s="2" t="s">
        <v>35921</v>
      </c>
      <c r="R3717" s="3" t="s">
        <v>34126</v>
      </c>
      <c r="S3717" s="4">
        <v>8</v>
      </c>
      <c r="T3717" s="4">
        <v>8</v>
      </c>
      <c r="U3717" s="5" t="s">
        <v>19289</v>
      </c>
      <c r="V3717" s="5" t="s">
        <v>19289</v>
      </c>
      <c r="W3717" s="5" t="s">
        <v>67</v>
      </c>
      <c r="X3717" s="5" t="s">
        <v>67</v>
      </c>
      <c r="Y3717" s="4">
        <v>325</v>
      </c>
      <c r="Z3717" s="4">
        <v>42</v>
      </c>
      <c r="AA3717" s="4">
        <v>53</v>
      </c>
      <c r="AB3717" s="4">
        <v>4</v>
      </c>
      <c r="AC3717" s="4">
        <v>8</v>
      </c>
      <c r="AD3717" s="4">
        <v>108</v>
      </c>
      <c r="AE3717" s="4">
        <v>118</v>
      </c>
      <c r="AF3717" s="4">
        <v>1</v>
      </c>
      <c r="AG3717" s="4">
        <v>4</v>
      </c>
      <c r="AH3717" s="4">
        <v>90</v>
      </c>
      <c r="AI3717" s="4">
        <v>94</v>
      </c>
      <c r="AJ3717" s="4">
        <v>19</v>
      </c>
      <c r="AK3717" s="4">
        <v>24</v>
      </c>
      <c r="AL3717" s="4">
        <v>45</v>
      </c>
      <c r="AM3717" s="4">
        <v>47</v>
      </c>
      <c r="AN3717" s="4">
        <v>0</v>
      </c>
      <c r="AO3717" s="4">
        <v>0</v>
      </c>
      <c r="AP3717" s="4">
        <v>26</v>
      </c>
      <c r="AQ3717" s="4">
        <v>33</v>
      </c>
      <c r="AR3717" s="3" t="s">
        <v>62</v>
      </c>
      <c r="AS3717" s="3" t="s">
        <v>62</v>
      </c>
      <c r="AT3717" s="3" t="s">
        <v>61</v>
      </c>
      <c r="AU3717" s="6" t="str">
        <f>HYPERLINK("http://catalog.hathitrust.org/Record/001079681","HathiTrust Record")</f>
        <v>HathiTrust Record</v>
      </c>
      <c r="AV3717" s="6" t="str">
        <f>HYPERLINK("http://mcgill.on.worldcat.org/oclc/18464770","Catalog Record")</f>
        <v>Catalog Record</v>
      </c>
      <c r="AW3717" s="6" t="str">
        <f>HYPERLINK("http://www.worldcat.org/oclc/18464770","WorldCat Record")</f>
        <v>WorldCat Record</v>
      </c>
      <c r="AX3717" s="3" t="s">
        <v>35922</v>
      </c>
      <c r="AY3717" s="3" t="s">
        <v>35923</v>
      </c>
      <c r="AZ3717" s="3" t="s">
        <v>35924</v>
      </c>
      <c r="BA3717" s="3" t="s">
        <v>35924</v>
      </c>
      <c r="BB3717" s="3" t="s">
        <v>35925</v>
      </c>
      <c r="BC3717" s="3" t="s">
        <v>102</v>
      </c>
      <c r="BD3717" s="3" t="s">
        <v>68</v>
      </c>
      <c r="BE3717" s="3" t="s">
        <v>35926</v>
      </c>
      <c r="BF3717" s="3" t="s">
        <v>35925</v>
      </c>
      <c r="BG3717" s="3" t="s">
        <v>35927</v>
      </c>
    </row>
    <row r="3718" spans="1:59" ht="58" x14ac:dyDescent="0.35">
      <c r="A3718" s="2" t="s">
        <v>59</v>
      </c>
      <c r="B3718" s="2" t="s">
        <v>60</v>
      </c>
      <c r="C3718" s="2" t="s">
        <v>35928</v>
      </c>
      <c r="D3718" s="2" t="s">
        <v>35929</v>
      </c>
      <c r="E3718" s="2" t="s">
        <v>35930</v>
      </c>
      <c r="G3718" s="3" t="s">
        <v>62</v>
      </c>
      <c r="I3718" s="3" t="s">
        <v>61</v>
      </c>
      <c r="J3718" s="3" t="s">
        <v>62</v>
      </c>
      <c r="K3718" s="3" t="s">
        <v>63</v>
      </c>
      <c r="L3718" s="2" t="s">
        <v>35931</v>
      </c>
      <c r="M3718" s="2" t="s">
        <v>35932</v>
      </c>
      <c r="N3718" s="3" t="s">
        <v>2975</v>
      </c>
      <c r="P3718" s="3" t="s">
        <v>64</v>
      </c>
      <c r="Q3718" s="2" t="s">
        <v>35933</v>
      </c>
      <c r="R3718" s="3" t="s">
        <v>34126</v>
      </c>
      <c r="S3718" s="4">
        <v>2</v>
      </c>
      <c r="T3718" s="4">
        <v>2</v>
      </c>
      <c r="U3718" s="5" t="s">
        <v>24376</v>
      </c>
      <c r="V3718" s="5" t="s">
        <v>24376</v>
      </c>
      <c r="W3718" s="5" t="s">
        <v>67</v>
      </c>
      <c r="X3718" s="5" t="s">
        <v>67</v>
      </c>
      <c r="Y3718" s="4">
        <v>72</v>
      </c>
      <c r="Z3718" s="4">
        <v>62</v>
      </c>
      <c r="AA3718" s="4">
        <v>64</v>
      </c>
      <c r="AB3718" s="4">
        <v>3</v>
      </c>
      <c r="AC3718" s="4">
        <v>5</v>
      </c>
      <c r="AD3718" s="4">
        <v>45</v>
      </c>
      <c r="AE3718" s="4">
        <v>46</v>
      </c>
      <c r="AF3718" s="4">
        <v>1</v>
      </c>
      <c r="AG3718" s="4">
        <v>2</v>
      </c>
      <c r="AH3718" s="4">
        <v>15</v>
      </c>
      <c r="AI3718" s="4">
        <v>15</v>
      </c>
      <c r="AJ3718" s="4">
        <v>23</v>
      </c>
      <c r="AK3718" s="4">
        <v>24</v>
      </c>
      <c r="AL3718" s="4">
        <v>2</v>
      </c>
      <c r="AM3718" s="4">
        <v>2</v>
      </c>
      <c r="AN3718" s="4">
        <v>0</v>
      </c>
      <c r="AO3718" s="4">
        <v>0</v>
      </c>
      <c r="AP3718" s="4">
        <v>37</v>
      </c>
      <c r="AQ3718" s="4">
        <v>37</v>
      </c>
      <c r="AR3718" s="3" t="s">
        <v>61</v>
      </c>
      <c r="AS3718" s="3" t="s">
        <v>62</v>
      </c>
      <c r="AT3718" s="3" t="s">
        <v>61</v>
      </c>
      <c r="AU3718" s="6" t="str">
        <f>HYPERLINK("http://catalog.hathitrust.org/Record/007478349","HathiTrust Record")</f>
        <v>HathiTrust Record</v>
      </c>
      <c r="AV3718" s="6" t="str">
        <f>HYPERLINK("http://mcgill.on.worldcat.org/oclc/48777762","Catalog Record")</f>
        <v>Catalog Record</v>
      </c>
      <c r="AW3718" s="6" t="str">
        <f>HYPERLINK("http://www.worldcat.org/oclc/48777762","WorldCat Record")</f>
        <v>WorldCat Record</v>
      </c>
      <c r="AX3718" s="3" t="s">
        <v>35934</v>
      </c>
      <c r="AY3718" s="3" t="s">
        <v>35935</v>
      </c>
      <c r="AZ3718" s="3" t="s">
        <v>35936</v>
      </c>
      <c r="BA3718" s="3" t="s">
        <v>35936</v>
      </c>
      <c r="BB3718" s="3" t="s">
        <v>35937</v>
      </c>
      <c r="BC3718" s="3" t="s">
        <v>102</v>
      </c>
      <c r="BD3718" s="3" t="s">
        <v>68</v>
      </c>
      <c r="BE3718" s="3" t="s">
        <v>35938</v>
      </c>
      <c r="BF3718" s="3" t="s">
        <v>35937</v>
      </c>
      <c r="BG3718" s="3" t="s">
        <v>35939</v>
      </c>
    </row>
    <row r="3719" spans="1:59" ht="130.5" x14ac:dyDescent="0.35">
      <c r="A3719" s="2" t="s">
        <v>59</v>
      </c>
      <c r="B3719" s="2" t="s">
        <v>60</v>
      </c>
      <c r="C3719" s="2" t="s">
        <v>35940</v>
      </c>
      <c r="D3719" s="2" t="s">
        <v>35941</v>
      </c>
      <c r="E3719" s="2" t="s">
        <v>35942</v>
      </c>
      <c r="G3719" s="3" t="s">
        <v>62</v>
      </c>
      <c r="I3719" s="3" t="s">
        <v>61</v>
      </c>
      <c r="J3719" s="3" t="s">
        <v>62</v>
      </c>
      <c r="K3719" s="3" t="s">
        <v>63</v>
      </c>
      <c r="M3719" s="2" t="s">
        <v>35943</v>
      </c>
      <c r="N3719" s="3" t="s">
        <v>2566</v>
      </c>
      <c r="P3719" s="3" t="s">
        <v>64</v>
      </c>
      <c r="Q3719" s="2" t="s">
        <v>35944</v>
      </c>
      <c r="R3719" s="3" t="s">
        <v>34126</v>
      </c>
      <c r="S3719" s="4">
        <v>3</v>
      </c>
      <c r="T3719" s="4">
        <v>6</v>
      </c>
      <c r="U3719" s="5" t="s">
        <v>19289</v>
      </c>
      <c r="V3719" s="5" t="s">
        <v>19289</v>
      </c>
      <c r="W3719" s="5" t="s">
        <v>67</v>
      </c>
      <c r="X3719" s="5" t="s">
        <v>67</v>
      </c>
      <c r="Y3719" s="4">
        <v>42</v>
      </c>
      <c r="Z3719" s="4">
        <v>19</v>
      </c>
      <c r="AA3719" s="4">
        <v>22</v>
      </c>
      <c r="AB3719" s="4">
        <v>1</v>
      </c>
      <c r="AC3719" s="4">
        <v>1</v>
      </c>
      <c r="AD3719" s="4">
        <v>24</v>
      </c>
      <c r="AE3719" s="4">
        <v>26</v>
      </c>
      <c r="AF3719" s="4">
        <v>0</v>
      </c>
      <c r="AG3719" s="4">
        <v>0</v>
      </c>
      <c r="AH3719" s="4">
        <v>13</v>
      </c>
      <c r="AI3719" s="4">
        <v>13</v>
      </c>
      <c r="AJ3719" s="4">
        <v>7</v>
      </c>
      <c r="AK3719" s="4">
        <v>7</v>
      </c>
      <c r="AL3719" s="4">
        <v>7</v>
      </c>
      <c r="AM3719" s="4">
        <v>7</v>
      </c>
      <c r="AN3719" s="4">
        <v>0</v>
      </c>
      <c r="AO3719" s="4">
        <v>0</v>
      </c>
      <c r="AP3719" s="4">
        <v>13</v>
      </c>
      <c r="AQ3719" s="4">
        <v>15</v>
      </c>
      <c r="AR3719" s="3" t="s">
        <v>61</v>
      </c>
      <c r="AS3719" s="3" t="s">
        <v>62</v>
      </c>
      <c r="AT3719" s="3" t="s">
        <v>62</v>
      </c>
      <c r="AV3719" s="6" t="str">
        <f>HYPERLINK("http://mcgill.on.worldcat.org/oclc/1103511","Catalog Record")</f>
        <v>Catalog Record</v>
      </c>
      <c r="AW3719" s="6" t="str">
        <f>HYPERLINK("http://www.worldcat.org/oclc/1103511","WorldCat Record")</f>
        <v>WorldCat Record</v>
      </c>
      <c r="AX3719" s="3" t="s">
        <v>35945</v>
      </c>
      <c r="AY3719" s="3" t="s">
        <v>35946</v>
      </c>
      <c r="AZ3719" s="3" t="s">
        <v>35947</v>
      </c>
      <c r="BA3719" s="3" t="s">
        <v>35947</v>
      </c>
      <c r="BB3719" s="3" t="s">
        <v>35948</v>
      </c>
      <c r="BC3719" s="3" t="s">
        <v>102</v>
      </c>
      <c r="BD3719" s="3" t="s">
        <v>68</v>
      </c>
      <c r="BF3719" s="3" t="s">
        <v>35948</v>
      </c>
      <c r="BG3719" s="3" t="s">
        <v>35949</v>
      </c>
    </row>
    <row r="3720" spans="1:59" ht="58" x14ac:dyDescent="0.35">
      <c r="A3720" s="2" t="s">
        <v>59</v>
      </c>
      <c r="B3720" s="2" t="s">
        <v>60</v>
      </c>
      <c r="C3720" s="2" t="s">
        <v>35950</v>
      </c>
      <c r="D3720" s="2" t="s">
        <v>35951</v>
      </c>
      <c r="E3720" s="2" t="s">
        <v>35952</v>
      </c>
      <c r="G3720" s="3" t="s">
        <v>62</v>
      </c>
      <c r="I3720" s="3" t="s">
        <v>62</v>
      </c>
      <c r="J3720" s="3" t="s">
        <v>62</v>
      </c>
      <c r="K3720" s="3" t="s">
        <v>63</v>
      </c>
      <c r="L3720" s="2" t="s">
        <v>35953</v>
      </c>
      <c r="M3720" s="2" t="s">
        <v>35954</v>
      </c>
      <c r="N3720" s="3" t="s">
        <v>355</v>
      </c>
      <c r="P3720" s="3" t="s">
        <v>64</v>
      </c>
      <c r="Q3720" s="2" t="s">
        <v>35955</v>
      </c>
      <c r="R3720" s="3" t="s">
        <v>34126</v>
      </c>
      <c r="S3720" s="4">
        <v>10</v>
      </c>
      <c r="T3720" s="4">
        <v>10</v>
      </c>
      <c r="U3720" s="5" t="s">
        <v>19289</v>
      </c>
      <c r="V3720" s="5" t="s">
        <v>19289</v>
      </c>
      <c r="W3720" s="5" t="s">
        <v>67</v>
      </c>
      <c r="X3720" s="5" t="s">
        <v>67</v>
      </c>
      <c r="Y3720" s="4">
        <v>78</v>
      </c>
      <c r="Z3720" s="4">
        <v>35</v>
      </c>
      <c r="AA3720" s="4">
        <v>35</v>
      </c>
      <c r="AB3720" s="4">
        <v>2</v>
      </c>
      <c r="AC3720" s="4">
        <v>2</v>
      </c>
      <c r="AD3720" s="4">
        <v>45</v>
      </c>
      <c r="AE3720" s="4">
        <v>45</v>
      </c>
      <c r="AF3720" s="4">
        <v>0</v>
      </c>
      <c r="AG3720" s="4">
        <v>0</v>
      </c>
      <c r="AH3720" s="4">
        <v>31</v>
      </c>
      <c r="AI3720" s="4">
        <v>31</v>
      </c>
      <c r="AJ3720" s="4">
        <v>18</v>
      </c>
      <c r="AK3720" s="4">
        <v>18</v>
      </c>
      <c r="AL3720" s="4">
        <v>15</v>
      </c>
      <c r="AM3720" s="4">
        <v>15</v>
      </c>
      <c r="AN3720" s="4">
        <v>0</v>
      </c>
      <c r="AO3720" s="4">
        <v>0</v>
      </c>
      <c r="AP3720" s="4">
        <v>21</v>
      </c>
      <c r="AQ3720" s="4">
        <v>21</v>
      </c>
      <c r="AR3720" s="3" t="s">
        <v>61</v>
      </c>
      <c r="AS3720" s="3" t="s">
        <v>62</v>
      </c>
      <c r="AT3720" s="3" t="s">
        <v>62</v>
      </c>
      <c r="AV3720" s="6" t="str">
        <f>HYPERLINK("http://mcgill.on.worldcat.org/oclc/11228489","Catalog Record")</f>
        <v>Catalog Record</v>
      </c>
      <c r="AW3720" s="6" t="str">
        <f>HYPERLINK("http://www.worldcat.org/oclc/11228489","WorldCat Record")</f>
        <v>WorldCat Record</v>
      </c>
      <c r="AX3720" s="3" t="s">
        <v>35956</v>
      </c>
      <c r="AY3720" s="3" t="s">
        <v>35957</v>
      </c>
      <c r="AZ3720" s="3" t="s">
        <v>35958</v>
      </c>
      <c r="BA3720" s="3" t="s">
        <v>35958</v>
      </c>
      <c r="BB3720" s="3" t="s">
        <v>35959</v>
      </c>
      <c r="BC3720" s="3" t="s">
        <v>102</v>
      </c>
      <c r="BD3720" s="3" t="s">
        <v>68</v>
      </c>
      <c r="BF3720" s="3" t="s">
        <v>35959</v>
      </c>
      <c r="BG3720" s="3" t="s">
        <v>35960</v>
      </c>
    </row>
    <row r="3721" spans="1:59" ht="58" x14ac:dyDescent="0.35">
      <c r="A3721" s="2" t="s">
        <v>59</v>
      </c>
      <c r="B3721" s="2" t="s">
        <v>60</v>
      </c>
      <c r="C3721" s="2" t="s">
        <v>35961</v>
      </c>
      <c r="D3721" s="2" t="s">
        <v>35962</v>
      </c>
      <c r="E3721" s="2" t="s">
        <v>35963</v>
      </c>
      <c r="F3721" s="3" t="s">
        <v>2248</v>
      </c>
      <c r="G3721" s="3" t="s">
        <v>61</v>
      </c>
      <c r="I3721" s="3" t="s">
        <v>62</v>
      </c>
      <c r="J3721" s="3" t="s">
        <v>62</v>
      </c>
      <c r="K3721" s="3" t="s">
        <v>63</v>
      </c>
      <c r="L3721" s="2" t="s">
        <v>35964</v>
      </c>
      <c r="M3721" s="2" t="s">
        <v>35965</v>
      </c>
      <c r="N3721" s="3" t="s">
        <v>1064</v>
      </c>
      <c r="P3721" s="3" t="s">
        <v>64</v>
      </c>
      <c r="R3721" s="3" t="s">
        <v>34126</v>
      </c>
      <c r="S3721" s="4">
        <v>2</v>
      </c>
      <c r="T3721" s="4">
        <v>6</v>
      </c>
      <c r="U3721" s="5" t="s">
        <v>19289</v>
      </c>
      <c r="V3721" s="5" t="s">
        <v>19289</v>
      </c>
      <c r="W3721" s="5" t="s">
        <v>67</v>
      </c>
      <c r="X3721" s="5" t="s">
        <v>67</v>
      </c>
      <c r="Y3721" s="4">
        <v>4</v>
      </c>
      <c r="Z3721" s="4">
        <v>4</v>
      </c>
      <c r="AA3721" s="4">
        <v>6</v>
      </c>
      <c r="AB3721" s="4">
        <v>2</v>
      </c>
      <c r="AC3721" s="4">
        <v>3</v>
      </c>
      <c r="AD3721" s="4">
        <v>2</v>
      </c>
      <c r="AE3721" s="4">
        <v>4</v>
      </c>
      <c r="AF3721" s="4">
        <v>0</v>
      </c>
      <c r="AG3721" s="4">
        <v>1</v>
      </c>
      <c r="AH3721" s="4">
        <v>2</v>
      </c>
      <c r="AI3721" s="4">
        <v>3</v>
      </c>
      <c r="AJ3721" s="4">
        <v>1</v>
      </c>
      <c r="AK3721" s="4">
        <v>3</v>
      </c>
      <c r="AL3721" s="4">
        <v>0</v>
      </c>
      <c r="AM3721" s="4">
        <v>0</v>
      </c>
      <c r="AN3721" s="4">
        <v>0</v>
      </c>
      <c r="AO3721" s="4">
        <v>0</v>
      </c>
      <c r="AP3721" s="4">
        <v>2</v>
      </c>
      <c r="AQ3721" s="4">
        <v>4</v>
      </c>
      <c r="AR3721" s="3" t="s">
        <v>61</v>
      </c>
      <c r="AS3721" s="3" t="s">
        <v>62</v>
      </c>
      <c r="AT3721" s="3" t="s">
        <v>62</v>
      </c>
      <c r="AV3721" s="6" t="str">
        <f>HYPERLINK("http://mcgill.on.worldcat.org/oclc/61557718","Catalog Record")</f>
        <v>Catalog Record</v>
      </c>
      <c r="AW3721" s="6" t="str">
        <f>HYPERLINK("http://www.worldcat.org/oclc/61557718","WorldCat Record")</f>
        <v>WorldCat Record</v>
      </c>
      <c r="AX3721" s="3" t="s">
        <v>35966</v>
      </c>
      <c r="AY3721" s="3" t="s">
        <v>35967</v>
      </c>
      <c r="AZ3721" s="3" t="s">
        <v>35968</v>
      </c>
      <c r="BA3721" s="3" t="s">
        <v>35968</v>
      </c>
      <c r="BB3721" s="3" t="s">
        <v>35969</v>
      </c>
      <c r="BC3721" s="3" t="s">
        <v>102</v>
      </c>
      <c r="BD3721" s="3" t="s">
        <v>68</v>
      </c>
      <c r="BF3721" s="3" t="s">
        <v>35969</v>
      </c>
      <c r="BG3721" s="3" t="s">
        <v>35970</v>
      </c>
    </row>
    <row r="3722" spans="1:59" ht="58" x14ac:dyDescent="0.35">
      <c r="A3722" s="2" t="s">
        <v>59</v>
      </c>
      <c r="B3722" s="2" t="s">
        <v>60</v>
      </c>
      <c r="C3722" s="2" t="s">
        <v>35961</v>
      </c>
      <c r="D3722" s="2" t="s">
        <v>35962</v>
      </c>
      <c r="E3722" s="2" t="s">
        <v>35963</v>
      </c>
      <c r="F3722" s="3" t="s">
        <v>2217</v>
      </c>
      <c r="G3722" s="3" t="s">
        <v>61</v>
      </c>
      <c r="I3722" s="3" t="s">
        <v>62</v>
      </c>
      <c r="J3722" s="3" t="s">
        <v>62</v>
      </c>
      <c r="K3722" s="3" t="s">
        <v>63</v>
      </c>
      <c r="L3722" s="2" t="s">
        <v>35964</v>
      </c>
      <c r="M3722" s="2" t="s">
        <v>35965</v>
      </c>
      <c r="N3722" s="3" t="s">
        <v>1064</v>
      </c>
      <c r="P3722" s="3" t="s">
        <v>64</v>
      </c>
      <c r="R3722" s="3" t="s">
        <v>34126</v>
      </c>
      <c r="S3722" s="4">
        <v>2</v>
      </c>
      <c r="T3722" s="4">
        <v>6</v>
      </c>
      <c r="U3722" s="5" t="s">
        <v>19289</v>
      </c>
      <c r="V3722" s="5" t="s">
        <v>19289</v>
      </c>
      <c r="W3722" s="5" t="s">
        <v>67</v>
      </c>
      <c r="X3722" s="5" t="s">
        <v>67</v>
      </c>
      <c r="Y3722" s="4">
        <v>4</v>
      </c>
      <c r="Z3722" s="4">
        <v>4</v>
      </c>
      <c r="AA3722" s="4">
        <v>6</v>
      </c>
      <c r="AB3722" s="4">
        <v>2</v>
      </c>
      <c r="AC3722" s="4">
        <v>3</v>
      </c>
      <c r="AD3722" s="4">
        <v>2</v>
      </c>
      <c r="AE3722" s="4">
        <v>4</v>
      </c>
      <c r="AF3722" s="4">
        <v>0</v>
      </c>
      <c r="AG3722" s="4">
        <v>1</v>
      </c>
      <c r="AH3722" s="4">
        <v>2</v>
      </c>
      <c r="AI3722" s="4">
        <v>3</v>
      </c>
      <c r="AJ3722" s="4">
        <v>1</v>
      </c>
      <c r="AK3722" s="4">
        <v>3</v>
      </c>
      <c r="AL3722" s="4">
        <v>0</v>
      </c>
      <c r="AM3722" s="4">
        <v>0</v>
      </c>
      <c r="AN3722" s="4">
        <v>0</v>
      </c>
      <c r="AO3722" s="4">
        <v>0</v>
      </c>
      <c r="AP3722" s="4">
        <v>2</v>
      </c>
      <c r="AQ3722" s="4">
        <v>4</v>
      </c>
      <c r="AR3722" s="3" t="s">
        <v>61</v>
      </c>
      <c r="AS3722" s="3" t="s">
        <v>62</v>
      </c>
      <c r="AT3722" s="3" t="s">
        <v>62</v>
      </c>
      <c r="AV3722" s="6" t="str">
        <f>HYPERLINK("http://mcgill.on.worldcat.org/oclc/61557718","Catalog Record")</f>
        <v>Catalog Record</v>
      </c>
      <c r="AW3722" s="6" t="str">
        <f>HYPERLINK("http://www.worldcat.org/oclc/61557718","WorldCat Record")</f>
        <v>WorldCat Record</v>
      </c>
      <c r="AX3722" s="3" t="s">
        <v>35966</v>
      </c>
      <c r="AY3722" s="3" t="s">
        <v>35967</v>
      </c>
      <c r="AZ3722" s="3" t="s">
        <v>35968</v>
      </c>
      <c r="BA3722" s="3" t="s">
        <v>35968</v>
      </c>
      <c r="BB3722" s="3" t="s">
        <v>35971</v>
      </c>
      <c r="BC3722" s="3" t="s">
        <v>102</v>
      </c>
      <c r="BD3722" s="3" t="s">
        <v>68</v>
      </c>
      <c r="BF3722" s="3" t="s">
        <v>35971</v>
      </c>
      <c r="BG3722" s="3" t="s">
        <v>35972</v>
      </c>
    </row>
    <row r="3723" spans="1:59" ht="58" x14ac:dyDescent="0.35">
      <c r="A3723" s="2" t="s">
        <v>59</v>
      </c>
      <c r="B3723" s="2" t="s">
        <v>60</v>
      </c>
      <c r="C3723" s="2" t="s">
        <v>35961</v>
      </c>
      <c r="D3723" s="2" t="s">
        <v>35962</v>
      </c>
      <c r="E3723" s="2" t="s">
        <v>35963</v>
      </c>
      <c r="F3723" s="3" t="s">
        <v>2233</v>
      </c>
      <c r="G3723" s="3" t="s">
        <v>61</v>
      </c>
      <c r="I3723" s="3" t="s">
        <v>62</v>
      </c>
      <c r="J3723" s="3" t="s">
        <v>62</v>
      </c>
      <c r="K3723" s="3" t="s">
        <v>63</v>
      </c>
      <c r="L3723" s="2" t="s">
        <v>35964</v>
      </c>
      <c r="M3723" s="2" t="s">
        <v>35965</v>
      </c>
      <c r="N3723" s="3" t="s">
        <v>1064</v>
      </c>
      <c r="P3723" s="3" t="s">
        <v>64</v>
      </c>
      <c r="R3723" s="3" t="s">
        <v>34126</v>
      </c>
      <c r="S3723" s="4">
        <v>2</v>
      </c>
      <c r="T3723" s="4">
        <v>6</v>
      </c>
      <c r="U3723" s="5" t="s">
        <v>19289</v>
      </c>
      <c r="V3723" s="5" t="s">
        <v>19289</v>
      </c>
      <c r="W3723" s="5" t="s">
        <v>67</v>
      </c>
      <c r="X3723" s="5" t="s">
        <v>67</v>
      </c>
      <c r="Y3723" s="4">
        <v>4</v>
      </c>
      <c r="Z3723" s="4">
        <v>4</v>
      </c>
      <c r="AA3723" s="4">
        <v>6</v>
      </c>
      <c r="AB3723" s="4">
        <v>2</v>
      </c>
      <c r="AC3723" s="4">
        <v>3</v>
      </c>
      <c r="AD3723" s="4">
        <v>2</v>
      </c>
      <c r="AE3723" s="4">
        <v>4</v>
      </c>
      <c r="AF3723" s="4">
        <v>0</v>
      </c>
      <c r="AG3723" s="4">
        <v>1</v>
      </c>
      <c r="AH3723" s="4">
        <v>2</v>
      </c>
      <c r="AI3723" s="4">
        <v>3</v>
      </c>
      <c r="AJ3723" s="4">
        <v>1</v>
      </c>
      <c r="AK3723" s="4">
        <v>3</v>
      </c>
      <c r="AL3723" s="4">
        <v>0</v>
      </c>
      <c r="AM3723" s="4">
        <v>0</v>
      </c>
      <c r="AN3723" s="4">
        <v>0</v>
      </c>
      <c r="AO3723" s="4">
        <v>0</v>
      </c>
      <c r="AP3723" s="4">
        <v>2</v>
      </c>
      <c r="AQ3723" s="4">
        <v>4</v>
      </c>
      <c r="AR3723" s="3" t="s">
        <v>61</v>
      </c>
      <c r="AS3723" s="3" t="s">
        <v>62</v>
      </c>
      <c r="AT3723" s="3" t="s">
        <v>62</v>
      </c>
      <c r="AV3723" s="6" t="str">
        <f>HYPERLINK("http://mcgill.on.worldcat.org/oclc/61557718","Catalog Record")</f>
        <v>Catalog Record</v>
      </c>
      <c r="AW3723" s="6" t="str">
        <f>HYPERLINK("http://www.worldcat.org/oclc/61557718","WorldCat Record")</f>
        <v>WorldCat Record</v>
      </c>
      <c r="AX3723" s="3" t="s">
        <v>35966</v>
      </c>
      <c r="AY3723" s="3" t="s">
        <v>35967</v>
      </c>
      <c r="AZ3723" s="3" t="s">
        <v>35968</v>
      </c>
      <c r="BA3723" s="3" t="s">
        <v>35968</v>
      </c>
      <c r="BB3723" s="3" t="s">
        <v>35973</v>
      </c>
      <c r="BC3723" s="3" t="s">
        <v>102</v>
      </c>
      <c r="BD3723" s="3" t="s">
        <v>68</v>
      </c>
      <c r="BF3723" s="3" t="s">
        <v>35973</v>
      </c>
      <c r="BG3723" s="3" t="s">
        <v>35974</v>
      </c>
    </row>
    <row r="3724" spans="1:59" ht="87" x14ac:dyDescent="0.35">
      <c r="A3724" s="2" t="s">
        <v>59</v>
      </c>
      <c r="B3724" s="2" t="s">
        <v>60</v>
      </c>
      <c r="C3724" s="2" t="s">
        <v>35975</v>
      </c>
      <c r="D3724" s="2" t="s">
        <v>35976</v>
      </c>
      <c r="E3724" s="2" t="s">
        <v>35977</v>
      </c>
      <c r="G3724" s="3" t="s">
        <v>62</v>
      </c>
      <c r="I3724" s="3" t="s">
        <v>61</v>
      </c>
      <c r="J3724" s="3" t="s">
        <v>62</v>
      </c>
      <c r="K3724" s="3" t="s">
        <v>63</v>
      </c>
      <c r="L3724" s="2" t="s">
        <v>35978</v>
      </c>
      <c r="N3724" s="3" t="s">
        <v>2566</v>
      </c>
      <c r="P3724" s="3" t="s">
        <v>85</v>
      </c>
      <c r="R3724" s="3" t="s">
        <v>34126</v>
      </c>
      <c r="S3724" s="4">
        <v>0</v>
      </c>
      <c r="T3724" s="4">
        <v>1</v>
      </c>
      <c r="V3724" s="5" t="s">
        <v>2872</v>
      </c>
      <c r="W3724" s="5" t="s">
        <v>67</v>
      </c>
      <c r="X3724" s="5" t="s">
        <v>67</v>
      </c>
      <c r="Y3724" s="4">
        <v>8</v>
      </c>
      <c r="Z3724" s="4">
        <v>5</v>
      </c>
      <c r="AA3724" s="4">
        <v>15</v>
      </c>
      <c r="AB3724" s="4">
        <v>2</v>
      </c>
      <c r="AC3724" s="4">
        <v>10</v>
      </c>
      <c r="AD3724" s="4">
        <v>4</v>
      </c>
      <c r="AE3724" s="4">
        <v>10</v>
      </c>
      <c r="AF3724" s="4">
        <v>0</v>
      </c>
      <c r="AG3724" s="4">
        <v>4</v>
      </c>
      <c r="AH3724" s="4">
        <v>3</v>
      </c>
      <c r="AI3724" s="4">
        <v>6</v>
      </c>
      <c r="AJ3724" s="4">
        <v>3</v>
      </c>
      <c r="AK3724" s="4">
        <v>8</v>
      </c>
      <c r="AL3724" s="4">
        <v>0</v>
      </c>
      <c r="AM3724" s="4">
        <v>0</v>
      </c>
      <c r="AN3724" s="4">
        <v>0</v>
      </c>
      <c r="AO3724" s="4">
        <v>0</v>
      </c>
      <c r="AP3724" s="4">
        <v>2</v>
      </c>
      <c r="AQ3724" s="4">
        <v>7</v>
      </c>
      <c r="AR3724" s="3" t="s">
        <v>61</v>
      </c>
      <c r="AS3724" s="3" t="s">
        <v>62</v>
      </c>
      <c r="AT3724" s="3" t="s">
        <v>62</v>
      </c>
      <c r="AV3724" s="6" t="str">
        <f>HYPERLINK("http://mcgill.on.worldcat.org/oclc/1860404","Catalog Record")</f>
        <v>Catalog Record</v>
      </c>
      <c r="AW3724" s="6" t="str">
        <f>HYPERLINK("http://www.worldcat.org/oclc/1860404","WorldCat Record")</f>
        <v>WorldCat Record</v>
      </c>
      <c r="AX3724" s="3" t="s">
        <v>35979</v>
      </c>
      <c r="AY3724" s="3" t="s">
        <v>35980</v>
      </c>
      <c r="AZ3724" s="3" t="s">
        <v>35981</v>
      </c>
      <c r="BA3724" s="3" t="s">
        <v>35981</v>
      </c>
      <c r="BB3724" s="3" t="s">
        <v>35982</v>
      </c>
      <c r="BC3724" s="3" t="s">
        <v>102</v>
      </c>
      <c r="BD3724" s="3" t="s">
        <v>68</v>
      </c>
      <c r="BF3724" s="3" t="s">
        <v>35982</v>
      </c>
      <c r="BG3724" s="3" t="s">
        <v>35983</v>
      </c>
    </row>
    <row r="3725" spans="1:59" ht="87" x14ac:dyDescent="0.35">
      <c r="A3725" s="2" t="s">
        <v>59</v>
      </c>
      <c r="B3725" s="2" t="s">
        <v>60</v>
      </c>
      <c r="C3725" s="2" t="s">
        <v>35975</v>
      </c>
      <c r="D3725" s="2" t="s">
        <v>35976</v>
      </c>
      <c r="E3725" s="2" t="s">
        <v>35977</v>
      </c>
      <c r="G3725" s="3" t="s">
        <v>62</v>
      </c>
      <c r="I3725" s="3" t="s">
        <v>61</v>
      </c>
      <c r="J3725" s="3" t="s">
        <v>62</v>
      </c>
      <c r="K3725" s="3" t="s">
        <v>63</v>
      </c>
      <c r="L3725" s="2" t="s">
        <v>35978</v>
      </c>
      <c r="N3725" s="3" t="s">
        <v>2566</v>
      </c>
      <c r="P3725" s="3" t="s">
        <v>85</v>
      </c>
      <c r="R3725" s="3" t="s">
        <v>34126</v>
      </c>
      <c r="S3725" s="4">
        <v>1</v>
      </c>
      <c r="T3725" s="4">
        <v>1</v>
      </c>
      <c r="U3725" s="5" t="s">
        <v>2872</v>
      </c>
      <c r="V3725" s="5" t="s">
        <v>2872</v>
      </c>
      <c r="W3725" s="5" t="s">
        <v>67</v>
      </c>
      <c r="X3725" s="5" t="s">
        <v>67</v>
      </c>
      <c r="Y3725" s="4">
        <v>8</v>
      </c>
      <c r="Z3725" s="4">
        <v>5</v>
      </c>
      <c r="AA3725" s="4">
        <v>15</v>
      </c>
      <c r="AB3725" s="4">
        <v>2</v>
      </c>
      <c r="AC3725" s="4">
        <v>10</v>
      </c>
      <c r="AD3725" s="4">
        <v>4</v>
      </c>
      <c r="AE3725" s="4">
        <v>10</v>
      </c>
      <c r="AF3725" s="4">
        <v>0</v>
      </c>
      <c r="AG3725" s="4">
        <v>4</v>
      </c>
      <c r="AH3725" s="4">
        <v>3</v>
      </c>
      <c r="AI3725" s="4">
        <v>6</v>
      </c>
      <c r="AJ3725" s="4">
        <v>3</v>
      </c>
      <c r="AK3725" s="4">
        <v>8</v>
      </c>
      <c r="AL3725" s="4">
        <v>0</v>
      </c>
      <c r="AM3725" s="4">
        <v>0</v>
      </c>
      <c r="AN3725" s="4">
        <v>0</v>
      </c>
      <c r="AO3725" s="4">
        <v>0</v>
      </c>
      <c r="AP3725" s="4">
        <v>2</v>
      </c>
      <c r="AQ3725" s="4">
        <v>7</v>
      </c>
      <c r="AR3725" s="3" t="s">
        <v>61</v>
      </c>
      <c r="AS3725" s="3" t="s">
        <v>62</v>
      </c>
      <c r="AT3725" s="3" t="s">
        <v>62</v>
      </c>
      <c r="AV3725" s="6" t="str">
        <f>HYPERLINK("http://mcgill.on.worldcat.org/oclc/1860404","Catalog Record")</f>
        <v>Catalog Record</v>
      </c>
      <c r="AW3725" s="6" t="str">
        <f>HYPERLINK("http://www.worldcat.org/oclc/1860404","WorldCat Record")</f>
        <v>WorldCat Record</v>
      </c>
      <c r="AX3725" s="3" t="s">
        <v>35979</v>
      </c>
      <c r="AY3725" s="3" t="s">
        <v>35980</v>
      </c>
      <c r="AZ3725" s="3" t="s">
        <v>35981</v>
      </c>
      <c r="BA3725" s="3" t="s">
        <v>35981</v>
      </c>
      <c r="BB3725" s="3" t="s">
        <v>35984</v>
      </c>
      <c r="BC3725" s="3" t="s">
        <v>102</v>
      </c>
      <c r="BD3725" s="3" t="s">
        <v>68</v>
      </c>
      <c r="BF3725" s="3" t="s">
        <v>35984</v>
      </c>
      <c r="BG3725" s="3" t="s">
        <v>35985</v>
      </c>
    </row>
    <row r="3726" spans="1:59" ht="72.5" x14ac:dyDescent="0.35">
      <c r="A3726" s="2" t="s">
        <v>59</v>
      </c>
      <c r="B3726" s="2" t="s">
        <v>60</v>
      </c>
      <c r="C3726" s="2" t="s">
        <v>35986</v>
      </c>
      <c r="D3726" s="2" t="s">
        <v>35987</v>
      </c>
      <c r="E3726" s="2" t="s">
        <v>35988</v>
      </c>
      <c r="G3726" s="3" t="s">
        <v>62</v>
      </c>
      <c r="I3726" s="3" t="s">
        <v>61</v>
      </c>
      <c r="J3726" s="3" t="s">
        <v>62</v>
      </c>
      <c r="K3726" s="3" t="s">
        <v>63</v>
      </c>
      <c r="L3726" s="2" t="s">
        <v>35989</v>
      </c>
      <c r="M3726" s="2" t="s">
        <v>35990</v>
      </c>
      <c r="N3726" s="3" t="s">
        <v>481</v>
      </c>
      <c r="P3726" s="3" t="s">
        <v>64</v>
      </c>
      <c r="R3726" s="3" t="s">
        <v>34126</v>
      </c>
      <c r="S3726" s="4">
        <v>12</v>
      </c>
      <c r="T3726" s="4">
        <v>20</v>
      </c>
      <c r="U3726" s="5" t="s">
        <v>1954</v>
      </c>
      <c r="V3726" s="5" t="s">
        <v>1954</v>
      </c>
      <c r="W3726" s="5" t="s">
        <v>67</v>
      </c>
      <c r="X3726" s="5" t="s">
        <v>67</v>
      </c>
      <c r="Y3726" s="4">
        <v>100</v>
      </c>
      <c r="Z3726" s="4">
        <v>61</v>
      </c>
      <c r="AA3726" s="4">
        <v>66</v>
      </c>
      <c r="AB3726" s="4">
        <v>3</v>
      </c>
      <c r="AC3726" s="4">
        <v>6</v>
      </c>
      <c r="AD3726" s="4">
        <v>57</v>
      </c>
      <c r="AE3726" s="4">
        <v>61</v>
      </c>
      <c r="AF3726" s="4">
        <v>1</v>
      </c>
      <c r="AG3726" s="4">
        <v>3</v>
      </c>
      <c r="AH3726" s="4">
        <v>29</v>
      </c>
      <c r="AI3726" s="4">
        <v>30</v>
      </c>
      <c r="AJ3726" s="4">
        <v>23</v>
      </c>
      <c r="AK3726" s="4">
        <v>26</v>
      </c>
      <c r="AL3726" s="4">
        <v>16</v>
      </c>
      <c r="AM3726" s="4">
        <v>16</v>
      </c>
      <c r="AN3726" s="4">
        <v>0</v>
      </c>
      <c r="AO3726" s="4">
        <v>0</v>
      </c>
      <c r="AP3726" s="4">
        <v>36</v>
      </c>
      <c r="AQ3726" s="4">
        <v>39</v>
      </c>
      <c r="AR3726" s="3" t="s">
        <v>61</v>
      </c>
      <c r="AS3726" s="3" t="s">
        <v>62</v>
      </c>
      <c r="AT3726" s="3" t="s">
        <v>62</v>
      </c>
      <c r="AV3726" s="6" t="str">
        <f>HYPERLINK("http://mcgill.on.worldcat.org/oclc/37651952","Catalog Record")</f>
        <v>Catalog Record</v>
      </c>
      <c r="AW3726" s="6" t="str">
        <f>HYPERLINK("http://www.worldcat.org/oclc/37651952","WorldCat Record")</f>
        <v>WorldCat Record</v>
      </c>
      <c r="AX3726" s="3" t="s">
        <v>35991</v>
      </c>
      <c r="AY3726" s="3" t="s">
        <v>35992</v>
      </c>
      <c r="AZ3726" s="3" t="s">
        <v>35993</v>
      </c>
      <c r="BA3726" s="3" t="s">
        <v>35993</v>
      </c>
      <c r="BB3726" s="3" t="s">
        <v>35994</v>
      </c>
      <c r="BC3726" s="3" t="s">
        <v>102</v>
      </c>
      <c r="BD3726" s="3" t="s">
        <v>68</v>
      </c>
      <c r="BE3726" s="3" t="s">
        <v>35995</v>
      </c>
      <c r="BF3726" s="3" t="s">
        <v>35994</v>
      </c>
      <c r="BG3726" s="3" t="s">
        <v>35996</v>
      </c>
    </row>
    <row r="3727" spans="1:59" ht="72.5" x14ac:dyDescent="0.35">
      <c r="A3727" s="2" t="s">
        <v>89</v>
      </c>
      <c r="B3727" s="2" t="s">
        <v>90</v>
      </c>
      <c r="C3727" s="2" t="s">
        <v>35997</v>
      </c>
      <c r="D3727" s="2" t="s">
        <v>35998</v>
      </c>
      <c r="E3727" s="2" t="s">
        <v>35999</v>
      </c>
      <c r="G3727" s="3" t="s">
        <v>62</v>
      </c>
      <c r="I3727" s="3" t="s">
        <v>62</v>
      </c>
      <c r="J3727" s="3" t="s">
        <v>62</v>
      </c>
      <c r="K3727" s="3" t="s">
        <v>63</v>
      </c>
      <c r="M3727" s="2" t="s">
        <v>36000</v>
      </c>
      <c r="N3727" s="3" t="s">
        <v>539</v>
      </c>
      <c r="P3727" s="3" t="s">
        <v>64</v>
      </c>
      <c r="R3727" s="3" t="s">
        <v>34126</v>
      </c>
      <c r="S3727" s="4">
        <v>3</v>
      </c>
      <c r="T3727" s="4">
        <v>3</v>
      </c>
      <c r="U3727" s="5" t="s">
        <v>2226</v>
      </c>
      <c r="V3727" s="5" t="s">
        <v>2226</v>
      </c>
      <c r="W3727" s="5" t="s">
        <v>67</v>
      </c>
      <c r="X3727" s="5" t="s">
        <v>67</v>
      </c>
      <c r="Y3727" s="4">
        <v>71</v>
      </c>
      <c r="Z3727" s="4">
        <v>50</v>
      </c>
      <c r="AA3727" s="4">
        <v>50</v>
      </c>
      <c r="AB3727" s="4">
        <v>2</v>
      </c>
      <c r="AC3727" s="4">
        <v>2</v>
      </c>
      <c r="AD3727" s="4">
        <v>39</v>
      </c>
      <c r="AE3727" s="4">
        <v>39</v>
      </c>
      <c r="AF3727" s="4">
        <v>0</v>
      </c>
      <c r="AG3727" s="4">
        <v>0</v>
      </c>
      <c r="AH3727" s="4">
        <v>20</v>
      </c>
      <c r="AI3727" s="4">
        <v>20</v>
      </c>
      <c r="AJ3727" s="4">
        <v>19</v>
      </c>
      <c r="AK3727" s="4">
        <v>19</v>
      </c>
      <c r="AL3727" s="4">
        <v>7</v>
      </c>
      <c r="AM3727" s="4">
        <v>7</v>
      </c>
      <c r="AN3727" s="4">
        <v>0</v>
      </c>
      <c r="AO3727" s="4">
        <v>0</v>
      </c>
      <c r="AP3727" s="4">
        <v>29</v>
      </c>
      <c r="AQ3727" s="4">
        <v>29</v>
      </c>
      <c r="AR3727" s="3" t="s">
        <v>61</v>
      </c>
      <c r="AS3727" s="3" t="s">
        <v>62</v>
      </c>
      <c r="AT3727" s="3" t="s">
        <v>61</v>
      </c>
      <c r="AU3727" s="6" t="str">
        <f>HYPERLINK("http://catalog.hathitrust.org/Record/009139382","HathiTrust Record")</f>
        <v>HathiTrust Record</v>
      </c>
      <c r="AV3727" s="6" t="str">
        <f>HYPERLINK("http://mcgill.on.worldcat.org/oclc/38949830","Catalog Record")</f>
        <v>Catalog Record</v>
      </c>
      <c r="AW3727" s="6" t="str">
        <f>HYPERLINK("http://www.worldcat.org/oclc/38949830","WorldCat Record")</f>
        <v>WorldCat Record</v>
      </c>
      <c r="AX3727" s="3" t="s">
        <v>36001</v>
      </c>
      <c r="AY3727" s="3" t="s">
        <v>36002</v>
      </c>
      <c r="AZ3727" s="3" t="s">
        <v>36003</v>
      </c>
      <c r="BA3727" s="3" t="s">
        <v>36003</v>
      </c>
      <c r="BB3727" s="3" t="s">
        <v>36004</v>
      </c>
      <c r="BC3727" s="3" t="s">
        <v>102</v>
      </c>
      <c r="BD3727" s="3" t="s">
        <v>68</v>
      </c>
      <c r="BE3727" s="3" t="s">
        <v>36005</v>
      </c>
      <c r="BF3727" s="3" t="s">
        <v>36004</v>
      </c>
      <c r="BG3727" s="3" t="s">
        <v>36006</v>
      </c>
    </row>
    <row r="3728" spans="1:59" ht="58" x14ac:dyDescent="0.35">
      <c r="A3728" s="2" t="s">
        <v>59</v>
      </c>
      <c r="B3728" s="2" t="s">
        <v>60</v>
      </c>
      <c r="C3728" s="2" t="s">
        <v>36007</v>
      </c>
      <c r="D3728" s="2" t="s">
        <v>36008</v>
      </c>
      <c r="E3728" s="2" t="s">
        <v>36009</v>
      </c>
      <c r="G3728" s="3" t="s">
        <v>62</v>
      </c>
      <c r="I3728" s="3" t="s">
        <v>61</v>
      </c>
      <c r="J3728" s="3" t="s">
        <v>62</v>
      </c>
      <c r="K3728" s="3" t="s">
        <v>63</v>
      </c>
      <c r="M3728" s="2" t="s">
        <v>36010</v>
      </c>
      <c r="N3728" s="3" t="s">
        <v>95</v>
      </c>
      <c r="P3728" s="3" t="s">
        <v>64</v>
      </c>
      <c r="Q3728" s="2" t="s">
        <v>36011</v>
      </c>
      <c r="R3728" s="3" t="s">
        <v>34126</v>
      </c>
      <c r="S3728" s="4">
        <v>3</v>
      </c>
      <c r="T3728" s="4">
        <v>8</v>
      </c>
      <c r="U3728" s="5" t="s">
        <v>19289</v>
      </c>
      <c r="V3728" s="5" t="s">
        <v>19289</v>
      </c>
      <c r="W3728" s="5" t="s">
        <v>67</v>
      </c>
      <c r="X3728" s="5" t="s">
        <v>67</v>
      </c>
      <c r="Y3728" s="4">
        <v>78</v>
      </c>
      <c r="Z3728" s="4">
        <v>53</v>
      </c>
      <c r="AA3728" s="4">
        <v>54</v>
      </c>
      <c r="AB3728" s="4">
        <v>4</v>
      </c>
      <c r="AC3728" s="4">
        <v>5</v>
      </c>
      <c r="AD3728" s="4">
        <v>37</v>
      </c>
      <c r="AE3728" s="4">
        <v>38</v>
      </c>
      <c r="AF3728" s="4">
        <v>0</v>
      </c>
      <c r="AG3728" s="4">
        <v>1</v>
      </c>
      <c r="AH3728" s="4">
        <v>19</v>
      </c>
      <c r="AI3728" s="4">
        <v>19</v>
      </c>
      <c r="AJ3728" s="4">
        <v>16</v>
      </c>
      <c r="AK3728" s="4">
        <v>17</v>
      </c>
      <c r="AL3728" s="4">
        <v>9</v>
      </c>
      <c r="AM3728" s="4">
        <v>9</v>
      </c>
      <c r="AN3728" s="4">
        <v>0</v>
      </c>
      <c r="AO3728" s="4">
        <v>0</v>
      </c>
      <c r="AP3728" s="4">
        <v>22</v>
      </c>
      <c r="AQ3728" s="4">
        <v>22</v>
      </c>
      <c r="AR3728" s="3" t="s">
        <v>61</v>
      </c>
      <c r="AS3728" s="3" t="s">
        <v>62</v>
      </c>
      <c r="AT3728" s="3" t="s">
        <v>62</v>
      </c>
      <c r="AV3728" s="6" t="str">
        <f>HYPERLINK("http://mcgill.on.worldcat.org/oclc/16708267","Catalog Record")</f>
        <v>Catalog Record</v>
      </c>
      <c r="AW3728" s="6" t="str">
        <f>HYPERLINK("http://www.worldcat.org/oclc/16708267","WorldCat Record")</f>
        <v>WorldCat Record</v>
      </c>
      <c r="AX3728" s="3" t="s">
        <v>36012</v>
      </c>
      <c r="AY3728" s="3" t="s">
        <v>36013</v>
      </c>
      <c r="AZ3728" s="3" t="s">
        <v>36014</v>
      </c>
      <c r="BA3728" s="3" t="s">
        <v>36014</v>
      </c>
      <c r="BB3728" s="3" t="s">
        <v>36015</v>
      </c>
      <c r="BC3728" s="3" t="s">
        <v>102</v>
      </c>
      <c r="BD3728" s="3" t="s">
        <v>68</v>
      </c>
      <c r="BF3728" s="3" t="s">
        <v>36015</v>
      </c>
      <c r="BG3728" s="3" t="s">
        <v>36016</v>
      </c>
    </row>
    <row r="3729" spans="1:59" ht="58" x14ac:dyDescent="0.35">
      <c r="A3729" s="2" t="s">
        <v>89</v>
      </c>
      <c r="B3729" s="2" t="s">
        <v>90</v>
      </c>
      <c r="C3729" s="2" t="s">
        <v>36017</v>
      </c>
      <c r="D3729" s="2" t="s">
        <v>36018</v>
      </c>
      <c r="E3729" s="2" t="s">
        <v>36019</v>
      </c>
      <c r="G3729" s="3" t="s">
        <v>62</v>
      </c>
      <c r="I3729" s="3" t="s">
        <v>61</v>
      </c>
      <c r="J3729" s="3" t="s">
        <v>62</v>
      </c>
      <c r="K3729" s="3" t="s">
        <v>63</v>
      </c>
      <c r="L3729" s="2" t="s">
        <v>36020</v>
      </c>
      <c r="M3729" s="2" t="s">
        <v>36021</v>
      </c>
      <c r="N3729" s="3" t="s">
        <v>355</v>
      </c>
      <c r="P3729" s="3" t="s">
        <v>64</v>
      </c>
      <c r="R3729" s="3" t="s">
        <v>34126</v>
      </c>
      <c r="S3729" s="4">
        <v>6</v>
      </c>
      <c r="T3729" s="4">
        <v>25</v>
      </c>
      <c r="U3729" s="5" t="s">
        <v>16753</v>
      </c>
      <c r="V3729" s="5" t="s">
        <v>16753</v>
      </c>
      <c r="W3729" s="5" t="s">
        <v>67</v>
      </c>
      <c r="X3729" s="5" t="s">
        <v>67</v>
      </c>
      <c r="Y3729" s="4">
        <v>1191</v>
      </c>
      <c r="Z3729" s="4">
        <v>44</v>
      </c>
      <c r="AA3729" s="4">
        <v>50</v>
      </c>
      <c r="AB3729" s="4">
        <v>4</v>
      </c>
      <c r="AC3729" s="4">
        <v>8</v>
      </c>
      <c r="AD3729" s="4">
        <v>116</v>
      </c>
      <c r="AE3729" s="4">
        <v>123</v>
      </c>
      <c r="AF3729" s="4">
        <v>1</v>
      </c>
      <c r="AG3729" s="4">
        <v>3</v>
      </c>
      <c r="AH3729" s="4">
        <v>99</v>
      </c>
      <c r="AI3729" s="4">
        <v>105</v>
      </c>
      <c r="AJ3729" s="4">
        <v>16</v>
      </c>
      <c r="AK3729" s="4">
        <v>19</v>
      </c>
      <c r="AL3729" s="4">
        <v>52</v>
      </c>
      <c r="AM3729" s="4">
        <v>54</v>
      </c>
      <c r="AN3729" s="4">
        <v>0</v>
      </c>
      <c r="AO3729" s="4">
        <v>0</v>
      </c>
      <c r="AP3729" s="4">
        <v>23</v>
      </c>
      <c r="AQ3729" s="4">
        <v>26</v>
      </c>
      <c r="AR3729" s="3" t="s">
        <v>62</v>
      </c>
      <c r="AS3729" s="3" t="s">
        <v>62</v>
      </c>
      <c r="AT3729" s="3" t="s">
        <v>61</v>
      </c>
      <c r="AU3729" s="6" t="str">
        <f>HYPERLINK("http://catalog.hathitrust.org/Record/000336930","HathiTrust Record")</f>
        <v>HathiTrust Record</v>
      </c>
      <c r="AV3729" s="6" t="str">
        <f>HYPERLINK("http://mcgill.on.worldcat.org/oclc/10207062","Catalog Record")</f>
        <v>Catalog Record</v>
      </c>
      <c r="AW3729" s="6" t="str">
        <f>HYPERLINK("http://www.worldcat.org/oclc/10207062","WorldCat Record")</f>
        <v>WorldCat Record</v>
      </c>
      <c r="AX3729" s="3" t="s">
        <v>36022</v>
      </c>
      <c r="AY3729" s="3" t="s">
        <v>36023</v>
      </c>
      <c r="AZ3729" s="3" t="s">
        <v>36024</v>
      </c>
      <c r="BA3729" s="3" t="s">
        <v>36024</v>
      </c>
      <c r="BB3729" s="3" t="s">
        <v>36025</v>
      </c>
      <c r="BC3729" s="3" t="s">
        <v>102</v>
      </c>
      <c r="BD3729" s="3" t="s">
        <v>68</v>
      </c>
      <c r="BE3729" s="3" t="s">
        <v>36026</v>
      </c>
      <c r="BF3729" s="3" t="s">
        <v>36025</v>
      </c>
      <c r="BG3729" s="3" t="s">
        <v>36027</v>
      </c>
    </row>
    <row r="3730" spans="1:59" ht="58" x14ac:dyDescent="0.35">
      <c r="A3730" s="2" t="s">
        <v>89</v>
      </c>
      <c r="B3730" s="2" t="s">
        <v>90</v>
      </c>
      <c r="C3730" s="2" t="s">
        <v>36028</v>
      </c>
      <c r="D3730" s="2" t="s">
        <v>36029</v>
      </c>
      <c r="E3730" s="2" t="s">
        <v>36030</v>
      </c>
      <c r="G3730" s="3" t="s">
        <v>62</v>
      </c>
      <c r="I3730" s="3" t="s">
        <v>62</v>
      </c>
      <c r="J3730" s="3" t="s">
        <v>61</v>
      </c>
      <c r="K3730" s="3" t="s">
        <v>916</v>
      </c>
      <c r="L3730" s="2" t="s">
        <v>36031</v>
      </c>
      <c r="M3730" s="2" t="s">
        <v>36032</v>
      </c>
      <c r="N3730" s="3" t="s">
        <v>1038</v>
      </c>
      <c r="O3730" s="2" t="s">
        <v>36033</v>
      </c>
      <c r="P3730" s="3" t="s">
        <v>1752</v>
      </c>
      <c r="Q3730" s="2" t="s">
        <v>36034</v>
      </c>
      <c r="R3730" s="3" t="s">
        <v>34126</v>
      </c>
      <c r="S3730" s="4">
        <v>2</v>
      </c>
      <c r="T3730" s="4">
        <v>2</v>
      </c>
      <c r="U3730" s="5" t="s">
        <v>31546</v>
      </c>
      <c r="V3730" s="5" t="s">
        <v>31546</v>
      </c>
      <c r="W3730" s="5" t="s">
        <v>67</v>
      </c>
      <c r="X3730" s="5" t="s">
        <v>67</v>
      </c>
      <c r="Y3730" s="4">
        <v>50</v>
      </c>
      <c r="Z3730" s="4">
        <v>3</v>
      </c>
      <c r="AA3730" s="4">
        <v>92</v>
      </c>
      <c r="AB3730" s="4">
        <v>1</v>
      </c>
      <c r="AC3730" s="4">
        <v>15</v>
      </c>
      <c r="AD3730" s="4">
        <v>38</v>
      </c>
      <c r="AE3730" s="4">
        <v>153</v>
      </c>
      <c r="AF3730" s="4">
        <v>0</v>
      </c>
      <c r="AG3730" s="4">
        <v>8</v>
      </c>
      <c r="AH3730" s="4">
        <v>37</v>
      </c>
      <c r="AI3730" s="4">
        <v>115</v>
      </c>
      <c r="AJ3730" s="4">
        <v>1</v>
      </c>
      <c r="AK3730" s="4">
        <v>26</v>
      </c>
      <c r="AL3730" s="4">
        <v>29</v>
      </c>
      <c r="AM3730" s="4">
        <v>61</v>
      </c>
      <c r="AN3730" s="4">
        <v>0</v>
      </c>
      <c r="AO3730" s="4">
        <v>2</v>
      </c>
      <c r="AP3730" s="4">
        <v>1</v>
      </c>
      <c r="AQ3730" s="4">
        <v>47</v>
      </c>
      <c r="AR3730" s="3" t="s">
        <v>62</v>
      </c>
      <c r="AS3730" s="3" t="s">
        <v>62</v>
      </c>
      <c r="AT3730" s="3" t="s">
        <v>62</v>
      </c>
      <c r="AV3730" s="6" t="str">
        <f>HYPERLINK("http://mcgill.on.worldcat.org/oclc/957466313","Catalog Record")</f>
        <v>Catalog Record</v>
      </c>
      <c r="AW3730" s="6" t="str">
        <f>HYPERLINK("http://www.worldcat.org/oclc/957466313","WorldCat Record")</f>
        <v>WorldCat Record</v>
      </c>
      <c r="AX3730" s="3" t="s">
        <v>36035</v>
      </c>
      <c r="AY3730" s="3" t="s">
        <v>36036</v>
      </c>
      <c r="AZ3730" s="3" t="s">
        <v>36037</v>
      </c>
      <c r="BA3730" s="3" t="s">
        <v>36037</v>
      </c>
      <c r="BB3730" s="3" t="s">
        <v>36038</v>
      </c>
      <c r="BC3730" s="3" t="s">
        <v>102</v>
      </c>
      <c r="BD3730" s="3" t="s">
        <v>68</v>
      </c>
      <c r="BE3730" s="3" t="s">
        <v>36039</v>
      </c>
      <c r="BF3730" s="3" t="s">
        <v>36038</v>
      </c>
      <c r="BG3730" s="3" t="s">
        <v>36040</v>
      </c>
    </row>
    <row r="3731" spans="1:59" ht="58" x14ac:dyDescent="0.35">
      <c r="A3731" s="2" t="s">
        <v>89</v>
      </c>
      <c r="B3731" s="2" t="s">
        <v>90</v>
      </c>
      <c r="C3731" s="2" t="s">
        <v>36041</v>
      </c>
      <c r="D3731" s="2" t="s">
        <v>36042</v>
      </c>
      <c r="E3731" s="2" t="s">
        <v>36043</v>
      </c>
      <c r="G3731" s="3" t="s">
        <v>62</v>
      </c>
      <c r="I3731" s="3" t="s">
        <v>61</v>
      </c>
      <c r="J3731" s="3" t="s">
        <v>61</v>
      </c>
      <c r="K3731" s="3" t="s">
        <v>7988</v>
      </c>
      <c r="L3731" s="2" t="s">
        <v>36044</v>
      </c>
      <c r="M3731" s="2" t="s">
        <v>36045</v>
      </c>
      <c r="N3731" s="3" t="s">
        <v>852</v>
      </c>
      <c r="P3731" s="3" t="s">
        <v>64</v>
      </c>
      <c r="Q3731" s="2" t="s">
        <v>36046</v>
      </c>
      <c r="R3731" s="3" t="s">
        <v>34126</v>
      </c>
      <c r="S3731" s="4">
        <v>19</v>
      </c>
      <c r="T3731" s="4">
        <v>42</v>
      </c>
      <c r="U3731" s="5" t="s">
        <v>36047</v>
      </c>
      <c r="V3731" s="5" t="s">
        <v>15906</v>
      </c>
      <c r="W3731" s="5" t="s">
        <v>67</v>
      </c>
      <c r="X3731" s="5" t="s">
        <v>67</v>
      </c>
      <c r="Y3731" s="4">
        <v>101</v>
      </c>
      <c r="Z3731" s="4">
        <v>12</v>
      </c>
      <c r="AA3731" s="4">
        <v>37</v>
      </c>
      <c r="AB3731" s="4">
        <v>2</v>
      </c>
      <c r="AC3731" s="4">
        <v>4</v>
      </c>
      <c r="AD3731" s="4">
        <v>20</v>
      </c>
      <c r="AE3731" s="4">
        <v>107</v>
      </c>
      <c r="AF3731" s="4">
        <v>1</v>
      </c>
      <c r="AG3731" s="4">
        <v>2</v>
      </c>
      <c r="AH3731" s="4">
        <v>11</v>
      </c>
      <c r="AI3731" s="4">
        <v>90</v>
      </c>
      <c r="AJ3731" s="4">
        <v>6</v>
      </c>
      <c r="AK3731" s="4">
        <v>19</v>
      </c>
      <c r="AL3731" s="4">
        <v>7</v>
      </c>
      <c r="AM3731" s="4">
        <v>48</v>
      </c>
      <c r="AN3731" s="4">
        <v>0</v>
      </c>
      <c r="AO3731" s="4">
        <v>3</v>
      </c>
      <c r="AP3731" s="4">
        <v>11</v>
      </c>
      <c r="AQ3731" s="4">
        <v>27</v>
      </c>
      <c r="AR3731" s="3" t="s">
        <v>62</v>
      </c>
      <c r="AS3731" s="3" t="s">
        <v>62</v>
      </c>
      <c r="AT3731" s="3" t="s">
        <v>61</v>
      </c>
      <c r="AU3731" s="6" t="str">
        <f>HYPERLINK("http://catalog.hathitrust.org/Record/001992114","HathiTrust Record")</f>
        <v>HathiTrust Record</v>
      </c>
      <c r="AV3731" s="6" t="str">
        <f>HYPERLINK("http://mcgill.on.worldcat.org/oclc/69639","Catalog Record")</f>
        <v>Catalog Record</v>
      </c>
      <c r="AW3731" s="6" t="str">
        <f>HYPERLINK("http://www.worldcat.org/oclc/69639","WorldCat Record")</f>
        <v>WorldCat Record</v>
      </c>
      <c r="AX3731" s="3" t="s">
        <v>36048</v>
      </c>
      <c r="AY3731" s="3" t="s">
        <v>36049</v>
      </c>
      <c r="AZ3731" s="3" t="s">
        <v>36050</v>
      </c>
      <c r="BA3731" s="3" t="s">
        <v>36050</v>
      </c>
      <c r="BB3731" s="3" t="s">
        <v>36051</v>
      </c>
      <c r="BC3731" s="3" t="s">
        <v>102</v>
      </c>
      <c r="BD3731" s="3" t="s">
        <v>68</v>
      </c>
      <c r="BE3731" s="3" t="s">
        <v>36052</v>
      </c>
      <c r="BF3731" s="3" t="s">
        <v>36051</v>
      </c>
      <c r="BG3731" s="3" t="s">
        <v>36053</v>
      </c>
    </row>
    <row r="3732" spans="1:59" ht="58" x14ac:dyDescent="0.35">
      <c r="A3732" s="2" t="s">
        <v>89</v>
      </c>
      <c r="B3732" s="2" t="s">
        <v>90</v>
      </c>
      <c r="C3732" s="2" t="s">
        <v>36054</v>
      </c>
      <c r="D3732" s="2" t="s">
        <v>36055</v>
      </c>
      <c r="E3732" s="2" t="s">
        <v>36056</v>
      </c>
      <c r="G3732" s="3" t="s">
        <v>62</v>
      </c>
      <c r="I3732" s="3" t="s">
        <v>62</v>
      </c>
      <c r="J3732" s="3" t="s">
        <v>62</v>
      </c>
      <c r="K3732" s="3" t="s">
        <v>63</v>
      </c>
      <c r="M3732" s="2" t="s">
        <v>36057</v>
      </c>
      <c r="N3732" s="3" t="s">
        <v>568</v>
      </c>
      <c r="P3732" s="3" t="s">
        <v>64</v>
      </c>
      <c r="R3732" s="3" t="s">
        <v>34126</v>
      </c>
      <c r="S3732" s="4">
        <v>16</v>
      </c>
      <c r="T3732" s="4">
        <v>16</v>
      </c>
      <c r="U3732" s="5" t="s">
        <v>29764</v>
      </c>
      <c r="V3732" s="5" t="s">
        <v>29764</v>
      </c>
      <c r="W3732" s="5" t="s">
        <v>67</v>
      </c>
      <c r="X3732" s="5" t="s">
        <v>67</v>
      </c>
      <c r="Y3732" s="4">
        <v>40</v>
      </c>
      <c r="Z3732" s="4">
        <v>2</v>
      </c>
      <c r="AA3732" s="4">
        <v>4</v>
      </c>
      <c r="AB3732" s="4">
        <v>1</v>
      </c>
      <c r="AC3732" s="4">
        <v>1</v>
      </c>
      <c r="AD3732" s="4">
        <v>22</v>
      </c>
      <c r="AE3732" s="4">
        <v>23</v>
      </c>
      <c r="AF3732" s="4">
        <v>0</v>
      </c>
      <c r="AG3732" s="4">
        <v>0</v>
      </c>
      <c r="AH3732" s="4">
        <v>21</v>
      </c>
      <c r="AI3732" s="4">
        <v>22</v>
      </c>
      <c r="AJ3732" s="4">
        <v>1</v>
      </c>
      <c r="AK3732" s="4">
        <v>2</v>
      </c>
      <c r="AL3732" s="4">
        <v>14</v>
      </c>
      <c r="AM3732" s="4">
        <v>15</v>
      </c>
      <c r="AN3732" s="4">
        <v>0</v>
      </c>
      <c r="AO3732" s="4">
        <v>0</v>
      </c>
      <c r="AP3732" s="4">
        <v>1</v>
      </c>
      <c r="AQ3732" s="4">
        <v>2</v>
      </c>
      <c r="AR3732" s="3" t="s">
        <v>62</v>
      </c>
      <c r="AS3732" s="3" t="s">
        <v>62</v>
      </c>
      <c r="AT3732" s="3" t="s">
        <v>61</v>
      </c>
      <c r="AU3732" s="6" t="str">
        <f>HYPERLINK("http://catalog.hathitrust.org/Record/101535981","HathiTrust Record")</f>
        <v>HathiTrust Record</v>
      </c>
      <c r="AV3732" s="6" t="str">
        <f>HYPERLINK("http://mcgill.on.worldcat.org/oclc/46981104","Catalog Record")</f>
        <v>Catalog Record</v>
      </c>
      <c r="AW3732" s="6" t="str">
        <f>HYPERLINK("http://www.worldcat.org/oclc/46981104","WorldCat Record")</f>
        <v>WorldCat Record</v>
      </c>
      <c r="AX3732" s="3" t="s">
        <v>36058</v>
      </c>
      <c r="AY3732" s="3" t="s">
        <v>36059</v>
      </c>
      <c r="AZ3732" s="3" t="s">
        <v>36060</v>
      </c>
      <c r="BA3732" s="3" t="s">
        <v>36060</v>
      </c>
      <c r="BB3732" s="3" t="s">
        <v>36061</v>
      </c>
      <c r="BC3732" s="3" t="s">
        <v>102</v>
      </c>
      <c r="BD3732" s="3" t="s">
        <v>68</v>
      </c>
      <c r="BE3732" s="3" t="s">
        <v>36062</v>
      </c>
      <c r="BF3732" s="3" t="s">
        <v>36061</v>
      </c>
      <c r="BG3732" s="3" t="s">
        <v>36063</v>
      </c>
    </row>
    <row r="3733" spans="1:59" ht="58" x14ac:dyDescent="0.35">
      <c r="A3733" s="2" t="s">
        <v>59</v>
      </c>
      <c r="B3733" s="2" t="s">
        <v>60</v>
      </c>
      <c r="C3733" s="2" t="s">
        <v>36064</v>
      </c>
      <c r="D3733" s="2" t="s">
        <v>36065</v>
      </c>
      <c r="E3733" s="2" t="s">
        <v>36066</v>
      </c>
      <c r="G3733" s="3" t="s">
        <v>62</v>
      </c>
      <c r="I3733" s="3" t="s">
        <v>62</v>
      </c>
      <c r="J3733" s="3" t="s">
        <v>62</v>
      </c>
      <c r="K3733" s="3" t="s">
        <v>63</v>
      </c>
      <c r="M3733" s="2" t="s">
        <v>36067</v>
      </c>
      <c r="N3733" s="3" t="s">
        <v>1576</v>
      </c>
      <c r="P3733" s="3" t="s">
        <v>64</v>
      </c>
      <c r="R3733" s="3" t="s">
        <v>34126</v>
      </c>
      <c r="S3733" s="4">
        <v>25</v>
      </c>
      <c r="T3733" s="4">
        <v>25</v>
      </c>
      <c r="U3733" s="5" t="s">
        <v>8532</v>
      </c>
      <c r="V3733" s="5" t="s">
        <v>8532</v>
      </c>
      <c r="W3733" s="5" t="s">
        <v>67</v>
      </c>
      <c r="X3733" s="5" t="s">
        <v>67</v>
      </c>
      <c r="Y3733" s="4">
        <v>608</v>
      </c>
      <c r="Z3733" s="4">
        <v>32</v>
      </c>
      <c r="AA3733" s="4">
        <v>33</v>
      </c>
      <c r="AB3733" s="4">
        <v>3</v>
      </c>
      <c r="AC3733" s="4">
        <v>4</v>
      </c>
      <c r="AD3733" s="4">
        <v>111</v>
      </c>
      <c r="AE3733" s="4">
        <v>113</v>
      </c>
      <c r="AF3733" s="4">
        <v>2</v>
      </c>
      <c r="AG3733" s="4">
        <v>3</v>
      </c>
      <c r="AH3733" s="4">
        <v>95</v>
      </c>
      <c r="AI3733" s="4">
        <v>97</v>
      </c>
      <c r="AJ3733" s="4">
        <v>21</v>
      </c>
      <c r="AK3733" s="4">
        <v>22</v>
      </c>
      <c r="AL3733" s="4">
        <v>48</v>
      </c>
      <c r="AM3733" s="4">
        <v>49</v>
      </c>
      <c r="AN3733" s="4">
        <v>0</v>
      </c>
      <c r="AO3733" s="4">
        <v>0</v>
      </c>
      <c r="AP3733" s="4">
        <v>23</v>
      </c>
      <c r="AQ3733" s="4">
        <v>24</v>
      </c>
      <c r="AR3733" s="3" t="s">
        <v>62</v>
      </c>
      <c r="AS3733" s="3" t="s">
        <v>62</v>
      </c>
      <c r="AT3733" s="3" t="s">
        <v>61</v>
      </c>
      <c r="AU3733" s="6" t="str">
        <f>HYPERLINK("http://catalog.hathitrust.org/Record/001490691","HathiTrust Record")</f>
        <v>HathiTrust Record</v>
      </c>
      <c r="AV3733" s="6" t="str">
        <f>HYPERLINK("http://mcgill.on.worldcat.org/oclc/550156","Catalog Record")</f>
        <v>Catalog Record</v>
      </c>
      <c r="AW3733" s="6" t="str">
        <f>HYPERLINK("http://www.worldcat.org/oclc/550156","WorldCat Record")</f>
        <v>WorldCat Record</v>
      </c>
      <c r="AX3733" s="3" t="s">
        <v>36068</v>
      </c>
      <c r="AY3733" s="3" t="s">
        <v>36069</v>
      </c>
      <c r="AZ3733" s="3" t="s">
        <v>36070</v>
      </c>
      <c r="BA3733" s="3" t="s">
        <v>36070</v>
      </c>
      <c r="BB3733" s="3" t="s">
        <v>36071</v>
      </c>
      <c r="BC3733" s="3" t="s">
        <v>102</v>
      </c>
      <c r="BD3733" s="3" t="s">
        <v>231</v>
      </c>
      <c r="BF3733" s="3" t="s">
        <v>36071</v>
      </c>
      <c r="BG3733" s="3" t="s">
        <v>36072</v>
      </c>
    </row>
    <row r="3734" spans="1:59" ht="58" x14ac:dyDescent="0.35">
      <c r="A3734" s="2" t="s">
        <v>89</v>
      </c>
      <c r="B3734" s="2" t="s">
        <v>90</v>
      </c>
      <c r="C3734" s="2" t="s">
        <v>36073</v>
      </c>
      <c r="D3734" s="2" t="s">
        <v>36074</v>
      </c>
      <c r="E3734" s="2" t="s">
        <v>36075</v>
      </c>
      <c r="G3734" s="3" t="s">
        <v>62</v>
      </c>
      <c r="I3734" s="3" t="s">
        <v>62</v>
      </c>
      <c r="J3734" s="3" t="s">
        <v>62</v>
      </c>
      <c r="K3734" s="3" t="s">
        <v>63</v>
      </c>
      <c r="M3734" s="2" t="s">
        <v>36076</v>
      </c>
      <c r="N3734" s="3" t="s">
        <v>539</v>
      </c>
      <c r="P3734" s="3" t="s">
        <v>1752</v>
      </c>
      <c r="Q3734" s="2" t="s">
        <v>36077</v>
      </c>
      <c r="R3734" s="3" t="s">
        <v>34126</v>
      </c>
      <c r="S3734" s="4">
        <v>4</v>
      </c>
      <c r="T3734" s="4">
        <v>4</v>
      </c>
      <c r="U3734" s="5" t="s">
        <v>29764</v>
      </c>
      <c r="V3734" s="5" t="s">
        <v>29764</v>
      </c>
      <c r="W3734" s="5" t="s">
        <v>67</v>
      </c>
      <c r="X3734" s="5" t="s">
        <v>67</v>
      </c>
      <c r="Y3734" s="4">
        <v>30</v>
      </c>
      <c r="Z3734" s="4">
        <v>2</v>
      </c>
      <c r="AA3734" s="4">
        <v>2</v>
      </c>
      <c r="AB3734" s="4">
        <v>1</v>
      </c>
      <c r="AC3734" s="4">
        <v>1</v>
      </c>
      <c r="AD3734" s="4">
        <v>11</v>
      </c>
      <c r="AE3734" s="4">
        <v>11</v>
      </c>
      <c r="AF3734" s="4">
        <v>0</v>
      </c>
      <c r="AG3734" s="4">
        <v>0</v>
      </c>
      <c r="AH3734" s="4">
        <v>11</v>
      </c>
      <c r="AI3734" s="4">
        <v>11</v>
      </c>
      <c r="AJ3734" s="4">
        <v>1</v>
      </c>
      <c r="AK3734" s="4">
        <v>1</v>
      </c>
      <c r="AL3734" s="4">
        <v>6</v>
      </c>
      <c r="AM3734" s="4">
        <v>6</v>
      </c>
      <c r="AN3734" s="4">
        <v>0</v>
      </c>
      <c r="AO3734" s="4">
        <v>0</v>
      </c>
      <c r="AP3734" s="4">
        <v>1</v>
      </c>
      <c r="AQ3734" s="4">
        <v>1</v>
      </c>
      <c r="AR3734" s="3" t="s">
        <v>62</v>
      </c>
      <c r="AS3734" s="3" t="s">
        <v>62</v>
      </c>
      <c r="AT3734" s="3" t="s">
        <v>61</v>
      </c>
      <c r="AU3734" s="6" t="str">
        <f>HYPERLINK("http://catalog.hathitrust.org/Record/101535218","HathiTrust Record")</f>
        <v>HathiTrust Record</v>
      </c>
      <c r="AV3734" s="6" t="str">
        <f>HYPERLINK("http://mcgill.on.worldcat.org/oclc/42879439","Catalog Record")</f>
        <v>Catalog Record</v>
      </c>
      <c r="AW3734" s="6" t="str">
        <f>HYPERLINK("http://www.worldcat.org/oclc/42879439","WorldCat Record")</f>
        <v>WorldCat Record</v>
      </c>
      <c r="AX3734" s="3" t="s">
        <v>36078</v>
      </c>
      <c r="AY3734" s="3" t="s">
        <v>36079</v>
      </c>
      <c r="AZ3734" s="3" t="s">
        <v>36080</v>
      </c>
      <c r="BA3734" s="3" t="s">
        <v>36080</v>
      </c>
      <c r="BB3734" s="3" t="s">
        <v>36081</v>
      </c>
      <c r="BC3734" s="3" t="s">
        <v>102</v>
      </c>
      <c r="BD3734" s="3" t="s">
        <v>68</v>
      </c>
      <c r="BE3734" s="3" t="s">
        <v>36082</v>
      </c>
      <c r="BF3734" s="3" t="s">
        <v>36081</v>
      </c>
      <c r="BG3734" s="3" t="s">
        <v>36083</v>
      </c>
    </row>
    <row r="3735" spans="1:59" ht="58" x14ac:dyDescent="0.35">
      <c r="A3735" s="2" t="s">
        <v>89</v>
      </c>
      <c r="B3735" s="2" t="s">
        <v>90</v>
      </c>
      <c r="C3735" s="2" t="s">
        <v>36084</v>
      </c>
      <c r="D3735" s="2" t="s">
        <v>36085</v>
      </c>
      <c r="E3735" s="2" t="s">
        <v>36086</v>
      </c>
      <c r="G3735" s="3" t="s">
        <v>62</v>
      </c>
      <c r="H3735" s="3" t="s">
        <v>916</v>
      </c>
      <c r="I3735" s="3" t="s">
        <v>62</v>
      </c>
      <c r="J3735" s="3" t="s">
        <v>62</v>
      </c>
      <c r="K3735" s="3" t="s">
        <v>63</v>
      </c>
      <c r="L3735" s="2" t="s">
        <v>36087</v>
      </c>
      <c r="M3735" s="2" t="s">
        <v>36088</v>
      </c>
      <c r="N3735" s="3" t="s">
        <v>2085</v>
      </c>
      <c r="P3735" s="3" t="s">
        <v>64</v>
      </c>
      <c r="R3735" s="3" t="s">
        <v>34126</v>
      </c>
      <c r="S3735" s="4">
        <v>0</v>
      </c>
      <c r="T3735" s="4">
        <v>0</v>
      </c>
      <c r="W3735" s="5" t="s">
        <v>6944</v>
      </c>
      <c r="X3735" s="5" t="s">
        <v>6944</v>
      </c>
      <c r="Y3735" s="4">
        <v>24</v>
      </c>
      <c r="Z3735" s="4">
        <v>2</v>
      </c>
      <c r="AA3735" s="4">
        <v>13</v>
      </c>
      <c r="AB3735" s="4">
        <v>2</v>
      </c>
      <c r="AC3735" s="4">
        <v>4</v>
      </c>
      <c r="AD3735" s="4">
        <v>6</v>
      </c>
      <c r="AE3735" s="4">
        <v>47</v>
      </c>
      <c r="AF3735" s="4">
        <v>1</v>
      </c>
      <c r="AG3735" s="4">
        <v>1</v>
      </c>
      <c r="AH3735" s="4">
        <v>5</v>
      </c>
      <c r="AI3735" s="4">
        <v>41</v>
      </c>
      <c r="AJ3735" s="4">
        <v>1</v>
      </c>
      <c r="AK3735" s="4">
        <v>5</v>
      </c>
      <c r="AL3735" s="4">
        <v>2</v>
      </c>
      <c r="AM3735" s="4">
        <v>29</v>
      </c>
      <c r="AN3735" s="4">
        <v>0</v>
      </c>
      <c r="AO3735" s="4">
        <v>0</v>
      </c>
      <c r="AP3735" s="4">
        <v>1</v>
      </c>
      <c r="AQ3735" s="4">
        <v>6</v>
      </c>
      <c r="AR3735" s="3" t="s">
        <v>62</v>
      </c>
      <c r="AS3735" s="3" t="s">
        <v>62</v>
      </c>
      <c r="AT3735" s="3" t="s">
        <v>62</v>
      </c>
      <c r="AV3735" s="6" t="str">
        <f>HYPERLINK("http://mcgill.on.worldcat.org/oclc/1057605194","Catalog Record")</f>
        <v>Catalog Record</v>
      </c>
      <c r="AW3735" s="6" t="str">
        <f>HYPERLINK("http://www.worldcat.org/oclc/1057605194","WorldCat Record")</f>
        <v>WorldCat Record</v>
      </c>
      <c r="AX3735" s="3" t="s">
        <v>36089</v>
      </c>
      <c r="AY3735" s="3" t="s">
        <v>36090</v>
      </c>
      <c r="AZ3735" s="3" t="s">
        <v>36091</v>
      </c>
      <c r="BA3735" s="3" t="s">
        <v>36091</v>
      </c>
      <c r="BB3735" s="3" t="s">
        <v>36092</v>
      </c>
      <c r="BC3735" s="3" t="s">
        <v>102</v>
      </c>
      <c r="BD3735" s="3" t="s">
        <v>68</v>
      </c>
      <c r="BE3735" s="3" t="s">
        <v>36093</v>
      </c>
      <c r="BF3735" s="3" t="s">
        <v>36092</v>
      </c>
      <c r="BG3735" s="3" t="s">
        <v>36094</v>
      </c>
    </row>
    <row r="3736" spans="1:59" ht="58" x14ac:dyDescent="0.35">
      <c r="A3736" s="2" t="s">
        <v>89</v>
      </c>
      <c r="B3736" s="2" t="s">
        <v>90</v>
      </c>
      <c r="C3736" s="2" t="s">
        <v>36095</v>
      </c>
      <c r="D3736" s="2" t="s">
        <v>36096</v>
      </c>
      <c r="E3736" s="2" t="s">
        <v>36097</v>
      </c>
      <c r="G3736" s="3" t="s">
        <v>62</v>
      </c>
      <c r="I3736" s="3" t="s">
        <v>62</v>
      </c>
      <c r="J3736" s="3" t="s">
        <v>62</v>
      </c>
      <c r="K3736" s="3" t="s">
        <v>63</v>
      </c>
      <c r="M3736" s="2" t="s">
        <v>36098</v>
      </c>
      <c r="N3736" s="3" t="s">
        <v>481</v>
      </c>
      <c r="P3736" s="3" t="s">
        <v>64</v>
      </c>
      <c r="R3736" s="3" t="s">
        <v>34126</v>
      </c>
      <c r="S3736" s="4">
        <v>24</v>
      </c>
      <c r="T3736" s="4">
        <v>24</v>
      </c>
      <c r="U3736" s="5" t="s">
        <v>3413</v>
      </c>
      <c r="V3736" s="5" t="s">
        <v>3413</v>
      </c>
      <c r="W3736" s="5" t="s">
        <v>67</v>
      </c>
      <c r="X3736" s="5" t="s">
        <v>67</v>
      </c>
      <c r="Y3736" s="4">
        <v>271</v>
      </c>
      <c r="Z3736" s="4">
        <v>26</v>
      </c>
      <c r="AA3736" s="4">
        <v>56</v>
      </c>
      <c r="AB3736" s="4">
        <v>2</v>
      </c>
      <c r="AC3736" s="4">
        <v>9</v>
      </c>
      <c r="AD3736" s="4">
        <v>100</v>
      </c>
      <c r="AE3736" s="4">
        <v>128</v>
      </c>
      <c r="AF3736" s="4">
        <v>1</v>
      </c>
      <c r="AG3736" s="4">
        <v>1</v>
      </c>
      <c r="AH3736" s="4">
        <v>84</v>
      </c>
      <c r="AI3736" s="4">
        <v>104</v>
      </c>
      <c r="AJ3736" s="4">
        <v>16</v>
      </c>
      <c r="AK3736" s="4">
        <v>21</v>
      </c>
      <c r="AL3736" s="4">
        <v>44</v>
      </c>
      <c r="AM3736" s="4">
        <v>56</v>
      </c>
      <c r="AN3736" s="4">
        <v>0</v>
      </c>
      <c r="AO3736" s="4">
        <v>0</v>
      </c>
      <c r="AP3736" s="4">
        <v>25</v>
      </c>
      <c r="AQ3736" s="4">
        <v>35</v>
      </c>
      <c r="AR3736" s="3" t="s">
        <v>62</v>
      </c>
      <c r="AS3736" s="3" t="s">
        <v>62</v>
      </c>
      <c r="AT3736" s="3" t="s">
        <v>61</v>
      </c>
      <c r="AU3736" s="6" t="str">
        <f>HYPERLINK("http://catalog.hathitrust.org/Record/003944623","HathiTrust Record")</f>
        <v>HathiTrust Record</v>
      </c>
      <c r="AV3736" s="6" t="str">
        <f>HYPERLINK("http://mcgill.on.worldcat.org/oclc/37763032","Catalog Record")</f>
        <v>Catalog Record</v>
      </c>
      <c r="AW3736" s="6" t="str">
        <f>HYPERLINK("http://www.worldcat.org/oclc/37763032","WorldCat Record")</f>
        <v>WorldCat Record</v>
      </c>
      <c r="AX3736" s="3" t="s">
        <v>36099</v>
      </c>
      <c r="AY3736" s="3" t="s">
        <v>36100</v>
      </c>
      <c r="AZ3736" s="3" t="s">
        <v>36101</v>
      </c>
      <c r="BA3736" s="3" t="s">
        <v>36101</v>
      </c>
      <c r="BB3736" s="3" t="s">
        <v>36102</v>
      </c>
      <c r="BC3736" s="3" t="s">
        <v>102</v>
      </c>
      <c r="BD3736" s="3" t="s">
        <v>68</v>
      </c>
      <c r="BE3736" s="3" t="s">
        <v>36103</v>
      </c>
      <c r="BF3736" s="3" t="s">
        <v>36102</v>
      </c>
      <c r="BG3736" s="3" t="s">
        <v>36104</v>
      </c>
    </row>
    <row r="3737" spans="1:59" ht="58" x14ac:dyDescent="0.35">
      <c r="A3737" s="2" t="s">
        <v>89</v>
      </c>
      <c r="B3737" s="2" t="s">
        <v>90</v>
      </c>
      <c r="C3737" s="2" t="s">
        <v>36105</v>
      </c>
      <c r="D3737" s="2" t="s">
        <v>36106</v>
      </c>
      <c r="E3737" s="2" t="s">
        <v>36107</v>
      </c>
      <c r="G3737" s="3" t="s">
        <v>62</v>
      </c>
      <c r="I3737" s="3" t="s">
        <v>61</v>
      </c>
      <c r="J3737" s="3" t="s">
        <v>62</v>
      </c>
      <c r="K3737" s="3" t="s">
        <v>63</v>
      </c>
      <c r="M3737" s="2" t="s">
        <v>36108</v>
      </c>
      <c r="N3737" s="3" t="s">
        <v>2136</v>
      </c>
      <c r="P3737" s="3" t="s">
        <v>64</v>
      </c>
      <c r="Q3737" s="2" t="s">
        <v>32136</v>
      </c>
      <c r="R3737" s="3" t="s">
        <v>34126</v>
      </c>
      <c r="S3737" s="4">
        <v>5</v>
      </c>
      <c r="T3737" s="4">
        <v>8</v>
      </c>
      <c r="U3737" s="5" t="s">
        <v>36109</v>
      </c>
      <c r="V3737" s="5" t="s">
        <v>36110</v>
      </c>
      <c r="W3737" s="5" t="s">
        <v>67</v>
      </c>
      <c r="X3737" s="5" t="s">
        <v>67</v>
      </c>
      <c r="Y3737" s="4">
        <v>255</v>
      </c>
      <c r="Z3737" s="4">
        <v>21</v>
      </c>
      <c r="AA3737" s="4">
        <v>92</v>
      </c>
      <c r="AB3737" s="4">
        <v>1</v>
      </c>
      <c r="AC3737" s="4">
        <v>17</v>
      </c>
      <c r="AD3737" s="4">
        <v>96</v>
      </c>
      <c r="AE3737" s="4">
        <v>137</v>
      </c>
      <c r="AF3737" s="4">
        <v>0</v>
      </c>
      <c r="AG3737" s="4">
        <v>8</v>
      </c>
      <c r="AH3737" s="4">
        <v>87</v>
      </c>
      <c r="AI3737" s="4">
        <v>101</v>
      </c>
      <c r="AJ3737" s="4">
        <v>16</v>
      </c>
      <c r="AK3737" s="4">
        <v>24</v>
      </c>
      <c r="AL3737" s="4">
        <v>48</v>
      </c>
      <c r="AM3737" s="4">
        <v>51</v>
      </c>
      <c r="AN3737" s="4">
        <v>0</v>
      </c>
      <c r="AO3737" s="4">
        <v>0</v>
      </c>
      <c r="AP3737" s="4">
        <v>18</v>
      </c>
      <c r="AQ3737" s="4">
        <v>45</v>
      </c>
      <c r="AR3737" s="3" t="s">
        <v>62</v>
      </c>
      <c r="AS3737" s="3" t="s">
        <v>62</v>
      </c>
      <c r="AT3737" s="3" t="s">
        <v>62</v>
      </c>
      <c r="AV3737" s="6" t="str">
        <f>HYPERLINK("http://mcgill.on.worldcat.org/oclc/57669558","Catalog Record")</f>
        <v>Catalog Record</v>
      </c>
      <c r="AW3737" s="6" t="str">
        <f>HYPERLINK("http://www.worldcat.org/oclc/57669558","WorldCat Record")</f>
        <v>WorldCat Record</v>
      </c>
      <c r="AX3737" s="3" t="s">
        <v>36111</v>
      </c>
      <c r="AY3737" s="3" t="s">
        <v>36112</v>
      </c>
      <c r="AZ3737" s="3" t="s">
        <v>36113</v>
      </c>
      <c r="BA3737" s="3" t="s">
        <v>36113</v>
      </c>
      <c r="BB3737" s="3" t="s">
        <v>36114</v>
      </c>
      <c r="BC3737" s="3" t="s">
        <v>102</v>
      </c>
      <c r="BD3737" s="3" t="s">
        <v>68</v>
      </c>
      <c r="BE3737" s="3" t="s">
        <v>36115</v>
      </c>
      <c r="BF3737" s="3" t="s">
        <v>36114</v>
      </c>
      <c r="BG3737" s="3" t="s">
        <v>36116</v>
      </c>
    </row>
    <row r="3738" spans="1:59" ht="58" x14ac:dyDescent="0.35">
      <c r="A3738" s="2" t="s">
        <v>59</v>
      </c>
      <c r="B3738" s="2" t="s">
        <v>60</v>
      </c>
      <c r="C3738" s="2" t="s">
        <v>36117</v>
      </c>
      <c r="D3738" s="2" t="s">
        <v>36118</v>
      </c>
      <c r="E3738" s="2" t="s">
        <v>36119</v>
      </c>
      <c r="G3738" s="3" t="s">
        <v>62</v>
      </c>
      <c r="I3738" s="3" t="s">
        <v>62</v>
      </c>
      <c r="J3738" s="3" t="s">
        <v>62</v>
      </c>
      <c r="K3738" s="3" t="s">
        <v>63</v>
      </c>
      <c r="M3738" s="2" t="s">
        <v>36120</v>
      </c>
      <c r="N3738" s="3" t="s">
        <v>2975</v>
      </c>
      <c r="P3738" s="3" t="s">
        <v>64</v>
      </c>
      <c r="Q3738" s="2" t="s">
        <v>36121</v>
      </c>
      <c r="R3738" s="3" t="s">
        <v>34126</v>
      </c>
      <c r="S3738" s="4">
        <v>7</v>
      </c>
      <c r="T3738" s="4">
        <v>7</v>
      </c>
      <c r="U3738" s="5" t="s">
        <v>18104</v>
      </c>
      <c r="V3738" s="5" t="s">
        <v>18104</v>
      </c>
      <c r="W3738" s="5" t="s">
        <v>67</v>
      </c>
      <c r="X3738" s="5" t="s">
        <v>67</v>
      </c>
      <c r="Y3738" s="4">
        <v>123</v>
      </c>
      <c r="Z3738" s="4">
        <v>12</v>
      </c>
      <c r="AA3738" s="4">
        <v>12</v>
      </c>
      <c r="AB3738" s="4">
        <v>2</v>
      </c>
      <c r="AC3738" s="4">
        <v>2</v>
      </c>
      <c r="AD3738" s="4">
        <v>53</v>
      </c>
      <c r="AE3738" s="4">
        <v>53</v>
      </c>
      <c r="AF3738" s="4">
        <v>0</v>
      </c>
      <c r="AG3738" s="4">
        <v>0</v>
      </c>
      <c r="AH3738" s="4">
        <v>49</v>
      </c>
      <c r="AI3738" s="4">
        <v>49</v>
      </c>
      <c r="AJ3738" s="4">
        <v>6</v>
      </c>
      <c r="AK3738" s="4">
        <v>6</v>
      </c>
      <c r="AL3738" s="4">
        <v>31</v>
      </c>
      <c r="AM3738" s="4">
        <v>31</v>
      </c>
      <c r="AN3738" s="4">
        <v>0</v>
      </c>
      <c r="AO3738" s="4">
        <v>0</v>
      </c>
      <c r="AP3738" s="4">
        <v>8</v>
      </c>
      <c r="AQ3738" s="4">
        <v>8</v>
      </c>
      <c r="AR3738" s="3" t="s">
        <v>62</v>
      </c>
      <c r="AS3738" s="3" t="s">
        <v>62</v>
      </c>
      <c r="AT3738" s="3" t="s">
        <v>61</v>
      </c>
      <c r="AU3738" s="6" t="str">
        <f>HYPERLINK("http://catalog.hathitrust.org/Record/007261185","HathiTrust Record")</f>
        <v>HathiTrust Record</v>
      </c>
      <c r="AV3738" s="6" t="str">
        <f>HYPERLINK("http://mcgill.on.worldcat.org/oclc/46685420","Catalog Record")</f>
        <v>Catalog Record</v>
      </c>
      <c r="AW3738" s="6" t="str">
        <f>HYPERLINK("http://www.worldcat.org/oclc/46685420","WorldCat Record")</f>
        <v>WorldCat Record</v>
      </c>
      <c r="AX3738" s="3" t="s">
        <v>36122</v>
      </c>
      <c r="AY3738" s="3" t="s">
        <v>36123</v>
      </c>
      <c r="AZ3738" s="3" t="s">
        <v>36124</v>
      </c>
      <c r="BA3738" s="3" t="s">
        <v>36124</v>
      </c>
      <c r="BB3738" s="3" t="s">
        <v>36125</v>
      </c>
      <c r="BC3738" s="3" t="s">
        <v>102</v>
      </c>
      <c r="BD3738" s="3" t="s">
        <v>68</v>
      </c>
      <c r="BE3738" s="3" t="s">
        <v>36126</v>
      </c>
      <c r="BF3738" s="3" t="s">
        <v>36125</v>
      </c>
      <c r="BG3738" s="3" t="s">
        <v>36127</v>
      </c>
    </row>
    <row r="3739" spans="1:59" ht="58" x14ac:dyDescent="0.35">
      <c r="A3739" s="2" t="s">
        <v>59</v>
      </c>
      <c r="B3739" s="2" t="s">
        <v>60</v>
      </c>
      <c r="C3739" s="2" t="s">
        <v>36128</v>
      </c>
      <c r="D3739" s="2" t="s">
        <v>36129</v>
      </c>
      <c r="E3739" s="2" t="s">
        <v>36130</v>
      </c>
      <c r="G3739" s="3" t="s">
        <v>62</v>
      </c>
      <c r="I3739" s="3" t="s">
        <v>62</v>
      </c>
      <c r="J3739" s="3" t="s">
        <v>62</v>
      </c>
      <c r="K3739" s="3" t="s">
        <v>63</v>
      </c>
      <c r="L3739" s="2" t="s">
        <v>36131</v>
      </c>
      <c r="M3739" s="2" t="s">
        <v>36132</v>
      </c>
      <c r="N3739" s="3" t="s">
        <v>2975</v>
      </c>
      <c r="P3739" s="3" t="s">
        <v>64</v>
      </c>
      <c r="R3739" s="3" t="s">
        <v>34126</v>
      </c>
      <c r="S3739" s="4">
        <v>1</v>
      </c>
      <c r="T3739" s="4">
        <v>1</v>
      </c>
      <c r="U3739" s="5" t="s">
        <v>36133</v>
      </c>
      <c r="V3739" s="5" t="s">
        <v>36133</v>
      </c>
      <c r="W3739" s="5" t="s">
        <v>67</v>
      </c>
      <c r="X3739" s="5" t="s">
        <v>67</v>
      </c>
      <c r="Y3739" s="4">
        <v>35</v>
      </c>
      <c r="Z3739" s="4">
        <v>1</v>
      </c>
      <c r="AA3739" s="4">
        <v>7</v>
      </c>
      <c r="AB3739" s="4">
        <v>1</v>
      </c>
      <c r="AC3739" s="4">
        <v>1</v>
      </c>
      <c r="AD3739" s="4">
        <v>0</v>
      </c>
      <c r="AE3739" s="4">
        <v>13</v>
      </c>
      <c r="AF3739" s="4">
        <v>0</v>
      </c>
      <c r="AG3739" s="4">
        <v>0</v>
      </c>
      <c r="AH3739" s="4">
        <v>0</v>
      </c>
      <c r="AI3739" s="4">
        <v>12</v>
      </c>
      <c r="AJ3739" s="4">
        <v>0</v>
      </c>
      <c r="AK3739" s="4">
        <v>4</v>
      </c>
      <c r="AL3739" s="4">
        <v>0</v>
      </c>
      <c r="AM3739" s="4">
        <v>6</v>
      </c>
      <c r="AN3739" s="4">
        <v>0</v>
      </c>
      <c r="AO3739" s="4">
        <v>0</v>
      </c>
      <c r="AP3739" s="4">
        <v>0</v>
      </c>
      <c r="AQ3739" s="4">
        <v>4</v>
      </c>
      <c r="AR3739" s="3" t="s">
        <v>62</v>
      </c>
      <c r="AS3739" s="3" t="s">
        <v>62</v>
      </c>
      <c r="AT3739" s="3" t="s">
        <v>62</v>
      </c>
      <c r="AV3739" s="6" t="str">
        <f>HYPERLINK("http://mcgill.on.worldcat.org/oclc/59549315","Catalog Record")</f>
        <v>Catalog Record</v>
      </c>
      <c r="AW3739" s="6" t="str">
        <f>HYPERLINK("http://www.worldcat.org/oclc/59549315","WorldCat Record")</f>
        <v>WorldCat Record</v>
      </c>
      <c r="AX3739" s="3" t="s">
        <v>36134</v>
      </c>
      <c r="AY3739" s="3" t="s">
        <v>36135</v>
      </c>
      <c r="AZ3739" s="3" t="s">
        <v>36136</v>
      </c>
      <c r="BA3739" s="3" t="s">
        <v>36136</v>
      </c>
      <c r="BB3739" s="3" t="s">
        <v>36137</v>
      </c>
      <c r="BC3739" s="3" t="s">
        <v>102</v>
      </c>
      <c r="BD3739" s="3" t="s">
        <v>68</v>
      </c>
      <c r="BE3739" s="3" t="s">
        <v>36138</v>
      </c>
      <c r="BF3739" s="3" t="s">
        <v>36137</v>
      </c>
      <c r="BG3739" s="3" t="s">
        <v>36139</v>
      </c>
    </row>
    <row r="3740" spans="1:59" ht="58" x14ac:dyDescent="0.35">
      <c r="A3740" s="2" t="s">
        <v>89</v>
      </c>
      <c r="B3740" s="2" t="s">
        <v>90</v>
      </c>
      <c r="C3740" s="2" t="s">
        <v>36140</v>
      </c>
      <c r="D3740" s="2" t="s">
        <v>36141</v>
      </c>
      <c r="E3740" s="2" t="s">
        <v>36142</v>
      </c>
      <c r="G3740" s="3" t="s">
        <v>62</v>
      </c>
      <c r="I3740" s="3" t="s">
        <v>62</v>
      </c>
      <c r="J3740" s="3" t="s">
        <v>61</v>
      </c>
      <c r="K3740" s="3" t="s">
        <v>63</v>
      </c>
      <c r="L3740" s="2" t="s">
        <v>36143</v>
      </c>
      <c r="M3740" s="2" t="s">
        <v>36144</v>
      </c>
      <c r="N3740" s="3" t="s">
        <v>2305</v>
      </c>
      <c r="O3740" s="2" t="s">
        <v>35680</v>
      </c>
      <c r="P3740" s="3" t="s">
        <v>64</v>
      </c>
      <c r="R3740" s="3" t="s">
        <v>34126</v>
      </c>
      <c r="S3740" s="4">
        <v>4</v>
      </c>
      <c r="T3740" s="4">
        <v>4</v>
      </c>
      <c r="U3740" s="5" t="s">
        <v>8586</v>
      </c>
      <c r="V3740" s="5" t="s">
        <v>8586</v>
      </c>
      <c r="W3740" s="5" t="s">
        <v>67</v>
      </c>
      <c r="X3740" s="5" t="s">
        <v>67</v>
      </c>
      <c r="Y3740" s="4">
        <v>1217</v>
      </c>
      <c r="Z3740" s="4">
        <v>11</v>
      </c>
      <c r="AA3740" s="4">
        <v>61</v>
      </c>
      <c r="AB3740" s="4">
        <v>1</v>
      </c>
      <c r="AC3740" s="4">
        <v>4</v>
      </c>
      <c r="AD3740" s="4">
        <v>91</v>
      </c>
      <c r="AE3740" s="4">
        <v>130</v>
      </c>
      <c r="AF3740" s="4">
        <v>0</v>
      </c>
      <c r="AG3740" s="4">
        <v>2</v>
      </c>
      <c r="AH3740" s="4">
        <v>80</v>
      </c>
      <c r="AI3740" s="4">
        <v>104</v>
      </c>
      <c r="AJ3740" s="4">
        <v>3</v>
      </c>
      <c r="AK3740" s="4">
        <v>16</v>
      </c>
      <c r="AL3740" s="4">
        <v>47</v>
      </c>
      <c r="AM3740" s="4">
        <v>58</v>
      </c>
      <c r="AN3740" s="4">
        <v>0</v>
      </c>
      <c r="AO3740" s="4">
        <v>3</v>
      </c>
      <c r="AP3740" s="4">
        <v>8</v>
      </c>
      <c r="AQ3740" s="4">
        <v>30</v>
      </c>
      <c r="AR3740" s="3" t="s">
        <v>62</v>
      </c>
      <c r="AS3740" s="3" t="s">
        <v>62</v>
      </c>
      <c r="AT3740" s="3" t="s">
        <v>62</v>
      </c>
      <c r="AU3740" s="6" t="str">
        <f>HYPERLINK("http://catalog.hathitrust.org/Record/006127984","HathiTrust Record")</f>
        <v>HathiTrust Record</v>
      </c>
      <c r="AV3740" s="6" t="str">
        <f>HYPERLINK("http://mcgill.on.worldcat.org/oclc/19722734","Catalog Record")</f>
        <v>Catalog Record</v>
      </c>
      <c r="AW3740" s="6" t="str">
        <f>HYPERLINK("http://www.worldcat.org/oclc/19722734","WorldCat Record")</f>
        <v>WorldCat Record</v>
      </c>
      <c r="AX3740" s="3" t="s">
        <v>36145</v>
      </c>
      <c r="AY3740" s="3" t="s">
        <v>36146</v>
      </c>
      <c r="AZ3740" s="3" t="s">
        <v>36147</v>
      </c>
      <c r="BA3740" s="3" t="s">
        <v>36147</v>
      </c>
      <c r="BB3740" s="3" t="s">
        <v>36148</v>
      </c>
      <c r="BC3740" s="3" t="s">
        <v>102</v>
      </c>
      <c r="BD3740" s="3" t="s">
        <v>68</v>
      </c>
      <c r="BF3740" s="3" t="s">
        <v>36148</v>
      </c>
      <c r="BG3740" s="3" t="s">
        <v>36149</v>
      </c>
    </row>
    <row r="3741" spans="1:59" ht="58" x14ac:dyDescent="0.35">
      <c r="A3741" s="2" t="s">
        <v>89</v>
      </c>
      <c r="B3741" s="2" t="s">
        <v>90</v>
      </c>
      <c r="C3741" s="2" t="s">
        <v>36150</v>
      </c>
      <c r="D3741" s="2" t="s">
        <v>36151</v>
      </c>
      <c r="E3741" s="2" t="s">
        <v>36152</v>
      </c>
      <c r="G3741" s="3" t="s">
        <v>62</v>
      </c>
      <c r="I3741" s="3" t="s">
        <v>62</v>
      </c>
      <c r="J3741" s="3" t="s">
        <v>62</v>
      </c>
      <c r="K3741" s="3" t="s">
        <v>63</v>
      </c>
      <c r="M3741" s="2" t="s">
        <v>36153</v>
      </c>
      <c r="N3741" s="3" t="s">
        <v>481</v>
      </c>
      <c r="P3741" s="3" t="s">
        <v>64</v>
      </c>
      <c r="R3741" s="3" t="s">
        <v>34126</v>
      </c>
      <c r="S3741" s="4">
        <v>6</v>
      </c>
      <c r="T3741" s="4">
        <v>6</v>
      </c>
      <c r="U3741" s="5" t="s">
        <v>5789</v>
      </c>
      <c r="V3741" s="5" t="s">
        <v>5789</v>
      </c>
      <c r="W3741" s="5" t="s">
        <v>67</v>
      </c>
      <c r="X3741" s="5" t="s">
        <v>67</v>
      </c>
      <c r="Y3741" s="4">
        <v>19</v>
      </c>
      <c r="Z3741" s="4">
        <v>11</v>
      </c>
      <c r="AA3741" s="4">
        <v>22</v>
      </c>
      <c r="AB3741" s="4">
        <v>3</v>
      </c>
      <c r="AC3741" s="4">
        <v>4</v>
      </c>
      <c r="AD3741" s="4">
        <v>10</v>
      </c>
      <c r="AE3741" s="4">
        <v>84</v>
      </c>
      <c r="AF3741" s="4">
        <v>1</v>
      </c>
      <c r="AG3741" s="4">
        <v>2</v>
      </c>
      <c r="AH3741" s="4">
        <v>6</v>
      </c>
      <c r="AI3741" s="4">
        <v>75</v>
      </c>
      <c r="AJ3741" s="4">
        <v>7</v>
      </c>
      <c r="AK3741" s="4">
        <v>13</v>
      </c>
      <c r="AL3741" s="4">
        <v>4</v>
      </c>
      <c r="AM3741" s="4">
        <v>42</v>
      </c>
      <c r="AN3741" s="4">
        <v>0</v>
      </c>
      <c r="AO3741" s="4">
        <v>0</v>
      </c>
      <c r="AP3741" s="4">
        <v>6</v>
      </c>
      <c r="AQ3741" s="4">
        <v>13</v>
      </c>
      <c r="AR3741" s="3" t="s">
        <v>61</v>
      </c>
      <c r="AS3741" s="3" t="s">
        <v>62</v>
      </c>
      <c r="AT3741" s="3" t="s">
        <v>62</v>
      </c>
      <c r="AV3741" s="6" t="str">
        <f>HYPERLINK("http://mcgill.on.worldcat.org/oclc/229477086","Catalog Record")</f>
        <v>Catalog Record</v>
      </c>
      <c r="AW3741" s="6" t="str">
        <f>HYPERLINK("http://www.worldcat.org/oclc/229477086","WorldCat Record")</f>
        <v>WorldCat Record</v>
      </c>
      <c r="AX3741" s="3" t="s">
        <v>36154</v>
      </c>
      <c r="AY3741" s="3" t="s">
        <v>36155</v>
      </c>
      <c r="AZ3741" s="3" t="s">
        <v>36156</v>
      </c>
      <c r="BA3741" s="3" t="s">
        <v>36156</v>
      </c>
      <c r="BB3741" s="3" t="s">
        <v>36157</v>
      </c>
      <c r="BC3741" s="3" t="s">
        <v>102</v>
      </c>
      <c r="BD3741" s="3" t="s">
        <v>68</v>
      </c>
      <c r="BE3741" s="3" t="s">
        <v>36158</v>
      </c>
      <c r="BF3741" s="3" t="s">
        <v>36157</v>
      </c>
      <c r="BG3741" s="3" t="s">
        <v>36159</v>
      </c>
    </row>
    <row r="3742" spans="1:59" ht="58" x14ac:dyDescent="0.35">
      <c r="A3742" s="2" t="s">
        <v>89</v>
      </c>
      <c r="B3742" s="2" t="s">
        <v>90</v>
      </c>
      <c r="C3742" s="2" t="s">
        <v>36160</v>
      </c>
      <c r="D3742" s="2" t="s">
        <v>36161</v>
      </c>
      <c r="E3742" s="2" t="s">
        <v>36162</v>
      </c>
      <c r="G3742" s="3" t="s">
        <v>62</v>
      </c>
      <c r="I3742" s="3" t="s">
        <v>61</v>
      </c>
      <c r="J3742" s="3" t="s">
        <v>62</v>
      </c>
      <c r="K3742" s="3" t="s">
        <v>63</v>
      </c>
      <c r="L3742" s="2" t="s">
        <v>36163</v>
      </c>
      <c r="M3742" s="2" t="s">
        <v>4398</v>
      </c>
      <c r="N3742" s="3" t="s">
        <v>3062</v>
      </c>
      <c r="P3742" s="3" t="s">
        <v>64</v>
      </c>
      <c r="R3742" s="3" t="s">
        <v>34126</v>
      </c>
      <c r="S3742" s="4">
        <v>4</v>
      </c>
      <c r="T3742" s="4">
        <v>6</v>
      </c>
      <c r="U3742" s="5" t="s">
        <v>4783</v>
      </c>
      <c r="V3742" s="5" t="s">
        <v>4783</v>
      </c>
      <c r="W3742" s="5" t="s">
        <v>67</v>
      </c>
      <c r="X3742" s="5" t="s">
        <v>67</v>
      </c>
      <c r="Y3742" s="4">
        <v>316</v>
      </c>
      <c r="Z3742" s="4">
        <v>24</v>
      </c>
      <c r="AA3742" s="4">
        <v>34</v>
      </c>
      <c r="AB3742" s="4">
        <v>2</v>
      </c>
      <c r="AC3742" s="4">
        <v>4</v>
      </c>
      <c r="AD3742" s="4">
        <v>94</v>
      </c>
      <c r="AE3742" s="4">
        <v>119</v>
      </c>
      <c r="AF3742" s="4">
        <v>1</v>
      </c>
      <c r="AG3742" s="4">
        <v>3</v>
      </c>
      <c r="AH3742" s="4">
        <v>78</v>
      </c>
      <c r="AI3742" s="4">
        <v>101</v>
      </c>
      <c r="AJ3742" s="4">
        <v>11</v>
      </c>
      <c r="AK3742" s="4">
        <v>17</v>
      </c>
      <c r="AL3742" s="4">
        <v>41</v>
      </c>
      <c r="AM3742" s="4">
        <v>56</v>
      </c>
      <c r="AN3742" s="4">
        <v>0</v>
      </c>
      <c r="AO3742" s="4">
        <v>0</v>
      </c>
      <c r="AP3742" s="4">
        <v>22</v>
      </c>
      <c r="AQ3742" s="4">
        <v>28</v>
      </c>
      <c r="AR3742" s="3" t="s">
        <v>62</v>
      </c>
      <c r="AS3742" s="3" t="s">
        <v>62</v>
      </c>
      <c r="AT3742" s="3" t="s">
        <v>62</v>
      </c>
      <c r="AV3742" s="6" t="str">
        <f>HYPERLINK("http://mcgill.on.worldcat.org/oclc/22543364","Catalog Record")</f>
        <v>Catalog Record</v>
      </c>
      <c r="AW3742" s="6" t="str">
        <f>HYPERLINK("http://www.worldcat.org/oclc/22543364","WorldCat Record")</f>
        <v>WorldCat Record</v>
      </c>
      <c r="AX3742" s="3" t="s">
        <v>36164</v>
      </c>
      <c r="AY3742" s="3" t="s">
        <v>36165</v>
      </c>
      <c r="AZ3742" s="3" t="s">
        <v>36166</v>
      </c>
      <c r="BA3742" s="3" t="s">
        <v>36166</v>
      </c>
      <c r="BB3742" s="3" t="s">
        <v>36167</v>
      </c>
      <c r="BC3742" s="3" t="s">
        <v>102</v>
      </c>
      <c r="BD3742" s="3" t="s">
        <v>68</v>
      </c>
      <c r="BE3742" s="3" t="s">
        <v>36168</v>
      </c>
      <c r="BF3742" s="3" t="s">
        <v>36167</v>
      </c>
      <c r="BG3742" s="3" t="s">
        <v>36169</v>
      </c>
    </row>
    <row r="3743" spans="1:59" ht="58" x14ac:dyDescent="0.35">
      <c r="A3743" s="2" t="s">
        <v>89</v>
      </c>
      <c r="B3743" s="2" t="s">
        <v>90</v>
      </c>
      <c r="C3743" s="2" t="s">
        <v>36160</v>
      </c>
      <c r="D3743" s="2" t="s">
        <v>36161</v>
      </c>
      <c r="E3743" s="2" t="s">
        <v>36162</v>
      </c>
      <c r="G3743" s="3" t="s">
        <v>62</v>
      </c>
      <c r="I3743" s="3" t="s">
        <v>61</v>
      </c>
      <c r="J3743" s="3" t="s">
        <v>62</v>
      </c>
      <c r="K3743" s="3" t="s">
        <v>63</v>
      </c>
      <c r="L3743" s="2" t="s">
        <v>36163</v>
      </c>
      <c r="M3743" s="2" t="s">
        <v>4398</v>
      </c>
      <c r="N3743" s="3" t="s">
        <v>3062</v>
      </c>
      <c r="P3743" s="3" t="s">
        <v>64</v>
      </c>
      <c r="R3743" s="3" t="s">
        <v>34126</v>
      </c>
      <c r="S3743" s="4">
        <v>2</v>
      </c>
      <c r="T3743" s="4">
        <v>6</v>
      </c>
      <c r="U3743" s="5" t="s">
        <v>3311</v>
      </c>
      <c r="V3743" s="5" t="s">
        <v>4783</v>
      </c>
      <c r="W3743" s="5" t="s">
        <v>67</v>
      </c>
      <c r="X3743" s="5" t="s">
        <v>67</v>
      </c>
      <c r="Y3743" s="4">
        <v>316</v>
      </c>
      <c r="Z3743" s="4">
        <v>24</v>
      </c>
      <c r="AA3743" s="4">
        <v>34</v>
      </c>
      <c r="AB3743" s="4">
        <v>2</v>
      </c>
      <c r="AC3743" s="4">
        <v>4</v>
      </c>
      <c r="AD3743" s="4">
        <v>94</v>
      </c>
      <c r="AE3743" s="4">
        <v>119</v>
      </c>
      <c r="AF3743" s="4">
        <v>1</v>
      </c>
      <c r="AG3743" s="4">
        <v>3</v>
      </c>
      <c r="AH3743" s="4">
        <v>78</v>
      </c>
      <c r="AI3743" s="4">
        <v>101</v>
      </c>
      <c r="AJ3743" s="4">
        <v>11</v>
      </c>
      <c r="AK3743" s="4">
        <v>17</v>
      </c>
      <c r="AL3743" s="4">
        <v>41</v>
      </c>
      <c r="AM3743" s="4">
        <v>56</v>
      </c>
      <c r="AN3743" s="4">
        <v>0</v>
      </c>
      <c r="AO3743" s="4">
        <v>0</v>
      </c>
      <c r="AP3743" s="4">
        <v>22</v>
      </c>
      <c r="AQ3743" s="4">
        <v>28</v>
      </c>
      <c r="AR3743" s="3" t="s">
        <v>62</v>
      </c>
      <c r="AS3743" s="3" t="s">
        <v>62</v>
      </c>
      <c r="AT3743" s="3" t="s">
        <v>62</v>
      </c>
      <c r="AV3743" s="6" t="str">
        <f>HYPERLINK("http://mcgill.on.worldcat.org/oclc/22543364","Catalog Record")</f>
        <v>Catalog Record</v>
      </c>
      <c r="AW3743" s="6" t="str">
        <f>HYPERLINK("http://www.worldcat.org/oclc/22543364","WorldCat Record")</f>
        <v>WorldCat Record</v>
      </c>
      <c r="AX3743" s="3" t="s">
        <v>36164</v>
      </c>
      <c r="AY3743" s="3" t="s">
        <v>36165</v>
      </c>
      <c r="AZ3743" s="3" t="s">
        <v>36166</v>
      </c>
      <c r="BA3743" s="3" t="s">
        <v>36166</v>
      </c>
      <c r="BB3743" s="3" t="s">
        <v>36170</v>
      </c>
      <c r="BC3743" s="3" t="s">
        <v>102</v>
      </c>
      <c r="BD3743" s="3" t="s">
        <v>68</v>
      </c>
      <c r="BE3743" s="3" t="s">
        <v>36168</v>
      </c>
      <c r="BF3743" s="3" t="s">
        <v>36170</v>
      </c>
      <c r="BG3743" s="3" t="s">
        <v>36171</v>
      </c>
    </row>
    <row r="3744" spans="1:59" ht="174" x14ac:dyDescent="0.35">
      <c r="A3744" s="2" t="s">
        <v>59</v>
      </c>
      <c r="B3744" s="2" t="s">
        <v>60</v>
      </c>
      <c r="C3744" s="2" t="s">
        <v>36172</v>
      </c>
      <c r="D3744" s="2" t="s">
        <v>36173</v>
      </c>
      <c r="E3744" s="2" t="s">
        <v>36174</v>
      </c>
      <c r="G3744" s="3" t="s">
        <v>62</v>
      </c>
      <c r="I3744" s="3" t="s">
        <v>62</v>
      </c>
      <c r="J3744" s="3" t="s">
        <v>62</v>
      </c>
      <c r="K3744" s="3" t="s">
        <v>63</v>
      </c>
      <c r="L3744" s="2" t="s">
        <v>36175</v>
      </c>
      <c r="M3744" s="2" t="s">
        <v>36176</v>
      </c>
      <c r="N3744" s="3" t="s">
        <v>1482</v>
      </c>
      <c r="O3744" s="2" t="s">
        <v>36177</v>
      </c>
      <c r="P3744" s="3" t="s">
        <v>64</v>
      </c>
      <c r="Q3744" s="2" t="s">
        <v>36178</v>
      </c>
      <c r="R3744" s="3" t="s">
        <v>34126</v>
      </c>
      <c r="S3744" s="4">
        <v>3</v>
      </c>
      <c r="T3744" s="4">
        <v>3</v>
      </c>
      <c r="U3744" s="5" t="s">
        <v>23761</v>
      </c>
      <c r="V3744" s="5" t="s">
        <v>23761</v>
      </c>
      <c r="W3744" s="5" t="s">
        <v>67</v>
      </c>
      <c r="X3744" s="5" t="s">
        <v>67</v>
      </c>
      <c r="Y3744" s="4">
        <v>36</v>
      </c>
      <c r="Z3744" s="4">
        <v>5</v>
      </c>
      <c r="AA3744" s="4">
        <v>5</v>
      </c>
      <c r="AB3744" s="4">
        <v>1</v>
      </c>
      <c r="AC3744" s="4">
        <v>1</v>
      </c>
      <c r="AD3744" s="4">
        <v>16</v>
      </c>
      <c r="AE3744" s="4">
        <v>16</v>
      </c>
      <c r="AF3744" s="4">
        <v>0</v>
      </c>
      <c r="AG3744" s="4">
        <v>0</v>
      </c>
      <c r="AH3744" s="4">
        <v>13</v>
      </c>
      <c r="AI3744" s="4">
        <v>13</v>
      </c>
      <c r="AJ3744" s="4">
        <v>3</v>
      </c>
      <c r="AK3744" s="4">
        <v>3</v>
      </c>
      <c r="AL3744" s="4">
        <v>10</v>
      </c>
      <c r="AM3744" s="4">
        <v>10</v>
      </c>
      <c r="AN3744" s="4">
        <v>0</v>
      </c>
      <c r="AO3744" s="4">
        <v>0</v>
      </c>
      <c r="AP3744" s="4">
        <v>2</v>
      </c>
      <c r="AQ3744" s="4">
        <v>2</v>
      </c>
      <c r="AR3744" s="3" t="s">
        <v>62</v>
      </c>
      <c r="AS3744" s="3" t="s">
        <v>62</v>
      </c>
      <c r="AT3744" s="3" t="s">
        <v>62</v>
      </c>
      <c r="AV3744" s="6" t="str">
        <f>HYPERLINK("http://mcgill.on.worldcat.org/oclc/14396972","Catalog Record")</f>
        <v>Catalog Record</v>
      </c>
      <c r="AW3744" s="6" t="str">
        <f>HYPERLINK("http://www.worldcat.org/oclc/14396972","WorldCat Record")</f>
        <v>WorldCat Record</v>
      </c>
      <c r="AX3744" s="3" t="s">
        <v>36179</v>
      </c>
      <c r="AY3744" s="3" t="s">
        <v>36180</v>
      </c>
      <c r="AZ3744" s="3" t="s">
        <v>36181</v>
      </c>
      <c r="BA3744" s="3" t="s">
        <v>36181</v>
      </c>
      <c r="BB3744" s="3" t="s">
        <v>36182</v>
      </c>
      <c r="BC3744" s="3" t="s">
        <v>102</v>
      </c>
      <c r="BD3744" s="3" t="s">
        <v>68</v>
      </c>
      <c r="BE3744" s="3" t="s">
        <v>36183</v>
      </c>
      <c r="BF3744" s="3" t="s">
        <v>36182</v>
      </c>
      <c r="BG3744" s="3" t="s">
        <v>36184</v>
      </c>
    </row>
    <row r="3745" spans="1:59" ht="58" x14ac:dyDescent="0.35">
      <c r="A3745" s="2" t="s">
        <v>89</v>
      </c>
      <c r="B3745" s="2" t="s">
        <v>90</v>
      </c>
      <c r="C3745" s="2" t="s">
        <v>36185</v>
      </c>
      <c r="D3745" s="2" t="s">
        <v>36186</v>
      </c>
      <c r="E3745" s="2" t="s">
        <v>36187</v>
      </c>
      <c r="G3745" s="3" t="s">
        <v>62</v>
      </c>
      <c r="I3745" s="3" t="s">
        <v>62</v>
      </c>
      <c r="J3745" s="3" t="s">
        <v>62</v>
      </c>
      <c r="K3745" s="3" t="s">
        <v>63</v>
      </c>
      <c r="M3745" s="2" t="s">
        <v>36188</v>
      </c>
      <c r="N3745" s="3" t="s">
        <v>2136</v>
      </c>
      <c r="P3745" s="3" t="s">
        <v>64</v>
      </c>
      <c r="Q3745" s="2" t="s">
        <v>36189</v>
      </c>
      <c r="R3745" s="3" t="s">
        <v>34126</v>
      </c>
      <c r="S3745" s="4">
        <v>9</v>
      </c>
      <c r="T3745" s="4">
        <v>9</v>
      </c>
      <c r="U3745" s="5" t="s">
        <v>15905</v>
      </c>
      <c r="V3745" s="5" t="s">
        <v>15905</v>
      </c>
      <c r="W3745" s="5" t="s">
        <v>67</v>
      </c>
      <c r="X3745" s="5" t="s">
        <v>67</v>
      </c>
      <c r="Y3745" s="4">
        <v>27</v>
      </c>
      <c r="Z3745" s="4">
        <v>1</v>
      </c>
      <c r="AA3745" s="4">
        <v>1</v>
      </c>
      <c r="AB3745" s="4">
        <v>1</v>
      </c>
      <c r="AC3745" s="4">
        <v>1</v>
      </c>
      <c r="AD3745" s="4">
        <v>15</v>
      </c>
      <c r="AE3745" s="4">
        <v>15</v>
      </c>
      <c r="AF3745" s="4">
        <v>0</v>
      </c>
      <c r="AG3745" s="4">
        <v>0</v>
      </c>
      <c r="AH3745" s="4">
        <v>15</v>
      </c>
      <c r="AI3745" s="4">
        <v>15</v>
      </c>
      <c r="AJ3745" s="4">
        <v>0</v>
      </c>
      <c r="AK3745" s="4">
        <v>0</v>
      </c>
      <c r="AL3745" s="4">
        <v>11</v>
      </c>
      <c r="AM3745" s="4">
        <v>11</v>
      </c>
      <c r="AN3745" s="4">
        <v>0</v>
      </c>
      <c r="AO3745" s="4">
        <v>0</v>
      </c>
      <c r="AP3745" s="4">
        <v>0</v>
      </c>
      <c r="AQ3745" s="4">
        <v>0</v>
      </c>
      <c r="AR3745" s="3" t="s">
        <v>62</v>
      </c>
      <c r="AS3745" s="3" t="s">
        <v>62</v>
      </c>
      <c r="AT3745" s="3" t="s">
        <v>62</v>
      </c>
      <c r="AV3745" s="6" t="str">
        <f>HYPERLINK("http://mcgill.on.worldcat.org/oclc/85810566","Catalog Record")</f>
        <v>Catalog Record</v>
      </c>
      <c r="AW3745" s="6" t="str">
        <f>HYPERLINK("http://www.worldcat.org/oclc/85810566","WorldCat Record")</f>
        <v>WorldCat Record</v>
      </c>
      <c r="AX3745" s="3" t="s">
        <v>36190</v>
      </c>
      <c r="AY3745" s="3" t="s">
        <v>36191</v>
      </c>
      <c r="AZ3745" s="3" t="s">
        <v>36192</v>
      </c>
      <c r="BA3745" s="3" t="s">
        <v>36192</v>
      </c>
      <c r="BB3745" s="3" t="s">
        <v>36193</v>
      </c>
      <c r="BC3745" s="3" t="s">
        <v>102</v>
      </c>
      <c r="BD3745" s="3" t="s">
        <v>68</v>
      </c>
      <c r="BE3745" s="3" t="s">
        <v>36194</v>
      </c>
      <c r="BF3745" s="3" t="s">
        <v>36193</v>
      </c>
      <c r="BG3745" s="3" t="s">
        <v>36195</v>
      </c>
    </row>
    <row r="3746" spans="1:59" ht="58" x14ac:dyDescent="0.35">
      <c r="A3746" s="2" t="s">
        <v>89</v>
      </c>
      <c r="B3746" s="2" t="s">
        <v>90</v>
      </c>
      <c r="C3746" s="2" t="s">
        <v>36196</v>
      </c>
      <c r="D3746" s="2" t="s">
        <v>36197</v>
      </c>
      <c r="E3746" s="2" t="s">
        <v>36198</v>
      </c>
      <c r="G3746" s="3" t="s">
        <v>62</v>
      </c>
      <c r="I3746" s="3" t="s">
        <v>62</v>
      </c>
      <c r="J3746" s="3" t="s">
        <v>62</v>
      </c>
      <c r="K3746" s="3" t="s">
        <v>63</v>
      </c>
      <c r="L3746" s="2" t="s">
        <v>36199</v>
      </c>
      <c r="M3746" s="2" t="s">
        <v>30492</v>
      </c>
      <c r="N3746" s="3" t="s">
        <v>698</v>
      </c>
      <c r="P3746" s="3" t="s">
        <v>64</v>
      </c>
      <c r="R3746" s="3" t="s">
        <v>34126</v>
      </c>
      <c r="S3746" s="4">
        <v>0</v>
      </c>
      <c r="T3746" s="4">
        <v>0</v>
      </c>
      <c r="W3746" s="5" t="s">
        <v>67</v>
      </c>
      <c r="X3746" s="5" t="s">
        <v>67</v>
      </c>
      <c r="Y3746" s="4">
        <v>490</v>
      </c>
      <c r="Z3746" s="4">
        <v>19</v>
      </c>
      <c r="AA3746" s="4">
        <v>104</v>
      </c>
      <c r="AB3746" s="4">
        <v>1</v>
      </c>
      <c r="AC3746" s="4">
        <v>19</v>
      </c>
      <c r="AD3746" s="4">
        <v>53</v>
      </c>
      <c r="AE3746" s="4">
        <v>136</v>
      </c>
      <c r="AF3746" s="4">
        <v>0</v>
      </c>
      <c r="AG3746" s="4">
        <v>10</v>
      </c>
      <c r="AH3746" s="4">
        <v>47</v>
      </c>
      <c r="AI3746" s="4">
        <v>88</v>
      </c>
      <c r="AJ3746" s="4">
        <v>3</v>
      </c>
      <c r="AK3746" s="4">
        <v>23</v>
      </c>
      <c r="AL3746" s="4">
        <v>33</v>
      </c>
      <c r="AM3746" s="4">
        <v>47</v>
      </c>
      <c r="AN3746" s="4">
        <v>0</v>
      </c>
      <c r="AO3746" s="4">
        <v>0</v>
      </c>
      <c r="AP3746" s="4">
        <v>6</v>
      </c>
      <c r="AQ3746" s="4">
        <v>55</v>
      </c>
      <c r="AR3746" s="3" t="s">
        <v>62</v>
      </c>
      <c r="AS3746" s="3" t="s">
        <v>62</v>
      </c>
      <c r="AT3746" s="3" t="s">
        <v>62</v>
      </c>
      <c r="AV3746" s="6" t="str">
        <f>HYPERLINK("http://mcgill.on.worldcat.org/oclc/768126315","Catalog Record")</f>
        <v>Catalog Record</v>
      </c>
      <c r="AW3746" s="6" t="str">
        <f>HYPERLINK("http://www.worldcat.org/oclc/768126315","WorldCat Record")</f>
        <v>WorldCat Record</v>
      </c>
      <c r="AX3746" s="3" t="s">
        <v>36200</v>
      </c>
      <c r="AY3746" s="3" t="s">
        <v>36201</v>
      </c>
      <c r="AZ3746" s="3" t="s">
        <v>36202</v>
      </c>
      <c r="BA3746" s="3" t="s">
        <v>36202</v>
      </c>
      <c r="BB3746" s="3" t="s">
        <v>36203</v>
      </c>
      <c r="BC3746" s="3" t="s">
        <v>102</v>
      </c>
      <c r="BD3746" s="3" t="s">
        <v>68</v>
      </c>
      <c r="BE3746" s="3" t="s">
        <v>36204</v>
      </c>
      <c r="BF3746" s="3" t="s">
        <v>36203</v>
      </c>
      <c r="BG3746" s="3" t="s">
        <v>36205</v>
      </c>
    </row>
    <row r="3747" spans="1:59" ht="72.5" x14ac:dyDescent="0.35">
      <c r="A3747" s="2" t="s">
        <v>59</v>
      </c>
      <c r="B3747" s="2" t="s">
        <v>60</v>
      </c>
      <c r="C3747" s="2" t="s">
        <v>36206</v>
      </c>
      <c r="D3747" s="2" t="s">
        <v>36207</v>
      </c>
      <c r="E3747" s="2" t="s">
        <v>36208</v>
      </c>
      <c r="F3747" s="3" t="s">
        <v>13275</v>
      </c>
      <c r="G3747" s="3" t="s">
        <v>62</v>
      </c>
      <c r="I3747" s="3" t="s">
        <v>62</v>
      </c>
      <c r="J3747" s="3" t="s">
        <v>62</v>
      </c>
      <c r="K3747" s="3" t="s">
        <v>63</v>
      </c>
      <c r="L3747" s="2" t="s">
        <v>36209</v>
      </c>
      <c r="M3747" s="2" t="s">
        <v>36210</v>
      </c>
      <c r="N3747" s="3" t="s">
        <v>481</v>
      </c>
      <c r="P3747" s="3" t="s">
        <v>64</v>
      </c>
      <c r="Q3747" s="2" t="s">
        <v>36211</v>
      </c>
      <c r="R3747" s="3" t="s">
        <v>34126</v>
      </c>
      <c r="S3747" s="4">
        <v>3</v>
      </c>
      <c r="T3747" s="4">
        <v>3</v>
      </c>
      <c r="U3747" s="5" t="s">
        <v>21691</v>
      </c>
      <c r="V3747" s="5" t="s">
        <v>21691</v>
      </c>
      <c r="W3747" s="5" t="s">
        <v>67</v>
      </c>
      <c r="X3747" s="5" t="s">
        <v>67</v>
      </c>
      <c r="Y3747" s="4">
        <v>86</v>
      </c>
      <c r="Z3747" s="4">
        <v>5</v>
      </c>
      <c r="AA3747" s="4">
        <v>15</v>
      </c>
      <c r="AB3747" s="4">
        <v>1</v>
      </c>
      <c r="AC3747" s="4">
        <v>3</v>
      </c>
      <c r="AD3747" s="4">
        <v>30</v>
      </c>
      <c r="AE3747" s="4">
        <v>50</v>
      </c>
      <c r="AF3747" s="4">
        <v>0</v>
      </c>
      <c r="AG3747" s="4">
        <v>0</v>
      </c>
      <c r="AH3747" s="4">
        <v>27</v>
      </c>
      <c r="AI3747" s="4">
        <v>41</v>
      </c>
      <c r="AJ3747" s="4">
        <v>3</v>
      </c>
      <c r="AK3747" s="4">
        <v>5</v>
      </c>
      <c r="AL3747" s="4">
        <v>14</v>
      </c>
      <c r="AM3747" s="4">
        <v>22</v>
      </c>
      <c r="AN3747" s="4">
        <v>0</v>
      </c>
      <c r="AO3747" s="4">
        <v>0</v>
      </c>
      <c r="AP3747" s="4">
        <v>4</v>
      </c>
      <c r="AQ3747" s="4">
        <v>11</v>
      </c>
      <c r="AR3747" s="3" t="s">
        <v>62</v>
      </c>
      <c r="AS3747" s="3" t="s">
        <v>62</v>
      </c>
      <c r="AT3747" s="3" t="s">
        <v>61</v>
      </c>
      <c r="AU3747" s="6" t="str">
        <f>HYPERLINK("http://catalog.hathitrust.org/Record/003269850","HathiTrust Record")</f>
        <v>HathiTrust Record</v>
      </c>
      <c r="AV3747" s="6" t="str">
        <f>HYPERLINK("http://mcgill.on.worldcat.org/oclc/38364047","Catalog Record")</f>
        <v>Catalog Record</v>
      </c>
      <c r="AW3747" s="6" t="str">
        <f>HYPERLINK("http://www.worldcat.org/oclc/38364047","WorldCat Record")</f>
        <v>WorldCat Record</v>
      </c>
      <c r="AX3747" s="3" t="s">
        <v>36212</v>
      </c>
      <c r="AY3747" s="3" t="s">
        <v>36213</v>
      </c>
      <c r="AZ3747" s="3" t="s">
        <v>36214</v>
      </c>
      <c r="BA3747" s="3" t="s">
        <v>36214</v>
      </c>
      <c r="BB3747" s="3" t="s">
        <v>36215</v>
      </c>
      <c r="BC3747" s="3" t="s">
        <v>102</v>
      </c>
      <c r="BD3747" s="3" t="s">
        <v>68</v>
      </c>
      <c r="BE3747" s="3" t="s">
        <v>36216</v>
      </c>
      <c r="BF3747" s="3" t="s">
        <v>36215</v>
      </c>
      <c r="BG3747" s="3" t="s">
        <v>36217</v>
      </c>
    </row>
    <row r="3748" spans="1:59" ht="58" x14ac:dyDescent="0.35">
      <c r="A3748" s="2" t="s">
        <v>59</v>
      </c>
      <c r="B3748" s="2" t="s">
        <v>60</v>
      </c>
      <c r="C3748" s="2" t="s">
        <v>36218</v>
      </c>
      <c r="D3748" s="2" t="s">
        <v>36219</v>
      </c>
      <c r="E3748" s="2" t="s">
        <v>36220</v>
      </c>
      <c r="G3748" s="3" t="s">
        <v>62</v>
      </c>
      <c r="I3748" s="3" t="s">
        <v>62</v>
      </c>
      <c r="J3748" s="3" t="s">
        <v>62</v>
      </c>
      <c r="K3748" s="3" t="s">
        <v>63</v>
      </c>
      <c r="M3748" s="2" t="s">
        <v>36221</v>
      </c>
      <c r="N3748" s="3" t="s">
        <v>87</v>
      </c>
      <c r="P3748" s="3" t="s">
        <v>1760</v>
      </c>
      <c r="R3748" s="3" t="s">
        <v>34126</v>
      </c>
      <c r="S3748" s="4">
        <v>3</v>
      </c>
      <c r="T3748" s="4">
        <v>3</v>
      </c>
      <c r="U3748" s="5" t="s">
        <v>36222</v>
      </c>
      <c r="V3748" s="5" t="s">
        <v>36222</v>
      </c>
      <c r="W3748" s="5" t="s">
        <v>67</v>
      </c>
      <c r="X3748" s="5" t="s">
        <v>67</v>
      </c>
      <c r="Y3748" s="4">
        <v>5</v>
      </c>
      <c r="Z3748" s="4">
        <v>1</v>
      </c>
      <c r="AA3748" s="4">
        <v>1</v>
      </c>
      <c r="AB3748" s="4">
        <v>1</v>
      </c>
      <c r="AC3748" s="4">
        <v>1</v>
      </c>
      <c r="AD3748" s="4">
        <v>2</v>
      </c>
      <c r="AE3748" s="4">
        <v>2</v>
      </c>
      <c r="AF3748" s="4">
        <v>0</v>
      </c>
      <c r="AG3748" s="4">
        <v>0</v>
      </c>
      <c r="AH3748" s="4">
        <v>1</v>
      </c>
      <c r="AI3748" s="4">
        <v>1</v>
      </c>
      <c r="AJ3748" s="4">
        <v>0</v>
      </c>
      <c r="AK3748" s="4">
        <v>0</v>
      </c>
      <c r="AL3748" s="4">
        <v>2</v>
      </c>
      <c r="AM3748" s="4">
        <v>2</v>
      </c>
      <c r="AN3748" s="4">
        <v>0</v>
      </c>
      <c r="AO3748" s="4">
        <v>0</v>
      </c>
      <c r="AP3748" s="4">
        <v>0</v>
      </c>
      <c r="AQ3748" s="4">
        <v>0</v>
      </c>
      <c r="AR3748" s="3" t="s">
        <v>62</v>
      </c>
      <c r="AS3748" s="3" t="s">
        <v>62</v>
      </c>
      <c r="AT3748" s="3" t="s">
        <v>62</v>
      </c>
      <c r="AV3748" s="6" t="str">
        <f>HYPERLINK("http://mcgill.on.worldcat.org/oclc/38645447","Catalog Record")</f>
        <v>Catalog Record</v>
      </c>
      <c r="AW3748" s="6" t="str">
        <f>HYPERLINK("http://www.worldcat.org/oclc/38645447","WorldCat Record")</f>
        <v>WorldCat Record</v>
      </c>
      <c r="AX3748" s="3" t="s">
        <v>36223</v>
      </c>
      <c r="AY3748" s="3" t="s">
        <v>36224</v>
      </c>
      <c r="AZ3748" s="3" t="s">
        <v>36225</v>
      </c>
      <c r="BA3748" s="3" t="s">
        <v>36225</v>
      </c>
      <c r="BB3748" s="3" t="s">
        <v>36226</v>
      </c>
      <c r="BC3748" s="3" t="s">
        <v>102</v>
      </c>
      <c r="BD3748" s="3" t="s">
        <v>68</v>
      </c>
      <c r="BF3748" s="3" t="s">
        <v>36226</v>
      </c>
      <c r="BG3748" s="3" t="s">
        <v>36227</v>
      </c>
    </row>
    <row r="3749" spans="1:59" ht="58" x14ac:dyDescent="0.35">
      <c r="A3749" s="2" t="s">
        <v>59</v>
      </c>
      <c r="B3749" s="2" t="s">
        <v>60</v>
      </c>
      <c r="C3749" s="2" t="s">
        <v>36228</v>
      </c>
      <c r="D3749" s="2" t="s">
        <v>36229</v>
      </c>
      <c r="E3749" s="2" t="s">
        <v>36230</v>
      </c>
      <c r="G3749" s="3" t="s">
        <v>62</v>
      </c>
      <c r="I3749" s="3" t="s">
        <v>62</v>
      </c>
      <c r="J3749" s="3" t="s">
        <v>62</v>
      </c>
      <c r="K3749" s="3" t="s">
        <v>63</v>
      </c>
      <c r="L3749" s="2" t="s">
        <v>36199</v>
      </c>
      <c r="M3749" s="2" t="s">
        <v>36231</v>
      </c>
      <c r="N3749" s="3" t="s">
        <v>285</v>
      </c>
      <c r="P3749" s="3" t="s">
        <v>64</v>
      </c>
      <c r="R3749" s="3" t="s">
        <v>34126</v>
      </c>
      <c r="S3749" s="4">
        <v>3</v>
      </c>
      <c r="T3749" s="4">
        <v>3</v>
      </c>
      <c r="U3749" s="5" t="s">
        <v>24388</v>
      </c>
      <c r="V3749" s="5" t="s">
        <v>24388</v>
      </c>
      <c r="W3749" s="5" t="s">
        <v>67</v>
      </c>
      <c r="X3749" s="5" t="s">
        <v>67</v>
      </c>
      <c r="Y3749" s="4">
        <v>793</v>
      </c>
      <c r="Z3749" s="4">
        <v>23</v>
      </c>
      <c r="AA3749" s="4">
        <v>29</v>
      </c>
      <c r="AB3749" s="4">
        <v>2</v>
      </c>
      <c r="AC3749" s="4">
        <v>2</v>
      </c>
      <c r="AD3749" s="4">
        <v>95</v>
      </c>
      <c r="AE3749" s="4">
        <v>103</v>
      </c>
      <c r="AF3749" s="4">
        <v>0</v>
      </c>
      <c r="AG3749" s="4">
        <v>0</v>
      </c>
      <c r="AH3749" s="4">
        <v>83</v>
      </c>
      <c r="AI3749" s="4">
        <v>89</v>
      </c>
      <c r="AJ3749" s="4">
        <v>9</v>
      </c>
      <c r="AK3749" s="4">
        <v>12</v>
      </c>
      <c r="AL3749" s="4">
        <v>44</v>
      </c>
      <c r="AM3749" s="4">
        <v>48</v>
      </c>
      <c r="AN3749" s="4">
        <v>0</v>
      </c>
      <c r="AO3749" s="4">
        <v>0</v>
      </c>
      <c r="AP3749" s="4">
        <v>13</v>
      </c>
      <c r="AQ3749" s="4">
        <v>18</v>
      </c>
      <c r="AR3749" s="3" t="s">
        <v>62</v>
      </c>
      <c r="AS3749" s="3" t="s">
        <v>62</v>
      </c>
      <c r="AT3749" s="3" t="s">
        <v>61</v>
      </c>
      <c r="AU3749" s="6" t="str">
        <f>HYPERLINK("http://catalog.hathitrust.org/Record/000267067","HathiTrust Record")</f>
        <v>HathiTrust Record</v>
      </c>
      <c r="AV3749" s="6" t="str">
        <f>HYPERLINK("http://mcgill.on.worldcat.org/oclc/5353246","Catalog Record")</f>
        <v>Catalog Record</v>
      </c>
      <c r="AW3749" s="6" t="str">
        <f>HYPERLINK("http://www.worldcat.org/oclc/5353246","WorldCat Record")</f>
        <v>WorldCat Record</v>
      </c>
      <c r="AX3749" s="3" t="s">
        <v>36232</v>
      </c>
      <c r="AY3749" s="3" t="s">
        <v>36233</v>
      </c>
      <c r="AZ3749" s="3" t="s">
        <v>36234</v>
      </c>
      <c r="BA3749" s="3" t="s">
        <v>36234</v>
      </c>
      <c r="BB3749" s="3" t="s">
        <v>36235</v>
      </c>
      <c r="BC3749" s="3" t="s">
        <v>102</v>
      </c>
      <c r="BD3749" s="3" t="s">
        <v>68</v>
      </c>
      <c r="BE3749" s="3" t="s">
        <v>36236</v>
      </c>
      <c r="BF3749" s="3" t="s">
        <v>36235</v>
      </c>
      <c r="BG3749" s="3" t="s">
        <v>36237</v>
      </c>
    </row>
    <row r="3750" spans="1:59" ht="116" x14ac:dyDescent="0.35">
      <c r="A3750" s="2" t="s">
        <v>89</v>
      </c>
      <c r="B3750" s="2" t="s">
        <v>3312</v>
      </c>
      <c r="C3750" s="2" t="s">
        <v>36238</v>
      </c>
      <c r="D3750" s="2" t="s">
        <v>36239</v>
      </c>
      <c r="E3750" s="2" t="s">
        <v>36240</v>
      </c>
      <c r="G3750" s="3" t="s">
        <v>62</v>
      </c>
      <c r="I3750" s="3" t="s">
        <v>62</v>
      </c>
      <c r="J3750" s="3" t="s">
        <v>62</v>
      </c>
      <c r="K3750" s="3" t="s">
        <v>63</v>
      </c>
      <c r="L3750" s="2" t="s">
        <v>36241</v>
      </c>
      <c r="M3750" s="2" t="s">
        <v>36242</v>
      </c>
      <c r="N3750" s="3" t="s">
        <v>726</v>
      </c>
      <c r="O3750" s="2" t="s">
        <v>26896</v>
      </c>
      <c r="P3750" s="3" t="s">
        <v>26897</v>
      </c>
      <c r="R3750" s="3" t="s">
        <v>34126</v>
      </c>
      <c r="S3750" s="4">
        <v>0</v>
      </c>
      <c r="T3750" s="4">
        <v>0</v>
      </c>
      <c r="W3750" s="5" t="s">
        <v>67</v>
      </c>
      <c r="X3750" s="5" t="s">
        <v>67</v>
      </c>
      <c r="Y3750" s="4">
        <v>26</v>
      </c>
      <c r="Z3750" s="4">
        <v>3</v>
      </c>
      <c r="AA3750" s="4">
        <v>3</v>
      </c>
      <c r="AB3750" s="4">
        <v>1</v>
      </c>
      <c r="AC3750" s="4">
        <v>1</v>
      </c>
      <c r="AD3750" s="4">
        <v>23</v>
      </c>
      <c r="AE3750" s="4">
        <v>23</v>
      </c>
      <c r="AF3750" s="4">
        <v>0</v>
      </c>
      <c r="AG3750" s="4">
        <v>0</v>
      </c>
      <c r="AH3750" s="4">
        <v>21</v>
      </c>
      <c r="AI3750" s="4">
        <v>21</v>
      </c>
      <c r="AJ3750" s="4">
        <v>2</v>
      </c>
      <c r="AK3750" s="4">
        <v>2</v>
      </c>
      <c r="AL3750" s="4">
        <v>19</v>
      </c>
      <c r="AM3750" s="4">
        <v>19</v>
      </c>
      <c r="AN3750" s="4">
        <v>0</v>
      </c>
      <c r="AO3750" s="4">
        <v>0</v>
      </c>
      <c r="AP3750" s="4">
        <v>2</v>
      </c>
      <c r="AQ3750" s="4">
        <v>2</v>
      </c>
      <c r="AR3750" s="3" t="s">
        <v>62</v>
      </c>
      <c r="AS3750" s="3" t="s">
        <v>62</v>
      </c>
      <c r="AT3750" s="3" t="s">
        <v>62</v>
      </c>
      <c r="AV3750" s="6" t="str">
        <f>HYPERLINK("http://mcgill.on.worldcat.org/oclc/995630634","Catalog Record")</f>
        <v>Catalog Record</v>
      </c>
      <c r="AW3750" s="6" t="str">
        <f>HYPERLINK("http://www.worldcat.org/oclc/995630634","WorldCat Record")</f>
        <v>WorldCat Record</v>
      </c>
      <c r="AX3750" s="3" t="s">
        <v>36243</v>
      </c>
      <c r="AY3750" s="3" t="s">
        <v>36244</v>
      </c>
      <c r="AZ3750" s="3" t="s">
        <v>36245</v>
      </c>
      <c r="BA3750" s="3" t="s">
        <v>36245</v>
      </c>
      <c r="BB3750" s="3" t="s">
        <v>36246</v>
      </c>
      <c r="BC3750" s="3" t="s">
        <v>102</v>
      </c>
      <c r="BD3750" s="3" t="s">
        <v>68</v>
      </c>
      <c r="BE3750" s="3" t="s">
        <v>36247</v>
      </c>
      <c r="BF3750" s="3" t="s">
        <v>36246</v>
      </c>
      <c r="BG3750" s="3" t="s">
        <v>36248</v>
      </c>
    </row>
    <row r="3751" spans="1:59" ht="58" x14ac:dyDescent="0.35">
      <c r="A3751" s="2" t="s">
        <v>59</v>
      </c>
      <c r="B3751" s="2" t="s">
        <v>60</v>
      </c>
      <c r="C3751" s="2" t="s">
        <v>36249</v>
      </c>
      <c r="D3751" s="2" t="s">
        <v>36250</v>
      </c>
      <c r="E3751" s="2" t="s">
        <v>36251</v>
      </c>
      <c r="G3751" s="3" t="s">
        <v>62</v>
      </c>
      <c r="I3751" s="3" t="s">
        <v>62</v>
      </c>
      <c r="J3751" s="3" t="s">
        <v>62</v>
      </c>
      <c r="K3751" s="3" t="s">
        <v>63</v>
      </c>
      <c r="L3751" s="2" t="s">
        <v>36252</v>
      </c>
      <c r="M3751" s="2" t="s">
        <v>36253</v>
      </c>
      <c r="N3751" s="3" t="s">
        <v>2000</v>
      </c>
      <c r="P3751" s="3" t="s">
        <v>64</v>
      </c>
      <c r="R3751" s="3" t="s">
        <v>34126</v>
      </c>
      <c r="S3751" s="4">
        <v>3</v>
      </c>
      <c r="T3751" s="4">
        <v>3</v>
      </c>
      <c r="U3751" s="5" t="s">
        <v>36254</v>
      </c>
      <c r="V3751" s="5" t="s">
        <v>36254</v>
      </c>
      <c r="W3751" s="5" t="s">
        <v>67</v>
      </c>
      <c r="X3751" s="5" t="s">
        <v>67</v>
      </c>
      <c r="Y3751" s="4">
        <v>21</v>
      </c>
      <c r="Z3751" s="4">
        <v>3</v>
      </c>
      <c r="AA3751" s="4">
        <v>3</v>
      </c>
      <c r="AB3751" s="4">
        <v>1</v>
      </c>
      <c r="AC3751" s="4">
        <v>1</v>
      </c>
      <c r="AD3751" s="4">
        <v>18</v>
      </c>
      <c r="AE3751" s="4">
        <v>18</v>
      </c>
      <c r="AF3751" s="4">
        <v>0</v>
      </c>
      <c r="AG3751" s="4">
        <v>0</v>
      </c>
      <c r="AH3751" s="4">
        <v>16</v>
      </c>
      <c r="AI3751" s="4">
        <v>16</v>
      </c>
      <c r="AJ3751" s="4">
        <v>2</v>
      </c>
      <c r="AK3751" s="4">
        <v>2</v>
      </c>
      <c r="AL3751" s="4">
        <v>13</v>
      </c>
      <c r="AM3751" s="4">
        <v>13</v>
      </c>
      <c r="AN3751" s="4">
        <v>0</v>
      </c>
      <c r="AO3751" s="4">
        <v>0</v>
      </c>
      <c r="AP3751" s="4">
        <v>2</v>
      </c>
      <c r="AQ3751" s="4">
        <v>2</v>
      </c>
      <c r="AR3751" s="3" t="s">
        <v>62</v>
      </c>
      <c r="AS3751" s="3" t="s">
        <v>62</v>
      </c>
      <c r="AT3751" s="3" t="s">
        <v>62</v>
      </c>
      <c r="AV3751" s="6" t="str">
        <f>HYPERLINK("http://mcgill.on.worldcat.org/oclc/35941670","Catalog Record")</f>
        <v>Catalog Record</v>
      </c>
      <c r="AW3751" s="6" t="str">
        <f>HYPERLINK("http://www.worldcat.org/oclc/35941670","WorldCat Record")</f>
        <v>WorldCat Record</v>
      </c>
      <c r="AX3751" s="3" t="s">
        <v>36255</v>
      </c>
      <c r="AY3751" s="3" t="s">
        <v>36256</v>
      </c>
      <c r="AZ3751" s="3" t="s">
        <v>36257</v>
      </c>
      <c r="BA3751" s="3" t="s">
        <v>36257</v>
      </c>
      <c r="BB3751" s="3" t="s">
        <v>36258</v>
      </c>
      <c r="BC3751" s="3" t="s">
        <v>102</v>
      </c>
      <c r="BD3751" s="3" t="s">
        <v>68</v>
      </c>
      <c r="BE3751" s="3" t="s">
        <v>36259</v>
      </c>
      <c r="BF3751" s="3" t="s">
        <v>36258</v>
      </c>
      <c r="BG3751" s="3" t="s">
        <v>36260</v>
      </c>
    </row>
    <row r="3752" spans="1:59" ht="58" x14ac:dyDescent="0.35">
      <c r="A3752" s="2" t="s">
        <v>59</v>
      </c>
      <c r="B3752" s="2" t="s">
        <v>60</v>
      </c>
      <c r="C3752" s="2" t="s">
        <v>36261</v>
      </c>
      <c r="D3752" s="2" t="s">
        <v>36262</v>
      </c>
      <c r="E3752" s="2" t="s">
        <v>36263</v>
      </c>
      <c r="G3752" s="3" t="s">
        <v>62</v>
      </c>
      <c r="I3752" s="3" t="s">
        <v>62</v>
      </c>
      <c r="J3752" s="3" t="s">
        <v>62</v>
      </c>
      <c r="K3752" s="3" t="s">
        <v>63</v>
      </c>
      <c r="L3752" s="2" t="s">
        <v>36264</v>
      </c>
      <c r="M3752" s="2" t="s">
        <v>36265</v>
      </c>
      <c r="N3752" s="3" t="s">
        <v>1077</v>
      </c>
      <c r="O3752" s="2" t="s">
        <v>2163</v>
      </c>
      <c r="P3752" s="3" t="s">
        <v>64</v>
      </c>
      <c r="R3752" s="3" t="s">
        <v>34126</v>
      </c>
      <c r="S3752" s="4">
        <v>2</v>
      </c>
      <c r="T3752" s="4">
        <v>2</v>
      </c>
      <c r="U3752" s="5" t="s">
        <v>17563</v>
      </c>
      <c r="V3752" s="5" t="s">
        <v>17563</v>
      </c>
      <c r="W3752" s="5" t="s">
        <v>67</v>
      </c>
      <c r="X3752" s="5" t="s">
        <v>67</v>
      </c>
      <c r="Y3752" s="4">
        <v>304</v>
      </c>
      <c r="Z3752" s="4">
        <v>6</v>
      </c>
      <c r="AA3752" s="4">
        <v>6</v>
      </c>
      <c r="AB3752" s="4">
        <v>1</v>
      </c>
      <c r="AC3752" s="4">
        <v>1</v>
      </c>
      <c r="AD3752" s="4">
        <v>38</v>
      </c>
      <c r="AE3752" s="4">
        <v>40</v>
      </c>
      <c r="AF3752" s="4">
        <v>0</v>
      </c>
      <c r="AG3752" s="4">
        <v>0</v>
      </c>
      <c r="AH3752" s="4">
        <v>37</v>
      </c>
      <c r="AI3752" s="4">
        <v>39</v>
      </c>
      <c r="AJ3752" s="4">
        <v>2</v>
      </c>
      <c r="AK3752" s="4">
        <v>2</v>
      </c>
      <c r="AL3752" s="4">
        <v>20</v>
      </c>
      <c r="AM3752" s="4">
        <v>22</v>
      </c>
      <c r="AN3752" s="4">
        <v>0</v>
      </c>
      <c r="AO3752" s="4">
        <v>0</v>
      </c>
      <c r="AP3752" s="4">
        <v>2</v>
      </c>
      <c r="AQ3752" s="4">
        <v>2</v>
      </c>
      <c r="AR3752" s="3" t="s">
        <v>62</v>
      </c>
      <c r="AS3752" s="3" t="s">
        <v>62</v>
      </c>
      <c r="AT3752" s="3" t="s">
        <v>62</v>
      </c>
      <c r="AV3752" s="6" t="str">
        <f>HYPERLINK("http://mcgill.on.worldcat.org/oclc/27895474","Catalog Record")</f>
        <v>Catalog Record</v>
      </c>
      <c r="AW3752" s="6" t="str">
        <f>HYPERLINK("http://www.worldcat.org/oclc/27895474","WorldCat Record")</f>
        <v>WorldCat Record</v>
      </c>
      <c r="AX3752" s="3" t="s">
        <v>36266</v>
      </c>
      <c r="AY3752" s="3" t="s">
        <v>36267</v>
      </c>
      <c r="AZ3752" s="3" t="s">
        <v>36268</v>
      </c>
      <c r="BA3752" s="3" t="s">
        <v>36268</v>
      </c>
      <c r="BB3752" s="3" t="s">
        <v>36269</v>
      </c>
      <c r="BC3752" s="3" t="s">
        <v>102</v>
      </c>
      <c r="BD3752" s="3" t="s">
        <v>68</v>
      </c>
      <c r="BE3752" s="3" t="s">
        <v>36270</v>
      </c>
      <c r="BF3752" s="3" t="s">
        <v>36269</v>
      </c>
      <c r="BG3752" s="3" t="s">
        <v>36271</v>
      </c>
    </row>
    <row r="3753" spans="1:59" ht="72.5" x14ac:dyDescent="0.35">
      <c r="A3753" s="2" t="s">
        <v>89</v>
      </c>
      <c r="B3753" s="2" t="s">
        <v>90</v>
      </c>
      <c r="C3753" s="2" t="s">
        <v>36272</v>
      </c>
      <c r="D3753" s="2" t="s">
        <v>36273</v>
      </c>
      <c r="E3753" s="2" t="s">
        <v>36274</v>
      </c>
      <c r="G3753" s="3" t="s">
        <v>62</v>
      </c>
      <c r="I3753" s="3" t="s">
        <v>62</v>
      </c>
      <c r="J3753" s="3" t="s">
        <v>62</v>
      </c>
      <c r="K3753" s="3" t="s">
        <v>63</v>
      </c>
      <c r="M3753" s="2" t="s">
        <v>36275</v>
      </c>
      <c r="N3753" s="3" t="s">
        <v>481</v>
      </c>
      <c r="P3753" s="3" t="s">
        <v>64</v>
      </c>
      <c r="R3753" s="3" t="s">
        <v>34126</v>
      </c>
      <c r="S3753" s="4">
        <v>24</v>
      </c>
      <c r="T3753" s="4">
        <v>24</v>
      </c>
      <c r="U3753" s="5" t="s">
        <v>3501</v>
      </c>
      <c r="V3753" s="5" t="s">
        <v>3501</v>
      </c>
      <c r="W3753" s="5" t="s">
        <v>67</v>
      </c>
      <c r="X3753" s="5" t="s">
        <v>67</v>
      </c>
      <c r="Y3753" s="4">
        <v>219</v>
      </c>
      <c r="Z3753" s="4">
        <v>7</v>
      </c>
      <c r="AA3753" s="4">
        <v>7</v>
      </c>
      <c r="AB3753" s="4">
        <v>1</v>
      </c>
      <c r="AC3753" s="4">
        <v>1</v>
      </c>
      <c r="AD3753" s="4">
        <v>64</v>
      </c>
      <c r="AE3753" s="4">
        <v>64</v>
      </c>
      <c r="AF3753" s="4">
        <v>0</v>
      </c>
      <c r="AG3753" s="4">
        <v>0</v>
      </c>
      <c r="AH3753" s="4">
        <v>61</v>
      </c>
      <c r="AI3753" s="4">
        <v>61</v>
      </c>
      <c r="AJ3753" s="4">
        <v>2</v>
      </c>
      <c r="AK3753" s="4">
        <v>2</v>
      </c>
      <c r="AL3753" s="4">
        <v>41</v>
      </c>
      <c r="AM3753" s="4">
        <v>41</v>
      </c>
      <c r="AN3753" s="4">
        <v>0</v>
      </c>
      <c r="AO3753" s="4">
        <v>0</v>
      </c>
      <c r="AP3753" s="4">
        <v>4</v>
      </c>
      <c r="AQ3753" s="4">
        <v>4</v>
      </c>
      <c r="AR3753" s="3" t="s">
        <v>62</v>
      </c>
      <c r="AS3753" s="3" t="s">
        <v>62</v>
      </c>
      <c r="AT3753" s="3" t="s">
        <v>61</v>
      </c>
      <c r="AU3753" s="6" t="str">
        <f>HYPERLINK("http://catalog.hathitrust.org/Record/003146243","HathiTrust Record")</f>
        <v>HathiTrust Record</v>
      </c>
      <c r="AV3753" s="6" t="str">
        <f>HYPERLINK("http://mcgill.on.worldcat.org/oclc/35620388","Catalog Record")</f>
        <v>Catalog Record</v>
      </c>
      <c r="AW3753" s="6" t="str">
        <f>HYPERLINK("http://www.worldcat.org/oclc/35620388","WorldCat Record")</f>
        <v>WorldCat Record</v>
      </c>
      <c r="AX3753" s="3" t="s">
        <v>36276</v>
      </c>
      <c r="AY3753" s="3" t="s">
        <v>36277</v>
      </c>
      <c r="AZ3753" s="3" t="s">
        <v>36278</v>
      </c>
      <c r="BA3753" s="3" t="s">
        <v>36278</v>
      </c>
      <c r="BB3753" s="3" t="s">
        <v>36279</v>
      </c>
      <c r="BC3753" s="3" t="s">
        <v>102</v>
      </c>
      <c r="BD3753" s="3" t="s">
        <v>231</v>
      </c>
      <c r="BE3753" s="3" t="s">
        <v>36280</v>
      </c>
      <c r="BF3753" s="3" t="s">
        <v>36279</v>
      </c>
      <c r="BG3753" s="3" t="s">
        <v>36281</v>
      </c>
    </row>
    <row r="3754" spans="1:59" ht="87" x14ac:dyDescent="0.35">
      <c r="A3754" s="2" t="s">
        <v>89</v>
      </c>
      <c r="B3754" s="2" t="s">
        <v>90</v>
      </c>
      <c r="C3754" s="2" t="s">
        <v>36282</v>
      </c>
      <c r="D3754" s="2" t="s">
        <v>36283</v>
      </c>
      <c r="E3754" s="2" t="s">
        <v>36284</v>
      </c>
      <c r="G3754" s="3" t="s">
        <v>62</v>
      </c>
      <c r="I3754" s="3" t="s">
        <v>62</v>
      </c>
      <c r="J3754" s="3" t="s">
        <v>61</v>
      </c>
      <c r="K3754" s="3" t="s">
        <v>63</v>
      </c>
      <c r="M3754" s="2" t="s">
        <v>36285</v>
      </c>
      <c r="N3754" s="3" t="s">
        <v>1038</v>
      </c>
      <c r="O3754" s="2" t="s">
        <v>36286</v>
      </c>
      <c r="P3754" s="3" t="s">
        <v>64</v>
      </c>
      <c r="R3754" s="3" t="s">
        <v>34126</v>
      </c>
      <c r="S3754" s="4">
        <v>4</v>
      </c>
      <c r="T3754" s="4">
        <v>4</v>
      </c>
      <c r="W3754" s="5" t="s">
        <v>9672</v>
      </c>
      <c r="X3754" s="5" t="s">
        <v>9672</v>
      </c>
      <c r="Y3754" s="4">
        <v>12</v>
      </c>
      <c r="Z3754" s="4">
        <v>1</v>
      </c>
      <c r="AA3754" s="4">
        <v>32</v>
      </c>
      <c r="AB3754" s="4">
        <v>1</v>
      </c>
      <c r="AC3754" s="4">
        <v>6</v>
      </c>
      <c r="AD3754" s="4">
        <v>2</v>
      </c>
      <c r="AE3754" s="4">
        <v>44</v>
      </c>
      <c r="AF3754" s="4">
        <v>0</v>
      </c>
      <c r="AG3754" s="4">
        <v>0</v>
      </c>
      <c r="AH3754" s="4">
        <v>2</v>
      </c>
      <c r="AI3754" s="4">
        <v>40</v>
      </c>
      <c r="AJ3754" s="4">
        <v>0</v>
      </c>
      <c r="AK3754" s="4">
        <v>6</v>
      </c>
      <c r="AL3754" s="4">
        <v>2</v>
      </c>
      <c r="AM3754" s="4">
        <v>23</v>
      </c>
      <c r="AN3754" s="4">
        <v>0</v>
      </c>
      <c r="AO3754" s="4">
        <v>0</v>
      </c>
      <c r="AP3754" s="4">
        <v>0</v>
      </c>
      <c r="AQ3754" s="4">
        <v>5</v>
      </c>
      <c r="AR3754" s="3" t="s">
        <v>62</v>
      </c>
      <c r="AS3754" s="3" t="s">
        <v>62</v>
      </c>
      <c r="AT3754" s="3" t="s">
        <v>62</v>
      </c>
      <c r="AV3754" s="6" t="str">
        <f>HYPERLINK("http://mcgill.on.worldcat.org/oclc/1053568524","Catalog Record")</f>
        <v>Catalog Record</v>
      </c>
      <c r="AW3754" s="6" t="str">
        <f>HYPERLINK("http://www.worldcat.org/oclc/1053568524","WorldCat Record")</f>
        <v>WorldCat Record</v>
      </c>
      <c r="AX3754" s="3" t="s">
        <v>36287</v>
      </c>
      <c r="AY3754" s="3" t="s">
        <v>36288</v>
      </c>
      <c r="AZ3754" s="3" t="s">
        <v>36289</v>
      </c>
      <c r="BA3754" s="3" t="s">
        <v>36289</v>
      </c>
      <c r="BB3754" s="3" t="s">
        <v>36290</v>
      </c>
      <c r="BC3754" s="3" t="s">
        <v>102</v>
      </c>
      <c r="BD3754" s="3" t="s">
        <v>231</v>
      </c>
      <c r="BE3754" s="3" t="s">
        <v>36291</v>
      </c>
      <c r="BF3754" s="3" t="s">
        <v>36290</v>
      </c>
      <c r="BG3754" s="3" t="s">
        <v>36292</v>
      </c>
    </row>
    <row r="3755" spans="1:59" ht="58" x14ac:dyDescent="0.35">
      <c r="A3755" s="2" t="s">
        <v>89</v>
      </c>
      <c r="B3755" s="2" t="s">
        <v>90</v>
      </c>
      <c r="C3755" s="2" t="s">
        <v>36293</v>
      </c>
      <c r="D3755" s="2" t="s">
        <v>36294</v>
      </c>
      <c r="E3755" s="2" t="s">
        <v>36295</v>
      </c>
      <c r="G3755" s="3" t="s">
        <v>62</v>
      </c>
      <c r="I3755" s="3" t="s">
        <v>62</v>
      </c>
      <c r="J3755" s="3" t="s">
        <v>62</v>
      </c>
      <c r="K3755" s="3" t="s">
        <v>63</v>
      </c>
      <c r="L3755" s="2" t="s">
        <v>36296</v>
      </c>
      <c r="M3755" s="2" t="s">
        <v>36297</v>
      </c>
      <c r="N3755" s="3" t="s">
        <v>712</v>
      </c>
      <c r="P3755" s="3" t="s">
        <v>64</v>
      </c>
      <c r="R3755" s="3" t="s">
        <v>34126</v>
      </c>
      <c r="S3755" s="4">
        <v>0</v>
      </c>
      <c r="T3755" s="4">
        <v>0</v>
      </c>
      <c r="W3755" s="5" t="s">
        <v>67</v>
      </c>
      <c r="X3755" s="5" t="s">
        <v>67</v>
      </c>
      <c r="Y3755" s="4">
        <v>662</v>
      </c>
      <c r="Z3755" s="4">
        <v>19</v>
      </c>
      <c r="AA3755" s="4">
        <v>56</v>
      </c>
      <c r="AB3755" s="4">
        <v>1</v>
      </c>
      <c r="AC3755" s="4">
        <v>3</v>
      </c>
      <c r="AD3755" s="4">
        <v>35</v>
      </c>
      <c r="AE3755" s="4">
        <v>82</v>
      </c>
      <c r="AF3755" s="4">
        <v>0</v>
      </c>
      <c r="AG3755" s="4">
        <v>0</v>
      </c>
      <c r="AH3755" s="4">
        <v>32</v>
      </c>
      <c r="AI3755" s="4">
        <v>68</v>
      </c>
      <c r="AJ3755" s="4">
        <v>3</v>
      </c>
      <c r="AK3755" s="4">
        <v>9</v>
      </c>
      <c r="AL3755" s="4">
        <v>14</v>
      </c>
      <c r="AM3755" s="4">
        <v>34</v>
      </c>
      <c r="AN3755" s="4">
        <v>0</v>
      </c>
      <c r="AO3755" s="4">
        <v>0</v>
      </c>
      <c r="AP3755" s="4">
        <v>5</v>
      </c>
      <c r="AQ3755" s="4">
        <v>18</v>
      </c>
      <c r="AR3755" s="3" t="s">
        <v>62</v>
      </c>
      <c r="AS3755" s="3" t="s">
        <v>62</v>
      </c>
      <c r="AT3755" s="3" t="s">
        <v>62</v>
      </c>
      <c r="AV3755" s="6" t="str">
        <f>HYPERLINK("http://mcgill.on.worldcat.org/oclc/866563829","Catalog Record")</f>
        <v>Catalog Record</v>
      </c>
      <c r="AW3755" s="6" t="str">
        <f>HYPERLINK("http://www.worldcat.org/oclc/866563829","WorldCat Record")</f>
        <v>WorldCat Record</v>
      </c>
      <c r="AX3755" s="3" t="s">
        <v>36298</v>
      </c>
      <c r="AY3755" s="3" t="s">
        <v>36299</v>
      </c>
      <c r="AZ3755" s="3" t="s">
        <v>36300</v>
      </c>
      <c r="BA3755" s="3" t="s">
        <v>36300</v>
      </c>
      <c r="BB3755" s="3" t="s">
        <v>36301</v>
      </c>
      <c r="BC3755" s="3" t="s">
        <v>102</v>
      </c>
      <c r="BD3755" s="3" t="s">
        <v>68</v>
      </c>
      <c r="BE3755" s="3" t="s">
        <v>36302</v>
      </c>
      <c r="BF3755" s="3" t="s">
        <v>36301</v>
      </c>
      <c r="BG3755" s="3" t="s">
        <v>36303</v>
      </c>
    </row>
    <row r="3756" spans="1:59" ht="58" x14ac:dyDescent="0.35">
      <c r="A3756" s="2" t="s">
        <v>59</v>
      </c>
      <c r="B3756" s="2" t="s">
        <v>60</v>
      </c>
      <c r="C3756" s="2" t="s">
        <v>36304</v>
      </c>
      <c r="D3756" s="2" t="s">
        <v>36305</v>
      </c>
      <c r="E3756" s="2" t="s">
        <v>36306</v>
      </c>
      <c r="G3756" s="3" t="s">
        <v>62</v>
      </c>
      <c r="I3756" s="3" t="s">
        <v>62</v>
      </c>
      <c r="J3756" s="3" t="s">
        <v>62</v>
      </c>
      <c r="K3756" s="3" t="s">
        <v>63</v>
      </c>
      <c r="L3756" s="2" t="s">
        <v>36307</v>
      </c>
      <c r="M3756" s="2" t="s">
        <v>36308</v>
      </c>
      <c r="N3756" s="3" t="s">
        <v>424</v>
      </c>
      <c r="O3756" s="2" t="s">
        <v>2163</v>
      </c>
      <c r="P3756" s="3" t="s">
        <v>64</v>
      </c>
      <c r="R3756" s="3" t="s">
        <v>34126</v>
      </c>
      <c r="S3756" s="4">
        <v>14</v>
      </c>
      <c r="T3756" s="4">
        <v>14</v>
      </c>
      <c r="U3756" s="5" t="s">
        <v>8979</v>
      </c>
      <c r="V3756" s="5" t="s">
        <v>8979</v>
      </c>
      <c r="W3756" s="5" t="s">
        <v>67</v>
      </c>
      <c r="X3756" s="5" t="s">
        <v>67</v>
      </c>
      <c r="Y3756" s="4">
        <v>154</v>
      </c>
      <c r="Z3756" s="4">
        <v>3</v>
      </c>
      <c r="AA3756" s="4">
        <v>4</v>
      </c>
      <c r="AB3756" s="4">
        <v>1</v>
      </c>
      <c r="AC3756" s="4">
        <v>1</v>
      </c>
      <c r="AD3756" s="4">
        <v>21</v>
      </c>
      <c r="AE3756" s="4">
        <v>22</v>
      </c>
      <c r="AF3756" s="4">
        <v>0</v>
      </c>
      <c r="AG3756" s="4">
        <v>0</v>
      </c>
      <c r="AH3756" s="4">
        <v>19</v>
      </c>
      <c r="AI3756" s="4">
        <v>20</v>
      </c>
      <c r="AJ3756" s="4">
        <v>0</v>
      </c>
      <c r="AK3756" s="4">
        <v>1</v>
      </c>
      <c r="AL3756" s="4">
        <v>10</v>
      </c>
      <c r="AM3756" s="4">
        <v>10</v>
      </c>
      <c r="AN3756" s="4">
        <v>0</v>
      </c>
      <c r="AO3756" s="4">
        <v>0</v>
      </c>
      <c r="AP3756" s="4">
        <v>1</v>
      </c>
      <c r="AQ3756" s="4">
        <v>2</v>
      </c>
      <c r="AR3756" s="3" t="s">
        <v>62</v>
      </c>
      <c r="AS3756" s="3" t="s">
        <v>62</v>
      </c>
      <c r="AT3756" s="3" t="s">
        <v>62</v>
      </c>
      <c r="AV3756" s="6" t="str">
        <f>HYPERLINK("http://mcgill.on.worldcat.org/oclc/18049112","Catalog Record")</f>
        <v>Catalog Record</v>
      </c>
      <c r="AW3756" s="6" t="str">
        <f>HYPERLINK("http://www.worldcat.org/oclc/18049112","WorldCat Record")</f>
        <v>WorldCat Record</v>
      </c>
      <c r="AX3756" s="3" t="s">
        <v>36309</v>
      </c>
      <c r="AY3756" s="3" t="s">
        <v>36310</v>
      </c>
      <c r="AZ3756" s="3" t="s">
        <v>36311</v>
      </c>
      <c r="BA3756" s="3" t="s">
        <v>36311</v>
      </c>
      <c r="BB3756" s="3" t="s">
        <v>36312</v>
      </c>
      <c r="BC3756" s="3" t="s">
        <v>102</v>
      </c>
      <c r="BD3756" s="3" t="s">
        <v>68</v>
      </c>
      <c r="BE3756" s="3" t="s">
        <v>36313</v>
      </c>
      <c r="BF3756" s="3" t="s">
        <v>36312</v>
      </c>
      <c r="BG3756" s="3" t="s">
        <v>36314</v>
      </c>
    </row>
    <row r="3757" spans="1:59" ht="58" x14ac:dyDescent="0.35">
      <c r="A3757" s="2" t="s">
        <v>59</v>
      </c>
      <c r="B3757" s="2" t="s">
        <v>60</v>
      </c>
      <c r="C3757" s="2" t="s">
        <v>36315</v>
      </c>
      <c r="D3757" s="2" t="s">
        <v>36316</v>
      </c>
      <c r="E3757" s="2" t="s">
        <v>36317</v>
      </c>
      <c r="G3757" s="3" t="s">
        <v>62</v>
      </c>
      <c r="I3757" s="3" t="s">
        <v>62</v>
      </c>
      <c r="J3757" s="3" t="s">
        <v>62</v>
      </c>
      <c r="K3757" s="3" t="s">
        <v>63</v>
      </c>
      <c r="L3757" s="2" t="s">
        <v>36318</v>
      </c>
      <c r="M3757" s="2" t="s">
        <v>36319</v>
      </c>
      <c r="N3757" s="3" t="s">
        <v>596</v>
      </c>
      <c r="P3757" s="3" t="s">
        <v>64</v>
      </c>
      <c r="R3757" s="3" t="s">
        <v>34126</v>
      </c>
      <c r="S3757" s="4">
        <v>5</v>
      </c>
      <c r="T3757" s="4">
        <v>5</v>
      </c>
      <c r="U3757" s="5" t="s">
        <v>8979</v>
      </c>
      <c r="V3757" s="5" t="s">
        <v>8979</v>
      </c>
      <c r="W3757" s="5" t="s">
        <v>67</v>
      </c>
      <c r="X3757" s="5" t="s">
        <v>67</v>
      </c>
      <c r="Y3757" s="4">
        <v>213</v>
      </c>
      <c r="Z3757" s="4">
        <v>11</v>
      </c>
      <c r="AA3757" s="4">
        <v>15</v>
      </c>
      <c r="AB3757" s="4">
        <v>1</v>
      </c>
      <c r="AC3757" s="4">
        <v>3</v>
      </c>
      <c r="AD3757" s="4">
        <v>62</v>
      </c>
      <c r="AE3757" s="4">
        <v>74</v>
      </c>
      <c r="AF3757" s="4">
        <v>0</v>
      </c>
      <c r="AG3757" s="4">
        <v>0</v>
      </c>
      <c r="AH3757" s="4">
        <v>57</v>
      </c>
      <c r="AI3757" s="4">
        <v>67</v>
      </c>
      <c r="AJ3757" s="4">
        <v>9</v>
      </c>
      <c r="AK3757" s="4">
        <v>9</v>
      </c>
      <c r="AL3757" s="4">
        <v>35</v>
      </c>
      <c r="AM3757" s="4">
        <v>41</v>
      </c>
      <c r="AN3757" s="4">
        <v>0</v>
      </c>
      <c r="AO3757" s="4">
        <v>0</v>
      </c>
      <c r="AP3757" s="4">
        <v>9</v>
      </c>
      <c r="AQ3757" s="4">
        <v>10</v>
      </c>
      <c r="AR3757" s="3" t="s">
        <v>62</v>
      </c>
      <c r="AS3757" s="3" t="s">
        <v>62</v>
      </c>
      <c r="AT3757" s="3" t="s">
        <v>62</v>
      </c>
      <c r="AV3757" s="6" t="str">
        <f>HYPERLINK("http://mcgill.on.worldcat.org/oclc/48084188","Catalog Record")</f>
        <v>Catalog Record</v>
      </c>
      <c r="AW3757" s="6" t="str">
        <f>HYPERLINK("http://www.worldcat.org/oclc/48084188","WorldCat Record")</f>
        <v>WorldCat Record</v>
      </c>
      <c r="AX3757" s="3" t="s">
        <v>36320</v>
      </c>
      <c r="AY3757" s="3" t="s">
        <v>36321</v>
      </c>
      <c r="AZ3757" s="3" t="s">
        <v>36322</v>
      </c>
      <c r="BA3757" s="3" t="s">
        <v>36322</v>
      </c>
      <c r="BB3757" s="3" t="s">
        <v>36323</v>
      </c>
      <c r="BC3757" s="3" t="s">
        <v>102</v>
      </c>
      <c r="BD3757" s="3" t="s">
        <v>68</v>
      </c>
      <c r="BE3757" s="3" t="s">
        <v>36324</v>
      </c>
      <c r="BF3757" s="3" t="s">
        <v>36323</v>
      </c>
      <c r="BG3757" s="3" t="s">
        <v>36325</v>
      </c>
    </row>
    <row r="3758" spans="1:59" ht="58" x14ac:dyDescent="0.35">
      <c r="A3758" s="2" t="s">
        <v>89</v>
      </c>
      <c r="B3758" s="2" t="s">
        <v>90</v>
      </c>
      <c r="C3758" s="2" t="s">
        <v>36326</v>
      </c>
      <c r="D3758" s="2" t="s">
        <v>36327</v>
      </c>
      <c r="E3758" s="2" t="s">
        <v>36328</v>
      </c>
      <c r="G3758" s="3" t="s">
        <v>62</v>
      </c>
      <c r="I3758" s="3" t="s">
        <v>62</v>
      </c>
      <c r="J3758" s="3" t="s">
        <v>61</v>
      </c>
      <c r="K3758" s="3" t="s">
        <v>63</v>
      </c>
      <c r="L3758" s="2" t="s">
        <v>36329</v>
      </c>
      <c r="M3758" s="2" t="s">
        <v>36330</v>
      </c>
      <c r="N3758" s="3" t="s">
        <v>396</v>
      </c>
      <c r="O3758" s="2" t="s">
        <v>2187</v>
      </c>
      <c r="P3758" s="3" t="s">
        <v>64</v>
      </c>
      <c r="R3758" s="3" t="s">
        <v>34126</v>
      </c>
      <c r="S3758" s="4">
        <v>10</v>
      </c>
      <c r="T3758" s="4">
        <v>10</v>
      </c>
      <c r="U3758" s="5" t="s">
        <v>33437</v>
      </c>
      <c r="V3758" s="5" t="s">
        <v>33437</v>
      </c>
      <c r="W3758" s="5" t="s">
        <v>67</v>
      </c>
      <c r="X3758" s="5" t="s">
        <v>67</v>
      </c>
      <c r="Y3758" s="4">
        <v>621</v>
      </c>
      <c r="Z3758" s="4">
        <v>15</v>
      </c>
      <c r="AA3758" s="4">
        <v>25</v>
      </c>
      <c r="AB3758" s="4">
        <v>1</v>
      </c>
      <c r="AC3758" s="4">
        <v>5</v>
      </c>
      <c r="AD3758" s="4">
        <v>86</v>
      </c>
      <c r="AE3758" s="4">
        <v>108</v>
      </c>
      <c r="AF3758" s="4">
        <v>0</v>
      </c>
      <c r="AG3758" s="4">
        <v>2</v>
      </c>
      <c r="AH3758" s="4">
        <v>82</v>
      </c>
      <c r="AI3758" s="4">
        <v>99</v>
      </c>
      <c r="AJ3758" s="4">
        <v>6</v>
      </c>
      <c r="AK3758" s="4">
        <v>13</v>
      </c>
      <c r="AL3758" s="4">
        <v>47</v>
      </c>
      <c r="AM3758" s="4">
        <v>55</v>
      </c>
      <c r="AN3758" s="4">
        <v>0</v>
      </c>
      <c r="AO3758" s="4">
        <v>0</v>
      </c>
      <c r="AP3758" s="4">
        <v>9</v>
      </c>
      <c r="AQ3758" s="4">
        <v>15</v>
      </c>
      <c r="AR3758" s="3" t="s">
        <v>62</v>
      </c>
      <c r="AS3758" s="3" t="s">
        <v>62</v>
      </c>
      <c r="AT3758" s="3" t="s">
        <v>61</v>
      </c>
      <c r="AU3758" s="6" t="str">
        <f>HYPERLINK("http://catalog.hathitrust.org/Record/004395078","HathiTrust Record")</f>
        <v>HathiTrust Record</v>
      </c>
      <c r="AV3758" s="6" t="str">
        <f>HYPERLINK("http://mcgill.on.worldcat.org/oclc/10998821","Catalog Record")</f>
        <v>Catalog Record</v>
      </c>
      <c r="AW3758" s="6" t="str">
        <f>HYPERLINK("http://www.worldcat.org/oclc/10998821","WorldCat Record")</f>
        <v>WorldCat Record</v>
      </c>
      <c r="AX3758" s="3" t="s">
        <v>36331</v>
      </c>
      <c r="AY3758" s="3" t="s">
        <v>36332</v>
      </c>
      <c r="AZ3758" s="3" t="s">
        <v>36333</v>
      </c>
      <c r="BA3758" s="3" t="s">
        <v>36333</v>
      </c>
      <c r="BB3758" s="3" t="s">
        <v>36334</v>
      </c>
      <c r="BC3758" s="3" t="s">
        <v>102</v>
      </c>
      <c r="BD3758" s="3" t="s">
        <v>68</v>
      </c>
      <c r="BE3758" s="3" t="s">
        <v>36335</v>
      </c>
      <c r="BF3758" s="3" t="s">
        <v>36334</v>
      </c>
      <c r="BG3758" s="3" t="s">
        <v>36336</v>
      </c>
    </row>
    <row r="3759" spans="1:59" ht="58" x14ac:dyDescent="0.35">
      <c r="A3759" s="2" t="s">
        <v>59</v>
      </c>
      <c r="B3759" s="2" t="s">
        <v>60</v>
      </c>
      <c r="C3759" s="2" t="s">
        <v>36338</v>
      </c>
      <c r="D3759" s="2" t="s">
        <v>36339</v>
      </c>
      <c r="E3759" s="2" t="s">
        <v>36340</v>
      </c>
      <c r="G3759" s="3" t="s">
        <v>62</v>
      </c>
      <c r="I3759" s="3" t="s">
        <v>62</v>
      </c>
      <c r="J3759" s="3" t="s">
        <v>61</v>
      </c>
      <c r="K3759" s="3" t="s">
        <v>63</v>
      </c>
      <c r="L3759" s="2" t="s">
        <v>36341</v>
      </c>
      <c r="M3759" s="2" t="s">
        <v>36342</v>
      </c>
      <c r="N3759" s="3" t="s">
        <v>1576</v>
      </c>
      <c r="O3759" s="2" t="s">
        <v>8350</v>
      </c>
      <c r="P3759" s="3" t="s">
        <v>64</v>
      </c>
      <c r="Q3759" s="2" t="s">
        <v>29165</v>
      </c>
      <c r="R3759" s="3" t="s">
        <v>34126</v>
      </c>
      <c r="S3759" s="4">
        <v>2</v>
      </c>
      <c r="T3759" s="4">
        <v>2</v>
      </c>
      <c r="U3759" s="5" t="s">
        <v>13085</v>
      </c>
      <c r="V3759" s="5" t="s">
        <v>13085</v>
      </c>
      <c r="W3759" s="5" t="s">
        <v>67</v>
      </c>
      <c r="X3759" s="5" t="s">
        <v>67</v>
      </c>
      <c r="Y3759" s="4">
        <v>473</v>
      </c>
      <c r="Z3759" s="4">
        <v>27</v>
      </c>
      <c r="AA3759" s="4">
        <v>46</v>
      </c>
      <c r="AB3759" s="4">
        <v>3</v>
      </c>
      <c r="AC3759" s="4">
        <v>9</v>
      </c>
      <c r="AD3759" s="4">
        <v>105</v>
      </c>
      <c r="AE3759" s="4">
        <v>136</v>
      </c>
      <c r="AF3759" s="4">
        <v>1</v>
      </c>
      <c r="AG3759" s="4">
        <v>6</v>
      </c>
      <c r="AH3759" s="4">
        <v>91</v>
      </c>
      <c r="AI3759" s="4">
        <v>110</v>
      </c>
      <c r="AJ3759" s="4">
        <v>15</v>
      </c>
      <c r="AK3759" s="4">
        <v>25</v>
      </c>
      <c r="AL3759" s="4">
        <v>54</v>
      </c>
      <c r="AM3759" s="4">
        <v>60</v>
      </c>
      <c r="AN3759" s="4">
        <v>0</v>
      </c>
      <c r="AO3759" s="4">
        <v>0</v>
      </c>
      <c r="AP3759" s="4">
        <v>17</v>
      </c>
      <c r="AQ3759" s="4">
        <v>32</v>
      </c>
      <c r="AR3759" s="3" t="s">
        <v>62</v>
      </c>
      <c r="AS3759" s="3" t="s">
        <v>62</v>
      </c>
      <c r="AT3759" s="3" t="s">
        <v>61</v>
      </c>
      <c r="AU3759" s="6" t="str">
        <f>HYPERLINK("http://catalog.hathitrust.org/Record/001480530","HathiTrust Record")</f>
        <v>HathiTrust Record</v>
      </c>
      <c r="AV3759" s="6" t="str">
        <f>HYPERLINK("http://mcgill.on.worldcat.org/oclc/684141","Catalog Record")</f>
        <v>Catalog Record</v>
      </c>
      <c r="AW3759" s="6" t="str">
        <f>HYPERLINK("http://www.worldcat.org/oclc/684141","WorldCat Record")</f>
        <v>WorldCat Record</v>
      </c>
      <c r="AX3759" s="3" t="s">
        <v>36343</v>
      </c>
      <c r="AY3759" s="3" t="s">
        <v>36344</v>
      </c>
      <c r="AZ3759" s="3" t="s">
        <v>36345</v>
      </c>
      <c r="BA3759" s="3" t="s">
        <v>36345</v>
      </c>
      <c r="BB3759" s="3" t="s">
        <v>36346</v>
      </c>
      <c r="BC3759" s="3" t="s">
        <v>102</v>
      </c>
      <c r="BD3759" s="3" t="s">
        <v>68</v>
      </c>
      <c r="BF3759" s="3" t="s">
        <v>36346</v>
      </c>
      <c r="BG3759" s="3" t="s">
        <v>36347</v>
      </c>
    </row>
    <row r="3760" spans="1:59" ht="58" x14ac:dyDescent="0.35">
      <c r="A3760" s="2" t="s">
        <v>59</v>
      </c>
      <c r="B3760" s="2" t="s">
        <v>60</v>
      </c>
      <c r="C3760" s="2" t="s">
        <v>36348</v>
      </c>
      <c r="D3760" s="2" t="s">
        <v>36349</v>
      </c>
      <c r="E3760" s="2" t="s">
        <v>36350</v>
      </c>
      <c r="G3760" s="3" t="s">
        <v>62</v>
      </c>
      <c r="I3760" s="3" t="s">
        <v>62</v>
      </c>
      <c r="J3760" s="3" t="s">
        <v>62</v>
      </c>
      <c r="K3760" s="3" t="s">
        <v>63</v>
      </c>
      <c r="L3760" s="2" t="s">
        <v>36351</v>
      </c>
      <c r="M3760" s="2" t="s">
        <v>36352</v>
      </c>
      <c r="N3760" s="3" t="s">
        <v>1467</v>
      </c>
      <c r="P3760" s="3" t="s">
        <v>64</v>
      </c>
      <c r="Q3760" s="2" t="s">
        <v>36353</v>
      </c>
      <c r="R3760" s="3" t="s">
        <v>34126</v>
      </c>
      <c r="S3760" s="4">
        <v>4</v>
      </c>
      <c r="T3760" s="4">
        <v>4</v>
      </c>
      <c r="U3760" s="5" t="s">
        <v>19040</v>
      </c>
      <c r="V3760" s="5" t="s">
        <v>19040</v>
      </c>
      <c r="W3760" s="5" t="s">
        <v>67</v>
      </c>
      <c r="X3760" s="5" t="s">
        <v>67</v>
      </c>
      <c r="Y3760" s="4">
        <v>179</v>
      </c>
      <c r="Z3760" s="4">
        <v>14</v>
      </c>
      <c r="AA3760" s="4">
        <v>16</v>
      </c>
      <c r="AB3760" s="4">
        <v>1</v>
      </c>
      <c r="AC3760" s="4">
        <v>2</v>
      </c>
      <c r="AD3760" s="4">
        <v>72</v>
      </c>
      <c r="AE3760" s="4">
        <v>83</v>
      </c>
      <c r="AF3760" s="4">
        <v>0</v>
      </c>
      <c r="AG3760" s="4">
        <v>0</v>
      </c>
      <c r="AH3760" s="4">
        <v>66</v>
      </c>
      <c r="AI3760" s="4">
        <v>76</v>
      </c>
      <c r="AJ3760" s="4">
        <v>11</v>
      </c>
      <c r="AK3760" s="4">
        <v>11</v>
      </c>
      <c r="AL3760" s="4">
        <v>40</v>
      </c>
      <c r="AM3760" s="4">
        <v>49</v>
      </c>
      <c r="AN3760" s="4">
        <v>0</v>
      </c>
      <c r="AO3760" s="4">
        <v>0</v>
      </c>
      <c r="AP3760" s="4">
        <v>10</v>
      </c>
      <c r="AQ3760" s="4">
        <v>11</v>
      </c>
      <c r="AR3760" s="3" t="s">
        <v>62</v>
      </c>
      <c r="AS3760" s="3" t="s">
        <v>62</v>
      </c>
      <c r="AT3760" s="3" t="s">
        <v>62</v>
      </c>
      <c r="AV3760" s="6" t="str">
        <f>HYPERLINK("http://mcgill.on.worldcat.org/oclc/1162178","Catalog Record")</f>
        <v>Catalog Record</v>
      </c>
      <c r="AW3760" s="6" t="str">
        <f>HYPERLINK("http://www.worldcat.org/oclc/1162178","WorldCat Record")</f>
        <v>WorldCat Record</v>
      </c>
      <c r="AX3760" s="3" t="s">
        <v>36354</v>
      </c>
      <c r="AY3760" s="3" t="s">
        <v>36355</v>
      </c>
      <c r="AZ3760" s="3" t="s">
        <v>36356</v>
      </c>
      <c r="BA3760" s="3" t="s">
        <v>36356</v>
      </c>
      <c r="BB3760" s="3" t="s">
        <v>36357</v>
      </c>
      <c r="BC3760" s="3" t="s">
        <v>102</v>
      </c>
      <c r="BD3760" s="3" t="s">
        <v>68</v>
      </c>
      <c r="BF3760" s="3" t="s">
        <v>36357</v>
      </c>
      <c r="BG3760" s="3" t="s">
        <v>36358</v>
      </c>
    </row>
    <row r="3761" spans="1:59" ht="58" x14ac:dyDescent="0.35">
      <c r="A3761" s="2" t="s">
        <v>59</v>
      </c>
      <c r="B3761" s="2" t="s">
        <v>60</v>
      </c>
      <c r="C3761" s="2" t="s">
        <v>36359</v>
      </c>
      <c r="D3761" s="2" t="s">
        <v>36360</v>
      </c>
      <c r="E3761" s="2" t="s">
        <v>36361</v>
      </c>
      <c r="G3761" s="3" t="s">
        <v>62</v>
      </c>
      <c r="I3761" s="3" t="s">
        <v>61</v>
      </c>
      <c r="J3761" s="3" t="s">
        <v>62</v>
      </c>
      <c r="K3761" s="3" t="s">
        <v>63</v>
      </c>
      <c r="L3761" s="2" t="s">
        <v>36362</v>
      </c>
      <c r="M3761" s="2" t="s">
        <v>36363</v>
      </c>
      <c r="N3761" s="3" t="s">
        <v>1064</v>
      </c>
      <c r="P3761" s="3" t="s">
        <v>64</v>
      </c>
      <c r="R3761" s="3" t="s">
        <v>34126</v>
      </c>
      <c r="S3761" s="4">
        <v>2</v>
      </c>
      <c r="T3761" s="4">
        <v>7</v>
      </c>
      <c r="U3761" s="5" t="s">
        <v>36364</v>
      </c>
      <c r="V3761" s="5" t="s">
        <v>36365</v>
      </c>
      <c r="W3761" s="5" t="s">
        <v>67</v>
      </c>
      <c r="X3761" s="5" t="s">
        <v>67</v>
      </c>
      <c r="Y3761" s="4">
        <v>337</v>
      </c>
      <c r="Z3761" s="4">
        <v>24</v>
      </c>
      <c r="AA3761" s="4">
        <v>29</v>
      </c>
      <c r="AB3761" s="4">
        <v>2</v>
      </c>
      <c r="AC3761" s="4">
        <v>6</v>
      </c>
      <c r="AD3761" s="4">
        <v>101</v>
      </c>
      <c r="AE3761" s="4">
        <v>105</v>
      </c>
      <c r="AF3761" s="4">
        <v>1</v>
      </c>
      <c r="AG3761" s="4">
        <v>3</v>
      </c>
      <c r="AH3761" s="4">
        <v>89</v>
      </c>
      <c r="AI3761" s="4">
        <v>90</v>
      </c>
      <c r="AJ3761" s="4">
        <v>17</v>
      </c>
      <c r="AK3761" s="4">
        <v>19</v>
      </c>
      <c r="AL3761" s="4">
        <v>49</v>
      </c>
      <c r="AM3761" s="4">
        <v>49</v>
      </c>
      <c r="AN3761" s="4">
        <v>0</v>
      </c>
      <c r="AO3761" s="4">
        <v>0</v>
      </c>
      <c r="AP3761" s="4">
        <v>18</v>
      </c>
      <c r="AQ3761" s="4">
        <v>21</v>
      </c>
      <c r="AR3761" s="3" t="s">
        <v>62</v>
      </c>
      <c r="AS3761" s="3" t="s">
        <v>62</v>
      </c>
      <c r="AT3761" s="3" t="s">
        <v>61</v>
      </c>
      <c r="AU3761" s="6" t="str">
        <f>HYPERLINK("http://catalog.hathitrust.org/Record/001490959","HathiTrust Record")</f>
        <v>HathiTrust Record</v>
      </c>
      <c r="AV3761" s="6" t="str">
        <f>HYPERLINK("http://mcgill.on.worldcat.org/oclc/148947","Catalog Record")</f>
        <v>Catalog Record</v>
      </c>
      <c r="AW3761" s="6" t="str">
        <f>HYPERLINK("http://www.worldcat.org/oclc/148947","WorldCat Record")</f>
        <v>WorldCat Record</v>
      </c>
      <c r="AX3761" s="3" t="s">
        <v>36366</v>
      </c>
      <c r="AY3761" s="3" t="s">
        <v>36367</v>
      </c>
      <c r="AZ3761" s="3" t="s">
        <v>36368</v>
      </c>
      <c r="BA3761" s="3" t="s">
        <v>36368</v>
      </c>
      <c r="BB3761" s="3" t="s">
        <v>36369</v>
      </c>
      <c r="BC3761" s="3" t="s">
        <v>102</v>
      </c>
      <c r="BD3761" s="3" t="s">
        <v>68</v>
      </c>
      <c r="BE3761" s="3" t="s">
        <v>36370</v>
      </c>
      <c r="BF3761" s="3" t="s">
        <v>36369</v>
      </c>
      <c r="BG3761" s="3" t="s">
        <v>36371</v>
      </c>
    </row>
    <row r="3762" spans="1:59" ht="58" x14ac:dyDescent="0.35">
      <c r="A3762" s="2" t="s">
        <v>59</v>
      </c>
      <c r="B3762" s="2" t="s">
        <v>60</v>
      </c>
      <c r="C3762" s="2" t="s">
        <v>36372</v>
      </c>
      <c r="D3762" s="2" t="s">
        <v>36373</v>
      </c>
      <c r="E3762" s="2" t="s">
        <v>36374</v>
      </c>
      <c r="G3762" s="3" t="s">
        <v>62</v>
      </c>
      <c r="I3762" s="3" t="s">
        <v>62</v>
      </c>
      <c r="J3762" s="3" t="s">
        <v>62</v>
      </c>
      <c r="K3762" s="3" t="s">
        <v>63</v>
      </c>
      <c r="L3762" s="2" t="s">
        <v>36375</v>
      </c>
      <c r="M3762" s="2" t="s">
        <v>36376</v>
      </c>
      <c r="N3762" s="3" t="s">
        <v>95</v>
      </c>
      <c r="P3762" s="3" t="s">
        <v>64</v>
      </c>
      <c r="R3762" s="3" t="s">
        <v>34126</v>
      </c>
      <c r="S3762" s="4">
        <v>1</v>
      </c>
      <c r="T3762" s="4">
        <v>1</v>
      </c>
      <c r="U3762" s="5" t="s">
        <v>34388</v>
      </c>
      <c r="V3762" s="5" t="s">
        <v>34388</v>
      </c>
      <c r="W3762" s="5" t="s">
        <v>67</v>
      </c>
      <c r="X3762" s="5" t="s">
        <v>67</v>
      </c>
      <c r="Y3762" s="4">
        <v>46</v>
      </c>
      <c r="Z3762" s="4">
        <v>8</v>
      </c>
      <c r="AA3762" s="4">
        <v>9</v>
      </c>
      <c r="AB3762" s="4">
        <v>1</v>
      </c>
      <c r="AC3762" s="4">
        <v>1</v>
      </c>
      <c r="AD3762" s="4">
        <v>30</v>
      </c>
      <c r="AE3762" s="4">
        <v>54</v>
      </c>
      <c r="AF3762" s="4">
        <v>0</v>
      </c>
      <c r="AG3762" s="4">
        <v>0</v>
      </c>
      <c r="AH3762" s="4">
        <v>25</v>
      </c>
      <c r="AI3762" s="4">
        <v>49</v>
      </c>
      <c r="AJ3762" s="4">
        <v>6</v>
      </c>
      <c r="AK3762" s="4">
        <v>7</v>
      </c>
      <c r="AL3762" s="4">
        <v>18</v>
      </c>
      <c r="AM3762" s="4">
        <v>27</v>
      </c>
      <c r="AN3762" s="4">
        <v>0</v>
      </c>
      <c r="AO3762" s="4">
        <v>0</v>
      </c>
      <c r="AP3762" s="4">
        <v>5</v>
      </c>
      <c r="AQ3762" s="4">
        <v>6</v>
      </c>
      <c r="AR3762" s="3" t="s">
        <v>62</v>
      </c>
      <c r="AS3762" s="3" t="s">
        <v>62</v>
      </c>
      <c r="AT3762" s="3" t="s">
        <v>61</v>
      </c>
      <c r="AU3762" s="6" t="str">
        <f>HYPERLINK("http://catalog.hathitrust.org/Record/000313690","HathiTrust Record")</f>
        <v>HathiTrust Record</v>
      </c>
      <c r="AV3762" s="6" t="str">
        <f>HYPERLINK("http://mcgill.on.worldcat.org/oclc/8032298","Catalog Record")</f>
        <v>Catalog Record</v>
      </c>
      <c r="AW3762" s="6" t="str">
        <f>HYPERLINK("http://www.worldcat.org/oclc/8032298","WorldCat Record")</f>
        <v>WorldCat Record</v>
      </c>
      <c r="AX3762" s="3" t="s">
        <v>36377</v>
      </c>
      <c r="AY3762" s="3" t="s">
        <v>36378</v>
      </c>
      <c r="AZ3762" s="3" t="s">
        <v>36379</v>
      </c>
      <c r="BA3762" s="3" t="s">
        <v>36379</v>
      </c>
      <c r="BB3762" s="3" t="s">
        <v>36380</v>
      </c>
      <c r="BC3762" s="3" t="s">
        <v>102</v>
      </c>
      <c r="BD3762" s="3" t="s">
        <v>68</v>
      </c>
      <c r="BF3762" s="3" t="s">
        <v>36380</v>
      </c>
      <c r="BG3762" s="3" t="s">
        <v>36381</v>
      </c>
    </row>
    <row r="3763" spans="1:59" ht="58" x14ac:dyDescent="0.35">
      <c r="A3763" s="2" t="s">
        <v>89</v>
      </c>
      <c r="B3763" s="2" t="s">
        <v>90</v>
      </c>
      <c r="C3763" s="2" t="s">
        <v>36382</v>
      </c>
      <c r="D3763" s="2" t="s">
        <v>36383</v>
      </c>
      <c r="E3763" s="2" t="s">
        <v>36384</v>
      </c>
      <c r="G3763" s="3" t="s">
        <v>62</v>
      </c>
      <c r="I3763" s="3" t="s">
        <v>62</v>
      </c>
      <c r="J3763" s="3" t="s">
        <v>61</v>
      </c>
      <c r="K3763" s="3" t="s">
        <v>63</v>
      </c>
      <c r="L3763" s="2" t="s">
        <v>36385</v>
      </c>
      <c r="M3763" s="2" t="s">
        <v>36386</v>
      </c>
      <c r="N3763" s="3" t="s">
        <v>1038</v>
      </c>
      <c r="O3763" s="2" t="s">
        <v>8443</v>
      </c>
      <c r="P3763" s="3" t="s">
        <v>64</v>
      </c>
      <c r="R3763" s="3" t="s">
        <v>34126</v>
      </c>
      <c r="S3763" s="4">
        <v>2</v>
      </c>
      <c r="T3763" s="4">
        <v>2</v>
      </c>
      <c r="U3763" s="5" t="s">
        <v>1699</v>
      </c>
      <c r="V3763" s="5" t="s">
        <v>1699</v>
      </c>
      <c r="W3763" s="5" t="s">
        <v>67</v>
      </c>
      <c r="X3763" s="5" t="s">
        <v>67</v>
      </c>
      <c r="Y3763" s="4">
        <v>246</v>
      </c>
      <c r="Z3763" s="4">
        <v>20</v>
      </c>
      <c r="AA3763" s="4">
        <v>40</v>
      </c>
      <c r="AB3763" s="4">
        <v>2</v>
      </c>
      <c r="AC3763" s="4">
        <v>3</v>
      </c>
      <c r="AD3763" s="4">
        <v>64</v>
      </c>
      <c r="AE3763" s="4">
        <v>103</v>
      </c>
      <c r="AF3763" s="4">
        <v>1</v>
      </c>
      <c r="AG3763" s="4">
        <v>2</v>
      </c>
      <c r="AH3763" s="4">
        <v>53</v>
      </c>
      <c r="AI3763" s="4">
        <v>85</v>
      </c>
      <c r="AJ3763" s="4">
        <v>10</v>
      </c>
      <c r="AK3763" s="4">
        <v>19</v>
      </c>
      <c r="AL3763" s="4">
        <v>27</v>
      </c>
      <c r="AM3763" s="4">
        <v>43</v>
      </c>
      <c r="AN3763" s="4">
        <v>0</v>
      </c>
      <c r="AO3763" s="4">
        <v>0</v>
      </c>
      <c r="AP3763" s="4">
        <v>14</v>
      </c>
      <c r="AQ3763" s="4">
        <v>27</v>
      </c>
      <c r="AR3763" s="3" t="s">
        <v>62</v>
      </c>
      <c r="AS3763" s="3" t="s">
        <v>62</v>
      </c>
      <c r="AT3763" s="3" t="s">
        <v>62</v>
      </c>
      <c r="AV3763" s="6" t="str">
        <f>HYPERLINK("http://mcgill.on.worldcat.org/oclc/919924587","Catalog Record")</f>
        <v>Catalog Record</v>
      </c>
      <c r="AW3763" s="6" t="str">
        <f>HYPERLINK("http://www.worldcat.org/oclc/919924587","WorldCat Record")</f>
        <v>WorldCat Record</v>
      </c>
      <c r="AX3763" s="3" t="s">
        <v>36387</v>
      </c>
      <c r="AY3763" s="3" t="s">
        <v>36388</v>
      </c>
      <c r="AZ3763" s="3" t="s">
        <v>36389</v>
      </c>
      <c r="BA3763" s="3" t="s">
        <v>36389</v>
      </c>
      <c r="BB3763" s="3" t="s">
        <v>36390</v>
      </c>
      <c r="BC3763" s="3" t="s">
        <v>102</v>
      </c>
      <c r="BD3763" s="3" t="s">
        <v>68</v>
      </c>
      <c r="BE3763" s="3" t="s">
        <v>36391</v>
      </c>
      <c r="BF3763" s="3" t="s">
        <v>36390</v>
      </c>
      <c r="BG3763" s="3" t="s">
        <v>36392</v>
      </c>
    </row>
    <row r="3764" spans="1:59" ht="58" x14ac:dyDescent="0.35">
      <c r="A3764" s="2" t="s">
        <v>89</v>
      </c>
      <c r="B3764" s="2" t="s">
        <v>90</v>
      </c>
      <c r="C3764" s="2" t="s">
        <v>36393</v>
      </c>
      <c r="D3764" s="2" t="s">
        <v>36394</v>
      </c>
      <c r="E3764" s="2" t="s">
        <v>36395</v>
      </c>
      <c r="G3764" s="3" t="s">
        <v>62</v>
      </c>
      <c r="I3764" s="3" t="s">
        <v>62</v>
      </c>
      <c r="J3764" s="3" t="s">
        <v>61</v>
      </c>
      <c r="K3764" s="3" t="s">
        <v>63</v>
      </c>
      <c r="L3764" s="2" t="s">
        <v>11714</v>
      </c>
      <c r="M3764" s="2" t="s">
        <v>36396</v>
      </c>
      <c r="N3764" s="3" t="s">
        <v>741</v>
      </c>
      <c r="O3764" s="2" t="s">
        <v>11716</v>
      </c>
      <c r="P3764" s="3" t="s">
        <v>64</v>
      </c>
      <c r="R3764" s="3" t="s">
        <v>34126</v>
      </c>
      <c r="S3764" s="4">
        <v>0</v>
      </c>
      <c r="T3764" s="4">
        <v>0</v>
      </c>
      <c r="W3764" s="5" t="s">
        <v>67</v>
      </c>
      <c r="X3764" s="5" t="s">
        <v>67</v>
      </c>
      <c r="Y3764" s="4">
        <v>126</v>
      </c>
      <c r="Z3764" s="4">
        <v>19</v>
      </c>
      <c r="AA3764" s="4">
        <v>40</v>
      </c>
      <c r="AB3764" s="4">
        <v>1</v>
      </c>
      <c r="AC3764" s="4">
        <v>3</v>
      </c>
      <c r="AD3764" s="4">
        <v>47</v>
      </c>
      <c r="AE3764" s="4">
        <v>103</v>
      </c>
      <c r="AF3764" s="4">
        <v>0</v>
      </c>
      <c r="AG3764" s="4">
        <v>2</v>
      </c>
      <c r="AH3764" s="4">
        <v>40</v>
      </c>
      <c r="AI3764" s="4">
        <v>85</v>
      </c>
      <c r="AJ3764" s="4">
        <v>9</v>
      </c>
      <c r="AK3764" s="4">
        <v>19</v>
      </c>
      <c r="AL3764" s="4">
        <v>24</v>
      </c>
      <c r="AM3764" s="4">
        <v>43</v>
      </c>
      <c r="AN3764" s="4">
        <v>0</v>
      </c>
      <c r="AO3764" s="4">
        <v>0</v>
      </c>
      <c r="AP3764" s="4">
        <v>14</v>
      </c>
      <c r="AQ3764" s="4">
        <v>27</v>
      </c>
      <c r="AR3764" s="3" t="s">
        <v>62</v>
      </c>
      <c r="AS3764" s="3" t="s">
        <v>62</v>
      </c>
      <c r="AT3764" s="3" t="s">
        <v>62</v>
      </c>
      <c r="AV3764" s="6" t="str">
        <f>HYPERLINK("http://mcgill.on.worldcat.org/oclc/1010505696","Catalog Record")</f>
        <v>Catalog Record</v>
      </c>
      <c r="AW3764" s="6" t="str">
        <f>HYPERLINK("http://www.worldcat.org/oclc/1010505696","WorldCat Record")</f>
        <v>WorldCat Record</v>
      </c>
      <c r="AX3764" s="3" t="s">
        <v>36387</v>
      </c>
      <c r="AY3764" s="3" t="s">
        <v>36397</v>
      </c>
      <c r="AZ3764" s="3" t="s">
        <v>36398</v>
      </c>
      <c r="BA3764" s="3" t="s">
        <v>36398</v>
      </c>
      <c r="BB3764" s="3" t="s">
        <v>36399</v>
      </c>
      <c r="BC3764" s="3" t="s">
        <v>102</v>
      </c>
      <c r="BD3764" s="3" t="s">
        <v>68</v>
      </c>
      <c r="BE3764" s="3" t="s">
        <v>36400</v>
      </c>
      <c r="BF3764" s="3" t="s">
        <v>36399</v>
      </c>
      <c r="BG3764" s="3" t="s">
        <v>36401</v>
      </c>
    </row>
    <row r="3765" spans="1:59" ht="58" x14ac:dyDescent="0.35">
      <c r="A3765" s="2" t="s">
        <v>89</v>
      </c>
      <c r="B3765" s="2" t="s">
        <v>90</v>
      </c>
      <c r="C3765" s="2" t="s">
        <v>36402</v>
      </c>
      <c r="D3765" s="2" t="s">
        <v>36403</v>
      </c>
      <c r="E3765" s="2" t="s">
        <v>36404</v>
      </c>
      <c r="G3765" s="3" t="s">
        <v>62</v>
      </c>
      <c r="I3765" s="3" t="s">
        <v>62</v>
      </c>
      <c r="J3765" s="3" t="s">
        <v>61</v>
      </c>
      <c r="K3765" s="3" t="s">
        <v>63</v>
      </c>
      <c r="L3765" s="2" t="s">
        <v>36405</v>
      </c>
      <c r="M3765" s="2" t="s">
        <v>36406</v>
      </c>
      <c r="N3765" s="3" t="s">
        <v>726</v>
      </c>
      <c r="O3765" s="2" t="s">
        <v>17053</v>
      </c>
      <c r="P3765" s="3" t="s">
        <v>64</v>
      </c>
      <c r="R3765" s="3" t="s">
        <v>34126</v>
      </c>
      <c r="S3765" s="4">
        <v>5</v>
      </c>
      <c r="T3765" s="4">
        <v>5</v>
      </c>
      <c r="U3765" s="5" t="s">
        <v>18010</v>
      </c>
      <c r="V3765" s="5" t="s">
        <v>18010</v>
      </c>
      <c r="W3765" s="5" t="s">
        <v>67</v>
      </c>
      <c r="X3765" s="5" t="s">
        <v>67</v>
      </c>
      <c r="Y3765" s="4">
        <v>147</v>
      </c>
      <c r="Z3765" s="4">
        <v>13</v>
      </c>
      <c r="AA3765" s="4">
        <v>62</v>
      </c>
      <c r="AB3765" s="4">
        <v>1</v>
      </c>
      <c r="AC3765" s="4">
        <v>10</v>
      </c>
      <c r="AD3765" s="4">
        <v>35</v>
      </c>
      <c r="AE3765" s="4">
        <v>129</v>
      </c>
      <c r="AF3765" s="4">
        <v>0</v>
      </c>
      <c r="AG3765" s="4">
        <v>6</v>
      </c>
      <c r="AH3765" s="4">
        <v>29</v>
      </c>
      <c r="AI3765" s="4">
        <v>99</v>
      </c>
      <c r="AJ3765" s="4">
        <v>7</v>
      </c>
      <c r="AK3765" s="4">
        <v>24</v>
      </c>
      <c r="AL3765" s="4">
        <v>20</v>
      </c>
      <c r="AM3765" s="4">
        <v>53</v>
      </c>
      <c r="AN3765" s="4">
        <v>0</v>
      </c>
      <c r="AO3765" s="4">
        <v>0</v>
      </c>
      <c r="AP3765" s="4">
        <v>8</v>
      </c>
      <c r="AQ3765" s="4">
        <v>40</v>
      </c>
      <c r="AR3765" s="3" t="s">
        <v>62</v>
      </c>
      <c r="AS3765" s="3" t="s">
        <v>62</v>
      </c>
      <c r="AT3765" s="3" t="s">
        <v>62</v>
      </c>
      <c r="AV3765" s="6" t="str">
        <f>HYPERLINK("http://mcgill.on.worldcat.org/oclc/969973714","Catalog Record")</f>
        <v>Catalog Record</v>
      </c>
      <c r="AW3765" s="6" t="str">
        <f>HYPERLINK("http://www.worldcat.org/oclc/969973714","WorldCat Record")</f>
        <v>WorldCat Record</v>
      </c>
      <c r="AX3765" s="3" t="s">
        <v>36407</v>
      </c>
      <c r="AY3765" s="3" t="s">
        <v>36408</v>
      </c>
      <c r="AZ3765" s="3" t="s">
        <v>36409</v>
      </c>
      <c r="BA3765" s="3" t="s">
        <v>36409</v>
      </c>
      <c r="BB3765" s="3" t="s">
        <v>36410</v>
      </c>
      <c r="BC3765" s="3" t="s">
        <v>102</v>
      </c>
      <c r="BD3765" s="3" t="s">
        <v>68</v>
      </c>
      <c r="BE3765" s="3" t="s">
        <v>36411</v>
      </c>
      <c r="BF3765" s="3" t="s">
        <v>36410</v>
      </c>
      <c r="BG3765" s="3" t="s">
        <v>36412</v>
      </c>
    </row>
    <row r="3766" spans="1:59" ht="58" x14ac:dyDescent="0.35">
      <c r="A3766" s="2" t="s">
        <v>89</v>
      </c>
      <c r="B3766" s="2" t="s">
        <v>90</v>
      </c>
      <c r="C3766" s="2" t="s">
        <v>36413</v>
      </c>
      <c r="D3766" s="2" t="s">
        <v>36414</v>
      </c>
      <c r="E3766" s="2" t="s">
        <v>36415</v>
      </c>
      <c r="G3766" s="3" t="s">
        <v>62</v>
      </c>
      <c r="I3766" s="3" t="s">
        <v>62</v>
      </c>
      <c r="J3766" s="3" t="s">
        <v>62</v>
      </c>
      <c r="K3766" s="3" t="s">
        <v>63</v>
      </c>
      <c r="L3766" s="2" t="s">
        <v>36416</v>
      </c>
      <c r="M3766" s="2" t="s">
        <v>36386</v>
      </c>
      <c r="N3766" s="3" t="s">
        <v>1038</v>
      </c>
      <c r="P3766" s="3" t="s">
        <v>64</v>
      </c>
      <c r="Q3766" s="2" t="s">
        <v>36417</v>
      </c>
      <c r="R3766" s="3" t="s">
        <v>34126</v>
      </c>
      <c r="S3766" s="4">
        <v>0</v>
      </c>
      <c r="T3766" s="4">
        <v>0</v>
      </c>
      <c r="W3766" s="5" t="s">
        <v>67</v>
      </c>
      <c r="X3766" s="5" t="s">
        <v>67</v>
      </c>
      <c r="Y3766" s="4">
        <v>141</v>
      </c>
      <c r="Z3766" s="4">
        <v>16</v>
      </c>
      <c r="AA3766" s="4">
        <v>16</v>
      </c>
      <c r="AB3766" s="4">
        <v>2</v>
      </c>
      <c r="AC3766" s="4">
        <v>2</v>
      </c>
      <c r="AD3766" s="4">
        <v>49</v>
      </c>
      <c r="AE3766" s="4">
        <v>49</v>
      </c>
      <c r="AF3766" s="4">
        <v>1</v>
      </c>
      <c r="AG3766" s="4">
        <v>1</v>
      </c>
      <c r="AH3766" s="4">
        <v>40</v>
      </c>
      <c r="AI3766" s="4">
        <v>40</v>
      </c>
      <c r="AJ3766" s="4">
        <v>7</v>
      </c>
      <c r="AK3766" s="4">
        <v>7</v>
      </c>
      <c r="AL3766" s="4">
        <v>24</v>
      </c>
      <c r="AM3766" s="4">
        <v>24</v>
      </c>
      <c r="AN3766" s="4">
        <v>0</v>
      </c>
      <c r="AO3766" s="4">
        <v>0</v>
      </c>
      <c r="AP3766" s="4">
        <v>11</v>
      </c>
      <c r="AQ3766" s="4">
        <v>11</v>
      </c>
      <c r="AR3766" s="3" t="s">
        <v>62</v>
      </c>
      <c r="AS3766" s="3" t="s">
        <v>62</v>
      </c>
      <c r="AT3766" s="3" t="s">
        <v>62</v>
      </c>
      <c r="AV3766" s="6" t="str">
        <f>HYPERLINK("http://mcgill.on.worldcat.org/oclc/922970517","Catalog Record")</f>
        <v>Catalog Record</v>
      </c>
      <c r="AW3766" s="6" t="str">
        <f>HYPERLINK("http://www.worldcat.org/oclc/922970517","WorldCat Record")</f>
        <v>WorldCat Record</v>
      </c>
      <c r="AX3766" s="3" t="s">
        <v>36418</v>
      </c>
      <c r="AY3766" s="3" t="s">
        <v>36419</v>
      </c>
      <c r="AZ3766" s="3" t="s">
        <v>36420</v>
      </c>
      <c r="BA3766" s="3" t="s">
        <v>36420</v>
      </c>
      <c r="BB3766" s="3" t="s">
        <v>36421</v>
      </c>
      <c r="BC3766" s="3" t="s">
        <v>102</v>
      </c>
      <c r="BD3766" s="3" t="s">
        <v>68</v>
      </c>
      <c r="BE3766" s="3" t="s">
        <v>36422</v>
      </c>
      <c r="BF3766" s="3" t="s">
        <v>36421</v>
      </c>
      <c r="BG3766" s="3" t="s">
        <v>36423</v>
      </c>
    </row>
    <row r="3767" spans="1:59" ht="58" x14ac:dyDescent="0.35">
      <c r="A3767" s="2" t="s">
        <v>59</v>
      </c>
      <c r="B3767" s="2" t="s">
        <v>60</v>
      </c>
      <c r="C3767" s="2" t="s">
        <v>36424</v>
      </c>
      <c r="D3767" s="2" t="s">
        <v>36425</v>
      </c>
      <c r="E3767" s="2" t="s">
        <v>36426</v>
      </c>
      <c r="G3767" s="3" t="s">
        <v>62</v>
      </c>
      <c r="I3767" s="3" t="s">
        <v>61</v>
      </c>
      <c r="J3767" s="3" t="s">
        <v>61</v>
      </c>
      <c r="K3767" s="3" t="s">
        <v>63</v>
      </c>
      <c r="L3767" s="2" t="s">
        <v>36427</v>
      </c>
      <c r="M3767" s="2" t="s">
        <v>36428</v>
      </c>
      <c r="N3767" s="3" t="s">
        <v>87</v>
      </c>
      <c r="P3767" s="3" t="s">
        <v>64</v>
      </c>
      <c r="R3767" s="3" t="s">
        <v>34126</v>
      </c>
      <c r="S3767" s="4">
        <v>0</v>
      </c>
      <c r="T3767" s="4">
        <v>23</v>
      </c>
      <c r="V3767" s="5" t="s">
        <v>9931</v>
      </c>
      <c r="W3767" s="5" t="s">
        <v>67</v>
      </c>
      <c r="X3767" s="5" t="s">
        <v>67</v>
      </c>
      <c r="Y3767" s="4">
        <v>552</v>
      </c>
      <c r="Z3767" s="4">
        <v>25</v>
      </c>
      <c r="AA3767" s="4">
        <v>51</v>
      </c>
      <c r="AB3767" s="4">
        <v>1</v>
      </c>
      <c r="AC3767" s="4">
        <v>9</v>
      </c>
      <c r="AD3767" s="4">
        <v>109</v>
      </c>
      <c r="AE3767" s="4">
        <v>145</v>
      </c>
      <c r="AF3767" s="4">
        <v>0</v>
      </c>
      <c r="AG3767" s="4">
        <v>4</v>
      </c>
      <c r="AH3767" s="4">
        <v>95</v>
      </c>
      <c r="AI3767" s="4">
        <v>117</v>
      </c>
      <c r="AJ3767" s="4">
        <v>15</v>
      </c>
      <c r="AK3767" s="4">
        <v>24</v>
      </c>
      <c r="AL3767" s="4">
        <v>54</v>
      </c>
      <c r="AM3767" s="4">
        <v>61</v>
      </c>
      <c r="AN3767" s="4">
        <v>0</v>
      </c>
      <c r="AO3767" s="4">
        <v>5</v>
      </c>
      <c r="AP3767" s="4">
        <v>20</v>
      </c>
      <c r="AQ3767" s="4">
        <v>35</v>
      </c>
      <c r="AR3767" s="3" t="s">
        <v>62</v>
      </c>
      <c r="AS3767" s="3" t="s">
        <v>62</v>
      </c>
      <c r="AT3767" s="3" t="s">
        <v>61</v>
      </c>
      <c r="AU3767" s="6" t="str">
        <f>HYPERLINK("http://catalog.hathitrust.org/Record/000020534","HathiTrust Record")</f>
        <v>HathiTrust Record</v>
      </c>
      <c r="AV3767" s="6" t="str">
        <f>HYPERLINK("http://mcgill.on.worldcat.org/oclc/4983272","Catalog Record")</f>
        <v>Catalog Record</v>
      </c>
      <c r="AW3767" s="6" t="str">
        <f>HYPERLINK("http://www.worldcat.org/oclc/4983272","WorldCat Record")</f>
        <v>WorldCat Record</v>
      </c>
      <c r="AX3767" s="3" t="s">
        <v>36429</v>
      </c>
      <c r="AY3767" s="3" t="s">
        <v>36430</v>
      </c>
      <c r="AZ3767" s="3" t="s">
        <v>36431</v>
      </c>
      <c r="BA3767" s="3" t="s">
        <v>36431</v>
      </c>
      <c r="BB3767" s="3" t="s">
        <v>36432</v>
      </c>
      <c r="BC3767" s="3" t="s">
        <v>102</v>
      </c>
      <c r="BD3767" s="3" t="s">
        <v>68</v>
      </c>
      <c r="BE3767" s="3" t="s">
        <v>36433</v>
      </c>
      <c r="BF3767" s="3" t="s">
        <v>36432</v>
      </c>
      <c r="BG3767" s="3" t="s">
        <v>36434</v>
      </c>
    </row>
    <row r="3768" spans="1:59" ht="58" x14ac:dyDescent="0.35">
      <c r="A3768" s="2" t="s">
        <v>59</v>
      </c>
      <c r="B3768" s="2" t="s">
        <v>60</v>
      </c>
      <c r="C3768" s="2" t="s">
        <v>36435</v>
      </c>
      <c r="D3768" s="2" t="s">
        <v>36436</v>
      </c>
      <c r="E3768" s="2" t="s">
        <v>36437</v>
      </c>
      <c r="G3768" s="3" t="s">
        <v>62</v>
      </c>
      <c r="I3768" s="3" t="s">
        <v>61</v>
      </c>
      <c r="J3768" s="3" t="s">
        <v>61</v>
      </c>
      <c r="K3768" s="3" t="s">
        <v>63</v>
      </c>
      <c r="L3768" s="2" t="s">
        <v>36438</v>
      </c>
      <c r="M3768" s="2" t="s">
        <v>36439</v>
      </c>
      <c r="N3768" s="3" t="s">
        <v>893</v>
      </c>
      <c r="P3768" s="3" t="s">
        <v>64</v>
      </c>
      <c r="R3768" s="3" t="s">
        <v>34126</v>
      </c>
      <c r="S3768" s="4">
        <v>30</v>
      </c>
      <c r="T3768" s="4">
        <v>43</v>
      </c>
      <c r="U3768" s="5" t="s">
        <v>36440</v>
      </c>
      <c r="V3768" s="5" t="s">
        <v>36440</v>
      </c>
      <c r="W3768" s="5" t="s">
        <v>67</v>
      </c>
      <c r="X3768" s="5" t="s">
        <v>67</v>
      </c>
      <c r="Y3768" s="4">
        <v>1731</v>
      </c>
      <c r="Z3768" s="4">
        <v>76</v>
      </c>
      <c r="AA3768" s="4">
        <v>85</v>
      </c>
      <c r="AB3768" s="4">
        <v>4</v>
      </c>
      <c r="AC3768" s="4">
        <v>8</v>
      </c>
      <c r="AD3768" s="4">
        <v>154</v>
      </c>
      <c r="AE3768" s="4">
        <v>161</v>
      </c>
      <c r="AF3768" s="4">
        <v>2</v>
      </c>
      <c r="AG3768" s="4">
        <v>5</v>
      </c>
      <c r="AH3768" s="4">
        <v>114</v>
      </c>
      <c r="AI3768" s="4">
        <v>116</v>
      </c>
      <c r="AJ3768" s="4">
        <v>24</v>
      </c>
      <c r="AK3768" s="4">
        <v>29</v>
      </c>
      <c r="AL3768" s="4">
        <v>60</v>
      </c>
      <c r="AM3768" s="4">
        <v>60</v>
      </c>
      <c r="AN3768" s="4">
        <v>0</v>
      </c>
      <c r="AO3768" s="4">
        <v>0</v>
      </c>
      <c r="AP3768" s="4">
        <v>44</v>
      </c>
      <c r="AQ3768" s="4">
        <v>50</v>
      </c>
      <c r="AR3768" s="3" t="s">
        <v>62</v>
      </c>
      <c r="AS3768" s="3" t="s">
        <v>62</v>
      </c>
      <c r="AT3768" s="3" t="s">
        <v>61</v>
      </c>
      <c r="AU3768" s="6" t="str">
        <f>HYPERLINK("http://catalog.hathitrust.org/Record/000306733","HathiTrust Record")</f>
        <v>HathiTrust Record</v>
      </c>
      <c r="AV3768" s="6" t="str">
        <f>HYPERLINK("http://mcgill.on.worldcat.org/oclc/7875904","Catalog Record")</f>
        <v>Catalog Record</v>
      </c>
      <c r="AW3768" s="6" t="str">
        <f>HYPERLINK("http://www.worldcat.org/oclc/7875904","WorldCat Record")</f>
        <v>WorldCat Record</v>
      </c>
      <c r="AX3768" s="3" t="s">
        <v>36441</v>
      </c>
      <c r="AY3768" s="3" t="s">
        <v>36442</v>
      </c>
      <c r="AZ3768" s="3" t="s">
        <v>36443</v>
      </c>
      <c r="BA3768" s="3" t="s">
        <v>36443</v>
      </c>
      <c r="BB3768" s="3" t="s">
        <v>36444</v>
      </c>
      <c r="BC3768" s="3" t="s">
        <v>102</v>
      </c>
      <c r="BD3768" s="3" t="s">
        <v>68</v>
      </c>
      <c r="BE3768" s="3" t="s">
        <v>36445</v>
      </c>
      <c r="BF3768" s="3" t="s">
        <v>36444</v>
      </c>
      <c r="BG3768" s="3" t="s">
        <v>36446</v>
      </c>
    </row>
    <row r="3769" spans="1:59" ht="58" x14ac:dyDescent="0.35">
      <c r="A3769" s="2" t="s">
        <v>89</v>
      </c>
      <c r="B3769" s="2" t="s">
        <v>90</v>
      </c>
      <c r="C3769" s="2" t="s">
        <v>36447</v>
      </c>
      <c r="D3769" s="2" t="s">
        <v>36448</v>
      </c>
      <c r="E3769" s="2" t="s">
        <v>36449</v>
      </c>
      <c r="G3769" s="3" t="s">
        <v>62</v>
      </c>
      <c r="I3769" s="3" t="s">
        <v>62</v>
      </c>
      <c r="J3769" s="3" t="s">
        <v>62</v>
      </c>
      <c r="K3769" s="3" t="s">
        <v>63</v>
      </c>
      <c r="L3769" s="2" t="s">
        <v>36450</v>
      </c>
      <c r="M3769" s="2" t="s">
        <v>36451</v>
      </c>
      <c r="N3769" s="3" t="s">
        <v>1064</v>
      </c>
      <c r="O3769" s="2" t="s">
        <v>36452</v>
      </c>
      <c r="P3769" s="3" t="s">
        <v>85</v>
      </c>
      <c r="R3769" s="3" t="s">
        <v>34126</v>
      </c>
      <c r="S3769" s="4">
        <v>21</v>
      </c>
      <c r="T3769" s="4">
        <v>21</v>
      </c>
      <c r="U3769" s="5" t="s">
        <v>3231</v>
      </c>
      <c r="V3769" s="5" t="s">
        <v>3231</v>
      </c>
      <c r="W3769" s="5" t="s">
        <v>67</v>
      </c>
      <c r="X3769" s="5" t="s">
        <v>67</v>
      </c>
      <c r="Y3769" s="4">
        <v>3</v>
      </c>
      <c r="Z3769" s="4">
        <v>1</v>
      </c>
      <c r="AA3769" s="4">
        <v>4</v>
      </c>
      <c r="AB3769" s="4">
        <v>1</v>
      </c>
      <c r="AC3769" s="4">
        <v>2</v>
      </c>
      <c r="AD3769" s="4">
        <v>0</v>
      </c>
      <c r="AE3769" s="4">
        <v>2</v>
      </c>
      <c r="AF3769" s="4">
        <v>0</v>
      </c>
      <c r="AG3769" s="4">
        <v>1</v>
      </c>
      <c r="AH3769" s="4">
        <v>0</v>
      </c>
      <c r="AI3769" s="4">
        <v>2</v>
      </c>
      <c r="AJ3769" s="4">
        <v>0</v>
      </c>
      <c r="AK3769" s="4">
        <v>2</v>
      </c>
      <c r="AL3769" s="4">
        <v>0</v>
      </c>
      <c r="AM3769" s="4">
        <v>1</v>
      </c>
      <c r="AN3769" s="4">
        <v>0</v>
      </c>
      <c r="AO3769" s="4">
        <v>0</v>
      </c>
      <c r="AP3769" s="4">
        <v>0</v>
      </c>
      <c r="AQ3769" s="4">
        <v>2</v>
      </c>
      <c r="AR3769" s="3" t="s">
        <v>62</v>
      </c>
      <c r="AS3769" s="3" t="s">
        <v>62</v>
      </c>
      <c r="AT3769" s="3" t="s">
        <v>62</v>
      </c>
      <c r="AV3769" s="6" t="str">
        <f>HYPERLINK("http://mcgill.on.worldcat.org/oclc/80423674","Catalog Record")</f>
        <v>Catalog Record</v>
      </c>
      <c r="AW3769" s="6" t="str">
        <f>HYPERLINK("http://www.worldcat.org/oclc/80423674","WorldCat Record")</f>
        <v>WorldCat Record</v>
      </c>
      <c r="AX3769" s="3" t="s">
        <v>36453</v>
      </c>
      <c r="AY3769" s="3" t="s">
        <v>36454</v>
      </c>
      <c r="AZ3769" s="3" t="s">
        <v>36455</v>
      </c>
      <c r="BA3769" s="3" t="s">
        <v>36455</v>
      </c>
      <c r="BB3769" s="3" t="s">
        <v>36456</v>
      </c>
      <c r="BC3769" s="3" t="s">
        <v>102</v>
      </c>
      <c r="BD3769" s="3" t="s">
        <v>68</v>
      </c>
      <c r="BF3769" s="3" t="s">
        <v>36456</v>
      </c>
      <c r="BG3769" s="3" t="s">
        <v>36457</v>
      </c>
    </row>
    <row r="3770" spans="1:59" ht="58" x14ac:dyDescent="0.35">
      <c r="A3770" s="2" t="s">
        <v>59</v>
      </c>
      <c r="B3770" s="2" t="s">
        <v>60</v>
      </c>
      <c r="C3770" s="2" t="s">
        <v>36458</v>
      </c>
      <c r="D3770" s="2" t="s">
        <v>36459</v>
      </c>
      <c r="E3770" s="2" t="s">
        <v>36460</v>
      </c>
      <c r="G3770" s="3" t="s">
        <v>62</v>
      </c>
      <c r="I3770" s="3" t="s">
        <v>61</v>
      </c>
      <c r="J3770" s="3" t="s">
        <v>62</v>
      </c>
      <c r="K3770" s="3" t="s">
        <v>63</v>
      </c>
      <c r="L3770" s="2" t="s">
        <v>36461</v>
      </c>
      <c r="M3770" s="2" t="s">
        <v>36462</v>
      </c>
      <c r="N3770" s="3" t="s">
        <v>838</v>
      </c>
      <c r="P3770" s="3" t="s">
        <v>64</v>
      </c>
      <c r="Q3770" s="2" t="s">
        <v>36463</v>
      </c>
      <c r="R3770" s="3" t="s">
        <v>34126</v>
      </c>
      <c r="S3770" s="4">
        <v>5</v>
      </c>
      <c r="T3770" s="4">
        <v>7</v>
      </c>
      <c r="U3770" s="5" t="s">
        <v>36464</v>
      </c>
      <c r="V3770" s="5" t="s">
        <v>4064</v>
      </c>
      <c r="W3770" s="5" t="s">
        <v>67</v>
      </c>
      <c r="X3770" s="5" t="s">
        <v>67</v>
      </c>
      <c r="Y3770" s="4">
        <v>213</v>
      </c>
      <c r="Z3770" s="4">
        <v>16</v>
      </c>
      <c r="AA3770" s="4">
        <v>17</v>
      </c>
      <c r="AB3770" s="4">
        <v>1</v>
      </c>
      <c r="AC3770" s="4">
        <v>1</v>
      </c>
      <c r="AD3770" s="4">
        <v>63</v>
      </c>
      <c r="AE3770" s="4">
        <v>66</v>
      </c>
      <c r="AF3770" s="4">
        <v>0</v>
      </c>
      <c r="AG3770" s="4">
        <v>0</v>
      </c>
      <c r="AH3770" s="4">
        <v>56</v>
      </c>
      <c r="AI3770" s="4">
        <v>59</v>
      </c>
      <c r="AJ3770" s="4">
        <v>9</v>
      </c>
      <c r="AK3770" s="4">
        <v>10</v>
      </c>
      <c r="AL3770" s="4">
        <v>34</v>
      </c>
      <c r="AM3770" s="4">
        <v>36</v>
      </c>
      <c r="AN3770" s="4">
        <v>0</v>
      </c>
      <c r="AO3770" s="4">
        <v>0</v>
      </c>
      <c r="AP3770" s="4">
        <v>13</v>
      </c>
      <c r="AQ3770" s="4">
        <v>14</v>
      </c>
      <c r="AR3770" s="3" t="s">
        <v>62</v>
      </c>
      <c r="AS3770" s="3" t="s">
        <v>62</v>
      </c>
      <c r="AT3770" s="3" t="s">
        <v>62</v>
      </c>
      <c r="AV3770" s="6" t="str">
        <f>HYPERLINK("http://mcgill.on.worldcat.org/oclc/863175","Catalog Record")</f>
        <v>Catalog Record</v>
      </c>
      <c r="AW3770" s="6" t="str">
        <f>HYPERLINK("http://www.worldcat.org/oclc/863175","WorldCat Record")</f>
        <v>WorldCat Record</v>
      </c>
      <c r="AX3770" s="3" t="s">
        <v>36465</v>
      </c>
      <c r="AY3770" s="3" t="s">
        <v>36466</v>
      </c>
      <c r="AZ3770" s="3" t="s">
        <v>36467</v>
      </c>
      <c r="BA3770" s="3" t="s">
        <v>36467</v>
      </c>
      <c r="BB3770" s="3" t="s">
        <v>36468</v>
      </c>
      <c r="BC3770" s="3" t="s">
        <v>102</v>
      </c>
      <c r="BD3770" s="3" t="s">
        <v>68</v>
      </c>
      <c r="BF3770" s="3" t="s">
        <v>36468</v>
      </c>
      <c r="BG3770" s="3" t="s">
        <v>36469</v>
      </c>
    </row>
    <row r="3771" spans="1:59" ht="58" x14ac:dyDescent="0.35">
      <c r="A3771" s="2" t="s">
        <v>89</v>
      </c>
      <c r="B3771" s="2" t="s">
        <v>90</v>
      </c>
      <c r="C3771" s="2" t="s">
        <v>36470</v>
      </c>
      <c r="D3771" s="2" t="s">
        <v>36471</v>
      </c>
      <c r="E3771" s="2" t="s">
        <v>36472</v>
      </c>
      <c r="G3771" s="3" t="s">
        <v>62</v>
      </c>
      <c r="I3771" s="3" t="s">
        <v>61</v>
      </c>
      <c r="J3771" s="3" t="s">
        <v>62</v>
      </c>
      <c r="K3771" s="3" t="s">
        <v>63</v>
      </c>
      <c r="L3771" s="2" t="s">
        <v>36473</v>
      </c>
      <c r="M3771" s="2" t="s">
        <v>36474</v>
      </c>
      <c r="N3771" s="3" t="s">
        <v>2110</v>
      </c>
      <c r="P3771" s="3" t="s">
        <v>85</v>
      </c>
      <c r="Q3771" s="2" t="s">
        <v>36475</v>
      </c>
      <c r="R3771" s="3" t="s">
        <v>34126</v>
      </c>
      <c r="S3771" s="4">
        <v>3</v>
      </c>
      <c r="T3771" s="4">
        <v>6</v>
      </c>
      <c r="U3771" s="5" t="s">
        <v>4839</v>
      </c>
      <c r="V3771" s="5" t="s">
        <v>4839</v>
      </c>
      <c r="W3771" s="5" t="s">
        <v>67</v>
      </c>
      <c r="X3771" s="5" t="s">
        <v>67</v>
      </c>
      <c r="Y3771" s="4">
        <v>75</v>
      </c>
      <c r="Z3771" s="4">
        <v>5</v>
      </c>
      <c r="AA3771" s="4">
        <v>13</v>
      </c>
      <c r="AB3771" s="4">
        <v>1</v>
      </c>
      <c r="AC3771" s="4">
        <v>6</v>
      </c>
      <c r="AD3771" s="4">
        <v>35</v>
      </c>
      <c r="AE3771" s="4">
        <v>40</v>
      </c>
      <c r="AF3771" s="4">
        <v>0</v>
      </c>
      <c r="AG3771" s="4">
        <v>3</v>
      </c>
      <c r="AH3771" s="4">
        <v>32</v>
      </c>
      <c r="AI3771" s="4">
        <v>35</v>
      </c>
      <c r="AJ3771" s="4">
        <v>3</v>
      </c>
      <c r="AK3771" s="4">
        <v>8</v>
      </c>
      <c r="AL3771" s="4">
        <v>24</v>
      </c>
      <c r="AM3771" s="4">
        <v>25</v>
      </c>
      <c r="AN3771" s="4">
        <v>0</v>
      </c>
      <c r="AO3771" s="4">
        <v>0</v>
      </c>
      <c r="AP3771" s="4">
        <v>4</v>
      </c>
      <c r="AQ3771" s="4">
        <v>8</v>
      </c>
      <c r="AR3771" s="3" t="s">
        <v>62</v>
      </c>
      <c r="AS3771" s="3" t="s">
        <v>62</v>
      </c>
      <c r="AT3771" s="3" t="s">
        <v>61</v>
      </c>
      <c r="AU3771" s="6" t="str">
        <f>HYPERLINK("http://catalog.hathitrust.org/Record/000689284","HathiTrust Record")</f>
        <v>HathiTrust Record</v>
      </c>
      <c r="AV3771" s="6" t="str">
        <f>HYPERLINK("http://mcgill.on.worldcat.org/oclc/5455862","Catalog Record")</f>
        <v>Catalog Record</v>
      </c>
      <c r="AW3771" s="6" t="str">
        <f>HYPERLINK("http://www.worldcat.org/oclc/5455862","WorldCat Record")</f>
        <v>WorldCat Record</v>
      </c>
      <c r="AX3771" s="3" t="s">
        <v>36476</v>
      </c>
      <c r="AY3771" s="3" t="s">
        <v>36477</v>
      </c>
      <c r="AZ3771" s="3" t="s">
        <v>36478</v>
      </c>
      <c r="BA3771" s="3" t="s">
        <v>36478</v>
      </c>
      <c r="BB3771" s="3" t="s">
        <v>36479</v>
      </c>
      <c r="BC3771" s="3" t="s">
        <v>102</v>
      </c>
      <c r="BD3771" s="3" t="s">
        <v>68</v>
      </c>
      <c r="BE3771" s="3" t="s">
        <v>36480</v>
      </c>
      <c r="BF3771" s="3" t="s">
        <v>36479</v>
      </c>
      <c r="BG3771" s="3" t="s">
        <v>36481</v>
      </c>
    </row>
    <row r="3772" spans="1:59" ht="87" x14ac:dyDescent="0.35">
      <c r="A3772" s="2" t="s">
        <v>59</v>
      </c>
      <c r="B3772" s="2" t="s">
        <v>60</v>
      </c>
      <c r="C3772" s="2" t="s">
        <v>36482</v>
      </c>
      <c r="D3772" s="2" t="s">
        <v>36483</v>
      </c>
      <c r="E3772" s="2" t="s">
        <v>36484</v>
      </c>
      <c r="G3772" s="3" t="s">
        <v>62</v>
      </c>
      <c r="I3772" s="3" t="s">
        <v>62</v>
      </c>
      <c r="J3772" s="3" t="s">
        <v>62</v>
      </c>
      <c r="K3772" s="3" t="s">
        <v>63</v>
      </c>
      <c r="L3772" s="2" t="s">
        <v>36485</v>
      </c>
      <c r="M3772" s="2" t="s">
        <v>36486</v>
      </c>
      <c r="N3772" s="3" t="s">
        <v>481</v>
      </c>
      <c r="P3772" s="3" t="s">
        <v>1881</v>
      </c>
      <c r="Q3772" s="2" t="s">
        <v>36487</v>
      </c>
      <c r="R3772" s="3" t="s">
        <v>34126</v>
      </c>
      <c r="S3772" s="4">
        <v>7</v>
      </c>
      <c r="T3772" s="4">
        <v>7</v>
      </c>
      <c r="U3772" s="5" t="s">
        <v>1469</v>
      </c>
      <c r="V3772" s="5" t="s">
        <v>1469</v>
      </c>
      <c r="W3772" s="5" t="s">
        <v>67</v>
      </c>
      <c r="X3772" s="5" t="s">
        <v>67</v>
      </c>
      <c r="Y3772" s="4">
        <v>95</v>
      </c>
      <c r="Z3772" s="4">
        <v>4</v>
      </c>
      <c r="AA3772" s="4">
        <v>4</v>
      </c>
      <c r="AB3772" s="4">
        <v>1</v>
      </c>
      <c r="AC3772" s="4">
        <v>1</v>
      </c>
      <c r="AD3772" s="4">
        <v>34</v>
      </c>
      <c r="AE3772" s="4">
        <v>34</v>
      </c>
      <c r="AF3772" s="4">
        <v>0</v>
      </c>
      <c r="AG3772" s="4">
        <v>0</v>
      </c>
      <c r="AH3772" s="4">
        <v>33</v>
      </c>
      <c r="AI3772" s="4">
        <v>33</v>
      </c>
      <c r="AJ3772" s="4">
        <v>1</v>
      </c>
      <c r="AK3772" s="4">
        <v>1</v>
      </c>
      <c r="AL3772" s="4">
        <v>26</v>
      </c>
      <c r="AM3772" s="4">
        <v>26</v>
      </c>
      <c r="AN3772" s="4">
        <v>0</v>
      </c>
      <c r="AO3772" s="4">
        <v>0</v>
      </c>
      <c r="AP3772" s="4">
        <v>1</v>
      </c>
      <c r="AQ3772" s="4">
        <v>1</v>
      </c>
      <c r="AR3772" s="3" t="s">
        <v>62</v>
      </c>
      <c r="AS3772" s="3" t="s">
        <v>62</v>
      </c>
      <c r="AT3772" s="3" t="s">
        <v>62</v>
      </c>
      <c r="AV3772" s="6" t="str">
        <f>HYPERLINK("http://mcgill.on.worldcat.org/oclc/38279397","Catalog Record")</f>
        <v>Catalog Record</v>
      </c>
      <c r="AW3772" s="6" t="str">
        <f>HYPERLINK("http://www.worldcat.org/oclc/38279397","WorldCat Record")</f>
        <v>WorldCat Record</v>
      </c>
      <c r="AX3772" s="3" t="s">
        <v>36488</v>
      </c>
      <c r="AY3772" s="3" t="s">
        <v>36489</v>
      </c>
      <c r="AZ3772" s="3" t="s">
        <v>36490</v>
      </c>
      <c r="BA3772" s="3" t="s">
        <v>36490</v>
      </c>
      <c r="BB3772" s="3" t="s">
        <v>36491</v>
      </c>
      <c r="BC3772" s="3" t="s">
        <v>102</v>
      </c>
      <c r="BD3772" s="3" t="s">
        <v>68</v>
      </c>
      <c r="BE3772" s="3" t="s">
        <v>36492</v>
      </c>
      <c r="BF3772" s="3" t="s">
        <v>36491</v>
      </c>
      <c r="BG3772" s="3" t="s">
        <v>36493</v>
      </c>
    </row>
    <row r="3773" spans="1:59" ht="58" x14ac:dyDescent="0.35">
      <c r="A3773" s="2" t="s">
        <v>59</v>
      </c>
      <c r="B3773" s="2" t="s">
        <v>60</v>
      </c>
      <c r="C3773" s="2" t="s">
        <v>36494</v>
      </c>
      <c r="D3773" s="2" t="s">
        <v>36495</v>
      </c>
      <c r="E3773" s="2" t="s">
        <v>36496</v>
      </c>
      <c r="G3773" s="3" t="s">
        <v>62</v>
      </c>
      <c r="I3773" s="3" t="s">
        <v>61</v>
      </c>
      <c r="J3773" s="3" t="s">
        <v>62</v>
      </c>
      <c r="K3773" s="3" t="s">
        <v>63</v>
      </c>
      <c r="L3773" s="2" t="s">
        <v>36497</v>
      </c>
      <c r="M3773" s="2" t="s">
        <v>36498</v>
      </c>
      <c r="N3773" s="3" t="s">
        <v>893</v>
      </c>
      <c r="P3773" s="3" t="s">
        <v>64</v>
      </c>
      <c r="Q3773" s="2" t="s">
        <v>36499</v>
      </c>
      <c r="R3773" s="3" t="s">
        <v>34126</v>
      </c>
      <c r="S3773" s="4">
        <v>0</v>
      </c>
      <c r="T3773" s="4">
        <v>15</v>
      </c>
      <c r="V3773" s="5" t="s">
        <v>16979</v>
      </c>
      <c r="W3773" s="5" t="s">
        <v>67</v>
      </c>
      <c r="X3773" s="5" t="s">
        <v>67</v>
      </c>
      <c r="Y3773" s="4">
        <v>275</v>
      </c>
      <c r="Z3773" s="4">
        <v>25</v>
      </c>
      <c r="AA3773" s="4">
        <v>33</v>
      </c>
      <c r="AB3773" s="4">
        <v>3</v>
      </c>
      <c r="AC3773" s="4">
        <v>6</v>
      </c>
      <c r="AD3773" s="4">
        <v>109</v>
      </c>
      <c r="AE3773" s="4">
        <v>119</v>
      </c>
      <c r="AF3773" s="4">
        <v>1</v>
      </c>
      <c r="AG3773" s="4">
        <v>3</v>
      </c>
      <c r="AH3773" s="4">
        <v>97</v>
      </c>
      <c r="AI3773" s="4">
        <v>100</v>
      </c>
      <c r="AJ3773" s="4">
        <v>18</v>
      </c>
      <c r="AK3773" s="4">
        <v>21</v>
      </c>
      <c r="AL3773" s="4">
        <v>54</v>
      </c>
      <c r="AM3773" s="4">
        <v>57</v>
      </c>
      <c r="AN3773" s="4">
        <v>0</v>
      </c>
      <c r="AO3773" s="4">
        <v>0</v>
      </c>
      <c r="AP3773" s="4">
        <v>20</v>
      </c>
      <c r="AQ3773" s="4">
        <v>25</v>
      </c>
      <c r="AR3773" s="3" t="s">
        <v>62</v>
      </c>
      <c r="AS3773" s="3" t="s">
        <v>62</v>
      </c>
      <c r="AT3773" s="3" t="s">
        <v>62</v>
      </c>
      <c r="AV3773" s="6" t="str">
        <f>HYPERLINK("http://mcgill.on.worldcat.org/oclc/8689604","Catalog Record")</f>
        <v>Catalog Record</v>
      </c>
      <c r="AW3773" s="6" t="str">
        <f>HYPERLINK("http://www.worldcat.org/oclc/8689604","WorldCat Record")</f>
        <v>WorldCat Record</v>
      </c>
      <c r="AX3773" s="3" t="s">
        <v>36500</v>
      </c>
      <c r="AY3773" s="3" t="s">
        <v>36501</v>
      </c>
      <c r="AZ3773" s="3" t="s">
        <v>36502</v>
      </c>
      <c r="BA3773" s="3" t="s">
        <v>36502</v>
      </c>
      <c r="BB3773" s="3" t="s">
        <v>36503</v>
      </c>
      <c r="BC3773" s="3" t="s">
        <v>102</v>
      </c>
      <c r="BD3773" s="3" t="s">
        <v>68</v>
      </c>
      <c r="BE3773" s="3" t="s">
        <v>36504</v>
      </c>
      <c r="BF3773" s="3" t="s">
        <v>36503</v>
      </c>
      <c r="BG3773" s="3" t="s">
        <v>36505</v>
      </c>
    </row>
    <row r="3774" spans="1:59" ht="58" x14ac:dyDescent="0.35">
      <c r="A3774" s="2" t="s">
        <v>89</v>
      </c>
      <c r="B3774" s="2" t="s">
        <v>90</v>
      </c>
      <c r="C3774" s="2" t="s">
        <v>36506</v>
      </c>
      <c r="D3774" s="2" t="s">
        <v>36507</v>
      </c>
      <c r="E3774" s="2" t="s">
        <v>36508</v>
      </c>
      <c r="G3774" s="3" t="s">
        <v>62</v>
      </c>
      <c r="I3774" s="3" t="s">
        <v>62</v>
      </c>
      <c r="J3774" s="3" t="s">
        <v>62</v>
      </c>
      <c r="K3774" s="3" t="s">
        <v>63</v>
      </c>
      <c r="L3774" s="2" t="s">
        <v>36509</v>
      </c>
      <c r="M3774" s="2" t="s">
        <v>36510</v>
      </c>
      <c r="N3774" s="3" t="s">
        <v>327</v>
      </c>
      <c r="P3774" s="3" t="s">
        <v>64</v>
      </c>
      <c r="Q3774" s="2" t="s">
        <v>36511</v>
      </c>
      <c r="R3774" s="3" t="s">
        <v>34126</v>
      </c>
      <c r="S3774" s="4">
        <v>6</v>
      </c>
      <c r="T3774" s="4">
        <v>6</v>
      </c>
      <c r="U3774" s="5" t="s">
        <v>33286</v>
      </c>
      <c r="V3774" s="5" t="s">
        <v>33286</v>
      </c>
      <c r="W3774" s="5" t="s">
        <v>67</v>
      </c>
      <c r="X3774" s="5" t="s">
        <v>67</v>
      </c>
      <c r="Y3774" s="4">
        <v>309</v>
      </c>
      <c r="Z3774" s="4">
        <v>20</v>
      </c>
      <c r="AA3774" s="4">
        <v>20</v>
      </c>
      <c r="AB3774" s="4">
        <v>1</v>
      </c>
      <c r="AC3774" s="4">
        <v>1</v>
      </c>
      <c r="AD3774" s="4">
        <v>105</v>
      </c>
      <c r="AE3774" s="4">
        <v>105</v>
      </c>
      <c r="AF3774" s="4">
        <v>0</v>
      </c>
      <c r="AG3774" s="4">
        <v>0</v>
      </c>
      <c r="AH3774" s="4">
        <v>93</v>
      </c>
      <c r="AI3774" s="4">
        <v>93</v>
      </c>
      <c r="AJ3774" s="4">
        <v>15</v>
      </c>
      <c r="AK3774" s="4">
        <v>15</v>
      </c>
      <c r="AL3774" s="4">
        <v>54</v>
      </c>
      <c r="AM3774" s="4">
        <v>54</v>
      </c>
      <c r="AN3774" s="4">
        <v>0</v>
      </c>
      <c r="AO3774" s="4">
        <v>0</v>
      </c>
      <c r="AP3774" s="4">
        <v>15</v>
      </c>
      <c r="AQ3774" s="4">
        <v>15</v>
      </c>
      <c r="AR3774" s="3" t="s">
        <v>62</v>
      </c>
      <c r="AS3774" s="3" t="s">
        <v>62</v>
      </c>
      <c r="AT3774" s="3" t="s">
        <v>61</v>
      </c>
      <c r="AU3774" s="6" t="str">
        <f>HYPERLINK("http://catalog.hathitrust.org/Record/000367477","HathiTrust Record")</f>
        <v>HathiTrust Record</v>
      </c>
      <c r="AV3774" s="6" t="str">
        <f>HYPERLINK("http://mcgill.on.worldcat.org/oclc/9646277","Catalog Record")</f>
        <v>Catalog Record</v>
      </c>
      <c r="AW3774" s="6" t="str">
        <f>HYPERLINK("http://www.worldcat.org/oclc/9646277","WorldCat Record")</f>
        <v>WorldCat Record</v>
      </c>
      <c r="AX3774" s="3" t="s">
        <v>36512</v>
      </c>
      <c r="AY3774" s="3" t="s">
        <v>36513</v>
      </c>
      <c r="AZ3774" s="3" t="s">
        <v>36514</v>
      </c>
      <c r="BA3774" s="3" t="s">
        <v>36514</v>
      </c>
      <c r="BB3774" s="3" t="s">
        <v>36515</v>
      </c>
      <c r="BC3774" s="3" t="s">
        <v>102</v>
      </c>
      <c r="BD3774" s="3" t="s">
        <v>68</v>
      </c>
      <c r="BE3774" s="3" t="s">
        <v>36516</v>
      </c>
      <c r="BF3774" s="3" t="s">
        <v>36515</v>
      </c>
      <c r="BG3774" s="3" t="s">
        <v>36517</v>
      </c>
    </row>
    <row r="3775" spans="1:59" ht="58" x14ac:dyDescent="0.35">
      <c r="A3775" s="2" t="s">
        <v>89</v>
      </c>
      <c r="B3775" s="2" t="s">
        <v>90</v>
      </c>
      <c r="C3775" s="2" t="s">
        <v>36518</v>
      </c>
      <c r="D3775" s="2" t="s">
        <v>36519</v>
      </c>
      <c r="E3775" s="2" t="s">
        <v>36520</v>
      </c>
      <c r="G3775" s="3" t="s">
        <v>62</v>
      </c>
      <c r="I3775" s="3" t="s">
        <v>62</v>
      </c>
      <c r="J3775" s="3" t="s">
        <v>62</v>
      </c>
      <c r="K3775" s="3" t="s">
        <v>63</v>
      </c>
      <c r="L3775" s="2" t="s">
        <v>11407</v>
      </c>
      <c r="M3775" s="2" t="s">
        <v>14377</v>
      </c>
      <c r="N3775" s="3" t="s">
        <v>568</v>
      </c>
      <c r="P3775" s="3" t="s">
        <v>64</v>
      </c>
      <c r="Q3775" s="2" t="s">
        <v>11252</v>
      </c>
      <c r="R3775" s="3" t="s">
        <v>34126</v>
      </c>
      <c r="S3775" s="4">
        <v>3</v>
      </c>
      <c r="T3775" s="4">
        <v>3</v>
      </c>
      <c r="U3775" s="5" t="s">
        <v>10139</v>
      </c>
      <c r="V3775" s="5" t="s">
        <v>10139</v>
      </c>
      <c r="W3775" s="5" t="s">
        <v>67</v>
      </c>
      <c r="X3775" s="5" t="s">
        <v>67</v>
      </c>
      <c r="Y3775" s="4">
        <v>410</v>
      </c>
      <c r="Z3775" s="4">
        <v>19</v>
      </c>
      <c r="AA3775" s="4">
        <v>19</v>
      </c>
      <c r="AB3775" s="4">
        <v>2</v>
      </c>
      <c r="AC3775" s="4">
        <v>2</v>
      </c>
      <c r="AD3775" s="4">
        <v>107</v>
      </c>
      <c r="AE3775" s="4">
        <v>107</v>
      </c>
      <c r="AF3775" s="4">
        <v>1</v>
      </c>
      <c r="AG3775" s="4">
        <v>1</v>
      </c>
      <c r="AH3775" s="4">
        <v>97</v>
      </c>
      <c r="AI3775" s="4">
        <v>97</v>
      </c>
      <c r="AJ3775" s="4">
        <v>13</v>
      </c>
      <c r="AK3775" s="4">
        <v>13</v>
      </c>
      <c r="AL3775" s="4">
        <v>54</v>
      </c>
      <c r="AM3775" s="4">
        <v>54</v>
      </c>
      <c r="AN3775" s="4">
        <v>0</v>
      </c>
      <c r="AO3775" s="4">
        <v>0</v>
      </c>
      <c r="AP3775" s="4">
        <v>14</v>
      </c>
      <c r="AQ3775" s="4">
        <v>14</v>
      </c>
      <c r="AR3775" s="3" t="s">
        <v>62</v>
      </c>
      <c r="AS3775" s="3" t="s">
        <v>62</v>
      </c>
      <c r="AT3775" s="3" t="s">
        <v>62</v>
      </c>
      <c r="AV3775" s="6" t="str">
        <f>HYPERLINK("http://mcgill.on.worldcat.org/oclc/43334131","Catalog Record")</f>
        <v>Catalog Record</v>
      </c>
      <c r="AW3775" s="6" t="str">
        <f>HYPERLINK("http://www.worldcat.org/oclc/43334131","WorldCat Record")</f>
        <v>WorldCat Record</v>
      </c>
      <c r="AX3775" s="3" t="s">
        <v>36521</v>
      </c>
      <c r="AY3775" s="3" t="s">
        <v>36522</v>
      </c>
      <c r="AZ3775" s="3" t="s">
        <v>36523</v>
      </c>
      <c r="BA3775" s="3" t="s">
        <v>36523</v>
      </c>
      <c r="BB3775" s="3" t="s">
        <v>36524</v>
      </c>
      <c r="BC3775" s="3" t="s">
        <v>102</v>
      </c>
      <c r="BD3775" s="3" t="s">
        <v>68</v>
      </c>
      <c r="BE3775" s="3" t="s">
        <v>36525</v>
      </c>
      <c r="BF3775" s="3" t="s">
        <v>36524</v>
      </c>
      <c r="BG3775" s="3" t="s">
        <v>36526</v>
      </c>
    </row>
    <row r="3776" spans="1:59" ht="58" x14ac:dyDescent="0.35">
      <c r="A3776" s="2" t="s">
        <v>89</v>
      </c>
      <c r="B3776" s="2" t="s">
        <v>90</v>
      </c>
      <c r="C3776" s="2" t="s">
        <v>36527</v>
      </c>
      <c r="D3776" s="2" t="s">
        <v>36528</v>
      </c>
      <c r="E3776" s="2" t="s">
        <v>36529</v>
      </c>
      <c r="G3776" s="3" t="s">
        <v>62</v>
      </c>
      <c r="I3776" s="3" t="s">
        <v>62</v>
      </c>
      <c r="J3776" s="3" t="s">
        <v>62</v>
      </c>
      <c r="K3776" s="3" t="s">
        <v>63</v>
      </c>
      <c r="L3776" s="2" t="s">
        <v>36530</v>
      </c>
      <c r="M3776" s="2" t="s">
        <v>36531</v>
      </c>
      <c r="N3776" s="3" t="s">
        <v>640</v>
      </c>
      <c r="P3776" s="3" t="s">
        <v>64</v>
      </c>
      <c r="R3776" s="3" t="s">
        <v>34126</v>
      </c>
      <c r="S3776" s="4">
        <v>3</v>
      </c>
      <c r="T3776" s="4">
        <v>3</v>
      </c>
      <c r="U3776" s="5" t="s">
        <v>10139</v>
      </c>
      <c r="V3776" s="5" t="s">
        <v>10139</v>
      </c>
      <c r="W3776" s="5" t="s">
        <v>67</v>
      </c>
      <c r="X3776" s="5" t="s">
        <v>67</v>
      </c>
      <c r="Y3776" s="4">
        <v>408</v>
      </c>
      <c r="Z3776" s="4">
        <v>27</v>
      </c>
      <c r="AA3776" s="4">
        <v>82</v>
      </c>
      <c r="AB3776" s="4">
        <v>3</v>
      </c>
      <c r="AC3776" s="4">
        <v>14</v>
      </c>
      <c r="AD3776" s="4">
        <v>109</v>
      </c>
      <c r="AE3776" s="4">
        <v>138</v>
      </c>
      <c r="AF3776" s="4">
        <v>2</v>
      </c>
      <c r="AG3776" s="4">
        <v>8</v>
      </c>
      <c r="AH3776" s="4">
        <v>91</v>
      </c>
      <c r="AI3776" s="4">
        <v>100</v>
      </c>
      <c r="AJ3776" s="4">
        <v>18</v>
      </c>
      <c r="AK3776" s="4">
        <v>24</v>
      </c>
      <c r="AL3776" s="4">
        <v>49</v>
      </c>
      <c r="AM3776" s="4">
        <v>52</v>
      </c>
      <c r="AN3776" s="4">
        <v>0</v>
      </c>
      <c r="AO3776" s="4">
        <v>0</v>
      </c>
      <c r="AP3776" s="4">
        <v>24</v>
      </c>
      <c r="AQ3776" s="4">
        <v>45</v>
      </c>
      <c r="AR3776" s="3" t="s">
        <v>62</v>
      </c>
      <c r="AS3776" s="3" t="s">
        <v>62</v>
      </c>
      <c r="AT3776" s="3" t="s">
        <v>62</v>
      </c>
      <c r="AV3776" s="6" t="str">
        <f>HYPERLINK("http://mcgill.on.worldcat.org/oclc/54425415","Catalog Record")</f>
        <v>Catalog Record</v>
      </c>
      <c r="AW3776" s="6" t="str">
        <f>HYPERLINK("http://www.worldcat.org/oclc/54425415","WorldCat Record")</f>
        <v>WorldCat Record</v>
      </c>
      <c r="AX3776" s="3" t="s">
        <v>36532</v>
      </c>
      <c r="AY3776" s="3" t="s">
        <v>36533</v>
      </c>
      <c r="AZ3776" s="3" t="s">
        <v>36534</v>
      </c>
      <c r="BA3776" s="3" t="s">
        <v>36534</v>
      </c>
      <c r="BB3776" s="3" t="s">
        <v>36535</v>
      </c>
      <c r="BC3776" s="3" t="s">
        <v>102</v>
      </c>
      <c r="BD3776" s="3" t="s">
        <v>68</v>
      </c>
      <c r="BE3776" s="3" t="s">
        <v>36536</v>
      </c>
      <c r="BF3776" s="3" t="s">
        <v>36535</v>
      </c>
      <c r="BG3776" s="3" t="s">
        <v>36537</v>
      </c>
    </row>
    <row r="3777" spans="1:59" ht="101.5" x14ac:dyDescent="0.35">
      <c r="A3777" s="2" t="s">
        <v>89</v>
      </c>
      <c r="B3777" s="2" t="s">
        <v>12301</v>
      </c>
      <c r="C3777" s="2" t="s">
        <v>36538</v>
      </c>
      <c r="D3777" s="2" t="s">
        <v>36539</v>
      </c>
      <c r="E3777" s="2" t="s">
        <v>36540</v>
      </c>
      <c r="G3777" s="3" t="s">
        <v>62</v>
      </c>
      <c r="I3777" s="3" t="s">
        <v>62</v>
      </c>
      <c r="J3777" s="3" t="s">
        <v>61</v>
      </c>
      <c r="K3777" s="3" t="s">
        <v>63</v>
      </c>
      <c r="L3777" s="2" t="s">
        <v>36541</v>
      </c>
      <c r="M3777" s="2" t="s">
        <v>36542</v>
      </c>
      <c r="N3777" s="3" t="s">
        <v>741</v>
      </c>
      <c r="O3777" s="2" t="s">
        <v>16034</v>
      </c>
      <c r="P3777" s="3" t="s">
        <v>64</v>
      </c>
      <c r="R3777" s="3" t="s">
        <v>34126</v>
      </c>
      <c r="S3777" s="4">
        <v>7</v>
      </c>
      <c r="T3777" s="4">
        <v>7</v>
      </c>
      <c r="U3777" s="5" t="s">
        <v>26568</v>
      </c>
      <c r="V3777" s="5" t="s">
        <v>26568</v>
      </c>
      <c r="W3777" s="5" t="s">
        <v>67</v>
      </c>
      <c r="X3777" s="5" t="s">
        <v>67</v>
      </c>
      <c r="Y3777" s="4">
        <v>9</v>
      </c>
      <c r="Z3777" s="4">
        <v>1</v>
      </c>
      <c r="AA3777" s="4">
        <v>25</v>
      </c>
      <c r="AB3777" s="4">
        <v>1</v>
      </c>
      <c r="AC3777" s="4">
        <v>2</v>
      </c>
      <c r="AD3777" s="4">
        <v>1</v>
      </c>
      <c r="AE3777" s="4">
        <v>30</v>
      </c>
      <c r="AF3777" s="4">
        <v>0</v>
      </c>
      <c r="AG3777" s="4">
        <v>1</v>
      </c>
      <c r="AH3777" s="4">
        <v>1</v>
      </c>
      <c r="AI3777" s="4">
        <v>24</v>
      </c>
      <c r="AJ3777" s="4">
        <v>0</v>
      </c>
      <c r="AK3777" s="4">
        <v>8</v>
      </c>
      <c r="AL3777" s="4">
        <v>0</v>
      </c>
      <c r="AM3777" s="4">
        <v>14</v>
      </c>
      <c r="AN3777" s="4">
        <v>0</v>
      </c>
      <c r="AO3777" s="4">
        <v>0</v>
      </c>
      <c r="AP3777" s="4">
        <v>0</v>
      </c>
      <c r="AQ3777" s="4">
        <v>10</v>
      </c>
      <c r="AR3777" s="3" t="s">
        <v>62</v>
      </c>
      <c r="AS3777" s="3" t="s">
        <v>62</v>
      </c>
      <c r="AT3777" s="3" t="s">
        <v>62</v>
      </c>
      <c r="AV3777" s="6" t="str">
        <f>HYPERLINK("http://mcgill.on.worldcat.org/oclc/1010544207","Catalog Record")</f>
        <v>Catalog Record</v>
      </c>
      <c r="AW3777" s="6" t="str">
        <f>HYPERLINK("http://www.worldcat.org/oclc/1010544207","WorldCat Record")</f>
        <v>WorldCat Record</v>
      </c>
      <c r="AX3777" s="3" t="s">
        <v>36543</v>
      </c>
      <c r="AY3777" s="3" t="s">
        <v>36544</v>
      </c>
      <c r="AZ3777" s="3" t="s">
        <v>36545</v>
      </c>
      <c r="BA3777" s="3" t="s">
        <v>36545</v>
      </c>
      <c r="BB3777" s="3" t="s">
        <v>36546</v>
      </c>
      <c r="BC3777" s="3" t="s">
        <v>102</v>
      </c>
      <c r="BD3777" s="3" t="s">
        <v>68</v>
      </c>
      <c r="BE3777" s="3" t="s">
        <v>36547</v>
      </c>
      <c r="BF3777" s="3" t="s">
        <v>36546</v>
      </c>
      <c r="BG3777" s="3" t="s">
        <v>36548</v>
      </c>
    </row>
    <row r="3778" spans="1:59" ht="101.5" x14ac:dyDescent="0.35">
      <c r="A3778" s="2" t="s">
        <v>89</v>
      </c>
      <c r="B3778" s="2" t="s">
        <v>12301</v>
      </c>
      <c r="C3778" s="2" t="s">
        <v>36549</v>
      </c>
      <c r="D3778" s="2" t="s">
        <v>36550</v>
      </c>
      <c r="E3778" s="2" t="s">
        <v>36551</v>
      </c>
      <c r="G3778" s="3" t="s">
        <v>62</v>
      </c>
      <c r="I3778" s="3" t="s">
        <v>62</v>
      </c>
      <c r="J3778" s="3" t="s">
        <v>62</v>
      </c>
      <c r="K3778" s="3" t="s">
        <v>63</v>
      </c>
      <c r="L3778" s="2" t="s">
        <v>36552</v>
      </c>
      <c r="M3778" s="2" t="s">
        <v>36542</v>
      </c>
      <c r="N3778" s="3" t="s">
        <v>741</v>
      </c>
      <c r="O3778" s="2" t="s">
        <v>16034</v>
      </c>
      <c r="P3778" s="3" t="s">
        <v>64</v>
      </c>
      <c r="R3778" s="3" t="s">
        <v>34126</v>
      </c>
      <c r="S3778" s="4">
        <v>6</v>
      </c>
      <c r="T3778" s="4">
        <v>6</v>
      </c>
      <c r="U3778" s="5" t="s">
        <v>19237</v>
      </c>
      <c r="V3778" s="5" t="s">
        <v>19237</v>
      </c>
      <c r="W3778" s="5" t="s">
        <v>67</v>
      </c>
      <c r="X3778" s="5" t="s">
        <v>67</v>
      </c>
      <c r="Y3778" s="4">
        <v>20</v>
      </c>
      <c r="Z3778" s="4">
        <v>2</v>
      </c>
      <c r="AA3778" s="4">
        <v>20</v>
      </c>
      <c r="AB3778" s="4">
        <v>1</v>
      </c>
      <c r="AC3778" s="4">
        <v>5</v>
      </c>
      <c r="AD3778" s="4">
        <v>6</v>
      </c>
      <c r="AE3778" s="4">
        <v>27</v>
      </c>
      <c r="AF3778" s="4">
        <v>0</v>
      </c>
      <c r="AG3778" s="4">
        <v>2</v>
      </c>
      <c r="AH3778" s="4">
        <v>4</v>
      </c>
      <c r="AI3778" s="4">
        <v>23</v>
      </c>
      <c r="AJ3778" s="4">
        <v>0</v>
      </c>
      <c r="AK3778" s="4">
        <v>6</v>
      </c>
      <c r="AL3778" s="4">
        <v>3</v>
      </c>
      <c r="AM3778" s="4">
        <v>12</v>
      </c>
      <c r="AN3778" s="4">
        <v>0</v>
      </c>
      <c r="AO3778" s="4">
        <v>0</v>
      </c>
      <c r="AP3778" s="4">
        <v>1</v>
      </c>
      <c r="AQ3778" s="4">
        <v>7</v>
      </c>
      <c r="AR3778" s="3" t="s">
        <v>62</v>
      </c>
      <c r="AS3778" s="3" t="s">
        <v>62</v>
      </c>
      <c r="AT3778" s="3" t="s">
        <v>62</v>
      </c>
      <c r="AV3778" s="6" t="str">
        <f>HYPERLINK("http://mcgill.on.worldcat.org/oclc/1010585474","Catalog Record")</f>
        <v>Catalog Record</v>
      </c>
      <c r="AW3778" s="6" t="str">
        <f>HYPERLINK("http://www.worldcat.org/oclc/1010585474","WorldCat Record")</f>
        <v>WorldCat Record</v>
      </c>
      <c r="AX3778" s="3" t="s">
        <v>36553</v>
      </c>
      <c r="AY3778" s="3" t="s">
        <v>36554</v>
      </c>
      <c r="AZ3778" s="3" t="s">
        <v>36555</v>
      </c>
      <c r="BA3778" s="3" t="s">
        <v>36555</v>
      </c>
      <c r="BB3778" s="3" t="s">
        <v>36556</v>
      </c>
      <c r="BC3778" s="3" t="s">
        <v>102</v>
      </c>
      <c r="BD3778" s="3" t="s">
        <v>68</v>
      </c>
      <c r="BE3778" s="3" t="s">
        <v>36557</v>
      </c>
      <c r="BF3778" s="3" t="s">
        <v>36556</v>
      </c>
      <c r="BG3778" s="3" t="s">
        <v>36558</v>
      </c>
    </row>
    <row r="3779" spans="1:59" ht="58" x14ac:dyDescent="0.35">
      <c r="A3779" s="2" t="s">
        <v>89</v>
      </c>
      <c r="B3779" s="2" t="s">
        <v>90</v>
      </c>
      <c r="C3779" s="2" t="s">
        <v>36559</v>
      </c>
      <c r="D3779" s="2" t="s">
        <v>36560</v>
      </c>
      <c r="E3779" s="2" t="s">
        <v>36561</v>
      </c>
      <c r="G3779" s="3" t="s">
        <v>62</v>
      </c>
      <c r="I3779" s="3" t="s">
        <v>61</v>
      </c>
      <c r="J3779" s="3" t="s">
        <v>62</v>
      </c>
      <c r="K3779" s="3" t="s">
        <v>63</v>
      </c>
      <c r="L3779" s="2" t="s">
        <v>36562</v>
      </c>
      <c r="M3779" s="2" t="s">
        <v>23914</v>
      </c>
      <c r="N3779" s="3" t="s">
        <v>880</v>
      </c>
      <c r="P3779" s="3" t="s">
        <v>64</v>
      </c>
      <c r="R3779" s="3" t="s">
        <v>34126</v>
      </c>
      <c r="S3779" s="4">
        <v>1</v>
      </c>
      <c r="T3779" s="4">
        <v>5</v>
      </c>
      <c r="U3779" s="5" t="s">
        <v>36563</v>
      </c>
      <c r="V3779" s="5" t="s">
        <v>36564</v>
      </c>
      <c r="W3779" s="5" t="s">
        <v>67</v>
      </c>
      <c r="X3779" s="5" t="s">
        <v>67</v>
      </c>
      <c r="Y3779" s="4">
        <v>254</v>
      </c>
      <c r="Z3779" s="4">
        <v>22</v>
      </c>
      <c r="AA3779" s="4">
        <v>27</v>
      </c>
      <c r="AB3779" s="4">
        <v>1</v>
      </c>
      <c r="AC3779" s="4">
        <v>3</v>
      </c>
      <c r="AD3779" s="4">
        <v>80</v>
      </c>
      <c r="AE3779" s="4">
        <v>87</v>
      </c>
      <c r="AF3779" s="4">
        <v>0</v>
      </c>
      <c r="AG3779" s="4">
        <v>1</v>
      </c>
      <c r="AH3779" s="4">
        <v>69</v>
      </c>
      <c r="AI3779" s="4">
        <v>74</v>
      </c>
      <c r="AJ3779" s="4">
        <v>15</v>
      </c>
      <c r="AK3779" s="4">
        <v>18</v>
      </c>
      <c r="AL3779" s="4">
        <v>40</v>
      </c>
      <c r="AM3779" s="4">
        <v>41</v>
      </c>
      <c r="AN3779" s="4">
        <v>0</v>
      </c>
      <c r="AO3779" s="4">
        <v>0</v>
      </c>
      <c r="AP3779" s="4">
        <v>19</v>
      </c>
      <c r="AQ3779" s="4">
        <v>23</v>
      </c>
      <c r="AR3779" s="3" t="s">
        <v>62</v>
      </c>
      <c r="AS3779" s="3" t="s">
        <v>62</v>
      </c>
      <c r="AT3779" s="3" t="s">
        <v>62</v>
      </c>
      <c r="AV3779" s="6" t="str">
        <f>HYPERLINK("http://mcgill.on.worldcat.org/oclc/503639285","Catalog Record")</f>
        <v>Catalog Record</v>
      </c>
      <c r="AW3779" s="6" t="str">
        <f>HYPERLINK("http://www.worldcat.org/oclc/503639285","WorldCat Record")</f>
        <v>WorldCat Record</v>
      </c>
      <c r="AX3779" s="3" t="s">
        <v>36565</v>
      </c>
      <c r="AY3779" s="3" t="s">
        <v>36566</v>
      </c>
      <c r="AZ3779" s="3" t="s">
        <v>36567</v>
      </c>
      <c r="BA3779" s="3" t="s">
        <v>36567</v>
      </c>
      <c r="BB3779" s="3" t="s">
        <v>36568</v>
      </c>
      <c r="BC3779" s="3" t="s">
        <v>102</v>
      </c>
      <c r="BD3779" s="3" t="s">
        <v>68</v>
      </c>
      <c r="BE3779" s="3" t="s">
        <v>36569</v>
      </c>
      <c r="BF3779" s="3" t="s">
        <v>36568</v>
      </c>
      <c r="BG3779" s="3" t="s">
        <v>36570</v>
      </c>
    </row>
    <row r="3780" spans="1:59" ht="58" x14ac:dyDescent="0.35">
      <c r="A3780" s="2" t="s">
        <v>59</v>
      </c>
      <c r="B3780" s="2" t="s">
        <v>60</v>
      </c>
      <c r="C3780" s="2" t="s">
        <v>36571</v>
      </c>
      <c r="D3780" s="2" t="s">
        <v>36572</v>
      </c>
      <c r="E3780" s="2" t="s">
        <v>36573</v>
      </c>
      <c r="G3780" s="3" t="s">
        <v>62</v>
      </c>
      <c r="I3780" s="3" t="s">
        <v>61</v>
      </c>
      <c r="J3780" s="3" t="s">
        <v>61</v>
      </c>
      <c r="K3780" s="3" t="s">
        <v>63</v>
      </c>
      <c r="L3780" s="2" t="s">
        <v>36574</v>
      </c>
      <c r="M3780" s="2" t="s">
        <v>36575</v>
      </c>
      <c r="N3780" s="3" t="s">
        <v>157</v>
      </c>
      <c r="P3780" s="3" t="s">
        <v>64</v>
      </c>
      <c r="R3780" s="3" t="s">
        <v>34126</v>
      </c>
      <c r="S3780" s="4">
        <v>2</v>
      </c>
      <c r="T3780" s="4">
        <v>11</v>
      </c>
      <c r="U3780" s="5" t="s">
        <v>36576</v>
      </c>
      <c r="V3780" s="5" t="s">
        <v>33409</v>
      </c>
      <c r="W3780" s="5" t="s">
        <v>67</v>
      </c>
      <c r="X3780" s="5" t="s">
        <v>67</v>
      </c>
      <c r="Y3780" s="4">
        <v>1910</v>
      </c>
      <c r="Z3780" s="4">
        <v>56</v>
      </c>
      <c r="AA3780" s="4">
        <v>89</v>
      </c>
      <c r="AB3780" s="4">
        <v>3</v>
      </c>
      <c r="AC3780" s="4">
        <v>8</v>
      </c>
      <c r="AD3780" s="4">
        <v>131</v>
      </c>
      <c r="AE3780" s="4">
        <v>148</v>
      </c>
      <c r="AF3780" s="4">
        <v>1</v>
      </c>
      <c r="AG3780" s="4">
        <v>3</v>
      </c>
      <c r="AH3780" s="4">
        <v>106</v>
      </c>
      <c r="AI3780" s="4">
        <v>114</v>
      </c>
      <c r="AJ3780" s="4">
        <v>20</v>
      </c>
      <c r="AK3780" s="4">
        <v>23</v>
      </c>
      <c r="AL3780" s="4">
        <v>55</v>
      </c>
      <c r="AM3780" s="4">
        <v>60</v>
      </c>
      <c r="AN3780" s="4">
        <v>0</v>
      </c>
      <c r="AO3780" s="4">
        <v>0</v>
      </c>
      <c r="AP3780" s="4">
        <v>32</v>
      </c>
      <c r="AQ3780" s="4">
        <v>40</v>
      </c>
      <c r="AR3780" s="3" t="s">
        <v>62</v>
      </c>
      <c r="AS3780" s="3" t="s">
        <v>62</v>
      </c>
      <c r="AT3780" s="3" t="s">
        <v>61</v>
      </c>
      <c r="AU3780" s="6" t="str">
        <f>HYPERLINK("http://catalog.hathitrust.org/Record/000014673","HathiTrust Record")</f>
        <v>HathiTrust Record</v>
      </c>
      <c r="AV3780" s="6" t="str">
        <f>HYPERLINK("http://mcgill.on.worldcat.org/oclc/918053","Catalog Record")</f>
        <v>Catalog Record</v>
      </c>
      <c r="AW3780" s="6" t="str">
        <f>HYPERLINK("http://www.worldcat.org/oclc/918053","WorldCat Record")</f>
        <v>WorldCat Record</v>
      </c>
      <c r="AX3780" s="3" t="s">
        <v>36577</v>
      </c>
      <c r="AY3780" s="3" t="s">
        <v>36578</v>
      </c>
      <c r="AZ3780" s="3" t="s">
        <v>36579</v>
      </c>
      <c r="BA3780" s="3" t="s">
        <v>36579</v>
      </c>
      <c r="BB3780" s="3" t="s">
        <v>36580</v>
      </c>
      <c r="BC3780" s="3" t="s">
        <v>102</v>
      </c>
      <c r="BD3780" s="3" t="s">
        <v>68</v>
      </c>
      <c r="BE3780" s="3" t="s">
        <v>36581</v>
      </c>
      <c r="BF3780" s="3" t="s">
        <v>36580</v>
      </c>
      <c r="BG3780" s="3" t="s">
        <v>36582</v>
      </c>
    </row>
    <row r="3781" spans="1:59" ht="101.5" x14ac:dyDescent="0.35">
      <c r="A3781" s="2" t="s">
        <v>89</v>
      </c>
      <c r="B3781" s="2" t="s">
        <v>12301</v>
      </c>
      <c r="C3781" s="2" t="s">
        <v>36583</v>
      </c>
      <c r="D3781" s="2" t="s">
        <v>36584</v>
      </c>
      <c r="E3781" s="2" t="s">
        <v>36585</v>
      </c>
      <c r="G3781" s="3" t="s">
        <v>62</v>
      </c>
      <c r="I3781" s="3" t="s">
        <v>61</v>
      </c>
      <c r="J3781" s="3" t="s">
        <v>61</v>
      </c>
      <c r="K3781" s="3" t="s">
        <v>63</v>
      </c>
      <c r="L3781" s="2" t="s">
        <v>36586</v>
      </c>
      <c r="M3781" s="2" t="s">
        <v>36587</v>
      </c>
      <c r="N3781" s="3" t="s">
        <v>712</v>
      </c>
      <c r="O3781" s="2" t="s">
        <v>36588</v>
      </c>
      <c r="P3781" s="3" t="s">
        <v>64</v>
      </c>
      <c r="R3781" s="3" t="s">
        <v>34126</v>
      </c>
      <c r="S3781" s="4">
        <v>2</v>
      </c>
      <c r="T3781" s="4">
        <v>64</v>
      </c>
      <c r="U3781" s="5" t="s">
        <v>36589</v>
      </c>
      <c r="V3781" s="5" t="s">
        <v>15917</v>
      </c>
      <c r="W3781" s="5" t="s">
        <v>67</v>
      </c>
      <c r="X3781" s="5" t="s">
        <v>67</v>
      </c>
      <c r="Y3781" s="4">
        <v>21</v>
      </c>
      <c r="Z3781" s="4">
        <v>20</v>
      </c>
      <c r="AA3781" s="4">
        <v>54</v>
      </c>
      <c r="AB3781" s="4">
        <v>3</v>
      </c>
      <c r="AC3781" s="4">
        <v>7</v>
      </c>
      <c r="AD3781" s="4">
        <v>12</v>
      </c>
      <c r="AE3781" s="4">
        <v>93</v>
      </c>
      <c r="AF3781" s="4">
        <v>1</v>
      </c>
      <c r="AG3781" s="4">
        <v>3</v>
      </c>
      <c r="AH3781" s="4">
        <v>5</v>
      </c>
      <c r="AI3781" s="4">
        <v>73</v>
      </c>
      <c r="AJ3781" s="4">
        <v>7</v>
      </c>
      <c r="AK3781" s="4">
        <v>20</v>
      </c>
      <c r="AL3781" s="4">
        <v>1</v>
      </c>
      <c r="AM3781" s="4">
        <v>37</v>
      </c>
      <c r="AN3781" s="4">
        <v>0</v>
      </c>
      <c r="AO3781" s="4">
        <v>0</v>
      </c>
      <c r="AP3781" s="4">
        <v>11</v>
      </c>
      <c r="AQ3781" s="4">
        <v>24</v>
      </c>
      <c r="AR3781" s="3" t="s">
        <v>61</v>
      </c>
      <c r="AS3781" s="3" t="s">
        <v>62</v>
      </c>
      <c r="AT3781" s="3" t="s">
        <v>62</v>
      </c>
      <c r="AV3781" s="6" t="str">
        <f>HYPERLINK("http://mcgill.on.worldcat.org/oclc/857794318","Catalog Record")</f>
        <v>Catalog Record</v>
      </c>
      <c r="AW3781" s="6" t="str">
        <f>HYPERLINK("http://www.worldcat.org/oclc/857794318","WorldCat Record")</f>
        <v>WorldCat Record</v>
      </c>
      <c r="AX3781" s="3" t="s">
        <v>36590</v>
      </c>
      <c r="AY3781" s="3" t="s">
        <v>36591</v>
      </c>
      <c r="AZ3781" s="3" t="s">
        <v>36592</v>
      </c>
      <c r="BA3781" s="3" t="s">
        <v>36592</v>
      </c>
      <c r="BB3781" s="3" t="s">
        <v>36593</v>
      </c>
      <c r="BC3781" s="3" t="s">
        <v>102</v>
      </c>
      <c r="BD3781" s="3" t="s">
        <v>68</v>
      </c>
      <c r="BE3781" s="3" t="s">
        <v>36594</v>
      </c>
      <c r="BF3781" s="3" t="s">
        <v>36593</v>
      </c>
      <c r="BG3781" s="3" t="s">
        <v>36595</v>
      </c>
    </row>
    <row r="3782" spans="1:59" ht="101.5" x14ac:dyDescent="0.35">
      <c r="A3782" s="2" t="s">
        <v>89</v>
      </c>
      <c r="B3782" s="2" t="s">
        <v>12301</v>
      </c>
      <c r="C3782" s="2" t="s">
        <v>36583</v>
      </c>
      <c r="D3782" s="2" t="s">
        <v>36584</v>
      </c>
      <c r="E3782" s="2" t="s">
        <v>36585</v>
      </c>
      <c r="G3782" s="3" t="s">
        <v>62</v>
      </c>
      <c r="I3782" s="3" t="s">
        <v>61</v>
      </c>
      <c r="J3782" s="3" t="s">
        <v>61</v>
      </c>
      <c r="K3782" s="3" t="s">
        <v>63</v>
      </c>
      <c r="L3782" s="2" t="s">
        <v>36586</v>
      </c>
      <c r="M3782" s="2" t="s">
        <v>36587</v>
      </c>
      <c r="N3782" s="3" t="s">
        <v>712</v>
      </c>
      <c r="O3782" s="2" t="s">
        <v>36588</v>
      </c>
      <c r="P3782" s="3" t="s">
        <v>64</v>
      </c>
      <c r="R3782" s="3" t="s">
        <v>34126</v>
      </c>
      <c r="S3782" s="4">
        <v>5</v>
      </c>
      <c r="T3782" s="4">
        <v>64</v>
      </c>
      <c r="U3782" s="5" t="s">
        <v>28934</v>
      </c>
      <c r="V3782" s="5" t="s">
        <v>15917</v>
      </c>
      <c r="W3782" s="5" t="s">
        <v>67</v>
      </c>
      <c r="X3782" s="5" t="s">
        <v>67</v>
      </c>
      <c r="Y3782" s="4">
        <v>21</v>
      </c>
      <c r="Z3782" s="4">
        <v>20</v>
      </c>
      <c r="AA3782" s="4">
        <v>54</v>
      </c>
      <c r="AB3782" s="4">
        <v>3</v>
      </c>
      <c r="AC3782" s="4">
        <v>7</v>
      </c>
      <c r="AD3782" s="4">
        <v>12</v>
      </c>
      <c r="AE3782" s="4">
        <v>93</v>
      </c>
      <c r="AF3782" s="4">
        <v>1</v>
      </c>
      <c r="AG3782" s="4">
        <v>3</v>
      </c>
      <c r="AH3782" s="4">
        <v>5</v>
      </c>
      <c r="AI3782" s="4">
        <v>73</v>
      </c>
      <c r="AJ3782" s="4">
        <v>7</v>
      </c>
      <c r="AK3782" s="4">
        <v>20</v>
      </c>
      <c r="AL3782" s="4">
        <v>1</v>
      </c>
      <c r="AM3782" s="4">
        <v>37</v>
      </c>
      <c r="AN3782" s="4">
        <v>0</v>
      </c>
      <c r="AO3782" s="4">
        <v>0</v>
      </c>
      <c r="AP3782" s="4">
        <v>11</v>
      </c>
      <c r="AQ3782" s="4">
        <v>24</v>
      </c>
      <c r="AR3782" s="3" t="s">
        <v>61</v>
      </c>
      <c r="AS3782" s="3" t="s">
        <v>62</v>
      </c>
      <c r="AT3782" s="3" t="s">
        <v>62</v>
      </c>
      <c r="AV3782" s="6" t="str">
        <f>HYPERLINK("http://mcgill.on.worldcat.org/oclc/857794318","Catalog Record")</f>
        <v>Catalog Record</v>
      </c>
      <c r="AW3782" s="6" t="str">
        <f>HYPERLINK("http://www.worldcat.org/oclc/857794318","WorldCat Record")</f>
        <v>WorldCat Record</v>
      </c>
      <c r="AX3782" s="3" t="s">
        <v>36590</v>
      </c>
      <c r="AY3782" s="3" t="s">
        <v>36591</v>
      </c>
      <c r="AZ3782" s="3" t="s">
        <v>36592</v>
      </c>
      <c r="BA3782" s="3" t="s">
        <v>36592</v>
      </c>
      <c r="BB3782" s="3" t="s">
        <v>36596</v>
      </c>
      <c r="BC3782" s="3" t="s">
        <v>102</v>
      </c>
      <c r="BD3782" s="3" t="s">
        <v>68</v>
      </c>
      <c r="BE3782" s="3" t="s">
        <v>36594</v>
      </c>
      <c r="BF3782" s="3" t="s">
        <v>36596</v>
      </c>
      <c r="BG3782" s="3" t="s">
        <v>36597</v>
      </c>
    </row>
    <row r="3783" spans="1:59" ht="116" x14ac:dyDescent="0.35">
      <c r="A3783" s="2" t="s">
        <v>89</v>
      </c>
      <c r="B3783" s="2" t="s">
        <v>6121</v>
      </c>
      <c r="C3783" s="2" t="s">
        <v>36598</v>
      </c>
      <c r="D3783" s="2" t="s">
        <v>36599</v>
      </c>
      <c r="E3783" s="2" t="s">
        <v>36600</v>
      </c>
      <c r="G3783" s="3" t="s">
        <v>62</v>
      </c>
      <c r="I3783" s="3" t="s">
        <v>62</v>
      </c>
      <c r="J3783" s="3" t="s">
        <v>62</v>
      </c>
      <c r="K3783" s="3" t="s">
        <v>63</v>
      </c>
      <c r="L3783" s="2" t="s">
        <v>36601</v>
      </c>
      <c r="M3783" s="2" t="s">
        <v>36602</v>
      </c>
      <c r="N3783" s="3" t="s">
        <v>201</v>
      </c>
      <c r="O3783" s="2" t="s">
        <v>8350</v>
      </c>
      <c r="P3783" s="3" t="s">
        <v>64</v>
      </c>
      <c r="Q3783" s="2" t="s">
        <v>36603</v>
      </c>
      <c r="R3783" s="3" t="s">
        <v>34126</v>
      </c>
      <c r="S3783" s="4">
        <v>1</v>
      </c>
      <c r="T3783" s="4">
        <v>1</v>
      </c>
      <c r="U3783" s="5" t="s">
        <v>10361</v>
      </c>
      <c r="V3783" s="5" t="s">
        <v>10361</v>
      </c>
      <c r="W3783" s="5" t="s">
        <v>67</v>
      </c>
      <c r="X3783" s="5" t="s">
        <v>67</v>
      </c>
      <c r="Y3783" s="4">
        <v>24</v>
      </c>
      <c r="Z3783" s="4">
        <v>2</v>
      </c>
      <c r="AA3783" s="4">
        <v>7</v>
      </c>
      <c r="AB3783" s="4">
        <v>1</v>
      </c>
      <c r="AC3783" s="4">
        <v>1</v>
      </c>
      <c r="AD3783" s="4">
        <v>7</v>
      </c>
      <c r="AE3783" s="4">
        <v>16</v>
      </c>
      <c r="AF3783" s="4">
        <v>0</v>
      </c>
      <c r="AG3783" s="4">
        <v>0</v>
      </c>
      <c r="AH3783" s="4">
        <v>7</v>
      </c>
      <c r="AI3783" s="4">
        <v>13</v>
      </c>
      <c r="AJ3783" s="4">
        <v>0</v>
      </c>
      <c r="AK3783" s="4">
        <v>4</v>
      </c>
      <c r="AL3783" s="4">
        <v>4</v>
      </c>
      <c r="AM3783" s="4">
        <v>7</v>
      </c>
      <c r="AN3783" s="4">
        <v>0</v>
      </c>
      <c r="AO3783" s="4">
        <v>0</v>
      </c>
      <c r="AP3783" s="4">
        <v>0</v>
      </c>
      <c r="AQ3783" s="4">
        <v>5</v>
      </c>
      <c r="AR3783" s="3" t="s">
        <v>62</v>
      </c>
      <c r="AS3783" s="3" t="s">
        <v>62</v>
      </c>
      <c r="AT3783" s="3" t="s">
        <v>62</v>
      </c>
      <c r="AV3783" s="6" t="str">
        <f>HYPERLINK("http://mcgill.on.worldcat.org/oclc/2323706","Catalog Record")</f>
        <v>Catalog Record</v>
      </c>
      <c r="AW3783" s="6" t="str">
        <f>HYPERLINK("http://www.worldcat.org/oclc/2323706","WorldCat Record")</f>
        <v>WorldCat Record</v>
      </c>
      <c r="AX3783" s="3" t="s">
        <v>36604</v>
      </c>
      <c r="AY3783" s="3" t="s">
        <v>36605</v>
      </c>
      <c r="AZ3783" s="3" t="s">
        <v>36606</v>
      </c>
      <c r="BA3783" s="3" t="s">
        <v>36606</v>
      </c>
      <c r="BB3783" s="3" t="s">
        <v>36607</v>
      </c>
      <c r="BC3783" s="3" t="s">
        <v>102</v>
      </c>
      <c r="BD3783" s="3" t="s">
        <v>68</v>
      </c>
      <c r="BE3783" s="3" t="s">
        <v>36608</v>
      </c>
      <c r="BF3783" s="3" t="s">
        <v>36607</v>
      </c>
      <c r="BG3783" s="3" t="s">
        <v>36609</v>
      </c>
    </row>
    <row r="3784" spans="1:59" ht="58" x14ac:dyDescent="0.35">
      <c r="A3784" s="2" t="s">
        <v>89</v>
      </c>
      <c r="B3784" s="2" t="s">
        <v>90</v>
      </c>
      <c r="C3784" s="2" t="s">
        <v>36610</v>
      </c>
      <c r="D3784" s="2" t="s">
        <v>36611</v>
      </c>
      <c r="E3784" s="2" t="s">
        <v>36612</v>
      </c>
      <c r="G3784" s="3" t="s">
        <v>62</v>
      </c>
      <c r="I3784" s="3" t="s">
        <v>62</v>
      </c>
      <c r="J3784" s="3" t="s">
        <v>62</v>
      </c>
      <c r="K3784" s="3" t="s">
        <v>63</v>
      </c>
      <c r="L3784" s="2" t="s">
        <v>36613</v>
      </c>
      <c r="M3784" s="2" t="s">
        <v>36614</v>
      </c>
      <c r="N3784" s="3" t="s">
        <v>852</v>
      </c>
      <c r="P3784" s="3" t="s">
        <v>64</v>
      </c>
      <c r="R3784" s="3" t="s">
        <v>34126</v>
      </c>
      <c r="S3784" s="4">
        <v>1</v>
      </c>
      <c r="T3784" s="4">
        <v>1</v>
      </c>
      <c r="U3784" s="5" t="s">
        <v>17349</v>
      </c>
      <c r="V3784" s="5" t="s">
        <v>17349</v>
      </c>
      <c r="W3784" s="5" t="s">
        <v>67</v>
      </c>
      <c r="X3784" s="5" t="s">
        <v>67</v>
      </c>
      <c r="Y3784" s="4">
        <v>870</v>
      </c>
      <c r="Z3784" s="4">
        <v>42</v>
      </c>
      <c r="AA3784" s="4">
        <v>48</v>
      </c>
      <c r="AB3784" s="4">
        <v>3</v>
      </c>
      <c r="AC3784" s="4">
        <v>5</v>
      </c>
      <c r="AD3784" s="4">
        <v>126</v>
      </c>
      <c r="AE3784" s="4">
        <v>131</v>
      </c>
      <c r="AF3784" s="4">
        <v>1</v>
      </c>
      <c r="AG3784" s="4">
        <v>3</v>
      </c>
      <c r="AH3784" s="4">
        <v>100</v>
      </c>
      <c r="AI3784" s="4">
        <v>102</v>
      </c>
      <c r="AJ3784" s="4">
        <v>17</v>
      </c>
      <c r="AK3784" s="4">
        <v>19</v>
      </c>
      <c r="AL3784" s="4">
        <v>53</v>
      </c>
      <c r="AM3784" s="4">
        <v>55</v>
      </c>
      <c r="AN3784" s="4">
        <v>0</v>
      </c>
      <c r="AO3784" s="4">
        <v>0</v>
      </c>
      <c r="AP3784" s="4">
        <v>30</v>
      </c>
      <c r="AQ3784" s="4">
        <v>33</v>
      </c>
      <c r="AR3784" s="3" t="s">
        <v>62</v>
      </c>
      <c r="AS3784" s="3" t="s">
        <v>62</v>
      </c>
      <c r="AT3784" s="3" t="s">
        <v>61</v>
      </c>
      <c r="AU3784" s="6" t="str">
        <f>HYPERLINK("http://catalog.hathitrust.org/Record/001491166","HathiTrust Record")</f>
        <v>HathiTrust Record</v>
      </c>
      <c r="AV3784" s="6" t="str">
        <f>HYPERLINK("http://mcgill.on.worldcat.org/oclc/23053","Catalog Record")</f>
        <v>Catalog Record</v>
      </c>
      <c r="AW3784" s="6" t="str">
        <f>HYPERLINK("http://www.worldcat.org/oclc/23053","WorldCat Record")</f>
        <v>WorldCat Record</v>
      </c>
      <c r="AX3784" s="3" t="s">
        <v>36615</v>
      </c>
      <c r="AY3784" s="3" t="s">
        <v>36616</v>
      </c>
      <c r="AZ3784" s="3" t="s">
        <v>36617</v>
      </c>
      <c r="BA3784" s="3" t="s">
        <v>36617</v>
      </c>
      <c r="BB3784" s="3" t="s">
        <v>36618</v>
      </c>
      <c r="BC3784" s="3" t="s">
        <v>102</v>
      </c>
      <c r="BD3784" s="3" t="s">
        <v>68</v>
      </c>
      <c r="BE3784" s="3" t="s">
        <v>36619</v>
      </c>
      <c r="BF3784" s="3" t="s">
        <v>36618</v>
      </c>
      <c r="BG3784" s="3" t="s">
        <v>36620</v>
      </c>
    </row>
    <row r="3785" spans="1:59" ht="58" x14ac:dyDescent="0.35">
      <c r="A3785" s="2" t="s">
        <v>89</v>
      </c>
      <c r="B3785" s="2" t="s">
        <v>90</v>
      </c>
      <c r="C3785" s="2" t="s">
        <v>36621</v>
      </c>
      <c r="D3785" s="2" t="s">
        <v>36622</v>
      </c>
      <c r="E3785" s="2" t="s">
        <v>36623</v>
      </c>
      <c r="G3785" s="3" t="s">
        <v>62</v>
      </c>
      <c r="I3785" s="3" t="s">
        <v>62</v>
      </c>
      <c r="J3785" s="3" t="s">
        <v>62</v>
      </c>
      <c r="K3785" s="3" t="s">
        <v>63</v>
      </c>
      <c r="L3785" s="2" t="s">
        <v>36624</v>
      </c>
      <c r="M3785" s="2" t="s">
        <v>36625</v>
      </c>
      <c r="N3785" s="3" t="s">
        <v>24487</v>
      </c>
      <c r="P3785" s="3" t="s">
        <v>64</v>
      </c>
      <c r="R3785" s="3" t="s">
        <v>34126</v>
      </c>
      <c r="S3785" s="4">
        <v>6</v>
      </c>
      <c r="T3785" s="4">
        <v>6</v>
      </c>
      <c r="U3785" s="5" t="s">
        <v>33286</v>
      </c>
      <c r="V3785" s="5" t="s">
        <v>33286</v>
      </c>
      <c r="W3785" s="5" t="s">
        <v>67</v>
      </c>
      <c r="X3785" s="5" t="s">
        <v>67</v>
      </c>
      <c r="Y3785" s="4">
        <v>233</v>
      </c>
      <c r="Z3785" s="4">
        <v>10</v>
      </c>
      <c r="AA3785" s="4">
        <v>34</v>
      </c>
      <c r="AB3785" s="4">
        <v>1</v>
      </c>
      <c r="AC3785" s="4">
        <v>4</v>
      </c>
      <c r="AD3785" s="4">
        <v>82</v>
      </c>
      <c r="AE3785" s="4">
        <v>117</v>
      </c>
      <c r="AF3785" s="4">
        <v>0</v>
      </c>
      <c r="AG3785" s="4">
        <v>1</v>
      </c>
      <c r="AH3785" s="4">
        <v>75</v>
      </c>
      <c r="AI3785" s="4">
        <v>97</v>
      </c>
      <c r="AJ3785" s="4">
        <v>8</v>
      </c>
      <c r="AK3785" s="4">
        <v>18</v>
      </c>
      <c r="AL3785" s="4">
        <v>46</v>
      </c>
      <c r="AM3785" s="4">
        <v>55</v>
      </c>
      <c r="AN3785" s="4">
        <v>0</v>
      </c>
      <c r="AO3785" s="4">
        <v>0</v>
      </c>
      <c r="AP3785" s="4">
        <v>9</v>
      </c>
      <c r="AQ3785" s="4">
        <v>26</v>
      </c>
      <c r="AR3785" s="3" t="s">
        <v>62</v>
      </c>
      <c r="AS3785" s="3" t="s">
        <v>61</v>
      </c>
      <c r="AT3785" s="3" t="s">
        <v>62</v>
      </c>
      <c r="AU3785" s="6" t="str">
        <f>HYPERLINK("http://catalog.hathitrust.org/Record/001491186","HathiTrust Record")</f>
        <v>HathiTrust Record</v>
      </c>
      <c r="AV3785" s="6" t="str">
        <f>HYPERLINK("http://mcgill.on.worldcat.org/oclc/1396549","Catalog Record")</f>
        <v>Catalog Record</v>
      </c>
      <c r="AW3785" s="6" t="str">
        <f>HYPERLINK("http://www.worldcat.org/oclc/1396549","WorldCat Record")</f>
        <v>WorldCat Record</v>
      </c>
      <c r="AX3785" s="3" t="s">
        <v>36626</v>
      </c>
      <c r="AY3785" s="3" t="s">
        <v>36627</v>
      </c>
      <c r="AZ3785" s="3" t="s">
        <v>36628</v>
      </c>
      <c r="BA3785" s="3" t="s">
        <v>36628</v>
      </c>
      <c r="BB3785" s="3" t="s">
        <v>36629</v>
      </c>
      <c r="BC3785" s="3" t="s">
        <v>102</v>
      </c>
      <c r="BD3785" s="3" t="s">
        <v>68</v>
      </c>
      <c r="BF3785" s="3" t="s">
        <v>36629</v>
      </c>
      <c r="BG3785" s="3" t="s">
        <v>36630</v>
      </c>
    </row>
    <row r="3786" spans="1:59" ht="58" x14ac:dyDescent="0.35">
      <c r="A3786" s="2" t="s">
        <v>89</v>
      </c>
      <c r="B3786" s="2" t="s">
        <v>90</v>
      </c>
      <c r="C3786" s="2" t="s">
        <v>36631</v>
      </c>
      <c r="D3786" s="2" t="s">
        <v>36632</v>
      </c>
      <c r="E3786" s="2" t="s">
        <v>36633</v>
      </c>
      <c r="G3786" s="3" t="s">
        <v>62</v>
      </c>
      <c r="I3786" s="3" t="s">
        <v>61</v>
      </c>
      <c r="J3786" s="3" t="s">
        <v>62</v>
      </c>
      <c r="K3786" s="3" t="s">
        <v>63</v>
      </c>
      <c r="L3786" s="2" t="s">
        <v>36634</v>
      </c>
      <c r="M3786" s="2" t="s">
        <v>36635</v>
      </c>
      <c r="N3786" s="3" t="s">
        <v>2740</v>
      </c>
      <c r="P3786" s="3" t="s">
        <v>64</v>
      </c>
      <c r="Q3786" s="2" t="s">
        <v>36636</v>
      </c>
      <c r="R3786" s="3" t="s">
        <v>34126</v>
      </c>
      <c r="S3786" s="4">
        <v>2</v>
      </c>
      <c r="T3786" s="4">
        <v>9</v>
      </c>
      <c r="U3786" s="5" t="s">
        <v>272</v>
      </c>
      <c r="V3786" s="5" t="s">
        <v>272</v>
      </c>
      <c r="W3786" s="5" t="s">
        <v>67</v>
      </c>
      <c r="X3786" s="5" t="s">
        <v>67</v>
      </c>
      <c r="Y3786" s="4">
        <v>75</v>
      </c>
      <c r="Z3786" s="4">
        <v>5</v>
      </c>
      <c r="AA3786" s="4">
        <v>19</v>
      </c>
      <c r="AB3786" s="4">
        <v>2</v>
      </c>
      <c r="AC3786" s="4">
        <v>2</v>
      </c>
      <c r="AD3786" s="4">
        <v>30</v>
      </c>
      <c r="AE3786" s="4">
        <v>58</v>
      </c>
      <c r="AF3786" s="4">
        <v>1</v>
      </c>
      <c r="AG3786" s="4">
        <v>1</v>
      </c>
      <c r="AH3786" s="4">
        <v>26</v>
      </c>
      <c r="AI3786" s="4">
        <v>49</v>
      </c>
      <c r="AJ3786" s="4">
        <v>3</v>
      </c>
      <c r="AK3786" s="4">
        <v>14</v>
      </c>
      <c r="AL3786" s="4">
        <v>20</v>
      </c>
      <c r="AM3786" s="4">
        <v>31</v>
      </c>
      <c r="AN3786" s="4">
        <v>0</v>
      </c>
      <c r="AO3786" s="4">
        <v>0</v>
      </c>
      <c r="AP3786" s="4">
        <v>3</v>
      </c>
      <c r="AQ3786" s="4">
        <v>14</v>
      </c>
      <c r="AR3786" s="3" t="s">
        <v>62</v>
      </c>
      <c r="AS3786" s="3" t="s">
        <v>62</v>
      </c>
      <c r="AT3786" s="3" t="s">
        <v>62</v>
      </c>
      <c r="AV3786" s="6" t="str">
        <f>HYPERLINK("http://mcgill.on.worldcat.org/oclc/6451250","Catalog Record")</f>
        <v>Catalog Record</v>
      </c>
      <c r="AW3786" s="6" t="str">
        <f>HYPERLINK("http://www.worldcat.org/oclc/6451250","WorldCat Record")</f>
        <v>WorldCat Record</v>
      </c>
      <c r="AX3786" s="3" t="s">
        <v>36637</v>
      </c>
      <c r="AY3786" s="3" t="s">
        <v>36638</v>
      </c>
      <c r="AZ3786" s="3" t="s">
        <v>36639</v>
      </c>
      <c r="BA3786" s="3" t="s">
        <v>36639</v>
      </c>
      <c r="BB3786" s="3" t="s">
        <v>36640</v>
      </c>
      <c r="BC3786" s="3" t="s">
        <v>102</v>
      </c>
      <c r="BD3786" s="3" t="s">
        <v>68</v>
      </c>
      <c r="BF3786" s="3" t="s">
        <v>36640</v>
      </c>
      <c r="BG3786" s="3" t="s">
        <v>36641</v>
      </c>
    </row>
    <row r="3787" spans="1:59" ht="58" x14ac:dyDescent="0.35">
      <c r="A3787" s="2" t="s">
        <v>89</v>
      </c>
      <c r="B3787" s="2" t="s">
        <v>90</v>
      </c>
      <c r="C3787" s="2" t="s">
        <v>36642</v>
      </c>
      <c r="D3787" s="2" t="s">
        <v>36643</v>
      </c>
      <c r="E3787" s="2" t="s">
        <v>36644</v>
      </c>
      <c r="G3787" s="3" t="s">
        <v>62</v>
      </c>
      <c r="I3787" s="3" t="s">
        <v>61</v>
      </c>
      <c r="J3787" s="3" t="s">
        <v>62</v>
      </c>
      <c r="K3787" s="3" t="s">
        <v>63</v>
      </c>
      <c r="L3787" s="2" t="s">
        <v>36645</v>
      </c>
      <c r="M3787" s="2" t="s">
        <v>36646</v>
      </c>
      <c r="N3787" s="3" t="s">
        <v>2445</v>
      </c>
      <c r="P3787" s="3" t="s">
        <v>64</v>
      </c>
      <c r="Q3787" s="2" t="s">
        <v>36647</v>
      </c>
      <c r="R3787" s="3" t="s">
        <v>34126</v>
      </c>
      <c r="S3787" s="4">
        <v>3</v>
      </c>
      <c r="T3787" s="4">
        <v>9</v>
      </c>
      <c r="U3787" s="5" t="s">
        <v>18411</v>
      </c>
      <c r="V3787" s="5" t="s">
        <v>18411</v>
      </c>
      <c r="W3787" s="5" t="s">
        <v>67</v>
      </c>
      <c r="X3787" s="5" t="s">
        <v>67</v>
      </c>
      <c r="Y3787" s="4">
        <v>281</v>
      </c>
      <c r="Z3787" s="4">
        <v>17</v>
      </c>
      <c r="AA3787" s="4">
        <v>19</v>
      </c>
      <c r="AB3787" s="4">
        <v>1</v>
      </c>
      <c r="AC3787" s="4">
        <v>3</v>
      </c>
      <c r="AD3787" s="4">
        <v>59</v>
      </c>
      <c r="AE3787" s="4">
        <v>61</v>
      </c>
      <c r="AF3787" s="4">
        <v>0</v>
      </c>
      <c r="AG3787" s="4">
        <v>2</v>
      </c>
      <c r="AH3787" s="4">
        <v>50</v>
      </c>
      <c r="AI3787" s="4">
        <v>51</v>
      </c>
      <c r="AJ3787" s="4">
        <v>8</v>
      </c>
      <c r="AK3787" s="4">
        <v>10</v>
      </c>
      <c r="AL3787" s="4">
        <v>32</v>
      </c>
      <c r="AM3787" s="4">
        <v>32</v>
      </c>
      <c r="AN3787" s="4">
        <v>0</v>
      </c>
      <c r="AO3787" s="4">
        <v>0</v>
      </c>
      <c r="AP3787" s="4">
        <v>12</v>
      </c>
      <c r="AQ3787" s="4">
        <v>14</v>
      </c>
      <c r="AR3787" s="3" t="s">
        <v>62</v>
      </c>
      <c r="AS3787" s="3" t="s">
        <v>62</v>
      </c>
      <c r="AT3787" s="3" t="s">
        <v>62</v>
      </c>
      <c r="AU3787" s="6" t="str">
        <f>HYPERLINK("http://catalog.hathitrust.org/Record/009915093","HathiTrust Record")</f>
        <v>HathiTrust Record</v>
      </c>
      <c r="AV3787" s="6" t="str">
        <f>HYPERLINK("http://mcgill.on.worldcat.org/oclc/231729","Catalog Record")</f>
        <v>Catalog Record</v>
      </c>
      <c r="AW3787" s="6" t="str">
        <f>HYPERLINK("http://www.worldcat.org/oclc/231729","WorldCat Record")</f>
        <v>WorldCat Record</v>
      </c>
      <c r="AX3787" s="3" t="s">
        <v>36648</v>
      </c>
      <c r="AY3787" s="3" t="s">
        <v>36649</v>
      </c>
      <c r="AZ3787" s="3" t="s">
        <v>36650</v>
      </c>
      <c r="BA3787" s="3" t="s">
        <v>36650</v>
      </c>
      <c r="BB3787" s="3" t="s">
        <v>36651</v>
      </c>
      <c r="BC3787" s="3" t="s">
        <v>102</v>
      </c>
      <c r="BD3787" s="3" t="s">
        <v>68</v>
      </c>
      <c r="BF3787" s="3" t="s">
        <v>36651</v>
      </c>
      <c r="BG3787" s="3" t="s">
        <v>36652</v>
      </c>
    </row>
    <row r="3788" spans="1:59" ht="58" x14ac:dyDescent="0.35">
      <c r="A3788" s="2" t="s">
        <v>59</v>
      </c>
      <c r="B3788" s="2" t="s">
        <v>60</v>
      </c>
      <c r="C3788" s="2" t="s">
        <v>36653</v>
      </c>
      <c r="D3788" s="2" t="s">
        <v>36654</v>
      </c>
      <c r="E3788" s="2" t="s">
        <v>36655</v>
      </c>
      <c r="G3788" s="3" t="s">
        <v>62</v>
      </c>
      <c r="I3788" s="3" t="s">
        <v>62</v>
      </c>
      <c r="J3788" s="3" t="s">
        <v>62</v>
      </c>
      <c r="K3788" s="3" t="s">
        <v>63</v>
      </c>
      <c r="L3788" s="2" t="s">
        <v>36656</v>
      </c>
      <c r="M3788" s="2" t="s">
        <v>36657</v>
      </c>
      <c r="N3788" s="3" t="s">
        <v>625</v>
      </c>
      <c r="P3788" s="3" t="s">
        <v>64</v>
      </c>
      <c r="Q3788" s="2" t="s">
        <v>36658</v>
      </c>
      <c r="R3788" s="3" t="s">
        <v>34126</v>
      </c>
      <c r="S3788" s="4">
        <v>13</v>
      </c>
      <c r="T3788" s="4">
        <v>13</v>
      </c>
      <c r="U3788" s="5" t="s">
        <v>16047</v>
      </c>
      <c r="V3788" s="5" t="s">
        <v>16047</v>
      </c>
      <c r="W3788" s="5" t="s">
        <v>67</v>
      </c>
      <c r="X3788" s="5" t="s">
        <v>67</v>
      </c>
      <c r="Y3788" s="4">
        <v>235</v>
      </c>
      <c r="Z3788" s="4">
        <v>17</v>
      </c>
      <c r="AA3788" s="4">
        <v>97</v>
      </c>
      <c r="AB3788" s="4">
        <v>1</v>
      </c>
      <c r="AC3788" s="4">
        <v>17</v>
      </c>
      <c r="AD3788" s="4">
        <v>98</v>
      </c>
      <c r="AE3788" s="4">
        <v>140</v>
      </c>
      <c r="AF3788" s="4">
        <v>0</v>
      </c>
      <c r="AG3788" s="4">
        <v>8</v>
      </c>
      <c r="AH3788" s="4">
        <v>89</v>
      </c>
      <c r="AI3788" s="4">
        <v>103</v>
      </c>
      <c r="AJ3788" s="4">
        <v>12</v>
      </c>
      <c r="AK3788" s="4">
        <v>22</v>
      </c>
      <c r="AL3788" s="4">
        <v>51</v>
      </c>
      <c r="AM3788" s="4">
        <v>54</v>
      </c>
      <c r="AN3788" s="4">
        <v>0</v>
      </c>
      <c r="AO3788" s="4">
        <v>0</v>
      </c>
      <c r="AP3788" s="4">
        <v>14</v>
      </c>
      <c r="AQ3788" s="4">
        <v>43</v>
      </c>
      <c r="AR3788" s="3" t="s">
        <v>62</v>
      </c>
      <c r="AS3788" s="3" t="s">
        <v>62</v>
      </c>
      <c r="AT3788" s="3" t="s">
        <v>61</v>
      </c>
      <c r="AU3788" s="6" t="str">
        <f>HYPERLINK("http://catalog.hathitrust.org/Record/004347431","HathiTrust Record")</f>
        <v>HathiTrust Record</v>
      </c>
      <c r="AV3788" s="6" t="str">
        <f>HYPERLINK("http://mcgill.on.worldcat.org/oclc/51968910","Catalog Record")</f>
        <v>Catalog Record</v>
      </c>
      <c r="AW3788" s="6" t="str">
        <f>HYPERLINK("http://www.worldcat.org/oclc/51968910","WorldCat Record")</f>
        <v>WorldCat Record</v>
      </c>
      <c r="AX3788" s="3" t="s">
        <v>36659</v>
      </c>
      <c r="AY3788" s="3" t="s">
        <v>36660</v>
      </c>
      <c r="AZ3788" s="3" t="s">
        <v>36661</v>
      </c>
      <c r="BA3788" s="3" t="s">
        <v>36661</v>
      </c>
      <c r="BB3788" s="3" t="s">
        <v>36662</v>
      </c>
      <c r="BC3788" s="3" t="s">
        <v>102</v>
      </c>
      <c r="BD3788" s="3" t="s">
        <v>231</v>
      </c>
      <c r="BE3788" s="3" t="s">
        <v>36663</v>
      </c>
      <c r="BF3788" s="3" t="s">
        <v>36662</v>
      </c>
      <c r="BG3788" s="3" t="s">
        <v>36664</v>
      </c>
    </row>
    <row r="3789" spans="1:59" ht="58" x14ac:dyDescent="0.35">
      <c r="A3789" s="2" t="s">
        <v>89</v>
      </c>
      <c r="B3789" s="2" t="s">
        <v>90</v>
      </c>
      <c r="C3789" s="2" t="s">
        <v>36665</v>
      </c>
      <c r="D3789" s="2" t="s">
        <v>36666</v>
      </c>
      <c r="E3789" s="2" t="s">
        <v>36667</v>
      </c>
      <c r="G3789" s="3" t="s">
        <v>62</v>
      </c>
      <c r="I3789" s="3" t="s">
        <v>61</v>
      </c>
      <c r="J3789" s="3" t="s">
        <v>61</v>
      </c>
      <c r="K3789" s="3" t="s">
        <v>63</v>
      </c>
      <c r="L3789" s="2" t="s">
        <v>9332</v>
      </c>
      <c r="M3789" s="2" t="s">
        <v>36668</v>
      </c>
      <c r="N3789" s="3" t="s">
        <v>87</v>
      </c>
      <c r="P3789" s="3" t="s">
        <v>64</v>
      </c>
      <c r="Q3789" s="2" t="s">
        <v>36669</v>
      </c>
      <c r="R3789" s="3" t="s">
        <v>34126</v>
      </c>
      <c r="S3789" s="4">
        <v>76</v>
      </c>
      <c r="T3789" s="4">
        <v>173</v>
      </c>
      <c r="U3789" s="5" t="s">
        <v>14536</v>
      </c>
      <c r="V3789" s="5" t="s">
        <v>12416</v>
      </c>
      <c r="W3789" s="5" t="s">
        <v>67</v>
      </c>
      <c r="X3789" s="5" t="s">
        <v>67</v>
      </c>
      <c r="Y3789" s="4">
        <v>492</v>
      </c>
      <c r="Z3789" s="4">
        <v>27</v>
      </c>
      <c r="AA3789" s="4">
        <v>62</v>
      </c>
      <c r="AB3789" s="4">
        <v>1</v>
      </c>
      <c r="AC3789" s="4">
        <v>7</v>
      </c>
      <c r="AD3789" s="4">
        <v>106</v>
      </c>
      <c r="AE3789" s="4">
        <v>147</v>
      </c>
      <c r="AF3789" s="4">
        <v>0</v>
      </c>
      <c r="AG3789" s="4">
        <v>3</v>
      </c>
      <c r="AH3789" s="4">
        <v>95</v>
      </c>
      <c r="AI3789" s="4">
        <v>113</v>
      </c>
      <c r="AJ3789" s="4">
        <v>16</v>
      </c>
      <c r="AK3789" s="4">
        <v>24</v>
      </c>
      <c r="AL3789" s="4">
        <v>50</v>
      </c>
      <c r="AM3789" s="4">
        <v>61</v>
      </c>
      <c r="AN3789" s="4">
        <v>0</v>
      </c>
      <c r="AO3789" s="4">
        <v>0</v>
      </c>
      <c r="AP3789" s="4">
        <v>21</v>
      </c>
      <c r="AQ3789" s="4">
        <v>39</v>
      </c>
      <c r="AR3789" s="3" t="s">
        <v>62</v>
      </c>
      <c r="AS3789" s="3" t="s">
        <v>62</v>
      </c>
      <c r="AT3789" s="3" t="s">
        <v>62</v>
      </c>
      <c r="AV3789" s="6" t="str">
        <f>HYPERLINK("http://mcgill.on.worldcat.org/oclc/4775088","Catalog Record")</f>
        <v>Catalog Record</v>
      </c>
      <c r="AW3789" s="6" t="str">
        <f>HYPERLINK("http://www.worldcat.org/oclc/4775088","WorldCat Record")</f>
        <v>WorldCat Record</v>
      </c>
      <c r="AX3789" s="3" t="s">
        <v>36670</v>
      </c>
      <c r="AY3789" s="3" t="s">
        <v>36671</v>
      </c>
      <c r="AZ3789" s="3" t="s">
        <v>36672</v>
      </c>
      <c r="BA3789" s="3" t="s">
        <v>36672</v>
      </c>
      <c r="BB3789" s="3" t="s">
        <v>36673</v>
      </c>
      <c r="BC3789" s="3" t="s">
        <v>102</v>
      </c>
      <c r="BD3789" s="3" t="s">
        <v>231</v>
      </c>
      <c r="BE3789" s="3" t="s">
        <v>36674</v>
      </c>
      <c r="BF3789" s="3" t="s">
        <v>36673</v>
      </c>
      <c r="BG3789" s="3" t="s">
        <v>36675</v>
      </c>
    </row>
    <row r="3790" spans="1:59" ht="58" x14ac:dyDescent="0.35">
      <c r="A3790" s="2" t="s">
        <v>89</v>
      </c>
      <c r="B3790" s="2" t="s">
        <v>90</v>
      </c>
      <c r="C3790" s="2" t="s">
        <v>36665</v>
      </c>
      <c r="D3790" s="2" t="s">
        <v>36666</v>
      </c>
      <c r="E3790" s="2" t="s">
        <v>36667</v>
      </c>
      <c r="G3790" s="3" t="s">
        <v>62</v>
      </c>
      <c r="I3790" s="3" t="s">
        <v>61</v>
      </c>
      <c r="J3790" s="3" t="s">
        <v>61</v>
      </c>
      <c r="K3790" s="3" t="s">
        <v>63</v>
      </c>
      <c r="L3790" s="2" t="s">
        <v>9332</v>
      </c>
      <c r="M3790" s="2" t="s">
        <v>36668</v>
      </c>
      <c r="N3790" s="3" t="s">
        <v>87</v>
      </c>
      <c r="P3790" s="3" t="s">
        <v>64</v>
      </c>
      <c r="Q3790" s="2" t="s">
        <v>36669</v>
      </c>
      <c r="R3790" s="3" t="s">
        <v>34126</v>
      </c>
      <c r="S3790" s="4">
        <v>97</v>
      </c>
      <c r="T3790" s="4">
        <v>173</v>
      </c>
      <c r="U3790" s="5" t="s">
        <v>12416</v>
      </c>
      <c r="V3790" s="5" t="s">
        <v>12416</v>
      </c>
      <c r="W3790" s="5" t="s">
        <v>67</v>
      </c>
      <c r="X3790" s="5" t="s">
        <v>67</v>
      </c>
      <c r="Y3790" s="4">
        <v>492</v>
      </c>
      <c r="Z3790" s="4">
        <v>27</v>
      </c>
      <c r="AA3790" s="4">
        <v>62</v>
      </c>
      <c r="AB3790" s="4">
        <v>1</v>
      </c>
      <c r="AC3790" s="4">
        <v>7</v>
      </c>
      <c r="AD3790" s="4">
        <v>106</v>
      </c>
      <c r="AE3790" s="4">
        <v>147</v>
      </c>
      <c r="AF3790" s="4">
        <v>0</v>
      </c>
      <c r="AG3790" s="4">
        <v>3</v>
      </c>
      <c r="AH3790" s="4">
        <v>95</v>
      </c>
      <c r="AI3790" s="4">
        <v>113</v>
      </c>
      <c r="AJ3790" s="4">
        <v>16</v>
      </c>
      <c r="AK3790" s="4">
        <v>24</v>
      </c>
      <c r="AL3790" s="4">
        <v>50</v>
      </c>
      <c r="AM3790" s="4">
        <v>61</v>
      </c>
      <c r="AN3790" s="4">
        <v>0</v>
      </c>
      <c r="AO3790" s="4">
        <v>0</v>
      </c>
      <c r="AP3790" s="4">
        <v>21</v>
      </c>
      <c r="AQ3790" s="4">
        <v>39</v>
      </c>
      <c r="AR3790" s="3" t="s">
        <v>62</v>
      </c>
      <c r="AS3790" s="3" t="s">
        <v>62</v>
      </c>
      <c r="AT3790" s="3" t="s">
        <v>62</v>
      </c>
      <c r="AV3790" s="6" t="str">
        <f>HYPERLINK("http://mcgill.on.worldcat.org/oclc/4775088","Catalog Record")</f>
        <v>Catalog Record</v>
      </c>
      <c r="AW3790" s="6" t="str">
        <f>HYPERLINK("http://www.worldcat.org/oclc/4775088","WorldCat Record")</f>
        <v>WorldCat Record</v>
      </c>
      <c r="AX3790" s="3" t="s">
        <v>36670</v>
      </c>
      <c r="AY3790" s="3" t="s">
        <v>36671</v>
      </c>
      <c r="AZ3790" s="3" t="s">
        <v>36672</v>
      </c>
      <c r="BA3790" s="3" t="s">
        <v>36672</v>
      </c>
      <c r="BB3790" s="3" t="s">
        <v>36676</v>
      </c>
      <c r="BC3790" s="3" t="s">
        <v>102</v>
      </c>
      <c r="BD3790" s="3" t="s">
        <v>231</v>
      </c>
      <c r="BE3790" s="3" t="s">
        <v>36674</v>
      </c>
      <c r="BF3790" s="3" t="s">
        <v>36676</v>
      </c>
      <c r="BG3790" s="3" t="s">
        <v>36677</v>
      </c>
    </row>
    <row r="3791" spans="1:59" ht="58" x14ac:dyDescent="0.35">
      <c r="A3791" s="2" t="s">
        <v>89</v>
      </c>
      <c r="B3791" s="2" t="s">
        <v>90</v>
      </c>
      <c r="C3791" s="2" t="s">
        <v>36678</v>
      </c>
      <c r="D3791" s="2" t="s">
        <v>36679</v>
      </c>
      <c r="E3791" s="2" t="s">
        <v>36680</v>
      </c>
      <c r="G3791" s="3" t="s">
        <v>62</v>
      </c>
      <c r="I3791" s="3" t="s">
        <v>61</v>
      </c>
      <c r="J3791" s="3" t="s">
        <v>61</v>
      </c>
      <c r="K3791" s="3" t="s">
        <v>63</v>
      </c>
      <c r="L3791" s="2" t="s">
        <v>9332</v>
      </c>
      <c r="M3791" s="2" t="s">
        <v>28705</v>
      </c>
      <c r="N3791" s="3" t="s">
        <v>1482</v>
      </c>
      <c r="P3791" s="3" t="s">
        <v>64</v>
      </c>
      <c r="R3791" s="3" t="s">
        <v>34126</v>
      </c>
      <c r="S3791" s="4">
        <v>66</v>
      </c>
      <c r="T3791" s="4">
        <v>205</v>
      </c>
      <c r="U3791" s="5" t="s">
        <v>9836</v>
      </c>
      <c r="V3791" s="5" t="s">
        <v>16075</v>
      </c>
      <c r="W3791" s="5" t="s">
        <v>67</v>
      </c>
      <c r="X3791" s="5" t="s">
        <v>67</v>
      </c>
      <c r="Y3791" s="4">
        <v>446</v>
      </c>
      <c r="Z3791" s="4">
        <v>33</v>
      </c>
      <c r="AA3791" s="4">
        <v>62</v>
      </c>
      <c r="AB3791" s="4">
        <v>2</v>
      </c>
      <c r="AC3791" s="4">
        <v>7</v>
      </c>
      <c r="AD3791" s="4">
        <v>93</v>
      </c>
      <c r="AE3791" s="4">
        <v>147</v>
      </c>
      <c r="AF3791" s="4">
        <v>1</v>
      </c>
      <c r="AG3791" s="4">
        <v>3</v>
      </c>
      <c r="AH3791" s="4">
        <v>71</v>
      </c>
      <c r="AI3791" s="4">
        <v>113</v>
      </c>
      <c r="AJ3791" s="4">
        <v>15</v>
      </c>
      <c r="AK3791" s="4">
        <v>24</v>
      </c>
      <c r="AL3791" s="4">
        <v>45</v>
      </c>
      <c r="AM3791" s="4">
        <v>61</v>
      </c>
      <c r="AN3791" s="4">
        <v>0</v>
      </c>
      <c r="AO3791" s="4">
        <v>0</v>
      </c>
      <c r="AP3791" s="4">
        <v>24</v>
      </c>
      <c r="AQ3791" s="4">
        <v>39</v>
      </c>
      <c r="AR3791" s="3" t="s">
        <v>62</v>
      </c>
      <c r="AS3791" s="3" t="s">
        <v>62</v>
      </c>
      <c r="AT3791" s="3" t="s">
        <v>62</v>
      </c>
      <c r="AV3791" s="6" t="str">
        <f>HYPERLINK("http://mcgill.on.worldcat.org/oclc/13124747","Catalog Record")</f>
        <v>Catalog Record</v>
      </c>
      <c r="AW3791" s="6" t="str">
        <f>HYPERLINK("http://www.worldcat.org/oclc/13124747","WorldCat Record")</f>
        <v>WorldCat Record</v>
      </c>
      <c r="AX3791" s="3" t="s">
        <v>36670</v>
      </c>
      <c r="AY3791" s="3" t="s">
        <v>36681</v>
      </c>
      <c r="AZ3791" s="3" t="s">
        <v>36682</v>
      </c>
      <c r="BA3791" s="3" t="s">
        <v>36682</v>
      </c>
      <c r="BB3791" s="3" t="s">
        <v>36683</v>
      </c>
      <c r="BC3791" s="3" t="s">
        <v>102</v>
      </c>
      <c r="BD3791" s="3" t="s">
        <v>231</v>
      </c>
      <c r="BE3791" s="3" t="s">
        <v>36684</v>
      </c>
      <c r="BF3791" s="3" t="s">
        <v>36683</v>
      </c>
      <c r="BG3791" s="3" t="s">
        <v>36685</v>
      </c>
    </row>
    <row r="3792" spans="1:59" ht="58" x14ac:dyDescent="0.35">
      <c r="A3792" s="2" t="s">
        <v>89</v>
      </c>
      <c r="B3792" s="2" t="s">
        <v>90</v>
      </c>
      <c r="C3792" s="2" t="s">
        <v>36678</v>
      </c>
      <c r="D3792" s="2" t="s">
        <v>36679</v>
      </c>
      <c r="E3792" s="2" t="s">
        <v>36680</v>
      </c>
      <c r="G3792" s="3" t="s">
        <v>62</v>
      </c>
      <c r="I3792" s="3" t="s">
        <v>61</v>
      </c>
      <c r="J3792" s="3" t="s">
        <v>61</v>
      </c>
      <c r="K3792" s="3" t="s">
        <v>63</v>
      </c>
      <c r="L3792" s="2" t="s">
        <v>9332</v>
      </c>
      <c r="M3792" s="2" t="s">
        <v>28705</v>
      </c>
      <c r="N3792" s="3" t="s">
        <v>1482</v>
      </c>
      <c r="P3792" s="3" t="s">
        <v>64</v>
      </c>
      <c r="R3792" s="3" t="s">
        <v>34126</v>
      </c>
      <c r="S3792" s="4">
        <v>76</v>
      </c>
      <c r="T3792" s="4">
        <v>205</v>
      </c>
      <c r="U3792" s="5" t="s">
        <v>627</v>
      </c>
      <c r="V3792" s="5" t="s">
        <v>16075</v>
      </c>
      <c r="W3792" s="5" t="s">
        <v>67</v>
      </c>
      <c r="X3792" s="5" t="s">
        <v>67</v>
      </c>
      <c r="Y3792" s="4">
        <v>446</v>
      </c>
      <c r="Z3792" s="4">
        <v>33</v>
      </c>
      <c r="AA3792" s="4">
        <v>62</v>
      </c>
      <c r="AB3792" s="4">
        <v>2</v>
      </c>
      <c r="AC3792" s="4">
        <v>7</v>
      </c>
      <c r="AD3792" s="4">
        <v>93</v>
      </c>
      <c r="AE3792" s="4">
        <v>147</v>
      </c>
      <c r="AF3792" s="4">
        <v>1</v>
      </c>
      <c r="AG3792" s="4">
        <v>3</v>
      </c>
      <c r="AH3792" s="4">
        <v>71</v>
      </c>
      <c r="AI3792" s="4">
        <v>113</v>
      </c>
      <c r="AJ3792" s="4">
        <v>15</v>
      </c>
      <c r="AK3792" s="4">
        <v>24</v>
      </c>
      <c r="AL3792" s="4">
        <v>45</v>
      </c>
      <c r="AM3792" s="4">
        <v>61</v>
      </c>
      <c r="AN3792" s="4">
        <v>0</v>
      </c>
      <c r="AO3792" s="4">
        <v>0</v>
      </c>
      <c r="AP3792" s="4">
        <v>24</v>
      </c>
      <c r="AQ3792" s="4">
        <v>39</v>
      </c>
      <c r="AR3792" s="3" t="s">
        <v>62</v>
      </c>
      <c r="AS3792" s="3" t="s">
        <v>62</v>
      </c>
      <c r="AT3792" s="3" t="s">
        <v>62</v>
      </c>
      <c r="AV3792" s="6" t="str">
        <f>HYPERLINK("http://mcgill.on.worldcat.org/oclc/13124747","Catalog Record")</f>
        <v>Catalog Record</v>
      </c>
      <c r="AW3792" s="6" t="str">
        <f>HYPERLINK("http://www.worldcat.org/oclc/13124747","WorldCat Record")</f>
        <v>WorldCat Record</v>
      </c>
      <c r="AX3792" s="3" t="s">
        <v>36670</v>
      </c>
      <c r="AY3792" s="3" t="s">
        <v>36681</v>
      </c>
      <c r="AZ3792" s="3" t="s">
        <v>36682</v>
      </c>
      <c r="BA3792" s="3" t="s">
        <v>36682</v>
      </c>
      <c r="BB3792" s="3" t="s">
        <v>36686</v>
      </c>
      <c r="BC3792" s="3" t="s">
        <v>102</v>
      </c>
      <c r="BD3792" s="3" t="s">
        <v>231</v>
      </c>
      <c r="BE3792" s="3" t="s">
        <v>36684</v>
      </c>
      <c r="BF3792" s="3" t="s">
        <v>36686</v>
      </c>
      <c r="BG3792" s="3" t="s">
        <v>36687</v>
      </c>
    </row>
    <row r="3793" spans="1:59" ht="58" x14ac:dyDescent="0.35">
      <c r="A3793" s="2" t="s">
        <v>89</v>
      </c>
      <c r="B3793" s="2" t="s">
        <v>90</v>
      </c>
      <c r="C3793" s="2" t="s">
        <v>36688</v>
      </c>
      <c r="D3793" s="2" t="s">
        <v>36689</v>
      </c>
      <c r="E3793" s="2" t="s">
        <v>36690</v>
      </c>
      <c r="G3793" s="3" t="s">
        <v>62</v>
      </c>
      <c r="I3793" s="3" t="s">
        <v>62</v>
      </c>
      <c r="J3793" s="3" t="s">
        <v>62</v>
      </c>
      <c r="K3793" s="3" t="s">
        <v>63</v>
      </c>
      <c r="L3793" s="2" t="s">
        <v>9332</v>
      </c>
      <c r="M3793" s="2" t="s">
        <v>36691</v>
      </c>
      <c r="N3793" s="3" t="s">
        <v>2000</v>
      </c>
      <c r="P3793" s="3" t="s">
        <v>85</v>
      </c>
      <c r="Q3793" s="2" t="s">
        <v>36692</v>
      </c>
      <c r="R3793" s="3" t="s">
        <v>34126</v>
      </c>
      <c r="S3793" s="4">
        <v>4</v>
      </c>
      <c r="T3793" s="4">
        <v>4</v>
      </c>
      <c r="U3793" s="5" t="s">
        <v>7065</v>
      </c>
      <c r="V3793" s="5" t="s">
        <v>7065</v>
      </c>
      <c r="W3793" s="5" t="s">
        <v>67</v>
      </c>
      <c r="X3793" s="5" t="s">
        <v>67</v>
      </c>
      <c r="Y3793" s="4">
        <v>16</v>
      </c>
      <c r="Z3793" s="4">
        <v>1</v>
      </c>
      <c r="AA3793" s="4">
        <v>10</v>
      </c>
      <c r="AB3793" s="4">
        <v>1</v>
      </c>
      <c r="AC3793" s="4">
        <v>9</v>
      </c>
      <c r="AD3793" s="4">
        <v>1</v>
      </c>
      <c r="AE3793" s="4">
        <v>6</v>
      </c>
      <c r="AF3793" s="4">
        <v>0</v>
      </c>
      <c r="AG3793" s="4">
        <v>4</v>
      </c>
      <c r="AH3793" s="4">
        <v>0</v>
      </c>
      <c r="AI3793" s="4">
        <v>2</v>
      </c>
      <c r="AJ3793" s="4">
        <v>0</v>
      </c>
      <c r="AK3793" s="4">
        <v>4</v>
      </c>
      <c r="AL3793" s="4">
        <v>1</v>
      </c>
      <c r="AM3793" s="4">
        <v>1</v>
      </c>
      <c r="AN3793" s="4">
        <v>0</v>
      </c>
      <c r="AO3793" s="4">
        <v>0</v>
      </c>
      <c r="AP3793" s="4">
        <v>0</v>
      </c>
      <c r="AQ3793" s="4">
        <v>4</v>
      </c>
      <c r="AR3793" s="3" t="s">
        <v>62</v>
      </c>
      <c r="AS3793" s="3" t="s">
        <v>62</v>
      </c>
      <c r="AT3793" s="3" t="s">
        <v>62</v>
      </c>
      <c r="AV3793" s="6" t="str">
        <f>HYPERLINK("http://mcgill.on.worldcat.org/oclc/36357631","Catalog Record")</f>
        <v>Catalog Record</v>
      </c>
      <c r="AW3793" s="6" t="str">
        <f>HYPERLINK("http://www.worldcat.org/oclc/36357631","WorldCat Record")</f>
        <v>WorldCat Record</v>
      </c>
      <c r="AX3793" s="3" t="s">
        <v>36693</v>
      </c>
      <c r="AY3793" s="3" t="s">
        <v>36694</v>
      </c>
      <c r="AZ3793" s="3" t="s">
        <v>36695</v>
      </c>
      <c r="BA3793" s="3" t="s">
        <v>36695</v>
      </c>
      <c r="BB3793" s="3" t="s">
        <v>36696</v>
      </c>
      <c r="BC3793" s="3" t="s">
        <v>102</v>
      </c>
      <c r="BD3793" s="3" t="s">
        <v>68</v>
      </c>
      <c r="BE3793" s="3" t="s">
        <v>36697</v>
      </c>
      <c r="BF3793" s="3" t="s">
        <v>36696</v>
      </c>
      <c r="BG3793" s="3" t="s">
        <v>36698</v>
      </c>
    </row>
    <row r="3794" spans="1:59" ht="58" x14ac:dyDescent="0.35">
      <c r="A3794" s="2" t="s">
        <v>59</v>
      </c>
      <c r="B3794" s="2" t="s">
        <v>60</v>
      </c>
      <c r="C3794" s="2" t="s">
        <v>36699</v>
      </c>
      <c r="D3794" s="2" t="s">
        <v>36700</v>
      </c>
      <c r="E3794" s="2" t="s">
        <v>36701</v>
      </c>
      <c r="G3794" s="3" t="s">
        <v>62</v>
      </c>
      <c r="I3794" s="3" t="s">
        <v>61</v>
      </c>
      <c r="J3794" s="3" t="s">
        <v>61</v>
      </c>
      <c r="K3794" s="3" t="s">
        <v>63</v>
      </c>
      <c r="L3794" s="2" t="s">
        <v>36702</v>
      </c>
      <c r="M3794" s="2" t="s">
        <v>36703</v>
      </c>
      <c r="N3794" s="3" t="s">
        <v>424</v>
      </c>
      <c r="O3794" s="2" t="s">
        <v>2986</v>
      </c>
      <c r="P3794" s="3" t="s">
        <v>64</v>
      </c>
      <c r="Q3794" s="2" t="s">
        <v>10618</v>
      </c>
      <c r="R3794" s="3" t="s">
        <v>34126</v>
      </c>
      <c r="S3794" s="4">
        <v>2</v>
      </c>
      <c r="T3794" s="4">
        <v>17</v>
      </c>
      <c r="U3794" s="5" t="s">
        <v>36704</v>
      </c>
      <c r="V3794" s="5" t="s">
        <v>7495</v>
      </c>
      <c r="W3794" s="5" t="s">
        <v>67</v>
      </c>
      <c r="X3794" s="5" t="s">
        <v>67</v>
      </c>
      <c r="Y3794" s="4">
        <v>537</v>
      </c>
      <c r="Z3794" s="4">
        <v>33</v>
      </c>
      <c r="AA3794" s="4">
        <v>60</v>
      </c>
      <c r="AB3794" s="4">
        <v>3</v>
      </c>
      <c r="AC3794" s="4">
        <v>10</v>
      </c>
      <c r="AD3794" s="4">
        <v>105</v>
      </c>
      <c r="AE3794" s="4">
        <v>137</v>
      </c>
      <c r="AF3794" s="4">
        <v>1</v>
      </c>
      <c r="AG3794" s="4">
        <v>3</v>
      </c>
      <c r="AH3794" s="4">
        <v>91</v>
      </c>
      <c r="AI3794" s="4">
        <v>109</v>
      </c>
      <c r="AJ3794" s="4">
        <v>16</v>
      </c>
      <c r="AK3794" s="4">
        <v>24</v>
      </c>
      <c r="AL3794" s="4">
        <v>48</v>
      </c>
      <c r="AM3794" s="4">
        <v>57</v>
      </c>
      <c r="AN3794" s="4">
        <v>0</v>
      </c>
      <c r="AO3794" s="4">
        <v>0</v>
      </c>
      <c r="AP3794" s="4">
        <v>21</v>
      </c>
      <c r="AQ3794" s="4">
        <v>35</v>
      </c>
      <c r="AR3794" s="3" t="s">
        <v>62</v>
      </c>
      <c r="AS3794" s="3" t="s">
        <v>62</v>
      </c>
      <c r="AT3794" s="3" t="s">
        <v>62</v>
      </c>
      <c r="AV3794" s="6" t="str">
        <f>HYPERLINK("http://mcgill.on.worldcat.org/oclc/17259089","Catalog Record")</f>
        <v>Catalog Record</v>
      </c>
      <c r="AW3794" s="6" t="str">
        <f>HYPERLINK("http://www.worldcat.org/oclc/17259089","WorldCat Record")</f>
        <v>WorldCat Record</v>
      </c>
      <c r="AX3794" s="3" t="s">
        <v>36705</v>
      </c>
      <c r="AY3794" s="3" t="s">
        <v>36706</v>
      </c>
      <c r="AZ3794" s="3" t="s">
        <v>36707</v>
      </c>
      <c r="BA3794" s="3" t="s">
        <v>36707</v>
      </c>
      <c r="BB3794" s="3" t="s">
        <v>36708</v>
      </c>
      <c r="BC3794" s="3" t="s">
        <v>102</v>
      </c>
      <c r="BD3794" s="3" t="s">
        <v>68</v>
      </c>
      <c r="BE3794" s="3" t="s">
        <v>36709</v>
      </c>
      <c r="BF3794" s="3" t="s">
        <v>36708</v>
      </c>
      <c r="BG3794" s="3" t="s">
        <v>36710</v>
      </c>
    </row>
    <row r="3795" spans="1:59" ht="58" x14ac:dyDescent="0.35">
      <c r="A3795" s="2" t="s">
        <v>59</v>
      </c>
      <c r="B3795" s="2" t="s">
        <v>60</v>
      </c>
      <c r="C3795" s="2" t="s">
        <v>36711</v>
      </c>
      <c r="D3795" s="2" t="s">
        <v>36712</v>
      </c>
      <c r="E3795" s="2" t="s">
        <v>36713</v>
      </c>
      <c r="G3795" s="3" t="s">
        <v>62</v>
      </c>
      <c r="I3795" s="3" t="s">
        <v>62</v>
      </c>
      <c r="J3795" s="3" t="s">
        <v>62</v>
      </c>
      <c r="K3795" s="3" t="s">
        <v>63</v>
      </c>
      <c r="L3795" s="2" t="s">
        <v>36714</v>
      </c>
      <c r="M3795" s="2" t="s">
        <v>36715</v>
      </c>
      <c r="N3795" s="3" t="s">
        <v>568</v>
      </c>
      <c r="P3795" s="3" t="s">
        <v>64</v>
      </c>
      <c r="R3795" s="3" t="s">
        <v>34126</v>
      </c>
      <c r="S3795" s="4">
        <v>15</v>
      </c>
      <c r="T3795" s="4">
        <v>15</v>
      </c>
      <c r="U3795" s="5" t="s">
        <v>16047</v>
      </c>
      <c r="V3795" s="5" t="s">
        <v>16047</v>
      </c>
      <c r="W3795" s="5" t="s">
        <v>67</v>
      </c>
      <c r="X3795" s="5" t="s">
        <v>67</v>
      </c>
      <c r="Y3795" s="4">
        <v>297</v>
      </c>
      <c r="Z3795" s="4">
        <v>15</v>
      </c>
      <c r="AA3795" s="4">
        <v>94</v>
      </c>
      <c r="AB3795" s="4">
        <v>2</v>
      </c>
      <c r="AC3795" s="4">
        <v>17</v>
      </c>
      <c r="AD3795" s="4">
        <v>105</v>
      </c>
      <c r="AE3795" s="4">
        <v>150</v>
      </c>
      <c r="AF3795" s="4">
        <v>0</v>
      </c>
      <c r="AG3795" s="4">
        <v>8</v>
      </c>
      <c r="AH3795" s="4">
        <v>98</v>
      </c>
      <c r="AI3795" s="4">
        <v>112</v>
      </c>
      <c r="AJ3795" s="4">
        <v>12</v>
      </c>
      <c r="AK3795" s="4">
        <v>22</v>
      </c>
      <c r="AL3795" s="4">
        <v>55</v>
      </c>
      <c r="AM3795" s="4">
        <v>59</v>
      </c>
      <c r="AN3795" s="4">
        <v>0</v>
      </c>
      <c r="AO3795" s="4">
        <v>0</v>
      </c>
      <c r="AP3795" s="4">
        <v>12</v>
      </c>
      <c r="AQ3795" s="4">
        <v>44</v>
      </c>
      <c r="AR3795" s="3" t="s">
        <v>62</v>
      </c>
      <c r="AS3795" s="3" t="s">
        <v>62</v>
      </c>
      <c r="AT3795" s="3" t="s">
        <v>62</v>
      </c>
      <c r="AV3795" s="6" t="str">
        <f>HYPERLINK("http://mcgill.on.worldcat.org/oclc/43050289","Catalog Record")</f>
        <v>Catalog Record</v>
      </c>
      <c r="AW3795" s="6" t="str">
        <f>HYPERLINK("http://www.worldcat.org/oclc/43050289","WorldCat Record")</f>
        <v>WorldCat Record</v>
      </c>
      <c r="AX3795" s="3" t="s">
        <v>36716</v>
      </c>
      <c r="AY3795" s="3" t="s">
        <v>36717</v>
      </c>
      <c r="AZ3795" s="3" t="s">
        <v>36718</v>
      </c>
      <c r="BA3795" s="3" t="s">
        <v>36718</v>
      </c>
      <c r="BB3795" s="3" t="s">
        <v>36719</v>
      </c>
      <c r="BC3795" s="3" t="s">
        <v>102</v>
      </c>
      <c r="BD3795" s="3" t="s">
        <v>231</v>
      </c>
      <c r="BE3795" s="3" t="s">
        <v>36720</v>
      </c>
      <c r="BF3795" s="3" t="s">
        <v>36719</v>
      </c>
      <c r="BG3795" s="3" t="s">
        <v>36721</v>
      </c>
    </row>
    <row r="3796" spans="1:59" ht="58" x14ac:dyDescent="0.35">
      <c r="A3796" s="2" t="s">
        <v>59</v>
      </c>
      <c r="B3796" s="2" t="s">
        <v>60</v>
      </c>
      <c r="C3796" s="2" t="s">
        <v>36722</v>
      </c>
      <c r="D3796" s="2" t="s">
        <v>36723</v>
      </c>
      <c r="E3796" s="2" t="s">
        <v>36724</v>
      </c>
      <c r="G3796" s="3" t="s">
        <v>62</v>
      </c>
      <c r="I3796" s="3" t="s">
        <v>61</v>
      </c>
      <c r="J3796" s="3" t="s">
        <v>62</v>
      </c>
      <c r="K3796" s="3" t="s">
        <v>63</v>
      </c>
      <c r="L3796" s="2" t="s">
        <v>36725</v>
      </c>
      <c r="M3796" s="2" t="s">
        <v>36726</v>
      </c>
      <c r="N3796" s="3" t="s">
        <v>568</v>
      </c>
      <c r="P3796" s="3" t="s">
        <v>64</v>
      </c>
      <c r="R3796" s="3" t="s">
        <v>34126</v>
      </c>
      <c r="S3796" s="4">
        <v>9</v>
      </c>
      <c r="T3796" s="4">
        <v>26</v>
      </c>
      <c r="U3796" s="5" t="s">
        <v>36727</v>
      </c>
      <c r="V3796" s="5" t="s">
        <v>17575</v>
      </c>
      <c r="W3796" s="5" t="s">
        <v>67</v>
      </c>
      <c r="X3796" s="5" t="s">
        <v>67</v>
      </c>
      <c r="Y3796" s="4">
        <v>482</v>
      </c>
      <c r="Z3796" s="4">
        <v>28</v>
      </c>
      <c r="AA3796" s="4">
        <v>110</v>
      </c>
      <c r="AB3796" s="4">
        <v>2</v>
      </c>
      <c r="AC3796" s="4">
        <v>20</v>
      </c>
      <c r="AD3796" s="4">
        <v>108</v>
      </c>
      <c r="AE3796" s="4">
        <v>150</v>
      </c>
      <c r="AF3796" s="4">
        <v>1</v>
      </c>
      <c r="AG3796" s="4">
        <v>8</v>
      </c>
      <c r="AH3796" s="4">
        <v>93</v>
      </c>
      <c r="AI3796" s="4">
        <v>110</v>
      </c>
      <c r="AJ3796" s="4">
        <v>17</v>
      </c>
      <c r="AK3796" s="4">
        <v>26</v>
      </c>
      <c r="AL3796" s="4">
        <v>54</v>
      </c>
      <c r="AM3796" s="4">
        <v>60</v>
      </c>
      <c r="AN3796" s="4">
        <v>0</v>
      </c>
      <c r="AO3796" s="4">
        <v>0</v>
      </c>
      <c r="AP3796" s="4">
        <v>22</v>
      </c>
      <c r="AQ3796" s="4">
        <v>47</v>
      </c>
      <c r="AR3796" s="3" t="s">
        <v>62</v>
      </c>
      <c r="AS3796" s="3" t="s">
        <v>62</v>
      </c>
      <c r="AT3796" s="3" t="s">
        <v>62</v>
      </c>
      <c r="AV3796" s="6" t="str">
        <f>HYPERLINK("http://mcgill.on.worldcat.org/oclc/43757593","Catalog Record")</f>
        <v>Catalog Record</v>
      </c>
      <c r="AW3796" s="6" t="str">
        <f>HYPERLINK("http://www.worldcat.org/oclc/43757593","WorldCat Record")</f>
        <v>WorldCat Record</v>
      </c>
      <c r="AX3796" s="3" t="s">
        <v>36728</v>
      </c>
      <c r="AY3796" s="3" t="s">
        <v>36729</v>
      </c>
      <c r="AZ3796" s="3" t="s">
        <v>36730</v>
      </c>
      <c r="BA3796" s="3" t="s">
        <v>36730</v>
      </c>
      <c r="BB3796" s="3" t="s">
        <v>36731</v>
      </c>
      <c r="BC3796" s="3" t="s">
        <v>102</v>
      </c>
      <c r="BD3796" s="3" t="s">
        <v>68</v>
      </c>
      <c r="BE3796" s="3" t="s">
        <v>36732</v>
      </c>
      <c r="BF3796" s="3" t="s">
        <v>36731</v>
      </c>
      <c r="BG3796" s="3" t="s">
        <v>36733</v>
      </c>
    </row>
    <row r="3797" spans="1:59" ht="58" x14ac:dyDescent="0.35">
      <c r="A3797" s="2" t="s">
        <v>59</v>
      </c>
      <c r="B3797" s="2" t="s">
        <v>60</v>
      </c>
      <c r="C3797" s="2" t="s">
        <v>36734</v>
      </c>
      <c r="D3797" s="2" t="s">
        <v>36735</v>
      </c>
      <c r="E3797" s="2" t="s">
        <v>36736</v>
      </c>
      <c r="G3797" s="3" t="s">
        <v>62</v>
      </c>
      <c r="I3797" s="3" t="s">
        <v>62</v>
      </c>
      <c r="J3797" s="3" t="s">
        <v>62</v>
      </c>
      <c r="K3797" s="3" t="s">
        <v>63</v>
      </c>
      <c r="L3797" s="2" t="s">
        <v>36737</v>
      </c>
      <c r="M3797" s="2" t="s">
        <v>36738</v>
      </c>
      <c r="N3797" s="3" t="s">
        <v>2110</v>
      </c>
      <c r="P3797" s="3" t="s">
        <v>64</v>
      </c>
      <c r="Q3797" s="2" t="s">
        <v>36739</v>
      </c>
      <c r="R3797" s="3" t="s">
        <v>34126</v>
      </c>
      <c r="S3797" s="4">
        <v>10</v>
      </c>
      <c r="T3797" s="4">
        <v>10</v>
      </c>
      <c r="U3797" s="5" t="s">
        <v>13735</v>
      </c>
      <c r="V3797" s="5" t="s">
        <v>13735</v>
      </c>
      <c r="W3797" s="5" t="s">
        <v>67</v>
      </c>
      <c r="X3797" s="5" t="s">
        <v>67</v>
      </c>
      <c r="Y3797" s="4">
        <v>288</v>
      </c>
      <c r="Z3797" s="4">
        <v>21</v>
      </c>
      <c r="AA3797" s="4">
        <v>26</v>
      </c>
      <c r="AB3797" s="4">
        <v>1</v>
      </c>
      <c r="AC3797" s="4">
        <v>4</v>
      </c>
      <c r="AD3797" s="4">
        <v>100</v>
      </c>
      <c r="AE3797" s="4">
        <v>108</v>
      </c>
      <c r="AF3797" s="4">
        <v>0</v>
      </c>
      <c r="AG3797" s="4">
        <v>2</v>
      </c>
      <c r="AH3797" s="4">
        <v>89</v>
      </c>
      <c r="AI3797" s="4">
        <v>95</v>
      </c>
      <c r="AJ3797" s="4">
        <v>16</v>
      </c>
      <c r="AK3797" s="4">
        <v>19</v>
      </c>
      <c r="AL3797" s="4">
        <v>47</v>
      </c>
      <c r="AM3797" s="4">
        <v>50</v>
      </c>
      <c r="AN3797" s="4">
        <v>0</v>
      </c>
      <c r="AO3797" s="4">
        <v>0</v>
      </c>
      <c r="AP3797" s="4">
        <v>17</v>
      </c>
      <c r="AQ3797" s="4">
        <v>20</v>
      </c>
      <c r="AR3797" s="3" t="s">
        <v>62</v>
      </c>
      <c r="AS3797" s="3" t="s">
        <v>62</v>
      </c>
      <c r="AT3797" s="3" t="s">
        <v>61</v>
      </c>
      <c r="AU3797" s="6" t="str">
        <f>HYPERLINK("http://catalog.hathitrust.org/Record/000044471","HathiTrust Record")</f>
        <v>HathiTrust Record</v>
      </c>
      <c r="AV3797" s="6" t="str">
        <f>HYPERLINK("http://mcgill.on.worldcat.org/oclc/4503292","Catalog Record")</f>
        <v>Catalog Record</v>
      </c>
      <c r="AW3797" s="6" t="str">
        <f>HYPERLINK("http://www.worldcat.org/oclc/4503292","WorldCat Record")</f>
        <v>WorldCat Record</v>
      </c>
      <c r="AX3797" s="3" t="s">
        <v>36740</v>
      </c>
      <c r="AY3797" s="3" t="s">
        <v>36741</v>
      </c>
      <c r="AZ3797" s="3" t="s">
        <v>36742</v>
      </c>
      <c r="BA3797" s="3" t="s">
        <v>36742</v>
      </c>
      <c r="BB3797" s="3" t="s">
        <v>36743</v>
      </c>
      <c r="BC3797" s="3" t="s">
        <v>102</v>
      </c>
      <c r="BD3797" s="3" t="s">
        <v>68</v>
      </c>
      <c r="BE3797" s="3" t="s">
        <v>36744</v>
      </c>
      <c r="BF3797" s="3" t="s">
        <v>36743</v>
      </c>
      <c r="BG3797" s="3" t="s">
        <v>36745</v>
      </c>
    </row>
    <row r="3798" spans="1:59" ht="58" x14ac:dyDescent="0.35">
      <c r="A3798" s="2" t="s">
        <v>59</v>
      </c>
      <c r="B3798" s="2" t="s">
        <v>60</v>
      </c>
      <c r="C3798" s="2" t="s">
        <v>36746</v>
      </c>
      <c r="D3798" s="2" t="s">
        <v>36747</v>
      </c>
      <c r="E3798" s="2" t="s">
        <v>36748</v>
      </c>
      <c r="G3798" s="3" t="s">
        <v>62</v>
      </c>
      <c r="I3798" s="3" t="s">
        <v>61</v>
      </c>
      <c r="J3798" s="3" t="s">
        <v>62</v>
      </c>
      <c r="K3798" s="3" t="s">
        <v>63</v>
      </c>
      <c r="L3798" s="2" t="s">
        <v>36749</v>
      </c>
      <c r="M3798" s="2" t="s">
        <v>36750</v>
      </c>
      <c r="N3798" s="3" t="s">
        <v>866</v>
      </c>
      <c r="P3798" s="3" t="s">
        <v>64</v>
      </c>
      <c r="R3798" s="3" t="s">
        <v>34126</v>
      </c>
      <c r="S3798" s="4">
        <v>0</v>
      </c>
      <c r="T3798" s="4">
        <v>2</v>
      </c>
      <c r="V3798" s="5" t="s">
        <v>28143</v>
      </c>
      <c r="W3798" s="5" t="s">
        <v>67</v>
      </c>
      <c r="X3798" s="5" t="s">
        <v>67</v>
      </c>
      <c r="Y3798" s="4">
        <v>392</v>
      </c>
      <c r="Z3798" s="4">
        <v>21</v>
      </c>
      <c r="AA3798" s="4">
        <v>26</v>
      </c>
      <c r="AB3798" s="4">
        <v>2</v>
      </c>
      <c r="AC3798" s="4">
        <v>6</v>
      </c>
      <c r="AD3798" s="4">
        <v>93</v>
      </c>
      <c r="AE3798" s="4">
        <v>96</v>
      </c>
      <c r="AF3798" s="4">
        <v>1</v>
      </c>
      <c r="AG3798" s="4">
        <v>3</v>
      </c>
      <c r="AH3798" s="4">
        <v>82</v>
      </c>
      <c r="AI3798" s="4">
        <v>82</v>
      </c>
      <c r="AJ3798" s="4">
        <v>16</v>
      </c>
      <c r="AK3798" s="4">
        <v>18</v>
      </c>
      <c r="AL3798" s="4">
        <v>45</v>
      </c>
      <c r="AM3798" s="4">
        <v>45</v>
      </c>
      <c r="AN3798" s="4">
        <v>0</v>
      </c>
      <c r="AO3798" s="4">
        <v>0</v>
      </c>
      <c r="AP3798" s="4">
        <v>18</v>
      </c>
      <c r="AQ3798" s="4">
        <v>20</v>
      </c>
      <c r="AR3798" s="3" t="s">
        <v>62</v>
      </c>
      <c r="AS3798" s="3" t="s">
        <v>62</v>
      </c>
      <c r="AT3798" s="3" t="s">
        <v>61</v>
      </c>
      <c r="AU3798" s="6" t="str">
        <f>HYPERLINK("http://catalog.hathitrust.org/Record/001491281","HathiTrust Record")</f>
        <v>HathiTrust Record</v>
      </c>
      <c r="AV3798" s="6" t="str">
        <f>HYPERLINK("http://mcgill.on.worldcat.org/oclc/354087","Catalog Record")</f>
        <v>Catalog Record</v>
      </c>
      <c r="AW3798" s="6" t="str">
        <f>HYPERLINK("http://www.worldcat.org/oclc/354087","WorldCat Record")</f>
        <v>WorldCat Record</v>
      </c>
      <c r="AX3798" s="3" t="s">
        <v>36751</v>
      </c>
      <c r="AY3798" s="3" t="s">
        <v>36752</v>
      </c>
      <c r="AZ3798" s="3" t="s">
        <v>36753</v>
      </c>
      <c r="BA3798" s="3" t="s">
        <v>36753</v>
      </c>
      <c r="BB3798" s="3" t="s">
        <v>36754</v>
      </c>
      <c r="BC3798" s="3" t="s">
        <v>102</v>
      </c>
      <c r="BD3798" s="3" t="s">
        <v>68</v>
      </c>
      <c r="BE3798" s="3" t="s">
        <v>36755</v>
      </c>
      <c r="BF3798" s="3" t="s">
        <v>36754</v>
      </c>
      <c r="BG3798" s="3" t="s">
        <v>36756</v>
      </c>
    </row>
    <row r="3799" spans="1:59" ht="58" x14ac:dyDescent="0.35">
      <c r="A3799" s="2" t="s">
        <v>89</v>
      </c>
      <c r="B3799" s="2" t="s">
        <v>90</v>
      </c>
      <c r="C3799" s="2" t="s">
        <v>36757</v>
      </c>
      <c r="D3799" s="2" t="s">
        <v>36758</v>
      </c>
      <c r="E3799" s="2" t="s">
        <v>36759</v>
      </c>
      <c r="G3799" s="3" t="s">
        <v>62</v>
      </c>
      <c r="I3799" s="3" t="s">
        <v>61</v>
      </c>
      <c r="J3799" s="3" t="s">
        <v>61</v>
      </c>
      <c r="K3799" s="3" t="s">
        <v>63</v>
      </c>
      <c r="L3799" s="2" t="s">
        <v>36760</v>
      </c>
      <c r="M3799" s="2" t="s">
        <v>36761</v>
      </c>
      <c r="N3799" s="3" t="s">
        <v>852</v>
      </c>
      <c r="P3799" s="3" t="s">
        <v>64</v>
      </c>
      <c r="Q3799" s="2" t="s">
        <v>9871</v>
      </c>
      <c r="R3799" s="3" t="s">
        <v>34126</v>
      </c>
      <c r="S3799" s="4">
        <v>33</v>
      </c>
      <c r="T3799" s="4">
        <v>61</v>
      </c>
      <c r="U3799" s="5" t="s">
        <v>5821</v>
      </c>
      <c r="V3799" s="5" t="s">
        <v>36762</v>
      </c>
      <c r="W3799" s="5" t="s">
        <v>67</v>
      </c>
      <c r="X3799" s="5" t="s">
        <v>67</v>
      </c>
      <c r="Y3799" s="4">
        <v>907</v>
      </c>
      <c r="Z3799" s="4">
        <v>45</v>
      </c>
      <c r="AA3799" s="4">
        <v>105</v>
      </c>
      <c r="AB3799" s="4">
        <v>3</v>
      </c>
      <c r="AC3799" s="4">
        <v>22</v>
      </c>
      <c r="AD3799" s="4">
        <v>119</v>
      </c>
      <c r="AE3799" s="4">
        <v>159</v>
      </c>
      <c r="AF3799" s="4">
        <v>0</v>
      </c>
      <c r="AG3799" s="4">
        <v>8</v>
      </c>
      <c r="AH3799" s="4">
        <v>104</v>
      </c>
      <c r="AI3799" s="4">
        <v>118</v>
      </c>
      <c r="AJ3799" s="4">
        <v>18</v>
      </c>
      <c r="AK3799" s="4">
        <v>27</v>
      </c>
      <c r="AL3799" s="4">
        <v>54</v>
      </c>
      <c r="AM3799" s="4">
        <v>61</v>
      </c>
      <c r="AN3799" s="4">
        <v>0</v>
      </c>
      <c r="AO3799" s="4">
        <v>0</v>
      </c>
      <c r="AP3799" s="4">
        <v>25</v>
      </c>
      <c r="AQ3799" s="4">
        <v>48</v>
      </c>
      <c r="AR3799" s="3" t="s">
        <v>62</v>
      </c>
      <c r="AS3799" s="3" t="s">
        <v>62</v>
      </c>
      <c r="AT3799" s="3" t="s">
        <v>61</v>
      </c>
      <c r="AU3799" s="6" t="str">
        <f>HYPERLINK("http://catalog.hathitrust.org/Record/001491282","HathiTrust Record")</f>
        <v>HathiTrust Record</v>
      </c>
      <c r="AV3799" s="6" t="str">
        <f>HYPERLINK("http://mcgill.on.worldcat.org/oclc/10329","Catalog Record")</f>
        <v>Catalog Record</v>
      </c>
      <c r="AW3799" s="6" t="str">
        <f>HYPERLINK("http://www.worldcat.org/oclc/10329","WorldCat Record")</f>
        <v>WorldCat Record</v>
      </c>
      <c r="AX3799" s="3" t="s">
        <v>36763</v>
      </c>
      <c r="AY3799" s="3" t="s">
        <v>36764</v>
      </c>
      <c r="AZ3799" s="3" t="s">
        <v>36765</v>
      </c>
      <c r="BA3799" s="3" t="s">
        <v>36765</v>
      </c>
      <c r="BB3799" s="3" t="s">
        <v>36766</v>
      </c>
      <c r="BC3799" s="3" t="s">
        <v>102</v>
      </c>
      <c r="BD3799" s="3" t="s">
        <v>68</v>
      </c>
      <c r="BE3799" s="3" t="s">
        <v>36767</v>
      </c>
      <c r="BF3799" s="3" t="s">
        <v>36766</v>
      </c>
      <c r="BG3799" s="3" t="s">
        <v>36768</v>
      </c>
    </row>
    <row r="3800" spans="1:59" ht="58" x14ac:dyDescent="0.35">
      <c r="A3800" s="2" t="s">
        <v>59</v>
      </c>
      <c r="B3800" s="2" t="s">
        <v>60</v>
      </c>
      <c r="C3800" s="2" t="s">
        <v>36769</v>
      </c>
      <c r="D3800" s="2" t="s">
        <v>36770</v>
      </c>
      <c r="E3800" s="2" t="s">
        <v>36771</v>
      </c>
      <c r="G3800" s="3" t="s">
        <v>62</v>
      </c>
      <c r="I3800" s="3" t="s">
        <v>61</v>
      </c>
      <c r="J3800" s="3" t="s">
        <v>62</v>
      </c>
      <c r="K3800" s="3" t="s">
        <v>63</v>
      </c>
      <c r="L3800" s="2" t="s">
        <v>36772</v>
      </c>
      <c r="M3800" s="2" t="s">
        <v>36773</v>
      </c>
      <c r="N3800" s="3" t="s">
        <v>81</v>
      </c>
      <c r="P3800" s="3" t="s">
        <v>64</v>
      </c>
      <c r="Q3800" s="2" t="s">
        <v>15330</v>
      </c>
      <c r="R3800" s="3" t="s">
        <v>34126</v>
      </c>
      <c r="S3800" s="4">
        <v>3</v>
      </c>
      <c r="T3800" s="4">
        <v>8</v>
      </c>
      <c r="U3800" s="5" t="s">
        <v>36774</v>
      </c>
      <c r="V3800" s="5" t="s">
        <v>80</v>
      </c>
      <c r="W3800" s="5" t="s">
        <v>67</v>
      </c>
      <c r="X3800" s="5" t="s">
        <v>67</v>
      </c>
      <c r="Y3800" s="4">
        <v>444</v>
      </c>
      <c r="Z3800" s="4">
        <v>25</v>
      </c>
      <c r="AA3800" s="4">
        <v>28</v>
      </c>
      <c r="AB3800" s="4">
        <v>2</v>
      </c>
      <c r="AC3800" s="4">
        <v>5</v>
      </c>
      <c r="AD3800" s="4">
        <v>101</v>
      </c>
      <c r="AE3800" s="4">
        <v>104</v>
      </c>
      <c r="AF3800" s="4">
        <v>1</v>
      </c>
      <c r="AG3800" s="4">
        <v>4</v>
      </c>
      <c r="AH3800" s="4">
        <v>86</v>
      </c>
      <c r="AI3800" s="4">
        <v>86</v>
      </c>
      <c r="AJ3800" s="4">
        <v>17</v>
      </c>
      <c r="AK3800" s="4">
        <v>20</v>
      </c>
      <c r="AL3800" s="4">
        <v>52</v>
      </c>
      <c r="AM3800" s="4">
        <v>52</v>
      </c>
      <c r="AN3800" s="4">
        <v>0</v>
      </c>
      <c r="AO3800" s="4">
        <v>0</v>
      </c>
      <c r="AP3800" s="4">
        <v>20</v>
      </c>
      <c r="AQ3800" s="4">
        <v>22</v>
      </c>
      <c r="AR3800" s="3" t="s">
        <v>62</v>
      </c>
      <c r="AS3800" s="3" t="s">
        <v>62</v>
      </c>
      <c r="AT3800" s="3" t="s">
        <v>61</v>
      </c>
      <c r="AU3800" s="6" t="str">
        <f>HYPERLINK("http://catalog.hathitrust.org/Record/001491264","HathiTrust Record")</f>
        <v>HathiTrust Record</v>
      </c>
      <c r="AV3800" s="6" t="str">
        <f>HYPERLINK("http://mcgill.on.worldcat.org/oclc/371591","Catalog Record")</f>
        <v>Catalog Record</v>
      </c>
      <c r="AW3800" s="6" t="str">
        <f>HYPERLINK("http://www.worldcat.org/oclc/371591","WorldCat Record")</f>
        <v>WorldCat Record</v>
      </c>
      <c r="AX3800" s="3" t="s">
        <v>36775</v>
      </c>
      <c r="AY3800" s="3" t="s">
        <v>36776</v>
      </c>
      <c r="AZ3800" s="3" t="s">
        <v>36777</v>
      </c>
      <c r="BA3800" s="3" t="s">
        <v>36777</v>
      </c>
      <c r="BB3800" s="3" t="s">
        <v>36778</v>
      </c>
      <c r="BC3800" s="3" t="s">
        <v>102</v>
      </c>
      <c r="BD3800" s="3" t="s">
        <v>68</v>
      </c>
      <c r="BE3800" s="3" t="s">
        <v>36779</v>
      </c>
      <c r="BF3800" s="3" t="s">
        <v>36778</v>
      </c>
      <c r="BG3800" s="3" t="s">
        <v>36780</v>
      </c>
    </row>
    <row r="3801" spans="1:59" ht="58" x14ac:dyDescent="0.35">
      <c r="A3801" s="2" t="s">
        <v>89</v>
      </c>
      <c r="B3801" s="2" t="s">
        <v>90</v>
      </c>
      <c r="C3801" s="2" t="s">
        <v>36769</v>
      </c>
      <c r="D3801" s="2" t="s">
        <v>36770</v>
      </c>
      <c r="E3801" s="2" t="s">
        <v>36771</v>
      </c>
      <c r="G3801" s="3" t="s">
        <v>62</v>
      </c>
      <c r="I3801" s="3" t="s">
        <v>61</v>
      </c>
      <c r="J3801" s="3" t="s">
        <v>62</v>
      </c>
      <c r="K3801" s="3" t="s">
        <v>63</v>
      </c>
      <c r="L3801" s="2" t="s">
        <v>36772</v>
      </c>
      <c r="M3801" s="2" t="s">
        <v>36773</v>
      </c>
      <c r="N3801" s="3" t="s">
        <v>81</v>
      </c>
      <c r="P3801" s="3" t="s">
        <v>64</v>
      </c>
      <c r="Q3801" s="2" t="s">
        <v>15330</v>
      </c>
      <c r="R3801" s="3" t="s">
        <v>34126</v>
      </c>
      <c r="S3801" s="4">
        <v>5</v>
      </c>
      <c r="T3801" s="4">
        <v>8</v>
      </c>
      <c r="U3801" s="5" t="s">
        <v>80</v>
      </c>
      <c r="V3801" s="5" t="s">
        <v>80</v>
      </c>
      <c r="W3801" s="5" t="s">
        <v>67</v>
      </c>
      <c r="X3801" s="5" t="s">
        <v>67</v>
      </c>
      <c r="Y3801" s="4">
        <v>444</v>
      </c>
      <c r="Z3801" s="4">
        <v>25</v>
      </c>
      <c r="AA3801" s="4">
        <v>28</v>
      </c>
      <c r="AB3801" s="4">
        <v>2</v>
      </c>
      <c r="AC3801" s="4">
        <v>5</v>
      </c>
      <c r="AD3801" s="4">
        <v>101</v>
      </c>
      <c r="AE3801" s="4">
        <v>104</v>
      </c>
      <c r="AF3801" s="4">
        <v>1</v>
      </c>
      <c r="AG3801" s="4">
        <v>4</v>
      </c>
      <c r="AH3801" s="4">
        <v>86</v>
      </c>
      <c r="AI3801" s="4">
        <v>86</v>
      </c>
      <c r="AJ3801" s="4">
        <v>17</v>
      </c>
      <c r="AK3801" s="4">
        <v>20</v>
      </c>
      <c r="AL3801" s="4">
        <v>52</v>
      </c>
      <c r="AM3801" s="4">
        <v>52</v>
      </c>
      <c r="AN3801" s="4">
        <v>0</v>
      </c>
      <c r="AO3801" s="4">
        <v>0</v>
      </c>
      <c r="AP3801" s="4">
        <v>20</v>
      </c>
      <c r="AQ3801" s="4">
        <v>22</v>
      </c>
      <c r="AR3801" s="3" t="s">
        <v>62</v>
      </c>
      <c r="AS3801" s="3" t="s">
        <v>62</v>
      </c>
      <c r="AT3801" s="3" t="s">
        <v>61</v>
      </c>
      <c r="AU3801" s="6" t="str">
        <f>HYPERLINK("http://catalog.hathitrust.org/Record/001491264","HathiTrust Record")</f>
        <v>HathiTrust Record</v>
      </c>
      <c r="AV3801" s="6" t="str">
        <f>HYPERLINK("http://mcgill.on.worldcat.org/oclc/371591","Catalog Record")</f>
        <v>Catalog Record</v>
      </c>
      <c r="AW3801" s="6" t="str">
        <f>HYPERLINK("http://www.worldcat.org/oclc/371591","WorldCat Record")</f>
        <v>WorldCat Record</v>
      </c>
      <c r="AX3801" s="3" t="s">
        <v>36775</v>
      </c>
      <c r="AY3801" s="3" t="s">
        <v>36776</v>
      </c>
      <c r="AZ3801" s="3" t="s">
        <v>36777</v>
      </c>
      <c r="BA3801" s="3" t="s">
        <v>36777</v>
      </c>
      <c r="BB3801" s="3" t="s">
        <v>36781</v>
      </c>
      <c r="BC3801" s="3" t="s">
        <v>102</v>
      </c>
      <c r="BD3801" s="3" t="s">
        <v>68</v>
      </c>
      <c r="BE3801" s="3" t="s">
        <v>36779</v>
      </c>
      <c r="BF3801" s="3" t="s">
        <v>36781</v>
      </c>
      <c r="BG3801" s="3" t="s">
        <v>36782</v>
      </c>
    </row>
    <row r="3802" spans="1:59" ht="58" x14ac:dyDescent="0.35">
      <c r="A3802" s="2" t="s">
        <v>59</v>
      </c>
      <c r="B3802" s="2" t="s">
        <v>60</v>
      </c>
      <c r="C3802" s="2" t="s">
        <v>36783</v>
      </c>
      <c r="D3802" s="2" t="s">
        <v>36784</v>
      </c>
      <c r="E3802" s="2" t="s">
        <v>36785</v>
      </c>
      <c r="G3802" s="3" t="s">
        <v>62</v>
      </c>
      <c r="I3802" s="3" t="s">
        <v>61</v>
      </c>
      <c r="J3802" s="3" t="s">
        <v>62</v>
      </c>
      <c r="K3802" s="3" t="s">
        <v>63</v>
      </c>
      <c r="L3802" s="2" t="s">
        <v>36786</v>
      </c>
      <c r="M3802" s="2" t="s">
        <v>36787</v>
      </c>
      <c r="N3802" s="3" t="s">
        <v>852</v>
      </c>
      <c r="P3802" s="3" t="s">
        <v>64</v>
      </c>
      <c r="Q3802" s="2" t="s">
        <v>36788</v>
      </c>
      <c r="R3802" s="3" t="s">
        <v>34126</v>
      </c>
      <c r="S3802" s="4">
        <v>2</v>
      </c>
      <c r="T3802" s="4">
        <v>2</v>
      </c>
      <c r="U3802" s="5" t="s">
        <v>7472</v>
      </c>
      <c r="V3802" s="5" t="s">
        <v>7472</v>
      </c>
      <c r="W3802" s="5" t="s">
        <v>67</v>
      </c>
      <c r="X3802" s="5" t="s">
        <v>67</v>
      </c>
      <c r="Y3802" s="4">
        <v>345</v>
      </c>
      <c r="Z3802" s="4">
        <v>22</v>
      </c>
      <c r="AA3802" s="4">
        <v>27</v>
      </c>
      <c r="AB3802" s="4">
        <v>3</v>
      </c>
      <c r="AC3802" s="4">
        <v>7</v>
      </c>
      <c r="AD3802" s="4">
        <v>107</v>
      </c>
      <c r="AE3802" s="4">
        <v>111</v>
      </c>
      <c r="AF3802" s="4">
        <v>1</v>
      </c>
      <c r="AG3802" s="4">
        <v>5</v>
      </c>
      <c r="AH3802" s="4">
        <v>89</v>
      </c>
      <c r="AI3802" s="4">
        <v>90</v>
      </c>
      <c r="AJ3802" s="4">
        <v>16</v>
      </c>
      <c r="AK3802" s="4">
        <v>20</v>
      </c>
      <c r="AL3802" s="4">
        <v>54</v>
      </c>
      <c r="AM3802" s="4">
        <v>54</v>
      </c>
      <c r="AN3802" s="4">
        <v>0</v>
      </c>
      <c r="AO3802" s="4">
        <v>0</v>
      </c>
      <c r="AP3802" s="4">
        <v>19</v>
      </c>
      <c r="AQ3802" s="4">
        <v>22</v>
      </c>
      <c r="AR3802" s="3" t="s">
        <v>62</v>
      </c>
      <c r="AS3802" s="3" t="s">
        <v>62</v>
      </c>
      <c r="AT3802" s="3" t="s">
        <v>61</v>
      </c>
      <c r="AU3802" s="6" t="str">
        <f>HYPERLINK("http://catalog.hathitrust.org/Record/001491308","HathiTrust Record")</f>
        <v>HathiTrust Record</v>
      </c>
      <c r="AV3802" s="6" t="str">
        <f>HYPERLINK("http://mcgill.on.worldcat.org/oclc/72747","Catalog Record")</f>
        <v>Catalog Record</v>
      </c>
      <c r="AW3802" s="6" t="str">
        <f>HYPERLINK("http://www.worldcat.org/oclc/72747","WorldCat Record")</f>
        <v>WorldCat Record</v>
      </c>
      <c r="AX3802" s="3" t="s">
        <v>36789</v>
      </c>
      <c r="AY3802" s="3" t="s">
        <v>36790</v>
      </c>
      <c r="AZ3802" s="3" t="s">
        <v>36791</v>
      </c>
      <c r="BA3802" s="3" t="s">
        <v>36791</v>
      </c>
      <c r="BB3802" s="3" t="s">
        <v>36792</v>
      </c>
      <c r="BC3802" s="3" t="s">
        <v>102</v>
      </c>
      <c r="BD3802" s="3" t="s">
        <v>68</v>
      </c>
      <c r="BF3802" s="3" t="s">
        <v>36792</v>
      </c>
      <c r="BG3802" s="3" t="s">
        <v>36793</v>
      </c>
    </row>
    <row r="3803" spans="1:59" ht="58" x14ac:dyDescent="0.35">
      <c r="A3803" s="2" t="s">
        <v>59</v>
      </c>
      <c r="B3803" s="2" t="s">
        <v>60</v>
      </c>
      <c r="C3803" s="2" t="s">
        <v>36794</v>
      </c>
      <c r="D3803" s="2" t="s">
        <v>36795</v>
      </c>
      <c r="E3803" s="2" t="s">
        <v>36785</v>
      </c>
      <c r="G3803" s="3" t="s">
        <v>62</v>
      </c>
      <c r="I3803" s="3" t="s">
        <v>61</v>
      </c>
      <c r="J3803" s="3" t="s">
        <v>62</v>
      </c>
      <c r="K3803" s="3" t="s">
        <v>63</v>
      </c>
      <c r="L3803" s="2" t="s">
        <v>36786</v>
      </c>
      <c r="M3803" s="2" t="s">
        <v>36787</v>
      </c>
      <c r="N3803" s="3" t="s">
        <v>852</v>
      </c>
      <c r="P3803" s="3" t="s">
        <v>64</v>
      </c>
      <c r="Q3803" s="2" t="s">
        <v>36788</v>
      </c>
      <c r="R3803" s="3" t="s">
        <v>34126</v>
      </c>
      <c r="S3803" s="4">
        <v>0</v>
      </c>
      <c r="T3803" s="4">
        <v>2</v>
      </c>
      <c r="V3803" s="5" t="s">
        <v>7472</v>
      </c>
      <c r="W3803" s="5" t="s">
        <v>67</v>
      </c>
      <c r="X3803" s="5" t="s">
        <v>67</v>
      </c>
      <c r="Y3803" s="4">
        <v>345</v>
      </c>
      <c r="Z3803" s="4">
        <v>22</v>
      </c>
      <c r="AA3803" s="4">
        <v>27</v>
      </c>
      <c r="AB3803" s="4">
        <v>3</v>
      </c>
      <c r="AC3803" s="4">
        <v>7</v>
      </c>
      <c r="AD3803" s="4">
        <v>107</v>
      </c>
      <c r="AE3803" s="4">
        <v>111</v>
      </c>
      <c r="AF3803" s="4">
        <v>1</v>
      </c>
      <c r="AG3803" s="4">
        <v>5</v>
      </c>
      <c r="AH3803" s="4">
        <v>89</v>
      </c>
      <c r="AI3803" s="4">
        <v>90</v>
      </c>
      <c r="AJ3803" s="4">
        <v>16</v>
      </c>
      <c r="AK3803" s="4">
        <v>20</v>
      </c>
      <c r="AL3803" s="4">
        <v>54</v>
      </c>
      <c r="AM3803" s="4">
        <v>54</v>
      </c>
      <c r="AN3803" s="4">
        <v>0</v>
      </c>
      <c r="AO3803" s="4">
        <v>0</v>
      </c>
      <c r="AP3803" s="4">
        <v>19</v>
      </c>
      <c r="AQ3803" s="4">
        <v>22</v>
      </c>
      <c r="AR3803" s="3" t="s">
        <v>62</v>
      </c>
      <c r="AS3803" s="3" t="s">
        <v>62</v>
      </c>
      <c r="AT3803" s="3" t="s">
        <v>61</v>
      </c>
      <c r="AU3803" s="6" t="str">
        <f>HYPERLINK("http://catalog.hathitrust.org/Record/001491308","HathiTrust Record")</f>
        <v>HathiTrust Record</v>
      </c>
      <c r="AV3803" s="6" t="str">
        <f>HYPERLINK("http://mcgill.on.worldcat.org/oclc/72747","Catalog Record")</f>
        <v>Catalog Record</v>
      </c>
      <c r="AW3803" s="6" t="str">
        <f>HYPERLINK("http://www.worldcat.org/oclc/72747","WorldCat Record")</f>
        <v>WorldCat Record</v>
      </c>
      <c r="AX3803" s="3" t="s">
        <v>36789</v>
      </c>
      <c r="AY3803" s="3" t="s">
        <v>36790</v>
      </c>
      <c r="AZ3803" s="3" t="s">
        <v>36791</v>
      </c>
      <c r="BA3803" s="3" t="s">
        <v>36791</v>
      </c>
      <c r="BB3803" s="3" t="s">
        <v>36796</v>
      </c>
      <c r="BC3803" s="3" t="s">
        <v>102</v>
      </c>
      <c r="BD3803" s="3" t="s">
        <v>68</v>
      </c>
      <c r="BF3803" s="3" t="s">
        <v>36796</v>
      </c>
      <c r="BG3803" s="3" t="s">
        <v>36797</v>
      </c>
    </row>
    <row r="3804" spans="1:59" ht="58" x14ac:dyDescent="0.35">
      <c r="A3804" s="2" t="s">
        <v>89</v>
      </c>
      <c r="B3804" s="2" t="s">
        <v>90</v>
      </c>
      <c r="C3804" s="2" t="s">
        <v>36798</v>
      </c>
      <c r="D3804" s="2" t="s">
        <v>36799</v>
      </c>
      <c r="E3804" s="2" t="s">
        <v>36800</v>
      </c>
      <c r="G3804" s="3" t="s">
        <v>62</v>
      </c>
      <c r="I3804" s="3" t="s">
        <v>61</v>
      </c>
      <c r="J3804" s="3" t="s">
        <v>62</v>
      </c>
      <c r="K3804" s="3" t="s">
        <v>63</v>
      </c>
      <c r="L3804" s="2" t="s">
        <v>20774</v>
      </c>
      <c r="M3804" s="2" t="s">
        <v>36801</v>
      </c>
      <c r="N3804" s="3" t="s">
        <v>1576</v>
      </c>
      <c r="P3804" s="3" t="s">
        <v>64</v>
      </c>
      <c r="Q3804" s="2" t="s">
        <v>36802</v>
      </c>
      <c r="R3804" s="3" t="s">
        <v>34126</v>
      </c>
      <c r="S3804" s="4">
        <v>0</v>
      </c>
      <c r="T3804" s="4">
        <v>52</v>
      </c>
      <c r="V3804" s="5" t="s">
        <v>16291</v>
      </c>
      <c r="W3804" s="5" t="s">
        <v>67</v>
      </c>
      <c r="X3804" s="5" t="s">
        <v>67</v>
      </c>
      <c r="Y3804" s="4">
        <v>722</v>
      </c>
      <c r="Z3804" s="4">
        <v>28</v>
      </c>
      <c r="AA3804" s="4">
        <v>36</v>
      </c>
      <c r="AB3804" s="4">
        <v>1</v>
      </c>
      <c r="AC3804" s="4">
        <v>6</v>
      </c>
      <c r="AD3804" s="4">
        <v>113</v>
      </c>
      <c r="AE3804" s="4">
        <v>121</v>
      </c>
      <c r="AF3804" s="4">
        <v>0</v>
      </c>
      <c r="AG3804" s="4">
        <v>5</v>
      </c>
      <c r="AH3804" s="4">
        <v>100</v>
      </c>
      <c r="AI3804" s="4">
        <v>103</v>
      </c>
      <c r="AJ3804" s="4">
        <v>17</v>
      </c>
      <c r="AK3804" s="4">
        <v>22</v>
      </c>
      <c r="AL3804" s="4">
        <v>54</v>
      </c>
      <c r="AM3804" s="4">
        <v>55</v>
      </c>
      <c r="AN3804" s="4">
        <v>0</v>
      </c>
      <c r="AO3804" s="4">
        <v>0</v>
      </c>
      <c r="AP3804" s="4">
        <v>20</v>
      </c>
      <c r="AQ3804" s="4">
        <v>25</v>
      </c>
      <c r="AR3804" s="3" t="s">
        <v>62</v>
      </c>
      <c r="AS3804" s="3" t="s">
        <v>62</v>
      </c>
      <c r="AT3804" s="3" t="s">
        <v>61</v>
      </c>
      <c r="AU3804" s="6" t="str">
        <f>HYPERLINK("http://catalog.hathitrust.org/Record/001491336","HathiTrust Record")</f>
        <v>HathiTrust Record</v>
      </c>
      <c r="AV3804" s="6" t="str">
        <f>HYPERLINK("http://mcgill.on.worldcat.org/oclc/311505","Catalog Record")</f>
        <v>Catalog Record</v>
      </c>
      <c r="AW3804" s="6" t="str">
        <f>HYPERLINK("http://www.worldcat.org/oclc/311505","WorldCat Record")</f>
        <v>WorldCat Record</v>
      </c>
      <c r="AX3804" s="3" t="s">
        <v>36803</v>
      </c>
      <c r="AY3804" s="3" t="s">
        <v>36804</v>
      </c>
      <c r="AZ3804" s="3" t="s">
        <v>36805</v>
      </c>
      <c r="BA3804" s="3" t="s">
        <v>36805</v>
      </c>
      <c r="BB3804" s="3" t="s">
        <v>36806</v>
      </c>
      <c r="BC3804" s="3" t="s">
        <v>102</v>
      </c>
      <c r="BD3804" s="3" t="s">
        <v>68</v>
      </c>
      <c r="BE3804" s="3" t="s">
        <v>36807</v>
      </c>
      <c r="BF3804" s="3" t="s">
        <v>36806</v>
      </c>
      <c r="BG3804" s="3" t="s">
        <v>36808</v>
      </c>
    </row>
    <row r="3805" spans="1:59" ht="58" x14ac:dyDescent="0.35">
      <c r="A3805" s="2" t="s">
        <v>89</v>
      </c>
      <c r="B3805" s="2" t="s">
        <v>90</v>
      </c>
      <c r="C3805" s="2" t="s">
        <v>36798</v>
      </c>
      <c r="D3805" s="2" t="s">
        <v>36799</v>
      </c>
      <c r="E3805" s="2" t="s">
        <v>36800</v>
      </c>
      <c r="G3805" s="3" t="s">
        <v>62</v>
      </c>
      <c r="I3805" s="3" t="s">
        <v>61</v>
      </c>
      <c r="J3805" s="3" t="s">
        <v>62</v>
      </c>
      <c r="K3805" s="3" t="s">
        <v>63</v>
      </c>
      <c r="L3805" s="2" t="s">
        <v>20774</v>
      </c>
      <c r="M3805" s="2" t="s">
        <v>36801</v>
      </c>
      <c r="N3805" s="3" t="s">
        <v>1576</v>
      </c>
      <c r="P3805" s="3" t="s">
        <v>64</v>
      </c>
      <c r="Q3805" s="2" t="s">
        <v>36802</v>
      </c>
      <c r="R3805" s="3" t="s">
        <v>34126</v>
      </c>
      <c r="S3805" s="4">
        <v>4</v>
      </c>
      <c r="T3805" s="4">
        <v>52</v>
      </c>
      <c r="U3805" s="5" t="s">
        <v>36809</v>
      </c>
      <c r="V3805" s="5" t="s">
        <v>16291</v>
      </c>
      <c r="W3805" s="5" t="s">
        <v>67</v>
      </c>
      <c r="X3805" s="5" t="s">
        <v>67</v>
      </c>
      <c r="Y3805" s="4">
        <v>722</v>
      </c>
      <c r="Z3805" s="4">
        <v>28</v>
      </c>
      <c r="AA3805" s="4">
        <v>36</v>
      </c>
      <c r="AB3805" s="4">
        <v>1</v>
      </c>
      <c r="AC3805" s="4">
        <v>6</v>
      </c>
      <c r="AD3805" s="4">
        <v>113</v>
      </c>
      <c r="AE3805" s="4">
        <v>121</v>
      </c>
      <c r="AF3805" s="4">
        <v>0</v>
      </c>
      <c r="AG3805" s="4">
        <v>5</v>
      </c>
      <c r="AH3805" s="4">
        <v>100</v>
      </c>
      <c r="AI3805" s="4">
        <v>103</v>
      </c>
      <c r="AJ3805" s="4">
        <v>17</v>
      </c>
      <c r="AK3805" s="4">
        <v>22</v>
      </c>
      <c r="AL3805" s="4">
        <v>54</v>
      </c>
      <c r="AM3805" s="4">
        <v>55</v>
      </c>
      <c r="AN3805" s="4">
        <v>0</v>
      </c>
      <c r="AO3805" s="4">
        <v>0</v>
      </c>
      <c r="AP3805" s="4">
        <v>20</v>
      </c>
      <c r="AQ3805" s="4">
        <v>25</v>
      </c>
      <c r="AR3805" s="3" t="s">
        <v>62</v>
      </c>
      <c r="AS3805" s="3" t="s">
        <v>62</v>
      </c>
      <c r="AT3805" s="3" t="s">
        <v>61</v>
      </c>
      <c r="AU3805" s="6" t="str">
        <f>HYPERLINK("http://catalog.hathitrust.org/Record/001491336","HathiTrust Record")</f>
        <v>HathiTrust Record</v>
      </c>
      <c r="AV3805" s="6" t="str">
        <f>HYPERLINK("http://mcgill.on.worldcat.org/oclc/311505","Catalog Record")</f>
        <v>Catalog Record</v>
      </c>
      <c r="AW3805" s="6" t="str">
        <f>HYPERLINK("http://www.worldcat.org/oclc/311505","WorldCat Record")</f>
        <v>WorldCat Record</v>
      </c>
      <c r="AX3805" s="3" t="s">
        <v>36803</v>
      </c>
      <c r="AY3805" s="3" t="s">
        <v>36804</v>
      </c>
      <c r="AZ3805" s="3" t="s">
        <v>36805</v>
      </c>
      <c r="BA3805" s="3" t="s">
        <v>36805</v>
      </c>
      <c r="BB3805" s="3" t="s">
        <v>36810</v>
      </c>
      <c r="BC3805" s="3" t="s">
        <v>102</v>
      </c>
      <c r="BD3805" s="3" t="s">
        <v>68</v>
      </c>
      <c r="BE3805" s="3" t="s">
        <v>36807</v>
      </c>
      <c r="BF3805" s="3" t="s">
        <v>36810</v>
      </c>
      <c r="BG3805" s="3" t="s">
        <v>36811</v>
      </c>
    </row>
    <row r="3806" spans="1:59" ht="101.5" x14ac:dyDescent="0.35">
      <c r="A3806" s="2" t="s">
        <v>89</v>
      </c>
      <c r="B3806" s="2" t="s">
        <v>36812</v>
      </c>
      <c r="C3806" s="2" t="s">
        <v>36813</v>
      </c>
      <c r="D3806" s="2" t="s">
        <v>36814</v>
      </c>
      <c r="E3806" s="2" t="s">
        <v>36815</v>
      </c>
      <c r="G3806" s="3" t="s">
        <v>62</v>
      </c>
      <c r="I3806" s="3" t="s">
        <v>62</v>
      </c>
      <c r="J3806" s="3" t="s">
        <v>61</v>
      </c>
      <c r="K3806" s="3" t="s">
        <v>63</v>
      </c>
      <c r="L3806" s="2" t="s">
        <v>36816</v>
      </c>
      <c r="M3806" s="2" t="s">
        <v>36817</v>
      </c>
      <c r="N3806" s="3" t="s">
        <v>655</v>
      </c>
      <c r="O3806" s="2" t="s">
        <v>8443</v>
      </c>
      <c r="P3806" s="3" t="s">
        <v>64</v>
      </c>
      <c r="Q3806" s="2" t="s">
        <v>36818</v>
      </c>
      <c r="R3806" s="3" t="s">
        <v>34126</v>
      </c>
      <c r="S3806" s="4">
        <v>13</v>
      </c>
      <c r="T3806" s="4">
        <v>13</v>
      </c>
      <c r="U3806" s="5" t="s">
        <v>29042</v>
      </c>
      <c r="V3806" s="5" t="s">
        <v>29042</v>
      </c>
      <c r="W3806" s="5" t="s">
        <v>67</v>
      </c>
      <c r="X3806" s="5" t="s">
        <v>67</v>
      </c>
      <c r="Y3806" s="4">
        <v>349</v>
      </c>
      <c r="Z3806" s="4">
        <v>19</v>
      </c>
      <c r="AA3806" s="4">
        <v>34</v>
      </c>
      <c r="AB3806" s="4">
        <v>2</v>
      </c>
      <c r="AC3806" s="4">
        <v>8</v>
      </c>
      <c r="AD3806" s="4">
        <v>48</v>
      </c>
      <c r="AE3806" s="4">
        <v>84</v>
      </c>
      <c r="AF3806" s="4">
        <v>1</v>
      </c>
      <c r="AG3806" s="4">
        <v>4</v>
      </c>
      <c r="AH3806" s="4">
        <v>40</v>
      </c>
      <c r="AI3806" s="4">
        <v>69</v>
      </c>
      <c r="AJ3806" s="4">
        <v>7</v>
      </c>
      <c r="AK3806" s="4">
        <v>14</v>
      </c>
      <c r="AL3806" s="4">
        <v>27</v>
      </c>
      <c r="AM3806" s="4">
        <v>41</v>
      </c>
      <c r="AN3806" s="4">
        <v>0</v>
      </c>
      <c r="AO3806" s="4">
        <v>1</v>
      </c>
      <c r="AP3806" s="4">
        <v>11</v>
      </c>
      <c r="AQ3806" s="4">
        <v>18</v>
      </c>
      <c r="AR3806" s="3" t="s">
        <v>62</v>
      </c>
      <c r="AS3806" s="3" t="s">
        <v>62</v>
      </c>
      <c r="AT3806" s="3" t="s">
        <v>62</v>
      </c>
      <c r="AV3806" s="6" t="str">
        <f>HYPERLINK("http://mcgill.on.worldcat.org/oclc/79917671","Catalog Record")</f>
        <v>Catalog Record</v>
      </c>
      <c r="AW3806" s="6" t="str">
        <f>HYPERLINK("http://www.worldcat.org/oclc/79917671","WorldCat Record")</f>
        <v>WorldCat Record</v>
      </c>
      <c r="AX3806" s="3" t="s">
        <v>36819</v>
      </c>
      <c r="AY3806" s="3" t="s">
        <v>36820</v>
      </c>
      <c r="AZ3806" s="3" t="s">
        <v>36821</v>
      </c>
      <c r="BA3806" s="3" t="s">
        <v>36821</v>
      </c>
      <c r="BB3806" s="3" t="s">
        <v>36822</v>
      </c>
      <c r="BC3806" s="3" t="s">
        <v>102</v>
      </c>
      <c r="BD3806" s="3" t="s">
        <v>68</v>
      </c>
      <c r="BE3806" s="3" t="s">
        <v>36823</v>
      </c>
      <c r="BF3806" s="3" t="s">
        <v>36822</v>
      </c>
      <c r="BG3806" s="3" t="s">
        <v>36824</v>
      </c>
    </row>
    <row r="3807" spans="1:59" ht="72.5" x14ac:dyDescent="0.35">
      <c r="A3807" s="2" t="s">
        <v>89</v>
      </c>
      <c r="B3807" s="2" t="s">
        <v>1231</v>
      </c>
      <c r="C3807" s="2" t="s">
        <v>36825</v>
      </c>
      <c r="D3807" s="2" t="s">
        <v>36826</v>
      </c>
      <c r="E3807" s="2" t="s">
        <v>36827</v>
      </c>
      <c r="F3807" s="3" t="s">
        <v>33986</v>
      </c>
      <c r="G3807" s="3" t="s">
        <v>61</v>
      </c>
      <c r="I3807" s="3" t="s">
        <v>62</v>
      </c>
      <c r="J3807" s="3" t="s">
        <v>62</v>
      </c>
      <c r="K3807" s="3" t="s">
        <v>63</v>
      </c>
      <c r="L3807" s="2" t="s">
        <v>36828</v>
      </c>
      <c r="M3807" s="2" t="s">
        <v>36829</v>
      </c>
      <c r="N3807" s="3" t="s">
        <v>2588</v>
      </c>
      <c r="P3807" s="3" t="s">
        <v>1078</v>
      </c>
      <c r="Q3807" s="2" t="s">
        <v>36830</v>
      </c>
      <c r="R3807" s="3" t="s">
        <v>34126</v>
      </c>
      <c r="S3807" s="4">
        <v>7</v>
      </c>
      <c r="T3807" s="4">
        <v>20</v>
      </c>
      <c r="U3807" s="5" t="s">
        <v>36831</v>
      </c>
      <c r="V3807" s="5" t="s">
        <v>36832</v>
      </c>
      <c r="W3807" s="5" t="s">
        <v>67</v>
      </c>
      <c r="X3807" s="5" t="s">
        <v>67</v>
      </c>
      <c r="Y3807" s="4">
        <v>45</v>
      </c>
      <c r="Z3807" s="4">
        <v>5</v>
      </c>
      <c r="AA3807" s="4">
        <v>5</v>
      </c>
      <c r="AB3807" s="4">
        <v>1</v>
      </c>
      <c r="AC3807" s="4">
        <v>1</v>
      </c>
      <c r="AD3807" s="4">
        <v>23</v>
      </c>
      <c r="AE3807" s="4">
        <v>23</v>
      </c>
      <c r="AF3807" s="4">
        <v>0</v>
      </c>
      <c r="AG3807" s="4">
        <v>0</v>
      </c>
      <c r="AH3807" s="4">
        <v>20</v>
      </c>
      <c r="AI3807" s="4">
        <v>20</v>
      </c>
      <c r="AJ3807" s="4">
        <v>3</v>
      </c>
      <c r="AK3807" s="4">
        <v>3</v>
      </c>
      <c r="AL3807" s="4">
        <v>17</v>
      </c>
      <c r="AM3807" s="4">
        <v>17</v>
      </c>
      <c r="AN3807" s="4">
        <v>0</v>
      </c>
      <c r="AO3807" s="4">
        <v>0</v>
      </c>
      <c r="AP3807" s="4">
        <v>3</v>
      </c>
      <c r="AQ3807" s="4">
        <v>3</v>
      </c>
      <c r="AR3807" s="3" t="s">
        <v>62</v>
      </c>
      <c r="AS3807" s="3" t="s">
        <v>62</v>
      </c>
      <c r="AT3807" s="3" t="s">
        <v>61</v>
      </c>
      <c r="AU3807" s="6" t="str">
        <f>HYPERLINK("http://catalog.hathitrust.org/Record/000021874","HathiTrust Record")</f>
        <v>HathiTrust Record</v>
      </c>
      <c r="AV3807" s="6" t="str">
        <f>HYPERLINK("http://mcgill.on.worldcat.org/oclc/4461826","Catalog Record")</f>
        <v>Catalog Record</v>
      </c>
      <c r="AW3807" s="6" t="str">
        <f>HYPERLINK("http://www.worldcat.org/oclc/4461826","WorldCat Record")</f>
        <v>WorldCat Record</v>
      </c>
      <c r="AX3807" s="3" t="s">
        <v>36833</v>
      </c>
      <c r="AY3807" s="3" t="s">
        <v>36834</v>
      </c>
      <c r="AZ3807" s="3" t="s">
        <v>36835</v>
      </c>
      <c r="BA3807" s="3" t="s">
        <v>36835</v>
      </c>
      <c r="BB3807" s="3" t="s">
        <v>36836</v>
      </c>
      <c r="BC3807" s="3" t="s">
        <v>102</v>
      </c>
      <c r="BD3807" s="3" t="s">
        <v>68</v>
      </c>
      <c r="BF3807" s="3" t="s">
        <v>36836</v>
      </c>
      <c r="BG3807" s="3" t="s">
        <v>36837</v>
      </c>
    </row>
    <row r="3808" spans="1:59" ht="72.5" x14ac:dyDescent="0.35">
      <c r="A3808" s="2" t="s">
        <v>89</v>
      </c>
      <c r="B3808" s="2" t="s">
        <v>1231</v>
      </c>
      <c r="C3808" s="2" t="s">
        <v>36825</v>
      </c>
      <c r="D3808" s="2" t="s">
        <v>36826</v>
      </c>
      <c r="E3808" s="2" t="s">
        <v>36827</v>
      </c>
      <c r="F3808" s="3" t="s">
        <v>33977</v>
      </c>
      <c r="G3808" s="3" t="s">
        <v>61</v>
      </c>
      <c r="I3808" s="3" t="s">
        <v>62</v>
      </c>
      <c r="J3808" s="3" t="s">
        <v>62</v>
      </c>
      <c r="K3808" s="3" t="s">
        <v>63</v>
      </c>
      <c r="L3808" s="2" t="s">
        <v>36828</v>
      </c>
      <c r="M3808" s="2" t="s">
        <v>36829</v>
      </c>
      <c r="N3808" s="3" t="s">
        <v>2588</v>
      </c>
      <c r="P3808" s="3" t="s">
        <v>1078</v>
      </c>
      <c r="Q3808" s="2" t="s">
        <v>36830</v>
      </c>
      <c r="R3808" s="3" t="s">
        <v>34126</v>
      </c>
      <c r="S3808" s="4">
        <v>8</v>
      </c>
      <c r="T3808" s="4">
        <v>20</v>
      </c>
      <c r="U3808" s="5" t="s">
        <v>36832</v>
      </c>
      <c r="V3808" s="5" t="s">
        <v>36832</v>
      </c>
      <c r="W3808" s="5" t="s">
        <v>67</v>
      </c>
      <c r="X3808" s="5" t="s">
        <v>67</v>
      </c>
      <c r="Y3808" s="4">
        <v>45</v>
      </c>
      <c r="Z3808" s="4">
        <v>5</v>
      </c>
      <c r="AA3808" s="4">
        <v>5</v>
      </c>
      <c r="AB3808" s="4">
        <v>1</v>
      </c>
      <c r="AC3808" s="4">
        <v>1</v>
      </c>
      <c r="AD3808" s="4">
        <v>23</v>
      </c>
      <c r="AE3808" s="4">
        <v>23</v>
      </c>
      <c r="AF3808" s="4">
        <v>0</v>
      </c>
      <c r="AG3808" s="4">
        <v>0</v>
      </c>
      <c r="AH3808" s="4">
        <v>20</v>
      </c>
      <c r="AI3808" s="4">
        <v>20</v>
      </c>
      <c r="AJ3808" s="4">
        <v>3</v>
      </c>
      <c r="AK3808" s="4">
        <v>3</v>
      </c>
      <c r="AL3808" s="4">
        <v>17</v>
      </c>
      <c r="AM3808" s="4">
        <v>17</v>
      </c>
      <c r="AN3808" s="4">
        <v>0</v>
      </c>
      <c r="AO3808" s="4">
        <v>0</v>
      </c>
      <c r="AP3808" s="4">
        <v>3</v>
      </c>
      <c r="AQ3808" s="4">
        <v>3</v>
      </c>
      <c r="AR3808" s="3" t="s">
        <v>62</v>
      </c>
      <c r="AS3808" s="3" t="s">
        <v>62</v>
      </c>
      <c r="AT3808" s="3" t="s">
        <v>61</v>
      </c>
      <c r="AU3808" s="6" t="str">
        <f>HYPERLINK("http://catalog.hathitrust.org/Record/000021874","HathiTrust Record")</f>
        <v>HathiTrust Record</v>
      </c>
      <c r="AV3808" s="6" t="str">
        <f>HYPERLINK("http://mcgill.on.worldcat.org/oclc/4461826","Catalog Record")</f>
        <v>Catalog Record</v>
      </c>
      <c r="AW3808" s="6" t="str">
        <f>HYPERLINK("http://www.worldcat.org/oclc/4461826","WorldCat Record")</f>
        <v>WorldCat Record</v>
      </c>
      <c r="AX3808" s="3" t="s">
        <v>36833</v>
      </c>
      <c r="AY3808" s="3" t="s">
        <v>36834</v>
      </c>
      <c r="AZ3808" s="3" t="s">
        <v>36835</v>
      </c>
      <c r="BA3808" s="3" t="s">
        <v>36835</v>
      </c>
      <c r="BB3808" s="3" t="s">
        <v>36838</v>
      </c>
      <c r="BC3808" s="3" t="s">
        <v>102</v>
      </c>
      <c r="BD3808" s="3" t="s">
        <v>68</v>
      </c>
      <c r="BF3808" s="3" t="s">
        <v>36838</v>
      </c>
      <c r="BG3808" s="3" t="s">
        <v>36839</v>
      </c>
    </row>
    <row r="3809" spans="1:59" ht="58" x14ac:dyDescent="0.35">
      <c r="A3809" s="2" t="s">
        <v>59</v>
      </c>
      <c r="B3809" s="2" t="s">
        <v>60</v>
      </c>
      <c r="C3809" s="2" t="s">
        <v>36840</v>
      </c>
      <c r="D3809" s="2" t="s">
        <v>36841</v>
      </c>
      <c r="E3809" s="2" t="s">
        <v>36842</v>
      </c>
      <c r="G3809" s="3" t="s">
        <v>62</v>
      </c>
      <c r="I3809" s="3" t="s">
        <v>61</v>
      </c>
      <c r="J3809" s="3" t="s">
        <v>62</v>
      </c>
      <c r="K3809" s="3" t="s">
        <v>63</v>
      </c>
      <c r="L3809" s="2" t="s">
        <v>36843</v>
      </c>
      <c r="M3809" s="2" t="s">
        <v>36844</v>
      </c>
      <c r="N3809" s="3" t="s">
        <v>81</v>
      </c>
      <c r="P3809" s="3" t="s">
        <v>64</v>
      </c>
      <c r="R3809" s="3" t="s">
        <v>34126</v>
      </c>
      <c r="S3809" s="4">
        <v>2</v>
      </c>
      <c r="T3809" s="4">
        <v>7</v>
      </c>
      <c r="U3809" s="5" t="s">
        <v>36845</v>
      </c>
      <c r="V3809" s="5" t="s">
        <v>27664</v>
      </c>
      <c r="W3809" s="5" t="s">
        <v>67</v>
      </c>
      <c r="X3809" s="5" t="s">
        <v>67</v>
      </c>
      <c r="Y3809" s="4">
        <v>75</v>
      </c>
      <c r="Z3809" s="4">
        <v>7</v>
      </c>
      <c r="AA3809" s="4">
        <v>9</v>
      </c>
      <c r="AB3809" s="4">
        <v>1</v>
      </c>
      <c r="AC3809" s="4">
        <v>2</v>
      </c>
      <c r="AD3809" s="4">
        <v>22</v>
      </c>
      <c r="AE3809" s="4">
        <v>36</v>
      </c>
      <c r="AF3809" s="4">
        <v>0</v>
      </c>
      <c r="AG3809" s="4">
        <v>0</v>
      </c>
      <c r="AH3809" s="4">
        <v>19</v>
      </c>
      <c r="AI3809" s="4">
        <v>31</v>
      </c>
      <c r="AJ3809" s="4">
        <v>4</v>
      </c>
      <c r="AK3809" s="4">
        <v>4</v>
      </c>
      <c r="AL3809" s="4">
        <v>12</v>
      </c>
      <c r="AM3809" s="4">
        <v>24</v>
      </c>
      <c r="AN3809" s="4">
        <v>0</v>
      </c>
      <c r="AO3809" s="4">
        <v>0</v>
      </c>
      <c r="AP3809" s="4">
        <v>6</v>
      </c>
      <c r="AQ3809" s="4">
        <v>7</v>
      </c>
      <c r="AR3809" s="3" t="s">
        <v>62</v>
      </c>
      <c r="AS3809" s="3" t="s">
        <v>62</v>
      </c>
      <c r="AT3809" s="3" t="s">
        <v>62</v>
      </c>
      <c r="AV3809" s="6" t="str">
        <f>HYPERLINK("http://mcgill.on.worldcat.org/oclc/455656","Catalog Record")</f>
        <v>Catalog Record</v>
      </c>
      <c r="AW3809" s="6" t="str">
        <f>HYPERLINK("http://www.worldcat.org/oclc/455656","WorldCat Record")</f>
        <v>WorldCat Record</v>
      </c>
      <c r="AX3809" s="3" t="s">
        <v>36846</v>
      </c>
      <c r="AY3809" s="3" t="s">
        <v>36847</v>
      </c>
      <c r="AZ3809" s="3" t="s">
        <v>36848</v>
      </c>
      <c r="BA3809" s="3" t="s">
        <v>36848</v>
      </c>
      <c r="BB3809" s="3" t="s">
        <v>36849</v>
      </c>
      <c r="BC3809" s="3" t="s">
        <v>102</v>
      </c>
      <c r="BD3809" s="3" t="s">
        <v>68</v>
      </c>
      <c r="BF3809" s="3" t="s">
        <v>36849</v>
      </c>
      <c r="BG3809" s="3" t="s">
        <v>36850</v>
      </c>
    </row>
    <row r="3810" spans="1:59" ht="58" x14ac:dyDescent="0.35">
      <c r="A3810" s="2" t="s">
        <v>59</v>
      </c>
      <c r="B3810" s="2" t="s">
        <v>60</v>
      </c>
      <c r="C3810" s="2" t="s">
        <v>36851</v>
      </c>
      <c r="D3810" s="2" t="s">
        <v>36852</v>
      </c>
      <c r="E3810" s="2" t="s">
        <v>36853</v>
      </c>
      <c r="G3810" s="3" t="s">
        <v>62</v>
      </c>
      <c r="I3810" s="3" t="s">
        <v>62</v>
      </c>
      <c r="J3810" s="3" t="s">
        <v>62</v>
      </c>
      <c r="K3810" s="3" t="s">
        <v>63</v>
      </c>
      <c r="L3810" s="2" t="s">
        <v>36854</v>
      </c>
      <c r="M3810" s="2" t="s">
        <v>36855</v>
      </c>
      <c r="N3810" s="3" t="s">
        <v>596</v>
      </c>
      <c r="P3810" s="3" t="s">
        <v>64</v>
      </c>
      <c r="R3810" s="3" t="s">
        <v>34126</v>
      </c>
      <c r="S3810" s="4">
        <v>1</v>
      </c>
      <c r="T3810" s="4">
        <v>1</v>
      </c>
      <c r="U3810" s="5" t="s">
        <v>30775</v>
      </c>
      <c r="V3810" s="5" t="s">
        <v>30775</v>
      </c>
      <c r="W3810" s="5" t="s">
        <v>67</v>
      </c>
      <c r="X3810" s="5" t="s">
        <v>67</v>
      </c>
      <c r="Y3810" s="4">
        <v>547</v>
      </c>
      <c r="Z3810" s="4">
        <v>21</v>
      </c>
      <c r="AA3810" s="4">
        <v>29</v>
      </c>
      <c r="AB3810" s="4">
        <v>3</v>
      </c>
      <c r="AC3810" s="4">
        <v>7</v>
      </c>
      <c r="AD3810" s="4">
        <v>90</v>
      </c>
      <c r="AE3810" s="4">
        <v>93</v>
      </c>
      <c r="AF3810" s="4">
        <v>0</v>
      </c>
      <c r="AG3810" s="4">
        <v>1</v>
      </c>
      <c r="AH3810" s="4">
        <v>83</v>
      </c>
      <c r="AI3810" s="4">
        <v>84</v>
      </c>
      <c r="AJ3810" s="4">
        <v>11</v>
      </c>
      <c r="AK3810" s="4">
        <v>14</v>
      </c>
      <c r="AL3810" s="4">
        <v>46</v>
      </c>
      <c r="AM3810" s="4">
        <v>47</v>
      </c>
      <c r="AN3810" s="4">
        <v>0</v>
      </c>
      <c r="AO3810" s="4">
        <v>0</v>
      </c>
      <c r="AP3810" s="4">
        <v>14</v>
      </c>
      <c r="AQ3810" s="4">
        <v>16</v>
      </c>
      <c r="AR3810" s="3" t="s">
        <v>62</v>
      </c>
      <c r="AS3810" s="3" t="s">
        <v>62</v>
      </c>
      <c r="AT3810" s="3" t="s">
        <v>62</v>
      </c>
      <c r="AV3810" s="6" t="str">
        <f>HYPERLINK("http://mcgill.on.worldcat.org/oclc/50124724","Catalog Record")</f>
        <v>Catalog Record</v>
      </c>
      <c r="AW3810" s="6" t="str">
        <f>HYPERLINK("http://www.worldcat.org/oclc/50124724","WorldCat Record")</f>
        <v>WorldCat Record</v>
      </c>
      <c r="AX3810" s="3" t="s">
        <v>36856</v>
      </c>
      <c r="AY3810" s="3" t="s">
        <v>36857</v>
      </c>
      <c r="AZ3810" s="3" t="s">
        <v>36858</v>
      </c>
      <c r="BA3810" s="3" t="s">
        <v>36858</v>
      </c>
      <c r="BB3810" s="3" t="s">
        <v>36859</v>
      </c>
      <c r="BC3810" s="3" t="s">
        <v>102</v>
      </c>
      <c r="BD3810" s="3" t="s">
        <v>68</v>
      </c>
      <c r="BE3810" s="3" t="s">
        <v>36860</v>
      </c>
      <c r="BF3810" s="3" t="s">
        <v>36859</v>
      </c>
      <c r="BG3810" s="3" t="s">
        <v>36861</v>
      </c>
    </row>
    <row r="3811" spans="1:59" ht="72.5" x14ac:dyDescent="0.35">
      <c r="A3811" s="2" t="s">
        <v>59</v>
      </c>
      <c r="B3811" s="2" t="s">
        <v>60</v>
      </c>
      <c r="C3811" s="2" t="s">
        <v>36862</v>
      </c>
      <c r="D3811" s="2" t="s">
        <v>36863</v>
      </c>
      <c r="E3811" s="2" t="s">
        <v>36864</v>
      </c>
      <c r="G3811" s="3" t="s">
        <v>62</v>
      </c>
      <c r="I3811" s="3" t="s">
        <v>62</v>
      </c>
      <c r="J3811" s="3" t="s">
        <v>62</v>
      </c>
      <c r="K3811" s="3" t="s">
        <v>63</v>
      </c>
      <c r="L3811" s="2" t="s">
        <v>36865</v>
      </c>
      <c r="M3811" s="2" t="s">
        <v>36866</v>
      </c>
      <c r="N3811" s="3" t="s">
        <v>1064</v>
      </c>
      <c r="P3811" s="3" t="s">
        <v>64</v>
      </c>
      <c r="Q3811" s="2" t="s">
        <v>36867</v>
      </c>
      <c r="R3811" s="3" t="s">
        <v>34126</v>
      </c>
      <c r="S3811" s="4">
        <v>2</v>
      </c>
      <c r="T3811" s="4">
        <v>2</v>
      </c>
      <c r="U3811" s="5" t="s">
        <v>36868</v>
      </c>
      <c r="V3811" s="5" t="s">
        <v>36868</v>
      </c>
      <c r="W3811" s="5" t="s">
        <v>67</v>
      </c>
      <c r="X3811" s="5" t="s">
        <v>67</v>
      </c>
      <c r="Y3811" s="4">
        <v>194</v>
      </c>
      <c r="Z3811" s="4">
        <v>8</v>
      </c>
      <c r="AA3811" s="4">
        <v>8</v>
      </c>
      <c r="AB3811" s="4">
        <v>1</v>
      </c>
      <c r="AC3811" s="4">
        <v>1</v>
      </c>
      <c r="AD3811" s="4">
        <v>57</v>
      </c>
      <c r="AE3811" s="4">
        <v>57</v>
      </c>
      <c r="AF3811" s="4">
        <v>0</v>
      </c>
      <c r="AG3811" s="4">
        <v>0</v>
      </c>
      <c r="AH3811" s="4">
        <v>51</v>
      </c>
      <c r="AI3811" s="4">
        <v>51</v>
      </c>
      <c r="AJ3811" s="4">
        <v>6</v>
      </c>
      <c r="AK3811" s="4">
        <v>6</v>
      </c>
      <c r="AL3811" s="4">
        <v>33</v>
      </c>
      <c r="AM3811" s="4">
        <v>33</v>
      </c>
      <c r="AN3811" s="4">
        <v>5</v>
      </c>
      <c r="AO3811" s="4">
        <v>5</v>
      </c>
      <c r="AP3811" s="4">
        <v>6</v>
      </c>
      <c r="AQ3811" s="4">
        <v>6</v>
      </c>
      <c r="AR3811" s="3" t="s">
        <v>62</v>
      </c>
      <c r="AS3811" s="3" t="s">
        <v>62</v>
      </c>
      <c r="AT3811" s="3" t="s">
        <v>61</v>
      </c>
      <c r="AU3811" s="6" t="str">
        <f>HYPERLINK("http://catalog.hathitrust.org/Record/006710651","HathiTrust Record")</f>
        <v>HathiTrust Record</v>
      </c>
      <c r="AV3811" s="6" t="str">
        <f>HYPERLINK("http://mcgill.on.worldcat.org/oclc/740201","Catalog Record")</f>
        <v>Catalog Record</v>
      </c>
      <c r="AW3811" s="6" t="str">
        <f>HYPERLINK("http://www.worldcat.org/oclc/740201","WorldCat Record")</f>
        <v>WorldCat Record</v>
      </c>
      <c r="AX3811" s="3" t="s">
        <v>36869</v>
      </c>
      <c r="AY3811" s="3" t="s">
        <v>36870</v>
      </c>
      <c r="AZ3811" s="3" t="s">
        <v>36871</v>
      </c>
      <c r="BA3811" s="3" t="s">
        <v>36871</v>
      </c>
      <c r="BB3811" s="3" t="s">
        <v>36872</v>
      </c>
      <c r="BC3811" s="3" t="s">
        <v>102</v>
      </c>
      <c r="BD3811" s="3" t="s">
        <v>68</v>
      </c>
      <c r="BE3811" s="3" t="s">
        <v>36873</v>
      </c>
      <c r="BF3811" s="3" t="s">
        <v>36872</v>
      </c>
      <c r="BG3811" s="3" t="s">
        <v>36874</v>
      </c>
    </row>
    <row r="3812" spans="1:59" ht="58" x14ac:dyDescent="0.35">
      <c r="A3812" s="2" t="s">
        <v>59</v>
      </c>
      <c r="B3812" s="2" t="s">
        <v>60</v>
      </c>
      <c r="C3812" s="2" t="s">
        <v>36875</v>
      </c>
      <c r="D3812" s="2" t="s">
        <v>36876</v>
      </c>
      <c r="E3812" s="2" t="s">
        <v>36877</v>
      </c>
      <c r="G3812" s="3" t="s">
        <v>62</v>
      </c>
      <c r="I3812" s="3" t="s">
        <v>62</v>
      </c>
      <c r="J3812" s="3" t="s">
        <v>62</v>
      </c>
      <c r="K3812" s="3" t="s">
        <v>63</v>
      </c>
      <c r="L3812" s="2" t="s">
        <v>36878</v>
      </c>
      <c r="M3812" s="2" t="s">
        <v>36879</v>
      </c>
      <c r="N3812" s="3" t="s">
        <v>893</v>
      </c>
      <c r="P3812" s="3" t="s">
        <v>64</v>
      </c>
      <c r="Q3812" s="2" t="s">
        <v>9871</v>
      </c>
      <c r="R3812" s="3" t="s">
        <v>34126</v>
      </c>
      <c r="S3812" s="4">
        <v>7</v>
      </c>
      <c r="T3812" s="4">
        <v>7</v>
      </c>
      <c r="U3812" s="5" t="s">
        <v>1845</v>
      </c>
      <c r="V3812" s="5" t="s">
        <v>1845</v>
      </c>
      <c r="W3812" s="5" t="s">
        <v>67</v>
      </c>
      <c r="X3812" s="5" t="s">
        <v>67</v>
      </c>
      <c r="Y3812" s="4">
        <v>592</v>
      </c>
      <c r="Z3812" s="4">
        <v>22</v>
      </c>
      <c r="AA3812" s="4">
        <v>33</v>
      </c>
      <c r="AB3812" s="4">
        <v>1</v>
      </c>
      <c r="AC3812" s="4">
        <v>3</v>
      </c>
      <c r="AD3812" s="4">
        <v>88</v>
      </c>
      <c r="AE3812" s="4">
        <v>111</v>
      </c>
      <c r="AF3812" s="4">
        <v>0</v>
      </c>
      <c r="AG3812" s="4">
        <v>2</v>
      </c>
      <c r="AH3812" s="4">
        <v>76</v>
      </c>
      <c r="AI3812" s="4">
        <v>93</v>
      </c>
      <c r="AJ3812" s="4">
        <v>10</v>
      </c>
      <c r="AK3812" s="4">
        <v>16</v>
      </c>
      <c r="AL3812" s="4">
        <v>43</v>
      </c>
      <c r="AM3812" s="4">
        <v>48</v>
      </c>
      <c r="AN3812" s="4">
        <v>0</v>
      </c>
      <c r="AO3812" s="4">
        <v>0</v>
      </c>
      <c r="AP3812" s="4">
        <v>14</v>
      </c>
      <c r="AQ3812" s="4">
        <v>23</v>
      </c>
      <c r="AR3812" s="3" t="s">
        <v>62</v>
      </c>
      <c r="AS3812" s="3" t="s">
        <v>62</v>
      </c>
      <c r="AT3812" s="3" t="s">
        <v>61</v>
      </c>
      <c r="AU3812" s="6" t="str">
        <f>HYPERLINK("http://catalog.hathitrust.org/Record/004395445","HathiTrust Record")</f>
        <v>HathiTrust Record</v>
      </c>
      <c r="AV3812" s="6" t="str">
        <f>HYPERLINK("http://mcgill.on.worldcat.org/oclc/7924284","Catalog Record")</f>
        <v>Catalog Record</v>
      </c>
      <c r="AW3812" s="6" t="str">
        <f>HYPERLINK("http://www.worldcat.org/oclc/7924284","WorldCat Record")</f>
        <v>WorldCat Record</v>
      </c>
      <c r="AX3812" s="3" t="s">
        <v>36880</v>
      </c>
      <c r="AY3812" s="3" t="s">
        <v>36881</v>
      </c>
      <c r="AZ3812" s="3" t="s">
        <v>36882</v>
      </c>
      <c r="BA3812" s="3" t="s">
        <v>36882</v>
      </c>
      <c r="BB3812" s="3" t="s">
        <v>36883</v>
      </c>
      <c r="BC3812" s="3" t="s">
        <v>102</v>
      </c>
      <c r="BD3812" s="3" t="s">
        <v>68</v>
      </c>
      <c r="BE3812" s="3" t="s">
        <v>36884</v>
      </c>
      <c r="BF3812" s="3" t="s">
        <v>36883</v>
      </c>
      <c r="BG3812" s="3" t="s">
        <v>36885</v>
      </c>
    </row>
    <row r="3813" spans="1:59" ht="58" x14ac:dyDescent="0.35">
      <c r="A3813" s="2" t="s">
        <v>59</v>
      </c>
      <c r="B3813" s="2" t="s">
        <v>60</v>
      </c>
      <c r="C3813" s="2" t="s">
        <v>36886</v>
      </c>
      <c r="D3813" s="2" t="s">
        <v>36887</v>
      </c>
      <c r="E3813" s="2" t="s">
        <v>36888</v>
      </c>
      <c r="G3813" s="3" t="s">
        <v>62</v>
      </c>
      <c r="I3813" s="3" t="s">
        <v>61</v>
      </c>
      <c r="J3813" s="3" t="s">
        <v>62</v>
      </c>
      <c r="K3813" s="3" t="s">
        <v>63</v>
      </c>
      <c r="L3813" s="2" t="s">
        <v>36889</v>
      </c>
      <c r="M3813" s="2" t="s">
        <v>36890</v>
      </c>
      <c r="N3813" s="3" t="s">
        <v>838</v>
      </c>
      <c r="P3813" s="3" t="s">
        <v>64</v>
      </c>
      <c r="Q3813" s="2" t="s">
        <v>36891</v>
      </c>
      <c r="R3813" s="3" t="s">
        <v>34126</v>
      </c>
      <c r="S3813" s="4">
        <v>0</v>
      </c>
      <c r="T3813" s="4">
        <v>4</v>
      </c>
      <c r="V3813" s="5" t="s">
        <v>26777</v>
      </c>
      <c r="W3813" s="5" t="s">
        <v>67</v>
      </c>
      <c r="X3813" s="5" t="s">
        <v>67</v>
      </c>
      <c r="Y3813" s="4">
        <v>395</v>
      </c>
      <c r="Z3813" s="4">
        <v>24</v>
      </c>
      <c r="AA3813" s="4">
        <v>25</v>
      </c>
      <c r="AB3813" s="4">
        <v>3</v>
      </c>
      <c r="AC3813" s="4">
        <v>4</v>
      </c>
      <c r="AD3813" s="4">
        <v>87</v>
      </c>
      <c r="AE3813" s="4">
        <v>88</v>
      </c>
      <c r="AF3813" s="4">
        <v>1</v>
      </c>
      <c r="AG3813" s="4">
        <v>2</v>
      </c>
      <c r="AH3813" s="4">
        <v>72</v>
      </c>
      <c r="AI3813" s="4">
        <v>72</v>
      </c>
      <c r="AJ3813" s="4">
        <v>14</v>
      </c>
      <c r="AK3813" s="4">
        <v>15</v>
      </c>
      <c r="AL3813" s="4">
        <v>43</v>
      </c>
      <c r="AM3813" s="4">
        <v>43</v>
      </c>
      <c r="AN3813" s="4">
        <v>0</v>
      </c>
      <c r="AO3813" s="4">
        <v>0</v>
      </c>
      <c r="AP3813" s="4">
        <v>19</v>
      </c>
      <c r="AQ3813" s="4">
        <v>19</v>
      </c>
      <c r="AR3813" s="3" t="s">
        <v>62</v>
      </c>
      <c r="AS3813" s="3" t="s">
        <v>62</v>
      </c>
      <c r="AT3813" s="3" t="s">
        <v>61</v>
      </c>
      <c r="AU3813" s="6" t="str">
        <f>HYPERLINK("http://catalog.hathitrust.org/Record/000859107","HathiTrust Record")</f>
        <v>HathiTrust Record</v>
      </c>
      <c r="AV3813" s="6" t="str">
        <f>HYPERLINK("http://mcgill.on.worldcat.org/oclc/1039222","Catalog Record")</f>
        <v>Catalog Record</v>
      </c>
      <c r="AW3813" s="6" t="str">
        <f>HYPERLINK("http://www.worldcat.org/oclc/1039222","WorldCat Record")</f>
        <v>WorldCat Record</v>
      </c>
      <c r="AX3813" s="3" t="s">
        <v>36892</v>
      </c>
      <c r="AY3813" s="3" t="s">
        <v>36893</v>
      </c>
      <c r="AZ3813" s="3" t="s">
        <v>36894</v>
      </c>
      <c r="BA3813" s="3" t="s">
        <v>36894</v>
      </c>
      <c r="BB3813" s="3" t="s">
        <v>36895</v>
      </c>
      <c r="BC3813" s="3" t="s">
        <v>102</v>
      </c>
      <c r="BD3813" s="3" t="s">
        <v>68</v>
      </c>
      <c r="BF3813" s="3" t="s">
        <v>36895</v>
      </c>
      <c r="BG3813" s="3" t="s">
        <v>36896</v>
      </c>
    </row>
    <row r="3814" spans="1:59" ht="58" x14ac:dyDescent="0.35">
      <c r="A3814" s="2" t="s">
        <v>59</v>
      </c>
      <c r="B3814" s="2" t="s">
        <v>60</v>
      </c>
      <c r="C3814" s="2" t="s">
        <v>36886</v>
      </c>
      <c r="D3814" s="2" t="s">
        <v>36887</v>
      </c>
      <c r="E3814" s="2" t="s">
        <v>36888</v>
      </c>
      <c r="G3814" s="3" t="s">
        <v>62</v>
      </c>
      <c r="I3814" s="3" t="s">
        <v>61</v>
      </c>
      <c r="J3814" s="3" t="s">
        <v>62</v>
      </c>
      <c r="K3814" s="3" t="s">
        <v>63</v>
      </c>
      <c r="L3814" s="2" t="s">
        <v>36889</v>
      </c>
      <c r="M3814" s="2" t="s">
        <v>36890</v>
      </c>
      <c r="N3814" s="3" t="s">
        <v>838</v>
      </c>
      <c r="P3814" s="3" t="s">
        <v>64</v>
      </c>
      <c r="Q3814" s="2" t="s">
        <v>36891</v>
      </c>
      <c r="R3814" s="3" t="s">
        <v>34126</v>
      </c>
      <c r="S3814" s="4">
        <v>0</v>
      </c>
      <c r="T3814" s="4">
        <v>4</v>
      </c>
      <c r="V3814" s="5" t="s">
        <v>26777</v>
      </c>
      <c r="W3814" s="5" t="s">
        <v>67</v>
      </c>
      <c r="X3814" s="5" t="s">
        <v>67</v>
      </c>
      <c r="Y3814" s="4">
        <v>395</v>
      </c>
      <c r="Z3814" s="4">
        <v>24</v>
      </c>
      <c r="AA3814" s="4">
        <v>25</v>
      </c>
      <c r="AB3814" s="4">
        <v>3</v>
      </c>
      <c r="AC3814" s="4">
        <v>4</v>
      </c>
      <c r="AD3814" s="4">
        <v>87</v>
      </c>
      <c r="AE3814" s="4">
        <v>88</v>
      </c>
      <c r="AF3814" s="4">
        <v>1</v>
      </c>
      <c r="AG3814" s="4">
        <v>2</v>
      </c>
      <c r="AH3814" s="4">
        <v>72</v>
      </c>
      <c r="AI3814" s="4">
        <v>72</v>
      </c>
      <c r="AJ3814" s="4">
        <v>14</v>
      </c>
      <c r="AK3814" s="4">
        <v>15</v>
      </c>
      <c r="AL3814" s="4">
        <v>43</v>
      </c>
      <c r="AM3814" s="4">
        <v>43</v>
      </c>
      <c r="AN3814" s="4">
        <v>0</v>
      </c>
      <c r="AO3814" s="4">
        <v>0</v>
      </c>
      <c r="AP3814" s="4">
        <v>19</v>
      </c>
      <c r="AQ3814" s="4">
        <v>19</v>
      </c>
      <c r="AR3814" s="3" t="s">
        <v>62</v>
      </c>
      <c r="AS3814" s="3" t="s">
        <v>62</v>
      </c>
      <c r="AT3814" s="3" t="s">
        <v>61</v>
      </c>
      <c r="AU3814" s="6" t="str">
        <f>HYPERLINK("http://catalog.hathitrust.org/Record/000859107","HathiTrust Record")</f>
        <v>HathiTrust Record</v>
      </c>
      <c r="AV3814" s="6" t="str">
        <f>HYPERLINK("http://mcgill.on.worldcat.org/oclc/1039222","Catalog Record")</f>
        <v>Catalog Record</v>
      </c>
      <c r="AW3814" s="6" t="str">
        <f>HYPERLINK("http://www.worldcat.org/oclc/1039222","WorldCat Record")</f>
        <v>WorldCat Record</v>
      </c>
      <c r="AX3814" s="3" t="s">
        <v>36892</v>
      </c>
      <c r="AY3814" s="3" t="s">
        <v>36893</v>
      </c>
      <c r="AZ3814" s="3" t="s">
        <v>36894</v>
      </c>
      <c r="BA3814" s="3" t="s">
        <v>36894</v>
      </c>
      <c r="BB3814" s="3" t="s">
        <v>36897</v>
      </c>
      <c r="BC3814" s="3" t="s">
        <v>102</v>
      </c>
      <c r="BD3814" s="3" t="s">
        <v>68</v>
      </c>
      <c r="BF3814" s="3" t="s">
        <v>36897</v>
      </c>
      <c r="BG3814" s="3" t="s">
        <v>36898</v>
      </c>
    </row>
    <row r="3815" spans="1:59" ht="58" x14ac:dyDescent="0.35">
      <c r="A3815" s="2" t="s">
        <v>59</v>
      </c>
      <c r="B3815" s="2" t="s">
        <v>60</v>
      </c>
      <c r="C3815" s="2" t="s">
        <v>36886</v>
      </c>
      <c r="D3815" s="2" t="s">
        <v>36887</v>
      </c>
      <c r="E3815" s="2" t="s">
        <v>36888</v>
      </c>
      <c r="G3815" s="3" t="s">
        <v>62</v>
      </c>
      <c r="I3815" s="3" t="s">
        <v>61</v>
      </c>
      <c r="J3815" s="3" t="s">
        <v>62</v>
      </c>
      <c r="K3815" s="3" t="s">
        <v>63</v>
      </c>
      <c r="L3815" s="2" t="s">
        <v>36889</v>
      </c>
      <c r="M3815" s="2" t="s">
        <v>36890</v>
      </c>
      <c r="N3815" s="3" t="s">
        <v>838</v>
      </c>
      <c r="P3815" s="3" t="s">
        <v>64</v>
      </c>
      <c r="Q3815" s="2" t="s">
        <v>36891</v>
      </c>
      <c r="R3815" s="3" t="s">
        <v>34126</v>
      </c>
      <c r="S3815" s="4">
        <v>0</v>
      </c>
      <c r="T3815" s="4">
        <v>4</v>
      </c>
      <c r="V3815" s="5" t="s">
        <v>26777</v>
      </c>
      <c r="W3815" s="5" t="s">
        <v>67</v>
      </c>
      <c r="X3815" s="5" t="s">
        <v>67</v>
      </c>
      <c r="Y3815" s="4">
        <v>395</v>
      </c>
      <c r="Z3815" s="4">
        <v>24</v>
      </c>
      <c r="AA3815" s="4">
        <v>25</v>
      </c>
      <c r="AB3815" s="4">
        <v>3</v>
      </c>
      <c r="AC3815" s="4">
        <v>4</v>
      </c>
      <c r="AD3815" s="4">
        <v>87</v>
      </c>
      <c r="AE3815" s="4">
        <v>88</v>
      </c>
      <c r="AF3815" s="4">
        <v>1</v>
      </c>
      <c r="AG3815" s="4">
        <v>2</v>
      </c>
      <c r="AH3815" s="4">
        <v>72</v>
      </c>
      <c r="AI3815" s="4">
        <v>72</v>
      </c>
      <c r="AJ3815" s="4">
        <v>14</v>
      </c>
      <c r="AK3815" s="4">
        <v>15</v>
      </c>
      <c r="AL3815" s="4">
        <v>43</v>
      </c>
      <c r="AM3815" s="4">
        <v>43</v>
      </c>
      <c r="AN3815" s="4">
        <v>0</v>
      </c>
      <c r="AO3815" s="4">
        <v>0</v>
      </c>
      <c r="AP3815" s="4">
        <v>19</v>
      </c>
      <c r="AQ3815" s="4">
        <v>19</v>
      </c>
      <c r="AR3815" s="3" t="s">
        <v>62</v>
      </c>
      <c r="AS3815" s="3" t="s">
        <v>62</v>
      </c>
      <c r="AT3815" s="3" t="s">
        <v>61</v>
      </c>
      <c r="AU3815" s="6" t="str">
        <f>HYPERLINK("http://catalog.hathitrust.org/Record/000859107","HathiTrust Record")</f>
        <v>HathiTrust Record</v>
      </c>
      <c r="AV3815" s="6" t="str">
        <f>HYPERLINK("http://mcgill.on.worldcat.org/oclc/1039222","Catalog Record")</f>
        <v>Catalog Record</v>
      </c>
      <c r="AW3815" s="6" t="str">
        <f>HYPERLINK("http://www.worldcat.org/oclc/1039222","WorldCat Record")</f>
        <v>WorldCat Record</v>
      </c>
      <c r="AX3815" s="3" t="s">
        <v>36892</v>
      </c>
      <c r="AY3815" s="3" t="s">
        <v>36893</v>
      </c>
      <c r="AZ3815" s="3" t="s">
        <v>36894</v>
      </c>
      <c r="BA3815" s="3" t="s">
        <v>36894</v>
      </c>
      <c r="BB3815" s="3" t="s">
        <v>36899</v>
      </c>
      <c r="BC3815" s="3" t="s">
        <v>102</v>
      </c>
      <c r="BD3815" s="3" t="s">
        <v>68</v>
      </c>
      <c r="BF3815" s="3" t="s">
        <v>36899</v>
      </c>
      <c r="BG3815" s="3" t="s">
        <v>36900</v>
      </c>
    </row>
    <row r="3816" spans="1:59" ht="58" x14ac:dyDescent="0.35">
      <c r="A3816" s="2" t="s">
        <v>59</v>
      </c>
      <c r="B3816" s="2" t="s">
        <v>60</v>
      </c>
      <c r="C3816" s="2" t="s">
        <v>36886</v>
      </c>
      <c r="D3816" s="2" t="s">
        <v>36887</v>
      </c>
      <c r="E3816" s="2" t="s">
        <v>36888</v>
      </c>
      <c r="G3816" s="3" t="s">
        <v>62</v>
      </c>
      <c r="I3816" s="3" t="s">
        <v>61</v>
      </c>
      <c r="J3816" s="3" t="s">
        <v>62</v>
      </c>
      <c r="K3816" s="3" t="s">
        <v>63</v>
      </c>
      <c r="L3816" s="2" t="s">
        <v>36889</v>
      </c>
      <c r="M3816" s="2" t="s">
        <v>36890</v>
      </c>
      <c r="N3816" s="3" t="s">
        <v>838</v>
      </c>
      <c r="P3816" s="3" t="s">
        <v>64</v>
      </c>
      <c r="Q3816" s="2" t="s">
        <v>36891</v>
      </c>
      <c r="R3816" s="3" t="s">
        <v>34126</v>
      </c>
      <c r="S3816" s="4">
        <v>0</v>
      </c>
      <c r="T3816" s="4">
        <v>4</v>
      </c>
      <c r="V3816" s="5" t="s">
        <v>26777</v>
      </c>
      <c r="W3816" s="5" t="s">
        <v>67</v>
      </c>
      <c r="X3816" s="5" t="s">
        <v>67</v>
      </c>
      <c r="Y3816" s="4">
        <v>395</v>
      </c>
      <c r="Z3816" s="4">
        <v>24</v>
      </c>
      <c r="AA3816" s="4">
        <v>25</v>
      </c>
      <c r="AB3816" s="4">
        <v>3</v>
      </c>
      <c r="AC3816" s="4">
        <v>4</v>
      </c>
      <c r="AD3816" s="4">
        <v>87</v>
      </c>
      <c r="AE3816" s="4">
        <v>88</v>
      </c>
      <c r="AF3816" s="4">
        <v>1</v>
      </c>
      <c r="AG3816" s="4">
        <v>2</v>
      </c>
      <c r="AH3816" s="4">
        <v>72</v>
      </c>
      <c r="AI3816" s="4">
        <v>72</v>
      </c>
      <c r="AJ3816" s="4">
        <v>14</v>
      </c>
      <c r="AK3816" s="4">
        <v>15</v>
      </c>
      <c r="AL3816" s="4">
        <v>43</v>
      </c>
      <c r="AM3816" s="4">
        <v>43</v>
      </c>
      <c r="AN3816" s="4">
        <v>0</v>
      </c>
      <c r="AO3816" s="4">
        <v>0</v>
      </c>
      <c r="AP3816" s="4">
        <v>19</v>
      </c>
      <c r="AQ3816" s="4">
        <v>19</v>
      </c>
      <c r="AR3816" s="3" t="s">
        <v>62</v>
      </c>
      <c r="AS3816" s="3" t="s">
        <v>62</v>
      </c>
      <c r="AT3816" s="3" t="s">
        <v>61</v>
      </c>
      <c r="AU3816" s="6" t="str">
        <f>HYPERLINK("http://catalog.hathitrust.org/Record/000859107","HathiTrust Record")</f>
        <v>HathiTrust Record</v>
      </c>
      <c r="AV3816" s="6" t="str">
        <f>HYPERLINK("http://mcgill.on.worldcat.org/oclc/1039222","Catalog Record")</f>
        <v>Catalog Record</v>
      </c>
      <c r="AW3816" s="6" t="str">
        <f>HYPERLINK("http://www.worldcat.org/oclc/1039222","WorldCat Record")</f>
        <v>WorldCat Record</v>
      </c>
      <c r="AX3816" s="3" t="s">
        <v>36892</v>
      </c>
      <c r="AY3816" s="3" t="s">
        <v>36893</v>
      </c>
      <c r="AZ3816" s="3" t="s">
        <v>36894</v>
      </c>
      <c r="BA3816" s="3" t="s">
        <v>36894</v>
      </c>
      <c r="BB3816" s="3" t="s">
        <v>36901</v>
      </c>
      <c r="BC3816" s="3" t="s">
        <v>102</v>
      </c>
      <c r="BD3816" s="3" t="s">
        <v>68</v>
      </c>
      <c r="BF3816" s="3" t="s">
        <v>36901</v>
      </c>
      <c r="BG3816" s="3" t="s">
        <v>36902</v>
      </c>
    </row>
    <row r="3817" spans="1:59" ht="87" x14ac:dyDescent="0.35">
      <c r="A3817" s="2" t="s">
        <v>59</v>
      </c>
      <c r="B3817" s="2" t="s">
        <v>60</v>
      </c>
      <c r="C3817" s="2" t="s">
        <v>36903</v>
      </c>
      <c r="D3817" s="2" t="s">
        <v>36904</v>
      </c>
      <c r="E3817" s="2" t="s">
        <v>36905</v>
      </c>
      <c r="G3817" s="3" t="s">
        <v>62</v>
      </c>
      <c r="I3817" s="3" t="s">
        <v>61</v>
      </c>
      <c r="J3817" s="3" t="s">
        <v>61</v>
      </c>
      <c r="K3817" s="3" t="s">
        <v>63</v>
      </c>
      <c r="L3817" s="2" t="s">
        <v>36889</v>
      </c>
      <c r="M3817" s="2" t="s">
        <v>36906</v>
      </c>
      <c r="N3817" s="3" t="s">
        <v>755</v>
      </c>
      <c r="O3817" s="2" t="s">
        <v>36907</v>
      </c>
      <c r="P3817" s="3" t="s">
        <v>64</v>
      </c>
      <c r="R3817" s="3" t="s">
        <v>34126</v>
      </c>
      <c r="S3817" s="4">
        <v>0</v>
      </c>
      <c r="T3817" s="4">
        <v>4</v>
      </c>
      <c r="V3817" s="5" t="s">
        <v>36908</v>
      </c>
      <c r="W3817" s="5" t="s">
        <v>67</v>
      </c>
      <c r="X3817" s="5" t="s">
        <v>67</v>
      </c>
      <c r="Y3817" s="4">
        <v>3</v>
      </c>
      <c r="Z3817" s="4">
        <v>1</v>
      </c>
      <c r="AA3817" s="4">
        <v>58</v>
      </c>
      <c r="AB3817" s="4">
        <v>1</v>
      </c>
      <c r="AC3817" s="4">
        <v>6</v>
      </c>
      <c r="AD3817" s="4">
        <v>0</v>
      </c>
      <c r="AE3817" s="4">
        <v>145</v>
      </c>
      <c r="AF3817" s="4">
        <v>0</v>
      </c>
      <c r="AG3817" s="4">
        <v>4</v>
      </c>
      <c r="AH3817" s="4">
        <v>0</v>
      </c>
      <c r="AI3817" s="4">
        <v>110</v>
      </c>
      <c r="AJ3817" s="4">
        <v>0</v>
      </c>
      <c r="AK3817" s="4">
        <v>22</v>
      </c>
      <c r="AL3817" s="4">
        <v>0</v>
      </c>
      <c r="AM3817" s="4">
        <v>57</v>
      </c>
      <c r="AN3817" s="4">
        <v>0</v>
      </c>
      <c r="AO3817" s="4">
        <v>0</v>
      </c>
      <c r="AP3817" s="4">
        <v>0</v>
      </c>
      <c r="AQ3817" s="4">
        <v>41</v>
      </c>
      <c r="AR3817" s="3" t="s">
        <v>62</v>
      </c>
      <c r="AS3817" s="3" t="s">
        <v>62</v>
      </c>
      <c r="AT3817" s="3" t="s">
        <v>61</v>
      </c>
      <c r="AU3817" s="6" t="str">
        <f>HYPERLINK("http://catalog.hathitrust.org/Record/001491402","HathiTrust Record")</f>
        <v>HathiTrust Record</v>
      </c>
      <c r="AV3817" s="6" t="str">
        <f>HYPERLINK("http://mcgill.on.worldcat.org/oclc/427324583","Catalog Record")</f>
        <v>Catalog Record</v>
      </c>
      <c r="AW3817" s="6" t="str">
        <f>HYPERLINK("http://www.worldcat.org/oclc/427324583","WorldCat Record")</f>
        <v>WorldCat Record</v>
      </c>
      <c r="AX3817" s="3" t="s">
        <v>36909</v>
      </c>
      <c r="AY3817" s="3" t="s">
        <v>36910</v>
      </c>
      <c r="AZ3817" s="3" t="s">
        <v>36911</v>
      </c>
      <c r="BA3817" s="3" t="s">
        <v>36911</v>
      </c>
      <c r="BB3817" s="3" t="s">
        <v>36912</v>
      </c>
      <c r="BC3817" s="3" t="s">
        <v>102</v>
      </c>
      <c r="BD3817" s="3" t="s">
        <v>68</v>
      </c>
      <c r="BF3817" s="3" t="s">
        <v>36912</v>
      </c>
      <c r="BG3817" s="3" t="s">
        <v>36913</v>
      </c>
    </row>
    <row r="3818" spans="1:59" ht="58" x14ac:dyDescent="0.35">
      <c r="A3818" s="2" t="s">
        <v>59</v>
      </c>
      <c r="B3818" s="2" t="s">
        <v>60</v>
      </c>
      <c r="C3818" s="2" t="s">
        <v>36914</v>
      </c>
      <c r="D3818" s="2" t="s">
        <v>36915</v>
      </c>
      <c r="E3818" s="2" t="s">
        <v>36916</v>
      </c>
      <c r="G3818" s="3" t="s">
        <v>62</v>
      </c>
      <c r="I3818" s="3" t="s">
        <v>62</v>
      </c>
      <c r="J3818" s="3" t="s">
        <v>62</v>
      </c>
      <c r="K3818" s="3" t="s">
        <v>63</v>
      </c>
      <c r="L3818" s="2" t="s">
        <v>36917</v>
      </c>
      <c r="M3818" s="2" t="s">
        <v>36918</v>
      </c>
      <c r="N3818" s="3" t="s">
        <v>1639</v>
      </c>
      <c r="P3818" s="3" t="s">
        <v>64</v>
      </c>
      <c r="R3818" s="3" t="s">
        <v>34126</v>
      </c>
      <c r="S3818" s="4">
        <v>3</v>
      </c>
      <c r="T3818" s="4">
        <v>3</v>
      </c>
      <c r="U3818" s="5" t="s">
        <v>36868</v>
      </c>
      <c r="V3818" s="5" t="s">
        <v>36868</v>
      </c>
      <c r="W3818" s="5" t="s">
        <v>67</v>
      </c>
      <c r="X3818" s="5" t="s">
        <v>67</v>
      </c>
      <c r="Y3818" s="4">
        <v>318</v>
      </c>
      <c r="Z3818" s="4">
        <v>21</v>
      </c>
      <c r="AA3818" s="4">
        <v>25</v>
      </c>
      <c r="AB3818" s="4">
        <v>2</v>
      </c>
      <c r="AC3818" s="4">
        <v>6</v>
      </c>
      <c r="AD3818" s="4">
        <v>84</v>
      </c>
      <c r="AE3818" s="4">
        <v>87</v>
      </c>
      <c r="AF3818" s="4">
        <v>1</v>
      </c>
      <c r="AG3818" s="4">
        <v>4</v>
      </c>
      <c r="AH3818" s="4">
        <v>71</v>
      </c>
      <c r="AI3818" s="4">
        <v>71</v>
      </c>
      <c r="AJ3818" s="4">
        <v>12</v>
      </c>
      <c r="AK3818" s="4">
        <v>14</v>
      </c>
      <c r="AL3818" s="4">
        <v>38</v>
      </c>
      <c r="AM3818" s="4">
        <v>38</v>
      </c>
      <c r="AN3818" s="4">
        <v>5</v>
      </c>
      <c r="AO3818" s="4">
        <v>5</v>
      </c>
      <c r="AP3818" s="4">
        <v>15</v>
      </c>
      <c r="AQ3818" s="4">
        <v>17</v>
      </c>
      <c r="AR3818" s="3" t="s">
        <v>62</v>
      </c>
      <c r="AS3818" s="3" t="s">
        <v>62</v>
      </c>
      <c r="AT3818" s="3" t="s">
        <v>61</v>
      </c>
      <c r="AU3818" s="6" t="str">
        <f>HYPERLINK("http://catalog.hathitrust.org/Record/102102038","HathiTrust Record")</f>
        <v>HathiTrust Record</v>
      </c>
      <c r="AV3818" s="6" t="str">
        <f>HYPERLINK("http://mcgill.on.worldcat.org/oclc/143549","Catalog Record")</f>
        <v>Catalog Record</v>
      </c>
      <c r="AW3818" s="6" t="str">
        <f>HYPERLINK("http://www.worldcat.org/oclc/143549","WorldCat Record")</f>
        <v>WorldCat Record</v>
      </c>
      <c r="AX3818" s="3" t="s">
        <v>36919</v>
      </c>
      <c r="AY3818" s="3" t="s">
        <v>36920</v>
      </c>
      <c r="AZ3818" s="3" t="s">
        <v>36921</v>
      </c>
      <c r="BA3818" s="3" t="s">
        <v>36921</v>
      </c>
      <c r="BB3818" s="3" t="s">
        <v>36922</v>
      </c>
      <c r="BC3818" s="3" t="s">
        <v>102</v>
      </c>
      <c r="BD3818" s="3" t="s">
        <v>68</v>
      </c>
      <c r="BF3818" s="3" t="s">
        <v>36922</v>
      </c>
      <c r="BG3818" s="3" t="s">
        <v>36923</v>
      </c>
    </row>
    <row r="3819" spans="1:59" ht="58" x14ac:dyDescent="0.35">
      <c r="A3819" s="2" t="s">
        <v>59</v>
      </c>
      <c r="B3819" s="2" t="s">
        <v>60</v>
      </c>
      <c r="C3819" s="2" t="s">
        <v>36924</v>
      </c>
      <c r="D3819" s="2" t="s">
        <v>36925</v>
      </c>
      <c r="E3819" s="2" t="s">
        <v>36926</v>
      </c>
      <c r="G3819" s="3" t="s">
        <v>62</v>
      </c>
      <c r="I3819" s="3" t="s">
        <v>62</v>
      </c>
      <c r="J3819" s="3" t="s">
        <v>62</v>
      </c>
      <c r="K3819" s="3" t="s">
        <v>63</v>
      </c>
      <c r="L3819" s="2" t="s">
        <v>36927</v>
      </c>
      <c r="M3819" s="2" t="s">
        <v>36928</v>
      </c>
      <c r="N3819" s="3" t="s">
        <v>568</v>
      </c>
      <c r="P3819" s="3" t="s">
        <v>64</v>
      </c>
      <c r="R3819" s="3" t="s">
        <v>34126</v>
      </c>
      <c r="S3819" s="4">
        <v>4</v>
      </c>
      <c r="T3819" s="4">
        <v>4</v>
      </c>
      <c r="U3819" s="5" t="s">
        <v>728</v>
      </c>
      <c r="V3819" s="5" t="s">
        <v>728</v>
      </c>
      <c r="W3819" s="5" t="s">
        <v>67</v>
      </c>
      <c r="X3819" s="5" t="s">
        <v>67</v>
      </c>
      <c r="Y3819" s="4">
        <v>620</v>
      </c>
      <c r="Z3819" s="4">
        <v>33</v>
      </c>
      <c r="AA3819" s="4">
        <v>36</v>
      </c>
      <c r="AB3819" s="4">
        <v>3</v>
      </c>
      <c r="AC3819" s="4">
        <v>4</v>
      </c>
      <c r="AD3819" s="4">
        <v>99</v>
      </c>
      <c r="AE3819" s="4">
        <v>103</v>
      </c>
      <c r="AF3819" s="4">
        <v>1</v>
      </c>
      <c r="AG3819" s="4">
        <v>1</v>
      </c>
      <c r="AH3819" s="4">
        <v>87</v>
      </c>
      <c r="AI3819" s="4">
        <v>90</v>
      </c>
      <c r="AJ3819" s="4">
        <v>13</v>
      </c>
      <c r="AK3819" s="4">
        <v>14</v>
      </c>
      <c r="AL3819" s="4">
        <v>50</v>
      </c>
      <c r="AM3819" s="4">
        <v>50</v>
      </c>
      <c r="AN3819" s="4">
        <v>0</v>
      </c>
      <c r="AO3819" s="4">
        <v>0</v>
      </c>
      <c r="AP3819" s="4">
        <v>17</v>
      </c>
      <c r="AQ3819" s="4">
        <v>18</v>
      </c>
      <c r="AR3819" s="3" t="s">
        <v>62</v>
      </c>
      <c r="AS3819" s="3" t="s">
        <v>62</v>
      </c>
      <c r="AT3819" s="3" t="s">
        <v>61</v>
      </c>
      <c r="AU3819" s="6" t="str">
        <f>HYPERLINK("http://catalog.hathitrust.org/Record/004106514","HathiTrust Record")</f>
        <v>HathiTrust Record</v>
      </c>
      <c r="AV3819" s="6" t="str">
        <f>HYPERLINK("http://mcgill.on.worldcat.org/oclc/43945723","Catalog Record")</f>
        <v>Catalog Record</v>
      </c>
      <c r="AW3819" s="6" t="str">
        <f>HYPERLINK("http://www.worldcat.org/oclc/43945723","WorldCat Record")</f>
        <v>WorldCat Record</v>
      </c>
      <c r="AX3819" s="3" t="s">
        <v>36929</v>
      </c>
      <c r="AY3819" s="3" t="s">
        <v>36930</v>
      </c>
      <c r="AZ3819" s="3" t="s">
        <v>36931</v>
      </c>
      <c r="BA3819" s="3" t="s">
        <v>36931</v>
      </c>
      <c r="BB3819" s="3" t="s">
        <v>36932</v>
      </c>
      <c r="BC3819" s="3" t="s">
        <v>102</v>
      </c>
      <c r="BD3819" s="3" t="s">
        <v>68</v>
      </c>
      <c r="BE3819" s="3" t="s">
        <v>36933</v>
      </c>
      <c r="BF3819" s="3" t="s">
        <v>36932</v>
      </c>
      <c r="BG3819" s="3" t="s">
        <v>36934</v>
      </c>
    </row>
    <row r="3820" spans="1:59" ht="58" x14ac:dyDescent="0.35">
      <c r="A3820" s="2" t="s">
        <v>89</v>
      </c>
      <c r="B3820" s="2" t="s">
        <v>90</v>
      </c>
      <c r="C3820" s="2" t="s">
        <v>36935</v>
      </c>
      <c r="D3820" s="2" t="s">
        <v>36936</v>
      </c>
      <c r="E3820" s="2" t="s">
        <v>36937</v>
      </c>
      <c r="G3820" s="3" t="s">
        <v>62</v>
      </c>
      <c r="I3820" s="3" t="s">
        <v>62</v>
      </c>
      <c r="J3820" s="3" t="s">
        <v>62</v>
      </c>
      <c r="K3820" s="3" t="s">
        <v>63</v>
      </c>
      <c r="M3820" s="2" t="s">
        <v>10033</v>
      </c>
      <c r="N3820" s="3" t="s">
        <v>285</v>
      </c>
      <c r="P3820" s="3" t="s">
        <v>64</v>
      </c>
      <c r="Q3820" s="2" t="s">
        <v>36938</v>
      </c>
      <c r="R3820" s="3" t="s">
        <v>34126</v>
      </c>
      <c r="S3820" s="4">
        <v>8</v>
      </c>
      <c r="T3820" s="4">
        <v>8</v>
      </c>
      <c r="U3820" s="5" t="s">
        <v>14076</v>
      </c>
      <c r="V3820" s="5" t="s">
        <v>14076</v>
      </c>
      <c r="W3820" s="5" t="s">
        <v>67</v>
      </c>
      <c r="X3820" s="5" t="s">
        <v>67</v>
      </c>
      <c r="Y3820" s="4">
        <v>186</v>
      </c>
      <c r="Z3820" s="4">
        <v>12</v>
      </c>
      <c r="AA3820" s="4">
        <v>13</v>
      </c>
      <c r="AB3820" s="4">
        <v>1</v>
      </c>
      <c r="AC3820" s="4">
        <v>2</v>
      </c>
      <c r="AD3820" s="4">
        <v>72</v>
      </c>
      <c r="AE3820" s="4">
        <v>73</v>
      </c>
      <c r="AF3820" s="4">
        <v>0</v>
      </c>
      <c r="AG3820" s="4">
        <v>1</v>
      </c>
      <c r="AH3820" s="4">
        <v>65</v>
      </c>
      <c r="AI3820" s="4">
        <v>65</v>
      </c>
      <c r="AJ3820" s="4">
        <v>9</v>
      </c>
      <c r="AK3820" s="4">
        <v>10</v>
      </c>
      <c r="AL3820" s="4">
        <v>36</v>
      </c>
      <c r="AM3820" s="4">
        <v>36</v>
      </c>
      <c r="AN3820" s="4">
        <v>0</v>
      </c>
      <c r="AO3820" s="4">
        <v>0</v>
      </c>
      <c r="AP3820" s="4">
        <v>9</v>
      </c>
      <c r="AQ3820" s="4">
        <v>9</v>
      </c>
      <c r="AR3820" s="3" t="s">
        <v>62</v>
      </c>
      <c r="AS3820" s="3" t="s">
        <v>62</v>
      </c>
      <c r="AT3820" s="3" t="s">
        <v>62</v>
      </c>
      <c r="AV3820" s="6" t="str">
        <f>HYPERLINK("http://mcgill.on.worldcat.org/oclc/6487174","Catalog Record")</f>
        <v>Catalog Record</v>
      </c>
      <c r="AW3820" s="6" t="str">
        <f>HYPERLINK("http://www.worldcat.org/oclc/6487174","WorldCat Record")</f>
        <v>WorldCat Record</v>
      </c>
      <c r="AX3820" s="3" t="s">
        <v>36939</v>
      </c>
      <c r="AY3820" s="3" t="s">
        <v>36940</v>
      </c>
      <c r="AZ3820" s="3" t="s">
        <v>36941</v>
      </c>
      <c r="BA3820" s="3" t="s">
        <v>36941</v>
      </c>
      <c r="BB3820" s="3" t="s">
        <v>36942</v>
      </c>
      <c r="BC3820" s="3" t="s">
        <v>102</v>
      </c>
      <c r="BD3820" s="3" t="s">
        <v>231</v>
      </c>
      <c r="BE3820" s="3" t="s">
        <v>36943</v>
      </c>
      <c r="BF3820" s="3" t="s">
        <v>36942</v>
      </c>
      <c r="BG3820" s="3" t="s">
        <v>36944</v>
      </c>
    </row>
    <row r="3821" spans="1:59" ht="58" x14ac:dyDescent="0.35">
      <c r="A3821" s="2" t="s">
        <v>59</v>
      </c>
      <c r="B3821" s="2" t="s">
        <v>60</v>
      </c>
      <c r="C3821" s="2" t="s">
        <v>36945</v>
      </c>
      <c r="D3821" s="2" t="s">
        <v>36946</v>
      </c>
      <c r="E3821" s="2" t="s">
        <v>36947</v>
      </c>
      <c r="G3821" s="3" t="s">
        <v>62</v>
      </c>
      <c r="I3821" s="3" t="s">
        <v>62</v>
      </c>
      <c r="J3821" s="3" t="s">
        <v>62</v>
      </c>
      <c r="K3821" s="3" t="s">
        <v>63</v>
      </c>
      <c r="M3821" s="2" t="s">
        <v>36948</v>
      </c>
      <c r="N3821" s="3" t="s">
        <v>2588</v>
      </c>
      <c r="P3821" s="3" t="s">
        <v>85</v>
      </c>
      <c r="Q3821" s="2" t="s">
        <v>36949</v>
      </c>
      <c r="R3821" s="3" t="s">
        <v>34126</v>
      </c>
      <c r="S3821" s="4">
        <v>2</v>
      </c>
      <c r="T3821" s="4">
        <v>2</v>
      </c>
      <c r="U3821" s="5" t="s">
        <v>36950</v>
      </c>
      <c r="V3821" s="5" t="s">
        <v>36950</v>
      </c>
      <c r="W3821" s="5" t="s">
        <v>67</v>
      </c>
      <c r="X3821" s="5" t="s">
        <v>67</v>
      </c>
      <c r="Y3821" s="4">
        <v>45</v>
      </c>
      <c r="Z3821" s="4">
        <v>4</v>
      </c>
      <c r="AA3821" s="4">
        <v>15</v>
      </c>
      <c r="AB3821" s="4">
        <v>1</v>
      </c>
      <c r="AC3821" s="4">
        <v>8</v>
      </c>
      <c r="AD3821" s="4">
        <v>18</v>
      </c>
      <c r="AE3821" s="4">
        <v>23</v>
      </c>
      <c r="AF3821" s="4">
        <v>0</v>
      </c>
      <c r="AG3821" s="4">
        <v>3</v>
      </c>
      <c r="AH3821" s="4">
        <v>16</v>
      </c>
      <c r="AI3821" s="4">
        <v>17</v>
      </c>
      <c r="AJ3821" s="4">
        <v>1</v>
      </c>
      <c r="AK3821" s="4">
        <v>5</v>
      </c>
      <c r="AL3821" s="4">
        <v>11</v>
      </c>
      <c r="AM3821" s="4">
        <v>11</v>
      </c>
      <c r="AN3821" s="4">
        <v>0</v>
      </c>
      <c r="AO3821" s="4">
        <v>0</v>
      </c>
      <c r="AP3821" s="4">
        <v>2</v>
      </c>
      <c r="AQ3821" s="4">
        <v>5</v>
      </c>
      <c r="AR3821" s="3" t="s">
        <v>62</v>
      </c>
      <c r="AS3821" s="3" t="s">
        <v>62</v>
      </c>
      <c r="AT3821" s="3" t="s">
        <v>62</v>
      </c>
      <c r="AV3821" s="6" t="str">
        <f>HYPERLINK("http://mcgill.on.worldcat.org/oclc/3350849","Catalog Record")</f>
        <v>Catalog Record</v>
      </c>
      <c r="AW3821" s="6" t="str">
        <f>HYPERLINK("http://www.worldcat.org/oclc/3350849","WorldCat Record")</f>
        <v>WorldCat Record</v>
      </c>
      <c r="AX3821" s="3" t="s">
        <v>36951</v>
      </c>
      <c r="AY3821" s="3" t="s">
        <v>36952</v>
      </c>
      <c r="AZ3821" s="3" t="s">
        <v>36953</v>
      </c>
      <c r="BA3821" s="3" t="s">
        <v>36953</v>
      </c>
      <c r="BB3821" s="3" t="s">
        <v>36954</v>
      </c>
      <c r="BC3821" s="3" t="s">
        <v>102</v>
      </c>
      <c r="BD3821" s="3" t="s">
        <v>68</v>
      </c>
      <c r="BE3821" s="3" t="s">
        <v>36955</v>
      </c>
      <c r="BF3821" s="3" t="s">
        <v>36954</v>
      </c>
      <c r="BG3821" s="3" t="s">
        <v>36956</v>
      </c>
    </row>
    <row r="3822" spans="1:59" ht="101.5" x14ac:dyDescent="0.35">
      <c r="A3822" s="2" t="s">
        <v>89</v>
      </c>
      <c r="B3822" s="2" t="s">
        <v>90</v>
      </c>
      <c r="C3822" s="2" t="s">
        <v>36957</v>
      </c>
      <c r="D3822" s="2" t="s">
        <v>36958</v>
      </c>
      <c r="E3822" s="2" t="s">
        <v>36959</v>
      </c>
      <c r="G3822" s="3" t="s">
        <v>62</v>
      </c>
      <c r="I3822" s="3" t="s">
        <v>62</v>
      </c>
      <c r="J3822" s="3" t="s">
        <v>62</v>
      </c>
      <c r="K3822" s="3" t="s">
        <v>63</v>
      </c>
      <c r="L3822" s="2" t="s">
        <v>36960</v>
      </c>
      <c r="M3822" s="2" t="s">
        <v>36961</v>
      </c>
      <c r="N3822" s="3" t="s">
        <v>24124</v>
      </c>
      <c r="O3822" s="2" t="s">
        <v>36962</v>
      </c>
      <c r="P3822" s="3" t="s">
        <v>64</v>
      </c>
      <c r="R3822" s="3" t="s">
        <v>34126</v>
      </c>
      <c r="S3822" s="4">
        <v>17</v>
      </c>
      <c r="T3822" s="4">
        <v>17</v>
      </c>
      <c r="U3822" s="5" t="s">
        <v>28871</v>
      </c>
      <c r="V3822" s="5" t="s">
        <v>28871</v>
      </c>
      <c r="W3822" s="5" t="s">
        <v>67</v>
      </c>
      <c r="X3822" s="5" t="s">
        <v>67</v>
      </c>
      <c r="Y3822" s="4">
        <v>183</v>
      </c>
      <c r="Z3822" s="4">
        <v>3</v>
      </c>
      <c r="AA3822" s="4">
        <v>19</v>
      </c>
      <c r="AB3822" s="4">
        <v>1</v>
      </c>
      <c r="AC3822" s="4">
        <v>2</v>
      </c>
      <c r="AD3822" s="4">
        <v>55</v>
      </c>
      <c r="AE3822" s="4">
        <v>76</v>
      </c>
      <c r="AF3822" s="4">
        <v>0</v>
      </c>
      <c r="AG3822" s="4">
        <v>0</v>
      </c>
      <c r="AH3822" s="4">
        <v>54</v>
      </c>
      <c r="AI3822" s="4">
        <v>69</v>
      </c>
      <c r="AJ3822" s="4">
        <v>1</v>
      </c>
      <c r="AK3822" s="4">
        <v>11</v>
      </c>
      <c r="AL3822" s="4">
        <v>40</v>
      </c>
      <c r="AM3822" s="4">
        <v>44</v>
      </c>
      <c r="AN3822" s="4">
        <v>0</v>
      </c>
      <c r="AO3822" s="4">
        <v>0</v>
      </c>
      <c r="AP3822" s="4">
        <v>1</v>
      </c>
      <c r="AQ3822" s="4">
        <v>13</v>
      </c>
      <c r="AR3822" s="3" t="s">
        <v>62</v>
      </c>
      <c r="AS3822" s="3" t="s">
        <v>62</v>
      </c>
      <c r="AT3822" s="3" t="s">
        <v>62</v>
      </c>
      <c r="AU3822" s="6" t="str">
        <f>HYPERLINK("http://catalog.hathitrust.org/Record/001388636","HathiTrust Record")</f>
        <v>HathiTrust Record</v>
      </c>
      <c r="AV3822" s="6" t="str">
        <f>HYPERLINK("http://mcgill.on.worldcat.org/oclc/541602","Catalog Record")</f>
        <v>Catalog Record</v>
      </c>
      <c r="AW3822" s="6" t="str">
        <f>HYPERLINK("http://www.worldcat.org/oclc/541602","WorldCat Record")</f>
        <v>WorldCat Record</v>
      </c>
      <c r="AX3822" s="3" t="s">
        <v>36963</v>
      </c>
      <c r="AY3822" s="3" t="s">
        <v>36964</v>
      </c>
      <c r="AZ3822" s="3" t="s">
        <v>36965</v>
      </c>
      <c r="BA3822" s="3" t="s">
        <v>36965</v>
      </c>
      <c r="BB3822" s="3" t="s">
        <v>36966</v>
      </c>
      <c r="BC3822" s="3" t="s">
        <v>102</v>
      </c>
      <c r="BD3822" s="3" t="s">
        <v>68</v>
      </c>
      <c r="BF3822" s="3" t="s">
        <v>36966</v>
      </c>
      <c r="BG3822" s="3" t="s">
        <v>36967</v>
      </c>
    </row>
    <row r="3823" spans="1:59" ht="58" x14ac:dyDescent="0.35">
      <c r="A3823" s="2" t="s">
        <v>89</v>
      </c>
      <c r="B3823" s="2" t="s">
        <v>90</v>
      </c>
      <c r="C3823" s="2" t="s">
        <v>36968</v>
      </c>
      <c r="D3823" s="2" t="s">
        <v>36969</v>
      </c>
      <c r="E3823" s="2" t="s">
        <v>36970</v>
      </c>
      <c r="G3823" s="3" t="s">
        <v>62</v>
      </c>
      <c r="I3823" s="3" t="s">
        <v>62</v>
      </c>
      <c r="J3823" s="3" t="s">
        <v>61</v>
      </c>
      <c r="K3823" s="3" t="s">
        <v>63</v>
      </c>
      <c r="L3823" s="2" t="s">
        <v>28848</v>
      </c>
      <c r="M3823" s="2" t="s">
        <v>36971</v>
      </c>
      <c r="N3823" s="3" t="s">
        <v>893</v>
      </c>
      <c r="P3823" s="3" t="s">
        <v>85</v>
      </c>
      <c r="Q3823" s="2" t="s">
        <v>36972</v>
      </c>
      <c r="R3823" s="3" t="s">
        <v>34126</v>
      </c>
      <c r="S3823" s="4">
        <v>9</v>
      </c>
      <c r="T3823" s="4">
        <v>9</v>
      </c>
      <c r="U3823" s="5" t="s">
        <v>13087</v>
      </c>
      <c r="V3823" s="5" t="s">
        <v>13087</v>
      </c>
      <c r="W3823" s="5" t="s">
        <v>67</v>
      </c>
      <c r="X3823" s="5" t="s">
        <v>67</v>
      </c>
      <c r="Y3823" s="4">
        <v>198</v>
      </c>
      <c r="Z3823" s="4">
        <v>19</v>
      </c>
      <c r="AA3823" s="4">
        <v>26</v>
      </c>
      <c r="AB3823" s="4">
        <v>1</v>
      </c>
      <c r="AC3823" s="4">
        <v>6</v>
      </c>
      <c r="AD3823" s="4">
        <v>96</v>
      </c>
      <c r="AE3823" s="4">
        <v>102</v>
      </c>
      <c r="AF3823" s="4">
        <v>0</v>
      </c>
      <c r="AG3823" s="4">
        <v>3</v>
      </c>
      <c r="AH3823" s="4">
        <v>86</v>
      </c>
      <c r="AI3823" s="4">
        <v>90</v>
      </c>
      <c r="AJ3823" s="4">
        <v>15</v>
      </c>
      <c r="AK3823" s="4">
        <v>20</v>
      </c>
      <c r="AL3823" s="4">
        <v>50</v>
      </c>
      <c r="AM3823" s="4">
        <v>50</v>
      </c>
      <c r="AN3823" s="4">
        <v>0</v>
      </c>
      <c r="AO3823" s="4">
        <v>0</v>
      </c>
      <c r="AP3823" s="4">
        <v>15</v>
      </c>
      <c r="AQ3823" s="4">
        <v>19</v>
      </c>
      <c r="AR3823" s="3" t="s">
        <v>62</v>
      </c>
      <c r="AS3823" s="3" t="s">
        <v>62</v>
      </c>
      <c r="AT3823" s="3" t="s">
        <v>61</v>
      </c>
      <c r="AU3823" s="6" t="str">
        <f>HYPERLINK("http://catalog.hathitrust.org/Record/000263457","HathiTrust Record")</f>
        <v>HathiTrust Record</v>
      </c>
      <c r="AV3823" s="6" t="str">
        <f>HYPERLINK("http://mcgill.on.worldcat.org/oclc/7553158","Catalog Record")</f>
        <v>Catalog Record</v>
      </c>
      <c r="AW3823" s="6" t="str">
        <f>HYPERLINK("http://www.worldcat.org/oclc/7553158","WorldCat Record")</f>
        <v>WorldCat Record</v>
      </c>
      <c r="AX3823" s="3" t="s">
        <v>36973</v>
      </c>
      <c r="AY3823" s="3" t="s">
        <v>36974</v>
      </c>
      <c r="AZ3823" s="3" t="s">
        <v>36975</v>
      </c>
      <c r="BA3823" s="3" t="s">
        <v>36975</v>
      </c>
      <c r="BB3823" s="3" t="s">
        <v>36976</v>
      </c>
      <c r="BC3823" s="3" t="s">
        <v>102</v>
      </c>
      <c r="BD3823" s="3" t="s">
        <v>68</v>
      </c>
      <c r="BE3823" s="3" t="s">
        <v>36977</v>
      </c>
      <c r="BF3823" s="3" t="s">
        <v>36976</v>
      </c>
      <c r="BG3823" s="3" t="s">
        <v>36978</v>
      </c>
    </row>
    <row r="3824" spans="1:59" ht="58" x14ac:dyDescent="0.35">
      <c r="A3824" s="2" t="s">
        <v>89</v>
      </c>
      <c r="B3824" s="2" t="s">
        <v>90</v>
      </c>
      <c r="C3824" s="2" t="s">
        <v>36979</v>
      </c>
      <c r="D3824" s="2" t="s">
        <v>36980</v>
      </c>
      <c r="E3824" s="2" t="s">
        <v>36981</v>
      </c>
      <c r="G3824" s="3" t="s">
        <v>62</v>
      </c>
      <c r="I3824" s="3" t="s">
        <v>61</v>
      </c>
      <c r="J3824" s="3" t="s">
        <v>62</v>
      </c>
      <c r="K3824" s="3" t="s">
        <v>63</v>
      </c>
      <c r="L3824" s="2" t="s">
        <v>36982</v>
      </c>
      <c r="M3824" s="2" t="s">
        <v>36983</v>
      </c>
      <c r="N3824" s="3" t="s">
        <v>466</v>
      </c>
      <c r="P3824" s="3" t="s">
        <v>64</v>
      </c>
      <c r="R3824" s="3" t="s">
        <v>34126</v>
      </c>
      <c r="S3824" s="4">
        <v>17</v>
      </c>
      <c r="T3824" s="4">
        <v>34</v>
      </c>
      <c r="U3824" s="5" t="s">
        <v>36254</v>
      </c>
      <c r="V3824" s="5" t="s">
        <v>931</v>
      </c>
      <c r="W3824" s="5" t="s">
        <v>67</v>
      </c>
      <c r="X3824" s="5" t="s">
        <v>67</v>
      </c>
      <c r="Y3824" s="4">
        <v>604</v>
      </c>
      <c r="Z3824" s="4">
        <v>48</v>
      </c>
      <c r="AA3824" s="4">
        <v>50</v>
      </c>
      <c r="AB3824" s="4">
        <v>2</v>
      </c>
      <c r="AC3824" s="4">
        <v>4</v>
      </c>
      <c r="AD3824" s="4">
        <v>134</v>
      </c>
      <c r="AE3824" s="4">
        <v>135</v>
      </c>
      <c r="AF3824" s="4">
        <v>1</v>
      </c>
      <c r="AG3824" s="4">
        <v>2</v>
      </c>
      <c r="AH3824" s="4">
        <v>106</v>
      </c>
      <c r="AI3824" s="4">
        <v>106</v>
      </c>
      <c r="AJ3824" s="4">
        <v>22</v>
      </c>
      <c r="AK3824" s="4">
        <v>23</v>
      </c>
      <c r="AL3824" s="4">
        <v>56</v>
      </c>
      <c r="AM3824" s="4">
        <v>56</v>
      </c>
      <c r="AN3824" s="4">
        <v>0</v>
      </c>
      <c r="AO3824" s="4">
        <v>0</v>
      </c>
      <c r="AP3824" s="4">
        <v>36</v>
      </c>
      <c r="AQ3824" s="4">
        <v>37</v>
      </c>
      <c r="AR3824" s="3" t="s">
        <v>62</v>
      </c>
      <c r="AS3824" s="3" t="s">
        <v>62</v>
      </c>
      <c r="AT3824" s="3" t="s">
        <v>61</v>
      </c>
      <c r="AU3824" s="6" t="str">
        <f>HYPERLINK("http://catalog.hathitrust.org/Record/002581567","HathiTrust Record")</f>
        <v>HathiTrust Record</v>
      </c>
      <c r="AV3824" s="6" t="str">
        <f>HYPERLINK("http://mcgill.on.worldcat.org/oclc/25316318","Catalog Record")</f>
        <v>Catalog Record</v>
      </c>
      <c r="AW3824" s="6" t="str">
        <f>HYPERLINK("http://www.worldcat.org/oclc/25316318","WorldCat Record")</f>
        <v>WorldCat Record</v>
      </c>
      <c r="AX3824" s="3" t="s">
        <v>36984</v>
      </c>
      <c r="AY3824" s="3" t="s">
        <v>36985</v>
      </c>
      <c r="AZ3824" s="3" t="s">
        <v>36986</v>
      </c>
      <c r="BA3824" s="3" t="s">
        <v>36986</v>
      </c>
      <c r="BB3824" s="3" t="s">
        <v>36987</v>
      </c>
      <c r="BC3824" s="3" t="s">
        <v>102</v>
      </c>
      <c r="BD3824" s="3" t="s">
        <v>68</v>
      </c>
      <c r="BE3824" s="3" t="s">
        <v>36988</v>
      </c>
      <c r="BF3824" s="3" t="s">
        <v>36987</v>
      </c>
      <c r="BG3824" s="3" t="s">
        <v>36989</v>
      </c>
    </row>
    <row r="3825" spans="1:59" ht="58" x14ac:dyDescent="0.35">
      <c r="A3825" s="2" t="s">
        <v>89</v>
      </c>
      <c r="B3825" s="2" t="s">
        <v>90</v>
      </c>
      <c r="C3825" s="2" t="s">
        <v>36979</v>
      </c>
      <c r="D3825" s="2" t="s">
        <v>36980</v>
      </c>
      <c r="E3825" s="2" t="s">
        <v>36981</v>
      </c>
      <c r="G3825" s="3" t="s">
        <v>62</v>
      </c>
      <c r="I3825" s="3" t="s">
        <v>61</v>
      </c>
      <c r="J3825" s="3" t="s">
        <v>62</v>
      </c>
      <c r="K3825" s="3" t="s">
        <v>63</v>
      </c>
      <c r="L3825" s="2" t="s">
        <v>36982</v>
      </c>
      <c r="M3825" s="2" t="s">
        <v>36983</v>
      </c>
      <c r="N3825" s="3" t="s">
        <v>466</v>
      </c>
      <c r="P3825" s="3" t="s">
        <v>64</v>
      </c>
      <c r="R3825" s="3" t="s">
        <v>34126</v>
      </c>
      <c r="S3825" s="4">
        <v>17</v>
      </c>
      <c r="T3825" s="4">
        <v>34</v>
      </c>
      <c r="U3825" s="5" t="s">
        <v>931</v>
      </c>
      <c r="V3825" s="5" t="s">
        <v>931</v>
      </c>
      <c r="W3825" s="5" t="s">
        <v>67</v>
      </c>
      <c r="X3825" s="5" t="s">
        <v>67</v>
      </c>
      <c r="Y3825" s="4">
        <v>604</v>
      </c>
      <c r="Z3825" s="4">
        <v>48</v>
      </c>
      <c r="AA3825" s="4">
        <v>50</v>
      </c>
      <c r="AB3825" s="4">
        <v>2</v>
      </c>
      <c r="AC3825" s="4">
        <v>4</v>
      </c>
      <c r="AD3825" s="4">
        <v>134</v>
      </c>
      <c r="AE3825" s="4">
        <v>135</v>
      </c>
      <c r="AF3825" s="4">
        <v>1</v>
      </c>
      <c r="AG3825" s="4">
        <v>2</v>
      </c>
      <c r="AH3825" s="4">
        <v>106</v>
      </c>
      <c r="AI3825" s="4">
        <v>106</v>
      </c>
      <c r="AJ3825" s="4">
        <v>22</v>
      </c>
      <c r="AK3825" s="4">
        <v>23</v>
      </c>
      <c r="AL3825" s="4">
        <v>56</v>
      </c>
      <c r="AM3825" s="4">
        <v>56</v>
      </c>
      <c r="AN3825" s="4">
        <v>0</v>
      </c>
      <c r="AO3825" s="4">
        <v>0</v>
      </c>
      <c r="AP3825" s="4">
        <v>36</v>
      </c>
      <c r="AQ3825" s="4">
        <v>37</v>
      </c>
      <c r="AR3825" s="3" t="s">
        <v>62</v>
      </c>
      <c r="AS3825" s="3" t="s">
        <v>62</v>
      </c>
      <c r="AT3825" s="3" t="s">
        <v>61</v>
      </c>
      <c r="AU3825" s="6" t="str">
        <f>HYPERLINK("http://catalog.hathitrust.org/Record/002581567","HathiTrust Record")</f>
        <v>HathiTrust Record</v>
      </c>
      <c r="AV3825" s="6" t="str">
        <f>HYPERLINK("http://mcgill.on.worldcat.org/oclc/25316318","Catalog Record")</f>
        <v>Catalog Record</v>
      </c>
      <c r="AW3825" s="6" t="str">
        <f>HYPERLINK("http://www.worldcat.org/oclc/25316318","WorldCat Record")</f>
        <v>WorldCat Record</v>
      </c>
      <c r="AX3825" s="3" t="s">
        <v>36984</v>
      </c>
      <c r="AY3825" s="3" t="s">
        <v>36985</v>
      </c>
      <c r="AZ3825" s="3" t="s">
        <v>36986</v>
      </c>
      <c r="BA3825" s="3" t="s">
        <v>36986</v>
      </c>
      <c r="BB3825" s="3" t="s">
        <v>36990</v>
      </c>
      <c r="BC3825" s="3" t="s">
        <v>102</v>
      </c>
      <c r="BD3825" s="3" t="s">
        <v>68</v>
      </c>
      <c r="BE3825" s="3" t="s">
        <v>36988</v>
      </c>
      <c r="BF3825" s="3" t="s">
        <v>36990</v>
      </c>
      <c r="BG3825" s="3" t="s">
        <v>36991</v>
      </c>
    </row>
    <row r="3826" spans="1:59" ht="58" x14ac:dyDescent="0.35">
      <c r="A3826" s="2" t="s">
        <v>89</v>
      </c>
      <c r="B3826" s="2" t="s">
        <v>90</v>
      </c>
      <c r="C3826" s="2" t="s">
        <v>36992</v>
      </c>
      <c r="D3826" s="2" t="s">
        <v>36993</v>
      </c>
      <c r="E3826" s="2" t="s">
        <v>36994</v>
      </c>
      <c r="G3826" s="3" t="s">
        <v>62</v>
      </c>
      <c r="I3826" s="3" t="s">
        <v>62</v>
      </c>
      <c r="J3826" s="3" t="s">
        <v>62</v>
      </c>
      <c r="K3826" s="3" t="s">
        <v>63</v>
      </c>
      <c r="M3826" s="2" t="s">
        <v>36995</v>
      </c>
      <c r="N3826" s="3" t="s">
        <v>712</v>
      </c>
      <c r="P3826" s="3" t="s">
        <v>64</v>
      </c>
      <c r="Q3826" s="2" t="s">
        <v>36996</v>
      </c>
      <c r="R3826" s="3" t="s">
        <v>34126</v>
      </c>
      <c r="S3826" s="4">
        <v>2</v>
      </c>
      <c r="T3826" s="4">
        <v>2</v>
      </c>
      <c r="U3826" s="5" t="s">
        <v>15112</v>
      </c>
      <c r="V3826" s="5" t="s">
        <v>15112</v>
      </c>
      <c r="W3826" s="5" t="s">
        <v>67</v>
      </c>
      <c r="X3826" s="5" t="s">
        <v>67</v>
      </c>
      <c r="Y3826" s="4">
        <v>34</v>
      </c>
      <c r="Z3826" s="4">
        <v>3</v>
      </c>
      <c r="AA3826" s="4">
        <v>59</v>
      </c>
      <c r="AB3826" s="4">
        <v>1</v>
      </c>
      <c r="AC3826" s="4">
        <v>8</v>
      </c>
      <c r="AD3826" s="4">
        <v>14</v>
      </c>
      <c r="AE3826" s="4">
        <v>73</v>
      </c>
      <c r="AF3826" s="4">
        <v>0</v>
      </c>
      <c r="AG3826" s="4">
        <v>4</v>
      </c>
      <c r="AH3826" s="4">
        <v>12</v>
      </c>
      <c r="AI3826" s="4">
        <v>44</v>
      </c>
      <c r="AJ3826" s="4">
        <v>1</v>
      </c>
      <c r="AK3826" s="4">
        <v>21</v>
      </c>
      <c r="AL3826" s="4">
        <v>6</v>
      </c>
      <c r="AM3826" s="4">
        <v>21</v>
      </c>
      <c r="AN3826" s="4">
        <v>0</v>
      </c>
      <c r="AO3826" s="4">
        <v>0</v>
      </c>
      <c r="AP3826" s="4">
        <v>2</v>
      </c>
      <c r="AQ3826" s="4">
        <v>34</v>
      </c>
      <c r="AR3826" s="3" t="s">
        <v>62</v>
      </c>
      <c r="AS3826" s="3" t="s">
        <v>62</v>
      </c>
      <c r="AT3826" s="3" t="s">
        <v>62</v>
      </c>
      <c r="AV3826" s="6" t="str">
        <f>HYPERLINK("http://mcgill.on.worldcat.org/oclc/868017404","Catalog Record")</f>
        <v>Catalog Record</v>
      </c>
      <c r="AW3826" s="6" t="str">
        <f>HYPERLINK("http://www.worldcat.org/oclc/868017404","WorldCat Record")</f>
        <v>WorldCat Record</v>
      </c>
      <c r="AX3826" s="3" t="s">
        <v>36997</v>
      </c>
      <c r="AY3826" s="3" t="s">
        <v>36998</v>
      </c>
      <c r="AZ3826" s="3" t="s">
        <v>36999</v>
      </c>
      <c r="BA3826" s="3" t="s">
        <v>36999</v>
      </c>
      <c r="BB3826" s="3" t="s">
        <v>37000</v>
      </c>
      <c r="BC3826" s="3" t="s">
        <v>102</v>
      </c>
      <c r="BD3826" s="3" t="s">
        <v>68</v>
      </c>
      <c r="BE3826" s="3" t="s">
        <v>37001</v>
      </c>
      <c r="BF3826" s="3" t="s">
        <v>37000</v>
      </c>
      <c r="BG3826" s="3" t="s">
        <v>37002</v>
      </c>
    </row>
    <row r="3827" spans="1:59" ht="72.5" x14ac:dyDescent="0.35">
      <c r="A3827" s="2" t="s">
        <v>89</v>
      </c>
      <c r="B3827" s="2" t="s">
        <v>90</v>
      </c>
      <c r="C3827" s="2" t="s">
        <v>37003</v>
      </c>
      <c r="D3827" s="2" t="s">
        <v>37004</v>
      </c>
      <c r="E3827" s="2" t="s">
        <v>37005</v>
      </c>
      <c r="G3827" s="3" t="s">
        <v>62</v>
      </c>
      <c r="I3827" s="3" t="s">
        <v>62</v>
      </c>
      <c r="J3827" s="3" t="s">
        <v>62</v>
      </c>
      <c r="K3827" s="3" t="s">
        <v>63</v>
      </c>
      <c r="M3827" s="2" t="s">
        <v>37006</v>
      </c>
      <c r="N3827" s="3" t="s">
        <v>1482</v>
      </c>
      <c r="P3827" s="3" t="s">
        <v>64</v>
      </c>
      <c r="R3827" s="3" t="s">
        <v>34126</v>
      </c>
      <c r="S3827" s="4">
        <v>2</v>
      </c>
      <c r="T3827" s="4">
        <v>2</v>
      </c>
      <c r="U3827" s="5" t="s">
        <v>4920</v>
      </c>
      <c r="V3827" s="5" t="s">
        <v>4920</v>
      </c>
      <c r="W3827" s="5" t="s">
        <v>67</v>
      </c>
      <c r="X3827" s="5" t="s">
        <v>67</v>
      </c>
      <c r="Y3827" s="4">
        <v>48</v>
      </c>
      <c r="Z3827" s="4">
        <v>5</v>
      </c>
      <c r="AA3827" s="4">
        <v>5</v>
      </c>
      <c r="AB3827" s="4">
        <v>1</v>
      </c>
      <c r="AC3827" s="4">
        <v>1</v>
      </c>
      <c r="AD3827" s="4">
        <v>28</v>
      </c>
      <c r="AE3827" s="4">
        <v>28</v>
      </c>
      <c r="AF3827" s="4">
        <v>0</v>
      </c>
      <c r="AG3827" s="4">
        <v>0</v>
      </c>
      <c r="AH3827" s="4">
        <v>26</v>
      </c>
      <c r="AI3827" s="4">
        <v>26</v>
      </c>
      <c r="AJ3827" s="4">
        <v>3</v>
      </c>
      <c r="AK3827" s="4">
        <v>3</v>
      </c>
      <c r="AL3827" s="4">
        <v>16</v>
      </c>
      <c r="AM3827" s="4">
        <v>16</v>
      </c>
      <c r="AN3827" s="4">
        <v>0</v>
      </c>
      <c r="AO3827" s="4">
        <v>0</v>
      </c>
      <c r="AP3827" s="4">
        <v>2</v>
      </c>
      <c r="AQ3827" s="4">
        <v>2</v>
      </c>
      <c r="AR3827" s="3" t="s">
        <v>62</v>
      </c>
      <c r="AS3827" s="3" t="s">
        <v>62</v>
      </c>
      <c r="AT3827" s="3" t="s">
        <v>61</v>
      </c>
      <c r="AU3827" s="6" t="str">
        <f>HYPERLINK("http://catalog.hathitrust.org/Record/000851530","HathiTrust Record")</f>
        <v>HathiTrust Record</v>
      </c>
      <c r="AV3827" s="6" t="str">
        <f>HYPERLINK("http://mcgill.on.worldcat.org/oclc/16869881","Catalog Record")</f>
        <v>Catalog Record</v>
      </c>
      <c r="AW3827" s="6" t="str">
        <f>HYPERLINK("http://www.worldcat.org/oclc/16869881","WorldCat Record")</f>
        <v>WorldCat Record</v>
      </c>
      <c r="AX3827" s="3" t="s">
        <v>37007</v>
      </c>
      <c r="AY3827" s="3" t="s">
        <v>37008</v>
      </c>
      <c r="AZ3827" s="3" t="s">
        <v>37009</v>
      </c>
      <c r="BA3827" s="3" t="s">
        <v>37009</v>
      </c>
      <c r="BB3827" s="3" t="s">
        <v>37010</v>
      </c>
      <c r="BC3827" s="3" t="s">
        <v>102</v>
      </c>
      <c r="BD3827" s="3" t="s">
        <v>68</v>
      </c>
      <c r="BE3827" s="3" t="s">
        <v>37011</v>
      </c>
      <c r="BF3827" s="3" t="s">
        <v>37010</v>
      </c>
      <c r="BG3827" s="3" t="s">
        <v>37012</v>
      </c>
    </row>
    <row r="3828" spans="1:59" ht="58" x14ac:dyDescent="0.35">
      <c r="A3828" s="2" t="s">
        <v>89</v>
      </c>
      <c r="B3828" s="2" t="s">
        <v>90</v>
      </c>
      <c r="C3828" s="2" t="s">
        <v>37013</v>
      </c>
      <c r="D3828" s="2" t="s">
        <v>37014</v>
      </c>
      <c r="E3828" s="2" t="s">
        <v>37015</v>
      </c>
      <c r="G3828" s="3" t="s">
        <v>62</v>
      </c>
      <c r="I3828" s="3" t="s">
        <v>61</v>
      </c>
      <c r="J3828" s="3" t="s">
        <v>62</v>
      </c>
      <c r="K3828" s="3" t="s">
        <v>63</v>
      </c>
      <c r="L3828" s="2" t="s">
        <v>37016</v>
      </c>
      <c r="M3828" s="2" t="s">
        <v>37017</v>
      </c>
      <c r="N3828" s="3" t="s">
        <v>655</v>
      </c>
      <c r="P3828" s="3" t="s">
        <v>64</v>
      </c>
      <c r="Q3828" s="2" t="s">
        <v>37018</v>
      </c>
      <c r="R3828" s="3" t="s">
        <v>34126</v>
      </c>
      <c r="S3828" s="4">
        <v>6</v>
      </c>
      <c r="T3828" s="4">
        <v>12</v>
      </c>
      <c r="U3828" s="5" t="s">
        <v>2850</v>
      </c>
      <c r="V3828" s="5" t="s">
        <v>2850</v>
      </c>
      <c r="W3828" s="5" t="s">
        <v>67</v>
      </c>
      <c r="X3828" s="5" t="s">
        <v>67</v>
      </c>
      <c r="Y3828" s="4">
        <v>72</v>
      </c>
      <c r="Z3828" s="4">
        <v>8</v>
      </c>
      <c r="AA3828" s="4">
        <v>95</v>
      </c>
      <c r="AB3828" s="4">
        <v>1</v>
      </c>
      <c r="AC3828" s="4">
        <v>16</v>
      </c>
      <c r="AD3828" s="4">
        <v>22</v>
      </c>
      <c r="AE3828" s="4">
        <v>132</v>
      </c>
      <c r="AF3828" s="4">
        <v>0</v>
      </c>
      <c r="AG3828" s="4">
        <v>8</v>
      </c>
      <c r="AH3828" s="4">
        <v>19</v>
      </c>
      <c r="AI3828" s="4">
        <v>90</v>
      </c>
      <c r="AJ3828" s="4">
        <v>5</v>
      </c>
      <c r="AK3828" s="4">
        <v>25</v>
      </c>
      <c r="AL3828" s="4">
        <v>11</v>
      </c>
      <c r="AM3828" s="4">
        <v>49</v>
      </c>
      <c r="AN3828" s="4">
        <v>0</v>
      </c>
      <c r="AO3828" s="4">
        <v>0</v>
      </c>
      <c r="AP3828" s="4">
        <v>6</v>
      </c>
      <c r="AQ3828" s="4">
        <v>48</v>
      </c>
      <c r="AR3828" s="3" t="s">
        <v>62</v>
      </c>
      <c r="AS3828" s="3" t="s">
        <v>62</v>
      </c>
      <c r="AT3828" s="3" t="s">
        <v>61</v>
      </c>
      <c r="AU3828" s="6" t="str">
        <f>HYPERLINK("http://catalog.hathitrust.org/Record/100071192","HathiTrust Record")</f>
        <v>HathiTrust Record</v>
      </c>
      <c r="AV3828" s="6" t="str">
        <f>HYPERLINK("http://mcgill.on.worldcat.org/oclc/71285450","Catalog Record")</f>
        <v>Catalog Record</v>
      </c>
      <c r="AW3828" s="6" t="str">
        <f>HYPERLINK("http://www.worldcat.org/oclc/71285450","WorldCat Record")</f>
        <v>WorldCat Record</v>
      </c>
      <c r="AX3828" s="3" t="s">
        <v>37019</v>
      </c>
      <c r="AY3828" s="3" t="s">
        <v>37020</v>
      </c>
      <c r="AZ3828" s="3" t="s">
        <v>37021</v>
      </c>
      <c r="BA3828" s="3" t="s">
        <v>37021</v>
      </c>
      <c r="BB3828" s="3" t="s">
        <v>37022</v>
      </c>
      <c r="BC3828" s="3" t="s">
        <v>102</v>
      </c>
      <c r="BD3828" s="3" t="s">
        <v>68</v>
      </c>
      <c r="BE3828" s="3" t="s">
        <v>37023</v>
      </c>
      <c r="BF3828" s="3" t="s">
        <v>37022</v>
      </c>
      <c r="BG3828" s="3" t="s">
        <v>37024</v>
      </c>
    </row>
    <row r="3829" spans="1:59" ht="58" x14ac:dyDescent="0.35">
      <c r="A3829" s="2" t="s">
        <v>89</v>
      </c>
      <c r="B3829" s="2" t="s">
        <v>90</v>
      </c>
      <c r="C3829" s="2" t="s">
        <v>37025</v>
      </c>
      <c r="D3829" s="2" t="s">
        <v>37026</v>
      </c>
      <c r="E3829" s="2" t="s">
        <v>37027</v>
      </c>
      <c r="G3829" s="3" t="s">
        <v>62</v>
      </c>
      <c r="I3829" s="3" t="s">
        <v>62</v>
      </c>
      <c r="J3829" s="3" t="s">
        <v>62</v>
      </c>
      <c r="K3829" s="3" t="s">
        <v>63</v>
      </c>
      <c r="L3829" s="2" t="s">
        <v>37028</v>
      </c>
      <c r="M3829" s="2" t="s">
        <v>37029</v>
      </c>
      <c r="N3829" s="3" t="s">
        <v>698</v>
      </c>
      <c r="P3829" s="3" t="s">
        <v>64</v>
      </c>
      <c r="Q3829" s="2" t="s">
        <v>5551</v>
      </c>
      <c r="R3829" s="3" t="s">
        <v>34126</v>
      </c>
      <c r="S3829" s="4">
        <v>6</v>
      </c>
      <c r="T3829" s="4">
        <v>6</v>
      </c>
      <c r="U3829" s="5" t="s">
        <v>1699</v>
      </c>
      <c r="V3829" s="5" t="s">
        <v>1699</v>
      </c>
      <c r="W3829" s="5" t="s">
        <v>67</v>
      </c>
      <c r="X3829" s="5" t="s">
        <v>67</v>
      </c>
      <c r="Y3829" s="4">
        <v>176</v>
      </c>
      <c r="Z3829" s="4">
        <v>17</v>
      </c>
      <c r="AA3829" s="4">
        <v>89</v>
      </c>
      <c r="AB3829" s="4">
        <v>1</v>
      </c>
      <c r="AC3829" s="4">
        <v>15</v>
      </c>
      <c r="AD3829" s="4">
        <v>75</v>
      </c>
      <c r="AE3829" s="4">
        <v>138</v>
      </c>
      <c r="AF3829" s="4">
        <v>0</v>
      </c>
      <c r="AG3829" s="4">
        <v>8</v>
      </c>
      <c r="AH3829" s="4">
        <v>67</v>
      </c>
      <c r="AI3829" s="4">
        <v>96</v>
      </c>
      <c r="AJ3829" s="4">
        <v>11</v>
      </c>
      <c r="AK3829" s="4">
        <v>26</v>
      </c>
      <c r="AL3829" s="4">
        <v>41</v>
      </c>
      <c r="AM3829" s="4">
        <v>51</v>
      </c>
      <c r="AN3829" s="4">
        <v>0</v>
      </c>
      <c r="AO3829" s="4">
        <v>0</v>
      </c>
      <c r="AP3829" s="4">
        <v>15</v>
      </c>
      <c r="AQ3829" s="4">
        <v>52</v>
      </c>
      <c r="AR3829" s="3" t="s">
        <v>62</v>
      </c>
      <c r="AS3829" s="3" t="s">
        <v>62</v>
      </c>
      <c r="AT3829" s="3" t="s">
        <v>62</v>
      </c>
      <c r="AV3829" s="6" t="str">
        <f>HYPERLINK("http://mcgill.on.worldcat.org/oclc/742512012","Catalog Record")</f>
        <v>Catalog Record</v>
      </c>
      <c r="AW3829" s="6" t="str">
        <f>HYPERLINK("http://www.worldcat.org/oclc/742512012","WorldCat Record")</f>
        <v>WorldCat Record</v>
      </c>
      <c r="AX3829" s="3" t="s">
        <v>37030</v>
      </c>
      <c r="AY3829" s="3" t="s">
        <v>37031</v>
      </c>
      <c r="AZ3829" s="3" t="s">
        <v>37032</v>
      </c>
      <c r="BA3829" s="3" t="s">
        <v>37032</v>
      </c>
      <c r="BB3829" s="3" t="s">
        <v>37033</v>
      </c>
      <c r="BC3829" s="3" t="s">
        <v>102</v>
      </c>
      <c r="BD3829" s="3" t="s">
        <v>68</v>
      </c>
      <c r="BE3829" s="3" t="s">
        <v>37034</v>
      </c>
      <c r="BF3829" s="3" t="s">
        <v>37033</v>
      </c>
      <c r="BG3829" s="3" t="s">
        <v>37035</v>
      </c>
    </row>
    <row r="3830" spans="1:59" ht="58" x14ac:dyDescent="0.35">
      <c r="A3830" s="2" t="s">
        <v>89</v>
      </c>
      <c r="B3830" s="2" t="s">
        <v>90</v>
      </c>
      <c r="C3830" s="2" t="s">
        <v>37036</v>
      </c>
      <c r="D3830" s="2" t="s">
        <v>37037</v>
      </c>
      <c r="E3830" s="2" t="s">
        <v>37038</v>
      </c>
      <c r="G3830" s="3" t="s">
        <v>62</v>
      </c>
      <c r="I3830" s="3" t="s">
        <v>62</v>
      </c>
      <c r="J3830" s="3" t="s">
        <v>62</v>
      </c>
      <c r="K3830" s="3" t="s">
        <v>63</v>
      </c>
      <c r="L3830" s="2" t="s">
        <v>37039</v>
      </c>
      <c r="M3830" s="2" t="s">
        <v>37040</v>
      </c>
      <c r="N3830" s="3" t="s">
        <v>201</v>
      </c>
      <c r="P3830" s="3" t="s">
        <v>64</v>
      </c>
      <c r="R3830" s="3" t="s">
        <v>34126</v>
      </c>
      <c r="S3830" s="4">
        <v>38</v>
      </c>
      <c r="T3830" s="4">
        <v>38</v>
      </c>
      <c r="U3830" s="5" t="s">
        <v>17255</v>
      </c>
      <c r="V3830" s="5" t="s">
        <v>17255</v>
      </c>
      <c r="W3830" s="5" t="s">
        <v>67</v>
      </c>
      <c r="X3830" s="5" t="s">
        <v>67</v>
      </c>
      <c r="Y3830" s="4">
        <v>336</v>
      </c>
      <c r="Z3830" s="4">
        <v>23</v>
      </c>
      <c r="AA3830" s="4">
        <v>24</v>
      </c>
      <c r="AB3830" s="4">
        <v>1</v>
      </c>
      <c r="AC3830" s="4">
        <v>2</v>
      </c>
      <c r="AD3830" s="4">
        <v>114</v>
      </c>
      <c r="AE3830" s="4">
        <v>115</v>
      </c>
      <c r="AF3830" s="4">
        <v>0</v>
      </c>
      <c r="AG3830" s="4">
        <v>1</v>
      </c>
      <c r="AH3830" s="4">
        <v>100</v>
      </c>
      <c r="AI3830" s="4">
        <v>100</v>
      </c>
      <c r="AJ3830" s="4">
        <v>17</v>
      </c>
      <c r="AK3830" s="4">
        <v>18</v>
      </c>
      <c r="AL3830" s="4">
        <v>56</v>
      </c>
      <c r="AM3830" s="4">
        <v>56</v>
      </c>
      <c r="AN3830" s="4">
        <v>0</v>
      </c>
      <c r="AO3830" s="4">
        <v>0</v>
      </c>
      <c r="AP3830" s="4">
        <v>20</v>
      </c>
      <c r="AQ3830" s="4">
        <v>20</v>
      </c>
      <c r="AR3830" s="3" t="s">
        <v>62</v>
      </c>
      <c r="AS3830" s="3" t="s">
        <v>62</v>
      </c>
      <c r="AT3830" s="3" t="s">
        <v>62</v>
      </c>
      <c r="AV3830" s="6" t="str">
        <f>HYPERLINK("http://mcgill.on.worldcat.org/oclc/2136420","Catalog Record")</f>
        <v>Catalog Record</v>
      </c>
      <c r="AW3830" s="6" t="str">
        <f>HYPERLINK("http://www.worldcat.org/oclc/2136420","WorldCat Record")</f>
        <v>WorldCat Record</v>
      </c>
      <c r="AX3830" s="3" t="s">
        <v>37041</v>
      </c>
      <c r="AY3830" s="3" t="s">
        <v>37042</v>
      </c>
      <c r="AZ3830" s="3" t="s">
        <v>37043</v>
      </c>
      <c r="BA3830" s="3" t="s">
        <v>37043</v>
      </c>
      <c r="BB3830" s="3" t="s">
        <v>37044</v>
      </c>
      <c r="BC3830" s="3" t="s">
        <v>102</v>
      </c>
      <c r="BD3830" s="3" t="s">
        <v>231</v>
      </c>
      <c r="BE3830" s="3" t="s">
        <v>37045</v>
      </c>
      <c r="BF3830" s="3" t="s">
        <v>37044</v>
      </c>
      <c r="BG3830" s="3" t="s">
        <v>37046</v>
      </c>
    </row>
    <row r="3831" spans="1:59" ht="58" x14ac:dyDescent="0.35">
      <c r="A3831" s="2" t="s">
        <v>59</v>
      </c>
      <c r="B3831" s="2" t="s">
        <v>60</v>
      </c>
      <c r="C3831" s="2" t="s">
        <v>37047</v>
      </c>
      <c r="D3831" s="2" t="s">
        <v>37048</v>
      </c>
      <c r="E3831" s="2" t="s">
        <v>37049</v>
      </c>
      <c r="G3831" s="3" t="s">
        <v>62</v>
      </c>
      <c r="I3831" s="3" t="s">
        <v>62</v>
      </c>
      <c r="J3831" s="3" t="s">
        <v>61</v>
      </c>
      <c r="K3831" s="3" t="s">
        <v>63</v>
      </c>
      <c r="L3831" s="2" t="s">
        <v>37050</v>
      </c>
      <c r="M3831" s="2" t="s">
        <v>37051</v>
      </c>
      <c r="N3831" s="3" t="s">
        <v>1639</v>
      </c>
      <c r="P3831" s="3" t="s">
        <v>64</v>
      </c>
      <c r="R3831" s="3" t="s">
        <v>34126</v>
      </c>
      <c r="S3831" s="4">
        <v>3</v>
      </c>
      <c r="T3831" s="4">
        <v>3</v>
      </c>
      <c r="U3831" s="5" t="s">
        <v>24793</v>
      </c>
      <c r="V3831" s="5" t="s">
        <v>24793</v>
      </c>
      <c r="W3831" s="5" t="s">
        <v>67</v>
      </c>
      <c r="X3831" s="5" t="s">
        <v>67</v>
      </c>
      <c r="Y3831" s="4">
        <v>233</v>
      </c>
      <c r="Z3831" s="4">
        <v>12</v>
      </c>
      <c r="AA3831" s="4">
        <v>32</v>
      </c>
      <c r="AB3831" s="4">
        <v>3</v>
      </c>
      <c r="AC3831" s="4">
        <v>5</v>
      </c>
      <c r="AD3831" s="4">
        <v>42</v>
      </c>
      <c r="AE3831" s="4">
        <v>124</v>
      </c>
      <c r="AF3831" s="4">
        <v>1</v>
      </c>
      <c r="AG3831" s="4">
        <v>2</v>
      </c>
      <c r="AH3831" s="4">
        <v>35</v>
      </c>
      <c r="AI3831" s="4">
        <v>103</v>
      </c>
      <c r="AJ3831" s="4">
        <v>5</v>
      </c>
      <c r="AK3831" s="4">
        <v>19</v>
      </c>
      <c r="AL3831" s="4">
        <v>24</v>
      </c>
      <c r="AM3831" s="4">
        <v>59</v>
      </c>
      <c r="AN3831" s="4">
        <v>0</v>
      </c>
      <c r="AO3831" s="4">
        <v>0</v>
      </c>
      <c r="AP3831" s="4">
        <v>9</v>
      </c>
      <c r="AQ3831" s="4">
        <v>25</v>
      </c>
      <c r="AR3831" s="3" t="s">
        <v>62</v>
      </c>
      <c r="AS3831" s="3" t="s">
        <v>61</v>
      </c>
      <c r="AT3831" s="3" t="s">
        <v>62</v>
      </c>
      <c r="AU3831" s="6" t="str">
        <f>HYPERLINK("http://catalog.hathitrust.org/Record/001999995","HathiTrust Record")</f>
        <v>HathiTrust Record</v>
      </c>
      <c r="AV3831" s="6" t="str">
        <f>HYPERLINK("http://mcgill.on.worldcat.org/oclc/126252","Catalog Record")</f>
        <v>Catalog Record</v>
      </c>
      <c r="AW3831" s="6" t="str">
        <f>HYPERLINK("http://www.worldcat.org/oclc/126252","WorldCat Record")</f>
        <v>WorldCat Record</v>
      </c>
      <c r="AX3831" s="3" t="s">
        <v>37052</v>
      </c>
      <c r="AY3831" s="3" t="s">
        <v>37053</v>
      </c>
      <c r="AZ3831" s="3" t="s">
        <v>37054</v>
      </c>
      <c r="BA3831" s="3" t="s">
        <v>37054</v>
      </c>
      <c r="BB3831" s="3" t="s">
        <v>37055</v>
      </c>
      <c r="BC3831" s="3" t="s">
        <v>102</v>
      </c>
      <c r="BD3831" s="3" t="s">
        <v>68</v>
      </c>
      <c r="BF3831" s="3" t="s">
        <v>37055</v>
      </c>
      <c r="BG3831" s="3" t="s">
        <v>37056</v>
      </c>
    </row>
    <row r="3832" spans="1:59" ht="58" x14ac:dyDescent="0.35">
      <c r="A3832" s="2" t="s">
        <v>89</v>
      </c>
      <c r="B3832" s="2" t="s">
        <v>90</v>
      </c>
      <c r="C3832" s="2" t="s">
        <v>37057</v>
      </c>
      <c r="D3832" s="2" t="s">
        <v>37058</v>
      </c>
      <c r="E3832" s="2" t="s">
        <v>37059</v>
      </c>
      <c r="G3832" s="3" t="s">
        <v>62</v>
      </c>
      <c r="I3832" s="3" t="s">
        <v>62</v>
      </c>
      <c r="J3832" s="3" t="s">
        <v>62</v>
      </c>
      <c r="K3832" s="3" t="s">
        <v>63</v>
      </c>
      <c r="M3832" s="2" t="s">
        <v>37060</v>
      </c>
      <c r="N3832" s="3" t="s">
        <v>655</v>
      </c>
      <c r="P3832" s="3" t="s">
        <v>64</v>
      </c>
      <c r="R3832" s="3" t="s">
        <v>34126</v>
      </c>
      <c r="S3832" s="4">
        <v>6</v>
      </c>
      <c r="T3832" s="4">
        <v>6</v>
      </c>
      <c r="U3832" s="5" t="s">
        <v>1699</v>
      </c>
      <c r="V3832" s="5" t="s">
        <v>1699</v>
      </c>
      <c r="W3832" s="5" t="s">
        <v>67</v>
      </c>
      <c r="X3832" s="5" t="s">
        <v>67</v>
      </c>
      <c r="Y3832" s="4">
        <v>122</v>
      </c>
      <c r="Z3832" s="4">
        <v>12</v>
      </c>
      <c r="AA3832" s="4">
        <v>51</v>
      </c>
      <c r="AB3832" s="4">
        <v>1</v>
      </c>
      <c r="AC3832" s="4">
        <v>13</v>
      </c>
      <c r="AD3832" s="4">
        <v>56</v>
      </c>
      <c r="AE3832" s="4">
        <v>109</v>
      </c>
      <c r="AF3832" s="4">
        <v>0</v>
      </c>
      <c r="AG3832" s="4">
        <v>7</v>
      </c>
      <c r="AH3832" s="4">
        <v>51</v>
      </c>
      <c r="AI3832" s="4">
        <v>78</v>
      </c>
      <c r="AJ3832" s="4">
        <v>7</v>
      </c>
      <c r="AK3832" s="4">
        <v>20</v>
      </c>
      <c r="AL3832" s="4">
        <v>34</v>
      </c>
      <c r="AM3832" s="4">
        <v>45</v>
      </c>
      <c r="AN3832" s="4">
        <v>0</v>
      </c>
      <c r="AO3832" s="4">
        <v>0</v>
      </c>
      <c r="AP3832" s="4">
        <v>8</v>
      </c>
      <c r="AQ3832" s="4">
        <v>39</v>
      </c>
      <c r="AR3832" s="3" t="s">
        <v>62</v>
      </c>
      <c r="AS3832" s="3" t="s">
        <v>62</v>
      </c>
      <c r="AT3832" s="3" t="s">
        <v>62</v>
      </c>
      <c r="AV3832" s="6" t="str">
        <f>HYPERLINK("http://mcgill.on.worldcat.org/oclc/79447365","Catalog Record")</f>
        <v>Catalog Record</v>
      </c>
      <c r="AW3832" s="6" t="str">
        <f>HYPERLINK("http://www.worldcat.org/oclc/79447365","WorldCat Record")</f>
        <v>WorldCat Record</v>
      </c>
      <c r="AX3832" s="3" t="s">
        <v>37061</v>
      </c>
      <c r="AY3832" s="3" t="s">
        <v>37062</v>
      </c>
      <c r="AZ3832" s="3" t="s">
        <v>37063</v>
      </c>
      <c r="BA3832" s="3" t="s">
        <v>37063</v>
      </c>
      <c r="BB3832" s="3" t="s">
        <v>37064</v>
      </c>
      <c r="BC3832" s="3" t="s">
        <v>102</v>
      </c>
      <c r="BD3832" s="3" t="s">
        <v>68</v>
      </c>
      <c r="BE3832" s="3" t="s">
        <v>37065</v>
      </c>
      <c r="BF3832" s="3" t="s">
        <v>37064</v>
      </c>
      <c r="BG3832" s="3" t="s">
        <v>37066</v>
      </c>
    </row>
    <row r="3833" spans="1:59" ht="58" x14ac:dyDescent="0.35">
      <c r="A3833" s="2" t="s">
        <v>89</v>
      </c>
      <c r="B3833" s="2" t="s">
        <v>90</v>
      </c>
      <c r="C3833" s="2" t="s">
        <v>37067</v>
      </c>
      <c r="D3833" s="2" t="s">
        <v>37068</v>
      </c>
      <c r="E3833" s="2" t="s">
        <v>37069</v>
      </c>
      <c r="G3833" s="3" t="s">
        <v>62</v>
      </c>
      <c r="I3833" s="3" t="s">
        <v>62</v>
      </c>
      <c r="J3833" s="3" t="s">
        <v>62</v>
      </c>
      <c r="K3833" s="3" t="s">
        <v>63</v>
      </c>
      <c r="L3833" s="2" t="s">
        <v>37070</v>
      </c>
      <c r="M3833" s="2" t="s">
        <v>37071</v>
      </c>
      <c r="N3833" s="3" t="s">
        <v>7622</v>
      </c>
      <c r="P3833" s="3" t="s">
        <v>64</v>
      </c>
      <c r="R3833" s="3" t="s">
        <v>34126</v>
      </c>
      <c r="S3833" s="4">
        <v>3</v>
      </c>
      <c r="T3833" s="4">
        <v>3</v>
      </c>
      <c r="U3833" s="5" t="s">
        <v>7352</v>
      </c>
      <c r="V3833" s="5" t="s">
        <v>7352</v>
      </c>
      <c r="W3833" s="5" t="s">
        <v>67</v>
      </c>
      <c r="X3833" s="5" t="s">
        <v>67</v>
      </c>
      <c r="Y3833" s="4">
        <v>65</v>
      </c>
      <c r="Z3833" s="4">
        <v>7</v>
      </c>
      <c r="AA3833" s="4">
        <v>8</v>
      </c>
      <c r="AB3833" s="4">
        <v>1</v>
      </c>
      <c r="AC3833" s="4">
        <v>1</v>
      </c>
      <c r="AD3833" s="4">
        <v>25</v>
      </c>
      <c r="AE3833" s="4">
        <v>25</v>
      </c>
      <c r="AF3833" s="4">
        <v>0</v>
      </c>
      <c r="AG3833" s="4">
        <v>0</v>
      </c>
      <c r="AH3833" s="4">
        <v>20</v>
      </c>
      <c r="AI3833" s="4">
        <v>20</v>
      </c>
      <c r="AJ3833" s="4">
        <v>6</v>
      </c>
      <c r="AK3833" s="4">
        <v>6</v>
      </c>
      <c r="AL3833" s="4">
        <v>12</v>
      </c>
      <c r="AM3833" s="4">
        <v>12</v>
      </c>
      <c r="AN3833" s="4">
        <v>0</v>
      </c>
      <c r="AO3833" s="4">
        <v>0</v>
      </c>
      <c r="AP3833" s="4">
        <v>5</v>
      </c>
      <c r="AQ3833" s="4">
        <v>5</v>
      </c>
      <c r="AR3833" s="3" t="s">
        <v>62</v>
      </c>
      <c r="AS3833" s="3" t="s">
        <v>62</v>
      </c>
      <c r="AT3833" s="3" t="s">
        <v>61</v>
      </c>
      <c r="AU3833" s="6" t="str">
        <f>HYPERLINK("http://catalog.hathitrust.org/Record/001388656","HathiTrust Record")</f>
        <v>HathiTrust Record</v>
      </c>
      <c r="AV3833" s="6" t="str">
        <f>HYPERLINK("http://mcgill.on.worldcat.org/oclc/825924","Catalog Record")</f>
        <v>Catalog Record</v>
      </c>
      <c r="AW3833" s="6" t="str">
        <f>HYPERLINK("http://www.worldcat.org/oclc/825924","WorldCat Record")</f>
        <v>WorldCat Record</v>
      </c>
      <c r="AX3833" s="3" t="s">
        <v>37072</v>
      </c>
      <c r="AY3833" s="3" t="s">
        <v>37073</v>
      </c>
      <c r="AZ3833" s="3" t="s">
        <v>37074</v>
      </c>
      <c r="BA3833" s="3" t="s">
        <v>37074</v>
      </c>
      <c r="BB3833" s="3" t="s">
        <v>37075</v>
      </c>
      <c r="BC3833" s="3" t="s">
        <v>102</v>
      </c>
      <c r="BD3833" s="3" t="s">
        <v>68</v>
      </c>
      <c r="BF3833" s="3" t="s">
        <v>37075</v>
      </c>
      <c r="BG3833" s="3" t="s">
        <v>37076</v>
      </c>
    </row>
    <row r="3834" spans="1:59" ht="58" x14ac:dyDescent="0.35">
      <c r="A3834" s="2" t="s">
        <v>59</v>
      </c>
      <c r="B3834" s="2" t="s">
        <v>60</v>
      </c>
      <c r="C3834" s="2" t="s">
        <v>37077</v>
      </c>
      <c r="D3834" s="2" t="s">
        <v>37078</v>
      </c>
      <c r="E3834" s="2" t="s">
        <v>37079</v>
      </c>
      <c r="G3834" s="3" t="s">
        <v>62</v>
      </c>
      <c r="I3834" s="3" t="s">
        <v>62</v>
      </c>
      <c r="J3834" s="3" t="s">
        <v>62</v>
      </c>
      <c r="K3834" s="3" t="s">
        <v>63</v>
      </c>
      <c r="L3834" s="2" t="s">
        <v>37080</v>
      </c>
      <c r="M3834" s="2" t="s">
        <v>37081</v>
      </c>
      <c r="N3834" s="3" t="s">
        <v>438</v>
      </c>
      <c r="O3834" s="2" t="s">
        <v>2163</v>
      </c>
      <c r="P3834" s="3" t="s">
        <v>64</v>
      </c>
      <c r="R3834" s="3" t="s">
        <v>34126</v>
      </c>
      <c r="S3834" s="4">
        <v>33</v>
      </c>
      <c r="T3834" s="4">
        <v>33</v>
      </c>
      <c r="U3834" s="5" t="s">
        <v>28719</v>
      </c>
      <c r="V3834" s="5" t="s">
        <v>28719</v>
      </c>
      <c r="W3834" s="5" t="s">
        <v>67</v>
      </c>
      <c r="X3834" s="5" t="s">
        <v>67</v>
      </c>
      <c r="Y3834" s="4">
        <v>662</v>
      </c>
      <c r="Z3834" s="4">
        <v>37</v>
      </c>
      <c r="AA3834" s="4">
        <v>41</v>
      </c>
      <c r="AB3834" s="4">
        <v>3</v>
      </c>
      <c r="AC3834" s="4">
        <v>3</v>
      </c>
      <c r="AD3834" s="4">
        <v>92</v>
      </c>
      <c r="AE3834" s="4">
        <v>97</v>
      </c>
      <c r="AF3834" s="4">
        <v>1</v>
      </c>
      <c r="AG3834" s="4">
        <v>1</v>
      </c>
      <c r="AH3834" s="4">
        <v>81</v>
      </c>
      <c r="AI3834" s="4">
        <v>85</v>
      </c>
      <c r="AJ3834" s="4">
        <v>13</v>
      </c>
      <c r="AK3834" s="4">
        <v>14</v>
      </c>
      <c r="AL3834" s="4">
        <v>43</v>
      </c>
      <c r="AM3834" s="4">
        <v>45</v>
      </c>
      <c r="AN3834" s="4">
        <v>0</v>
      </c>
      <c r="AO3834" s="4">
        <v>0</v>
      </c>
      <c r="AP3834" s="4">
        <v>16</v>
      </c>
      <c r="AQ3834" s="4">
        <v>17</v>
      </c>
      <c r="AR3834" s="3" t="s">
        <v>62</v>
      </c>
      <c r="AS3834" s="3" t="s">
        <v>62</v>
      </c>
      <c r="AT3834" s="3" t="s">
        <v>62</v>
      </c>
      <c r="AV3834" s="6" t="str">
        <f>HYPERLINK("http://mcgill.on.worldcat.org/oclc/21034548","Catalog Record")</f>
        <v>Catalog Record</v>
      </c>
      <c r="AW3834" s="6" t="str">
        <f>HYPERLINK("http://www.worldcat.org/oclc/21034548","WorldCat Record")</f>
        <v>WorldCat Record</v>
      </c>
      <c r="AX3834" s="3" t="s">
        <v>37082</v>
      </c>
      <c r="AY3834" s="3" t="s">
        <v>37083</v>
      </c>
      <c r="AZ3834" s="3" t="s">
        <v>37084</v>
      </c>
      <c r="BA3834" s="3" t="s">
        <v>37084</v>
      </c>
      <c r="BB3834" s="3" t="s">
        <v>37085</v>
      </c>
      <c r="BC3834" s="3" t="s">
        <v>102</v>
      </c>
      <c r="BD3834" s="3" t="s">
        <v>68</v>
      </c>
      <c r="BE3834" s="3" t="s">
        <v>37086</v>
      </c>
      <c r="BF3834" s="3" t="s">
        <v>37085</v>
      </c>
      <c r="BG3834" s="3" t="s">
        <v>37087</v>
      </c>
    </row>
    <row r="3835" spans="1:59" ht="101.5" x14ac:dyDescent="0.35">
      <c r="A3835" s="2" t="s">
        <v>89</v>
      </c>
      <c r="B3835" s="2" t="s">
        <v>12301</v>
      </c>
      <c r="C3835" s="2" t="s">
        <v>37088</v>
      </c>
      <c r="D3835" s="2" t="s">
        <v>37089</v>
      </c>
      <c r="E3835" s="2" t="s">
        <v>37090</v>
      </c>
      <c r="G3835" s="3" t="s">
        <v>62</v>
      </c>
      <c r="I3835" s="3" t="s">
        <v>61</v>
      </c>
      <c r="J3835" s="3" t="s">
        <v>61</v>
      </c>
      <c r="K3835" s="3" t="s">
        <v>63</v>
      </c>
      <c r="L3835" s="2" t="s">
        <v>37091</v>
      </c>
      <c r="M3835" s="2" t="s">
        <v>37092</v>
      </c>
      <c r="N3835" s="3" t="s">
        <v>640</v>
      </c>
      <c r="O3835" s="2" t="s">
        <v>2986</v>
      </c>
      <c r="P3835" s="3" t="s">
        <v>64</v>
      </c>
      <c r="R3835" s="3" t="s">
        <v>34126</v>
      </c>
      <c r="S3835" s="4">
        <v>352</v>
      </c>
      <c r="T3835" s="4">
        <v>429</v>
      </c>
      <c r="U3835" s="5" t="s">
        <v>13768</v>
      </c>
      <c r="V3835" s="5" t="s">
        <v>13768</v>
      </c>
      <c r="W3835" s="5" t="s">
        <v>67</v>
      </c>
      <c r="X3835" s="5" t="s">
        <v>67</v>
      </c>
      <c r="Y3835" s="4">
        <v>181</v>
      </c>
      <c r="Z3835" s="4">
        <v>15</v>
      </c>
      <c r="AA3835" s="4">
        <v>42</v>
      </c>
      <c r="AB3835" s="4">
        <v>2</v>
      </c>
      <c r="AC3835" s="4">
        <v>10</v>
      </c>
      <c r="AD3835" s="4">
        <v>60</v>
      </c>
      <c r="AE3835" s="4">
        <v>100</v>
      </c>
      <c r="AF3835" s="4">
        <v>0</v>
      </c>
      <c r="AG3835" s="4">
        <v>2</v>
      </c>
      <c r="AH3835" s="4">
        <v>50</v>
      </c>
      <c r="AI3835" s="4">
        <v>81</v>
      </c>
      <c r="AJ3835" s="4">
        <v>8</v>
      </c>
      <c r="AK3835" s="4">
        <v>18</v>
      </c>
      <c r="AL3835" s="4">
        <v>34</v>
      </c>
      <c r="AM3835" s="4">
        <v>49</v>
      </c>
      <c r="AN3835" s="4">
        <v>0</v>
      </c>
      <c r="AO3835" s="4">
        <v>1</v>
      </c>
      <c r="AP3835" s="4">
        <v>12</v>
      </c>
      <c r="AQ3835" s="4">
        <v>25</v>
      </c>
      <c r="AR3835" s="3" t="s">
        <v>62</v>
      </c>
      <c r="AS3835" s="3" t="s">
        <v>62</v>
      </c>
      <c r="AT3835" s="3" t="s">
        <v>61</v>
      </c>
      <c r="AU3835" s="6" t="str">
        <f>HYPERLINK("http://catalog.hathitrust.org/Record/004915168","HathiTrust Record")</f>
        <v>HathiTrust Record</v>
      </c>
      <c r="AV3835" s="6" t="str">
        <f>HYPERLINK("http://mcgill.on.worldcat.org/oclc/52341652","Catalog Record")</f>
        <v>Catalog Record</v>
      </c>
      <c r="AW3835" s="6" t="str">
        <f>HYPERLINK("http://www.worldcat.org/oclc/52341652","WorldCat Record")</f>
        <v>WorldCat Record</v>
      </c>
      <c r="AX3835" s="3" t="s">
        <v>37093</v>
      </c>
      <c r="AY3835" s="3" t="s">
        <v>37094</v>
      </c>
      <c r="AZ3835" s="3" t="s">
        <v>37095</v>
      </c>
      <c r="BA3835" s="3" t="s">
        <v>37095</v>
      </c>
      <c r="BB3835" s="3" t="s">
        <v>37096</v>
      </c>
      <c r="BC3835" s="3" t="s">
        <v>102</v>
      </c>
      <c r="BD3835" s="3" t="s">
        <v>68</v>
      </c>
      <c r="BE3835" s="3" t="s">
        <v>37097</v>
      </c>
      <c r="BF3835" s="3" t="s">
        <v>37096</v>
      </c>
      <c r="BG3835" s="3" t="s">
        <v>37098</v>
      </c>
    </row>
    <row r="3836" spans="1:59" ht="101.5" x14ac:dyDescent="0.35">
      <c r="A3836" s="2" t="s">
        <v>89</v>
      </c>
      <c r="B3836" s="2" t="s">
        <v>12301</v>
      </c>
      <c r="C3836" s="2" t="s">
        <v>37099</v>
      </c>
      <c r="D3836" s="2" t="s">
        <v>37100</v>
      </c>
      <c r="E3836" s="2" t="s">
        <v>37090</v>
      </c>
      <c r="G3836" s="3" t="s">
        <v>62</v>
      </c>
      <c r="I3836" s="3" t="s">
        <v>61</v>
      </c>
      <c r="J3836" s="3" t="s">
        <v>61</v>
      </c>
      <c r="K3836" s="3" t="s">
        <v>63</v>
      </c>
      <c r="L3836" s="2" t="s">
        <v>37091</v>
      </c>
      <c r="M3836" s="2" t="s">
        <v>37101</v>
      </c>
      <c r="N3836" s="3" t="s">
        <v>880</v>
      </c>
      <c r="O3836" s="2" t="s">
        <v>2458</v>
      </c>
      <c r="P3836" s="3" t="s">
        <v>64</v>
      </c>
      <c r="R3836" s="3" t="s">
        <v>34126</v>
      </c>
      <c r="S3836" s="4">
        <v>29</v>
      </c>
      <c r="T3836" s="4">
        <v>288</v>
      </c>
      <c r="U3836" s="5" t="s">
        <v>12070</v>
      </c>
      <c r="V3836" s="5" t="s">
        <v>9665</v>
      </c>
      <c r="W3836" s="5" t="s">
        <v>67</v>
      </c>
      <c r="X3836" s="5" t="s">
        <v>22014</v>
      </c>
      <c r="Y3836" s="4">
        <v>163</v>
      </c>
      <c r="Z3836" s="4">
        <v>19</v>
      </c>
      <c r="AA3836" s="4">
        <v>42</v>
      </c>
      <c r="AB3836" s="4">
        <v>2</v>
      </c>
      <c r="AC3836" s="4">
        <v>10</v>
      </c>
      <c r="AD3836" s="4">
        <v>53</v>
      </c>
      <c r="AE3836" s="4">
        <v>100</v>
      </c>
      <c r="AF3836" s="4">
        <v>0</v>
      </c>
      <c r="AG3836" s="4">
        <v>2</v>
      </c>
      <c r="AH3836" s="4">
        <v>46</v>
      </c>
      <c r="AI3836" s="4">
        <v>81</v>
      </c>
      <c r="AJ3836" s="4">
        <v>10</v>
      </c>
      <c r="AK3836" s="4">
        <v>18</v>
      </c>
      <c r="AL3836" s="4">
        <v>30</v>
      </c>
      <c r="AM3836" s="4">
        <v>49</v>
      </c>
      <c r="AN3836" s="4">
        <v>0</v>
      </c>
      <c r="AO3836" s="4">
        <v>1</v>
      </c>
      <c r="AP3836" s="4">
        <v>13</v>
      </c>
      <c r="AQ3836" s="4">
        <v>25</v>
      </c>
      <c r="AR3836" s="3" t="s">
        <v>62</v>
      </c>
      <c r="AS3836" s="3" t="s">
        <v>62</v>
      </c>
      <c r="AT3836" s="3" t="s">
        <v>62</v>
      </c>
      <c r="AV3836" s="6" t="str">
        <f>HYPERLINK("http://mcgill.on.worldcat.org/oclc/268789401","Catalog Record")</f>
        <v>Catalog Record</v>
      </c>
      <c r="AW3836" s="6" t="str">
        <f>HYPERLINK("http://www.worldcat.org/oclc/268789401","WorldCat Record")</f>
        <v>WorldCat Record</v>
      </c>
      <c r="AX3836" s="3" t="s">
        <v>37093</v>
      </c>
      <c r="AY3836" s="3" t="s">
        <v>37102</v>
      </c>
      <c r="AZ3836" s="3" t="s">
        <v>37103</v>
      </c>
      <c r="BA3836" s="3" t="s">
        <v>37103</v>
      </c>
      <c r="BB3836" s="3" t="s">
        <v>37104</v>
      </c>
      <c r="BC3836" s="3" t="s">
        <v>102</v>
      </c>
      <c r="BD3836" s="3" t="s">
        <v>68</v>
      </c>
      <c r="BE3836" s="3" t="s">
        <v>37105</v>
      </c>
      <c r="BF3836" s="3" t="s">
        <v>37104</v>
      </c>
      <c r="BG3836" s="3" t="s">
        <v>37106</v>
      </c>
    </row>
    <row r="3837" spans="1:59" ht="101.5" x14ac:dyDescent="0.35">
      <c r="A3837" s="2" t="s">
        <v>89</v>
      </c>
      <c r="B3837" s="2" t="s">
        <v>12301</v>
      </c>
      <c r="C3837" s="2" t="s">
        <v>37099</v>
      </c>
      <c r="D3837" s="2" t="s">
        <v>37100</v>
      </c>
      <c r="E3837" s="2" t="s">
        <v>37090</v>
      </c>
      <c r="G3837" s="3" t="s">
        <v>62</v>
      </c>
      <c r="I3837" s="3" t="s">
        <v>61</v>
      </c>
      <c r="J3837" s="3" t="s">
        <v>61</v>
      </c>
      <c r="K3837" s="3" t="s">
        <v>63</v>
      </c>
      <c r="L3837" s="2" t="s">
        <v>37091</v>
      </c>
      <c r="M3837" s="2" t="s">
        <v>37101</v>
      </c>
      <c r="N3837" s="3" t="s">
        <v>880</v>
      </c>
      <c r="O3837" s="2" t="s">
        <v>2458</v>
      </c>
      <c r="P3837" s="3" t="s">
        <v>64</v>
      </c>
      <c r="R3837" s="3" t="s">
        <v>34126</v>
      </c>
      <c r="S3837" s="4">
        <v>103</v>
      </c>
      <c r="T3837" s="4">
        <v>288</v>
      </c>
      <c r="U3837" s="5" t="s">
        <v>5085</v>
      </c>
      <c r="V3837" s="5" t="s">
        <v>9665</v>
      </c>
      <c r="W3837" s="5" t="s">
        <v>67</v>
      </c>
      <c r="X3837" s="5" t="s">
        <v>22014</v>
      </c>
      <c r="Y3837" s="4">
        <v>163</v>
      </c>
      <c r="Z3837" s="4">
        <v>19</v>
      </c>
      <c r="AA3837" s="4">
        <v>42</v>
      </c>
      <c r="AB3837" s="4">
        <v>2</v>
      </c>
      <c r="AC3837" s="4">
        <v>10</v>
      </c>
      <c r="AD3837" s="4">
        <v>53</v>
      </c>
      <c r="AE3837" s="4">
        <v>100</v>
      </c>
      <c r="AF3837" s="4">
        <v>0</v>
      </c>
      <c r="AG3837" s="4">
        <v>2</v>
      </c>
      <c r="AH3837" s="4">
        <v>46</v>
      </c>
      <c r="AI3837" s="4">
        <v>81</v>
      </c>
      <c r="AJ3837" s="4">
        <v>10</v>
      </c>
      <c r="AK3837" s="4">
        <v>18</v>
      </c>
      <c r="AL3837" s="4">
        <v>30</v>
      </c>
      <c r="AM3837" s="4">
        <v>49</v>
      </c>
      <c r="AN3837" s="4">
        <v>0</v>
      </c>
      <c r="AO3837" s="4">
        <v>1</v>
      </c>
      <c r="AP3837" s="4">
        <v>13</v>
      </c>
      <c r="AQ3837" s="4">
        <v>25</v>
      </c>
      <c r="AR3837" s="3" t="s">
        <v>62</v>
      </c>
      <c r="AS3837" s="3" t="s">
        <v>62</v>
      </c>
      <c r="AT3837" s="3" t="s">
        <v>62</v>
      </c>
      <c r="AV3837" s="6" t="str">
        <f>HYPERLINK("http://mcgill.on.worldcat.org/oclc/268789401","Catalog Record")</f>
        <v>Catalog Record</v>
      </c>
      <c r="AW3837" s="6" t="str">
        <f>HYPERLINK("http://www.worldcat.org/oclc/268789401","WorldCat Record")</f>
        <v>WorldCat Record</v>
      </c>
      <c r="AX3837" s="3" t="s">
        <v>37093</v>
      </c>
      <c r="AY3837" s="3" t="s">
        <v>37102</v>
      </c>
      <c r="AZ3837" s="3" t="s">
        <v>37103</v>
      </c>
      <c r="BA3837" s="3" t="s">
        <v>37103</v>
      </c>
      <c r="BB3837" s="3" t="s">
        <v>37107</v>
      </c>
      <c r="BC3837" s="3" t="s">
        <v>102</v>
      </c>
      <c r="BD3837" s="3" t="s">
        <v>68</v>
      </c>
      <c r="BE3837" s="3" t="s">
        <v>37105</v>
      </c>
      <c r="BF3837" s="3" t="s">
        <v>37107</v>
      </c>
      <c r="BG3837" s="3" t="s">
        <v>37108</v>
      </c>
    </row>
    <row r="3838" spans="1:59" ht="101.5" x14ac:dyDescent="0.35">
      <c r="A3838" s="2" t="s">
        <v>89</v>
      </c>
      <c r="B3838" s="2" t="s">
        <v>12301</v>
      </c>
      <c r="C3838" s="2" t="s">
        <v>37099</v>
      </c>
      <c r="D3838" s="2" t="s">
        <v>37100</v>
      </c>
      <c r="E3838" s="2" t="s">
        <v>37090</v>
      </c>
      <c r="G3838" s="3" t="s">
        <v>62</v>
      </c>
      <c r="I3838" s="3" t="s">
        <v>61</v>
      </c>
      <c r="J3838" s="3" t="s">
        <v>61</v>
      </c>
      <c r="K3838" s="3" t="s">
        <v>63</v>
      </c>
      <c r="L3838" s="2" t="s">
        <v>37091</v>
      </c>
      <c r="M3838" s="2" t="s">
        <v>37101</v>
      </c>
      <c r="N3838" s="3" t="s">
        <v>880</v>
      </c>
      <c r="O3838" s="2" t="s">
        <v>2458</v>
      </c>
      <c r="P3838" s="3" t="s">
        <v>64</v>
      </c>
      <c r="R3838" s="3" t="s">
        <v>34126</v>
      </c>
      <c r="S3838" s="4">
        <v>47</v>
      </c>
      <c r="T3838" s="4">
        <v>288</v>
      </c>
      <c r="U3838" s="5" t="s">
        <v>8626</v>
      </c>
      <c r="V3838" s="5" t="s">
        <v>9665</v>
      </c>
      <c r="W3838" s="5" t="s">
        <v>67</v>
      </c>
      <c r="X3838" s="5" t="s">
        <v>22014</v>
      </c>
      <c r="Y3838" s="4">
        <v>163</v>
      </c>
      <c r="Z3838" s="4">
        <v>19</v>
      </c>
      <c r="AA3838" s="4">
        <v>42</v>
      </c>
      <c r="AB3838" s="4">
        <v>2</v>
      </c>
      <c r="AC3838" s="4">
        <v>10</v>
      </c>
      <c r="AD3838" s="4">
        <v>53</v>
      </c>
      <c r="AE3838" s="4">
        <v>100</v>
      </c>
      <c r="AF3838" s="4">
        <v>0</v>
      </c>
      <c r="AG3838" s="4">
        <v>2</v>
      </c>
      <c r="AH3838" s="4">
        <v>46</v>
      </c>
      <c r="AI3838" s="4">
        <v>81</v>
      </c>
      <c r="AJ3838" s="4">
        <v>10</v>
      </c>
      <c r="AK3838" s="4">
        <v>18</v>
      </c>
      <c r="AL3838" s="4">
        <v>30</v>
      </c>
      <c r="AM3838" s="4">
        <v>49</v>
      </c>
      <c r="AN3838" s="4">
        <v>0</v>
      </c>
      <c r="AO3838" s="4">
        <v>1</v>
      </c>
      <c r="AP3838" s="4">
        <v>13</v>
      </c>
      <c r="AQ3838" s="4">
        <v>25</v>
      </c>
      <c r="AR3838" s="3" t="s">
        <v>62</v>
      </c>
      <c r="AS3838" s="3" t="s">
        <v>62</v>
      </c>
      <c r="AT3838" s="3" t="s">
        <v>62</v>
      </c>
      <c r="AV3838" s="6" t="str">
        <f>HYPERLINK("http://mcgill.on.worldcat.org/oclc/268789401","Catalog Record")</f>
        <v>Catalog Record</v>
      </c>
      <c r="AW3838" s="6" t="str">
        <f>HYPERLINK("http://www.worldcat.org/oclc/268789401","WorldCat Record")</f>
        <v>WorldCat Record</v>
      </c>
      <c r="AX3838" s="3" t="s">
        <v>37093</v>
      </c>
      <c r="AY3838" s="3" t="s">
        <v>37102</v>
      </c>
      <c r="AZ3838" s="3" t="s">
        <v>37103</v>
      </c>
      <c r="BA3838" s="3" t="s">
        <v>37103</v>
      </c>
      <c r="BB3838" s="3" t="s">
        <v>37109</v>
      </c>
      <c r="BC3838" s="3" t="s">
        <v>102</v>
      </c>
      <c r="BD3838" s="3" t="s">
        <v>68</v>
      </c>
      <c r="BE3838" s="3" t="s">
        <v>37105</v>
      </c>
      <c r="BF3838" s="3" t="s">
        <v>37109</v>
      </c>
      <c r="BG3838" s="3" t="s">
        <v>37110</v>
      </c>
    </row>
    <row r="3839" spans="1:59" ht="101.5" x14ac:dyDescent="0.35">
      <c r="A3839" s="2" t="s">
        <v>89</v>
      </c>
      <c r="B3839" s="2" t="s">
        <v>12301</v>
      </c>
      <c r="C3839" s="2" t="s">
        <v>37099</v>
      </c>
      <c r="D3839" s="2" t="s">
        <v>37100</v>
      </c>
      <c r="E3839" s="2" t="s">
        <v>37090</v>
      </c>
      <c r="G3839" s="3" t="s">
        <v>62</v>
      </c>
      <c r="I3839" s="3" t="s">
        <v>61</v>
      </c>
      <c r="J3839" s="3" t="s">
        <v>61</v>
      </c>
      <c r="K3839" s="3" t="s">
        <v>63</v>
      </c>
      <c r="L3839" s="2" t="s">
        <v>37091</v>
      </c>
      <c r="M3839" s="2" t="s">
        <v>37101</v>
      </c>
      <c r="N3839" s="3" t="s">
        <v>880</v>
      </c>
      <c r="O3839" s="2" t="s">
        <v>2458</v>
      </c>
      <c r="P3839" s="3" t="s">
        <v>64</v>
      </c>
      <c r="R3839" s="3" t="s">
        <v>34126</v>
      </c>
      <c r="S3839" s="4">
        <v>48</v>
      </c>
      <c r="T3839" s="4">
        <v>288</v>
      </c>
      <c r="U3839" s="5" t="s">
        <v>9665</v>
      </c>
      <c r="V3839" s="5" t="s">
        <v>9665</v>
      </c>
      <c r="W3839" s="5" t="s">
        <v>67</v>
      </c>
      <c r="X3839" s="5" t="s">
        <v>22014</v>
      </c>
      <c r="Y3839" s="4">
        <v>163</v>
      </c>
      <c r="Z3839" s="4">
        <v>19</v>
      </c>
      <c r="AA3839" s="4">
        <v>42</v>
      </c>
      <c r="AB3839" s="4">
        <v>2</v>
      </c>
      <c r="AC3839" s="4">
        <v>10</v>
      </c>
      <c r="AD3839" s="4">
        <v>53</v>
      </c>
      <c r="AE3839" s="4">
        <v>100</v>
      </c>
      <c r="AF3839" s="4">
        <v>0</v>
      </c>
      <c r="AG3839" s="4">
        <v>2</v>
      </c>
      <c r="AH3839" s="4">
        <v>46</v>
      </c>
      <c r="AI3839" s="4">
        <v>81</v>
      </c>
      <c r="AJ3839" s="4">
        <v>10</v>
      </c>
      <c r="AK3839" s="4">
        <v>18</v>
      </c>
      <c r="AL3839" s="4">
        <v>30</v>
      </c>
      <c r="AM3839" s="4">
        <v>49</v>
      </c>
      <c r="AN3839" s="4">
        <v>0</v>
      </c>
      <c r="AO3839" s="4">
        <v>1</v>
      </c>
      <c r="AP3839" s="4">
        <v>13</v>
      </c>
      <c r="AQ3839" s="4">
        <v>25</v>
      </c>
      <c r="AR3839" s="3" t="s">
        <v>62</v>
      </c>
      <c r="AS3839" s="3" t="s">
        <v>62</v>
      </c>
      <c r="AT3839" s="3" t="s">
        <v>62</v>
      </c>
      <c r="AV3839" s="6" t="str">
        <f>HYPERLINK("http://mcgill.on.worldcat.org/oclc/268789401","Catalog Record")</f>
        <v>Catalog Record</v>
      </c>
      <c r="AW3839" s="6" t="str">
        <f>HYPERLINK("http://www.worldcat.org/oclc/268789401","WorldCat Record")</f>
        <v>WorldCat Record</v>
      </c>
      <c r="AX3839" s="3" t="s">
        <v>37093</v>
      </c>
      <c r="AY3839" s="3" t="s">
        <v>37102</v>
      </c>
      <c r="AZ3839" s="3" t="s">
        <v>37103</v>
      </c>
      <c r="BA3839" s="3" t="s">
        <v>37103</v>
      </c>
      <c r="BB3839" s="3" t="s">
        <v>37111</v>
      </c>
      <c r="BC3839" s="3" t="s">
        <v>102</v>
      </c>
      <c r="BD3839" s="3" t="s">
        <v>68</v>
      </c>
      <c r="BE3839" s="3" t="s">
        <v>37105</v>
      </c>
      <c r="BF3839" s="3" t="s">
        <v>37111</v>
      </c>
      <c r="BG3839" s="3" t="s">
        <v>37112</v>
      </c>
    </row>
    <row r="3840" spans="1:59" ht="58" x14ac:dyDescent="0.35">
      <c r="A3840" s="2" t="s">
        <v>89</v>
      </c>
      <c r="B3840" s="2" t="s">
        <v>90</v>
      </c>
      <c r="C3840" s="2" t="s">
        <v>37113</v>
      </c>
      <c r="D3840" s="2" t="s">
        <v>37114</v>
      </c>
      <c r="E3840" s="2" t="s">
        <v>37115</v>
      </c>
      <c r="G3840" s="3" t="s">
        <v>62</v>
      </c>
      <c r="I3840" s="3" t="s">
        <v>62</v>
      </c>
      <c r="J3840" s="3" t="s">
        <v>62</v>
      </c>
      <c r="K3840" s="3" t="s">
        <v>63</v>
      </c>
      <c r="L3840" s="2" t="s">
        <v>9663</v>
      </c>
      <c r="M3840" s="2" t="s">
        <v>37116</v>
      </c>
      <c r="N3840" s="3" t="s">
        <v>726</v>
      </c>
      <c r="P3840" s="3" t="s">
        <v>64</v>
      </c>
      <c r="R3840" s="3" t="s">
        <v>34126</v>
      </c>
      <c r="S3840" s="4">
        <v>4</v>
      </c>
      <c r="T3840" s="4">
        <v>4</v>
      </c>
      <c r="U3840" s="5" t="s">
        <v>37117</v>
      </c>
      <c r="V3840" s="5" t="s">
        <v>37117</v>
      </c>
      <c r="W3840" s="5" t="s">
        <v>67</v>
      </c>
      <c r="X3840" s="5" t="s">
        <v>67</v>
      </c>
      <c r="Y3840" s="4">
        <v>231</v>
      </c>
      <c r="Z3840" s="4">
        <v>15</v>
      </c>
      <c r="AA3840" s="4">
        <v>18</v>
      </c>
      <c r="AB3840" s="4">
        <v>2</v>
      </c>
      <c r="AC3840" s="4">
        <v>3</v>
      </c>
      <c r="AD3840" s="4">
        <v>54</v>
      </c>
      <c r="AE3840" s="4">
        <v>65</v>
      </c>
      <c r="AF3840" s="4">
        <v>0</v>
      </c>
      <c r="AG3840" s="4">
        <v>0</v>
      </c>
      <c r="AH3840" s="4">
        <v>46</v>
      </c>
      <c r="AI3840" s="4">
        <v>57</v>
      </c>
      <c r="AJ3840" s="4">
        <v>7</v>
      </c>
      <c r="AK3840" s="4">
        <v>9</v>
      </c>
      <c r="AL3840" s="4">
        <v>31</v>
      </c>
      <c r="AM3840" s="4">
        <v>37</v>
      </c>
      <c r="AN3840" s="4">
        <v>0</v>
      </c>
      <c r="AO3840" s="4">
        <v>0</v>
      </c>
      <c r="AP3840" s="4">
        <v>10</v>
      </c>
      <c r="AQ3840" s="4">
        <v>12</v>
      </c>
      <c r="AR3840" s="3" t="s">
        <v>62</v>
      </c>
      <c r="AS3840" s="3" t="s">
        <v>62</v>
      </c>
      <c r="AT3840" s="3" t="s">
        <v>62</v>
      </c>
      <c r="AV3840" s="6" t="str">
        <f>HYPERLINK("http://mcgill.on.worldcat.org/oclc/967200576","Catalog Record")</f>
        <v>Catalog Record</v>
      </c>
      <c r="AW3840" s="6" t="str">
        <f>HYPERLINK("http://www.worldcat.org/oclc/967200576","WorldCat Record")</f>
        <v>WorldCat Record</v>
      </c>
      <c r="AX3840" s="3" t="s">
        <v>37118</v>
      </c>
      <c r="AY3840" s="3" t="s">
        <v>37119</v>
      </c>
      <c r="AZ3840" s="3" t="s">
        <v>37120</v>
      </c>
      <c r="BA3840" s="3" t="s">
        <v>37120</v>
      </c>
      <c r="BB3840" s="3" t="s">
        <v>37121</v>
      </c>
      <c r="BC3840" s="3" t="s">
        <v>102</v>
      </c>
      <c r="BD3840" s="3" t="s">
        <v>231</v>
      </c>
      <c r="BE3840" s="3" t="s">
        <v>37122</v>
      </c>
      <c r="BF3840" s="3" t="s">
        <v>37121</v>
      </c>
      <c r="BG3840" s="3" t="s">
        <v>37123</v>
      </c>
    </row>
    <row r="3841" spans="1:59" ht="58" x14ac:dyDescent="0.35">
      <c r="A3841" s="2" t="s">
        <v>89</v>
      </c>
      <c r="B3841" s="2" t="s">
        <v>90</v>
      </c>
      <c r="C3841" s="2" t="s">
        <v>37124</v>
      </c>
      <c r="D3841" s="2" t="s">
        <v>37125</v>
      </c>
      <c r="E3841" s="2" t="s">
        <v>37126</v>
      </c>
      <c r="G3841" s="3" t="s">
        <v>62</v>
      </c>
      <c r="I3841" s="3" t="s">
        <v>62</v>
      </c>
      <c r="J3841" s="3" t="s">
        <v>62</v>
      </c>
      <c r="K3841" s="3" t="s">
        <v>63</v>
      </c>
      <c r="L3841" s="2" t="s">
        <v>9332</v>
      </c>
      <c r="M3841" s="2" t="s">
        <v>37127</v>
      </c>
      <c r="N3841" s="3" t="s">
        <v>1455</v>
      </c>
      <c r="P3841" s="3" t="s">
        <v>85</v>
      </c>
      <c r="Q3841" s="2" t="s">
        <v>10228</v>
      </c>
      <c r="R3841" s="3" t="s">
        <v>34126</v>
      </c>
      <c r="S3841" s="4">
        <v>7</v>
      </c>
      <c r="T3841" s="4">
        <v>7</v>
      </c>
      <c r="U3841" s="5" t="s">
        <v>17936</v>
      </c>
      <c r="V3841" s="5" t="s">
        <v>17936</v>
      </c>
      <c r="W3841" s="5" t="s">
        <v>67</v>
      </c>
      <c r="X3841" s="5" t="s">
        <v>67</v>
      </c>
      <c r="Y3841" s="4">
        <v>26</v>
      </c>
      <c r="Z3841" s="4">
        <v>3</v>
      </c>
      <c r="AA3841" s="4">
        <v>10</v>
      </c>
      <c r="AB3841" s="4">
        <v>1</v>
      </c>
      <c r="AC3841" s="4">
        <v>6</v>
      </c>
      <c r="AD3841" s="4">
        <v>12</v>
      </c>
      <c r="AE3841" s="4">
        <v>17</v>
      </c>
      <c r="AF3841" s="4">
        <v>0</v>
      </c>
      <c r="AG3841" s="4">
        <v>3</v>
      </c>
      <c r="AH3841" s="4">
        <v>11</v>
      </c>
      <c r="AI3841" s="4">
        <v>12</v>
      </c>
      <c r="AJ3841" s="4">
        <v>1</v>
      </c>
      <c r="AK3841" s="4">
        <v>6</v>
      </c>
      <c r="AL3841" s="4">
        <v>9</v>
      </c>
      <c r="AM3841" s="4">
        <v>9</v>
      </c>
      <c r="AN3841" s="4">
        <v>0</v>
      </c>
      <c r="AO3841" s="4">
        <v>0</v>
      </c>
      <c r="AP3841" s="4">
        <v>1</v>
      </c>
      <c r="AQ3841" s="4">
        <v>4</v>
      </c>
      <c r="AR3841" s="3" t="s">
        <v>62</v>
      </c>
      <c r="AS3841" s="3" t="s">
        <v>62</v>
      </c>
      <c r="AT3841" s="3" t="s">
        <v>62</v>
      </c>
      <c r="AV3841" s="6" t="str">
        <f>HYPERLINK("http://mcgill.on.worldcat.org/oclc/930170341","Catalog Record")</f>
        <v>Catalog Record</v>
      </c>
      <c r="AW3841" s="6" t="str">
        <f>HYPERLINK("http://www.worldcat.org/oclc/930170341","WorldCat Record")</f>
        <v>WorldCat Record</v>
      </c>
      <c r="AX3841" s="3" t="s">
        <v>37128</v>
      </c>
      <c r="AY3841" s="3" t="s">
        <v>37129</v>
      </c>
      <c r="AZ3841" s="3" t="s">
        <v>37130</v>
      </c>
      <c r="BA3841" s="3" t="s">
        <v>37130</v>
      </c>
      <c r="BB3841" s="3" t="s">
        <v>37131</v>
      </c>
      <c r="BC3841" s="3" t="s">
        <v>102</v>
      </c>
      <c r="BD3841" s="3" t="s">
        <v>68</v>
      </c>
      <c r="BE3841" s="3" t="s">
        <v>37132</v>
      </c>
      <c r="BF3841" s="3" t="s">
        <v>37131</v>
      </c>
      <c r="BG3841" s="3" t="s">
        <v>37133</v>
      </c>
    </row>
    <row r="3842" spans="1:59" ht="58" x14ac:dyDescent="0.35">
      <c r="A3842" s="2" t="s">
        <v>59</v>
      </c>
      <c r="B3842" s="2" t="s">
        <v>60</v>
      </c>
      <c r="C3842" s="2" t="s">
        <v>37134</v>
      </c>
      <c r="D3842" s="2" t="s">
        <v>37135</v>
      </c>
      <c r="E3842" s="2" t="s">
        <v>37136</v>
      </c>
      <c r="G3842" s="3" t="s">
        <v>62</v>
      </c>
      <c r="I3842" s="3" t="s">
        <v>62</v>
      </c>
      <c r="J3842" s="3" t="s">
        <v>62</v>
      </c>
      <c r="K3842" s="3" t="s">
        <v>63</v>
      </c>
      <c r="L3842" s="2" t="s">
        <v>37137</v>
      </c>
      <c r="M3842" s="2" t="s">
        <v>37138</v>
      </c>
      <c r="N3842" s="3" t="s">
        <v>4865</v>
      </c>
      <c r="P3842" s="3" t="s">
        <v>64</v>
      </c>
      <c r="R3842" s="3" t="s">
        <v>34126</v>
      </c>
      <c r="S3842" s="4">
        <v>1</v>
      </c>
      <c r="T3842" s="4">
        <v>1</v>
      </c>
      <c r="U3842" s="5" t="s">
        <v>9002</v>
      </c>
      <c r="V3842" s="5" t="s">
        <v>9002</v>
      </c>
      <c r="W3842" s="5" t="s">
        <v>67</v>
      </c>
      <c r="X3842" s="5" t="s">
        <v>67</v>
      </c>
      <c r="Y3842" s="4">
        <v>206</v>
      </c>
      <c r="Z3842" s="4">
        <v>5</v>
      </c>
      <c r="AA3842" s="4">
        <v>8</v>
      </c>
      <c r="AB3842" s="4">
        <v>1</v>
      </c>
      <c r="AC3842" s="4">
        <v>1</v>
      </c>
      <c r="AD3842" s="4">
        <v>73</v>
      </c>
      <c r="AE3842" s="4">
        <v>83</v>
      </c>
      <c r="AF3842" s="4">
        <v>0</v>
      </c>
      <c r="AG3842" s="4">
        <v>0</v>
      </c>
      <c r="AH3842" s="4">
        <v>70</v>
      </c>
      <c r="AI3842" s="4">
        <v>79</v>
      </c>
      <c r="AJ3842" s="4">
        <v>3</v>
      </c>
      <c r="AK3842" s="4">
        <v>4</v>
      </c>
      <c r="AL3842" s="4">
        <v>43</v>
      </c>
      <c r="AM3842" s="4">
        <v>48</v>
      </c>
      <c r="AN3842" s="4">
        <v>0</v>
      </c>
      <c r="AO3842" s="4">
        <v>0</v>
      </c>
      <c r="AP3842" s="4">
        <v>2</v>
      </c>
      <c r="AQ3842" s="4">
        <v>4</v>
      </c>
      <c r="AR3842" s="3" t="s">
        <v>62</v>
      </c>
      <c r="AS3842" s="3" t="s">
        <v>62</v>
      </c>
      <c r="AT3842" s="3" t="s">
        <v>61</v>
      </c>
      <c r="AU3842" s="6" t="str">
        <f>HYPERLINK("http://catalog.hathitrust.org/Record/001491456","HathiTrust Record")</f>
        <v>HathiTrust Record</v>
      </c>
      <c r="AV3842" s="6" t="str">
        <f>HYPERLINK("http://mcgill.on.worldcat.org/oclc/2859673","Catalog Record")</f>
        <v>Catalog Record</v>
      </c>
      <c r="AW3842" s="6" t="str">
        <f>HYPERLINK("http://www.worldcat.org/oclc/2859673","WorldCat Record")</f>
        <v>WorldCat Record</v>
      </c>
      <c r="AX3842" s="3" t="s">
        <v>37139</v>
      </c>
      <c r="AY3842" s="3" t="s">
        <v>37140</v>
      </c>
      <c r="AZ3842" s="3" t="s">
        <v>37141</v>
      </c>
      <c r="BA3842" s="3" t="s">
        <v>37141</v>
      </c>
      <c r="BB3842" s="3" t="s">
        <v>37142</v>
      </c>
      <c r="BC3842" s="3" t="s">
        <v>102</v>
      </c>
      <c r="BD3842" s="3" t="s">
        <v>68</v>
      </c>
      <c r="BF3842" s="3" t="s">
        <v>37142</v>
      </c>
      <c r="BG3842" s="3" t="s">
        <v>37143</v>
      </c>
    </row>
    <row r="3843" spans="1:59" ht="58" x14ac:dyDescent="0.35">
      <c r="A3843" s="2" t="s">
        <v>89</v>
      </c>
      <c r="B3843" s="2" t="s">
        <v>90</v>
      </c>
      <c r="C3843" s="2" t="s">
        <v>37144</v>
      </c>
      <c r="D3843" s="2" t="s">
        <v>37145</v>
      </c>
      <c r="E3843" s="2" t="s">
        <v>37146</v>
      </c>
      <c r="G3843" s="3" t="s">
        <v>62</v>
      </c>
      <c r="I3843" s="3" t="s">
        <v>62</v>
      </c>
      <c r="J3843" s="3" t="s">
        <v>62</v>
      </c>
      <c r="K3843" s="3" t="s">
        <v>63</v>
      </c>
      <c r="L3843" s="2" t="s">
        <v>37147</v>
      </c>
      <c r="M3843" s="2" t="s">
        <v>5274</v>
      </c>
      <c r="N3843" s="3" t="s">
        <v>2975</v>
      </c>
      <c r="P3843" s="3" t="s">
        <v>64</v>
      </c>
      <c r="Q3843" s="2" t="s">
        <v>37148</v>
      </c>
      <c r="R3843" s="3" t="s">
        <v>34126</v>
      </c>
      <c r="S3843" s="4">
        <v>31</v>
      </c>
      <c r="T3843" s="4">
        <v>31</v>
      </c>
      <c r="U3843" s="5" t="s">
        <v>37149</v>
      </c>
      <c r="V3843" s="5" t="s">
        <v>37149</v>
      </c>
      <c r="W3843" s="5" t="s">
        <v>67</v>
      </c>
      <c r="X3843" s="5" t="s">
        <v>67</v>
      </c>
      <c r="Y3843" s="4">
        <v>468</v>
      </c>
      <c r="Z3843" s="4">
        <v>29</v>
      </c>
      <c r="AA3843" s="4">
        <v>31</v>
      </c>
      <c r="AB3843" s="4">
        <v>2</v>
      </c>
      <c r="AC3843" s="4">
        <v>3</v>
      </c>
      <c r="AD3843" s="4">
        <v>117</v>
      </c>
      <c r="AE3843" s="4">
        <v>119</v>
      </c>
      <c r="AF3843" s="4">
        <v>1</v>
      </c>
      <c r="AG3843" s="4">
        <v>2</v>
      </c>
      <c r="AH3843" s="4">
        <v>100</v>
      </c>
      <c r="AI3843" s="4">
        <v>101</v>
      </c>
      <c r="AJ3843" s="4">
        <v>17</v>
      </c>
      <c r="AK3843" s="4">
        <v>19</v>
      </c>
      <c r="AL3843" s="4">
        <v>55</v>
      </c>
      <c r="AM3843" s="4">
        <v>55</v>
      </c>
      <c r="AN3843" s="4">
        <v>0</v>
      </c>
      <c r="AO3843" s="4">
        <v>0</v>
      </c>
      <c r="AP3843" s="4">
        <v>23</v>
      </c>
      <c r="AQ3843" s="4">
        <v>25</v>
      </c>
      <c r="AR3843" s="3" t="s">
        <v>62</v>
      </c>
      <c r="AS3843" s="3" t="s">
        <v>62</v>
      </c>
      <c r="AT3843" s="3" t="s">
        <v>62</v>
      </c>
      <c r="AV3843" s="6" t="str">
        <f>HYPERLINK("http://mcgill.on.worldcat.org/oclc/43694261","Catalog Record")</f>
        <v>Catalog Record</v>
      </c>
      <c r="AW3843" s="6" t="str">
        <f>HYPERLINK("http://www.worldcat.org/oclc/43694261","WorldCat Record")</f>
        <v>WorldCat Record</v>
      </c>
      <c r="AX3843" s="3" t="s">
        <v>37150</v>
      </c>
      <c r="AY3843" s="3" t="s">
        <v>37151</v>
      </c>
      <c r="AZ3843" s="3" t="s">
        <v>37152</v>
      </c>
      <c r="BA3843" s="3" t="s">
        <v>37152</v>
      </c>
      <c r="BB3843" s="3" t="s">
        <v>37153</v>
      </c>
      <c r="BC3843" s="3" t="s">
        <v>102</v>
      </c>
      <c r="BD3843" s="3" t="s">
        <v>68</v>
      </c>
      <c r="BE3843" s="3" t="s">
        <v>37154</v>
      </c>
      <c r="BF3843" s="3" t="s">
        <v>37153</v>
      </c>
      <c r="BG3843" s="3" t="s">
        <v>37155</v>
      </c>
    </row>
    <row r="3844" spans="1:59" ht="58" x14ac:dyDescent="0.35">
      <c r="A3844" s="2" t="s">
        <v>89</v>
      </c>
      <c r="B3844" s="2" t="s">
        <v>90</v>
      </c>
      <c r="C3844" s="2" t="s">
        <v>37156</v>
      </c>
      <c r="D3844" s="2" t="s">
        <v>37157</v>
      </c>
      <c r="E3844" s="2" t="s">
        <v>37158</v>
      </c>
      <c r="G3844" s="3" t="s">
        <v>62</v>
      </c>
      <c r="I3844" s="3" t="s">
        <v>62</v>
      </c>
      <c r="J3844" s="3" t="s">
        <v>62</v>
      </c>
      <c r="K3844" s="3" t="s">
        <v>63</v>
      </c>
      <c r="L3844" s="2" t="s">
        <v>37159</v>
      </c>
      <c r="M3844" s="2" t="s">
        <v>37160</v>
      </c>
      <c r="N3844" s="3" t="s">
        <v>712</v>
      </c>
      <c r="P3844" s="3" t="s">
        <v>64</v>
      </c>
      <c r="R3844" s="3" t="s">
        <v>34126</v>
      </c>
      <c r="S3844" s="4">
        <v>6</v>
      </c>
      <c r="T3844" s="4">
        <v>6</v>
      </c>
      <c r="U3844" s="5" t="s">
        <v>1238</v>
      </c>
      <c r="V3844" s="5" t="s">
        <v>1238</v>
      </c>
      <c r="W3844" s="5" t="s">
        <v>67</v>
      </c>
      <c r="X3844" s="5" t="s">
        <v>67</v>
      </c>
      <c r="Y3844" s="4">
        <v>111</v>
      </c>
      <c r="Z3844" s="4">
        <v>8</v>
      </c>
      <c r="AA3844" s="4">
        <v>41</v>
      </c>
      <c r="AB3844" s="4">
        <v>1</v>
      </c>
      <c r="AC3844" s="4">
        <v>7</v>
      </c>
      <c r="AD3844" s="4">
        <v>20</v>
      </c>
      <c r="AE3844" s="4">
        <v>95</v>
      </c>
      <c r="AF3844" s="4">
        <v>0</v>
      </c>
      <c r="AG3844" s="4">
        <v>2</v>
      </c>
      <c r="AH3844" s="4">
        <v>16</v>
      </c>
      <c r="AI3844" s="4">
        <v>85</v>
      </c>
      <c r="AJ3844" s="4">
        <v>6</v>
      </c>
      <c r="AK3844" s="4">
        <v>13</v>
      </c>
      <c r="AL3844" s="4">
        <v>13</v>
      </c>
      <c r="AM3844" s="4">
        <v>51</v>
      </c>
      <c r="AN3844" s="4">
        <v>0</v>
      </c>
      <c r="AO3844" s="4">
        <v>0</v>
      </c>
      <c r="AP3844" s="4">
        <v>6</v>
      </c>
      <c r="AQ3844" s="4">
        <v>16</v>
      </c>
      <c r="AR3844" s="3" t="s">
        <v>62</v>
      </c>
      <c r="AS3844" s="3" t="s">
        <v>62</v>
      </c>
      <c r="AT3844" s="3" t="s">
        <v>62</v>
      </c>
      <c r="AV3844" s="6" t="str">
        <f>HYPERLINK("http://mcgill.on.worldcat.org/oclc/881021443","Catalog Record")</f>
        <v>Catalog Record</v>
      </c>
      <c r="AW3844" s="6" t="str">
        <f>HYPERLINK("http://www.worldcat.org/oclc/881021443","WorldCat Record")</f>
        <v>WorldCat Record</v>
      </c>
      <c r="AX3844" s="3" t="s">
        <v>37161</v>
      </c>
      <c r="AY3844" s="3" t="s">
        <v>37162</v>
      </c>
      <c r="AZ3844" s="3" t="s">
        <v>37163</v>
      </c>
      <c r="BA3844" s="3" t="s">
        <v>37163</v>
      </c>
      <c r="BB3844" s="3" t="s">
        <v>37164</v>
      </c>
      <c r="BC3844" s="3" t="s">
        <v>102</v>
      </c>
      <c r="BD3844" s="3" t="s">
        <v>68</v>
      </c>
      <c r="BE3844" s="3" t="s">
        <v>37165</v>
      </c>
      <c r="BF3844" s="3" t="s">
        <v>37164</v>
      </c>
      <c r="BG3844" s="3" t="s">
        <v>37166</v>
      </c>
    </row>
    <row r="3845" spans="1:59" ht="58" x14ac:dyDescent="0.35">
      <c r="A3845" s="2" t="s">
        <v>89</v>
      </c>
      <c r="B3845" s="2" t="s">
        <v>90</v>
      </c>
      <c r="C3845" s="2" t="s">
        <v>37167</v>
      </c>
      <c r="D3845" s="2" t="s">
        <v>37168</v>
      </c>
      <c r="E3845" s="2" t="s">
        <v>37169</v>
      </c>
      <c r="G3845" s="3" t="s">
        <v>62</v>
      </c>
      <c r="I3845" s="3" t="s">
        <v>61</v>
      </c>
      <c r="J3845" s="3" t="s">
        <v>62</v>
      </c>
      <c r="K3845" s="3" t="s">
        <v>63</v>
      </c>
      <c r="L3845" s="2" t="s">
        <v>37170</v>
      </c>
      <c r="M3845" s="2" t="s">
        <v>37171</v>
      </c>
      <c r="N3845" s="3" t="s">
        <v>3062</v>
      </c>
      <c r="P3845" s="3" t="s">
        <v>64</v>
      </c>
      <c r="Q3845" s="2" t="s">
        <v>37172</v>
      </c>
      <c r="R3845" s="3" t="s">
        <v>34126</v>
      </c>
      <c r="S3845" s="4">
        <v>40</v>
      </c>
      <c r="T3845" s="4">
        <v>83</v>
      </c>
      <c r="U3845" s="5" t="s">
        <v>1699</v>
      </c>
      <c r="V3845" s="5" t="s">
        <v>1699</v>
      </c>
      <c r="W3845" s="5" t="s">
        <v>67</v>
      </c>
      <c r="X3845" s="5" t="s">
        <v>67</v>
      </c>
      <c r="Y3845" s="4">
        <v>82</v>
      </c>
      <c r="Z3845" s="4">
        <v>69</v>
      </c>
      <c r="AA3845" s="4">
        <v>97</v>
      </c>
      <c r="AB3845" s="4">
        <v>2</v>
      </c>
      <c r="AC3845" s="4">
        <v>12</v>
      </c>
      <c r="AD3845" s="4">
        <v>43</v>
      </c>
      <c r="AE3845" s="4">
        <v>123</v>
      </c>
      <c r="AF3845" s="4">
        <v>0</v>
      </c>
      <c r="AG3845" s="4">
        <v>4</v>
      </c>
      <c r="AH3845" s="4">
        <v>15</v>
      </c>
      <c r="AI3845" s="4">
        <v>83</v>
      </c>
      <c r="AJ3845" s="4">
        <v>20</v>
      </c>
      <c r="AK3845" s="4">
        <v>26</v>
      </c>
      <c r="AL3845" s="4">
        <v>2</v>
      </c>
      <c r="AM3845" s="4">
        <v>49</v>
      </c>
      <c r="AN3845" s="4">
        <v>0</v>
      </c>
      <c r="AO3845" s="4">
        <v>0</v>
      </c>
      <c r="AP3845" s="4">
        <v>37</v>
      </c>
      <c r="AQ3845" s="4">
        <v>47</v>
      </c>
      <c r="AR3845" s="3" t="s">
        <v>61</v>
      </c>
      <c r="AS3845" s="3" t="s">
        <v>62</v>
      </c>
      <c r="AT3845" s="3" t="s">
        <v>62</v>
      </c>
      <c r="AV3845" s="6" t="str">
        <f>HYPERLINK("http://mcgill.on.worldcat.org/oclc/24743223","Catalog Record")</f>
        <v>Catalog Record</v>
      </c>
      <c r="AW3845" s="6" t="str">
        <f>HYPERLINK("http://www.worldcat.org/oclc/24743223","WorldCat Record")</f>
        <v>WorldCat Record</v>
      </c>
      <c r="AX3845" s="3" t="s">
        <v>37173</v>
      </c>
      <c r="AY3845" s="3" t="s">
        <v>37174</v>
      </c>
      <c r="AZ3845" s="3" t="s">
        <v>37175</v>
      </c>
      <c r="BA3845" s="3" t="s">
        <v>37175</v>
      </c>
      <c r="BB3845" s="3" t="s">
        <v>37176</v>
      </c>
      <c r="BC3845" s="3" t="s">
        <v>102</v>
      </c>
      <c r="BD3845" s="3" t="s">
        <v>68</v>
      </c>
      <c r="BE3845" s="3" t="s">
        <v>37177</v>
      </c>
      <c r="BF3845" s="3" t="s">
        <v>37176</v>
      </c>
      <c r="BG3845" s="3" t="s">
        <v>37178</v>
      </c>
    </row>
    <row r="3846" spans="1:59" ht="87" x14ac:dyDescent="0.35">
      <c r="A3846" s="2" t="s">
        <v>89</v>
      </c>
      <c r="B3846" s="2" t="s">
        <v>28420</v>
      </c>
      <c r="C3846" s="2" t="s">
        <v>37179</v>
      </c>
      <c r="D3846" s="2" t="s">
        <v>37180</v>
      </c>
      <c r="E3846" s="2" t="s">
        <v>37181</v>
      </c>
      <c r="G3846" s="3" t="s">
        <v>62</v>
      </c>
      <c r="I3846" s="3" t="s">
        <v>62</v>
      </c>
      <c r="J3846" s="3" t="s">
        <v>62</v>
      </c>
      <c r="K3846" s="3" t="s">
        <v>63</v>
      </c>
      <c r="L3846" s="2" t="s">
        <v>37182</v>
      </c>
      <c r="M3846" s="2" t="s">
        <v>37183</v>
      </c>
      <c r="N3846" s="3" t="s">
        <v>524</v>
      </c>
      <c r="P3846" s="3" t="s">
        <v>64</v>
      </c>
      <c r="R3846" s="3" t="s">
        <v>34126</v>
      </c>
      <c r="S3846" s="4">
        <v>20</v>
      </c>
      <c r="T3846" s="4">
        <v>20</v>
      </c>
      <c r="U3846" s="5" t="s">
        <v>20567</v>
      </c>
      <c r="V3846" s="5" t="s">
        <v>20567</v>
      </c>
      <c r="W3846" s="5" t="s">
        <v>67</v>
      </c>
      <c r="X3846" s="5" t="s">
        <v>67</v>
      </c>
      <c r="Y3846" s="4">
        <v>1</v>
      </c>
      <c r="Z3846" s="4">
        <v>1</v>
      </c>
      <c r="AA3846" s="4">
        <v>1</v>
      </c>
      <c r="AB3846" s="4">
        <v>1</v>
      </c>
      <c r="AC3846" s="4">
        <v>1</v>
      </c>
      <c r="AD3846" s="4">
        <v>0</v>
      </c>
      <c r="AE3846" s="4">
        <v>0</v>
      </c>
      <c r="AF3846" s="4">
        <v>0</v>
      </c>
      <c r="AG3846" s="4">
        <v>0</v>
      </c>
      <c r="AH3846" s="4">
        <v>0</v>
      </c>
      <c r="AI3846" s="4">
        <v>0</v>
      </c>
      <c r="AJ3846" s="4">
        <v>0</v>
      </c>
      <c r="AK3846" s="4">
        <v>0</v>
      </c>
      <c r="AL3846" s="4">
        <v>0</v>
      </c>
      <c r="AM3846" s="4">
        <v>0</v>
      </c>
      <c r="AN3846" s="4">
        <v>0</v>
      </c>
      <c r="AO3846" s="4">
        <v>0</v>
      </c>
      <c r="AP3846" s="4">
        <v>0</v>
      </c>
      <c r="AQ3846" s="4">
        <v>0</v>
      </c>
      <c r="AR3846" s="3" t="s">
        <v>61</v>
      </c>
      <c r="AS3846" s="3" t="s">
        <v>62</v>
      </c>
      <c r="AT3846" s="3" t="s">
        <v>62</v>
      </c>
      <c r="AV3846" s="6" t="str">
        <f>HYPERLINK("http://mcgill.on.worldcat.org/oclc/427991306","Catalog Record")</f>
        <v>Catalog Record</v>
      </c>
      <c r="AW3846" s="6" t="str">
        <f>HYPERLINK("http://www.worldcat.org/oclc/427991306","WorldCat Record")</f>
        <v>WorldCat Record</v>
      </c>
      <c r="AX3846" s="3" t="s">
        <v>37184</v>
      </c>
      <c r="AY3846" s="3" t="s">
        <v>37185</v>
      </c>
      <c r="AZ3846" s="3" t="s">
        <v>37186</v>
      </c>
      <c r="BA3846" s="3" t="s">
        <v>37186</v>
      </c>
      <c r="BB3846" s="3" t="s">
        <v>37187</v>
      </c>
      <c r="BC3846" s="3" t="s">
        <v>28430</v>
      </c>
      <c r="BD3846" s="3" t="s">
        <v>68</v>
      </c>
      <c r="BF3846" s="3" t="s">
        <v>37187</v>
      </c>
      <c r="BG3846" s="3" t="s">
        <v>37188</v>
      </c>
    </row>
    <row r="3847" spans="1:59" ht="58" x14ac:dyDescent="0.35">
      <c r="A3847" s="2" t="s">
        <v>59</v>
      </c>
      <c r="B3847" s="2" t="s">
        <v>60</v>
      </c>
      <c r="C3847" s="2" t="s">
        <v>37189</v>
      </c>
      <c r="D3847" s="2" t="s">
        <v>37190</v>
      </c>
      <c r="E3847" s="2" t="s">
        <v>37191</v>
      </c>
      <c r="G3847" s="3" t="s">
        <v>62</v>
      </c>
      <c r="I3847" s="3" t="s">
        <v>62</v>
      </c>
      <c r="J3847" s="3" t="s">
        <v>62</v>
      </c>
      <c r="K3847" s="3" t="s">
        <v>63</v>
      </c>
      <c r="L3847" s="2" t="s">
        <v>37192</v>
      </c>
      <c r="M3847" s="2" t="s">
        <v>37193</v>
      </c>
      <c r="N3847" s="3" t="s">
        <v>1639</v>
      </c>
      <c r="P3847" s="3" t="s">
        <v>85</v>
      </c>
      <c r="R3847" s="3" t="s">
        <v>34126</v>
      </c>
      <c r="S3847" s="4">
        <v>7</v>
      </c>
      <c r="T3847" s="4">
        <v>7</v>
      </c>
      <c r="U3847" s="5" t="s">
        <v>6129</v>
      </c>
      <c r="V3847" s="5" t="s">
        <v>6129</v>
      </c>
      <c r="W3847" s="5" t="s">
        <v>67</v>
      </c>
      <c r="X3847" s="5" t="s">
        <v>67</v>
      </c>
      <c r="Y3847" s="4">
        <v>201</v>
      </c>
      <c r="Z3847" s="4">
        <v>20</v>
      </c>
      <c r="AA3847" s="4">
        <v>49</v>
      </c>
      <c r="AB3847" s="4">
        <v>3</v>
      </c>
      <c r="AC3847" s="4">
        <v>20</v>
      </c>
      <c r="AD3847" s="4">
        <v>67</v>
      </c>
      <c r="AE3847" s="4">
        <v>93</v>
      </c>
      <c r="AF3847" s="4">
        <v>1</v>
      </c>
      <c r="AG3847" s="4">
        <v>8</v>
      </c>
      <c r="AH3847" s="4">
        <v>56</v>
      </c>
      <c r="AI3847" s="4">
        <v>72</v>
      </c>
      <c r="AJ3847" s="4">
        <v>10</v>
      </c>
      <c r="AK3847" s="4">
        <v>20</v>
      </c>
      <c r="AL3847" s="4">
        <v>37</v>
      </c>
      <c r="AM3847" s="4">
        <v>44</v>
      </c>
      <c r="AN3847" s="4">
        <v>0</v>
      </c>
      <c r="AO3847" s="4">
        <v>0</v>
      </c>
      <c r="AP3847" s="4">
        <v>13</v>
      </c>
      <c r="AQ3847" s="4">
        <v>27</v>
      </c>
      <c r="AR3847" s="3" t="s">
        <v>62</v>
      </c>
      <c r="AS3847" s="3" t="s">
        <v>62</v>
      </c>
      <c r="AT3847" s="3" t="s">
        <v>61</v>
      </c>
      <c r="AU3847" s="6" t="str">
        <f>HYPERLINK("http://catalog.hathitrust.org/Record/001491466","HathiTrust Record")</f>
        <v>HathiTrust Record</v>
      </c>
      <c r="AV3847" s="6" t="str">
        <f>HYPERLINK("http://mcgill.on.worldcat.org/oclc/4620714","Catalog Record")</f>
        <v>Catalog Record</v>
      </c>
      <c r="AW3847" s="6" t="str">
        <f>HYPERLINK("http://www.worldcat.org/oclc/4620714","WorldCat Record")</f>
        <v>WorldCat Record</v>
      </c>
      <c r="AX3847" s="3" t="s">
        <v>37194</v>
      </c>
      <c r="AY3847" s="3" t="s">
        <v>37195</v>
      </c>
      <c r="AZ3847" s="3" t="s">
        <v>37196</v>
      </c>
      <c r="BA3847" s="3" t="s">
        <v>37196</v>
      </c>
      <c r="BB3847" s="3" t="s">
        <v>37197</v>
      </c>
      <c r="BC3847" s="3" t="s">
        <v>102</v>
      </c>
      <c r="BD3847" s="3" t="s">
        <v>68</v>
      </c>
      <c r="BE3847" s="3" t="s">
        <v>37198</v>
      </c>
      <c r="BF3847" s="3" t="s">
        <v>37197</v>
      </c>
      <c r="BG3847" s="3" t="s">
        <v>37199</v>
      </c>
    </row>
    <row r="3848" spans="1:59" ht="72.5" x14ac:dyDescent="0.35">
      <c r="A3848" s="2" t="s">
        <v>89</v>
      </c>
      <c r="B3848" s="2" t="s">
        <v>90</v>
      </c>
      <c r="C3848" s="2" t="s">
        <v>37200</v>
      </c>
      <c r="D3848" s="2" t="s">
        <v>37201</v>
      </c>
      <c r="E3848" s="2" t="s">
        <v>37202</v>
      </c>
      <c r="G3848" s="3" t="s">
        <v>62</v>
      </c>
      <c r="I3848" s="3" t="s">
        <v>61</v>
      </c>
      <c r="J3848" s="3" t="s">
        <v>61</v>
      </c>
      <c r="K3848" s="3" t="s">
        <v>63</v>
      </c>
      <c r="L3848" s="2" t="s">
        <v>37192</v>
      </c>
      <c r="M3848" s="2" t="s">
        <v>37203</v>
      </c>
      <c r="N3848" s="3" t="s">
        <v>1064</v>
      </c>
      <c r="O3848" s="2" t="s">
        <v>3990</v>
      </c>
      <c r="P3848" s="3" t="s">
        <v>64</v>
      </c>
      <c r="R3848" s="3" t="s">
        <v>34126</v>
      </c>
      <c r="S3848" s="4">
        <v>18</v>
      </c>
      <c r="T3848" s="4">
        <v>37</v>
      </c>
      <c r="U3848" s="5" t="s">
        <v>75</v>
      </c>
      <c r="V3848" s="5" t="s">
        <v>8928</v>
      </c>
      <c r="W3848" s="5" t="s">
        <v>67</v>
      </c>
      <c r="X3848" s="5" t="s">
        <v>67</v>
      </c>
      <c r="Y3848" s="4">
        <v>949</v>
      </c>
      <c r="Z3848" s="4">
        <v>47</v>
      </c>
      <c r="AA3848" s="4">
        <v>64</v>
      </c>
      <c r="AB3848" s="4">
        <v>3</v>
      </c>
      <c r="AC3848" s="4">
        <v>6</v>
      </c>
      <c r="AD3848" s="4">
        <v>135</v>
      </c>
      <c r="AE3848" s="4">
        <v>150</v>
      </c>
      <c r="AF3848" s="4">
        <v>1</v>
      </c>
      <c r="AG3848" s="4">
        <v>4</v>
      </c>
      <c r="AH3848" s="4">
        <v>106</v>
      </c>
      <c r="AI3848" s="4">
        <v>114</v>
      </c>
      <c r="AJ3848" s="4">
        <v>21</v>
      </c>
      <c r="AK3848" s="4">
        <v>25</v>
      </c>
      <c r="AL3848" s="4">
        <v>61</v>
      </c>
      <c r="AM3848" s="4">
        <v>62</v>
      </c>
      <c r="AN3848" s="4">
        <v>0</v>
      </c>
      <c r="AO3848" s="4">
        <v>0</v>
      </c>
      <c r="AP3848" s="4">
        <v>34</v>
      </c>
      <c r="AQ3848" s="4">
        <v>42</v>
      </c>
      <c r="AR3848" s="3" t="s">
        <v>62</v>
      </c>
      <c r="AS3848" s="3" t="s">
        <v>62</v>
      </c>
      <c r="AT3848" s="3" t="s">
        <v>61</v>
      </c>
      <c r="AU3848" s="6" t="str">
        <f>HYPERLINK("http://catalog.hathitrust.org/Record/001491467","HathiTrust Record")</f>
        <v>HathiTrust Record</v>
      </c>
      <c r="AV3848" s="6" t="str">
        <f>HYPERLINK("http://mcgill.on.worldcat.org/oclc/209901","Catalog Record")</f>
        <v>Catalog Record</v>
      </c>
      <c r="AW3848" s="6" t="str">
        <f>HYPERLINK("http://www.worldcat.org/oclc/209901","WorldCat Record")</f>
        <v>WorldCat Record</v>
      </c>
      <c r="AX3848" s="3" t="s">
        <v>37204</v>
      </c>
      <c r="AY3848" s="3" t="s">
        <v>37205</v>
      </c>
      <c r="AZ3848" s="3" t="s">
        <v>37206</v>
      </c>
      <c r="BA3848" s="3" t="s">
        <v>37206</v>
      </c>
      <c r="BB3848" s="3" t="s">
        <v>37207</v>
      </c>
      <c r="BC3848" s="3" t="s">
        <v>102</v>
      </c>
      <c r="BD3848" s="3" t="s">
        <v>68</v>
      </c>
      <c r="BE3848" s="3" t="s">
        <v>37208</v>
      </c>
      <c r="BF3848" s="3" t="s">
        <v>37207</v>
      </c>
      <c r="BG3848" s="3" t="s">
        <v>37209</v>
      </c>
    </row>
    <row r="3849" spans="1:59" ht="58" x14ac:dyDescent="0.35">
      <c r="A3849" s="2" t="s">
        <v>89</v>
      </c>
      <c r="B3849" s="2" t="s">
        <v>90</v>
      </c>
      <c r="C3849" s="2" t="s">
        <v>37210</v>
      </c>
      <c r="D3849" s="2" t="s">
        <v>37211</v>
      </c>
      <c r="E3849" s="2" t="s">
        <v>37212</v>
      </c>
      <c r="G3849" s="3" t="s">
        <v>62</v>
      </c>
      <c r="I3849" s="3" t="s">
        <v>62</v>
      </c>
      <c r="J3849" s="3" t="s">
        <v>62</v>
      </c>
      <c r="K3849" s="3" t="s">
        <v>63</v>
      </c>
      <c r="M3849" s="2" t="s">
        <v>2025</v>
      </c>
      <c r="N3849" s="3" t="s">
        <v>1905</v>
      </c>
      <c r="P3849" s="3" t="s">
        <v>64</v>
      </c>
      <c r="R3849" s="3" t="s">
        <v>34126</v>
      </c>
      <c r="S3849" s="4">
        <v>13</v>
      </c>
      <c r="T3849" s="4">
        <v>13</v>
      </c>
      <c r="U3849" s="5" t="s">
        <v>3534</v>
      </c>
      <c r="V3849" s="5" t="s">
        <v>3534</v>
      </c>
      <c r="W3849" s="5" t="s">
        <v>67</v>
      </c>
      <c r="X3849" s="5" t="s">
        <v>67</v>
      </c>
      <c r="Y3849" s="4">
        <v>487</v>
      </c>
      <c r="Z3849" s="4">
        <v>38</v>
      </c>
      <c r="AA3849" s="4">
        <v>41</v>
      </c>
      <c r="AB3849" s="4">
        <v>2</v>
      </c>
      <c r="AC3849" s="4">
        <v>5</v>
      </c>
      <c r="AD3849" s="4">
        <v>125</v>
      </c>
      <c r="AE3849" s="4">
        <v>127</v>
      </c>
      <c r="AF3849" s="4">
        <v>1</v>
      </c>
      <c r="AG3849" s="4">
        <v>3</v>
      </c>
      <c r="AH3849" s="4">
        <v>105</v>
      </c>
      <c r="AI3849" s="4">
        <v>106</v>
      </c>
      <c r="AJ3849" s="4">
        <v>23</v>
      </c>
      <c r="AK3849" s="4">
        <v>25</v>
      </c>
      <c r="AL3849" s="4">
        <v>56</v>
      </c>
      <c r="AM3849" s="4">
        <v>56</v>
      </c>
      <c r="AN3849" s="4">
        <v>0</v>
      </c>
      <c r="AO3849" s="4">
        <v>0</v>
      </c>
      <c r="AP3849" s="4">
        <v>29</v>
      </c>
      <c r="AQ3849" s="4">
        <v>30</v>
      </c>
      <c r="AR3849" s="3" t="s">
        <v>62</v>
      </c>
      <c r="AS3849" s="3" t="s">
        <v>62</v>
      </c>
      <c r="AT3849" s="3" t="s">
        <v>62</v>
      </c>
      <c r="AV3849" s="6" t="str">
        <f>HYPERLINK("http://mcgill.on.worldcat.org/oclc/14242750","Catalog Record")</f>
        <v>Catalog Record</v>
      </c>
      <c r="AW3849" s="6" t="str">
        <f>HYPERLINK("http://www.worldcat.org/oclc/14242750","WorldCat Record")</f>
        <v>WorldCat Record</v>
      </c>
      <c r="AX3849" s="3" t="s">
        <v>37213</v>
      </c>
      <c r="AY3849" s="3" t="s">
        <v>37214</v>
      </c>
      <c r="AZ3849" s="3" t="s">
        <v>37215</v>
      </c>
      <c r="BA3849" s="3" t="s">
        <v>37215</v>
      </c>
      <c r="BB3849" s="3" t="s">
        <v>37216</v>
      </c>
      <c r="BC3849" s="3" t="s">
        <v>102</v>
      </c>
      <c r="BD3849" s="3" t="s">
        <v>68</v>
      </c>
      <c r="BE3849" s="3" t="s">
        <v>37217</v>
      </c>
      <c r="BF3849" s="3" t="s">
        <v>37216</v>
      </c>
      <c r="BG3849" s="3" t="s">
        <v>37218</v>
      </c>
    </row>
    <row r="3850" spans="1:59" ht="58" x14ac:dyDescent="0.35">
      <c r="A3850" s="2" t="s">
        <v>59</v>
      </c>
      <c r="B3850" s="2" t="s">
        <v>60</v>
      </c>
      <c r="C3850" s="2" t="s">
        <v>37219</v>
      </c>
      <c r="D3850" s="2" t="s">
        <v>37220</v>
      </c>
      <c r="E3850" s="2" t="s">
        <v>37221</v>
      </c>
      <c r="G3850" s="3" t="s">
        <v>62</v>
      </c>
      <c r="I3850" s="3" t="s">
        <v>62</v>
      </c>
      <c r="J3850" s="3" t="s">
        <v>62</v>
      </c>
      <c r="K3850" s="3" t="s">
        <v>63</v>
      </c>
      <c r="L3850" s="2" t="s">
        <v>37222</v>
      </c>
      <c r="M3850" s="2" t="s">
        <v>37223</v>
      </c>
      <c r="N3850" s="3" t="s">
        <v>6323</v>
      </c>
      <c r="P3850" s="3" t="s">
        <v>64</v>
      </c>
      <c r="Q3850" s="2" t="s">
        <v>7507</v>
      </c>
      <c r="R3850" s="3" t="s">
        <v>34126</v>
      </c>
      <c r="S3850" s="4">
        <v>2</v>
      </c>
      <c r="T3850" s="4">
        <v>2</v>
      </c>
      <c r="U3850" s="5" t="s">
        <v>37224</v>
      </c>
      <c r="V3850" s="5" t="s">
        <v>37224</v>
      </c>
      <c r="W3850" s="5" t="s">
        <v>67</v>
      </c>
      <c r="X3850" s="5" t="s">
        <v>67</v>
      </c>
      <c r="Y3850" s="4">
        <v>150</v>
      </c>
      <c r="Z3850" s="4">
        <v>9</v>
      </c>
      <c r="AA3850" s="4">
        <v>12</v>
      </c>
      <c r="AB3850" s="4">
        <v>1</v>
      </c>
      <c r="AC3850" s="4">
        <v>3</v>
      </c>
      <c r="AD3850" s="4">
        <v>67</v>
      </c>
      <c r="AE3850" s="4">
        <v>72</v>
      </c>
      <c r="AF3850" s="4">
        <v>0</v>
      </c>
      <c r="AG3850" s="4">
        <v>0</v>
      </c>
      <c r="AH3850" s="4">
        <v>62</v>
      </c>
      <c r="AI3850" s="4">
        <v>66</v>
      </c>
      <c r="AJ3850" s="4">
        <v>5</v>
      </c>
      <c r="AK3850" s="4">
        <v>5</v>
      </c>
      <c r="AL3850" s="4">
        <v>38</v>
      </c>
      <c r="AM3850" s="4">
        <v>41</v>
      </c>
      <c r="AN3850" s="4">
        <v>0</v>
      </c>
      <c r="AO3850" s="4">
        <v>0</v>
      </c>
      <c r="AP3850" s="4">
        <v>7</v>
      </c>
      <c r="AQ3850" s="4">
        <v>8</v>
      </c>
      <c r="AR3850" s="3" t="s">
        <v>62</v>
      </c>
      <c r="AS3850" s="3" t="s">
        <v>62</v>
      </c>
      <c r="AT3850" s="3" t="s">
        <v>62</v>
      </c>
      <c r="AU3850" s="6" t="str">
        <f>HYPERLINK("http://catalog.hathitrust.org/Record/001491472","HathiTrust Record")</f>
        <v>HathiTrust Record</v>
      </c>
      <c r="AV3850" s="6" t="str">
        <f>HYPERLINK("http://mcgill.on.worldcat.org/oclc/2594716","Catalog Record")</f>
        <v>Catalog Record</v>
      </c>
      <c r="AW3850" s="6" t="str">
        <f>HYPERLINK("http://www.worldcat.org/oclc/2594716","WorldCat Record")</f>
        <v>WorldCat Record</v>
      </c>
      <c r="AX3850" s="3" t="s">
        <v>37225</v>
      </c>
      <c r="AY3850" s="3" t="s">
        <v>37226</v>
      </c>
      <c r="AZ3850" s="3" t="s">
        <v>37227</v>
      </c>
      <c r="BA3850" s="3" t="s">
        <v>37227</v>
      </c>
      <c r="BB3850" s="3" t="s">
        <v>37228</v>
      </c>
      <c r="BC3850" s="3" t="s">
        <v>102</v>
      </c>
      <c r="BD3850" s="3" t="s">
        <v>68</v>
      </c>
      <c r="BF3850" s="3" t="s">
        <v>37228</v>
      </c>
      <c r="BG3850" s="3" t="s">
        <v>37229</v>
      </c>
    </row>
    <row r="3851" spans="1:59" ht="58" x14ac:dyDescent="0.35">
      <c r="A3851" s="2" t="s">
        <v>89</v>
      </c>
      <c r="B3851" s="2" t="s">
        <v>90</v>
      </c>
      <c r="C3851" s="2" t="s">
        <v>37230</v>
      </c>
      <c r="D3851" s="2" t="s">
        <v>37231</v>
      </c>
      <c r="E3851" s="2" t="s">
        <v>37232</v>
      </c>
      <c r="G3851" s="3" t="s">
        <v>62</v>
      </c>
      <c r="I3851" s="3" t="s">
        <v>61</v>
      </c>
      <c r="J3851" s="3" t="s">
        <v>62</v>
      </c>
      <c r="K3851" s="3" t="s">
        <v>63</v>
      </c>
      <c r="L3851" s="2" t="s">
        <v>6408</v>
      </c>
      <c r="M3851" s="2" t="s">
        <v>37233</v>
      </c>
      <c r="N3851" s="3" t="s">
        <v>466</v>
      </c>
      <c r="P3851" s="3" t="s">
        <v>64</v>
      </c>
      <c r="Q3851" s="2" t="s">
        <v>37234</v>
      </c>
      <c r="R3851" s="3" t="s">
        <v>34126</v>
      </c>
      <c r="S3851" s="4">
        <v>4</v>
      </c>
      <c r="T3851" s="4">
        <v>28</v>
      </c>
      <c r="U3851" s="5" t="s">
        <v>1293</v>
      </c>
      <c r="V3851" s="5" t="s">
        <v>12276</v>
      </c>
      <c r="W3851" s="5" t="s">
        <v>67</v>
      </c>
      <c r="X3851" s="5" t="s">
        <v>67</v>
      </c>
      <c r="Y3851" s="4">
        <v>534</v>
      </c>
      <c r="Z3851" s="4">
        <v>29</v>
      </c>
      <c r="AA3851" s="4">
        <v>112</v>
      </c>
      <c r="AB3851" s="4">
        <v>2</v>
      </c>
      <c r="AC3851" s="4">
        <v>18</v>
      </c>
      <c r="AD3851" s="4">
        <v>67</v>
      </c>
      <c r="AE3851" s="4">
        <v>126</v>
      </c>
      <c r="AF3851" s="4">
        <v>1</v>
      </c>
      <c r="AG3851" s="4">
        <v>8</v>
      </c>
      <c r="AH3851" s="4">
        <v>60</v>
      </c>
      <c r="AI3851" s="4">
        <v>92</v>
      </c>
      <c r="AJ3851" s="4">
        <v>9</v>
      </c>
      <c r="AK3851" s="4">
        <v>21</v>
      </c>
      <c r="AL3851" s="4">
        <v>31</v>
      </c>
      <c r="AM3851" s="4">
        <v>47</v>
      </c>
      <c r="AN3851" s="4">
        <v>0</v>
      </c>
      <c r="AO3851" s="4">
        <v>0</v>
      </c>
      <c r="AP3851" s="4">
        <v>15</v>
      </c>
      <c r="AQ3851" s="4">
        <v>43</v>
      </c>
      <c r="AR3851" s="3" t="s">
        <v>62</v>
      </c>
      <c r="AS3851" s="3" t="s">
        <v>62</v>
      </c>
      <c r="AT3851" s="3" t="s">
        <v>62</v>
      </c>
      <c r="AV3851" s="6" t="str">
        <f>HYPERLINK("http://mcgill.on.worldcat.org/oclc/24503223","Catalog Record")</f>
        <v>Catalog Record</v>
      </c>
      <c r="AW3851" s="6" t="str">
        <f>HYPERLINK("http://www.worldcat.org/oclc/24503223","WorldCat Record")</f>
        <v>WorldCat Record</v>
      </c>
      <c r="AX3851" s="3" t="s">
        <v>37235</v>
      </c>
      <c r="AY3851" s="3" t="s">
        <v>37236</v>
      </c>
      <c r="AZ3851" s="3" t="s">
        <v>37237</v>
      </c>
      <c r="BA3851" s="3" t="s">
        <v>37237</v>
      </c>
      <c r="BB3851" s="3" t="s">
        <v>37238</v>
      </c>
      <c r="BC3851" s="3" t="s">
        <v>102</v>
      </c>
      <c r="BD3851" s="3" t="s">
        <v>68</v>
      </c>
      <c r="BE3851" s="3" t="s">
        <v>37239</v>
      </c>
      <c r="BF3851" s="3" t="s">
        <v>37238</v>
      </c>
      <c r="BG3851" s="3" t="s">
        <v>37240</v>
      </c>
    </row>
    <row r="3852" spans="1:59" ht="58" x14ac:dyDescent="0.35">
      <c r="A3852" s="2" t="s">
        <v>89</v>
      </c>
      <c r="B3852" s="2" t="s">
        <v>90</v>
      </c>
      <c r="C3852" s="2" t="s">
        <v>37230</v>
      </c>
      <c r="D3852" s="2" t="s">
        <v>37231</v>
      </c>
      <c r="E3852" s="2" t="s">
        <v>37232</v>
      </c>
      <c r="G3852" s="3" t="s">
        <v>62</v>
      </c>
      <c r="I3852" s="3" t="s">
        <v>61</v>
      </c>
      <c r="J3852" s="3" t="s">
        <v>62</v>
      </c>
      <c r="K3852" s="3" t="s">
        <v>63</v>
      </c>
      <c r="L3852" s="2" t="s">
        <v>6408</v>
      </c>
      <c r="M3852" s="2" t="s">
        <v>37233</v>
      </c>
      <c r="N3852" s="3" t="s">
        <v>466</v>
      </c>
      <c r="P3852" s="3" t="s">
        <v>64</v>
      </c>
      <c r="Q3852" s="2" t="s">
        <v>37234</v>
      </c>
      <c r="R3852" s="3" t="s">
        <v>34126</v>
      </c>
      <c r="S3852" s="4">
        <v>24</v>
      </c>
      <c r="T3852" s="4">
        <v>28</v>
      </c>
      <c r="U3852" s="5" t="s">
        <v>12276</v>
      </c>
      <c r="V3852" s="5" t="s">
        <v>12276</v>
      </c>
      <c r="W3852" s="5" t="s">
        <v>67</v>
      </c>
      <c r="X3852" s="5" t="s">
        <v>67</v>
      </c>
      <c r="Y3852" s="4">
        <v>534</v>
      </c>
      <c r="Z3852" s="4">
        <v>29</v>
      </c>
      <c r="AA3852" s="4">
        <v>112</v>
      </c>
      <c r="AB3852" s="4">
        <v>2</v>
      </c>
      <c r="AC3852" s="4">
        <v>18</v>
      </c>
      <c r="AD3852" s="4">
        <v>67</v>
      </c>
      <c r="AE3852" s="4">
        <v>126</v>
      </c>
      <c r="AF3852" s="4">
        <v>1</v>
      </c>
      <c r="AG3852" s="4">
        <v>8</v>
      </c>
      <c r="AH3852" s="4">
        <v>60</v>
      </c>
      <c r="AI3852" s="4">
        <v>92</v>
      </c>
      <c r="AJ3852" s="4">
        <v>9</v>
      </c>
      <c r="AK3852" s="4">
        <v>21</v>
      </c>
      <c r="AL3852" s="4">
        <v>31</v>
      </c>
      <c r="AM3852" s="4">
        <v>47</v>
      </c>
      <c r="AN3852" s="4">
        <v>0</v>
      </c>
      <c r="AO3852" s="4">
        <v>0</v>
      </c>
      <c r="AP3852" s="4">
        <v>15</v>
      </c>
      <c r="AQ3852" s="4">
        <v>43</v>
      </c>
      <c r="AR3852" s="3" t="s">
        <v>62</v>
      </c>
      <c r="AS3852" s="3" t="s">
        <v>62</v>
      </c>
      <c r="AT3852" s="3" t="s">
        <v>62</v>
      </c>
      <c r="AV3852" s="6" t="str">
        <f>HYPERLINK("http://mcgill.on.worldcat.org/oclc/24503223","Catalog Record")</f>
        <v>Catalog Record</v>
      </c>
      <c r="AW3852" s="6" t="str">
        <f>HYPERLINK("http://www.worldcat.org/oclc/24503223","WorldCat Record")</f>
        <v>WorldCat Record</v>
      </c>
      <c r="AX3852" s="3" t="s">
        <v>37235</v>
      </c>
      <c r="AY3852" s="3" t="s">
        <v>37236</v>
      </c>
      <c r="AZ3852" s="3" t="s">
        <v>37237</v>
      </c>
      <c r="BA3852" s="3" t="s">
        <v>37237</v>
      </c>
      <c r="BB3852" s="3" t="s">
        <v>37241</v>
      </c>
      <c r="BC3852" s="3" t="s">
        <v>102</v>
      </c>
      <c r="BD3852" s="3" t="s">
        <v>68</v>
      </c>
      <c r="BE3852" s="3" t="s">
        <v>37239</v>
      </c>
      <c r="BF3852" s="3" t="s">
        <v>37241</v>
      </c>
      <c r="BG3852" s="3" t="s">
        <v>37242</v>
      </c>
    </row>
    <row r="3853" spans="1:59" ht="58" x14ac:dyDescent="0.35">
      <c r="A3853" s="2" t="s">
        <v>89</v>
      </c>
      <c r="B3853" s="2" t="s">
        <v>90</v>
      </c>
      <c r="C3853" s="2" t="s">
        <v>37243</v>
      </c>
      <c r="D3853" s="2" t="s">
        <v>37244</v>
      </c>
      <c r="E3853" s="2" t="s">
        <v>37245</v>
      </c>
      <c r="G3853" s="3" t="s">
        <v>62</v>
      </c>
      <c r="I3853" s="3" t="s">
        <v>62</v>
      </c>
      <c r="J3853" s="3" t="s">
        <v>62</v>
      </c>
      <c r="K3853" s="3" t="s">
        <v>63</v>
      </c>
      <c r="L3853" s="2" t="s">
        <v>37246</v>
      </c>
      <c r="M3853" s="2" t="s">
        <v>37247</v>
      </c>
      <c r="N3853" s="3" t="s">
        <v>2975</v>
      </c>
      <c r="P3853" s="3" t="s">
        <v>64</v>
      </c>
      <c r="R3853" s="3" t="s">
        <v>34126</v>
      </c>
      <c r="S3853" s="4">
        <v>1</v>
      </c>
      <c r="T3853" s="4">
        <v>1</v>
      </c>
      <c r="U3853" s="5" t="s">
        <v>1469</v>
      </c>
      <c r="V3853" s="5" t="s">
        <v>1469</v>
      </c>
      <c r="W3853" s="5" t="s">
        <v>67</v>
      </c>
      <c r="X3853" s="5" t="s">
        <v>67</v>
      </c>
      <c r="Y3853" s="4">
        <v>444</v>
      </c>
      <c r="Z3853" s="4">
        <v>19</v>
      </c>
      <c r="AA3853" s="4">
        <v>95</v>
      </c>
      <c r="AB3853" s="4">
        <v>1</v>
      </c>
      <c r="AC3853" s="4">
        <v>17</v>
      </c>
      <c r="AD3853" s="4">
        <v>99</v>
      </c>
      <c r="AE3853" s="4">
        <v>140</v>
      </c>
      <c r="AF3853" s="4">
        <v>0</v>
      </c>
      <c r="AG3853" s="4">
        <v>8</v>
      </c>
      <c r="AH3853" s="4">
        <v>90</v>
      </c>
      <c r="AI3853" s="4">
        <v>102</v>
      </c>
      <c r="AJ3853" s="4">
        <v>11</v>
      </c>
      <c r="AK3853" s="4">
        <v>23</v>
      </c>
      <c r="AL3853" s="4">
        <v>51</v>
      </c>
      <c r="AM3853" s="4">
        <v>55</v>
      </c>
      <c r="AN3853" s="4">
        <v>0</v>
      </c>
      <c r="AO3853" s="4">
        <v>0</v>
      </c>
      <c r="AP3853" s="4">
        <v>13</v>
      </c>
      <c r="AQ3853" s="4">
        <v>45</v>
      </c>
      <c r="AR3853" s="3" t="s">
        <v>62</v>
      </c>
      <c r="AS3853" s="3" t="s">
        <v>62</v>
      </c>
      <c r="AT3853" s="3" t="s">
        <v>61</v>
      </c>
      <c r="AU3853" s="6" t="str">
        <f>HYPERLINK("http://catalog.hathitrust.org/Record/004176987","HathiTrust Record")</f>
        <v>HathiTrust Record</v>
      </c>
      <c r="AV3853" s="6" t="str">
        <f>HYPERLINK("http://mcgill.on.worldcat.org/oclc/45707713","Catalog Record")</f>
        <v>Catalog Record</v>
      </c>
      <c r="AW3853" s="6" t="str">
        <f>HYPERLINK("http://www.worldcat.org/oclc/45707713","WorldCat Record")</f>
        <v>WorldCat Record</v>
      </c>
      <c r="AX3853" s="3" t="s">
        <v>37248</v>
      </c>
      <c r="AY3853" s="3" t="s">
        <v>37249</v>
      </c>
      <c r="AZ3853" s="3" t="s">
        <v>37250</v>
      </c>
      <c r="BA3853" s="3" t="s">
        <v>37250</v>
      </c>
      <c r="BB3853" s="3" t="s">
        <v>37251</v>
      </c>
      <c r="BC3853" s="3" t="s">
        <v>102</v>
      </c>
      <c r="BD3853" s="3" t="s">
        <v>68</v>
      </c>
      <c r="BE3853" s="3" t="s">
        <v>37252</v>
      </c>
      <c r="BF3853" s="3" t="s">
        <v>37251</v>
      </c>
      <c r="BG3853" s="3" t="s">
        <v>37253</v>
      </c>
    </row>
    <row r="3854" spans="1:59" ht="58" x14ac:dyDescent="0.35">
      <c r="A3854" s="2" t="s">
        <v>59</v>
      </c>
      <c r="B3854" s="2" t="s">
        <v>60</v>
      </c>
      <c r="C3854" s="2" t="s">
        <v>37254</v>
      </c>
      <c r="D3854" s="2" t="s">
        <v>37255</v>
      </c>
      <c r="E3854" s="2" t="s">
        <v>37256</v>
      </c>
      <c r="G3854" s="3" t="s">
        <v>62</v>
      </c>
      <c r="I3854" s="3" t="s">
        <v>62</v>
      </c>
      <c r="J3854" s="3" t="s">
        <v>62</v>
      </c>
      <c r="K3854" s="3" t="s">
        <v>63</v>
      </c>
      <c r="L3854" s="2" t="s">
        <v>37257</v>
      </c>
      <c r="M3854" s="2" t="s">
        <v>37258</v>
      </c>
      <c r="N3854" s="3" t="s">
        <v>2566</v>
      </c>
      <c r="P3854" s="3" t="s">
        <v>64</v>
      </c>
      <c r="R3854" s="3" t="s">
        <v>34126</v>
      </c>
      <c r="S3854" s="4">
        <v>5</v>
      </c>
      <c r="T3854" s="4">
        <v>5</v>
      </c>
      <c r="U3854" s="5" t="s">
        <v>2226</v>
      </c>
      <c r="V3854" s="5" t="s">
        <v>2226</v>
      </c>
      <c r="W3854" s="5" t="s">
        <v>67</v>
      </c>
      <c r="X3854" s="5" t="s">
        <v>67</v>
      </c>
      <c r="Y3854" s="4">
        <v>274</v>
      </c>
      <c r="Z3854" s="4">
        <v>18</v>
      </c>
      <c r="AA3854" s="4">
        <v>18</v>
      </c>
      <c r="AB3854" s="4">
        <v>3</v>
      </c>
      <c r="AC3854" s="4">
        <v>3</v>
      </c>
      <c r="AD3854" s="4">
        <v>82</v>
      </c>
      <c r="AE3854" s="4">
        <v>82</v>
      </c>
      <c r="AF3854" s="4">
        <v>1</v>
      </c>
      <c r="AG3854" s="4">
        <v>1</v>
      </c>
      <c r="AH3854" s="4">
        <v>70</v>
      </c>
      <c r="AI3854" s="4">
        <v>70</v>
      </c>
      <c r="AJ3854" s="4">
        <v>13</v>
      </c>
      <c r="AK3854" s="4">
        <v>13</v>
      </c>
      <c r="AL3854" s="4">
        <v>39</v>
      </c>
      <c r="AM3854" s="4">
        <v>39</v>
      </c>
      <c r="AN3854" s="4">
        <v>0</v>
      </c>
      <c r="AO3854" s="4">
        <v>0</v>
      </c>
      <c r="AP3854" s="4">
        <v>14</v>
      </c>
      <c r="AQ3854" s="4">
        <v>14</v>
      </c>
      <c r="AR3854" s="3" t="s">
        <v>62</v>
      </c>
      <c r="AS3854" s="3" t="s">
        <v>62</v>
      </c>
      <c r="AT3854" s="3" t="s">
        <v>61</v>
      </c>
      <c r="AU3854" s="6" t="str">
        <f>HYPERLINK("http://catalog.hathitrust.org/Record/000698379","HathiTrust Record")</f>
        <v>HathiTrust Record</v>
      </c>
      <c r="AV3854" s="6" t="str">
        <f>HYPERLINK("http://mcgill.on.worldcat.org/oclc/810529","Catalog Record")</f>
        <v>Catalog Record</v>
      </c>
      <c r="AW3854" s="6" t="str">
        <f>HYPERLINK("http://www.worldcat.org/oclc/810529","WorldCat Record")</f>
        <v>WorldCat Record</v>
      </c>
      <c r="AX3854" s="3" t="s">
        <v>37259</v>
      </c>
      <c r="AY3854" s="3" t="s">
        <v>37260</v>
      </c>
      <c r="AZ3854" s="3" t="s">
        <v>37261</v>
      </c>
      <c r="BA3854" s="3" t="s">
        <v>37261</v>
      </c>
      <c r="BB3854" s="3" t="s">
        <v>37262</v>
      </c>
      <c r="BC3854" s="3" t="s">
        <v>102</v>
      </c>
      <c r="BD3854" s="3" t="s">
        <v>6923</v>
      </c>
      <c r="BE3854" s="3" t="s">
        <v>37263</v>
      </c>
      <c r="BF3854" s="3" t="s">
        <v>37262</v>
      </c>
      <c r="BG3854" s="3" t="s">
        <v>37264</v>
      </c>
    </row>
    <row r="3855" spans="1:59" ht="58" x14ac:dyDescent="0.35">
      <c r="A3855" s="2" t="s">
        <v>89</v>
      </c>
      <c r="B3855" s="2" t="s">
        <v>90</v>
      </c>
      <c r="C3855" s="2" t="s">
        <v>37265</v>
      </c>
      <c r="D3855" s="2" t="s">
        <v>37266</v>
      </c>
      <c r="E3855" s="2" t="s">
        <v>37267</v>
      </c>
      <c r="G3855" s="3" t="s">
        <v>62</v>
      </c>
      <c r="I3855" s="3" t="s">
        <v>62</v>
      </c>
      <c r="J3855" s="3" t="s">
        <v>62</v>
      </c>
      <c r="K3855" s="3" t="s">
        <v>63</v>
      </c>
      <c r="M3855" s="2" t="s">
        <v>2883</v>
      </c>
      <c r="N3855" s="3" t="s">
        <v>698</v>
      </c>
      <c r="P3855" s="3" t="s">
        <v>64</v>
      </c>
      <c r="Q3855" s="2" t="s">
        <v>37268</v>
      </c>
      <c r="R3855" s="3" t="s">
        <v>34126</v>
      </c>
      <c r="S3855" s="4">
        <v>1</v>
      </c>
      <c r="T3855" s="4">
        <v>1</v>
      </c>
      <c r="U3855" s="5" t="s">
        <v>37269</v>
      </c>
      <c r="V3855" s="5" t="s">
        <v>37269</v>
      </c>
      <c r="W3855" s="5" t="s">
        <v>67</v>
      </c>
      <c r="X3855" s="5" t="s">
        <v>67</v>
      </c>
      <c r="Y3855" s="4">
        <v>145</v>
      </c>
      <c r="Z3855" s="4">
        <v>20</v>
      </c>
      <c r="AA3855" s="4">
        <v>27</v>
      </c>
      <c r="AB3855" s="4">
        <v>1</v>
      </c>
      <c r="AC3855" s="4">
        <v>5</v>
      </c>
      <c r="AD3855" s="4">
        <v>36</v>
      </c>
      <c r="AE3855" s="4">
        <v>42</v>
      </c>
      <c r="AF3855" s="4">
        <v>0</v>
      </c>
      <c r="AG3855" s="4">
        <v>1</v>
      </c>
      <c r="AH3855" s="4">
        <v>32</v>
      </c>
      <c r="AI3855" s="4">
        <v>37</v>
      </c>
      <c r="AJ3855" s="4">
        <v>9</v>
      </c>
      <c r="AK3855" s="4">
        <v>10</v>
      </c>
      <c r="AL3855" s="4">
        <v>15</v>
      </c>
      <c r="AM3855" s="4">
        <v>17</v>
      </c>
      <c r="AN3855" s="4">
        <v>0</v>
      </c>
      <c r="AO3855" s="4">
        <v>0</v>
      </c>
      <c r="AP3855" s="4">
        <v>11</v>
      </c>
      <c r="AQ3855" s="4">
        <v>13</v>
      </c>
      <c r="AR3855" s="3" t="s">
        <v>62</v>
      </c>
      <c r="AS3855" s="3" t="s">
        <v>62</v>
      </c>
      <c r="AT3855" s="3" t="s">
        <v>62</v>
      </c>
      <c r="AV3855" s="6" t="str">
        <f>HYPERLINK("http://mcgill.on.worldcat.org/oclc/277196018","Catalog Record")</f>
        <v>Catalog Record</v>
      </c>
      <c r="AW3855" s="6" t="str">
        <f>HYPERLINK("http://www.worldcat.org/oclc/277196018","WorldCat Record")</f>
        <v>WorldCat Record</v>
      </c>
      <c r="AX3855" s="3" t="s">
        <v>37270</v>
      </c>
      <c r="AY3855" s="3" t="s">
        <v>37271</v>
      </c>
      <c r="AZ3855" s="3" t="s">
        <v>37272</v>
      </c>
      <c r="BA3855" s="3" t="s">
        <v>37272</v>
      </c>
      <c r="BB3855" s="3" t="s">
        <v>37273</v>
      </c>
      <c r="BC3855" s="3" t="s">
        <v>102</v>
      </c>
      <c r="BD3855" s="3" t="s">
        <v>68</v>
      </c>
      <c r="BE3855" s="3" t="s">
        <v>37274</v>
      </c>
      <c r="BF3855" s="3" t="s">
        <v>37273</v>
      </c>
      <c r="BG3855" s="3" t="s">
        <v>37275</v>
      </c>
    </row>
    <row r="3856" spans="1:59" ht="58" x14ac:dyDescent="0.35">
      <c r="A3856" s="2" t="s">
        <v>89</v>
      </c>
      <c r="B3856" s="2" t="s">
        <v>90</v>
      </c>
      <c r="C3856" s="2" t="s">
        <v>37276</v>
      </c>
      <c r="D3856" s="2" t="s">
        <v>37277</v>
      </c>
      <c r="E3856" s="2" t="s">
        <v>37278</v>
      </c>
      <c r="G3856" s="3" t="s">
        <v>62</v>
      </c>
      <c r="I3856" s="3" t="s">
        <v>62</v>
      </c>
      <c r="J3856" s="3" t="s">
        <v>62</v>
      </c>
      <c r="K3856" s="3" t="s">
        <v>63</v>
      </c>
      <c r="M3856" s="2" t="s">
        <v>12796</v>
      </c>
      <c r="N3856" s="3" t="s">
        <v>1455</v>
      </c>
      <c r="P3856" s="3" t="s">
        <v>64</v>
      </c>
      <c r="Q3856" s="2" t="s">
        <v>37279</v>
      </c>
      <c r="R3856" s="3" t="s">
        <v>34126</v>
      </c>
      <c r="S3856" s="4">
        <v>0</v>
      </c>
      <c r="T3856" s="4">
        <v>0</v>
      </c>
      <c r="W3856" s="5" t="s">
        <v>67</v>
      </c>
      <c r="X3856" s="5" t="s">
        <v>67</v>
      </c>
      <c r="Y3856" s="4">
        <v>55</v>
      </c>
      <c r="Z3856" s="4">
        <v>1</v>
      </c>
      <c r="AA3856" s="4">
        <v>20</v>
      </c>
      <c r="AB3856" s="4">
        <v>1</v>
      </c>
      <c r="AC3856" s="4">
        <v>6</v>
      </c>
      <c r="AD3856" s="4">
        <v>16</v>
      </c>
      <c r="AE3856" s="4">
        <v>55</v>
      </c>
      <c r="AF3856" s="4">
        <v>0</v>
      </c>
      <c r="AG3856" s="4">
        <v>3</v>
      </c>
      <c r="AH3856" s="4">
        <v>16</v>
      </c>
      <c r="AI3856" s="4">
        <v>42</v>
      </c>
      <c r="AJ3856" s="4">
        <v>0</v>
      </c>
      <c r="AK3856" s="4">
        <v>13</v>
      </c>
      <c r="AL3856" s="4">
        <v>8</v>
      </c>
      <c r="AM3856" s="4">
        <v>21</v>
      </c>
      <c r="AN3856" s="4">
        <v>0</v>
      </c>
      <c r="AO3856" s="4">
        <v>0</v>
      </c>
      <c r="AP3856" s="4">
        <v>0</v>
      </c>
      <c r="AQ3856" s="4">
        <v>17</v>
      </c>
      <c r="AR3856" s="3" t="s">
        <v>62</v>
      </c>
      <c r="AS3856" s="3" t="s">
        <v>62</v>
      </c>
      <c r="AT3856" s="3" t="s">
        <v>62</v>
      </c>
      <c r="AV3856" s="6" t="str">
        <f>HYPERLINK("http://mcgill.on.worldcat.org/oclc/925497706","Catalog Record")</f>
        <v>Catalog Record</v>
      </c>
      <c r="AW3856" s="6" t="str">
        <f>HYPERLINK("http://www.worldcat.org/oclc/925497706","WorldCat Record")</f>
        <v>WorldCat Record</v>
      </c>
      <c r="AX3856" s="3" t="s">
        <v>37280</v>
      </c>
      <c r="AY3856" s="3" t="s">
        <v>37281</v>
      </c>
      <c r="AZ3856" s="3" t="s">
        <v>37282</v>
      </c>
      <c r="BA3856" s="3" t="s">
        <v>37282</v>
      </c>
      <c r="BB3856" s="3" t="s">
        <v>37283</v>
      </c>
      <c r="BC3856" s="3" t="s">
        <v>102</v>
      </c>
      <c r="BD3856" s="3" t="s">
        <v>68</v>
      </c>
      <c r="BE3856" s="3" t="s">
        <v>37284</v>
      </c>
      <c r="BF3856" s="3" t="s">
        <v>37283</v>
      </c>
      <c r="BG3856" s="3" t="s">
        <v>37285</v>
      </c>
    </row>
    <row r="3857" spans="1:59" ht="58" x14ac:dyDescent="0.35">
      <c r="A3857" s="2" t="s">
        <v>89</v>
      </c>
      <c r="B3857" s="2" t="s">
        <v>90</v>
      </c>
      <c r="C3857" s="2" t="s">
        <v>37286</v>
      </c>
      <c r="D3857" s="2" t="s">
        <v>37287</v>
      </c>
      <c r="E3857" s="2" t="s">
        <v>37288</v>
      </c>
      <c r="G3857" s="3" t="s">
        <v>62</v>
      </c>
      <c r="I3857" s="3" t="s">
        <v>62</v>
      </c>
      <c r="J3857" s="3" t="s">
        <v>62</v>
      </c>
      <c r="K3857" s="3" t="s">
        <v>63</v>
      </c>
      <c r="M3857" s="2" t="s">
        <v>6736</v>
      </c>
      <c r="N3857" s="3" t="s">
        <v>698</v>
      </c>
      <c r="P3857" s="3" t="s">
        <v>64</v>
      </c>
      <c r="Q3857" s="2" t="s">
        <v>37289</v>
      </c>
      <c r="R3857" s="3" t="s">
        <v>34126</v>
      </c>
      <c r="S3857" s="4">
        <v>0</v>
      </c>
      <c r="T3857" s="4">
        <v>0</v>
      </c>
      <c r="W3857" s="5" t="s">
        <v>67</v>
      </c>
      <c r="X3857" s="5" t="s">
        <v>67</v>
      </c>
      <c r="Y3857" s="4">
        <v>99</v>
      </c>
      <c r="Z3857" s="4">
        <v>3</v>
      </c>
      <c r="AA3857" s="4">
        <v>63</v>
      </c>
      <c r="AB3857" s="4">
        <v>1</v>
      </c>
      <c r="AC3857" s="4">
        <v>8</v>
      </c>
      <c r="AD3857" s="4">
        <v>32</v>
      </c>
      <c r="AE3857" s="4">
        <v>95</v>
      </c>
      <c r="AF3857" s="4">
        <v>0</v>
      </c>
      <c r="AG3857" s="4">
        <v>4</v>
      </c>
      <c r="AH3857" s="4">
        <v>31</v>
      </c>
      <c r="AI3857" s="4">
        <v>65</v>
      </c>
      <c r="AJ3857" s="4">
        <v>1</v>
      </c>
      <c r="AK3857" s="4">
        <v>20</v>
      </c>
      <c r="AL3857" s="4">
        <v>14</v>
      </c>
      <c r="AM3857" s="4">
        <v>29</v>
      </c>
      <c r="AN3857" s="4">
        <v>0</v>
      </c>
      <c r="AO3857" s="4">
        <v>0</v>
      </c>
      <c r="AP3857" s="4">
        <v>1</v>
      </c>
      <c r="AQ3857" s="4">
        <v>35</v>
      </c>
      <c r="AR3857" s="3" t="s">
        <v>62</v>
      </c>
      <c r="AS3857" s="3" t="s">
        <v>62</v>
      </c>
      <c r="AT3857" s="3" t="s">
        <v>62</v>
      </c>
      <c r="AV3857" s="6" t="str">
        <f>HYPERLINK("http://mcgill.on.worldcat.org/oclc/740625567","Catalog Record")</f>
        <v>Catalog Record</v>
      </c>
      <c r="AW3857" s="6" t="str">
        <f>HYPERLINK("http://www.worldcat.org/oclc/740625567","WorldCat Record")</f>
        <v>WorldCat Record</v>
      </c>
      <c r="AX3857" s="3" t="s">
        <v>37290</v>
      </c>
      <c r="AY3857" s="3" t="s">
        <v>37291</v>
      </c>
      <c r="AZ3857" s="3" t="s">
        <v>37292</v>
      </c>
      <c r="BA3857" s="3" t="s">
        <v>37292</v>
      </c>
      <c r="BB3857" s="3" t="s">
        <v>37293</v>
      </c>
      <c r="BC3857" s="3" t="s">
        <v>102</v>
      </c>
      <c r="BD3857" s="3" t="s">
        <v>68</v>
      </c>
      <c r="BE3857" s="3" t="s">
        <v>37294</v>
      </c>
      <c r="BF3857" s="3" t="s">
        <v>37293</v>
      </c>
      <c r="BG3857" s="3" t="s">
        <v>37295</v>
      </c>
    </row>
    <row r="3858" spans="1:59" ht="58" x14ac:dyDescent="0.35">
      <c r="A3858" s="2" t="s">
        <v>89</v>
      </c>
      <c r="B3858" s="2" t="s">
        <v>90</v>
      </c>
      <c r="C3858" s="2" t="s">
        <v>37296</v>
      </c>
      <c r="D3858" s="2" t="s">
        <v>37297</v>
      </c>
      <c r="E3858" s="2" t="s">
        <v>37298</v>
      </c>
      <c r="G3858" s="3" t="s">
        <v>62</v>
      </c>
      <c r="I3858" s="3" t="s">
        <v>62</v>
      </c>
      <c r="J3858" s="3" t="s">
        <v>62</v>
      </c>
      <c r="K3858" s="3" t="s">
        <v>63</v>
      </c>
      <c r="L3858" s="2" t="s">
        <v>37299</v>
      </c>
      <c r="M3858" s="2" t="s">
        <v>37300</v>
      </c>
      <c r="N3858" s="3" t="s">
        <v>2085</v>
      </c>
      <c r="P3858" s="3" t="s">
        <v>85</v>
      </c>
      <c r="Q3858" s="2" t="s">
        <v>37301</v>
      </c>
      <c r="R3858" s="3" t="s">
        <v>34126</v>
      </c>
      <c r="S3858" s="4">
        <v>0</v>
      </c>
      <c r="T3858" s="4">
        <v>0</v>
      </c>
      <c r="W3858" s="5" t="s">
        <v>67</v>
      </c>
      <c r="X3858" s="5" t="s">
        <v>67</v>
      </c>
      <c r="Y3858" s="4">
        <v>2</v>
      </c>
      <c r="Z3858" s="4">
        <v>1</v>
      </c>
      <c r="AA3858" s="4">
        <v>1</v>
      </c>
      <c r="AB3858" s="4">
        <v>1</v>
      </c>
      <c r="AC3858" s="4">
        <v>1</v>
      </c>
      <c r="AD3858" s="4">
        <v>0</v>
      </c>
      <c r="AE3858" s="4">
        <v>0</v>
      </c>
      <c r="AF3858" s="4">
        <v>0</v>
      </c>
      <c r="AG3858" s="4">
        <v>0</v>
      </c>
      <c r="AH3858" s="4">
        <v>0</v>
      </c>
      <c r="AI3858" s="4">
        <v>0</v>
      </c>
      <c r="AJ3858" s="4">
        <v>0</v>
      </c>
      <c r="AK3858" s="4">
        <v>0</v>
      </c>
      <c r="AL3858" s="4">
        <v>0</v>
      </c>
      <c r="AM3858" s="4">
        <v>0</v>
      </c>
      <c r="AN3858" s="4">
        <v>0</v>
      </c>
      <c r="AO3858" s="4">
        <v>0</v>
      </c>
      <c r="AP3858" s="4">
        <v>0</v>
      </c>
      <c r="AQ3858" s="4">
        <v>0</v>
      </c>
      <c r="AR3858" s="3" t="s">
        <v>62</v>
      </c>
      <c r="AS3858" s="3" t="s">
        <v>62</v>
      </c>
      <c r="AT3858" s="3" t="s">
        <v>62</v>
      </c>
      <c r="AV3858" s="6" t="str">
        <f>HYPERLINK("http://mcgill.on.worldcat.org/oclc/1043440773","Catalog Record")</f>
        <v>Catalog Record</v>
      </c>
      <c r="AW3858" s="6" t="str">
        <f>HYPERLINK("http://www.worldcat.org/oclc/1043440773","WorldCat Record")</f>
        <v>WorldCat Record</v>
      </c>
      <c r="AX3858" s="3" t="s">
        <v>37302</v>
      </c>
      <c r="AY3858" s="3" t="s">
        <v>37303</v>
      </c>
      <c r="AZ3858" s="3" t="s">
        <v>37304</v>
      </c>
      <c r="BA3858" s="3" t="s">
        <v>37304</v>
      </c>
      <c r="BB3858" s="3" t="s">
        <v>37305</v>
      </c>
      <c r="BC3858" s="3" t="s">
        <v>102</v>
      </c>
      <c r="BD3858" s="3" t="s">
        <v>68</v>
      </c>
      <c r="BE3858" s="3" t="s">
        <v>37306</v>
      </c>
      <c r="BF3858" s="3" t="s">
        <v>37305</v>
      </c>
      <c r="BG3858" s="3" t="s">
        <v>37307</v>
      </c>
    </row>
    <row r="3859" spans="1:59" ht="58" x14ac:dyDescent="0.35">
      <c r="A3859" s="2" t="s">
        <v>89</v>
      </c>
      <c r="B3859" s="2" t="s">
        <v>90</v>
      </c>
      <c r="C3859" s="2" t="s">
        <v>37308</v>
      </c>
      <c r="D3859" s="2" t="s">
        <v>37309</v>
      </c>
      <c r="E3859" s="2" t="s">
        <v>37310</v>
      </c>
      <c r="G3859" s="3" t="s">
        <v>62</v>
      </c>
      <c r="I3859" s="3" t="s">
        <v>62</v>
      </c>
      <c r="J3859" s="3" t="s">
        <v>62</v>
      </c>
      <c r="K3859" s="3" t="s">
        <v>63</v>
      </c>
      <c r="M3859" s="2" t="s">
        <v>37311</v>
      </c>
      <c r="N3859" s="3" t="s">
        <v>684</v>
      </c>
      <c r="P3859" s="3" t="s">
        <v>64</v>
      </c>
      <c r="Q3859" s="2" t="s">
        <v>37312</v>
      </c>
      <c r="R3859" s="3" t="s">
        <v>34126</v>
      </c>
      <c r="S3859" s="4">
        <v>0</v>
      </c>
      <c r="T3859" s="4">
        <v>0</v>
      </c>
      <c r="W3859" s="5" t="s">
        <v>67</v>
      </c>
      <c r="X3859" s="5" t="s">
        <v>67</v>
      </c>
      <c r="Y3859" s="4">
        <v>109</v>
      </c>
      <c r="Z3859" s="4">
        <v>4</v>
      </c>
      <c r="AA3859" s="4">
        <v>38</v>
      </c>
      <c r="AB3859" s="4">
        <v>1</v>
      </c>
      <c r="AC3859" s="4">
        <v>8</v>
      </c>
      <c r="AD3859" s="4">
        <v>33</v>
      </c>
      <c r="AE3859" s="4">
        <v>87</v>
      </c>
      <c r="AF3859" s="4">
        <v>0</v>
      </c>
      <c r="AG3859" s="4">
        <v>4</v>
      </c>
      <c r="AH3859" s="4">
        <v>33</v>
      </c>
      <c r="AI3859" s="4">
        <v>63</v>
      </c>
      <c r="AJ3859" s="4">
        <v>1</v>
      </c>
      <c r="AK3859" s="4">
        <v>18</v>
      </c>
      <c r="AL3859" s="4">
        <v>17</v>
      </c>
      <c r="AM3859" s="4">
        <v>29</v>
      </c>
      <c r="AN3859" s="4">
        <v>0</v>
      </c>
      <c r="AO3859" s="4">
        <v>0</v>
      </c>
      <c r="AP3859" s="4">
        <v>1</v>
      </c>
      <c r="AQ3859" s="4">
        <v>31</v>
      </c>
      <c r="AR3859" s="3" t="s">
        <v>62</v>
      </c>
      <c r="AS3859" s="3" t="s">
        <v>62</v>
      </c>
      <c r="AT3859" s="3" t="s">
        <v>62</v>
      </c>
      <c r="AV3859" s="6" t="str">
        <f>HYPERLINK("http://mcgill.on.worldcat.org/oclc/648932997","Catalog Record")</f>
        <v>Catalog Record</v>
      </c>
      <c r="AW3859" s="6" t="str">
        <f>HYPERLINK("http://www.worldcat.org/oclc/648932997","WorldCat Record")</f>
        <v>WorldCat Record</v>
      </c>
      <c r="AX3859" s="3" t="s">
        <v>37313</v>
      </c>
      <c r="AY3859" s="3" t="s">
        <v>37314</v>
      </c>
      <c r="AZ3859" s="3" t="s">
        <v>37315</v>
      </c>
      <c r="BA3859" s="3" t="s">
        <v>37315</v>
      </c>
      <c r="BB3859" s="3" t="s">
        <v>37316</v>
      </c>
      <c r="BC3859" s="3" t="s">
        <v>102</v>
      </c>
      <c r="BD3859" s="3" t="s">
        <v>68</v>
      </c>
      <c r="BE3859" s="3" t="s">
        <v>37317</v>
      </c>
      <c r="BF3859" s="3" t="s">
        <v>37316</v>
      </c>
      <c r="BG3859" s="3" t="s">
        <v>37318</v>
      </c>
    </row>
    <row r="3860" spans="1:59" ht="58" x14ac:dyDescent="0.35">
      <c r="A3860" s="2" t="s">
        <v>89</v>
      </c>
      <c r="B3860" s="2" t="s">
        <v>90</v>
      </c>
      <c r="C3860" s="2" t="s">
        <v>37319</v>
      </c>
      <c r="D3860" s="2" t="s">
        <v>37320</v>
      </c>
      <c r="E3860" s="2" t="s">
        <v>37321</v>
      </c>
      <c r="G3860" s="3" t="s">
        <v>62</v>
      </c>
      <c r="I3860" s="3" t="s">
        <v>62</v>
      </c>
      <c r="J3860" s="3" t="s">
        <v>62</v>
      </c>
      <c r="K3860" s="3" t="s">
        <v>63</v>
      </c>
      <c r="M3860" s="2" t="s">
        <v>7656</v>
      </c>
      <c r="N3860" s="3" t="s">
        <v>726</v>
      </c>
      <c r="P3860" s="3" t="s">
        <v>64</v>
      </c>
      <c r="Q3860" s="2" t="s">
        <v>37322</v>
      </c>
      <c r="R3860" s="3" t="s">
        <v>34126</v>
      </c>
      <c r="S3860" s="4">
        <v>1</v>
      </c>
      <c r="T3860" s="4">
        <v>1</v>
      </c>
      <c r="U3860" s="5" t="s">
        <v>1325</v>
      </c>
      <c r="V3860" s="5" t="s">
        <v>1325</v>
      </c>
      <c r="W3860" s="5" t="s">
        <v>67</v>
      </c>
      <c r="X3860" s="5" t="s">
        <v>67</v>
      </c>
      <c r="Y3860" s="4">
        <v>62</v>
      </c>
      <c r="Z3860" s="4">
        <v>1</v>
      </c>
      <c r="AA3860" s="4">
        <v>11</v>
      </c>
      <c r="AB3860" s="4">
        <v>1</v>
      </c>
      <c r="AC3860" s="4">
        <v>5</v>
      </c>
      <c r="AD3860" s="4">
        <v>13</v>
      </c>
      <c r="AE3860" s="4">
        <v>31</v>
      </c>
      <c r="AF3860" s="4">
        <v>0</v>
      </c>
      <c r="AG3860" s="4">
        <v>2</v>
      </c>
      <c r="AH3860" s="4">
        <v>13</v>
      </c>
      <c r="AI3860" s="4">
        <v>25</v>
      </c>
      <c r="AJ3860" s="4">
        <v>0</v>
      </c>
      <c r="AK3860" s="4">
        <v>6</v>
      </c>
      <c r="AL3860" s="4">
        <v>6</v>
      </c>
      <c r="AM3860" s="4">
        <v>13</v>
      </c>
      <c r="AN3860" s="4">
        <v>0</v>
      </c>
      <c r="AO3860" s="4">
        <v>0</v>
      </c>
      <c r="AP3860" s="4">
        <v>0</v>
      </c>
      <c r="AQ3860" s="4">
        <v>8</v>
      </c>
      <c r="AR3860" s="3" t="s">
        <v>62</v>
      </c>
      <c r="AS3860" s="3" t="s">
        <v>62</v>
      </c>
      <c r="AT3860" s="3" t="s">
        <v>62</v>
      </c>
      <c r="AV3860" s="6" t="str">
        <f>HYPERLINK("http://mcgill.on.worldcat.org/oclc/973920192","Catalog Record")</f>
        <v>Catalog Record</v>
      </c>
      <c r="AW3860" s="6" t="str">
        <f>HYPERLINK("http://www.worldcat.org/oclc/973920192","WorldCat Record")</f>
        <v>WorldCat Record</v>
      </c>
      <c r="AX3860" s="3" t="s">
        <v>37323</v>
      </c>
      <c r="AY3860" s="3" t="s">
        <v>37324</v>
      </c>
      <c r="AZ3860" s="3" t="s">
        <v>37325</v>
      </c>
      <c r="BA3860" s="3" t="s">
        <v>37325</v>
      </c>
      <c r="BB3860" s="3" t="s">
        <v>37326</v>
      </c>
      <c r="BC3860" s="3" t="s">
        <v>102</v>
      </c>
      <c r="BD3860" s="3" t="s">
        <v>68</v>
      </c>
      <c r="BE3860" s="3" t="s">
        <v>37327</v>
      </c>
      <c r="BF3860" s="3" t="s">
        <v>37326</v>
      </c>
      <c r="BG3860" s="3" t="s">
        <v>37328</v>
      </c>
    </row>
    <row r="3861" spans="1:59" ht="58" x14ac:dyDescent="0.35">
      <c r="A3861" s="2" t="s">
        <v>89</v>
      </c>
      <c r="B3861" s="2" t="s">
        <v>90</v>
      </c>
      <c r="C3861" s="2" t="s">
        <v>37329</v>
      </c>
      <c r="D3861" s="2" t="s">
        <v>37330</v>
      </c>
      <c r="E3861" s="2" t="s">
        <v>37331</v>
      </c>
      <c r="G3861" s="3" t="s">
        <v>62</v>
      </c>
      <c r="I3861" s="3" t="s">
        <v>62</v>
      </c>
      <c r="J3861" s="3" t="s">
        <v>62</v>
      </c>
      <c r="K3861" s="3" t="s">
        <v>63</v>
      </c>
      <c r="M3861" s="2" t="s">
        <v>37332</v>
      </c>
      <c r="N3861" s="3" t="s">
        <v>129</v>
      </c>
      <c r="P3861" s="3" t="s">
        <v>64</v>
      </c>
      <c r="Q3861" s="2" t="s">
        <v>37333</v>
      </c>
      <c r="R3861" s="3" t="s">
        <v>34126</v>
      </c>
      <c r="S3861" s="4">
        <v>0</v>
      </c>
      <c r="T3861" s="4">
        <v>0</v>
      </c>
      <c r="W3861" s="5" t="s">
        <v>67</v>
      </c>
      <c r="X3861" s="5" t="s">
        <v>67</v>
      </c>
      <c r="Y3861" s="4">
        <v>16</v>
      </c>
      <c r="Z3861" s="4">
        <v>1</v>
      </c>
      <c r="AA3861" s="4">
        <v>60</v>
      </c>
      <c r="AB3861" s="4">
        <v>1</v>
      </c>
      <c r="AC3861" s="4">
        <v>7</v>
      </c>
      <c r="AD3861" s="4">
        <v>5</v>
      </c>
      <c r="AE3861" s="4">
        <v>92</v>
      </c>
      <c r="AF3861" s="4">
        <v>0</v>
      </c>
      <c r="AG3861" s="4">
        <v>4</v>
      </c>
      <c r="AH3861" s="4">
        <v>5</v>
      </c>
      <c r="AI3861" s="4">
        <v>63</v>
      </c>
      <c r="AJ3861" s="4">
        <v>0</v>
      </c>
      <c r="AK3861" s="4">
        <v>21</v>
      </c>
      <c r="AL3861" s="4">
        <v>1</v>
      </c>
      <c r="AM3861" s="4">
        <v>28</v>
      </c>
      <c r="AN3861" s="4">
        <v>0</v>
      </c>
      <c r="AO3861" s="4">
        <v>0</v>
      </c>
      <c r="AP3861" s="4">
        <v>0</v>
      </c>
      <c r="AQ3861" s="4">
        <v>34</v>
      </c>
      <c r="AR3861" s="3" t="s">
        <v>62</v>
      </c>
      <c r="AS3861" s="3" t="s">
        <v>62</v>
      </c>
      <c r="AT3861" s="3" t="s">
        <v>62</v>
      </c>
      <c r="AV3861" s="6" t="str">
        <f>HYPERLINK("http://mcgill.on.worldcat.org/oclc/841201171","Catalog Record")</f>
        <v>Catalog Record</v>
      </c>
      <c r="AW3861" s="6" t="str">
        <f>HYPERLINK("http://www.worldcat.org/oclc/841201171","WorldCat Record")</f>
        <v>WorldCat Record</v>
      </c>
      <c r="AX3861" s="3" t="s">
        <v>37334</v>
      </c>
      <c r="AY3861" s="3" t="s">
        <v>37335</v>
      </c>
      <c r="AZ3861" s="3" t="s">
        <v>37336</v>
      </c>
      <c r="BA3861" s="3" t="s">
        <v>37336</v>
      </c>
      <c r="BB3861" s="3" t="s">
        <v>37337</v>
      </c>
      <c r="BC3861" s="3" t="s">
        <v>102</v>
      </c>
      <c r="BD3861" s="3" t="s">
        <v>68</v>
      </c>
      <c r="BE3861" s="3" t="s">
        <v>37338</v>
      </c>
      <c r="BF3861" s="3" t="s">
        <v>37337</v>
      </c>
      <c r="BG3861" s="3" t="s">
        <v>37339</v>
      </c>
    </row>
    <row r="3862" spans="1:59" ht="58" x14ac:dyDescent="0.35">
      <c r="A3862" s="2" t="s">
        <v>89</v>
      </c>
      <c r="B3862" s="2" t="s">
        <v>90</v>
      </c>
      <c r="C3862" s="2" t="s">
        <v>37340</v>
      </c>
      <c r="D3862" s="2" t="s">
        <v>37341</v>
      </c>
      <c r="E3862" s="2" t="s">
        <v>37342</v>
      </c>
      <c r="G3862" s="3" t="s">
        <v>62</v>
      </c>
      <c r="I3862" s="3" t="s">
        <v>62</v>
      </c>
      <c r="J3862" s="3" t="s">
        <v>62</v>
      </c>
      <c r="K3862" s="3" t="s">
        <v>63</v>
      </c>
      <c r="M3862" s="2" t="s">
        <v>14633</v>
      </c>
      <c r="N3862" s="3" t="s">
        <v>129</v>
      </c>
      <c r="P3862" s="3" t="s">
        <v>64</v>
      </c>
      <c r="Q3862" s="2" t="s">
        <v>37343</v>
      </c>
      <c r="R3862" s="3" t="s">
        <v>34126</v>
      </c>
      <c r="S3862" s="4">
        <v>0</v>
      </c>
      <c r="T3862" s="4">
        <v>0</v>
      </c>
      <c r="W3862" s="5" t="s">
        <v>67</v>
      </c>
      <c r="X3862" s="5" t="s">
        <v>67</v>
      </c>
      <c r="Y3862" s="4">
        <v>102</v>
      </c>
      <c r="Z3862" s="4">
        <v>8</v>
      </c>
      <c r="AA3862" s="4">
        <v>16</v>
      </c>
      <c r="AB3862" s="4">
        <v>1</v>
      </c>
      <c r="AC3862" s="4">
        <v>2</v>
      </c>
      <c r="AD3862" s="4">
        <v>36</v>
      </c>
      <c r="AE3862" s="4">
        <v>48</v>
      </c>
      <c r="AF3862" s="4">
        <v>0</v>
      </c>
      <c r="AG3862" s="4">
        <v>0</v>
      </c>
      <c r="AH3862" s="4">
        <v>33</v>
      </c>
      <c r="AI3862" s="4">
        <v>42</v>
      </c>
      <c r="AJ3862" s="4">
        <v>5</v>
      </c>
      <c r="AK3862" s="4">
        <v>8</v>
      </c>
      <c r="AL3862" s="4">
        <v>18</v>
      </c>
      <c r="AM3862" s="4">
        <v>23</v>
      </c>
      <c r="AN3862" s="4">
        <v>0</v>
      </c>
      <c r="AO3862" s="4">
        <v>0</v>
      </c>
      <c r="AP3862" s="4">
        <v>6</v>
      </c>
      <c r="AQ3862" s="4">
        <v>10</v>
      </c>
      <c r="AR3862" s="3" t="s">
        <v>62</v>
      </c>
      <c r="AS3862" s="3" t="s">
        <v>62</v>
      </c>
      <c r="AT3862" s="3" t="s">
        <v>62</v>
      </c>
      <c r="AV3862" s="6" t="str">
        <f>HYPERLINK("http://mcgill.on.worldcat.org/oclc/798061985","Catalog Record")</f>
        <v>Catalog Record</v>
      </c>
      <c r="AW3862" s="6" t="str">
        <f>HYPERLINK("http://www.worldcat.org/oclc/798061985","WorldCat Record")</f>
        <v>WorldCat Record</v>
      </c>
      <c r="AX3862" s="3" t="s">
        <v>37344</v>
      </c>
      <c r="AY3862" s="3" t="s">
        <v>37345</v>
      </c>
      <c r="AZ3862" s="3" t="s">
        <v>37346</v>
      </c>
      <c r="BA3862" s="3" t="s">
        <v>37346</v>
      </c>
      <c r="BB3862" s="3" t="s">
        <v>37347</v>
      </c>
      <c r="BC3862" s="3" t="s">
        <v>102</v>
      </c>
      <c r="BD3862" s="3" t="s">
        <v>68</v>
      </c>
      <c r="BE3862" s="3" t="s">
        <v>37348</v>
      </c>
      <c r="BF3862" s="3" t="s">
        <v>37347</v>
      </c>
      <c r="BG3862" s="3" t="s">
        <v>37349</v>
      </c>
    </row>
    <row r="3863" spans="1:59" ht="58" x14ac:dyDescent="0.35">
      <c r="A3863" s="2" t="s">
        <v>89</v>
      </c>
      <c r="B3863" s="2" t="s">
        <v>90</v>
      </c>
      <c r="C3863" s="2" t="s">
        <v>37350</v>
      </c>
      <c r="D3863" s="2" t="s">
        <v>37351</v>
      </c>
      <c r="E3863" s="2" t="s">
        <v>37352</v>
      </c>
      <c r="G3863" s="3" t="s">
        <v>62</v>
      </c>
      <c r="I3863" s="3" t="s">
        <v>62</v>
      </c>
      <c r="J3863" s="3" t="s">
        <v>62</v>
      </c>
      <c r="K3863" s="3" t="s">
        <v>63</v>
      </c>
      <c r="M3863" s="2" t="s">
        <v>37353</v>
      </c>
      <c r="N3863" s="3" t="s">
        <v>880</v>
      </c>
      <c r="P3863" s="3" t="s">
        <v>64</v>
      </c>
      <c r="Q3863" s="2" t="s">
        <v>37354</v>
      </c>
      <c r="R3863" s="3" t="s">
        <v>34126</v>
      </c>
      <c r="S3863" s="4">
        <v>0</v>
      </c>
      <c r="T3863" s="4">
        <v>0</v>
      </c>
      <c r="W3863" s="5" t="s">
        <v>67</v>
      </c>
      <c r="X3863" s="5" t="s">
        <v>67</v>
      </c>
      <c r="Y3863" s="4">
        <v>101</v>
      </c>
      <c r="Z3863" s="4">
        <v>2</v>
      </c>
      <c r="AA3863" s="4">
        <v>41</v>
      </c>
      <c r="AB3863" s="4">
        <v>1</v>
      </c>
      <c r="AC3863" s="4">
        <v>11</v>
      </c>
      <c r="AD3863" s="4">
        <v>38</v>
      </c>
      <c r="AE3863" s="4">
        <v>95</v>
      </c>
      <c r="AF3863" s="4">
        <v>0</v>
      </c>
      <c r="AG3863" s="4">
        <v>6</v>
      </c>
      <c r="AH3863" s="4">
        <v>37</v>
      </c>
      <c r="AI3863" s="4">
        <v>70</v>
      </c>
      <c r="AJ3863" s="4">
        <v>1</v>
      </c>
      <c r="AK3863" s="4">
        <v>19</v>
      </c>
      <c r="AL3863" s="4">
        <v>20</v>
      </c>
      <c r="AM3863" s="4">
        <v>33</v>
      </c>
      <c r="AN3863" s="4">
        <v>0</v>
      </c>
      <c r="AO3863" s="4">
        <v>0</v>
      </c>
      <c r="AP3863" s="4">
        <v>1</v>
      </c>
      <c r="AQ3863" s="4">
        <v>32</v>
      </c>
      <c r="AR3863" s="3" t="s">
        <v>62</v>
      </c>
      <c r="AS3863" s="3" t="s">
        <v>62</v>
      </c>
      <c r="AT3863" s="3" t="s">
        <v>62</v>
      </c>
      <c r="AV3863" s="6" t="str">
        <f>HYPERLINK("http://mcgill.on.worldcat.org/oclc/260208429","Catalog Record")</f>
        <v>Catalog Record</v>
      </c>
      <c r="AW3863" s="6" t="str">
        <f>HYPERLINK("http://www.worldcat.org/oclc/260208429","WorldCat Record")</f>
        <v>WorldCat Record</v>
      </c>
      <c r="AX3863" s="3" t="s">
        <v>37355</v>
      </c>
      <c r="AY3863" s="3" t="s">
        <v>37356</v>
      </c>
      <c r="AZ3863" s="3" t="s">
        <v>37357</v>
      </c>
      <c r="BA3863" s="3" t="s">
        <v>37357</v>
      </c>
      <c r="BB3863" s="3" t="s">
        <v>37358</v>
      </c>
      <c r="BC3863" s="3" t="s">
        <v>102</v>
      </c>
      <c r="BD3863" s="3" t="s">
        <v>68</v>
      </c>
      <c r="BE3863" s="3" t="s">
        <v>37359</v>
      </c>
      <c r="BF3863" s="3" t="s">
        <v>37358</v>
      </c>
      <c r="BG3863" s="3" t="s">
        <v>37360</v>
      </c>
    </row>
    <row r="3864" spans="1:59" ht="58" x14ac:dyDescent="0.35">
      <c r="A3864" s="2" t="s">
        <v>89</v>
      </c>
      <c r="B3864" s="2" t="s">
        <v>90</v>
      </c>
      <c r="C3864" s="2" t="s">
        <v>37361</v>
      </c>
      <c r="D3864" s="2" t="s">
        <v>37362</v>
      </c>
      <c r="E3864" s="2" t="s">
        <v>37363</v>
      </c>
      <c r="G3864" s="3" t="s">
        <v>62</v>
      </c>
      <c r="I3864" s="3" t="s">
        <v>61</v>
      </c>
      <c r="J3864" s="3" t="s">
        <v>62</v>
      </c>
      <c r="K3864" s="3" t="s">
        <v>63</v>
      </c>
      <c r="L3864" s="2" t="s">
        <v>37364</v>
      </c>
      <c r="M3864" s="2" t="s">
        <v>37365</v>
      </c>
      <c r="N3864" s="3" t="s">
        <v>596</v>
      </c>
      <c r="O3864" s="2" t="s">
        <v>2163</v>
      </c>
      <c r="P3864" s="3" t="s">
        <v>64</v>
      </c>
      <c r="R3864" s="3" t="s">
        <v>34126</v>
      </c>
      <c r="S3864" s="4">
        <v>1</v>
      </c>
      <c r="T3864" s="4">
        <v>12</v>
      </c>
      <c r="U3864" s="5" t="s">
        <v>1723</v>
      </c>
      <c r="V3864" s="5" t="s">
        <v>1723</v>
      </c>
      <c r="W3864" s="5" t="s">
        <v>67</v>
      </c>
      <c r="X3864" s="5" t="s">
        <v>67</v>
      </c>
      <c r="Y3864" s="4">
        <v>1065</v>
      </c>
      <c r="Z3864" s="4">
        <v>46</v>
      </c>
      <c r="AA3864" s="4">
        <v>75</v>
      </c>
      <c r="AB3864" s="4">
        <v>3</v>
      </c>
      <c r="AC3864" s="4">
        <v>7</v>
      </c>
      <c r="AD3864" s="4">
        <v>113</v>
      </c>
      <c r="AE3864" s="4">
        <v>131</v>
      </c>
      <c r="AF3864" s="4">
        <v>1</v>
      </c>
      <c r="AG3864" s="4">
        <v>2</v>
      </c>
      <c r="AH3864" s="4">
        <v>93</v>
      </c>
      <c r="AI3864" s="4">
        <v>105</v>
      </c>
      <c r="AJ3864" s="4">
        <v>18</v>
      </c>
      <c r="AK3864" s="4">
        <v>21</v>
      </c>
      <c r="AL3864" s="4">
        <v>50</v>
      </c>
      <c r="AM3864" s="4">
        <v>54</v>
      </c>
      <c r="AN3864" s="4">
        <v>0</v>
      </c>
      <c r="AO3864" s="4">
        <v>0</v>
      </c>
      <c r="AP3864" s="4">
        <v>25</v>
      </c>
      <c r="AQ3864" s="4">
        <v>32</v>
      </c>
      <c r="AR3864" s="3" t="s">
        <v>62</v>
      </c>
      <c r="AS3864" s="3" t="s">
        <v>62</v>
      </c>
      <c r="AT3864" s="3" t="s">
        <v>61</v>
      </c>
      <c r="AU3864" s="6" t="str">
        <f>HYPERLINK("http://catalog.hathitrust.org/Record/004346179","HathiTrust Record")</f>
        <v>HathiTrust Record</v>
      </c>
      <c r="AV3864" s="6" t="str">
        <f>HYPERLINK("http://mcgill.on.worldcat.org/oclc/49903190","Catalog Record")</f>
        <v>Catalog Record</v>
      </c>
      <c r="AW3864" s="6" t="str">
        <f>HYPERLINK("http://www.worldcat.org/oclc/49903190","WorldCat Record")</f>
        <v>WorldCat Record</v>
      </c>
      <c r="AX3864" s="3" t="s">
        <v>37366</v>
      </c>
      <c r="AY3864" s="3" t="s">
        <v>37367</v>
      </c>
      <c r="AZ3864" s="3" t="s">
        <v>37368</v>
      </c>
      <c r="BA3864" s="3" t="s">
        <v>37368</v>
      </c>
      <c r="BB3864" s="3" t="s">
        <v>37369</v>
      </c>
      <c r="BC3864" s="3" t="s">
        <v>102</v>
      </c>
      <c r="BD3864" s="3" t="s">
        <v>68</v>
      </c>
      <c r="BE3864" s="3" t="s">
        <v>37370</v>
      </c>
      <c r="BF3864" s="3" t="s">
        <v>37369</v>
      </c>
      <c r="BG3864" s="3" t="s">
        <v>37371</v>
      </c>
    </row>
    <row r="3865" spans="1:59" ht="58" x14ac:dyDescent="0.35">
      <c r="A3865" s="2" t="s">
        <v>89</v>
      </c>
      <c r="B3865" s="2" t="s">
        <v>90</v>
      </c>
      <c r="C3865" s="2" t="s">
        <v>37372</v>
      </c>
      <c r="D3865" s="2" t="s">
        <v>37373</v>
      </c>
      <c r="E3865" s="2" t="s">
        <v>37374</v>
      </c>
      <c r="G3865" s="3" t="s">
        <v>62</v>
      </c>
      <c r="I3865" s="3" t="s">
        <v>62</v>
      </c>
      <c r="J3865" s="3" t="s">
        <v>62</v>
      </c>
      <c r="K3865" s="3" t="s">
        <v>63</v>
      </c>
      <c r="L3865" s="2" t="s">
        <v>37375</v>
      </c>
      <c r="M3865" s="2" t="s">
        <v>37376</v>
      </c>
      <c r="N3865" s="3" t="s">
        <v>1038</v>
      </c>
      <c r="P3865" s="3" t="s">
        <v>64</v>
      </c>
      <c r="Q3865" s="2" t="s">
        <v>37377</v>
      </c>
      <c r="R3865" s="3" t="s">
        <v>34126</v>
      </c>
      <c r="S3865" s="4">
        <v>1</v>
      </c>
      <c r="T3865" s="4">
        <v>1</v>
      </c>
      <c r="U3865" s="5" t="s">
        <v>21972</v>
      </c>
      <c r="V3865" s="5" t="s">
        <v>21972</v>
      </c>
      <c r="W3865" s="5" t="s">
        <v>67</v>
      </c>
      <c r="X3865" s="5" t="s">
        <v>67</v>
      </c>
      <c r="Y3865" s="4">
        <v>57</v>
      </c>
      <c r="Z3865" s="4">
        <v>1</v>
      </c>
      <c r="AA3865" s="4">
        <v>12</v>
      </c>
      <c r="AB3865" s="4">
        <v>1</v>
      </c>
      <c r="AC3865" s="4">
        <v>5</v>
      </c>
      <c r="AD3865" s="4">
        <v>15</v>
      </c>
      <c r="AE3865" s="4">
        <v>39</v>
      </c>
      <c r="AF3865" s="4">
        <v>0</v>
      </c>
      <c r="AG3865" s="4">
        <v>2</v>
      </c>
      <c r="AH3865" s="4">
        <v>14</v>
      </c>
      <c r="AI3865" s="4">
        <v>31</v>
      </c>
      <c r="AJ3865" s="4">
        <v>0</v>
      </c>
      <c r="AK3865" s="4">
        <v>7</v>
      </c>
      <c r="AL3865" s="4">
        <v>8</v>
      </c>
      <c r="AM3865" s="4">
        <v>17</v>
      </c>
      <c r="AN3865" s="4">
        <v>0</v>
      </c>
      <c r="AO3865" s="4">
        <v>0</v>
      </c>
      <c r="AP3865" s="4">
        <v>0</v>
      </c>
      <c r="AQ3865" s="4">
        <v>9</v>
      </c>
      <c r="AR3865" s="3" t="s">
        <v>62</v>
      </c>
      <c r="AS3865" s="3" t="s">
        <v>62</v>
      </c>
      <c r="AT3865" s="3" t="s">
        <v>62</v>
      </c>
      <c r="AV3865" s="6" t="str">
        <f>HYPERLINK("http://mcgill.on.worldcat.org/oclc/945231339","Catalog Record")</f>
        <v>Catalog Record</v>
      </c>
      <c r="AW3865" s="6" t="str">
        <f>HYPERLINK("http://www.worldcat.org/oclc/945231339","WorldCat Record")</f>
        <v>WorldCat Record</v>
      </c>
      <c r="AX3865" s="3" t="s">
        <v>37378</v>
      </c>
      <c r="AY3865" s="3" t="s">
        <v>37379</v>
      </c>
      <c r="AZ3865" s="3" t="s">
        <v>37380</v>
      </c>
      <c r="BA3865" s="3" t="s">
        <v>37380</v>
      </c>
      <c r="BB3865" s="3" t="s">
        <v>37381</v>
      </c>
      <c r="BC3865" s="3" t="s">
        <v>102</v>
      </c>
      <c r="BD3865" s="3" t="s">
        <v>68</v>
      </c>
      <c r="BE3865" s="3" t="s">
        <v>37382</v>
      </c>
      <c r="BF3865" s="3" t="s">
        <v>37381</v>
      </c>
      <c r="BG3865" s="3" t="s">
        <v>37383</v>
      </c>
    </row>
    <row r="3866" spans="1:59" ht="58" x14ac:dyDescent="0.35">
      <c r="A3866" s="2" t="s">
        <v>59</v>
      </c>
      <c r="B3866" s="2" t="s">
        <v>60</v>
      </c>
      <c r="C3866" s="2" t="s">
        <v>37384</v>
      </c>
      <c r="D3866" s="2" t="s">
        <v>37385</v>
      </c>
      <c r="E3866" s="2" t="s">
        <v>37386</v>
      </c>
      <c r="G3866" s="3" t="s">
        <v>62</v>
      </c>
      <c r="I3866" s="3" t="s">
        <v>62</v>
      </c>
      <c r="J3866" s="3" t="s">
        <v>62</v>
      </c>
      <c r="K3866" s="3" t="s">
        <v>63</v>
      </c>
      <c r="L3866" s="2" t="s">
        <v>37387</v>
      </c>
      <c r="M3866" s="2" t="s">
        <v>37388</v>
      </c>
      <c r="N3866" s="3" t="s">
        <v>893</v>
      </c>
      <c r="P3866" s="3" t="s">
        <v>64</v>
      </c>
      <c r="R3866" s="3" t="s">
        <v>34126</v>
      </c>
      <c r="S3866" s="4">
        <v>16</v>
      </c>
      <c r="T3866" s="4">
        <v>16</v>
      </c>
      <c r="U3866" s="5" t="s">
        <v>37389</v>
      </c>
      <c r="V3866" s="5" t="s">
        <v>37389</v>
      </c>
      <c r="W3866" s="5" t="s">
        <v>67</v>
      </c>
      <c r="X3866" s="5" t="s">
        <v>67</v>
      </c>
      <c r="Y3866" s="4">
        <v>643</v>
      </c>
      <c r="Z3866" s="4">
        <v>17</v>
      </c>
      <c r="AA3866" s="4">
        <v>20</v>
      </c>
      <c r="AB3866" s="4">
        <v>1</v>
      </c>
      <c r="AC3866" s="4">
        <v>1</v>
      </c>
      <c r="AD3866" s="4">
        <v>95</v>
      </c>
      <c r="AE3866" s="4">
        <v>99</v>
      </c>
      <c r="AF3866" s="4">
        <v>0</v>
      </c>
      <c r="AG3866" s="4">
        <v>0</v>
      </c>
      <c r="AH3866" s="4">
        <v>85</v>
      </c>
      <c r="AI3866" s="4">
        <v>87</v>
      </c>
      <c r="AJ3866" s="4">
        <v>8</v>
      </c>
      <c r="AK3866" s="4">
        <v>11</v>
      </c>
      <c r="AL3866" s="4">
        <v>49</v>
      </c>
      <c r="AM3866" s="4">
        <v>49</v>
      </c>
      <c r="AN3866" s="4">
        <v>0</v>
      </c>
      <c r="AO3866" s="4">
        <v>0</v>
      </c>
      <c r="AP3866" s="4">
        <v>11</v>
      </c>
      <c r="AQ3866" s="4">
        <v>12</v>
      </c>
      <c r="AR3866" s="3" t="s">
        <v>62</v>
      </c>
      <c r="AS3866" s="3" t="s">
        <v>61</v>
      </c>
      <c r="AT3866" s="3" t="s">
        <v>62</v>
      </c>
      <c r="AU3866" s="6" t="str">
        <f>HYPERLINK("http://catalog.hathitrust.org/Record/007419338","HathiTrust Record")</f>
        <v>HathiTrust Record</v>
      </c>
      <c r="AV3866" s="6" t="str">
        <f>HYPERLINK("http://mcgill.on.worldcat.org/oclc/10272700","Catalog Record")</f>
        <v>Catalog Record</v>
      </c>
      <c r="AW3866" s="6" t="str">
        <f>HYPERLINK("http://www.worldcat.org/oclc/10272700","WorldCat Record")</f>
        <v>WorldCat Record</v>
      </c>
      <c r="AX3866" s="3" t="s">
        <v>37390</v>
      </c>
      <c r="AY3866" s="3" t="s">
        <v>37391</v>
      </c>
      <c r="AZ3866" s="3" t="s">
        <v>37392</v>
      </c>
      <c r="BA3866" s="3" t="s">
        <v>37392</v>
      </c>
      <c r="BB3866" s="3" t="s">
        <v>37393</v>
      </c>
      <c r="BC3866" s="3" t="s">
        <v>102</v>
      </c>
      <c r="BD3866" s="3" t="s">
        <v>68</v>
      </c>
      <c r="BF3866" s="3" t="s">
        <v>37393</v>
      </c>
      <c r="BG3866" s="3" t="s">
        <v>37394</v>
      </c>
    </row>
    <row r="3867" spans="1:59" ht="58" x14ac:dyDescent="0.35">
      <c r="A3867" s="2" t="s">
        <v>89</v>
      </c>
      <c r="B3867" s="2" t="s">
        <v>90</v>
      </c>
      <c r="C3867" s="2" t="s">
        <v>37395</v>
      </c>
      <c r="D3867" s="2" t="s">
        <v>37396</v>
      </c>
      <c r="E3867" s="2" t="s">
        <v>37397</v>
      </c>
      <c r="G3867" s="3" t="s">
        <v>62</v>
      </c>
      <c r="I3867" s="3" t="s">
        <v>62</v>
      </c>
      <c r="J3867" s="3" t="s">
        <v>62</v>
      </c>
      <c r="K3867" s="3" t="s">
        <v>63</v>
      </c>
      <c r="L3867" s="2" t="s">
        <v>37398</v>
      </c>
      <c r="M3867" s="2" t="s">
        <v>37399</v>
      </c>
      <c r="N3867" s="3" t="s">
        <v>866</v>
      </c>
      <c r="P3867" s="3" t="s">
        <v>64</v>
      </c>
      <c r="R3867" s="3" t="s">
        <v>34126</v>
      </c>
      <c r="S3867" s="4">
        <v>3</v>
      </c>
      <c r="T3867" s="4">
        <v>3</v>
      </c>
      <c r="U3867" s="5" t="s">
        <v>4852</v>
      </c>
      <c r="V3867" s="5" t="s">
        <v>4852</v>
      </c>
      <c r="W3867" s="5" t="s">
        <v>67</v>
      </c>
      <c r="X3867" s="5" t="s">
        <v>67</v>
      </c>
      <c r="Y3867" s="4">
        <v>616</v>
      </c>
      <c r="Z3867" s="4">
        <v>36</v>
      </c>
      <c r="AA3867" s="4">
        <v>39</v>
      </c>
      <c r="AB3867" s="4">
        <v>4</v>
      </c>
      <c r="AC3867" s="4">
        <v>6</v>
      </c>
      <c r="AD3867" s="4">
        <v>121</v>
      </c>
      <c r="AE3867" s="4">
        <v>122</v>
      </c>
      <c r="AF3867" s="4">
        <v>2</v>
      </c>
      <c r="AG3867" s="4">
        <v>3</v>
      </c>
      <c r="AH3867" s="4">
        <v>97</v>
      </c>
      <c r="AI3867" s="4">
        <v>97</v>
      </c>
      <c r="AJ3867" s="4">
        <v>18</v>
      </c>
      <c r="AK3867" s="4">
        <v>19</v>
      </c>
      <c r="AL3867" s="4">
        <v>53</v>
      </c>
      <c r="AM3867" s="4">
        <v>53</v>
      </c>
      <c r="AN3867" s="4">
        <v>0</v>
      </c>
      <c r="AO3867" s="4">
        <v>0</v>
      </c>
      <c r="AP3867" s="4">
        <v>29</v>
      </c>
      <c r="AQ3867" s="4">
        <v>29</v>
      </c>
      <c r="AR3867" s="3" t="s">
        <v>62</v>
      </c>
      <c r="AS3867" s="3" t="s">
        <v>62</v>
      </c>
      <c r="AT3867" s="3" t="s">
        <v>61</v>
      </c>
      <c r="AU3867" s="6" t="str">
        <f>HYPERLINK("http://catalog.hathitrust.org/Record/001491497","HathiTrust Record")</f>
        <v>HathiTrust Record</v>
      </c>
      <c r="AV3867" s="6" t="str">
        <f>HYPERLINK("http://mcgill.on.worldcat.org/oclc/427651","Catalog Record")</f>
        <v>Catalog Record</v>
      </c>
      <c r="AW3867" s="6" t="str">
        <f>HYPERLINK("http://www.worldcat.org/oclc/427651","WorldCat Record")</f>
        <v>WorldCat Record</v>
      </c>
      <c r="AX3867" s="3" t="s">
        <v>37400</v>
      </c>
      <c r="AY3867" s="3" t="s">
        <v>37401</v>
      </c>
      <c r="AZ3867" s="3" t="s">
        <v>37402</v>
      </c>
      <c r="BA3867" s="3" t="s">
        <v>37402</v>
      </c>
      <c r="BB3867" s="3" t="s">
        <v>37403</v>
      </c>
      <c r="BC3867" s="3" t="s">
        <v>102</v>
      </c>
      <c r="BD3867" s="3" t="s">
        <v>68</v>
      </c>
      <c r="BE3867" s="3" t="s">
        <v>37404</v>
      </c>
      <c r="BF3867" s="3" t="s">
        <v>37403</v>
      </c>
      <c r="BG3867" s="3" t="s">
        <v>37405</v>
      </c>
    </row>
    <row r="3868" spans="1:59" ht="58" x14ac:dyDescent="0.35">
      <c r="A3868" s="2" t="s">
        <v>89</v>
      </c>
      <c r="B3868" s="2" t="s">
        <v>90</v>
      </c>
      <c r="C3868" s="2" t="s">
        <v>37406</v>
      </c>
      <c r="D3868" s="2" t="s">
        <v>37407</v>
      </c>
      <c r="E3868" s="2" t="s">
        <v>37408</v>
      </c>
      <c r="G3868" s="3" t="s">
        <v>62</v>
      </c>
      <c r="I3868" s="3" t="s">
        <v>61</v>
      </c>
      <c r="J3868" s="3" t="s">
        <v>62</v>
      </c>
      <c r="K3868" s="3" t="s">
        <v>63</v>
      </c>
      <c r="M3868" s="2" t="s">
        <v>9275</v>
      </c>
      <c r="N3868" s="3" t="s">
        <v>1722</v>
      </c>
      <c r="P3868" s="3" t="s">
        <v>64</v>
      </c>
      <c r="Q3868" s="2" t="s">
        <v>18159</v>
      </c>
      <c r="R3868" s="3" t="s">
        <v>34126</v>
      </c>
      <c r="S3868" s="4">
        <v>3</v>
      </c>
      <c r="T3868" s="4">
        <v>8</v>
      </c>
      <c r="U3868" s="5" t="s">
        <v>19386</v>
      </c>
      <c r="V3868" s="5" t="s">
        <v>19386</v>
      </c>
      <c r="W3868" s="5" t="s">
        <v>67</v>
      </c>
      <c r="X3868" s="5" t="s">
        <v>67</v>
      </c>
      <c r="Y3868" s="4">
        <v>262</v>
      </c>
      <c r="Z3868" s="4">
        <v>18</v>
      </c>
      <c r="AA3868" s="4">
        <v>100</v>
      </c>
      <c r="AB3868" s="4">
        <v>2</v>
      </c>
      <c r="AC3868" s="4">
        <v>18</v>
      </c>
      <c r="AD3868" s="4">
        <v>76</v>
      </c>
      <c r="AE3868" s="4">
        <v>138</v>
      </c>
      <c r="AF3868" s="4">
        <v>1</v>
      </c>
      <c r="AG3868" s="4">
        <v>8</v>
      </c>
      <c r="AH3868" s="4">
        <v>70</v>
      </c>
      <c r="AI3868" s="4">
        <v>96</v>
      </c>
      <c r="AJ3868" s="4">
        <v>10</v>
      </c>
      <c r="AK3868" s="4">
        <v>23</v>
      </c>
      <c r="AL3868" s="4">
        <v>40</v>
      </c>
      <c r="AM3868" s="4">
        <v>51</v>
      </c>
      <c r="AN3868" s="4">
        <v>0</v>
      </c>
      <c r="AO3868" s="4">
        <v>0</v>
      </c>
      <c r="AP3868" s="4">
        <v>12</v>
      </c>
      <c r="AQ3868" s="4">
        <v>48</v>
      </c>
      <c r="AR3868" s="3" t="s">
        <v>62</v>
      </c>
      <c r="AS3868" s="3" t="s">
        <v>62</v>
      </c>
      <c r="AT3868" s="3" t="s">
        <v>62</v>
      </c>
      <c r="AV3868" s="6" t="str">
        <f>HYPERLINK("http://mcgill.on.worldcat.org/oclc/163605167","Catalog Record")</f>
        <v>Catalog Record</v>
      </c>
      <c r="AW3868" s="6" t="str">
        <f>HYPERLINK("http://www.worldcat.org/oclc/163605167","WorldCat Record")</f>
        <v>WorldCat Record</v>
      </c>
      <c r="AX3868" s="3" t="s">
        <v>37409</v>
      </c>
      <c r="AY3868" s="3" t="s">
        <v>37410</v>
      </c>
      <c r="AZ3868" s="3" t="s">
        <v>37411</v>
      </c>
      <c r="BA3868" s="3" t="s">
        <v>37411</v>
      </c>
      <c r="BB3868" s="3" t="s">
        <v>37412</v>
      </c>
      <c r="BC3868" s="3" t="s">
        <v>102</v>
      </c>
      <c r="BD3868" s="3" t="s">
        <v>68</v>
      </c>
      <c r="BE3868" s="3" t="s">
        <v>37413</v>
      </c>
      <c r="BF3868" s="3" t="s">
        <v>37412</v>
      </c>
      <c r="BG3868" s="3" t="s">
        <v>37414</v>
      </c>
    </row>
    <row r="3869" spans="1:59" ht="58" x14ac:dyDescent="0.35">
      <c r="A3869" s="2" t="s">
        <v>89</v>
      </c>
      <c r="B3869" s="2" t="s">
        <v>90</v>
      </c>
      <c r="C3869" s="2" t="s">
        <v>37415</v>
      </c>
      <c r="D3869" s="2" t="s">
        <v>37416</v>
      </c>
      <c r="E3869" s="2" t="s">
        <v>37417</v>
      </c>
      <c r="G3869" s="3" t="s">
        <v>62</v>
      </c>
      <c r="I3869" s="3" t="s">
        <v>62</v>
      </c>
      <c r="J3869" s="3" t="s">
        <v>62</v>
      </c>
      <c r="K3869" s="3" t="s">
        <v>63</v>
      </c>
      <c r="L3869" s="2" t="s">
        <v>2205</v>
      </c>
      <c r="M3869" s="2" t="s">
        <v>37418</v>
      </c>
      <c r="N3869" s="3" t="s">
        <v>186</v>
      </c>
      <c r="O3869" s="2" t="s">
        <v>37419</v>
      </c>
      <c r="P3869" s="3" t="s">
        <v>85</v>
      </c>
      <c r="Q3869" s="2" t="s">
        <v>2255</v>
      </c>
      <c r="R3869" s="3" t="s">
        <v>34126</v>
      </c>
      <c r="S3869" s="4">
        <v>12</v>
      </c>
      <c r="T3869" s="4">
        <v>12</v>
      </c>
      <c r="U3869" s="5" t="s">
        <v>1593</v>
      </c>
      <c r="V3869" s="5" t="s">
        <v>1593</v>
      </c>
      <c r="W3869" s="5" t="s">
        <v>67</v>
      </c>
      <c r="X3869" s="5" t="s">
        <v>67</v>
      </c>
      <c r="Y3869" s="4">
        <v>20</v>
      </c>
      <c r="Z3869" s="4">
        <v>3</v>
      </c>
      <c r="AA3869" s="4">
        <v>26</v>
      </c>
      <c r="AB3869" s="4">
        <v>1</v>
      </c>
      <c r="AC3869" s="4">
        <v>9</v>
      </c>
      <c r="AD3869" s="4">
        <v>9</v>
      </c>
      <c r="AE3869" s="4">
        <v>61</v>
      </c>
      <c r="AF3869" s="4">
        <v>0</v>
      </c>
      <c r="AG3869" s="4">
        <v>4</v>
      </c>
      <c r="AH3869" s="4">
        <v>8</v>
      </c>
      <c r="AI3869" s="4">
        <v>51</v>
      </c>
      <c r="AJ3869" s="4">
        <v>2</v>
      </c>
      <c r="AK3869" s="4">
        <v>15</v>
      </c>
      <c r="AL3869" s="4">
        <v>3</v>
      </c>
      <c r="AM3869" s="4">
        <v>31</v>
      </c>
      <c r="AN3869" s="4">
        <v>0</v>
      </c>
      <c r="AO3869" s="4">
        <v>2</v>
      </c>
      <c r="AP3869" s="4">
        <v>2</v>
      </c>
      <c r="AQ3869" s="4">
        <v>15</v>
      </c>
      <c r="AR3869" s="3" t="s">
        <v>62</v>
      </c>
      <c r="AS3869" s="3" t="s">
        <v>62</v>
      </c>
      <c r="AT3869" s="3" t="s">
        <v>62</v>
      </c>
      <c r="AV3869" s="6" t="str">
        <f>HYPERLINK("http://mcgill.on.worldcat.org/oclc/2627739","Catalog Record")</f>
        <v>Catalog Record</v>
      </c>
      <c r="AW3869" s="6" t="str">
        <f>HYPERLINK("http://www.worldcat.org/oclc/2627739","WorldCat Record")</f>
        <v>WorldCat Record</v>
      </c>
      <c r="AX3869" s="3" t="s">
        <v>37420</v>
      </c>
      <c r="AY3869" s="3" t="s">
        <v>37421</v>
      </c>
      <c r="AZ3869" s="3" t="s">
        <v>37422</v>
      </c>
      <c r="BA3869" s="3" t="s">
        <v>37422</v>
      </c>
      <c r="BB3869" s="3" t="s">
        <v>37423</v>
      </c>
      <c r="BC3869" s="3" t="s">
        <v>102</v>
      </c>
      <c r="BD3869" s="3" t="s">
        <v>68</v>
      </c>
      <c r="BF3869" s="3" t="s">
        <v>37423</v>
      </c>
      <c r="BG3869" s="3" t="s">
        <v>37424</v>
      </c>
    </row>
    <row r="3870" spans="1:59" ht="58" x14ac:dyDescent="0.35">
      <c r="A3870" s="2" t="s">
        <v>89</v>
      </c>
      <c r="B3870" s="2" t="s">
        <v>90</v>
      </c>
      <c r="C3870" s="2" t="s">
        <v>37425</v>
      </c>
      <c r="D3870" s="2" t="s">
        <v>37426</v>
      </c>
      <c r="E3870" s="2" t="s">
        <v>37427</v>
      </c>
      <c r="G3870" s="3" t="s">
        <v>62</v>
      </c>
      <c r="I3870" s="3" t="s">
        <v>61</v>
      </c>
      <c r="J3870" s="3" t="s">
        <v>62</v>
      </c>
      <c r="K3870" s="3" t="s">
        <v>63</v>
      </c>
      <c r="L3870" s="2" t="s">
        <v>2205</v>
      </c>
      <c r="M3870" s="2" t="s">
        <v>37428</v>
      </c>
      <c r="N3870" s="3" t="s">
        <v>1722</v>
      </c>
      <c r="O3870" s="2" t="s">
        <v>2163</v>
      </c>
      <c r="P3870" s="3" t="s">
        <v>64</v>
      </c>
      <c r="R3870" s="3" t="s">
        <v>34126</v>
      </c>
      <c r="S3870" s="4">
        <v>6</v>
      </c>
      <c r="T3870" s="4">
        <v>20</v>
      </c>
      <c r="U3870" s="5" t="s">
        <v>37429</v>
      </c>
      <c r="V3870" s="5" t="s">
        <v>16259</v>
      </c>
      <c r="W3870" s="5" t="s">
        <v>67</v>
      </c>
      <c r="X3870" s="5" t="s">
        <v>67</v>
      </c>
      <c r="Y3870" s="4">
        <v>190</v>
      </c>
      <c r="Z3870" s="4">
        <v>13</v>
      </c>
      <c r="AA3870" s="4">
        <v>32</v>
      </c>
      <c r="AB3870" s="4">
        <v>1</v>
      </c>
      <c r="AC3870" s="4">
        <v>3</v>
      </c>
      <c r="AD3870" s="4">
        <v>72</v>
      </c>
      <c r="AE3870" s="4">
        <v>98</v>
      </c>
      <c r="AF3870" s="4">
        <v>0</v>
      </c>
      <c r="AG3870" s="4">
        <v>0</v>
      </c>
      <c r="AH3870" s="4">
        <v>64</v>
      </c>
      <c r="AI3870" s="4">
        <v>82</v>
      </c>
      <c r="AJ3870" s="4">
        <v>6</v>
      </c>
      <c r="AK3870" s="4">
        <v>10</v>
      </c>
      <c r="AL3870" s="4">
        <v>43</v>
      </c>
      <c r="AM3870" s="4">
        <v>50</v>
      </c>
      <c r="AN3870" s="4">
        <v>0</v>
      </c>
      <c r="AO3870" s="4">
        <v>0</v>
      </c>
      <c r="AP3870" s="4">
        <v>9</v>
      </c>
      <c r="AQ3870" s="4">
        <v>19</v>
      </c>
      <c r="AR3870" s="3" t="s">
        <v>62</v>
      </c>
      <c r="AS3870" s="3" t="s">
        <v>62</v>
      </c>
      <c r="AT3870" s="3" t="s">
        <v>62</v>
      </c>
      <c r="AV3870" s="6" t="str">
        <f>HYPERLINK("http://mcgill.on.worldcat.org/oclc/227930882","Catalog Record")</f>
        <v>Catalog Record</v>
      </c>
      <c r="AW3870" s="6" t="str">
        <f>HYPERLINK("http://www.worldcat.org/oclc/227930882","WorldCat Record")</f>
        <v>WorldCat Record</v>
      </c>
      <c r="AX3870" s="3" t="s">
        <v>37430</v>
      </c>
      <c r="AY3870" s="3" t="s">
        <v>37431</v>
      </c>
      <c r="AZ3870" s="3" t="s">
        <v>37432</v>
      </c>
      <c r="BA3870" s="3" t="s">
        <v>37432</v>
      </c>
      <c r="BB3870" s="3" t="s">
        <v>37433</v>
      </c>
      <c r="BC3870" s="3" t="s">
        <v>102</v>
      </c>
      <c r="BD3870" s="3" t="s">
        <v>68</v>
      </c>
      <c r="BE3870" s="3" t="s">
        <v>37434</v>
      </c>
      <c r="BF3870" s="3" t="s">
        <v>37433</v>
      </c>
      <c r="BG3870" s="3" t="s">
        <v>37435</v>
      </c>
    </row>
    <row r="3871" spans="1:59" ht="58" x14ac:dyDescent="0.35">
      <c r="A3871" s="2" t="s">
        <v>89</v>
      </c>
      <c r="B3871" s="2" t="s">
        <v>90</v>
      </c>
      <c r="C3871" s="2" t="s">
        <v>37436</v>
      </c>
      <c r="D3871" s="2" t="s">
        <v>37437</v>
      </c>
      <c r="E3871" s="2" t="s">
        <v>37438</v>
      </c>
      <c r="G3871" s="3" t="s">
        <v>62</v>
      </c>
      <c r="I3871" s="3" t="s">
        <v>61</v>
      </c>
      <c r="J3871" s="3" t="s">
        <v>62</v>
      </c>
      <c r="K3871" s="3" t="s">
        <v>63</v>
      </c>
      <c r="L3871" s="2" t="s">
        <v>37439</v>
      </c>
      <c r="M3871" s="2" t="s">
        <v>31442</v>
      </c>
      <c r="N3871" s="3" t="s">
        <v>1195</v>
      </c>
      <c r="P3871" s="3" t="s">
        <v>64</v>
      </c>
      <c r="R3871" s="3" t="s">
        <v>34126</v>
      </c>
      <c r="S3871" s="4">
        <v>19</v>
      </c>
      <c r="T3871" s="4">
        <v>48</v>
      </c>
      <c r="U3871" s="5" t="s">
        <v>11920</v>
      </c>
      <c r="V3871" s="5" t="s">
        <v>29305</v>
      </c>
      <c r="W3871" s="5" t="s">
        <v>67</v>
      </c>
      <c r="X3871" s="5" t="s">
        <v>67</v>
      </c>
      <c r="Y3871" s="4">
        <v>181</v>
      </c>
      <c r="Z3871" s="4">
        <v>35</v>
      </c>
      <c r="AA3871" s="4">
        <v>62</v>
      </c>
      <c r="AB3871" s="4">
        <v>2</v>
      </c>
      <c r="AC3871" s="4">
        <v>5</v>
      </c>
      <c r="AD3871" s="4">
        <v>36</v>
      </c>
      <c r="AE3871" s="4">
        <v>45</v>
      </c>
      <c r="AF3871" s="4">
        <v>0</v>
      </c>
      <c r="AG3871" s="4">
        <v>2</v>
      </c>
      <c r="AH3871" s="4">
        <v>31</v>
      </c>
      <c r="AI3871" s="4">
        <v>34</v>
      </c>
      <c r="AJ3871" s="4">
        <v>9</v>
      </c>
      <c r="AK3871" s="4">
        <v>13</v>
      </c>
      <c r="AL3871" s="4">
        <v>17</v>
      </c>
      <c r="AM3871" s="4">
        <v>17</v>
      </c>
      <c r="AN3871" s="4">
        <v>0</v>
      </c>
      <c r="AO3871" s="4">
        <v>0</v>
      </c>
      <c r="AP3871" s="4">
        <v>11</v>
      </c>
      <c r="AQ3871" s="4">
        <v>18</v>
      </c>
      <c r="AR3871" s="3" t="s">
        <v>62</v>
      </c>
      <c r="AS3871" s="3" t="s">
        <v>62</v>
      </c>
      <c r="AT3871" s="3" t="s">
        <v>61</v>
      </c>
      <c r="AU3871" s="6" t="str">
        <f>HYPERLINK("http://catalog.hathitrust.org/Record/005135958","HathiTrust Record")</f>
        <v>HathiTrust Record</v>
      </c>
      <c r="AV3871" s="6" t="str">
        <f>HYPERLINK("http://mcgill.on.worldcat.org/oclc/62475592","Catalog Record")</f>
        <v>Catalog Record</v>
      </c>
      <c r="AW3871" s="6" t="str">
        <f>HYPERLINK("http://www.worldcat.org/oclc/62475592","WorldCat Record")</f>
        <v>WorldCat Record</v>
      </c>
      <c r="AX3871" s="3" t="s">
        <v>37440</v>
      </c>
      <c r="AY3871" s="3" t="s">
        <v>37441</v>
      </c>
      <c r="AZ3871" s="3" t="s">
        <v>37442</v>
      </c>
      <c r="BA3871" s="3" t="s">
        <v>37442</v>
      </c>
      <c r="BB3871" s="3" t="s">
        <v>37443</v>
      </c>
      <c r="BC3871" s="3" t="s">
        <v>102</v>
      </c>
      <c r="BD3871" s="3" t="s">
        <v>68</v>
      </c>
      <c r="BE3871" s="3" t="s">
        <v>37444</v>
      </c>
      <c r="BF3871" s="3" t="s">
        <v>37443</v>
      </c>
      <c r="BG3871" s="3" t="s">
        <v>37445</v>
      </c>
    </row>
    <row r="3872" spans="1:59" ht="58" x14ac:dyDescent="0.35">
      <c r="A3872" s="2" t="s">
        <v>89</v>
      </c>
      <c r="B3872" s="2" t="s">
        <v>90</v>
      </c>
      <c r="C3872" s="2" t="s">
        <v>37446</v>
      </c>
      <c r="D3872" s="2" t="s">
        <v>37447</v>
      </c>
      <c r="E3872" s="2" t="s">
        <v>37448</v>
      </c>
      <c r="G3872" s="3" t="s">
        <v>62</v>
      </c>
      <c r="I3872" s="3" t="s">
        <v>62</v>
      </c>
      <c r="J3872" s="3" t="s">
        <v>62</v>
      </c>
      <c r="K3872" s="3" t="s">
        <v>63</v>
      </c>
      <c r="L3872" s="2" t="s">
        <v>37449</v>
      </c>
      <c r="M3872" s="2" t="s">
        <v>37450</v>
      </c>
      <c r="N3872" s="3" t="s">
        <v>1455</v>
      </c>
      <c r="P3872" s="3" t="s">
        <v>64</v>
      </c>
      <c r="R3872" s="3" t="s">
        <v>34126</v>
      </c>
      <c r="S3872" s="4">
        <v>1</v>
      </c>
      <c r="T3872" s="4">
        <v>1</v>
      </c>
      <c r="U3872" s="5" t="s">
        <v>17005</v>
      </c>
      <c r="V3872" s="5" t="s">
        <v>17005</v>
      </c>
      <c r="W3872" s="5" t="s">
        <v>67</v>
      </c>
      <c r="X3872" s="5" t="s">
        <v>67</v>
      </c>
      <c r="Y3872" s="4">
        <v>445</v>
      </c>
      <c r="Z3872" s="4">
        <v>4</v>
      </c>
      <c r="AA3872" s="4">
        <v>25</v>
      </c>
      <c r="AB3872" s="4">
        <v>1</v>
      </c>
      <c r="AC3872" s="4">
        <v>4</v>
      </c>
      <c r="AD3872" s="4">
        <v>25</v>
      </c>
      <c r="AE3872" s="4">
        <v>59</v>
      </c>
      <c r="AF3872" s="4">
        <v>0</v>
      </c>
      <c r="AG3872" s="4">
        <v>0</v>
      </c>
      <c r="AH3872" s="4">
        <v>24</v>
      </c>
      <c r="AI3872" s="4">
        <v>52</v>
      </c>
      <c r="AJ3872" s="4">
        <v>2</v>
      </c>
      <c r="AK3872" s="4">
        <v>7</v>
      </c>
      <c r="AL3872" s="4">
        <v>11</v>
      </c>
      <c r="AM3872" s="4">
        <v>28</v>
      </c>
      <c r="AN3872" s="4">
        <v>0</v>
      </c>
      <c r="AO3872" s="4">
        <v>0</v>
      </c>
      <c r="AP3872" s="4">
        <v>2</v>
      </c>
      <c r="AQ3872" s="4">
        <v>9</v>
      </c>
      <c r="AR3872" s="3" t="s">
        <v>62</v>
      </c>
      <c r="AS3872" s="3" t="s">
        <v>62</v>
      </c>
      <c r="AT3872" s="3" t="s">
        <v>62</v>
      </c>
      <c r="AV3872" s="6" t="str">
        <f>HYPERLINK("http://mcgill.on.worldcat.org/oclc/881888227","Catalog Record")</f>
        <v>Catalog Record</v>
      </c>
      <c r="AW3872" s="6" t="str">
        <f>HYPERLINK("http://www.worldcat.org/oclc/881888227","WorldCat Record")</f>
        <v>WorldCat Record</v>
      </c>
      <c r="AX3872" s="3" t="s">
        <v>37451</v>
      </c>
      <c r="AY3872" s="3" t="s">
        <v>37452</v>
      </c>
      <c r="AZ3872" s="3" t="s">
        <v>37453</v>
      </c>
      <c r="BA3872" s="3" t="s">
        <v>37453</v>
      </c>
      <c r="BB3872" s="3" t="s">
        <v>37454</v>
      </c>
      <c r="BC3872" s="3" t="s">
        <v>102</v>
      </c>
      <c r="BD3872" s="3" t="s">
        <v>68</v>
      </c>
      <c r="BE3872" s="3" t="s">
        <v>37455</v>
      </c>
      <c r="BF3872" s="3" t="s">
        <v>37454</v>
      </c>
      <c r="BG3872" s="3" t="s">
        <v>37456</v>
      </c>
    </row>
    <row r="3873" spans="1:59" ht="130.5" x14ac:dyDescent="0.35">
      <c r="A3873" s="2" t="s">
        <v>59</v>
      </c>
      <c r="B3873" s="2" t="s">
        <v>60</v>
      </c>
      <c r="C3873" s="2" t="s">
        <v>37457</v>
      </c>
      <c r="D3873" s="2" t="s">
        <v>37458</v>
      </c>
      <c r="E3873" s="2" t="s">
        <v>37459</v>
      </c>
      <c r="G3873" s="3" t="s">
        <v>62</v>
      </c>
      <c r="I3873" s="3" t="s">
        <v>62</v>
      </c>
      <c r="J3873" s="3" t="s">
        <v>62</v>
      </c>
      <c r="K3873" s="3" t="s">
        <v>63</v>
      </c>
      <c r="L3873" s="2" t="s">
        <v>37460</v>
      </c>
      <c r="M3873" s="2" t="s">
        <v>37461</v>
      </c>
      <c r="N3873" s="3" t="s">
        <v>285</v>
      </c>
      <c r="P3873" s="3" t="s">
        <v>64</v>
      </c>
      <c r="R3873" s="3" t="s">
        <v>34126</v>
      </c>
      <c r="S3873" s="4">
        <v>2</v>
      </c>
      <c r="T3873" s="4">
        <v>2</v>
      </c>
      <c r="U3873" s="5" t="s">
        <v>6849</v>
      </c>
      <c r="V3873" s="5" t="s">
        <v>6849</v>
      </c>
      <c r="W3873" s="5" t="s">
        <v>67</v>
      </c>
      <c r="X3873" s="5" t="s">
        <v>67</v>
      </c>
      <c r="Y3873" s="4">
        <v>100</v>
      </c>
      <c r="Z3873" s="4">
        <v>10</v>
      </c>
      <c r="AA3873" s="4">
        <v>19</v>
      </c>
      <c r="AB3873" s="4">
        <v>1</v>
      </c>
      <c r="AC3873" s="4">
        <v>3</v>
      </c>
      <c r="AD3873" s="4">
        <v>35</v>
      </c>
      <c r="AE3873" s="4">
        <v>73</v>
      </c>
      <c r="AF3873" s="4">
        <v>0</v>
      </c>
      <c r="AG3873" s="4">
        <v>0</v>
      </c>
      <c r="AH3873" s="4">
        <v>30</v>
      </c>
      <c r="AI3873" s="4">
        <v>65</v>
      </c>
      <c r="AJ3873" s="4">
        <v>6</v>
      </c>
      <c r="AK3873" s="4">
        <v>12</v>
      </c>
      <c r="AL3873" s="4">
        <v>22</v>
      </c>
      <c r="AM3873" s="4">
        <v>35</v>
      </c>
      <c r="AN3873" s="4">
        <v>0</v>
      </c>
      <c r="AO3873" s="4">
        <v>0</v>
      </c>
      <c r="AP3873" s="4">
        <v>8</v>
      </c>
      <c r="AQ3873" s="4">
        <v>14</v>
      </c>
      <c r="AR3873" s="3" t="s">
        <v>62</v>
      </c>
      <c r="AS3873" s="3" t="s">
        <v>62</v>
      </c>
      <c r="AT3873" s="3" t="s">
        <v>61</v>
      </c>
      <c r="AU3873" s="6" t="str">
        <f>HYPERLINK("http://catalog.hathitrust.org/Record/007973103","HathiTrust Record")</f>
        <v>HathiTrust Record</v>
      </c>
      <c r="AV3873" s="6" t="str">
        <f>HYPERLINK("http://mcgill.on.worldcat.org/oclc/9489193","Catalog Record")</f>
        <v>Catalog Record</v>
      </c>
      <c r="AW3873" s="6" t="str">
        <f>HYPERLINK("http://www.worldcat.org/oclc/9489193","WorldCat Record")</f>
        <v>WorldCat Record</v>
      </c>
      <c r="AX3873" s="3" t="s">
        <v>37462</v>
      </c>
      <c r="AY3873" s="3" t="s">
        <v>37463</v>
      </c>
      <c r="AZ3873" s="3" t="s">
        <v>37464</v>
      </c>
      <c r="BA3873" s="3" t="s">
        <v>37464</v>
      </c>
      <c r="BB3873" s="3" t="s">
        <v>37465</v>
      </c>
      <c r="BC3873" s="3" t="s">
        <v>102</v>
      </c>
      <c r="BD3873" s="3" t="s">
        <v>68</v>
      </c>
      <c r="BE3873" s="3" t="s">
        <v>37466</v>
      </c>
      <c r="BF3873" s="3" t="s">
        <v>37465</v>
      </c>
      <c r="BG3873" s="3" t="s">
        <v>37467</v>
      </c>
    </row>
    <row r="3874" spans="1:59" ht="58" x14ac:dyDescent="0.35">
      <c r="A3874" s="2" t="s">
        <v>59</v>
      </c>
      <c r="B3874" s="2" t="s">
        <v>60</v>
      </c>
      <c r="C3874" s="2" t="s">
        <v>37468</v>
      </c>
      <c r="D3874" s="2" t="s">
        <v>37469</v>
      </c>
      <c r="E3874" s="2" t="s">
        <v>37470</v>
      </c>
      <c r="G3874" s="3" t="s">
        <v>62</v>
      </c>
      <c r="I3874" s="3" t="s">
        <v>61</v>
      </c>
      <c r="J3874" s="3" t="s">
        <v>62</v>
      </c>
      <c r="K3874" s="3" t="s">
        <v>916</v>
      </c>
      <c r="L3874" s="2" t="s">
        <v>37471</v>
      </c>
      <c r="M3874" s="2" t="s">
        <v>7549</v>
      </c>
      <c r="N3874" s="3" t="s">
        <v>1662</v>
      </c>
      <c r="O3874" s="2" t="s">
        <v>8350</v>
      </c>
      <c r="P3874" s="3" t="s">
        <v>64</v>
      </c>
      <c r="R3874" s="3" t="s">
        <v>34126</v>
      </c>
      <c r="S3874" s="4">
        <v>1</v>
      </c>
      <c r="T3874" s="4">
        <v>4</v>
      </c>
      <c r="U3874" s="5" t="s">
        <v>1362</v>
      </c>
      <c r="V3874" s="5" t="s">
        <v>1362</v>
      </c>
      <c r="W3874" s="5" t="s">
        <v>67</v>
      </c>
      <c r="X3874" s="5" t="s">
        <v>67</v>
      </c>
      <c r="Y3874" s="4">
        <v>513</v>
      </c>
      <c r="Z3874" s="4">
        <v>22</v>
      </c>
      <c r="AA3874" s="4">
        <v>27</v>
      </c>
      <c r="AB3874" s="4">
        <v>1</v>
      </c>
      <c r="AC3874" s="4">
        <v>3</v>
      </c>
      <c r="AD3874" s="4">
        <v>97</v>
      </c>
      <c r="AE3874" s="4">
        <v>112</v>
      </c>
      <c r="AF3874" s="4">
        <v>0</v>
      </c>
      <c r="AG3874" s="4">
        <v>2</v>
      </c>
      <c r="AH3874" s="4">
        <v>84</v>
      </c>
      <c r="AI3874" s="4">
        <v>97</v>
      </c>
      <c r="AJ3874" s="4">
        <v>15</v>
      </c>
      <c r="AK3874" s="4">
        <v>18</v>
      </c>
      <c r="AL3874" s="4">
        <v>49</v>
      </c>
      <c r="AM3874" s="4">
        <v>53</v>
      </c>
      <c r="AN3874" s="4">
        <v>0</v>
      </c>
      <c r="AO3874" s="4">
        <v>0</v>
      </c>
      <c r="AP3874" s="4">
        <v>16</v>
      </c>
      <c r="AQ3874" s="4">
        <v>19</v>
      </c>
      <c r="AR3874" s="3" t="s">
        <v>62</v>
      </c>
      <c r="AS3874" s="3" t="s">
        <v>61</v>
      </c>
      <c r="AT3874" s="3" t="s">
        <v>62</v>
      </c>
      <c r="AU3874" s="6" t="str">
        <f>HYPERLINK("http://catalog.hathitrust.org/Record/001491532","HathiTrust Record")</f>
        <v>HathiTrust Record</v>
      </c>
      <c r="AV3874" s="6" t="str">
        <f>HYPERLINK("http://mcgill.on.worldcat.org/oclc/327955","Catalog Record")</f>
        <v>Catalog Record</v>
      </c>
      <c r="AW3874" s="6" t="str">
        <f>HYPERLINK("http://www.worldcat.org/oclc/327955","WorldCat Record")</f>
        <v>WorldCat Record</v>
      </c>
      <c r="AX3874" s="3" t="s">
        <v>37472</v>
      </c>
      <c r="AY3874" s="3" t="s">
        <v>37473</v>
      </c>
      <c r="AZ3874" s="3" t="s">
        <v>37474</v>
      </c>
      <c r="BA3874" s="3" t="s">
        <v>37474</v>
      </c>
      <c r="BB3874" s="3" t="s">
        <v>37475</v>
      </c>
      <c r="BC3874" s="3" t="s">
        <v>102</v>
      </c>
      <c r="BD3874" s="3" t="s">
        <v>68</v>
      </c>
      <c r="BF3874" s="3" t="s">
        <v>37475</v>
      </c>
      <c r="BG3874" s="3" t="s">
        <v>37476</v>
      </c>
    </row>
    <row r="3875" spans="1:59" ht="58" x14ac:dyDescent="0.35">
      <c r="A3875" s="2" t="s">
        <v>89</v>
      </c>
      <c r="B3875" s="2" t="s">
        <v>90</v>
      </c>
      <c r="C3875" s="2" t="s">
        <v>37477</v>
      </c>
      <c r="D3875" s="2" t="s">
        <v>37478</v>
      </c>
      <c r="E3875" s="2" t="s">
        <v>37479</v>
      </c>
      <c r="G3875" s="3" t="s">
        <v>62</v>
      </c>
      <c r="I3875" s="3" t="s">
        <v>61</v>
      </c>
      <c r="J3875" s="3" t="s">
        <v>61</v>
      </c>
      <c r="K3875" s="3" t="s">
        <v>63</v>
      </c>
      <c r="L3875" s="2" t="s">
        <v>37480</v>
      </c>
      <c r="M3875" s="2" t="s">
        <v>37481</v>
      </c>
      <c r="N3875" s="3" t="s">
        <v>893</v>
      </c>
      <c r="P3875" s="3" t="s">
        <v>64</v>
      </c>
      <c r="R3875" s="3" t="s">
        <v>34126</v>
      </c>
      <c r="S3875" s="4">
        <v>6</v>
      </c>
      <c r="T3875" s="4">
        <v>109</v>
      </c>
      <c r="U3875" s="5" t="s">
        <v>22295</v>
      </c>
      <c r="V3875" s="5" t="s">
        <v>25112</v>
      </c>
      <c r="W3875" s="5" t="s">
        <v>67</v>
      </c>
      <c r="X3875" s="5" t="s">
        <v>67</v>
      </c>
      <c r="Y3875" s="4">
        <v>627</v>
      </c>
      <c r="Z3875" s="4">
        <v>40</v>
      </c>
      <c r="AA3875" s="4">
        <v>70</v>
      </c>
      <c r="AB3875" s="4">
        <v>5</v>
      </c>
      <c r="AC3875" s="4">
        <v>13</v>
      </c>
      <c r="AD3875" s="4">
        <v>114</v>
      </c>
      <c r="AE3875" s="4">
        <v>146</v>
      </c>
      <c r="AF3875" s="4">
        <v>1</v>
      </c>
      <c r="AG3875" s="4">
        <v>6</v>
      </c>
      <c r="AH3875" s="4">
        <v>93</v>
      </c>
      <c r="AI3875" s="4">
        <v>110</v>
      </c>
      <c r="AJ3875" s="4">
        <v>20</v>
      </c>
      <c r="AK3875" s="4">
        <v>28</v>
      </c>
      <c r="AL3875" s="4">
        <v>52</v>
      </c>
      <c r="AM3875" s="4">
        <v>60</v>
      </c>
      <c r="AN3875" s="4">
        <v>0</v>
      </c>
      <c r="AO3875" s="4">
        <v>0</v>
      </c>
      <c r="AP3875" s="4">
        <v>26</v>
      </c>
      <c r="AQ3875" s="4">
        <v>42</v>
      </c>
      <c r="AR3875" s="3" t="s">
        <v>62</v>
      </c>
      <c r="AS3875" s="3" t="s">
        <v>62</v>
      </c>
      <c r="AT3875" s="3" t="s">
        <v>62</v>
      </c>
      <c r="AV3875" s="6" t="str">
        <f>HYPERLINK("http://mcgill.on.worldcat.org/oclc/10628559","Catalog Record")</f>
        <v>Catalog Record</v>
      </c>
      <c r="AW3875" s="6" t="str">
        <f>HYPERLINK("http://www.worldcat.org/oclc/10628559","WorldCat Record")</f>
        <v>WorldCat Record</v>
      </c>
      <c r="AX3875" s="3" t="s">
        <v>37482</v>
      </c>
      <c r="AY3875" s="3" t="s">
        <v>37483</v>
      </c>
      <c r="AZ3875" s="3" t="s">
        <v>37484</v>
      </c>
      <c r="BA3875" s="3" t="s">
        <v>37484</v>
      </c>
      <c r="BB3875" s="3" t="s">
        <v>37485</v>
      </c>
      <c r="BC3875" s="3" t="s">
        <v>102</v>
      </c>
      <c r="BD3875" s="3" t="s">
        <v>68</v>
      </c>
      <c r="BE3875" s="3" t="s">
        <v>37486</v>
      </c>
      <c r="BF3875" s="3" t="s">
        <v>37485</v>
      </c>
      <c r="BG3875" s="3" t="s">
        <v>37487</v>
      </c>
    </row>
    <row r="3876" spans="1:59" ht="58" x14ac:dyDescent="0.35">
      <c r="A3876" s="2" t="s">
        <v>59</v>
      </c>
      <c r="B3876" s="2" t="s">
        <v>60</v>
      </c>
      <c r="C3876" s="2" t="s">
        <v>37488</v>
      </c>
      <c r="D3876" s="2" t="s">
        <v>37489</v>
      </c>
      <c r="E3876" s="2" t="s">
        <v>37490</v>
      </c>
      <c r="G3876" s="3" t="s">
        <v>62</v>
      </c>
      <c r="I3876" s="3" t="s">
        <v>61</v>
      </c>
      <c r="J3876" s="3" t="s">
        <v>61</v>
      </c>
      <c r="K3876" s="3" t="s">
        <v>63</v>
      </c>
      <c r="L3876" s="2" t="s">
        <v>37491</v>
      </c>
      <c r="M3876" s="2" t="s">
        <v>37492</v>
      </c>
      <c r="N3876" s="3" t="s">
        <v>396</v>
      </c>
      <c r="O3876" s="2" t="s">
        <v>2986</v>
      </c>
      <c r="P3876" s="3" t="s">
        <v>64</v>
      </c>
      <c r="R3876" s="3" t="s">
        <v>34126</v>
      </c>
      <c r="S3876" s="4">
        <v>29</v>
      </c>
      <c r="T3876" s="4">
        <v>55</v>
      </c>
      <c r="U3876" s="5" t="s">
        <v>37493</v>
      </c>
      <c r="V3876" s="5" t="s">
        <v>37494</v>
      </c>
      <c r="W3876" s="5" t="s">
        <v>67</v>
      </c>
      <c r="X3876" s="5" t="s">
        <v>67</v>
      </c>
      <c r="Y3876" s="4">
        <v>205</v>
      </c>
      <c r="Z3876" s="4">
        <v>16</v>
      </c>
      <c r="AA3876" s="4">
        <v>57</v>
      </c>
      <c r="AB3876" s="4">
        <v>1</v>
      </c>
      <c r="AC3876" s="4">
        <v>13</v>
      </c>
      <c r="AD3876" s="4">
        <v>58</v>
      </c>
      <c r="AE3876" s="4">
        <v>130</v>
      </c>
      <c r="AF3876" s="4">
        <v>0</v>
      </c>
      <c r="AG3876" s="4">
        <v>5</v>
      </c>
      <c r="AH3876" s="4">
        <v>50</v>
      </c>
      <c r="AI3876" s="4">
        <v>106</v>
      </c>
      <c r="AJ3876" s="4">
        <v>11</v>
      </c>
      <c r="AK3876" s="4">
        <v>21</v>
      </c>
      <c r="AL3876" s="4">
        <v>32</v>
      </c>
      <c r="AM3876" s="4">
        <v>57</v>
      </c>
      <c r="AN3876" s="4">
        <v>0</v>
      </c>
      <c r="AO3876" s="4">
        <v>0</v>
      </c>
      <c r="AP3876" s="4">
        <v>11</v>
      </c>
      <c r="AQ3876" s="4">
        <v>31</v>
      </c>
      <c r="AR3876" s="3" t="s">
        <v>62</v>
      </c>
      <c r="AS3876" s="3" t="s">
        <v>62</v>
      </c>
      <c r="AT3876" s="3" t="s">
        <v>61</v>
      </c>
      <c r="AU3876" s="6" t="str">
        <f>HYPERLINK("http://catalog.hathitrust.org/Record/000653543","HathiTrust Record")</f>
        <v>HathiTrust Record</v>
      </c>
      <c r="AV3876" s="6" t="str">
        <f>HYPERLINK("http://mcgill.on.worldcat.org/oclc/11518416","Catalog Record")</f>
        <v>Catalog Record</v>
      </c>
      <c r="AW3876" s="6" t="str">
        <f>HYPERLINK("http://www.worldcat.org/oclc/11518416","WorldCat Record")</f>
        <v>WorldCat Record</v>
      </c>
      <c r="AX3876" s="3" t="s">
        <v>32894</v>
      </c>
      <c r="AY3876" s="3" t="s">
        <v>37495</v>
      </c>
      <c r="AZ3876" s="3" t="s">
        <v>37496</v>
      </c>
      <c r="BA3876" s="3" t="s">
        <v>37496</v>
      </c>
      <c r="BB3876" s="3" t="s">
        <v>37497</v>
      </c>
      <c r="BC3876" s="3" t="s">
        <v>102</v>
      </c>
      <c r="BD3876" s="3" t="s">
        <v>68</v>
      </c>
      <c r="BE3876" s="3" t="s">
        <v>37498</v>
      </c>
      <c r="BF3876" s="3" t="s">
        <v>37497</v>
      </c>
      <c r="BG3876" s="3" t="s">
        <v>37499</v>
      </c>
    </row>
    <row r="3877" spans="1:59" ht="58" x14ac:dyDescent="0.35">
      <c r="A3877" s="2" t="s">
        <v>89</v>
      </c>
      <c r="B3877" s="2" t="s">
        <v>90</v>
      </c>
      <c r="C3877" s="2" t="s">
        <v>37500</v>
      </c>
      <c r="D3877" s="2" t="s">
        <v>37501</v>
      </c>
      <c r="E3877" s="2" t="s">
        <v>37502</v>
      </c>
      <c r="G3877" s="3" t="s">
        <v>62</v>
      </c>
      <c r="I3877" s="3" t="s">
        <v>62</v>
      </c>
      <c r="J3877" s="3" t="s">
        <v>62</v>
      </c>
      <c r="K3877" s="3" t="s">
        <v>63</v>
      </c>
      <c r="L3877" s="2" t="s">
        <v>37503</v>
      </c>
      <c r="M3877" s="2" t="s">
        <v>37504</v>
      </c>
      <c r="N3877" s="3" t="s">
        <v>1467</v>
      </c>
      <c r="P3877" s="3" t="s">
        <v>15489</v>
      </c>
      <c r="R3877" s="3" t="s">
        <v>34126</v>
      </c>
      <c r="S3877" s="4">
        <v>7</v>
      </c>
      <c r="T3877" s="4">
        <v>7</v>
      </c>
      <c r="U3877" s="5" t="s">
        <v>11230</v>
      </c>
      <c r="V3877" s="5" t="s">
        <v>11230</v>
      </c>
      <c r="W3877" s="5" t="s">
        <v>67</v>
      </c>
      <c r="X3877" s="5" t="s">
        <v>67</v>
      </c>
      <c r="Y3877" s="4">
        <v>4</v>
      </c>
      <c r="Z3877" s="4">
        <v>1</v>
      </c>
      <c r="AA3877" s="4">
        <v>1</v>
      </c>
      <c r="AB3877" s="4">
        <v>1</v>
      </c>
      <c r="AC3877" s="4">
        <v>1</v>
      </c>
      <c r="AD3877" s="4">
        <v>0</v>
      </c>
      <c r="AE3877" s="4">
        <v>0</v>
      </c>
      <c r="AF3877" s="4">
        <v>0</v>
      </c>
      <c r="AG3877" s="4">
        <v>0</v>
      </c>
      <c r="AH3877" s="4">
        <v>0</v>
      </c>
      <c r="AI3877" s="4">
        <v>0</v>
      </c>
      <c r="AJ3877" s="4">
        <v>0</v>
      </c>
      <c r="AK3877" s="4">
        <v>0</v>
      </c>
      <c r="AL3877" s="4">
        <v>0</v>
      </c>
      <c r="AM3877" s="4">
        <v>0</v>
      </c>
      <c r="AN3877" s="4">
        <v>0</v>
      </c>
      <c r="AO3877" s="4">
        <v>0</v>
      </c>
      <c r="AP3877" s="4">
        <v>0</v>
      </c>
      <c r="AQ3877" s="4">
        <v>0</v>
      </c>
      <c r="AR3877" s="3" t="s">
        <v>62</v>
      </c>
      <c r="AS3877" s="3" t="s">
        <v>62</v>
      </c>
      <c r="AT3877" s="3" t="s">
        <v>62</v>
      </c>
      <c r="AV3877" s="6" t="str">
        <f>HYPERLINK("http://mcgill.on.worldcat.org/oclc/220723948","Catalog Record")</f>
        <v>Catalog Record</v>
      </c>
      <c r="AW3877" s="6" t="str">
        <f>HYPERLINK("http://www.worldcat.org/oclc/220723948","WorldCat Record")</f>
        <v>WorldCat Record</v>
      </c>
      <c r="AX3877" s="3" t="s">
        <v>37505</v>
      </c>
      <c r="AY3877" s="3" t="s">
        <v>37506</v>
      </c>
      <c r="AZ3877" s="3" t="s">
        <v>37507</v>
      </c>
      <c r="BA3877" s="3" t="s">
        <v>37507</v>
      </c>
      <c r="BB3877" s="3" t="s">
        <v>37508</v>
      </c>
      <c r="BC3877" s="3" t="s">
        <v>102</v>
      </c>
      <c r="BD3877" s="3" t="s">
        <v>68</v>
      </c>
      <c r="BF3877" s="3" t="s">
        <v>37508</v>
      </c>
      <c r="BG3877" s="3" t="s">
        <v>37509</v>
      </c>
    </row>
    <row r="3878" spans="1:59" ht="58" x14ac:dyDescent="0.35">
      <c r="A3878" s="2" t="s">
        <v>59</v>
      </c>
      <c r="B3878" s="2" t="s">
        <v>60</v>
      </c>
      <c r="C3878" s="2" t="s">
        <v>37510</v>
      </c>
      <c r="D3878" s="2" t="s">
        <v>37511</v>
      </c>
      <c r="E3878" s="2" t="s">
        <v>37512</v>
      </c>
      <c r="G3878" s="3" t="s">
        <v>62</v>
      </c>
      <c r="I3878" s="3" t="s">
        <v>62</v>
      </c>
      <c r="J3878" s="3" t="s">
        <v>62</v>
      </c>
      <c r="K3878" s="3" t="s">
        <v>63</v>
      </c>
      <c r="M3878" s="2" t="s">
        <v>7166</v>
      </c>
      <c r="N3878" s="3" t="s">
        <v>568</v>
      </c>
      <c r="P3878" s="3" t="s">
        <v>64</v>
      </c>
      <c r="Q3878" s="2" t="s">
        <v>37513</v>
      </c>
      <c r="R3878" s="3" t="s">
        <v>34126</v>
      </c>
      <c r="S3878" s="4">
        <v>2</v>
      </c>
      <c r="T3878" s="4">
        <v>2</v>
      </c>
      <c r="U3878" s="5" t="s">
        <v>24376</v>
      </c>
      <c r="V3878" s="5" t="s">
        <v>24376</v>
      </c>
      <c r="W3878" s="5" t="s">
        <v>67</v>
      </c>
      <c r="X3878" s="5" t="s">
        <v>67</v>
      </c>
      <c r="Y3878" s="4">
        <v>137</v>
      </c>
      <c r="Z3878" s="4">
        <v>10</v>
      </c>
      <c r="AA3878" s="4">
        <v>15</v>
      </c>
      <c r="AB3878" s="4">
        <v>1</v>
      </c>
      <c r="AC3878" s="4">
        <v>4</v>
      </c>
      <c r="AD3878" s="4">
        <v>67</v>
      </c>
      <c r="AE3878" s="4">
        <v>74</v>
      </c>
      <c r="AF3878" s="4">
        <v>0</v>
      </c>
      <c r="AG3878" s="4">
        <v>2</v>
      </c>
      <c r="AH3878" s="4">
        <v>62</v>
      </c>
      <c r="AI3878" s="4">
        <v>66</v>
      </c>
      <c r="AJ3878" s="4">
        <v>7</v>
      </c>
      <c r="AK3878" s="4">
        <v>10</v>
      </c>
      <c r="AL3878" s="4">
        <v>38</v>
      </c>
      <c r="AM3878" s="4">
        <v>41</v>
      </c>
      <c r="AN3878" s="4">
        <v>0</v>
      </c>
      <c r="AO3878" s="4">
        <v>0</v>
      </c>
      <c r="AP3878" s="4">
        <v>8</v>
      </c>
      <c r="AQ3878" s="4">
        <v>11</v>
      </c>
      <c r="AR3878" s="3" t="s">
        <v>62</v>
      </c>
      <c r="AS3878" s="3" t="s">
        <v>62</v>
      </c>
      <c r="AT3878" s="3" t="s">
        <v>62</v>
      </c>
      <c r="AV3878" s="6" t="str">
        <f>HYPERLINK("http://mcgill.on.worldcat.org/oclc/43757616","Catalog Record")</f>
        <v>Catalog Record</v>
      </c>
      <c r="AW3878" s="6" t="str">
        <f>HYPERLINK("http://www.worldcat.org/oclc/43757616","WorldCat Record")</f>
        <v>WorldCat Record</v>
      </c>
      <c r="AX3878" s="3" t="s">
        <v>37514</v>
      </c>
      <c r="AY3878" s="3" t="s">
        <v>37515</v>
      </c>
      <c r="AZ3878" s="3" t="s">
        <v>37516</v>
      </c>
      <c r="BA3878" s="3" t="s">
        <v>37516</v>
      </c>
      <c r="BB3878" s="3" t="s">
        <v>37517</v>
      </c>
      <c r="BC3878" s="3" t="s">
        <v>102</v>
      </c>
      <c r="BD3878" s="3" t="s">
        <v>68</v>
      </c>
      <c r="BE3878" s="3" t="s">
        <v>37518</v>
      </c>
      <c r="BF3878" s="3" t="s">
        <v>37517</v>
      </c>
      <c r="BG3878" s="3" t="s">
        <v>37519</v>
      </c>
    </row>
    <row r="3879" spans="1:59" ht="101.5" x14ac:dyDescent="0.35">
      <c r="A3879" s="2" t="s">
        <v>89</v>
      </c>
      <c r="B3879" s="2" t="s">
        <v>12301</v>
      </c>
      <c r="C3879" s="2" t="s">
        <v>37520</v>
      </c>
      <c r="D3879" s="2" t="s">
        <v>37521</v>
      </c>
      <c r="E3879" s="2" t="s">
        <v>37522</v>
      </c>
      <c r="G3879" s="3" t="s">
        <v>62</v>
      </c>
      <c r="I3879" s="3" t="s">
        <v>61</v>
      </c>
      <c r="J3879" s="3" t="s">
        <v>61</v>
      </c>
      <c r="K3879" s="3" t="s">
        <v>63</v>
      </c>
      <c r="L3879" s="2" t="s">
        <v>37523</v>
      </c>
      <c r="M3879" s="2" t="s">
        <v>37524</v>
      </c>
      <c r="N3879" s="3" t="s">
        <v>539</v>
      </c>
      <c r="O3879" s="2" t="s">
        <v>2986</v>
      </c>
      <c r="P3879" s="3" t="s">
        <v>64</v>
      </c>
      <c r="R3879" s="3" t="s">
        <v>34126</v>
      </c>
      <c r="S3879" s="4">
        <v>48</v>
      </c>
      <c r="T3879" s="4">
        <v>104</v>
      </c>
      <c r="U3879" s="5" t="s">
        <v>37525</v>
      </c>
      <c r="V3879" s="5" t="s">
        <v>21989</v>
      </c>
      <c r="W3879" s="5" t="s">
        <v>67</v>
      </c>
      <c r="X3879" s="5" t="s">
        <v>67</v>
      </c>
      <c r="Y3879" s="4">
        <v>240</v>
      </c>
      <c r="Z3879" s="4">
        <v>21</v>
      </c>
      <c r="AA3879" s="4">
        <v>67</v>
      </c>
      <c r="AB3879" s="4">
        <v>1</v>
      </c>
      <c r="AC3879" s="4">
        <v>12</v>
      </c>
      <c r="AD3879" s="4">
        <v>73</v>
      </c>
      <c r="AE3879" s="4">
        <v>142</v>
      </c>
      <c r="AF3879" s="4">
        <v>0</v>
      </c>
      <c r="AG3879" s="4">
        <v>6</v>
      </c>
      <c r="AH3879" s="4">
        <v>64</v>
      </c>
      <c r="AI3879" s="4">
        <v>105</v>
      </c>
      <c r="AJ3879" s="4">
        <v>11</v>
      </c>
      <c r="AK3879" s="4">
        <v>25</v>
      </c>
      <c r="AL3879" s="4">
        <v>36</v>
      </c>
      <c r="AM3879" s="4">
        <v>57</v>
      </c>
      <c r="AN3879" s="4">
        <v>0</v>
      </c>
      <c r="AO3879" s="4">
        <v>0</v>
      </c>
      <c r="AP3879" s="4">
        <v>17</v>
      </c>
      <c r="AQ3879" s="4">
        <v>46</v>
      </c>
      <c r="AR3879" s="3" t="s">
        <v>62</v>
      </c>
      <c r="AS3879" s="3" t="s">
        <v>62</v>
      </c>
      <c r="AT3879" s="3" t="s">
        <v>62</v>
      </c>
      <c r="AV3879" s="6" t="str">
        <f>HYPERLINK("http://mcgill.on.worldcat.org/oclc/38593447","Catalog Record")</f>
        <v>Catalog Record</v>
      </c>
      <c r="AW3879" s="6" t="str">
        <f>HYPERLINK("http://www.worldcat.org/oclc/38593447","WorldCat Record")</f>
        <v>WorldCat Record</v>
      </c>
      <c r="AX3879" s="3" t="s">
        <v>37526</v>
      </c>
      <c r="AY3879" s="3" t="s">
        <v>37527</v>
      </c>
      <c r="AZ3879" s="3" t="s">
        <v>37528</v>
      </c>
      <c r="BA3879" s="3" t="s">
        <v>37528</v>
      </c>
      <c r="BB3879" s="3" t="s">
        <v>37529</v>
      </c>
      <c r="BC3879" s="3" t="s">
        <v>102</v>
      </c>
      <c r="BD3879" s="3" t="s">
        <v>68</v>
      </c>
      <c r="BE3879" s="3" t="s">
        <v>37530</v>
      </c>
      <c r="BF3879" s="3" t="s">
        <v>37529</v>
      </c>
      <c r="BG3879" s="3" t="s">
        <v>37531</v>
      </c>
    </row>
    <row r="3880" spans="1:59" ht="58" x14ac:dyDescent="0.35">
      <c r="A3880" s="2" t="s">
        <v>59</v>
      </c>
      <c r="B3880" s="2" t="s">
        <v>60</v>
      </c>
      <c r="C3880" s="2" t="s">
        <v>37532</v>
      </c>
      <c r="D3880" s="2" t="s">
        <v>37533</v>
      </c>
      <c r="E3880" s="2" t="s">
        <v>37534</v>
      </c>
      <c r="G3880" s="3" t="s">
        <v>62</v>
      </c>
      <c r="I3880" s="3" t="s">
        <v>61</v>
      </c>
      <c r="J3880" s="3" t="s">
        <v>62</v>
      </c>
      <c r="K3880" s="3" t="s">
        <v>63</v>
      </c>
      <c r="L3880" s="2" t="s">
        <v>37535</v>
      </c>
      <c r="M3880" s="2" t="s">
        <v>37536</v>
      </c>
      <c r="N3880" s="3" t="s">
        <v>87</v>
      </c>
      <c r="P3880" s="3" t="s">
        <v>64</v>
      </c>
      <c r="Q3880" s="2" t="s">
        <v>37537</v>
      </c>
      <c r="R3880" s="3" t="s">
        <v>34126</v>
      </c>
      <c r="S3880" s="4">
        <v>5</v>
      </c>
      <c r="T3880" s="4">
        <v>22</v>
      </c>
      <c r="U3880" s="5" t="s">
        <v>37538</v>
      </c>
      <c r="V3880" s="5" t="s">
        <v>2502</v>
      </c>
      <c r="W3880" s="5" t="s">
        <v>67</v>
      </c>
      <c r="X3880" s="5" t="s">
        <v>67</v>
      </c>
      <c r="Y3880" s="4">
        <v>438</v>
      </c>
      <c r="Z3880" s="4">
        <v>24</v>
      </c>
      <c r="AA3880" s="4">
        <v>30</v>
      </c>
      <c r="AB3880" s="4">
        <v>1</v>
      </c>
      <c r="AC3880" s="4">
        <v>5</v>
      </c>
      <c r="AD3880" s="4">
        <v>111</v>
      </c>
      <c r="AE3880" s="4">
        <v>115</v>
      </c>
      <c r="AF3880" s="4">
        <v>0</v>
      </c>
      <c r="AG3880" s="4">
        <v>2</v>
      </c>
      <c r="AH3880" s="4">
        <v>99</v>
      </c>
      <c r="AI3880" s="4">
        <v>100</v>
      </c>
      <c r="AJ3880" s="4">
        <v>17</v>
      </c>
      <c r="AK3880" s="4">
        <v>19</v>
      </c>
      <c r="AL3880" s="4">
        <v>51</v>
      </c>
      <c r="AM3880" s="4">
        <v>51</v>
      </c>
      <c r="AN3880" s="4">
        <v>0</v>
      </c>
      <c r="AO3880" s="4">
        <v>0</v>
      </c>
      <c r="AP3880" s="4">
        <v>21</v>
      </c>
      <c r="AQ3880" s="4">
        <v>24</v>
      </c>
      <c r="AR3880" s="3" t="s">
        <v>62</v>
      </c>
      <c r="AS3880" s="3" t="s">
        <v>62</v>
      </c>
      <c r="AT3880" s="3" t="s">
        <v>61</v>
      </c>
      <c r="AU3880" s="6" t="str">
        <f>HYPERLINK("http://catalog.hathitrust.org/Record/000693507","HathiTrust Record")</f>
        <v>HathiTrust Record</v>
      </c>
      <c r="AV3880" s="6" t="str">
        <f>HYPERLINK("http://mcgill.on.worldcat.org/oclc/5614521","Catalog Record")</f>
        <v>Catalog Record</v>
      </c>
      <c r="AW3880" s="6" t="str">
        <f>HYPERLINK("http://www.worldcat.org/oclc/5614521","WorldCat Record")</f>
        <v>WorldCat Record</v>
      </c>
      <c r="AX3880" s="3" t="s">
        <v>37539</v>
      </c>
      <c r="AY3880" s="3" t="s">
        <v>37540</v>
      </c>
      <c r="AZ3880" s="3" t="s">
        <v>37541</v>
      </c>
      <c r="BA3880" s="3" t="s">
        <v>37541</v>
      </c>
      <c r="BB3880" s="3" t="s">
        <v>37542</v>
      </c>
      <c r="BC3880" s="3" t="s">
        <v>102</v>
      </c>
      <c r="BD3880" s="3" t="s">
        <v>68</v>
      </c>
      <c r="BE3880" s="3" t="s">
        <v>37543</v>
      </c>
      <c r="BF3880" s="3" t="s">
        <v>37542</v>
      </c>
      <c r="BG3880" s="3" t="s">
        <v>37544</v>
      </c>
    </row>
    <row r="3881" spans="1:59" ht="58" x14ac:dyDescent="0.35">
      <c r="A3881" s="2" t="s">
        <v>59</v>
      </c>
      <c r="B3881" s="2" t="s">
        <v>60</v>
      </c>
      <c r="C3881" s="2" t="s">
        <v>37545</v>
      </c>
      <c r="D3881" s="2" t="s">
        <v>37546</v>
      </c>
      <c r="E3881" s="2" t="s">
        <v>37547</v>
      </c>
      <c r="G3881" s="3" t="s">
        <v>62</v>
      </c>
      <c r="I3881" s="3" t="s">
        <v>61</v>
      </c>
      <c r="J3881" s="3" t="s">
        <v>62</v>
      </c>
      <c r="K3881" s="3" t="s">
        <v>63</v>
      </c>
      <c r="M3881" s="2" t="s">
        <v>37548</v>
      </c>
      <c r="N3881" s="3" t="s">
        <v>481</v>
      </c>
      <c r="P3881" s="3" t="s">
        <v>64</v>
      </c>
      <c r="Q3881" s="2" t="s">
        <v>37549</v>
      </c>
      <c r="R3881" s="3" t="s">
        <v>34126</v>
      </c>
      <c r="S3881" s="4">
        <v>18</v>
      </c>
      <c r="T3881" s="4">
        <v>32</v>
      </c>
      <c r="U3881" s="5" t="s">
        <v>37550</v>
      </c>
      <c r="V3881" s="5" t="s">
        <v>10785</v>
      </c>
      <c r="W3881" s="5" t="s">
        <v>67</v>
      </c>
      <c r="X3881" s="5" t="s">
        <v>67</v>
      </c>
      <c r="Y3881" s="4">
        <v>231</v>
      </c>
      <c r="Z3881" s="4">
        <v>20</v>
      </c>
      <c r="AA3881" s="4">
        <v>25</v>
      </c>
      <c r="AB3881" s="4">
        <v>1</v>
      </c>
      <c r="AC3881" s="4">
        <v>5</v>
      </c>
      <c r="AD3881" s="4">
        <v>83</v>
      </c>
      <c r="AE3881" s="4">
        <v>91</v>
      </c>
      <c r="AF3881" s="4">
        <v>0</v>
      </c>
      <c r="AG3881" s="4">
        <v>2</v>
      </c>
      <c r="AH3881" s="4">
        <v>73</v>
      </c>
      <c r="AI3881" s="4">
        <v>79</v>
      </c>
      <c r="AJ3881" s="4">
        <v>15</v>
      </c>
      <c r="AK3881" s="4">
        <v>17</v>
      </c>
      <c r="AL3881" s="4">
        <v>39</v>
      </c>
      <c r="AM3881" s="4">
        <v>42</v>
      </c>
      <c r="AN3881" s="4">
        <v>0</v>
      </c>
      <c r="AO3881" s="4">
        <v>0</v>
      </c>
      <c r="AP3881" s="4">
        <v>18</v>
      </c>
      <c r="AQ3881" s="4">
        <v>21</v>
      </c>
      <c r="AR3881" s="3" t="s">
        <v>62</v>
      </c>
      <c r="AS3881" s="3" t="s">
        <v>62</v>
      </c>
      <c r="AT3881" s="3" t="s">
        <v>62</v>
      </c>
      <c r="AV3881" s="6" t="str">
        <f>HYPERLINK("http://mcgill.on.worldcat.org/oclc/35183938","Catalog Record")</f>
        <v>Catalog Record</v>
      </c>
      <c r="AW3881" s="6" t="str">
        <f>HYPERLINK("http://www.worldcat.org/oclc/35183938","WorldCat Record")</f>
        <v>WorldCat Record</v>
      </c>
      <c r="AX3881" s="3" t="s">
        <v>37551</v>
      </c>
      <c r="AY3881" s="3" t="s">
        <v>37552</v>
      </c>
      <c r="AZ3881" s="3" t="s">
        <v>37553</v>
      </c>
      <c r="BA3881" s="3" t="s">
        <v>37553</v>
      </c>
      <c r="BB3881" s="3" t="s">
        <v>37554</v>
      </c>
      <c r="BC3881" s="3" t="s">
        <v>102</v>
      </c>
      <c r="BD3881" s="3" t="s">
        <v>68</v>
      </c>
      <c r="BE3881" s="3" t="s">
        <v>37555</v>
      </c>
      <c r="BF3881" s="3" t="s">
        <v>37554</v>
      </c>
      <c r="BG3881" s="3" t="s">
        <v>37556</v>
      </c>
    </row>
    <row r="3882" spans="1:59" ht="58" x14ac:dyDescent="0.35">
      <c r="A3882" s="2" t="s">
        <v>59</v>
      </c>
      <c r="B3882" s="2" t="s">
        <v>60</v>
      </c>
      <c r="C3882" s="2" t="s">
        <v>37557</v>
      </c>
      <c r="D3882" s="2" t="s">
        <v>37558</v>
      </c>
      <c r="E3882" s="2" t="s">
        <v>37559</v>
      </c>
      <c r="G3882" s="3" t="s">
        <v>62</v>
      </c>
      <c r="I3882" s="3" t="s">
        <v>62</v>
      </c>
      <c r="J3882" s="3" t="s">
        <v>62</v>
      </c>
      <c r="K3882" s="3" t="s">
        <v>63</v>
      </c>
      <c r="M3882" s="2" t="s">
        <v>37560</v>
      </c>
      <c r="N3882" s="3" t="s">
        <v>2588</v>
      </c>
      <c r="P3882" s="3" t="s">
        <v>64</v>
      </c>
      <c r="Q3882" s="2" t="s">
        <v>37561</v>
      </c>
      <c r="R3882" s="3" t="s">
        <v>34126</v>
      </c>
      <c r="S3882" s="4">
        <v>7</v>
      </c>
      <c r="T3882" s="4">
        <v>7</v>
      </c>
      <c r="U3882" s="5" t="s">
        <v>24376</v>
      </c>
      <c r="V3882" s="5" t="s">
        <v>24376</v>
      </c>
      <c r="W3882" s="5" t="s">
        <v>67</v>
      </c>
      <c r="X3882" s="5" t="s">
        <v>67</v>
      </c>
      <c r="Y3882" s="4">
        <v>61</v>
      </c>
      <c r="Z3882" s="4">
        <v>7</v>
      </c>
      <c r="AA3882" s="4">
        <v>8</v>
      </c>
      <c r="AB3882" s="4">
        <v>1</v>
      </c>
      <c r="AC3882" s="4">
        <v>2</v>
      </c>
      <c r="AD3882" s="4">
        <v>35</v>
      </c>
      <c r="AE3882" s="4">
        <v>36</v>
      </c>
      <c r="AF3882" s="4">
        <v>0</v>
      </c>
      <c r="AG3882" s="4">
        <v>1</v>
      </c>
      <c r="AH3882" s="4">
        <v>32</v>
      </c>
      <c r="AI3882" s="4">
        <v>32</v>
      </c>
      <c r="AJ3882" s="4">
        <v>5</v>
      </c>
      <c r="AK3882" s="4">
        <v>6</v>
      </c>
      <c r="AL3882" s="4">
        <v>20</v>
      </c>
      <c r="AM3882" s="4">
        <v>20</v>
      </c>
      <c r="AN3882" s="4">
        <v>0</v>
      </c>
      <c r="AO3882" s="4">
        <v>0</v>
      </c>
      <c r="AP3882" s="4">
        <v>5</v>
      </c>
      <c r="AQ3882" s="4">
        <v>6</v>
      </c>
      <c r="AR3882" s="3" t="s">
        <v>62</v>
      </c>
      <c r="AS3882" s="3" t="s">
        <v>62</v>
      </c>
      <c r="AT3882" s="3" t="s">
        <v>61</v>
      </c>
      <c r="AU3882" s="6" t="str">
        <f>HYPERLINK("http://catalog.hathitrust.org/Record/007973039","HathiTrust Record")</f>
        <v>HathiTrust Record</v>
      </c>
      <c r="AV3882" s="6" t="str">
        <f>HYPERLINK("http://mcgill.on.worldcat.org/oclc/3712140","Catalog Record")</f>
        <v>Catalog Record</v>
      </c>
      <c r="AW3882" s="6" t="str">
        <f>HYPERLINK("http://www.worldcat.org/oclc/3712140","WorldCat Record")</f>
        <v>WorldCat Record</v>
      </c>
      <c r="AX3882" s="3" t="s">
        <v>37562</v>
      </c>
      <c r="AY3882" s="3" t="s">
        <v>37563</v>
      </c>
      <c r="AZ3882" s="3" t="s">
        <v>37564</v>
      </c>
      <c r="BA3882" s="3" t="s">
        <v>37564</v>
      </c>
      <c r="BB3882" s="3" t="s">
        <v>37565</v>
      </c>
      <c r="BC3882" s="3" t="s">
        <v>102</v>
      </c>
      <c r="BD3882" s="3" t="s">
        <v>68</v>
      </c>
      <c r="BF3882" s="3" t="s">
        <v>37565</v>
      </c>
      <c r="BG3882" s="3" t="s">
        <v>37566</v>
      </c>
    </row>
    <row r="3883" spans="1:59" ht="72.5" x14ac:dyDescent="0.35">
      <c r="A3883" s="2" t="s">
        <v>59</v>
      </c>
      <c r="B3883" s="2" t="s">
        <v>60</v>
      </c>
      <c r="C3883" s="2" t="s">
        <v>37567</v>
      </c>
      <c r="D3883" s="2" t="s">
        <v>37568</v>
      </c>
      <c r="E3883" s="2" t="s">
        <v>37569</v>
      </c>
      <c r="G3883" s="3" t="s">
        <v>62</v>
      </c>
      <c r="I3883" s="3" t="s">
        <v>61</v>
      </c>
      <c r="J3883" s="3" t="s">
        <v>62</v>
      </c>
      <c r="K3883" s="3" t="s">
        <v>63</v>
      </c>
      <c r="M3883" s="2" t="s">
        <v>37570</v>
      </c>
      <c r="N3883" s="3" t="s">
        <v>186</v>
      </c>
      <c r="P3883" s="3" t="s">
        <v>64</v>
      </c>
      <c r="Q3883" s="2" t="s">
        <v>37571</v>
      </c>
      <c r="R3883" s="3" t="s">
        <v>34126</v>
      </c>
      <c r="S3883" s="4">
        <v>6</v>
      </c>
      <c r="T3883" s="4">
        <v>6</v>
      </c>
      <c r="U3883" s="5" t="s">
        <v>13757</v>
      </c>
      <c r="V3883" s="5" t="s">
        <v>13757</v>
      </c>
      <c r="W3883" s="5" t="s">
        <v>67</v>
      </c>
      <c r="X3883" s="5" t="s">
        <v>67</v>
      </c>
      <c r="Y3883" s="4">
        <v>587</v>
      </c>
      <c r="Z3883" s="4">
        <v>31</v>
      </c>
      <c r="AA3883" s="4">
        <v>39</v>
      </c>
      <c r="AB3883" s="4">
        <v>3</v>
      </c>
      <c r="AC3883" s="4">
        <v>7</v>
      </c>
      <c r="AD3883" s="4">
        <v>118</v>
      </c>
      <c r="AE3883" s="4">
        <v>128</v>
      </c>
      <c r="AF3883" s="4">
        <v>2</v>
      </c>
      <c r="AG3883" s="4">
        <v>5</v>
      </c>
      <c r="AH3883" s="4">
        <v>100</v>
      </c>
      <c r="AI3883" s="4">
        <v>105</v>
      </c>
      <c r="AJ3883" s="4">
        <v>18</v>
      </c>
      <c r="AK3883" s="4">
        <v>23</v>
      </c>
      <c r="AL3883" s="4">
        <v>52</v>
      </c>
      <c r="AM3883" s="4">
        <v>55</v>
      </c>
      <c r="AN3883" s="4">
        <v>0</v>
      </c>
      <c r="AO3883" s="4">
        <v>0</v>
      </c>
      <c r="AP3883" s="4">
        <v>25</v>
      </c>
      <c r="AQ3883" s="4">
        <v>30</v>
      </c>
      <c r="AR3883" s="3" t="s">
        <v>62</v>
      </c>
      <c r="AS3883" s="3" t="s">
        <v>62</v>
      </c>
      <c r="AT3883" s="3" t="s">
        <v>61</v>
      </c>
      <c r="AU3883" s="6" t="str">
        <f>HYPERLINK("http://catalog.hathitrust.org/Record/000030658","HathiTrust Record")</f>
        <v>HathiTrust Record</v>
      </c>
      <c r="AV3883" s="6" t="str">
        <f>HYPERLINK("http://mcgill.on.worldcat.org/oclc/1287577","Catalog Record")</f>
        <v>Catalog Record</v>
      </c>
      <c r="AW3883" s="6" t="str">
        <f>HYPERLINK("http://www.worldcat.org/oclc/1287577","WorldCat Record")</f>
        <v>WorldCat Record</v>
      </c>
      <c r="AX3883" s="3" t="s">
        <v>37572</v>
      </c>
      <c r="AY3883" s="3" t="s">
        <v>37573</v>
      </c>
      <c r="AZ3883" s="3" t="s">
        <v>37574</v>
      </c>
      <c r="BA3883" s="3" t="s">
        <v>37574</v>
      </c>
      <c r="BB3883" s="3" t="s">
        <v>37575</v>
      </c>
      <c r="BC3883" s="3" t="s">
        <v>102</v>
      </c>
      <c r="BD3883" s="3" t="s">
        <v>68</v>
      </c>
      <c r="BE3883" s="3" t="s">
        <v>37576</v>
      </c>
      <c r="BF3883" s="3" t="s">
        <v>37575</v>
      </c>
      <c r="BG3883" s="3" t="s">
        <v>37577</v>
      </c>
    </row>
    <row r="3884" spans="1:59" ht="58" x14ac:dyDescent="0.35">
      <c r="A3884" s="2" t="s">
        <v>89</v>
      </c>
      <c r="B3884" s="2" t="s">
        <v>90</v>
      </c>
      <c r="C3884" s="2" t="s">
        <v>37578</v>
      </c>
      <c r="D3884" s="2" t="s">
        <v>37579</v>
      </c>
      <c r="E3884" s="2" t="s">
        <v>37580</v>
      </c>
      <c r="G3884" s="3" t="s">
        <v>62</v>
      </c>
      <c r="I3884" s="3" t="s">
        <v>62</v>
      </c>
      <c r="J3884" s="3" t="s">
        <v>62</v>
      </c>
      <c r="K3884" s="3" t="s">
        <v>63</v>
      </c>
      <c r="M3884" s="2" t="s">
        <v>37581</v>
      </c>
      <c r="N3884" s="3" t="s">
        <v>327</v>
      </c>
      <c r="P3884" s="3" t="s">
        <v>1760</v>
      </c>
      <c r="R3884" s="3" t="s">
        <v>34126</v>
      </c>
      <c r="S3884" s="4">
        <v>1</v>
      </c>
      <c r="T3884" s="4">
        <v>1</v>
      </c>
      <c r="U3884" s="5" t="s">
        <v>33786</v>
      </c>
      <c r="V3884" s="5" t="s">
        <v>33786</v>
      </c>
      <c r="W3884" s="5" t="s">
        <v>67</v>
      </c>
      <c r="X3884" s="5" t="s">
        <v>67</v>
      </c>
      <c r="Y3884" s="4">
        <v>20</v>
      </c>
      <c r="Z3884" s="4">
        <v>3</v>
      </c>
      <c r="AA3884" s="4">
        <v>3</v>
      </c>
      <c r="AB3884" s="4">
        <v>1</v>
      </c>
      <c r="AC3884" s="4">
        <v>1</v>
      </c>
      <c r="AD3884" s="4">
        <v>12</v>
      </c>
      <c r="AE3884" s="4">
        <v>12</v>
      </c>
      <c r="AF3884" s="4">
        <v>0</v>
      </c>
      <c r="AG3884" s="4">
        <v>0</v>
      </c>
      <c r="AH3884" s="4">
        <v>11</v>
      </c>
      <c r="AI3884" s="4">
        <v>11</v>
      </c>
      <c r="AJ3884" s="4">
        <v>1</v>
      </c>
      <c r="AK3884" s="4">
        <v>1</v>
      </c>
      <c r="AL3884" s="4">
        <v>10</v>
      </c>
      <c r="AM3884" s="4">
        <v>10</v>
      </c>
      <c r="AN3884" s="4">
        <v>0</v>
      </c>
      <c r="AO3884" s="4">
        <v>0</v>
      </c>
      <c r="AP3884" s="4">
        <v>1</v>
      </c>
      <c r="AQ3884" s="4">
        <v>1</v>
      </c>
      <c r="AR3884" s="3" t="s">
        <v>62</v>
      </c>
      <c r="AS3884" s="3" t="s">
        <v>62</v>
      </c>
      <c r="AT3884" s="3" t="s">
        <v>62</v>
      </c>
      <c r="AV3884" s="6" t="str">
        <f>HYPERLINK("http://mcgill.on.worldcat.org/oclc/12394112","Catalog Record")</f>
        <v>Catalog Record</v>
      </c>
      <c r="AW3884" s="6" t="str">
        <f>HYPERLINK("http://www.worldcat.org/oclc/12394112","WorldCat Record")</f>
        <v>WorldCat Record</v>
      </c>
      <c r="AX3884" s="3" t="s">
        <v>37582</v>
      </c>
      <c r="AY3884" s="3" t="s">
        <v>37583</v>
      </c>
      <c r="AZ3884" s="3" t="s">
        <v>37584</v>
      </c>
      <c r="BA3884" s="3" t="s">
        <v>37584</v>
      </c>
      <c r="BB3884" s="3" t="s">
        <v>37585</v>
      </c>
      <c r="BC3884" s="3" t="s">
        <v>102</v>
      </c>
      <c r="BD3884" s="3" t="s">
        <v>68</v>
      </c>
      <c r="BF3884" s="3" t="s">
        <v>37585</v>
      </c>
      <c r="BG3884" s="3" t="s">
        <v>37586</v>
      </c>
    </row>
    <row r="3885" spans="1:59" ht="58" x14ac:dyDescent="0.35">
      <c r="A3885" s="2" t="s">
        <v>89</v>
      </c>
      <c r="B3885" s="2" t="s">
        <v>90</v>
      </c>
      <c r="C3885" s="2" t="s">
        <v>37587</v>
      </c>
      <c r="D3885" s="2" t="s">
        <v>37588</v>
      </c>
      <c r="E3885" s="2" t="s">
        <v>37589</v>
      </c>
      <c r="G3885" s="3" t="s">
        <v>62</v>
      </c>
      <c r="I3885" s="3" t="s">
        <v>62</v>
      </c>
      <c r="J3885" s="3" t="s">
        <v>62</v>
      </c>
      <c r="K3885" s="3" t="s">
        <v>63</v>
      </c>
      <c r="M3885" s="2" t="s">
        <v>37590</v>
      </c>
      <c r="N3885" s="3" t="s">
        <v>129</v>
      </c>
      <c r="P3885" s="3" t="s">
        <v>64</v>
      </c>
      <c r="Q3885" s="2" t="s">
        <v>37591</v>
      </c>
      <c r="R3885" s="3" t="s">
        <v>34126</v>
      </c>
      <c r="S3885" s="4">
        <v>0</v>
      </c>
      <c r="T3885" s="4">
        <v>0</v>
      </c>
      <c r="W3885" s="5" t="s">
        <v>67</v>
      </c>
      <c r="X3885" s="5" t="s">
        <v>67</v>
      </c>
      <c r="Y3885" s="4">
        <v>33</v>
      </c>
      <c r="Z3885" s="4">
        <v>1</v>
      </c>
      <c r="AA3885" s="4">
        <v>61</v>
      </c>
      <c r="AB3885" s="4">
        <v>1</v>
      </c>
      <c r="AC3885" s="4">
        <v>7</v>
      </c>
      <c r="AD3885" s="4">
        <v>14</v>
      </c>
      <c r="AE3885" s="4">
        <v>83</v>
      </c>
      <c r="AF3885" s="4">
        <v>0</v>
      </c>
      <c r="AG3885" s="4">
        <v>4</v>
      </c>
      <c r="AH3885" s="4">
        <v>13</v>
      </c>
      <c r="AI3885" s="4">
        <v>53</v>
      </c>
      <c r="AJ3885" s="4">
        <v>0</v>
      </c>
      <c r="AK3885" s="4">
        <v>21</v>
      </c>
      <c r="AL3885" s="4">
        <v>7</v>
      </c>
      <c r="AM3885" s="4">
        <v>24</v>
      </c>
      <c r="AN3885" s="4">
        <v>0</v>
      </c>
      <c r="AO3885" s="4">
        <v>0</v>
      </c>
      <c r="AP3885" s="4">
        <v>0</v>
      </c>
      <c r="AQ3885" s="4">
        <v>35</v>
      </c>
      <c r="AR3885" s="3" t="s">
        <v>62</v>
      </c>
      <c r="AS3885" s="3" t="s">
        <v>62</v>
      </c>
      <c r="AT3885" s="3" t="s">
        <v>62</v>
      </c>
      <c r="AV3885" s="6" t="str">
        <f>HYPERLINK("http://mcgill.on.worldcat.org/oclc/837528276","Catalog Record")</f>
        <v>Catalog Record</v>
      </c>
      <c r="AW3885" s="6" t="str">
        <f>HYPERLINK("http://www.worldcat.org/oclc/837528276","WorldCat Record")</f>
        <v>WorldCat Record</v>
      </c>
      <c r="AX3885" s="3" t="s">
        <v>37592</v>
      </c>
      <c r="AY3885" s="3" t="s">
        <v>37593</v>
      </c>
      <c r="AZ3885" s="3" t="s">
        <v>37594</v>
      </c>
      <c r="BA3885" s="3" t="s">
        <v>37594</v>
      </c>
      <c r="BB3885" s="3" t="s">
        <v>37595</v>
      </c>
      <c r="BC3885" s="3" t="s">
        <v>102</v>
      </c>
      <c r="BD3885" s="3" t="s">
        <v>68</v>
      </c>
      <c r="BE3885" s="3" t="s">
        <v>37596</v>
      </c>
      <c r="BF3885" s="3" t="s">
        <v>37595</v>
      </c>
      <c r="BG3885" s="3" t="s">
        <v>37597</v>
      </c>
    </row>
    <row r="3886" spans="1:59" ht="58" x14ac:dyDescent="0.35">
      <c r="A3886" s="2" t="s">
        <v>89</v>
      </c>
      <c r="B3886" s="2" t="s">
        <v>90</v>
      </c>
      <c r="C3886" s="2" t="s">
        <v>37598</v>
      </c>
      <c r="D3886" s="2" t="s">
        <v>37599</v>
      </c>
      <c r="E3886" s="2" t="s">
        <v>37600</v>
      </c>
      <c r="G3886" s="3" t="s">
        <v>62</v>
      </c>
      <c r="I3886" s="3" t="s">
        <v>61</v>
      </c>
      <c r="J3886" s="3" t="s">
        <v>61</v>
      </c>
      <c r="K3886" s="3" t="s">
        <v>63</v>
      </c>
      <c r="L3886" s="2" t="s">
        <v>37601</v>
      </c>
      <c r="M3886" s="2" t="s">
        <v>37602</v>
      </c>
      <c r="N3886" s="3" t="s">
        <v>568</v>
      </c>
      <c r="O3886" s="2" t="s">
        <v>2986</v>
      </c>
      <c r="P3886" s="3" t="s">
        <v>64</v>
      </c>
      <c r="Q3886" s="2" t="s">
        <v>37603</v>
      </c>
      <c r="R3886" s="3" t="s">
        <v>34126</v>
      </c>
      <c r="S3886" s="4">
        <v>26</v>
      </c>
      <c r="T3886" s="4">
        <v>67</v>
      </c>
      <c r="V3886" s="5" t="s">
        <v>1723</v>
      </c>
      <c r="W3886" s="5" t="s">
        <v>67</v>
      </c>
      <c r="X3886" s="5" t="s">
        <v>67</v>
      </c>
      <c r="Y3886" s="4">
        <v>292</v>
      </c>
      <c r="Z3886" s="4">
        <v>20</v>
      </c>
      <c r="AA3886" s="4">
        <v>93</v>
      </c>
      <c r="AB3886" s="4">
        <v>3</v>
      </c>
      <c r="AC3886" s="4">
        <v>16</v>
      </c>
      <c r="AD3886" s="4">
        <v>82</v>
      </c>
      <c r="AE3886" s="4">
        <v>145</v>
      </c>
      <c r="AF3886" s="4">
        <v>2</v>
      </c>
      <c r="AG3886" s="4">
        <v>8</v>
      </c>
      <c r="AH3886" s="4">
        <v>71</v>
      </c>
      <c r="AI3886" s="4">
        <v>107</v>
      </c>
      <c r="AJ3886" s="4">
        <v>12</v>
      </c>
      <c r="AK3886" s="4">
        <v>25</v>
      </c>
      <c r="AL3886" s="4">
        <v>40</v>
      </c>
      <c r="AM3886" s="4">
        <v>57</v>
      </c>
      <c r="AN3886" s="4">
        <v>0</v>
      </c>
      <c r="AO3886" s="4">
        <v>0</v>
      </c>
      <c r="AP3886" s="4">
        <v>18</v>
      </c>
      <c r="AQ3886" s="4">
        <v>48</v>
      </c>
      <c r="AR3886" s="3" t="s">
        <v>62</v>
      </c>
      <c r="AS3886" s="3" t="s">
        <v>62</v>
      </c>
      <c r="AT3886" s="3" t="s">
        <v>61</v>
      </c>
      <c r="AU3886" s="6" t="str">
        <f>HYPERLINK("http://catalog.hathitrust.org/Record/005886649","HathiTrust Record")</f>
        <v>HathiTrust Record</v>
      </c>
      <c r="AV3886" s="6" t="str">
        <f>HYPERLINK("http://mcgill.on.worldcat.org/oclc/42463200","Catalog Record")</f>
        <v>Catalog Record</v>
      </c>
      <c r="AW3886" s="6" t="str">
        <f>HYPERLINK("http://www.worldcat.org/oclc/42463200","WorldCat Record")</f>
        <v>WorldCat Record</v>
      </c>
      <c r="AX3886" s="3" t="s">
        <v>37604</v>
      </c>
      <c r="AY3886" s="3" t="s">
        <v>37605</v>
      </c>
      <c r="AZ3886" s="3" t="s">
        <v>37606</v>
      </c>
      <c r="BA3886" s="3" t="s">
        <v>37606</v>
      </c>
      <c r="BB3886" s="3" t="s">
        <v>37607</v>
      </c>
      <c r="BC3886" s="3" t="s">
        <v>102</v>
      </c>
      <c r="BD3886" s="3" t="s">
        <v>68</v>
      </c>
      <c r="BE3886" s="3" t="s">
        <v>37608</v>
      </c>
      <c r="BF3886" s="3" t="s">
        <v>37607</v>
      </c>
      <c r="BG3886" s="3" t="s">
        <v>37609</v>
      </c>
    </row>
    <row r="3887" spans="1:59" ht="58" x14ac:dyDescent="0.35">
      <c r="A3887" s="2" t="s">
        <v>89</v>
      </c>
      <c r="B3887" s="2" t="s">
        <v>90</v>
      </c>
      <c r="C3887" s="2" t="s">
        <v>37598</v>
      </c>
      <c r="D3887" s="2" t="s">
        <v>37599</v>
      </c>
      <c r="E3887" s="2" t="s">
        <v>37600</v>
      </c>
      <c r="G3887" s="3" t="s">
        <v>62</v>
      </c>
      <c r="I3887" s="3" t="s">
        <v>61</v>
      </c>
      <c r="J3887" s="3" t="s">
        <v>61</v>
      </c>
      <c r="K3887" s="3" t="s">
        <v>63</v>
      </c>
      <c r="L3887" s="2" t="s">
        <v>37601</v>
      </c>
      <c r="M3887" s="2" t="s">
        <v>37602</v>
      </c>
      <c r="N3887" s="3" t="s">
        <v>568</v>
      </c>
      <c r="O3887" s="2" t="s">
        <v>2986</v>
      </c>
      <c r="P3887" s="3" t="s">
        <v>64</v>
      </c>
      <c r="Q3887" s="2" t="s">
        <v>37603</v>
      </c>
      <c r="R3887" s="3" t="s">
        <v>34126</v>
      </c>
      <c r="S3887" s="4">
        <v>17</v>
      </c>
      <c r="T3887" s="4">
        <v>67</v>
      </c>
      <c r="U3887" s="5" t="s">
        <v>37429</v>
      </c>
      <c r="V3887" s="5" t="s">
        <v>1723</v>
      </c>
      <c r="W3887" s="5" t="s">
        <v>67</v>
      </c>
      <c r="X3887" s="5" t="s">
        <v>67</v>
      </c>
      <c r="Y3887" s="4">
        <v>292</v>
      </c>
      <c r="Z3887" s="4">
        <v>20</v>
      </c>
      <c r="AA3887" s="4">
        <v>93</v>
      </c>
      <c r="AB3887" s="4">
        <v>3</v>
      </c>
      <c r="AC3887" s="4">
        <v>16</v>
      </c>
      <c r="AD3887" s="4">
        <v>82</v>
      </c>
      <c r="AE3887" s="4">
        <v>145</v>
      </c>
      <c r="AF3887" s="4">
        <v>2</v>
      </c>
      <c r="AG3887" s="4">
        <v>8</v>
      </c>
      <c r="AH3887" s="4">
        <v>71</v>
      </c>
      <c r="AI3887" s="4">
        <v>107</v>
      </c>
      <c r="AJ3887" s="4">
        <v>12</v>
      </c>
      <c r="AK3887" s="4">
        <v>25</v>
      </c>
      <c r="AL3887" s="4">
        <v>40</v>
      </c>
      <c r="AM3887" s="4">
        <v>57</v>
      </c>
      <c r="AN3887" s="4">
        <v>0</v>
      </c>
      <c r="AO3887" s="4">
        <v>0</v>
      </c>
      <c r="AP3887" s="4">
        <v>18</v>
      </c>
      <c r="AQ3887" s="4">
        <v>48</v>
      </c>
      <c r="AR3887" s="3" t="s">
        <v>62</v>
      </c>
      <c r="AS3887" s="3" t="s">
        <v>62</v>
      </c>
      <c r="AT3887" s="3" t="s">
        <v>61</v>
      </c>
      <c r="AU3887" s="6" t="str">
        <f>HYPERLINK("http://catalog.hathitrust.org/Record/005886649","HathiTrust Record")</f>
        <v>HathiTrust Record</v>
      </c>
      <c r="AV3887" s="6" t="str">
        <f>HYPERLINK("http://mcgill.on.worldcat.org/oclc/42463200","Catalog Record")</f>
        <v>Catalog Record</v>
      </c>
      <c r="AW3887" s="6" t="str">
        <f>HYPERLINK("http://www.worldcat.org/oclc/42463200","WorldCat Record")</f>
        <v>WorldCat Record</v>
      </c>
      <c r="AX3887" s="3" t="s">
        <v>37604</v>
      </c>
      <c r="AY3887" s="3" t="s">
        <v>37605</v>
      </c>
      <c r="AZ3887" s="3" t="s">
        <v>37606</v>
      </c>
      <c r="BA3887" s="3" t="s">
        <v>37606</v>
      </c>
      <c r="BB3887" s="3" t="s">
        <v>37610</v>
      </c>
      <c r="BC3887" s="3" t="s">
        <v>102</v>
      </c>
      <c r="BD3887" s="3" t="s">
        <v>68</v>
      </c>
      <c r="BE3887" s="3" t="s">
        <v>37608</v>
      </c>
      <c r="BF3887" s="3" t="s">
        <v>37610</v>
      </c>
      <c r="BG3887" s="3" t="s">
        <v>37611</v>
      </c>
    </row>
    <row r="3888" spans="1:59" ht="58" x14ac:dyDescent="0.35">
      <c r="A3888" s="2" t="s">
        <v>89</v>
      </c>
      <c r="B3888" s="2" t="s">
        <v>90</v>
      </c>
      <c r="C3888" s="2" t="s">
        <v>37612</v>
      </c>
      <c r="D3888" s="2" t="s">
        <v>37613</v>
      </c>
      <c r="E3888" s="2" t="s">
        <v>37614</v>
      </c>
      <c r="G3888" s="3" t="s">
        <v>62</v>
      </c>
      <c r="I3888" s="3" t="s">
        <v>62</v>
      </c>
      <c r="J3888" s="3" t="s">
        <v>62</v>
      </c>
      <c r="K3888" s="3" t="s">
        <v>63</v>
      </c>
      <c r="L3888" s="2" t="s">
        <v>37615</v>
      </c>
      <c r="M3888" s="2" t="s">
        <v>37616</v>
      </c>
      <c r="N3888" s="3" t="s">
        <v>2975</v>
      </c>
      <c r="P3888" s="3" t="s">
        <v>64</v>
      </c>
      <c r="Q3888" s="2" t="s">
        <v>37148</v>
      </c>
      <c r="R3888" s="3" t="s">
        <v>34126</v>
      </c>
      <c r="S3888" s="4">
        <v>4</v>
      </c>
      <c r="T3888" s="4">
        <v>4</v>
      </c>
      <c r="U3888" s="5" t="s">
        <v>31569</v>
      </c>
      <c r="V3888" s="5" t="s">
        <v>31569</v>
      </c>
      <c r="W3888" s="5" t="s">
        <v>67</v>
      </c>
      <c r="X3888" s="5" t="s">
        <v>67</v>
      </c>
      <c r="Y3888" s="4">
        <v>285</v>
      </c>
      <c r="Z3888" s="4">
        <v>13</v>
      </c>
      <c r="AA3888" s="4">
        <v>13</v>
      </c>
      <c r="AB3888" s="4">
        <v>2</v>
      </c>
      <c r="AC3888" s="4">
        <v>2</v>
      </c>
      <c r="AD3888" s="4">
        <v>91</v>
      </c>
      <c r="AE3888" s="4">
        <v>91</v>
      </c>
      <c r="AF3888" s="4">
        <v>1</v>
      </c>
      <c r="AG3888" s="4">
        <v>1</v>
      </c>
      <c r="AH3888" s="4">
        <v>83</v>
      </c>
      <c r="AI3888" s="4">
        <v>83</v>
      </c>
      <c r="AJ3888" s="4">
        <v>9</v>
      </c>
      <c r="AK3888" s="4">
        <v>9</v>
      </c>
      <c r="AL3888" s="4">
        <v>48</v>
      </c>
      <c r="AM3888" s="4">
        <v>48</v>
      </c>
      <c r="AN3888" s="4">
        <v>0</v>
      </c>
      <c r="AO3888" s="4">
        <v>0</v>
      </c>
      <c r="AP3888" s="4">
        <v>11</v>
      </c>
      <c r="AQ3888" s="4">
        <v>11</v>
      </c>
      <c r="AR3888" s="3" t="s">
        <v>62</v>
      </c>
      <c r="AS3888" s="3" t="s">
        <v>62</v>
      </c>
      <c r="AT3888" s="3" t="s">
        <v>62</v>
      </c>
      <c r="AV3888" s="6" t="str">
        <f>HYPERLINK("http://mcgill.on.worldcat.org/oclc/43641154","Catalog Record")</f>
        <v>Catalog Record</v>
      </c>
      <c r="AW3888" s="6" t="str">
        <f>HYPERLINK("http://www.worldcat.org/oclc/43641154","WorldCat Record")</f>
        <v>WorldCat Record</v>
      </c>
      <c r="AX3888" s="3" t="s">
        <v>37617</v>
      </c>
      <c r="AY3888" s="3" t="s">
        <v>37618</v>
      </c>
      <c r="AZ3888" s="3" t="s">
        <v>37619</v>
      </c>
      <c r="BA3888" s="3" t="s">
        <v>37619</v>
      </c>
      <c r="BB3888" s="3" t="s">
        <v>37620</v>
      </c>
      <c r="BC3888" s="3" t="s">
        <v>102</v>
      </c>
      <c r="BD3888" s="3" t="s">
        <v>68</v>
      </c>
      <c r="BE3888" s="3" t="s">
        <v>37621</v>
      </c>
      <c r="BF3888" s="3" t="s">
        <v>37620</v>
      </c>
      <c r="BG3888" s="3" t="s">
        <v>37622</v>
      </c>
    </row>
    <row r="3889" spans="1:59" ht="58" x14ac:dyDescent="0.35">
      <c r="A3889" s="2" t="s">
        <v>59</v>
      </c>
      <c r="B3889" s="2" t="s">
        <v>60</v>
      </c>
      <c r="C3889" s="2" t="s">
        <v>37623</v>
      </c>
      <c r="D3889" s="2" t="s">
        <v>37624</v>
      </c>
      <c r="E3889" s="2" t="s">
        <v>37625</v>
      </c>
      <c r="G3889" s="3" t="s">
        <v>62</v>
      </c>
      <c r="I3889" s="3" t="s">
        <v>62</v>
      </c>
      <c r="J3889" s="3" t="s">
        <v>61</v>
      </c>
      <c r="K3889" s="3" t="s">
        <v>63</v>
      </c>
      <c r="L3889" s="2" t="s">
        <v>37626</v>
      </c>
      <c r="M3889" s="2" t="s">
        <v>37627</v>
      </c>
      <c r="N3889" s="3" t="s">
        <v>355</v>
      </c>
      <c r="P3889" s="3" t="s">
        <v>64</v>
      </c>
      <c r="R3889" s="3" t="s">
        <v>34126</v>
      </c>
      <c r="S3889" s="4">
        <v>7</v>
      </c>
      <c r="T3889" s="4">
        <v>7</v>
      </c>
      <c r="U3889" s="5" t="s">
        <v>10545</v>
      </c>
      <c r="V3889" s="5" t="s">
        <v>10545</v>
      </c>
      <c r="W3889" s="5" t="s">
        <v>67</v>
      </c>
      <c r="X3889" s="5" t="s">
        <v>67</v>
      </c>
      <c r="Y3889" s="4">
        <v>947</v>
      </c>
      <c r="Z3889" s="4">
        <v>52</v>
      </c>
      <c r="AA3889" s="4">
        <v>89</v>
      </c>
      <c r="AB3889" s="4">
        <v>2</v>
      </c>
      <c r="AC3889" s="4">
        <v>11</v>
      </c>
      <c r="AD3889" s="4">
        <v>133</v>
      </c>
      <c r="AE3889" s="4">
        <v>160</v>
      </c>
      <c r="AF3889" s="4">
        <v>0</v>
      </c>
      <c r="AG3889" s="4">
        <v>5</v>
      </c>
      <c r="AH3889" s="4">
        <v>104</v>
      </c>
      <c r="AI3889" s="4">
        <v>119</v>
      </c>
      <c r="AJ3889" s="4">
        <v>20</v>
      </c>
      <c r="AK3889" s="4">
        <v>27</v>
      </c>
      <c r="AL3889" s="4">
        <v>59</v>
      </c>
      <c r="AM3889" s="4">
        <v>61</v>
      </c>
      <c r="AN3889" s="4">
        <v>0</v>
      </c>
      <c r="AO3889" s="4">
        <v>0</v>
      </c>
      <c r="AP3889" s="4">
        <v>36</v>
      </c>
      <c r="AQ3889" s="4">
        <v>49</v>
      </c>
      <c r="AR3889" s="3" t="s">
        <v>62</v>
      </c>
      <c r="AS3889" s="3" t="s">
        <v>62</v>
      </c>
      <c r="AT3889" s="3" t="s">
        <v>62</v>
      </c>
      <c r="AV3889" s="6" t="str">
        <f>HYPERLINK("http://mcgill.on.worldcat.org/oclc/9392873","Catalog Record")</f>
        <v>Catalog Record</v>
      </c>
      <c r="AW3889" s="6" t="str">
        <f>HYPERLINK("http://www.worldcat.org/oclc/9392873","WorldCat Record")</f>
        <v>WorldCat Record</v>
      </c>
      <c r="AX3889" s="3" t="s">
        <v>37628</v>
      </c>
      <c r="AY3889" s="3" t="s">
        <v>37629</v>
      </c>
      <c r="AZ3889" s="3" t="s">
        <v>37630</v>
      </c>
      <c r="BA3889" s="3" t="s">
        <v>37630</v>
      </c>
      <c r="BB3889" s="3" t="s">
        <v>37631</v>
      </c>
      <c r="BC3889" s="3" t="s">
        <v>102</v>
      </c>
      <c r="BD3889" s="3" t="s">
        <v>68</v>
      </c>
      <c r="BE3889" s="3" t="s">
        <v>37632</v>
      </c>
      <c r="BF3889" s="3" t="s">
        <v>37631</v>
      </c>
      <c r="BG3889" s="3" t="s">
        <v>37633</v>
      </c>
    </row>
    <row r="3890" spans="1:59" ht="58" x14ac:dyDescent="0.35">
      <c r="A3890" s="2" t="s">
        <v>89</v>
      </c>
      <c r="B3890" s="2" t="s">
        <v>90</v>
      </c>
      <c r="C3890" s="2" t="s">
        <v>37634</v>
      </c>
      <c r="D3890" s="2" t="s">
        <v>37635</v>
      </c>
      <c r="E3890" s="2" t="s">
        <v>37636</v>
      </c>
      <c r="G3890" s="3" t="s">
        <v>62</v>
      </c>
      <c r="I3890" s="3" t="s">
        <v>61</v>
      </c>
      <c r="J3890" s="3" t="s">
        <v>61</v>
      </c>
      <c r="K3890" s="3" t="s">
        <v>63</v>
      </c>
      <c r="L3890" s="2" t="s">
        <v>37637</v>
      </c>
      <c r="M3890" s="2" t="s">
        <v>37638</v>
      </c>
      <c r="N3890" s="3" t="s">
        <v>1662</v>
      </c>
      <c r="O3890" s="2" t="s">
        <v>2849</v>
      </c>
      <c r="P3890" s="3" t="s">
        <v>64</v>
      </c>
      <c r="Q3890" s="2" t="s">
        <v>37639</v>
      </c>
      <c r="R3890" s="3" t="s">
        <v>34126</v>
      </c>
      <c r="S3890" s="4">
        <v>6</v>
      </c>
      <c r="T3890" s="4">
        <v>7</v>
      </c>
      <c r="U3890" s="5" t="s">
        <v>15009</v>
      </c>
      <c r="V3890" s="5" t="s">
        <v>2342</v>
      </c>
      <c r="W3890" s="5" t="s">
        <v>67</v>
      </c>
      <c r="X3890" s="5" t="s">
        <v>67</v>
      </c>
      <c r="Y3890" s="4">
        <v>1300</v>
      </c>
      <c r="Z3890" s="4">
        <v>46</v>
      </c>
      <c r="AA3890" s="4">
        <v>85</v>
      </c>
      <c r="AB3890" s="4">
        <v>4</v>
      </c>
      <c r="AC3890" s="4">
        <v>8</v>
      </c>
      <c r="AD3890" s="4">
        <v>130</v>
      </c>
      <c r="AE3890" s="4">
        <v>155</v>
      </c>
      <c r="AF3890" s="4">
        <v>1</v>
      </c>
      <c r="AG3890" s="4">
        <v>4</v>
      </c>
      <c r="AH3890" s="4">
        <v>107</v>
      </c>
      <c r="AI3890" s="4">
        <v>115</v>
      </c>
      <c r="AJ3890" s="4">
        <v>21</v>
      </c>
      <c r="AK3890" s="4">
        <v>27</v>
      </c>
      <c r="AL3890" s="4">
        <v>58</v>
      </c>
      <c r="AM3890" s="4">
        <v>62</v>
      </c>
      <c r="AN3890" s="4">
        <v>0</v>
      </c>
      <c r="AO3890" s="4">
        <v>3</v>
      </c>
      <c r="AP3890" s="4">
        <v>28</v>
      </c>
      <c r="AQ3890" s="4">
        <v>45</v>
      </c>
      <c r="AR3890" s="3" t="s">
        <v>62</v>
      </c>
      <c r="AS3890" s="3" t="s">
        <v>62</v>
      </c>
      <c r="AT3890" s="3" t="s">
        <v>61</v>
      </c>
      <c r="AU3890" s="6" t="str">
        <f>HYPERLINK("http://catalog.hathitrust.org/Record/001491580","HathiTrust Record")</f>
        <v>HathiTrust Record</v>
      </c>
      <c r="AV3890" s="6" t="str">
        <f>HYPERLINK("http://mcgill.on.worldcat.org/oclc/168989","Catalog Record")</f>
        <v>Catalog Record</v>
      </c>
      <c r="AW3890" s="6" t="str">
        <f>HYPERLINK("http://www.worldcat.org/oclc/168989","WorldCat Record")</f>
        <v>WorldCat Record</v>
      </c>
      <c r="AX3890" s="3" t="s">
        <v>37640</v>
      </c>
      <c r="AY3890" s="3" t="s">
        <v>37641</v>
      </c>
      <c r="AZ3890" s="3" t="s">
        <v>37642</v>
      </c>
      <c r="BA3890" s="3" t="s">
        <v>37642</v>
      </c>
      <c r="BB3890" s="3" t="s">
        <v>37643</v>
      </c>
      <c r="BC3890" s="3" t="s">
        <v>102</v>
      </c>
      <c r="BD3890" s="3" t="s">
        <v>68</v>
      </c>
      <c r="BE3890" s="3" t="s">
        <v>37644</v>
      </c>
      <c r="BF3890" s="3" t="s">
        <v>37643</v>
      </c>
      <c r="BG3890" s="3" t="s">
        <v>37645</v>
      </c>
    </row>
    <row r="3891" spans="1:59" ht="58" x14ac:dyDescent="0.35">
      <c r="A3891" s="2" t="s">
        <v>59</v>
      </c>
      <c r="B3891" s="2" t="s">
        <v>60</v>
      </c>
      <c r="C3891" s="2" t="s">
        <v>37634</v>
      </c>
      <c r="D3891" s="2" t="s">
        <v>37635</v>
      </c>
      <c r="E3891" s="2" t="s">
        <v>37636</v>
      </c>
      <c r="G3891" s="3" t="s">
        <v>62</v>
      </c>
      <c r="I3891" s="3" t="s">
        <v>61</v>
      </c>
      <c r="J3891" s="3" t="s">
        <v>61</v>
      </c>
      <c r="K3891" s="3" t="s">
        <v>63</v>
      </c>
      <c r="L3891" s="2" t="s">
        <v>37637</v>
      </c>
      <c r="M3891" s="2" t="s">
        <v>37638</v>
      </c>
      <c r="N3891" s="3" t="s">
        <v>1662</v>
      </c>
      <c r="O3891" s="2" t="s">
        <v>2849</v>
      </c>
      <c r="P3891" s="3" t="s">
        <v>64</v>
      </c>
      <c r="Q3891" s="2" t="s">
        <v>37639</v>
      </c>
      <c r="R3891" s="3" t="s">
        <v>34126</v>
      </c>
      <c r="S3891" s="4">
        <v>1</v>
      </c>
      <c r="T3891" s="4">
        <v>7</v>
      </c>
      <c r="U3891" s="5" t="s">
        <v>2342</v>
      </c>
      <c r="V3891" s="5" t="s">
        <v>2342</v>
      </c>
      <c r="W3891" s="5" t="s">
        <v>67</v>
      </c>
      <c r="X3891" s="5" t="s">
        <v>67</v>
      </c>
      <c r="Y3891" s="4">
        <v>1300</v>
      </c>
      <c r="Z3891" s="4">
        <v>46</v>
      </c>
      <c r="AA3891" s="4">
        <v>85</v>
      </c>
      <c r="AB3891" s="4">
        <v>4</v>
      </c>
      <c r="AC3891" s="4">
        <v>8</v>
      </c>
      <c r="AD3891" s="4">
        <v>130</v>
      </c>
      <c r="AE3891" s="4">
        <v>155</v>
      </c>
      <c r="AF3891" s="4">
        <v>1</v>
      </c>
      <c r="AG3891" s="4">
        <v>4</v>
      </c>
      <c r="AH3891" s="4">
        <v>107</v>
      </c>
      <c r="AI3891" s="4">
        <v>115</v>
      </c>
      <c r="AJ3891" s="4">
        <v>21</v>
      </c>
      <c r="AK3891" s="4">
        <v>27</v>
      </c>
      <c r="AL3891" s="4">
        <v>58</v>
      </c>
      <c r="AM3891" s="4">
        <v>62</v>
      </c>
      <c r="AN3891" s="4">
        <v>0</v>
      </c>
      <c r="AO3891" s="4">
        <v>3</v>
      </c>
      <c r="AP3891" s="4">
        <v>28</v>
      </c>
      <c r="AQ3891" s="4">
        <v>45</v>
      </c>
      <c r="AR3891" s="3" t="s">
        <v>62</v>
      </c>
      <c r="AS3891" s="3" t="s">
        <v>62</v>
      </c>
      <c r="AT3891" s="3" t="s">
        <v>61</v>
      </c>
      <c r="AU3891" s="6" t="str">
        <f>HYPERLINK("http://catalog.hathitrust.org/Record/001491580","HathiTrust Record")</f>
        <v>HathiTrust Record</v>
      </c>
      <c r="AV3891" s="6" t="str">
        <f>HYPERLINK("http://mcgill.on.worldcat.org/oclc/168989","Catalog Record")</f>
        <v>Catalog Record</v>
      </c>
      <c r="AW3891" s="6" t="str">
        <f>HYPERLINK("http://www.worldcat.org/oclc/168989","WorldCat Record")</f>
        <v>WorldCat Record</v>
      </c>
      <c r="AX3891" s="3" t="s">
        <v>37640</v>
      </c>
      <c r="AY3891" s="3" t="s">
        <v>37641</v>
      </c>
      <c r="AZ3891" s="3" t="s">
        <v>37642</v>
      </c>
      <c r="BA3891" s="3" t="s">
        <v>37642</v>
      </c>
      <c r="BB3891" s="3" t="s">
        <v>37646</v>
      </c>
      <c r="BC3891" s="3" t="s">
        <v>102</v>
      </c>
      <c r="BD3891" s="3" t="s">
        <v>68</v>
      </c>
      <c r="BE3891" s="3" t="s">
        <v>37644</v>
      </c>
      <c r="BF3891" s="3" t="s">
        <v>37646</v>
      </c>
      <c r="BG3891" s="3" t="s">
        <v>37647</v>
      </c>
    </row>
    <row r="3892" spans="1:59" ht="58" x14ac:dyDescent="0.35">
      <c r="A3892" s="2" t="s">
        <v>59</v>
      </c>
      <c r="B3892" s="2" t="s">
        <v>60</v>
      </c>
      <c r="C3892" s="2" t="s">
        <v>37648</v>
      </c>
      <c r="D3892" s="2" t="s">
        <v>37649</v>
      </c>
      <c r="E3892" s="2" t="s">
        <v>37650</v>
      </c>
      <c r="G3892" s="3" t="s">
        <v>62</v>
      </c>
      <c r="I3892" s="3" t="s">
        <v>61</v>
      </c>
      <c r="J3892" s="3" t="s">
        <v>61</v>
      </c>
      <c r="K3892" s="3" t="s">
        <v>63</v>
      </c>
      <c r="L3892" s="2" t="s">
        <v>37637</v>
      </c>
      <c r="M3892" s="2" t="s">
        <v>37651</v>
      </c>
      <c r="N3892" s="3" t="s">
        <v>2305</v>
      </c>
      <c r="O3892" s="2" t="s">
        <v>2849</v>
      </c>
      <c r="P3892" s="3" t="s">
        <v>64</v>
      </c>
      <c r="Q3892" s="2" t="s">
        <v>37652</v>
      </c>
      <c r="R3892" s="3" t="s">
        <v>34126</v>
      </c>
      <c r="S3892" s="4">
        <v>3</v>
      </c>
      <c r="T3892" s="4">
        <v>9</v>
      </c>
      <c r="U3892" s="5" t="s">
        <v>1686</v>
      </c>
      <c r="V3892" s="5" t="s">
        <v>1686</v>
      </c>
      <c r="W3892" s="5" t="s">
        <v>67</v>
      </c>
      <c r="X3892" s="5" t="s">
        <v>67</v>
      </c>
      <c r="Y3892" s="4">
        <v>28</v>
      </c>
      <c r="Z3892" s="4">
        <v>13</v>
      </c>
      <c r="AA3892" s="4">
        <v>85</v>
      </c>
      <c r="AB3892" s="4">
        <v>3</v>
      </c>
      <c r="AC3892" s="4">
        <v>8</v>
      </c>
      <c r="AD3892" s="4">
        <v>8</v>
      </c>
      <c r="AE3892" s="4">
        <v>155</v>
      </c>
      <c r="AF3892" s="4">
        <v>1</v>
      </c>
      <c r="AG3892" s="4">
        <v>4</v>
      </c>
      <c r="AH3892" s="4">
        <v>5</v>
      </c>
      <c r="AI3892" s="4">
        <v>115</v>
      </c>
      <c r="AJ3892" s="4">
        <v>3</v>
      </c>
      <c r="AK3892" s="4">
        <v>27</v>
      </c>
      <c r="AL3892" s="4">
        <v>3</v>
      </c>
      <c r="AM3892" s="4">
        <v>62</v>
      </c>
      <c r="AN3892" s="4">
        <v>0</v>
      </c>
      <c r="AO3892" s="4">
        <v>3</v>
      </c>
      <c r="AP3892" s="4">
        <v>6</v>
      </c>
      <c r="AQ3892" s="4">
        <v>45</v>
      </c>
      <c r="AR3892" s="3" t="s">
        <v>62</v>
      </c>
      <c r="AS3892" s="3" t="s">
        <v>62</v>
      </c>
      <c r="AT3892" s="3" t="s">
        <v>61</v>
      </c>
      <c r="AU3892" s="6" t="str">
        <f>HYPERLINK("http://catalog.hathitrust.org/Record/001491580","HathiTrust Record")</f>
        <v>HathiTrust Record</v>
      </c>
      <c r="AV3892" s="6" t="str">
        <f>HYPERLINK("http://mcgill.on.worldcat.org/oclc/316853716","Catalog Record")</f>
        <v>Catalog Record</v>
      </c>
      <c r="AW3892" s="6" t="str">
        <f>HYPERLINK("http://www.worldcat.org/oclc/316853716","WorldCat Record")</f>
        <v>WorldCat Record</v>
      </c>
      <c r="AX3892" s="3" t="s">
        <v>37640</v>
      </c>
      <c r="AY3892" s="3" t="s">
        <v>37653</v>
      </c>
      <c r="AZ3892" s="3" t="s">
        <v>37654</v>
      </c>
      <c r="BA3892" s="3" t="s">
        <v>37654</v>
      </c>
      <c r="BB3892" s="3" t="s">
        <v>37655</v>
      </c>
      <c r="BC3892" s="3" t="s">
        <v>102</v>
      </c>
      <c r="BD3892" s="3" t="s">
        <v>68</v>
      </c>
      <c r="BE3892" s="3" t="s">
        <v>37644</v>
      </c>
      <c r="BF3892" s="3" t="s">
        <v>37655</v>
      </c>
      <c r="BG3892" s="3" t="s">
        <v>37656</v>
      </c>
    </row>
    <row r="3893" spans="1:59" ht="58" x14ac:dyDescent="0.35">
      <c r="A3893" s="2" t="s">
        <v>89</v>
      </c>
      <c r="B3893" s="2" t="s">
        <v>90</v>
      </c>
      <c r="C3893" s="2" t="s">
        <v>37648</v>
      </c>
      <c r="D3893" s="2" t="s">
        <v>37649</v>
      </c>
      <c r="E3893" s="2" t="s">
        <v>37650</v>
      </c>
      <c r="G3893" s="3" t="s">
        <v>62</v>
      </c>
      <c r="I3893" s="3" t="s">
        <v>61</v>
      </c>
      <c r="J3893" s="3" t="s">
        <v>61</v>
      </c>
      <c r="K3893" s="3" t="s">
        <v>63</v>
      </c>
      <c r="L3893" s="2" t="s">
        <v>37637</v>
      </c>
      <c r="M3893" s="2" t="s">
        <v>37651</v>
      </c>
      <c r="N3893" s="3" t="s">
        <v>2305</v>
      </c>
      <c r="O3893" s="2" t="s">
        <v>2849</v>
      </c>
      <c r="P3893" s="3" t="s">
        <v>64</v>
      </c>
      <c r="Q3893" s="2" t="s">
        <v>37652</v>
      </c>
      <c r="R3893" s="3" t="s">
        <v>34126</v>
      </c>
      <c r="S3893" s="4">
        <v>6</v>
      </c>
      <c r="T3893" s="4">
        <v>9</v>
      </c>
      <c r="U3893" s="5" t="s">
        <v>37657</v>
      </c>
      <c r="V3893" s="5" t="s">
        <v>1686</v>
      </c>
      <c r="W3893" s="5" t="s">
        <v>67</v>
      </c>
      <c r="X3893" s="5" t="s">
        <v>67</v>
      </c>
      <c r="Y3893" s="4">
        <v>28</v>
      </c>
      <c r="Z3893" s="4">
        <v>13</v>
      </c>
      <c r="AA3893" s="4">
        <v>85</v>
      </c>
      <c r="AB3893" s="4">
        <v>3</v>
      </c>
      <c r="AC3893" s="4">
        <v>8</v>
      </c>
      <c r="AD3893" s="4">
        <v>8</v>
      </c>
      <c r="AE3893" s="4">
        <v>155</v>
      </c>
      <c r="AF3893" s="4">
        <v>1</v>
      </c>
      <c r="AG3893" s="4">
        <v>4</v>
      </c>
      <c r="AH3893" s="4">
        <v>5</v>
      </c>
      <c r="AI3893" s="4">
        <v>115</v>
      </c>
      <c r="AJ3893" s="4">
        <v>3</v>
      </c>
      <c r="AK3893" s="4">
        <v>27</v>
      </c>
      <c r="AL3893" s="4">
        <v>3</v>
      </c>
      <c r="AM3893" s="4">
        <v>62</v>
      </c>
      <c r="AN3893" s="4">
        <v>0</v>
      </c>
      <c r="AO3893" s="4">
        <v>3</v>
      </c>
      <c r="AP3893" s="4">
        <v>6</v>
      </c>
      <c r="AQ3893" s="4">
        <v>45</v>
      </c>
      <c r="AR3893" s="3" t="s">
        <v>62</v>
      </c>
      <c r="AS3893" s="3" t="s">
        <v>62</v>
      </c>
      <c r="AT3893" s="3" t="s">
        <v>61</v>
      </c>
      <c r="AU3893" s="6" t="str">
        <f>HYPERLINK("http://catalog.hathitrust.org/Record/001491580","HathiTrust Record")</f>
        <v>HathiTrust Record</v>
      </c>
      <c r="AV3893" s="6" t="str">
        <f>HYPERLINK("http://mcgill.on.worldcat.org/oclc/316853716","Catalog Record")</f>
        <v>Catalog Record</v>
      </c>
      <c r="AW3893" s="6" t="str">
        <f>HYPERLINK("http://www.worldcat.org/oclc/316853716","WorldCat Record")</f>
        <v>WorldCat Record</v>
      </c>
      <c r="AX3893" s="3" t="s">
        <v>37640</v>
      </c>
      <c r="AY3893" s="3" t="s">
        <v>37653</v>
      </c>
      <c r="AZ3893" s="3" t="s">
        <v>37654</v>
      </c>
      <c r="BA3893" s="3" t="s">
        <v>37654</v>
      </c>
      <c r="BB3893" s="3" t="s">
        <v>37658</v>
      </c>
      <c r="BC3893" s="3" t="s">
        <v>102</v>
      </c>
      <c r="BD3893" s="3" t="s">
        <v>68</v>
      </c>
      <c r="BE3893" s="3" t="s">
        <v>37644</v>
      </c>
      <c r="BF3893" s="3" t="s">
        <v>37658</v>
      </c>
      <c r="BG3893" s="3" t="s">
        <v>37659</v>
      </c>
    </row>
    <row r="3894" spans="1:59" ht="58" x14ac:dyDescent="0.35">
      <c r="A3894" s="2" t="s">
        <v>59</v>
      </c>
      <c r="B3894" s="2" t="s">
        <v>60</v>
      </c>
      <c r="C3894" s="2" t="s">
        <v>37660</v>
      </c>
      <c r="D3894" s="2" t="s">
        <v>37661</v>
      </c>
      <c r="E3894" s="2" t="s">
        <v>37662</v>
      </c>
      <c r="G3894" s="3" t="s">
        <v>62</v>
      </c>
      <c r="I3894" s="3" t="s">
        <v>62</v>
      </c>
      <c r="J3894" s="3" t="s">
        <v>62</v>
      </c>
      <c r="K3894" s="3" t="s">
        <v>63</v>
      </c>
      <c r="L3894" s="2" t="s">
        <v>37663</v>
      </c>
      <c r="M3894" s="2" t="s">
        <v>37664</v>
      </c>
      <c r="N3894" s="3" t="s">
        <v>25335</v>
      </c>
      <c r="P3894" s="3" t="s">
        <v>64</v>
      </c>
      <c r="R3894" s="3" t="s">
        <v>34126</v>
      </c>
      <c r="S3894" s="4">
        <v>4</v>
      </c>
      <c r="T3894" s="4">
        <v>4</v>
      </c>
      <c r="U3894" s="5" t="s">
        <v>2342</v>
      </c>
      <c r="V3894" s="5" t="s">
        <v>2342</v>
      </c>
      <c r="W3894" s="5" t="s">
        <v>67</v>
      </c>
      <c r="X3894" s="5" t="s">
        <v>67</v>
      </c>
      <c r="Y3894" s="4">
        <v>61</v>
      </c>
      <c r="Z3894" s="4">
        <v>3</v>
      </c>
      <c r="AA3894" s="4">
        <v>6</v>
      </c>
      <c r="AB3894" s="4">
        <v>1</v>
      </c>
      <c r="AC3894" s="4">
        <v>1</v>
      </c>
      <c r="AD3894" s="4">
        <v>9</v>
      </c>
      <c r="AE3894" s="4">
        <v>22</v>
      </c>
      <c r="AF3894" s="4">
        <v>0</v>
      </c>
      <c r="AG3894" s="4">
        <v>0</v>
      </c>
      <c r="AH3894" s="4">
        <v>9</v>
      </c>
      <c r="AI3894" s="4">
        <v>22</v>
      </c>
      <c r="AJ3894" s="4">
        <v>1</v>
      </c>
      <c r="AK3894" s="4">
        <v>3</v>
      </c>
      <c r="AL3894" s="4">
        <v>6</v>
      </c>
      <c r="AM3894" s="4">
        <v>12</v>
      </c>
      <c r="AN3894" s="4">
        <v>0</v>
      </c>
      <c r="AO3894" s="4">
        <v>0</v>
      </c>
      <c r="AP3894" s="4">
        <v>1</v>
      </c>
      <c r="AQ3894" s="4">
        <v>3</v>
      </c>
      <c r="AR3894" s="3" t="s">
        <v>62</v>
      </c>
      <c r="AS3894" s="3" t="s">
        <v>61</v>
      </c>
      <c r="AT3894" s="3" t="s">
        <v>62</v>
      </c>
      <c r="AU3894" s="6" t="str">
        <f>HYPERLINK("http://catalog.hathitrust.org/Record/002001178","HathiTrust Record")</f>
        <v>HathiTrust Record</v>
      </c>
      <c r="AV3894" s="6" t="str">
        <f>HYPERLINK("http://mcgill.on.worldcat.org/oclc/4219713","Catalog Record")</f>
        <v>Catalog Record</v>
      </c>
      <c r="AW3894" s="6" t="str">
        <f>HYPERLINK("http://www.worldcat.org/oclc/4219713","WorldCat Record")</f>
        <v>WorldCat Record</v>
      </c>
      <c r="AX3894" s="3" t="s">
        <v>37665</v>
      </c>
      <c r="AY3894" s="3" t="s">
        <v>37666</v>
      </c>
      <c r="AZ3894" s="3" t="s">
        <v>37667</v>
      </c>
      <c r="BA3894" s="3" t="s">
        <v>37667</v>
      </c>
      <c r="BB3894" s="3" t="s">
        <v>37668</v>
      </c>
      <c r="BC3894" s="3" t="s">
        <v>102</v>
      </c>
      <c r="BD3894" s="3" t="s">
        <v>68</v>
      </c>
      <c r="BF3894" s="3" t="s">
        <v>37668</v>
      </c>
      <c r="BG3894" s="3" t="s">
        <v>37669</v>
      </c>
    </row>
    <row r="3895" spans="1:59" ht="87" x14ac:dyDescent="0.35">
      <c r="A3895" s="2" t="s">
        <v>89</v>
      </c>
      <c r="B3895" s="2" t="s">
        <v>11757</v>
      </c>
      <c r="C3895" s="2" t="s">
        <v>37670</v>
      </c>
      <c r="D3895" s="2" t="s">
        <v>37671</v>
      </c>
      <c r="E3895" s="2" t="s">
        <v>37672</v>
      </c>
      <c r="G3895" s="3" t="s">
        <v>62</v>
      </c>
      <c r="I3895" s="3" t="s">
        <v>61</v>
      </c>
      <c r="J3895" s="3" t="s">
        <v>62</v>
      </c>
      <c r="K3895" s="3" t="s">
        <v>63</v>
      </c>
      <c r="L3895" s="2" t="s">
        <v>37673</v>
      </c>
      <c r="M3895" s="2" t="s">
        <v>37674</v>
      </c>
      <c r="N3895" s="3" t="s">
        <v>684</v>
      </c>
      <c r="P3895" s="3" t="s">
        <v>64</v>
      </c>
      <c r="R3895" s="3" t="s">
        <v>34126</v>
      </c>
      <c r="S3895" s="4">
        <v>0</v>
      </c>
      <c r="T3895" s="4">
        <v>0</v>
      </c>
      <c r="W3895" s="5" t="s">
        <v>67</v>
      </c>
      <c r="X3895" s="5" t="s">
        <v>67</v>
      </c>
      <c r="Y3895" s="4">
        <v>458</v>
      </c>
      <c r="Z3895" s="4">
        <v>28</v>
      </c>
      <c r="AA3895" s="4">
        <v>29</v>
      </c>
      <c r="AB3895" s="4">
        <v>2</v>
      </c>
      <c r="AC3895" s="4">
        <v>3</v>
      </c>
      <c r="AD3895" s="4">
        <v>86</v>
      </c>
      <c r="AE3895" s="4">
        <v>87</v>
      </c>
      <c r="AF3895" s="4">
        <v>0</v>
      </c>
      <c r="AG3895" s="4">
        <v>1</v>
      </c>
      <c r="AH3895" s="4">
        <v>73</v>
      </c>
      <c r="AI3895" s="4">
        <v>74</v>
      </c>
      <c r="AJ3895" s="4">
        <v>13</v>
      </c>
      <c r="AK3895" s="4">
        <v>14</v>
      </c>
      <c r="AL3895" s="4">
        <v>37</v>
      </c>
      <c r="AM3895" s="4">
        <v>37</v>
      </c>
      <c r="AN3895" s="4">
        <v>0</v>
      </c>
      <c r="AO3895" s="4">
        <v>0</v>
      </c>
      <c r="AP3895" s="4">
        <v>20</v>
      </c>
      <c r="AQ3895" s="4">
        <v>21</v>
      </c>
      <c r="AR3895" s="3" t="s">
        <v>62</v>
      </c>
      <c r="AS3895" s="3" t="s">
        <v>62</v>
      </c>
      <c r="AT3895" s="3" t="s">
        <v>62</v>
      </c>
      <c r="AV3895" s="6" t="str">
        <f>HYPERLINK("http://mcgill.on.worldcat.org/oclc/662154682","Catalog Record")</f>
        <v>Catalog Record</v>
      </c>
      <c r="AW3895" s="6" t="str">
        <f>HYPERLINK("http://www.worldcat.org/oclc/662154682","WorldCat Record")</f>
        <v>WorldCat Record</v>
      </c>
      <c r="AX3895" s="3" t="s">
        <v>37675</v>
      </c>
      <c r="AY3895" s="3" t="s">
        <v>37676</v>
      </c>
      <c r="AZ3895" s="3" t="s">
        <v>37677</v>
      </c>
      <c r="BA3895" s="3" t="s">
        <v>37677</v>
      </c>
      <c r="BB3895" s="3" t="s">
        <v>37678</v>
      </c>
      <c r="BC3895" s="3" t="s">
        <v>102</v>
      </c>
      <c r="BD3895" s="3" t="s">
        <v>68</v>
      </c>
      <c r="BE3895" s="3" t="s">
        <v>37679</v>
      </c>
      <c r="BF3895" s="3" t="s">
        <v>37678</v>
      </c>
      <c r="BG3895" s="3" t="s">
        <v>37680</v>
      </c>
    </row>
    <row r="3896" spans="1:59" ht="87" x14ac:dyDescent="0.35">
      <c r="A3896" s="2" t="s">
        <v>89</v>
      </c>
      <c r="B3896" s="2" t="s">
        <v>90</v>
      </c>
      <c r="C3896" s="2" t="s">
        <v>37681</v>
      </c>
      <c r="D3896" s="2" t="s">
        <v>37682</v>
      </c>
      <c r="E3896" s="2" t="s">
        <v>37683</v>
      </c>
      <c r="G3896" s="3" t="s">
        <v>62</v>
      </c>
      <c r="I3896" s="3" t="s">
        <v>62</v>
      </c>
      <c r="J3896" s="3" t="s">
        <v>62</v>
      </c>
      <c r="K3896" s="3" t="s">
        <v>63</v>
      </c>
      <c r="L3896" s="2" t="s">
        <v>37684</v>
      </c>
      <c r="M3896" s="2" t="s">
        <v>37685</v>
      </c>
      <c r="N3896" s="3" t="s">
        <v>129</v>
      </c>
      <c r="O3896" s="2" t="s">
        <v>37686</v>
      </c>
      <c r="P3896" s="3" t="s">
        <v>64</v>
      </c>
      <c r="R3896" s="3" t="s">
        <v>34126</v>
      </c>
      <c r="S3896" s="4">
        <v>3</v>
      </c>
      <c r="T3896" s="4">
        <v>3</v>
      </c>
      <c r="U3896" s="5" t="s">
        <v>37687</v>
      </c>
      <c r="V3896" s="5" t="s">
        <v>37687</v>
      </c>
      <c r="W3896" s="5" t="s">
        <v>67</v>
      </c>
      <c r="X3896" s="5" t="s">
        <v>67</v>
      </c>
      <c r="Y3896" s="4">
        <v>94</v>
      </c>
      <c r="Z3896" s="4">
        <v>2</v>
      </c>
      <c r="AA3896" s="4">
        <v>59</v>
      </c>
      <c r="AB3896" s="4">
        <v>1</v>
      </c>
      <c r="AC3896" s="4">
        <v>4</v>
      </c>
      <c r="AD3896" s="4">
        <v>8</v>
      </c>
      <c r="AE3896" s="4">
        <v>90</v>
      </c>
      <c r="AF3896" s="4">
        <v>0</v>
      </c>
      <c r="AG3896" s="4">
        <v>1</v>
      </c>
      <c r="AH3896" s="4">
        <v>6</v>
      </c>
      <c r="AI3896" s="4">
        <v>77</v>
      </c>
      <c r="AJ3896" s="4">
        <v>1</v>
      </c>
      <c r="AK3896" s="4">
        <v>11</v>
      </c>
      <c r="AL3896" s="4">
        <v>4</v>
      </c>
      <c r="AM3896" s="4">
        <v>43</v>
      </c>
      <c r="AN3896" s="4">
        <v>0</v>
      </c>
      <c r="AO3896" s="4">
        <v>0</v>
      </c>
      <c r="AP3896" s="4">
        <v>1</v>
      </c>
      <c r="AQ3896" s="4">
        <v>18</v>
      </c>
      <c r="AR3896" s="3" t="s">
        <v>62</v>
      </c>
      <c r="AS3896" s="3" t="s">
        <v>62</v>
      </c>
      <c r="AT3896" s="3" t="s">
        <v>62</v>
      </c>
      <c r="AV3896" s="6" t="str">
        <f>HYPERLINK("http://mcgill.on.worldcat.org/oclc/829315964","Catalog Record")</f>
        <v>Catalog Record</v>
      </c>
      <c r="AW3896" s="6" t="str">
        <f>HYPERLINK("http://www.worldcat.org/oclc/829315964","WorldCat Record")</f>
        <v>WorldCat Record</v>
      </c>
      <c r="AX3896" s="3" t="s">
        <v>37688</v>
      </c>
      <c r="AY3896" s="3" t="s">
        <v>37689</v>
      </c>
      <c r="AZ3896" s="3" t="s">
        <v>37690</v>
      </c>
      <c r="BA3896" s="3" t="s">
        <v>37690</v>
      </c>
      <c r="BB3896" s="3" t="s">
        <v>37691</v>
      </c>
      <c r="BC3896" s="3" t="s">
        <v>102</v>
      </c>
      <c r="BD3896" s="3" t="s">
        <v>68</v>
      </c>
      <c r="BE3896" s="3" t="s">
        <v>37692</v>
      </c>
      <c r="BF3896" s="3" t="s">
        <v>37691</v>
      </c>
      <c r="BG3896" s="3" t="s">
        <v>37693</v>
      </c>
    </row>
    <row r="3897" spans="1:59" ht="58" x14ac:dyDescent="0.35">
      <c r="A3897" s="2" t="s">
        <v>59</v>
      </c>
      <c r="B3897" s="2" t="s">
        <v>60</v>
      </c>
      <c r="C3897" s="2" t="s">
        <v>37694</v>
      </c>
      <c r="D3897" s="2" t="s">
        <v>37695</v>
      </c>
      <c r="E3897" s="2" t="s">
        <v>37696</v>
      </c>
      <c r="G3897" s="3" t="s">
        <v>62</v>
      </c>
      <c r="I3897" s="3" t="s">
        <v>61</v>
      </c>
      <c r="J3897" s="3" t="s">
        <v>62</v>
      </c>
      <c r="K3897" s="3" t="s">
        <v>63</v>
      </c>
      <c r="L3897" s="2" t="s">
        <v>37697</v>
      </c>
      <c r="M3897" s="2" t="s">
        <v>37698</v>
      </c>
      <c r="N3897" s="3" t="s">
        <v>1639</v>
      </c>
      <c r="P3897" s="3" t="s">
        <v>64</v>
      </c>
      <c r="Q3897" s="2" t="s">
        <v>37699</v>
      </c>
      <c r="R3897" s="3" t="s">
        <v>34126</v>
      </c>
      <c r="S3897" s="4">
        <v>2</v>
      </c>
      <c r="T3897" s="4">
        <v>5</v>
      </c>
      <c r="U3897" s="5" t="s">
        <v>37700</v>
      </c>
      <c r="V3897" s="5" t="s">
        <v>2292</v>
      </c>
      <c r="W3897" s="5" t="s">
        <v>67</v>
      </c>
      <c r="X3897" s="5" t="s">
        <v>67</v>
      </c>
      <c r="Y3897" s="4">
        <v>543</v>
      </c>
      <c r="Z3897" s="4">
        <v>33</v>
      </c>
      <c r="AA3897" s="4">
        <v>35</v>
      </c>
      <c r="AB3897" s="4">
        <v>3</v>
      </c>
      <c r="AC3897" s="4">
        <v>5</v>
      </c>
      <c r="AD3897" s="4">
        <v>118</v>
      </c>
      <c r="AE3897" s="4">
        <v>120</v>
      </c>
      <c r="AF3897" s="4">
        <v>1</v>
      </c>
      <c r="AG3897" s="4">
        <v>3</v>
      </c>
      <c r="AH3897" s="4">
        <v>100</v>
      </c>
      <c r="AI3897" s="4">
        <v>101</v>
      </c>
      <c r="AJ3897" s="4">
        <v>20</v>
      </c>
      <c r="AK3897" s="4">
        <v>22</v>
      </c>
      <c r="AL3897" s="4">
        <v>57</v>
      </c>
      <c r="AM3897" s="4">
        <v>57</v>
      </c>
      <c r="AN3897" s="4">
        <v>0</v>
      </c>
      <c r="AO3897" s="4">
        <v>0</v>
      </c>
      <c r="AP3897" s="4">
        <v>25</v>
      </c>
      <c r="AQ3897" s="4">
        <v>26</v>
      </c>
      <c r="AR3897" s="3" t="s">
        <v>62</v>
      </c>
      <c r="AS3897" s="3" t="s">
        <v>62</v>
      </c>
      <c r="AT3897" s="3" t="s">
        <v>62</v>
      </c>
      <c r="AV3897" s="6" t="str">
        <f>HYPERLINK("http://mcgill.on.worldcat.org/oclc/76486","Catalog Record")</f>
        <v>Catalog Record</v>
      </c>
      <c r="AW3897" s="6" t="str">
        <f>HYPERLINK("http://www.worldcat.org/oclc/76486","WorldCat Record")</f>
        <v>WorldCat Record</v>
      </c>
      <c r="AX3897" s="3" t="s">
        <v>37701</v>
      </c>
      <c r="AY3897" s="3" t="s">
        <v>37702</v>
      </c>
      <c r="AZ3897" s="3" t="s">
        <v>37703</v>
      </c>
      <c r="BA3897" s="3" t="s">
        <v>37703</v>
      </c>
      <c r="BB3897" s="3" t="s">
        <v>37704</v>
      </c>
      <c r="BC3897" s="3" t="s">
        <v>102</v>
      </c>
      <c r="BD3897" s="3" t="s">
        <v>68</v>
      </c>
      <c r="BE3897" s="3" t="s">
        <v>37705</v>
      </c>
      <c r="BF3897" s="3" t="s">
        <v>37704</v>
      </c>
      <c r="BG3897" s="3" t="s">
        <v>37706</v>
      </c>
    </row>
    <row r="3898" spans="1:59" ht="58" x14ac:dyDescent="0.35">
      <c r="A3898" s="2" t="s">
        <v>89</v>
      </c>
      <c r="B3898" s="2" t="s">
        <v>90</v>
      </c>
      <c r="C3898" s="2" t="s">
        <v>37707</v>
      </c>
      <c r="D3898" s="2" t="s">
        <v>37708</v>
      </c>
      <c r="E3898" s="2" t="s">
        <v>37709</v>
      </c>
      <c r="G3898" s="3" t="s">
        <v>62</v>
      </c>
      <c r="I3898" s="3" t="s">
        <v>62</v>
      </c>
      <c r="J3898" s="3" t="s">
        <v>62</v>
      </c>
      <c r="K3898" s="3" t="s">
        <v>63</v>
      </c>
      <c r="L3898" s="2" t="s">
        <v>37710</v>
      </c>
      <c r="M3898" s="2" t="s">
        <v>7766</v>
      </c>
      <c r="N3898" s="3" t="s">
        <v>568</v>
      </c>
      <c r="P3898" s="3" t="s">
        <v>64</v>
      </c>
      <c r="R3898" s="3" t="s">
        <v>34126</v>
      </c>
      <c r="S3898" s="4">
        <v>13</v>
      </c>
      <c r="T3898" s="4">
        <v>13</v>
      </c>
      <c r="U3898" s="5" t="s">
        <v>7038</v>
      </c>
      <c r="V3898" s="5" t="s">
        <v>7038</v>
      </c>
      <c r="W3898" s="5" t="s">
        <v>67</v>
      </c>
      <c r="X3898" s="5" t="s">
        <v>67</v>
      </c>
      <c r="Y3898" s="4">
        <v>694</v>
      </c>
      <c r="Z3898" s="4">
        <v>36</v>
      </c>
      <c r="AA3898" s="4">
        <v>45</v>
      </c>
      <c r="AB3898" s="4">
        <v>1</v>
      </c>
      <c r="AC3898" s="4">
        <v>5</v>
      </c>
      <c r="AD3898" s="4">
        <v>132</v>
      </c>
      <c r="AE3898" s="4">
        <v>137</v>
      </c>
      <c r="AF3898" s="4">
        <v>0</v>
      </c>
      <c r="AG3898" s="4">
        <v>2</v>
      </c>
      <c r="AH3898" s="4">
        <v>111</v>
      </c>
      <c r="AI3898" s="4">
        <v>111</v>
      </c>
      <c r="AJ3898" s="4">
        <v>17</v>
      </c>
      <c r="AK3898" s="4">
        <v>20</v>
      </c>
      <c r="AL3898" s="4">
        <v>62</v>
      </c>
      <c r="AM3898" s="4">
        <v>62</v>
      </c>
      <c r="AN3898" s="4">
        <v>0</v>
      </c>
      <c r="AO3898" s="4">
        <v>0</v>
      </c>
      <c r="AP3898" s="4">
        <v>25</v>
      </c>
      <c r="AQ3898" s="4">
        <v>29</v>
      </c>
      <c r="AR3898" s="3" t="s">
        <v>62</v>
      </c>
      <c r="AS3898" s="3" t="s">
        <v>62</v>
      </c>
      <c r="AT3898" s="3" t="s">
        <v>62</v>
      </c>
      <c r="AV3898" s="6" t="str">
        <f>HYPERLINK("http://mcgill.on.worldcat.org/oclc/43864195","Catalog Record")</f>
        <v>Catalog Record</v>
      </c>
      <c r="AW3898" s="6" t="str">
        <f>HYPERLINK("http://www.worldcat.org/oclc/43864195","WorldCat Record")</f>
        <v>WorldCat Record</v>
      </c>
      <c r="AX3898" s="3" t="s">
        <v>37711</v>
      </c>
      <c r="AY3898" s="3" t="s">
        <v>37712</v>
      </c>
      <c r="AZ3898" s="3" t="s">
        <v>37713</v>
      </c>
      <c r="BA3898" s="3" t="s">
        <v>37713</v>
      </c>
      <c r="BB3898" s="3" t="s">
        <v>37714</v>
      </c>
      <c r="BC3898" s="3" t="s">
        <v>102</v>
      </c>
      <c r="BD3898" s="3" t="s">
        <v>68</v>
      </c>
      <c r="BE3898" s="3" t="s">
        <v>37715</v>
      </c>
      <c r="BF3898" s="3" t="s">
        <v>37714</v>
      </c>
      <c r="BG3898" s="3" t="s">
        <v>37716</v>
      </c>
    </row>
    <row r="3899" spans="1:59" ht="58" x14ac:dyDescent="0.35">
      <c r="A3899" s="2" t="s">
        <v>59</v>
      </c>
      <c r="B3899" s="2" t="s">
        <v>60</v>
      </c>
      <c r="C3899" s="2" t="s">
        <v>37717</v>
      </c>
      <c r="D3899" s="2" t="s">
        <v>37718</v>
      </c>
      <c r="E3899" s="2" t="s">
        <v>37719</v>
      </c>
      <c r="F3899" s="3" t="s">
        <v>37720</v>
      </c>
      <c r="G3899" s="3" t="s">
        <v>61</v>
      </c>
      <c r="I3899" s="3" t="s">
        <v>61</v>
      </c>
      <c r="J3899" s="3" t="s">
        <v>61</v>
      </c>
      <c r="K3899" s="3" t="s">
        <v>37721</v>
      </c>
      <c r="L3899" s="2" t="s">
        <v>34571</v>
      </c>
      <c r="M3899" s="2" t="s">
        <v>37722</v>
      </c>
      <c r="N3899" s="3" t="s">
        <v>37723</v>
      </c>
      <c r="P3899" s="3" t="s">
        <v>64</v>
      </c>
      <c r="R3899" s="3" t="s">
        <v>34126</v>
      </c>
      <c r="S3899" s="4">
        <v>0</v>
      </c>
      <c r="T3899" s="4">
        <v>2</v>
      </c>
      <c r="V3899" s="5" t="s">
        <v>32559</v>
      </c>
      <c r="W3899" s="5" t="s">
        <v>67</v>
      </c>
      <c r="X3899" s="5" t="s">
        <v>67</v>
      </c>
      <c r="Y3899" s="4">
        <v>214</v>
      </c>
      <c r="Z3899" s="4">
        <v>9</v>
      </c>
      <c r="AA3899" s="4">
        <v>118</v>
      </c>
      <c r="AB3899" s="4">
        <v>1</v>
      </c>
      <c r="AC3899" s="4">
        <v>17</v>
      </c>
      <c r="AD3899" s="4">
        <v>58</v>
      </c>
      <c r="AE3899" s="4">
        <v>171</v>
      </c>
      <c r="AF3899" s="4">
        <v>0</v>
      </c>
      <c r="AG3899" s="4">
        <v>6</v>
      </c>
      <c r="AH3899" s="4">
        <v>55</v>
      </c>
      <c r="AI3899" s="4">
        <v>121</v>
      </c>
      <c r="AJ3899" s="4">
        <v>5</v>
      </c>
      <c r="AK3899" s="4">
        <v>30</v>
      </c>
      <c r="AL3899" s="4">
        <v>34</v>
      </c>
      <c r="AM3899" s="4">
        <v>64</v>
      </c>
      <c r="AN3899" s="4">
        <v>0</v>
      </c>
      <c r="AO3899" s="4">
        <v>18</v>
      </c>
      <c r="AP3899" s="4">
        <v>6</v>
      </c>
      <c r="AQ3899" s="4">
        <v>54</v>
      </c>
      <c r="AR3899" s="3" t="s">
        <v>62</v>
      </c>
      <c r="AS3899" s="3" t="s">
        <v>61</v>
      </c>
      <c r="AT3899" s="3" t="s">
        <v>62</v>
      </c>
      <c r="AU3899" s="6" t="str">
        <f>HYPERLINK("http://catalog.hathitrust.org/Record/001491604","HathiTrust Record")</f>
        <v>HathiTrust Record</v>
      </c>
      <c r="AV3899" s="6" t="str">
        <f>HYPERLINK("http://mcgill.on.worldcat.org/oclc/1179282","Catalog Record")</f>
        <v>Catalog Record</v>
      </c>
      <c r="AW3899" s="6" t="str">
        <f>HYPERLINK("http://www.worldcat.org/oclc/1179282","WorldCat Record")</f>
        <v>WorldCat Record</v>
      </c>
      <c r="AX3899" s="3" t="s">
        <v>37724</v>
      </c>
      <c r="AY3899" s="3" t="s">
        <v>37725</v>
      </c>
      <c r="AZ3899" s="3" t="s">
        <v>37726</v>
      </c>
      <c r="BA3899" s="3" t="s">
        <v>37726</v>
      </c>
      <c r="BB3899" s="3" t="s">
        <v>37727</v>
      </c>
      <c r="BC3899" s="3" t="s">
        <v>102</v>
      </c>
      <c r="BD3899" s="3" t="s">
        <v>68</v>
      </c>
      <c r="BF3899" s="3" t="s">
        <v>37727</v>
      </c>
      <c r="BG3899" s="3" t="s">
        <v>37728</v>
      </c>
    </row>
    <row r="3900" spans="1:59" ht="58" x14ac:dyDescent="0.35">
      <c r="A3900" s="2" t="s">
        <v>59</v>
      </c>
      <c r="B3900" s="2" t="s">
        <v>60</v>
      </c>
      <c r="C3900" s="2" t="s">
        <v>37717</v>
      </c>
      <c r="D3900" s="2" t="s">
        <v>37718</v>
      </c>
      <c r="E3900" s="2" t="s">
        <v>37719</v>
      </c>
      <c r="F3900" s="3" t="s">
        <v>37729</v>
      </c>
      <c r="G3900" s="3" t="s">
        <v>61</v>
      </c>
      <c r="I3900" s="3" t="s">
        <v>61</v>
      </c>
      <c r="J3900" s="3" t="s">
        <v>61</v>
      </c>
      <c r="K3900" s="3" t="s">
        <v>37721</v>
      </c>
      <c r="L3900" s="2" t="s">
        <v>34571</v>
      </c>
      <c r="M3900" s="2" t="s">
        <v>37722</v>
      </c>
      <c r="N3900" s="3" t="s">
        <v>37723</v>
      </c>
      <c r="P3900" s="3" t="s">
        <v>64</v>
      </c>
      <c r="R3900" s="3" t="s">
        <v>34126</v>
      </c>
      <c r="S3900" s="4">
        <v>0</v>
      </c>
      <c r="T3900" s="4">
        <v>2</v>
      </c>
      <c r="V3900" s="5" t="s">
        <v>32559</v>
      </c>
      <c r="W3900" s="5" t="s">
        <v>67</v>
      </c>
      <c r="X3900" s="5" t="s">
        <v>67</v>
      </c>
      <c r="Y3900" s="4">
        <v>214</v>
      </c>
      <c r="Z3900" s="4">
        <v>9</v>
      </c>
      <c r="AA3900" s="4">
        <v>118</v>
      </c>
      <c r="AB3900" s="4">
        <v>1</v>
      </c>
      <c r="AC3900" s="4">
        <v>17</v>
      </c>
      <c r="AD3900" s="4">
        <v>58</v>
      </c>
      <c r="AE3900" s="4">
        <v>171</v>
      </c>
      <c r="AF3900" s="4">
        <v>0</v>
      </c>
      <c r="AG3900" s="4">
        <v>6</v>
      </c>
      <c r="AH3900" s="4">
        <v>55</v>
      </c>
      <c r="AI3900" s="4">
        <v>121</v>
      </c>
      <c r="AJ3900" s="4">
        <v>5</v>
      </c>
      <c r="AK3900" s="4">
        <v>30</v>
      </c>
      <c r="AL3900" s="4">
        <v>34</v>
      </c>
      <c r="AM3900" s="4">
        <v>64</v>
      </c>
      <c r="AN3900" s="4">
        <v>0</v>
      </c>
      <c r="AO3900" s="4">
        <v>18</v>
      </c>
      <c r="AP3900" s="4">
        <v>6</v>
      </c>
      <c r="AQ3900" s="4">
        <v>54</v>
      </c>
      <c r="AR3900" s="3" t="s">
        <v>62</v>
      </c>
      <c r="AS3900" s="3" t="s">
        <v>61</v>
      </c>
      <c r="AT3900" s="3" t="s">
        <v>62</v>
      </c>
      <c r="AU3900" s="6" t="str">
        <f>HYPERLINK("http://catalog.hathitrust.org/Record/001491604","HathiTrust Record")</f>
        <v>HathiTrust Record</v>
      </c>
      <c r="AV3900" s="6" t="str">
        <f>HYPERLINK("http://mcgill.on.worldcat.org/oclc/1179282","Catalog Record")</f>
        <v>Catalog Record</v>
      </c>
      <c r="AW3900" s="6" t="str">
        <f>HYPERLINK("http://www.worldcat.org/oclc/1179282","WorldCat Record")</f>
        <v>WorldCat Record</v>
      </c>
      <c r="AX3900" s="3" t="s">
        <v>37724</v>
      </c>
      <c r="AY3900" s="3" t="s">
        <v>37725</v>
      </c>
      <c r="AZ3900" s="3" t="s">
        <v>37726</v>
      </c>
      <c r="BA3900" s="3" t="s">
        <v>37726</v>
      </c>
      <c r="BB3900" s="3" t="s">
        <v>37730</v>
      </c>
      <c r="BC3900" s="3" t="s">
        <v>102</v>
      </c>
      <c r="BD3900" s="3" t="s">
        <v>68</v>
      </c>
      <c r="BF3900" s="3" t="s">
        <v>37730</v>
      </c>
      <c r="BG3900" s="3" t="s">
        <v>37731</v>
      </c>
    </row>
    <row r="3901" spans="1:59" ht="58" x14ac:dyDescent="0.35">
      <c r="A3901" s="2" t="s">
        <v>59</v>
      </c>
      <c r="B3901" s="2" t="s">
        <v>60</v>
      </c>
      <c r="C3901" s="2" t="s">
        <v>37732</v>
      </c>
      <c r="D3901" s="2" t="s">
        <v>37733</v>
      </c>
      <c r="E3901" s="2" t="s">
        <v>37734</v>
      </c>
      <c r="G3901" s="3" t="s">
        <v>62</v>
      </c>
      <c r="I3901" s="3" t="s">
        <v>62</v>
      </c>
      <c r="J3901" s="3" t="s">
        <v>61</v>
      </c>
      <c r="K3901" s="3" t="s">
        <v>63</v>
      </c>
      <c r="L3901" s="2" t="s">
        <v>34571</v>
      </c>
      <c r="M3901" s="2" t="s">
        <v>37735</v>
      </c>
      <c r="N3901" s="3" t="s">
        <v>6323</v>
      </c>
      <c r="P3901" s="3" t="s">
        <v>64</v>
      </c>
      <c r="Q3901" s="2" t="s">
        <v>37736</v>
      </c>
      <c r="R3901" s="3" t="s">
        <v>34126</v>
      </c>
      <c r="S3901" s="4">
        <v>12</v>
      </c>
      <c r="T3901" s="4">
        <v>12</v>
      </c>
      <c r="U3901" s="5" t="s">
        <v>1170</v>
      </c>
      <c r="V3901" s="5" t="s">
        <v>1170</v>
      </c>
      <c r="W3901" s="5" t="s">
        <v>67</v>
      </c>
      <c r="X3901" s="5" t="s">
        <v>67</v>
      </c>
      <c r="Y3901" s="4">
        <v>8</v>
      </c>
      <c r="Z3901" s="4">
        <v>1</v>
      </c>
      <c r="AA3901" s="4">
        <v>35</v>
      </c>
      <c r="AB3901" s="4">
        <v>1</v>
      </c>
      <c r="AC3901" s="4">
        <v>11</v>
      </c>
      <c r="AD3901" s="4">
        <v>0</v>
      </c>
      <c r="AE3901" s="4">
        <v>53</v>
      </c>
      <c r="AF3901" s="4">
        <v>0</v>
      </c>
      <c r="AG3901" s="4">
        <v>4</v>
      </c>
      <c r="AH3901" s="4">
        <v>0</v>
      </c>
      <c r="AI3901" s="4">
        <v>45</v>
      </c>
      <c r="AJ3901" s="4">
        <v>0</v>
      </c>
      <c r="AK3901" s="4">
        <v>9</v>
      </c>
      <c r="AL3901" s="4">
        <v>0</v>
      </c>
      <c r="AM3901" s="4">
        <v>27</v>
      </c>
      <c r="AN3901" s="4">
        <v>0</v>
      </c>
      <c r="AO3901" s="4">
        <v>0</v>
      </c>
      <c r="AP3901" s="4">
        <v>0</v>
      </c>
      <c r="AQ3901" s="4">
        <v>13</v>
      </c>
      <c r="AR3901" s="3" t="s">
        <v>62</v>
      </c>
      <c r="AS3901" s="3" t="s">
        <v>62</v>
      </c>
      <c r="AT3901" s="3" t="s">
        <v>62</v>
      </c>
      <c r="AV3901" s="6" t="str">
        <f>HYPERLINK("http://mcgill.on.worldcat.org/oclc/61578074","Catalog Record")</f>
        <v>Catalog Record</v>
      </c>
      <c r="AW3901" s="6" t="str">
        <f>HYPERLINK("http://www.worldcat.org/oclc/61578074","WorldCat Record")</f>
        <v>WorldCat Record</v>
      </c>
      <c r="AX3901" s="3" t="s">
        <v>37737</v>
      </c>
      <c r="AY3901" s="3" t="s">
        <v>37738</v>
      </c>
      <c r="AZ3901" s="3" t="s">
        <v>37739</v>
      </c>
      <c r="BA3901" s="3" t="s">
        <v>37739</v>
      </c>
      <c r="BB3901" s="3" t="s">
        <v>37740</v>
      </c>
      <c r="BC3901" s="3" t="s">
        <v>102</v>
      </c>
      <c r="BD3901" s="3" t="s">
        <v>6923</v>
      </c>
      <c r="BF3901" s="3" t="s">
        <v>37740</v>
      </c>
      <c r="BG3901" s="3" t="s">
        <v>37741</v>
      </c>
    </row>
    <row r="3902" spans="1:59" ht="58" x14ac:dyDescent="0.35">
      <c r="A3902" s="2" t="s">
        <v>89</v>
      </c>
      <c r="B3902" s="2" t="s">
        <v>90</v>
      </c>
      <c r="C3902" s="2" t="s">
        <v>37742</v>
      </c>
      <c r="D3902" s="2" t="s">
        <v>37743</v>
      </c>
      <c r="E3902" s="2" t="s">
        <v>37744</v>
      </c>
      <c r="G3902" s="3" t="s">
        <v>62</v>
      </c>
      <c r="I3902" s="3" t="s">
        <v>62</v>
      </c>
      <c r="J3902" s="3" t="s">
        <v>61</v>
      </c>
      <c r="K3902" s="3" t="s">
        <v>25033</v>
      </c>
      <c r="L3902" s="2" t="s">
        <v>34571</v>
      </c>
      <c r="M3902" s="2" t="s">
        <v>37745</v>
      </c>
      <c r="N3902" s="3" t="s">
        <v>1576</v>
      </c>
      <c r="P3902" s="3" t="s">
        <v>64</v>
      </c>
      <c r="R3902" s="3" t="s">
        <v>34126</v>
      </c>
      <c r="S3902" s="4">
        <v>40</v>
      </c>
      <c r="T3902" s="4">
        <v>40</v>
      </c>
      <c r="U3902" s="5" t="s">
        <v>4211</v>
      </c>
      <c r="V3902" s="5" t="s">
        <v>4211</v>
      </c>
      <c r="W3902" s="5" t="s">
        <v>67</v>
      </c>
      <c r="X3902" s="5" t="s">
        <v>67</v>
      </c>
      <c r="Y3902" s="4">
        <v>10</v>
      </c>
      <c r="Z3902" s="4">
        <v>2</v>
      </c>
      <c r="AA3902" s="4">
        <v>192</v>
      </c>
      <c r="AB3902" s="4">
        <v>1</v>
      </c>
      <c r="AC3902" s="4">
        <v>25</v>
      </c>
      <c r="AD3902" s="4">
        <v>3</v>
      </c>
      <c r="AE3902" s="4">
        <v>172</v>
      </c>
      <c r="AF3902" s="4">
        <v>0</v>
      </c>
      <c r="AG3902" s="4">
        <v>8</v>
      </c>
      <c r="AH3902" s="4">
        <v>3</v>
      </c>
      <c r="AI3902" s="4">
        <v>119</v>
      </c>
      <c r="AJ3902" s="4">
        <v>1</v>
      </c>
      <c r="AK3902" s="4">
        <v>29</v>
      </c>
      <c r="AL3902" s="4">
        <v>1</v>
      </c>
      <c r="AM3902" s="4">
        <v>66</v>
      </c>
      <c r="AN3902" s="4">
        <v>0</v>
      </c>
      <c r="AO3902" s="4">
        <v>10</v>
      </c>
      <c r="AP3902" s="4">
        <v>1</v>
      </c>
      <c r="AQ3902" s="4">
        <v>56</v>
      </c>
      <c r="AR3902" s="3" t="s">
        <v>62</v>
      </c>
      <c r="AS3902" s="3" t="s">
        <v>62</v>
      </c>
      <c r="AT3902" s="3" t="s">
        <v>62</v>
      </c>
      <c r="AV3902" s="6" t="str">
        <f>HYPERLINK("http://mcgill.on.worldcat.org/oclc/249780532","Catalog Record")</f>
        <v>Catalog Record</v>
      </c>
      <c r="AW3902" s="6" t="str">
        <f>HYPERLINK("http://www.worldcat.org/oclc/249780532","WorldCat Record")</f>
        <v>WorldCat Record</v>
      </c>
      <c r="AX3902" s="3" t="s">
        <v>37746</v>
      </c>
      <c r="AY3902" s="3" t="s">
        <v>37747</v>
      </c>
      <c r="AZ3902" s="3" t="s">
        <v>37748</v>
      </c>
      <c r="BA3902" s="3" t="s">
        <v>37748</v>
      </c>
      <c r="BB3902" s="3" t="s">
        <v>37749</v>
      </c>
      <c r="BC3902" s="3" t="s">
        <v>102</v>
      </c>
      <c r="BD3902" s="3" t="s">
        <v>231</v>
      </c>
      <c r="BF3902" s="3" t="s">
        <v>37749</v>
      </c>
      <c r="BG3902" s="3" t="s">
        <v>37750</v>
      </c>
    </row>
    <row r="3903" spans="1:59" ht="58" x14ac:dyDescent="0.35">
      <c r="A3903" s="2" t="s">
        <v>89</v>
      </c>
      <c r="B3903" s="2" t="s">
        <v>90</v>
      </c>
      <c r="C3903" s="2" t="s">
        <v>37751</v>
      </c>
      <c r="D3903" s="2" t="s">
        <v>37752</v>
      </c>
      <c r="E3903" s="2" t="s">
        <v>37753</v>
      </c>
      <c r="G3903" s="3" t="s">
        <v>62</v>
      </c>
      <c r="I3903" s="3" t="s">
        <v>62</v>
      </c>
      <c r="J3903" s="3" t="s">
        <v>61</v>
      </c>
      <c r="K3903" s="3" t="s">
        <v>63</v>
      </c>
      <c r="L3903" s="2" t="s">
        <v>34571</v>
      </c>
      <c r="M3903" s="2" t="s">
        <v>5469</v>
      </c>
      <c r="N3903" s="3" t="s">
        <v>2000</v>
      </c>
      <c r="P3903" s="3" t="s">
        <v>64</v>
      </c>
      <c r="Q3903" s="2" t="s">
        <v>37754</v>
      </c>
      <c r="R3903" s="3" t="s">
        <v>34126</v>
      </c>
      <c r="S3903" s="4">
        <v>40</v>
      </c>
      <c r="T3903" s="4">
        <v>40</v>
      </c>
      <c r="U3903" s="5" t="s">
        <v>26517</v>
      </c>
      <c r="V3903" s="5" t="s">
        <v>26517</v>
      </c>
      <c r="W3903" s="5" t="s">
        <v>67</v>
      </c>
      <c r="X3903" s="5" t="s">
        <v>67</v>
      </c>
      <c r="Y3903" s="4">
        <v>202</v>
      </c>
      <c r="Z3903" s="4">
        <v>10</v>
      </c>
      <c r="AA3903" s="4">
        <v>157</v>
      </c>
      <c r="AB3903" s="4">
        <v>1</v>
      </c>
      <c r="AC3903" s="4">
        <v>24</v>
      </c>
      <c r="AD3903" s="4">
        <v>30</v>
      </c>
      <c r="AE3903" s="4">
        <v>169</v>
      </c>
      <c r="AF3903" s="4">
        <v>0</v>
      </c>
      <c r="AG3903" s="4">
        <v>8</v>
      </c>
      <c r="AH3903" s="4">
        <v>26</v>
      </c>
      <c r="AI3903" s="4">
        <v>117</v>
      </c>
      <c r="AJ3903" s="4">
        <v>2</v>
      </c>
      <c r="AK3903" s="4">
        <v>28</v>
      </c>
      <c r="AL3903" s="4">
        <v>15</v>
      </c>
      <c r="AM3903" s="4">
        <v>63</v>
      </c>
      <c r="AN3903" s="4">
        <v>0</v>
      </c>
      <c r="AO3903" s="4">
        <v>15</v>
      </c>
      <c r="AP3903" s="4">
        <v>4</v>
      </c>
      <c r="AQ3903" s="4">
        <v>57</v>
      </c>
      <c r="AR3903" s="3" t="s">
        <v>62</v>
      </c>
      <c r="AS3903" s="3" t="s">
        <v>62</v>
      </c>
      <c r="AT3903" s="3" t="s">
        <v>62</v>
      </c>
      <c r="AV3903" s="6" t="str">
        <f>HYPERLINK("http://mcgill.on.worldcat.org/oclc/7136063","Catalog Record")</f>
        <v>Catalog Record</v>
      </c>
      <c r="AW3903" s="6" t="str">
        <f>HYPERLINK("http://www.worldcat.org/oclc/7136063","WorldCat Record")</f>
        <v>WorldCat Record</v>
      </c>
      <c r="AX3903" s="3" t="s">
        <v>37755</v>
      </c>
      <c r="AY3903" s="3" t="s">
        <v>37756</v>
      </c>
      <c r="AZ3903" s="3" t="s">
        <v>37757</v>
      </c>
      <c r="BA3903" s="3" t="s">
        <v>37757</v>
      </c>
      <c r="BB3903" s="3" t="s">
        <v>37758</v>
      </c>
      <c r="BC3903" s="3" t="s">
        <v>102</v>
      </c>
      <c r="BD3903" s="3" t="s">
        <v>68</v>
      </c>
      <c r="BE3903" s="3" t="s">
        <v>37759</v>
      </c>
      <c r="BF3903" s="3" t="s">
        <v>37758</v>
      </c>
      <c r="BG3903" s="3" t="s">
        <v>37760</v>
      </c>
    </row>
    <row r="3904" spans="1:59" ht="58" x14ac:dyDescent="0.35">
      <c r="A3904" s="2" t="s">
        <v>89</v>
      </c>
      <c r="B3904" s="2" t="s">
        <v>90</v>
      </c>
      <c r="C3904" s="2" t="s">
        <v>37761</v>
      </c>
      <c r="D3904" s="2" t="s">
        <v>37762</v>
      </c>
      <c r="E3904" s="2" t="s">
        <v>37763</v>
      </c>
      <c r="G3904" s="3" t="s">
        <v>62</v>
      </c>
      <c r="I3904" s="3" t="s">
        <v>61</v>
      </c>
      <c r="J3904" s="3" t="s">
        <v>62</v>
      </c>
      <c r="K3904" s="3" t="s">
        <v>63</v>
      </c>
      <c r="L3904" s="2" t="s">
        <v>37764</v>
      </c>
      <c r="M3904" s="2" t="s">
        <v>37765</v>
      </c>
      <c r="N3904" s="3" t="s">
        <v>1639</v>
      </c>
      <c r="P3904" s="3" t="s">
        <v>64</v>
      </c>
      <c r="R3904" s="3" t="s">
        <v>34126</v>
      </c>
      <c r="S3904" s="4">
        <v>13</v>
      </c>
      <c r="T3904" s="4">
        <v>15</v>
      </c>
      <c r="U3904" s="5" t="s">
        <v>37766</v>
      </c>
      <c r="V3904" s="5" t="s">
        <v>23761</v>
      </c>
      <c r="W3904" s="5" t="s">
        <v>67</v>
      </c>
      <c r="X3904" s="5" t="s">
        <v>67</v>
      </c>
      <c r="Y3904" s="4">
        <v>569</v>
      </c>
      <c r="Z3904" s="4">
        <v>39</v>
      </c>
      <c r="AA3904" s="4">
        <v>42</v>
      </c>
      <c r="AB3904" s="4">
        <v>3</v>
      </c>
      <c r="AC3904" s="4">
        <v>5</v>
      </c>
      <c r="AD3904" s="4">
        <v>128</v>
      </c>
      <c r="AE3904" s="4">
        <v>132</v>
      </c>
      <c r="AF3904" s="4">
        <v>1</v>
      </c>
      <c r="AG3904" s="4">
        <v>3</v>
      </c>
      <c r="AH3904" s="4">
        <v>105</v>
      </c>
      <c r="AI3904" s="4">
        <v>106</v>
      </c>
      <c r="AJ3904" s="4">
        <v>19</v>
      </c>
      <c r="AK3904" s="4">
        <v>22</v>
      </c>
      <c r="AL3904" s="4">
        <v>59</v>
      </c>
      <c r="AM3904" s="4">
        <v>59</v>
      </c>
      <c r="AN3904" s="4">
        <v>0</v>
      </c>
      <c r="AO3904" s="4">
        <v>0</v>
      </c>
      <c r="AP3904" s="4">
        <v>29</v>
      </c>
      <c r="AQ3904" s="4">
        <v>31</v>
      </c>
      <c r="AR3904" s="3" t="s">
        <v>62</v>
      </c>
      <c r="AS3904" s="3" t="s">
        <v>62</v>
      </c>
      <c r="AT3904" s="3" t="s">
        <v>61</v>
      </c>
      <c r="AU3904" s="6" t="str">
        <f>HYPERLINK("http://catalog.hathitrust.org/Record/001491620","HathiTrust Record")</f>
        <v>HathiTrust Record</v>
      </c>
      <c r="AV3904" s="6" t="str">
        <f>HYPERLINK("http://mcgill.on.worldcat.org/oclc/104500","Catalog Record")</f>
        <v>Catalog Record</v>
      </c>
      <c r="AW3904" s="6" t="str">
        <f>HYPERLINK("http://www.worldcat.org/oclc/104500","WorldCat Record")</f>
        <v>WorldCat Record</v>
      </c>
      <c r="AX3904" s="3" t="s">
        <v>37767</v>
      </c>
      <c r="AY3904" s="3" t="s">
        <v>37768</v>
      </c>
      <c r="AZ3904" s="3" t="s">
        <v>37769</v>
      </c>
      <c r="BA3904" s="3" t="s">
        <v>37769</v>
      </c>
      <c r="BB3904" s="3" t="s">
        <v>37770</v>
      </c>
      <c r="BC3904" s="3" t="s">
        <v>102</v>
      </c>
      <c r="BD3904" s="3" t="s">
        <v>68</v>
      </c>
      <c r="BE3904" s="3" t="s">
        <v>37771</v>
      </c>
      <c r="BF3904" s="3" t="s">
        <v>37770</v>
      </c>
      <c r="BG3904" s="3" t="s">
        <v>37772</v>
      </c>
    </row>
    <row r="3905" spans="1:59" ht="58" x14ac:dyDescent="0.35">
      <c r="A3905" s="2" t="s">
        <v>89</v>
      </c>
      <c r="B3905" s="2" t="s">
        <v>90</v>
      </c>
      <c r="C3905" s="2" t="s">
        <v>37773</v>
      </c>
      <c r="D3905" s="2" t="s">
        <v>37774</v>
      </c>
      <c r="E3905" s="2" t="s">
        <v>37775</v>
      </c>
      <c r="G3905" s="3" t="s">
        <v>62</v>
      </c>
      <c r="I3905" s="3" t="s">
        <v>61</v>
      </c>
      <c r="J3905" s="3" t="s">
        <v>62</v>
      </c>
      <c r="K3905" s="3" t="s">
        <v>63</v>
      </c>
      <c r="L3905" s="2" t="s">
        <v>37776</v>
      </c>
      <c r="M3905" s="2" t="s">
        <v>37777</v>
      </c>
      <c r="N3905" s="3" t="s">
        <v>1639</v>
      </c>
      <c r="O3905" s="2" t="s">
        <v>2849</v>
      </c>
      <c r="P3905" s="3" t="s">
        <v>64</v>
      </c>
      <c r="Q3905" s="2" t="s">
        <v>37778</v>
      </c>
      <c r="R3905" s="3" t="s">
        <v>34126</v>
      </c>
      <c r="S3905" s="4">
        <v>24</v>
      </c>
      <c r="T3905" s="4">
        <v>24</v>
      </c>
      <c r="U3905" s="5" t="s">
        <v>37779</v>
      </c>
      <c r="V3905" s="5" t="s">
        <v>37779</v>
      </c>
      <c r="W3905" s="5" t="s">
        <v>67</v>
      </c>
      <c r="X3905" s="5" t="s">
        <v>67</v>
      </c>
      <c r="Y3905" s="4">
        <v>978</v>
      </c>
      <c r="Z3905" s="4">
        <v>54</v>
      </c>
      <c r="AA3905" s="4">
        <v>58</v>
      </c>
      <c r="AB3905" s="4">
        <v>3</v>
      </c>
      <c r="AC3905" s="4">
        <v>5</v>
      </c>
      <c r="AD3905" s="4">
        <v>123</v>
      </c>
      <c r="AE3905" s="4">
        <v>126</v>
      </c>
      <c r="AF3905" s="4">
        <v>1</v>
      </c>
      <c r="AG3905" s="4">
        <v>3</v>
      </c>
      <c r="AH3905" s="4">
        <v>96</v>
      </c>
      <c r="AI3905" s="4">
        <v>97</v>
      </c>
      <c r="AJ3905" s="4">
        <v>21</v>
      </c>
      <c r="AK3905" s="4">
        <v>23</v>
      </c>
      <c r="AL3905" s="4">
        <v>54</v>
      </c>
      <c r="AM3905" s="4">
        <v>54</v>
      </c>
      <c r="AN3905" s="4">
        <v>0</v>
      </c>
      <c r="AO3905" s="4">
        <v>1</v>
      </c>
      <c r="AP3905" s="4">
        <v>35</v>
      </c>
      <c r="AQ3905" s="4">
        <v>38</v>
      </c>
      <c r="AR3905" s="3" t="s">
        <v>62</v>
      </c>
      <c r="AS3905" s="3" t="s">
        <v>62</v>
      </c>
      <c r="AT3905" s="3" t="s">
        <v>61</v>
      </c>
      <c r="AU3905" s="6" t="str">
        <f>HYPERLINK("http://catalog.hathitrust.org/Record/001491626","HathiTrust Record")</f>
        <v>HathiTrust Record</v>
      </c>
      <c r="AV3905" s="6" t="str">
        <f>HYPERLINK("http://mcgill.on.worldcat.org/oclc/81998","Catalog Record")</f>
        <v>Catalog Record</v>
      </c>
      <c r="AW3905" s="6" t="str">
        <f>HYPERLINK("http://www.worldcat.org/oclc/81998","WorldCat Record")</f>
        <v>WorldCat Record</v>
      </c>
      <c r="AX3905" s="3" t="s">
        <v>37780</v>
      </c>
      <c r="AY3905" s="3" t="s">
        <v>37781</v>
      </c>
      <c r="AZ3905" s="3" t="s">
        <v>37782</v>
      </c>
      <c r="BA3905" s="3" t="s">
        <v>37782</v>
      </c>
      <c r="BB3905" s="3" t="s">
        <v>37783</v>
      </c>
      <c r="BC3905" s="3" t="s">
        <v>102</v>
      </c>
      <c r="BD3905" s="3" t="s">
        <v>68</v>
      </c>
      <c r="BE3905" s="3" t="s">
        <v>37784</v>
      </c>
      <c r="BF3905" s="3" t="s">
        <v>37783</v>
      </c>
      <c r="BG3905" s="3" t="s">
        <v>37785</v>
      </c>
    </row>
    <row r="3906" spans="1:59" ht="58" x14ac:dyDescent="0.35">
      <c r="A3906" s="2" t="s">
        <v>59</v>
      </c>
      <c r="B3906" s="2" t="s">
        <v>60</v>
      </c>
      <c r="C3906" s="2" t="s">
        <v>37786</v>
      </c>
      <c r="D3906" s="2" t="s">
        <v>37787</v>
      </c>
      <c r="E3906" s="2" t="s">
        <v>37788</v>
      </c>
      <c r="G3906" s="3" t="s">
        <v>62</v>
      </c>
      <c r="I3906" s="3" t="s">
        <v>61</v>
      </c>
      <c r="J3906" s="3" t="s">
        <v>61</v>
      </c>
      <c r="K3906" s="3" t="s">
        <v>63</v>
      </c>
      <c r="L3906" s="2" t="s">
        <v>37789</v>
      </c>
      <c r="M3906" s="2" t="s">
        <v>37790</v>
      </c>
      <c r="N3906" s="3" t="s">
        <v>6410</v>
      </c>
      <c r="O3906" s="2" t="s">
        <v>37791</v>
      </c>
      <c r="P3906" s="3" t="s">
        <v>64</v>
      </c>
      <c r="Q3906" s="2" t="s">
        <v>37792</v>
      </c>
      <c r="R3906" s="3" t="s">
        <v>34126</v>
      </c>
      <c r="S3906" s="4">
        <v>1</v>
      </c>
      <c r="T3906" s="4">
        <v>15</v>
      </c>
      <c r="U3906" s="5" t="s">
        <v>37793</v>
      </c>
      <c r="V3906" s="5" t="s">
        <v>20582</v>
      </c>
      <c r="W3906" s="5" t="s">
        <v>67</v>
      </c>
      <c r="X3906" s="5" t="s">
        <v>67</v>
      </c>
      <c r="Y3906" s="4">
        <v>1034</v>
      </c>
      <c r="Z3906" s="4">
        <v>42</v>
      </c>
      <c r="AA3906" s="4">
        <v>70</v>
      </c>
      <c r="AB3906" s="4">
        <v>4</v>
      </c>
      <c r="AC3906" s="4">
        <v>6</v>
      </c>
      <c r="AD3906" s="4">
        <v>120</v>
      </c>
      <c r="AE3906" s="4">
        <v>154</v>
      </c>
      <c r="AF3906" s="4">
        <v>2</v>
      </c>
      <c r="AG3906" s="4">
        <v>4</v>
      </c>
      <c r="AH3906" s="4">
        <v>99</v>
      </c>
      <c r="AI3906" s="4">
        <v>118</v>
      </c>
      <c r="AJ3906" s="4">
        <v>15</v>
      </c>
      <c r="AK3906" s="4">
        <v>26</v>
      </c>
      <c r="AL3906" s="4">
        <v>53</v>
      </c>
      <c r="AM3906" s="4">
        <v>61</v>
      </c>
      <c r="AN3906" s="4">
        <v>0</v>
      </c>
      <c r="AO3906" s="4">
        <v>0</v>
      </c>
      <c r="AP3906" s="4">
        <v>25</v>
      </c>
      <c r="AQ3906" s="4">
        <v>42</v>
      </c>
      <c r="AR3906" s="3" t="s">
        <v>62</v>
      </c>
      <c r="AS3906" s="3" t="s">
        <v>62</v>
      </c>
      <c r="AT3906" s="3" t="s">
        <v>61</v>
      </c>
      <c r="AU3906" s="6" t="str">
        <f>HYPERLINK("http://catalog.hathitrust.org/Record/001492137","HathiTrust Record")</f>
        <v>HathiTrust Record</v>
      </c>
      <c r="AV3906" s="6" t="str">
        <f>HYPERLINK("http://mcgill.on.worldcat.org/oclc/295774","Catalog Record")</f>
        <v>Catalog Record</v>
      </c>
      <c r="AW3906" s="6" t="str">
        <f>HYPERLINK("http://www.worldcat.org/oclc/295774","WorldCat Record")</f>
        <v>WorldCat Record</v>
      </c>
      <c r="AX3906" s="3" t="s">
        <v>37794</v>
      </c>
      <c r="AY3906" s="3" t="s">
        <v>37795</v>
      </c>
      <c r="AZ3906" s="3" t="s">
        <v>37796</v>
      </c>
      <c r="BA3906" s="3" t="s">
        <v>37796</v>
      </c>
      <c r="BB3906" s="3" t="s">
        <v>37797</v>
      </c>
      <c r="BC3906" s="3" t="s">
        <v>102</v>
      </c>
      <c r="BD3906" s="3" t="s">
        <v>68</v>
      </c>
      <c r="BE3906" s="3" t="s">
        <v>37798</v>
      </c>
      <c r="BF3906" s="3" t="s">
        <v>37797</v>
      </c>
      <c r="BG3906" s="3" t="s">
        <v>37799</v>
      </c>
    </row>
    <row r="3907" spans="1:59" ht="58" x14ac:dyDescent="0.35">
      <c r="A3907" s="2" t="s">
        <v>89</v>
      </c>
      <c r="B3907" s="2" t="s">
        <v>90</v>
      </c>
      <c r="C3907" s="2" t="s">
        <v>37800</v>
      </c>
      <c r="D3907" s="2" t="s">
        <v>37801</v>
      </c>
      <c r="E3907" s="2" t="s">
        <v>37802</v>
      </c>
      <c r="G3907" s="3" t="s">
        <v>62</v>
      </c>
      <c r="I3907" s="3" t="s">
        <v>61</v>
      </c>
      <c r="J3907" s="3" t="s">
        <v>62</v>
      </c>
      <c r="K3907" s="3" t="s">
        <v>63</v>
      </c>
      <c r="M3907" s="2" t="s">
        <v>37803</v>
      </c>
      <c r="N3907" s="3" t="s">
        <v>9091</v>
      </c>
      <c r="P3907" s="3" t="s">
        <v>64</v>
      </c>
      <c r="R3907" s="3" t="s">
        <v>34126</v>
      </c>
      <c r="S3907" s="4">
        <v>1</v>
      </c>
      <c r="T3907" s="4">
        <v>1</v>
      </c>
      <c r="U3907" s="5" t="s">
        <v>37804</v>
      </c>
      <c r="V3907" s="5" t="s">
        <v>37804</v>
      </c>
      <c r="W3907" s="5" t="s">
        <v>67</v>
      </c>
      <c r="X3907" s="5" t="s">
        <v>67</v>
      </c>
      <c r="Y3907" s="4">
        <v>237</v>
      </c>
      <c r="Z3907" s="4">
        <v>21</v>
      </c>
      <c r="AA3907" s="4">
        <v>23</v>
      </c>
      <c r="AB3907" s="4">
        <v>3</v>
      </c>
      <c r="AC3907" s="4">
        <v>3</v>
      </c>
      <c r="AD3907" s="4">
        <v>74</v>
      </c>
      <c r="AE3907" s="4">
        <v>78</v>
      </c>
      <c r="AF3907" s="4">
        <v>1</v>
      </c>
      <c r="AG3907" s="4">
        <v>1</v>
      </c>
      <c r="AH3907" s="4">
        <v>63</v>
      </c>
      <c r="AI3907" s="4">
        <v>66</v>
      </c>
      <c r="AJ3907" s="4">
        <v>11</v>
      </c>
      <c r="AK3907" s="4">
        <v>12</v>
      </c>
      <c r="AL3907" s="4">
        <v>42</v>
      </c>
      <c r="AM3907" s="4">
        <v>44</v>
      </c>
      <c r="AN3907" s="4">
        <v>0</v>
      </c>
      <c r="AO3907" s="4">
        <v>0</v>
      </c>
      <c r="AP3907" s="4">
        <v>13</v>
      </c>
      <c r="AQ3907" s="4">
        <v>15</v>
      </c>
      <c r="AR3907" s="3" t="s">
        <v>62</v>
      </c>
      <c r="AS3907" s="3" t="s">
        <v>62</v>
      </c>
      <c r="AT3907" s="3" t="s">
        <v>62</v>
      </c>
      <c r="AU3907" s="6" t="str">
        <f>HYPERLINK("http://catalog.hathitrust.org/Record/001491660","HathiTrust Record")</f>
        <v>HathiTrust Record</v>
      </c>
      <c r="AV3907" s="6" t="str">
        <f>HYPERLINK("http://mcgill.on.worldcat.org/oclc/414278","Catalog Record")</f>
        <v>Catalog Record</v>
      </c>
      <c r="AW3907" s="6" t="str">
        <f>HYPERLINK("http://www.worldcat.org/oclc/414278","WorldCat Record")</f>
        <v>WorldCat Record</v>
      </c>
      <c r="AX3907" s="3" t="s">
        <v>37805</v>
      </c>
      <c r="AY3907" s="3" t="s">
        <v>37806</v>
      </c>
      <c r="AZ3907" s="3" t="s">
        <v>37807</v>
      </c>
      <c r="BA3907" s="3" t="s">
        <v>37807</v>
      </c>
      <c r="BB3907" s="3" t="s">
        <v>37808</v>
      </c>
      <c r="BC3907" s="3" t="s">
        <v>102</v>
      </c>
      <c r="BD3907" s="3" t="s">
        <v>68</v>
      </c>
      <c r="BF3907" s="3" t="s">
        <v>37808</v>
      </c>
      <c r="BG3907" s="3" t="s">
        <v>37809</v>
      </c>
    </row>
    <row r="3908" spans="1:59" ht="58" x14ac:dyDescent="0.35">
      <c r="A3908" s="2" t="s">
        <v>59</v>
      </c>
      <c r="B3908" s="2" t="s">
        <v>60</v>
      </c>
      <c r="C3908" s="2" t="s">
        <v>37800</v>
      </c>
      <c r="D3908" s="2" t="s">
        <v>37801</v>
      </c>
      <c r="E3908" s="2" t="s">
        <v>37802</v>
      </c>
      <c r="G3908" s="3" t="s">
        <v>62</v>
      </c>
      <c r="I3908" s="3" t="s">
        <v>61</v>
      </c>
      <c r="J3908" s="3" t="s">
        <v>62</v>
      </c>
      <c r="K3908" s="3" t="s">
        <v>63</v>
      </c>
      <c r="M3908" s="2" t="s">
        <v>37803</v>
      </c>
      <c r="N3908" s="3" t="s">
        <v>9091</v>
      </c>
      <c r="P3908" s="3" t="s">
        <v>64</v>
      </c>
      <c r="R3908" s="3" t="s">
        <v>34126</v>
      </c>
      <c r="S3908" s="4">
        <v>0</v>
      </c>
      <c r="T3908" s="4">
        <v>1</v>
      </c>
      <c r="V3908" s="5" t="s">
        <v>37804</v>
      </c>
      <c r="W3908" s="5" t="s">
        <v>67</v>
      </c>
      <c r="X3908" s="5" t="s">
        <v>67</v>
      </c>
      <c r="Y3908" s="4">
        <v>237</v>
      </c>
      <c r="Z3908" s="4">
        <v>21</v>
      </c>
      <c r="AA3908" s="4">
        <v>23</v>
      </c>
      <c r="AB3908" s="4">
        <v>3</v>
      </c>
      <c r="AC3908" s="4">
        <v>3</v>
      </c>
      <c r="AD3908" s="4">
        <v>74</v>
      </c>
      <c r="AE3908" s="4">
        <v>78</v>
      </c>
      <c r="AF3908" s="4">
        <v>1</v>
      </c>
      <c r="AG3908" s="4">
        <v>1</v>
      </c>
      <c r="AH3908" s="4">
        <v>63</v>
      </c>
      <c r="AI3908" s="4">
        <v>66</v>
      </c>
      <c r="AJ3908" s="4">
        <v>11</v>
      </c>
      <c r="AK3908" s="4">
        <v>12</v>
      </c>
      <c r="AL3908" s="4">
        <v>42</v>
      </c>
      <c r="AM3908" s="4">
        <v>44</v>
      </c>
      <c r="AN3908" s="4">
        <v>0</v>
      </c>
      <c r="AO3908" s="4">
        <v>0</v>
      </c>
      <c r="AP3908" s="4">
        <v>13</v>
      </c>
      <c r="AQ3908" s="4">
        <v>15</v>
      </c>
      <c r="AR3908" s="3" t="s">
        <v>62</v>
      </c>
      <c r="AS3908" s="3" t="s">
        <v>62</v>
      </c>
      <c r="AT3908" s="3" t="s">
        <v>62</v>
      </c>
      <c r="AU3908" s="6" t="str">
        <f>HYPERLINK("http://catalog.hathitrust.org/Record/001491660","HathiTrust Record")</f>
        <v>HathiTrust Record</v>
      </c>
      <c r="AV3908" s="6" t="str">
        <f>HYPERLINK("http://mcgill.on.worldcat.org/oclc/414278","Catalog Record")</f>
        <v>Catalog Record</v>
      </c>
      <c r="AW3908" s="6" t="str">
        <f>HYPERLINK("http://www.worldcat.org/oclc/414278","WorldCat Record")</f>
        <v>WorldCat Record</v>
      </c>
      <c r="AX3908" s="3" t="s">
        <v>37805</v>
      </c>
      <c r="AY3908" s="3" t="s">
        <v>37806</v>
      </c>
      <c r="AZ3908" s="3" t="s">
        <v>37807</v>
      </c>
      <c r="BA3908" s="3" t="s">
        <v>37807</v>
      </c>
      <c r="BB3908" s="3" t="s">
        <v>37810</v>
      </c>
      <c r="BC3908" s="3" t="s">
        <v>102</v>
      </c>
      <c r="BD3908" s="3" t="s">
        <v>68</v>
      </c>
      <c r="BF3908" s="3" t="s">
        <v>37810</v>
      </c>
      <c r="BG3908" s="3" t="s">
        <v>37811</v>
      </c>
    </row>
    <row r="3909" spans="1:59" ht="58" x14ac:dyDescent="0.35">
      <c r="A3909" s="2" t="s">
        <v>89</v>
      </c>
      <c r="B3909" s="2" t="s">
        <v>90</v>
      </c>
      <c r="C3909" s="2" t="s">
        <v>37812</v>
      </c>
      <c r="D3909" s="2" t="s">
        <v>37813</v>
      </c>
      <c r="E3909" s="2" t="s">
        <v>37814</v>
      </c>
      <c r="G3909" s="3" t="s">
        <v>62</v>
      </c>
      <c r="I3909" s="3" t="s">
        <v>62</v>
      </c>
      <c r="J3909" s="3" t="s">
        <v>62</v>
      </c>
      <c r="K3909" s="3" t="s">
        <v>63</v>
      </c>
      <c r="L3909" s="2" t="s">
        <v>37815</v>
      </c>
      <c r="M3909" s="2" t="s">
        <v>37816</v>
      </c>
      <c r="N3909" s="3" t="s">
        <v>129</v>
      </c>
      <c r="P3909" s="3" t="s">
        <v>85</v>
      </c>
      <c r="Q3909" s="2" t="s">
        <v>37817</v>
      </c>
      <c r="R3909" s="3" t="s">
        <v>34126</v>
      </c>
      <c r="S3909" s="4">
        <v>3</v>
      </c>
      <c r="T3909" s="4">
        <v>3</v>
      </c>
      <c r="U3909" s="5" t="s">
        <v>32111</v>
      </c>
      <c r="V3909" s="5" t="s">
        <v>32111</v>
      </c>
      <c r="W3909" s="5" t="s">
        <v>67</v>
      </c>
      <c r="X3909" s="5" t="s">
        <v>67</v>
      </c>
      <c r="Y3909" s="4">
        <v>14</v>
      </c>
      <c r="Z3909" s="4">
        <v>1</v>
      </c>
      <c r="AA3909" s="4">
        <v>2</v>
      </c>
      <c r="AB3909" s="4">
        <v>1</v>
      </c>
      <c r="AC3909" s="4">
        <v>2</v>
      </c>
      <c r="AD3909" s="4">
        <v>4</v>
      </c>
      <c r="AE3909" s="4">
        <v>5</v>
      </c>
      <c r="AF3909" s="4">
        <v>0</v>
      </c>
      <c r="AG3909" s="4">
        <v>1</v>
      </c>
      <c r="AH3909" s="4">
        <v>4</v>
      </c>
      <c r="AI3909" s="4">
        <v>4</v>
      </c>
      <c r="AJ3909" s="4">
        <v>0</v>
      </c>
      <c r="AK3909" s="4">
        <v>1</v>
      </c>
      <c r="AL3909" s="4">
        <v>3</v>
      </c>
      <c r="AM3909" s="4">
        <v>3</v>
      </c>
      <c r="AN3909" s="4">
        <v>0</v>
      </c>
      <c r="AO3909" s="4">
        <v>0</v>
      </c>
      <c r="AP3909" s="4">
        <v>0</v>
      </c>
      <c r="AQ3909" s="4">
        <v>1</v>
      </c>
      <c r="AR3909" s="3" t="s">
        <v>62</v>
      </c>
      <c r="AS3909" s="3" t="s">
        <v>62</v>
      </c>
      <c r="AT3909" s="3" t="s">
        <v>62</v>
      </c>
      <c r="AV3909" s="6" t="str">
        <f>HYPERLINK("http://mcgill.on.worldcat.org/oclc/847627862","Catalog Record")</f>
        <v>Catalog Record</v>
      </c>
      <c r="AW3909" s="6" t="str">
        <f>HYPERLINK("http://www.worldcat.org/oclc/847627862","WorldCat Record")</f>
        <v>WorldCat Record</v>
      </c>
      <c r="AX3909" s="3" t="s">
        <v>37818</v>
      </c>
      <c r="AY3909" s="3" t="s">
        <v>37819</v>
      </c>
      <c r="AZ3909" s="3" t="s">
        <v>37820</v>
      </c>
      <c r="BA3909" s="3" t="s">
        <v>37820</v>
      </c>
      <c r="BB3909" s="3" t="s">
        <v>37821</v>
      </c>
      <c r="BC3909" s="3" t="s">
        <v>102</v>
      </c>
      <c r="BD3909" s="3" t="s">
        <v>68</v>
      </c>
      <c r="BE3909" s="3" t="s">
        <v>37822</v>
      </c>
      <c r="BF3909" s="3" t="s">
        <v>37821</v>
      </c>
      <c r="BG3909" s="3" t="s">
        <v>37823</v>
      </c>
    </row>
    <row r="3910" spans="1:59" ht="58" x14ac:dyDescent="0.35">
      <c r="A3910" s="2" t="s">
        <v>89</v>
      </c>
      <c r="B3910" s="2" t="s">
        <v>90</v>
      </c>
      <c r="C3910" s="2" t="s">
        <v>37824</v>
      </c>
      <c r="D3910" s="2" t="s">
        <v>37825</v>
      </c>
      <c r="E3910" s="2" t="s">
        <v>37826</v>
      </c>
      <c r="F3910" s="3" t="s">
        <v>1428</v>
      </c>
      <c r="G3910" s="3" t="s">
        <v>61</v>
      </c>
      <c r="I3910" s="3" t="s">
        <v>61</v>
      </c>
      <c r="J3910" s="3" t="s">
        <v>62</v>
      </c>
      <c r="K3910" s="3" t="s">
        <v>63</v>
      </c>
      <c r="L3910" s="2" t="s">
        <v>37827</v>
      </c>
      <c r="M3910" s="2" t="s">
        <v>37828</v>
      </c>
      <c r="N3910" s="3" t="s">
        <v>930</v>
      </c>
      <c r="P3910" s="3" t="s">
        <v>64</v>
      </c>
      <c r="R3910" s="3" t="s">
        <v>34126</v>
      </c>
      <c r="S3910" s="4">
        <v>0</v>
      </c>
      <c r="T3910" s="4">
        <v>14</v>
      </c>
      <c r="V3910" s="5" t="s">
        <v>37829</v>
      </c>
      <c r="W3910" s="5" t="s">
        <v>67</v>
      </c>
      <c r="X3910" s="5" t="s">
        <v>67</v>
      </c>
      <c r="Y3910" s="4">
        <v>1292</v>
      </c>
      <c r="Z3910" s="4">
        <v>55</v>
      </c>
      <c r="AA3910" s="4">
        <v>72</v>
      </c>
      <c r="AB3910" s="4">
        <v>4</v>
      </c>
      <c r="AC3910" s="4">
        <v>12</v>
      </c>
      <c r="AD3910" s="4">
        <v>133</v>
      </c>
      <c r="AE3910" s="4">
        <v>143</v>
      </c>
      <c r="AF3910" s="4">
        <v>1</v>
      </c>
      <c r="AG3910" s="4">
        <v>7</v>
      </c>
      <c r="AH3910" s="4">
        <v>105</v>
      </c>
      <c r="AI3910" s="4">
        <v>108</v>
      </c>
      <c r="AJ3910" s="4">
        <v>18</v>
      </c>
      <c r="AK3910" s="4">
        <v>24</v>
      </c>
      <c r="AL3910" s="4">
        <v>57</v>
      </c>
      <c r="AM3910" s="4">
        <v>57</v>
      </c>
      <c r="AN3910" s="4">
        <v>0</v>
      </c>
      <c r="AO3910" s="4">
        <v>0</v>
      </c>
      <c r="AP3910" s="4">
        <v>34</v>
      </c>
      <c r="AQ3910" s="4">
        <v>43</v>
      </c>
      <c r="AR3910" s="3" t="s">
        <v>62</v>
      </c>
      <c r="AS3910" s="3" t="s">
        <v>62</v>
      </c>
      <c r="AT3910" s="3" t="s">
        <v>61</v>
      </c>
      <c r="AU3910" s="6" t="str">
        <f>HYPERLINK("http://catalog.hathitrust.org/Record/101726765","HathiTrust Record")</f>
        <v>HathiTrust Record</v>
      </c>
      <c r="AV3910" s="6" t="str">
        <f>HYPERLINK("http://mcgill.on.worldcat.org/oclc/505724","Catalog Record")</f>
        <v>Catalog Record</v>
      </c>
      <c r="AW3910" s="6" t="str">
        <f>HYPERLINK("http://www.worldcat.org/oclc/505724","WorldCat Record")</f>
        <v>WorldCat Record</v>
      </c>
      <c r="AX3910" s="3" t="s">
        <v>37830</v>
      </c>
      <c r="AY3910" s="3" t="s">
        <v>37831</v>
      </c>
      <c r="AZ3910" s="3" t="s">
        <v>37832</v>
      </c>
      <c r="BA3910" s="3" t="s">
        <v>37832</v>
      </c>
      <c r="BB3910" s="3" t="s">
        <v>37833</v>
      </c>
      <c r="BC3910" s="3" t="s">
        <v>102</v>
      </c>
      <c r="BD3910" s="3" t="s">
        <v>68</v>
      </c>
      <c r="BF3910" s="3" t="s">
        <v>37833</v>
      </c>
      <c r="BG3910" s="3" t="s">
        <v>37834</v>
      </c>
    </row>
    <row r="3911" spans="1:59" ht="58" x14ac:dyDescent="0.35">
      <c r="A3911" s="2" t="s">
        <v>59</v>
      </c>
      <c r="B3911" s="2" t="s">
        <v>60</v>
      </c>
      <c r="C3911" s="2" t="s">
        <v>37824</v>
      </c>
      <c r="D3911" s="2" t="s">
        <v>37825</v>
      </c>
      <c r="E3911" s="2" t="s">
        <v>37826</v>
      </c>
      <c r="F3911" s="3" t="s">
        <v>1416</v>
      </c>
      <c r="G3911" s="3" t="s">
        <v>61</v>
      </c>
      <c r="I3911" s="3" t="s">
        <v>61</v>
      </c>
      <c r="J3911" s="3" t="s">
        <v>62</v>
      </c>
      <c r="K3911" s="3" t="s">
        <v>63</v>
      </c>
      <c r="L3911" s="2" t="s">
        <v>37827</v>
      </c>
      <c r="M3911" s="2" t="s">
        <v>37828</v>
      </c>
      <c r="N3911" s="3" t="s">
        <v>930</v>
      </c>
      <c r="P3911" s="3" t="s">
        <v>64</v>
      </c>
      <c r="R3911" s="3" t="s">
        <v>34126</v>
      </c>
      <c r="S3911" s="4">
        <v>0</v>
      </c>
      <c r="T3911" s="4">
        <v>14</v>
      </c>
      <c r="V3911" s="5" t="s">
        <v>37829</v>
      </c>
      <c r="W3911" s="5" t="s">
        <v>67</v>
      </c>
      <c r="X3911" s="5" t="s">
        <v>67</v>
      </c>
      <c r="Y3911" s="4">
        <v>1292</v>
      </c>
      <c r="Z3911" s="4">
        <v>55</v>
      </c>
      <c r="AA3911" s="4">
        <v>72</v>
      </c>
      <c r="AB3911" s="4">
        <v>4</v>
      </c>
      <c r="AC3911" s="4">
        <v>12</v>
      </c>
      <c r="AD3911" s="4">
        <v>133</v>
      </c>
      <c r="AE3911" s="4">
        <v>143</v>
      </c>
      <c r="AF3911" s="4">
        <v>1</v>
      </c>
      <c r="AG3911" s="4">
        <v>7</v>
      </c>
      <c r="AH3911" s="4">
        <v>105</v>
      </c>
      <c r="AI3911" s="4">
        <v>108</v>
      </c>
      <c r="AJ3911" s="4">
        <v>18</v>
      </c>
      <c r="AK3911" s="4">
        <v>24</v>
      </c>
      <c r="AL3911" s="4">
        <v>57</v>
      </c>
      <c r="AM3911" s="4">
        <v>57</v>
      </c>
      <c r="AN3911" s="4">
        <v>0</v>
      </c>
      <c r="AO3911" s="4">
        <v>0</v>
      </c>
      <c r="AP3911" s="4">
        <v>34</v>
      </c>
      <c r="AQ3911" s="4">
        <v>43</v>
      </c>
      <c r="AR3911" s="3" t="s">
        <v>62</v>
      </c>
      <c r="AS3911" s="3" t="s">
        <v>62</v>
      </c>
      <c r="AT3911" s="3" t="s">
        <v>61</v>
      </c>
      <c r="AU3911" s="6" t="str">
        <f>HYPERLINK("http://catalog.hathitrust.org/Record/101726765","HathiTrust Record")</f>
        <v>HathiTrust Record</v>
      </c>
      <c r="AV3911" s="6" t="str">
        <f>HYPERLINK("http://mcgill.on.worldcat.org/oclc/505724","Catalog Record")</f>
        <v>Catalog Record</v>
      </c>
      <c r="AW3911" s="6" t="str">
        <f>HYPERLINK("http://www.worldcat.org/oclc/505724","WorldCat Record")</f>
        <v>WorldCat Record</v>
      </c>
      <c r="AX3911" s="3" t="s">
        <v>37830</v>
      </c>
      <c r="AY3911" s="3" t="s">
        <v>37831</v>
      </c>
      <c r="AZ3911" s="3" t="s">
        <v>37832</v>
      </c>
      <c r="BA3911" s="3" t="s">
        <v>37832</v>
      </c>
      <c r="BB3911" s="3" t="s">
        <v>37835</v>
      </c>
      <c r="BC3911" s="3" t="s">
        <v>102</v>
      </c>
      <c r="BD3911" s="3" t="s">
        <v>68</v>
      </c>
      <c r="BF3911" s="3" t="s">
        <v>37835</v>
      </c>
      <c r="BG3911" s="3" t="s">
        <v>37836</v>
      </c>
    </row>
    <row r="3912" spans="1:59" ht="58" x14ac:dyDescent="0.35">
      <c r="A3912" s="2" t="s">
        <v>59</v>
      </c>
      <c r="B3912" s="2" t="s">
        <v>60</v>
      </c>
      <c r="C3912" s="2" t="s">
        <v>37824</v>
      </c>
      <c r="D3912" s="2" t="s">
        <v>37825</v>
      </c>
      <c r="E3912" s="2" t="s">
        <v>37826</v>
      </c>
      <c r="F3912" s="3" t="s">
        <v>1428</v>
      </c>
      <c r="G3912" s="3" t="s">
        <v>61</v>
      </c>
      <c r="I3912" s="3" t="s">
        <v>61</v>
      </c>
      <c r="J3912" s="3" t="s">
        <v>62</v>
      </c>
      <c r="K3912" s="3" t="s">
        <v>63</v>
      </c>
      <c r="L3912" s="2" t="s">
        <v>37827</v>
      </c>
      <c r="M3912" s="2" t="s">
        <v>37828</v>
      </c>
      <c r="N3912" s="3" t="s">
        <v>930</v>
      </c>
      <c r="P3912" s="3" t="s">
        <v>64</v>
      </c>
      <c r="R3912" s="3" t="s">
        <v>34126</v>
      </c>
      <c r="S3912" s="4">
        <v>0</v>
      </c>
      <c r="T3912" s="4">
        <v>14</v>
      </c>
      <c r="V3912" s="5" t="s">
        <v>37829</v>
      </c>
      <c r="W3912" s="5" t="s">
        <v>67</v>
      </c>
      <c r="X3912" s="5" t="s">
        <v>67</v>
      </c>
      <c r="Y3912" s="4">
        <v>1292</v>
      </c>
      <c r="Z3912" s="4">
        <v>55</v>
      </c>
      <c r="AA3912" s="4">
        <v>72</v>
      </c>
      <c r="AB3912" s="4">
        <v>4</v>
      </c>
      <c r="AC3912" s="4">
        <v>12</v>
      </c>
      <c r="AD3912" s="4">
        <v>133</v>
      </c>
      <c r="AE3912" s="4">
        <v>143</v>
      </c>
      <c r="AF3912" s="4">
        <v>1</v>
      </c>
      <c r="AG3912" s="4">
        <v>7</v>
      </c>
      <c r="AH3912" s="4">
        <v>105</v>
      </c>
      <c r="AI3912" s="4">
        <v>108</v>
      </c>
      <c r="AJ3912" s="4">
        <v>18</v>
      </c>
      <c r="AK3912" s="4">
        <v>24</v>
      </c>
      <c r="AL3912" s="4">
        <v>57</v>
      </c>
      <c r="AM3912" s="4">
        <v>57</v>
      </c>
      <c r="AN3912" s="4">
        <v>0</v>
      </c>
      <c r="AO3912" s="4">
        <v>0</v>
      </c>
      <c r="AP3912" s="4">
        <v>34</v>
      </c>
      <c r="AQ3912" s="4">
        <v>43</v>
      </c>
      <c r="AR3912" s="3" t="s">
        <v>62</v>
      </c>
      <c r="AS3912" s="3" t="s">
        <v>62</v>
      </c>
      <c r="AT3912" s="3" t="s">
        <v>61</v>
      </c>
      <c r="AU3912" s="6" t="str">
        <f>HYPERLINK("http://catalog.hathitrust.org/Record/101726765","HathiTrust Record")</f>
        <v>HathiTrust Record</v>
      </c>
      <c r="AV3912" s="6" t="str">
        <f>HYPERLINK("http://mcgill.on.worldcat.org/oclc/505724","Catalog Record")</f>
        <v>Catalog Record</v>
      </c>
      <c r="AW3912" s="6" t="str">
        <f>HYPERLINK("http://www.worldcat.org/oclc/505724","WorldCat Record")</f>
        <v>WorldCat Record</v>
      </c>
      <c r="AX3912" s="3" t="s">
        <v>37830</v>
      </c>
      <c r="AY3912" s="3" t="s">
        <v>37831</v>
      </c>
      <c r="AZ3912" s="3" t="s">
        <v>37832</v>
      </c>
      <c r="BA3912" s="3" t="s">
        <v>37832</v>
      </c>
      <c r="BB3912" s="3" t="s">
        <v>37837</v>
      </c>
      <c r="BC3912" s="3" t="s">
        <v>102</v>
      </c>
      <c r="BD3912" s="3" t="s">
        <v>68</v>
      </c>
      <c r="BF3912" s="3" t="s">
        <v>37837</v>
      </c>
      <c r="BG3912" s="3" t="s">
        <v>37838</v>
      </c>
    </row>
    <row r="3913" spans="1:59" ht="58" x14ac:dyDescent="0.35">
      <c r="A3913" s="2" t="s">
        <v>59</v>
      </c>
      <c r="B3913" s="2" t="s">
        <v>60</v>
      </c>
      <c r="C3913" s="2" t="s">
        <v>37824</v>
      </c>
      <c r="D3913" s="2" t="s">
        <v>37825</v>
      </c>
      <c r="E3913" s="2" t="s">
        <v>37826</v>
      </c>
      <c r="F3913" s="3" t="s">
        <v>1413</v>
      </c>
      <c r="G3913" s="3" t="s">
        <v>61</v>
      </c>
      <c r="I3913" s="3" t="s">
        <v>61</v>
      </c>
      <c r="J3913" s="3" t="s">
        <v>62</v>
      </c>
      <c r="K3913" s="3" t="s">
        <v>63</v>
      </c>
      <c r="L3913" s="2" t="s">
        <v>37827</v>
      </c>
      <c r="M3913" s="2" t="s">
        <v>37828</v>
      </c>
      <c r="N3913" s="3" t="s">
        <v>930</v>
      </c>
      <c r="P3913" s="3" t="s">
        <v>64</v>
      </c>
      <c r="R3913" s="3" t="s">
        <v>34126</v>
      </c>
      <c r="S3913" s="4">
        <v>3</v>
      </c>
      <c r="T3913" s="4">
        <v>14</v>
      </c>
      <c r="U3913" s="5" t="s">
        <v>37839</v>
      </c>
      <c r="V3913" s="5" t="s">
        <v>37829</v>
      </c>
      <c r="W3913" s="5" t="s">
        <v>67</v>
      </c>
      <c r="X3913" s="5" t="s">
        <v>67</v>
      </c>
      <c r="Y3913" s="4">
        <v>1292</v>
      </c>
      <c r="Z3913" s="4">
        <v>55</v>
      </c>
      <c r="AA3913" s="4">
        <v>72</v>
      </c>
      <c r="AB3913" s="4">
        <v>4</v>
      </c>
      <c r="AC3913" s="4">
        <v>12</v>
      </c>
      <c r="AD3913" s="4">
        <v>133</v>
      </c>
      <c r="AE3913" s="4">
        <v>143</v>
      </c>
      <c r="AF3913" s="4">
        <v>1</v>
      </c>
      <c r="AG3913" s="4">
        <v>7</v>
      </c>
      <c r="AH3913" s="4">
        <v>105</v>
      </c>
      <c r="AI3913" s="4">
        <v>108</v>
      </c>
      <c r="AJ3913" s="4">
        <v>18</v>
      </c>
      <c r="AK3913" s="4">
        <v>24</v>
      </c>
      <c r="AL3913" s="4">
        <v>57</v>
      </c>
      <c r="AM3913" s="4">
        <v>57</v>
      </c>
      <c r="AN3913" s="4">
        <v>0</v>
      </c>
      <c r="AO3913" s="4">
        <v>0</v>
      </c>
      <c r="AP3913" s="4">
        <v>34</v>
      </c>
      <c r="AQ3913" s="4">
        <v>43</v>
      </c>
      <c r="AR3913" s="3" t="s">
        <v>62</v>
      </c>
      <c r="AS3913" s="3" t="s">
        <v>62</v>
      </c>
      <c r="AT3913" s="3" t="s">
        <v>61</v>
      </c>
      <c r="AU3913" s="6" t="str">
        <f>HYPERLINK("http://catalog.hathitrust.org/Record/101726765","HathiTrust Record")</f>
        <v>HathiTrust Record</v>
      </c>
      <c r="AV3913" s="6" t="str">
        <f>HYPERLINK("http://mcgill.on.worldcat.org/oclc/505724","Catalog Record")</f>
        <v>Catalog Record</v>
      </c>
      <c r="AW3913" s="6" t="str">
        <f>HYPERLINK("http://www.worldcat.org/oclc/505724","WorldCat Record")</f>
        <v>WorldCat Record</v>
      </c>
      <c r="AX3913" s="3" t="s">
        <v>37830</v>
      </c>
      <c r="AY3913" s="3" t="s">
        <v>37831</v>
      </c>
      <c r="AZ3913" s="3" t="s">
        <v>37832</v>
      </c>
      <c r="BA3913" s="3" t="s">
        <v>37832</v>
      </c>
      <c r="BB3913" s="3" t="s">
        <v>37840</v>
      </c>
      <c r="BC3913" s="3" t="s">
        <v>102</v>
      </c>
      <c r="BD3913" s="3" t="s">
        <v>68</v>
      </c>
      <c r="BF3913" s="3" t="s">
        <v>37840</v>
      </c>
      <c r="BG3913" s="3" t="s">
        <v>37841</v>
      </c>
    </row>
    <row r="3914" spans="1:59" ht="101.5" x14ac:dyDescent="0.35">
      <c r="A3914" s="2" t="s">
        <v>89</v>
      </c>
      <c r="B3914" s="2" t="s">
        <v>12301</v>
      </c>
      <c r="C3914" s="2" t="s">
        <v>37842</v>
      </c>
      <c r="D3914" s="2" t="s">
        <v>37843</v>
      </c>
      <c r="E3914" s="2" t="s">
        <v>37844</v>
      </c>
      <c r="G3914" s="3" t="s">
        <v>62</v>
      </c>
      <c r="I3914" s="3" t="s">
        <v>61</v>
      </c>
      <c r="J3914" s="3" t="s">
        <v>62</v>
      </c>
      <c r="K3914" s="3" t="s">
        <v>63</v>
      </c>
      <c r="L3914" s="2" t="s">
        <v>37845</v>
      </c>
      <c r="M3914" s="2" t="s">
        <v>31756</v>
      </c>
      <c r="N3914" s="3" t="s">
        <v>1455</v>
      </c>
      <c r="P3914" s="3" t="s">
        <v>64</v>
      </c>
      <c r="R3914" s="3" t="s">
        <v>34126</v>
      </c>
      <c r="S3914" s="4">
        <v>21</v>
      </c>
      <c r="T3914" s="4">
        <v>63</v>
      </c>
      <c r="U3914" s="5" t="s">
        <v>16073</v>
      </c>
      <c r="V3914" s="5" t="s">
        <v>16073</v>
      </c>
      <c r="W3914" s="5" t="s">
        <v>67</v>
      </c>
      <c r="X3914" s="5" t="s">
        <v>67</v>
      </c>
      <c r="Y3914" s="4">
        <v>40</v>
      </c>
      <c r="Z3914" s="4">
        <v>2</v>
      </c>
      <c r="AA3914" s="4">
        <v>5</v>
      </c>
      <c r="AB3914" s="4">
        <v>1</v>
      </c>
      <c r="AC3914" s="4">
        <v>3</v>
      </c>
      <c r="AD3914" s="4">
        <v>5</v>
      </c>
      <c r="AE3914" s="4">
        <v>6</v>
      </c>
      <c r="AF3914" s="4">
        <v>0</v>
      </c>
      <c r="AG3914" s="4">
        <v>1</v>
      </c>
      <c r="AH3914" s="4">
        <v>4</v>
      </c>
      <c r="AI3914" s="4">
        <v>5</v>
      </c>
      <c r="AJ3914" s="4">
        <v>0</v>
      </c>
      <c r="AK3914" s="4">
        <v>1</v>
      </c>
      <c r="AL3914" s="4">
        <v>4</v>
      </c>
      <c r="AM3914" s="4">
        <v>4</v>
      </c>
      <c r="AN3914" s="4">
        <v>0</v>
      </c>
      <c r="AO3914" s="4">
        <v>0</v>
      </c>
      <c r="AP3914" s="4">
        <v>0</v>
      </c>
      <c r="AQ3914" s="4">
        <v>1</v>
      </c>
      <c r="AR3914" s="3" t="s">
        <v>62</v>
      </c>
      <c r="AS3914" s="3" t="s">
        <v>62</v>
      </c>
      <c r="AT3914" s="3" t="s">
        <v>62</v>
      </c>
      <c r="AV3914" s="6" t="str">
        <f>HYPERLINK("http://mcgill.on.worldcat.org/oclc/899219187","Catalog Record")</f>
        <v>Catalog Record</v>
      </c>
      <c r="AW3914" s="6" t="str">
        <f>HYPERLINK("http://www.worldcat.org/oclc/899219187","WorldCat Record")</f>
        <v>WorldCat Record</v>
      </c>
      <c r="AX3914" s="3" t="s">
        <v>37846</v>
      </c>
      <c r="AY3914" s="3" t="s">
        <v>37847</v>
      </c>
      <c r="AZ3914" s="3" t="s">
        <v>37848</v>
      </c>
      <c r="BA3914" s="3" t="s">
        <v>37848</v>
      </c>
      <c r="BB3914" s="3" t="s">
        <v>37849</v>
      </c>
      <c r="BC3914" s="3" t="s">
        <v>102</v>
      </c>
      <c r="BD3914" s="3" t="s">
        <v>68</v>
      </c>
      <c r="BE3914" s="3" t="s">
        <v>37850</v>
      </c>
      <c r="BF3914" s="3" t="s">
        <v>37849</v>
      </c>
      <c r="BG3914" s="3" t="s">
        <v>37851</v>
      </c>
    </row>
    <row r="3915" spans="1:59" ht="101.5" x14ac:dyDescent="0.35">
      <c r="A3915" s="2" t="s">
        <v>89</v>
      </c>
      <c r="B3915" s="2" t="s">
        <v>12301</v>
      </c>
      <c r="C3915" s="2" t="s">
        <v>37842</v>
      </c>
      <c r="D3915" s="2" t="s">
        <v>37843</v>
      </c>
      <c r="E3915" s="2" t="s">
        <v>37844</v>
      </c>
      <c r="G3915" s="3" t="s">
        <v>62</v>
      </c>
      <c r="I3915" s="3" t="s">
        <v>61</v>
      </c>
      <c r="J3915" s="3" t="s">
        <v>62</v>
      </c>
      <c r="K3915" s="3" t="s">
        <v>63</v>
      </c>
      <c r="L3915" s="2" t="s">
        <v>37845</v>
      </c>
      <c r="M3915" s="2" t="s">
        <v>31756</v>
      </c>
      <c r="N3915" s="3" t="s">
        <v>1455</v>
      </c>
      <c r="P3915" s="3" t="s">
        <v>64</v>
      </c>
      <c r="R3915" s="3" t="s">
        <v>34126</v>
      </c>
      <c r="S3915" s="4">
        <v>42</v>
      </c>
      <c r="T3915" s="4">
        <v>63</v>
      </c>
      <c r="U3915" s="5" t="s">
        <v>16060</v>
      </c>
      <c r="V3915" s="5" t="s">
        <v>16073</v>
      </c>
      <c r="W3915" s="5" t="s">
        <v>67</v>
      </c>
      <c r="X3915" s="5" t="s">
        <v>67</v>
      </c>
      <c r="Y3915" s="4">
        <v>40</v>
      </c>
      <c r="Z3915" s="4">
        <v>2</v>
      </c>
      <c r="AA3915" s="4">
        <v>5</v>
      </c>
      <c r="AB3915" s="4">
        <v>1</v>
      </c>
      <c r="AC3915" s="4">
        <v>3</v>
      </c>
      <c r="AD3915" s="4">
        <v>5</v>
      </c>
      <c r="AE3915" s="4">
        <v>6</v>
      </c>
      <c r="AF3915" s="4">
        <v>0</v>
      </c>
      <c r="AG3915" s="4">
        <v>1</v>
      </c>
      <c r="AH3915" s="4">
        <v>4</v>
      </c>
      <c r="AI3915" s="4">
        <v>5</v>
      </c>
      <c r="AJ3915" s="4">
        <v>0</v>
      </c>
      <c r="AK3915" s="4">
        <v>1</v>
      </c>
      <c r="AL3915" s="4">
        <v>4</v>
      </c>
      <c r="AM3915" s="4">
        <v>4</v>
      </c>
      <c r="AN3915" s="4">
        <v>0</v>
      </c>
      <c r="AO3915" s="4">
        <v>0</v>
      </c>
      <c r="AP3915" s="4">
        <v>0</v>
      </c>
      <c r="AQ3915" s="4">
        <v>1</v>
      </c>
      <c r="AR3915" s="3" t="s">
        <v>62</v>
      </c>
      <c r="AS3915" s="3" t="s">
        <v>62</v>
      </c>
      <c r="AT3915" s="3" t="s">
        <v>62</v>
      </c>
      <c r="AV3915" s="6" t="str">
        <f>HYPERLINK("http://mcgill.on.worldcat.org/oclc/899219187","Catalog Record")</f>
        <v>Catalog Record</v>
      </c>
      <c r="AW3915" s="6" t="str">
        <f>HYPERLINK("http://www.worldcat.org/oclc/899219187","WorldCat Record")</f>
        <v>WorldCat Record</v>
      </c>
      <c r="AX3915" s="3" t="s">
        <v>37846</v>
      </c>
      <c r="AY3915" s="3" t="s">
        <v>37847</v>
      </c>
      <c r="AZ3915" s="3" t="s">
        <v>37848</v>
      </c>
      <c r="BA3915" s="3" t="s">
        <v>37848</v>
      </c>
      <c r="BB3915" s="3" t="s">
        <v>37852</v>
      </c>
      <c r="BC3915" s="3" t="s">
        <v>102</v>
      </c>
      <c r="BD3915" s="3" t="s">
        <v>68</v>
      </c>
      <c r="BE3915" s="3" t="s">
        <v>37850</v>
      </c>
      <c r="BF3915" s="3" t="s">
        <v>37852</v>
      </c>
      <c r="BG3915" s="3" t="s">
        <v>37853</v>
      </c>
    </row>
    <row r="3916" spans="1:59" ht="58" x14ac:dyDescent="0.35">
      <c r="A3916" s="2" t="s">
        <v>59</v>
      </c>
      <c r="B3916" s="2" t="s">
        <v>60</v>
      </c>
      <c r="C3916" s="2" t="s">
        <v>37854</v>
      </c>
      <c r="D3916" s="2" t="s">
        <v>37855</v>
      </c>
      <c r="E3916" s="2" t="s">
        <v>37856</v>
      </c>
      <c r="G3916" s="3" t="s">
        <v>62</v>
      </c>
      <c r="I3916" s="3" t="s">
        <v>62</v>
      </c>
      <c r="J3916" s="3" t="s">
        <v>62</v>
      </c>
      <c r="K3916" s="3" t="s">
        <v>63</v>
      </c>
      <c r="M3916" s="2" t="s">
        <v>8176</v>
      </c>
      <c r="N3916" s="3" t="s">
        <v>438</v>
      </c>
      <c r="P3916" s="3" t="s">
        <v>64</v>
      </c>
      <c r="R3916" s="3" t="s">
        <v>34126</v>
      </c>
      <c r="S3916" s="4">
        <v>14</v>
      </c>
      <c r="T3916" s="4">
        <v>14</v>
      </c>
      <c r="U3916" s="5" t="s">
        <v>6903</v>
      </c>
      <c r="V3916" s="5" t="s">
        <v>6903</v>
      </c>
      <c r="W3916" s="5" t="s">
        <v>67</v>
      </c>
      <c r="X3916" s="5" t="s">
        <v>67</v>
      </c>
      <c r="Y3916" s="4">
        <v>539</v>
      </c>
      <c r="Z3916" s="4">
        <v>36</v>
      </c>
      <c r="AA3916" s="4">
        <v>40</v>
      </c>
      <c r="AB3916" s="4">
        <v>3</v>
      </c>
      <c r="AC3916" s="4">
        <v>6</v>
      </c>
      <c r="AD3916" s="4">
        <v>124</v>
      </c>
      <c r="AE3916" s="4">
        <v>128</v>
      </c>
      <c r="AF3916" s="4">
        <v>2</v>
      </c>
      <c r="AG3916" s="4">
        <v>5</v>
      </c>
      <c r="AH3916" s="4">
        <v>105</v>
      </c>
      <c r="AI3916" s="4">
        <v>106</v>
      </c>
      <c r="AJ3916" s="4">
        <v>19</v>
      </c>
      <c r="AK3916" s="4">
        <v>22</v>
      </c>
      <c r="AL3916" s="4">
        <v>57</v>
      </c>
      <c r="AM3916" s="4">
        <v>57</v>
      </c>
      <c r="AN3916" s="4">
        <v>0</v>
      </c>
      <c r="AO3916" s="4">
        <v>0</v>
      </c>
      <c r="AP3916" s="4">
        <v>28</v>
      </c>
      <c r="AQ3916" s="4">
        <v>31</v>
      </c>
      <c r="AR3916" s="3" t="s">
        <v>62</v>
      </c>
      <c r="AS3916" s="3" t="s">
        <v>62</v>
      </c>
      <c r="AT3916" s="3" t="s">
        <v>62</v>
      </c>
      <c r="AV3916" s="6" t="str">
        <f>HYPERLINK("http://mcgill.on.worldcat.org/oclc/21560941","Catalog Record")</f>
        <v>Catalog Record</v>
      </c>
      <c r="AW3916" s="6" t="str">
        <f>HYPERLINK("http://www.worldcat.org/oclc/21560941","WorldCat Record")</f>
        <v>WorldCat Record</v>
      </c>
      <c r="AX3916" s="3" t="s">
        <v>37857</v>
      </c>
      <c r="AY3916" s="3" t="s">
        <v>37858</v>
      </c>
      <c r="AZ3916" s="3" t="s">
        <v>37859</v>
      </c>
      <c r="BA3916" s="3" t="s">
        <v>37859</v>
      </c>
      <c r="BB3916" s="3" t="s">
        <v>37860</v>
      </c>
      <c r="BC3916" s="3" t="s">
        <v>102</v>
      </c>
      <c r="BD3916" s="3" t="s">
        <v>68</v>
      </c>
      <c r="BE3916" s="3" t="s">
        <v>37861</v>
      </c>
      <c r="BF3916" s="3" t="s">
        <v>37860</v>
      </c>
      <c r="BG3916" s="3" t="s">
        <v>37862</v>
      </c>
    </row>
    <row r="3917" spans="1:59" ht="58" x14ac:dyDescent="0.35">
      <c r="A3917" s="2" t="s">
        <v>89</v>
      </c>
      <c r="B3917" s="2" t="s">
        <v>90</v>
      </c>
      <c r="C3917" s="2" t="s">
        <v>37863</v>
      </c>
      <c r="D3917" s="2" t="s">
        <v>37864</v>
      </c>
      <c r="E3917" s="2" t="s">
        <v>33942</v>
      </c>
      <c r="G3917" s="3" t="s">
        <v>62</v>
      </c>
      <c r="I3917" s="3" t="s">
        <v>62</v>
      </c>
      <c r="J3917" s="3" t="s">
        <v>61</v>
      </c>
      <c r="K3917" s="3" t="s">
        <v>63</v>
      </c>
      <c r="L3917" s="2" t="s">
        <v>37865</v>
      </c>
      <c r="M3917" s="2" t="s">
        <v>37866</v>
      </c>
      <c r="N3917" s="3" t="s">
        <v>438</v>
      </c>
      <c r="P3917" s="3" t="s">
        <v>64</v>
      </c>
      <c r="R3917" s="3" t="s">
        <v>34126</v>
      </c>
      <c r="S3917" s="4">
        <v>42</v>
      </c>
      <c r="T3917" s="4">
        <v>42</v>
      </c>
      <c r="U3917" s="5" t="s">
        <v>468</v>
      </c>
      <c r="V3917" s="5" t="s">
        <v>468</v>
      </c>
      <c r="W3917" s="5" t="s">
        <v>67</v>
      </c>
      <c r="X3917" s="5" t="s">
        <v>67</v>
      </c>
      <c r="Y3917" s="4">
        <v>63</v>
      </c>
      <c r="Z3917" s="4">
        <v>13</v>
      </c>
      <c r="AA3917" s="4">
        <v>137</v>
      </c>
      <c r="AB3917" s="4">
        <v>1</v>
      </c>
      <c r="AC3917" s="4">
        <v>14</v>
      </c>
      <c r="AD3917" s="4">
        <v>11</v>
      </c>
      <c r="AE3917" s="4">
        <v>164</v>
      </c>
      <c r="AF3917" s="4">
        <v>0</v>
      </c>
      <c r="AG3917" s="4">
        <v>7</v>
      </c>
      <c r="AH3917" s="4">
        <v>5</v>
      </c>
      <c r="AI3917" s="4">
        <v>114</v>
      </c>
      <c r="AJ3917" s="4">
        <v>6</v>
      </c>
      <c r="AK3917" s="4">
        <v>30</v>
      </c>
      <c r="AL3917" s="4">
        <v>0</v>
      </c>
      <c r="AM3917" s="4">
        <v>59</v>
      </c>
      <c r="AN3917" s="4">
        <v>0</v>
      </c>
      <c r="AO3917" s="4">
        <v>0</v>
      </c>
      <c r="AP3917" s="4">
        <v>11</v>
      </c>
      <c r="AQ3917" s="4">
        <v>55</v>
      </c>
      <c r="AR3917" s="3" t="s">
        <v>62</v>
      </c>
      <c r="AS3917" s="3" t="s">
        <v>62</v>
      </c>
      <c r="AT3917" s="3" t="s">
        <v>62</v>
      </c>
      <c r="AV3917" s="6" t="str">
        <f>HYPERLINK("http://mcgill.on.worldcat.org/oclc/26460269","Catalog Record")</f>
        <v>Catalog Record</v>
      </c>
      <c r="AW3917" s="6" t="str">
        <f>HYPERLINK("http://www.worldcat.org/oclc/26460269","WorldCat Record")</f>
        <v>WorldCat Record</v>
      </c>
      <c r="AX3917" s="3" t="s">
        <v>33945</v>
      </c>
      <c r="AY3917" s="3" t="s">
        <v>37867</v>
      </c>
      <c r="AZ3917" s="3" t="s">
        <v>37868</v>
      </c>
      <c r="BA3917" s="3" t="s">
        <v>37868</v>
      </c>
      <c r="BB3917" s="3" t="s">
        <v>37869</v>
      </c>
      <c r="BC3917" s="3" t="s">
        <v>102</v>
      </c>
      <c r="BD3917" s="3" t="s">
        <v>68</v>
      </c>
      <c r="BE3917" s="3" t="s">
        <v>37870</v>
      </c>
      <c r="BF3917" s="3" t="s">
        <v>37869</v>
      </c>
      <c r="BG3917" s="3" t="s">
        <v>37871</v>
      </c>
    </row>
    <row r="3918" spans="1:59" ht="58" x14ac:dyDescent="0.35">
      <c r="A3918" s="2" t="s">
        <v>89</v>
      </c>
      <c r="B3918" s="2" t="s">
        <v>18023</v>
      </c>
      <c r="C3918" s="2" t="s">
        <v>37872</v>
      </c>
      <c r="D3918" s="2" t="s">
        <v>37873</v>
      </c>
      <c r="E3918" s="2" t="s">
        <v>37874</v>
      </c>
      <c r="G3918" s="3" t="s">
        <v>62</v>
      </c>
      <c r="I3918" s="3" t="s">
        <v>61</v>
      </c>
      <c r="J3918" s="3" t="s">
        <v>62</v>
      </c>
      <c r="K3918" s="3" t="s">
        <v>63</v>
      </c>
      <c r="L3918" s="2" t="s">
        <v>37875</v>
      </c>
      <c r="M3918" s="2" t="s">
        <v>37876</v>
      </c>
      <c r="N3918" s="3" t="s">
        <v>684</v>
      </c>
      <c r="O3918" s="2" t="s">
        <v>2163</v>
      </c>
      <c r="P3918" s="3" t="s">
        <v>64</v>
      </c>
      <c r="R3918" s="3" t="s">
        <v>34126</v>
      </c>
      <c r="S3918" s="4">
        <v>17</v>
      </c>
      <c r="T3918" s="4">
        <v>319</v>
      </c>
      <c r="U3918" s="5" t="s">
        <v>3441</v>
      </c>
      <c r="V3918" s="5" t="s">
        <v>5085</v>
      </c>
      <c r="W3918" s="5" t="s">
        <v>67</v>
      </c>
      <c r="X3918" s="5" t="s">
        <v>67</v>
      </c>
      <c r="Y3918" s="4">
        <v>66</v>
      </c>
      <c r="Z3918" s="4">
        <v>5</v>
      </c>
      <c r="AA3918" s="4">
        <v>6</v>
      </c>
      <c r="AB3918" s="4">
        <v>2</v>
      </c>
      <c r="AC3918" s="4">
        <v>3</v>
      </c>
      <c r="AD3918" s="4">
        <v>16</v>
      </c>
      <c r="AE3918" s="4">
        <v>17</v>
      </c>
      <c r="AF3918" s="4">
        <v>1</v>
      </c>
      <c r="AG3918" s="4">
        <v>2</v>
      </c>
      <c r="AH3918" s="4">
        <v>13</v>
      </c>
      <c r="AI3918" s="4">
        <v>14</v>
      </c>
      <c r="AJ3918" s="4">
        <v>3</v>
      </c>
      <c r="AK3918" s="4">
        <v>4</v>
      </c>
      <c r="AL3918" s="4">
        <v>6</v>
      </c>
      <c r="AM3918" s="4">
        <v>6</v>
      </c>
      <c r="AN3918" s="4">
        <v>0</v>
      </c>
      <c r="AO3918" s="4">
        <v>0</v>
      </c>
      <c r="AP3918" s="4">
        <v>4</v>
      </c>
      <c r="AQ3918" s="4">
        <v>5</v>
      </c>
      <c r="AR3918" s="3" t="s">
        <v>62</v>
      </c>
      <c r="AS3918" s="3" t="s">
        <v>62</v>
      </c>
      <c r="AT3918" s="3" t="s">
        <v>62</v>
      </c>
      <c r="AV3918" s="6" t="str">
        <f t="shared" ref="AV3918:AV3923" si="62">HYPERLINK("http://mcgill.on.worldcat.org/oclc/562401254","Catalog Record")</f>
        <v>Catalog Record</v>
      </c>
      <c r="AW3918" s="6" t="str">
        <f t="shared" ref="AW3918:AW3923" si="63">HYPERLINK("http://www.worldcat.org/oclc/562401254","WorldCat Record")</f>
        <v>WorldCat Record</v>
      </c>
      <c r="AX3918" s="3" t="s">
        <v>37877</v>
      </c>
      <c r="AY3918" s="3" t="s">
        <v>37878</v>
      </c>
      <c r="AZ3918" s="3" t="s">
        <v>37879</v>
      </c>
      <c r="BA3918" s="3" t="s">
        <v>37879</v>
      </c>
      <c r="BB3918" s="3" t="s">
        <v>37880</v>
      </c>
      <c r="BC3918" s="3" t="s">
        <v>102</v>
      </c>
      <c r="BD3918" s="3" t="s">
        <v>68</v>
      </c>
      <c r="BE3918" s="3" t="s">
        <v>37881</v>
      </c>
      <c r="BF3918" s="3" t="s">
        <v>37880</v>
      </c>
      <c r="BG3918" s="3" t="s">
        <v>37882</v>
      </c>
    </row>
    <row r="3919" spans="1:59" ht="58" x14ac:dyDescent="0.35">
      <c r="A3919" s="2" t="s">
        <v>89</v>
      </c>
      <c r="B3919" s="2" t="s">
        <v>18023</v>
      </c>
      <c r="C3919" s="2" t="s">
        <v>37872</v>
      </c>
      <c r="D3919" s="2" t="s">
        <v>37873</v>
      </c>
      <c r="E3919" s="2" t="s">
        <v>37874</v>
      </c>
      <c r="G3919" s="3" t="s">
        <v>62</v>
      </c>
      <c r="I3919" s="3" t="s">
        <v>61</v>
      </c>
      <c r="J3919" s="3" t="s">
        <v>62</v>
      </c>
      <c r="K3919" s="3" t="s">
        <v>63</v>
      </c>
      <c r="L3919" s="2" t="s">
        <v>37875</v>
      </c>
      <c r="M3919" s="2" t="s">
        <v>37876</v>
      </c>
      <c r="N3919" s="3" t="s">
        <v>684</v>
      </c>
      <c r="O3919" s="2" t="s">
        <v>2163</v>
      </c>
      <c r="P3919" s="3" t="s">
        <v>64</v>
      </c>
      <c r="R3919" s="3" t="s">
        <v>34126</v>
      </c>
      <c r="S3919" s="4">
        <v>80</v>
      </c>
      <c r="T3919" s="4">
        <v>319</v>
      </c>
      <c r="U3919" s="5" t="s">
        <v>2850</v>
      </c>
      <c r="V3919" s="5" t="s">
        <v>5085</v>
      </c>
      <c r="W3919" s="5" t="s">
        <v>67</v>
      </c>
      <c r="X3919" s="5" t="s">
        <v>67</v>
      </c>
      <c r="Y3919" s="4">
        <v>66</v>
      </c>
      <c r="Z3919" s="4">
        <v>5</v>
      </c>
      <c r="AA3919" s="4">
        <v>6</v>
      </c>
      <c r="AB3919" s="4">
        <v>2</v>
      </c>
      <c r="AC3919" s="4">
        <v>3</v>
      </c>
      <c r="AD3919" s="4">
        <v>16</v>
      </c>
      <c r="AE3919" s="4">
        <v>17</v>
      </c>
      <c r="AF3919" s="4">
        <v>1</v>
      </c>
      <c r="AG3919" s="4">
        <v>2</v>
      </c>
      <c r="AH3919" s="4">
        <v>13</v>
      </c>
      <c r="AI3919" s="4">
        <v>14</v>
      </c>
      <c r="AJ3919" s="4">
        <v>3</v>
      </c>
      <c r="AK3919" s="4">
        <v>4</v>
      </c>
      <c r="AL3919" s="4">
        <v>6</v>
      </c>
      <c r="AM3919" s="4">
        <v>6</v>
      </c>
      <c r="AN3919" s="4">
        <v>0</v>
      </c>
      <c r="AO3919" s="4">
        <v>0</v>
      </c>
      <c r="AP3919" s="4">
        <v>4</v>
      </c>
      <c r="AQ3919" s="4">
        <v>5</v>
      </c>
      <c r="AR3919" s="3" t="s">
        <v>62</v>
      </c>
      <c r="AS3919" s="3" t="s">
        <v>62</v>
      </c>
      <c r="AT3919" s="3" t="s">
        <v>62</v>
      </c>
      <c r="AV3919" s="6" t="str">
        <f t="shared" si="62"/>
        <v>Catalog Record</v>
      </c>
      <c r="AW3919" s="6" t="str">
        <f t="shared" si="63"/>
        <v>WorldCat Record</v>
      </c>
      <c r="AX3919" s="3" t="s">
        <v>37877</v>
      </c>
      <c r="AY3919" s="3" t="s">
        <v>37878</v>
      </c>
      <c r="AZ3919" s="3" t="s">
        <v>37879</v>
      </c>
      <c r="BA3919" s="3" t="s">
        <v>37879</v>
      </c>
      <c r="BB3919" s="3" t="s">
        <v>37883</v>
      </c>
      <c r="BC3919" s="3" t="s">
        <v>102</v>
      </c>
      <c r="BD3919" s="3" t="s">
        <v>68</v>
      </c>
      <c r="BE3919" s="3" t="s">
        <v>37881</v>
      </c>
      <c r="BF3919" s="3" t="s">
        <v>37883</v>
      </c>
      <c r="BG3919" s="3" t="s">
        <v>37884</v>
      </c>
    </row>
    <row r="3920" spans="1:59" ht="58" x14ac:dyDescent="0.35">
      <c r="A3920" s="2" t="s">
        <v>89</v>
      </c>
      <c r="B3920" s="2" t="s">
        <v>18023</v>
      </c>
      <c r="C3920" s="2" t="s">
        <v>37872</v>
      </c>
      <c r="D3920" s="2" t="s">
        <v>37873</v>
      </c>
      <c r="E3920" s="2" t="s">
        <v>37874</v>
      </c>
      <c r="G3920" s="3" t="s">
        <v>62</v>
      </c>
      <c r="I3920" s="3" t="s">
        <v>61</v>
      </c>
      <c r="J3920" s="3" t="s">
        <v>62</v>
      </c>
      <c r="K3920" s="3" t="s">
        <v>63</v>
      </c>
      <c r="L3920" s="2" t="s">
        <v>37875</v>
      </c>
      <c r="M3920" s="2" t="s">
        <v>37876</v>
      </c>
      <c r="N3920" s="3" t="s">
        <v>684</v>
      </c>
      <c r="O3920" s="2" t="s">
        <v>2163</v>
      </c>
      <c r="P3920" s="3" t="s">
        <v>64</v>
      </c>
      <c r="R3920" s="3" t="s">
        <v>34126</v>
      </c>
      <c r="S3920" s="4">
        <v>93</v>
      </c>
      <c r="T3920" s="4">
        <v>319</v>
      </c>
      <c r="U3920" s="5" t="s">
        <v>21878</v>
      </c>
      <c r="V3920" s="5" t="s">
        <v>5085</v>
      </c>
      <c r="W3920" s="5" t="s">
        <v>67</v>
      </c>
      <c r="X3920" s="5" t="s">
        <v>67</v>
      </c>
      <c r="Y3920" s="4">
        <v>66</v>
      </c>
      <c r="Z3920" s="4">
        <v>5</v>
      </c>
      <c r="AA3920" s="4">
        <v>6</v>
      </c>
      <c r="AB3920" s="4">
        <v>2</v>
      </c>
      <c r="AC3920" s="4">
        <v>3</v>
      </c>
      <c r="AD3920" s="4">
        <v>16</v>
      </c>
      <c r="AE3920" s="4">
        <v>17</v>
      </c>
      <c r="AF3920" s="4">
        <v>1</v>
      </c>
      <c r="AG3920" s="4">
        <v>2</v>
      </c>
      <c r="AH3920" s="4">
        <v>13</v>
      </c>
      <c r="AI3920" s="4">
        <v>14</v>
      </c>
      <c r="AJ3920" s="4">
        <v>3</v>
      </c>
      <c r="AK3920" s="4">
        <v>4</v>
      </c>
      <c r="AL3920" s="4">
        <v>6</v>
      </c>
      <c r="AM3920" s="4">
        <v>6</v>
      </c>
      <c r="AN3920" s="4">
        <v>0</v>
      </c>
      <c r="AO3920" s="4">
        <v>0</v>
      </c>
      <c r="AP3920" s="4">
        <v>4</v>
      </c>
      <c r="AQ3920" s="4">
        <v>5</v>
      </c>
      <c r="AR3920" s="3" t="s">
        <v>62</v>
      </c>
      <c r="AS3920" s="3" t="s">
        <v>62</v>
      </c>
      <c r="AT3920" s="3" t="s">
        <v>62</v>
      </c>
      <c r="AV3920" s="6" t="str">
        <f t="shared" si="62"/>
        <v>Catalog Record</v>
      </c>
      <c r="AW3920" s="6" t="str">
        <f t="shared" si="63"/>
        <v>WorldCat Record</v>
      </c>
      <c r="AX3920" s="3" t="s">
        <v>37877</v>
      </c>
      <c r="AY3920" s="3" t="s">
        <v>37878</v>
      </c>
      <c r="AZ3920" s="3" t="s">
        <v>37879</v>
      </c>
      <c r="BA3920" s="3" t="s">
        <v>37879</v>
      </c>
      <c r="BB3920" s="3" t="s">
        <v>37885</v>
      </c>
      <c r="BC3920" s="3" t="s">
        <v>102</v>
      </c>
      <c r="BD3920" s="3" t="s">
        <v>68</v>
      </c>
      <c r="BE3920" s="3" t="s">
        <v>37881</v>
      </c>
      <c r="BF3920" s="3" t="s">
        <v>37885</v>
      </c>
      <c r="BG3920" s="3" t="s">
        <v>37886</v>
      </c>
    </row>
    <row r="3921" spans="1:59" ht="58" x14ac:dyDescent="0.35">
      <c r="A3921" s="2" t="s">
        <v>89</v>
      </c>
      <c r="B3921" s="2" t="s">
        <v>18023</v>
      </c>
      <c r="C3921" s="2" t="s">
        <v>37872</v>
      </c>
      <c r="D3921" s="2" t="s">
        <v>37873</v>
      </c>
      <c r="E3921" s="2" t="s">
        <v>37874</v>
      </c>
      <c r="G3921" s="3" t="s">
        <v>62</v>
      </c>
      <c r="I3921" s="3" t="s">
        <v>61</v>
      </c>
      <c r="J3921" s="3" t="s">
        <v>62</v>
      </c>
      <c r="K3921" s="3" t="s">
        <v>63</v>
      </c>
      <c r="L3921" s="2" t="s">
        <v>37875</v>
      </c>
      <c r="M3921" s="2" t="s">
        <v>37876</v>
      </c>
      <c r="N3921" s="3" t="s">
        <v>684</v>
      </c>
      <c r="O3921" s="2" t="s">
        <v>2163</v>
      </c>
      <c r="P3921" s="3" t="s">
        <v>64</v>
      </c>
      <c r="R3921" s="3" t="s">
        <v>34126</v>
      </c>
      <c r="S3921" s="4">
        <v>15</v>
      </c>
      <c r="T3921" s="4">
        <v>319</v>
      </c>
      <c r="U3921" s="5" t="s">
        <v>15964</v>
      </c>
      <c r="V3921" s="5" t="s">
        <v>5085</v>
      </c>
      <c r="W3921" s="5" t="s">
        <v>67</v>
      </c>
      <c r="X3921" s="5" t="s">
        <v>67</v>
      </c>
      <c r="Y3921" s="4">
        <v>66</v>
      </c>
      <c r="Z3921" s="4">
        <v>5</v>
      </c>
      <c r="AA3921" s="4">
        <v>6</v>
      </c>
      <c r="AB3921" s="4">
        <v>2</v>
      </c>
      <c r="AC3921" s="4">
        <v>3</v>
      </c>
      <c r="AD3921" s="4">
        <v>16</v>
      </c>
      <c r="AE3921" s="4">
        <v>17</v>
      </c>
      <c r="AF3921" s="4">
        <v>1</v>
      </c>
      <c r="AG3921" s="4">
        <v>2</v>
      </c>
      <c r="AH3921" s="4">
        <v>13</v>
      </c>
      <c r="AI3921" s="4">
        <v>14</v>
      </c>
      <c r="AJ3921" s="4">
        <v>3</v>
      </c>
      <c r="AK3921" s="4">
        <v>4</v>
      </c>
      <c r="AL3921" s="4">
        <v>6</v>
      </c>
      <c r="AM3921" s="4">
        <v>6</v>
      </c>
      <c r="AN3921" s="4">
        <v>0</v>
      </c>
      <c r="AO3921" s="4">
        <v>0</v>
      </c>
      <c r="AP3921" s="4">
        <v>4</v>
      </c>
      <c r="AQ3921" s="4">
        <v>5</v>
      </c>
      <c r="AR3921" s="3" t="s">
        <v>62</v>
      </c>
      <c r="AS3921" s="3" t="s">
        <v>62</v>
      </c>
      <c r="AT3921" s="3" t="s">
        <v>62</v>
      </c>
      <c r="AV3921" s="6" t="str">
        <f t="shared" si="62"/>
        <v>Catalog Record</v>
      </c>
      <c r="AW3921" s="6" t="str">
        <f t="shared" si="63"/>
        <v>WorldCat Record</v>
      </c>
      <c r="AX3921" s="3" t="s">
        <v>37877</v>
      </c>
      <c r="AY3921" s="3" t="s">
        <v>37878</v>
      </c>
      <c r="AZ3921" s="3" t="s">
        <v>37879</v>
      </c>
      <c r="BA3921" s="3" t="s">
        <v>37879</v>
      </c>
      <c r="BB3921" s="3" t="s">
        <v>37887</v>
      </c>
      <c r="BC3921" s="3" t="s">
        <v>102</v>
      </c>
      <c r="BD3921" s="3" t="s">
        <v>68</v>
      </c>
      <c r="BE3921" s="3" t="s">
        <v>37881</v>
      </c>
      <c r="BF3921" s="3" t="s">
        <v>37887</v>
      </c>
      <c r="BG3921" s="3" t="s">
        <v>37888</v>
      </c>
    </row>
    <row r="3922" spans="1:59" ht="58" x14ac:dyDescent="0.35">
      <c r="A3922" s="2" t="s">
        <v>89</v>
      </c>
      <c r="B3922" s="2" t="s">
        <v>18023</v>
      </c>
      <c r="C3922" s="2" t="s">
        <v>37872</v>
      </c>
      <c r="D3922" s="2" t="s">
        <v>37873</v>
      </c>
      <c r="E3922" s="2" t="s">
        <v>37874</v>
      </c>
      <c r="G3922" s="3" t="s">
        <v>62</v>
      </c>
      <c r="I3922" s="3" t="s">
        <v>61</v>
      </c>
      <c r="J3922" s="3" t="s">
        <v>62</v>
      </c>
      <c r="K3922" s="3" t="s">
        <v>63</v>
      </c>
      <c r="L3922" s="2" t="s">
        <v>37875</v>
      </c>
      <c r="M3922" s="2" t="s">
        <v>37876</v>
      </c>
      <c r="N3922" s="3" t="s">
        <v>684</v>
      </c>
      <c r="O3922" s="2" t="s">
        <v>2163</v>
      </c>
      <c r="P3922" s="3" t="s">
        <v>64</v>
      </c>
      <c r="R3922" s="3" t="s">
        <v>34126</v>
      </c>
      <c r="S3922" s="4">
        <v>13</v>
      </c>
      <c r="T3922" s="4">
        <v>319</v>
      </c>
      <c r="U3922" s="5" t="s">
        <v>12070</v>
      </c>
      <c r="V3922" s="5" t="s">
        <v>5085</v>
      </c>
      <c r="W3922" s="5" t="s">
        <v>67</v>
      </c>
      <c r="X3922" s="5" t="s">
        <v>67</v>
      </c>
      <c r="Y3922" s="4">
        <v>66</v>
      </c>
      <c r="Z3922" s="4">
        <v>5</v>
      </c>
      <c r="AA3922" s="4">
        <v>6</v>
      </c>
      <c r="AB3922" s="4">
        <v>2</v>
      </c>
      <c r="AC3922" s="4">
        <v>3</v>
      </c>
      <c r="AD3922" s="4">
        <v>16</v>
      </c>
      <c r="AE3922" s="4">
        <v>17</v>
      </c>
      <c r="AF3922" s="4">
        <v>1</v>
      </c>
      <c r="AG3922" s="4">
        <v>2</v>
      </c>
      <c r="AH3922" s="4">
        <v>13</v>
      </c>
      <c r="AI3922" s="4">
        <v>14</v>
      </c>
      <c r="AJ3922" s="4">
        <v>3</v>
      </c>
      <c r="AK3922" s="4">
        <v>4</v>
      </c>
      <c r="AL3922" s="4">
        <v>6</v>
      </c>
      <c r="AM3922" s="4">
        <v>6</v>
      </c>
      <c r="AN3922" s="4">
        <v>0</v>
      </c>
      <c r="AO3922" s="4">
        <v>0</v>
      </c>
      <c r="AP3922" s="4">
        <v>4</v>
      </c>
      <c r="AQ3922" s="4">
        <v>5</v>
      </c>
      <c r="AR3922" s="3" t="s">
        <v>62</v>
      </c>
      <c r="AS3922" s="3" t="s">
        <v>62</v>
      </c>
      <c r="AT3922" s="3" t="s">
        <v>62</v>
      </c>
      <c r="AV3922" s="6" t="str">
        <f t="shared" si="62"/>
        <v>Catalog Record</v>
      </c>
      <c r="AW3922" s="6" t="str">
        <f t="shared" si="63"/>
        <v>WorldCat Record</v>
      </c>
      <c r="AX3922" s="3" t="s">
        <v>37877</v>
      </c>
      <c r="AY3922" s="3" t="s">
        <v>37878</v>
      </c>
      <c r="AZ3922" s="3" t="s">
        <v>37879</v>
      </c>
      <c r="BA3922" s="3" t="s">
        <v>37879</v>
      </c>
      <c r="BB3922" s="3" t="s">
        <v>37889</v>
      </c>
      <c r="BC3922" s="3" t="s">
        <v>102</v>
      </c>
      <c r="BD3922" s="3" t="s">
        <v>68</v>
      </c>
      <c r="BE3922" s="3" t="s">
        <v>37881</v>
      </c>
      <c r="BF3922" s="3" t="s">
        <v>37889</v>
      </c>
      <c r="BG3922" s="3" t="s">
        <v>37890</v>
      </c>
    </row>
    <row r="3923" spans="1:59" ht="58" x14ac:dyDescent="0.35">
      <c r="A3923" s="2" t="s">
        <v>89</v>
      </c>
      <c r="B3923" s="2" t="s">
        <v>18023</v>
      </c>
      <c r="C3923" s="2" t="s">
        <v>37872</v>
      </c>
      <c r="D3923" s="2" t="s">
        <v>37873</v>
      </c>
      <c r="E3923" s="2" t="s">
        <v>37874</v>
      </c>
      <c r="G3923" s="3" t="s">
        <v>62</v>
      </c>
      <c r="I3923" s="3" t="s">
        <v>61</v>
      </c>
      <c r="J3923" s="3" t="s">
        <v>62</v>
      </c>
      <c r="K3923" s="3" t="s">
        <v>63</v>
      </c>
      <c r="L3923" s="2" t="s">
        <v>37875</v>
      </c>
      <c r="M3923" s="2" t="s">
        <v>37876</v>
      </c>
      <c r="N3923" s="3" t="s">
        <v>684</v>
      </c>
      <c r="O3923" s="2" t="s">
        <v>2163</v>
      </c>
      <c r="P3923" s="3" t="s">
        <v>64</v>
      </c>
      <c r="R3923" s="3" t="s">
        <v>34126</v>
      </c>
      <c r="S3923" s="4">
        <v>101</v>
      </c>
      <c r="T3923" s="4">
        <v>319</v>
      </c>
      <c r="U3923" s="5" t="s">
        <v>5085</v>
      </c>
      <c r="V3923" s="5" t="s">
        <v>5085</v>
      </c>
      <c r="W3923" s="5" t="s">
        <v>67</v>
      </c>
      <c r="X3923" s="5" t="s">
        <v>67</v>
      </c>
      <c r="Y3923" s="4">
        <v>66</v>
      </c>
      <c r="Z3923" s="4">
        <v>5</v>
      </c>
      <c r="AA3923" s="4">
        <v>6</v>
      </c>
      <c r="AB3923" s="4">
        <v>2</v>
      </c>
      <c r="AC3923" s="4">
        <v>3</v>
      </c>
      <c r="AD3923" s="4">
        <v>16</v>
      </c>
      <c r="AE3923" s="4">
        <v>17</v>
      </c>
      <c r="AF3923" s="4">
        <v>1</v>
      </c>
      <c r="AG3923" s="4">
        <v>2</v>
      </c>
      <c r="AH3923" s="4">
        <v>13</v>
      </c>
      <c r="AI3923" s="4">
        <v>14</v>
      </c>
      <c r="AJ3923" s="4">
        <v>3</v>
      </c>
      <c r="AK3923" s="4">
        <v>4</v>
      </c>
      <c r="AL3923" s="4">
        <v>6</v>
      </c>
      <c r="AM3923" s="4">
        <v>6</v>
      </c>
      <c r="AN3923" s="4">
        <v>0</v>
      </c>
      <c r="AO3923" s="4">
        <v>0</v>
      </c>
      <c r="AP3923" s="4">
        <v>4</v>
      </c>
      <c r="AQ3923" s="4">
        <v>5</v>
      </c>
      <c r="AR3923" s="3" t="s">
        <v>62</v>
      </c>
      <c r="AS3923" s="3" t="s">
        <v>62</v>
      </c>
      <c r="AT3923" s="3" t="s">
        <v>62</v>
      </c>
      <c r="AV3923" s="6" t="str">
        <f t="shared" si="62"/>
        <v>Catalog Record</v>
      </c>
      <c r="AW3923" s="6" t="str">
        <f t="shared" si="63"/>
        <v>WorldCat Record</v>
      </c>
      <c r="AX3923" s="3" t="s">
        <v>37877</v>
      </c>
      <c r="AY3923" s="3" t="s">
        <v>37878</v>
      </c>
      <c r="AZ3923" s="3" t="s">
        <v>37879</v>
      </c>
      <c r="BA3923" s="3" t="s">
        <v>37879</v>
      </c>
      <c r="BB3923" s="3" t="s">
        <v>37891</v>
      </c>
      <c r="BC3923" s="3" t="s">
        <v>102</v>
      </c>
      <c r="BD3923" s="3" t="s">
        <v>68</v>
      </c>
      <c r="BE3923" s="3" t="s">
        <v>37881</v>
      </c>
      <c r="BF3923" s="3" t="s">
        <v>37891</v>
      </c>
      <c r="BG3923" s="3" t="s">
        <v>37892</v>
      </c>
    </row>
    <row r="3924" spans="1:59" ht="58" x14ac:dyDescent="0.35">
      <c r="A3924" s="2" t="s">
        <v>89</v>
      </c>
      <c r="B3924" s="2" t="s">
        <v>90</v>
      </c>
      <c r="C3924" s="2" t="s">
        <v>37893</v>
      </c>
      <c r="D3924" s="2" t="s">
        <v>37894</v>
      </c>
      <c r="E3924" s="2" t="s">
        <v>37895</v>
      </c>
      <c r="G3924" s="3" t="s">
        <v>62</v>
      </c>
      <c r="I3924" s="3" t="s">
        <v>62</v>
      </c>
      <c r="J3924" s="3" t="s">
        <v>62</v>
      </c>
      <c r="K3924" s="3" t="s">
        <v>63</v>
      </c>
      <c r="L3924" s="2" t="s">
        <v>37896</v>
      </c>
      <c r="M3924" s="2" t="s">
        <v>37897</v>
      </c>
      <c r="N3924" s="3" t="s">
        <v>285</v>
      </c>
      <c r="O3924" s="2" t="s">
        <v>2163</v>
      </c>
      <c r="P3924" s="3" t="s">
        <v>64</v>
      </c>
      <c r="Q3924" s="2" t="s">
        <v>8038</v>
      </c>
      <c r="R3924" s="3" t="s">
        <v>34126</v>
      </c>
      <c r="S3924" s="4">
        <v>24</v>
      </c>
      <c r="T3924" s="4">
        <v>24</v>
      </c>
      <c r="U3924" s="5" t="s">
        <v>14912</v>
      </c>
      <c r="V3924" s="5" t="s">
        <v>14912</v>
      </c>
      <c r="W3924" s="5" t="s">
        <v>67</v>
      </c>
      <c r="X3924" s="5" t="s">
        <v>67</v>
      </c>
      <c r="Y3924" s="4">
        <v>24</v>
      </c>
      <c r="Z3924" s="4">
        <v>6</v>
      </c>
      <c r="AA3924" s="4">
        <v>29</v>
      </c>
      <c r="AB3924" s="4">
        <v>1</v>
      </c>
      <c r="AC3924" s="4">
        <v>2</v>
      </c>
      <c r="AD3924" s="4">
        <v>11</v>
      </c>
      <c r="AE3924" s="4">
        <v>111</v>
      </c>
      <c r="AF3924" s="4">
        <v>0</v>
      </c>
      <c r="AG3924" s="4">
        <v>1</v>
      </c>
      <c r="AH3924" s="4">
        <v>7</v>
      </c>
      <c r="AI3924" s="4">
        <v>93</v>
      </c>
      <c r="AJ3924" s="4">
        <v>3</v>
      </c>
      <c r="AK3924" s="4">
        <v>17</v>
      </c>
      <c r="AL3924" s="4">
        <v>4</v>
      </c>
      <c r="AM3924" s="4">
        <v>52</v>
      </c>
      <c r="AN3924" s="4">
        <v>0</v>
      </c>
      <c r="AO3924" s="4">
        <v>0</v>
      </c>
      <c r="AP3924" s="4">
        <v>5</v>
      </c>
      <c r="AQ3924" s="4">
        <v>23</v>
      </c>
      <c r="AR3924" s="3" t="s">
        <v>62</v>
      </c>
      <c r="AS3924" s="3" t="s">
        <v>62</v>
      </c>
      <c r="AT3924" s="3" t="s">
        <v>61</v>
      </c>
      <c r="AU3924" s="6" t="str">
        <f>HYPERLINK("http://catalog.hathitrust.org/Record/000231474","HathiTrust Record")</f>
        <v>HathiTrust Record</v>
      </c>
      <c r="AV3924" s="6" t="str">
        <f>HYPERLINK("http://mcgill.on.worldcat.org/oclc/213519197","Catalog Record")</f>
        <v>Catalog Record</v>
      </c>
      <c r="AW3924" s="6" t="str">
        <f>HYPERLINK("http://www.worldcat.org/oclc/213519197","WorldCat Record")</f>
        <v>WorldCat Record</v>
      </c>
      <c r="AX3924" s="3" t="s">
        <v>37898</v>
      </c>
      <c r="AY3924" s="3" t="s">
        <v>37899</v>
      </c>
      <c r="AZ3924" s="3" t="s">
        <v>37900</v>
      </c>
      <c r="BA3924" s="3" t="s">
        <v>37900</v>
      </c>
      <c r="BB3924" s="3" t="s">
        <v>37901</v>
      </c>
      <c r="BC3924" s="3" t="s">
        <v>102</v>
      </c>
      <c r="BD3924" s="3" t="s">
        <v>231</v>
      </c>
      <c r="BE3924" s="3" t="s">
        <v>37902</v>
      </c>
      <c r="BF3924" s="3" t="s">
        <v>37901</v>
      </c>
      <c r="BG3924" s="3" t="s">
        <v>37903</v>
      </c>
    </row>
    <row r="3925" spans="1:59" ht="58" x14ac:dyDescent="0.35">
      <c r="A3925" s="2" t="s">
        <v>59</v>
      </c>
      <c r="B3925" s="2" t="s">
        <v>60</v>
      </c>
      <c r="C3925" s="2" t="s">
        <v>37904</v>
      </c>
      <c r="D3925" s="2" t="s">
        <v>37905</v>
      </c>
      <c r="E3925" s="2" t="s">
        <v>37906</v>
      </c>
      <c r="G3925" s="3" t="s">
        <v>62</v>
      </c>
      <c r="I3925" s="3" t="s">
        <v>62</v>
      </c>
      <c r="J3925" s="3" t="s">
        <v>62</v>
      </c>
      <c r="K3925" s="3" t="s">
        <v>63</v>
      </c>
      <c r="L3925" s="2" t="s">
        <v>37907</v>
      </c>
      <c r="M3925" s="2" t="s">
        <v>37908</v>
      </c>
      <c r="N3925" s="3" t="s">
        <v>2975</v>
      </c>
      <c r="O3925" s="2" t="s">
        <v>2163</v>
      </c>
      <c r="P3925" s="3" t="s">
        <v>64</v>
      </c>
      <c r="R3925" s="3" t="s">
        <v>34126</v>
      </c>
      <c r="S3925" s="4">
        <v>1</v>
      </c>
      <c r="T3925" s="4">
        <v>1</v>
      </c>
      <c r="U3925" s="5" t="s">
        <v>13499</v>
      </c>
      <c r="V3925" s="5" t="s">
        <v>13499</v>
      </c>
      <c r="W3925" s="5" t="s">
        <v>67</v>
      </c>
      <c r="X3925" s="5" t="s">
        <v>67</v>
      </c>
      <c r="Y3925" s="4">
        <v>1231</v>
      </c>
      <c r="Z3925" s="4">
        <v>43</v>
      </c>
      <c r="AA3925" s="4">
        <v>45</v>
      </c>
      <c r="AB3925" s="4">
        <v>2</v>
      </c>
      <c r="AC3925" s="4">
        <v>3</v>
      </c>
      <c r="AD3925" s="4">
        <v>117</v>
      </c>
      <c r="AE3925" s="4">
        <v>118</v>
      </c>
      <c r="AF3925" s="4">
        <v>0</v>
      </c>
      <c r="AG3925" s="4">
        <v>0</v>
      </c>
      <c r="AH3925" s="4">
        <v>102</v>
      </c>
      <c r="AI3925" s="4">
        <v>103</v>
      </c>
      <c r="AJ3925" s="4">
        <v>14</v>
      </c>
      <c r="AK3925" s="4">
        <v>14</v>
      </c>
      <c r="AL3925" s="4">
        <v>52</v>
      </c>
      <c r="AM3925" s="4">
        <v>53</v>
      </c>
      <c r="AN3925" s="4">
        <v>0</v>
      </c>
      <c r="AO3925" s="4">
        <v>0</v>
      </c>
      <c r="AP3925" s="4">
        <v>23</v>
      </c>
      <c r="AQ3925" s="4">
        <v>23</v>
      </c>
      <c r="AR3925" s="3" t="s">
        <v>62</v>
      </c>
      <c r="AS3925" s="3" t="s">
        <v>62</v>
      </c>
      <c r="AT3925" s="3" t="s">
        <v>61</v>
      </c>
      <c r="AU3925" s="6" t="str">
        <f>HYPERLINK("http://catalog.hathitrust.org/Record/004580432","HathiTrust Record")</f>
        <v>HathiTrust Record</v>
      </c>
      <c r="AV3925" s="6" t="str">
        <f>HYPERLINK("http://mcgill.on.worldcat.org/oclc/45374853","Catalog Record")</f>
        <v>Catalog Record</v>
      </c>
      <c r="AW3925" s="6" t="str">
        <f>HYPERLINK("http://www.worldcat.org/oclc/45374853","WorldCat Record")</f>
        <v>WorldCat Record</v>
      </c>
      <c r="AX3925" s="3" t="s">
        <v>37909</v>
      </c>
      <c r="AY3925" s="3" t="s">
        <v>37910</v>
      </c>
      <c r="AZ3925" s="3" t="s">
        <v>37911</v>
      </c>
      <c r="BA3925" s="3" t="s">
        <v>37911</v>
      </c>
      <c r="BB3925" s="3" t="s">
        <v>37912</v>
      </c>
      <c r="BC3925" s="3" t="s">
        <v>102</v>
      </c>
      <c r="BD3925" s="3" t="s">
        <v>68</v>
      </c>
      <c r="BE3925" s="3" t="s">
        <v>37913</v>
      </c>
      <c r="BF3925" s="3" t="s">
        <v>37912</v>
      </c>
      <c r="BG3925" s="3" t="s">
        <v>37914</v>
      </c>
    </row>
    <row r="3926" spans="1:59" ht="58" x14ac:dyDescent="0.35">
      <c r="A3926" s="2" t="s">
        <v>89</v>
      </c>
      <c r="B3926" s="2" t="s">
        <v>90</v>
      </c>
      <c r="C3926" s="2" t="s">
        <v>37915</v>
      </c>
      <c r="D3926" s="2" t="s">
        <v>37916</v>
      </c>
      <c r="E3926" s="2" t="s">
        <v>37917</v>
      </c>
      <c r="G3926" s="3" t="s">
        <v>62</v>
      </c>
      <c r="I3926" s="3" t="s">
        <v>61</v>
      </c>
      <c r="J3926" s="3" t="s">
        <v>62</v>
      </c>
      <c r="K3926" s="3" t="s">
        <v>63</v>
      </c>
      <c r="L3926" s="2" t="s">
        <v>37918</v>
      </c>
      <c r="M3926" s="2" t="s">
        <v>37919</v>
      </c>
      <c r="N3926" s="3" t="s">
        <v>1639</v>
      </c>
      <c r="O3926" s="2" t="s">
        <v>37920</v>
      </c>
      <c r="P3926" s="3" t="s">
        <v>85</v>
      </c>
      <c r="Q3926" s="2" t="s">
        <v>37921</v>
      </c>
      <c r="R3926" s="3" t="s">
        <v>34126</v>
      </c>
      <c r="S3926" s="4">
        <v>16</v>
      </c>
      <c r="T3926" s="4">
        <v>16</v>
      </c>
      <c r="U3926" s="5" t="s">
        <v>3583</v>
      </c>
      <c r="V3926" s="5" t="s">
        <v>3583</v>
      </c>
      <c r="W3926" s="5" t="s">
        <v>67</v>
      </c>
      <c r="X3926" s="5" t="s">
        <v>67</v>
      </c>
      <c r="Y3926" s="4">
        <v>111</v>
      </c>
      <c r="Z3926" s="4">
        <v>11</v>
      </c>
      <c r="AA3926" s="4">
        <v>19</v>
      </c>
      <c r="AB3926" s="4">
        <v>1</v>
      </c>
      <c r="AC3926" s="4">
        <v>6</v>
      </c>
      <c r="AD3926" s="4">
        <v>51</v>
      </c>
      <c r="AE3926" s="4">
        <v>57</v>
      </c>
      <c r="AF3926" s="4">
        <v>0</v>
      </c>
      <c r="AG3926" s="4">
        <v>4</v>
      </c>
      <c r="AH3926" s="4">
        <v>46</v>
      </c>
      <c r="AI3926" s="4">
        <v>47</v>
      </c>
      <c r="AJ3926" s="4">
        <v>8</v>
      </c>
      <c r="AK3926" s="4">
        <v>12</v>
      </c>
      <c r="AL3926" s="4">
        <v>27</v>
      </c>
      <c r="AM3926" s="4">
        <v>27</v>
      </c>
      <c r="AN3926" s="4">
        <v>0</v>
      </c>
      <c r="AO3926" s="4">
        <v>0</v>
      </c>
      <c r="AP3926" s="4">
        <v>9</v>
      </c>
      <c r="AQ3926" s="4">
        <v>14</v>
      </c>
      <c r="AR3926" s="3" t="s">
        <v>62</v>
      </c>
      <c r="AS3926" s="3" t="s">
        <v>62</v>
      </c>
      <c r="AT3926" s="3" t="s">
        <v>61</v>
      </c>
      <c r="AU3926" s="6" t="str">
        <f>HYPERLINK("http://catalog.hathitrust.org/Record/001491764","HathiTrust Record")</f>
        <v>HathiTrust Record</v>
      </c>
      <c r="AV3926" s="6" t="str">
        <f>HYPERLINK("http://mcgill.on.worldcat.org/oclc/782411","Catalog Record")</f>
        <v>Catalog Record</v>
      </c>
      <c r="AW3926" s="6" t="str">
        <f>HYPERLINK("http://www.worldcat.org/oclc/782411","WorldCat Record")</f>
        <v>WorldCat Record</v>
      </c>
      <c r="AX3926" s="3" t="s">
        <v>37922</v>
      </c>
      <c r="AY3926" s="3" t="s">
        <v>37923</v>
      </c>
      <c r="AZ3926" s="3" t="s">
        <v>37924</v>
      </c>
      <c r="BA3926" s="3" t="s">
        <v>37924</v>
      </c>
      <c r="BB3926" s="3" t="s">
        <v>37925</v>
      </c>
      <c r="BC3926" s="3" t="s">
        <v>102</v>
      </c>
      <c r="BD3926" s="3" t="s">
        <v>231</v>
      </c>
      <c r="BF3926" s="3" t="s">
        <v>37925</v>
      </c>
      <c r="BG3926" s="3" t="s">
        <v>37926</v>
      </c>
    </row>
    <row r="3927" spans="1:59" ht="58" x14ac:dyDescent="0.35">
      <c r="A3927" s="2" t="s">
        <v>59</v>
      </c>
      <c r="B3927" s="2" t="s">
        <v>60</v>
      </c>
      <c r="C3927" s="2" t="s">
        <v>37927</v>
      </c>
      <c r="D3927" s="2" t="s">
        <v>37928</v>
      </c>
      <c r="E3927" s="2" t="s">
        <v>37929</v>
      </c>
      <c r="G3927" s="3" t="s">
        <v>62</v>
      </c>
      <c r="I3927" s="3" t="s">
        <v>62</v>
      </c>
      <c r="J3927" s="3" t="s">
        <v>62</v>
      </c>
      <c r="K3927" s="3" t="s">
        <v>63</v>
      </c>
      <c r="L3927" s="2" t="s">
        <v>37930</v>
      </c>
      <c r="M3927" s="2" t="s">
        <v>37931</v>
      </c>
      <c r="N3927" s="3" t="s">
        <v>95</v>
      </c>
      <c r="P3927" s="3" t="s">
        <v>64</v>
      </c>
      <c r="R3927" s="3" t="s">
        <v>34126</v>
      </c>
      <c r="S3927" s="4">
        <v>2</v>
      </c>
      <c r="T3927" s="4">
        <v>2</v>
      </c>
      <c r="U3927" s="5" t="s">
        <v>1845</v>
      </c>
      <c r="V3927" s="5" t="s">
        <v>1845</v>
      </c>
      <c r="W3927" s="5" t="s">
        <v>67</v>
      </c>
      <c r="X3927" s="5" t="s">
        <v>67</v>
      </c>
      <c r="Y3927" s="4">
        <v>1280</v>
      </c>
      <c r="Z3927" s="4">
        <v>53</v>
      </c>
      <c r="AA3927" s="4">
        <v>57</v>
      </c>
      <c r="AB3927" s="4">
        <v>3</v>
      </c>
      <c r="AC3927" s="4">
        <v>5</v>
      </c>
      <c r="AD3927" s="4">
        <v>130</v>
      </c>
      <c r="AE3927" s="4">
        <v>133</v>
      </c>
      <c r="AF3927" s="4">
        <v>1</v>
      </c>
      <c r="AG3927" s="4">
        <v>2</v>
      </c>
      <c r="AH3927" s="4">
        <v>105</v>
      </c>
      <c r="AI3927" s="4">
        <v>107</v>
      </c>
      <c r="AJ3927" s="4">
        <v>17</v>
      </c>
      <c r="AK3927" s="4">
        <v>19</v>
      </c>
      <c r="AL3927" s="4">
        <v>60</v>
      </c>
      <c r="AM3927" s="4">
        <v>60</v>
      </c>
      <c r="AN3927" s="4">
        <v>0</v>
      </c>
      <c r="AO3927" s="4">
        <v>0</v>
      </c>
      <c r="AP3927" s="4">
        <v>30</v>
      </c>
      <c r="AQ3927" s="4">
        <v>31</v>
      </c>
      <c r="AR3927" s="3" t="s">
        <v>62</v>
      </c>
      <c r="AS3927" s="3" t="s">
        <v>62</v>
      </c>
      <c r="AT3927" s="3" t="s">
        <v>61</v>
      </c>
      <c r="AU3927" s="6" t="str">
        <f>HYPERLINK("http://catalog.hathitrust.org/Record/000267454","HathiTrust Record")</f>
        <v>HathiTrust Record</v>
      </c>
      <c r="AV3927" s="6" t="str">
        <f>HYPERLINK("http://mcgill.on.worldcat.org/oclc/7739372","Catalog Record")</f>
        <v>Catalog Record</v>
      </c>
      <c r="AW3927" s="6" t="str">
        <f>HYPERLINK("http://www.worldcat.org/oclc/7739372","WorldCat Record")</f>
        <v>WorldCat Record</v>
      </c>
      <c r="AX3927" s="3" t="s">
        <v>37932</v>
      </c>
      <c r="AY3927" s="3" t="s">
        <v>37933</v>
      </c>
      <c r="AZ3927" s="3" t="s">
        <v>37934</v>
      </c>
      <c r="BA3927" s="3" t="s">
        <v>37934</v>
      </c>
      <c r="BB3927" s="3" t="s">
        <v>37935</v>
      </c>
      <c r="BC3927" s="3" t="s">
        <v>102</v>
      </c>
      <c r="BD3927" s="3" t="s">
        <v>68</v>
      </c>
      <c r="BE3927" s="3" t="s">
        <v>37936</v>
      </c>
      <c r="BF3927" s="3" t="s">
        <v>37935</v>
      </c>
      <c r="BG3927" s="3" t="s">
        <v>37937</v>
      </c>
    </row>
    <row r="3928" spans="1:59" ht="58" x14ac:dyDescent="0.35">
      <c r="A3928" s="2" t="s">
        <v>89</v>
      </c>
      <c r="B3928" s="2" t="s">
        <v>90</v>
      </c>
      <c r="C3928" s="2" t="s">
        <v>37938</v>
      </c>
      <c r="D3928" s="2" t="s">
        <v>37939</v>
      </c>
      <c r="E3928" s="2" t="s">
        <v>37940</v>
      </c>
      <c r="G3928" s="3" t="s">
        <v>62</v>
      </c>
      <c r="I3928" s="3" t="s">
        <v>62</v>
      </c>
      <c r="J3928" s="3" t="s">
        <v>62</v>
      </c>
      <c r="K3928" s="3" t="s">
        <v>63</v>
      </c>
      <c r="L3928" s="2" t="s">
        <v>37941</v>
      </c>
      <c r="M3928" s="2" t="s">
        <v>3098</v>
      </c>
      <c r="N3928" s="3" t="s">
        <v>625</v>
      </c>
      <c r="P3928" s="3" t="s">
        <v>64</v>
      </c>
      <c r="Q3928" s="2" t="s">
        <v>37942</v>
      </c>
      <c r="R3928" s="3" t="s">
        <v>34126</v>
      </c>
      <c r="S3928" s="4">
        <v>7</v>
      </c>
      <c r="T3928" s="4">
        <v>7</v>
      </c>
      <c r="U3928" s="5" t="s">
        <v>12137</v>
      </c>
      <c r="V3928" s="5" t="s">
        <v>12137</v>
      </c>
      <c r="W3928" s="5" t="s">
        <v>67</v>
      </c>
      <c r="X3928" s="5" t="s">
        <v>67</v>
      </c>
      <c r="Y3928" s="4">
        <v>652</v>
      </c>
      <c r="Z3928" s="4">
        <v>34</v>
      </c>
      <c r="AA3928" s="4">
        <v>47</v>
      </c>
      <c r="AB3928" s="4">
        <v>3</v>
      </c>
      <c r="AC3928" s="4">
        <v>5</v>
      </c>
      <c r="AD3928" s="4">
        <v>95</v>
      </c>
      <c r="AE3928" s="4">
        <v>107</v>
      </c>
      <c r="AF3928" s="4">
        <v>0</v>
      </c>
      <c r="AG3928" s="4">
        <v>0</v>
      </c>
      <c r="AH3928" s="4">
        <v>83</v>
      </c>
      <c r="AI3928" s="4">
        <v>90</v>
      </c>
      <c r="AJ3928" s="4">
        <v>14</v>
      </c>
      <c r="AK3928" s="4">
        <v>17</v>
      </c>
      <c r="AL3928" s="4">
        <v>49</v>
      </c>
      <c r="AM3928" s="4">
        <v>52</v>
      </c>
      <c r="AN3928" s="4">
        <v>0</v>
      </c>
      <c r="AO3928" s="4">
        <v>0</v>
      </c>
      <c r="AP3928" s="4">
        <v>17</v>
      </c>
      <c r="AQ3928" s="4">
        <v>24</v>
      </c>
      <c r="AR3928" s="3" t="s">
        <v>62</v>
      </c>
      <c r="AS3928" s="3" t="s">
        <v>62</v>
      </c>
      <c r="AT3928" s="3" t="s">
        <v>62</v>
      </c>
      <c r="AV3928" s="6" t="str">
        <f>HYPERLINK("http://mcgill.on.worldcat.org/oclc/51668497","Catalog Record")</f>
        <v>Catalog Record</v>
      </c>
      <c r="AW3928" s="6" t="str">
        <f>HYPERLINK("http://www.worldcat.org/oclc/51668497","WorldCat Record")</f>
        <v>WorldCat Record</v>
      </c>
      <c r="AX3928" s="3" t="s">
        <v>37943</v>
      </c>
      <c r="AY3928" s="3" t="s">
        <v>37944</v>
      </c>
      <c r="AZ3928" s="3" t="s">
        <v>37945</v>
      </c>
      <c r="BA3928" s="3" t="s">
        <v>37945</v>
      </c>
      <c r="BB3928" s="3" t="s">
        <v>37946</v>
      </c>
      <c r="BC3928" s="3" t="s">
        <v>102</v>
      </c>
      <c r="BD3928" s="3" t="s">
        <v>68</v>
      </c>
      <c r="BE3928" s="3" t="s">
        <v>37947</v>
      </c>
      <c r="BF3928" s="3" t="s">
        <v>37946</v>
      </c>
      <c r="BG3928" s="3" t="s">
        <v>37948</v>
      </c>
    </row>
    <row r="3929" spans="1:59" ht="58" x14ac:dyDescent="0.35">
      <c r="A3929" s="2" t="s">
        <v>89</v>
      </c>
      <c r="B3929" s="2" t="s">
        <v>90</v>
      </c>
      <c r="C3929" s="2" t="s">
        <v>37949</v>
      </c>
      <c r="D3929" s="2" t="s">
        <v>37950</v>
      </c>
      <c r="E3929" s="2" t="s">
        <v>37951</v>
      </c>
      <c r="G3929" s="3" t="s">
        <v>62</v>
      </c>
      <c r="I3929" s="3" t="s">
        <v>61</v>
      </c>
      <c r="J3929" s="3" t="s">
        <v>61</v>
      </c>
      <c r="K3929" s="3" t="s">
        <v>63</v>
      </c>
      <c r="L3929" s="2" t="s">
        <v>37952</v>
      </c>
      <c r="M3929" s="2" t="s">
        <v>37953</v>
      </c>
      <c r="N3929" s="3" t="s">
        <v>640</v>
      </c>
      <c r="P3929" s="3" t="s">
        <v>64</v>
      </c>
      <c r="R3929" s="3" t="s">
        <v>34126</v>
      </c>
      <c r="S3929" s="4">
        <v>20</v>
      </c>
      <c r="T3929" s="4">
        <v>36</v>
      </c>
      <c r="U3929" s="5" t="s">
        <v>22999</v>
      </c>
      <c r="V3929" s="5" t="s">
        <v>16837</v>
      </c>
      <c r="W3929" s="5" t="s">
        <v>67</v>
      </c>
      <c r="X3929" s="5" t="s">
        <v>67</v>
      </c>
      <c r="Y3929" s="4">
        <v>1285</v>
      </c>
      <c r="Z3929" s="4">
        <v>39</v>
      </c>
      <c r="AA3929" s="4">
        <v>101</v>
      </c>
      <c r="AB3929" s="4">
        <v>2</v>
      </c>
      <c r="AC3929" s="4">
        <v>13</v>
      </c>
      <c r="AD3929" s="4">
        <v>111</v>
      </c>
      <c r="AE3929" s="4">
        <v>141</v>
      </c>
      <c r="AF3929" s="4">
        <v>0</v>
      </c>
      <c r="AG3929" s="4">
        <v>2</v>
      </c>
      <c r="AH3929" s="4">
        <v>97</v>
      </c>
      <c r="AI3929" s="4">
        <v>112</v>
      </c>
      <c r="AJ3929" s="4">
        <v>13</v>
      </c>
      <c r="AK3929" s="4">
        <v>20</v>
      </c>
      <c r="AL3929" s="4">
        <v>51</v>
      </c>
      <c r="AM3929" s="4">
        <v>58</v>
      </c>
      <c r="AN3929" s="4">
        <v>0</v>
      </c>
      <c r="AO3929" s="4">
        <v>0</v>
      </c>
      <c r="AP3929" s="4">
        <v>22</v>
      </c>
      <c r="AQ3929" s="4">
        <v>36</v>
      </c>
      <c r="AR3929" s="3" t="s">
        <v>62</v>
      </c>
      <c r="AS3929" s="3" t="s">
        <v>62</v>
      </c>
      <c r="AT3929" s="3" t="s">
        <v>61</v>
      </c>
      <c r="AU3929" s="6" t="str">
        <f>HYPERLINK("http://catalog.hathitrust.org/Record/004729743","HathiTrust Record")</f>
        <v>HathiTrust Record</v>
      </c>
      <c r="AV3929" s="6" t="str">
        <f>HYPERLINK("http://mcgill.on.worldcat.org/oclc/54752786","Catalog Record")</f>
        <v>Catalog Record</v>
      </c>
      <c r="AW3929" s="6" t="str">
        <f>HYPERLINK("http://www.worldcat.org/oclc/54752786","WorldCat Record")</f>
        <v>WorldCat Record</v>
      </c>
      <c r="AX3929" s="3" t="s">
        <v>37954</v>
      </c>
      <c r="AY3929" s="3" t="s">
        <v>37955</v>
      </c>
      <c r="AZ3929" s="3" t="s">
        <v>37956</v>
      </c>
      <c r="BA3929" s="3" t="s">
        <v>37956</v>
      </c>
      <c r="BB3929" s="3" t="s">
        <v>37957</v>
      </c>
      <c r="BC3929" s="3" t="s">
        <v>102</v>
      </c>
      <c r="BD3929" s="3" t="s">
        <v>68</v>
      </c>
      <c r="BE3929" s="3" t="s">
        <v>37958</v>
      </c>
      <c r="BF3929" s="3" t="s">
        <v>37957</v>
      </c>
      <c r="BG3929" s="3" t="s">
        <v>37959</v>
      </c>
    </row>
    <row r="3930" spans="1:59" ht="58" x14ac:dyDescent="0.35">
      <c r="A3930" s="2" t="s">
        <v>89</v>
      </c>
      <c r="B3930" s="2" t="s">
        <v>90</v>
      </c>
      <c r="C3930" s="2" t="s">
        <v>37960</v>
      </c>
      <c r="D3930" s="2" t="s">
        <v>37961</v>
      </c>
      <c r="E3930" s="2" t="s">
        <v>37962</v>
      </c>
      <c r="G3930" s="3" t="s">
        <v>62</v>
      </c>
      <c r="I3930" s="3" t="s">
        <v>62</v>
      </c>
      <c r="J3930" s="3" t="s">
        <v>62</v>
      </c>
      <c r="K3930" s="3" t="s">
        <v>63</v>
      </c>
      <c r="L3930" s="2" t="s">
        <v>37963</v>
      </c>
      <c r="M3930" s="2" t="s">
        <v>37964</v>
      </c>
      <c r="N3930" s="3" t="s">
        <v>712</v>
      </c>
      <c r="O3930" s="2" t="s">
        <v>5239</v>
      </c>
      <c r="P3930" s="3" t="s">
        <v>64</v>
      </c>
      <c r="R3930" s="3" t="s">
        <v>34126</v>
      </c>
      <c r="S3930" s="4">
        <v>1</v>
      </c>
      <c r="T3930" s="4">
        <v>1</v>
      </c>
      <c r="U3930" s="5" t="s">
        <v>6325</v>
      </c>
      <c r="V3930" s="5" t="s">
        <v>6325</v>
      </c>
      <c r="W3930" s="5" t="s">
        <v>67</v>
      </c>
      <c r="X3930" s="5" t="s">
        <v>67</v>
      </c>
      <c r="Y3930" s="4">
        <v>10</v>
      </c>
      <c r="Z3930" s="4">
        <v>1</v>
      </c>
      <c r="AA3930" s="4">
        <v>1</v>
      </c>
      <c r="AB3930" s="4">
        <v>1</v>
      </c>
      <c r="AC3930" s="4">
        <v>1</v>
      </c>
      <c r="AD3930" s="4">
        <v>0</v>
      </c>
      <c r="AE3930" s="4">
        <v>0</v>
      </c>
      <c r="AF3930" s="4">
        <v>0</v>
      </c>
      <c r="AG3930" s="4">
        <v>0</v>
      </c>
      <c r="AH3930" s="4">
        <v>0</v>
      </c>
      <c r="AI3930" s="4">
        <v>0</v>
      </c>
      <c r="AJ3930" s="4">
        <v>0</v>
      </c>
      <c r="AK3930" s="4">
        <v>0</v>
      </c>
      <c r="AL3930" s="4">
        <v>0</v>
      </c>
      <c r="AM3930" s="4">
        <v>0</v>
      </c>
      <c r="AN3930" s="4">
        <v>0</v>
      </c>
      <c r="AO3930" s="4">
        <v>0</v>
      </c>
      <c r="AP3930" s="4">
        <v>0</v>
      </c>
      <c r="AQ3930" s="4">
        <v>0</v>
      </c>
      <c r="AR3930" s="3" t="s">
        <v>62</v>
      </c>
      <c r="AS3930" s="3" t="s">
        <v>62</v>
      </c>
      <c r="AT3930" s="3" t="s">
        <v>62</v>
      </c>
      <c r="AV3930" s="6" t="str">
        <f>HYPERLINK("http://mcgill.on.worldcat.org/oclc/904410289","Catalog Record")</f>
        <v>Catalog Record</v>
      </c>
      <c r="AW3930" s="6" t="str">
        <f>HYPERLINK("http://www.worldcat.org/oclc/904410289","WorldCat Record")</f>
        <v>WorldCat Record</v>
      </c>
      <c r="AX3930" s="3" t="s">
        <v>37965</v>
      </c>
      <c r="AY3930" s="3" t="s">
        <v>37966</v>
      </c>
      <c r="AZ3930" s="3" t="s">
        <v>37967</v>
      </c>
      <c r="BA3930" s="3" t="s">
        <v>37967</v>
      </c>
      <c r="BB3930" s="3" t="s">
        <v>37968</v>
      </c>
      <c r="BC3930" s="3" t="s">
        <v>102</v>
      </c>
      <c r="BD3930" s="3" t="s">
        <v>68</v>
      </c>
      <c r="BE3930" s="3" t="s">
        <v>37969</v>
      </c>
      <c r="BF3930" s="3" t="s">
        <v>37968</v>
      </c>
      <c r="BG3930" s="3" t="s">
        <v>37970</v>
      </c>
    </row>
    <row r="3931" spans="1:59" ht="58" x14ac:dyDescent="0.35">
      <c r="A3931" s="2" t="s">
        <v>59</v>
      </c>
      <c r="B3931" s="2" t="s">
        <v>60</v>
      </c>
      <c r="C3931" s="2" t="s">
        <v>37971</v>
      </c>
      <c r="D3931" s="2" t="s">
        <v>37972</v>
      </c>
      <c r="E3931" s="2" t="s">
        <v>37973</v>
      </c>
      <c r="G3931" s="3" t="s">
        <v>62</v>
      </c>
      <c r="I3931" s="3" t="s">
        <v>61</v>
      </c>
      <c r="J3931" s="3" t="s">
        <v>61</v>
      </c>
      <c r="K3931" s="3" t="s">
        <v>63</v>
      </c>
      <c r="L3931" s="2" t="s">
        <v>37974</v>
      </c>
      <c r="M3931" s="2" t="s">
        <v>37975</v>
      </c>
      <c r="N3931" s="3" t="s">
        <v>2305</v>
      </c>
      <c r="O3931" s="2" t="s">
        <v>3990</v>
      </c>
      <c r="P3931" s="3" t="s">
        <v>64</v>
      </c>
      <c r="R3931" s="3" t="s">
        <v>34126</v>
      </c>
      <c r="S3931" s="4">
        <v>0</v>
      </c>
      <c r="T3931" s="4">
        <v>5</v>
      </c>
      <c r="V3931" s="5" t="s">
        <v>6531</v>
      </c>
      <c r="W3931" s="5" t="s">
        <v>67</v>
      </c>
      <c r="X3931" s="5" t="s">
        <v>67</v>
      </c>
      <c r="Y3931" s="4">
        <v>1318</v>
      </c>
      <c r="Z3931" s="4">
        <v>33</v>
      </c>
      <c r="AA3931" s="4">
        <v>75</v>
      </c>
      <c r="AB3931" s="4">
        <v>3</v>
      </c>
      <c r="AC3931" s="4">
        <v>9</v>
      </c>
      <c r="AD3931" s="4">
        <v>112</v>
      </c>
      <c r="AE3931" s="4">
        <v>153</v>
      </c>
      <c r="AF3931" s="4">
        <v>1</v>
      </c>
      <c r="AG3931" s="4">
        <v>3</v>
      </c>
      <c r="AH3931" s="4">
        <v>94</v>
      </c>
      <c r="AI3931" s="4">
        <v>114</v>
      </c>
      <c r="AJ3931" s="4">
        <v>11</v>
      </c>
      <c r="AK3931" s="4">
        <v>21</v>
      </c>
      <c r="AL3931" s="4">
        <v>52</v>
      </c>
      <c r="AM3931" s="4">
        <v>61</v>
      </c>
      <c r="AN3931" s="4">
        <v>0</v>
      </c>
      <c r="AO3931" s="4">
        <v>0</v>
      </c>
      <c r="AP3931" s="4">
        <v>21</v>
      </c>
      <c r="AQ3931" s="4">
        <v>44</v>
      </c>
      <c r="AR3931" s="3" t="s">
        <v>62</v>
      </c>
      <c r="AS3931" s="3" t="s">
        <v>62</v>
      </c>
      <c r="AT3931" s="3" t="s">
        <v>61</v>
      </c>
      <c r="AU3931" s="6" t="str">
        <f>HYPERLINK("http://catalog.hathitrust.org/Record/000149986","HathiTrust Record")</f>
        <v>HathiTrust Record</v>
      </c>
      <c r="AV3931" s="6" t="str">
        <f>HYPERLINK("http://mcgill.on.worldcat.org/oclc/252499","Catalog Record")</f>
        <v>Catalog Record</v>
      </c>
      <c r="AW3931" s="6" t="str">
        <f>HYPERLINK("http://www.worldcat.org/oclc/252499","WorldCat Record")</f>
        <v>WorldCat Record</v>
      </c>
      <c r="AX3931" s="3" t="s">
        <v>37976</v>
      </c>
      <c r="AY3931" s="3" t="s">
        <v>37977</v>
      </c>
      <c r="AZ3931" s="3" t="s">
        <v>37978</v>
      </c>
      <c r="BA3931" s="3" t="s">
        <v>37978</v>
      </c>
      <c r="BB3931" s="3" t="s">
        <v>37979</v>
      </c>
      <c r="BC3931" s="3" t="s">
        <v>102</v>
      </c>
      <c r="BD3931" s="3" t="s">
        <v>68</v>
      </c>
      <c r="BF3931" s="3" t="s">
        <v>37979</v>
      </c>
      <c r="BG3931" s="3" t="s">
        <v>37980</v>
      </c>
    </row>
    <row r="3932" spans="1:59" ht="58" x14ac:dyDescent="0.35">
      <c r="A3932" s="2" t="s">
        <v>89</v>
      </c>
      <c r="B3932" s="2" t="s">
        <v>90</v>
      </c>
      <c r="C3932" s="2" t="s">
        <v>37971</v>
      </c>
      <c r="D3932" s="2" t="s">
        <v>37972</v>
      </c>
      <c r="E3932" s="2" t="s">
        <v>37973</v>
      </c>
      <c r="G3932" s="3" t="s">
        <v>62</v>
      </c>
      <c r="I3932" s="3" t="s">
        <v>61</v>
      </c>
      <c r="J3932" s="3" t="s">
        <v>61</v>
      </c>
      <c r="K3932" s="3" t="s">
        <v>63</v>
      </c>
      <c r="L3932" s="2" t="s">
        <v>37974</v>
      </c>
      <c r="M3932" s="2" t="s">
        <v>37975</v>
      </c>
      <c r="N3932" s="3" t="s">
        <v>2305</v>
      </c>
      <c r="O3932" s="2" t="s">
        <v>3990</v>
      </c>
      <c r="P3932" s="3" t="s">
        <v>64</v>
      </c>
      <c r="R3932" s="3" t="s">
        <v>34126</v>
      </c>
      <c r="S3932" s="4">
        <v>5</v>
      </c>
      <c r="T3932" s="4">
        <v>5</v>
      </c>
      <c r="U3932" s="5" t="s">
        <v>6531</v>
      </c>
      <c r="V3932" s="5" t="s">
        <v>6531</v>
      </c>
      <c r="W3932" s="5" t="s">
        <v>67</v>
      </c>
      <c r="X3932" s="5" t="s">
        <v>67</v>
      </c>
      <c r="Y3932" s="4">
        <v>1318</v>
      </c>
      <c r="Z3932" s="4">
        <v>33</v>
      </c>
      <c r="AA3932" s="4">
        <v>75</v>
      </c>
      <c r="AB3932" s="4">
        <v>3</v>
      </c>
      <c r="AC3932" s="4">
        <v>9</v>
      </c>
      <c r="AD3932" s="4">
        <v>112</v>
      </c>
      <c r="AE3932" s="4">
        <v>153</v>
      </c>
      <c r="AF3932" s="4">
        <v>1</v>
      </c>
      <c r="AG3932" s="4">
        <v>3</v>
      </c>
      <c r="AH3932" s="4">
        <v>94</v>
      </c>
      <c r="AI3932" s="4">
        <v>114</v>
      </c>
      <c r="AJ3932" s="4">
        <v>11</v>
      </c>
      <c r="AK3932" s="4">
        <v>21</v>
      </c>
      <c r="AL3932" s="4">
        <v>52</v>
      </c>
      <c r="AM3932" s="4">
        <v>61</v>
      </c>
      <c r="AN3932" s="4">
        <v>0</v>
      </c>
      <c r="AO3932" s="4">
        <v>0</v>
      </c>
      <c r="AP3932" s="4">
        <v>21</v>
      </c>
      <c r="AQ3932" s="4">
        <v>44</v>
      </c>
      <c r="AR3932" s="3" t="s">
        <v>62</v>
      </c>
      <c r="AS3932" s="3" t="s">
        <v>62</v>
      </c>
      <c r="AT3932" s="3" t="s">
        <v>61</v>
      </c>
      <c r="AU3932" s="6" t="str">
        <f>HYPERLINK("http://catalog.hathitrust.org/Record/000149986","HathiTrust Record")</f>
        <v>HathiTrust Record</v>
      </c>
      <c r="AV3932" s="6" t="str">
        <f>HYPERLINK("http://mcgill.on.worldcat.org/oclc/252499","Catalog Record")</f>
        <v>Catalog Record</v>
      </c>
      <c r="AW3932" s="6" t="str">
        <f>HYPERLINK("http://www.worldcat.org/oclc/252499","WorldCat Record")</f>
        <v>WorldCat Record</v>
      </c>
      <c r="AX3932" s="3" t="s">
        <v>37976</v>
      </c>
      <c r="AY3932" s="3" t="s">
        <v>37977</v>
      </c>
      <c r="AZ3932" s="3" t="s">
        <v>37978</v>
      </c>
      <c r="BA3932" s="3" t="s">
        <v>37978</v>
      </c>
      <c r="BB3932" s="3" t="s">
        <v>37981</v>
      </c>
      <c r="BC3932" s="3" t="s">
        <v>102</v>
      </c>
      <c r="BD3932" s="3" t="s">
        <v>68</v>
      </c>
      <c r="BF3932" s="3" t="s">
        <v>37981</v>
      </c>
      <c r="BG3932" s="3" t="s">
        <v>37982</v>
      </c>
    </row>
    <row r="3933" spans="1:59" ht="58" x14ac:dyDescent="0.35">
      <c r="A3933" s="2" t="s">
        <v>59</v>
      </c>
      <c r="B3933" s="2" t="s">
        <v>60</v>
      </c>
      <c r="C3933" s="2" t="s">
        <v>37983</v>
      </c>
      <c r="D3933" s="2" t="s">
        <v>37984</v>
      </c>
      <c r="E3933" s="2" t="s">
        <v>37985</v>
      </c>
      <c r="G3933" s="3" t="s">
        <v>62</v>
      </c>
      <c r="I3933" s="3" t="s">
        <v>62</v>
      </c>
      <c r="J3933" s="3" t="s">
        <v>62</v>
      </c>
      <c r="K3933" s="3" t="s">
        <v>63</v>
      </c>
      <c r="L3933" s="2" t="s">
        <v>37637</v>
      </c>
      <c r="M3933" s="2" t="s">
        <v>37986</v>
      </c>
      <c r="N3933" s="3" t="s">
        <v>824</v>
      </c>
      <c r="P3933" s="3" t="s">
        <v>64</v>
      </c>
      <c r="Q3933" s="2" t="s">
        <v>37987</v>
      </c>
      <c r="R3933" s="3" t="s">
        <v>34126</v>
      </c>
      <c r="S3933" s="4">
        <v>3</v>
      </c>
      <c r="T3933" s="4">
        <v>3</v>
      </c>
      <c r="U3933" s="5" t="s">
        <v>1686</v>
      </c>
      <c r="V3933" s="5" t="s">
        <v>1686</v>
      </c>
      <c r="W3933" s="5" t="s">
        <v>67</v>
      </c>
      <c r="X3933" s="5" t="s">
        <v>67</v>
      </c>
      <c r="Y3933" s="4">
        <v>1422</v>
      </c>
      <c r="Z3933" s="4">
        <v>41</v>
      </c>
      <c r="AA3933" s="4">
        <v>60</v>
      </c>
      <c r="AB3933" s="4">
        <v>3</v>
      </c>
      <c r="AC3933" s="4">
        <v>7</v>
      </c>
      <c r="AD3933" s="4">
        <v>127</v>
      </c>
      <c r="AE3933" s="4">
        <v>140</v>
      </c>
      <c r="AF3933" s="4">
        <v>1</v>
      </c>
      <c r="AG3933" s="4">
        <v>2</v>
      </c>
      <c r="AH3933" s="4">
        <v>108</v>
      </c>
      <c r="AI3933" s="4">
        <v>113</v>
      </c>
      <c r="AJ3933" s="4">
        <v>18</v>
      </c>
      <c r="AK3933" s="4">
        <v>21</v>
      </c>
      <c r="AL3933" s="4">
        <v>58</v>
      </c>
      <c r="AM3933" s="4">
        <v>61</v>
      </c>
      <c r="AN3933" s="4">
        <v>0</v>
      </c>
      <c r="AO3933" s="4">
        <v>0</v>
      </c>
      <c r="AP3933" s="4">
        <v>25</v>
      </c>
      <c r="AQ3933" s="4">
        <v>32</v>
      </c>
      <c r="AR3933" s="3" t="s">
        <v>62</v>
      </c>
      <c r="AS3933" s="3" t="s">
        <v>62</v>
      </c>
      <c r="AT3933" s="3" t="s">
        <v>61</v>
      </c>
      <c r="AU3933" s="6" t="str">
        <f>HYPERLINK("http://catalog.hathitrust.org/Record/000269175","HathiTrust Record")</f>
        <v>HathiTrust Record</v>
      </c>
      <c r="AV3933" s="6" t="str">
        <f>HYPERLINK("http://mcgill.on.worldcat.org/oclc/327379","Catalog Record")</f>
        <v>Catalog Record</v>
      </c>
      <c r="AW3933" s="6" t="str">
        <f>HYPERLINK("http://www.worldcat.org/oclc/327379","WorldCat Record")</f>
        <v>WorldCat Record</v>
      </c>
      <c r="AX3933" s="3" t="s">
        <v>37988</v>
      </c>
      <c r="AY3933" s="3" t="s">
        <v>37989</v>
      </c>
      <c r="AZ3933" s="3" t="s">
        <v>37990</v>
      </c>
      <c r="BA3933" s="3" t="s">
        <v>37990</v>
      </c>
      <c r="BB3933" s="3" t="s">
        <v>37991</v>
      </c>
      <c r="BC3933" s="3" t="s">
        <v>102</v>
      </c>
      <c r="BD3933" s="3" t="s">
        <v>68</v>
      </c>
      <c r="BE3933" s="3" t="s">
        <v>37992</v>
      </c>
      <c r="BF3933" s="3" t="s">
        <v>37991</v>
      </c>
      <c r="BG3933" s="3" t="s">
        <v>37993</v>
      </c>
    </row>
    <row r="3934" spans="1:59" ht="58" x14ac:dyDescent="0.35">
      <c r="A3934" s="2" t="s">
        <v>89</v>
      </c>
      <c r="B3934" s="2" t="s">
        <v>90</v>
      </c>
      <c r="C3934" s="2" t="s">
        <v>37994</v>
      </c>
      <c r="D3934" s="2" t="s">
        <v>37995</v>
      </c>
      <c r="E3934" s="2" t="s">
        <v>37996</v>
      </c>
      <c r="G3934" s="3" t="s">
        <v>62</v>
      </c>
      <c r="I3934" s="3" t="s">
        <v>62</v>
      </c>
      <c r="J3934" s="3" t="s">
        <v>62</v>
      </c>
      <c r="K3934" s="3" t="s">
        <v>63</v>
      </c>
      <c r="L3934" s="2" t="s">
        <v>37997</v>
      </c>
      <c r="M3934" s="2" t="s">
        <v>37998</v>
      </c>
      <c r="N3934" s="3" t="s">
        <v>1071</v>
      </c>
      <c r="P3934" s="3" t="s">
        <v>64</v>
      </c>
      <c r="Q3934" s="2" t="s">
        <v>37999</v>
      </c>
      <c r="R3934" s="3" t="s">
        <v>34126</v>
      </c>
      <c r="S3934" s="4">
        <v>1</v>
      </c>
      <c r="T3934" s="4">
        <v>1</v>
      </c>
      <c r="U3934" s="5" t="s">
        <v>38000</v>
      </c>
      <c r="V3934" s="5" t="s">
        <v>38000</v>
      </c>
      <c r="W3934" s="5" t="s">
        <v>67</v>
      </c>
      <c r="X3934" s="5" t="s">
        <v>67</v>
      </c>
      <c r="Y3934" s="4">
        <v>161</v>
      </c>
      <c r="Z3934" s="4">
        <v>9</v>
      </c>
      <c r="AA3934" s="4">
        <v>27</v>
      </c>
      <c r="AB3934" s="4">
        <v>1</v>
      </c>
      <c r="AC3934" s="4">
        <v>1</v>
      </c>
      <c r="AD3934" s="4">
        <v>59</v>
      </c>
      <c r="AE3934" s="4">
        <v>85</v>
      </c>
      <c r="AF3934" s="4">
        <v>0</v>
      </c>
      <c r="AG3934" s="4">
        <v>0</v>
      </c>
      <c r="AH3934" s="4">
        <v>54</v>
      </c>
      <c r="AI3934" s="4">
        <v>75</v>
      </c>
      <c r="AJ3934" s="4">
        <v>6</v>
      </c>
      <c r="AK3934" s="4">
        <v>12</v>
      </c>
      <c r="AL3934" s="4">
        <v>35</v>
      </c>
      <c r="AM3934" s="4">
        <v>43</v>
      </c>
      <c r="AN3934" s="4">
        <v>0</v>
      </c>
      <c r="AO3934" s="4">
        <v>0</v>
      </c>
      <c r="AP3934" s="4">
        <v>7</v>
      </c>
      <c r="AQ3934" s="4">
        <v>17</v>
      </c>
      <c r="AR3934" s="3" t="s">
        <v>62</v>
      </c>
      <c r="AS3934" s="3" t="s">
        <v>61</v>
      </c>
      <c r="AT3934" s="3" t="s">
        <v>62</v>
      </c>
      <c r="AU3934" s="6" t="str">
        <f>HYPERLINK("http://catalog.hathitrust.org/Record/000429758","HathiTrust Record")</f>
        <v>HathiTrust Record</v>
      </c>
      <c r="AV3934" s="6" t="str">
        <f>HYPERLINK("http://mcgill.on.worldcat.org/oclc/1515318","Catalog Record")</f>
        <v>Catalog Record</v>
      </c>
      <c r="AW3934" s="6" t="str">
        <f>HYPERLINK("http://www.worldcat.org/oclc/1515318","WorldCat Record")</f>
        <v>WorldCat Record</v>
      </c>
      <c r="AX3934" s="3" t="s">
        <v>38001</v>
      </c>
      <c r="AY3934" s="3" t="s">
        <v>38002</v>
      </c>
      <c r="AZ3934" s="3" t="s">
        <v>38003</v>
      </c>
      <c r="BA3934" s="3" t="s">
        <v>38003</v>
      </c>
      <c r="BB3934" s="3" t="s">
        <v>38004</v>
      </c>
      <c r="BC3934" s="3" t="s">
        <v>102</v>
      </c>
      <c r="BD3934" s="3" t="s">
        <v>68</v>
      </c>
      <c r="BF3934" s="3" t="s">
        <v>38004</v>
      </c>
      <c r="BG3934" s="3" t="s">
        <v>38005</v>
      </c>
    </row>
    <row r="3935" spans="1:59" ht="58" x14ac:dyDescent="0.35">
      <c r="A3935" s="2" t="s">
        <v>59</v>
      </c>
      <c r="B3935" s="2" t="s">
        <v>60</v>
      </c>
      <c r="C3935" s="2" t="s">
        <v>38006</v>
      </c>
      <c r="D3935" s="2" t="s">
        <v>38007</v>
      </c>
      <c r="E3935" s="2" t="s">
        <v>38008</v>
      </c>
      <c r="G3935" s="3" t="s">
        <v>62</v>
      </c>
      <c r="I3935" s="3" t="s">
        <v>62</v>
      </c>
      <c r="J3935" s="3" t="s">
        <v>62</v>
      </c>
      <c r="K3935" s="3" t="s">
        <v>63</v>
      </c>
      <c r="L3935" s="2" t="s">
        <v>38009</v>
      </c>
      <c r="M3935" s="2" t="s">
        <v>38010</v>
      </c>
      <c r="N3935" s="3" t="s">
        <v>95</v>
      </c>
      <c r="P3935" s="3" t="s">
        <v>64</v>
      </c>
      <c r="R3935" s="3" t="s">
        <v>34126</v>
      </c>
      <c r="S3935" s="4">
        <v>10</v>
      </c>
      <c r="T3935" s="4">
        <v>10</v>
      </c>
      <c r="U3935" s="5" t="s">
        <v>3650</v>
      </c>
      <c r="V3935" s="5" t="s">
        <v>3650</v>
      </c>
      <c r="W3935" s="5" t="s">
        <v>67</v>
      </c>
      <c r="X3935" s="5" t="s">
        <v>67</v>
      </c>
      <c r="Y3935" s="4">
        <v>987</v>
      </c>
      <c r="Z3935" s="4">
        <v>16</v>
      </c>
      <c r="AA3935" s="4">
        <v>37</v>
      </c>
      <c r="AB3935" s="4">
        <v>1</v>
      </c>
      <c r="AC3935" s="4">
        <v>1</v>
      </c>
      <c r="AD3935" s="4">
        <v>73</v>
      </c>
      <c r="AE3935" s="4">
        <v>87</v>
      </c>
      <c r="AF3935" s="4">
        <v>0</v>
      </c>
      <c r="AG3935" s="4">
        <v>0</v>
      </c>
      <c r="AH3935" s="4">
        <v>66</v>
      </c>
      <c r="AI3935" s="4">
        <v>76</v>
      </c>
      <c r="AJ3935" s="4">
        <v>6</v>
      </c>
      <c r="AK3935" s="4">
        <v>11</v>
      </c>
      <c r="AL3935" s="4">
        <v>37</v>
      </c>
      <c r="AM3935" s="4">
        <v>42</v>
      </c>
      <c r="AN3935" s="4">
        <v>0</v>
      </c>
      <c r="AO3935" s="4">
        <v>0</v>
      </c>
      <c r="AP3935" s="4">
        <v>9</v>
      </c>
      <c r="AQ3935" s="4">
        <v>16</v>
      </c>
      <c r="AR3935" s="3" t="s">
        <v>62</v>
      </c>
      <c r="AS3935" s="3" t="s">
        <v>62</v>
      </c>
      <c r="AT3935" s="3" t="s">
        <v>62</v>
      </c>
      <c r="AV3935" s="6" t="str">
        <f>HYPERLINK("http://mcgill.on.worldcat.org/oclc/7551057","Catalog Record")</f>
        <v>Catalog Record</v>
      </c>
      <c r="AW3935" s="6" t="str">
        <f>HYPERLINK("http://www.worldcat.org/oclc/7551057","WorldCat Record")</f>
        <v>WorldCat Record</v>
      </c>
      <c r="AX3935" s="3" t="s">
        <v>38011</v>
      </c>
      <c r="AY3935" s="3" t="s">
        <v>38012</v>
      </c>
      <c r="AZ3935" s="3" t="s">
        <v>38013</v>
      </c>
      <c r="BA3935" s="3" t="s">
        <v>38013</v>
      </c>
      <c r="BB3935" s="3" t="s">
        <v>38014</v>
      </c>
      <c r="BC3935" s="3" t="s">
        <v>102</v>
      </c>
      <c r="BD3935" s="3" t="s">
        <v>6923</v>
      </c>
      <c r="BE3935" s="3" t="s">
        <v>38015</v>
      </c>
      <c r="BF3935" s="3" t="s">
        <v>38014</v>
      </c>
      <c r="BG3935" s="3" t="s">
        <v>38016</v>
      </c>
    </row>
    <row r="3936" spans="1:59" ht="58" x14ac:dyDescent="0.35">
      <c r="A3936" s="2" t="s">
        <v>59</v>
      </c>
      <c r="B3936" s="2" t="s">
        <v>60</v>
      </c>
      <c r="C3936" s="2" t="s">
        <v>38017</v>
      </c>
      <c r="D3936" s="2" t="s">
        <v>38018</v>
      </c>
      <c r="E3936" s="2" t="s">
        <v>38019</v>
      </c>
      <c r="G3936" s="3" t="s">
        <v>62</v>
      </c>
      <c r="I3936" s="3" t="s">
        <v>61</v>
      </c>
      <c r="J3936" s="3" t="s">
        <v>62</v>
      </c>
      <c r="K3936" s="3" t="s">
        <v>63</v>
      </c>
      <c r="L3936" s="2" t="s">
        <v>38020</v>
      </c>
      <c r="M3936" s="2" t="s">
        <v>38021</v>
      </c>
      <c r="N3936" s="3" t="s">
        <v>893</v>
      </c>
      <c r="P3936" s="3" t="s">
        <v>64</v>
      </c>
      <c r="Q3936" s="2" t="s">
        <v>38022</v>
      </c>
      <c r="R3936" s="3" t="s">
        <v>34126</v>
      </c>
      <c r="S3936" s="4">
        <v>2</v>
      </c>
      <c r="T3936" s="4">
        <v>7</v>
      </c>
      <c r="U3936" s="5" t="s">
        <v>15100</v>
      </c>
      <c r="V3936" s="5" t="s">
        <v>15100</v>
      </c>
      <c r="W3936" s="5" t="s">
        <v>67</v>
      </c>
      <c r="X3936" s="5" t="s">
        <v>67</v>
      </c>
      <c r="Y3936" s="4">
        <v>765</v>
      </c>
      <c r="Z3936" s="4">
        <v>34</v>
      </c>
      <c r="AA3936" s="4">
        <v>36</v>
      </c>
      <c r="AB3936" s="4">
        <v>1</v>
      </c>
      <c r="AC3936" s="4">
        <v>3</v>
      </c>
      <c r="AD3936" s="4">
        <v>115</v>
      </c>
      <c r="AE3936" s="4">
        <v>122</v>
      </c>
      <c r="AF3936" s="4">
        <v>0</v>
      </c>
      <c r="AG3936" s="4">
        <v>1</v>
      </c>
      <c r="AH3936" s="4">
        <v>96</v>
      </c>
      <c r="AI3936" s="4">
        <v>102</v>
      </c>
      <c r="AJ3936" s="4">
        <v>17</v>
      </c>
      <c r="AK3936" s="4">
        <v>17</v>
      </c>
      <c r="AL3936" s="4">
        <v>50</v>
      </c>
      <c r="AM3936" s="4">
        <v>56</v>
      </c>
      <c r="AN3936" s="4">
        <v>0</v>
      </c>
      <c r="AO3936" s="4">
        <v>0</v>
      </c>
      <c r="AP3936" s="4">
        <v>25</v>
      </c>
      <c r="AQ3936" s="4">
        <v>26</v>
      </c>
      <c r="AR3936" s="3" t="s">
        <v>62</v>
      </c>
      <c r="AS3936" s="3" t="s">
        <v>62</v>
      </c>
      <c r="AT3936" s="3" t="s">
        <v>62</v>
      </c>
      <c r="AV3936" s="6" t="str">
        <f>HYPERLINK("http://mcgill.on.worldcat.org/oclc/7837291","Catalog Record")</f>
        <v>Catalog Record</v>
      </c>
      <c r="AW3936" s="6" t="str">
        <f>HYPERLINK("http://www.worldcat.org/oclc/7837291","WorldCat Record")</f>
        <v>WorldCat Record</v>
      </c>
      <c r="AX3936" s="3" t="s">
        <v>38023</v>
      </c>
      <c r="AY3936" s="3" t="s">
        <v>38024</v>
      </c>
      <c r="AZ3936" s="3" t="s">
        <v>38025</v>
      </c>
      <c r="BA3936" s="3" t="s">
        <v>38025</v>
      </c>
      <c r="BB3936" s="3" t="s">
        <v>38026</v>
      </c>
      <c r="BC3936" s="3" t="s">
        <v>102</v>
      </c>
      <c r="BD3936" s="3" t="s">
        <v>68</v>
      </c>
      <c r="BE3936" s="3" t="s">
        <v>38027</v>
      </c>
      <c r="BF3936" s="3" t="s">
        <v>38026</v>
      </c>
      <c r="BG3936" s="3" t="s">
        <v>38028</v>
      </c>
    </row>
    <row r="3937" spans="1:59" ht="58" x14ac:dyDescent="0.35">
      <c r="A3937" s="2" t="s">
        <v>59</v>
      </c>
      <c r="B3937" s="2" t="s">
        <v>60</v>
      </c>
      <c r="C3937" s="2" t="s">
        <v>38017</v>
      </c>
      <c r="D3937" s="2" t="s">
        <v>38018</v>
      </c>
      <c r="E3937" s="2" t="s">
        <v>38019</v>
      </c>
      <c r="G3937" s="3" t="s">
        <v>62</v>
      </c>
      <c r="I3937" s="3" t="s">
        <v>61</v>
      </c>
      <c r="J3937" s="3" t="s">
        <v>62</v>
      </c>
      <c r="K3937" s="3" t="s">
        <v>63</v>
      </c>
      <c r="L3937" s="2" t="s">
        <v>38020</v>
      </c>
      <c r="M3937" s="2" t="s">
        <v>38021</v>
      </c>
      <c r="N3937" s="3" t="s">
        <v>893</v>
      </c>
      <c r="P3937" s="3" t="s">
        <v>64</v>
      </c>
      <c r="Q3937" s="2" t="s">
        <v>38022</v>
      </c>
      <c r="R3937" s="3" t="s">
        <v>34126</v>
      </c>
      <c r="S3937" s="4">
        <v>5</v>
      </c>
      <c r="T3937" s="4">
        <v>7</v>
      </c>
      <c r="U3937" s="5" t="s">
        <v>38029</v>
      </c>
      <c r="V3937" s="5" t="s">
        <v>15100</v>
      </c>
      <c r="W3937" s="5" t="s">
        <v>67</v>
      </c>
      <c r="X3937" s="5" t="s">
        <v>67</v>
      </c>
      <c r="Y3937" s="4">
        <v>765</v>
      </c>
      <c r="Z3937" s="4">
        <v>34</v>
      </c>
      <c r="AA3937" s="4">
        <v>36</v>
      </c>
      <c r="AB3937" s="4">
        <v>1</v>
      </c>
      <c r="AC3937" s="4">
        <v>3</v>
      </c>
      <c r="AD3937" s="4">
        <v>115</v>
      </c>
      <c r="AE3937" s="4">
        <v>122</v>
      </c>
      <c r="AF3937" s="4">
        <v>0</v>
      </c>
      <c r="AG3937" s="4">
        <v>1</v>
      </c>
      <c r="AH3937" s="4">
        <v>96</v>
      </c>
      <c r="AI3937" s="4">
        <v>102</v>
      </c>
      <c r="AJ3937" s="4">
        <v>17</v>
      </c>
      <c r="AK3937" s="4">
        <v>17</v>
      </c>
      <c r="AL3937" s="4">
        <v>50</v>
      </c>
      <c r="AM3937" s="4">
        <v>56</v>
      </c>
      <c r="AN3937" s="4">
        <v>0</v>
      </c>
      <c r="AO3937" s="4">
        <v>0</v>
      </c>
      <c r="AP3937" s="4">
        <v>25</v>
      </c>
      <c r="AQ3937" s="4">
        <v>26</v>
      </c>
      <c r="AR3937" s="3" t="s">
        <v>62</v>
      </c>
      <c r="AS3937" s="3" t="s">
        <v>62</v>
      </c>
      <c r="AT3937" s="3" t="s">
        <v>62</v>
      </c>
      <c r="AV3937" s="6" t="str">
        <f>HYPERLINK("http://mcgill.on.worldcat.org/oclc/7837291","Catalog Record")</f>
        <v>Catalog Record</v>
      </c>
      <c r="AW3937" s="6" t="str">
        <f>HYPERLINK("http://www.worldcat.org/oclc/7837291","WorldCat Record")</f>
        <v>WorldCat Record</v>
      </c>
      <c r="AX3937" s="3" t="s">
        <v>38023</v>
      </c>
      <c r="AY3937" s="3" t="s">
        <v>38024</v>
      </c>
      <c r="AZ3937" s="3" t="s">
        <v>38025</v>
      </c>
      <c r="BA3937" s="3" t="s">
        <v>38025</v>
      </c>
      <c r="BB3937" s="3" t="s">
        <v>38030</v>
      </c>
      <c r="BC3937" s="3" t="s">
        <v>102</v>
      </c>
      <c r="BD3937" s="3" t="s">
        <v>68</v>
      </c>
      <c r="BE3937" s="3" t="s">
        <v>38027</v>
      </c>
      <c r="BF3937" s="3" t="s">
        <v>38030</v>
      </c>
      <c r="BG3937" s="3" t="s">
        <v>38031</v>
      </c>
    </row>
    <row r="3938" spans="1:59" ht="58" x14ac:dyDescent="0.35">
      <c r="A3938" s="2" t="s">
        <v>59</v>
      </c>
      <c r="B3938" s="2" t="s">
        <v>60</v>
      </c>
      <c r="C3938" s="2" t="s">
        <v>38032</v>
      </c>
      <c r="D3938" s="2" t="s">
        <v>38033</v>
      </c>
      <c r="E3938" s="2" t="s">
        <v>38034</v>
      </c>
      <c r="G3938" s="3" t="s">
        <v>62</v>
      </c>
      <c r="I3938" s="3" t="s">
        <v>61</v>
      </c>
      <c r="J3938" s="3" t="s">
        <v>61</v>
      </c>
      <c r="K3938" s="3" t="s">
        <v>63</v>
      </c>
      <c r="L3938" s="2" t="s">
        <v>36438</v>
      </c>
      <c r="M3938" s="2" t="s">
        <v>38035</v>
      </c>
      <c r="N3938" s="3" t="s">
        <v>1467</v>
      </c>
      <c r="P3938" s="3" t="s">
        <v>64</v>
      </c>
      <c r="R3938" s="3" t="s">
        <v>34126</v>
      </c>
      <c r="S3938" s="4">
        <v>3</v>
      </c>
      <c r="T3938" s="4">
        <v>36</v>
      </c>
      <c r="U3938" s="5" t="s">
        <v>38036</v>
      </c>
      <c r="V3938" s="5" t="s">
        <v>23605</v>
      </c>
      <c r="W3938" s="5" t="s">
        <v>67</v>
      </c>
      <c r="X3938" s="5" t="s">
        <v>67</v>
      </c>
      <c r="Y3938" s="4">
        <v>1417</v>
      </c>
      <c r="Z3938" s="4">
        <v>52</v>
      </c>
      <c r="AA3938" s="4">
        <v>64</v>
      </c>
      <c r="AB3938" s="4">
        <v>3</v>
      </c>
      <c r="AC3938" s="4">
        <v>10</v>
      </c>
      <c r="AD3938" s="4">
        <v>144</v>
      </c>
      <c r="AE3938" s="4">
        <v>151</v>
      </c>
      <c r="AF3938" s="4">
        <v>1</v>
      </c>
      <c r="AG3938" s="4">
        <v>5</v>
      </c>
      <c r="AH3938" s="4">
        <v>114</v>
      </c>
      <c r="AI3938" s="4">
        <v>115</v>
      </c>
      <c r="AJ3938" s="4">
        <v>24</v>
      </c>
      <c r="AK3938" s="4">
        <v>28</v>
      </c>
      <c r="AL3938" s="4">
        <v>59</v>
      </c>
      <c r="AM3938" s="4">
        <v>59</v>
      </c>
      <c r="AN3938" s="4">
        <v>3</v>
      </c>
      <c r="AO3938" s="4">
        <v>3</v>
      </c>
      <c r="AP3938" s="4">
        <v>36</v>
      </c>
      <c r="AQ3938" s="4">
        <v>42</v>
      </c>
      <c r="AR3938" s="3" t="s">
        <v>62</v>
      </c>
      <c r="AS3938" s="3" t="s">
        <v>62</v>
      </c>
      <c r="AT3938" s="3" t="s">
        <v>61</v>
      </c>
      <c r="AU3938" s="6" t="str">
        <f>HYPERLINK("http://catalog.hathitrust.org/Record/001491942","HathiTrust Record")</f>
        <v>HathiTrust Record</v>
      </c>
      <c r="AV3938" s="6" t="str">
        <f>HYPERLINK("http://mcgill.on.worldcat.org/oclc/551391","Catalog Record")</f>
        <v>Catalog Record</v>
      </c>
      <c r="AW3938" s="6" t="str">
        <f>HYPERLINK("http://www.worldcat.org/oclc/551391","WorldCat Record")</f>
        <v>WorldCat Record</v>
      </c>
      <c r="AX3938" s="3" t="s">
        <v>38037</v>
      </c>
      <c r="AY3938" s="3" t="s">
        <v>38038</v>
      </c>
      <c r="AZ3938" s="3" t="s">
        <v>38039</v>
      </c>
      <c r="BA3938" s="3" t="s">
        <v>38039</v>
      </c>
      <c r="BB3938" s="3" t="s">
        <v>38040</v>
      </c>
      <c r="BC3938" s="3" t="s">
        <v>102</v>
      </c>
      <c r="BD3938" s="3" t="s">
        <v>231</v>
      </c>
      <c r="BE3938" s="3" t="s">
        <v>38041</v>
      </c>
      <c r="BF3938" s="3" t="s">
        <v>38040</v>
      </c>
      <c r="BG3938" s="3" t="s">
        <v>38042</v>
      </c>
    </row>
    <row r="3939" spans="1:59" ht="58" x14ac:dyDescent="0.35">
      <c r="A3939" s="2" t="s">
        <v>89</v>
      </c>
      <c r="B3939" s="2" t="s">
        <v>90</v>
      </c>
      <c r="C3939" s="2" t="s">
        <v>38043</v>
      </c>
      <c r="D3939" s="2" t="s">
        <v>38044</v>
      </c>
      <c r="E3939" s="2" t="s">
        <v>38045</v>
      </c>
      <c r="G3939" s="3" t="s">
        <v>62</v>
      </c>
      <c r="I3939" s="3" t="s">
        <v>62</v>
      </c>
      <c r="J3939" s="3" t="s">
        <v>61</v>
      </c>
      <c r="K3939" s="3" t="s">
        <v>63</v>
      </c>
      <c r="L3939" s="2" t="s">
        <v>37815</v>
      </c>
      <c r="M3939" s="2" t="s">
        <v>38046</v>
      </c>
      <c r="N3939" s="3" t="s">
        <v>1482</v>
      </c>
      <c r="P3939" s="3" t="s">
        <v>64</v>
      </c>
      <c r="R3939" s="3" t="s">
        <v>34126</v>
      </c>
      <c r="S3939" s="4">
        <v>26</v>
      </c>
      <c r="T3939" s="4">
        <v>26</v>
      </c>
      <c r="U3939" s="5" t="s">
        <v>14456</v>
      </c>
      <c r="V3939" s="5" t="s">
        <v>14456</v>
      </c>
      <c r="W3939" s="5" t="s">
        <v>67</v>
      </c>
      <c r="X3939" s="5" t="s">
        <v>67</v>
      </c>
      <c r="Y3939" s="4">
        <v>651</v>
      </c>
      <c r="Z3939" s="4">
        <v>40</v>
      </c>
      <c r="AA3939" s="4">
        <v>61</v>
      </c>
      <c r="AB3939" s="4">
        <v>1</v>
      </c>
      <c r="AC3939" s="4">
        <v>5</v>
      </c>
      <c r="AD3939" s="4">
        <v>119</v>
      </c>
      <c r="AE3939" s="4">
        <v>143</v>
      </c>
      <c r="AF3939" s="4">
        <v>0</v>
      </c>
      <c r="AG3939" s="4">
        <v>3</v>
      </c>
      <c r="AH3939" s="4">
        <v>98</v>
      </c>
      <c r="AI3939" s="4">
        <v>111</v>
      </c>
      <c r="AJ3939" s="4">
        <v>19</v>
      </c>
      <c r="AK3939" s="4">
        <v>27</v>
      </c>
      <c r="AL3939" s="4">
        <v>48</v>
      </c>
      <c r="AM3939" s="4">
        <v>56</v>
      </c>
      <c r="AN3939" s="4">
        <v>0</v>
      </c>
      <c r="AO3939" s="4">
        <v>0</v>
      </c>
      <c r="AP3939" s="4">
        <v>27</v>
      </c>
      <c r="AQ3939" s="4">
        <v>40</v>
      </c>
      <c r="AR3939" s="3" t="s">
        <v>62</v>
      </c>
      <c r="AS3939" s="3" t="s">
        <v>62</v>
      </c>
      <c r="AT3939" s="3" t="s">
        <v>62</v>
      </c>
      <c r="AV3939" s="6" t="str">
        <f>HYPERLINK("http://mcgill.on.worldcat.org/oclc/12236751","Catalog Record")</f>
        <v>Catalog Record</v>
      </c>
      <c r="AW3939" s="6" t="str">
        <f>HYPERLINK("http://www.worldcat.org/oclc/12236751","WorldCat Record")</f>
        <v>WorldCat Record</v>
      </c>
      <c r="AX3939" s="3" t="s">
        <v>38047</v>
      </c>
      <c r="AY3939" s="3" t="s">
        <v>38048</v>
      </c>
      <c r="AZ3939" s="3" t="s">
        <v>38049</v>
      </c>
      <c r="BA3939" s="3" t="s">
        <v>38049</v>
      </c>
      <c r="BB3939" s="3" t="s">
        <v>38050</v>
      </c>
      <c r="BC3939" s="3" t="s">
        <v>102</v>
      </c>
      <c r="BD3939" s="3" t="s">
        <v>68</v>
      </c>
      <c r="BE3939" s="3" t="s">
        <v>38051</v>
      </c>
      <c r="BF3939" s="3" t="s">
        <v>38050</v>
      </c>
      <c r="BG3939" s="3" t="s">
        <v>38052</v>
      </c>
    </row>
    <row r="3940" spans="1:59" ht="58" x14ac:dyDescent="0.35">
      <c r="A3940" s="2" t="s">
        <v>89</v>
      </c>
      <c r="B3940" s="2" t="s">
        <v>90</v>
      </c>
      <c r="C3940" s="2" t="s">
        <v>38053</v>
      </c>
      <c r="D3940" s="2" t="s">
        <v>38054</v>
      </c>
      <c r="E3940" s="2" t="s">
        <v>38055</v>
      </c>
      <c r="G3940" s="3" t="s">
        <v>62</v>
      </c>
      <c r="I3940" s="3" t="s">
        <v>62</v>
      </c>
      <c r="J3940" s="3" t="s">
        <v>62</v>
      </c>
      <c r="K3940" s="3" t="s">
        <v>63</v>
      </c>
      <c r="L3940" s="2" t="s">
        <v>38056</v>
      </c>
      <c r="M3940" s="2" t="s">
        <v>38057</v>
      </c>
      <c r="N3940" s="3" t="s">
        <v>1195</v>
      </c>
      <c r="P3940" s="3" t="s">
        <v>64</v>
      </c>
      <c r="R3940" s="3" t="s">
        <v>34126</v>
      </c>
      <c r="S3940" s="4">
        <v>6</v>
      </c>
      <c r="T3940" s="4">
        <v>6</v>
      </c>
      <c r="U3940" s="5" t="s">
        <v>4350</v>
      </c>
      <c r="V3940" s="5" t="s">
        <v>4350</v>
      </c>
      <c r="W3940" s="5" t="s">
        <v>67</v>
      </c>
      <c r="X3940" s="5" t="s">
        <v>67</v>
      </c>
      <c r="Y3940" s="4">
        <v>1094</v>
      </c>
      <c r="Z3940" s="4">
        <v>46</v>
      </c>
      <c r="AA3940" s="4">
        <v>52</v>
      </c>
      <c r="AB3940" s="4">
        <v>2</v>
      </c>
      <c r="AC3940" s="4">
        <v>5</v>
      </c>
      <c r="AD3940" s="4">
        <v>89</v>
      </c>
      <c r="AE3940" s="4">
        <v>92</v>
      </c>
      <c r="AF3940" s="4">
        <v>0</v>
      </c>
      <c r="AG3940" s="4">
        <v>0</v>
      </c>
      <c r="AH3940" s="4">
        <v>83</v>
      </c>
      <c r="AI3940" s="4">
        <v>85</v>
      </c>
      <c r="AJ3940" s="4">
        <v>11</v>
      </c>
      <c r="AK3940" s="4">
        <v>11</v>
      </c>
      <c r="AL3940" s="4">
        <v>42</v>
      </c>
      <c r="AM3940" s="4">
        <v>43</v>
      </c>
      <c r="AN3940" s="4">
        <v>5</v>
      </c>
      <c r="AO3940" s="4">
        <v>5</v>
      </c>
      <c r="AP3940" s="4">
        <v>13</v>
      </c>
      <c r="AQ3940" s="4">
        <v>13</v>
      </c>
      <c r="AR3940" s="3" t="s">
        <v>62</v>
      </c>
      <c r="AS3940" s="3" t="s">
        <v>62</v>
      </c>
      <c r="AT3940" s="3" t="s">
        <v>61</v>
      </c>
      <c r="AU3940" s="6" t="str">
        <f>HYPERLINK("http://catalog.hathitrust.org/Record/005402914","HathiTrust Record")</f>
        <v>HathiTrust Record</v>
      </c>
      <c r="AV3940" s="6" t="str">
        <f>HYPERLINK("http://mcgill.on.worldcat.org/oclc/70265481","Catalog Record")</f>
        <v>Catalog Record</v>
      </c>
      <c r="AW3940" s="6" t="str">
        <f>HYPERLINK("http://www.worldcat.org/oclc/70265481","WorldCat Record")</f>
        <v>WorldCat Record</v>
      </c>
      <c r="AX3940" s="3" t="s">
        <v>38058</v>
      </c>
      <c r="AY3940" s="3" t="s">
        <v>38059</v>
      </c>
      <c r="AZ3940" s="3" t="s">
        <v>38060</v>
      </c>
      <c r="BA3940" s="3" t="s">
        <v>38060</v>
      </c>
      <c r="BB3940" s="3" t="s">
        <v>38061</v>
      </c>
      <c r="BC3940" s="3" t="s">
        <v>102</v>
      </c>
      <c r="BD3940" s="3" t="s">
        <v>68</v>
      </c>
      <c r="BE3940" s="3" t="s">
        <v>38062</v>
      </c>
      <c r="BF3940" s="3" t="s">
        <v>38061</v>
      </c>
      <c r="BG3940" s="3" t="s">
        <v>38063</v>
      </c>
    </row>
    <row r="3941" spans="1:59" ht="58" x14ac:dyDescent="0.35">
      <c r="A3941" s="2" t="s">
        <v>89</v>
      </c>
      <c r="B3941" s="2" t="s">
        <v>90</v>
      </c>
      <c r="C3941" s="2" t="s">
        <v>38064</v>
      </c>
      <c r="D3941" s="2" t="s">
        <v>38065</v>
      </c>
      <c r="E3941" s="2" t="s">
        <v>38066</v>
      </c>
      <c r="G3941" s="3" t="s">
        <v>62</v>
      </c>
      <c r="I3941" s="3" t="s">
        <v>61</v>
      </c>
      <c r="J3941" s="3" t="s">
        <v>62</v>
      </c>
      <c r="K3941" s="3" t="s">
        <v>63</v>
      </c>
      <c r="L3941" s="2" t="s">
        <v>38067</v>
      </c>
      <c r="M3941" s="2" t="s">
        <v>38068</v>
      </c>
      <c r="N3941" s="3" t="s">
        <v>524</v>
      </c>
      <c r="P3941" s="3" t="s">
        <v>64</v>
      </c>
      <c r="R3941" s="3" t="s">
        <v>34126</v>
      </c>
      <c r="S3941" s="4">
        <v>11</v>
      </c>
      <c r="T3941" s="4">
        <v>67</v>
      </c>
      <c r="U3941" s="5" t="s">
        <v>9608</v>
      </c>
      <c r="V3941" s="5" t="s">
        <v>7448</v>
      </c>
      <c r="W3941" s="5" t="s">
        <v>67</v>
      </c>
      <c r="X3941" s="5" t="s">
        <v>67</v>
      </c>
      <c r="Y3941" s="4">
        <v>2003</v>
      </c>
      <c r="Z3941" s="4">
        <v>65</v>
      </c>
      <c r="AA3941" s="4">
        <v>93</v>
      </c>
      <c r="AB3941" s="4">
        <v>3</v>
      </c>
      <c r="AC3941" s="4">
        <v>10</v>
      </c>
      <c r="AD3941" s="4">
        <v>134</v>
      </c>
      <c r="AE3941" s="4">
        <v>147</v>
      </c>
      <c r="AF3941" s="4">
        <v>2</v>
      </c>
      <c r="AG3941" s="4">
        <v>4</v>
      </c>
      <c r="AH3941" s="4">
        <v>107</v>
      </c>
      <c r="AI3941" s="4">
        <v>110</v>
      </c>
      <c r="AJ3941" s="4">
        <v>17</v>
      </c>
      <c r="AK3941" s="4">
        <v>21</v>
      </c>
      <c r="AL3941" s="4">
        <v>58</v>
      </c>
      <c r="AM3941" s="4">
        <v>59</v>
      </c>
      <c r="AN3941" s="4">
        <v>0</v>
      </c>
      <c r="AO3941" s="4">
        <v>0</v>
      </c>
      <c r="AP3941" s="4">
        <v>33</v>
      </c>
      <c r="AQ3941" s="4">
        <v>43</v>
      </c>
      <c r="AR3941" s="3" t="s">
        <v>62</v>
      </c>
      <c r="AS3941" s="3" t="s">
        <v>62</v>
      </c>
      <c r="AT3941" s="3" t="s">
        <v>61</v>
      </c>
      <c r="AU3941" s="6" t="str">
        <f>HYPERLINK("http://catalog.hathitrust.org/Record/002966762","HathiTrust Record")</f>
        <v>HathiTrust Record</v>
      </c>
      <c r="AV3941" s="6" t="str">
        <f>HYPERLINK("http://mcgill.on.worldcat.org/oclc/31867409","Catalog Record")</f>
        <v>Catalog Record</v>
      </c>
      <c r="AW3941" s="6" t="str">
        <f>HYPERLINK("http://www.worldcat.org/oclc/31867409","WorldCat Record")</f>
        <v>WorldCat Record</v>
      </c>
      <c r="AX3941" s="3" t="s">
        <v>38069</v>
      </c>
      <c r="AY3941" s="3" t="s">
        <v>38070</v>
      </c>
      <c r="AZ3941" s="3" t="s">
        <v>38071</v>
      </c>
      <c r="BA3941" s="3" t="s">
        <v>38071</v>
      </c>
      <c r="BB3941" s="3" t="s">
        <v>38072</v>
      </c>
      <c r="BC3941" s="3" t="s">
        <v>102</v>
      </c>
      <c r="BD3941" s="3" t="s">
        <v>68</v>
      </c>
      <c r="BE3941" s="3" t="s">
        <v>38073</v>
      </c>
      <c r="BF3941" s="3" t="s">
        <v>38072</v>
      </c>
      <c r="BG3941" s="3" t="s">
        <v>38074</v>
      </c>
    </row>
    <row r="3942" spans="1:59" ht="58" x14ac:dyDescent="0.35">
      <c r="A3942" s="2" t="s">
        <v>89</v>
      </c>
      <c r="B3942" s="2" t="s">
        <v>90</v>
      </c>
      <c r="C3942" s="2" t="s">
        <v>38064</v>
      </c>
      <c r="D3942" s="2" t="s">
        <v>38065</v>
      </c>
      <c r="E3942" s="2" t="s">
        <v>38066</v>
      </c>
      <c r="G3942" s="3" t="s">
        <v>62</v>
      </c>
      <c r="I3942" s="3" t="s">
        <v>61</v>
      </c>
      <c r="J3942" s="3" t="s">
        <v>62</v>
      </c>
      <c r="K3942" s="3" t="s">
        <v>63</v>
      </c>
      <c r="L3942" s="2" t="s">
        <v>38067</v>
      </c>
      <c r="M3942" s="2" t="s">
        <v>38068</v>
      </c>
      <c r="N3942" s="3" t="s">
        <v>524</v>
      </c>
      <c r="P3942" s="3" t="s">
        <v>64</v>
      </c>
      <c r="R3942" s="3" t="s">
        <v>34126</v>
      </c>
      <c r="S3942" s="4">
        <v>8</v>
      </c>
      <c r="T3942" s="4">
        <v>67</v>
      </c>
      <c r="U3942" s="5" t="s">
        <v>7448</v>
      </c>
      <c r="V3942" s="5" t="s">
        <v>7448</v>
      </c>
      <c r="W3942" s="5" t="s">
        <v>67</v>
      </c>
      <c r="X3942" s="5" t="s">
        <v>67</v>
      </c>
      <c r="Y3942" s="4">
        <v>2003</v>
      </c>
      <c r="Z3942" s="4">
        <v>65</v>
      </c>
      <c r="AA3942" s="4">
        <v>93</v>
      </c>
      <c r="AB3942" s="4">
        <v>3</v>
      </c>
      <c r="AC3942" s="4">
        <v>10</v>
      </c>
      <c r="AD3942" s="4">
        <v>134</v>
      </c>
      <c r="AE3942" s="4">
        <v>147</v>
      </c>
      <c r="AF3942" s="4">
        <v>2</v>
      </c>
      <c r="AG3942" s="4">
        <v>4</v>
      </c>
      <c r="AH3942" s="4">
        <v>107</v>
      </c>
      <c r="AI3942" s="4">
        <v>110</v>
      </c>
      <c r="AJ3942" s="4">
        <v>17</v>
      </c>
      <c r="AK3942" s="4">
        <v>21</v>
      </c>
      <c r="AL3942" s="4">
        <v>58</v>
      </c>
      <c r="AM3942" s="4">
        <v>59</v>
      </c>
      <c r="AN3942" s="4">
        <v>0</v>
      </c>
      <c r="AO3942" s="4">
        <v>0</v>
      </c>
      <c r="AP3942" s="4">
        <v>33</v>
      </c>
      <c r="AQ3942" s="4">
        <v>43</v>
      </c>
      <c r="AR3942" s="3" t="s">
        <v>62</v>
      </c>
      <c r="AS3942" s="3" t="s">
        <v>62</v>
      </c>
      <c r="AT3942" s="3" t="s">
        <v>61</v>
      </c>
      <c r="AU3942" s="6" t="str">
        <f>HYPERLINK("http://catalog.hathitrust.org/Record/002966762","HathiTrust Record")</f>
        <v>HathiTrust Record</v>
      </c>
      <c r="AV3942" s="6" t="str">
        <f>HYPERLINK("http://mcgill.on.worldcat.org/oclc/31867409","Catalog Record")</f>
        <v>Catalog Record</v>
      </c>
      <c r="AW3942" s="6" t="str">
        <f>HYPERLINK("http://www.worldcat.org/oclc/31867409","WorldCat Record")</f>
        <v>WorldCat Record</v>
      </c>
      <c r="AX3942" s="3" t="s">
        <v>38069</v>
      </c>
      <c r="AY3942" s="3" t="s">
        <v>38070</v>
      </c>
      <c r="AZ3942" s="3" t="s">
        <v>38071</v>
      </c>
      <c r="BA3942" s="3" t="s">
        <v>38071</v>
      </c>
      <c r="BB3942" s="3" t="s">
        <v>38075</v>
      </c>
      <c r="BC3942" s="3" t="s">
        <v>102</v>
      </c>
      <c r="BD3942" s="3" t="s">
        <v>68</v>
      </c>
      <c r="BE3942" s="3" t="s">
        <v>38073</v>
      </c>
      <c r="BF3942" s="3" t="s">
        <v>38075</v>
      </c>
      <c r="BG3942" s="3" t="s">
        <v>38076</v>
      </c>
    </row>
    <row r="3943" spans="1:59" ht="58" x14ac:dyDescent="0.35">
      <c r="A3943" s="2" t="s">
        <v>59</v>
      </c>
      <c r="B3943" s="2" t="s">
        <v>60</v>
      </c>
      <c r="C3943" s="2" t="s">
        <v>38077</v>
      </c>
      <c r="D3943" s="2" t="s">
        <v>38065</v>
      </c>
      <c r="E3943" s="2" t="s">
        <v>38066</v>
      </c>
      <c r="G3943" s="3" t="s">
        <v>62</v>
      </c>
      <c r="I3943" s="3" t="s">
        <v>61</v>
      </c>
      <c r="J3943" s="3" t="s">
        <v>62</v>
      </c>
      <c r="K3943" s="3" t="s">
        <v>63</v>
      </c>
      <c r="L3943" s="2" t="s">
        <v>38067</v>
      </c>
      <c r="M3943" s="2" t="s">
        <v>38068</v>
      </c>
      <c r="N3943" s="3" t="s">
        <v>524</v>
      </c>
      <c r="P3943" s="3" t="s">
        <v>64</v>
      </c>
      <c r="R3943" s="3" t="s">
        <v>34126</v>
      </c>
      <c r="S3943" s="4">
        <v>39</v>
      </c>
      <c r="T3943" s="4">
        <v>67</v>
      </c>
      <c r="U3943" s="5" t="s">
        <v>38078</v>
      </c>
      <c r="V3943" s="5" t="s">
        <v>7448</v>
      </c>
      <c r="W3943" s="5" t="s">
        <v>67</v>
      </c>
      <c r="X3943" s="5" t="s">
        <v>67</v>
      </c>
      <c r="Y3943" s="4">
        <v>2003</v>
      </c>
      <c r="Z3943" s="4">
        <v>65</v>
      </c>
      <c r="AA3943" s="4">
        <v>93</v>
      </c>
      <c r="AB3943" s="4">
        <v>3</v>
      </c>
      <c r="AC3943" s="4">
        <v>10</v>
      </c>
      <c r="AD3943" s="4">
        <v>134</v>
      </c>
      <c r="AE3943" s="4">
        <v>147</v>
      </c>
      <c r="AF3943" s="4">
        <v>2</v>
      </c>
      <c r="AG3943" s="4">
        <v>4</v>
      </c>
      <c r="AH3943" s="4">
        <v>107</v>
      </c>
      <c r="AI3943" s="4">
        <v>110</v>
      </c>
      <c r="AJ3943" s="4">
        <v>17</v>
      </c>
      <c r="AK3943" s="4">
        <v>21</v>
      </c>
      <c r="AL3943" s="4">
        <v>58</v>
      </c>
      <c r="AM3943" s="4">
        <v>59</v>
      </c>
      <c r="AN3943" s="4">
        <v>0</v>
      </c>
      <c r="AO3943" s="4">
        <v>0</v>
      </c>
      <c r="AP3943" s="4">
        <v>33</v>
      </c>
      <c r="AQ3943" s="4">
        <v>43</v>
      </c>
      <c r="AR3943" s="3" t="s">
        <v>62</v>
      </c>
      <c r="AS3943" s="3" t="s">
        <v>62</v>
      </c>
      <c r="AT3943" s="3" t="s">
        <v>61</v>
      </c>
      <c r="AU3943" s="6" t="str">
        <f>HYPERLINK("http://catalog.hathitrust.org/Record/002966762","HathiTrust Record")</f>
        <v>HathiTrust Record</v>
      </c>
      <c r="AV3943" s="6" t="str">
        <f>HYPERLINK("http://mcgill.on.worldcat.org/oclc/31867409","Catalog Record")</f>
        <v>Catalog Record</v>
      </c>
      <c r="AW3943" s="6" t="str">
        <f>HYPERLINK("http://www.worldcat.org/oclc/31867409","WorldCat Record")</f>
        <v>WorldCat Record</v>
      </c>
      <c r="AX3943" s="3" t="s">
        <v>38069</v>
      </c>
      <c r="AY3943" s="3" t="s">
        <v>38070</v>
      </c>
      <c r="AZ3943" s="3" t="s">
        <v>38071</v>
      </c>
      <c r="BA3943" s="3" t="s">
        <v>38071</v>
      </c>
      <c r="BB3943" s="3" t="s">
        <v>38079</v>
      </c>
      <c r="BC3943" s="3" t="s">
        <v>102</v>
      </c>
      <c r="BD3943" s="3" t="s">
        <v>68</v>
      </c>
      <c r="BE3943" s="3" t="s">
        <v>38073</v>
      </c>
      <c r="BF3943" s="3" t="s">
        <v>38079</v>
      </c>
      <c r="BG3943" s="3" t="s">
        <v>38080</v>
      </c>
    </row>
    <row r="3944" spans="1:59" ht="58" x14ac:dyDescent="0.35">
      <c r="A3944" s="2" t="s">
        <v>89</v>
      </c>
      <c r="B3944" s="2" t="s">
        <v>90</v>
      </c>
      <c r="C3944" s="2" t="s">
        <v>38064</v>
      </c>
      <c r="D3944" s="2" t="s">
        <v>38065</v>
      </c>
      <c r="E3944" s="2" t="s">
        <v>38066</v>
      </c>
      <c r="G3944" s="3" t="s">
        <v>62</v>
      </c>
      <c r="I3944" s="3" t="s">
        <v>61</v>
      </c>
      <c r="J3944" s="3" t="s">
        <v>62</v>
      </c>
      <c r="K3944" s="3" t="s">
        <v>63</v>
      </c>
      <c r="L3944" s="2" t="s">
        <v>38067</v>
      </c>
      <c r="M3944" s="2" t="s">
        <v>38068</v>
      </c>
      <c r="N3944" s="3" t="s">
        <v>524</v>
      </c>
      <c r="P3944" s="3" t="s">
        <v>64</v>
      </c>
      <c r="R3944" s="3" t="s">
        <v>34126</v>
      </c>
      <c r="S3944" s="4">
        <v>9</v>
      </c>
      <c r="T3944" s="4">
        <v>67</v>
      </c>
      <c r="U3944" s="5" t="s">
        <v>38081</v>
      </c>
      <c r="V3944" s="5" t="s">
        <v>7448</v>
      </c>
      <c r="W3944" s="5" t="s">
        <v>67</v>
      </c>
      <c r="X3944" s="5" t="s">
        <v>67</v>
      </c>
      <c r="Y3944" s="4">
        <v>2003</v>
      </c>
      <c r="Z3944" s="4">
        <v>65</v>
      </c>
      <c r="AA3944" s="4">
        <v>93</v>
      </c>
      <c r="AB3944" s="4">
        <v>3</v>
      </c>
      <c r="AC3944" s="4">
        <v>10</v>
      </c>
      <c r="AD3944" s="4">
        <v>134</v>
      </c>
      <c r="AE3944" s="4">
        <v>147</v>
      </c>
      <c r="AF3944" s="4">
        <v>2</v>
      </c>
      <c r="AG3944" s="4">
        <v>4</v>
      </c>
      <c r="AH3944" s="4">
        <v>107</v>
      </c>
      <c r="AI3944" s="4">
        <v>110</v>
      </c>
      <c r="AJ3944" s="4">
        <v>17</v>
      </c>
      <c r="AK3944" s="4">
        <v>21</v>
      </c>
      <c r="AL3944" s="4">
        <v>58</v>
      </c>
      <c r="AM3944" s="4">
        <v>59</v>
      </c>
      <c r="AN3944" s="4">
        <v>0</v>
      </c>
      <c r="AO3944" s="4">
        <v>0</v>
      </c>
      <c r="AP3944" s="4">
        <v>33</v>
      </c>
      <c r="AQ3944" s="4">
        <v>43</v>
      </c>
      <c r="AR3944" s="3" t="s">
        <v>62</v>
      </c>
      <c r="AS3944" s="3" t="s">
        <v>62</v>
      </c>
      <c r="AT3944" s="3" t="s">
        <v>61</v>
      </c>
      <c r="AU3944" s="6" t="str">
        <f>HYPERLINK("http://catalog.hathitrust.org/Record/002966762","HathiTrust Record")</f>
        <v>HathiTrust Record</v>
      </c>
      <c r="AV3944" s="6" t="str">
        <f>HYPERLINK("http://mcgill.on.worldcat.org/oclc/31867409","Catalog Record")</f>
        <v>Catalog Record</v>
      </c>
      <c r="AW3944" s="6" t="str">
        <f>HYPERLINK("http://www.worldcat.org/oclc/31867409","WorldCat Record")</f>
        <v>WorldCat Record</v>
      </c>
      <c r="AX3944" s="3" t="s">
        <v>38069</v>
      </c>
      <c r="AY3944" s="3" t="s">
        <v>38070</v>
      </c>
      <c r="AZ3944" s="3" t="s">
        <v>38071</v>
      </c>
      <c r="BA3944" s="3" t="s">
        <v>38071</v>
      </c>
      <c r="BB3944" s="3" t="s">
        <v>38082</v>
      </c>
      <c r="BC3944" s="3" t="s">
        <v>102</v>
      </c>
      <c r="BD3944" s="3" t="s">
        <v>68</v>
      </c>
      <c r="BE3944" s="3" t="s">
        <v>38073</v>
      </c>
      <c r="BF3944" s="3" t="s">
        <v>38082</v>
      </c>
      <c r="BG3944" s="3" t="s">
        <v>38083</v>
      </c>
    </row>
    <row r="3945" spans="1:59" ht="58" x14ac:dyDescent="0.35">
      <c r="A3945" s="2" t="s">
        <v>59</v>
      </c>
      <c r="B3945" s="2" t="s">
        <v>60</v>
      </c>
      <c r="C3945" s="2" t="s">
        <v>38084</v>
      </c>
      <c r="D3945" s="2" t="s">
        <v>38085</v>
      </c>
      <c r="E3945" s="2" t="s">
        <v>38086</v>
      </c>
      <c r="G3945" s="3" t="s">
        <v>62</v>
      </c>
      <c r="I3945" s="3" t="s">
        <v>62</v>
      </c>
      <c r="J3945" s="3" t="s">
        <v>62</v>
      </c>
      <c r="K3945" s="3" t="s">
        <v>63</v>
      </c>
      <c r="L3945" s="2" t="s">
        <v>38087</v>
      </c>
      <c r="M3945" s="2" t="s">
        <v>38088</v>
      </c>
      <c r="N3945" s="3" t="s">
        <v>115</v>
      </c>
      <c r="P3945" s="3" t="s">
        <v>64</v>
      </c>
      <c r="Q3945" s="2" t="s">
        <v>38089</v>
      </c>
      <c r="R3945" s="3" t="s">
        <v>34126</v>
      </c>
      <c r="S3945" s="4">
        <v>12</v>
      </c>
      <c r="T3945" s="4">
        <v>12</v>
      </c>
      <c r="U3945" s="5" t="s">
        <v>783</v>
      </c>
      <c r="V3945" s="5" t="s">
        <v>783</v>
      </c>
      <c r="W3945" s="5" t="s">
        <v>67</v>
      </c>
      <c r="X3945" s="5" t="s">
        <v>67</v>
      </c>
      <c r="Y3945" s="4">
        <v>329</v>
      </c>
      <c r="Z3945" s="4">
        <v>19</v>
      </c>
      <c r="AA3945" s="4">
        <v>99</v>
      </c>
      <c r="AB3945" s="4">
        <v>1</v>
      </c>
      <c r="AC3945" s="4">
        <v>17</v>
      </c>
      <c r="AD3945" s="4">
        <v>110</v>
      </c>
      <c r="AE3945" s="4">
        <v>149</v>
      </c>
      <c r="AF3945" s="4">
        <v>0</v>
      </c>
      <c r="AG3945" s="4">
        <v>8</v>
      </c>
      <c r="AH3945" s="4">
        <v>98</v>
      </c>
      <c r="AI3945" s="4">
        <v>109</v>
      </c>
      <c r="AJ3945" s="4">
        <v>12</v>
      </c>
      <c r="AK3945" s="4">
        <v>25</v>
      </c>
      <c r="AL3945" s="4">
        <v>58</v>
      </c>
      <c r="AM3945" s="4">
        <v>59</v>
      </c>
      <c r="AN3945" s="4">
        <v>0</v>
      </c>
      <c r="AO3945" s="4">
        <v>0</v>
      </c>
      <c r="AP3945" s="4">
        <v>15</v>
      </c>
      <c r="AQ3945" s="4">
        <v>47</v>
      </c>
      <c r="AR3945" s="3" t="s">
        <v>62</v>
      </c>
      <c r="AS3945" s="3" t="s">
        <v>62</v>
      </c>
      <c r="AT3945" s="3" t="s">
        <v>61</v>
      </c>
      <c r="AU3945" s="6" t="str">
        <f>HYPERLINK("http://catalog.hathitrust.org/Record/001859191","HathiTrust Record")</f>
        <v>HathiTrust Record</v>
      </c>
      <c r="AV3945" s="6" t="str">
        <f>HYPERLINK("http://mcgill.on.worldcat.org/oclc/18906787","Catalog Record")</f>
        <v>Catalog Record</v>
      </c>
      <c r="AW3945" s="6" t="str">
        <f>HYPERLINK("http://www.worldcat.org/oclc/18906787","WorldCat Record")</f>
        <v>WorldCat Record</v>
      </c>
      <c r="AX3945" s="3" t="s">
        <v>38090</v>
      </c>
      <c r="AY3945" s="3" t="s">
        <v>38091</v>
      </c>
      <c r="AZ3945" s="3" t="s">
        <v>38092</v>
      </c>
      <c r="BA3945" s="3" t="s">
        <v>38092</v>
      </c>
      <c r="BB3945" s="3" t="s">
        <v>38093</v>
      </c>
      <c r="BC3945" s="3" t="s">
        <v>102</v>
      </c>
      <c r="BD3945" s="3" t="s">
        <v>231</v>
      </c>
      <c r="BE3945" s="3" t="s">
        <v>38094</v>
      </c>
      <c r="BF3945" s="3" t="s">
        <v>38093</v>
      </c>
      <c r="BG3945" s="3" t="s">
        <v>38095</v>
      </c>
    </row>
    <row r="3946" spans="1:59" ht="58" x14ac:dyDescent="0.35">
      <c r="A3946" s="2" t="s">
        <v>59</v>
      </c>
      <c r="B3946" s="2" t="s">
        <v>60</v>
      </c>
      <c r="C3946" s="2" t="s">
        <v>38096</v>
      </c>
      <c r="D3946" s="2" t="s">
        <v>38097</v>
      </c>
      <c r="E3946" s="2" t="s">
        <v>38098</v>
      </c>
      <c r="G3946" s="3" t="s">
        <v>62</v>
      </c>
      <c r="I3946" s="3" t="s">
        <v>62</v>
      </c>
      <c r="J3946" s="3" t="s">
        <v>62</v>
      </c>
      <c r="K3946" s="3" t="s">
        <v>63</v>
      </c>
      <c r="M3946" s="2" t="s">
        <v>38099</v>
      </c>
      <c r="N3946" s="3" t="s">
        <v>2588</v>
      </c>
      <c r="P3946" s="3" t="s">
        <v>64</v>
      </c>
      <c r="Q3946" s="2" t="s">
        <v>38100</v>
      </c>
      <c r="R3946" s="3" t="s">
        <v>34126</v>
      </c>
      <c r="S3946" s="4">
        <v>11</v>
      </c>
      <c r="T3946" s="4">
        <v>11</v>
      </c>
      <c r="U3946" s="5" t="s">
        <v>19000</v>
      </c>
      <c r="V3946" s="5" t="s">
        <v>19000</v>
      </c>
      <c r="W3946" s="5" t="s">
        <v>67</v>
      </c>
      <c r="X3946" s="5" t="s">
        <v>67</v>
      </c>
      <c r="Y3946" s="4">
        <v>422</v>
      </c>
      <c r="Z3946" s="4">
        <v>21</v>
      </c>
      <c r="AA3946" s="4">
        <v>24</v>
      </c>
      <c r="AB3946" s="4">
        <v>3</v>
      </c>
      <c r="AC3946" s="4">
        <v>6</v>
      </c>
      <c r="AD3946" s="4">
        <v>97</v>
      </c>
      <c r="AE3946" s="4">
        <v>100</v>
      </c>
      <c r="AF3946" s="4">
        <v>1</v>
      </c>
      <c r="AG3946" s="4">
        <v>4</v>
      </c>
      <c r="AH3946" s="4">
        <v>85</v>
      </c>
      <c r="AI3946" s="4">
        <v>86</v>
      </c>
      <c r="AJ3946" s="4">
        <v>11</v>
      </c>
      <c r="AK3946" s="4">
        <v>14</v>
      </c>
      <c r="AL3946" s="4">
        <v>44</v>
      </c>
      <c r="AM3946" s="4">
        <v>44</v>
      </c>
      <c r="AN3946" s="4">
        <v>0</v>
      </c>
      <c r="AO3946" s="4">
        <v>0</v>
      </c>
      <c r="AP3946" s="4">
        <v>15</v>
      </c>
      <c r="AQ3946" s="4">
        <v>17</v>
      </c>
      <c r="AR3946" s="3" t="s">
        <v>62</v>
      </c>
      <c r="AS3946" s="3" t="s">
        <v>62</v>
      </c>
      <c r="AT3946" s="3" t="s">
        <v>61</v>
      </c>
      <c r="AU3946" s="6" t="str">
        <f>HYPERLINK("http://catalog.hathitrust.org/Record/000213622","HathiTrust Record")</f>
        <v>HathiTrust Record</v>
      </c>
      <c r="AV3946" s="6" t="str">
        <f>HYPERLINK("http://mcgill.on.worldcat.org/oclc/2965126","Catalog Record")</f>
        <v>Catalog Record</v>
      </c>
      <c r="AW3946" s="6" t="str">
        <f>HYPERLINK("http://www.worldcat.org/oclc/2965126","WorldCat Record")</f>
        <v>WorldCat Record</v>
      </c>
      <c r="AX3946" s="3" t="s">
        <v>38101</v>
      </c>
      <c r="AY3946" s="3" t="s">
        <v>38102</v>
      </c>
      <c r="AZ3946" s="3" t="s">
        <v>38103</v>
      </c>
      <c r="BA3946" s="3" t="s">
        <v>38103</v>
      </c>
      <c r="BB3946" s="3" t="s">
        <v>38104</v>
      </c>
      <c r="BC3946" s="3" t="s">
        <v>102</v>
      </c>
      <c r="BD3946" s="3" t="s">
        <v>6923</v>
      </c>
      <c r="BE3946" s="3" t="s">
        <v>38105</v>
      </c>
      <c r="BF3946" s="3" t="s">
        <v>38104</v>
      </c>
      <c r="BG3946" s="3" t="s">
        <v>38106</v>
      </c>
    </row>
    <row r="3947" spans="1:59" ht="58" x14ac:dyDescent="0.35">
      <c r="A3947" s="2" t="s">
        <v>89</v>
      </c>
      <c r="B3947" s="2" t="s">
        <v>90</v>
      </c>
      <c r="C3947" s="2" t="s">
        <v>38107</v>
      </c>
      <c r="D3947" s="2" t="s">
        <v>38108</v>
      </c>
      <c r="E3947" s="2" t="s">
        <v>38109</v>
      </c>
      <c r="G3947" s="3" t="s">
        <v>62</v>
      </c>
      <c r="I3947" s="3" t="s">
        <v>62</v>
      </c>
      <c r="J3947" s="3" t="s">
        <v>62</v>
      </c>
      <c r="K3947" s="3" t="s">
        <v>63</v>
      </c>
      <c r="L3947" s="2" t="s">
        <v>38110</v>
      </c>
      <c r="M3947" s="2" t="s">
        <v>38111</v>
      </c>
      <c r="N3947" s="3" t="s">
        <v>129</v>
      </c>
      <c r="P3947" s="3" t="s">
        <v>85</v>
      </c>
      <c r="Q3947" s="2" t="s">
        <v>38112</v>
      </c>
      <c r="R3947" s="3" t="s">
        <v>34126</v>
      </c>
      <c r="S3947" s="4">
        <v>2</v>
      </c>
      <c r="T3947" s="4">
        <v>2</v>
      </c>
      <c r="U3947" s="5" t="s">
        <v>38113</v>
      </c>
      <c r="V3947" s="5" t="s">
        <v>38113</v>
      </c>
      <c r="W3947" s="5" t="s">
        <v>67</v>
      </c>
      <c r="X3947" s="5" t="s">
        <v>67</v>
      </c>
      <c r="Y3947" s="4">
        <v>4</v>
      </c>
      <c r="Z3947" s="4">
        <v>1</v>
      </c>
      <c r="AA3947" s="4">
        <v>7</v>
      </c>
      <c r="AB3947" s="4">
        <v>1</v>
      </c>
      <c r="AC3947" s="4">
        <v>5</v>
      </c>
      <c r="AD3947" s="4">
        <v>1</v>
      </c>
      <c r="AE3947" s="4">
        <v>4</v>
      </c>
      <c r="AF3947" s="4">
        <v>0</v>
      </c>
      <c r="AG3947" s="4">
        <v>1</v>
      </c>
      <c r="AH3947" s="4">
        <v>1</v>
      </c>
      <c r="AI3947" s="4">
        <v>3</v>
      </c>
      <c r="AJ3947" s="4">
        <v>0</v>
      </c>
      <c r="AK3947" s="4">
        <v>3</v>
      </c>
      <c r="AL3947" s="4">
        <v>1</v>
      </c>
      <c r="AM3947" s="4">
        <v>1</v>
      </c>
      <c r="AN3947" s="4">
        <v>0</v>
      </c>
      <c r="AO3947" s="4">
        <v>0</v>
      </c>
      <c r="AP3947" s="4">
        <v>0</v>
      </c>
      <c r="AQ3947" s="4">
        <v>2</v>
      </c>
      <c r="AR3947" s="3" t="s">
        <v>62</v>
      </c>
      <c r="AS3947" s="3" t="s">
        <v>62</v>
      </c>
      <c r="AT3947" s="3" t="s">
        <v>62</v>
      </c>
      <c r="AV3947" s="6" t="str">
        <f>HYPERLINK("http://mcgill.on.worldcat.org/oclc/867794140","Catalog Record")</f>
        <v>Catalog Record</v>
      </c>
      <c r="AW3947" s="6" t="str">
        <f>HYPERLINK("http://www.worldcat.org/oclc/867794140","WorldCat Record")</f>
        <v>WorldCat Record</v>
      </c>
      <c r="AX3947" s="3" t="s">
        <v>38114</v>
      </c>
      <c r="AY3947" s="3" t="s">
        <v>38115</v>
      </c>
      <c r="AZ3947" s="3" t="s">
        <v>38116</v>
      </c>
      <c r="BA3947" s="3" t="s">
        <v>38116</v>
      </c>
      <c r="BB3947" s="3" t="s">
        <v>38117</v>
      </c>
      <c r="BC3947" s="3" t="s">
        <v>102</v>
      </c>
      <c r="BD3947" s="3" t="s">
        <v>68</v>
      </c>
      <c r="BE3947" s="3" t="s">
        <v>38118</v>
      </c>
      <c r="BF3947" s="3" t="s">
        <v>38117</v>
      </c>
      <c r="BG3947" s="3" t="s">
        <v>38119</v>
      </c>
    </row>
    <row r="3948" spans="1:59" ht="58" x14ac:dyDescent="0.35">
      <c r="A3948" s="2" t="s">
        <v>89</v>
      </c>
      <c r="B3948" s="2" t="s">
        <v>90</v>
      </c>
      <c r="C3948" s="2" t="s">
        <v>38120</v>
      </c>
      <c r="D3948" s="2" t="s">
        <v>38121</v>
      </c>
      <c r="E3948" s="2" t="s">
        <v>38122</v>
      </c>
      <c r="G3948" s="3" t="s">
        <v>62</v>
      </c>
      <c r="I3948" s="3" t="s">
        <v>62</v>
      </c>
      <c r="J3948" s="3" t="s">
        <v>62</v>
      </c>
      <c r="K3948" s="3" t="s">
        <v>63</v>
      </c>
      <c r="L3948" s="2" t="s">
        <v>38123</v>
      </c>
      <c r="M3948" s="2" t="s">
        <v>38124</v>
      </c>
      <c r="N3948" s="3" t="s">
        <v>115</v>
      </c>
      <c r="P3948" s="3" t="s">
        <v>64</v>
      </c>
      <c r="R3948" s="3" t="s">
        <v>34126</v>
      </c>
      <c r="S3948" s="4">
        <v>59</v>
      </c>
      <c r="T3948" s="4">
        <v>59</v>
      </c>
      <c r="U3948" s="5" t="s">
        <v>7720</v>
      </c>
      <c r="V3948" s="5" t="s">
        <v>7720</v>
      </c>
      <c r="W3948" s="5" t="s">
        <v>67</v>
      </c>
      <c r="X3948" s="5" t="s">
        <v>67</v>
      </c>
      <c r="Y3948" s="4">
        <v>556</v>
      </c>
      <c r="Z3948" s="4">
        <v>31</v>
      </c>
      <c r="AA3948" s="4">
        <v>34</v>
      </c>
      <c r="AB3948" s="4">
        <v>3</v>
      </c>
      <c r="AC3948" s="4">
        <v>6</v>
      </c>
      <c r="AD3948" s="4">
        <v>115</v>
      </c>
      <c r="AE3948" s="4">
        <v>117</v>
      </c>
      <c r="AF3948" s="4">
        <v>2</v>
      </c>
      <c r="AG3948" s="4">
        <v>4</v>
      </c>
      <c r="AH3948" s="4">
        <v>99</v>
      </c>
      <c r="AI3948" s="4">
        <v>99</v>
      </c>
      <c r="AJ3948" s="4">
        <v>19</v>
      </c>
      <c r="AK3948" s="4">
        <v>21</v>
      </c>
      <c r="AL3948" s="4">
        <v>54</v>
      </c>
      <c r="AM3948" s="4">
        <v>54</v>
      </c>
      <c r="AN3948" s="4">
        <v>0</v>
      </c>
      <c r="AO3948" s="4">
        <v>0</v>
      </c>
      <c r="AP3948" s="4">
        <v>24</v>
      </c>
      <c r="AQ3948" s="4">
        <v>25</v>
      </c>
      <c r="AR3948" s="3" t="s">
        <v>62</v>
      </c>
      <c r="AS3948" s="3" t="s">
        <v>62</v>
      </c>
      <c r="AT3948" s="3" t="s">
        <v>61</v>
      </c>
      <c r="AU3948" s="6" t="str">
        <f>HYPERLINK("http://catalog.hathitrust.org/Record/001841855","HathiTrust Record")</f>
        <v>HathiTrust Record</v>
      </c>
      <c r="AV3948" s="6" t="str">
        <f>HYPERLINK("http://mcgill.on.worldcat.org/oclc/20130117","Catalog Record")</f>
        <v>Catalog Record</v>
      </c>
      <c r="AW3948" s="6" t="str">
        <f>HYPERLINK("http://www.worldcat.org/oclc/20130117","WorldCat Record")</f>
        <v>WorldCat Record</v>
      </c>
      <c r="AX3948" s="3" t="s">
        <v>38125</v>
      </c>
      <c r="AY3948" s="3" t="s">
        <v>38126</v>
      </c>
      <c r="AZ3948" s="3" t="s">
        <v>38127</v>
      </c>
      <c r="BA3948" s="3" t="s">
        <v>38127</v>
      </c>
      <c r="BB3948" s="3" t="s">
        <v>38128</v>
      </c>
      <c r="BC3948" s="3" t="s">
        <v>102</v>
      </c>
      <c r="BD3948" s="3" t="s">
        <v>68</v>
      </c>
      <c r="BE3948" s="3" t="s">
        <v>38129</v>
      </c>
      <c r="BF3948" s="3" t="s">
        <v>38128</v>
      </c>
      <c r="BG3948" s="3" t="s">
        <v>38130</v>
      </c>
    </row>
    <row r="3949" spans="1:59" ht="58" x14ac:dyDescent="0.35">
      <c r="A3949" s="2" t="s">
        <v>89</v>
      </c>
      <c r="B3949" s="2" t="s">
        <v>90</v>
      </c>
      <c r="C3949" s="2" t="s">
        <v>38131</v>
      </c>
      <c r="D3949" s="2" t="s">
        <v>38132</v>
      </c>
      <c r="E3949" s="2" t="s">
        <v>38133</v>
      </c>
      <c r="G3949" s="3" t="s">
        <v>62</v>
      </c>
      <c r="I3949" s="3" t="s">
        <v>62</v>
      </c>
      <c r="J3949" s="3" t="s">
        <v>62</v>
      </c>
      <c r="K3949" s="3" t="s">
        <v>63</v>
      </c>
      <c r="L3949" s="2" t="s">
        <v>38134</v>
      </c>
      <c r="M3949" s="2" t="s">
        <v>38135</v>
      </c>
      <c r="N3949" s="3" t="s">
        <v>157</v>
      </c>
      <c r="O3949" s="2" t="s">
        <v>3990</v>
      </c>
      <c r="P3949" s="3" t="s">
        <v>64</v>
      </c>
      <c r="R3949" s="3" t="s">
        <v>34126</v>
      </c>
      <c r="S3949" s="4">
        <v>14</v>
      </c>
      <c r="T3949" s="4">
        <v>14</v>
      </c>
      <c r="U3949" s="5" t="s">
        <v>1293</v>
      </c>
      <c r="V3949" s="5" t="s">
        <v>1293</v>
      </c>
      <c r="W3949" s="5" t="s">
        <v>67</v>
      </c>
      <c r="X3949" s="5" t="s">
        <v>67</v>
      </c>
      <c r="Y3949" s="4">
        <v>694</v>
      </c>
      <c r="Z3949" s="4">
        <v>20</v>
      </c>
      <c r="AA3949" s="4">
        <v>42</v>
      </c>
      <c r="AB3949" s="4">
        <v>1</v>
      </c>
      <c r="AC3949" s="4">
        <v>2</v>
      </c>
      <c r="AD3949" s="4">
        <v>97</v>
      </c>
      <c r="AE3949" s="4">
        <v>131</v>
      </c>
      <c r="AF3949" s="4">
        <v>0</v>
      </c>
      <c r="AG3949" s="4">
        <v>1</v>
      </c>
      <c r="AH3949" s="4">
        <v>83</v>
      </c>
      <c r="AI3949" s="4">
        <v>106</v>
      </c>
      <c r="AJ3949" s="4">
        <v>8</v>
      </c>
      <c r="AK3949" s="4">
        <v>16</v>
      </c>
      <c r="AL3949" s="4">
        <v>46</v>
      </c>
      <c r="AM3949" s="4">
        <v>56</v>
      </c>
      <c r="AN3949" s="4">
        <v>0</v>
      </c>
      <c r="AO3949" s="4">
        <v>0</v>
      </c>
      <c r="AP3949" s="4">
        <v>16</v>
      </c>
      <c r="AQ3949" s="4">
        <v>31</v>
      </c>
      <c r="AR3949" s="3" t="s">
        <v>62</v>
      </c>
      <c r="AS3949" s="3" t="s">
        <v>62</v>
      </c>
      <c r="AT3949" s="3" t="s">
        <v>61</v>
      </c>
      <c r="AU3949" s="6" t="str">
        <f>HYPERLINK("http://catalog.hathitrust.org/Record/001492032","HathiTrust Record")</f>
        <v>HathiTrust Record</v>
      </c>
      <c r="AV3949" s="6" t="str">
        <f>HYPERLINK("http://mcgill.on.worldcat.org/oclc/737057","Catalog Record")</f>
        <v>Catalog Record</v>
      </c>
      <c r="AW3949" s="6" t="str">
        <f>HYPERLINK("http://www.worldcat.org/oclc/737057","WorldCat Record")</f>
        <v>WorldCat Record</v>
      </c>
      <c r="AX3949" s="3" t="s">
        <v>38136</v>
      </c>
      <c r="AY3949" s="3" t="s">
        <v>38137</v>
      </c>
      <c r="AZ3949" s="3" t="s">
        <v>38138</v>
      </c>
      <c r="BA3949" s="3" t="s">
        <v>38138</v>
      </c>
      <c r="BB3949" s="3" t="s">
        <v>38139</v>
      </c>
      <c r="BC3949" s="3" t="s">
        <v>102</v>
      </c>
      <c r="BD3949" s="3" t="s">
        <v>68</v>
      </c>
      <c r="BE3949" s="3" t="s">
        <v>38140</v>
      </c>
      <c r="BF3949" s="3" t="s">
        <v>38139</v>
      </c>
      <c r="BG3949" s="3" t="s">
        <v>38141</v>
      </c>
    </row>
    <row r="3950" spans="1:59" ht="58" x14ac:dyDescent="0.35">
      <c r="A3950" s="2" t="s">
        <v>59</v>
      </c>
      <c r="B3950" s="2" t="s">
        <v>60</v>
      </c>
      <c r="C3950" s="2" t="s">
        <v>38142</v>
      </c>
      <c r="D3950" s="2" t="s">
        <v>38143</v>
      </c>
      <c r="E3950" s="2" t="s">
        <v>38144</v>
      </c>
      <c r="G3950" s="3" t="s">
        <v>62</v>
      </c>
      <c r="I3950" s="3" t="s">
        <v>61</v>
      </c>
      <c r="J3950" s="3" t="s">
        <v>62</v>
      </c>
      <c r="K3950" s="3" t="s">
        <v>63</v>
      </c>
      <c r="L3950" s="2" t="s">
        <v>38145</v>
      </c>
      <c r="M3950" s="2" t="s">
        <v>38146</v>
      </c>
      <c r="N3950" s="3" t="s">
        <v>2924</v>
      </c>
      <c r="P3950" s="3" t="s">
        <v>64</v>
      </c>
      <c r="Q3950" s="2" t="s">
        <v>38147</v>
      </c>
      <c r="R3950" s="3" t="s">
        <v>34126</v>
      </c>
      <c r="S3950" s="4">
        <v>8</v>
      </c>
      <c r="T3950" s="4">
        <v>15</v>
      </c>
      <c r="U3950" s="5" t="s">
        <v>8221</v>
      </c>
      <c r="V3950" s="5" t="s">
        <v>8221</v>
      </c>
      <c r="W3950" s="5" t="s">
        <v>67</v>
      </c>
      <c r="X3950" s="5" t="s">
        <v>67</v>
      </c>
      <c r="Y3950" s="4">
        <v>1043</v>
      </c>
      <c r="Z3950" s="4">
        <v>37</v>
      </c>
      <c r="AA3950" s="4">
        <v>46</v>
      </c>
      <c r="AB3950" s="4">
        <v>4</v>
      </c>
      <c r="AC3950" s="4">
        <v>8</v>
      </c>
      <c r="AD3950" s="4">
        <v>127</v>
      </c>
      <c r="AE3950" s="4">
        <v>134</v>
      </c>
      <c r="AF3950" s="4">
        <v>2</v>
      </c>
      <c r="AG3950" s="4">
        <v>5</v>
      </c>
      <c r="AH3950" s="4">
        <v>104</v>
      </c>
      <c r="AI3950" s="4">
        <v>107</v>
      </c>
      <c r="AJ3950" s="4">
        <v>19</v>
      </c>
      <c r="AK3950" s="4">
        <v>23</v>
      </c>
      <c r="AL3950" s="4">
        <v>63</v>
      </c>
      <c r="AM3950" s="4">
        <v>63</v>
      </c>
      <c r="AN3950" s="4">
        <v>0</v>
      </c>
      <c r="AO3950" s="4">
        <v>0</v>
      </c>
      <c r="AP3950" s="4">
        <v>24</v>
      </c>
      <c r="AQ3950" s="4">
        <v>29</v>
      </c>
      <c r="AR3950" s="3" t="s">
        <v>62</v>
      </c>
      <c r="AS3950" s="3" t="s">
        <v>62</v>
      </c>
      <c r="AT3950" s="3" t="s">
        <v>61</v>
      </c>
      <c r="AU3950" s="6" t="str">
        <f>HYPERLINK("http://catalog.hathitrust.org/Record/001492378","HathiTrust Record")</f>
        <v>HathiTrust Record</v>
      </c>
      <c r="AV3950" s="6" t="str">
        <f>HYPERLINK("http://mcgill.on.worldcat.org/oclc/311941","Catalog Record")</f>
        <v>Catalog Record</v>
      </c>
      <c r="AW3950" s="6" t="str">
        <f>HYPERLINK("http://www.worldcat.org/oclc/311941","WorldCat Record")</f>
        <v>WorldCat Record</v>
      </c>
      <c r="AX3950" s="3" t="s">
        <v>38148</v>
      </c>
      <c r="AY3950" s="3" t="s">
        <v>38149</v>
      </c>
      <c r="AZ3950" s="3" t="s">
        <v>38150</v>
      </c>
      <c r="BA3950" s="3" t="s">
        <v>38150</v>
      </c>
      <c r="BB3950" s="3" t="s">
        <v>38151</v>
      </c>
      <c r="BC3950" s="3" t="s">
        <v>102</v>
      </c>
      <c r="BD3950" s="3" t="s">
        <v>68</v>
      </c>
      <c r="BF3950" s="3" t="s">
        <v>38151</v>
      </c>
      <c r="BG3950" s="3" t="s">
        <v>38152</v>
      </c>
    </row>
    <row r="3951" spans="1:59" ht="58" x14ac:dyDescent="0.35">
      <c r="A3951" s="2" t="s">
        <v>59</v>
      </c>
      <c r="B3951" s="2" t="s">
        <v>60</v>
      </c>
      <c r="C3951" s="2" t="s">
        <v>38153</v>
      </c>
      <c r="D3951" s="2" t="s">
        <v>38154</v>
      </c>
      <c r="E3951" s="2" t="s">
        <v>38155</v>
      </c>
      <c r="G3951" s="3" t="s">
        <v>62</v>
      </c>
      <c r="I3951" s="3" t="s">
        <v>61</v>
      </c>
      <c r="J3951" s="3" t="s">
        <v>62</v>
      </c>
      <c r="K3951" s="3" t="s">
        <v>63</v>
      </c>
      <c r="L3951" s="2" t="s">
        <v>38156</v>
      </c>
      <c r="M3951" s="2" t="s">
        <v>38157</v>
      </c>
      <c r="N3951" s="3" t="s">
        <v>640</v>
      </c>
      <c r="P3951" s="3" t="s">
        <v>64</v>
      </c>
      <c r="R3951" s="3" t="s">
        <v>34126</v>
      </c>
      <c r="S3951" s="4">
        <v>0</v>
      </c>
      <c r="T3951" s="4">
        <v>2</v>
      </c>
      <c r="V3951" s="5" t="s">
        <v>97</v>
      </c>
      <c r="W3951" s="5" t="s">
        <v>67</v>
      </c>
      <c r="X3951" s="5" t="s">
        <v>67</v>
      </c>
      <c r="Y3951" s="4">
        <v>349</v>
      </c>
      <c r="Z3951" s="4">
        <v>18</v>
      </c>
      <c r="AA3951" s="4">
        <v>110</v>
      </c>
      <c r="AB3951" s="4">
        <v>1</v>
      </c>
      <c r="AC3951" s="4">
        <v>17</v>
      </c>
      <c r="AD3951" s="4">
        <v>100</v>
      </c>
      <c r="AE3951" s="4">
        <v>143</v>
      </c>
      <c r="AF3951" s="4">
        <v>0</v>
      </c>
      <c r="AG3951" s="4">
        <v>8</v>
      </c>
      <c r="AH3951" s="4">
        <v>92</v>
      </c>
      <c r="AI3951" s="4">
        <v>105</v>
      </c>
      <c r="AJ3951" s="4">
        <v>11</v>
      </c>
      <c r="AK3951" s="4">
        <v>22</v>
      </c>
      <c r="AL3951" s="4">
        <v>47</v>
      </c>
      <c r="AM3951" s="4">
        <v>52</v>
      </c>
      <c r="AN3951" s="4">
        <v>0</v>
      </c>
      <c r="AO3951" s="4">
        <v>0</v>
      </c>
      <c r="AP3951" s="4">
        <v>13</v>
      </c>
      <c r="AQ3951" s="4">
        <v>45</v>
      </c>
      <c r="AR3951" s="3" t="s">
        <v>62</v>
      </c>
      <c r="AS3951" s="3" t="s">
        <v>62</v>
      </c>
      <c r="AT3951" s="3" t="s">
        <v>62</v>
      </c>
      <c r="AV3951" s="6" t="str">
        <f>HYPERLINK("http://mcgill.on.worldcat.org/oclc/54686392","Catalog Record")</f>
        <v>Catalog Record</v>
      </c>
      <c r="AW3951" s="6" t="str">
        <f>HYPERLINK("http://www.worldcat.org/oclc/54686392","WorldCat Record")</f>
        <v>WorldCat Record</v>
      </c>
      <c r="AX3951" s="3" t="s">
        <v>38158</v>
      </c>
      <c r="AY3951" s="3" t="s">
        <v>38159</v>
      </c>
      <c r="AZ3951" s="3" t="s">
        <v>38160</v>
      </c>
      <c r="BA3951" s="3" t="s">
        <v>38160</v>
      </c>
      <c r="BB3951" s="3" t="s">
        <v>38161</v>
      </c>
      <c r="BC3951" s="3" t="s">
        <v>102</v>
      </c>
      <c r="BD3951" s="3" t="s">
        <v>68</v>
      </c>
      <c r="BE3951" s="3" t="s">
        <v>38162</v>
      </c>
      <c r="BF3951" s="3" t="s">
        <v>38161</v>
      </c>
      <c r="BG3951" s="3" t="s">
        <v>38163</v>
      </c>
    </row>
    <row r="3952" spans="1:59" ht="72.5" x14ac:dyDescent="0.35">
      <c r="A3952" s="2" t="s">
        <v>59</v>
      </c>
      <c r="B3952" s="2" t="s">
        <v>60</v>
      </c>
      <c r="C3952" s="2" t="s">
        <v>38164</v>
      </c>
      <c r="D3952" s="2" t="s">
        <v>38165</v>
      </c>
      <c r="E3952" s="2" t="s">
        <v>38166</v>
      </c>
      <c r="G3952" s="3" t="s">
        <v>62</v>
      </c>
      <c r="I3952" s="3" t="s">
        <v>61</v>
      </c>
      <c r="J3952" s="3" t="s">
        <v>62</v>
      </c>
      <c r="K3952" s="3" t="s">
        <v>63</v>
      </c>
      <c r="L3952" s="2" t="s">
        <v>38167</v>
      </c>
      <c r="M3952" s="2" t="s">
        <v>38168</v>
      </c>
      <c r="N3952" s="3" t="s">
        <v>2975</v>
      </c>
      <c r="P3952" s="3" t="s">
        <v>64</v>
      </c>
      <c r="R3952" s="3" t="s">
        <v>34126</v>
      </c>
      <c r="S3952" s="4">
        <v>2</v>
      </c>
      <c r="T3952" s="4">
        <v>3</v>
      </c>
      <c r="U3952" s="5" t="s">
        <v>6485</v>
      </c>
      <c r="V3952" s="5" t="s">
        <v>17235</v>
      </c>
      <c r="W3952" s="5" t="s">
        <v>67</v>
      </c>
      <c r="X3952" s="5" t="s">
        <v>67</v>
      </c>
      <c r="Y3952" s="4">
        <v>797</v>
      </c>
      <c r="Z3952" s="4">
        <v>35</v>
      </c>
      <c r="AA3952" s="4">
        <v>115</v>
      </c>
      <c r="AB3952" s="4">
        <v>3</v>
      </c>
      <c r="AC3952" s="4">
        <v>19</v>
      </c>
      <c r="AD3952" s="4">
        <v>127</v>
      </c>
      <c r="AE3952" s="4">
        <v>156</v>
      </c>
      <c r="AF3952" s="4">
        <v>1</v>
      </c>
      <c r="AG3952" s="4">
        <v>8</v>
      </c>
      <c r="AH3952" s="4">
        <v>106</v>
      </c>
      <c r="AI3952" s="4">
        <v>114</v>
      </c>
      <c r="AJ3952" s="4">
        <v>18</v>
      </c>
      <c r="AK3952" s="4">
        <v>26</v>
      </c>
      <c r="AL3952" s="4">
        <v>56</v>
      </c>
      <c r="AM3952" s="4">
        <v>59</v>
      </c>
      <c r="AN3952" s="4">
        <v>0</v>
      </c>
      <c r="AO3952" s="4">
        <v>0</v>
      </c>
      <c r="AP3952" s="4">
        <v>27</v>
      </c>
      <c r="AQ3952" s="4">
        <v>50</v>
      </c>
      <c r="AR3952" s="3" t="s">
        <v>62</v>
      </c>
      <c r="AS3952" s="3" t="s">
        <v>62</v>
      </c>
      <c r="AT3952" s="3" t="s">
        <v>61</v>
      </c>
      <c r="AU3952" s="6" t="str">
        <f>HYPERLINK("http://catalog.hathitrust.org/Record/004199763","HathiTrust Record")</f>
        <v>HathiTrust Record</v>
      </c>
      <c r="AV3952" s="6" t="str">
        <f>HYPERLINK("http://mcgill.on.worldcat.org/oclc/45668956","Catalog Record")</f>
        <v>Catalog Record</v>
      </c>
      <c r="AW3952" s="6" t="str">
        <f>HYPERLINK("http://www.worldcat.org/oclc/45668956","WorldCat Record")</f>
        <v>WorldCat Record</v>
      </c>
      <c r="AX3952" s="3" t="s">
        <v>38169</v>
      </c>
      <c r="AY3952" s="3" t="s">
        <v>38170</v>
      </c>
      <c r="AZ3952" s="3" t="s">
        <v>38171</v>
      </c>
      <c r="BA3952" s="3" t="s">
        <v>38171</v>
      </c>
      <c r="BB3952" s="3" t="s">
        <v>38172</v>
      </c>
      <c r="BC3952" s="3" t="s">
        <v>102</v>
      </c>
      <c r="BD3952" s="3" t="s">
        <v>68</v>
      </c>
      <c r="BE3952" s="3" t="s">
        <v>38173</v>
      </c>
      <c r="BF3952" s="3" t="s">
        <v>38172</v>
      </c>
      <c r="BG3952" s="3" t="s">
        <v>38174</v>
      </c>
    </row>
    <row r="3953" spans="1:59" ht="72.5" x14ac:dyDescent="0.35">
      <c r="A3953" s="2" t="s">
        <v>89</v>
      </c>
      <c r="B3953" s="2" t="s">
        <v>90</v>
      </c>
      <c r="C3953" s="2" t="s">
        <v>38175</v>
      </c>
      <c r="D3953" s="2" t="s">
        <v>38176</v>
      </c>
      <c r="E3953" s="2" t="s">
        <v>38177</v>
      </c>
      <c r="G3953" s="3" t="s">
        <v>62</v>
      </c>
      <c r="I3953" s="3" t="s">
        <v>62</v>
      </c>
      <c r="J3953" s="3" t="s">
        <v>61</v>
      </c>
      <c r="K3953" s="3" t="s">
        <v>63</v>
      </c>
      <c r="L3953" s="2" t="s">
        <v>8022</v>
      </c>
      <c r="M3953" s="2" t="s">
        <v>38178</v>
      </c>
      <c r="N3953" s="3" t="s">
        <v>625</v>
      </c>
      <c r="P3953" s="3" t="s">
        <v>64</v>
      </c>
      <c r="Q3953" s="2" t="s">
        <v>38179</v>
      </c>
      <c r="R3953" s="3" t="s">
        <v>34126</v>
      </c>
      <c r="S3953" s="4">
        <v>27</v>
      </c>
      <c r="T3953" s="4">
        <v>27</v>
      </c>
      <c r="U3953" s="5" t="s">
        <v>38180</v>
      </c>
      <c r="V3953" s="5" t="s">
        <v>38180</v>
      </c>
      <c r="W3953" s="5" t="s">
        <v>67</v>
      </c>
      <c r="X3953" s="5" t="s">
        <v>67</v>
      </c>
      <c r="Y3953" s="4">
        <v>61</v>
      </c>
      <c r="Z3953" s="4">
        <v>2</v>
      </c>
      <c r="AA3953" s="4">
        <v>71</v>
      </c>
      <c r="AB3953" s="4">
        <v>1</v>
      </c>
      <c r="AC3953" s="4">
        <v>9</v>
      </c>
      <c r="AD3953" s="4">
        <v>8</v>
      </c>
      <c r="AE3953" s="4">
        <v>156</v>
      </c>
      <c r="AF3953" s="4">
        <v>0</v>
      </c>
      <c r="AG3953" s="4">
        <v>5</v>
      </c>
      <c r="AH3953" s="4">
        <v>7</v>
      </c>
      <c r="AI3953" s="4">
        <v>116</v>
      </c>
      <c r="AJ3953" s="4">
        <v>0</v>
      </c>
      <c r="AK3953" s="4">
        <v>27</v>
      </c>
      <c r="AL3953" s="4">
        <v>5</v>
      </c>
      <c r="AM3953" s="4">
        <v>61</v>
      </c>
      <c r="AN3953" s="4">
        <v>0</v>
      </c>
      <c r="AO3953" s="4">
        <v>0</v>
      </c>
      <c r="AP3953" s="4">
        <v>1</v>
      </c>
      <c r="AQ3953" s="4">
        <v>46</v>
      </c>
      <c r="AR3953" s="3" t="s">
        <v>62</v>
      </c>
      <c r="AS3953" s="3" t="s">
        <v>62</v>
      </c>
      <c r="AT3953" s="3" t="s">
        <v>62</v>
      </c>
      <c r="AV3953" s="6" t="str">
        <f>HYPERLINK("http://mcgill.on.worldcat.org/oclc/54057542","Catalog Record")</f>
        <v>Catalog Record</v>
      </c>
      <c r="AW3953" s="6" t="str">
        <f>HYPERLINK("http://www.worldcat.org/oclc/54057542","WorldCat Record")</f>
        <v>WorldCat Record</v>
      </c>
      <c r="AX3953" s="3" t="s">
        <v>38181</v>
      </c>
      <c r="AY3953" s="3" t="s">
        <v>38182</v>
      </c>
      <c r="AZ3953" s="3" t="s">
        <v>38183</v>
      </c>
      <c r="BA3953" s="3" t="s">
        <v>38183</v>
      </c>
      <c r="BB3953" s="3" t="s">
        <v>38184</v>
      </c>
      <c r="BC3953" s="3" t="s">
        <v>102</v>
      </c>
      <c r="BD3953" s="3" t="s">
        <v>231</v>
      </c>
      <c r="BE3953" s="3" t="s">
        <v>38185</v>
      </c>
      <c r="BF3953" s="3" t="s">
        <v>38184</v>
      </c>
      <c r="BG3953" s="3" t="s">
        <v>38186</v>
      </c>
    </row>
    <row r="3954" spans="1:59" ht="72.5" x14ac:dyDescent="0.35">
      <c r="A3954" s="2" t="s">
        <v>59</v>
      </c>
      <c r="B3954" s="2" t="s">
        <v>60</v>
      </c>
      <c r="C3954" s="2" t="s">
        <v>38187</v>
      </c>
      <c r="D3954" s="2" t="s">
        <v>38188</v>
      </c>
      <c r="E3954" s="2" t="s">
        <v>38189</v>
      </c>
      <c r="G3954" s="3" t="s">
        <v>62</v>
      </c>
      <c r="I3954" s="3" t="s">
        <v>61</v>
      </c>
      <c r="J3954" s="3" t="s">
        <v>62</v>
      </c>
      <c r="K3954" s="3" t="s">
        <v>63</v>
      </c>
      <c r="L3954" s="2" t="s">
        <v>38190</v>
      </c>
      <c r="M3954" s="2" t="s">
        <v>38191</v>
      </c>
      <c r="N3954" s="3" t="s">
        <v>95</v>
      </c>
      <c r="P3954" s="3" t="s">
        <v>64</v>
      </c>
      <c r="R3954" s="3" t="s">
        <v>34126</v>
      </c>
      <c r="S3954" s="4">
        <v>0</v>
      </c>
      <c r="T3954" s="4">
        <v>6</v>
      </c>
      <c r="V3954" s="5" t="s">
        <v>32824</v>
      </c>
      <c r="W3954" s="5" t="s">
        <v>67</v>
      </c>
      <c r="X3954" s="5" t="s">
        <v>67</v>
      </c>
      <c r="Y3954" s="4">
        <v>620</v>
      </c>
      <c r="Z3954" s="4">
        <v>29</v>
      </c>
      <c r="AA3954" s="4">
        <v>31</v>
      </c>
      <c r="AB3954" s="4">
        <v>1</v>
      </c>
      <c r="AC3954" s="4">
        <v>3</v>
      </c>
      <c r="AD3954" s="4">
        <v>121</v>
      </c>
      <c r="AE3954" s="4">
        <v>123</v>
      </c>
      <c r="AF3954" s="4">
        <v>0</v>
      </c>
      <c r="AG3954" s="4">
        <v>2</v>
      </c>
      <c r="AH3954" s="4">
        <v>103</v>
      </c>
      <c r="AI3954" s="4">
        <v>103</v>
      </c>
      <c r="AJ3954" s="4">
        <v>15</v>
      </c>
      <c r="AK3954" s="4">
        <v>17</v>
      </c>
      <c r="AL3954" s="4">
        <v>60</v>
      </c>
      <c r="AM3954" s="4">
        <v>60</v>
      </c>
      <c r="AN3954" s="4">
        <v>0</v>
      </c>
      <c r="AO3954" s="4">
        <v>0</v>
      </c>
      <c r="AP3954" s="4">
        <v>20</v>
      </c>
      <c r="AQ3954" s="4">
        <v>21</v>
      </c>
      <c r="AR3954" s="3" t="s">
        <v>62</v>
      </c>
      <c r="AS3954" s="3" t="s">
        <v>62</v>
      </c>
      <c r="AT3954" s="3" t="s">
        <v>61</v>
      </c>
      <c r="AU3954" s="6" t="str">
        <f>HYPERLINK("http://catalog.hathitrust.org/Record/000184327","HathiTrust Record")</f>
        <v>HathiTrust Record</v>
      </c>
      <c r="AV3954" s="6" t="str">
        <f>HYPERLINK("http://mcgill.on.worldcat.org/oclc/7462701","Catalog Record")</f>
        <v>Catalog Record</v>
      </c>
      <c r="AW3954" s="6" t="str">
        <f>HYPERLINK("http://www.worldcat.org/oclc/7462701","WorldCat Record")</f>
        <v>WorldCat Record</v>
      </c>
      <c r="AX3954" s="3" t="s">
        <v>38192</v>
      </c>
      <c r="AY3954" s="3" t="s">
        <v>38193</v>
      </c>
      <c r="AZ3954" s="3" t="s">
        <v>38194</v>
      </c>
      <c r="BA3954" s="3" t="s">
        <v>38194</v>
      </c>
      <c r="BB3954" s="3" t="s">
        <v>38195</v>
      </c>
      <c r="BC3954" s="3" t="s">
        <v>102</v>
      </c>
      <c r="BD3954" s="3" t="s">
        <v>68</v>
      </c>
      <c r="BE3954" s="3" t="s">
        <v>38196</v>
      </c>
      <c r="BF3954" s="3" t="s">
        <v>38195</v>
      </c>
      <c r="BG3954" s="3" t="s">
        <v>38197</v>
      </c>
    </row>
    <row r="3955" spans="1:59" ht="87" x14ac:dyDescent="0.35">
      <c r="A3955" s="2" t="s">
        <v>59</v>
      </c>
      <c r="B3955" s="2" t="s">
        <v>60</v>
      </c>
      <c r="C3955" s="2" t="s">
        <v>38198</v>
      </c>
      <c r="D3955" s="2" t="s">
        <v>38199</v>
      </c>
      <c r="E3955" s="2" t="s">
        <v>38200</v>
      </c>
      <c r="F3955" s="3" t="s">
        <v>13105</v>
      </c>
      <c r="G3955" s="3" t="s">
        <v>62</v>
      </c>
      <c r="I3955" s="3" t="s">
        <v>61</v>
      </c>
      <c r="J3955" s="3" t="s">
        <v>62</v>
      </c>
      <c r="K3955" s="3" t="s">
        <v>63</v>
      </c>
      <c r="L3955" s="2" t="s">
        <v>38201</v>
      </c>
      <c r="M3955" s="2" t="s">
        <v>38202</v>
      </c>
      <c r="N3955" s="3" t="s">
        <v>2975</v>
      </c>
      <c r="O3955" s="2" t="s">
        <v>17648</v>
      </c>
      <c r="P3955" s="3" t="s">
        <v>64</v>
      </c>
      <c r="R3955" s="3" t="s">
        <v>34126</v>
      </c>
      <c r="S3955" s="4">
        <v>2</v>
      </c>
      <c r="T3955" s="4">
        <v>6</v>
      </c>
      <c r="U3955" s="5" t="s">
        <v>3243</v>
      </c>
      <c r="V3955" s="5" t="s">
        <v>3243</v>
      </c>
      <c r="W3955" s="5" t="s">
        <v>67</v>
      </c>
      <c r="X3955" s="5" t="s">
        <v>67</v>
      </c>
      <c r="Y3955" s="4">
        <v>14</v>
      </c>
      <c r="Z3955" s="4">
        <v>2</v>
      </c>
      <c r="AA3955" s="4">
        <v>3</v>
      </c>
      <c r="AB3955" s="4">
        <v>2</v>
      </c>
      <c r="AC3955" s="4">
        <v>2</v>
      </c>
      <c r="AD3955" s="4">
        <v>3</v>
      </c>
      <c r="AE3955" s="4">
        <v>9</v>
      </c>
      <c r="AF3955" s="4">
        <v>0</v>
      </c>
      <c r="AG3955" s="4">
        <v>0</v>
      </c>
      <c r="AH3955" s="4">
        <v>3</v>
      </c>
      <c r="AI3955" s="4">
        <v>8</v>
      </c>
      <c r="AJ3955" s="4">
        <v>0</v>
      </c>
      <c r="AK3955" s="4">
        <v>0</v>
      </c>
      <c r="AL3955" s="4">
        <v>2</v>
      </c>
      <c r="AM3955" s="4">
        <v>7</v>
      </c>
      <c r="AN3955" s="4">
        <v>0</v>
      </c>
      <c r="AO3955" s="4">
        <v>0</v>
      </c>
      <c r="AP3955" s="4">
        <v>0</v>
      </c>
      <c r="AQ3955" s="4">
        <v>1</v>
      </c>
      <c r="AR3955" s="3" t="s">
        <v>62</v>
      </c>
      <c r="AS3955" s="3" t="s">
        <v>62</v>
      </c>
      <c r="AT3955" s="3" t="s">
        <v>62</v>
      </c>
      <c r="AV3955" s="6" t="str">
        <f>HYPERLINK("http://mcgill.on.worldcat.org/oclc/46345776","Catalog Record")</f>
        <v>Catalog Record</v>
      </c>
      <c r="AW3955" s="6" t="str">
        <f>HYPERLINK("http://www.worldcat.org/oclc/46345776","WorldCat Record")</f>
        <v>WorldCat Record</v>
      </c>
      <c r="AX3955" s="3" t="s">
        <v>38203</v>
      </c>
      <c r="AY3955" s="3" t="s">
        <v>38204</v>
      </c>
      <c r="AZ3955" s="3" t="s">
        <v>38205</v>
      </c>
      <c r="BA3955" s="3" t="s">
        <v>38205</v>
      </c>
      <c r="BB3955" s="3" t="s">
        <v>38206</v>
      </c>
      <c r="BC3955" s="3" t="s">
        <v>102</v>
      </c>
      <c r="BD3955" s="3" t="s">
        <v>68</v>
      </c>
      <c r="BE3955" s="3" t="s">
        <v>38207</v>
      </c>
      <c r="BF3955" s="3" t="s">
        <v>38206</v>
      </c>
      <c r="BG3955" s="3" t="s">
        <v>38208</v>
      </c>
    </row>
    <row r="3956" spans="1:59" ht="101.5" x14ac:dyDescent="0.35">
      <c r="A3956" s="2" t="s">
        <v>89</v>
      </c>
      <c r="B3956" s="2" t="s">
        <v>12301</v>
      </c>
      <c r="C3956" s="2" t="s">
        <v>38209</v>
      </c>
      <c r="D3956" s="2" t="s">
        <v>38210</v>
      </c>
      <c r="E3956" s="2" t="s">
        <v>38211</v>
      </c>
      <c r="G3956" s="3" t="s">
        <v>62</v>
      </c>
      <c r="I3956" s="3" t="s">
        <v>61</v>
      </c>
      <c r="J3956" s="3" t="s">
        <v>61</v>
      </c>
      <c r="K3956" s="3" t="s">
        <v>63</v>
      </c>
      <c r="M3956" s="2" t="s">
        <v>38212</v>
      </c>
      <c r="N3956" s="3" t="s">
        <v>1455</v>
      </c>
      <c r="O3956" s="2" t="s">
        <v>38213</v>
      </c>
      <c r="P3956" s="3" t="s">
        <v>64</v>
      </c>
      <c r="R3956" s="3" t="s">
        <v>34126</v>
      </c>
      <c r="S3956" s="4">
        <v>98</v>
      </c>
      <c r="T3956" s="4">
        <v>389</v>
      </c>
      <c r="U3956" s="5" t="s">
        <v>1293</v>
      </c>
      <c r="V3956" s="5" t="s">
        <v>10647</v>
      </c>
      <c r="W3956" s="5" t="s">
        <v>67</v>
      </c>
      <c r="X3956" s="5" t="s">
        <v>67</v>
      </c>
      <c r="Y3956" s="4">
        <v>1</v>
      </c>
      <c r="Z3956" s="4">
        <v>1</v>
      </c>
      <c r="AA3956" s="4">
        <v>94</v>
      </c>
      <c r="AB3956" s="4">
        <v>1</v>
      </c>
      <c r="AC3956" s="4">
        <v>14</v>
      </c>
      <c r="AD3956" s="4">
        <v>0</v>
      </c>
      <c r="AE3956" s="4">
        <v>164</v>
      </c>
      <c r="AF3956" s="4">
        <v>0</v>
      </c>
      <c r="AG3956" s="4">
        <v>6</v>
      </c>
      <c r="AH3956" s="4">
        <v>0</v>
      </c>
      <c r="AI3956" s="4">
        <v>118</v>
      </c>
      <c r="AJ3956" s="4">
        <v>0</v>
      </c>
      <c r="AK3956" s="4">
        <v>30</v>
      </c>
      <c r="AL3956" s="4">
        <v>0</v>
      </c>
      <c r="AM3956" s="4">
        <v>63</v>
      </c>
      <c r="AN3956" s="4">
        <v>0</v>
      </c>
      <c r="AO3956" s="4">
        <v>0</v>
      </c>
      <c r="AP3956" s="4">
        <v>0</v>
      </c>
      <c r="AQ3956" s="4">
        <v>50</v>
      </c>
      <c r="AR3956" s="3" t="s">
        <v>62</v>
      </c>
      <c r="AS3956" s="3" t="s">
        <v>62</v>
      </c>
      <c r="AT3956" s="3" t="s">
        <v>62</v>
      </c>
      <c r="AV3956" s="6" t="str">
        <f>HYPERLINK("http://mcgill.on.worldcat.org/oclc/1048898198","Catalog Record")</f>
        <v>Catalog Record</v>
      </c>
      <c r="AW3956" s="6" t="str">
        <f>HYPERLINK("http://www.worldcat.org/oclc/1048898198","WorldCat Record")</f>
        <v>WorldCat Record</v>
      </c>
      <c r="AX3956" s="3" t="s">
        <v>38214</v>
      </c>
      <c r="AY3956" s="3" t="s">
        <v>38215</v>
      </c>
      <c r="AZ3956" s="3" t="s">
        <v>38216</v>
      </c>
      <c r="BA3956" s="3" t="s">
        <v>38216</v>
      </c>
      <c r="BB3956" s="3" t="s">
        <v>38217</v>
      </c>
      <c r="BC3956" s="3" t="s">
        <v>102</v>
      </c>
      <c r="BD3956" s="3" t="s">
        <v>7808</v>
      </c>
      <c r="BE3956" s="3" t="s">
        <v>38218</v>
      </c>
      <c r="BF3956" s="3" t="s">
        <v>38217</v>
      </c>
      <c r="BG3956" s="3" t="s">
        <v>38219</v>
      </c>
    </row>
    <row r="3957" spans="1:59" ht="101.5" x14ac:dyDescent="0.35">
      <c r="A3957" s="2" t="s">
        <v>89</v>
      </c>
      <c r="B3957" s="2" t="s">
        <v>12301</v>
      </c>
      <c r="C3957" s="2" t="s">
        <v>38209</v>
      </c>
      <c r="D3957" s="2" t="s">
        <v>38210</v>
      </c>
      <c r="E3957" s="2" t="s">
        <v>38211</v>
      </c>
      <c r="G3957" s="3" t="s">
        <v>62</v>
      </c>
      <c r="I3957" s="3" t="s">
        <v>61</v>
      </c>
      <c r="J3957" s="3" t="s">
        <v>61</v>
      </c>
      <c r="K3957" s="3" t="s">
        <v>63</v>
      </c>
      <c r="M3957" s="2" t="s">
        <v>38212</v>
      </c>
      <c r="N3957" s="3" t="s">
        <v>1455</v>
      </c>
      <c r="O3957" s="2" t="s">
        <v>38213</v>
      </c>
      <c r="P3957" s="3" t="s">
        <v>64</v>
      </c>
      <c r="R3957" s="3" t="s">
        <v>34126</v>
      </c>
      <c r="S3957" s="4">
        <v>10</v>
      </c>
      <c r="T3957" s="4">
        <v>389</v>
      </c>
      <c r="U3957" s="5" t="s">
        <v>2292</v>
      </c>
      <c r="V3957" s="5" t="s">
        <v>10647</v>
      </c>
      <c r="W3957" s="5" t="s">
        <v>67</v>
      </c>
      <c r="X3957" s="5" t="s">
        <v>67</v>
      </c>
      <c r="Y3957" s="4">
        <v>1</v>
      </c>
      <c r="Z3957" s="4">
        <v>1</v>
      </c>
      <c r="AA3957" s="4">
        <v>94</v>
      </c>
      <c r="AB3957" s="4">
        <v>1</v>
      </c>
      <c r="AC3957" s="4">
        <v>14</v>
      </c>
      <c r="AD3957" s="4">
        <v>0</v>
      </c>
      <c r="AE3957" s="4">
        <v>164</v>
      </c>
      <c r="AF3957" s="4">
        <v>0</v>
      </c>
      <c r="AG3957" s="4">
        <v>6</v>
      </c>
      <c r="AH3957" s="4">
        <v>0</v>
      </c>
      <c r="AI3957" s="4">
        <v>118</v>
      </c>
      <c r="AJ3957" s="4">
        <v>0</v>
      </c>
      <c r="AK3957" s="4">
        <v>30</v>
      </c>
      <c r="AL3957" s="4">
        <v>0</v>
      </c>
      <c r="AM3957" s="4">
        <v>63</v>
      </c>
      <c r="AN3957" s="4">
        <v>0</v>
      </c>
      <c r="AO3957" s="4">
        <v>0</v>
      </c>
      <c r="AP3957" s="4">
        <v>0</v>
      </c>
      <c r="AQ3957" s="4">
        <v>50</v>
      </c>
      <c r="AR3957" s="3" t="s">
        <v>62</v>
      </c>
      <c r="AS3957" s="3" t="s">
        <v>62</v>
      </c>
      <c r="AT3957" s="3" t="s">
        <v>62</v>
      </c>
      <c r="AV3957" s="6" t="str">
        <f>HYPERLINK("http://mcgill.on.worldcat.org/oclc/1048898198","Catalog Record")</f>
        <v>Catalog Record</v>
      </c>
      <c r="AW3957" s="6" t="str">
        <f>HYPERLINK("http://www.worldcat.org/oclc/1048898198","WorldCat Record")</f>
        <v>WorldCat Record</v>
      </c>
      <c r="AX3957" s="3" t="s">
        <v>38214</v>
      </c>
      <c r="AY3957" s="3" t="s">
        <v>38215</v>
      </c>
      <c r="AZ3957" s="3" t="s">
        <v>38216</v>
      </c>
      <c r="BA3957" s="3" t="s">
        <v>38216</v>
      </c>
      <c r="BB3957" s="3" t="s">
        <v>38220</v>
      </c>
      <c r="BC3957" s="3" t="s">
        <v>102</v>
      </c>
      <c r="BD3957" s="3" t="s">
        <v>7808</v>
      </c>
      <c r="BE3957" s="3" t="s">
        <v>38218</v>
      </c>
      <c r="BF3957" s="3" t="s">
        <v>38220</v>
      </c>
      <c r="BG3957" s="3" t="s">
        <v>38221</v>
      </c>
    </row>
    <row r="3958" spans="1:59" ht="101.5" x14ac:dyDescent="0.35">
      <c r="A3958" s="2" t="s">
        <v>89</v>
      </c>
      <c r="B3958" s="2" t="s">
        <v>12301</v>
      </c>
      <c r="C3958" s="2" t="s">
        <v>38209</v>
      </c>
      <c r="D3958" s="2" t="s">
        <v>38210</v>
      </c>
      <c r="E3958" s="2" t="s">
        <v>38211</v>
      </c>
      <c r="G3958" s="3" t="s">
        <v>62</v>
      </c>
      <c r="I3958" s="3" t="s">
        <v>61</v>
      </c>
      <c r="J3958" s="3" t="s">
        <v>61</v>
      </c>
      <c r="K3958" s="3" t="s">
        <v>63</v>
      </c>
      <c r="M3958" s="2" t="s">
        <v>38212</v>
      </c>
      <c r="N3958" s="3" t="s">
        <v>1455</v>
      </c>
      <c r="O3958" s="2" t="s">
        <v>38213</v>
      </c>
      <c r="P3958" s="3" t="s">
        <v>64</v>
      </c>
      <c r="R3958" s="3" t="s">
        <v>34126</v>
      </c>
      <c r="S3958" s="4">
        <v>76</v>
      </c>
      <c r="T3958" s="4">
        <v>389</v>
      </c>
      <c r="U3958" s="5" t="s">
        <v>10647</v>
      </c>
      <c r="V3958" s="5" t="s">
        <v>10647</v>
      </c>
      <c r="W3958" s="5" t="s">
        <v>67</v>
      </c>
      <c r="X3958" s="5" t="s">
        <v>67</v>
      </c>
      <c r="Y3958" s="4">
        <v>1</v>
      </c>
      <c r="Z3958" s="4">
        <v>1</v>
      </c>
      <c r="AA3958" s="4">
        <v>94</v>
      </c>
      <c r="AB3958" s="4">
        <v>1</v>
      </c>
      <c r="AC3958" s="4">
        <v>14</v>
      </c>
      <c r="AD3958" s="4">
        <v>0</v>
      </c>
      <c r="AE3958" s="4">
        <v>164</v>
      </c>
      <c r="AF3958" s="4">
        <v>0</v>
      </c>
      <c r="AG3958" s="4">
        <v>6</v>
      </c>
      <c r="AH3958" s="4">
        <v>0</v>
      </c>
      <c r="AI3958" s="4">
        <v>118</v>
      </c>
      <c r="AJ3958" s="4">
        <v>0</v>
      </c>
      <c r="AK3958" s="4">
        <v>30</v>
      </c>
      <c r="AL3958" s="4">
        <v>0</v>
      </c>
      <c r="AM3958" s="4">
        <v>63</v>
      </c>
      <c r="AN3958" s="4">
        <v>0</v>
      </c>
      <c r="AO3958" s="4">
        <v>0</v>
      </c>
      <c r="AP3958" s="4">
        <v>0</v>
      </c>
      <c r="AQ3958" s="4">
        <v>50</v>
      </c>
      <c r="AR3958" s="3" t="s">
        <v>62</v>
      </c>
      <c r="AS3958" s="3" t="s">
        <v>62</v>
      </c>
      <c r="AT3958" s="3" t="s">
        <v>62</v>
      </c>
      <c r="AV3958" s="6" t="str">
        <f>HYPERLINK("http://mcgill.on.worldcat.org/oclc/1048898198","Catalog Record")</f>
        <v>Catalog Record</v>
      </c>
      <c r="AW3958" s="6" t="str">
        <f>HYPERLINK("http://www.worldcat.org/oclc/1048898198","WorldCat Record")</f>
        <v>WorldCat Record</v>
      </c>
      <c r="AX3958" s="3" t="s">
        <v>38214</v>
      </c>
      <c r="AY3958" s="3" t="s">
        <v>38215</v>
      </c>
      <c r="AZ3958" s="3" t="s">
        <v>38216</v>
      </c>
      <c r="BA3958" s="3" t="s">
        <v>38216</v>
      </c>
      <c r="BB3958" s="3" t="s">
        <v>38222</v>
      </c>
      <c r="BC3958" s="3" t="s">
        <v>102</v>
      </c>
      <c r="BD3958" s="3" t="s">
        <v>7808</v>
      </c>
      <c r="BE3958" s="3" t="s">
        <v>38218</v>
      </c>
      <c r="BF3958" s="3" t="s">
        <v>38222</v>
      </c>
      <c r="BG3958" s="3" t="s">
        <v>38223</v>
      </c>
    </row>
    <row r="3959" spans="1:59" ht="101.5" x14ac:dyDescent="0.35">
      <c r="A3959" s="2" t="s">
        <v>89</v>
      </c>
      <c r="B3959" s="2" t="s">
        <v>12301</v>
      </c>
      <c r="C3959" s="2" t="s">
        <v>38209</v>
      </c>
      <c r="D3959" s="2" t="s">
        <v>38210</v>
      </c>
      <c r="E3959" s="2" t="s">
        <v>38211</v>
      </c>
      <c r="G3959" s="3" t="s">
        <v>62</v>
      </c>
      <c r="I3959" s="3" t="s">
        <v>61</v>
      </c>
      <c r="J3959" s="3" t="s">
        <v>61</v>
      </c>
      <c r="K3959" s="3" t="s">
        <v>63</v>
      </c>
      <c r="M3959" s="2" t="s">
        <v>38212</v>
      </c>
      <c r="N3959" s="3" t="s">
        <v>1455</v>
      </c>
      <c r="O3959" s="2" t="s">
        <v>38213</v>
      </c>
      <c r="P3959" s="3" t="s">
        <v>64</v>
      </c>
      <c r="R3959" s="3" t="s">
        <v>34126</v>
      </c>
      <c r="S3959" s="4">
        <v>103</v>
      </c>
      <c r="T3959" s="4">
        <v>389</v>
      </c>
      <c r="U3959" s="5" t="s">
        <v>12137</v>
      </c>
      <c r="V3959" s="5" t="s">
        <v>10647</v>
      </c>
      <c r="W3959" s="5" t="s">
        <v>67</v>
      </c>
      <c r="X3959" s="5" t="s">
        <v>67</v>
      </c>
      <c r="Y3959" s="4">
        <v>1</v>
      </c>
      <c r="Z3959" s="4">
        <v>1</v>
      </c>
      <c r="AA3959" s="4">
        <v>94</v>
      </c>
      <c r="AB3959" s="4">
        <v>1</v>
      </c>
      <c r="AC3959" s="4">
        <v>14</v>
      </c>
      <c r="AD3959" s="4">
        <v>0</v>
      </c>
      <c r="AE3959" s="4">
        <v>164</v>
      </c>
      <c r="AF3959" s="4">
        <v>0</v>
      </c>
      <c r="AG3959" s="4">
        <v>6</v>
      </c>
      <c r="AH3959" s="4">
        <v>0</v>
      </c>
      <c r="AI3959" s="4">
        <v>118</v>
      </c>
      <c r="AJ3959" s="4">
        <v>0</v>
      </c>
      <c r="AK3959" s="4">
        <v>30</v>
      </c>
      <c r="AL3959" s="4">
        <v>0</v>
      </c>
      <c r="AM3959" s="4">
        <v>63</v>
      </c>
      <c r="AN3959" s="4">
        <v>0</v>
      </c>
      <c r="AO3959" s="4">
        <v>0</v>
      </c>
      <c r="AP3959" s="4">
        <v>0</v>
      </c>
      <c r="AQ3959" s="4">
        <v>50</v>
      </c>
      <c r="AR3959" s="3" t="s">
        <v>62</v>
      </c>
      <c r="AS3959" s="3" t="s">
        <v>62</v>
      </c>
      <c r="AT3959" s="3" t="s">
        <v>62</v>
      </c>
      <c r="AV3959" s="6" t="str">
        <f>HYPERLINK("http://mcgill.on.worldcat.org/oclc/1048898198","Catalog Record")</f>
        <v>Catalog Record</v>
      </c>
      <c r="AW3959" s="6" t="str">
        <f>HYPERLINK("http://www.worldcat.org/oclc/1048898198","WorldCat Record")</f>
        <v>WorldCat Record</v>
      </c>
      <c r="AX3959" s="3" t="s">
        <v>38214</v>
      </c>
      <c r="AY3959" s="3" t="s">
        <v>38215</v>
      </c>
      <c r="AZ3959" s="3" t="s">
        <v>38216</v>
      </c>
      <c r="BA3959" s="3" t="s">
        <v>38216</v>
      </c>
      <c r="BB3959" s="3" t="s">
        <v>38224</v>
      </c>
      <c r="BC3959" s="3" t="s">
        <v>102</v>
      </c>
      <c r="BD3959" s="3" t="s">
        <v>7808</v>
      </c>
      <c r="BE3959" s="3" t="s">
        <v>38218</v>
      </c>
      <c r="BF3959" s="3" t="s">
        <v>38224</v>
      </c>
      <c r="BG3959" s="3" t="s">
        <v>38225</v>
      </c>
    </row>
    <row r="3960" spans="1:59" ht="101.5" x14ac:dyDescent="0.35">
      <c r="A3960" s="2" t="s">
        <v>89</v>
      </c>
      <c r="B3960" s="2" t="s">
        <v>12301</v>
      </c>
      <c r="C3960" s="2" t="s">
        <v>38226</v>
      </c>
      <c r="D3960" s="2" t="s">
        <v>38227</v>
      </c>
      <c r="E3960" s="2" t="s">
        <v>38228</v>
      </c>
      <c r="G3960" s="3" t="s">
        <v>62</v>
      </c>
      <c r="I3960" s="3" t="s">
        <v>61</v>
      </c>
      <c r="J3960" s="3" t="s">
        <v>61</v>
      </c>
      <c r="K3960" s="3" t="s">
        <v>63</v>
      </c>
      <c r="L3960" s="2" t="s">
        <v>38229</v>
      </c>
      <c r="M3960" s="2" t="s">
        <v>38230</v>
      </c>
      <c r="N3960" s="3" t="s">
        <v>1455</v>
      </c>
      <c r="O3960" s="2" t="s">
        <v>32813</v>
      </c>
      <c r="P3960" s="3" t="s">
        <v>64</v>
      </c>
      <c r="R3960" s="3" t="s">
        <v>34126</v>
      </c>
      <c r="S3960" s="4">
        <v>75</v>
      </c>
      <c r="T3960" s="4">
        <v>122</v>
      </c>
      <c r="U3960" s="5" t="s">
        <v>16074</v>
      </c>
      <c r="V3960" s="5" t="s">
        <v>24286</v>
      </c>
      <c r="W3960" s="5" t="s">
        <v>67</v>
      </c>
      <c r="X3960" s="5" t="s">
        <v>67</v>
      </c>
      <c r="Y3960" s="4">
        <v>167</v>
      </c>
      <c r="Z3960" s="4">
        <v>16</v>
      </c>
      <c r="AA3960" s="4">
        <v>94</v>
      </c>
      <c r="AB3960" s="4">
        <v>3</v>
      </c>
      <c r="AC3960" s="4">
        <v>14</v>
      </c>
      <c r="AD3960" s="4">
        <v>43</v>
      </c>
      <c r="AE3960" s="4">
        <v>164</v>
      </c>
      <c r="AF3960" s="4">
        <v>1</v>
      </c>
      <c r="AG3960" s="4">
        <v>6</v>
      </c>
      <c r="AH3960" s="4">
        <v>36</v>
      </c>
      <c r="AI3960" s="4">
        <v>118</v>
      </c>
      <c r="AJ3960" s="4">
        <v>8</v>
      </c>
      <c r="AK3960" s="4">
        <v>30</v>
      </c>
      <c r="AL3960" s="4">
        <v>24</v>
      </c>
      <c r="AM3960" s="4">
        <v>63</v>
      </c>
      <c r="AN3960" s="4">
        <v>0</v>
      </c>
      <c r="AO3960" s="4">
        <v>0</v>
      </c>
      <c r="AP3960" s="4">
        <v>11</v>
      </c>
      <c r="AQ3960" s="4">
        <v>50</v>
      </c>
      <c r="AR3960" s="3" t="s">
        <v>62</v>
      </c>
      <c r="AS3960" s="3" t="s">
        <v>62</v>
      </c>
      <c r="AT3960" s="3" t="s">
        <v>62</v>
      </c>
      <c r="AV3960" s="6" t="str">
        <f>HYPERLINK("http://mcgill.on.worldcat.org/oclc/900650999","Catalog Record")</f>
        <v>Catalog Record</v>
      </c>
      <c r="AW3960" s="6" t="str">
        <f>HYPERLINK("http://www.worldcat.org/oclc/900650999","WorldCat Record")</f>
        <v>WorldCat Record</v>
      </c>
      <c r="AX3960" s="3" t="s">
        <v>38214</v>
      </c>
      <c r="AY3960" s="3" t="s">
        <v>38231</v>
      </c>
      <c r="AZ3960" s="3" t="s">
        <v>38232</v>
      </c>
      <c r="BA3960" s="3" t="s">
        <v>38232</v>
      </c>
      <c r="BB3960" s="3" t="s">
        <v>38233</v>
      </c>
      <c r="BC3960" s="3" t="s">
        <v>102</v>
      </c>
      <c r="BD3960" s="3" t="s">
        <v>68</v>
      </c>
      <c r="BE3960" s="3" t="s">
        <v>38234</v>
      </c>
      <c r="BF3960" s="3" t="s">
        <v>38233</v>
      </c>
      <c r="BG3960" s="3" t="s">
        <v>38235</v>
      </c>
    </row>
    <row r="3961" spans="1:59" ht="101.5" x14ac:dyDescent="0.35">
      <c r="A3961" s="2" t="s">
        <v>89</v>
      </c>
      <c r="B3961" s="2" t="s">
        <v>12301</v>
      </c>
      <c r="C3961" s="2" t="s">
        <v>38226</v>
      </c>
      <c r="D3961" s="2" t="s">
        <v>38227</v>
      </c>
      <c r="E3961" s="2" t="s">
        <v>38228</v>
      </c>
      <c r="G3961" s="3" t="s">
        <v>62</v>
      </c>
      <c r="I3961" s="3" t="s">
        <v>61</v>
      </c>
      <c r="J3961" s="3" t="s">
        <v>61</v>
      </c>
      <c r="K3961" s="3" t="s">
        <v>63</v>
      </c>
      <c r="L3961" s="2" t="s">
        <v>38229</v>
      </c>
      <c r="M3961" s="2" t="s">
        <v>38230</v>
      </c>
      <c r="N3961" s="3" t="s">
        <v>1455</v>
      </c>
      <c r="O3961" s="2" t="s">
        <v>32813</v>
      </c>
      <c r="P3961" s="3" t="s">
        <v>64</v>
      </c>
      <c r="R3961" s="3" t="s">
        <v>34126</v>
      </c>
      <c r="S3961" s="4">
        <v>47</v>
      </c>
      <c r="T3961" s="4">
        <v>122</v>
      </c>
      <c r="U3961" s="5" t="s">
        <v>24286</v>
      </c>
      <c r="V3961" s="5" t="s">
        <v>24286</v>
      </c>
      <c r="W3961" s="5" t="s">
        <v>67</v>
      </c>
      <c r="X3961" s="5" t="s">
        <v>67</v>
      </c>
      <c r="Y3961" s="4">
        <v>167</v>
      </c>
      <c r="Z3961" s="4">
        <v>16</v>
      </c>
      <c r="AA3961" s="4">
        <v>94</v>
      </c>
      <c r="AB3961" s="4">
        <v>3</v>
      </c>
      <c r="AC3961" s="4">
        <v>14</v>
      </c>
      <c r="AD3961" s="4">
        <v>43</v>
      </c>
      <c r="AE3961" s="4">
        <v>164</v>
      </c>
      <c r="AF3961" s="4">
        <v>1</v>
      </c>
      <c r="AG3961" s="4">
        <v>6</v>
      </c>
      <c r="AH3961" s="4">
        <v>36</v>
      </c>
      <c r="AI3961" s="4">
        <v>118</v>
      </c>
      <c r="AJ3961" s="4">
        <v>8</v>
      </c>
      <c r="AK3961" s="4">
        <v>30</v>
      </c>
      <c r="AL3961" s="4">
        <v>24</v>
      </c>
      <c r="AM3961" s="4">
        <v>63</v>
      </c>
      <c r="AN3961" s="4">
        <v>0</v>
      </c>
      <c r="AO3961" s="4">
        <v>0</v>
      </c>
      <c r="AP3961" s="4">
        <v>11</v>
      </c>
      <c r="AQ3961" s="4">
        <v>50</v>
      </c>
      <c r="AR3961" s="3" t="s">
        <v>62</v>
      </c>
      <c r="AS3961" s="3" t="s">
        <v>62</v>
      </c>
      <c r="AT3961" s="3" t="s">
        <v>62</v>
      </c>
      <c r="AV3961" s="6" t="str">
        <f>HYPERLINK("http://mcgill.on.worldcat.org/oclc/900650999","Catalog Record")</f>
        <v>Catalog Record</v>
      </c>
      <c r="AW3961" s="6" t="str">
        <f>HYPERLINK("http://www.worldcat.org/oclc/900650999","WorldCat Record")</f>
        <v>WorldCat Record</v>
      </c>
      <c r="AX3961" s="3" t="s">
        <v>38214</v>
      </c>
      <c r="AY3961" s="3" t="s">
        <v>38231</v>
      </c>
      <c r="AZ3961" s="3" t="s">
        <v>38232</v>
      </c>
      <c r="BA3961" s="3" t="s">
        <v>38232</v>
      </c>
      <c r="BB3961" s="3" t="s">
        <v>38236</v>
      </c>
      <c r="BC3961" s="3" t="s">
        <v>102</v>
      </c>
      <c r="BD3961" s="3" t="s">
        <v>68</v>
      </c>
      <c r="BE3961" s="3" t="s">
        <v>38234</v>
      </c>
      <c r="BF3961" s="3" t="s">
        <v>38236</v>
      </c>
      <c r="BG3961" s="3" t="s">
        <v>38237</v>
      </c>
    </row>
    <row r="3962" spans="1:59" ht="101.5" x14ac:dyDescent="0.35">
      <c r="A3962" s="2" t="s">
        <v>89</v>
      </c>
      <c r="B3962" s="2" t="s">
        <v>12301</v>
      </c>
      <c r="C3962" s="2" t="s">
        <v>38226</v>
      </c>
      <c r="D3962" s="2" t="s">
        <v>38227</v>
      </c>
      <c r="E3962" s="2" t="s">
        <v>38238</v>
      </c>
      <c r="G3962" s="3" t="s">
        <v>62</v>
      </c>
      <c r="I3962" s="3" t="s">
        <v>61</v>
      </c>
      <c r="J3962" s="3" t="s">
        <v>62</v>
      </c>
      <c r="K3962" s="3" t="s">
        <v>63</v>
      </c>
      <c r="L3962" s="2" t="s">
        <v>38239</v>
      </c>
      <c r="M3962" s="2" t="s">
        <v>38240</v>
      </c>
      <c r="N3962" s="3" t="s">
        <v>1455</v>
      </c>
      <c r="O3962" s="2" t="s">
        <v>32813</v>
      </c>
      <c r="P3962" s="3" t="s">
        <v>64</v>
      </c>
      <c r="R3962" s="3" t="s">
        <v>34126</v>
      </c>
      <c r="S3962" s="4">
        <v>128</v>
      </c>
      <c r="T3962" s="4">
        <v>616</v>
      </c>
      <c r="U3962" s="5" t="s">
        <v>14499</v>
      </c>
      <c r="V3962" s="5" t="s">
        <v>24286</v>
      </c>
      <c r="W3962" s="5" t="s">
        <v>67</v>
      </c>
      <c r="X3962" s="5" t="s">
        <v>67</v>
      </c>
      <c r="Y3962" s="4">
        <v>27</v>
      </c>
      <c r="Z3962" s="4">
        <v>3</v>
      </c>
      <c r="AA3962" s="4">
        <v>4</v>
      </c>
      <c r="AB3962" s="4">
        <v>3</v>
      </c>
      <c r="AC3962" s="4">
        <v>3</v>
      </c>
      <c r="AD3962" s="4">
        <v>10</v>
      </c>
      <c r="AE3962" s="4">
        <v>10</v>
      </c>
      <c r="AF3962" s="4">
        <v>1</v>
      </c>
      <c r="AG3962" s="4">
        <v>1</v>
      </c>
      <c r="AH3962" s="4">
        <v>8</v>
      </c>
      <c r="AI3962" s="4">
        <v>8</v>
      </c>
      <c r="AJ3962" s="4">
        <v>1</v>
      </c>
      <c r="AK3962" s="4">
        <v>1</v>
      </c>
      <c r="AL3962" s="4">
        <v>8</v>
      </c>
      <c r="AM3962" s="4">
        <v>8</v>
      </c>
      <c r="AN3962" s="4">
        <v>0</v>
      </c>
      <c r="AO3962" s="4">
        <v>0</v>
      </c>
      <c r="AP3962" s="4">
        <v>1</v>
      </c>
      <c r="AQ3962" s="4">
        <v>1</v>
      </c>
      <c r="AR3962" s="3" t="s">
        <v>62</v>
      </c>
      <c r="AS3962" s="3" t="s">
        <v>62</v>
      </c>
      <c r="AT3962" s="3" t="s">
        <v>62</v>
      </c>
      <c r="AV3962" s="6" t="str">
        <f>HYPERLINK("http://mcgill.on.worldcat.org/oclc/903222073","Catalog Record")</f>
        <v>Catalog Record</v>
      </c>
      <c r="AW3962" s="6" t="str">
        <f>HYPERLINK("http://www.worldcat.org/oclc/903222073","WorldCat Record")</f>
        <v>WorldCat Record</v>
      </c>
      <c r="AX3962" s="3" t="s">
        <v>38241</v>
      </c>
      <c r="AY3962" s="3" t="s">
        <v>38242</v>
      </c>
      <c r="AZ3962" s="3" t="s">
        <v>38243</v>
      </c>
      <c r="BA3962" s="3" t="s">
        <v>38243</v>
      </c>
      <c r="BB3962" s="3" t="s">
        <v>38244</v>
      </c>
      <c r="BC3962" s="3" t="s">
        <v>102</v>
      </c>
      <c r="BD3962" s="3" t="s">
        <v>68</v>
      </c>
      <c r="BE3962" s="3" t="s">
        <v>38245</v>
      </c>
      <c r="BF3962" s="3" t="s">
        <v>38244</v>
      </c>
      <c r="BG3962" s="3" t="s">
        <v>38246</v>
      </c>
    </row>
    <row r="3963" spans="1:59" ht="101.5" x14ac:dyDescent="0.35">
      <c r="A3963" s="2" t="s">
        <v>89</v>
      </c>
      <c r="B3963" s="2" t="s">
        <v>12301</v>
      </c>
      <c r="C3963" s="2" t="s">
        <v>38226</v>
      </c>
      <c r="D3963" s="2" t="s">
        <v>38227</v>
      </c>
      <c r="E3963" s="2" t="s">
        <v>38238</v>
      </c>
      <c r="G3963" s="3" t="s">
        <v>62</v>
      </c>
      <c r="I3963" s="3" t="s">
        <v>61</v>
      </c>
      <c r="J3963" s="3" t="s">
        <v>62</v>
      </c>
      <c r="K3963" s="3" t="s">
        <v>63</v>
      </c>
      <c r="L3963" s="2" t="s">
        <v>38239</v>
      </c>
      <c r="M3963" s="2" t="s">
        <v>38240</v>
      </c>
      <c r="N3963" s="3" t="s">
        <v>1455</v>
      </c>
      <c r="O3963" s="2" t="s">
        <v>32813</v>
      </c>
      <c r="P3963" s="3" t="s">
        <v>64</v>
      </c>
      <c r="R3963" s="3" t="s">
        <v>34126</v>
      </c>
      <c r="S3963" s="4">
        <v>121</v>
      </c>
      <c r="T3963" s="4">
        <v>616</v>
      </c>
      <c r="U3963" s="5" t="s">
        <v>24286</v>
      </c>
      <c r="V3963" s="5" t="s">
        <v>24286</v>
      </c>
      <c r="W3963" s="5" t="s">
        <v>67</v>
      </c>
      <c r="X3963" s="5" t="s">
        <v>67</v>
      </c>
      <c r="Y3963" s="4">
        <v>27</v>
      </c>
      <c r="Z3963" s="4">
        <v>3</v>
      </c>
      <c r="AA3963" s="4">
        <v>4</v>
      </c>
      <c r="AB3963" s="4">
        <v>3</v>
      </c>
      <c r="AC3963" s="4">
        <v>3</v>
      </c>
      <c r="AD3963" s="4">
        <v>10</v>
      </c>
      <c r="AE3963" s="4">
        <v>10</v>
      </c>
      <c r="AF3963" s="4">
        <v>1</v>
      </c>
      <c r="AG3963" s="4">
        <v>1</v>
      </c>
      <c r="AH3963" s="4">
        <v>8</v>
      </c>
      <c r="AI3963" s="4">
        <v>8</v>
      </c>
      <c r="AJ3963" s="4">
        <v>1</v>
      </c>
      <c r="AK3963" s="4">
        <v>1</v>
      </c>
      <c r="AL3963" s="4">
        <v>8</v>
      </c>
      <c r="AM3963" s="4">
        <v>8</v>
      </c>
      <c r="AN3963" s="4">
        <v>0</v>
      </c>
      <c r="AO3963" s="4">
        <v>0</v>
      </c>
      <c r="AP3963" s="4">
        <v>1</v>
      </c>
      <c r="AQ3963" s="4">
        <v>1</v>
      </c>
      <c r="AR3963" s="3" t="s">
        <v>62</v>
      </c>
      <c r="AS3963" s="3" t="s">
        <v>62</v>
      </c>
      <c r="AT3963" s="3" t="s">
        <v>62</v>
      </c>
      <c r="AV3963" s="6" t="str">
        <f>HYPERLINK("http://mcgill.on.worldcat.org/oclc/903222073","Catalog Record")</f>
        <v>Catalog Record</v>
      </c>
      <c r="AW3963" s="6" t="str">
        <f>HYPERLINK("http://www.worldcat.org/oclc/903222073","WorldCat Record")</f>
        <v>WorldCat Record</v>
      </c>
      <c r="AX3963" s="3" t="s">
        <v>38241</v>
      </c>
      <c r="AY3963" s="3" t="s">
        <v>38242</v>
      </c>
      <c r="AZ3963" s="3" t="s">
        <v>38243</v>
      </c>
      <c r="BA3963" s="3" t="s">
        <v>38243</v>
      </c>
      <c r="BB3963" s="3" t="s">
        <v>38247</v>
      </c>
      <c r="BC3963" s="3" t="s">
        <v>102</v>
      </c>
      <c r="BD3963" s="3" t="s">
        <v>231</v>
      </c>
      <c r="BE3963" s="3" t="s">
        <v>38245</v>
      </c>
      <c r="BF3963" s="3" t="s">
        <v>38247</v>
      </c>
      <c r="BG3963" s="3" t="s">
        <v>38248</v>
      </c>
    </row>
    <row r="3964" spans="1:59" ht="101.5" x14ac:dyDescent="0.35">
      <c r="A3964" s="2" t="s">
        <v>89</v>
      </c>
      <c r="B3964" s="2" t="s">
        <v>12301</v>
      </c>
      <c r="C3964" s="2" t="s">
        <v>38226</v>
      </c>
      <c r="D3964" s="2" t="s">
        <v>38227</v>
      </c>
      <c r="E3964" s="2" t="s">
        <v>38238</v>
      </c>
      <c r="G3964" s="3" t="s">
        <v>62</v>
      </c>
      <c r="I3964" s="3" t="s">
        <v>61</v>
      </c>
      <c r="J3964" s="3" t="s">
        <v>62</v>
      </c>
      <c r="K3964" s="3" t="s">
        <v>63</v>
      </c>
      <c r="L3964" s="2" t="s">
        <v>38239</v>
      </c>
      <c r="M3964" s="2" t="s">
        <v>38240</v>
      </c>
      <c r="N3964" s="3" t="s">
        <v>1455</v>
      </c>
      <c r="O3964" s="2" t="s">
        <v>32813</v>
      </c>
      <c r="P3964" s="3" t="s">
        <v>64</v>
      </c>
      <c r="R3964" s="3" t="s">
        <v>34126</v>
      </c>
      <c r="S3964" s="4">
        <v>131</v>
      </c>
      <c r="T3964" s="4">
        <v>616</v>
      </c>
      <c r="U3964" s="5" t="s">
        <v>24286</v>
      </c>
      <c r="V3964" s="5" t="s">
        <v>24286</v>
      </c>
      <c r="W3964" s="5" t="s">
        <v>67</v>
      </c>
      <c r="X3964" s="5" t="s">
        <v>67</v>
      </c>
      <c r="Y3964" s="4">
        <v>27</v>
      </c>
      <c r="Z3964" s="4">
        <v>3</v>
      </c>
      <c r="AA3964" s="4">
        <v>4</v>
      </c>
      <c r="AB3964" s="4">
        <v>3</v>
      </c>
      <c r="AC3964" s="4">
        <v>3</v>
      </c>
      <c r="AD3964" s="4">
        <v>10</v>
      </c>
      <c r="AE3964" s="4">
        <v>10</v>
      </c>
      <c r="AF3964" s="4">
        <v>1</v>
      </c>
      <c r="AG3964" s="4">
        <v>1</v>
      </c>
      <c r="AH3964" s="4">
        <v>8</v>
      </c>
      <c r="AI3964" s="4">
        <v>8</v>
      </c>
      <c r="AJ3964" s="4">
        <v>1</v>
      </c>
      <c r="AK3964" s="4">
        <v>1</v>
      </c>
      <c r="AL3964" s="4">
        <v>8</v>
      </c>
      <c r="AM3964" s="4">
        <v>8</v>
      </c>
      <c r="AN3964" s="4">
        <v>0</v>
      </c>
      <c r="AO3964" s="4">
        <v>0</v>
      </c>
      <c r="AP3964" s="4">
        <v>1</v>
      </c>
      <c r="AQ3964" s="4">
        <v>1</v>
      </c>
      <c r="AR3964" s="3" t="s">
        <v>62</v>
      </c>
      <c r="AS3964" s="3" t="s">
        <v>62</v>
      </c>
      <c r="AT3964" s="3" t="s">
        <v>62</v>
      </c>
      <c r="AV3964" s="6" t="str">
        <f>HYPERLINK("http://mcgill.on.worldcat.org/oclc/903222073","Catalog Record")</f>
        <v>Catalog Record</v>
      </c>
      <c r="AW3964" s="6" t="str">
        <f>HYPERLINK("http://www.worldcat.org/oclc/903222073","WorldCat Record")</f>
        <v>WorldCat Record</v>
      </c>
      <c r="AX3964" s="3" t="s">
        <v>38241</v>
      </c>
      <c r="AY3964" s="3" t="s">
        <v>38242</v>
      </c>
      <c r="AZ3964" s="3" t="s">
        <v>38243</v>
      </c>
      <c r="BA3964" s="3" t="s">
        <v>38243</v>
      </c>
      <c r="BB3964" s="3" t="s">
        <v>38249</v>
      </c>
      <c r="BC3964" s="3" t="s">
        <v>102</v>
      </c>
      <c r="BD3964" s="3" t="s">
        <v>68</v>
      </c>
      <c r="BE3964" s="3" t="s">
        <v>38245</v>
      </c>
      <c r="BF3964" s="3" t="s">
        <v>38249</v>
      </c>
      <c r="BG3964" s="3" t="s">
        <v>38250</v>
      </c>
    </row>
    <row r="3965" spans="1:59" ht="101.5" x14ac:dyDescent="0.35">
      <c r="A3965" s="2" t="s">
        <v>89</v>
      </c>
      <c r="B3965" s="2" t="s">
        <v>12301</v>
      </c>
      <c r="C3965" s="2" t="s">
        <v>38226</v>
      </c>
      <c r="D3965" s="2" t="s">
        <v>38227</v>
      </c>
      <c r="E3965" s="2" t="s">
        <v>38238</v>
      </c>
      <c r="G3965" s="3" t="s">
        <v>62</v>
      </c>
      <c r="I3965" s="3" t="s">
        <v>61</v>
      </c>
      <c r="J3965" s="3" t="s">
        <v>62</v>
      </c>
      <c r="K3965" s="3" t="s">
        <v>63</v>
      </c>
      <c r="L3965" s="2" t="s">
        <v>38239</v>
      </c>
      <c r="M3965" s="2" t="s">
        <v>38240</v>
      </c>
      <c r="N3965" s="3" t="s">
        <v>1455</v>
      </c>
      <c r="O3965" s="2" t="s">
        <v>32813</v>
      </c>
      <c r="P3965" s="3" t="s">
        <v>64</v>
      </c>
      <c r="R3965" s="3" t="s">
        <v>34126</v>
      </c>
      <c r="S3965" s="4">
        <v>116</v>
      </c>
      <c r="T3965" s="4">
        <v>616</v>
      </c>
      <c r="U3965" s="5" t="s">
        <v>24286</v>
      </c>
      <c r="V3965" s="5" t="s">
        <v>24286</v>
      </c>
      <c r="W3965" s="5" t="s">
        <v>67</v>
      </c>
      <c r="X3965" s="5" t="s">
        <v>67</v>
      </c>
      <c r="Y3965" s="4">
        <v>27</v>
      </c>
      <c r="Z3965" s="4">
        <v>3</v>
      </c>
      <c r="AA3965" s="4">
        <v>4</v>
      </c>
      <c r="AB3965" s="4">
        <v>3</v>
      </c>
      <c r="AC3965" s="4">
        <v>3</v>
      </c>
      <c r="AD3965" s="4">
        <v>10</v>
      </c>
      <c r="AE3965" s="4">
        <v>10</v>
      </c>
      <c r="AF3965" s="4">
        <v>1</v>
      </c>
      <c r="AG3965" s="4">
        <v>1</v>
      </c>
      <c r="AH3965" s="4">
        <v>8</v>
      </c>
      <c r="AI3965" s="4">
        <v>8</v>
      </c>
      <c r="AJ3965" s="4">
        <v>1</v>
      </c>
      <c r="AK3965" s="4">
        <v>1</v>
      </c>
      <c r="AL3965" s="4">
        <v>8</v>
      </c>
      <c r="AM3965" s="4">
        <v>8</v>
      </c>
      <c r="AN3965" s="4">
        <v>0</v>
      </c>
      <c r="AO3965" s="4">
        <v>0</v>
      </c>
      <c r="AP3965" s="4">
        <v>1</v>
      </c>
      <c r="AQ3965" s="4">
        <v>1</v>
      </c>
      <c r="AR3965" s="3" t="s">
        <v>62</v>
      </c>
      <c r="AS3965" s="3" t="s">
        <v>62</v>
      </c>
      <c r="AT3965" s="3" t="s">
        <v>62</v>
      </c>
      <c r="AV3965" s="6" t="str">
        <f>HYPERLINK("http://mcgill.on.worldcat.org/oclc/903222073","Catalog Record")</f>
        <v>Catalog Record</v>
      </c>
      <c r="AW3965" s="6" t="str">
        <f>HYPERLINK("http://www.worldcat.org/oclc/903222073","WorldCat Record")</f>
        <v>WorldCat Record</v>
      </c>
      <c r="AX3965" s="3" t="s">
        <v>38241</v>
      </c>
      <c r="AY3965" s="3" t="s">
        <v>38242</v>
      </c>
      <c r="AZ3965" s="3" t="s">
        <v>38243</v>
      </c>
      <c r="BA3965" s="3" t="s">
        <v>38243</v>
      </c>
      <c r="BB3965" s="3" t="s">
        <v>38251</v>
      </c>
      <c r="BC3965" s="3" t="s">
        <v>102</v>
      </c>
      <c r="BD3965" s="3" t="s">
        <v>68</v>
      </c>
      <c r="BE3965" s="3" t="s">
        <v>38245</v>
      </c>
      <c r="BF3965" s="3" t="s">
        <v>38251</v>
      </c>
      <c r="BG3965" s="3" t="s">
        <v>38252</v>
      </c>
    </row>
    <row r="3966" spans="1:59" ht="101.5" x14ac:dyDescent="0.35">
      <c r="A3966" s="2" t="s">
        <v>89</v>
      </c>
      <c r="B3966" s="2" t="s">
        <v>12301</v>
      </c>
      <c r="C3966" s="2" t="s">
        <v>38226</v>
      </c>
      <c r="D3966" s="2" t="s">
        <v>38227</v>
      </c>
      <c r="E3966" s="2" t="s">
        <v>38238</v>
      </c>
      <c r="G3966" s="3" t="s">
        <v>62</v>
      </c>
      <c r="I3966" s="3" t="s">
        <v>61</v>
      </c>
      <c r="J3966" s="3" t="s">
        <v>62</v>
      </c>
      <c r="K3966" s="3" t="s">
        <v>63</v>
      </c>
      <c r="L3966" s="2" t="s">
        <v>38239</v>
      </c>
      <c r="M3966" s="2" t="s">
        <v>38240</v>
      </c>
      <c r="N3966" s="3" t="s">
        <v>1455</v>
      </c>
      <c r="O3966" s="2" t="s">
        <v>32813</v>
      </c>
      <c r="P3966" s="3" t="s">
        <v>64</v>
      </c>
      <c r="R3966" s="3" t="s">
        <v>34126</v>
      </c>
      <c r="S3966" s="4">
        <v>120</v>
      </c>
      <c r="T3966" s="4">
        <v>616</v>
      </c>
      <c r="U3966" s="5" t="s">
        <v>16074</v>
      </c>
      <c r="V3966" s="5" t="s">
        <v>24286</v>
      </c>
      <c r="W3966" s="5" t="s">
        <v>67</v>
      </c>
      <c r="X3966" s="5" t="s">
        <v>67</v>
      </c>
      <c r="Y3966" s="4">
        <v>27</v>
      </c>
      <c r="Z3966" s="4">
        <v>3</v>
      </c>
      <c r="AA3966" s="4">
        <v>4</v>
      </c>
      <c r="AB3966" s="4">
        <v>3</v>
      </c>
      <c r="AC3966" s="4">
        <v>3</v>
      </c>
      <c r="AD3966" s="4">
        <v>10</v>
      </c>
      <c r="AE3966" s="4">
        <v>10</v>
      </c>
      <c r="AF3966" s="4">
        <v>1</v>
      </c>
      <c r="AG3966" s="4">
        <v>1</v>
      </c>
      <c r="AH3966" s="4">
        <v>8</v>
      </c>
      <c r="AI3966" s="4">
        <v>8</v>
      </c>
      <c r="AJ3966" s="4">
        <v>1</v>
      </c>
      <c r="AK3966" s="4">
        <v>1</v>
      </c>
      <c r="AL3966" s="4">
        <v>8</v>
      </c>
      <c r="AM3966" s="4">
        <v>8</v>
      </c>
      <c r="AN3966" s="4">
        <v>0</v>
      </c>
      <c r="AO3966" s="4">
        <v>0</v>
      </c>
      <c r="AP3966" s="4">
        <v>1</v>
      </c>
      <c r="AQ3966" s="4">
        <v>1</v>
      </c>
      <c r="AR3966" s="3" t="s">
        <v>62</v>
      </c>
      <c r="AS3966" s="3" t="s">
        <v>62</v>
      </c>
      <c r="AT3966" s="3" t="s">
        <v>62</v>
      </c>
      <c r="AV3966" s="6" t="str">
        <f>HYPERLINK("http://mcgill.on.worldcat.org/oclc/903222073","Catalog Record")</f>
        <v>Catalog Record</v>
      </c>
      <c r="AW3966" s="6" t="str">
        <f>HYPERLINK("http://www.worldcat.org/oclc/903222073","WorldCat Record")</f>
        <v>WorldCat Record</v>
      </c>
      <c r="AX3966" s="3" t="s">
        <v>38241</v>
      </c>
      <c r="AY3966" s="3" t="s">
        <v>38242</v>
      </c>
      <c r="AZ3966" s="3" t="s">
        <v>38243</v>
      </c>
      <c r="BA3966" s="3" t="s">
        <v>38243</v>
      </c>
      <c r="BB3966" s="3" t="s">
        <v>38253</v>
      </c>
      <c r="BC3966" s="3" t="s">
        <v>102</v>
      </c>
      <c r="BD3966" s="3" t="s">
        <v>68</v>
      </c>
      <c r="BE3966" s="3" t="s">
        <v>38245</v>
      </c>
      <c r="BF3966" s="3" t="s">
        <v>38253</v>
      </c>
      <c r="BG3966" s="3" t="s">
        <v>38254</v>
      </c>
    </row>
    <row r="3967" spans="1:59" ht="58" x14ac:dyDescent="0.35">
      <c r="A3967" s="2" t="s">
        <v>59</v>
      </c>
      <c r="B3967" s="2" t="s">
        <v>60</v>
      </c>
      <c r="C3967" s="2" t="s">
        <v>38255</v>
      </c>
      <c r="D3967" s="2" t="s">
        <v>38256</v>
      </c>
      <c r="E3967" s="2" t="s">
        <v>38257</v>
      </c>
      <c r="G3967" s="3" t="s">
        <v>62</v>
      </c>
      <c r="I3967" s="3" t="s">
        <v>62</v>
      </c>
      <c r="J3967" s="3" t="s">
        <v>62</v>
      </c>
      <c r="K3967" s="3" t="s">
        <v>63</v>
      </c>
      <c r="L3967" s="2" t="s">
        <v>38258</v>
      </c>
      <c r="M3967" s="2" t="s">
        <v>38259</v>
      </c>
      <c r="N3967" s="3" t="s">
        <v>2588</v>
      </c>
      <c r="P3967" s="3" t="s">
        <v>64</v>
      </c>
      <c r="R3967" s="3" t="s">
        <v>34126</v>
      </c>
      <c r="S3967" s="4">
        <v>3</v>
      </c>
      <c r="T3967" s="4">
        <v>3</v>
      </c>
      <c r="U3967" s="5" t="s">
        <v>16802</v>
      </c>
      <c r="V3967" s="5" t="s">
        <v>16802</v>
      </c>
      <c r="W3967" s="5" t="s">
        <v>67</v>
      </c>
      <c r="X3967" s="5" t="s">
        <v>67</v>
      </c>
      <c r="Y3967" s="4">
        <v>241</v>
      </c>
      <c r="Z3967" s="4">
        <v>8</v>
      </c>
      <c r="AA3967" s="4">
        <v>23</v>
      </c>
      <c r="AB3967" s="4">
        <v>1</v>
      </c>
      <c r="AC3967" s="4">
        <v>5</v>
      </c>
      <c r="AD3967" s="4">
        <v>72</v>
      </c>
      <c r="AE3967" s="4">
        <v>101</v>
      </c>
      <c r="AF3967" s="4">
        <v>0</v>
      </c>
      <c r="AG3967" s="4">
        <v>3</v>
      </c>
      <c r="AH3967" s="4">
        <v>66</v>
      </c>
      <c r="AI3967" s="4">
        <v>87</v>
      </c>
      <c r="AJ3967" s="4">
        <v>4</v>
      </c>
      <c r="AK3967" s="4">
        <v>16</v>
      </c>
      <c r="AL3967" s="4">
        <v>42</v>
      </c>
      <c r="AM3967" s="4">
        <v>50</v>
      </c>
      <c r="AN3967" s="4">
        <v>0</v>
      </c>
      <c r="AO3967" s="4">
        <v>0</v>
      </c>
      <c r="AP3967" s="4">
        <v>5</v>
      </c>
      <c r="AQ3967" s="4">
        <v>17</v>
      </c>
      <c r="AR3967" s="3" t="s">
        <v>62</v>
      </c>
      <c r="AS3967" s="3" t="s">
        <v>62</v>
      </c>
      <c r="AT3967" s="3" t="s">
        <v>61</v>
      </c>
      <c r="AU3967" s="6" t="str">
        <f>HYPERLINK("http://catalog.hathitrust.org/Record/004466947","HathiTrust Record")</f>
        <v>HathiTrust Record</v>
      </c>
      <c r="AV3967" s="6" t="str">
        <f>HYPERLINK("http://mcgill.on.worldcat.org/oclc/3715042","Catalog Record")</f>
        <v>Catalog Record</v>
      </c>
      <c r="AW3967" s="6" t="str">
        <f>HYPERLINK("http://www.worldcat.org/oclc/3715042","WorldCat Record")</f>
        <v>WorldCat Record</v>
      </c>
      <c r="AX3967" s="3" t="s">
        <v>38260</v>
      </c>
      <c r="AY3967" s="3" t="s">
        <v>38261</v>
      </c>
      <c r="AZ3967" s="3" t="s">
        <v>38262</v>
      </c>
      <c r="BA3967" s="3" t="s">
        <v>38262</v>
      </c>
      <c r="BB3967" s="3" t="s">
        <v>38263</v>
      </c>
      <c r="BC3967" s="3" t="s">
        <v>102</v>
      </c>
      <c r="BD3967" s="3" t="s">
        <v>68</v>
      </c>
      <c r="BE3967" s="3" t="s">
        <v>38264</v>
      </c>
      <c r="BF3967" s="3" t="s">
        <v>38263</v>
      </c>
      <c r="BG3967" s="3" t="s">
        <v>38265</v>
      </c>
    </row>
    <row r="3968" spans="1:59" ht="58" x14ac:dyDescent="0.35">
      <c r="A3968" s="2" t="s">
        <v>59</v>
      </c>
      <c r="B3968" s="2" t="s">
        <v>60</v>
      </c>
      <c r="C3968" s="2" t="s">
        <v>38266</v>
      </c>
      <c r="D3968" s="2" t="s">
        <v>38267</v>
      </c>
      <c r="E3968" s="2" t="s">
        <v>38268</v>
      </c>
      <c r="G3968" s="3" t="s">
        <v>62</v>
      </c>
      <c r="I3968" s="3" t="s">
        <v>62</v>
      </c>
      <c r="J3968" s="3" t="s">
        <v>62</v>
      </c>
      <c r="K3968" s="3" t="s">
        <v>63</v>
      </c>
      <c r="L3968" s="2" t="s">
        <v>38269</v>
      </c>
      <c r="M3968" s="2" t="s">
        <v>38270</v>
      </c>
      <c r="N3968" s="3" t="s">
        <v>568</v>
      </c>
      <c r="P3968" s="3" t="s">
        <v>64</v>
      </c>
      <c r="R3968" s="3" t="s">
        <v>34126</v>
      </c>
      <c r="S3968" s="4">
        <v>3</v>
      </c>
      <c r="T3968" s="4">
        <v>3</v>
      </c>
      <c r="U3968" s="5" t="s">
        <v>38271</v>
      </c>
      <c r="V3968" s="5" t="s">
        <v>38271</v>
      </c>
      <c r="W3968" s="5" t="s">
        <v>67</v>
      </c>
      <c r="X3968" s="5" t="s">
        <v>67</v>
      </c>
      <c r="Y3968" s="4">
        <v>103</v>
      </c>
      <c r="Z3968" s="4">
        <v>7</v>
      </c>
      <c r="AA3968" s="4">
        <v>7</v>
      </c>
      <c r="AB3968" s="4">
        <v>1</v>
      </c>
      <c r="AC3968" s="4">
        <v>1</v>
      </c>
      <c r="AD3968" s="4">
        <v>26</v>
      </c>
      <c r="AE3968" s="4">
        <v>27</v>
      </c>
      <c r="AF3968" s="4">
        <v>0</v>
      </c>
      <c r="AG3968" s="4">
        <v>0</v>
      </c>
      <c r="AH3968" s="4">
        <v>23</v>
      </c>
      <c r="AI3968" s="4">
        <v>24</v>
      </c>
      <c r="AJ3968" s="4">
        <v>3</v>
      </c>
      <c r="AK3968" s="4">
        <v>3</v>
      </c>
      <c r="AL3968" s="4">
        <v>15</v>
      </c>
      <c r="AM3968" s="4">
        <v>16</v>
      </c>
      <c r="AN3968" s="4">
        <v>0</v>
      </c>
      <c r="AO3968" s="4">
        <v>0</v>
      </c>
      <c r="AP3968" s="4">
        <v>5</v>
      </c>
      <c r="AQ3968" s="4">
        <v>5</v>
      </c>
      <c r="AR3968" s="3" t="s">
        <v>62</v>
      </c>
      <c r="AS3968" s="3" t="s">
        <v>62</v>
      </c>
      <c r="AT3968" s="3" t="s">
        <v>62</v>
      </c>
      <c r="AV3968" s="6" t="str">
        <f>HYPERLINK("http://mcgill.on.worldcat.org/oclc/43459763","Catalog Record")</f>
        <v>Catalog Record</v>
      </c>
      <c r="AW3968" s="6" t="str">
        <f>HYPERLINK("http://www.worldcat.org/oclc/43459763","WorldCat Record")</f>
        <v>WorldCat Record</v>
      </c>
      <c r="AX3968" s="3" t="s">
        <v>38272</v>
      </c>
      <c r="AY3968" s="3" t="s">
        <v>38273</v>
      </c>
      <c r="AZ3968" s="3" t="s">
        <v>38274</v>
      </c>
      <c r="BA3968" s="3" t="s">
        <v>38274</v>
      </c>
      <c r="BB3968" s="3" t="s">
        <v>38275</v>
      </c>
      <c r="BC3968" s="3" t="s">
        <v>102</v>
      </c>
      <c r="BD3968" s="3" t="s">
        <v>68</v>
      </c>
      <c r="BE3968" s="3" t="s">
        <v>38276</v>
      </c>
      <c r="BF3968" s="3" t="s">
        <v>38275</v>
      </c>
      <c r="BG3968" s="3" t="s">
        <v>38277</v>
      </c>
    </row>
    <row r="3969" spans="1:59" ht="58" x14ac:dyDescent="0.35">
      <c r="A3969" s="2" t="s">
        <v>59</v>
      </c>
      <c r="B3969" s="2" t="s">
        <v>60</v>
      </c>
      <c r="C3969" s="2" t="s">
        <v>38278</v>
      </c>
      <c r="D3969" s="2" t="s">
        <v>38279</v>
      </c>
      <c r="E3969" s="2" t="s">
        <v>38280</v>
      </c>
      <c r="G3969" s="3" t="s">
        <v>62</v>
      </c>
      <c r="I3969" s="3" t="s">
        <v>61</v>
      </c>
      <c r="J3969" s="3" t="s">
        <v>61</v>
      </c>
      <c r="K3969" s="3" t="s">
        <v>63</v>
      </c>
      <c r="L3969" s="2" t="s">
        <v>6212</v>
      </c>
      <c r="M3969" s="2" t="s">
        <v>38281</v>
      </c>
      <c r="N3969" s="3" t="s">
        <v>1467</v>
      </c>
      <c r="P3969" s="3" t="s">
        <v>64</v>
      </c>
      <c r="R3969" s="3" t="s">
        <v>34126</v>
      </c>
      <c r="S3969" s="4">
        <v>0</v>
      </c>
      <c r="T3969" s="4">
        <v>7</v>
      </c>
      <c r="V3969" s="5" t="s">
        <v>4909</v>
      </c>
      <c r="W3969" s="5" t="s">
        <v>67</v>
      </c>
      <c r="X3969" s="5" t="s">
        <v>67</v>
      </c>
      <c r="Y3969" s="4">
        <v>914</v>
      </c>
      <c r="Z3969" s="4">
        <v>25</v>
      </c>
      <c r="AA3969" s="4">
        <v>64</v>
      </c>
      <c r="AB3969" s="4">
        <v>1</v>
      </c>
      <c r="AC3969" s="4">
        <v>6</v>
      </c>
      <c r="AD3969" s="4">
        <v>75</v>
      </c>
      <c r="AE3969" s="4">
        <v>123</v>
      </c>
      <c r="AF3969" s="4">
        <v>0</v>
      </c>
      <c r="AG3969" s="4">
        <v>4</v>
      </c>
      <c r="AH3969" s="4">
        <v>64</v>
      </c>
      <c r="AI3969" s="4">
        <v>94</v>
      </c>
      <c r="AJ3969" s="4">
        <v>9</v>
      </c>
      <c r="AK3969" s="4">
        <v>22</v>
      </c>
      <c r="AL3969" s="4">
        <v>37</v>
      </c>
      <c r="AM3969" s="4">
        <v>51</v>
      </c>
      <c r="AN3969" s="4">
        <v>0</v>
      </c>
      <c r="AO3969" s="4">
        <v>0</v>
      </c>
      <c r="AP3969" s="4">
        <v>14</v>
      </c>
      <c r="AQ3969" s="4">
        <v>34</v>
      </c>
      <c r="AR3969" s="3" t="s">
        <v>62</v>
      </c>
      <c r="AS3969" s="3" t="s">
        <v>62</v>
      </c>
      <c r="AT3969" s="3" t="s">
        <v>62</v>
      </c>
      <c r="AV3969" s="6" t="str">
        <f>HYPERLINK("http://mcgill.on.worldcat.org/oclc/551262","Catalog Record")</f>
        <v>Catalog Record</v>
      </c>
      <c r="AW3969" s="6" t="str">
        <f>HYPERLINK("http://www.worldcat.org/oclc/551262","WorldCat Record")</f>
        <v>WorldCat Record</v>
      </c>
      <c r="AX3969" s="3" t="s">
        <v>38282</v>
      </c>
      <c r="AY3969" s="3" t="s">
        <v>38283</v>
      </c>
      <c r="AZ3969" s="3" t="s">
        <v>38284</v>
      </c>
      <c r="BA3969" s="3" t="s">
        <v>38284</v>
      </c>
      <c r="BB3969" s="3" t="s">
        <v>38285</v>
      </c>
      <c r="BC3969" s="3" t="s">
        <v>102</v>
      </c>
      <c r="BD3969" s="3" t="s">
        <v>68</v>
      </c>
      <c r="BF3969" s="3" t="s">
        <v>38285</v>
      </c>
      <c r="BG3969" s="3" t="s">
        <v>38286</v>
      </c>
    </row>
    <row r="3970" spans="1:59" ht="58" x14ac:dyDescent="0.35">
      <c r="A3970" s="2" t="s">
        <v>89</v>
      </c>
      <c r="B3970" s="2" t="s">
        <v>90</v>
      </c>
      <c r="C3970" s="2" t="s">
        <v>38287</v>
      </c>
      <c r="D3970" s="2" t="s">
        <v>38288</v>
      </c>
      <c r="E3970" s="2" t="s">
        <v>38280</v>
      </c>
      <c r="G3970" s="3" t="s">
        <v>62</v>
      </c>
      <c r="I3970" s="3" t="s">
        <v>61</v>
      </c>
      <c r="J3970" s="3" t="s">
        <v>61</v>
      </c>
      <c r="K3970" s="3" t="s">
        <v>63</v>
      </c>
      <c r="L3970" s="2" t="s">
        <v>6212</v>
      </c>
      <c r="M3970" s="2" t="s">
        <v>38281</v>
      </c>
      <c r="N3970" s="3" t="s">
        <v>1467</v>
      </c>
      <c r="P3970" s="3" t="s">
        <v>64</v>
      </c>
      <c r="R3970" s="3" t="s">
        <v>34126</v>
      </c>
      <c r="S3970" s="4">
        <v>7</v>
      </c>
      <c r="T3970" s="4">
        <v>7</v>
      </c>
      <c r="U3970" s="5" t="s">
        <v>4909</v>
      </c>
      <c r="V3970" s="5" t="s">
        <v>4909</v>
      </c>
      <c r="W3970" s="5" t="s">
        <v>67</v>
      </c>
      <c r="X3970" s="5" t="s">
        <v>67</v>
      </c>
      <c r="Y3970" s="4">
        <v>914</v>
      </c>
      <c r="Z3970" s="4">
        <v>25</v>
      </c>
      <c r="AA3970" s="4">
        <v>64</v>
      </c>
      <c r="AB3970" s="4">
        <v>1</v>
      </c>
      <c r="AC3970" s="4">
        <v>6</v>
      </c>
      <c r="AD3970" s="4">
        <v>75</v>
      </c>
      <c r="AE3970" s="4">
        <v>123</v>
      </c>
      <c r="AF3970" s="4">
        <v>0</v>
      </c>
      <c r="AG3970" s="4">
        <v>4</v>
      </c>
      <c r="AH3970" s="4">
        <v>64</v>
      </c>
      <c r="AI3970" s="4">
        <v>94</v>
      </c>
      <c r="AJ3970" s="4">
        <v>9</v>
      </c>
      <c r="AK3970" s="4">
        <v>22</v>
      </c>
      <c r="AL3970" s="4">
        <v>37</v>
      </c>
      <c r="AM3970" s="4">
        <v>51</v>
      </c>
      <c r="AN3970" s="4">
        <v>0</v>
      </c>
      <c r="AO3970" s="4">
        <v>0</v>
      </c>
      <c r="AP3970" s="4">
        <v>14</v>
      </c>
      <c r="AQ3970" s="4">
        <v>34</v>
      </c>
      <c r="AR3970" s="3" t="s">
        <v>62</v>
      </c>
      <c r="AS3970" s="3" t="s">
        <v>62</v>
      </c>
      <c r="AT3970" s="3" t="s">
        <v>62</v>
      </c>
      <c r="AV3970" s="6" t="str">
        <f>HYPERLINK("http://mcgill.on.worldcat.org/oclc/551262","Catalog Record")</f>
        <v>Catalog Record</v>
      </c>
      <c r="AW3970" s="6" t="str">
        <f>HYPERLINK("http://www.worldcat.org/oclc/551262","WorldCat Record")</f>
        <v>WorldCat Record</v>
      </c>
      <c r="AX3970" s="3" t="s">
        <v>38282</v>
      </c>
      <c r="AY3970" s="3" t="s">
        <v>38283</v>
      </c>
      <c r="AZ3970" s="3" t="s">
        <v>38284</v>
      </c>
      <c r="BA3970" s="3" t="s">
        <v>38284</v>
      </c>
      <c r="BB3970" s="3" t="s">
        <v>38289</v>
      </c>
      <c r="BC3970" s="3" t="s">
        <v>102</v>
      </c>
      <c r="BD3970" s="3" t="s">
        <v>68</v>
      </c>
      <c r="BF3970" s="3" t="s">
        <v>38289</v>
      </c>
      <c r="BG3970" s="3" t="s">
        <v>38290</v>
      </c>
    </row>
    <row r="3971" spans="1:59" ht="58" x14ac:dyDescent="0.35">
      <c r="A3971" s="2" t="s">
        <v>59</v>
      </c>
      <c r="B3971" s="2" t="s">
        <v>60</v>
      </c>
      <c r="C3971" s="2" t="s">
        <v>38291</v>
      </c>
      <c r="D3971" s="2" t="s">
        <v>38292</v>
      </c>
      <c r="E3971" s="2" t="s">
        <v>38293</v>
      </c>
      <c r="G3971" s="3" t="s">
        <v>62</v>
      </c>
      <c r="I3971" s="3" t="s">
        <v>61</v>
      </c>
      <c r="J3971" s="3" t="s">
        <v>62</v>
      </c>
      <c r="K3971" s="3" t="s">
        <v>63</v>
      </c>
      <c r="L3971" s="2" t="s">
        <v>38294</v>
      </c>
      <c r="M3971" s="2" t="s">
        <v>38295</v>
      </c>
      <c r="N3971" s="3" t="s">
        <v>1064</v>
      </c>
      <c r="P3971" s="3" t="s">
        <v>64</v>
      </c>
      <c r="Q3971" s="2" t="s">
        <v>38296</v>
      </c>
      <c r="R3971" s="3" t="s">
        <v>34126</v>
      </c>
      <c r="S3971" s="4">
        <v>7</v>
      </c>
      <c r="T3971" s="4">
        <v>13</v>
      </c>
      <c r="U3971" s="5" t="s">
        <v>2820</v>
      </c>
      <c r="V3971" s="5" t="s">
        <v>2820</v>
      </c>
      <c r="W3971" s="5" t="s">
        <v>67</v>
      </c>
      <c r="X3971" s="5" t="s">
        <v>67</v>
      </c>
      <c r="Y3971" s="4">
        <v>785</v>
      </c>
      <c r="Z3971" s="4">
        <v>37</v>
      </c>
      <c r="AA3971" s="4">
        <v>44</v>
      </c>
      <c r="AB3971" s="4">
        <v>2</v>
      </c>
      <c r="AC3971" s="4">
        <v>7</v>
      </c>
      <c r="AD3971" s="4">
        <v>126</v>
      </c>
      <c r="AE3971" s="4">
        <v>132</v>
      </c>
      <c r="AF3971" s="4">
        <v>1</v>
      </c>
      <c r="AG3971" s="4">
        <v>4</v>
      </c>
      <c r="AH3971" s="4">
        <v>104</v>
      </c>
      <c r="AI3971" s="4">
        <v>107</v>
      </c>
      <c r="AJ3971" s="4">
        <v>21</v>
      </c>
      <c r="AK3971" s="4">
        <v>24</v>
      </c>
      <c r="AL3971" s="4">
        <v>56</v>
      </c>
      <c r="AM3971" s="4">
        <v>56</v>
      </c>
      <c r="AN3971" s="4">
        <v>0</v>
      </c>
      <c r="AO3971" s="4">
        <v>0</v>
      </c>
      <c r="AP3971" s="4">
        <v>27</v>
      </c>
      <c r="AQ3971" s="4">
        <v>30</v>
      </c>
      <c r="AR3971" s="3" t="s">
        <v>62</v>
      </c>
      <c r="AS3971" s="3" t="s">
        <v>62</v>
      </c>
      <c r="AT3971" s="3" t="s">
        <v>62</v>
      </c>
      <c r="AV3971" s="6" t="str">
        <f>HYPERLINK("http://mcgill.on.worldcat.org/oclc/201656","Catalog Record")</f>
        <v>Catalog Record</v>
      </c>
      <c r="AW3971" s="6" t="str">
        <f>HYPERLINK("http://www.worldcat.org/oclc/201656","WorldCat Record")</f>
        <v>WorldCat Record</v>
      </c>
      <c r="AX3971" s="3" t="s">
        <v>38297</v>
      </c>
      <c r="AY3971" s="3" t="s">
        <v>38298</v>
      </c>
      <c r="AZ3971" s="3" t="s">
        <v>38299</v>
      </c>
      <c r="BA3971" s="3" t="s">
        <v>38299</v>
      </c>
      <c r="BB3971" s="3" t="s">
        <v>38300</v>
      </c>
      <c r="BC3971" s="3" t="s">
        <v>102</v>
      </c>
      <c r="BD3971" s="3" t="s">
        <v>6923</v>
      </c>
      <c r="BE3971" s="3" t="s">
        <v>38301</v>
      </c>
      <c r="BF3971" s="3" t="s">
        <v>38300</v>
      </c>
      <c r="BG3971" s="3" t="s">
        <v>38302</v>
      </c>
    </row>
    <row r="3972" spans="1:59" ht="58" x14ac:dyDescent="0.35">
      <c r="A3972" s="2" t="s">
        <v>59</v>
      </c>
      <c r="B3972" s="2" t="s">
        <v>60</v>
      </c>
      <c r="C3972" s="2" t="s">
        <v>38303</v>
      </c>
      <c r="D3972" s="2" t="s">
        <v>38304</v>
      </c>
      <c r="E3972" s="2" t="s">
        <v>38305</v>
      </c>
      <c r="G3972" s="3" t="s">
        <v>62</v>
      </c>
      <c r="I3972" s="3" t="s">
        <v>62</v>
      </c>
      <c r="J3972" s="3" t="s">
        <v>62</v>
      </c>
      <c r="K3972" s="3" t="s">
        <v>63</v>
      </c>
      <c r="L3972" s="2" t="s">
        <v>38306</v>
      </c>
      <c r="M3972" s="2" t="s">
        <v>38307</v>
      </c>
      <c r="N3972" s="3" t="s">
        <v>852</v>
      </c>
      <c r="P3972" s="3" t="s">
        <v>64</v>
      </c>
      <c r="Q3972" s="2" t="s">
        <v>38308</v>
      </c>
      <c r="R3972" s="3" t="s">
        <v>34126</v>
      </c>
      <c r="S3972" s="4">
        <v>5</v>
      </c>
      <c r="T3972" s="4">
        <v>5</v>
      </c>
      <c r="U3972" s="5" t="s">
        <v>6955</v>
      </c>
      <c r="V3972" s="5" t="s">
        <v>6955</v>
      </c>
      <c r="W3972" s="5" t="s">
        <v>67</v>
      </c>
      <c r="X3972" s="5" t="s">
        <v>67</v>
      </c>
      <c r="Y3972" s="4">
        <v>471</v>
      </c>
      <c r="Z3972" s="4">
        <v>28</v>
      </c>
      <c r="AA3972" s="4">
        <v>34</v>
      </c>
      <c r="AB3972" s="4">
        <v>2</v>
      </c>
      <c r="AC3972" s="4">
        <v>5</v>
      </c>
      <c r="AD3972" s="4">
        <v>103</v>
      </c>
      <c r="AE3972" s="4">
        <v>112</v>
      </c>
      <c r="AF3972" s="4">
        <v>1</v>
      </c>
      <c r="AG3972" s="4">
        <v>3</v>
      </c>
      <c r="AH3972" s="4">
        <v>84</v>
      </c>
      <c r="AI3972" s="4">
        <v>91</v>
      </c>
      <c r="AJ3972" s="4">
        <v>15</v>
      </c>
      <c r="AK3972" s="4">
        <v>20</v>
      </c>
      <c r="AL3972" s="4">
        <v>51</v>
      </c>
      <c r="AM3972" s="4">
        <v>54</v>
      </c>
      <c r="AN3972" s="4">
        <v>0</v>
      </c>
      <c r="AO3972" s="4">
        <v>0</v>
      </c>
      <c r="AP3972" s="4">
        <v>22</v>
      </c>
      <c r="AQ3972" s="4">
        <v>26</v>
      </c>
      <c r="AR3972" s="3" t="s">
        <v>62</v>
      </c>
      <c r="AS3972" s="3" t="s">
        <v>62</v>
      </c>
      <c r="AT3972" s="3" t="s">
        <v>61</v>
      </c>
      <c r="AU3972" s="6" t="str">
        <f>HYPERLINK("http://catalog.hathitrust.org/Record/001492148","HathiTrust Record")</f>
        <v>HathiTrust Record</v>
      </c>
      <c r="AV3972" s="6" t="str">
        <f>HYPERLINK("http://mcgill.on.worldcat.org/oclc/14126","Catalog Record")</f>
        <v>Catalog Record</v>
      </c>
      <c r="AW3972" s="6" t="str">
        <f>HYPERLINK("http://www.worldcat.org/oclc/14126","WorldCat Record")</f>
        <v>WorldCat Record</v>
      </c>
      <c r="AX3972" s="3" t="s">
        <v>38309</v>
      </c>
      <c r="AY3972" s="3" t="s">
        <v>38310</v>
      </c>
      <c r="AZ3972" s="3" t="s">
        <v>38311</v>
      </c>
      <c r="BA3972" s="3" t="s">
        <v>38311</v>
      </c>
      <c r="BB3972" s="3" t="s">
        <v>38312</v>
      </c>
      <c r="BC3972" s="3" t="s">
        <v>102</v>
      </c>
      <c r="BD3972" s="3" t="s">
        <v>68</v>
      </c>
      <c r="BE3972" s="3" t="s">
        <v>38313</v>
      </c>
      <c r="BF3972" s="3" t="s">
        <v>38312</v>
      </c>
      <c r="BG3972" s="3" t="s">
        <v>38314</v>
      </c>
    </row>
    <row r="3973" spans="1:59" ht="58" x14ac:dyDescent="0.35">
      <c r="A3973" s="2" t="s">
        <v>59</v>
      </c>
      <c r="B3973" s="2" t="s">
        <v>60</v>
      </c>
      <c r="C3973" s="2" t="s">
        <v>38315</v>
      </c>
      <c r="D3973" s="2" t="s">
        <v>38316</v>
      </c>
      <c r="E3973" s="2" t="s">
        <v>38317</v>
      </c>
      <c r="G3973" s="3" t="s">
        <v>62</v>
      </c>
      <c r="I3973" s="3" t="s">
        <v>61</v>
      </c>
      <c r="J3973" s="3" t="s">
        <v>61</v>
      </c>
      <c r="K3973" s="3" t="s">
        <v>63</v>
      </c>
      <c r="L3973" s="2" t="s">
        <v>38318</v>
      </c>
      <c r="M3973" s="2" t="s">
        <v>38319</v>
      </c>
      <c r="N3973" s="3" t="s">
        <v>838</v>
      </c>
      <c r="P3973" s="3" t="s">
        <v>64</v>
      </c>
      <c r="R3973" s="3" t="s">
        <v>34126</v>
      </c>
      <c r="S3973" s="4">
        <v>7</v>
      </c>
      <c r="T3973" s="4">
        <v>11</v>
      </c>
      <c r="U3973" s="5" t="s">
        <v>15825</v>
      </c>
      <c r="V3973" s="5" t="s">
        <v>15825</v>
      </c>
      <c r="W3973" s="5" t="s">
        <v>67</v>
      </c>
      <c r="X3973" s="5" t="s">
        <v>67</v>
      </c>
      <c r="Y3973" s="4">
        <v>19</v>
      </c>
      <c r="Z3973" s="4">
        <v>1</v>
      </c>
      <c r="AA3973" s="4">
        <v>61</v>
      </c>
      <c r="AB3973" s="4">
        <v>1</v>
      </c>
      <c r="AC3973" s="4">
        <v>10</v>
      </c>
      <c r="AD3973" s="4">
        <v>8</v>
      </c>
      <c r="AE3973" s="4">
        <v>150</v>
      </c>
      <c r="AF3973" s="4">
        <v>0</v>
      </c>
      <c r="AG3973" s="4">
        <v>5</v>
      </c>
      <c r="AH3973" s="4">
        <v>8</v>
      </c>
      <c r="AI3973" s="4">
        <v>114</v>
      </c>
      <c r="AJ3973" s="4">
        <v>0</v>
      </c>
      <c r="AK3973" s="4">
        <v>28</v>
      </c>
      <c r="AL3973" s="4">
        <v>5</v>
      </c>
      <c r="AM3973" s="4">
        <v>61</v>
      </c>
      <c r="AN3973" s="4">
        <v>0</v>
      </c>
      <c r="AO3973" s="4">
        <v>0</v>
      </c>
      <c r="AP3973" s="4">
        <v>0</v>
      </c>
      <c r="AQ3973" s="4">
        <v>42</v>
      </c>
      <c r="AR3973" s="3" t="s">
        <v>62</v>
      </c>
      <c r="AS3973" s="3" t="s">
        <v>62</v>
      </c>
      <c r="AT3973" s="3" t="s">
        <v>62</v>
      </c>
      <c r="AV3973" s="6" t="str">
        <f>HYPERLINK("http://mcgill.on.worldcat.org/oclc/13731808","Catalog Record")</f>
        <v>Catalog Record</v>
      </c>
      <c r="AW3973" s="6" t="str">
        <f>HYPERLINK("http://www.worldcat.org/oclc/13731808","WorldCat Record")</f>
        <v>WorldCat Record</v>
      </c>
      <c r="AX3973" s="3" t="s">
        <v>38320</v>
      </c>
      <c r="AY3973" s="3" t="s">
        <v>38321</v>
      </c>
      <c r="AZ3973" s="3" t="s">
        <v>38322</v>
      </c>
      <c r="BA3973" s="3" t="s">
        <v>38322</v>
      </c>
      <c r="BB3973" s="3" t="s">
        <v>38323</v>
      </c>
      <c r="BC3973" s="3" t="s">
        <v>102</v>
      </c>
      <c r="BD3973" s="3" t="s">
        <v>68</v>
      </c>
      <c r="BF3973" s="3" t="s">
        <v>38323</v>
      </c>
      <c r="BG3973" s="3" t="s">
        <v>38324</v>
      </c>
    </row>
    <row r="3974" spans="1:59" ht="58" x14ac:dyDescent="0.35">
      <c r="A3974" s="2" t="s">
        <v>89</v>
      </c>
      <c r="B3974" s="2" t="s">
        <v>90</v>
      </c>
      <c r="C3974" s="2" t="s">
        <v>38325</v>
      </c>
      <c r="D3974" s="2" t="s">
        <v>38326</v>
      </c>
      <c r="E3974" s="2" t="s">
        <v>38327</v>
      </c>
      <c r="G3974" s="3" t="s">
        <v>62</v>
      </c>
      <c r="I3974" s="3" t="s">
        <v>61</v>
      </c>
      <c r="J3974" s="3" t="s">
        <v>62</v>
      </c>
      <c r="K3974" s="3" t="s">
        <v>63</v>
      </c>
      <c r="L3974" s="2" t="s">
        <v>38328</v>
      </c>
      <c r="M3974" s="2" t="s">
        <v>38329</v>
      </c>
      <c r="N3974" s="3" t="s">
        <v>954</v>
      </c>
      <c r="O3974" s="2" t="s">
        <v>38330</v>
      </c>
      <c r="P3974" s="3" t="s">
        <v>64</v>
      </c>
      <c r="R3974" s="3" t="s">
        <v>34126</v>
      </c>
      <c r="S3974" s="4">
        <v>0</v>
      </c>
      <c r="T3974" s="4">
        <v>9</v>
      </c>
      <c r="V3974" s="5" t="s">
        <v>15112</v>
      </c>
      <c r="W3974" s="5" t="s">
        <v>67</v>
      </c>
      <c r="X3974" s="5" t="s">
        <v>67</v>
      </c>
      <c r="Y3974" s="4">
        <v>242</v>
      </c>
      <c r="Z3974" s="4">
        <v>13</v>
      </c>
      <c r="AA3974" s="4">
        <v>16</v>
      </c>
      <c r="AB3974" s="4">
        <v>1</v>
      </c>
      <c r="AC3974" s="4">
        <v>2</v>
      </c>
      <c r="AD3974" s="4">
        <v>41</v>
      </c>
      <c r="AE3974" s="4">
        <v>46</v>
      </c>
      <c r="AF3974" s="4">
        <v>0</v>
      </c>
      <c r="AG3974" s="4">
        <v>1</v>
      </c>
      <c r="AH3974" s="4">
        <v>34</v>
      </c>
      <c r="AI3974" s="4">
        <v>37</v>
      </c>
      <c r="AJ3974" s="4">
        <v>5</v>
      </c>
      <c r="AK3974" s="4">
        <v>7</v>
      </c>
      <c r="AL3974" s="4">
        <v>18</v>
      </c>
      <c r="AM3974" s="4">
        <v>19</v>
      </c>
      <c r="AN3974" s="4">
        <v>0</v>
      </c>
      <c r="AO3974" s="4">
        <v>0</v>
      </c>
      <c r="AP3974" s="4">
        <v>9</v>
      </c>
      <c r="AQ3974" s="4">
        <v>12</v>
      </c>
      <c r="AR3974" s="3" t="s">
        <v>62</v>
      </c>
      <c r="AS3974" s="3" t="s">
        <v>62</v>
      </c>
      <c r="AT3974" s="3" t="s">
        <v>62</v>
      </c>
      <c r="AV3974" s="6" t="str">
        <f>HYPERLINK("http://mcgill.on.worldcat.org/oclc/710021","Catalog Record")</f>
        <v>Catalog Record</v>
      </c>
      <c r="AW3974" s="6" t="str">
        <f>HYPERLINK("http://www.worldcat.org/oclc/710021","WorldCat Record")</f>
        <v>WorldCat Record</v>
      </c>
      <c r="AX3974" s="3" t="s">
        <v>38331</v>
      </c>
      <c r="AY3974" s="3" t="s">
        <v>38332</v>
      </c>
      <c r="AZ3974" s="3" t="s">
        <v>38333</v>
      </c>
      <c r="BA3974" s="3" t="s">
        <v>38333</v>
      </c>
      <c r="BB3974" s="3" t="s">
        <v>38334</v>
      </c>
      <c r="BC3974" s="3" t="s">
        <v>102</v>
      </c>
      <c r="BD3974" s="3" t="s">
        <v>68</v>
      </c>
      <c r="BF3974" s="3" t="s">
        <v>38334</v>
      </c>
      <c r="BG3974" s="3" t="s">
        <v>38335</v>
      </c>
    </row>
    <row r="3975" spans="1:59" ht="58" x14ac:dyDescent="0.35">
      <c r="A3975" s="2" t="s">
        <v>89</v>
      </c>
      <c r="B3975" s="2" t="s">
        <v>90</v>
      </c>
      <c r="C3975" s="2" t="s">
        <v>38336</v>
      </c>
      <c r="D3975" s="2" t="s">
        <v>38337</v>
      </c>
      <c r="E3975" s="2" t="s">
        <v>38338</v>
      </c>
      <c r="G3975" s="3" t="s">
        <v>62</v>
      </c>
      <c r="I3975" s="3" t="s">
        <v>62</v>
      </c>
      <c r="J3975" s="3" t="s">
        <v>62</v>
      </c>
      <c r="K3975" s="3" t="s">
        <v>63</v>
      </c>
      <c r="M3975" s="2" t="s">
        <v>38339</v>
      </c>
      <c r="N3975" s="3" t="s">
        <v>1722</v>
      </c>
      <c r="P3975" s="3" t="s">
        <v>85</v>
      </c>
      <c r="Q3975" s="2" t="s">
        <v>38340</v>
      </c>
      <c r="R3975" s="3" t="s">
        <v>34126</v>
      </c>
      <c r="S3975" s="4">
        <v>3</v>
      </c>
      <c r="T3975" s="4">
        <v>3</v>
      </c>
      <c r="U3975" s="5" t="s">
        <v>4064</v>
      </c>
      <c r="V3975" s="5" t="s">
        <v>4064</v>
      </c>
      <c r="W3975" s="5" t="s">
        <v>67</v>
      </c>
      <c r="X3975" s="5" t="s">
        <v>67</v>
      </c>
      <c r="Y3975" s="4">
        <v>56</v>
      </c>
      <c r="Z3975" s="4">
        <v>5</v>
      </c>
      <c r="AA3975" s="4">
        <v>7</v>
      </c>
      <c r="AB3975" s="4">
        <v>2</v>
      </c>
      <c r="AC3975" s="4">
        <v>3</v>
      </c>
      <c r="AD3975" s="4">
        <v>20</v>
      </c>
      <c r="AE3975" s="4">
        <v>22</v>
      </c>
      <c r="AF3975" s="4">
        <v>0</v>
      </c>
      <c r="AG3975" s="4">
        <v>1</v>
      </c>
      <c r="AH3975" s="4">
        <v>19</v>
      </c>
      <c r="AI3975" s="4">
        <v>21</v>
      </c>
      <c r="AJ3975" s="4">
        <v>1</v>
      </c>
      <c r="AK3975" s="4">
        <v>3</v>
      </c>
      <c r="AL3975" s="4">
        <v>15</v>
      </c>
      <c r="AM3975" s="4">
        <v>15</v>
      </c>
      <c r="AN3975" s="4">
        <v>0</v>
      </c>
      <c r="AO3975" s="4">
        <v>0</v>
      </c>
      <c r="AP3975" s="4">
        <v>1</v>
      </c>
      <c r="AQ3975" s="4">
        <v>3</v>
      </c>
      <c r="AR3975" s="3" t="s">
        <v>62</v>
      </c>
      <c r="AS3975" s="3" t="s">
        <v>62</v>
      </c>
      <c r="AT3975" s="3" t="s">
        <v>62</v>
      </c>
      <c r="AV3975" s="6" t="str">
        <f>HYPERLINK("http://mcgill.on.worldcat.org/oclc/318872007","Catalog Record")</f>
        <v>Catalog Record</v>
      </c>
      <c r="AW3975" s="6" t="str">
        <f>HYPERLINK("http://www.worldcat.org/oclc/318872007","WorldCat Record")</f>
        <v>WorldCat Record</v>
      </c>
      <c r="AX3975" s="3" t="s">
        <v>38341</v>
      </c>
      <c r="AY3975" s="3" t="s">
        <v>38342</v>
      </c>
      <c r="AZ3975" s="3" t="s">
        <v>38343</v>
      </c>
      <c r="BA3975" s="3" t="s">
        <v>38343</v>
      </c>
      <c r="BB3975" s="3" t="s">
        <v>38344</v>
      </c>
      <c r="BC3975" s="3" t="s">
        <v>102</v>
      </c>
      <c r="BD3975" s="3" t="s">
        <v>68</v>
      </c>
      <c r="BE3975" s="3" t="s">
        <v>38345</v>
      </c>
      <c r="BF3975" s="3" t="s">
        <v>38344</v>
      </c>
      <c r="BG3975" s="3" t="s">
        <v>38346</v>
      </c>
    </row>
    <row r="3976" spans="1:59" ht="58" x14ac:dyDescent="0.35">
      <c r="A3976" s="2" t="s">
        <v>89</v>
      </c>
      <c r="B3976" s="2" t="s">
        <v>90</v>
      </c>
      <c r="C3976" s="2" t="s">
        <v>38347</v>
      </c>
      <c r="D3976" s="2" t="s">
        <v>38348</v>
      </c>
      <c r="E3976" s="2" t="s">
        <v>38349</v>
      </c>
      <c r="G3976" s="3" t="s">
        <v>62</v>
      </c>
      <c r="I3976" s="3" t="s">
        <v>62</v>
      </c>
      <c r="J3976" s="3" t="s">
        <v>61</v>
      </c>
      <c r="K3976" s="3" t="s">
        <v>63</v>
      </c>
      <c r="L3976" s="2" t="s">
        <v>38020</v>
      </c>
      <c r="M3976" s="2" t="s">
        <v>38350</v>
      </c>
      <c r="N3976" s="3" t="s">
        <v>1639</v>
      </c>
      <c r="P3976" s="3" t="s">
        <v>85</v>
      </c>
      <c r="Q3976" s="2" t="s">
        <v>26432</v>
      </c>
      <c r="R3976" s="3" t="s">
        <v>34126</v>
      </c>
      <c r="S3976" s="4">
        <v>13</v>
      </c>
      <c r="T3976" s="4">
        <v>13</v>
      </c>
      <c r="U3976" s="5" t="s">
        <v>32680</v>
      </c>
      <c r="V3976" s="5" t="s">
        <v>32680</v>
      </c>
      <c r="W3976" s="5" t="s">
        <v>67</v>
      </c>
      <c r="X3976" s="5" t="s">
        <v>67</v>
      </c>
      <c r="Y3976" s="4">
        <v>93</v>
      </c>
      <c r="Z3976" s="4">
        <v>5</v>
      </c>
      <c r="AA3976" s="4">
        <v>30</v>
      </c>
      <c r="AB3976" s="4">
        <v>2</v>
      </c>
      <c r="AC3976" s="4">
        <v>14</v>
      </c>
      <c r="AD3976" s="4">
        <v>41</v>
      </c>
      <c r="AE3976" s="4">
        <v>57</v>
      </c>
      <c r="AF3976" s="4">
        <v>0</v>
      </c>
      <c r="AG3976" s="4">
        <v>6</v>
      </c>
      <c r="AH3976" s="4">
        <v>37</v>
      </c>
      <c r="AI3976" s="4">
        <v>47</v>
      </c>
      <c r="AJ3976" s="4">
        <v>2</v>
      </c>
      <c r="AK3976" s="4">
        <v>13</v>
      </c>
      <c r="AL3976" s="4">
        <v>30</v>
      </c>
      <c r="AM3976" s="4">
        <v>30</v>
      </c>
      <c r="AN3976" s="4">
        <v>0</v>
      </c>
      <c r="AO3976" s="4">
        <v>0</v>
      </c>
      <c r="AP3976" s="4">
        <v>3</v>
      </c>
      <c r="AQ3976" s="4">
        <v>16</v>
      </c>
      <c r="AR3976" s="3" t="s">
        <v>62</v>
      </c>
      <c r="AS3976" s="3" t="s">
        <v>62</v>
      </c>
      <c r="AT3976" s="3" t="s">
        <v>61</v>
      </c>
      <c r="AU3976" s="6" t="str">
        <f>HYPERLINK("http://catalog.hathitrust.org/Record/001492031","HathiTrust Record")</f>
        <v>HathiTrust Record</v>
      </c>
      <c r="AV3976" s="6" t="str">
        <f>HYPERLINK("http://mcgill.on.worldcat.org/oclc/3112007","Catalog Record")</f>
        <v>Catalog Record</v>
      </c>
      <c r="AW3976" s="6" t="str">
        <f>HYPERLINK("http://www.worldcat.org/oclc/3112007","WorldCat Record")</f>
        <v>WorldCat Record</v>
      </c>
      <c r="AX3976" s="3" t="s">
        <v>38351</v>
      </c>
      <c r="AY3976" s="3" t="s">
        <v>38352</v>
      </c>
      <c r="AZ3976" s="3" t="s">
        <v>38353</v>
      </c>
      <c r="BA3976" s="3" t="s">
        <v>38353</v>
      </c>
      <c r="BB3976" s="3" t="s">
        <v>38354</v>
      </c>
      <c r="BC3976" s="3" t="s">
        <v>102</v>
      </c>
      <c r="BD3976" s="3" t="s">
        <v>68</v>
      </c>
      <c r="BF3976" s="3" t="s">
        <v>38354</v>
      </c>
      <c r="BG3976" s="3" t="s">
        <v>38355</v>
      </c>
    </row>
    <row r="3977" spans="1:59" ht="58" x14ac:dyDescent="0.35">
      <c r="A3977" s="2" t="s">
        <v>59</v>
      </c>
      <c r="B3977" s="2" t="s">
        <v>60</v>
      </c>
      <c r="C3977" s="2" t="s">
        <v>38356</v>
      </c>
      <c r="D3977" s="2" t="s">
        <v>38357</v>
      </c>
      <c r="E3977" s="2" t="s">
        <v>38358</v>
      </c>
      <c r="G3977" s="3" t="s">
        <v>62</v>
      </c>
      <c r="I3977" s="3" t="s">
        <v>61</v>
      </c>
      <c r="J3977" s="3" t="s">
        <v>62</v>
      </c>
      <c r="K3977" s="3" t="s">
        <v>63</v>
      </c>
      <c r="L3977" s="2" t="s">
        <v>38359</v>
      </c>
      <c r="M3977" s="2" t="s">
        <v>38360</v>
      </c>
      <c r="N3977" s="3" t="s">
        <v>355</v>
      </c>
      <c r="P3977" s="3" t="s">
        <v>64</v>
      </c>
      <c r="R3977" s="3" t="s">
        <v>34126</v>
      </c>
      <c r="S3977" s="4">
        <v>4</v>
      </c>
      <c r="T3977" s="4">
        <v>9</v>
      </c>
      <c r="U3977" s="5" t="s">
        <v>38361</v>
      </c>
      <c r="V3977" s="5" t="s">
        <v>38362</v>
      </c>
      <c r="W3977" s="5" t="s">
        <v>67</v>
      </c>
      <c r="X3977" s="5" t="s">
        <v>67</v>
      </c>
      <c r="Y3977" s="4">
        <v>608</v>
      </c>
      <c r="Z3977" s="4">
        <v>27</v>
      </c>
      <c r="AA3977" s="4">
        <v>27</v>
      </c>
      <c r="AB3977" s="4">
        <v>3</v>
      </c>
      <c r="AC3977" s="4">
        <v>3</v>
      </c>
      <c r="AD3977" s="4">
        <v>114</v>
      </c>
      <c r="AE3977" s="4">
        <v>114</v>
      </c>
      <c r="AF3977" s="4">
        <v>1</v>
      </c>
      <c r="AG3977" s="4">
        <v>1</v>
      </c>
      <c r="AH3977" s="4">
        <v>98</v>
      </c>
      <c r="AI3977" s="4">
        <v>98</v>
      </c>
      <c r="AJ3977" s="4">
        <v>17</v>
      </c>
      <c r="AK3977" s="4">
        <v>17</v>
      </c>
      <c r="AL3977" s="4">
        <v>55</v>
      </c>
      <c r="AM3977" s="4">
        <v>55</v>
      </c>
      <c r="AN3977" s="4">
        <v>0</v>
      </c>
      <c r="AO3977" s="4">
        <v>0</v>
      </c>
      <c r="AP3977" s="4">
        <v>21</v>
      </c>
      <c r="AQ3977" s="4">
        <v>21</v>
      </c>
      <c r="AR3977" s="3" t="s">
        <v>62</v>
      </c>
      <c r="AS3977" s="3" t="s">
        <v>62</v>
      </c>
      <c r="AT3977" s="3" t="s">
        <v>62</v>
      </c>
      <c r="AV3977" s="6" t="str">
        <f>HYPERLINK("http://mcgill.on.worldcat.org/oclc/10605553","Catalog Record")</f>
        <v>Catalog Record</v>
      </c>
      <c r="AW3977" s="6" t="str">
        <f>HYPERLINK("http://www.worldcat.org/oclc/10605553","WorldCat Record")</f>
        <v>WorldCat Record</v>
      </c>
      <c r="AX3977" s="3" t="s">
        <v>38363</v>
      </c>
      <c r="AY3977" s="3" t="s">
        <v>38364</v>
      </c>
      <c r="AZ3977" s="3" t="s">
        <v>38365</v>
      </c>
      <c r="BA3977" s="3" t="s">
        <v>38365</v>
      </c>
      <c r="BB3977" s="3" t="s">
        <v>38366</v>
      </c>
      <c r="BC3977" s="3" t="s">
        <v>102</v>
      </c>
      <c r="BD3977" s="3" t="s">
        <v>68</v>
      </c>
      <c r="BE3977" s="3" t="s">
        <v>38367</v>
      </c>
      <c r="BF3977" s="3" t="s">
        <v>38366</v>
      </c>
      <c r="BG3977" s="3" t="s">
        <v>38368</v>
      </c>
    </row>
    <row r="3978" spans="1:59" ht="58" x14ac:dyDescent="0.35">
      <c r="A3978" s="2" t="s">
        <v>89</v>
      </c>
      <c r="B3978" s="2" t="s">
        <v>90</v>
      </c>
      <c r="C3978" s="2" t="s">
        <v>38369</v>
      </c>
      <c r="D3978" s="2" t="s">
        <v>38370</v>
      </c>
      <c r="E3978" s="2" t="s">
        <v>38371</v>
      </c>
      <c r="G3978" s="3" t="s">
        <v>62</v>
      </c>
      <c r="I3978" s="3" t="s">
        <v>61</v>
      </c>
      <c r="J3978" s="3" t="s">
        <v>62</v>
      </c>
      <c r="K3978" s="3" t="s">
        <v>63</v>
      </c>
      <c r="L3978" s="2" t="s">
        <v>38372</v>
      </c>
      <c r="M3978" s="2" t="s">
        <v>38373</v>
      </c>
      <c r="N3978" s="3" t="s">
        <v>2000</v>
      </c>
      <c r="P3978" s="3" t="s">
        <v>64</v>
      </c>
      <c r="R3978" s="3" t="s">
        <v>34126</v>
      </c>
      <c r="S3978" s="4">
        <v>9</v>
      </c>
      <c r="T3978" s="4">
        <v>28</v>
      </c>
      <c r="U3978" s="5" t="s">
        <v>4387</v>
      </c>
      <c r="V3978" s="5" t="s">
        <v>4387</v>
      </c>
      <c r="W3978" s="5" t="s">
        <v>67</v>
      </c>
      <c r="X3978" s="5" t="s">
        <v>67</v>
      </c>
      <c r="Y3978" s="4">
        <v>239</v>
      </c>
      <c r="Z3978" s="4">
        <v>13</v>
      </c>
      <c r="AA3978" s="4">
        <v>13</v>
      </c>
      <c r="AB3978" s="4">
        <v>1</v>
      </c>
      <c r="AC3978" s="4">
        <v>1</v>
      </c>
      <c r="AD3978" s="4">
        <v>35</v>
      </c>
      <c r="AE3978" s="4">
        <v>36</v>
      </c>
      <c r="AF3978" s="4">
        <v>0</v>
      </c>
      <c r="AG3978" s="4">
        <v>0</v>
      </c>
      <c r="AH3978" s="4">
        <v>30</v>
      </c>
      <c r="AI3978" s="4">
        <v>31</v>
      </c>
      <c r="AJ3978" s="4">
        <v>6</v>
      </c>
      <c r="AK3978" s="4">
        <v>6</v>
      </c>
      <c r="AL3978" s="4">
        <v>19</v>
      </c>
      <c r="AM3978" s="4">
        <v>20</v>
      </c>
      <c r="AN3978" s="4">
        <v>0</v>
      </c>
      <c r="AO3978" s="4">
        <v>0</v>
      </c>
      <c r="AP3978" s="4">
        <v>9</v>
      </c>
      <c r="AQ3978" s="4">
        <v>9</v>
      </c>
      <c r="AR3978" s="3" t="s">
        <v>62</v>
      </c>
      <c r="AS3978" s="3" t="s">
        <v>62</v>
      </c>
      <c r="AT3978" s="3" t="s">
        <v>62</v>
      </c>
      <c r="AV3978" s="6" t="str">
        <f>HYPERLINK("http://mcgill.on.worldcat.org/oclc/35771294","Catalog Record")</f>
        <v>Catalog Record</v>
      </c>
      <c r="AW3978" s="6" t="str">
        <f>HYPERLINK("http://www.worldcat.org/oclc/35771294","WorldCat Record")</f>
        <v>WorldCat Record</v>
      </c>
      <c r="AX3978" s="3" t="s">
        <v>38374</v>
      </c>
      <c r="AY3978" s="3" t="s">
        <v>38375</v>
      </c>
      <c r="AZ3978" s="3" t="s">
        <v>38376</v>
      </c>
      <c r="BA3978" s="3" t="s">
        <v>38376</v>
      </c>
      <c r="BB3978" s="3" t="s">
        <v>38377</v>
      </c>
      <c r="BC3978" s="3" t="s">
        <v>102</v>
      </c>
      <c r="BD3978" s="3" t="s">
        <v>68</v>
      </c>
      <c r="BE3978" s="3" t="s">
        <v>38378</v>
      </c>
      <c r="BF3978" s="3" t="s">
        <v>38377</v>
      </c>
      <c r="BG3978" s="3" t="s">
        <v>38379</v>
      </c>
    </row>
    <row r="3979" spans="1:59" ht="58" x14ac:dyDescent="0.35">
      <c r="A3979" s="2" t="s">
        <v>89</v>
      </c>
      <c r="B3979" s="2" t="s">
        <v>90</v>
      </c>
      <c r="C3979" s="2" t="s">
        <v>38369</v>
      </c>
      <c r="D3979" s="2" t="s">
        <v>38370</v>
      </c>
      <c r="E3979" s="2" t="s">
        <v>38371</v>
      </c>
      <c r="G3979" s="3" t="s">
        <v>62</v>
      </c>
      <c r="I3979" s="3" t="s">
        <v>61</v>
      </c>
      <c r="J3979" s="3" t="s">
        <v>62</v>
      </c>
      <c r="K3979" s="3" t="s">
        <v>63</v>
      </c>
      <c r="L3979" s="2" t="s">
        <v>38372</v>
      </c>
      <c r="M3979" s="2" t="s">
        <v>38373</v>
      </c>
      <c r="N3979" s="3" t="s">
        <v>2000</v>
      </c>
      <c r="P3979" s="3" t="s">
        <v>64</v>
      </c>
      <c r="R3979" s="3" t="s">
        <v>34126</v>
      </c>
      <c r="S3979" s="4">
        <v>19</v>
      </c>
      <c r="T3979" s="4">
        <v>28</v>
      </c>
      <c r="U3979" s="5" t="s">
        <v>7991</v>
      </c>
      <c r="V3979" s="5" t="s">
        <v>4387</v>
      </c>
      <c r="W3979" s="5" t="s">
        <v>67</v>
      </c>
      <c r="X3979" s="5" t="s">
        <v>67</v>
      </c>
      <c r="Y3979" s="4">
        <v>239</v>
      </c>
      <c r="Z3979" s="4">
        <v>13</v>
      </c>
      <c r="AA3979" s="4">
        <v>13</v>
      </c>
      <c r="AB3979" s="4">
        <v>1</v>
      </c>
      <c r="AC3979" s="4">
        <v>1</v>
      </c>
      <c r="AD3979" s="4">
        <v>35</v>
      </c>
      <c r="AE3979" s="4">
        <v>36</v>
      </c>
      <c r="AF3979" s="4">
        <v>0</v>
      </c>
      <c r="AG3979" s="4">
        <v>0</v>
      </c>
      <c r="AH3979" s="4">
        <v>30</v>
      </c>
      <c r="AI3979" s="4">
        <v>31</v>
      </c>
      <c r="AJ3979" s="4">
        <v>6</v>
      </c>
      <c r="AK3979" s="4">
        <v>6</v>
      </c>
      <c r="AL3979" s="4">
        <v>19</v>
      </c>
      <c r="AM3979" s="4">
        <v>20</v>
      </c>
      <c r="AN3979" s="4">
        <v>0</v>
      </c>
      <c r="AO3979" s="4">
        <v>0</v>
      </c>
      <c r="AP3979" s="4">
        <v>9</v>
      </c>
      <c r="AQ3979" s="4">
        <v>9</v>
      </c>
      <c r="AR3979" s="3" t="s">
        <v>62</v>
      </c>
      <c r="AS3979" s="3" t="s">
        <v>62</v>
      </c>
      <c r="AT3979" s="3" t="s">
        <v>62</v>
      </c>
      <c r="AV3979" s="6" t="str">
        <f>HYPERLINK("http://mcgill.on.worldcat.org/oclc/35771294","Catalog Record")</f>
        <v>Catalog Record</v>
      </c>
      <c r="AW3979" s="6" t="str">
        <f>HYPERLINK("http://www.worldcat.org/oclc/35771294","WorldCat Record")</f>
        <v>WorldCat Record</v>
      </c>
      <c r="AX3979" s="3" t="s">
        <v>38374</v>
      </c>
      <c r="AY3979" s="3" t="s">
        <v>38375</v>
      </c>
      <c r="AZ3979" s="3" t="s">
        <v>38376</v>
      </c>
      <c r="BA3979" s="3" t="s">
        <v>38376</v>
      </c>
      <c r="BB3979" s="3" t="s">
        <v>38380</v>
      </c>
      <c r="BC3979" s="3" t="s">
        <v>102</v>
      </c>
      <c r="BD3979" s="3" t="s">
        <v>68</v>
      </c>
      <c r="BE3979" s="3" t="s">
        <v>38378</v>
      </c>
      <c r="BF3979" s="3" t="s">
        <v>38380</v>
      </c>
      <c r="BG3979" s="3" t="s">
        <v>38381</v>
      </c>
    </row>
    <row r="3980" spans="1:59" ht="58" x14ac:dyDescent="0.35">
      <c r="A3980" s="2" t="s">
        <v>59</v>
      </c>
      <c r="B3980" s="2" t="s">
        <v>60</v>
      </c>
      <c r="C3980" s="2" t="s">
        <v>38382</v>
      </c>
      <c r="D3980" s="2" t="s">
        <v>38383</v>
      </c>
      <c r="E3980" s="2" t="s">
        <v>38384</v>
      </c>
      <c r="G3980" s="3" t="s">
        <v>62</v>
      </c>
      <c r="I3980" s="3" t="s">
        <v>62</v>
      </c>
      <c r="J3980" s="3" t="s">
        <v>61</v>
      </c>
      <c r="K3980" s="3" t="s">
        <v>63</v>
      </c>
      <c r="L3980" s="2" t="s">
        <v>850</v>
      </c>
      <c r="M3980" s="2" t="s">
        <v>38385</v>
      </c>
      <c r="N3980" s="3" t="s">
        <v>2305</v>
      </c>
      <c r="P3980" s="3" t="s">
        <v>64</v>
      </c>
      <c r="Q3980" s="2" t="s">
        <v>38386</v>
      </c>
      <c r="R3980" s="3" t="s">
        <v>34126</v>
      </c>
      <c r="S3980" s="4">
        <v>1</v>
      </c>
      <c r="T3980" s="4">
        <v>1</v>
      </c>
      <c r="U3980" s="5" t="s">
        <v>38387</v>
      </c>
      <c r="V3980" s="5" t="s">
        <v>38387</v>
      </c>
      <c r="W3980" s="5" t="s">
        <v>67</v>
      </c>
      <c r="X3980" s="5" t="s">
        <v>67</v>
      </c>
      <c r="Y3980" s="4">
        <v>74</v>
      </c>
      <c r="Z3980" s="4">
        <v>5</v>
      </c>
      <c r="AA3980" s="4">
        <v>44</v>
      </c>
      <c r="AB3980" s="4">
        <v>1</v>
      </c>
      <c r="AC3980" s="4">
        <v>7</v>
      </c>
      <c r="AD3980" s="4">
        <v>24</v>
      </c>
      <c r="AE3980" s="4">
        <v>129</v>
      </c>
      <c r="AF3980" s="4">
        <v>0</v>
      </c>
      <c r="AG3980" s="4">
        <v>3</v>
      </c>
      <c r="AH3980" s="4">
        <v>21</v>
      </c>
      <c r="AI3980" s="4">
        <v>102</v>
      </c>
      <c r="AJ3980" s="4">
        <v>2</v>
      </c>
      <c r="AK3980" s="4">
        <v>21</v>
      </c>
      <c r="AL3980" s="4">
        <v>13</v>
      </c>
      <c r="AM3980" s="4">
        <v>57</v>
      </c>
      <c r="AN3980" s="4">
        <v>0</v>
      </c>
      <c r="AO3980" s="4">
        <v>0</v>
      </c>
      <c r="AP3980" s="4">
        <v>3</v>
      </c>
      <c r="AQ3980" s="4">
        <v>31</v>
      </c>
      <c r="AR3980" s="3" t="s">
        <v>62</v>
      </c>
      <c r="AS3980" s="3" t="s">
        <v>62</v>
      </c>
      <c r="AT3980" s="3" t="s">
        <v>62</v>
      </c>
      <c r="AV3980" s="6" t="str">
        <f>HYPERLINK("http://mcgill.on.worldcat.org/oclc/258749","Catalog Record")</f>
        <v>Catalog Record</v>
      </c>
      <c r="AW3980" s="6" t="str">
        <f>HYPERLINK("http://www.worldcat.org/oclc/258749","WorldCat Record")</f>
        <v>WorldCat Record</v>
      </c>
      <c r="AX3980" s="3" t="s">
        <v>38388</v>
      </c>
      <c r="AY3980" s="3" t="s">
        <v>38389</v>
      </c>
      <c r="AZ3980" s="3" t="s">
        <v>38390</v>
      </c>
      <c r="BA3980" s="3" t="s">
        <v>38390</v>
      </c>
      <c r="BB3980" s="3" t="s">
        <v>38391</v>
      </c>
      <c r="BC3980" s="3" t="s">
        <v>102</v>
      </c>
      <c r="BD3980" s="3" t="s">
        <v>68</v>
      </c>
      <c r="BF3980" s="3" t="s">
        <v>38391</v>
      </c>
      <c r="BG3980" s="3" t="s">
        <v>38392</v>
      </c>
    </row>
    <row r="3981" spans="1:59" ht="58" x14ac:dyDescent="0.35">
      <c r="A3981" s="2" t="s">
        <v>59</v>
      </c>
      <c r="B3981" s="2" t="s">
        <v>60</v>
      </c>
      <c r="C3981" s="2" t="s">
        <v>38393</v>
      </c>
      <c r="D3981" s="2" t="s">
        <v>38394</v>
      </c>
      <c r="E3981" s="2" t="s">
        <v>38395</v>
      </c>
      <c r="G3981" s="3" t="s">
        <v>62</v>
      </c>
      <c r="I3981" s="3" t="s">
        <v>62</v>
      </c>
      <c r="J3981" s="3" t="s">
        <v>62</v>
      </c>
      <c r="K3981" s="3" t="s">
        <v>63</v>
      </c>
      <c r="M3981" s="2" t="s">
        <v>38396</v>
      </c>
      <c r="N3981" s="3" t="s">
        <v>1291</v>
      </c>
      <c r="P3981" s="3" t="s">
        <v>64</v>
      </c>
      <c r="Q3981" s="2" t="s">
        <v>38397</v>
      </c>
      <c r="R3981" s="3" t="s">
        <v>34126</v>
      </c>
      <c r="S3981" s="4">
        <v>1</v>
      </c>
      <c r="T3981" s="4">
        <v>1</v>
      </c>
      <c r="U3981" s="5" t="s">
        <v>8858</v>
      </c>
      <c r="V3981" s="5" t="s">
        <v>8858</v>
      </c>
      <c r="W3981" s="5" t="s">
        <v>67</v>
      </c>
      <c r="X3981" s="5" t="s">
        <v>67</v>
      </c>
      <c r="Y3981" s="4">
        <v>8</v>
      </c>
      <c r="Z3981" s="4">
        <v>3</v>
      </c>
      <c r="AA3981" s="4">
        <v>5</v>
      </c>
      <c r="AB3981" s="4">
        <v>2</v>
      </c>
      <c r="AC3981" s="4">
        <v>4</v>
      </c>
      <c r="AD3981" s="4">
        <v>1</v>
      </c>
      <c r="AE3981" s="4">
        <v>5</v>
      </c>
      <c r="AF3981" s="4">
        <v>0</v>
      </c>
      <c r="AG3981" s="4">
        <v>2</v>
      </c>
      <c r="AH3981" s="4">
        <v>1</v>
      </c>
      <c r="AI3981" s="4">
        <v>3</v>
      </c>
      <c r="AJ3981" s="4">
        <v>1</v>
      </c>
      <c r="AK3981" s="4">
        <v>3</v>
      </c>
      <c r="AL3981" s="4">
        <v>0</v>
      </c>
      <c r="AM3981" s="4">
        <v>2</v>
      </c>
      <c r="AN3981" s="4">
        <v>0</v>
      </c>
      <c r="AO3981" s="4">
        <v>0</v>
      </c>
      <c r="AP3981" s="4">
        <v>1</v>
      </c>
      <c r="AQ3981" s="4">
        <v>2</v>
      </c>
      <c r="AR3981" s="3" t="s">
        <v>62</v>
      </c>
      <c r="AS3981" s="3" t="s">
        <v>62</v>
      </c>
      <c r="AT3981" s="3" t="s">
        <v>62</v>
      </c>
      <c r="AV3981" s="6" t="str">
        <f>HYPERLINK("http://mcgill.on.worldcat.org/oclc/86064261","Catalog Record")</f>
        <v>Catalog Record</v>
      </c>
      <c r="AW3981" s="6" t="str">
        <f>HYPERLINK("http://www.worldcat.org/oclc/86064261","WorldCat Record")</f>
        <v>WorldCat Record</v>
      </c>
      <c r="AX3981" s="3" t="s">
        <v>38398</v>
      </c>
      <c r="AY3981" s="3" t="s">
        <v>38399</v>
      </c>
      <c r="AZ3981" s="3" t="s">
        <v>38400</v>
      </c>
      <c r="BA3981" s="3" t="s">
        <v>38400</v>
      </c>
      <c r="BB3981" s="3" t="s">
        <v>38401</v>
      </c>
      <c r="BC3981" s="3" t="s">
        <v>102</v>
      </c>
      <c r="BD3981" s="3" t="s">
        <v>68</v>
      </c>
      <c r="BF3981" s="3" t="s">
        <v>38401</v>
      </c>
      <c r="BG3981" s="3" t="s">
        <v>38402</v>
      </c>
    </row>
    <row r="3982" spans="1:59" ht="58" x14ac:dyDescent="0.35">
      <c r="A3982" s="2" t="s">
        <v>59</v>
      </c>
      <c r="B3982" s="2" t="s">
        <v>60</v>
      </c>
      <c r="C3982" s="2" t="s">
        <v>38403</v>
      </c>
      <c r="D3982" s="2" t="s">
        <v>38404</v>
      </c>
      <c r="E3982" s="2" t="s">
        <v>38405</v>
      </c>
      <c r="G3982" s="3" t="s">
        <v>62</v>
      </c>
      <c r="I3982" s="3" t="s">
        <v>62</v>
      </c>
      <c r="J3982" s="3" t="s">
        <v>62</v>
      </c>
      <c r="K3982" s="3" t="s">
        <v>63</v>
      </c>
      <c r="L3982" s="2" t="s">
        <v>38406</v>
      </c>
      <c r="M3982" s="2" t="s">
        <v>38407</v>
      </c>
      <c r="N3982" s="3" t="s">
        <v>1639</v>
      </c>
      <c r="P3982" s="3" t="s">
        <v>64</v>
      </c>
      <c r="Q3982" s="2" t="s">
        <v>38408</v>
      </c>
      <c r="R3982" s="3" t="s">
        <v>34126</v>
      </c>
      <c r="S3982" s="4">
        <v>6</v>
      </c>
      <c r="T3982" s="4">
        <v>6</v>
      </c>
      <c r="U3982" s="5" t="s">
        <v>7767</v>
      </c>
      <c r="V3982" s="5" t="s">
        <v>7767</v>
      </c>
      <c r="W3982" s="5" t="s">
        <v>67</v>
      </c>
      <c r="X3982" s="5" t="s">
        <v>67</v>
      </c>
      <c r="Y3982" s="4">
        <v>190</v>
      </c>
      <c r="Z3982" s="4">
        <v>12</v>
      </c>
      <c r="AA3982" s="4">
        <v>12</v>
      </c>
      <c r="AB3982" s="4">
        <v>2</v>
      </c>
      <c r="AC3982" s="4">
        <v>2</v>
      </c>
      <c r="AD3982" s="4">
        <v>64</v>
      </c>
      <c r="AE3982" s="4">
        <v>65</v>
      </c>
      <c r="AF3982" s="4">
        <v>0</v>
      </c>
      <c r="AG3982" s="4">
        <v>0</v>
      </c>
      <c r="AH3982" s="4">
        <v>60</v>
      </c>
      <c r="AI3982" s="4">
        <v>61</v>
      </c>
      <c r="AJ3982" s="4">
        <v>7</v>
      </c>
      <c r="AK3982" s="4">
        <v>7</v>
      </c>
      <c r="AL3982" s="4">
        <v>36</v>
      </c>
      <c r="AM3982" s="4">
        <v>36</v>
      </c>
      <c r="AN3982" s="4">
        <v>0</v>
      </c>
      <c r="AO3982" s="4">
        <v>0</v>
      </c>
      <c r="AP3982" s="4">
        <v>8</v>
      </c>
      <c r="AQ3982" s="4">
        <v>8</v>
      </c>
      <c r="AR3982" s="3" t="s">
        <v>62</v>
      </c>
      <c r="AS3982" s="3" t="s">
        <v>62</v>
      </c>
      <c r="AT3982" s="3" t="s">
        <v>61</v>
      </c>
      <c r="AU3982" s="6" t="str">
        <f>HYPERLINK("http://catalog.hathitrust.org/Record/007426823","HathiTrust Record")</f>
        <v>HathiTrust Record</v>
      </c>
      <c r="AV3982" s="6" t="str">
        <f>HYPERLINK("http://mcgill.on.worldcat.org/oclc/235264","Catalog Record")</f>
        <v>Catalog Record</v>
      </c>
      <c r="AW3982" s="6" t="str">
        <f>HYPERLINK("http://www.worldcat.org/oclc/235264","WorldCat Record")</f>
        <v>WorldCat Record</v>
      </c>
      <c r="AX3982" s="3" t="s">
        <v>38409</v>
      </c>
      <c r="AY3982" s="3" t="s">
        <v>38410</v>
      </c>
      <c r="AZ3982" s="3" t="s">
        <v>38411</v>
      </c>
      <c r="BA3982" s="3" t="s">
        <v>38411</v>
      </c>
      <c r="BB3982" s="3" t="s">
        <v>38412</v>
      </c>
      <c r="BC3982" s="3" t="s">
        <v>102</v>
      </c>
      <c r="BD3982" s="3" t="s">
        <v>68</v>
      </c>
      <c r="BF3982" s="3" t="s">
        <v>38412</v>
      </c>
      <c r="BG3982" s="3" t="s">
        <v>38413</v>
      </c>
    </row>
    <row r="3983" spans="1:59" ht="58" x14ac:dyDescent="0.35">
      <c r="A3983" s="2" t="s">
        <v>89</v>
      </c>
      <c r="B3983" s="2" t="s">
        <v>90</v>
      </c>
      <c r="C3983" s="2" t="s">
        <v>38414</v>
      </c>
      <c r="D3983" s="2" t="s">
        <v>38415</v>
      </c>
      <c r="E3983" s="2" t="s">
        <v>38416</v>
      </c>
      <c r="G3983" s="3" t="s">
        <v>62</v>
      </c>
      <c r="I3983" s="3" t="s">
        <v>62</v>
      </c>
      <c r="J3983" s="3" t="s">
        <v>62</v>
      </c>
      <c r="K3983" s="3" t="s">
        <v>63</v>
      </c>
      <c r="L3983" s="2" t="s">
        <v>38417</v>
      </c>
      <c r="M3983" s="2" t="s">
        <v>38418</v>
      </c>
      <c r="N3983" s="3" t="s">
        <v>640</v>
      </c>
      <c r="P3983" s="3" t="s">
        <v>64</v>
      </c>
      <c r="R3983" s="3" t="s">
        <v>34126</v>
      </c>
      <c r="S3983" s="4">
        <v>7</v>
      </c>
      <c r="T3983" s="4">
        <v>7</v>
      </c>
      <c r="U3983" s="5" t="s">
        <v>15386</v>
      </c>
      <c r="V3983" s="5" t="s">
        <v>15386</v>
      </c>
      <c r="W3983" s="5" t="s">
        <v>67</v>
      </c>
      <c r="X3983" s="5" t="s">
        <v>67</v>
      </c>
      <c r="Y3983" s="4">
        <v>1152</v>
      </c>
      <c r="Z3983" s="4">
        <v>44</v>
      </c>
      <c r="AA3983" s="4">
        <v>104</v>
      </c>
      <c r="AB3983" s="4">
        <v>5</v>
      </c>
      <c r="AC3983" s="4">
        <v>16</v>
      </c>
      <c r="AD3983" s="4">
        <v>114</v>
      </c>
      <c r="AE3983" s="4">
        <v>143</v>
      </c>
      <c r="AF3983" s="4">
        <v>1</v>
      </c>
      <c r="AG3983" s="4">
        <v>8</v>
      </c>
      <c r="AH3983" s="4">
        <v>95</v>
      </c>
      <c r="AI3983" s="4">
        <v>104</v>
      </c>
      <c r="AJ3983" s="4">
        <v>14</v>
      </c>
      <c r="AK3983" s="4">
        <v>22</v>
      </c>
      <c r="AL3983" s="4">
        <v>50</v>
      </c>
      <c r="AM3983" s="4">
        <v>53</v>
      </c>
      <c r="AN3983" s="4">
        <v>0</v>
      </c>
      <c r="AO3983" s="4">
        <v>0</v>
      </c>
      <c r="AP3983" s="4">
        <v>25</v>
      </c>
      <c r="AQ3983" s="4">
        <v>47</v>
      </c>
      <c r="AR3983" s="3" t="s">
        <v>62</v>
      </c>
      <c r="AS3983" s="3" t="s">
        <v>62</v>
      </c>
      <c r="AT3983" s="3" t="s">
        <v>62</v>
      </c>
      <c r="AV3983" s="6" t="str">
        <f>HYPERLINK("http://mcgill.on.worldcat.org/oclc/54685972","Catalog Record")</f>
        <v>Catalog Record</v>
      </c>
      <c r="AW3983" s="6" t="str">
        <f>HYPERLINK("http://www.worldcat.org/oclc/54685972","WorldCat Record")</f>
        <v>WorldCat Record</v>
      </c>
      <c r="AX3983" s="3" t="s">
        <v>38419</v>
      </c>
      <c r="AY3983" s="3" t="s">
        <v>38420</v>
      </c>
      <c r="AZ3983" s="3" t="s">
        <v>38421</v>
      </c>
      <c r="BA3983" s="3" t="s">
        <v>38421</v>
      </c>
      <c r="BB3983" s="3" t="s">
        <v>38422</v>
      </c>
      <c r="BC3983" s="3" t="s">
        <v>102</v>
      </c>
      <c r="BD3983" s="3" t="s">
        <v>68</v>
      </c>
      <c r="BE3983" s="3" t="s">
        <v>38423</v>
      </c>
      <c r="BF3983" s="3" t="s">
        <v>38422</v>
      </c>
      <c r="BG3983" s="3" t="s">
        <v>38424</v>
      </c>
    </row>
    <row r="3984" spans="1:59" ht="58" x14ac:dyDescent="0.35">
      <c r="A3984" s="2" t="s">
        <v>59</v>
      </c>
      <c r="B3984" s="2" t="s">
        <v>60</v>
      </c>
      <c r="C3984" s="2" t="s">
        <v>38425</v>
      </c>
      <c r="D3984" s="2" t="s">
        <v>38426</v>
      </c>
      <c r="E3984" s="2" t="s">
        <v>38427</v>
      </c>
      <c r="G3984" s="3" t="s">
        <v>62</v>
      </c>
      <c r="I3984" s="3" t="s">
        <v>62</v>
      </c>
      <c r="J3984" s="3" t="s">
        <v>62</v>
      </c>
      <c r="K3984" s="3" t="s">
        <v>63</v>
      </c>
      <c r="L3984" s="2" t="s">
        <v>38428</v>
      </c>
      <c r="M3984" s="2" t="s">
        <v>38429</v>
      </c>
      <c r="N3984" s="3" t="s">
        <v>919</v>
      </c>
      <c r="P3984" s="3" t="s">
        <v>64</v>
      </c>
      <c r="R3984" s="3" t="s">
        <v>34126</v>
      </c>
      <c r="S3984" s="4">
        <v>4</v>
      </c>
      <c r="T3984" s="4">
        <v>4</v>
      </c>
      <c r="U3984" s="5" t="s">
        <v>7391</v>
      </c>
      <c r="V3984" s="5" t="s">
        <v>7391</v>
      </c>
      <c r="W3984" s="5" t="s">
        <v>67</v>
      </c>
      <c r="X3984" s="5" t="s">
        <v>67</v>
      </c>
      <c r="Y3984" s="4">
        <v>62</v>
      </c>
      <c r="Z3984" s="4">
        <v>10</v>
      </c>
      <c r="AA3984" s="4">
        <v>24</v>
      </c>
      <c r="AB3984" s="4">
        <v>1</v>
      </c>
      <c r="AC3984" s="4">
        <v>2</v>
      </c>
      <c r="AD3984" s="4">
        <v>23</v>
      </c>
      <c r="AE3984" s="4">
        <v>107</v>
      </c>
      <c r="AF3984" s="4">
        <v>0</v>
      </c>
      <c r="AG3984" s="4">
        <v>1</v>
      </c>
      <c r="AH3984" s="4">
        <v>15</v>
      </c>
      <c r="AI3984" s="4">
        <v>92</v>
      </c>
      <c r="AJ3984" s="4">
        <v>4</v>
      </c>
      <c r="AK3984" s="4">
        <v>14</v>
      </c>
      <c r="AL3984" s="4">
        <v>8</v>
      </c>
      <c r="AM3984" s="4">
        <v>53</v>
      </c>
      <c r="AN3984" s="4">
        <v>0</v>
      </c>
      <c r="AO3984" s="4">
        <v>5</v>
      </c>
      <c r="AP3984" s="4">
        <v>9</v>
      </c>
      <c r="AQ3984" s="4">
        <v>21</v>
      </c>
      <c r="AR3984" s="3" t="s">
        <v>62</v>
      </c>
      <c r="AS3984" s="3" t="s">
        <v>62</v>
      </c>
      <c r="AT3984" s="3" t="s">
        <v>62</v>
      </c>
      <c r="AV3984" s="6" t="str">
        <f>HYPERLINK("http://mcgill.on.worldcat.org/oclc/1488790","Catalog Record")</f>
        <v>Catalog Record</v>
      </c>
      <c r="AW3984" s="6" t="str">
        <f>HYPERLINK("http://www.worldcat.org/oclc/1488790","WorldCat Record")</f>
        <v>WorldCat Record</v>
      </c>
      <c r="AX3984" s="3" t="s">
        <v>38430</v>
      </c>
      <c r="AY3984" s="3" t="s">
        <v>38431</v>
      </c>
      <c r="AZ3984" s="3" t="s">
        <v>38432</v>
      </c>
      <c r="BA3984" s="3" t="s">
        <v>38432</v>
      </c>
      <c r="BB3984" s="3" t="s">
        <v>38433</v>
      </c>
      <c r="BC3984" s="3" t="s">
        <v>4753</v>
      </c>
      <c r="BD3984" s="3" t="s">
        <v>68</v>
      </c>
      <c r="BF3984" s="3" t="s">
        <v>38433</v>
      </c>
      <c r="BG3984" s="3" t="s">
        <v>38434</v>
      </c>
    </row>
    <row r="3985" spans="1:59" ht="101.5" x14ac:dyDescent="0.35">
      <c r="A3985" s="2" t="s">
        <v>89</v>
      </c>
      <c r="B3985" s="2" t="s">
        <v>36812</v>
      </c>
      <c r="C3985" s="2" t="s">
        <v>38435</v>
      </c>
      <c r="D3985" s="2" t="s">
        <v>38436</v>
      </c>
      <c r="E3985" s="2" t="s">
        <v>38437</v>
      </c>
      <c r="G3985" s="3" t="s">
        <v>62</v>
      </c>
      <c r="I3985" s="3" t="s">
        <v>62</v>
      </c>
      <c r="J3985" s="3" t="s">
        <v>62</v>
      </c>
      <c r="K3985" s="3" t="s">
        <v>63</v>
      </c>
      <c r="L3985" s="2" t="s">
        <v>38438</v>
      </c>
      <c r="M3985" s="2" t="s">
        <v>38439</v>
      </c>
      <c r="N3985" s="3" t="s">
        <v>726</v>
      </c>
      <c r="O3985" s="2" t="s">
        <v>38440</v>
      </c>
      <c r="P3985" s="3" t="s">
        <v>64</v>
      </c>
      <c r="R3985" s="3" t="s">
        <v>34126</v>
      </c>
      <c r="S3985" s="4">
        <v>0</v>
      </c>
      <c r="T3985" s="4">
        <v>0</v>
      </c>
      <c r="W3985" s="5" t="s">
        <v>67</v>
      </c>
      <c r="X3985" s="5" t="s">
        <v>67</v>
      </c>
      <c r="Y3985" s="4">
        <v>191</v>
      </c>
      <c r="Z3985" s="4">
        <v>9</v>
      </c>
      <c r="AA3985" s="4">
        <v>12</v>
      </c>
      <c r="AB3985" s="4">
        <v>1</v>
      </c>
      <c r="AC3985" s="4">
        <v>4</v>
      </c>
      <c r="AD3985" s="4">
        <v>19</v>
      </c>
      <c r="AE3985" s="4">
        <v>19</v>
      </c>
      <c r="AF3985" s="4">
        <v>0</v>
      </c>
      <c r="AG3985" s="4">
        <v>0</v>
      </c>
      <c r="AH3985" s="4">
        <v>19</v>
      </c>
      <c r="AI3985" s="4">
        <v>19</v>
      </c>
      <c r="AJ3985" s="4">
        <v>2</v>
      </c>
      <c r="AK3985" s="4">
        <v>2</v>
      </c>
      <c r="AL3985" s="4">
        <v>12</v>
      </c>
      <c r="AM3985" s="4">
        <v>12</v>
      </c>
      <c r="AN3985" s="4">
        <v>0</v>
      </c>
      <c r="AO3985" s="4">
        <v>0</v>
      </c>
      <c r="AP3985" s="4">
        <v>2</v>
      </c>
      <c r="AQ3985" s="4">
        <v>2</v>
      </c>
      <c r="AR3985" s="3" t="s">
        <v>62</v>
      </c>
      <c r="AS3985" s="3" t="s">
        <v>62</v>
      </c>
      <c r="AT3985" s="3" t="s">
        <v>62</v>
      </c>
      <c r="AV3985" s="6" t="str">
        <f>HYPERLINK("http://mcgill.on.worldcat.org/oclc/962172011","Catalog Record")</f>
        <v>Catalog Record</v>
      </c>
      <c r="AW3985" s="6" t="str">
        <f>HYPERLINK("http://www.worldcat.org/oclc/962172011","WorldCat Record")</f>
        <v>WorldCat Record</v>
      </c>
      <c r="AX3985" s="3" t="s">
        <v>38441</v>
      </c>
      <c r="AY3985" s="3" t="s">
        <v>38442</v>
      </c>
      <c r="AZ3985" s="3" t="s">
        <v>38443</v>
      </c>
      <c r="BA3985" s="3" t="s">
        <v>38443</v>
      </c>
      <c r="BB3985" s="3" t="s">
        <v>38444</v>
      </c>
      <c r="BC3985" s="3" t="s">
        <v>102</v>
      </c>
      <c r="BD3985" s="3" t="s">
        <v>68</v>
      </c>
      <c r="BE3985" s="3" t="s">
        <v>38445</v>
      </c>
      <c r="BF3985" s="3" t="s">
        <v>38444</v>
      </c>
      <c r="BG3985" s="3" t="s">
        <v>38446</v>
      </c>
    </row>
    <row r="3986" spans="1:59" ht="58" x14ac:dyDescent="0.35">
      <c r="A3986" s="2" t="s">
        <v>89</v>
      </c>
      <c r="B3986" s="2" t="s">
        <v>90</v>
      </c>
      <c r="C3986" s="2" t="s">
        <v>38447</v>
      </c>
      <c r="D3986" s="2" t="s">
        <v>38448</v>
      </c>
      <c r="E3986" s="2" t="s">
        <v>38449</v>
      </c>
      <c r="G3986" s="3" t="s">
        <v>62</v>
      </c>
      <c r="I3986" s="3" t="s">
        <v>61</v>
      </c>
      <c r="J3986" s="3" t="s">
        <v>62</v>
      </c>
      <c r="K3986" s="3" t="s">
        <v>63</v>
      </c>
      <c r="L3986" s="2" t="s">
        <v>38450</v>
      </c>
      <c r="M3986" s="2" t="s">
        <v>38451</v>
      </c>
      <c r="N3986" s="3" t="s">
        <v>553</v>
      </c>
      <c r="P3986" s="3" t="s">
        <v>64</v>
      </c>
      <c r="R3986" s="3" t="s">
        <v>34126</v>
      </c>
      <c r="S3986" s="4">
        <v>19</v>
      </c>
      <c r="T3986" s="4">
        <v>31</v>
      </c>
      <c r="U3986" s="5" t="s">
        <v>14183</v>
      </c>
      <c r="V3986" s="5" t="s">
        <v>13026</v>
      </c>
      <c r="W3986" s="5" t="s">
        <v>67</v>
      </c>
      <c r="X3986" s="5" t="s">
        <v>67</v>
      </c>
      <c r="Y3986" s="4">
        <v>447</v>
      </c>
      <c r="Z3986" s="4">
        <v>19</v>
      </c>
      <c r="AA3986" s="4">
        <v>21</v>
      </c>
      <c r="AB3986" s="4">
        <v>1</v>
      </c>
      <c r="AC3986" s="4">
        <v>3</v>
      </c>
      <c r="AD3986" s="4">
        <v>104</v>
      </c>
      <c r="AE3986" s="4">
        <v>105</v>
      </c>
      <c r="AF3986" s="4">
        <v>0</v>
      </c>
      <c r="AG3986" s="4">
        <v>1</v>
      </c>
      <c r="AH3986" s="4">
        <v>95</v>
      </c>
      <c r="AI3986" s="4">
        <v>96</v>
      </c>
      <c r="AJ3986" s="4">
        <v>14</v>
      </c>
      <c r="AK3986" s="4">
        <v>15</v>
      </c>
      <c r="AL3986" s="4">
        <v>51</v>
      </c>
      <c r="AM3986" s="4">
        <v>51</v>
      </c>
      <c r="AN3986" s="4">
        <v>0</v>
      </c>
      <c r="AO3986" s="4">
        <v>0</v>
      </c>
      <c r="AP3986" s="4">
        <v>16</v>
      </c>
      <c r="AQ3986" s="4">
        <v>17</v>
      </c>
      <c r="AR3986" s="3" t="s">
        <v>62</v>
      </c>
      <c r="AS3986" s="3" t="s">
        <v>62</v>
      </c>
      <c r="AT3986" s="3" t="s">
        <v>62</v>
      </c>
      <c r="AV3986" s="6" t="str">
        <f>HYPERLINK("http://mcgill.on.worldcat.org/oclc/40675057","Catalog Record")</f>
        <v>Catalog Record</v>
      </c>
      <c r="AW3986" s="6" t="str">
        <f>HYPERLINK("http://www.worldcat.org/oclc/40675057","WorldCat Record")</f>
        <v>WorldCat Record</v>
      </c>
      <c r="AX3986" s="3" t="s">
        <v>38452</v>
      </c>
      <c r="AY3986" s="3" t="s">
        <v>38453</v>
      </c>
      <c r="AZ3986" s="3" t="s">
        <v>38454</v>
      </c>
      <c r="BA3986" s="3" t="s">
        <v>38454</v>
      </c>
      <c r="BB3986" s="3" t="s">
        <v>38455</v>
      </c>
      <c r="BC3986" s="3" t="s">
        <v>102</v>
      </c>
      <c r="BD3986" s="3" t="s">
        <v>231</v>
      </c>
      <c r="BE3986" s="3" t="s">
        <v>38456</v>
      </c>
      <c r="BF3986" s="3" t="s">
        <v>38455</v>
      </c>
      <c r="BG3986" s="3" t="s">
        <v>38457</v>
      </c>
    </row>
    <row r="3987" spans="1:59" ht="58" x14ac:dyDescent="0.35">
      <c r="A3987" s="2" t="s">
        <v>89</v>
      </c>
      <c r="B3987" s="2" t="s">
        <v>90</v>
      </c>
      <c r="C3987" s="2" t="s">
        <v>38447</v>
      </c>
      <c r="D3987" s="2" t="s">
        <v>38448</v>
      </c>
      <c r="E3987" s="2" t="s">
        <v>38449</v>
      </c>
      <c r="G3987" s="3" t="s">
        <v>62</v>
      </c>
      <c r="I3987" s="3" t="s">
        <v>61</v>
      </c>
      <c r="J3987" s="3" t="s">
        <v>62</v>
      </c>
      <c r="K3987" s="3" t="s">
        <v>63</v>
      </c>
      <c r="L3987" s="2" t="s">
        <v>38450</v>
      </c>
      <c r="M3987" s="2" t="s">
        <v>38451</v>
      </c>
      <c r="N3987" s="3" t="s">
        <v>553</v>
      </c>
      <c r="P3987" s="3" t="s">
        <v>64</v>
      </c>
      <c r="R3987" s="3" t="s">
        <v>34126</v>
      </c>
      <c r="S3987" s="4">
        <v>12</v>
      </c>
      <c r="T3987" s="4">
        <v>31</v>
      </c>
      <c r="U3987" s="5" t="s">
        <v>13026</v>
      </c>
      <c r="V3987" s="5" t="s">
        <v>13026</v>
      </c>
      <c r="W3987" s="5" t="s">
        <v>67</v>
      </c>
      <c r="X3987" s="5" t="s">
        <v>67</v>
      </c>
      <c r="Y3987" s="4">
        <v>447</v>
      </c>
      <c r="Z3987" s="4">
        <v>19</v>
      </c>
      <c r="AA3987" s="4">
        <v>21</v>
      </c>
      <c r="AB3987" s="4">
        <v>1</v>
      </c>
      <c r="AC3987" s="4">
        <v>3</v>
      </c>
      <c r="AD3987" s="4">
        <v>104</v>
      </c>
      <c r="AE3987" s="4">
        <v>105</v>
      </c>
      <c r="AF3987" s="4">
        <v>0</v>
      </c>
      <c r="AG3987" s="4">
        <v>1</v>
      </c>
      <c r="AH3987" s="4">
        <v>95</v>
      </c>
      <c r="AI3987" s="4">
        <v>96</v>
      </c>
      <c r="AJ3987" s="4">
        <v>14</v>
      </c>
      <c r="AK3987" s="4">
        <v>15</v>
      </c>
      <c r="AL3987" s="4">
        <v>51</v>
      </c>
      <c r="AM3987" s="4">
        <v>51</v>
      </c>
      <c r="AN3987" s="4">
        <v>0</v>
      </c>
      <c r="AO3987" s="4">
        <v>0</v>
      </c>
      <c r="AP3987" s="4">
        <v>16</v>
      </c>
      <c r="AQ3987" s="4">
        <v>17</v>
      </c>
      <c r="AR3987" s="3" t="s">
        <v>62</v>
      </c>
      <c r="AS3987" s="3" t="s">
        <v>62</v>
      </c>
      <c r="AT3987" s="3" t="s">
        <v>62</v>
      </c>
      <c r="AV3987" s="6" t="str">
        <f>HYPERLINK("http://mcgill.on.worldcat.org/oclc/40675057","Catalog Record")</f>
        <v>Catalog Record</v>
      </c>
      <c r="AW3987" s="6" t="str">
        <f>HYPERLINK("http://www.worldcat.org/oclc/40675057","WorldCat Record")</f>
        <v>WorldCat Record</v>
      </c>
      <c r="AX3987" s="3" t="s">
        <v>38452</v>
      </c>
      <c r="AY3987" s="3" t="s">
        <v>38453</v>
      </c>
      <c r="AZ3987" s="3" t="s">
        <v>38454</v>
      </c>
      <c r="BA3987" s="3" t="s">
        <v>38454</v>
      </c>
      <c r="BB3987" s="3" t="s">
        <v>38458</v>
      </c>
      <c r="BC3987" s="3" t="s">
        <v>102</v>
      </c>
      <c r="BD3987" s="3" t="s">
        <v>68</v>
      </c>
      <c r="BE3987" s="3" t="s">
        <v>38456</v>
      </c>
      <c r="BF3987" s="3" t="s">
        <v>38458</v>
      </c>
      <c r="BG3987" s="3" t="s">
        <v>38459</v>
      </c>
    </row>
    <row r="3988" spans="1:59" ht="101.5" x14ac:dyDescent="0.35">
      <c r="A3988" s="2" t="s">
        <v>89</v>
      </c>
      <c r="B3988" s="2" t="s">
        <v>36812</v>
      </c>
      <c r="C3988" s="2" t="s">
        <v>38460</v>
      </c>
      <c r="D3988" s="2" t="s">
        <v>38461</v>
      </c>
      <c r="E3988" s="2" t="s">
        <v>38462</v>
      </c>
      <c r="G3988" s="3" t="s">
        <v>62</v>
      </c>
      <c r="I3988" s="3" t="s">
        <v>62</v>
      </c>
      <c r="J3988" s="3" t="s">
        <v>62</v>
      </c>
      <c r="K3988" s="3" t="s">
        <v>63</v>
      </c>
      <c r="L3988" s="2" t="s">
        <v>38463</v>
      </c>
      <c r="M3988" s="2" t="s">
        <v>38464</v>
      </c>
      <c r="N3988" s="3" t="s">
        <v>553</v>
      </c>
      <c r="O3988" s="2" t="s">
        <v>986</v>
      </c>
      <c r="P3988" s="3" t="s">
        <v>64</v>
      </c>
      <c r="R3988" s="3" t="s">
        <v>34126</v>
      </c>
      <c r="S3988" s="4">
        <v>35</v>
      </c>
      <c r="T3988" s="4">
        <v>35</v>
      </c>
      <c r="U3988" s="5" t="s">
        <v>14987</v>
      </c>
      <c r="V3988" s="5" t="s">
        <v>14987</v>
      </c>
      <c r="W3988" s="5" t="s">
        <v>67</v>
      </c>
      <c r="X3988" s="5" t="s">
        <v>67</v>
      </c>
      <c r="Y3988" s="4">
        <v>2381</v>
      </c>
      <c r="Z3988" s="4">
        <v>74</v>
      </c>
      <c r="AA3988" s="4">
        <v>113</v>
      </c>
      <c r="AB3988" s="4">
        <v>6</v>
      </c>
      <c r="AC3988" s="4">
        <v>8</v>
      </c>
      <c r="AD3988" s="4">
        <v>122</v>
      </c>
      <c r="AE3988" s="4">
        <v>148</v>
      </c>
      <c r="AF3988" s="4">
        <v>2</v>
      </c>
      <c r="AG3988" s="4">
        <v>3</v>
      </c>
      <c r="AH3988" s="4">
        <v>98</v>
      </c>
      <c r="AI3988" s="4">
        <v>115</v>
      </c>
      <c r="AJ3988" s="4">
        <v>16</v>
      </c>
      <c r="AK3988" s="4">
        <v>24</v>
      </c>
      <c r="AL3988" s="4">
        <v>52</v>
      </c>
      <c r="AM3988" s="4">
        <v>59</v>
      </c>
      <c r="AN3988" s="4">
        <v>0</v>
      </c>
      <c r="AO3988" s="4">
        <v>0</v>
      </c>
      <c r="AP3988" s="4">
        <v>26</v>
      </c>
      <c r="AQ3988" s="4">
        <v>41</v>
      </c>
      <c r="AR3988" s="3" t="s">
        <v>62</v>
      </c>
      <c r="AS3988" s="3" t="s">
        <v>62</v>
      </c>
      <c r="AT3988" s="3" t="s">
        <v>62</v>
      </c>
      <c r="AV3988" s="6" t="str">
        <f>HYPERLINK("http://mcgill.on.worldcat.org/oclc/41977285","Catalog Record")</f>
        <v>Catalog Record</v>
      </c>
      <c r="AW3988" s="6" t="str">
        <f>HYPERLINK("http://www.worldcat.org/oclc/41977285","WorldCat Record")</f>
        <v>WorldCat Record</v>
      </c>
      <c r="AX3988" s="3" t="s">
        <v>38465</v>
      </c>
      <c r="AY3988" s="3" t="s">
        <v>38466</v>
      </c>
      <c r="AZ3988" s="3" t="s">
        <v>38467</v>
      </c>
      <c r="BA3988" s="3" t="s">
        <v>38467</v>
      </c>
      <c r="BB3988" s="3" t="s">
        <v>38468</v>
      </c>
      <c r="BC3988" s="3" t="s">
        <v>102</v>
      </c>
      <c r="BD3988" s="3" t="s">
        <v>68</v>
      </c>
      <c r="BE3988" s="3" t="s">
        <v>38469</v>
      </c>
      <c r="BF3988" s="3" t="s">
        <v>38468</v>
      </c>
      <c r="BG3988" s="3" t="s">
        <v>38470</v>
      </c>
    </row>
    <row r="3989" spans="1:59" ht="58" x14ac:dyDescent="0.35">
      <c r="A3989" s="2" t="s">
        <v>89</v>
      </c>
      <c r="B3989" s="2" t="s">
        <v>90</v>
      </c>
      <c r="C3989" s="2" t="s">
        <v>38471</v>
      </c>
      <c r="D3989" s="2" t="s">
        <v>38472</v>
      </c>
      <c r="E3989" s="2" t="s">
        <v>38473</v>
      </c>
      <c r="G3989" s="3" t="s">
        <v>62</v>
      </c>
      <c r="I3989" s="3" t="s">
        <v>62</v>
      </c>
      <c r="J3989" s="3" t="s">
        <v>62</v>
      </c>
      <c r="K3989" s="3" t="s">
        <v>63</v>
      </c>
      <c r="L3989" s="2" t="s">
        <v>38474</v>
      </c>
      <c r="M3989" s="2" t="s">
        <v>38475</v>
      </c>
      <c r="N3989" s="3" t="s">
        <v>655</v>
      </c>
      <c r="P3989" s="3" t="s">
        <v>64</v>
      </c>
      <c r="R3989" s="3" t="s">
        <v>34126</v>
      </c>
      <c r="S3989" s="4">
        <v>3</v>
      </c>
      <c r="T3989" s="4">
        <v>3</v>
      </c>
      <c r="U3989" s="5" t="s">
        <v>6556</v>
      </c>
      <c r="V3989" s="5" t="s">
        <v>6556</v>
      </c>
      <c r="W3989" s="5" t="s">
        <v>67</v>
      </c>
      <c r="X3989" s="5" t="s">
        <v>67</v>
      </c>
      <c r="Y3989" s="4">
        <v>57</v>
      </c>
      <c r="Z3989" s="4">
        <v>2</v>
      </c>
      <c r="AA3989" s="4">
        <v>9</v>
      </c>
      <c r="AB3989" s="4">
        <v>1</v>
      </c>
      <c r="AC3989" s="4">
        <v>4</v>
      </c>
      <c r="AD3989" s="4">
        <v>15</v>
      </c>
      <c r="AE3989" s="4">
        <v>29</v>
      </c>
      <c r="AF3989" s="4">
        <v>0</v>
      </c>
      <c r="AG3989" s="4">
        <v>0</v>
      </c>
      <c r="AH3989" s="4">
        <v>13</v>
      </c>
      <c r="AI3989" s="4">
        <v>27</v>
      </c>
      <c r="AJ3989" s="4">
        <v>1</v>
      </c>
      <c r="AK3989" s="4">
        <v>4</v>
      </c>
      <c r="AL3989" s="4">
        <v>9</v>
      </c>
      <c r="AM3989" s="4">
        <v>18</v>
      </c>
      <c r="AN3989" s="4">
        <v>0</v>
      </c>
      <c r="AO3989" s="4">
        <v>5</v>
      </c>
      <c r="AP3989" s="4">
        <v>1</v>
      </c>
      <c r="AQ3989" s="4">
        <v>4</v>
      </c>
      <c r="AR3989" s="3" t="s">
        <v>62</v>
      </c>
      <c r="AS3989" s="3" t="s">
        <v>62</v>
      </c>
      <c r="AT3989" s="3" t="s">
        <v>62</v>
      </c>
      <c r="AV3989" s="6" t="str">
        <f>HYPERLINK("http://mcgill.on.worldcat.org/oclc/69241550","Catalog Record")</f>
        <v>Catalog Record</v>
      </c>
      <c r="AW3989" s="6" t="str">
        <f>HYPERLINK("http://www.worldcat.org/oclc/69241550","WorldCat Record")</f>
        <v>WorldCat Record</v>
      </c>
      <c r="AX3989" s="3" t="s">
        <v>38476</v>
      </c>
      <c r="AY3989" s="3" t="s">
        <v>38477</v>
      </c>
      <c r="AZ3989" s="3" t="s">
        <v>38478</v>
      </c>
      <c r="BA3989" s="3" t="s">
        <v>38478</v>
      </c>
      <c r="BB3989" s="3" t="s">
        <v>38479</v>
      </c>
      <c r="BC3989" s="3" t="s">
        <v>102</v>
      </c>
      <c r="BD3989" s="3" t="s">
        <v>68</v>
      </c>
      <c r="BE3989" s="3" t="s">
        <v>38480</v>
      </c>
      <c r="BF3989" s="3" t="s">
        <v>38479</v>
      </c>
      <c r="BG3989" s="3" t="s">
        <v>38481</v>
      </c>
    </row>
    <row r="3990" spans="1:59" ht="58" x14ac:dyDescent="0.35">
      <c r="A3990" s="2" t="s">
        <v>89</v>
      </c>
      <c r="B3990" s="2" t="s">
        <v>90</v>
      </c>
      <c r="C3990" s="2" t="s">
        <v>38482</v>
      </c>
      <c r="D3990" s="2" t="s">
        <v>38483</v>
      </c>
      <c r="E3990" s="2" t="s">
        <v>38484</v>
      </c>
      <c r="G3990" s="3" t="s">
        <v>62</v>
      </c>
      <c r="I3990" s="3" t="s">
        <v>62</v>
      </c>
      <c r="J3990" s="3" t="s">
        <v>62</v>
      </c>
      <c r="K3990" s="3" t="s">
        <v>63</v>
      </c>
      <c r="L3990" s="2" t="s">
        <v>38485</v>
      </c>
      <c r="M3990" s="2" t="s">
        <v>38486</v>
      </c>
      <c r="N3990" s="3" t="s">
        <v>640</v>
      </c>
      <c r="P3990" s="3" t="s">
        <v>64</v>
      </c>
      <c r="R3990" s="3" t="s">
        <v>34126</v>
      </c>
      <c r="S3990" s="4">
        <v>11</v>
      </c>
      <c r="T3990" s="4">
        <v>11</v>
      </c>
      <c r="U3990" s="5" t="s">
        <v>15229</v>
      </c>
      <c r="V3990" s="5" t="s">
        <v>15229</v>
      </c>
      <c r="W3990" s="5" t="s">
        <v>67</v>
      </c>
      <c r="X3990" s="5" t="s">
        <v>67</v>
      </c>
      <c r="Y3990" s="4">
        <v>910</v>
      </c>
      <c r="Z3990" s="4">
        <v>47</v>
      </c>
      <c r="AA3990" s="4">
        <v>51</v>
      </c>
      <c r="AB3990" s="4">
        <v>3</v>
      </c>
      <c r="AC3990" s="4">
        <v>5</v>
      </c>
      <c r="AD3990" s="4">
        <v>106</v>
      </c>
      <c r="AE3990" s="4">
        <v>107</v>
      </c>
      <c r="AF3990" s="4">
        <v>0</v>
      </c>
      <c r="AG3990" s="4">
        <v>0</v>
      </c>
      <c r="AH3990" s="4">
        <v>95</v>
      </c>
      <c r="AI3990" s="4">
        <v>95</v>
      </c>
      <c r="AJ3990" s="4">
        <v>12</v>
      </c>
      <c r="AK3990" s="4">
        <v>12</v>
      </c>
      <c r="AL3990" s="4">
        <v>49</v>
      </c>
      <c r="AM3990" s="4">
        <v>49</v>
      </c>
      <c r="AN3990" s="4">
        <v>0</v>
      </c>
      <c r="AO3990" s="4">
        <v>0</v>
      </c>
      <c r="AP3990" s="4">
        <v>17</v>
      </c>
      <c r="AQ3990" s="4">
        <v>18</v>
      </c>
      <c r="AR3990" s="3" t="s">
        <v>62</v>
      </c>
      <c r="AS3990" s="3" t="s">
        <v>62</v>
      </c>
      <c r="AT3990" s="3" t="s">
        <v>62</v>
      </c>
      <c r="AV3990" s="6" t="str">
        <f>HYPERLINK("http://mcgill.on.worldcat.org/oclc/52251457","Catalog Record")</f>
        <v>Catalog Record</v>
      </c>
      <c r="AW3990" s="6" t="str">
        <f>HYPERLINK("http://www.worldcat.org/oclc/52251457","WorldCat Record")</f>
        <v>WorldCat Record</v>
      </c>
      <c r="AX3990" s="3" t="s">
        <v>38487</v>
      </c>
      <c r="AY3990" s="3" t="s">
        <v>38488</v>
      </c>
      <c r="AZ3990" s="3" t="s">
        <v>38489</v>
      </c>
      <c r="BA3990" s="3" t="s">
        <v>38489</v>
      </c>
      <c r="BB3990" s="3" t="s">
        <v>38490</v>
      </c>
      <c r="BC3990" s="3" t="s">
        <v>102</v>
      </c>
      <c r="BD3990" s="3" t="s">
        <v>68</v>
      </c>
      <c r="BE3990" s="3" t="s">
        <v>38491</v>
      </c>
      <c r="BF3990" s="3" t="s">
        <v>38490</v>
      </c>
      <c r="BG3990" s="3" t="s">
        <v>38492</v>
      </c>
    </row>
    <row r="3991" spans="1:59" ht="58" x14ac:dyDescent="0.35">
      <c r="A3991" s="2" t="s">
        <v>59</v>
      </c>
      <c r="B3991" s="2" t="s">
        <v>60</v>
      </c>
      <c r="C3991" s="2" t="s">
        <v>38493</v>
      </c>
      <c r="D3991" s="2" t="s">
        <v>38494</v>
      </c>
      <c r="E3991" s="2" t="s">
        <v>38495</v>
      </c>
      <c r="G3991" s="3" t="s">
        <v>62</v>
      </c>
      <c r="I3991" s="3" t="s">
        <v>62</v>
      </c>
      <c r="J3991" s="3" t="s">
        <v>62</v>
      </c>
      <c r="K3991" s="3" t="s">
        <v>63</v>
      </c>
      <c r="L3991" s="2" t="s">
        <v>38496</v>
      </c>
      <c r="M3991" s="2" t="s">
        <v>38497</v>
      </c>
      <c r="N3991" s="3" t="s">
        <v>954</v>
      </c>
      <c r="P3991" s="3" t="s">
        <v>64</v>
      </c>
      <c r="Q3991" s="2" t="s">
        <v>38498</v>
      </c>
      <c r="R3991" s="3" t="s">
        <v>34126</v>
      </c>
      <c r="S3991" s="4">
        <v>1</v>
      </c>
      <c r="T3991" s="4">
        <v>1</v>
      </c>
      <c r="U3991" s="5" t="s">
        <v>8293</v>
      </c>
      <c r="V3991" s="5" t="s">
        <v>8293</v>
      </c>
      <c r="W3991" s="5" t="s">
        <v>67</v>
      </c>
      <c r="X3991" s="5" t="s">
        <v>67</v>
      </c>
      <c r="Y3991" s="4">
        <v>54</v>
      </c>
      <c r="Z3991" s="4">
        <v>6</v>
      </c>
      <c r="AA3991" s="4">
        <v>6</v>
      </c>
      <c r="AB3991" s="4">
        <v>2</v>
      </c>
      <c r="AC3991" s="4">
        <v>2</v>
      </c>
      <c r="AD3991" s="4">
        <v>12</v>
      </c>
      <c r="AE3991" s="4">
        <v>12</v>
      </c>
      <c r="AF3991" s="4">
        <v>0</v>
      </c>
      <c r="AG3991" s="4">
        <v>0</v>
      </c>
      <c r="AH3991" s="4">
        <v>8</v>
      </c>
      <c r="AI3991" s="4">
        <v>8</v>
      </c>
      <c r="AJ3991" s="4">
        <v>2</v>
      </c>
      <c r="AK3991" s="4">
        <v>2</v>
      </c>
      <c r="AL3991" s="4">
        <v>6</v>
      </c>
      <c r="AM3991" s="4">
        <v>6</v>
      </c>
      <c r="AN3991" s="4">
        <v>0</v>
      </c>
      <c r="AO3991" s="4">
        <v>0</v>
      </c>
      <c r="AP3991" s="4">
        <v>4</v>
      </c>
      <c r="AQ3991" s="4">
        <v>4</v>
      </c>
      <c r="AR3991" s="3" t="s">
        <v>62</v>
      </c>
      <c r="AS3991" s="3" t="s">
        <v>62</v>
      </c>
      <c r="AT3991" s="3" t="s">
        <v>62</v>
      </c>
      <c r="AV3991" s="6" t="str">
        <f>HYPERLINK("http://mcgill.on.worldcat.org/oclc/551393","Catalog Record")</f>
        <v>Catalog Record</v>
      </c>
      <c r="AW3991" s="6" t="str">
        <f>HYPERLINK("http://www.worldcat.org/oclc/551393","WorldCat Record")</f>
        <v>WorldCat Record</v>
      </c>
      <c r="AX3991" s="3" t="s">
        <v>38499</v>
      </c>
      <c r="AY3991" s="3" t="s">
        <v>38500</v>
      </c>
      <c r="AZ3991" s="3" t="s">
        <v>38501</v>
      </c>
      <c r="BA3991" s="3" t="s">
        <v>38501</v>
      </c>
      <c r="BB3991" s="3" t="s">
        <v>38502</v>
      </c>
      <c r="BC3991" s="3" t="s">
        <v>102</v>
      </c>
      <c r="BD3991" s="3" t="s">
        <v>68</v>
      </c>
      <c r="BF3991" s="3" t="s">
        <v>38502</v>
      </c>
      <c r="BG3991" s="3" t="s">
        <v>38503</v>
      </c>
    </row>
    <row r="3992" spans="1:59" ht="58" x14ac:dyDescent="0.35">
      <c r="A3992" s="2" t="s">
        <v>59</v>
      </c>
      <c r="B3992" s="2" t="s">
        <v>60</v>
      </c>
      <c r="C3992" s="2" t="s">
        <v>38504</v>
      </c>
      <c r="D3992" s="2" t="s">
        <v>38505</v>
      </c>
      <c r="E3992" s="2" t="s">
        <v>38506</v>
      </c>
      <c r="G3992" s="3" t="s">
        <v>62</v>
      </c>
      <c r="I3992" s="3" t="s">
        <v>62</v>
      </c>
      <c r="J3992" s="3" t="s">
        <v>62</v>
      </c>
      <c r="K3992" s="3" t="s">
        <v>63</v>
      </c>
      <c r="L3992" s="2" t="s">
        <v>38507</v>
      </c>
      <c r="M3992" s="2" t="s">
        <v>28154</v>
      </c>
      <c r="N3992" s="3" t="s">
        <v>2924</v>
      </c>
      <c r="P3992" s="3" t="s">
        <v>64</v>
      </c>
      <c r="R3992" s="3" t="s">
        <v>34126</v>
      </c>
      <c r="S3992" s="4">
        <v>1</v>
      </c>
      <c r="T3992" s="4">
        <v>1</v>
      </c>
      <c r="U3992" s="5" t="s">
        <v>38387</v>
      </c>
      <c r="V3992" s="5" t="s">
        <v>38387</v>
      </c>
      <c r="W3992" s="5" t="s">
        <v>67</v>
      </c>
      <c r="X3992" s="5" t="s">
        <v>67</v>
      </c>
      <c r="Y3992" s="4">
        <v>635</v>
      </c>
      <c r="Z3992" s="4">
        <v>32</v>
      </c>
      <c r="AA3992" s="4">
        <v>34</v>
      </c>
      <c r="AB3992" s="4">
        <v>3</v>
      </c>
      <c r="AC3992" s="4">
        <v>4</v>
      </c>
      <c r="AD3992" s="4">
        <v>111</v>
      </c>
      <c r="AE3992" s="4">
        <v>112</v>
      </c>
      <c r="AF3992" s="4">
        <v>1</v>
      </c>
      <c r="AG3992" s="4">
        <v>2</v>
      </c>
      <c r="AH3992" s="4">
        <v>91</v>
      </c>
      <c r="AI3992" s="4">
        <v>92</v>
      </c>
      <c r="AJ3992" s="4">
        <v>14</v>
      </c>
      <c r="AK3992" s="4">
        <v>15</v>
      </c>
      <c r="AL3992" s="4">
        <v>55</v>
      </c>
      <c r="AM3992" s="4">
        <v>55</v>
      </c>
      <c r="AN3992" s="4">
        <v>0</v>
      </c>
      <c r="AO3992" s="4">
        <v>0</v>
      </c>
      <c r="AP3992" s="4">
        <v>23</v>
      </c>
      <c r="AQ3992" s="4">
        <v>24</v>
      </c>
      <c r="AR3992" s="3" t="s">
        <v>62</v>
      </c>
      <c r="AS3992" s="3" t="s">
        <v>62</v>
      </c>
      <c r="AT3992" s="3" t="s">
        <v>61</v>
      </c>
      <c r="AU3992" s="6" t="str">
        <f>HYPERLINK("http://catalog.hathitrust.org/Record/001492359","HathiTrust Record")</f>
        <v>HathiTrust Record</v>
      </c>
      <c r="AV3992" s="6" t="str">
        <f>HYPERLINK("http://mcgill.on.worldcat.org/oclc/551711","Catalog Record")</f>
        <v>Catalog Record</v>
      </c>
      <c r="AW3992" s="6" t="str">
        <f>HYPERLINK("http://www.worldcat.org/oclc/551711","WorldCat Record")</f>
        <v>WorldCat Record</v>
      </c>
      <c r="AX3992" s="3" t="s">
        <v>38508</v>
      </c>
      <c r="AY3992" s="3" t="s">
        <v>38509</v>
      </c>
      <c r="AZ3992" s="3" t="s">
        <v>38510</v>
      </c>
      <c r="BA3992" s="3" t="s">
        <v>38510</v>
      </c>
      <c r="BB3992" s="3" t="s">
        <v>38511</v>
      </c>
      <c r="BC3992" s="3" t="s">
        <v>102</v>
      </c>
      <c r="BD3992" s="3" t="s">
        <v>68</v>
      </c>
      <c r="BF3992" s="3" t="s">
        <v>38511</v>
      </c>
      <c r="BG3992" s="3" t="s">
        <v>38512</v>
      </c>
    </row>
    <row r="3993" spans="1:59" ht="58" x14ac:dyDescent="0.35">
      <c r="A3993" s="2" t="s">
        <v>59</v>
      </c>
      <c r="B3993" s="2" t="s">
        <v>60</v>
      </c>
      <c r="C3993" s="2" t="s">
        <v>38513</v>
      </c>
      <c r="D3993" s="2" t="s">
        <v>38514</v>
      </c>
      <c r="E3993" s="2" t="s">
        <v>38515</v>
      </c>
      <c r="G3993" s="3" t="s">
        <v>62</v>
      </c>
      <c r="I3993" s="3" t="s">
        <v>62</v>
      </c>
      <c r="J3993" s="3" t="s">
        <v>62</v>
      </c>
      <c r="K3993" s="3" t="s">
        <v>63</v>
      </c>
      <c r="L3993" s="2" t="s">
        <v>38516</v>
      </c>
      <c r="M3993" s="2" t="s">
        <v>38517</v>
      </c>
      <c r="N3993" s="3" t="s">
        <v>2445</v>
      </c>
      <c r="P3993" s="3" t="s">
        <v>64</v>
      </c>
      <c r="Q3993" s="2" t="s">
        <v>38518</v>
      </c>
      <c r="R3993" s="3" t="s">
        <v>34126</v>
      </c>
      <c r="S3993" s="4">
        <v>2</v>
      </c>
      <c r="T3993" s="4">
        <v>2</v>
      </c>
      <c r="U3993" s="5" t="s">
        <v>314</v>
      </c>
      <c r="V3993" s="5" t="s">
        <v>314</v>
      </c>
      <c r="W3993" s="5" t="s">
        <v>67</v>
      </c>
      <c r="X3993" s="5" t="s">
        <v>67</v>
      </c>
      <c r="Y3993" s="4">
        <v>259</v>
      </c>
      <c r="Z3993" s="4">
        <v>14</v>
      </c>
      <c r="AA3993" s="4">
        <v>21</v>
      </c>
      <c r="AB3993" s="4">
        <v>3</v>
      </c>
      <c r="AC3993" s="4">
        <v>4</v>
      </c>
      <c r="AD3993" s="4">
        <v>70</v>
      </c>
      <c r="AE3993" s="4">
        <v>76</v>
      </c>
      <c r="AF3993" s="4">
        <v>1</v>
      </c>
      <c r="AG3993" s="4">
        <v>2</v>
      </c>
      <c r="AH3993" s="4">
        <v>63</v>
      </c>
      <c r="AI3993" s="4">
        <v>66</v>
      </c>
      <c r="AJ3993" s="4">
        <v>10</v>
      </c>
      <c r="AK3993" s="4">
        <v>14</v>
      </c>
      <c r="AL3993" s="4">
        <v>39</v>
      </c>
      <c r="AM3993" s="4">
        <v>39</v>
      </c>
      <c r="AN3993" s="4">
        <v>0</v>
      </c>
      <c r="AO3993" s="4">
        <v>0</v>
      </c>
      <c r="AP3993" s="4">
        <v>11</v>
      </c>
      <c r="AQ3993" s="4">
        <v>16</v>
      </c>
      <c r="AR3993" s="3" t="s">
        <v>62</v>
      </c>
      <c r="AS3993" s="3" t="s">
        <v>62</v>
      </c>
      <c r="AT3993" s="3" t="s">
        <v>62</v>
      </c>
      <c r="AU3993" s="6" t="str">
        <f>HYPERLINK("http://catalog.hathitrust.org/Record/001492360","HathiTrust Record")</f>
        <v>HathiTrust Record</v>
      </c>
      <c r="AV3993" s="6" t="str">
        <f>HYPERLINK("http://mcgill.on.worldcat.org/oclc/742480","Catalog Record")</f>
        <v>Catalog Record</v>
      </c>
      <c r="AW3993" s="6" t="str">
        <f>HYPERLINK("http://www.worldcat.org/oclc/742480","WorldCat Record")</f>
        <v>WorldCat Record</v>
      </c>
      <c r="AX3993" s="3" t="s">
        <v>38519</v>
      </c>
      <c r="AY3993" s="3" t="s">
        <v>38520</v>
      </c>
      <c r="AZ3993" s="3" t="s">
        <v>38521</v>
      </c>
      <c r="BA3993" s="3" t="s">
        <v>38521</v>
      </c>
      <c r="BB3993" s="3" t="s">
        <v>38522</v>
      </c>
      <c r="BC3993" s="3" t="s">
        <v>102</v>
      </c>
      <c r="BD3993" s="3" t="s">
        <v>68</v>
      </c>
      <c r="BF3993" s="3" t="s">
        <v>38522</v>
      </c>
      <c r="BG3993" s="3" t="s">
        <v>38523</v>
      </c>
    </row>
    <row r="3994" spans="1:59" ht="58" x14ac:dyDescent="0.35">
      <c r="A3994" s="2" t="s">
        <v>59</v>
      </c>
      <c r="B3994" s="2" t="s">
        <v>60</v>
      </c>
      <c r="C3994" s="2" t="s">
        <v>38524</v>
      </c>
      <c r="D3994" s="2" t="s">
        <v>38525</v>
      </c>
      <c r="E3994" s="2" t="s">
        <v>38526</v>
      </c>
      <c r="G3994" s="3" t="s">
        <v>62</v>
      </c>
      <c r="I3994" s="3" t="s">
        <v>61</v>
      </c>
      <c r="J3994" s="3" t="s">
        <v>62</v>
      </c>
      <c r="K3994" s="3" t="s">
        <v>63</v>
      </c>
      <c r="L3994" s="2" t="s">
        <v>38527</v>
      </c>
      <c r="M3994" s="2" t="s">
        <v>38528</v>
      </c>
      <c r="N3994" s="3" t="s">
        <v>2445</v>
      </c>
      <c r="P3994" s="3" t="s">
        <v>64</v>
      </c>
      <c r="R3994" s="3" t="s">
        <v>34126</v>
      </c>
      <c r="S3994" s="4">
        <v>6</v>
      </c>
      <c r="T3994" s="4">
        <v>18</v>
      </c>
      <c r="U3994" s="5" t="s">
        <v>38529</v>
      </c>
      <c r="V3994" s="5" t="s">
        <v>18138</v>
      </c>
      <c r="W3994" s="5" t="s">
        <v>67</v>
      </c>
      <c r="X3994" s="5" t="s">
        <v>67</v>
      </c>
      <c r="Y3994" s="4">
        <v>392</v>
      </c>
      <c r="Z3994" s="4">
        <v>27</v>
      </c>
      <c r="AA3994" s="4">
        <v>32</v>
      </c>
      <c r="AB3994" s="4">
        <v>1</v>
      </c>
      <c r="AC3994" s="4">
        <v>3</v>
      </c>
      <c r="AD3994" s="4">
        <v>69</v>
      </c>
      <c r="AE3994" s="4">
        <v>72</v>
      </c>
      <c r="AF3994" s="4">
        <v>0</v>
      </c>
      <c r="AG3994" s="4">
        <v>1</v>
      </c>
      <c r="AH3994" s="4">
        <v>52</v>
      </c>
      <c r="AI3994" s="4">
        <v>54</v>
      </c>
      <c r="AJ3994" s="4">
        <v>12</v>
      </c>
      <c r="AK3994" s="4">
        <v>14</v>
      </c>
      <c r="AL3994" s="4">
        <v>33</v>
      </c>
      <c r="AM3994" s="4">
        <v>33</v>
      </c>
      <c r="AN3994" s="4">
        <v>0</v>
      </c>
      <c r="AO3994" s="4">
        <v>0</v>
      </c>
      <c r="AP3994" s="4">
        <v>20</v>
      </c>
      <c r="AQ3994" s="4">
        <v>22</v>
      </c>
      <c r="AR3994" s="3" t="s">
        <v>62</v>
      </c>
      <c r="AS3994" s="3" t="s">
        <v>62</v>
      </c>
      <c r="AT3994" s="3" t="s">
        <v>62</v>
      </c>
      <c r="AU3994" s="6" t="str">
        <f>HYPERLINK("http://catalog.hathitrust.org/Record/001492375","HathiTrust Record")</f>
        <v>HathiTrust Record</v>
      </c>
      <c r="AV3994" s="6" t="str">
        <f>HYPERLINK("http://mcgill.on.worldcat.org/oclc/551713","Catalog Record")</f>
        <v>Catalog Record</v>
      </c>
      <c r="AW3994" s="6" t="str">
        <f>HYPERLINK("http://www.worldcat.org/oclc/551713","WorldCat Record")</f>
        <v>WorldCat Record</v>
      </c>
      <c r="AX3994" s="3" t="s">
        <v>38530</v>
      </c>
      <c r="AY3994" s="3" t="s">
        <v>38531</v>
      </c>
      <c r="AZ3994" s="3" t="s">
        <v>38532</v>
      </c>
      <c r="BA3994" s="3" t="s">
        <v>38532</v>
      </c>
      <c r="BB3994" s="3" t="s">
        <v>38533</v>
      </c>
      <c r="BC3994" s="3" t="s">
        <v>102</v>
      </c>
      <c r="BD3994" s="3" t="s">
        <v>68</v>
      </c>
      <c r="BE3994" s="3" t="s">
        <v>38534</v>
      </c>
      <c r="BF3994" s="3" t="s">
        <v>38533</v>
      </c>
      <c r="BG3994" s="3" t="s">
        <v>38535</v>
      </c>
    </row>
    <row r="3995" spans="1:59" ht="58" x14ac:dyDescent="0.35">
      <c r="A3995" s="2" t="s">
        <v>59</v>
      </c>
      <c r="B3995" s="2" t="s">
        <v>60</v>
      </c>
      <c r="C3995" s="2" t="s">
        <v>38536</v>
      </c>
      <c r="D3995" s="2" t="s">
        <v>38537</v>
      </c>
      <c r="E3995" s="2" t="s">
        <v>38538</v>
      </c>
      <c r="G3995" s="3" t="s">
        <v>62</v>
      </c>
      <c r="I3995" s="3" t="s">
        <v>61</v>
      </c>
      <c r="J3995" s="3" t="s">
        <v>61</v>
      </c>
      <c r="K3995" s="3" t="s">
        <v>63</v>
      </c>
      <c r="L3995" s="2" t="s">
        <v>38539</v>
      </c>
      <c r="M3995" s="2" t="s">
        <v>38540</v>
      </c>
      <c r="N3995" s="3" t="s">
        <v>1576</v>
      </c>
      <c r="P3995" s="3" t="s">
        <v>64</v>
      </c>
      <c r="R3995" s="3" t="s">
        <v>34126</v>
      </c>
      <c r="S3995" s="4">
        <v>0</v>
      </c>
      <c r="T3995" s="4">
        <v>11</v>
      </c>
      <c r="V3995" s="5" t="s">
        <v>38541</v>
      </c>
      <c r="W3995" s="5" t="s">
        <v>67</v>
      </c>
      <c r="X3995" s="5" t="s">
        <v>67</v>
      </c>
      <c r="Y3995" s="4">
        <v>256</v>
      </c>
      <c r="Z3995" s="4">
        <v>20</v>
      </c>
      <c r="AA3995" s="4">
        <v>39</v>
      </c>
      <c r="AB3995" s="4">
        <v>3</v>
      </c>
      <c r="AC3995" s="4">
        <v>4</v>
      </c>
      <c r="AD3995" s="4">
        <v>76</v>
      </c>
      <c r="AE3995" s="4">
        <v>113</v>
      </c>
      <c r="AF3995" s="4">
        <v>0</v>
      </c>
      <c r="AG3995" s="4">
        <v>1</v>
      </c>
      <c r="AH3995" s="4">
        <v>65</v>
      </c>
      <c r="AI3995" s="4">
        <v>94</v>
      </c>
      <c r="AJ3995" s="4">
        <v>14</v>
      </c>
      <c r="AK3995" s="4">
        <v>18</v>
      </c>
      <c r="AL3995" s="4">
        <v>36</v>
      </c>
      <c r="AM3995" s="4">
        <v>50</v>
      </c>
      <c r="AN3995" s="4">
        <v>0</v>
      </c>
      <c r="AO3995" s="4">
        <v>0</v>
      </c>
      <c r="AP3995" s="4">
        <v>15</v>
      </c>
      <c r="AQ3995" s="4">
        <v>25</v>
      </c>
      <c r="AR3995" s="3" t="s">
        <v>62</v>
      </c>
      <c r="AS3995" s="3" t="s">
        <v>62</v>
      </c>
      <c r="AT3995" s="3" t="s">
        <v>61</v>
      </c>
      <c r="AU3995" s="6" t="str">
        <f>HYPERLINK("http://catalog.hathitrust.org/Record/001561298","HathiTrust Record")</f>
        <v>HathiTrust Record</v>
      </c>
      <c r="AV3995" s="6" t="str">
        <f>HYPERLINK("http://mcgill.on.worldcat.org/oclc/173323","Catalog Record")</f>
        <v>Catalog Record</v>
      </c>
      <c r="AW3995" s="6" t="str">
        <f>HYPERLINK("http://www.worldcat.org/oclc/173323","WorldCat Record")</f>
        <v>WorldCat Record</v>
      </c>
      <c r="AX3995" s="3" t="s">
        <v>38542</v>
      </c>
      <c r="AY3995" s="3" t="s">
        <v>38543</v>
      </c>
      <c r="AZ3995" s="3" t="s">
        <v>38544</v>
      </c>
      <c r="BA3995" s="3" t="s">
        <v>38544</v>
      </c>
      <c r="BB3995" s="3" t="s">
        <v>38545</v>
      </c>
      <c r="BC3995" s="3" t="s">
        <v>102</v>
      </c>
      <c r="BD3995" s="3" t="s">
        <v>68</v>
      </c>
      <c r="BF3995" s="3" t="s">
        <v>38545</v>
      </c>
      <c r="BG3995" s="3" t="s">
        <v>38546</v>
      </c>
    </row>
    <row r="3996" spans="1:59" ht="58" x14ac:dyDescent="0.35">
      <c r="A3996" s="2" t="s">
        <v>59</v>
      </c>
      <c r="B3996" s="2" t="s">
        <v>60</v>
      </c>
      <c r="C3996" s="2" t="s">
        <v>38547</v>
      </c>
      <c r="D3996" s="2" t="s">
        <v>38548</v>
      </c>
      <c r="E3996" s="2" t="s">
        <v>38549</v>
      </c>
      <c r="G3996" s="3" t="s">
        <v>62</v>
      </c>
      <c r="I3996" s="3" t="s">
        <v>61</v>
      </c>
      <c r="J3996" s="3" t="s">
        <v>62</v>
      </c>
      <c r="K3996" s="3" t="s">
        <v>63</v>
      </c>
      <c r="L3996" s="2" t="s">
        <v>38550</v>
      </c>
      <c r="M3996" s="2" t="s">
        <v>38551</v>
      </c>
      <c r="N3996" s="3" t="s">
        <v>81</v>
      </c>
      <c r="P3996" s="3" t="s">
        <v>64</v>
      </c>
      <c r="R3996" s="3" t="s">
        <v>34126</v>
      </c>
      <c r="S3996" s="4">
        <v>0</v>
      </c>
      <c r="T3996" s="4">
        <v>1</v>
      </c>
      <c r="V3996" s="5" t="s">
        <v>10239</v>
      </c>
      <c r="W3996" s="5" t="s">
        <v>67</v>
      </c>
      <c r="X3996" s="5" t="s">
        <v>67</v>
      </c>
      <c r="Y3996" s="4">
        <v>537</v>
      </c>
      <c r="Z3996" s="4">
        <v>21</v>
      </c>
      <c r="AA3996" s="4">
        <v>21</v>
      </c>
      <c r="AB3996" s="4">
        <v>3</v>
      </c>
      <c r="AC3996" s="4">
        <v>3</v>
      </c>
      <c r="AD3996" s="4">
        <v>97</v>
      </c>
      <c r="AE3996" s="4">
        <v>97</v>
      </c>
      <c r="AF3996" s="4">
        <v>1</v>
      </c>
      <c r="AG3996" s="4">
        <v>1</v>
      </c>
      <c r="AH3996" s="4">
        <v>83</v>
      </c>
      <c r="AI3996" s="4">
        <v>83</v>
      </c>
      <c r="AJ3996" s="4">
        <v>11</v>
      </c>
      <c r="AK3996" s="4">
        <v>11</v>
      </c>
      <c r="AL3996" s="4">
        <v>50</v>
      </c>
      <c r="AM3996" s="4">
        <v>50</v>
      </c>
      <c r="AN3996" s="4">
        <v>0</v>
      </c>
      <c r="AO3996" s="4">
        <v>0</v>
      </c>
      <c r="AP3996" s="4">
        <v>15</v>
      </c>
      <c r="AQ3996" s="4">
        <v>15</v>
      </c>
      <c r="AR3996" s="3" t="s">
        <v>62</v>
      </c>
      <c r="AS3996" s="3" t="s">
        <v>62</v>
      </c>
      <c r="AT3996" s="3" t="s">
        <v>61</v>
      </c>
      <c r="AU3996" s="6" t="str">
        <f>HYPERLINK("http://catalog.hathitrust.org/Record/001492396","HathiTrust Record")</f>
        <v>HathiTrust Record</v>
      </c>
      <c r="AV3996" s="6" t="str">
        <f>HYPERLINK("http://mcgill.on.worldcat.org/oclc/252576","Catalog Record")</f>
        <v>Catalog Record</v>
      </c>
      <c r="AW3996" s="6" t="str">
        <f>HYPERLINK("http://www.worldcat.org/oclc/252576","WorldCat Record")</f>
        <v>WorldCat Record</v>
      </c>
      <c r="AX3996" s="3" t="s">
        <v>38552</v>
      </c>
      <c r="AY3996" s="3" t="s">
        <v>38553</v>
      </c>
      <c r="AZ3996" s="3" t="s">
        <v>38554</v>
      </c>
      <c r="BA3996" s="3" t="s">
        <v>38554</v>
      </c>
      <c r="BB3996" s="3" t="s">
        <v>38555</v>
      </c>
      <c r="BC3996" s="3" t="s">
        <v>102</v>
      </c>
      <c r="BD3996" s="3" t="s">
        <v>68</v>
      </c>
      <c r="BF3996" s="3" t="s">
        <v>38555</v>
      </c>
      <c r="BG3996" s="3" t="s">
        <v>38556</v>
      </c>
    </row>
    <row r="3997" spans="1:59" ht="58" x14ac:dyDescent="0.35">
      <c r="A3997" s="2" t="s">
        <v>59</v>
      </c>
      <c r="B3997" s="2" t="s">
        <v>60</v>
      </c>
      <c r="C3997" s="2" t="s">
        <v>38557</v>
      </c>
      <c r="D3997" s="2" t="s">
        <v>38558</v>
      </c>
      <c r="E3997" s="2" t="s">
        <v>38559</v>
      </c>
      <c r="G3997" s="3" t="s">
        <v>62</v>
      </c>
      <c r="I3997" s="3" t="s">
        <v>62</v>
      </c>
      <c r="J3997" s="3" t="s">
        <v>62</v>
      </c>
      <c r="K3997" s="3" t="s">
        <v>63</v>
      </c>
      <c r="L3997" s="2" t="s">
        <v>38560</v>
      </c>
      <c r="M3997" s="2" t="s">
        <v>38561</v>
      </c>
      <c r="N3997" s="3" t="s">
        <v>1639</v>
      </c>
      <c r="P3997" s="3" t="s">
        <v>64</v>
      </c>
      <c r="Q3997" s="2" t="s">
        <v>38562</v>
      </c>
      <c r="R3997" s="3" t="s">
        <v>34126</v>
      </c>
      <c r="S3997" s="4">
        <v>4</v>
      </c>
      <c r="T3997" s="4">
        <v>4</v>
      </c>
      <c r="U3997" s="5" t="s">
        <v>1375</v>
      </c>
      <c r="V3997" s="5" t="s">
        <v>1375</v>
      </c>
      <c r="W3997" s="5" t="s">
        <v>67</v>
      </c>
      <c r="X3997" s="5" t="s">
        <v>67</v>
      </c>
      <c r="Y3997" s="4">
        <v>617</v>
      </c>
      <c r="Z3997" s="4">
        <v>29</v>
      </c>
      <c r="AA3997" s="4">
        <v>29</v>
      </c>
      <c r="AB3997" s="4">
        <v>4</v>
      </c>
      <c r="AC3997" s="4">
        <v>4</v>
      </c>
      <c r="AD3997" s="4">
        <v>112</v>
      </c>
      <c r="AE3997" s="4">
        <v>112</v>
      </c>
      <c r="AF3997" s="4">
        <v>2</v>
      </c>
      <c r="AG3997" s="4">
        <v>2</v>
      </c>
      <c r="AH3997" s="4">
        <v>93</v>
      </c>
      <c r="AI3997" s="4">
        <v>93</v>
      </c>
      <c r="AJ3997" s="4">
        <v>17</v>
      </c>
      <c r="AK3997" s="4">
        <v>17</v>
      </c>
      <c r="AL3997" s="4">
        <v>51</v>
      </c>
      <c r="AM3997" s="4">
        <v>51</v>
      </c>
      <c r="AN3997" s="4">
        <v>0</v>
      </c>
      <c r="AO3997" s="4">
        <v>0</v>
      </c>
      <c r="AP3997" s="4">
        <v>25</v>
      </c>
      <c r="AQ3997" s="4">
        <v>25</v>
      </c>
      <c r="AR3997" s="3" t="s">
        <v>62</v>
      </c>
      <c r="AS3997" s="3" t="s">
        <v>62</v>
      </c>
      <c r="AT3997" s="3" t="s">
        <v>61</v>
      </c>
      <c r="AU3997" s="6" t="str">
        <f>HYPERLINK("http://catalog.hathitrust.org/Record/001492405","HathiTrust Record")</f>
        <v>HathiTrust Record</v>
      </c>
      <c r="AV3997" s="6" t="str">
        <f>HYPERLINK("http://mcgill.on.worldcat.org/oclc/50642","Catalog Record")</f>
        <v>Catalog Record</v>
      </c>
      <c r="AW3997" s="6" t="str">
        <f>HYPERLINK("http://www.worldcat.org/oclc/50642","WorldCat Record")</f>
        <v>WorldCat Record</v>
      </c>
      <c r="AX3997" s="3" t="s">
        <v>38563</v>
      </c>
      <c r="AY3997" s="3" t="s">
        <v>38564</v>
      </c>
      <c r="AZ3997" s="3" t="s">
        <v>38565</v>
      </c>
      <c r="BA3997" s="3" t="s">
        <v>38565</v>
      </c>
      <c r="BB3997" s="3" t="s">
        <v>38566</v>
      </c>
      <c r="BC3997" s="3" t="s">
        <v>102</v>
      </c>
      <c r="BD3997" s="3" t="s">
        <v>68</v>
      </c>
      <c r="BE3997" s="3" t="s">
        <v>38567</v>
      </c>
      <c r="BF3997" s="3" t="s">
        <v>38566</v>
      </c>
      <c r="BG3997" s="3" t="s">
        <v>38568</v>
      </c>
    </row>
    <row r="3998" spans="1:59" ht="58" x14ac:dyDescent="0.35">
      <c r="A3998" s="2" t="s">
        <v>59</v>
      </c>
      <c r="B3998" s="2" t="s">
        <v>60</v>
      </c>
      <c r="C3998" s="2" t="s">
        <v>38569</v>
      </c>
      <c r="D3998" s="2" t="s">
        <v>38570</v>
      </c>
      <c r="E3998" s="2" t="s">
        <v>38571</v>
      </c>
      <c r="G3998" s="3" t="s">
        <v>62</v>
      </c>
      <c r="I3998" s="3" t="s">
        <v>61</v>
      </c>
      <c r="J3998" s="3" t="s">
        <v>62</v>
      </c>
      <c r="K3998" s="3" t="s">
        <v>63</v>
      </c>
      <c r="L3998" s="2" t="s">
        <v>38572</v>
      </c>
      <c r="M3998" s="2" t="s">
        <v>38573</v>
      </c>
      <c r="N3998" s="3" t="s">
        <v>2924</v>
      </c>
      <c r="P3998" s="3" t="s">
        <v>64</v>
      </c>
      <c r="Q3998" s="2" t="s">
        <v>38574</v>
      </c>
      <c r="R3998" s="3" t="s">
        <v>34126</v>
      </c>
      <c r="S3998" s="4">
        <v>0</v>
      </c>
      <c r="T3998" s="4">
        <v>1</v>
      </c>
      <c r="V3998" s="5" t="s">
        <v>1013</v>
      </c>
      <c r="W3998" s="5" t="s">
        <v>67</v>
      </c>
      <c r="X3998" s="5" t="s">
        <v>67</v>
      </c>
      <c r="Y3998" s="4">
        <v>529</v>
      </c>
      <c r="Z3998" s="4">
        <v>24</v>
      </c>
      <c r="AA3998" s="4">
        <v>25</v>
      </c>
      <c r="AB3998" s="4">
        <v>3</v>
      </c>
      <c r="AC3998" s="4">
        <v>4</v>
      </c>
      <c r="AD3998" s="4">
        <v>88</v>
      </c>
      <c r="AE3998" s="4">
        <v>89</v>
      </c>
      <c r="AF3998" s="4">
        <v>1</v>
      </c>
      <c r="AG3998" s="4">
        <v>2</v>
      </c>
      <c r="AH3998" s="4">
        <v>76</v>
      </c>
      <c r="AI3998" s="4">
        <v>77</v>
      </c>
      <c r="AJ3998" s="4">
        <v>14</v>
      </c>
      <c r="AK3998" s="4">
        <v>15</v>
      </c>
      <c r="AL3998" s="4">
        <v>44</v>
      </c>
      <c r="AM3998" s="4">
        <v>44</v>
      </c>
      <c r="AN3998" s="4">
        <v>0</v>
      </c>
      <c r="AO3998" s="4">
        <v>0</v>
      </c>
      <c r="AP3998" s="4">
        <v>18</v>
      </c>
      <c r="AQ3998" s="4">
        <v>19</v>
      </c>
      <c r="AR3998" s="3" t="s">
        <v>62</v>
      </c>
      <c r="AS3998" s="3" t="s">
        <v>62</v>
      </c>
      <c r="AT3998" s="3" t="s">
        <v>61</v>
      </c>
      <c r="AU3998" s="6" t="str">
        <f>HYPERLINK("http://catalog.hathitrust.org/Record/001492421","HathiTrust Record")</f>
        <v>HathiTrust Record</v>
      </c>
      <c r="AV3998" s="6" t="str">
        <f>HYPERLINK("http://mcgill.on.worldcat.org/oclc/165563","Catalog Record")</f>
        <v>Catalog Record</v>
      </c>
      <c r="AW3998" s="6" t="str">
        <f>HYPERLINK("http://www.worldcat.org/oclc/165563","WorldCat Record")</f>
        <v>WorldCat Record</v>
      </c>
      <c r="AX3998" s="3" t="s">
        <v>38575</v>
      </c>
      <c r="AY3998" s="3" t="s">
        <v>38576</v>
      </c>
      <c r="AZ3998" s="3" t="s">
        <v>38577</v>
      </c>
      <c r="BA3998" s="3" t="s">
        <v>38577</v>
      </c>
      <c r="BB3998" s="3" t="s">
        <v>38578</v>
      </c>
      <c r="BC3998" s="3" t="s">
        <v>102</v>
      </c>
      <c r="BD3998" s="3" t="s">
        <v>68</v>
      </c>
      <c r="BF3998" s="3" t="s">
        <v>38578</v>
      </c>
      <c r="BG3998" s="3" t="s">
        <v>38579</v>
      </c>
    </row>
    <row r="3999" spans="1:59" ht="58" x14ac:dyDescent="0.35">
      <c r="A3999" s="2" t="s">
        <v>59</v>
      </c>
      <c r="B3999" s="2" t="s">
        <v>60</v>
      </c>
      <c r="C3999" s="2" t="s">
        <v>38569</v>
      </c>
      <c r="D3999" s="2" t="s">
        <v>38570</v>
      </c>
      <c r="E3999" s="2" t="s">
        <v>38571</v>
      </c>
      <c r="G3999" s="3" t="s">
        <v>62</v>
      </c>
      <c r="I3999" s="3" t="s">
        <v>61</v>
      </c>
      <c r="J3999" s="3" t="s">
        <v>62</v>
      </c>
      <c r="K3999" s="3" t="s">
        <v>63</v>
      </c>
      <c r="L3999" s="2" t="s">
        <v>38572</v>
      </c>
      <c r="M3999" s="2" t="s">
        <v>38573</v>
      </c>
      <c r="N3999" s="3" t="s">
        <v>2924</v>
      </c>
      <c r="P3999" s="3" t="s">
        <v>64</v>
      </c>
      <c r="Q3999" s="2" t="s">
        <v>38574</v>
      </c>
      <c r="R3999" s="3" t="s">
        <v>34126</v>
      </c>
      <c r="S3999" s="4">
        <v>1</v>
      </c>
      <c r="T3999" s="4">
        <v>1</v>
      </c>
      <c r="U3999" s="5" t="s">
        <v>1013</v>
      </c>
      <c r="V3999" s="5" t="s">
        <v>1013</v>
      </c>
      <c r="W3999" s="5" t="s">
        <v>67</v>
      </c>
      <c r="X3999" s="5" t="s">
        <v>67</v>
      </c>
      <c r="Y3999" s="4">
        <v>529</v>
      </c>
      <c r="Z3999" s="4">
        <v>24</v>
      </c>
      <c r="AA3999" s="4">
        <v>25</v>
      </c>
      <c r="AB3999" s="4">
        <v>3</v>
      </c>
      <c r="AC3999" s="4">
        <v>4</v>
      </c>
      <c r="AD3999" s="4">
        <v>88</v>
      </c>
      <c r="AE3999" s="4">
        <v>89</v>
      </c>
      <c r="AF3999" s="4">
        <v>1</v>
      </c>
      <c r="AG3999" s="4">
        <v>2</v>
      </c>
      <c r="AH3999" s="4">
        <v>76</v>
      </c>
      <c r="AI3999" s="4">
        <v>77</v>
      </c>
      <c r="AJ3999" s="4">
        <v>14</v>
      </c>
      <c r="AK3999" s="4">
        <v>15</v>
      </c>
      <c r="AL3999" s="4">
        <v>44</v>
      </c>
      <c r="AM3999" s="4">
        <v>44</v>
      </c>
      <c r="AN3999" s="4">
        <v>0</v>
      </c>
      <c r="AO3999" s="4">
        <v>0</v>
      </c>
      <c r="AP3999" s="4">
        <v>18</v>
      </c>
      <c r="AQ3999" s="4">
        <v>19</v>
      </c>
      <c r="AR3999" s="3" t="s">
        <v>62</v>
      </c>
      <c r="AS3999" s="3" t="s">
        <v>62</v>
      </c>
      <c r="AT3999" s="3" t="s">
        <v>61</v>
      </c>
      <c r="AU3999" s="6" t="str">
        <f>HYPERLINK("http://catalog.hathitrust.org/Record/001492421","HathiTrust Record")</f>
        <v>HathiTrust Record</v>
      </c>
      <c r="AV3999" s="6" t="str">
        <f>HYPERLINK("http://mcgill.on.worldcat.org/oclc/165563","Catalog Record")</f>
        <v>Catalog Record</v>
      </c>
      <c r="AW3999" s="6" t="str">
        <f>HYPERLINK("http://www.worldcat.org/oclc/165563","WorldCat Record")</f>
        <v>WorldCat Record</v>
      </c>
      <c r="AX3999" s="3" t="s">
        <v>38575</v>
      </c>
      <c r="AY3999" s="3" t="s">
        <v>38576</v>
      </c>
      <c r="AZ3999" s="3" t="s">
        <v>38577</v>
      </c>
      <c r="BA3999" s="3" t="s">
        <v>38577</v>
      </c>
      <c r="BB3999" s="3" t="s">
        <v>38580</v>
      </c>
      <c r="BC3999" s="3" t="s">
        <v>102</v>
      </c>
      <c r="BD3999" s="3" t="s">
        <v>6923</v>
      </c>
      <c r="BF3999" s="3" t="s">
        <v>38580</v>
      </c>
      <c r="BG3999" s="3" t="s">
        <v>38581</v>
      </c>
    </row>
    <row r="4000" spans="1:59" ht="58" x14ac:dyDescent="0.35">
      <c r="A4000" s="2" t="s">
        <v>59</v>
      </c>
      <c r="B4000" s="2" t="s">
        <v>60</v>
      </c>
      <c r="C4000" s="2" t="s">
        <v>38582</v>
      </c>
      <c r="D4000" s="2" t="s">
        <v>38583</v>
      </c>
      <c r="E4000" s="2" t="s">
        <v>38584</v>
      </c>
      <c r="F4000" s="3" t="s">
        <v>1416</v>
      </c>
      <c r="G4000" s="3" t="s">
        <v>61</v>
      </c>
      <c r="I4000" s="3" t="s">
        <v>61</v>
      </c>
      <c r="J4000" s="3" t="s">
        <v>62</v>
      </c>
      <c r="K4000" s="3" t="s">
        <v>63</v>
      </c>
      <c r="L4000" s="2" t="s">
        <v>38585</v>
      </c>
      <c r="M4000" s="2" t="s">
        <v>38586</v>
      </c>
      <c r="N4000" s="3" t="s">
        <v>81</v>
      </c>
      <c r="P4000" s="3" t="s">
        <v>64</v>
      </c>
      <c r="R4000" s="3" t="s">
        <v>34126</v>
      </c>
      <c r="S4000" s="4">
        <v>4</v>
      </c>
      <c r="T4000" s="4">
        <v>24</v>
      </c>
      <c r="U4000" s="5" t="s">
        <v>7038</v>
      </c>
      <c r="V4000" s="5" t="s">
        <v>7038</v>
      </c>
      <c r="W4000" s="5" t="s">
        <v>67</v>
      </c>
      <c r="X4000" s="5" t="s">
        <v>67</v>
      </c>
      <c r="Y4000" s="4">
        <v>884</v>
      </c>
      <c r="Z4000" s="4">
        <v>46</v>
      </c>
      <c r="AA4000" s="4">
        <v>54</v>
      </c>
      <c r="AB4000" s="4">
        <v>3</v>
      </c>
      <c r="AC4000" s="4">
        <v>7</v>
      </c>
      <c r="AD4000" s="4">
        <v>135</v>
      </c>
      <c r="AE4000" s="4">
        <v>144</v>
      </c>
      <c r="AF4000" s="4">
        <v>1</v>
      </c>
      <c r="AG4000" s="4">
        <v>5</v>
      </c>
      <c r="AH4000" s="4">
        <v>109</v>
      </c>
      <c r="AI4000" s="4">
        <v>112</v>
      </c>
      <c r="AJ4000" s="4">
        <v>21</v>
      </c>
      <c r="AK4000" s="4">
        <v>26</v>
      </c>
      <c r="AL4000" s="4">
        <v>58</v>
      </c>
      <c r="AM4000" s="4">
        <v>59</v>
      </c>
      <c r="AN4000" s="4">
        <v>0</v>
      </c>
      <c r="AO4000" s="4">
        <v>0</v>
      </c>
      <c r="AP4000" s="4">
        <v>33</v>
      </c>
      <c r="AQ4000" s="4">
        <v>39</v>
      </c>
      <c r="AR4000" s="3" t="s">
        <v>62</v>
      </c>
      <c r="AS4000" s="3" t="s">
        <v>62</v>
      </c>
      <c r="AT4000" s="3" t="s">
        <v>61</v>
      </c>
      <c r="AU4000" s="6" t="str">
        <f>HYPERLINK("http://catalog.hathitrust.org/Record/000760798","HathiTrust Record")</f>
        <v>HathiTrust Record</v>
      </c>
      <c r="AV4000" s="6" t="str">
        <f>HYPERLINK("http://mcgill.on.worldcat.org/oclc/551234","Catalog Record")</f>
        <v>Catalog Record</v>
      </c>
      <c r="AW4000" s="6" t="str">
        <f>HYPERLINK("http://www.worldcat.org/oclc/551234","WorldCat Record")</f>
        <v>WorldCat Record</v>
      </c>
      <c r="AX4000" s="3" t="s">
        <v>38587</v>
      </c>
      <c r="AY4000" s="3" t="s">
        <v>38588</v>
      </c>
      <c r="AZ4000" s="3" t="s">
        <v>38589</v>
      </c>
      <c r="BA4000" s="3" t="s">
        <v>38589</v>
      </c>
      <c r="BB4000" s="3" t="s">
        <v>38590</v>
      </c>
      <c r="BC4000" s="3" t="s">
        <v>102</v>
      </c>
      <c r="BD4000" s="3" t="s">
        <v>68</v>
      </c>
      <c r="BE4000" s="3" t="s">
        <v>38591</v>
      </c>
      <c r="BF4000" s="3" t="s">
        <v>38590</v>
      </c>
      <c r="BG4000" s="3" t="s">
        <v>38592</v>
      </c>
    </row>
    <row r="4001" spans="1:59" ht="58" x14ac:dyDescent="0.35">
      <c r="A4001" s="2" t="s">
        <v>59</v>
      </c>
      <c r="B4001" s="2" t="s">
        <v>60</v>
      </c>
      <c r="C4001" s="2" t="s">
        <v>38582</v>
      </c>
      <c r="D4001" s="2" t="s">
        <v>38583</v>
      </c>
      <c r="E4001" s="2" t="s">
        <v>38584</v>
      </c>
      <c r="F4001" s="3" t="s">
        <v>1428</v>
      </c>
      <c r="G4001" s="3" t="s">
        <v>61</v>
      </c>
      <c r="I4001" s="3" t="s">
        <v>61</v>
      </c>
      <c r="J4001" s="3" t="s">
        <v>62</v>
      </c>
      <c r="K4001" s="3" t="s">
        <v>63</v>
      </c>
      <c r="L4001" s="2" t="s">
        <v>38585</v>
      </c>
      <c r="M4001" s="2" t="s">
        <v>38586</v>
      </c>
      <c r="N4001" s="3" t="s">
        <v>81</v>
      </c>
      <c r="P4001" s="3" t="s">
        <v>64</v>
      </c>
      <c r="R4001" s="3" t="s">
        <v>34126</v>
      </c>
      <c r="S4001" s="4">
        <v>0</v>
      </c>
      <c r="T4001" s="4">
        <v>24</v>
      </c>
      <c r="V4001" s="5" t="s">
        <v>7038</v>
      </c>
      <c r="W4001" s="5" t="s">
        <v>67</v>
      </c>
      <c r="X4001" s="5" t="s">
        <v>67</v>
      </c>
      <c r="Y4001" s="4">
        <v>884</v>
      </c>
      <c r="Z4001" s="4">
        <v>46</v>
      </c>
      <c r="AA4001" s="4">
        <v>54</v>
      </c>
      <c r="AB4001" s="4">
        <v>3</v>
      </c>
      <c r="AC4001" s="4">
        <v>7</v>
      </c>
      <c r="AD4001" s="4">
        <v>135</v>
      </c>
      <c r="AE4001" s="4">
        <v>144</v>
      </c>
      <c r="AF4001" s="4">
        <v>1</v>
      </c>
      <c r="AG4001" s="4">
        <v>5</v>
      </c>
      <c r="AH4001" s="4">
        <v>109</v>
      </c>
      <c r="AI4001" s="4">
        <v>112</v>
      </c>
      <c r="AJ4001" s="4">
        <v>21</v>
      </c>
      <c r="AK4001" s="4">
        <v>26</v>
      </c>
      <c r="AL4001" s="4">
        <v>58</v>
      </c>
      <c r="AM4001" s="4">
        <v>59</v>
      </c>
      <c r="AN4001" s="4">
        <v>0</v>
      </c>
      <c r="AO4001" s="4">
        <v>0</v>
      </c>
      <c r="AP4001" s="4">
        <v>33</v>
      </c>
      <c r="AQ4001" s="4">
        <v>39</v>
      </c>
      <c r="AR4001" s="3" t="s">
        <v>62</v>
      </c>
      <c r="AS4001" s="3" t="s">
        <v>62</v>
      </c>
      <c r="AT4001" s="3" t="s">
        <v>61</v>
      </c>
      <c r="AU4001" s="6" t="str">
        <f>HYPERLINK("http://catalog.hathitrust.org/Record/000760798","HathiTrust Record")</f>
        <v>HathiTrust Record</v>
      </c>
      <c r="AV4001" s="6" t="str">
        <f>HYPERLINK("http://mcgill.on.worldcat.org/oclc/551234","Catalog Record")</f>
        <v>Catalog Record</v>
      </c>
      <c r="AW4001" s="6" t="str">
        <f>HYPERLINK("http://www.worldcat.org/oclc/551234","WorldCat Record")</f>
        <v>WorldCat Record</v>
      </c>
      <c r="AX4001" s="3" t="s">
        <v>38587</v>
      </c>
      <c r="AY4001" s="3" t="s">
        <v>38588</v>
      </c>
      <c r="AZ4001" s="3" t="s">
        <v>38589</v>
      </c>
      <c r="BA4001" s="3" t="s">
        <v>38589</v>
      </c>
      <c r="BB4001" s="3" t="s">
        <v>38593</v>
      </c>
      <c r="BC4001" s="3" t="s">
        <v>102</v>
      </c>
      <c r="BD4001" s="3" t="s">
        <v>68</v>
      </c>
      <c r="BE4001" s="3" t="s">
        <v>38591</v>
      </c>
      <c r="BF4001" s="3" t="s">
        <v>38593</v>
      </c>
      <c r="BG4001" s="3" t="s">
        <v>38594</v>
      </c>
    </row>
    <row r="4002" spans="1:59" ht="58" x14ac:dyDescent="0.35">
      <c r="A4002" s="2" t="s">
        <v>59</v>
      </c>
      <c r="B4002" s="2" t="s">
        <v>60</v>
      </c>
      <c r="C4002" s="2" t="s">
        <v>38582</v>
      </c>
      <c r="D4002" s="2" t="s">
        <v>38583</v>
      </c>
      <c r="E4002" s="2" t="s">
        <v>38584</v>
      </c>
      <c r="G4002" s="3" t="s">
        <v>61</v>
      </c>
      <c r="I4002" s="3" t="s">
        <v>61</v>
      </c>
      <c r="J4002" s="3" t="s">
        <v>62</v>
      </c>
      <c r="K4002" s="3" t="s">
        <v>63</v>
      </c>
      <c r="L4002" s="2" t="s">
        <v>38585</v>
      </c>
      <c r="M4002" s="2" t="s">
        <v>38586</v>
      </c>
      <c r="N4002" s="3" t="s">
        <v>81</v>
      </c>
      <c r="P4002" s="3" t="s">
        <v>64</v>
      </c>
      <c r="R4002" s="3" t="s">
        <v>34126</v>
      </c>
      <c r="S4002" s="4">
        <v>5</v>
      </c>
      <c r="T4002" s="4">
        <v>24</v>
      </c>
      <c r="U4002" s="5" t="s">
        <v>7038</v>
      </c>
      <c r="V4002" s="5" t="s">
        <v>7038</v>
      </c>
      <c r="W4002" s="5" t="s">
        <v>67</v>
      </c>
      <c r="X4002" s="5" t="s">
        <v>67</v>
      </c>
      <c r="Y4002" s="4">
        <v>884</v>
      </c>
      <c r="Z4002" s="4">
        <v>46</v>
      </c>
      <c r="AA4002" s="4">
        <v>54</v>
      </c>
      <c r="AB4002" s="4">
        <v>3</v>
      </c>
      <c r="AC4002" s="4">
        <v>7</v>
      </c>
      <c r="AD4002" s="4">
        <v>135</v>
      </c>
      <c r="AE4002" s="4">
        <v>144</v>
      </c>
      <c r="AF4002" s="4">
        <v>1</v>
      </c>
      <c r="AG4002" s="4">
        <v>5</v>
      </c>
      <c r="AH4002" s="4">
        <v>109</v>
      </c>
      <c r="AI4002" s="4">
        <v>112</v>
      </c>
      <c r="AJ4002" s="4">
        <v>21</v>
      </c>
      <c r="AK4002" s="4">
        <v>26</v>
      </c>
      <c r="AL4002" s="4">
        <v>58</v>
      </c>
      <c r="AM4002" s="4">
        <v>59</v>
      </c>
      <c r="AN4002" s="4">
        <v>0</v>
      </c>
      <c r="AO4002" s="4">
        <v>0</v>
      </c>
      <c r="AP4002" s="4">
        <v>33</v>
      </c>
      <c r="AQ4002" s="4">
        <v>39</v>
      </c>
      <c r="AR4002" s="3" t="s">
        <v>62</v>
      </c>
      <c r="AS4002" s="3" t="s">
        <v>62</v>
      </c>
      <c r="AT4002" s="3" t="s">
        <v>61</v>
      </c>
      <c r="AU4002" s="6" t="str">
        <f>HYPERLINK("http://catalog.hathitrust.org/Record/000760798","HathiTrust Record")</f>
        <v>HathiTrust Record</v>
      </c>
      <c r="AV4002" s="6" t="str">
        <f>HYPERLINK("http://mcgill.on.worldcat.org/oclc/551234","Catalog Record")</f>
        <v>Catalog Record</v>
      </c>
      <c r="AW4002" s="6" t="str">
        <f>HYPERLINK("http://www.worldcat.org/oclc/551234","WorldCat Record")</f>
        <v>WorldCat Record</v>
      </c>
      <c r="AX4002" s="3" t="s">
        <v>38587</v>
      </c>
      <c r="AY4002" s="3" t="s">
        <v>38588</v>
      </c>
      <c r="AZ4002" s="3" t="s">
        <v>38589</v>
      </c>
      <c r="BA4002" s="3" t="s">
        <v>38589</v>
      </c>
      <c r="BB4002" s="3" t="s">
        <v>38595</v>
      </c>
      <c r="BC4002" s="3" t="s">
        <v>102</v>
      </c>
      <c r="BD4002" s="3" t="s">
        <v>68</v>
      </c>
      <c r="BE4002" s="3" t="s">
        <v>38591</v>
      </c>
      <c r="BF4002" s="3" t="s">
        <v>38595</v>
      </c>
      <c r="BG4002" s="3" t="s">
        <v>38596</v>
      </c>
    </row>
    <row r="4003" spans="1:59" ht="58" x14ac:dyDescent="0.35">
      <c r="A4003" s="2" t="s">
        <v>59</v>
      </c>
      <c r="B4003" s="2" t="s">
        <v>60</v>
      </c>
      <c r="C4003" s="2" t="s">
        <v>38582</v>
      </c>
      <c r="D4003" s="2" t="s">
        <v>38583</v>
      </c>
      <c r="E4003" s="2" t="s">
        <v>38584</v>
      </c>
      <c r="F4003" s="3" t="s">
        <v>1422</v>
      </c>
      <c r="G4003" s="3" t="s">
        <v>61</v>
      </c>
      <c r="I4003" s="3" t="s">
        <v>61</v>
      </c>
      <c r="J4003" s="3" t="s">
        <v>62</v>
      </c>
      <c r="K4003" s="3" t="s">
        <v>63</v>
      </c>
      <c r="L4003" s="2" t="s">
        <v>38585</v>
      </c>
      <c r="M4003" s="2" t="s">
        <v>38586</v>
      </c>
      <c r="N4003" s="3" t="s">
        <v>81</v>
      </c>
      <c r="P4003" s="3" t="s">
        <v>64</v>
      </c>
      <c r="R4003" s="3" t="s">
        <v>34126</v>
      </c>
      <c r="S4003" s="4">
        <v>6</v>
      </c>
      <c r="T4003" s="4">
        <v>24</v>
      </c>
      <c r="U4003" s="5" t="s">
        <v>38597</v>
      </c>
      <c r="V4003" s="5" t="s">
        <v>7038</v>
      </c>
      <c r="W4003" s="5" t="s">
        <v>67</v>
      </c>
      <c r="X4003" s="5" t="s">
        <v>67</v>
      </c>
      <c r="Y4003" s="4">
        <v>884</v>
      </c>
      <c r="Z4003" s="4">
        <v>46</v>
      </c>
      <c r="AA4003" s="4">
        <v>54</v>
      </c>
      <c r="AB4003" s="4">
        <v>3</v>
      </c>
      <c r="AC4003" s="4">
        <v>7</v>
      </c>
      <c r="AD4003" s="4">
        <v>135</v>
      </c>
      <c r="AE4003" s="4">
        <v>144</v>
      </c>
      <c r="AF4003" s="4">
        <v>1</v>
      </c>
      <c r="AG4003" s="4">
        <v>5</v>
      </c>
      <c r="AH4003" s="4">
        <v>109</v>
      </c>
      <c r="AI4003" s="4">
        <v>112</v>
      </c>
      <c r="AJ4003" s="4">
        <v>21</v>
      </c>
      <c r="AK4003" s="4">
        <v>26</v>
      </c>
      <c r="AL4003" s="4">
        <v>58</v>
      </c>
      <c r="AM4003" s="4">
        <v>59</v>
      </c>
      <c r="AN4003" s="4">
        <v>0</v>
      </c>
      <c r="AO4003" s="4">
        <v>0</v>
      </c>
      <c r="AP4003" s="4">
        <v>33</v>
      </c>
      <c r="AQ4003" s="4">
        <v>39</v>
      </c>
      <c r="AR4003" s="3" t="s">
        <v>62</v>
      </c>
      <c r="AS4003" s="3" t="s">
        <v>62</v>
      </c>
      <c r="AT4003" s="3" t="s">
        <v>61</v>
      </c>
      <c r="AU4003" s="6" t="str">
        <f>HYPERLINK("http://catalog.hathitrust.org/Record/000760798","HathiTrust Record")</f>
        <v>HathiTrust Record</v>
      </c>
      <c r="AV4003" s="6" t="str">
        <f>HYPERLINK("http://mcgill.on.worldcat.org/oclc/551234","Catalog Record")</f>
        <v>Catalog Record</v>
      </c>
      <c r="AW4003" s="6" t="str">
        <f>HYPERLINK("http://www.worldcat.org/oclc/551234","WorldCat Record")</f>
        <v>WorldCat Record</v>
      </c>
      <c r="AX4003" s="3" t="s">
        <v>38587</v>
      </c>
      <c r="AY4003" s="3" t="s">
        <v>38588</v>
      </c>
      <c r="AZ4003" s="3" t="s">
        <v>38589</v>
      </c>
      <c r="BA4003" s="3" t="s">
        <v>38589</v>
      </c>
      <c r="BB4003" s="3" t="s">
        <v>38598</v>
      </c>
      <c r="BC4003" s="3" t="s">
        <v>102</v>
      </c>
      <c r="BD4003" s="3" t="s">
        <v>68</v>
      </c>
      <c r="BE4003" s="3" t="s">
        <v>38591</v>
      </c>
      <c r="BF4003" s="3" t="s">
        <v>38598</v>
      </c>
      <c r="BG4003" s="3" t="s">
        <v>38599</v>
      </c>
    </row>
    <row r="4004" spans="1:59" ht="58" x14ac:dyDescent="0.35">
      <c r="A4004" s="2" t="s">
        <v>59</v>
      </c>
      <c r="B4004" s="2" t="s">
        <v>60</v>
      </c>
      <c r="C4004" s="2" t="s">
        <v>38600</v>
      </c>
      <c r="D4004" s="2" t="s">
        <v>38601</v>
      </c>
      <c r="E4004" s="2" t="s">
        <v>38584</v>
      </c>
      <c r="G4004" s="3" t="s">
        <v>61</v>
      </c>
      <c r="I4004" s="3" t="s">
        <v>61</v>
      </c>
      <c r="J4004" s="3" t="s">
        <v>62</v>
      </c>
      <c r="K4004" s="3" t="s">
        <v>63</v>
      </c>
      <c r="L4004" s="2" t="s">
        <v>38585</v>
      </c>
      <c r="M4004" s="2" t="s">
        <v>38586</v>
      </c>
      <c r="N4004" s="3" t="s">
        <v>81</v>
      </c>
      <c r="P4004" s="3" t="s">
        <v>64</v>
      </c>
      <c r="R4004" s="3" t="s">
        <v>34126</v>
      </c>
      <c r="S4004" s="4">
        <v>0</v>
      </c>
      <c r="T4004" s="4">
        <v>24</v>
      </c>
      <c r="V4004" s="5" t="s">
        <v>7038</v>
      </c>
      <c r="W4004" s="5" t="s">
        <v>67</v>
      </c>
      <c r="X4004" s="5" t="s">
        <v>67</v>
      </c>
      <c r="Y4004" s="4">
        <v>884</v>
      </c>
      <c r="Z4004" s="4">
        <v>46</v>
      </c>
      <c r="AA4004" s="4">
        <v>54</v>
      </c>
      <c r="AB4004" s="4">
        <v>3</v>
      </c>
      <c r="AC4004" s="4">
        <v>7</v>
      </c>
      <c r="AD4004" s="4">
        <v>135</v>
      </c>
      <c r="AE4004" s="4">
        <v>144</v>
      </c>
      <c r="AF4004" s="4">
        <v>1</v>
      </c>
      <c r="AG4004" s="4">
        <v>5</v>
      </c>
      <c r="AH4004" s="4">
        <v>109</v>
      </c>
      <c r="AI4004" s="4">
        <v>112</v>
      </c>
      <c r="AJ4004" s="4">
        <v>21</v>
      </c>
      <c r="AK4004" s="4">
        <v>26</v>
      </c>
      <c r="AL4004" s="4">
        <v>58</v>
      </c>
      <c r="AM4004" s="4">
        <v>59</v>
      </c>
      <c r="AN4004" s="4">
        <v>0</v>
      </c>
      <c r="AO4004" s="4">
        <v>0</v>
      </c>
      <c r="AP4004" s="4">
        <v>33</v>
      </c>
      <c r="AQ4004" s="4">
        <v>39</v>
      </c>
      <c r="AR4004" s="3" t="s">
        <v>62</v>
      </c>
      <c r="AS4004" s="3" t="s">
        <v>62</v>
      </c>
      <c r="AT4004" s="3" t="s">
        <v>61</v>
      </c>
      <c r="AU4004" s="6" t="str">
        <f>HYPERLINK("http://catalog.hathitrust.org/Record/000760798","HathiTrust Record")</f>
        <v>HathiTrust Record</v>
      </c>
      <c r="AV4004" s="6" t="str">
        <f>HYPERLINK("http://mcgill.on.worldcat.org/oclc/551234","Catalog Record")</f>
        <v>Catalog Record</v>
      </c>
      <c r="AW4004" s="6" t="str">
        <f>HYPERLINK("http://www.worldcat.org/oclc/551234","WorldCat Record")</f>
        <v>WorldCat Record</v>
      </c>
      <c r="AX4004" s="3" t="s">
        <v>38587</v>
      </c>
      <c r="AY4004" s="3" t="s">
        <v>38588</v>
      </c>
      <c r="AZ4004" s="3" t="s">
        <v>38589</v>
      </c>
      <c r="BA4004" s="3" t="s">
        <v>38589</v>
      </c>
      <c r="BB4004" s="3" t="s">
        <v>38602</v>
      </c>
      <c r="BC4004" s="3" t="s">
        <v>102</v>
      </c>
      <c r="BD4004" s="3" t="s">
        <v>68</v>
      </c>
      <c r="BE4004" s="3" t="s">
        <v>38591</v>
      </c>
      <c r="BF4004" s="3" t="s">
        <v>38602</v>
      </c>
      <c r="BG4004" s="3" t="s">
        <v>38603</v>
      </c>
    </row>
    <row r="4005" spans="1:59" ht="58" x14ac:dyDescent="0.35">
      <c r="A4005" s="2" t="s">
        <v>59</v>
      </c>
      <c r="B4005" s="2" t="s">
        <v>60</v>
      </c>
      <c r="C4005" s="2" t="s">
        <v>38604</v>
      </c>
      <c r="D4005" s="2" t="s">
        <v>38605</v>
      </c>
      <c r="E4005" s="2" t="s">
        <v>38606</v>
      </c>
      <c r="G4005" s="3" t="s">
        <v>62</v>
      </c>
      <c r="I4005" s="3" t="s">
        <v>62</v>
      </c>
      <c r="J4005" s="3" t="s">
        <v>62</v>
      </c>
      <c r="K4005" s="3" t="s">
        <v>63</v>
      </c>
      <c r="M4005" s="2" t="s">
        <v>38607</v>
      </c>
      <c r="N4005" s="3" t="s">
        <v>509</v>
      </c>
      <c r="O4005" s="2" t="s">
        <v>2163</v>
      </c>
      <c r="P4005" s="3" t="s">
        <v>64</v>
      </c>
      <c r="R4005" s="3" t="s">
        <v>34126</v>
      </c>
      <c r="S4005" s="4">
        <v>1</v>
      </c>
      <c r="T4005" s="4">
        <v>1</v>
      </c>
      <c r="U4005" s="5" t="s">
        <v>21260</v>
      </c>
      <c r="V4005" s="5" t="s">
        <v>21260</v>
      </c>
      <c r="W4005" s="5" t="s">
        <v>67</v>
      </c>
      <c r="X4005" s="5" t="s">
        <v>67</v>
      </c>
      <c r="Y4005" s="4">
        <v>261</v>
      </c>
      <c r="Z4005" s="4">
        <v>18</v>
      </c>
      <c r="AA4005" s="4">
        <v>21</v>
      </c>
      <c r="AB4005" s="4">
        <v>2</v>
      </c>
      <c r="AC4005" s="4">
        <v>4</v>
      </c>
      <c r="AD4005" s="4">
        <v>91</v>
      </c>
      <c r="AE4005" s="4">
        <v>94</v>
      </c>
      <c r="AF4005" s="4">
        <v>1</v>
      </c>
      <c r="AG4005" s="4">
        <v>3</v>
      </c>
      <c r="AH4005" s="4">
        <v>79</v>
      </c>
      <c r="AI4005" s="4">
        <v>80</v>
      </c>
      <c r="AJ4005" s="4">
        <v>12</v>
      </c>
      <c r="AK4005" s="4">
        <v>15</v>
      </c>
      <c r="AL4005" s="4">
        <v>47</v>
      </c>
      <c r="AM4005" s="4">
        <v>47</v>
      </c>
      <c r="AN4005" s="4">
        <v>0</v>
      </c>
      <c r="AO4005" s="4">
        <v>0</v>
      </c>
      <c r="AP4005" s="4">
        <v>15</v>
      </c>
      <c r="AQ4005" s="4">
        <v>17</v>
      </c>
      <c r="AR4005" s="3" t="s">
        <v>62</v>
      </c>
      <c r="AS4005" s="3" t="s">
        <v>62</v>
      </c>
      <c r="AT4005" s="3" t="s">
        <v>62</v>
      </c>
      <c r="AV4005" s="6" t="str">
        <f>HYPERLINK("http://mcgill.on.worldcat.org/oclc/28854473","Catalog Record")</f>
        <v>Catalog Record</v>
      </c>
      <c r="AW4005" s="6" t="str">
        <f>HYPERLINK("http://www.worldcat.org/oclc/28854473","WorldCat Record")</f>
        <v>WorldCat Record</v>
      </c>
      <c r="AX4005" s="3" t="s">
        <v>38608</v>
      </c>
      <c r="AY4005" s="3" t="s">
        <v>38609</v>
      </c>
      <c r="AZ4005" s="3" t="s">
        <v>38610</v>
      </c>
      <c r="BA4005" s="3" t="s">
        <v>38610</v>
      </c>
      <c r="BB4005" s="3" t="s">
        <v>38611</v>
      </c>
      <c r="BC4005" s="3" t="s">
        <v>102</v>
      </c>
      <c r="BD4005" s="3" t="s">
        <v>6923</v>
      </c>
      <c r="BE4005" s="3" t="s">
        <v>38612</v>
      </c>
      <c r="BF4005" s="3" t="s">
        <v>38611</v>
      </c>
      <c r="BG4005" s="3" t="s">
        <v>38613</v>
      </c>
    </row>
    <row r="4006" spans="1:59" ht="72.5" x14ac:dyDescent="0.35">
      <c r="A4006" s="2" t="s">
        <v>89</v>
      </c>
      <c r="B4006" s="2" t="s">
        <v>90</v>
      </c>
      <c r="C4006" s="2" t="s">
        <v>38614</v>
      </c>
      <c r="D4006" s="2" t="s">
        <v>38615</v>
      </c>
      <c r="E4006" s="2" t="s">
        <v>38616</v>
      </c>
      <c r="G4006" s="3" t="s">
        <v>62</v>
      </c>
      <c r="I4006" s="3" t="s">
        <v>62</v>
      </c>
      <c r="J4006" s="3" t="s">
        <v>62</v>
      </c>
      <c r="K4006" s="3" t="s">
        <v>63</v>
      </c>
      <c r="M4006" s="2" t="s">
        <v>38617</v>
      </c>
      <c r="N4006" s="3" t="s">
        <v>640</v>
      </c>
      <c r="P4006" s="3" t="s">
        <v>64</v>
      </c>
      <c r="R4006" s="3" t="s">
        <v>34126</v>
      </c>
      <c r="S4006" s="4">
        <v>15</v>
      </c>
      <c r="T4006" s="4">
        <v>15</v>
      </c>
      <c r="U4006" s="5" t="s">
        <v>9447</v>
      </c>
      <c r="V4006" s="5" t="s">
        <v>9447</v>
      </c>
      <c r="W4006" s="5" t="s">
        <v>67</v>
      </c>
      <c r="X4006" s="5" t="s">
        <v>67</v>
      </c>
      <c r="Y4006" s="4">
        <v>256</v>
      </c>
      <c r="Z4006" s="4">
        <v>18</v>
      </c>
      <c r="AA4006" s="4">
        <v>25</v>
      </c>
      <c r="AB4006" s="4">
        <v>1</v>
      </c>
      <c r="AC4006" s="4">
        <v>6</v>
      </c>
      <c r="AD4006" s="4">
        <v>81</v>
      </c>
      <c r="AE4006" s="4">
        <v>91</v>
      </c>
      <c r="AF4006" s="4">
        <v>0</v>
      </c>
      <c r="AG4006" s="4">
        <v>2</v>
      </c>
      <c r="AH4006" s="4">
        <v>75</v>
      </c>
      <c r="AI4006" s="4">
        <v>83</v>
      </c>
      <c r="AJ4006" s="4">
        <v>10</v>
      </c>
      <c r="AK4006" s="4">
        <v>12</v>
      </c>
      <c r="AL4006" s="4">
        <v>42</v>
      </c>
      <c r="AM4006" s="4">
        <v>46</v>
      </c>
      <c r="AN4006" s="4">
        <v>0</v>
      </c>
      <c r="AO4006" s="4">
        <v>0</v>
      </c>
      <c r="AP4006" s="4">
        <v>12</v>
      </c>
      <c r="AQ4006" s="4">
        <v>13</v>
      </c>
      <c r="AR4006" s="3" t="s">
        <v>62</v>
      </c>
      <c r="AS4006" s="3" t="s">
        <v>62</v>
      </c>
      <c r="AT4006" s="3" t="s">
        <v>62</v>
      </c>
      <c r="AV4006" s="6" t="str">
        <f>HYPERLINK("http://mcgill.on.worldcat.org/oclc/51566514","Catalog Record")</f>
        <v>Catalog Record</v>
      </c>
      <c r="AW4006" s="6" t="str">
        <f>HYPERLINK("http://www.worldcat.org/oclc/51566514","WorldCat Record")</f>
        <v>WorldCat Record</v>
      </c>
      <c r="AX4006" s="3" t="s">
        <v>38618</v>
      </c>
      <c r="AY4006" s="3" t="s">
        <v>38619</v>
      </c>
      <c r="AZ4006" s="3" t="s">
        <v>38620</v>
      </c>
      <c r="BA4006" s="3" t="s">
        <v>38620</v>
      </c>
      <c r="BB4006" s="3" t="s">
        <v>38621</v>
      </c>
      <c r="BC4006" s="3" t="s">
        <v>102</v>
      </c>
      <c r="BD4006" s="3" t="s">
        <v>68</v>
      </c>
      <c r="BE4006" s="3" t="s">
        <v>38622</v>
      </c>
      <c r="BF4006" s="3" t="s">
        <v>38621</v>
      </c>
      <c r="BG4006" s="3" t="s">
        <v>38623</v>
      </c>
    </row>
    <row r="4007" spans="1:59" ht="58" x14ac:dyDescent="0.35">
      <c r="A4007" s="2" t="s">
        <v>89</v>
      </c>
      <c r="B4007" s="2" t="s">
        <v>90</v>
      </c>
      <c r="C4007" s="2" t="s">
        <v>38624</v>
      </c>
      <c r="D4007" s="2" t="s">
        <v>38625</v>
      </c>
      <c r="E4007" s="2" t="s">
        <v>38626</v>
      </c>
      <c r="G4007" s="3" t="s">
        <v>62</v>
      </c>
      <c r="I4007" s="3" t="s">
        <v>62</v>
      </c>
      <c r="J4007" s="3" t="s">
        <v>62</v>
      </c>
      <c r="K4007" s="3" t="s">
        <v>63</v>
      </c>
      <c r="L4007" s="2" t="s">
        <v>38463</v>
      </c>
      <c r="M4007" s="2" t="s">
        <v>38627</v>
      </c>
      <c r="N4007" s="3" t="s">
        <v>625</v>
      </c>
      <c r="O4007" s="2" t="s">
        <v>2163</v>
      </c>
      <c r="P4007" s="3" t="s">
        <v>64</v>
      </c>
      <c r="R4007" s="3" t="s">
        <v>34126</v>
      </c>
      <c r="S4007" s="4">
        <v>26</v>
      </c>
      <c r="T4007" s="4">
        <v>26</v>
      </c>
      <c r="U4007" s="5" t="s">
        <v>2342</v>
      </c>
      <c r="V4007" s="5" t="s">
        <v>2342</v>
      </c>
      <c r="W4007" s="5" t="s">
        <v>67</v>
      </c>
      <c r="X4007" s="5" t="s">
        <v>67</v>
      </c>
      <c r="Y4007" s="4">
        <v>1795</v>
      </c>
      <c r="Z4007" s="4">
        <v>33</v>
      </c>
      <c r="AA4007" s="4">
        <v>84</v>
      </c>
      <c r="AB4007" s="4">
        <v>3</v>
      </c>
      <c r="AC4007" s="4">
        <v>7</v>
      </c>
      <c r="AD4007" s="4">
        <v>94</v>
      </c>
      <c r="AE4007" s="4">
        <v>122</v>
      </c>
      <c r="AF4007" s="4">
        <v>2</v>
      </c>
      <c r="AG4007" s="4">
        <v>4</v>
      </c>
      <c r="AH4007" s="4">
        <v>78</v>
      </c>
      <c r="AI4007" s="4">
        <v>97</v>
      </c>
      <c r="AJ4007" s="4">
        <v>9</v>
      </c>
      <c r="AK4007" s="4">
        <v>23</v>
      </c>
      <c r="AL4007" s="4">
        <v>44</v>
      </c>
      <c r="AM4007" s="4">
        <v>51</v>
      </c>
      <c r="AN4007" s="4">
        <v>0</v>
      </c>
      <c r="AO4007" s="4">
        <v>0</v>
      </c>
      <c r="AP4007" s="4">
        <v>16</v>
      </c>
      <c r="AQ4007" s="4">
        <v>33</v>
      </c>
      <c r="AR4007" s="3" t="s">
        <v>62</v>
      </c>
      <c r="AS4007" s="3" t="s">
        <v>62</v>
      </c>
      <c r="AT4007" s="3" t="s">
        <v>62</v>
      </c>
      <c r="AV4007" s="6" t="str">
        <f>HYPERLINK("http://mcgill.on.worldcat.org/oclc/51553398","Catalog Record")</f>
        <v>Catalog Record</v>
      </c>
      <c r="AW4007" s="6" t="str">
        <f>HYPERLINK("http://www.worldcat.org/oclc/51553398","WorldCat Record")</f>
        <v>WorldCat Record</v>
      </c>
      <c r="AX4007" s="3" t="s">
        <v>38628</v>
      </c>
      <c r="AY4007" s="3" t="s">
        <v>38629</v>
      </c>
      <c r="AZ4007" s="3" t="s">
        <v>38630</v>
      </c>
      <c r="BA4007" s="3" t="s">
        <v>38630</v>
      </c>
      <c r="BB4007" s="3" t="s">
        <v>38631</v>
      </c>
      <c r="BC4007" s="3" t="s">
        <v>102</v>
      </c>
      <c r="BD4007" s="3" t="s">
        <v>68</v>
      </c>
      <c r="BE4007" s="3" t="s">
        <v>38632</v>
      </c>
      <c r="BF4007" s="3" t="s">
        <v>38631</v>
      </c>
      <c r="BG4007" s="3" t="s">
        <v>38633</v>
      </c>
    </row>
    <row r="4008" spans="1:59" ht="58" x14ac:dyDescent="0.35">
      <c r="A4008" s="2" t="s">
        <v>89</v>
      </c>
      <c r="B4008" s="2" t="s">
        <v>90</v>
      </c>
      <c r="C4008" s="2" t="s">
        <v>38634</v>
      </c>
      <c r="D4008" s="2" t="s">
        <v>38635</v>
      </c>
      <c r="E4008" s="2" t="s">
        <v>38636</v>
      </c>
      <c r="G4008" s="3" t="s">
        <v>62</v>
      </c>
      <c r="I4008" s="3" t="s">
        <v>62</v>
      </c>
      <c r="J4008" s="3" t="s">
        <v>62</v>
      </c>
      <c r="K4008" s="3" t="s">
        <v>63</v>
      </c>
      <c r="M4008" s="2" t="s">
        <v>38637</v>
      </c>
      <c r="N4008" s="3" t="s">
        <v>625</v>
      </c>
      <c r="P4008" s="3" t="s">
        <v>64</v>
      </c>
      <c r="R4008" s="3" t="s">
        <v>34126</v>
      </c>
      <c r="S4008" s="4">
        <v>10</v>
      </c>
      <c r="T4008" s="4">
        <v>10</v>
      </c>
      <c r="U4008" s="5" t="s">
        <v>32882</v>
      </c>
      <c r="V4008" s="5" t="s">
        <v>32882</v>
      </c>
      <c r="W4008" s="5" t="s">
        <v>67</v>
      </c>
      <c r="X4008" s="5" t="s">
        <v>67</v>
      </c>
      <c r="Y4008" s="4">
        <v>259</v>
      </c>
      <c r="Z4008" s="4">
        <v>13</v>
      </c>
      <c r="AA4008" s="4">
        <v>17</v>
      </c>
      <c r="AB4008" s="4">
        <v>1</v>
      </c>
      <c r="AC4008" s="4">
        <v>2</v>
      </c>
      <c r="AD4008" s="4">
        <v>67</v>
      </c>
      <c r="AE4008" s="4">
        <v>70</v>
      </c>
      <c r="AF4008" s="4">
        <v>0</v>
      </c>
      <c r="AG4008" s="4">
        <v>0</v>
      </c>
      <c r="AH4008" s="4">
        <v>63</v>
      </c>
      <c r="AI4008" s="4">
        <v>66</v>
      </c>
      <c r="AJ4008" s="4">
        <v>8</v>
      </c>
      <c r="AK4008" s="4">
        <v>11</v>
      </c>
      <c r="AL4008" s="4">
        <v>30</v>
      </c>
      <c r="AM4008" s="4">
        <v>30</v>
      </c>
      <c r="AN4008" s="4">
        <v>0</v>
      </c>
      <c r="AO4008" s="4">
        <v>0</v>
      </c>
      <c r="AP4008" s="4">
        <v>9</v>
      </c>
      <c r="AQ4008" s="4">
        <v>12</v>
      </c>
      <c r="AR4008" s="3" t="s">
        <v>62</v>
      </c>
      <c r="AS4008" s="3" t="s">
        <v>62</v>
      </c>
      <c r="AT4008" s="3" t="s">
        <v>61</v>
      </c>
      <c r="AU4008" s="6" t="str">
        <f>HYPERLINK("http://catalog.hathitrust.org/Record/004329791","HathiTrust Record")</f>
        <v>HathiTrust Record</v>
      </c>
      <c r="AV4008" s="6" t="str">
        <f>HYPERLINK("http://mcgill.on.worldcat.org/oclc/51848595","Catalog Record")</f>
        <v>Catalog Record</v>
      </c>
      <c r="AW4008" s="6" t="str">
        <f>HYPERLINK("http://www.worldcat.org/oclc/51848595","WorldCat Record")</f>
        <v>WorldCat Record</v>
      </c>
      <c r="AX4008" s="3" t="s">
        <v>38638</v>
      </c>
      <c r="AY4008" s="3" t="s">
        <v>38639</v>
      </c>
      <c r="AZ4008" s="3" t="s">
        <v>38640</v>
      </c>
      <c r="BA4008" s="3" t="s">
        <v>38640</v>
      </c>
      <c r="BB4008" s="3" t="s">
        <v>38641</v>
      </c>
      <c r="BC4008" s="3" t="s">
        <v>102</v>
      </c>
      <c r="BD4008" s="3" t="s">
        <v>68</v>
      </c>
      <c r="BE4008" s="3" t="s">
        <v>38642</v>
      </c>
      <c r="BF4008" s="3" t="s">
        <v>38641</v>
      </c>
      <c r="BG4008" s="3" t="s">
        <v>38643</v>
      </c>
    </row>
    <row r="4009" spans="1:59" ht="58" x14ac:dyDescent="0.35">
      <c r="A4009" s="2" t="s">
        <v>89</v>
      </c>
      <c r="B4009" s="2" t="s">
        <v>90</v>
      </c>
      <c r="C4009" s="2" t="s">
        <v>38644</v>
      </c>
      <c r="D4009" s="2" t="s">
        <v>38645</v>
      </c>
      <c r="E4009" s="2" t="s">
        <v>38646</v>
      </c>
      <c r="G4009" s="3" t="s">
        <v>62</v>
      </c>
      <c r="I4009" s="3" t="s">
        <v>62</v>
      </c>
      <c r="J4009" s="3" t="s">
        <v>62</v>
      </c>
      <c r="K4009" s="3" t="s">
        <v>63</v>
      </c>
      <c r="L4009" s="2" t="s">
        <v>38647</v>
      </c>
      <c r="M4009" s="2" t="s">
        <v>31409</v>
      </c>
      <c r="N4009" s="3" t="s">
        <v>1195</v>
      </c>
      <c r="P4009" s="3" t="s">
        <v>64</v>
      </c>
      <c r="Q4009" s="2" t="s">
        <v>38648</v>
      </c>
      <c r="R4009" s="3" t="s">
        <v>34126</v>
      </c>
      <c r="S4009" s="4">
        <v>11</v>
      </c>
      <c r="T4009" s="4">
        <v>11</v>
      </c>
      <c r="U4009" s="5" t="s">
        <v>10699</v>
      </c>
      <c r="V4009" s="5" t="s">
        <v>10699</v>
      </c>
      <c r="W4009" s="5" t="s">
        <v>67</v>
      </c>
      <c r="X4009" s="5" t="s">
        <v>67</v>
      </c>
      <c r="Y4009" s="4">
        <v>433</v>
      </c>
      <c r="Z4009" s="4">
        <v>33</v>
      </c>
      <c r="AA4009" s="4">
        <v>94</v>
      </c>
      <c r="AB4009" s="4">
        <v>2</v>
      </c>
      <c r="AC4009" s="4">
        <v>15</v>
      </c>
      <c r="AD4009" s="4">
        <v>87</v>
      </c>
      <c r="AE4009" s="4">
        <v>125</v>
      </c>
      <c r="AF4009" s="4">
        <v>1</v>
      </c>
      <c r="AG4009" s="4">
        <v>8</v>
      </c>
      <c r="AH4009" s="4">
        <v>74</v>
      </c>
      <c r="AI4009" s="4">
        <v>90</v>
      </c>
      <c r="AJ4009" s="4">
        <v>14</v>
      </c>
      <c r="AK4009" s="4">
        <v>24</v>
      </c>
      <c r="AL4009" s="4">
        <v>45</v>
      </c>
      <c r="AM4009" s="4">
        <v>50</v>
      </c>
      <c r="AN4009" s="4">
        <v>0</v>
      </c>
      <c r="AO4009" s="4">
        <v>0</v>
      </c>
      <c r="AP4009" s="4">
        <v>20</v>
      </c>
      <c r="AQ4009" s="4">
        <v>44</v>
      </c>
      <c r="AR4009" s="3" t="s">
        <v>62</v>
      </c>
      <c r="AS4009" s="3" t="s">
        <v>62</v>
      </c>
      <c r="AT4009" s="3" t="s">
        <v>62</v>
      </c>
      <c r="AV4009" s="6" t="str">
        <f>HYPERLINK("http://mcgill.on.worldcat.org/oclc/62132884","Catalog Record")</f>
        <v>Catalog Record</v>
      </c>
      <c r="AW4009" s="6" t="str">
        <f>HYPERLINK("http://www.worldcat.org/oclc/62132884","WorldCat Record")</f>
        <v>WorldCat Record</v>
      </c>
      <c r="AX4009" s="3" t="s">
        <v>38649</v>
      </c>
      <c r="AY4009" s="3" t="s">
        <v>38650</v>
      </c>
      <c r="AZ4009" s="3" t="s">
        <v>38651</v>
      </c>
      <c r="BA4009" s="3" t="s">
        <v>38651</v>
      </c>
      <c r="BB4009" s="3" t="s">
        <v>38652</v>
      </c>
      <c r="BC4009" s="3" t="s">
        <v>102</v>
      </c>
      <c r="BD4009" s="3" t="s">
        <v>68</v>
      </c>
      <c r="BE4009" s="3" t="s">
        <v>38653</v>
      </c>
      <c r="BF4009" s="3" t="s">
        <v>38652</v>
      </c>
      <c r="BG4009" s="3" t="s">
        <v>38654</v>
      </c>
    </row>
    <row r="4010" spans="1:59" ht="58" x14ac:dyDescent="0.35">
      <c r="A4010" s="2" t="s">
        <v>89</v>
      </c>
      <c r="B4010" s="2" t="s">
        <v>90</v>
      </c>
      <c r="C4010" s="2" t="s">
        <v>38655</v>
      </c>
      <c r="D4010" s="2" t="s">
        <v>38656</v>
      </c>
      <c r="E4010" s="2" t="s">
        <v>38657</v>
      </c>
      <c r="G4010" s="3" t="s">
        <v>62</v>
      </c>
      <c r="I4010" s="3" t="s">
        <v>62</v>
      </c>
      <c r="J4010" s="3" t="s">
        <v>62</v>
      </c>
      <c r="K4010" s="3" t="s">
        <v>63</v>
      </c>
      <c r="L4010" s="2" t="s">
        <v>38658</v>
      </c>
      <c r="M4010" s="2" t="s">
        <v>3710</v>
      </c>
      <c r="N4010" s="3" t="s">
        <v>596</v>
      </c>
      <c r="P4010" s="3" t="s">
        <v>64</v>
      </c>
      <c r="Q4010" s="2" t="s">
        <v>38659</v>
      </c>
      <c r="R4010" s="3" t="s">
        <v>34126</v>
      </c>
      <c r="S4010" s="4">
        <v>19</v>
      </c>
      <c r="T4010" s="4">
        <v>19</v>
      </c>
      <c r="U4010" s="5" t="s">
        <v>32882</v>
      </c>
      <c r="V4010" s="5" t="s">
        <v>32882</v>
      </c>
      <c r="W4010" s="5" t="s">
        <v>67</v>
      </c>
      <c r="X4010" s="5" t="s">
        <v>67</v>
      </c>
      <c r="Y4010" s="4">
        <v>460</v>
      </c>
      <c r="Z4010" s="4">
        <v>27</v>
      </c>
      <c r="AA4010" s="4">
        <v>29</v>
      </c>
      <c r="AB4010" s="4">
        <v>1</v>
      </c>
      <c r="AC4010" s="4">
        <v>3</v>
      </c>
      <c r="AD4010" s="4">
        <v>105</v>
      </c>
      <c r="AE4010" s="4">
        <v>107</v>
      </c>
      <c r="AF4010" s="4">
        <v>0</v>
      </c>
      <c r="AG4010" s="4">
        <v>2</v>
      </c>
      <c r="AH4010" s="4">
        <v>90</v>
      </c>
      <c r="AI4010" s="4">
        <v>91</v>
      </c>
      <c r="AJ4010" s="4">
        <v>13</v>
      </c>
      <c r="AK4010" s="4">
        <v>15</v>
      </c>
      <c r="AL4010" s="4">
        <v>52</v>
      </c>
      <c r="AM4010" s="4">
        <v>52</v>
      </c>
      <c r="AN4010" s="4">
        <v>0</v>
      </c>
      <c r="AO4010" s="4">
        <v>0</v>
      </c>
      <c r="AP4010" s="4">
        <v>20</v>
      </c>
      <c r="AQ4010" s="4">
        <v>21</v>
      </c>
      <c r="AR4010" s="3" t="s">
        <v>62</v>
      </c>
      <c r="AS4010" s="3" t="s">
        <v>62</v>
      </c>
      <c r="AT4010" s="3" t="s">
        <v>62</v>
      </c>
      <c r="AV4010" s="6" t="str">
        <f>HYPERLINK("http://mcgill.on.worldcat.org/oclc/47054668","Catalog Record")</f>
        <v>Catalog Record</v>
      </c>
      <c r="AW4010" s="6" t="str">
        <f>HYPERLINK("http://www.worldcat.org/oclc/47054668","WorldCat Record")</f>
        <v>WorldCat Record</v>
      </c>
      <c r="AX4010" s="3" t="s">
        <v>38660</v>
      </c>
      <c r="AY4010" s="3" t="s">
        <v>38661</v>
      </c>
      <c r="AZ4010" s="3" t="s">
        <v>38662</v>
      </c>
      <c r="BA4010" s="3" t="s">
        <v>38662</v>
      </c>
      <c r="BB4010" s="3" t="s">
        <v>38663</v>
      </c>
      <c r="BC4010" s="3" t="s">
        <v>102</v>
      </c>
      <c r="BD4010" s="3" t="s">
        <v>231</v>
      </c>
      <c r="BE4010" s="3" t="s">
        <v>38664</v>
      </c>
      <c r="BF4010" s="3" t="s">
        <v>38663</v>
      </c>
      <c r="BG4010" s="3" t="s">
        <v>38665</v>
      </c>
    </row>
    <row r="4011" spans="1:59" ht="58" x14ac:dyDescent="0.35">
      <c r="A4011" s="2" t="s">
        <v>89</v>
      </c>
      <c r="B4011" s="2" t="s">
        <v>90</v>
      </c>
      <c r="C4011" s="2" t="s">
        <v>38666</v>
      </c>
      <c r="D4011" s="2" t="s">
        <v>38667</v>
      </c>
      <c r="E4011" s="2" t="s">
        <v>38668</v>
      </c>
      <c r="G4011" s="3" t="s">
        <v>62</v>
      </c>
      <c r="I4011" s="3" t="s">
        <v>62</v>
      </c>
      <c r="J4011" s="3" t="s">
        <v>62</v>
      </c>
      <c r="K4011" s="3" t="s">
        <v>63</v>
      </c>
      <c r="M4011" s="2" t="s">
        <v>38669</v>
      </c>
      <c r="N4011" s="3" t="s">
        <v>880</v>
      </c>
      <c r="P4011" s="3" t="s">
        <v>64</v>
      </c>
      <c r="Q4011" s="2" t="s">
        <v>38670</v>
      </c>
      <c r="R4011" s="3" t="s">
        <v>34126</v>
      </c>
      <c r="S4011" s="4">
        <v>3</v>
      </c>
      <c r="T4011" s="4">
        <v>3</v>
      </c>
      <c r="U4011" s="5" t="s">
        <v>38671</v>
      </c>
      <c r="V4011" s="5" t="s">
        <v>38671</v>
      </c>
      <c r="W4011" s="5" t="s">
        <v>67</v>
      </c>
      <c r="X4011" s="5" t="s">
        <v>67</v>
      </c>
      <c r="Y4011" s="4">
        <v>238</v>
      </c>
      <c r="Z4011" s="4">
        <v>14</v>
      </c>
      <c r="AA4011" s="4">
        <v>18</v>
      </c>
      <c r="AB4011" s="4">
        <v>2</v>
      </c>
      <c r="AC4011" s="4">
        <v>5</v>
      </c>
      <c r="AD4011" s="4">
        <v>51</v>
      </c>
      <c r="AE4011" s="4">
        <v>54</v>
      </c>
      <c r="AF4011" s="4">
        <v>1</v>
      </c>
      <c r="AG4011" s="4">
        <v>3</v>
      </c>
      <c r="AH4011" s="4">
        <v>45</v>
      </c>
      <c r="AI4011" s="4">
        <v>46</v>
      </c>
      <c r="AJ4011" s="4">
        <v>6</v>
      </c>
      <c r="AK4011" s="4">
        <v>8</v>
      </c>
      <c r="AL4011" s="4">
        <v>24</v>
      </c>
      <c r="AM4011" s="4">
        <v>24</v>
      </c>
      <c r="AN4011" s="4">
        <v>0</v>
      </c>
      <c r="AO4011" s="4">
        <v>0</v>
      </c>
      <c r="AP4011" s="4">
        <v>9</v>
      </c>
      <c r="AQ4011" s="4">
        <v>11</v>
      </c>
      <c r="AR4011" s="3" t="s">
        <v>62</v>
      </c>
      <c r="AS4011" s="3" t="s">
        <v>62</v>
      </c>
      <c r="AT4011" s="3" t="s">
        <v>62</v>
      </c>
      <c r="AV4011" s="6" t="str">
        <f>HYPERLINK("http://mcgill.on.worldcat.org/oclc/489003087","Catalog Record")</f>
        <v>Catalog Record</v>
      </c>
      <c r="AW4011" s="6" t="str">
        <f>HYPERLINK("http://www.worldcat.org/oclc/489003087","WorldCat Record")</f>
        <v>WorldCat Record</v>
      </c>
      <c r="AX4011" s="3" t="s">
        <v>38672</v>
      </c>
      <c r="AY4011" s="3" t="s">
        <v>38673</v>
      </c>
      <c r="AZ4011" s="3" t="s">
        <v>38674</v>
      </c>
      <c r="BA4011" s="3" t="s">
        <v>38674</v>
      </c>
      <c r="BB4011" s="3" t="s">
        <v>38675</v>
      </c>
      <c r="BC4011" s="3" t="s">
        <v>102</v>
      </c>
      <c r="BD4011" s="3" t="s">
        <v>68</v>
      </c>
      <c r="BE4011" s="3" t="s">
        <v>38676</v>
      </c>
      <c r="BF4011" s="3" t="s">
        <v>38675</v>
      </c>
      <c r="BG4011" s="3" t="s">
        <v>38677</v>
      </c>
    </row>
    <row r="4012" spans="1:59" ht="58" x14ac:dyDescent="0.35">
      <c r="A4012" s="2" t="s">
        <v>89</v>
      </c>
      <c r="B4012" s="2" t="s">
        <v>90</v>
      </c>
      <c r="C4012" s="2" t="s">
        <v>38678</v>
      </c>
      <c r="D4012" s="2" t="s">
        <v>38679</v>
      </c>
      <c r="E4012" s="2" t="s">
        <v>38680</v>
      </c>
      <c r="G4012" s="3" t="s">
        <v>62</v>
      </c>
      <c r="I4012" s="3" t="s">
        <v>62</v>
      </c>
      <c r="J4012" s="3" t="s">
        <v>61</v>
      </c>
      <c r="K4012" s="3" t="s">
        <v>63</v>
      </c>
      <c r="L4012" s="2" t="s">
        <v>38681</v>
      </c>
      <c r="M4012" s="2" t="s">
        <v>38682</v>
      </c>
      <c r="N4012" s="3" t="s">
        <v>481</v>
      </c>
      <c r="P4012" s="3" t="s">
        <v>64</v>
      </c>
      <c r="R4012" s="3" t="s">
        <v>34126</v>
      </c>
      <c r="S4012" s="4">
        <v>36</v>
      </c>
      <c r="T4012" s="4">
        <v>36</v>
      </c>
      <c r="U4012" s="5" t="s">
        <v>32882</v>
      </c>
      <c r="V4012" s="5" t="s">
        <v>32882</v>
      </c>
      <c r="W4012" s="5" t="s">
        <v>67</v>
      </c>
      <c r="X4012" s="5" t="s">
        <v>67</v>
      </c>
      <c r="Y4012" s="4">
        <v>512</v>
      </c>
      <c r="Z4012" s="4">
        <v>25</v>
      </c>
      <c r="AA4012" s="4">
        <v>45</v>
      </c>
      <c r="AB4012" s="4">
        <v>1</v>
      </c>
      <c r="AC4012" s="4">
        <v>5</v>
      </c>
      <c r="AD4012" s="4">
        <v>89</v>
      </c>
      <c r="AE4012" s="4">
        <v>118</v>
      </c>
      <c r="AF4012" s="4">
        <v>0</v>
      </c>
      <c r="AG4012" s="4">
        <v>3</v>
      </c>
      <c r="AH4012" s="4">
        <v>79</v>
      </c>
      <c r="AI4012" s="4">
        <v>99</v>
      </c>
      <c r="AJ4012" s="4">
        <v>10</v>
      </c>
      <c r="AK4012" s="4">
        <v>18</v>
      </c>
      <c r="AL4012" s="4">
        <v>47</v>
      </c>
      <c r="AM4012" s="4">
        <v>53</v>
      </c>
      <c r="AN4012" s="4">
        <v>0</v>
      </c>
      <c r="AO4012" s="4">
        <v>0</v>
      </c>
      <c r="AP4012" s="4">
        <v>14</v>
      </c>
      <c r="AQ4012" s="4">
        <v>26</v>
      </c>
      <c r="AR4012" s="3" t="s">
        <v>62</v>
      </c>
      <c r="AS4012" s="3" t="s">
        <v>62</v>
      </c>
      <c r="AT4012" s="3" t="s">
        <v>62</v>
      </c>
      <c r="AV4012" s="6" t="str">
        <f>HYPERLINK("http://mcgill.on.worldcat.org/oclc/35192269","Catalog Record")</f>
        <v>Catalog Record</v>
      </c>
      <c r="AW4012" s="6" t="str">
        <f>HYPERLINK("http://www.worldcat.org/oclc/35192269","WorldCat Record")</f>
        <v>WorldCat Record</v>
      </c>
      <c r="AX4012" s="3" t="s">
        <v>38683</v>
      </c>
      <c r="AY4012" s="3" t="s">
        <v>38684</v>
      </c>
      <c r="AZ4012" s="3" t="s">
        <v>38685</v>
      </c>
      <c r="BA4012" s="3" t="s">
        <v>38685</v>
      </c>
      <c r="BB4012" s="3" t="s">
        <v>38686</v>
      </c>
      <c r="BC4012" s="3" t="s">
        <v>102</v>
      </c>
      <c r="BD4012" s="3" t="s">
        <v>68</v>
      </c>
      <c r="BE4012" s="3" t="s">
        <v>38687</v>
      </c>
      <c r="BF4012" s="3" t="s">
        <v>38686</v>
      </c>
      <c r="BG4012" s="3" t="s">
        <v>38688</v>
      </c>
    </row>
    <row r="4013" spans="1:59" ht="58" x14ac:dyDescent="0.35">
      <c r="A4013" s="2" t="s">
        <v>89</v>
      </c>
      <c r="B4013" s="2" t="s">
        <v>90</v>
      </c>
      <c r="C4013" s="2" t="s">
        <v>38689</v>
      </c>
      <c r="D4013" s="2" t="s">
        <v>38690</v>
      </c>
      <c r="E4013" s="2" t="s">
        <v>38691</v>
      </c>
      <c r="G4013" s="3" t="s">
        <v>62</v>
      </c>
      <c r="I4013" s="3" t="s">
        <v>62</v>
      </c>
      <c r="J4013" s="3" t="s">
        <v>62</v>
      </c>
      <c r="K4013" s="3" t="s">
        <v>63</v>
      </c>
      <c r="L4013" s="2" t="s">
        <v>38692</v>
      </c>
      <c r="M4013" s="2" t="s">
        <v>38693</v>
      </c>
      <c r="N4013" s="3" t="s">
        <v>129</v>
      </c>
      <c r="P4013" s="3" t="s">
        <v>85</v>
      </c>
      <c r="Q4013" s="2" t="s">
        <v>38694</v>
      </c>
      <c r="R4013" s="3" t="s">
        <v>34126</v>
      </c>
      <c r="S4013" s="4">
        <v>2</v>
      </c>
      <c r="T4013" s="4">
        <v>2</v>
      </c>
      <c r="U4013" s="5" t="s">
        <v>38695</v>
      </c>
      <c r="V4013" s="5" t="s">
        <v>38695</v>
      </c>
      <c r="W4013" s="5" t="s">
        <v>67</v>
      </c>
      <c r="X4013" s="5" t="s">
        <v>67</v>
      </c>
      <c r="Y4013" s="4">
        <v>10</v>
      </c>
      <c r="Z4013" s="4">
        <v>1</v>
      </c>
      <c r="AA4013" s="4">
        <v>2</v>
      </c>
      <c r="AB4013" s="4">
        <v>1</v>
      </c>
      <c r="AC4013" s="4">
        <v>2</v>
      </c>
      <c r="AD4013" s="4">
        <v>3</v>
      </c>
      <c r="AE4013" s="4">
        <v>4</v>
      </c>
      <c r="AF4013" s="4">
        <v>0</v>
      </c>
      <c r="AG4013" s="4">
        <v>1</v>
      </c>
      <c r="AH4013" s="4">
        <v>3</v>
      </c>
      <c r="AI4013" s="4">
        <v>4</v>
      </c>
      <c r="AJ4013" s="4">
        <v>0</v>
      </c>
      <c r="AK4013" s="4">
        <v>1</v>
      </c>
      <c r="AL4013" s="4">
        <v>2</v>
      </c>
      <c r="AM4013" s="4">
        <v>2</v>
      </c>
      <c r="AN4013" s="4">
        <v>0</v>
      </c>
      <c r="AO4013" s="4">
        <v>0</v>
      </c>
      <c r="AP4013" s="4">
        <v>0</v>
      </c>
      <c r="AQ4013" s="4">
        <v>1</v>
      </c>
      <c r="AR4013" s="3" t="s">
        <v>62</v>
      </c>
      <c r="AS4013" s="3" t="s">
        <v>62</v>
      </c>
      <c r="AT4013" s="3" t="s">
        <v>62</v>
      </c>
      <c r="AV4013" s="6" t="str">
        <f>HYPERLINK("http://mcgill.on.worldcat.org/oclc/857378507","Catalog Record")</f>
        <v>Catalog Record</v>
      </c>
      <c r="AW4013" s="6" t="str">
        <f>HYPERLINK("http://www.worldcat.org/oclc/857378507","WorldCat Record")</f>
        <v>WorldCat Record</v>
      </c>
      <c r="AX4013" s="3" t="s">
        <v>38696</v>
      </c>
      <c r="AY4013" s="3" t="s">
        <v>38697</v>
      </c>
      <c r="AZ4013" s="3" t="s">
        <v>38698</v>
      </c>
      <c r="BA4013" s="3" t="s">
        <v>38698</v>
      </c>
      <c r="BB4013" s="3" t="s">
        <v>38699</v>
      </c>
      <c r="BC4013" s="3" t="s">
        <v>102</v>
      </c>
      <c r="BD4013" s="3" t="s">
        <v>68</v>
      </c>
      <c r="BE4013" s="3" t="s">
        <v>38700</v>
      </c>
      <c r="BF4013" s="3" t="s">
        <v>38699</v>
      </c>
      <c r="BG4013" s="3" t="s">
        <v>38701</v>
      </c>
    </row>
    <row r="4014" spans="1:59" ht="58" x14ac:dyDescent="0.35">
      <c r="A4014" s="2" t="s">
        <v>59</v>
      </c>
      <c r="B4014" s="2" t="s">
        <v>60</v>
      </c>
      <c r="C4014" s="2" t="s">
        <v>38702</v>
      </c>
      <c r="D4014" s="2" t="s">
        <v>38703</v>
      </c>
      <c r="E4014" s="2" t="s">
        <v>38704</v>
      </c>
      <c r="G4014" s="3" t="s">
        <v>62</v>
      </c>
      <c r="I4014" s="3" t="s">
        <v>62</v>
      </c>
      <c r="J4014" s="3" t="s">
        <v>62</v>
      </c>
      <c r="K4014" s="3" t="s">
        <v>63</v>
      </c>
      <c r="L4014" s="2" t="s">
        <v>38705</v>
      </c>
      <c r="M4014" s="2" t="s">
        <v>38706</v>
      </c>
      <c r="N4014" s="3" t="s">
        <v>2566</v>
      </c>
      <c r="P4014" s="3" t="s">
        <v>64</v>
      </c>
      <c r="R4014" s="3" t="s">
        <v>34126</v>
      </c>
      <c r="S4014" s="4">
        <v>7</v>
      </c>
      <c r="T4014" s="4">
        <v>7</v>
      </c>
      <c r="U4014" s="5" t="s">
        <v>188</v>
      </c>
      <c r="V4014" s="5" t="s">
        <v>188</v>
      </c>
      <c r="W4014" s="5" t="s">
        <v>67</v>
      </c>
      <c r="X4014" s="5" t="s">
        <v>67</v>
      </c>
      <c r="Y4014" s="4">
        <v>839</v>
      </c>
      <c r="Z4014" s="4">
        <v>38</v>
      </c>
      <c r="AA4014" s="4">
        <v>46</v>
      </c>
      <c r="AB4014" s="4">
        <v>3</v>
      </c>
      <c r="AC4014" s="4">
        <v>3</v>
      </c>
      <c r="AD4014" s="4">
        <v>118</v>
      </c>
      <c r="AE4014" s="4">
        <v>125</v>
      </c>
      <c r="AF4014" s="4">
        <v>1</v>
      </c>
      <c r="AG4014" s="4">
        <v>1</v>
      </c>
      <c r="AH4014" s="4">
        <v>97</v>
      </c>
      <c r="AI4014" s="4">
        <v>101</v>
      </c>
      <c r="AJ4014" s="4">
        <v>15</v>
      </c>
      <c r="AK4014" s="4">
        <v>17</v>
      </c>
      <c r="AL4014" s="4">
        <v>55</v>
      </c>
      <c r="AM4014" s="4">
        <v>56</v>
      </c>
      <c r="AN4014" s="4">
        <v>0</v>
      </c>
      <c r="AO4014" s="4">
        <v>0</v>
      </c>
      <c r="AP4014" s="4">
        <v>25</v>
      </c>
      <c r="AQ4014" s="4">
        <v>30</v>
      </c>
      <c r="AR4014" s="3" t="s">
        <v>62</v>
      </c>
      <c r="AS4014" s="3" t="s">
        <v>62</v>
      </c>
      <c r="AT4014" s="3" t="s">
        <v>61</v>
      </c>
      <c r="AU4014" s="6" t="str">
        <f>HYPERLINK("http://catalog.hathitrust.org/Record/001492450","HathiTrust Record")</f>
        <v>HathiTrust Record</v>
      </c>
      <c r="AV4014" s="6" t="str">
        <f>HYPERLINK("http://mcgill.on.worldcat.org/oclc/851823","Catalog Record")</f>
        <v>Catalog Record</v>
      </c>
      <c r="AW4014" s="6" t="str">
        <f>HYPERLINK("http://www.worldcat.org/oclc/851823","WorldCat Record")</f>
        <v>WorldCat Record</v>
      </c>
      <c r="AX4014" s="3" t="s">
        <v>38707</v>
      </c>
      <c r="AY4014" s="3" t="s">
        <v>38708</v>
      </c>
      <c r="AZ4014" s="3" t="s">
        <v>38709</v>
      </c>
      <c r="BA4014" s="3" t="s">
        <v>38709</v>
      </c>
      <c r="BB4014" s="3" t="s">
        <v>38710</v>
      </c>
      <c r="BC4014" s="3" t="s">
        <v>102</v>
      </c>
      <c r="BD4014" s="3" t="s">
        <v>68</v>
      </c>
      <c r="BF4014" s="3" t="s">
        <v>38710</v>
      </c>
      <c r="BG4014" s="3" t="s">
        <v>38711</v>
      </c>
    </row>
    <row r="4015" spans="1:59" ht="58" x14ac:dyDescent="0.35">
      <c r="A4015" s="2" t="s">
        <v>89</v>
      </c>
      <c r="B4015" s="2" t="s">
        <v>90</v>
      </c>
      <c r="C4015" s="2" t="s">
        <v>38712</v>
      </c>
      <c r="D4015" s="2" t="s">
        <v>38713</v>
      </c>
      <c r="E4015" s="2" t="s">
        <v>38714</v>
      </c>
      <c r="G4015" s="3" t="s">
        <v>62</v>
      </c>
      <c r="I4015" s="3" t="s">
        <v>62</v>
      </c>
      <c r="J4015" s="3" t="s">
        <v>62</v>
      </c>
      <c r="K4015" s="3" t="s">
        <v>63</v>
      </c>
      <c r="L4015" s="2" t="s">
        <v>38715</v>
      </c>
      <c r="M4015" s="2" t="s">
        <v>38716</v>
      </c>
      <c r="N4015" s="3" t="s">
        <v>355</v>
      </c>
      <c r="P4015" s="3" t="s">
        <v>64</v>
      </c>
      <c r="R4015" s="3" t="s">
        <v>34126</v>
      </c>
      <c r="S4015" s="4">
        <v>46</v>
      </c>
      <c r="T4015" s="4">
        <v>46</v>
      </c>
      <c r="U4015" s="5" t="s">
        <v>4853</v>
      </c>
      <c r="V4015" s="5" t="s">
        <v>4853</v>
      </c>
      <c r="W4015" s="5" t="s">
        <v>67</v>
      </c>
      <c r="X4015" s="5" t="s">
        <v>67</v>
      </c>
      <c r="Y4015" s="4">
        <v>309</v>
      </c>
      <c r="Z4015" s="4">
        <v>22</v>
      </c>
      <c r="AA4015" s="4">
        <v>22</v>
      </c>
      <c r="AB4015" s="4">
        <v>1</v>
      </c>
      <c r="AC4015" s="4">
        <v>1</v>
      </c>
      <c r="AD4015" s="4">
        <v>73</v>
      </c>
      <c r="AE4015" s="4">
        <v>73</v>
      </c>
      <c r="AF4015" s="4">
        <v>0</v>
      </c>
      <c r="AG4015" s="4">
        <v>0</v>
      </c>
      <c r="AH4015" s="4">
        <v>63</v>
      </c>
      <c r="AI4015" s="4">
        <v>63</v>
      </c>
      <c r="AJ4015" s="4">
        <v>13</v>
      </c>
      <c r="AK4015" s="4">
        <v>13</v>
      </c>
      <c r="AL4015" s="4">
        <v>36</v>
      </c>
      <c r="AM4015" s="4">
        <v>36</v>
      </c>
      <c r="AN4015" s="4">
        <v>0</v>
      </c>
      <c r="AO4015" s="4">
        <v>0</v>
      </c>
      <c r="AP4015" s="4">
        <v>16</v>
      </c>
      <c r="AQ4015" s="4">
        <v>16</v>
      </c>
      <c r="AR4015" s="3" t="s">
        <v>62</v>
      </c>
      <c r="AS4015" s="3" t="s">
        <v>62</v>
      </c>
      <c r="AT4015" s="3" t="s">
        <v>62</v>
      </c>
      <c r="AV4015" s="6" t="str">
        <f>HYPERLINK("http://mcgill.on.worldcat.org/oclc/10747910","Catalog Record")</f>
        <v>Catalog Record</v>
      </c>
      <c r="AW4015" s="6" t="str">
        <f>HYPERLINK("http://www.worldcat.org/oclc/10747910","WorldCat Record")</f>
        <v>WorldCat Record</v>
      </c>
      <c r="AX4015" s="3" t="s">
        <v>38717</v>
      </c>
      <c r="AY4015" s="3" t="s">
        <v>38718</v>
      </c>
      <c r="AZ4015" s="3" t="s">
        <v>38719</v>
      </c>
      <c r="BA4015" s="3" t="s">
        <v>38719</v>
      </c>
      <c r="BB4015" s="3" t="s">
        <v>38720</v>
      </c>
      <c r="BC4015" s="3" t="s">
        <v>102</v>
      </c>
      <c r="BD4015" s="3" t="s">
        <v>68</v>
      </c>
      <c r="BE4015" s="3" t="s">
        <v>38721</v>
      </c>
      <c r="BF4015" s="3" t="s">
        <v>38720</v>
      </c>
      <c r="BG4015" s="3" t="s">
        <v>38722</v>
      </c>
    </row>
    <row r="4016" spans="1:59" ht="58" x14ac:dyDescent="0.35">
      <c r="A4016" s="2" t="s">
        <v>89</v>
      </c>
      <c r="B4016" s="2" t="s">
        <v>90</v>
      </c>
      <c r="C4016" s="2" t="s">
        <v>38723</v>
      </c>
      <c r="D4016" s="2" t="s">
        <v>38724</v>
      </c>
      <c r="E4016" s="2" t="s">
        <v>38725</v>
      </c>
      <c r="G4016" s="3" t="s">
        <v>62</v>
      </c>
      <c r="I4016" s="3" t="s">
        <v>61</v>
      </c>
      <c r="J4016" s="3" t="s">
        <v>62</v>
      </c>
      <c r="K4016" s="3" t="s">
        <v>63</v>
      </c>
      <c r="L4016" s="2" t="s">
        <v>38726</v>
      </c>
      <c r="M4016" s="2" t="s">
        <v>38727</v>
      </c>
      <c r="N4016" s="3" t="s">
        <v>893</v>
      </c>
      <c r="P4016" s="3" t="s">
        <v>64</v>
      </c>
      <c r="R4016" s="3" t="s">
        <v>34126</v>
      </c>
      <c r="S4016" s="4">
        <v>17</v>
      </c>
      <c r="T4016" s="4">
        <v>25</v>
      </c>
      <c r="U4016" s="5" t="s">
        <v>3560</v>
      </c>
      <c r="V4016" s="5" t="s">
        <v>3560</v>
      </c>
      <c r="W4016" s="5" t="s">
        <v>67</v>
      </c>
      <c r="X4016" s="5" t="s">
        <v>67</v>
      </c>
      <c r="Y4016" s="4">
        <v>820</v>
      </c>
      <c r="Z4016" s="4">
        <v>38</v>
      </c>
      <c r="AA4016" s="4">
        <v>103</v>
      </c>
      <c r="AB4016" s="4">
        <v>3</v>
      </c>
      <c r="AC4016" s="4">
        <v>18</v>
      </c>
      <c r="AD4016" s="4">
        <v>129</v>
      </c>
      <c r="AE4016" s="4">
        <v>157</v>
      </c>
      <c r="AF4016" s="4">
        <v>1</v>
      </c>
      <c r="AG4016" s="4">
        <v>8</v>
      </c>
      <c r="AH4016" s="4">
        <v>107</v>
      </c>
      <c r="AI4016" s="4">
        <v>112</v>
      </c>
      <c r="AJ4016" s="4">
        <v>21</v>
      </c>
      <c r="AK4016" s="4">
        <v>26</v>
      </c>
      <c r="AL4016" s="4">
        <v>60</v>
      </c>
      <c r="AM4016" s="4">
        <v>60</v>
      </c>
      <c r="AN4016" s="4">
        <v>0</v>
      </c>
      <c r="AO4016" s="4">
        <v>0</v>
      </c>
      <c r="AP4016" s="4">
        <v>26</v>
      </c>
      <c r="AQ4016" s="4">
        <v>49</v>
      </c>
      <c r="AR4016" s="3" t="s">
        <v>62</v>
      </c>
      <c r="AS4016" s="3" t="s">
        <v>62</v>
      </c>
      <c r="AT4016" s="3" t="s">
        <v>62</v>
      </c>
      <c r="AV4016" s="6" t="str">
        <f>HYPERLINK("http://mcgill.on.worldcat.org/oclc/8221897","Catalog Record")</f>
        <v>Catalog Record</v>
      </c>
      <c r="AW4016" s="6" t="str">
        <f>HYPERLINK("http://www.worldcat.org/oclc/8221897","WorldCat Record")</f>
        <v>WorldCat Record</v>
      </c>
      <c r="AX4016" s="3" t="s">
        <v>38728</v>
      </c>
      <c r="AY4016" s="3" t="s">
        <v>38729</v>
      </c>
      <c r="AZ4016" s="3" t="s">
        <v>38730</v>
      </c>
      <c r="BA4016" s="3" t="s">
        <v>38730</v>
      </c>
      <c r="BB4016" s="3" t="s">
        <v>38731</v>
      </c>
      <c r="BC4016" s="3" t="s">
        <v>102</v>
      </c>
      <c r="BD4016" s="3" t="s">
        <v>68</v>
      </c>
      <c r="BE4016" s="3" t="s">
        <v>38732</v>
      </c>
      <c r="BF4016" s="3" t="s">
        <v>38731</v>
      </c>
      <c r="BG4016" s="3" t="s">
        <v>38733</v>
      </c>
    </row>
    <row r="4017" spans="1:59" ht="58" x14ac:dyDescent="0.35">
      <c r="A4017" s="2" t="s">
        <v>89</v>
      </c>
      <c r="B4017" s="2" t="s">
        <v>90</v>
      </c>
      <c r="C4017" s="2" t="s">
        <v>38734</v>
      </c>
      <c r="D4017" s="2" t="s">
        <v>38735</v>
      </c>
      <c r="E4017" s="2" t="s">
        <v>38736</v>
      </c>
      <c r="G4017" s="3" t="s">
        <v>62</v>
      </c>
      <c r="I4017" s="3" t="s">
        <v>62</v>
      </c>
      <c r="J4017" s="3" t="s">
        <v>61</v>
      </c>
      <c r="K4017" s="3" t="s">
        <v>63</v>
      </c>
      <c r="L4017" s="2" t="s">
        <v>26965</v>
      </c>
      <c r="M4017" s="2" t="s">
        <v>38737</v>
      </c>
      <c r="N4017" s="3" t="s">
        <v>355</v>
      </c>
      <c r="P4017" s="3" t="s">
        <v>64</v>
      </c>
      <c r="R4017" s="3" t="s">
        <v>34126</v>
      </c>
      <c r="S4017" s="4">
        <v>17</v>
      </c>
      <c r="T4017" s="4">
        <v>17</v>
      </c>
      <c r="U4017" s="5" t="s">
        <v>6214</v>
      </c>
      <c r="V4017" s="5" t="s">
        <v>6214</v>
      </c>
      <c r="W4017" s="5" t="s">
        <v>67</v>
      </c>
      <c r="X4017" s="5" t="s">
        <v>67</v>
      </c>
      <c r="Y4017" s="4">
        <v>302</v>
      </c>
      <c r="Z4017" s="4">
        <v>13</v>
      </c>
      <c r="AA4017" s="4">
        <v>61</v>
      </c>
      <c r="AB4017" s="4">
        <v>2</v>
      </c>
      <c r="AC4017" s="4">
        <v>10</v>
      </c>
      <c r="AD4017" s="4">
        <v>38</v>
      </c>
      <c r="AE4017" s="4">
        <v>135</v>
      </c>
      <c r="AF4017" s="4">
        <v>0</v>
      </c>
      <c r="AG4017" s="4">
        <v>4</v>
      </c>
      <c r="AH4017" s="4">
        <v>30</v>
      </c>
      <c r="AI4017" s="4">
        <v>107</v>
      </c>
      <c r="AJ4017" s="4">
        <v>6</v>
      </c>
      <c r="AK4017" s="4">
        <v>26</v>
      </c>
      <c r="AL4017" s="4">
        <v>19</v>
      </c>
      <c r="AM4017" s="4">
        <v>57</v>
      </c>
      <c r="AN4017" s="4">
        <v>0</v>
      </c>
      <c r="AO4017" s="4">
        <v>0</v>
      </c>
      <c r="AP4017" s="4">
        <v>9</v>
      </c>
      <c r="AQ4017" s="4">
        <v>31</v>
      </c>
      <c r="AR4017" s="3" t="s">
        <v>62</v>
      </c>
      <c r="AS4017" s="3" t="s">
        <v>62</v>
      </c>
      <c r="AT4017" s="3" t="s">
        <v>62</v>
      </c>
      <c r="AV4017" s="6" t="str">
        <f>HYPERLINK("http://mcgill.on.worldcat.org/oclc/10145533","Catalog Record")</f>
        <v>Catalog Record</v>
      </c>
      <c r="AW4017" s="6" t="str">
        <f>HYPERLINK("http://www.worldcat.org/oclc/10145533","WorldCat Record")</f>
        <v>WorldCat Record</v>
      </c>
      <c r="AX4017" s="3" t="s">
        <v>38738</v>
      </c>
      <c r="AY4017" s="3" t="s">
        <v>38739</v>
      </c>
      <c r="AZ4017" s="3" t="s">
        <v>38740</v>
      </c>
      <c r="BA4017" s="3" t="s">
        <v>38740</v>
      </c>
      <c r="BB4017" s="3" t="s">
        <v>38741</v>
      </c>
      <c r="BC4017" s="3" t="s">
        <v>102</v>
      </c>
      <c r="BD4017" s="3" t="s">
        <v>68</v>
      </c>
      <c r="BE4017" s="3" t="s">
        <v>38742</v>
      </c>
      <c r="BF4017" s="3" t="s">
        <v>38741</v>
      </c>
      <c r="BG4017" s="3" t="s">
        <v>38743</v>
      </c>
    </row>
    <row r="4018" spans="1:59" ht="58" x14ac:dyDescent="0.35">
      <c r="A4018" s="2" t="s">
        <v>89</v>
      </c>
      <c r="B4018" s="2" t="s">
        <v>90</v>
      </c>
      <c r="C4018" s="2" t="s">
        <v>38744</v>
      </c>
      <c r="D4018" s="2" t="s">
        <v>38745</v>
      </c>
      <c r="E4018" s="2" t="s">
        <v>38746</v>
      </c>
      <c r="G4018" s="3" t="s">
        <v>62</v>
      </c>
      <c r="I4018" s="3" t="s">
        <v>62</v>
      </c>
      <c r="J4018" s="3" t="s">
        <v>62</v>
      </c>
      <c r="K4018" s="3" t="s">
        <v>63</v>
      </c>
      <c r="L4018" s="2" t="s">
        <v>38747</v>
      </c>
      <c r="N4018" s="3" t="s">
        <v>568</v>
      </c>
      <c r="P4018" s="3" t="s">
        <v>64</v>
      </c>
      <c r="R4018" s="3" t="s">
        <v>34126</v>
      </c>
      <c r="S4018" s="4">
        <v>18</v>
      </c>
      <c r="T4018" s="4">
        <v>18</v>
      </c>
      <c r="U4018" s="5" t="s">
        <v>32882</v>
      </c>
      <c r="V4018" s="5" t="s">
        <v>32882</v>
      </c>
      <c r="W4018" s="5" t="s">
        <v>67</v>
      </c>
      <c r="X4018" s="5" t="s">
        <v>67</v>
      </c>
      <c r="Y4018" s="4">
        <v>329</v>
      </c>
      <c r="Z4018" s="4">
        <v>18</v>
      </c>
      <c r="AA4018" s="4">
        <v>20</v>
      </c>
      <c r="AB4018" s="4">
        <v>3</v>
      </c>
      <c r="AC4018" s="4">
        <v>3</v>
      </c>
      <c r="AD4018" s="4">
        <v>77</v>
      </c>
      <c r="AE4018" s="4">
        <v>81</v>
      </c>
      <c r="AF4018" s="4">
        <v>1</v>
      </c>
      <c r="AG4018" s="4">
        <v>1</v>
      </c>
      <c r="AH4018" s="4">
        <v>70</v>
      </c>
      <c r="AI4018" s="4">
        <v>73</v>
      </c>
      <c r="AJ4018" s="4">
        <v>8</v>
      </c>
      <c r="AK4018" s="4">
        <v>9</v>
      </c>
      <c r="AL4018" s="4">
        <v>36</v>
      </c>
      <c r="AM4018" s="4">
        <v>37</v>
      </c>
      <c r="AN4018" s="4">
        <v>0</v>
      </c>
      <c r="AO4018" s="4">
        <v>0</v>
      </c>
      <c r="AP4018" s="4">
        <v>11</v>
      </c>
      <c r="AQ4018" s="4">
        <v>13</v>
      </c>
      <c r="AR4018" s="3" t="s">
        <v>62</v>
      </c>
      <c r="AS4018" s="3" t="s">
        <v>62</v>
      </c>
      <c r="AT4018" s="3" t="s">
        <v>61</v>
      </c>
      <c r="AU4018" s="6" t="str">
        <f>HYPERLINK("http://catalog.hathitrust.org/Record/004076717","HathiTrust Record")</f>
        <v>HathiTrust Record</v>
      </c>
      <c r="AV4018" s="6" t="str">
        <f>HYPERLINK("http://mcgill.on.worldcat.org/oclc/42420708","Catalog Record")</f>
        <v>Catalog Record</v>
      </c>
      <c r="AW4018" s="6" t="str">
        <f>HYPERLINK("http://www.worldcat.org/oclc/42420708","WorldCat Record")</f>
        <v>WorldCat Record</v>
      </c>
      <c r="AX4018" s="3" t="s">
        <v>38748</v>
      </c>
      <c r="AY4018" s="3" t="s">
        <v>38749</v>
      </c>
      <c r="AZ4018" s="3" t="s">
        <v>38750</v>
      </c>
      <c r="BA4018" s="3" t="s">
        <v>38750</v>
      </c>
      <c r="BB4018" s="3" t="s">
        <v>38751</v>
      </c>
      <c r="BC4018" s="3" t="s">
        <v>102</v>
      </c>
      <c r="BD4018" s="3" t="s">
        <v>68</v>
      </c>
      <c r="BE4018" s="3" t="s">
        <v>38752</v>
      </c>
      <c r="BF4018" s="3" t="s">
        <v>38751</v>
      </c>
      <c r="BG4018" s="3" t="s">
        <v>38753</v>
      </c>
    </row>
    <row r="4019" spans="1:59" ht="58" x14ac:dyDescent="0.35">
      <c r="A4019" s="2" t="s">
        <v>89</v>
      </c>
      <c r="B4019" s="2" t="s">
        <v>90</v>
      </c>
      <c r="C4019" s="2" t="s">
        <v>38754</v>
      </c>
      <c r="D4019" s="2" t="s">
        <v>38755</v>
      </c>
      <c r="E4019" s="2" t="s">
        <v>38756</v>
      </c>
      <c r="G4019" s="3" t="s">
        <v>62</v>
      </c>
      <c r="I4019" s="3" t="s">
        <v>62</v>
      </c>
      <c r="J4019" s="3" t="s">
        <v>62</v>
      </c>
      <c r="K4019" s="3" t="s">
        <v>63</v>
      </c>
      <c r="L4019" s="2" t="s">
        <v>38757</v>
      </c>
      <c r="M4019" s="2" t="s">
        <v>38758</v>
      </c>
      <c r="N4019" s="3" t="s">
        <v>596</v>
      </c>
      <c r="O4019" s="2" t="s">
        <v>2163</v>
      </c>
      <c r="P4019" s="3" t="s">
        <v>64</v>
      </c>
      <c r="Q4019" s="2" t="s">
        <v>38759</v>
      </c>
      <c r="R4019" s="3" t="s">
        <v>34126</v>
      </c>
      <c r="S4019" s="4">
        <v>7</v>
      </c>
      <c r="T4019" s="4">
        <v>7</v>
      </c>
      <c r="U4019" s="5" t="s">
        <v>3051</v>
      </c>
      <c r="V4019" s="5" t="s">
        <v>3051</v>
      </c>
      <c r="W4019" s="5" t="s">
        <v>67</v>
      </c>
      <c r="X4019" s="5" t="s">
        <v>67</v>
      </c>
      <c r="Y4019" s="4">
        <v>1181</v>
      </c>
      <c r="Z4019" s="4">
        <v>31</v>
      </c>
      <c r="AA4019" s="4">
        <v>32</v>
      </c>
      <c r="AB4019" s="4">
        <v>3</v>
      </c>
      <c r="AC4019" s="4">
        <v>3</v>
      </c>
      <c r="AD4019" s="4">
        <v>80</v>
      </c>
      <c r="AE4019" s="4">
        <v>81</v>
      </c>
      <c r="AF4019" s="4">
        <v>0</v>
      </c>
      <c r="AG4019" s="4">
        <v>0</v>
      </c>
      <c r="AH4019" s="4">
        <v>69</v>
      </c>
      <c r="AI4019" s="4">
        <v>69</v>
      </c>
      <c r="AJ4019" s="4">
        <v>5</v>
      </c>
      <c r="AK4019" s="4">
        <v>5</v>
      </c>
      <c r="AL4019" s="4">
        <v>45</v>
      </c>
      <c r="AM4019" s="4">
        <v>45</v>
      </c>
      <c r="AN4019" s="4">
        <v>0</v>
      </c>
      <c r="AO4019" s="4">
        <v>0</v>
      </c>
      <c r="AP4019" s="4">
        <v>11</v>
      </c>
      <c r="AQ4019" s="4">
        <v>12</v>
      </c>
      <c r="AR4019" s="3" t="s">
        <v>62</v>
      </c>
      <c r="AS4019" s="3" t="s">
        <v>62</v>
      </c>
      <c r="AT4019" s="3" t="s">
        <v>61</v>
      </c>
      <c r="AU4019" s="6" t="str">
        <f>HYPERLINK("http://catalog.hathitrust.org/Record/004971938","HathiTrust Record")</f>
        <v>HathiTrust Record</v>
      </c>
      <c r="AV4019" s="6" t="str">
        <f>HYPERLINK("http://mcgill.on.worldcat.org/oclc/181898943","Catalog Record")</f>
        <v>Catalog Record</v>
      </c>
      <c r="AW4019" s="6" t="str">
        <f>HYPERLINK("http://www.worldcat.org/oclc/181898943","WorldCat Record")</f>
        <v>WorldCat Record</v>
      </c>
      <c r="AX4019" s="3" t="s">
        <v>38760</v>
      </c>
      <c r="AY4019" s="3" t="s">
        <v>38761</v>
      </c>
      <c r="AZ4019" s="3" t="s">
        <v>38762</v>
      </c>
      <c r="BA4019" s="3" t="s">
        <v>38762</v>
      </c>
      <c r="BB4019" s="3" t="s">
        <v>38763</v>
      </c>
      <c r="BC4019" s="3" t="s">
        <v>102</v>
      </c>
      <c r="BD4019" s="3" t="s">
        <v>68</v>
      </c>
      <c r="BE4019" s="3" t="s">
        <v>38764</v>
      </c>
      <c r="BF4019" s="3" t="s">
        <v>38763</v>
      </c>
      <c r="BG4019" s="3" t="s">
        <v>38765</v>
      </c>
    </row>
    <row r="4020" spans="1:59" ht="58" x14ac:dyDescent="0.35">
      <c r="A4020" s="2" t="s">
        <v>59</v>
      </c>
      <c r="B4020" s="2" t="s">
        <v>60</v>
      </c>
      <c r="C4020" s="2" t="s">
        <v>38766</v>
      </c>
      <c r="D4020" s="2" t="s">
        <v>38767</v>
      </c>
      <c r="E4020" s="2" t="s">
        <v>38768</v>
      </c>
      <c r="G4020" s="3" t="s">
        <v>62</v>
      </c>
      <c r="I4020" s="3" t="s">
        <v>61</v>
      </c>
      <c r="J4020" s="3" t="s">
        <v>62</v>
      </c>
      <c r="K4020" s="3" t="s">
        <v>63</v>
      </c>
      <c r="L4020" s="2" t="s">
        <v>38769</v>
      </c>
      <c r="M4020" s="2" t="s">
        <v>38770</v>
      </c>
      <c r="N4020" s="3" t="s">
        <v>539</v>
      </c>
      <c r="O4020" s="2" t="s">
        <v>2163</v>
      </c>
      <c r="P4020" s="3" t="s">
        <v>64</v>
      </c>
      <c r="R4020" s="3" t="s">
        <v>34126</v>
      </c>
      <c r="S4020" s="4">
        <v>36</v>
      </c>
      <c r="T4020" s="4">
        <v>36</v>
      </c>
      <c r="U4020" s="5" t="s">
        <v>38771</v>
      </c>
      <c r="V4020" s="5" t="s">
        <v>38771</v>
      </c>
      <c r="W4020" s="5" t="s">
        <v>67</v>
      </c>
      <c r="X4020" s="5" t="s">
        <v>67</v>
      </c>
      <c r="Y4020" s="4">
        <v>2014</v>
      </c>
      <c r="Z4020" s="4">
        <v>76</v>
      </c>
      <c r="AA4020" s="4">
        <v>79</v>
      </c>
      <c r="AB4020" s="4">
        <v>3</v>
      </c>
      <c r="AC4020" s="4">
        <v>5</v>
      </c>
      <c r="AD4020" s="4">
        <v>128</v>
      </c>
      <c r="AE4020" s="4">
        <v>129</v>
      </c>
      <c r="AF4020" s="4">
        <v>0</v>
      </c>
      <c r="AG4020" s="4">
        <v>1</v>
      </c>
      <c r="AH4020" s="4">
        <v>105</v>
      </c>
      <c r="AI4020" s="4">
        <v>105</v>
      </c>
      <c r="AJ4020" s="4">
        <v>18</v>
      </c>
      <c r="AK4020" s="4">
        <v>19</v>
      </c>
      <c r="AL4020" s="4">
        <v>55</v>
      </c>
      <c r="AM4020" s="4">
        <v>55</v>
      </c>
      <c r="AN4020" s="4">
        <v>0</v>
      </c>
      <c r="AO4020" s="4">
        <v>0</v>
      </c>
      <c r="AP4020" s="4">
        <v>27</v>
      </c>
      <c r="AQ4020" s="4">
        <v>27</v>
      </c>
      <c r="AR4020" s="3" t="s">
        <v>62</v>
      </c>
      <c r="AS4020" s="3" t="s">
        <v>62</v>
      </c>
      <c r="AT4020" s="3" t="s">
        <v>62</v>
      </c>
      <c r="AV4020" s="6" t="str">
        <f>HYPERLINK("http://mcgill.on.worldcat.org/oclc/37437467","Catalog Record")</f>
        <v>Catalog Record</v>
      </c>
      <c r="AW4020" s="6" t="str">
        <f>HYPERLINK("http://www.worldcat.org/oclc/37437467","WorldCat Record")</f>
        <v>WorldCat Record</v>
      </c>
      <c r="AX4020" s="3" t="s">
        <v>38772</v>
      </c>
      <c r="AY4020" s="3" t="s">
        <v>38773</v>
      </c>
      <c r="AZ4020" s="3" t="s">
        <v>38774</v>
      </c>
      <c r="BA4020" s="3" t="s">
        <v>38774</v>
      </c>
      <c r="BB4020" s="3" t="s">
        <v>38775</v>
      </c>
      <c r="BC4020" s="3" t="s">
        <v>102</v>
      </c>
      <c r="BD4020" s="3" t="s">
        <v>68</v>
      </c>
      <c r="BE4020" s="3" t="s">
        <v>38776</v>
      </c>
      <c r="BF4020" s="3" t="s">
        <v>38775</v>
      </c>
      <c r="BG4020" s="3" t="s">
        <v>38777</v>
      </c>
    </row>
    <row r="4021" spans="1:59" ht="58" x14ac:dyDescent="0.35">
      <c r="A4021" s="2" t="s">
        <v>59</v>
      </c>
      <c r="B4021" s="2" t="s">
        <v>60</v>
      </c>
      <c r="C4021" s="2" t="s">
        <v>38778</v>
      </c>
      <c r="D4021" s="2" t="s">
        <v>38779</v>
      </c>
      <c r="E4021" s="2" t="s">
        <v>38780</v>
      </c>
      <c r="G4021" s="3" t="s">
        <v>62</v>
      </c>
      <c r="I4021" s="3" t="s">
        <v>61</v>
      </c>
      <c r="J4021" s="3" t="s">
        <v>62</v>
      </c>
      <c r="K4021" s="3" t="s">
        <v>63</v>
      </c>
      <c r="M4021" s="2" t="s">
        <v>38781</v>
      </c>
      <c r="N4021" s="3" t="s">
        <v>424</v>
      </c>
      <c r="P4021" s="3" t="s">
        <v>64</v>
      </c>
      <c r="R4021" s="3" t="s">
        <v>34126</v>
      </c>
      <c r="S4021" s="4">
        <v>15</v>
      </c>
      <c r="T4021" s="4">
        <v>18</v>
      </c>
      <c r="U4021" s="5" t="s">
        <v>1627</v>
      </c>
      <c r="V4021" s="5" t="s">
        <v>1627</v>
      </c>
      <c r="W4021" s="5" t="s">
        <v>67</v>
      </c>
      <c r="X4021" s="5" t="s">
        <v>67</v>
      </c>
      <c r="Y4021" s="4">
        <v>662</v>
      </c>
      <c r="Z4021" s="4">
        <v>36</v>
      </c>
      <c r="AA4021" s="4">
        <v>43</v>
      </c>
      <c r="AB4021" s="4">
        <v>1</v>
      </c>
      <c r="AC4021" s="4">
        <v>6</v>
      </c>
      <c r="AD4021" s="4">
        <v>117</v>
      </c>
      <c r="AE4021" s="4">
        <v>125</v>
      </c>
      <c r="AF4021" s="4">
        <v>0</v>
      </c>
      <c r="AG4021" s="4">
        <v>5</v>
      </c>
      <c r="AH4021" s="4">
        <v>97</v>
      </c>
      <c r="AI4021" s="4">
        <v>100</v>
      </c>
      <c r="AJ4021" s="4">
        <v>17</v>
      </c>
      <c r="AK4021" s="4">
        <v>22</v>
      </c>
      <c r="AL4021" s="4">
        <v>53</v>
      </c>
      <c r="AM4021" s="4">
        <v>54</v>
      </c>
      <c r="AN4021" s="4">
        <v>0</v>
      </c>
      <c r="AO4021" s="4">
        <v>0</v>
      </c>
      <c r="AP4021" s="4">
        <v>25</v>
      </c>
      <c r="AQ4021" s="4">
        <v>31</v>
      </c>
      <c r="AR4021" s="3" t="s">
        <v>62</v>
      </c>
      <c r="AS4021" s="3" t="s">
        <v>62</v>
      </c>
      <c r="AT4021" s="3" t="s">
        <v>61</v>
      </c>
      <c r="AU4021" s="6" t="str">
        <f>HYPERLINK("http://catalog.hathitrust.org/Record/000881193","HathiTrust Record")</f>
        <v>HathiTrust Record</v>
      </c>
      <c r="AV4021" s="6" t="str">
        <f>HYPERLINK("http://mcgill.on.worldcat.org/oclc/16758907","Catalog Record")</f>
        <v>Catalog Record</v>
      </c>
      <c r="AW4021" s="6" t="str">
        <f>HYPERLINK("http://www.worldcat.org/oclc/16758907","WorldCat Record")</f>
        <v>WorldCat Record</v>
      </c>
      <c r="AX4021" s="3" t="s">
        <v>38782</v>
      </c>
      <c r="AY4021" s="3" t="s">
        <v>38783</v>
      </c>
      <c r="AZ4021" s="3" t="s">
        <v>38784</v>
      </c>
      <c r="BA4021" s="3" t="s">
        <v>38784</v>
      </c>
      <c r="BB4021" s="3" t="s">
        <v>38785</v>
      </c>
      <c r="BC4021" s="3" t="s">
        <v>102</v>
      </c>
      <c r="BD4021" s="3" t="s">
        <v>68</v>
      </c>
      <c r="BE4021" s="3" t="s">
        <v>38786</v>
      </c>
      <c r="BF4021" s="3" t="s">
        <v>38785</v>
      </c>
      <c r="BG4021" s="3" t="s">
        <v>38787</v>
      </c>
    </row>
    <row r="4022" spans="1:59" ht="58" x14ac:dyDescent="0.35">
      <c r="A4022" s="2" t="s">
        <v>59</v>
      </c>
      <c r="B4022" s="2" t="s">
        <v>60</v>
      </c>
      <c r="C4022" s="2" t="s">
        <v>38788</v>
      </c>
      <c r="D4022" s="2" t="s">
        <v>38789</v>
      </c>
      <c r="E4022" s="2" t="s">
        <v>38790</v>
      </c>
      <c r="G4022" s="3" t="s">
        <v>62</v>
      </c>
      <c r="I4022" s="3" t="s">
        <v>62</v>
      </c>
      <c r="J4022" s="3" t="s">
        <v>62</v>
      </c>
      <c r="K4022" s="3" t="s">
        <v>63</v>
      </c>
      <c r="L4022" s="2" t="s">
        <v>38791</v>
      </c>
      <c r="M4022" s="2" t="s">
        <v>14984</v>
      </c>
      <c r="N4022" s="3" t="s">
        <v>438</v>
      </c>
      <c r="P4022" s="3" t="s">
        <v>64</v>
      </c>
      <c r="Q4022" s="2" t="s">
        <v>14985</v>
      </c>
      <c r="R4022" s="3" t="s">
        <v>34126</v>
      </c>
      <c r="S4022" s="4">
        <v>27</v>
      </c>
      <c r="T4022" s="4">
        <v>27</v>
      </c>
      <c r="U4022" s="5" t="s">
        <v>11570</v>
      </c>
      <c r="V4022" s="5" t="s">
        <v>11570</v>
      </c>
      <c r="W4022" s="5" t="s">
        <v>67</v>
      </c>
      <c r="X4022" s="5" t="s">
        <v>67</v>
      </c>
      <c r="Y4022" s="4">
        <v>661</v>
      </c>
      <c r="Z4022" s="4">
        <v>26</v>
      </c>
      <c r="AA4022" s="4">
        <v>29</v>
      </c>
      <c r="AB4022" s="4">
        <v>2</v>
      </c>
      <c r="AC4022" s="4">
        <v>5</v>
      </c>
      <c r="AD4022" s="4">
        <v>98</v>
      </c>
      <c r="AE4022" s="4">
        <v>100</v>
      </c>
      <c r="AF4022" s="4">
        <v>0</v>
      </c>
      <c r="AG4022" s="4">
        <v>2</v>
      </c>
      <c r="AH4022" s="4">
        <v>86</v>
      </c>
      <c r="AI4022" s="4">
        <v>87</v>
      </c>
      <c r="AJ4022" s="4">
        <v>12</v>
      </c>
      <c r="AK4022" s="4">
        <v>14</v>
      </c>
      <c r="AL4022" s="4">
        <v>49</v>
      </c>
      <c r="AM4022" s="4">
        <v>49</v>
      </c>
      <c r="AN4022" s="4">
        <v>0</v>
      </c>
      <c r="AO4022" s="4">
        <v>0</v>
      </c>
      <c r="AP4022" s="4">
        <v>15</v>
      </c>
      <c r="AQ4022" s="4">
        <v>16</v>
      </c>
      <c r="AR4022" s="3" t="s">
        <v>62</v>
      </c>
      <c r="AS4022" s="3" t="s">
        <v>62</v>
      </c>
      <c r="AT4022" s="3" t="s">
        <v>61</v>
      </c>
      <c r="AU4022" s="6" t="str">
        <f>HYPERLINK("http://catalog.hathitrust.org/Record/002422447","HathiTrust Record")</f>
        <v>HathiTrust Record</v>
      </c>
      <c r="AV4022" s="6" t="str">
        <f>HYPERLINK("http://mcgill.on.worldcat.org/oclc/21672568","Catalog Record")</f>
        <v>Catalog Record</v>
      </c>
      <c r="AW4022" s="6" t="str">
        <f>HYPERLINK("http://www.worldcat.org/oclc/21672568","WorldCat Record")</f>
        <v>WorldCat Record</v>
      </c>
      <c r="AX4022" s="3" t="s">
        <v>38792</v>
      </c>
      <c r="AY4022" s="3" t="s">
        <v>38793</v>
      </c>
      <c r="AZ4022" s="3" t="s">
        <v>38794</v>
      </c>
      <c r="BA4022" s="3" t="s">
        <v>38794</v>
      </c>
      <c r="BB4022" s="3" t="s">
        <v>38795</v>
      </c>
      <c r="BC4022" s="3" t="s">
        <v>102</v>
      </c>
      <c r="BD4022" s="3" t="s">
        <v>68</v>
      </c>
      <c r="BE4022" s="3" t="s">
        <v>38796</v>
      </c>
      <c r="BF4022" s="3" t="s">
        <v>38795</v>
      </c>
      <c r="BG4022" s="3" t="s">
        <v>38797</v>
      </c>
    </row>
    <row r="4023" spans="1:59" ht="58" x14ac:dyDescent="0.35">
      <c r="A4023" s="2" t="s">
        <v>89</v>
      </c>
      <c r="B4023" s="2" t="s">
        <v>90</v>
      </c>
      <c r="C4023" s="2" t="s">
        <v>38798</v>
      </c>
      <c r="D4023" s="2" t="s">
        <v>38799</v>
      </c>
      <c r="E4023" s="2" t="s">
        <v>38800</v>
      </c>
      <c r="G4023" s="3" t="s">
        <v>62</v>
      </c>
      <c r="I4023" s="3" t="s">
        <v>62</v>
      </c>
      <c r="J4023" s="3" t="s">
        <v>62</v>
      </c>
      <c r="K4023" s="3" t="s">
        <v>63</v>
      </c>
      <c r="L4023" s="2" t="s">
        <v>38801</v>
      </c>
      <c r="M4023" s="2" t="s">
        <v>38802</v>
      </c>
      <c r="N4023" s="3" t="s">
        <v>655</v>
      </c>
      <c r="P4023" s="3" t="s">
        <v>64</v>
      </c>
      <c r="R4023" s="3" t="s">
        <v>34126</v>
      </c>
      <c r="S4023" s="4">
        <v>5</v>
      </c>
      <c r="T4023" s="4">
        <v>5</v>
      </c>
      <c r="U4023" s="5" t="s">
        <v>22276</v>
      </c>
      <c r="V4023" s="5" t="s">
        <v>22276</v>
      </c>
      <c r="W4023" s="5" t="s">
        <v>67</v>
      </c>
      <c r="X4023" s="5" t="s">
        <v>67</v>
      </c>
      <c r="Y4023" s="4">
        <v>137</v>
      </c>
      <c r="Z4023" s="4">
        <v>13</v>
      </c>
      <c r="AA4023" s="4">
        <v>13</v>
      </c>
      <c r="AB4023" s="4">
        <v>1</v>
      </c>
      <c r="AC4023" s="4">
        <v>1</v>
      </c>
      <c r="AD4023" s="4">
        <v>33</v>
      </c>
      <c r="AE4023" s="4">
        <v>33</v>
      </c>
      <c r="AF4023" s="4">
        <v>0</v>
      </c>
      <c r="AG4023" s="4">
        <v>0</v>
      </c>
      <c r="AH4023" s="4">
        <v>30</v>
      </c>
      <c r="AI4023" s="4">
        <v>30</v>
      </c>
      <c r="AJ4023" s="4">
        <v>4</v>
      </c>
      <c r="AK4023" s="4">
        <v>4</v>
      </c>
      <c r="AL4023" s="4">
        <v>18</v>
      </c>
      <c r="AM4023" s="4">
        <v>18</v>
      </c>
      <c r="AN4023" s="4">
        <v>0</v>
      </c>
      <c r="AO4023" s="4">
        <v>0</v>
      </c>
      <c r="AP4023" s="4">
        <v>6</v>
      </c>
      <c r="AQ4023" s="4">
        <v>6</v>
      </c>
      <c r="AR4023" s="3" t="s">
        <v>62</v>
      </c>
      <c r="AS4023" s="3" t="s">
        <v>62</v>
      </c>
      <c r="AT4023" s="3" t="s">
        <v>62</v>
      </c>
      <c r="AV4023" s="6" t="str">
        <f>HYPERLINK("http://mcgill.on.worldcat.org/oclc/122956971","Catalog Record")</f>
        <v>Catalog Record</v>
      </c>
      <c r="AW4023" s="6" t="str">
        <f>HYPERLINK("http://www.worldcat.org/oclc/122956971","WorldCat Record")</f>
        <v>WorldCat Record</v>
      </c>
      <c r="AX4023" s="3" t="s">
        <v>38803</v>
      </c>
      <c r="AY4023" s="3" t="s">
        <v>38804</v>
      </c>
      <c r="AZ4023" s="3" t="s">
        <v>38805</v>
      </c>
      <c r="BA4023" s="3" t="s">
        <v>38805</v>
      </c>
      <c r="BB4023" s="3" t="s">
        <v>38806</v>
      </c>
      <c r="BC4023" s="3" t="s">
        <v>102</v>
      </c>
      <c r="BD4023" s="3" t="s">
        <v>68</v>
      </c>
      <c r="BE4023" s="3" t="s">
        <v>38807</v>
      </c>
      <c r="BF4023" s="3" t="s">
        <v>38806</v>
      </c>
      <c r="BG4023" s="3" t="s">
        <v>38808</v>
      </c>
    </row>
    <row r="4024" spans="1:59" ht="58" x14ac:dyDescent="0.35">
      <c r="A4024" s="2" t="s">
        <v>89</v>
      </c>
      <c r="B4024" s="2" t="s">
        <v>90</v>
      </c>
      <c r="C4024" s="2" t="s">
        <v>38809</v>
      </c>
      <c r="D4024" s="2" t="s">
        <v>38810</v>
      </c>
      <c r="E4024" s="2" t="s">
        <v>38811</v>
      </c>
      <c r="G4024" s="3" t="s">
        <v>62</v>
      </c>
      <c r="H4024" s="3" t="s">
        <v>916</v>
      </c>
      <c r="I4024" s="3" t="s">
        <v>62</v>
      </c>
      <c r="J4024" s="3" t="s">
        <v>62</v>
      </c>
      <c r="K4024" s="3" t="s">
        <v>63</v>
      </c>
      <c r="L4024" s="2" t="s">
        <v>38812</v>
      </c>
      <c r="M4024" s="2" t="s">
        <v>38813</v>
      </c>
      <c r="N4024" s="3" t="s">
        <v>1455</v>
      </c>
      <c r="P4024" s="3" t="s">
        <v>64</v>
      </c>
      <c r="R4024" s="3" t="s">
        <v>34126</v>
      </c>
      <c r="S4024" s="4">
        <v>0</v>
      </c>
      <c r="T4024" s="4">
        <v>0</v>
      </c>
      <c r="W4024" s="5" t="s">
        <v>12369</v>
      </c>
      <c r="X4024" s="5" t="s">
        <v>12369</v>
      </c>
      <c r="Y4024" s="4">
        <v>226</v>
      </c>
      <c r="Z4024" s="4">
        <v>14</v>
      </c>
      <c r="AA4024" s="4">
        <v>51</v>
      </c>
      <c r="AB4024" s="4">
        <v>2</v>
      </c>
      <c r="AC4024" s="4">
        <v>5</v>
      </c>
      <c r="AD4024" s="4">
        <v>50</v>
      </c>
      <c r="AE4024" s="4">
        <v>75</v>
      </c>
      <c r="AF4024" s="4">
        <v>1</v>
      </c>
      <c r="AG4024" s="4">
        <v>1</v>
      </c>
      <c r="AH4024" s="4">
        <v>44</v>
      </c>
      <c r="AI4024" s="4">
        <v>59</v>
      </c>
      <c r="AJ4024" s="4">
        <v>6</v>
      </c>
      <c r="AK4024" s="4">
        <v>12</v>
      </c>
      <c r="AL4024" s="4">
        <v>24</v>
      </c>
      <c r="AM4024" s="4">
        <v>33</v>
      </c>
      <c r="AN4024" s="4">
        <v>0</v>
      </c>
      <c r="AO4024" s="4">
        <v>0</v>
      </c>
      <c r="AP4024" s="4">
        <v>9</v>
      </c>
      <c r="AQ4024" s="4">
        <v>20</v>
      </c>
      <c r="AR4024" s="3" t="s">
        <v>62</v>
      </c>
      <c r="AS4024" s="3" t="s">
        <v>62</v>
      </c>
      <c r="AT4024" s="3" t="s">
        <v>62</v>
      </c>
      <c r="AV4024" s="6" t="str">
        <f>HYPERLINK("http://mcgill.on.worldcat.org/oclc/894139943","Catalog Record")</f>
        <v>Catalog Record</v>
      </c>
      <c r="AW4024" s="6" t="str">
        <f>HYPERLINK("http://www.worldcat.org/oclc/894139943","WorldCat Record")</f>
        <v>WorldCat Record</v>
      </c>
      <c r="AX4024" s="3" t="s">
        <v>38814</v>
      </c>
      <c r="AY4024" s="3" t="s">
        <v>38815</v>
      </c>
      <c r="AZ4024" s="3" t="s">
        <v>38816</v>
      </c>
      <c r="BA4024" s="3" t="s">
        <v>38816</v>
      </c>
      <c r="BB4024" s="3" t="s">
        <v>38817</v>
      </c>
      <c r="BC4024" s="3" t="s">
        <v>102</v>
      </c>
      <c r="BD4024" s="3" t="s">
        <v>68</v>
      </c>
      <c r="BE4024" s="3" t="s">
        <v>38818</v>
      </c>
      <c r="BF4024" s="3" t="s">
        <v>38817</v>
      </c>
      <c r="BG4024" s="3" t="s">
        <v>38819</v>
      </c>
    </row>
    <row r="4025" spans="1:59" ht="58" x14ac:dyDescent="0.35">
      <c r="A4025" s="2" t="s">
        <v>59</v>
      </c>
      <c r="B4025" s="2" t="s">
        <v>60</v>
      </c>
      <c r="C4025" s="2" t="s">
        <v>38820</v>
      </c>
      <c r="D4025" s="2" t="s">
        <v>38821</v>
      </c>
      <c r="E4025" s="2" t="s">
        <v>38822</v>
      </c>
      <c r="G4025" s="3" t="s">
        <v>62</v>
      </c>
      <c r="I4025" s="3" t="s">
        <v>62</v>
      </c>
      <c r="J4025" s="3" t="s">
        <v>62</v>
      </c>
      <c r="K4025" s="3" t="s">
        <v>63</v>
      </c>
      <c r="L4025" s="2" t="s">
        <v>38823</v>
      </c>
      <c r="M4025" s="2" t="s">
        <v>38824</v>
      </c>
      <c r="N4025" s="3" t="s">
        <v>1905</v>
      </c>
      <c r="P4025" s="3" t="s">
        <v>64</v>
      </c>
      <c r="Q4025" s="2" t="s">
        <v>38089</v>
      </c>
      <c r="R4025" s="3" t="s">
        <v>34126</v>
      </c>
      <c r="S4025" s="4">
        <v>4</v>
      </c>
      <c r="T4025" s="4">
        <v>4</v>
      </c>
      <c r="U4025" s="5" t="s">
        <v>28719</v>
      </c>
      <c r="V4025" s="5" t="s">
        <v>28719</v>
      </c>
      <c r="W4025" s="5" t="s">
        <v>67</v>
      </c>
      <c r="X4025" s="5" t="s">
        <v>67</v>
      </c>
      <c r="Y4025" s="4">
        <v>392</v>
      </c>
      <c r="Z4025" s="4">
        <v>21</v>
      </c>
      <c r="AA4025" s="4">
        <v>98</v>
      </c>
      <c r="AB4025" s="4">
        <v>1</v>
      </c>
      <c r="AC4025" s="4">
        <v>17</v>
      </c>
      <c r="AD4025" s="4">
        <v>109</v>
      </c>
      <c r="AE4025" s="4">
        <v>151</v>
      </c>
      <c r="AF4025" s="4">
        <v>0</v>
      </c>
      <c r="AG4025" s="4">
        <v>8</v>
      </c>
      <c r="AH4025" s="4">
        <v>98</v>
      </c>
      <c r="AI4025" s="4">
        <v>110</v>
      </c>
      <c r="AJ4025" s="4">
        <v>13</v>
      </c>
      <c r="AK4025" s="4">
        <v>24</v>
      </c>
      <c r="AL4025" s="4">
        <v>55</v>
      </c>
      <c r="AM4025" s="4">
        <v>59</v>
      </c>
      <c r="AN4025" s="4">
        <v>0</v>
      </c>
      <c r="AO4025" s="4">
        <v>0</v>
      </c>
      <c r="AP4025" s="4">
        <v>14</v>
      </c>
      <c r="AQ4025" s="4">
        <v>46</v>
      </c>
      <c r="AR4025" s="3" t="s">
        <v>62</v>
      </c>
      <c r="AS4025" s="3" t="s">
        <v>62</v>
      </c>
      <c r="AT4025" s="3" t="s">
        <v>62</v>
      </c>
      <c r="AV4025" s="6" t="str">
        <f>HYPERLINK("http://mcgill.on.worldcat.org/oclc/13795243","Catalog Record")</f>
        <v>Catalog Record</v>
      </c>
      <c r="AW4025" s="6" t="str">
        <f>HYPERLINK("http://www.worldcat.org/oclc/13795243","WorldCat Record")</f>
        <v>WorldCat Record</v>
      </c>
      <c r="AX4025" s="3" t="s">
        <v>38825</v>
      </c>
      <c r="AY4025" s="3" t="s">
        <v>38826</v>
      </c>
      <c r="AZ4025" s="3" t="s">
        <v>38827</v>
      </c>
      <c r="BA4025" s="3" t="s">
        <v>38827</v>
      </c>
      <c r="BB4025" s="3" t="s">
        <v>38828</v>
      </c>
      <c r="BC4025" s="3" t="s">
        <v>102</v>
      </c>
      <c r="BD4025" s="3" t="s">
        <v>68</v>
      </c>
      <c r="BE4025" s="3" t="s">
        <v>38829</v>
      </c>
      <c r="BF4025" s="3" t="s">
        <v>38828</v>
      </c>
      <c r="BG4025" s="3" t="s">
        <v>38830</v>
      </c>
    </row>
    <row r="4026" spans="1:59" ht="58" x14ac:dyDescent="0.35">
      <c r="A4026" s="2" t="s">
        <v>89</v>
      </c>
      <c r="B4026" s="2" t="s">
        <v>90</v>
      </c>
      <c r="C4026" s="2" t="s">
        <v>38831</v>
      </c>
      <c r="D4026" s="2" t="s">
        <v>38832</v>
      </c>
      <c r="E4026" s="2" t="s">
        <v>38833</v>
      </c>
      <c r="G4026" s="3" t="s">
        <v>62</v>
      </c>
      <c r="I4026" s="3" t="s">
        <v>62</v>
      </c>
      <c r="J4026" s="3" t="s">
        <v>62</v>
      </c>
      <c r="K4026" s="3" t="s">
        <v>63</v>
      </c>
      <c r="M4026" s="2" t="s">
        <v>38834</v>
      </c>
      <c r="N4026" s="3" t="s">
        <v>568</v>
      </c>
      <c r="P4026" s="3" t="s">
        <v>64</v>
      </c>
      <c r="Q4026" s="2" t="s">
        <v>38835</v>
      </c>
      <c r="R4026" s="3" t="s">
        <v>34126</v>
      </c>
      <c r="S4026" s="4">
        <v>15</v>
      </c>
      <c r="T4026" s="4">
        <v>15</v>
      </c>
      <c r="U4026" s="5" t="s">
        <v>7991</v>
      </c>
      <c r="V4026" s="5" t="s">
        <v>7991</v>
      </c>
      <c r="W4026" s="5" t="s">
        <v>67</v>
      </c>
      <c r="X4026" s="5" t="s">
        <v>67</v>
      </c>
      <c r="Y4026" s="4">
        <v>197</v>
      </c>
      <c r="Z4026" s="4">
        <v>22</v>
      </c>
      <c r="AA4026" s="4">
        <v>23</v>
      </c>
      <c r="AB4026" s="4">
        <v>2</v>
      </c>
      <c r="AC4026" s="4">
        <v>3</v>
      </c>
      <c r="AD4026" s="4">
        <v>77</v>
      </c>
      <c r="AE4026" s="4">
        <v>78</v>
      </c>
      <c r="AF4026" s="4">
        <v>0</v>
      </c>
      <c r="AG4026" s="4">
        <v>1</v>
      </c>
      <c r="AH4026" s="4">
        <v>66</v>
      </c>
      <c r="AI4026" s="4">
        <v>66</v>
      </c>
      <c r="AJ4026" s="4">
        <v>12</v>
      </c>
      <c r="AK4026" s="4">
        <v>13</v>
      </c>
      <c r="AL4026" s="4">
        <v>36</v>
      </c>
      <c r="AM4026" s="4">
        <v>36</v>
      </c>
      <c r="AN4026" s="4">
        <v>0</v>
      </c>
      <c r="AO4026" s="4">
        <v>0</v>
      </c>
      <c r="AP4026" s="4">
        <v>17</v>
      </c>
      <c r="AQ4026" s="4">
        <v>17</v>
      </c>
      <c r="AR4026" s="3" t="s">
        <v>62</v>
      </c>
      <c r="AS4026" s="3" t="s">
        <v>62</v>
      </c>
      <c r="AT4026" s="3" t="s">
        <v>61</v>
      </c>
      <c r="AU4026" s="6" t="str">
        <f>HYPERLINK("http://catalog.hathitrust.org/Record/004165935","HathiTrust Record")</f>
        <v>HathiTrust Record</v>
      </c>
      <c r="AV4026" s="6" t="str">
        <f>HYPERLINK("http://mcgill.on.worldcat.org/oclc/46728213","Catalog Record")</f>
        <v>Catalog Record</v>
      </c>
      <c r="AW4026" s="6" t="str">
        <f>HYPERLINK("http://www.worldcat.org/oclc/46728213","WorldCat Record")</f>
        <v>WorldCat Record</v>
      </c>
      <c r="AX4026" s="3" t="s">
        <v>38836</v>
      </c>
      <c r="AY4026" s="3" t="s">
        <v>38837</v>
      </c>
      <c r="AZ4026" s="3" t="s">
        <v>38838</v>
      </c>
      <c r="BA4026" s="3" t="s">
        <v>38838</v>
      </c>
      <c r="BB4026" s="3" t="s">
        <v>38839</v>
      </c>
      <c r="BC4026" s="3" t="s">
        <v>102</v>
      </c>
      <c r="BD4026" s="3" t="s">
        <v>68</v>
      </c>
      <c r="BE4026" s="3" t="s">
        <v>38840</v>
      </c>
      <c r="BF4026" s="3" t="s">
        <v>38839</v>
      </c>
      <c r="BG4026" s="3" t="s">
        <v>38841</v>
      </c>
    </row>
    <row r="4027" spans="1:59" ht="58" x14ac:dyDescent="0.35">
      <c r="A4027" s="2" t="s">
        <v>59</v>
      </c>
      <c r="B4027" s="2" t="s">
        <v>60</v>
      </c>
      <c r="C4027" s="2" t="s">
        <v>38842</v>
      </c>
      <c r="D4027" s="2" t="s">
        <v>38843</v>
      </c>
      <c r="E4027" s="2" t="s">
        <v>38844</v>
      </c>
      <c r="G4027" s="3" t="s">
        <v>62</v>
      </c>
      <c r="I4027" s="3" t="s">
        <v>62</v>
      </c>
      <c r="J4027" s="3" t="s">
        <v>62</v>
      </c>
      <c r="K4027" s="3" t="s">
        <v>63</v>
      </c>
      <c r="L4027" s="2" t="s">
        <v>38845</v>
      </c>
      <c r="M4027" s="2" t="s">
        <v>38846</v>
      </c>
      <c r="N4027" s="3" t="s">
        <v>568</v>
      </c>
      <c r="P4027" s="3" t="s">
        <v>64</v>
      </c>
      <c r="Q4027" s="2" t="s">
        <v>38847</v>
      </c>
      <c r="R4027" s="3" t="s">
        <v>34126</v>
      </c>
      <c r="S4027" s="4">
        <v>10</v>
      </c>
      <c r="T4027" s="4">
        <v>10</v>
      </c>
      <c r="U4027" s="5" t="s">
        <v>2820</v>
      </c>
      <c r="V4027" s="5" t="s">
        <v>2820</v>
      </c>
      <c r="W4027" s="5" t="s">
        <v>67</v>
      </c>
      <c r="X4027" s="5" t="s">
        <v>67</v>
      </c>
      <c r="Y4027" s="4">
        <v>231</v>
      </c>
      <c r="Z4027" s="4">
        <v>18</v>
      </c>
      <c r="AA4027" s="4">
        <v>21</v>
      </c>
      <c r="AB4027" s="4">
        <v>3</v>
      </c>
      <c r="AC4027" s="4">
        <v>6</v>
      </c>
      <c r="AD4027" s="4">
        <v>93</v>
      </c>
      <c r="AE4027" s="4">
        <v>95</v>
      </c>
      <c r="AF4027" s="4">
        <v>1</v>
      </c>
      <c r="AG4027" s="4">
        <v>3</v>
      </c>
      <c r="AH4027" s="4">
        <v>82</v>
      </c>
      <c r="AI4027" s="4">
        <v>82</v>
      </c>
      <c r="AJ4027" s="4">
        <v>11</v>
      </c>
      <c r="AK4027" s="4">
        <v>13</v>
      </c>
      <c r="AL4027" s="4">
        <v>51</v>
      </c>
      <c r="AM4027" s="4">
        <v>51</v>
      </c>
      <c r="AN4027" s="4">
        <v>0</v>
      </c>
      <c r="AO4027" s="4">
        <v>0</v>
      </c>
      <c r="AP4027" s="4">
        <v>12</v>
      </c>
      <c r="AQ4027" s="4">
        <v>13</v>
      </c>
      <c r="AR4027" s="3" t="s">
        <v>62</v>
      </c>
      <c r="AS4027" s="3" t="s">
        <v>62</v>
      </c>
      <c r="AT4027" s="3" t="s">
        <v>61</v>
      </c>
      <c r="AU4027" s="6" t="str">
        <f>HYPERLINK("http://catalog.hathitrust.org/Record/004133618","HathiTrust Record")</f>
        <v>HathiTrust Record</v>
      </c>
      <c r="AV4027" s="6" t="str">
        <f>HYPERLINK("http://mcgill.on.worldcat.org/oclc/44427026","Catalog Record")</f>
        <v>Catalog Record</v>
      </c>
      <c r="AW4027" s="6" t="str">
        <f>HYPERLINK("http://www.worldcat.org/oclc/44427026","WorldCat Record")</f>
        <v>WorldCat Record</v>
      </c>
      <c r="AX4027" s="3" t="s">
        <v>38848</v>
      </c>
      <c r="AY4027" s="3" t="s">
        <v>38849</v>
      </c>
      <c r="AZ4027" s="3" t="s">
        <v>38850</v>
      </c>
      <c r="BA4027" s="3" t="s">
        <v>38850</v>
      </c>
      <c r="BB4027" s="3" t="s">
        <v>38851</v>
      </c>
      <c r="BC4027" s="3" t="s">
        <v>102</v>
      </c>
      <c r="BD4027" s="3" t="s">
        <v>6923</v>
      </c>
      <c r="BE4027" s="3" t="s">
        <v>38852</v>
      </c>
      <c r="BF4027" s="3" t="s">
        <v>38851</v>
      </c>
      <c r="BG4027" s="3" t="s">
        <v>38853</v>
      </c>
    </row>
    <row r="4028" spans="1:59" ht="58" x14ac:dyDescent="0.35">
      <c r="A4028" s="2" t="s">
        <v>59</v>
      </c>
      <c r="B4028" s="2" t="s">
        <v>60</v>
      </c>
      <c r="C4028" s="2" t="s">
        <v>38854</v>
      </c>
      <c r="D4028" s="2" t="s">
        <v>38855</v>
      </c>
      <c r="E4028" s="2" t="s">
        <v>38856</v>
      </c>
      <c r="G4028" s="3" t="s">
        <v>62</v>
      </c>
      <c r="I4028" s="3" t="s">
        <v>62</v>
      </c>
      <c r="J4028" s="3" t="s">
        <v>62</v>
      </c>
      <c r="K4028" s="3" t="s">
        <v>63</v>
      </c>
      <c r="L4028" s="2" t="s">
        <v>37941</v>
      </c>
      <c r="M4028" s="2" t="s">
        <v>2374</v>
      </c>
      <c r="N4028" s="3" t="s">
        <v>285</v>
      </c>
      <c r="P4028" s="3" t="s">
        <v>64</v>
      </c>
      <c r="Q4028" s="2" t="s">
        <v>38857</v>
      </c>
      <c r="R4028" s="3" t="s">
        <v>34126</v>
      </c>
      <c r="S4028" s="4">
        <v>8</v>
      </c>
      <c r="T4028" s="4">
        <v>8</v>
      </c>
      <c r="U4028" s="5" t="s">
        <v>5252</v>
      </c>
      <c r="V4028" s="5" t="s">
        <v>5252</v>
      </c>
      <c r="W4028" s="5" t="s">
        <v>67</v>
      </c>
      <c r="X4028" s="5" t="s">
        <v>67</v>
      </c>
      <c r="Y4028" s="4">
        <v>407</v>
      </c>
      <c r="Z4028" s="4">
        <v>22</v>
      </c>
      <c r="AA4028" s="4">
        <v>25</v>
      </c>
      <c r="AB4028" s="4">
        <v>1</v>
      </c>
      <c r="AC4028" s="4">
        <v>3</v>
      </c>
      <c r="AD4028" s="4">
        <v>110</v>
      </c>
      <c r="AE4028" s="4">
        <v>112</v>
      </c>
      <c r="AF4028" s="4">
        <v>0</v>
      </c>
      <c r="AG4028" s="4">
        <v>2</v>
      </c>
      <c r="AH4028" s="4">
        <v>100</v>
      </c>
      <c r="AI4028" s="4">
        <v>101</v>
      </c>
      <c r="AJ4028" s="4">
        <v>16</v>
      </c>
      <c r="AK4028" s="4">
        <v>18</v>
      </c>
      <c r="AL4028" s="4">
        <v>50</v>
      </c>
      <c r="AM4028" s="4">
        <v>50</v>
      </c>
      <c r="AN4028" s="4">
        <v>0</v>
      </c>
      <c r="AO4028" s="4">
        <v>0</v>
      </c>
      <c r="AP4028" s="4">
        <v>18</v>
      </c>
      <c r="AQ4028" s="4">
        <v>19</v>
      </c>
      <c r="AR4028" s="3" t="s">
        <v>62</v>
      </c>
      <c r="AS4028" s="3" t="s">
        <v>62</v>
      </c>
      <c r="AT4028" s="3" t="s">
        <v>62</v>
      </c>
      <c r="AV4028" s="6" t="str">
        <f>HYPERLINK("http://mcgill.on.worldcat.org/oclc/5889634","Catalog Record")</f>
        <v>Catalog Record</v>
      </c>
      <c r="AW4028" s="6" t="str">
        <f>HYPERLINK("http://www.worldcat.org/oclc/5889634","WorldCat Record")</f>
        <v>WorldCat Record</v>
      </c>
      <c r="AX4028" s="3" t="s">
        <v>38858</v>
      </c>
      <c r="AY4028" s="3" t="s">
        <v>38859</v>
      </c>
      <c r="AZ4028" s="3" t="s">
        <v>38860</v>
      </c>
      <c r="BA4028" s="3" t="s">
        <v>38860</v>
      </c>
      <c r="BB4028" s="3" t="s">
        <v>38861</v>
      </c>
      <c r="BC4028" s="3" t="s">
        <v>102</v>
      </c>
      <c r="BD4028" s="3" t="s">
        <v>68</v>
      </c>
      <c r="BE4028" s="3" t="s">
        <v>38862</v>
      </c>
      <c r="BF4028" s="3" t="s">
        <v>38861</v>
      </c>
      <c r="BG4028" s="3" t="s">
        <v>38863</v>
      </c>
    </row>
    <row r="4029" spans="1:59" ht="101.5" x14ac:dyDescent="0.35">
      <c r="A4029" s="2" t="s">
        <v>89</v>
      </c>
      <c r="B4029" s="2" t="s">
        <v>12301</v>
      </c>
      <c r="C4029" s="2" t="s">
        <v>38864</v>
      </c>
      <c r="D4029" s="2" t="s">
        <v>38865</v>
      </c>
      <c r="E4029" s="2" t="s">
        <v>38866</v>
      </c>
      <c r="G4029" s="3" t="s">
        <v>62</v>
      </c>
      <c r="I4029" s="3" t="s">
        <v>61</v>
      </c>
      <c r="J4029" s="3" t="s">
        <v>61</v>
      </c>
      <c r="K4029" s="3" t="s">
        <v>63</v>
      </c>
      <c r="L4029" s="2" t="s">
        <v>38201</v>
      </c>
      <c r="M4029" s="2" t="s">
        <v>38867</v>
      </c>
      <c r="N4029" s="3" t="s">
        <v>655</v>
      </c>
      <c r="O4029" s="2" t="s">
        <v>10722</v>
      </c>
      <c r="P4029" s="3" t="s">
        <v>64</v>
      </c>
      <c r="R4029" s="3" t="s">
        <v>34126</v>
      </c>
      <c r="S4029" s="4">
        <v>47</v>
      </c>
      <c r="T4029" s="4">
        <v>208</v>
      </c>
      <c r="U4029" s="5" t="s">
        <v>3110</v>
      </c>
      <c r="V4029" s="5" t="s">
        <v>20604</v>
      </c>
      <c r="W4029" s="5" t="s">
        <v>67</v>
      </c>
      <c r="X4029" s="5" t="s">
        <v>10665</v>
      </c>
      <c r="Y4029" s="4">
        <v>388</v>
      </c>
      <c r="Z4029" s="4">
        <v>29</v>
      </c>
      <c r="AA4029" s="4">
        <v>73</v>
      </c>
      <c r="AB4029" s="4">
        <v>2</v>
      </c>
      <c r="AC4029" s="4">
        <v>13</v>
      </c>
      <c r="AD4029" s="4">
        <v>104</v>
      </c>
      <c r="AE4029" s="4">
        <v>154</v>
      </c>
      <c r="AF4029" s="4">
        <v>1</v>
      </c>
      <c r="AG4029" s="4">
        <v>7</v>
      </c>
      <c r="AH4029" s="4">
        <v>89</v>
      </c>
      <c r="AI4029" s="4">
        <v>115</v>
      </c>
      <c r="AJ4029" s="4">
        <v>19</v>
      </c>
      <c r="AK4029" s="4">
        <v>28</v>
      </c>
      <c r="AL4029" s="4">
        <v>51</v>
      </c>
      <c r="AM4029" s="4">
        <v>59</v>
      </c>
      <c r="AN4029" s="4">
        <v>0</v>
      </c>
      <c r="AO4029" s="4">
        <v>0</v>
      </c>
      <c r="AP4029" s="4">
        <v>24</v>
      </c>
      <c r="AQ4029" s="4">
        <v>47</v>
      </c>
      <c r="AR4029" s="3" t="s">
        <v>62</v>
      </c>
      <c r="AS4029" s="3" t="s">
        <v>62</v>
      </c>
      <c r="AT4029" s="3" t="s">
        <v>62</v>
      </c>
      <c r="AV4029" s="6" t="str">
        <f>HYPERLINK("http://mcgill.on.worldcat.org/oclc/75087956","Catalog Record")</f>
        <v>Catalog Record</v>
      </c>
      <c r="AW4029" s="6" t="str">
        <f>HYPERLINK("http://www.worldcat.org/oclc/75087956","WorldCat Record")</f>
        <v>WorldCat Record</v>
      </c>
      <c r="AX4029" s="3" t="s">
        <v>38868</v>
      </c>
      <c r="AY4029" s="3" t="s">
        <v>38869</v>
      </c>
      <c r="AZ4029" s="3" t="s">
        <v>38870</v>
      </c>
      <c r="BA4029" s="3" t="s">
        <v>38870</v>
      </c>
      <c r="BB4029" s="3" t="s">
        <v>38871</v>
      </c>
      <c r="BC4029" s="3" t="s">
        <v>102</v>
      </c>
      <c r="BD4029" s="3" t="s">
        <v>68</v>
      </c>
      <c r="BE4029" s="3" t="s">
        <v>38872</v>
      </c>
      <c r="BF4029" s="3" t="s">
        <v>38871</v>
      </c>
      <c r="BG4029" s="3" t="s">
        <v>38873</v>
      </c>
    </row>
    <row r="4030" spans="1:59" ht="101.5" x14ac:dyDescent="0.35">
      <c r="A4030" s="2" t="s">
        <v>89</v>
      </c>
      <c r="B4030" s="2" t="s">
        <v>12301</v>
      </c>
      <c r="C4030" s="2" t="s">
        <v>38864</v>
      </c>
      <c r="D4030" s="2" t="s">
        <v>38865</v>
      </c>
      <c r="E4030" s="2" t="s">
        <v>38866</v>
      </c>
      <c r="G4030" s="3" t="s">
        <v>62</v>
      </c>
      <c r="H4030" s="3" t="s">
        <v>916</v>
      </c>
      <c r="I4030" s="3" t="s">
        <v>61</v>
      </c>
      <c r="J4030" s="3" t="s">
        <v>61</v>
      </c>
      <c r="K4030" s="3" t="s">
        <v>63</v>
      </c>
      <c r="L4030" s="2" t="s">
        <v>38201</v>
      </c>
      <c r="M4030" s="2" t="s">
        <v>38867</v>
      </c>
      <c r="N4030" s="3" t="s">
        <v>655</v>
      </c>
      <c r="O4030" s="2" t="s">
        <v>10722</v>
      </c>
      <c r="P4030" s="3" t="s">
        <v>64</v>
      </c>
      <c r="R4030" s="3" t="s">
        <v>34126</v>
      </c>
      <c r="S4030" s="4">
        <v>14</v>
      </c>
      <c r="T4030" s="4">
        <v>208</v>
      </c>
      <c r="U4030" s="5" t="s">
        <v>20604</v>
      </c>
      <c r="V4030" s="5" t="s">
        <v>20604</v>
      </c>
      <c r="W4030" s="5" t="s">
        <v>10665</v>
      </c>
      <c r="X4030" s="5" t="s">
        <v>10665</v>
      </c>
      <c r="Y4030" s="4">
        <v>388</v>
      </c>
      <c r="Z4030" s="4">
        <v>29</v>
      </c>
      <c r="AA4030" s="4">
        <v>73</v>
      </c>
      <c r="AB4030" s="4">
        <v>2</v>
      </c>
      <c r="AC4030" s="4">
        <v>13</v>
      </c>
      <c r="AD4030" s="4">
        <v>104</v>
      </c>
      <c r="AE4030" s="4">
        <v>154</v>
      </c>
      <c r="AF4030" s="4">
        <v>1</v>
      </c>
      <c r="AG4030" s="4">
        <v>7</v>
      </c>
      <c r="AH4030" s="4">
        <v>89</v>
      </c>
      <c r="AI4030" s="4">
        <v>115</v>
      </c>
      <c r="AJ4030" s="4">
        <v>19</v>
      </c>
      <c r="AK4030" s="4">
        <v>28</v>
      </c>
      <c r="AL4030" s="4">
        <v>51</v>
      </c>
      <c r="AM4030" s="4">
        <v>59</v>
      </c>
      <c r="AN4030" s="4">
        <v>0</v>
      </c>
      <c r="AO4030" s="4">
        <v>0</v>
      </c>
      <c r="AP4030" s="4">
        <v>24</v>
      </c>
      <c r="AQ4030" s="4">
        <v>47</v>
      </c>
      <c r="AR4030" s="3" t="s">
        <v>62</v>
      </c>
      <c r="AS4030" s="3" t="s">
        <v>62</v>
      </c>
      <c r="AT4030" s="3" t="s">
        <v>62</v>
      </c>
      <c r="AV4030" s="6" t="str">
        <f>HYPERLINK("http://mcgill.on.worldcat.org/oclc/75087956","Catalog Record")</f>
        <v>Catalog Record</v>
      </c>
      <c r="AW4030" s="6" t="str">
        <f>HYPERLINK("http://www.worldcat.org/oclc/75087956","WorldCat Record")</f>
        <v>WorldCat Record</v>
      </c>
      <c r="AX4030" s="3" t="s">
        <v>38868</v>
      </c>
      <c r="AY4030" s="3" t="s">
        <v>38869</v>
      </c>
      <c r="AZ4030" s="3" t="s">
        <v>38870</v>
      </c>
      <c r="BA4030" s="3" t="s">
        <v>38870</v>
      </c>
      <c r="BB4030" s="3" t="s">
        <v>38874</v>
      </c>
      <c r="BC4030" s="3" t="s">
        <v>102</v>
      </c>
      <c r="BD4030" s="3" t="s">
        <v>68</v>
      </c>
      <c r="BE4030" s="3" t="s">
        <v>38872</v>
      </c>
      <c r="BF4030" s="3" t="s">
        <v>38874</v>
      </c>
      <c r="BG4030" s="3" t="s">
        <v>38875</v>
      </c>
    </row>
    <row r="4031" spans="1:59" ht="58" x14ac:dyDescent="0.35">
      <c r="A4031" s="2" t="s">
        <v>89</v>
      </c>
      <c r="B4031" s="2" t="s">
        <v>90</v>
      </c>
      <c r="C4031" s="2" t="s">
        <v>38876</v>
      </c>
      <c r="D4031" s="2" t="s">
        <v>38877</v>
      </c>
      <c r="E4031" s="2" t="s">
        <v>38878</v>
      </c>
      <c r="G4031" s="3" t="s">
        <v>62</v>
      </c>
      <c r="I4031" s="3" t="s">
        <v>62</v>
      </c>
      <c r="J4031" s="3" t="s">
        <v>62</v>
      </c>
      <c r="K4031" s="3" t="s">
        <v>63</v>
      </c>
      <c r="L4031" s="2" t="s">
        <v>38879</v>
      </c>
      <c r="M4031" s="2" t="s">
        <v>38880</v>
      </c>
      <c r="N4031" s="3" t="s">
        <v>625</v>
      </c>
      <c r="P4031" s="3" t="s">
        <v>64</v>
      </c>
      <c r="R4031" s="3" t="s">
        <v>34126</v>
      </c>
      <c r="S4031" s="4">
        <v>8</v>
      </c>
      <c r="T4031" s="4">
        <v>8</v>
      </c>
      <c r="U4031" s="5" t="s">
        <v>38881</v>
      </c>
      <c r="V4031" s="5" t="s">
        <v>38881</v>
      </c>
      <c r="W4031" s="5" t="s">
        <v>67</v>
      </c>
      <c r="X4031" s="5" t="s">
        <v>67</v>
      </c>
      <c r="Y4031" s="4">
        <v>149</v>
      </c>
      <c r="Z4031" s="4">
        <v>13</v>
      </c>
      <c r="AA4031" s="4">
        <v>102</v>
      </c>
      <c r="AB4031" s="4">
        <v>1</v>
      </c>
      <c r="AC4031" s="4">
        <v>18</v>
      </c>
      <c r="AD4031" s="4">
        <v>63</v>
      </c>
      <c r="AE4031" s="4">
        <v>127</v>
      </c>
      <c r="AF4031" s="4">
        <v>0</v>
      </c>
      <c r="AG4031" s="4">
        <v>8</v>
      </c>
      <c r="AH4031" s="4">
        <v>59</v>
      </c>
      <c r="AI4031" s="4">
        <v>90</v>
      </c>
      <c r="AJ4031" s="4">
        <v>9</v>
      </c>
      <c r="AK4031" s="4">
        <v>23</v>
      </c>
      <c r="AL4031" s="4">
        <v>38</v>
      </c>
      <c r="AM4031" s="4">
        <v>48</v>
      </c>
      <c r="AN4031" s="4">
        <v>0</v>
      </c>
      <c r="AO4031" s="4">
        <v>0</v>
      </c>
      <c r="AP4031" s="4">
        <v>10</v>
      </c>
      <c r="AQ4031" s="4">
        <v>45</v>
      </c>
      <c r="AR4031" s="3" t="s">
        <v>62</v>
      </c>
      <c r="AS4031" s="3" t="s">
        <v>62</v>
      </c>
      <c r="AT4031" s="3" t="s">
        <v>62</v>
      </c>
      <c r="AV4031" s="6" t="str">
        <f>HYPERLINK("http://mcgill.on.worldcat.org/oclc/55039993","Catalog Record")</f>
        <v>Catalog Record</v>
      </c>
      <c r="AW4031" s="6" t="str">
        <f>HYPERLINK("http://www.worldcat.org/oclc/55039993","WorldCat Record")</f>
        <v>WorldCat Record</v>
      </c>
      <c r="AX4031" s="3" t="s">
        <v>38882</v>
      </c>
      <c r="AY4031" s="3" t="s">
        <v>38883</v>
      </c>
      <c r="AZ4031" s="3" t="s">
        <v>38884</v>
      </c>
      <c r="BA4031" s="3" t="s">
        <v>38884</v>
      </c>
      <c r="BB4031" s="3" t="s">
        <v>38885</v>
      </c>
      <c r="BC4031" s="3" t="s">
        <v>102</v>
      </c>
      <c r="BD4031" s="3" t="s">
        <v>68</v>
      </c>
      <c r="BE4031" s="3" t="s">
        <v>38886</v>
      </c>
      <c r="BF4031" s="3" t="s">
        <v>38885</v>
      </c>
      <c r="BG4031" s="3" t="s">
        <v>38887</v>
      </c>
    </row>
    <row r="4032" spans="1:59" ht="58" x14ac:dyDescent="0.35">
      <c r="A4032" s="2" t="s">
        <v>89</v>
      </c>
      <c r="B4032" s="2" t="s">
        <v>90</v>
      </c>
      <c r="C4032" s="2" t="s">
        <v>38888</v>
      </c>
      <c r="D4032" s="2" t="s">
        <v>38889</v>
      </c>
      <c r="E4032" s="2" t="s">
        <v>38890</v>
      </c>
      <c r="G4032" s="3" t="s">
        <v>62</v>
      </c>
      <c r="I4032" s="3" t="s">
        <v>62</v>
      </c>
      <c r="J4032" s="3" t="s">
        <v>62</v>
      </c>
      <c r="K4032" s="3" t="s">
        <v>63</v>
      </c>
      <c r="L4032" s="2" t="s">
        <v>38891</v>
      </c>
      <c r="M4032" s="2" t="s">
        <v>38892</v>
      </c>
      <c r="N4032" s="3" t="s">
        <v>596</v>
      </c>
      <c r="P4032" s="3" t="s">
        <v>64</v>
      </c>
      <c r="R4032" s="3" t="s">
        <v>34126</v>
      </c>
      <c r="S4032" s="4">
        <v>16</v>
      </c>
      <c r="T4032" s="4">
        <v>16</v>
      </c>
      <c r="U4032" s="5" t="s">
        <v>1350</v>
      </c>
      <c r="V4032" s="5" t="s">
        <v>1350</v>
      </c>
      <c r="W4032" s="5" t="s">
        <v>67</v>
      </c>
      <c r="X4032" s="5" t="s">
        <v>67</v>
      </c>
      <c r="Y4032" s="4">
        <v>1509</v>
      </c>
      <c r="Z4032" s="4">
        <v>51</v>
      </c>
      <c r="AA4032" s="4">
        <v>52</v>
      </c>
      <c r="AB4032" s="4">
        <v>4</v>
      </c>
      <c r="AC4032" s="4">
        <v>5</v>
      </c>
      <c r="AD4032" s="4">
        <v>119</v>
      </c>
      <c r="AE4032" s="4">
        <v>121</v>
      </c>
      <c r="AF4032" s="4">
        <v>0</v>
      </c>
      <c r="AG4032" s="4">
        <v>1</v>
      </c>
      <c r="AH4032" s="4">
        <v>102</v>
      </c>
      <c r="AI4032" s="4">
        <v>104</v>
      </c>
      <c r="AJ4032" s="4">
        <v>17</v>
      </c>
      <c r="AK4032" s="4">
        <v>18</v>
      </c>
      <c r="AL4032" s="4">
        <v>53</v>
      </c>
      <c r="AM4032" s="4">
        <v>54</v>
      </c>
      <c r="AN4032" s="4">
        <v>0</v>
      </c>
      <c r="AO4032" s="4">
        <v>0</v>
      </c>
      <c r="AP4032" s="4">
        <v>24</v>
      </c>
      <c r="AQ4032" s="4">
        <v>25</v>
      </c>
      <c r="AR4032" s="3" t="s">
        <v>62</v>
      </c>
      <c r="AS4032" s="3" t="s">
        <v>62</v>
      </c>
      <c r="AT4032" s="3" t="s">
        <v>61</v>
      </c>
      <c r="AU4032" s="6" t="str">
        <f>HYPERLINK("http://catalog.hathitrust.org/Record/004245516","HathiTrust Record")</f>
        <v>HathiTrust Record</v>
      </c>
      <c r="AV4032" s="6" t="str">
        <f>HYPERLINK("http://mcgill.on.worldcat.org/oclc/48451080","Catalog Record")</f>
        <v>Catalog Record</v>
      </c>
      <c r="AW4032" s="6" t="str">
        <f>HYPERLINK("http://www.worldcat.org/oclc/48451080","WorldCat Record")</f>
        <v>WorldCat Record</v>
      </c>
      <c r="AX4032" s="3" t="s">
        <v>38893</v>
      </c>
      <c r="AY4032" s="3" t="s">
        <v>38894</v>
      </c>
      <c r="AZ4032" s="3" t="s">
        <v>38895</v>
      </c>
      <c r="BA4032" s="3" t="s">
        <v>38895</v>
      </c>
      <c r="BB4032" s="3" t="s">
        <v>38896</v>
      </c>
      <c r="BC4032" s="3" t="s">
        <v>102</v>
      </c>
      <c r="BD4032" s="3" t="s">
        <v>68</v>
      </c>
      <c r="BE4032" s="3" t="s">
        <v>38897</v>
      </c>
      <c r="BF4032" s="3" t="s">
        <v>38896</v>
      </c>
      <c r="BG4032" s="3" t="s">
        <v>38898</v>
      </c>
    </row>
    <row r="4033" spans="1:59" ht="58" x14ac:dyDescent="0.35">
      <c r="A4033" s="2" t="s">
        <v>89</v>
      </c>
      <c r="B4033" s="2" t="s">
        <v>90</v>
      </c>
      <c r="C4033" s="2" t="s">
        <v>38899</v>
      </c>
      <c r="D4033" s="2" t="s">
        <v>38900</v>
      </c>
      <c r="E4033" s="2" t="s">
        <v>38901</v>
      </c>
      <c r="G4033" s="3" t="s">
        <v>62</v>
      </c>
      <c r="I4033" s="3" t="s">
        <v>62</v>
      </c>
      <c r="J4033" s="3" t="s">
        <v>62</v>
      </c>
      <c r="K4033" s="3" t="s">
        <v>63</v>
      </c>
      <c r="L4033" s="2" t="s">
        <v>38902</v>
      </c>
      <c r="M4033" s="2" t="s">
        <v>23543</v>
      </c>
      <c r="N4033" s="3" t="s">
        <v>596</v>
      </c>
      <c r="P4033" s="3" t="s">
        <v>64</v>
      </c>
      <c r="Q4033" s="2" t="s">
        <v>38903</v>
      </c>
      <c r="R4033" s="3" t="s">
        <v>34126</v>
      </c>
      <c r="S4033" s="4">
        <v>5</v>
      </c>
      <c r="T4033" s="4">
        <v>5</v>
      </c>
      <c r="U4033" s="5" t="s">
        <v>1350</v>
      </c>
      <c r="V4033" s="5" t="s">
        <v>1350</v>
      </c>
      <c r="W4033" s="5" t="s">
        <v>67</v>
      </c>
      <c r="X4033" s="5" t="s">
        <v>67</v>
      </c>
      <c r="Y4033" s="4">
        <v>205</v>
      </c>
      <c r="Z4033" s="4">
        <v>10</v>
      </c>
      <c r="AA4033" s="4">
        <v>13</v>
      </c>
      <c r="AB4033" s="4">
        <v>1</v>
      </c>
      <c r="AC4033" s="4">
        <v>2</v>
      </c>
      <c r="AD4033" s="4">
        <v>83</v>
      </c>
      <c r="AE4033" s="4">
        <v>86</v>
      </c>
      <c r="AF4033" s="4">
        <v>0</v>
      </c>
      <c r="AG4033" s="4">
        <v>1</v>
      </c>
      <c r="AH4033" s="4">
        <v>77</v>
      </c>
      <c r="AI4033" s="4">
        <v>79</v>
      </c>
      <c r="AJ4033" s="4">
        <v>6</v>
      </c>
      <c r="AK4033" s="4">
        <v>9</v>
      </c>
      <c r="AL4033" s="4">
        <v>48</v>
      </c>
      <c r="AM4033" s="4">
        <v>48</v>
      </c>
      <c r="AN4033" s="4">
        <v>0</v>
      </c>
      <c r="AO4033" s="4">
        <v>0</v>
      </c>
      <c r="AP4033" s="4">
        <v>8</v>
      </c>
      <c r="AQ4033" s="4">
        <v>10</v>
      </c>
      <c r="AR4033" s="3" t="s">
        <v>62</v>
      </c>
      <c r="AS4033" s="3" t="s">
        <v>62</v>
      </c>
      <c r="AT4033" s="3" t="s">
        <v>62</v>
      </c>
      <c r="AV4033" s="6" t="str">
        <f>HYPERLINK("http://mcgill.on.worldcat.org/oclc/46366297","Catalog Record")</f>
        <v>Catalog Record</v>
      </c>
      <c r="AW4033" s="6" t="str">
        <f>HYPERLINK("http://www.worldcat.org/oclc/46366297","WorldCat Record")</f>
        <v>WorldCat Record</v>
      </c>
      <c r="AX4033" s="3" t="s">
        <v>38904</v>
      </c>
      <c r="AY4033" s="3" t="s">
        <v>38905</v>
      </c>
      <c r="AZ4033" s="3" t="s">
        <v>38906</v>
      </c>
      <c r="BA4033" s="3" t="s">
        <v>38906</v>
      </c>
      <c r="BB4033" s="3" t="s">
        <v>38907</v>
      </c>
      <c r="BC4033" s="3" t="s">
        <v>102</v>
      </c>
      <c r="BD4033" s="3" t="s">
        <v>68</v>
      </c>
      <c r="BE4033" s="3" t="s">
        <v>38908</v>
      </c>
      <c r="BF4033" s="3" t="s">
        <v>38907</v>
      </c>
      <c r="BG4033" s="3" t="s">
        <v>38909</v>
      </c>
    </row>
    <row r="4034" spans="1:59" ht="58" x14ac:dyDescent="0.35">
      <c r="A4034" s="2" t="s">
        <v>59</v>
      </c>
      <c r="B4034" s="2" t="s">
        <v>60</v>
      </c>
      <c r="C4034" s="2" t="s">
        <v>38910</v>
      </c>
      <c r="D4034" s="2" t="s">
        <v>38911</v>
      </c>
      <c r="E4034" s="2" t="s">
        <v>38912</v>
      </c>
      <c r="G4034" s="3" t="s">
        <v>62</v>
      </c>
      <c r="I4034" s="3" t="s">
        <v>61</v>
      </c>
      <c r="J4034" s="3" t="s">
        <v>62</v>
      </c>
      <c r="K4034" s="3" t="s">
        <v>63</v>
      </c>
      <c r="L4034" s="2" t="s">
        <v>38560</v>
      </c>
      <c r="M4034" s="2" t="s">
        <v>38913</v>
      </c>
      <c r="N4034" s="3" t="s">
        <v>95</v>
      </c>
      <c r="P4034" s="3" t="s">
        <v>64</v>
      </c>
      <c r="R4034" s="3" t="s">
        <v>34126</v>
      </c>
      <c r="S4034" s="4">
        <v>11</v>
      </c>
      <c r="T4034" s="4">
        <v>22</v>
      </c>
      <c r="U4034" s="5" t="s">
        <v>9848</v>
      </c>
      <c r="V4034" s="5" t="s">
        <v>9848</v>
      </c>
      <c r="W4034" s="5" t="s">
        <v>67</v>
      </c>
      <c r="X4034" s="5" t="s">
        <v>67</v>
      </c>
      <c r="Y4034" s="4">
        <v>528</v>
      </c>
      <c r="Z4034" s="4">
        <v>24</v>
      </c>
      <c r="AA4034" s="4">
        <v>24</v>
      </c>
      <c r="AB4034" s="4">
        <v>1</v>
      </c>
      <c r="AC4034" s="4">
        <v>1</v>
      </c>
      <c r="AD4034" s="4">
        <v>113</v>
      </c>
      <c r="AE4034" s="4">
        <v>113</v>
      </c>
      <c r="AF4034" s="4">
        <v>0</v>
      </c>
      <c r="AG4034" s="4">
        <v>0</v>
      </c>
      <c r="AH4034" s="4">
        <v>96</v>
      </c>
      <c r="AI4034" s="4">
        <v>96</v>
      </c>
      <c r="AJ4034" s="4">
        <v>11</v>
      </c>
      <c r="AK4034" s="4">
        <v>11</v>
      </c>
      <c r="AL4034" s="4">
        <v>57</v>
      </c>
      <c r="AM4034" s="4">
        <v>57</v>
      </c>
      <c r="AN4034" s="4">
        <v>0</v>
      </c>
      <c r="AO4034" s="4">
        <v>0</v>
      </c>
      <c r="AP4034" s="4">
        <v>17</v>
      </c>
      <c r="AQ4034" s="4">
        <v>17</v>
      </c>
      <c r="AR4034" s="3" t="s">
        <v>62</v>
      </c>
      <c r="AS4034" s="3" t="s">
        <v>62</v>
      </c>
      <c r="AT4034" s="3" t="s">
        <v>62</v>
      </c>
      <c r="AV4034" s="6" t="str">
        <f>HYPERLINK("http://mcgill.on.worldcat.org/oclc/7006940","Catalog Record")</f>
        <v>Catalog Record</v>
      </c>
      <c r="AW4034" s="6" t="str">
        <f>HYPERLINK("http://www.worldcat.org/oclc/7006940","WorldCat Record")</f>
        <v>WorldCat Record</v>
      </c>
      <c r="AX4034" s="3" t="s">
        <v>38914</v>
      </c>
      <c r="AY4034" s="3" t="s">
        <v>38915</v>
      </c>
      <c r="AZ4034" s="3" t="s">
        <v>38916</v>
      </c>
      <c r="BA4034" s="3" t="s">
        <v>38916</v>
      </c>
      <c r="BB4034" s="3" t="s">
        <v>38917</v>
      </c>
      <c r="BC4034" s="3" t="s">
        <v>102</v>
      </c>
      <c r="BD4034" s="3" t="s">
        <v>231</v>
      </c>
      <c r="BE4034" s="3" t="s">
        <v>38918</v>
      </c>
      <c r="BF4034" s="3" t="s">
        <v>38917</v>
      </c>
      <c r="BG4034" s="3" t="s">
        <v>38919</v>
      </c>
    </row>
    <row r="4035" spans="1:59" ht="58" x14ac:dyDescent="0.35">
      <c r="A4035" s="2" t="s">
        <v>89</v>
      </c>
      <c r="B4035" s="2" t="s">
        <v>90</v>
      </c>
      <c r="C4035" s="2" t="s">
        <v>38920</v>
      </c>
      <c r="D4035" s="2" t="s">
        <v>38921</v>
      </c>
      <c r="E4035" s="2" t="s">
        <v>38922</v>
      </c>
      <c r="G4035" s="3" t="s">
        <v>62</v>
      </c>
      <c r="I4035" s="3" t="s">
        <v>62</v>
      </c>
      <c r="J4035" s="3" t="s">
        <v>62</v>
      </c>
      <c r="K4035" s="3" t="s">
        <v>63</v>
      </c>
      <c r="L4035" s="2" t="s">
        <v>38923</v>
      </c>
      <c r="M4035" s="2" t="s">
        <v>38924</v>
      </c>
      <c r="N4035" s="3" t="s">
        <v>553</v>
      </c>
      <c r="P4035" s="3" t="s">
        <v>64</v>
      </c>
      <c r="R4035" s="3" t="s">
        <v>34126</v>
      </c>
      <c r="S4035" s="4">
        <v>6</v>
      </c>
      <c r="T4035" s="4">
        <v>6</v>
      </c>
      <c r="U4035" s="5" t="s">
        <v>8165</v>
      </c>
      <c r="V4035" s="5" t="s">
        <v>8165</v>
      </c>
      <c r="W4035" s="5" t="s">
        <v>67</v>
      </c>
      <c r="X4035" s="5" t="s">
        <v>67</v>
      </c>
      <c r="Y4035" s="4">
        <v>501</v>
      </c>
      <c r="Z4035" s="4">
        <v>27</v>
      </c>
      <c r="AA4035" s="4">
        <v>27</v>
      </c>
      <c r="AB4035" s="4">
        <v>2</v>
      </c>
      <c r="AC4035" s="4">
        <v>2</v>
      </c>
      <c r="AD4035" s="4">
        <v>101</v>
      </c>
      <c r="AE4035" s="4">
        <v>101</v>
      </c>
      <c r="AF4035" s="4">
        <v>0</v>
      </c>
      <c r="AG4035" s="4">
        <v>0</v>
      </c>
      <c r="AH4035" s="4">
        <v>92</v>
      </c>
      <c r="AI4035" s="4">
        <v>92</v>
      </c>
      <c r="AJ4035" s="4">
        <v>11</v>
      </c>
      <c r="AK4035" s="4">
        <v>11</v>
      </c>
      <c r="AL4035" s="4">
        <v>48</v>
      </c>
      <c r="AM4035" s="4">
        <v>48</v>
      </c>
      <c r="AN4035" s="4">
        <v>0</v>
      </c>
      <c r="AO4035" s="4">
        <v>0</v>
      </c>
      <c r="AP4035" s="4">
        <v>15</v>
      </c>
      <c r="AQ4035" s="4">
        <v>15</v>
      </c>
      <c r="AR4035" s="3" t="s">
        <v>62</v>
      </c>
      <c r="AS4035" s="3" t="s">
        <v>62</v>
      </c>
      <c r="AT4035" s="3" t="s">
        <v>62</v>
      </c>
      <c r="AV4035" s="6" t="str">
        <f>HYPERLINK("http://mcgill.on.worldcat.org/oclc/41380397","Catalog Record")</f>
        <v>Catalog Record</v>
      </c>
      <c r="AW4035" s="6" t="str">
        <f>HYPERLINK("http://www.worldcat.org/oclc/41380397","WorldCat Record")</f>
        <v>WorldCat Record</v>
      </c>
      <c r="AX4035" s="3" t="s">
        <v>38925</v>
      </c>
      <c r="AY4035" s="3" t="s">
        <v>38926</v>
      </c>
      <c r="AZ4035" s="3" t="s">
        <v>38927</v>
      </c>
      <c r="BA4035" s="3" t="s">
        <v>38927</v>
      </c>
      <c r="BB4035" s="3" t="s">
        <v>38928</v>
      </c>
      <c r="BC4035" s="3" t="s">
        <v>102</v>
      </c>
      <c r="BD4035" s="3" t="s">
        <v>68</v>
      </c>
      <c r="BE4035" s="3" t="s">
        <v>38929</v>
      </c>
      <c r="BF4035" s="3" t="s">
        <v>38928</v>
      </c>
      <c r="BG4035" s="3" t="s">
        <v>38930</v>
      </c>
    </row>
    <row r="4036" spans="1:59" ht="58" x14ac:dyDescent="0.35">
      <c r="A4036" s="2" t="s">
        <v>59</v>
      </c>
      <c r="B4036" s="2" t="s">
        <v>60</v>
      </c>
      <c r="C4036" s="2" t="s">
        <v>38931</v>
      </c>
      <c r="D4036" s="2" t="s">
        <v>38932</v>
      </c>
      <c r="E4036" s="2" t="s">
        <v>38933</v>
      </c>
      <c r="G4036" s="3" t="s">
        <v>62</v>
      </c>
      <c r="I4036" s="3" t="s">
        <v>61</v>
      </c>
      <c r="J4036" s="3" t="s">
        <v>62</v>
      </c>
      <c r="K4036" s="3" t="s">
        <v>63</v>
      </c>
      <c r="L4036" s="2" t="s">
        <v>38934</v>
      </c>
      <c r="M4036" s="2" t="s">
        <v>38935</v>
      </c>
      <c r="N4036" s="3" t="s">
        <v>568</v>
      </c>
      <c r="O4036" s="2" t="s">
        <v>38936</v>
      </c>
      <c r="P4036" s="3" t="s">
        <v>64</v>
      </c>
      <c r="R4036" s="3" t="s">
        <v>34126</v>
      </c>
      <c r="S4036" s="4">
        <v>7</v>
      </c>
      <c r="T4036" s="4">
        <v>7</v>
      </c>
      <c r="U4036" s="5" t="s">
        <v>10908</v>
      </c>
      <c r="V4036" s="5" t="s">
        <v>10908</v>
      </c>
      <c r="W4036" s="5" t="s">
        <v>67</v>
      </c>
      <c r="X4036" s="5" t="s">
        <v>67</v>
      </c>
      <c r="Y4036" s="4">
        <v>169</v>
      </c>
      <c r="Z4036" s="4">
        <v>9</v>
      </c>
      <c r="AA4036" s="4">
        <v>48</v>
      </c>
      <c r="AB4036" s="4">
        <v>1</v>
      </c>
      <c r="AC4036" s="4">
        <v>6</v>
      </c>
      <c r="AD4036" s="4">
        <v>15</v>
      </c>
      <c r="AE4036" s="4">
        <v>119</v>
      </c>
      <c r="AF4036" s="4">
        <v>0</v>
      </c>
      <c r="AG4036" s="4">
        <v>2</v>
      </c>
      <c r="AH4036" s="4">
        <v>10</v>
      </c>
      <c r="AI4036" s="4">
        <v>101</v>
      </c>
      <c r="AJ4036" s="4">
        <v>1</v>
      </c>
      <c r="AK4036" s="4">
        <v>15</v>
      </c>
      <c r="AL4036" s="4">
        <v>7</v>
      </c>
      <c r="AM4036" s="4">
        <v>51</v>
      </c>
      <c r="AN4036" s="4">
        <v>0</v>
      </c>
      <c r="AO4036" s="4">
        <v>0</v>
      </c>
      <c r="AP4036" s="4">
        <v>5</v>
      </c>
      <c r="AQ4036" s="4">
        <v>22</v>
      </c>
      <c r="AR4036" s="3" t="s">
        <v>62</v>
      </c>
      <c r="AS4036" s="3" t="s">
        <v>62</v>
      </c>
      <c r="AT4036" s="3" t="s">
        <v>61</v>
      </c>
      <c r="AU4036" s="6" t="str">
        <f>HYPERLINK("http://catalog.hathitrust.org/Record/004029273","HathiTrust Record")</f>
        <v>HathiTrust Record</v>
      </c>
      <c r="AV4036" s="6" t="str">
        <f>HYPERLINK("http://mcgill.on.worldcat.org/oclc/44165178","Catalog Record")</f>
        <v>Catalog Record</v>
      </c>
      <c r="AW4036" s="6" t="str">
        <f>HYPERLINK("http://www.worldcat.org/oclc/44165178","WorldCat Record")</f>
        <v>WorldCat Record</v>
      </c>
      <c r="AX4036" s="3" t="s">
        <v>38937</v>
      </c>
      <c r="AY4036" s="3" t="s">
        <v>38938</v>
      </c>
      <c r="AZ4036" s="3" t="s">
        <v>38939</v>
      </c>
      <c r="BA4036" s="3" t="s">
        <v>38939</v>
      </c>
      <c r="BB4036" s="3" t="s">
        <v>38940</v>
      </c>
      <c r="BC4036" s="3" t="s">
        <v>102</v>
      </c>
      <c r="BD4036" s="3" t="s">
        <v>231</v>
      </c>
      <c r="BE4036" s="3" t="s">
        <v>38941</v>
      </c>
      <c r="BF4036" s="3" t="s">
        <v>38940</v>
      </c>
      <c r="BG4036" s="3" t="s">
        <v>38942</v>
      </c>
    </row>
    <row r="4037" spans="1:59" ht="58" x14ac:dyDescent="0.35">
      <c r="A4037" s="2" t="s">
        <v>59</v>
      </c>
      <c r="B4037" s="2" t="s">
        <v>60</v>
      </c>
      <c r="C4037" s="2" t="s">
        <v>38943</v>
      </c>
      <c r="D4037" s="2" t="s">
        <v>38944</v>
      </c>
      <c r="E4037" s="2" t="s">
        <v>38945</v>
      </c>
      <c r="G4037" s="3" t="s">
        <v>62</v>
      </c>
      <c r="I4037" s="3" t="s">
        <v>62</v>
      </c>
      <c r="J4037" s="3" t="s">
        <v>62</v>
      </c>
      <c r="K4037" s="3" t="s">
        <v>63</v>
      </c>
      <c r="L4037" s="2" t="s">
        <v>36020</v>
      </c>
      <c r="M4037" s="2" t="s">
        <v>38946</v>
      </c>
      <c r="N4037" s="3" t="s">
        <v>1482</v>
      </c>
      <c r="P4037" s="3" t="s">
        <v>64</v>
      </c>
      <c r="R4037" s="3" t="s">
        <v>34126</v>
      </c>
      <c r="S4037" s="4">
        <v>5</v>
      </c>
      <c r="T4037" s="4">
        <v>5</v>
      </c>
      <c r="U4037" s="5" t="s">
        <v>6531</v>
      </c>
      <c r="V4037" s="5" t="s">
        <v>6531</v>
      </c>
      <c r="W4037" s="5" t="s">
        <v>67</v>
      </c>
      <c r="X4037" s="5" t="s">
        <v>67</v>
      </c>
      <c r="Y4037" s="4">
        <v>815</v>
      </c>
      <c r="Z4037" s="4">
        <v>35</v>
      </c>
      <c r="AA4037" s="4">
        <v>46</v>
      </c>
      <c r="AB4037" s="4">
        <v>2</v>
      </c>
      <c r="AC4037" s="4">
        <v>5</v>
      </c>
      <c r="AD4037" s="4">
        <v>105</v>
      </c>
      <c r="AE4037" s="4">
        <v>115</v>
      </c>
      <c r="AF4037" s="4">
        <v>0</v>
      </c>
      <c r="AG4037" s="4">
        <v>2</v>
      </c>
      <c r="AH4037" s="4">
        <v>91</v>
      </c>
      <c r="AI4037" s="4">
        <v>95</v>
      </c>
      <c r="AJ4037" s="4">
        <v>11</v>
      </c>
      <c r="AK4037" s="4">
        <v>19</v>
      </c>
      <c r="AL4037" s="4">
        <v>49</v>
      </c>
      <c r="AM4037" s="4">
        <v>50</v>
      </c>
      <c r="AN4037" s="4">
        <v>0</v>
      </c>
      <c r="AO4037" s="4">
        <v>0</v>
      </c>
      <c r="AP4037" s="4">
        <v>18</v>
      </c>
      <c r="AQ4037" s="4">
        <v>26</v>
      </c>
      <c r="AR4037" s="3" t="s">
        <v>62</v>
      </c>
      <c r="AS4037" s="3" t="s">
        <v>62</v>
      </c>
      <c r="AT4037" s="3" t="s">
        <v>62</v>
      </c>
      <c r="AV4037" s="6" t="str">
        <f>HYPERLINK("http://mcgill.on.worldcat.org/oclc/13122067","Catalog Record")</f>
        <v>Catalog Record</v>
      </c>
      <c r="AW4037" s="6" t="str">
        <f>HYPERLINK("http://www.worldcat.org/oclc/13122067","WorldCat Record")</f>
        <v>WorldCat Record</v>
      </c>
      <c r="AX4037" s="3" t="s">
        <v>38947</v>
      </c>
      <c r="AY4037" s="3" t="s">
        <v>38948</v>
      </c>
      <c r="AZ4037" s="3" t="s">
        <v>38949</v>
      </c>
      <c r="BA4037" s="3" t="s">
        <v>38949</v>
      </c>
      <c r="BB4037" s="3" t="s">
        <v>38950</v>
      </c>
      <c r="BC4037" s="3" t="s">
        <v>102</v>
      </c>
      <c r="BD4037" s="3" t="s">
        <v>68</v>
      </c>
      <c r="BE4037" s="3" t="s">
        <v>38951</v>
      </c>
      <c r="BF4037" s="3" t="s">
        <v>38950</v>
      </c>
      <c r="BG4037" s="3" t="s">
        <v>38952</v>
      </c>
    </row>
    <row r="4038" spans="1:59" ht="58" x14ac:dyDescent="0.35">
      <c r="A4038" s="2" t="s">
        <v>59</v>
      </c>
      <c r="B4038" s="2" t="s">
        <v>60</v>
      </c>
      <c r="C4038" s="2" t="s">
        <v>38953</v>
      </c>
      <c r="D4038" s="2" t="s">
        <v>38954</v>
      </c>
      <c r="E4038" s="2" t="s">
        <v>38955</v>
      </c>
      <c r="G4038" s="3" t="s">
        <v>62</v>
      </c>
      <c r="I4038" s="3" t="s">
        <v>62</v>
      </c>
      <c r="J4038" s="3" t="s">
        <v>62</v>
      </c>
      <c r="K4038" s="3" t="s">
        <v>63</v>
      </c>
      <c r="L4038" s="2" t="s">
        <v>38956</v>
      </c>
      <c r="M4038" s="2" t="s">
        <v>38957</v>
      </c>
      <c r="N4038" s="3" t="s">
        <v>157</v>
      </c>
      <c r="P4038" s="3" t="s">
        <v>64</v>
      </c>
      <c r="R4038" s="3" t="s">
        <v>34126</v>
      </c>
      <c r="S4038" s="4">
        <v>6</v>
      </c>
      <c r="T4038" s="4">
        <v>6</v>
      </c>
      <c r="U4038" s="5" t="s">
        <v>11740</v>
      </c>
      <c r="V4038" s="5" t="s">
        <v>11740</v>
      </c>
      <c r="W4038" s="5" t="s">
        <v>67</v>
      </c>
      <c r="X4038" s="5" t="s">
        <v>67</v>
      </c>
      <c r="Y4038" s="4">
        <v>586</v>
      </c>
      <c r="Z4038" s="4">
        <v>33</v>
      </c>
      <c r="AA4038" s="4">
        <v>37</v>
      </c>
      <c r="AB4038" s="4">
        <v>3</v>
      </c>
      <c r="AC4038" s="4">
        <v>7</v>
      </c>
      <c r="AD4038" s="4">
        <v>119</v>
      </c>
      <c r="AE4038" s="4">
        <v>123</v>
      </c>
      <c r="AF4038" s="4">
        <v>2</v>
      </c>
      <c r="AG4038" s="4">
        <v>6</v>
      </c>
      <c r="AH4038" s="4">
        <v>105</v>
      </c>
      <c r="AI4038" s="4">
        <v>106</v>
      </c>
      <c r="AJ4038" s="4">
        <v>18</v>
      </c>
      <c r="AK4038" s="4">
        <v>22</v>
      </c>
      <c r="AL4038" s="4">
        <v>52</v>
      </c>
      <c r="AM4038" s="4">
        <v>52</v>
      </c>
      <c r="AN4038" s="4">
        <v>0</v>
      </c>
      <c r="AO4038" s="4">
        <v>0</v>
      </c>
      <c r="AP4038" s="4">
        <v>24</v>
      </c>
      <c r="AQ4038" s="4">
        <v>27</v>
      </c>
      <c r="AR4038" s="3" t="s">
        <v>62</v>
      </c>
      <c r="AS4038" s="3" t="s">
        <v>62</v>
      </c>
      <c r="AT4038" s="3" t="s">
        <v>62</v>
      </c>
      <c r="AV4038" s="6" t="str">
        <f>HYPERLINK("http://mcgill.on.worldcat.org/oclc/1072414","Catalog Record")</f>
        <v>Catalog Record</v>
      </c>
      <c r="AW4038" s="6" t="str">
        <f>HYPERLINK("http://www.worldcat.org/oclc/1072414","WorldCat Record")</f>
        <v>WorldCat Record</v>
      </c>
      <c r="AX4038" s="3" t="s">
        <v>38958</v>
      </c>
      <c r="AY4038" s="3" t="s">
        <v>38959</v>
      </c>
      <c r="AZ4038" s="3" t="s">
        <v>38960</v>
      </c>
      <c r="BA4038" s="3" t="s">
        <v>38960</v>
      </c>
      <c r="BB4038" s="3" t="s">
        <v>38961</v>
      </c>
      <c r="BC4038" s="3" t="s">
        <v>102</v>
      </c>
      <c r="BD4038" s="3" t="s">
        <v>6923</v>
      </c>
      <c r="BE4038" s="3" t="s">
        <v>38962</v>
      </c>
      <c r="BF4038" s="3" t="s">
        <v>38961</v>
      </c>
      <c r="BG4038" s="3" t="s">
        <v>38963</v>
      </c>
    </row>
    <row r="4039" spans="1:59" ht="58" x14ac:dyDescent="0.35">
      <c r="A4039" s="2" t="s">
        <v>59</v>
      </c>
      <c r="B4039" s="2" t="s">
        <v>60</v>
      </c>
      <c r="C4039" s="2" t="s">
        <v>38964</v>
      </c>
      <c r="D4039" s="2" t="s">
        <v>38965</v>
      </c>
      <c r="E4039" s="2" t="s">
        <v>38966</v>
      </c>
      <c r="G4039" s="3" t="s">
        <v>62</v>
      </c>
      <c r="I4039" s="3" t="s">
        <v>62</v>
      </c>
      <c r="J4039" s="3" t="s">
        <v>62</v>
      </c>
      <c r="K4039" s="3" t="s">
        <v>63</v>
      </c>
      <c r="L4039" s="2" t="s">
        <v>36878</v>
      </c>
      <c r="M4039" s="2" t="s">
        <v>38967</v>
      </c>
      <c r="N4039" s="3" t="s">
        <v>1482</v>
      </c>
      <c r="P4039" s="3" t="s">
        <v>64</v>
      </c>
      <c r="Q4039" s="2" t="s">
        <v>38968</v>
      </c>
      <c r="R4039" s="3" t="s">
        <v>34126</v>
      </c>
      <c r="S4039" s="4">
        <v>7</v>
      </c>
      <c r="T4039" s="4">
        <v>7</v>
      </c>
      <c r="U4039" s="5" t="s">
        <v>28659</v>
      </c>
      <c r="V4039" s="5" t="s">
        <v>28659</v>
      </c>
      <c r="W4039" s="5" t="s">
        <v>67</v>
      </c>
      <c r="X4039" s="5" t="s">
        <v>67</v>
      </c>
      <c r="Y4039" s="4">
        <v>842</v>
      </c>
      <c r="Z4039" s="4">
        <v>37</v>
      </c>
      <c r="AA4039" s="4">
        <v>46</v>
      </c>
      <c r="AB4039" s="4">
        <v>3</v>
      </c>
      <c r="AC4039" s="4">
        <v>8</v>
      </c>
      <c r="AD4039" s="4">
        <v>128</v>
      </c>
      <c r="AE4039" s="4">
        <v>136</v>
      </c>
      <c r="AF4039" s="4">
        <v>1</v>
      </c>
      <c r="AG4039" s="4">
        <v>4</v>
      </c>
      <c r="AH4039" s="4">
        <v>108</v>
      </c>
      <c r="AI4039" s="4">
        <v>111</v>
      </c>
      <c r="AJ4039" s="4">
        <v>15</v>
      </c>
      <c r="AK4039" s="4">
        <v>18</v>
      </c>
      <c r="AL4039" s="4">
        <v>58</v>
      </c>
      <c r="AM4039" s="4">
        <v>60</v>
      </c>
      <c r="AN4039" s="4">
        <v>0</v>
      </c>
      <c r="AO4039" s="4">
        <v>0</v>
      </c>
      <c r="AP4039" s="4">
        <v>26</v>
      </c>
      <c r="AQ4039" s="4">
        <v>30</v>
      </c>
      <c r="AR4039" s="3" t="s">
        <v>62</v>
      </c>
      <c r="AS4039" s="3" t="s">
        <v>62</v>
      </c>
      <c r="AT4039" s="3" t="s">
        <v>62</v>
      </c>
      <c r="AV4039" s="6" t="str">
        <f>HYPERLINK("http://mcgill.on.worldcat.org/oclc/12081025","Catalog Record")</f>
        <v>Catalog Record</v>
      </c>
      <c r="AW4039" s="6" t="str">
        <f>HYPERLINK("http://www.worldcat.org/oclc/12081025","WorldCat Record")</f>
        <v>WorldCat Record</v>
      </c>
      <c r="AX4039" s="3" t="s">
        <v>38969</v>
      </c>
      <c r="AY4039" s="3" t="s">
        <v>38970</v>
      </c>
      <c r="AZ4039" s="3" t="s">
        <v>38971</v>
      </c>
      <c r="BA4039" s="3" t="s">
        <v>38971</v>
      </c>
      <c r="BB4039" s="3" t="s">
        <v>38972</v>
      </c>
      <c r="BC4039" s="3" t="s">
        <v>102</v>
      </c>
      <c r="BD4039" s="3" t="s">
        <v>68</v>
      </c>
      <c r="BE4039" s="3" t="s">
        <v>38973</v>
      </c>
      <c r="BF4039" s="3" t="s">
        <v>38972</v>
      </c>
      <c r="BG4039" s="3" t="s">
        <v>38974</v>
      </c>
    </row>
    <row r="4040" spans="1:59" ht="58" x14ac:dyDescent="0.35">
      <c r="A4040" s="2" t="s">
        <v>89</v>
      </c>
      <c r="B4040" s="2" t="s">
        <v>90</v>
      </c>
      <c r="C4040" s="2" t="s">
        <v>38975</v>
      </c>
      <c r="D4040" s="2" t="s">
        <v>38976</v>
      </c>
      <c r="E4040" s="2" t="s">
        <v>38977</v>
      </c>
      <c r="G4040" s="3" t="s">
        <v>62</v>
      </c>
      <c r="I4040" s="3" t="s">
        <v>62</v>
      </c>
      <c r="J4040" s="3" t="s">
        <v>62</v>
      </c>
      <c r="K4040" s="3" t="s">
        <v>63</v>
      </c>
      <c r="L4040" s="2" t="s">
        <v>38978</v>
      </c>
      <c r="M4040" s="2" t="s">
        <v>38979</v>
      </c>
      <c r="N4040" s="3" t="s">
        <v>157</v>
      </c>
      <c r="P4040" s="3" t="s">
        <v>85</v>
      </c>
      <c r="Q4040" s="2" t="s">
        <v>38980</v>
      </c>
      <c r="R4040" s="3" t="s">
        <v>34126</v>
      </c>
      <c r="S4040" s="4">
        <v>9</v>
      </c>
      <c r="T4040" s="4">
        <v>9</v>
      </c>
      <c r="U4040" s="5" t="s">
        <v>33169</v>
      </c>
      <c r="V4040" s="5" t="s">
        <v>33169</v>
      </c>
      <c r="W4040" s="5" t="s">
        <v>67</v>
      </c>
      <c r="X4040" s="5" t="s">
        <v>67</v>
      </c>
      <c r="Y4040" s="4">
        <v>50</v>
      </c>
      <c r="Z4040" s="4">
        <v>3</v>
      </c>
      <c r="AA4040" s="4">
        <v>15</v>
      </c>
      <c r="AB4040" s="4">
        <v>1</v>
      </c>
      <c r="AC4040" s="4">
        <v>9</v>
      </c>
      <c r="AD4040" s="4">
        <v>16</v>
      </c>
      <c r="AE4040" s="4">
        <v>25</v>
      </c>
      <c r="AF4040" s="4">
        <v>0</v>
      </c>
      <c r="AG4040" s="4">
        <v>4</v>
      </c>
      <c r="AH4040" s="4">
        <v>15</v>
      </c>
      <c r="AI4040" s="4">
        <v>21</v>
      </c>
      <c r="AJ4040" s="4">
        <v>2</v>
      </c>
      <c r="AK4040" s="4">
        <v>8</v>
      </c>
      <c r="AL4040" s="4">
        <v>13</v>
      </c>
      <c r="AM4040" s="4">
        <v>16</v>
      </c>
      <c r="AN4040" s="4">
        <v>0</v>
      </c>
      <c r="AO4040" s="4">
        <v>0</v>
      </c>
      <c r="AP4040" s="4">
        <v>2</v>
      </c>
      <c r="AQ4040" s="4">
        <v>8</v>
      </c>
      <c r="AR4040" s="3" t="s">
        <v>62</v>
      </c>
      <c r="AS4040" s="3" t="s">
        <v>62</v>
      </c>
      <c r="AT4040" s="3" t="s">
        <v>61</v>
      </c>
      <c r="AU4040" s="6" t="str">
        <f>HYPERLINK("http://catalog.hathitrust.org/Record/000041578","HathiTrust Record")</f>
        <v>HathiTrust Record</v>
      </c>
      <c r="AV4040" s="6" t="str">
        <f>HYPERLINK("http://mcgill.on.worldcat.org/oclc/1603211","Catalog Record")</f>
        <v>Catalog Record</v>
      </c>
      <c r="AW4040" s="6" t="str">
        <f>HYPERLINK("http://www.worldcat.org/oclc/1603211","WorldCat Record")</f>
        <v>WorldCat Record</v>
      </c>
      <c r="AX4040" s="3" t="s">
        <v>38981</v>
      </c>
      <c r="AY4040" s="3" t="s">
        <v>38982</v>
      </c>
      <c r="AZ4040" s="3" t="s">
        <v>38983</v>
      </c>
      <c r="BA4040" s="3" t="s">
        <v>38983</v>
      </c>
      <c r="BB4040" s="3" t="s">
        <v>38984</v>
      </c>
      <c r="BC4040" s="3" t="s">
        <v>102</v>
      </c>
      <c r="BD4040" s="3" t="s">
        <v>231</v>
      </c>
      <c r="BF4040" s="3" t="s">
        <v>38984</v>
      </c>
      <c r="BG4040" s="3" t="s">
        <v>38985</v>
      </c>
    </row>
    <row r="4041" spans="1:59" ht="58" x14ac:dyDescent="0.35">
      <c r="A4041" s="2" t="s">
        <v>89</v>
      </c>
      <c r="B4041" s="2" t="s">
        <v>90</v>
      </c>
      <c r="C4041" s="2" t="s">
        <v>38986</v>
      </c>
      <c r="D4041" s="2" t="s">
        <v>38987</v>
      </c>
      <c r="E4041" s="2" t="s">
        <v>38988</v>
      </c>
      <c r="G4041" s="3" t="s">
        <v>62</v>
      </c>
      <c r="I4041" s="3" t="s">
        <v>62</v>
      </c>
      <c r="J4041" s="3" t="s">
        <v>62</v>
      </c>
      <c r="K4041" s="3" t="s">
        <v>63</v>
      </c>
      <c r="L4041" s="2" t="s">
        <v>38989</v>
      </c>
      <c r="M4041" s="2" t="s">
        <v>38990</v>
      </c>
      <c r="N4041" s="3" t="s">
        <v>2000</v>
      </c>
      <c r="P4041" s="3" t="s">
        <v>64</v>
      </c>
      <c r="R4041" s="3" t="s">
        <v>34126</v>
      </c>
      <c r="S4041" s="4">
        <v>35</v>
      </c>
      <c r="T4041" s="4">
        <v>35</v>
      </c>
      <c r="U4041" s="5" t="s">
        <v>5356</v>
      </c>
      <c r="V4041" s="5" t="s">
        <v>5356</v>
      </c>
      <c r="W4041" s="5" t="s">
        <v>67</v>
      </c>
      <c r="X4041" s="5" t="s">
        <v>67</v>
      </c>
      <c r="Y4041" s="4">
        <v>380</v>
      </c>
      <c r="Z4041" s="4">
        <v>28</v>
      </c>
      <c r="AA4041" s="4">
        <v>34</v>
      </c>
      <c r="AB4041" s="4">
        <v>2</v>
      </c>
      <c r="AC4041" s="4">
        <v>3</v>
      </c>
      <c r="AD4041" s="4">
        <v>118</v>
      </c>
      <c r="AE4041" s="4">
        <v>123</v>
      </c>
      <c r="AF4041" s="4">
        <v>1</v>
      </c>
      <c r="AG4041" s="4">
        <v>2</v>
      </c>
      <c r="AH4041" s="4">
        <v>104</v>
      </c>
      <c r="AI4041" s="4">
        <v>105</v>
      </c>
      <c r="AJ4041" s="4">
        <v>17</v>
      </c>
      <c r="AK4041" s="4">
        <v>18</v>
      </c>
      <c r="AL4041" s="4">
        <v>59</v>
      </c>
      <c r="AM4041" s="4">
        <v>60</v>
      </c>
      <c r="AN4041" s="4">
        <v>0</v>
      </c>
      <c r="AO4041" s="4">
        <v>0</v>
      </c>
      <c r="AP4041" s="4">
        <v>22</v>
      </c>
      <c r="AQ4041" s="4">
        <v>25</v>
      </c>
      <c r="AR4041" s="3" t="s">
        <v>62</v>
      </c>
      <c r="AS4041" s="3" t="s">
        <v>62</v>
      </c>
      <c r="AT4041" s="3" t="s">
        <v>62</v>
      </c>
      <c r="AV4041" s="6" t="str">
        <f>HYPERLINK("http://mcgill.on.worldcat.org/oclc/34029394","Catalog Record")</f>
        <v>Catalog Record</v>
      </c>
      <c r="AW4041" s="6" t="str">
        <f>HYPERLINK("http://www.worldcat.org/oclc/34029394","WorldCat Record")</f>
        <v>WorldCat Record</v>
      </c>
      <c r="AX4041" s="3" t="s">
        <v>38991</v>
      </c>
      <c r="AY4041" s="3" t="s">
        <v>38992</v>
      </c>
      <c r="AZ4041" s="3" t="s">
        <v>38993</v>
      </c>
      <c r="BA4041" s="3" t="s">
        <v>38993</v>
      </c>
      <c r="BB4041" s="3" t="s">
        <v>38994</v>
      </c>
      <c r="BC4041" s="3" t="s">
        <v>102</v>
      </c>
      <c r="BD4041" s="3" t="s">
        <v>68</v>
      </c>
      <c r="BE4041" s="3" t="s">
        <v>38995</v>
      </c>
      <c r="BF4041" s="3" t="s">
        <v>38994</v>
      </c>
      <c r="BG4041" s="3" t="s">
        <v>38996</v>
      </c>
    </row>
    <row r="4042" spans="1:59" ht="58" x14ac:dyDescent="0.35">
      <c r="A4042" s="2" t="s">
        <v>59</v>
      </c>
      <c r="B4042" s="2" t="s">
        <v>60</v>
      </c>
      <c r="C4042" s="2" t="s">
        <v>38997</v>
      </c>
      <c r="D4042" s="2" t="s">
        <v>38998</v>
      </c>
      <c r="E4042" s="2" t="s">
        <v>38999</v>
      </c>
      <c r="G4042" s="3" t="s">
        <v>62</v>
      </c>
      <c r="I4042" s="3" t="s">
        <v>61</v>
      </c>
      <c r="J4042" s="3" t="s">
        <v>62</v>
      </c>
      <c r="K4042" s="3" t="s">
        <v>63</v>
      </c>
      <c r="L4042" s="2" t="s">
        <v>39000</v>
      </c>
      <c r="M4042" s="2" t="s">
        <v>39001</v>
      </c>
      <c r="N4042" s="3" t="s">
        <v>81</v>
      </c>
      <c r="P4042" s="3" t="s">
        <v>64</v>
      </c>
      <c r="R4042" s="3" t="s">
        <v>34126</v>
      </c>
      <c r="S4042" s="4">
        <v>2</v>
      </c>
      <c r="T4042" s="4">
        <v>13</v>
      </c>
      <c r="U4042" s="5" t="s">
        <v>39002</v>
      </c>
      <c r="V4042" s="5" t="s">
        <v>84</v>
      </c>
      <c r="W4042" s="5" t="s">
        <v>67</v>
      </c>
      <c r="X4042" s="5" t="s">
        <v>67</v>
      </c>
      <c r="Y4042" s="4">
        <v>649</v>
      </c>
      <c r="Z4042" s="4">
        <v>36</v>
      </c>
      <c r="AA4042" s="4">
        <v>37</v>
      </c>
      <c r="AB4042" s="4">
        <v>2</v>
      </c>
      <c r="AC4042" s="4">
        <v>3</v>
      </c>
      <c r="AD4042" s="4">
        <v>120</v>
      </c>
      <c r="AE4042" s="4">
        <v>124</v>
      </c>
      <c r="AF4042" s="4">
        <v>1</v>
      </c>
      <c r="AG4042" s="4">
        <v>2</v>
      </c>
      <c r="AH4042" s="4">
        <v>95</v>
      </c>
      <c r="AI4042" s="4">
        <v>98</v>
      </c>
      <c r="AJ4042" s="4">
        <v>23</v>
      </c>
      <c r="AK4042" s="4">
        <v>24</v>
      </c>
      <c r="AL4042" s="4">
        <v>53</v>
      </c>
      <c r="AM4042" s="4">
        <v>55</v>
      </c>
      <c r="AN4042" s="4">
        <v>0</v>
      </c>
      <c r="AO4042" s="4">
        <v>0</v>
      </c>
      <c r="AP4042" s="4">
        <v>30</v>
      </c>
      <c r="AQ4042" s="4">
        <v>31</v>
      </c>
      <c r="AR4042" s="3" t="s">
        <v>62</v>
      </c>
      <c r="AS4042" s="3" t="s">
        <v>62</v>
      </c>
      <c r="AT4042" s="3" t="s">
        <v>61</v>
      </c>
      <c r="AU4042" s="6" t="str">
        <f>HYPERLINK("http://catalog.hathitrust.org/Record/001492561","HathiTrust Record")</f>
        <v>HathiTrust Record</v>
      </c>
      <c r="AV4042" s="6" t="str">
        <f>HYPERLINK("http://mcgill.on.worldcat.org/oclc/288774","Catalog Record")</f>
        <v>Catalog Record</v>
      </c>
      <c r="AW4042" s="6" t="str">
        <f>HYPERLINK("http://www.worldcat.org/oclc/288774","WorldCat Record")</f>
        <v>WorldCat Record</v>
      </c>
      <c r="AX4042" s="3" t="s">
        <v>39003</v>
      </c>
      <c r="AY4042" s="3" t="s">
        <v>39004</v>
      </c>
      <c r="AZ4042" s="3" t="s">
        <v>39005</v>
      </c>
      <c r="BA4042" s="3" t="s">
        <v>39005</v>
      </c>
      <c r="BB4042" s="3" t="s">
        <v>39006</v>
      </c>
      <c r="BC4042" s="3" t="s">
        <v>102</v>
      </c>
      <c r="BD4042" s="3" t="s">
        <v>68</v>
      </c>
      <c r="BF4042" s="3" t="s">
        <v>39006</v>
      </c>
      <c r="BG4042" s="3" t="s">
        <v>39007</v>
      </c>
    </row>
    <row r="4043" spans="1:59" ht="58" x14ac:dyDescent="0.35">
      <c r="A4043" s="2" t="s">
        <v>89</v>
      </c>
      <c r="B4043" s="2" t="s">
        <v>90</v>
      </c>
      <c r="C4043" s="2" t="s">
        <v>39008</v>
      </c>
      <c r="D4043" s="2" t="s">
        <v>39009</v>
      </c>
      <c r="E4043" s="2" t="s">
        <v>39010</v>
      </c>
      <c r="G4043" s="3" t="s">
        <v>62</v>
      </c>
      <c r="I4043" s="3" t="s">
        <v>61</v>
      </c>
      <c r="J4043" s="3" t="s">
        <v>62</v>
      </c>
      <c r="K4043" s="3" t="s">
        <v>63</v>
      </c>
      <c r="L4043" s="2" t="s">
        <v>39011</v>
      </c>
      <c r="M4043" s="2" t="s">
        <v>39012</v>
      </c>
      <c r="N4043" s="3" t="s">
        <v>698</v>
      </c>
      <c r="P4043" s="3" t="s">
        <v>64</v>
      </c>
      <c r="R4043" s="3" t="s">
        <v>34126</v>
      </c>
      <c r="S4043" s="4">
        <v>1</v>
      </c>
      <c r="T4043" s="4">
        <v>3</v>
      </c>
      <c r="U4043" s="5" t="s">
        <v>39013</v>
      </c>
      <c r="V4043" s="5" t="s">
        <v>39013</v>
      </c>
      <c r="W4043" s="5" t="s">
        <v>67</v>
      </c>
      <c r="X4043" s="5" t="s">
        <v>67</v>
      </c>
      <c r="Y4043" s="4">
        <v>470</v>
      </c>
      <c r="Z4043" s="4">
        <v>17</v>
      </c>
      <c r="AA4043" s="4">
        <v>33</v>
      </c>
      <c r="AB4043" s="4">
        <v>2</v>
      </c>
      <c r="AC4043" s="4">
        <v>5</v>
      </c>
      <c r="AD4043" s="4">
        <v>75</v>
      </c>
      <c r="AE4043" s="4">
        <v>88</v>
      </c>
      <c r="AF4043" s="4">
        <v>0</v>
      </c>
      <c r="AG4043" s="4">
        <v>1</v>
      </c>
      <c r="AH4043" s="4">
        <v>68</v>
      </c>
      <c r="AI4043" s="4">
        <v>76</v>
      </c>
      <c r="AJ4043" s="4">
        <v>8</v>
      </c>
      <c r="AK4043" s="4">
        <v>12</v>
      </c>
      <c r="AL4043" s="4">
        <v>40</v>
      </c>
      <c r="AM4043" s="4">
        <v>44</v>
      </c>
      <c r="AN4043" s="4">
        <v>0</v>
      </c>
      <c r="AO4043" s="4">
        <v>0</v>
      </c>
      <c r="AP4043" s="4">
        <v>10</v>
      </c>
      <c r="AQ4043" s="4">
        <v>17</v>
      </c>
      <c r="AR4043" s="3" t="s">
        <v>62</v>
      </c>
      <c r="AS4043" s="3" t="s">
        <v>62</v>
      </c>
      <c r="AT4043" s="3" t="s">
        <v>62</v>
      </c>
      <c r="AV4043" s="6" t="str">
        <f>HYPERLINK("http://mcgill.on.worldcat.org/oclc/808107321","Catalog Record")</f>
        <v>Catalog Record</v>
      </c>
      <c r="AW4043" s="6" t="str">
        <f>HYPERLINK("http://www.worldcat.org/oclc/808107321","WorldCat Record")</f>
        <v>WorldCat Record</v>
      </c>
      <c r="AX4043" s="3" t="s">
        <v>39014</v>
      </c>
      <c r="AY4043" s="3" t="s">
        <v>39015</v>
      </c>
      <c r="AZ4043" s="3" t="s">
        <v>39016</v>
      </c>
      <c r="BA4043" s="3" t="s">
        <v>39016</v>
      </c>
      <c r="BB4043" s="3" t="s">
        <v>39017</v>
      </c>
      <c r="BC4043" s="3" t="s">
        <v>102</v>
      </c>
      <c r="BD4043" s="3" t="s">
        <v>68</v>
      </c>
      <c r="BE4043" s="3" t="s">
        <v>39018</v>
      </c>
      <c r="BF4043" s="3" t="s">
        <v>39017</v>
      </c>
      <c r="BG4043" s="3" t="s">
        <v>39019</v>
      </c>
    </row>
    <row r="4044" spans="1:59" ht="58" x14ac:dyDescent="0.35">
      <c r="A4044" s="2" t="s">
        <v>89</v>
      </c>
      <c r="B4044" s="2" t="s">
        <v>90</v>
      </c>
      <c r="C4044" s="2" t="s">
        <v>39008</v>
      </c>
      <c r="D4044" s="2" t="s">
        <v>39009</v>
      </c>
      <c r="E4044" s="2" t="s">
        <v>39010</v>
      </c>
      <c r="G4044" s="3" t="s">
        <v>62</v>
      </c>
      <c r="I4044" s="3" t="s">
        <v>61</v>
      </c>
      <c r="J4044" s="3" t="s">
        <v>62</v>
      </c>
      <c r="K4044" s="3" t="s">
        <v>63</v>
      </c>
      <c r="L4044" s="2" t="s">
        <v>39011</v>
      </c>
      <c r="M4044" s="2" t="s">
        <v>39012</v>
      </c>
      <c r="N4044" s="3" t="s">
        <v>698</v>
      </c>
      <c r="P4044" s="3" t="s">
        <v>64</v>
      </c>
      <c r="R4044" s="3" t="s">
        <v>34126</v>
      </c>
      <c r="S4044" s="4">
        <v>1</v>
      </c>
      <c r="T4044" s="4">
        <v>3</v>
      </c>
      <c r="U4044" s="5" t="s">
        <v>39020</v>
      </c>
      <c r="V4044" s="5" t="s">
        <v>39013</v>
      </c>
      <c r="W4044" s="5" t="s">
        <v>67</v>
      </c>
      <c r="X4044" s="5" t="s">
        <v>67</v>
      </c>
      <c r="Y4044" s="4">
        <v>470</v>
      </c>
      <c r="Z4044" s="4">
        <v>17</v>
      </c>
      <c r="AA4044" s="4">
        <v>33</v>
      </c>
      <c r="AB4044" s="4">
        <v>2</v>
      </c>
      <c r="AC4044" s="4">
        <v>5</v>
      </c>
      <c r="AD4044" s="4">
        <v>75</v>
      </c>
      <c r="AE4044" s="4">
        <v>88</v>
      </c>
      <c r="AF4044" s="4">
        <v>0</v>
      </c>
      <c r="AG4044" s="4">
        <v>1</v>
      </c>
      <c r="AH4044" s="4">
        <v>68</v>
      </c>
      <c r="AI4044" s="4">
        <v>76</v>
      </c>
      <c r="AJ4044" s="4">
        <v>8</v>
      </c>
      <c r="AK4044" s="4">
        <v>12</v>
      </c>
      <c r="AL4044" s="4">
        <v>40</v>
      </c>
      <c r="AM4044" s="4">
        <v>44</v>
      </c>
      <c r="AN4044" s="4">
        <v>0</v>
      </c>
      <c r="AO4044" s="4">
        <v>0</v>
      </c>
      <c r="AP4044" s="4">
        <v>10</v>
      </c>
      <c r="AQ4044" s="4">
        <v>17</v>
      </c>
      <c r="AR4044" s="3" t="s">
        <v>62</v>
      </c>
      <c r="AS4044" s="3" t="s">
        <v>62</v>
      </c>
      <c r="AT4044" s="3" t="s">
        <v>62</v>
      </c>
      <c r="AV4044" s="6" t="str">
        <f>HYPERLINK("http://mcgill.on.worldcat.org/oclc/808107321","Catalog Record")</f>
        <v>Catalog Record</v>
      </c>
      <c r="AW4044" s="6" t="str">
        <f>HYPERLINK("http://www.worldcat.org/oclc/808107321","WorldCat Record")</f>
        <v>WorldCat Record</v>
      </c>
      <c r="AX4044" s="3" t="s">
        <v>39014</v>
      </c>
      <c r="AY4044" s="3" t="s">
        <v>39015</v>
      </c>
      <c r="AZ4044" s="3" t="s">
        <v>39016</v>
      </c>
      <c r="BA4044" s="3" t="s">
        <v>39016</v>
      </c>
      <c r="BB4044" s="3" t="s">
        <v>39021</v>
      </c>
      <c r="BC4044" s="3" t="s">
        <v>102</v>
      </c>
      <c r="BD4044" s="3" t="s">
        <v>68</v>
      </c>
      <c r="BE4044" s="3" t="s">
        <v>39018</v>
      </c>
      <c r="BF4044" s="3" t="s">
        <v>39021</v>
      </c>
      <c r="BG4044" s="3" t="s">
        <v>39022</v>
      </c>
    </row>
    <row r="4045" spans="1:59" ht="58" x14ac:dyDescent="0.35">
      <c r="A4045" s="2" t="s">
        <v>89</v>
      </c>
      <c r="B4045" s="2" t="s">
        <v>90</v>
      </c>
      <c r="C4045" s="2" t="s">
        <v>39008</v>
      </c>
      <c r="D4045" s="2" t="s">
        <v>39009</v>
      </c>
      <c r="E4045" s="2" t="s">
        <v>39010</v>
      </c>
      <c r="G4045" s="3" t="s">
        <v>62</v>
      </c>
      <c r="I4045" s="3" t="s">
        <v>61</v>
      </c>
      <c r="J4045" s="3" t="s">
        <v>62</v>
      </c>
      <c r="K4045" s="3" t="s">
        <v>63</v>
      </c>
      <c r="L4045" s="2" t="s">
        <v>39011</v>
      </c>
      <c r="M4045" s="2" t="s">
        <v>39012</v>
      </c>
      <c r="N4045" s="3" t="s">
        <v>698</v>
      </c>
      <c r="P4045" s="3" t="s">
        <v>64</v>
      </c>
      <c r="R4045" s="3" t="s">
        <v>34126</v>
      </c>
      <c r="S4045" s="4">
        <v>1</v>
      </c>
      <c r="T4045" s="4">
        <v>3</v>
      </c>
      <c r="U4045" s="5" t="s">
        <v>36337</v>
      </c>
      <c r="V4045" s="5" t="s">
        <v>39013</v>
      </c>
      <c r="W4045" s="5" t="s">
        <v>67</v>
      </c>
      <c r="X4045" s="5" t="s">
        <v>67</v>
      </c>
      <c r="Y4045" s="4">
        <v>470</v>
      </c>
      <c r="Z4045" s="4">
        <v>17</v>
      </c>
      <c r="AA4045" s="4">
        <v>33</v>
      </c>
      <c r="AB4045" s="4">
        <v>2</v>
      </c>
      <c r="AC4045" s="4">
        <v>5</v>
      </c>
      <c r="AD4045" s="4">
        <v>75</v>
      </c>
      <c r="AE4045" s="4">
        <v>88</v>
      </c>
      <c r="AF4045" s="4">
        <v>0</v>
      </c>
      <c r="AG4045" s="4">
        <v>1</v>
      </c>
      <c r="AH4045" s="4">
        <v>68</v>
      </c>
      <c r="AI4045" s="4">
        <v>76</v>
      </c>
      <c r="AJ4045" s="4">
        <v>8</v>
      </c>
      <c r="AK4045" s="4">
        <v>12</v>
      </c>
      <c r="AL4045" s="4">
        <v>40</v>
      </c>
      <c r="AM4045" s="4">
        <v>44</v>
      </c>
      <c r="AN4045" s="4">
        <v>0</v>
      </c>
      <c r="AO4045" s="4">
        <v>0</v>
      </c>
      <c r="AP4045" s="4">
        <v>10</v>
      </c>
      <c r="AQ4045" s="4">
        <v>17</v>
      </c>
      <c r="AR4045" s="3" t="s">
        <v>62</v>
      </c>
      <c r="AS4045" s="3" t="s">
        <v>62</v>
      </c>
      <c r="AT4045" s="3" t="s">
        <v>62</v>
      </c>
      <c r="AV4045" s="6" t="str">
        <f>HYPERLINK("http://mcgill.on.worldcat.org/oclc/808107321","Catalog Record")</f>
        <v>Catalog Record</v>
      </c>
      <c r="AW4045" s="6" t="str">
        <f>HYPERLINK("http://www.worldcat.org/oclc/808107321","WorldCat Record")</f>
        <v>WorldCat Record</v>
      </c>
      <c r="AX4045" s="3" t="s">
        <v>39014</v>
      </c>
      <c r="AY4045" s="3" t="s">
        <v>39015</v>
      </c>
      <c r="AZ4045" s="3" t="s">
        <v>39016</v>
      </c>
      <c r="BA4045" s="3" t="s">
        <v>39016</v>
      </c>
      <c r="BB4045" s="3" t="s">
        <v>39023</v>
      </c>
      <c r="BC4045" s="3" t="s">
        <v>102</v>
      </c>
      <c r="BD4045" s="3" t="s">
        <v>68</v>
      </c>
      <c r="BE4045" s="3" t="s">
        <v>39018</v>
      </c>
      <c r="BF4045" s="3" t="s">
        <v>39023</v>
      </c>
      <c r="BG4045" s="3" t="s">
        <v>39024</v>
      </c>
    </row>
    <row r="4046" spans="1:59" ht="58" x14ac:dyDescent="0.35">
      <c r="A4046" s="2" t="s">
        <v>59</v>
      </c>
      <c r="B4046" s="2" t="s">
        <v>60</v>
      </c>
      <c r="C4046" s="2" t="s">
        <v>39025</v>
      </c>
      <c r="D4046" s="2" t="s">
        <v>39026</v>
      </c>
      <c r="E4046" s="2" t="s">
        <v>39027</v>
      </c>
      <c r="G4046" s="3" t="s">
        <v>62</v>
      </c>
      <c r="I4046" s="3" t="s">
        <v>62</v>
      </c>
      <c r="J4046" s="3" t="s">
        <v>62</v>
      </c>
      <c r="K4046" s="3" t="s">
        <v>63</v>
      </c>
      <c r="M4046" s="2" t="s">
        <v>4000</v>
      </c>
      <c r="N4046" s="3" t="s">
        <v>640</v>
      </c>
      <c r="P4046" s="3" t="s">
        <v>64</v>
      </c>
      <c r="Q4046" s="2" t="s">
        <v>39028</v>
      </c>
      <c r="R4046" s="3" t="s">
        <v>34126</v>
      </c>
      <c r="S4046" s="4">
        <v>1</v>
      </c>
      <c r="T4046" s="4">
        <v>1</v>
      </c>
      <c r="U4046" s="5" t="s">
        <v>28143</v>
      </c>
      <c r="V4046" s="5" t="s">
        <v>28143</v>
      </c>
      <c r="W4046" s="5" t="s">
        <v>67</v>
      </c>
      <c r="X4046" s="5" t="s">
        <v>67</v>
      </c>
      <c r="Y4046" s="4">
        <v>167</v>
      </c>
      <c r="Z4046" s="4">
        <v>15</v>
      </c>
      <c r="AA4046" s="4">
        <v>19</v>
      </c>
      <c r="AB4046" s="4">
        <v>1</v>
      </c>
      <c r="AC4046" s="4">
        <v>4</v>
      </c>
      <c r="AD4046" s="4">
        <v>69</v>
      </c>
      <c r="AE4046" s="4">
        <v>76</v>
      </c>
      <c r="AF4046" s="4">
        <v>0</v>
      </c>
      <c r="AG4046" s="4">
        <v>2</v>
      </c>
      <c r="AH4046" s="4">
        <v>62</v>
      </c>
      <c r="AI4046" s="4">
        <v>67</v>
      </c>
      <c r="AJ4046" s="4">
        <v>10</v>
      </c>
      <c r="AK4046" s="4">
        <v>13</v>
      </c>
      <c r="AL4046" s="4">
        <v>35</v>
      </c>
      <c r="AM4046" s="4">
        <v>39</v>
      </c>
      <c r="AN4046" s="4">
        <v>0</v>
      </c>
      <c r="AO4046" s="4">
        <v>0</v>
      </c>
      <c r="AP4046" s="4">
        <v>10</v>
      </c>
      <c r="AQ4046" s="4">
        <v>12</v>
      </c>
      <c r="AR4046" s="3" t="s">
        <v>62</v>
      </c>
      <c r="AS4046" s="3" t="s">
        <v>62</v>
      </c>
      <c r="AT4046" s="3" t="s">
        <v>62</v>
      </c>
      <c r="AV4046" s="6" t="str">
        <f>HYPERLINK("http://mcgill.on.worldcat.org/oclc/56593671","Catalog Record")</f>
        <v>Catalog Record</v>
      </c>
      <c r="AW4046" s="6" t="str">
        <f>HYPERLINK("http://www.worldcat.org/oclc/56593671","WorldCat Record")</f>
        <v>WorldCat Record</v>
      </c>
      <c r="AX4046" s="3" t="s">
        <v>39029</v>
      </c>
      <c r="AY4046" s="3" t="s">
        <v>39030</v>
      </c>
      <c r="AZ4046" s="3" t="s">
        <v>39031</v>
      </c>
      <c r="BA4046" s="3" t="s">
        <v>39031</v>
      </c>
      <c r="BB4046" s="3" t="s">
        <v>39032</v>
      </c>
      <c r="BC4046" s="3" t="s">
        <v>102</v>
      </c>
      <c r="BD4046" s="3" t="s">
        <v>68</v>
      </c>
      <c r="BE4046" s="3" t="s">
        <v>39033</v>
      </c>
      <c r="BF4046" s="3" t="s">
        <v>39032</v>
      </c>
      <c r="BG4046" s="3" t="s">
        <v>39034</v>
      </c>
    </row>
    <row r="4047" spans="1:59" ht="58" x14ac:dyDescent="0.35">
      <c r="A4047" s="2" t="s">
        <v>89</v>
      </c>
      <c r="B4047" s="2" t="s">
        <v>90</v>
      </c>
      <c r="C4047" s="2" t="s">
        <v>39035</v>
      </c>
      <c r="D4047" s="2" t="s">
        <v>39036</v>
      </c>
      <c r="E4047" s="2" t="s">
        <v>39037</v>
      </c>
      <c r="G4047" s="3" t="s">
        <v>62</v>
      </c>
      <c r="I4047" s="3" t="s">
        <v>62</v>
      </c>
      <c r="J4047" s="3" t="s">
        <v>62</v>
      </c>
      <c r="K4047" s="3" t="s">
        <v>63</v>
      </c>
      <c r="L4047" s="2" t="s">
        <v>39038</v>
      </c>
      <c r="M4047" s="2" t="s">
        <v>39039</v>
      </c>
      <c r="N4047" s="3" t="s">
        <v>87</v>
      </c>
      <c r="P4047" s="3" t="s">
        <v>64</v>
      </c>
      <c r="Q4047" s="2" t="s">
        <v>39040</v>
      </c>
      <c r="R4047" s="3" t="s">
        <v>34126</v>
      </c>
      <c r="S4047" s="4">
        <v>28</v>
      </c>
      <c r="T4047" s="4">
        <v>28</v>
      </c>
      <c r="U4047" s="5" t="s">
        <v>2151</v>
      </c>
      <c r="V4047" s="5" t="s">
        <v>2151</v>
      </c>
      <c r="W4047" s="5" t="s">
        <v>67</v>
      </c>
      <c r="X4047" s="5" t="s">
        <v>67</v>
      </c>
      <c r="Y4047" s="4">
        <v>213</v>
      </c>
      <c r="Z4047" s="4">
        <v>16</v>
      </c>
      <c r="AA4047" s="4">
        <v>19</v>
      </c>
      <c r="AB4047" s="4">
        <v>1</v>
      </c>
      <c r="AC4047" s="4">
        <v>4</v>
      </c>
      <c r="AD4047" s="4">
        <v>71</v>
      </c>
      <c r="AE4047" s="4">
        <v>74</v>
      </c>
      <c r="AF4047" s="4">
        <v>0</v>
      </c>
      <c r="AG4047" s="4">
        <v>3</v>
      </c>
      <c r="AH4047" s="4">
        <v>65</v>
      </c>
      <c r="AI4047" s="4">
        <v>65</v>
      </c>
      <c r="AJ4047" s="4">
        <v>13</v>
      </c>
      <c r="AK4047" s="4">
        <v>16</v>
      </c>
      <c r="AL4047" s="4">
        <v>35</v>
      </c>
      <c r="AM4047" s="4">
        <v>35</v>
      </c>
      <c r="AN4047" s="4">
        <v>0</v>
      </c>
      <c r="AO4047" s="4">
        <v>0</v>
      </c>
      <c r="AP4047" s="4">
        <v>12</v>
      </c>
      <c r="AQ4047" s="4">
        <v>14</v>
      </c>
      <c r="AR4047" s="3" t="s">
        <v>62</v>
      </c>
      <c r="AS4047" s="3" t="s">
        <v>62</v>
      </c>
      <c r="AT4047" s="3" t="s">
        <v>62</v>
      </c>
      <c r="AV4047" s="6" t="str">
        <f>HYPERLINK("http://mcgill.on.worldcat.org/oclc/5305213","Catalog Record")</f>
        <v>Catalog Record</v>
      </c>
      <c r="AW4047" s="6" t="str">
        <f>HYPERLINK("http://www.worldcat.org/oclc/5305213","WorldCat Record")</f>
        <v>WorldCat Record</v>
      </c>
      <c r="AX4047" s="3" t="s">
        <v>39041</v>
      </c>
      <c r="AY4047" s="3" t="s">
        <v>39042</v>
      </c>
      <c r="AZ4047" s="3" t="s">
        <v>39043</v>
      </c>
      <c r="BA4047" s="3" t="s">
        <v>39043</v>
      </c>
      <c r="BB4047" s="3" t="s">
        <v>39044</v>
      </c>
      <c r="BC4047" s="3" t="s">
        <v>102</v>
      </c>
      <c r="BD4047" s="3" t="s">
        <v>68</v>
      </c>
      <c r="BE4047" s="3" t="s">
        <v>39045</v>
      </c>
      <c r="BF4047" s="3" t="s">
        <v>39044</v>
      </c>
      <c r="BG4047" s="3" t="s">
        <v>39046</v>
      </c>
    </row>
    <row r="4048" spans="1:59" ht="58" x14ac:dyDescent="0.35">
      <c r="A4048" s="2" t="s">
        <v>59</v>
      </c>
      <c r="B4048" s="2" t="s">
        <v>60</v>
      </c>
      <c r="C4048" s="2" t="s">
        <v>39047</v>
      </c>
      <c r="D4048" s="2" t="s">
        <v>39048</v>
      </c>
      <c r="E4048" s="2" t="s">
        <v>39049</v>
      </c>
      <c r="G4048" s="3" t="s">
        <v>62</v>
      </c>
      <c r="I4048" s="3" t="s">
        <v>62</v>
      </c>
      <c r="J4048" s="3" t="s">
        <v>62</v>
      </c>
      <c r="K4048" s="3" t="s">
        <v>63</v>
      </c>
      <c r="L4048" s="2" t="s">
        <v>39050</v>
      </c>
      <c r="M4048" s="2" t="s">
        <v>39051</v>
      </c>
      <c r="N4048" s="3" t="s">
        <v>2566</v>
      </c>
      <c r="P4048" s="3" t="s">
        <v>64</v>
      </c>
      <c r="Q4048" s="2" t="s">
        <v>12046</v>
      </c>
      <c r="R4048" s="3" t="s">
        <v>34126</v>
      </c>
      <c r="S4048" s="4">
        <v>10</v>
      </c>
      <c r="T4048" s="4">
        <v>10</v>
      </c>
      <c r="U4048" s="5" t="s">
        <v>17100</v>
      </c>
      <c r="V4048" s="5" t="s">
        <v>17100</v>
      </c>
      <c r="W4048" s="5" t="s">
        <v>67</v>
      </c>
      <c r="X4048" s="5" t="s">
        <v>67</v>
      </c>
      <c r="Y4048" s="4">
        <v>444</v>
      </c>
      <c r="Z4048" s="4">
        <v>32</v>
      </c>
      <c r="AA4048" s="4">
        <v>36</v>
      </c>
      <c r="AB4048" s="4">
        <v>2</v>
      </c>
      <c r="AC4048" s="4">
        <v>6</v>
      </c>
      <c r="AD4048" s="4">
        <v>114</v>
      </c>
      <c r="AE4048" s="4">
        <v>117</v>
      </c>
      <c r="AF4048" s="4">
        <v>1</v>
      </c>
      <c r="AG4048" s="4">
        <v>4</v>
      </c>
      <c r="AH4048" s="4">
        <v>99</v>
      </c>
      <c r="AI4048" s="4">
        <v>99</v>
      </c>
      <c r="AJ4048" s="4">
        <v>20</v>
      </c>
      <c r="AK4048" s="4">
        <v>23</v>
      </c>
      <c r="AL4048" s="4">
        <v>53</v>
      </c>
      <c r="AM4048" s="4">
        <v>53</v>
      </c>
      <c r="AN4048" s="4">
        <v>0</v>
      </c>
      <c r="AO4048" s="4">
        <v>0</v>
      </c>
      <c r="AP4048" s="4">
        <v>25</v>
      </c>
      <c r="AQ4048" s="4">
        <v>27</v>
      </c>
      <c r="AR4048" s="3" t="s">
        <v>62</v>
      </c>
      <c r="AS4048" s="3" t="s">
        <v>62</v>
      </c>
      <c r="AT4048" s="3" t="s">
        <v>61</v>
      </c>
      <c r="AU4048" s="6" t="str">
        <f>HYPERLINK("http://catalog.hathitrust.org/Record/001492624","HathiTrust Record")</f>
        <v>HathiTrust Record</v>
      </c>
      <c r="AV4048" s="6" t="str">
        <f>HYPERLINK("http://mcgill.on.worldcat.org/oclc/638741","Catalog Record")</f>
        <v>Catalog Record</v>
      </c>
      <c r="AW4048" s="6" t="str">
        <f>HYPERLINK("http://www.worldcat.org/oclc/638741","WorldCat Record")</f>
        <v>WorldCat Record</v>
      </c>
      <c r="AX4048" s="3" t="s">
        <v>39052</v>
      </c>
      <c r="AY4048" s="3" t="s">
        <v>39053</v>
      </c>
      <c r="AZ4048" s="3" t="s">
        <v>39054</v>
      </c>
      <c r="BA4048" s="3" t="s">
        <v>39054</v>
      </c>
      <c r="BB4048" s="3" t="s">
        <v>39055</v>
      </c>
      <c r="BC4048" s="3" t="s">
        <v>102</v>
      </c>
      <c r="BD4048" s="3" t="s">
        <v>6923</v>
      </c>
      <c r="BE4048" s="3" t="s">
        <v>39056</v>
      </c>
      <c r="BF4048" s="3" t="s">
        <v>39055</v>
      </c>
      <c r="BG4048" s="3" t="s">
        <v>39057</v>
      </c>
    </row>
    <row r="4049" spans="1:59" ht="101.5" x14ac:dyDescent="0.35">
      <c r="A4049" s="2" t="s">
        <v>89</v>
      </c>
      <c r="B4049" s="2" t="s">
        <v>12301</v>
      </c>
      <c r="C4049" s="2" t="s">
        <v>39058</v>
      </c>
      <c r="D4049" s="2" t="s">
        <v>39059</v>
      </c>
      <c r="E4049" s="2" t="s">
        <v>39060</v>
      </c>
      <c r="G4049" s="3" t="s">
        <v>62</v>
      </c>
      <c r="I4049" s="3" t="s">
        <v>62</v>
      </c>
      <c r="J4049" s="3" t="s">
        <v>61</v>
      </c>
      <c r="K4049" s="3" t="s">
        <v>63</v>
      </c>
      <c r="L4049" s="2" t="s">
        <v>39061</v>
      </c>
      <c r="M4049" s="2" t="s">
        <v>39062</v>
      </c>
      <c r="N4049" s="3" t="s">
        <v>2985</v>
      </c>
      <c r="O4049" s="2" t="s">
        <v>39063</v>
      </c>
      <c r="P4049" s="3" t="s">
        <v>64</v>
      </c>
      <c r="Q4049" s="2" t="s">
        <v>39064</v>
      </c>
      <c r="R4049" s="3" t="s">
        <v>34126</v>
      </c>
      <c r="S4049" s="4">
        <v>29</v>
      </c>
      <c r="T4049" s="4">
        <v>29</v>
      </c>
      <c r="U4049" s="5" t="s">
        <v>16404</v>
      </c>
      <c r="V4049" s="5" t="s">
        <v>16404</v>
      </c>
      <c r="W4049" s="5" t="s">
        <v>67</v>
      </c>
      <c r="X4049" s="5" t="s">
        <v>67</v>
      </c>
      <c r="Y4049" s="4">
        <v>143</v>
      </c>
      <c r="Z4049" s="4">
        <v>13</v>
      </c>
      <c r="AA4049" s="4">
        <v>25</v>
      </c>
      <c r="AB4049" s="4">
        <v>1</v>
      </c>
      <c r="AC4049" s="4">
        <v>4</v>
      </c>
      <c r="AD4049" s="4">
        <v>59</v>
      </c>
      <c r="AE4049" s="4">
        <v>98</v>
      </c>
      <c r="AF4049" s="4">
        <v>0</v>
      </c>
      <c r="AG4049" s="4">
        <v>3</v>
      </c>
      <c r="AH4049" s="4">
        <v>53</v>
      </c>
      <c r="AI4049" s="4">
        <v>82</v>
      </c>
      <c r="AJ4049" s="4">
        <v>9</v>
      </c>
      <c r="AK4049" s="4">
        <v>20</v>
      </c>
      <c r="AL4049" s="4">
        <v>38</v>
      </c>
      <c r="AM4049" s="4">
        <v>51</v>
      </c>
      <c r="AN4049" s="4">
        <v>0</v>
      </c>
      <c r="AO4049" s="4">
        <v>0</v>
      </c>
      <c r="AP4049" s="4">
        <v>11</v>
      </c>
      <c r="AQ4049" s="4">
        <v>23</v>
      </c>
      <c r="AR4049" s="3" t="s">
        <v>62</v>
      </c>
      <c r="AS4049" s="3" t="s">
        <v>62</v>
      </c>
      <c r="AT4049" s="3" t="s">
        <v>62</v>
      </c>
      <c r="AV4049" s="6" t="str">
        <f>HYPERLINK("http://mcgill.on.worldcat.org/oclc/262694333","Catalog Record")</f>
        <v>Catalog Record</v>
      </c>
      <c r="AW4049" s="6" t="str">
        <f>HYPERLINK("http://www.worldcat.org/oclc/262694333","WorldCat Record")</f>
        <v>WorldCat Record</v>
      </c>
      <c r="AX4049" s="3" t="s">
        <v>39065</v>
      </c>
      <c r="AY4049" s="3" t="s">
        <v>39066</v>
      </c>
      <c r="AZ4049" s="3" t="s">
        <v>39067</v>
      </c>
      <c r="BA4049" s="3" t="s">
        <v>39067</v>
      </c>
      <c r="BB4049" s="3" t="s">
        <v>39068</v>
      </c>
      <c r="BC4049" s="3" t="s">
        <v>102</v>
      </c>
      <c r="BD4049" s="3" t="s">
        <v>68</v>
      </c>
      <c r="BE4049" s="3" t="s">
        <v>39069</v>
      </c>
      <c r="BF4049" s="3" t="s">
        <v>39068</v>
      </c>
      <c r="BG4049" s="3" t="s">
        <v>39070</v>
      </c>
    </row>
    <row r="4050" spans="1:59" ht="58" x14ac:dyDescent="0.35">
      <c r="A4050" s="2" t="s">
        <v>59</v>
      </c>
      <c r="B4050" s="2" t="s">
        <v>60</v>
      </c>
      <c r="C4050" s="2" t="s">
        <v>39071</v>
      </c>
      <c r="D4050" s="2" t="s">
        <v>39072</v>
      </c>
      <c r="E4050" s="2" t="s">
        <v>39073</v>
      </c>
      <c r="G4050" s="3" t="s">
        <v>62</v>
      </c>
      <c r="I4050" s="3" t="s">
        <v>62</v>
      </c>
      <c r="J4050" s="3" t="s">
        <v>62</v>
      </c>
      <c r="K4050" s="3" t="s">
        <v>63</v>
      </c>
      <c r="L4050" s="2" t="s">
        <v>39074</v>
      </c>
      <c r="M4050" s="2" t="s">
        <v>39075</v>
      </c>
      <c r="N4050" s="3" t="s">
        <v>1482</v>
      </c>
      <c r="P4050" s="3" t="s">
        <v>64</v>
      </c>
      <c r="R4050" s="3" t="s">
        <v>34126</v>
      </c>
      <c r="S4050" s="4">
        <v>10</v>
      </c>
      <c r="T4050" s="4">
        <v>10</v>
      </c>
      <c r="U4050" s="5" t="s">
        <v>10908</v>
      </c>
      <c r="V4050" s="5" t="s">
        <v>10908</v>
      </c>
      <c r="W4050" s="5" t="s">
        <v>67</v>
      </c>
      <c r="X4050" s="5" t="s">
        <v>67</v>
      </c>
      <c r="Y4050" s="4">
        <v>653</v>
      </c>
      <c r="Z4050" s="4">
        <v>31</v>
      </c>
      <c r="AA4050" s="4">
        <v>33</v>
      </c>
      <c r="AB4050" s="4">
        <v>3</v>
      </c>
      <c r="AC4050" s="4">
        <v>4</v>
      </c>
      <c r="AD4050" s="4">
        <v>118</v>
      </c>
      <c r="AE4050" s="4">
        <v>119</v>
      </c>
      <c r="AF4050" s="4">
        <v>1</v>
      </c>
      <c r="AG4050" s="4">
        <v>2</v>
      </c>
      <c r="AH4050" s="4">
        <v>101</v>
      </c>
      <c r="AI4050" s="4">
        <v>101</v>
      </c>
      <c r="AJ4050" s="4">
        <v>17</v>
      </c>
      <c r="AK4050" s="4">
        <v>18</v>
      </c>
      <c r="AL4050" s="4">
        <v>56</v>
      </c>
      <c r="AM4050" s="4">
        <v>56</v>
      </c>
      <c r="AN4050" s="4">
        <v>0</v>
      </c>
      <c r="AO4050" s="4">
        <v>0</v>
      </c>
      <c r="AP4050" s="4">
        <v>21</v>
      </c>
      <c r="AQ4050" s="4">
        <v>22</v>
      </c>
      <c r="AR4050" s="3" t="s">
        <v>62</v>
      </c>
      <c r="AS4050" s="3" t="s">
        <v>62</v>
      </c>
      <c r="AT4050" s="3" t="s">
        <v>62</v>
      </c>
      <c r="AV4050" s="6" t="str">
        <f>HYPERLINK("http://mcgill.on.worldcat.org/oclc/12162882","Catalog Record")</f>
        <v>Catalog Record</v>
      </c>
      <c r="AW4050" s="6" t="str">
        <f>HYPERLINK("http://www.worldcat.org/oclc/12162882","WorldCat Record")</f>
        <v>WorldCat Record</v>
      </c>
      <c r="AX4050" s="3" t="s">
        <v>39076</v>
      </c>
      <c r="AY4050" s="3" t="s">
        <v>39077</v>
      </c>
      <c r="AZ4050" s="3" t="s">
        <v>39078</v>
      </c>
      <c r="BA4050" s="3" t="s">
        <v>39078</v>
      </c>
      <c r="BB4050" s="3" t="s">
        <v>39079</v>
      </c>
      <c r="BC4050" s="3" t="s">
        <v>102</v>
      </c>
      <c r="BD4050" s="3" t="s">
        <v>231</v>
      </c>
      <c r="BE4050" s="3" t="s">
        <v>39080</v>
      </c>
      <c r="BF4050" s="3" t="s">
        <v>39079</v>
      </c>
      <c r="BG4050" s="3" t="s">
        <v>39081</v>
      </c>
    </row>
    <row r="4051" spans="1:59" ht="58" x14ac:dyDescent="0.35">
      <c r="A4051" s="2" t="s">
        <v>89</v>
      </c>
      <c r="B4051" s="2" t="s">
        <v>90</v>
      </c>
      <c r="C4051" s="2" t="s">
        <v>39082</v>
      </c>
      <c r="D4051" s="2" t="s">
        <v>39083</v>
      </c>
      <c r="E4051" s="2" t="s">
        <v>39084</v>
      </c>
      <c r="G4051" s="3" t="s">
        <v>62</v>
      </c>
      <c r="I4051" s="3" t="s">
        <v>61</v>
      </c>
      <c r="J4051" s="3" t="s">
        <v>62</v>
      </c>
      <c r="K4051" s="3" t="s">
        <v>63</v>
      </c>
      <c r="L4051" s="2" t="s">
        <v>39085</v>
      </c>
      <c r="M4051" s="2" t="s">
        <v>39086</v>
      </c>
      <c r="N4051" s="3" t="s">
        <v>2136</v>
      </c>
      <c r="P4051" s="3" t="s">
        <v>64</v>
      </c>
      <c r="R4051" s="3" t="s">
        <v>34126</v>
      </c>
      <c r="S4051" s="4">
        <v>5</v>
      </c>
      <c r="T4051" s="4">
        <v>27</v>
      </c>
      <c r="U4051" s="5" t="s">
        <v>39087</v>
      </c>
      <c r="V4051" s="5" t="s">
        <v>5252</v>
      </c>
      <c r="W4051" s="5" t="s">
        <v>67</v>
      </c>
      <c r="X4051" s="5" t="s">
        <v>67</v>
      </c>
      <c r="Y4051" s="4">
        <v>548</v>
      </c>
      <c r="Z4051" s="4">
        <v>42</v>
      </c>
      <c r="AA4051" s="4">
        <v>45</v>
      </c>
      <c r="AB4051" s="4">
        <v>2</v>
      </c>
      <c r="AC4051" s="4">
        <v>2</v>
      </c>
      <c r="AD4051" s="4">
        <v>115</v>
      </c>
      <c r="AE4051" s="4">
        <v>119</v>
      </c>
      <c r="AF4051" s="4">
        <v>0</v>
      </c>
      <c r="AG4051" s="4">
        <v>0</v>
      </c>
      <c r="AH4051" s="4">
        <v>96</v>
      </c>
      <c r="AI4051" s="4">
        <v>98</v>
      </c>
      <c r="AJ4051" s="4">
        <v>16</v>
      </c>
      <c r="AK4051" s="4">
        <v>16</v>
      </c>
      <c r="AL4051" s="4">
        <v>53</v>
      </c>
      <c r="AM4051" s="4">
        <v>53</v>
      </c>
      <c r="AN4051" s="4">
        <v>0</v>
      </c>
      <c r="AO4051" s="4">
        <v>0</v>
      </c>
      <c r="AP4051" s="4">
        <v>24</v>
      </c>
      <c r="AQ4051" s="4">
        <v>26</v>
      </c>
      <c r="AR4051" s="3" t="s">
        <v>62</v>
      </c>
      <c r="AS4051" s="3" t="s">
        <v>62</v>
      </c>
      <c r="AT4051" s="3" t="s">
        <v>62</v>
      </c>
      <c r="AV4051" s="6" t="str">
        <f>HYPERLINK("http://mcgill.on.worldcat.org/oclc/56982032","Catalog Record")</f>
        <v>Catalog Record</v>
      </c>
      <c r="AW4051" s="6" t="str">
        <f>HYPERLINK("http://www.worldcat.org/oclc/56982032","WorldCat Record")</f>
        <v>WorldCat Record</v>
      </c>
      <c r="AX4051" s="3" t="s">
        <v>39088</v>
      </c>
      <c r="AY4051" s="3" t="s">
        <v>39089</v>
      </c>
      <c r="AZ4051" s="3" t="s">
        <v>39090</v>
      </c>
      <c r="BA4051" s="3" t="s">
        <v>39090</v>
      </c>
      <c r="BB4051" s="3" t="s">
        <v>39091</v>
      </c>
      <c r="BC4051" s="3" t="s">
        <v>102</v>
      </c>
      <c r="BD4051" s="3" t="s">
        <v>68</v>
      </c>
      <c r="BE4051" s="3" t="s">
        <v>39092</v>
      </c>
      <c r="BF4051" s="3" t="s">
        <v>39091</v>
      </c>
      <c r="BG4051" s="3" t="s">
        <v>39093</v>
      </c>
    </row>
    <row r="4052" spans="1:59" ht="58" x14ac:dyDescent="0.35">
      <c r="A4052" s="2" t="s">
        <v>59</v>
      </c>
      <c r="B4052" s="2" t="s">
        <v>60</v>
      </c>
      <c r="C4052" s="2" t="s">
        <v>39094</v>
      </c>
      <c r="D4052" s="2" t="s">
        <v>39095</v>
      </c>
      <c r="E4052" s="2" t="s">
        <v>39096</v>
      </c>
      <c r="G4052" s="3" t="s">
        <v>62</v>
      </c>
      <c r="I4052" s="3" t="s">
        <v>62</v>
      </c>
      <c r="J4052" s="3" t="s">
        <v>62</v>
      </c>
      <c r="K4052" s="3" t="s">
        <v>63</v>
      </c>
      <c r="L4052" s="2" t="s">
        <v>39097</v>
      </c>
      <c r="M4052" s="2" t="s">
        <v>39098</v>
      </c>
      <c r="N4052" s="3" t="s">
        <v>1077</v>
      </c>
      <c r="O4052" s="2" t="s">
        <v>39099</v>
      </c>
      <c r="P4052" s="3" t="s">
        <v>64</v>
      </c>
      <c r="R4052" s="3" t="s">
        <v>34126</v>
      </c>
      <c r="S4052" s="4">
        <v>12</v>
      </c>
      <c r="T4052" s="4">
        <v>12</v>
      </c>
      <c r="U4052" s="5" t="s">
        <v>39100</v>
      </c>
      <c r="V4052" s="5" t="s">
        <v>39100</v>
      </c>
      <c r="W4052" s="5" t="s">
        <v>67</v>
      </c>
      <c r="X4052" s="5" t="s">
        <v>67</v>
      </c>
      <c r="Y4052" s="4">
        <v>58</v>
      </c>
      <c r="Z4052" s="4">
        <v>5</v>
      </c>
      <c r="AA4052" s="4">
        <v>18</v>
      </c>
      <c r="AB4052" s="4">
        <v>1</v>
      </c>
      <c r="AC4052" s="4">
        <v>1</v>
      </c>
      <c r="AD4052" s="4">
        <v>9</v>
      </c>
      <c r="AE4052" s="4">
        <v>45</v>
      </c>
      <c r="AF4052" s="4">
        <v>0</v>
      </c>
      <c r="AG4052" s="4">
        <v>0</v>
      </c>
      <c r="AH4052" s="4">
        <v>8</v>
      </c>
      <c r="AI4052" s="4">
        <v>38</v>
      </c>
      <c r="AJ4052" s="4">
        <v>2</v>
      </c>
      <c r="AK4052" s="4">
        <v>13</v>
      </c>
      <c r="AL4052" s="4">
        <v>2</v>
      </c>
      <c r="AM4052" s="4">
        <v>17</v>
      </c>
      <c r="AN4052" s="4">
        <v>0</v>
      </c>
      <c r="AO4052" s="4">
        <v>0</v>
      </c>
      <c r="AP4052" s="4">
        <v>2</v>
      </c>
      <c r="AQ4052" s="4">
        <v>13</v>
      </c>
      <c r="AR4052" s="3" t="s">
        <v>62</v>
      </c>
      <c r="AS4052" s="3" t="s">
        <v>62</v>
      </c>
      <c r="AT4052" s="3" t="s">
        <v>62</v>
      </c>
      <c r="AV4052" s="6" t="str">
        <f>HYPERLINK("http://mcgill.on.worldcat.org/oclc/31016438","Catalog Record")</f>
        <v>Catalog Record</v>
      </c>
      <c r="AW4052" s="6" t="str">
        <f>HYPERLINK("http://www.worldcat.org/oclc/31016438","WorldCat Record")</f>
        <v>WorldCat Record</v>
      </c>
      <c r="AX4052" s="3" t="s">
        <v>39101</v>
      </c>
      <c r="AY4052" s="3" t="s">
        <v>39102</v>
      </c>
      <c r="AZ4052" s="3" t="s">
        <v>39103</v>
      </c>
      <c r="BA4052" s="3" t="s">
        <v>39103</v>
      </c>
      <c r="BB4052" s="3" t="s">
        <v>39104</v>
      </c>
      <c r="BC4052" s="3" t="s">
        <v>102</v>
      </c>
      <c r="BD4052" s="3" t="s">
        <v>68</v>
      </c>
      <c r="BE4052" s="3" t="s">
        <v>39105</v>
      </c>
      <c r="BF4052" s="3" t="s">
        <v>39104</v>
      </c>
      <c r="BG4052" s="3" t="s">
        <v>39106</v>
      </c>
    </row>
    <row r="4053" spans="1:59" ht="58" x14ac:dyDescent="0.35">
      <c r="A4053" s="2" t="s">
        <v>59</v>
      </c>
      <c r="B4053" s="2" t="s">
        <v>60</v>
      </c>
      <c r="C4053" s="2" t="s">
        <v>39107</v>
      </c>
      <c r="D4053" s="2" t="s">
        <v>39108</v>
      </c>
      <c r="E4053" s="2" t="s">
        <v>39109</v>
      </c>
      <c r="G4053" s="3" t="s">
        <v>62</v>
      </c>
      <c r="I4053" s="3" t="s">
        <v>62</v>
      </c>
      <c r="J4053" s="3" t="s">
        <v>61</v>
      </c>
      <c r="K4053" s="3" t="s">
        <v>63</v>
      </c>
      <c r="L4053" s="2" t="s">
        <v>37480</v>
      </c>
      <c r="M4053" s="2" t="s">
        <v>39110</v>
      </c>
      <c r="N4053" s="3" t="s">
        <v>2924</v>
      </c>
      <c r="P4053" s="3" t="s">
        <v>64</v>
      </c>
      <c r="Q4053" s="2" t="s">
        <v>39111</v>
      </c>
      <c r="R4053" s="3" t="s">
        <v>34126</v>
      </c>
      <c r="S4053" s="4">
        <v>1</v>
      </c>
      <c r="T4053" s="4">
        <v>1</v>
      </c>
      <c r="U4053" s="5" t="s">
        <v>28263</v>
      </c>
      <c r="V4053" s="5" t="s">
        <v>28263</v>
      </c>
      <c r="W4053" s="5" t="s">
        <v>67</v>
      </c>
      <c r="X4053" s="5" t="s">
        <v>67</v>
      </c>
      <c r="Y4053" s="4">
        <v>741</v>
      </c>
      <c r="Z4053" s="4">
        <v>31</v>
      </c>
      <c r="AA4053" s="4">
        <v>54</v>
      </c>
      <c r="AB4053" s="4">
        <v>1</v>
      </c>
      <c r="AC4053" s="4">
        <v>8</v>
      </c>
      <c r="AD4053" s="4">
        <v>109</v>
      </c>
      <c r="AE4053" s="4">
        <v>141</v>
      </c>
      <c r="AF4053" s="4">
        <v>0</v>
      </c>
      <c r="AG4053" s="4">
        <v>6</v>
      </c>
      <c r="AH4053" s="4">
        <v>91</v>
      </c>
      <c r="AI4053" s="4">
        <v>108</v>
      </c>
      <c r="AJ4053" s="4">
        <v>16</v>
      </c>
      <c r="AK4053" s="4">
        <v>26</v>
      </c>
      <c r="AL4053" s="4">
        <v>51</v>
      </c>
      <c r="AM4053" s="4">
        <v>61</v>
      </c>
      <c r="AN4053" s="4">
        <v>0</v>
      </c>
      <c r="AO4053" s="4">
        <v>0</v>
      </c>
      <c r="AP4053" s="4">
        <v>22</v>
      </c>
      <c r="AQ4053" s="4">
        <v>38</v>
      </c>
      <c r="AR4053" s="3" t="s">
        <v>62</v>
      </c>
      <c r="AS4053" s="3" t="s">
        <v>62</v>
      </c>
      <c r="AT4053" s="3" t="s">
        <v>61</v>
      </c>
      <c r="AU4053" s="6" t="str">
        <f>HYPERLINK("http://catalog.hathitrust.org/Record/001492633","HathiTrust Record")</f>
        <v>HathiTrust Record</v>
      </c>
      <c r="AV4053" s="6" t="str">
        <f>HYPERLINK("http://mcgill.on.worldcat.org/oclc/556427","Catalog Record")</f>
        <v>Catalog Record</v>
      </c>
      <c r="AW4053" s="6" t="str">
        <f>HYPERLINK("http://www.worldcat.org/oclc/556427","WorldCat Record")</f>
        <v>WorldCat Record</v>
      </c>
      <c r="AX4053" s="3" t="s">
        <v>39112</v>
      </c>
      <c r="AY4053" s="3" t="s">
        <v>39113</v>
      </c>
      <c r="AZ4053" s="3" t="s">
        <v>39114</v>
      </c>
      <c r="BA4053" s="3" t="s">
        <v>39114</v>
      </c>
      <c r="BB4053" s="3" t="s">
        <v>39115</v>
      </c>
      <c r="BC4053" s="3" t="s">
        <v>102</v>
      </c>
      <c r="BD4053" s="3" t="s">
        <v>68</v>
      </c>
      <c r="BF4053" s="3" t="s">
        <v>39115</v>
      </c>
      <c r="BG4053" s="3" t="s">
        <v>39116</v>
      </c>
    </row>
    <row r="4054" spans="1:59" ht="58" x14ac:dyDescent="0.35">
      <c r="A4054" s="2" t="s">
        <v>59</v>
      </c>
      <c r="B4054" s="2" t="s">
        <v>60</v>
      </c>
      <c r="C4054" s="2" t="s">
        <v>39117</v>
      </c>
      <c r="D4054" s="2" t="s">
        <v>39118</v>
      </c>
      <c r="E4054" s="2" t="s">
        <v>39119</v>
      </c>
      <c r="G4054" s="3" t="s">
        <v>62</v>
      </c>
      <c r="I4054" s="3" t="s">
        <v>62</v>
      </c>
      <c r="J4054" s="3" t="s">
        <v>62</v>
      </c>
      <c r="K4054" s="3" t="s">
        <v>63</v>
      </c>
      <c r="M4054" s="2" t="s">
        <v>11327</v>
      </c>
      <c r="N4054" s="3" t="s">
        <v>596</v>
      </c>
      <c r="P4054" s="3" t="s">
        <v>64</v>
      </c>
      <c r="R4054" s="3" t="s">
        <v>34126</v>
      </c>
      <c r="S4054" s="4">
        <v>2</v>
      </c>
      <c r="T4054" s="4">
        <v>2</v>
      </c>
      <c r="U4054" s="5" t="s">
        <v>26333</v>
      </c>
      <c r="V4054" s="5" t="s">
        <v>26333</v>
      </c>
      <c r="W4054" s="5" t="s">
        <v>67</v>
      </c>
      <c r="X4054" s="5" t="s">
        <v>67</v>
      </c>
      <c r="Y4054" s="4">
        <v>152</v>
      </c>
      <c r="Z4054" s="4">
        <v>7</v>
      </c>
      <c r="AA4054" s="4">
        <v>26</v>
      </c>
      <c r="AB4054" s="4">
        <v>1</v>
      </c>
      <c r="AC4054" s="4">
        <v>6</v>
      </c>
      <c r="AD4054" s="4">
        <v>70</v>
      </c>
      <c r="AE4054" s="4">
        <v>100</v>
      </c>
      <c r="AF4054" s="4">
        <v>0</v>
      </c>
      <c r="AG4054" s="4">
        <v>3</v>
      </c>
      <c r="AH4054" s="4">
        <v>66</v>
      </c>
      <c r="AI4054" s="4">
        <v>85</v>
      </c>
      <c r="AJ4054" s="4">
        <v>6</v>
      </c>
      <c r="AK4054" s="4">
        <v>18</v>
      </c>
      <c r="AL4054" s="4">
        <v>42</v>
      </c>
      <c r="AM4054" s="4">
        <v>50</v>
      </c>
      <c r="AN4054" s="4">
        <v>0</v>
      </c>
      <c r="AO4054" s="4">
        <v>0</v>
      </c>
      <c r="AP4054" s="4">
        <v>6</v>
      </c>
      <c r="AQ4054" s="4">
        <v>23</v>
      </c>
      <c r="AR4054" s="3" t="s">
        <v>62</v>
      </c>
      <c r="AS4054" s="3" t="s">
        <v>62</v>
      </c>
      <c r="AT4054" s="3" t="s">
        <v>62</v>
      </c>
      <c r="AV4054" s="6" t="str">
        <f>HYPERLINK("http://mcgill.on.worldcat.org/oclc/50410384","Catalog Record")</f>
        <v>Catalog Record</v>
      </c>
      <c r="AW4054" s="6" t="str">
        <f>HYPERLINK("http://www.worldcat.org/oclc/50410384","WorldCat Record")</f>
        <v>WorldCat Record</v>
      </c>
      <c r="AX4054" s="3" t="s">
        <v>39120</v>
      </c>
      <c r="AY4054" s="3" t="s">
        <v>39121</v>
      </c>
      <c r="AZ4054" s="3" t="s">
        <v>39122</v>
      </c>
      <c r="BA4054" s="3" t="s">
        <v>39122</v>
      </c>
      <c r="BB4054" s="3" t="s">
        <v>39123</v>
      </c>
      <c r="BC4054" s="3" t="s">
        <v>102</v>
      </c>
      <c r="BD4054" s="3" t="s">
        <v>68</v>
      </c>
      <c r="BE4054" s="3" t="s">
        <v>39124</v>
      </c>
      <c r="BF4054" s="3" t="s">
        <v>39123</v>
      </c>
      <c r="BG4054" s="3" t="s">
        <v>39125</v>
      </c>
    </row>
    <row r="4055" spans="1:59" ht="58" x14ac:dyDescent="0.35">
      <c r="A4055" s="2" t="s">
        <v>89</v>
      </c>
      <c r="B4055" s="2" t="s">
        <v>90</v>
      </c>
      <c r="C4055" s="2" t="s">
        <v>39126</v>
      </c>
      <c r="D4055" s="2" t="s">
        <v>39127</v>
      </c>
      <c r="E4055" s="2" t="s">
        <v>39128</v>
      </c>
      <c r="G4055" s="3" t="s">
        <v>62</v>
      </c>
      <c r="I4055" s="3" t="s">
        <v>61</v>
      </c>
      <c r="J4055" s="3" t="s">
        <v>62</v>
      </c>
      <c r="K4055" s="3" t="s">
        <v>63</v>
      </c>
      <c r="L4055" s="2" t="s">
        <v>39129</v>
      </c>
      <c r="M4055" s="2" t="s">
        <v>39130</v>
      </c>
      <c r="N4055" s="3" t="s">
        <v>1064</v>
      </c>
      <c r="O4055" s="2" t="s">
        <v>2849</v>
      </c>
      <c r="P4055" s="3" t="s">
        <v>64</v>
      </c>
      <c r="R4055" s="3" t="s">
        <v>34126</v>
      </c>
      <c r="S4055" s="4">
        <v>2</v>
      </c>
      <c r="T4055" s="4">
        <v>2</v>
      </c>
      <c r="U4055" s="5" t="s">
        <v>13026</v>
      </c>
      <c r="V4055" s="5" t="s">
        <v>13026</v>
      </c>
      <c r="W4055" s="5" t="s">
        <v>67</v>
      </c>
      <c r="X4055" s="5" t="s">
        <v>67</v>
      </c>
      <c r="Y4055" s="4">
        <v>682</v>
      </c>
      <c r="Z4055" s="4">
        <v>30</v>
      </c>
      <c r="AA4055" s="4">
        <v>37</v>
      </c>
      <c r="AB4055" s="4">
        <v>2</v>
      </c>
      <c r="AC4055" s="4">
        <v>4</v>
      </c>
      <c r="AD4055" s="4">
        <v>106</v>
      </c>
      <c r="AE4055" s="4">
        <v>114</v>
      </c>
      <c r="AF4055" s="4">
        <v>0</v>
      </c>
      <c r="AG4055" s="4">
        <v>2</v>
      </c>
      <c r="AH4055" s="4">
        <v>88</v>
      </c>
      <c r="AI4055" s="4">
        <v>91</v>
      </c>
      <c r="AJ4055" s="4">
        <v>14</v>
      </c>
      <c r="AK4055" s="4">
        <v>19</v>
      </c>
      <c r="AL4055" s="4">
        <v>53</v>
      </c>
      <c r="AM4055" s="4">
        <v>53</v>
      </c>
      <c r="AN4055" s="4">
        <v>0</v>
      </c>
      <c r="AO4055" s="4">
        <v>0</v>
      </c>
      <c r="AP4055" s="4">
        <v>21</v>
      </c>
      <c r="AQ4055" s="4">
        <v>27</v>
      </c>
      <c r="AR4055" s="3" t="s">
        <v>62</v>
      </c>
      <c r="AS4055" s="3" t="s">
        <v>62</v>
      </c>
      <c r="AT4055" s="3" t="s">
        <v>61</v>
      </c>
      <c r="AU4055" s="6" t="str">
        <f>HYPERLINK("http://catalog.hathitrust.org/Record/001492650","HathiTrust Record")</f>
        <v>HathiTrust Record</v>
      </c>
      <c r="AV4055" s="6" t="str">
        <f>HYPERLINK("http://mcgill.on.worldcat.org/oclc/286124","Catalog Record")</f>
        <v>Catalog Record</v>
      </c>
      <c r="AW4055" s="6" t="str">
        <f>HYPERLINK("http://www.worldcat.org/oclc/286124","WorldCat Record")</f>
        <v>WorldCat Record</v>
      </c>
      <c r="AX4055" s="3" t="s">
        <v>39131</v>
      </c>
      <c r="AY4055" s="3" t="s">
        <v>39132</v>
      </c>
      <c r="AZ4055" s="3" t="s">
        <v>39133</v>
      </c>
      <c r="BA4055" s="3" t="s">
        <v>39133</v>
      </c>
      <c r="BB4055" s="3" t="s">
        <v>39134</v>
      </c>
      <c r="BC4055" s="3" t="s">
        <v>102</v>
      </c>
      <c r="BD4055" s="3" t="s">
        <v>68</v>
      </c>
      <c r="BE4055" s="3" t="s">
        <v>39135</v>
      </c>
      <c r="BF4055" s="3" t="s">
        <v>39134</v>
      </c>
      <c r="BG4055" s="3" t="s">
        <v>39136</v>
      </c>
    </row>
    <row r="4056" spans="1:59" ht="58" x14ac:dyDescent="0.35">
      <c r="A4056" s="2" t="s">
        <v>89</v>
      </c>
      <c r="B4056" s="2" t="s">
        <v>90</v>
      </c>
      <c r="C4056" s="2" t="s">
        <v>39126</v>
      </c>
      <c r="D4056" s="2" t="s">
        <v>39127</v>
      </c>
      <c r="E4056" s="2" t="s">
        <v>39128</v>
      </c>
      <c r="G4056" s="3" t="s">
        <v>62</v>
      </c>
      <c r="I4056" s="3" t="s">
        <v>61</v>
      </c>
      <c r="J4056" s="3" t="s">
        <v>62</v>
      </c>
      <c r="K4056" s="3" t="s">
        <v>63</v>
      </c>
      <c r="L4056" s="2" t="s">
        <v>39129</v>
      </c>
      <c r="M4056" s="2" t="s">
        <v>39130</v>
      </c>
      <c r="N4056" s="3" t="s">
        <v>1064</v>
      </c>
      <c r="O4056" s="2" t="s">
        <v>2849</v>
      </c>
      <c r="P4056" s="3" t="s">
        <v>64</v>
      </c>
      <c r="R4056" s="3" t="s">
        <v>34126</v>
      </c>
      <c r="S4056" s="4">
        <v>0</v>
      </c>
      <c r="T4056" s="4">
        <v>2</v>
      </c>
      <c r="V4056" s="5" t="s">
        <v>13026</v>
      </c>
      <c r="W4056" s="5" t="s">
        <v>67</v>
      </c>
      <c r="X4056" s="5" t="s">
        <v>67</v>
      </c>
      <c r="Y4056" s="4">
        <v>682</v>
      </c>
      <c r="Z4056" s="4">
        <v>30</v>
      </c>
      <c r="AA4056" s="4">
        <v>37</v>
      </c>
      <c r="AB4056" s="4">
        <v>2</v>
      </c>
      <c r="AC4056" s="4">
        <v>4</v>
      </c>
      <c r="AD4056" s="4">
        <v>106</v>
      </c>
      <c r="AE4056" s="4">
        <v>114</v>
      </c>
      <c r="AF4056" s="4">
        <v>0</v>
      </c>
      <c r="AG4056" s="4">
        <v>2</v>
      </c>
      <c r="AH4056" s="4">
        <v>88</v>
      </c>
      <c r="AI4056" s="4">
        <v>91</v>
      </c>
      <c r="AJ4056" s="4">
        <v>14</v>
      </c>
      <c r="AK4056" s="4">
        <v>19</v>
      </c>
      <c r="AL4056" s="4">
        <v>53</v>
      </c>
      <c r="AM4056" s="4">
        <v>53</v>
      </c>
      <c r="AN4056" s="4">
        <v>0</v>
      </c>
      <c r="AO4056" s="4">
        <v>0</v>
      </c>
      <c r="AP4056" s="4">
        <v>21</v>
      </c>
      <c r="AQ4056" s="4">
        <v>27</v>
      </c>
      <c r="AR4056" s="3" t="s">
        <v>62</v>
      </c>
      <c r="AS4056" s="3" t="s">
        <v>62</v>
      </c>
      <c r="AT4056" s="3" t="s">
        <v>61</v>
      </c>
      <c r="AU4056" s="6" t="str">
        <f>HYPERLINK("http://catalog.hathitrust.org/Record/001492650","HathiTrust Record")</f>
        <v>HathiTrust Record</v>
      </c>
      <c r="AV4056" s="6" t="str">
        <f>HYPERLINK("http://mcgill.on.worldcat.org/oclc/286124","Catalog Record")</f>
        <v>Catalog Record</v>
      </c>
      <c r="AW4056" s="6" t="str">
        <f>HYPERLINK("http://www.worldcat.org/oclc/286124","WorldCat Record")</f>
        <v>WorldCat Record</v>
      </c>
      <c r="AX4056" s="3" t="s">
        <v>39131</v>
      </c>
      <c r="AY4056" s="3" t="s">
        <v>39132</v>
      </c>
      <c r="AZ4056" s="3" t="s">
        <v>39133</v>
      </c>
      <c r="BA4056" s="3" t="s">
        <v>39133</v>
      </c>
      <c r="BB4056" s="3" t="s">
        <v>39137</v>
      </c>
      <c r="BC4056" s="3" t="s">
        <v>102</v>
      </c>
      <c r="BD4056" s="3" t="s">
        <v>68</v>
      </c>
      <c r="BE4056" s="3" t="s">
        <v>39135</v>
      </c>
      <c r="BF4056" s="3" t="s">
        <v>39137</v>
      </c>
      <c r="BG4056" s="3" t="s">
        <v>39138</v>
      </c>
    </row>
    <row r="4057" spans="1:59" ht="58" x14ac:dyDescent="0.35">
      <c r="A4057" s="2" t="s">
        <v>89</v>
      </c>
      <c r="B4057" s="2" t="s">
        <v>90</v>
      </c>
      <c r="C4057" s="2" t="s">
        <v>39139</v>
      </c>
      <c r="D4057" s="2" t="s">
        <v>39140</v>
      </c>
      <c r="E4057" s="2" t="s">
        <v>39141</v>
      </c>
      <c r="G4057" s="3" t="s">
        <v>62</v>
      </c>
      <c r="I4057" s="3" t="s">
        <v>62</v>
      </c>
      <c r="J4057" s="3" t="s">
        <v>62</v>
      </c>
      <c r="K4057" s="3" t="s">
        <v>63</v>
      </c>
      <c r="L4057" s="2" t="s">
        <v>39142</v>
      </c>
      <c r="M4057" s="2" t="s">
        <v>143</v>
      </c>
      <c r="N4057" s="3" t="s">
        <v>129</v>
      </c>
      <c r="P4057" s="3" t="s">
        <v>64</v>
      </c>
      <c r="Q4057" s="2" t="s">
        <v>39143</v>
      </c>
      <c r="R4057" s="3" t="s">
        <v>34126</v>
      </c>
      <c r="S4057" s="4">
        <v>0</v>
      </c>
      <c r="T4057" s="4">
        <v>0</v>
      </c>
      <c r="W4057" s="5" t="s">
        <v>67</v>
      </c>
      <c r="X4057" s="5" t="s">
        <v>67</v>
      </c>
      <c r="Y4057" s="4">
        <v>119</v>
      </c>
      <c r="Z4057" s="4">
        <v>7</v>
      </c>
      <c r="AA4057" s="4">
        <v>7</v>
      </c>
      <c r="AB4057" s="4">
        <v>1</v>
      </c>
      <c r="AC4057" s="4">
        <v>1</v>
      </c>
      <c r="AD4057" s="4">
        <v>58</v>
      </c>
      <c r="AE4057" s="4">
        <v>58</v>
      </c>
      <c r="AF4057" s="4">
        <v>0</v>
      </c>
      <c r="AG4057" s="4">
        <v>0</v>
      </c>
      <c r="AH4057" s="4">
        <v>53</v>
      </c>
      <c r="AI4057" s="4">
        <v>53</v>
      </c>
      <c r="AJ4057" s="4">
        <v>6</v>
      </c>
      <c r="AK4057" s="4">
        <v>6</v>
      </c>
      <c r="AL4057" s="4">
        <v>35</v>
      </c>
      <c r="AM4057" s="4">
        <v>35</v>
      </c>
      <c r="AN4057" s="4">
        <v>0</v>
      </c>
      <c r="AO4057" s="4">
        <v>0</v>
      </c>
      <c r="AP4057" s="4">
        <v>6</v>
      </c>
      <c r="AQ4057" s="4">
        <v>6</v>
      </c>
      <c r="AR4057" s="3" t="s">
        <v>62</v>
      </c>
      <c r="AS4057" s="3" t="s">
        <v>62</v>
      </c>
      <c r="AT4057" s="3" t="s">
        <v>62</v>
      </c>
      <c r="AV4057" s="6" t="str">
        <f>HYPERLINK("http://mcgill.on.worldcat.org/oclc/861755237","Catalog Record")</f>
        <v>Catalog Record</v>
      </c>
      <c r="AW4057" s="6" t="str">
        <f>HYPERLINK("http://www.worldcat.org/oclc/861755237","WorldCat Record")</f>
        <v>WorldCat Record</v>
      </c>
      <c r="AX4057" s="3" t="s">
        <v>39144</v>
      </c>
      <c r="AY4057" s="3" t="s">
        <v>39145</v>
      </c>
      <c r="AZ4057" s="3" t="s">
        <v>39146</v>
      </c>
      <c r="BA4057" s="3" t="s">
        <v>39146</v>
      </c>
      <c r="BB4057" s="3" t="s">
        <v>39147</v>
      </c>
      <c r="BC4057" s="3" t="s">
        <v>102</v>
      </c>
      <c r="BD4057" s="3" t="s">
        <v>68</v>
      </c>
      <c r="BE4057" s="3" t="s">
        <v>39148</v>
      </c>
      <c r="BF4057" s="3" t="s">
        <v>39147</v>
      </c>
      <c r="BG4057" s="3" t="s">
        <v>39149</v>
      </c>
    </row>
    <row r="4058" spans="1:59" ht="72.5" x14ac:dyDescent="0.35">
      <c r="A4058" s="2" t="s">
        <v>59</v>
      </c>
      <c r="B4058" s="2" t="s">
        <v>60</v>
      </c>
      <c r="C4058" s="2" t="s">
        <v>39150</v>
      </c>
      <c r="D4058" s="2" t="s">
        <v>39151</v>
      </c>
      <c r="E4058" s="2" t="s">
        <v>39152</v>
      </c>
      <c r="G4058" s="3" t="s">
        <v>62</v>
      </c>
      <c r="I4058" s="3" t="s">
        <v>62</v>
      </c>
      <c r="J4058" s="3" t="s">
        <v>62</v>
      </c>
      <c r="K4058" s="3" t="s">
        <v>916</v>
      </c>
      <c r="M4058" s="2" t="s">
        <v>39153</v>
      </c>
      <c r="N4058" s="3" t="s">
        <v>852</v>
      </c>
      <c r="P4058" s="3" t="s">
        <v>64</v>
      </c>
      <c r="Q4058" s="2" t="s">
        <v>39154</v>
      </c>
      <c r="R4058" s="3" t="s">
        <v>34126</v>
      </c>
      <c r="S4058" s="4">
        <v>4</v>
      </c>
      <c r="T4058" s="4">
        <v>4</v>
      </c>
      <c r="U4058" s="5" t="s">
        <v>4852</v>
      </c>
      <c r="V4058" s="5" t="s">
        <v>4852</v>
      </c>
      <c r="W4058" s="5" t="s">
        <v>67</v>
      </c>
      <c r="X4058" s="5" t="s">
        <v>67</v>
      </c>
      <c r="Y4058" s="4">
        <v>281</v>
      </c>
      <c r="Z4058" s="4">
        <v>23</v>
      </c>
      <c r="AA4058" s="4">
        <v>26</v>
      </c>
      <c r="AB4058" s="4">
        <v>3</v>
      </c>
      <c r="AC4058" s="4">
        <v>6</v>
      </c>
      <c r="AD4058" s="4">
        <v>87</v>
      </c>
      <c r="AE4058" s="4">
        <v>90</v>
      </c>
      <c r="AF4058" s="4">
        <v>1</v>
      </c>
      <c r="AG4058" s="4">
        <v>4</v>
      </c>
      <c r="AH4058" s="4">
        <v>73</v>
      </c>
      <c r="AI4058" s="4">
        <v>73</v>
      </c>
      <c r="AJ4058" s="4">
        <v>14</v>
      </c>
      <c r="AK4058" s="4">
        <v>15</v>
      </c>
      <c r="AL4058" s="4">
        <v>40</v>
      </c>
      <c r="AM4058" s="4">
        <v>40</v>
      </c>
      <c r="AN4058" s="4">
        <v>0</v>
      </c>
      <c r="AO4058" s="4">
        <v>0</v>
      </c>
      <c r="AP4058" s="4">
        <v>17</v>
      </c>
      <c r="AQ4058" s="4">
        <v>20</v>
      </c>
      <c r="AR4058" s="3" t="s">
        <v>62</v>
      </c>
      <c r="AS4058" s="3" t="s">
        <v>61</v>
      </c>
      <c r="AT4058" s="3" t="s">
        <v>62</v>
      </c>
      <c r="AU4058" s="6" t="str">
        <f>HYPERLINK("http://catalog.hathitrust.org/Record/007973301","HathiTrust Record")</f>
        <v>HathiTrust Record</v>
      </c>
      <c r="AV4058" s="6" t="str">
        <f>HYPERLINK("http://mcgill.on.worldcat.org/oclc/187426","Catalog Record")</f>
        <v>Catalog Record</v>
      </c>
      <c r="AW4058" s="6" t="str">
        <f>HYPERLINK("http://www.worldcat.org/oclc/187426","WorldCat Record")</f>
        <v>WorldCat Record</v>
      </c>
      <c r="AX4058" s="3" t="s">
        <v>39155</v>
      </c>
      <c r="AY4058" s="3" t="s">
        <v>39156</v>
      </c>
      <c r="AZ4058" s="3" t="s">
        <v>39157</v>
      </c>
      <c r="BA4058" s="3" t="s">
        <v>39157</v>
      </c>
      <c r="BB4058" s="3" t="s">
        <v>39158</v>
      </c>
      <c r="BC4058" s="3" t="s">
        <v>102</v>
      </c>
      <c r="BD4058" s="3" t="s">
        <v>68</v>
      </c>
      <c r="BF4058" s="3" t="s">
        <v>39158</v>
      </c>
      <c r="BG4058" s="3" t="s">
        <v>39159</v>
      </c>
    </row>
    <row r="4059" spans="1:59" ht="72.5" x14ac:dyDescent="0.35">
      <c r="A4059" s="2" t="s">
        <v>89</v>
      </c>
      <c r="B4059" s="2" t="s">
        <v>90</v>
      </c>
      <c r="C4059" s="2" t="s">
        <v>39160</v>
      </c>
      <c r="D4059" s="2" t="s">
        <v>39161</v>
      </c>
      <c r="E4059" s="2" t="s">
        <v>39162</v>
      </c>
      <c r="G4059" s="3" t="s">
        <v>62</v>
      </c>
      <c r="I4059" s="3" t="s">
        <v>62</v>
      </c>
      <c r="J4059" s="3" t="s">
        <v>62</v>
      </c>
      <c r="K4059" s="3" t="s">
        <v>63</v>
      </c>
      <c r="L4059" s="2" t="s">
        <v>39163</v>
      </c>
      <c r="M4059" s="2" t="s">
        <v>39164</v>
      </c>
      <c r="N4059" s="3" t="s">
        <v>684</v>
      </c>
      <c r="O4059" s="2" t="s">
        <v>39165</v>
      </c>
      <c r="P4059" s="3" t="s">
        <v>85</v>
      </c>
      <c r="Q4059" s="2" t="s">
        <v>39166</v>
      </c>
      <c r="R4059" s="3" t="s">
        <v>34126</v>
      </c>
      <c r="S4059" s="4">
        <v>0</v>
      </c>
      <c r="T4059" s="4">
        <v>0</v>
      </c>
      <c r="W4059" s="5" t="s">
        <v>67</v>
      </c>
      <c r="X4059" s="5" t="s">
        <v>67</v>
      </c>
      <c r="Y4059" s="4">
        <v>1</v>
      </c>
      <c r="Z4059" s="4">
        <v>1</v>
      </c>
      <c r="AA4059" s="4">
        <v>21</v>
      </c>
      <c r="AB4059" s="4">
        <v>1</v>
      </c>
      <c r="AC4059" s="4">
        <v>16</v>
      </c>
      <c r="AD4059" s="4">
        <v>0</v>
      </c>
      <c r="AE4059" s="4">
        <v>10</v>
      </c>
      <c r="AF4059" s="4">
        <v>0</v>
      </c>
      <c r="AG4059" s="4">
        <v>7</v>
      </c>
      <c r="AH4059" s="4">
        <v>0</v>
      </c>
      <c r="AI4059" s="4">
        <v>2</v>
      </c>
      <c r="AJ4059" s="4">
        <v>0</v>
      </c>
      <c r="AK4059" s="4">
        <v>6</v>
      </c>
      <c r="AL4059" s="4">
        <v>0</v>
      </c>
      <c r="AM4059" s="4">
        <v>0</v>
      </c>
      <c r="AN4059" s="4">
        <v>0</v>
      </c>
      <c r="AO4059" s="4">
        <v>0</v>
      </c>
      <c r="AP4059" s="4">
        <v>0</v>
      </c>
      <c r="AQ4059" s="4">
        <v>9</v>
      </c>
      <c r="AR4059" s="3" t="s">
        <v>62</v>
      </c>
      <c r="AS4059" s="3" t="s">
        <v>62</v>
      </c>
      <c r="AT4059" s="3" t="s">
        <v>62</v>
      </c>
      <c r="AV4059" s="6" t="str">
        <f>HYPERLINK("http://mcgill.on.worldcat.org/oclc/798851842","Catalog Record")</f>
        <v>Catalog Record</v>
      </c>
      <c r="AW4059" s="6" t="str">
        <f>HYPERLINK("http://www.worldcat.org/oclc/798851842","WorldCat Record")</f>
        <v>WorldCat Record</v>
      </c>
      <c r="AX4059" s="3" t="s">
        <v>39167</v>
      </c>
      <c r="AY4059" s="3" t="s">
        <v>39168</v>
      </c>
      <c r="AZ4059" s="3" t="s">
        <v>39169</v>
      </c>
      <c r="BA4059" s="3" t="s">
        <v>39169</v>
      </c>
      <c r="BB4059" s="3" t="s">
        <v>39170</v>
      </c>
      <c r="BC4059" s="3" t="s">
        <v>102</v>
      </c>
      <c r="BD4059" s="3" t="s">
        <v>68</v>
      </c>
      <c r="BE4059" s="3" t="s">
        <v>39171</v>
      </c>
      <c r="BF4059" s="3" t="s">
        <v>39170</v>
      </c>
      <c r="BG4059" s="3" t="s">
        <v>39172</v>
      </c>
    </row>
    <row r="4060" spans="1:59" ht="58" x14ac:dyDescent="0.35">
      <c r="A4060" s="2" t="s">
        <v>59</v>
      </c>
      <c r="B4060" s="2" t="s">
        <v>60</v>
      </c>
      <c r="C4060" s="2" t="s">
        <v>39173</v>
      </c>
      <c r="D4060" s="2" t="s">
        <v>39174</v>
      </c>
      <c r="E4060" s="2" t="s">
        <v>39175</v>
      </c>
      <c r="G4060" s="3" t="s">
        <v>62</v>
      </c>
      <c r="I4060" s="3" t="s">
        <v>61</v>
      </c>
      <c r="J4060" s="3" t="s">
        <v>62</v>
      </c>
      <c r="K4060" s="3" t="s">
        <v>63</v>
      </c>
      <c r="L4060" s="2" t="s">
        <v>39176</v>
      </c>
      <c r="M4060" s="2" t="s">
        <v>39177</v>
      </c>
      <c r="N4060" s="3" t="s">
        <v>466</v>
      </c>
      <c r="P4060" s="3" t="s">
        <v>64</v>
      </c>
      <c r="Q4060" s="2" t="s">
        <v>39178</v>
      </c>
      <c r="R4060" s="3" t="s">
        <v>34126</v>
      </c>
      <c r="S4060" s="4">
        <v>16</v>
      </c>
      <c r="T4060" s="4">
        <v>35</v>
      </c>
      <c r="U4060" s="5" t="s">
        <v>39179</v>
      </c>
      <c r="V4060" s="5" t="s">
        <v>39180</v>
      </c>
      <c r="W4060" s="5" t="s">
        <v>67</v>
      </c>
      <c r="X4060" s="5" t="s">
        <v>67</v>
      </c>
      <c r="Y4060" s="4">
        <v>568</v>
      </c>
      <c r="Z4060" s="4">
        <v>31</v>
      </c>
      <c r="AA4060" s="4">
        <v>96</v>
      </c>
      <c r="AB4060" s="4">
        <v>2</v>
      </c>
      <c r="AC4060" s="4">
        <v>15</v>
      </c>
      <c r="AD4060" s="4">
        <v>118</v>
      </c>
      <c r="AE4060" s="4">
        <v>155</v>
      </c>
      <c r="AF4060" s="4">
        <v>1</v>
      </c>
      <c r="AG4060" s="4">
        <v>8</v>
      </c>
      <c r="AH4060" s="4">
        <v>104</v>
      </c>
      <c r="AI4060" s="4">
        <v>112</v>
      </c>
      <c r="AJ4060" s="4">
        <v>15</v>
      </c>
      <c r="AK4060" s="4">
        <v>27</v>
      </c>
      <c r="AL4060" s="4">
        <v>54</v>
      </c>
      <c r="AM4060" s="4">
        <v>58</v>
      </c>
      <c r="AN4060" s="4">
        <v>0</v>
      </c>
      <c r="AO4060" s="4">
        <v>0</v>
      </c>
      <c r="AP4060" s="4">
        <v>21</v>
      </c>
      <c r="AQ4060" s="4">
        <v>50</v>
      </c>
      <c r="AR4060" s="3" t="s">
        <v>62</v>
      </c>
      <c r="AS4060" s="3" t="s">
        <v>62</v>
      </c>
      <c r="AT4060" s="3" t="s">
        <v>62</v>
      </c>
      <c r="AV4060" s="6" t="str">
        <f>HYPERLINK("http://mcgill.on.worldcat.org/oclc/25164562","Catalog Record")</f>
        <v>Catalog Record</v>
      </c>
      <c r="AW4060" s="6" t="str">
        <f>HYPERLINK("http://www.worldcat.org/oclc/25164562","WorldCat Record")</f>
        <v>WorldCat Record</v>
      </c>
      <c r="AX4060" s="3" t="s">
        <v>39181</v>
      </c>
      <c r="AY4060" s="3" t="s">
        <v>39182</v>
      </c>
      <c r="AZ4060" s="3" t="s">
        <v>39183</v>
      </c>
      <c r="BA4060" s="3" t="s">
        <v>39183</v>
      </c>
      <c r="BB4060" s="3" t="s">
        <v>39184</v>
      </c>
      <c r="BC4060" s="3" t="s">
        <v>102</v>
      </c>
      <c r="BD4060" s="3" t="s">
        <v>68</v>
      </c>
      <c r="BE4060" s="3" t="s">
        <v>39185</v>
      </c>
      <c r="BF4060" s="3" t="s">
        <v>39184</v>
      </c>
      <c r="BG4060" s="3" t="s">
        <v>39186</v>
      </c>
    </row>
    <row r="4061" spans="1:59" ht="58" x14ac:dyDescent="0.35">
      <c r="A4061" s="2" t="s">
        <v>89</v>
      </c>
      <c r="B4061" s="2" t="s">
        <v>90</v>
      </c>
      <c r="C4061" s="2" t="s">
        <v>39187</v>
      </c>
      <c r="D4061" s="2" t="s">
        <v>39188</v>
      </c>
      <c r="E4061" s="2" t="s">
        <v>39189</v>
      </c>
      <c r="G4061" s="3" t="s">
        <v>62</v>
      </c>
      <c r="I4061" s="3" t="s">
        <v>62</v>
      </c>
      <c r="J4061" s="3" t="s">
        <v>62</v>
      </c>
      <c r="K4061" s="3" t="s">
        <v>63</v>
      </c>
      <c r="L4061" s="2" t="s">
        <v>39190</v>
      </c>
      <c r="M4061" s="2" t="s">
        <v>39191</v>
      </c>
      <c r="N4061" s="3" t="s">
        <v>3062</v>
      </c>
      <c r="P4061" s="3" t="s">
        <v>64</v>
      </c>
      <c r="R4061" s="3" t="s">
        <v>34126</v>
      </c>
      <c r="S4061" s="4">
        <v>10</v>
      </c>
      <c r="T4061" s="4">
        <v>10</v>
      </c>
      <c r="U4061" s="5" t="s">
        <v>2238</v>
      </c>
      <c r="V4061" s="5" t="s">
        <v>2238</v>
      </c>
      <c r="W4061" s="5" t="s">
        <v>67</v>
      </c>
      <c r="X4061" s="5" t="s">
        <v>67</v>
      </c>
      <c r="Y4061" s="4">
        <v>74</v>
      </c>
      <c r="Z4061" s="4">
        <v>51</v>
      </c>
      <c r="AA4061" s="4">
        <v>85</v>
      </c>
      <c r="AB4061" s="4">
        <v>4</v>
      </c>
      <c r="AC4061" s="4">
        <v>17</v>
      </c>
      <c r="AD4061" s="4">
        <v>42</v>
      </c>
      <c r="AE4061" s="4">
        <v>64</v>
      </c>
      <c r="AF4061" s="4">
        <v>2</v>
      </c>
      <c r="AG4061" s="4">
        <v>8</v>
      </c>
      <c r="AH4061" s="4">
        <v>18</v>
      </c>
      <c r="AI4061" s="4">
        <v>20</v>
      </c>
      <c r="AJ4061" s="4">
        <v>19</v>
      </c>
      <c r="AK4061" s="4">
        <v>27</v>
      </c>
      <c r="AL4061" s="4">
        <v>6</v>
      </c>
      <c r="AM4061" s="4">
        <v>6</v>
      </c>
      <c r="AN4061" s="4">
        <v>0</v>
      </c>
      <c r="AO4061" s="4">
        <v>0</v>
      </c>
      <c r="AP4061" s="4">
        <v>33</v>
      </c>
      <c r="AQ4061" s="4">
        <v>53</v>
      </c>
      <c r="AR4061" s="3" t="s">
        <v>61</v>
      </c>
      <c r="AS4061" s="3" t="s">
        <v>62</v>
      </c>
      <c r="AT4061" s="3" t="s">
        <v>62</v>
      </c>
      <c r="AV4061" s="6" t="str">
        <f>HYPERLINK("http://mcgill.on.worldcat.org/oclc/28115677","Catalog Record")</f>
        <v>Catalog Record</v>
      </c>
      <c r="AW4061" s="6" t="str">
        <f>HYPERLINK("http://www.worldcat.org/oclc/28115677","WorldCat Record")</f>
        <v>WorldCat Record</v>
      </c>
      <c r="AX4061" s="3" t="s">
        <v>39192</v>
      </c>
      <c r="AY4061" s="3" t="s">
        <v>39193</v>
      </c>
      <c r="AZ4061" s="3" t="s">
        <v>39194</v>
      </c>
      <c r="BA4061" s="3" t="s">
        <v>39194</v>
      </c>
      <c r="BB4061" s="3" t="s">
        <v>39195</v>
      </c>
      <c r="BC4061" s="3" t="s">
        <v>102</v>
      </c>
      <c r="BD4061" s="3" t="s">
        <v>68</v>
      </c>
      <c r="BE4061" s="3" t="s">
        <v>39196</v>
      </c>
      <c r="BF4061" s="3" t="s">
        <v>39195</v>
      </c>
      <c r="BG4061" s="3" t="s">
        <v>39197</v>
      </c>
    </row>
    <row r="4062" spans="1:59" ht="58" x14ac:dyDescent="0.35">
      <c r="A4062" s="2" t="s">
        <v>89</v>
      </c>
      <c r="B4062" s="2" t="s">
        <v>90</v>
      </c>
      <c r="C4062" s="2" t="s">
        <v>39198</v>
      </c>
      <c r="D4062" s="2" t="s">
        <v>39199</v>
      </c>
      <c r="E4062" s="2" t="s">
        <v>39200</v>
      </c>
      <c r="G4062" s="3" t="s">
        <v>62</v>
      </c>
      <c r="I4062" s="3" t="s">
        <v>62</v>
      </c>
      <c r="J4062" s="3" t="s">
        <v>62</v>
      </c>
      <c r="K4062" s="3" t="s">
        <v>63</v>
      </c>
      <c r="L4062" s="2" t="s">
        <v>39201</v>
      </c>
      <c r="M4062" s="2" t="s">
        <v>39202</v>
      </c>
      <c r="N4062" s="3" t="s">
        <v>509</v>
      </c>
      <c r="P4062" s="3" t="s">
        <v>64</v>
      </c>
      <c r="R4062" s="3" t="s">
        <v>34126</v>
      </c>
      <c r="S4062" s="4">
        <v>10</v>
      </c>
      <c r="T4062" s="4">
        <v>10</v>
      </c>
      <c r="U4062" s="5" t="s">
        <v>3441</v>
      </c>
      <c r="V4062" s="5" t="s">
        <v>3441</v>
      </c>
      <c r="W4062" s="5" t="s">
        <v>67</v>
      </c>
      <c r="X4062" s="5" t="s">
        <v>67</v>
      </c>
      <c r="Y4062" s="4">
        <v>124</v>
      </c>
      <c r="Z4062" s="4">
        <v>67</v>
      </c>
      <c r="AA4062" s="4">
        <v>78</v>
      </c>
      <c r="AB4062" s="4">
        <v>5</v>
      </c>
      <c r="AC4062" s="4">
        <v>6</v>
      </c>
      <c r="AD4062" s="4">
        <v>57</v>
      </c>
      <c r="AE4062" s="4">
        <v>99</v>
      </c>
      <c r="AF4062" s="4">
        <v>2</v>
      </c>
      <c r="AG4062" s="4">
        <v>3</v>
      </c>
      <c r="AH4062" s="4">
        <v>34</v>
      </c>
      <c r="AI4062" s="4">
        <v>69</v>
      </c>
      <c r="AJ4062" s="4">
        <v>21</v>
      </c>
      <c r="AK4062" s="4">
        <v>23</v>
      </c>
      <c r="AL4062" s="4">
        <v>12</v>
      </c>
      <c r="AM4062" s="4">
        <v>36</v>
      </c>
      <c r="AN4062" s="4">
        <v>5</v>
      </c>
      <c r="AO4062" s="4">
        <v>5</v>
      </c>
      <c r="AP4062" s="4">
        <v>33</v>
      </c>
      <c r="AQ4062" s="4">
        <v>37</v>
      </c>
      <c r="AR4062" s="3" t="s">
        <v>61</v>
      </c>
      <c r="AS4062" s="3" t="s">
        <v>62</v>
      </c>
      <c r="AT4062" s="3" t="s">
        <v>61</v>
      </c>
      <c r="AU4062" s="6" t="str">
        <f>HYPERLINK("http://catalog.hathitrust.org/Record/101955799","HathiTrust Record")</f>
        <v>HathiTrust Record</v>
      </c>
      <c r="AV4062" s="6" t="str">
        <f>HYPERLINK("http://mcgill.on.worldcat.org/oclc/28343503","Catalog Record")</f>
        <v>Catalog Record</v>
      </c>
      <c r="AW4062" s="6" t="str">
        <f>HYPERLINK("http://www.worldcat.org/oclc/28343503","WorldCat Record")</f>
        <v>WorldCat Record</v>
      </c>
      <c r="AX4062" s="3" t="s">
        <v>39203</v>
      </c>
      <c r="AY4062" s="3" t="s">
        <v>39204</v>
      </c>
      <c r="AZ4062" s="3" t="s">
        <v>39205</v>
      </c>
      <c r="BA4062" s="3" t="s">
        <v>39205</v>
      </c>
      <c r="BB4062" s="3" t="s">
        <v>39206</v>
      </c>
      <c r="BC4062" s="3" t="s">
        <v>102</v>
      </c>
      <c r="BD4062" s="3" t="s">
        <v>68</v>
      </c>
      <c r="BE4062" s="3" t="s">
        <v>39207</v>
      </c>
      <c r="BF4062" s="3" t="s">
        <v>39206</v>
      </c>
      <c r="BG4062" s="3" t="s">
        <v>39208</v>
      </c>
    </row>
    <row r="4063" spans="1:59" ht="58" x14ac:dyDescent="0.35">
      <c r="A4063" s="2" t="s">
        <v>89</v>
      </c>
      <c r="B4063" s="2" t="s">
        <v>90</v>
      </c>
      <c r="C4063" s="2" t="s">
        <v>39209</v>
      </c>
      <c r="D4063" s="2" t="s">
        <v>39210</v>
      </c>
      <c r="E4063" s="2" t="s">
        <v>39211</v>
      </c>
      <c r="G4063" s="3" t="s">
        <v>62</v>
      </c>
      <c r="I4063" s="3" t="s">
        <v>62</v>
      </c>
      <c r="J4063" s="3" t="s">
        <v>62</v>
      </c>
      <c r="K4063" s="3" t="s">
        <v>63</v>
      </c>
      <c r="L4063" s="2" t="s">
        <v>39212</v>
      </c>
      <c r="M4063" s="2" t="s">
        <v>39213</v>
      </c>
      <c r="N4063" s="3" t="s">
        <v>115</v>
      </c>
      <c r="P4063" s="3" t="s">
        <v>64</v>
      </c>
      <c r="R4063" s="3" t="s">
        <v>34126</v>
      </c>
      <c r="S4063" s="4">
        <v>26</v>
      </c>
      <c r="T4063" s="4">
        <v>26</v>
      </c>
      <c r="U4063" s="5" t="s">
        <v>32111</v>
      </c>
      <c r="V4063" s="5" t="s">
        <v>32111</v>
      </c>
      <c r="W4063" s="5" t="s">
        <v>67</v>
      </c>
      <c r="X4063" s="5" t="s">
        <v>67</v>
      </c>
      <c r="Y4063" s="4">
        <v>339</v>
      </c>
      <c r="Z4063" s="4">
        <v>24</v>
      </c>
      <c r="AA4063" s="4">
        <v>38</v>
      </c>
      <c r="AB4063" s="4">
        <v>2</v>
      </c>
      <c r="AC4063" s="4">
        <v>9</v>
      </c>
      <c r="AD4063" s="4">
        <v>113</v>
      </c>
      <c r="AE4063" s="4">
        <v>127</v>
      </c>
      <c r="AF4063" s="4">
        <v>1</v>
      </c>
      <c r="AG4063" s="4">
        <v>5</v>
      </c>
      <c r="AH4063" s="4">
        <v>96</v>
      </c>
      <c r="AI4063" s="4">
        <v>106</v>
      </c>
      <c r="AJ4063" s="4">
        <v>16</v>
      </c>
      <c r="AK4063" s="4">
        <v>24</v>
      </c>
      <c r="AL4063" s="4">
        <v>54</v>
      </c>
      <c r="AM4063" s="4">
        <v>57</v>
      </c>
      <c r="AN4063" s="4">
        <v>0</v>
      </c>
      <c r="AO4063" s="4">
        <v>0</v>
      </c>
      <c r="AP4063" s="4">
        <v>21</v>
      </c>
      <c r="AQ4063" s="4">
        <v>29</v>
      </c>
      <c r="AR4063" s="3" t="s">
        <v>62</v>
      </c>
      <c r="AS4063" s="3" t="s">
        <v>62</v>
      </c>
      <c r="AT4063" s="3" t="s">
        <v>62</v>
      </c>
      <c r="AV4063" s="6" t="str">
        <f>HYPERLINK("http://mcgill.on.worldcat.org/oclc/19512872","Catalog Record")</f>
        <v>Catalog Record</v>
      </c>
      <c r="AW4063" s="6" t="str">
        <f>HYPERLINK("http://www.worldcat.org/oclc/19512872","WorldCat Record")</f>
        <v>WorldCat Record</v>
      </c>
      <c r="AX4063" s="3" t="s">
        <v>39214</v>
      </c>
      <c r="AY4063" s="3" t="s">
        <v>39215</v>
      </c>
      <c r="AZ4063" s="3" t="s">
        <v>39216</v>
      </c>
      <c r="BA4063" s="3" t="s">
        <v>39216</v>
      </c>
      <c r="BB4063" s="3" t="s">
        <v>39217</v>
      </c>
      <c r="BC4063" s="3" t="s">
        <v>102</v>
      </c>
      <c r="BD4063" s="3" t="s">
        <v>68</v>
      </c>
      <c r="BE4063" s="3" t="s">
        <v>39218</v>
      </c>
      <c r="BF4063" s="3" t="s">
        <v>39217</v>
      </c>
      <c r="BG4063" s="3" t="s">
        <v>39219</v>
      </c>
    </row>
    <row r="4064" spans="1:59" ht="58" x14ac:dyDescent="0.35">
      <c r="A4064" s="2" t="s">
        <v>89</v>
      </c>
      <c r="B4064" s="2" t="s">
        <v>90</v>
      </c>
      <c r="C4064" s="2" t="s">
        <v>39220</v>
      </c>
      <c r="D4064" s="2" t="s">
        <v>39221</v>
      </c>
      <c r="E4064" s="2" t="s">
        <v>39222</v>
      </c>
      <c r="G4064" s="3" t="s">
        <v>62</v>
      </c>
      <c r="I4064" s="3" t="s">
        <v>62</v>
      </c>
      <c r="J4064" s="3" t="s">
        <v>61</v>
      </c>
      <c r="K4064" s="3" t="s">
        <v>63</v>
      </c>
      <c r="L4064" s="2" t="s">
        <v>4456</v>
      </c>
      <c r="M4064" s="2" t="s">
        <v>39223</v>
      </c>
      <c r="N4064" s="3" t="s">
        <v>2136</v>
      </c>
      <c r="O4064" s="2" t="s">
        <v>2986</v>
      </c>
      <c r="P4064" s="3" t="s">
        <v>64</v>
      </c>
      <c r="Q4064" s="2" t="s">
        <v>39224</v>
      </c>
      <c r="R4064" s="3" t="s">
        <v>34126</v>
      </c>
      <c r="S4064" s="4">
        <v>7</v>
      </c>
      <c r="T4064" s="4">
        <v>7</v>
      </c>
      <c r="U4064" s="5" t="s">
        <v>7065</v>
      </c>
      <c r="V4064" s="5" t="s">
        <v>7065</v>
      </c>
      <c r="W4064" s="5" t="s">
        <v>67</v>
      </c>
      <c r="X4064" s="5" t="s">
        <v>67</v>
      </c>
      <c r="Y4064" s="4">
        <v>378</v>
      </c>
      <c r="Z4064" s="4">
        <v>33</v>
      </c>
      <c r="AA4064" s="4">
        <v>73</v>
      </c>
      <c r="AB4064" s="4">
        <v>2</v>
      </c>
      <c r="AC4064" s="4">
        <v>7</v>
      </c>
      <c r="AD4064" s="4">
        <v>93</v>
      </c>
      <c r="AE4064" s="4">
        <v>151</v>
      </c>
      <c r="AF4064" s="4">
        <v>1</v>
      </c>
      <c r="AG4064" s="4">
        <v>3</v>
      </c>
      <c r="AH4064" s="4">
        <v>80</v>
      </c>
      <c r="AI4064" s="4">
        <v>114</v>
      </c>
      <c r="AJ4064" s="4">
        <v>18</v>
      </c>
      <c r="AK4064" s="4">
        <v>26</v>
      </c>
      <c r="AL4064" s="4">
        <v>48</v>
      </c>
      <c r="AM4064" s="4">
        <v>61</v>
      </c>
      <c r="AN4064" s="4">
        <v>0</v>
      </c>
      <c r="AO4064" s="4">
        <v>0</v>
      </c>
      <c r="AP4064" s="4">
        <v>23</v>
      </c>
      <c r="AQ4064" s="4">
        <v>45</v>
      </c>
      <c r="AR4064" s="3" t="s">
        <v>62</v>
      </c>
      <c r="AS4064" s="3" t="s">
        <v>62</v>
      </c>
      <c r="AT4064" s="3" t="s">
        <v>62</v>
      </c>
      <c r="AV4064" s="6" t="str">
        <f>HYPERLINK("http://mcgill.on.worldcat.org/oclc/59003455","Catalog Record")</f>
        <v>Catalog Record</v>
      </c>
      <c r="AW4064" s="6" t="str">
        <f>HYPERLINK("http://www.worldcat.org/oclc/59003455","WorldCat Record")</f>
        <v>WorldCat Record</v>
      </c>
      <c r="AX4064" s="3" t="s">
        <v>39225</v>
      </c>
      <c r="AY4064" s="3" t="s">
        <v>39226</v>
      </c>
      <c r="AZ4064" s="3" t="s">
        <v>39227</v>
      </c>
      <c r="BA4064" s="3" t="s">
        <v>39227</v>
      </c>
      <c r="BB4064" s="3" t="s">
        <v>39228</v>
      </c>
      <c r="BC4064" s="3" t="s">
        <v>102</v>
      </c>
      <c r="BD4064" s="3" t="s">
        <v>68</v>
      </c>
      <c r="BE4064" s="3" t="s">
        <v>39229</v>
      </c>
      <c r="BF4064" s="3" t="s">
        <v>39228</v>
      </c>
      <c r="BG4064" s="3" t="s">
        <v>39230</v>
      </c>
    </row>
    <row r="4065" spans="1:59" ht="58" x14ac:dyDescent="0.35">
      <c r="A4065" s="2" t="s">
        <v>89</v>
      </c>
      <c r="B4065" s="2" t="s">
        <v>6791</v>
      </c>
      <c r="C4065" s="2" t="s">
        <v>39231</v>
      </c>
      <c r="D4065" s="2" t="s">
        <v>39232</v>
      </c>
      <c r="E4065" s="2" t="s">
        <v>39233</v>
      </c>
      <c r="G4065" s="3" t="s">
        <v>62</v>
      </c>
      <c r="I4065" s="3" t="s">
        <v>62</v>
      </c>
      <c r="J4065" s="3" t="s">
        <v>62</v>
      </c>
      <c r="K4065" s="3" t="s">
        <v>63</v>
      </c>
      <c r="L4065" s="2" t="s">
        <v>39234</v>
      </c>
      <c r="M4065" s="2" t="s">
        <v>39235</v>
      </c>
      <c r="N4065" s="3" t="s">
        <v>596</v>
      </c>
      <c r="P4065" s="3" t="s">
        <v>64</v>
      </c>
      <c r="R4065" s="3" t="s">
        <v>34126</v>
      </c>
      <c r="S4065" s="4">
        <v>7</v>
      </c>
      <c r="T4065" s="4">
        <v>7</v>
      </c>
      <c r="U4065" s="5" t="s">
        <v>39180</v>
      </c>
      <c r="V4065" s="5" t="s">
        <v>39180</v>
      </c>
      <c r="W4065" s="5" t="s">
        <v>67</v>
      </c>
      <c r="X4065" s="5" t="s">
        <v>67</v>
      </c>
      <c r="Y4065" s="4">
        <v>353</v>
      </c>
      <c r="Z4065" s="4">
        <v>52</v>
      </c>
      <c r="AA4065" s="4">
        <v>68</v>
      </c>
      <c r="AB4065" s="4">
        <v>2</v>
      </c>
      <c r="AC4065" s="4">
        <v>7</v>
      </c>
      <c r="AD4065" s="4">
        <v>72</v>
      </c>
      <c r="AE4065" s="4">
        <v>87</v>
      </c>
      <c r="AF4065" s="4">
        <v>1</v>
      </c>
      <c r="AG4065" s="4">
        <v>3</v>
      </c>
      <c r="AH4065" s="4">
        <v>46</v>
      </c>
      <c r="AI4065" s="4">
        <v>55</v>
      </c>
      <c r="AJ4065" s="4">
        <v>19</v>
      </c>
      <c r="AK4065" s="4">
        <v>21</v>
      </c>
      <c r="AL4065" s="4">
        <v>22</v>
      </c>
      <c r="AM4065" s="4">
        <v>27</v>
      </c>
      <c r="AN4065" s="4">
        <v>0</v>
      </c>
      <c r="AO4065" s="4">
        <v>0</v>
      </c>
      <c r="AP4065" s="4">
        <v>34</v>
      </c>
      <c r="AQ4065" s="4">
        <v>40</v>
      </c>
      <c r="AR4065" s="3" t="s">
        <v>61</v>
      </c>
      <c r="AS4065" s="3" t="s">
        <v>62</v>
      </c>
      <c r="AT4065" s="3" t="s">
        <v>62</v>
      </c>
      <c r="AV4065" s="6" t="str">
        <f>HYPERLINK("http://mcgill.on.worldcat.org/oclc/52215157","Catalog Record")</f>
        <v>Catalog Record</v>
      </c>
      <c r="AW4065" s="6" t="str">
        <f>HYPERLINK("http://www.worldcat.org/oclc/52215157","WorldCat Record")</f>
        <v>WorldCat Record</v>
      </c>
      <c r="AX4065" s="3" t="s">
        <v>39236</v>
      </c>
      <c r="AY4065" s="3" t="s">
        <v>39237</v>
      </c>
      <c r="AZ4065" s="3" t="s">
        <v>39238</v>
      </c>
      <c r="BA4065" s="3" t="s">
        <v>39238</v>
      </c>
      <c r="BB4065" s="3" t="s">
        <v>39239</v>
      </c>
      <c r="BC4065" s="3" t="s">
        <v>102</v>
      </c>
      <c r="BD4065" s="3" t="s">
        <v>231</v>
      </c>
      <c r="BE4065" s="3" t="s">
        <v>39240</v>
      </c>
      <c r="BF4065" s="3" t="s">
        <v>39239</v>
      </c>
      <c r="BG4065" s="3" t="s">
        <v>39241</v>
      </c>
    </row>
    <row r="4066" spans="1:59" ht="58" x14ac:dyDescent="0.35">
      <c r="A4066" s="2" t="s">
        <v>89</v>
      </c>
      <c r="B4066" s="2" t="s">
        <v>90</v>
      </c>
      <c r="C4066" s="2" t="s">
        <v>39242</v>
      </c>
      <c r="D4066" s="2" t="s">
        <v>39243</v>
      </c>
      <c r="E4066" s="2" t="s">
        <v>39244</v>
      </c>
      <c r="G4066" s="3" t="s">
        <v>62</v>
      </c>
      <c r="I4066" s="3" t="s">
        <v>62</v>
      </c>
      <c r="J4066" s="3" t="s">
        <v>62</v>
      </c>
      <c r="K4066" s="3" t="s">
        <v>63</v>
      </c>
      <c r="L4066" s="2" t="s">
        <v>39245</v>
      </c>
      <c r="M4066" s="2" t="s">
        <v>39246</v>
      </c>
      <c r="N4066" s="3" t="s">
        <v>438</v>
      </c>
      <c r="P4066" s="3" t="s">
        <v>64</v>
      </c>
      <c r="Q4066" s="2" t="s">
        <v>39247</v>
      </c>
      <c r="R4066" s="3" t="s">
        <v>34126</v>
      </c>
      <c r="S4066" s="4">
        <v>19</v>
      </c>
      <c r="T4066" s="4">
        <v>19</v>
      </c>
      <c r="U4066" s="5" t="s">
        <v>7065</v>
      </c>
      <c r="V4066" s="5" t="s">
        <v>7065</v>
      </c>
      <c r="W4066" s="5" t="s">
        <v>67</v>
      </c>
      <c r="X4066" s="5" t="s">
        <v>67</v>
      </c>
      <c r="Y4066" s="4">
        <v>245</v>
      </c>
      <c r="Z4066" s="4">
        <v>31</v>
      </c>
      <c r="AA4066" s="4">
        <v>31</v>
      </c>
      <c r="AB4066" s="4">
        <v>1</v>
      </c>
      <c r="AC4066" s="4">
        <v>1</v>
      </c>
      <c r="AD4066" s="4">
        <v>65</v>
      </c>
      <c r="AE4066" s="4">
        <v>65</v>
      </c>
      <c r="AF4066" s="4">
        <v>0</v>
      </c>
      <c r="AG4066" s="4">
        <v>0</v>
      </c>
      <c r="AH4066" s="4">
        <v>53</v>
      </c>
      <c r="AI4066" s="4">
        <v>53</v>
      </c>
      <c r="AJ4066" s="4">
        <v>16</v>
      </c>
      <c r="AK4066" s="4">
        <v>16</v>
      </c>
      <c r="AL4066" s="4">
        <v>25</v>
      </c>
      <c r="AM4066" s="4">
        <v>25</v>
      </c>
      <c r="AN4066" s="4">
        <v>0</v>
      </c>
      <c r="AO4066" s="4">
        <v>0</v>
      </c>
      <c r="AP4066" s="4">
        <v>20</v>
      </c>
      <c r="AQ4066" s="4">
        <v>20</v>
      </c>
      <c r="AR4066" s="3" t="s">
        <v>62</v>
      </c>
      <c r="AS4066" s="3" t="s">
        <v>62</v>
      </c>
      <c r="AT4066" s="3" t="s">
        <v>61</v>
      </c>
      <c r="AU4066" s="6" t="str">
        <f>HYPERLINK("http://catalog.hathitrust.org/Record/002426269","HathiTrust Record")</f>
        <v>HathiTrust Record</v>
      </c>
      <c r="AV4066" s="6" t="str">
        <f>HYPERLINK("http://mcgill.on.worldcat.org/oclc/22145931","Catalog Record")</f>
        <v>Catalog Record</v>
      </c>
      <c r="AW4066" s="6" t="str">
        <f>HYPERLINK("http://www.worldcat.org/oclc/22145931","WorldCat Record")</f>
        <v>WorldCat Record</v>
      </c>
      <c r="AX4066" s="3" t="s">
        <v>39248</v>
      </c>
      <c r="AY4066" s="3" t="s">
        <v>39249</v>
      </c>
      <c r="AZ4066" s="3" t="s">
        <v>39250</v>
      </c>
      <c r="BA4066" s="3" t="s">
        <v>39250</v>
      </c>
      <c r="BB4066" s="3" t="s">
        <v>39251</v>
      </c>
      <c r="BC4066" s="3" t="s">
        <v>102</v>
      </c>
      <c r="BD4066" s="3" t="s">
        <v>68</v>
      </c>
      <c r="BE4066" s="3" t="s">
        <v>39252</v>
      </c>
      <c r="BF4066" s="3" t="s">
        <v>39251</v>
      </c>
      <c r="BG4066" s="3" t="s">
        <v>39253</v>
      </c>
    </row>
    <row r="4067" spans="1:59" ht="58" x14ac:dyDescent="0.35">
      <c r="A4067" s="2" t="s">
        <v>89</v>
      </c>
      <c r="B4067" s="2" t="s">
        <v>90</v>
      </c>
      <c r="C4067" s="2" t="s">
        <v>39254</v>
      </c>
      <c r="D4067" s="2" t="s">
        <v>39255</v>
      </c>
      <c r="E4067" s="2" t="s">
        <v>39256</v>
      </c>
      <c r="G4067" s="3" t="s">
        <v>62</v>
      </c>
      <c r="I4067" s="3" t="s">
        <v>62</v>
      </c>
      <c r="J4067" s="3" t="s">
        <v>62</v>
      </c>
      <c r="K4067" s="3" t="s">
        <v>63</v>
      </c>
      <c r="M4067" s="2" t="s">
        <v>39257</v>
      </c>
      <c r="N4067" s="3" t="s">
        <v>115</v>
      </c>
      <c r="P4067" s="3" t="s">
        <v>64</v>
      </c>
      <c r="Q4067" s="2" t="s">
        <v>39258</v>
      </c>
      <c r="R4067" s="3" t="s">
        <v>34126</v>
      </c>
      <c r="S4067" s="4">
        <v>3</v>
      </c>
      <c r="T4067" s="4">
        <v>3</v>
      </c>
      <c r="U4067" s="5" t="s">
        <v>17064</v>
      </c>
      <c r="V4067" s="5" t="s">
        <v>17064</v>
      </c>
      <c r="W4067" s="5" t="s">
        <v>67</v>
      </c>
      <c r="X4067" s="5" t="s">
        <v>67</v>
      </c>
      <c r="Y4067" s="4">
        <v>624</v>
      </c>
      <c r="Z4067" s="4">
        <v>35</v>
      </c>
      <c r="AA4067" s="4">
        <v>37</v>
      </c>
      <c r="AB4067" s="4">
        <v>1</v>
      </c>
      <c r="AC4067" s="4">
        <v>2</v>
      </c>
      <c r="AD4067" s="4">
        <v>116</v>
      </c>
      <c r="AE4067" s="4">
        <v>118</v>
      </c>
      <c r="AF4067" s="4">
        <v>0</v>
      </c>
      <c r="AG4067" s="4">
        <v>1</v>
      </c>
      <c r="AH4067" s="4">
        <v>94</v>
      </c>
      <c r="AI4067" s="4">
        <v>94</v>
      </c>
      <c r="AJ4067" s="4">
        <v>18</v>
      </c>
      <c r="AK4067" s="4">
        <v>20</v>
      </c>
      <c r="AL4067" s="4">
        <v>51</v>
      </c>
      <c r="AM4067" s="4">
        <v>51</v>
      </c>
      <c r="AN4067" s="4">
        <v>0</v>
      </c>
      <c r="AO4067" s="4">
        <v>0</v>
      </c>
      <c r="AP4067" s="4">
        <v>26</v>
      </c>
      <c r="AQ4067" s="4">
        <v>27</v>
      </c>
      <c r="AR4067" s="3" t="s">
        <v>62</v>
      </c>
      <c r="AS4067" s="3" t="s">
        <v>62</v>
      </c>
      <c r="AT4067" s="3" t="s">
        <v>61</v>
      </c>
      <c r="AU4067" s="6" t="str">
        <f>HYPERLINK("http://catalog.hathitrust.org/Record/004581271","HathiTrust Record")</f>
        <v>HathiTrust Record</v>
      </c>
      <c r="AV4067" s="6" t="str">
        <f>HYPERLINK("http://mcgill.on.worldcat.org/oclc/18051853","Catalog Record")</f>
        <v>Catalog Record</v>
      </c>
      <c r="AW4067" s="6" t="str">
        <f>HYPERLINK("http://www.worldcat.org/oclc/18051853","WorldCat Record")</f>
        <v>WorldCat Record</v>
      </c>
      <c r="AX4067" s="3" t="s">
        <v>39259</v>
      </c>
      <c r="AY4067" s="3" t="s">
        <v>39260</v>
      </c>
      <c r="AZ4067" s="3" t="s">
        <v>39261</v>
      </c>
      <c r="BA4067" s="3" t="s">
        <v>39261</v>
      </c>
      <c r="BB4067" s="3" t="s">
        <v>39262</v>
      </c>
      <c r="BC4067" s="3" t="s">
        <v>102</v>
      </c>
      <c r="BD4067" s="3" t="s">
        <v>68</v>
      </c>
      <c r="BE4067" s="3" t="s">
        <v>39263</v>
      </c>
      <c r="BF4067" s="3" t="s">
        <v>39262</v>
      </c>
      <c r="BG4067" s="3" t="s">
        <v>39264</v>
      </c>
    </row>
    <row r="4068" spans="1:59" ht="58" x14ac:dyDescent="0.35">
      <c r="A4068" s="2" t="s">
        <v>89</v>
      </c>
      <c r="B4068" s="2" t="s">
        <v>90</v>
      </c>
      <c r="C4068" s="2" t="s">
        <v>39265</v>
      </c>
      <c r="D4068" s="2" t="s">
        <v>39266</v>
      </c>
      <c r="E4068" s="2" t="s">
        <v>39267</v>
      </c>
      <c r="G4068" s="3" t="s">
        <v>62</v>
      </c>
      <c r="I4068" s="3" t="s">
        <v>62</v>
      </c>
      <c r="J4068" s="3" t="s">
        <v>62</v>
      </c>
      <c r="K4068" s="3" t="s">
        <v>63</v>
      </c>
      <c r="L4068" s="2" t="s">
        <v>39268</v>
      </c>
      <c r="M4068" s="2" t="s">
        <v>39269</v>
      </c>
      <c r="N4068" s="3" t="s">
        <v>726</v>
      </c>
      <c r="P4068" s="3" t="s">
        <v>85</v>
      </c>
      <c r="Q4068" s="2" t="s">
        <v>39270</v>
      </c>
      <c r="R4068" s="3" t="s">
        <v>34126</v>
      </c>
      <c r="S4068" s="4">
        <v>0</v>
      </c>
      <c r="T4068" s="4">
        <v>0</v>
      </c>
      <c r="W4068" s="5" t="s">
        <v>67</v>
      </c>
      <c r="X4068" s="5" t="s">
        <v>67</v>
      </c>
      <c r="Y4068" s="4">
        <v>3</v>
      </c>
      <c r="Z4068" s="4">
        <v>1</v>
      </c>
      <c r="AA4068" s="4">
        <v>4</v>
      </c>
      <c r="AB4068" s="4">
        <v>1</v>
      </c>
      <c r="AC4068" s="4">
        <v>4</v>
      </c>
      <c r="AD4068" s="4">
        <v>0</v>
      </c>
      <c r="AE4068" s="4">
        <v>2</v>
      </c>
      <c r="AF4068" s="4">
        <v>0</v>
      </c>
      <c r="AG4068" s="4">
        <v>2</v>
      </c>
      <c r="AH4068" s="4">
        <v>0</v>
      </c>
      <c r="AI4068" s="4">
        <v>0</v>
      </c>
      <c r="AJ4068" s="4">
        <v>0</v>
      </c>
      <c r="AK4068" s="4">
        <v>2</v>
      </c>
      <c r="AL4068" s="4">
        <v>0</v>
      </c>
      <c r="AM4068" s="4">
        <v>0</v>
      </c>
      <c r="AN4068" s="4">
        <v>0</v>
      </c>
      <c r="AO4068" s="4">
        <v>0</v>
      </c>
      <c r="AP4068" s="4">
        <v>0</v>
      </c>
      <c r="AQ4068" s="4">
        <v>1</v>
      </c>
      <c r="AR4068" s="3" t="s">
        <v>62</v>
      </c>
      <c r="AS4068" s="3" t="s">
        <v>62</v>
      </c>
      <c r="AT4068" s="3" t="s">
        <v>62</v>
      </c>
      <c r="AV4068" s="6" t="str">
        <f>HYPERLINK("http://mcgill.on.worldcat.org/oclc/989758871","Catalog Record")</f>
        <v>Catalog Record</v>
      </c>
      <c r="AW4068" s="6" t="str">
        <f>HYPERLINK("http://www.worldcat.org/oclc/989758871","WorldCat Record")</f>
        <v>WorldCat Record</v>
      </c>
      <c r="AX4068" s="3" t="s">
        <v>39271</v>
      </c>
      <c r="AY4068" s="3" t="s">
        <v>39272</v>
      </c>
      <c r="AZ4068" s="3" t="s">
        <v>39273</v>
      </c>
      <c r="BA4068" s="3" t="s">
        <v>39273</v>
      </c>
      <c r="BB4068" s="3" t="s">
        <v>39274</v>
      </c>
      <c r="BC4068" s="3" t="s">
        <v>102</v>
      </c>
      <c r="BD4068" s="3" t="s">
        <v>68</v>
      </c>
      <c r="BE4068" s="3" t="s">
        <v>39275</v>
      </c>
      <c r="BF4068" s="3" t="s">
        <v>39274</v>
      </c>
      <c r="BG4068" s="3" t="s">
        <v>39276</v>
      </c>
    </row>
    <row r="4069" spans="1:59" ht="58" x14ac:dyDescent="0.35">
      <c r="A4069" s="2" t="s">
        <v>89</v>
      </c>
      <c r="B4069" s="2" t="s">
        <v>90</v>
      </c>
      <c r="C4069" s="2" t="s">
        <v>39277</v>
      </c>
      <c r="D4069" s="2" t="s">
        <v>39278</v>
      </c>
      <c r="E4069" s="2" t="s">
        <v>39279</v>
      </c>
      <c r="G4069" s="3" t="s">
        <v>62</v>
      </c>
      <c r="I4069" s="3" t="s">
        <v>62</v>
      </c>
      <c r="J4069" s="3" t="s">
        <v>62</v>
      </c>
      <c r="K4069" s="3" t="s">
        <v>63</v>
      </c>
      <c r="M4069" s="2" t="s">
        <v>6507</v>
      </c>
      <c r="N4069" s="3" t="s">
        <v>539</v>
      </c>
      <c r="P4069" s="3" t="s">
        <v>64</v>
      </c>
      <c r="Q4069" s="2" t="s">
        <v>39280</v>
      </c>
      <c r="R4069" s="3" t="s">
        <v>34126</v>
      </c>
      <c r="S4069" s="4">
        <v>38</v>
      </c>
      <c r="T4069" s="4">
        <v>38</v>
      </c>
      <c r="U4069" s="5" t="s">
        <v>22100</v>
      </c>
      <c r="V4069" s="5" t="s">
        <v>22100</v>
      </c>
      <c r="W4069" s="5" t="s">
        <v>67</v>
      </c>
      <c r="X4069" s="5" t="s">
        <v>67</v>
      </c>
      <c r="Y4069" s="4">
        <v>365</v>
      </c>
      <c r="Z4069" s="4">
        <v>18</v>
      </c>
      <c r="AA4069" s="4">
        <v>20</v>
      </c>
      <c r="AB4069" s="4">
        <v>2</v>
      </c>
      <c r="AC4069" s="4">
        <v>2</v>
      </c>
      <c r="AD4069" s="4">
        <v>100</v>
      </c>
      <c r="AE4069" s="4">
        <v>105</v>
      </c>
      <c r="AF4069" s="4">
        <v>1</v>
      </c>
      <c r="AG4069" s="4">
        <v>1</v>
      </c>
      <c r="AH4069" s="4">
        <v>85</v>
      </c>
      <c r="AI4069" s="4">
        <v>89</v>
      </c>
      <c r="AJ4069" s="4">
        <v>11</v>
      </c>
      <c r="AK4069" s="4">
        <v>12</v>
      </c>
      <c r="AL4069" s="4">
        <v>57</v>
      </c>
      <c r="AM4069" s="4">
        <v>58</v>
      </c>
      <c r="AN4069" s="4">
        <v>0</v>
      </c>
      <c r="AO4069" s="4">
        <v>0</v>
      </c>
      <c r="AP4069" s="4">
        <v>16</v>
      </c>
      <c r="AQ4069" s="4">
        <v>18</v>
      </c>
      <c r="AR4069" s="3" t="s">
        <v>62</v>
      </c>
      <c r="AS4069" s="3" t="s">
        <v>62</v>
      </c>
      <c r="AT4069" s="3" t="s">
        <v>62</v>
      </c>
      <c r="AV4069" s="6" t="str">
        <f>HYPERLINK("http://mcgill.on.worldcat.org/oclc/34691215","Catalog Record")</f>
        <v>Catalog Record</v>
      </c>
      <c r="AW4069" s="6" t="str">
        <f>HYPERLINK("http://www.worldcat.org/oclc/34691215","WorldCat Record")</f>
        <v>WorldCat Record</v>
      </c>
      <c r="AX4069" s="3" t="s">
        <v>39281</v>
      </c>
      <c r="AY4069" s="3" t="s">
        <v>39282</v>
      </c>
      <c r="AZ4069" s="3" t="s">
        <v>39283</v>
      </c>
      <c r="BA4069" s="3" t="s">
        <v>39283</v>
      </c>
      <c r="BB4069" s="3" t="s">
        <v>39284</v>
      </c>
      <c r="BC4069" s="3" t="s">
        <v>102</v>
      </c>
      <c r="BD4069" s="3" t="s">
        <v>68</v>
      </c>
      <c r="BE4069" s="3" t="s">
        <v>39285</v>
      </c>
      <c r="BF4069" s="3" t="s">
        <v>39284</v>
      </c>
      <c r="BG4069" s="3" t="s">
        <v>39286</v>
      </c>
    </row>
    <row r="4070" spans="1:59" ht="101.5" x14ac:dyDescent="0.35">
      <c r="A4070" s="2" t="s">
        <v>89</v>
      </c>
      <c r="B4070" s="2" t="s">
        <v>12301</v>
      </c>
      <c r="C4070" s="2" t="s">
        <v>39287</v>
      </c>
      <c r="D4070" s="2" t="s">
        <v>39288</v>
      </c>
      <c r="E4070" s="2" t="s">
        <v>39289</v>
      </c>
      <c r="G4070" s="3" t="s">
        <v>62</v>
      </c>
      <c r="I4070" s="3" t="s">
        <v>61</v>
      </c>
      <c r="J4070" s="3" t="s">
        <v>61</v>
      </c>
      <c r="K4070" s="3" t="s">
        <v>63</v>
      </c>
      <c r="L4070" s="2" t="s">
        <v>39290</v>
      </c>
      <c r="M4070" s="2" t="s">
        <v>39291</v>
      </c>
      <c r="N4070" s="3" t="s">
        <v>2975</v>
      </c>
      <c r="O4070" s="2" t="s">
        <v>2986</v>
      </c>
      <c r="P4070" s="3" t="s">
        <v>64</v>
      </c>
      <c r="R4070" s="3" t="s">
        <v>34126</v>
      </c>
      <c r="S4070" s="4">
        <v>35</v>
      </c>
      <c r="T4070" s="4">
        <v>109</v>
      </c>
      <c r="U4070" s="5" t="s">
        <v>39292</v>
      </c>
      <c r="V4070" s="5" t="s">
        <v>8561</v>
      </c>
      <c r="W4070" s="5" t="s">
        <v>67</v>
      </c>
      <c r="X4070" s="5" t="s">
        <v>67</v>
      </c>
      <c r="Y4070" s="4">
        <v>257</v>
      </c>
      <c r="Z4070" s="4">
        <v>27</v>
      </c>
      <c r="AA4070" s="4">
        <v>55</v>
      </c>
      <c r="AB4070" s="4">
        <v>1</v>
      </c>
      <c r="AC4070" s="4">
        <v>9</v>
      </c>
      <c r="AD4070" s="4">
        <v>86</v>
      </c>
      <c r="AE4070" s="4">
        <v>118</v>
      </c>
      <c r="AF4070" s="4">
        <v>0</v>
      </c>
      <c r="AG4070" s="4">
        <v>5</v>
      </c>
      <c r="AH4070" s="4">
        <v>71</v>
      </c>
      <c r="AI4070" s="4">
        <v>88</v>
      </c>
      <c r="AJ4070" s="4">
        <v>14</v>
      </c>
      <c r="AK4070" s="4">
        <v>24</v>
      </c>
      <c r="AL4070" s="4">
        <v>42</v>
      </c>
      <c r="AM4070" s="4">
        <v>49</v>
      </c>
      <c r="AN4070" s="4">
        <v>0</v>
      </c>
      <c r="AO4070" s="4">
        <v>0</v>
      </c>
      <c r="AP4070" s="4">
        <v>22</v>
      </c>
      <c r="AQ4070" s="4">
        <v>39</v>
      </c>
      <c r="AR4070" s="3" t="s">
        <v>62</v>
      </c>
      <c r="AS4070" s="3" t="s">
        <v>62</v>
      </c>
      <c r="AT4070" s="3" t="s">
        <v>61</v>
      </c>
      <c r="AU4070" s="6" t="str">
        <f>HYPERLINK("http://catalog.hathitrust.org/Record/004157065","HathiTrust Record")</f>
        <v>HathiTrust Record</v>
      </c>
      <c r="AV4070" s="6" t="str">
        <f>HYPERLINK("http://mcgill.on.worldcat.org/oclc/46606424","Catalog Record")</f>
        <v>Catalog Record</v>
      </c>
      <c r="AW4070" s="6" t="str">
        <f>HYPERLINK("http://www.worldcat.org/oclc/46606424","WorldCat Record")</f>
        <v>WorldCat Record</v>
      </c>
      <c r="AX4070" s="3" t="s">
        <v>39293</v>
      </c>
      <c r="AY4070" s="3" t="s">
        <v>39294</v>
      </c>
      <c r="AZ4070" s="3" t="s">
        <v>39295</v>
      </c>
      <c r="BA4070" s="3" t="s">
        <v>39295</v>
      </c>
      <c r="BB4070" s="3" t="s">
        <v>39296</v>
      </c>
      <c r="BC4070" s="3" t="s">
        <v>102</v>
      </c>
      <c r="BD4070" s="3" t="s">
        <v>68</v>
      </c>
      <c r="BE4070" s="3" t="s">
        <v>39297</v>
      </c>
      <c r="BF4070" s="3" t="s">
        <v>39296</v>
      </c>
      <c r="BG4070" s="3" t="s">
        <v>39298</v>
      </c>
    </row>
    <row r="4071" spans="1:59" ht="58" x14ac:dyDescent="0.35">
      <c r="A4071" s="2" t="s">
        <v>89</v>
      </c>
      <c r="B4071" s="2" t="s">
        <v>90</v>
      </c>
      <c r="C4071" s="2" t="s">
        <v>39299</v>
      </c>
      <c r="D4071" s="2" t="s">
        <v>39300</v>
      </c>
      <c r="E4071" s="2" t="s">
        <v>39301</v>
      </c>
      <c r="G4071" s="3" t="s">
        <v>62</v>
      </c>
      <c r="I4071" s="3" t="s">
        <v>62</v>
      </c>
      <c r="J4071" s="3" t="s">
        <v>62</v>
      </c>
      <c r="K4071" s="3" t="s">
        <v>63</v>
      </c>
      <c r="L4071" s="2" t="s">
        <v>39302</v>
      </c>
      <c r="M4071" s="2" t="s">
        <v>39303</v>
      </c>
      <c r="N4071" s="3" t="s">
        <v>625</v>
      </c>
      <c r="P4071" s="3" t="s">
        <v>64</v>
      </c>
      <c r="Q4071" s="2" t="s">
        <v>39178</v>
      </c>
      <c r="R4071" s="3" t="s">
        <v>34126</v>
      </c>
      <c r="S4071" s="4">
        <v>13</v>
      </c>
      <c r="T4071" s="4">
        <v>13</v>
      </c>
      <c r="U4071" s="5" t="s">
        <v>13600</v>
      </c>
      <c r="V4071" s="5" t="s">
        <v>13600</v>
      </c>
      <c r="W4071" s="5" t="s">
        <v>67</v>
      </c>
      <c r="X4071" s="5" t="s">
        <v>67</v>
      </c>
      <c r="Y4071" s="4">
        <v>334</v>
      </c>
      <c r="Z4071" s="4">
        <v>24</v>
      </c>
      <c r="AA4071" s="4">
        <v>108</v>
      </c>
      <c r="AB4071" s="4">
        <v>1</v>
      </c>
      <c r="AC4071" s="4">
        <v>19</v>
      </c>
      <c r="AD4071" s="4">
        <v>109</v>
      </c>
      <c r="AE4071" s="4">
        <v>149</v>
      </c>
      <c r="AF4071" s="4">
        <v>0</v>
      </c>
      <c r="AG4071" s="4">
        <v>9</v>
      </c>
      <c r="AH4071" s="4">
        <v>98</v>
      </c>
      <c r="AI4071" s="4">
        <v>111</v>
      </c>
      <c r="AJ4071" s="4">
        <v>16</v>
      </c>
      <c r="AK4071" s="4">
        <v>26</v>
      </c>
      <c r="AL4071" s="4">
        <v>55</v>
      </c>
      <c r="AM4071" s="4">
        <v>56</v>
      </c>
      <c r="AN4071" s="4">
        <v>0</v>
      </c>
      <c r="AO4071" s="4">
        <v>0</v>
      </c>
      <c r="AP4071" s="4">
        <v>20</v>
      </c>
      <c r="AQ4071" s="4">
        <v>49</v>
      </c>
      <c r="AR4071" s="3" t="s">
        <v>62</v>
      </c>
      <c r="AS4071" s="3" t="s">
        <v>62</v>
      </c>
      <c r="AT4071" s="3" t="s">
        <v>62</v>
      </c>
      <c r="AV4071" s="6" t="str">
        <f>HYPERLINK("http://mcgill.on.worldcat.org/oclc/50096845","Catalog Record")</f>
        <v>Catalog Record</v>
      </c>
      <c r="AW4071" s="6" t="str">
        <f>HYPERLINK("http://www.worldcat.org/oclc/50096845","WorldCat Record")</f>
        <v>WorldCat Record</v>
      </c>
      <c r="AX4071" s="3" t="s">
        <v>39304</v>
      </c>
      <c r="AY4071" s="3" t="s">
        <v>39305</v>
      </c>
      <c r="AZ4071" s="3" t="s">
        <v>39306</v>
      </c>
      <c r="BA4071" s="3" t="s">
        <v>39306</v>
      </c>
      <c r="BB4071" s="3" t="s">
        <v>39307</v>
      </c>
      <c r="BC4071" s="3" t="s">
        <v>102</v>
      </c>
      <c r="BD4071" s="3" t="s">
        <v>231</v>
      </c>
      <c r="BE4071" s="3" t="s">
        <v>39308</v>
      </c>
      <c r="BF4071" s="3" t="s">
        <v>39307</v>
      </c>
      <c r="BG4071" s="3" t="s">
        <v>39309</v>
      </c>
    </row>
    <row r="4072" spans="1:59" ht="58" x14ac:dyDescent="0.35">
      <c r="A4072" s="2" t="s">
        <v>59</v>
      </c>
      <c r="B4072" s="2" t="s">
        <v>60</v>
      </c>
      <c r="C4072" s="2" t="s">
        <v>39310</v>
      </c>
      <c r="D4072" s="2" t="s">
        <v>39311</v>
      </c>
      <c r="E4072" s="2" t="s">
        <v>39312</v>
      </c>
      <c r="G4072" s="3" t="s">
        <v>62</v>
      </c>
      <c r="I4072" s="3" t="s">
        <v>61</v>
      </c>
      <c r="J4072" s="3" t="s">
        <v>61</v>
      </c>
      <c r="K4072" s="3" t="s">
        <v>63</v>
      </c>
      <c r="L4072" s="2" t="s">
        <v>39313</v>
      </c>
      <c r="M4072" s="2" t="s">
        <v>39314</v>
      </c>
      <c r="N4072" s="3" t="s">
        <v>1482</v>
      </c>
      <c r="P4072" s="3" t="s">
        <v>64</v>
      </c>
      <c r="R4072" s="3" t="s">
        <v>34126</v>
      </c>
      <c r="S4072" s="4">
        <v>17</v>
      </c>
      <c r="T4072" s="4">
        <v>56</v>
      </c>
      <c r="U4072" s="5" t="s">
        <v>39315</v>
      </c>
      <c r="V4072" s="5" t="s">
        <v>9908</v>
      </c>
      <c r="W4072" s="5" t="s">
        <v>67</v>
      </c>
      <c r="X4072" s="5" t="s">
        <v>67</v>
      </c>
      <c r="Y4072" s="4">
        <v>267</v>
      </c>
      <c r="Z4072" s="4">
        <v>30</v>
      </c>
      <c r="AA4072" s="4">
        <v>79</v>
      </c>
      <c r="AB4072" s="4">
        <v>3</v>
      </c>
      <c r="AC4072" s="4">
        <v>13</v>
      </c>
      <c r="AD4072" s="4">
        <v>78</v>
      </c>
      <c r="AE4072" s="4">
        <v>143</v>
      </c>
      <c r="AF4072" s="4">
        <v>1</v>
      </c>
      <c r="AG4072" s="4">
        <v>6</v>
      </c>
      <c r="AH4072" s="4">
        <v>65</v>
      </c>
      <c r="AI4072" s="4">
        <v>107</v>
      </c>
      <c r="AJ4072" s="4">
        <v>13</v>
      </c>
      <c r="AK4072" s="4">
        <v>27</v>
      </c>
      <c r="AL4072" s="4">
        <v>34</v>
      </c>
      <c r="AM4072" s="4">
        <v>58</v>
      </c>
      <c r="AN4072" s="4">
        <v>0</v>
      </c>
      <c r="AO4072" s="4">
        <v>0</v>
      </c>
      <c r="AP4072" s="4">
        <v>20</v>
      </c>
      <c r="AQ4072" s="4">
        <v>44</v>
      </c>
      <c r="AR4072" s="3" t="s">
        <v>62</v>
      </c>
      <c r="AS4072" s="3" t="s">
        <v>62</v>
      </c>
      <c r="AT4072" s="3" t="s">
        <v>61</v>
      </c>
      <c r="AU4072" s="6" t="str">
        <f>HYPERLINK("http://catalog.hathitrust.org/Record/000480118","HathiTrust Record")</f>
        <v>HathiTrust Record</v>
      </c>
      <c r="AV4072" s="6" t="str">
        <f>HYPERLINK("http://mcgill.on.worldcat.org/oclc/12582962","Catalog Record")</f>
        <v>Catalog Record</v>
      </c>
      <c r="AW4072" s="6" t="str">
        <f>HYPERLINK("http://www.worldcat.org/oclc/12582962","WorldCat Record")</f>
        <v>WorldCat Record</v>
      </c>
      <c r="AX4072" s="3" t="s">
        <v>39316</v>
      </c>
      <c r="AY4072" s="3" t="s">
        <v>39317</v>
      </c>
      <c r="AZ4072" s="3" t="s">
        <v>39318</v>
      </c>
      <c r="BA4072" s="3" t="s">
        <v>39318</v>
      </c>
      <c r="BB4072" s="3" t="s">
        <v>39319</v>
      </c>
      <c r="BC4072" s="3" t="s">
        <v>102</v>
      </c>
      <c r="BD4072" s="3" t="s">
        <v>68</v>
      </c>
      <c r="BE4072" s="3" t="s">
        <v>39320</v>
      </c>
      <c r="BF4072" s="3" t="s">
        <v>39319</v>
      </c>
      <c r="BG4072" s="3" t="s">
        <v>39321</v>
      </c>
    </row>
    <row r="4073" spans="1:59" ht="58" x14ac:dyDescent="0.35">
      <c r="A4073" s="2" t="s">
        <v>59</v>
      </c>
      <c r="B4073" s="2" t="s">
        <v>60</v>
      </c>
      <c r="C4073" s="2" t="s">
        <v>39322</v>
      </c>
      <c r="D4073" s="2" t="s">
        <v>39323</v>
      </c>
      <c r="E4073" s="2" t="s">
        <v>39324</v>
      </c>
      <c r="G4073" s="3" t="s">
        <v>62</v>
      </c>
      <c r="I4073" s="3" t="s">
        <v>61</v>
      </c>
      <c r="J4073" s="3" t="s">
        <v>62</v>
      </c>
      <c r="K4073" s="3" t="s">
        <v>63</v>
      </c>
      <c r="L4073" s="2" t="s">
        <v>39325</v>
      </c>
      <c r="M4073" s="2" t="s">
        <v>39326</v>
      </c>
      <c r="N4073" s="3" t="s">
        <v>2110</v>
      </c>
      <c r="P4073" s="3" t="s">
        <v>64</v>
      </c>
      <c r="Q4073" s="2" t="s">
        <v>39327</v>
      </c>
      <c r="R4073" s="3" t="s">
        <v>34126</v>
      </c>
      <c r="S4073" s="4">
        <v>7</v>
      </c>
      <c r="T4073" s="4">
        <v>15</v>
      </c>
      <c r="U4073" s="5" t="s">
        <v>39328</v>
      </c>
      <c r="V4073" s="5" t="s">
        <v>39329</v>
      </c>
      <c r="W4073" s="5" t="s">
        <v>67</v>
      </c>
      <c r="X4073" s="5" t="s">
        <v>67</v>
      </c>
      <c r="Y4073" s="4">
        <v>578</v>
      </c>
      <c r="Z4073" s="4">
        <v>30</v>
      </c>
      <c r="AA4073" s="4">
        <v>38</v>
      </c>
      <c r="AB4073" s="4">
        <v>2</v>
      </c>
      <c r="AC4073" s="4">
        <v>8</v>
      </c>
      <c r="AD4073" s="4">
        <v>119</v>
      </c>
      <c r="AE4073" s="4">
        <v>127</v>
      </c>
      <c r="AF4073" s="4">
        <v>1</v>
      </c>
      <c r="AG4073" s="4">
        <v>5</v>
      </c>
      <c r="AH4073" s="4">
        <v>105</v>
      </c>
      <c r="AI4073" s="4">
        <v>108</v>
      </c>
      <c r="AJ4073" s="4">
        <v>18</v>
      </c>
      <c r="AK4073" s="4">
        <v>22</v>
      </c>
      <c r="AL4073" s="4">
        <v>55</v>
      </c>
      <c r="AM4073" s="4">
        <v>57</v>
      </c>
      <c r="AN4073" s="4">
        <v>0</v>
      </c>
      <c r="AO4073" s="4">
        <v>0</v>
      </c>
      <c r="AP4073" s="4">
        <v>22</v>
      </c>
      <c r="AQ4073" s="4">
        <v>26</v>
      </c>
      <c r="AR4073" s="3" t="s">
        <v>62</v>
      </c>
      <c r="AS4073" s="3" t="s">
        <v>62</v>
      </c>
      <c r="AT4073" s="3" t="s">
        <v>62</v>
      </c>
      <c r="AV4073" s="6" t="str">
        <f>HYPERLINK("http://mcgill.on.worldcat.org/oclc/3750765","Catalog Record")</f>
        <v>Catalog Record</v>
      </c>
      <c r="AW4073" s="6" t="str">
        <f>HYPERLINK("http://www.worldcat.org/oclc/3750765","WorldCat Record")</f>
        <v>WorldCat Record</v>
      </c>
      <c r="AX4073" s="3" t="s">
        <v>39330</v>
      </c>
      <c r="AY4073" s="3" t="s">
        <v>39331</v>
      </c>
      <c r="AZ4073" s="3" t="s">
        <v>39332</v>
      </c>
      <c r="BA4073" s="3" t="s">
        <v>39332</v>
      </c>
      <c r="BB4073" s="3" t="s">
        <v>39333</v>
      </c>
      <c r="BC4073" s="3" t="s">
        <v>102</v>
      </c>
      <c r="BD4073" s="3" t="s">
        <v>68</v>
      </c>
      <c r="BE4073" s="3" t="s">
        <v>39334</v>
      </c>
      <c r="BF4073" s="3" t="s">
        <v>39333</v>
      </c>
      <c r="BG4073" s="3" t="s">
        <v>39335</v>
      </c>
    </row>
    <row r="4074" spans="1:59" ht="58" x14ac:dyDescent="0.35">
      <c r="A4074" s="2" t="s">
        <v>59</v>
      </c>
      <c r="B4074" s="2" t="s">
        <v>60</v>
      </c>
      <c r="C4074" s="2" t="s">
        <v>39336</v>
      </c>
      <c r="D4074" s="2" t="s">
        <v>39337</v>
      </c>
      <c r="E4074" s="2" t="s">
        <v>39338</v>
      </c>
      <c r="G4074" s="3" t="s">
        <v>62</v>
      </c>
      <c r="I4074" s="3" t="s">
        <v>61</v>
      </c>
      <c r="J4074" s="3" t="s">
        <v>62</v>
      </c>
      <c r="K4074" s="3" t="s">
        <v>63</v>
      </c>
      <c r="L4074" s="2" t="s">
        <v>39339</v>
      </c>
      <c r="M4074" s="2" t="s">
        <v>39340</v>
      </c>
      <c r="N4074" s="3" t="s">
        <v>2566</v>
      </c>
      <c r="P4074" s="3" t="s">
        <v>64</v>
      </c>
      <c r="R4074" s="3" t="s">
        <v>34126</v>
      </c>
      <c r="S4074" s="4">
        <v>6</v>
      </c>
      <c r="T4074" s="4">
        <v>6</v>
      </c>
      <c r="U4074" s="5" t="s">
        <v>16546</v>
      </c>
      <c r="V4074" s="5" t="s">
        <v>16546</v>
      </c>
      <c r="W4074" s="5" t="s">
        <v>67</v>
      </c>
      <c r="X4074" s="5" t="s">
        <v>67</v>
      </c>
      <c r="Y4074" s="4">
        <v>706</v>
      </c>
      <c r="Z4074" s="4">
        <v>39</v>
      </c>
      <c r="AA4074" s="4">
        <v>46</v>
      </c>
      <c r="AB4074" s="4">
        <v>3</v>
      </c>
      <c r="AC4074" s="4">
        <v>10</v>
      </c>
      <c r="AD4074" s="4">
        <v>102</v>
      </c>
      <c r="AE4074" s="4">
        <v>105</v>
      </c>
      <c r="AF4074" s="4">
        <v>1</v>
      </c>
      <c r="AG4074" s="4">
        <v>4</v>
      </c>
      <c r="AH4074" s="4">
        <v>86</v>
      </c>
      <c r="AI4074" s="4">
        <v>87</v>
      </c>
      <c r="AJ4074" s="4">
        <v>21</v>
      </c>
      <c r="AK4074" s="4">
        <v>24</v>
      </c>
      <c r="AL4074" s="4">
        <v>44</v>
      </c>
      <c r="AM4074" s="4">
        <v>44</v>
      </c>
      <c r="AN4074" s="4">
        <v>0</v>
      </c>
      <c r="AO4074" s="4">
        <v>0</v>
      </c>
      <c r="AP4074" s="4">
        <v>24</v>
      </c>
      <c r="AQ4074" s="4">
        <v>26</v>
      </c>
      <c r="AR4074" s="3" t="s">
        <v>62</v>
      </c>
      <c r="AS4074" s="3" t="s">
        <v>62</v>
      </c>
      <c r="AT4074" s="3" t="s">
        <v>61</v>
      </c>
      <c r="AU4074" s="6" t="str">
        <f>HYPERLINK("http://catalog.hathitrust.org/Record/001492689","HathiTrust Record")</f>
        <v>HathiTrust Record</v>
      </c>
      <c r="AV4074" s="6" t="str">
        <f>HYPERLINK("http://mcgill.on.worldcat.org/oclc/320037","Catalog Record")</f>
        <v>Catalog Record</v>
      </c>
      <c r="AW4074" s="6" t="str">
        <f>HYPERLINK("http://www.worldcat.org/oclc/320037","WorldCat Record")</f>
        <v>WorldCat Record</v>
      </c>
      <c r="AX4074" s="3" t="s">
        <v>39341</v>
      </c>
      <c r="AY4074" s="3" t="s">
        <v>39342</v>
      </c>
      <c r="AZ4074" s="3" t="s">
        <v>39343</v>
      </c>
      <c r="BA4074" s="3" t="s">
        <v>39343</v>
      </c>
      <c r="BB4074" s="3" t="s">
        <v>39344</v>
      </c>
      <c r="BC4074" s="3" t="s">
        <v>102</v>
      </c>
      <c r="BD4074" s="3" t="s">
        <v>6923</v>
      </c>
      <c r="BE4074" s="3" t="s">
        <v>39345</v>
      </c>
      <c r="BF4074" s="3" t="s">
        <v>39344</v>
      </c>
      <c r="BG4074" s="3" t="s">
        <v>39346</v>
      </c>
    </row>
    <row r="4075" spans="1:59" ht="72.5" x14ac:dyDescent="0.35">
      <c r="A4075" s="2" t="s">
        <v>89</v>
      </c>
      <c r="B4075" s="2" t="s">
        <v>1231</v>
      </c>
      <c r="C4075" s="2" t="s">
        <v>39347</v>
      </c>
      <c r="D4075" s="2" t="s">
        <v>39348</v>
      </c>
      <c r="E4075" s="2" t="s">
        <v>39349</v>
      </c>
      <c r="G4075" s="3" t="s">
        <v>62</v>
      </c>
      <c r="I4075" s="3" t="s">
        <v>61</v>
      </c>
      <c r="J4075" s="3" t="s">
        <v>62</v>
      </c>
      <c r="K4075" s="3" t="s">
        <v>63</v>
      </c>
      <c r="L4075" s="2" t="s">
        <v>39350</v>
      </c>
      <c r="M4075" s="2" t="s">
        <v>39351</v>
      </c>
      <c r="N4075" s="3" t="s">
        <v>2702</v>
      </c>
      <c r="P4075" s="3" t="s">
        <v>64</v>
      </c>
      <c r="R4075" s="3" t="s">
        <v>34126</v>
      </c>
      <c r="S4075" s="4">
        <v>5</v>
      </c>
      <c r="T4075" s="4">
        <v>5</v>
      </c>
      <c r="U4075" s="5" t="s">
        <v>39352</v>
      </c>
      <c r="V4075" s="5" t="s">
        <v>39352</v>
      </c>
      <c r="W4075" s="5" t="s">
        <v>67</v>
      </c>
      <c r="X4075" s="5" t="s">
        <v>67</v>
      </c>
      <c r="Y4075" s="4">
        <v>692</v>
      </c>
      <c r="Z4075" s="4">
        <v>27</v>
      </c>
      <c r="AA4075" s="4">
        <v>38</v>
      </c>
      <c r="AB4075" s="4">
        <v>3</v>
      </c>
      <c r="AC4075" s="4">
        <v>8</v>
      </c>
      <c r="AD4075" s="4">
        <v>105</v>
      </c>
      <c r="AE4075" s="4">
        <v>116</v>
      </c>
      <c r="AF4075" s="4">
        <v>1</v>
      </c>
      <c r="AG4075" s="4">
        <v>5</v>
      </c>
      <c r="AH4075" s="4">
        <v>92</v>
      </c>
      <c r="AI4075" s="4">
        <v>97</v>
      </c>
      <c r="AJ4075" s="4">
        <v>16</v>
      </c>
      <c r="AK4075" s="4">
        <v>23</v>
      </c>
      <c r="AL4075" s="4">
        <v>49</v>
      </c>
      <c r="AM4075" s="4">
        <v>50</v>
      </c>
      <c r="AN4075" s="4">
        <v>0</v>
      </c>
      <c r="AO4075" s="4">
        <v>0</v>
      </c>
      <c r="AP4075" s="4">
        <v>19</v>
      </c>
      <c r="AQ4075" s="4">
        <v>26</v>
      </c>
      <c r="AR4075" s="3" t="s">
        <v>62</v>
      </c>
      <c r="AS4075" s="3" t="s">
        <v>62</v>
      </c>
      <c r="AT4075" s="3" t="s">
        <v>61</v>
      </c>
      <c r="AU4075" s="6" t="str">
        <f>HYPERLINK("http://catalog.hathitrust.org/Record/001492694","HathiTrust Record")</f>
        <v>HathiTrust Record</v>
      </c>
      <c r="AV4075" s="6" t="str">
        <f>HYPERLINK("http://mcgill.on.worldcat.org/oclc/173702","Catalog Record")</f>
        <v>Catalog Record</v>
      </c>
      <c r="AW4075" s="6" t="str">
        <f>HYPERLINK("http://www.worldcat.org/oclc/173702","WorldCat Record")</f>
        <v>WorldCat Record</v>
      </c>
      <c r="AX4075" s="3" t="s">
        <v>39353</v>
      </c>
      <c r="AY4075" s="3" t="s">
        <v>39354</v>
      </c>
      <c r="AZ4075" s="3" t="s">
        <v>39355</v>
      </c>
      <c r="BA4075" s="3" t="s">
        <v>39355</v>
      </c>
      <c r="BB4075" s="3" t="s">
        <v>39356</v>
      </c>
      <c r="BC4075" s="3" t="s">
        <v>102</v>
      </c>
      <c r="BD4075" s="3" t="s">
        <v>68</v>
      </c>
      <c r="BF4075" s="3" t="s">
        <v>39356</v>
      </c>
      <c r="BG4075" s="3" t="s">
        <v>39357</v>
      </c>
    </row>
    <row r="4076" spans="1:59" ht="58" x14ac:dyDescent="0.35">
      <c r="A4076" s="2" t="s">
        <v>59</v>
      </c>
      <c r="B4076" s="2" t="s">
        <v>60</v>
      </c>
      <c r="C4076" s="2" t="s">
        <v>39347</v>
      </c>
      <c r="D4076" s="2" t="s">
        <v>39348</v>
      </c>
      <c r="E4076" s="2" t="s">
        <v>39349</v>
      </c>
      <c r="G4076" s="3" t="s">
        <v>62</v>
      </c>
      <c r="I4076" s="3" t="s">
        <v>61</v>
      </c>
      <c r="J4076" s="3" t="s">
        <v>62</v>
      </c>
      <c r="K4076" s="3" t="s">
        <v>63</v>
      </c>
      <c r="L4076" s="2" t="s">
        <v>39350</v>
      </c>
      <c r="M4076" s="2" t="s">
        <v>39351</v>
      </c>
      <c r="N4076" s="3" t="s">
        <v>2702</v>
      </c>
      <c r="P4076" s="3" t="s">
        <v>64</v>
      </c>
      <c r="R4076" s="3" t="s">
        <v>34126</v>
      </c>
      <c r="S4076" s="4">
        <v>0</v>
      </c>
      <c r="T4076" s="4">
        <v>5</v>
      </c>
      <c r="V4076" s="5" t="s">
        <v>39352</v>
      </c>
      <c r="W4076" s="5" t="s">
        <v>67</v>
      </c>
      <c r="X4076" s="5" t="s">
        <v>67</v>
      </c>
      <c r="Y4076" s="4">
        <v>692</v>
      </c>
      <c r="Z4076" s="4">
        <v>27</v>
      </c>
      <c r="AA4076" s="4">
        <v>38</v>
      </c>
      <c r="AB4076" s="4">
        <v>3</v>
      </c>
      <c r="AC4076" s="4">
        <v>8</v>
      </c>
      <c r="AD4076" s="4">
        <v>105</v>
      </c>
      <c r="AE4076" s="4">
        <v>116</v>
      </c>
      <c r="AF4076" s="4">
        <v>1</v>
      </c>
      <c r="AG4076" s="4">
        <v>5</v>
      </c>
      <c r="AH4076" s="4">
        <v>92</v>
      </c>
      <c r="AI4076" s="4">
        <v>97</v>
      </c>
      <c r="AJ4076" s="4">
        <v>16</v>
      </c>
      <c r="AK4076" s="4">
        <v>23</v>
      </c>
      <c r="AL4076" s="4">
        <v>49</v>
      </c>
      <c r="AM4076" s="4">
        <v>50</v>
      </c>
      <c r="AN4076" s="4">
        <v>0</v>
      </c>
      <c r="AO4076" s="4">
        <v>0</v>
      </c>
      <c r="AP4076" s="4">
        <v>19</v>
      </c>
      <c r="AQ4076" s="4">
        <v>26</v>
      </c>
      <c r="AR4076" s="3" t="s">
        <v>62</v>
      </c>
      <c r="AS4076" s="3" t="s">
        <v>62</v>
      </c>
      <c r="AT4076" s="3" t="s">
        <v>61</v>
      </c>
      <c r="AU4076" s="6" t="str">
        <f>HYPERLINK("http://catalog.hathitrust.org/Record/001492694","HathiTrust Record")</f>
        <v>HathiTrust Record</v>
      </c>
      <c r="AV4076" s="6" t="str">
        <f>HYPERLINK("http://mcgill.on.worldcat.org/oclc/173702","Catalog Record")</f>
        <v>Catalog Record</v>
      </c>
      <c r="AW4076" s="6" t="str">
        <f>HYPERLINK("http://www.worldcat.org/oclc/173702","WorldCat Record")</f>
        <v>WorldCat Record</v>
      </c>
      <c r="AX4076" s="3" t="s">
        <v>39353</v>
      </c>
      <c r="AY4076" s="3" t="s">
        <v>39354</v>
      </c>
      <c r="AZ4076" s="3" t="s">
        <v>39355</v>
      </c>
      <c r="BA4076" s="3" t="s">
        <v>39355</v>
      </c>
      <c r="BB4076" s="3" t="s">
        <v>39358</v>
      </c>
      <c r="BC4076" s="3" t="s">
        <v>102</v>
      </c>
      <c r="BD4076" s="3" t="s">
        <v>68</v>
      </c>
      <c r="BF4076" s="3" t="s">
        <v>39358</v>
      </c>
      <c r="BG4076" s="3" t="s">
        <v>39359</v>
      </c>
    </row>
    <row r="4077" spans="1:59" ht="58" x14ac:dyDescent="0.35">
      <c r="A4077" s="2" t="s">
        <v>59</v>
      </c>
      <c r="B4077" s="2" t="s">
        <v>60</v>
      </c>
      <c r="C4077" s="2" t="s">
        <v>39360</v>
      </c>
      <c r="D4077" s="2" t="s">
        <v>39361</v>
      </c>
      <c r="E4077" s="2" t="s">
        <v>39362</v>
      </c>
      <c r="G4077" s="3" t="s">
        <v>62</v>
      </c>
      <c r="I4077" s="3" t="s">
        <v>61</v>
      </c>
      <c r="J4077" s="3" t="s">
        <v>62</v>
      </c>
      <c r="K4077" s="3" t="s">
        <v>63</v>
      </c>
      <c r="M4077" s="2" t="s">
        <v>37536</v>
      </c>
      <c r="N4077" s="3" t="s">
        <v>87</v>
      </c>
      <c r="P4077" s="3" t="s">
        <v>64</v>
      </c>
      <c r="R4077" s="3" t="s">
        <v>34126</v>
      </c>
      <c r="S4077" s="4">
        <v>14</v>
      </c>
      <c r="T4077" s="4">
        <v>56</v>
      </c>
      <c r="U4077" s="5" t="s">
        <v>2885</v>
      </c>
      <c r="V4077" s="5" t="s">
        <v>39352</v>
      </c>
      <c r="W4077" s="5" t="s">
        <v>67</v>
      </c>
      <c r="X4077" s="5" t="s">
        <v>67</v>
      </c>
      <c r="Y4077" s="4">
        <v>531</v>
      </c>
      <c r="Z4077" s="4">
        <v>30</v>
      </c>
      <c r="AA4077" s="4">
        <v>32</v>
      </c>
      <c r="AB4077" s="4">
        <v>3</v>
      </c>
      <c r="AC4077" s="4">
        <v>4</v>
      </c>
      <c r="AD4077" s="4">
        <v>119</v>
      </c>
      <c r="AE4077" s="4">
        <v>121</v>
      </c>
      <c r="AF4077" s="4">
        <v>1</v>
      </c>
      <c r="AG4077" s="4">
        <v>2</v>
      </c>
      <c r="AH4077" s="4">
        <v>104</v>
      </c>
      <c r="AI4077" s="4">
        <v>104</v>
      </c>
      <c r="AJ4077" s="4">
        <v>20</v>
      </c>
      <c r="AK4077" s="4">
        <v>21</v>
      </c>
      <c r="AL4077" s="4">
        <v>53</v>
      </c>
      <c r="AM4077" s="4">
        <v>53</v>
      </c>
      <c r="AN4077" s="4">
        <v>0</v>
      </c>
      <c r="AO4077" s="4">
        <v>0</v>
      </c>
      <c r="AP4077" s="4">
        <v>24</v>
      </c>
      <c r="AQ4077" s="4">
        <v>26</v>
      </c>
      <c r="AR4077" s="3" t="s">
        <v>62</v>
      </c>
      <c r="AS4077" s="3" t="s">
        <v>62</v>
      </c>
      <c r="AT4077" s="3" t="s">
        <v>61</v>
      </c>
      <c r="AU4077" s="6" t="str">
        <f>HYPERLINK("http://catalog.hathitrust.org/Record/000044618","HathiTrust Record")</f>
        <v>HathiTrust Record</v>
      </c>
      <c r="AV4077" s="6" t="str">
        <f>HYPERLINK("http://mcgill.on.worldcat.org/oclc/5196996","Catalog Record")</f>
        <v>Catalog Record</v>
      </c>
      <c r="AW4077" s="6" t="str">
        <f>HYPERLINK("http://www.worldcat.org/oclc/5196996","WorldCat Record")</f>
        <v>WorldCat Record</v>
      </c>
      <c r="AX4077" s="3" t="s">
        <v>39363</v>
      </c>
      <c r="AY4077" s="3" t="s">
        <v>39364</v>
      </c>
      <c r="AZ4077" s="3" t="s">
        <v>39365</v>
      </c>
      <c r="BA4077" s="3" t="s">
        <v>39365</v>
      </c>
      <c r="BB4077" s="3" t="s">
        <v>39366</v>
      </c>
      <c r="BC4077" s="3" t="s">
        <v>102</v>
      </c>
      <c r="BD4077" s="3" t="s">
        <v>68</v>
      </c>
      <c r="BE4077" s="3" t="s">
        <v>39367</v>
      </c>
      <c r="BF4077" s="3" t="s">
        <v>39366</v>
      </c>
      <c r="BG4077" s="3" t="s">
        <v>39368</v>
      </c>
    </row>
    <row r="4078" spans="1:59" ht="58" x14ac:dyDescent="0.35">
      <c r="A4078" s="2" t="s">
        <v>59</v>
      </c>
      <c r="B4078" s="2" t="s">
        <v>60</v>
      </c>
      <c r="C4078" s="2" t="s">
        <v>39369</v>
      </c>
      <c r="D4078" s="2" t="s">
        <v>39370</v>
      </c>
      <c r="E4078" s="2" t="s">
        <v>39371</v>
      </c>
      <c r="G4078" s="3" t="s">
        <v>62</v>
      </c>
      <c r="I4078" s="3" t="s">
        <v>61</v>
      </c>
      <c r="J4078" s="3" t="s">
        <v>61</v>
      </c>
      <c r="K4078" s="3" t="s">
        <v>63</v>
      </c>
      <c r="L4078" s="2" t="s">
        <v>39372</v>
      </c>
      <c r="M4078" s="2" t="s">
        <v>39373</v>
      </c>
      <c r="N4078" s="3" t="s">
        <v>2110</v>
      </c>
      <c r="O4078" s="2" t="s">
        <v>8443</v>
      </c>
      <c r="P4078" s="3" t="s">
        <v>64</v>
      </c>
      <c r="R4078" s="3" t="s">
        <v>34126</v>
      </c>
      <c r="S4078" s="4">
        <v>11</v>
      </c>
      <c r="T4078" s="4">
        <v>19</v>
      </c>
      <c r="U4078" s="5" t="s">
        <v>39374</v>
      </c>
      <c r="V4078" s="5" t="s">
        <v>29434</v>
      </c>
      <c r="W4078" s="5" t="s">
        <v>67</v>
      </c>
      <c r="X4078" s="5" t="s">
        <v>67</v>
      </c>
      <c r="Y4078" s="4">
        <v>388</v>
      </c>
      <c r="Z4078" s="4">
        <v>25</v>
      </c>
      <c r="AA4078" s="4">
        <v>92</v>
      </c>
      <c r="AB4078" s="4">
        <v>2</v>
      </c>
      <c r="AC4078" s="4">
        <v>15</v>
      </c>
      <c r="AD4078" s="4">
        <v>87</v>
      </c>
      <c r="AE4078" s="4">
        <v>158</v>
      </c>
      <c r="AF4078" s="4">
        <v>1</v>
      </c>
      <c r="AG4078" s="4">
        <v>6</v>
      </c>
      <c r="AH4078" s="4">
        <v>76</v>
      </c>
      <c r="AI4078" s="4">
        <v>115</v>
      </c>
      <c r="AJ4078" s="4">
        <v>14</v>
      </c>
      <c r="AK4078" s="4">
        <v>29</v>
      </c>
      <c r="AL4078" s="4">
        <v>39</v>
      </c>
      <c r="AM4078" s="4">
        <v>61</v>
      </c>
      <c r="AN4078" s="4">
        <v>0</v>
      </c>
      <c r="AO4078" s="4">
        <v>0</v>
      </c>
      <c r="AP4078" s="4">
        <v>19</v>
      </c>
      <c r="AQ4078" s="4">
        <v>49</v>
      </c>
      <c r="AR4078" s="3" t="s">
        <v>62</v>
      </c>
      <c r="AS4078" s="3" t="s">
        <v>62</v>
      </c>
      <c r="AT4078" s="3" t="s">
        <v>61</v>
      </c>
      <c r="AU4078" s="6" t="str">
        <f>HYPERLINK("http://catalog.hathitrust.org/Record/000749111","HathiTrust Record")</f>
        <v>HathiTrust Record</v>
      </c>
      <c r="AV4078" s="6" t="str">
        <f>HYPERLINK("http://mcgill.on.worldcat.org/oclc/3327901","Catalog Record")</f>
        <v>Catalog Record</v>
      </c>
      <c r="AW4078" s="6" t="str">
        <f>HYPERLINK("http://www.worldcat.org/oclc/3327901","WorldCat Record")</f>
        <v>WorldCat Record</v>
      </c>
      <c r="AX4078" s="3" t="s">
        <v>39375</v>
      </c>
      <c r="AY4078" s="3" t="s">
        <v>39376</v>
      </c>
      <c r="AZ4078" s="3" t="s">
        <v>39377</v>
      </c>
      <c r="BA4078" s="3" t="s">
        <v>39377</v>
      </c>
      <c r="BB4078" s="3" t="s">
        <v>39378</v>
      </c>
      <c r="BC4078" s="3" t="s">
        <v>102</v>
      </c>
      <c r="BD4078" s="3" t="s">
        <v>68</v>
      </c>
      <c r="BE4078" s="3" t="s">
        <v>39379</v>
      </c>
      <c r="BF4078" s="3" t="s">
        <v>39378</v>
      </c>
      <c r="BG4078" s="3" t="s">
        <v>39380</v>
      </c>
    </row>
    <row r="4079" spans="1:59" ht="58" x14ac:dyDescent="0.35">
      <c r="A4079" s="2" t="s">
        <v>89</v>
      </c>
      <c r="B4079" s="2" t="s">
        <v>90</v>
      </c>
      <c r="C4079" s="2" t="s">
        <v>39381</v>
      </c>
      <c r="D4079" s="2" t="s">
        <v>39382</v>
      </c>
      <c r="E4079" s="2" t="s">
        <v>39371</v>
      </c>
      <c r="G4079" s="3" t="s">
        <v>62</v>
      </c>
      <c r="I4079" s="3" t="s">
        <v>62</v>
      </c>
      <c r="J4079" s="3" t="s">
        <v>61</v>
      </c>
      <c r="K4079" s="3" t="s">
        <v>63</v>
      </c>
      <c r="L4079" s="2" t="s">
        <v>39372</v>
      </c>
      <c r="M4079" s="2" t="s">
        <v>39383</v>
      </c>
      <c r="N4079" s="3" t="s">
        <v>2975</v>
      </c>
      <c r="O4079" s="2" t="s">
        <v>17648</v>
      </c>
      <c r="P4079" s="3" t="s">
        <v>64</v>
      </c>
      <c r="R4079" s="3" t="s">
        <v>34126</v>
      </c>
      <c r="S4079" s="4">
        <v>81</v>
      </c>
      <c r="T4079" s="4">
        <v>81</v>
      </c>
      <c r="U4079" s="5" t="s">
        <v>13768</v>
      </c>
      <c r="V4079" s="5" t="s">
        <v>13768</v>
      </c>
      <c r="W4079" s="5" t="s">
        <v>67</v>
      </c>
      <c r="X4079" s="5" t="s">
        <v>67</v>
      </c>
      <c r="Y4079" s="4">
        <v>308</v>
      </c>
      <c r="Z4079" s="4">
        <v>32</v>
      </c>
      <c r="AA4079" s="4">
        <v>92</v>
      </c>
      <c r="AB4079" s="4">
        <v>2</v>
      </c>
      <c r="AC4079" s="4">
        <v>15</v>
      </c>
      <c r="AD4079" s="4">
        <v>66</v>
      </c>
      <c r="AE4079" s="4">
        <v>158</v>
      </c>
      <c r="AF4079" s="4">
        <v>0</v>
      </c>
      <c r="AG4079" s="4">
        <v>6</v>
      </c>
      <c r="AH4079" s="4">
        <v>54</v>
      </c>
      <c r="AI4079" s="4">
        <v>115</v>
      </c>
      <c r="AJ4079" s="4">
        <v>16</v>
      </c>
      <c r="AK4079" s="4">
        <v>29</v>
      </c>
      <c r="AL4079" s="4">
        <v>31</v>
      </c>
      <c r="AM4079" s="4">
        <v>61</v>
      </c>
      <c r="AN4079" s="4">
        <v>0</v>
      </c>
      <c r="AO4079" s="4">
        <v>0</v>
      </c>
      <c r="AP4079" s="4">
        <v>19</v>
      </c>
      <c r="AQ4079" s="4">
        <v>49</v>
      </c>
      <c r="AR4079" s="3" t="s">
        <v>62</v>
      </c>
      <c r="AS4079" s="3" t="s">
        <v>62</v>
      </c>
      <c r="AT4079" s="3" t="s">
        <v>62</v>
      </c>
      <c r="AV4079" s="6" t="str">
        <f>HYPERLINK("http://mcgill.on.worldcat.org/oclc/44914351","Catalog Record")</f>
        <v>Catalog Record</v>
      </c>
      <c r="AW4079" s="6" t="str">
        <f>HYPERLINK("http://www.worldcat.org/oclc/44914351","WorldCat Record")</f>
        <v>WorldCat Record</v>
      </c>
      <c r="AX4079" s="3" t="s">
        <v>39375</v>
      </c>
      <c r="AY4079" s="3" t="s">
        <v>39384</v>
      </c>
      <c r="AZ4079" s="3" t="s">
        <v>39385</v>
      </c>
      <c r="BA4079" s="3" t="s">
        <v>39385</v>
      </c>
      <c r="BB4079" s="3" t="s">
        <v>39386</v>
      </c>
      <c r="BC4079" s="3" t="s">
        <v>102</v>
      </c>
      <c r="BD4079" s="3" t="s">
        <v>68</v>
      </c>
      <c r="BE4079" s="3" t="s">
        <v>39387</v>
      </c>
      <c r="BF4079" s="3" t="s">
        <v>39386</v>
      </c>
      <c r="BG4079" s="3" t="s">
        <v>39388</v>
      </c>
    </row>
    <row r="4080" spans="1:59" ht="101.5" x14ac:dyDescent="0.35">
      <c r="A4080" s="2" t="s">
        <v>89</v>
      </c>
      <c r="B4080" s="2" t="s">
        <v>12301</v>
      </c>
      <c r="C4080" s="2" t="s">
        <v>39389</v>
      </c>
      <c r="D4080" s="2" t="s">
        <v>39390</v>
      </c>
      <c r="E4080" s="2" t="s">
        <v>39371</v>
      </c>
      <c r="G4080" s="3" t="s">
        <v>62</v>
      </c>
      <c r="I4080" s="3" t="s">
        <v>61</v>
      </c>
      <c r="J4080" s="3" t="s">
        <v>61</v>
      </c>
      <c r="K4080" s="3" t="s">
        <v>63</v>
      </c>
      <c r="L4080" s="2" t="s">
        <v>39372</v>
      </c>
      <c r="M4080" s="2" t="s">
        <v>39391</v>
      </c>
      <c r="N4080" s="3" t="s">
        <v>2985</v>
      </c>
      <c r="O4080" s="2" t="s">
        <v>17427</v>
      </c>
      <c r="P4080" s="3" t="s">
        <v>64</v>
      </c>
      <c r="R4080" s="3" t="s">
        <v>34126</v>
      </c>
      <c r="S4080" s="4">
        <v>142</v>
      </c>
      <c r="T4080" s="4">
        <v>354</v>
      </c>
      <c r="U4080" s="5" t="s">
        <v>16936</v>
      </c>
      <c r="V4080" s="5" t="s">
        <v>15917</v>
      </c>
      <c r="W4080" s="5" t="s">
        <v>67</v>
      </c>
      <c r="X4080" s="5" t="s">
        <v>67</v>
      </c>
      <c r="Y4080" s="4">
        <v>201</v>
      </c>
      <c r="Z4080" s="4">
        <v>24</v>
      </c>
      <c r="AA4080" s="4">
        <v>92</v>
      </c>
      <c r="AB4080" s="4">
        <v>1</v>
      </c>
      <c r="AC4080" s="4">
        <v>15</v>
      </c>
      <c r="AD4080" s="4">
        <v>49</v>
      </c>
      <c r="AE4080" s="4">
        <v>158</v>
      </c>
      <c r="AF4080" s="4">
        <v>0</v>
      </c>
      <c r="AG4080" s="4">
        <v>6</v>
      </c>
      <c r="AH4080" s="4">
        <v>42</v>
      </c>
      <c r="AI4080" s="4">
        <v>115</v>
      </c>
      <c r="AJ4080" s="4">
        <v>9</v>
      </c>
      <c r="AK4080" s="4">
        <v>29</v>
      </c>
      <c r="AL4080" s="4">
        <v>28</v>
      </c>
      <c r="AM4080" s="4">
        <v>61</v>
      </c>
      <c r="AN4080" s="4">
        <v>0</v>
      </c>
      <c r="AO4080" s="4">
        <v>0</v>
      </c>
      <c r="AP4080" s="4">
        <v>13</v>
      </c>
      <c r="AQ4080" s="4">
        <v>49</v>
      </c>
      <c r="AR4080" s="3" t="s">
        <v>62</v>
      </c>
      <c r="AS4080" s="3" t="s">
        <v>62</v>
      </c>
      <c r="AT4080" s="3" t="s">
        <v>62</v>
      </c>
      <c r="AV4080" s="6" t="str">
        <f t="shared" ref="AV4080:AV4085" si="64">HYPERLINK("http://mcgill.on.worldcat.org/oclc/213835469","Catalog Record")</f>
        <v>Catalog Record</v>
      </c>
      <c r="AW4080" s="6" t="str">
        <f t="shared" ref="AW4080:AW4085" si="65">HYPERLINK("http://www.worldcat.org/oclc/213835469","WorldCat Record")</f>
        <v>WorldCat Record</v>
      </c>
      <c r="AX4080" s="3" t="s">
        <v>39375</v>
      </c>
      <c r="AY4080" s="3" t="s">
        <v>39392</v>
      </c>
      <c r="AZ4080" s="3" t="s">
        <v>39393</v>
      </c>
      <c r="BA4080" s="3" t="s">
        <v>39393</v>
      </c>
      <c r="BB4080" s="3" t="s">
        <v>39394</v>
      </c>
      <c r="BC4080" s="3" t="s">
        <v>102</v>
      </c>
      <c r="BD4080" s="3" t="s">
        <v>68</v>
      </c>
      <c r="BE4080" s="3" t="s">
        <v>39395</v>
      </c>
      <c r="BF4080" s="3" t="s">
        <v>39394</v>
      </c>
      <c r="BG4080" s="3" t="s">
        <v>39396</v>
      </c>
    </row>
    <row r="4081" spans="1:59" ht="101.5" x14ac:dyDescent="0.35">
      <c r="A4081" s="2" t="s">
        <v>89</v>
      </c>
      <c r="B4081" s="2" t="s">
        <v>12301</v>
      </c>
      <c r="C4081" s="2" t="s">
        <v>39389</v>
      </c>
      <c r="D4081" s="2" t="s">
        <v>39390</v>
      </c>
      <c r="E4081" s="2" t="s">
        <v>39371</v>
      </c>
      <c r="G4081" s="3" t="s">
        <v>62</v>
      </c>
      <c r="I4081" s="3" t="s">
        <v>61</v>
      </c>
      <c r="J4081" s="3" t="s">
        <v>61</v>
      </c>
      <c r="K4081" s="3" t="s">
        <v>63</v>
      </c>
      <c r="L4081" s="2" t="s">
        <v>39372</v>
      </c>
      <c r="M4081" s="2" t="s">
        <v>39391</v>
      </c>
      <c r="N4081" s="3" t="s">
        <v>2985</v>
      </c>
      <c r="O4081" s="2" t="s">
        <v>17427</v>
      </c>
      <c r="P4081" s="3" t="s">
        <v>64</v>
      </c>
      <c r="R4081" s="3" t="s">
        <v>34126</v>
      </c>
      <c r="S4081" s="4">
        <v>11</v>
      </c>
      <c r="T4081" s="4">
        <v>354</v>
      </c>
      <c r="U4081" s="5" t="s">
        <v>3291</v>
      </c>
      <c r="V4081" s="5" t="s">
        <v>15917</v>
      </c>
      <c r="W4081" s="5" t="s">
        <v>67</v>
      </c>
      <c r="X4081" s="5" t="s">
        <v>67</v>
      </c>
      <c r="Y4081" s="4">
        <v>201</v>
      </c>
      <c r="Z4081" s="4">
        <v>24</v>
      </c>
      <c r="AA4081" s="4">
        <v>92</v>
      </c>
      <c r="AB4081" s="4">
        <v>1</v>
      </c>
      <c r="AC4081" s="4">
        <v>15</v>
      </c>
      <c r="AD4081" s="4">
        <v>49</v>
      </c>
      <c r="AE4081" s="4">
        <v>158</v>
      </c>
      <c r="AF4081" s="4">
        <v>0</v>
      </c>
      <c r="AG4081" s="4">
        <v>6</v>
      </c>
      <c r="AH4081" s="4">
        <v>42</v>
      </c>
      <c r="AI4081" s="4">
        <v>115</v>
      </c>
      <c r="AJ4081" s="4">
        <v>9</v>
      </c>
      <c r="AK4081" s="4">
        <v>29</v>
      </c>
      <c r="AL4081" s="4">
        <v>28</v>
      </c>
      <c r="AM4081" s="4">
        <v>61</v>
      </c>
      <c r="AN4081" s="4">
        <v>0</v>
      </c>
      <c r="AO4081" s="4">
        <v>0</v>
      </c>
      <c r="AP4081" s="4">
        <v>13</v>
      </c>
      <c r="AQ4081" s="4">
        <v>49</v>
      </c>
      <c r="AR4081" s="3" t="s">
        <v>62</v>
      </c>
      <c r="AS4081" s="3" t="s">
        <v>62</v>
      </c>
      <c r="AT4081" s="3" t="s">
        <v>62</v>
      </c>
      <c r="AV4081" s="6" t="str">
        <f t="shared" si="64"/>
        <v>Catalog Record</v>
      </c>
      <c r="AW4081" s="6" t="str">
        <f t="shared" si="65"/>
        <v>WorldCat Record</v>
      </c>
      <c r="AX4081" s="3" t="s">
        <v>39375</v>
      </c>
      <c r="AY4081" s="3" t="s">
        <v>39392</v>
      </c>
      <c r="AZ4081" s="3" t="s">
        <v>39393</v>
      </c>
      <c r="BA4081" s="3" t="s">
        <v>39393</v>
      </c>
      <c r="BB4081" s="3" t="s">
        <v>39397</v>
      </c>
      <c r="BC4081" s="3" t="s">
        <v>102</v>
      </c>
      <c r="BD4081" s="3" t="s">
        <v>68</v>
      </c>
      <c r="BE4081" s="3" t="s">
        <v>39395</v>
      </c>
      <c r="BF4081" s="3" t="s">
        <v>39397</v>
      </c>
      <c r="BG4081" s="3" t="s">
        <v>39398</v>
      </c>
    </row>
    <row r="4082" spans="1:59" ht="101.5" x14ac:dyDescent="0.35">
      <c r="A4082" s="2" t="s">
        <v>89</v>
      </c>
      <c r="B4082" s="2" t="s">
        <v>12301</v>
      </c>
      <c r="C4082" s="2" t="s">
        <v>39389</v>
      </c>
      <c r="D4082" s="2" t="s">
        <v>39390</v>
      </c>
      <c r="E4082" s="2" t="s">
        <v>39371</v>
      </c>
      <c r="G4082" s="3" t="s">
        <v>62</v>
      </c>
      <c r="I4082" s="3" t="s">
        <v>61</v>
      </c>
      <c r="J4082" s="3" t="s">
        <v>61</v>
      </c>
      <c r="K4082" s="3" t="s">
        <v>63</v>
      </c>
      <c r="L4082" s="2" t="s">
        <v>39372</v>
      </c>
      <c r="M4082" s="2" t="s">
        <v>39391</v>
      </c>
      <c r="N4082" s="3" t="s">
        <v>2985</v>
      </c>
      <c r="O4082" s="2" t="s">
        <v>17427</v>
      </c>
      <c r="P4082" s="3" t="s">
        <v>64</v>
      </c>
      <c r="R4082" s="3" t="s">
        <v>34126</v>
      </c>
      <c r="S4082" s="4">
        <v>2</v>
      </c>
      <c r="T4082" s="4">
        <v>354</v>
      </c>
      <c r="U4082" s="5" t="s">
        <v>22226</v>
      </c>
      <c r="V4082" s="5" t="s">
        <v>15917</v>
      </c>
      <c r="W4082" s="5" t="s">
        <v>67</v>
      </c>
      <c r="X4082" s="5" t="s">
        <v>67</v>
      </c>
      <c r="Y4082" s="4">
        <v>201</v>
      </c>
      <c r="Z4082" s="4">
        <v>24</v>
      </c>
      <c r="AA4082" s="4">
        <v>92</v>
      </c>
      <c r="AB4082" s="4">
        <v>1</v>
      </c>
      <c r="AC4082" s="4">
        <v>15</v>
      </c>
      <c r="AD4082" s="4">
        <v>49</v>
      </c>
      <c r="AE4082" s="4">
        <v>158</v>
      </c>
      <c r="AF4082" s="4">
        <v>0</v>
      </c>
      <c r="AG4082" s="4">
        <v>6</v>
      </c>
      <c r="AH4082" s="4">
        <v>42</v>
      </c>
      <c r="AI4082" s="4">
        <v>115</v>
      </c>
      <c r="AJ4082" s="4">
        <v>9</v>
      </c>
      <c r="AK4082" s="4">
        <v>29</v>
      </c>
      <c r="AL4082" s="4">
        <v>28</v>
      </c>
      <c r="AM4082" s="4">
        <v>61</v>
      </c>
      <c r="AN4082" s="4">
        <v>0</v>
      </c>
      <c r="AO4082" s="4">
        <v>0</v>
      </c>
      <c r="AP4082" s="4">
        <v>13</v>
      </c>
      <c r="AQ4082" s="4">
        <v>49</v>
      </c>
      <c r="AR4082" s="3" t="s">
        <v>62</v>
      </c>
      <c r="AS4082" s="3" t="s">
        <v>62</v>
      </c>
      <c r="AT4082" s="3" t="s">
        <v>62</v>
      </c>
      <c r="AV4082" s="6" t="str">
        <f t="shared" si="64"/>
        <v>Catalog Record</v>
      </c>
      <c r="AW4082" s="6" t="str">
        <f t="shared" si="65"/>
        <v>WorldCat Record</v>
      </c>
      <c r="AX4082" s="3" t="s">
        <v>39375</v>
      </c>
      <c r="AY4082" s="3" t="s">
        <v>39392</v>
      </c>
      <c r="AZ4082" s="3" t="s">
        <v>39393</v>
      </c>
      <c r="BA4082" s="3" t="s">
        <v>39393</v>
      </c>
      <c r="BB4082" s="3" t="s">
        <v>39399</v>
      </c>
      <c r="BC4082" s="3" t="s">
        <v>102</v>
      </c>
      <c r="BD4082" s="3" t="s">
        <v>68</v>
      </c>
      <c r="BE4082" s="3" t="s">
        <v>39395</v>
      </c>
      <c r="BF4082" s="3" t="s">
        <v>39399</v>
      </c>
      <c r="BG4082" s="3" t="s">
        <v>39400</v>
      </c>
    </row>
    <row r="4083" spans="1:59" ht="101.5" x14ac:dyDescent="0.35">
      <c r="A4083" s="2" t="s">
        <v>89</v>
      </c>
      <c r="B4083" s="2" t="s">
        <v>12301</v>
      </c>
      <c r="C4083" s="2" t="s">
        <v>39389</v>
      </c>
      <c r="D4083" s="2" t="s">
        <v>39390</v>
      </c>
      <c r="E4083" s="2" t="s">
        <v>39371</v>
      </c>
      <c r="G4083" s="3" t="s">
        <v>62</v>
      </c>
      <c r="I4083" s="3" t="s">
        <v>61</v>
      </c>
      <c r="J4083" s="3" t="s">
        <v>61</v>
      </c>
      <c r="K4083" s="3" t="s">
        <v>63</v>
      </c>
      <c r="L4083" s="2" t="s">
        <v>39372</v>
      </c>
      <c r="M4083" s="2" t="s">
        <v>39391</v>
      </c>
      <c r="N4083" s="3" t="s">
        <v>2985</v>
      </c>
      <c r="O4083" s="2" t="s">
        <v>17427</v>
      </c>
      <c r="P4083" s="3" t="s">
        <v>64</v>
      </c>
      <c r="R4083" s="3" t="s">
        <v>34126</v>
      </c>
      <c r="S4083" s="4">
        <v>53</v>
      </c>
      <c r="T4083" s="4">
        <v>354</v>
      </c>
      <c r="U4083" s="5" t="s">
        <v>16936</v>
      </c>
      <c r="V4083" s="5" t="s">
        <v>15917</v>
      </c>
      <c r="W4083" s="5" t="s">
        <v>67</v>
      </c>
      <c r="X4083" s="5" t="s">
        <v>67</v>
      </c>
      <c r="Y4083" s="4">
        <v>201</v>
      </c>
      <c r="Z4083" s="4">
        <v>24</v>
      </c>
      <c r="AA4083" s="4">
        <v>92</v>
      </c>
      <c r="AB4083" s="4">
        <v>1</v>
      </c>
      <c r="AC4083" s="4">
        <v>15</v>
      </c>
      <c r="AD4083" s="4">
        <v>49</v>
      </c>
      <c r="AE4083" s="4">
        <v>158</v>
      </c>
      <c r="AF4083" s="4">
        <v>0</v>
      </c>
      <c r="AG4083" s="4">
        <v>6</v>
      </c>
      <c r="AH4083" s="4">
        <v>42</v>
      </c>
      <c r="AI4083" s="4">
        <v>115</v>
      </c>
      <c r="AJ4083" s="4">
        <v>9</v>
      </c>
      <c r="AK4083" s="4">
        <v>29</v>
      </c>
      <c r="AL4083" s="4">
        <v>28</v>
      </c>
      <c r="AM4083" s="4">
        <v>61</v>
      </c>
      <c r="AN4083" s="4">
        <v>0</v>
      </c>
      <c r="AO4083" s="4">
        <v>0</v>
      </c>
      <c r="AP4083" s="4">
        <v>13</v>
      </c>
      <c r="AQ4083" s="4">
        <v>49</v>
      </c>
      <c r="AR4083" s="3" t="s">
        <v>62</v>
      </c>
      <c r="AS4083" s="3" t="s">
        <v>62</v>
      </c>
      <c r="AT4083" s="3" t="s">
        <v>62</v>
      </c>
      <c r="AV4083" s="6" t="str">
        <f t="shared" si="64"/>
        <v>Catalog Record</v>
      </c>
      <c r="AW4083" s="6" t="str">
        <f t="shared" si="65"/>
        <v>WorldCat Record</v>
      </c>
      <c r="AX4083" s="3" t="s">
        <v>39375</v>
      </c>
      <c r="AY4083" s="3" t="s">
        <v>39392</v>
      </c>
      <c r="AZ4083" s="3" t="s">
        <v>39393</v>
      </c>
      <c r="BA4083" s="3" t="s">
        <v>39393</v>
      </c>
      <c r="BB4083" s="3" t="s">
        <v>39401</v>
      </c>
      <c r="BC4083" s="3" t="s">
        <v>102</v>
      </c>
      <c r="BD4083" s="3" t="s">
        <v>68</v>
      </c>
      <c r="BE4083" s="3" t="s">
        <v>39395</v>
      </c>
      <c r="BF4083" s="3" t="s">
        <v>39401</v>
      </c>
      <c r="BG4083" s="3" t="s">
        <v>39402</v>
      </c>
    </row>
    <row r="4084" spans="1:59" ht="101.5" x14ac:dyDescent="0.35">
      <c r="A4084" s="2" t="s">
        <v>89</v>
      </c>
      <c r="B4084" s="2" t="s">
        <v>12301</v>
      </c>
      <c r="C4084" s="2" t="s">
        <v>39389</v>
      </c>
      <c r="D4084" s="2" t="s">
        <v>39390</v>
      </c>
      <c r="E4084" s="2" t="s">
        <v>39371</v>
      </c>
      <c r="G4084" s="3" t="s">
        <v>62</v>
      </c>
      <c r="I4084" s="3" t="s">
        <v>61</v>
      </c>
      <c r="J4084" s="3" t="s">
        <v>61</v>
      </c>
      <c r="K4084" s="3" t="s">
        <v>63</v>
      </c>
      <c r="L4084" s="2" t="s">
        <v>39372</v>
      </c>
      <c r="M4084" s="2" t="s">
        <v>39391</v>
      </c>
      <c r="N4084" s="3" t="s">
        <v>2985</v>
      </c>
      <c r="O4084" s="2" t="s">
        <v>17427</v>
      </c>
      <c r="P4084" s="3" t="s">
        <v>64</v>
      </c>
      <c r="R4084" s="3" t="s">
        <v>34126</v>
      </c>
      <c r="S4084" s="4">
        <v>10</v>
      </c>
      <c r="T4084" s="4">
        <v>354</v>
      </c>
      <c r="U4084" s="5" t="s">
        <v>15917</v>
      </c>
      <c r="V4084" s="5" t="s">
        <v>15917</v>
      </c>
      <c r="W4084" s="5" t="s">
        <v>67</v>
      </c>
      <c r="X4084" s="5" t="s">
        <v>67</v>
      </c>
      <c r="Y4084" s="4">
        <v>201</v>
      </c>
      <c r="Z4084" s="4">
        <v>24</v>
      </c>
      <c r="AA4084" s="4">
        <v>92</v>
      </c>
      <c r="AB4084" s="4">
        <v>1</v>
      </c>
      <c r="AC4084" s="4">
        <v>15</v>
      </c>
      <c r="AD4084" s="4">
        <v>49</v>
      </c>
      <c r="AE4084" s="4">
        <v>158</v>
      </c>
      <c r="AF4084" s="4">
        <v>0</v>
      </c>
      <c r="AG4084" s="4">
        <v>6</v>
      </c>
      <c r="AH4084" s="4">
        <v>42</v>
      </c>
      <c r="AI4084" s="4">
        <v>115</v>
      </c>
      <c r="AJ4084" s="4">
        <v>9</v>
      </c>
      <c r="AK4084" s="4">
        <v>29</v>
      </c>
      <c r="AL4084" s="4">
        <v>28</v>
      </c>
      <c r="AM4084" s="4">
        <v>61</v>
      </c>
      <c r="AN4084" s="4">
        <v>0</v>
      </c>
      <c r="AO4084" s="4">
        <v>0</v>
      </c>
      <c r="AP4084" s="4">
        <v>13</v>
      </c>
      <c r="AQ4084" s="4">
        <v>49</v>
      </c>
      <c r="AR4084" s="3" t="s">
        <v>62</v>
      </c>
      <c r="AS4084" s="3" t="s">
        <v>62</v>
      </c>
      <c r="AT4084" s="3" t="s">
        <v>62</v>
      </c>
      <c r="AV4084" s="6" t="str">
        <f t="shared" si="64"/>
        <v>Catalog Record</v>
      </c>
      <c r="AW4084" s="6" t="str">
        <f t="shared" si="65"/>
        <v>WorldCat Record</v>
      </c>
      <c r="AX4084" s="3" t="s">
        <v>39375</v>
      </c>
      <c r="AY4084" s="3" t="s">
        <v>39392</v>
      </c>
      <c r="AZ4084" s="3" t="s">
        <v>39393</v>
      </c>
      <c r="BA4084" s="3" t="s">
        <v>39393</v>
      </c>
      <c r="BB4084" s="3" t="s">
        <v>39403</v>
      </c>
      <c r="BC4084" s="3" t="s">
        <v>102</v>
      </c>
      <c r="BD4084" s="3" t="s">
        <v>68</v>
      </c>
      <c r="BE4084" s="3" t="s">
        <v>39395</v>
      </c>
      <c r="BF4084" s="3" t="s">
        <v>39403</v>
      </c>
      <c r="BG4084" s="3" t="s">
        <v>39404</v>
      </c>
    </row>
    <row r="4085" spans="1:59" ht="101.5" x14ac:dyDescent="0.35">
      <c r="A4085" s="2" t="s">
        <v>89</v>
      </c>
      <c r="B4085" s="2" t="s">
        <v>12301</v>
      </c>
      <c r="C4085" s="2" t="s">
        <v>39389</v>
      </c>
      <c r="D4085" s="2" t="s">
        <v>39390</v>
      </c>
      <c r="E4085" s="2" t="s">
        <v>39371</v>
      </c>
      <c r="G4085" s="3" t="s">
        <v>62</v>
      </c>
      <c r="I4085" s="3" t="s">
        <v>61</v>
      </c>
      <c r="J4085" s="3" t="s">
        <v>61</v>
      </c>
      <c r="K4085" s="3" t="s">
        <v>63</v>
      </c>
      <c r="L4085" s="2" t="s">
        <v>39372</v>
      </c>
      <c r="M4085" s="2" t="s">
        <v>39391</v>
      </c>
      <c r="N4085" s="3" t="s">
        <v>2985</v>
      </c>
      <c r="O4085" s="2" t="s">
        <v>17427</v>
      </c>
      <c r="P4085" s="3" t="s">
        <v>64</v>
      </c>
      <c r="R4085" s="3" t="s">
        <v>34126</v>
      </c>
      <c r="S4085" s="4">
        <v>136</v>
      </c>
      <c r="T4085" s="4">
        <v>354</v>
      </c>
      <c r="U4085" s="5" t="s">
        <v>12842</v>
      </c>
      <c r="V4085" s="5" t="s">
        <v>15917</v>
      </c>
      <c r="W4085" s="5" t="s">
        <v>67</v>
      </c>
      <c r="X4085" s="5" t="s">
        <v>67</v>
      </c>
      <c r="Y4085" s="4">
        <v>201</v>
      </c>
      <c r="Z4085" s="4">
        <v>24</v>
      </c>
      <c r="AA4085" s="4">
        <v>92</v>
      </c>
      <c r="AB4085" s="4">
        <v>1</v>
      </c>
      <c r="AC4085" s="4">
        <v>15</v>
      </c>
      <c r="AD4085" s="4">
        <v>49</v>
      </c>
      <c r="AE4085" s="4">
        <v>158</v>
      </c>
      <c r="AF4085" s="4">
        <v>0</v>
      </c>
      <c r="AG4085" s="4">
        <v>6</v>
      </c>
      <c r="AH4085" s="4">
        <v>42</v>
      </c>
      <c r="AI4085" s="4">
        <v>115</v>
      </c>
      <c r="AJ4085" s="4">
        <v>9</v>
      </c>
      <c r="AK4085" s="4">
        <v>29</v>
      </c>
      <c r="AL4085" s="4">
        <v>28</v>
      </c>
      <c r="AM4085" s="4">
        <v>61</v>
      </c>
      <c r="AN4085" s="4">
        <v>0</v>
      </c>
      <c r="AO4085" s="4">
        <v>0</v>
      </c>
      <c r="AP4085" s="4">
        <v>13</v>
      </c>
      <c r="AQ4085" s="4">
        <v>49</v>
      </c>
      <c r="AR4085" s="3" t="s">
        <v>62</v>
      </c>
      <c r="AS4085" s="3" t="s">
        <v>62</v>
      </c>
      <c r="AT4085" s="3" t="s">
        <v>62</v>
      </c>
      <c r="AV4085" s="6" t="str">
        <f t="shared" si="64"/>
        <v>Catalog Record</v>
      </c>
      <c r="AW4085" s="6" t="str">
        <f t="shared" si="65"/>
        <v>WorldCat Record</v>
      </c>
      <c r="AX4085" s="3" t="s">
        <v>39375</v>
      </c>
      <c r="AY4085" s="3" t="s">
        <v>39392</v>
      </c>
      <c r="AZ4085" s="3" t="s">
        <v>39393</v>
      </c>
      <c r="BA4085" s="3" t="s">
        <v>39393</v>
      </c>
      <c r="BB4085" s="3" t="s">
        <v>39405</v>
      </c>
      <c r="BC4085" s="3" t="s">
        <v>102</v>
      </c>
      <c r="BD4085" s="3" t="s">
        <v>68</v>
      </c>
      <c r="BE4085" s="3" t="s">
        <v>39395</v>
      </c>
      <c r="BF4085" s="3" t="s">
        <v>39405</v>
      </c>
      <c r="BG4085" s="3" t="s">
        <v>39406</v>
      </c>
    </row>
    <row r="4086" spans="1:59" ht="58" x14ac:dyDescent="0.35">
      <c r="A4086" s="2" t="s">
        <v>59</v>
      </c>
      <c r="B4086" s="2" t="s">
        <v>60</v>
      </c>
      <c r="C4086" s="2" t="s">
        <v>39407</v>
      </c>
      <c r="D4086" s="2" t="s">
        <v>39408</v>
      </c>
      <c r="E4086" s="2" t="s">
        <v>39409</v>
      </c>
      <c r="G4086" s="3" t="s">
        <v>62</v>
      </c>
      <c r="I4086" s="3" t="s">
        <v>62</v>
      </c>
      <c r="J4086" s="3" t="s">
        <v>62</v>
      </c>
      <c r="K4086" s="3" t="s">
        <v>63</v>
      </c>
      <c r="L4086" s="2" t="s">
        <v>39410</v>
      </c>
      <c r="M4086" s="2" t="s">
        <v>39411</v>
      </c>
      <c r="N4086" s="3" t="s">
        <v>157</v>
      </c>
      <c r="P4086" s="3" t="s">
        <v>1752</v>
      </c>
      <c r="R4086" s="3" t="s">
        <v>34126</v>
      </c>
      <c r="S4086" s="4">
        <v>6</v>
      </c>
      <c r="T4086" s="4">
        <v>6</v>
      </c>
      <c r="U4086" s="5" t="s">
        <v>2950</v>
      </c>
      <c r="V4086" s="5" t="s">
        <v>2950</v>
      </c>
      <c r="W4086" s="5" t="s">
        <v>67</v>
      </c>
      <c r="X4086" s="5" t="s">
        <v>67</v>
      </c>
      <c r="Y4086" s="4">
        <v>52</v>
      </c>
      <c r="Z4086" s="4">
        <v>2</v>
      </c>
      <c r="AA4086" s="4">
        <v>4</v>
      </c>
      <c r="AB4086" s="4">
        <v>1</v>
      </c>
      <c r="AC4086" s="4">
        <v>3</v>
      </c>
      <c r="AD4086" s="4">
        <v>14</v>
      </c>
      <c r="AE4086" s="4">
        <v>23</v>
      </c>
      <c r="AF4086" s="4">
        <v>0</v>
      </c>
      <c r="AG4086" s="4">
        <v>2</v>
      </c>
      <c r="AH4086" s="4">
        <v>13</v>
      </c>
      <c r="AI4086" s="4">
        <v>20</v>
      </c>
      <c r="AJ4086" s="4">
        <v>1</v>
      </c>
      <c r="AK4086" s="4">
        <v>3</v>
      </c>
      <c r="AL4086" s="4">
        <v>6</v>
      </c>
      <c r="AM4086" s="4">
        <v>11</v>
      </c>
      <c r="AN4086" s="4">
        <v>0</v>
      </c>
      <c r="AO4086" s="4">
        <v>0</v>
      </c>
      <c r="AP4086" s="4">
        <v>1</v>
      </c>
      <c r="AQ4086" s="4">
        <v>2</v>
      </c>
      <c r="AR4086" s="3" t="s">
        <v>62</v>
      </c>
      <c r="AS4086" s="3" t="s">
        <v>62</v>
      </c>
      <c r="AT4086" s="3" t="s">
        <v>61</v>
      </c>
      <c r="AU4086" s="6" t="str">
        <f>HYPERLINK("http://catalog.hathitrust.org/Record/000804521","HathiTrust Record")</f>
        <v>HathiTrust Record</v>
      </c>
      <c r="AV4086" s="6" t="str">
        <f>HYPERLINK("http://mcgill.on.worldcat.org/oclc/3605595","Catalog Record")</f>
        <v>Catalog Record</v>
      </c>
      <c r="AW4086" s="6" t="str">
        <f>HYPERLINK("http://www.worldcat.org/oclc/3605595","WorldCat Record")</f>
        <v>WorldCat Record</v>
      </c>
      <c r="AX4086" s="3" t="s">
        <v>39412</v>
      </c>
      <c r="AY4086" s="3" t="s">
        <v>39413</v>
      </c>
      <c r="AZ4086" s="3" t="s">
        <v>39414</v>
      </c>
      <c r="BA4086" s="3" t="s">
        <v>39414</v>
      </c>
      <c r="BB4086" s="3" t="s">
        <v>39415</v>
      </c>
      <c r="BC4086" s="3" t="s">
        <v>102</v>
      </c>
      <c r="BD4086" s="3" t="s">
        <v>68</v>
      </c>
      <c r="BE4086" s="3" t="s">
        <v>39416</v>
      </c>
      <c r="BF4086" s="3" t="s">
        <v>39415</v>
      </c>
      <c r="BG4086" s="3" t="s">
        <v>39417</v>
      </c>
    </row>
    <row r="4087" spans="1:59" ht="58" x14ac:dyDescent="0.35">
      <c r="A4087" s="2" t="s">
        <v>89</v>
      </c>
      <c r="B4087" s="2" t="s">
        <v>90</v>
      </c>
      <c r="C4087" s="2" t="s">
        <v>39418</v>
      </c>
      <c r="D4087" s="2" t="s">
        <v>39419</v>
      </c>
      <c r="E4087" s="2" t="s">
        <v>39420</v>
      </c>
      <c r="G4087" s="3" t="s">
        <v>62</v>
      </c>
      <c r="I4087" s="3" t="s">
        <v>62</v>
      </c>
      <c r="J4087" s="3" t="s">
        <v>62</v>
      </c>
      <c r="K4087" s="3" t="s">
        <v>63</v>
      </c>
      <c r="L4087" s="2" t="s">
        <v>39421</v>
      </c>
      <c r="M4087" s="2" t="s">
        <v>20619</v>
      </c>
      <c r="N4087" s="3" t="s">
        <v>396</v>
      </c>
      <c r="P4087" s="3" t="s">
        <v>64</v>
      </c>
      <c r="Q4087" s="2" t="s">
        <v>39422</v>
      </c>
      <c r="R4087" s="3" t="s">
        <v>34126</v>
      </c>
      <c r="S4087" s="4">
        <v>29</v>
      </c>
      <c r="T4087" s="4">
        <v>29</v>
      </c>
      <c r="U4087" s="5" t="s">
        <v>35747</v>
      </c>
      <c r="V4087" s="5" t="s">
        <v>35747</v>
      </c>
      <c r="W4087" s="5" t="s">
        <v>67</v>
      </c>
      <c r="X4087" s="5" t="s">
        <v>67</v>
      </c>
      <c r="Y4087" s="4">
        <v>654</v>
      </c>
      <c r="Z4087" s="4">
        <v>47</v>
      </c>
      <c r="AA4087" s="4">
        <v>53</v>
      </c>
      <c r="AB4087" s="4">
        <v>1</v>
      </c>
      <c r="AC4087" s="4">
        <v>5</v>
      </c>
      <c r="AD4087" s="4">
        <v>129</v>
      </c>
      <c r="AE4087" s="4">
        <v>137</v>
      </c>
      <c r="AF4087" s="4">
        <v>0</v>
      </c>
      <c r="AG4087" s="4">
        <v>3</v>
      </c>
      <c r="AH4087" s="4">
        <v>102</v>
      </c>
      <c r="AI4087" s="4">
        <v>108</v>
      </c>
      <c r="AJ4087" s="4">
        <v>20</v>
      </c>
      <c r="AK4087" s="4">
        <v>24</v>
      </c>
      <c r="AL4087" s="4">
        <v>55</v>
      </c>
      <c r="AM4087" s="4">
        <v>58</v>
      </c>
      <c r="AN4087" s="4">
        <v>0</v>
      </c>
      <c r="AO4087" s="4">
        <v>0</v>
      </c>
      <c r="AP4087" s="4">
        <v>34</v>
      </c>
      <c r="AQ4087" s="4">
        <v>37</v>
      </c>
      <c r="AR4087" s="3" t="s">
        <v>62</v>
      </c>
      <c r="AS4087" s="3" t="s">
        <v>62</v>
      </c>
      <c r="AT4087" s="3" t="s">
        <v>62</v>
      </c>
      <c r="AV4087" s="6" t="str">
        <f>HYPERLINK("http://mcgill.on.worldcat.org/oclc/11523431","Catalog Record")</f>
        <v>Catalog Record</v>
      </c>
      <c r="AW4087" s="6" t="str">
        <f>HYPERLINK("http://www.worldcat.org/oclc/11523431","WorldCat Record")</f>
        <v>WorldCat Record</v>
      </c>
      <c r="AX4087" s="3" t="s">
        <v>39423</v>
      </c>
      <c r="AY4087" s="3" t="s">
        <v>39424</v>
      </c>
      <c r="AZ4087" s="3" t="s">
        <v>39425</v>
      </c>
      <c r="BA4087" s="3" t="s">
        <v>39425</v>
      </c>
      <c r="BB4087" s="3" t="s">
        <v>39426</v>
      </c>
      <c r="BC4087" s="3" t="s">
        <v>102</v>
      </c>
      <c r="BD4087" s="3" t="s">
        <v>68</v>
      </c>
      <c r="BE4087" s="3" t="s">
        <v>39427</v>
      </c>
      <c r="BF4087" s="3" t="s">
        <v>39426</v>
      </c>
      <c r="BG4087" s="3" t="s">
        <v>39428</v>
      </c>
    </row>
    <row r="4088" spans="1:59" ht="58" x14ac:dyDescent="0.35">
      <c r="A4088" s="2" t="s">
        <v>89</v>
      </c>
      <c r="B4088" s="2" t="s">
        <v>18023</v>
      </c>
      <c r="C4088" s="2" t="s">
        <v>39429</v>
      </c>
      <c r="D4088" s="2" t="s">
        <v>39430</v>
      </c>
      <c r="E4088" s="2" t="s">
        <v>39431</v>
      </c>
      <c r="G4088" s="3" t="s">
        <v>62</v>
      </c>
      <c r="I4088" s="3" t="s">
        <v>61</v>
      </c>
      <c r="J4088" s="3" t="s">
        <v>62</v>
      </c>
      <c r="K4088" s="3" t="s">
        <v>63</v>
      </c>
      <c r="L4088" s="2" t="s">
        <v>39432</v>
      </c>
      <c r="M4088" s="2" t="s">
        <v>39433</v>
      </c>
      <c r="N4088" s="3" t="s">
        <v>698</v>
      </c>
      <c r="P4088" s="3" t="s">
        <v>64</v>
      </c>
      <c r="R4088" s="3" t="s">
        <v>34126</v>
      </c>
      <c r="S4088" s="4">
        <v>52</v>
      </c>
      <c r="T4088" s="4">
        <v>130</v>
      </c>
      <c r="U4088" s="5" t="s">
        <v>16894</v>
      </c>
      <c r="V4088" s="5" t="s">
        <v>16060</v>
      </c>
      <c r="W4088" s="5" t="s">
        <v>67</v>
      </c>
      <c r="X4088" s="5" t="s">
        <v>67</v>
      </c>
      <c r="Y4088" s="4">
        <v>297</v>
      </c>
      <c r="Z4088" s="4">
        <v>25</v>
      </c>
      <c r="AA4088" s="4">
        <v>40</v>
      </c>
      <c r="AB4088" s="4">
        <v>2</v>
      </c>
      <c r="AC4088" s="4">
        <v>13</v>
      </c>
      <c r="AD4088" s="4">
        <v>68</v>
      </c>
      <c r="AE4088" s="4">
        <v>84</v>
      </c>
      <c r="AF4088" s="4">
        <v>0</v>
      </c>
      <c r="AG4088" s="4">
        <v>4</v>
      </c>
      <c r="AH4088" s="4">
        <v>56</v>
      </c>
      <c r="AI4088" s="4">
        <v>67</v>
      </c>
      <c r="AJ4088" s="4">
        <v>13</v>
      </c>
      <c r="AK4088" s="4">
        <v>19</v>
      </c>
      <c r="AL4088" s="4">
        <v>31</v>
      </c>
      <c r="AM4088" s="4">
        <v>37</v>
      </c>
      <c r="AN4088" s="4">
        <v>0</v>
      </c>
      <c r="AO4088" s="4">
        <v>0</v>
      </c>
      <c r="AP4088" s="4">
        <v>19</v>
      </c>
      <c r="AQ4088" s="4">
        <v>26</v>
      </c>
      <c r="AR4088" s="3" t="s">
        <v>62</v>
      </c>
      <c r="AS4088" s="3" t="s">
        <v>62</v>
      </c>
      <c r="AT4088" s="3" t="s">
        <v>62</v>
      </c>
      <c r="AV4088" s="6" t="str">
        <f>HYPERLINK("http://mcgill.on.worldcat.org/oclc/781431954","Catalog Record")</f>
        <v>Catalog Record</v>
      </c>
      <c r="AW4088" s="6" t="str">
        <f>HYPERLINK("http://www.worldcat.org/oclc/781431954","WorldCat Record")</f>
        <v>WorldCat Record</v>
      </c>
      <c r="AX4088" s="3" t="s">
        <v>39434</v>
      </c>
      <c r="AY4088" s="3" t="s">
        <v>39435</v>
      </c>
      <c r="AZ4088" s="3" t="s">
        <v>39436</v>
      </c>
      <c r="BA4088" s="3" t="s">
        <v>39436</v>
      </c>
      <c r="BB4088" s="3" t="s">
        <v>39437</v>
      </c>
      <c r="BC4088" s="3" t="s">
        <v>102</v>
      </c>
      <c r="BD4088" s="3" t="s">
        <v>68</v>
      </c>
      <c r="BE4088" s="3" t="s">
        <v>39438</v>
      </c>
      <c r="BF4088" s="3" t="s">
        <v>39437</v>
      </c>
      <c r="BG4088" s="3" t="s">
        <v>39439</v>
      </c>
    </row>
    <row r="4089" spans="1:59" ht="58" x14ac:dyDescent="0.35">
      <c r="A4089" s="2" t="s">
        <v>89</v>
      </c>
      <c r="B4089" s="2" t="s">
        <v>18023</v>
      </c>
      <c r="C4089" s="2" t="s">
        <v>39429</v>
      </c>
      <c r="D4089" s="2" t="s">
        <v>39430</v>
      </c>
      <c r="E4089" s="2" t="s">
        <v>39431</v>
      </c>
      <c r="G4089" s="3" t="s">
        <v>62</v>
      </c>
      <c r="I4089" s="3" t="s">
        <v>61</v>
      </c>
      <c r="J4089" s="3" t="s">
        <v>62</v>
      </c>
      <c r="K4089" s="3" t="s">
        <v>63</v>
      </c>
      <c r="L4089" s="2" t="s">
        <v>39432</v>
      </c>
      <c r="M4089" s="2" t="s">
        <v>39433</v>
      </c>
      <c r="N4089" s="3" t="s">
        <v>698</v>
      </c>
      <c r="P4089" s="3" t="s">
        <v>64</v>
      </c>
      <c r="R4089" s="3" t="s">
        <v>34126</v>
      </c>
      <c r="S4089" s="4">
        <v>60</v>
      </c>
      <c r="T4089" s="4">
        <v>130</v>
      </c>
      <c r="U4089" s="5" t="s">
        <v>16060</v>
      </c>
      <c r="V4089" s="5" t="s">
        <v>16060</v>
      </c>
      <c r="W4089" s="5" t="s">
        <v>67</v>
      </c>
      <c r="X4089" s="5" t="s">
        <v>67</v>
      </c>
      <c r="Y4089" s="4">
        <v>297</v>
      </c>
      <c r="Z4089" s="4">
        <v>25</v>
      </c>
      <c r="AA4089" s="4">
        <v>40</v>
      </c>
      <c r="AB4089" s="4">
        <v>2</v>
      </c>
      <c r="AC4089" s="4">
        <v>13</v>
      </c>
      <c r="AD4089" s="4">
        <v>68</v>
      </c>
      <c r="AE4089" s="4">
        <v>84</v>
      </c>
      <c r="AF4089" s="4">
        <v>0</v>
      </c>
      <c r="AG4089" s="4">
        <v>4</v>
      </c>
      <c r="AH4089" s="4">
        <v>56</v>
      </c>
      <c r="AI4089" s="4">
        <v>67</v>
      </c>
      <c r="AJ4089" s="4">
        <v>13</v>
      </c>
      <c r="AK4089" s="4">
        <v>19</v>
      </c>
      <c r="AL4089" s="4">
        <v>31</v>
      </c>
      <c r="AM4089" s="4">
        <v>37</v>
      </c>
      <c r="AN4089" s="4">
        <v>0</v>
      </c>
      <c r="AO4089" s="4">
        <v>0</v>
      </c>
      <c r="AP4089" s="4">
        <v>19</v>
      </c>
      <c r="AQ4089" s="4">
        <v>26</v>
      </c>
      <c r="AR4089" s="3" t="s">
        <v>62</v>
      </c>
      <c r="AS4089" s="3" t="s">
        <v>62</v>
      </c>
      <c r="AT4089" s="3" t="s">
        <v>62</v>
      </c>
      <c r="AV4089" s="6" t="str">
        <f>HYPERLINK("http://mcgill.on.worldcat.org/oclc/781431954","Catalog Record")</f>
        <v>Catalog Record</v>
      </c>
      <c r="AW4089" s="6" t="str">
        <f>HYPERLINK("http://www.worldcat.org/oclc/781431954","WorldCat Record")</f>
        <v>WorldCat Record</v>
      </c>
      <c r="AX4089" s="3" t="s">
        <v>39434</v>
      </c>
      <c r="AY4089" s="3" t="s">
        <v>39435</v>
      </c>
      <c r="AZ4089" s="3" t="s">
        <v>39436</v>
      </c>
      <c r="BA4089" s="3" t="s">
        <v>39436</v>
      </c>
      <c r="BB4089" s="3" t="s">
        <v>39440</v>
      </c>
      <c r="BC4089" s="3" t="s">
        <v>102</v>
      </c>
      <c r="BD4089" s="3" t="s">
        <v>68</v>
      </c>
      <c r="BE4089" s="3" t="s">
        <v>39438</v>
      </c>
      <c r="BF4089" s="3" t="s">
        <v>39440</v>
      </c>
      <c r="BG4089" s="3" t="s">
        <v>39441</v>
      </c>
    </row>
    <row r="4090" spans="1:59" ht="58" x14ac:dyDescent="0.35">
      <c r="A4090" s="2" t="s">
        <v>89</v>
      </c>
      <c r="B4090" s="2" t="s">
        <v>18023</v>
      </c>
      <c r="C4090" s="2" t="s">
        <v>39429</v>
      </c>
      <c r="D4090" s="2" t="s">
        <v>39430</v>
      </c>
      <c r="E4090" s="2" t="s">
        <v>39431</v>
      </c>
      <c r="G4090" s="3" t="s">
        <v>62</v>
      </c>
      <c r="I4090" s="3" t="s">
        <v>61</v>
      </c>
      <c r="J4090" s="3" t="s">
        <v>62</v>
      </c>
      <c r="K4090" s="3" t="s">
        <v>63</v>
      </c>
      <c r="L4090" s="2" t="s">
        <v>39432</v>
      </c>
      <c r="M4090" s="2" t="s">
        <v>39433</v>
      </c>
      <c r="N4090" s="3" t="s">
        <v>698</v>
      </c>
      <c r="P4090" s="3" t="s">
        <v>64</v>
      </c>
      <c r="R4090" s="3" t="s">
        <v>34126</v>
      </c>
      <c r="S4090" s="4">
        <v>18</v>
      </c>
      <c r="T4090" s="4">
        <v>130</v>
      </c>
      <c r="U4090" s="5" t="s">
        <v>18024</v>
      </c>
      <c r="V4090" s="5" t="s">
        <v>16060</v>
      </c>
      <c r="W4090" s="5" t="s">
        <v>67</v>
      </c>
      <c r="X4090" s="5" t="s">
        <v>67</v>
      </c>
      <c r="Y4090" s="4">
        <v>297</v>
      </c>
      <c r="Z4090" s="4">
        <v>25</v>
      </c>
      <c r="AA4090" s="4">
        <v>40</v>
      </c>
      <c r="AB4090" s="4">
        <v>2</v>
      </c>
      <c r="AC4090" s="4">
        <v>13</v>
      </c>
      <c r="AD4090" s="4">
        <v>68</v>
      </c>
      <c r="AE4090" s="4">
        <v>84</v>
      </c>
      <c r="AF4090" s="4">
        <v>0</v>
      </c>
      <c r="AG4090" s="4">
        <v>4</v>
      </c>
      <c r="AH4090" s="4">
        <v>56</v>
      </c>
      <c r="AI4090" s="4">
        <v>67</v>
      </c>
      <c r="AJ4090" s="4">
        <v>13</v>
      </c>
      <c r="AK4090" s="4">
        <v>19</v>
      </c>
      <c r="AL4090" s="4">
        <v>31</v>
      </c>
      <c r="AM4090" s="4">
        <v>37</v>
      </c>
      <c r="AN4090" s="4">
        <v>0</v>
      </c>
      <c r="AO4090" s="4">
        <v>0</v>
      </c>
      <c r="AP4090" s="4">
        <v>19</v>
      </c>
      <c r="AQ4090" s="4">
        <v>26</v>
      </c>
      <c r="AR4090" s="3" t="s">
        <v>62</v>
      </c>
      <c r="AS4090" s="3" t="s">
        <v>62</v>
      </c>
      <c r="AT4090" s="3" t="s">
        <v>62</v>
      </c>
      <c r="AV4090" s="6" t="str">
        <f>HYPERLINK("http://mcgill.on.worldcat.org/oclc/781431954","Catalog Record")</f>
        <v>Catalog Record</v>
      </c>
      <c r="AW4090" s="6" t="str">
        <f>HYPERLINK("http://www.worldcat.org/oclc/781431954","WorldCat Record")</f>
        <v>WorldCat Record</v>
      </c>
      <c r="AX4090" s="3" t="s">
        <v>39434</v>
      </c>
      <c r="AY4090" s="3" t="s">
        <v>39435</v>
      </c>
      <c r="AZ4090" s="3" t="s">
        <v>39436</v>
      </c>
      <c r="BA4090" s="3" t="s">
        <v>39436</v>
      </c>
      <c r="BB4090" s="3" t="s">
        <v>39442</v>
      </c>
      <c r="BC4090" s="3" t="s">
        <v>102</v>
      </c>
      <c r="BD4090" s="3" t="s">
        <v>68</v>
      </c>
      <c r="BE4090" s="3" t="s">
        <v>39438</v>
      </c>
      <c r="BF4090" s="3" t="s">
        <v>39442</v>
      </c>
      <c r="BG4090" s="3" t="s">
        <v>39443</v>
      </c>
    </row>
    <row r="4091" spans="1:59" ht="58" x14ac:dyDescent="0.35">
      <c r="A4091" s="2" t="s">
        <v>89</v>
      </c>
      <c r="B4091" s="2" t="s">
        <v>90</v>
      </c>
      <c r="C4091" s="2" t="s">
        <v>39444</v>
      </c>
      <c r="D4091" s="2" t="s">
        <v>39445</v>
      </c>
      <c r="E4091" s="2" t="s">
        <v>39446</v>
      </c>
      <c r="G4091" s="3" t="s">
        <v>62</v>
      </c>
      <c r="I4091" s="3" t="s">
        <v>61</v>
      </c>
      <c r="J4091" s="3" t="s">
        <v>61</v>
      </c>
      <c r="K4091" s="3" t="s">
        <v>63</v>
      </c>
      <c r="L4091" s="2" t="s">
        <v>39447</v>
      </c>
      <c r="M4091" s="2" t="s">
        <v>39448</v>
      </c>
      <c r="N4091" s="3" t="s">
        <v>1064</v>
      </c>
      <c r="O4091" s="2" t="s">
        <v>21546</v>
      </c>
      <c r="P4091" s="3" t="s">
        <v>64</v>
      </c>
      <c r="R4091" s="3" t="s">
        <v>34126</v>
      </c>
      <c r="S4091" s="4">
        <v>0</v>
      </c>
      <c r="T4091" s="4">
        <v>78</v>
      </c>
      <c r="V4091" s="5" t="s">
        <v>28682</v>
      </c>
      <c r="W4091" s="5" t="s">
        <v>67</v>
      </c>
      <c r="X4091" s="5" t="s">
        <v>67</v>
      </c>
      <c r="Y4091" s="4">
        <v>1200</v>
      </c>
      <c r="Z4091" s="4">
        <v>41</v>
      </c>
      <c r="AA4091" s="4">
        <v>75</v>
      </c>
      <c r="AB4091" s="4">
        <v>3</v>
      </c>
      <c r="AC4091" s="4">
        <v>17</v>
      </c>
      <c r="AD4091" s="4">
        <v>135</v>
      </c>
      <c r="AE4091" s="4">
        <v>152</v>
      </c>
      <c r="AF4091" s="4">
        <v>1</v>
      </c>
      <c r="AG4091" s="4">
        <v>5</v>
      </c>
      <c r="AH4091" s="4">
        <v>108</v>
      </c>
      <c r="AI4091" s="4">
        <v>117</v>
      </c>
      <c r="AJ4091" s="4">
        <v>21</v>
      </c>
      <c r="AK4091" s="4">
        <v>26</v>
      </c>
      <c r="AL4091" s="4">
        <v>60</v>
      </c>
      <c r="AM4091" s="4">
        <v>63</v>
      </c>
      <c r="AN4091" s="4">
        <v>0</v>
      </c>
      <c r="AO4091" s="4">
        <v>0</v>
      </c>
      <c r="AP4091" s="4">
        <v>30</v>
      </c>
      <c r="AQ4091" s="4">
        <v>39</v>
      </c>
      <c r="AR4091" s="3" t="s">
        <v>62</v>
      </c>
      <c r="AS4091" s="3" t="s">
        <v>62</v>
      </c>
      <c r="AT4091" s="3" t="s">
        <v>61</v>
      </c>
      <c r="AU4091" s="6" t="str">
        <f>HYPERLINK("http://catalog.hathitrust.org/Record/001492713","HathiTrust Record")</f>
        <v>HathiTrust Record</v>
      </c>
      <c r="AV4091" s="6" t="str">
        <f>HYPERLINK("http://mcgill.on.worldcat.org/oclc/154846","Catalog Record")</f>
        <v>Catalog Record</v>
      </c>
      <c r="AW4091" s="6" t="str">
        <f>HYPERLINK("http://www.worldcat.org/oclc/154846","WorldCat Record")</f>
        <v>WorldCat Record</v>
      </c>
      <c r="AX4091" s="3" t="s">
        <v>39449</v>
      </c>
      <c r="AY4091" s="3" t="s">
        <v>39450</v>
      </c>
      <c r="AZ4091" s="3" t="s">
        <v>39451</v>
      </c>
      <c r="BA4091" s="3" t="s">
        <v>39451</v>
      </c>
      <c r="BB4091" s="3" t="s">
        <v>39452</v>
      </c>
      <c r="BC4091" s="3" t="s">
        <v>102</v>
      </c>
      <c r="BD4091" s="3" t="s">
        <v>68</v>
      </c>
      <c r="BE4091" s="3" t="s">
        <v>39453</v>
      </c>
      <c r="BF4091" s="3" t="s">
        <v>39452</v>
      </c>
      <c r="BG4091" s="3" t="s">
        <v>39454</v>
      </c>
    </row>
    <row r="4092" spans="1:59" ht="58" x14ac:dyDescent="0.35">
      <c r="A4092" s="2" t="s">
        <v>89</v>
      </c>
      <c r="B4092" s="2" t="s">
        <v>90</v>
      </c>
      <c r="C4092" s="2" t="s">
        <v>39455</v>
      </c>
      <c r="D4092" s="2" t="s">
        <v>39456</v>
      </c>
      <c r="E4092" s="2" t="s">
        <v>39457</v>
      </c>
      <c r="G4092" s="3" t="s">
        <v>62</v>
      </c>
      <c r="I4092" s="3" t="s">
        <v>61</v>
      </c>
      <c r="J4092" s="3" t="s">
        <v>62</v>
      </c>
      <c r="K4092" s="3" t="s">
        <v>63</v>
      </c>
      <c r="L4092" s="2" t="s">
        <v>39458</v>
      </c>
      <c r="M4092" s="2" t="s">
        <v>39459</v>
      </c>
      <c r="N4092" s="3" t="s">
        <v>1639</v>
      </c>
      <c r="P4092" s="3" t="s">
        <v>64</v>
      </c>
      <c r="R4092" s="3" t="s">
        <v>34126</v>
      </c>
      <c r="S4092" s="4">
        <v>10</v>
      </c>
      <c r="T4092" s="4">
        <v>28</v>
      </c>
      <c r="U4092" s="5" t="s">
        <v>9622</v>
      </c>
      <c r="V4092" s="5" t="s">
        <v>14149</v>
      </c>
      <c r="W4092" s="5" t="s">
        <v>67</v>
      </c>
      <c r="X4092" s="5" t="s">
        <v>67</v>
      </c>
      <c r="Y4092" s="4">
        <v>1236</v>
      </c>
      <c r="Z4092" s="4">
        <v>52</v>
      </c>
      <c r="AA4092" s="4">
        <v>66</v>
      </c>
      <c r="AB4092" s="4">
        <v>5</v>
      </c>
      <c r="AC4092" s="4">
        <v>12</v>
      </c>
      <c r="AD4092" s="4">
        <v>136</v>
      </c>
      <c r="AE4092" s="4">
        <v>147</v>
      </c>
      <c r="AF4092" s="4">
        <v>2</v>
      </c>
      <c r="AG4092" s="4">
        <v>8</v>
      </c>
      <c r="AH4092" s="4">
        <v>105</v>
      </c>
      <c r="AI4092" s="4">
        <v>106</v>
      </c>
      <c r="AJ4092" s="4">
        <v>19</v>
      </c>
      <c r="AK4092" s="4">
        <v>25</v>
      </c>
      <c r="AL4092" s="4">
        <v>59</v>
      </c>
      <c r="AM4092" s="4">
        <v>59</v>
      </c>
      <c r="AN4092" s="4">
        <v>0</v>
      </c>
      <c r="AO4092" s="4">
        <v>0</v>
      </c>
      <c r="AP4092" s="4">
        <v>34</v>
      </c>
      <c r="AQ4092" s="4">
        <v>44</v>
      </c>
      <c r="AR4092" s="3" t="s">
        <v>62</v>
      </c>
      <c r="AS4092" s="3" t="s">
        <v>62</v>
      </c>
      <c r="AT4092" s="3" t="s">
        <v>61</v>
      </c>
      <c r="AU4092" s="6" t="str">
        <f>HYPERLINK("http://catalog.hathitrust.org/Record/001492714","HathiTrust Record")</f>
        <v>HathiTrust Record</v>
      </c>
      <c r="AV4092" s="6" t="str">
        <f>HYPERLINK("http://mcgill.on.worldcat.org/oclc/113919","Catalog Record")</f>
        <v>Catalog Record</v>
      </c>
      <c r="AW4092" s="6" t="str">
        <f>HYPERLINK("http://www.worldcat.org/oclc/113919","WorldCat Record")</f>
        <v>WorldCat Record</v>
      </c>
      <c r="AX4092" s="3" t="s">
        <v>39460</v>
      </c>
      <c r="AY4092" s="3" t="s">
        <v>39461</v>
      </c>
      <c r="AZ4092" s="3" t="s">
        <v>39462</v>
      </c>
      <c r="BA4092" s="3" t="s">
        <v>39462</v>
      </c>
      <c r="BB4092" s="3" t="s">
        <v>39463</v>
      </c>
      <c r="BC4092" s="3" t="s">
        <v>102</v>
      </c>
      <c r="BD4092" s="3" t="s">
        <v>68</v>
      </c>
      <c r="BE4092" s="3" t="s">
        <v>39464</v>
      </c>
      <c r="BF4092" s="3" t="s">
        <v>39463</v>
      </c>
      <c r="BG4092" s="3" t="s">
        <v>39465</v>
      </c>
    </row>
    <row r="4093" spans="1:59" ht="58" x14ac:dyDescent="0.35">
      <c r="A4093" s="2" t="s">
        <v>89</v>
      </c>
      <c r="B4093" s="2" t="s">
        <v>90</v>
      </c>
      <c r="C4093" s="2" t="s">
        <v>39455</v>
      </c>
      <c r="D4093" s="2" t="s">
        <v>39456</v>
      </c>
      <c r="E4093" s="2" t="s">
        <v>39457</v>
      </c>
      <c r="G4093" s="3" t="s">
        <v>62</v>
      </c>
      <c r="I4093" s="3" t="s">
        <v>61</v>
      </c>
      <c r="J4093" s="3" t="s">
        <v>62</v>
      </c>
      <c r="K4093" s="3" t="s">
        <v>63</v>
      </c>
      <c r="L4093" s="2" t="s">
        <v>39458</v>
      </c>
      <c r="M4093" s="2" t="s">
        <v>39459</v>
      </c>
      <c r="N4093" s="3" t="s">
        <v>1639</v>
      </c>
      <c r="P4093" s="3" t="s">
        <v>64</v>
      </c>
      <c r="R4093" s="3" t="s">
        <v>34126</v>
      </c>
      <c r="S4093" s="4">
        <v>8</v>
      </c>
      <c r="T4093" s="4">
        <v>28</v>
      </c>
      <c r="U4093" s="5" t="s">
        <v>39466</v>
      </c>
      <c r="V4093" s="5" t="s">
        <v>14149</v>
      </c>
      <c r="W4093" s="5" t="s">
        <v>67</v>
      </c>
      <c r="X4093" s="5" t="s">
        <v>67</v>
      </c>
      <c r="Y4093" s="4">
        <v>1236</v>
      </c>
      <c r="Z4093" s="4">
        <v>52</v>
      </c>
      <c r="AA4093" s="4">
        <v>66</v>
      </c>
      <c r="AB4093" s="4">
        <v>5</v>
      </c>
      <c r="AC4093" s="4">
        <v>12</v>
      </c>
      <c r="AD4093" s="4">
        <v>136</v>
      </c>
      <c r="AE4093" s="4">
        <v>147</v>
      </c>
      <c r="AF4093" s="4">
        <v>2</v>
      </c>
      <c r="AG4093" s="4">
        <v>8</v>
      </c>
      <c r="AH4093" s="4">
        <v>105</v>
      </c>
      <c r="AI4093" s="4">
        <v>106</v>
      </c>
      <c r="AJ4093" s="4">
        <v>19</v>
      </c>
      <c r="AK4093" s="4">
        <v>25</v>
      </c>
      <c r="AL4093" s="4">
        <v>59</v>
      </c>
      <c r="AM4093" s="4">
        <v>59</v>
      </c>
      <c r="AN4093" s="4">
        <v>0</v>
      </c>
      <c r="AO4093" s="4">
        <v>0</v>
      </c>
      <c r="AP4093" s="4">
        <v>34</v>
      </c>
      <c r="AQ4093" s="4">
        <v>44</v>
      </c>
      <c r="AR4093" s="3" t="s">
        <v>62</v>
      </c>
      <c r="AS4093" s="3" t="s">
        <v>62</v>
      </c>
      <c r="AT4093" s="3" t="s">
        <v>61</v>
      </c>
      <c r="AU4093" s="6" t="str">
        <f>HYPERLINK("http://catalog.hathitrust.org/Record/001492714","HathiTrust Record")</f>
        <v>HathiTrust Record</v>
      </c>
      <c r="AV4093" s="6" t="str">
        <f>HYPERLINK("http://mcgill.on.worldcat.org/oclc/113919","Catalog Record")</f>
        <v>Catalog Record</v>
      </c>
      <c r="AW4093" s="6" t="str">
        <f>HYPERLINK("http://www.worldcat.org/oclc/113919","WorldCat Record")</f>
        <v>WorldCat Record</v>
      </c>
      <c r="AX4093" s="3" t="s">
        <v>39460</v>
      </c>
      <c r="AY4093" s="3" t="s">
        <v>39461</v>
      </c>
      <c r="AZ4093" s="3" t="s">
        <v>39462</v>
      </c>
      <c r="BA4093" s="3" t="s">
        <v>39462</v>
      </c>
      <c r="BB4093" s="3" t="s">
        <v>39467</v>
      </c>
      <c r="BC4093" s="3" t="s">
        <v>102</v>
      </c>
      <c r="BD4093" s="3" t="s">
        <v>231</v>
      </c>
      <c r="BE4093" s="3" t="s">
        <v>39464</v>
      </c>
      <c r="BF4093" s="3" t="s">
        <v>39467</v>
      </c>
      <c r="BG4093" s="3" t="s">
        <v>39468</v>
      </c>
    </row>
    <row r="4094" spans="1:59" ht="58" x14ac:dyDescent="0.35">
      <c r="A4094" s="2" t="s">
        <v>59</v>
      </c>
      <c r="B4094" s="2" t="s">
        <v>60</v>
      </c>
      <c r="C4094" s="2" t="s">
        <v>39469</v>
      </c>
      <c r="D4094" s="2" t="s">
        <v>39470</v>
      </c>
      <c r="E4094" s="2" t="s">
        <v>39471</v>
      </c>
      <c r="G4094" s="3" t="s">
        <v>62</v>
      </c>
      <c r="I4094" s="3" t="s">
        <v>61</v>
      </c>
      <c r="J4094" s="3" t="s">
        <v>62</v>
      </c>
      <c r="K4094" s="3" t="s">
        <v>63</v>
      </c>
      <c r="M4094" s="2" t="s">
        <v>39472</v>
      </c>
      <c r="N4094" s="3" t="s">
        <v>95</v>
      </c>
      <c r="P4094" s="3" t="s">
        <v>64</v>
      </c>
      <c r="R4094" s="3" t="s">
        <v>34126</v>
      </c>
      <c r="S4094" s="4">
        <v>6</v>
      </c>
      <c r="T4094" s="4">
        <v>10</v>
      </c>
      <c r="U4094" s="5" t="s">
        <v>39473</v>
      </c>
      <c r="V4094" s="5" t="s">
        <v>39473</v>
      </c>
      <c r="W4094" s="5" t="s">
        <v>67</v>
      </c>
      <c r="X4094" s="5" t="s">
        <v>67</v>
      </c>
      <c r="Y4094" s="4">
        <v>170</v>
      </c>
      <c r="Z4094" s="4">
        <v>10</v>
      </c>
      <c r="AA4094" s="4">
        <v>40</v>
      </c>
      <c r="AB4094" s="4">
        <v>1</v>
      </c>
      <c r="AC4094" s="4">
        <v>7</v>
      </c>
      <c r="AD4094" s="4">
        <v>26</v>
      </c>
      <c r="AE4094" s="4">
        <v>117</v>
      </c>
      <c r="AF4094" s="4">
        <v>0</v>
      </c>
      <c r="AG4094" s="4">
        <v>6</v>
      </c>
      <c r="AH4094" s="4">
        <v>22</v>
      </c>
      <c r="AI4094" s="4">
        <v>94</v>
      </c>
      <c r="AJ4094" s="4">
        <v>8</v>
      </c>
      <c r="AK4094" s="4">
        <v>23</v>
      </c>
      <c r="AL4094" s="4">
        <v>11</v>
      </c>
      <c r="AM4094" s="4">
        <v>46</v>
      </c>
      <c r="AN4094" s="4">
        <v>0</v>
      </c>
      <c r="AO4094" s="4">
        <v>0</v>
      </c>
      <c r="AP4094" s="4">
        <v>8</v>
      </c>
      <c r="AQ4094" s="4">
        <v>31</v>
      </c>
      <c r="AR4094" s="3" t="s">
        <v>62</v>
      </c>
      <c r="AS4094" s="3" t="s">
        <v>62</v>
      </c>
      <c r="AT4094" s="3" t="s">
        <v>62</v>
      </c>
      <c r="AV4094" s="6" t="str">
        <f>HYPERLINK("http://mcgill.on.worldcat.org/oclc/8149469","Catalog Record")</f>
        <v>Catalog Record</v>
      </c>
      <c r="AW4094" s="6" t="str">
        <f>HYPERLINK("http://www.worldcat.org/oclc/8149469","WorldCat Record")</f>
        <v>WorldCat Record</v>
      </c>
      <c r="AX4094" s="3" t="s">
        <v>39474</v>
      </c>
      <c r="AY4094" s="3" t="s">
        <v>39475</v>
      </c>
      <c r="AZ4094" s="3" t="s">
        <v>39476</v>
      </c>
      <c r="BA4094" s="3" t="s">
        <v>39476</v>
      </c>
      <c r="BB4094" s="3" t="s">
        <v>39477</v>
      </c>
      <c r="BC4094" s="3" t="s">
        <v>102</v>
      </c>
      <c r="BD4094" s="3" t="s">
        <v>68</v>
      </c>
      <c r="BE4094" s="3" t="s">
        <v>39478</v>
      </c>
      <c r="BF4094" s="3" t="s">
        <v>39477</v>
      </c>
      <c r="BG4094" s="3" t="s">
        <v>39479</v>
      </c>
    </row>
    <row r="4095" spans="1:59" ht="58" x14ac:dyDescent="0.35">
      <c r="A4095" s="2" t="s">
        <v>59</v>
      </c>
      <c r="B4095" s="2" t="s">
        <v>60</v>
      </c>
      <c r="C4095" s="2" t="s">
        <v>39480</v>
      </c>
      <c r="D4095" s="2" t="s">
        <v>39481</v>
      </c>
      <c r="E4095" s="2" t="s">
        <v>39482</v>
      </c>
      <c r="G4095" s="3" t="s">
        <v>62</v>
      </c>
      <c r="I4095" s="3" t="s">
        <v>62</v>
      </c>
      <c r="J4095" s="3" t="s">
        <v>61</v>
      </c>
      <c r="K4095" s="3" t="s">
        <v>63</v>
      </c>
      <c r="L4095" s="2" t="s">
        <v>39483</v>
      </c>
      <c r="M4095" s="2" t="s">
        <v>39484</v>
      </c>
      <c r="N4095" s="3" t="s">
        <v>2566</v>
      </c>
      <c r="P4095" s="3" t="s">
        <v>64</v>
      </c>
      <c r="R4095" s="3" t="s">
        <v>34126</v>
      </c>
      <c r="S4095" s="4">
        <v>4</v>
      </c>
      <c r="T4095" s="4">
        <v>4</v>
      </c>
      <c r="U4095" s="5" t="s">
        <v>16010</v>
      </c>
      <c r="V4095" s="5" t="s">
        <v>16010</v>
      </c>
      <c r="W4095" s="5" t="s">
        <v>67</v>
      </c>
      <c r="X4095" s="5" t="s">
        <v>67</v>
      </c>
      <c r="Y4095" s="4">
        <v>434</v>
      </c>
      <c r="Z4095" s="4">
        <v>20</v>
      </c>
      <c r="AA4095" s="4">
        <v>72</v>
      </c>
      <c r="AB4095" s="4">
        <v>1</v>
      </c>
      <c r="AC4095" s="4">
        <v>11</v>
      </c>
      <c r="AD4095" s="4">
        <v>89</v>
      </c>
      <c r="AE4095" s="4">
        <v>149</v>
      </c>
      <c r="AF4095" s="4">
        <v>0</v>
      </c>
      <c r="AG4095" s="4">
        <v>5</v>
      </c>
      <c r="AH4095" s="4">
        <v>78</v>
      </c>
      <c r="AI4095" s="4">
        <v>114</v>
      </c>
      <c r="AJ4095" s="4">
        <v>10</v>
      </c>
      <c r="AK4095" s="4">
        <v>27</v>
      </c>
      <c r="AL4095" s="4">
        <v>46</v>
      </c>
      <c r="AM4095" s="4">
        <v>60</v>
      </c>
      <c r="AN4095" s="4">
        <v>0</v>
      </c>
      <c r="AO4095" s="4">
        <v>0</v>
      </c>
      <c r="AP4095" s="4">
        <v>15</v>
      </c>
      <c r="AQ4095" s="4">
        <v>42</v>
      </c>
      <c r="AR4095" s="3" t="s">
        <v>62</v>
      </c>
      <c r="AS4095" s="3" t="s">
        <v>62</v>
      </c>
      <c r="AT4095" s="3" t="s">
        <v>61</v>
      </c>
      <c r="AU4095" s="6" t="str">
        <f>HYPERLINK("http://catalog.hathitrust.org/Record/000777038","HathiTrust Record")</f>
        <v>HathiTrust Record</v>
      </c>
      <c r="AV4095" s="6" t="str">
        <f>HYPERLINK("http://mcgill.on.worldcat.org/oclc/658944","Catalog Record")</f>
        <v>Catalog Record</v>
      </c>
      <c r="AW4095" s="6" t="str">
        <f>HYPERLINK("http://www.worldcat.org/oclc/658944","WorldCat Record")</f>
        <v>WorldCat Record</v>
      </c>
      <c r="AX4095" s="3" t="s">
        <v>39485</v>
      </c>
      <c r="AY4095" s="3" t="s">
        <v>39486</v>
      </c>
      <c r="AZ4095" s="3" t="s">
        <v>39487</v>
      </c>
      <c r="BA4095" s="3" t="s">
        <v>39487</v>
      </c>
      <c r="BB4095" s="3" t="s">
        <v>39488</v>
      </c>
      <c r="BC4095" s="3" t="s">
        <v>102</v>
      </c>
      <c r="BD4095" s="3" t="s">
        <v>6923</v>
      </c>
      <c r="BE4095" s="3" t="s">
        <v>39489</v>
      </c>
      <c r="BF4095" s="3" t="s">
        <v>39488</v>
      </c>
      <c r="BG4095" s="3" t="s">
        <v>39490</v>
      </c>
    </row>
    <row r="4096" spans="1:59" ht="58" x14ac:dyDescent="0.35">
      <c r="A4096" s="2" t="s">
        <v>59</v>
      </c>
      <c r="B4096" s="2" t="s">
        <v>60</v>
      </c>
      <c r="C4096" s="2" t="s">
        <v>39491</v>
      </c>
      <c r="D4096" s="2" t="s">
        <v>39492</v>
      </c>
      <c r="E4096" s="2" t="s">
        <v>39493</v>
      </c>
      <c r="G4096" s="3" t="s">
        <v>62</v>
      </c>
      <c r="I4096" s="3" t="s">
        <v>62</v>
      </c>
      <c r="J4096" s="3" t="s">
        <v>61</v>
      </c>
      <c r="K4096" s="3" t="s">
        <v>63</v>
      </c>
      <c r="L4096" s="2" t="s">
        <v>39483</v>
      </c>
      <c r="M4096" s="2" t="s">
        <v>39373</v>
      </c>
      <c r="N4096" s="3" t="s">
        <v>2110</v>
      </c>
      <c r="O4096" s="2" t="s">
        <v>8350</v>
      </c>
      <c r="P4096" s="3" t="s">
        <v>64</v>
      </c>
      <c r="R4096" s="3" t="s">
        <v>34126</v>
      </c>
      <c r="S4096" s="4">
        <v>8</v>
      </c>
      <c r="T4096" s="4">
        <v>8</v>
      </c>
      <c r="U4096" s="5" t="s">
        <v>6691</v>
      </c>
      <c r="V4096" s="5" t="s">
        <v>6691</v>
      </c>
      <c r="W4096" s="5" t="s">
        <v>67</v>
      </c>
      <c r="X4096" s="5" t="s">
        <v>67</v>
      </c>
      <c r="Y4096" s="4">
        <v>293</v>
      </c>
      <c r="Z4096" s="4">
        <v>22</v>
      </c>
      <c r="AA4096" s="4">
        <v>72</v>
      </c>
      <c r="AB4096" s="4">
        <v>1</v>
      </c>
      <c r="AC4096" s="4">
        <v>11</v>
      </c>
      <c r="AD4096" s="4">
        <v>87</v>
      </c>
      <c r="AE4096" s="4">
        <v>149</v>
      </c>
      <c r="AF4096" s="4">
        <v>0</v>
      </c>
      <c r="AG4096" s="4">
        <v>5</v>
      </c>
      <c r="AH4096" s="4">
        <v>75</v>
      </c>
      <c r="AI4096" s="4">
        <v>114</v>
      </c>
      <c r="AJ4096" s="4">
        <v>13</v>
      </c>
      <c r="AK4096" s="4">
        <v>27</v>
      </c>
      <c r="AL4096" s="4">
        <v>45</v>
      </c>
      <c r="AM4096" s="4">
        <v>60</v>
      </c>
      <c r="AN4096" s="4">
        <v>0</v>
      </c>
      <c r="AO4096" s="4">
        <v>0</v>
      </c>
      <c r="AP4096" s="4">
        <v>17</v>
      </c>
      <c r="AQ4096" s="4">
        <v>42</v>
      </c>
      <c r="AR4096" s="3" t="s">
        <v>62</v>
      </c>
      <c r="AS4096" s="3" t="s">
        <v>62</v>
      </c>
      <c r="AT4096" s="3" t="s">
        <v>61</v>
      </c>
      <c r="AU4096" s="6" t="str">
        <f>HYPERLINK("http://catalog.hathitrust.org/Record/000752916","HathiTrust Record")</f>
        <v>HathiTrust Record</v>
      </c>
      <c r="AV4096" s="6" t="str">
        <f>HYPERLINK("http://mcgill.on.worldcat.org/oclc/3447417","Catalog Record")</f>
        <v>Catalog Record</v>
      </c>
      <c r="AW4096" s="6" t="str">
        <f>HYPERLINK("http://www.worldcat.org/oclc/3447417","WorldCat Record")</f>
        <v>WorldCat Record</v>
      </c>
      <c r="AX4096" s="3" t="s">
        <v>39485</v>
      </c>
      <c r="AY4096" s="3" t="s">
        <v>39494</v>
      </c>
      <c r="AZ4096" s="3" t="s">
        <v>39495</v>
      </c>
      <c r="BA4096" s="3" t="s">
        <v>39495</v>
      </c>
      <c r="BB4096" s="3" t="s">
        <v>39496</v>
      </c>
      <c r="BC4096" s="3" t="s">
        <v>102</v>
      </c>
      <c r="BD4096" s="3" t="s">
        <v>68</v>
      </c>
      <c r="BE4096" s="3" t="s">
        <v>39497</v>
      </c>
      <c r="BF4096" s="3" t="s">
        <v>39496</v>
      </c>
      <c r="BG4096" s="3" t="s">
        <v>39498</v>
      </c>
    </row>
    <row r="4097" spans="1:59" ht="58" x14ac:dyDescent="0.35">
      <c r="A4097" s="2" t="s">
        <v>59</v>
      </c>
      <c r="B4097" s="2" t="s">
        <v>60</v>
      </c>
      <c r="C4097" s="2" t="s">
        <v>39499</v>
      </c>
      <c r="D4097" s="2" t="s">
        <v>39500</v>
      </c>
      <c r="E4097" s="2" t="s">
        <v>39493</v>
      </c>
      <c r="G4097" s="3" t="s">
        <v>62</v>
      </c>
      <c r="I4097" s="3" t="s">
        <v>61</v>
      </c>
      <c r="J4097" s="3" t="s">
        <v>61</v>
      </c>
      <c r="K4097" s="3" t="s">
        <v>63</v>
      </c>
      <c r="L4097" s="2" t="s">
        <v>39483</v>
      </c>
      <c r="M4097" s="2" t="s">
        <v>6069</v>
      </c>
      <c r="N4097" s="3" t="s">
        <v>327</v>
      </c>
      <c r="O4097" s="2" t="s">
        <v>2458</v>
      </c>
      <c r="P4097" s="3" t="s">
        <v>64</v>
      </c>
      <c r="R4097" s="3" t="s">
        <v>34126</v>
      </c>
      <c r="S4097" s="4">
        <v>12</v>
      </c>
      <c r="T4097" s="4">
        <v>17</v>
      </c>
      <c r="U4097" s="5" t="s">
        <v>39374</v>
      </c>
      <c r="V4097" s="5" t="s">
        <v>10058</v>
      </c>
      <c r="W4097" s="5" t="s">
        <v>67</v>
      </c>
      <c r="X4097" s="5" t="s">
        <v>67</v>
      </c>
      <c r="Y4097" s="4">
        <v>277</v>
      </c>
      <c r="Z4097" s="4">
        <v>29</v>
      </c>
      <c r="AA4097" s="4">
        <v>72</v>
      </c>
      <c r="AB4097" s="4">
        <v>4</v>
      </c>
      <c r="AC4097" s="4">
        <v>11</v>
      </c>
      <c r="AD4097" s="4">
        <v>79</v>
      </c>
      <c r="AE4097" s="4">
        <v>149</v>
      </c>
      <c r="AF4097" s="4">
        <v>1</v>
      </c>
      <c r="AG4097" s="4">
        <v>5</v>
      </c>
      <c r="AH4097" s="4">
        <v>69</v>
      </c>
      <c r="AI4097" s="4">
        <v>114</v>
      </c>
      <c r="AJ4097" s="4">
        <v>14</v>
      </c>
      <c r="AK4097" s="4">
        <v>27</v>
      </c>
      <c r="AL4097" s="4">
        <v>35</v>
      </c>
      <c r="AM4097" s="4">
        <v>60</v>
      </c>
      <c r="AN4097" s="4">
        <v>0</v>
      </c>
      <c r="AO4097" s="4">
        <v>0</v>
      </c>
      <c r="AP4097" s="4">
        <v>17</v>
      </c>
      <c r="AQ4097" s="4">
        <v>42</v>
      </c>
      <c r="AR4097" s="3" t="s">
        <v>62</v>
      </c>
      <c r="AS4097" s="3" t="s">
        <v>62</v>
      </c>
      <c r="AT4097" s="3" t="s">
        <v>61</v>
      </c>
      <c r="AU4097" s="6" t="str">
        <f>HYPERLINK("http://catalog.hathitrust.org/Record/000288790","HathiTrust Record")</f>
        <v>HathiTrust Record</v>
      </c>
      <c r="AV4097" s="6" t="str">
        <f>HYPERLINK("http://mcgill.on.worldcat.org/oclc/8411176","Catalog Record")</f>
        <v>Catalog Record</v>
      </c>
      <c r="AW4097" s="6" t="str">
        <f>HYPERLINK("http://www.worldcat.org/oclc/8411176","WorldCat Record")</f>
        <v>WorldCat Record</v>
      </c>
      <c r="AX4097" s="3" t="s">
        <v>39485</v>
      </c>
      <c r="AY4097" s="3" t="s">
        <v>39501</v>
      </c>
      <c r="AZ4097" s="3" t="s">
        <v>39502</v>
      </c>
      <c r="BA4097" s="3" t="s">
        <v>39502</v>
      </c>
      <c r="BB4097" s="3" t="s">
        <v>39503</v>
      </c>
      <c r="BC4097" s="3" t="s">
        <v>102</v>
      </c>
      <c r="BD4097" s="3" t="s">
        <v>68</v>
      </c>
      <c r="BE4097" s="3" t="s">
        <v>39504</v>
      </c>
      <c r="BF4097" s="3" t="s">
        <v>39503</v>
      </c>
      <c r="BG4097" s="3" t="s">
        <v>39505</v>
      </c>
    </row>
    <row r="4098" spans="1:59" ht="58" x14ac:dyDescent="0.35">
      <c r="A4098" s="2" t="s">
        <v>59</v>
      </c>
      <c r="B4098" s="2" t="s">
        <v>60</v>
      </c>
      <c r="C4098" s="2" t="s">
        <v>39506</v>
      </c>
      <c r="D4098" s="2" t="s">
        <v>39507</v>
      </c>
      <c r="E4098" s="2" t="s">
        <v>39508</v>
      </c>
      <c r="G4098" s="3" t="s">
        <v>62</v>
      </c>
      <c r="I4098" s="3" t="s">
        <v>62</v>
      </c>
      <c r="J4098" s="3" t="s">
        <v>61</v>
      </c>
      <c r="K4098" s="3" t="s">
        <v>63</v>
      </c>
      <c r="L4098" s="2" t="s">
        <v>39509</v>
      </c>
      <c r="M4098" s="2" t="s">
        <v>39510</v>
      </c>
      <c r="N4098" s="3" t="s">
        <v>2566</v>
      </c>
      <c r="P4098" s="3" t="s">
        <v>64</v>
      </c>
      <c r="R4098" s="3" t="s">
        <v>34126</v>
      </c>
      <c r="S4098" s="4">
        <v>8</v>
      </c>
      <c r="T4098" s="4">
        <v>8</v>
      </c>
      <c r="U4098" s="5" t="s">
        <v>16010</v>
      </c>
      <c r="V4098" s="5" t="s">
        <v>16010</v>
      </c>
      <c r="W4098" s="5" t="s">
        <v>67</v>
      </c>
      <c r="X4098" s="5" t="s">
        <v>67</v>
      </c>
      <c r="Y4098" s="4">
        <v>367</v>
      </c>
      <c r="Z4098" s="4">
        <v>23</v>
      </c>
      <c r="AA4098" s="4">
        <v>85</v>
      </c>
      <c r="AB4098" s="4">
        <v>2</v>
      </c>
      <c r="AC4098" s="4">
        <v>13</v>
      </c>
      <c r="AD4098" s="4">
        <v>87</v>
      </c>
      <c r="AE4098" s="4">
        <v>152</v>
      </c>
      <c r="AF4098" s="4">
        <v>0</v>
      </c>
      <c r="AG4098" s="4">
        <v>7</v>
      </c>
      <c r="AH4098" s="4">
        <v>75</v>
      </c>
      <c r="AI4098" s="4">
        <v>114</v>
      </c>
      <c r="AJ4098" s="4">
        <v>14</v>
      </c>
      <c r="AK4098" s="4">
        <v>27</v>
      </c>
      <c r="AL4098" s="4">
        <v>37</v>
      </c>
      <c r="AM4098" s="4">
        <v>59</v>
      </c>
      <c r="AN4098" s="4">
        <v>0</v>
      </c>
      <c r="AO4098" s="4">
        <v>0</v>
      </c>
      <c r="AP4098" s="4">
        <v>17</v>
      </c>
      <c r="AQ4098" s="4">
        <v>46</v>
      </c>
      <c r="AR4098" s="3" t="s">
        <v>62</v>
      </c>
      <c r="AS4098" s="3" t="s">
        <v>62</v>
      </c>
      <c r="AT4098" s="3" t="s">
        <v>61</v>
      </c>
      <c r="AU4098" s="6" t="str">
        <f>HYPERLINK("http://catalog.hathitrust.org/Record/001492720","HathiTrust Record")</f>
        <v>HathiTrust Record</v>
      </c>
      <c r="AV4098" s="6" t="str">
        <f>HYPERLINK("http://mcgill.on.worldcat.org/oclc/650114","Catalog Record")</f>
        <v>Catalog Record</v>
      </c>
      <c r="AW4098" s="6" t="str">
        <f>HYPERLINK("http://www.worldcat.org/oclc/650114","WorldCat Record")</f>
        <v>WorldCat Record</v>
      </c>
      <c r="AX4098" s="3" t="s">
        <v>39511</v>
      </c>
      <c r="AY4098" s="3" t="s">
        <v>39512</v>
      </c>
      <c r="AZ4098" s="3" t="s">
        <v>39513</v>
      </c>
      <c r="BA4098" s="3" t="s">
        <v>39513</v>
      </c>
      <c r="BB4098" s="3" t="s">
        <v>39514</v>
      </c>
      <c r="BC4098" s="3" t="s">
        <v>102</v>
      </c>
      <c r="BD4098" s="3" t="s">
        <v>6923</v>
      </c>
      <c r="BE4098" s="3" t="s">
        <v>39515</v>
      </c>
      <c r="BF4098" s="3" t="s">
        <v>39514</v>
      </c>
      <c r="BG4098" s="3" t="s">
        <v>39516</v>
      </c>
    </row>
    <row r="4099" spans="1:59" ht="58" x14ac:dyDescent="0.35">
      <c r="A4099" s="2" t="s">
        <v>59</v>
      </c>
      <c r="B4099" s="2" t="s">
        <v>60</v>
      </c>
      <c r="C4099" s="2" t="s">
        <v>39517</v>
      </c>
      <c r="D4099" s="2" t="s">
        <v>39518</v>
      </c>
      <c r="E4099" s="2" t="s">
        <v>39519</v>
      </c>
      <c r="G4099" s="3" t="s">
        <v>62</v>
      </c>
      <c r="I4099" s="3" t="s">
        <v>62</v>
      </c>
      <c r="J4099" s="3" t="s">
        <v>61</v>
      </c>
      <c r="K4099" s="3" t="s">
        <v>63</v>
      </c>
      <c r="L4099" s="2" t="s">
        <v>39509</v>
      </c>
      <c r="M4099" s="2" t="s">
        <v>39520</v>
      </c>
      <c r="N4099" s="3" t="s">
        <v>201</v>
      </c>
      <c r="P4099" s="3" t="s">
        <v>64</v>
      </c>
      <c r="R4099" s="3" t="s">
        <v>34126</v>
      </c>
      <c r="S4099" s="4">
        <v>5</v>
      </c>
      <c r="T4099" s="4">
        <v>5</v>
      </c>
      <c r="U4099" s="5" t="s">
        <v>25459</v>
      </c>
      <c r="V4099" s="5" t="s">
        <v>25459</v>
      </c>
      <c r="W4099" s="5" t="s">
        <v>67</v>
      </c>
      <c r="X4099" s="5" t="s">
        <v>67</v>
      </c>
      <c r="Y4099" s="4">
        <v>318</v>
      </c>
      <c r="Z4099" s="4">
        <v>27</v>
      </c>
      <c r="AA4099" s="4">
        <v>74</v>
      </c>
      <c r="AB4099" s="4">
        <v>2</v>
      </c>
      <c r="AC4099" s="4">
        <v>15</v>
      </c>
      <c r="AD4099" s="4">
        <v>73</v>
      </c>
      <c r="AE4099" s="4">
        <v>133</v>
      </c>
      <c r="AF4099" s="4">
        <v>0</v>
      </c>
      <c r="AG4099" s="4">
        <v>7</v>
      </c>
      <c r="AH4099" s="4">
        <v>60</v>
      </c>
      <c r="AI4099" s="4">
        <v>101</v>
      </c>
      <c r="AJ4099" s="4">
        <v>12</v>
      </c>
      <c r="AK4099" s="4">
        <v>23</v>
      </c>
      <c r="AL4099" s="4">
        <v>38</v>
      </c>
      <c r="AM4099" s="4">
        <v>57</v>
      </c>
      <c r="AN4099" s="4">
        <v>0</v>
      </c>
      <c r="AO4099" s="4">
        <v>0</v>
      </c>
      <c r="AP4099" s="4">
        <v>17</v>
      </c>
      <c r="AQ4099" s="4">
        <v>40</v>
      </c>
      <c r="AR4099" s="3" t="s">
        <v>62</v>
      </c>
      <c r="AS4099" s="3" t="s">
        <v>62</v>
      </c>
      <c r="AT4099" s="3" t="s">
        <v>61</v>
      </c>
      <c r="AU4099" s="6" t="str">
        <f>HYPERLINK("http://catalog.hathitrust.org/Record/004395610","HathiTrust Record")</f>
        <v>HathiTrust Record</v>
      </c>
      <c r="AV4099" s="6" t="str">
        <f>HYPERLINK("http://mcgill.on.worldcat.org/oclc/2090811","Catalog Record")</f>
        <v>Catalog Record</v>
      </c>
      <c r="AW4099" s="6" t="str">
        <f>HYPERLINK("http://www.worldcat.org/oclc/2090811","WorldCat Record")</f>
        <v>WorldCat Record</v>
      </c>
      <c r="AX4099" s="3" t="s">
        <v>39521</v>
      </c>
      <c r="AY4099" s="3" t="s">
        <v>39522</v>
      </c>
      <c r="AZ4099" s="3" t="s">
        <v>39523</v>
      </c>
      <c r="BA4099" s="3" t="s">
        <v>39523</v>
      </c>
      <c r="BB4099" s="3" t="s">
        <v>39524</v>
      </c>
      <c r="BC4099" s="3" t="s">
        <v>102</v>
      </c>
      <c r="BD4099" s="3" t="s">
        <v>68</v>
      </c>
      <c r="BE4099" s="3" t="s">
        <v>39525</v>
      </c>
      <c r="BF4099" s="3" t="s">
        <v>39524</v>
      </c>
      <c r="BG4099" s="3" t="s">
        <v>39526</v>
      </c>
    </row>
    <row r="4100" spans="1:59" ht="58" x14ac:dyDescent="0.35">
      <c r="A4100" s="2" t="s">
        <v>59</v>
      </c>
      <c r="B4100" s="2" t="s">
        <v>60</v>
      </c>
      <c r="C4100" s="2" t="s">
        <v>39527</v>
      </c>
      <c r="D4100" s="2" t="s">
        <v>39528</v>
      </c>
      <c r="E4100" s="2" t="s">
        <v>39529</v>
      </c>
      <c r="G4100" s="3" t="s">
        <v>62</v>
      </c>
      <c r="I4100" s="3" t="s">
        <v>61</v>
      </c>
      <c r="J4100" s="3" t="s">
        <v>61</v>
      </c>
      <c r="K4100" s="3" t="s">
        <v>63</v>
      </c>
      <c r="L4100" s="2" t="s">
        <v>39530</v>
      </c>
      <c r="M4100" s="2" t="s">
        <v>39531</v>
      </c>
      <c r="N4100" s="3" t="s">
        <v>2000</v>
      </c>
      <c r="O4100" s="2" t="s">
        <v>17648</v>
      </c>
      <c r="P4100" s="3" t="s">
        <v>64</v>
      </c>
      <c r="R4100" s="3" t="s">
        <v>34126</v>
      </c>
      <c r="S4100" s="4">
        <v>21</v>
      </c>
      <c r="T4100" s="4">
        <v>57</v>
      </c>
      <c r="U4100" s="5" t="s">
        <v>9848</v>
      </c>
      <c r="V4100" s="5" t="s">
        <v>22541</v>
      </c>
      <c r="W4100" s="5" t="s">
        <v>67</v>
      </c>
      <c r="X4100" s="5" t="s">
        <v>67</v>
      </c>
      <c r="Y4100" s="4">
        <v>207</v>
      </c>
      <c r="Z4100" s="4">
        <v>18</v>
      </c>
      <c r="AA4100" s="4">
        <v>103</v>
      </c>
      <c r="AB4100" s="4">
        <v>2</v>
      </c>
      <c r="AC4100" s="4">
        <v>16</v>
      </c>
      <c r="AD4100" s="4">
        <v>34</v>
      </c>
      <c r="AE4100" s="4">
        <v>158</v>
      </c>
      <c r="AF4100" s="4">
        <v>1</v>
      </c>
      <c r="AG4100" s="4">
        <v>8</v>
      </c>
      <c r="AH4100" s="4">
        <v>25</v>
      </c>
      <c r="AI4100" s="4">
        <v>112</v>
      </c>
      <c r="AJ4100" s="4">
        <v>8</v>
      </c>
      <c r="AK4100" s="4">
        <v>27</v>
      </c>
      <c r="AL4100" s="4">
        <v>12</v>
      </c>
      <c r="AM4100" s="4">
        <v>59</v>
      </c>
      <c r="AN4100" s="4">
        <v>0</v>
      </c>
      <c r="AO4100" s="4">
        <v>0</v>
      </c>
      <c r="AP4100" s="4">
        <v>12</v>
      </c>
      <c r="AQ4100" s="4">
        <v>52</v>
      </c>
      <c r="AR4100" s="3" t="s">
        <v>62</v>
      </c>
      <c r="AS4100" s="3" t="s">
        <v>62</v>
      </c>
      <c r="AT4100" s="3" t="s">
        <v>62</v>
      </c>
      <c r="AV4100" s="6" t="str">
        <f>HYPERLINK("http://mcgill.on.worldcat.org/oclc/32926046","Catalog Record")</f>
        <v>Catalog Record</v>
      </c>
      <c r="AW4100" s="6" t="str">
        <f>HYPERLINK("http://www.worldcat.org/oclc/32926046","WorldCat Record")</f>
        <v>WorldCat Record</v>
      </c>
      <c r="AX4100" s="3" t="s">
        <v>39532</v>
      </c>
      <c r="AY4100" s="3" t="s">
        <v>39533</v>
      </c>
      <c r="AZ4100" s="3" t="s">
        <v>39534</v>
      </c>
      <c r="BA4100" s="3" t="s">
        <v>39534</v>
      </c>
      <c r="BB4100" s="3" t="s">
        <v>39535</v>
      </c>
      <c r="BC4100" s="3" t="s">
        <v>102</v>
      </c>
      <c r="BD4100" s="3" t="s">
        <v>68</v>
      </c>
      <c r="BE4100" s="3" t="s">
        <v>39536</v>
      </c>
      <c r="BF4100" s="3" t="s">
        <v>39535</v>
      </c>
      <c r="BG4100" s="3" t="s">
        <v>39537</v>
      </c>
    </row>
    <row r="4101" spans="1:59" ht="58" x14ac:dyDescent="0.35">
      <c r="A4101" s="2" t="s">
        <v>89</v>
      </c>
      <c r="B4101" s="2" t="s">
        <v>90</v>
      </c>
      <c r="C4101" s="2" t="s">
        <v>39538</v>
      </c>
      <c r="D4101" s="2" t="s">
        <v>39539</v>
      </c>
      <c r="E4101" s="2" t="s">
        <v>39540</v>
      </c>
      <c r="G4101" s="3" t="s">
        <v>62</v>
      </c>
      <c r="I4101" s="3" t="s">
        <v>62</v>
      </c>
      <c r="J4101" s="3" t="s">
        <v>62</v>
      </c>
      <c r="K4101" s="3" t="s">
        <v>63</v>
      </c>
      <c r="L4101" s="2" t="s">
        <v>39541</v>
      </c>
      <c r="M4101" s="2" t="s">
        <v>39542</v>
      </c>
      <c r="N4101" s="3" t="s">
        <v>1482</v>
      </c>
      <c r="P4101" s="3" t="s">
        <v>64</v>
      </c>
      <c r="R4101" s="3" t="s">
        <v>34126</v>
      </c>
      <c r="S4101" s="4">
        <v>4</v>
      </c>
      <c r="T4101" s="4">
        <v>4</v>
      </c>
      <c r="U4101" s="5" t="s">
        <v>16546</v>
      </c>
      <c r="V4101" s="5" t="s">
        <v>16546</v>
      </c>
      <c r="W4101" s="5" t="s">
        <v>67</v>
      </c>
      <c r="X4101" s="5" t="s">
        <v>67</v>
      </c>
      <c r="Y4101" s="4">
        <v>81</v>
      </c>
      <c r="Z4101" s="4">
        <v>7</v>
      </c>
      <c r="AA4101" s="4">
        <v>7</v>
      </c>
      <c r="AB4101" s="4">
        <v>2</v>
      </c>
      <c r="AC4101" s="4">
        <v>2</v>
      </c>
      <c r="AD4101" s="4">
        <v>40</v>
      </c>
      <c r="AE4101" s="4">
        <v>41</v>
      </c>
      <c r="AF4101" s="4">
        <v>0</v>
      </c>
      <c r="AG4101" s="4">
        <v>0</v>
      </c>
      <c r="AH4101" s="4">
        <v>37</v>
      </c>
      <c r="AI4101" s="4">
        <v>38</v>
      </c>
      <c r="AJ4101" s="4">
        <v>4</v>
      </c>
      <c r="AK4101" s="4">
        <v>4</v>
      </c>
      <c r="AL4101" s="4">
        <v>25</v>
      </c>
      <c r="AM4101" s="4">
        <v>26</v>
      </c>
      <c r="AN4101" s="4">
        <v>0</v>
      </c>
      <c r="AO4101" s="4">
        <v>0</v>
      </c>
      <c r="AP4101" s="4">
        <v>5</v>
      </c>
      <c r="AQ4101" s="4">
        <v>5</v>
      </c>
      <c r="AR4101" s="3" t="s">
        <v>62</v>
      </c>
      <c r="AS4101" s="3" t="s">
        <v>62</v>
      </c>
      <c r="AT4101" s="3" t="s">
        <v>61</v>
      </c>
      <c r="AU4101" s="6" t="str">
        <f>HYPERLINK("http://catalog.hathitrust.org/Record/000809198","HathiTrust Record")</f>
        <v>HathiTrust Record</v>
      </c>
      <c r="AV4101" s="6" t="str">
        <f>HYPERLINK("http://mcgill.on.worldcat.org/oclc/15369365","Catalog Record")</f>
        <v>Catalog Record</v>
      </c>
      <c r="AW4101" s="6" t="str">
        <f>HYPERLINK("http://www.worldcat.org/oclc/15369365","WorldCat Record")</f>
        <v>WorldCat Record</v>
      </c>
      <c r="AX4101" s="3" t="s">
        <v>39543</v>
      </c>
      <c r="AY4101" s="3" t="s">
        <v>39544</v>
      </c>
      <c r="AZ4101" s="3" t="s">
        <v>39545</v>
      </c>
      <c r="BA4101" s="3" t="s">
        <v>39545</v>
      </c>
      <c r="BB4101" s="3" t="s">
        <v>39546</v>
      </c>
      <c r="BC4101" s="3" t="s">
        <v>102</v>
      </c>
      <c r="BD4101" s="3" t="s">
        <v>68</v>
      </c>
      <c r="BE4101" s="3" t="s">
        <v>39547</v>
      </c>
      <c r="BF4101" s="3" t="s">
        <v>39546</v>
      </c>
      <c r="BG4101" s="3" t="s">
        <v>39548</v>
      </c>
    </row>
    <row r="4102" spans="1:59" ht="58" x14ac:dyDescent="0.35">
      <c r="A4102" s="2" t="s">
        <v>89</v>
      </c>
      <c r="B4102" s="2" t="s">
        <v>90</v>
      </c>
      <c r="C4102" s="2" t="s">
        <v>39549</v>
      </c>
      <c r="D4102" s="2" t="s">
        <v>39550</v>
      </c>
      <c r="E4102" s="2" t="s">
        <v>39551</v>
      </c>
      <c r="G4102" s="3" t="s">
        <v>62</v>
      </c>
      <c r="I4102" s="3" t="s">
        <v>62</v>
      </c>
      <c r="J4102" s="3" t="s">
        <v>61</v>
      </c>
      <c r="K4102" s="3" t="s">
        <v>63</v>
      </c>
      <c r="L4102" s="2" t="s">
        <v>39552</v>
      </c>
      <c r="M4102" s="2" t="s">
        <v>39553</v>
      </c>
      <c r="N4102" s="3" t="s">
        <v>568</v>
      </c>
      <c r="P4102" s="3" t="s">
        <v>64</v>
      </c>
      <c r="R4102" s="3" t="s">
        <v>34126</v>
      </c>
      <c r="S4102" s="4">
        <v>26</v>
      </c>
      <c r="T4102" s="4">
        <v>26</v>
      </c>
      <c r="U4102" s="5" t="s">
        <v>12498</v>
      </c>
      <c r="V4102" s="5" t="s">
        <v>12498</v>
      </c>
      <c r="W4102" s="5" t="s">
        <v>67</v>
      </c>
      <c r="X4102" s="5" t="s">
        <v>67</v>
      </c>
      <c r="Y4102" s="4">
        <v>375</v>
      </c>
      <c r="Z4102" s="4">
        <v>30</v>
      </c>
      <c r="AA4102" s="4">
        <v>46</v>
      </c>
      <c r="AB4102" s="4">
        <v>2</v>
      </c>
      <c r="AC4102" s="4">
        <v>3</v>
      </c>
      <c r="AD4102" s="4">
        <v>72</v>
      </c>
      <c r="AE4102" s="4">
        <v>112</v>
      </c>
      <c r="AF4102" s="4">
        <v>1</v>
      </c>
      <c r="AG4102" s="4">
        <v>2</v>
      </c>
      <c r="AH4102" s="4">
        <v>58</v>
      </c>
      <c r="AI4102" s="4">
        <v>90</v>
      </c>
      <c r="AJ4102" s="4">
        <v>12</v>
      </c>
      <c r="AK4102" s="4">
        <v>23</v>
      </c>
      <c r="AL4102" s="4">
        <v>31</v>
      </c>
      <c r="AM4102" s="4">
        <v>47</v>
      </c>
      <c r="AN4102" s="4">
        <v>0</v>
      </c>
      <c r="AO4102" s="4">
        <v>0</v>
      </c>
      <c r="AP4102" s="4">
        <v>22</v>
      </c>
      <c r="AQ4102" s="4">
        <v>34</v>
      </c>
      <c r="AR4102" s="3" t="s">
        <v>62</v>
      </c>
      <c r="AS4102" s="3" t="s">
        <v>62</v>
      </c>
      <c r="AT4102" s="3" t="s">
        <v>61</v>
      </c>
      <c r="AU4102" s="6" t="str">
        <f>HYPERLINK("http://catalog.hathitrust.org/Record/004361839","HathiTrust Record")</f>
        <v>HathiTrust Record</v>
      </c>
      <c r="AV4102" s="6" t="str">
        <f>HYPERLINK("http://mcgill.on.worldcat.org/oclc/46436583","Catalog Record")</f>
        <v>Catalog Record</v>
      </c>
      <c r="AW4102" s="6" t="str">
        <f>HYPERLINK("http://www.worldcat.org/oclc/46436583","WorldCat Record")</f>
        <v>WorldCat Record</v>
      </c>
      <c r="AX4102" s="3" t="s">
        <v>39554</v>
      </c>
      <c r="AY4102" s="3" t="s">
        <v>39555</v>
      </c>
      <c r="AZ4102" s="3" t="s">
        <v>39556</v>
      </c>
      <c r="BA4102" s="3" t="s">
        <v>39556</v>
      </c>
      <c r="BB4102" s="3" t="s">
        <v>39557</v>
      </c>
      <c r="BC4102" s="3" t="s">
        <v>102</v>
      </c>
      <c r="BD4102" s="3" t="s">
        <v>68</v>
      </c>
      <c r="BE4102" s="3" t="s">
        <v>39558</v>
      </c>
      <c r="BF4102" s="3" t="s">
        <v>39557</v>
      </c>
      <c r="BG4102" s="3" t="s">
        <v>39559</v>
      </c>
    </row>
    <row r="4103" spans="1:59" ht="58" x14ac:dyDescent="0.35">
      <c r="A4103" s="2" t="s">
        <v>89</v>
      </c>
      <c r="B4103" s="2" t="s">
        <v>90</v>
      </c>
      <c r="C4103" s="2" t="s">
        <v>39560</v>
      </c>
      <c r="D4103" s="2" t="s">
        <v>39561</v>
      </c>
      <c r="E4103" s="2" t="s">
        <v>39551</v>
      </c>
      <c r="G4103" s="3" t="s">
        <v>62</v>
      </c>
      <c r="I4103" s="3" t="s">
        <v>61</v>
      </c>
      <c r="J4103" s="3" t="s">
        <v>61</v>
      </c>
      <c r="K4103" s="3" t="s">
        <v>63</v>
      </c>
      <c r="L4103" s="2" t="s">
        <v>39552</v>
      </c>
      <c r="M4103" s="2" t="s">
        <v>39562</v>
      </c>
      <c r="N4103" s="3" t="s">
        <v>2985</v>
      </c>
      <c r="O4103" s="2" t="s">
        <v>2986</v>
      </c>
      <c r="P4103" s="3" t="s">
        <v>64</v>
      </c>
      <c r="R4103" s="3" t="s">
        <v>34126</v>
      </c>
      <c r="S4103" s="4">
        <v>43</v>
      </c>
      <c r="T4103" s="4">
        <v>77</v>
      </c>
      <c r="U4103" s="5" t="s">
        <v>22226</v>
      </c>
      <c r="V4103" s="5" t="s">
        <v>10665</v>
      </c>
      <c r="W4103" s="5" t="s">
        <v>67</v>
      </c>
      <c r="X4103" s="5" t="s">
        <v>67</v>
      </c>
      <c r="Y4103" s="4">
        <v>191</v>
      </c>
      <c r="Z4103" s="4">
        <v>24</v>
      </c>
      <c r="AA4103" s="4">
        <v>46</v>
      </c>
      <c r="AB4103" s="4">
        <v>1</v>
      </c>
      <c r="AC4103" s="4">
        <v>3</v>
      </c>
      <c r="AD4103" s="4">
        <v>62</v>
      </c>
      <c r="AE4103" s="4">
        <v>112</v>
      </c>
      <c r="AF4103" s="4">
        <v>0</v>
      </c>
      <c r="AG4103" s="4">
        <v>2</v>
      </c>
      <c r="AH4103" s="4">
        <v>52</v>
      </c>
      <c r="AI4103" s="4">
        <v>90</v>
      </c>
      <c r="AJ4103" s="4">
        <v>16</v>
      </c>
      <c r="AK4103" s="4">
        <v>23</v>
      </c>
      <c r="AL4103" s="4">
        <v>31</v>
      </c>
      <c r="AM4103" s="4">
        <v>47</v>
      </c>
      <c r="AN4103" s="4">
        <v>0</v>
      </c>
      <c r="AO4103" s="4">
        <v>0</v>
      </c>
      <c r="AP4103" s="4">
        <v>18</v>
      </c>
      <c r="AQ4103" s="4">
        <v>34</v>
      </c>
      <c r="AR4103" s="3" t="s">
        <v>62</v>
      </c>
      <c r="AS4103" s="3" t="s">
        <v>62</v>
      </c>
      <c r="AT4103" s="3" t="s">
        <v>62</v>
      </c>
      <c r="AV4103" s="6" t="str">
        <f>HYPERLINK("http://mcgill.on.worldcat.org/oclc/244566828","Catalog Record")</f>
        <v>Catalog Record</v>
      </c>
      <c r="AW4103" s="6" t="str">
        <f>HYPERLINK("http://www.worldcat.org/oclc/244566828","WorldCat Record")</f>
        <v>WorldCat Record</v>
      </c>
      <c r="AX4103" s="3" t="s">
        <v>39554</v>
      </c>
      <c r="AY4103" s="3" t="s">
        <v>39563</v>
      </c>
      <c r="AZ4103" s="3" t="s">
        <v>39564</v>
      </c>
      <c r="BA4103" s="3" t="s">
        <v>39564</v>
      </c>
      <c r="BB4103" s="3" t="s">
        <v>39565</v>
      </c>
      <c r="BC4103" s="3" t="s">
        <v>102</v>
      </c>
      <c r="BD4103" s="3" t="s">
        <v>68</v>
      </c>
      <c r="BE4103" s="3" t="s">
        <v>39566</v>
      </c>
      <c r="BF4103" s="3" t="s">
        <v>39565</v>
      </c>
      <c r="BG4103" s="3" t="s">
        <v>39567</v>
      </c>
    </row>
    <row r="4104" spans="1:59" ht="58" x14ac:dyDescent="0.35">
      <c r="A4104" s="2" t="s">
        <v>89</v>
      </c>
      <c r="B4104" s="2" t="s">
        <v>90</v>
      </c>
      <c r="C4104" s="2" t="s">
        <v>39560</v>
      </c>
      <c r="D4104" s="2" t="s">
        <v>39561</v>
      </c>
      <c r="E4104" s="2" t="s">
        <v>39551</v>
      </c>
      <c r="G4104" s="3" t="s">
        <v>62</v>
      </c>
      <c r="I4104" s="3" t="s">
        <v>61</v>
      </c>
      <c r="J4104" s="3" t="s">
        <v>61</v>
      </c>
      <c r="K4104" s="3" t="s">
        <v>63</v>
      </c>
      <c r="L4104" s="2" t="s">
        <v>39552</v>
      </c>
      <c r="M4104" s="2" t="s">
        <v>39562</v>
      </c>
      <c r="N4104" s="3" t="s">
        <v>2985</v>
      </c>
      <c r="O4104" s="2" t="s">
        <v>2986</v>
      </c>
      <c r="P4104" s="3" t="s">
        <v>64</v>
      </c>
      <c r="R4104" s="3" t="s">
        <v>34126</v>
      </c>
      <c r="S4104" s="4">
        <v>34</v>
      </c>
      <c r="T4104" s="4">
        <v>77</v>
      </c>
      <c r="U4104" s="5" t="s">
        <v>10665</v>
      </c>
      <c r="V4104" s="5" t="s">
        <v>10665</v>
      </c>
      <c r="W4104" s="5" t="s">
        <v>67</v>
      </c>
      <c r="X4104" s="5" t="s">
        <v>67</v>
      </c>
      <c r="Y4104" s="4">
        <v>191</v>
      </c>
      <c r="Z4104" s="4">
        <v>24</v>
      </c>
      <c r="AA4104" s="4">
        <v>46</v>
      </c>
      <c r="AB4104" s="4">
        <v>1</v>
      </c>
      <c r="AC4104" s="4">
        <v>3</v>
      </c>
      <c r="AD4104" s="4">
        <v>62</v>
      </c>
      <c r="AE4104" s="4">
        <v>112</v>
      </c>
      <c r="AF4104" s="4">
        <v>0</v>
      </c>
      <c r="AG4104" s="4">
        <v>2</v>
      </c>
      <c r="AH4104" s="4">
        <v>52</v>
      </c>
      <c r="AI4104" s="4">
        <v>90</v>
      </c>
      <c r="AJ4104" s="4">
        <v>16</v>
      </c>
      <c r="AK4104" s="4">
        <v>23</v>
      </c>
      <c r="AL4104" s="4">
        <v>31</v>
      </c>
      <c r="AM4104" s="4">
        <v>47</v>
      </c>
      <c r="AN4104" s="4">
        <v>0</v>
      </c>
      <c r="AO4104" s="4">
        <v>0</v>
      </c>
      <c r="AP4104" s="4">
        <v>18</v>
      </c>
      <c r="AQ4104" s="4">
        <v>34</v>
      </c>
      <c r="AR4104" s="3" t="s">
        <v>62</v>
      </c>
      <c r="AS4104" s="3" t="s">
        <v>62</v>
      </c>
      <c r="AT4104" s="3" t="s">
        <v>62</v>
      </c>
      <c r="AV4104" s="6" t="str">
        <f>HYPERLINK("http://mcgill.on.worldcat.org/oclc/244566828","Catalog Record")</f>
        <v>Catalog Record</v>
      </c>
      <c r="AW4104" s="6" t="str">
        <f>HYPERLINK("http://www.worldcat.org/oclc/244566828","WorldCat Record")</f>
        <v>WorldCat Record</v>
      </c>
      <c r="AX4104" s="3" t="s">
        <v>39554</v>
      </c>
      <c r="AY4104" s="3" t="s">
        <v>39563</v>
      </c>
      <c r="AZ4104" s="3" t="s">
        <v>39564</v>
      </c>
      <c r="BA4104" s="3" t="s">
        <v>39564</v>
      </c>
      <c r="BB4104" s="3" t="s">
        <v>39568</v>
      </c>
      <c r="BC4104" s="3" t="s">
        <v>102</v>
      </c>
      <c r="BD4104" s="3" t="s">
        <v>68</v>
      </c>
      <c r="BE4104" s="3" t="s">
        <v>39566</v>
      </c>
      <c r="BF4104" s="3" t="s">
        <v>39568</v>
      </c>
      <c r="BG4104" s="3" t="s">
        <v>39569</v>
      </c>
    </row>
    <row r="4105" spans="1:59" ht="58" x14ac:dyDescent="0.35">
      <c r="A4105" s="2" t="s">
        <v>89</v>
      </c>
      <c r="B4105" s="2" t="s">
        <v>90</v>
      </c>
      <c r="C4105" s="2" t="s">
        <v>39570</v>
      </c>
      <c r="D4105" s="2" t="s">
        <v>39571</v>
      </c>
      <c r="E4105" s="2" t="s">
        <v>39572</v>
      </c>
      <c r="G4105" s="3" t="s">
        <v>62</v>
      </c>
      <c r="I4105" s="3" t="s">
        <v>62</v>
      </c>
      <c r="J4105" s="3" t="s">
        <v>62</v>
      </c>
      <c r="K4105" s="3" t="s">
        <v>63</v>
      </c>
      <c r="M4105" s="2" t="s">
        <v>39573</v>
      </c>
      <c r="N4105" s="3" t="s">
        <v>115</v>
      </c>
      <c r="P4105" s="3" t="s">
        <v>64</v>
      </c>
      <c r="Q4105" s="2" t="s">
        <v>39574</v>
      </c>
      <c r="R4105" s="3" t="s">
        <v>34126</v>
      </c>
      <c r="S4105" s="4">
        <v>70</v>
      </c>
      <c r="T4105" s="4">
        <v>70</v>
      </c>
      <c r="U4105" s="5" t="s">
        <v>37224</v>
      </c>
      <c r="V4105" s="5" t="s">
        <v>37224</v>
      </c>
      <c r="W4105" s="5" t="s">
        <v>67</v>
      </c>
      <c r="X4105" s="5" t="s">
        <v>67</v>
      </c>
      <c r="Y4105" s="4">
        <v>87</v>
      </c>
      <c r="Z4105" s="4">
        <v>9</v>
      </c>
      <c r="AA4105" s="4">
        <v>9</v>
      </c>
      <c r="AB4105" s="4">
        <v>1</v>
      </c>
      <c r="AC4105" s="4">
        <v>1</v>
      </c>
      <c r="AD4105" s="4">
        <v>26</v>
      </c>
      <c r="AE4105" s="4">
        <v>26</v>
      </c>
      <c r="AF4105" s="4">
        <v>0</v>
      </c>
      <c r="AG4105" s="4">
        <v>0</v>
      </c>
      <c r="AH4105" s="4">
        <v>24</v>
      </c>
      <c r="AI4105" s="4">
        <v>24</v>
      </c>
      <c r="AJ4105" s="4">
        <v>6</v>
      </c>
      <c r="AK4105" s="4">
        <v>6</v>
      </c>
      <c r="AL4105" s="4">
        <v>14</v>
      </c>
      <c r="AM4105" s="4">
        <v>14</v>
      </c>
      <c r="AN4105" s="4">
        <v>0</v>
      </c>
      <c r="AO4105" s="4">
        <v>0</v>
      </c>
      <c r="AP4105" s="4">
        <v>7</v>
      </c>
      <c r="AQ4105" s="4">
        <v>7</v>
      </c>
      <c r="AR4105" s="3" t="s">
        <v>62</v>
      </c>
      <c r="AS4105" s="3" t="s">
        <v>62</v>
      </c>
      <c r="AT4105" s="3" t="s">
        <v>62</v>
      </c>
      <c r="AV4105" s="6" t="str">
        <f>HYPERLINK("http://mcgill.on.worldcat.org/oclc/24738092","Catalog Record")</f>
        <v>Catalog Record</v>
      </c>
      <c r="AW4105" s="6" t="str">
        <f>HYPERLINK("http://www.worldcat.org/oclc/24738092","WorldCat Record")</f>
        <v>WorldCat Record</v>
      </c>
      <c r="AX4105" s="3" t="s">
        <v>39575</v>
      </c>
      <c r="AY4105" s="3" t="s">
        <v>39576</v>
      </c>
      <c r="AZ4105" s="3" t="s">
        <v>39577</v>
      </c>
      <c r="BA4105" s="3" t="s">
        <v>39577</v>
      </c>
      <c r="BB4105" s="3" t="s">
        <v>39578</v>
      </c>
      <c r="BC4105" s="3" t="s">
        <v>102</v>
      </c>
      <c r="BD4105" s="3" t="s">
        <v>68</v>
      </c>
      <c r="BE4105" s="3" t="s">
        <v>39579</v>
      </c>
      <c r="BF4105" s="3" t="s">
        <v>39578</v>
      </c>
      <c r="BG4105" s="3" t="s">
        <v>39580</v>
      </c>
    </row>
    <row r="4106" spans="1:59" ht="58" x14ac:dyDescent="0.35">
      <c r="A4106" s="2" t="s">
        <v>89</v>
      </c>
      <c r="B4106" s="2" t="s">
        <v>90</v>
      </c>
      <c r="C4106" s="2" t="s">
        <v>39581</v>
      </c>
      <c r="D4106" s="2" t="s">
        <v>39582</v>
      </c>
      <c r="E4106" s="2" t="s">
        <v>39583</v>
      </c>
      <c r="G4106" s="3" t="s">
        <v>62</v>
      </c>
      <c r="I4106" s="3" t="s">
        <v>61</v>
      </c>
      <c r="J4106" s="3" t="s">
        <v>62</v>
      </c>
      <c r="K4106" s="3" t="s">
        <v>63</v>
      </c>
      <c r="L4106" s="2" t="s">
        <v>39584</v>
      </c>
      <c r="M4106" s="2" t="s">
        <v>39585</v>
      </c>
      <c r="N4106" s="3" t="s">
        <v>838</v>
      </c>
      <c r="P4106" s="3" t="s">
        <v>64</v>
      </c>
      <c r="Q4106" s="2" t="s">
        <v>39586</v>
      </c>
      <c r="R4106" s="3" t="s">
        <v>34126</v>
      </c>
      <c r="S4106" s="4">
        <v>20</v>
      </c>
      <c r="T4106" s="4">
        <v>28</v>
      </c>
      <c r="U4106" s="5" t="s">
        <v>17612</v>
      </c>
      <c r="V4106" s="5" t="s">
        <v>17612</v>
      </c>
      <c r="W4106" s="5" t="s">
        <v>67</v>
      </c>
      <c r="X4106" s="5" t="s">
        <v>67</v>
      </c>
      <c r="Y4106" s="4">
        <v>561</v>
      </c>
      <c r="Z4106" s="4">
        <v>22</v>
      </c>
      <c r="AA4106" s="4">
        <v>39</v>
      </c>
      <c r="AB4106" s="4">
        <v>2</v>
      </c>
      <c r="AC4106" s="4">
        <v>7</v>
      </c>
      <c r="AD4106" s="4">
        <v>112</v>
      </c>
      <c r="AE4106" s="4">
        <v>125</v>
      </c>
      <c r="AF4106" s="4">
        <v>1</v>
      </c>
      <c r="AG4106" s="4">
        <v>5</v>
      </c>
      <c r="AH4106" s="4">
        <v>95</v>
      </c>
      <c r="AI4106" s="4">
        <v>101</v>
      </c>
      <c r="AJ4106" s="4">
        <v>12</v>
      </c>
      <c r="AK4106" s="4">
        <v>24</v>
      </c>
      <c r="AL4106" s="4">
        <v>52</v>
      </c>
      <c r="AM4106" s="4">
        <v>53</v>
      </c>
      <c r="AN4106" s="4">
        <v>0</v>
      </c>
      <c r="AO4106" s="4">
        <v>0</v>
      </c>
      <c r="AP4106" s="4">
        <v>20</v>
      </c>
      <c r="AQ4106" s="4">
        <v>32</v>
      </c>
      <c r="AR4106" s="3" t="s">
        <v>62</v>
      </c>
      <c r="AS4106" s="3" t="s">
        <v>62</v>
      </c>
      <c r="AT4106" s="3" t="s">
        <v>61</v>
      </c>
      <c r="AU4106" s="6" t="str">
        <f>HYPERLINK("http://catalog.hathitrust.org/Record/001492735","HathiTrust Record")</f>
        <v>HathiTrust Record</v>
      </c>
      <c r="AV4106" s="6" t="str">
        <f>HYPERLINK("http://mcgill.on.worldcat.org/oclc/338468","Catalog Record")</f>
        <v>Catalog Record</v>
      </c>
      <c r="AW4106" s="6" t="str">
        <f>HYPERLINK("http://www.worldcat.org/oclc/338468","WorldCat Record")</f>
        <v>WorldCat Record</v>
      </c>
      <c r="AX4106" s="3" t="s">
        <v>39587</v>
      </c>
      <c r="AY4106" s="3" t="s">
        <v>39588</v>
      </c>
      <c r="AZ4106" s="3" t="s">
        <v>39589</v>
      </c>
      <c r="BA4106" s="3" t="s">
        <v>39589</v>
      </c>
      <c r="BB4106" s="3" t="s">
        <v>39590</v>
      </c>
      <c r="BC4106" s="3" t="s">
        <v>102</v>
      </c>
      <c r="BD4106" s="3" t="s">
        <v>231</v>
      </c>
      <c r="BF4106" s="3" t="s">
        <v>39590</v>
      </c>
      <c r="BG4106" s="3" t="s">
        <v>39591</v>
      </c>
    </row>
    <row r="4107" spans="1:59" ht="58" x14ac:dyDescent="0.35">
      <c r="A4107" s="2" t="s">
        <v>89</v>
      </c>
      <c r="B4107" s="2" t="s">
        <v>90</v>
      </c>
      <c r="C4107" s="2" t="s">
        <v>39592</v>
      </c>
      <c r="D4107" s="2" t="s">
        <v>39593</v>
      </c>
      <c r="E4107" s="2" t="s">
        <v>39594</v>
      </c>
      <c r="G4107" s="3" t="s">
        <v>62</v>
      </c>
      <c r="I4107" s="3" t="s">
        <v>62</v>
      </c>
      <c r="J4107" s="3" t="s">
        <v>62</v>
      </c>
      <c r="K4107" s="3" t="s">
        <v>63</v>
      </c>
      <c r="M4107" s="2" t="s">
        <v>39595</v>
      </c>
      <c r="N4107" s="3" t="s">
        <v>1195</v>
      </c>
      <c r="P4107" s="3" t="s">
        <v>64</v>
      </c>
      <c r="R4107" s="3" t="s">
        <v>34126</v>
      </c>
      <c r="S4107" s="4">
        <v>3</v>
      </c>
      <c r="T4107" s="4">
        <v>3</v>
      </c>
      <c r="U4107" s="5" t="s">
        <v>6226</v>
      </c>
      <c r="V4107" s="5" t="s">
        <v>6226</v>
      </c>
      <c r="W4107" s="5" t="s">
        <v>67</v>
      </c>
      <c r="X4107" s="5" t="s">
        <v>67</v>
      </c>
      <c r="Y4107" s="4">
        <v>239</v>
      </c>
      <c r="Z4107" s="4">
        <v>21</v>
      </c>
      <c r="AA4107" s="4">
        <v>31</v>
      </c>
      <c r="AB4107" s="4">
        <v>2</v>
      </c>
      <c r="AC4107" s="4">
        <v>8</v>
      </c>
      <c r="AD4107" s="4">
        <v>81</v>
      </c>
      <c r="AE4107" s="4">
        <v>91</v>
      </c>
      <c r="AF4107" s="4">
        <v>0</v>
      </c>
      <c r="AG4107" s="4">
        <v>3</v>
      </c>
      <c r="AH4107" s="4">
        <v>71</v>
      </c>
      <c r="AI4107" s="4">
        <v>76</v>
      </c>
      <c r="AJ4107" s="4">
        <v>12</v>
      </c>
      <c r="AK4107" s="4">
        <v>17</v>
      </c>
      <c r="AL4107" s="4">
        <v>44</v>
      </c>
      <c r="AM4107" s="4">
        <v>46</v>
      </c>
      <c r="AN4107" s="4">
        <v>0</v>
      </c>
      <c r="AO4107" s="4">
        <v>0</v>
      </c>
      <c r="AP4107" s="4">
        <v>16</v>
      </c>
      <c r="AQ4107" s="4">
        <v>22</v>
      </c>
      <c r="AR4107" s="3" t="s">
        <v>62</v>
      </c>
      <c r="AS4107" s="3" t="s">
        <v>62</v>
      </c>
      <c r="AT4107" s="3" t="s">
        <v>62</v>
      </c>
      <c r="AV4107" s="6" t="str">
        <f>HYPERLINK("http://mcgill.on.worldcat.org/oclc/61461525","Catalog Record")</f>
        <v>Catalog Record</v>
      </c>
      <c r="AW4107" s="6" t="str">
        <f>HYPERLINK("http://www.worldcat.org/oclc/61461525","WorldCat Record")</f>
        <v>WorldCat Record</v>
      </c>
      <c r="AX4107" s="3" t="s">
        <v>39596</v>
      </c>
      <c r="AY4107" s="3" t="s">
        <v>39597</v>
      </c>
      <c r="AZ4107" s="3" t="s">
        <v>39598</v>
      </c>
      <c r="BA4107" s="3" t="s">
        <v>39598</v>
      </c>
      <c r="BB4107" s="3" t="s">
        <v>39599</v>
      </c>
      <c r="BC4107" s="3" t="s">
        <v>102</v>
      </c>
      <c r="BD4107" s="3" t="s">
        <v>68</v>
      </c>
      <c r="BE4107" s="3" t="s">
        <v>39600</v>
      </c>
      <c r="BF4107" s="3" t="s">
        <v>39599</v>
      </c>
      <c r="BG4107" s="3" t="s">
        <v>39601</v>
      </c>
    </row>
    <row r="4108" spans="1:59" ht="58" x14ac:dyDescent="0.35">
      <c r="A4108" s="2" t="s">
        <v>59</v>
      </c>
      <c r="B4108" s="2" t="s">
        <v>60</v>
      </c>
      <c r="C4108" s="2" t="s">
        <v>39602</v>
      </c>
      <c r="D4108" s="2" t="s">
        <v>39603</v>
      </c>
      <c r="E4108" s="2" t="s">
        <v>39604</v>
      </c>
      <c r="G4108" s="3" t="s">
        <v>62</v>
      </c>
      <c r="I4108" s="3" t="s">
        <v>61</v>
      </c>
      <c r="J4108" s="3" t="s">
        <v>61</v>
      </c>
      <c r="K4108" s="3" t="s">
        <v>63</v>
      </c>
      <c r="L4108" s="2" t="s">
        <v>39605</v>
      </c>
      <c r="M4108" s="2" t="s">
        <v>39606</v>
      </c>
      <c r="N4108" s="3" t="s">
        <v>838</v>
      </c>
      <c r="P4108" s="3" t="s">
        <v>64</v>
      </c>
      <c r="R4108" s="3" t="s">
        <v>34126</v>
      </c>
      <c r="S4108" s="4">
        <v>0</v>
      </c>
      <c r="T4108" s="4">
        <v>9</v>
      </c>
      <c r="V4108" s="5" t="s">
        <v>10058</v>
      </c>
      <c r="W4108" s="5" t="s">
        <v>67</v>
      </c>
      <c r="X4108" s="5" t="s">
        <v>67</v>
      </c>
      <c r="Y4108" s="4">
        <v>562</v>
      </c>
      <c r="Z4108" s="4">
        <v>31</v>
      </c>
      <c r="AA4108" s="4">
        <v>59</v>
      </c>
      <c r="AB4108" s="4">
        <v>4</v>
      </c>
      <c r="AC4108" s="4">
        <v>12</v>
      </c>
      <c r="AD4108" s="4">
        <v>108</v>
      </c>
      <c r="AE4108" s="4">
        <v>148</v>
      </c>
      <c r="AF4108" s="4">
        <v>1</v>
      </c>
      <c r="AG4108" s="4">
        <v>5</v>
      </c>
      <c r="AH4108" s="4">
        <v>90</v>
      </c>
      <c r="AI4108" s="4">
        <v>113</v>
      </c>
      <c r="AJ4108" s="4">
        <v>16</v>
      </c>
      <c r="AK4108" s="4">
        <v>25</v>
      </c>
      <c r="AL4108" s="4">
        <v>50</v>
      </c>
      <c r="AM4108" s="4">
        <v>60</v>
      </c>
      <c r="AN4108" s="4">
        <v>0</v>
      </c>
      <c r="AO4108" s="4">
        <v>0</v>
      </c>
      <c r="AP4108" s="4">
        <v>23</v>
      </c>
      <c r="AQ4108" s="4">
        <v>41</v>
      </c>
      <c r="AR4108" s="3" t="s">
        <v>62</v>
      </c>
      <c r="AS4108" s="3" t="s">
        <v>62</v>
      </c>
      <c r="AT4108" s="3" t="s">
        <v>61</v>
      </c>
      <c r="AU4108" s="6" t="str">
        <f>HYPERLINK("http://catalog.hathitrust.org/Record/001492745","HathiTrust Record")</f>
        <v>HathiTrust Record</v>
      </c>
      <c r="AV4108" s="6" t="str">
        <f>HYPERLINK("http://mcgill.on.worldcat.org/oclc/411331","Catalog Record")</f>
        <v>Catalog Record</v>
      </c>
      <c r="AW4108" s="6" t="str">
        <f>HYPERLINK("http://www.worldcat.org/oclc/411331","WorldCat Record")</f>
        <v>WorldCat Record</v>
      </c>
      <c r="AX4108" s="3" t="s">
        <v>39607</v>
      </c>
      <c r="AY4108" s="3" t="s">
        <v>39608</v>
      </c>
      <c r="AZ4108" s="3" t="s">
        <v>39609</v>
      </c>
      <c r="BA4108" s="3" t="s">
        <v>39609</v>
      </c>
      <c r="BB4108" s="3" t="s">
        <v>39610</v>
      </c>
      <c r="BC4108" s="3" t="s">
        <v>102</v>
      </c>
      <c r="BD4108" s="3" t="s">
        <v>68</v>
      </c>
      <c r="BF4108" s="3" t="s">
        <v>39610</v>
      </c>
      <c r="BG4108" s="3" t="s">
        <v>39611</v>
      </c>
    </row>
    <row r="4109" spans="1:59" ht="58" x14ac:dyDescent="0.35">
      <c r="A4109" s="2" t="s">
        <v>59</v>
      </c>
      <c r="B4109" s="2" t="s">
        <v>60</v>
      </c>
      <c r="C4109" s="2" t="s">
        <v>39602</v>
      </c>
      <c r="D4109" s="2" t="s">
        <v>39603</v>
      </c>
      <c r="E4109" s="2" t="s">
        <v>39604</v>
      </c>
      <c r="G4109" s="3" t="s">
        <v>62</v>
      </c>
      <c r="I4109" s="3" t="s">
        <v>61</v>
      </c>
      <c r="J4109" s="3" t="s">
        <v>61</v>
      </c>
      <c r="K4109" s="3" t="s">
        <v>63</v>
      </c>
      <c r="L4109" s="2" t="s">
        <v>39605</v>
      </c>
      <c r="M4109" s="2" t="s">
        <v>39606</v>
      </c>
      <c r="N4109" s="3" t="s">
        <v>838</v>
      </c>
      <c r="P4109" s="3" t="s">
        <v>64</v>
      </c>
      <c r="R4109" s="3" t="s">
        <v>34126</v>
      </c>
      <c r="S4109" s="4">
        <v>1</v>
      </c>
      <c r="T4109" s="4">
        <v>9</v>
      </c>
      <c r="U4109" s="5" t="s">
        <v>39612</v>
      </c>
      <c r="V4109" s="5" t="s">
        <v>10058</v>
      </c>
      <c r="W4109" s="5" t="s">
        <v>67</v>
      </c>
      <c r="X4109" s="5" t="s">
        <v>67</v>
      </c>
      <c r="Y4109" s="4">
        <v>562</v>
      </c>
      <c r="Z4109" s="4">
        <v>31</v>
      </c>
      <c r="AA4109" s="4">
        <v>59</v>
      </c>
      <c r="AB4109" s="4">
        <v>4</v>
      </c>
      <c r="AC4109" s="4">
        <v>12</v>
      </c>
      <c r="AD4109" s="4">
        <v>108</v>
      </c>
      <c r="AE4109" s="4">
        <v>148</v>
      </c>
      <c r="AF4109" s="4">
        <v>1</v>
      </c>
      <c r="AG4109" s="4">
        <v>5</v>
      </c>
      <c r="AH4109" s="4">
        <v>90</v>
      </c>
      <c r="AI4109" s="4">
        <v>113</v>
      </c>
      <c r="AJ4109" s="4">
        <v>16</v>
      </c>
      <c r="AK4109" s="4">
        <v>25</v>
      </c>
      <c r="AL4109" s="4">
        <v>50</v>
      </c>
      <c r="AM4109" s="4">
        <v>60</v>
      </c>
      <c r="AN4109" s="4">
        <v>0</v>
      </c>
      <c r="AO4109" s="4">
        <v>0</v>
      </c>
      <c r="AP4109" s="4">
        <v>23</v>
      </c>
      <c r="AQ4109" s="4">
        <v>41</v>
      </c>
      <c r="AR4109" s="3" t="s">
        <v>62</v>
      </c>
      <c r="AS4109" s="3" t="s">
        <v>62</v>
      </c>
      <c r="AT4109" s="3" t="s">
        <v>61</v>
      </c>
      <c r="AU4109" s="6" t="str">
        <f>HYPERLINK("http://catalog.hathitrust.org/Record/001492745","HathiTrust Record")</f>
        <v>HathiTrust Record</v>
      </c>
      <c r="AV4109" s="6" t="str">
        <f>HYPERLINK("http://mcgill.on.worldcat.org/oclc/411331","Catalog Record")</f>
        <v>Catalog Record</v>
      </c>
      <c r="AW4109" s="6" t="str">
        <f>HYPERLINK("http://www.worldcat.org/oclc/411331","WorldCat Record")</f>
        <v>WorldCat Record</v>
      </c>
      <c r="AX4109" s="3" t="s">
        <v>39607</v>
      </c>
      <c r="AY4109" s="3" t="s">
        <v>39608</v>
      </c>
      <c r="AZ4109" s="3" t="s">
        <v>39609</v>
      </c>
      <c r="BA4109" s="3" t="s">
        <v>39609</v>
      </c>
      <c r="BB4109" s="3" t="s">
        <v>39613</v>
      </c>
      <c r="BC4109" s="3" t="s">
        <v>102</v>
      </c>
      <c r="BD4109" s="3" t="s">
        <v>68</v>
      </c>
      <c r="BF4109" s="3" t="s">
        <v>39613</v>
      </c>
      <c r="BG4109" s="3" t="s">
        <v>39614</v>
      </c>
    </row>
    <row r="4110" spans="1:59" ht="58" x14ac:dyDescent="0.35">
      <c r="A4110" s="2" t="s">
        <v>89</v>
      </c>
      <c r="B4110" s="2" t="s">
        <v>90</v>
      </c>
      <c r="C4110" s="2" t="s">
        <v>39602</v>
      </c>
      <c r="D4110" s="2" t="s">
        <v>39603</v>
      </c>
      <c r="E4110" s="2" t="s">
        <v>39604</v>
      </c>
      <c r="G4110" s="3" t="s">
        <v>62</v>
      </c>
      <c r="I4110" s="3" t="s">
        <v>61</v>
      </c>
      <c r="J4110" s="3" t="s">
        <v>61</v>
      </c>
      <c r="K4110" s="3" t="s">
        <v>63</v>
      </c>
      <c r="L4110" s="2" t="s">
        <v>39605</v>
      </c>
      <c r="M4110" s="2" t="s">
        <v>39606</v>
      </c>
      <c r="N4110" s="3" t="s">
        <v>838</v>
      </c>
      <c r="P4110" s="3" t="s">
        <v>64</v>
      </c>
      <c r="R4110" s="3" t="s">
        <v>34126</v>
      </c>
      <c r="S4110" s="4">
        <v>2</v>
      </c>
      <c r="T4110" s="4">
        <v>9</v>
      </c>
      <c r="U4110" s="5" t="s">
        <v>39615</v>
      </c>
      <c r="V4110" s="5" t="s">
        <v>10058</v>
      </c>
      <c r="W4110" s="5" t="s">
        <v>67</v>
      </c>
      <c r="X4110" s="5" t="s">
        <v>67</v>
      </c>
      <c r="Y4110" s="4">
        <v>562</v>
      </c>
      <c r="Z4110" s="4">
        <v>31</v>
      </c>
      <c r="AA4110" s="4">
        <v>59</v>
      </c>
      <c r="AB4110" s="4">
        <v>4</v>
      </c>
      <c r="AC4110" s="4">
        <v>12</v>
      </c>
      <c r="AD4110" s="4">
        <v>108</v>
      </c>
      <c r="AE4110" s="4">
        <v>148</v>
      </c>
      <c r="AF4110" s="4">
        <v>1</v>
      </c>
      <c r="AG4110" s="4">
        <v>5</v>
      </c>
      <c r="AH4110" s="4">
        <v>90</v>
      </c>
      <c r="AI4110" s="4">
        <v>113</v>
      </c>
      <c r="AJ4110" s="4">
        <v>16</v>
      </c>
      <c r="AK4110" s="4">
        <v>25</v>
      </c>
      <c r="AL4110" s="4">
        <v>50</v>
      </c>
      <c r="AM4110" s="4">
        <v>60</v>
      </c>
      <c r="AN4110" s="4">
        <v>0</v>
      </c>
      <c r="AO4110" s="4">
        <v>0</v>
      </c>
      <c r="AP4110" s="4">
        <v>23</v>
      </c>
      <c r="AQ4110" s="4">
        <v>41</v>
      </c>
      <c r="AR4110" s="3" t="s">
        <v>62</v>
      </c>
      <c r="AS4110" s="3" t="s">
        <v>62</v>
      </c>
      <c r="AT4110" s="3" t="s">
        <v>61</v>
      </c>
      <c r="AU4110" s="6" t="str">
        <f>HYPERLINK("http://catalog.hathitrust.org/Record/001492745","HathiTrust Record")</f>
        <v>HathiTrust Record</v>
      </c>
      <c r="AV4110" s="6" t="str">
        <f>HYPERLINK("http://mcgill.on.worldcat.org/oclc/411331","Catalog Record")</f>
        <v>Catalog Record</v>
      </c>
      <c r="AW4110" s="6" t="str">
        <f>HYPERLINK("http://www.worldcat.org/oclc/411331","WorldCat Record")</f>
        <v>WorldCat Record</v>
      </c>
      <c r="AX4110" s="3" t="s">
        <v>39607</v>
      </c>
      <c r="AY4110" s="3" t="s">
        <v>39608</v>
      </c>
      <c r="AZ4110" s="3" t="s">
        <v>39609</v>
      </c>
      <c r="BA4110" s="3" t="s">
        <v>39609</v>
      </c>
      <c r="BB4110" s="3" t="s">
        <v>39616</v>
      </c>
      <c r="BC4110" s="3" t="s">
        <v>102</v>
      </c>
      <c r="BD4110" s="3" t="s">
        <v>68</v>
      </c>
      <c r="BF4110" s="3" t="s">
        <v>39616</v>
      </c>
      <c r="BG4110" s="3" t="s">
        <v>39617</v>
      </c>
    </row>
    <row r="4111" spans="1:59" ht="58" x14ac:dyDescent="0.35">
      <c r="A4111" s="2" t="s">
        <v>89</v>
      </c>
      <c r="B4111" s="2" t="s">
        <v>90</v>
      </c>
      <c r="C4111" s="2" t="s">
        <v>39618</v>
      </c>
      <c r="D4111" s="2" t="s">
        <v>39619</v>
      </c>
      <c r="E4111" s="2" t="s">
        <v>39620</v>
      </c>
      <c r="G4111" s="3" t="s">
        <v>62</v>
      </c>
      <c r="I4111" s="3" t="s">
        <v>62</v>
      </c>
      <c r="J4111" s="3" t="s">
        <v>62</v>
      </c>
      <c r="K4111" s="3" t="s">
        <v>63</v>
      </c>
      <c r="L4111" s="2" t="s">
        <v>39621</v>
      </c>
      <c r="M4111" s="2" t="s">
        <v>39622</v>
      </c>
      <c r="N4111" s="3" t="s">
        <v>640</v>
      </c>
      <c r="P4111" s="3" t="s">
        <v>64</v>
      </c>
      <c r="R4111" s="3" t="s">
        <v>34126</v>
      </c>
      <c r="S4111" s="4">
        <v>11</v>
      </c>
      <c r="T4111" s="4">
        <v>11</v>
      </c>
      <c r="U4111" s="5" t="s">
        <v>39623</v>
      </c>
      <c r="V4111" s="5" t="s">
        <v>39623</v>
      </c>
      <c r="W4111" s="5" t="s">
        <v>67</v>
      </c>
      <c r="X4111" s="5" t="s">
        <v>67</v>
      </c>
      <c r="Y4111" s="4">
        <v>529</v>
      </c>
      <c r="Z4111" s="4">
        <v>34</v>
      </c>
      <c r="AA4111" s="4">
        <v>44</v>
      </c>
      <c r="AB4111" s="4">
        <v>2</v>
      </c>
      <c r="AC4111" s="4">
        <v>7</v>
      </c>
      <c r="AD4111" s="4">
        <v>110</v>
      </c>
      <c r="AE4111" s="4">
        <v>119</v>
      </c>
      <c r="AF4111" s="4">
        <v>1</v>
      </c>
      <c r="AG4111" s="4">
        <v>3</v>
      </c>
      <c r="AH4111" s="4">
        <v>87</v>
      </c>
      <c r="AI4111" s="4">
        <v>94</v>
      </c>
      <c r="AJ4111" s="4">
        <v>19</v>
      </c>
      <c r="AK4111" s="4">
        <v>21</v>
      </c>
      <c r="AL4111" s="4">
        <v>46</v>
      </c>
      <c r="AM4111" s="4">
        <v>48</v>
      </c>
      <c r="AN4111" s="4">
        <v>0</v>
      </c>
      <c r="AO4111" s="4">
        <v>0</v>
      </c>
      <c r="AP4111" s="4">
        <v>29</v>
      </c>
      <c r="AQ4111" s="4">
        <v>31</v>
      </c>
      <c r="AR4111" s="3" t="s">
        <v>62</v>
      </c>
      <c r="AS4111" s="3" t="s">
        <v>62</v>
      </c>
      <c r="AT4111" s="3" t="s">
        <v>62</v>
      </c>
      <c r="AV4111" s="6" t="str">
        <f>HYPERLINK("http://mcgill.on.worldcat.org/oclc/53374801","Catalog Record")</f>
        <v>Catalog Record</v>
      </c>
      <c r="AW4111" s="6" t="str">
        <f>HYPERLINK("http://www.worldcat.org/oclc/53374801","WorldCat Record")</f>
        <v>WorldCat Record</v>
      </c>
      <c r="AX4111" s="3" t="s">
        <v>39624</v>
      </c>
      <c r="AY4111" s="3" t="s">
        <v>39625</v>
      </c>
      <c r="AZ4111" s="3" t="s">
        <v>39626</v>
      </c>
      <c r="BA4111" s="3" t="s">
        <v>39626</v>
      </c>
      <c r="BB4111" s="3" t="s">
        <v>39627</v>
      </c>
      <c r="BC4111" s="3" t="s">
        <v>102</v>
      </c>
      <c r="BD4111" s="3" t="s">
        <v>68</v>
      </c>
      <c r="BE4111" s="3" t="s">
        <v>39628</v>
      </c>
      <c r="BF4111" s="3" t="s">
        <v>39627</v>
      </c>
      <c r="BG4111" s="3" t="s">
        <v>39629</v>
      </c>
    </row>
    <row r="4112" spans="1:59" ht="72.5" x14ac:dyDescent="0.35">
      <c r="A4112" s="2" t="s">
        <v>59</v>
      </c>
      <c r="B4112" s="2" t="s">
        <v>60</v>
      </c>
      <c r="C4112" s="2" t="s">
        <v>39630</v>
      </c>
      <c r="D4112" s="2" t="s">
        <v>39631</v>
      </c>
      <c r="E4112" s="2" t="s">
        <v>39632</v>
      </c>
      <c r="G4112" s="3" t="s">
        <v>62</v>
      </c>
      <c r="I4112" s="3" t="s">
        <v>61</v>
      </c>
      <c r="J4112" s="3" t="s">
        <v>62</v>
      </c>
      <c r="K4112" s="3" t="s">
        <v>63</v>
      </c>
      <c r="M4112" s="2" t="s">
        <v>39633</v>
      </c>
      <c r="N4112" s="3" t="s">
        <v>640</v>
      </c>
      <c r="P4112" s="3" t="s">
        <v>1752</v>
      </c>
      <c r="Q4112" s="2" t="s">
        <v>39634</v>
      </c>
      <c r="R4112" s="3" t="s">
        <v>34126</v>
      </c>
      <c r="S4112" s="4">
        <v>2</v>
      </c>
      <c r="T4112" s="4">
        <v>2</v>
      </c>
      <c r="U4112" s="5" t="s">
        <v>2680</v>
      </c>
      <c r="V4112" s="5" t="s">
        <v>2680</v>
      </c>
      <c r="W4112" s="5" t="s">
        <v>67</v>
      </c>
      <c r="X4112" s="5" t="s">
        <v>67</v>
      </c>
      <c r="Y4112" s="4">
        <v>71</v>
      </c>
      <c r="Z4112" s="4">
        <v>4</v>
      </c>
      <c r="AA4112" s="4">
        <v>4</v>
      </c>
      <c r="AB4112" s="4">
        <v>1</v>
      </c>
      <c r="AC4112" s="4">
        <v>1</v>
      </c>
      <c r="AD4112" s="4">
        <v>42</v>
      </c>
      <c r="AE4112" s="4">
        <v>42</v>
      </c>
      <c r="AF4112" s="4">
        <v>0</v>
      </c>
      <c r="AG4112" s="4">
        <v>0</v>
      </c>
      <c r="AH4112" s="4">
        <v>42</v>
      </c>
      <c r="AI4112" s="4">
        <v>42</v>
      </c>
      <c r="AJ4112" s="4">
        <v>3</v>
      </c>
      <c r="AK4112" s="4">
        <v>3</v>
      </c>
      <c r="AL4112" s="4">
        <v>24</v>
      </c>
      <c r="AM4112" s="4">
        <v>24</v>
      </c>
      <c r="AN4112" s="4">
        <v>0</v>
      </c>
      <c r="AO4112" s="4">
        <v>0</v>
      </c>
      <c r="AP4112" s="4">
        <v>3</v>
      </c>
      <c r="AQ4112" s="4">
        <v>3</v>
      </c>
      <c r="AR4112" s="3" t="s">
        <v>62</v>
      </c>
      <c r="AS4112" s="3" t="s">
        <v>62</v>
      </c>
      <c r="AT4112" s="3" t="s">
        <v>62</v>
      </c>
      <c r="AV4112" s="6" t="str">
        <f>HYPERLINK("http://mcgill.on.worldcat.org/oclc/56211228","Catalog Record")</f>
        <v>Catalog Record</v>
      </c>
      <c r="AW4112" s="6" t="str">
        <f>HYPERLINK("http://www.worldcat.org/oclc/56211228","WorldCat Record")</f>
        <v>WorldCat Record</v>
      </c>
      <c r="AX4112" s="3" t="s">
        <v>39635</v>
      </c>
      <c r="AY4112" s="3" t="s">
        <v>39636</v>
      </c>
      <c r="AZ4112" s="3" t="s">
        <v>39637</v>
      </c>
      <c r="BA4112" s="3" t="s">
        <v>39637</v>
      </c>
      <c r="BB4112" s="3" t="s">
        <v>39638</v>
      </c>
      <c r="BC4112" s="3" t="s">
        <v>102</v>
      </c>
      <c r="BD4112" s="3" t="s">
        <v>68</v>
      </c>
      <c r="BE4112" s="3" t="s">
        <v>39639</v>
      </c>
      <c r="BF4112" s="3" t="s">
        <v>39638</v>
      </c>
      <c r="BG4112" s="3" t="s">
        <v>39640</v>
      </c>
    </row>
    <row r="4113" spans="1:59" ht="72.5" x14ac:dyDescent="0.35">
      <c r="A4113" s="2" t="s">
        <v>89</v>
      </c>
      <c r="B4113" s="2" t="s">
        <v>90</v>
      </c>
      <c r="C4113" s="2" t="s">
        <v>39641</v>
      </c>
      <c r="D4113" s="2" t="s">
        <v>39642</v>
      </c>
      <c r="E4113" s="2" t="s">
        <v>39643</v>
      </c>
      <c r="G4113" s="3" t="s">
        <v>62</v>
      </c>
      <c r="I4113" s="3" t="s">
        <v>62</v>
      </c>
      <c r="J4113" s="3" t="s">
        <v>62</v>
      </c>
      <c r="K4113" s="3" t="s">
        <v>63</v>
      </c>
      <c r="M4113" s="2" t="s">
        <v>39644</v>
      </c>
      <c r="N4113" s="3" t="s">
        <v>568</v>
      </c>
      <c r="P4113" s="3" t="s">
        <v>64</v>
      </c>
      <c r="R4113" s="3" t="s">
        <v>34126</v>
      </c>
      <c r="S4113" s="4">
        <v>28</v>
      </c>
      <c r="T4113" s="4">
        <v>28</v>
      </c>
      <c r="U4113" s="5" t="s">
        <v>19386</v>
      </c>
      <c r="V4113" s="5" t="s">
        <v>19386</v>
      </c>
      <c r="W4113" s="5" t="s">
        <v>67</v>
      </c>
      <c r="X4113" s="5" t="s">
        <v>67</v>
      </c>
      <c r="Y4113" s="4">
        <v>657</v>
      </c>
      <c r="Z4113" s="4">
        <v>37</v>
      </c>
      <c r="AA4113" s="4">
        <v>116</v>
      </c>
      <c r="AB4113" s="4">
        <v>2</v>
      </c>
      <c r="AC4113" s="4">
        <v>17</v>
      </c>
      <c r="AD4113" s="4">
        <v>120</v>
      </c>
      <c r="AE4113" s="4">
        <v>151</v>
      </c>
      <c r="AF4113" s="4">
        <v>1</v>
      </c>
      <c r="AG4113" s="4">
        <v>8</v>
      </c>
      <c r="AH4113" s="4">
        <v>101</v>
      </c>
      <c r="AI4113" s="4">
        <v>108</v>
      </c>
      <c r="AJ4113" s="4">
        <v>19</v>
      </c>
      <c r="AK4113" s="4">
        <v>27</v>
      </c>
      <c r="AL4113" s="4">
        <v>52</v>
      </c>
      <c r="AM4113" s="4">
        <v>56</v>
      </c>
      <c r="AN4113" s="4">
        <v>0</v>
      </c>
      <c r="AO4113" s="4">
        <v>0</v>
      </c>
      <c r="AP4113" s="4">
        <v>24</v>
      </c>
      <c r="AQ4113" s="4">
        <v>48</v>
      </c>
      <c r="AR4113" s="3" t="s">
        <v>62</v>
      </c>
      <c r="AS4113" s="3" t="s">
        <v>62</v>
      </c>
      <c r="AT4113" s="3" t="s">
        <v>61</v>
      </c>
      <c r="AU4113" s="6" t="str">
        <f>HYPERLINK("http://catalog.hathitrust.org/Record/004136466","HathiTrust Record")</f>
        <v>HathiTrust Record</v>
      </c>
      <c r="AV4113" s="6" t="str">
        <f>HYPERLINK("http://mcgill.on.worldcat.org/oclc/43411453","Catalog Record")</f>
        <v>Catalog Record</v>
      </c>
      <c r="AW4113" s="6" t="str">
        <f>HYPERLINK("http://www.worldcat.org/oclc/43411453","WorldCat Record")</f>
        <v>WorldCat Record</v>
      </c>
      <c r="AX4113" s="3" t="s">
        <v>39645</v>
      </c>
      <c r="AY4113" s="3" t="s">
        <v>39646</v>
      </c>
      <c r="AZ4113" s="3" t="s">
        <v>39647</v>
      </c>
      <c r="BA4113" s="3" t="s">
        <v>39647</v>
      </c>
      <c r="BB4113" s="3" t="s">
        <v>39648</v>
      </c>
      <c r="BC4113" s="3" t="s">
        <v>102</v>
      </c>
      <c r="BD4113" s="3" t="s">
        <v>68</v>
      </c>
      <c r="BE4113" s="3" t="s">
        <v>39649</v>
      </c>
      <c r="BF4113" s="3" t="s">
        <v>39648</v>
      </c>
      <c r="BG4113" s="3" t="s">
        <v>39650</v>
      </c>
    </row>
    <row r="4114" spans="1:59" ht="58" x14ac:dyDescent="0.35">
      <c r="A4114" s="2" t="s">
        <v>89</v>
      </c>
      <c r="B4114" s="2" t="s">
        <v>90</v>
      </c>
      <c r="C4114" s="2" t="s">
        <v>39651</v>
      </c>
      <c r="D4114" s="2" t="s">
        <v>39652</v>
      </c>
      <c r="E4114" s="2" t="s">
        <v>39653</v>
      </c>
      <c r="G4114" s="3" t="s">
        <v>62</v>
      </c>
      <c r="I4114" s="3" t="s">
        <v>62</v>
      </c>
      <c r="J4114" s="3" t="s">
        <v>62</v>
      </c>
      <c r="K4114" s="3" t="s">
        <v>63</v>
      </c>
      <c r="M4114" s="2" t="s">
        <v>39654</v>
      </c>
      <c r="N4114" s="3" t="s">
        <v>880</v>
      </c>
      <c r="P4114" s="3" t="s">
        <v>64</v>
      </c>
      <c r="Q4114" s="2" t="s">
        <v>39655</v>
      </c>
      <c r="R4114" s="3" t="s">
        <v>34126</v>
      </c>
      <c r="S4114" s="4">
        <v>0</v>
      </c>
      <c r="T4114" s="4">
        <v>0</v>
      </c>
      <c r="W4114" s="5" t="s">
        <v>67</v>
      </c>
      <c r="X4114" s="5" t="s">
        <v>67</v>
      </c>
      <c r="Y4114" s="4">
        <v>42</v>
      </c>
      <c r="Z4114" s="4">
        <v>6</v>
      </c>
      <c r="AA4114" s="4">
        <v>97</v>
      </c>
      <c r="AB4114" s="4">
        <v>1</v>
      </c>
      <c r="AC4114" s="4">
        <v>17</v>
      </c>
      <c r="AD4114" s="4">
        <v>16</v>
      </c>
      <c r="AE4114" s="4">
        <v>100</v>
      </c>
      <c r="AF4114" s="4">
        <v>0</v>
      </c>
      <c r="AG4114" s="4">
        <v>8</v>
      </c>
      <c r="AH4114" s="4">
        <v>12</v>
      </c>
      <c r="AI4114" s="4">
        <v>64</v>
      </c>
      <c r="AJ4114" s="4">
        <v>5</v>
      </c>
      <c r="AK4114" s="4">
        <v>21</v>
      </c>
      <c r="AL4114" s="4">
        <v>5</v>
      </c>
      <c r="AM4114" s="4">
        <v>29</v>
      </c>
      <c r="AN4114" s="4">
        <v>0</v>
      </c>
      <c r="AO4114" s="4">
        <v>0</v>
      </c>
      <c r="AP4114" s="4">
        <v>5</v>
      </c>
      <c r="AQ4114" s="4">
        <v>43</v>
      </c>
      <c r="AR4114" s="3" t="s">
        <v>62</v>
      </c>
      <c r="AS4114" s="3" t="s">
        <v>62</v>
      </c>
      <c r="AT4114" s="3" t="s">
        <v>62</v>
      </c>
      <c r="AV4114" s="6" t="str">
        <f>HYPERLINK("http://mcgill.on.worldcat.org/oclc/669754686","Catalog Record")</f>
        <v>Catalog Record</v>
      </c>
      <c r="AW4114" s="6" t="str">
        <f>HYPERLINK("http://www.worldcat.org/oclc/669754686","WorldCat Record")</f>
        <v>WorldCat Record</v>
      </c>
      <c r="AX4114" s="3" t="s">
        <v>39656</v>
      </c>
      <c r="AY4114" s="3" t="s">
        <v>39657</v>
      </c>
      <c r="AZ4114" s="3" t="s">
        <v>39658</v>
      </c>
      <c r="BA4114" s="3" t="s">
        <v>39658</v>
      </c>
      <c r="BB4114" s="3" t="s">
        <v>39659</v>
      </c>
      <c r="BC4114" s="3" t="s">
        <v>102</v>
      </c>
      <c r="BD4114" s="3" t="s">
        <v>68</v>
      </c>
      <c r="BE4114" s="3" t="s">
        <v>39660</v>
      </c>
      <c r="BF4114" s="3" t="s">
        <v>39659</v>
      </c>
      <c r="BG4114" s="3" t="s">
        <v>39661</v>
      </c>
    </row>
    <row r="4115" spans="1:59" ht="58" x14ac:dyDescent="0.35">
      <c r="A4115" s="2" t="s">
        <v>89</v>
      </c>
      <c r="B4115" s="2" t="s">
        <v>90</v>
      </c>
      <c r="C4115" s="2" t="s">
        <v>39662</v>
      </c>
      <c r="D4115" s="2" t="s">
        <v>39663</v>
      </c>
      <c r="E4115" s="2" t="s">
        <v>39664</v>
      </c>
      <c r="G4115" s="3" t="s">
        <v>62</v>
      </c>
      <c r="I4115" s="3" t="s">
        <v>62</v>
      </c>
      <c r="J4115" s="3" t="s">
        <v>62</v>
      </c>
      <c r="K4115" s="3" t="s">
        <v>63</v>
      </c>
      <c r="M4115" s="2" t="s">
        <v>30468</v>
      </c>
      <c r="N4115" s="3" t="s">
        <v>129</v>
      </c>
      <c r="P4115" s="3" t="s">
        <v>64</v>
      </c>
      <c r="R4115" s="3" t="s">
        <v>34126</v>
      </c>
      <c r="S4115" s="4">
        <v>5</v>
      </c>
      <c r="T4115" s="4">
        <v>5</v>
      </c>
      <c r="U4115" s="5" t="s">
        <v>39665</v>
      </c>
      <c r="V4115" s="5" t="s">
        <v>39665</v>
      </c>
      <c r="W4115" s="5" t="s">
        <v>67</v>
      </c>
      <c r="X4115" s="5" t="s">
        <v>67</v>
      </c>
      <c r="Y4115" s="4">
        <v>134</v>
      </c>
      <c r="Z4115" s="4">
        <v>18</v>
      </c>
      <c r="AA4115" s="4">
        <v>30</v>
      </c>
      <c r="AB4115" s="4">
        <v>1</v>
      </c>
      <c r="AC4115" s="4">
        <v>5</v>
      </c>
      <c r="AD4115" s="4">
        <v>49</v>
      </c>
      <c r="AE4115" s="4">
        <v>69</v>
      </c>
      <c r="AF4115" s="4">
        <v>0</v>
      </c>
      <c r="AG4115" s="4">
        <v>1</v>
      </c>
      <c r="AH4115" s="4">
        <v>40</v>
      </c>
      <c r="AI4115" s="4">
        <v>56</v>
      </c>
      <c r="AJ4115" s="4">
        <v>10</v>
      </c>
      <c r="AK4115" s="4">
        <v>15</v>
      </c>
      <c r="AL4115" s="4">
        <v>24</v>
      </c>
      <c r="AM4115" s="4">
        <v>31</v>
      </c>
      <c r="AN4115" s="4">
        <v>0</v>
      </c>
      <c r="AO4115" s="4">
        <v>0</v>
      </c>
      <c r="AP4115" s="4">
        <v>14</v>
      </c>
      <c r="AQ4115" s="4">
        <v>20</v>
      </c>
      <c r="AR4115" s="3" t="s">
        <v>62</v>
      </c>
      <c r="AS4115" s="3" t="s">
        <v>62</v>
      </c>
      <c r="AT4115" s="3" t="s">
        <v>62</v>
      </c>
      <c r="AV4115" s="6" t="str">
        <f>HYPERLINK("http://mcgill.on.worldcat.org/oclc/730403915","Catalog Record")</f>
        <v>Catalog Record</v>
      </c>
      <c r="AW4115" s="6" t="str">
        <f>HYPERLINK("http://www.worldcat.org/oclc/730403915","WorldCat Record")</f>
        <v>WorldCat Record</v>
      </c>
      <c r="AX4115" s="3" t="s">
        <v>39666</v>
      </c>
      <c r="AY4115" s="3" t="s">
        <v>39667</v>
      </c>
      <c r="AZ4115" s="3" t="s">
        <v>39668</v>
      </c>
      <c r="BA4115" s="3" t="s">
        <v>39668</v>
      </c>
      <c r="BB4115" s="3" t="s">
        <v>39669</v>
      </c>
      <c r="BC4115" s="3" t="s">
        <v>102</v>
      </c>
      <c r="BD4115" s="3" t="s">
        <v>68</v>
      </c>
      <c r="BE4115" s="3" t="s">
        <v>39670</v>
      </c>
      <c r="BF4115" s="3" t="s">
        <v>39669</v>
      </c>
      <c r="BG4115" s="3" t="s">
        <v>39671</v>
      </c>
    </row>
    <row r="4116" spans="1:59" ht="58" x14ac:dyDescent="0.35">
      <c r="A4116" s="2" t="s">
        <v>89</v>
      </c>
      <c r="B4116" s="2" t="s">
        <v>90</v>
      </c>
      <c r="C4116" s="2" t="s">
        <v>39672</v>
      </c>
      <c r="D4116" s="2" t="s">
        <v>39673</v>
      </c>
      <c r="E4116" s="2" t="s">
        <v>39674</v>
      </c>
      <c r="G4116" s="3" t="s">
        <v>62</v>
      </c>
      <c r="I4116" s="3" t="s">
        <v>62</v>
      </c>
      <c r="J4116" s="3" t="s">
        <v>62</v>
      </c>
      <c r="K4116" s="3" t="s">
        <v>63</v>
      </c>
      <c r="M4116" s="2" t="s">
        <v>30762</v>
      </c>
      <c r="N4116" s="3" t="s">
        <v>684</v>
      </c>
      <c r="P4116" s="3" t="s">
        <v>64</v>
      </c>
      <c r="Q4116" s="2" t="s">
        <v>39675</v>
      </c>
      <c r="R4116" s="3" t="s">
        <v>34126</v>
      </c>
      <c r="S4116" s="4">
        <v>2</v>
      </c>
      <c r="T4116" s="4">
        <v>2</v>
      </c>
      <c r="U4116" s="5" t="s">
        <v>34892</v>
      </c>
      <c r="V4116" s="5" t="s">
        <v>34892</v>
      </c>
      <c r="W4116" s="5" t="s">
        <v>67</v>
      </c>
      <c r="X4116" s="5" t="s">
        <v>67</v>
      </c>
      <c r="Y4116" s="4">
        <v>132</v>
      </c>
      <c r="Z4116" s="4">
        <v>22</v>
      </c>
      <c r="AA4116" s="4">
        <v>39</v>
      </c>
      <c r="AB4116" s="4">
        <v>1</v>
      </c>
      <c r="AC4116" s="4">
        <v>7</v>
      </c>
      <c r="AD4116" s="4">
        <v>63</v>
      </c>
      <c r="AE4116" s="4">
        <v>87</v>
      </c>
      <c r="AF4116" s="4">
        <v>0</v>
      </c>
      <c r="AG4116" s="4">
        <v>2</v>
      </c>
      <c r="AH4116" s="4">
        <v>56</v>
      </c>
      <c r="AI4116" s="4">
        <v>75</v>
      </c>
      <c r="AJ4116" s="4">
        <v>14</v>
      </c>
      <c r="AK4116" s="4">
        <v>19</v>
      </c>
      <c r="AL4116" s="4">
        <v>31</v>
      </c>
      <c r="AM4116" s="4">
        <v>39</v>
      </c>
      <c r="AN4116" s="4">
        <v>0</v>
      </c>
      <c r="AO4116" s="4">
        <v>0</v>
      </c>
      <c r="AP4116" s="4">
        <v>16</v>
      </c>
      <c r="AQ4116" s="4">
        <v>22</v>
      </c>
      <c r="AR4116" s="3" t="s">
        <v>62</v>
      </c>
      <c r="AS4116" s="3" t="s">
        <v>62</v>
      </c>
      <c r="AT4116" s="3" t="s">
        <v>62</v>
      </c>
      <c r="AV4116" s="6" t="str">
        <f>HYPERLINK("http://mcgill.on.worldcat.org/oclc/697974185","Catalog Record")</f>
        <v>Catalog Record</v>
      </c>
      <c r="AW4116" s="6" t="str">
        <f>HYPERLINK("http://www.worldcat.org/oclc/697974185","WorldCat Record")</f>
        <v>WorldCat Record</v>
      </c>
      <c r="AX4116" s="3" t="s">
        <v>39676</v>
      </c>
      <c r="AY4116" s="3" t="s">
        <v>39677</v>
      </c>
      <c r="AZ4116" s="3" t="s">
        <v>39678</v>
      </c>
      <c r="BA4116" s="3" t="s">
        <v>39678</v>
      </c>
      <c r="BB4116" s="3" t="s">
        <v>39679</v>
      </c>
      <c r="BC4116" s="3" t="s">
        <v>102</v>
      </c>
      <c r="BD4116" s="3" t="s">
        <v>68</v>
      </c>
      <c r="BE4116" s="3" t="s">
        <v>39680</v>
      </c>
      <c r="BF4116" s="3" t="s">
        <v>39679</v>
      </c>
      <c r="BG4116" s="3" t="s">
        <v>39681</v>
      </c>
    </row>
    <row r="4117" spans="1:59" ht="58" x14ac:dyDescent="0.35">
      <c r="A4117" s="2" t="s">
        <v>89</v>
      </c>
      <c r="B4117" s="2" t="s">
        <v>90</v>
      </c>
      <c r="C4117" s="2" t="s">
        <v>39682</v>
      </c>
      <c r="D4117" s="2" t="s">
        <v>39683</v>
      </c>
      <c r="E4117" s="2" t="s">
        <v>39684</v>
      </c>
      <c r="G4117" s="3" t="s">
        <v>62</v>
      </c>
      <c r="I4117" s="3" t="s">
        <v>62</v>
      </c>
      <c r="J4117" s="3" t="s">
        <v>62</v>
      </c>
      <c r="K4117" s="3" t="s">
        <v>63</v>
      </c>
      <c r="M4117" s="2" t="s">
        <v>39685</v>
      </c>
      <c r="N4117" s="3" t="s">
        <v>1722</v>
      </c>
      <c r="P4117" s="3" t="s">
        <v>64</v>
      </c>
      <c r="R4117" s="3" t="s">
        <v>34126</v>
      </c>
      <c r="S4117" s="4">
        <v>22</v>
      </c>
      <c r="T4117" s="4">
        <v>22</v>
      </c>
      <c r="U4117" s="5" t="s">
        <v>117</v>
      </c>
      <c r="V4117" s="5" t="s">
        <v>117</v>
      </c>
      <c r="W4117" s="5" t="s">
        <v>67</v>
      </c>
      <c r="X4117" s="5" t="s">
        <v>67</v>
      </c>
      <c r="Y4117" s="4">
        <v>91</v>
      </c>
      <c r="Z4117" s="4">
        <v>9</v>
      </c>
      <c r="AA4117" s="4">
        <v>40</v>
      </c>
      <c r="AB4117" s="4">
        <v>1</v>
      </c>
      <c r="AC4117" s="4">
        <v>7</v>
      </c>
      <c r="AD4117" s="4">
        <v>37</v>
      </c>
      <c r="AE4117" s="4">
        <v>96</v>
      </c>
      <c r="AF4117" s="4">
        <v>0</v>
      </c>
      <c r="AG4117" s="4">
        <v>5</v>
      </c>
      <c r="AH4117" s="4">
        <v>35</v>
      </c>
      <c r="AI4117" s="4">
        <v>69</v>
      </c>
      <c r="AJ4117" s="4">
        <v>8</v>
      </c>
      <c r="AK4117" s="4">
        <v>21</v>
      </c>
      <c r="AL4117" s="4">
        <v>21</v>
      </c>
      <c r="AM4117" s="4">
        <v>39</v>
      </c>
      <c r="AN4117" s="4">
        <v>0</v>
      </c>
      <c r="AO4117" s="4">
        <v>0</v>
      </c>
      <c r="AP4117" s="4">
        <v>8</v>
      </c>
      <c r="AQ4117" s="4">
        <v>36</v>
      </c>
      <c r="AR4117" s="3" t="s">
        <v>62</v>
      </c>
      <c r="AS4117" s="3" t="s">
        <v>62</v>
      </c>
      <c r="AT4117" s="3" t="s">
        <v>62</v>
      </c>
      <c r="AV4117" s="6" t="str">
        <f>HYPERLINK("http://mcgill.on.worldcat.org/oclc/144222194","Catalog Record")</f>
        <v>Catalog Record</v>
      </c>
      <c r="AW4117" s="6" t="str">
        <f>HYPERLINK("http://www.worldcat.org/oclc/144222194","WorldCat Record")</f>
        <v>WorldCat Record</v>
      </c>
      <c r="AX4117" s="3" t="s">
        <v>39686</v>
      </c>
      <c r="AY4117" s="3" t="s">
        <v>39687</v>
      </c>
      <c r="AZ4117" s="3" t="s">
        <v>39688</v>
      </c>
      <c r="BA4117" s="3" t="s">
        <v>39688</v>
      </c>
      <c r="BB4117" s="3" t="s">
        <v>39689</v>
      </c>
      <c r="BC4117" s="3" t="s">
        <v>102</v>
      </c>
      <c r="BD4117" s="3" t="s">
        <v>68</v>
      </c>
      <c r="BE4117" s="3" t="s">
        <v>39690</v>
      </c>
      <c r="BF4117" s="3" t="s">
        <v>39689</v>
      </c>
      <c r="BG4117" s="3" t="s">
        <v>39691</v>
      </c>
    </row>
    <row r="4118" spans="1:59" ht="72.5" x14ac:dyDescent="0.35">
      <c r="A4118" s="2" t="s">
        <v>89</v>
      </c>
      <c r="B4118" s="2" t="s">
        <v>1231</v>
      </c>
      <c r="C4118" s="2" t="s">
        <v>39692</v>
      </c>
      <c r="D4118" s="2" t="s">
        <v>39693</v>
      </c>
      <c r="E4118" s="2" t="s">
        <v>39694</v>
      </c>
      <c r="G4118" s="3" t="s">
        <v>62</v>
      </c>
      <c r="I4118" s="3" t="s">
        <v>62</v>
      </c>
      <c r="J4118" s="3" t="s">
        <v>62</v>
      </c>
      <c r="K4118" s="3" t="s">
        <v>63</v>
      </c>
      <c r="L4118" s="2" t="s">
        <v>39695</v>
      </c>
      <c r="M4118" s="2" t="s">
        <v>39696</v>
      </c>
      <c r="N4118" s="3" t="s">
        <v>129</v>
      </c>
      <c r="P4118" s="3" t="s">
        <v>64</v>
      </c>
      <c r="R4118" s="3" t="s">
        <v>34126</v>
      </c>
      <c r="S4118" s="4">
        <v>0</v>
      </c>
      <c r="T4118" s="4">
        <v>0</v>
      </c>
      <c r="W4118" s="5" t="s">
        <v>67</v>
      </c>
      <c r="X4118" s="5" t="s">
        <v>67</v>
      </c>
      <c r="Y4118" s="4">
        <v>306</v>
      </c>
      <c r="Z4118" s="4">
        <v>19</v>
      </c>
      <c r="AA4118" s="4">
        <v>80</v>
      </c>
      <c r="AB4118" s="4">
        <v>2</v>
      </c>
      <c r="AC4118" s="4">
        <v>15</v>
      </c>
      <c r="AD4118" s="4">
        <v>53</v>
      </c>
      <c r="AE4118" s="4">
        <v>118</v>
      </c>
      <c r="AF4118" s="4">
        <v>1</v>
      </c>
      <c r="AG4118" s="4">
        <v>8</v>
      </c>
      <c r="AH4118" s="4">
        <v>45</v>
      </c>
      <c r="AI4118" s="4">
        <v>80</v>
      </c>
      <c r="AJ4118" s="4">
        <v>6</v>
      </c>
      <c r="AK4118" s="4">
        <v>22</v>
      </c>
      <c r="AL4118" s="4">
        <v>24</v>
      </c>
      <c r="AM4118" s="4">
        <v>42</v>
      </c>
      <c r="AN4118" s="4">
        <v>0</v>
      </c>
      <c r="AO4118" s="4">
        <v>0</v>
      </c>
      <c r="AP4118" s="4">
        <v>8</v>
      </c>
      <c r="AQ4118" s="4">
        <v>43</v>
      </c>
      <c r="AR4118" s="3" t="s">
        <v>62</v>
      </c>
      <c r="AS4118" s="3" t="s">
        <v>62</v>
      </c>
      <c r="AT4118" s="3" t="s">
        <v>62</v>
      </c>
      <c r="AV4118" s="6" t="str">
        <f>HYPERLINK("http://mcgill.on.worldcat.org/oclc/795173896","Catalog Record")</f>
        <v>Catalog Record</v>
      </c>
      <c r="AW4118" s="6" t="str">
        <f>HYPERLINK("http://www.worldcat.org/oclc/795173896","WorldCat Record")</f>
        <v>WorldCat Record</v>
      </c>
      <c r="AX4118" s="3" t="s">
        <v>39697</v>
      </c>
      <c r="AY4118" s="3" t="s">
        <v>39698</v>
      </c>
      <c r="AZ4118" s="3" t="s">
        <v>39699</v>
      </c>
      <c r="BA4118" s="3" t="s">
        <v>39699</v>
      </c>
      <c r="BB4118" s="3" t="s">
        <v>39700</v>
      </c>
      <c r="BC4118" s="3" t="s">
        <v>102</v>
      </c>
      <c r="BD4118" s="3" t="s">
        <v>68</v>
      </c>
      <c r="BE4118" s="3" t="s">
        <v>39701</v>
      </c>
      <c r="BF4118" s="3" t="s">
        <v>39700</v>
      </c>
      <c r="BG4118" s="3" t="s">
        <v>39702</v>
      </c>
    </row>
    <row r="4119" spans="1:59" ht="72.5" x14ac:dyDescent="0.35">
      <c r="A4119" s="2" t="s">
        <v>89</v>
      </c>
      <c r="B4119" s="2" t="s">
        <v>1231</v>
      </c>
      <c r="C4119" s="2" t="s">
        <v>39703</v>
      </c>
      <c r="D4119" s="2" t="s">
        <v>39704</v>
      </c>
      <c r="E4119" s="2" t="s">
        <v>39705</v>
      </c>
      <c r="G4119" s="3" t="s">
        <v>62</v>
      </c>
      <c r="I4119" s="3" t="s">
        <v>62</v>
      </c>
      <c r="J4119" s="3" t="s">
        <v>62</v>
      </c>
      <c r="K4119" s="3" t="s">
        <v>63</v>
      </c>
      <c r="L4119" s="2" t="s">
        <v>39706</v>
      </c>
      <c r="M4119" s="2" t="s">
        <v>39707</v>
      </c>
      <c r="N4119" s="3" t="s">
        <v>539</v>
      </c>
      <c r="P4119" s="3" t="s">
        <v>64</v>
      </c>
      <c r="R4119" s="3" t="s">
        <v>34126</v>
      </c>
      <c r="S4119" s="4">
        <v>21</v>
      </c>
      <c r="T4119" s="4">
        <v>21</v>
      </c>
      <c r="U4119" s="5" t="s">
        <v>26967</v>
      </c>
      <c r="V4119" s="5" t="s">
        <v>26967</v>
      </c>
      <c r="W4119" s="5" t="s">
        <v>67</v>
      </c>
      <c r="X4119" s="5" t="s">
        <v>67</v>
      </c>
      <c r="Y4119" s="4">
        <v>410</v>
      </c>
      <c r="Z4119" s="4">
        <v>22</v>
      </c>
      <c r="AA4119" s="4">
        <v>89</v>
      </c>
      <c r="AB4119" s="4">
        <v>2</v>
      </c>
      <c r="AC4119" s="4">
        <v>15</v>
      </c>
      <c r="AD4119" s="4">
        <v>95</v>
      </c>
      <c r="AE4119" s="4">
        <v>131</v>
      </c>
      <c r="AF4119" s="4">
        <v>0</v>
      </c>
      <c r="AG4119" s="4">
        <v>8</v>
      </c>
      <c r="AH4119" s="4">
        <v>87</v>
      </c>
      <c r="AI4119" s="4">
        <v>99</v>
      </c>
      <c r="AJ4119" s="4">
        <v>13</v>
      </c>
      <c r="AK4119" s="4">
        <v>23</v>
      </c>
      <c r="AL4119" s="4">
        <v>43</v>
      </c>
      <c r="AM4119" s="4">
        <v>46</v>
      </c>
      <c r="AN4119" s="4">
        <v>0</v>
      </c>
      <c r="AO4119" s="4">
        <v>0</v>
      </c>
      <c r="AP4119" s="4">
        <v>16</v>
      </c>
      <c r="AQ4119" s="4">
        <v>43</v>
      </c>
      <c r="AR4119" s="3" t="s">
        <v>62</v>
      </c>
      <c r="AS4119" s="3" t="s">
        <v>62</v>
      </c>
      <c r="AT4119" s="3" t="s">
        <v>61</v>
      </c>
      <c r="AU4119" s="6" t="str">
        <f>HYPERLINK("http://catalog.hathitrust.org/Record/003982878","HathiTrust Record")</f>
        <v>HathiTrust Record</v>
      </c>
      <c r="AV4119" s="6" t="str">
        <f>HYPERLINK("http://mcgill.on.worldcat.org/oclc/38535870","Catalog Record")</f>
        <v>Catalog Record</v>
      </c>
      <c r="AW4119" s="6" t="str">
        <f>HYPERLINK("http://www.worldcat.org/oclc/38535870","WorldCat Record")</f>
        <v>WorldCat Record</v>
      </c>
      <c r="AX4119" s="3" t="s">
        <v>39708</v>
      </c>
      <c r="AY4119" s="3" t="s">
        <v>39709</v>
      </c>
      <c r="AZ4119" s="3" t="s">
        <v>39710</v>
      </c>
      <c r="BA4119" s="3" t="s">
        <v>39710</v>
      </c>
      <c r="BB4119" s="3" t="s">
        <v>39711</v>
      </c>
      <c r="BC4119" s="3" t="s">
        <v>102</v>
      </c>
      <c r="BD4119" s="3" t="s">
        <v>68</v>
      </c>
      <c r="BE4119" s="3" t="s">
        <v>39712</v>
      </c>
      <c r="BF4119" s="3" t="s">
        <v>39711</v>
      </c>
      <c r="BG4119" s="3" t="s">
        <v>39713</v>
      </c>
    </row>
    <row r="4120" spans="1:59" ht="72.5" x14ac:dyDescent="0.35">
      <c r="A4120" s="2" t="s">
        <v>59</v>
      </c>
      <c r="B4120" s="2" t="s">
        <v>60</v>
      </c>
      <c r="C4120" s="2" t="s">
        <v>39714</v>
      </c>
      <c r="D4120" s="2" t="s">
        <v>39715</v>
      </c>
      <c r="E4120" s="2" t="s">
        <v>39716</v>
      </c>
      <c r="G4120" s="3" t="s">
        <v>62</v>
      </c>
      <c r="I4120" s="3" t="s">
        <v>62</v>
      </c>
      <c r="J4120" s="3" t="s">
        <v>62</v>
      </c>
      <c r="K4120" s="3" t="s">
        <v>63</v>
      </c>
      <c r="L4120" s="2" t="s">
        <v>39325</v>
      </c>
      <c r="M4120" s="2" t="s">
        <v>39717</v>
      </c>
      <c r="N4120" s="3" t="s">
        <v>438</v>
      </c>
      <c r="P4120" s="3" t="s">
        <v>64</v>
      </c>
      <c r="Q4120" s="2" t="s">
        <v>39718</v>
      </c>
      <c r="R4120" s="3" t="s">
        <v>34126</v>
      </c>
      <c r="S4120" s="4">
        <v>26</v>
      </c>
      <c r="T4120" s="4">
        <v>26</v>
      </c>
      <c r="U4120" s="5" t="s">
        <v>26091</v>
      </c>
      <c r="V4120" s="5" t="s">
        <v>26091</v>
      </c>
      <c r="W4120" s="5" t="s">
        <v>67</v>
      </c>
      <c r="X4120" s="5" t="s">
        <v>67</v>
      </c>
      <c r="Y4120" s="4">
        <v>302</v>
      </c>
      <c r="Z4120" s="4">
        <v>25</v>
      </c>
      <c r="AA4120" s="4">
        <v>31</v>
      </c>
      <c r="AB4120" s="4">
        <v>2</v>
      </c>
      <c r="AC4120" s="4">
        <v>6</v>
      </c>
      <c r="AD4120" s="4">
        <v>108</v>
      </c>
      <c r="AE4120" s="4">
        <v>114</v>
      </c>
      <c r="AF4120" s="4">
        <v>1</v>
      </c>
      <c r="AG4120" s="4">
        <v>4</v>
      </c>
      <c r="AH4120" s="4">
        <v>97</v>
      </c>
      <c r="AI4120" s="4">
        <v>100</v>
      </c>
      <c r="AJ4120" s="4">
        <v>17</v>
      </c>
      <c r="AK4120" s="4">
        <v>21</v>
      </c>
      <c r="AL4120" s="4">
        <v>51</v>
      </c>
      <c r="AM4120" s="4">
        <v>52</v>
      </c>
      <c r="AN4120" s="4">
        <v>0</v>
      </c>
      <c r="AO4120" s="4">
        <v>0</v>
      </c>
      <c r="AP4120" s="4">
        <v>19</v>
      </c>
      <c r="AQ4120" s="4">
        <v>23</v>
      </c>
      <c r="AR4120" s="3" t="s">
        <v>62</v>
      </c>
      <c r="AS4120" s="3" t="s">
        <v>62</v>
      </c>
      <c r="AT4120" s="3" t="s">
        <v>61</v>
      </c>
      <c r="AU4120" s="6" t="str">
        <f>HYPERLINK("http://catalog.hathitrust.org/Record/002163951","HathiTrust Record")</f>
        <v>HathiTrust Record</v>
      </c>
      <c r="AV4120" s="6" t="str">
        <f>HYPERLINK("http://mcgill.on.worldcat.org/oclc/20221613","Catalog Record")</f>
        <v>Catalog Record</v>
      </c>
      <c r="AW4120" s="6" t="str">
        <f>HYPERLINK("http://www.worldcat.org/oclc/20221613","WorldCat Record")</f>
        <v>WorldCat Record</v>
      </c>
      <c r="AX4120" s="3" t="s">
        <v>39719</v>
      </c>
      <c r="AY4120" s="3" t="s">
        <v>39720</v>
      </c>
      <c r="AZ4120" s="3" t="s">
        <v>39721</v>
      </c>
      <c r="BA4120" s="3" t="s">
        <v>39721</v>
      </c>
      <c r="BB4120" s="3" t="s">
        <v>39722</v>
      </c>
      <c r="BC4120" s="3" t="s">
        <v>102</v>
      </c>
      <c r="BD4120" s="3" t="s">
        <v>68</v>
      </c>
      <c r="BE4120" s="3" t="s">
        <v>39723</v>
      </c>
      <c r="BF4120" s="3" t="s">
        <v>39722</v>
      </c>
      <c r="BG4120" s="3" t="s">
        <v>39724</v>
      </c>
    </row>
    <row r="4121" spans="1:59" ht="72.5" x14ac:dyDescent="0.35">
      <c r="A4121" s="2" t="s">
        <v>59</v>
      </c>
      <c r="B4121" s="2" t="s">
        <v>60</v>
      </c>
      <c r="C4121" s="2" t="s">
        <v>39725</v>
      </c>
      <c r="D4121" s="2" t="s">
        <v>39726</v>
      </c>
      <c r="E4121" s="2" t="s">
        <v>39727</v>
      </c>
      <c r="G4121" s="3" t="s">
        <v>62</v>
      </c>
      <c r="I4121" s="3" t="s">
        <v>61</v>
      </c>
      <c r="J4121" s="3" t="s">
        <v>62</v>
      </c>
      <c r="K4121" s="3" t="s">
        <v>63</v>
      </c>
      <c r="L4121" s="2" t="s">
        <v>39728</v>
      </c>
      <c r="M4121" s="2" t="s">
        <v>39729</v>
      </c>
      <c r="N4121" s="3" t="s">
        <v>2110</v>
      </c>
      <c r="P4121" s="3" t="s">
        <v>64</v>
      </c>
      <c r="Q4121" s="2" t="s">
        <v>39730</v>
      </c>
      <c r="R4121" s="3" t="s">
        <v>34126</v>
      </c>
      <c r="S4121" s="4">
        <v>3</v>
      </c>
      <c r="T4121" s="4">
        <v>14</v>
      </c>
      <c r="U4121" s="5" t="s">
        <v>32312</v>
      </c>
      <c r="V4121" s="5" t="s">
        <v>10785</v>
      </c>
      <c r="W4121" s="5" t="s">
        <v>67</v>
      </c>
      <c r="X4121" s="5" t="s">
        <v>67</v>
      </c>
      <c r="Y4121" s="4">
        <v>294</v>
      </c>
      <c r="Z4121" s="4">
        <v>26</v>
      </c>
      <c r="AA4121" s="4">
        <v>37</v>
      </c>
      <c r="AB4121" s="4">
        <v>3</v>
      </c>
      <c r="AC4121" s="4">
        <v>6</v>
      </c>
      <c r="AD4121" s="4">
        <v>92</v>
      </c>
      <c r="AE4121" s="4">
        <v>119</v>
      </c>
      <c r="AF4121" s="4">
        <v>1</v>
      </c>
      <c r="AG4121" s="4">
        <v>4</v>
      </c>
      <c r="AH4121" s="4">
        <v>78</v>
      </c>
      <c r="AI4121" s="4">
        <v>98</v>
      </c>
      <c r="AJ4121" s="4">
        <v>15</v>
      </c>
      <c r="AK4121" s="4">
        <v>22</v>
      </c>
      <c r="AL4121" s="4">
        <v>44</v>
      </c>
      <c r="AM4121" s="4">
        <v>51</v>
      </c>
      <c r="AN4121" s="4">
        <v>0</v>
      </c>
      <c r="AO4121" s="4">
        <v>0</v>
      </c>
      <c r="AP4121" s="4">
        <v>18</v>
      </c>
      <c r="AQ4121" s="4">
        <v>27</v>
      </c>
      <c r="AR4121" s="3" t="s">
        <v>62</v>
      </c>
      <c r="AS4121" s="3" t="s">
        <v>62</v>
      </c>
      <c r="AT4121" s="3" t="s">
        <v>61</v>
      </c>
      <c r="AU4121" s="6" t="str">
        <f>HYPERLINK("http://catalog.hathitrust.org/Record/000018212","HathiTrust Record")</f>
        <v>HathiTrust Record</v>
      </c>
      <c r="AV4121" s="6" t="str">
        <f>HYPERLINK("http://mcgill.on.worldcat.org/oclc/4036540","Catalog Record")</f>
        <v>Catalog Record</v>
      </c>
      <c r="AW4121" s="6" t="str">
        <f>HYPERLINK("http://www.worldcat.org/oclc/4036540","WorldCat Record")</f>
        <v>WorldCat Record</v>
      </c>
      <c r="AX4121" s="3" t="s">
        <v>39731</v>
      </c>
      <c r="AY4121" s="3" t="s">
        <v>39732</v>
      </c>
      <c r="AZ4121" s="3" t="s">
        <v>39733</v>
      </c>
      <c r="BA4121" s="3" t="s">
        <v>39733</v>
      </c>
      <c r="BB4121" s="3" t="s">
        <v>39734</v>
      </c>
      <c r="BC4121" s="3" t="s">
        <v>102</v>
      </c>
      <c r="BD4121" s="3" t="s">
        <v>68</v>
      </c>
      <c r="BE4121" s="3" t="s">
        <v>39735</v>
      </c>
      <c r="BF4121" s="3" t="s">
        <v>39734</v>
      </c>
      <c r="BG4121" s="3" t="s">
        <v>39736</v>
      </c>
    </row>
    <row r="4122" spans="1:59" ht="72.5" x14ac:dyDescent="0.35">
      <c r="A4122" s="2" t="s">
        <v>89</v>
      </c>
      <c r="B4122" s="2" t="s">
        <v>90</v>
      </c>
      <c r="C4122" s="2" t="s">
        <v>39737</v>
      </c>
      <c r="D4122" s="2" t="s">
        <v>39738</v>
      </c>
      <c r="E4122" s="2" t="s">
        <v>39739</v>
      </c>
      <c r="G4122" s="3" t="s">
        <v>62</v>
      </c>
      <c r="I4122" s="3" t="s">
        <v>62</v>
      </c>
      <c r="J4122" s="3" t="s">
        <v>62</v>
      </c>
      <c r="K4122" s="3" t="s">
        <v>63</v>
      </c>
      <c r="L4122" s="2" t="s">
        <v>39740</v>
      </c>
      <c r="M4122" s="2" t="s">
        <v>7192</v>
      </c>
      <c r="N4122" s="3" t="s">
        <v>2975</v>
      </c>
      <c r="P4122" s="3" t="s">
        <v>64</v>
      </c>
      <c r="Q4122" s="2" t="s">
        <v>39741</v>
      </c>
      <c r="R4122" s="3" t="s">
        <v>34126</v>
      </c>
      <c r="S4122" s="4">
        <v>8</v>
      </c>
      <c r="T4122" s="4">
        <v>8</v>
      </c>
      <c r="U4122" s="5" t="s">
        <v>19956</v>
      </c>
      <c r="V4122" s="5" t="s">
        <v>19956</v>
      </c>
      <c r="W4122" s="5" t="s">
        <v>67</v>
      </c>
      <c r="X4122" s="5" t="s">
        <v>67</v>
      </c>
      <c r="Y4122" s="4">
        <v>157</v>
      </c>
      <c r="Z4122" s="4">
        <v>11</v>
      </c>
      <c r="AA4122" s="4">
        <v>13</v>
      </c>
      <c r="AB4122" s="4">
        <v>1</v>
      </c>
      <c r="AC4122" s="4">
        <v>2</v>
      </c>
      <c r="AD4122" s="4">
        <v>68</v>
      </c>
      <c r="AE4122" s="4">
        <v>71</v>
      </c>
      <c r="AF4122" s="4">
        <v>0</v>
      </c>
      <c r="AG4122" s="4">
        <v>0</v>
      </c>
      <c r="AH4122" s="4">
        <v>63</v>
      </c>
      <c r="AI4122" s="4">
        <v>65</v>
      </c>
      <c r="AJ4122" s="4">
        <v>8</v>
      </c>
      <c r="AK4122" s="4">
        <v>8</v>
      </c>
      <c r="AL4122" s="4">
        <v>37</v>
      </c>
      <c r="AM4122" s="4">
        <v>38</v>
      </c>
      <c r="AN4122" s="4">
        <v>0</v>
      </c>
      <c r="AO4122" s="4">
        <v>0</v>
      </c>
      <c r="AP4122" s="4">
        <v>8</v>
      </c>
      <c r="AQ4122" s="4">
        <v>9</v>
      </c>
      <c r="AR4122" s="3" t="s">
        <v>62</v>
      </c>
      <c r="AS4122" s="3" t="s">
        <v>62</v>
      </c>
      <c r="AT4122" s="3" t="s">
        <v>62</v>
      </c>
      <c r="AV4122" s="6" t="str">
        <f>HYPERLINK("http://mcgill.on.worldcat.org/oclc/45172662","Catalog Record")</f>
        <v>Catalog Record</v>
      </c>
      <c r="AW4122" s="6" t="str">
        <f>HYPERLINK("http://www.worldcat.org/oclc/45172662","WorldCat Record")</f>
        <v>WorldCat Record</v>
      </c>
      <c r="AX4122" s="3" t="s">
        <v>39742</v>
      </c>
      <c r="AY4122" s="3" t="s">
        <v>39743</v>
      </c>
      <c r="AZ4122" s="3" t="s">
        <v>39744</v>
      </c>
      <c r="BA4122" s="3" t="s">
        <v>39744</v>
      </c>
      <c r="BB4122" s="3" t="s">
        <v>39745</v>
      </c>
      <c r="BC4122" s="3" t="s">
        <v>102</v>
      </c>
      <c r="BD4122" s="3" t="s">
        <v>68</v>
      </c>
      <c r="BE4122" s="3" t="s">
        <v>39746</v>
      </c>
      <c r="BF4122" s="3" t="s">
        <v>39745</v>
      </c>
      <c r="BG4122" s="3" t="s">
        <v>39747</v>
      </c>
    </row>
    <row r="4123" spans="1:59" ht="58" x14ac:dyDescent="0.35">
      <c r="A4123" s="2" t="s">
        <v>59</v>
      </c>
      <c r="B4123" s="2" t="s">
        <v>60</v>
      </c>
      <c r="C4123" s="2" t="s">
        <v>39748</v>
      </c>
      <c r="D4123" s="2" t="s">
        <v>39749</v>
      </c>
      <c r="E4123" s="2" t="s">
        <v>39750</v>
      </c>
      <c r="G4123" s="3" t="s">
        <v>62</v>
      </c>
      <c r="I4123" s="3" t="s">
        <v>62</v>
      </c>
      <c r="J4123" s="3" t="s">
        <v>62</v>
      </c>
      <c r="K4123" s="3" t="s">
        <v>63</v>
      </c>
      <c r="M4123" s="2" t="s">
        <v>39751</v>
      </c>
      <c r="N4123" s="3" t="s">
        <v>852</v>
      </c>
      <c r="P4123" s="3" t="s">
        <v>64</v>
      </c>
      <c r="R4123" s="3" t="s">
        <v>34126</v>
      </c>
      <c r="S4123" s="4">
        <v>5</v>
      </c>
      <c r="T4123" s="4">
        <v>5</v>
      </c>
      <c r="U4123" s="5" t="s">
        <v>33519</v>
      </c>
      <c r="V4123" s="5" t="s">
        <v>33519</v>
      </c>
      <c r="W4123" s="5" t="s">
        <v>67</v>
      </c>
      <c r="X4123" s="5" t="s">
        <v>67</v>
      </c>
      <c r="Y4123" s="4">
        <v>499</v>
      </c>
      <c r="Z4123" s="4">
        <v>37</v>
      </c>
      <c r="AA4123" s="4">
        <v>41</v>
      </c>
      <c r="AB4123" s="4">
        <v>3</v>
      </c>
      <c r="AC4123" s="4">
        <v>6</v>
      </c>
      <c r="AD4123" s="4">
        <v>118</v>
      </c>
      <c r="AE4123" s="4">
        <v>122</v>
      </c>
      <c r="AF4123" s="4">
        <v>1</v>
      </c>
      <c r="AG4123" s="4">
        <v>4</v>
      </c>
      <c r="AH4123" s="4">
        <v>97</v>
      </c>
      <c r="AI4123" s="4">
        <v>99</v>
      </c>
      <c r="AJ4123" s="4">
        <v>17</v>
      </c>
      <c r="AK4123" s="4">
        <v>21</v>
      </c>
      <c r="AL4123" s="4">
        <v>54</v>
      </c>
      <c r="AM4123" s="4">
        <v>54</v>
      </c>
      <c r="AN4123" s="4">
        <v>0</v>
      </c>
      <c r="AO4123" s="4">
        <v>0</v>
      </c>
      <c r="AP4123" s="4">
        <v>26</v>
      </c>
      <c r="AQ4123" s="4">
        <v>30</v>
      </c>
      <c r="AR4123" s="3" t="s">
        <v>62</v>
      </c>
      <c r="AS4123" s="3" t="s">
        <v>62</v>
      </c>
      <c r="AT4123" s="3" t="s">
        <v>62</v>
      </c>
      <c r="AV4123" s="6" t="str">
        <f>HYPERLINK("http://mcgill.on.worldcat.org/oclc/85427","Catalog Record")</f>
        <v>Catalog Record</v>
      </c>
      <c r="AW4123" s="6" t="str">
        <f>HYPERLINK("http://www.worldcat.org/oclc/85427","WorldCat Record")</f>
        <v>WorldCat Record</v>
      </c>
      <c r="AX4123" s="3" t="s">
        <v>39752</v>
      </c>
      <c r="AY4123" s="3" t="s">
        <v>39753</v>
      </c>
      <c r="AZ4123" s="3" t="s">
        <v>39754</v>
      </c>
      <c r="BA4123" s="3" t="s">
        <v>39754</v>
      </c>
      <c r="BB4123" s="3" t="s">
        <v>39755</v>
      </c>
      <c r="BC4123" s="3" t="s">
        <v>102</v>
      </c>
      <c r="BD4123" s="3" t="s">
        <v>68</v>
      </c>
      <c r="BE4123" s="3" t="s">
        <v>39756</v>
      </c>
      <c r="BF4123" s="3" t="s">
        <v>39755</v>
      </c>
      <c r="BG4123" s="3" t="s">
        <v>39757</v>
      </c>
    </row>
    <row r="4124" spans="1:59" ht="58" x14ac:dyDescent="0.35">
      <c r="A4124" s="2" t="s">
        <v>59</v>
      </c>
      <c r="B4124" s="2" t="s">
        <v>60</v>
      </c>
      <c r="C4124" s="2" t="s">
        <v>39758</v>
      </c>
      <c r="D4124" s="2" t="s">
        <v>39759</v>
      </c>
      <c r="E4124" s="2" t="s">
        <v>39760</v>
      </c>
      <c r="G4124" s="3" t="s">
        <v>62</v>
      </c>
      <c r="I4124" s="3" t="s">
        <v>62</v>
      </c>
      <c r="J4124" s="3" t="s">
        <v>62</v>
      </c>
      <c r="K4124" s="3" t="s">
        <v>63</v>
      </c>
      <c r="L4124" s="2" t="s">
        <v>39761</v>
      </c>
      <c r="M4124" s="2" t="s">
        <v>39762</v>
      </c>
      <c r="N4124" s="3" t="s">
        <v>625</v>
      </c>
      <c r="P4124" s="3" t="s">
        <v>64</v>
      </c>
      <c r="R4124" s="3" t="s">
        <v>34126</v>
      </c>
      <c r="S4124" s="4">
        <v>4</v>
      </c>
      <c r="T4124" s="4">
        <v>4</v>
      </c>
      <c r="U4124" s="5" t="s">
        <v>14657</v>
      </c>
      <c r="V4124" s="5" t="s">
        <v>14657</v>
      </c>
      <c r="W4124" s="5" t="s">
        <v>67</v>
      </c>
      <c r="X4124" s="5" t="s">
        <v>67</v>
      </c>
      <c r="Y4124" s="4">
        <v>595</v>
      </c>
      <c r="Z4124" s="4">
        <v>30</v>
      </c>
      <c r="AA4124" s="4">
        <v>87</v>
      </c>
      <c r="AB4124" s="4">
        <v>1</v>
      </c>
      <c r="AC4124" s="4">
        <v>14</v>
      </c>
      <c r="AD4124" s="4">
        <v>109</v>
      </c>
      <c r="AE4124" s="4">
        <v>139</v>
      </c>
      <c r="AF4124" s="4">
        <v>0</v>
      </c>
      <c r="AG4124" s="4">
        <v>8</v>
      </c>
      <c r="AH4124" s="4">
        <v>95</v>
      </c>
      <c r="AI4124" s="4">
        <v>104</v>
      </c>
      <c r="AJ4124" s="4">
        <v>16</v>
      </c>
      <c r="AK4124" s="4">
        <v>25</v>
      </c>
      <c r="AL4124" s="4">
        <v>49</v>
      </c>
      <c r="AM4124" s="4">
        <v>54</v>
      </c>
      <c r="AN4124" s="4">
        <v>0</v>
      </c>
      <c r="AO4124" s="4">
        <v>0</v>
      </c>
      <c r="AP4124" s="4">
        <v>24</v>
      </c>
      <c r="AQ4124" s="4">
        <v>46</v>
      </c>
      <c r="AR4124" s="3" t="s">
        <v>62</v>
      </c>
      <c r="AS4124" s="3" t="s">
        <v>62</v>
      </c>
      <c r="AT4124" s="3" t="s">
        <v>62</v>
      </c>
      <c r="AV4124" s="6" t="str">
        <f>HYPERLINK("http://mcgill.on.worldcat.org/oclc/49576400","Catalog Record")</f>
        <v>Catalog Record</v>
      </c>
      <c r="AW4124" s="6" t="str">
        <f>HYPERLINK("http://www.worldcat.org/oclc/49576400","WorldCat Record")</f>
        <v>WorldCat Record</v>
      </c>
      <c r="AX4124" s="3" t="s">
        <v>39763</v>
      </c>
      <c r="AY4124" s="3" t="s">
        <v>39764</v>
      </c>
      <c r="AZ4124" s="3" t="s">
        <v>39765</v>
      </c>
      <c r="BA4124" s="3" t="s">
        <v>39765</v>
      </c>
      <c r="BB4124" s="3" t="s">
        <v>39766</v>
      </c>
      <c r="BC4124" s="3" t="s">
        <v>102</v>
      </c>
      <c r="BD4124" s="3" t="s">
        <v>68</v>
      </c>
      <c r="BE4124" s="3" t="s">
        <v>39767</v>
      </c>
      <c r="BF4124" s="3" t="s">
        <v>39766</v>
      </c>
      <c r="BG4124" s="3" t="s">
        <v>39768</v>
      </c>
    </row>
    <row r="4125" spans="1:59" ht="72.5" x14ac:dyDescent="0.35">
      <c r="A4125" s="2" t="s">
        <v>89</v>
      </c>
      <c r="B4125" s="2" t="s">
        <v>90</v>
      </c>
      <c r="C4125" s="2" t="s">
        <v>39769</v>
      </c>
      <c r="D4125" s="2" t="s">
        <v>39770</v>
      </c>
      <c r="E4125" s="2" t="s">
        <v>39771</v>
      </c>
      <c r="G4125" s="3" t="s">
        <v>62</v>
      </c>
      <c r="I4125" s="3" t="s">
        <v>62</v>
      </c>
      <c r="J4125" s="3" t="s">
        <v>62</v>
      </c>
      <c r="K4125" s="3" t="s">
        <v>63</v>
      </c>
      <c r="L4125" s="2" t="s">
        <v>39772</v>
      </c>
      <c r="M4125" s="2" t="s">
        <v>39773</v>
      </c>
      <c r="N4125" s="3" t="s">
        <v>684</v>
      </c>
      <c r="O4125" s="2" t="s">
        <v>17168</v>
      </c>
      <c r="P4125" s="3" t="s">
        <v>64</v>
      </c>
      <c r="R4125" s="3" t="s">
        <v>34126</v>
      </c>
      <c r="S4125" s="4">
        <v>0</v>
      </c>
      <c r="T4125" s="4">
        <v>0</v>
      </c>
      <c r="W4125" s="5" t="s">
        <v>67</v>
      </c>
      <c r="X4125" s="5" t="s">
        <v>67</v>
      </c>
      <c r="Y4125" s="4">
        <v>114</v>
      </c>
      <c r="Z4125" s="4">
        <v>10</v>
      </c>
      <c r="AA4125" s="4">
        <v>11</v>
      </c>
      <c r="AB4125" s="4">
        <v>1</v>
      </c>
      <c r="AC4125" s="4">
        <v>2</v>
      </c>
      <c r="AD4125" s="4">
        <v>49</v>
      </c>
      <c r="AE4125" s="4">
        <v>50</v>
      </c>
      <c r="AF4125" s="4">
        <v>0</v>
      </c>
      <c r="AG4125" s="4">
        <v>1</v>
      </c>
      <c r="AH4125" s="4">
        <v>45</v>
      </c>
      <c r="AI4125" s="4">
        <v>46</v>
      </c>
      <c r="AJ4125" s="4">
        <v>8</v>
      </c>
      <c r="AK4125" s="4">
        <v>9</v>
      </c>
      <c r="AL4125" s="4">
        <v>28</v>
      </c>
      <c r="AM4125" s="4">
        <v>28</v>
      </c>
      <c r="AN4125" s="4">
        <v>0</v>
      </c>
      <c r="AO4125" s="4">
        <v>0</v>
      </c>
      <c r="AP4125" s="4">
        <v>8</v>
      </c>
      <c r="AQ4125" s="4">
        <v>9</v>
      </c>
      <c r="AR4125" s="3" t="s">
        <v>62</v>
      </c>
      <c r="AS4125" s="3" t="s">
        <v>62</v>
      </c>
      <c r="AT4125" s="3" t="s">
        <v>62</v>
      </c>
      <c r="AV4125" s="6" t="str">
        <f>HYPERLINK("http://mcgill.on.worldcat.org/oclc/697267566","Catalog Record")</f>
        <v>Catalog Record</v>
      </c>
      <c r="AW4125" s="6" t="str">
        <f>HYPERLINK("http://www.worldcat.org/oclc/697267566","WorldCat Record")</f>
        <v>WorldCat Record</v>
      </c>
      <c r="AX4125" s="3" t="s">
        <v>39774</v>
      </c>
      <c r="AY4125" s="3" t="s">
        <v>39775</v>
      </c>
      <c r="AZ4125" s="3" t="s">
        <v>39776</v>
      </c>
      <c r="BA4125" s="3" t="s">
        <v>39776</v>
      </c>
      <c r="BB4125" s="3" t="s">
        <v>39777</v>
      </c>
      <c r="BC4125" s="3" t="s">
        <v>102</v>
      </c>
      <c r="BD4125" s="3" t="s">
        <v>68</v>
      </c>
      <c r="BE4125" s="3" t="s">
        <v>39778</v>
      </c>
      <c r="BF4125" s="3" t="s">
        <v>39777</v>
      </c>
      <c r="BG4125" s="3" t="s">
        <v>39779</v>
      </c>
    </row>
    <row r="4126" spans="1:59" ht="58" x14ac:dyDescent="0.35">
      <c r="A4126" s="2" t="s">
        <v>89</v>
      </c>
      <c r="B4126" s="2" t="s">
        <v>90</v>
      </c>
      <c r="C4126" s="2" t="s">
        <v>39780</v>
      </c>
      <c r="D4126" s="2" t="s">
        <v>39781</v>
      </c>
      <c r="E4126" s="2" t="s">
        <v>39782</v>
      </c>
      <c r="G4126" s="3" t="s">
        <v>62</v>
      </c>
      <c r="I4126" s="3" t="s">
        <v>62</v>
      </c>
      <c r="J4126" s="3" t="s">
        <v>62</v>
      </c>
      <c r="K4126" s="3" t="s">
        <v>63</v>
      </c>
      <c r="L4126" s="2" t="s">
        <v>39783</v>
      </c>
      <c r="M4126" s="2" t="s">
        <v>39784</v>
      </c>
      <c r="N4126" s="3" t="s">
        <v>880</v>
      </c>
      <c r="P4126" s="3" t="s">
        <v>64</v>
      </c>
      <c r="R4126" s="3" t="s">
        <v>34126</v>
      </c>
      <c r="S4126" s="4">
        <v>8</v>
      </c>
      <c r="T4126" s="4">
        <v>8</v>
      </c>
      <c r="U4126" s="5" t="s">
        <v>23988</v>
      </c>
      <c r="V4126" s="5" t="s">
        <v>23988</v>
      </c>
      <c r="W4126" s="5" t="s">
        <v>67</v>
      </c>
      <c r="X4126" s="5" t="s">
        <v>67</v>
      </c>
      <c r="Y4126" s="4">
        <v>19</v>
      </c>
      <c r="Z4126" s="4">
        <v>2</v>
      </c>
      <c r="AA4126" s="4">
        <v>2</v>
      </c>
      <c r="AB4126" s="4">
        <v>1</v>
      </c>
      <c r="AC4126" s="4">
        <v>1</v>
      </c>
      <c r="AD4126" s="4">
        <v>6</v>
      </c>
      <c r="AE4126" s="4">
        <v>6</v>
      </c>
      <c r="AF4126" s="4">
        <v>0</v>
      </c>
      <c r="AG4126" s="4">
        <v>0</v>
      </c>
      <c r="AH4126" s="4">
        <v>6</v>
      </c>
      <c r="AI4126" s="4">
        <v>6</v>
      </c>
      <c r="AJ4126" s="4">
        <v>1</v>
      </c>
      <c r="AK4126" s="4">
        <v>1</v>
      </c>
      <c r="AL4126" s="4">
        <v>3</v>
      </c>
      <c r="AM4126" s="4">
        <v>3</v>
      </c>
      <c r="AN4126" s="4">
        <v>0</v>
      </c>
      <c r="AO4126" s="4">
        <v>0</v>
      </c>
      <c r="AP4126" s="4">
        <v>1</v>
      </c>
      <c r="AQ4126" s="4">
        <v>1</v>
      </c>
      <c r="AR4126" s="3" t="s">
        <v>62</v>
      </c>
      <c r="AS4126" s="3" t="s">
        <v>62</v>
      </c>
      <c r="AT4126" s="3" t="s">
        <v>62</v>
      </c>
      <c r="AV4126" s="6" t="str">
        <f>HYPERLINK("http://mcgill.on.worldcat.org/oclc/706786933","Catalog Record")</f>
        <v>Catalog Record</v>
      </c>
      <c r="AW4126" s="6" t="str">
        <f>HYPERLINK("http://www.worldcat.org/oclc/706786933","WorldCat Record")</f>
        <v>WorldCat Record</v>
      </c>
      <c r="AX4126" s="3" t="s">
        <v>39785</v>
      </c>
      <c r="AY4126" s="3" t="s">
        <v>39786</v>
      </c>
      <c r="AZ4126" s="3" t="s">
        <v>39787</v>
      </c>
      <c r="BA4126" s="3" t="s">
        <v>39787</v>
      </c>
      <c r="BB4126" s="3" t="s">
        <v>39788</v>
      </c>
      <c r="BC4126" s="3" t="s">
        <v>102</v>
      </c>
      <c r="BD4126" s="3" t="s">
        <v>68</v>
      </c>
      <c r="BE4126" s="3" t="s">
        <v>39789</v>
      </c>
      <c r="BF4126" s="3" t="s">
        <v>39788</v>
      </c>
      <c r="BG4126" s="3" t="s">
        <v>39790</v>
      </c>
    </row>
    <row r="4127" spans="1:59" ht="58" x14ac:dyDescent="0.35">
      <c r="A4127" s="2" t="s">
        <v>59</v>
      </c>
      <c r="B4127" s="2" t="s">
        <v>60</v>
      </c>
      <c r="C4127" s="2" t="s">
        <v>39791</v>
      </c>
      <c r="D4127" s="2" t="s">
        <v>39792</v>
      </c>
      <c r="E4127" s="2" t="s">
        <v>39793</v>
      </c>
      <c r="G4127" s="3" t="s">
        <v>62</v>
      </c>
      <c r="I4127" s="3" t="s">
        <v>61</v>
      </c>
      <c r="J4127" s="3" t="s">
        <v>62</v>
      </c>
      <c r="K4127" s="3" t="s">
        <v>63</v>
      </c>
      <c r="L4127" s="2" t="s">
        <v>39794</v>
      </c>
      <c r="M4127" s="2" t="s">
        <v>39795</v>
      </c>
      <c r="N4127" s="3" t="s">
        <v>186</v>
      </c>
      <c r="P4127" s="3" t="s">
        <v>64</v>
      </c>
      <c r="Q4127" s="2" t="s">
        <v>39796</v>
      </c>
      <c r="R4127" s="3" t="s">
        <v>34126</v>
      </c>
      <c r="S4127" s="4">
        <v>16</v>
      </c>
      <c r="T4127" s="4">
        <v>28</v>
      </c>
      <c r="U4127" s="5" t="s">
        <v>39797</v>
      </c>
      <c r="V4127" s="5" t="s">
        <v>39352</v>
      </c>
      <c r="W4127" s="5" t="s">
        <v>67</v>
      </c>
      <c r="X4127" s="5" t="s">
        <v>67</v>
      </c>
      <c r="Y4127" s="4">
        <v>537</v>
      </c>
      <c r="Z4127" s="4">
        <v>43</v>
      </c>
      <c r="AA4127" s="4">
        <v>49</v>
      </c>
      <c r="AB4127" s="4">
        <v>2</v>
      </c>
      <c r="AC4127" s="4">
        <v>8</v>
      </c>
      <c r="AD4127" s="4">
        <v>121</v>
      </c>
      <c r="AE4127" s="4">
        <v>126</v>
      </c>
      <c r="AF4127" s="4">
        <v>1</v>
      </c>
      <c r="AG4127" s="4">
        <v>6</v>
      </c>
      <c r="AH4127" s="4">
        <v>99</v>
      </c>
      <c r="AI4127" s="4">
        <v>100</v>
      </c>
      <c r="AJ4127" s="4">
        <v>20</v>
      </c>
      <c r="AK4127" s="4">
        <v>24</v>
      </c>
      <c r="AL4127" s="4">
        <v>53</v>
      </c>
      <c r="AM4127" s="4">
        <v>53</v>
      </c>
      <c r="AN4127" s="4">
        <v>0</v>
      </c>
      <c r="AO4127" s="4">
        <v>0</v>
      </c>
      <c r="AP4127" s="4">
        <v>30</v>
      </c>
      <c r="AQ4127" s="4">
        <v>34</v>
      </c>
      <c r="AR4127" s="3" t="s">
        <v>62</v>
      </c>
      <c r="AS4127" s="3" t="s">
        <v>62</v>
      </c>
      <c r="AT4127" s="3" t="s">
        <v>61</v>
      </c>
      <c r="AU4127" s="6" t="str">
        <f>HYPERLINK("http://catalog.hathitrust.org/Record/000031284","HathiTrust Record")</f>
        <v>HathiTrust Record</v>
      </c>
      <c r="AV4127" s="6" t="str">
        <f>HYPERLINK("http://mcgill.on.worldcat.org/oclc/1095037","Catalog Record")</f>
        <v>Catalog Record</v>
      </c>
      <c r="AW4127" s="6" t="str">
        <f>HYPERLINK("http://www.worldcat.org/oclc/1095037","WorldCat Record")</f>
        <v>WorldCat Record</v>
      </c>
      <c r="AX4127" s="3" t="s">
        <v>39798</v>
      </c>
      <c r="AY4127" s="3" t="s">
        <v>39799</v>
      </c>
      <c r="AZ4127" s="3" t="s">
        <v>39800</v>
      </c>
      <c r="BA4127" s="3" t="s">
        <v>39800</v>
      </c>
      <c r="BB4127" s="3" t="s">
        <v>39801</v>
      </c>
      <c r="BC4127" s="3" t="s">
        <v>102</v>
      </c>
      <c r="BD4127" s="3" t="s">
        <v>68</v>
      </c>
      <c r="BE4127" s="3" t="s">
        <v>39802</v>
      </c>
      <c r="BF4127" s="3" t="s">
        <v>39801</v>
      </c>
      <c r="BG4127" s="3" t="s">
        <v>39803</v>
      </c>
    </row>
    <row r="4128" spans="1:59" ht="72.5" x14ac:dyDescent="0.35">
      <c r="A4128" s="2" t="s">
        <v>89</v>
      </c>
      <c r="B4128" s="2" t="s">
        <v>1231</v>
      </c>
      <c r="C4128" s="2" t="s">
        <v>39804</v>
      </c>
      <c r="D4128" s="2" t="s">
        <v>39805</v>
      </c>
      <c r="E4128" s="2" t="s">
        <v>39806</v>
      </c>
      <c r="G4128" s="3" t="s">
        <v>62</v>
      </c>
      <c r="I4128" s="3" t="s">
        <v>62</v>
      </c>
      <c r="J4128" s="3" t="s">
        <v>62</v>
      </c>
      <c r="K4128" s="3" t="s">
        <v>63</v>
      </c>
      <c r="M4128" s="2" t="s">
        <v>39807</v>
      </c>
      <c r="N4128" s="3" t="s">
        <v>87</v>
      </c>
      <c r="P4128" s="3" t="s">
        <v>64</v>
      </c>
      <c r="R4128" s="3" t="s">
        <v>34126</v>
      </c>
      <c r="S4128" s="4">
        <v>22</v>
      </c>
      <c r="T4128" s="4">
        <v>22</v>
      </c>
      <c r="U4128" s="5" t="s">
        <v>39808</v>
      </c>
      <c r="V4128" s="5" t="s">
        <v>39808</v>
      </c>
      <c r="W4128" s="5" t="s">
        <v>67</v>
      </c>
      <c r="X4128" s="5" t="s">
        <v>67</v>
      </c>
      <c r="Y4128" s="4">
        <v>417</v>
      </c>
      <c r="Z4128" s="4">
        <v>29</v>
      </c>
      <c r="AA4128" s="4">
        <v>36</v>
      </c>
      <c r="AB4128" s="4">
        <v>1</v>
      </c>
      <c r="AC4128" s="4">
        <v>7</v>
      </c>
      <c r="AD4128" s="4">
        <v>108</v>
      </c>
      <c r="AE4128" s="4">
        <v>113</v>
      </c>
      <c r="AF4128" s="4">
        <v>0</v>
      </c>
      <c r="AG4128" s="4">
        <v>4</v>
      </c>
      <c r="AH4128" s="4">
        <v>95</v>
      </c>
      <c r="AI4128" s="4">
        <v>97</v>
      </c>
      <c r="AJ4128" s="4">
        <v>18</v>
      </c>
      <c r="AK4128" s="4">
        <v>23</v>
      </c>
      <c r="AL4128" s="4">
        <v>49</v>
      </c>
      <c r="AM4128" s="4">
        <v>49</v>
      </c>
      <c r="AN4128" s="4">
        <v>0</v>
      </c>
      <c r="AO4128" s="4">
        <v>0</v>
      </c>
      <c r="AP4128" s="4">
        <v>21</v>
      </c>
      <c r="AQ4128" s="4">
        <v>25</v>
      </c>
      <c r="AR4128" s="3" t="s">
        <v>62</v>
      </c>
      <c r="AS4128" s="3" t="s">
        <v>62</v>
      </c>
      <c r="AT4128" s="3" t="s">
        <v>61</v>
      </c>
      <c r="AU4128" s="6" t="str">
        <f>HYPERLINK("http://catalog.hathitrust.org/Record/000027686","HathiTrust Record")</f>
        <v>HathiTrust Record</v>
      </c>
      <c r="AV4128" s="6" t="str">
        <f>HYPERLINK("http://mcgill.on.worldcat.org/oclc/3361580","Catalog Record")</f>
        <v>Catalog Record</v>
      </c>
      <c r="AW4128" s="6" t="str">
        <f>HYPERLINK("http://www.worldcat.org/oclc/3361580","WorldCat Record")</f>
        <v>WorldCat Record</v>
      </c>
      <c r="AX4128" s="3" t="s">
        <v>39809</v>
      </c>
      <c r="AY4128" s="3" t="s">
        <v>39810</v>
      </c>
      <c r="AZ4128" s="3" t="s">
        <v>39811</v>
      </c>
      <c r="BA4128" s="3" t="s">
        <v>39811</v>
      </c>
      <c r="BB4128" s="3" t="s">
        <v>39812</v>
      </c>
      <c r="BC4128" s="3" t="s">
        <v>102</v>
      </c>
      <c r="BD4128" s="3" t="s">
        <v>68</v>
      </c>
      <c r="BE4128" s="3" t="s">
        <v>39813</v>
      </c>
      <c r="BF4128" s="3" t="s">
        <v>39812</v>
      </c>
      <c r="BG4128" s="3" t="s">
        <v>39814</v>
      </c>
    </row>
    <row r="4129" spans="1:59" ht="58" x14ac:dyDescent="0.35">
      <c r="A4129" s="2" t="s">
        <v>59</v>
      </c>
      <c r="B4129" s="2" t="s">
        <v>60</v>
      </c>
      <c r="C4129" s="2" t="s">
        <v>39815</v>
      </c>
      <c r="D4129" s="2" t="s">
        <v>39816</v>
      </c>
      <c r="E4129" s="2" t="s">
        <v>39817</v>
      </c>
      <c r="G4129" s="3" t="s">
        <v>62</v>
      </c>
      <c r="I4129" s="3" t="s">
        <v>62</v>
      </c>
      <c r="J4129" s="3" t="s">
        <v>62</v>
      </c>
      <c r="K4129" s="3" t="s">
        <v>63</v>
      </c>
      <c r="L4129" s="2" t="s">
        <v>35678</v>
      </c>
      <c r="M4129" s="2" t="s">
        <v>39818</v>
      </c>
      <c r="N4129" s="3" t="s">
        <v>1064</v>
      </c>
      <c r="P4129" s="3" t="s">
        <v>64</v>
      </c>
      <c r="Q4129" s="2" t="s">
        <v>39819</v>
      </c>
      <c r="R4129" s="3" t="s">
        <v>34126</v>
      </c>
      <c r="S4129" s="4">
        <v>15</v>
      </c>
      <c r="T4129" s="4">
        <v>15</v>
      </c>
      <c r="U4129" s="5" t="s">
        <v>7755</v>
      </c>
      <c r="V4129" s="5" t="s">
        <v>7755</v>
      </c>
      <c r="W4129" s="5" t="s">
        <v>67</v>
      </c>
      <c r="X4129" s="5" t="s">
        <v>67</v>
      </c>
      <c r="Y4129" s="4">
        <v>1756</v>
      </c>
      <c r="Z4129" s="4">
        <v>42</v>
      </c>
      <c r="AA4129" s="4">
        <v>47</v>
      </c>
      <c r="AB4129" s="4">
        <v>3</v>
      </c>
      <c r="AC4129" s="4">
        <v>4</v>
      </c>
      <c r="AD4129" s="4">
        <v>101</v>
      </c>
      <c r="AE4129" s="4">
        <v>108</v>
      </c>
      <c r="AF4129" s="4">
        <v>2</v>
      </c>
      <c r="AG4129" s="4">
        <v>3</v>
      </c>
      <c r="AH4129" s="4">
        <v>87</v>
      </c>
      <c r="AI4129" s="4">
        <v>91</v>
      </c>
      <c r="AJ4129" s="4">
        <v>16</v>
      </c>
      <c r="AK4129" s="4">
        <v>18</v>
      </c>
      <c r="AL4129" s="4">
        <v>41</v>
      </c>
      <c r="AM4129" s="4">
        <v>44</v>
      </c>
      <c r="AN4129" s="4">
        <v>0</v>
      </c>
      <c r="AO4129" s="4">
        <v>0</v>
      </c>
      <c r="AP4129" s="4">
        <v>23</v>
      </c>
      <c r="AQ4129" s="4">
        <v>27</v>
      </c>
      <c r="AR4129" s="3" t="s">
        <v>62</v>
      </c>
      <c r="AS4129" s="3" t="s">
        <v>62</v>
      </c>
      <c r="AT4129" s="3" t="s">
        <v>61</v>
      </c>
      <c r="AU4129" s="6" t="str">
        <f>HYPERLINK("http://catalog.hathitrust.org/Record/001492767","HathiTrust Record")</f>
        <v>HathiTrust Record</v>
      </c>
      <c r="AV4129" s="6" t="str">
        <f>HYPERLINK("http://mcgill.on.worldcat.org/oclc/145498","Catalog Record")</f>
        <v>Catalog Record</v>
      </c>
      <c r="AW4129" s="6" t="str">
        <f>HYPERLINK("http://www.worldcat.org/oclc/145498","WorldCat Record")</f>
        <v>WorldCat Record</v>
      </c>
      <c r="AX4129" s="3" t="s">
        <v>39820</v>
      </c>
      <c r="AY4129" s="3" t="s">
        <v>39821</v>
      </c>
      <c r="AZ4129" s="3" t="s">
        <v>39822</v>
      </c>
      <c r="BA4129" s="3" t="s">
        <v>39822</v>
      </c>
      <c r="BB4129" s="3" t="s">
        <v>39823</v>
      </c>
      <c r="BC4129" s="3" t="s">
        <v>102</v>
      </c>
      <c r="BD4129" s="3" t="s">
        <v>6923</v>
      </c>
      <c r="BF4129" s="3" t="s">
        <v>39823</v>
      </c>
      <c r="BG4129" s="3" t="s">
        <v>39824</v>
      </c>
    </row>
    <row r="4130" spans="1:59" ht="58" x14ac:dyDescent="0.35">
      <c r="A4130" s="2" t="s">
        <v>59</v>
      </c>
      <c r="B4130" s="2" t="s">
        <v>60</v>
      </c>
      <c r="C4130" s="2" t="s">
        <v>39825</v>
      </c>
      <c r="D4130" s="2" t="s">
        <v>39826</v>
      </c>
      <c r="E4130" s="2" t="s">
        <v>39827</v>
      </c>
      <c r="G4130" s="3" t="s">
        <v>62</v>
      </c>
      <c r="I4130" s="3" t="s">
        <v>61</v>
      </c>
      <c r="J4130" s="3" t="s">
        <v>62</v>
      </c>
      <c r="K4130" s="3" t="s">
        <v>63</v>
      </c>
      <c r="M4130" s="2" t="s">
        <v>39828</v>
      </c>
      <c r="N4130" s="3" t="s">
        <v>1467</v>
      </c>
      <c r="P4130" s="3" t="s">
        <v>64</v>
      </c>
      <c r="R4130" s="3" t="s">
        <v>34126</v>
      </c>
      <c r="S4130" s="4">
        <v>0</v>
      </c>
      <c r="T4130" s="4">
        <v>1</v>
      </c>
      <c r="V4130" s="5" t="s">
        <v>17235</v>
      </c>
      <c r="W4130" s="5" t="s">
        <v>67</v>
      </c>
      <c r="X4130" s="5" t="s">
        <v>67</v>
      </c>
      <c r="Y4130" s="4">
        <v>278</v>
      </c>
      <c r="Z4130" s="4">
        <v>27</v>
      </c>
      <c r="AA4130" s="4">
        <v>30</v>
      </c>
      <c r="AB4130" s="4">
        <v>1</v>
      </c>
      <c r="AC4130" s="4">
        <v>1</v>
      </c>
      <c r="AD4130" s="4">
        <v>89</v>
      </c>
      <c r="AE4130" s="4">
        <v>99</v>
      </c>
      <c r="AF4130" s="4">
        <v>0</v>
      </c>
      <c r="AG4130" s="4">
        <v>0</v>
      </c>
      <c r="AH4130" s="4">
        <v>74</v>
      </c>
      <c r="AI4130" s="4">
        <v>82</v>
      </c>
      <c r="AJ4130" s="4">
        <v>16</v>
      </c>
      <c r="AK4130" s="4">
        <v>19</v>
      </c>
      <c r="AL4130" s="4">
        <v>46</v>
      </c>
      <c r="AM4130" s="4">
        <v>49</v>
      </c>
      <c r="AN4130" s="4">
        <v>0</v>
      </c>
      <c r="AO4130" s="4">
        <v>0</v>
      </c>
      <c r="AP4130" s="4">
        <v>20</v>
      </c>
      <c r="AQ4130" s="4">
        <v>23</v>
      </c>
      <c r="AR4130" s="3" t="s">
        <v>62</v>
      </c>
      <c r="AS4130" s="3" t="s">
        <v>62</v>
      </c>
      <c r="AT4130" s="3" t="s">
        <v>62</v>
      </c>
      <c r="AU4130" s="6" t="str">
        <f>HYPERLINK("http://catalog.hathitrust.org/Record/001496043","HathiTrust Record")</f>
        <v>HathiTrust Record</v>
      </c>
      <c r="AV4130" s="6" t="str">
        <f>HYPERLINK("http://mcgill.on.worldcat.org/oclc/1130963","Catalog Record")</f>
        <v>Catalog Record</v>
      </c>
      <c r="AW4130" s="6" t="str">
        <f>HYPERLINK("http://www.worldcat.org/oclc/1130963","WorldCat Record")</f>
        <v>WorldCat Record</v>
      </c>
      <c r="AX4130" s="3" t="s">
        <v>39829</v>
      </c>
      <c r="AY4130" s="3" t="s">
        <v>39830</v>
      </c>
      <c r="AZ4130" s="3" t="s">
        <v>39831</v>
      </c>
      <c r="BA4130" s="3" t="s">
        <v>39831</v>
      </c>
      <c r="BB4130" s="3" t="s">
        <v>39832</v>
      </c>
      <c r="BC4130" s="3" t="s">
        <v>102</v>
      </c>
      <c r="BD4130" s="3" t="s">
        <v>68</v>
      </c>
      <c r="BF4130" s="3" t="s">
        <v>39832</v>
      </c>
      <c r="BG4130" s="3" t="s">
        <v>39833</v>
      </c>
    </row>
    <row r="4131" spans="1:59" ht="58" x14ac:dyDescent="0.35">
      <c r="A4131" s="2" t="s">
        <v>89</v>
      </c>
      <c r="B4131" s="2" t="s">
        <v>90</v>
      </c>
      <c r="C4131" s="2" t="s">
        <v>39825</v>
      </c>
      <c r="D4131" s="2" t="s">
        <v>39826</v>
      </c>
      <c r="E4131" s="2" t="s">
        <v>39827</v>
      </c>
      <c r="G4131" s="3" t="s">
        <v>62</v>
      </c>
      <c r="I4131" s="3" t="s">
        <v>61</v>
      </c>
      <c r="J4131" s="3" t="s">
        <v>62</v>
      </c>
      <c r="K4131" s="3" t="s">
        <v>63</v>
      </c>
      <c r="M4131" s="2" t="s">
        <v>39828</v>
      </c>
      <c r="N4131" s="3" t="s">
        <v>1467</v>
      </c>
      <c r="P4131" s="3" t="s">
        <v>64</v>
      </c>
      <c r="R4131" s="3" t="s">
        <v>34126</v>
      </c>
      <c r="S4131" s="4">
        <v>1</v>
      </c>
      <c r="T4131" s="4">
        <v>1</v>
      </c>
      <c r="U4131" s="5" t="s">
        <v>17235</v>
      </c>
      <c r="V4131" s="5" t="s">
        <v>17235</v>
      </c>
      <c r="W4131" s="5" t="s">
        <v>67</v>
      </c>
      <c r="X4131" s="5" t="s">
        <v>67</v>
      </c>
      <c r="Y4131" s="4">
        <v>278</v>
      </c>
      <c r="Z4131" s="4">
        <v>27</v>
      </c>
      <c r="AA4131" s="4">
        <v>30</v>
      </c>
      <c r="AB4131" s="4">
        <v>1</v>
      </c>
      <c r="AC4131" s="4">
        <v>1</v>
      </c>
      <c r="AD4131" s="4">
        <v>89</v>
      </c>
      <c r="AE4131" s="4">
        <v>99</v>
      </c>
      <c r="AF4131" s="4">
        <v>0</v>
      </c>
      <c r="AG4131" s="4">
        <v>0</v>
      </c>
      <c r="AH4131" s="4">
        <v>74</v>
      </c>
      <c r="AI4131" s="4">
        <v>82</v>
      </c>
      <c r="AJ4131" s="4">
        <v>16</v>
      </c>
      <c r="AK4131" s="4">
        <v>19</v>
      </c>
      <c r="AL4131" s="4">
        <v>46</v>
      </c>
      <c r="AM4131" s="4">
        <v>49</v>
      </c>
      <c r="AN4131" s="4">
        <v>0</v>
      </c>
      <c r="AO4131" s="4">
        <v>0</v>
      </c>
      <c r="AP4131" s="4">
        <v>20</v>
      </c>
      <c r="AQ4131" s="4">
        <v>23</v>
      </c>
      <c r="AR4131" s="3" t="s">
        <v>62</v>
      </c>
      <c r="AS4131" s="3" t="s">
        <v>62</v>
      </c>
      <c r="AT4131" s="3" t="s">
        <v>62</v>
      </c>
      <c r="AU4131" s="6" t="str">
        <f>HYPERLINK("http://catalog.hathitrust.org/Record/001496043","HathiTrust Record")</f>
        <v>HathiTrust Record</v>
      </c>
      <c r="AV4131" s="6" t="str">
        <f>HYPERLINK("http://mcgill.on.worldcat.org/oclc/1130963","Catalog Record")</f>
        <v>Catalog Record</v>
      </c>
      <c r="AW4131" s="6" t="str">
        <f>HYPERLINK("http://www.worldcat.org/oclc/1130963","WorldCat Record")</f>
        <v>WorldCat Record</v>
      </c>
      <c r="AX4131" s="3" t="s">
        <v>39829</v>
      </c>
      <c r="AY4131" s="3" t="s">
        <v>39830</v>
      </c>
      <c r="AZ4131" s="3" t="s">
        <v>39831</v>
      </c>
      <c r="BA4131" s="3" t="s">
        <v>39831</v>
      </c>
      <c r="BB4131" s="3" t="s">
        <v>39834</v>
      </c>
      <c r="BC4131" s="3" t="s">
        <v>102</v>
      </c>
      <c r="BD4131" s="3" t="s">
        <v>68</v>
      </c>
      <c r="BF4131" s="3" t="s">
        <v>39834</v>
      </c>
      <c r="BG4131" s="3" t="s">
        <v>39835</v>
      </c>
    </row>
    <row r="4132" spans="1:59" ht="58" x14ac:dyDescent="0.35">
      <c r="A4132" s="2" t="s">
        <v>59</v>
      </c>
      <c r="B4132" s="2" t="s">
        <v>60</v>
      </c>
      <c r="C4132" s="2" t="s">
        <v>39836</v>
      </c>
      <c r="D4132" s="2" t="s">
        <v>39837</v>
      </c>
      <c r="E4132" s="2" t="s">
        <v>39838</v>
      </c>
      <c r="G4132" s="3" t="s">
        <v>62</v>
      </c>
      <c r="I4132" s="3" t="s">
        <v>61</v>
      </c>
      <c r="J4132" s="3" t="s">
        <v>62</v>
      </c>
      <c r="K4132" s="3" t="s">
        <v>63</v>
      </c>
      <c r="L4132" s="2" t="s">
        <v>39839</v>
      </c>
      <c r="M4132" s="2" t="s">
        <v>39840</v>
      </c>
      <c r="N4132" s="3" t="s">
        <v>2588</v>
      </c>
      <c r="O4132" s="2" t="s">
        <v>2163</v>
      </c>
      <c r="P4132" s="3" t="s">
        <v>64</v>
      </c>
      <c r="Q4132" s="2" t="s">
        <v>39841</v>
      </c>
      <c r="R4132" s="3" t="s">
        <v>34126</v>
      </c>
      <c r="S4132" s="4">
        <v>0</v>
      </c>
      <c r="T4132" s="4">
        <v>6</v>
      </c>
      <c r="V4132" s="5" t="s">
        <v>38029</v>
      </c>
      <c r="W4132" s="5" t="s">
        <v>67</v>
      </c>
      <c r="X4132" s="5" t="s">
        <v>67</v>
      </c>
      <c r="Y4132" s="4">
        <v>209</v>
      </c>
      <c r="Z4132" s="4">
        <v>3</v>
      </c>
      <c r="AA4132" s="4">
        <v>4</v>
      </c>
      <c r="AB4132" s="4">
        <v>1</v>
      </c>
      <c r="AC4132" s="4">
        <v>2</v>
      </c>
      <c r="AD4132" s="4">
        <v>33</v>
      </c>
      <c r="AE4132" s="4">
        <v>34</v>
      </c>
      <c r="AF4132" s="4">
        <v>0</v>
      </c>
      <c r="AG4132" s="4">
        <v>1</v>
      </c>
      <c r="AH4132" s="4">
        <v>32</v>
      </c>
      <c r="AI4132" s="4">
        <v>32</v>
      </c>
      <c r="AJ4132" s="4">
        <v>1</v>
      </c>
      <c r="AK4132" s="4">
        <v>2</v>
      </c>
      <c r="AL4132" s="4">
        <v>15</v>
      </c>
      <c r="AM4132" s="4">
        <v>15</v>
      </c>
      <c r="AN4132" s="4">
        <v>0</v>
      </c>
      <c r="AO4132" s="4">
        <v>0</v>
      </c>
      <c r="AP4132" s="4">
        <v>1</v>
      </c>
      <c r="AQ4132" s="4">
        <v>2</v>
      </c>
      <c r="AR4132" s="3" t="s">
        <v>62</v>
      </c>
      <c r="AS4132" s="3" t="s">
        <v>62</v>
      </c>
      <c r="AT4132" s="3" t="s">
        <v>61</v>
      </c>
      <c r="AU4132" s="6" t="str">
        <f>HYPERLINK("http://catalog.hathitrust.org/Record/005709831","HathiTrust Record")</f>
        <v>HathiTrust Record</v>
      </c>
      <c r="AV4132" s="6" t="str">
        <f>HYPERLINK("http://mcgill.on.worldcat.org/oclc/2768689","Catalog Record")</f>
        <v>Catalog Record</v>
      </c>
      <c r="AW4132" s="6" t="str">
        <f>HYPERLINK("http://www.worldcat.org/oclc/2768689","WorldCat Record")</f>
        <v>WorldCat Record</v>
      </c>
      <c r="AX4132" s="3" t="s">
        <v>39842</v>
      </c>
      <c r="AY4132" s="3" t="s">
        <v>39843</v>
      </c>
      <c r="AZ4132" s="3" t="s">
        <v>39844</v>
      </c>
      <c r="BA4132" s="3" t="s">
        <v>39844</v>
      </c>
      <c r="BB4132" s="3" t="s">
        <v>39845</v>
      </c>
      <c r="BC4132" s="3" t="s">
        <v>102</v>
      </c>
      <c r="BD4132" s="3" t="s">
        <v>68</v>
      </c>
      <c r="BE4132" s="3" t="s">
        <v>39846</v>
      </c>
      <c r="BF4132" s="3" t="s">
        <v>39845</v>
      </c>
      <c r="BG4132" s="3" t="s">
        <v>39847</v>
      </c>
    </row>
    <row r="4133" spans="1:59" ht="58" x14ac:dyDescent="0.35">
      <c r="A4133" s="2" t="s">
        <v>59</v>
      </c>
      <c r="B4133" s="2" t="s">
        <v>60</v>
      </c>
      <c r="C4133" s="2" t="s">
        <v>39848</v>
      </c>
      <c r="D4133" s="2" t="s">
        <v>39849</v>
      </c>
      <c r="E4133" s="2" t="s">
        <v>39850</v>
      </c>
      <c r="G4133" s="3" t="s">
        <v>62</v>
      </c>
      <c r="I4133" s="3" t="s">
        <v>62</v>
      </c>
      <c r="J4133" s="3" t="s">
        <v>62</v>
      </c>
      <c r="K4133" s="3" t="s">
        <v>63</v>
      </c>
      <c r="L4133" s="2" t="s">
        <v>39851</v>
      </c>
      <c r="M4133" s="2" t="s">
        <v>39852</v>
      </c>
      <c r="N4133" s="3" t="s">
        <v>2566</v>
      </c>
      <c r="O4133" s="2" t="s">
        <v>2849</v>
      </c>
      <c r="P4133" s="3" t="s">
        <v>64</v>
      </c>
      <c r="Q4133" s="2" t="s">
        <v>39853</v>
      </c>
      <c r="R4133" s="3" t="s">
        <v>34126</v>
      </c>
      <c r="S4133" s="4">
        <v>1</v>
      </c>
      <c r="T4133" s="4">
        <v>1</v>
      </c>
      <c r="U4133" s="5" t="s">
        <v>34940</v>
      </c>
      <c r="V4133" s="5" t="s">
        <v>34940</v>
      </c>
      <c r="W4133" s="5" t="s">
        <v>67</v>
      </c>
      <c r="X4133" s="5" t="s">
        <v>67</v>
      </c>
      <c r="Y4133" s="4">
        <v>267</v>
      </c>
      <c r="Z4133" s="4">
        <v>15</v>
      </c>
      <c r="AA4133" s="4">
        <v>21</v>
      </c>
      <c r="AB4133" s="4">
        <v>1</v>
      </c>
      <c r="AC4133" s="4">
        <v>7</v>
      </c>
      <c r="AD4133" s="4">
        <v>81</v>
      </c>
      <c r="AE4133" s="4">
        <v>83</v>
      </c>
      <c r="AF4133" s="4">
        <v>0</v>
      </c>
      <c r="AG4133" s="4">
        <v>2</v>
      </c>
      <c r="AH4133" s="4">
        <v>72</v>
      </c>
      <c r="AI4133" s="4">
        <v>72</v>
      </c>
      <c r="AJ4133" s="4">
        <v>12</v>
      </c>
      <c r="AK4133" s="4">
        <v>14</v>
      </c>
      <c r="AL4133" s="4">
        <v>40</v>
      </c>
      <c r="AM4133" s="4">
        <v>40</v>
      </c>
      <c r="AN4133" s="4">
        <v>0</v>
      </c>
      <c r="AO4133" s="4">
        <v>0</v>
      </c>
      <c r="AP4133" s="4">
        <v>13</v>
      </c>
      <c r="AQ4133" s="4">
        <v>14</v>
      </c>
      <c r="AR4133" s="3" t="s">
        <v>62</v>
      </c>
      <c r="AS4133" s="3" t="s">
        <v>62</v>
      </c>
      <c r="AT4133" s="3" t="s">
        <v>61</v>
      </c>
      <c r="AU4133" s="6" t="str">
        <f>HYPERLINK("http://catalog.hathitrust.org/Record/000009075","HathiTrust Record")</f>
        <v>HathiTrust Record</v>
      </c>
      <c r="AV4133" s="6" t="str">
        <f>HYPERLINK("http://mcgill.on.worldcat.org/oclc/650728","Catalog Record")</f>
        <v>Catalog Record</v>
      </c>
      <c r="AW4133" s="6" t="str">
        <f>HYPERLINK("http://www.worldcat.org/oclc/650728","WorldCat Record")</f>
        <v>WorldCat Record</v>
      </c>
      <c r="AX4133" s="3" t="s">
        <v>39854</v>
      </c>
      <c r="AY4133" s="3" t="s">
        <v>39855</v>
      </c>
      <c r="AZ4133" s="3" t="s">
        <v>39856</v>
      </c>
      <c r="BA4133" s="3" t="s">
        <v>39856</v>
      </c>
      <c r="BB4133" s="3" t="s">
        <v>39857</v>
      </c>
      <c r="BC4133" s="3" t="s">
        <v>102</v>
      </c>
      <c r="BD4133" s="3" t="s">
        <v>68</v>
      </c>
      <c r="BE4133" s="3" t="s">
        <v>39858</v>
      </c>
      <c r="BF4133" s="3" t="s">
        <v>39857</v>
      </c>
      <c r="BG4133" s="3" t="s">
        <v>39859</v>
      </c>
    </row>
    <row r="4134" spans="1:59" ht="58" x14ac:dyDescent="0.35">
      <c r="A4134" s="2" t="s">
        <v>59</v>
      </c>
      <c r="B4134" s="2" t="s">
        <v>60</v>
      </c>
      <c r="C4134" s="2" t="s">
        <v>39860</v>
      </c>
      <c r="D4134" s="2" t="s">
        <v>39861</v>
      </c>
      <c r="E4134" s="2" t="s">
        <v>39862</v>
      </c>
      <c r="G4134" s="3" t="s">
        <v>62</v>
      </c>
      <c r="I4134" s="3" t="s">
        <v>62</v>
      </c>
      <c r="J4134" s="3" t="s">
        <v>62</v>
      </c>
      <c r="K4134" s="3" t="s">
        <v>63</v>
      </c>
      <c r="M4134" s="2" t="s">
        <v>39863</v>
      </c>
      <c r="N4134" s="3" t="s">
        <v>327</v>
      </c>
      <c r="P4134" s="3" t="s">
        <v>64</v>
      </c>
      <c r="Q4134" s="2" t="s">
        <v>39864</v>
      </c>
      <c r="R4134" s="3" t="s">
        <v>34126</v>
      </c>
      <c r="S4134" s="4">
        <v>16</v>
      </c>
      <c r="T4134" s="4">
        <v>16</v>
      </c>
      <c r="U4134" s="5" t="s">
        <v>1954</v>
      </c>
      <c r="V4134" s="5" t="s">
        <v>1954</v>
      </c>
      <c r="W4134" s="5" t="s">
        <v>67</v>
      </c>
      <c r="X4134" s="5" t="s">
        <v>67</v>
      </c>
      <c r="Y4134" s="4">
        <v>403</v>
      </c>
      <c r="Z4134" s="4">
        <v>27</v>
      </c>
      <c r="AA4134" s="4">
        <v>38</v>
      </c>
      <c r="AB4134" s="4">
        <v>2</v>
      </c>
      <c r="AC4134" s="4">
        <v>9</v>
      </c>
      <c r="AD4134" s="4">
        <v>102</v>
      </c>
      <c r="AE4134" s="4">
        <v>110</v>
      </c>
      <c r="AF4134" s="4">
        <v>0</v>
      </c>
      <c r="AG4134" s="4">
        <v>5</v>
      </c>
      <c r="AH4134" s="4">
        <v>89</v>
      </c>
      <c r="AI4134" s="4">
        <v>93</v>
      </c>
      <c r="AJ4134" s="4">
        <v>17</v>
      </c>
      <c r="AK4134" s="4">
        <v>23</v>
      </c>
      <c r="AL4134" s="4">
        <v>49</v>
      </c>
      <c r="AM4134" s="4">
        <v>49</v>
      </c>
      <c r="AN4134" s="4">
        <v>0</v>
      </c>
      <c r="AO4134" s="4">
        <v>0</v>
      </c>
      <c r="AP4134" s="4">
        <v>19</v>
      </c>
      <c r="AQ4134" s="4">
        <v>25</v>
      </c>
      <c r="AR4134" s="3" t="s">
        <v>62</v>
      </c>
      <c r="AS4134" s="3" t="s">
        <v>62</v>
      </c>
      <c r="AT4134" s="3" t="s">
        <v>61</v>
      </c>
      <c r="AU4134" s="6" t="str">
        <f>HYPERLINK("http://catalog.hathitrust.org/Record/000308273","HathiTrust Record")</f>
        <v>HathiTrust Record</v>
      </c>
      <c r="AV4134" s="6" t="str">
        <f>HYPERLINK("http://mcgill.on.worldcat.org/oclc/7614862","Catalog Record")</f>
        <v>Catalog Record</v>
      </c>
      <c r="AW4134" s="6" t="str">
        <f>HYPERLINK("http://www.worldcat.org/oclc/7614862","WorldCat Record")</f>
        <v>WorldCat Record</v>
      </c>
      <c r="AX4134" s="3" t="s">
        <v>39865</v>
      </c>
      <c r="AY4134" s="3" t="s">
        <v>39866</v>
      </c>
      <c r="AZ4134" s="3" t="s">
        <v>39867</v>
      </c>
      <c r="BA4134" s="3" t="s">
        <v>39867</v>
      </c>
      <c r="BB4134" s="3" t="s">
        <v>39868</v>
      </c>
      <c r="BC4134" s="3" t="s">
        <v>102</v>
      </c>
      <c r="BD4134" s="3" t="s">
        <v>68</v>
      </c>
      <c r="BE4134" s="3" t="s">
        <v>39869</v>
      </c>
      <c r="BF4134" s="3" t="s">
        <v>39868</v>
      </c>
      <c r="BG4134" s="3" t="s">
        <v>39870</v>
      </c>
    </row>
    <row r="4135" spans="1:59" ht="58" x14ac:dyDescent="0.35">
      <c r="A4135" s="2" t="s">
        <v>59</v>
      </c>
      <c r="B4135" s="2" t="s">
        <v>60</v>
      </c>
      <c r="C4135" s="2" t="s">
        <v>39871</v>
      </c>
      <c r="D4135" s="2" t="s">
        <v>39872</v>
      </c>
      <c r="E4135" s="2" t="s">
        <v>39873</v>
      </c>
      <c r="G4135" s="3" t="s">
        <v>62</v>
      </c>
      <c r="I4135" s="3" t="s">
        <v>62</v>
      </c>
      <c r="J4135" s="3" t="s">
        <v>61</v>
      </c>
      <c r="K4135" s="3" t="s">
        <v>63</v>
      </c>
      <c r="L4135" s="2" t="s">
        <v>39874</v>
      </c>
      <c r="M4135" s="2" t="s">
        <v>39875</v>
      </c>
      <c r="N4135" s="3" t="s">
        <v>95</v>
      </c>
      <c r="P4135" s="3" t="s">
        <v>64</v>
      </c>
      <c r="Q4135" s="2" t="s">
        <v>39876</v>
      </c>
      <c r="R4135" s="3" t="s">
        <v>34126</v>
      </c>
      <c r="S4135" s="4">
        <v>6</v>
      </c>
      <c r="T4135" s="4">
        <v>6</v>
      </c>
      <c r="U4135" s="5" t="s">
        <v>16247</v>
      </c>
      <c r="V4135" s="5" t="s">
        <v>16247</v>
      </c>
      <c r="W4135" s="5" t="s">
        <v>67</v>
      </c>
      <c r="X4135" s="5" t="s">
        <v>67</v>
      </c>
      <c r="Y4135" s="4">
        <v>366</v>
      </c>
      <c r="Z4135" s="4">
        <v>17</v>
      </c>
      <c r="AA4135" s="4">
        <v>77</v>
      </c>
      <c r="AB4135" s="4">
        <v>1</v>
      </c>
      <c r="AC4135" s="4">
        <v>18</v>
      </c>
      <c r="AD4135" s="4">
        <v>79</v>
      </c>
      <c r="AE4135" s="4">
        <v>158</v>
      </c>
      <c r="AF4135" s="4">
        <v>0</v>
      </c>
      <c r="AG4135" s="4">
        <v>8</v>
      </c>
      <c r="AH4135" s="4">
        <v>71</v>
      </c>
      <c r="AI4135" s="4">
        <v>114</v>
      </c>
      <c r="AJ4135" s="4">
        <v>8</v>
      </c>
      <c r="AK4135" s="4">
        <v>27</v>
      </c>
      <c r="AL4135" s="4">
        <v>32</v>
      </c>
      <c r="AM4135" s="4">
        <v>56</v>
      </c>
      <c r="AN4135" s="4">
        <v>0</v>
      </c>
      <c r="AO4135" s="4">
        <v>5</v>
      </c>
      <c r="AP4135" s="4">
        <v>13</v>
      </c>
      <c r="AQ4135" s="4">
        <v>54</v>
      </c>
      <c r="AR4135" s="3" t="s">
        <v>62</v>
      </c>
      <c r="AS4135" s="3" t="s">
        <v>62</v>
      </c>
      <c r="AT4135" s="3" t="s">
        <v>61</v>
      </c>
      <c r="AU4135" s="6" t="str">
        <f>HYPERLINK("http://catalog.hathitrust.org/Record/000223426","HathiTrust Record")</f>
        <v>HathiTrust Record</v>
      </c>
      <c r="AV4135" s="6" t="str">
        <f>HYPERLINK("http://mcgill.on.worldcat.org/oclc/7206158","Catalog Record")</f>
        <v>Catalog Record</v>
      </c>
      <c r="AW4135" s="6" t="str">
        <f>HYPERLINK("http://www.worldcat.org/oclc/7206158","WorldCat Record")</f>
        <v>WorldCat Record</v>
      </c>
      <c r="AX4135" s="3" t="s">
        <v>39877</v>
      </c>
      <c r="AY4135" s="3" t="s">
        <v>39878</v>
      </c>
      <c r="AZ4135" s="3" t="s">
        <v>39879</v>
      </c>
      <c r="BA4135" s="3" t="s">
        <v>39879</v>
      </c>
      <c r="BB4135" s="3" t="s">
        <v>39880</v>
      </c>
      <c r="BC4135" s="3" t="s">
        <v>102</v>
      </c>
      <c r="BD4135" s="3" t="s">
        <v>68</v>
      </c>
      <c r="BE4135" s="3" t="s">
        <v>39881</v>
      </c>
      <c r="BF4135" s="3" t="s">
        <v>39880</v>
      </c>
      <c r="BG4135" s="3" t="s">
        <v>39882</v>
      </c>
    </row>
    <row r="4136" spans="1:59" ht="58" x14ac:dyDescent="0.35">
      <c r="A4136" s="2" t="s">
        <v>59</v>
      </c>
      <c r="B4136" s="2" t="s">
        <v>60</v>
      </c>
      <c r="C4136" s="2" t="s">
        <v>39883</v>
      </c>
      <c r="D4136" s="2" t="s">
        <v>39884</v>
      </c>
      <c r="E4136" s="2" t="s">
        <v>39885</v>
      </c>
      <c r="G4136" s="3" t="s">
        <v>62</v>
      </c>
      <c r="I4136" s="3" t="s">
        <v>62</v>
      </c>
      <c r="J4136" s="3" t="s">
        <v>62</v>
      </c>
      <c r="K4136" s="3" t="s">
        <v>63</v>
      </c>
      <c r="M4136" s="2" t="s">
        <v>12569</v>
      </c>
      <c r="N4136" s="3" t="s">
        <v>539</v>
      </c>
      <c r="P4136" s="3" t="s">
        <v>64</v>
      </c>
      <c r="Q4136" s="2" t="s">
        <v>39886</v>
      </c>
      <c r="R4136" s="3" t="s">
        <v>34126</v>
      </c>
      <c r="S4136" s="4">
        <v>10</v>
      </c>
      <c r="T4136" s="4">
        <v>10</v>
      </c>
      <c r="U4136" s="5" t="s">
        <v>16837</v>
      </c>
      <c r="V4136" s="5" t="s">
        <v>16837</v>
      </c>
      <c r="W4136" s="5" t="s">
        <v>67</v>
      </c>
      <c r="X4136" s="5" t="s">
        <v>67</v>
      </c>
      <c r="Y4136" s="4">
        <v>253</v>
      </c>
      <c r="Z4136" s="4">
        <v>25</v>
      </c>
      <c r="AA4136" s="4">
        <v>31</v>
      </c>
      <c r="AB4136" s="4">
        <v>2</v>
      </c>
      <c r="AC4136" s="4">
        <v>6</v>
      </c>
      <c r="AD4136" s="4">
        <v>99</v>
      </c>
      <c r="AE4136" s="4">
        <v>105</v>
      </c>
      <c r="AF4136" s="4">
        <v>1</v>
      </c>
      <c r="AG4136" s="4">
        <v>4</v>
      </c>
      <c r="AH4136" s="4">
        <v>85</v>
      </c>
      <c r="AI4136" s="4">
        <v>88</v>
      </c>
      <c r="AJ4136" s="4">
        <v>15</v>
      </c>
      <c r="AK4136" s="4">
        <v>19</v>
      </c>
      <c r="AL4136" s="4">
        <v>45</v>
      </c>
      <c r="AM4136" s="4">
        <v>46</v>
      </c>
      <c r="AN4136" s="4">
        <v>0</v>
      </c>
      <c r="AO4136" s="4">
        <v>0</v>
      </c>
      <c r="AP4136" s="4">
        <v>20</v>
      </c>
      <c r="AQ4136" s="4">
        <v>24</v>
      </c>
      <c r="AR4136" s="3" t="s">
        <v>62</v>
      </c>
      <c r="AS4136" s="3" t="s">
        <v>62</v>
      </c>
      <c r="AT4136" s="3" t="s">
        <v>62</v>
      </c>
      <c r="AV4136" s="6" t="str">
        <f>HYPERLINK("http://mcgill.on.worldcat.org/oclc/38061583","Catalog Record")</f>
        <v>Catalog Record</v>
      </c>
      <c r="AW4136" s="6" t="str">
        <f>HYPERLINK("http://www.worldcat.org/oclc/38061583","WorldCat Record")</f>
        <v>WorldCat Record</v>
      </c>
      <c r="AX4136" s="3" t="s">
        <v>39887</v>
      </c>
      <c r="AY4136" s="3" t="s">
        <v>39888</v>
      </c>
      <c r="AZ4136" s="3" t="s">
        <v>39889</v>
      </c>
      <c r="BA4136" s="3" t="s">
        <v>39889</v>
      </c>
      <c r="BB4136" s="3" t="s">
        <v>39890</v>
      </c>
      <c r="BC4136" s="3" t="s">
        <v>102</v>
      </c>
      <c r="BD4136" s="3" t="s">
        <v>68</v>
      </c>
      <c r="BE4136" s="3" t="s">
        <v>39891</v>
      </c>
      <c r="BF4136" s="3" t="s">
        <v>39890</v>
      </c>
      <c r="BG4136" s="3" t="s">
        <v>39892</v>
      </c>
    </row>
    <row r="4137" spans="1:59" ht="58" x14ac:dyDescent="0.35">
      <c r="A4137" s="2" t="s">
        <v>59</v>
      </c>
      <c r="B4137" s="2" t="s">
        <v>60</v>
      </c>
      <c r="C4137" s="2" t="s">
        <v>39893</v>
      </c>
      <c r="D4137" s="2" t="s">
        <v>39894</v>
      </c>
      <c r="E4137" s="2" t="s">
        <v>39895</v>
      </c>
      <c r="G4137" s="3" t="s">
        <v>62</v>
      </c>
      <c r="I4137" s="3" t="s">
        <v>62</v>
      </c>
      <c r="J4137" s="3" t="s">
        <v>62</v>
      </c>
      <c r="K4137" s="3" t="s">
        <v>63</v>
      </c>
      <c r="L4137" s="2" t="s">
        <v>39896</v>
      </c>
      <c r="M4137" s="2" t="s">
        <v>39897</v>
      </c>
      <c r="N4137" s="3" t="s">
        <v>625</v>
      </c>
      <c r="P4137" s="3" t="s">
        <v>64</v>
      </c>
      <c r="R4137" s="3" t="s">
        <v>34126</v>
      </c>
      <c r="S4137" s="4">
        <v>8</v>
      </c>
      <c r="T4137" s="4">
        <v>8</v>
      </c>
      <c r="U4137" s="5" t="s">
        <v>2256</v>
      </c>
      <c r="V4137" s="5" t="s">
        <v>2256</v>
      </c>
      <c r="W4137" s="5" t="s">
        <v>67</v>
      </c>
      <c r="X4137" s="5" t="s">
        <v>67</v>
      </c>
      <c r="Y4137" s="4">
        <v>260</v>
      </c>
      <c r="Z4137" s="4">
        <v>29</v>
      </c>
      <c r="AA4137" s="4">
        <v>41</v>
      </c>
      <c r="AB4137" s="4">
        <v>1</v>
      </c>
      <c r="AC4137" s="4">
        <v>9</v>
      </c>
      <c r="AD4137" s="4">
        <v>74</v>
      </c>
      <c r="AE4137" s="4">
        <v>89</v>
      </c>
      <c r="AF4137" s="4">
        <v>0</v>
      </c>
      <c r="AG4137" s="4">
        <v>4</v>
      </c>
      <c r="AH4137" s="4">
        <v>67</v>
      </c>
      <c r="AI4137" s="4">
        <v>78</v>
      </c>
      <c r="AJ4137" s="4">
        <v>11</v>
      </c>
      <c r="AK4137" s="4">
        <v>16</v>
      </c>
      <c r="AL4137" s="4">
        <v>30</v>
      </c>
      <c r="AM4137" s="4">
        <v>36</v>
      </c>
      <c r="AN4137" s="4">
        <v>0</v>
      </c>
      <c r="AO4137" s="4">
        <v>0</v>
      </c>
      <c r="AP4137" s="4">
        <v>17</v>
      </c>
      <c r="AQ4137" s="4">
        <v>22</v>
      </c>
      <c r="AR4137" s="3" t="s">
        <v>62</v>
      </c>
      <c r="AS4137" s="3" t="s">
        <v>62</v>
      </c>
      <c r="AT4137" s="3" t="s">
        <v>62</v>
      </c>
      <c r="AV4137" s="6" t="str">
        <f>HYPERLINK("http://mcgill.on.worldcat.org/oclc/51020316","Catalog Record")</f>
        <v>Catalog Record</v>
      </c>
      <c r="AW4137" s="6" t="str">
        <f>HYPERLINK("http://www.worldcat.org/oclc/51020316","WorldCat Record")</f>
        <v>WorldCat Record</v>
      </c>
      <c r="AX4137" s="3" t="s">
        <v>39898</v>
      </c>
      <c r="AY4137" s="3" t="s">
        <v>39899</v>
      </c>
      <c r="AZ4137" s="3" t="s">
        <v>39900</v>
      </c>
      <c r="BA4137" s="3" t="s">
        <v>39900</v>
      </c>
      <c r="BB4137" s="3" t="s">
        <v>39901</v>
      </c>
      <c r="BC4137" s="3" t="s">
        <v>102</v>
      </c>
      <c r="BD4137" s="3" t="s">
        <v>68</v>
      </c>
      <c r="BE4137" s="3" t="s">
        <v>39902</v>
      </c>
      <c r="BF4137" s="3" t="s">
        <v>39901</v>
      </c>
      <c r="BG4137" s="3" t="s">
        <v>39903</v>
      </c>
    </row>
    <row r="4138" spans="1:59" ht="58" x14ac:dyDescent="0.35">
      <c r="A4138" s="2" t="s">
        <v>59</v>
      </c>
      <c r="B4138" s="2" t="s">
        <v>60</v>
      </c>
      <c r="C4138" s="2" t="s">
        <v>39904</v>
      </c>
      <c r="D4138" s="2" t="s">
        <v>39905</v>
      </c>
      <c r="E4138" s="2" t="s">
        <v>39906</v>
      </c>
      <c r="G4138" s="3" t="s">
        <v>62</v>
      </c>
      <c r="I4138" s="3" t="s">
        <v>61</v>
      </c>
      <c r="J4138" s="3" t="s">
        <v>62</v>
      </c>
      <c r="K4138" s="3" t="s">
        <v>63</v>
      </c>
      <c r="M4138" s="2" t="s">
        <v>39907</v>
      </c>
      <c r="N4138" s="3" t="s">
        <v>87</v>
      </c>
      <c r="P4138" s="3" t="s">
        <v>64</v>
      </c>
      <c r="R4138" s="3" t="s">
        <v>34126</v>
      </c>
      <c r="S4138" s="4">
        <v>7</v>
      </c>
      <c r="T4138" s="4">
        <v>12</v>
      </c>
      <c r="U4138" s="5" t="s">
        <v>39908</v>
      </c>
      <c r="V4138" s="5" t="s">
        <v>188</v>
      </c>
      <c r="W4138" s="5" t="s">
        <v>67</v>
      </c>
      <c r="X4138" s="5" t="s">
        <v>67</v>
      </c>
      <c r="Y4138" s="4">
        <v>377</v>
      </c>
      <c r="Z4138" s="4">
        <v>25</v>
      </c>
      <c r="AA4138" s="4">
        <v>28</v>
      </c>
      <c r="AB4138" s="4">
        <v>2</v>
      </c>
      <c r="AC4138" s="4">
        <v>5</v>
      </c>
      <c r="AD4138" s="4">
        <v>105</v>
      </c>
      <c r="AE4138" s="4">
        <v>108</v>
      </c>
      <c r="AF4138" s="4">
        <v>1</v>
      </c>
      <c r="AG4138" s="4">
        <v>4</v>
      </c>
      <c r="AH4138" s="4">
        <v>94</v>
      </c>
      <c r="AI4138" s="4">
        <v>94</v>
      </c>
      <c r="AJ4138" s="4">
        <v>16</v>
      </c>
      <c r="AK4138" s="4">
        <v>18</v>
      </c>
      <c r="AL4138" s="4">
        <v>46</v>
      </c>
      <c r="AM4138" s="4">
        <v>46</v>
      </c>
      <c r="AN4138" s="4">
        <v>5</v>
      </c>
      <c r="AO4138" s="4">
        <v>5</v>
      </c>
      <c r="AP4138" s="4">
        <v>18</v>
      </c>
      <c r="AQ4138" s="4">
        <v>21</v>
      </c>
      <c r="AR4138" s="3" t="s">
        <v>62</v>
      </c>
      <c r="AS4138" s="3" t="s">
        <v>62</v>
      </c>
      <c r="AT4138" s="3" t="s">
        <v>61</v>
      </c>
      <c r="AU4138" s="6" t="str">
        <f>HYPERLINK("http://catalog.hathitrust.org/Record/006243041","HathiTrust Record")</f>
        <v>HathiTrust Record</v>
      </c>
      <c r="AV4138" s="6" t="str">
        <f>HYPERLINK("http://mcgill.on.worldcat.org/oclc/5195612","Catalog Record")</f>
        <v>Catalog Record</v>
      </c>
      <c r="AW4138" s="6" t="str">
        <f>HYPERLINK("http://www.worldcat.org/oclc/5195612","WorldCat Record")</f>
        <v>WorldCat Record</v>
      </c>
      <c r="AX4138" s="3" t="s">
        <v>39909</v>
      </c>
      <c r="AY4138" s="3" t="s">
        <v>39910</v>
      </c>
      <c r="AZ4138" s="3" t="s">
        <v>39911</v>
      </c>
      <c r="BA4138" s="3" t="s">
        <v>39911</v>
      </c>
      <c r="BB4138" s="3" t="s">
        <v>39912</v>
      </c>
      <c r="BC4138" s="3" t="s">
        <v>102</v>
      </c>
      <c r="BD4138" s="3" t="s">
        <v>68</v>
      </c>
      <c r="BE4138" s="3" t="s">
        <v>39913</v>
      </c>
      <c r="BF4138" s="3" t="s">
        <v>39912</v>
      </c>
      <c r="BG4138" s="3" t="s">
        <v>39914</v>
      </c>
    </row>
    <row r="4139" spans="1:59" ht="72.5" x14ac:dyDescent="0.35">
      <c r="A4139" s="2" t="s">
        <v>89</v>
      </c>
      <c r="B4139" s="2" t="s">
        <v>90</v>
      </c>
      <c r="C4139" s="2" t="s">
        <v>39915</v>
      </c>
      <c r="D4139" s="2" t="s">
        <v>39916</v>
      </c>
      <c r="E4139" s="2" t="s">
        <v>39917</v>
      </c>
      <c r="G4139" s="3" t="s">
        <v>62</v>
      </c>
      <c r="I4139" s="3" t="s">
        <v>61</v>
      </c>
      <c r="J4139" s="3" t="s">
        <v>62</v>
      </c>
      <c r="K4139" s="3" t="s">
        <v>63</v>
      </c>
      <c r="M4139" s="2" t="s">
        <v>39918</v>
      </c>
      <c r="N4139" s="3" t="s">
        <v>1195</v>
      </c>
      <c r="P4139" s="3" t="s">
        <v>64</v>
      </c>
      <c r="R4139" s="3" t="s">
        <v>34126</v>
      </c>
      <c r="S4139" s="4">
        <v>0</v>
      </c>
      <c r="T4139" s="4">
        <v>18</v>
      </c>
      <c r="V4139" s="5" t="s">
        <v>39473</v>
      </c>
      <c r="W4139" s="5" t="s">
        <v>67</v>
      </c>
      <c r="X4139" s="5" t="s">
        <v>67</v>
      </c>
      <c r="Y4139" s="4">
        <v>537</v>
      </c>
      <c r="Z4139" s="4">
        <v>37</v>
      </c>
      <c r="AA4139" s="4">
        <v>104</v>
      </c>
      <c r="AB4139" s="4">
        <v>2</v>
      </c>
      <c r="AC4139" s="4">
        <v>19</v>
      </c>
      <c r="AD4139" s="4">
        <v>98</v>
      </c>
      <c r="AE4139" s="4">
        <v>143</v>
      </c>
      <c r="AF4139" s="4">
        <v>1</v>
      </c>
      <c r="AG4139" s="4">
        <v>8</v>
      </c>
      <c r="AH4139" s="4">
        <v>81</v>
      </c>
      <c r="AI4139" s="4">
        <v>102</v>
      </c>
      <c r="AJ4139" s="4">
        <v>16</v>
      </c>
      <c r="AK4139" s="4">
        <v>25</v>
      </c>
      <c r="AL4139" s="4">
        <v>44</v>
      </c>
      <c r="AM4139" s="4">
        <v>52</v>
      </c>
      <c r="AN4139" s="4">
        <v>0</v>
      </c>
      <c r="AO4139" s="4">
        <v>0</v>
      </c>
      <c r="AP4139" s="4">
        <v>26</v>
      </c>
      <c r="AQ4139" s="4">
        <v>51</v>
      </c>
      <c r="AR4139" s="3" t="s">
        <v>62</v>
      </c>
      <c r="AS4139" s="3" t="s">
        <v>62</v>
      </c>
      <c r="AT4139" s="3" t="s">
        <v>62</v>
      </c>
      <c r="AV4139" s="6" t="str">
        <f>HYPERLINK("http://mcgill.on.worldcat.org/oclc/70060995","Catalog Record")</f>
        <v>Catalog Record</v>
      </c>
      <c r="AW4139" s="6" t="str">
        <f>HYPERLINK("http://www.worldcat.org/oclc/70060995","WorldCat Record")</f>
        <v>WorldCat Record</v>
      </c>
      <c r="AX4139" s="3" t="s">
        <v>39919</v>
      </c>
      <c r="AY4139" s="3" t="s">
        <v>39920</v>
      </c>
      <c r="AZ4139" s="3" t="s">
        <v>39921</v>
      </c>
      <c r="BA4139" s="3" t="s">
        <v>39921</v>
      </c>
      <c r="BB4139" s="3" t="s">
        <v>39922</v>
      </c>
      <c r="BC4139" s="3" t="s">
        <v>102</v>
      </c>
      <c r="BD4139" s="3" t="s">
        <v>68</v>
      </c>
      <c r="BE4139" s="3" t="s">
        <v>39923</v>
      </c>
      <c r="BF4139" s="3" t="s">
        <v>39922</v>
      </c>
      <c r="BG4139" s="3" t="s">
        <v>39924</v>
      </c>
    </row>
    <row r="4140" spans="1:59" ht="58" x14ac:dyDescent="0.35">
      <c r="A4140" s="2" t="s">
        <v>59</v>
      </c>
      <c r="B4140" s="2" t="s">
        <v>60</v>
      </c>
      <c r="C4140" s="2" t="s">
        <v>39925</v>
      </c>
      <c r="D4140" s="2" t="s">
        <v>39926</v>
      </c>
      <c r="E4140" s="2" t="s">
        <v>39927</v>
      </c>
      <c r="G4140" s="3" t="s">
        <v>62</v>
      </c>
      <c r="I4140" s="3" t="s">
        <v>61</v>
      </c>
      <c r="J4140" s="3" t="s">
        <v>62</v>
      </c>
      <c r="K4140" s="3" t="s">
        <v>63</v>
      </c>
      <c r="L4140" s="2" t="s">
        <v>34633</v>
      </c>
      <c r="M4140" s="2" t="s">
        <v>39928</v>
      </c>
      <c r="N4140" s="3" t="s">
        <v>81</v>
      </c>
      <c r="P4140" s="3" t="s">
        <v>64</v>
      </c>
      <c r="Q4140" s="2" t="s">
        <v>38562</v>
      </c>
      <c r="R4140" s="3" t="s">
        <v>34126</v>
      </c>
      <c r="S4140" s="4">
        <v>6</v>
      </c>
      <c r="T4140" s="4">
        <v>9</v>
      </c>
      <c r="U4140" s="5" t="s">
        <v>39929</v>
      </c>
      <c r="V4140" s="5" t="s">
        <v>39929</v>
      </c>
      <c r="W4140" s="5" t="s">
        <v>67</v>
      </c>
      <c r="X4140" s="5" t="s">
        <v>67</v>
      </c>
      <c r="Y4140" s="4">
        <v>575</v>
      </c>
      <c r="Z4140" s="4">
        <v>44</v>
      </c>
      <c r="AA4140" s="4">
        <v>55</v>
      </c>
      <c r="AB4140" s="4">
        <v>3</v>
      </c>
      <c r="AC4140" s="4">
        <v>13</v>
      </c>
      <c r="AD4140" s="4">
        <v>118</v>
      </c>
      <c r="AE4140" s="4">
        <v>123</v>
      </c>
      <c r="AF4140" s="4">
        <v>2</v>
      </c>
      <c r="AG4140" s="4">
        <v>6</v>
      </c>
      <c r="AH4140" s="4">
        <v>93</v>
      </c>
      <c r="AI4140" s="4">
        <v>95</v>
      </c>
      <c r="AJ4140" s="4">
        <v>19</v>
      </c>
      <c r="AK4140" s="4">
        <v>23</v>
      </c>
      <c r="AL4140" s="4">
        <v>50</v>
      </c>
      <c r="AM4140" s="4">
        <v>50</v>
      </c>
      <c r="AN4140" s="4">
        <v>0</v>
      </c>
      <c r="AO4140" s="4">
        <v>0</v>
      </c>
      <c r="AP4140" s="4">
        <v>32</v>
      </c>
      <c r="AQ4140" s="4">
        <v>37</v>
      </c>
      <c r="AR4140" s="3" t="s">
        <v>62</v>
      </c>
      <c r="AS4140" s="3" t="s">
        <v>62</v>
      </c>
      <c r="AT4140" s="3" t="s">
        <v>62</v>
      </c>
      <c r="AV4140" s="6" t="str">
        <f>HYPERLINK("http://mcgill.on.worldcat.org/oclc/439546","Catalog Record")</f>
        <v>Catalog Record</v>
      </c>
      <c r="AW4140" s="6" t="str">
        <f>HYPERLINK("http://www.worldcat.org/oclc/439546","WorldCat Record")</f>
        <v>WorldCat Record</v>
      </c>
      <c r="AX4140" s="3" t="s">
        <v>39930</v>
      </c>
      <c r="AY4140" s="3" t="s">
        <v>39931</v>
      </c>
      <c r="AZ4140" s="3" t="s">
        <v>39932</v>
      </c>
      <c r="BA4140" s="3" t="s">
        <v>39932</v>
      </c>
      <c r="BB4140" s="3" t="s">
        <v>39933</v>
      </c>
      <c r="BC4140" s="3" t="s">
        <v>102</v>
      </c>
      <c r="BD4140" s="3" t="s">
        <v>68</v>
      </c>
      <c r="BF4140" s="3" t="s">
        <v>39933</v>
      </c>
      <c r="BG4140" s="3" t="s">
        <v>39934</v>
      </c>
    </row>
    <row r="4141" spans="1:59" ht="58" x14ac:dyDescent="0.35">
      <c r="A4141" s="2" t="s">
        <v>59</v>
      </c>
      <c r="B4141" s="2" t="s">
        <v>60</v>
      </c>
      <c r="C4141" s="2" t="s">
        <v>39935</v>
      </c>
      <c r="D4141" s="2" t="s">
        <v>39936</v>
      </c>
      <c r="E4141" s="2" t="s">
        <v>39937</v>
      </c>
      <c r="G4141" s="3" t="s">
        <v>62</v>
      </c>
      <c r="I4141" s="3" t="s">
        <v>62</v>
      </c>
      <c r="J4141" s="3" t="s">
        <v>62</v>
      </c>
      <c r="K4141" s="3" t="s">
        <v>63</v>
      </c>
      <c r="M4141" s="2" t="s">
        <v>39938</v>
      </c>
      <c r="N4141" s="3" t="s">
        <v>157</v>
      </c>
      <c r="P4141" s="3" t="s">
        <v>64</v>
      </c>
      <c r="R4141" s="3" t="s">
        <v>34126</v>
      </c>
      <c r="S4141" s="4">
        <v>9</v>
      </c>
      <c r="T4141" s="4">
        <v>9</v>
      </c>
      <c r="U4141" s="5" t="s">
        <v>16753</v>
      </c>
      <c r="V4141" s="5" t="s">
        <v>16753</v>
      </c>
      <c r="W4141" s="5" t="s">
        <v>67</v>
      </c>
      <c r="X4141" s="5" t="s">
        <v>67</v>
      </c>
      <c r="Y4141" s="4">
        <v>535</v>
      </c>
      <c r="Z4141" s="4">
        <v>32</v>
      </c>
      <c r="AA4141" s="4">
        <v>38</v>
      </c>
      <c r="AB4141" s="4">
        <v>3</v>
      </c>
      <c r="AC4141" s="4">
        <v>8</v>
      </c>
      <c r="AD4141" s="4">
        <v>86</v>
      </c>
      <c r="AE4141" s="4">
        <v>91</v>
      </c>
      <c r="AF4141" s="4">
        <v>2</v>
      </c>
      <c r="AG4141" s="4">
        <v>6</v>
      </c>
      <c r="AH4141" s="4">
        <v>66</v>
      </c>
      <c r="AI4141" s="4">
        <v>67</v>
      </c>
      <c r="AJ4141" s="4">
        <v>18</v>
      </c>
      <c r="AK4141" s="4">
        <v>23</v>
      </c>
      <c r="AL4141" s="4">
        <v>35</v>
      </c>
      <c r="AM4141" s="4">
        <v>35</v>
      </c>
      <c r="AN4141" s="4">
        <v>0</v>
      </c>
      <c r="AO4141" s="4">
        <v>0</v>
      </c>
      <c r="AP4141" s="4">
        <v>27</v>
      </c>
      <c r="AQ4141" s="4">
        <v>31</v>
      </c>
      <c r="AR4141" s="3" t="s">
        <v>62</v>
      </c>
      <c r="AS4141" s="3" t="s">
        <v>62</v>
      </c>
      <c r="AT4141" s="3" t="s">
        <v>62</v>
      </c>
      <c r="AV4141" s="6" t="str">
        <f>HYPERLINK("http://mcgill.on.worldcat.org/oclc/1054103","Catalog Record")</f>
        <v>Catalog Record</v>
      </c>
      <c r="AW4141" s="6" t="str">
        <f>HYPERLINK("http://www.worldcat.org/oclc/1054103","WorldCat Record")</f>
        <v>WorldCat Record</v>
      </c>
      <c r="AX4141" s="3" t="s">
        <v>39939</v>
      </c>
      <c r="AY4141" s="3" t="s">
        <v>39940</v>
      </c>
      <c r="AZ4141" s="3" t="s">
        <v>39941</v>
      </c>
      <c r="BA4141" s="3" t="s">
        <v>39941</v>
      </c>
      <c r="BB4141" s="3" t="s">
        <v>39942</v>
      </c>
      <c r="BC4141" s="3" t="s">
        <v>102</v>
      </c>
      <c r="BD4141" s="3" t="s">
        <v>68</v>
      </c>
      <c r="BE4141" s="3" t="s">
        <v>39943</v>
      </c>
      <c r="BF4141" s="3" t="s">
        <v>39942</v>
      </c>
      <c r="BG4141" s="3" t="s">
        <v>39944</v>
      </c>
    </row>
    <row r="4142" spans="1:59" ht="58" x14ac:dyDescent="0.35">
      <c r="A4142" s="2" t="s">
        <v>59</v>
      </c>
      <c r="B4142" s="2" t="s">
        <v>60</v>
      </c>
      <c r="C4142" s="2" t="s">
        <v>39945</v>
      </c>
      <c r="D4142" s="2" t="s">
        <v>39946</v>
      </c>
      <c r="E4142" s="2" t="s">
        <v>39947</v>
      </c>
      <c r="G4142" s="3" t="s">
        <v>62</v>
      </c>
      <c r="I4142" s="3" t="s">
        <v>62</v>
      </c>
      <c r="J4142" s="3" t="s">
        <v>62</v>
      </c>
      <c r="K4142" s="3" t="s">
        <v>63</v>
      </c>
      <c r="M4142" s="2" t="s">
        <v>39948</v>
      </c>
      <c r="N4142" s="3" t="s">
        <v>625</v>
      </c>
      <c r="P4142" s="3" t="s">
        <v>64</v>
      </c>
      <c r="Q4142" s="2" t="s">
        <v>39949</v>
      </c>
      <c r="R4142" s="3" t="s">
        <v>34126</v>
      </c>
      <c r="S4142" s="4">
        <v>3</v>
      </c>
      <c r="T4142" s="4">
        <v>3</v>
      </c>
      <c r="U4142" s="5" t="s">
        <v>12627</v>
      </c>
      <c r="V4142" s="5" t="s">
        <v>12627</v>
      </c>
      <c r="W4142" s="5" t="s">
        <v>67</v>
      </c>
      <c r="X4142" s="5" t="s">
        <v>67</v>
      </c>
      <c r="Y4142" s="4">
        <v>251</v>
      </c>
      <c r="Z4142" s="4">
        <v>22</v>
      </c>
      <c r="AA4142" s="4">
        <v>23</v>
      </c>
      <c r="AB4142" s="4">
        <v>1</v>
      </c>
      <c r="AC4142" s="4">
        <v>2</v>
      </c>
      <c r="AD4142" s="4">
        <v>94</v>
      </c>
      <c r="AE4142" s="4">
        <v>95</v>
      </c>
      <c r="AF4142" s="4">
        <v>0</v>
      </c>
      <c r="AG4142" s="4">
        <v>1</v>
      </c>
      <c r="AH4142" s="4">
        <v>83</v>
      </c>
      <c r="AI4142" s="4">
        <v>83</v>
      </c>
      <c r="AJ4142" s="4">
        <v>14</v>
      </c>
      <c r="AK4142" s="4">
        <v>15</v>
      </c>
      <c r="AL4142" s="4">
        <v>47</v>
      </c>
      <c r="AM4142" s="4">
        <v>47</v>
      </c>
      <c r="AN4142" s="4">
        <v>0</v>
      </c>
      <c r="AO4142" s="4">
        <v>0</v>
      </c>
      <c r="AP4142" s="4">
        <v>19</v>
      </c>
      <c r="AQ4142" s="4">
        <v>19</v>
      </c>
      <c r="AR4142" s="3" t="s">
        <v>62</v>
      </c>
      <c r="AS4142" s="3" t="s">
        <v>62</v>
      </c>
      <c r="AT4142" s="3" t="s">
        <v>61</v>
      </c>
      <c r="AU4142" s="6" t="str">
        <f>HYPERLINK("http://catalog.hathitrust.org/Record/004913653","HathiTrust Record")</f>
        <v>HathiTrust Record</v>
      </c>
      <c r="AV4142" s="6" t="str">
        <f>HYPERLINK("http://mcgill.on.worldcat.org/oclc/53939117","Catalog Record")</f>
        <v>Catalog Record</v>
      </c>
      <c r="AW4142" s="6" t="str">
        <f>HYPERLINK("http://www.worldcat.org/oclc/53939117","WorldCat Record")</f>
        <v>WorldCat Record</v>
      </c>
      <c r="AX4142" s="3" t="s">
        <v>39950</v>
      </c>
      <c r="AY4142" s="3" t="s">
        <v>39951</v>
      </c>
      <c r="AZ4142" s="3" t="s">
        <v>39952</v>
      </c>
      <c r="BA4142" s="3" t="s">
        <v>39952</v>
      </c>
      <c r="BB4142" s="3" t="s">
        <v>39953</v>
      </c>
      <c r="BC4142" s="3" t="s">
        <v>102</v>
      </c>
      <c r="BD4142" s="3" t="s">
        <v>68</v>
      </c>
      <c r="BE4142" s="3" t="s">
        <v>39954</v>
      </c>
      <c r="BF4142" s="3" t="s">
        <v>39953</v>
      </c>
      <c r="BG4142" s="3" t="s">
        <v>39955</v>
      </c>
    </row>
    <row r="4143" spans="1:59" ht="58" x14ac:dyDescent="0.35">
      <c r="A4143" s="2" t="s">
        <v>89</v>
      </c>
      <c r="B4143" s="2" t="s">
        <v>90</v>
      </c>
      <c r="C4143" s="2" t="s">
        <v>39956</v>
      </c>
      <c r="D4143" s="2" t="s">
        <v>39957</v>
      </c>
      <c r="E4143" s="2" t="s">
        <v>39958</v>
      </c>
      <c r="G4143" s="3" t="s">
        <v>62</v>
      </c>
      <c r="I4143" s="3" t="s">
        <v>62</v>
      </c>
      <c r="J4143" s="3" t="s">
        <v>62</v>
      </c>
      <c r="K4143" s="3" t="s">
        <v>63</v>
      </c>
      <c r="M4143" s="2" t="s">
        <v>39959</v>
      </c>
      <c r="N4143" s="3" t="s">
        <v>2085</v>
      </c>
      <c r="P4143" s="3" t="s">
        <v>64</v>
      </c>
      <c r="R4143" s="3" t="s">
        <v>34126</v>
      </c>
      <c r="S4143" s="4">
        <v>3</v>
      </c>
      <c r="T4143" s="4">
        <v>3</v>
      </c>
      <c r="U4143" s="5" t="s">
        <v>39960</v>
      </c>
      <c r="V4143" s="5" t="s">
        <v>39960</v>
      </c>
      <c r="W4143" s="5" t="s">
        <v>67</v>
      </c>
      <c r="X4143" s="5" t="s">
        <v>67</v>
      </c>
      <c r="Y4143" s="4">
        <v>106</v>
      </c>
      <c r="Z4143" s="4">
        <v>6</v>
      </c>
      <c r="AA4143" s="4">
        <v>7</v>
      </c>
      <c r="AB4143" s="4">
        <v>1</v>
      </c>
      <c r="AC4143" s="4">
        <v>2</v>
      </c>
      <c r="AD4143" s="4">
        <v>37</v>
      </c>
      <c r="AE4143" s="4">
        <v>38</v>
      </c>
      <c r="AF4143" s="4">
        <v>0</v>
      </c>
      <c r="AG4143" s="4">
        <v>1</v>
      </c>
      <c r="AH4143" s="4">
        <v>32</v>
      </c>
      <c r="AI4143" s="4">
        <v>33</v>
      </c>
      <c r="AJ4143" s="4">
        <v>4</v>
      </c>
      <c r="AK4143" s="4">
        <v>5</v>
      </c>
      <c r="AL4143" s="4">
        <v>24</v>
      </c>
      <c r="AM4143" s="4">
        <v>24</v>
      </c>
      <c r="AN4143" s="4">
        <v>0</v>
      </c>
      <c r="AO4143" s="4">
        <v>0</v>
      </c>
      <c r="AP4143" s="4">
        <v>5</v>
      </c>
      <c r="AQ4143" s="4">
        <v>6</v>
      </c>
      <c r="AR4143" s="3" t="s">
        <v>62</v>
      </c>
      <c r="AS4143" s="3" t="s">
        <v>62</v>
      </c>
      <c r="AT4143" s="3" t="s">
        <v>62</v>
      </c>
      <c r="AV4143" s="6" t="str">
        <f>HYPERLINK("http://mcgill.on.worldcat.org/oclc/1005850991","Catalog Record")</f>
        <v>Catalog Record</v>
      </c>
      <c r="AW4143" s="6" t="str">
        <f>HYPERLINK("http://www.worldcat.org/oclc/1005850991","WorldCat Record")</f>
        <v>WorldCat Record</v>
      </c>
      <c r="AX4143" s="3" t="s">
        <v>39961</v>
      </c>
      <c r="AY4143" s="3" t="s">
        <v>39962</v>
      </c>
      <c r="AZ4143" s="3" t="s">
        <v>39963</v>
      </c>
      <c r="BA4143" s="3" t="s">
        <v>39963</v>
      </c>
      <c r="BB4143" s="3" t="s">
        <v>39964</v>
      </c>
      <c r="BC4143" s="3" t="s">
        <v>102</v>
      </c>
      <c r="BD4143" s="3" t="s">
        <v>68</v>
      </c>
      <c r="BE4143" s="3" t="s">
        <v>39965</v>
      </c>
      <c r="BF4143" s="3" t="s">
        <v>39964</v>
      </c>
      <c r="BG4143" s="3" t="s">
        <v>39966</v>
      </c>
    </row>
    <row r="4144" spans="1:59" ht="58" x14ac:dyDescent="0.35">
      <c r="A4144" s="2" t="s">
        <v>59</v>
      </c>
      <c r="B4144" s="2" t="s">
        <v>60</v>
      </c>
      <c r="C4144" s="2" t="s">
        <v>39967</v>
      </c>
      <c r="D4144" s="2" t="s">
        <v>39968</v>
      </c>
      <c r="E4144" s="2" t="s">
        <v>39969</v>
      </c>
      <c r="G4144" s="3" t="s">
        <v>62</v>
      </c>
      <c r="I4144" s="3" t="s">
        <v>62</v>
      </c>
      <c r="J4144" s="3" t="s">
        <v>62</v>
      </c>
      <c r="K4144" s="3" t="s">
        <v>63</v>
      </c>
      <c r="M4144" s="2" t="s">
        <v>39970</v>
      </c>
      <c r="N4144" s="3" t="s">
        <v>524</v>
      </c>
      <c r="P4144" s="3" t="s">
        <v>64</v>
      </c>
      <c r="R4144" s="3" t="s">
        <v>34126</v>
      </c>
      <c r="S4144" s="4">
        <v>26</v>
      </c>
      <c r="T4144" s="4">
        <v>26</v>
      </c>
      <c r="U4144" s="5" t="s">
        <v>39971</v>
      </c>
      <c r="V4144" s="5" t="s">
        <v>39971</v>
      </c>
      <c r="W4144" s="5" t="s">
        <v>67</v>
      </c>
      <c r="X4144" s="5" t="s">
        <v>67</v>
      </c>
      <c r="Y4144" s="4">
        <v>303</v>
      </c>
      <c r="Z4144" s="4">
        <v>15</v>
      </c>
      <c r="AA4144" s="4">
        <v>21</v>
      </c>
      <c r="AB4144" s="4">
        <v>1</v>
      </c>
      <c r="AC4144" s="4">
        <v>2</v>
      </c>
      <c r="AD4144" s="4">
        <v>77</v>
      </c>
      <c r="AE4144" s="4">
        <v>82</v>
      </c>
      <c r="AF4144" s="4">
        <v>0</v>
      </c>
      <c r="AG4144" s="4">
        <v>1</v>
      </c>
      <c r="AH4144" s="4">
        <v>68</v>
      </c>
      <c r="AI4144" s="4">
        <v>73</v>
      </c>
      <c r="AJ4144" s="4">
        <v>9</v>
      </c>
      <c r="AK4144" s="4">
        <v>13</v>
      </c>
      <c r="AL4144" s="4">
        <v>38</v>
      </c>
      <c r="AM4144" s="4">
        <v>39</v>
      </c>
      <c r="AN4144" s="4">
        <v>0</v>
      </c>
      <c r="AO4144" s="4">
        <v>0</v>
      </c>
      <c r="AP4144" s="4">
        <v>13</v>
      </c>
      <c r="AQ4144" s="4">
        <v>17</v>
      </c>
      <c r="AR4144" s="3" t="s">
        <v>62</v>
      </c>
      <c r="AS4144" s="3" t="s">
        <v>62</v>
      </c>
      <c r="AT4144" s="3" t="s">
        <v>61</v>
      </c>
      <c r="AU4144" s="6" t="str">
        <f>HYPERLINK("http://catalog.hathitrust.org/Record/002993876","HathiTrust Record")</f>
        <v>HathiTrust Record</v>
      </c>
      <c r="AV4144" s="6" t="str">
        <f>HYPERLINK("http://mcgill.on.worldcat.org/oclc/30357247","Catalog Record")</f>
        <v>Catalog Record</v>
      </c>
      <c r="AW4144" s="6" t="str">
        <f>HYPERLINK("http://www.worldcat.org/oclc/30357247","WorldCat Record")</f>
        <v>WorldCat Record</v>
      </c>
      <c r="AX4144" s="3" t="s">
        <v>39972</v>
      </c>
      <c r="AY4144" s="3" t="s">
        <v>39973</v>
      </c>
      <c r="AZ4144" s="3" t="s">
        <v>39974</v>
      </c>
      <c r="BA4144" s="3" t="s">
        <v>39974</v>
      </c>
      <c r="BB4144" s="3" t="s">
        <v>39975</v>
      </c>
      <c r="BC4144" s="3" t="s">
        <v>102</v>
      </c>
      <c r="BD4144" s="3" t="s">
        <v>68</v>
      </c>
      <c r="BE4144" s="3" t="s">
        <v>39976</v>
      </c>
      <c r="BF4144" s="3" t="s">
        <v>39975</v>
      </c>
      <c r="BG4144" s="3" t="s">
        <v>39977</v>
      </c>
    </row>
    <row r="4145" spans="1:59" ht="58" x14ac:dyDescent="0.35">
      <c r="A4145" s="2" t="s">
        <v>89</v>
      </c>
      <c r="B4145" s="2" t="s">
        <v>90</v>
      </c>
      <c r="C4145" s="2" t="s">
        <v>39978</v>
      </c>
      <c r="D4145" s="2" t="s">
        <v>39979</v>
      </c>
      <c r="E4145" s="2" t="s">
        <v>39980</v>
      </c>
      <c r="G4145" s="3" t="s">
        <v>62</v>
      </c>
      <c r="I4145" s="3" t="s">
        <v>62</v>
      </c>
      <c r="J4145" s="3" t="s">
        <v>62</v>
      </c>
      <c r="K4145" s="3" t="s">
        <v>63</v>
      </c>
      <c r="L4145" s="2" t="s">
        <v>39981</v>
      </c>
      <c r="M4145" s="2" t="s">
        <v>39982</v>
      </c>
      <c r="N4145" s="3" t="s">
        <v>880</v>
      </c>
      <c r="P4145" s="3" t="s">
        <v>64</v>
      </c>
      <c r="R4145" s="3" t="s">
        <v>34126</v>
      </c>
      <c r="S4145" s="4">
        <v>0</v>
      </c>
      <c r="T4145" s="4">
        <v>0</v>
      </c>
      <c r="W4145" s="5" t="s">
        <v>67</v>
      </c>
      <c r="X4145" s="5" t="s">
        <v>67</v>
      </c>
      <c r="Y4145" s="4">
        <v>55</v>
      </c>
      <c r="Z4145" s="4">
        <v>46</v>
      </c>
      <c r="AA4145" s="4">
        <v>51</v>
      </c>
      <c r="AB4145" s="4">
        <v>1</v>
      </c>
      <c r="AC4145" s="4">
        <v>2</v>
      </c>
      <c r="AD4145" s="4">
        <v>38</v>
      </c>
      <c r="AE4145" s="4">
        <v>41</v>
      </c>
      <c r="AF4145" s="4">
        <v>0</v>
      </c>
      <c r="AG4145" s="4">
        <v>0</v>
      </c>
      <c r="AH4145" s="4">
        <v>18</v>
      </c>
      <c r="AI4145" s="4">
        <v>19</v>
      </c>
      <c r="AJ4145" s="4">
        <v>17</v>
      </c>
      <c r="AK4145" s="4">
        <v>19</v>
      </c>
      <c r="AL4145" s="4">
        <v>7</v>
      </c>
      <c r="AM4145" s="4">
        <v>8</v>
      </c>
      <c r="AN4145" s="4">
        <v>0</v>
      </c>
      <c r="AO4145" s="4">
        <v>0</v>
      </c>
      <c r="AP4145" s="4">
        <v>27</v>
      </c>
      <c r="AQ4145" s="4">
        <v>30</v>
      </c>
      <c r="AR4145" s="3" t="s">
        <v>61</v>
      </c>
      <c r="AS4145" s="3" t="s">
        <v>62</v>
      </c>
      <c r="AT4145" s="3" t="s">
        <v>61</v>
      </c>
      <c r="AU4145" s="6" t="str">
        <f>HYPERLINK("http://catalog.hathitrust.org/Record/100950018","HathiTrust Record")</f>
        <v>HathiTrust Record</v>
      </c>
      <c r="AV4145" s="6" t="str">
        <f>HYPERLINK("http://mcgill.on.worldcat.org/oclc/305107925","Catalog Record")</f>
        <v>Catalog Record</v>
      </c>
      <c r="AW4145" s="6" t="str">
        <f>HYPERLINK("http://www.worldcat.org/oclc/305107925","WorldCat Record")</f>
        <v>WorldCat Record</v>
      </c>
      <c r="AX4145" s="3" t="s">
        <v>39983</v>
      </c>
      <c r="AY4145" s="3" t="s">
        <v>39984</v>
      </c>
      <c r="AZ4145" s="3" t="s">
        <v>39985</v>
      </c>
      <c r="BA4145" s="3" t="s">
        <v>39985</v>
      </c>
      <c r="BB4145" s="3" t="s">
        <v>39986</v>
      </c>
      <c r="BC4145" s="3" t="s">
        <v>102</v>
      </c>
      <c r="BD4145" s="3" t="s">
        <v>68</v>
      </c>
      <c r="BE4145" s="3" t="s">
        <v>39987</v>
      </c>
      <c r="BF4145" s="3" t="s">
        <v>39986</v>
      </c>
      <c r="BG4145" s="3" t="s">
        <v>39988</v>
      </c>
    </row>
    <row r="4146" spans="1:59" ht="58" x14ac:dyDescent="0.35">
      <c r="A4146" s="2" t="s">
        <v>59</v>
      </c>
      <c r="B4146" s="2" t="s">
        <v>60</v>
      </c>
      <c r="C4146" s="2" t="s">
        <v>39989</v>
      </c>
      <c r="D4146" s="2" t="s">
        <v>39990</v>
      </c>
      <c r="E4146" s="2" t="s">
        <v>39991</v>
      </c>
      <c r="G4146" s="3" t="s">
        <v>62</v>
      </c>
      <c r="I4146" s="3" t="s">
        <v>61</v>
      </c>
      <c r="J4146" s="3" t="s">
        <v>62</v>
      </c>
      <c r="K4146" s="3" t="s">
        <v>63</v>
      </c>
      <c r="M4146" s="2" t="s">
        <v>39992</v>
      </c>
      <c r="N4146" s="3" t="s">
        <v>852</v>
      </c>
      <c r="P4146" s="3" t="s">
        <v>64</v>
      </c>
      <c r="R4146" s="3" t="s">
        <v>34126</v>
      </c>
      <c r="S4146" s="4">
        <v>1</v>
      </c>
      <c r="T4146" s="4">
        <v>6</v>
      </c>
      <c r="U4146" s="5" t="s">
        <v>19000</v>
      </c>
      <c r="V4146" s="5" t="s">
        <v>19000</v>
      </c>
      <c r="W4146" s="5" t="s">
        <v>67</v>
      </c>
      <c r="X4146" s="5" t="s">
        <v>67</v>
      </c>
      <c r="Y4146" s="4">
        <v>375</v>
      </c>
      <c r="Z4146" s="4">
        <v>22</v>
      </c>
      <c r="AA4146" s="4">
        <v>29</v>
      </c>
      <c r="AB4146" s="4">
        <v>2</v>
      </c>
      <c r="AC4146" s="4">
        <v>4</v>
      </c>
      <c r="AD4146" s="4">
        <v>88</v>
      </c>
      <c r="AE4146" s="4">
        <v>93</v>
      </c>
      <c r="AF4146" s="4">
        <v>1</v>
      </c>
      <c r="AG4146" s="4">
        <v>3</v>
      </c>
      <c r="AH4146" s="4">
        <v>75</v>
      </c>
      <c r="AI4146" s="4">
        <v>79</v>
      </c>
      <c r="AJ4146" s="4">
        <v>12</v>
      </c>
      <c r="AK4146" s="4">
        <v>17</v>
      </c>
      <c r="AL4146" s="4">
        <v>41</v>
      </c>
      <c r="AM4146" s="4">
        <v>41</v>
      </c>
      <c r="AN4146" s="4">
        <v>0</v>
      </c>
      <c r="AO4146" s="4">
        <v>0</v>
      </c>
      <c r="AP4146" s="4">
        <v>18</v>
      </c>
      <c r="AQ4146" s="4">
        <v>23</v>
      </c>
      <c r="AR4146" s="3" t="s">
        <v>62</v>
      </c>
      <c r="AS4146" s="3" t="s">
        <v>62</v>
      </c>
      <c r="AT4146" s="3" t="s">
        <v>61</v>
      </c>
      <c r="AU4146" s="6" t="str">
        <f>HYPERLINK("http://catalog.hathitrust.org/Record/001492811","HathiTrust Record")</f>
        <v>HathiTrust Record</v>
      </c>
      <c r="AV4146" s="6" t="str">
        <f>HYPERLINK("http://mcgill.on.worldcat.org/oclc/50839","Catalog Record")</f>
        <v>Catalog Record</v>
      </c>
      <c r="AW4146" s="6" t="str">
        <f>HYPERLINK("http://www.worldcat.org/oclc/50839","WorldCat Record")</f>
        <v>WorldCat Record</v>
      </c>
      <c r="AX4146" s="3" t="s">
        <v>39993</v>
      </c>
      <c r="AY4146" s="3" t="s">
        <v>39994</v>
      </c>
      <c r="AZ4146" s="3" t="s">
        <v>39995</v>
      </c>
      <c r="BA4146" s="3" t="s">
        <v>39995</v>
      </c>
      <c r="BB4146" s="3" t="s">
        <v>39996</v>
      </c>
      <c r="BC4146" s="3" t="s">
        <v>102</v>
      </c>
      <c r="BD4146" s="3" t="s">
        <v>6923</v>
      </c>
      <c r="BE4146" s="3" t="s">
        <v>39997</v>
      </c>
      <c r="BF4146" s="3" t="s">
        <v>39996</v>
      </c>
      <c r="BG4146" s="3" t="s">
        <v>39998</v>
      </c>
    </row>
    <row r="4147" spans="1:59" ht="58" x14ac:dyDescent="0.35">
      <c r="A4147" s="2" t="s">
        <v>59</v>
      </c>
      <c r="B4147" s="2" t="s">
        <v>60</v>
      </c>
      <c r="C4147" s="2" t="s">
        <v>39999</v>
      </c>
      <c r="D4147" s="2" t="s">
        <v>40000</v>
      </c>
      <c r="E4147" s="2" t="s">
        <v>40001</v>
      </c>
      <c r="G4147" s="3" t="s">
        <v>62</v>
      </c>
      <c r="I4147" s="3" t="s">
        <v>62</v>
      </c>
      <c r="J4147" s="3" t="s">
        <v>62</v>
      </c>
      <c r="K4147" s="3" t="s">
        <v>63</v>
      </c>
      <c r="L4147" s="2" t="s">
        <v>40002</v>
      </c>
      <c r="M4147" s="2" t="s">
        <v>18932</v>
      </c>
      <c r="N4147" s="3" t="s">
        <v>524</v>
      </c>
      <c r="P4147" s="3" t="s">
        <v>64</v>
      </c>
      <c r="R4147" s="3" t="s">
        <v>34126</v>
      </c>
      <c r="S4147" s="4">
        <v>10</v>
      </c>
      <c r="T4147" s="4">
        <v>10</v>
      </c>
      <c r="U4147" s="5" t="s">
        <v>9447</v>
      </c>
      <c r="V4147" s="5" t="s">
        <v>9447</v>
      </c>
      <c r="W4147" s="5" t="s">
        <v>67</v>
      </c>
      <c r="X4147" s="5" t="s">
        <v>67</v>
      </c>
      <c r="Y4147" s="4">
        <v>365</v>
      </c>
      <c r="Z4147" s="4">
        <v>29</v>
      </c>
      <c r="AA4147" s="4">
        <v>32</v>
      </c>
      <c r="AB4147" s="4">
        <v>2</v>
      </c>
      <c r="AC4147" s="4">
        <v>5</v>
      </c>
      <c r="AD4147" s="4">
        <v>115</v>
      </c>
      <c r="AE4147" s="4">
        <v>117</v>
      </c>
      <c r="AF4147" s="4">
        <v>1</v>
      </c>
      <c r="AG4147" s="4">
        <v>3</v>
      </c>
      <c r="AH4147" s="4">
        <v>99</v>
      </c>
      <c r="AI4147" s="4">
        <v>100</v>
      </c>
      <c r="AJ4147" s="4">
        <v>17</v>
      </c>
      <c r="AK4147" s="4">
        <v>19</v>
      </c>
      <c r="AL4147" s="4">
        <v>53</v>
      </c>
      <c r="AM4147" s="4">
        <v>53</v>
      </c>
      <c r="AN4147" s="4">
        <v>0</v>
      </c>
      <c r="AO4147" s="4">
        <v>0</v>
      </c>
      <c r="AP4147" s="4">
        <v>23</v>
      </c>
      <c r="AQ4147" s="4">
        <v>24</v>
      </c>
      <c r="AR4147" s="3" t="s">
        <v>62</v>
      </c>
      <c r="AS4147" s="3" t="s">
        <v>62</v>
      </c>
      <c r="AT4147" s="3" t="s">
        <v>62</v>
      </c>
      <c r="AV4147" s="6" t="str">
        <f>HYPERLINK("http://mcgill.on.worldcat.org/oclc/31781542","Catalog Record")</f>
        <v>Catalog Record</v>
      </c>
      <c r="AW4147" s="6" t="str">
        <f>HYPERLINK("http://www.worldcat.org/oclc/31781542","WorldCat Record")</f>
        <v>WorldCat Record</v>
      </c>
      <c r="AX4147" s="3" t="s">
        <v>40003</v>
      </c>
      <c r="AY4147" s="3" t="s">
        <v>40004</v>
      </c>
      <c r="AZ4147" s="3" t="s">
        <v>40005</v>
      </c>
      <c r="BA4147" s="3" t="s">
        <v>40005</v>
      </c>
      <c r="BB4147" s="3" t="s">
        <v>40006</v>
      </c>
      <c r="BC4147" s="3" t="s">
        <v>102</v>
      </c>
      <c r="BD4147" s="3" t="s">
        <v>68</v>
      </c>
      <c r="BE4147" s="3" t="s">
        <v>40007</v>
      </c>
      <c r="BF4147" s="3" t="s">
        <v>40006</v>
      </c>
      <c r="BG4147" s="3" t="s">
        <v>40008</v>
      </c>
    </row>
    <row r="4148" spans="1:59" ht="58" x14ac:dyDescent="0.35">
      <c r="A4148" s="2" t="s">
        <v>89</v>
      </c>
      <c r="B4148" s="2" t="s">
        <v>90</v>
      </c>
      <c r="C4148" s="2" t="s">
        <v>40009</v>
      </c>
      <c r="D4148" s="2" t="s">
        <v>40010</v>
      </c>
      <c r="E4148" s="2" t="s">
        <v>40011</v>
      </c>
      <c r="G4148" s="3" t="s">
        <v>62</v>
      </c>
      <c r="I4148" s="3" t="s">
        <v>62</v>
      </c>
      <c r="J4148" s="3" t="s">
        <v>62</v>
      </c>
      <c r="K4148" s="3" t="s">
        <v>63</v>
      </c>
      <c r="L4148" s="2" t="s">
        <v>40012</v>
      </c>
      <c r="M4148" s="2" t="s">
        <v>40013</v>
      </c>
      <c r="N4148" s="3" t="s">
        <v>712</v>
      </c>
      <c r="P4148" s="3" t="s">
        <v>64</v>
      </c>
      <c r="R4148" s="3" t="s">
        <v>34126</v>
      </c>
      <c r="S4148" s="4">
        <v>0</v>
      </c>
      <c r="T4148" s="4">
        <v>0</v>
      </c>
      <c r="W4148" s="5" t="s">
        <v>67</v>
      </c>
      <c r="X4148" s="5" t="s">
        <v>67</v>
      </c>
      <c r="Y4148" s="4">
        <v>919</v>
      </c>
      <c r="Z4148" s="4">
        <v>25</v>
      </c>
      <c r="AA4148" s="4">
        <v>69</v>
      </c>
      <c r="AB4148" s="4">
        <v>2</v>
      </c>
      <c r="AC4148" s="4">
        <v>10</v>
      </c>
      <c r="AD4148" s="4">
        <v>57</v>
      </c>
      <c r="AE4148" s="4">
        <v>84</v>
      </c>
      <c r="AF4148" s="4">
        <v>0</v>
      </c>
      <c r="AG4148" s="4">
        <v>1</v>
      </c>
      <c r="AH4148" s="4">
        <v>52</v>
      </c>
      <c r="AI4148" s="4">
        <v>72</v>
      </c>
      <c r="AJ4148" s="4">
        <v>4</v>
      </c>
      <c r="AK4148" s="4">
        <v>9</v>
      </c>
      <c r="AL4148" s="4">
        <v>34</v>
      </c>
      <c r="AM4148" s="4">
        <v>41</v>
      </c>
      <c r="AN4148" s="4">
        <v>0</v>
      </c>
      <c r="AO4148" s="4">
        <v>0</v>
      </c>
      <c r="AP4148" s="4">
        <v>5</v>
      </c>
      <c r="AQ4148" s="4">
        <v>14</v>
      </c>
      <c r="AR4148" s="3" t="s">
        <v>62</v>
      </c>
      <c r="AS4148" s="3" t="s">
        <v>62</v>
      </c>
      <c r="AT4148" s="3" t="s">
        <v>62</v>
      </c>
      <c r="AV4148" s="6" t="str">
        <f>HYPERLINK("http://mcgill.on.worldcat.org/oclc/858975420","Catalog Record")</f>
        <v>Catalog Record</v>
      </c>
      <c r="AW4148" s="6" t="str">
        <f>HYPERLINK("http://www.worldcat.org/oclc/858975420","WorldCat Record")</f>
        <v>WorldCat Record</v>
      </c>
      <c r="AX4148" s="3" t="s">
        <v>40014</v>
      </c>
      <c r="AY4148" s="3" t="s">
        <v>40015</v>
      </c>
      <c r="AZ4148" s="3" t="s">
        <v>40016</v>
      </c>
      <c r="BA4148" s="3" t="s">
        <v>40016</v>
      </c>
      <c r="BB4148" s="3" t="s">
        <v>40017</v>
      </c>
      <c r="BC4148" s="3" t="s">
        <v>102</v>
      </c>
      <c r="BD4148" s="3" t="s">
        <v>68</v>
      </c>
      <c r="BE4148" s="3" t="s">
        <v>40018</v>
      </c>
      <c r="BF4148" s="3" t="s">
        <v>40017</v>
      </c>
      <c r="BG4148" s="3" t="s">
        <v>40019</v>
      </c>
    </row>
    <row r="4149" spans="1:59" ht="58" x14ac:dyDescent="0.35">
      <c r="A4149" s="2" t="s">
        <v>59</v>
      </c>
      <c r="B4149" s="2" t="s">
        <v>60</v>
      </c>
      <c r="C4149" s="2" t="s">
        <v>40020</v>
      </c>
      <c r="D4149" s="2" t="s">
        <v>40021</v>
      </c>
      <c r="E4149" s="2" t="s">
        <v>40022</v>
      </c>
      <c r="G4149" s="3" t="s">
        <v>62</v>
      </c>
      <c r="I4149" s="3" t="s">
        <v>61</v>
      </c>
      <c r="J4149" s="3" t="s">
        <v>62</v>
      </c>
      <c r="K4149" s="3" t="s">
        <v>63</v>
      </c>
      <c r="L4149" s="2" t="s">
        <v>40023</v>
      </c>
      <c r="M4149" s="2" t="s">
        <v>40024</v>
      </c>
      <c r="N4149" s="3" t="s">
        <v>1905</v>
      </c>
      <c r="O4149" s="2" t="s">
        <v>2986</v>
      </c>
      <c r="P4149" s="3" t="s">
        <v>64</v>
      </c>
      <c r="R4149" s="3" t="s">
        <v>34126</v>
      </c>
      <c r="S4149" s="4">
        <v>0</v>
      </c>
      <c r="T4149" s="4">
        <v>3</v>
      </c>
      <c r="V4149" s="5" t="s">
        <v>8952</v>
      </c>
      <c r="W4149" s="5" t="s">
        <v>67</v>
      </c>
      <c r="X4149" s="5" t="s">
        <v>67</v>
      </c>
      <c r="Y4149" s="4">
        <v>245</v>
      </c>
      <c r="Z4149" s="4">
        <v>26</v>
      </c>
      <c r="AA4149" s="4">
        <v>33</v>
      </c>
      <c r="AB4149" s="4">
        <v>3</v>
      </c>
      <c r="AC4149" s="4">
        <v>3</v>
      </c>
      <c r="AD4149" s="4">
        <v>80</v>
      </c>
      <c r="AE4149" s="4">
        <v>84</v>
      </c>
      <c r="AF4149" s="4">
        <v>1</v>
      </c>
      <c r="AG4149" s="4">
        <v>1</v>
      </c>
      <c r="AH4149" s="4">
        <v>71</v>
      </c>
      <c r="AI4149" s="4">
        <v>72</v>
      </c>
      <c r="AJ4149" s="4">
        <v>16</v>
      </c>
      <c r="AK4149" s="4">
        <v>19</v>
      </c>
      <c r="AL4149" s="4">
        <v>35</v>
      </c>
      <c r="AM4149" s="4">
        <v>36</v>
      </c>
      <c r="AN4149" s="4">
        <v>0</v>
      </c>
      <c r="AO4149" s="4">
        <v>0</v>
      </c>
      <c r="AP4149" s="4">
        <v>16</v>
      </c>
      <c r="AQ4149" s="4">
        <v>19</v>
      </c>
      <c r="AR4149" s="3" t="s">
        <v>62</v>
      </c>
      <c r="AS4149" s="3" t="s">
        <v>62</v>
      </c>
      <c r="AT4149" s="3" t="s">
        <v>62</v>
      </c>
      <c r="AV4149" s="6" t="str">
        <f>HYPERLINK("http://mcgill.on.worldcat.org/oclc/11519140","Catalog Record")</f>
        <v>Catalog Record</v>
      </c>
      <c r="AW4149" s="6" t="str">
        <f>HYPERLINK("http://www.worldcat.org/oclc/11519140","WorldCat Record")</f>
        <v>WorldCat Record</v>
      </c>
      <c r="AX4149" s="3" t="s">
        <v>40025</v>
      </c>
      <c r="AY4149" s="3" t="s">
        <v>40026</v>
      </c>
      <c r="AZ4149" s="3" t="s">
        <v>40027</v>
      </c>
      <c r="BA4149" s="3" t="s">
        <v>40027</v>
      </c>
      <c r="BB4149" s="3" t="s">
        <v>40028</v>
      </c>
      <c r="BC4149" s="3" t="s">
        <v>102</v>
      </c>
      <c r="BD4149" s="3" t="s">
        <v>68</v>
      </c>
      <c r="BE4149" s="3" t="s">
        <v>40029</v>
      </c>
      <c r="BF4149" s="3" t="s">
        <v>40028</v>
      </c>
      <c r="BG4149" s="3" t="s">
        <v>40030</v>
      </c>
    </row>
    <row r="4150" spans="1:59" ht="72.5" x14ac:dyDescent="0.35">
      <c r="A4150" s="2" t="s">
        <v>59</v>
      </c>
      <c r="B4150" s="2" t="s">
        <v>60</v>
      </c>
      <c r="C4150" s="2" t="s">
        <v>40031</v>
      </c>
      <c r="D4150" s="2" t="s">
        <v>40032</v>
      </c>
      <c r="E4150" s="2" t="s">
        <v>40033</v>
      </c>
      <c r="G4150" s="3" t="s">
        <v>62</v>
      </c>
      <c r="I4150" s="3" t="s">
        <v>61</v>
      </c>
      <c r="J4150" s="3" t="s">
        <v>62</v>
      </c>
      <c r="K4150" s="3" t="s">
        <v>63</v>
      </c>
      <c r="M4150" s="2" t="s">
        <v>40034</v>
      </c>
      <c r="N4150" s="3" t="s">
        <v>1482</v>
      </c>
      <c r="P4150" s="3" t="s">
        <v>64</v>
      </c>
      <c r="Q4150" s="2" t="s">
        <v>40035</v>
      </c>
      <c r="R4150" s="3" t="s">
        <v>34126</v>
      </c>
      <c r="S4150" s="4">
        <v>0</v>
      </c>
      <c r="T4150" s="4">
        <v>11</v>
      </c>
      <c r="V4150" s="5" t="s">
        <v>3441</v>
      </c>
      <c r="W4150" s="5" t="s">
        <v>67</v>
      </c>
      <c r="X4150" s="5" t="s">
        <v>67</v>
      </c>
      <c r="Y4150" s="4">
        <v>289</v>
      </c>
      <c r="Z4150" s="4">
        <v>26</v>
      </c>
      <c r="AA4150" s="4">
        <v>37</v>
      </c>
      <c r="AB4150" s="4">
        <v>3</v>
      </c>
      <c r="AC4150" s="4">
        <v>9</v>
      </c>
      <c r="AD4150" s="4">
        <v>92</v>
      </c>
      <c r="AE4150" s="4">
        <v>105</v>
      </c>
      <c r="AF4150" s="4">
        <v>1</v>
      </c>
      <c r="AG4150" s="4">
        <v>7</v>
      </c>
      <c r="AH4150" s="4">
        <v>82</v>
      </c>
      <c r="AI4150" s="4">
        <v>88</v>
      </c>
      <c r="AJ4150" s="4">
        <v>9</v>
      </c>
      <c r="AK4150" s="4">
        <v>16</v>
      </c>
      <c r="AL4150" s="4">
        <v>47</v>
      </c>
      <c r="AM4150" s="4">
        <v>49</v>
      </c>
      <c r="AN4150" s="4">
        <v>0</v>
      </c>
      <c r="AO4150" s="4">
        <v>0</v>
      </c>
      <c r="AP4150" s="4">
        <v>13</v>
      </c>
      <c r="AQ4150" s="4">
        <v>22</v>
      </c>
      <c r="AR4150" s="3" t="s">
        <v>62</v>
      </c>
      <c r="AS4150" s="3" t="s">
        <v>62</v>
      </c>
      <c r="AT4150" s="3" t="s">
        <v>61</v>
      </c>
      <c r="AU4150" s="6" t="str">
        <f>HYPERLINK("http://catalog.hathitrust.org/Record/000440450","HathiTrust Record")</f>
        <v>HathiTrust Record</v>
      </c>
      <c r="AV4150" s="6" t="str">
        <f>HYPERLINK("http://mcgill.on.worldcat.org/oclc/13823126","Catalog Record")</f>
        <v>Catalog Record</v>
      </c>
      <c r="AW4150" s="6" t="str">
        <f>HYPERLINK("http://www.worldcat.org/oclc/13823126","WorldCat Record")</f>
        <v>WorldCat Record</v>
      </c>
      <c r="AX4150" s="3" t="s">
        <v>40036</v>
      </c>
      <c r="AY4150" s="3" t="s">
        <v>40037</v>
      </c>
      <c r="AZ4150" s="3" t="s">
        <v>40038</v>
      </c>
      <c r="BA4150" s="3" t="s">
        <v>40038</v>
      </c>
      <c r="BB4150" s="3" t="s">
        <v>40039</v>
      </c>
      <c r="BC4150" s="3" t="s">
        <v>102</v>
      </c>
      <c r="BD4150" s="3" t="s">
        <v>68</v>
      </c>
      <c r="BE4150" s="3" t="s">
        <v>40040</v>
      </c>
      <c r="BF4150" s="3" t="s">
        <v>40039</v>
      </c>
      <c r="BG4150" s="3" t="s">
        <v>40041</v>
      </c>
    </row>
    <row r="4151" spans="1:59" ht="58" x14ac:dyDescent="0.35">
      <c r="A4151" s="2" t="s">
        <v>59</v>
      </c>
      <c r="B4151" s="2" t="s">
        <v>60</v>
      </c>
      <c r="C4151" s="2" t="s">
        <v>40042</v>
      </c>
      <c r="D4151" s="2" t="s">
        <v>40043</v>
      </c>
      <c r="E4151" s="2" t="s">
        <v>40044</v>
      </c>
      <c r="G4151" s="3" t="s">
        <v>62</v>
      </c>
      <c r="I4151" s="3" t="s">
        <v>62</v>
      </c>
      <c r="J4151" s="3" t="s">
        <v>62</v>
      </c>
      <c r="K4151" s="3" t="s">
        <v>63</v>
      </c>
      <c r="M4151" s="2" t="s">
        <v>40045</v>
      </c>
      <c r="N4151" s="3" t="s">
        <v>438</v>
      </c>
      <c r="P4151" s="3" t="s">
        <v>64</v>
      </c>
      <c r="R4151" s="3" t="s">
        <v>34126</v>
      </c>
      <c r="S4151" s="4">
        <v>38</v>
      </c>
      <c r="T4151" s="4">
        <v>38</v>
      </c>
      <c r="U4151" s="5" t="s">
        <v>3355</v>
      </c>
      <c r="V4151" s="5" t="s">
        <v>3355</v>
      </c>
      <c r="W4151" s="5" t="s">
        <v>67</v>
      </c>
      <c r="X4151" s="5" t="s">
        <v>67</v>
      </c>
      <c r="Y4151" s="4">
        <v>258</v>
      </c>
      <c r="Z4151" s="4">
        <v>25</v>
      </c>
      <c r="AA4151" s="4">
        <v>33</v>
      </c>
      <c r="AB4151" s="4">
        <v>2</v>
      </c>
      <c r="AC4151" s="4">
        <v>9</v>
      </c>
      <c r="AD4151" s="4">
        <v>74</v>
      </c>
      <c r="AE4151" s="4">
        <v>80</v>
      </c>
      <c r="AF4151" s="4">
        <v>1</v>
      </c>
      <c r="AG4151" s="4">
        <v>4</v>
      </c>
      <c r="AH4151" s="4">
        <v>60</v>
      </c>
      <c r="AI4151" s="4">
        <v>63</v>
      </c>
      <c r="AJ4151" s="4">
        <v>15</v>
      </c>
      <c r="AK4151" s="4">
        <v>17</v>
      </c>
      <c r="AL4151" s="4">
        <v>34</v>
      </c>
      <c r="AM4151" s="4">
        <v>35</v>
      </c>
      <c r="AN4151" s="4">
        <v>5</v>
      </c>
      <c r="AO4151" s="4">
        <v>5</v>
      </c>
      <c r="AP4151" s="4">
        <v>18</v>
      </c>
      <c r="AQ4151" s="4">
        <v>22</v>
      </c>
      <c r="AR4151" s="3" t="s">
        <v>62</v>
      </c>
      <c r="AS4151" s="3" t="s">
        <v>62</v>
      </c>
      <c r="AT4151" s="3" t="s">
        <v>61</v>
      </c>
      <c r="AU4151" s="6" t="str">
        <f>HYPERLINK("http://catalog.hathitrust.org/Record/007168298","HathiTrust Record")</f>
        <v>HathiTrust Record</v>
      </c>
      <c r="AV4151" s="6" t="str">
        <f>HYPERLINK("http://mcgill.on.worldcat.org/oclc/19921079","Catalog Record")</f>
        <v>Catalog Record</v>
      </c>
      <c r="AW4151" s="6" t="str">
        <f>HYPERLINK("http://www.worldcat.org/oclc/19921079","WorldCat Record")</f>
        <v>WorldCat Record</v>
      </c>
      <c r="AX4151" s="3" t="s">
        <v>40046</v>
      </c>
      <c r="AY4151" s="3" t="s">
        <v>40047</v>
      </c>
      <c r="AZ4151" s="3" t="s">
        <v>40048</v>
      </c>
      <c r="BA4151" s="3" t="s">
        <v>40048</v>
      </c>
      <c r="BB4151" s="3" t="s">
        <v>40049</v>
      </c>
      <c r="BC4151" s="3" t="s">
        <v>102</v>
      </c>
      <c r="BD4151" s="3" t="s">
        <v>68</v>
      </c>
      <c r="BE4151" s="3" t="s">
        <v>40050</v>
      </c>
      <c r="BF4151" s="3" t="s">
        <v>40049</v>
      </c>
      <c r="BG4151" s="3" t="s">
        <v>40051</v>
      </c>
    </row>
    <row r="4152" spans="1:59" ht="58" x14ac:dyDescent="0.35">
      <c r="A4152" s="2" t="s">
        <v>89</v>
      </c>
      <c r="B4152" s="2" t="s">
        <v>90</v>
      </c>
      <c r="C4152" s="2" t="s">
        <v>40052</v>
      </c>
      <c r="D4152" s="2" t="s">
        <v>40053</v>
      </c>
      <c r="E4152" s="2" t="s">
        <v>40054</v>
      </c>
      <c r="G4152" s="3" t="s">
        <v>62</v>
      </c>
      <c r="I4152" s="3" t="s">
        <v>62</v>
      </c>
      <c r="J4152" s="3" t="s">
        <v>62</v>
      </c>
      <c r="K4152" s="3" t="s">
        <v>63</v>
      </c>
      <c r="L4152" s="2" t="s">
        <v>40055</v>
      </c>
      <c r="M4152" s="2" t="s">
        <v>40056</v>
      </c>
      <c r="N4152" s="3" t="s">
        <v>880</v>
      </c>
      <c r="P4152" s="3" t="s">
        <v>64</v>
      </c>
      <c r="Q4152" s="2" t="s">
        <v>40057</v>
      </c>
      <c r="R4152" s="3" t="s">
        <v>34126</v>
      </c>
      <c r="S4152" s="4">
        <v>7</v>
      </c>
      <c r="T4152" s="4">
        <v>7</v>
      </c>
      <c r="U4152" s="5" t="s">
        <v>7851</v>
      </c>
      <c r="V4152" s="5" t="s">
        <v>7851</v>
      </c>
      <c r="W4152" s="5" t="s">
        <v>67</v>
      </c>
      <c r="X4152" s="5" t="s">
        <v>67</v>
      </c>
      <c r="Y4152" s="4">
        <v>147</v>
      </c>
      <c r="Z4152" s="4">
        <v>33</v>
      </c>
      <c r="AA4152" s="4">
        <v>35</v>
      </c>
      <c r="AB4152" s="4">
        <v>2</v>
      </c>
      <c r="AC4152" s="4">
        <v>4</v>
      </c>
      <c r="AD4152" s="4">
        <v>73</v>
      </c>
      <c r="AE4152" s="4">
        <v>75</v>
      </c>
      <c r="AF4152" s="4">
        <v>1</v>
      </c>
      <c r="AG4152" s="4">
        <v>3</v>
      </c>
      <c r="AH4152" s="4">
        <v>57</v>
      </c>
      <c r="AI4152" s="4">
        <v>58</v>
      </c>
      <c r="AJ4152" s="4">
        <v>17</v>
      </c>
      <c r="AK4152" s="4">
        <v>19</v>
      </c>
      <c r="AL4152" s="4">
        <v>32</v>
      </c>
      <c r="AM4152" s="4">
        <v>32</v>
      </c>
      <c r="AN4152" s="4">
        <v>0</v>
      </c>
      <c r="AO4152" s="4">
        <v>0</v>
      </c>
      <c r="AP4152" s="4">
        <v>24</v>
      </c>
      <c r="AQ4152" s="4">
        <v>25</v>
      </c>
      <c r="AR4152" s="3" t="s">
        <v>62</v>
      </c>
      <c r="AS4152" s="3" t="s">
        <v>62</v>
      </c>
      <c r="AT4152" s="3" t="s">
        <v>62</v>
      </c>
      <c r="AV4152" s="6" t="str">
        <f>HYPERLINK("http://mcgill.on.worldcat.org/oclc/698163365","Catalog Record")</f>
        <v>Catalog Record</v>
      </c>
      <c r="AW4152" s="6" t="str">
        <f>HYPERLINK("http://www.worldcat.org/oclc/698163365","WorldCat Record")</f>
        <v>WorldCat Record</v>
      </c>
      <c r="AX4152" s="3" t="s">
        <v>40058</v>
      </c>
      <c r="AY4152" s="3" t="s">
        <v>40059</v>
      </c>
      <c r="AZ4152" s="3" t="s">
        <v>40060</v>
      </c>
      <c r="BA4152" s="3" t="s">
        <v>40060</v>
      </c>
      <c r="BB4152" s="3" t="s">
        <v>40061</v>
      </c>
      <c r="BC4152" s="3" t="s">
        <v>102</v>
      </c>
      <c r="BD4152" s="3" t="s">
        <v>68</v>
      </c>
      <c r="BE4152" s="3" t="s">
        <v>40062</v>
      </c>
      <c r="BF4152" s="3" t="s">
        <v>40061</v>
      </c>
      <c r="BG4152" s="3" t="s">
        <v>40063</v>
      </c>
    </row>
    <row r="4153" spans="1:59" ht="72.5" x14ac:dyDescent="0.35">
      <c r="A4153" s="2" t="s">
        <v>89</v>
      </c>
      <c r="B4153" s="2" t="s">
        <v>90</v>
      </c>
      <c r="C4153" s="2" t="s">
        <v>40064</v>
      </c>
      <c r="D4153" s="2" t="s">
        <v>40065</v>
      </c>
      <c r="E4153" s="2" t="s">
        <v>40066</v>
      </c>
      <c r="G4153" s="3" t="s">
        <v>62</v>
      </c>
      <c r="I4153" s="3" t="s">
        <v>62</v>
      </c>
      <c r="J4153" s="3" t="s">
        <v>62</v>
      </c>
      <c r="K4153" s="3" t="s">
        <v>63</v>
      </c>
      <c r="L4153" s="2" t="s">
        <v>40067</v>
      </c>
      <c r="M4153" s="2" t="s">
        <v>40068</v>
      </c>
      <c r="N4153" s="3" t="s">
        <v>87</v>
      </c>
      <c r="O4153" s="2" t="s">
        <v>2163</v>
      </c>
      <c r="P4153" s="3" t="s">
        <v>64</v>
      </c>
      <c r="Q4153" s="2" t="s">
        <v>40069</v>
      </c>
      <c r="R4153" s="3" t="s">
        <v>34126</v>
      </c>
      <c r="S4153" s="4">
        <v>35</v>
      </c>
      <c r="T4153" s="4">
        <v>35</v>
      </c>
      <c r="U4153" s="5" t="s">
        <v>10815</v>
      </c>
      <c r="V4153" s="5" t="s">
        <v>10815</v>
      </c>
      <c r="W4153" s="5" t="s">
        <v>67</v>
      </c>
      <c r="X4153" s="5" t="s">
        <v>67</v>
      </c>
      <c r="Y4153" s="4">
        <v>223</v>
      </c>
      <c r="Z4153" s="4">
        <v>22</v>
      </c>
      <c r="AA4153" s="4">
        <v>24</v>
      </c>
      <c r="AB4153" s="4">
        <v>2</v>
      </c>
      <c r="AC4153" s="4">
        <v>4</v>
      </c>
      <c r="AD4153" s="4">
        <v>75</v>
      </c>
      <c r="AE4153" s="4">
        <v>77</v>
      </c>
      <c r="AF4153" s="4">
        <v>1</v>
      </c>
      <c r="AG4153" s="4">
        <v>1</v>
      </c>
      <c r="AH4153" s="4">
        <v>65</v>
      </c>
      <c r="AI4153" s="4">
        <v>67</v>
      </c>
      <c r="AJ4153" s="4">
        <v>15</v>
      </c>
      <c r="AK4153" s="4">
        <v>15</v>
      </c>
      <c r="AL4153" s="4">
        <v>32</v>
      </c>
      <c r="AM4153" s="4">
        <v>34</v>
      </c>
      <c r="AN4153" s="4">
        <v>0</v>
      </c>
      <c r="AO4153" s="4">
        <v>0</v>
      </c>
      <c r="AP4153" s="4">
        <v>16</v>
      </c>
      <c r="AQ4153" s="4">
        <v>16</v>
      </c>
      <c r="AR4153" s="3" t="s">
        <v>62</v>
      </c>
      <c r="AS4153" s="3" t="s">
        <v>62</v>
      </c>
      <c r="AT4153" s="3" t="s">
        <v>61</v>
      </c>
      <c r="AU4153" s="6" t="str">
        <f>HYPERLINK("http://catalog.hathitrust.org/Record/000043082","HathiTrust Record")</f>
        <v>HathiTrust Record</v>
      </c>
      <c r="AV4153" s="6" t="str">
        <f>HYPERLINK("http://mcgill.on.worldcat.org/oclc/5889517","Catalog Record")</f>
        <v>Catalog Record</v>
      </c>
      <c r="AW4153" s="6" t="str">
        <f>HYPERLINK("http://www.worldcat.org/oclc/5889517","WorldCat Record")</f>
        <v>WorldCat Record</v>
      </c>
      <c r="AX4153" s="3" t="s">
        <v>40070</v>
      </c>
      <c r="AY4153" s="3" t="s">
        <v>40071</v>
      </c>
      <c r="AZ4153" s="3" t="s">
        <v>40072</v>
      </c>
      <c r="BA4153" s="3" t="s">
        <v>40072</v>
      </c>
      <c r="BB4153" s="3" t="s">
        <v>40073</v>
      </c>
      <c r="BC4153" s="3" t="s">
        <v>102</v>
      </c>
      <c r="BD4153" s="3" t="s">
        <v>68</v>
      </c>
      <c r="BE4153" s="3" t="s">
        <v>40074</v>
      </c>
      <c r="BF4153" s="3" t="s">
        <v>40073</v>
      </c>
      <c r="BG4153" s="3" t="s">
        <v>40075</v>
      </c>
    </row>
    <row r="4154" spans="1:59" ht="58" x14ac:dyDescent="0.35">
      <c r="A4154" s="2" t="s">
        <v>89</v>
      </c>
      <c r="B4154" s="2" t="s">
        <v>90</v>
      </c>
      <c r="C4154" s="2" t="s">
        <v>40076</v>
      </c>
      <c r="D4154" s="2" t="s">
        <v>40077</v>
      </c>
      <c r="E4154" s="2" t="s">
        <v>40078</v>
      </c>
      <c r="G4154" s="3" t="s">
        <v>62</v>
      </c>
      <c r="I4154" s="3" t="s">
        <v>61</v>
      </c>
      <c r="J4154" s="3" t="s">
        <v>61</v>
      </c>
      <c r="K4154" s="3" t="s">
        <v>63</v>
      </c>
      <c r="L4154" s="2" t="s">
        <v>35386</v>
      </c>
      <c r="M4154" s="2" t="s">
        <v>40079</v>
      </c>
      <c r="N4154" s="3" t="s">
        <v>596</v>
      </c>
      <c r="O4154" s="2" t="s">
        <v>40080</v>
      </c>
      <c r="P4154" s="3" t="s">
        <v>64</v>
      </c>
      <c r="R4154" s="3" t="s">
        <v>34126</v>
      </c>
      <c r="S4154" s="4">
        <v>25</v>
      </c>
      <c r="T4154" s="4">
        <v>210</v>
      </c>
      <c r="U4154" s="5" t="s">
        <v>1593</v>
      </c>
      <c r="V4154" s="5" t="s">
        <v>22007</v>
      </c>
      <c r="W4154" s="5" t="s">
        <v>67</v>
      </c>
      <c r="X4154" s="5" t="s">
        <v>67</v>
      </c>
      <c r="Y4154" s="4">
        <v>1960</v>
      </c>
      <c r="Z4154" s="4">
        <v>62</v>
      </c>
      <c r="AA4154" s="4">
        <v>214</v>
      </c>
      <c r="AB4154" s="4">
        <v>3</v>
      </c>
      <c r="AC4154" s="4">
        <v>25</v>
      </c>
      <c r="AD4154" s="4">
        <v>94</v>
      </c>
      <c r="AE4154" s="4">
        <v>177</v>
      </c>
      <c r="AF4154" s="4">
        <v>1</v>
      </c>
      <c r="AG4154" s="4">
        <v>8</v>
      </c>
      <c r="AH4154" s="4">
        <v>76</v>
      </c>
      <c r="AI4154" s="4">
        <v>119</v>
      </c>
      <c r="AJ4154" s="4">
        <v>14</v>
      </c>
      <c r="AK4154" s="4">
        <v>30</v>
      </c>
      <c r="AL4154" s="4">
        <v>40</v>
      </c>
      <c r="AM4154" s="4">
        <v>63</v>
      </c>
      <c r="AN4154" s="4">
        <v>0</v>
      </c>
      <c r="AO4154" s="4">
        <v>3</v>
      </c>
      <c r="AP4154" s="4">
        <v>23</v>
      </c>
      <c r="AQ4154" s="4">
        <v>62</v>
      </c>
      <c r="AR4154" s="3" t="s">
        <v>62</v>
      </c>
      <c r="AS4154" s="3" t="s">
        <v>62</v>
      </c>
      <c r="AT4154" s="3" t="s">
        <v>61</v>
      </c>
      <c r="AU4154" s="6" t="str">
        <f>HYPERLINK("http://catalog.hathitrust.org/Record/005096256","HathiTrust Record")</f>
        <v>HathiTrust Record</v>
      </c>
      <c r="AV4154" s="6" t="str">
        <f>HYPERLINK("http://mcgill.on.worldcat.org/oclc/50751491","Catalog Record")</f>
        <v>Catalog Record</v>
      </c>
      <c r="AW4154" s="6" t="str">
        <f>HYPERLINK("http://www.worldcat.org/oclc/50751491","WorldCat Record")</f>
        <v>WorldCat Record</v>
      </c>
      <c r="AX4154" s="3" t="s">
        <v>40081</v>
      </c>
      <c r="AY4154" s="3" t="s">
        <v>40082</v>
      </c>
      <c r="AZ4154" s="3" t="s">
        <v>40083</v>
      </c>
      <c r="BA4154" s="3" t="s">
        <v>40083</v>
      </c>
      <c r="BB4154" s="3" t="s">
        <v>40084</v>
      </c>
      <c r="BC4154" s="3" t="s">
        <v>102</v>
      </c>
      <c r="BD4154" s="3" t="s">
        <v>231</v>
      </c>
      <c r="BE4154" s="3" t="s">
        <v>40085</v>
      </c>
      <c r="BF4154" s="3" t="s">
        <v>40084</v>
      </c>
      <c r="BG4154" s="3" t="s">
        <v>40086</v>
      </c>
    </row>
    <row r="4155" spans="1:59" ht="58" x14ac:dyDescent="0.35">
      <c r="A4155" s="2" t="s">
        <v>89</v>
      </c>
      <c r="B4155" s="2" t="s">
        <v>90</v>
      </c>
      <c r="C4155" s="2" t="s">
        <v>40076</v>
      </c>
      <c r="D4155" s="2" t="s">
        <v>40077</v>
      </c>
      <c r="E4155" s="2" t="s">
        <v>40078</v>
      </c>
      <c r="G4155" s="3" t="s">
        <v>62</v>
      </c>
      <c r="I4155" s="3" t="s">
        <v>61</v>
      </c>
      <c r="J4155" s="3" t="s">
        <v>61</v>
      </c>
      <c r="K4155" s="3" t="s">
        <v>63</v>
      </c>
      <c r="L4155" s="2" t="s">
        <v>35386</v>
      </c>
      <c r="M4155" s="2" t="s">
        <v>40079</v>
      </c>
      <c r="N4155" s="3" t="s">
        <v>596</v>
      </c>
      <c r="O4155" s="2" t="s">
        <v>40080</v>
      </c>
      <c r="P4155" s="3" t="s">
        <v>64</v>
      </c>
      <c r="R4155" s="3" t="s">
        <v>34126</v>
      </c>
      <c r="S4155" s="4">
        <v>19</v>
      </c>
      <c r="T4155" s="4">
        <v>210</v>
      </c>
      <c r="U4155" s="5" t="s">
        <v>19386</v>
      </c>
      <c r="V4155" s="5" t="s">
        <v>22007</v>
      </c>
      <c r="W4155" s="5" t="s">
        <v>67</v>
      </c>
      <c r="X4155" s="5" t="s">
        <v>67</v>
      </c>
      <c r="Y4155" s="4">
        <v>1960</v>
      </c>
      <c r="Z4155" s="4">
        <v>62</v>
      </c>
      <c r="AA4155" s="4">
        <v>214</v>
      </c>
      <c r="AB4155" s="4">
        <v>3</v>
      </c>
      <c r="AC4155" s="4">
        <v>25</v>
      </c>
      <c r="AD4155" s="4">
        <v>94</v>
      </c>
      <c r="AE4155" s="4">
        <v>177</v>
      </c>
      <c r="AF4155" s="4">
        <v>1</v>
      </c>
      <c r="AG4155" s="4">
        <v>8</v>
      </c>
      <c r="AH4155" s="4">
        <v>76</v>
      </c>
      <c r="AI4155" s="4">
        <v>119</v>
      </c>
      <c r="AJ4155" s="4">
        <v>14</v>
      </c>
      <c r="AK4155" s="4">
        <v>30</v>
      </c>
      <c r="AL4155" s="4">
        <v>40</v>
      </c>
      <c r="AM4155" s="4">
        <v>63</v>
      </c>
      <c r="AN4155" s="4">
        <v>0</v>
      </c>
      <c r="AO4155" s="4">
        <v>3</v>
      </c>
      <c r="AP4155" s="4">
        <v>23</v>
      </c>
      <c r="AQ4155" s="4">
        <v>62</v>
      </c>
      <c r="AR4155" s="3" t="s">
        <v>62</v>
      </c>
      <c r="AS4155" s="3" t="s">
        <v>62</v>
      </c>
      <c r="AT4155" s="3" t="s">
        <v>61</v>
      </c>
      <c r="AU4155" s="6" t="str">
        <f>HYPERLINK("http://catalog.hathitrust.org/Record/005096256","HathiTrust Record")</f>
        <v>HathiTrust Record</v>
      </c>
      <c r="AV4155" s="6" t="str">
        <f>HYPERLINK("http://mcgill.on.worldcat.org/oclc/50751491","Catalog Record")</f>
        <v>Catalog Record</v>
      </c>
      <c r="AW4155" s="6" t="str">
        <f>HYPERLINK("http://www.worldcat.org/oclc/50751491","WorldCat Record")</f>
        <v>WorldCat Record</v>
      </c>
      <c r="AX4155" s="3" t="s">
        <v>40081</v>
      </c>
      <c r="AY4155" s="3" t="s">
        <v>40082</v>
      </c>
      <c r="AZ4155" s="3" t="s">
        <v>40083</v>
      </c>
      <c r="BA4155" s="3" t="s">
        <v>40083</v>
      </c>
      <c r="BB4155" s="3" t="s">
        <v>40087</v>
      </c>
      <c r="BC4155" s="3" t="s">
        <v>102</v>
      </c>
      <c r="BD4155" s="3" t="s">
        <v>68</v>
      </c>
      <c r="BE4155" s="3" t="s">
        <v>40085</v>
      </c>
      <c r="BF4155" s="3" t="s">
        <v>40087</v>
      </c>
      <c r="BG4155" s="3" t="s">
        <v>40088</v>
      </c>
    </row>
    <row r="4156" spans="1:59" ht="58" x14ac:dyDescent="0.35">
      <c r="A4156" s="2" t="s">
        <v>59</v>
      </c>
      <c r="B4156" s="2" t="s">
        <v>60</v>
      </c>
      <c r="C4156" s="2" t="s">
        <v>40089</v>
      </c>
      <c r="D4156" s="2" t="s">
        <v>40090</v>
      </c>
      <c r="E4156" s="2" t="s">
        <v>40091</v>
      </c>
      <c r="G4156" s="3" t="s">
        <v>62</v>
      </c>
      <c r="I4156" s="3" t="s">
        <v>62</v>
      </c>
      <c r="J4156" s="3" t="s">
        <v>62</v>
      </c>
      <c r="K4156" s="3" t="s">
        <v>63</v>
      </c>
      <c r="L4156" s="2" t="s">
        <v>40092</v>
      </c>
      <c r="M4156" s="2" t="s">
        <v>40093</v>
      </c>
      <c r="N4156" s="3" t="s">
        <v>327</v>
      </c>
      <c r="P4156" s="3" t="s">
        <v>64</v>
      </c>
      <c r="R4156" s="3" t="s">
        <v>34126</v>
      </c>
      <c r="S4156" s="4">
        <v>3</v>
      </c>
      <c r="T4156" s="4">
        <v>3</v>
      </c>
      <c r="U4156" s="5" t="s">
        <v>30568</v>
      </c>
      <c r="V4156" s="5" t="s">
        <v>30568</v>
      </c>
      <c r="W4156" s="5" t="s">
        <v>67</v>
      </c>
      <c r="X4156" s="5" t="s">
        <v>67</v>
      </c>
      <c r="Y4156" s="4">
        <v>367</v>
      </c>
      <c r="Z4156" s="4">
        <v>32</v>
      </c>
      <c r="AA4156" s="4">
        <v>41</v>
      </c>
      <c r="AB4156" s="4">
        <v>1</v>
      </c>
      <c r="AC4156" s="4">
        <v>8</v>
      </c>
      <c r="AD4156" s="4">
        <v>119</v>
      </c>
      <c r="AE4156" s="4">
        <v>128</v>
      </c>
      <c r="AF4156" s="4">
        <v>0</v>
      </c>
      <c r="AG4156" s="4">
        <v>4</v>
      </c>
      <c r="AH4156" s="4">
        <v>103</v>
      </c>
      <c r="AI4156" s="4">
        <v>107</v>
      </c>
      <c r="AJ4156" s="4">
        <v>20</v>
      </c>
      <c r="AK4156" s="4">
        <v>24</v>
      </c>
      <c r="AL4156" s="4">
        <v>53</v>
      </c>
      <c r="AM4156" s="4">
        <v>55</v>
      </c>
      <c r="AN4156" s="4">
        <v>0</v>
      </c>
      <c r="AO4156" s="4">
        <v>0</v>
      </c>
      <c r="AP4156" s="4">
        <v>24</v>
      </c>
      <c r="AQ4156" s="4">
        <v>29</v>
      </c>
      <c r="AR4156" s="3" t="s">
        <v>62</v>
      </c>
      <c r="AS4156" s="3" t="s">
        <v>62</v>
      </c>
      <c r="AT4156" s="3" t="s">
        <v>61</v>
      </c>
      <c r="AU4156" s="6" t="str">
        <f>HYPERLINK("http://catalog.hathitrust.org/Record/000322860","HathiTrust Record")</f>
        <v>HathiTrust Record</v>
      </c>
      <c r="AV4156" s="6" t="str">
        <f>HYPERLINK("http://mcgill.on.worldcat.org/oclc/9110177","Catalog Record")</f>
        <v>Catalog Record</v>
      </c>
      <c r="AW4156" s="6" t="str">
        <f>HYPERLINK("http://www.worldcat.org/oclc/9110177","WorldCat Record")</f>
        <v>WorldCat Record</v>
      </c>
      <c r="AX4156" s="3" t="s">
        <v>40094</v>
      </c>
      <c r="AY4156" s="3" t="s">
        <v>40095</v>
      </c>
      <c r="AZ4156" s="3" t="s">
        <v>40096</v>
      </c>
      <c r="BA4156" s="3" t="s">
        <v>40096</v>
      </c>
      <c r="BB4156" s="3" t="s">
        <v>40097</v>
      </c>
      <c r="BC4156" s="3" t="s">
        <v>102</v>
      </c>
      <c r="BD4156" s="3" t="s">
        <v>6923</v>
      </c>
      <c r="BE4156" s="3" t="s">
        <v>40098</v>
      </c>
      <c r="BF4156" s="3" t="s">
        <v>40097</v>
      </c>
      <c r="BG4156" s="3" t="s">
        <v>40099</v>
      </c>
    </row>
    <row r="4157" spans="1:59" ht="58" x14ac:dyDescent="0.35">
      <c r="A4157" s="2" t="s">
        <v>59</v>
      </c>
      <c r="B4157" s="2" t="s">
        <v>60</v>
      </c>
      <c r="C4157" s="2" t="s">
        <v>40100</v>
      </c>
      <c r="D4157" s="2" t="s">
        <v>40101</v>
      </c>
      <c r="E4157" s="2" t="s">
        <v>40102</v>
      </c>
      <c r="G4157" s="3" t="s">
        <v>62</v>
      </c>
      <c r="I4157" s="3" t="s">
        <v>61</v>
      </c>
      <c r="J4157" s="3" t="s">
        <v>61</v>
      </c>
      <c r="K4157" s="3" t="s">
        <v>63</v>
      </c>
      <c r="L4157" s="2" t="s">
        <v>40103</v>
      </c>
      <c r="M4157" s="2" t="s">
        <v>40104</v>
      </c>
      <c r="N4157" s="3" t="s">
        <v>1576</v>
      </c>
      <c r="P4157" s="3" t="s">
        <v>64</v>
      </c>
      <c r="R4157" s="3" t="s">
        <v>34126</v>
      </c>
      <c r="S4157" s="4">
        <v>11</v>
      </c>
      <c r="T4157" s="4">
        <v>40</v>
      </c>
      <c r="U4157" s="5" t="s">
        <v>40105</v>
      </c>
      <c r="V4157" s="5" t="s">
        <v>40105</v>
      </c>
      <c r="W4157" s="5" t="s">
        <v>67</v>
      </c>
      <c r="X4157" s="5" t="s">
        <v>67</v>
      </c>
      <c r="Y4157" s="4">
        <v>921</v>
      </c>
      <c r="Z4157" s="4">
        <v>40</v>
      </c>
      <c r="AA4157" s="4">
        <v>86</v>
      </c>
      <c r="AB4157" s="4">
        <v>3</v>
      </c>
      <c r="AC4157" s="4">
        <v>17</v>
      </c>
      <c r="AD4157" s="4">
        <v>130</v>
      </c>
      <c r="AE4157" s="4">
        <v>152</v>
      </c>
      <c r="AF4157" s="4">
        <v>2</v>
      </c>
      <c r="AG4157" s="4">
        <v>7</v>
      </c>
      <c r="AH4157" s="4">
        <v>104</v>
      </c>
      <c r="AI4157" s="4">
        <v>113</v>
      </c>
      <c r="AJ4157" s="4">
        <v>20</v>
      </c>
      <c r="AK4157" s="4">
        <v>27</v>
      </c>
      <c r="AL4157" s="4">
        <v>55</v>
      </c>
      <c r="AM4157" s="4">
        <v>58</v>
      </c>
      <c r="AN4157" s="4">
        <v>0</v>
      </c>
      <c r="AO4157" s="4">
        <v>0</v>
      </c>
      <c r="AP4157" s="4">
        <v>32</v>
      </c>
      <c r="AQ4157" s="4">
        <v>47</v>
      </c>
      <c r="AR4157" s="3" t="s">
        <v>62</v>
      </c>
      <c r="AS4157" s="3" t="s">
        <v>62</v>
      </c>
      <c r="AT4157" s="3" t="s">
        <v>61</v>
      </c>
      <c r="AU4157" s="6" t="str">
        <f>HYPERLINK("http://catalog.hathitrust.org/Record/001492864","HathiTrust Record")</f>
        <v>HathiTrust Record</v>
      </c>
      <c r="AV4157" s="6" t="str">
        <f>HYPERLINK("http://mcgill.on.worldcat.org/oclc/232949","Catalog Record")</f>
        <v>Catalog Record</v>
      </c>
      <c r="AW4157" s="6" t="str">
        <f>HYPERLINK("http://www.worldcat.org/oclc/232949","WorldCat Record")</f>
        <v>WorldCat Record</v>
      </c>
      <c r="AX4157" s="3" t="s">
        <v>40106</v>
      </c>
      <c r="AY4157" s="3" t="s">
        <v>40107</v>
      </c>
      <c r="AZ4157" s="3" t="s">
        <v>40108</v>
      </c>
      <c r="BA4157" s="3" t="s">
        <v>40108</v>
      </c>
      <c r="BB4157" s="3" t="s">
        <v>40109</v>
      </c>
      <c r="BC4157" s="3" t="s">
        <v>102</v>
      </c>
      <c r="BD4157" s="3" t="s">
        <v>68</v>
      </c>
      <c r="BE4157" s="3" t="s">
        <v>40110</v>
      </c>
      <c r="BF4157" s="3" t="s">
        <v>40109</v>
      </c>
      <c r="BG4157" s="3" t="s">
        <v>40111</v>
      </c>
    </row>
    <row r="4158" spans="1:59" ht="87" x14ac:dyDescent="0.35">
      <c r="A4158" s="2" t="s">
        <v>59</v>
      </c>
      <c r="B4158" s="2" t="s">
        <v>60</v>
      </c>
      <c r="C4158" s="2" t="s">
        <v>40112</v>
      </c>
      <c r="D4158" s="2" t="s">
        <v>40113</v>
      </c>
      <c r="E4158" s="2" t="s">
        <v>40114</v>
      </c>
      <c r="F4158" s="3" t="s">
        <v>40115</v>
      </c>
      <c r="G4158" s="3" t="s">
        <v>62</v>
      </c>
      <c r="I4158" s="3" t="s">
        <v>62</v>
      </c>
      <c r="J4158" s="3" t="s">
        <v>62</v>
      </c>
      <c r="K4158" s="3" t="s">
        <v>63</v>
      </c>
      <c r="M4158" s="2" t="s">
        <v>40116</v>
      </c>
      <c r="N4158" s="3" t="s">
        <v>1077</v>
      </c>
      <c r="P4158" s="3" t="s">
        <v>64</v>
      </c>
      <c r="Q4158" s="2" t="s">
        <v>40117</v>
      </c>
      <c r="R4158" s="3" t="s">
        <v>34126</v>
      </c>
      <c r="S4158" s="4">
        <v>4</v>
      </c>
      <c r="T4158" s="4">
        <v>4</v>
      </c>
      <c r="U4158" s="5" t="s">
        <v>40118</v>
      </c>
      <c r="V4158" s="5" t="s">
        <v>40118</v>
      </c>
      <c r="W4158" s="5" t="s">
        <v>67</v>
      </c>
      <c r="X4158" s="5" t="s">
        <v>67</v>
      </c>
      <c r="Y4158" s="4">
        <v>196</v>
      </c>
      <c r="Z4158" s="4">
        <v>12</v>
      </c>
      <c r="AA4158" s="4">
        <v>15</v>
      </c>
      <c r="AB4158" s="4">
        <v>1</v>
      </c>
      <c r="AC4158" s="4">
        <v>4</v>
      </c>
      <c r="AD4158" s="4">
        <v>51</v>
      </c>
      <c r="AE4158" s="4">
        <v>54</v>
      </c>
      <c r="AF4158" s="4">
        <v>0</v>
      </c>
      <c r="AG4158" s="4">
        <v>2</v>
      </c>
      <c r="AH4158" s="4">
        <v>44</v>
      </c>
      <c r="AI4158" s="4">
        <v>46</v>
      </c>
      <c r="AJ4158" s="4">
        <v>7</v>
      </c>
      <c r="AK4158" s="4">
        <v>8</v>
      </c>
      <c r="AL4158" s="4">
        <v>25</v>
      </c>
      <c r="AM4158" s="4">
        <v>26</v>
      </c>
      <c r="AN4158" s="4">
        <v>0</v>
      </c>
      <c r="AO4158" s="4">
        <v>0</v>
      </c>
      <c r="AP4158" s="4">
        <v>7</v>
      </c>
      <c r="AQ4158" s="4">
        <v>9</v>
      </c>
      <c r="AR4158" s="3" t="s">
        <v>62</v>
      </c>
      <c r="AS4158" s="3" t="s">
        <v>62</v>
      </c>
      <c r="AT4158" s="3" t="s">
        <v>62</v>
      </c>
      <c r="AV4158" s="6" t="str">
        <f>HYPERLINK("http://mcgill.on.worldcat.org/oclc/29173959","Catalog Record")</f>
        <v>Catalog Record</v>
      </c>
      <c r="AW4158" s="6" t="str">
        <f>HYPERLINK("http://www.worldcat.org/oclc/29173959","WorldCat Record")</f>
        <v>WorldCat Record</v>
      </c>
      <c r="AX4158" s="3" t="s">
        <v>40119</v>
      </c>
      <c r="AY4158" s="3" t="s">
        <v>40120</v>
      </c>
      <c r="AZ4158" s="3" t="s">
        <v>40121</v>
      </c>
      <c r="BA4158" s="3" t="s">
        <v>40121</v>
      </c>
      <c r="BB4158" s="3" t="s">
        <v>40122</v>
      </c>
      <c r="BC4158" s="3" t="s">
        <v>102</v>
      </c>
      <c r="BD4158" s="3" t="s">
        <v>68</v>
      </c>
      <c r="BE4158" s="3" t="s">
        <v>40123</v>
      </c>
      <c r="BF4158" s="3" t="s">
        <v>40122</v>
      </c>
      <c r="BG4158" s="3" t="s">
        <v>40124</v>
      </c>
    </row>
    <row r="4159" spans="1:59" ht="72.5" x14ac:dyDescent="0.35">
      <c r="A4159" s="2" t="s">
        <v>89</v>
      </c>
      <c r="B4159" s="2" t="s">
        <v>1231</v>
      </c>
      <c r="C4159" s="2" t="s">
        <v>40125</v>
      </c>
      <c r="D4159" s="2" t="s">
        <v>40126</v>
      </c>
      <c r="E4159" s="2" t="s">
        <v>40127</v>
      </c>
      <c r="G4159" s="3" t="s">
        <v>62</v>
      </c>
      <c r="I4159" s="3" t="s">
        <v>62</v>
      </c>
      <c r="J4159" s="3" t="s">
        <v>62</v>
      </c>
      <c r="K4159" s="3" t="s">
        <v>63</v>
      </c>
      <c r="L4159" s="2" t="s">
        <v>40128</v>
      </c>
      <c r="M4159" s="2" t="s">
        <v>40129</v>
      </c>
      <c r="N4159" s="3" t="s">
        <v>2924</v>
      </c>
      <c r="P4159" s="3" t="s">
        <v>64</v>
      </c>
      <c r="R4159" s="3" t="s">
        <v>34126</v>
      </c>
      <c r="S4159" s="4">
        <v>2</v>
      </c>
      <c r="T4159" s="4">
        <v>2</v>
      </c>
      <c r="U4159" s="5" t="s">
        <v>14076</v>
      </c>
      <c r="V4159" s="5" t="s">
        <v>14076</v>
      </c>
      <c r="W4159" s="5" t="s">
        <v>67</v>
      </c>
      <c r="X4159" s="5" t="s">
        <v>67</v>
      </c>
      <c r="Y4159" s="4">
        <v>114</v>
      </c>
      <c r="Z4159" s="4">
        <v>3</v>
      </c>
      <c r="AA4159" s="4">
        <v>3</v>
      </c>
      <c r="AB4159" s="4">
        <v>2</v>
      </c>
      <c r="AC4159" s="4">
        <v>2</v>
      </c>
      <c r="AD4159" s="4">
        <v>15</v>
      </c>
      <c r="AE4159" s="4">
        <v>15</v>
      </c>
      <c r="AF4159" s="4">
        <v>0</v>
      </c>
      <c r="AG4159" s="4">
        <v>0</v>
      </c>
      <c r="AH4159" s="4">
        <v>14</v>
      </c>
      <c r="AI4159" s="4">
        <v>14</v>
      </c>
      <c r="AJ4159" s="4">
        <v>0</v>
      </c>
      <c r="AK4159" s="4">
        <v>0</v>
      </c>
      <c r="AL4159" s="4">
        <v>7</v>
      </c>
      <c r="AM4159" s="4">
        <v>7</v>
      </c>
      <c r="AN4159" s="4">
        <v>0</v>
      </c>
      <c r="AO4159" s="4">
        <v>0</v>
      </c>
      <c r="AP4159" s="4">
        <v>1</v>
      </c>
      <c r="AQ4159" s="4">
        <v>1</v>
      </c>
      <c r="AR4159" s="3" t="s">
        <v>62</v>
      </c>
      <c r="AS4159" s="3" t="s">
        <v>62</v>
      </c>
      <c r="AT4159" s="3" t="s">
        <v>62</v>
      </c>
      <c r="AU4159" s="6" t="str">
        <f>HYPERLINK("http://catalog.hathitrust.org/Record/100612492","HathiTrust Record")</f>
        <v>HathiTrust Record</v>
      </c>
      <c r="AV4159" s="6" t="str">
        <f>HYPERLINK("http://mcgill.on.worldcat.org/oclc/553074","Catalog Record")</f>
        <v>Catalog Record</v>
      </c>
      <c r="AW4159" s="6" t="str">
        <f>HYPERLINK("http://www.worldcat.org/oclc/553074","WorldCat Record")</f>
        <v>WorldCat Record</v>
      </c>
      <c r="AX4159" s="3" t="s">
        <v>40130</v>
      </c>
      <c r="AY4159" s="3" t="s">
        <v>40131</v>
      </c>
      <c r="AZ4159" s="3" t="s">
        <v>40132</v>
      </c>
      <c r="BA4159" s="3" t="s">
        <v>40132</v>
      </c>
      <c r="BB4159" s="3" t="s">
        <v>40133</v>
      </c>
      <c r="BC4159" s="3" t="s">
        <v>102</v>
      </c>
      <c r="BD4159" s="3" t="s">
        <v>68</v>
      </c>
      <c r="BF4159" s="3" t="s">
        <v>40133</v>
      </c>
      <c r="BG4159" s="3" t="s">
        <v>40134</v>
      </c>
    </row>
    <row r="4160" spans="1:59" ht="58" x14ac:dyDescent="0.35">
      <c r="A4160" s="2" t="s">
        <v>59</v>
      </c>
      <c r="B4160" s="2" t="s">
        <v>60</v>
      </c>
      <c r="C4160" s="2" t="s">
        <v>40135</v>
      </c>
      <c r="D4160" s="2" t="s">
        <v>40136</v>
      </c>
      <c r="E4160" s="2" t="s">
        <v>40137</v>
      </c>
      <c r="G4160" s="3" t="s">
        <v>62</v>
      </c>
      <c r="I4160" s="3" t="s">
        <v>62</v>
      </c>
      <c r="J4160" s="3" t="s">
        <v>62</v>
      </c>
      <c r="K4160" s="3" t="s">
        <v>63</v>
      </c>
      <c r="L4160" s="2" t="s">
        <v>38823</v>
      </c>
      <c r="M4160" s="2" t="s">
        <v>40138</v>
      </c>
      <c r="N4160" s="3" t="s">
        <v>509</v>
      </c>
      <c r="P4160" s="3" t="s">
        <v>64</v>
      </c>
      <c r="R4160" s="3" t="s">
        <v>34126</v>
      </c>
      <c r="S4160" s="4">
        <v>17</v>
      </c>
      <c r="T4160" s="4">
        <v>17</v>
      </c>
      <c r="U4160" s="5" t="s">
        <v>728</v>
      </c>
      <c r="V4160" s="5" t="s">
        <v>728</v>
      </c>
      <c r="W4160" s="5" t="s">
        <v>67</v>
      </c>
      <c r="X4160" s="5" t="s">
        <v>67</v>
      </c>
      <c r="Y4160" s="4">
        <v>679</v>
      </c>
      <c r="Z4160" s="4">
        <v>43</v>
      </c>
      <c r="AA4160" s="4">
        <v>109</v>
      </c>
      <c r="AB4160" s="4">
        <v>5</v>
      </c>
      <c r="AC4160" s="4">
        <v>18</v>
      </c>
      <c r="AD4160" s="4">
        <v>132</v>
      </c>
      <c r="AE4160" s="4">
        <v>157</v>
      </c>
      <c r="AF4160" s="4">
        <v>2</v>
      </c>
      <c r="AG4160" s="4">
        <v>8</v>
      </c>
      <c r="AH4160" s="4">
        <v>106</v>
      </c>
      <c r="AI4160" s="4">
        <v>113</v>
      </c>
      <c r="AJ4160" s="4">
        <v>20</v>
      </c>
      <c r="AK4160" s="4">
        <v>28</v>
      </c>
      <c r="AL4160" s="4">
        <v>56</v>
      </c>
      <c r="AM4160" s="4">
        <v>58</v>
      </c>
      <c r="AN4160" s="4">
        <v>0</v>
      </c>
      <c r="AO4160" s="4">
        <v>0</v>
      </c>
      <c r="AP4160" s="4">
        <v>32</v>
      </c>
      <c r="AQ4160" s="4">
        <v>52</v>
      </c>
      <c r="AR4160" s="3" t="s">
        <v>62</v>
      </c>
      <c r="AS4160" s="3" t="s">
        <v>62</v>
      </c>
      <c r="AT4160" s="3" t="s">
        <v>61</v>
      </c>
      <c r="AU4160" s="6" t="str">
        <f>HYPERLINK("http://catalog.hathitrust.org/Record/002893703","HathiTrust Record")</f>
        <v>HathiTrust Record</v>
      </c>
      <c r="AV4160" s="6" t="str">
        <f>HYPERLINK("http://mcgill.on.worldcat.org/oclc/29913047","Catalog Record")</f>
        <v>Catalog Record</v>
      </c>
      <c r="AW4160" s="6" t="str">
        <f>HYPERLINK("http://www.worldcat.org/oclc/29913047","WorldCat Record")</f>
        <v>WorldCat Record</v>
      </c>
      <c r="AX4160" s="3" t="s">
        <v>40139</v>
      </c>
      <c r="AY4160" s="3" t="s">
        <v>40140</v>
      </c>
      <c r="AZ4160" s="3" t="s">
        <v>40141</v>
      </c>
      <c r="BA4160" s="3" t="s">
        <v>40141</v>
      </c>
      <c r="BB4160" s="3" t="s">
        <v>40142</v>
      </c>
      <c r="BC4160" s="3" t="s">
        <v>102</v>
      </c>
      <c r="BD4160" s="3" t="s">
        <v>68</v>
      </c>
      <c r="BE4160" s="3" t="s">
        <v>40143</v>
      </c>
      <c r="BF4160" s="3" t="s">
        <v>40142</v>
      </c>
      <c r="BG4160" s="3" t="s">
        <v>40144</v>
      </c>
    </row>
    <row r="4161" spans="1:59" ht="58" x14ac:dyDescent="0.35">
      <c r="A4161" s="2" t="s">
        <v>59</v>
      </c>
      <c r="B4161" s="2" t="s">
        <v>60</v>
      </c>
      <c r="C4161" s="2" t="s">
        <v>40145</v>
      </c>
      <c r="D4161" s="2" t="s">
        <v>40146</v>
      </c>
      <c r="E4161" s="2" t="s">
        <v>40147</v>
      </c>
      <c r="G4161" s="3" t="s">
        <v>62</v>
      </c>
      <c r="I4161" s="3" t="s">
        <v>62</v>
      </c>
      <c r="J4161" s="3" t="s">
        <v>62</v>
      </c>
      <c r="K4161" s="3" t="s">
        <v>63</v>
      </c>
      <c r="L4161" s="2" t="s">
        <v>36329</v>
      </c>
      <c r="M4161" s="2" t="s">
        <v>40148</v>
      </c>
      <c r="N4161" s="3" t="s">
        <v>568</v>
      </c>
      <c r="O4161" s="2" t="s">
        <v>40149</v>
      </c>
      <c r="P4161" s="3" t="s">
        <v>64</v>
      </c>
      <c r="R4161" s="3" t="s">
        <v>34126</v>
      </c>
      <c r="S4161" s="4">
        <v>1</v>
      </c>
      <c r="T4161" s="4">
        <v>1</v>
      </c>
      <c r="U4161" s="5" t="s">
        <v>40150</v>
      </c>
      <c r="V4161" s="5" t="s">
        <v>40150</v>
      </c>
      <c r="W4161" s="5" t="s">
        <v>67</v>
      </c>
      <c r="X4161" s="5" t="s">
        <v>67</v>
      </c>
      <c r="Y4161" s="4">
        <v>458</v>
      </c>
      <c r="Z4161" s="4">
        <v>13</v>
      </c>
      <c r="AA4161" s="4">
        <v>13</v>
      </c>
      <c r="AB4161" s="4">
        <v>2</v>
      </c>
      <c r="AC4161" s="4">
        <v>2</v>
      </c>
      <c r="AD4161" s="4">
        <v>52</v>
      </c>
      <c r="AE4161" s="4">
        <v>52</v>
      </c>
      <c r="AF4161" s="4">
        <v>0</v>
      </c>
      <c r="AG4161" s="4">
        <v>0</v>
      </c>
      <c r="AH4161" s="4">
        <v>47</v>
      </c>
      <c r="AI4161" s="4">
        <v>47</v>
      </c>
      <c r="AJ4161" s="4">
        <v>4</v>
      </c>
      <c r="AK4161" s="4">
        <v>4</v>
      </c>
      <c r="AL4161" s="4">
        <v>27</v>
      </c>
      <c r="AM4161" s="4">
        <v>27</v>
      </c>
      <c r="AN4161" s="4">
        <v>0</v>
      </c>
      <c r="AO4161" s="4">
        <v>0</v>
      </c>
      <c r="AP4161" s="4">
        <v>7</v>
      </c>
      <c r="AQ4161" s="4">
        <v>7</v>
      </c>
      <c r="AR4161" s="3" t="s">
        <v>62</v>
      </c>
      <c r="AS4161" s="3" t="s">
        <v>62</v>
      </c>
      <c r="AT4161" s="3" t="s">
        <v>61</v>
      </c>
      <c r="AU4161" s="6" t="str">
        <f>HYPERLINK("http://catalog.hathitrust.org/Record/004132430","HathiTrust Record")</f>
        <v>HathiTrust Record</v>
      </c>
      <c r="AV4161" s="6" t="str">
        <f>HYPERLINK("http://mcgill.on.worldcat.org/oclc/45072260","Catalog Record")</f>
        <v>Catalog Record</v>
      </c>
      <c r="AW4161" s="6" t="str">
        <f>HYPERLINK("http://www.worldcat.org/oclc/45072260","WorldCat Record")</f>
        <v>WorldCat Record</v>
      </c>
      <c r="AX4161" s="3" t="s">
        <v>40151</v>
      </c>
      <c r="AY4161" s="3" t="s">
        <v>40152</v>
      </c>
      <c r="AZ4161" s="3" t="s">
        <v>40153</v>
      </c>
      <c r="BA4161" s="3" t="s">
        <v>40153</v>
      </c>
      <c r="BB4161" s="3" t="s">
        <v>40154</v>
      </c>
      <c r="BC4161" s="3" t="s">
        <v>102</v>
      </c>
      <c r="BD4161" s="3" t="s">
        <v>68</v>
      </c>
      <c r="BE4161" s="3" t="s">
        <v>40155</v>
      </c>
      <c r="BF4161" s="3" t="s">
        <v>40154</v>
      </c>
      <c r="BG4161" s="3" t="s">
        <v>40156</v>
      </c>
    </row>
    <row r="4162" spans="1:59" ht="58" x14ac:dyDescent="0.35">
      <c r="A4162" s="2" t="s">
        <v>59</v>
      </c>
      <c r="B4162" s="2" t="s">
        <v>60</v>
      </c>
      <c r="C4162" s="2" t="s">
        <v>40157</v>
      </c>
      <c r="D4162" s="2" t="s">
        <v>40158</v>
      </c>
      <c r="E4162" s="2" t="s">
        <v>40159</v>
      </c>
      <c r="G4162" s="3" t="s">
        <v>62</v>
      </c>
      <c r="I4162" s="3" t="s">
        <v>62</v>
      </c>
      <c r="J4162" s="3" t="s">
        <v>62</v>
      </c>
      <c r="K4162" s="3" t="s">
        <v>63</v>
      </c>
      <c r="M4162" s="2" t="s">
        <v>40160</v>
      </c>
      <c r="N4162" s="3" t="s">
        <v>2975</v>
      </c>
      <c r="P4162" s="3" t="s">
        <v>64</v>
      </c>
      <c r="R4162" s="3" t="s">
        <v>34126</v>
      </c>
      <c r="S4162" s="4">
        <v>3</v>
      </c>
      <c r="T4162" s="4">
        <v>3</v>
      </c>
      <c r="U4162" s="5" t="s">
        <v>555</v>
      </c>
      <c r="V4162" s="5" t="s">
        <v>555</v>
      </c>
      <c r="W4162" s="5" t="s">
        <v>67</v>
      </c>
      <c r="X4162" s="5" t="s">
        <v>67</v>
      </c>
      <c r="Y4162" s="4">
        <v>201</v>
      </c>
      <c r="Z4162" s="4">
        <v>11</v>
      </c>
      <c r="AA4162" s="4">
        <v>39</v>
      </c>
      <c r="AB4162" s="4">
        <v>1</v>
      </c>
      <c r="AC4162" s="4">
        <v>2</v>
      </c>
      <c r="AD4162" s="4">
        <v>61</v>
      </c>
      <c r="AE4162" s="4">
        <v>86</v>
      </c>
      <c r="AF4162" s="4">
        <v>0</v>
      </c>
      <c r="AG4162" s="4">
        <v>1</v>
      </c>
      <c r="AH4162" s="4">
        <v>53</v>
      </c>
      <c r="AI4162" s="4">
        <v>69</v>
      </c>
      <c r="AJ4162" s="4">
        <v>7</v>
      </c>
      <c r="AK4162" s="4">
        <v>12</v>
      </c>
      <c r="AL4162" s="4">
        <v>33</v>
      </c>
      <c r="AM4162" s="4">
        <v>40</v>
      </c>
      <c r="AN4162" s="4">
        <v>0</v>
      </c>
      <c r="AO4162" s="4">
        <v>0</v>
      </c>
      <c r="AP4162" s="4">
        <v>10</v>
      </c>
      <c r="AQ4162" s="4">
        <v>19</v>
      </c>
      <c r="AR4162" s="3" t="s">
        <v>62</v>
      </c>
      <c r="AS4162" s="3" t="s">
        <v>62</v>
      </c>
      <c r="AT4162" s="3" t="s">
        <v>62</v>
      </c>
      <c r="AV4162" s="6" t="str">
        <f>HYPERLINK("http://mcgill.on.worldcat.org/oclc/44860876","Catalog Record")</f>
        <v>Catalog Record</v>
      </c>
      <c r="AW4162" s="6" t="str">
        <f>HYPERLINK("http://www.worldcat.org/oclc/44860876","WorldCat Record")</f>
        <v>WorldCat Record</v>
      </c>
      <c r="AX4162" s="3" t="s">
        <v>40161</v>
      </c>
      <c r="AY4162" s="3" t="s">
        <v>40162</v>
      </c>
      <c r="AZ4162" s="3" t="s">
        <v>40163</v>
      </c>
      <c r="BA4162" s="3" t="s">
        <v>40163</v>
      </c>
      <c r="BB4162" s="3" t="s">
        <v>40164</v>
      </c>
      <c r="BC4162" s="3" t="s">
        <v>102</v>
      </c>
      <c r="BD4162" s="3" t="s">
        <v>68</v>
      </c>
      <c r="BE4162" s="3" t="s">
        <v>40165</v>
      </c>
      <c r="BF4162" s="3" t="s">
        <v>40164</v>
      </c>
      <c r="BG4162" s="3" t="s">
        <v>40166</v>
      </c>
    </row>
    <row r="4163" spans="1:59" ht="58" x14ac:dyDescent="0.35">
      <c r="A4163" s="2" t="s">
        <v>59</v>
      </c>
      <c r="B4163" s="2" t="s">
        <v>60</v>
      </c>
      <c r="C4163" s="2" t="s">
        <v>40167</v>
      </c>
      <c r="D4163" s="2" t="s">
        <v>40168</v>
      </c>
      <c r="E4163" s="2" t="s">
        <v>40169</v>
      </c>
      <c r="F4163" s="3" t="s">
        <v>40170</v>
      </c>
      <c r="G4163" s="3" t="s">
        <v>61</v>
      </c>
      <c r="I4163" s="3" t="s">
        <v>62</v>
      </c>
      <c r="J4163" s="3" t="s">
        <v>62</v>
      </c>
      <c r="K4163" s="3" t="s">
        <v>63</v>
      </c>
      <c r="M4163" s="2" t="s">
        <v>40171</v>
      </c>
      <c r="N4163" s="3" t="s">
        <v>954</v>
      </c>
      <c r="P4163" s="3" t="s">
        <v>64</v>
      </c>
      <c r="R4163" s="3" t="s">
        <v>34126</v>
      </c>
      <c r="S4163" s="4">
        <v>0</v>
      </c>
      <c r="T4163" s="4">
        <v>1</v>
      </c>
      <c r="V4163" s="5" t="s">
        <v>8580</v>
      </c>
      <c r="W4163" s="5" t="s">
        <v>67</v>
      </c>
      <c r="X4163" s="5" t="s">
        <v>67</v>
      </c>
      <c r="Y4163" s="4">
        <v>61</v>
      </c>
      <c r="Z4163" s="4">
        <v>6</v>
      </c>
      <c r="AA4163" s="4">
        <v>8</v>
      </c>
      <c r="AB4163" s="4">
        <v>2</v>
      </c>
      <c r="AC4163" s="4">
        <v>2</v>
      </c>
      <c r="AD4163" s="4">
        <v>16</v>
      </c>
      <c r="AE4163" s="4">
        <v>16</v>
      </c>
      <c r="AF4163" s="4">
        <v>0</v>
      </c>
      <c r="AG4163" s="4">
        <v>0</v>
      </c>
      <c r="AH4163" s="4">
        <v>13</v>
      </c>
      <c r="AI4163" s="4">
        <v>13</v>
      </c>
      <c r="AJ4163" s="4">
        <v>2</v>
      </c>
      <c r="AK4163" s="4">
        <v>2</v>
      </c>
      <c r="AL4163" s="4">
        <v>6</v>
      </c>
      <c r="AM4163" s="4">
        <v>6</v>
      </c>
      <c r="AN4163" s="4">
        <v>0</v>
      </c>
      <c r="AO4163" s="4">
        <v>0</v>
      </c>
      <c r="AP4163" s="4">
        <v>4</v>
      </c>
      <c r="AQ4163" s="4">
        <v>4</v>
      </c>
      <c r="AR4163" s="3" t="s">
        <v>62</v>
      </c>
      <c r="AS4163" s="3" t="s">
        <v>62</v>
      </c>
      <c r="AT4163" s="3" t="s">
        <v>62</v>
      </c>
      <c r="AV4163" s="6" t="str">
        <f t="shared" ref="AV4163:AV4168" si="66">HYPERLINK("http://mcgill.on.worldcat.org/oclc/5623697","Catalog Record")</f>
        <v>Catalog Record</v>
      </c>
      <c r="AW4163" s="6" t="str">
        <f t="shared" ref="AW4163:AW4168" si="67">HYPERLINK("http://www.worldcat.org/oclc/5623697","WorldCat Record")</f>
        <v>WorldCat Record</v>
      </c>
      <c r="AX4163" s="3" t="s">
        <v>40172</v>
      </c>
      <c r="AY4163" s="3" t="s">
        <v>40173</v>
      </c>
      <c r="AZ4163" s="3" t="s">
        <v>40174</v>
      </c>
      <c r="BA4163" s="3" t="s">
        <v>40174</v>
      </c>
      <c r="BB4163" s="3" t="s">
        <v>40175</v>
      </c>
      <c r="BC4163" s="3" t="s">
        <v>40176</v>
      </c>
      <c r="BD4163" s="3" t="s">
        <v>68</v>
      </c>
      <c r="BF4163" s="3" t="s">
        <v>40175</v>
      </c>
      <c r="BG4163" s="3" t="s">
        <v>40177</v>
      </c>
    </row>
    <row r="4164" spans="1:59" ht="58" x14ac:dyDescent="0.35">
      <c r="A4164" s="2" t="s">
        <v>59</v>
      </c>
      <c r="B4164" s="2" t="s">
        <v>60</v>
      </c>
      <c r="C4164" s="2" t="s">
        <v>40167</v>
      </c>
      <c r="D4164" s="2" t="s">
        <v>40168</v>
      </c>
      <c r="E4164" s="2" t="s">
        <v>40169</v>
      </c>
      <c r="F4164" s="3" t="s">
        <v>40178</v>
      </c>
      <c r="G4164" s="3" t="s">
        <v>61</v>
      </c>
      <c r="I4164" s="3" t="s">
        <v>62</v>
      </c>
      <c r="J4164" s="3" t="s">
        <v>62</v>
      </c>
      <c r="K4164" s="3" t="s">
        <v>63</v>
      </c>
      <c r="M4164" s="2" t="s">
        <v>40171</v>
      </c>
      <c r="N4164" s="3" t="s">
        <v>954</v>
      </c>
      <c r="P4164" s="3" t="s">
        <v>64</v>
      </c>
      <c r="R4164" s="3" t="s">
        <v>34126</v>
      </c>
      <c r="S4164" s="4">
        <v>0</v>
      </c>
      <c r="T4164" s="4">
        <v>1</v>
      </c>
      <c r="V4164" s="5" t="s">
        <v>8580</v>
      </c>
      <c r="W4164" s="5" t="s">
        <v>67</v>
      </c>
      <c r="X4164" s="5" t="s">
        <v>67</v>
      </c>
      <c r="Y4164" s="4">
        <v>61</v>
      </c>
      <c r="Z4164" s="4">
        <v>6</v>
      </c>
      <c r="AA4164" s="4">
        <v>8</v>
      </c>
      <c r="AB4164" s="4">
        <v>2</v>
      </c>
      <c r="AC4164" s="4">
        <v>2</v>
      </c>
      <c r="AD4164" s="4">
        <v>16</v>
      </c>
      <c r="AE4164" s="4">
        <v>16</v>
      </c>
      <c r="AF4164" s="4">
        <v>0</v>
      </c>
      <c r="AG4164" s="4">
        <v>0</v>
      </c>
      <c r="AH4164" s="4">
        <v>13</v>
      </c>
      <c r="AI4164" s="4">
        <v>13</v>
      </c>
      <c r="AJ4164" s="4">
        <v>2</v>
      </c>
      <c r="AK4164" s="4">
        <v>2</v>
      </c>
      <c r="AL4164" s="4">
        <v>6</v>
      </c>
      <c r="AM4164" s="4">
        <v>6</v>
      </c>
      <c r="AN4164" s="4">
        <v>0</v>
      </c>
      <c r="AO4164" s="4">
        <v>0</v>
      </c>
      <c r="AP4164" s="4">
        <v>4</v>
      </c>
      <c r="AQ4164" s="4">
        <v>4</v>
      </c>
      <c r="AR4164" s="3" t="s">
        <v>62</v>
      </c>
      <c r="AS4164" s="3" t="s">
        <v>62</v>
      </c>
      <c r="AT4164" s="3" t="s">
        <v>62</v>
      </c>
      <c r="AV4164" s="6" t="str">
        <f t="shared" si="66"/>
        <v>Catalog Record</v>
      </c>
      <c r="AW4164" s="6" t="str">
        <f t="shared" si="67"/>
        <v>WorldCat Record</v>
      </c>
      <c r="AX4164" s="3" t="s">
        <v>40172</v>
      </c>
      <c r="AY4164" s="3" t="s">
        <v>40173</v>
      </c>
      <c r="AZ4164" s="3" t="s">
        <v>40174</v>
      </c>
      <c r="BA4164" s="3" t="s">
        <v>40174</v>
      </c>
      <c r="BB4164" s="3" t="s">
        <v>40179</v>
      </c>
      <c r="BC4164" s="3" t="s">
        <v>40176</v>
      </c>
      <c r="BD4164" s="3" t="s">
        <v>68</v>
      </c>
      <c r="BF4164" s="3" t="s">
        <v>40179</v>
      </c>
      <c r="BG4164" s="3" t="s">
        <v>40180</v>
      </c>
    </row>
    <row r="4165" spans="1:59" ht="58" x14ac:dyDescent="0.35">
      <c r="A4165" s="2" t="s">
        <v>59</v>
      </c>
      <c r="B4165" s="2" t="s">
        <v>60</v>
      </c>
      <c r="C4165" s="2" t="s">
        <v>40167</v>
      </c>
      <c r="D4165" s="2" t="s">
        <v>40168</v>
      </c>
      <c r="E4165" s="2" t="s">
        <v>40169</v>
      </c>
      <c r="F4165" s="3" t="s">
        <v>40181</v>
      </c>
      <c r="G4165" s="3" t="s">
        <v>61</v>
      </c>
      <c r="I4165" s="3" t="s">
        <v>62</v>
      </c>
      <c r="J4165" s="3" t="s">
        <v>62</v>
      </c>
      <c r="K4165" s="3" t="s">
        <v>63</v>
      </c>
      <c r="M4165" s="2" t="s">
        <v>40171</v>
      </c>
      <c r="N4165" s="3" t="s">
        <v>954</v>
      </c>
      <c r="P4165" s="3" t="s">
        <v>64</v>
      </c>
      <c r="R4165" s="3" t="s">
        <v>34126</v>
      </c>
      <c r="S4165" s="4">
        <v>0</v>
      </c>
      <c r="T4165" s="4">
        <v>1</v>
      </c>
      <c r="V4165" s="5" t="s">
        <v>8580</v>
      </c>
      <c r="W4165" s="5" t="s">
        <v>67</v>
      </c>
      <c r="X4165" s="5" t="s">
        <v>67</v>
      </c>
      <c r="Y4165" s="4">
        <v>61</v>
      </c>
      <c r="Z4165" s="4">
        <v>6</v>
      </c>
      <c r="AA4165" s="4">
        <v>8</v>
      </c>
      <c r="AB4165" s="4">
        <v>2</v>
      </c>
      <c r="AC4165" s="4">
        <v>2</v>
      </c>
      <c r="AD4165" s="4">
        <v>16</v>
      </c>
      <c r="AE4165" s="4">
        <v>16</v>
      </c>
      <c r="AF4165" s="4">
        <v>0</v>
      </c>
      <c r="AG4165" s="4">
        <v>0</v>
      </c>
      <c r="AH4165" s="4">
        <v>13</v>
      </c>
      <c r="AI4165" s="4">
        <v>13</v>
      </c>
      <c r="AJ4165" s="4">
        <v>2</v>
      </c>
      <c r="AK4165" s="4">
        <v>2</v>
      </c>
      <c r="AL4165" s="4">
        <v>6</v>
      </c>
      <c r="AM4165" s="4">
        <v>6</v>
      </c>
      <c r="AN4165" s="4">
        <v>0</v>
      </c>
      <c r="AO4165" s="4">
        <v>0</v>
      </c>
      <c r="AP4165" s="4">
        <v>4</v>
      </c>
      <c r="AQ4165" s="4">
        <v>4</v>
      </c>
      <c r="AR4165" s="3" t="s">
        <v>62</v>
      </c>
      <c r="AS4165" s="3" t="s">
        <v>62</v>
      </c>
      <c r="AT4165" s="3" t="s">
        <v>62</v>
      </c>
      <c r="AV4165" s="6" t="str">
        <f t="shared" si="66"/>
        <v>Catalog Record</v>
      </c>
      <c r="AW4165" s="6" t="str">
        <f t="shared" si="67"/>
        <v>WorldCat Record</v>
      </c>
      <c r="AX4165" s="3" t="s">
        <v>40172</v>
      </c>
      <c r="AY4165" s="3" t="s">
        <v>40173</v>
      </c>
      <c r="AZ4165" s="3" t="s">
        <v>40174</v>
      </c>
      <c r="BA4165" s="3" t="s">
        <v>40174</v>
      </c>
      <c r="BB4165" s="3" t="s">
        <v>40182</v>
      </c>
      <c r="BC4165" s="3" t="s">
        <v>40176</v>
      </c>
      <c r="BD4165" s="3" t="s">
        <v>68</v>
      </c>
      <c r="BF4165" s="3" t="s">
        <v>40182</v>
      </c>
      <c r="BG4165" s="3" t="s">
        <v>40183</v>
      </c>
    </row>
    <row r="4166" spans="1:59" ht="58" x14ac:dyDescent="0.35">
      <c r="A4166" s="2" t="s">
        <v>59</v>
      </c>
      <c r="B4166" s="2" t="s">
        <v>60</v>
      </c>
      <c r="C4166" s="2" t="s">
        <v>40167</v>
      </c>
      <c r="D4166" s="2" t="s">
        <v>40168</v>
      </c>
      <c r="E4166" s="2" t="s">
        <v>40169</v>
      </c>
      <c r="F4166" s="3" t="s">
        <v>40184</v>
      </c>
      <c r="G4166" s="3" t="s">
        <v>61</v>
      </c>
      <c r="I4166" s="3" t="s">
        <v>62</v>
      </c>
      <c r="J4166" s="3" t="s">
        <v>62</v>
      </c>
      <c r="K4166" s="3" t="s">
        <v>63</v>
      </c>
      <c r="M4166" s="2" t="s">
        <v>40171</v>
      </c>
      <c r="N4166" s="3" t="s">
        <v>954</v>
      </c>
      <c r="P4166" s="3" t="s">
        <v>64</v>
      </c>
      <c r="R4166" s="3" t="s">
        <v>34126</v>
      </c>
      <c r="S4166" s="4">
        <v>0</v>
      </c>
      <c r="T4166" s="4">
        <v>1</v>
      </c>
      <c r="V4166" s="5" t="s">
        <v>8580</v>
      </c>
      <c r="W4166" s="5" t="s">
        <v>67</v>
      </c>
      <c r="X4166" s="5" t="s">
        <v>67</v>
      </c>
      <c r="Y4166" s="4">
        <v>61</v>
      </c>
      <c r="Z4166" s="4">
        <v>6</v>
      </c>
      <c r="AA4166" s="4">
        <v>8</v>
      </c>
      <c r="AB4166" s="4">
        <v>2</v>
      </c>
      <c r="AC4166" s="4">
        <v>2</v>
      </c>
      <c r="AD4166" s="4">
        <v>16</v>
      </c>
      <c r="AE4166" s="4">
        <v>16</v>
      </c>
      <c r="AF4166" s="4">
        <v>0</v>
      </c>
      <c r="AG4166" s="4">
        <v>0</v>
      </c>
      <c r="AH4166" s="4">
        <v>13</v>
      </c>
      <c r="AI4166" s="4">
        <v>13</v>
      </c>
      <c r="AJ4166" s="4">
        <v>2</v>
      </c>
      <c r="AK4166" s="4">
        <v>2</v>
      </c>
      <c r="AL4166" s="4">
        <v>6</v>
      </c>
      <c r="AM4166" s="4">
        <v>6</v>
      </c>
      <c r="AN4166" s="4">
        <v>0</v>
      </c>
      <c r="AO4166" s="4">
        <v>0</v>
      </c>
      <c r="AP4166" s="4">
        <v>4</v>
      </c>
      <c r="AQ4166" s="4">
        <v>4</v>
      </c>
      <c r="AR4166" s="3" t="s">
        <v>62</v>
      </c>
      <c r="AS4166" s="3" t="s">
        <v>62</v>
      </c>
      <c r="AT4166" s="3" t="s">
        <v>62</v>
      </c>
      <c r="AV4166" s="6" t="str">
        <f t="shared" si="66"/>
        <v>Catalog Record</v>
      </c>
      <c r="AW4166" s="6" t="str">
        <f t="shared" si="67"/>
        <v>WorldCat Record</v>
      </c>
      <c r="AX4166" s="3" t="s">
        <v>40172</v>
      </c>
      <c r="AY4166" s="3" t="s">
        <v>40173</v>
      </c>
      <c r="AZ4166" s="3" t="s">
        <v>40174</v>
      </c>
      <c r="BA4166" s="3" t="s">
        <v>40174</v>
      </c>
      <c r="BB4166" s="3" t="s">
        <v>40185</v>
      </c>
      <c r="BC4166" s="3" t="s">
        <v>40176</v>
      </c>
      <c r="BD4166" s="3" t="s">
        <v>68</v>
      </c>
      <c r="BF4166" s="3" t="s">
        <v>40185</v>
      </c>
      <c r="BG4166" s="3" t="s">
        <v>40186</v>
      </c>
    </row>
    <row r="4167" spans="1:59" ht="58" x14ac:dyDescent="0.35">
      <c r="A4167" s="2" t="s">
        <v>59</v>
      </c>
      <c r="B4167" s="2" t="s">
        <v>60</v>
      </c>
      <c r="C4167" s="2" t="s">
        <v>40167</v>
      </c>
      <c r="D4167" s="2" t="s">
        <v>40168</v>
      </c>
      <c r="E4167" s="2" t="s">
        <v>40169</v>
      </c>
      <c r="F4167" s="3" t="s">
        <v>40187</v>
      </c>
      <c r="G4167" s="3" t="s">
        <v>61</v>
      </c>
      <c r="I4167" s="3" t="s">
        <v>62</v>
      </c>
      <c r="J4167" s="3" t="s">
        <v>62</v>
      </c>
      <c r="K4167" s="3" t="s">
        <v>63</v>
      </c>
      <c r="M4167" s="2" t="s">
        <v>40171</v>
      </c>
      <c r="N4167" s="3" t="s">
        <v>954</v>
      </c>
      <c r="P4167" s="3" t="s">
        <v>64</v>
      </c>
      <c r="R4167" s="3" t="s">
        <v>34126</v>
      </c>
      <c r="S4167" s="4">
        <v>0</v>
      </c>
      <c r="T4167" s="4">
        <v>1</v>
      </c>
      <c r="V4167" s="5" t="s">
        <v>8580</v>
      </c>
      <c r="W4167" s="5" t="s">
        <v>67</v>
      </c>
      <c r="X4167" s="5" t="s">
        <v>67</v>
      </c>
      <c r="Y4167" s="4">
        <v>61</v>
      </c>
      <c r="Z4167" s="4">
        <v>6</v>
      </c>
      <c r="AA4167" s="4">
        <v>8</v>
      </c>
      <c r="AB4167" s="4">
        <v>2</v>
      </c>
      <c r="AC4167" s="4">
        <v>2</v>
      </c>
      <c r="AD4167" s="4">
        <v>16</v>
      </c>
      <c r="AE4167" s="4">
        <v>16</v>
      </c>
      <c r="AF4167" s="4">
        <v>0</v>
      </c>
      <c r="AG4167" s="4">
        <v>0</v>
      </c>
      <c r="AH4167" s="4">
        <v>13</v>
      </c>
      <c r="AI4167" s="4">
        <v>13</v>
      </c>
      <c r="AJ4167" s="4">
        <v>2</v>
      </c>
      <c r="AK4167" s="4">
        <v>2</v>
      </c>
      <c r="AL4167" s="4">
        <v>6</v>
      </c>
      <c r="AM4167" s="4">
        <v>6</v>
      </c>
      <c r="AN4167" s="4">
        <v>0</v>
      </c>
      <c r="AO4167" s="4">
        <v>0</v>
      </c>
      <c r="AP4167" s="4">
        <v>4</v>
      </c>
      <c r="AQ4167" s="4">
        <v>4</v>
      </c>
      <c r="AR4167" s="3" t="s">
        <v>62</v>
      </c>
      <c r="AS4167" s="3" t="s">
        <v>62</v>
      </c>
      <c r="AT4167" s="3" t="s">
        <v>62</v>
      </c>
      <c r="AV4167" s="6" t="str">
        <f t="shared" si="66"/>
        <v>Catalog Record</v>
      </c>
      <c r="AW4167" s="6" t="str">
        <f t="shared" si="67"/>
        <v>WorldCat Record</v>
      </c>
      <c r="AX4167" s="3" t="s">
        <v>40172</v>
      </c>
      <c r="AY4167" s="3" t="s">
        <v>40173</v>
      </c>
      <c r="AZ4167" s="3" t="s">
        <v>40174</v>
      </c>
      <c r="BA4167" s="3" t="s">
        <v>40174</v>
      </c>
      <c r="BB4167" s="3" t="s">
        <v>40188</v>
      </c>
      <c r="BC4167" s="3" t="s">
        <v>40176</v>
      </c>
      <c r="BD4167" s="3" t="s">
        <v>68</v>
      </c>
      <c r="BF4167" s="3" t="s">
        <v>40188</v>
      </c>
      <c r="BG4167" s="3" t="s">
        <v>40189</v>
      </c>
    </row>
    <row r="4168" spans="1:59" ht="58" x14ac:dyDescent="0.35">
      <c r="A4168" s="2" t="s">
        <v>59</v>
      </c>
      <c r="B4168" s="2" t="s">
        <v>60</v>
      </c>
      <c r="C4168" s="2" t="s">
        <v>40167</v>
      </c>
      <c r="D4168" s="2" t="s">
        <v>40168</v>
      </c>
      <c r="E4168" s="2" t="s">
        <v>40169</v>
      </c>
      <c r="F4168" s="3" t="s">
        <v>40190</v>
      </c>
      <c r="G4168" s="3" t="s">
        <v>61</v>
      </c>
      <c r="I4168" s="3" t="s">
        <v>62</v>
      </c>
      <c r="J4168" s="3" t="s">
        <v>62</v>
      </c>
      <c r="K4168" s="3" t="s">
        <v>63</v>
      </c>
      <c r="M4168" s="2" t="s">
        <v>40171</v>
      </c>
      <c r="N4168" s="3" t="s">
        <v>954</v>
      </c>
      <c r="P4168" s="3" t="s">
        <v>64</v>
      </c>
      <c r="R4168" s="3" t="s">
        <v>34126</v>
      </c>
      <c r="S4168" s="4">
        <v>1</v>
      </c>
      <c r="T4168" s="4">
        <v>1</v>
      </c>
      <c r="U4168" s="5" t="s">
        <v>8580</v>
      </c>
      <c r="V4168" s="5" t="s">
        <v>8580</v>
      </c>
      <c r="W4168" s="5" t="s">
        <v>67</v>
      </c>
      <c r="X4168" s="5" t="s">
        <v>67</v>
      </c>
      <c r="Y4168" s="4">
        <v>61</v>
      </c>
      <c r="Z4168" s="4">
        <v>6</v>
      </c>
      <c r="AA4168" s="4">
        <v>8</v>
      </c>
      <c r="AB4168" s="4">
        <v>2</v>
      </c>
      <c r="AC4168" s="4">
        <v>2</v>
      </c>
      <c r="AD4168" s="4">
        <v>16</v>
      </c>
      <c r="AE4168" s="4">
        <v>16</v>
      </c>
      <c r="AF4168" s="4">
        <v>0</v>
      </c>
      <c r="AG4168" s="4">
        <v>0</v>
      </c>
      <c r="AH4168" s="4">
        <v>13</v>
      </c>
      <c r="AI4168" s="4">
        <v>13</v>
      </c>
      <c r="AJ4168" s="4">
        <v>2</v>
      </c>
      <c r="AK4168" s="4">
        <v>2</v>
      </c>
      <c r="AL4168" s="4">
        <v>6</v>
      </c>
      <c r="AM4168" s="4">
        <v>6</v>
      </c>
      <c r="AN4168" s="4">
        <v>0</v>
      </c>
      <c r="AO4168" s="4">
        <v>0</v>
      </c>
      <c r="AP4168" s="4">
        <v>4</v>
      </c>
      <c r="AQ4168" s="4">
        <v>4</v>
      </c>
      <c r="AR4168" s="3" t="s">
        <v>62</v>
      </c>
      <c r="AS4168" s="3" t="s">
        <v>62</v>
      </c>
      <c r="AT4168" s="3" t="s">
        <v>62</v>
      </c>
      <c r="AV4168" s="6" t="str">
        <f t="shared" si="66"/>
        <v>Catalog Record</v>
      </c>
      <c r="AW4168" s="6" t="str">
        <f t="shared" si="67"/>
        <v>WorldCat Record</v>
      </c>
      <c r="AX4168" s="3" t="s">
        <v>40172</v>
      </c>
      <c r="AY4168" s="3" t="s">
        <v>40173</v>
      </c>
      <c r="AZ4168" s="3" t="s">
        <v>40174</v>
      </c>
      <c r="BA4168" s="3" t="s">
        <v>40174</v>
      </c>
      <c r="BB4168" s="3" t="s">
        <v>40191</v>
      </c>
      <c r="BC4168" s="3" t="s">
        <v>40176</v>
      </c>
      <c r="BD4168" s="3" t="s">
        <v>68</v>
      </c>
      <c r="BF4168" s="3" t="s">
        <v>40191</v>
      </c>
      <c r="BG4168" s="3" t="s">
        <v>40192</v>
      </c>
    </row>
    <row r="4169" spans="1:59" ht="58" x14ac:dyDescent="0.35">
      <c r="A4169" s="2" t="s">
        <v>59</v>
      </c>
      <c r="B4169" s="2" t="s">
        <v>60</v>
      </c>
      <c r="C4169" s="2" t="s">
        <v>40193</v>
      </c>
      <c r="D4169" s="2" t="s">
        <v>40194</v>
      </c>
      <c r="E4169" s="2" t="s">
        <v>40195</v>
      </c>
      <c r="G4169" s="3" t="s">
        <v>62</v>
      </c>
      <c r="I4169" s="3" t="s">
        <v>61</v>
      </c>
      <c r="J4169" s="3" t="s">
        <v>61</v>
      </c>
      <c r="K4169" s="3" t="s">
        <v>63</v>
      </c>
      <c r="L4169" s="2" t="s">
        <v>40196</v>
      </c>
      <c r="M4169" s="2" t="s">
        <v>40197</v>
      </c>
      <c r="N4169" s="3" t="s">
        <v>1467</v>
      </c>
      <c r="P4169" s="3" t="s">
        <v>64</v>
      </c>
      <c r="Q4169" s="2" t="s">
        <v>40198</v>
      </c>
      <c r="R4169" s="3" t="s">
        <v>34126</v>
      </c>
      <c r="S4169" s="4">
        <v>0</v>
      </c>
      <c r="T4169" s="4">
        <v>8</v>
      </c>
      <c r="V4169" s="5" t="s">
        <v>203</v>
      </c>
      <c r="W4169" s="5" t="s">
        <v>67</v>
      </c>
      <c r="X4169" s="5" t="s">
        <v>67</v>
      </c>
      <c r="Y4169" s="4">
        <v>503</v>
      </c>
      <c r="Z4169" s="4">
        <v>25</v>
      </c>
      <c r="AA4169" s="4">
        <v>60</v>
      </c>
      <c r="AB4169" s="4">
        <v>2</v>
      </c>
      <c r="AC4169" s="4">
        <v>6</v>
      </c>
      <c r="AD4169" s="4">
        <v>96</v>
      </c>
      <c r="AE4169" s="4">
        <v>141</v>
      </c>
      <c r="AF4169" s="4">
        <v>0</v>
      </c>
      <c r="AG4169" s="4">
        <v>3</v>
      </c>
      <c r="AH4169" s="4">
        <v>85</v>
      </c>
      <c r="AI4169" s="4">
        <v>110</v>
      </c>
      <c r="AJ4169" s="4">
        <v>14</v>
      </c>
      <c r="AK4169" s="4">
        <v>25</v>
      </c>
      <c r="AL4169" s="4">
        <v>48</v>
      </c>
      <c r="AM4169" s="4">
        <v>58</v>
      </c>
      <c r="AN4169" s="4">
        <v>1</v>
      </c>
      <c r="AO4169" s="4">
        <v>1</v>
      </c>
      <c r="AP4169" s="4">
        <v>17</v>
      </c>
      <c r="AQ4169" s="4">
        <v>37</v>
      </c>
      <c r="AR4169" s="3" t="s">
        <v>62</v>
      </c>
      <c r="AS4169" s="3" t="s">
        <v>62</v>
      </c>
      <c r="AT4169" s="3" t="s">
        <v>61</v>
      </c>
      <c r="AU4169" s="6" t="str">
        <f>HYPERLINK("http://catalog.hathitrust.org/Record/001492931","HathiTrust Record")</f>
        <v>HathiTrust Record</v>
      </c>
      <c r="AV4169" s="6" t="str">
        <f>HYPERLINK("http://mcgill.on.worldcat.org/oclc/555406","Catalog Record")</f>
        <v>Catalog Record</v>
      </c>
      <c r="AW4169" s="6" t="str">
        <f>HYPERLINK("http://www.worldcat.org/oclc/555406","WorldCat Record")</f>
        <v>WorldCat Record</v>
      </c>
      <c r="AX4169" s="3" t="s">
        <v>40199</v>
      </c>
      <c r="AY4169" s="3" t="s">
        <v>40200</v>
      </c>
      <c r="AZ4169" s="3" t="s">
        <v>40201</v>
      </c>
      <c r="BA4169" s="3" t="s">
        <v>40201</v>
      </c>
      <c r="BB4169" s="3" t="s">
        <v>40202</v>
      </c>
      <c r="BC4169" s="3" t="s">
        <v>102</v>
      </c>
      <c r="BD4169" s="3" t="s">
        <v>68</v>
      </c>
      <c r="BE4169" s="3" t="s">
        <v>40203</v>
      </c>
      <c r="BF4169" s="3" t="s">
        <v>40202</v>
      </c>
      <c r="BG4169" s="3" t="s">
        <v>40204</v>
      </c>
    </row>
    <row r="4170" spans="1:59" ht="58" x14ac:dyDescent="0.35">
      <c r="A4170" s="2" t="s">
        <v>89</v>
      </c>
      <c r="B4170" s="2" t="s">
        <v>90</v>
      </c>
      <c r="C4170" s="2" t="s">
        <v>40193</v>
      </c>
      <c r="D4170" s="2" t="s">
        <v>40194</v>
      </c>
      <c r="E4170" s="2" t="s">
        <v>40195</v>
      </c>
      <c r="G4170" s="3" t="s">
        <v>62</v>
      </c>
      <c r="I4170" s="3" t="s">
        <v>61</v>
      </c>
      <c r="J4170" s="3" t="s">
        <v>61</v>
      </c>
      <c r="K4170" s="3" t="s">
        <v>63</v>
      </c>
      <c r="L4170" s="2" t="s">
        <v>40196</v>
      </c>
      <c r="M4170" s="2" t="s">
        <v>40197</v>
      </c>
      <c r="N4170" s="3" t="s">
        <v>1467</v>
      </c>
      <c r="P4170" s="3" t="s">
        <v>64</v>
      </c>
      <c r="Q4170" s="2" t="s">
        <v>40198</v>
      </c>
      <c r="R4170" s="3" t="s">
        <v>34126</v>
      </c>
      <c r="S4170" s="4">
        <v>8</v>
      </c>
      <c r="T4170" s="4">
        <v>8</v>
      </c>
      <c r="U4170" s="5" t="s">
        <v>203</v>
      </c>
      <c r="V4170" s="5" t="s">
        <v>203</v>
      </c>
      <c r="W4170" s="5" t="s">
        <v>67</v>
      </c>
      <c r="X4170" s="5" t="s">
        <v>67</v>
      </c>
      <c r="Y4170" s="4">
        <v>503</v>
      </c>
      <c r="Z4170" s="4">
        <v>25</v>
      </c>
      <c r="AA4170" s="4">
        <v>60</v>
      </c>
      <c r="AB4170" s="4">
        <v>2</v>
      </c>
      <c r="AC4170" s="4">
        <v>6</v>
      </c>
      <c r="AD4170" s="4">
        <v>96</v>
      </c>
      <c r="AE4170" s="4">
        <v>141</v>
      </c>
      <c r="AF4170" s="4">
        <v>0</v>
      </c>
      <c r="AG4170" s="4">
        <v>3</v>
      </c>
      <c r="AH4170" s="4">
        <v>85</v>
      </c>
      <c r="AI4170" s="4">
        <v>110</v>
      </c>
      <c r="AJ4170" s="4">
        <v>14</v>
      </c>
      <c r="AK4170" s="4">
        <v>25</v>
      </c>
      <c r="AL4170" s="4">
        <v>48</v>
      </c>
      <c r="AM4170" s="4">
        <v>58</v>
      </c>
      <c r="AN4170" s="4">
        <v>1</v>
      </c>
      <c r="AO4170" s="4">
        <v>1</v>
      </c>
      <c r="AP4170" s="4">
        <v>17</v>
      </c>
      <c r="AQ4170" s="4">
        <v>37</v>
      </c>
      <c r="AR4170" s="3" t="s">
        <v>62</v>
      </c>
      <c r="AS4170" s="3" t="s">
        <v>62</v>
      </c>
      <c r="AT4170" s="3" t="s">
        <v>61</v>
      </c>
      <c r="AU4170" s="6" t="str">
        <f>HYPERLINK("http://catalog.hathitrust.org/Record/001492931","HathiTrust Record")</f>
        <v>HathiTrust Record</v>
      </c>
      <c r="AV4170" s="6" t="str">
        <f>HYPERLINK("http://mcgill.on.worldcat.org/oclc/555406","Catalog Record")</f>
        <v>Catalog Record</v>
      </c>
      <c r="AW4170" s="6" t="str">
        <f>HYPERLINK("http://www.worldcat.org/oclc/555406","WorldCat Record")</f>
        <v>WorldCat Record</v>
      </c>
      <c r="AX4170" s="3" t="s">
        <v>40199</v>
      </c>
      <c r="AY4170" s="3" t="s">
        <v>40200</v>
      </c>
      <c r="AZ4170" s="3" t="s">
        <v>40201</v>
      </c>
      <c r="BA4170" s="3" t="s">
        <v>40201</v>
      </c>
      <c r="BB4170" s="3" t="s">
        <v>40205</v>
      </c>
      <c r="BC4170" s="3" t="s">
        <v>102</v>
      </c>
      <c r="BD4170" s="3" t="s">
        <v>68</v>
      </c>
      <c r="BE4170" s="3" t="s">
        <v>40203</v>
      </c>
      <c r="BF4170" s="3" t="s">
        <v>40205</v>
      </c>
      <c r="BG4170" s="3" t="s">
        <v>40206</v>
      </c>
    </row>
    <row r="4171" spans="1:59" ht="58" x14ac:dyDescent="0.35">
      <c r="A4171" s="2" t="s">
        <v>59</v>
      </c>
      <c r="B4171" s="2" t="s">
        <v>60</v>
      </c>
      <c r="C4171" s="2" t="s">
        <v>40207</v>
      </c>
      <c r="D4171" s="2" t="s">
        <v>40208</v>
      </c>
      <c r="E4171" s="2" t="s">
        <v>40209</v>
      </c>
      <c r="G4171" s="3" t="s">
        <v>62</v>
      </c>
      <c r="I4171" s="3" t="s">
        <v>62</v>
      </c>
      <c r="J4171" s="3" t="s">
        <v>62</v>
      </c>
      <c r="K4171" s="3" t="s">
        <v>63</v>
      </c>
      <c r="L4171" s="2" t="s">
        <v>40210</v>
      </c>
      <c r="M4171" s="2" t="s">
        <v>40211</v>
      </c>
      <c r="N4171" s="3" t="s">
        <v>1639</v>
      </c>
      <c r="P4171" s="3" t="s">
        <v>64</v>
      </c>
      <c r="R4171" s="3" t="s">
        <v>34126</v>
      </c>
      <c r="S4171" s="4">
        <v>3</v>
      </c>
      <c r="T4171" s="4">
        <v>3</v>
      </c>
      <c r="U4171" s="5" t="s">
        <v>40212</v>
      </c>
      <c r="V4171" s="5" t="s">
        <v>40212</v>
      </c>
      <c r="W4171" s="5" t="s">
        <v>67</v>
      </c>
      <c r="X4171" s="5" t="s">
        <v>67</v>
      </c>
      <c r="Y4171" s="4">
        <v>306</v>
      </c>
      <c r="Z4171" s="4">
        <v>17</v>
      </c>
      <c r="AA4171" s="4">
        <v>22</v>
      </c>
      <c r="AB4171" s="4">
        <v>3</v>
      </c>
      <c r="AC4171" s="4">
        <v>5</v>
      </c>
      <c r="AD4171" s="4">
        <v>87</v>
      </c>
      <c r="AE4171" s="4">
        <v>90</v>
      </c>
      <c r="AF4171" s="4">
        <v>1</v>
      </c>
      <c r="AG4171" s="4">
        <v>2</v>
      </c>
      <c r="AH4171" s="4">
        <v>75</v>
      </c>
      <c r="AI4171" s="4">
        <v>77</v>
      </c>
      <c r="AJ4171" s="4">
        <v>14</v>
      </c>
      <c r="AK4171" s="4">
        <v>17</v>
      </c>
      <c r="AL4171" s="4">
        <v>45</v>
      </c>
      <c r="AM4171" s="4">
        <v>46</v>
      </c>
      <c r="AN4171" s="4">
        <v>0</v>
      </c>
      <c r="AO4171" s="4">
        <v>0</v>
      </c>
      <c r="AP4171" s="4">
        <v>14</v>
      </c>
      <c r="AQ4171" s="4">
        <v>17</v>
      </c>
      <c r="AR4171" s="3" t="s">
        <v>62</v>
      </c>
      <c r="AS4171" s="3" t="s">
        <v>62</v>
      </c>
      <c r="AT4171" s="3" t="s">
        <v>61</v>
      </c>
      <c r="AU4171" s="6" t="str">
        <f>HYPERLINK("http://catalog.hathitrust.org/Record/001493176","HathiTrust Record")</f>
        <v>HathiTrust Record</v>
      </c>
      <c r="AV4171" s="6" t="str">
        <f>HYPERLINK("http://mcgill.on.worldcat.org/oclc/93846","Catalog Record")</f>
        <v>Catalog Record</v>
      </c>
      <c r="AW4171" s="6" t="str">
        <f>HYPERLINK("http://www.worldcat.org/oclc/93846","WorldCat Record")</f>
        <v>WorldCat Record</v>
      </c>
      <c r="AX4171" s="3" t="s">
        <v>40213</v>
      </c>
      <c r="AY4171" s="3" t="s">
        <v>40214</v>
      </c>
      <c r="AZ4171" s="3" t="s">
        <v>40215</v>
      </c>
      <c r="BA4171" s="3" t="s">
        <v>40215</v>
      </c>
      <c r="BB4171" s="3" t="s">
        <v>40216</v>
      </c>
      <c r="BC4171" s="3" t="s">
        <v>102</v>
      </c>
      <c r="BD4171" s="3" t="s">
        <v>68</v>
      </c>
      <c r="BF4171" s="3" t="s">
        <v>40216</v>
      </c>
      <c r="BG4171" s="3" t="s">
        <v>40217</v>
      </c>
    </row>
    <row r="4172" spans="1:59" ht="58" x14ac:dyDescent="0.35">
      <c r="A4172" s="2" t="s">
        <v>59</v>
      </c>
      <c r="B4172" s="2" t="s">
        <v>60</v>
      </c>
      <c r="C4172" s="2" t="s">
        <v>40218</v>
      </c>
      <c r="D4172" s="2" t="s">
        <v>40219</v>
      </c>
      <c r="E4172" s="2" t="s">
        <v>40220</v>
      </c>
      <c r="G4172" s="3" t="s">
        <v>62</v>
      </c>
      <c r="I4172" s="3" t="s">
        <v>61</v>
      </c>
      <c r="J4172" s="3" t="s">
        <v>62</v>
      </c>
      <c r="K4172" s="3" t="s">
        <v>63</v>
      </c>
      <c r="L4172" s="2" t="s">
        <v>40221</v>
      </c>
      <c r="M4172" s="2" t="s">
        <v>40222</v>
      </c>
      <c r="N4172" s="3" t="s">
        <v>201</v>
      </c>
      <c r="P4172" s="3" t="s">
        <v>64</v>
      </c>
      <c r="R4172" s="3" t="s">
        <v>34126</v>
      </c>
      <c r="S4172" s="4">
        <v>0</v>
      </c>
      <c r="T4172" s="4">
        <v>7</v>
      </c>
      <c r="V4172" s="5" t="s">
        <v>34953</v>
      </c>
      <c r="W4172" s="5" t="s">
        <v>67</v>
      </c>
      <c r="X4172" s="5" t="s">
        <v>67</v>
      </c>
      <c r="Y4172" s="4">
        <v>244</v>
      </c>
      <c r="Z4172" s="4">
        <v>16</v>
      </c>
      <c r="AA4172" s="4">
        <v>27</v>
      </c>
      <c r="AB4172" s="4">
        <v>1</v>
      </c>
      <c r="AC4172" s="4">
        <v>6</v>
      </c>
      <c r="AD4172" s="4">
        <v>68</v>
      </c>
      <c r="AE4172" s="4">
        <v>83</v>
      </c>
      <c r="AF4172" s="4">
        <v>0</v>
      </c>
      <c r="AG4172" s="4">
        <v>4</v>
      </c>
      <c r="AH4172" s="4">
        <v>61</v>
      </c>
      <c r="AI4172" s="4">
        <v>72</v>
      </c>
      <c r="AJ4172" s="4">
        <v>11</v>
      </c>
      <c r="AK4172" s="4">
        <v>17</v>
      </c>
      <c r="AL4172" s="4">
        <v>41</v>
      </c>
      <c r="AM4172" s="4">
        <v>44</v>
      </c>
      <c r="AN4172" s="4">
        <v>0</v>
      </c>
      <c r="AO4172" s="4">
        <v>0</v>
      </c>
      <c r="AP4172" s="4">
        <v>11</v>
      </c>
      <c r="AQ4172" s="4">
        <v>17</v>
      </c>
      <c r="AR4172" s="3" t="s">
        <v>62</v>
      </c>
      <c r="AS4172" s="3" t="s">
        <v>62</v>
      </c>
      <c r="AT4172" s="3" t="s">
        <v>62</v>
      </c>
      <c r="AV4172" s="6" t="str">
        <f>HYPERLINK("http://mcgill.on.worldcat.org/oclc/2294947","Catalog Record")</f>
        <v>Catalog Record</v>
      </c>
      <c r="AW4172" s="6" t="str">
        <f>HYPERLINK("http://www.worldcat.org/oclc/2294947","WorldCat Record")</f>
        <v>WorldCat Record</v>
      </c>
      <c r="AX4172" s="3" t="s">
        <v>40223</v>
      </c>
      <c r="AY4172" s="3" t="s">
        <v>40224</v>
      </c>
      <c r="AZ4172" s="3" t="s">
        <v>40225</v>
      </c>
      <c r="BA4172" s="3" t="s">
        <v>40225</v>
      </c>
      <c r="BB4172" s="3" t="s">
        <v>40226</v>
      </c>
      <c r="BC4172" s="3" t="s">
        <v>102</v>
      </c>
      <c r="BD4172" s="3" t="s">
        <v>68</v>
      </c>
      <c r="BE4172" s="3" t="s">
        <v>40227</v>
      </c>
      <c r="BF4172" s="3" t="s">
        <v>40226</v>
      </c>
      <c r="BG4172" s="3" t="s">
        <v>40228</v>
      </c>
    </row>
    <row r="4173" spans="1:59" ht="58" x14ac:dyDescent="0.35">
      <c r="A4173" s="2" t="s">
        <v>59</v>
      </c>
      <c r="B4173" s="2" t="s">
        <v>60</v>
      </c>
      <c r="C4173" s="2" t="s">
        <v>40229</v>
      </c>
      <c r="D4173" s="2" t="s">
        <v>40230</v>
      </c>
      <c r="E4173" s="2" t="s">
        <v>40231</v>
      </c>
      <c r="G4173" s="3" t="s">
        <v>62</v>
      </c>
      <c r="I4173" s="3" t="s">
        <v>62</v>
      </c>
      <c r="J4173" s="3" t="s">
        <v>61</v>
      </c>
      <c r="K4173" s="3" t="s">
        <v>63</v>
      </c>
      <c r="L4173" s="2" t="s">
        <v>40232</v>
      </c>
      <c r="M4173" s="2" t="s">
        <v>40233</v>
      </c>
      <c r="N4173" s="3" t="s">
        <v>1482</v>
      </c>
      <c r="P4173" s="3" t="s">
        <v>64</v>
      </c>
      <c r="Q4173" s="2" t="s">
        <v>40234</v>
      </c>
      <c r="R4173" s="3" t="s">
        <v>34126</v>
      </c>
      <c r="S4173" s="4">
        <v>10</v>
      </c>
      <c r="T4173" s="4">
        <v>10</v>
      </c>
      <c r="U4173" s="5" t="s">
        <v>21923</v>
      </c>
      <c r="V4173" s="5" t="s">
        <v>21923</v>
      </c>
      <c r="W4173" s="5" t="s">
        <v>67</v>
      </c>
      <c r="X4173" s="5" t="s">
        <v>67</v>
      </c>
      <c r="Y4173" s="4">
        <v>233</v>
      </c>
      <c r="Z4173" s="4">
        <v>25</v>
      </c>
      <c r="AA4173" s="4">
        <v>81</v>
      </c>
      <c r="AB4173" s="4">
        <v>1</v>
      </c>
      <c r="AC4173" s="4">
        <v>12</v>
      </c>
      <c r="AD4173" s="4">
        <v>63</v>
      </c>
      <c r="AE4173" s="4">
        <v>132</v>
      </c>
      <c r="AF4173" s="4">
        <v>0</v>
      </c>
      <c r="AG4173" s="4">
        <v>6</v>
      </c>
      <c r="AH4173" s="4">
        <v>52</v>
      </c>
      <c r="AI4173" s="4">
        <v>95</v>
      </c>
      <c r="AJ4173" s="4">
        <v>11</v>
      </c>
      <c r="AK4173" s="4">
        <v>23</v>
      </c>
      <c r="AL4173" s="4">
        <v>32</v>
      </c>
      <c r="AM4173" s="4">
        <v>53</v>
      </c>
      <c r="AN4173" s="4">
        <v>0</v>
      </c>
      <c r="AO4173" s="4">
        <v>0</v>
      </c>
      <c r="AP4173" s="4">
        <v>14</v>
      </c>
      <c r="AQ4173" s="4">
        <v>41</v>
      </c>
      <c r="AR4173" s="3" t="s">
        <v>62</v>
      </c>
      <c r="AS4173" s="3" t="s">
        <v>62</v>
      </c>
      <c r="AT4173" s="3" t="s">
        <v>62</v>
      </c>
      <c r="AV4173" s="6" t="str">
        <f>HYPERLINK("http://mcgill.on.worldcat.org/oclc/12946310","Catalog Record")</f>
        <v>Catalog Record</v>
      </c>
      <c r="AW4173" s="6" t="str">
        <f>HYPERLINK("http://www.worldcat.org/oclc/12946310","WorldCat Record")</f>
        <v>WorldCat Record</v>
      </c>
      <c r="AX4173" s="3" t="s">
        <v>40235</v>
      </c>
      <c r="AY4173" s="3" t="s">
        <v>40236</v>
      </c>
      <c r="AZ4173" s="3" t="s">
        <v>40237</v>
      </c>
      <c r="BA4173" s="3" t="s">
        <v>40237</v>
      </c>
      <c r="BB4173" s="3" t="s">
        <v>40238</v>
      </c>
      <c r="BC4173" s="3" t="s">
        <v>102</v>
      </c>
      <c r="BD4173" s="3" t="s">
        <v>68</v>
      </c>
      <c r="BE4173" s="3" t="s">
        <v>40239</v>
      </c>
      <c r="BF4173" s="3" t="s">
        <v>40238</v>
      </c>
      <c r="BG4173" s="3" t="s">
        <v>40240</v>
      </c>
    </row>
    <row r="4174" spans="1:59" ht="58" x14ac:dyDescent="0.35">
      <c r="A4174" s="2" t="s">
        <v>59</v>
      </c>
      <c r="B4174" s="2" t="s">
        <v>60</v>
      </c>
      <c r="C4174" s="2" t="s">
        <v>40241</v>
      </c>
      <c r="D4174" s="2" t="s">
        <v>40242</v>
      </c>
      <c r="E4174" s="2" t="s">
        <v>40243</v>
      </c>
      <c r="G4174" s="3" t="s">
        <v>62</v>
      </c>
      <c r="I4174" s="3" t="s">
        <v>61</v>
      </c>
      <c r="J4174" s="3" t="s">
        <v>61</v>
      </c>
      <c r="K4174" s="3" t="s">
        <v>63</v>
      </c>
      <c r="L4174" s="2" t="s">
        <v>40244</v>
      </c>
      <c r="M4174" s="2" t="s">
        <v>40245</v>
      </c>
      <c r="N4174" s="3" t="s">
        <v>1482</v>
      </c>
      <c r="P4174" s="3" t="s">
        <v>64</v>
      </c>
      <c r="R4174" s="3" t="s">
        <v>34126</v>
      </c>
      <c r="S4174" s="4">
        <v>0</v>
      </c>
      <c r="T4174" s="4">
        <v>42</v>
      </c>
      <c r="V4174" s="5" t="s">
        <v>20567</v>
      </c>
      <c r="W4174" s="5" t="s">
        <v>67</v>
      </c>
      <c r="X4174" s="5" t="s">
        <v>67</v>
      </c>
      <c r="Y4174" s="4">
        <v>620</v>
      </c>
      <c r="Z4174" s="4">
        <v>36</v>
      </c>
      <c r="AA4174" s="4">
        <v>114</v>
      </c>
      <c r="AB4174" s="4">
        <v>3</v>
      </c>
      <c r="AC4174" s="4">
        <v>24</v>
      </c>
      <c r="AD4174" s="4">
        <v>109</v>
      </c>
      <c r="AE4174" s="4">
        <v>169</v>
      </c>
      <c r="AF4174" s="4">
        <v>1</v>
      </c>
      <c r="AG4174" s="4">
        <v>8</v>
      </c>
      <c r="AH4174" s="4">
        <v>92</v>
      </c>
      <c r="AI4174" s="4">
        <v>117</v>
      </c>
      <c r="AJ4174" s="4">
        <v>18</v>
      </c>
      <c r="AK4174" s="4">
        <v>28</v>
      </c>
      <c r="AL4174" s="4">
        <v>51</v>
      </c>
      <c r="AM4174" s="4">
        <v>62</v>
      </c>
      <c r="AN4174" s="4">
        <v>0</v>
      </c>
      <c r="AO4174" s="4">
        <v>5</v>
      </c>
      <c r="AP4174" s="4">
        <v>24</v>
      </c>
      <c r="AQ4174" s="4">
        <v>57</v>
      </c>
      <c r="AR4174" s="3" t="s">
        <v>62</v>
      </c>
      <c r="AS4174" s="3" t="s">
        <v>62</v>
      </c>
      <c r="AT4174" s="3" t="s">
        <v>62</v>
      </c>
      <c r="AV4174" s="6" t="str">
        <f>HYPERLINK("http://mcgill.on.worldcat.org/oclc/13122556","Catalog Record")</f>
        <v>Catalog Record</v>
      </c>
      <c r="AW4174" s="6" t="str">
        <f>HYPERLINK("http://www.worldcat.org/oclc/13122556","WorldCat Record")</f>
        <v>WorldCat Record</v>
      </c>
      <c r="AX4174" s="3" t="s">
        <v>40246</v>
      </c>
      <c r="AY4174" s="3" t="s">
        <v>40247</v>
      </c>
      <c r="AZ4174" s="3" t="s">
        <v>40248</v>
      </c>
      <c r="BA4174" s="3" t="s">
        <v>40248</v>
      </c>
      <c r="BB4174" s="3" t="s">
        <v>40249</v>
      </c>
      <c r="BC4174" s="3" t="s">
        <v>102</v>
      </c>
      <c r="BD4174" s="3" t="s">
        <v>68</v>
      </c>
      <c r="BE4174" s="3" t="s">
        <v>40250</v>
      </c>
      <c r="BF4174" s="3" t="s">
        <v>40249</v>
      </c>
      <c r="BG4174" s="3" t="s">
        <v>40251</v>
      </c>
    </row>
    <row r="4175" spans="1:59" ht="58" x14ac:dyDescent="0.35">
      <c r="A4175" s="2" t="s">
        <v>59</v>
      </c>
      <c r="B4175" s="2" t="s">
        <v>60</v>
      </c>
      <c r="C4175" s="2" t="s">
        <v>40241</v>
      </c>
      <c r="D4175" s="2" t="s">
        <v>40242</v>
      </c>
      <c r="E4175" s="2" t="s">
        <v>40243</v>
      </c>
      <c r="G4175" s="3" t="s">
        <v>62</v>
      </c>
      <c r="I4175" s="3" t="s">
        <v>61</v>
      </c>
      <c r="J4175" s="3" t="s">
        <v>61</v>
      </c>
      <c r="K4175" s="3" t="s">
        <v>63</v>
      </c>
      <c r="L4175" s="2" t="s">
        <v>40244</v>
      </c>
      <c r="M4175" s="2" t="s">
        <v>40245</v>
      </c>
      <c r="N4175" s="3" t="s">
        <v>1482</v>
      </c>
      <c r="P4175" s="3" t="s">
        <v>64</v>
      </c>
      <c r="R4175" s="3" t="s">
        <v>34126</v>
      </c>
      <c r="S4175" s="4">
        <v>19</v>
      </c>
      <c r="T4175" s="4">
        <v>42</v>
      </c>
      <c r="U4175" s="5" t="s">
        <v>20567</v>
      </c>
      <c r="V4175" s="5" t="s">
        <v>20567</v>
      </c>
      <c r="W4175" s="5" t="s">
        <v>67</v>
      </c>
      <c r="X4175" s="5" t="s">
        <v>67</v>
      </c>
      <c r="Y4175" s="4">
        <v>620</v>
      </c>
      <c r="Z4175" s="4">
        <v>36</v>
      </c>
      <c r="AA4175" s="4">
        <v>114</v>
      </c>
      <c r="AB4175" s="4">
        <v>3</v>
      </c>
      <c r="AC4175" s="4">
        <v>24</v>
      </c>
      <c r="AD4175" s="4">
        <v>109</v>
      </c>
      <c r="AE4175" s="4">
        <v>169</v>
      </c>
      <c r="AF4175" s="4">
        <v>1</v>
      </c>
      <c r="AG4175" s="4">
        <v>8</v>
      </c>
      <c r="AH4175" s="4">
        <v>92</v>
      </c>
      <c r="AI4175" s="4">
        <v>117</v>
      </c>
      <c r="AJ4175" s="4">
        <v>18</v>
      </c>
      <c r="AK4175" s="4">
        <v>28</v>
      </c>
      <c r="AL4175" s="4">
        <v>51</v>
      </c>
      <c r="AM4175" s="4">
        <v>62</v>
      </c>
      <c r="AN4175" s="4">
        <v>0</v>
      </c>
      <c r="AO4175" s="4">
        <v>5</v>
      </c>
      <c r="AP4175" s="4">
        <v>24</v>
      </c>
      <c r="AQ4175" s="4">
        <v>57</v>
      </c>
      <c r="AR4175" s="3" t="s">
        <v>62</v>
      </c>
      <c r="AS4175" s="3" t="s">
        <v>62</v>
      </c>
      <c r="AT4175" s="3" t="s">
        <v>62</v>
      </c>
      <c r="AV4175" s="6" t="str">
        <f>HYPERLINK("http://mcgill.on.worldcat.org/oclc/13122556","Catalog Record")</f>
        <v>Catalog Record</v>
      </c>
      <c r="AW4175" s="6" t="str">
        <f>HYPERLINK("http://www.worldcat.org/oclc/13122556","WorldCat Record")</f>
        <v>WorldCat Record</v>
      </c>
      <c r="AX4175" s="3" t="s">
        <v>40246</v>
      </c>
      <c r="AY4175" s="3" t="s">
        <v>40247</v>
      </c>
      <c r="AZ4175" s="3" t="s">
        <v>40248</v>
      </c>
      <c r="BA4175" s="3" t="s">
        <v>40248</v>
      </c>
      <c r="BB4175" s="3" t="s">
        <v>40252</v>
      </c>
      <c r="BC4175" s="3" t="s">
        <v>102</v>
      </c>
      <c r="BD4175" s="3" t="s">
        <v>68</v>
      </c>
      <c r="BE4175" s="3" t="s">
        <v>40250</v>
      </c>
      <c r="BF4175" s="3" t="s">
        <v>40252</v>
      </c>
      <c r="BG4175" s="3" t="s">
        <v>40253</v>
      </c>
    </row>
    <row r="4176" spans="1:59" ht="58" x14ac:dyDescent="0.35">
      <c r="A4176" s="2" t="s">
        <v>89</v>
      </c>
      <c r="B4176" s="2" t="s">
        <v>90</v>
      </c>
      <c r="C4176" s="2" t="s">
        <v>40254</v>
      </c>
      <c r="D4176" s="2" t="s">
        <v>40255</v>
      </c>
      <c r="E4176" s="2" t="s">
        <v>40243</v>
      </c>
      <c r="G4176" s="3" t="s">
        <v>62</v>
      </c>
      <c r="I4176" s="3" t="s">
        <v>61</v>
      </c>
      <c r="J4176" s="3" t="s">
        <v>61</v>
      </c>
      <c r="K4176" s="3" t="s">
        <v>63</v>
      </c>
      <c r="L4176" s="2" t="s">
        <v>40244</v>
      </c>
      <c r="M4176" s="2" t="s">
        <v>40256</v>
      </c>
      <c r="N4176" s="3" t="s">
        <v>438</v>
      </c>
      <c r="O4176" s="2" t="s">
        <v>2986</v>
      </c>
      <c r="P4176" s="3" t="s">
        <v>64</v>
      </c>
      <c r="R4176" s="3" t="s">
        <v>34126</v>
      </c>
      <c r="S4176" s="4">
        <v>11</v>
      </c>
      <c r="T4176" s="4">
        <v>184</v>
      </c>
      <c r="U4176" s="5" t="s">
        <v>19979</v>
      </c>
      <c r="V4176" s="5" t="s">
        <v>19979</v>
      </c>
      <c r="W4176" s="5" t="s">
        <v>67</v>
      </c>
      <c r="X4176" s="5" t="s">
        <v>67</v>
      </c>
      <c r="Y4176" s="4">
        <v>672</v>
      </c>
      <c r="Z4176" s="4">
        <v>37</v>
      </c>
      <c r="AA4176" s="4">
        <v>114</v>
      </c>
      <c r="AB4176" s="4">
        <v>2</v>
      </c>
      <c r="AC4176" s="4">
        <v>24</v>
      </c>
      <c r="AD4176" s="4">
        <v>107</v>
      </c>
      <c r="AE4176" s="4">
        <v>169</v>
      </c>
      <c r="AF4176" s="4">
        <v>1</v>
      </c>
      <c r="AG4176" s="4">
        <v>8</v>
      </c>
      <c r="AH4176" s="4">
        <v>93</v>
      </c>
      <c r="AI4176" s="4">
        <v>117</v>
      </c>
      <c r="AJ4176" s="4">
        <v>18</v>
      </c>
      <c r="AK4176" s="4">
        <v>28</v>
      </c>
      <c r="AL4176" s="4">
        <v>52</v>
      </c>
      <c r="AM4176" s="4">
        <v>62</v>
      </c>
      <c r="AN4176" s="4">
        <v>0</v>
      </c>
      <c r="AO4176" s="4">
        <v>5</v>
      </c>
      <c r="AP4176" s="4">
        <v>22</v>
      </c>
      <c r="AQ4176" s="4">
        <v>57</v>
      </c>
      <c r="AR4176" s="3" t="s">
        <v>62</v>
      </c>
      <c r="AS4176" s="3" t="s">
        <v>62</v>
      </c>
      <c r="AT4176" s="3" t="s">
        <v>62</v>
      </c>
      <c r="AV4176" s="6" t="str">
        <f>HYPERLINK("http://mcgill.on.worldcat.org/oclc/20757120","Catalog Record")</f>
        <v>Catalog Record</v>
      </c>
      <c r="AW4176" s="6" t="str">
        <f>HYPERLINK("http://www.worldcat.org/oclc/20757120","WorldCat Record")</f>
        <v>WorldCat Record</v>
      </c>
      <c r="AX4176" s="3" t="s">
        <v>40246</v>
      </c>
      <c r="AY4176" s="3" t="s">
        <v>40257</v>
      </c>
      <c r="AZ4176" s="3" t="s">
        <v>40258</v>
      </c>
      <c r="BA4176" s="3" t="s">
        <v>40258</v>
      </c>
      <c r="BB4176" s="3" t="s">
        <v>40259</v>
      </c>
      <c r="BC4176" s="3" t="s">
        <v>102</v>
      </c>
      <c r="BD4176" s="3" t="s">
        <v>68</v>
      </c>
      <c r="BE4176" s="3" t="s">
        <v>40260</v>
      </c>
      <c r="BF4176" s="3" t="s">
        <v>40259</v>
      </c>
      <c r="BG4176" s="3" t="s">
        <v>40261</v>
      </c>
    </row>
    <row r="4177" spans="1:59" ht="58" x14ac:dyDescent="0.35">
      <c r="A4177" s="2" t="s">
        <v>89</v>
      </c>
      <c r="B4177" s="2" t="s">
        <v>90</v>
      </c>
      <c r="C4177" s="2" t="s">
        <v>40254</v>
      </c>
      <c r="D4177" s="2" t="s">
        <v>40255</v>
      </c>
      <c r="E4177" s="2" t="s">
        <v>40243</v>
      </c>
      <c r="G4177" s="3" t="s">
        <v>62</v>
      </c>
      <c r="I4177" s="3" t="s">
        <v>61</v>
      </c>
      <c r="J4177" s="3" t="s">
        <v>61</v>
      </c>
      <c r="K4177" s="3" t="s">
        <v>63</v>
      </c>
      <c r="L4177" s="2" t="s">
        <v>40244</v>
      </c>
      <c r="M4177" s="2" t="s">
        <v>40256</v>
      </c>
      <c r="N4177" s="3" t="s">
        <v>438</v>
      </c>
      <c r="O4177" s="2" t="s">
        <v>2986</v>
      </c>
      <c r="P4177" s="3" t="s">
        <v>64</v>
      </c>
      <c r="R4177" s="3" t="s">
        <v>34126</v>
      </c>
      <c r="S4177" s="4">
        <v>16</v>
      </c>
      <c r="T4177" s="4">
        <v>184</v>
      </c>
      <c r="U4177" s="5" t="s">
        <v>40262</v>
      </c>
      <c r="V4177" s="5" t="s">
        <v>19979</v>
      </c>
      <c r="W4177" s="5" t="s">
        <v>67</v>
      </c>
      <c r="X4177" s="5" t="s">
        <v>67</v>
      </c>
      <c r="Y4177" s="4">
        <v>672</v>
      </c>
      <c r="Z4177" s="4">
        <v>37</v>
      </c>
      <c r="AA4177" s="4">
        <v>114</v>
      </c>
      <c r="AB4177" s="4">
        <v>2</v>
      </c>
      <c r="AC4177" s="4">
        <v>24</v>
      </c>
      <c r="AD4177" s="4">
        <v>107</v>
      </c>
      <c r="AE4177" s="4">
        <v>169</v>
      </c>
      <c r="AF4177" s="4">
        <v>1</v>
      </c>
      <c r="AG4177" s="4">
        <v>8</v>
      </c>
      <c r="AH4177" s="4">
        <v>93</v>
      </c>
      <c r="AI4177" s="4">
        <v>117</v>
      </c>
      <c r="AJ4177" s="4">
        <v>18</v>
      </c>
      <c r="AK4177" s="4">
        <v>28</v>
      </c>
      <c r="AL4177" s="4">
        <v>52</v>
      </c>
      <c r="AM4177" s="4">
        <v>62</v>
      </c>
      <c r="AN4177" s="4">
        <v>0</v>
      </c>
      <c r="AO4177" s="4">
        <v>5</v>
      </c>
      <c r="AP4177" s="4">
        <v>22</v>
      </c>
      <c r="AQ4177" s="4">
        <v>57</v>
      </c>
      <c r="AR4177" s="3" t="s">
        <v>62</v>
      </c>
      <c r="AS4177" s="3" t="s">
        <v>62</v>
      </c>
      <c r="AT4177" s="3" t="s">
        <v>62</v>
      </c>
      <c r="AV4177" s="6" t="str">
        <f>HYPERLINK("http://mcgill.on.worldcat.org/oclc/20757120","Catalog Record")</f>
        <v>Catalog Record</v>
      </c>
      <c r="AW4177" s="6" t="str">
        <f>HYPERLINK("http://www.worldcat.org/oclc/20757120","WorldCat Record")</f>
        <v>WorldCat Record</v>
      </c>
      <c r="AX4177" s="3" t="s">
        <v>40246</v>
      </c>
      <c r="AY4177" s="3" t="s">
        <v>40257</v>
      </c>
      <c r="AZ4177" s="3" t="s">
        <v>40258</v>
      </c>
      <c r="BA4177" s="3" t="s">
        <v>40258</v>
      </c>
      <c r="BB4177" s="3" t="s">
        <v>40263</v>
      </c>
      <c r="BC4177" s="3" t="s">
        <v>102</v>
      </c>
      <c r="BD4177" s="3" t="s">
        <v>68</v>
      </c>
      <c r="BE4177" s="3" t="s">
        <v>40260</v>
      </c>
      <c r="BF4177" s="3" t="s">
        <v>40263</v>
      </c>
      <c r="BG4177" s="3" t="s">
        <v>40264</v>
      </c>
    </row>
    <row r="4178" spans="1:59" ht="58" x14ac:dyDescent="0.35">
      <c r="A4178" s="2" t="s">
        <v>89</v>
      </c>
      <c r="B4178" s="2" t="s">
        <v>90</v>
      </c>
      <c r="C4178" s="2" t="s">
        <v>40254</v>
      </c>
      <c r="D4178" s="2" t="s">
        <v>40255</v>
      </c>
      <c r="E4178" s="2" t="s">
        <v>40243</v>
      </c>
      <c r="G4178" s="3" t="s">
        <v>62</v>
      </c>
      <c r="I4178" s="3" t="s">
        <v>61</v>
      </c>
      <c r="J4178" s="3" t="s">
        <v>61</v>
      </c>
      <c r="K4178" s="3" t="s">
        <v>63</v>
      </c>
      <c r="L4178" s="2" t="s">
        <v>40244</v>
      </c>
      <c r="M4178" s="2" t="s">
        <v>40256</v>
      </c>
      <c r="N4178" s="3" t="s">
        <v>438</v>
      </c>
      <c r="O4178" s="2" t="s">
        <v>2986</v>
      </c>
      <c r="P4178" s="3" t="s">
        <v>64</v>
      </c>
      <c r="R4178" s="3" t="s">
        <v>34126</v>
      </c>
      <c r="S4178" s="4">
        <v>21</v>
      </c>
      <c r="T4178" s="4">
        <v>184</v>
      </c>
      <c r="U4178" s="5" t="s">
        <v>40265</v>
      </c>
      <c r="V4178" s="5" t="s">
        <v>19979</v>
      </c>
      <c r="W4178" s="5" t="s">
        <v>67</v>
      </c>
      <c r="X4178" s="5" t="s">
        <v>67</v>
      </c>
      <c r="Y4178" s="4">
        <v>672</v>
      </c>
      <c r="Z4178" s="4">
        <v>37</v>
      </c>
      <c r="AA4178" s="4">
        <v>114</v>
      </c>
      <c r="AB4178" s="4">
        <v>2</v>
      </c>
      <c r="AC4178" s="4">
        <v>24</v>
      </c>
      <c r="AD4178" s="4">
        <v>107</v>
      </c>
      <c r="AE4178" s="4">
        <v>169</v>
      </c>
      <c r="AF4178" s="4">
        <v>1</v>
      </c>
      <c r="AG4178" s="4">
        <v>8</v>
      </c>
      <c r="AH4178" s="4">
        <v>93</v>
      </c>
      <c r="AI4178" s="4">
        <v>117</v>
      </c>
      <c r="AJ4178" s="4">
        <v>18</v>
      </c>
      <c r="AK4178" s="4">
        <v>28</v>
      </c>
      <c r="AL4178" s="4">
        <v>52</v>
      </c>
      <c r="AM4178" s="4">
        <v>62</v>
      </c>
      <c r="AN4178" s="4">
        <v>0</v>
      </c>
      <c r="AO4178" s="4">
        <v>5</v>
      </c>
      <c r="AP4178" s="4">
        <v>22</v>
      </c>
      <c r="AQ4178" s="4">
        <v>57</v>
      </c>
      <c r="AR4178" s="3" t="s">
        <v>62</v>
      </c>
      <c r="AS4178" s="3" t="s">
        <v>62</v>
      </c>
      <c r="AT4178" s="3" t="s">
        <v>62</v>
      </c>
      <c r="AV4178" s="6" t="str">
        <f>HYPERLINK("http://mcgill.on.worldcat.org/oclc/20757120","Catalog Record")</f>
        <v>Catalog Record</v>
      </c>
      <c r="AW4178" s="6" t="str">
        <f>HYPERLINK("http://www.worldcat.org/oclc/20757120","WorldCat Record")</f>
        <v>WorldCat Record</v>
      </c>
      <c r="AX4178" s="3" t="s">
        <v>40246</v>
      </c>
      <c r="AY4178" s="3" t="s">
        <v>40257</v>
      </c>
      <c r="AZ4178" s="3" t="s">
        <v>40258</v>
      </c>
      <c r="BA4178" s="3" t="s">
        <v>40258</v>
      </c>
      <c r="BB4178" s="3" t="s">
        <v>40266</v>
      </c>
      <c r="BC4178" s="3" t="s">
        <v>102</v>
      </c>
      <c r="BD4178" s="3" t="s">
        <v>68</v>
      </c>
      <c r="BE4178" s="3" t="s">
        <v>40260</v>
      </c>
      <c r="BF4178" s="3" t="s">
        <v>40266</v>
      </c>
      <c r="BG4178" s="3" t="s">
        <v>40267</v>
      </c>
    </row>
    <row r="4179" spans="1:59" ht="58" x14ac:dyDescent="0.35">
      <c r="A4179" s="2" t="s">
        <v>89</v>
      </c>
      <c r="B4179" s="2" t="s">
        <v>90</v>
      </c>
      <c r="C4179" s="2" t="s">
        <v>40254</v>
      </c>
      <c r="D4179" s="2" t="s">
        <v>40255</v>
      </c>
      <c r="E4179" s="2" t="s">
        <v>40243</v>
      </c>
      <c r="G4179" s="3" t="s">
        <v>62</v>
      </c>
      <c r="I4179" s="3" t="s">
        <v>61</v>
      </c>
      <c r="J4179" s="3" t="s">
        <v>61</v>
      </c>
      <c r="K4179" s="3" t="s">
        <v>63</v>
      </c>
      <c r="L4179" s="2" t="s">
        <v>40244</v>
      </c>
      <c r="M4179" s="2" t="s">
        <v>40256</v>
      </c>
      <c r="N4179" s="3" t="s">
        <v>438</v>
      </c>
      <c r="O4179" s="2" t="s">
        <v>2986</v>
      </c>
      <c r="P4179" s="3" t="s">
        <v>64</v>
      </c>
      <c r="R4179" s="3" t="s">
        <v>34126</v>
      </c>
      <c r="S4179" s="4">
        <v>17</v>
      </c>
      <c r="T4179" s="4">
        <v>184</v>
      </c>
      <c r="U4179" s="5" t="s">
        <v>40268</v>
      </c>
      <c r="V4179" s="5" t="s">
        <v>19979</v>
      </c>
      <c r="W4179" s="5" t="s">
        <v>67</v>
      </c>
      <c r="X4179" s="5" t="s">
        <v>67</v>
      </c>
      <c r="Y4179" s="4">
        <v>672</v>
      </c>
      <c r="Z4179" s="4">
        <v>37</v>
      </c>
      <c r="AA4179" s="4">
        <v>114</v>
      </c>
      <c r="AB4179" s="4">
        <v>2</v>
      </c>
      <c r="AC4179" s="4">
        <v>24</v>
      </c>
      <c r="AD4179" s="4">
        <v>107</v>
      </c>
      <c r="AE4179" s="4">
        <v>169</v>
      </c>
      <c r="AF4179" s="4">
        <v>1</v>
      </c>
      <c r="AG4179" s="4">
        <v>8</v>
      </c>
      <c r="AH4179" s="4">
        <v>93</v>
      </c>
      <c r="AI4179" s="4">
        <v>117</v>
      </c>
      <c r="AJ4179" s="4">
        <v>18</v>
      </c>
      <c r="AK4179" s="4">
        <v>28</v>
      </c>
      <c r="AL4179" s="4">
        <v>52</v>
      </c>
      <c r="AM4179" s="4">
        <v>62</v>
      </c>
      <c r="AN4179" s="4">
        <v>0</v>
      </c>
      <c r="AO4179" s="4">
        <v>5</v>
      </c>
      <c r="AP4179" s="4">
        <v>22</v>
      </c>
      <c r="AQ4179" s="4">
        <v>57</v>
      </c>
      <c r="AR4179" s="3" t="s">
        <v>62</v>
      </c>
      <c r="AS4179" s="3" t="s">
        <v>62</v>
      </c>
      <c r="AT4179" s="3" t="s">
        <v>62</v>
      </c>
      <c r="AV4179" s="6" t="str">
        <f>HYPERLINK("http://mcgill.on.worldcat.org/oclc/20757120","Catalog Record")</f>
        <v>Catalog Record</v>
      </c>
      <c r="AW4179" s="6" t="str">
        <f>HYPERLINK("http://www.worldcat.org/oclc/20757120","WorldCat Record")</f>
        <v>WorldCat Record</v>
      </c>
      <c r="AX4179" s="3" t="s">
        <v>40246</v>
      </c>
      <c r="AY4179" s="3" t="s">
        <v>40257</v>
      </c>
      <c r="AZ4179" s="3" t="s">
        <v>40258</v>
      </c>
      <c r="BA4179" s="3" t="s">
        <v>40258</v>
      </c>
      <c r="BB4179" s="3" t="s">
        <v>40269</v>
      </c>
      <c r="BC4179" s="3" t="s">
        <v>102</v>
      </c>
      <c r="BD4179" s="3" t="s">
        <v>68</v>
      </c>
      <c r="BE4179" s="3" t="s">
        <v>40260</v>
      </c>
      <c r="BF4179" s="3" t="s">
        <v>40269</v>
      </c>
      <c r="BG4179" s="3" t="s">
        <v>40270</v>
      </c>
    </row>
    <row r="4180" spans="1:59" ht="58" x14ac:dyDescent="0.35">
      <c r="A4180" s="2" t="s">
        <v>89</v>
      </c>
      <c r="B4180" s="2" t="s">
        <v>90</v>
      </c>
      <c r="C4180" s="2" t="s">
        <v>40254</v>
      </c>
      <c r="D4180" s="2" t="s">
        <v>40255</v>
      </c>
      <c r="E4180" s="2" t="s">
        <v>40243</v>
      </c>
      <c r="G4180" s="3" t="s">
        <v>62</v>
      </c>
      <c r="I4180" s="3" t="s">
        <v>61</v>
      </c>
      <c r="J4180" s="3" t="s">
        <v>61</v>
      </c>
      <c r="K4180" s="3" t="s">
        <v>63</v>
      </c>
      <c r="L4180" s="2" t="s">
        <v>40244</v>
      </c>
      <c r="M4180" s="2" t="s">
        <v>40256</v>
      </c>
      <c r="N4180" s="3" t="s">
        <v>438</v>
      </c>
      <c r="O4180" s="2" t="s">
        <v>2986</v>
      </c>
      <c r="P4180" s="3" t="s">
        <v>64</v>
      </c>
      <c r="R4180" s="3" t="s">
        <v>34126</v>
      </c>
      <c r="S4180" s="4">
        <v>18</v>
      </c>
      <c r="T4180" s="4">
        <v>184</v>
      </c>
      <c r="U4180" s="5" t="s">
        <v>40271</v>
      </c>
      <c r="V4180" s="5" t="s">
        <v>19979</v>
      </c>
      <c r="W4180" s="5" t="s">
        <v>67</v>
      </c>
      <c r="X4180" s="5" t="s">
        <v>67</v>
      </c>
      <c r="Y4180" s="4">
        <v>672</v>
      </c>
      <c r="Z4180" s="4">
        <v>37</v>
      </c>
      <c r="AA4180" s="4">
        <v>114</v>
      </c>
      <c r="AB4180" s="4">
        <v>2</v>
      </c>
      <c r="AC4180" s="4">
        <v>24</v>
      </c>
      <c r="AD4180" s="4">
        <v>107</v>
      </c>
      <c r="AE4180" s="4">
        <v>169</v>
      </c>
      <c r="AF4180" s="4">
        <v>1</v>
      </c>
      <c r="AG4180" s="4">
        <v>8</v>
      </c>
      <c r="AH4180" s="4">
        <v>93</v>
      </c>
      <c r="AI4180" s="4">
        <v>117</v>
      </c>
      <c r="AJ4180" s="4">
        <v>18</v>
      </c>
      <c r="AK4180" s="4">
        <v>28</v>
      </c>
      <c r="AL4180" s="4">
        <v>52</v>
      </c>
      <c r="AM4180" s="4">
        <v>62</v>
      </c>
      <c r="AN4180" s="4">
        <v>0</v>
      </c>
      <c r="AO4180" s="4">
        <v>5</v>
      </c>
      <c r="AP4180" s="4">
        <v>22</v>
      </c>
      <c r="AQ4180" s="4">
        <v>57</v>
      </c>
      <c r="AR4180" s="3" t="s">
        <v>62</v>
      </c>
      <c r="AS4180" s="3" t="s">
        <v>62</v>
      </c>
      <c r="AT4180" s="3" t="s">
        <v>62</v>
      </c>
      <c r="AV4180" s="6" t="str">
        <f>HYPERLINK("http://mcgill.on.worldcat.org/oclc/20757120","Catalog Record")</f>
        <v>Catalog Record</v>
      </c>
      <c r="AW4180" s="6" t="str">
        <f>HYPERLINK("http://www.worldcat.org/oclc/20757120","WorldCat Record")</f>
        <v>WorldCat Record</v>
      </c>
      <c r="AX4180" s="3" t="s">
        <v>40246</v>
      </c>
      <c r="AY4180" s="3" t="s">
        <v>40257</v>
      </c>
      <c r="AZ4180" s="3" t="s">
        <v>40258</v>
      </c>
      <c r="BA4180" s="3" t="s">
        <v>40258</v>
      </c>
      <c r="BB4180" s="3" t="s">
        <v>40272</v>
      </c>
      <c r="BC4180" s="3" t="s">
        <v>102</v>
      </c>
      <c r="BD4180" s="3" t="s">
        <v>68</v>
      </c>
      <c r="BE4180" s="3" t="s">
        <v>40260</v>
      </c>
      <c r="BF4180" s="3" t="s">
        <v>40272</v>
      </c>
      <c r="BG4180" s="3" t="s">
        <v>40273</v>
      </c>
    </row>
    <row r="4181" spans="1:59" ht="58" x14ac:dyDescent="0.35">
      <c r="A4181" s="2" t="s">
        <v>59</v>
      </c>
      <c r="B4181" s="2" t="s">
        <v>60</v>
      </c>
      <c r="C4181" s="2" t="s">
        <v>40274</v>
      </c>
      <c r="D4181" s="2" t="s">
        <v>40275</v>
      </c>
      <c r="E4181" s="2" t="s">
        <v>40276</v>
      </c>
      <c r="G4181" s="3" t="s">
        <v>62</v>
      </c>
      <c r="I4181" s="3" t="s">
        <v>61</v>
      </c>
      <c r="J4181" s="3" t="s">
        <v>61</v>
      </c>
      <c r="K4181" s="3" t="s">
        <v>63</v>
      </c>
      <c r="M4181" s="2" t="s">
        <v>40277</v>
      </c>
      <c r="N4181" s="3" t="s">
        <v>524</v>
      </c>
      <c r="O4181" s="2" t="s">
        <v>2458</v>
      </c>
      <c r="P4181" s="3" t="s">
        <v>64</v>
      </c>
      <c r="R4181" s="3" t="s">
        <v>34126</v>
      </c>
      <c r="S4181" s="4">
        <v>46</v>
      </c>
      <c r="T4181" s="4">
        <v>203</v>
      </c>
      <c r="U4181" s="5" t="s">
        <v>40278</v>
      </c>
      <c r="V4181" s="5" t="s">
        <v>2820</v>
      </c>
      <c r="W4181" s="5" t="s">
        <v>67</v>
      </c>
      <c r="X4181" s="5" t="s">
        <v>67</v>
      </c>
      <c r="Y4181" s="4">
        <v>500</v>
      </c>
      <c r="Z4181" s="4">
        <v>31</v>
      </c>
      <c r="AA4181" s="4">
        <v>114</v>
      </c>
      <c r="AB4181" s="4">
        <v>1</v>
      </c>
      <c r="AC4181" s="4">
        <v>24</v>
      </c>
      <c r="AD4181" s="4">
        <v>103</v>
      </c>
      <c r="AE4181" s="4">
        <v>169</v>
      </c>
      <c r="AF4181" s="4">
        <v>0</v>
      </c>
      <c r="AG4181" s="4">
        <v>8</v>
      </c>
      <c r="AH4181" s="4">
        <v>88</v>
      </c>
      <c r="AI4181" s="4">
        <v>117</v>
      </c>
      <c r="AJ4181" s="4">
        <v>14</v>
      </c>
      <c r="AK4181" s="4">
        <v>28</v>
      </c>
      <c r="AL4181" s="4">
        <v>52</v>
      </c>
      <c r="AM4181" s="4">
        <v>62</v>
      </c>
      <c r="AN4181" s="4">
        <v>0</v>
      </c>
      <c r="AO4181" s="4">
        <v>5</v>
      </c>
      <c r="AP4181" s="4">
        <v>21</v>
      </c>
      <c r="AQ4181" s="4">
        <v>57</v>
      </c>
      <c r="AR4181" s="3" t="s">
        <v>62</v>
      </c>
      <c r="AS4181" s="3" t="s">
        <v>62</v>
      </c>
      <c r="AT4181" s="3" t="s">
        <v>62</v>
      </c>
      <c r="AV4181" s="6" t="str">
        <f>HYPERLINK("http://mcgill.on.worldcat.org/oclc/30783343","Catalog Record")</f>
        <v>Catalog Record</v>
      </c>
      <c r="AW4181" s="6" t="str">
        <f>HYPERLINK("http://www.worldcat.org/oclc/30783343","WorldCat Record")</f>
        <v>WorldCat Record</v>
      </c>
      <c r="AX4181" s="3" t="s">
        <v>40246</v>
      </c>
      <c r="AY4181" s="3" t="s">
        <v>40279</v>
      </c>
      <c r="AZ4181" s="3" t="s">
        <v>40280</v>
      </c>
      <c r="BA4181" s="3" t="s">
        <v>40280</v>
      </c>
      <c r="BB4181" s="3" t="s">
        <v>40281</v>
      </c>
      <c r="BC4181" s="3" t="s">
        <v>102</v>
      </c>
      <c r="BD4181" s="3" t="s">
        <v>68</v>
      </c>
      <c r="BE4181" s="3" t="s">
        <v>40282</v>
      </c>
      <c r="BF4181" s="3" t="s">
        <v>40281</v>
      </c>
      <c r="BG4181" s="3" t="s">
        <v>40283</v>
      </c>
    </row>
    <row r="4182" spans="1:59" ht="58" x14ac:dyDescent="0.35">
      <c r="A4182" s="2" t="s">
        <v>59</v>
      </c>
      <c r="B4182" s="2" t="s">
        <v>60</v>
      </c>
      <c r="C4182" s="2" t="s">
        <v>40284</v>
      </c>
      <c r="D4182" s="2" t="s">
        <v>40285</v>
      </c>
      <c r="E4182" s="2" t="s">
        <v>40276</v>
      </c>
      <c r="F4182" s="3" t="s">
        <v>28113</v>
      </c>
      <c r="G4182" s="3" t="s">
        <v>61</v>
      </c>
      <c r="I4182" s="3" t="s">
        <v>61</v>
      </c>
      <c r="J4182" s="3" t="s">
        <v>61</v>
      </c>
      <c r="K4182" s="3" t="s">
        <v>63</v>
      </c>
      <c r="M4182" s="2" t="s">
        <v>40286</v>
      </c>
      <c r="N4182" s="3" t="s">
        <v>568</v>
      </c>
      <c r="O4182" s="2" t="s">
        <v>10722</v>
      </c>
      <c r="P4182" s="3" t="s">
        <v>64</v>
      </c>
      <c r="R4182" s="3" t="s">
        <v>34126</v>
      </c>
      <c r="S4182" s="4">
        <v>0</v>
      </c>
      <c r="T4182" s="4">
        <v>731</v>
      </c>
      <c r="V4182" s="5" t="s">
        <v>8024</v>
      </c>
      <c r="W4182" s="5" t="s">
        <v>67</v>
      </c>
      <c r="X4182" s="5" t="s">
        <v>67</v>
      </c>
      <c r="Y4182" s="4">
        <v>531</v>
      </c>
      <c r="Z4182" s="4">
        <v>38</v>
      </c>
      <c r="AA4182" s="4">
        <v>114</v>
      </c>
      <c r="AB4182" s="4">
        <v>3</v>
      </c>
      <c r="AC4182" s="4">
        <v>24</v>
      </c>
      <c r="AD4182" s="4">
        <v>111</v>
      </c>
      <c r="AE4182" s="4">
        <v>169</v>
      </c>
      <c r="AF4182" s="4">
        <v>1</v>
      </c>
      <c r="AG4182" s="4">
        <v>8</v>
      </c>
      <c r="AH4182" s="4">
        <v>89</v>
      </c>
      <c r="AI4182" s="4">
        <v>117</v>
      </c>
      <c r="AJ4182" s="4">
        <v>15</v>
      </c>
      <c r="AK4182" s="4">
        <v>28</v>
      </c>
      <c r="AL4182" s="4">
        <v>51</v>
      </c>
      <c r="AM4182" s="4">
        <v>62</v>
      </c>
      <c r="AN4182" s="4">
        <v>5</v>
      </c>
      <c r="AO4182" s="4">
        <v>5</v>
      </c>
      <c r="AP4182" s="4">
        <v>24</v>
      </c>
      <c r="AQ4182" s="4">
        <v>57</v>
      </c>
      <c r="AR4182" s="3" t="s">
        <v>62</v>
      </c>
      <c r="AS4182" s="3" t="s">
        <v>62</v>
      </c>
      <c r="AT4182" s="3" t="s">
        <v>61</v>
      </c>
      <c r="AU4182" s="6" t="str">
        <f>HYPERLINK("http://catalog.hathitrust.org/Record/004081867","HathiTrust Record")</f>
        <v>HathiTrust Record</v>
      </c>
      <c r="AV4182" s="6" t="str">
        <f>HYPERLINK("http://mcgill.on.worldcat.org/oclc/41266312","Catalog Record")</f>
        <v>Catalog Record</v>
      </c>
      <c r="AW4182" s="6" t="str">
        <f>HYPERLINK("http://www.worldcat.org/oclc/41266312","WorldCat Record")</f>
        <v>WorldCat Record</v>
      </c>
      <c r="AX4182" s="3" t="s">
        <v>40246</v>
      </c>
      <c r="AY4182" s="3" t="s">
        <v>40287</v>
      </c>
      <c r="AZ4182" s="3" t="s">
        <v>40288</v>
      </c>
      <c r="BA4182" s="3" t="s">
        <v>40288</v>
      </c>
      <c r="BB4182" s="3" t="s">
        <v>40289</v>
      </c>
      <c r="BC4182" s="3" t="s">
        <v>102</v>
      </c>
      <c r="BD4182" s="3" t="s">
        <v>68</v>
      </c>
      <c r="BE4182" s="3" t="s">
        <v>40290</v>
      </c>
      <c r="BF4182" s="3" t="s">
        <v>40289</v>
      </c>
      <c r="BG4182" s="3" t="s">
        <v>40291</v>
      </c>
    </row>
    <row r="4183" spans="1:59" ht="58" x14ac:dyDescent="0.35">
      <c r="A4183" s="2" t="s">
        <v>59</v>
      </c>
      <c r="B4183" s="2" t="s">
        <v>60</v>
      </c>
      <c r="C4183" s="2" t="s">
        <v>40284</v>
      </c>
      <c r="D4183" s="2" t="s">
        <v>40285</v>
      </c>
      <c r="E4183" s="2" t="s">
        <v>40276</v>
      </c>
      <c r="F4183" s="3" t="s">
        <v>14825</v>
      </c>
      <c r="G4183" s="3" t="s">
        <v>61</v>
      </c>
      <c r="I4183" s="3" t="s">
        <v>61</v>
      </c>
      <c r="J4183" s="3" t="s">
        <v>61</v>
      </c>
      <c r="K4183" s="3" t="s">
        <v>63</v>
      </c>
      <c r="M4183" s="2" t="s">
        <v>40286</v>
      </c>
      <c r="N4183" s="3" t="s">
        <v>568</v>
      </c>
      <c r="O4183" s="2" t="s">
        <v>10722</v>
      </c>
      <c r="P4183" s="3" t="s">
        <v>64</v>
      </c>
      <c r="R4183" s="3" t="s">
        <v>34126</v>
      </c>
      <c r="S4183" s="4">
        <v>0</v>
      </c>
      <c r="T4183" s="4">
        <v>731</v>
      </c>
      <c r="V4183" s="5" t="s">
        <v>8024</v>
      </c>
      <c r="W4183" s="5" t="s">
        <v>67</v>
      </c>
      <c r="X4183" s="5" t="s">
        <v>67</v>
      </c>
      <c r="Y4183" s="4">
        <v>531</v>
      </c>
      <c r="Z4183" s="4">
        <v>38</v>
      </c>
      <c r="AA4183" s="4">
        <v>114</v>
      </c>
      <c r="AB4183" s="4">
        <v>3</v>
      </c>
      <c r="AC4183" s="4">
        <v>24</v>
      </c>
      <c r="AD4183" s="4">
        <v>111</v>
      </c>
      <c r="AE4183" s="4">
        <v>169</v>
      </c>
      <c r="AF4183" s="4">
        <v>1</v>
      </c>
      <c r="AG4183" s="4">
        <v>8</v>
      </c>
      <c r="AH4183" s="4">
        <v>89</v>
      </c>
      <c r="AI4183" s="4">
        <v>117</v>
      </c>
      <c r="AJ4183" s="4">
        <v>15</v>
      </c>
      <c r="AK4183" s="4">
        <v>28</v>
      </c>
      <c r="AL4183" s="4">
        <v>51</v>
      </c>
      <c r="AM4183" s="4">
        <v>62</v>
      </c>
      <c r="AN4183" s="4">
        <v>5</v>
      </c>
      <c r="AO4183" s="4">
        <v>5</v>
      </c>
      <c r="AP4183" s="4">
        <v>24</v>
      </c>
      <c r="AQ4183" s="4">
        <v>57</v>
      </c>
      <c r="AR4183" s="3" t="s">
        <v>62</v>
      </c>
      <c r="AS4183" s="3" t="s">
        <v>62</v>
      </c>
      <c r="AT4183" s="3" t="s">
        <v>61</v>
      </c>
      <c r="AU4183" s="6" t="str">
        <f>HYPERLINK("http://catalog.hathitrust.org/Record/004081867","HathiTrust Record")</f>
        <v>HathiTrust Record</v>
      </c>
      <c r="AV4183" s="6" t="str">
        <f>HYPERLINK("http://mcgill.on.worldcat.org/oclc/41266312","Catalog Record")</f>
        <v>Catalog Record</v>
      </c>
      <c r="AW4183" s="6" t="str">
        <f>HYPERLINK("http://www.worldcat.org/oclc/41266312","WorldCat Record")</f>
        <v>WorldCat Record</v>
      </c>
      <c r="AX4183" s="3" t="s">
        <v>40246</v>
      </c>
      <c r="AY4183" s="3" t="s">
        <v>40287</v>
      </c>
      <c r="AZ4183" s="3" t="s">
        <v>40288</v>
      </c>
      <c r="BA4183" s="3" t="s">
        <v>40288</v>
      </c>
      <c r="BB4183" s="3" t="s">
        <v>40292</v>
      </c>
      <c r="BC4183" s="3" t="s">
        <v>102</v>
      </c>
      <c r="BD4183" s="3" t="s">
        <v>68</v>
      </c>
      <c r="BE4183" s="3" t="s">
        <v>40290</v>
      </c>
      <c r="BF4183" s="3" t="s">
        <v>40292</v>
      </c>
      <c r="BG4183" s="3" t="s">
        <v>40293</v>
      </c>
    </row>
    <row r="4184" spans="1:59" ht="58" x14ac:dyDescent="0.35">
      <c r="A4184" s="2" t="s">
        <v>59</v>
      </c>
      <c r="B4184" s="2" t="s">
        <v>60</v>
      </c>
      <c r="C4184" s="2" t="s">
        <v>40294</v>
      </c>
      <c r="D4184" s="2" t="s">
        <v>40295</v>
      </c>
      <c r="E4184" s="2" t="s">
        <v>40296</v>
      </c>
      <c r="G4184" s="3" t="s">
        <v>62</v>
      </c>
      <c r="I4184" s="3" t="s">
        <v>61</v>
      </c>
      <c r="J4184" s="3" t="s">
        <v>61</v>
      </c>
      <c r="K4184" s="3" t="s">
        <v>63</v>
      </c>
      <c r="M4184" s="2" t="s">
        <v>40297</v>
      </c>
      <c r="N4184" s="3" t="s">
        <v>327</v>
      </c>
      <c r="P4184" s="3" t="s">
        <v>64</v>
      </c>
      <c r="R4184" s="3" t="s">
        <v>34126</v>
      </c>
      <c r="S4184" s="4">
        <v>17</v>
      </c>
      <c r="T4184" s="4">
        <v>127</v>
      </c>
      <c r="U4184" s="5" t="s">
        <v>40298</v>
      </c>
      <c r="V4184" s="5" t="s">
        <v>4852</v>
      </c>
      <c r="W4184" s="5" t="s">
        <v>67</v>
      </c>
      <c r="X4184" s="5" t="s">
        <v>67</v>
      </c>
      <c r="Y4184" s="4">
        <v>806</v>
      </c>
      <c r="Z4184" s="4">
        <v>38</v>
      </c>
      <c r="AA4184" s="4">
        <v>125</v>
      </c>
      <c r="AB4184" s="4">
        <v>5</v>
      </c>
      <c r="AC4184" s="4">
        <v>24</v>
      </c>
      <c r="AD4184" s="4">
        <v>115</v>
      </c>
      <c r="AE4184" s="4">
        <v>170</v>
      </c>
      <c r="AF4184" s="4">
        <v>1</v>
      </c>
      <c r="AG4184" s="4">
        <v>8</v>
      </c>
      <c r="AH4184" s="4">
        <v>94</v>
      </c>
      <c r="AI4184" s="4">
        <v>119</v>
      </c>
      <c r="AJ4184" s="4">
        <v>19</v>
      </c>
      <c r="AK4184" s="4">
        <v>28</v>
      </c>
      <c r="AL4184" s="4">
        <v>53</v>
      </c>
      <c r="AM4184" s="4">
        <v>63</v>
      </c>
      <c r="AN4184" s="4">
        <v>0</v>
      </c>
      <c r="AO4184" s="4">
        <v>1</v>
      </c>
      <c r="AP4184" s="4">
        <v>25</v>
      </c>
      <c r="AQ4184" s="4">
        <v>56</v>
      </c>
      <c r="AR4184" s="3" t="s">
        <v>62</v>
      </c>
      <c r="AS4184" s="3" t="s">
        <v>62</v>
      </c>
      <c r="AT4184" s="3" t="s">
        <v>61</v>
      </c>
      <c r="AU4184" s="6" t="str">
        <f>HYPERLINK("http://catalog.hathitrust.org/Record/000767340","HathiTrust Record")</f>
        <v>HathiTrust Record</v>
      </c>
      <c r="AV4184" s="6" t="str">
        <f>HYPERLINK("http://mcgill.on.worldcat.org/oclc/8805724","Catalog Record")</f>
        <v>Catalog Record</v>
      </c>
      <c r="AW4184" s="6" t="str">
        <f>HYPERLINK("http://www.worldcat.org/oclc/8805724","WorldCat Record")</f>
        <v>WorldCat Record</v>
      </c>
      <c r="AX4184" s="3" t="s">
        <v>40299</v>
      </c>
      <c r="AY4184" s="3" t="s">
        <v>40300</v>
      </c>
      <c r="AZ4184" s="3" t="s">
        <v>40301</v>
      </c>
      <c r="BA4184" s="3" t="s">
        <v>40301</v>
      </c>
      <c r="BB4184" s="3" t="s">
        <v>40302</v>
      </c>
      <c r="BC4184" s="3" t="s">
        <v>102</v>
      </c>
      <c r="BD4184" s="3" t="s">
        <v>68</v>
      </c>
      <c r="BE4184" s="3" t="s">
        <v>40303</v>
      </c>
      <c r="BF4184" s="3" t="s">
        <v>40302</v>
      </c>
      <c r="BG4184" s="3" t="s">
        <v>40304</v>
      </c>
    </row>
    <row r="4185" spans="1:59" ht="101.5" x14ac:dyDescent="0.35">
      <c r="A4185" s="2" t="s">
        <v>89</v>
      </c>
      <c r="B4185" s="2" t="s">
        <v>12301</v>
      </c>
      <c r="C4185" s="2" t="s">
        <v>40305</v>
      </c>
      <c r="D4185" s="2" t="s">
        <v>40306</v>
      </c>
      <c r="E4185" s="2" t="s">
        <v>40307</v>
      </c>
      <c r="G4185" s="3" t="s">
        <v>62</v>
      </c>
      <c r="I4185" s="3" t="s">
        <v>61</v>
      </c>
      <c r="J4185" s="3" t="s">
        <v>61</v>
      </c>
      <c r="K4185" s="3" t="s">
        <v>63</v>
      </c>
      <c r="L4185" s="2" t="s">
        <v>40308</v>
      </c>
      <c r="M4185" s="2" t="s">
        <v>40309</v>
      </c>
      <c r="N4185" s="3" t="s">
        <v>1038</v>
      </c>
      <c r="O4185" s="2" t="s">
        <v>22672</v>
      </c>
      <c r="P4185" s="3" t="s">
        <v>64</v>
      </c>
      <c r="R4185" s="3" t="s">
        <v>34126</v>
      </c>
      <c r="S4185" s="4">
        <v>61</v>
      </c>
      <c r="T4185" s="4">
        <v>590</v>
      </c>
      <c r="U4185" s="5" t="s">
        <v>12369</v>
      </c>
      <c r="V4185" s="5" t="s">
        <v>24286</v>
      </c>
      <c r="W4185" s="5" t="s">
        <v>67</v>
      </c>
      <c r="X4185" s="5" t="s">
        <v>67</v>
      </c>
      <c r="Y4185" s="4">
        <v>198</v>
      </c>
      <c r="Z4185" s="4">
        <v>6</v>
      </c>
      <c r="AA4185" s="4">
        <v>114</v>
      </c>
      <c r="AB4185" s="4">
        <v>1</v>
      </c>
      <c r="AC4185" s="4">
        <v>24</v>
      </c>
      <c r="AD4185" s="4">
        <v>50</v>
      </c>
      <c r="AE4185" s="4">
        <v>169</v>
      </c>
      <c r="AF4185" s="4">
        <v>0</v>
      </c>
      <c r="AG4185" s="4">
        <v>8</v>
      </c>
      <c r="AH4185" s="4">
        <v>45</v>
      </c>
      <c r="AI4185" s="4">
        <v>117</v>
      </c>
      <c r="AJ4185" s="4">
        <v>2</v>
      </c>
      <c r="AK4185" s="4">
        <v>28</v>
      </c>
      <c r="AL4185" s="4">
        <v>29</v>
      </c>
      <c r="AM4185" s="4">
        <v>62</v>
      </c>
      <c r="AN4185" s="4">
        <v>0</v>
      </c>
      <c r="AO4185" s="4">
        <v>5</v>
      </c>
      <c r="AP4185" s="4">
        <v>5</v>
      </c>
      <c r="AQ4185" s="4">
        <v>57</v>
      </c>
      <c r="AR4185" s="3" t="s">
        <v>62</v>
      </c>
      <c r="AS4185" s="3" t="s">
        <v>62</v>
      </c>
      <c r="AT4185" s="3" t="s">
        <v>62</v>
      </c>
      <c r="AV4185" s="6" t="str">
        <f t="shared" ref="AV4185:AV4192" si="68">HYPERLINK("http://mcgill.on.worldcat.org/oclc/949909675","Catalog Record")</f>
        <v>Catalog Record</v>
      </c>
      <c r="AW4185" s="6" t="str">
        <f t="shared" ref="AW4185:AW4192" si="69">HYPERLINK("http://www.worldcat.org/oclc/949909675","WorldCat Record")</f>
        <v>WorldCat Record</v>
      </c>
      <c r="AX4185" s="3" t="s">
        <v>40246</v>
      </c>
      <c r="AY4185" s="3" t="s">
        <v>40310</v>
      </c>
      <c r="AZ4185" s="3" t="s">
        <v>40311</v>
      </c>
      <c r="BA4185" s="3" t="s">
        <v>40311</v>
      </c>
      <c r="BB4185" s="3" t="s">
        <v>40312</v>
      </c>
      <c r="BC4185" s="3" t="s">
        <v>102</v>
      </c>
      <c r="BD4185" s="3" t="s">
        <v>68</v>
      </c>
      <c r="BE4185" s="3" t="s">
        <v>40313</v>
      </c>
      <c r="BF4185" s="3" t="s">
        <v>40312</v>
      </c>
      <c r="BG4185" s="3" t="s">
        <v>40314</v>
      </c>
    </row>
    <row r="4186" spans="1:59" ht="101.5" x14ac:dyDescent="0.35">
      <c r="A4186" s="2" t="s">
        <v>89</v>
      </c>
      <c r="B4186" s="2" t="s">
        <v>12301</v>
      </c>
      <c r="C4186" s="2" t="s">
        <v>40305</v>
      </c>
      <c r="D4186" s="2" t="s">
        <v>40306</v>
      </c>
      <c r="E4186" s="2" t="s">
        <v>40307</v>
      </c>
      <c r="G4186" s="3" t="s">
        <v>62</v>
      </c>
      <c r="I4186" s="3" t="s">
        <v>61</v>
      </c>
      <c r="J4186" s="3" t="s">
        <v>61</v>
      </c>
      <c r="K4186" s="3" t="s">
        <v>63</v>
      </c>
      <c r="L4186" s="2" t="s">
        <v>40308</v>
      </c>
      <c r="M4186" s="2" t="s">
        <v>40309</v>
      </c>
      <c r="N4186" s="3" t="s">
        <v>1038</v>
      </c>
      <c r="O4186" s="2" t="s">
        <v>22672</v>
      </c>
      <c r="P4186" s="3" t="s">
        <v>64</v>
      </c>
      <c r="R4186" s="3" t="s">
        <v>34126</v>
      </c>
      <c r="S4186" s="4">
        <v>76</v>
      </c>
      <c r="T4186" s="4">
        <v>590</v>
      </c>
      <c r="U4186" s="5" t="s">
        <v>24286</v>
      </c>
      <c r="V4186" s="5" t="s">
        <v>24286</v>
      </c>
      <c r="W4186" s="5" t="s">
        <v>67</v>
      </c>
      <c r="X4186" s="5" t="s">
        <v>67</v>
      </c>
      <c r="Y4186" s="4">
        <v>198</v>
      </c>
      <c r="Z4186" s="4">
        <v>6</v>
      </c>
      <c r="AA4186" s="4">
        <v>114</v>
      </c>
      <c r="AB4186" s="4">
        <v>1</v>
      </c>
      <c r="AC4186" s="4">
        <v>24</v>
      </c>
      <c r="AD4186" s="4">
        <v>50</v>
      </c>
      <c r="AE4186" s="4">
        <v>169</v>
      </c>
      <c r="AF4186" s="4">
        <v>0</v>
      </c>
      <c r="AG4186" s="4">
        <v>8</v>
      </c>
      <c r="AH4186" s="4">
        <v>45</v>
      </c>
      <c r="AI4186" s="4">
        <v>117</v>
      </c>
      <c r="AJ4186" s="4">
        <v>2</v>
      </c>
      <c r="AK4186" s="4">
        <v>28</v>
      </c>
      <c r="AL4186" s="4">
        <v>29</v>
      </c>
      <c r="AM4186" s="4">
        <v>62</v>
      </c>
      <c r="AN4186" s="4">
        <v>0</v>
      </c>
      <c r="AO4186" s="4">
        <v>5</v>
      </c>
      <c r="AP4186" s="4">
        <v>5</v>
      </c>
      <c r="AQ4186" s="4">
        <v>57</v>
      </c>
      <c r="AR4186" s="3" t="s">
        <v>62</v>
      </c>
      <c r="AS4186" s="3" t="s">
        <v>62</v>
      </c>
      <c r="AT4186" s="3" t="s">
        <v>62</v>
      </c>
      <c r="AV4186" s="6" t="str">
        <f t="shared" si="68"/>
        <v>Catalog Record</v>
      </c>
      <c r="AW4186" s="6" t="str">
        <f t="shared" si="69"/>
        <v>WorldCat Record</v>
      </c>
      <c r="AX4186" s="3" t="s">
        <v>40246</v>
      </c>
      <c r="AY4186" s="3" t="s">
        <v>40310</v>
      </c>
      <c r="AZ4186" s="3" t="s">
        <v>40311</v>
      </c>
      <c r="BA4186" s="3" t="s">
        <v>40311</v>
      </c>
      <c r="BB4186" s="3" t="s">
        <v>40315</v>
      </c>
      <c r="BC4186" s="3" t="s">
        <v>102</v>
      </c>
      <c r="BD4186" s="3" t="s">
        <v>68</v>
      </c>
      <c r="BE4186" s="3" t="s">
        <v>40313</v>
      </c>
      <c r="BF4186" s="3" t="s">
        <v>40315</v>
      </c>
      <c r="BG4186" s="3" t="s">
        <v>40316</v>
      </c>
    </row>
    <row r="4187" spans="1:59" ht="101.5" x14ac:dyDescent="0.35">
      <c r="A4187" s="2" t="s">
        <v>89</v>
      </c>
      <c r="B4187" s="2" t="s">
        <v>12301</v>
      </c>
      <c r="C4187" s="2" t="s">
        <v>40305</v>
      </c>
      <c r="D4187" s="2" t="s">
        <v>40306</v>
      </c>
      <c r="E4187" s="2" t="s">
        <v>40307</v>
      </c>
      <c r="G4187" s="3" t="s">
        <v>62</v>
      </c>
      <c r="I4187" s="3" t="s">
        <v>61</v>
      </c>
      <c r="J4187" s="3" t="s">
        <v>61</v>
      </c>
      <c r="K4187" s="3" t="s">
        <v>63</v>
      </c>
      <c r="L4187" s="2" t="s">
        <v>40308</v>
      </c>
      <c r="M4187" s="2" t="s">
        <v>40309</v>
      </c>
      <c r="N4187" s="3" t="s">
        <v>1038</v>
      </c>
      <c r="O4187" s="2" t="s">
        <v>22672</v>
      </c>
      <c r="P4187" s="3" t="s">
        <v>64</v>
      </c>
      <c r="R4187" s="3" t="s">
        <v>34126</v>
      </c>
      <c r="S4187" s="4">
        <v>70</v>
      </c>
      <c r="T4187" s="4">
        <v>590</v>
      </c>
      <c r="U4187" s="5" t="s">
        <v>16936</v>
      </c>
      <c r="V4187" s="5" t="s">
        <v>24286</v>
      </c>
      <c r="W4187" s="5" t="s">
        <v>67</v>
      </c>
      <c r="X4187" s="5" t="s">
        <v>67</v>
      </c>
      <c r="Y4187" s="4">
        <v>198</v>
      </c>
      <c r="Z4187" s="4">
        <v>6</v>
      </c>
      <c r="AA4187" s="4">
        <v>114</v>
      </c>
      <c r="AB4187" s="4">
        <v>1</v>
      </c>
      <c r="AC4187" s="4">
        <v>24</v>
      </c>
      <c r="AD4187" s="4">
        <v>50</v>
      </c>
      <c r="AE4187" s="4">
        <v>169</v>
      </c>
      <c r="AF4187" s="4">
        <v>0</v>
      </c>
      <c r="AG4187" s="4">
        <v>8</v>
      </c>
      <c r="AH4187" s="4">
        <v>45</v>
      </c>
      <c r="AI4187" s="4">
        <v>117</v>
      </c>
      <c r="AJ4187" s="4">
        <v>2</v>
      </c>
      <c r="AK4187" s="4">
        <v>28</v>
      </c>
      <c r="AL4187" s="4">
        <v>29</v>
      </c>
      <c r="AM4187" s="4">
        <v>62</v>
      </c>
      <c r="AN4187" s="4">
        <v>0</v>
      </c>
      <c r="AO4187" s="4">
        <v>5</v>
      </c>
      <c r="AP4187" s="4">
        <v>5</v>
      </c>
      <c r="AQ4187" s="4">
        <v>57</v>
      </c>
      <c r="AR4187" s="3" t="s">
        <v>62</v>
      </c>
      <c r="AS4187" s="3" t="s">
        <v>62</v>
      </c>
      <c r="AT4187" s="3" t="s">
        <v>62</v>
      </c>
      <c r="AV4187" s="6" t="str">
        <f t="shared" si="68"/>
        <v>Catalog Record</v>
      </c>
      <c r="AW4187" s="6" t="str">
        <f t="shared" si="69"/>
        <v>WorldCat Record</v>
      </c>
      <c r="AX4187" s="3" t="s">
        <v>40246</v>
      </c>
      <c r="AY4187" s="3" t="s">
        <v>40310</v>
      </c>
      <c r="AZ4187" s="3" t="s">
        <v>40311</v>
      </c>
      <c r="BA4187" s="3" t="s">
        <v>40311</v>
      </c>
      <c r="BB4187" s="3" t="s">
        <v>40317</v>
      </c>
      <c r="BC4187" s="3" t="s">
        <v>102</v>
      </c>
      <c r="BD4187" s="3" t="s">
        <v>68</v>
      </c>
      <c r="BE4187" s="3" t="s">
        <v>40313</v>
      </c>
      <c r="BF4187" s="3" t="s">
        <v>40317</v>
      </c>
      <c r="BG4187" s="3" t="s">
        <v>40318</v>
      </c>
    </row>
    <row r="4188" spans="1:59" ht="101.5" x14ac:dyDescent="0.35">
      <c r="A4188" s="2" t="s">
        <v>89</v>
      </c>
      <c r="B4188" s="2" t="s">
        <v>12301</v>
      </c>
      <c r="C4188" s="2" t="s">
        <v>40305</v>
      </c>
      <c r="D4188" s="2" t="s">
        <v>40306</v>
      </c>
      <c r="E4188" s="2" t="s">
        <v>40307</v>
      </c>
      <c r="G4188" s="3" t="s">
        <v>62</v>
      </c>
      <c r="I4188" s="3" t="s">
        <v>61</v>
      </c>
      <c r="J4188" s="3" t="s">
        <v>61</v>
      </c>
      <c r="K4188" s="3" t="s">
        <v>63</v>
      </c>
      <c r="L4188" s="2" t="s">
        <v>40308</v>
      </c>
      <c r="M4188" s="2" t="s">
        <v>40309</v>
      </c>
      <c r="N4188" s="3" t="s">
        <v>1038</v>
      </c>
      <c r="O4188" s="2" t="s">
        <v>22672</v>
      </c>
      <c r="P4188" s="3" t="s">
        <v>64</v>
      </c>
      <c r="R4188" s="3" t="s">
        <v>34126</v>
      </c>
      <c r="S4188" s="4">
        <v>79</v>
      </c>
      <c r="T4188" s="4">
        <v>590</v>
      </c>
      <c r="U4188" s="5" t="s">
        <v>24286</v>
      </c>
      <c r="V4188" s="5" t="s">
        <v>24286</v>
      </c>
      <c r="W4188" s="5" t="s">
        <v>67</v>
      </c>
      <c r="X4188" s="5" t="s">
        <v>67</v>
      </c>
      <c r="Y4188" s="4">
        <v>198</v>
      </c>
      <c r="Z4188" s="4">
        <v>6</v>
      </c>
      <c r="AA4188" s="4">
        <v>114</v>
      </c>
      <c r="AB4188" s="4">
        <v>1</v>
      </c>
      <c r="AC4188" s="4">
        <v>24</v>
      </c>
      <c r="AD4188" s="4">
        <v>50</v>
      </c>
      <c r="AE4188" s="4">
        <v>169</v>
      </c>
      <c r="AF4188" s="4">
        <v>0</v>
      </c>
      <c r="AG4188" s="4">
        <v>8</v>
      </c>
      <c r="AH4188" s="4">
        <v>45</v>
      </c>
      <c r="AI4188" s="4">
        <v>117</v>
      </c>
      <c r="AJ4188" s="4">
        <v>2</v>
      </c>
      <c r="AK4188" s="4">
        <v>28</v>
      </c>
      <c r="AL4188" s="4">
        <v>29</v>
      </c>
      <c r="AM4188" s="4">
        <v>62</v>
      </c>
      <c r="AN4188" s="4">
        <v>0</v>
      </c>
      <c r="AO4188" s="4">
        <v>5</v>
      </c>
      <c r="AP4188" s="4">
        <v>5</v>
      </c>
      <c r="AQ4188" s="4">
        <v>57</v>
      </c>
      <c r="AR4188" s="3" t="s">
        <v>62</v>
      </c>
      <c r="AS4188" s="3" t="s">
        <v>62</v>
      </c>
      <c r="AT4188" s="3" t="s">
        <v>62</v>
      </c>
      <c r="AV4188" s="6" t="str">
        <f t="shared" si="68"/>
        <v>Catalog Record</v>
      </c>
      <c r="AW4188" s="6" t="str">
        <f t="shared" si="69"/>
        <v>WorldCat Record</v>
      </c>
      <c r="AX4188" s="3" t="s">
        <v>40246</v>
      </c>
      <c r="AY4188" s="3" t="s">
        <v>40310</v>
      </c>
      <c r="AZ4188" s="3" t="s">
        <v>40311</v>
      </c>
      <c r="BA4188" s="3" t="s">
        <v>40311</v>
      </c>
      <c r="BB4188" s="3" t="s">
        <v>40319</v>
      </c>
      <c r="BC4188" s="3" t="s">
        <v>102</v>
      </c>
      <c r="BD4188" s="3" t="s">
        <v>68</v>
      </c>
      <c r="BE4188" s="3" t="s">
        <v>40313</v>
      </c>
      <c r="BF4188" s="3" t="s">
        <v>40319</v>
      </c>
      <c r="BG4188" s="3" t="s">
        <v>40320</v>
      </c>
    </row>
    <row r="4189" spans="1:59" ht="101.5" x14ac:dyDescent="0.35">
      <c r="A4189" s="2" t="s">
        <v>89</v>
      </c>
      <c r="B4189" s="2" t="s">
        <v>12301</v>
      </c>
      <c r="C4189" s="2" t="s">
        <v>40305</v>
      </c>
      <c r="D4189" s="2" t="s">
        <v>40306</v>
      </c>
      <c r="E4189" s="2" t="s">
        <v>40307</v>
      </c>
      <c r="G4189" s="3" t="s">
        <v>62</v>
      </c>
      <c r="I4189" s="3" t="s">
        <v>61</v>
      </c>
      <c r="J4189" s="3" t="s">
        <v>61</v>
      </c>
      <c r="K4189" s="3" t="s">
        <v>63</v>
      </c>
      <c r="L4189" s="2" t="s">
        <v>40308</v>
      </c>
      <c r="M4189" s="2" t="s">
        <v>40309</v>
      </c>
      <c r="N4189" s="3" t="s">
        <v>1038</v>
      </c>
      <c r="O4189" s="2" t="s">
        <v>22672</v>
      </c>
      <c r="P4189" s="3" t="s">
        <v>64</v>
      </c>
      <c r="R4189" s="3" t="s">
        <v>34126</v>
      </c>
      <c r="S4189" s="4">
        <v>83</v>
      </c>
      <c r="T4189" s="4">
        <v>590</v>
      </c>
      <c r="U4189" s="5" t="s">
        <v>4468</v>
      </c>
      <c r="V4189" s="5" t="s">
        <v>24286</v>
      </c>
      <c r="W4189" s="5" t="s">
        <v>67</v>
      </c>
      <c r="X4189" s="5" t="s">
        <v>67</v>
      </c>
      <c r="Y4189" s="4">
        <v>198</v>
      </c>
      <c r="Z4189" s="4">
        <v>6</v>
      </c>
      <c r="AA4189" s="4">
        <v>114</v>
      </c>
      <c r="AB4189" s="4">
        <v>1</v>
      </c>
      <c r="AC4189" s="4">
        <v>24</v>
      </c>
      <c r="AD4189" s="4">
        <v>50</v>
      </c>
      <c r="AE4189" s="4">
        <v>169</v>
      </c>
      <c r="AF4189" s="4">
        <v>0</v>
      </c>
      <c r="AG4189" s="4">
        <v>8</v>
      </c>
      <c r="AH4189" s="4">
        <v>45</v>
      </c>
      <c r="AI4189" s="4">
        <v>117</v>
      </c>
      <c r="AJ4189" s="4">
        <v>2</v>
      </c>
      <c r="AK4189" s="4">
        <v>28</v>
      </c>
      <c r="AL4189" s="4">
        <v>29</v>
      </c>
      <c r="AM4189" s="4">
        <v>62</v>
      </c>
      <c r="AN4189" s="4">
        <v>0</v>
      </c>
      <c r="AO4189" s="4">
        <v>5</v>
      </c>
      <c r="AP4189" s="4">
        <v>5</v>
      </c>
      <c r="AQ4189" s="4">
        <v>57</v>
      </c>
      <c r="AR4189" s="3" t="s">
        <v>62</v>
      </c>
      <c r="AS4189" s="3" t="s">
        <v>62</v>
      </c>
      <c r="AT4189" s="3" t="s">
        <v>62</v>
      </c>
      <c r="AV4189" s="6" t="str">
        <f t="shared" si="68"/>
        <v>Catalog Record</v>
      </c>
      <c r="AW4189" s="6" t="str">
        <f t="shared" si="69"/>
        <v>WorldCat Record</v>
      </c>
      <c r="AX4189" s="3" t="s">
        <v>40246</v>
      </c>
      <c r="AY4189" s="3" t="s">
        <v>40310</v>
      </c>
      <c r="AZ4189" s="3" t="s">
        <v>40311</v>
      </c>
      <c r="BA4189" s="3" t="s">
        <v>40311</v>
      </c>
      <c r="BB4189" s="3" t="s">
        <v>40321</v>
      </c>
      <c r="BC4189" s="3" t="s">
        <v>102</v>
      </c>
      <c r="BD4189" s="3" t="s">
        <v>68</v>
      </c>
      <c r="BE4189" s="3" t="s">
        <v>40313</v>
      </c>
      <c r="BF4189" s="3" t="s">
        <v>40321</v>
      </c>
      <c r="BG4189" s="3" t="s">
        <v>40322</v>
      </c>
    </row>
    <row r="4190" spans="1:59" ht="101.5" x14ac:dyDescent="0.35">
      <c r="A4190" s="2" t="s">
        <v>89</v>
      </c>
      <c r="B4190" s="2" t="s">
        <v>12301</v>
      </c>
      <c r="C4190" s="2" t="s">
        <v>40305</v>
      </c>
      <c r="D4190" s="2" t="s">
        <v>40306</v>
      </c>
      <c r="E4190" s="2" t="s">
        <v>40307</v>
      </c>
      <c r="G4190" s="3" t="s">
        <v>62</v>
      </c>
      <c r="I4190" s="3" t="s">
        <v>61</v>
      </c>
      <c r="J4190" s="3" t="s">
        <v>61</v>
      </c>
      <c r="K4190" s="3" t="s">
        <v>63</v>
      </c>
      <c r="L4190" s="2" t="s">
        <v>40308</v>
      </c>
      <c r="M4190" s="2" t="s">
        <v>40309</v>
      </c>
      <c r="N4190" s="3" t="s">
        <v>1038</v>
      </c>
      <c r="O4190" s="2" t="s">
        <v>22672</v>
      </c>
      <c r="P4190" s="3" t="s">
        <v>64</v>
      </c>
      <c r="R4190" s="3" t="s">
        <v>34126</v>
      </c>
      <c r="S4190" s="4">
        <v>66</v>
      </c>
      <c r="T4190" s="4">
        <v>590</v>
      </c>
      <c r="U4190" s="5" t="s">
        <v>9812</v>
      </c>
      <c r="V4190" s="5" t="s">
        <v>24286</v>
      </c>
      <c r="W4190" s="5" t="s">
        <v>67</v>
      </c>
      <c r="X4190" s="5" t="s">
        <v>67</v>
      </c>
      <c r="Y4190" s="4">
        <v>198</v>
      </c>
      <c r="Z4190" s="4">
        <v>6</v>
      </c>
      <c r="AA4190" s="4">
        <v>114</v>
      </c>
      <c r="AB4190" s="4">
        <v>1</v>
      </c>
      <c r="AC4190" s="4">
        <v>24</v>
      </c>
      <c r="AD4190" s="4">
        <v>50</v>
      </c>
      <c r="AE4190" s="4">
        <v>169</v>
      </c>
      <c r="AF4190" s="4">
        <v>0</v>
      </c>
      <c r="AG4190" s="4">
        <v>8</v>
      </c>
      <c r="AH4190" s="4">
        <v>45</v>
      </c>
      <c r="AI4190" s="4">
        <v>117</v>
      </c>
      <c r="AJ4190" s="4">
        <v>2</v>
      </c>
      <c r="AK4190" s="4">
        <v>28</v>
      </c>
      <c r="AL4190" s="4">
        <v>29</v>
      </c>
      <c r="AM4190" s="4">
        <v>62</v>
      </c>
      <c r="AN4190" s="4">
        <v>0</v>
      </c>
      <c r="AO4190" s="4">
        <v>5</v>
      </c>
      <c r="AP4190" s="4">
        <v>5</v>
      </c>
      <c r="AQ4190" s="4">
        <v>57</v>
      </c>
      <c r="AR4190" s="3" t="s">
        <v>62</v>
      </c>
      <c r="AS4190" s="3" t="s">
        <v>62</v>
      </c>
      <c r="AT4190" s="3" t="s">
        <v>62</v>
      </c>
      <c r="AV4190" s="6" t="str">
        <f t="shared" si="68"/>
        <v>Catalog Record</v>
      </c>
      <c r="AW4190" s="6" t="str">
        <f t="shared" si="69"/>
        <v>WorldCat Record</v>
      </c>
      <c r="AX4190" s="3" t="s">
        <v>40246</v>
      </c>
      <c r="AY4190" s="3" t="s">
        <v>40310</v>
      </c>
      <c r="AZ4190" s="3" t="s">
        <v>40311</v>
      </c>
      <c r="BA4190" s="3" t="s">
        <v>40311</v>
      </c>
      <c r="BB4190" s="3" t="s">
        <v>40323</v>
      </c>
      <c r="BC4190" s="3" t="s">
        <v>102</v>
      </c>
      <c r="BD4190" s="3" t="s">
        <v>231</v>
      </c>
      <c r="BE4190" s="3" t="s">
        <v>40313</v>
      </c>
      <c r="BF4190" s="3" t="s">
        <v>40323</v>
      </c>
      <c r="BG4190" s="3" t="s">
        <v>40324</v>
      </c>
    </row>
    <row r="4191" spans="1:59" ht="101.5" x14ac:dyDescent="0.35">
      <c r="A4191" s="2" t="s">
        <v>89</v>
      </c>
      <c r="B4191" s="2" t="s">
        <v>12301</v>
      </c>
      <c r="C4191" s="2" t="s">
        <v>40305</v>
      </c>
      <c r="D4191" s="2" t="s">
        <v>40306</v>
      </c>
      <c r="E4191" s="2" t="s">
        <v>40307</v>
      </c>
      <c r="G4191" s="3" t="s">
        <v>62</v>
      </c>
      <c r="I4191" s="3" t="s">
        <v>61</v>
      </c>
      <c r="J4191" s="3" t="s">
        <v>61</v>
      </c>
      <c r="K4191" s="3" t="s">
        <v>63</v>
      </c>
      <c r="L4191" s="2" t="s">
        <v>40308</v>
      </c>
      <c r="M4191" s="2" t="s">
        <v>40309</v>
      </c>
      <c r="N4191" s="3" t="s">
        <v>1038</v>
      </c>
      <c r="O4191" s="2" t="s">
        <v>22672</v>
      </c>
      <c r="P4191" s="3" t="s">
        <v>64</v>
      </c>
      <c r="R4191" s="3" t="s">
        <v>34126</v>
      </c>
      <c r="S4191" s="4">
        <v>83</v>
      </c>
      <c r="T4191" s="4">
        <v>590</v>
      </c>
      <c r="U4191" s="5" t="s">
        <v>15935</v>
      </c>
      <c r="V4191" s="5" t="s">
        <v>24286</v>
      </c>
      <c r="W4191" s="5" t="s">
        <v>67</v>
      </c>
      <c r="X4191" s="5" t="s">
        <v>67</v>
      </c>
      <c r="Y4191" s="4">
        <v>198</v>
      </c>
      <c r="Z4191" s="4">
        <v>6</v>
      </c>
      <c r="AA4191" s="4">
        <v>114</v>
      </c>
      <c r="AB4191" s="4">
        <v>1</v>
      </c>
      <c r="AC4191" s="4">
        <v>24</v>
      </c>
      <c r="AD4191" s="4">
        <v>50</v>
      </c>
      <c r="AE4191" s="4">
        <v>169</v>
      </c>
      <c r="AF4191" s="4">
        <v>0</v>
      </c>
      <c r="AG4191" s="4">
        <v>8</v>
      </c>
      <c r="AH4191" s="4">
        <v>45</v>
      </c>
      <c r="AI4191" s="4">
        <v>117</v>
      </c>
      <c r="AJ4191" s="4">
        <v>2</v>
      </c>
      <c r="AK4191" s="4">
        <v>28</v>
      </c>
      <c r="AL4191" s="4">
        <v>29</v>
      </c>
      <c r="AM4191" s="4">
        <v>62</v>
      </c>
      <c r="AN4191" s="4">
        <v>0</v>
      </c>
      <c r="AO4191" s="4">
        <v>5</v>
      </c>
      <c r="AP4191" s="4">
        <v>5</v>
      </c>
      <c r="AQ4191" s="4">
        <v>57</v>
      </c>
      <c r="AR4191" s="3" t="s">
        <v>62</v>
      </c>
      <c r="AS4191" s="3" t="s">
        <v>62</v>
      </c>
      <c r="AT4191" s="3" t="s">
        <v>62</v>
      </c>
      <c r="AV4191" s="6" t="str">
        <f t="shared" si="68"/>
        <v>Catalog Record</v>
      </c>
      <c r="AW4191" s="6" t="str">
        <f t="shared" si="69"/>
        <v>WorldCat Record</v>
      </c>
      <c r="AX4191" s="3" t="s">
        <v>40246</v>
      </c>
      <c r="AY4191" s="3" t="s">
        <v>40310</v>
      </c>
      <c r="AZ4191" s="3" t="s">
        <v>40311</v>
      </c>
      <c r="BA4191" s="3" t="s">
        <v>40311</v>
      </c>
      <c r="BB4191" s="3" t="s">
        <v>40325</v>
      </c>
      <c r="BC4191" s="3" t="s">
        <v>102</v>
      </c>
      <c r="BD4191" s="3" t="s">
        <v>231</v>
      </c>
      <c r="BE4191" s="3" t="s">
        <v>40313</v>
      </c>
      <c r="BF4191" s="3" t="s">
        <v>40325</v>
      </c>
      <c r="BG4191" s="3" t="s">
        <v>40326</v>
      </c>
    </row>
    <row r="4192" spans="1:59" ht="101.5" x14ac:dyDescent="0.35">
      <c r="A4192" s="2" t="s">
        <v>89</v>
      </c>
      <c r="B4192" s="2" t="s">
        <v>12301</v>
      </c>
      <c r="C4192" s="2" t="s">
        <v>40305</v>
      </c>
      <c r="D4192" s="2" t="s">
        <v>40306</v>
      </c>
      <c r="E4192" s="2" t="s">
        <v>40307</v>
      </c>
      <c r="G4192" s="3" t="s">
        <v>62</v>
      </c>
      <c r="I4192" s="3" t="s">
        <v>61</v>
      </c>
      <c r="J4192" s="3" t="s">
        <v>61</v>
      </c>
      <c r="K4192" s="3" t="s">
        <v>63</v>
      </c>
      <c r="L4192" s="2" t="s">
        <v>40308</v>
      </c>
      <c r="M4192" s="2" t="s">
        <v>40309</v>
      </c>
      <c r="N4192" s="3" t="s">
        <v>1038</v>
      </c>
      <c r="O4192" s="2" t="s">
        <v>22672</v>
      </c>
      <c r="P4192" s="3" t="s">
        <v>64</v>
      </c>
      <c r="R4192" s="3" t="s">
        <v>34126</v>
      </c>
      <c r="S4192" s="4">
        <v>72</v>
      </c>
      <c r="T4192" s="4">
        <v>590</v>
      </c>
      <c r="U4192" s="5" t="s">
        <v>20032</v>
      </c>
      <c r="V4192" s="5" t="s">
        <v>24286</v>
      </c>
      <c r="W4192" s="5" t="s">
        <v>67</v>
      </c>
      <c r="X4192" s="5" t="s">
        <v>67</v>
      </c>
      <c r="Y4192" s="4">
        <v>198</v>
      </c>
      <c r="Z4192" s="4">
        <v>6</v>
      </c>
      <c r="AA4192" s="4">
        <v>114</v>
      </c>
      <c r="AB4192" s="4">
        <v>1</v>
      </c>
      <c r="AC4192" s="4">
        <v>24</v>
      </c>
      <c r="AD4192" s="4">
        <v>50</v>
      </c>
      <c r="AE4192" s="4">
        <v>169</v>
      </c>
      <c r="AF4192" s="4">
        <v>0</v>
      </c>
      <c r="AG4192" s="4">
        <v>8</v>
      </c>
      <c r="AH4192" s="4">
        <v>45</v>
      </c>
      <c r="AI4192" s="4">
        <v>117</v>
      </c>
      <c r="AJ4192" s="4">
        <v>2</v>
      </c>
      <c r="AK4192" s="4">
        <v>28</v>
      </c>
      <c r="AL4192" s="4">
        <v>29</v>
      </c>
      <c r="AM4192" s="4">
        <v>62</v>
      </c>
      <c r="AN4192" s="4">
        <v>0</v>
      </c>
      <c r="AO4192" s="4">
        <v>5</v>
      </c>
      <c r="AP4192" s="4">
        <v>5</v>
      </c>
      <c r="AQ4192" s="4">
        <v>57</v>
      </c>
      <c r="AR4192" s="3" t="s">
        <v>62</v>
      </c>
      <c r="AS4192" s="3" t="s">
        <v>62</v>
      </c>
      <c r="AT4192" s="3" t="s">
        <v>62</v>
      </c>
      <c r="AV4192" s="6" t="str">
        <f t="shared" si="68"/>
        <v>Catalog Record</v>
      </c>
      <c r="AW4192" s="6" t="str">
        <f t="shared" si="69"/>
        <v>WorldCat Record</v>
      </c>
      <c r="AX4192" s="3" t="s">
        <v>40246</v>
      </c>
      <c r="AY4192" s="3" t="s">
        <v>40310</v>
      </c>
      <c r="AZ4192" s="3" t="s">
        <v>40311</v>
      </c>
      <c r="BA4192" s="3" t="s">
        <v>40311</v>
      </c>
      <c r="BB4192" s="3" t="s">
        <v>40327</v>
      </c>
      <c r="BC4192" s="3" t="s">
        <v>102</v>
      </c>
      <c r="BD4192" s="3" t="s">
        <v>68</v>
      </c>
      <c r="BE4192" s="3" t="s">
        <v>40313</v>
      </c>
      <c r="BF4192" s="3" t="s">
        <v>40327</v>
      </c>
      <c r="BG4192" s="3" t="s">
        <v>40328</v>
      </c>
    </row>
    <row r="4193" spans="1:59" ht="58" x14ac:dyDescent="0.35">
      <c r="A4193" s="2" t="s">
        <v>59</v>
      </c>
      <c r="B4193" s="2" t="s">
        <v>60</v>
      </c>
      <c r="C4193" s="2" t="s">
        <v>40329</v>
      </c>
      <c r="D4193" s="2" t="s">
        <v>40330</v>
      </c>
      <c r="E4193" s="2" t="s">
        <v>40331</v>
      </c>
      <c r="F4193" s="3" t="s">
        <v>2233</v>
      </c>
      <c r="G4193" s="3" t="s">
        <v>61</v>
      </c>
      <c r="I4193" s="3" t="s">
        <v>62</v>
      </c>
      <c r="J4193" s="3" t="s">
        <v>62</v>
      </c>
      <c r="K4193" s="3" t="s">
        <v>63</v>
      </c>
      <c r="M4193" s="2" t="s">
        <v>40332</v>
      </c>
      <c r="N4193" s="3" t="s">
        <v>539</v>
      </c>
      <c r="P4193" s="3" t="s">
        <v>64</v>
      </c>
      <c r="R4193" s="3" t="s">
        <v>34126</v>
      </c>
      <c r="S4193" s="4">
        <v>3</v>
      </c>
      <c r="T4193" s="4">
        <v>7</v>
      </c>
      <c r="U4193" s="5" t="s">
        <v>6386</v>
      </c>
      <c r="V4193" s="5" t="s">
        <v>6386</v>
      </c>
      <c r="W4193" s="5" t="s">
        <v>67</v>
      </c>
      <c r="X4193" s="5" t="s">
        <v>67</v>
      </c>
      <c r="Y4193" s="4">
        <v>80</v>
      </c>
      <c r="Z4193" s="4">
        <v>4</v>
      </c>
      <c r="AA4193" s="4">
        <v>8</v>
      </c>
      <c r="AB4193" s="4">
        <v>1</v>
      </c>
      <c r="AC4193" s="4">
        <v>4</v>
      </c>
      <c r="AD4193" s="4">
        <v>21</v>
      </c>
      <c r="AE4193" s="4">
        <v>56</v>
      </c>
      <c r="AF4193" s="4">
        <v>0</v>
      </c>
      <c r="AG4193" s="4">
        <v>2</v>
      </c>
      <c r="AH4193" s="4">
        <v>18</v>
      </c>
      <c r="AI4193" s="4">
        <v>50</v>
      </c>
      <c r="AJ4193" s="4">
        <v>2</v>
      </c>
      <c r="AK4193" s="4">
        <v>5</v>
      </c>
      <c r="AL4193" s="4">
        <v>9</v>
      </c>
      <c r="AM4193" s="4">
        <v>29</v>
      </c>
      <c r="AN4193" s="4">
        <v>0</v>
      </c>
      <c r="AO4193" s="4">
        <v>0</v>
      </c>
      <c r="AP4193" s="4">
        <v>3</v>
      </c>
      <c r="AQ4193" s="4">
        <v>5</v>
      </c>
      <c r="AR4193" s="3" t="s">
        <v>62</v>
      </c>
      <c r="AS4193" s="3" t="s">
        <v>62</v>
      </c>
      <c r="AT4193" s="3" t="s">
        <v>62</v>
      </c>
      <c r="AV4193" s="6" t="str">
        <f>HYPERLINK("http://mcgill.on.worldcat.org/oclc/217242418","Catalog Record")</f>
        <v>Catalog Record</v>
      </c>
      <c r="AW4193" s="6" t="str">
        <f>HYPERLINK("http://www.worldcat.org/oclc/217242418","WorldCat Record")</f>
        <v>WorldCat Record</v>
      </c>
      <c r="AX4193" s="3" t="s">
        <v>40333</v>
      </c>
      <c r="AY4193" s="3" t="s">
        <v>40334</v>
      </c>
      <c r="AZ4193" s="3" t="s">
        <v>40335</v>
      </c>
      <c r="BA4193" s="3" t="s">
        <v>40335</v>
      </c>
      <c r="BB4193" s="3" t="s">
        <v>40336</v>
      </c>
      <c r="BC4193" s="3" t="s">
        <v>40176</v>
      </c>
      <c r="BD4193" s="3" t="s">
        <v>68</v>
      </c>
      <c r="BE4193" s="3" t="s">
        <v>40337</v>
      </c>
      <c r="BF4193" s="3" t="s">
        <v>40336</v>
      </c>
      <c r="BG4193" s="3" t="s">
        <v>40338</v>
      </c>
    </row>
    <row r="4194" spans="1:59" ht="58" x14ac:dyDescent="0.35">
      <c r="A4194" s="2" t="s">
        <v>59</v>
      </c>
      <c r="B4194" s="2" t="s">
        <v>60</v>
      </c>
      <c r="C4194" s="2" t="s">
        <v>40329</v>
      </c>
      <c r="D4194" s="2" t="s">
        <v>40330</v>
      </c>
      <c r="E4194" s="2" t="s">
        <v>40331</v>
      </c>
      <c r="F4194" s="3" t="s">
        <v>2217</v>
      </c>
      <c r="G4194" s="3" t="s">
        <v>61</v>
      </c>
      <c r="I4194" s="3" t="s">
        <v>62</v>
      </c>
      <c r="J4194" s="3" t="s">
        <v>62</v>
      </c>
      <c r="K4194" s="3" t="s">
        <v>63</v>
      </c>
      <c r="M4194" s="2" t="s">
        <v>40332</v>
      </c>
      <c r="N4194" s="3" t="s">
        <v>539</v>
      </c>
      <c r="P4194" s="3" t="s">
        <v>64</v>
      </c>
      <c r="R4194" s="3" t="s">
        <v>34126</v>
      </c>
      <c r="S4194" s="4">
        <v>4</v>
      </c>
      <c r="T4194" s="4">
        <v>7</v>
      </c>
      <c r="U4194" s="5" t="s">
        <v>16753</v>
      </c>
      <c r="V4194" s="5" t="s">
        <v>6386</v>
      </c>
      <c r="W4194" s="5" t="s">
        <v>67</v>
      </c>
      <c r="X4194" s="5" t="s">
        <v>67</v>
      </c>
      <c r="Y4194" s="4">
        <v>80</v>
      </c>
      <c r="Z4194" s="4">
        <v>4</v>
      </c>
      <c r="AA4194" s="4">
        <v>8</v>
      </c>
      <c r="AB4194" s="4">
        <v>1</v>
      </c>
      <c r="AC4194" s="4">
        <v>4</v>
      </c>
      <c r="AD4194" s="4">
        <v>21</v>
      </c>
      <c r="AE4194" s="4">
        <v>56</v>
      </c>
      <c r="AF4194" s="4">
        <v>0</v>
      </c>
      <c r="AG4194" s="4">
        <v>2</v>
      </c>
      <c r="AH4194" s="4">
        <v>18</v>
      </c>
      <c r="AI4194" s="4">
        <v>50</v>
      </c>
      <c r="AJ4194" s="4">
        <v>2</v>
      </c>
      <c r="AK4194" s="4">
        <v>5</v>
      </c>
      <c r="AL4194" s="4">
        <v>9</v>
      </c>
      <c r="AM4194" s="4">
        <v>29</v>
      </c>
      <c r="AN4194" s="4">
        <v>0</v>
      </c>
      <c r="AO4194" s="4">
        <v>0</v>
      </c>
      <c r="AP4194" s="4">
        <v>3</v>
      </c>
      <c r="AQ4194" s="4">
        <v>5</v>
      </c>
      <c r="AR4194" s="3" t="s">
        <v>62</v>
      </c>
      <c r="AS4194" s="3" t="s">
        <v>62</v>
      </c>
      <c r="AT4194" s="3" t="s">
        <v>62</v>
      </c>
      <c r="AV4194" s="6" t="str">
        <f>HYPERLINK("http://mcgill.on.worldcat.org/oclc/217242418","Catalog Record")</f>
        <v>Catalog Record</v>
      </c>
      <c r="AW4194" s="6" t="str">
        <f>HYPERLINK("http://www.worldcat.org/oclc/217242418","WorldCat Record")</f>
        <v>WorldCat Record</v>
      </c>
      <c r="AX4194" s="3" t="s">
        <v>40333</v>
      </c>
      <c r="AY4194" s="3" t="s">
        <v>40334</v>
      </c>
      <c r="AZ4194" s="3" t="s">
        <v>40335</v>
      </c>
      <c r="BA4194" s="3" t="s">
        <v>40335</v>
      </c>
      <c r="BB4194" s="3" t="s">
        <v>40339</v>
      </c>
      <c r="BC4194" s="3" t="s">
        <v>40176</v>
      </c>
      <c r="BD4194" s="3" t="s">
        <v>68</v>
      </c>
      <c r="BE4194" s="3" t="s">
        <v>40337</v>
      </c>
      <c r="BF4194" s="3" t="s">
        <v>40339</v>
      </c>
      <c r="BG4194" s="3" t="s">
        <v>40340</v>
      </c>
    </row>
    <row r="4195" spans="1:59" ht="58" x14ac:dyDescent="0.35">
      <c r="A4195" s="2" t="s">
        <v>59</v>
      </c>
      <c r="B4195" s="2" t="s">
        <v>60</v>
      </c>
      <c r="C4195" s="2" t="s">
        <v>40341</v>
      </c>
      <c r="D4195" s="2" t="s">
        <v>40342</v>
      </c>
      <c r="E4195" s="2" t="s">
        <v>40343</v>
      </c>
      <c r="G4195" s="3" t="s">
        <v>62</v>
      </c>
      <c r="I4195" s="3" t="s">
        <v>62</v>
      </c>
      <c r="J4195" s="3" t="s">
        <v>62</v>
      </c>
      <c r="K4195" s="3" t="s">
        <v>63</v>
      </c>
      <c r="M4195" s="2" t="s">
        <v>40344</v>
      </c>
      <c r="N4195" s="3" t="s">
        <v>115</v>
      </c>
      <c r="P4195" s="3" t="s">
        <v>64</v>
      </c>
      <c r="Q4195" s="2" t="s">
        <v>40345</v>
      </c>
      <c r="R4195" s="3" t="s">
        <v>34126</v>
      </c>
      <c r="S4195" s="4">
        <v>12</v>
      </c>
      <c r="T4195" s="4">
        <v>12</v>
      </c>
      <c r="U4195" s="5" t="s">
        <v>40346</v>
      </c>
      <c r="V4195" s="5" t="s">
        <v>40346</v>
      </c>
      <c r="W4195" s="5" t="s">
        <v>67</v>
      </c>
      <c r="X4195" s="5" t="s">
        <v>67</v>
      </c>
      <c r="Y4195" s="4">
        <v>359</v>
      </c>
      <c r="Z4195" s="4">
        <v>23</v>
      </c>
      <c r="AA4195" s="4">
        <v>28</v>
      </c>
      <c r="AB4195" s="4">
        <v>1</v>
      </c>
      <c r="AC4195" s="4">
        <v>5</v>
      </c>
      <c r="AD4195" s="4">
        <v>92</v>
      </c>
      <c r="AE4195" s="4">
        <v>96</v>
      </c>
      <c r="AF4195" s="4">
        <v>0</v>
      </c>
      <c r="AG4195" s="4">
        <v>3</v>
      </c>
      <c r="AH4195" s="4">
        <v>80</v>
      </c>
      <c r="AI4195" s="4">
        <v>81</v>
      </c>
      <c r="AJ4195" s="4">
        <v>12</v>
      </c>
      <c r="AK4195" s="4">
        <v>15</v>
      </c>
      <c r="AL4195" s="4">
        <v>50</v>
      </c>
      <c r="AM4195" s="4">
        <v>50</v>
      </c>
      <c r="AN4195" s="4">
        <v>2</v>
      </c>
      <c r="AO4195" s="4">
        <v>2</v>
      </c>
      <c r="AP4195" s="4">
        <v>16</v>
      </c>
      <c r="AQ4195" s="4">
        <v>20</v>
      </c>
      <c r="AR4195" s="3" t="s">
        <v>62</v>
      </c>
      <c r="AS4195" s="3" t="s">
        <v>62</v>
      </c>
      <c r="AT4195" s="3" t="s">
        <v>61</v>
      </c>
      <c r="AU4195" s="6" t="str">
        <f>HYPERLINK("http://catalog.hathitrust.org/Record/001952127","HathiTrust Record")</f>
        <v>HathiTrust Record</v>
      </c>
      <c r="AV4195" s="6" t="str">
        <f>HYPERLINK("http://mcgill.on.worldcat.org/oclc/18682575","Catalog Record")</f>
        <v>Catalog Record</v>
      </c>
      <c r="AW4195" s="6" t="str">
        <f>HYPERLINK("http://www.worldcat.org/oclc/18682575","WorldCat Record")</f>
        <v>WorldCat Record</v>
      </c>
      <c r="AX4195" s="3" t="s">
        <v>40347</v>
      </c>
      <c r="AY4195" s="3" t="s">
        <v>40348</v>
      </c>
      <c r="AZ4195" s="3" t="s">
        <v>40349</v>
      </c>
      <c r="BA4195" s="3" t="s">
        <v>40349</v>
      </c>
      <c r="BB4195" s="3" t="s">
        <v>40350</v>
      </c>
      <c r="BC4195" s="3" t="s">
        <v>102</v>
      </c>
      <c r="BD4195" s="3" t="s">
        <v>68</v>
      </c>
      <c r="BE4195" s="3" t="s">
        <v>40351</v>
      </c>
      <c r="BF4195" s="3" t="s">
        <v>40350</v>
      </c>
      <c r="BG4195" s="3" t="s">
        <v>40352</v>
      </c>
    </row>
    <row r="4196" spans="1:59" ht="58" x14ac:dyDescent="0.35">
      <c r="A4196" s="2" t="s">
        <v>59</v>
      </c>
      <c r="B4196" s="2" t="s">
        <v>60</v>
      </c>
      <c r="C4196" s="2" t="s">
        <v>40353</v>
      </c>
      <c r="D4196" s="2" t="s">
        <v>40354</v>
      </c>
      <c r="E4196" s="2" t="s">
        <v>40355</v>
      </c>
      <c r="G4196" s="3" t="s">
        <v>62</v>
      </c>
      <c r="I4196" s="3" t="s">
        <v>62</v>
      </c>
      <c r="J4196" s="3" t="s">
        <v>61</v>
      </c>
      <c r="K4196" s="3" t="s">
        <v>63</v>
      </c>
      <c r="L4196" s="2" t="s">
        <v>40356</v>
      </c>
      <c r="M4196" s="2" t="s">
        <v>40357</v>
      </c>
      <c r="N4196" s="3" t="s">
        <v>625</v>
      </c>
      <c r="O4196" s="2" t="s">
        <v>10722</v>
      </c>
      <c r="P4196" s="3" t="s">
        <v>64</v>
      </c>
      <c r="R4196" s="3" t="s">
        <v>34126</v>
      </c>
      <c r="S4196" s="4">
        <v>15</v>
      </c>
      <c r="T4196" s="4">
        <v>15</v>
      </c>
      <c r="U4196" s="5" t="s">
        <v>36832</v>
      </c>
      <c r="V4196" s="5" t="s">
        <v>36832</v>
      </c>
      <c r="W4196" s="5" t="s">
        <v>67</v>
      </c>
      <c r="X4196" s="5" t="s">
        <v>67</v>
      </c>
      <c r="Y4196" s="4">
        <v>365</v>
      </c>
      <c r="Z4196" s="4">
        <v>14</v>
      </c>
      <c r="AA4196" s="4">
        <v>37</v>
      </c>
      <c r="AB4196" s="4">
        <v>1</v>
      </c>
      <c r="AC4196" s="4">
        <v>11</v>
      </c>
      <c r="AD4196" s="4">
        <v>97</v>
      </c>
      <c r="AE4196" s="4">
        <v>130</v>
      </c>
      <c r="AF4196" s="4">
        <v>0</v>
      </c>
      <c r="AG4196" s="4">
        <v>6</v>
      </c>
      <c r="AH4196" s="4">
        <v>91</v>
      </c>
      <c r="AI4196" s="4">
        <v>113</v>
      </c>
      <c r="AJ4196" s="4">
        <v>11</v>
      </c>
      <c r="AK4196" s="4">
        <v>21</v>
      </c>
      <c r="AL4196" s="4">
        <v>49</v>
      </c>
      <c r="AM4196" s="4">
        <v>61</v>
      </c>
      <c r="AN4196" s="4">
        <v>0</v>
      </c>
      <c r="AO4196" s="4">
        <v>1</v>
      </c>
      <c r="AP4196" s="4">
        <v>11</v>
      </c>
      <c r="AQ4196" s="4">
        <v>22</v>
      </c>
      <c r="AR4196" s="3" t="s">
        <v>62</v>
      </c>
      <c r="AS4196" s="3" t="s">
        <v>62</v>
      </c>
      <c r="AT4196" s="3" t="s">
        <v>62</v>
      </c>
      <c r="AV4196" s="6" t="str">
        <f>HYPERLINK("http://mcgill.on.worldcat.org/oclc/49221931","Catalog Record")</f>
        <v>Catalog Record</v>
      </c>
      <c r="AW4196" s="6" t="str">
        <f>HYPERLINK("http://www.worldcat.org/oclc/49221931","WorldCat Record")</f>
        <v>WorldCat Record</v>
      </c>
      <c r="AX4196" s="3" t="s">
        <v>40358</v>
      </c>
      <c r="AY4196" s="3" t="s">
        <v>40359</v>
      </c>
      <c r="AZ4196" s="3" t="s">
        <v>40360</v>
      </c>
      <c r="BA4196" s="3" t="s">
        <v>40360</v>
      </c>
      <c r="BB4196" s="3" t="s">
        <v>40361</v>
      </c>
      <c r="BC4196" s="3" t="s">
        <v>102</v>
      </c>
      <c r="BD4196" s="3" t="s">
        <v>68</v>
      </c>
      <c r="BE4196" s="3" t="s">
        <v>40362</v>
      </c>
      <c r="BF4196" s="3" t="s">
        <v>40361</v>
      </c>
      <c r="BG4196" s="3" t="s">
        <v>40363</v>
      </c>
    </row>
    <row r="4197" spans="1:59" ht="58" x14ac:dyDescent="0.35">
      <c r="A4197" s="2" t="s">
        <v>89</v>
      </c>
      <c r="B4197" s="2" t="s">
        <v>90</v>
      </c>
      <c r="C4197" s="2" t="s">
        <v>40364</v>
      </c>
      <c r="D4197" s="2" t="s">
        <v>40365</v>
      </c>
      <c r="E4197" s="2" t="s">
        <v>40366</v>
      </c>
      <c r="G4197" s="3" t="s">
        <v>62</v>
      </c>
      <c r="I4197" s="3" t="s">
        <v>61</v>
      </c>
      <c r="J4197" s="3" t="s">
        <v>62</v>
      </c>
      <c r="K4197" s="3" t="s">
        <v>63</v>
      </c>
      <c r="M4197" s="2" t="s">
        <v>40367</v>
      </c>
      <c r="N4197" s="3" t="s">
        <v>1722</v>
      </c>
      <c r="P4197" s="3" t="s">
        <v>64</v>
      </c>
      <c r="R4197" s="3" t="s">
        <v>34126</v>
      </c>
      <c r="S4197" s="4">
        <v>4</v>
      </c>
      <c r="T4197" s="4">
        <v>22</v>
      </c>
      <c r="U4197" s="5" t="s">
        <v>40368</v>
      </c>
      <c r="V4197" s="5" t="s">
        <v>40369</v>
      </c>
      <c r="W4197" s="5" t="s">
        <v>67</v>
      </c>
      <c r="X4197" s="5" t="s">
        <v>67</v>
      </c>
      <c r="Y4197" s="4">
        <v>883</v>
      </c>
      <c r="Z4197" s="4">
        <v>46</v>
      </c>
      <c r="AA4197" s="4">
        <v>113</v>
      </c>
      <c r="AB4197" s="4">
        <v>2</v>
      </c>
      <c r="AC4197" s="4">
        <v>18</v>
      </c>
      <c r="AD4197" s="4">
        <v>121</v>
      </c>
      <c r="AE4197" s="4">
        <v>150</v>
      </c>
      <c r="AF4197" s="4">
        <v>1</v>
      </c>
      <c r="AG4197" s="4">
        <v>8</v>
      </c>
      <c r="AH4197" s="4">
        <v>100</v>
      </c>
      <c r="AI4197" s="4">
        <v>108</v>
      </c>
      <c r="AJ4197" s="4">
        <v>17</v>
      </c>
      <c r="AK4197" s="4">
        <v>24</v>
      </c>
      <c r="AL4197" s="4">
        <v>52</v>
      </c>
      <c r="AM4197" s="4">
        <v>58</v>
      </c>
      <c r="AN4197" s="4">
        <v>0</v>
      </c>
      <c r="AO4197" s="4">
        <v>0</v>
      </c>
      <c r="AP4197" s="4">
        <v>27</v>
      </c>
      <c r="AQ4197" s="4">
        <v>47</v>
      </c>
      <c r="AR4197" s="3" t="s">
        <v>62</v>
      </c>
      <c r="AS4197" s="3" t="s">
        <v>62</v>
      </c>
      <c r="AT4197" s="3" t="s">
        <v>62</v>
      </c>
      <c r="AV4197" s="6" t="str">
        <f>HYPERLINK("http://mcgill.on.worldcat.org/oclc/162507278","Catalog Record")</f>
        <v>Catalog Record</v>
      </c>
      <c r="AW4197" s="6" t="str">
        <f>HYPERLINK("http://www.worldcat.org/oclc/162507278","WorldCat Record")</f>
        <v>WorldCat Record</v>
      </c>
      <c r="AX4197" s="3" t="s">
        <v>40370</v>
      </c>
      <c r="AY4197" s="3" t="s">
        <v>40371</v>
      </c>
      <c r="AZ4197" s="3" t="s">
        <v>40372</v>
      </c>
      <c r="BA4197" s="3" t="s">
        <v>40372</v>
      </c>
      <c r="BB4197" s="3" t="s">
        <v>40373</v>
      </c>
      <c r="BC4197" s="3" t="s">
        <v>102</v>
      </c>
      <c r="BD4197" s="3" t="s">
        <v>68</v>
      </c>
      <c r="BE4197" s="3" t="s">
        <v>40374</v>
      </c>
      <c r="BF4197" s="3" t="s">
        <v>40373</v>
      </c>
      <c r="BG4197" s="3" t="s">
        <v>40375</v>
      </c>
    </row>
    <row r="4198" spans="1:59" ht="58" x14ac:dyDescent="0.35">
      <c r="A4198" s="2" t="s">
        <v>89</v>
      </c>
      <c r="B4198" s="2" t="s">
        <v>90</v>
      </c>
      <c r="C4198" s="2" t="s">
        <v>40364</v>
      </c>
      <c r="D4198" s="2" t="s">
        <v>40365</v>
      </c>
      <c r="E4198" s="2" t="s">
        <v>40366</v>
      </c>
      <c r="G4198" s="3" t="s">
        <v>62</v>
      </c>
      <c r="I4198" s="3" t="s">
        <v>61</v>
      </c>
      <c r="J4198" s="3" t="s">
        <v>62</v>
      </c>
      <c r="K4198" s="3" t="s">
        <v>63</v>
      </c>
      <c r="M4198" s="2" t="s">
        <v>40367</v>
      </c>
      <c r="N4198" s="3" t="s">
        <v>1722</v>
      </c>
      <c r="P4198" s="3" t="s">
        <v>64</v>
      </c>
      <c r="R4198" s="3" t="s">
        <v>34126</v>
      </c>
      <c r="S4198" s="4">
        <v>5</v>
      </c>
      <c r="T4198" s="4">
        <v>22</v>
      </c>
      <c r="U4198" s="5" t="s">
        <v>40369</v>
      </c>
      <c r="V4198" s="5" t="s">
        <v>40369</v>
      </c>
      <c r="W4198" s="5" t="s">
        <v>67</v>
      </c>
      <c r="X4198" s="5" t="s">
        <v>67</v>
      </c>
      <c r="Y4198" s="4">
        <v>883</v>
      </c>
      <c r="Z4198" s="4">
        <v>46</v>
      </c>
      <c r="AA4198" s="4">
        <v>113</v>
      </c>
      <c r="AB4198" s="4">
        <v>2</v>
      </c>
      <c r="AC4198" s="4">
        <v>18</v>
      </c>
      <c r="AD4198" s="4">
        <v>121</v>
      </c>
      <c r="AE4198" s="4">
        <v>150</v>
      </c>
      <c r="AF4198" s="4">
        <v>1</v>
      </c>
      <c r="AG4198" s="4">
        <v>8</v>
      </c>
      <c r="AH4198" s="4">
        <v>100</v>
      </c>
      <c r="AI4198" s="4">
        <v>108</v>
      </c>
      <c r="AJ4198" s="4">
        <v>17</v>
      </c>
      <c r="AK4198" s="4">
        <v>24</v>
      </c>
      <c r="AL4198" s="4">
        <v>52</v>
      </c>
      <c r="AM4198" s="4">
        <v>58</v>
      </c>
      <c r="AN4198" s="4">
        <v>0</v>
      </c>
      <c r="AO4198" s="4">
        <v>0</v>
      </c>
      <c r="AP4198" s="4">
        <v>27</v>
      </c>
      <c r="AQ4198" s="4">
        <v>47</v>
      </c>
      <c r="AR4198" s="3" t="s">
        <v>62</v>
      </c>
      <c r="AS4198" s="3" t="s">
        <v>62</v>
      </c>
      <c r="AT4198" s="3" t="s">
        <v>62</v>
      </c>
      <c r="AV4198" s="6" t="str">
        <f>HYPERLINK("http://mcgill.on.worldcat.org/oclc/162507278","Catalog Record")</f>
        <v>Catalog Record</v>
      </c>
      <c r="AW4198" s="6" t="str">
        <f>HYPERLINK("http://www.worldcat.org/oclc/162507278","WorldCat Record")</f>
        <v>WorldCat Record</v>
      </c>
      <c r="AX4198" s="3" t="s">
        <v>40370</v>
      </c>
      <c r="AY4198" s="3" t="s">
        <v>40371</v>
      </c>
      <c r="AZ4198" s="3" t="s">
        <v>40372</v>
      </c>
      <c r="BA4198" s="3" t="s">
        <v>40372</v>
      </c>
      <c r="BB4198" s="3" t="s">
        <v>40376</v>
      </c>
      <c r="BC4198" s="3" t="s">
        <v>102</v>
      </c>
      <c r="BD4198" s="3" t="s">
        <v>68</v>
      </c>
      <c r="BE4198" s="3" t="s">
        <v>40374</v>
      </c>
      <c r="BF4198" s="3" t="s">
        <v>40376</v>
      </c>
      <c r="BG4198" s="3" t="s">
        <v>40377</v>
      </c>
    </row>
    <row r="4199" spans="1:59" ht="58" x14ac:dyDescent="0.35">
      <c r="A4199" s="2" t="s">
        <v>59</v>
      </c>
      <c r="B4199" s="2" t="s">
        <v>60</v>
      </c>
      <c r="C4199" s="2" t="s">
        <v>40378</v>
      </c>
      <c r="D4199" s="2" t="s">
        <v>40379</v>
      </c>
      <c r="E4199" s="2" t="s">
        <v>40380</v>
      </c>
      <c r="F4199" s="3" t="s">
        <v>2248</v>
      </c>
      <c r="G4199" s="3" t="s">
        <v>61</v>
      </c>
      <c r="I4199" s="3" t="s">
        <v>61</v>
      </c>
      <c r="J4199" s="3" t="s">
        <v>62</v>
      </c>
      <c r="K4199" s="3" t="s">
        <v>63</v>
      </c>
      <c r="M4199" s="2" t="s">
        <v>40381</v>
      </c>
      <c r="N4199" s="3" t="s">
        <v>1639</v>
      </c>
      <c r="P4199" s="3" t="s">
        <v>64</v>
      </c>
      <c r="R4199" s="3" t="s">
        <v>34126</v>
      </c>
      <c r="S4199" s="4">
        <v>0</v>
      </c>
      <c r="T4199" s="4">
        <v>6</v>
      </c>
      <c r="V4199" s="5" t="s">
        <v>30457</v>
      </c>
      <c r="W4199" s="5" t="s">
        <v>67</v>
      </c>
      <c r="X4199" s="5" t="s">
        <v>67</v>
      </c>
      <c r="Y4199" s="4">
        <v>434</v>
      </c>
      <c r="Z4199" s="4">
        <v>17</v>
      </c>
      <c r="AA4199" s="4">
        <v>20</v>
      </c>
      <c r="AB4199" s="4">
        <v>2</v>
      </c>
      <c r="AC4199" s="4">
        <v>5</v>
      </c>
      <c r="AD4199" s="4">
        <v>103</v>
      </c>
      <c r="AE4199" s="4">
        <v>105</v>
      </c>
      <c r="AF4199" s="4">
        <v>1</v>
      </c>
      <c r="AG4199" s="4">
        <v>3</v>
      </c>
      <c r="AH4199" s="4">
        <v>89</v>
      </c>
      <c r="AI4199" s="4">
        <v>90</v>
      </c>
      <c r="AJ4199" s="4">
        <v>12</v>
      </c>
      <c r="AK4199" s="4">
        <v>13</v>
      </c>
      <c r="AL4199" s="4">
        <v>50</v>
      </c>
      <c r="AM4199" s="4">
        <v>50</v>
      </c>
      <c r="AN4199" s="4">
        <v>0</v>
      </c>
      <c r="AO4199" s="4">
        <v>0</v>
      </c>
      <c r="AP4199" s="4">
        <v>15</v>
      </c>
      <c r="AQ4199" s="4">
        <v>17</v>
      </c>
      <c r="AR4199" s="3" t="s">
        <v>62</v>
      </c>
      <c r="AS4199" s="3" t="s">
        <v>62</v>
      </c>
      <c r="AT4199" s="3" t="s">
        <v>61</v>
      </c>
      <c r="AU4199" s="6" t="str">
        <f>HYPERLINK("http://catalog.hathitrust.org/Record/000199264","HathiTrust Record")</f>
        <v>HathiTrust Record</v>
      </c>
      <c r="AV4199" s="6" t="str">
        <f>HYPERLINK("http://mcgill.on.worldcat.org/oclc/139220","Catalog Record")</f>
        <v>Catalog Record</v>
      </c>
      <c r="AW4199" s="6" t="str">
        <f>HYPERLINK("http://www.worldcat.org/oclc/139220","WorldCat Record")</f>
        <v>WorldCat Record</v>
      </c>
      <c r="AX4199" s="3" t="s">
        <v>40382</v>
      </c>
      <c r="AY4199" s="3" t="s">
        <v>40383</v>
      </c>
      <c r="AZ4199" s="3" t="s">
        <v>40384</v>
      </c>
      <c r="BA4199" s="3" t="s">
        <v>40384</v>
      </c>
      <c r="BB4199" s="3" t="s">
        <v>40385</v>
      </c>
      <c r="BC4199" s="3" t="s">
        <v>102</v>
      </c>
      <c r="BD4199" s="3" t="s">
        <v>68</v>
      </c>
      <c r="BE4199" s="3" t="s">
        <v>40386</v>
      </c>
      <c r="BF4199" s="3" t="s">
        <v>40385</v>
      </c>
      <c r="BG4199" s="3" t="s">
        <v>40387</v>
      </c>
    </row>
    <row r="4200" spans="1:59" ht="58" x14ac:dyDescent="0.35">
      <c r="A4200" s="2" t="s">
        <v>59</v>
      </c>
      <c r="B4200" s="2" t="s">
        <v>60</v>
      </c>
      <c r="C4200" s="2" t="s">
        <v>40378</v>
      </c>
      <c r="D4200" s="2" t="s">
        <v>40379</v>
      </c>
      <c r="E4200" s="2" t="s">
        <v>40380</v>
      </c>
      <c r="F4200" s="3" t="s">
        <v>1371</v>
      </c>
      <c r="G4200" s="3" t="s">
        <v>61</v>
      </c>
      <c r="I4200" s="3" t="s">
        <v>61</v>
      </c>
      <c r="J4200" s="3" t="s">
        <v>62</v>
      </c>
      <c r="K4200" s="3" t="s">
        <v>63</v>
      </c>
      <c r="M4200" s="2" t="s">
        <v>40381</v>
      </c>
      <c r="N4200" s="3" t="s">
        <v>1639</v>
      </c>
      <c r="P4200" s="3" t="s">
        <v>64</v>
      </c>
      <c r="R4200" s="3" t="s">
        <v>34126</v>
      </c>
      <c r="S4200" s="4">
        <v>0</v>
      </c>
      <c r="T4200" s="4">
        <v>6</v>
      </c>
      <c r="V4200" s="5" t="s">
        <v>30457</v>
      </c>
      <c r="W4200" s="5" t="s">
        <v>67</v>
      </c>
      <c r="X4200" s="5" t="s">
        <v>67</v>
      </c>
      <c r="Y4200" s="4">
        <v>434</v>
      </c>
      <c r="Z4200" s="4">
        <v>17</v>
      </c>
      <c r="AA4200" s="4">
        <v>20</v>
      </c>
      <c r="AB4200" s="4">
        <v>2</v>
      </c>
      <c r="AC4200" s="4">
        <v>5</v>
      </c>
      <c r="AD4200" s="4">
        <v>103</v>
      </c>
      <c r="AE4200" s="4">
        <v>105</v>
      </c>
      <c r="AF4200" s="4">
        <v>1</v>
      </c>
      <c r="AG4200" s="4">
        <v>3</v>
      </c>
      <c r="AH4200" s="4">
        <v>89</v>
      </c>
      <c r="AI4200" s="4">
        <v>90</v>
      </c>
      <c r="AJ4200" s="4">
        <v>12</v>
      </c>
      <c r="AK4200" s="4">
        <v>13</v>
      </c>
      <c r="AL4200" s="4">
        <v>50</v>
      </c>
      <c r="AM4200" s="4">
        <v>50</v>
      </c>
      <c r="AN4200" s="4">
        <v>0</v>
      </c>
      <c r="AO4200" s="4">
        <v>0</v>
      </c>
      <c r="AP4200" s="4">
        <v>15</v>
      </c>
      <c r="AQ4200" s="4">
        <v>17</v>
      </c>
      <c r="AR4200" s="3" t="s">
        <v>62</v>
      </c>
      <c r="AS4200" s="3" t="s">
        <v>62</v>
      </c>
      <c r="AT4200" s="3" t="s">
        <v>61</v>
      </c>
      <c r="AU4200" s="6" t="str">
        <f>HYPERLINK("http://catalog.hathitrust.org/Record/000199264","HathiTrust Record")</f>
        <v>HathiTrust Record</v>
      </c>
      <c r="AV4200" s="6" t="str">
        <f>HYPERLINK("http://mcgill.on.worldcat.org/oclc/139220","Catalog Record")</f>
        <v>Catalog Record</v>
      </c>
      <c r="AW4200" s="6" t="str">
        <f>HYPERLINK("http://www.worldcat.org/oclc/139220","WorldCat Record")</f>
        <v>WorldCat Record</v>
      </c>
      <c r="AX4200" s="3" t="s">
        <v>40382</v>
      </c>
      <c r="AY4200" s="3" t="s">
        <v>40383</v>
      </c>
      <c r="AZ4200" s="3" t="s">
        <v>40384</v>
      </c>
      <c r="BA4200" s="3" t="s">
        <v>40384</v>
      </c>
      <c r="BB4200" s="3" t="s">
        <v>40388</v>
      </c>
      <c r="BC4200" s="3" t="s">
        <v>102</v>
      </c>
      <c r="BD4200" s="3" t="s">
        <v>68</v>
      </c>
      <c r="BE4200" s="3" t="s">
        <v>40386</v>
      </c>
      <c r="BF4200" s="3" t="s">
        <v>40388</v>
      </c>
      <c r="BG4200" s="3" t="s">
        <v>40389</v>
      </c>
    </row>
    <row r="4201" spans="1:59" ht="58" x14ac:dyDescent="0.35">
      <c r="A4201" s="2" t="s">
        <v>59</v>
      </c>
      <c r="B4201" s="2" t="s">
        <v>60</v>
      </c>
      <c r="C4201" s="2" t="s">
        <v>40378</v>
      </c>
      <c r="D4201" s="2" t="s">
        <v>40379</v>
      </c>
      <c r="E4201" s="2" t="s">
        <v>40380</v>
      </c>
      <c r="G4201" s="3" t="s">
        <v>61</v>
      </c>
      <c r="I4201" s="3" t="s">
        <v>61</v>
      </c>
      <c r="J4201" s="3" t="s">
        <v>62</v>
      </c>
      <c r="K4201" s="3" t="s">
        <v>63</v>
      </c>
      <c r="M4201" s="2" t="s">
        <v>40381</v>
      </c>
      <c r="N4201" s="3" t="s">
        <v>1639</v>
      </c>
      <c r="P4201" s="3" t="s">
        <v>64</v>
      </c>
      <c r="R4201" s="3" t="s">
        <v>34126</v>
      </c>
      <c r="S4201" s="4">
        <v>0</v>
      </c>
      <c r="T4201" s="4">
        <v>6</v>
      </c>
      <c r="V4201" s="5" t="s">
        <v>30457</v>
      </c>
      <c r="W4201" s="5" t="s">
        <v>67</v>
      </c>
      <c r="X4201" s="5" t="s">
        <v>67</v>
      </c>
      <c r="Y4201" s="4">
        <v>434</v>
      </c>
      <c r="Z4201" s="4">
        <v>17</v>
      </c>
      <c r="AA4201" s="4">
        <v>20</v>
      </c>
      <c r="AB4201" s="4">
        <v>2</v>
      </c>
      <c r="AC4201" s="4">
        <v>5</v>
      </c>
      <c r="AD4201" s="4">
        <v>103</v>
      </c>
      <c r="AE4201" s="4">
        <v>105</v>
      </c>
      <c r="AF4201" s="4">
        <v>1</v>
      </c>
      <c r="AG4201" s="4">
        <v>3</v>
      </c>
      <c r="AH4201" s="4">
        <v>89</v>
      </c>
      <c r="AI4201" s="4">
        <v>90</v>
      </c>
      <c r="AJ4201" s="4">
        <v>12</v>
      </c>
      <c r="AK4201" s="4">
        <v>13</v>
      </c>
      <c r="AL4201" s="4">
        <v>50</v>
      </c>
      <c r="AM4201" s="4">
        <v>50</v>
      </c>
      <c r="AN4201" s="4">
        <v>0</v>
      </c>
      <c r="AO4201" s="4">
        <v>0</v>
      </c>
      <c r="AP4201" s="4">
        <v>15</v>
      </c>
      <c r="AQ4201" s="4">
        <v>17</v>
      </c>
      <c r="AR4201" s="3" t="s">
        <v>62</v>
      </c>
      <c r="AS4201" s="3" t="s">
        <v>62</v>
      </c>
      <c r="AT4201" s="3" t="s">
        <v>61</v>
      </c>
      <c r="AU4201" s="6" t="str">
        <f>HYPERLINK("http://catalog.hathitrust.org/Record/000199264","HathiTrust Record")</f>
        <v>HathiTrust Record</v>
      </c>
      <c r="AV4201" s="6" t="str">
        <f>HYPERLINK("http://mcgill.on.worldcat.org/oclc/139220","Catalog Record")</f>
        <v>Catalog Record</v>
      </c>
      <c r="AW4201" s="6" t="str">
        <f>HYPERLINK("http://www.worldcat.org/oclc/139220","WorldCat Record")</f>
        <v>WorldCat Record</v>
      </c>
      <c r="AX4201" s="3" t="s">
        <v>40382</v>
      </c>
      <c r="AY4201" s="3" t="s">
        <v>40383</v>
      </c>
      <c r="AZ4201" s="3" t="s">
        <v>40384</v>
      </c>
      <c r="BA4201" s="3" t="s">
        <v>40384</v>
      </c>
      <c r="BB4201" s="3" t="s">
        <v>40390</v>
      </c>
      <c r="BC4201" s="3" t="s">
        <v>102</v>
      </c>
      <c r="BD4201" s="3" t="s">
        <v>68</v>
      </c>
      <c r="BE4201" s="3" t="s">
        <v>40386</v>
      </c>
      <c r="BF4201" s="3" t="s">
        <v>40390</v>
      </c>
      <c r="BG4201" s="3" t="s">
        <v>40391</v>
      </c>
    </row>
    <row r="4202" spans="1:59" ht="58" x14ac:dyDescent="0.35">
      <c r="A4202" s="2" t="s">
        <v>59</v>
      </c>
      <c r="B4202" s="2" t="s">
        <v>60</v>
      </c>
      <c r="C4202" s="2" t="s">
        <v>40392</v>
      </c>
      <c r="D4202" s="2" t="s">
        <v>40393</v>
      </c>
      <c r="E4202" s="2" t="s">
        <v>40394</v>
      </c>
      <c r="G4202" s="3" t="s">
        <v>62</v>
      </c>
      <c r="I4202" s="3" t="s">
        <v>62</v>
      </c>
      <c r="J4202" s="3" t="s">
        <v>62</v>
      </c>
      <c r="K4202" s="3" t="s">
        <v>63</v>
      </c>
      <c r="M4202" s="2" t="s">
        <v>40395</v>
      </c>
      <c r="N4202" s="3" t="s">
        <v>355</v>
      </c>
      <c r="P4202" s="3" t="s">
        <v>64</v>
      </c>
      <c r="Q4202" s="2" t="s">
        <v>40396</v>
      </c>
      <c r="R4202" s="3" t="s">
        <v>34126</v>
      </c>
      <c r="S4202" s="4">
        <v>7</v>
      </c>
      <c r="T4202" s="4">
        <v>7</v>
      </c>
      <c r="U4202" s="5" t="s">
        <v>7038</v>
      </c>
      <c r="V4202" s="5" t="s">
        <v>7038</v>
      </c>
      <c r="W4202" s="5" t="s">
        <v>67</v>
      </c>
      <c r="X4202" s="5" t="s">
        <v>67</v>
      </c>
      <c r="Y4202" s="4">
        <v>195</v>
      </c>
      <c r="Z4202" s="4">
        <v>16</v>
      </c>
      <c r="AA4202" s="4">
        <v>18</v>
      </c>
      <c r="AB4202" s="4">
        <v>1</v>
      </c>
      <c r="AC4202" s="4">
        <v>3</v>
      </c>
      <c r="AD4202" s="4">
        <v>92</v>
      </c>
      <c r="AE4202" s="4">
        <v>94</v>
      </c>
      <c r="AF4202" s="4">
        <v>0</v>
      </c>
      <c r="AG4202" s="4">
        <v>2</v>
      </c>
      <c r="AH4202" s="4">
        <v>83</v>
      </c>
      <c r="AI4202" s="4">
        <v>83</v>
      </c>
      <c r="AJ4202" s="4">
        <v>13</v>
      </c>
      <c r="AK4202" s="4">
        <v>15</v>
      </c>
      <c r="AL4202" s="4">
        <v>48</v>
      </c>
      <c r="AM4202" s="4">
        <v>48</v>
      </c>
      <c r="AN4202" s="4">
        <v>0</v>
      </c>
      <c r="AO4202" s="4">
        <v>0</v>
      </c>
      <c r="AP4202" s="4">
        <v>13</v>
      </c>
      <c r="AQ4202" s="4">
        <v>14</v>
      </c>
      <c r="AR4202" s="3" t="s">
        <v>62</v>
      </c>
      <c r="AS4202" s="3" t="s">
        <v>62</v>
      </c>
      <c r="AT4202" s="3" t="s">
        <v>61</v>
      </c>
      <c r="AU4202" s="6" t="str">
        <f>HYPERLINK("http://catalog.hathitrust.org/Record/000601846","HathiTrust Record")</f>
        <v>HathiTrust Record</v>
      </c>
      <c r="AV4202" s="6" t="str">
        <f>HYPERLINK("http://mcgill.on.worldcat.org/oclc/10752324","Catalog Record")</f>
        <v>Catalog Record</v>
      </c>
      <c r="AW4202" s="6" t="str">
        <f>HYPERLINK("http://www.worldcat.org/oclc/10752324","WorldCat Record")</f>
        <v>WorldCat Record</v>
      </c>
      <c r="AX4202" s="3" t="s">
        <v>40397</v>
      </c>
      <c r="AY4202" s="3" t="s">
        <v>40398</v>
      </c>
      <c r="AZ4202" s="3" t="s">
        <v>40399</v>
      </c>
      <c r="BA4202" s="3" t="s">
        <v>40399</v>
      </c>
      <c r="BB4202" s="3" t="s">
        <v>40400</v>
      </c>
      <c r="BC4202" s="3" t="s">
        <v>102</v>
      </c>
      <c r="BD4202" s="3" t="s">
        <v>68</v>
      </c>
      <c r="BE4202" s="3" t="s">
        <v>40401</v>
      </c>
      <c r="BF4202" s="3" t="s">
        <v>40400</v>
      </c>
      <c r="BG4202" s="3" t="s">
        <v>40402</v>
      </c>
    </row>
    <row r="4203" spans="1:59" ht="58" x14ac:dyDescent="0.35">
      <c r="A4203" s="2" t="s">
        <v>59</v>
      </c>
      <c r="B4203" s="2" t="s">
        <v>60</v>
      </c>
      <c r="C4203" s="2" t="s">
        <v>40403</v>
      </c>
      <c r="D4203" s="2" t="s">
        <v>40404</v>
      </c>
      <c r="E4203" s="2" t="s">
        <v>40405</v>
      </c>
      <c r="G4203" s="3" t="s">
        <v>62</v>
      </c>
      <c r="I4203" s="3" t="s">
        <v>62</v>
      </c>
      <c r="J4203" s="3" t="s">
        <v>62</v>
      </c>
      <c r="K4203" s="3" t="s">
        <v>63</v>
      </c>
      <c r="L4203" s="2" t="s">
        <v>40406</v>
      </c>
      <c r="M4203" s="2" t="s">
        <v>40407</v>
      </c>
      <c r="N4203" s="3" t="s">
        <v>1905</v>
      </c>
      <c r="P4203" s="3" t="s">
        <v>64</v>
      </c>
      <c r="Q4203" s="2" t="s">
        <v>40408</v>
      </c>
      <c r="R4203" s="3" t="s">
        <v>34126</v>
      </c>
      <c r="S4203" s="4">
        <v>24</v>
      </c>
      <c r="T4203" s="4">
        <v>24</v>
      </c>
      <c r="U4203" s="5" t="s">
        <v>1118</v>
      </c>
      <c r="V4203" s="5" t="s">
        <v>1118</v>
      </c>
      <c r="W4203" s="5" t="s">
        <v>67</v>
      </c>
      <c r="X4203" s="5" t="s">
        <v>67</v>
      </c>
      <c r="Y4203" s="4">
        <v>210</v>
      </c>
      <c r="Z4203" s="4">
        <v>15</v>
      </c>
      <c r="AA4203" s="4">
        <v>17</v>
      </c>
      <c r="AB4203" s="4">
        <v>1</v>
      </c>
      <c r="AC4203" s="4">
        <v>3</v>
      </c>
      <c r="AD4203" s="4">
        <v>90</v>
      </c>
      <c r="AE4203" s="4">
        <v>92</v>
      </c>
      <c r="AF4203" s="4">
        <v>0</v>
      </c>
      <c r="AG4203" s="4">
        <v>2</v>
      </c>
      <c r="AH4203" s="4">
        <v>80</v>
      </c>
      <c r="AI4203" s="4">
        <v>80</v>
      </c>
      <c r="AJ4203" s="4">
        <v>10</v>
      </c>
      <c r="AK4203" s="4">
        <v>12</v>
      </c>
      <c r="AL4203" s="4">
        <v>48</v>
      </c>
      <c r="AM4203" s="4">
        <v>48</v>
      </c>
      <c r="AN4203" s="4">
        <v>0</v>
      </c>
      <c r="AO4203" s="4">
        <v>0</v>
      </c>
      <c r="AP4203" s="4">
        <v>10</v>
      </c>
      <c r="AQ4203" s="4">
        <v>11</v>
      </c>
      <c r="AR4203" s="3" t="s">
        <v>62</v>
      </c>
      <c r="AS4203" s="3" t="s">
        <v>62</v>
      </c>
      <c r="AT4203" s="3" t="s">
        <v>61</v>
      </c>
      <c r="AU4203" s="6" t="str">
        <f>HYPERLINK("http://catalog.hathitrust.org/Record/000824887","HathiTrust Record")</f>
        <v>HathiTrust Record</v>
      </c>
      <c r="AV4203" s="6" t="str">
        <f>HYPERLINK("http://mcgill.on.worldcat.org/oclc/14098246","Catalog Record")</f>
        <v>Catalog Record</v>
      </c>
      <c r="AW4203" s="6" t="str">
        <f>HYPERLINK("http://www.worldcat.org/oclc/14098246","WorldCat Record")</f>
        <v>WorldCat Record</v>
      </c>
      <c r="AX4203" s="3" t="s">
        <v>40409</v>
      </c>
      <c r="AY4203" s="3" t="s">
        <v>40410</v>
      </c>
      <c r="AZ4203" s="3" t="s">
        <v>40411</v>
      </c>
      <c r="BA4203" s="3" t="s">
        <v>40411</v>
      </c>
      <c r="BB4203" s="3" t="s">
        <v>40412</v>
      </c>
      <c r="BC4203" s="3" t="s">
        <v>102</v>
      </c>
      <c r="BD4203" s="3" t="s">
        <v>6923</v>
      </c>
      <c r="BE4203" s="3" t="s">
        <v>40413</v>
      </c>
      <c r="BF4203" s="3" t="s">
        <v>40412</v>
      </c>
      <c r="BG4203" s="3" t="s">
        <v>40414</v>
      </c>
    </row>
    <row r="4204" spans="1:59" ht="58" x14ac:dyDescent="0.35">
      <c r="A4204" s="2" t="s">
        <v>59</v>
      </c>
      <c r="B4204" s="2" t="s">
        <v>60</v>
      </c>
      <c r="C4204" s="2" t="s">
        <v>40415</v>
      </c>
      <c r="D4204" s="2" t="s">
        <v>40416</v>
      </c>
      <c r="E4204" s="2" t="s">
        <v>40417</v>
      </c>
      <c r="F4204" s="3" t="s">
        <v>40418</v>
      </c>
      <c r="G4204" s="3" t="s">
        <v>61</v>
      </c>
      <c r="I4204" s="3" t="s">
        <v>61</v>
      </c>
      <c r="J4204" s="3" t="s">
        <v>62</v>
      </c>
      <c r="K4204" s="3" t="s">
        <v>63</v>
      </c>
      <c r="L4204" s="2" t="s">
        <v>40419</v>
      </c>
      <c r="M4204" s="2" t="s">
        <v>40420</v>
      </c>
      <c r="N4204" s="3" t="s">
        <v>81</v>
      </c>
      <c r="P4204" s="3" t="s">
        <v>64</v>
      </c>
      <c r="R4204" s="3" t="s">
        <v>34126</v>
      </c>
      <c r="S4204" s="4">
        <v>0</v>
      </c>
      <c r="T4204" s="4">
        <v>2</v>
      </c>
      <c r="V4204" s="5" t="s">
        <v>30457</v>
      </c>
      <c r="W4204" s="5" t="s">
        <v>67</v>
      </c>
      <c r="X4204" s="5" t="s">
        <v>67</v>
      </c>
      <c r="Y4204" s="4">
        <v>387</v>
      </c>
      <c r="Z4204" s="4">
        <v>15</v>
      </c>
      <c r="AA4204" s="4">
        <v>35</v>
      </c>
      <c r="AB4204" s="4">
        <v>2</v>
      </c>
      <c r="AC4204" s="4">
        <v>8</v>
      </c>
      <c r="AD4204" s="4">
        <v>86</v>
      </c>
      <c r="AE4204" s="4">
        <v>109</v>
      </c>
      <c r="AF4204" s="4">
        <v>0</v>
      </c>
      <c r="AG4204" s="4">
        <v>4</v>
      </c>
      <c r="AH4204" s="4">
        <v>75</v>
      </c>
      <c r="AI4204" s="4">
        <v>89</v>
      </c>
      <c r="AJ4204" s="4">
        <v>6</v>
      </c>
      <c r="AK4204" s="4">
        <v>19</v>
      </c>
      <c r="AL4204" s="4">
        <v>43</v>
      </c>
      <c r="AM4204" s="4">
        <v>48</v>
      </c>
      <c r="AN4204" s="4">
        <v>0</v>
      </c>
      <c r="AO4204" s="4">
        <v>0</v>
      </c>
      <c r="AP4204" s="4">
        <v>12</v>
      </c>
      <c r="AQ4204" s="4">
        <v>27</v>
      </c>
      <c r="AR4204" s="3" t="s">
        <v>62</v>
      </c>
      <c r="AS4204" s="3" t="s">
        <v>62</v>
      </c>
      <c r="AT4204" s="3" t="s">
        <v>61</v>
      </c>
      <c r="AU4204" s="6" t="str">
        <f t="shared" ref="AU4204:AU4211" si="70">HYPERLINK("http://catalog.hathitrust.org/Record/000198257","HathiTrust Record")</f>
        <v>HathiTrust Record</v>
      </c>
      <c r="AV4204" s="6" t="str">
        <f t="shared" ref="AV4204:AV4211" si="71">HYPERLINK("http://mcgill.on.worldcat.org/oclc/368590","Catalog Record")</f>
        <v>Catalog Record</v>
      </c>
      <c r="AW4204" s="6" t="str">
        <f t="shared" ref="AW4204:AW4211" si="72">HYPERLINK("http://www.worldcat.org/oclc/368590","WorldCat Record")</f>
        <v>WorldCat Record</v>
      </c>
      <c r="AX4204" s="3" t="s">
        <v>40421</v>
      </c>
      <c r="AY4204" s="3" t="s">
        <v>40422</v>
      </c>
      <c r="AZ4204" s="3" t="s">
        <v>40423</v>
      </c>
      <c r="BA4204" s="3" t="s">
        <v>40423</v>
      </c>
      <c r="BB4204" s="3" t="s">
        <v>40424</v>
      </c>
      <c r="BC4204" s="3" t="s">
        <v>102</v>
      </c>
      <c r="BD4204" s="3" t="s">
        <v>68</v>
      </c>
      <c r="BE4204" s="3" t="s">
        <v>40425</v>
      </c>
      <c r="BF4204" s="3" t="s">
        <v>40424</v>
      </c>
      <c r="BG4204" s="3" t="s">
        <v>40426</v>
      </c>
    </row>
    <row r="4205" spans="1:59" ht="58" x14ac:dyDescent="0.35">
      <c r="A4205" s="2" t="s">
        <v>59</v>
      </c>
      <c r="B4205" s="2" t="s">
        <v>60</v>
      </c>
      <c r="C4205" s="2" t="s">
        <v>40415</v>
      </c>
      <c r="D4205" s="2" t="s">
        <v>40416</v>
      </c>
      <c r="E4205" s="2" t="s">
        <v>40417</v>
      </c>
      <c r="F4205" s="3" t="s">
        <v>40427</v>
      </c>
      <c r="G4205" s="3" t="s">
        <v>61</v>
      </c>
      <c r="I4205" s="3" t="s">
        <v>61</v>
      </c>
      <c r="J4205" s="3" t="s">
        <v>62</v>
      </c>
      <c r="K4205" s="3" t="s">
        <v>63</v>
      </c>
      <c r="L4205" s="2" t="s">
        <v>40419</v>
      </c>
      <c r="M4205" s="2" t="s">
        <v>40420</v>
      </c>
      <c r="N4205" s="3" t="s">
        <v>81</v>
      </c>
      <c r="P4205" s="3" t="s">
        <v>64</v>
      </c>
      <c r="R4205" s="3" t="s">
        <v>34126</v>
      </c>
      <c r="S4205" s="4">
        <v>2</v>
      </c>
      <c r="T4205" s="4">
        <v>2</v>
      </c>
      <c r="U4205" s="5" t="s">
        <v>30457</v>
      </c>
      <c r="V4205" s="5" t="s">
        <v>30457</v>
      </c>
      <c r="W4205" s="5" t="s">
        <v>67</v>
      </c>
      <c r="X4205" s="5" t="s">
        <v>67</v>
      </c>
      <c r="Y4205" s="4">
        <v>387</v>
      </c>
      <c r="Z4205" s="4">
        <v>15</v>
      </c>
      <c r="AA4205" s="4">
        <v>35</v>
      </c>
      <c r="AB4205" s="4">
        <v>2</v>
      </c>
      <c r="AC4205" s="4">
        <v>8</v>
      </c>
      <c r="AD4205" s="4">
        <v>86</v>
      </c>
      <c r="AE4205" s="4">
        <v>109</v>
      </c>
      <c r="AF4205" s="4">
        <v>0</v>
      </c>
      <c r="AG4205" s="4">
        <v>4</v>
      </c>
      <c r="AH4205" s="4">
        <v>75</v>
      </c>
      <c r="AI4205" s="4">
        <v>89</v>
      </c>
      <c r="AJ4205" s="4">
        <v>6</v>
      </c>
      <c r="AK4205" s="4">
        <v>19</v>
      </c>
      <c r="AL4205" s="4">
        <v>43</v>
      </c>
      <c r="AM4205" s="4">
        <v>48</v>
      </c>
      <c r="AN4205" s="4">
        <v>0</v>
      </c>
      <c r="AO4205" s="4">
        <v>0</v>
      </c>
      <c r="AP4205" s="4">
        <v>12</v>
      </c>
      <c r="AQ4205" s="4">
        <v>27</v>
      </c>
      <c r="AR4205" s="3" t="s">
        <v>62</v>
      </c>
      <c r="AS4205" s="3" t="s">
        <v>62</v>
      </c>
      <c r="AT4205" s="3" t="s">
        <v>61</v>
      </c>
      <c r="AU4205" s="6" t="str">
        <f t="shared" si="70"/>
        <v>HathiTrust Record</v>
      </c>
      <c r="AV4205" s="6" t="str">
        <f t="shared" si="71"/>
        <v>Catalog Record</v>
      </c>
      <c r="AW4205" s="6" t="str">
        <f t="shared" si="72"/>
        <v>WorldCat Record</v>
      </c>
      <c r="AX4205" s="3" t="s">
        <v>40421</v>
      </c>
      <c r="AY4205" s="3" t="s">
        <v>40422</v>
      </c>
      <c r="AZ4205" s="3" t="s">
        <v>40423</v>
      </c>
      <c r="BA4205" s="3" t="s">
        <v>40423</v>
      </c>
      <c r="BB4205" s="3" t="s">
        <v>40428</v>
      </c>
      <c r="BC4205" s="3" t="s">
        <v>102</v>
      </c>
      <c r="BD4205" s="3" t="s">
        <v>68</v>
      </c>
      <c r="BE4205" s="3" t="s">
        <v>40425</v>
      </c>
      <c r="BF4205" s="3" t="s">
        <v>40428</v>
      </c>
      <c r="BG4205" s="3" t="s">
        <v>40429</v>
      </c>
    </row>
    <row r="4206" spans="1:59" ht="58" x14ac:dyDescent="0.35">
      <c r="A4206" s="2" t="s">
        <v>59</v>
      </c>
      <c r="B4206" s="2" t="s">
        <v>60</v>
      </c>
      <c r="C4206" s="2" t="s">
        <v>40415</v>
      </c>
      <c r="D4206" s="2" t="s">
        <v>40416</v>
      </c>
      <c r="E4206" s="2" t="s">
        <v>40417</v>
      </c>
      <c r="F4206" s="3" t="s">
        <v>40430</v>
      </c>
      <c r="G4206" s="3" t="s">
        <v>61</v>
      </c>
      <c r="I4206" s="3" t="s">
        <v>61</v>
      </c>
      <c r="J4206" s="3" t="s">
        <v>62</v>
      </c>
      <c r="K4206" s="3" t="s">
        <v>63</v>
      </c>
      <c r="L4206" s="2" t="s">
        <v>40419</v>
      </c>
      <c r="M4206" s="2" t="s">
        <v>40420</v>
      </c>
      <c r="N4206" s="3" t="s">
        <v>81</v>
      </c>
      <c r="P4206" s="3" t="s">
        <v>64</v>
      </c>
      <c r="R4206" s="3" t="s">
        <v>34126</v>
      </c>
      <c r="S4206" s="4">
        <v>0</v>
      </c>
      <c r="T4206" s="4">
        <v>2</v>
      </c>
      <c r="V4206" s="5" t="s">
        <v>30457</v>
      </c>
      <c r="W4206" s="5" t="s">
        <v>67</v>
      </c>
      <c r="X4206" s="5" t="s">
        <v>67</v>
      </c>
      <c r="Y4206" s="4">
        <v>387</v>
      </c>
      <c r="Z4206" s="4">
        <v>15</v>
      </c>
      <c r="AA4206" s="4">
        <v>35</v>
      </c>
      <c r="AB4206" s="4">
        <v>2</v>
      </c>
      <c r="AC4206" s="4">
        <v>8</v>
      </c>
      <c r="AD4206" s="4">
        <v>86</v>
      </c>
      <c r="AE4206" s="4">
        <v>109</v>
      </c>
      <c r="AF4206" s="4">
        <v>0</v>
      </c>
      <c r="AG4206" s="4">
        <v>4</v>
      </c>
      <c r="AH4206" s="4">
        <v>75</v>
      </c>
      <c r="AI4206" s="4">
        <v>89</v>
      </c>
      <c r="AJ4206" s="4">
        <v>6</v>
      </c>
      <c r="AK4206" s="4">
        <v>19</v>
      </c>
      <c r="AL4206" s="4">
        <v>43</v>
      </c>
      <c r="AM4206" s="4">
        <v>48</v>
      </c>
      <c r="AN4206" s="4">
        <v>0</v>
      </c>
      <c r="AO4206" s="4">
        <v>0</v>
      </c>
      <c r="AP4206" s="4">
        <v>12</v>
      </c>
      <c r="AQ4206" s="4">
        <v>27</v>
      </c>
      <c r="AR4206" s="3" t="s">
        <v>62</v>
      </c>
      <c r="AS4206" s="3" t="s">
        <v>62</v>
      </c>
      <c r="AT4206" s="3" t="s">
        <v>61</v>
      </c>
      <c r="AU4206" s="6" t="str">
        <f t="shared" si="70"/>
        <v>HathiTrust Record</v>
      </c>
      <c r="AV4206" s="6" t="str">
        <f t="shared" si="71"/>
        <v>Catalog Record</v>
      </c>
      <c r="AW4206" s="6" t="str">
        <f t="shared" si="72"/>
        <v>WorldCat Record</v>
      </c>
      <c r="AX4206" s="3" t="s">
        <v>40421</v>
      </c>
      <c r="AY4206" s="3" t="s">
        <v>40422</v>
      </c>
      <c r="AZ4206" s="3" t="s">
        <v>40423</v>
      </c>
      <c r="BA4206" s="3" t="s">
        <v>40423</v>
      </c>
      <c r="BB4206" s="3" t="s">
        <v>40431</v>
      </c>
      <c r="BC4206" s="3" t="s">
        <v>102</v>
      </c>
      <c r="BD4206" s="3" t="s">
        <v>68</v>
      </c>
      <c r="BE4206" s="3" t="s">
        <v>40425</v>
      </c>
      <c r="BF4206" s="3" t="s">
        <v>40431</v>
      </c>
      <c r="BG4206" s="3" t="s">
        <v>40432</v>
      </c>
    </row>
    <row r="4207" spans="1:59" ht="58" x14ac:dyDescent="0.35">
      <c r="A4207" s="2" t="s">
        <v>59</v>
      </c>
      <c r="B4207" s="2" t="s">
        <v>60</v>
      </c>
      <c r="C4207" s="2" t="s">
        <v>40433</v>
      </c>
      <c r="D4207" s="2" t="s">
        <v>40434</v>
      </c>
      <c r="E4207" s="2" t="s">
        <v>40417</v>
      </c>
      <c r="F4207" s="3" t="s">
        <v>1422</v>
      </c>
      <c r="G4207" s="3" t="s">
        <v>61</v>
      </c>
      <c r="I4207" s="3" t="s">
        <v>61</v>
      </c>
      <c r="J4207" s="3" t="s">
        <v>62</v>
      </c>
      <c r="K4207" s="3" t="s">
        <v>63</v>
      </c>
      <c r="L4207" s="2" t="s">
        <v>40419</v>
      </c>
      <c r="M4207" s="2" t="s">
        <v>40420</v>
      </c>
      <c r="N4207" s="3" t="s">
        <v>81</v>
      </c>
      <c r="P4207" s="3" t="s">
        <v>64</v>
      </c>
      <c r="R4207" s="3" t="s">
        <v>34126</v>
      </c>
      <c r="S4207" s="4">
        <v>0</v>
      </c>
      <c r="T4207" s="4">
        <v>2</v>
      </c>
      <c r="V4207" s="5" t="s">
        <v>30457</v>
      </c>
      <c r="W4207" s="5" t="s">
        <v>67</v>
      </c>
      <c r="X4207" s="5" t="s">
        <v>67</v>
      </c>
      <c r="Y4207" s="4">
        <v>387</v>
      </c>
      <c r="Z4207" s="4">
        <v>15</v>
      </c>
      <c r="AA4207" s="4">
        <v>35</v>
      </c>
      <c r="AB4207" s="4">
        <v>2</v>
      </c>
      <c r="AC4207" s="4">
        <v>8</v>
      </c>
      <c r="AD4207" s="4">
        <v>86</v>
      </c>
      <c r="AE4207" s="4">
        <v>109</v>
      </c>
      <c r="AF4207" s="4">
        <v>0</v>
      </c>
      <c r="AG4207" s="4">
        <v>4</v>
      </c>
      <c r="AH4207" s="4">
        <v>75</v>
      </c>
      <c r="AI4207" s="4">
        <v>89</v>
      </c>
      <c r="AJ4207" s="4">
        <v>6</v>
      </c>
      <c r="AK4207" s="4">
        <v>19</v>
      </c>
      <c r="AL4207" s="4">
        <v>43</v>
      </c>
      <c r="AM4207" s="4">
        <v>48</v>
      </c>
      <c r="AN4207" s="4">
        <v>0</v>
      </c>
      <c r="AO4207" s="4">
        <v>0</v>
      </c>
      <c r="AP4207" s="4">
        <v>12</v>
      </c>
      <c r="AQ4207" s="4">
        <v>27</v>
      </c>
      <c r="AR4207" s="3" t="s">
        <v>62</v>
      </c>
      <c r="AS4207" s="3" t="s">
        <v>62</v>
      </c>
      <c r="AT4207" s="3" t="s">
        <v>61</v>
      </c>
      <c r="AU4207" s="6" t="str">
        <f t="shared" si="70"/>
        <v>HathiTrust Record</v>
      </c>
      <c r="AV4207" s="6" t="str">
        <f t="shared" si="71"/>
        <v>Catalog Record</v>
      </c>
      <c r="AW4207" s="6" t="str">
        <f t="shared" si="72"/>
        <v>WorldCat Record</v>
      </c>
      <c r="AX4207" s="3" t="s">
        <v>40421</v>
      </c>
      <c r="AY4207" s="3" t="s">
        <v>40422</v>
      </c>
      <c r="AZ4207" s="3" t="s">
        <v>40423</v>
      </c>
      <c r="BA4207" s="3" t="s">
        <v>40423</v>
      </c>
      <c r="BB4207" s="3" t="s">
        <v>40435</v>
      </c>
      <c r="BC4207" s="3" t="s">
        <v>102</v>
      </c>
      <c r="BD4207" s="3" t="s">
        <v>68</v>
      </c>
      <c r="BE4207" s="3" t="s">
        <v>40425</v>
      </c>
      <c r="BF4207" s="3" t="s">
        <v>40435</v>
      </c>
      <c r="BG4207" s="3" t="s">
        <v>40436</v>
      </c>
    </row>
    <row r="4208" spans="1:59" ht="58" x14ac:dyDescent="0.35">
      <c r="A4208" s="2" t="s">
        <v>59</v>
      </c>
      <c r="B4208" s="2" t="s">
        <v>60</v>
      </c>
      <c r="C4208" s="2" t="s">
        <v>40433</v>
      </c>
      <c r="D4208" s="2" t="s">
        <v>40434</v>
      </c>
      <c r="E4208" s="2" t="s">
        <v>40417</v>
      </c>
      <c r="F4208" s="3" t="s">
        <v>1413</v>
      </c>
      <c r="G4208" s="3" t="s">
        <v>61</v>
      </c>
      <c r="I4208" s="3" t="s">
        <v>61</v>
      </c>
      <c r="J4208" s="3" t="s">
        <v>62</v>
      </c>
      <c r="K4208" s="3" t="s">
        <v>63</v>
      </c>
      <c r="L4208" s="2" t="s">
        <v>40419</v>
      </c>
      <c r="M4208" s="2" t="s">
        <v>40420</v>
      </c>
      <c r="N4208" s="3" t="s">
        <v>81</v>
      </c>
      <c r="P4208" s="3" t="s">
        <v>64</v>
      </c>
      <c r="R4208" s="3" t="s">
        <v>34126</v>
      </c>
      <c r="S4208" s="4">
        <v>0</v>
      </c>
      <c r="T4208" s="4">
        <v>2</v>
      </c>
      <c r="V4208" s="5" t="s">
        <v>30457</v>
      </c>
      <c r="W4208" s="5" t="s">
        <v>67</v>
      </c>
      <c r="X4208" s="5" t="s">
        <v>67</v>
      </c>
      <c r="Y4208" s="4">
        <v>387</v>
      </c>
      <c r="Z4208" s="4">
        <v>15</v>
      </c>
      <c r="AA4208" s="4">
        <v>35</v>
      </c>
      <c r="AB4208" s="4">
        <v>2</v>
      </c>
      <c r="AC4208" s="4">
        <v>8</v>
      </c>
      <c r="AD4208" s="4">
        <v>86</v>
      </c>
      <c r="AE4208" s="4">
        <v>109</v>
      </c>
      <c r="AF4208" s="4">
        <v>0</v>
      </c>
      <c r="AG4208" s="4">
        <v>4</v>
      </c>
      <c r="AH4208" s="4">
        <v>75</v>
      </c>
      <c r="AI4208" s="4">
        <v>89</v>
      </c>
      <c r="AJ4208" s="4">
        <v>6</v>
      </c>
      <c r="AK4208" s="4">
        <v>19</v>
      </c>
      <c r="AL4208" s="4">
        <v>43</v>
      </c>
      <c r="AM4208" s="4">
        <v>48</v>
      </c>
      <c r="AN4208" s="4">
        <v>0</v>
      </c>
      <c r="AO4208" s="4">
        <v>0</v>
      </c>
      <c r="AP4208" s="4">
        <v>12</v>
      </c>
      <c r="AQ4208" s="4">
        <v>27</v>
      </c>
      <c r="AR4208" s="3" t="s">
        <v>62</v>
      </c>
      <c r="AS4208" s="3" t="s">
        <v>62</v>
      </c>
      <c r="AT4208" s="3" t="s">
        <v>61</v>
      </c>
      <c r="AU4208" s="6" t="str">
        <f t="shared" si="70"/>
        <v>HathiTrust Record</v>
      </c>
      <c r="AV4208" s="6" t="str">
        <f t="shared" si="71"/>
        <v>Catalog Record</v>
      </c>
      <c r="AW4208" s="6" t="str">
        <f t="shared" si="72"/>
        <v>WorldCat Record</v>
      </c>
      <c r="AX4208" s="3" t="s">
        <v>40421</v>
      </c>
      <c r="AY4208" s="3" t="s">
        <v>40422</v>
      </c>
      <c r="AZ4208" s="3" t="s">
        <v>40423</v>
      </c>
      <c r="BA4208" s="3" t="s">
        <v>40423</v>
      </c>
      <c r="BB4208" s="3" t="s">
        <v>40437</v>
      </c>
      <c r="BC4208" s="3" t="s">
        <v>102</v>
      </c>
      <c r="BD4208" s="3" t="s">
        <v>68</v>
      </c>
      <c r="BE4208" s="3" t="s">
        <v>40425</v>
      </c>
      <c r="BF4208" s="3" t="s">
        <v>40437</v>
      </c>
      <c r="BG4208" s="3" t="s">
        <v>40438</v>
      </c>
    </row>
    <row r="4209" spans="1:59" ht="58" x14ac:dyDescent="0.35">
      <c r="A4209" s="2" t="s">
        <v>59</v>
      </c>
      <c r="B4209" s="2" t="s">
        <v>60</v>
      </c>
      <c r="C4209" s="2" t="s">
        <v>40433</v>
      </c>
      <c r="D4209" s="2" t="s">
        <v>40434</v>
      </c>
      <c r="E4209" s="2" t="s">
        <v>40417</v>
      </c>
      <c r="F4209" s="3" t="s">
        <v>1428</v>
      </c>
      <c r="G4209" s="3" t="s">
        <v>61</v>
      </c>
      <c r="I4209" s="3" t="s">
        <v>61</v>
      </c>
      <c r="J4209" s="3" t="s">
        <v>62</v>
      </c>
      <c r="K4209" s="3" t="s">
        <v>63</v>
      </c>
      <c r="L4209" s="2" t="s">
        <v>40419</v>
      </c>
      <c r="M4209" s="2" t="s">
        <v>40420</v>
      </c>
      <c r="N4209" s="3" t="s">
        <v>81</v>
      </c>
      <c r="P4209" s="3" t="s">
        <v>64</v>
      </c>
      <c r="R4209" s="3" t="s">
        <v>34126</v>
      </c>
      <c r="S4209" s="4">
        <v>0</v>
      </c>
      <c r="T4209" s="4">
        <v>2</v>
      </c>
      <c r="V4209" s="5" t="s">
        <v>30457</v>
      </c>
      <c r="W4209" s="5" t="s">
        <v>67</v>
      </c>
      <c r="X4209" s="5" t="s">
        <v>67</v>
      </c>
      <c r="Y4209" s="4">
        <v>387</v>
      </c>
      <c r="Z4209" s="4">
        <v>15</v>
      </c>
      <c r="AA4209" s="4">
        <v>35</v>
      </c>
      <c r="AB4209" s="4">
        <v>2</v>
      </c>
      <c r="AC4209" s="4">
        <v>8</v>
      </c>
      <c r="AD4209" s="4">
        <v>86</v>
      </c>
      <c r="AE4209" s="4">
        <v>109</v>
      </c>
      <c r="AF4209" s="4">
        <v>0</v>
      </c>
      <c r="AG4209" s="4">
        <v>4</v>
      </c>
      <c r="AH4209" s="4">
        <v>75</v>
      </c>
      <c r="AI4209" s="4">
        <v>89</v>
      </c>
      <c r="AJ4209" s="4">
        <v>6</v>
      </c>
      <c r="AK4209" s="4">
        <v>19</v>
      </c>
      <c r="AL4209" s="4">
        <v>43</v>
      </c>
      <c r="AM4209" s="4">
        <v>48</v>
      </c>
      <c r="AN4209" s="4">
        <v>0</v>
      </c>
      <c r="AO4209" s="4">
        <v>0</v>
      </c>
      <c r="AP4209" s="4">
        <v>12</v>
      </c>
      <c r="AQ4209" s="4">
        <v>27</v>
      </c>
      <c r="AR4209" s="3" t="s">
        <v>62</v>
      </c>
      <c r="AS4209" s="3" t="s">
        <v>62</v>
      </c>
      <c r="AT4209" s="3" t="s">
        <v>61</v>
      </c>
      <c r="AU4209" s="6" t="str">
        <f t="shared" si="70"/>
        <v>HathiTrust Record</v>
      </c>
      <c r="AV4209" s="6" t="str">
        <f t="shared" si="71"/>
        <v>Catalog Record</v>
      </c>
      <c r="AW4209" s="6" t="str">
        <f t="shared" si="72"/>
        <v>WorldCat Record</v>
      </c>
      <c r="AX4209" s="3" t="s">
        <v>40421</v>
      </c>
      <c r="AY4209" s="3" t="s">
        <v>40422</v>
      </c>
      <c r="AZ4209" s="3" t="s">
        <v>40423</v>
      </c>
      <c r="BA4209" s="3" t="s">
        <v>40423</v>
      </c>
      <c r="BB4209" s="3" t="s">
        <v>40439</v>
      </c>
      <c r="BC4209" s="3" t="s">
        <v>102</v>
      </c>
      <c r="BD4209" s="3" t="s">
        <v>68</v>
      </c>
      <c r="BE4209" s="3" t="s">
        <v>40425</v>
      </c>
      <c r="BF4209" s="3" t="s">
        <v>40439</v>
      </c>
      <c r="BG4209" s="3" t="s">
        <v>40440</v>
      </c>
    </row>
    <row r="4210" spans="1:59" ht="58" x14ac:dyDescent="0.35">
      <c r="A4210" s="2" t="s">
        <v>59</v>
      </c>
      <c r="B4210" s="2" t="s">
        <v>60</v>
      </c>
      <c r="C4210" s="2" t="s">
        <v>40433</v>
      </c>
      <c r="D4210" s="2" t="s">
        <v>40434</v>
      </c>
      <c r="E4210" s="2" t="s">
        <v>40417</v>
      </c>
      <c r="F4210" s="3" t="s">
        <v>1434</v>
      </c>
      <c r="G4210" s="3" t="s">
        <v>61</v>
      </c>
      <c r="I4210" s="3" t="s">
        <v>61</v>
      </c>
      <c r="J4210" s="3" t="s">
        <v>62</v>
      </c>
      <c r="K4210" s="3" t="s">
        <v>63</v>
      </c>
      <c r="L4210" s="2" t="s">
        <v>40419</v>
      </c>
      <c r="M4210" s="2" t="s">
        <v>40420</v>
      </c>
      <c r="N4210" s="3" t="s">
        <v>81</v>
      </c>
      <c r="P4210" s="3" t="s">
        <v>64</v>
      </c>
      <c r="R4210" s="3" t="s">
        <v>34126</v>
      </c>
      <c r="S4210" s="4">
        <v>0</v>
      </c>
      <c r="T4210" s="4">
        <v>2</v>
      </c>
      <c r="V4210" s="5" t="s">
        <v>30457</v>
      </c>
      <c r="W4210" s="5" t="s">
        <v>67</v>
      </c>
      <c r="X4210" s="5" t="s">
        <v>67</v>
      </c>
      <c r="Y4210" s="4">
        <v>387</v>
      </c>
      <c r="Z4210" s="4">
        <v>15</v>
      </c>
      <c r="AA4210" s="4">
        <v>35</v>
      </c>
      <c r="AB4210" s="4">
        <v>2</v>
      </c>
      <c r="AC4210" s="4">
        <v>8</v>
      </c>
      <c r="AD4210" s="4">
        <v>86</v>
      </c>
      <c r="AE4210" s="4">
        <v>109</v>
      </c>
      <c r="AF4210" s="4">
        <v>0</v>
      </c>
      <c r="AG4210" s="4">
        <v>4</v>
      </c>
      <c r="AH4210" s="4">
        <v>75</v>
      </c>
      <c r="AI4210" s="4">
        <v>89</v>
      </c>
      <c r="AJ4210" s="4">
        <v>6</v>
      </c>
      <c r="AK4210" s="4">
        <v>19</v>
      </c>
      <c r="AL4210" s="4">
        <v>43</v>
      </c>
      <c r="AM4210" s="4">
        <v>48</v>
      </c>
      <c r="AN4210" s="4">
        <v>0</v>
      </c>
      <c r="AO4210" s="4">
        <v>0</v>
      </c>
      <c r="AP4210" s="4">
        <v>12</v>
      </c>
      <c r="AQ4210" s="4">
        <v>27</v>
      </c>
      <c r="AR4210" s="3" t="s">
        <v>62</v>
      </c>
      <c r="AS4210" s="3" t="s">
        <v>62</v>
      </c>
      <c r="AT4210" s="3" t="s">
        <v>61</v>
      </c>
      <c r="AU4210" s="6" t="str">
        <f t="shared" si="70"/>
        <v>HathiTrust Record</v>
      </c>
      <c r="AV4210" s="6" t="str">
        <f t="shared" si="71"/>
        <v>Catalog Record</v>
      </c>
      <c r="AW4210" s="6" t="str">
        <f t="shared" si="72"/>
        <v>WorldCat Record</v>
      </c>
      <c r="AX4210" s="3" t="s">
        <v>40421</v>
      </c>
      <c r="AY4210" s="3" t="s">
        <v>40422</v>
      </c>
      <c r="AZ4210" s="3" t="s">
        <v>40423</v>
      </c>
      <c r="BA4210" s="3" t="s">
        <v>40423</v>
      </c>
      <c r="BB4210" s="3" t="s">
        <v>40441</v>
      </c>
      <c r="BC4210" s="3" t="s">
        <v>102</v>
      </c>
      <c r="BD4210" s="3" t="s">
        <v>68</v>
      </c>
      <c r="BE4210" s="3" t="s">
        <v>40425</v>
      </c>
      <c r="BF4210" s="3" t="s">
        <v>40441</v>
      </c>
      <c r="BG4210" s="3" t="s">
        <v>40442</v>
      </c>
    </row>
    <row r="4211" spans="1:59" ht="58" x14ac:dyDescent="0.35">
      <c r="A4211" s="2" t="s">
        <v>59</v>
      </c>
      <c r="B4211" s="2" t="s">
        <v>60</v>
      </c>
      <c r="C4211" s="2" t="s">
        <v>40433</v>
      </c>
      <c r="D4211" s="2" t="s">
        <v>40434</v>
      </c>
      <c r="E4211" s="2" t="s">
        <v>40417</v>
      </c>
      <c r="F4211" s="3" t="s">
        <v>1416</v>
      </c>
      <c r="G4211" s="3" t="s">
        <v>61</v>
      </c>
      <c r="I4211" s="3" t="s">
        <v>61</v>
      </c>
      <c r="J4211" s="3" t="s">
        <v>62</v>
      </c>
      <c r="K4211" s="3" t="s">
        <v>63</v>
      </c>
      <c r="L4211" s="2" t="s">
        <v>40419</v>
      </c>
      <c r="M4211" s="2" t="s">
        <v>40420</v>
      </c>
      <c r="N4211" s="3" t="s">
        <v>81</v>
      </c>
      <c r="P4211" s="3" t="s">
        <v>64</v>
      </c>
      <c r="R4211" s="3" t="s">
        <v>34126</v>
      </c>
      <c r="S4211" s="4">
        <v>0</v>
      </c>
      <c r="T4211" s="4">
        <v>2</v>
      </c>
      <c r="V4211" s="5" t="s">
        <v>30457</v>
      </c>
      <c r="W4211" s="5" t="s">
        <v>67</v>
      </c>
      <c r="X4211" s="5" t="s">
        <v>67</v>
      </c>
      <c r="Y4211" s="4">
        <v>387</v>
      </c>
      <c r="Z4211" s="4">
        <v>15</v>
      </c>
      <c r="AA4211" s="4">
        <v>35</v>
      </c>
      <c r="AB4211" s="4">
        <v>2</v>
      </c>
      <c r="AC4211" s="4">
        <v>8</v>
      </c>
      <c r="AD4211" s="4">
        <v>86</v>
      </c>
      <c r="AE4211" s="4">
        <v>109</v>
      </c>
      <c r="AF4211" s="4">
        <v>0</v>
      </c>
      <c r="AG4211" s="4">
        <v>4</v>
      </c>
      <c r="AH4211" s="4">
        <v>75</v>
      </c>
      <c r="AI4211" s="4">
        <v>89</v>
      </c>
      <c r="AJ4211" s="4">
        <v>6</v>
      </c>
      <c r="AK4211" s="4">
        <v>19</v>
      </c>
      <c r="AL4211" s="4">
        <v>43</v>
      </c>
      <c r="AM4211" s="4">
        <v>48</v>
      </c>
      <c r="AN4211" s="4">
        <v>0</v>
      </c>
      <c r="AO4211" s="4">
        <v>0</v>
      </c>
      <c r="AP4211" s="4">
        <v>12</v>
      </c>
      <c r="AQ4211" s="4">
        <v>27</v>
      </c>
      <c r="AR4211" s="3" t="s">
        <v>62</v>
      </c>
      <c r="AS4211" s="3" t="s">
        <v>62</v>
      </c>
      <c r="AT4211" s="3" t="s">
        <v>61</v>
      </c>
      <c r="AU4211" s="6" t="str">
        <f t="shared" si="70"/>
        <v>HathiTrust Record</v>
      </c>
      <c r="AV4211" s="6" t="str">
        <f t="shared" si="71"/>
        <v>Catalog Record</v>
      </c>
      <c r="AW4211" s="6" t="str">
        <f t="shared" si="72"/>
        <v>WorldCat Record</v>
      </c>
      <c r="AX4211" s="3" t="s">
        <v>40421</v>
      </c>
      <c r="AY4211" s="3" t="s">
        <v>40422</v>
      </c>
      <c r="AZ4211" s="3" t="s">
        <v>40423</v>
      </c>
      <c r="BA4211" s="3" t="s">
        <v>40423</v>
      </c>
      <c r="BB4211" s="3" t="s">
        <v>40443</v>
      </c>
      <c r="BC4211" s="3" t="s">
        <v>102</v>
      </c>
      <c r="BD4211" s="3" t="s">
        <v>68</v>
      </c>
      <c r="BE4211" s="3" t="s">
        <v>40425</v>
      </c>
      <c r="BF4211" s="3" t="s">
        <v>40443</v>
      </c>
      <c r="BG4211" s="3" t="s">
        <v>40444</v>
      </c>
    </row>
    <row r="4212" spans="1:59" ht="58" x14ac:dyDescent="0.35">
      <c r="A4212" s="2" t="s">
        <v>59</v>
      </c>
      <c r="B4212" s="2" t="s">
        <v>60</v>
      </c>
      <c r="C4212" s="2" t="s">
        <v>40445</v>
      </c>
      <c r="D4212" s="2" t="s">
        <v>40446</v>
      </c>
      <c r="E4212" s="2" t="s">
        <v>40447</v>
      </c>
      <c r="G4212" s="3" t="s">
        <v>62</v>
      </c>
      <c r="I4212" s="3" t="s">
        <v>61</v>
      </c>
      <c r="J4212" s="3" t="s">
        <v>61</v>
      </c>
      <c r="K4212" s="3" t="s">
        <v>63</v>
      </c>
      <c r="L4212" s="2" t="s">
        <v>40448</v>
      </c>
      <c r="M4212" s="2" t="s">
        <v>40449</v>
      </c>
      <c r="N4212" s="3" t="s">
        <v>2702</v>
      </c>
      <c r="O4212" s="2" t="s">
        <v>8443</v>
      </c>
      <c r="P4212" s="3" t="s">
        <v>64</v>
      </c>
      <c r="R4212" s="3" t="s">
        <v>34126</v>
      </c>
      <c r="S4212" s="4">
        <v>1</v>
      </c>
      <c r="T4212" s="4">
        <v>3</v>
      </c>
      <c r="U4212" s="5" t="s">
        <v>1551</v>
      </c>
      <c r="V4212" s="5" t="s">
        <v>1551</v>
      </c>
      <c r="W4212" s="5" t="s">
        <v>67</v>
      </c>
      <c r="X4212" s="5" t="s">
        <v>67</v>
      </c>
      <c r="Y4212" s="4">
        <v>167</v>
      </c>
      <c r="Z4212" s="4">
        <v>9</v>
      </c>
      <c r="AA4212" s="4">
        <v>29</v>
      </c>
      <c r="AB4212" s="4">
        <v>1</v>
      </c>
      <c r="AC4212" s="4">
        <v>4</v>
      </c>
      <c r="AD4212" s="4">
        <v>59</v>
      </c>
      <c r="AE4212" s="4">
        <v>120</v>
      </c>
      <c r="AF4212" s="4">
        <v>0</v>
      </c>
      <c r="AG4212" s="4">
        <v>2</v>
      </c>
      <c r="AH4212" s="4">
        <v>56</v>
      </c>
      <c r="AI4212" s="4">
        <v>100</v>
      </c>
      <c r="AJ4212" s="4">
        <v>8</v>
      </c>
      <c r="AK4212" s="4">
        <v>16</v>
      </c>
      <c r="AL4212" s="4">
        <v>34</v>
      </c>
      <c r="AM4212" s="4">
        <v>58</v>
      </c>
      <c r="AN4212" s="4">
        <v>0</v>
      </c>
      <c r="AO4212" s="4">
        <v>0</v>
      </c>
      <c r="AP4212" s="4">
        <v>7</v>
      </c>
      <c r="AQ4212" s="4">
        <v>22</v>
      </c>
      <c r="AR4212" s="3" t="s">
        <v>62</v>
      </c>
      <c r="AS4212" s="3" t="s">
        <v>62</v>
      </c>
      <c r="AT4212" s="3" t="s">
        <v>61</v>
      </c>
      <c r="AU4212" s="6" t="str">
        <f>HYPERLINK("http://catalog.hathitrust.org/Record/001493043","HathiTrust Record")</f>
        <v>HathiTrust Record</v>
      </c>
      <c r="AV4212" s="6" t="str">
        <f>HYPERLINK("http://mcgill.on.worldcat.org/oclc/14659077","Catalog Record")</f>
        <v>Catalog Record</v>
      </c>
      <c r="AW4212" s="6" t="str">
        <f>HYPERLINK("http://www.worldcat.org/oclc/14659077","WorldCat Record")</f>
        <v>WorldCat Record</v>
      </c>
      <c r="AX4212" s="3" t="s">
        <v>40450</v>
      </c>
      <c r="AY4212" s="3" t="s">
        <v>40451</v>
      </c>
      <c r="AZ4212" s="3" t="s">
        <v>40452</v>
      </c>
      <c r="BA4212" s="3" t="s">
        <v>40452</v>
      </c>
      <c r="BB4212" s="3" t="s">
        <v>40453</v>
      </c>
      <c r="BC4212" s="3" t="s">
        <v>102</v>
      </c>
      <c r="BD4212" s="3" t="s">
        <v>6923</v>
      </c>
      <c r="BF4212" s="3" t="s">
        <v>40453</v>
      </c>
      <c r="BG4212" s="3" t="s">
        <v>40454</v>
      </c>
    </row>
    <row r="4213" spans="1:59" ht="72.5" x14ac:dyDescent="0.35">
      <c r="A4213" s="2" t="s">
        <v>59</v>
      </c>
      <c r="B4213" s="2" t="s">
        <v>60</v>
      </c>
      <c r="C4213" s="2" t="s">
        <v>40455</v>
      </c>
      <c r="D4213" s="2" t="s">
        <v>40456</v>
      </c>
      <c r="E4213" s="2" t="s">
        <v>40457</v>
      </c>
      <c r="G4213" s="3" t="s">
        <v>62</v>
      </c>
      <c r="I4213" s="3" t="s">
        <v>61</v>
      </c>
      <c r="J4213" s="3" t="s">
        <v>62</v>
      </c>
      <c r="K4213" s="3" t="s">
        <v>63</v>
      </c>
      <c r="L4213" s="2" t="s">
        <v>40458</v>
      </c>
      <c r="M4213" s="2" t="s">
        <v>40459</v>
      </c>
      <c r="N4213" s="3" t="s">
        <v>87</v>
      </c>
      <c r="P4213" s="3" t="s">
        <v>64</v>
      </c>
      <c r="Q4213" s="2" t="s">
        <v>40460</v>
      </c>
      <c r="R4213" s="3" t="s">
        <v>34126</v>
      </c>
      <c r="S4213" s="4">
        <v>9</v>
      </c>
      <c r="T4213" s="4">
        <v>21</v>
      </c>
      <c r="U4213" s="5" t="s">
        <v>3616</v>
      </c>
      <c r="V4213" s="5" t="s">
        <v>3616</v>
      </c>
      <c r="W4213" s="5" t="s">
        <v>67</v>
      </c>
      <c r="X4213" s="5" t="s">
        <v>67</v>
      </c>
      <c r="Y4213" s="4">
        <v>414</v>
      </c>
      <c r="Z4213" s="4">
        <v>25</v>
      </c>
      <c r="AA4213" s="4">
        <v>29</v>
      </c>
      <c r="AB4213" s="4">
        <v>2</v>
      </c>
      <c r="AC4213" s="4">
        <v>6</v>
      </c>
      <c r="AD4213" s="4">
        <v>114</v>
      </c>
      <c r="AE4213" s="4">
        <v>117</v>
      </c>
      <c r="AF4213" s="4">
        <v>1</v>
      </c>
      <c r="AG4213" s="4">
        <v>4</v>
      </c>
      <c r="AH4213" s="4">
        <v>99</v>
      </c>
      <c r="AI4213" s="4">
        <v>100</v>
      </c>
      <c r="AJ4213" s="4">
        <v>18</v>
      </c>
      <c r="AK4213" s="4">
        <v>21</v>
      </c>
      <c r="AL4213" s="4">
        <v>54</v>
      </c>
      <c r="AM4213" s="4">
        <v>54</v>
      </c>
      <c r="AN4213" s="4">
        <v>0</v>
      </c>
      <c r="AO4213" s="4">
        <v>0</v>
      </c>
      <c r="AP4213" s="4">
        <v>19</v>
      </c>
      <c r="AQ4213" s="4">
        <v>21</v>
      </c>
      <c r="AR4213" s="3" t="s">
        <v>62</v>
      </c>
      <c r="AS4213" s="3" t="s">
        <v>62</v>
      </c>
      <c r="AT4213" s="3" t="s">
        <v>61</v>
      </c>
      <c r="AU4213" s="6" t="str">
        <f>HYPERLINK("http://catalog.hathitrust.org/Record/000214604","HathiTrust Record")</f>
        <v>HathiTrust Record</v>
      </c>
      <c r="AV4213" s="6" t="str">
        <f>HYPERLINK("http://mcgill.on.worldcat.org/oclc/4136434","Catalog Record")</f>
        <v>Catalog Record</v>
      </c>
      <c r="AW4213" s="6" t="str">
        <f>HYPERLINK("http://www.worldcat.org/oclc/4136434","WorldCat Record")</f>
        <v>WorldCat Record</v>
      </c>
      <c r="AX4213" s="3" t="s">
        <v>40461</v>
      </c>
      <c r="AY4213" s="3" t="s">
        <v>40462</v>
      </c>
      <c r="AZ4213" s="3" t="s">
        <v>40463</v>
      </c>
      <c r="BA4213" s="3" t="s">
        <v>40463</v>
      </c>
      <c r="BB4213" s="3" t="s">
        <v>40464</v>
      </c>
      <c r="BC4213" s="3" t="s">
        <v>102</v>
      </c>
      <c r="BD4213" s="3" t="s">
        <v>6923</v>
      </c>
      <c r="BE4213" s="3" t="s">
        <v>40465</v>
      </c>
      <c r="BF4213" s="3" t="s">
        <v>40464</v>
      </c>
      <c r="BG4213" s="3" t="s">
        <v>40466</v>
      </c>
    </row>
    <row r="4214" spans="1:59" ht="58" x14ac:dyDescent="0.35">
      <c r="A4214" s="2" t="s">
        <v>59</v>
      </c>
      <c r="B4214" s="2" t="s">
        <v>60</v>
      </c>
      <c r="C4214" s="2" t="s">
        <v>40467</v>
      </c>
      <c r="D4214" s="2" t="s">
        <v>40468</v>
      </c>
      <c r="E4214" s="2" t="s">
        <v>40469</v>
      </c>
      <c r="G4214" s="3" t="s">
        <v>62</v>
      </c>
      <c r="I4214" s="3" t="s">
        <v>62</v>
      </c>
      <c r="J4214" s="3" t="s">
        <v>62</v>
      </c>
      <c r="K4214" s="3" t="s">
        <v>63</v>
      </c>
      <c r="L4214" s="2" t="s">
        <v>40470</v>
      </c>
      <c r="M4214" s="2" t="s">
        <v>40471</v>
      </c>
      <c r="N4214" s="3" t="s">
        <v>327</v>
      </c>
      <c r="P4214" s="3" t="s">
        <v>64</v>
      </c>
      <c r="R4214" s="3" t="s">
        <v>34126</v>
      </c>
      <c r="S4214" s="4">
        <v>4</v>
      </c>
      <c r="T4214" s="4">
        <v>4</v>
      </c>
      <c r="U4214" s="5" t="s">
        <v>6761</v>
      </c>
      <c r="V4214" s="5" t="s">
        <v>6761</v>
      </c>
      <c r="W4214" s="5" t="s">
        <v>67</v>
      </c>
      <c r="X4214" s="5" t="s">
        <v>67</v>
      </c>
      <c r="Y4214" s="4">
        <v>200</v>
      </c>
      <c r="Z4214" s="4">
        <v>14</v>
      </c>
      <c r="AA4214" s="4">
        <v>14</v>
      </c>
      <c r="AB4214" s="4">
        <v>1</v>
      </c>
      <c r="AC4214" s="4">
        <v>1</v>
      </c>
      <c r="AD4214" s="4">
        <v>77</v>
      </c>
      <c r="AE4214" s="4">
        <v>79</v>
      </c>
      <c r="AF4214" s="4">
        <v>0</v>
      </c>
      <c r="AG4214" s="4">
        <v>0</v>
      </c>
      <c r="AH4214" s="4">
        <v>68</v>
      </c>
      <c r="AI4214" s="4">
        <v>70</v>
      </c>
      <c r="AJ4214" s="4">
        <v>12</v>
      </c>
      <c r="AK4214" s="4">
        <v>12</v>
      </c>
      <c r="AL4214" s="4">
        <v>44</v>
      </c>
      <c r="AM4214" s="4">
        <v>44</v>
      </c>
      <c r="AN4214" s="4">
        <v>5</v>
      </c>
      <c r="AO4214" s="4">
        <v>5</v>
      </c>
      <c r="AP4214" s="4">
        <v>11</v>
      </c>
      <c r="AQ4214" s="4">
        <v>11</v>
      </c>
      <c r="AR4214" s="3" t="s">
        <v>62</v>
      </c>
      <c r="AS4214" s="3" t="s">
        <v>62</v>
      </c>
      <c r="AT4214" s="3" t="s">
        <v>61</v>
      </c>
      <c r="AU4214" s="6" t="str">
        <f>HYPERLINK("http://catalog.hathitrust.org/Record/000285932","HathiTrust Record")</f>
        <v>HathiTrust Record</v>
      </c>
      <c r="AV4214" s="6" t="str">
        <f>HYPERLINK("http://mcgill.on.worldcat.org/oclc/12906196","Catalog Record")</f>
        <v>Catalog Record</v>
      </c>
      <c r="AW4214" s="6" t="str">
        <f>HYPERLINK("http://www.worldcat.org/oclc/12906196","WorldCat Record")</f>
        <v>WorldCat Record</v>
      </c>
      <c r="AX4214" s="3" t="s">
        <v>40472</v>
      </c>
      <c r="AY4214" s="3" t="s">
        <v>40473</v>
      </c>
      <c r="AZ4214" s="3" t="s">
        <v>40474</v>
      </c>
      <c r="BA4214" s="3" t="s">
        <v>40474</v>
      </c>
      <c r="BB4214" s="3" t="s">
        <v>40475</v>
      </c>
      <c r="BC4214" s="3" t="s">
        <v>102</v>
      </c>
      <c r="BD4214" s="3" t="s">
        <v>6923</v>
      </c>
      <c r="BE4214" s="3" t="s">
        <v>40476</v>
      </c>
      <c r="BF4214" s="3" t="s">
        <v>40475</v>
      </c>
      <c r="BG4214" s="3" t="s">
        <v>40477</v>
      </c>
    </row>
    <row r="4215" spans="1:59" ht="58" x14ac:dyDescent="0.35">
      <c r="A4215" s="2" t="s">
        <v>59</v>
      </c>
      <c r="B4215" s="2" t="s">
        <v>60</v>
      </c>
      <c r="C4215" s="2" t="s">
        <v>40478</v>
      </c>
      <c r="D4215" s="2" t="s">
        <v>40479</v>
      </c>
      <c r="E4215" s="2" t="s">
        <v>40480</v>
      </c>
      <c r="G4215" s="3" t="s">
        <v>62</v>
      </c>
      <c r="I4215" s="3" t="s">
        <v>62</v>
      </c>
      <c r="J4215" s="3" t="s">
        <v>62</v>
      </c>
      <c r="K4215" s="3" t="s">
        <v>63</v>
      </c>
      <c r="M4215" s="2" t="s">
        <v>40481</v>
      </c>
      <c r="N4215" s="3" t="s">
        <v>3062</v>
      </c>
      <c r="P4215" s="3" t="s">
        <v>64</v>
      </c>
      <c r="R4215" s="3" t="s">
        <v>34126</v>
      </c>
      <c r="S4215" s="4">
        <v>5</v>
      </c>
      <c r="T4215" s="4">
        <v>5</v>
      </c>
      <c r="U4215" s="5" t="s">
        <v>35267</v>
      </c>
      <c r="V4215" s="5" t="s">
        <v>35267</v>
      </c>
      <c r="W4215" s="5" t="s">
        <v>67</v>
      </c>
      <c r="X4215" s="5" t="s">
        <v>67</v>
      </c>
      <c r="Y4215" s="4">
        <v>120</v>
      </c>
      <c r="Z4215" s="4">
        <v>10</v>
      </c>
      <c r="AA4215" s="4">
        <v>10</v>
      </c>
      <c r="AB4215" s="4">
        <v>1</v>
      </c>
      <c r="AC4215" s="4">
        <v>1</v>
      </c>
      <c r="AD4215" s="4">
        <v>64</v>
      </c>
      <c r="AE4215" s="4">
        <v>64</v>
      </c>
      <c r="AF4215" s="4">
        <v>0</v>
      </c>
      <c r="AG4215" s="4">
        <v>0</v>
      </c>
      <c r="AH4215" s="4">
        <v>59</v>
      </c>
      <c r="AI4215" s="4">
        <v>59</v>
      </c>
      <c r="AJ4215" s="4">
        <v>8</v>
      </c>
      <c r="AK4215" s="4">
        <v>8</v>
      </c>
      <c r="AL4215" s="4">
        <v>34</v>
      </c>
      <c r="AM4215" s="4">
        <v>34</v>
      </c>
      <c r="AN4215" s="4">
        <v>0</v>
      </c>
      <c r="AO4215" s="4">
        <v>0</v>
      </c>
      <c r="AP4215" s="4">
        <v>8</v>
      </c>
      <c r="AQ4215" s="4">
        <v>8</v>
      </c>
      <c r="AR4215" s="3" t="s">
        <v>62</v>
      </c>
      <c r="AS4215" s="3" t="s">
        <v>62</v>
      </c>
      <c r="AT4215" s="3" t="s">
        <v>61</v>
      </c>
      <c r="AU4215" s="6" t="str">
        <f>HYPERLINK("http://catalog.hathitrust.org/Record/002507303","HathiTrust Record")</f>
        <v>HathiTrust Record</v>
      </c>
      <c r="AV4215" s="6" t="str">
        <f>HYPERLINK("http://mcgill.on.worldcat.org/oclc/25592687","Catalog Record")</f>
        <v>Catalog Record</v>
      </c>
      <c r="AW4215" s="6" t="str">
        <f>HYPERLINK("http://www.worldcat.org/oclc/25592687","WorldCat Record")</f>
        <v>WorldCat Record</v>
      </c>
      <c r="AX4215" s="3" t="s">
        <v>40482</v>
      </c>
      <c r="AY4215" s="3" t="s">
        <v>40483</v>
      </c>
      <c r="AZ4215" s="3" t="s">
        <v>40484</v>
      </c>
      <c r="BA4215" s="3" t="s">
        <v>40484</v>
      </c>
      <c r="BB4215" s="3" t="s">
        <v>40485</v>
      </c>
      <c r="BC4215" s="3" t="s">
        <v>102</v>
      </c>
      <c r="BD4215" s="3" t="s">
        <v>68</v>
      </c>
      <c r="BE4215" s="3" t="s">
        <v>40486</v>
      </c>
      <c r="BF4215" s="3" t="s">
        <v>40485</v>
      </c>
      <c r="BG4215" s="3" t="s">
        <v>40487</v>
      </c>
    </row>
    <row r="4216" spans="1:59" ht="58" x14ac:dyDescent="0.35">
      <c r="A4216" s="2" t="s">
        <v>59</v>
      </c>
      <c r="B4216" s="2" t="s">
        <v>60</v>
      </c>
      <c r="C4216" s="2" t="s">
        <v>40488</v>
      </c>
      <c r="D4216" s="2" t="s">
        <v>40489</v>
      </c>
      <c r="E4216" s="2" t="s">
        <v>40490</v>
      </c>
      <c r="G4216" s="3" t="s">
        <v>62</v>
      </c>
      <c r="I4216" s="3" t="s">
        <v>61</v>
      </c>
      <c r="J4216" s="3" t="s">
        <v>62</v>
      </c>
      <c r="K4216" s="3" t="s">
        <v>63</v>
      </c>
      <c r="L4216" s="2" t="s">
        <v>40491</v>
      </c>
      <c r="M4216" s="2" t="s">
        <v>40492</v>
      </c>
      <c r="N4216" s="3" t="s">
        <v>866</v>
      </c>
      <c r="P4216" s="3" t="s">
        <v>64</v>
      </c>
      <c r="Q4216" s="2" t="s">
        <v>40493</v>
      </c>
      <c r="R4216" s="3" t="s">
        <v>34126</v>
      </c>
      <c r="S4216" s="4">
        <v>11</v>
      </c>
      <c r="T4216" s="4">
        <v>74</v>
      </c>
      <c r="U4216" s="5" t="s">
        <v>40494</v>
      </c>
      <c r="V4216" s="5" t="s">
        <v>7755</v>
      </c>
      <c r="W4216" s="5" t="s">
        <v>67</v>
      </c>
      <c r="X4216" s="5" t="s">
        <v>67</v>
      </c>
      <c r="Y4216" s="4">
        <v>344</v>
      </c>
      <c r="Z4216" s="4">
        <v>24</v>
      </c>
      <c r="AA4216" s="4">
        <v>28</v>
      </c>
      <c r="AB4216" s="4">
        <v>3</v>
      </c>
      <c r="AC4216" s="4">
        <v>7</v>
      </c>
      <c r="AD4216" s="4">
        <v>89</v>
      </c>
      <c r="AE4216" s="4">
        <v>92</v>
      </c>
      <c r="AF4216" s="4">
        <v>1</v>
      </c>
      <c r="AG4216" s="4">
        <v>4</v>
      </c>
      <c r="AH4216" s="4">
        <v>78</v>
      </c>
      <c r="AI4216" s="4">
        <v>79</v>
      </c>
      <c r="AJ4216" s="4">
        <v>15</v>
      </c>
      <c r="AK4216" s="4">
        <v>18</v>
      </c>
      <c r="AL4216" s="4">
        <v>40</v>
      </c>
      <c r="AM4216" s="4">
        <v>40</v>
      </c>
      <c r="AN4216" s="4">
        <v>0</v>
      </c>
      <c r="AO4216" s="4">
        <v>0</v>
      </c>
      <c r="AP4216" s="4">
        <v>18</v>
      </c>
      <c r="AQ4216" s="4">
        <v>20</v>
      </c>
      <c r="AR4216" s="3" t="s">
        <v>62</v>
      </c>
      <c r="AS4216" s="3" t="s">
        <v>62</v>
      </c>
      <c r="AT4216" s="3" t="s">
        <v>61</v>
      </c>
      <c r="AU4216" s="6" t="str">
        <f>HYPERLINK("http://catalog.hathitrust.org/Record/000005659","HathiTrust Record")</f>
        <v>HathiTrust Record</v>
      </c>
      <c r="AV4216" s="6" t="str">
        <f>HYPERLINK("http://mcgill.on.worldcat.org/oclc/403122","Catalog Record")</f>
        <v>Catalog Record</v>
      </c>
      <c r="AW4216" s="6" t="str">
        <f>HYPERLINK("http://www.worldcat.org/oclc/403122","WorldCat Record")</f>
        <v>WorldCat Record</v>
      </c>
      <c r="AX4216" s="3" t="s">
        <v>40495</v>
      </c>
      <c r="AY4216" s="3" t="s">
        <v>40496</v>
      </c>
      <c r="AZ4216" s="3" t="s">
        <v>40497</v>
      </c>
      <c r="BA4216" s="3" t="s">
        <v>40497</v>
      </c>
      <c r="BB4216" s="3" t="s">
        <v>40498</v>
      </c>
      <c r="BC4216" s="3" t="s">
        <v>102</v>
      </c>
      <c r="BD4216" s="3" t="s">
        <v>68</v>
      </c>
      <c r="BE4216" s="3" t="s">
        <v>40499</v>
      </c>
      <c r="BF4216" s="3" t="s">
        <v>40498</v>
      </c>
      <c r="BG4216" s="3" t="s">
        <v>40500</v>
      </c>
    </row>
    <row r="4217" spans="1:59" ht="58" x14ac:dyDescent="0.35">
      <c r="A4217" s="2" t="s">
        <v>89</v>
      </c>
      <c r="B4217" s="2" t="s">
        <v>90</v>
      </c>
      <c r="C4217" s="2" t="s">
        <v>40501</v>
      </c>
      <c r="D4217" s="2" t="s">
        <v>40502</v>
      </c>
      <c r="E4217" s="2" t="s">
        <v>40503</v>
      </c>
      <c r="G4217" s="3" t="s">
        <v>62</v>
      </c>
      <c r="I4217" s="3" t="s">
        <v>62</v>
      </c>
      <c r="J4217" s="3" t="s">
        <v>62</v>
      </c>
      <c r="K4217" s="3" t="s">
        <v>63</v>
      </c>
      <c r="L4217" s="2" t="s">
        <v>40504</v>
      </c>
      <c r="M4217" s="2" t="s">
        <v>40505</v>
      </c>
      <c r="N4217" s="3" t="s">
        <v>2085</v>
      </c>
      <c r="P4217" s="3" t="s">
        <v>64</v>
      </c>
      <c r="R4217" s="3" t="s">
        <v>34126</v>
      </c>
      <c r="S4217" s="4">
        <v>0</v>
      </c>
      <c r="T4217" s="4">
        <v>0</v>
      </c>
      <c r="W4217" s="5" t="s">
        <v>1293</v>
      </c>
      <c r="X4217" s="5" t="s">
        <v>1293</v>
      </c>
      <c r="Y4217" s="4">
        <v>202</v>
      </c>
      <c r="Z4217" s="4">
        <v>11</v>
      </c>
      <c r="AA4217" s="4">
        <v>79</v>
      </c>
      <c r="AB4217" s="4">
        <v>2</v>
      </c>
      <c r="AC4217" s="4">
        <v>17</v>
      </c>
      <c r="AD4217" s="4">
        <v>44</v>
      </c>
      <c r="AE4217" s="4">
        <v>111</v>
      </c>
      <c r="AF4217" s="4">
        <v>1</v>
      </c>
      <c r="AG4217" s="4">
        <v>8</v>
      </c>
      <c r="AH4217" s="4">
        <v>38</v>
      </c>
      <c r="AI4217" s="4">
        <v>76</v>
      </c>
      <c r="AJ4217" s="4">
        <v>5</v>
      </c>
      <c r="AK4217" s="4">
        <v>21</v>
      </c>
      <c r="AL4217" s="4">
        <v>27</v>
      </c>
      <c r="AM4217" s="4">
        <v>42</v>
      </c>
      <c r="AN4217" s="4">
        <v>0</v>
      </c>
      <c r="AO4217" s="4">
        <v>0</v>
      </c>
      <c r="AP4217" s="4">
        <v>5</v>
      </c>
      <c r="AQ4217" s="4">
        <v>41</v>
      </c>
      <c r="AR4217" s="3" t="s">
        <v>61</v>
      </c>
      <c r="AS4217" s="3" t="s">
        <v>62</v>
      </c>
      <c r="AT4217" s="3" t="s">
        <v>62</v>
      </c>
      <c r="AV4217" s="6" t="str">
        <f>HYPERLINK("http://mcgill.on.worldcat.org/oclc/1047642566","Catalog Record")</f>
        <v>Catalog Record</v>
      </c>
      <c r="AW4217" s="6" t="str">
        <f>HYPERLINK("http://www.worldcat.org/oclc/1047642566","WorldCat Record")</f>
        <v>WorldCat Record</v>
      </c>
      <c r="AX4217" s="3" t="s">
        <v>40506</v>
      </c>
      <c r="AY4217" s="3" t="s">
        <v>40507</v>
      </c>
      <c r="AZ4217" s="3" t="s">
        <v>40508</v>
      </c>
      <c r="BA4217" s="3" t="s">
        <v>40508</v>
      </c>
      <c r="BB4217" s="3" t="s">
        <v>40509</v>
      </c>
      <c r="BC4217" s="3" t="s">
        <v>102</v>
      </c>
      <c r="BD4217" s="3" t="s">
        <v>68</v>
      </c>
      <c r="BE4217" s="3" t="s">
        <v>40510</v>
      </c>
      <c r="BF4217" s="3" t="s">
        <v>40509</v>
      </c>
      <c r="BG4217" s="3" t="s">
        <v>40511</v>
      </c>
    </row>
    <row r="4218" spans="1:59" ht="58" x14ac:dyDescent="0.35">
      <c r="A4218" s="2" t="s">
        <v>59</v>
      </c>
      <c r="B4218" s="2" t="s">
        <v>60</v>
      </c>
      <c r="C4218" s="2" t="s">
        <v>40512</v>
      </c>
      <c r="D4218" s="2" t="s">
        <v>40513</v>
      </c>
      <c r="E4218" s="2" t="s">
        <v>40514</v>
      </c>
      <c r="G4218" s="3" t="s">
        <v>62</v>
      </c>
      <c r="I4218" s="3" t="s">
        <v>62</v>
      </c>
      <c r="J4218" s="3" t="s">
        <v>62</v>
      </c>
      <c r="K4218" s="3" t="s">
        <v>63</v>
      </c>
      <c r="L4218" s="2" t="s">
        <v>40515</v>
      </c>
      <c r="N4218" s="3" t="s">
        <v>1291</v>
      </c>
      <c r="P4218" s="3" t="s">
        <v>64</v>
      </c>
      <c r="Q4218" s="2" t="s">
        <v>40516</v>
      </c>
      <c r="R4218" s="3" t="s">
        <v>34126</v>
      </c>
      <c r="S4218" s="4">
        <v>3</v>
      </c>
      <c r="T4218" s="4">
        <v>3</v>
      </c>
      <c r="U4218" s="5" t="s">
        <v>29625</v>
      </c>
      <c r="V4218" s="5" t="s">
        <v>29625</v>
      </c>
      <c r="W4218" s="5" t="s">
        <v>67</v>
      </c>
      <c r="X4218" s="5" t="s">
        <v>67</v>
      </c>
      <c r="Y4218" s="4">
        <v>547</v>
      </c>
      <c r="Z4218" s="4">
        <v>22</v>
      </c>
      <c r="AA4218" s="4">
        <v>32</v>
      </c>
      <c r="AB4218" s="4">
        <v>3</v>
      </c>
      <c r="AC4218" s="4">
        <v>5</v>
      </c>
      <c r="AD4218" s="4">
        <v>112</v>
      </c>
      <c r="AE4218" s="4">
        <v>118</v>
      </c>
      <c r="AF4218" s="4">
        <v>2</v>
      </c>
      <c r="AG4218" s="4">
        <v>4</v>
      </c>
      <c r="AH4218" s="4">
        <v>97</v>
      </c>
      <c r="AI4218" s="4">
        <v>100</v>
      </c>
      <c r="AJ4218" s="4">
        <v>15</v>
      </c>
      <c r="AK4218" s="4">
        <v>20</v>
      </c>
      <c r="AL4218" s="4">
        <v>54</v>
      </c>
      <c r="AM4218" s="4">
        <v>55</v>
      </c>
      <c r="AN4218" s="4">
        <v>0</v>
      </c>
      <c r="AO4218" s="4">
        <v>0</v>
      </c>
      <c r="AP4218" s="4">
        <v>19</v>
      </c>
      <c r="AQ4218" s="4">
        <v>24</v>
      </c>
      <c r="AR4218" s="3" t="s">
        <v>62</v>
      </c>
      <c r="AS4218" s="3" t="s">
        <v>62</v>
      </c>
      <c r="AT4218" s="3" t="s">
        <v>62</v>
      </c>
      <c r="AU4218" s="6" t="str">
        <f>HYPERLINK("http://catalog.hathitrust.org/Record/001493262","HathiTrust Record")</f>
        <v>HathiTrust Record</v>
      </c>
      <c r="AV4218" s="6" t="str">
        <f>HYPERLINK("http://mcgill.on.worldcat.org/oclc/665164","Catalog Record")</f>
        <v>Catalog Record</v>
      </c>
      <c r="AW4218" s="6" t="str">
        <f>HYPERLINK("http://www.worldcat.org/oclc/665164","WorldCat Record")</f>
        <v>WorldCat Record</v>
      </c>
      <c r="AX4218" s="3" t="s">
        <v>40517</v>
      </c>
      <c r="AY4218" s="3" t="s">
        <v>40518</v>
      </c>
      <c r="AZ4218" s="3" t="s">
        <v>40519</v>
      </c>
      <c r="BA4218" s="3" t="s">
        <v>40519</v>
      </c>
      <c r="BB4218" s="3" t="s">
        <v>40520</v>
      </c>
      <c r="BC4218" s="3" t="s">
        <v>102</v>
      </c>
      <c r="BD4218" s="3" t="s">
        <v>68</v>
      </c>
      <c r="BF4218" s="3" t="s">
        <v>40520</v>
      </c>
      <c r="BG4218" s="3" t="s">
        <v>40521</v>
      </c>
    </row>
    <row r="4219" spans="1:59" ht="58" x14ac:dyDescent="0.35">
      <c r="A4219" s="2" t="s">
        <v>89</v>
      </c>
      <c r="B4219" s="2" t="s">
        <v>90</v>
      </c>
      <c r="C4219" s="2" t="s">
        <v>40522</v>
      </c>
      <c r="D4219" s="2" t="s">
        <v>40523</v>
      </c>
      <c r="E4219" s="2" t="s">
        <v>40524</v>
      </c>
      <c r="G4219" s="3" t="s">
        <v>62</v>
      </c>
      <c r="I4219" s="3" t="s">
        <v>62</v>
      </c>
      <c r="J4219" s="3" t="s">
        <v>62</v>
      </c>
      <c r="K4219" s="3" t="s">
        <v>63</v>
      </c>
      <c r="L4219" s="2" t="s">
        <v>40525</v>
      </c>
      <c r="M4219" s="2" t="s">
        <v>40526</v>
      </c>
      <c r="N4219" s="3" t="s">
        <v>2305</v>
      </c>
      <c r="P4219" s="3" t="s">
        <v>64</v>
      </c>
      <c r="R4219" s="3" t="s">
        <v>34126</v>
      </c>
      <c r="S4219" s="4">
        <v>3</v>
      </c>
      <c r="T4219" s="4">
        <v>3</v>
      </c>
      <c r="U4219" s="5" t="s">
        <v>29625</v>
      </c>
      <c r="V4219" s="5" t="s">
        <v>29625</v>
      </c>
      <c r="W4219" s="5" t="s">
        <v>67</v>
      </c>
      <c r="X4219" s="5" t="s">
        <v>67</v>
      </c>
      <c r="Y4219" s="4">
        <v>94</v>
      </c>
      <c r="Z4219" s="4">
        <v>6</v>
      </c>
      <c r="AA4219" s="4">
        <v>6</v>
      </c>
      <c r="AB4219" s="4">
        <v>2</v>
      </c>
      <c r="AC4219" s="4">
        <v>2</v>
      </c>
      <c r="AD4219" s="4">
        <v>35</v>
      </c>
      <c r="AE4219" s="4">
        <v>35</v>
      </c>
      <c r="AF4219" s="4">
        <v>1</v>
      </c>
      <c r="AG4219" s="4">
        <v>1</v>
      </c>
      <c r="AH4219" s="4">
        <v>31</v>
      </c>
      <c r="AI4219" s="4">
        <v>31</v>
      </c>
      <c r="AJ4219" s="4">
        <v>4</v>
      </c>
      <c r="AK4219" s="4">
        <v>4</v>
      </c>
      <c r="AL4219" s="4">
        <v>17</v>
      </c>
      <c r="AM4219" s="4">
        <v>17</v>
      </c>
      <c r="AN4219" s="4">
        <v>0</v>
      </c>
      <c r="AO4219" s="4">
        <v>0</v>
      </c>
      <c r="AP4219" s="4">
        <v>4</v>
      </c>
      <c r="AQ4219" s="4">
        <v>4</v>
      </c>
      <c r="AR4219" s="3" t="s">
        <v>62</v>
      </c>
      <c r="AS4219" s="3" t="s">
        <v>62</v>
      </c>
      <c r="AT4219" s="3" t="s">
        <v>61</v>
      </c>
      <c r="AU4219" s="6" t="str">
        <f>HYPERLINK("http://catalog.hathitrust.org/Record/006965288","HathiTrust Record")</f>
        <v>HathiTrust Record</v>
      </c>
      <c r="AV4219" s="6" t="str">
        <f>HYPERLINK("http://mcgill.on.worldcat.org/oclc/58087","Catalog Record")</f>
        <v>Catalog Record</v>
      </c>
      <c r="AW4219" s="6" t="str">
        <f>HYPERLINK("http://www.worldcat.org/oclc/58087","WorldCat Record")</f>
        <v>WorldCat Record</v>
      </c>
      <c r="AX4219" s="3" t="s">
        <v>40527</v>
      </c>
      <c r="AY4219" s="3" t="s">
        <v>40528</v>
      </c>
      <c r="AZ4219" s="3" t="s">
        <v>40529</v>
      </c>
      <c r="BA4219" s="3" t="s">
        <v>40529</v>
      </c>
      <c r="BB4219" s="3" t="s">
        <v>40530</v>
      </c>
      <c r="BC4219" s="3" t="s">
        <v>102</v>
      </c>
      <c r="BD4219" s="3" t="s">
        <v>68</v>
      </c>
      <c r="BF4219" s="3" t="s">
        <v>40530</v>
      </c>
      <c r="BG4219" s="3" t="s">
        <v>40531</v>
      </c>
    </row>
    <row r="4220" spans="1:59" ht="58" x14ac:dyDescent="0.35">
      <c r="A4220" s="2" t="s">
        <v>89</v>
      </c>
      <c r="B4220" s="2" t="s">
        <v>90</v>
      </c>
      <c r="C4220" s="2" t="s">
        <v>40532</v>
      </c>
      <c r="D4220" s="2" t="s">
        <v>40533</v>
      </c>
      <c r="E4220" s="2" t="s">
        <v>40534</v>
      </c>
      <c r="G4220" s="3" t="s">
        <v>62</v>
      </c>
      <c r="I4220" s="3" t="s">
        <v>61</v>
      </c>
      <c r="J4220" s="3" t="s">
        <v>61</v>
      </c>
      <c r="K4220" s="3" t="s">
        <v>63</v>
      </c>
      <c r="L4220" s="2" t="s">
        <v>40535</v>
      </c>
      <c r="M4220" s="2" t="s">
        <v>23937</v>
      </c>
      <c r="N4220" s="3" t="s">
        <v>201</v>
      </c>
      <c r="P4220" s="3" t="s">
        <v>64</v>
      </c>
      <c r="Q4220" s="2" t="s">
        <v>40536</v>
      </c>
      <c r="R4220" s="3" t="s">
        <v>34126</v>
      </c>
      <c r="S4220" s="4">
        <v>17</v>
      </c>
      <c r="T4220" s="4">
        <v>17</v>
      </c>
      <c r="U4220" s="5" t="s">
        <v>13087</v>
      </c>
      <c r="V4220" s="5" t="s">
        <v>13087</v>
      </c>
      <c r="W4220" s="5" t="s">
        <v>67</v>
      </c>
      <c r="X4220" s="5" t="s">
        <v>67</v>
      </c>
      <c r="Y4220" s="4">
        <v>597</v>
      </c>
      <c r="Z4220" s="4">
        <v>37</v>
      </c>
      <c r="AA4220" s="4">
        <v>55</v>
      </c>
      <c r="AB4220" s="4">
        <v>2</v>
      </c>
      <c r="AC4220" s="4">
        <v>8</v>
      </c>
      <c r="AD4220" s="4">
        <v>123</v>
      </c>
      <c r="AE4220" s="4">
        <v>145</v>
      </c>
      <c r="AF4220" s="4">
        <v>1</v>
      </c>
      <c r="AG4220" s="4">
        <v>6</v>
      </c>
      <c r="AH4220" s="4">
        <v>102</v>
      </c>
      <c r="AI4220" s="4">
        <v>110</v>
      </c>
      <c r="AJ4220" s="4">
        <v>23</v>
      </c>
      <c r="AK4220" s="4">
        <v>29</v>
      </c>
      <c r="AL4220" s="4">
        <v>57</v>
      </c>
      <c r="AM4220" s="4">
        <v>60</v>
      </c>
      <c r="AN4220" s="4">
        <v>0</v>
      </c>
      <c r="AO4220" s="4">
        <v>0</v>
      </c>
      <c r="AP4220" s="4">
        <v>28</v>
      </c>
      <c r="AQ4220" s="4">
        <v>41</v>
      </c>
      <c r="AR4220" s="3" t="s">
        <v>62</v>
      </c>
      <c r="AS4220" s="3" t="s">
        <v>62</v>
      </c>
      <c r="AT4220" s="3" t="s">
        <v>61</v>
      </c>
      <c r="AU4220" s="6" t="str">
        <f>HYPERLINK("http://catalog.hathitrust.org/Record/000710659","HathiTrust Record")</f>
        <v>HathiTrust Record</v>
      </c>
      <c r="AV4220" s="6" t="str">
        <f>HYPERLINK("http://mcgill.on.worldcat.org/oclc/2202592","Catalog Record")</f>
        <v>Catalog Record</v>
      </c>
      <c r="AW4220" s="6" t="str">
        <f>HYPERLINK("http://www.worldcat.org/oclc/2202592","WorldCat Record")</f>
        <v>WorldCat Record</v>
      </c>
      <c r="AX4220" s="3" t="s">
        <v>40537</v>
      </c>
      <c r="AY4220" s="3" t="s">
        <v>40538</v>
      </c>
      <c r="AZ4220" s="3" t="s">
        <v>40539</v>
      </c>
      <c r="BA4220" s="3" t="s">
        <v>40539</v>
      </c>
      <c r="BB4220" s="3" t="s">
        <v>40540</v>
      </c>
      <c r="BC4220" s="3" t="s">
        <v>102</v>
      </c>
      <c r="BD4220" s="3" t="s">
        <v>68</v>
      </c>
      <c r="BE4220" s="3" t="s">
        <v>40541</v>
      </c>
      <c r="BF4220" s="3" t="s">
        <v>40540</v>
      </c>
      <c r="BG4220" s="3" t="s">
        <v>40542</v>
      </c>
    </row>
    <row r="4221" spans="1:59" ht="58" x14ac:dyDescent="0.35">
      <c r="A4221" s="2" t="s">
        <v>89</v>
      </c>
      <c r="B4221" s="2" t="s">
        <v>90</v>
      </c>
      <c r="C4221" s="2" t="s">
        <v>40543</v>
      </c>
      <c r="D4221" s="2" t="s">
        <v>40544</v>
      </c>
      <c r="E4221" s="2" t="s">
        <v>40534</v>
      </c>
      <c r="G4221" s="3" t="s">
        <v>62</v>
      </c>
      <c r="I4221" s="3" t="s">
        <v>61</v>
      </c>
      <c r="J4221" s="3" t="s">
        <v>61</v>
      </c>
      <c r="K4221" s="3" t="s">
        <v>63</v>
      </c>
      <c r="L4221" s="2" t="s">
        <v>40535</v>
      </c>
      <c r="M4221" s="2" t="s">
        <v>40545</v>
      </c>
      <c r="N4221" s="3" t="s">
        <v>2136</v>
      </c>
      <c r="O4221" s="2" t="s">
        <v>2986</v>
      </c>
      <c r="P4221" s="3" t="s">
        <v>64</v>
      </c>
      <c r="Q4221" s="2" t="s">
        <v>40546</v>
      </c>
      <c r="R4221" s="3" t="s">
        <v>34126</v>
      </c>
      <c r="S4221" s="4">
        <v>1</v>
      </c>
      <c r="T4221" s="4">
        <v>9</v>
      </c>
      <c r="U4221" s="5" t="s">
        <v>4735</v>
      </c>
      <c r="V4221" s="5" t="s">
        <v>4735</v>
      </c>
      <c r="W4221" s="5" t="s">
        <v>4735</v>
      </c>
      <c r="X4221" s="5" t="s">
        <v>4735</v>
      </c>
      <c r="Y4221" s="4">
        <v>65</v>
      </c>
      <c r="Z4221" s="4">
        <v>3</v>
      </c>
      <c r="AA4221" s="4">
        <v>55</v>
      </c>
      <c r="AB4221" s="4">
        <v>1</v>
      </c>
      <c r="AC4221" s="4">
        <v>8</v>
      </c>
      <c r="AD4221" s="4">
        <v>16</v>
      </c>
      <c r="AE4221" s="4">
        <v>145</v>
      </c>
      <c r="AF4221" s="4">
        <v>0</v>
      </c>
      <c r="AG4221" s="4">
        <v>6</v>
      </c>
      <c r="AH4221" s="4">
        <v>15</v>
      </c>
      <c r="AI4221" s="4">
        <v>110</v>
      </c>
      <c r="AJ4221" s="4">
        <v>0</v>
      </c>
      <c r="AK4221" s="4">
        <v>29</v>
      </c>
      <c r="AL4221" s="4">
        <v>8</v>
      </c>
      <c r="AM4221" s="4">
        <v>60</v>
      </c>
      <c r="AN4221" s="4">
        <v>0</v>
      </c>
      <c r="AO4221" s="4">
        <v>0</v>
      </c>
      <c r="AP4221" s="4">
        <v>1</v>
      </c>
      <c r="AQ4221" s="4">
        <v>41</v>
      </c>
      <c r="AR4221" s="3" t="s">
        <v>62</v>
      </c>
      <c r="AS4221" s="3" t="s">
        <v>62</v>
      </c>
      <c r="AT4221" s="3" t="s">
        <v>62</v>
      </c>
      <c r="AV4221" s="6" t="str">
        <f>HYPERLINK("http://mcgill.on.worldcat.org/oclc/61744817","Catalog Record")</f>
        <v>Catalog Record</v>
      </c>
      <c r="AW4221" s="6" t="str">
        <f>HYPERLINK("http://www.worldcat.org/oclc/61744817","WorldCat Record")</f>
        <v>WorldCat Record</v>
      </c>
      <c r="AX4221" s="3" t="s">
        <v>40537</v>
      </c>
      <c r="AY4221" s="3" t="s">
        <v>40547</v>
      </c>
      <c r="AZ4221" s="3" t="s">
        <v>40548</v>
      </c>
      <c r="BA4221" s="3" t="s">
        <v>40548</v>
      </c>
      <c r="BB4221" s="3" t="s">
        <v>40549</v>
      </c>
      <c r="BC4221" s="3" t="s">
        <v>102</v>
      </c>
      <c r="BD4221" s="3" t="s">
        <v>68</v>
      </c>
      <c r="BE4221" s="3" t="s">
        <v>40550</v>
      </c>
      <c r="BF4221" s="3" t="s">
        <v>40549</v>
      </c>
      <c r="BG4221" s="3" t="s">
        <v>40551</v>
      </c>
    </row>
    <row r="4222" spans="1:59" ht="58" x14ac:dyDescent="0.35">
      <c r="A4222" s="2" t="s">
        <v>59</v>
      </c>
      <c r="B4222" s="2" t="s">
        <v>60</v>
      </c>
      <c r="C4222" s="2" t="s">
        <v>40552</v>
      </c>
      <c r="D4222" s="2" t="s">
        <v>40553</v>
      </c>
      <c r="E4222" s="2" t="s">
        <v>40554</v>
      </c>
      <c r="F4222" s="3" t="s">
        <v>40555</v>
      </c>
      <c r="G4222" s="3" t="s">
        <v>61</v>
      </c>
      <c r="I4222" s="3" t="s">
        <v>62</v>
      </c>
      <c r="J4222" s="3" t="s">
        <v>62</v>
      </c>
      <c r="K4222" s="3" t="s">
        <v>63</v>
      </c>
      <c r="L4222" s="2" t="s">
        <v>40556</v>
      </c>
      <c r="N4222" s="3" t="s">
        <v>1291</v>
      </c>
      <c r="P4222" s="3" t="s">
        <v>64</v>
      </c>
      <c r="R4222" s="3" t="s">
        <v>40557</v>
      </c>
      <c r="S4222" s="4">
        <v>1</v>
      </c>
      <c r="T4222" s="4">
        <v>1</v>
      </c>
      <c r="U4222" s="5" t="s">
        <v>40558</v>
      </c>
      <c r="V4222" s="5" t="s">
        <v>40558</v>
      </c>
      <c r="W4222" s="5" t="s">
        <v>67</v>
      </c>
      <c r="X4222" s="5" t="s">
        <v>67</v>
      </c>
      <c r="Y4222" s="4">
        <v>1</v>
      </c>
      <c r="Z4222" s="4">
        <v>1</v>
      </c>
      <c r="AA4222" s="4">
        <v>1</v>
      </c>
      <c r="AB4222" s="4">
        <v>1</v>
      </c>
      <c r="AC4222" s="4">
        <v>1</v>
      </c>
      <c r="AD4222" s="4">
        <v>0</v>
      </c>
      <c r="AE4222" s="4">
        <v>0</v>
      </c>
      <c r="AF4222" s="4">
        <v>0</v>
      </c>
      <c r="AG4222" s="4">
        <v>0</v>
      </c>
      <c r="AH4222" s="4">
        <v>0</v>
      </c>
      <c r="AI4222" s="4">
        <v>0</v>
      </c>
      <c r="AJ4222" s="4">
        <v>0</v>
      </c>
      <c r="AK4222" s="4">
        <v>0</v>
      </c>
      <c r="AL4222" s="4">
        <v>0</v>
      </c>
      <c r="AM4222" s="4">
        <v>0</v>
      </c>
      <c r="AN4222" s="4">
        <v>0</v>
      </c>
      <c r="AO4222" s="4">
        <v>0</v>
      </c>
      <c r="AP4222" s="4">
        <v>0</v>
      </c>
      <c r="AQ4222" s="4">
        <v>0</v>
      </c>
      <c r="AR4222" s="3" t="s">
        <v>61</v>
      </c>
      <c r="AS4222" s="3" t="s">
        <v>62</v>
      </c>
      <c r="AT4222" s="3" t="s">
        <v>62</v>
      </c>
      <c r="AV4222" s="6" t="str">
        <f>HYPERLINK("http://mcgill.on.worldcat.org/oclc/427310446","Catalog Record")</f>
        <v>Catalog Record</v>
      </c>
      <c r="AW4222" s="6" t="str">
        <f>HYPERLINK("http://www.worldcat.org/oclc/427310446","WorldCat Record")</f>
        <v>WorldCat Record</v>
      </c>
      <c r="AX4222" s="3" t="s">
        <v>40559</v>
      </c>
      <c r="AY4222" s="3" t="s">
        <v>40560</v>
      </c>
      <c r="AZ4222" s="3" t="s">
        <v>40561</v>
      </c>
      <c r="BA4222" s="3" t="s">
        <v>40561</v>
      </c>
      <c r="BB4222" s="3" t="s">
        <v>40562</v>
      </c>
      <c r="BC4222" s="3" t="s">
        <v>102</v>
      </c>
      <c r="BD4222" s="3" t="s">
        <v>68</v>
      </c>
      <c r="BF4222" s="3" t="s">
        <v>40562</v>
      </c>
      <c r="BG4222" s="3" t="s">
        <v>40563</v>
      </c>
    </row>
    <row r="4223" spans="1:59" ht="58" x14ac:dyDescent="0.35">
      <c r="A4223" s="2" t="s">
        <v>59</v>
      </c>
      <c r="B4223" s="2" t="s">
        <v>60</v>
      </c>
      <c r="C4223" s="2" t="s">
        <v>40552</v>
      </c>
      <c r="D4223" s="2" t="s">
        <v>40553</v>
      </c>
      <c r="E4223" s="2" t="s">
        <v>40554</v>
      </c>
      <c r="F4223" s="3" t="s">
        <v>1381</v>
      </c>
      <c r="G4223" s="3" t="s">
        <v>61</v>
      </c>
      <c r="I4223" s="3" t="s">
        <v>62</v>
      </c>
      <c r="J4223" s="3" t="s">
        <v>62</v>
      </c>
      <c r="K4223" s="3" t="s">
        <v>63</v>
      </c>
      <c r="L4223" s="2" t="s">
        <v>40556</v>
      </c>
      <c r="N4223" s="3" t="s">
        <v>1291</v>
      </c>
      <c r="P4223" s="3" t="s">
        <v>64</v>
      </c>
      <c r="R4223" s="3" t="s">
        <v>40557</v>
      </c>
      <c r="S4223" s="4">
        <v>0</v>
      </c>
      <c r="T4223" s="4">
        <v>1</v>
      </c>
      <c r="V4223" s="5" t="s">
        <v>40558</v>
      </c>
      <c r="W4223" s="5" t="s">
        <v>67</v>
      </c>
      <c r="X4223" s="5" t="s">
        <v>67</v>
      </c>
      <c r="Y4223" s="4">
        <v>1</v>
      </c>
      <c r="Z4223" s="4">
        <v>1</v>
      </c>
      <c r="AA4223" s="4">
        <v>1</v>
      </c>
      <c r="AB4223" s="4">
        <v>1</v>
      </c>
      <c r="AC4223" s="4">
        <v>1</v>
      </c>
      <c r="AD4223" s="4">
        <v>0</v>
      </c>
      <c r="AE4223" s="4">
        <v>0</v>
      </c>
      <c r="AF4223" s="4">
        <v>0</v>
      </c>
      <c r="AG4223" s="4">
        <v>0</v>
      </c>
      <c r="AH4223" s="4">
        <v>0</v>
      </c>
      <c r="AI4223" s="4">
        <v>0</v>
      </c>
      <c r="AJ4223" s="4">
        <v>0</v>
      </c>
      <c r="AK4223" s="4">
        <v>0</v>
      </c>
      <c r="AL4223" s="4">
        <v>0</v>
      </c>
      <c r="AM4223" s="4">
        <v>0</v>
      </c>
      <c r="AN4223" s="4">
        <v>0</v>
      </c>
      <c r="AO4223" s="4">
        <v>0</v>
      </c>
      <c r="AP4223" s="4">
        <v>0</v>
      </c>
      <c r="AQ4223" s="4">
        <v>0</v>
      </c>
      <c r="AR4223" s="3" t="s">
        <v>61</v>
      </c>
      <c r="AS4223" s="3" t="s">
        <v>62</v>
      </c>
      <c r="AT4223" s="3" t="s">
        <v>62</v>
      </c>
      <c r="AV4223" s="6" t="str">
        <f>HYPERLINK("http://mcgill.on.worldcat.org/oclc/427310446","Catalog Record")</f>
        <v>Catalog Record</v>
      </c>
      <c r="AW4223" s="6" t="str">
        <f>HYPERLINK("http://www.worldcat.org/oclc/427310446","WorldCat Record")</f>
        <v>WorldCat Record</v>
      </c>
      <c r="AX4223" s="3" t="s">
        <v>40559</v>
      </c>
      <c r="AY4223" s="3" t="s">
        <v>40560</v>
      </c>
      <c r="AZ4223" s="3" t="s">
        <v>40561</v>
      </c>
      <c r="BA4223" s="3" t="s">
        <v>40561</v>
      </c>
      <c r="BB4223" s="3" t="s">
        <v>40564</v>
      </c>
      <c r="BC4223" s="3" t="s">
        <v>102</v>
      </c>
      <c r="BD4223" s="3" t="s">
        <v>68</v>
      </c>
      <c r="BF4223" s="3" t="s">
        <v>40564</v>
      </c>
      <c r="BG4223" s="3" t="s">
        <v>40565</v>
      </c>
    </row>
    <row r="4224" spans="1:59" ht="58" x14ac:dyDescent="0.35">
      <c r="A4224" s="2" t="s">
        <v>59</v>
      </c>
      <c r="B4224" s="2" t="s">
        <v>60</v>
      </c>
      <c r="C4224" s="2" t="s">
        <v>40552</v>
      </c>
      <c r="D4224" s="2" t="s">
        <v>40553</v>
      </c>
      <c r="E4224" s="2" t="s">
        <v>40554</v>
      </c>
      <c r="F4224" s="3" t="s">
        <v>1371</v>
      </c>
      <c r="G4224" s="3" t="s">
        <v>61</v>
      </c>
      <c r="I4224" s="3" t="s">
        <v>62</v>
      </c>
      <c r="J4224" s="3" t="s">
        <v>62</v>
      </c>
      <c r="K4224" s="3" t="s">
        <v>63</v>
      </c>
      <c r="L4224" s="2" t="s">
        <v>40556</v>
      </c>
      <c r="N4224" s="3" t="s">
        <v>1291</v>
      </c>
      <c r="P4224" s="3" t="s">
        <v>64</v>
      </c>
      <c r="R4224" s="3" t="s">
        <v>40557</v>
      </c>
      <c r="S4224" s="4">
        <v>0</v>
      </c>
      <c r="T4224" s="4">
        <v>1</v>
      </c>
      <c r="V4224" s="5" t="s">
        <v>40558</v>
      </c>
      <c r="W4224" s="5" t="s">
        <v>67</v>
      </c>
      <c r="X4224" s="5" t="s">
        <v>67</v>
      </c>
      <c r="Y4224" s="4">
        <v>1</v>
      </c>
      <c r="Z4224" s="4">
        <v>1</v>
      </c>
      <c r="AA4224" s="4">
        <v>1</v>
      </c>
      <c r="AB4224" s="4">
        <v>1</v>
      </c>
      <c r="AC4224" s="4">
        <v>1</v>
      </c>
      <c r="AD4224" s="4">
        <v>0</v>
      </c>
      <c r="AE4224" s="4">
        <v>0</v>
      </c>
      <c r="AF4224" s="4">
        <v>0</v>
      </c>
      <c r="AG4224" s="4">
        <v>0</v>
      </c>
      <c r="AH4224" s="4">
        <v>0</v>
      </c>
      <c r="AI4224" s="4">
        <v>0</v>
      </c>
      <c r="AJ4224" s="4">
        <v>0</v>
      </c>
      <c r="AK4224" s="4">
        <v>0</v>
      </c>
      <c r="AL4224" s="4">
        <v>0</v>
      </c>
      <c r="AM4224" s="4">
        <v>0</v>
      </c>
      <c r="AN4224" s="4">
        <v>0</v>
      </c>
      <c r="AO4224" s="4">
        <v>0</v>
      </c>
      <c r="AP4224" s="4">
        <v>0</v>
      </c>
      <c r="AQ4224" s="4">
        <v>0</v>
      </c>
      <c r="AR4224" s="3" t="s">
        <v>61</v>
      </c>
      <c r="AS4224" s="3" t="s">
        <v>62</v>
      </c>
      <c r="AT4224" s="3" t="s">
        <v>62</v>
      </c>
      <c r="AV4224" s="6" t="str">
        <f>HYPERLINK("http://mcgill.on.worldcat.org/oclc/427310446","Catalog Record")</f>
        <v>Catalog Record</v>
      </c>
      <c r="AW4224" s="6" t="str">
        <f>HYPERLINK("http://www.worldcat.org/oclc/427310446","WorldCat Record")</f>
        <v>WorldCat Record</v>
      </c>
      <c r="AX4224" s="3" t="s">
        <v>40559</v>
      </c>
      <c r="AY4224" s="3" t="s">
        <v>40560</v>
      </c>
      <c r="AZ4224" s="3" t="s">
        <v>40561</v>
      </c>
      <c r="BA4224" s="3" t="s">
        <v>40561</v>
      </c>
      <c r="BB4224" s="3" t="s">
        <v>40566</v>
      </c>
      <c r="BC4224" s="3" t="s">
        <v>102</v>
      </c>
      <c r="BD4224" s="3" t="s">
        <v>68</v>
      </c>
      <c r="BF4224" s="3" t="s">
        <v>40566</v>
      </c>
      <c r="BG4224" s="3" t="s">
        <v>40567</v>
      </c>
    </row>
    <row r="4225" spans="1:59" ht="58" x14ac:dyDescent="0.35">
      <c r="A4225" s="2" t="s">
        <v>59</v>
      </c>
      <c r="B4225" s="2" t="s">
        <v>60</v>
      </c>
      <c r="C4225" s="2" t="s">
        <v>40568</v>
      </c>
      <c r="D4225" s="2" t="s">
        <v>40569</v>
      </c>
      <c r="E4225" s="2" t="s">
        <v>40570</v>
      </c>
      <c r="F4225" s="3" t="s">
        <v>1390</v>
      </c>
      <c r="G4225" s="3" t="s">
        <v>61</v>
      </c>
      <c r="I4225" s="3" t="s">
        <v>62</v>
      </c>
      <c r="J4225" s="3" t="s">
        <v>62</v>
      </c>
      <c r="K4225" s="3" t="s">
        <v>63</v>
      </c>
      <c r="L4225" s="2" t="s">
        <v>40556</v>
      </c>
      <c r="M4225" s="2" t="s">
        <v>40571</v>
      </c>
      <c r="N4225" s="3" t="s">
        <v>1662</v>
      </c>
      <c r="P4225" s="3" t="s">
        <v>64</v>
      </c>
      <c r="R4225" s="3" t="s">
        <v>40557</v>
      </c>
      <c r="S4225" s="4">
        <v>1</v>
      </c>
      <c r="T4225" s="4">
        <v>1</v>
      </c>
      <c r="U4225" s="5" t="s">
        <v>40558</v>
      </c>
      <c r="V4225" s="5" t="s">
        <v>40558</v>
      </c>
      <c r="W4225" s="5" t="s">
        <v>67</v>
      </c>
      <c r="X4225" s="5" t="s">
        <v>67</v>
      </c>
      <c r="Y4225" s="4">
        <v>1</v>
      </c>
      <c r="Z4225" s="4">
        <v>1</v>
      </c>
      <c r="AA4225" s="4">
        <v>1</v>
      </c>
      <c r="AB4225" s="4">
        <v>1</v>
      </c>
      <c r="AC4225" s="4">
        <v>1</v>
      </c>
      <c r="AD4225" s="4">
        <v>0</v>
      </c>
      <c r="AE4225" s="4">
        <v>0</v>
      </c>
      <c r="AF4225" s="4">
        <v>0</v>
      </c>
      <c r="AG4225" s="4">
        <v>0</v>
      </c>
      <c r="AH4225" s="4">
        <v>0</v>
      </c>
      <c r="AI4225" s="4">
        <v>0</v>
      </c>
      <c r="AJ4225" s="4">
        <v>0</v>
      </c>
      <c r="AK4225" s="4">
        <v>0</v>
      </c>
      <c r="AL4225" s="4">
        <v>0</v>
      </c>
      <c r="AM4225" s="4">
        <v>0</v>
      </c>
      <c r="AN4225" s="4">
        <v>0</v>
      </c>
      <c r="AO4225" s="4">
        <v>0</v>
      </c>
      <c r="AP4225" s="4">
        <v>0</v>
      </c>
      <c r="AQ4225" s="4">
        <v>0</v>
      </c>
      <c r="AR4225" s="3" t="s">
        <v>61</v>
      </c>
      <c r="AS4225" s="3" t="s">
        <v>62</v>
      </c>
      <c r="AT4225" s="3" t="s">
        <v>62</v>
      </c>
      <c r="AV4225" s="6" t="str">
        <f>HYPERLINK("http://mcgill.on.worldcat.org/oclc/61552731","Catalog Record")</f>
        <v>Catalog Record</v>
      </c>
      <c r="AW4225" s="6" t="str">
        <f>HYPERLINK("http://www.worldcat.org/oclc/61552731","WorldCat Record")</f>
        <v>WorldCat Record</v>
      </c>
      <c r="AX4225" s="3" t="s">
        <v>40572</v>
      </c>
      <c r="AY4225" s="3" t="s">
        <v>40573</v>
      </c>
      <c r="AZ4225" s="3" t="s">
        <v>40574</v>
      </c>
      <c r="BA4225" s="3" t="s">
        <v>40574</v>
      </c>
      <c r="BB4225" s="3" t="s">
        <v>40575</v>
      </c>
      <c r="BC4225" s="3" t="s">
        <v>102</v>
      </c>
      <c r="BD4225" s="3" t="s">
        <v>68</v>
      </c>
      <c r="BF4225" s="3" t="s">
        <v>40575</v>
      </c>
      <c r="BG4225" s="3" t="s">
        <v>40576</v>
      </c>
    </row>
    <row r="4226" spans="1:59" ht="58" x14ac:dyDescent="0.35">
      <c r="A4226" s="2" t="s">
        <v>59</v>
      </c>
      <c r="B4226" s="2" t="s">
        <v>60</v>
      </c>
      <c r="C4226" s="2" t="s">
        <v>40568</v>
      </c>
      <c r="D4226" s="2" t="s">
        <v>40569</v>
      </c>
      <c r="E4226" s="2" t="s">
        <v>40570</v>
      </c>
      <c r="F4226" s="3" t="s">
        <v>1371</v>
      </c>
      <c r="G4226" s="3" t="s">
        <v>61</v>
      </c>
      <c r="I4226" s="3" t="s">
        <v>62</v>
      </c>
      <c r="J4226" s="3" t="s">
        <v>62</v>
      </c>
      <c r="K4226" s="3" t="s">
        <v>63</v>
      </c>
      <c r="L4226" s="2" t="s">
        <v>40556</v>
      </c>
      <c r="M4226" s="2" t="s">
        <v>40571</v>
      </c>
      <c r="N4226" s="3" t="s">
        <v>1662</v>
      </c>
      <c r="P4226" s="3" t="s">
        <v>64</v>
      </c>
      <c r="R4226" s="3" t="s">
        <v>40557</v>
      </c>
      <c r="S4226" s="4">
        <v>0</v>
      </c>
      <c r="T4226" s="4">
        <v>1</v>
      </c>
      <c r="V4226" s="5" t="s">
        <v>40558</v>
      </c>
      <c r="W4226" s="5" t="s">
        <v>67</v>
      </c>
      <c r="X4226" s="5" t="s">
        <v>67</v>
      </c>
      <c r="Y4226" s="4">
        <v>1</v>
      </c>
      <c r="Z4226" s="4">
        <v>1</v>
      </c>
      <c r="AA4226" s="4">
        <v>1</v>
      </c>
      <c r="AB4226" s="4">
        <v>1</v>
      </c>
      <c r="AC4226" s="4">
        <v>1</v>
      </c>
      <c r="AD4226" s="4">
        <v>0</v>
      </c>
      <c r="AE4226" s="4">
        <v>0</v>
      </c>
      <c r="AF4226" s="4">
        <v>0</v>
      </c>
      <c r="AG4226" s="4">
        <v>0</v>
      </c>
      <c r="AH4226" s="4">
        <v>0</v>
      </c>
      <c r="AI4226" s="4">
        <v>0</v>
      </c>
      <c r="AJ4226" s="4">
        <v>0</v>
      </c>
      <c r="AK4226" s="4">
        <v>0</v>
      </c>
      <c r="AL4226" s="4">
        <v>0</v>
      </c>
      <c r="AM4226" s="4">
        <v>0</v>
      </c>
      <c r="AN4226" s="4">
        <v>0</v>
      </c>
      <c r="AO4226" s="4">
        <v>0</v>
      </c>
      <c r="AP4226" s="4">
        <v>0</v>
      </c>
      <c r="AQ4226" s="4">
        <v>0</v>
      </c>
      <c r="AR4226" s="3" t="s">
        <v>61</v>
      </c>
      <c r="AS4226" s="3" t="s">
        <v>62</v>
      </c>
      <c r="AT4226" s="3" t="s">
        <v>62</v>
      </c>
      <c r="AV4226" s="6" t="str">
        <f>HYPERLINK("http://mcgill.on.worldcat.org/oclc/61552731","Catalog Record")</f>
        <v>Catalog Record</v>
      </c>
      <c r="AW4226" s="6" t="str">
        <f>HYPERLINK("http://www.worldcat.org/oclc/61552731","WorldCat Record")</f>
        <v>WorldCat Record</v>
      </c>
      <c r="AX4226" s="3" t="s">
        <v>40572</v>
      </c>
      <c r="AY4226" s="3" t="s">
        <v>40573</v>
      </c>
      <c r="AZ4226" s="3" t="s">
        <v>40574</v>
      </c>
      <c r="BA4226" s="3" t="s">
        <v>40574</v>
      </c>
      <c r="BB4226" s="3" t="s">
        <v>40577</v>
      </c>
      <c r="BC4226" s="3" t="s">
        <v>102</v>
      </c>
      <c r="BD4226" s="3" t="s">
        <v>68</v>
      </c>
      <c r="BF4226" s="3" t="s">
        <v>40577</v>
      </c>
      <c r="BG4226" s="3" t="s">
        <v>40578</v>
      </c>
    </row>
    <row r="4227" spans="1:59" ht="58" x14ac:dyDescent="0.35">
      <c r="A4227" s="2" t="s">
        <v>59</v>
      </c>
      <c r="B4227" s="2" t="s">
        <v>60</v>
      </c>
      <c r="C4227" s="2" t="s">
        <v>40579</v>
      </c>
      <c r="D4227" s="2" t="s">
        <v>40580</v>
      </c>
      <c r="E4227" s="2" t="s">
        <v>40581</v>
      </c>
      <c r="G4227" s="3" t="s">
        <v>62</v>
      </c>
      <c r="I4227" s="3" t="s">
        <v>62</v>
      </c>
      <c r="J4227" s="3" t="s">
        <v>62</v>
      </c>
      <c r="K4227" s="3" t="s">
        <v>63</v>
      </c>
      <c r="L4227" s="2" t="s">
        <v>40582</v>
      </c>
      <c r="M4227" s="2" t="s">
        <v>40583</v>
      </c>
      <c r="N4227" s="3" t="s">
        <v>1291</v>
      </c>
      <c r="P4227" s="3" t="s">
        <v>64</v>
      </c>
      <c r="R4227" s="3" t="s">
        <v>40557</v>
      </c>
      <c r="S4227" s="4">
        <v>2</v>
      </c>
      <c r="T4227" s="4">
        <v>2</v>
      </c>
      <c r="U4227" s="5" t="s">
        <v>40558</v>
      </c>
      <c r="V4227" s="5" t="s">
        <v>40558</v>
      </c>
      <c r="W4227" s="5" t="s">
        <v>67</v>
      </c>
      <c r="X4227" s="5" t="s">
        <v>67</v>
      </c>
      <c r="Y4227" s="4">
        <v>1</v>
      </c>
      <c r="Z4227" s="4">
        <v>1</v>
      </c>
      <c r="AA4227" s="4">
        <v>1</v>
      </c>
      <c r="AB4227" s="4">
        <v>1</v>
      </c>
      <c r="AC4227" s="4">
        <v>1</v>
      </c>
      <c r="AD4227" s="4">
        <v>0</v>
      </c>
      <c r="AE4227" s="4">
        <v>0</v>
      </c>
      <c r="AF4227" s="4">
        <v>0</v>
      </c>
      <c r="AG4227" s="4">
        <v>0</v>
      </c>
      <c r="AH4227" s="4">
        <v>0</v>
      </c>
      <c r="AI4227" s="4">
        <v>0</v>
      </c>
      <c r="AJ4227" s="4">
        <v>0</v>
      </c>
      <c r="AK4227" s="4">
        <v>0</v>
      </c>
      <c r="AL4227" s="4">
        <v>0</v>
      </c>
      <c r="AM4227" s="4">
        <v>0</v>
      </c>
      <c r="AN4227" s="4">
        <v>0</v>
      </c>
      <c r="AO4227" s="4">
        <v>0</v>
      </c>
      <c r="AP4227" s="4">
        <v>0</v>
      </c>
      <c r="AQ4227" s="4">
        <v>0</v>
      </c>
      <c r="AR4227" s="3" t="s">
        <v>61</v>
      </c>
      <c r="AS4227" s="3" t="s">
        <v>62</v>
      </c>
      <c r="AT4227" s="3" t="s">
        <v>62</v>
      </c>
      <c r="AV4227" s="6" t="str">
        <f>HYPERLINK("http://mcgill.on.worldcat.org/oclc/61539389","Catalog Record")</f>
        <v>Catalog Record</v>
      </c>
      <c r="AW4227" s="6" t="str">
        <f>HYPERLINK("http://www.worldcat.org/oclc/61539389","WorldCat Record")</f>
        <v>WorldCat Record</v>
      </c>
      <c r="AX4227" s="3" t="s">
        <v>40584</v>
      </c>
      <c r="AY4227" s="3" t="s">
        <v>40585</v>
      </c>
      <c r="AZ4227" s="3" t="s">
        <v>40586</v>
      </c>
      <c r="BA4227" s="3" t="s">
        <v>40586</v>
      </c>
      <c r="BB4227" s="3" t="s">
        <v>40587</v>
      </c>
      <c r="BC4227" s="3" t="s">
        <v>102</v>
      </c>
      <c r="BD4227" s="3" t="s">
        <v>68</v>
      </c>
      <c r="BF4227" s="3" t="s">
        <v>40587</v>
      </c>
      <c r="BG4227" s="3" t="s">
        <v>40588</v>
      </c>
    </row>
    <row r="4228" spans="1:59" ht="116" x14ac:dyDescent="0.35">
      <c r="A4228" s="2" t="s">
        <v>59</v>
      </c>
      <c r="B4228" s="2" t="s">
        <v>60</v>
      </c>
      <c r="C4228" s="2" t="s">
        <v>40589</v>
      </c>
      <c r="D4228" s="2" t="s">
        <v>40590</v>
      </c>
      <c r="E4228" s="2" t="s">
        <v>40591</v>
      </c>
      <c r="G4228" s="3" t="s">
        <v>62</v>
      </c>
      <c r="I4228" s="3" t="s">
        <v>62</v>
      </c>
      <c r="J4228" s="3" t="s">
        <v>62</v>
      </c>
      <c r="K4228" s="3" t="s">
        <v>63</v>
      </c>
      <c r="L4228" s="2" t="s">
        <v>40592</v>
      </c>
      <c r="M4228" s="2" t="s">
        <v>40593</v>
      </c>
      <c r="N4228" s="3" t="s">
        <v>1905</v>
      </c>
      <c r="P4228" s="3" t="s">
        <v>64</v>
      </c>
      <c r="R4228" s="3" t="s">
        <v>40557</v>
      </c>
      <c r="S4228" s="4">
        <v>1</v>
      </c>
      <c r="T4228" s="4">
        <v>1</v>
      </c>
      <c r="U4228" s="5" t="s">
        <v>10773</v>
      </c>
      <c r="V4228" s="5" t="s">
        <v>10773</v>
      </c>
      <c r="W4228" s="5" t="s">
        <v>67</v>
      </c>
      <c r="X4228" s="5" t="s">
        <v>67</v>
      </c>
      <c r="Y4228" s="4">
        <v>1</v>
      </c>
      <c r="Z4228" s="4">
        <v>1</v>
      </c>
      <c r="AA4228" s="4">
        <v>6</v>
      </c>
      <c r="AB4228" s="4">
        <v>1</v>
      </c>
      <c r="AC4228" s="4">
        <v>1</v>
      </c>
      <c r="AD4228" s="4">
        <v>0</v>
      </c>
      <c r="AE4228" s="4">
        <v>17</v>
      </c>
      <c r="AF4228" s="4">
        <v>0</v>
      </c>
      <c r="AG4228" s="4">
        <v>0</v>
      </c>
      <c r="AH4228" s="4">
        <v>0</v>
      </c>
      <c r="AI4228" s="4">
        <v>14</v>
      </c>
      <c r="AJ4228" s="4">
        <v>0</v>
      </c>
      <c r="AK4228" s="4">
        <v>3</v>
      </c>
      <c r="AL4228" s="4">
        <v>0</v>
      </c>
      <c r="AM4228" s="4">
        <v>8</v>
      </c>
      <c r="AN4228" s="4">
        <v>0</v>
      </c>
      <c r="AO4228" s="4">
        <v>0</v>
      </c>
      <c r="AP4228" s="4">
        <v>0</v>
      </c>
      <c r="AQ4228" s="4">
        <v>3</v>
      </c>
      <c r="AR4228" s="3" t="s">
        <v>62</v>
      </c>
      <c r="AS4228" s="3" t="s">
        <v>62</v>
      </c>
      <c r="AT4228" s="3" t="s">
        <v>62</v>
      </c>
      <c r="AV4228" s="6" t="str">
        <f>HYPERLINK("http://mcgill.on.worldcat.org/oclc/427243194","Catalog Record")</f>
        <v>Catalog Record</v>
      </c>
      <c r="AW4228" s="6" t="str">
        <f>HYPERLINK("http://www.worldcat.org/oclc/427243194","WorldCat Record")</f>
        <v>WorldCat Record</v>
      </c>
      <c r="AX4228" s="3" t="s">
        <v>40594</v>
      </c>
      <c r="AY4228" s="3" t="s">
        <v>40595</v>
      </c>
      <c r="AZ4228" s="3" t="s">
        <v>40596</v>
      </c>
      <c r="BA4228" s="3" t="s">
        <v>40596</v>
      </c>
      <c r="BB4228" s="3" t="s">
        <v>40597</v>
      </c>
      <c r="BC4228" s="3" t="s">
        <v>102</v>
      </c>
      <c r="BD4228" s="3" t="s">
        <v>68</v>
      </c>
      <c r="BF4228" s="3" t="s">
        <v>40597</v>
      </c>
      <c r="BG4228" s="3" t="s">
        <v>40598</v>
      </c>
    </row>
    <row r="4229" spans="1:59" ht="58" x14ac:dyDescent="0.35">
      <c r="A4229" s="2" t="s">
        <v>59</v>
      </c>
      <c r="B4229" s="2" t="s">
        <v>60</v>
      </c>
      <c r="C4229" s="2" t="s">
        <v>40599</v>
      </c>
      <c r="D4229" s="2" t="s">
        <v>40600</v>
      </c>
      <c r="E4229" s="2" t="s">
        <v>40601</v>
      </c>
      <c r="G4229" s="3" t="s">
        <v>62</v>
      </c>
      <c r="I4229" s="3" t="s">
        <v>62</v>
      </c>
      <c r="J4229" s="3" t="s">
        <v>62</v>
      </c>
      <c r="K4229" s="3" t="s">
        <v>63</v>
      </c>
      <c r="L4229" s="2" t="s">
        <v>40602</v>
      </c>
      <c r="M4229" s="2" t="s">
        <v>40603</v>
      </c>
      <c r="N4229" s="3" t="s">
        <v>568</v>
      </c>
      <c r="P4229" s="3" t="s">
        <v>1752</v>
      </c>
      <c r="R4229" s="3" t="s">
        <v>40557</v>
      </c>
      <c r="S4229" s="4">
        <v>3</v>
      </c>
      <c r="T4229" s="4">
        <v>3</v>
      </c>
      <c r="U4229" s="5" t="s">
        <v>40604</v>
      </c>
      <c r="V4229" s="5" t="s">
        <v>40604</v>
      </c>
      <c r="W4229" s="5" t="s">
        <v>67</v>
      </c>
      <c r="X4229" s="5" t="s">
        <v>67</v>
      </c>
      <c r="Y4229" s="4">
        <v>44</v>
      </c>
      <c r="Z4229" s="4">
        <v>3</v>
      </c>
      <c r="AA4229" s="4">
        <v>8</v>
      </c>
      <c r="AB4229" s="4">
        <v>1</v>
      </c>
      <c r="AC4229" s="4">
        <v>3</v>
      </c>
      <c r="AD4229" s="4">
        <v>28</v>
      </c>
      <c r="AE4229" s="4">
        <v>40</v>
      </c>
      <c r="AF4229" s="4">
        <v>0</v>
      </c>
      <c r="AG4229" s="4">
        <v>0</v>
      </c>
      <c r="AH4229" s="4">
        <v>27</v>
      </c>
      <c r="AI4229" s="4">
        <v>39</v>
      </c>
      <c r="AJ4229" s="4">
        <v>1</v>
      </c>
      <c r="AK4229" s="4">
        <v>3</v>
      </c>
      <c r="AL4229" s="4">
        <v>22</v>
      </c>
      <c r="AM4229" s="4">
        <v>26</v>
      </c>
      <c r="AN4229" s="4">
        <v>0</v>
      </c>
      <c r="AO4229" s="4">
        <v>0</v>
      </c>
      <c r="AP4229" s="4">
        <v>1</v>
      </c>
      <c r="AQ4229" s="4">
        <v>3</v>
      </c>
      <c r="AR4229" s="3" t="s">
        <v>62</v>
      </c>
      <c r="AS4229" s="3" t="s">
        <v>62</v>
      </c>
      <c r="AT4229" s="3" t="s">
        <v>61</v>
      </c>
      <c r="AU4229" s="6" t="str">
        <f>HYPERLINK("http://catalog.hathitrust.org/Record/101362499","HathiTrust Record")</f>
        <v>HathiTrust Record</v>
      </c>
      <c r="AV4229" s="6" t="str">
        <f>HYPERLINK("http://mcgill.on.worldcat.org/oclc/48525045","Catalog Record")</f>
        <v>Catalog Record</v>
      </c>
      <c r="AW4229" s="6" t="str">
        <f>HYPERLINK("http://www.worldcat.org/oclc/48525045","WorldCat Record")</f>
        <v>WorldCat Record</v>
      </c>
      <c r="AX4229" s="3" t="s">
        <v>40605</v>
      </c>
      <c r="AY4229" s="3" t="s">
        <v>40606</v>
      </c>
      <c r="AZ4229" s="3" t="s">
        <v>40607</v>
      </c>
      <c r="BA4229" s="3" t="s">
        <v>40607</v>
      </c>
      <c r="BB4229" s="3" t="s">
        <v>40608</v>
      </c>
      <c r="BC4229" s="3" t="s">
        <v>102</v>
      </c>
      <c r="BD4229" s="3" t="s">
        <v>68</v>
      </c>
      <c r="BE4229" s="3" t="s">
        <v>40609</v>
      </c>
      <c r="BF4229" s="3" t="s">
        <v>40608</v>
      </c>
      <c r="BG4229" s="3" t="s">
        <v>40610</v>
      </c>
    </row>
    <row r="4230" spans="1:59" ht="58" x14ac:dyDescent="0.35">
      <c r="A4230" s="2" t="s">
        <v>89</v>
      </c>
      <c r="B4230" s="2" t="s">
        <v>40611</v>
      </c>
      <c r="C4230" s="2" t="s">
        <v>40612</v>
      </c>
      <c r="D4230" s="2" t="s">
        <v>40613</v>
      </c>
      <c r="E4230" s="2" t="s">
        <v>40614</v>
      </c>
      <c r="G4230" s="3" t="s">
        <v>62</v>
      </c>
      <c r="I4230" s="3" t="s">
        <v>62</v>
      </c>
      <c r="J4230" s="3" t="s">
        <v>62</v>
      </c>
      <c r="K4230" s="3" t="s">
        <v>63</v>
      </c>
      <c r="L4230" s="2" t="s">
        <v>40615</v>
      </c>
      <c r="M4230" s="2" t="s">
        <v>40616</v>
      </c>
      <c r="N4230" s="3" t="s">
        <v>880</v>
      </c>
      <c r="P4230" s="3" t="s">
        <v>64</v>
      </c>
      <c r="R4230" s="3" t="s">
        <v>40557</v>
      </c>
      <c r="S4230" s="4">
        <v>0</v>
      </c>
      <c r="T4230" s="4">
        <v>0</v>
      </c>
      <c r="W4230" s="5" t="s">
        <v>67</v>
      </c>
      <c r="X4230" s="5" t="s">
        <v>67</v>
      </c>
      <c r="Y4230" s="4">
        <v>302</v>
      </c>
      <c r="Z4230" s="4">
        <v>23</v>
      </c>
      <c r="AA4230" s="4">
        <v>87</v>
      </c>
      <c r="AB4230" s="4">
        <v>3</v>
      </c>
      <c r="AC4230" s="4">
        <v>17</v>
      </c>
      <c r="AD4230" s="4">
        <v>64</v>
      </c>
      <c r="AE4230" s="4">
        <v>111</v>
      </c>
      <c r="AF4230" s="4">
        <v>1</v>
      </c>
      <c r="AG4230" s="4">
        <v>8</v>
      </c>
      <c r="AH4230" s="4">
        <v>54</v>
      </c>
      <c r="AI4230" s="4">
        <v>79</v>
      </c>
      <c r="AJ4230" s="4">
        <v>13</v>
      </c>
      <c r="AK4230" s="4">
        <v>23</v>
      </c>
      <c r="AL4230" s="4">
        <v>28</v>
      </c>
      <c r="AM4230" s="4">
        <v>41</v>
      </c>
      <c r="AN4230" s="4">
        <v>0</v>
      </c>
      <c r="AO4230" s="4">
        <v>0</v>
      </c>
      <c r="AP4230" s="4">
        <v>15</v>
      </c>
      <c r="AQ4230" s="4">
        <v>40</v>
      </c>
      <c r="AR4230" s="3" t="s">
        <v>62</v>
      </c>
      <c r="AS4230" s="3" t="s">
        <v>62</v>
      </c>
      <c r="AT4230" s="3" t="s">
        <v>62</v>
      </c>
      <c r="AV4230" s="6" t="str">
        <f>HYPERLINK("http://mcgill.on.worldcat.org/oclc/464589004","Catalog Record")</f>
        <v>Catalog Record</v>
      </c>
      <c r="AW4230" s="6" t="str">
        <f>HYPERLINK("http://www.worldcat.org/oclc/464589004","WorldCat Record")</f>
        <v>WorldCat Record</v>
      </c>
      <c r="AX4230" s="3" t="s">
        <v>40617</v>
      </c>
      <c r="AY4230" s="3" t="s">
        <v>40618</v>
      </c>
      <c r="AZ4230" s="3" t="s">
        <v>40619</v>
      </c>
      <c r="BA4230" s="3" t="s">
        <v>40619</v>
      </c>
      <c r="BB4230" s="3" t="s">
        <v>40620</v>
      </c>
      <c r="BC4230" s="3" t="s">
        <v>102</v>
      </c>
      <c r="BD4230" s="3" t="s">
        <v>68</v>
      </c>
      <c r="BE4230" s="3" t="s">
        <v>40621</v>
      </c>
      <c r="BF4230" s="3" t="s">
        <v>40620</v>
      </c>
      <c r="BG4230" s="3" t="s">
        <v>40622</v>
      </c>
    </row>
    <row r="4231" spans="1:59" ht="58" x14ac:dyDescent="0.35">
      <c r="A4231" s="2" t="s">
        <v>89</v>
      </c>
      <c r="B4231" s="2" t="s">
        <v>90</v>
      </c>
      <c r="C4231" s="2" t="s">
        <v>40623</v>
      </c>
      <c r="D4231" s="2" t="s">
        <v>40624</v>
      </c>
      <c r="E4231" s="2" t="s">
        <v>40625</v>
      </c>
      <c r="G4231" s="3" t="s">
        <v>61</v>
      </c>
      <c r="I4231" s="3" t="s">
        <v>62</v>
      </c>
      <c r="J4231" s="3" t="s">
        <v>62</v>
      </c>
      <c r="K4231" s="3" t="s">
        <v>63</v>
      </c>
      <c r="L4231" s="2" t="s">
        <v>40626</v>
      </c>
      <c r="M4231" s="2" t="s">
        <v>40627</v>
      </c>
      <c r="N4231" s="3" t="s">
        <v>1576</v>
      </c>
      <c r="P4231" s="3" t="s">
        <v>64</v>
      </c>
      <c r="R4231" s="3" t="s">
        <v>40557</v>
      </c>
      <c r="S4231" s="4">
        <v>3</v>
      </c>
      <c r="T4231" s="4">
        <v>3</v>
      </c>
      <c r="U4231" s="5" t="s">
        <v>17213</v>
      </c>
      <c r="V4231" s="5" t="s">
        <v>17213</v>
      </c>
      <c r="W4231" s="5" t="s">
        <v>67</v>
      </c>
      <c r="X4231" s="5" t="s">
        <v>67</v>
      </c>
      <c r="Y4231" s="4">
        <v>222</v>
      </c>
      <c r="Z4231" s="4">
        <v>13</v>
      </c>
      <c r="AA4231" s="4">
        <v>37</v>
      </c>
      <c r="AB4231" s="4">
        <v>1</v>
      </c>
      <c r="AC4231" s="4">
        <v>5</v>
      </c>
      <c r="AD4231" s="4">
        <v>44</v>
      </c>
      <c r="AE4231" s="4">
        <v>103</v>
      </c>
      <c r="AF4231" s="4">
        <v>0</v>
      </c>
      <c r="AG4231" s="4">
        <v>2</v>
      </c>
      <c r="AH4231" s="4">
        <v>39</v>
      </c>
      <c r="AI4231" s="4">
        <v>86</v>
      </c>
      <c r="AJ4231" s="4">
        <v>6</v>
      </c>
      <c r="AK4231" s="4">
        <v>17</v>
      </c>
      <c r="AL4231" s="4">
        <v>21</v>
      </c>
      <c r="AM4231" s="4">
        <v>43</v>
      </c>
      <c r="AN4231" s="4">
        <v>0</v>
      </c>
      <c r="AO4231" s="4">
        <v>0</v>
      </c>
      <c r="AP4231" s="4">
        <v>10</v>
      </c>
      <c r="AQ4231" s="4">
        <v>25</v>
      </c>
      <c r="AR4231" s="3" t="s">
        <v>62</v>
      </c>
      <c r="AS4231" s="3" t="s">
        <v>62</v>
      </c>
      <c r="AT4231" s="3" t="s">
        <v>61</v>
      </c>
      <c r="AU4231" s="6" t="str">
        <f>HYPERLINK("http://catalog.hathitrust.org/Record/001493413","HathiTrust Record")</f>
        <v>HathiTrust Record</v>
      </c>
      <c r="AV4231" s="6" t="str">
        <f>HYPERLINK("http://mcgill.on.worldcat.org/oclc/13375594","Catalog Record")</f>
        <v>Catalog Record</v>
      </c>
      <c r="AW4231" s="6" t="str">
        <f>HYPERLINK("http://www.worldcat.org/oclc/13375594","WorldCat Record")</f>
        <v>WorldCat Record</v>
      </c>
      <c r="AX4231" s="3" t="s">
        <v>40628</v>
      </c>
      <c r="AY4231" s="3" t="s">
        <v>40629</v>
      </c>
      <c r="AZ4231" s="3" t="s">
        <v>40630</v>
      </c>
      <c r="BA4231" s="3" t="s">
        <v>40630</v>
      </c>
      <c r="BB4231" s="3" t="s">
        <v>40631</v>
      </c>
      <c r="BC4231" s="3" t="s">
        <v>102</v>
      </c>
      <c r="BD4231" s="3" t="s">
        <v>231</v>
      </c>
      <c r="BE4231" s="3" t="s">
        <v>40632</v>
      </c>
      <c r="BF4231" s="3" t="s">
        <v>40631</v>
      </c>
      <c r="BG4231" s="3" t="s">
        <v>40633</v>
      </c>
    </row>
    <row r="4232" spans="1:59" ht="58" x14ac:dyDescent="0.35">
      <c r="A4232" s="2" t="s">
        <v>89</v>
      </c>
      <c r="B4232" s="2" t="s">
        <v>90</v>
      </c>
      <c r="C4232" s="2" t="s">
        <v>40634</v>
      </c>
      <c r="D4232" s="2" t="s">
        <v>40635</v>
      </c>
      <c r="E4232" s="2" t="s">
        <v>40636</v>
      </c>
      <c r="G4232" s="3" t="s">
        <v>62</v>
      </c>
      <c r="I4232" s="3" t="s">
        <v>62</v>
      </c>
      <c r="J4232" s="3" t="s">
        <v>62</v>
      </c>
      <c r="K4232" s="3" t="s">
        <v>63</v>
      </c>
      <c r="M4232" s="2" t="s">
        <v>40637</v>
      </c>
      <c r="N4232" s="3" t="s">
        <v>726</v>
      </c>
      <c r="P4232" s="3" t="s">
        <v>1752</v>
      </c>
      <c r="Q4232" s="2" t="s">
        <v>40638</v>
      </c>
      <c r="R4232" s="3" t="s">
        <v>40557</v>
      </c>
      <c r="S4232" s="4">
        <v>0</v>
      </c>
      <c r="T4232" s="4">
        <v>0</v>
      </c>
      <c r="W4232" s="5" t="s">
        <v>67</v>
      </c>
      <c r="X4232" s="5" t="s">
        <v>67</v>
      </c>
      <c r="Y4232" s="4">
        <v>14</v>
      </c>
      <c r="Z4232" s="4">
        <v>1</v>
      </c>
      <c r="AA4232" s="4">
        <v>1</v>
      </c>
      <c r="AB4232" s="4">
        <v>1</v>
      </c>
      <c r="AC4232" s="4">
        <v>1</v>
      </c>
      <c r="AD4232" s="4">
        <v>9</v>
      </c>
      <c r="AE4232" s="4">
        <v>9</v>
      </c>
      <c r="AF4232" s="4">
        <v>0</v>
      </c>
      <c r="AG4232" s="4">
        <v>0</v>
      </c>
      <c r="AH4232" s="4">
        <v>9</v>
      </c>
      <c r="AI4232" s="4">
        <v>9</v>
      </c>
      <c r="AJ4232" s="4">
        <v>0</v>
      </c>
      <c r="AK4232" s="4">
        <v>0</v>
      </c>
      <c r="AL4232" s="4">
        <v>8</v>
      </c>
      <c r="AM4232" s="4">
        <v>8</v>
      </c>
      <c r="AN4232" s="4">
        <v>0</v>
      </c>
      <c r="AO4232" s="4">
        <v>0</v>
      </c>
      <c r="AP4232" s="4">
        <v>0</v>
      </c>
      <c r="AQ4232" s="4">
        <v>0</v>
      </c>
      <c r="AR4232" s="3" t="s">
        <v>62</v>
      </c>
      <c r="AS4232" s="3" t="s">
        <v>62</v>
      </c>
      <c r="AT4232" s="3" t="s">
        <v>62</v>
      </c>
      <c r="AV4232" s="6" t="str">
        <f>HYPERLINK("http://mcgill.on.worldcat.org/oclc/988006398","Catalog Record")</f>
        <v>Catalog Record</v>
      </c>
      <c r="AW4232" s="6" t="str">
        <f>HYPERLINK("http://www.worldcat.org/oclc/988006398","WorldCat Record")</f>
        <v>WorldCat Record</v>
      </c>
      <c r="AX4232" s="3" t="s">
        <v>40639</v>
      </c>
      <c r="AY4232" s="3" t="s">
        <v>40640</v>
      </c>
      <c r="AZ4232" s="3" t="s">
        <v>40641</v>
      </c>
      <c r="BA4232" s="3" t="s">
        <v>40641</v>
      </c>
      <c r="BB4232" s="3" t="s">
        <v>40642</v>
      </c>
      <c r="BC4232" s="3" t="s">
        <v>102</v>
      </c>
      <c r="BD4232" s="3" t="s">
        <v>68</v>
      </c>
      <c r="BE4232" s="3" t="s">
        <v>40643</v>
      </c>
      <c r="BF4232" s="3" t="s">
        <v>40642</v>
      </c>
      <c r="BG4232" s="3" t="s">
        <v>40644</v>
      </c>
    </row>
    <row r="4233" spans="1:59" ht="58" x14ac:dyDescent="0.35">
      <c r="A4233" s="2" t="s">
        <v>89</v>
      </c>
      <c r="B4233" s="2" t="s">
        <v>90</v>
      </c>
      <c r="C4233" s="2" t="s">
        <v>40645</v>
      </c>
      <c r="D4233" s="2" t="s">
        <v>40646</v>
      </c>
      <c r="E4233" s="2" t="s">
        <v>40647</v>
      </c>
      <c r="G4233" s="3" t="s">
        <v>62</v>
      </c>
      <c r="I4233" s="3" t="s">
        <v>62</v>
      </c>
      <c r="J4233" s="3" t="s">
        <v>62</v>
      </c>
      <c r="K4233" s="3" t="s">
        <v>63</v>
      </c>
      <c r="L4233" s="2" t="s">
        <v>40648</v>
      </c>
      <c r="M4233" s="2" t="s">
        <v>40649</v>
      </c>
      <c r="N4233" s="3" t="s">
        <v>1455</v>
      </c>
      <c r="P4233" s="3" t="s">
        <v>64</v>
      </c>
      <c r="R4233" s="3" t="s">
        <v>40557</v>
      </c>
      <c r="S4233" s="4">
        <v>5</v>
      </c>
      <c r="T4233" s="4">
        <v>5</v>
      </c>
      <c r="U4233" s="5" t="s">
        <v>29398</v>
      </c>
      <c r="V4233" s="5" t="s">
        <v>29398</v>
      </c>
      <c r="W4233" s="5" t="s">
        <v>67</v>
      </c>
      <c r="X4233" s="5" t="s">
        <v>67</v>
      </c>
      <c r="Y4233" s="4">
        <v>178</v>
      </c>
      <c r="Z4233" s="4">
        <v>10</v>
      </c>
      <c r="AA4233" s="4">
        <v>34</v>
      </c>
      <c r="AB4233" s="4">
        <v>1</v>
      </c>
      <c r="AC4233" s="4">
        <v>5</v>
      </c>
      <c r="AD4233" s="4">
        <v>21</v>
      </c>
      <c r="AE4233" s="4">
        <v>84</v>
      </c>
      <c r="AF4233" s="4">
        <v>0</v>
      </c>
      <c r="AG4233" s="4">
        <v>1</v>
      </c>
      <c r="AH4233" s="4">
        <v>15</v>
      </c>
      <c r="AI4233" s="4">
        <v>75</v>
      </c>
      <c r="AJ4233" s="4">
        <v>5</v>
      </c>
      <c r="AK4233" s="4">
        <v>10</v>
      </c>
      <c r="AL4233" s="4">
        <v>13</v>
      </c>
      <c r="AM4233" s="4">
        <v>46</v>
      </c>
      <c r="AN4233" s="4">
        <v>0</v>
      </c>
      <c r="AO4233" s="4">
        <v>0</v>
      </c>
      <c r="AP4233" s="4">
        <v>8</v>
      </c>
      <c r="AQ4233" s="4">
        <v>14</v>
      </c>
      <c r="AR4233" s="3" t="s">
        <v>62</v>
      </c>
      <c r="AS4233" s="3" t="s">
        <v>62</v>
      </c>
      <c r="AT4233" s="3" t="s">
        <v>62</v>
      </c>
      <c r="AV4233" s="6" t="str">
        <f>HYPERLINK("http://mcgill.on.worldcat.org/oclc/927291647","Catalog Record")</f>
        <v>Catalog Record</v>
      </c>
      <c r="AW4233" s="6" t="str">
        <f>HYPERLINK("http://www.worldcat.org/oclc/927291647","WorldCat Record")</f>
        <v>WorldCat Record</v>
      </c>
      <c r="AX4233" s="3" t="s">
        <v>40650</v>
      </c>
      <c r="AY4233" s="3" t="s">
        <v>40651</v>
      </c>
      <c r="AZ4233" s="3" t="s">
        <v>40652</v>
      </c>
      <c r="BA4233" s="3" t="s">
        <v>40652</v>
      </c>
      <c r="BB4233" s="3" t="s">
        <v>40653</v>
      </c>
      <c r="BC4233" s="3" t="s">
        <v>102</v>
      </c>
      <c r="BD4233" s="3" t="s">
        <v>231</v>
      </c>
      <c r="BE4233" s="3" t="s">
        <v>40654</v>
      </c>
      <c r="BF4233" s="3" t="s">
        <v>40653</v>
      </c>
      <c r="BG4233" s="3" t="s">
        <v>40655</v>
      </c>
    </row>
    <row r="4234" spans="1:59" ht="58" x14ac:dyDescent="0.35">
      <c r="A4234" s="2" t="s">
        <v>59</v>
      </c>
      <c r="B4234" s="2" t="s">
        <v>60</v>
      </c>
      <c r="C4234" s="2" t="s">
        <v>40656</v>
      </c>
      <c r="D4234" s="2" t="s">
        <v>40657</v>
      </c>
      <c r="E4234" s="2" t="s">
        <v>40658</v>
      </c>
      <c r="G4234" s="3" t="s">
        <v>62</v>
      </c>
      <c r="I4234" s="3" t="s">
        <v>62</v>
      </c>
      <c r="J4234" s="3" t="s">
        <v>61</v>
      </c>
      <c r="K4234" s="3" t="s">
        <v>63</v>
      </c>
      <c r="L4234" s="2" t="s">
        <v>40659</v>
      </c>
      <c r="M4234" s="2" t="s">
        <v>40660</v>
      </c>
      <c r="N4234" s="3" t="s">
        <v>954</v>
      </c>
      <c r="P4234" s="3" t="s">
        <v>64</v>
      </c>
      <c r="R4234" s="3" t="s">
        <v>40557</v>
      </c>
      <c r="S4234" s="4">
        <v>4</v>
      </c>
      <c r="T4234" s="4">
        <v>4</v>
      </c>
      <c r="U4234" s="5" t="s">
        <v>526</v>
      </c>
      <c r="V4234" s="5" t="s">
        <v>526</v>
      </c>
      <c r="W4234" s="5" t="s">
        <v>67</v>
      </c>
      <c r="X4234" s="5" t="s">
        <v>67</v>
      </c>
      <c r="Y4234" s="4">
        <v>240</v>
      </c>
      <c r="Z4234" s="4">
        <v>9</v>
      </c>
      <c r="AA4234" s="4">
        <v>32</v>
      </c>
      <c r="AB4234" s="4">
        <v>1</v>
      </c>
      <c r="AC4234" s="4">
        <v>4</v>
      </c>
      <c r="AD4234" s="4">
        <v>33</v>
      </c>
      <c r="AE4234" s="4">
        <v>125</v>
      </c>
      <c r="AF4234" s="4">
        <v>0</v>
      </c>
      <c r="AG4234" s="4">
        <v>2</v>
      </c>
      <c r="AH4234" s="4">
        <v>27</v>
      </c>
      <c r="AI4234" s="4">
        <v>108</v>
      </c>
      <c r="AJ4234" s="4">
        <v>5</v>
      </c>
      <c r="AK4234" s="4">
        <v>18</v>
      </c>
      <c r="AL4234" s="4">
        <v>13</v>
      </c>
      <c r="AM4234" s="4">
        <v>60</v>
      </c>
      <c r="AN4234" s="4">
        <v>0</v>
      </c>
      <c r="AO4234" s="4">
        <v>0</v>
      </c>
      <c r="AP4234" s="4">
        <v>8</v>
      </c>
      <c r="AQ4234" s="4">
        <v>23</v>
      </c>
      <c r="AR4234" s="3" t="s">
        <v>62</v>
      </c>
      <c r="AS4234" s="3" t="s">
        <v>62</v>
      </c>
      <c r="AT4234" s="3" t="s">
        <v>61</v>
      </c>
      <c r="AU4234" s="6" t="str">
        <f>HYPERLINK("http://catalog.hathitrust.org/Record/100104542","HathiTrust Record")</f>
        <v>HathiTrust Record</v>
      </c>
      <c r="AV4234" s="6" t="str">
        <f>HYPERLINK("http://mcgill.on.worldcat.org/oclc/244421","Catalog Record")</f>
        <v>Catalog Record</v>
      </c>
      <c r="AW4234" s="6" t="str">
        <f>HYPERLINK("http://www.worldcat.org/oclc/244421","WorldCat Record")</f>
        <v>WorldCat Record</v>
      </c>
      <c r="AX4234" s="3" t="s">
        <v>40661</v>
      </c>
      <c r="AY4234" s="3" t="s">
        <v>40662</v>
      </c>
      <c r="AZ4234" s="3" t="s">
        <v>40663</v>
      </c>
      <c r="BA4234" s="3" t="s">
        <v>40663</v>
      </c>
      <c r="BB4234" s="3" t="s">
        <v>40664</v>
      </c>
      <c r="BC4234" s="3" t="s">
        <v>102</v>
      </c>
      <c r="BD4234" s="3" t="s">
        <v>6923</v>
      </c>
      <c r="BF4234" s="3" t="s">
        <v>40664</v>
      </c>
      <c r="BG4234" s="3" t="s">
        <v>40665</v>
      </c>
    </row>
    <row r="4235" spans="1:59" ht="116" x14ac:dyDescent="0.35">
      <c r="A4235" s="2" t="s">
        <v>89</v>
      </c>
      <c r="B4235" s="2" t="s">
        <v>3312</v>
      </c>
      <c r="C4235" s="2" t="s">
        <v>40666</v>
      </c>
      <c r="D4235" s="2" t="s">
        <v>40667</v>
      </c>
      <c r="E4235" s="2" t="s">
        <v>40668</v>
      </c>
      <c r="G4235" s="3" t="s">
        <v>62</v>
      </c>
      <c r="I4235" s="3" t="s">
        <v>62</v>
      </c>
      <c r="J4235" s="3" t="s">
        <v>62</v>
      </c>
      <c r="K4235" s="3" t="s">
        <v>63</v>
      </c>
      <c r="L4235" s="2" t="s">
        <v>40669</v>
      </c>
      <c r="M4235" s="2" t="s">
        <v>40670</v>
      </c>
      <c r="N4235" s="3" t="s">
        <v>438</v>
      </c>
      <c r="O4235" s="2" t="s">
        <v>1674</v>
      </c>
      <c r="P4235" s="3" t="s">
        <v>1675</v>
      </c>
      <c r="R4235" s="3" t="s">
        <v>40557</v>
      </c>
      <c r="S4235" s="4">
        <v>1</v>
      </c>
      <c r="T4235" s="4">
        <v>1</v>
      </c>
      <c r="U4235" s="5" t="s">
        <v>1337</v>
      </c>
      <c r="V4235" s="5" t="s">
        <v>1337</v>
      </c>
      <c r="W4235" s="5" t="s">
        <v>67</v>
      </c>
      <c r="X4235" s="5" t="s">
        <v>67</v>
      </c>
      <c r="Y4235" s="4">
        <v>13</v>
      </c>
      <c r="Z4235" s="4">
        <v>2</v>
      </c>
      <c r="AA4235" s="4">
        <v>2</v>
      </c>
      <c r="AB4235" s="4">
        <v>2</v>
      </c>
      <c r="AC4235" s="4">
        <v>2</v>
      </c>
      <c r="AD4235" s="4">
        <v>4</v>
      </c>
      <c r="AE4235" s="4">
        <v>4</v>
      </c>
      <c r="AF4235" s="4">
        <v>0</v>
      </c>
      <c r="AG4235" s="4">
        <v>0</v>
      </c>
      <c r="AH4235" s="4">
        <v>4</v>
      </c>
      <c r="AI4235" s="4">
        <v>4</v>
      </c>
      <c r="AJ4235" s="4">
        <v>0</v>
      </c>
      <c r="AK4235" s="4">
        <v>0</v>
      </c>
      <c r="AL4235" s="4">
        <v>3</v>
      </c>
      <c r="AM4235" s="4">
        <v>3</v>
      </c>
      <c r="AN4235" s="4">
        <v>0</v>
      </c>
      <c r="AO4235" s="4">
        <v>0</v>
      </c>
      <c r="AP4235" s="4">
        <v>0</v>
      </c>
      <c r="AQ4235" s="4">
        <v>0</v>
      </c>
      <c r="AR4235" s="3" t="s">
        <v>62</v>
      </c>
      <c r="AS4235" s="3" t="s">
        <v>62</v>
      </c>
      <c r="AT4235" s="3" t="s">
        <v>62</v>
      </c>
      <c r="AV4235" s="6" t="str">
        <f>HYPERLINK("http://mcgill.on.worldcat.org/oclc/27112152","Catalog Record")</f>
        <v>Catalog Record</v>
      </c>
      <c r="AW4235" s="6" t="str">
        <f>HYPERLINK("http://www.worldcat.org/oclc/27112152","WorldCat Record")</f>
        <v>WorldCat Record</v>
      </c>
      <c r="AX4235" s="3" t="s">
        <v>40671</v>
      </c>
      <c r="AY4235" s="3" t="s">
        <v>40672</v>
      </c>
      <c r="AZ4235" s="3" t="s">
        <v>40673</v>
      </c>
      <c r="BA4235" s="3" t="s">
        <v>40673</v>
      </c>
      <c r="BB4235" s="3" t="s">
        <v>40674</v>
      </c>
      <c r="BC4235" s="3" t="s">
        <v>102</v>
      </c>
      <c r="BD4235" s="3" t="s">
        <v>68</v>
      </c>
      <c r="BE4235" s="3" t="s">
        <v>40675</v>
      </c>
      <c r="BF4235" s="3" t="s">
        <v>40674</v>
      </c>
      <c r="BG4235" s="3" t="s">
        <v>40676</v>
      </c>
    </row>
    <row r="4236" spans="1:59" ht="58" x14ac:dyDescent="0.35">
      <c r="A4236" s="2" t="s">
        <v>59</v>
      </c>
      <c r="B4236" s="2" t="s">
        <v>60</v>
      </c>
      <c r="C4236" s="2" t="s">
        <v>40677</v>
      </c>
      <c r="D4236" s="2" t="s">
        <v>40678</v>
      </c>
      <c r="E4236" s="2" t="s">
        <v>40679</v>
      </c>
      <c r="G4236" s="3" t="s">
        <v>62</v>
      </c>
      <c r="I4236" s="3" t="s">
        <v>62</v>
      </c>
      <c r="J4236" s="3" t="s">
        <v>61</v>
      </c>
      <c r="K4236" s="3" t="s">
        <v>63</v>
      </c>
      <c r="L4236" s="2" t="s">
        <v>40680</v>
      </c>
      <c r="M4236" s="2" t="s">
        <v>40681</v>
      </c>
      <c r="N4236" s="3" t="s">
        <v>1374</v>
      </c>
      <c r="P4236" s="3" t="s">
        <v>64</v>
      </c>
      <c r="R4236" s="3" t="s">
        <v>40557</v>
      </c>
      <c r="S4236" s="4">
        <v>5</v>
      </c>
      <c r="T4236" s="4">
        <v>5</v>
      </c>
      <c r="U4236" s="5" t="s">
        <v>14513</v>
      </c>
      <c r="V4236" s="5" t="s">
        <v>14513</v>
      </c>
      <c r="W4236" s="5" t="s">
        <v>67</v>
      </c>
      <c r="X4236" s="5" t="s">
        <v>67</v>
      </c>
      <c r="Y4236" s="4">
        <v>8</v>
      </c>
      <c r="Z4236" s="4">
        <v>2</v>
      </c>
      <c r="AA4236" s="4">
        <v>44</v>
      </c>
      <c r="AB4236" s="4">
        <v>2</v>
      </c>
      <c r="AC4236" s="4">
        <v>3</v>
      </c>
      <c r="AD4236" s="4">
        <v>1</v>
      </c>
      <c r="AE4236" s="4">
        <v>113</v>
      </c>
      <c r="AF4236" s="4">
        <v>0</v>
      </c>
      <c r="AG4236" s="4">
        <v>0</v>
      </c>
      <c r="AH4236" s="4">
        <v>1</v>
      </c>
      <c r="AI4236" s="4">
        <v>96</v>
      </c>
      <c r="AJ4236" s="4">
        <v>0</v>
      </c>
      <c r="AK4236" s="4">
        <v>17</v>
      </c>
      <c r="AL4236" s="4">
        <v>0</v>
      </c>
      <c r="AM4236" s="4">
        <v>54</v>
      </c>
      <c r="AN4236" s="4">
        <v>0</v>
      </c>
      <c r="AO4236" s="4">
        <v>0</v>
      </c>
      <c r="AP4236" s="4">
        <v>0</v>
      </c>
      <c r="AQ4236" s="4">
        <v>22</v>
      </c>
      <c r="AR4236" s="3" t="s">
        <v>62</v>
      </c>
      <c r="AS4236" s="3" t="s">
        <v>62</v>
      </c>
      <c r="AT4236" s="3" t="s">
        <v>61</v>
      </c>
      <c r="AU4236" s="6" t="str">
        <f>HYPERLINK("http://catalog.hathitrust.org/Record/000289828","HathiTrust Record")</f>
        <v>HathiTrust Record</v>
      </c>
      <c r="AV4236" s="6" t="str">
        <f>HYPERLINK("http://mcgill.on.worldcat.org/oclc/427827311","Catalog Record")</f>
        <v>Catalog Record</v>
      </c>
      <c r="AW4236" s="6" t="str">
        <f>HYPERLINK("http://www.worldcat.org/oclc/427827311","WorldCat Record")</f>
        <v>WorldCat Record</v>
      </c>
      <c r="AX4236" s="3" t="s">
        <v>40682</v>
      </c>
      <c r="AY4236" s="3" t="s">
        <v>40683</v>
      </c>
      <c r="AZ4236" s="3" t="s">
        <v>40684</v>
      </c>
      <c r="BA4236" s="3" t="s">
        <v>40684</v>
      </c>
      <c r="BB4236" s="3" t="s">
        <v>40685</v>
      </c>
      <c r="BC4236" s="3" t="s">
        <v>102</v>
      </c>
      <c r="BD4236" s="3" t="s">
        <v>68</v>
      </c>
      <c r="BF4236" s="3" t="s">
        <v>40685</v>
      </c>
      <c r="BG4236" s="3" t="s">
        <v>40686</v>
      </c>
    </row>
    <row r="4237" spans="1:59" ht="58" x14ac:dyDescent="0.35">
      <c r="A4237" s="2" t="s">
        <v>89</v>
      </c>
      <c r="B4237" s="2" t="s">
        <v>90</v>
      </c>
      <c r="C4237" s="2" t="s">
        <v>40687</v>
      </c>
      <c r="D4237" s="2" t="s">
        <v>40688</v>
      </c>
      <c r="E4237" s="2" t="s">
        <v>40689</v>
      </c>
      <c r="G4237" s="3" t="s">
        <v>62</v>
      </c>
      <c r="I4237" s="3" t="s">
        <v>62</v>
      </c>
      <c r="J4237" s="3" t="s">
        <v>62</v>
      </c>
      <c r="K4237" s="3" t="s">
        <v>63</v>
      </c>
      <c r="L4237" s="2" t="s">
        <v>40690</v>
      </c>
      <c r="M4237" s="2" t="s">
        <v>40691</v>
      </c>
      <c r="N4237" s="3" t="s">
        <v>2000</v>
      </c>
      <c r="P4237" s="3" t="s">
        <v>64</v>
      </c>
      <c r="R4237" s="3" t="s">
        <v>40557</v>
      </c>
      <c r="S4237" s="4">
        <v>55</v>
      </c>
      <c r="T4237" s="4">
        <v>55</v>
      </c>
      <c r="U4237" s="5" t="s">
        <v>36365</v>
      </c>
      <c r="V4237" s="5" t="s">
        <v>36365</v>
      </c>
      <c r="W4237" s="5" t="s">
        <v>67</v>
      </c>
      <c r="X4237" s="5" t="s">
        <v>67</v>
      </c>
      <c r="Y4237" s="4">
        <v>525</v>
      </c>
      <c r="Z4237" s="4">
        <v>35</v>
      </c>
      <c r="AA4237" s="4">
        <v>52</v>
      </c>
      <c r="AB4237" s="4">
        <v>2</v>
      </c>
      <c r="AC4237" s="4">
        <v>6</v>
      </c>
      <c r="AD4237" s="4">
        <v>122</v>
      </c>
      <c r="AE4237" s="4">
        <v>134</v>
      </c>
      <c r="AF4237" s="4">
        <v>1</v>
      </c>
      <c r="AG4237" s="4">
        <v>3</v>
      </c>
      <c r="AH4237" s="4">
        <v>106</v>
      </c>
      <c r="AI4237" s="4">
        <v>108</v>
      </c>
      <c r="AJ4237" s="4">
        <v>20</v>
      </c>
      <c r="AK4237" s="4">
        <v>24</v>
      </c>
      <c r="AL4237" s="4">
        <v>58</v>
      </c>
      <c r="AM4237" s="4">
        <v>58</v>
      </c>
      <c r="AN4237" s="4">
        <v>0</v>
      </c>
      <c r="AO4237" s="4">
        <v>0</v>
      </c>
      <c r="AP4237" s="4">
        <v>27</v>
      </c>
      <c r="AQ4237" s="4">
        <v>35</v>
      </c>
      <c r="AR4237" s="3" t="s">
        <v>62</v>
      </c>
      <c r="AS4237" s="3" t="s">
        <v>62</v>
      </c>
      <c r="AT4237" s="3" t="s">
        <v>61</v>
      </c>
      <c r="AU4237" s="6" t="str">
        <f>HYPERLINK("http://catalog.hathitrust.org/Record/003061647","HathiTrust Record")</f>
        <v>HathiTrust Record</v>
      </c>
      <c r="AV4237" s="6" t="str">
        <f>HYPERLINK("http://mcgill.on.worldcat.org/oclc/32469608","Catalog Record")</f>
        <v>Catalog Record</v>
      </c>
      <c r="AW4237" s="6" t="str">
        <f>HYPERLINK("http://www.worldcat.org/oclc/32469608","WorldCat Record")</f>
        <v>WorldCat Record</v>
      </c>
      <c r="AX4237" s="3" t="s">
        <v>40692</v>
      </c>
      <c r="AY4237" s="3" t="s">
        <v>40693</v>
      </c>
      <c r="AZ4237" s="3" t="s">
        <v>40694</v>
      </c>
      <c r="BA4237" s="3" t="s">
        <v>40694</v>
      </c>
      <c r="BB4237" s="3" t="s">
        <v>40695</v>
      </c>
      <c r="BC4237" s="3" t="s">
        <v>102</v>
      </c>
      <c r="BD4237" s="3" t="s">
        <v>68</v>
      </c>
      <c r="BE4237" s="3" t="s">
        <v>40696</v>
      </c>
      <c r="BF4237" s="3" t="s">
        <v>40695</v>
      </c>
      <c r="BG4237" s="3" t="s">
        <v>40697</v>
      </c>
    </row>
    <row r="4238" spans="1:59" ht="58" x14ac:dyDescent="0.35">
      <c r="A4238" s="2" t="s">
        <v>89</v>
      </c>
      <c r="B4238" s="2" t="s">
        <v>90</v>
      </c>
      <c r="C4238" s="2" t="s">
        <v>40698</v>
      </c>
      <c r="D4238" s="2" t="s">
        <v>40699</v>
      </c>
      <c r="E4238" s="2" t="s">
        <v>40700</v>
      </c>
      <c r="G4238" s="3" t="s">
        <v>62</v>
      </c>
      <c r="I4238" s="3" t="s">
        <v>62</v>
      </c>
      <c r="J4238" s="3" t="s">
        <v>62</v>
      </c>
      <c r="K4238" s="3" t="s">
        <v>63</v>
      </c>
      <c r="L4238" s="2" t="s">
        <v>40701</v>
      </c>
      <c r="M4238" s="2" t="s">
        <v>40702</v>
      </c>
      <c r="N4238" s="3" t="s">
        <v>698</v>
      </c>
      <c r="P4238" s="3" t="s">
        <v>64</v>
      </c>
      <c r="R4238" s="3" t="s">
        <v>40557</v>
      </c>
      <c r="S4238" s="4">
        <v>4</v>
      </c>
      <c r="T4238" s="4">
        <v>4</v>
      </c>
      <c r="U4238" s="5" t="s">
        <v>13039</v>
      </c>
      <c r="V4238" s="5" t="s">
        <v>13039</v>
      </c>
      <c r="W4238" s="5" t="s">
        <v>67</v>
      </c>
      <c r="X4238" s="5" t="s">
        <v>67</v>
      </c>
      <c r="Y4238" s="4">
        <v>338</v>
      </c>
      <c r="Z4238" s="4">
        <v>16</v>
      </c>
      <c r="AA4238" s="4">
        <v>83</v>
      </c>
      <c r="AB4238" s="4">
        <v>2</v>
      </c>
      <c r="AC4238" s="4">
        <v>16</v>
      </c>
      <c r="AD4238" s="4">
        <v>86</v>
      </c>
      <c r="AE4238" s="4">
        <v>135</v>
      </c>
      <c r="AF4238" s="4">
        <v>1</v>
      </c>
      <c r="AG4238" s="4">
        <v>8</v>
      </c>
      <c r="AH4238" s="4">
        <v>79</v>
      </c>
      <c r="AI4238" s="4">
        <v>101</v>
      </c>
      <c r="AJ4238" s="4">
        <v>10</v>
      </c>
      <c r="AK4238" s="4">
        <v>20</v>
      </c>
      <c r="AL4238" s="4">
        <v>49</v>
      </c>
      <c r="AM4238" s="4">
        <v>58</v>
      </c>
      <c r="AN4238" s="4">
        <v>0</v>
      </c>
      <c r="AO4238" s="4">
        <v>0</v>
      </c>
      <c r="AP4238" s="4">
        <v>12</v>
      </c>
      <c r="AQ4238" s="4">
        <v>40</v>
      </c>
      <c r="AR4238" s="3" t="s">
        <v>62</v>
      </c>
      <c r="AS4238" s="3" t="s">
        <v>62</v>
      </c>
      <c r="AT4238" s="3" t="s">
        <v>62</v>
      </c>
      <c r="AV4238" s="6" t="str">
        <f>HYPERLINK("http://mcgill.on.worldcat.org/oclc/706965700","Catalog Record")</f>
        <v>Catalog Record</v>
      </c>
      <c r="AW4238" s="6" t="str">
        <f>HYPERLINK("http://www.worldcat.org/oclc/706965700","WorldCat Record")</f>
        <v>WorldCat Record</v>
      </c>
      <c r="AX4238" s="3" t="s">
        <v>40703</v>
      </c>
      <c r="AY4238" s="3" t="s">
        <v>40704</v>
      </c>
      <c r="AZ4238" s="3" t="s">
        <v>40705</v>
      </c>
      <c r="BA4238" s="3" t="s">
        <v>40705</v>
      </c>
      <c r="BB4238" s="3" t="s">
        <v>40706</v>
      </c>
      <c r="BC4238" s="3" t="s">
        <v>102</v>
      </c>
      <c r="BD4238" s="3" t="s">
        <v>68</v>
      </c>
      <c r="BE4238" s="3" t="s">
        <v>40707</v>
      </c>
      <c r="BF4238" s="3" t="s">
        <v>40706</v>
      </c>
      <c r="BG4238" s="3" t="s">
        <v>40708</v>
      </c>
    </row>
    <row r="4239" spans="1:59" ht="72.5" x14ac:dyDescent="0.35">
      <c r="A4239" s="2" t="s">
        <v>59</v>
      </c>
      <c r="B4239" s="2" t="s">
        <v>60</v>
      </c>
      <c r="C4239" s="2" t="s">
        <v>40709</v>
      </c>
      <c r="D4239" s="2" t="s">
        <v>40710</v>
      </c>
      <c r="E4239" s="2" t="s">
        <v>40711</v>
      </c>
      <c r="F4239" s="3" t="s">
        <v>40712</v>
      </c>
      <c r="G4239" s="3" t="s">
        <v>61</v>
      </c>
      <c r="I4239" s="3" t="s">
        <v>62</v>
      </c>
      <c r="J4239" s="3" t="s">
        <v>62</v>
      </c>
      <c r="K4239" s="3" t="s">
        <v>63</v>
      </c>
      <c r="L4239" s="2" t="s">
        <v>40713</v>
      </c>
      <c r="M4239" s="2" t="s">
        <v>40714</v>
      </c>
      <c r="N4239" s="3" t="s">
        <v>327</v>
      </c>
      <c r="O4239" s="2" t="s">
        <v>40715</v>
      </c>
      <c r="P4239" s="3" t="s">
        <v>1752</v>
      </c>
      <c r="R4239" s="3" t="s">
        <v>40557</v>
      </c>
      <c r="S4239" s="4">
        <v>4</v>
      </c>
      <c r="T4239" s="4">
        <v>4</v>
      </c>
      <c r="U4239" s="5" t="s">
        <v>40716</v>
      </c>
      <c r="V4239" s="5" t="s">
        <v>40716</v>
      </c>
      <c r="W4239" s="5" t="s">
        <v>67</v>
      </c>
      <c r="X4239" s="5" t="s">
        <v>67</v>
      </c>
      <c r="Y4239" s="4">
        <v>9</v>
      </c>
      <c r="Z4239" s="4">
        <v>1</v>
      </c>
      <c r="AA4239" s="4">
        <v>3</v>
      </c>
      <c r="AB4239" s="4">
        <v>1</v>
      </c>
      <c r="AC4239" s="4">
        <v>1</v>
      </c>
      <c r="AD4239" s="4">
        <v>2</v>
      </c>
      <c r="AE4239" s="4">
        <v>31</v>
      </c>
      <c r="AF4239" s="4">
        <v>0</v>
      </c>
      <c r="AG4239" s="4">
        <v>0</v>
      </c>
      <c r="AH4239" s="4">
        <v>2</v>
      </c>
      <c r="AI4239" s="4">
        <v>31</v>
      </c>
      <c r="AJ4239" s="4">
        <v>0</v>
      </c>
      <c r="AK4239" s="4">
        <v>2</v>
      </c>
      <c r="AL4239" s="4">
        <v>1</v>
      </c>
      <c r="AM4239" s="4">
        <v>18</v>
      </c>
      <c r="AN4239" s="4">
        <v>0</v>
      </c>
      <c r="AO4239" s="4">
        <v>0</v>
      </c>
      <c r="AP4239" s="4">
        <v>0</v>
      </c>
      <c r="AQ4239" s="4">
        <v>2</v>
      </c>
      <c r="AR4239" s="3" t="s">
        <v>62</v>
      </c>
      <c r="AS4239" s="3" t="s">
        <v>62</v>
      </c>
      <c r="AT4239" s="3" t="s">
        <v>61</v>
      </c>
      <c r="AU4239" s="6" t="str">
        <f>HYPERLINK("http://catalog.hathitrust.org/Record/101369417","HathiTrust Record")</f>
        <v>HathiTrust Record</v>
      </c>
      <c r="AV4239" s="6" t="str">
        <f>HYPERLINK("http://mcgill.on.worldcat.org/oclc/23829811","Catalog Record")</f>
        <v>Catalog Record</v>
      </c>
      <c r="AW4239" s="6" t="str">
        <f>HYPERLINK("http://www.worldcat.org/oclc/23829811","WorldCat Record")</f>
        <v>WorldCat Record</v>
      </c>
      <c r="AX4239" s="3" t="s">
        <v>40717</v>
      </c>
      <c r="AY4239" s="3" t="s">
        <v>40718</v>
      </c>
      <c r="AZ4239" s="3" t="s">
        <v>40719</v>
      </c>
      <c r="BA4239" s="3" t="s">
        <v>40719</v>
      </c>
      <c r="BB4239" s="3" t="s">
        <v>40720</v>
      </c>
      <c r="BC4239" s="3" t="s">
        <v>102</v>
      </c>
      <c r="BD4239" s="3" t="s">
        <v>68</v>
      </c>
      <c r="BF4239" s="3" t="s">
        <v>40720</v>
      </c>
      <c r="BG4239" s="3" t="s">
        <v>40721</v>
      </c>
    </row>
    <row r="4240" spans="1:59" ht="72.5" x14ac:dyDescent="0.35">
      <c r="A4240" s="2" t="s">
        <v>59</v>
      </c>
      <c r="B4240" s="2" t="s">
        <v>60</v>
      </c>
      <c r="C4240" s="2" t="s">
        <v>40722</v>
      </c>
      <c r="D4240" s="2" t="s">
        <v>40723</v>
      </c>
      <c r="E4240" s="2" t="s">
        <v>40724</v>
      </c>
      <c r="G4240" s="3" t="s">
        <v>62</v>
      </c>
      <c r="I4240" s="3" t="s">
        <v>62</v>
      </c>
      <c r="J4240" s="3" t="s">
        <v>62</v>
      </c>
      <c r="K4240" s="3" t="s">
        <v>63</v>
      </c>
      <c r="L4240" s="2" t="s">
        <v>40725</v>
      </c>
      <c r="M4240" s="2" t="s">
        <v>40726</v>
      </c>
      <c r="N4240" s="3" t="s">
        <v>954</v>
      </c>
      <c r="O4240" s="2" t="s">
        <v>5427</v>
      </c>
      <c r="P4240" s="3" t="s">
        <v>1752</v>
      </c>
      <c r="R4240" s="3" t="s">
        <v>40557</v>
      </c>
      <c r="S4240" s="4">
        <v>1</v>
      </c>
      <c r="T4240" s="4">
        <v>1</v>
      </c>
      <c r="U4240" s="5" t="s">
        <v>40716</v>
      </c>
      <c r="V4240" s="5" t="s">
        <v>40716</v>
      </c>
      <c r="W4240" s="5" t="s">
        <v>67</v>
      </c>
      <c r="X4240" s="5" t="s">
        <v>67</v>
      </c>
      <c r="Y4240" s="4">
        <v>33</v>
      </c>
      <c r="Z4240" s="4">
        <v>3</v>
      </c>
      <c r="AA4240" s="4">
        <v>3</v>
      </c>
      <c r="AB4240" s="4">
        <v>1</v>
      </c>
      <c r="AC4240" s="4">
        <v>1</v>
      </c>
      <c r="AD4240" s="4">
        <v>19</v>
      </c>
      <c r="AE4240" s="4">
        <v>20</v>
      </c>
      <c r="AF4240" s="4">
        <v>0</v>
      </c>
      <c r="AG4240" s="4">
        <v>0</v>
      </c>
      <c r="AH4240" s="4">
        <v>18</v>
      </c>
      <c r="AI4240" s="4">
        <v>19</v>
      </c>
      <c r="AJ4240" s="4">
        <v>2</v>
      </c>
      <c r="AK4240" s="4">
        <v>2</v>
      </c>
      <c r="AL4240" s="4">
        <v>11</v>
      </c>
      <c r="AM4240" s="4">
        <v>12</v>
      </c>
      <c r="AN4240" s="4">
        <v>0</v>
      </c>
      <c r="AO4240" s="4">
        <v>0</v>
      </c>
      <c r="AP4240" s="4">
        <v>2</v>
      </c>
      <c r="AQ4240" s="4">
        <v>2</v>
      </c>
      <c r="AR4240" s="3" t="s">
        <v>62</v>
      </c>
      <c r="AS4240" s="3" t="s">
        <v>62</v>
      </c>
      <c r="AT4240" s="3" t="s">
        <v>62</v>
      </c>
      <c r="AV4240" s="6" t="str">
        <f>HYPERLINK("http://mcgill.on.worldcat.org/oclc/3238534","Catalog Record")</f>
        <v>Catalog Record</v>
      </c>
      <c r="AW4240" s="6" t="str">
        <f>HYPERLINK("http://www.worldcat.org/oclc/3238534","WorldCat Record")</f>
        <v>WorldCat Record</v>
      </c>
      <c r="AX4240" s="3" t="s">
        <v>40727</v>
      </c>
      <c r="AY4240" s="3" t="s">
        <v>40728</v>
      </c>
      <c r="AZ4240" s="3" t="s">
        <v>40729</v>
      </c>
      <c r="BA4240" s="3" t="s">
        <v>40729</v>
      </c>
      <c r="BB4240" s="3" t="s">
        <v>40730</v>
      </c>
      <c r="BC4240" s="3" t="s">
        <v>102</v>
      </c>
      <c r="BD4240" s="3" t="s">
        <v>68</v>
      </c>
      <c r="BF4240" s="3" t="s">
        <v>40730</v>
      </c>
      <c r="BG4240" s="3" t="s">
        <v>40731</v>
      </c>
    </row>
    <row r="4241" spans="1:59" ht="58" x14ac:dyDescent="0.35">
      <c r="A4241" s="2" t="s">
        <v>59</v>
      </c>
      <c r="B4241" s="2" t="s">
        <v>60</v>
      </c>
      <c r="C4241" s="2" t="s">
        <v>40732</v>
      </c>
      <c r="D4241" s="2" t="s">
        <v>40733</v>
      </c>
      <c r="E4241" s="2" t="s">
        <v>40734</v>
      </c>
      <c r="G4241" s="3" t="s">
        <v>62</v>
      </c>
      <c r="I4241" s="3" t="s">
        <v>62</v>
      </c>
      <c r="J4241" s="3" t="s">
        <v>62</v>
      </c>
      <c r="K4241" s="3" t="s">
        <v>63</v>
      </c>
      <c r="L4241" s="2" t="s">
        <v>40735</v>
      </c>
      <c r="M4241" s="2" t="s">
        <v>40736</v>
      </c>
      <c r="N4241" s="3" t="s">
        <v>2924</v>
      </c>
      <c r="P4241" s="3" t="s">
        <v>64</v>
      </c>
      <c r="R4241" s="3" t="s">
        <v>40557</v>
      </c>
      <c r="S4241" s="4">
        <v>1</v>
      </c>
      <c r="T4241" s="4">
        <v>1</v>
      </c>
      <c r="U4241" s="5" t="s">
        <v>40737</v>
      </c>
      <c r="V4241" s="5" t="s">
        <v>40737</v>
      </c>
      <c r="W4241" s="5" t="s">
        <v>67</v>
      </c>
      <c r="X4241" s="5" t="s">
        <v>67</v>
      </c>
      <c r="Y4241" s="4">
        <v>358</v>
      </c>
      <c r="Z4241" s="4">
        <v>12</v>
      </c>
      <c r="AA4241" s="4">
        <v>18</v>
      </c>
      <c r="AB4241" s="4">
        <v>1</v>
      </c>
      <c r="AC4241" s="4">
        <v>1</v>
      </c>
      <c r="AD4241" s="4">
        <v>58</v>
      </c>
      <c r="AE4241" s="4">
        <v>108</v>
      </c>
      <c r="AF4241" s="4">
        <v>0</v>
      </c>
      <c r="AG4241" s="4">
        <v>0</v>
      </c>
      <c r="AH4241" s="4">
        <v>50</v>
      </c>
      <c r="AI4241" s="4">
        <v>99</v>
      </c>
      <c r="AJ4241" s="4">
        <v>8</v>
      </c>
      <c r="AK4241" s="4">
        <v>11</v>
      </c>
      <c r="AL4241" s="4">
        <v>25</v>
      </c>
      <c r="AM4241" s="4">
        <v>51</v>
      </c>
      <c r="AN4241" s="4">
        <v>0</v>
      </c>
      <c r="AO4241" s="4">
        <v>0</v>
      </c>
      <c r="AP4241" s="4">
        <v>11</v>
      </c>
      <c r="AQ4241" s="4">
        <v>14</v>
      </c>
      <c r="AR4241" s="3" t="s">
        <v>62</v>
      </c>
      <c r="AS4241" s="3" t="s">
        <v>62</v>
      </c>
      <c r="AT4241" s="3" t="s">
        <v>61</v>
      </c>
      <c r="AU4241" s="6" t="str">
        <f>HYPERLINK("http://catalog.hathitrust.org/Record/004415517","HathiTrust Record")</f>
        <v>HathiTrust Record</v>
      </c>
      <c r="AV4241" s="6" t="str">
        <f>HYPERLINK("http://mcgill.on.worldcat.org/oclc/170727","Catalog Record")</f>
        <v>Catalog Record</v>
      </c>
      <c r="AW4241" s="6" t="str">
        <f>HYPERLINK("http://www.worldcat.org/oclc/170727","WorldCat Record")</f>
        <v>WorldCat Record</v>
      </c>
      <c r="AX4241" s="3" t="s">
        <v>40738</v>
      </c>
      <c r="AY4241" s="3" t="s">
        <v>40739</v>
      </c>
      <c r="AZ4241" s="3" t="s">
        <v>40740</v>
      </c>
      <c r="BA4241" s="3" t="s">
        <v>40740</v>
      </c>
      <c r="BB4241" s="3" t="s">
        <v>40741</v>
      </c>
      <c r="BC4241" s="3" t="s">
        <v>102</v>
      </c>
      <c r="BD4241" s="3" t="s">
        <v>68</v>
      </c>
      <c r="BF4241" s="3" t="s">
        <v>40741</v>
      </c>
      <c r="BG4241" s="3" t="s">
        <v>40742</v>
      </c>
    </row>
    <row r="4242" spans="1:59" ht="58" x14ac:dyDescent="0.35">
      <c r="A4242" s="2" t="s">
        <v>89</v>
      </c>
      <c r="B4242" s="2" t="s">
        <v>90</v>
      </c>
      <c r="C4242" s="2" t="s">
        <v>40743</v>
      </c>
      <c r="D4242" s="2" t="s">
        <v>40744</v>
      </c>
      <c r="E4242" s="2" t="s">
        <v>40745</v>
      </c>
      <c r="F4242" s="3" t="s">
        <v>1767</v>
      </c>
      <c r="G4242" s="3" t="s">
        <v>61</v>
      </c>
      <c r="I4242" s="3" t="s">
        <v>62</v>
      </c>
      <c r="J4242" s="3" t="s">
        <v>62</v>
      </c>
      <c r="K4242" s="3" t="s">
        <v>63</v>
      </c>
      <c r="L4242" s="2" t="s">
        <v>33424</v>
      </c>
      <c r="M4242" s="2" t="s">
        <v>40746</v>
      </c>
      <c r="N4242" s="3" t="s">
        <v>625</v>
      </c>
      <c r="P4242" s="3" t="s">
        <v>85</v>
      </c>
      <c r="Q4242" s="2" t="s">
        <v>25863</v>
      </c>
      <c r="R4242" s="3" t="s">
        <v>40557</v>
      </c>
      <c r="S4242" s="4">
        <v>1</v>
      </c>
      <c r="T4242" s="4">
        <v>6</v>
      </c>
      <c r="U4242" s="5" t="s">
        <v>4583</v>
      </c>
      <c r="V4242" s="5" t="s">
        <v>4583</v>
      </c>
      <c r="W4242" s="5" t="s">
        <v>67</v>
      </c>
      <c r="X4242" s="5" t="s">
        <v>67</v>
      </c>
      <c r="Y4242" s="4">
        <v>16</v>
      </c>
      <c r="Z4242" s="4">
        <v>2</v>
      </c>
      <c r="AA4242" s="4">
        <v>12</v>
      </c>
      <c r="AB4242" s="4">
        <v>1</v>
      </c>
      <c r="AC4242" s="4">
        <v>1</v>
      </c>
      <c r="AD4242" s="4">
        <v>10</v>
      </c>
      <c r="AE4242" s="4">
        <v>67</v>
      </c>
      <c r="AF4242" s="4">
        <v>0</v>
      </c>
      <c r="AG4242" s="4">
        <v>0</v>
      </c>
      <c r="AH4242" s="4">
        <v>9</v>
      </c>
      <c r="AI4242" s="4">
        <v>60</v>
      </c>
      <c r="AJ4242" s="4">
        <v>1</v>
      </c>
      <c r="AK4242" s="4">
        <v>10</v>
      </c>
      <c r="AL4242" s="4">
        <v>6</v>
      </c>
      <c r="AM4242" s="4">
        <v>40</v>
      </c>
      <c r="AN4242" s="4">
        <v>0</v>
      </c>
      <c r="AO4242" s="4">
        <v>0</v>
      </c>
      <c r="AP4242" s="4">
        <v>1</v>
      </c>
      <c r="AQ4242" s="4">
        <v>11</v>
      </c>
      <c r="AR4242" s="3" t="s">
        <v>62</v>
      </c>
      <c r="AS4242" s="3" t="s">
        <v>62</v>
      </c>
      <c r="AT4242" s="3" t="s">
        <v>61</v>
      </c>
      <c r="AU4242" s="6" t="str">
        <f>HYPERLINK("http://catalog.hathitrust.org/Record/004765447","HathiTrust Record")</f>
        <v>HathiTrust Record</v>
      </c>
      <c r="AV4242" s="6" t="str">
        <f>HYPERLINK("http://mcgill.on.worldcat.org/oclc/56791769","Catalog Record")</f>
        <v>Catalog Record</v>
      </c>
      <c r="AW4242" s="6" t="str">
        <f>HYPERLINK("http://www.worldcat.org/oclc/56791769","WorldCat Record")</f>
        <v>WorldCat Record</v>
      </c>
      <c r="AX4242" s="3" t="s">
        <v>40747</v>
      </c>
      <c r="AY4242" s="3" t="s">
        <v>40748</v>
      </c>
      <c r="AZ4242" s="3" t="s">
        <v>40749</v>
      </c>
      <c r="BA4242" s="3" t="s">
        <v>40749</v>
      </c>
      <c r="BB4242" s="3" t="s">
        <v>40750</v>
      </c>
      <c r="BC4242" s="3" t="s">
        <v>102</v>
      </c>
      <c r="BD4242" s="3" t="s">
        <v>68</v>
      </c>
      <c r="BE4242" s="3" t="s">
        <v>40751</v>
      </c>
      <c r="BF4242" s="3" t="s">
        <v>40750</v>
      </c>
      <c r="BG4242" s="3" t="s">
        <v>40752</v>
      </c>
    </row>
    <row r="4243" spans="1:59" ht="58" x14ac:dyDescent="0.35">
      <c r="A4243" s="2" t="s">
        <v>89</v>
      </c>
      <c r="B4243" s="2" t="s">
        <v>90</v>
      </c>
      <c r="C4243" s="2" t="s">
        <v>40743</v>
      </c>
      <c r="D4243" s="2" t="s">
        <v>40744</v>
      </c>
      <c r="E4243" s="2" t="s">
        <v>40745</v>
      </c>
      <c r="F4243" s="3" t="s">
        <v>1785</v>
      </c>
      <c r="G4243" s="3" t="s">
        <v>61</v>
      </c>
      <c r="I4243" s="3" t="s">
        <v>62</v>
      </c>
      <c r="J4243" s="3" t="s">
        <v>62</v>
      </c>
      <c r="K4243" s="3" t="s">
        <v>63</v>
      </c>
      <c r="L4243" s="2" t="s">
        <v>33424</v>
      </c>
      <c r="M4243" s="2" t="s">
        <v>40746</v>
      </c>
      <c r="N4243" s="3" t="s">
        <v>625</v>
      </c>
      <c r="P4243" s="3" t="s">
        <v>85</v>
      </c>
      <c r="Q4243" s="2" t="s">
        <v>25863</v>
      </c>
      <c r="R4243" s="3" t="s">
        <v>40557</v>
      </c>
      <c r="S4243" s="4">
        <v>1</v>
      </c>
      <c r="T4243" s="4">
        <v>6</v>
      </c>
      <c r="U4243" s="5" t="s">
        <v>4583</v>
      </c>
      <c r="V4243" s="5" t="s">
        <v>4583</v>
      </c>
      <c r="W4243" s="5" t="s">
        <v>67</v>
      </c>
      <c r="X4243" s="5" t="s">
        <v>67</v>
      </c>
      <c r="Y4243" s="4">
        <v>16</v>
      </c>
      <c r="Z4243" s="4">
        <v>2</v>
      </c>
      <c r="AA4243" s="4">
        <v>12</v>
      </c>
      <c r="AB4243" s="4">
        <v>1</v>
      </c>
      <c r="AC4243" s="4">
        <v>1</v>
      </c>
      <c r="AD4243" s="4">
        <v>10</v>
      </c>
      <c r="AE4243" s="4">
        <v>67</v>
      </c>
      <c r="AF4243" s="4">
        <v>0</v>
      </c>
      <c r="AG4243" s="4">
        <v>0</v>
      </c>
      <c r="AH4243" s="4">
        <v>9</v>
      </c>
      <c r="AI4243" s="4">
        <v>60</v>
      </c>
      <c r="AJ4243" s="4">
        <v>1</v>
      </c>
      <c r="AK4243" s="4">
        <v>10</v>
      </c>
      <c r="AL4243" s="4">
        <v>6</v>
      </c>
      <c r="AM4243" s="4">
        <v>40</v>
      </c>
      <c r="AN4243" s="4">
        <v>0</v>
      </c>
      <c r="AO4243" s="4">
        <v>0</v>
      </c>
      <c r="AP4243" s="4">
        <v>1</v>
      </c>
      <c r="AQ4243" s="4">
        <v>11</v>
      </c>
      <c r="AR4243" s="3" t="s">
        <v>62</v>
      </c>
      <c r="AS4243" s="3" t="s">
        <v>62</v>
      </c>
      <c r="AT4243" s="3" t="s">
        <v>61</v>
      </c>
      <c r="AU4243" s="6" t="str">
        <f>HYPERLINK("http://catalog.hathitrust.org/Record/004765447","HathiTrust Record")</f>
        <v>HathiTrust Record</v>
      </c>
      <c r="AV4243" s="6" t="str">
        <f>HYPERLINK("http://mcgill.on.worldcat.org/oclc/56791769","Catalog Record")</f>
        <v>Catalog Record</v>
      </c>
      <c r="AW4243" s="6" t="str">
        <f>HYPERLINK("http://www.worldcat.org/oclc/56791769","WorldCat Record")</f>
        <v>WorldCat Record</v>
      </c>
      <c r="AX4243" s="3" t="s">
        <v>40747</v>
      </c>
      <c r="AY4243" s="3" t="s">
        <v>40748</v>
      </c>
      <c r="AZ4243" s="3" t="s">
        <v>40749</v>
      </c>
      <c r="BA4243" s="3" t="s">
        <v>40749</v>
      </c>
      <c r="BB4243" s="3" t="s">
        <v>40753</v>
      </c>
      <c r="BC4243" s="3" t="s">
        <v>102</v>
      </c>
      <c r="BD4243" s="3" t="s">
        <v>68</v>
      </c>
      <c r="BE4243" s="3" t="s">
        <v>40751</v>
      </c>
      <c r="BF4243" s="3" t="s">
        <v>40753</v>
      </c>
      <c r="BG4243" s="3" t="s">
        <v>40754</v>
      </c>
    </row>
    <row r="4244" spans="1:59" ht="58" x14ac:dyDescent="0.35">
      <c r="A4244" s="2" t="s">
        <v>89</v>
      </c>
      <c r="B4244" s="2" t="s">
        <v>90</v>
      </c>
      <c r="C4244" s="2" t="s">
        <v>40743</v>
      </c>
      <c r="D4244" s="2" t="s">
        <v>40744</v>
      </c>
      <c r="E4244" s="2" t="s">
        <v>40745</v>
      </c>
      <c r="F4244" s="3" t="s">
        <v>1770</v>
      </c>
      <c r="G4244" s="3" t="s">
        <v>61</v>
      </c>
      <c r="I4244" s="3" t="s">
        <v>62</v>
      </c>
      <c r="J4244" s="3" t="s">
        <v>62</v>
      </c>
      <c r="K4244" s="3" t="s">
        <v>63</v>
      </c>
      <c r="L4244" s="2" t="s">
        <v>33424</v>
      </c>
      <c r="M4244" s="2" t="s">
        <v>40746</v>
      </c>
      <c r="N4244" s="3" t="s">
        <v>625</v>
      </c>
      <c r="P4244" s="3" t="s">
        <v>85</v>
      </c>
      <c r="Q4244" s="2" t="s">
        <v>25863</v>
      </c>
      <c r="R4244" s="3" t="s">
        <v>40557</v>
      </c>
      <c r="S4244" s="4">
        <v>2</v>
      </c>
      <c r="T4244" s="4">
        <v>6</v>
      </c>
      <c r="U4244" s="5" t="s">
        <v>4583</v>
      </c>
      <c r="V4244" s="5" t="s">
        <v>4583</v>
      </c>
      <c r="W4244" s="5" t="s">
        <v>67</v>
      </c>
      <c r="X4244" s="5" t="s">
        <v>67</v>
      </c>
      <c r="Y4244" s="4">
        <v>16</v>
      </c>
      <c r="Z4244" s="4">
        <v>2</v>
      </c>
      <c r="AA4244" s="4">
        <v>12</v>
      </c>
      <c r="AB4244" s="4">
        <v>1</v>
      </c>
      <c r="AC4244" s="4">
        <v>1</v>
      </c>
      <c r="AD4244" s="4">
        <v>10</v>
      </c>
      <c r="AE4244" s="4">
        <v>67</v>
      </c>
      <c r="AF4244" s="4">
        <v>0</v>
      </c>
      <c r="AG4244" s="4">
        <v>0</v>
      </c>
      <c r="AH4244" s="4">
        <v>9</v>
      </c>
      <c r="AI4244" s="4">
        <v>60</v>
      </c>
      <c r="AJ4244" s="4">
        <v>1</v>
      </c>
      <c r="AK4244" s="4">
        <v>10</v>
      </c>
      <c r="AL4244" s="4">
        <v>6</v>
      </c>
      <c r="AM4244" s="4">
        <v>40</v>
      </c>
      <c r="AN4244" s="4">
        <v>0</v>
      </c>
      <c r="AO4244" s="4">
        <v>0</v>
      </c>
      <c r="AP4244" s="4">
        <v>1</v>
      </c>
      <c r="AQ4244" s="4">
        <v>11</v>
      </c>
      <c r="AR4244" s="3" t="s">
        <v>62</v>
      </c>
      <c r="AS4244" s="3" t="s">
        <v>62</v>
      </c>
      <c r="AT4244" s="3" t="s">
        <v>61</v>
      </c>
      <c r="AU4244" s="6" t="str">
        <f>HYPERLINK("http://catalog.hathitrust.org/Record/004765447","HathiTrust Record")</f>
        <v>HathiTrust Record</v>
      </c>
      <c r="AV4244" s="6" t="str">
        <f>HYPERLINK("http://mcgill.on.worldcat.org/oclc/56791769","Catalog Record")</f>
        <v>Catalog Record</v>
      </c>
      <c r="AW4244" s="6" t="str">
        <f>HYPERLINK("http://www.worldcat.org/oclc/56791769","WorldCat Record")</f>
        <v>WorldCat Record</v>
      </c>
      <c r="AX4244" s="3" t="s">
        <v>40747</v>
      </c>
      <c r="AY4244" s="3" t="s">
        <v>40748</v>
      </c>
      <c r="AZ4244" s="3" t="s">
        <v>40749</v>
      </c>
      <c r="BA4244" s="3" t="s">
        <v>40749</v>
      </c>
      <c r="BB4244" s="3" t="s">
        <v>40755</v>
      </c>
      <c r="BC4244" s="3" t="s">
        <v>102</v>
      </c>
      <c r="BD4244" s="3" t="s">
        <v>68</v>
      </c>
      <c r="BE4244" s="3" t="s">
        <v>40751</v>
      </c>
      <c r="BF4244" s="3" t="s">
        <v>40755</v>
      </c>
      <c r="BG4244" s="3" t="s">
        <v>40756</v>
      </c>
    </row>
    <row r="4245" spans="1:59" ht="58" x14ac:dyDescent="0.35">
      <c r="A4245" s="2" t="s">
        <v>89</v>
      </c>
      <c r="B4245" s="2" t="s">
        <v>90</v>
      </c>
      <c r="C4245" s="2" t="s">
        <v>40743</v>
      </c>
      <c r="D4245" s="2" t="s">
        <v>40744</v>
      </c>
      <c r="E4245" s="2" t="s">
        <v>40745</v>
      </c>
      <c r="F4245" s="3" t="s">
        <v>1798</v>
      </c>
      <c r="G4245" s="3" t="s">
        <v>61</v>
      </c>
      <c r="I4245" s="3" t="s">
        <v>62</v>
      </c>
      <c r="J4245" s="3" t="s">
        <v>62</v>
      </c>
      <c r="K4245" s="3" t="s">
        <v>63</v>
      </c>
      <c r="L4245" s="2" t="s">
        <v>33424</v>
      </c>
      <c r="M4245" s="2" t="s">
        <v>40746</v>
      </c>
      <c r="N4245" s="3" t="s">
        <v>625</v>
      </c>
      <c r="P4245" s="3" t="s">
        <v>85</v>
      </c>
      <c r="Q4245" s="2" t="s">
        <v>25863</v>
      </c>
      <c r="R4245" s="3" t="s">
        <v>40557</v>
      </c>
      <c r="S4245" s="4">
        <v>1</v>
      </c>
      <c r="T4245" s="4">
        <v>6</v>
      </c>
      <c r="U4245" s="5" t="s">
        <v>4583</v>
      </c>
      <c r="V4245" s="5" t="s">
        <v>4583</v>
      </c>
      <c r="W4245" s="5" t="s">
        <v>67</v>
      </c>
      <c r="X4245" s="5" t="s">
        <v>67</v>
      </c>
      <c r="Y4245" s="4">
        <v>16</v>
      </c>
      <c r="Z4245" s="4">
        <v>2</v>
      </c>
      <c r="AA4245" s="4">
        <v>12</v>
      </c>
      <c r="AB4245" s="4">
        <v>1</v>
      </c>
      <c r="AC4245" s="4">
        <v>1</v>
      </c>
      <c r="AD4245" s="4">
        <v>10</v>
      </c>
      <c r="AE4245" s="4">
        <v>67</v>
      </c>
      <c r="AF4245" s="4">
        <v>0</v>
      </c>
      <c r="AG4245" s="4">
        <v>0</v>
      </c>
      <c r="AH4245" s="4">
        <v>9</v>
      </c>
      <c r="AI4245" s="4">
        <v>60</v>
      </c>
      <c r="AJ4245" s="4">
        <v>1</v>
      </c>
      <c r="AK4245" s="4">
        <v>10</v>
      </c>
      <c r="AL4245" s="4">
        <v>6</v>
      </c>
      <c r="AM4245" s="4">
        <v>40</v>
      </c>
      <c r="AN4245" s="4">
        <v>0</v>
      </c>
      <c r="AO4245" s="4">
        <v>0</v>
      </c>
      <c r="AP4245" s="4">
        <v>1</v>
      </c>
      <c r="AQ4245" s="4">
        <v>11</v>
      </c>
      <c r="AR4245" s="3" t="s">
        <v>62</v>
      </c>
      <c r="AS4245" s="3" t="s">
        <v>62</v>
      </c>
      <c r="AT4245" s="3" t="s">
        <v>61</v>
      </c>
      <c r="AU4245" s="6" t="str">
        <f>HYPERLINK("http://catalog.hathitrust.org/Record/004765447","HathiTrust Record")</f>
        <v>HathiTrust Record</v>
      </c>
      <c r="AV4245" s="6" t="str">
        <f>HYPERLINK("http://mcgill.on.worldcat.org/oclc/56791769","Catalog Record")</f>
        <v>Catalog Record</v>
      </c>
      <c r="AW4245" s="6" t="str">
        <f>HYPERLINK("http://www.worldcat.org/oclc/56791769","WorldCat Record")</f>
        <v>WorldCat Record</v>
      </c>
      <c r="AX4245" s="3" t="s">
        <v>40747</v>
      </c>
      <c r="AY4245" s="3" t="s">
        <v>40748</v>
      </c>
      <c r="AZ4245" s="3" t="s">
        <v>40749</v>
      </c>
      <c r="BA4245" s="3" t="s">
        <v>40749</v>
      </c>
      <c r="BB4245" s="3" t="s">
        <v>40757</v>
      </c>
      <c r="BC4245" s="3" t="s">
        <v>102</v>
      </c>
      <c r="BD4245" s="3" t="s">
        <v>68</v>
      </c>
      <c r="BE4245" s="3" t="s">
        <v>40751</v>
      </c>
      <c r="BF4245" s="3" t="s">
        <v>40757</v>
      </c>
      <c r="BG4245" s="3" t="s">
        <v>40758</v>
      </c>
    </row>
    <row r="4246" spans="1:59" ht="58" x14ac:dyDescent="0.35">
      <c r="A4246" s="2" t="s">
        <v>89</v>
      </c>
      <c r="B4246" s="2" t="s">
        <v>90</v>
      </c>
      <c r="C4246" s="2" t="s">
        <v>40743</v>
      </c>
      <c r="D4246" s="2" t="s">
        <v>40744</v>
      </c>
      <c r="E4246" s="2" t="s">
        <v>40745</v>
      </c>
      <c r="F4246" s="3" t="s">
        <v>1801</v>
      </c>
      <c r="G4246" s="3" t="s">
        <v>61</v>
      </c>
      <c r="I4246" s="3" t="s">
        <v>62</v>
      </c>
      <c r="J4246" s="3" t="s">
        <v>62</v>
      </c>
      <c r="K4246" s="3" t="s">
        <v>63</v>
      </c>
      <c r="L4246" s="2" t="s">
        <v>33424</v>
      </c>
      <c r="M4246" s="2" t="s">
        <v>40746</v>
      </c>
      <c r="N4246" s="3" t="s">
        <v>625</v>
      </c>
      <c r="P4246" s="3" t="s">
        <v>85</v>
      </c>
      <c r="Q4246" s="2" t="s">
        <v>25863</v>
      </c>
      <c r="R4246" s="3" t="s">
        <v>40557</v>
      </c>
      <c r="S4246" s="4">
        <v>1</v>
      </c>
      <c r="T4246" s="4">
        <v>6</v>
      </c>
      <c r="U4246" s="5" t="s">
        <v>4583</v>
      </c>
      <c r="V4246" s="5" t="s">
        <v>4583</v>
      </c>
      <c r="W4246" s="5" t="s">
        <v>67</v>
      </c>
      <c r="X4246" s="5" t="s">
        <v>67</v>
      </c>
      <c r="Y4246" s="4">
        <v>16</v>
      </c>
      <c r="Z4246" s="4">
        <v>2</v>
      </c>
      <c r="AA4246" s="4">
        <v>12</v>
      </c>
      <c r="AB4246" s="4">
        <v>1</v>
      </c>
      <c r="AC4246" s="4">
        <v>1</v>
      </c>
      <c r="AD4246" s="4">
        <v>10</v>
      </c>
      <c r="AE4246" s="4">
        <v>67</v>
      </c>
      <c r="AF4246" s="4">
        <v>0</v>
      </c>
      <c r="AG4246" s="4">
        <v>0</v>
      </c>
      <c r="AH4246" s="4">
        <v>9</v>
      </c>
      <c r="AI4246" s="4">
        <v>60</v>
      </c>
      <c r="AJ4246" s="4">
        <v>1</v>
      </c>
      <c r="AK4246" s="4">
        <v>10</v>
      </c>
      <c r="AL4246" s="4">
        <v>6</v>
      </c>
      <c r="AM4246" s="4">
        <v>40</v>
      </c>
      <c r="AN4246" s="4">
        <v>0</v>
      </c>
      <c r="AO4246" s="4">
        <v>0</v>
      </c>
      <c r="AP4246" s="4">
        <v>1</v>
      </c>
      <c r="AQ4246" s="4">
        <v>11</v>
      </c>
      <c r="AR4246" s="3" t="s">
        <v>62</v>
      </c>
      <c r="AS4246" s="3" t="s">
        <v>62</v>
      </c>
      <c r="AT4246" s="3" t="s">
        <v>61</v>
      </c>
      <c r="AU4246" s="6" t="str">
        <f>HYPERLINK("http://catalog.hathitrust.org/Record/004765447","HathiTrust Record")</f>
        <v>HathiTrust Record</v>
      </c>
      <c r="AV4246" s="6" t="str">
        <f>HYPERLINK("http://mcgill.on.worldcat.org/oclc/56791769","Catalog Record")</f>
        <v>Catalog Record</v>
      </c>
      <c r="AW4246" s="6" t="str">
        <f>HYPERLINK("http://www.worldcat.org/oclc/56791769","WorldCat Record")</f>
        <v>WorldCat Record</v>
      </c>
      <c r="AX4246" s="3" t="s">
        <v>40747</v>
      </c>
      <c r="AY4246" s="3" t="s">
        <v>40748</v>
      </c>
      <c r="AZ4246" s="3" t="s">
        <v>40749</v>
      </c>
      <c r="BA4246" s="3" t="s">
        <v>40749</v>
      </c>
      <c r="BB4246" s="3" t="s">
        <v>40759</v>
      </c>
      <c r="BC4246" s="3" t="s">
        <v>102</v>
      </c>
      <c r="BD4246" s="3" t="s">
        <v>68</v>
      </c>
      <c r="BE4246" s="3" t="s">
        <v>40751</v>
      </c>
      <c r="BF4246" s="3" t="s">
        <v>40759</v>
      </c>
      <c r="BG4246" s="3" t="s">
        <v>40760</v>
      </c>
    </row>
    <row r="4247" spans="1:59" ht="58" x14ac:dyDescent="0.35">
      <c r="A4247" s="2" t="s">
        <v>59</v>
      </c>
      <c r="B4247" s="2" t="s">
        <v>60</v>
      </c>
      <c r="C4247" s="2" t="s">
        <v>40761</v>
      </c>
      <c r="D4247" s="2" t="s">
        <v>40762</v>
      </c>
      <c r="E4247" s="2" t="s">
        <v>40763</v>
      </c>
      <c r="G4247" s="3" t="s">
        <v>62</v>
      </c>
      <c r="I4247" s="3" t="s">
        <v>61</v>
      </c>
      <c r="J4247" s="3" t="s">
        <v>62</v>
      </c>
      <c r="K4247" s="3" t="s">
        <v>63</v>
      </c>
      <c r="L4247" s="2" t="s">
        <v>40764</v>
      </c>
      <c r="M4247" s="2" t="s">
        <v>40765</v>
      </c>
      <c r="N4247" s="3" t="s">
        <v>596</v>
      </c>
      <c r="P4247" s="3" t="s">
        <v>64</v>
      </c>
      <c r="R4247" s="3" t="s">
        <v>40557</v>
      </c>
      <c r="S4247" s="4">
        <v>4</v>
      </c>
      <c r="T4247" s="4">
        <v>6</v>
      </c>
      <c r="U4247" s="5" t="s">
        <v>1593</v>
      </c>
      <c r="V4247" s="5" t="s">
        <v>1593</v>
      </c>
      <c r="W4247" s="5" t="s">
        <v>67</v>
      </c>
      <c r="X4247" s="5" t="s">
        <v>67</v>
      </c>
      <c r="Y4247" s="4">
        <v>365</v>
      </c>
      <c r="Z4247" s="4">
        <v>18</v>
      </c>
      <c r="AA4247" s="4">
        <v>18</v>
      </c>
      <c r="AB4247" s="4">
        <v>2</v>
      </c>
      <c r="AC4247" s="4">
        <v>2</v>
      </c>
      <c r="AD4247" s="4">
        <v>74</v>
      </c>
      <c r="AE4247" s="4">
        <v>74</v>
      </c>
      <c r="AF4247" s="4">
        <v>0</v>
      </c>
      <c r="AG4247" s="4">
        <v>0</v>
      </c>
      <c r="AH4247" s="4">
        <v>66</v>
      </c>
      <c r="AI4247" s="4">
        <v>66</v>
      </c>
      <c r="AJ4247" s="4">
        <v>8</v>
      </c>
      <c r="AK4247" s="4">
        <v>8</v>
      </c>
      <c r="AL4247" s="4">
        <v>35</v>
      </c>
      <c r="AM4247" s="4">
        <v>35</v>
      </c>
      <c r="AN4247" s="4">
        <v>0</v>
      </c>
      <c r="AO4247" s="4">
        <v>0</v>
      </c>
      <c r="AP4247" s="4">
        <v>11</v>
      </c>
      <c r="AQ4247" s="4">
        <v>11</v>
      </c>
      <c r="AR4247" s="3" t="s">
        <v>62</v>
      </c>
      <c r="AS4247" s="3" t="s">
        <v>62</v>
      </c>
      <c r="AT4247" s="3" t="s">
        <v>62</v>
      </c>
      <c r="AV4247" s="6" t="str">
        <f>HYPERLINK("http://mcgill.on.worldcat.org/oclc/48817346","Catalog Record")</f>
        <v>Catalog Record</v>
      </c>
      <c r="AW4247" s="6" t="str">
        <f>HYPERLINK("http://www.worldcat.org/oclc/48817346","WorldCat Record")</f>
        <v>WorldCat Record</v>
      </c>
      <c r="AX4247" s="3" t="s">
        <v>40766</v>
      </c>
      <c r="AY4247" s="3" t="s">
        <v>40767</v>
      </c>
      <c r="AZ4247" s="3" t="s">
        <v>40768</v>
      </c>
      <c r="BA4247" s="3" t="s">
        <v>40768</v>
      </c>
      <c r="BB4247" s="3" t="s">
        <v>40769</v>
      </c>
      <c r="BC4247" s="3" t="s">
        <v>102</v>
      </c>
      <c r="BD4247" s="3" t="s">
        <v>6923</v>
      </c>
      <c r="BE4247" s="3" t="s">
        <v>40770</v>
      </c>
      <c r="BF4247" s="3" t="s">
        <v>40769</v>
      </c>
      <c r="BG4247" s="3" t="s">
        <v>40771</v>
      </c>
    </row>
    <row r="4248" spans="1:59" ht="72.5" x14ac:dyDescent="0.35">
      <c r="A4248" s="2" t="s">
        <v>89</v>
      </c>
      <c r="B4248" s="2" t="s">
        <v>90</v>
      </c>
      <c r="C4248" s="2" t="s">
        <v>40772</v>
      </c>
      <c r="D4248" s="2" t="s">
        <v>40773</v>
      </c>
      <c r="E4248" s="2" t="s">
        <v>40774</v>
      </c>
      <c r="G4248" s="3" t="s">
        <v>62</v>
      </c>
      <c r="I4248" s="3" t="s">
        <v>62</v>
      </c>
      <c r="J4248" s="3" t="s">
        <v>62</v>
      </c>
      <c r="K4248" s="3" t="s">
        <v>63</v>
      </c>
      <c r="M4248" s="2" t="s">
        <v>40775</v>
      </c>
      <c r="N4248" s="3" t="s">
        <v>625</v>
      </c>
      <c r="P4248" s="3" t="s">
        <v>64</v>
      </c>
      <c r="R4248" s="3" t="s">
        <v>40557</v>
      </c>
      <c r="S4248" s="4">
        <v>20</v>
      </c>
      <c r="T4248" s="4">
        <v>20</v>
      </c>
      <c r="U4248" s="5" t="s">
        <v>16404</v>
      </c>
      <c r="V4248" s="5" t="s">
        <v>16404</v>
      </c>
      <c r="W4248" s="5" t="s">
        <v>67</v>
      </c>
      <c r="X4248" s="5" t="s">
        <v>67</v>
      </c>
      <c r="Y4248" s="4">
        <v>34</v>
      </c>
      <c r="Z4248" s="4">
        <v>7</v>
      </c>
      <c r="AA4248" s="4">
        <v>29</v>
      </c>
      <c r="AB4248" s="4">
        <v>1</v>
      </c>
      <c r="AC4248" s="4">
        <v>3</v>
      </c>
      <c r="AD4248" s="4">
        <v>13</v>
      </c>
      <c r="AE4248" s="4">
        <v>93</v>
      </c>
      <c r="AF4248" s="4">
        <v>0</v>
      </c>
      <c r="AG4248" s="4">
        <v>2</v>
      </c>
      <c r="AH4248" s="4">
        <v>10</v>
      </c>
      <c r="AI4248" s="4">
        <v>78</v>
      </c>
      <c r="AJ4248" s="4">
        <v>5</v>
      </c>
      <c r="AK4248" s="4">
        <v>20</v>
      </c>
      <c r="AL4248" s="4">
        <v>3</v>
      </c>
      <c r="AM4248" s="4">
        <v>42</v>
      </c>
      <c r="AN4248" s="4">
        <v>0</v>
      </c>
      <c r="AO4248" s="4">
        <v>0</v>
      </c>
      <c r="AP4248" s="4">
        <v>6</v>
      </c>
      <c r="AQ4248" s="4">
        <v>24</v>
      </c>
      <c r="AR4248" s="3" t="s">
        <v>62</v>
      </c>
      <c r="AS4248" s="3" t="s">
        <v>62</v>
      </c>
      <c r="AT4248" s="3" t="s">
        <v>61</v>
      </c>
      <c r="AU4248" s="6" t="str">
        <f>HYPERLINK("http://catalog.hathitrust.org/Record/004288496","HathiTrust Record")</f>
        <v>HathiTrust Record</v>
      </c>
      <c r="AV4248" s="6" t="str">
        <f>HYPERLINK("http://mcgill.on.worldcat.org/oclc/123124324","Catalog Record")</f>
        <v>Catalog Record</v>
      </c>
      <c r="AW4248" s="6" t="str">
        <f>HYPERLINK("http://www.worldcat.org/oclc/123124324","WorldCat Record")</f>
        <v>WorldCat Record</v>
      </c>
      <c r="AX4248" s="3" t="s">
        <v>40776</v>
      </c>
      <c r="AY4248" s="3" t="s">
        <v>40777</v>
      </c>
      <c r="AZ4248" s="3" t="s">
        <v>40778</v>
      </c>
      <c r="BA4248" s="3" t="s">
        <v>40778</v>
      </c>
      <c r="BB4248" s="3" t="s">
        <v>40779</v>
      </c>
      <c r="BC4248" s="3" t="s">
        <v>102</v>
      </c>
      <c r="BD4248" s="3" t="s">
        <v>68</v>
      </c>
      <c r="BE4248" s="3" t="s">
        <v>40780</v>
      </c>
      <c r="BF4248" s="3" t="s">
        <v>40779</v>
      </c>
      <c r="BG4248" s="3" t="s">
        <v>40781</v>
      </c>
    </row>
    <row r="4249" spans="1:59" ht="58" x14ac:dyDescent="0.35">
      <c r="A4249" s="2" t="s">
        <v>59</v>
      </c>
      <c r="B4249" s="2" t="s">
        <v>60</v>
      </c>
      <c r="C4249" s="2" t="s">
        <v>40782</v>
      </c>
      <c r="D4249" s="2" t="s">
        <v>40783</v>
      </c>
      <c r="E4249" s="2" t="s">
        <v>40784</v>
      </c>
      <c r="G4249" s="3" t="s">
        <v>62</v>
      </c>
      <c r="I4249" s="3" t="s">
        <v>61</v>
      </c>
      <c r="J4249" s="3" t="s">
        <v>61</v>
      </c>
      <c r="K4249" s="3" t="s">
        <v>63</v>
      </c>
      <c r="L4249" s="2" t="s">
        <v>40785</v>
      </c>
      <c r="M4249" s="2" t="s">
        <v>40786</v>
      </c>
      <c r="N4249" s="3" t="s">
        <v>2305</v>
      </c>
      <c r="P4249" s="3" t="s">
        <v>64</v>
      </c>
      <c r="R4249" s="3" t="s">
        <v>40557</v>
      </c>
      <c r="S4249" s="4">
        <v>0</v>
      </c>
      <c r="T4249" s="4">
        <v>10</v>
      </c>
      <c r="V4249" s="5" t="s">
        <v>13723</v>
      </c>
      <c r="W4249" s="5" t="s">
        <v>67</v>
      </c>
      <c r="X4249" s="5" t="s">
        <v>67</v>
      </c>
      <c r="Y4249" s="4">
        <v>284</v>
      </c>
      <c r="Z4249" s="4">
        <v>10</v>
      </c>
      <c r="AA4249" s="4">
        <v>32</v>
      </c>
      <c r="AB4249" s="4">
        <v>1</v>
      </c>
      <c r="AC4249" s="4">
        <v>6</v>
      </c>
      <c r="AD4249" s="4">
        <v>56</v>
      </c>
      <c r="AE4249" s="4">
        <v>88</v>
      </c>
      <c r="AF4249" s="4">
        <v>0</v>
      </c>
      <c r="AG4249" s="4">
        <v>4</v>
      </c>
      <c r="AH4249" s="4">
        <v>52</v>
      </c>
      <c r="AI4249" s="4">
        <v>74</v>
      </c>
      <c r="AJ4249" s="4">
        <v>4</v>
      </c>
      <c r="AK4249" s="4">
        <v>18</v>
      </c>
      <c r="AL4249" s="4">
        <v>27</v>
      </c>
      <c r="AM4249" s="4">
        <v>36</v>
      </c>
      <c r="AN4249" s="4">
        <v>0</v>
      </c>
      <c r="AO4249" s="4">
        <v>0</v>
      </c>
      <c r="AP4249" s="4">
        <v>6</v>
      </c>
      <c r="AQ4249" s="4">
        <v>23</v>
      </c>
      <c r="AR4249" s="3" t="s">
        <v>62</v>
      </c>
      <c r="AS4249" s="3" t="s">
        <v>62</v>
      </c>
      <c r="AT4249" s="3" t="s">
        <v>62</v>
      </c>
      <c r="AV4249" s="6" t="str">
        <f>HYPERLINK("http://mcgill.on.worldcat.org/oclc/421739","Catalog Record")</f>
        <v>Catalog Record</v>
      </c>
      <c r="AW4249" s="6" t="str">
        <f>HYPERLINK("http://www.worldcat.org/oclc/421739","WorldCat Record")</f>
        <v>WorldCat Record</v>
      </c>
      <c r="AX4249" s="3" t="s">
        <v>40787</v>
      </c>
      <c r="AY4249" s="3" t="s">
        <v>40788</v>
      </c>
      <c r="AZ4249" s="3" t="s">
        <v>40789</v>
      </c>
      <c r="BA4249" s="3" t="s">
        <v>40789</v>
      </c>
      <c r="BB4249" s="3" t="s">
        <v>40790</v>
      </c>
      <c r="BC4249" s="3" t="s">
        <v>102</v>
      </c>
      <c r="BD4249" s="3" t="s">
        <v>68</v>
      </c>
      <c r="BF4249" s="3" t="s">
        <v>40790</v>
      </c>
      <c r="BG4249" s="3" t="s">
        <v>40791</v>
      </c>
    </row>
    <row r="4250" spans="1:59" ht="58" x14ac:dyDescent="0.35">
      <c r="A4250" s="2" t="s">
        <v>59</v>
      </c>
      <c r="B4250" s="2" t="s">
        <v>60</v>
      </c>
      <c r="C4250" s="2" t="s">
        <v>40792</v>
      </c>
      <c r="D4250" s="2" t="s">
        <v>40793</v>
      </c>
      <c r="E4250" s="2" t="s">
        <v>40794</v>
      </c>
      <c r="G4250" s="3" t="s">
        <v>62</v>
      </c>
      <c r="I4250" s="3" t="s">
        <v>62</v>
      </c>
      <c r="J4250" s="3" t="s">
        <v>62</v>
      </c>
      <c r="K4250" s="3" t="s">
        <v>63</v>
      </c>
      <c r="L4250" s="2" t="s">
        <v>40795</v>
      </c>
      <c r="M4250" s="2" t="s">
        <v>40796</v>
      </c>
      <c r="N4250" s="3" t="s">
        <v>568</v>
      </c>
      <c r="P4250" s="3" t="s">
        <v>64</v>
      </c>
      <c r="R4250" s="3" t="s">
        <v>40557</v>
      </c>
      <c r="S4250" s="4">
        <v>6</v>
      </c>
      <c r="T4250" s="4">
        <v>6</v>
      </c>
      <c r="U4250" s="5" t="s">
        <v>8638</v>
      </c>
      <c r="V4250" s="5" t="s">
        <v>8638</v>
      </c>
      <c r="W4250" s="5" t="s">
        <v>67</v>
      </c>
      <c r="X4250" s="5" t="s">
        <v>67</v>
      </c>
      <c r="Y4250" s="4">
        <v>228</v>
      </c>
      <c r="Z4250" s="4">
        <v>15</v>
      </c>
      <c r="AA4250" s="4">
        <v>20</v>
      </c>
      <c r="AB4250" s="4">
        <v>2</v>
      </c>
      <c r="AC4250" s="4">
        <v>5</v>
      </c>
      <c r="AD4250" s="4">
        <v>45</v>
      </c>
      <c r="AE4250" s="4">
        <v>49</v>
      </c>
      <c r="AF4250" s="4">
        <v>1</v>
      </c>
      <c r="AG4250" s="4">
        <v>2</v>
      </c>
      <c r="AH4250" s="4">
        <v>38</v>
      </c>
      <c r="AI4250" s="4">
        <v>39</v>
      </c>
      <c r="AJ4250" s="4">
        <v>9</v>
      </c>
      <c r="AK4250" s="4">
        <v>11</v>
      </c>
      <c r="AL4250" s="4">
        <v>17</v>
      </c>
      <c r="AM4250" s="4">
        <v>18</v>
      </c>
      <c r="AN4250" s="4">
        <v>0</v>
      </c>
      <c r="AO4250" s="4">
        <v>0</v>
      </c>
      <c r="AP4250" s="4">
        <v>11</v>
      </c>
      <c r="AQ4250" s="4">
        <v>13</v>
      </c>
      <c r="AR4250" s="3" t="s">
        <v>62</v>
      </c>
      <c r="AS4250" s="3" t="s">
        <v>62</v>
      </c>
      <c r="AT4250" s="3" t="s">
        <v>62</v>
      </c>
      <c r="AV4250" s="6" t="str">
        <f>HYPERLINK("http://mcgill.on.worldcat.org/oclc/43526756","Catalog Record")</f>
        <v>Catalog Record</v>
      </c>
      <c r="AW4250" s="6" t="str">
        <f>HYPERLINK("http://www.worldcat.org/oclc/43526756","WorldCat Record")</f>
        <v>WorldCat Record</v>
      </c>
      <c r="AX4250" s="3" t="s">
        <v>40797</v>
      </c>
      <c r="AY4250" s="3" t="s">
        <v>40798</v>
      </c>
      <c r="AZ4250" s="3" t="s">
        <v>40799</v>
      </c>
      <c r="BA4250" s="3" t="s">
        <v>40799</v>
      </c>
      <c r="BB4250" s="3" t="s">
        <v>40800</v>
      </c>
      <c r="BC4250" s="3" t="s">
        <v>102</v>
      </c>
      <c r="BD4250" s="3" t="s">
        <v>68</v>
      </c>
      <c r="BE4250" s="3" t="s">
        <v>40801</v>
      </c>
      <c r="BF4250" s="3" t="s">
        <v>40800</v>
      </c>
      <c r="BG4250" s="3" t="s">
        <v>40802</v>
      </c>
    </row>
    <row r="4251" spans="1:59" ht="58" x14ac:dyDescent="0.35">
      <c r="A4251" s="2" t="s">
        <v>59</v>
      </c>
      <c r="B4251" s="2" t="s">
        <v>60</v>
      </c>
      <c r="C4251" s="2" t="s">
        <v>40803</v>
      </c>
      <c r="D4251" s="2" t="s">
        <v>40804</v>
      </c>
      <c r="E4251" s="2" t="s">
        <v>40805</v>
      </c>
      <c r="G4251" s="3" t="s">
        <v>62</v>
      </c>
      <c r="I4251" s="3" t="s">
        <v>61</v>
      </c>
      <c r="J4251" s="3" t="s">
        <v>61</v>
      </c>
      <c r="K4251" s="3" t="s">
        <v>63</v>
      </c>
      <c r="L4251" s="2" t="s">
        <v>40806</v>
      </c>
      <c r="M4251" s="2" t="s">
        <v>40807</v>
      </c>
      <c r="N4251" s="3" t="s">
        <v>1482</v>
      </c>
      <c r="O4251" s="2" t="s">
        <v>10722</v>
      </c>
      <c r="P4251" s="3" t="s">
        <v>64</v>
      </c>
      <c r="R4251" s="3" t="s">
        <v>40557</v>
      </c>
      <c r="S4251" s="4">
        <v>0</v>
      </c>
      <c r="T4251" s="4">
        <v>81</v>
      </c>
      <c r="V4251" s="5" t="s">
        <v>13723</v>
      </c>
      <c r="W4251" s="5" t="s">
        <v>67</v>
      </c>
      <c r="X4251" s="5" t="s">
        <v>67</v>
      </c>
      <c r="Y4251" s="4">
        <v>395</v>
      </c>
      <c r="Z4251" s="4">
        <v>29</v>
      </c>
      <c r="AA4251" s="4">
        <v>105</v>
      </c>
      <c r="AB4251" s="4">
        <v>1</v>
      </c>
      <c r="AC4251" s="4">
        <v>13</v>
      </c>
      <c r="AD4251" s="4">
        <v>72</v>
      </c>
      <c r="AE4251" s="4">
        <v>154</v>
      </c>
      <c r="AF4251" s="4">
        <v>0</v>
      </c>
      <c r="AG4251" s="4">
        <v>7</v>
      </c>
      <c r="AH4251" s="4">
        <v>62</v>
      </c>
      <c r="AI4251" s="4">
        <v>110</v>
      </c>
      <c r="AJ4251" s="4">
        <v>14</v>
      </c>
      <c r="AK4251" s="4">
        <v>29</v>
      </c>
      <c r="AL4251" s="4">
        <v>32</v>
      </c>
      <c r="AM4251" s="4">
        <v>55</v>
      </c>
      <c r="AN4251" s="4">
        <v>0</v>
      </c>
      <c r="AO4251" s="4">
        <v>0</v>
      </c>
      <c r="AP4251" s="4">
        <v>18</v>
      </c>
      <c r="AQ4251" s="4">
        <v>51</v>
      </c>
      <c r="AR4251" s="3" t="s">
        <v>62</v>
      </c>
      <c r="AS4251" s="3" t="s">
        <v>62</v>
      </c>
      <c r="AT4251" s="3" t="s">
        <v>62</v>
      </c>
      <c r="AV4251" s="6" t="str">
        <f>HYPERLINK("http://mcgill.on.worldcat.org/oclc/13720852","Catalog Record")</f>
        <v>Catalog Record</v>
      </c>
      <c r="AW4251" s="6" t="str">
        <f>HYPERLINK("http://www.worldcat.org/oclc/13720852","WorldCat Record")</f>
        <v>WorldCat Record</v>
      </c>
      <c r="AX4251" s="3" t="s">
        <v>40808</v>
      </c>
      <c r="AY4251" s="3" t="s">
        <v>40809</v>
      </c>
      <c r="AZ4251" s="3" t="s">
        <v>40810</v>
      </c>
      <c r="BA4251" s="3" t="s">
        <v>40810</v>
      </c>
      <c r="BB4251" s="3" t="s">
        <v>40811</v>
      </c>
      <c r="BC4251" s="3" t="s">
        <v>102</v>
      </c>
      <c r="BD4251" s="3" t="s">
        <v>68</v>
      </c>
      <c r="BE4251" s="3" t="s">
        <v>40812</v>
      </c>
      <c r="BF4251" s="3" t="s">
        <v>40811</v>
      </c>
      <c r="BG4251" s="3" t="s">
        <v>40813</v>
      </c>
    </row>
    <row r="4252" spans="1:59" ht="58" x14ac:dyDescent="0.35">
      <c r="A4252" s="2" t="s">
        <v>89</v>
      </c>
      <c r="B4252" s="2" t="s">
        <v>90</v>
      </c>
      <c r="C4252" s="2" t="s">
        <v>40814</v>
      </c>
      <c r="D4252" s="2" t="s">
        <v>40815</v>
      </c>
      <c r="E4252" s="2" t="s">
        <v>40816</v>
      </c>
      <c r="G4252" s="3" t="s">
        <v>62</v>
      </c>
      <c r="I4252" s="3" t="s">
        <v>62</v>
      </c>
      <c r="J4252" s="3" t="s">
        <v>62</v>
      </c>
      <c r="K4252" s="3" t="s">
        <v>63</v>
      </c>
      <c r="L4252" s="2" t="s">
        <v>40817</v>
      </c>
      <c r="M4252" s="2" t="s">
        <v>40818</v>
      </c>
      <c r="N4252" s="3" t="s">
        <v>129</v>
      </c>
      <c r="P4252" s="3" t="s">
        <v>64</v>
      </c>
      <c r="R4252" s="3" t="s">
        <v>40557</v>
      </c>
      <c r="S4252" s="4">
        <v>4</v>
      </c>
      <c r="T4252" s="4">
        <v>4</v>
      </c>
      <c r="U4252" s="5" t="s">
        <v>5980</v>
      </c>
      <c r="V4252" s="5" t="s">
        <v>5980</v>
      </c>
      <c r="W4252" s="5" t="s">
        <v>67</v>
      </c>
      <c r="X4252" s="5" t="s">
        <v>67</v>
      </c>
      <c r="Y4252" s="4">
        <v>197</v>
      </c>
      <c r="Z4252" s="4">
        <v>7</v>
      </c>
      <c r="AA4252" s="4">
        <v>11</v>
      </c>
      <c r="AB4252" s="4">
        <v>1</v>
      </c>
      <c r="AC4252" s="4">
        <v>4</v>
      </c>
      <c r="AD4252" s="4">
        <v>23</v>
      </c>
      <c r="AE4252" s="4">
        <v>30</v>
      </c>
      <c r="AF4252" s="4">
        <v>0</v>
      </c>
      <c r="AG4252" s="4">
        <v>1</v>
      </c>
      <c r="AH4252" s="4">
        <v>21</v>
      </c>
      <c r="AI4252" s="4">
        <v>28</v>
      </c>
      <c r="AJ4252" s="4">
        <v>0</v>
      </c>
      <c r="AK4252" s="4">
        <v>1</v>
      </c>
      <c r="AL4252" s="4">
        <v>15</v>
      </c>
      <c r="AM4252" s="4">
        <v>18</v>
      </c>
      <c r="AN4252" s="4">
        <v>0</v>
      </c>
      <c r="AO4252" s="4">
        <v>0</v>
      </c>
      <c r="AP4252" s="4">
        <v>1</v>
      </c>
      <c r="AQ4252" s="4">
        <v>2</v>
      </c>
      <c r="AR4252" s="3" t="s">
        <v>62</v>
      </c>
      <c r="AS4252" s="3" t="s">
        <v>62</v>
      </c>
      <c r="AT4252" s="3" t="s">
        <v>62</v>
      </c>
      <c r="AV4252" s="6" t="str">
        <f>HYPERLINK("http://mcgill.on.worldcat.org/oclc/841892474","Catalog Record")</f>
        <v>Catalog Record</v>
      </c>
      <c r="AW4252" s="6" t="str">
        <f>HYPERLINK("http://www.worldcat.org/oclc/841892474","WorldCat Record")</f>
        <v>WorldCat Record</v>
      </c>
      <c r="AX4252" s="3" t="s">
        <v>40819</v>
      </c>
      <c r="AY4252" s="3" t="s">
        <v>40820</v>
      </c>
      <c r="AZ4252" s="3" t="s">
        <v>40821</v>
      </c>
      <c r="BA4252" s="3" t="s">
        <v>40821</v>
      </c>
      <c r="BB4252" s="3" t="s">
        <v>40822</v>
      </c>
      <c r="BC4252" s="3" t="s">
        <v>102</v>
      </c>
      <c r="BD4252" s="3" t="s">
        <v>68</v>
      </c>
      <c r="BE4252" s="3" t="s">
        <v>40823</v>
      </c>
      <c r="BF4252" s="3" t="s">
        <v>40822</v>
      </c>
      <c r="BG4252" s="3" t="s">
        <v>40824</v>
      </c>
    </row>
    <row r="4253" spans="1:59" ht="58" x14ac:dyDescent="0.35">
      <c r="A4253" s="2" t="s">
        <v>59</v>
      </c>
      <c r="B4253" s="2" t="s">
        <v>60</v>
      </c>
      <c r="C4253" s="2" t="s">
        <v>40825</v>
      </c>
      <c r="D4253" s="2" t="s">
        <v>40826</v>
      </c>
      <c r="E4253" s="2" t="s">
        <v>40827</v>
      </c>
      <c r="G4253" s="3" t="s">
        <v>62</v>
      </c>
      <c r="I4253" s="3" t="s">
        <v>62</v>
      </c>
      <c r="J4253" s="3" t="s">
        <v>62</v>
      </c>
      <c r="K4253" s="3" t="s">
        <v>63</v>
      </c>
      <c r="M4253" s="2" t="s">
        <v>40828</v>
      </c>
      <c r="N4253" s="3" t="s">
        <v>553</v>
      </c>
      <c r="P4253" s="3" t="s">
        <v>85</v>
      </c>
      <c r="R4253" s="3" t="s">
        <v>40557</v>
      </c>
      <c r="S4253" s="4">
        <v>1</v>
      </c>
      <c r="T4253" s="4">
        <v>1</v>
      </c>
      <c r="U4253" s="5" t="s">
        <v>19000</v>
      </c>
      <c r="V4253" s="5" t="s">
        <v>19000</v>
      </c>
      <c r="W4253" s="5" t="s">
        <v>67</v>
      </c>
      <c r="X4253" s="5" t="s">
        <v>67</v>
      </c>
      <c r="Y4253" s="4">
        <v>19</v>
      </c>
      <c r="Z4253" s="4">
        <v>2</v>
      </c>
      <c r="AA4253" s="4">
        <v>9</v>
      </c>
      <c r="AB4253" s="4">
        <v>1</v>
      </c>
      <c r="AC4253" s="4">
        <v>6</v>
      </c>
      <c r="AD4253" s="4">
        <v>3</v>
      </c>
      <c r="AE4253" s="4">
        <v>5</v>
      </c>
      <c r="AF4253" s="4">
        <v>0</v>
      </c>
      <c r="AG4253" s="4">
        <v>1</v>
      </c>
      <c r="AH4253" s="4">
        <v>3</v>
      </c>
      <c r="AI4253" s="4">
        <v>3</v>
      </c>
      <c r="AJ4253" s="4">
        <v>0</v>
      </c>
      <c r="AK4253" s="4">
        <v>1</v>
      </c>
      <c r="AL4253" s="4">
        <v>1</v>
      </c>
      <c r="AM4253" s="4">
        <v>1</v>
      </c>
      <c r="AN4253" s="4">
        <v>0</v>
      </c>
      <c r="AO4253" s="4">
        <v>0</v>
      </c>
      <c r="AP4253" s="4">
        <v>0</v>
      </c>
      <c r="AQ4253" s="4">
        <v>2</v>
      </c>
      <c r="AR4253" s="3" t="s">
        <v>62</v>
      </c>
      <c r="AS4253" s="3" t="s">
        <v>62</v>
      </c>
      <c r="AT4253" s="3" t="s">
        <v>62</v>
      </c>
      <c r="AV4253" s="6" t="str">
        <f>HYPERLINK("http://mcgill.on.worldcat.org/oclc/41279865","Catalog Record")</f>
        <v>Catalog Record</v>
      </c>
      <c r="AW4253" s="6" t="str">
        <f>HYPERLINK("http://www.worldcat.org/oclc/41279865","WorldCat Record")</f>
        <v>WorldCat Record</v>
      </c>
      <c r="AX4253" s="3" t="s">
        <v>40829</v>
      </c>
      <c r="AY4253" s="3" t="s">
        <v>40830</v>
      </c>
      <c r="AZ4253" s="3" t="s">
        <v>40831</v>
      </c>
      <c r="BA4253" s="3" t="s">
        <v>40831</v>
      </c>
      <c r="BB4253" s="3" t="s">
        <v>40832</v>
      </c>
      <c r="BC4253" s="3" t="s">
        <v>102</v>
      </c>
      <c r="BD4253" s="3" t="s">
        <v>68</v>
      </c>
      <c r="BE4253" s="3" t="s">
        <v>40833</v>
      </c>
      <c r="BF4253" s="3" t="s">
        <v>40832</v>
      </c>
      <c r="BG4253" s="3" t="s">
        <v>40834</v>
      </c>
    </row>
    <row r="4254" spans="1:59" ht="58" x14ac:dyDescent="0.35">
      <c r="A4254" s="2" t="s">
        <v>89</v>
      </c>
      <c r="B4254" s="2" t="s">
        <v>90</v>
      </c>
      <c r="C4254" s="2" t="s">
        <v>40835</v>
      </c>
      <c r="D4254" s="2" t="s">
        <v>40836</v>
      </c>
      <c r="E4254" s="2" t="s">
        <v>40837</v>
      </c>
      <c r="G4254" s="3" t="s">
        <v>62</v>
      </c>
      <c r="I4254" s="3" t="s">
        <v>62</v>
      </c>
      <c r="J4254" s="3" t="s">
        <v>62</v>
      </c>
      <c r="K4254" s="3" t="s">
        <v>63</v>
      </c>
      <c r="L4254" s="2" t="s">
        <v>40838</v>
      </c>
      <c r="M4254" s="2" t="s">
        <v>40839</v>
      </c>
      <c r="N4254" s="3" t="s">
        <v>129</v>
      </c>
      <c r="P4254" s="3" t="s">
        <v>64</v>
      </c>
      <c r="R4254" s="3" t="s">
        <v>40557</v>
      </c>
      <c r="S4254" s="4">
        <v>0</v>
      </c>
      <c r="T4254" s="4">
        <v>0</v>
      </c>
      <c r="W4254" s="5" t="s">
        <v>67</v>
      </c>
      <c r="X4254" s="5" t="s">
        <v>67</v>
      </c>
      <c r="Y4254" s="4">
        <v>11</v>
      </c>
      <c r="Z4254" s="4">
        <v>1</v>
      </c>
      <c r="AA4254" s="4">
        <v>1</v>
      </c>
      <c r="AB4254" s="4">
        <v>1</v>
      </c>
      <c r="AC4254" s="4">
        <v>1</v>
      </c>
      <c r="AD4254" s="4">
        <v>5</v>
      </c>
      <c r="AE4254" s="4">
        <v>5</v>
      </c>
      <c r="AF4254" s="4">
        <v>0</v>
      </c>
      <c r="AG4254" s="4">
        <v>0</v>
      </c>
      <c r="AH4254" s="4">
        <v>5</v>
      </c>
      <c r="AI4254" s="4">
        <v>5</v>
      </c>
      <c r="AJ4254" s="4">
        <v>0</v>
      </c>
      <c r="AK4254" s="4">
        <v>0</v>
      </c>
      <c r="AL4254" s="4">
        <v>4</v>
      </c>
      <c r="AM4254" s="4">
        <v>4</v>
      </c>
      <c r="AN4254" s="4">
        <v>0</v>
      </c>
      <c r="AO4254" s="4">
        <v>0</v>
      </c>
      <c r="AP4254" s="4">
        <v>0</v>
      </c>
      <c r="AQ4254" s="4">
        <v>0</v>
      </c>
      <c r="AR4254" s="3" t="s">
        <v>62</v>
      </c>
      <c r="AS4254" s="3" t="s">
        <v>62</v>
      </c>
      <c r="AT4254" s="3" t="s">
        <v>62</v>
      </c>
      <c r="AV4254" s="6" t="str">
        <f>HYPERLINK("http://mcgill.on.worldcat.org/oclc/843442050","Catalog Record")</f>
        <v>Catalog Record</v>
      </c>
      <c r="AW4254" s="6" t="str">
        <f>HYPERLINK("http://www.worldcat.org/oclc/843442050","WorldCat Record")</f>
        <v>WorldCat Record</v>
      </c>
      <c r="AX4254" s="3" t="s">
        <v>40840</v>
      </c>
      <c r="AY4254" s="3" t="s">
        <v>40841</v>
      </c>
      <c r="AZ4254" s="3" t="s">
        <v>40842</v>
      </c>
      <c r="BA4254" s="3" t="s">
        <v>40842</v>
      </c>
      <c r="BB4254" s="3" t="s">
        <v>40843</v>
      </c>
      <c r="BC4254" s="3" t="s">
        <v>102</v>
      </c>
      <c r="BD4254" s="3" t="s">
        <v>68</v>
      </c>
      <c r="BE4254" s="3" t="s">
        <v>40844</v>
      </c>
      <c r="BF4254" s="3" t="s">
        <v>40843</v>
      </c>
      <c r="BG4254" s="3" t="s">
        <v>40845</v>
      </c>
    </row>
    <row r="4255" spans="1:59" ht="72.5" x14ac:dyDescent="0.35">
      <c r="A4255" s="2" t="s">
        <v>89</v>
      </c>
      <c r="B4255" s="2" t="s">
        <v>1231</v>
      </c>
      <c r="C4255" s="2" t="s">
        <v>40846</v>
      </c>
      <c r="D4255" s="2" t="s">
        <v>40847</v>
      </c>
      <c r="E4255" s="2" t="s">
        <v>40848</v>
      </c>
      <c r="G4255" s="3" t="s">
        <v>62</v>
      </c>
      <c r="I4255" s="3" t="s">
        <v>62</v>
      </c>
      <c r="J4255" s="3" t="s">
        <v>62</v>
      </c>
      <c r="K4255" s="3" t="s">
        <v>63</v>
      </c>
      <c r="L4255" s="2" t="s">
        <v>40849</v>
      </c>
      <c r="M4255" s="2" t="s">
        <v>40850</v>
      </c>
      <c r="N4255" s="3" t="s">
        <v>1291</v>
      </c>
      <c r="P4255" s="3" t="s">
        <v>64</v>
      </c>
      <c r="R4255" s="3" t="s">
        <v>40557</v>
      </c>
      <c r="S4255" s="4">
        <v>7</v>
      </c>
      <c r="T4255" s="4">
        <v>7</v>
      </c>
      <c r="U4255" s="5" t="s">
        <v>6663</v>
      </c>
      <c r="V4255" s="5" t="s">
        <v>6663</v>
      </c>
      <c r="W4255" s="5" t="s">
        <v>67</v>
      </c>
      <c r="X4255" s="5" t="s">
        <v>67</v>
      </c>
      <c r="Y4255" s="4">
        <v>170</v>
      </c>
      <c r="Z4255" s="4">
        <v>9</v>
      </c>
      <c r="AA4255" s="4">
        <v>9</v>
      </c>
      <c r="AB4255" s="4">
        <v>3</v>
      </c>
      <c r="AC4255" s="4">
        <v>3</v>
      </c>
      <c r="AD4255" s="4">
        <v>40</v>
      </c>
      <c r="AE4255" s="4">
        <v>40</v>
      </c>
      <c r="AF4255" s="4">
        <v>1</v>
      </c>
      <c r="AG4255" s="4">
        <v>1</v>
      </c>
      <c r="AH4255" s="4">
        <v>36</v>
      </c>
      <c r="AI4255" s="4">
        <v>36</v>
      </c>
      <c r="AJ4255" s="4">
        <v>5</v>
      </c>
      <c r="AK4255" s="4">
        <v>5</v>
      </c>
      <c r="AL4255" s="4">
        <v>28</v>
      </c>
      <c r="AM4255" s="4">
        <v>28</v>
      </c>
      <c r="AN4255" s="4">
        <v>0</v>
      </c>
      <c r="AO4255" s="4">
        <v>0</v>
      </c>
      <c r="AP4255" s="4">
        <v>5</v>
      </c>
      <c r="AQ4255" s="4">
        <v>5</v>
      </c>
      <c r="AR4255" s="3" t="s">
        <v>62</v>
      </c>
      <c r="AS4255" s="3" t="s">
        <v>62</v>
      </c>
      <c r="AT4255" s="3" t="s">
        <v>61</v>
      </c>
      <c r="AU4255" s="6" t="str">
        <f>HYPERLINK("http://catalog.hathitrust.org/Record/002437195","HathiTrust Record")</f>
        <v>HathiTrust Record</v>
      </c>
      <c r="AV4255" s="6" t="str">
        <f>HYPERLINK("http://mcgill.on.worldcat.org/oclc/11867079","Catalog Record")</f>
        <v>Catalog Record</v>
      </c>
      <c r="AW4255" s="6" t="str">
        <f>HYPERLINK("http://www.worldcat.org/oclc/11867079","WorldCat Record")</f>
        <v>WorldCat Record</v>
      </c>
      <c r="AX4255" s="3" t="s">
        <v>40851</v>
      </c>
      <c r="AY4255" s="3" t="s">
        <v>40852</v>
      </c>
      <c r="AZ4255" s="3" t="s">
        <v>40853</v>
      </c>
      <c r="BA4255" s="3" t="s">
        <v>40853</v>
      </c>
      <c r="BB4255" s="3" t="s">
        <v>40854</v>
      </c>
      <c r="BC4255" s="3" t="s">
        <v>102</v>
      </c>
      <c r="BD4255" s="3" t="s">
        <v>68</v>
      </c>
      <c r="BF4255" s="3" t="s">
        <v>40854</v>
      </c>
      <c r="BG4255" s="3" t="s">
        <v>40855</v>
      </c>
    </row>
    <row r="4256" spans="1:59" ht="58" x14ac:dyDescent="0.35">
      <c r="A4256" s="2" t="s">
        <v>59</v>
      </c>
      <c r="B4256" s="2" t="s">
        <v>60</v>
      </c>
      <c r="C4256" s="2" t="s">
        <v>40856</v>
      </c>
      <c r="D4256" s="2" t="s">
        <v>40857</v>
      </c>
      <c r="E4256" s="2" t="s">
        <v>40858</v>
      </c>
      <c r="G4256" s="3" t="s">
        <v>62</v>
      </c>
      <c r="I4256" s="3" t="s">
        <v>62</v>
      </c>
      <c r="J4256" s="3" t="s">
        <v>62</v>
      </c>
      <c r="K4256" s="3" t="s">
        <v>63</v>
      </c>
      <c r="L4256" s="2" t="s">
        <v>40859</v>
      </c>
      <c r="M4256" s="2" t="s">
        <v>40860</v>
      </c>
      <c r="N4256" s="3" t="s">
        <v>838</v>
      </c>
      <c r="P4256" s="3" t="s">
        <v>5609</v>
      </c>
      <c r="Q4256" s="2" t="s">
        <v>40861</v>
      </c>
      <c r="R4256" s="3" t="s">
        <v>40557</v>
      </c>
      <c r="S4256" s="4">
        <v>7</v>
      </c>
      <c r="T4256" s="4">
        <v>7</v>
      </c>
      <c r="U4256" s="5" t="s">
        <v>370</v>
      </c>
      <c r="V4256" s="5" t="s">
        <v>370</v>
      </c>
      <c r="W4256" s="5" t="s">
        <v>67</v>
      </c>
      <c r="X4256" s="5" t="s">
        <v>67</v>
      </c>
      <c r="Y4256" s="4">
        <v>129</v>
      </c>
      <c r="Z4256" s="4">
        <v>9</v>
      </c>
      <c r="AA4256" s="4">
        <v>12</v>
      </c>
      <c r="AB4256" s="4">
        <v>2</v>
      </c>
      <c r="AC4256" s="4">
        <v>2</v>
      </c>
      <c r="AD4256" s="4">
        <v>52</v>
      </c>
      <c r="AE4256" s="4">
        <v>54</v>
      </c>
      <c r="AF4256" s="4">
        <v>1</v>
      </c>
      <c r="AG4256" s="4">
        <v>1</v>
      </c>
      <c r="AH4256" s="4">
        <v>46</v>
      </c>
      <c r="AI4256" s="4">
        <v>47</v>
      </c>
      <c r="AJ4256" s="4">
        <v>6</v>
      </c>
      <c r="AK4256" s="4">
        <v>8</v>
      </c>
      <c r="AL4256" s="4">
        <v>24</v>
      </c>
      <c r="AM4256" s="4">
        <v>25</v>
      </c>
      <c r="AN4256" s="4">
        <v>0</v>
      </c>
      <c r="AO4256" s="4">
        <v>0</v>
      </c>
      <c r="AP4256" s="4">
        <v>8</v>
      </c>
      <c r="AQ4256" s="4">
        <v>10</v>
      </c>
      <c r="AR4256" s="3" t="s">
        <v>62</v>
      </c>
      <c r="AS4256" s="3" t="s">
        <v>62</v>
      </c>
      <c r="AT4256" s="3" t="s">
        <v>61</v>
      </c>
      <c r="AU4256" s="6" t="str">
        <f>HYPERLINK("http://catalog.hathitrust.org/Record/001493822","HathiTrust Record")</f>
        <v>HathiTrust Record</v>
      </c>
      <c r="AV4256" s="6" t="str">
        <f>HYPERLINK("http://mcgill.on.worldcat.org/oclc/315729","Catalog Record")</f>
        <v>Catalog Record</v>
      </c>
      <c r="AW4256" s="6" t="str">
        <f>HYPERLINK("http://www.worldcat.org/oclc/315729","WorldCat Record")</f>
        <v>WorldCat Record</v>
      </c>
      <c r="AX4256" s="3" t="s">
        <v>40862</v>
      </c>
      <c r="AY4256" s="3" t="s">
        <v>40863</v>
      </c>
      <c r="AZ4256" s="3" t="s">
        <v>40864</v>
      </c>
      <c r="BA4256" s="3" t="s">
        <v>40864</v>
      </c>
      <c r="BB4256" s="3" t="s">
        <v>40865</v>
      </c>
      <c r="BC4256" s="3" t="s">
        <v>102</v>
      </c>
      <c r="BD4256" s="3" t="s">
        <v>6923</v>
      </c>
      <c r="BF4256" s="3" t="s">
        <v>40865</v>
      </c>
      <c r="BG4256" s="3" t="s">
        <v>40866</v>
      </c>
    </row>
    <row r="4257" spans="1:59" ht="72.5" x14ac:dyDescent="0.35">
      <c r="A4257" s="2" t="s">
        <v>89</v>
      </c>
      <c r="B4257" s="2" t="s">
        <v>1231</v>
      </c>
      <c r="C4257" s="2" t="s">
        <v>40867</v>
      </c>
      <c r="D4257" s="2" t="s">
        <v>40868</v>
      </c>
      <c r="E4257" s="2" t="s">
        <v>40869</v>
      </c>
      <c r="G4257" s="3" t="s">
        <v>62</v>
      </c>
      <c r="I4257" s="3" t="s">
        <v>62</v>
      </c>
      <c r="J4257" s="3" t="s">
        <v>62</v>
      </c>
      <c r="K4257" s="3" t="s">
        <v>63</v>
      </c>
      <c r="L4257" s="2" t="s">
        <v>40870</v>
      </c>
      <c r="M4257" s="2" t="s">
        <v>40871</v>
      </c>
      <c r="N4257" s="3" t="s">
        <v>1455</v>
      </c>
      <c r="P4257" s="3" t="s">
        <v>64</v>
      </c>
      <c r="R4257" s="3" t="s">
        <v>40557</v>
      </c>
      <c r="S4257" s="4">
        <v>1</v>
      </c>
      <c r="T4257" s="4">
        <v>1</v>
      </c>
      <c r="U4257" s="5" t="s">
        <v>987</v>
      </c>
      <c r="V4257" s="5" t="s">
        <v>987</v>
      </c>
      <c r="W4257" s="5" t="s">
        <v>67</v>
      </c>
      <c r="X4257" s="5" t="s">
        <v>67</v>
      </c>
      <c r="Y4257" s="4">
        <v>156</v>
      </c>
      <c r="Z4257" s="4">
        <v>6</v>
      </c>
      <c r="AA4257" s="4">
        <v>6</v>
      </c>
      <c r="AB4257" s="4">
        <v>1</v>
      </c>
      <c r="AC4257" s="4">
        <v>1</v>
      </c>
      <c r="AD4257" s="4">
        <v>40</v>
      </c>
      <c r="AE4257" s="4">
        <v>41</v>
      </c>
      <c r="AF4257" s="4">
        <v>0</v>
      </c>
      <c r="AG4257" s="4">
        <v>0</v>
      </c>
      <c r="AH4257" s="4">
        <v>40</v>
      </c>
      <c r="AI4257" s="4">
        <v>40</v>
      </c>
      <c r="AJ4257" s="4">
        <v>3</v>
      </c>
      <c r="AK4257" s="4">
        <v>3</v>
      </c>
      <c r="AL4257" s="4">
        <v>24</v>
      </c>
      <c r="AM4257" s="4">
        <v>25</v>
      </c>
      <c r="AN4257" s="4">
        <v>0</v>
      </c>
      <c r="AO4257" s="4">
        <v>0</v>
      </c>
      <c r="AP4257" s="4">
        <v>3</v>
      </c>
      <c r="AQ4257" s="4">
        <v>3</v>
      </c>
      <c r="AR4257" s="3" t="s">
        <v>62</v>
      </c>
      <c r="AS4257" s="3" t="s">
        <v>62</v>
      </c>
      <c r="AT4257" s="3" t="s">
        <v>62</v>
      </c>
      <c r="AV4257" s="6" t="str">
        <f>HYPERLINK("http://mcgill.on.worldcat.org/oclc/927293448","Catalog Record")</f>
        <v>Catalog Record</v>
      </c>
      <c r="AW4257" s="6" t="str">
        <f>HYPERLINK("http://www.worldcat.org/oclc/927293448","WorldCat Record")</f>
        <v>WorldCat Record</v>
      </c>
      <c r="AX4257" s="3" t="s">
        <v>40872</v>
      </c>
      <c r="AY4257" s="3" t="s">
        <v>40873</v>
      </c>
      <c r="AZ4257" s="3" t="s">
        <v>40874</v>
      </c>
      <c r="BA4257" s="3" t="s">
        <v>40874</v>
      </c>
      <c r="BB4257" s="3" t="s">
        <v>40875</v>
      </c>
      <c r="BC4257" s="3" t="s">
        <v>102</v>
      </c>
      <c r="BD4257" s="3" t="s">
        <v>68</v>
      </c>
      <c r="BE4257" s="3" t="s">
        <v>40876</v>
      </c>
      <c r="BF4257" s="3" t="s">
        <v>40875</v>
      </c>
      <c r="BG4257" s="3" t="s">
        <v>40877</v>
      </c>
    </row>
    <row r="4258" spans="1:59" ht="72.5" x14ac:dyDescent="0.35">
      <c r="A4258" s="2" t="s">
        <v>89</v>
      </c>
      <c r="B4258" s="2" t="s">
        <v>1231</v>
      </c>
      <c r="C4258" s="2" t="s">
        <v>40878</v>
      </c>
      <c r="D4258" s="2" t="s">
        <v>40879</v>
      </c>
      <c r="E4258" s="2" t="s">
        <v>40880</v>
      </c>
      <c r="G4258" s="3" t="s">
        <v>62</v>
      </c>
      <c r="I4258" s="3" t="s">
        <v>62</v>
      </c>
      <c r="J4258" s="3" t="s">
        <v>62</v>
      </c>
      <c r="K4258" s="3" t="s">
        <v>63</v>
      </c>
      <c r="L4258" s="2" t="s">
        <v>40881</v>
      </c>
      <c r="M4258" s="2" t="s">
        <v>40882</v>
      </c>
      <c r="N4258" s="3" t="s">
        <v>2000</v>
      </c>
      <c r="P4258" s="3" t="s">
        <v>64</v>
      </c>
      <c r="R4258" s="3" t="s">
        <v>40557</v>
      </c>
      <c r="S4258" s="4">
        <v>11</v>
      </c>
      <c r="T4258" s="4">
        <v>11</v>
      </c>
      <c r="U4258" s="5" t="s">
        <v>40883</v>
      </c>
      <c r="V4258" s="5" t="s">
        <v>40883</v>
      </c>
      <c r="W4258" s="5" t="s">
        <v>67</v>
      </c>
      <c r="X4258" s="5" t="s">
        <v>67</v>
      </c>
      <c r="Y4258" s="4">
        <v>327</v>
      </c>
      <c r="Z4258" s="4">
        <v>11</v>
      </c>
      <c r="AA4258" s="4">
        <v>12</v>
      </c>
      <c r="AB4258" s="4">
        <v>1</v>
      </c>
      <c r="AC4258" s="4">
        <v>2</v>
      </c>
      <c r="AD4258" s="4">
        <v>47</v>
      </c>
      <c r="AE4258" s="4">
        <v>48</v>
      </c>
      <c r="AF4258" s="4">
        <v>0</v>
      </c>
      <c r="AG4258" s="4">
        <v>0</v>
      </c>
      <c r="AH4258" s="4">
        <v>46</v>
      </c>
      <c r="AI4258" s="4">
        <v>47</v>
      </c>
      <c r="AJ4258" s="4">
        <v>3</v>
      </c>
      <c r="AK4258" s="4">
        <v>3</v>
      </c>
      <c r="AL4258" s="4">
        <v>25</v>
      </c>
      <c r="AM4258" s="4">
        <v>26</v>
      </c>
      <c r="AN4258" s="4">
        <v>0</v>
      </c>
      <c r="AO4258" s="4">
        <v>0</v>
      </c>
      <c r="AP4258" s="4">
        <v>4</v>
      </c>
      <c r="AQ4258" s="4">
        <v>4</v>
      </c>
      <c r="AR4258" s="3" t="s">
        <v>62</v>
      </c>
      <c r="AS4258" s="3" t="s">
        <v>62</v>
      </c>
      <c r="AT4258" s="3" t="s">
        <v>61</v>
      </c>
      <c r="AU4258" s="6" t="str">
        <f>HYPERLINK("http://catalog.hathitrust.org/Record/008545916","HathiTrust Record")</f>
        <v>HathiTrust Record</v>
      </c>
      <c r="AV4258" s="6" t="str">
        <f>HYPERLINK("http://mcgill.on.worldcat.org/oclc/34590971","Catalog Record")</f>
        <v>Catalog Record</v>
      </c>
      <c r="AW4258" s="6" t="str">
        <f>HYPERLINK("http://www.worldcat.org/oclc/34590971","WorldCat Record")</f>
        <v>WorldCat Record</v>
      </c>
      <c r="AX4258" s="3" t="s">
        <v>40884</v>
      </c>
      <c r="AY4258" s="3" t="s">
        <v>40885</v>
      </c>
      <c r="AZ4258" s="3" t="s">
        <v>40886</v>
      </c>
      <c r="BA4258" s="3" t="s">
        <v>40886</v>
      </c>
      <c r="BB4258" s="3" t="s">
        <v>40887</v>
      </c>
      <c r="BC4258" s="3" t="s">
        <v>102</v>
      </c>
      <c r="BD4258" s="3" t="s">
        <v>68</v>
      </c>
      <c r="BE4258" s="3" t="s">
        <v>40888</v>
      </c>
      <c r="BF4258" s="3" t="s">
        <v>40887</v>
      </c>
      <c r="BG4258" s="3" t="s">
        <v>40889</v>
      </c>
    </row>
    <row r="4259" spans="1:59" ht="72.5" x14ac:dyDescent="0.35">
      <c r="A4259" s="2" t="s">
        <v>89</v>
      </c>
      <c r="B4259" s="2" t="s">
        <v>1231</v>
      </c>
      <c r="C4259" s="2" t="s">
        <v>40890</v>
      </c>
      <c r="D4259" s="2" t="s">
        <v>40891</v>
      </c>
      <c r="E4259" s="2" t="s">
        <v>40892</v>
      </c>
      <c r="G4259" s="3" t="s">
        <v>62</v>
      </c>
      <c r="I4259" s="3" t="s">
        <v>62</v>
      </c>
      <c r="J4259" s="3" t="s">
        <v>62</v>
      </c>
      <c r="K4259" s="3" t="s">
        <v>63</v>
      </c>
      <c r="L4259" s="2" t="s">
        <v>40893</v>
      </c>
      <c r="M4259" s="2" t="s">
        <v>40894</v>
      </c>
      <c r="N4259" s="3" t="s">
        <v>893</v>
      </c>
      <c r="P4259" s="3" t="s">
        <v>64</v>
      </c>
      <c r="R4259" s="3" t="s">
        <v>40557</v>
      </c>
      <c r="S4259" s="4">
        <v>12</v>
      </c>
      <c r="T4259" s="4">
        <v>12</v>
      </c>
      <c r="U4259" s="5" t="s">
        <v>33409</v>
      </c>
      <c r="V4259" s="5" t="s">
        <v>33409</v>
      </c>
      <c r="W4259" s="5" t="s">
        <v>67</v>
      </c>
      <c r="X4259" s="5" t="s">
        <v>67</v>
      </c>
      <c r="Y4259" s="4">
        <v>155</v>
      </c>
      <c r="Z4259" s="4">
        <v>7</v>
      </c>
      <c r="AA4259" s="4">
        <v>19</v>
      </c>
      <c r="AB4259" s="4">
        <v>2</v>
      </c>
      <c r="AC4259" s="4">
        <v>3</v>
      </c>
      <c r="AD4259" s="4">
        <v>37</v>
      </c>
      <c r="AE4259" s="4">
        <v>48</v>
      </c>
      <c r="AF4259" s="4">
        <v>0</v>
      </c>
      <c r="AG4259" s="4">
        <v>0</v>
      </c>
      <c r="AH4259" s="4">
        <v>35</v>
      </c>
      <c r="AI4259" s="4">
        <v>43</v>
      </c>
      <c r="AJ4259" s="4">
        <v>3</v>
      </c>
      <c r="AK4259" s="4">
        <v>9</v>
      </c>
      <c r="AL4259" s="4">
        <v>22</v>
      </c>
      <c r="AM4259" s="4">
        <v>25</v>
      </c>
      <c r="AN4259" s="4">
        <v>5</v>
      </c>
      <c r="AO4259" s="4">
        <v>5</v>
      </c>
      <c r="AP4259" s="4">
        <v>4</v>
      </c>
      <c r="AQ4259" s="4">
        <v>9</v>
      </c>
      <c r="AR4259" s="3" t="s">
        <v>62</v>
      </c>
      <c r="AS4259" s="3" t="s">
        <v>62</v>
      </c>
      <c r="AT4259" s="3" t="s">
        <v>61</v>
      </c>
      <c r="AU4259" s="6" t="str">
        <f>HYPERLINK("http://catalog.hathitrust.org/Record/102219552","HathiTrust Record")</f>
        <v>HathiTrust Record</v>
      </c>
      <c r="AV4259" s="6" t="str">
        <f>HYPERLINK("http://mcgill.on.worldcat.org/oclc/11573495","Catalog Record")</f>
        <v>Catalog Record</v>
      </c>
      <c r="AW4259" s="6" t="str">
        <f>HYPERLINK("http://www.worldcat.org/oclc/11573495","WorldCat Record")</f>
        <v>WorldCat Record</v>
      </c>
      <c r="AX4259" s="3" t="s">
        <v>40895</v>
      </c>
      <c r="AY4259" s="3" t="s">
        <v>40896</v>
      </c>
      <c r="AZ4259" s="3" t="s">
        <v>40897</v>
      </c>
      <c r="BA4259" s="3" t="s">
        <v>40897</v>
      </c>
      <c r="BB4259" s="3" t="s">
        <v>40898</v>
      </c>
      <c r="BC4259" s="3" t="s">
        <v>102</v>
      </c>
      <c r="BD4259" s="3" t="s">
        <v>68</v>
      </c>
      <c r="BE4259" s="3" t="s">
        <v>40899</v>
      </c>
      <c r="BF4259" s="3" t="s">
        <v>40898</v>
      </c>
      <c r="BG4259" s="3" t="s">
        <v>40900</v>
      </c>
    </row>
    <row r="4260" spans="1:59" ht="58" x14ac:dyDescent="0.35">
      <c r="A4260" s="2" t="s">
        <v>89</v>
      </c>
      <c r="B4260" s="2" t="s">
        <v>90</v>
      </c>
      <c r="C4260" s="2" t="s">
        <v>40901</v>
      </c>
      <c r="D4260" s="2" t="s">
        <v>40902</v>
      </c>
      <c r="E4260" s="2" t="s">
        <v>40903</v>
      </c>
      <c r="G4260" s="3" t="s">
        <v>62</v>
      </c>
      <c r="I4260" s="3" t="s">
        <v>62</v>
      </c>
      <c r="J4260" s="3" t="s">
        <v>62</v>
      </c>
      <c r="K4260" s="3" t="s">
        <v>63</v>
      </c>
      <c r="L4260" s="2" t="s">
        <v>40904</v>
      </c>
      <c r="M4260" s="2" t="s">
        <v>40905</v>
      </c>
      <c r="N4260" s="3" t="s">
        <v>129</v>
      </c>
      <c r="P4260" s="3" t="s">
        <v>64</v>
      </c>
      <c r="R4260" s="3" t="s">
        <v>40557</v>
      </c>
      <c r="S4260" s="4">
        <v>3</v>
      </c>
      <c r="T4260" s="4">
        <v>3</v>
      </c>
      <c r="U4260" s="5" t="s">
        <v>1293</v>
      </c>
      <c r="V4260" s="5" t="s">
        <v>1293</v>
      </c>
      <c r="W4260" s="5" t="s">
        <v>67</v>
      </c>
      <c r="X4260" s="5" t="s">
        <v>67</v>
      </c>
      <c r="Y4260" s="4">
        <v>51</v>
      </c>
      <c r="Z4260" s="4">
        <v>1</v>
      </c>
      <c r="AA4260" s="4">
        <v>19</v>
      </c>
      <c r="AB4260" s="4">
        <v>1</v>
      </c>
      <c r="AC4260" s="4">
        <v>3</v>
      </c>
      <c r="AD4260" s="4">
        <v>4</v>
      </c>
      <c r="AE4260" s="4">
        <v>55</v>
      </c>
      <c r="AF4260" s="4">
        <v>0</v>
      </c>
      <c r="AG4260" s="4">
        <v>1</v>
      </c>
      <c r="AH4260" s="4">
        <v>4</v>
      </c>
      <c r="AI4260" s="4">
        <v>49</v>
      </c>
      <c r="AJ4260" s="4">
        <v>0</v>
      </c>
      <c r="AK4260" s="4">
        <v>9</v>
      </c>
      <c r="AL4260" s="4">
        <v>2</v>
      </c>
      <c r="AM4260" s="4">
        <v>25</v>
      </c>
      <c r="AN4260" s="4">
        <v>0</v>
      </c>
      <c r="AO4260" s="4">
        <v>0</v>
      </c>
      <c r="AP4260" s="4">
        <v>0</v>
      </c>
      <c r="AQ4260" s="4">
        <v>12</v>
      </c>
      <c r="AR4260" s="3" t="s">
        <v>62</v>
      </c>
      <c r="AS4260" s="3" t="s">
        <v>62</v>
      </c>
      <c r="AT4260" s="3" t="s">
        <v>62</v>
      </c>
      <c r="AV4260" s="6" t="str">
        <f>HYPERLINK("http://mcgill.on.worldcat.org/oclc/828037165","Catalog Record")</f>
        <v>Catalog Record</v>
      </c>
      <c r="AW4260" s="6" t="str">
        <f>HYPERLINK("http://www.worldcat.org/oclc/828037165","WorldCat Record")</f>
        <v>WorldCat Record</v>
      </c>
      <c r="AX4260" s="3" t="s">
        <v>40906</v>
      </c>
      <c r="AY4260" s="3" t="s">
        <v>40907</v>
      </c>
      <c r="AZ4260" s="3" t="s">
        <v>40908</v>
      </c>
      <c r="BA4260" s="3" t="s">
        <v>40908</v>
      </c>
      <c r="BB4260" s="3" t="s">
        <v>40909</v>
      </c>
      <c r="BC4260" s="3" t="s">
        <v>102</v>
      </c>
      <c r="BD4260" s="3" t="s">
        <v>68</v>
      </c>
      <c r="BE4260" s="3" t="s">
        <v>40910</v>
      </c>
      <c r="BF4260" s="3" t="s">
        <v>40909</v>
      </c>
      <c r="BG4260" s="3" t="s">
        <v>40911</v>
      </c>
    </row>
    <row r="4261" spans="1:59" ht="72.5" x14ac:dyDescent="0.35">
      <c r="A4261" s="2" t="s">
        <v>59</v>
      </c>
      <c r="B4261" s="2" t="s">
        <v>60</v>
      </c>
      <c r="C4261" s="2" t="s">
        <v>40912</v>
      </c>
      <c r="D4261" s="2" t="s">
        <v>40913</v>
      </c>
      <c r="E4261" s="2" t="s">
        <v>40914</v>
      </c>
      <c r="F4261" s="3" t="s">
        <v>1413</v>
      </c>
      <c r="G4261" s="3" t="s">
        <v>61</v>
      </c>
      <c r="I4261" s="3" t="s">
        <v>62</v>
      </c>
      <c r="J4261" s="3" t="s">
        <v>62</v>
      </c>
      <c r="K4261" s="3" t="s">
        <v>63</v>
      </c>
      <c r="L4261" s="2" t="s">
        <v>40915</v>
      </c>
      <c r="M4261" s="2" t="s">
        <v>40916</v>
      </c>
      <c r="N4261" s="3" t="s">
        <v>95</v>
      </c>
      <c r="P4261" s="3" t="s">
        <v>64</v>
      </c>
      <c r="Q4261" s="2" t="s">
        <v>40917</v>
      </c>
      <c r="R4261" s="3" t="s">
        <v>40557</v>
      </c>
      <c r="S4261" s="4">
        <v>6</v>
      </c>
      <c r="T4261" s="4">
        <v>6</v>
      </c>
      <c r="U4261" s="5" t="s">
        <v>14075</v>
      </c>
      <c r="V4261" s="5" t="s">
        <v>14075</v>
      </c>
      <c r="W4261" s="5" t="s">
        <v>67</v>
      </c>
      <c r="X4261" s="5" t="s">
        <v>67</v>
      </c>
      <c r="Y4261" s="4">
        <v>1</v>
      </c>
      <c r="Z4261" s="4">
        <v>1</v>
      </c>
      <c r="AA4261" s="4">
        <v>3</v>
      </c>
      <c r="AB4261" s="4">
        <v>1</v>
      </c>
      <c r="AC4261" s="4">
        <v>1</v>
      </c>
      <c r="AD4261" s="4">
        <v>0</v>
      </c>
      <c r="AE4261" s="4">
        <v>11</v>
      </c>
      <c r="AF4261" s="4">
        <v>0</v>
      </c>
      <c r="AG4261" s="4">
        <v>0</v>
      </c>
      <c r="AH4261" s="4">
        <v>0</v>
      </c>
      <c r="AI4261" s="4">
        <v>11</v>
      </c>
      <c r="AJ4261" s="4">
        <v>0</v>
      </c>
      <c r="AK4261" s="4">
        <v>2</v>
      </c>
      <c r="AL4261" s="4">
        <v>0</v>
      </c>
      <c r="AM4261" s="4">
        <v>7</v>
      </c>
      <c r="AN4261" s="4">
        <v>0</v>
      </c>
      <c r="AO4261" s="4">
        <v>0</v>
      </c>
      <c r="AP4261" s="4">
        <v>0</v>
      </c>
      <c r="AQ4261" s="4">
        <v>2</v>
      </c>
      <c r="AR4261" s="3" t="s">
        <v>62</v>
      </c>
      <c r="AS4261" s="3" t="s">
        <v>62</v>
      </c>
      <c r="AT4261" s="3" t="s">
        <v>62</v>
      </c>
      <c r="AV4261" s="6" t="str">
        <f>HYPERLINK("http://mcgill.on.worldcat.org/oclc/427220658","Catalog Record")</f>
        <v>Catalog Record</v>
      </c>
      <c r="AW4261" s="6" t="str">
        <f>HYPERLINK("http://www.worldcat.org/oclc/427220658","WorldCat Record")</f>
        <v>WorldCat Record</v>
      </c>
      <c r="AX4261" s="3" t="s">
        <v>40918</v>
      </c>
      <c r="AY4261" s="3" t="s">
        <v>40919</v>
      </c>
      <c r="AZ4261" s="3" t="s">
        <v>40920</v>
      </c>
      <c r="BA4261" s="3" t="s">
        <v>40920</v>
      </c>
      <c r="BB4261" s="3" t="s">
        <v>40921</v>
      </c>
      <c r="BC4261" s="3" t="s">
        <v>102</v>
      </c>
      <c r="BD4261" s="3" t="s">
        <v>68</v>
      </c>
      <c r="BF4261" s="3" t="s">
        <v>40921</v>
      </c>
      <c r="BG4261" s="3" t="s">
        <v>40922</v>
      </c>
    </row>
    <row r="4262" spans="1:59" ht="58" x14ac:dyDescent="0.35">
      <c r="A4262" s="2" t="s">
        <v>89</v>
      </c>
      <c r="B4262" s="2" t="s">
        <v>90</v>
      </c>
      <c r="C4262" s="2" t="s">
        <v>40923</v>
      </c>
      <c r="D4262" s="2" t="s">
        <v>40924</v>
      </c>
      <c r="E4262" s="2" t="s">
        <v>40925</v>
      </c>
      <c r="G4262" s="3" t="s">
        <v>62</v>
      </c>
      <c r="I4262" s="3" t="s">
        <v>62</v>
      </c>
      <c r="J4262" s="3" t="s">
        <v>62</v>
      </c>
      <c r="K4262" s="3" t="s">
        <v>63</v>
      </c>
      <c r="L4262" s="2" t="s">
        <v>40926</v>
      </c>
      <c r="M4262" s="2" t="s">
        <v>40927</v>
      </c>
      <c r="N4262" s="3" t="s">
        <v>1038</v>
      </c>
      <c r="P4262" s="3" t="s">
        <v>85</v>
      </c>
      <c r="Q4262" s="2" t="s">
        <v>40928</v>
      </c>
      <c r="R4262" s="3" t="s">
        <v>40557</v>
      </c>
      <c r="S4262" s="4">
        <v>1</v>
      </c>
      <c r="T4262" s="4">
        <v>1</v>
      </c>
      <c r="W4262" s="5" t="s">
        <v>67</v>
      </c>
      <c r="X4262" s="5" t="s">
        <v>67</v>
      </c>
      <c r="Y4262" s="4">
        <v>1</v>
      </c>
      <c r="Z4262" s="4">
        <v>1</v>
      </c>
      <c r="AA4262" s="4">
        <v>6</v>
      </c>
      <c r="AB4262" s="4">
        <v>1</v>
      </c>
      <c r="AC4262" s="4">
        <v>4</v>
      </c>
      <c r="AD4262" s="4">
        <v>0</v>
      </c>
      <c r="AE4262" s="4">
        <v>2</v>
      </c>
      <c r="AF4262" s="4">
        <v>0</v>
      </c>
      <c r="AG4262" s="4">
        <v>1</v>
      </c>
      <c r="AH4262" s="4">
        <v>0</v>
      </c>
      <c r="AI4262" s="4">
        <v>0</v>
      </c>
      <c r="AJ4262" s="4">
        <v>0</v>
      </c>
      <c r="AK4262" s="4">
        <v>2</v>
      </c>
      <c r="AL4262" s="4">
        <v>0</v>
      </c>
      <c r="AM4262" s="4">
        <v>0</v>
      </c>
      <c r="AN4262" s="4">
        <v>0</v>
      </c>
      <c r="AO4262" s="4">
        <v>0</v>
      </c>
      <c r="AP4262" s="4">
        <v>0</v>
      </c>
      <c r="AQ4262" s="4">
        <v>1</v>
      </c>
      <c r="AR4262" s="3" t="s">
        <v>61</v>
      </c>
      <c r="AS4262" s="3" t="s">
        <v>62</v>
      </c>
      <c r="AT4262" s="3" t="s">
        <v>62</v>
      </c>
      <c r="AV4262" s="6" t="str">
        <f>HYPERLINK("http://mcgill.on.worldcat.org/oclc/1039097640","Catalog Record")</f>
        <v>Catalog Record</v>
      </c>
      <c r="AW4262" s="6" t="str">
        <f>HYPERLINK("http://www.worldcat.org/oclc/1039097640","WorldCat Record")</f>
        <v>WorldCat Record</v>
      </c>
      <c r="AX4262" s="3" t="s">
        <v>40929</v>
      </c>
      <c r="AY4262" s="3" t="s">
        <v>40930</v>
      </c>
      <c r="AZ4262" s="3" t="s">
        <v>40931</v>
      </c>
      <c r="BA4262" s="3" t="s">
        <v>40931</v>
      </c>
      <c r="BB4262" s="3" t="s">
        <v>40932</v>
      </c>
      <c r="BC4262" s="3" t="s">
        <v>102</v>
      </c>
      <c r="BD4262" s="3" t="s">
        <v>231</v>
      </c>
      <c r="BE4262" s="3" t="s">
        <v>40933</v>
      </c>
      <c r="BF4262" s="3" t="s">
        <v>40932</v>
      </c>
      <c r="BG4262" s="3" t="s">
        <v>40934</v>
      </c>
    </row>
    <row r="4263" spans="1:59" ht="58" x14ac:dyDescent="0.35">
      <c r="A4263" s="2" t="s">
        <v>59</v>
      </c>
      <c r="B4263" s="2" t="s">
        <v>60</v>
      </c>
      <c r="C4263" s="2" t="s">
        <v>40935</v>
      </c>
      <c r="D4263" s="2" t="s">
        <v>40936</v>
      </c>
      <c r="E4263" s="2" t="s">
        <v>40937</v>
      </c>
      <c r="G4263" s="3" t="s">
        <v>62</v>
      </c>
      <c r="I4263" s="3" t="s">
        <v>62</v>
      </c>
      <c r="J4263" s="3" t="s">
        <v>62</v>
      </c>
      <c r="K4263" s="3" t="s">
        <v>63</v>
      </c>
      <c r="L4263" s="2" t="s">
        <v>40938</v>
      </c>
      <c r="M4263" s="2" t="s">
        <v>40939</v>
      </c>
      <c r="N4263" s="3" t="s">
        <v>568</v>
      </c>
      <c r="P4263" s="3" t="s">
        <v>64</v>
      </c>
      <c r="R4263" s="3" t="s">
        <v>40557</v>
      </c>
      <c r="S4263" s="4">
        <v>4</v>
      </c>
      <c r="T4263" s="4">
        <v>4</v>
      </c>
      <c r="U4263" s="5" t="s">
        <v>23211</v>
      </c>
      <c r="V4263" s="5" t="s">
        <v>23211</v>
      </c>
      <c r="W4263" s="5" t="s">
        <v>67</v>
      </c>
      <c r="X4263" s="5" t="s">
        <v>67</v>
      </c>
      <c r="Y4263" s="4">
        <v>144</v>
      </c>
      <c r="Z4263" s="4">
        <v>43</v>
      </c>
      <c r="AA4263" s="4">
        <v>46</v>
      </c>
      <c r="AB4263" s="4">
        <v>1</v>
      </c>
      <c r="AC4263" s="4">
        <v>2</v>
      </c>
      <c r="AD4263" s="4">
        <v>21</v>
      </c>
      <c r="AE4263" s="4">
        <v>22</v>
      </c>
      <c r="AF4263" s="4">
        <v>0</v>
      </c>
      <c r="AG4263" s="4">
        <v>0</v>
      </c>
      <c r="AH4263" s="4">
        <v>14</v>
      </c>
      <c r="AI4263" s="4">
        <v>15</v>
      </c>
      <c r="AJ4263" s="4">
        <v>7</v>
      </c>
      <c r="AK4263" s="4">
        <v>7</v>
      </c>
      <c r="AL4263" s="4">
        <v>5</v>
      </c>
      <c r="AM4263" s="4">
        <v>5</v>
      </c>
      <c r="AN4263" s="4">
        <v>0</v>
      </c>
      <c r="AO4263" s="4">
        <v>0</v>
      </c>
      <c r="AP4263" s="4">
        <v>11</v>
      </c>
      <c r="AQ4263" s="4">
        <v>11</v>
      </c>
      <c r="AR4263" s="3" t="s">
        <v>61</v>
      </c>
      <c r="AS4263" s="3" t="s">
        <v>62</v>
      </c>
      <c r="AT4263" s="3" t="s">
        <v>62</v>
      </c>
      <c r="AV4263" s="6" t="str">
        <f>HYPERLINK("http://mcgill.on.worldcat.org/oclc/43847018","Catalog Record")</f>
        <v>Catalog Record</v>
      </c>
      <c r="AW4263" s="6" t="str">
        <f>HYPERLINK("http://www.worldcat.org/oclc/43847018","WorldCat Record")</f>
        <v>WorldCat Record</v>
      </c>
      <c r="AX4263" s="3" t="s">
        <v>40940</v>
      </c>
      <c r="AY4263" s="3" t="s">
        <v>40941</v>
      </c>
      <c r="AZ4263" s="3" t="s">
        <v>40942</v>
      </c>
      <c r="BA4263" s="3" t="s">
        <v>40942</v>
      </c>
      <c r="BB4263" s="3" t="s">
        <v>40943</v>
      </c>
      <c r="BC4263" s="3" t="s">
        <v>102</v>
      </c>
      <c r="BD4263" s="3" t="s">
        <v>68</v>
      </c>
      <c r="BE4263" s="3" t="s">
        <v>40944</v>
      </c>
      <c r="BF4263" s="3" t="s">
        <v>40943</v>
      </c>
      <c r="BG4263" s="3" t="s">
        <v>40945</v>
      </c>
    </row>
    <row r="4264" spans="1:59" ht="58" x14ac:dyDescent="0.35">
      <c r="A4264" s="2" t="s">
        <v>59</v>
      </c>
      <c r="B4264" s="2" t="s">
        <v>60</v>
      </c>
      <c r="C4264" s="2" t="s">
        <v>40946</v>
      </c>
      <c r="D4264" s="2" t="s">
        <v>40947</v>
      </c>
      <c r="E4264" s="2" t="s">
        <v>40948</v>
      </c>
      <c r="G4264" s="3" t="s">
        <v>62</v>
      </c>
      <c r="I4264" s="3" t="s">
        <v>62</v>
      </c>
      <c r="J4264" s="3" t="s">
        <v>62</v>
      </c>
      <c r="K4264" s="3" t="s">
        <v>63</v>
      </c>
      <c r="L4264" s="2" t="s">
        <v>40949</v>
      </c>
      <c r="M4264" s="2" t="s">
        <v>40950</v>
      </c>
      <c r="N4264" s="3" t="s">
        <v>2588</v>
      </c>
      <c r="P4264" s="3" t="s">
        <v>64</v>
      </c>
      <c r="R4264" s="3" t="s">
        <v>40557</v>
      </c>
      <c r="S4264" s="4">
        <v>13</v>
      </c>
      <c r="T4264" s="4">
        <v>13</v>
      </c>
      <c r="U4264" s="5" t="s">
        <v>36222</v>
      </c>
      <c r="V4264" s="5" t="s">
        <v>36222</v>
      </c>
      <c r="W4264" s="5" t="s">
        <v>67</v>
      </c>
      <c r="X4264" s="5" t="s">
        <v>67</v>
      </c>
      <c r="Y4264" s="4">
        <v>471</v>
      </c>
      <c r="Z4264" s="4">
        <v>26</v>
      </c>
      <c r="AA4264" s="4">
        <v>27</v>
      </c>
      <c r="AB4264" s="4">
        <v>2</v>
      </c>
      <c r="AC4264" s="4">
        <v>3</v>
      </c>
      <c r="AD4264" s="4">
        <v>98</v>
      </c>
      <c r="AE4264" s="4">
        <v>99</v>
      </c>
      <c r="AF4264" s="4">
        <v>1</v>
      </c>
      <c r="AG4264" s="4">
        <v>2</v>
      </c>
      <c r="AH4264" s="4">
        <v>88</v>
      </c>
      <c r="AI4264" s="4">
        <v>88</v>
      </c>
      <c r="AJ4264" s="4">
        <v>14</v>
      </c>
      <c r="AK4264" s="4">
        <v>15</v>
      </c>
      <c r="AL4264" s="4">
        <v>44</v>
      </c>
      <c r="AM4264" s="4">
        <v>44</v>
      </c>
      <c r="AN4264" s="4">
        <v>0</v>
      </c>
      <c r="AO4264" s="4">
        <v>0</v>
      </c>
      <c r="AP4264" s="4">
        <v>17</v>
      </c>
      <c r="AQ4264" s="4">
        <v>17</v>
      </c>
      <c r="AR4264" s="3" t="s">
        <v>62</v>
      </c>
      <c r="AS4264" s="3" t="s">
        <v>62</v>
      </c>
      <c r="AT4264" s="3" t="s">
        <v>61</v>
      </c>
      <c r="AU4264" s="6" t="str">
        <f>HYPERLINK("http://catalog.hathitrust.org/Record/000211395","HathiTrust Record")</f>
        <v>HathiTrust Record</v>
      </c>
      <c r="AV4264" s="6" t="str">
        <f>HYPERLINK("http://mcgill.on.worldcat.org/oclc/2837476","Catalog Record")</f>
        <v>Catalog Record</v>
      </c>
      <c r="AW4264" s="6" t="str">
        <f>HYPERLINK("http://www.worldcat.org/oclc/2837476","WorldCat Record")</f>
        <v>WorldCat Record</v>
      </c>
      <c r="AX4264" s="3" t="s">
        <v>40951</v>
      </c>
      <c r="AY4264" s="3" t="s">
        <v>40952</v>
      </c>
      <c r="AZ4264" s="3" t="s">
        <v>40953</v>
      </c>
      <c r="BA4264" s="3" t="s">
        <v>40953</v>
      </c>
      <c r="BB4264" s="3" t="s">
        <v>40954</v>
      </c>
      <c r="BC4264" s="3" t="s">
        <v>102</v>
      </c>
      <c r="BD4264" s="3" t="s">
        <v>68</v>
      </c>
      <c r="BE4264" s="3" t="s">
        <v>40955</v>
      </c>
      <c r="BF4264" s="3" t="s">
        <v>40954</v>
      </c>
      <c r="BG4264" s="3" t="s">
        <v>40956</v>
      </c>
    </row>
    <row r="4265" spans="1:59" ht="58" x14ac:dyDescent="0.35">
      <c r="A4265" s="2" t="s">
        <v>89</v>
      </c>
      <c r="B4265" s="2" t="s">
        <v>90</v>
      </c>
      <c r="C4265" s="2" t="s">
        <v>40957</v>
      </c>
      <c r="D4265" s="2" t="s">
        <v>40958</v>
      </c>
      <c r="E4265" s="2" t="s">
        <v>40959</v>
      </c>
      <c r="G4265" s="3" t="s">
        <v>62</v>
      </c>
      <c r="I4265" s="3" t="s">
        <v>62</v>
      </c>
      <c r="J4265" s="3" t="s">
        <v>62</v>
      </c>
      <c r="K4265" s="3" t="s">
        <v>63</v>
      </c>
      <c r="L4265" s="2" t="s">
        <v>40960</v>
      </c>
      <c r="M4265" s="2" t="s">
        <v>40961</v>
      </c>
      <c r="N4265" s="3" t="s">
        <v>684</v>
      </c>
      <c r="P4265" s="3" t="s">
        <v>64</v>
      </c>
      <c r="Q4265" s="2" t="s">
        <v>40962</v>
      </c>
      <c r="R4265" s="3" t="s">
        <v>40557</v>
      </c>
      <c r="S4265" s="4">
        <v>8</v>
      </c>
      <c r="T4265" s="4">
        <v>8</v>
      </c>
      <c r="U4265" s="5" t="s">
        <v>34049</v>
      </c>
      <c r="V4265" s="5" t="s">
        <v>34049</v>
      </c>
      <c r="W4265" s="5" t="s">
        <v>67</v>
      </c>
      <c r="X4265" s="5" t="s">
        <v>67</v>
      </c>
      <c r="Y4265" s="4">
        <v>84</v>
      </c>
      <c r="Z4265" s="4">
        <v>44</v>
      </c>
      <c r="AA4265" s="4">
        <v>45</v>
      </c>
      <c r="AB4265" s="4">
        <v>1</v>
      </c>
      <c r="AC4265" s="4">
        <v>2</v>
      </c>
      <c r="AD4265" s="4">
        <v>26</v>
      </c>
      <c r="AE4265" s="4">
        <v>27</v>
      </c>
      <c r="AF4265" s="4">
        <v>0</v>
      </c>
      <c r="AG4265" s="4">
        <v>1</v>
      </c>
      <c r="AH4265" s="4">
        <v>17</v>
      </c>
      <c r="AI4265" s="4">
        <v>18</v>
      </c>
      <c r="AJ4265" s="4">
        <v>14</v>
      </c>
      <c r="AK4265" s="4">
        <v>15</v>
      </c>
      <c r="AL4265" s="4">
        <v>9</v>
      </c>
      <c r="AM4265" s="4">
        <v>9</v>
      </c>
      <c r="AN4265" s="4">
        <v>0</v>
      </c>
      <c r="AO4265" s="4">
        <v>0</v>
      </c>
      <c r="AP4265" s="4">
        <v>16</v>
      </c>
      <c r="AQ4265" s="4">
        <v>17</v>
      </c>
      <c r="AR4265" s="3" t="s">
        <v>61</v>
      </c>
      <c r="AS4265" s="3" t="s">
        <v>62</v>
      </c>
      <c r="AT4265" s="3" t="s">
        <v>62</v>
      </c>
      <c r="AV4265" s="6" t="str">
        <f>HYPERLINK("http://mcgill.on.worldcat.org/oclc/697934423","Catalog Record")</f>
        <v>Catalog Record</v>
      </c>
      <c r="AW4265" s="6" t="str">
        <f>HYPERLINK("http://www.worldcat.org/oclc/697934423","WorldCat Record")</f>
        <v>WorldCat Record</v>
      </c>
      <c r="AX4265" s="3" t="s">
        <v>40963</v>
      </c>
      <c r="AY4265" s="3" t="s">
        <v>40964</v>
      </c>
      <c r="AZ4265" s="3" t="s">
        <v>40965</v>
      </c>
      <c r="BA4265" s="3" t="s">
        <v>40965</v>
      </c>
      <c r="BB4265" s="3" t="s">
        <v>40966</v>
      </c>
      <c r="BC4265" s="3" t="s">
        <v>102</v>
      </c>
      <c r="BD4265" s="3" t="s">
        <v>231</v>
      </c>
      <c r="BE4265" s="3" t="s">
        <v>40967</v>
      </c>
      <c r="BF4265" s="3" t="s">
        <v>40966</v>
      </c>
      <c r="BG4265" s="3" t="s">
        <v>40968</v>
      </c>
    </row>
    <row r="4266" spans="1:59" ht="72.5" x14ac:dyDescent="0.35">
      <c r="A4266" s="2" t="s">
        <v>59</v>
      </c>
      <c r="B4266" s="2" t="s">
        <v>60</v>
      </c>
      <c r="C4266" s="2" t="s">
        <v>40969</v>
      </c>
      <c r="D4266" s="2" t="s">
        <v>40970</v>
      </c>
      <c r="E4266" s="2" t="s">
        <v>40971</v>
      </c>
      <c r="F4266" s="3" t="s">
        <v>1413</v>
      </c>
      <c r="G4266" s="3" t="s">
        <v>61</v>
      </c>
      <c r="I4266" s="3" t="s">
        <v>62</v>
      </c>
      <c r="J4266" s="3" t="s">
        <v>62</v>
      </c>
      <c r="K4266" s="3" t="s">
        <v>63</v>
      </c>
      <c r="L4266" s="2" t="s">
        <v>40972</v>
      </c>
      <c r="M4266" s="2" t="s">
        <v>40973</v>
      </c>
      <c r="N4266" s="3" t="s">
        <v>396</v>
      </c>
      <c r="P4266" s="3" t="s">
        <v>64</v>
      </c>
      <c r="Q4266" s="2" t="s">
        <v>40974</v>
      </c>
      <c r="R4266" s="3" t="s">
        <v>40557</v>
      </c>
      <c r="S4266" s="4">
        <v>5</v>
      </c>
      <c r="T4266" s="4">
        <v>9</v>
      </c>
      <c r="U4266" s="5" t="s">
        <v>11740</v>
      </c>
      <c r="V4266" s="5" t="s">
        <v>11740</v>
      </c>
      <c r="W4266" s="5" t="s">
        <v>67</v>
      </c>
      <c r="X4266" s="5" t="s">
        <v>67</v>
      </c>
      <c r="Y4266" s="4">
        <v>207</v>
      </c>
      <c r="Z4266" s="4">
        <v>11</v>
      </c>
      <c r="AA4266" s="4">
        <v>12</v>
      </c>
      <c r="AB4266" s="4">
        <v>1</v>
      </c>
      <c r="AC4266" s="4">
        <v>2</v>
      </c>
      <c r="AD4266" s="4">
        <v>65</v>
      </c>
      <c r="AE4266" s="4">
        <v>66</v>
      </c>
      <c r="AF4266" s="4">
        <v>0</v>
      </c>
      <c r="AG4266" s="4">
        <v>1</v>
      </c>
      <c r="AH4266" s="4">
        <v>61</v>
      </c>
      <c r="AI4266" s="4">
        <v>61</v>
      </c>
      <c r="AJ4266" s="4">
        <v>5</v>
      </c>
      <c r="AK4266" s="4">
        <v>6</v>
      </c>
      <c r="AL4266" s="4">
        <v>35</v>
      </c>
      <c r="AM4266" s="4">
        <v>35</v>
      </c>
      <c r="AN4266" s="4">
        <v>0</v>
      </c>
      <c r="AO4266" s="4">
        <v>0</v>
      </c>
      <c r="AP4266" s="4">
        <v>5</v>
      </c>
      <c r="AQ4266" s="4">
        <v>5</v>
      </c>
      <c r="AR4266" s="3" t="s">
        <v>62</v>
      </c>
      <c r="AS4266" s="3" t="s">
        <v>62</v>
      </c>
      <c r="AT4266" s="3" t="s">
        <v>61</v>
      </c>
      <c r="AU4266" s="6" t="str">
        <f>HYPERLINK("http://catalog.hathitrust.org/Record/000825156","HathiTrust Record")</f>
        <v>HathiTrust Record</v>
      </c>
      <c r="AV4266" s="6" t="str">
        <f>HYPERLINK("http://mcgill.on.worldcat.org/oclc/10558661","Catalog Record")</f>
        <v>Catalog Record</v>
      </c>
      <c r="AW4266" s="6" t="str">
        <f>HYPERLINK("http://www.worldcat.org/oclc/10558661","WorldCat Record")</f>
        <v>WorldCat Record</v>
      </c>
      <c r="AX4266" s="3" t="s">
        <v>40975</v>
      </c>
      <c r="AY4266" s="3" t="s">
        <v>40976</v>
      </c>
      <c r="AZ4266" s="3" t="s">
        <v>40977</v>
      </c>
      <c r="BA4266" s="3" t="s">
        <v>40977</v>
      </c>
      <c r="BB4266" s="3" t="s">
        <v>40978</v>
      </c>
      <c r="BC4266" s="3" t="s">
        <v>102</v>
      </c>
      <c r="BD4266" s="3" t="s">
        <v>68</v>
      </c>
      <c r="BE4266" s="3" t="s">
        <v>40979</v>
      </c>
      <c r="BF4266" s="3" t="s">
        <v>40978</v>
      </c>
      <c r="BG4266" s="3" t="s">
        <v>40980</v>
      </c>
    </row>
    <row r="4267" spans="1:59" ht="72.5" x14ac:dyDescent="0.35">
      <c r="A4267" s="2" t="s">
        <v>59</v>
      </c>
      <c r="B4267" s="2" t="s">
        <v>60</v>
      </c>
      <c r="C4267" s="2" t="s">
        <v>40969</v>
      </c>
      <c r="D4267" s="2" t="s">
        <v>40970</v>
      </c>
      <c r="E4267" s="2" t="s">
        <v>40971</v>
      </c>
      <c r="F4267" s="3" t="s">
        <v>1416</v>
      </c>
      <c r="G4267" s="3" t="s">
        <v>61</v>
      </c>
      <c r="I4267" s="3" t="s">
        <v>62</v>
      </c>
      <c r="J4267" s="3" t="s">
        <v>62</v>
      </c>
      <c r="K4267" s="3" t="s">
        <v>63</v>
      </c>
      <c r="L4267" s="2" t="s">
        <v>40972</v>
      </c>
      <c r="M4267" s="2" t="s">
        <v>40973</v>
      </c>
      <c r="N4267" s="3" t="s">
        <v>396</v>
      </c>
      <c r="P4267" s="3" t="s">
        <v>64</v>
      </c>
      <c r="Q4267" s="2" t="s">
        <v>40974</v>
      </c>
      <c r="R4267" s="3" t="s">
        <v>40557</v>
      </c>
      <c r="S4267" s="4">
        <v>4</v>
      </c>
      <c r="T4267" s="4">
        <v>9</v>
      </c>
      <c r="U4267" s="5" t="s">
        <v>11740</v>
      </c>
      <c r="V4267" s="5" t="s">
        <v>11740</v>
      </c>
      <c r="W4267" s="5" t="s">
        <v>67</v>
      </c>
      <c r="X4267" s="5" t="s">
        <v>67</v>
      </c>
      <c r="Y4267" s="4">
        <v>207</v>
      </c>
      <c r="Z4267" s="4">
        <v>11</v>
      </c>
      <c r="AA4267" s="4">
        <v>12</v>
      </c>
      <c r="AB4267" s="4">
        <v>1</v>
      </c>
      <c r="AC4267" s="4">
        <v>2</v>
      </c>
      <c r="AD4267" s="4">
        <v>65</v>
      </c>
      <c r="AE4267" s="4">
        <v>66</v>
      </c>
      <c r="AF4267" s="4">
        <v>0</v>
      </c>
      <c r="AG4267" s="4">
        <v>1</v>
      </c>
      <c r="AH4267" s="4">
        <v>61</v>
      </c>
      <c r="AI4267" s="4">
        <v>61</v>
      </c>
      <c r="AJ4267" s="4">
        <v>5</v>
      </c>
      <c r="AK4267" s="4">
        <v>6</v>
      </c>
      <c r="AL4267" s="4">
        <v>35</v>
      </c>
      <c r="AM4267" s="4">
        <v>35</v>
      </c>
      <c r="AN4267" s="4">
        <v>0</v>
      </c>
      <c r="AO4267" s="4">
        <v>0</v>
      </c>
      <c r="AP4267" s="4">
        <v>5</v>
      </c>
      <c r="AQ4267" s="4">
        <v>5</v>
      </c>
      <c r="AR4267" s="3" t="s">
        <v>62</v>
      </c>
      <c r="AS4267" s="3" t="s">
        <v>62</v>
      </c>
      <c r="AT4267" s="3" t="s">
        <v>61</v>
      </c>
      <c r="AU4267" s="6" t="str">
        <f>HYPERLINK("http://catalog.hathitrust.org/Record/000825156","HathiTrust Record")</f>
        <v>HathiTrust Record</v>
      </c>
      <c r="AV4267" s="6" t="str">
        <f>HYPERLINK("http://mcgill.on.worldcat.org/oclc/10558661","Catalog Record")</f>
        <v>Catalog Record</v>
      </c>
      <c r="AW4267" s="6" t="str">
        <f>HYPERLINK("http://www.worldcat.org/oclc/10558661","WorldCat Record")</f>
        <v>WorldCat Record</v>
      </c>
      <c r="AX4267" s="3" t="s">
        <v>40975</v>
      </c>
      <c r="AY4267" s="3" t="s">
        <v>40976</v>
      </c>
      <c r="AZ4267" s="3" t="s">
        <v>40977</v>
      </c>
      <c r="BA4267" s="3" t="s">
        <v>40977</v>
      </c>
      <c r="BB4267" s="3" t="s">
        <v>40981</v>
      </c>
      <c r="BC4267" s="3" t="s">
        <v>102</v>
      </c>
      <c r="BD4267" s="3" t="s">
        <v>68</v>
      </c>
      <c r="BE4267" s="3" t="s">
        <v>40979</v>
      </c>
      <c r="BF4267" s="3" t="s">
        <v>40981</v>
      </c>
      <c r="BG4267" s="3" t="s">
        <v>40982</v>
      </c>
    </row>
    <row r="4268" spans="1:59" ht="116" x14ac:dyDescent="0.35">
      <c r="A4268" s="2" t="s">
        <v>89</v>
      </c>
      <c r="B4268" s="2" t="s">
        <v>3312</v>
      </c>
      <c r="C4268" s="2" t="s">
        <v>40983</v>
      </c>
      <c r="D4268" s="2" t="s">
        <v>40984</v>
      </c>
      <c r="E4268" s="2" t="s">
        <v>40985</v>
      </c>
      <c r="G4268" s="3" t="s">
        <v>62</v>
      </c>
      <c r="I4268" s="3" t="s">
        <v>62</v>
      </c>
      <c r="J4268" s="3" t="s">
        <v>62</v>
      </c>
      <c r="K4268" s="3" t="s">
        <v>63</v>
      </c>
      <c r="M4268" s="2" t="s">
        <v>40986</v>
      </c>
      <c r="N4268" s="3" t="s">
        <v>698</v>
      </c>
      <c r="P4268" s="3" t="s">
        <v>64</v>
      </c>
      <c r="R4268" s="3" t="s">
        <v>40557</v>
      </c>
      <c r="S4268" s="4">
        <v>0</v>
      </c>
      <c r="T4268" s="4">
        <v>0</v>
      </c>
      <c r="W4268" s="5" t="s">
        <v>67</v>
      </c>
      <c r="X4268" s="5" t="s">
        <v>67</v>
      </c>
      <c r="Y4268" s="4">
        <v>2</v>
      </c>
      <c r="Z4268" s="4">
        <v>1</v>
      </c>
      <c r="AA4268" s="4">
        <v>1</v>
      </c>
      <c r="AB4268" s="4">
        <v>1</v>
      </c>
      <c r="AC4268" s="4">
        <v>1</v>
      </c>
      <c r="AD4268" s="4">
        <v>0</v>
      </c>
      <c r="AE4268" s="4">
        <v>3</v>
      </c>
      <c r="AF4268" s="4">
        <v>0</v>
      </c>
      <c r="AG4268" s="4">
        <v>0</v>
      </c>
      <c r="AH4268" s="4">
        <v>0</v>
      </c>
      <c r="AI4268" s="4">
        <v>3</v>
      </c>
      <c r="AJ4268" s="4">
        <v>0</v>
      </c>
      <c r="AK4268" s="4">
        <v>0</v>
      </c>
      <c r="AL4268" s="4">
        <v>0</v>
      </c>
      <c r="AM4268" s="4">
        <v>2</v>
      </c>
      <c r="AN4268" s="4">
        <v>0</v>
      </c>
      <c r="AO4268" s="4">
        <v>0</v>
      </c>
      <c r="AP4268" s="4">
        <v>0</v>
      </c>
      <c r="AQ4268" s="4">
        <v>0</v>
      </c>
      <c r="AR4268" s="3" t="s">
        <v>62</v>
      </c>
      <c r="AS4268" s="3" t="s">
        <v>62</v>
      </c>
      <c r="AT4268" s="3" t="s">
        <v>62</v>
      </c>
      <c r="AV4268" s="6" t="str">
        <f>HYPERLINK("http://mcgill.on.worldcat.org/oclc/884353856","Catalog Record")</f>
        <v>Catalog Record</v>
      </c>
      <c r="AW4268" s="6" t="str">
        <f>HYPERLINK("http://www.worldcat.org/oclc/884353856","WorldCat Record")</f>
        <v>WorldCat Record</v>
      </c>
      <c r="AX4268" s="3" t="s">
        <v>40987</v>
      </c>
      <c r="AY4268" s="3" t="s">
        <v>40988</v>
      </c>
      <c r="AZ4268" s="3" t="s">
        <v>40989</v>
      </c>
      <c r="BA4268" s="3" t="s">
        <v>40989</v>
      </c>
      <c r="BB4268" s="3" t="s">
        <v>40990</v>
      </c>
      <c r="BC4268" s="3" t="s">
        <v>102</v>
      </c>
      <c r="BD4268" s="3" t="s">
        <v>68</v>
      </c>
      <c r="BE4268" s="3" t="s">
        <v>40991</v>
      </c>
      <c r="BF4268" s="3" t="s">
        <v>40990</v>
      </c>
      <c r="BG4268" s="3" t="s">
        <v>40992</v>
      </c>
    </row>
    <row r="4269" spans="1:59" ht="130.5" x14ac:dyDescent="0.35">
      <c r="A4269" s="2" t="s">
        <v>59</v>
      </c>
      <c r="B4269" s="2" t="s">
        <v>60</v>
      </c>
      <c r="C4269" s="2" t="s">
        <v>40993</v>
      </c>
      <c r="D4269" s="2" t="s">
        <v>40994</v>
      </c>
      <c r="E4269" s="2" t="s">
        <v>40995</v>
      </c>
      <c r="G4269" s="3" t="s">
        <v>62</v>
      </c>
      <c r="I4269" s="3" t="s">
        <v>62</v>
      </c>
      <c r="J4269" s="3" t="s">
        <v>61</v>
      </c>
      <c r="K4269" s="3" t="s">
        <v>63</v>
      </c>
      <c r="L4269" s="2" t="s">
        <v>40996</v>
      </c>
      <c r="M4269" s="2" t="s">
        <v>40997</v>
      </c>
      <c r="N4269" s="3" t="s">
        <v>866</v>
      </c>
      <c r="P4269" s="3" t="s">
        <v>64</v>
      </c>
      <c r="R4269" s="3" t="s">
        <v>40557</v>
      </c>
      <c r="S4269" s="4">
        <v>1</v>
      </c>
      <c r="T4269" s="4">
        <v>1</v>
      </c>
      <c r="U4269" s="5" t="s">
        <v>32882</v>
      </c>
      <c r="V4269" s="5" t="s">
        <v>32882</v>
      </c>
      <c r="W4269" s="5" t="s">
        <v>67</v>
      </c>
      <c r="X4269" s="5" t="s">
        <v>67</v>
      </c>
      <c r="Y4269" s="4">
        <v>106</v>
      </c>
      <c r="Z4269" s="4">
        <v>2</v>
      </c>
      <c r="AA4269" s="4">
        <v>3</v>
      </c>
      <c r="AB4269" s="4">
        <v>1</v>
      </c>
      <c r="AC4269" s="4">
        <v>1</v>
      </c>
      <c r="AD4269" s="4">
        <v>27</v>
      </c>
      <c r="AE4269" s="4">
        <v>42</v>
      </c>
      <c r="AF4269" s="4">
        <v>0</v>
      </c>
      <c r="AG4269" s="4">
        <v>0</v>
      </c>
      <c r="AH4269" s="4">
        <v>25</v>
      </c>
      <c r="AI4269" s="4">
        <v>40</v>
      </c>
      <c r="AJ4269" s="4">
        <v>1</v>
      </c>
      <c r="AK4269" s="4">
        <v>2</v>
      </c>
      <c r="AL4269" s="4">
        <v>15</v>
      </c>
      <c r="AM4269" s="4">
        <v>25</v>
      </c>
      <c r="AN4269" s="4">
        <v>0</v>
      </c>
      <c r="AO4269" s="4">
        <v>0</v>
      </c>
      <c r="AP4269" s="4">
        <v>1</v>
      </c>
      <c r="AQ4269" s="4">
        <v>2</v>
      </c>
      <c r="AR4269" s="3" t="s">
        <v>62</v>
      </c>
      <c r="AS4269" s="3" t="s">
        <v>62</v>
      </c>
      <c r="AT4269" s="3" t="s">
        <v>61</v>
      </c>
      <c r="AU4269" s="6" t="str">
        <f>HYPERLINK("http://catalog.hathitrust.org/Record/006812104","HathiTrust Record")</f>
        <v>HathiTrust Record</v>
      </c>
      <c r="AV4269" s="6" t="str">
        <f>HYPERLINK("http://mcgill.on.worldcat.org/oclc/309413","Catalog Record")</f>
        <v>Catalog Record</v>
      </c>
      <c r="AW4269" s="6" t="str">
        <f>HYPERLINK("http://www.worldcat.org/oclc/309413","WorldCat Record")</f>
        <v>WorldCat Record</v>
      </c>
      <c r="AX4269" s="3" t="s">
        <v>40998</v>
      </c>
      <c r="AY4269" s="3" t="s">
        <v>40999</v>
      </c>
      <c r="AZ4269" s="3" t="s">
        <v>41000</v>
      </c>
      <c r="BA4269" s="3" t="s">
        <v>41000</v>
      </c>
      <c r="BB4269" s="3" t="s">
        <v>41001</v>
      </c>
      <c r="BC4269" s="3" t="s">
        <v>102</v>
      </c>
      <c r="BD4269" s="3" t="s">
        <v>68</v>
      </c>
      <c r="BE4269" s="3" t="s">
        <v>41002</v>
      </c>
      <c r="BF4269" s="3" t="s">
        <v>41001</v>
      </c>
      <c r="BG4269" s="3" t="s">
        <v>41003</v>
      </c>
    </row>
    <row r="4270" spans="1:59" ht="58" x14ac:dyDescent="0.35">
      <c r="A4270" s="2" t="s">
        <v>89</v>
      </c>
      <c r="B4270" s="2" t="s">
        <v>90</v>
      </c>
      <c r="C4270" s="2" t="s">
        <v>41004</v>
      </c>
      <c r="D4270" s="2" t="s">
        <v>41005</v>
      </c>
      <c r="E4270" s="2" t="s">
        <v>41006</v>
      </c>
      <c r="G4270" s="3" t="s">
        <v>62</v>
      </c>
      <c r="H4270" s="3" t="s">
        <v>916</v>
      </c>
      <c r="I4270" s="3" t="s">
        <v>62</v>
      </c>
      <c r="J4270" s="3" t="s">
        <v>62</v>
      </c>
      <c r="K4270" s="3" t="s">
        <v>63</v>
      </c>
      <c r="L4270" s="2" t="s">
        <v>41007</v>
      </c>
      <c r="M4270" s="2" t="s">
        <v>41008</v>
      </c>
      <c r="N4270" s="3" t="s">
        <v>2085</v>
      </c>
      <c r="O4270" s="2" t="s">
        <v>1941</v>
      </c>
      <c r="P4270" s="3" t="s">
        <v>64</v>
      </c>
      <c r="R4270" s="3" t="s">
        <v>40557</v>
      </c>
      <c r="S4270" s="4">
        <v>0</v>
      </c>
      <c r="T4270" s="4">
        <v>0</v>
      </c>
      <c r="W4270" s="5" t="s">
        <v>22014</v>
      </c>
      <c r="X4270" s="5" t="s">
        <v>22014</v>
      </c>
      <c r="Y4270" s="4">
        <v>926</v>
      </c>
      <c r="Z4270" s="4">
        <v>10</v>
      </c>
      <c r="AA4270" s="4">
        <v>13</v>
      </c>
      <c r="AB4270" s="4">
        <v>2</v>
      </c>
      <c r="AC4270" s="4">
        <v>3</v>
      </c>
      <c r="AD4270" s="4">
        <v>67</v>
      </c>
      <c r="AE4270" s="4">
        <v>68</v>
      </c>
      <c r="AF4270" s="4">
        <v>0</v>
      </c>
      <c r="AG4270" s="4">
        <v>0</v>
      </c>
      <c r="AH4270" s="4">
        <v>64</v>
      </c>
      <c r="AI4270" s="4">
        <v>65</v>
      </c>
      <c r="AJ4270" s="4">
        <v>2</v>
      </c>
      <c r="AK4270" s="4">
        <v>3</v>
      </c>
      <c r="AL4270" s="4">
        <v>43</v>
      </c>
      <c r="AM4270" s="4">
        <v>43</v>
      </c>
      <c r="AN4270" s="4">
        <v>0</v>
      </c>
      <c r="AO4270" s="4">
        <v>0</v>
      </c>
      <c r="AP4270" s="4">
        <v>2</v>
      </c>
      <c r="AQ4270" s="4">
        <v>3</v>
      </c>
      <c r="AR4270" s="3" t="s">
        <v>62</v>
      </c>
      <c r="AS4270" s="3" t="s">
        <v>62</v>
      </c>
      <c r="AT4270" s="3" t="s">
        <v>62</v>
      </c>
      <c r="AV4270" s="6" t="str">
        <f>HYPERLINK("http://mcgill.on.worldcat.org/oclc/1005117933","Catalog Record")</f>
        <v>Catalog Record</v>
      </c>
      <c r="AW4270" s="6" t="str">
        <f>HYPERLINK("http://www.worldcat.org/oclc/1005117933","WorldCat Record")</f>
        <v>WorldCat Record</v>
      </c>
      <c r="AX4270" s="3" t="s">
        <v>41009</v>
      </c>
      <c r="AY4270" s="3" t="s">
        <v>41010</v>
      </c>
      <c r="AZ4270" s="3" t="s">
        <v>41011</v>
      </c>
      <c r="BA4270" s="3" t="s">
        <v>41011</v>
      </c>
      <c r="BB4270" s="3" t="s">
        <v>41012</v>
      </c>
      <c r="BC4270" s="3" t="s">
        <v>102</v>
      </c>
      <c r="BD4270" s="3" t="s">
        <v>68</v>
      </c>
      <c r="BE4270" s="3" t="s">
        <v>41013</v>
      </c>
      <c r="BF4270" s="3" t="s">
        <v>41012</v>
      </c>
      <c r="BG4270" s="3" t="s">
        <v>41014</v>
      </c>
    </row>
    <row r="4271" spans="1:59" ht="58" x14ac:dyDescent="0.35">
      <c r="A4271" s="2" t="s">
        <v>59</v>
      </c>
      <c r="B4271" s="2" t="s">
        <v>60</v>
      </c>
      <c r="C4271" s="2" t="s">
        <v>41015</v>
      </c>
      <c r="D4271" s="2" t="s">
        <v>41016</v>
      </c>
      <c r="E4271" s="2" t="s">
        <v>41017</v>
      </c>
      <c r="G4271" s="3" t="s">
        <v>62</v>
      </c>
      <c r="I4271" s="3" t="s">
        <v>62</v>
      </c>
      <c r="J4271" s="3" t="s">
        <v>62</v>
      </c>
      <c r="K4271" s="3" t="s">
        <v>63</v>
      </c>
      <c r="L4271" s="2" t="s">
        <v>41018</v>
      </c>
      <c r="M4271" s="2" t="s">
        <v>41019</v>
      </c>
      <c r="N4271" s="3" t="s">
        <v>438</v>
      </c>
      <c r="P4271" s="3" t="s">
        <v>64</v>
      </c>
      <c r="Q4271" s="2" t="s">
        <v>41020</v>
      </c>
      <c r="R4271" s="3" t="s">
        <v>40557</v>
      </c>
      <c r="S4271" s="4">
        <v>3</v>
      </c>
      <c r="T4271" s="4">
        <v>3</v>
      </c>
      <c r="U4271" s="5" t="s">
        <v>36222</v>
      </c>
      <c r="V4271" s="5" t="s">
        <v>36222</v>
      </c>
      <c r="W4271" s="5" t="s">
        <v>67</v>
      </c>
      <c r="X4271" s="5" t="s">
        <v>67</v>
      </c>
      <c r="Y4271" s="4">
        <v>312</v>
      </c>
      <c r="Z4271" s="4">
        <v>21</v>
      </c>
      <c r="AA4271" s="4">
        <v>22</v>
      </c>
      <c r="AB4271" s="4">
        <v>2</v>
      </c>
      <c r="AC4271" s="4">
        <v>3</v>
      </c>
      <c r="AD4271" s="4">
        <v>82</v>
      </c>
      <c r="AE4271" s="4">
        <v>83</v>
      </c>
      <c r="AF4271" s="4">
        <v>0</v>
      </c>
      <c r="AG4271" s="4">
        <v>1</v>
      </c>
      <c r="AH4271" s="4">
        <v>75</v>
      </c>
      <c r="AI4271" s="4">
        <v>75</v>
      </c>
      <c r="AJ4271" s="4">
        <v>11</v>
      </c>
      <c r="AK4271" s="4">
        <v>12</v>
      </c>
      <c r="AL4271" s="4">
        <v>40</v>
      </c>
      <c r="AM4271" s="4">
        <v>40</v>
      </c>
      <c r="AN4271" s="4">
        <v>0</v>
      </c>
      <c r="AO4271" s="4">
        <v>0</v>
      </c>
      <c r="AP4271" s="4">
        <v>13</v>
      </c>
      <c r="AQ4271" s="4">
        <v>14</v>
      </c>
      <c r="AR4271" s="3" t="s">
        <v>62</v>
      </c>
      <c r="AS4271" s="3" t="s">
        <v>62</v>
      </c>
      <c r="AT4271" s="3" t="s">
        <v>61</v>
      </c>
      <c r="AU4271" s="6" t="str">
        <f>HYPERLINK("http://catalog.hathitrust.org/Record/001948394","HathiTrust Record")</f>
        <v>HathiTrust Record</v>
      </c>
      <c r="AV4271" s="6" t="str">
        <f>HYPERLINK("http://mcgill.on.worldcat.org/oclc/19352728","Catalog Record")</f>
        <v>Catalog Record</v>
      </c>
      <c r="AW4271" s="6" t="str">
        <f>HYPERLINK("http://www.worldcat.org/oclc/19352728","WorldCat Record")</f>
        <v>WorldCat Record</v>
      </c>
      <c r="AX4271" s="3" t="s">
        <v>41021</v>
      </c>
      <c r="AY4271" s="3" t="s">
        <v>41022</v>
      </c>
      <c r="AZ4271" s="3" t="s">
        <v>41023</v>
      </c>
      <c r="BA4271" s="3" t="s">
        <v>41023</v>
      </c>
      <c r="BB4271" s="3" t="s">
        <v>41024</v>
      </c>
      <c r="BC4271" s="3" t="s">
        <v>102</v>
      </c>
      <c r="BD4271" s="3" t="s">
        <v>68</v>
      </c>
      <c r="BE4271" s="3" t="s">
        <v>41025</v>
      </c>
      <c r="BF4271" s="3" t="s">
        <v>41024</v>
      </c>
      <c r="BG4271" s="3" t="s">
        <v>41026</v>
      </c>
    </row>
    <row r="4272" spans="1:59" ht="58" x14ac:dyDescent="0.35">
      <c r="A4272" s="2" t="s">
        <v>59</v>
      </c>
      <c r="B4272" s="2" t="s">
        <v>60</v>
      </c>
      <c r="C4272" s="2" t="s">
        <v>41027</v>
      </c>
      <c r="D4272" s="2" t="s">
        <v>41028</v>
      </c>
      <c r="E4272" s="2" t="s">
        <v>41029</v>
      </c>
      <c r="G4272" s="3" t="s">
        <v>62</v>
      </c>
      <c r="I4272" s="3" t="s">
        <v>62</v>
      </c>
      <c r="J4272" s="3" t="s">
        <v>61</v>
      </c>
      <c r="K4272" s="3" t="s">
        <v>63</v>
      </c>
      <c r="L4272" s="2" t="s">
        <v>40949</v>
      </c>
      <c r="M4272" s="2" t="s">
        <v>41030</v>
      </c>
      <c r="N4272" s="3" t="s">
        <v>1064</v>
      </c>
      <c r="P4272" s="3" t="s">
        <v>64</v>
      </c>
      <c r="R4272" s="3" t="s">
        <v>40557</v>
      </c>
      <c r="S4272" s="4">
        <v>2</v>
      </c>
      <c r="T4272" s="4">
        <v>2</v>
      </c>
      <c r="U4272" s="5" t="s">
        <v>36222</v>
      </c>
      <c r="V4272" s="5" t="s">
        <v>36222</v>
      </c>
      <c r="W4272" s="5" t="s">
        <v>67</v>
      </c>
      <c r="X4272" s="5" t="s">
        <v>67</v>
      </c>
      <c r="Y4272" s="4">
        <v>126</v>
      </c>
      <c r="Z4272" s="4">
        <v>3</v>
      </c>
      <c r="AA4272" s="4">
        <v>4</v>
      </c>
      <c r="AB4272" s="4">
        <v>1</v>
      </c>
      <c r="AC4272" s="4">
        <v>2</v>
      </c>
      <c r="AD4272" s="4">
        <v>27</v>
      </c>
      <c r="AE4272" s="4">
        <v>42</v>
      </c>
      <c r="AF4272" s="4">
        <v>0</v>
      </c>
      <c r="AG4272" s="4">
        <v>0</v>
      </c>
      <c r="AH4272" s="4">
        <v>25</v>
      </c>
      <c r="AI4272" s="4">
        <v>39</v>
      </c>
      <c r="AJ4272" s="4">
        <v>2</v>
      </c>
      <c r="AK4272" s="4">
        <v>2</v>
      </c>
      <c r="AL4272" s="4">
        <v>16</v>
      </c>
      <c r="AM4272" s="4">
        <v>25</v>
      </c>
      <c r="AN4272" s="4">
        <v>0</v>
      </c>
      <c r="AO4272" s="4">
        <v>0</v>
      </c>
      <c r="AP4272" s="4">
        <v>2</v>
      </c>
      <c r="AQ4272" s="4">
        <v>2</v>
      </c>
      <c r="AR4272" s="3" t="s">
        <v>62</v>
      </c>
      <c r="AS4272" s="3" t="s">
        <v>62</v>
      </c>
      <c r="AT4272" s="3" t="s">
        <v>62</v>
      </c>
      <c r="AV4272" s="6" t="str">
        <f>HYPERLINK("http://mcgill.on.worldcat.org/oclc/333539","Catalog Record")</f>
        <v>Catalog Record</v>
      </c>
      <c r="AW4272" s="6" t="str">
        <f>HYPERLINK("http://www.worldcat.org/oclc/333539","WorldCat Record")</f>
        <v>WorldCat Record</v>
      </c>
      <c r="AX4272" s="3" t="s">
        <v>41031</v>
      </c>
      <c r="AY4272" s="3" t="s">
        <v>41032</v>
      </c>
      <c r="AZ4272" s="3" t="s">
        <v>41033</v>
      </c>
      <c r="BA4272" s="3" t="s">
        <v>41033</v>
      </c>
      <c r="BB4272" s="3" t="s">
        <v>41034</v>
      </c>
      <c r="BC4272" s="3" t="s">
        <v>102</v>
      </c>
      <c r="BD4272" s="3" t="s">
        <v>68</v>
      </c>
      <c r="BF4272" s="3" t="s">
        <v>41034</v>
      </c>
      <c r="BG4272" s="3" t="s">
        <v>41035</v>
      </c>
    </row>
    <row r="4273" spans="1:59" ht="58" x14ac:dyDescent="0.35">
      <c r="A4273" s="2" t="s">
        <v>59</v>
      </c>
      <c r="B4273" s="2" t="s">
        <v>60</v>
      </c>
      <c r="C4273" s="2" t="s">
        <v>41036</v>
      </c>
      <c r="D4273" s="2" t="s">
        <v>41037</v>
      </c>
      <c r="E4273" s="2" t="s">
        <v>41038</v>
      </c>
      <c r="G4273" s="3" t="s">
        <v>62</v>
      </c>
      <c r="I4273" s="3" t="s">
        <v>61</v>
      </c>
      <c r="J4273" s="3" t="s">
        <v>62</v>
      </c>
      <c r="K4273" s="3" t="s">
        <v>63</v>
      </c>
      <c r="L4273" s="2" t="s">
        <v>41039</v>
      </c>
      <c r="M4273" s="2" t="s">
        <v>41040</v>
      </c>
      <c r="N4273" s="3" t="s">
        <v>396</v>
      </c>
      <c r="P4273" s="3" t="s">
        <v>85</v>
      </c>
      <c r="R4273" s="3" t="s">
        <v>40557</v>
      </c>
      <c r="S4273" s="4">
        <v>13</v>
      </c>
      <c r="T4273" s="4">
        <v>13</v>
      </c>
      <c r="U4273" s="5" t="s">
        <v>23761</v>
      </c>
      <c r="V4273" s="5" t="s">
        <v>23761</v>
      </c>
      <c r="W4273" s="5" t="s">
        <v>67</v>
      </c>
      <c r="X4273" s="5" t="s">
        <v>67</v>
      </c>
      <c r="Y4273" s="4">
        <v>4</v>
      </c>
      <c r="Z4273" s="4">
        <v>4</v>
      </c>
      <c r="AA4273" s="4">
        <v>31</v>
      </c>
      <c r="AB4273" s="4">
        <v>1</v>
      </c>
      <c r="AC4273" s="4">
        <v>12</v>
      </c>
      <c r="AD4273" s="4">
        <v>1</v>
      </c>
      <c r="AE4273" s="4">
        <v>21</v>
      </c>
      <c r="AF4273" s="4">
        <v>0</v>
      </c>
      <c r="AG4273" s="4">
        <v>4</v>
      </c>
      <c r="AH4273" s="4">
        <v>1</v>
      </c>
      <c r="AI4273" s="4">
        <v>14</v>
      </c>
      <c r="AJ4273" s="4">
        <v>1</v>
      </c>
      <c r="AK4273" s="4">
        <v>9</v>
      </c>
      <c r="AL4273" s="4">
        <v>1</v>
      </c>
      <c r="AM4273" s="4">
        <v>8</v>
      </c>
      <c r="AN4273" s="4">
        <v>0</v>
      </c>
      <c r="AO4273" s="4">
        <v>0</v>
      </c>
      <c r="AP4273" s="4">
        <v>1</v>
      </c>
      <c r="AQ4273" s="4">
        <v>9</v>
      </c>
      <c r="AR4273" s="3" t="s">
        <v>61</v>
      </c>
      <c r="AS4273" s="3" t="s">
        <v>62</v>
      </c>
      <c r="AT4273" s="3" t="s">
        <v>62</v>
      </c>
      <c r="AV4273" s="6" t="str">
        <f>HYPERLINK("http://mcgill.on.worldcat.org/oclc/317555662","Catalog Record")</f>
        <v>Catalog Record</v>
      </c>
      <c r="AW4273" s="6" t="str">
        <f>HYPERLINK("http://www.worldcat.org/oclc/317555662","WorldCat Record")</f>
        <v>WorldCat Record</v>
      </c>
      <c r="AX4273" s="3" t="s">
        <v>41041</v>
      </c>
      <c r="AY4273" s="3" t="s">
        <v>41042</v>
      </c>
      <c r="AZ4273" s="3" t="s">
        <v>41043</v>
      </c>
      <c r="BA4273" s="3" t="s">
        <v>41043</v>
      </c>
      <c r="BB4273" s="3" t="s">
        <v>41044</v>
      </c>
      <c r="BC4273" s="3" t="s">
        <v>102</v>
      </c>
      <c r="BD4273" s="3" t="s">
        <v>68</v>
      </c>
      <c r="BE4273" s="3" t="s">
        <v>41045</v>
      </c>
      <c r="BF4273" s="3" t="s">
        <v>41044</v>
      </c>
      <c r="BG4273" s="3" t="s">
        <v>41046</v>
      </c>
    </row>
    <row r="4274" spans="1:59" ht="58" x14ac:dyDescent="0.35">
      <c r="A4274" s="2" t="s">
        <v>89</v>
      </c>
      <c r="B4274" s="2" t="s">
        <v>90</v>
      </c>
      <c r="C4274" s="2" t="s">
        <v>41047</v>
      </c>
      <c r="D4274" s="2" t="s">
        <v>41048</v>
      </c>
      <c r="E4274" s="2" t="s">
        <v>41049</v>
      </c>
      <c r="G4274" s="3" t="s">
        <v>62</v>
      </c>
      <c r="I4274" s="3" t="s">
        <v>62</v>
      </c>
      <c r="J4274" s="3" t="s">
        <v>62</v>
      </c>
      <c r="K4274" s="3" t="s">
        <v>63</v>
      </c>
      <c r="L4274" s="2" t="s">
        <v>41050</v>
      </c>
      <c r="M4274" s="2" t="s">
        <v>41051</v>
      </c>
      <c r="N4274" s="3" t="s">
        <v>2985</v>
      </c>
      <c r="P4274" s="3" t="s">
        <v>64</v>
      </c>
      <c r="Q4274" s="2" t="s">
        <v>41052</v>
      </c>
      <c r="R4274" s="3" t="s">
        <v>40557</v>
      </c>
      <c r="S4274" s="4">
        <v>7</v>
      </c>
      <c r="T4274" s="4">
        <v>7</v>
      </c>
      <c r="U4274" s="5" t="s">
        <v>5160</v>
      </c>
      <c r="V4274" s="5" t="s">
        <v>5160</v>
      </c>
      <c r="W4274" s="5" t="s">
        <v>67</v>
      </c>
      <c r="X4274" s="5" t="s">
        <v>67</v>
      </c>
      <c r="Y4274" s="4">
        <v>107</v>
      </c>
      <c r="Z4274" s="4">
        <v>53</v>
      </c>
      <c r="AA4274" s="4">
        <v>55</v>
      </c>
      <c r="AB4274" s="4">
        <v>4</v>
      </c>
      <c r="AC4274" s="4">
        <v>6</v>
      </c>
      <c r="AD4274" s="4">
        <v>49</v>
      </c>
      <c r="AE4274" s="4">
        <v>51</v>
      </c>
      <c r="AF4274" s="4">
        <v>1</v>
      </c>
      <c r="AG4274" s="4">
        <v>3</v>
      </c>
      <c r="AH4274" s="4">
        <v>31</v>
      </c>
      <c r="AI4274" s="4">
        <v>32</v>
      </c>
      <c r="AJ4274" s="4">
        <v>15</v>
      </c>
      <c r="AK4274" s="4">
        <v>17</v>
      </c>
      <c r="AL4274" s="4">
        <v>18</v>
      </c>
      <c r="AM4274" s="4">
        <v>18</v>
      </c>
      <c r="AN4274" s="4">
        <v>0</v>
      </c>
      <c r="AO4274" s="4">
        <v>0</v>
      </c>
      <c r="AP4274" s="4">
        <v>24</v>
      </c>
      <c r="AQ4274" s="4">
        <v>26</v>
      </c>
      <c r="AR4274" s="3" t="s">
        <v>61</v>
      </c>
      <c r="AS4274" s="3" t="s">
        <v>62</v>
      </c>
      <c r="AT4274" s="3" t="s">
        <v>62</v>
      </c>
      <c r="AV4274" s="6" t="str">
        <f>HYPERLINK("http://mcgill.on.worldcat.org/oclc/298591568","Catalog Record")</f>
        <v>Catalog Record</v>
      </c>
      <c r="AW4274" s="6" t="str">
        <f>HYPERLINK("http://www.worldcat.org/oclc/298591568","WorldCat Record")</f>
        <v>WorldCat Record</v>
      </c>
      <c r="AX4274" s="3" t="s">
        <v>41053</v>
      </c>
      <c r="AY4274" s="3" t="s">
        <v>41054</v>
      </c>
      <c r="AZ4274" s="3" t="s">
        <v>41055</v>
      </c>
      <c r="BA4274" s="3" t="s">
        <v>41055</v>
      </c>
      <c r="BB4274" s="3" t="s">
        <v>41056</v>
      </c>
      <c r="BC4274" s="3" t="s">
        <v>102</v>
      </c>
      <c r="BD4274" s="3" t="s">
        <v>231</v>
      </c>
      <c r="BE4274" s="3" t="s">
        <v>41057</v>
      </c>
      <c r="BF4274" s="3" t="s">
        <v>41056</v>
      </c>
      <c r="BG4274" s="3" t="s">
        <v>41058</v>
      </c>
    </row>
    <row r="4275" spans="1:59" ht="58" x14ac:dyDescent="0.35">
      <c r="A4275" s="2" t="s">
        <v>59</v>
      </c>
      <c r="B4275" s="2" t="s">
        <v>60</v>
      </c>
      <c r="C4275" s="2" t="s">
        <v>41059</v>
      </c>
      <c r="D4275" s="2" t="s">
        <v>41060</v>
      </c>
      <c r="E4275" s="2" t="s">
        <v>41061</v>
      </c>
      <c r="G4275" s="3" t="s">
        <v>62</v>
      </c>
      <c r="I4275" s="3" t="s">
        <v>62</v>
      </c>
      <c r="J4275" s="3" t="s">
        <v>61</v>
      </c>
      <c r="K4275" s="3" t="s">
        <v>63</v>
      </c>
      <c r="L4275" s="2" t="s">
        <v>41062</v>
      </c>
      <c r="M4275" s="2" t="s">
        <v>41063</v>
      </c>
      <c r="N4275" s="3" t="s">
        <v>424</v>
      </c>
      <c r="P4275" s="3" t="s">
        <v>64</v>
      </c>
      <c r="Q4275" s="2" t="s">
        <v>41064</v>
      </c>
      <c r="R4275" s="3" t="s">
        <v>40557</v>
      </c>
      <c r="S4275" s="4">
        <v>1</v>
      </c>
      <c r="T4275" s="4">
        <v>1</v>
      </c>
      <c r="U4275" s="5" t="s">
        <v>3355</v>
      </c>
      <c r="V4275" s="5" t="s">
        <v>3355</v>
      </c>
      <c r="W4275" s="5" t="s">
        <v>67</v>
      </c>
      <c r="X4275" s="5" t="s">
        <v>67</v>
      </c>
      <c r="Y4275" s="4">
        <v>633</v>
      </c>
      <c r="Z4275" s="4">
        <v>22</v>
      </c>
      <c r="AA4275" s="4">
        <v>78</v>
      </c>
      <c r="AB4275" s="4">
        <v>1</v>
      </c>
      <c r="AC4275" s="4">
        <v>9</v>
      </c>
      <c r="AD4275" s="4">
        <v>49</v>
      </c>
      <c r="AE4275" s="4">
        <v>101</v>
      </c>
      <c r="AF4275" s="4">
        <v>0</v>
      </c>
      <c r="AG4275" s="4">
        <v>2</v>
      </c>
      <c r="AH4275" s="4">
        <v>44</v>
      </c>
      <c r="AI4275" s="4">
        <v>81</v>
      </c>
      <c r="AJ4275" s="4">
        <v>6</v>
      </c>
      <c r="AK4275" s="4">
        <v>18</v>
      </c>
      <c r="AL4275" s="4">
        <v>20</v>
      </c>
      <c r="AM4275" s="4">
        <v>37</v>
      </c>
      <c r="AN4275" s="4">
        <v>0</v>
      </c>
      <c r="AO4275" s="4">
        <v>0</v>
      </c>
      <c r="AP4275" s="4">
        <v>7</v>
      </c>
      <c r="AQ4275" s="4">
        <v>25</v>
      </c>
      <c r="AR4275" s="3" t="s">
        <v>62</v>
      </c>
      <c r="AS4275" s="3" t="s">
        <v>62</v>
      </c>
      <c r="AT4275" s="3" t="s">
        <v>61</v>
      </c>
      <c r="AU4275" s="6" t="str">
        <f>HYPERLINK("http://catalog.hathitrust.org/Record/001956006","HathiTrust Record")</f>
        <v>HathiTrust Record</v>
      </c>
      <c r="AV4275" s="6" t="str">
        <f>HYPERLINK("http://mcgill.on.worldcat.org/oclc/16523490","Catalog Record")</f>
        <v>Catalog Record</v>
      </c>
      <c r="AW4275" s="6" t="str">
        <f>HYPERLINK("http://www.worldcat.org/oclc/16523490","WorldCat Record")</f>
        <v>WorldCat Record</v>
      </c>
      <c r="AX4275" s="3" t="s">
        <v>41065</v>
      </c>
      <c r="AY4275" s="3" t="s">
        <v>41066</v>
      </c>
      <c r="AZ4275" s="3" t="s">
        <v>41067</v>
      </c>
      <c r="BA4275" s="3" t="s">
        <v>41067</v>
      </c>
      <c r="BB4275" s="3" t="s">
        <v>41068</v>
      </c>
      <c r="BC4275" s="3" t="s">
        <v>102</v>
      </c>
      <c r="BD4275" s="3" t="s">
        <v>68</v>
      </c>
      <c r="BE4275" s="3" t="s">
        <v>41069</v>
      </c>
      <c r="BF4275" s="3" t="s">
        <v>41068</v>
      </c>
      <c r="BG4275" s="3" t="s">
        <v>41070</v>
      </c>
    </row>
    <row r="4276" spans="1:59" ht="58" x14ac:dyDescent="0.35">
      <c r="A4276" s="2" t="s">
        <v>59</v>
      </c>
      <c r="B4276" s="2" t="s">
        <v>60</v>
      </c>
      <c r="C4276" s="2" t="s">
        <v>41071</v>
      </c>
      <c r="D4276" s="2" t="s">
        <v>41072</v>
      </c>
      <c r="E4276" s="2" t="s">
        <v>41073</v>
      </c>
      <c r="G4276" s="3" t="s">
        <v>62</v>
      </c>
      <c r="I4276" s="3" t="s">
        <v>62</v>
      </c>
      <c r="J4276" s="3" t="s">
        <v>61</v>
      </c>
      <c r="K4276" s="3" t="s">
        <v>63</v>
      </c>
      <c r="L4276" s="2" t="s">
        <v>41074</v>
      </c>
      <c r="M4276" s="2" t="s">
        <v>41075</v>
      </c>
      <c r="N4276" s="3" t="s">
        <v>539</v>
      </c>
      <c r="O4276" s="2" t="s">
        <v>41076</v>
      </c>
      <c r="P4276" s="3" t="s">
        <v>64</v>
      </c>
      <c r="Q4276" s="2" t="s">
        <v>41064</v>
      </c>
      <c r="R4276" s="3" t="s">
        <v>40557</v>
      </c>
      <c r="S4276" s="4">
        <v>17</v>
      </c>
      <c r="T4276" s="4">
        <v>17</v>
      </c>
      <c r="U4276" s="5" t="s">
        <v>9608</v>
      </c>
      <c r="V4276" s="5" t="s">
        <v>9608</v>
      </c>
      <c r="W4276" s="5" t="s">
        <v>67</v>
      </c>
      <c r="X4276" s="5" t="s">
        <v>67</v>
      </c>
      <c r="Y4276" s="4">
        <v>820</v>
      </c>
      <c r="Z4276" s="4">
        <v>28</v>
      </c>
      <c r="AA4276" s="4">
        <v>78</v>
      </c>
      <c r="AB4276" s="4">
        <v>3</v>
      </c>
      <c r="AC4276" s="4">
        <v>9</v>
      </c>
      <c r="AD4276" s="4">
        <v>61</v>
      </c>
      <c r="AE4276" s="4">
        <v>101</v>
      </c>
      <c r="AF4276" s="4">
        <v>0</v>
      </c>
      <c r="AG4276" s="4">
        <v>2</v>
      </c>
      <c r="AH4276" s="4">
        <v>50</v>
      </c>
      <c r="AI4276" s="4">
        <v>81</v>
      </c>
      <c r="AJ4276" s="4">
        <v>9</v>
      </c>
      <c r="AK4276" s="4">
        <v>18</v>
      </c>
      <c r="AL4276" s="4">
        <v>24</v>
      </c>
      <c r="AM4276" s="4">
        <v>37</v>
      </c>
      <c r="AN4276" s="4">
        <v>0</v>
      </c>
      <c r="AO4276" s="4">
        <v>0</v>
      </c>
      <c r="AP4276" s="4">
        <v>11</v>
      </c>
      <c r="AQ4276" s="4">
        <v>25</v>
      </c>
      <c r="AR4276" s="3" t="s">
        <v>62</v>
      </c>
      <c r="AS4276" s="3" t="s">
        <v>62</v>
      </c>
      <c r="AT4276" s="3" t="s">
        <v>62</v>
      </c>
      <c r="AV4276" s="6" t="str">
        <f>HYPERLINK("http://mcgill.on.worldcat.org/oclc/38535978","Catalog Record")</f>
        <v>Catalog Record</v>
      </c>
      <c r="AW4276" s="6" t="str">
        <f>HYPERLINK("http://www.worldcat.org/oclc/38535978","WorldCat Record")</f>
        <v>WorldCat Record</v>
      </c>
      <c r="AX4276" s="3" t="s">
        <v>41065</v>
      </c>
      <c r="AY4276" s="3" t="s">
        <v>41077</v>
      </c>
      <c r="AZ4276" s="3" t="s">
        <v>41078</v>
      </c>
      <c r="BA4276" s="3" t="s">
        <v>41078</v>
      </c>
      <c r="BB4276" s="3" t="s">
        <v>41079</v>
      </c>
      <c r="BC4276" s="3" t="s">
        <v>102</v>
      </c>
      <c r="BD4276" s="3" t="s">
        <v>6923</v>
      </c>
      <c r="BE4276" s="3" t="s">
        <v>41080</v>
      </c>
      <c r="BF4276" s="3" t="s">
        <v>41079</v>
      </c>
      <c r="BG4276" s="3" t="s">
        <v>41081</v>
      </c>
    </row>
    <row r="4277" spans="1:59" ht="87" x14ac:dyDescent="0.35">
      <c r="A4277" s="2" t="s">
        <v>59</v>
      </c>
      <c r="B4277" s="2" t="s">
        <v>60</v>
      </c>
      <c r="C4277" s="2" t="s">
        <v>41082</v>
      </c>
      <c r="D4277" s="2" t="s">
        <v>41083</v>
      </c>
      <c r="E4277" s="2" t="s">
        <v>41084</v>
      </c>
      <c r="F4277" s="3" t="s">
        <v>237</v>
      </c>
      <c r="G4277" s="3" t="s">
        <v>61</v>
      </c>
      <c r="I4277" s="3" t="s">
        <v>61</v>
      </c>
      <c r="J4277" s="3" t="s">
        <v>62</v>
      </c>
      <c r="K4277" s="3" t="s">
        <v>63</v>
      </c>
      <c r="L4277" s="2" t="s">
        <v>41085</v>
      </c>
      <c r="M4277" s="2" t="s">
        <v>41086</v>
      </c>
      <c r="N4277" s="3" t="s">
        <v>866</v>
      </c>
      <c r="P4277" s="3" t="s">
        <v>64</v>
      </c>
      <c r="R4277" s="3" t="s">
        <v>40557</v>
      </c>
      <c r="S4277" s="4">
        <v>2</v>
      </c>
      <c r="T4277" s="4">
        <v>2</v>
      </c>
      <c r="U4277" s="5" t="s">
        <v>41087</v>
      </c>
      <c r="V4277" s="5" t="s">
        <v>41087</v>
      </c>
      <c r="W4277" s="5" t="s">
        <v>67</v>
      </c>
      <c r="X4277" s="5" t="s">
        <v>67</v>
      </c>
      <c r="Y4277" s="4">
        <v>147</v>
      </c>
      <c r="Z4277" s="4">
        <v>5</v>
      </c>
      <c r="AA4277" s="4">
        <v>7</v>
      </c>
      <c r="AB4277" s="4">
        <v>2</v>
      </c>
      <c r="AC4277" s="4">
        <v>4</v>
      </c>
      <c r="AD4277" s="4">
        <v>32</v>
      </c>
      <c r="AE4277" s="4">
        <v>35</v>
      </c>
      <c r="AF4277" s="4">
        <v>1</v>
      </c>
      <c r="AG4277" s="4">
        <v>3</v>
      </c>
      <c r="AH4277" s="4">
        <v>30</v>
      </c>
      <c r="AI4277" s="4">
        <v>32</v>
      </c>
      <c r="AJ4277" s="4">
        <v>4</v>
      </c>
      <c r="AK4277" s="4">
        <v>6</v>
      </c>
      <c r="AL4277" s="4">
        <v>13</v>
      </c>
      <c r="AM4277" s="4">
        <v>14</v>
      </c>
      <c r="AN4277" s="4">
        <v>0</v>
      </c>
      <c r="AO4277" s="4">
        <v>0</v>
      </c>
      <c r="AP4277" s="4">
        <v>4</v>
      </c>
      <c r="AQ4277" s="4">
        <v>6</v>
      </c>
      <c r="AR4277" s="3" t="s">
        <v>62</v>
      </c>
      <c r="AS4277" s="3" t="s">
        <v>62</v>
      </c>
      <c r="AT4277" s="3" t="s">
        <v>62</v>
      </c>
      <c r="AV4277" s="6" t="str">
        <f>HYPERLINK("http://mcgill.on.worldcat.org/oclc/354361","Catalog Record")</f>
        <v>Catalog Record</v>
      </c>
      <c r="AW4277" s="6" t="str">
        <f>HYPERLINK("http://www.worldcat.org/oclc/354361","WorldCat Record")</f>
        <v>WorldCat Record</v>
      </c>
      <c r="AX4277" s="3" t="s">
        <v>41088</v>
      </c>
      <c r="AY4277" s="3" t="s">
        <v>41089</v>
      </c>
      <c r="AZ4277" s="3" t="s">
        <v>41090</v>
      </c>
      <c r="BA4277" s="3" t="s">
        <v>41090</v>
      </c>
      <c r="BB4277" s="3" t="s">
        <v>41091</v>
      </c>
      <c r="BC4277" s="3" t="s">
        <v>102</v>
      </c>
      <c r="BD4277" s="3" t="s">
        <v>68</v>
      </c>
      <c r="BF4277" s="3" t="s">
        <v>41091</v>
      </c>
      <c r="BG4277" s="3" t="s">
        <v>41092</v>
      </c>
    </row>
    <row r="4278" spans="1:59" ht="87" x14ac:dyDescent="0.35">
      <c r="A4278" s="2" t="s">
        <v>59</v>
      </c>
      <c r="B4278" s="2" t="s">
        <v>60</v>
      </c>
      <c r="C4278" s="2" t="s">
        <v>41082</v>
      </c>
      <c r="D4278" s="2" t="s">
        <v>41083</v>
      </c>
      <c r="E4278" s="2" t="s">
        <v>41084</v>
      </c>
      <c r="F4278" s="3" t="s">
        <v>248</v>
      </c>
      <c r="G4278" s="3" t="s">
        <v>61</v>
      </c>
      <c r="I4278" s="3" t="s">
        <v>61</v>
      </c>
      <c r="J4278" s="3" t="s">
        <v>62</v>
      </c>
      <c r="K4278" s="3" t="s">
        <v>63</v>
      </c>
      <c r="L4278" s="2" t="s">
        <v>41085</v>
      </c>
      <c r="M4278" s="2" t="s">
        <v>41086</v>
      </c>
      <c r="N4278" s="3" t="s">
        <v>866</v>
      </c>
      <c r="P4278" s="3" t="s">
        <v>64</v>
      </c>
      <c r="R4278" s="3" t="s">
        <v>40557</v>
      </c>
      <c r="S4278" s="4">
        <v>0</v>
      </c>
      <c r="T4278" s="4">
        <v>2</v>
      </c>
      <c r="V4278" s="5" t="s">
        <v>41087</v>
      </c>
      <c r="W4278" s="5" t="s">
        <v>67</v>
      </c>
      <c r="X4278" s="5" t="s">
        <v>67</v>
      </c>
      <c r="Y4278" s="4">
        <v>147</v>
      </c>
      <c r="Z4278" s="4">
        <v>5</v>
      </c>
      <c r="AA4278" s="4">
        <v>7</v>
      </c>
      <c r="AB4278" s="4">
        <v>2</v>
      </c>
      <c r="AC4278" s="4">
        <v>4</v>
      </c>
      <c r="AD4278" s="4">
        <v>32</v>
      </c>
      <c r="AE4278" s="4">
        <v>35</v>
      </c>
      <c r="AF4278" s="4">
        <v>1</v>
      </c>
      <c r="AG4278" s="4">
        <v>3</v>
      </c>
      <c r="AH4278" s="4">
        <v>30</v>
      </c>
      <c r="AI4278" s="4">
        <v>32</v>
      </c>
      <c r="AJ4278" s="4">
        <v>4</v>
      </c>
      <c r="AK4278" s="4">
        <v>6</v>
      </c>
      <c r="AL4278" s="4">
        <v>13</v>
      </c>
      <c r="AM4278" s="4">
        <v>14</v>
      </c>
      <c r="AN4278" s="4">
        <v>0</v>
      </c>
      <c r="AO4278" s="4">
        <v>0</v>
      </c>
      <c r="AP4278" s="4">
        <v>4</v>
      </c>
      <c r="AQ4278" s="4">
        <v>6</v>
      </c>
      <c r="AR4278" s="3" t="s">
        <v>62</v>
      </c>
      <c r="AS4278" s="3" t="s">
        <v>62</v>
      </c>
      <c r="AT4278" s="3" t="s">
        <v>62</v>
      </c>
      <c r="AV4278" s="6" t="str">
        <f>HYPERLINK("http://mcgill.on.worldcat.org/oclc/354361","Catalog Record")</f>
        <v>Catalog Record</v>
      </c>
      <c r="AW4278" s="6" t="str">
        <f>HYPERLINK("http://www.worldcat.org/oclc/354361","WorldCat Record")</f>
        <v>WorldCat Record</v>
      </c>
      <c r="AX4278" s="3" t="s">
        <v>41088</v>
      </c>
      <c r="AY4278" s="3" t="s">
        <v>41089</v>
      </c>
      <c r="AZ4278" s="3" t="s">
        <v>41090</v>
      </c>
      <c r="BA4278" s="3" t="s">
        <v>41090</v>
      </c>
      <c r="BB4278" s="3" t="s">
        <v>41093</v>
      </c>
      <c r="BC4278" s="3" t="s">
        <v>102</v>
      </c>
      <c r="BD4278" s="3" t="s">
        <v>68</v>
      </c>
      <c r="BF4278" s="3" t="s">
        <v>41093</v>
      </c>
      <c r="BG4278" s="3" t="s">
        <v>41094</v>
      </c>
    </row>
    <row r="4279" spans="1:59" ht="72.5" x14ac:dyDescent="0.35">
      <c r="A4279" s="2" t="s">
        <v>89</v>
      </c>
      <c r="B4279" s="2" t="s">
        <v>1231</v>
      </c>
      <c r="C4279" s="2" t="s">
        <v>41095</v>
      </c>
      <c r="D4279" s="2" t="s">
        <v>41096</v>
      </c>
      <c r="E4279" s="2" t="s">
        <v>41097</v>
      </c>
      <c r="G4279" s="3" t="s">
        <v>62</v>
      </c>
      <c r="I4279" s="3" t="s">
        <v>62</v>
      </c>
      <c r="J4279" s="3" t="s">
        <v>62</v>
      </c>
      <c r="K4279" s="3" t="s">
        <v>63</v>
      </c>
      <c r="L4279" s="2" t="s">
        <v>41098</v>
      </c>
      <c r="M4279" s="2" t="s">
        <v>41099</v>
      </c>
      <c r="N4279" s="3" t="s">
        <v>880</v>
      </c>
      <c r="P4279" s="3" t="s">
        <v>64</v>
      </c>
      <c r="R4279" s="3" t="s">
        <v>40557</v>
      </c>
      <c r="S4279" s="4">
        <v>0</v>
      </c>
      <c r="T4279" s="4">
        <v>0</v>
      </c>
      <c r="W4279" s="5" t="s">
        <v>67</v>
      </c>
      <c r="X4279" s="5" t="s">
        <v>67</v>
      </c>
      <c r="Y4279" s="4">
        <v>68</v>
      </c>
      <c r="Z4279" s="4">
        <v>2</v>
      </c>
      <c r="AA4279" s="4">
        <v>3</v>
      </c>
      <c r="AB4279" s="4">
        <v>1</v>
      </c>
      <c r="AC4279" s="4">
        <v>2</v>
      </c>
      <c r="AD4279" s="4">
        <v>23</v>
      </c>
      <c r="AE4279" s="4">
        <v>24</v>
      </c>
      <c r="AF4279" s="4">
        <v>0</v>
      </c>
      <c r="AG4279" s="4">
        <v>1</v>
      </c>
      <c r="AH4279" s="4">
        <v>23</v>
      </c>
      <c r="AI4279" s="4">
        <v>24</v>
      </c>
      <c r="AJ4279" s="4">
        <v>1</v>
      </c>
      <c r="AK4279" s="4">
        <v>2</v>
      </c>
      <c r="AL4279" s="4">
        <v>14</v>
      </c>
      <c r="AM4279" s="4">
        <v>14</v>
      </c>
      <c r="AN4279" s="4">
        <v>0</v>
      </c>
      <c r="AO4279" s="4">
        <v>0</v>
      </c>
      <c r="AP4279" s="4">
        <v>1</v>
      </c>
      <c r="AQ4279" s="4">
        <v>2</v>
      </c>
      <c r="AR4279" s="3" t="s">
        <v>62</v>
      </c>
      <c r="AS4279" s="3" t="s">
        <v>62</v>
      </c>
      <c r="AT4279" s="3" t="s">
        <v>62</v>
      </c>
      <c r="AV4279" s="6" t="str">
        <f>HYPERLINK("http://mcgill.on.worldcat.org/oclc/424556401","Catalog Record")</f>
        <v>Catalog Record</v>
      </c>
      <c r="AW4279" s="6" t="str">
        <f>HYPERLINK("http://www.worldcat.org/oclc/424556401","WorldCat Record")</f>
        <v>WorldCat Record</v>
      </c>
      <c r="AX4279" s="3" t="s">
        <v>41100</v>
      </c>
      <c r="AY4279" s="3" t="s">
        <v>41101</v>
      </c>
      <c r="AZ4279" s="3" t="s">
        <v>41102</v>
      </c>
      <c r="BA4279" s="3" t="s">
        <v>41102</v>
      </c>
      <c r="BB4279" s="3" t="s">
        <v>41103</v>
      </c>
      <c r="BC4279" s="3" t="s">
        <v>102</v>
      </c>
      <c r="BD4279" s="3" t="s">
        <v>68</v>
      </c>
      <c r="BE4279" s="3" t="s">
        <v>41104</v>
      </c>
      <c r="BF4279" s="3" t="s">
        <v>41103</v>
      </c>
      <c r="BG4279" s="3" t="s">
        <v>41105</v>
      </c>
    </row>
    <row r="4280" spans="1:59" ht="58" x14ac:dyDescent="0.35">
      <c r="A4280" s="2" t="s">
        <v>59</v>
      </c>
      <c r="B4280" s="2" t="s">
        <v>60</v>
      </c>
      <c r="C4280" s="2" t="s">
        <v>41106</v>
      </c>
      <c r="D4280" s="2" t="s">
        <v>41107</v>
      </c>
      <c r="E4280" s="2" t="s">
        <v>41108</v>
      </c>
      <c r="G4280" s="3" t="s">
        <v>62</v>
      </c>
      <c r="I4280" s="3" t="s">
        <v>62</v>
      </c>
      <c r="J4280" s="3" t="s">
        <v>62</v>
      </c>
      <c r="K4280" s="3" t="s">
        <v>63</v>
      </c>
      <c r="L4280" s="2" t="s">
        <v>41109</v>
      </c>
      <c r="M4280" s="2" t="s">
        <v>41110</v>
      </c>
      <c r="N4280" s="3" t="s">
        <v>539</v>
      </c>
      <c r="P4280" s="3" t="s">
        <v>64</v>
      </c>
      <c r="R4280" s="3" t="s">
        <v>40557</v>
      </c>
      <c r="S4280" s="4">
        <v>1</v>
      </c>
      <c r="T4280" s="4">
        <v>1</v>
      </c>
      <c r="U4280" s="5" t="s">
        <v>5160</v>
      </c>
      <c r="V4280" s="5" t="s">
        <v>5160</v>
      </c>
      <c r="W4280" s="5" t="s">
        <v>67</v>
      </c>
      <c r="X4280" s="5" t="s">
        <v>67</v>
      </c>
      <c r="Y4280" s="4">
        <v>85</v>
      </c>
      <c r="Z4280" s="4">
        <v>5</v>
      </c>
      <c r="AA4280" s="4">
        <v>6</v>
      </c>
      <c r="AB4280" s="4">
        <v>1</v>
      </c>
      <c r="AC4280" s="4">
        <v>2</v>
      </c>
      <c r="AD4280" s="4">
        <v>20</v>
      </c>
      <c r="AE4280" s="4">
        <v>21</v>
      </c>
      <c r="AF4280" s="4">
        <v>0</v>
      </c>
      <c r="AG4280" s="4">
        <v>1</v>
      </c>
      <c r="AH4280" s="4">
        <v>19</v>
      </c>
      <c r="AI4280" s="4">
        <v>20</v>
      </c>
      <c r="AJ4280" s="4">
        <v>2</v>
      </c>
      <c r="AK4280" s="4">
        <v>3</v>
      </c>
      <c r="AL4280" s="4">
        <v>10</v>
      </c>
      <c r="AM4280" s="4">
        <v>10</v>
      </c>
      <c r="AN4280" s="4">
        <v>0</v>
      </c>
      <c r="AO4280" s="4">
        <v>0</v>
      </c>
      <c r="AP4280" s="4">
        <v>2</v>
      </c>
      <c r="AQ4280" s="4">
        <v>3</v>
      </c>
      <c r="AR4280" s="3" t="s">
        <v>62</v>
      </c>
      <c r="AS4280" s="3" t="s">
        <v>62</v>
      </c>
      <c r="AT4280" s="3" t="s">
        <v>61</v>
      </c>
      <c r="AU4280" s="6" t="str">
        <f>HYPERLINK("http://catalog.hathitrust.org/Record/003969488","HathiTrust Record")</f>
        <v>HathiTrust Record</v>
      </c>
      <c r="AV4280" s="6" t="str">
        <f>HYPERLINK("http://mcgill.on.worldcat.org/oclc/39947693","Catalog Record")</f>
        <v>Catalog Record</v>
      </c>
      <c r="AW4280" s="6" t="str">
        <f>HYPERLINK("http://www.worldcat.org/oclc/39947693","WorldCat Record")</f>
        <v>WorldCat Record</v>
      </c>
      <c r="AX4280" s="3" t="s">
        <v>41111</v>
      </c>
      <c r="AY4280" s="3" t="s">
        <v>41112</v>
      </c>
      <c r="AZ4280" s="3" t="s">
        <v>41113</v>
      </c>
      <c r="BA4280" s="3" t="s">
        <v>41113</v>
      </c>
      <c r="BB4280" s="3" t="s">
        <v>41114</v>
      </c>
      <c r="BC4280" s="3" t="s">
        <v>102</v>
      </c>
      <c r="BD4280" s="3" t="s">
        <v>68</v>
      </c>
      <c r="BE4280" s="3" t="s">
        <v>41115</v>
      </c>
      <c r="BF4280" s="3" t="s">
        <v>41114</v>
      </c>
      <c r="BG4280" s="3" t="s">
        <v>41116</v>
      </c>
    </row>
    <row r="4281" spans="1:59" ht="72.5" x14ac:dyDescent="0.35">
      <c r="A4281" s="2" t="s">
        <v>59</v>
      </c>
      <c r="B4281" s="2" t="s">
        <v>60</v>
      </c>
      <c r="C4281" s="2" t="s">
        <v>41117</v>
      </c>
      <c r="D4281" s="2" t="s">
        <v>41118</v>
      </c>
      <c r="E4281" s="2" t="s">
        <v>41119</v>
      </c>
      <c r="F4281" s="3" t="s">
        <v>6984</v>
      </c>
      <c r="G4281" s="3" t="s">
        <v>62</v>
      </c>
      <c r="I4281" s="3" t="s">
        <v>62</v>
      </c>
      <c r="J4281" s="3" t="s">
        <v>62</v>
      </c>
      <c r="K4281" s="3" t="s">
        <v>63</v>
      </c>
      <c r="L4281" s="2" t="s">
        <v>41120</v>
      </c>
      <c r="M4281" s="2" t="s">
        <v>41121</v>
      </c>
      <c r="N4281" s="3" t="s">
        <v>2566</v>
      </c>
      <c r="P4281" s="3" t="s">
        <v>64</v>
      </c>
      <c r="Q4281" s="2" t="s">
        <v>41122</v>
      </c>
      <c r="R4281" s="3" t="s">
        <v>40557</v>
      </c>
      <c r="S4281" s="4">
        <v>3</v>
      </c>
      <c r="T4281" s="4">
        <v>3</v>
      </c>
      <c r="U4281" s="5" t="s">
        <v>2234</v>
      </c>
      <c r="V4281" s="5" t="s">
        <v>2234</v>
      </c>
      <c r="W4281" s="5" t="s">
        <v>67</v>
      </c>
      <c r="X4281" s="5" t="s">
        <v>67</v>
      </c>
      <c r="Y4281" s="4">
        <v>45</v>
      </c>
      <c r="Z4281" s="4">
        <v>22</v>
      </c>
      <c r="AA4281" s="4">
        <v>27</v>
      </c>
      <c r="AB4281" s="4">
        <v>3</v>
      </c>
      <c r="AC4281" s="4">
        <v>4</v>
      </c>
      <c r="AD4281" s="4">
        <v>27</v>
      </c>
      <c r="AE4281" s="4">
        <v>32</v>
      </c>
      <c r="AF4281" s="4">
        <v>1</v>
      </c>
      <c r="AG4281" s="4">
        <v>2</v>
      </c>
      <c r="AH4281" s="4">
        <v>14</v>
      </c>
      <c r="AI4281" s="4">
        <v>18</v>
      </c>
      <c r="AJ4281" s="4">
        <v>12</v>
      </c>
      <c r="AK4281" s="4">
        <v>17</v>
      </c>
      <c r="AL4281" s="4">
        <v>6</v>
      </c>
      <c r="AM4281" s="4">
        <v>6</v>
      </c>
      <c r="AN4281" s="4">
        <v>0</v>
      </c>
      <c r="AO4281" s="4">
        <v>0</v>
      </c>
      <c r="AP4281" s="4">
        <v>16</v>
      </c>
      <c r="AQ4281" s="4">
        <v>21</v>
      </c>
      <c r="AR4281" s="3" t="s">
        <v>61</v>
      </c>
      <c r="AS4281" s="3" t="s">
        <v>62</v>
      </c>
      <c r="AT4281" s="3" t="s">
        <v>61</v>
      </c>
      <c r="AU4281" s="6" t="str">
        <f>HYPERLINK("http://catalog.hathitrust.org/Record/005420753","HathiTrust Record")</f>
        <v>HathiTrust Record</v>
      </c>
      <c r="AV4281" s="6" t="str">
        <f>HYPERLINK("http://mcgill.on.worldcat.org/oclc/1152241","Catalog Record")</f>
        <v>Catalog Record</v>
      </c>
      <c r="AW4281" s="6" t="str">
        <f>HYPERLINK("http://www.worldcat.org/oclc/1152241","WorldCat Record")</f>
        <v>WorldCat Record</v>
      </c>
      <c r="AX4281" s="3" t="s">
        <v>41123</v>
      </c>
      <c r="AY4281" s="3" t="s">
        <v>41124</v>
      </c>
      <c r="AZ4281" s="3" t="s">
        <v>41125</v>
      </c>
      <c r="BA4281" s="3" t="s">
        <v>41125</v>
      </c>
      <c r="BB4281" s="3" t="s">
        <v>41126</v>
      </c>
      <c r="BC4281" s="3" t="s">
        <v>102</v>
      </c>
      <c r="BD4281" s="3" t="s">
        <v>68</v>
      </c>
      <c r="BF4281" s="3" t="s">
        <v>41126</v>
      </c>
      <c r="BG4281" s="3" t="s">
        <v>41127</v>
      </c>
    </row>
    <row r="4282" spans="1:59" ht="72.5" x14ac:dyDescent="0.35">
      <c r="A4282" s="2" t="s">
        <v>59</v>
      </c>
      <c r="B4282" s="2" t="s">
        <v>60</v>
      </c>
      <c r="C4282" s="2" t="s">
        <v>41128</v>
      </c>
      <c r="D4282" s="2" t="s">
        <v>41129</v>
      </c>
      <c r="E4282" s="2" t="s">
        <v>41130</v>
      </c>
      <c r="F4282" s="3" t="s">
        <v>41131</v>
      </c>
      <c r="G4282" s="3" t="s">
        <v>62</v>
      </c>
      <c r="I4282" s="3" t="s">
        <v>62</v>
      </c>
      <c r="J4282" s="3" t="s">
        <v>62</v>
      </c>
      <c r="K4282" s="3" t="s">
        <v>63</v>
      </c>
      <c r="L4282" s="2" t="s">
        <v>41132</v>
      </c>
      <c r="M4282" s="2" t="s">
        <v>41133</v>
      </c>
      <c r="N4282" s="3" t="s">
        <v>157</v>
      </c>
      <c r="P4282" s="3" t="s">
        <v>64</v>
      </c>
      <c r="Q4282" s="2" t="s">
        <v>41134</v>
      </c>
      <c r="R4282" s="3" t="s">
        <v>40557</v>
      </c>
      <c r="S4282" s="4">
        <v>3</v>
      </c>
      <c r="T4282" s="4">
        <v>3</v>
      </c>
      <c r="U4282" s="5" t="s">
        <v>13026</v>
      </c>
      <c r="V4282" s="5" t="s">
        <v>13026</v>
      </c>
      <c r="W4282" s="5" t="s">
        <v>67</v>
      </c>
      <c r="X4282" s="5" t="s">
        <v>67</v>
      </c>
      <c r="Y4282" s="4">
        <v>39</v>
      </c>
      <c r="Z4282" s="4">
        <v>21</v>
      </c>
      <c r="AA4282" s="4">
        <v>26</v>
      </c>
      <c r="AB4282" s="4">
        <v>3</v>
      </c>
      <c r="AC4282" s="4">
        <v>4</v>
      </c>
      <c r="AD4282" s="4">
        <v>24</v>
      </c>
      <c r="AE4282" s="4">
        <v>29</v>
      </c>
      <c r="AF4282" s="4">
        <v>1</v>
      </c>
      <c r="AG4282" s="4">
        <v>2</v>
      </c>
      <c r="AH4282" s="4">
        <v>9</v>
      </c>
      <c r="AI4282" s="4">
        <v>14</v>
      </c>
      <c r="AJ4282" s="4">
        <v>11</v>
      </c>
      <c r="AK4282" s="4">
        <v>16</v>
      </c>
      <c r="AL4282" s="4">
        <v>4</v>
      </c>
      <c r="AM4282" s="4">
        <v>4</v>
      </c>
      <c r="AN4282" s="4">
        <v>0</v>
      </c>
      <c r="AO4282" s="4">
        <v>0</v>
      </c>
      <c r="AP4282" s="4">
        <v>15</v>
      </c>
      <c r="AQ4282" s="4">
        <v>20</v>
      </c>
      <c r="AR4282" s="3" t="s">
        <v>61</v>
      </c>
      <c r="AS4282" s="3" t="s">
        <v>62</v>
      </c>
      <c r="AT4282" s="3" t="s">
        <v>61</v>
      </c>
      <c r="AU4282" s="6" t="str">
        <f>HYPERLINK("http://catalog.hathitrust.org/Record/005419859","HathiTrust Record")</f>
        <v>HathiTrust Record</v>
      </c>
      <c r="AV4282" s="6" t="str">
        <f>HYPERLINK("http://mcgill.on.worldcat.org/oclc/1155138","Catalog Record")</f>
        <v>Catalog Record</v>
      </c>
      <c r="AW4282" s="6" t="str">
        <f>HYPERLINK("http://www.worldcat.org/oclc/1155138","WorldCat Record")</f>
        <v>WorldCat Record</v>
      </c>
      <c r="AX4282" s="3" t="s">
        <v>41135</v>
      </c>
      <c r="AY4282" s="3" t="s">
        <v>41136</v>
      </c>
      <c r="AZ4282" s="3" t="s">
        <v>41137</v>
      </c>
      <c r="BA4282" s="3" t="s">
        <v>41137</v>
      </c>
      <c r="BB4282" s="3" t="s">
        <v>41138</v>
      </c>
      <c r="BC4282" s="3" t="s">
        <v>102</v>
      </c>
      <c r="BD4282" s="3" t="s">
        <v>68</v>
      </c>
      <c r="BF4282" s="3" t="s">
        <v>41138</v>
      </c>
      <c r="BG4282" s="3" t="s">
        <v>41139</v>
      </c>
    </row>
    <row r="4283" spans="1:59" ht="72.5" x14ac:dyDescent="0.35">
      <c r="A4283" s="2" t="s">
        <v>59</v>
      </c>
      <c r="B4283" s="2" t="s">
        <v>60</v>
      </c>
      <c r="C4283" s="2" t="s">
        <v>41140</v>
      </c>
      <c r="D4283" s="2" t="s">
        <v>41141</v>
      </c>
      <c r="E4283" s="2" t="s">
        <v>41142</v>
      </c>
      <c r="F4283" s="3" t="s">
        <v>41143</v>
      </c>
      <c r="G4283" s="3" t="s">
        <v>62</v>
      </c>
      <c r="I4283" s="3" t="s">
        <v>62</v>
      </c>
      <c r="J4283" s="3" t="s">
        <v>62</v>
      </c>
      <c r="K4283" s="3" t="s">
        <v>63</v>
      </c>
      <c r="L4283" s="2" t="s">
        <v>41132</v>
      </c>
      <c r="M4283" s="2" t="s">
        <v>41144</v>
      </c>
      <c r="N4283" s="3" t="s">
        <v>157</v>
      </c>
      <c r="P4283" s="3" t="s">
        <v>64</v>
      </c>
      <c r="Q4283" s="2" t="s">
        <v>41145</v>
      </c>
      <c r="R4283" s="3" t="s">
        <v>40557</v>
      </c>
      <c r="S4283" s="4">
        <v>9</v>
      </c>
      <c r="T4283" s="4">
        <v>9</v>
      </c>
      <c r="U4283" s="5" t="s">
        <v>41146</v>
      </c>
      <c r="V4283" s="5" t="s">
        <v>41146</v>
      </c>
      <c r="W4283" s="5" t="s">
        <v>67</v>
      </c>
      <c r="X4283" s="5" t="s">
        <v>67</v>
      </c>
      <c r="Y4283" s="4">
        <v>38</v>
      </c>
      <c r="Z4283" s="4">
        <v>20</v>
      </c>
      <c r="AA4283" s="4">
        <v>25</v>
      </c>
      <c r="AB4283" s="4">
        <v>2</v>
      </c>
      <c r="AC4283" s="4">
        <v>4</v>
      </c>
      <c r="AD4283" s="4">
        <v>22</v>
      </c>
      <c r="AE4283" s="4">
        <v>27</v>
      </c>
      <c r="AF4283" s="4">
        <v>0</v>
      </c>
      <c r="AG4283" s="4">
        <v>2</v>
      </c>
      <c r="AH4283" s="4">
        <v>10</v>
      </c>
      <c r="AI4283" s="4">
        <v>14</v>
      </c>
      <c r="AJ4283" s="4">
        <v>11</v>
      </c>
      <c r="AK4283" s="4">
        <v>16</v>
      </c>
      <c r="AL4283" s="4">
        <v>3</v>
      </c>
      <c r="AM4283" s="4">
        <v>3</v>
      </c>
      <c r="AN4283" s="4">
        <v>1</v>
      </c>
      <c r="AO4283" s="4">
        <v>1</v>
      </c>
      <c r="AP4283" s="4">
        <v>14</v>
      </c>
      <c r="AQ4283" s="4">
        <v>19</v>
      </c>
      <c r="AR4283" s="3" t="s">
        <v>61</v>
      </c>
      <c r="AS4283" s="3" t="s">
        <v>62</v>
      </c>
      <c r="AT4283" s="3" t="s">
        <v>61</v>
      </c>
      <c r="AU4283" s="6" t="str">
        <f>HYPERLINK("http://catalog.hathitrust.org/Record/005419914","HathiTrust Record")</f>
        <v>HathiTrust Record</v>
      </c>
      <c r="AV4283" s="6" t="str">
        <f>HYPERLINK("http://mcgill.on.worldcat.org/oclc/4490209","Catalog Record")</f>
        <v>Catalog Record</v>
      </c>
      <c r="AW4283" s="6" t="str">
        <f>HYPERLINK("http://www.worldcat.org/oclc/4490209","WorldCat Record")</f>
        <v>WorldCat Record</v>
      </c>
      <c r="AX4283" s="3" t="s">
        <v>41147</v>
      </c>
      <c r="AY4283" s="3" t="s">
        <v>41148</v>
      </c>
      <c r="AZ4283" s="3" t="s">
        <v>41149</v>
      </c>
      <c r="BA4283" s="3" t="s">
        <v>41149</v>
      </c>
      <c r="BB4283" s="3" t="s">
        <v>41150</v>
      </c>
      <c r="BC4283" s="3" t="s">
        <v>102</v>
      </c>
      <c r="BD4283" s="3" t="s">
        <v>68</v>
      </c>
      <c r="BF4283" s="3" t="s">
        <v>41150</v>
      </c>
      <c r="BG4283" s="3" t="s">
        <v>41151</v>
      </c>
    </row>
    <row r="4284" spans="1:59" ht="58" x14ac:dyDescent="0.35">
      <c r="A4284" s="2" t="s">
        <v>59</v>
      </c>
      <c r="B4284" s="2" t="s">
        <v>60</v>
      </c>
      <c r="C4284" s="2" t="s">
        <v>41152</v>
      </c>
      <c r="D4284" s="2" t="s">
        <v>41153</v>
      </c>
      <c r="E4284" s="2" t="s">
        <v>41154</v>
      </c>
      <c r="G4284" s="3" t="s">
        <v>62</v>
      </c>
      <c r="I4284" s="3" t="s">
        <v>61</v>
      </c>
      <c r="J4284" s="3" t="s">
        <v>62</v>
      </c>
      <c r="K4284" s="3" t="s">
        <v>63</v>
      </c>
      <c r="L4284" s="2" t="s">
        <v>41155</v>
      </c>
      <c r="M4284" s="2" t="s">
        <v>41156</v>
      </c>
      <c r="N4284" s="3" t="s">
        <v>1662</v>
      </c>
      <c r="P4284" s="3" t="s">
        <v>64</v>
      </c>
      <c r="Q4284" s="2" t="s">
        <v>41157</v>
      </c>
      <c r="R4284" s="3" t="s">
        <v>40557</v>
      </c>
      <c r="S4284" s="4">
        <v>0</v>
      </c>
      <c r="T4284" s="4">
        <v>10</v>
      </c>
      <c r="V4284" s="5" t="s">
        <v>31913</v>
      </c>
      <c r="W4284" s="5" t="s">
        <v>67</v>
      </c>
      <c r="X4284" s="5" t="s">
        <v>67</v>
      </c>
      <c r="Y4284" s="4">
        <v>73</v>
      </c>
      <c r="Z4284" s="4">
        <v>35</v>
      </c>
      <c r="AA4284" s="4">
        <v>37</v>
      </c>
      <c r="AB4284" s="4">
        <v>5</v>
      </c>
      <c r="AC4284" s="4">
        <v>5</v>
      </c>
      <c r="AD4284" s="4">
        <v>29</v>
      </c>
      <c r="AE4284" s="4">
        <v>32</v>
      </c>
      <c r="AF4284" s="4">
        <v>1</v>
      </c>
      <c r="AG4284" s="4">
        <v>1</v>
      </c>
      <c r="AH4284" s="4">
        <v>18</v>
      </c>
      <c r="AI4284" s="4">
        <v>19</v>
      </c>
      <c r="AJ4284" s="4">
        <v>11</v>
      </c>
      <c r="AK4284" s="4">
        <v>13</v>
      </c>
      <c r="AL4284" s="4">
        <v>8</v>
      </c>
      <c r="AM4284" s="4">
        <v>9</v>
      </c>
      <c r="AN4284" s="4">
        <v>0</v>
      </c>
      <c r="AO4284" s="4">
        <v>2</v>
      </c>
      <c r="AP4284" s="4">
        <v>17</v>
      </c>
      <c r="AQ4284" s="4">
        <v>19</v>
      </c>
      <c r="AR4284" s="3" t="s">
        <v>61</v>
      </c>
      <c r="AS4284" s="3" t="s">
        <v>62</v>
      </c>
      <c r="AT4284" s="3" t="s">
        <v>62</v>
      </c>
      <c r="AV4284" s="6" t="str">
        <f>HYPERLINK("http://mcgill.on.worldcat.org/oclc/927681","Catalog Record")</f>
        <v>Catalog Record</v>
      </c>
      <c r="AW4284" s="6" t="str">
        <f>HYPERLINK("http://www.worldcat.org/oclc/927681","WorldCat Record")</f>
        <v>WorldCat Record</v>
      </c>
      <c r="AX4284" s="3" t="s">
        <v>41158</v>
      </c>
      <c r="AY4284" s="3" t="s">
        <v>41159</v>
      </c>
      <c r="AZ4284" s="3" t="s">
        <v>41160</v>
      </c>
      <c r="BA4284" s="3" t="s">
        <v>41160</v>
      </c>
      <c r="BB4284" s="3" t="s">
        <v>41161</v>
      </c>
      <c r="BC4284" s="3" t="s">
        <v>102</v>
      </c>
      <c r="BD4284" s="3" t="s">
        <v>68</v>
      </c>
      <c r="BF4284" s="3" t="s">
        <v>41161</v>
      </c>
      <c r="BG4284" s="3" t="s">
        <v>41162</v>
      </c>
    </row>
    <row r="4285" spans="1:59" ht="58" x14ac:dyDescent="0.35">
      <c r="A4285" s="2" t="s">
        <v>59</v>
      </c>
      <c r="B4285" s="2" t="s">
        <v>60</v>
      </c>
      <c r="C4285" s="2" t="s">
        <v>41163</v>
      </c>
      <c r="D4285" s="2" t="s">
        <v>41164</v>
      </c>
      <c r="E4285" s="2" t="s">
        <v>41165</v>
      </c>
      <c r="G4285" s="3" t="s">
        <v>62</v>
      </c>
      <c r="I4285" s="3" t="s">
        <v>62</v>
      </c>
      <c r="J4285" s="3" t="s">
        <v>62</v>
      </c>
      <c r="K4285" s="3" t="s">
        <v>63</v>
      </c>
      <c r="M4285" s="2" t="s">
        <v>41166</v>
      </c>
      <c r="N4285" s="3" t="s">
        <v>509</v>
      </c>
      <c r="P4285" s="3" t="s">
        <v>64</v>
      </c>
      <c r="R4285" s="3" t="s">
        <v>40557</v>
      </c>
      <c r="S4285" s="4">
        <v>24</v>
      </c>
      <c r="T4285" s="4">
        <v>24</v>
      </c>
      <c r="U4285" s="5" t="s">
        <v>10648</v>
      </c>
      <c r="V4285" s="5" t="s">
        <v>10648</v>
      </c>
      <c r="W4285" s="5" t="s">
        <v>67</v>
      </c>
      <c r="X4285" s="5" t="s">
        <v>67</v>
      </c>
      <c r="Y4285" s="4">
        <v>59</v>
      </c>
      <c r="Z4285" s="4">
        <v>33</v>
      </c>
      <c r="AA4285" s="4">
        <v>42</v>
      </c>
      <c r="AB4285" s="4">
        <v>1</v>
      </c>
      <c r="AC4285" s="4">
        <v>1</v>
      </c>
      <c r="AD4285" s="4">
        <v>22</v>
      </c>
      <c r="AE4285" s="4">
        <v>27</v>
      </c>
      <c r="AF4285" s="4">
        <v>0</v>
      </c>
      <c r="AG4285" s="4">
        <v>0</v>
      </c>
      <c r="AH4285" s="4">
        <v>9</v>
      </c>
      <c r="AI4285" s="4">
        <v>12</v>
      </c>
      <c r="AJ4285" s="4">
        <v>7</v>
      </c>
      <c r="AK4285" s="4">
        <v>9</v>
      </c>
      <c r="AL4285" s="4">
        <v>3</v>
      </c>
      <c r="AM4285" s="4">
        <v>3</v>
      </c>
      <c r="AN4285" s="4">
        <v>0</v>
      </c>
      <c r="AO4285" s="4">
        <v>0</v>
      </c>
      <c r="AP4285" s="4">
        <v>16</v>
      </c>
      <c r="AQ4285" s="4">
        <v>20</v>
      </c>
      <c r="AR4285" s="3" t="s">
        <v>61</v>
      </c>
      <c r="AS4285" s="3" t="s">
        <v>62</v>
      </c>
      <c r="AT4285" s="3" t="s">
        <v>62</v>
      </c>
      <c r="AV4285" s="6" t="str">
        <f>HYPERLINK("http://mcgill.on.worldcat.org/oclc/30357486","Catalog Record")</f>
        <v>Catalog Record</v>
      </c>
      <c r="AW4285" s="6" t="str">
        <f>HYPERLINK("http://www.worldcat.org/oclc/30357486","WorldCat Record")</f>
        <v>WorldCat Record</v>
      </c>
      <c r="AX4285" s="3" t="s">
        <v>41167</v>
      </c>
      <c r="AY4285" s="3" t="s">
        <v>41168</v>
      </c>
      <c r="AZ4285" s="3" t="s">
        <v>41169</v>
      </c>
      <c r="BA4285" s="3" t="s">
        <v>41169</v>
      </c>
      <c r="BB4285" s="3" t="s">
        <v>41170</v>
      </c>
      <c r="BC4285" s="3" t="s">
        <v>102</v>
      </c>
      <c r="BD4285" s="3" t="s">
        <v>231</v>
      </c>
      <c r="BE4285" s="3" t="s">
        <v>41171</v>
      </c>
      <c r="BF4285" s="3" t="s">
        <v>41170</v>
      </c>
      <c r="BG4285" s="3" t="s">
        <v>41172</v>
      </c>
    </row>
    <row r="4286" spans="1:59" ht="58" x14ac:dyDescent="0.35">
      <c r="A4286" s="2" t="s">
        <v>59</v>
      </c>
      <c r="B4286" s="2" t="s">
        <v>60</v>
      </c>
      <c r="C4286" s="2" t="s">
        <v>41173</v>
      </c>
      <c r="D4286" s="2" t="s">
        <v>41174</v>
      </c>
      <c r="E4286" s="2" t="s">
        <v>41175</v>
      </c>
      <c r="G4286" s="3" t="s">
        <v>62</v>
      </c>
      <c r="I4286" s="3" t="s">
        <v>62</v>
      </c>
      <c r="J4286" s="3" t="s">
        <v>62</v>
      </c>
      <c r="K4286" s="3" t="s">
        <v>63</v>
      </c>
      <c r="M4286" s="2" t="s">
        <v>41176</v>
      </c>
      <c r="N4286" s="3" t="s">
        <v>2000</v>
      </c>
      <c r="P4286" s="3" t="s">
        <v>64</v>
      </c>
      <c r="R4286" s="3" t="s">
        <v>40557</v>
      </c>
      <c r="S4286" s="4">
        <v>10</v>
      </c>
      <c r="T4286" s="4">
        <v>10</v>
      </c>
      <c r="U4286" s="5" t="s">
        <v>34940</v>
      </c>
      <c r="V4286" s="5" t="s">
        <v>34940</v>
      </c>
      <c r="W4286" s="5" t="s">
        <v>67</v>
      </c>
      <c r="X4286" s="5" t="s">
        <v>67</v>
      </c>
      <c r="Y4286" s="4">
        <v>72</v>
      </c>
      <c r="Z4286" s="4">
        <v>34</v>
      </c>
      <c r="AA4286" s="4">
        <v>35</v>
      </c>
      <c r="AB4286" s="4">
        <v>2</v>
      </c>
      <c r="AC4286" s="4">
        <v>3</v>
      </c>
      <c r="AD4286" s="4">
        <v>29</v>
      </c>
      <c r="AE4286" s="4">
        <v>29</v>
      </c>
      <c r="AF4286" s="4">
        <v>0</v>
      </c>
      <c r="AG4286" s="4">
        <v>0</v>
      </c>
      <c r="AH4286" s="4">
        <v>16</v>
      </c>
      <c r="AI4286" s="4">
        <v>16</v>
      </c>
      <c r="AJ4286" s="4">
        <v>7</v>
      </c>
      <c r="AK4286" s="4">
        <v>7</v>
      </c>
      <c r="AL4286" s="4">
        <v>10</v>
      </c>
      <c r="AM4286" s="4">
        <v>10</v>
      </c>
      <c r="AN4286" s="4">
        <v>0</v>
      </c>
      <c r="AO4286" s="4">
        <v>0</v>
      </c>
      <c r="AP4286" s="4">
        <v>15</v>
      </c>
      <c r="AQ4286" s="4">
        <v>15</v>
      </c>
      <c r="AR4286" s="3" t="s">
        <v>61</v>
      </c>
      <c r="AS4286" s="3" t="s">
        <v>62</v>
      </c>
      <c r="AT4286" s="3" t="s">
        <v>62</v>
      </c>
      <c r="AV4286" s="6" t="str">
        <f>HYPERLINK("http://mcgill.on.worldcat.org/oclc/39006980","Catalog Record")</f>
        <v>Catalog Record</v>
      </c>
      <c r="AW4286" s="6" t="str">
        <f>HYPERLINK("http://www.worldcat.org/oclc/39006980","WorldCat Record")</f>
        <v>WorldCat Record</v>
      </c>
      <c r="AX4286" s="3" t="s">
        <v>41177</v>
      </c>
      <c r="AY4286" s="3" t="s">
        <v>41178</v>
      </c>
      <c r="AZ4286" s="3" t="s">
        <v>41179</v>
      </c>
      <c r="BA4286" s="3" t="s">
        <v>41179</v>
      </c>
      <c r="BB4286" s="3" t="s">
        <v>41180</v>
      </c>
      <c r="BC4286" s="3" t="s">
        <v>102</v>
      </c>
      <c r="BD4286" s="3" t="s">
        <v>68</v>
      </c>
      <c r="BE4286" s="3" t="s">
        <v>41181</v>
      </c>
      <c r="BF4286" s="3" t="s">
        <v>41180</v>
      </c>
      <c r="BG4286" s="3" t="s">
        <v>41182</v>
      </c>
    </row>
    <row r="4287" spans="1:59" ht="58" x14ac:dyDescent="0.35">
      <c r="A4287" s="2" t="s">
        <v>59</v>
      </c>
      <c r="B4287" s="2" t="s">
        <v>60</v>
      </c>
      <c r="C4287" s="2" t="s">
        <v>41183</v>
      </c>
      <c r="D4287" s="2" t="s">
        <v>41184</v>
      </c>
      <c r="E4287" s="2" t="s">
        <v>41185</v>
      </c>
      <c r="G4287" s="3" t="s">
        <v>62</v>
      </c>
      <c r="I4287" s="3" t="s">
        <v>61</v>
      </c>
      <c r="J4287" s="3" t="s">
        <v>62</v>
      </c>
      <c r="K4287" s="3" t="s">
        <v>63</v>
      </c>
      <c r="M4287" s="2" t="s">
        <v>41186</v>
      </c>
      <c r="N4287" s="3" t="s">
        <v>327</v>
      </c>
      <c r="P4287" s="3" t="s">
        <v>64</v>
      </c>
      <c r="R4287" s="3" t="s">
        <v>40557</v>
      </c>
      <c r="S4287" s="4">
        <v>4</v>
      </c>
      <c r="T4287" s="4">
        <v>14</v>
      </c>
      <c r="U4287" s="5" t="s">
        <v>41187</v>
      </c>
      <c r="V4287" s="5" t="s">
        <v>15209</v>
      </c>
      <c r="W4287" s="5" t="s">
        <v>67</v>
      </c>
      <c r="X4287" s="5" t="s">
        <v>67</v>
      </c>
      <c r="Y4287" s="4">
        <v>26</v>
      </c>
      <c r="Z4287" s="4">
        <v>23</v>
      </c>
      <c r="AA4287" s="4">
        <v>23</v>
      </c>
      <c r="AB4287" s="4">
        <v>2</v>
      </c>
      <c r="AC4287" s="4">
        <v>2</v>
      </c>
      <c r="AD4287" s="4">
        <v>15</v>
      </c>
      <c r="AE4287" s="4">
        <v>15</v>
      </c>
      <c r="AF4287" s="4">
        <v>0</v>
      </c>
      <c r="AG4287" s="4">
        <v>0</v>
      </c>
      <c r="AH4287" s="4">
        <v>8</v>
      </c>
      <c r="AI4287" s="4">
        <v>8</v>
      </c>
      <c r="AJ4287" s="4">
        <v>11</v>
      </c>
      <c r="AK4287" s="4">
        <v>11</v>
      </c>
      <c r="AL4287" s="4">
        <v>2</v>
      </c>
      <c r="AM4287" s="4">
        <v>2</v>
      </c>
      <c r="AN4287" s="4">
        <v>4</v>
      </c>
      <c r="AO4287" s="4">
        <v>4</v>
      </c>
      <c r="AP4287" s="4">
        <v>12</v>
      </c>
      <c r="AQ4287" s="4">
        <v>12</v>
      </c>
      <c r="AR4287" s="3" t="s">
        <v>61</v>
      </c>
      <c r="AS4287" s="3" t="s">
        <v>62</v>
      </c>
      <c r="AT4287" s="3" t="s">
        <v>61</v>
      </c>
      <c r="AU4287" s="6" t="str">
        <f>HYPERLINK("http://catalog.hathitrust.org/Record/101780684","HathiTrust Record")</f>
        <v>HathiTrust Record</v>
      </c>
      <c r="AV4287" s="6" t="str">
        <f>HYPERLINK("http://mcgill.on.worldcat.org/oclc/13058728","Catalog Record")</f>
        <v>Catalog Record</v>
      </c>
      <c r="AW4287" s="6" t="str">
        <f>HYPERLINK("http://www.worldcat.org/oclc/13058728","WorldCat Record")</f>
        <v>WorldCat Record</v>
      </c>
      <c r="AX4287" s="3" t="s">
        <v>41188</v>
      </c>
      <c r="AY4287" s="3" t="s">
        <v>41189</v>
      </c>
      <c r="AZ4287" s="3" t="s">
        <v>41190</v>
      </c>
      <c r="BA4287" s="3" t="s">
        <v>41190</v>
      </c>
      <c r="BB4287" s="3" t="s">
        <v>41191</v>
      </c>
      <c r="BC4287" s="3" t="s">
        <v>40176</v>
      </c>
      <c r="BD4287" s="3" t="s">
        <v>68</v>
      </c>
      <c r="BE4287" s="3" t="s">
        <v>41192</v>
      </c>
      <c r="BF4287" s="3" t="s">
        <v>41191</v>
      </c>
      <c r="BG4287" s="3" t="s">
        <v>41193</v>
      </c>
    </row>
    <row r="4288" spans="1:59" ht="72.5" x14ac:dyDescent="0.35">
      <c r="A4288" s="2" t="s">
        <v>59</v>
      </c>
      <c r="B4288" s="2" t="s">
        <v>60</v>
      </c>
      <c r="C4288" s="2" t="s">
        <v>41194</v>
      </c>
      <c r="D4288" s="2" t="s">
        <v>41195</v>
      </c>
      <c r="E4288" s="2" t="s">
        <v>41196</v>
      </c>
      <c r="G4288" s="3" t="s">
        <v>62</v>
      </c>
      <c r="I4288" s="3" t="s">
        <v>61</v>
      </c>
      <c r="J4288" s="3" t="s">
        <v>61</v>
      </c>
      <c r="K4288" s="3" t="s">
        <v>63</v>
      </c>
      <c r="L4288" s="2" t="s">
        <v>41197</v>
      </c>
      <c r="M4288" s="2" t="s">
        <v>41198</v>
      </c>
      <c r="N4288" s="3" t="s">
        <v>87</v>
      </c>
      <c r="O4288" s="2" t="s">
        <v>41199</v>
      </c>
      <c r="P4288" s="3" t="s">
        <v>64</v>
      </c>
      <c r="Q4288" s="2" t="s">
        <v>41200</v>
      </c>
      <c r="R4288" s="3" t="s">
        <v>40557</v>
      </c>
      <c r="S4288" s="4">
        <v>1</v>
      </c>
      <c r="T4288" s="4">
        <v>3</v>
      </c>
      <c r="U4288" s="5" t="s">
        <v>41201</v>
      </c>
      <c r="V4288" s="5" t="s">
        <v>17575</v>
      </c>
      <c r="W4288" s="5" t="s">
        <v>67</v>
      </c>
      <c r="X4288" s="5" t="s">
        <v>67</v>
      </c>
      <c r="Y4288" s="4">
        <v>115</v>
      </c>
      <c r="Z4288" s="4">
        <v>54</v>
      </c>
      <c r="AA4288" s="4">
        <v>103</v>
      </c>
      <c r="AB4288" s="4">
        <v>1</v>
      </c>
      <c r="AC4288" s="4">
        <v>9</v>
      </c>
      <c r="AD4288" s="4">
        <v>45</v>
      </c>
      <c r="AE4288" s="4">
        <v>76</v>
      </c>
      <c r="AF4288" s="4">
        <v>0</v>
      </c>
      <c r="AG4288" s="4">
        <v>4</v>
      </c>
      <c r="AH4288" s="4">
        <v>31</v>
      </c>
      <c r="AI4288" s="4">
        <v>44</v>
      </c>
      <c r="AJ4288" s="4">
        <v>13</v>
      </c>
      <c r="AK4288" s="4">
        <v>25</v>
      </c>
      <c r="AL4288" s="4">
        <v>18</v>
      </c>
      <c r="AM4288" s="4">
        <v>23</v>
      </c>
      <c r="AN4288" s="4">
        <v>0</v>
      </c>
      <c r="AO4288" s="4">
        <v>0</v>
      </c>
      <c r="AP4288" s="4">
        <v>20</v>
      </c>
      <c r="AQ4288" s="4">
        <v>39</v>
      </c>
      <c r="AR4288" s="3" t="s">
        <v>61</v>
      </c>
      <c r="AS4288" s="3" t="s">
        <v>62</v>
      </c>
      <c r="AT4288" s="3" t="s">
        <v>61</v>
      </c>
      <c r="AU4288" s="6" t="str">
        <f>HYPERLINK("http://catalog.hathitrust.org/Record/002427093","HathiTrust Record")</f>
        <v>HathiTrust Record</v>
      </c>
      <c r="AV4288" s="6" t="str">
        <f>HYPERLINK("http://mcgill.on.worldcat.org/oclc/6249756","Catalog Record")</f>
        <v>Catalog Record</v>
      </c>
      <c r="AW4288" s="6" t="str">
        <f>HYPERLINK("http://www.worldcat.org/oclc/6249756","WorldCat Record")</f>
        <v>WorldCat Record</v>
      </c>
      <c r="AX4288" s="3" t="s">
        <v>41202</v>
      </c>
      <c r="AY4288" s="3" t="s">
        <v>41203</v>
      </c>
      <c r="AZ4288" s="3" t="s">
        <v>41204</v>
      </c>
      <c r="BA4288" s="3" t="s">
        <v>41204</v>
      </c>
      <c r="BB4288" s="3" t="s">
        <v>41205</v>
      </c>
      <c r="BC4288" s="3" t="s">
        <v>102</v>
      </c>
      <c r="BD4288" s="3" t="s">
        <v>68</v>
      </c>
      <c r="BE4288" s="3" t="s">
        <v>41206</v>
      </c>
      <c r="BF4288" s="3" t="s">
        <v>41205</v>
      </c>
      <c r="BG4288" s="3" t="s">
        <v>41207</v>
      </c>
    </row>
    <row r="4289" spans="1:59" ht="72.5" x14ac:dyDescent="0.35">
      <c r="A4289" s="2" t="s">
        <v>59</v>
      </c>
      <c r="B4289" s="2" t="s">
        <v>60</v>
      </c>
      <c r="C4289" s="2" t="s">
        <v>41208</v>
      </c>
      <c r="D4289" s="2" t="s">
        <v>41209</v>
      </c>
      <c r="E4289" s="2" t="s">
        <v>41210</v>
      </c>
      <c r="G4289" s="3" t="s">
        <v>62</v>
      </c>
      <c r="I4289" s="3" t="s">
        <v>61</v>
      </c>
      <c r="J4289" s="3" t="s">
        <v>61</v>
      </c>
      <c r="K4289" s="3" t="s">
        <v>63</v>
      </c>
      <c r="M4289" s="2" t="s">
        <v>41211</v>
      </c>
      <c r="N4289" s="3" t="s">
        <v>1905</v>
      </c>
      <c r="O4289" s="2" t="s">
        <v>41199</v>
      </c>
      <c r="P4289" s="3" t="s">
        <v>64</v>
      </c>
      <c r="Q4289" s="2" t="s">
        <v>41212</v>
      </c>
      <c r="R4289" s="3" t="s">
        <v>40557</v>
      </c>
      <c r="S4289" s="4">
        <v>3</v>
      </c>
      <c r="T4289" s="4">
        <v>8</v>
      </c>
      <c r="U4289" s="5" t="s">
        <v>41213</v>
      </c>
      <c r="V4289" s="5" t="s">
        <v>17213</v>
      </c>
      <c r="W4289" s="5" t="s">
        <v>67</v>
      </c>
      <c r="X4289" s="5" t="s">
        <v>67</v>
      </c>
      <c r="Y4289" s="4">
        <v>91</v>
      </c>
      <c r="Z4289" s="4">
        <v>49</v>
      </c>
      <c r="AA4289" s="4">
        <v>103</v>
      </c>
      <c r="AB4289" s="4">
        <v>2</v>
      </c>
      <c r="AC4289" s="4">
        <v>9</v>
      </c>
      <c r="AD4289" s="4">
        <v>46</v>
      </c>
      <c r="AE4289" s="4">
        <v>76</v>
      </c>
      <c r="AF4289" s="4">
        <v>1</v>
      </c>
      <c r="AG4289" s="4">
        <v>4</v>
      </c>
      <c r="AH4289" s="4">
        <v>27</v>
      </c>
      <c r="AI4289" s="4">
        <v>44</v>
      </c>
      <c r="AJ4289" s="4">
        <v>15</v>
      </c>
      <c r="AK4289" s="4">
        <v>25</v>
      </c>
      <c r="AL4289" s="4">
        <v>14</v>
      </c>
      <c r="AM4289" s="4">
        <v>23</v>
      </c>
      <c r="AN4289" s="4">
        <v>0</v>
      </c>
      <c r="AO4289" s="4">
        <v>0</v>
      </c>
      <c r="AP4289" s="4">
        <v>26</v>
      </c>
      <c r="AQ4289" s="4">
        <v>39</v>
      </c>
      <c r="AR4289" s="3" t="s">
        <v>61</v>
      </c>
      <c r="AS4289" s="3" t="s">
        <v>62</v>
      </c>
      <c r="AT4289" s="3" t="s">
        <v>61</v>
      </c>
      <c r="AU4289" s="6" t="str">
        <f>HYPERLINK("http://catalog.hathitrust.org/Record/002427093","HathiTrust Record")</f>
        <v>HathiTrust Record</v>
      </c>
      <c r="AV4289" s="6" t="str">
        <f>HYPERLINK("http://mcgill.on.worldcat.org/oclc/22339480","Catalog Record")</f>
        <v>Catalog Record</v>
      </c>
      <c r="AW4289" s="6" t="str">
        <f>HYPERLINK("http://www.worldcat.org/oclc/22339480","WorldCat Record")</f>
        <v>WorldCat Record</v>
      </c>
      <c r="AX4289" s="3" t="s">
        <v>41202</v>
      </c>
      <c r="AY4289" s="3" t="s">
        <v>41214</v>
      </c>
      <c r="AZ4289" s="3" t="s">
        <v>41215</v>
      </c>
      <c r="BA4289" s="3" t="s">
        <v>41215</v>
      </c>
      <c r="BB4289" s="3" t="s">
        <v>41216</v>
      </c>
      <c r="BC4289" s="3" t="s">
        <v>102</v>
      </c>
      <c r="BD4289" s="3" t="s">
        <v>68</v>
      </c>
      <c r="BE4289" s="3" t="s">
        <v>41206</v>
      </c>
      <c r="BF4289" s="3" t="s">
        <v>41216</v>
      </c>
      <c r="BG4289" s="3" t="s">
        <v>41217</v>
      </c>
    </row>
    <row r="4290" spans="1:59" ht="58" x14ac:dyDescent="0.35">
      <c r="A4290" s="2" t="s">
        <v>59</v>
      </c>
      <c r="B4290" s="2" t="s">
        <v>60</v>
      </c>
      <c r="C4290" s="2" t="s">
        <v>41218</v>
      </c>
      <c r="D4290" s="2" t="s">
        <v>41219</v>
      </c>
      <c r="E4290" s="2" t="s">
        <v>41220</v>
      </c>
      <c r="G4290" s="3" t="s">
        <v>62</v>
      </c>
      <c r="I4290" s="3" t="s">
        <v>62</v>
      </c>
      <c r="J4290" s="3" t="s">
        <v>62</v>
      </c>
      <c r="K4290" s="3" t="s">
        <v>63</v>
      </c>
      <c r="L4290" s="2" t="s">
        <v>41221</v>
      </c>
      <c r="M4290" s="2" t="s">
        <v>41222</v>
      </c>
      <c r="N4290" s="3" t="s">
        <v>115</v>
      </c>
      <c r="P4290" s="3" t="s">
        <v>85</v>
      </c>
      <c r="Q4290" s="2" t="s">
        <v>41223</v>
      </c>
      <c r="R4290" s="3" t="s">
        <v>40557</v>
      </c>
      <c r="S4290" s="4">
        <v>2</v>
      </c>
      <c r="T4290" s="4">
        <v>2</v>
      </c>
      <c r="U4290" s="5" t="s">
        <v>26777</v>
      </c>
      <c r="V4290" s="5" t="s">
        <v>26777</v>
      </c>
      <c r="W4290" s="5" t="s">
        <v>67</v>
      </c>
      <c r="X4290" s="5" t="s">
        <v>67</v>
      </c>
      <c r="Y4290" s="4">
        <v>13</v>
      </c>
      <c r="Z4290" s="4">
        <v>5</v>
      </c>
      <c r="AA4290" s="4">
        <v>8</v>
      </c>
      <c r="AB4290" s="4">
        <v>1</v>
      </c>
      <c r="AC4290" s="4">
        <v>3</v>
      </c>
      <c r="AD4290" s="4">
        <v>6</v>
      </c>
      <c r="AE4290" s="4">
        <v>8</v>
      </c>
      <c r="AF4290" s="4">
        <v>0</v>
      </c>
      <c r="AG4290" s="4">
        <v>1</v>
      </c>
      <c r="AH4290" s="4">
        <v>5</v>
      </c>
      <c r="AI4290" s="4">
        <v>6</v>
      </c>
      <c r="AJ4290" s="4">
        <v>2</v>
      </c>
      <c r="AK4290" s="4">
        <v>4</v>
      </c>
      <c r="AL4290" s="4">
        <v>3</v>
      </c>
      <c r="AM4290" s="4">
        <v>3</v>
      </c>
      <c r="AN4290" s="4">
        <v>0</v>
      </c>
      <c r="AO4290" s="4">
        <v>0</v>
      </c>
      <c r="AP4290" s="4">
        <v>2</v>
      </c>
      <c r="AQ4290" s="4">
        <v>3</v>
      </c>
      <c r="AR4290" s="3" t="s">
        <v>61</v>
      </c>
      <c r="AS4290" s="3" t="s">
        <v>62</v>
      </c>
      <c r="AT4290" s="3" t="s">
        <v>62</v>
      </c>
      <c r="AV4290" s="6" t="str">
        <f>HYPERLINK("http://mcgill.on.worldcat.org/oclc/21793193","Catalog Record")</f>
        <v>Catalog Record</v>
      </c>
      <c r="AW4290" s="6" t="str">
        <f>HYPERLINK("http://www.worldcat.org/oclc/21793193","WorldCat Record")</f>
        <v>WorldCat Record</v>
      </c>
      <c r="AX4290" s="3" t="s">
        <v>41224</v>
      </c>
      <c r="AY4290" s="3" t="s">
        <v>41225</v>
      </c>
      <c r="AZ4290" s="3" t="s">
        <v>41226</v>
      </c>
      <c r="BA4290" s="3" t="s">
        <v>41226</v>
      </c>
      <c r="BB4290" s="3" t="s">
        <v>41227</v>
      </c>
      <c r="BC4290" s="3" t="s">
        <v>102</v>
      </c>
      <c r="BD4290" s="3" t="s">
        <v>68</v>
      </c>
      <c r="BF4290" s="3" t="s">
        <v>41227</v>
      </c>
      <c r="BG4290" s="3" t="s">
        <v>41228</v>
      </c>
    </row>
    <row r="4291" spans="1:59" ht="58" x14ac:dyDescent="0.35">
      <c r="A4291" s="2" t="s">
        <v>59</v>
      </c>
      <c r="B4291" s="2" t="s">
        <v>60</v>
      </c>
      <c r="C4291" s="2" t="s">
        <v>41229</v>
      </c>
      <c r="D4291" s="2" t="s">
        <v>41230</v>
      </c>
      <c r="E4291" s="2" t="s">
        <v>41231</v>
      </c>
      <c r="G4291" s="3" t="s">
        <v>62</v>
      </c>
      <c r="I4291" s="3" t="s">
        <v>61</v>
      </c>
      <c r="J4291" s="3" t="s">
        <v>62</v>
      </c>
      <c r="K4291" s="3" t="s">
        <v>63</v>
      </c>
      <c r="L4291" s="2" t="s">
        <v>41232</v>
      </c>
      <c r="M4291" s="2" t="s">
        <v>41233</v>
      </c>
      <c r="N4291" s="3" t="s">
        <v>852</v>
      </c>
      <c r="P4291" s="3" t="s">
        <v>85</v>
      </c>
      <c r="R4291" s="3" t="s">
        <v>40557</v>
      </c>
      <c r="S4291" s="4">
        <v>3</v>
      </c>
      <c r="T4291" s="4">
        <v>7</v>
      </c>
      <c r="U4291" s="5" t="s">
        <v>22518</v>
      </c>
      <c r="V4291" s="5" t="s">
        <v>22518</v>
      </c>
      <c r="W4291" s="5" t="s">
        <v>67</v>
      </c>
      <c r="X4291" s="5" t="s">
        <v>67</v>
      </c>
      <c r="Y4291" s="4">
        <v>76</v>
      </c>
      <c r="Z4291" s="4">
        <v>29</v>
      </c>
      <c r="AA4291" s="4">
        <v>47</v>
      </c>
      <c r="AB4291" s="4">
        <v>2</v>
      </c>
      <c r="AC4291" s="4">
        <v>12</v>
      </c>
      <c r="AD4291" s="4">
        <v>53</v>
      </c>
      <c r="AE4291" s="4">
        <v>61</v>
      </c>
      <c r="AF4291" s="4">
        <v>1</v>
      </c>
      <c r="AG4291" s="4">
        <v>5</v>
      </c>
      <c r="AH4291" s="4">
        <v>37</v>
      </c>
      <c r="AI4291" s="4">
        <v>38</v>
      </c>
      <c r="AJ4291" s="4">
        <v>14</v>
      </c>
      <c r="AK4291" s="4">
        <v>19</v>
      </c>
      <c r="AL4291" s="4">
        <v>18</v>
      </c>
      <c r="AM4291" s="4">
        <v>18</v>
      </c>
      <c r="AN4291" s="4">
        <v>0</v>
      </c>
      <c r="AO4291" s="4">
        <v>0</v>
      </c>
      <c r="AP4291" s="4">
        <v>23</v>
      </c>
      <c r="AQ4291" s="4">
        <v>29</v>
      </c>
      <c r="AR4291" s="3" t="s">
        <v>61</v>
      </c>
      <c r="AS4291" s="3" t="s">
        <v>62</v>
      </c>
      <c r="AT4291" s="3" t="s">
        <v>61</v>
      </c>
      <c r="AU4291" s="6" t="str">
        <f>HYPERLINK("http://catalog.hathitrust.org/Record/001498478","HathiTrust Record")</f>
        <v>HathiTrust Record</v>
      </c>
      <c r="AV4291" s="6" t="str">
        <f>HYPERLINK("http://mcgill.on.worldcat.org/oclc/709172","Catalog Record")</f>
        <v>Catalog Record</v>
      </c>
      <c r="AW4291" s="6" t="str">
        <f>HYPERLINK("http://www.worldcat.org/oclc/709172","WorldCat Record")</f>
        <v>WorldCat Record</v>
      </c>
      <c r="AX4291" s="3" t="s">
        <v>41234</v>
      </c>
      <c r="AY4291" s="3" t="s">
        <v>41235</v>
      </c>
      <c r="AZ4291" s="3" t="s">
        <v>41236</v>
      </c>
      <c r="BA4291" s="3" t="s">
        <v>41236</v>
      </c>
      <c r="BB4291" s="3" t="s">
        <v>41237</v>
      </c>
      <c r="BC4291" s="3" t="s">
        <v>102</v>
      </c>
      <c r="BD4291" s="3" t="s">
        <v>68</v>
      </c>
      <c r="BF4291" s="3" t="s">
        <v>41237</v>
      </c>
      <c r="BG4291" s="3" t="s">
        <v>41238</v>
      </c>
    </row>
    <row r="4292" spans="1:59" ht="58" x14ac:dyDescent="0.35">
      <c r="A4292" s="2" t="s">
        <v>59</v>
      </c>
      <c r="B4292" s="2" t="s">
        <v>60</v>
      </c>
      <c r="C4292" s="2" t="s">
        <v>41239</v>
      </c>
      <c r="D4292" s="2" t="s">
        <v>41240</v>
      </c>
      <c r="E4292" s="2" t="s">
        <v>41241</v>
      </c>
      <c r="G4292" s="3" t="s">
        <v>62</v>
      </c>
      <c r="I4292" s="3" t="s">
        <v>61</v>
      </c>
      <c r="J4292" s="3" t="s">
        <v>62</v>
      </c>
      <c r="K4292" s="3" t="s">
        <v>63</v>
      </c>
      <c r="M4292" s="2" t="s">
        <v>41242</v>
      </c>
      <c r="N4292" s="3" t="s">
        <v>640</v>
      </c>
      <c r="P4292" s="3" t="s">
        <v>64</v>
      </c>
      <c r="R4292" s="3" t="s">
        <v>40557</v>
      </c>
      <c r="S4292" s="4">
        <v>4</v>
      </c>
      <c r="T4292" s="4">
        <v>6</v>
      </c>
      <c r="U4292" s="5" t="s">
        <v>1469</v>
      </c>
      <c r="V4292" s="5" t="s">
        <v>1469</v>
      </c>
      <c r="W4292" s="5" t="s">
        <v>67</v>
      </c>
      <c r="X4292" s="5" t="s">
        <v>67</v>
      </c>
      <c r="Y4292" s="4">
        <v>330</v>
      </c>
      <c r="Z4292" s="4">
        <v>14</v>
      </c>
      <c r="AA4292" s="4">
        <v>21</v>
      </c>
      <c r="AB4292" s="4">
        <v>1</v>
      </c>
      <c r="AC4292" s="4">
        <v>5</v>
      </c>
      <c r="AD4292" s="4">
        <v>73</v>
      </c>
      <c r="AE4292" s="4">
        <v>81</v>
      </c>
      <c r="AF4292" s="4">
        <v>0</v>
      </c>
      <c r="AG4292" s="4">
        <v>2</v>
      </c>
      <c r="AH4292" s="4">
        <v>71</v>
      </c>
      <c r="AI4292" s="4">
        <v>77</v>
      </c>
      <c r="AJ4292" s="4">
        <v>8</v>
      </c>
      <c r="AK4292" s="4">
        <v>13</v>
      </c>
      <c r="AL4292" s="4">
        <v>39</v>
      </c>
      <c r="AM4292" s="4">
        <v>40</v>
      </c>
      <c r="AN4292" s="4">
        <v>0</v>
      </c>
      <c r="AO4292" s="4">
        <v>0</v>
      </c>
      <c r="AP4292" s="4">
        <v>8</v>
      </c>
      <c r="AQ4292" s="4">
        <v>13</v>
      </c>
      <c r="AR4292" s="3" t="s">
        <v>62</v>
      </c>
      <c r="AS4292" s="3" t="s">
        <v>62</v>
      </c>
      <c r="AT4292" s="3" t="s">
        <v>62</v>
      </c>
      <c r="AV4292" s="6" t="str">
        <f>HYPERLINK("http://mcgill.on.worldcat.org/oclc/51886443","Catalog Record")</f>
        <v>Catalog Record</v>
      </c>
      <c r="AW4292" s="6" t="str">
        <f>HYPERLINK("http://www.worldcat.org/oclc/51886443","WorldCat Record")</f>
        <v>WorldCat Record</v>
      </c>
      <c r="AX4292" s="3" t="s">
        <v>41243</v>
      </c>
      <c r="AY4292" s="3" t="s">
        <v>41244</v>
      </c>
      <c r="AZ4292" s="3" t="s">
        <v>41245</v>
      </c>
      <c r="BA4292" s="3" t="s">
        <v>41245</v>
      </c>
      <c r="BB4292" s="3" t="s">
        <v>41246</v>
      </c>
      <c r="BC4292" s="3" t="s">
        <v>102</v>
      </c>
      <c r="BD4292" s="3" t="s">
        <v>68</v>
      </c>
      <c r="BE4292" s="3" t="s">
        <v>41247</v>
      </c>
      <c r="BF4292" s="3" t="s">
        <v>41246</v>
      </c>
      <c r="BG4292" s="3" t="s">
        <v>41248</v>
      </c>
    </row>
    <row r="4293" spans="1:59" ht="58" x14ac:dyDescent="0.35">
      <c r="A4293" s="2" t="s">
        <v>59</v>
      </c>
      <c r="B4293" s="2" t="s">
        <v>60</v>
      </c>
      <c r="C4293" s="2" t="s">
        <v>41249</v>
      </c>
      <c r="D4293" s="2" t="s">
        <v>41250</v>
      </c>
      <c r="E4293" s="2" t="s">
        <v>41251</v>
      </c>
      <c r="G4293" s="3" t="s">
        <v>62</v>
      </c>
      <c r="I4293" s="3" t="s">
        <v>62</v>
      </c>
      <c r="J4293" s="3" t="s">
        <v>62</v>
      </c>
      <c r="K4293" s="3" t="s">
        <v>63</v>
      </c>
      <c r="L4293" s="2" t="s">
        <v>41252</v>
      </c>
      <c r="M4293" s="2" t="s">
        <v>41253</v>
      </c>
      <c r="N4293" s="3" t="s">
        <v>568</v>
      </c>
      <c r="O4293" s="2" t="s">
        <v>41254</v>
      </c>
      <c r="P4293" s="3" t="s">
        <v>64</v>
      </c>
      <c r="R4293" s="3" t="s">
        <v>40557</v>
      </c>
      <c r="S4293" s="4">
        <v>4</v>
      </c>
      <c r="T4293" s="4">
        <v>4</v>
      </c>
      <c r="U4293" s="5" t="s">
        <v>1564</v>
      </c>
      <c r="V4293" s="5" t="s">
        <v>1564</v>
      </c>
      <c r="W4293" s="5" t="s">
        <v>67</v>
      </c>
      <c r="X4293" s="5" t="s">
        <v>67</v>
      </c>
      <c r="Y4293" s="4">
        <v>36</v>
      </c>
      <c r="Z4293" s="4">
        <v>4</v>
      </c>
      <c r="AA4293" s="4">
        <v>6</v>
      </c>
      <c r="AB4293" s="4">
        <v>1</v>
      </c>
      <c r="AC4293" s="4">
        <v>1</v>
      </c>
      <c r="AD4293" s="4">
        <v>12</v>
      </c>
      <c r="AE4293" s="4">
        <v>22</v>
      </c>
      <c r="AF4293" s="4">
        <v>0</v>
      </c>
      <c r="AG4293" s="4">
        <v>0</v>
      </c>
      <c r="AH4293" s="4">
        <v>11</v>
      </c>
      <c r="AI4293" s="4">
        <v>21</v>
      </c>
      <c r="AJ4293" s="4">
        <v>1</v>
      </c>
      <c r="AK4293" s="4">
        <v>2</v>
      </c>
      <c r="AL4293" s="4">
        <v>7</v>
      </c>
      <c r="AM4293" s="4">
        <v>15</v>
      </c>
      <c r="AN4293" s="4">
        <v>0</v>
      </c>
      <c r="AO4293" s="4">
        <v>0</v>
      </c>
      <c r="AP4293" s="4">
        <v>2</v>
      </c>
      <c r="AQ4293" s="4">
        <v>3</v>
      </c>
      <c r="AR4293" s="3" t="s">
        <v>62</v>
      </c>
      <c r="AS4293" s="3" t="s">
        <v>62</v>
      </c>
      <c r="AT4293" s="3" t="s">
        <v>62</v>
      </c>
      <c r="AV4293" s="6" t="str">
        <f>HYPERLINK("http://mcgill.on.worldcat.org/oclc/44594271","Catalog Record")</f>
        <v>Catalog Record</v>
      </c>
      <c r="AW4293" s="6" t="str">
        <f>HYPERLINK("http://www.worldcat.org/oclc/44594271","WorldCat Record")</f>
        <v>WorldCat Record</v>
      </c>
      <c r="AX4293" s="3" t="s">
        <v>41255</v>
      </c>
      <c r="AY4293" s="3" t="s">
        <v>41256</v>
      </c>
      <c r="AZ4293" s="3" t="s">
        <v>41257</v>
      </c>
      <c r="BA4293" s="3" t="s">
        <v>41257</v>
      </c>
      <c r="BB4293" s="3" t="s">
        <v>41258</v>
      </c>
      <c r="BC4293" s="3" t="s">
        <v>102</v>
      </c>
      <c r="BD4293" s="3" t="s">
        <v>231</v>
      </c>
      <c r="BE4293" s="3" t="s">
        <v>41259</v>
      </c>
      <c r="BF4293" s="3" t="s">
        <v>41258</v>
      </c>
      <c r="BG4293" s="3" t="s">
        <v>41260</v>
      </c>
    </row>
    <row r="4294" spans="1:59" ht="72.5" x14ac:dyDescent="0.35">
      <c r="A4294" s="2" t="s">
        <v>59</v>
      </c>
      <c r="B4294" s="2" t="s">
        <v>60</v>
      </c>
      <c r="C4294" s="2" t="s">
        <v>41261</v>
      </c>
      <c r="D4294" s="2" t="s">
        <v>41262</v>
      </c>
      <c r="E4294" s="2" t="s">
        <v>41263</v>
      </c>
      <c r="G4294" s="3" t="s">
        <v>62</v>
      </c>
      <c r="I4294" s="3" t="s">
        <v>62</v>
      </c>
      <c r="J4294" s="3" t="s">
        <v>62</v>
      </c>
      <c r="K4294" s="3" t="s">
        <v>63</v>
      </c>
      <c r="L4294" s="2" t="s">
        <v>41264</v>
      </c>
      <c r="M4294" s="2" t="s">
        <v>41265</v>
      </c>
      <c r="N4294" s="3" t="s">
        <v>424</v>
      </c>
      <c r="P4294" s="3" t="s">
        <v>64</v>
      </c>
      <c r="R4294" s="3" t="s">
        <v>40557</v>
      </c>
      <c r="S4294" s="4">
        <v>7</v>
      </c>
      <c r="T4294" s="4">
        <v>7</v>
      </c>
      <c r="U4294" s="5" t="s">
        <v>36440</v>
      </c>
      <c r="V4294" s="5" t="s">
        <v>36440</v>
      </c>
      <c r="W4294" s="5" t="s">
        <v>67</v>
      </c>
      <c r="X4294" s="5" t="s">
        <v>67</v>
      </c>
      <c r="Y4294" s="4">
        <v>194</v>
      </c>
      <c r="Z4294" s="4">
        <v>11</v>
      </c>
      <c r="AA4294" s="4">
        <v>12</v>
      </c>
      <c r="AB4294" s="4">
        <v>1</v>
      </c>
      <c r="AC4294" s="4">
        <v>2</v>
      </c>
      <c r="AD4294" s="4">
        <v>80</v>
      </c>
      <c r="AE4294" s="4">
        <v>81</v>
      </c>
      <c r="AF4294" s="4">
        <v>0</v>
      </c>
      <c r="AG4294" s="4">
        <v>1</v>
      </c>
      <c r="AH4294" s="4">
        <v>75</v>
      </c>
      <c r="AI4294" s="4">
        <v>76</v>
      </c>
      <c r="AJ4294" s="4">
        <v>9</v>
      </c>
      <c r="AK4294" s="4">
        <v>10</v>
      </c>
      <c r="AL4294" s="4">
        <v>39</v>
      </c>
      <c r="AM4294" s="4">
        <v>39</v>
      </c>
      <c r="AN4294" s="4">
        <v>0</v>
      </c>
      <c r="AO4294" s="4">
        <v>0</v>
      </c>
      <c r="AP4294" s="4">
        <v>8</v>
      </c>
      <c r="AQ4294" s="4">
        <v>9</v>
      </c>
      <c r="AR4294" s="3" t="s">
        <v>62</v>
      </c>
      <c r="AS4294" s="3" t="s">
        <v>62</v>
      </c>
      <c r="AT4294" s="3" t="s">
        <v>62</v>
      </c>
      <c r="AV4294" s="6" t="str">
        <f>HYPERLINK("http://mcgill.on.worldcat.org/oclc/15109077","Catalog Record")</f>
        <v>Catalog Record</v>
      </c>
      <c r="AW4294" s="6" t="str">
        <f>HYPERLINK("http://www.worldcat.org/oclc/15109077","WorldCat Record")</f>
        <v>WorldCat Record</v>
      </c>
      <c r="AX4294" s="3" t="s">
        <v>41266</v>
      </c>
      <c r="AY4294" s="3" t="s">
        <v>41267</v>
      </c>
      <c r="AZ4294" s="3" t="s">
        <v>41268</v>
      </c>
      <c r="BA4294" s="3" t="s">
        <v>41268</v>
      </c>
      <c r="BB4294" s="3" t="s">
        <v>41269</v>
      </c>
      <c r="BC4294" s="3" t="s">
        <v>102</v>
      </c>
      <c r="BD4294" s="3" t="s">
        <v>68</v>
      </c>
      <c r="BE4294" s="3" t="s">
        <v>41270</v>
      </c>
      <c r="BF4294" s="3" t="s">
        <v>41269</v>
      </c>
      <c r="BG4294" s="3" t="s">
        <v>41271</v>
      </c>
    </row>
    <row r="4295" spans="1:59" ht="87" x14ac:dyDescent="0.35">
      <c r="A4295" s="2" t="s">
        <v>89</v>
      </c>
      <c r="B4295" s="2" t="s">
        <v>90</v>
      </c>
      <c r="C4295" s="2" t="s">
        <v>41272</v>
      </c>
      <c r="D4295" s="2" t="s">
        <v>41273</v>
      </c>
      <c r="E4295" s="2" t="s">
        <v>41274</v>
      </c>
      <c r="F4295" s="3" t="s">
        <v>2217</v>
      </c>
      <c r="G4295" s="3" t="s">
        <v>61</v>
      </c>
      <c r="I4295" s="3" t="s">
        <v>62</v>
      </c>
      <c r="J4295" s="3" t="s">
        <v>62</v>
      </c>
      <c r="K4295" s="3" t="s">
        <v>63</v>
      </c>
      <c r="L4295" s="2" t="s">
        <v>41275</v>
      </c>
      <c r="M4295" s="2" t="s">
        <v>18624</v>
      </c>
      <c r="N4295" s="3" t="s">
        <v>712</v>
      </c>
      <c r="P4295" s="3" t="s">
        <v>64</v>
      </c>
      <c r="Q4295" s="2" t="s">
        <v>41276</v>
      </c>
      <c r="R4295" s="3" t="s">
        <v>40557</v>
      </c>
      <c r="S4295" s="4">
        <v>0</v>
      </c>
      <c r="T4295" s="4">
        <v>0</v>
      </c>
      <c r="W4295" s="5" t="s">
        <v>67</v>
      </c>
      <c r="X4295" s="5" t="s">
        <v>67</v>
      </c>
      <c r="Y4295" s="4">
        <v>6</v>
      </c>
      <c r="Z4295" s="4">
        <v>1</v>
      </c>
      <c r="AA4295" s="4">
        <v>23</v>
      </c>
      <c r="AB4295" s="4">
        <v>1</v>
      </c>
      <c r="AC4295" s="4">
        <v>3</v>
      </c>
      <c r="AD4295" s="4">
        <v>0</v>
      </c>
      <c r="AE4295" s="4">
        <v>101</v>
      </c>
      <c r="AF4295" s="4">
        <v>0</v>
      </c>
      <c r="AG4295" s="4">
        <v>1</v>
      </c>
      <c r="AH4295" s="4">
        <v>0</v>
      </c>
      <c r="AI4295" s="4">
        <v>90</v>
      </c>
      <c r="AJ4295" s="4">
        <v>0</v>
      </c>
      <c r="AK4295" s="4">
        <v>15</v>
      </c>
      <c r="AL4295" s="4">
        <v>0</v>
      </c>
      <c r="AM4295" s="4">
        <v>52</v>
      </c>
      <c r="AN4295" s="4">
        <v>0</v>
      </c>
      <c r="AO4295" s="4">
        <v>0</v>
      </c>
      <c r="AP4295" s="4">
        <v>0</v>
      </c>
      <c r="AQ4295" s="4">
        <v>15</v>
      </c>
      <c r="AR4295" s="3" t="s">
        <v>62</v>
      </c>
      <c r="AS4295" s="3" t="s">
        <v>62</v>
      </c>
      <c r="AT4295" s="3" t="s">
        <v>62</v>
      </c>
      <c r="AV4295" s="6" t="str">
        <f>HYPERLINK("http://mcgill.on.worldcat.org/oclc/870650248","Catalog Record")</f>
        <v>Catalog Record</v>
      </c>
      <c r="AW4295" s="6" t="str">
        <f>HYPERLINK("http://www.worldcat.org/oclc/870650248","WorldCat Record")</f>
        <v>WorldCat Record</v>
      </c>
      <c r="AX4295" s="3" t="s">
        <v>41277</v>
      </c>
      <c r="AY4295" s="3" t="s">
        <v>41278</v>
      </c>
      <c r="AZ4295" s="3" t="s">
        <v>41279</v>
      </c>
      <c r="BA4295" s="3" t="s">
        <v>41279</v>
      </c>
      <c r="BB4295" s="3" t="s">
        <v>41280</v>
      </c>
      <c r="BC4295" s="3" t="s">
        <v>102</v>
      </c>
      <c r="BD4295" s="3" t="s">
        <v>68</v>
      </c>
      <c r="BE4295" s="3" t="s">
        <v>41281</v>
      </c>
      <c r="BF4295" s="3" t="s">
        <v>41280</v>
      </c>
      <c r="BG4295" s="3" t="s">
        <v>41282</v>
      </c>
    </row>
    <row r="4296" spans="1:59" ht="58" x14ac:dyDescent="0.35">
      <c r="A4296" s="2" t="s">
        <v>59</v>
      </c>
      <c r="B4296" s="2" t="s">
        <v>60</v>
      </c>
      <c r="C4296" s="2" t="s">
        <v>41283</v>
      </c>
      <c r="D4296" s="2" t="s">
        <v>41284</v>
      </c>
      <c r="E4296" s="2" t="s">
        <v>41285</v>
      </c>
      <c r="G4296" s="3" t="s">
        <v>62</v>
      </c>
      <c r="I4296" s="3" t="s">
        <v>62</v>
      </c>
      <c r="J4296" s="3" t="s">
        <v>62</v>
      </c>
      <c r="K4296" s="3" t="s">
        <v>63</v>
      </c>
      <c r="L4296" s="2" t="s">
        <v>41286</v>
      </c>
      <c r="M4296" s="2" t="s">
        <v>37247</v>
      </c>
      <c r="N4296" s="3" t="s">
        <v>2975</v>
      </c>
      <c r="P4296" s="3" t="s">
        <v>64</v>
      </c>
      <c r="Q4296" s="2" t="s">
        <v>41287</v>
      </c>
      <c r="R4296" s="3" t="s">
        <v>40557</v>
      </c>
      <c r="S4296" s="4">
        <v>1</v>
      </c>
      <c r="T4296" s="4">
        <v>1</v>
      </c>
      <c r="U4296" s="5" t="s">
        <v>20934</v>
      </c>
      <c r="V4296" s="5" t="s">
        <v>20934</v>
      </c>
      <c r="W4296" s="5" t="s">
        <v>67</v>
      </c>
      <c r="X4296" s="5" t="s">
        <v>67</v>
      </c>
      <c r="Y4296" s="4">
        <v>155</v>
      </c>
      <c r="Z4296" s="4">
        <v>5</v>
      </c>
      <c r="AA4296" s="4">
        <v>94</v>
      </c>
      <c r="AB4296" s="4">
        <v>1</v>
      </c>
      <c r="AC4296" s="4">
        <v>17</v>
      </c>
      <c r="AD4296" s="4">
        <v>55</v>
      </c>
      <c r="AE4296" s="4">
        <v>131</v>
      </c>
      <c r="AF4296" s="4">
        <v>0</v>
      </c>
      <c r="AG4296" s="4">
        <v>8</v>
      </c>
      <c r="AH4296" s="4">
        <v>54</v>
      </c>
      <c r="AI4296" s="4">
        <v>93</v>
      </c>
      <c r="AJ4296" s="4">
        <v>1</v>
      </c>
      <c r="AK4296" s="4">
        <v>22</v>
      </c>
      <c r="AL4296" s="4">
        <v>30</v>
      </c>
      <c r="AM4296" s="4">
        <v>47</v>
      </c>
      <c r="AN4296" s="4">
        <v>0</v>
      </c>
      <c r="AO4296" s="4">
        <v>0</v>
      </c>
      <c r="AP4296" s="4">
        <v>2</v>
      </c>
      <c r="AQ4296" s="4">
        <v>47</v>
      </c>
      <c r="AR4296" s="3" t="s">
        <v>62</v>
      </c>
      <c r="AS4296" s="3" t="s">
        <v>62</v>
      </c>
      <c r="AT4296" s="3" t="s">
        <v>62</v>
      </c>
      <c r="AV4296" s="6" t="str">
        <f>HYPERLINK("http://mcgill.on.worldcat.org/oclc/45387371","Catalog Record")</f>
        <v>Catalog Record</v>
      </c>
      <c r="AW4296" s="6" t="str">
        <f>HYPERLINK("http://www.worldcat.org/oclc/45387371","WorldCat Record")</f>
        <v>WorldCat Record</v>
      </c>
      <c r="AX4296" s="3" t="s">
        <v>41288</v>
      </c>
      <c r="AY4296" s="3" t="s">
        <v>41289</v>
      </c>
      <c r="AZ4296" s="3" t="s">
        <v>41290</v>
      </c>
      <c r="BA4296" s="3" t="s">
        <v>41290</v>
      </c>
      <c r="BB4296" s="3" t="s">
        <v>41291</v>
      </c>
      <c r="BC4296" s="3" t="s">
        <v>102</v>
      </c>
      <c r="BD4296" s="3" t="s">
        <v>68</v>
      </c>
      <c r="BE4296" s="3" t="s">
        <v>41292</v>
      </c>
      <c r="BF4296" s="3" t="s">
        <v>41291</v>
      </c>
      <c r="BG4296" s="3" t="s">
        <v>41293</v>
      </c>
    </row>
    <row r="4297" spans="1:59" ht="58" x14ac:dyDescent="0.35">
      <c r="A4297" s="2" t="s">
        <v>59</v>
      </c>
      <c r="B4297" s="2" t="s">
        <v>60</v>
      </c>
      <c r="C4297" s="2" t="s">
        <v>41294</v>
      </c>
      <c r="D4297" s="2" t="s">
        <v>41295</v>
      </c>
      <c r="E4297" s="2" t="s">
        <v>41296</v>
      </c>
      <c r="G4297" s="3" t="s">
        <v>62</v>
      </c>
      <c r="I4297" s="3" t="s">
        <v>62</v>
      </c>
      <c r="J4297" s="3" t="s">
        <v>62</v>
      </c>
      <c r="K4297" s="3" t="s">
        <v>63</v>
      </c>
      <c r="L4297" s="2" t="s">
        <v>41297</v>
      </c>
      <c r="M4297" s="2" t="s">
        <v>41298</v>
      </c>
      <c r="N4297" s="3" t="s">
        <v>568</v>
      </c>
      <c r="P4297" s="3" t="s">
        <v>64</v>
      </c>
      <c r="Q4297" s="2" t="s">
        <v>41299</v>
      </c>
      <c r="R4297" s="3" t="s">
        <v>40557</v>
      </c>
      <c r="S4297" s="4">
        <v>1</v>
      </c>
      <c r="T4297" s="4">
        <v>1</v>
      </c>
      <c r="U4297" s="5" t="s">
        <v>5789</v>
      </c>
      <c r="V4297" s="5" t="s">
        <v>5789</v>
      </c>
      <c r="W4297" s="5" t="s">
        <v>67</v>
      </c>
      <c r="X4297" s="5" t="s">
        <v>67</v>
      </c>
      <c r="Y4297" s="4">
        <v>36</v>
      </c>
      <c r="Z4297" s="4">
        <v>2</v>
      </c>
      <c r="AA4297" s="4">
        <v>2</v>
      </c>
      <c r="AB4297" s="4">
        <v>1</v>
      </c>
      <c r="AC4297" s="4">
        <v>1</v>
      </c>
      <c r="AD4297" s="4">
        <v>2</v>
      </c>
      <c r="AE4297" s="4">
        <v>2</v>
      </c>
      <c r="AF4297" s="4">
        <v>0</v>
      </c>
      <c r="AG4297" s="4">
        <v>0</v>
      </c>
      <c r="AH4297" s="4">
        <v>2</v>
      </c>
      <c r="AI4297" s="4">
        <v>2</v>
      </c>
      <c r="AJ4297" s="4">
        <v>0</v>
      </c>
      <c r="AK4297" s="4">
        <v>0</v>
      </c>
      <c r="AL4297" s="4">
        <v>2</v>
      </c>
      <c r="AM4297" s="4">
        <v>2</v>
      </c>
      <c r="AN4297" s="4">
        <v>0</v>
      </c>
      <c r="AO4297" s="4">
        <v>0</v>
      </c>
      <c r="AP4297" s="4">
        <v>0</v>
      </c>
      <c r="AQ4297" s="4">
        <v>0</v>
      </c>
      <c r="AR4297" s="3" t="s">
        <v>62</v>
      </c>
      <c r="AS4297" s="3" t="s">
        <v>62</v>
      </c>
      <c r="AT4297" s="3" t="s">
        <v>62</v>
      </c>
      <c r="AV4297" s="6" t="str">
        <f>HYPERLINK("http://mcgill.on.worldcat.org/oclc/47868697","Catalog Record")</f>
        <v>Catalog Record</v>
      </c>
      <c r="AW4297" s="6" t="str">
        <f>HYPERLINK("http://www.worldcat.org/oclc/47868697","WorldCat Record")</f>
        <v>WorldCat Record</v>
      </c>
      <c r="AX4297" s="3" t="s">
        <v>41300</v>
      </c>
      <c r="AY4297" s="3" t="s">
        <v>41301</v>
      </c>
      <c r="AZ4297" s="3" t="s">
        <v>41302</v>
      </c>
      <c r="BA4297" s="3" t="s">
        <v>41302</v>
      </c>
      <c r="BB4297" s="3" t="s">
        <v>41303</v>
      </c>
      <c r="BC4297" s="3" t="s">
        <v>102</v>
      </c>
      <c r="BD4297" s="3" t="s">
        <v>68</v>
      </c>
      <c r="BE4297" s="3" t="s">
        <v>41304</v>
      </c>
      <c r="BF4297" s="3" t="s">
        <v>41303</v>
      </c>
      <c r="BG4297" s="3" t="s">
        <v>41305</v>
      </c>
    </row>
    <row r="4298" spans="1:59" ht="58" x14ac:dyDescent="0.35">
      <c r="A4298" s="2" t="s">
        <v>59</v>
      </c>
      <c r="B4298" s="2" t="s">
        <v>60</v>
      </c>
      <c r="C4298" s="2" t="s">
        <v>41306</v>
      </c>
      <c r="D4298" s="2" t="s">
        <v>41307</v>
      </c>
      <c r="E4298" s="2" t="s">
        <v>41308</v>
      </c>
      <c r="G4298" s="3" t="s">
        <v>62</v>
      </c>
      <c r="I4298" s="3" t="s">
        <v>62</v>
      </c>
      <c r="J4298" s="3" t="s">
        <v>62</v>
      </c>
      <c r="K4298" s="3" t="s">
        <v>63</v>
      </c>
      <c r="L4298" s="2" t="s">
        <v>41309</v>
      </c>
      <c r="M4298" s="2" t="s">
        <v>41310</v>
      </c>
      <c r="N4298" s="3" t="s">
        <v>2588</v>
      </c>
      <c r="P4298" s="3" t="s">
        <v>64</v>
      </c>
      <c r="R4298" s="3" t="s">
        <v>40557</v>
      </c>
      <c r="S4298" s="4">
        <v>3</v>
      </c>
      <c r="T4298" s="4">
        <v>3</v>
      </c>
      <c r="U4298" s="5" t="s">
        <v>25391</v>
      </c>
      <c r="V4298" s="5" t="s">
        <v>25391</v>
      </c>
      <c r="W4298" s="5" t="s">
        <v>67</v>
      </c>
      <c r="X4298" s="5" t="s">
        <v>67</v>
      </c>
      <c r="Y4298" s="4">
        <v>201</v>
      </c>
      <c r="Z4298" s="4">
        <v>10</v>
      </c>
      <c r="AA4298" s="4">
        <v>12</v>
      </c>
      <c r="AB4298" s="4">
        <v>1</v>
      </c>
      <c r="AC4298" s="4">
        <v>2</v>
      </c>
      <c r="AD4298" s="4">
        <v>42</v>
      </c>
      <c r="AE4298" s="4">
        <v>48</v>
      </c>
      <c r="AF4298" s="4">
        <v>0</v>
      </c>
      <c r="AG4298" s="4">
        <v>1</v>
      </c>
      <c r="AH4298" s="4">
        <v>38</v>
      </c>
      <c r="AI4298" s="4">
        <v>43</v>
      </c>
      <c r="AJ4298" s="4">
        <v>6</v>
      </c>
      <c r="AK4298" s="4">
        <v>7</v>
      </c>
      <c r="AL4298" s="4">
        <v>19</v>
      </c>
      <c r="AM4298" s="4">
        <v>21</v>
      </c>
      <c r="AN4298" s="4">
        <v>0</v>
      </c>
      <c r="AO4298" s="4">
        <v>0</v>
      </c>
      <c r="AP4298" s="4">
        <v>6</v>
      </c>
      <c r="AQ4298" s="4">
        <v>8</v>
      </c>
      <c r="AR4298" s="3" t="s">
        <v>62</v>
      </c>
      <c r="AS4298" s="3" t="s">
        <v>62</v>
      </c>
      <c r="AT4298" s="3" t="s">
        <v>61</v>
      </c>
      <c r="AU4298" s="6" t="str">
        <f>HYPERLINK("http://catalog.hathitrust.org/Record/009083689","HathiTrust Record")</f>
        <v>HathiTrust Record</v>
      </c>
      <c r="AV4298" s="6" t="str">
        <f>HYPERLINK("http://mcgill.on.worldcat.org/oclc/3186552","Catalog Record")</f>
        <v>Catalog Record</v>
      </c>
      <c r="AW4298" s="6" t="str">
        <f>HYPERLINK("http://www.worldcat.org/oclc/3186552","WorldCat Record")</f>
        <v>WorldCat Record</v>
      </c>
      <c r="AX4298" s="3" t="s">
        <v>41311</v>
      </c>
      <c r="AY4298" s="3" t="s">
        <v>41312</v>
      </c>
      <c r="AZ4298" s="3" t="s">
        <v>41313</v>
      </c>
      <c r="BA4298" s="3" t="s">
        <v>41313</v>
      </c>
      <c r="BB4298" s="3" t="s">
        <v>41314</v>
      </c>
      <c r="BC4298" s="3" t="s">
        <v>102</v>
      </c>
      <c r="BD4298" s="3" t="s">
        <v>68</v>
      </c>
      <c r="BE4298" s="3" t="s">
        <v>41315</v>
      </c>
      <c r="BF4298" s="3" t="s">
        <v>41314</v>
      </c>
      <c r="BG4298" s="3" t="s">
        <v>41316</v>
      </c>
    </row>
    <row r="4299" spans="1:59" ht="58" x14ac:dyDescent="0.35">
      <c r="A4299" s="2" t="s">
        <v>59</v>
      </c>
      <c r="B4299" s="2" t="s">
        <v>60</v>
      </c>
      <c r="C4299" s="2" t="s">
        <v>41317</v>
      </c>
      <c r="D4299" s="2" t="s">
        <v>41318</v>
      </c>
      <c r="E4299" s="2" t="s">
        <v>41319</v>
      </c>
      <c r="F4299" s="3" t="s">
        <v>1434</v>
      </c>
      <c r="G4299" s="3" t="s">
        <v>61</v>
      </c>
      <c r="I4299" s="3" t="s">
        <v>61</v>
      </c>
      <c r="J4299" s="3" t="s">
        <v>62</v>
      </c>
      <c r="K4299" s="3" t="s">
        <v>63</v>
      </c>
      <c r="M4299" s="2" t="s">
        <v>41320</v>
      </c>
      <c r="N4299" s="3" t="s">
        <v>2924</v>
      </c>
      <c r="P4299" s="3" t="s">
        <v>64</v>
      </c>
      <c r="R4299" s="3" t="s">
        <v>40557</v>
      </c>
      <c r="S4299" s="4">
        <v>0</v>
      </c>
      <c r="T4299" s="4">
        <v>2</v>
      </c>
      <c r="V4299" s="5" t="s">
        <v>1266</v>
      </c>
      <c r="W4299" s="5" t="s">
        <v>67</v>
      </c>
      <c r="X4299" s="5" t="s">
        <v>67</v>
      </c>
      <c r="Y4299" s="4">
        <v>293</v>
      </c>
      <c r="Z4299" s="4">
        <v>19</v>
      </c>
      <c r="AA4299" s="4">
        <v>27</v>
      </c>
      <c r="AB4299" s="4">
        <v>1</v>
      </c>
      <c r="AC4299" s="4">
        <v>4</v>
      </c>
      <c r="AD4299" s="4">
        <v>95</v>
      </c>
      <c r="AE4299" s="4">
        <v>107</v>
      </c>
      <c r="AF4299" s="4">
        <v>0</v>
      </c>
      <c r="AG4299" s="4">
        <v>1</v>
      </c>
      <c r="AH4299" s="4">
        <v>86</v>
      </c>
      <c r="AI4299" s="4">
        <v>96</v>
      </c>
      <c r="AJ4299" s="4">
        <v>13</v>
      </c>
      <c r="AK4299" s="4">
        <v>17</v>
      </c>
      <c r="AL4299" s="4">
        <v>44</v>
      </c>
      <c r="AM4299" s="4">
        <v>49</v>
      </c>
      <c r="AN4299" s="4">
        <v>0</v>
      </c>
      <c r="AO4299" s="4">
        <v>0</v>
      </c>
      <c r="AP4299" s="4">
        <v>15</v>
      </c>
      <c r="AQ4299" s="4">
        <v>19</v>
      </c>
      <c r="AR4299" s="3" t="s">
        <v>62</v>
      </c>
      <c r="AS4299" s="3" t="s">
        <v>62</v>
      </c>
      <c r="AT4299" s="3" t="s">
        <v>61</v>
      </c>
      <c r="AU4299" s="6" t="str">
        <f>HYPERLINK("http://catalog.hathitrust.org/Record/000192187","HathiTrust Record")</f>
        <v>HathiTrust Record</v>
      </c>
      <c r="AV4299" s="6" t="str">
        <f>HYPERLINK("http://mcgill.on.worldcat.org/oclc/517726","Catalog Record")</f>
        <v>Catalog Record</v>
      </c>
      <c r="AW4299" s="6" t="str">
        <f>HYPERLINK("http://www.worldcat.org/oclc/517726","WorldCat Record")</f>
        <v>WorldCat Record</v>
      </c>
      <c r="AX4299" s="3" t="s">
        <v>41321</v>
      </c>
      <c r="AY4299" s="3" t="s">
        <v>41322</v>
      </c>
      <c r="AZ4299" s="3" t="s">
        <v>41323</v>
      </c>
      <c r="BA4299" s="3" t="s">
        <v>41323</v>
      </c>
      <c r="BB4299" s="3" t="s">
        <v>41324</v>
      </c>
      <c r="BC4299" s="3" t="s">
        <v>102</v>
      </c>
      <c r="BD4299" s="3" t="s">
        <v>68</v>
      </c>
      <c r="BE4299" s="3" t="s">
        <v>41325</v>
      </c>
      <c r="BF4299" s="3" t="s">
        <v>41324</v>
      </c>
      <c r="BG4299" s="3" t="s">
        <v>41326</v>
      </c>
    </row>
    <row r="4300" spans="1:59" ht="58" x14ac:dyDescent="0.35">
      <c r="A4300" s="2" t="s">
        <v>59</v>
      </c>
      <c r="B4300" s="2" t="s">
        <v>60</v>
      </c>
      <c r="C4300" s="2" t="s">
        <v>41317</v>
      </c>
      <c r="D4300" s="2" t="s">
        <v>41318</v>
      </c>
      <c r="E4300" s="2" t="s">
        <v>41319</v>
      </c>
      <c r="F4300" s="3" t="s">
        <v>6297</v>
      </c>
      <c r="G4300" s="3" t="s">
        <v>61</v>
      </c>
      <c r="I4300" s="3" t="s">
        <v>61</v>
      </c>
      <c r="J4300" s="3" t="s">
        <v>62</v>
      </c>
      <c r="K4300" s="3" t="s">
        <v>63</v>
      </c>
      <c r="M4300" s="2" t="s">
        <v>41320</v>
      </c>
      <c r="N4300" s="3" t="s">
        <v>2924</v>
      </c>
      <c r="P4300" s="3" t="s">
        <v>64</v>
      </c>
      <c r="R4300" s="3" t="s">
        <v>40557</v>
      </c>
      <c r="S4300" s="4">
        <v>0</v>
      </c>
      <c r="T4300" s="4">
        <v>2</v>
      </c>
      <c r="V4300" s="5" t="s">
        <v>1266</v>
      </c>
      <c r="W4300" s="5" t="s">
        <v>67</v>
      </c>
      <c r="X4300" s="5" t="s">
        <v>67</v>
      </c>
      <c r="Y4300" s="4">
        <v>293</v>
      </c>
      <c r="Z4300" s="4">
        <v>19</v>
      </c>
      <c r="AA4300" s="4">
        <v>27</v>
      </c>
      <c r="AB4300" s="4">
        <v>1</v>
      </c>
      <c r="AC4300" s="4">
        <v>4</v>
      </c>
      <c r="AD4300" s="4">
        <v>95</v>
      </c>
      <c r="AE4300" s="4">
        <v>107</v>
      </c>
      <c r="AF4300" s="4">
        <v>0</v>
      </c>
      <c r="AG4300" s="4">
        <v>1</v>
      </c>
      <c r="AH4300" s="4">
        <v>86</v>
      </c>
      <c r="AI4300" s="4">
        <v>96</v>
      </c>
      <c r="AJ4300" s="4">
        <v>13</v>
      </c>
      <c r="AK4300" s="4">
        <v>17</v>
      </c>
      <c r="AL4300" s="4">
        <v>44</v>
      </c>
      <c r="AM4300" s="4">
        <v>49</v>
      </c>
      <c r="AN4300" s="4">
        <v>0</v>
      </c>
      <c r="AO4300" s="4">
        <v>0</v>
      </c>
      <c r="AP4300" s="4">
        <v>15</v>
      </c>
      <c r="AQ4300" s="4">
        <v>19</v>
      </c>
      <c r="AR4300" s="3" t="s">
        <v>62</v>
      </c>
      <c r="AS4300" s="3" t="s">
        <v>62</v>
      </c>
      <c r="AT4300" s="3" t="s">
        <v>61</v>
      </c>
      <c r="AU4300" s="6" t="str">
        <f>HYPERLINK("http://catalog.hathitrust.org/Record/000192187","HathiTrust Record")</f>
        <v>HathiTrust Record</v>
      </c>
      <c r="AV4300" s="6" t="str">
        <f>HYPERLINK("http://mcgill.on.worldcat.org/oclc/517726","Catalog Record")</f>
        <v>Catalog Record</v>
      </c>
      <c r="AW4300" s="6" t="str">
        <f>HYPERLINK("http://www.worldcat.org/oclc/517726","WorldCat Record")</f>
        <v>WorldCat Record</v>
      </c>
      <c r="AX4300" s="3" t="s">
        <v>41321</v>
      </c>
      <c r="AY4300" s="3" t="s">
        <v>41322</v>
      </c>
      <c r="AZ4300" s="3" t="s">
        <v>41323</v>
      </c>
      <c r="BA4300" s="3" t="s">
        <v>41323</v>
      </c>
      <c r="BB4300" s="3" t="s">
        <v>41327</v>
      </c>
      <c r="BC4300" s="3" t="s">
        <v>102</v>
      </c>
      <c r="BD4300" s="3" t="s">
        <v>68</v>
      </c>
      <c r="BE4300" s="3" t="s">
        <v>41325</v>
      </c>
      <c r="BF4300" s="3" t="s">
        <v>41327</v>
      </c>
      <c r="BG4300" s="3" t="s">
        <v>41328</v>
      </c>
    </row>
    <row r="4301" spans="1:59" ht="58" x14ac:dyDescent="0.35">
      <c r="A4301" s="2" t="s">
        <v>59</v>
      </c>
      <c r="B4301" s="2" t="s">
        <v>60</v>
      </c>
      <c r="C4301" s="2" t="s">
        <v>41317</v>
      </c>
      <c r="D4301" s="2" t="s">
        <v>41318</v>
      </c>
      <c r="E4301" s="2" t="s">
        <v>41319</v>
      </c>
      <c r="F4301" s="3" t="s">
        <v>6300</v>
      </c>
      <c r="G4301" s="3" t="s">
        <v>61</v>
      </c>
      <c r="I4301" s="3" t="s">
        <v>61</v>
      </c>
      <c r="J4301" s="3" t="s">
        <v>62</v>
      </c>
      <c r="K4301" s="3" t="s">
        <v>63</v>
      </c>
      <c r="M4301" s="2" t="s">
        <v>41320</v>
      </c>
      <c r="N4301" s="3" t="s">
        <v>2924</v>
      </c>
      <c r="P4301" s="3" t="s">
        <v>64</v>
      </c>
      <c r="R4301" s="3" t="s">
        <v>40557</v>
      </c>
      <c r="S4301" s="4">
        <v>0</v>
      </c>
      <c r="T4301" s="4">
        <v>2</v>
      </c>
      <c r="V4301" s="5" t="s">
        <v>1266</v>
      </c>
      <c r="W4301" s="5" t="s">
        <v>67</v>
      </c>
      <c r="X4301" s="5" t="s">
        <v>67</v>
      </c>
      <c r="Y4301" s="4">
        <v>293</v>
      </c>
      <c r="Z4301" s="4">
        <v>19</v>
      </c>
      <c r="AA4301" s="4">
        <v>27</v>
      </c>
      <c r="AB4301" s="4">
        <v>1</v>
      </c>
      <c r="AC4301" s="4">
        <v>4</v>
      </c>
      <c r="AD4301" s="4">
        <v>95</v>
      </c>
      <c r="AE4301" s="4">
        <v>107</v>
      </c>
      <c r="AF4301" s="4">
        <v>0</v>
      </c>
      <c r="AG4301" s="4">
        <v>1</v>
      </c>
      <c r="AH4301" s="4">
        <v>86</v>
      </c>
      <c r="AI4301" s="4">
        <v>96</v>
      </c>
      <c r="AJ4301" s="4">
        <v>13</v>
      </c>
      <c r="AK4301" s="4">
        <v>17</v>
      </c>
      <c r="AL4301" s="4">
        <v>44</v>
      </c>
      <c r="AM4301" s="4">
        <v>49</v>
      </c>
      <c r="AN4301" s="4">
        <v>0</v>
      </c>
      <c r="AO4301" s="4">
        <v>0</v>
      </c>
      <c r="AP4301" s="4">
        <v>15</v>
      </c>
      <c r="AQ4301" s="4">
        <v>19</v>
      </c>
      <c r="AR4301" s="3" t="s">
        <v>62</v>
      </c>
      <c r="AS4301" s="3" t="s">
        <v>62</v>
      </c>
      <c r="AT4301" s="3" t="s">
        <v>61</v>
      </c>
      <c r="AU4301" s="6" t="str">
        <f>HYPERLINK("http://catalog.hathitrust.org/Record/000192187","HathiTrust Record")</f>
        <v>HathiTrust Record</v>
      </c>
      <c r="AV4301" s="6" t="str">
        <f>HYPERLINK("http://mcgill.on.worldcat.org/oclc/517726","Catalog Record")</f>
        <v>Catalog Record</v>
      </c>
      <c r="AW4301" s="6" t="str">
        <f>HYPERLINK("http://www.worldcat.org/oclc/517726","WorldCat Record")</f>
        <v>WorldCat Record</v>
      </c>
      <c r="AX4301" s="3" t="s">
        <v>41321</v>
      </c>
      <c r="AY4301" s="3" t="s">
        <v>41322</v>
      </c>
      <c r="AZ4301" s="3" t="s">
        <v>41323</v>
      </c>
      <c r="BA4301" s="3" t="s">
        <v>41323</v>
      </c>
      <c r="BB4301" s="3" t="s">
        <v>41329</v>
      </c>
      <c r="BC4301" s="3" t="s">
        <v>102</v>
      </c>
      <c r="BD4301" s="3" t="s">
        <v>68</v>
      </c>
      <c r="BE4301" s="3" t="s">
        <v>41325</v>
      </c>
      <c r="BF4301" s="3" t="s">
        <v>41329</v>
      </c>
      <c r="BG4301" s="3" t="s">
        <v>41330</v>
      </c>
    </row>
    <row r="4302" spans="1:59" ht="101.5" x14ac:dyDescent="0.35">
      <c r="A4302" s="2" t="s">
        <v>59</v>
      </c>
      <c r="B4302" s="2" t="s">
        <v>60</v>
      </c>
      <c r="C4302" s="2" t="s">
        <v>41331</v>
      </c>
      <c r="D4302" s="2" t="s">
        <v>41332</v>
      </c>
      <c r="E4302" s="2" t="s">
        <v>41333</v>
      </c>
      <c r="G4302" s="3" t="s">
        <v>62</v>
      </c>
      <c r="I4302" s="3" t="s">
        <v>62</v>
      </c>
      <c r="J4302" s="3" t="s">
        <v>62</v>
      </c>
      <c r="K4302" s="3" t="s">
        <v>63</v>
      </c>
      <c r="L4302" s="2" t="s">
        <v>41334</v>
      </c>
      <c r="M4302" s="2" t="s">
        <v>41335</v>
      </c>
      <c r="N4302" s="3" t="s">
        <v>1905</v>
      </c>
      <c r="P4302" s="3" t="s">
        <v>64</v>
      </c>
      <c r="Q4302" s="2" t="s">
        <v>41336</v>
      </c>
      <c r="R4302" s="3" t="s">
        <v>40557</v>
      </c>
      <c r="S4302" s="4">
        <v>5</v>
      </c>
      <c r="T4302" s="4">
        <v>5</v>
      </c>
      <c r="U4302" s="5" t="s">
        <v>25391</v>
      </c>
      <c r="V4302" s="5" t="s">
        <v>25391</v>
      </c>
      <c r="W4302" s="5" t="s">
        <v>67</v>
      </c>
      <c r="X4302" s="5" t="s">
        <v>67</v>
      </c>
      <c r="Y4302" s="4">
        <v>81</v>
      </c>
      <c r="Z4302" s="4">
        <v>2</v>
      </c>
      <c r="AA4302" s="4">
        <v>8</v>
      </c>
      <c r="AB4302" s="4">
        <v>1</v>
      </c>
      <c r="AC4302" s="4">
        <v>1</v>
      </c>
      <c r="AD4302" s="4">
        <v>15</v>
      </c>
      <c r="AE4302" s="4">
        <v>49</v>
      </c>
      <c r="AF4302" s="4">
        <v>0</v>
      </c>
      <c r="AG4302" s="4">
        <v>0</v>
      </c>
      <c r="AH4302" s="4">
        <v>15</v>
      </c>
      <c r="AI4302" s="4">
        <v>46</v>
      </c>
      <c r="AJ4302" s="4">
        <v>0</v>
      </c>
      <c r="AK4302" s="4">
        <v>4</v>
      </c>
      <c r="AL4302" s="4">
        <v>5</v>
      </c>
      <c r="AM4302" s="4">
        <v>28</v>
      </c>
      <c r="AN4302" s="4">
        <v>0</v>
      </c>
      <c r="AO4302" s="4">
        <v>0</v>
      </c>
      <c r="AP4302" s="4">
        <v>0</v>
      </c>
      <c r="AQ4302" s="4">
        <v>3</v>
      </c>
      <c r="AR4302" s="3" t="s">
        <v>62</v>
      </c>
      <c r="AS4302" s="3" t="s">
        <v>62</v>
      </c>
      <c r="AT4302" s="3" t="s">
        <v>62</v>
      </c>
      <c r="AV4302" s="6" t="str">
        <f>HYPERLINK("http://mcgill.on.worldcat.org/oclc/14719248","Catalog Record")</f>
        <v>Catalog Record</v>
      </c>
      <c r="AW4302" s="6" t="str">
        <f>HYPERLINK("http://www.worldcat.org/oclc/14719248","WorldCat Record")</f>
        <v>WorldCat Record</v>
      </c>
      <c r="AX4302" s="3" t="s">
        <v>41337</v>
      </c>
      <c r="AY4302" s="3" t="s">
        <v>41338</v>
      </c>
      <c r="AZ4302" s="3" t="s">
        <v>41339</v>
      </c>
      <c r="BA4302" s="3" t="s">
        <v>41339</v>
      </c>
      <c r="BB4302" s="3" t="s">
        <v>41340</v>
      </c>
      <c r="BC4302" s="3" t="s">
        <v>102</v>
      </c>
      <c r="BD4302" s="3" t="s">
        <v>68</v>
      </c>
      <c r="BE4302" s="3" t="s">
        <v>41341</v>
      </c>
      <c r="BF4302" s="3" t="s">
        <v>41340</v>
      </c>
      <c r="BG4302" s="3" t="s">
        <v>41342</v>
      </c>
    </row>
    <row r="4303" spans="1:59" ht="58" x14ac:dyDescent="0.35">
      <c r="A4303" s="2" t="s">
        <v>59</v>
      </c>
      <c r="B4303" s="2" t="s">
        <v>60</v>
      </c>
      <c r="C4303" s="2" t="s">
        <v>41343</v>
      </c>
      <c r="D4303" s="2" t="s">
        <v>41344</v>
      </c>
      <c r="E4303" s="2" t="s">
        <v>41345</v>
      </c>
      <c r="F4303" s="3" t="s">
        <v>1413</v>
      </c>
      <c r="G4303" s="3" t="s">
        <v>61</v>
      </c>
      <c r="I4303" s="3" t="s">
        <v>62</v>
      </c>
      <c r="J4303" s="3" t="s">
        <v>62</v>
      </c>
      <c r="K4303" s="3" t="s">
        <v>63</v>
      </c>
      <c r="L4303" s="2" t="s">
        <v>41346</v>
      </c>
      <c r="M4303" s="2" t="s">
        <v>41347</v>
      </c>
      <c r="N4303" s="3" t="s">
        <v>2566</v>
      </c>
      <c r="P4303" s="3" t="s">
        <v>64</v>
      </c>
      <c r="Q4303" s="2" t="s">
        <v>41348</v>
      </c>
      <c r="R4303" s="3" t="s">
        <v>40557</v>
      </c>
      <c r="S4303" s="4">
        <v>4</v>
      </c>
      <c r="T4303" s="4">
        <v>8</v>
      </c>
      <c r="U4303" s="5" t="s">
        <v>13085</v>
      </c>
      <c r="V4303" s="5" t="s">
        <v>13085</v>
      </c>
      <c r="W4303" s="5" t="s">
        <v>67</v>
      </c>
      <c r="X4303" s="5" t="s">
        <v>67</v>
      </c>
      <c r="Y4303" s="4">
        <v>189</v>
      </c>
      <c r="Z4303" s="4">
        <v>16</v>
      </c>
      <c r="AA4303" s="4">
        <v>17</v>
      </c>
      <c r="AB4303" s="4">
        <v>1</v>
      </c>
      <c r="AC4303" s="4">
        <v>2</v>
      </c>
      <c r="AD4303" s="4">
        <v>60</v>
      </c>
      <c r="AE4303" s="4">
        <v>61</v>
      </c>
      <c r="AF4303" s="4">
        <v>0</v>
      </c>
      <c r="AG4303" s="4">
        <v>1</v>
      </c>
      <c r="AH4303" s="4">
        <v>53</v>
      </c>
      <c r="AI4303" s="4">
        <v>54</v>
      </c>
      <c r="AJ4303" s="4">
        <v>12</v>
      </c>
      <c r="AK4303" s="4">
        <v>13</v>
      </c>
      <c r="AL4303" s="4">
        <v>31</v>
      </c>
      <c r="AM4303" s="4">
        <v>31</v>
      </c>
      <c r="AN4303" s="4">
        <v>0</v>
      </c>
      <c r="AO4303" s="4">
        <v>0</v>
      </c>
      <c r="AP4303" s="4">
        <v>12</v>
      </c>
      <c r="AQ4303" s="4">
        <v>13</v>
      </c>
      <c r="AR4303" s="3" t="s">
        <v>62</v>
      </c>
      <c r="AS4303" s="3" t="s">
        <v>62</v>
      </c>
      <c r="AT4303" s="3" t="s">
        <v>62</v>
      </c>
      <c r="AV4303" s="6" t="str">
        <f>HYPERLINK("http://mcgill.on.worldcat.org/oclc/641510","Catalog Record")</f>
        <v>Catalog Record</v>
      </c>
      <c r="AW4303" s="6" t="str">
        <f>HYPERLINK("http://www.worldcat.org/oclc/641510","WorldCat Record")</f>
        <v>WorldCat Record</v>
      </c>
      <c r="AX4303" s="3" t="s">
        <v>41349</v>
      </c>
      <c r="AY4303" s="3" t="s">
        <v>41350</v>
      </c>
      <c r="AZ4303" s="3" t="s">
        <v>41351</v>
      </c>
      <c r="BA4303" s="3" t="s">
        <v>41351</v>
      </c>
      <c r="BB4303" s="3" t="s">
        <v>41352</v>
      </c>
      <c r="BC4303" s="3" t="s">
        <v>102</v>
      </c>
      <c r="BD4303" s="3" t="s">
        <v>68</v>
      </c>
      <c r="BE4303" s="3" t="s">
        <v>41353</v>
      </c>
      <c r="BF4303" s="3" t="s">
        <v>41352</v>
      </c>
      <c r="BG4303" s="3" t="s">
        <v>41354</v>
      </c>
    </row>
    <row r="4304" spans="1:59" ht="58" x14ac:dyDescent="0.35">
      <c r="A4304" s="2" t="s">
        <v>59</v>
      </c>
      <c r="B4304" s="2" t="s">
        <v>60</v>
      </c>
      <c r="C4304" s="2" t="s">
        <v>41343</v>
      </c>
      <c r="D4304" s="2" t="s">
        <v>41344</v>
      </c>
      <c r="E4304" s="2" t="s">
        <v>41345</v>
      </c>
      <c r="F4304" s="3" t="s">
        <v>1416</v>
      </c>
      <c r="G4304" s="3" t="s">
        <v>61</v>
      </c>
      <c r="I4304" s="3" t="s">
        <v>62</v>
      </c>
      <c r="J4304" s="3" t="s">
        <v>62</v>
      </c>
      <c r="K4304" s="3" t="s">
        <v>63</v>
      </c>
      <c r="L4304" s="2" t="s">
        <v>41346</v>
      </c>
      <c r="M4304" s="2" t="s">
        <v>41347</v>
      </c>
      <c r="N4304" s="3" t="s">
        <v>2566</v>
      </c>
      <c r="P4304" s="3" t="s">
        <v>64</v>
      </c>
      <c r="Q4304" s="2" t="s">
        <v>41348</v>
      </c>
      <c r="R4304" s="3" t="s">
        <v>40557</v>
      </c>
      <c r="S4304" s="4">
        <v>4</v>
      </c>
      <c r="T4304" s="4">
        <v>8</v>
      </c>
      <c r="U4304" s="5" t="s">
        <v>13085</v>
      </c>
      <c r="V4304" s="5" t="s">
        <v>13085</v>
      </c>
      <c r="W4304" s="5" t="s">
        <v>67</v>
      </c>
      <c r="X4304" s="5" t="s">
        <v>67</v>
      </c>
      <c r="Y4304" s="4">
        <v>189</v>
      </c>
      <c r="Z4304" s="4">
        <v>16</v>
      </c>
      <c r="AA4304" s="4">
        <v>17</v>
      </c>
      <c r="AB4304" s="4">
        <v>1</v>
      </c>
      <c r="AC4304" s="4">
        <v>2</v>
      </c>
      <c r="AD4304" s="4">
        <v>60</v>
      </c>
      <c r="AE4304" s="4">
        <v>61</v>
      </c>
      <c r="AF4304" s="4">
        <v>0</v>
      </c>
      <c r="AG4304" s="4">
        <v>1</v>
      </c>
      <c r="AH4304" s="4">
        <v>53</v>
      </c>
      <c r="AI4304" s="4">
        <v>54</v>
      </c>
      <c r="AJ4304" s="4">
        <v>12</v>
      </c>
      <c r="AK4304" s="4">
        <v>13</v>
      </c>
      <c r="AL4304" s="4">
        <v>31</v>
      </c>
      <c r="AM4304" s="4">
        <v>31</v>
      </c>
      <c r="AN4304" s="4">
        <v>0</v>
      </c>
      <c r="AO4304" s="4">
        <v>0</v>
      </c>
      <c r="AP4304" s="4">
        <v>12</v>
      </c>
      <c r="AQ4304" s="4">
        <v>13</v>
      </c>
      <c r="AR4304" s="3" t="s">
        <v>62</v>
      </c>
      <c r="AS4304" s="3" t="s">
        <v>62</v>
      </c>
      <c r="AT4304" s="3" t="s">
        <v>62</v>
      </c>
      <c r="AV4304" s="6" t="str">
        <f>HYPERLINK("http://mcgill.on.worldcat.org/oclc/641510","Catalog Record")</f>
        <v>Catalog Record</v>
      </c>
      <c r="AW4304" s="6" t="str">
        <f>HYPERLINK("http://www.worldcat.org/oclc/641510","WorldCat Record")</f>
        <v>WorldCat Record</v>
      </c>
      <c r="AX4304" s="3" t="s">
        <v>41349</v>
      </c>
      <c r="AY4304" s="3" t="s">
        <v>41350</v>
      </c>
      <c r="AZ4304" s="3" t="s">
        <v>41351</v>
      </c>
      <c r="BA4304" s="3" t="s">
        <v>41351</v>
      </c>
      <c r="BB4304" s="3" t="s">
        <v>41355</v>
      </c>
      <c r="BC4304" s="3" t="s">
        <v>102</v>
      </c>
      <c r="BD4304" s="3" t="s">
        <v>68</v>
      </c>
      <c r="BE4304" s="3" t="s">
        <v>41353</v>
      </c>
      <c r="BF4304" s="3" t="s">
        <v>41355</v>
      </c>
      <c r="BG4304" s="3" t="s">
        <v>41356</v>
      </c>
    </row>
    <row r="4305" spans="1:59" ht="116" x14ac:dyDescent="0.35">
      <c r="A4305" s="2" t="s">
        <v>89</v>
      </c>
      <c r="B4305" s="2" t="s">
        <v>3312</v>
      </c>
      <c r="C4305" s="2" t="s">
        <v>41357</v>
      </c>
      <c r="D4305" s="2" t="s">
        <v>41358</v>
      </c>
      <c r="E4305" s="2" t="s">
        <v>41359</v>
      </c>
      <c r="G4305" s="3" t="s">
        <v>62</v>
      </c>
      <c r="I4305" s="3" t="s">
        <v>62</v>
      </c>
      <c r="J4305" s="3" t="s">
        <v>62</v>
      </c>
      <c r="K4305" s="3" t="s">
        <v>63</v>
      </c>
      <c r="M4305" s="2" t="s">
        <v>41360</v>
      </c>
      <c r="N4305" s="3" t="s">
        <v>698</v>
      </c>
      <c r="O4305" s="2" t="s">
        <v>3452</v>
      </c>
      <c r="P4305" s="3" t="s">
        <v>1675</v>
      </c>
      <c r="Q4305" s="2" t="s">
        <v>41361</v>
      </c>
      <c r="R4305" s="3" t="s">
        <v>40557</v>
      </c>
      <c r="S4305" s="4">
        <v>0</v>
      </c>
      <c r="T4305" s="4">
        <v>0</v>
      </c>
      <c r="W4305" s="5" t="s">
        <v>67</v>
      </c>
      <c r="X4305" s="5" t="s">
        <v>67</v>
      </c>
      <c r="Y4305" s="4">
        <v>15</v>
      </c>
      <c r="Z4305" s="4">
        <v>3</v>
      </c>
      <c r="AA4305" s="4">
        <v>3</v>
      </c>
      <c r="AB4305" s="4">
        <v>1</v>
      </c>
      <c r="AC4305" s="4">
        <v>1</v>
      </c>
      <c r="AD4305" s="4">
        <v>9</v>
      </c>
      <c r="AE4305" s="4">
        <v>12</v>
      </c>
      <c r="AF4305" s="4">
        <v>0</v>
      </c>
      <c r="AG4305" s="4">
        <v>0</v>
      </c>
      <c r="AH4305" s="4">
        <v>8</v>
      </c>
      <c r="AI4305" s="4">
        <v>11</v>
      </c>
      <c r="AJ4305" s="4">
        <v>1</v>
      </c>
      <c r="AK4305" s="4">
        <v>1</v>
      </c>
      <c r="AL4305" s="4">
        <v>8</v>
      </c>
      <c r="AM4305" s="4">
        <v>11</v>
      </c>
      <c r="AN4305" s="4">
        <v>0</v>
      </c>
      <c r="AO4305" s="4">
        <v>0</v>
      </c>
      <c r="AP4305" s="4">
        <v>1</v>
      </c>
      <c r="AQ4305" s="4">
        <v>1</v>
      </c>
      <c r="AR4305" s="3" t="s">
        <v>62</v>
      </c>
      <c r="AS4305" s="3" t="s">
        <v>62</v>
      </c>
      <c r="AT4305" s="3" t="s">
        <v>62</v>
      </c>
      <c r="AV4305" s="6" t="str">
        <f>HYPERLINK("http://mcgill.on.worldcat.org/oclc/826121373","Catalog Record")</f>
        <v>Catalog Record</v>
      </c>
      <c r="AW4305" s="6" t="str">
        <f>HYPERLINK("http://www.worldcat.org/oclc/826121373","WorldCat Record")</f>
        <v>WorldCat Record</v>
      </c>
      <c r="AX4305" s="3" t="s">
        <v>41362</v>
      </c>
      <c r="AY4305" s="3" t="s">
        <v>41363</v>
      </c>
      <c r="AZ4305" s="3" t="s">
        <v>41364</v>
      </c>
      <c r="BA4305" s="3" t="s">
        <v>41364</v>
      </c>
      <c r="BB4305" s="3" t="s">
        <v>41365</v>
      </c>
      <c r="BC4305" s="3" t="s">
        <v>102</v>
      </c>
      <c r="BD4305" s="3" t="s">
        <v>68</v>
      </c>
      <c r="BE4305" s="3" t="s">
        <v>41366</v>
      </c>
      <c r="BF4305" s="3" t="s">
        <v>41365</v>
      </c>
      <c r="BG4305" s="3" t="s">
        <v>41367</v>
      </c>
    </row>
    <row r="4306" spans="1:59" ht="116" x14ac:dyDescent="0.35">
      <c r="A4306" s="2" t="s">
        <v>89</v>
      </c>
      <c r="B4306" s="2" t="s">
        <v>3312</v>
      </c>
      <c r="C4306" s="2" t="s">
        <v>41368</v>
      </c>
      <c r="D4306" s="2" t="s">
        <v>41369</v>
      </c>
      <c r="E4306" s="2" t="s">
        <v>41370</v>
      </c>
      <c r="G4306" s="3" t="s">
        <v>62</v>
      </c>
      <c r="I4306" s="3" t="s">
        <v>62</v>
      </c>
      <c r="J4306" s="3" t="s">
        <v>62</v>
      </c>
      <c r="K4306" s="3" t="s">
        <v>63</v>
      </c>
      <c r="M4306" s="2" t="s">
        <v>41360</v>
      </c>
      <c r="N4306" s="3" t="s">
        <v>698</v>
      </c>
      <c r="O4306" s="2" t="s">
        <v>1674</v>
      </c>
      <c r="P4306" s="3" t="s">
        <v>1675</v>
      </c>
      <c r="Q4306" s="2" t="s">
        <v>41361</v>
      </c>
      <c r="R4306" s="3" t="s">
        <v>40557</v>
      </c>
      <c r="S4306" s="4">
        <v>1</v>
      </c>
      <c r="T4306" s="4">
        <v>1</v>
      </c>
      <c r="U4306" s="5" t="s">
        <v>4594</v>
      </c>
      <c r="V4306" s="5" t="s">
        <v>4594</v>
      </c>
      <c r="W4306" s="5" t="s">
        <v>67</v>
      </c>
      <c r="X4306" s="5" t="s">
        <v>67</v>
      </c>
      <c r="Y4306" s="4">
        <v>13</v>
      </c>
      <c r="Z4306" s="4">
        <v>1</v>
      </c>
      <c r="AA4306" s="4">
        <v>1</v>
      </c>
      <c r="AB4306" s="4">
        <v>1</v>
      </c>
      <c r="AC4306" s="4">
        <v>1</v>
      </c>
      <c r="AD4306" s="4">
        <v>5</v>
      </c>
      <c r="AE4306" s="4">
        <v>5</v>
      </c>
      <c r="AF4306" s="4">
        <v>0</v>
      </c>
      <c r="AG4306" s="4">
        <v>0</v>
      </c>
      <c r="AH4306" s="4">
        <v>5</v>
      </c>
      <c r="AI4306" s="4">
        <v>5</v>
      </c>
      <c r="AJ4306" s="4">
        <v>0</v>
      </c>
      <c r="AK4306" s="4">
        <v>0</v>
      </c>
      <c r="AL4306" s="4">
        <v>4</v>
      </c>
      <c r="AM4306" s="4">
        <v>4</v>
      </c>
      <c r="AN4306" s="4">
        <v>0</v>
      </c>
      <c r="AO4306" s="4">
        <v>0</v>
      </c>
      <c r="AP4306" s="4">
        <v>0</v>
      </c>
      <c r="AQ4306" s="4">
        <v>0</v>
      </c>
      <c r="AR4306" s="3" t="s">
        <v>62</v>
      </c>
      <c r="AS4306" s="3" t="s">
        <v>62</v>
      </c>
      <c r="AT4306" s="3" t="s">
        <v>62</v>
      </c>
      <c r="AV4306" s="6" t="str">
        <f>HYPERLINK("http://mcgill.on.worldcat.org/oclc/812403616","Catalog Record")</f>
        <v>Catalog Record</v>
      </c>
      <c r="AW4306" s="6" t="str">
        <f>HYPERLINK("http://www.worldcat.org/oclc/812403616","WorldCat Record")</f>
        <v>WorldCat Record</v>
      </c>
      <c r="AX4306" s="3" t="s">
        <v>41371</v>
      </c>
      <c r="AY4306" s="3" t="s">
        <v>41372</v>
      </c>
      <c r="AZ4306" s="3" t="s">
        <v>41373</v>
      </c>
      <c r="BA4306" s="3" t="s">
        <v>41373</v>
      </c>
      <c r="BB4306" s="3" t="s">
        <v>41374</v>
      </c>
      <c r="BC4306" s="3" t="s">
        <v>102</v>
      </c>
      <c r="BD4306" s="3" t="s">
        <v>68</v>
      </c>
      <c r="BE4306" s="3" t="s">
        <v>41375</v>
      </c>
      <c r="BF4306" s="3" t="s">
        <v>41374</v>
      </c>
      <c r="BG4306" s="3" t="s">
        <v>41376</v>
      </c>
    </row>
    <row r="4307" spans="1:59" ht="116" x14ac:dyDescent="0.35">
      <c r="A4307" s="2" t="s">
        <v>89</v>
      </c>
      <c r="B4307" s="2" t="s">
        <v>1669</v>
      </c>
      <c r="C4307" s="2" t="s">
        <v>41377</v>
      </c>
      <c r="D4307" s="2" t="s">
        <v>41378</v>
      </c>
      <c r="E4307" s="2" t="s">
        <v>41379</v>
      </c>
      <c r="G4307" s="3" t="s">
        <v>62</v>
      </c>
      <c r="I4307" s="3" t="s">
        <v>62</v>
      </c>
      <c r="J4307" s="3" t="s">
        <v>62</v>
      </c>
      <c r="K4307" s="3" t="s">
        <v>63</v>
      </c>
      <c r="M4307" s="2" t="s">
        <v>41380</v>
      </c>
      <c r="N4307" s="3" t="s">
        <v>698</v>
      </c>
      <c r="O4307" s="2" t="s">
        <v>41381</v>
      </c>
      <c r="P4307" s="3" t="s">
        <v>1675</v>
      </c>
      <c r="R4307" s="3" t="s">
        <v>40557</v>
      </c>
      <c r="S4307" s="4">
        <v>0</v>
      </c>
      <c r="T4307" s="4">
        <v>0</v>
      </c>
      <c r="W4307" s="5" t="s">
        <v>67</v>
      </c>
      <c r="X4307" s="5" t="s">
        <v>67</v>
      </c>
      <c r="Y4307" s="4">
        <v>8</v>
      </c>
      <c r="Z4307" s="4">
        <v>1</v>
      </c>
      <c r="AA4307" s="4">
        <v>1</v>
      </c>
      <c r="AB4307" s="4">
        <v>1</v>
      </c>
      <c r="AC4307" s="4">
        <v>1</v>
      </c>
      <c r="AD4307" s="4">
        <v>5</v>
      </c>
      <c r="AE4307" s="4">
        <v>5</v>
      </c>
      <c r="AF4307" s="4">
        <v>0</v>
      </c>
      <c r="AG4307" s="4">
        <v>0</v>
      </c>
      <c r="AH4307" s="4">
        <v>5</v>
      </c>
      <c r="AI4307" s="4">
        <v>5</v>
      </c>
      <c r="AJ4307" s="4">
        <v>0</v>
      </c>
      <c r="AK4307" s="4">
        <v>0</v>
      </c>
      <c r="AL4307" s="4">
        <v>4</v>
      </c>
      <c r="AM4307" s="4">
        <v>4</v>
      </c>
      <c r="AN4307" s="4">
        <v>0</v>
      </c>
      <c r="AO4307" s="4">
        <v>0</v>
      </c>
      <c r="AP4307" s="4">
        <v>0</v>
      </c>
      <c r="AQ4307" s="4">
        <v>0</v>
      </c>
      <c r="AR4307" s="3" t="s">
        <v>62</v>
      </c>
      <c r="AS4307" s="3" t="s">
        <v>62</v>
      </c>
      <c r="AT4307" s="3" t="s">
        <v>62</v>
      </c>
      <c r="AV4307" s="6" t="str">
        <f>HYPERLINK("http://mcgill.on.worldcat.org/oclc/826303621","Catalog Record")</f>
        <v>Catalog Record</v>
      </c>
      <c r="AW4307" s="6" t="str">
        <f>HYPERLINK("http://www.worldcat.org/oclc/826303621","WorldCat Record")</f>
        <v>WorldCat Record</v>
      </c>
      <c r="AX4307" s="3" t="s">
        <v>41382</v>
      </c>
      <c r="AY4307" s="3" t="s">
        <v>41383</v>
      </c>
      <c r="AZ4307" s="3" t="s">
        <v>41384</v>
      </c>
      <c r="BA4307" s="3" t="s">
        <v>41384</v>
      </c>
      <c r="BB4307" s="3" t="s">
        <v>41385</v>
      </c>
      <c r="BC4307" s="3" t="s">
        <v>102</v>
      </c>
      <c r="BD4307" s="3" t="s">
        <v>68</v>
      </c>
      <c r="BE4307" s="3" t="s">
        <v>41386</v>
      </c>
      <c r="BF4307" s="3" t="s">
        <v>41385</v>
      </c>
      <c r="BG4307" s="3" t="s">
        <v>41387</v>
      </c>
    </row>
    <row r="4308" spans="1:59" ht="58" x14ac:dyDescent="0.35">
      <c r="A4308" s="2" t="s">
        <v>59</v>
      </c>
      <c r="B4308" s="2" t="s">
        <v>60</v>
      </c>
      <c r="C4308" s="2" t="s">
        <v>41388</v>
      </c>
      <c r="D4308" s="2" t="s">
        <v>41389</v>
      </c>
      <c r="E4308" s="2" t="s">
        <v>41390</v>
      </c>
      <c r="G4308" s="3" t="s">
        <v>62</v>
      </c>
      <c r="I4308" s="3" t="s">
        <v>62</v>
      </c>
      <c r="J4308" s="3" t="s">
        <v>62</v>
      </c>
      <c r="K4308" s="3" t="s">
        <v>63</v>
      </c>
      <c r="L4308" s="2" t="s">
        <v>41391</v>
      </c>
      <c r="M4308" s="2" t="s">
        <v>41392</v>
      </c>
      <c r="N4308" s="3" t="s">
        <v>1064</v>
      </c>
      <c r="P4308" s="3" t="s">
        <v>64</v>
      </c>
      <c r="R4308" s="3" t="s">
        <v>40557</v>
      </c>
      <c r="S4308" s="4">
        <v>6</v>
      </c>
      <c r="T4308" s="4">
        <v>6</v>
      </c>
      <c r="U4308" s="5" t="s">
        <v>40558</v>
      </c>
      <c r="V4308" s="5" t="s">
        <v>40558</v>
      </c>
      <c r="W4308" s="5" t="s">
        <v>67</v>
      </c>
      <c r="X4308" s="5" t="s">
        <v>67</v>
      </c>
      <c r="Y4308" s="4">
        <v>43</v>
      </c>
      <c r="Z4308" s="4">
        <v>4</v>
      </c>
      <c r="AA4308" s="4">
        <v>7</v>
      </c>
      <c r="AB4308" s="4">
        <v>1</v>
      </c>
      <c r="AC4308" s="4">
        <v>2</v>
      </c>
      <c r="AD4308" s="4">
        <v>22</v>
      </c>
      <c r="AE4308" s="4">
        <v>47</v>
      </c>
      <c r="AF4308" s="4">
        <v>0</v>
      </c>
      <c r="AG4308" s="4">
        <v>0</v>
      </c>
      <c r="AH4308" s="4">
        <v>21</v>
      </c>
      <c r="AI4308" s="4">
        <v>43</v>
      </c>
      <c r="AJ4308" s="4">
        <v>3</v>
      </c>
      <c r="AK4308" s="4">
        <v>4</v>
      </c>
      <c r="AL4308" s="4">
        <v>15</v>
      </c>
      <c r="AM4308" s="4">
        <v>26</v>
      </c>
      <c r="AN4308" s="4">
        <v>0</v>
      </c>
      <c r="AO4308" s="4">
        <v>0</v>
      </c>
      <c r="AP4308" s="4">
        <v>3</v>
      </c>
      <c r="AQ4308" s="4">
        <v>5</v>
      </c>
      <c r="AR4308" s="3" t="s">
        <v>62</v>
      </c>
      <c r="AS4308" s="3" t="s">
        <v>62</v>
      </c>
      <c r="AT4308" s="3" t="s">
        <v>61</v>
      </c>
      <c r="AU4308" s="6" t="str">
        <f>HYPERLINK("http://catalog.hathitrust.org/Record/006283745","HathiTrust Record")</f>
        <v>HathiTrust Record</v>
      </c>
      <c r="AV4308" s="6" t="str">
        <f>HYPERLINK("http://mcgill.on.worldcat.org/oclc/202090","Catalog Record")</f>
        <v>Catalog Record</v>
      </c>
      <c r="AW4308" s="6" t="str">
        <f>HYPERLINK("http://www.worldcat.org/oclc/202090","WorldCat Record")</f>
        <v>WorldCat Record</v>
      </c>
      <c r="AX4308" s="3" t="s">
        <v>41393</v>
      </c>
      <c r="AY4308" s="3" t="s">
        <v>41394</v>
      </c>
      <c r="AZ4308" s="3" t="s">
        <v>41395</v>
      </c>
      <c r="BA4308" s="3" t="s">
        <v>41395</v>
      </c>
      <c r="BB4308" s="3" t="s">
        <v>41396</v>
      </c>
      <c r="BC4308" s="3" t="s">
        <v>102</v>
      </c>
      <c r="BD4308" s="3" t="s">
        <v>68</v>
      </c>
      <c r="BF4308" s="3" t="s">
        <v>41396</v>
      </c>
      <c r="BG4308" s="3" t="s">
        <v>41397</v>
      </c>
    </row>
    <row r="4309" spans="1:59" ht="58" x14ac:dyDescent="0.35">
      <c r="A4309" s="2" t="s">
        <v>59</v>
      </c>
      <c r="B4309" s="2" t="s">
        <v>60</v>
      </c>
      <c r="C4309" s="2" t="s">
        <v>41398</v>
      </c>
      <c r="D4309" s="2" t="s">
        <v>41399</v>
      </c>
      <c r="E4309" s="2" t="s">
        <v>41400</v>
      </c>
      <c r="G4309" s="3" t="s">
        <v>62</v>
      </c>
      <c r="I4309" s="3" t="s">
        <v>62</v>
      </c>
      <c r="J4309" s="3" t="s">
        <v>62</v>
      </c>
      <c r="K4309" s="3" t="s">
        <v>63</v>
      </c>
      <c r="L4309" s="2" t="s">
        <v>41401</v>
      </c>
      <c r="M4309" s="2" t="s">
        <v>23726</v>
      </c>
      <c r="N4309" s="3" t="s">
        <v>424</v>
      </c>
      <c r="P4309" s="3" t="s">
        <v>64</v>
      </c>
      <c r="R4309" s="3" t="s">
        <v>40557</v>
      </c>
      <c r="S4309" s="4">
        <v>4</v>
      </c>
      <c r="T4309" s="4">
        <v>4</v>
      </c>
      <c r="U4309" s="5" t="s">
        <v>7875</v>
      </c>
      <c r="V4309" s="5" t="s">
        <v>7875</v>
      </c>
      <c r="W4309" s="5" t="s">
        <v>67</v>
      </c>
      <c r="X4309" s="5" t="s">
        <v>67</v>
      </c>
      <c r="Y4309" s="4">
        <v>213</v>
      </c>
      <c r="Z4309" s="4">
        <v>7</v>
      </c>
      <c r="AA4309" s="4">
        <v>16</v>
      </c>
      <c r="AB4309" s="4">
        <v>1</v>
      </c>
      <c r="AC4309" s="4">
        <v>6</v>
      </c>
      <c r="AD4309" s="4">
        <v>74</v>
      </c>
      <c r="AE4309" s="4">
        <v>79</v>
      </c>
      <c r="AF4309" s="4">
        <v>0</v>
      </c>
      <c r="AG4309" s="4">
        <v>2</v>
      </c>
      <c r="AH4309" s="4">
        <v>72</v>
      </c>
      <c r="AI4309" s="4">
        <v>75</v>
      </c>
      <c r="AJ4309" s="4">
        <v>5</v>
      </c>
      <c r="AK4309" s="4">
        <v>10</v>
      </c>
      <c r="AL4309" s="4">
        <v>40</v>
      </c>
      <c r="AM4309" s="4">
        <v>41</v>
      </c>
      <c r="AN4309" s="4">
        <v>0</v>
      </c>
      <c r="AO4309" s="4">
        <v>0</v>
      </c>
      <c r="AP4309" s="4">
        <v>4</v>
      </c>
      <c r="AQ4309" s="4">
        <v>8</v>
      </c>
      <c r="AR4309" s="3" t="s">
        <v>62</v>
      </c>
      <c r="AS4309" s="3" t="s">
        <v>62</v>
      </c>
      <c r="AT4309" s="3" t="s">
        <v>62</v>
      </c>
      <c r="AV4309" s="6" t="str">
        <f>HYPERLINK("http://mcgill.on.worldcat.org/oclc/16581719","Catalog Record")</f>
        <v>Catalog Record</v>
      </c>
      <c r="AW4309" s="6" t="str">
        <f>HYPERLINK("http://www.worldcat.org/oclc/16581719","WorldCat Record")</f>
        <v>WorldCat Record</v>
      </c>
      <c r="AX4309" s="3" t="s">
        <v>41402</v>
      </c>
      <c r="AY4309" s="3" t="s">
        <v>41403</v>
      </c>
      <c r="AZ4309" s="3" t="s">
        <v>41404</v>
      </c>
      <c r="BA4309" s="3" t="s">
        <v>41404</v>
      </c>
      <c r="BB4309" s="3" t="s">
        <v>41405</v>
      </c>
      <c r="BC4309" s="3" t="s">
        <v>102</v>
      </c>
      <c r="BD4309" s="3" t="s">
        <v>68</v>
      </c>
      <c r="BE4309" s="3" t="s">
        <v>41406</v>
      </c>
      <c r="BF4309" s="3" t="s">
        <v>41405</v>
      </c>
      <c r="BG4309" s="3" t="s">
        <v>41407</v>
      </c>
    </row>
    <row r="4310" spans="1:59" ht="58" x14ac:dyDescent="0.35">
      <c r="A4310" s="2" t="s">
        <v>59</v>
      </c>
      <c r="B4310" s="2" t="s">
        <v>60</v>
      </c>
      <c r="C4310" s="2" t="s">
        <v>41408</v>
      </c>
      <c r="D4310" s="2" t="s">
        <v>41409</v>
      </c>
      <c r="E4310" s="2" t="s">
        <v>41410</v>
      </c>
      <c r="G4310" s="3" t="s">
        <v>62</v>
      </c>
      <c r="I4310" s="3" t="s">
        <v>62</v>
      </c>
      <c r="J4310" s="3" t="s">
        <v>62</v>
      </c>
      <c r="K4310" s="3" t="s">
        <v>63</v>
      </c>
      <c r="L4310" s="2" t="s">
        <v>41411</v>
      </c>
      <c r="M4310" s="2" t="s">
        <v>41412</v>
      </c>
      <c r="N4310" s="3" t="s">
        <v>954</v>
      </c>
      <c r="P4310" s="3" t="s">
        <v>64</v>
      </c>
      <c r="Q4310" s="2" t="s">
        <v>41413</v>
      </c>
      <c r="R4310" s="3" t="s">
        <v>40557</v>
      </c>
      <c r="S4310" s="4">
        <v>2</v>
      </c>
      <c r="T4310" s="4">
        <v>2</v>
      </c>
      <c r="U4310" s="5" t="s">
        <v>1621</v>
      </c>
      <c r="V4310" s="5" t="s">
        <v>1621</v>
      </c>
      <c r="W4310" s="5" t="s">
        <v>67</v>
      </c>
      <c r="X4310" s="5" t="s">
        <v>67</v>
      </c>
      <c r="Y4310" s="4">
        <v>35</v>
      </c>
      <c r="Z4310" s="4">
        <v>2</v>
      </c>
      <c r="AA4310" s="4">
        <v>2</v>
      </c>
      <c r="AB4310" s="4">
        <v>1</v>
      </c>
      <c r="AC4310" s="4">
        <v>1</v>
      </c>
      <c r="AD4310" s="4">
        <v>9</v>
      </c>
      <c r="AE4310" s="4">
        <v>12</v>
      </c>
      <c r="AF4310" s="4">
        <v>0</v>
      </c>
      <c r="AG4310" s="4">
        <v>0</v>
      </c>
      <c r="AH4310" s="4">
        <v>8</v>
      </c>
      <c r="AI4310" s="4">
        <v>11</v>
      </c>
      <c r="AJ4310" s="4">
        <v>0</v>
      </c>
      <c r="AK4310" s="4">
        <v>0</v>
      </c>
      <c r="AL4310" s="4">
        <v>6</v>
      </c>
      <c r="AM4310" s="4">
        <v>9</v>
      </c>
      <c r="AN4310" s="4">
        <v>0</v>
      </c>
      <c r="AO4310" s="4">
        <v>0</v>
      </c>
      <c r="AP4310" s="4">
        <v>1</v>
      </c>
      <c r="AQ4310" s="4">
        <v>1</v>
      </c>
      <c r="AR4310" s="3" t="s">
        <v>62</v>
      </c>
      <c r="AS4310" s="3" t="s">
        <v>62</v>
      </c>
      <c r="AT4310" s="3" t="s">
        <v>62</v>
      </c>
      <c r="AV4310" s="6" t="str">
        <f>HYPERLINK("http://mcgill.on.worldcat.org/oclc/12663436","Catalog Record")</f>
        <v>Catalog Record</v>
      </c>
      <c r="AW4310" s="6" t="str">
        <f>HYPERLINK("http://www.worldcat.org/oclc/12663436","WorldCat Record")</f>
        <v>WorldCat Record</v>
      </c>
      <c r="AX4310" s="3" t="s">
        <v>41414</v>
      </c>
      <c r="AY4310" s="3" t="s">
        <v>41415</v>
      </c>
      <c r="AZ4310" s="3" t="s">
        <v>41416</v>
      </c>
      <c r="BA4310" s="3" t="s">
        <v>41416</v>
      </c>
      <c r="BB4310" s="3" t="s">
        <v>41417</v>
      </c>
      <c r="BC4310" s="3" t="s">
        <v>102</v>
      </c>
      <c r="BD4310" s="3" t="s">
        <v>68</v>
      </c>
      <c r="BF4310" s="3" t="s">
        <v>41417</v>
      </c>
      <c r="BG4310" s="3" t="s">
        <v>41418</v>
      </c>
    </row>
    <row r="4311" spans="1:59" ht="58" x14ac:dyDescent="0.35">
      <c r="A4311" s="2" t="s">
        <v>59</v>
      </c>
      <c r="B4311" s="2" t="s">
        <v>60</v>
      </c>
      <c r="C4311" s="2" t="s">
        <v>41419</v>
      </c>
      <c r="D4311" s="2" t="s">
        <v>41420</v>
      </c>
      <c r="E4311" s="2" t="s">
        <v>41421</v>
      </c>
      <c r="G4311" s="3" t="s">
        <v>62</v>
      </c>
      <c r="I4311" s="3" t="s">
        <v>62</v>
      </c>
      <c r="J4311" s="3" t="s">
        <v>62</v>
      </c>
      <c r="K4311" s="3" t="s">
        <v>63</v>
      </c>
      <c r="L4311" s="2" t="s">
        <v>41422</v>
      </c>
      <c r="M4311" s="2" t="s">
        <v>41423</v>
      </c>
      <c r="N4311" s="3" t="s">
        <v>954</v>
      </c>
      <c r="O4311" s="2" t="s">
        <v>41424</v>
      </c>
      <c r="P4311" s="3" t="s">
        <v>64</v>
      </c>
      <c r="R4311" s="3" t="s">
        <v>40557</v>
      </c>
      <c r="S4311" s="4">
        <v>4</v>
      </c>
      <c r="T4311" s="4">
        <v>4</v>
      </c>
      <c r="U4311" s="5" t="s">
        <v>4701</v>
      </c>
      <c r="V4311" s="5" t="s">
        <v>4701</v>
      </c>
      <c r="W4311" s="5" t="s">
        <v>67</v>
      </c>
      <c r="X4311" s="5" t="s">
        <v>67</v>
      </c>
      <c r="Y4311" s="4">
        <v>156</v>
      </c>
      <c r="Z4311" s="4">
        <v>7</v>
      </c>
      <c r="AA4311" s="4">
        <v>14</v>
      </c>
      <c r="AB4311" s="4">
        <v>1</v>
      </c>
      <c r="AC4311" s="4">
        <v>2</v>
      </c>
      <c r="AD4311" s="4">
        <v>45</v>
      </c>
      <c r="AE4311" s="4">
        <v>70</v>
      </c>
      <c r="AF4311" s="4">
        <v>0</v>
      </c>
      <c r="AG4311" s="4">
        <v>1</v>
      </c>
      <c r="AH4311" s="4">
        <v>41</v>
      </c>
      <c r="AI4311" s="4">
        <v>64</v>
      </c>
      <c r="AJ4311" s="4">
        <v>5</v>
      </c>
      <c r="AK4311" s="4">
        <v>10</v>
      </c>
      <c r="AL4311" s="4">
        <v>25</v>
      </c>
      <c r="AM4311" s="4">
        <v>39</v>
      </c>
      <c r="AN4311" s="4">
        <v>0</v>
      </c>
      <c r="AO4311" s="4">
        <v>0</v>
      </c>
      <c r="AP4311" s="4">
        <v>5</v>
      </c>
      <c r="AQ4311" s="4">
        <v>9</v>
      </c>
      <c r="AR4311" s="3" t="s">
        <v>62</v>
      </c>
      <c r="AS4311" s="3" t="s">
        <v>62</v>
      </c>
      <c r="AT4311" s="3" t="s">
        <v>61</v>
      </c>
      <c r="AU4311" s="6" t="str">
        <f>HYPERLINK("http://catalog.hathitrust.org/Record/001494678","HathiTrust Record")</f>
        <v>HathiTrust Record</v>
      </c>
      <c r="AV4311" s="6" t="str">
        <f>HYPERLINK("http://mcgill.on.worldcat.org/oclc/461022","Catalog Record")</f>
        <v>Catalog Record</v>
      </c>
      <c r="AW4311" s="6" t="str">
        <f>HYPERLINK("http://www.worldcat.org/oclc/461022","WorldCat Record")</f>
        <v>WorldCat Record</v>
      </c>
      <c r="AX4311" s="3" t="s">
        <v>41425</v>
      </c>
      <c r="AY4311" s="3" t="s">
        <v>41426</v>
      </c>
      <c r="AZ4311" s="3" t="s">
        <v>41427</v>
      </c>
      <c r="BA4311" s="3" t="s">
        <v>41427</v>
      </c>
      <c r="BB4311" s="3" t="s">
        <v>41428</v>
      </c>
      <c r="BC4311" s="3" t="s">
        <v>102</v>
      </c>
      <c r="BD4311" s="3" t="s">
        <v>68</v>
      </c>
      <c r="BF4311" s="3" t="s">
        <v>41428</v>
      </c>
      <c r="BG4311" s="3" t="s">
        <v>41429</v>
      </c>
    </row>
    <row r="4312" spans="1:59" ht="58" x14ac:dyDescent="0.35">
      <c r="A4312" s="2" t="s">
        <v>59</v>
      </c>
      <c r="B4312" s="2" t="s">
        <v>60</v>
      </c>
      <c r="C4312" s="2" t="s">
        <v>41430</v>
      </c>
      <c r="D4312" s="2" t="s">
        <v>41431</v>
      </c>
      <c r="E4312" s="2" t="s">
        <v>41432</v>
      </c>
      <c r="G4312" s="3" t="s">
        <v>62</v>
      </c>
      <c r="I4312" s="3" t="s">
        <v>62</v>
      </c>
      <c r="J4312" s="3" t="s">
        <v>62</v>
      </c>
      <c r="K4312" s="3" t="s">
        <v>63</v>
      </c>
      <c r="L4312" s="2" t="s">
        <v>41433</v>
      </c>
      <c r="M4312" s="2" t="s">
        <v>5788</v>
      </c>
      <c r="N4312" s="3" t="s">
        <v>553</v>
      </c>
      <c r="P4312" s="3" t="s">
        <v>64</v>
      </c>
      <c r="R4312" s="3" t="s">
        <v>40557</v>
      </c>
      <c r="S4312" s="4">
        <v>7</v>
      </c>
      <c r="T4312" s="4">
        <v>7</v>
      </c>
      <c r="U4312" s="5" t="s">
        <v>8532</v>
      </c>
      <c r="V4312" s="5" t="s">
        <v>8532</v>
      </c>
      <c r="W4312" s="5" t="s">
        <v>67</v>
      </c>
      <c r="X4312" s="5" t="s">
        <v>67</v>
      </c>
      <c r="Y4312" s="4">
        <v>241</v>
      </c>
      <c r="Z4312" s="4">
        <v>9</v>
      </c>
      <c r="AA4312" s="4">
        <v>30</v>
      </c>
      <c r="AB4312" s="4">
        <v>1</v>
      </c>
      <c r="AC4312" s="4">
        <v>5</v>
      </c>
      <c r="AD4312" s="4">
        <v>60</v>
      </c>
      <c r="AE4312" s="4">
        <v>96</v>
      </c>
      <c r="AF4312" s="4">
        <v>0</v>
      </c>
      <c r="AG4312" s="4">
        <v>1</v>
      </c>
      <c r="AH4312" s="4">
        <v>59</v>
      </c>
      <c r="AI4312" s="4">
        <v>87</v>
      </c>
      <c r="AJ4312" s="4">
        <v>6</v>
      </c>
      <c r="AK4312" s="4">
        <v>12</v>
      </c>
      <c r="AL4312" s="4">
        <v>28</v>
      </c>
      <c r="AM4312" s="4">
        <v>41</v>
      </c>
      <c r="AN4312" s="4">
        <v>0</v>
      </c>
      <c r="AO4312" s="4">
        <v>0</v>
      </c>
      <c r="AP4312" s="4">
        <v>6</v>
      </c>
      <c r="AQ4312" s="4">
        <v>18</v>
      </c>
      <c r="AR4312" s="3" t="s">
        <v>62</v>
      </c>
      <c r="AS4312" s="3" t="s">
        <v>62</v>
      </c>
      <c r="AT4312" s="3" t="s">
        <v>61</v>
      </c>
      <c r="AU4312" s="6" t="str">
        <f>HYPERLINK("http://catalog.hathitrust.org/Record/004049133","HathiTrust Record")</f>
        <v>HathiTrust Record</v>
      </c>
      <c r="AV4312" s="6" t="str">
        <f>HYPERLINK("http://mcgill.on.worldcat.org/oclc/41338169","Catalog Record")</f>
        <v>Catalog Record</v>
      </c>
      <c r="AW4312" s="6" t="str">
        <f>HYPERLINK("http://www.worldcat.org/oclc/41338169","WorldCat Record")</f>
        <v>WorldCat Record</v>
      </c>
      <c r="AX4312" s="3" t="s">
        <v>41434</v>
      </c>
      <c r="AY4312" s="3" t="s">
        <v>41435</v>
      </c>
      <c r="AZ4312" s="3" t="s">
        <v>41436</v>
      </c>
      <c r="BA4312" s="3" t="s">
        <v>41436</v>
      </c>
      <c r="BB4312" s="3" t="s">
        <v>41437</v>
      </c>
      <c r="BC4312" s="3" t="s">
        <v>102</v>
      </c>
      <c r="BD4312" s="3" t="s">
        <v>231</v>
      </c>
      <c r="BE4312" s="3" t="s">
        <v>41438</v>
      </c>
      <c r="BF4312" s="3" t="s">
        <v>41437</v>
      </c>
      <c r="BG4312" s="3" t="s">
        <v>41439</v>
      </c>
    </row>
    <row r="4313" spans="1:59" ht="58" x14ac:dyDescent="0.35">
      <c r="A4313" s="2" t="s">
        <v>59</v>
      </c>
      <c r="B4313" s="2" t="s">
        <v>60</v>
      </c>
      <c r="C4313" s="2" t="s">
        <v>41440</v>
      </c>
      <c r="D4313" s="2" t="s">
        <v>41441</v>
      </c>
      <c r="E4313" s="2" t="s">
        <v>41442</v>
      </c>
      <c r="G4313" s="3" t="s">
        <v>62</v>
      </c>
      <c r="I4313" s="3" t="s">
        <v>62</v>
      </c>
      <c r="J4313" s="3" t="s">
        <v>62</v>
      </c>
      <c r="K4313" s="3" t="s">
        <v>63</v>
      </c>
      <c r="L4313" s="2" t="s">
        <v>41443</v>
      </c>
      <c r="M4313" s="2" t="s">
        <v>41444</v>
      </c>
      <c r="N4313" s="3" t="s">
        <v>355</v>
      </c>
      <c r="P4313" s="3" t="s">
        <v>64</v>
      </c>
      <c r="R4313" s="3" t="s">
        <v>40557</v>
      </c>
      <c r="S4313" s="4">
        <v>6</v>
      </c>
      <c r="T4313" s="4">
        <v>6</v>
      </c>
      <c r="U4313" s="5" t="s">
        <v>33597</v>
      </c>
      <c r="V4313" s="5" t="s">
        <v>33597</v>
      </c>
      <c r="W4313" s="5" t="s">
        <v>67</v>
      </c>
      <c r="X4313" s="5" t="s">
        <v>67</v>
      </c>
      <c r="Y4313" s="4">
        <v>129</v>
      </c>
      <c r="Z4313" s="4">
        <v>4</v>
      </c>
      <c r="AA4313" s="4">
        <v>4</v>
      </c>
      <c r="AB4313" s="4">
        <v>1</v>
      </c>
      <c r="AC4313" s="4">
        <v>1</v>
      </c>
      <c r="AD4313" s="4">
        <v>38</v>
      </c>
      <c r="AE4313" s="4">
        <v>38</v>
      </c>
      <c r="AF4313" s="4">
        <v>0</v>
      </c>
      <c r="AG4313" s="4">
        <v>0</v>
      </c>
      <c r="AH4313" s="4">
        <v>36</v>
      </c>
      <c r="AI4313" s="4">
        <v>36</v>
      </c>
      <c r="AJ4313" s="4">
        <v>2</v>
      </c>
      <c r="AK4313" s="4">
        <v>2</v>
      </c>
      <c r="AL4313" s="4">
        <v>24</v>
      </c>
      <c r="AM4313" s="4">
        <v>24</v>
      </c>
      <c r="AN4313" s="4">
        <v>0</v>
      </c>
      <c r="AO4313" s="4">
        <v>0</v>
      </c>
      <c r="AP4313" s="4">
        <v>2</v>
      </c>
      <c r="AQ4313" s="4">
        <v>2</v>
      </c>
      <c r="AR4313" s="3" t="s">
        <v>62</v>
      </c>
      <c r="AS4313" s="3" t="s">
        <v>62</v>
      </c>
      <c r="AT4313" s="3" t="s">
        <v>61</v>
      </c>
      <c r="AU4313" s="6" t="str">
        <f>HYPERLINK("http://catalog.hathitrust.org/Record/000878087","HathiTrust Record")</f>
        <v>HathiTrust Record</v>
      </c>
      <c r="AV4313" s="6" t="str">
        <f>HYPERLINK("http://mcgill.on.worldcat.org/oclc/10751707","Catalog Record")</f>
        <v>Catalog Record</v>
      </c>
      <c r="AW4313" s="6" t="str">
        <f>HYPERLINK("http://www.worldcat.org/oclc/10751707","WorldCat Record")</f>
        <v>WorldCat Record</v>
      </c>
      <c r="AX4313" s="3" t="s">
        <v>41445</v>
      </c>
      <c r="AY4313" s="3" t="s">
        <v>41446</v>
      </c>
      <c r="AZ4313" s="3" t="s">
        <v>41447</v>
      </c>
      <c r="BA4313" s="3" t="s">
        <v>41447</v>
      </c>
      <c r="BB4313" s="3" t="s">
        <v>41448</v>
      </c>
      <c r="BC4313" s="3" t="s">
        <v>102</v>
      </c>
      <c r="BD4313" s="3" t="s">
        <v>68</v>
      </c>
      <c r="BE4313" s="3" t="s">
        <v>41449</v>
      </c>
      <c r="BF4313" s="3" t="s">
        <v>41448</v>
      </c>
      <c r="BG4313" s="3" t="s">
        <v>41450</v>
      </c>
    </row>
    <row r="4314" spans="1:59" ht="58" x14ac:dyDescent="0.35">
      <c r="A4314" s="2" t="s">
        <v>59</v>
      </c>
      <c r="B4314" s="2" t="s">
        <v>60</v>
      </c>
      <c r="C4314" s="2" t="s">
        <v>41451</v>
      </c>
      <c r="D4314" s="2" t="s">
        <v>41452</v>
      </c>
      <c r="E4314" s="2" t="s">
        <v>41453</v>
      </c>
      <c r="G4314" s="3" t="s">
        <v>62</v>
      </c>
      <c r="I4314" s="3" t="s">
        <v>62</v>
      </c>
      <c r="J4314" s="3" t="s">
        <v>62</v>
      </c>
      <c r="K4314" s="3" t="s">
        <v>63</v>
      </c>
      <c r="L4314" s="2" t="s">
        <v>41454</v>
      </c>
      <c r="M4314" s="2" t="s">
        <v>41455</v>
      </c>
      <c r="N4314" s="3" t="s">
        <v>2445</v>
      </c>
      <c r="P4314" s="3" t="s">
        <v>85</v>
      </c>
      <c r="Q4314" s="2" t="s">
        <v>41456</v>
      </c>
      <c r="R4314" s="3" t="s">
        <v>40557</v>
      </c>
      <c r="S4314" s="4">
        <v>2</v>
      </c>
      <c r="T4314" s="4">
        <v>2</v>
      </c>
      <c r="U4314" s="5" t="s">
        <v>14015</v>
      </c>
      <c r="V4314" s="5" t="s">
        <v>14015</v>
      </c>
      <c r="W4314" s="5" t="s">
        <v>67</v>
      </c>
      <c r="X4314" s="5" t="s">
        <v>67</v>
      </c>
      <c r="Y4314" s="4">
        <v>25</v>
      </c>
      <c r="Z4314" s="4">
        <v>2</v>
      </c>
      <c r="AA4314" s="4">
        <v>5</v>
      </c>
      <c r="AB4314" s="4">
        <v>1</v>
      </c>
      <c r="AC4314" s="4">
        <v>4</v>
      </c>
      <c r="AD4314" s="4">
        <v>6</v>
      </c>
      <c r="AE4314" s="4">
        <v>14</v>
      </c>
      <c r="AF4314" s="4">
        <v>0</v>
      </c>
      <c r="AG4314" s="4">
        <v>1</v>
      </c>
      <c r="AH4314" s="4">
        <v>5</v>
      </c>
      <c r="AI4314" s="4">
        <v>12</v>
      </c>
      <c r="AJ4314" s="4">
        <v>0</v>
      </c>
      <c r="AK4314" s="4">
        <v>1</v>
      </c>
      <c r="AL4314" s="4">
        <v>4</v>
      </c>
      <c r="AM4314" s="4">
        <v>7</v>
      </c>
      <c r="AN4314" s="4">
        <v>0</v>
      </c>
      <c r="AO4314" s="4">
        <v>0</v>
      </c>
      <c r="AP4314" s="4">
        <v>1</v>
      </c>
      <c r="AQ4314" s="4">
        <v>2</v>
      </c>
      <c r="AR4314" s="3" t="s">
        <v>62</v>
      </c>
      <c r="AS4314" s="3" t="s">
        <v>62</v>
      </c>
      <c r="AT4314" s="3" t="s">
        <v>62</v>
      </c>
      <c r="AV4314" s="6" t="str">
        <f>HYPERLINK("http://mcgill.on.worldcat.org/oclc/4367769","Catalog Record")</f>
        <v>Catalog Record</v>
      </c>
      <c r="AW4314" s="6" t="str">
        <f>HYPERLINK("http://www.worldcat.org/oclc/4367769","WorldCat Record")</f>
        <v>WorldCat Record</v>
      </c>
      <c r="AX4314" s="3" t="s">
        <v>41457</v>
      </c>
      <c r="AY4314" s="3" t="s">
        <v>41458</v>
      </c>
      <c r="AZ4314" s="3" t="s">
        <v>41459</v>
      </c>
      <c r="BA4314" s="3" t="s">
        <v>41459</v>
      </c>
      <c r="BB4314" s="3" t="s">
        <v>41460</v>
      </c>
      <c r="BC4314" s="3" t="s">
        <v>102</v>
      </c>
      <c r="BD4314" s="3" t="s">
        <v>68</v>
      </c>
      <c r="BF4314" s="3" t="s">
        <v>41460</v>
      </c>
      <c r="BG4314" s="3" t="s">
        <v>41461</v>
      </c>
    </row>
    <row r="4315" spans="1:59" ht="58" x14ac:dyDescent="0.35">
      <c r="A4315" s="2" t="s">
        <v>89</v>
      </c>
      <c r="B4315" s="2" t="s">
        <v>90</v>
      </c>
      <c r="C4315" s="2" t="s">
        <v>41462</v>
      </c>
      <c r="D4315" s="2" t="s">
        <v>41463</v>
      </c>
      <c r="E4315" s="2" t="s">
        <v>41464</v>
      </c>
      <c r="G4315" s="3" t="s">
        <v>62</v>
      </c>
      <c r="I4315" s="3" t="s">
        <v>62</v>
      </c>
      <c r="J4315" s="3" t="s">
        <v>62</v>
      </c>
      <c r="K4315" s="3" t="s">
        <v>63</v>
      </c>
      <c r="L4315" s="2" t="s">
        <v>31265</v>
      </c>
      <c r="M4315" s="2" t="s">
        <v>41465</v>
      </c>
      <c r="N4315" s="3" t="s">
        <v>1038</v>
      </c>
      <c r="P4315" s="3" t="s">
        <v>64</v>
      </c>
      <c r="R4315" s="3" t="s">
        <v>40557</v>
      </c>
      <c r="S4315" s="4">
        <v>31</v>
      </c>
      <c r="T4315" s="4">
        <v>31</v>
      </c>
      <c r="U4315" s="5" t="s">
        <v>22014</v>
      </c>
      <c r="V4315" s="5" t="s">
        <v>22014</v>
      </c>
      <c r="W4315" s="5" t="s">
        <v>67</v>
      </c>
      <c r="X4315" s="5" t="s">
        <v>67</v>
      </c>
      <c r="Y4315" s="4">
        <v>1870</v>
      </c>
      <c r="Z4315" s="4">
        <v>57</v>
      </c>
      <c r="AA4315" s="4">
        <v>94</v>
      </c>
      <c r="AB4315" s="4">
        <v>2</v>
      </c>
      <c r="AC4315" s="4">
        <v>10</v>
      </c>
      <c r="AD4315" s="4">
        <v>97</v>
      </c>
      <c r="AE4315" s="4">
        <v>117</v>
      </c>
      <c r="AF4315" s="4">
        <v>1</v>
      </c>
      <c r="AG4315" s="4">
        <v>2</v>
      </c>
      <c r="AH4315" s="4">
        <v>77</v>
      </c>
      <c r="AI4315" s="4">
        <v>93</v>
      </c>
      <c r="AJ4315" s="4">
        <v>16</v>
      </c>
      <c r="AK4315" s="4">
        <v>22</v>
      </c>
      <c r="AL4315" s="4">
        <v>41</v>
      </c>
      <c r="AM4315" s="4">
        <v>48</v>
      </c>
      <c r="AN4315" s="4">
        <v>0</v>
      </c>
      <c r="AO4315" s="4">
        <v>0</v>
      </c>
      <c r="AP4315" s="4">
        <v>24</v>
      </c>
      <c r="AQ4315" s="4">
        <v>33</v>
      </c>
      <c r="AR4315" s="3" t="s">
        <v>61</v>
      </c>
      <c r="AS4315" s="3" t="s">
        <v>62</v>
      </c>
      <c r="AT4315" s="3" t="s">
        <v>62</v>
      </c>
      <c r="AV4315" s="6" t="str">
        <f>HYPERLINK("http://mcgill.on.worldcat.org/oclc/933722592","Catalog Record")</f>
        <v>Catalog Record</v>
      </c>
      <c r="AW4315" s="6" t="str">
        <f>HYPERLINK("http://www.worldcat.org/oclc/933722592","WorldCat Record")</f>
        <v>WorldCat Record</v>
      </c>
      <c r="AX4315" s="3" t="s">
        <v>41466</v>
      </c>
      <c r="AY4315" s="3" t="s">
        <v>41467</v>
      </c>
      <c r="AZ4315" s="3" t="s">
        <v>41468</v>
      </c>
      <c r="BA4315" s="3" t="s">
        <v>41468</v>
      </c>
      <c r="BB4315" s="3" t="s">
        <v>41469</v>
      </c>
      <c r="BC4315" s="3" t="s">
        <v>102</v>
      </c>
      <c r="BD4315" s="3" t="s">
        <v>231</v>
      </c>
      <c r="BE4315" s="3" t="s">
        <v>41470</v>
      </c>
      <c r="BF4315" s="3" t="s">
        <v>41469</v>
      </c>
      <c r="BG4315" s="3" t="s">
        <v>41471</v>
      </c>
    </row>
    <row r="4316" spans="1:59" ht="58" x14ac:dyDescent="0.35">
      <c r="A4316" s="2" t="s">
        <v>89</v>
      </c>
      <c r="B4316" s="2" t="s">
        <v>6791</v>
      </c>
      <c r="C4316" s="2" t="s">
        <v>41472</v>
      </c>
      <c r="D4316" s="2" t="s">
        <v>41473</v>
      </c>
      <c r="E4316" s="2" t="s">
        <v>41474</v>
      </c>
      <c r="G4316" s="3" t="s">
        <v>62</v>
      </c>
      <c r="I4316" s="3" t="s">
        <v>62</v>
      </c>
      <c r="J4316" s="3" t="s">
        <v>62</v>
      </c>
      <c r="K4316" s="3" t="s">
        <v>63</v>
      </c>
      <c r="L4316" s="2" t="s">
        <v>41475</v>
      </c>
      <c r="M4316" s="2" t="s">
        <v>41476</v>
      </c>
      <c r="N4316" s="3" t="s">
        <v>1038</v>
      </c>
      <c r="O4316" s="2" t="s">
        <v>1941</v>
      </c>
      <c r="P4316" s="3" t="s">
        <v>64</v>
      </c>
      <c r="Q4316" s="2" t="s">
        <v>41477</v>
      </c>
      <c r="R4316" s="3" t="s">
        <v>40557</v>
      </c>
      <c r="S4316" s="4">
        <v>0</v>
      </c>
      <c r="T4316" s="4">
        <v>0</v>
      </c>
      <c r="W4316" s="5" t="s">
        <v>67</v>
      </c>
      <c r="X4316" s="5" t="s">
        <v>67</v>
      </c>
      <c r="Y4316" s="4">
        <v>409</v>
      </c>
      <c r="Z4316" s="4">
        <v>9</v>
      </c>
      <c r="AA4316" s="4">
        <v>11</v>
      </c>
      <c r="AB4316" s="4">
        <v>1</v>
      </c>
      <c r="AC4316" s="4">
        <v>3</v>
      </c>
      <c r="AD4316" s="4">
        <v>34</v>
      </c>
      <c r="AE4316" s="4">
        <v>44</v>
      </c>
      <c r="AF4316" s="4">
        <v>0</v>
      </c>
      <c r="AG4316" s="4">
        <v>0</v>
      </c>
      <c r="AH4316" s="4">
        <v>32</v>
      </c>
      <c r="AI4316" s="4">
        <v>41</v>
      </c>
      <c r="AJ4316" s="4">
        <v>2</v>
      </c>
      <c r="AK4316" s="4">
        <v>2</v>
      </c>
      <c r="AL4316" s="4">
        <v>15</v>
      </c>
      <c r="AM4316" s="4">
        <v>20</v>
      </c>
      <c r="AN4316" s="4">
        <v>0</v>
      </c>
      <c r="AO4316" s="4">
        <v>0</v>
      </c>
      <c r="AP4316" s="4">
        <v>3</v>
      </c>
      <c r="AQ4316" s="4">
        <v>3</v>
      </c>
      <c r="AR4316" s="3" t="s">
        <v>62</v>
      </c>
      <c r="AS4316" s="3" t="s">
        <v>62</v>
      </c>
      <c r="AT4316" s="3" t="s">
        <v>62</v>
      </c>
      <c r="AV4316" s="6" t="str">
        <f>HYPERLINK("http://mcgill.on.worldcat.org/oclc/936255940","Catalog Record")</f>
        <v>Catalog Record</v>
      </c>
      <c r="AW4316" s="6" t="str">
        <f>HYPERLINK("http://www.worldcat.org/oclc/936255940","WorldCat Record")</f>
        <v>WorldCat Record</v>
      </c>
      <c r="AX4316" s="3" t="s">
        <v>41478</v>
      </c>
      <c r="AY4316" s="3" t="s">
        <v>41479</v>
      </c>
      <c r="AZ4316" s="3" t="s">
        <v>41480</v>
      </c>
      <c r="BA4316" s="3" t="s">
        <v>41480</v>
      </c>
      <c r="BB4316" s="3" t="s">
        <v>41481</v>
      </c>
      <c r="BC4316" s="3" t="s">
        <v>102</v>
      </c>
      <c r="BD4316" s="3" t="s">
        <v>68</v>
      </c>
      <c r="BE4316" s="3" t="s">
        <v>41482</v>
      </c>
      <c r="BF4316" s="3" t="s">
        <v>41481</v>
      </c>
      <c r="BG4316" s="3" t="s">
        <v>41483</v>
      </c>
    </row>
    <row r="4317" spans="1:59" ht="58" x14ac:dyDescent="0.35">
      <c r="A4317" s="2" t="s">
        <v>59</v>
      </c>
      <c r="B4317" s="2" t="s">
        <v>60</v>
      </c>
      <c r="C4317" s="2" t="s">
        <v>41484</v>
      </c>
      <c r="D4317" s="2" t="s">
        <v>41485</v>
      </c>
      <c r="E4317" s="2" t="s">
        <v>41486</v>
      </c>
      <c r="G4317" s="3" t="s">
        <v>62</v>
      </c>
      <c r="I4317" s="3" t="s">
        <v>61</v>
      </c>
      <c r="J4317" s="3" t="s">
        <v>62</v>
      </c>
      <c r="K4317" s="3" t="s">
        <v>63</v>
      </c>
      <c r="L4317" s="2" t="s">
        <v>41487</v>
      </c>
      <c r="M4317" s="2" t="s">
        <v>41488</v>
      </c>
      <c r="N4317" s="3" t="s">
        <v>81</v>
      </c>
      <c r="P4317" s="3" t="s">
        <v>64</v>
      </c>
      <c r="R4317" s="3" t="s">
        <v>40557</v>
      </c>
      <c r="S4317" s="4">
        <v>6</v>
      </c>
      <c r="T4317" s="4">
        <v>23</v>
      </c>
      <c r="U4317" s="5" t="s">
        <v>41489</v>
      </c>
      <c r="V4317" s="5" t="s">
        <v>854</v>
      </c>
      <c r="W4317" s="5" t="s">
        <v>67</v>
      </c>
      <c r="X4317" s="5" t="s">
        <v>67</v>
      </c>
      <c r="Y4317" s="4">
        <v>562</v>
      </c>
      <c r="Z4317" s="4">
        <v>34</v>
      </c>
      <c r="AA4317" s="4">
        <v>44</v>
      </c>
      <c r="AB4317" s="4">
        <v>2</v>
      </c>
      <c r="AC4317" s="4">
        <v>4</v>
      </c>
      <c r="AD4317" s="4">
        <v>94</v>
      </c>
      <c r="AE4317" s="4">
        <v>114</v>
      </c>
      <c r="AF4317" s="4">
        <v>0</v>
      </c>
      <c r="AG4317" s="4">
        <v>2</v>
      </c>
      <c r="AH4317" s="4">
        <v>81</v>
      </c>
      <c r="AI4317" s="4">
        <v>91</v>
      </c>
      <c r="AJ4317" s="4">
        <v>17</v>
      </c>
      <c r="AK4317" s="4">
        <v>21</v>
      </c>
      <c r="AL4317" s="4">
        <v>38</v>
      </c>
      <c r="AM4317" s="4">
        <v>46</v>
      </c>
      <c r="AN4317" s="4">
        <v>0</v>
      </c>
      <c r="AO4317" s="4">
        <v>0</v>
      </c>
      <c r="AP4317" s="4">
        <v>23</v>
      </c>
      <c r="AQ4317" s="4">
        <v>32</v>
      </c>
      <c r="AR4317" s="3" t="s">
        <v>62</v>
      </c>
      <c r="AS4317" s="3" t="s">
        <v>62</v>
      </c>
      <c r="AT4317" s="3" t="s">
        <v>61</v>
      </c>
      <c r="AU4317" s="6" t="str">
        <f>HYPERLINK("http://catalog.hathitrust.org/Record/001494736","HathiTrust Record")</f>
        <v>HathiTrust Record</v>
      </c>
      <c r="AV4317" s="6" t="str">
        <f>HYPERLINK("http://mcgill.on.worldcat.org/oclc/203616","Catalog Record")</f>
        <v>Catalog Record</v>
      </c>
      <c r="AW4317" s="6" t="str">
        <f>HYPERLINK("http://www.worldcat.org/oclc/203616","WorldCat Record")</f>
        <v>WorldCat Record</v>
      </c>
      <c r="AX4317" s="3" t="s">
        <v>41490</v>
      </c>
      <c r="AY4317" s="3" t="s">
        <v>41491</v>
      </c>
      <c r="AZ4317" s="3" t="s">
        <v>41492</v>
      </c>
      <c r="BA4317" s="3" t="s">
        <v>41492</v>
      </c>
      <c r="BB4317" s="3" t="s">
        <v>41493</v>
      </c>
      <c r="BC4317" s="3" t="s">
        <v>102</v>
      </c>
      <c r="BD4317" s="3" t="s">
        <v>68</v>
      </c>
      <c r="BE4317" s="3" t="s">
        <v>41494</v>
      </c>
      <c r="BF4317" s="3" t="s">
        <v>41493</v>
      </c>
      <c r="BG4317" s="3" t="s">
        <v>41495</v>
      </c>
    </row>
    <row r="4318" spans="1:59" ht="58" x14ac:dyDescent="0.35">
      <c r="A4318" s="2" t="s">
        <v>59</v>
      </c>
      <c r="B4318" s="2" t="s">
        <v>60</v>
      </c>
      <c r="C4318" s="2" t="s">
        <v>41496</v>
      </c>
      <c r="D4318" s="2" t="s">
        <v>41497</v>
      </c>
      <c r="E4318" s="2" t="s">
        <v>41498</v>
      </c>
      <c r="F4318" s="3" t="s">
        <v>41499</v>
      </c>
      <c r="G4318" s="3" t="s">
        <v>61</v>
      </c>
      <c r="I4318" s="3" t="s">
        <v>62</v>
      </c>
      <c r="J4318" s="3" t="s">
        <v>62</v>
      </c>
      <c r="K4318" s="3" t="s">
        <v>63</v>
      </c>
      <c r="L4318" s="2" t="s">
        <v>41500</v>
      </c>
      <c r="M4318" s="2" t="s">
        <v>41501</v>
      </c>
      <c r="N4318" s="3" t="s">
        <v>285</v>
      </c>
      <c r="O4318" s="2" t="s">
        <v>41502</v>
      </c>
      <c r="P4318" s="3" t="s">
        <v>64</v>
      </c>
      <c r="Q4318" s="2" t="s">
        <v>41503</v>
      </c>
      <c r="R4318" s="3" t="s">
        <v>40557</v>
      </c>
      <c r="S4318" s="4">
        <v>9</v>
      </c>
      <c r="T4318" s="4">
        <v>12</v>
      </c>
      <c r="U4318" s="5" t="s">
        <v>2234</v>
      </c>
      <c r="V4318" s="5" t="s">
        <v>2234</v>
      </c>
      <c r="W4318" s="5" t="s">
        <v>67</v>
      </c>
      <c r="X4318" s="5" t="s">
        <v>67</v>
      </c>
      <c r="Y4318" s="4">
        <v>2068</v>
      </c>
      <c r="Z4318" s="4">
        <v>52</v>
      </c>
      <c r="AA4318" s="4">
        <v>80</v>
      </c>
      <c r="AB4318" s="4">
        <v>1</v>
      </c>
      <c r="AC4318" s="4">
        <v>6</v>
      </c>
      <c r="AD4318" s="4">
        <v>108</v>
      </c>
      <c r="AE4318" s="4">
        <v>121</v>
      </c>
      <c r="AF4318" s="4">
        <v>0</v>
      </c>
      <c r="AG4318" s="4">
        <v>3</v>
      </c>
      <c r="AH4318" s="4">
        <v>88</v>
      </c>
      <c r="AI4318" s="4">
        <v>95</v>
      </c>
      <c r="AJ4318" s="4">
        <v>15</v>
      </c>
      <c r="AK4318" s="4">
        <v>22</v>
      </c>
      <c r="AL4318" s="4">
        <v>47</v>
      </c>
      <c r="AM4318" s="4">
        <v>49</v>
      </c>
      <c r="AN4318" s="4">
        <v>0</v>
      </c>
      <c r="AO4318" s="4">
        <v>3</v>
      </c>
      <c r="AP4318" s="4">
        <v>23</v>
      </c>
      <c r="AQ4318" s="4">
        <v>29</v>
      </c>
      <c r="AR4318" s="3" t="s">
        <v>62</v>
      </c>
      <c r="AS4318" s="3" t="s">
        <v>62</v>
      </c>
      <c r="AT4318" s="3" t="s">
        <v>61</v>
      </c>
      <c r="AU4318" s="6" t="str">
        <f>HYPERLINK("http://catalog.hathitrust.org/Record/000262354","HathiTrust Record")</f>
        <v>HathiTrust Record</v>
      </c>
      <c r="AV4318" s="6" t="str">
        <f>HYPERLINK("http://mcgill.on.worldcat.org/oclc/6467607","Catalog Record")</f>
        <v>Catalog Record</v>
      </c>
      <c r="AW4318" s="6" t="str">
        <f>HYPERLINK("http://www.worldcat.org/oclc/6467607","WorldCat Record")</f>
        <v>WorldCat Record</v>
      </c>
      <c r="AX4318" s="3" t="s">
        <v>41504</v>
      </c>
      <c r="AY4318" s="3" t="s">
        <v>41505</v>
      </c>
      <c r="AZ4318" s="3" t="s">
        <v>41506</v>
      </c>
      <c r="BA4318" s="3" t="s">
        <v>41506</v>
      </c>
      <c r="BB4318" s="3" t="s">
        <v>41507</v>
      </c>
      <c r="BC4318" s="3" t="s">
        <v>102</v>
      </c>
      <c r="BD4318" s="3" t="s">
        <v>68</v>
      </c>
      <c r="BE4318" s="3" t="s">
        <v>41508</v>
      </c>
      <c r="BF4318" s="3" t="s">
        <v>41507</v>
      </c>
      <c r="BG4318" s="3" t="s">
        <v>41509</v>
      </c>
    </row>
    <row r="4319" spans="1:59" ht="58" x14ac:dyDescent="0.35">
      <c r="A4319" s="2" t="s">
        <v>59</v>
      </c>
      <c r="B4319" s="2" t="s">
        <v>60</v>
      </c>
      <c r="C4319" s="2" t="s">
        <v>41496</v>
      </c>
      <c r="D4319" s="2" t="s">
        <v>41497</v>
      </c>
      <c r="E4319" s="2" t="s">
        <v>41498</v>
      </c>
      <c r="F4319" s="3" t="s">
        <v>41510</v>
      </c>
      <c r="G4319" s="3" t="s">
        <v>61</v>
      </c>
      <c r="I4319" s="3" t="s">
        <v>62</v>
      </c>
      <c r="J4319" s="3" t="s">
        <v>62</v>
      </c>
      <c r="K4319" s="3" t="s">
        <v>63</v>
      </c>
      <c r="L4319" s="2" t="s">
        <v>41500</v>
      </c>
      <c r="M4319" s="2" t="s">
        <v>41501</v>
      </c>
      <c r="N4319" s="3" t="s">
        <v>285</v>
      </c>
      <c r="O4319" s="2" t="s">
        <v>41502</v>
      </c>
      <c r="P4319" s="3" t="s">
        <v>64</v>
      </c>
      <c r="Q4319" s="2" t="s">
        <v>41503</v>
      </c>
      <c r="R4319" s="3" t="s">
        <v>40557</v>
      </c>
      <c r="S4319" s="4">
        <v>3</v>
      </c>
      <c r="T4319" s="4">
        <v>12</v>
      </c>
      <c r="U4319" s="5" t="s">
        <v>33649</v>
      </c>
      <c r="V4319" s="5" t="s">
        <v>2234</v>
      </c>
      <c r="W4319" s="5" t="s">
        <v>67</v>
      </c>
      <c r="X4319" s="5" t="s">
        <v>67</v>
      </c>
      <c r="Y4319" s="4">
        <v>2068</v>
      </c>
      <c r="Z4319" s="4">
        <v>52</v>
      </c>
      <c r="AA4319" s="4">
        <v>80</v>
      </c>
      <c r="AB4319" s="4">
        <v>1</v>
      </c>
      <c r="AC4319" s="4">
        <v>6</v>
      </c>
      <c r="AD4319" s="4">
        <v>108</v>
      </c>
      <c r="AE4319" s="4">
        <v>121</v>
      </c>
      <c r="AF4319" s="4">
        <v>0</v>
      </c>
      <c r="AG4319" s="4">
        <v>3</v>
      </c>
      <c r="AH4319" s="4">
        <v>88</v>
      </c>
      <c r="AI4319" s="4">
        <v>95</v>
      </c>
      <c r="AJ4319" s="4">
        <v>15</v>
      </c>
      <c r="AK4319" s="4">
        <v>22</v>
      </c>
      <c r="AL4319" s="4">
        <v>47</v>
      </c>
      <c r="AM4319" s="4">
        <v>49</v>
      </c>
      <c r="AN4319" s="4">
        <v>0</v>
      </c>
      <c r="AO4319" s="4">
        <v>3</v>
      </c>
      <c r="AP4319" s="4">
        <v>23</v>
      </c>
      <c r="AQ4319" s="4">
        <v>29</v>
      </c>
      <c r="AR4319" s="3" t="s">
        <v>62</v>
      </c>
      <c r="AS4319" s="3" t="s">
        <v>62</v>
      </c>
      <c r="AT4319" s="3" t="s">
        <v>61</v>
      </c>
      <c r="AU4319" s="6" t="str">
        <f>HYPERLINK("http://catalog.hathitrust.org/Record/000262354","HathiTrust Record")</f>
        <v>HathiTrust Record</v>
      </c>
      <c r="AV4319" s="6" t="str">
        <f>HYPERLINK("http://mcgill.on.worldcat.org/oclc/6467607","Catalog Record")</f>
        <v>Catalog Record</v>
      </c>
      <c r="AW4319" s="6" t="str">
        <f>HYPERLINK("http://www.worldcat.org/oclc/6467607","WorldCat Record")</f>
        <v>WorldCat Record</v>
      </c>
      <c r="AX4319" s="3" t="s">
        <v>41504</v>
      </c>
      <c r="AY4319" s="3" t="s">
        <v>41505</v>
      </c>
      <c r="AZ4319" s="3" t="s">
        <v>41506</v>
      </c>
      <c r="BA4319" s="3" t="s">
        <v>41506</v>
      </c>
      <c r="BB4319" s="3" t="s">
        <v>41511</v>
      </c>
      <c r="BC4319" s="3" t="s">
        <v>102</v>
      </c>
      <c r="BD4319" s="3" t="s">
        <v>68</v>
      </c>
      <c r="BE4319" s="3" t="s">
        <v>41508</v>
      </c>
      <c r="BF4319" s="3" t="s">
        <v>41511</v>
      </c>
      <c r="BG4319" s="3" t="s">
        <v>41512</v>
      </c>
    </row>
    <row r="4320" spans="1:59" ht="87" x14ac:dyDescent="0.35">
      <c r="A4320" s="2" t="s">
        <v>89</v>
      </c>
      <c r="B4320" s="2" t="s">
        <v>90</v>
      </c>
      <c r="C4320" s="2" t="s">
        <v>41513</v>
      </c>
      <c r="D4320" s="2" t="s">
        <v>41514</v>
      </c>
      <c r="E4320" s="2" t="s">
        <v>41515</v>
      </c>
      <c r="G4320" s="3" t="s">
        <v>62</v>
      </c>
      <c r="I4320" s="3" t="s">
        <v>62</v>
      </c>
      <c r="J4320" s="3" t="s">
        <v>62</v>
      </c>
      <c r="K4320" s="3" t="s">
        <v>63</v>
      </c>
      <c r="L4320" s="2" t="s">
        <v>41062</v>
      </c>
      <c r="M4320" s="2" t="s">
        <v>41516</v>
      </c>
      <c r="N4320" s="3" t="s">
        <v>866</v>
      </c>
      <c r="O4320" s="2" t="s">
        <v>8350</v>
      </c>
      <c r="P4320" s="3" t="s">
        <v>64</v>
      </c>
      <c r="Q4320" s="2" t="s">
        <v>41517</v>
      </c>
      <c r="R4320" s="3" t="s">
        <v>40557</v>
      </c>
      <c r="S4320" s="4">
        <v>14</v>
      </c>
      <c r="T4320" s="4">
        <v>14</v>
      </c>
      <c r="U4320" s="5" t="s">
        <v>21458</v>
      </c>
      <c r="V4320" s="5" t="s">
        <v>21458</v>
      </c>
      <c r="W4320" s="5" t="s">
        <v>67</v>
      </c>
      <c r="X4320" s="5" t="s">
        <v>67</v>
      </c>
      <c r="Y4320" s="4">
        <v>1716</v>
      </c>
      <c r="Z4320" s="4">
        <v>66</v>
      </c>
      <c r="AA4320" s="4">
        <v>96</v>
      </c>
      <c r="AB4320" s="4">
        <v>3</v>
      </c>
      <c r="AC4320" s="4">
        <v>12</v>
      </c>
      <c r="AD4320" s="4">
        <v>97</v>
      </c>
      <c r="AE4320" s="4">
        <v>122</v>
      </c>
      <c r="AF4320" s="4">
        <v>0</v>
      </c>
      <c r="AG4320" s="4">
        <v>5</v>
      </c>
      <c r="AH4320" s="4">
        <v>82</v>
      </c>
      <c r="AI4320" s="4">
        <v>96</v>
      </c>
      <c r="AJ4320" s="4">
        <v>14</v>
      </c>
      <c r="AK4320" s="4">
        <v>23</v>
      </c>
      <c r="AL4320" s="4">
        <v>40</v>
      </c>
      <c r="AM4320" s="4">
        <v>46</v>
      </c>
      <c r="AN4320" s="4">
        <v>0</v>
      </c>
      <c r="AO4320" s="4">
        <v>0</v>
      </c>
      <c r="AP4320" s="4">
        <v>23</v>
      </c>
      <c r="AQ4320" s="4">
        <v>32</v>
      </c>
      <c r="AR4320" s="3" t="s">
        <v>62</v>
      </c>
      <c r="AS4320" s="3" t="s">
        <v>62</v>
      </c>
      <c r="AT4320" s="3" t="s">
        <v>61</v>
      </c>
      <c r="AU4320" s="6" t="str">
        <f>HYPERLINK("http://catalog.hathitrust.org/Record/000004877","HathiTrust Record")</f>
        <v>HathiTrust Record</v>
      </c>
      <c r="AV4320" s="6" t="str">
        <f>HYPERLINK("http://mcgill.on.worldcat.org/oclc/337071","Catalog Record")</f>
        <v>Catalog Record</v>
      </c>
      <c r="AW4320" s="6" t="str">
        <f>HYPERLINK("http://www.worldcat.org/oclc/337071","WorldCat Record")</f>
        <v>WorldCat Record</v>
      </c>
      <c r="AX4320" s="3" t="s">
        <v>41518</v>
      </c>
      <c r="AY4320" s="3" t="s">
        <v>41519</v>
      </c>
      <c r="AZ4320" s="3" t="s">
        <v>41520</v>
      </c>
      <c r="BA4320" s="3" t="s">
        <v>41520</v>
      </c>
      <c r="BB4320" s="3" t="s">
        <v>41521</v>
      </c>
      <c r="BC4320" s="3" t="s">
        <v>102</v>
      </c>
      <c r="BD4320" s="3" t="s">
        <v>68</v>
      </c>
      <c r="BE4320" s="3" t="s">
        <v>41522</v>
      </c>
      <c r="BF4320" s="3" t="s">
        <v>41521</v>
      </c>
      <c r="BG4320" s="3" t="s">
        <v>41523</v>
      </c>
    </row>
    <row r="4321" spans="1:59" ht="58" x14ac:dyDescent="0.35">
      <c r="A4321" s="2" t="s">
        <v>59</v>
      </c>
      <c r="B4321" s="2" t="s">
        <v>60</v>
      </c>
      <c r="C4321" s="2" t="s">
        <v>41524</v>
      </c>
      <c r="D4321" s="2" t="s">
        <v>41525</v>
      </c>
      <c r="E4321" s="2" t="s">
        <v>41526</v>
      </c>
      <c r="G4321" s="3" t="s">
        <v>62</v>
      </c>
      <c r="I4321" s="3" t="s">
        <v>62</v>
      </c>
      <c r="J4321" s="3" t="s">
        <v>62</v>
      </c>
      <c r="K4321" s="3" t="s">
        <v>63</v>
      </c>
      <c r="L4321" s="2" t="s">
        <v>41527</v>
      </c>
      <c r="M4321" s="2" t="s">
        <v>41528</v>
      </c>
      <c r="N4321" s="3" t="s">
        <v>838</v>
      </c>
      <c r="P4321" s="3" t="s">
        <v>64</v>
      </c>
      <c r="R4321" s="3" t="s">
        <v>40557</v>
      </c>
      <c r="S4321" s="4">
        <v>3</v>
      </c>
      <c r="T4321" s="4">
        <v>3</v>
      </c>
      <c r="U4321" s="5" t="s">
        <v>41529</v>
      </c>
      <c r="V4321" s="5" t="s">
        <v>41529</v>
      </c>
      <c r="W4321" s="5" t="s">
        <v>67</v>
      </c>
      <c r="X4321" s="5" t="s">
        <v>67</v>
      </c>
      <c r="Y4321" s="4">
        <v>361</v>
      </c>
      <c r="Z4321" s="4">
        <v>7</v>
      </c>
      <c r="AA4321" s="4">
        <v>8</v>
      </c>
      <c r="AB4321" s="4">
        <v>1</v>
      </c>
      <c r="AC4321" s="4">
        <v>1</v>
      </c>
      <c r="AD4321" s="4">
        <v>67</v>
      </c>
      <c r="AE4321" s="4">
        <v>68</v>
      </c>
      <c r="AF4321" s="4">
        <v>0</v>
      </c>
      <c r="AG4321" s="4">
        <v>0</v>
      </c>
      <c r="AH4321" s="4">
        <v>64</v>
      </c>
      <c r="AI4321" s="4">
        <v>65</v>
      </c>
      <c r="AJ4321" s="4">
        <v>2</v>
      </c>
      <c r="AK4321" s="4">
        <v>3</v>
      </c>
      <c r="AL4321" s="4">
        <v>35</v>
      </c>
      <c r="AM4321" s="4">
        <v>35</v>
      </c>
      <c r="AN4321" s="4">
        <v>0</v>
      </c>
      <c r="AO4321" s="4">
        <v>0</v>
      </c>
      <c r="AP4321" s="4">
        <v>3</v>
      </c>
      <c r="AQ4321" s="4">
        <v>4</v>
      </c>
      <c r="AR4321" s="3" t="s">
        <v>62</v>
      </c>
      <c r="AS4321" s="3" t="s">
        <v>62</v>
      </c>
      <c r="AT4321" s="3" t="s">
        <v>61</v>
      </c>
      <c r="AU4321" s="6" t="str">
        <f>HYPERLINK("http://catalog.hathitrust.org/Record/001508854","HathiTrust Record")</f>
        <v>HathiTrust Record</v>
      </c>
      <c r="AV4321" s="6" t="str">
        <f>HYPERLINK("http://mcgill.on.worldcat.org/oclc/167607","Catalog Record")</f>
        <v>Catalog Record</v>
      </c>
      <c r="AW4321" s="6" t="str">
        <f>HYPERLINK("http://www.worldcat.org/oclc/167607","WorldCat Record")</f>
        <v>WorldCat Record</v>
      </c>
      <c r="AX4321" s="3" t="s">
        <v>41530</v>
      </c>
      <c r="AY4321" s="3" t="s">
        <v>41531</v>
      </c>
      <c r="AZ4321" s="3" t="s">
        <v>41532</v>
      </c>
      <c r="BA4321" s="3" t="s">
        <v>41532</v>
      </c>
      <c r="BB4321" s="3" t="s">
        <v>41533</v>
      </c>
      <c r="BC4321" s="3" t="s">
        <v>102</v>
      </c>
      <c r="BD4321" s="3" t="s">
        <v>68</v>
      </c>
      <c r="BF4321" s="3" t="s">
        <v>41533</v>
      </c>
      <c r="BG4321" s="3" t="s">
        <v>41534</v>
      </c>
    </row>
    <row r="4322" spans="1:59" ht="58" x14ac:dyDescent="0.35">
      <c r="A4322" s="2" t="s">
        <v>59</v>
      </c>
      <c r="B4322" s="2" t="s">
        <v>60</v>
      </c>
      <c r="C4322" s="2" t="s">
        <v>41535</v>
      </c>
      <c r="D4322" s="2" t="s">
        <v>41536</v>
      </c>
      <c r="E4322" s="2" t="s">
        <v>41537</v>
      </c>
      <c r="G4322" s="3" t="s">
        <v>62</v>
      </c>
      <c r="I4322" s="3" t="s">
        <v>61</v>
      </c>
      <c r="J4322" s="3" t="s">
        <v>62</v>
      </c>
      <c r="K4322" s="3" t="s">
        <v>63</v>
      </c>
      <c r="L4322" s="2" t="s">
        <v>41538</v>
      </c>
      <c r="M4322" s="2" t="s">
        <v>41539</v>
      </c>
      <c r="N4322" s="3" t="s">
        <v>866</v>
      </c>
      <c r="P4322" s="3" t="s">
        <v>64</v>
      </c>
      <c r="Q4322" s="2" t="s">
        <v>41540</v>
      </c>
      <c r="R4322" s="3" t="s">
        <v>40557</v>
      </c>
      <c r="S4322" s="4">
        <v>21</v>
      </c>
      <c r="T4322" s="4">
        <v>41</v>
      </c>
      <c r="U4322" s="5" t="s">
        <v>41541</v>
      </c>
      <c r="V4322" s="5" t="s">
        <v>39352</v>
      </c>
      <c r="W4322" s="5" t="s">
        <v>67</v>
      </c>
      <c r="X4322" s="5" t="s">
        <v>67</v>
      </c>
      <c r="Y4322" s="4">
        <v>105</v>
      </c>
      <c r="Z4322" s="4">
        <v>60</v>
      </c>
      <c r="AA4322" s="4">
        <v>60</v>
      </c>
      <c r="AB4322" s="4">
        <v>2</v>
      </c>
      <c r="AC4322" s="4">
        <v>2</v>
      </c>
      <c r="AD4322" s="4">
        <v>43</v>
      </c>
      <c r="AE4322" s="4">
        <v>43</v>
      </c>
      <c r="AF4322" s="4">
        <v>0</v>
      </c>
      <c r="AG4322" s="4">
        <v>0</v>
      </c>
      <c r="AH4322" s="4">
        <v>21</v>
      </c>
      <c r="AI4322" s="4">
        <v>21</v>
      </c>
      <c r="AJ4322" s="4">
        <v>16</v>
      </c>
      <c r="AK4322" s="4">
        <v>16</v>
      </c>
      <c r="AL4322" s="4">
        <v>10</v>
      </c>
      <c r="AM4322" s="4">
        <v>10</v>
      </c>
      <c r="AN4322" s="4">
        <v>0</v>
      </c>
      <c r="AO4322" s="4">
        <v>0</v>
      </c>
      <c r="AP4322" s="4">
        <v>25</v>
      </c>
      <c r="AQ4322" s="4">
        <v>25</v>
      </c>
      <c r="AR4322" s="3" t="s">
        <v>61</v>
      </c>
      <c r="AS4322" s="3" t="s">
        <v>62</v>
      </c>
      <c r="AT4322" s="3" t="s">
        <v>61</v>
      </c>
      <c r="AU4322" s="6" t="str">
        <f>HYPERLINK("http://catalog.hathitrust.org/Record/009818996","HathiTrust Record")</f>
        <v>HathiTrust Record</v>
      </c>
      <c r="AV4322" s="6" t="str">
        <f>HYPERLINK("http://mcgill.on.worldcat.org/oclc/3670562","Catalog Record")</f>
        <v>Catalog Record</v>
      </c>
      <c r="AW4322" s="6" t="str">
        <f>HYPERLINK("http://www.worldcat.org/oclc/3670562","WorldCat Record")</f>
        <v>WorldCat Record</v>
      </c>
      <c r="AX4322" s="3" t="s">
        <v>41542</v>
      </c>
      <c r="AY4322" s="3" t="s">
        <v>41543</v>
      </c>
      <c r="AZ4322" s="3" t="s">
        <v>41544</v>
      </c>
      <c r="BA4322" s="3" t="s">
        <v>41544</v>
      </c>
      <c r="BB4322" s="3" t="s">
        <v>41545</v>
      </c>
      <c r="BC4322" s="3" t="s">
        <v>102</v>
      </c>
      <c r="BD4322" s="3" t="s">
        <v>68</v>
      </c>
      <c r="BF4322" s="3" t="s">
        <v>41545</v>
      </c>
      <c r="BG4322" s="3" t="s">
        <v>41546</v>
      </c>
    </row>
    <row r="4323" spans="1:59" ht="58" x14ac:dyDescent="0.35">
      <c r="A4323" s="2" t="s">
        <v>59</v>
      </c>
      <c r="B4323" s="2" t="s">
        <v>60</v>
      </c>
      <c r="C4323" s="2" t="s">
        <v>41547</v>
      </c>
      <c r="D4323" s="2" t="s">
        <v>41548</v>
      </c>
      <c r="E4323" s="2" t="s">
        <v>41549</v>
      </c>
      <c r="F4323" s="3" t="s">
        <v>41550</v>
      </c>
      <c r="G4323" s="3" t="s">
        <v>61</v>
      </c>
      <c r="I4323" s="3" t="s">
        <v>62</v>
      </c>
      <c r="J4323" s="3" t="s">
        <v>62</v>
      </c>
      <c r="K4323" s="3" t="s">
        <v>63</v>
      </c>
      <c r="L4323" s="2" t="s">
        <v>41551</v>
      </c>
      <c r="M4323" s="2" t="s">
        <v>41552</v>
      </c>
      <c r="N4323" s="3" t="s">
        <v>87</v>
      </c>
      <c r="O4323" s="2" t="s">
        <v>8350</v>
      </c>
      <c r="P4323" s="3" t="s">
        <v>64</v>
      </c>
      <c r="R4323" s="3" t="s">
        <v>40557</v>
      </c>
      <c r="S4323" s="4">
        <v>0</v>
      </c>
      <c r="T4323" s="4">
        <v>33</v>
      </c>
      <c r="V4323" s="5" t="s">
        <v>398</v>
      </c>
      <c r="W4323" s="5" t="s">
        <v>67</v>
      </c>
      <c r="X4323" s="5" t="s">
        <v>67</v>
      </c>
      <c r="Y4323" s="4">
        <v>24</v>
      </c>
      <c r="Z4323" s="4">
        <v>14</v>
      </c>
      <c r="AA4323" s="4">
        <v>36</v>
      </c>
      <c r="AB4323" s="4">
        <v>1</v>
      </c>
      <c r="AC4323" s="4">
        <v>1</v>
      </c>
      <c r="AD4323" s="4">
        <v>11</v>
      </c>
      <c r="AE4323" s="4">
        <v>110</v>
      </c>
      <c r="AF4323" s="4">
        <v>0</v>
      </c>
      <c r="AG4323" s="4">
        <v>0</v>
      </c>
      <c r="AH4323" s="4">
        <v>7</v>
      </c>
      <c r="AI4323" s="4">
        <v>94</v>
      </c>
      <c r="AJ4323" s="4">
        <v>5</v>
      </c>
      <c r="AK4323" s="4">
        <v>18</v>
      </c>
      <c r="AL4323" s="4">
        <v>4</v>
      </c>
      <c r="AM4323" s="4">
        <v>44</v>
      </c>
      <c r="AN4323" s="4">
        <v>0</v>
      </c>
      <c r="AO4323" s="4">
        <v>0</v>
      </c>
      <c r="AP4323" s="4">
        <v>7</v>
      </c>
      <c r="AQ4323" s="4">
        <v>26</v>
      </c>
      <c r="AR4323" s="3" t="s">
        <v>62</v>
      </c>
      <c r="AS4323" s="3" t="s">
        <v>62</v>
      </c>
      <c r="AT4323" s="3" t="s">
        <v>61</v>
      </c>
      <c r="AU4323" s="6" t="str">
        <f>HYPERLINK("http://catalog.hathitrust.org/Record/100654992","HathiTrust Record")</f>
        <v>HathiTrust Record</v>
      </c>
      <c r="AV4323" s="6" t="str">
        <f>HYPERLINK("http://mcgill.on.worldcat.org/oclc/225870378","Catalog Record")</f>
        <v>Catalog Record</v>
      </c>
      <c r="AW4323" s="6" t="str">
        <f>HYPERLINK("http://www.worldcat.org/oclc/225870378","WorldCat Record")</f>
        <v>WorldCat Record</v>
      </c>
      <c r="AX4323" s="3" t="s">
        <v>41553</v>
      </c>
      <c r="AY4323" s="3" t="s">
        <v>41554</v>
      </c>
      <c r="AZ4323" s="3" t="s">
        <v>41555</v>
      </c>
      <c r="BA4323" s="3" t="s">
        <v>41555</v>
      </c>
      <c r="BB4323" s="3" t="s">
        <v>41556</v>
      </c>
      <c r="BC4323" s="3" t="s">
        <v>102</v>
      </c>
      <c r="BD4323" s="3" t="s">
        <v>68</v>
      </c>
      <c r="BE4323" s="3" t="s">
        <v>41557</v>
      </c>
      <c r="BF4323" s="3" t="s">
        <v>41556</v>
      </c>
      <c r="BG4323" s="3" t="s">
        <v>41558</v>
      </c>
    </row>
    <row r="4324" spans="1:59" ht="58" x14ac:dyDescent="0.35">
      <c r="A4324" s="2" t="s">
        <v>59</v>
      </c>
      <c r="B4324" s="2" t="s">
        <v>60</v>
      </c>
      <c r="C4324" s="2" t="s">
        <v>41547</v>
      </c>
      <c r="D4324" s="2" t="s">
        <v>41548</v>
      </c>
      <c r="E4324" s="2" t="s">
        <v>41549</v>
      </c>
      <c r="F4324" s="3" t="s">
        <v>1390</v>
      </c>
      <c r="G4324" s="3" t="s">
        <v>61</v>
      </c>
      <c r="I4324" s="3" t="s">
        <v>62</v>
      </c>
      <c r="J4324" s="3" t="s">
        <v>62</v>
      </c>
      <c r="K4324" s="3" t="s">
        <v>63</v>
      </c>
      <c r="L4324" s="2" t="s">
        <v>41551</v>
      </c>
      <c r="M4324" s="2" t="s">
        <v>41552</v>
      </c>
      <c r="N4324" s="3" t="s">
        <v>87</v>
      </c>
      <c r="O4324" s="2" t="s">
        <v>8350</v>
      </c>
      <c r="P4324" s="3" t="s">
        <v>64</v>
      </c>
      <c r="R4324" s="3" t="s">
        <v>40557</v>
      </c>
      <c r="S4324" s="4">
        <v>0</v>
      </c>
      <c r="T4324" s="4">
        <v>33</v>
      </c>
      <c r="V4324" s="5" t="s">
        <v>398</v>
      </c>
      <c r="W4324" s="5" t="s">
        <v>67</v>
      </c>
      <c r="X4324" s="5" t="s">
        <v>67</v>
      </c>
      <c r="Y4324" s="4">
        <v>24</v>
      </c>
      <c r="Z4324" s="4">
        <v>14</v>
      </c>
      <c r="AA4324" s="4">
        <v>36</v>
      </c>
      <c r="AB4324" s="4">
        <v>1</v>
      </c>
      <c r="AC4324" s="4">
        <v>1</v>
      </c>
      <c r="AD4324" s="4">
        <v>11</v>
      </c>
      <c r="AE4324" s="4">
        <v>110</v>
      </c>
      <c r="AF4324" s="4">
        <v>0</v>
      </c>
      <c r="AG4324" s="4">
        <v>0</v>
      </c>
      <c r="AH4324" s="4">
        <v>7</v>
      </c>
      <c r="AI4324" s="4">
        <v>94</v>
      </c>
      <c r="AJ4324" s="4">
        <v>5</v>
      </c>
      <c r="AK4324" s="4">
        <v>18</v>
      </c>
      <c r="AL4324" s="4">
        <v>4</v>
      </c>
      <c r="AM4324" s="4">
        <v>44</v>
      </c>
      <c r="AN4324" s="4">
        <v>0</v>
      </c>
      <c r="AO4324" s="4">
        <v>0</v>
      </c>
      <c r="AP4324" s="4">
        <v>7</v>
      </c>
      <c r="AQ4324" s="4">
        <v>26</v>
      </c>
      <c r="AR4324" s="3" t="s">
        <v>62</v>
      </c>
      <c r="AS4324" s="3" t="s">
        <v>62</v>
      </c>
      <c r="AT4324" s="3" t="s">
        <v>61</v>
      </c>
      <c r="AU4324" s="6" t="str">
        <f>HYPERLINK("http://catalog.hathitrust.org/Record/100654992","HathiTrust Record")</f>
        <v>HathiTrust Record</v>
      </c>
      <c r="AV4324" s="6" t="str">
        <f>HYPERLINK("http://mcgill.on.worldcat.org/oclc/225870378","Catalog Record")</f>
        <v>Catalog Record</v>
      </c>
      <c r="AW4324" s="6" t="str">
        <f>HYPERLINK("http://www.worldcat.org/oclc/225870378","WorldCat Record")</f>
        <v>WorldCat Record</v>
      </c>
      <c r="AX4324" s="3" t="s">
        <v>41553</v>
      </c>
      <c r="AY4324" s="3" t="s">
        <v>41554</v>
      </c>
      <c r="AZ4324" s="3" t="s">
        <v>41555</v>
      </c>
      <c r="BA4324" s="3" t="s">
        <v>41555</v>
      </c>
      <c r="BB4324" s="3" t="s">
        <v>41559</v>
      </c>
      <c r="BC4324" s="3" t="s">
        <v>102</v>
      </c>
      <c r="BD4324" s="3" t="s">
        <v>68</v>
      </c>
      <c r="BE4324" s="3" t="s">
        <v>41557</v>
      </c>
      <c r="BF4324" s="3" t="s">
        <v>41559</v>
      </c>
      <c r="BG4324" s="3" t="s">
        <v>41560</v>
      </c>
    </row>
    <row r="4325" spans="1:59" ht="58" x14ac:dyDescent="0.35">
      <c r="A4325" s="2" t="s">
        <v>59</v>
      </c>
      <c r="B4325" s="2" t="s">
        <v>60</v>
      </c>
      <c r="C4325" s="2" t="s">
        <v>41547</v>
      </c>
      <c r="D4325" s="2" t="s">
        <v>41548</v>
      </c>
      <c r="E4325" s="2" t="s">
        <v>41549</v>
      </c>
      <c r="F4325" s="3" t="s">
        <v>2214</v>
      </c>
      <c r="G4325" s="3" t="s">
        <v>61</v>
      </c>
      <c r="I4325" s="3" t="s">
        <v>62</v>
      </c>
      <c r="J4325" s="3" t="s">
        <v>62</v>
      </c>
      <c r="K4325" s="3" t="s">
        <v>63</v>
      </c>
      <c r="L4325" s="2" t="s">
        <v>41551</v>
      </c>
      <c r="M4325" s="2" t="s">
        <v>41552</v>
      </c>
      <c r="N4325" s="3" t="s">
        <v>87</v>
      </c>
      <c r="O4325" s="2" t="s">
        <v>8350</v>
      </c>
      <c r="P4325" s="3" t="s">
        <v>64</v>
      </c>
      <c r="R4325" s="3" t="s">
        <v>40557</v>
      </c>
      <c r="S4325" s="4">
        <v>0</v>
      </c>
      <c r="T4325" s="4">
        <v>33</v>
      </c>
      <c r="V4325" s="5" t="s">
        <v>398</v>
      </c>
      <c r="W4325" s="5" t="s">
        <v>67</v>
      </c>
      <c r="X4325" s="5" t="s">
        <v>67</v>
      </c>
      <c r="Y4325" s="4">
        <v>24</v>
      </c>
      <c r="Z4325" s="4">
        <v>14</v>
      </c>
      <c r="AA4325" s="4">
        <v>36</v>
      </c>
      <c r="AB4325" s="4">
        <v>1</v>
      </c>
      <c r="AC4325" s="4">
        <v>1</v>
      </c>
      <c r="AD4325" s="4">
        <v>11</v>
      </c>
      <c r="AE4325" s="4">
        <v>110</v>
      </c>
      <c r="AF4325" s="4">
        <v>0</v>
      </c>
      <c r="AG4325" s="4">
        <v>0</v>
      </c>
      <c r="AH4325" s="4">
        <v>7</v>
      </c>
      <c r="AI4325" s="4">
        <v>94</v>
      </c>
      <c r="AJ4325" s="4">
        <v>5</v>
      </c>
      <c r="AK4325" s="4">
        <v>18</v>
      </c>
      <c r="AL4325" s="4">
        <v>4</v>
      </c>
      <c r="AM4325" s="4">
        <v>44</v>
      </c>
      <c r="AN4325" s="4">
        <v>0</v>
      </c>
      <c r="AO4325" s="4">
        <v>0</v>
      </c>
      <c r="AP4325" s="4">
        <v>7</v>
      </c>
      <c r="AQ4325" s="4">
        <v>26</v>
      </c>
      <c r="AR4325" s="3" t="s">
        <v>62</v>
      </c>
      <c r="AS4325" s="3" t="s">
        <v>62</v>
      </c>
      <c r="AT4325" s="3" t="s">
        <v>61</v>
      </c>
      <c r="AU4325" s="6" t="str">
        <f>HYPERLINK("http://catalog.hathitrust.org/Record/100654992","HathiTrust Record")</f>
        <v>HathiTrust Record</v>
      </c>
      <c r="AV4325" s="6" t="str">
        <f>HYPERLINK("http://mcgill.on.worldcat.org/oclc/225870378","Catalog Record")</f>
        <v>Catalog Record</v>
      </c>
      <c r="AW4325" s="6" t="str">
        <f>HYPERLINK("http://www.worldcat.org/oclc/225870378","WorldCat Record")</f>
        <v>WorldCat Record</v>
      </c>
      <c r="AX4325" s="3" t="s">
        <v>41553</v>
      </c>
      <c r="AY4325" s="3" t="s">
        <v>41554</v>
      </c>
      <c r="AZ4325" s="3" t="s">
        <v>41555</v>
      </c>
      <c r="BA4325" s="3" t="s">
        <v>41555</v>
      </c>
      <c r="BB4325" s="3" t="s">
        <v>41561</v>
      </c>
      <c r="BC4325" s="3" t="s">
        <v>102</v>
      </c>
      <c r="BD4325" s="3" t="s">
        <v>68</v>
      </c>
      <c r="BE4325" s="3" t="s">
        <v>41557</v>
      </c>
      <c r="BF4325" s="3" t="s">
        <v>41561</v>
      </c>
      <c r="BG4325" s="3" t="s">
        <v>41562</v>
      </c>
    </row>
    <row r="4326" spans="1:59" ht="58" x14ac:dyDescent="0.35">
      <c r="A4326" s="2" t="s">
        <v>59</v>
      </c>
      <c r="B4326" s="2" t="s">
        <v>60</v>
      </c>
      <c r="C4326" s="2" t="s">
        <v>41547</v>
      </c>
      <c r="D4326" s="2" t="s">
        <v>41548</v>
      </c>
      <c r="E4326" s="2" t="s">
        <v>41549</v>
      </c>
      <c r="F4326" s="3" t="s">
        <v>41563</v>
      </c>
      <c r="G4326" s="3" t="s">
        <v>61</v>
      </c>
      <c r="I4326" s="3" t="s">
        <v>62</v>
      </c>
      <c r="J4326" s="3" t="s">
        <v>62</v>
      </c>
      <c r="K4326" s="3" t="s">
        <v>63</v>
      </c>
      <c r="L4326" s="2" t="s">
        <v>41551</v>
      </c>
      <c r="M4326" s="2" t="s">
        <v>41552</v>
      </c>
      <c r="N4326" s="3" t="s">
        <v>87</v>
      </c>
      <c r="O4326" s="2" t="s">
        <v>8350</v>
      </c>
      <c r="P4326" s="3" t="s">
        <v>64</v>
      </c>
      <c r="R4326" s="3" t="s">
        <v>40557</v>
      </c>
      <c r="S4326" s="4">
        <v>3</v>
      </c>
      <c r="T4326" s="4">
        <v>33</v>
      </c>
      <c r="U4326" s="5" t="s">
        <v>41564</v>
      </c>
      <c r="V4326" s="5" t="s">
        <v>398</v>
      </c>
      <c r="W4326" s="5" t="s">
        <v>67</v>
      </c>
      <c r="X4326" s="5" t="s">
        <v>67</v>
      </c>
      <c r="Y4326" s="4">
        <v>24</v>
      </c>
      <c r="Z4326" s="4">
        <v>14</v>
      </c>
      <c r="AA4326" s="4">
        <v>36</v>
      </c>
      <c r="AB4326" s="4">
        <v>1</v>
      </c>
      <c r="AC4326" s="4">
        <v>1</v>
      </c>
      <c r="AD4326" s="4">
        <v>11</v>
      </c>
      <c r="AE4326" s="4">
        <v>110</v>
      </c>
      <c r="AF4326" s="4">
        <v>0</v>
      </c>
      <c r="AG4326" s="4">
        <v>0</v>
      </c>
      <c r="AH4326" s="4">
        <v>7</v>
      </c>
      <c r="AI4326" s="4">
        <v>94</v>
      </c>
      <c r="AJ4326" s="4">
        <v>5</v>
      </c>
      <c r="AK4326" s="4">
        <v>18</v>
      </c>
      <c r="AL4326" s="4">
        <v>4</v>
      </c>
      <c r="AM4326" s="4">
        <v>44</v>
      </c>
      <c r="AN4326" s="4">
        <v>0</v>
      </c>
      <c r="AO4326" s="4">
        <v>0</v>
      </c>
      <c r="AP4326" s="4">
        <v>7</v>
      </c>
      <c r="AQ4326" s="4">
        <v>26</v>
      </c>
      <c r="AR4326" s="3" t="s">
        <v>62</v>
      </c>
      <c r="AS4326" s="3" t="s">
        <v>62</v>
      </c>
      <c r="AT4326" s="3" t="s">
        <v>61</v>
      </c>
      <c r="AU4326" s="6" t="str">
        <f>HYPERLINK("http://catalog.hathitrust.org/Record/100654992","HathiTrust Record")</f>
        <v>HathiTrust Record</v>
      </c>
      <c r="AV4326" s="6" t="str">
        <f>HYPERLINK("http://mcgill.on.worldcat.org/oclc/225870378","Catalog Record")</f>
        <v>Catalog Record</v>
      </c>
      <c r="AW4326" s="6" t="str">
        <f>HYPERLINK("http://www.worldcat.org/oclc/225870378","WorldCat Record")</f>
        <v>WorldCat Record</v>
      </c>
      <c r="AX4326" s="3" t="s">
        <v>41553</v>
      </c>
      <c r="AY4326" s="3" t="s">
        <v>41554</v>
      </c>
      <c r="AZ4326" s="3" t="s">
        <v>41555</v>
      </c>
      <c r="BA4326" s="3" t="s">
        <v>41555</v>
      </c>
      <c r="BB4326" s="3" t="s">
        <v>41565</v>
      </c>
      <c r="BC4326" s="3" t="s">
        <v>102</v>
      </c>
      <c r="BD4326" s="3" t="s">
        <v>68</v>
      </c>
      <c r="BE4326" s="3" t="s">
        <v>41557</v>
      </c>
      <c r="BF4326" s="3" t="s">
        <v>41565</v>
      </c>
      <c r="BG4326" s="3" t="s">
        <v>41566</v>
      </c>
    </row>
    <row r="4327" spans="1:59" ht="58" x14ac:dyDescent="0.35">
      <c r="A4327" s="2" t="s">
        <v>59</v>
      </c>
      <c r="B4327" s="2" t="s">
        <v>60</v>
      </c>
      <c r="C4327" s="2" t="s">
        <v>41567</v>
      </c>
      <c r="D4327" s="2" t="s">
        <v>41568</v>
      </c>
      <c r="E4327" s="2" t="s">
        <v>41569</v>
      </c>
      <c r="G4327" s="3" t="s">
        <v>62</v>
      </c>
      <c r="I4327" s="3" t="s">
        <v>62</v>
      </c>
      <c r="J4327" s="3" t="s">
        <v>62</v>
      </c>
      <c r="K4327" s="3" t="s">
        <v>63</v>
      </c>
      <c r="L4327" s="2" t="s">
        <v>41570</v>
      </c>
      <c r="M4327" s="2" t="s">
        <v>41571</v>
      </c>
      <c r="N4327" s="3" t="s">
        <v>2975</v>
      </c>
      <c r="P4327" s="3" t="s">
        <v>64</v>
      </c>
      <c r="R4327" s="3" t="s">
        <v>40557</v>
      </c>
      <c r="S4327" s="4">
        <v>7</v>
      </c>
      <c r="T4327" s="4">
        <v>7</v>
      </c>
      <c r="U4327" s="5" t="s">
        <v>41572</v>
      </c>
      <c r="V4327" s="5" t="s">
        <v>41572</v>
      </c>
      <c r="W4327" s="5" t="s">
        <v>67</v>
      </c>
      <c r="X4327" s="5" t="s">
        <v>67</v>
      </c>
      <c r="Y4327" s="4">
        <v>613</v>
      </c>
      <c r="Z4327" s="4">
        <v>26</v>
      </c>
      <c r="AA4327" s="4">
        <v>27</v>
      </c>
      <c r="AB4327" s="4">
        <v>3</v>
      </c>
      <c r="AC4327" s="4">
        <v>4</v>
      </c>
      <c r="AD4327" s="4">
        <v>81</v>
      </c>
      <c r="AE4327" s="4">
        <v>81</v>
      </c>
      <c r="AF4327" s="4">
        <v>0</v>
      </c>
      <c r="AG4327" s="4">
        <v>0</v>
      </c>
      <c r="AH4327" s="4">
        <v>73</v>
      </c>
      <c r="AI4327" s="4">
        <v>73</v>
      </c>
      <c r="AJ4327" s="4">
        <v>8</v>
      </c>
      <c r="AK4327" s="4">
        <v>8</v>
      </c>
      <c r="AL4327" s="4">
        <v>35</v>
      </c>
      <c r="AM4327" s="4">
        <v>35</v>
      </c>
      <c r="AN4327" s="4">
        <v>0</v>
      </c>
      <c r="AO4327" s="4">
        <v>0</v>
      </c>
      <c r="AP4327" s="4">
        <v>13</v>
      </c>
      <c r="AQ4327" s="4">
        <v>13</v>
      </c>
      <c r="AR4327" s="3" t="s">
        <v>62</v>
      </c>
      <c r="AS4327" s="3" t="s">
        <v>62</v>
      </c>
      <c r="AT4327" s="3" t="s">
        <v>62</v>
      </c>
      <c r="AV4327" s="6" t="str">
        <f>HYPERLINK("http://mcgill.on.worldcat.org/oclc/44650974","Catalog Record")</f>
        <v>Catalog Record</v>
      </c>
      <c r="AW4327" s="6" t="str">
        <f>HYPERLINK("http://www.worldcat.org/oclc/44650974","WorldCat Record")</f>
        <v>WorldCat Record</v>
      </c>
      <c r="AX4327" s="3" t="s">
        <v>41573</v>
      </c>
      <c r="AY4327" s="3" t="s">
        <v>41574</v>
      </c>
      <c r="AZ4327" s="3" t="s">
        <v>41575</v>
      </c>
      <c r="BA4327" s="3" t="s">
        <v>41575</v>
      </c>
      <c r="BB4327" s="3" t="s">
        <v>41576</v>
      </c>
      <c r="BC4327" s="3" t="s">
        <v>102</v>
      </c>
      <c r="BD4327" s="3" t="s">
        <v>68</v>
      </c>
      <c r="BE4327" s="3" t="s">
        <v>41577</v>
      </c>
      <c r="BF4327" s="3" t="s">
        <v>41576</v>
      </c>
      <c r="BG4327" s="3" t="s">
        <v>41578</v>
      </c>
    </row>
    <row r="4328" spans="1:59" ht="58" x14ac:dyDescent="0.35">
      <c r="A4328" s="2" t="s">
        <v>59</v>
      </c>
      <c r="B4328" s="2" t="s">
        <v>60</v>
      </c>
      <c r="C4328" s="2" t="s">
        <v>41579</v>
      </c>
      <c r="D4328" s="2" t="s">
        <v>41580</v>
      </c>
      <c r="E4328" s="2" t="s">
        <v>41581</v>
      </c>
      <c r="G4328" s="3" t="s">
        <v>62</v>
      </c>
      <c r="I4328" s="3" t="s">
        <v>62</v>
      </c>
      <c r="J4328" s="3" t="s">
        <v>62</v>
      </c>
      <c r="K4328" s="3" t="s">
        <v>63</v>
      </c>
      <c r="L4328" s="2" t="s">
        <v>41582</v>
      </c>
      <c r="M4328" s="2" t="s">
        <v>41583</v>
      </c>
      <c r="N4328" s="3" t="s">
        <v>893</v>
      </c>
      <c r="P4328" s="3" t="s">
        <v>64</v>
      </c>
      <c r="R4328" s="3" t="s">
        <v>40557</v>
      </c>
      <c r="S4328" s="4">
        <v>21</v>
      </c>
      <c r="T4328" s="4">
        <v>21</v>
      </c>
      <c r="U4328" s="5" t="s">
        <v>41529</v>
      </c>
      <c r="V4328" s="5" t="s">
        <v>41529</v>
      </c>
      <c r="W4328" s="5" t="s">
        <v>67</v>
      </c>
      <c r="X4328" s="5" t="s">
        <v>67</v>
      </c>
      <c r="Y4328" s="4">
        <v>779</v>
      </c>
      <c r="Z4328" s="4">
        <v>39</v>
      </c>
      <c r="AA4328" s="4">
        <v>41</v>
      </c>
      <c r="AB4328" s="4">
        <v>2</v>
      </c>
      <c r="AC4328" s="4">
        <v>3</v>
      </c>
      <c r="AD4328" s="4">
        <v>114</v>
      </c>
      <c r="AE4328" s="4">
        <v>115</v>
      </c>
      <c r="AF4328" s="4">
        <v>0</v>
      </c>
      <c r="AG4328" s="4">
        <v>1</v>
      </c>
      <c r="AH4328" s="4">
        <v>96</v>
      </c>
      <c r="AI4328" s="4">
        <v>96</v>
      </c>
      <c r="AJ4328" s="4">
        <v>16</v>
      </c>
      <c r="AK4328" s="4">
        <v>17</v>
      </c>
      <c r="AL4328" s="4">
        <v>48</v>
      </c>
      <c r="AM4328" s="4">
        <v>48</v>
      </c>
      <c r="AN4328" s="4">
        <v>0</v>
      </c>
      <c r="AO4328" s="4">
        <v>0</v>
      </c>
      <c r="AP4328" s="4">
        <v>25</v>
      </c>
      <c r="AQ4328" s="4">
        <v>26</v>
      </c>
      <c r="AR4328" s="3" t="s">
        <v>62</v>
      </c>
      <c r="AS4328" s="3" t="s">
        <v>62</v>
      </c>
      <c r="AT4328" s="3" t="s">
        <v>62</v>
      </c>
      <c r="AV4328" s="6" t="str">
        <f>HYPERLINK("http://mcgill.on.worldcat.org/oclc/8725286","Catalog Record")</f>
        <v>Catalog Record</v>
      </c>
      <c r="AW4328" s="6" t="str">
        <f>HYPERLINK("http://www.worldcat.org/oclc/8725286","WorldCat Record")</f>
        <v>WorldCat Record</v>
      </c>
      <c r="AX4328" s="3" t="s">
        <v>41584</v>
      </c>
      <c r="AY4328" s="3" t="s">
        <v>41585</v>
      </c>
      <c r="AZ4328" s="3" t="s">
        <v>41586</v>
      </c>
      <c r="BA4328" s="3" t="s">
        <v>41586</v>
      </c>
      <c r="BB4328" s="3" t="s">
        <v>41587</v>
      </c>
      <c r="BC4328" s="3" t="s">
        <v>102</v>
      </c>
      <c r="BD4328" s="3" t="s">
        <v>68</v>
      </c>
      <c r="BE4328" s="3" t="s">
        <v>41588</v>
      </c>
      <c r="BF4328" s="3" t="s">
        <v>41587</v>
      </c>
      <c r="BG4328" s="3" t="s">
        <v>41589</v>
      </c>
    </row>
    <row r="4329" spans="1:59" ht="58" x14ac:dyDescent="0.35">
      <c r="A4329" s="2" t="s">
        <v>59</v>
      </c>
      <c r="B4329" s="2" t="s">
        <v>60</v>
      </c>
      <c r="C4329" s="2" t="s">
        <v>41590</v>
      </c>
      <c r="D4329" s="2" t="s">
        <v>41591</v>
      </c>
      <c r="E4329" s="2" t="s">
        <v>41592</v>
      </c>
      <c r="G4329" s="3" t="s">
        <v>62</v>
      </c>
      <c r="I4329" s="3" t="s">
        <v>62</v>
      </c>
      <c r="J4329" s="3" t="s">
        <v>62</v>
      </c>
      <c r="K4329" s="3" t="s">
        <v>63</v>
      </c>
      <c r="L4329" s="2" t="s">
        <v>41593</v>
      </c>
      <c r="M4329" s="2" t="s">
        <v>41594</v>
      </c>
      <c r="N4329" s="3" t="s">
        <v>106</v>
      </c>
      <c r="P4329" s="3" t="s">
        <v>64</v>
      </c>
      <c r="Q4329" s="2" t="s">
        <v>41595</v>
      </c>
      <c r="R4329" s="3" t="s">
        <v>40557</v>
      </c>
      <c r="S4329" s="4">
        <v>2</v>
      </c>
      <c r="T4329" s="4">
        <v>2</v>
      </c>
      <c r="U4329" s="5" t="s">
        <v>9127</v>
      </c>
      <c r="V4329" s="5" t="s">
        <v>9127</v>
      </c>
      <c r="W4329" s="5" t="s">
        <v>67</v>
      </c>
      <c r="X4329" s="5" t="s">
        <v>67</v>
      </c>
      <c r="Y4329" s="4">
        <v>33</v>
      </c>
      <c r="Z4329" s="4">
        <v>5</v>
      </c>
      <c r="AA4329" s="4">
        <v>5</v>
      </c>
      <c r="AB4329" s="4">
        <v>1</v>
      </c>
      <c r="AC4329" s="4">
        <v>1</v>
      </c>
      <c r="AD4329" s="4">
        <v>11</v>
      </c>
      <c r="AE4329" s="4">
        <v>11</v>
      </c>
      <c r="AF4329" s="4">
        <v>0</v>
      </c>
      <c r="AG4329" s="4">
        <v>0</v>
      </c>
      <c r="AH4329" s="4">
        <v>8</v>
      </c>
      <c r="AI4329" s="4">
        <v>8</v>
      </c>
      <c r="AJ4329" s="4">
        <v>2</v>
      </c>
      <c r="AK4329" s="4">
        <v>2</v>
      </c>
      <c r="AL4329" s="4">
        <v>4</v>
      </c>
      <c r="AM4329" s="4">
        <v>4</v>
      </c>
      <c r="AN4329" s="4">
        <v>0</v>
      </c>
      <c r="AO4329" s="4">
        <v>0</v>
      </c>
      <c r="AP4329" s="4">
        <v>4</v>
      </c>
      <c r="AQ4329" s="4">
        <v>4</v>
      </c>
      <c r="AR4329" s="3" t="s">
        <v>62</v>
      </c>
      <c r="AS4329" s="3" t="s">
        <v>62</v>
      </c>
      <c r="AT4329" s="3" t="s">
        <v>62</v>
      </c>
      <c r="AV4329" s="6" t="str">
        <f>HYPERLINK("http://mcgill.on.worldcat.org/oclc/732543","Catalog Record")</f>
        <v>Catalog Record</v>
      </c>
      <c r="AW4329" s="6" t="str">
        <f>HYPERLINK("http://www.worldcat.org/oclc/732543","WorldCat Record")</f>
        <v>WorldCat Record</v>
      </c>
      <c r="AX4329" s="3" t="s">
        <v>41596</v>
      </c>
      <c r="AY4329" s="3" t="s">
        <v>41597</v>
      </c>
      <c r="AZ4329" s="3" t="s">
        <v>41598</v>
      </c>
      <c r="BA4329" s="3" t="s">
        <v>41598</v>
      </c>
      <c r="BB4329" s="3" t="s">
        <v>41599</v>
      </c>
      <c r="BC4329" s="3" t="s">
        <v>102</v>
      </c>
      <c r="BD4329" s="3" t="s">
        <v>68</v>
      </c>
      <c r="BF4329" s="3" t="s">
        <v>41599</v>
      </c>
      <c r="BG4329" s="3" t="s">
        <v>41600</v>
      </c>
    </row>
    <row r="4330" spans="1:59" ht="58" x14ac:dyDescent="0.35">
      <c r="A4330" s="2" t="s">
        <v>59</v>
      </c>
      <c r="B4330" s="2" t="s">
        <v>60</v>
      </c>
      <c r="C4330" s="2" t="s">
        <v>41601</v>
      </c>
      <c r="D4330" s="2" t="s">
        <v>41602</v>
      </c>
      <c r="E4330" s="2" t="s">
        <v>41603</v>
      </c>
      <c r="G4330" s="3" t="s">
        <v>62</v>
      </c>
      <c r="I4330" s="3" t="s">
        <v>62</v>
      </c>
      <c r="J4330" s="3" t="s">
        <v>62</v>
      </c>
      <c r="K4330" s="3" t="s">
        <v>63</v>
      </c>
      <c r="L4330" s="2" t="s">
        <v>41604</v>
      </c>
      <c r="M4330" s="2" t="s">
        <v>41605</v>
      </c>
      <c r="N4330" s="3" t="s">
        <v>1905</v>
      </c>
      <c r="P4330" s="3" t="s">
        <v>64</v>
      </c>
      <c r="Q4330" s="2" t="s">
        <v>41606</v>
      </c>
      <c r="R4330" s="3" t="s">
        <v>40557</v>
      </c>
      <c r="S4330" s="4">
        <v>5</v>
      </c>
      <c r="T4330" s="4">
        <v>5</v>
      </c>
      <c r="U4330" s="5" t="s">
        <v>6849</v>
      </c>
      <c r="V4330" s="5" t="s">
        <v>6849</v>
      </c>
      <c r="W4330" s="5" t="s">
        <v>67</v>
      </c>
      <c r="X4330" s="5" t="s">
        <v>67</v>
      </c>
      <c r="Y4330" s="4">
        <v>21</v>
      </c>
      <c r="Z4330" s="4">
        <v>6</v>
      </c>
      <c r="AA4330" s="4">
        <v>7</v>
      </c>
      <c r="AB4330" s="4">
        <v>1</v>
      </c>
      <c r="AC4330" s="4">
        <v>2</v>
      </c>
      <c r="AD4330" s="4">
        <v>12</v>
      </c>
      <c r="AE4330" s="4">
        <v>13</v>
      </c>
      <c r="AF4330" s="4">
        <v>0</v>
      </c>
      <c r="AG4330" s="4">
        <v>1</v>
      </c>
      <c r="AH4330" s="4">
        <v>11</v>
      </c>
      <c r="AI4330" s="4">
        <v>12</v>
      </c>
      <c r="AJ4330" s="4">
        <v>3</v>
      </c>
      <c r="AK4330" s="4">
        <v>4</v>
      </c>
      <c r="AL4330" s="4">
        <v>7</v>
      </c>
      <c r="AM4330" s="4">
        <v>7</v>
      </c>
      <c r="AN4330" s="4">
        <v>0</v>
      </c>
      <c r="AO4330" s="4">
        <v>0</v>
      </c>
      <c r="AP4330" s="4">
        <v>2</v>
      </c>
      <c r="AQ4330" s="4">
        <v>3</v>
      </c>
      <c r="AR4330" s="3" t="s">
        <v>61</v>
      </c>
      <c r="AS4330" s="3" t="s">
        <v>62</v>
      </c>
      <c r="AT4330" s="3" t="s">
        <v>61</v>
      </c>
      <c r="AU4330" s="6" t="str">
        <f>HYPERLINK("http://catalog.hathitrust.org/Record/002427877","HathiTrust Record")</f>
        <v>HathiTrust Record</v>
      </c>
      <c r="AV4330" s="6" t="str">
        <f>HYPERLINK("http://mcgill.on.worldcat.org/oclc/25834546","Catalog Record")</f>
        <v>Catalog Record</v>
      </c>
      <c r="AW4330" s="6" t="str">
        <f>HYPERLINK("http://www.worldcat.org/oclc/25834546","WorldCat Record")</f>
        <v>WorldCat Record</v>
      </c>
      <c r="AX4330" s="3" t="s">
        <v>41607</v>
      </c>
      <c r="AY4330" s="3" t="s">
        <v>41608</v>
      </c>
      <c r="AZ4330" s="3" t="s">
        <v>41609</v>
      </c>
      <c r="BA4330" s="3" t="s">
        <v>41609</v>
      </c>
      <c r="BB4330" s="3" t="s">
        <v>41610</v>
      </c>
      <c r="BC4330" s="3" t="s">
        <v>102</v>
      </c>
      <c r="BD4330" s="3" t="s">
        <v>68</v>
      </c>
      <c r="BF4330" s="3" t="s">
        <v>41610</v>
      </c>
      <c r="BG4330" s="3" t="s">
        <v>41611</v>
      </c>
    </row>
    <row r="4331" spans="1:59" ht="72.5" x14ac:dyDescent="0.35">
      <c r="A4331" s="2" t="s">
        <v>89</v>
      </c>
      <c r="B4331" s="2" t="s">
        <v>90</v>
      </c>
      <c r="C4331" s="2" t="s">
        <v>41612</v>
      </c>
      <c r="D4331" s="2" t="s">
        <v>41613</v>
      </c>
      <c r="E4331" s="2" t="s">
        <v>41614</v>
      </c>
      <c r="G4331" s="3" t="s">
        <v>62</v>
      </c>
      <c r="I4331" s="3" t="s">
        <v>62</v>
      </c>
      <c r="J4331" s="3" t="s">
        <v>62</v>
      </c>
      <c r="K4331" s="3" t="s">
        <v>63</v>
      </c>
      <c r="L4331" s="2" t="s">
        <v>41615</v>
      </c>
      <c r="M4331" s="2" t="s">
        <v>41616</v>
      </c>
      <c r="N4331" s="3" t="s">
        <v>712</v>
      </c>
      <c r="O4331" s="2" t="s">
        <v>41617</v>
      </c>
      <c r="P4331" s="3" t="s">
        <v>64</v>
      </c>
      <c r="R4331" s="3" t="s">
        <v>40557</v>
      </c>
      <c r="S4331" s="4">
        <v>0</v>
      </c>
      <c r="T4331" s="4">
        <v>0</v>
      </c>
      <c r="W4331" s="5" t="s">
        <v>67</v>
      </c>
      <c r="X4331" s="5" t="s">
        <v>67</v>
      </c>
      <c r="Y4331" s="4">
        <v>604</v>
      </c>
      <c r="Z4331" s="4">
        <v>21</v>
      </c>
      <c r="AA4331" s="4">
        <v>22</v>
      </c>
      <c r="AB4331" s="4">
        <v>1</v>
      </c>
      <c r="AC4331" s="4">
        <v>2</v>
      </c>
      <c r="AD4331" s="4">
        <v>57</v>
      </c>
      <c r="AE4331" s="4">
        <v>57</v>
      </c>
      <c r="AF4331" s="4">
        <v>0</v>
      </c>
      <c r="AG4331" s="4">
        <v>0</v>
      </c>
      <c r="AH4331" s="4">
        <v>51</v>
      </c>
      <c r="AI4331" s="4">
        <v>51</v>
      </c>
      <c r="AJ4331" s="4">
        <v>4</v>
      </c>
      <c r="AK4331" s="4">
        <v>4</v>
      </c>
      <c r="AL4331" s="4">
        <v>32</v>
      </c>
      <c r="AM4331" s="4">
        <v>32</v>
      </c>
      <c r="AN4331" s="4">
        <v>0</v>
      </c>
      <c r="AO4331" s="4">
        <v>0</v>
      </c>
      <c r="AP4331" s="4">
        <v>5</v>
      </c>
      <c r="AQ4331" s="4">
        <v>5</v>
      </c>
      <c r="AR4331" s="3" t="s">
        <v>62</v>
      </c>
      <c r="AS4331" s="3" t="s">
        <v>62</v>
      </c>
      <c r="AT4331" s="3" t="s">
        <v>62</v>
      </c>
      <c r="AV4331" s="6" t="str">
        <f>HYPERLINK("http://mcgill.on.worldcat.org/oclc/875397562","Catalog Record")</f>
        <v>Catalog Record</v>
      </c>
      <c r="AW4331" s="6" t="str">
        <f>HYPERLINK("http://www.worldcat.org/oclc/875397562","WorldCat Record")</f>
        <v>WorldCat Record</v>
      </c>
      <c r="AX4331" s="3" t="s">
        <v>41618</v>
      </c>
      <c r="AY4331" s="3" t="s">
        <v>41619</v>
      </c>
      <c r="AZ4331" s="3" t="s">
        <v>41620</v>
      </c>
      <c r="BA4331" s="3" t="s">
        <v>41620</v>
      </c>
      <c r="BB4331" s="3" t="s">
        <v>41621</v>
      </c>
      <c r="BC4331" s="3" t="s">
        <v>102</v>
      </c>
      <c r="BD4331" s="3" t="s">
        <v>68</v>
      </c>
      <c r="BE4331" s="3" t="s">
        <v>41622</v>
      </c>
      <c r="BF4331" s="3" t="s">
        <v>41621</v>
      </c>
      <c r="BG4331" s="3" t="s">
        <v>41623</v>
      </c>
    </row>
    <row r="4332" spans="1:59" ht="58" x14ac:dyDescent="0.35">
      <c r="A4332" s="2" t="s">
        <v>89</v>
      </c>
      <c r="B4332" s="2" t="s">
        <v>90</v>
      </c>
      <c r="C4332" s="2" t="s">
        <v>41624</v>
      </c>
      <c r="D4332" s="2" t="s">
        <v>41625</v>
      </c>
      <c r="E4332" s="2" t="s">
        <v>41626</v>
      </c>
      <c r="G4332" s="3" t="s">
        <v>62</v>
      </c>
      <c r="I4332" s="3" t="s">
        <v>62</v>
      </c>
      <c r="J4332" s="3" t="s">
        <v>62</v>
      </c>
      <c r="K4332" s="3" t="s">
        <v>63</v>
      </c>
      <c r="L4332" s="2" t="s">
        <v>41627</v>
      </c>
      <c r="M4332" s="2" t="s">
        <v>41628</v>
      </c>
      <c r="N4332" s="3" t="s">
        <v>655</v>
      </c>
      <c r="P4332" s="3" t="s">
        <v>64</v>
      </c>
      <c r="R4332" s="3" t="s">
        <v>40557</v>
      </c>
      <c r="S4332" s="4">
        <v>2</v>
      </c>
      <c r="T4332" s="4">
        <v>2</v>
      </c>
      <c r="U4332" s="5" t="s">
        <v>30400</v>
      </c>
      <c r="V4332" s="5" t="s">
        <v>30400</v>
      </c>
      <c r="W4332" s="5" t="s">
        <v>67</v>
      </c>
      <c r="X4332" s="5" t="s">
        <v>67</v>
      </c>
      <c r="Y4332" s="4">
        <v>49</v>
      </c>
      <c r="Z4332" s="4">
        <v>21</v>
      </c>
      <c r="AA4332" s="4">
        <v>23</v>
      </c>
      <c r="AB4332" s="4">
        <v>1</v>
      </c>
      <c r="AC4332" s="4">
        <v>1</v>
      </c>
      <c r="AD4332" s="4">
        <v>21</v>
      </c>
      <c r="AE4332" s="4">
        <v>22</v>
      </c>
      <c r="AF4332" s="4">
        <v>0</v>
      </c>
      <c r="AG4332" s="4">
        <v>0</v>
      </c>
      <c r="AH4332" s="4">
        <v>12</v>
      </c>
      <c r="AI4332" s="4">
        <v>13</v>
      </c>
      <c r="AJ4332" s="4">
        <v>8</v>
      </c>
      <c r="AK4332" s="4">
        <v>9</v>
      </c>
      <c r="AL4332" s="4">
        <v>6</v>
      </c>
      <c r="AM4332" s="4">
        <v>7</v>
      </c>
      <c r="AN4332" s="4">
        <v>0</v>
      </c>
      <c r="AO4332" s="4">
        <v>0</v>
      </c>
      <c r="AP4332" s="4">
        <v>12</v>
      </c>
      <c r="AQ4332" s="4">
        <v>13</v>
      </c>
      <c r="AR4332" s="3" t="s">
        <v>61</v>
      </c>
      <c r="AS4332" s="3" t="s">
        <v>62</v>
      </c>
      <c r="AT4332" s="3" t="s">
        <v>62</v>
      </c>
      <c r="AV4332" s="6" t="str">
        <f>HYPERLINK("http://mcgill.on.worldcat.org/oclc/124034526","Catalog Record")</f>
        <v>Catalog Record</v>
      </c>
      <c r="AW4332" s="6" t="str">
        <f>HYPERLINK("http://www.worldcat.org/oclc/124034526","WorldCat Record")</f>
        <v>WorldCat Record</v>
      </c>
      <c r="AX4332" s="3" t="s">
        <v>41629</v>
      </c>
      <c r="AY4332" s="3" t="s">
        <v>41630</v>
      </c>
      <c r="AZ4332" s="3" t="s">
        <v>41631</v>
      </c>
      <c r="BA4332" s="3" t="s">
        <v>41631</v>
      </c>
      <c r="BB4332" s="3" t="s">
        <v>41632</v>
      </c>
      <c r="BC4332" s="3" t="s">
        <v>102</v>
      </c>
      <c r="BD4332" s="3" t="s">
        <v>68</v>
      </c>
      <c r="BE4332" s="3" t="s">
        <v>41633</v>
      </c>
      <c r="BF4332" s="3" t="s">
        <v>41632</v>
      </c>
      <c r="BG4332" s="3" t="s">
        <v>41634</v>
      </c>
    </row>
    <row r="4333" spans="1:59" ht="58" x14ac:dyDescent="0.35">
      <c r="A4333" s="2" t="s">
        <v>59</v>
      </c>
      <c r="B4333" s="2" t="s">
        <v>60</v>
      </c>
      <c r="C4333" s="2" t="s">
        <v>41635</v>
      </c>
      <c r="D4333" s="2" t="s">
        <v>41636</v>
      </c>
      <c r="E4333" s="2" t="s">
        <v>41637</v>
      </c>
      <c r="G4333" s="3" t="s">
        <v>62</v>
      </c>
      <c r="I4333" s="3" t="s">
        <v>62</v>
      </c>
      <c r="J4333" s="3" t="s">
        <v>62</v>
      </c>
      <c r="K4333" s="3" t="s">
        <v>63</v>
      </c>
      <c r="L4333" s="2" t="s">
        <v>41638</v>
      </c>
      <c r="M4333" s="2" t="s">
        <v>41639</v>
      </c>
      <c r="N4333" s="3" t="s">
        <v>424</v>
      </c>
      <c r="P4333" s="3" t="s">
        <v>64</v>
      </c>
      <c r="R4333" s="3" t="s">
        <v>40557</v>
      </c>
      <c r="S4333" s="4">
        <v>8</v>
      </c>
      <c r="T4333" s="4">
        <v>8</v>
      </c>
      <c r="U4333" s="5" t="s">
        <v>41640</v>
      </c>
      <c r="V4333" s="5" t="s">
        <v>41640</v>
      </c>
      <c r="W4333" s="5" t="s">
        <v>67</v>
      </c>
      <c r="X4333" s="5" t="s">
        <v>67</v>
      </c>
      <c r="Y4333" s="4">
        <v>259</v>
      </c>
      <c r="Z4333" s="4">
        <v>19</v>
      </c>
      <c r="AA4333" s="4">
        <v>22</v>
      </c>
      <c r="AB4333" s="4">
        <v>1</v>
      </c>
      <c r="AC4333" s="4">
        <v>1</v>
      </c>
      <c r="AD4333" s="4">
        <v>56</v>
      </c>
      <c r="AE4333" s="4">
        <v>65</v>
      </c>
      <c r="AF4333" s="4">
        <v>0</v>
      </c>
      <c r="AG4333" s="4">
        <v>0</v>
      </c>
      <c r="AH4333" s="4">
        <v>52</v>
      </c>
      <c r="AI4333" s="4">
        <v>61</v>
      </c>
      <c r="AJ4333" s="4">
        <v>6</v>
      </c>
      <c r="AK4333" s="4">
        <v>7</v>
      </c>
      <c r="AL4333" s="4">
        <v>23</v>
      </c>
      <c r="AM4333" s="4">
        <v>28</v>
      </c>
      <c r="AN4333" s="4">
        <v>0</v>
      </c>
      <c r="AO4333" s="4">
        <v>0</v>
      </c>
      <c r="AP4333" s="4">
        <v>9</v>
      </c>
      <c r="AQ4333" s="4">
        <v>10</v>
      </c>
      <c r="AR4333" s="3" t="s">
        <v>62</v>
      </c>
      <c r="AS4333" s="3" t="s">
        <v>62</v>
      </c>
      <c r="AT4333" s="3" t="s">
        <v>61</v>
      </c>
      <c r="AU4333" s="6" t="str">
        <f>HYPERLINK("http://catalog.hathitrust.org/Record/008364685","HathiTrust Record")</f>
        <v>HathiTrust Record</v>
      </c>
      <c r="AV4333" s="6" t="str">
        <f>HYPERLINK("http://mcgill.on.worldcat.org/oclc/17413261","Catalog Record")</f>
        <v>Catalog Record</v>
      </c>
      <c r="AW4333" s="6" t="str">
        <f>HYPERLINK("http://www.worldcat.org/oclc/17413261","WorldCat Record")</f>
        <v>WorldCat Record</v>
      </c>
      <c r="AX4333" s="3" t="s">
        <v>41641</v>
      </c>
      <c r="AY4333" s="3" t="s">
        <v>41642</v>
      </c>
      <c r="AZ4333" s="3" t="s">
        <v>41643</v>
      </c>
      <c r="BA4333" s="3" t="s">
        <v>41643</v>
      </c>
      <c r="BB4333" s="3" t="s">
        <v>41644</v>
      </c>
      <c r="BC4333" s="3" t="s">
        <v>102</v>
      </c>
      <c r="BD4333" s="3" t="s">
        <v>68</v>
      </c>
      <c r="BE4333" s="3" t="s">
        <v>41645</v>
      </c>
      <c r="BF4333" s="3" t="s">
        <v>41644</v>
      </c>
      <c r="BG4333" s="3" t="s">
        <v>41646</v>
      </c>
    </row>
    <row r="4334" spans="1:59" ht="58" x14ac:dyDescent="0.35">
      <c r="A4334" s="2" t="s">
        <v>59</v>
      </c>
      <c r="B4334" s="2" t="s">
        <v>60</v>
      </c>
      <c r="C4334" s="2" t="s">
        <v>41647</v>
      </c>
      <c r="D4334" s="2" t="s">
        <v>41648</v>
      </c>
      <c r="E4334" s="2" t="s">
        <v>41649</v>
      </c>
      <c r="G4334" s="3" t="s">
        <v>62</v>
      </c>
      <c r="I4334" s="3" t="s">
        <v>62</v>
      </c>
      <c r="J4334" s="3" t="s">
        <v>62</v>
      </c>
      <c r="K4334" s="3" t="s">
        <v>63</v>
      </c>
      <c r="L4334" s="2" t="s">
        <v>41650</v>
      </c>
      <c r="M4334" s="2" t="s">
        <v>41651</v>
      </c>
      <c r="N4334" s="3" t="s">
        <v>1576</v>
      </c>
      <c r="P4334" s="3" t="s">
        <v>64</v>
      </c>
      <c r="R4334" s="3" t="s">
        <v>40557</v>
      </c>
      <c r="S4334" s="4">
        <v>11</v>
      </c>
      <c r="T4334" s="4">
        <v>11</v>
      </c>
      <c r="U4334" s="5" t="s">
        <v>41652</v>
      </c>
      <c r="V4334" s="5" t="s">
        <v>41652</v>
      </c>
      <c r="W4334" s="5" t="s">
        <v>67</v>
      </c>
      <c r="X4334" s="5" t="s">
        <v>67</v>
      </c>
      <c r="Y4334" s="4">
        <v>611</v>
      </c>
      <c r="Z4334" s="4">
        <v>21</v>
      </c>
      <c r="AA4334" s="4">
        <v>23</v>
      </c>
      <c r="AB4334" s="4">
        <v>2</v>
      </c>
      <c r="AC4334" s="4">
        <v>3</v>
      </c>
      <c r="AD4334" s="4">
        <v>99</v>
      </c>
      <c r="AE4334" s="4">
        <v>100</v>
      </c>
      <c r="AF4334" s="4">
        <v>1</v>
      </c>
      <c r="AG4334" s="4">
        <v>2</v>
      </c>
      <c r="AH4334" s="4">
        <v>87</v>
      </c>
      <c r="AI4334" s="4">
        <v>87</v>
      </c>
      <c r="AJ4334" s="4">
        <v>13</v>
      </c>
      <c r="AK4334" s="4">
        <v>14</v>
      </c>
      <c r="AL4334" s="4">
        <v>48</v>
      </c>
      <c r="AM4334" s="4">
        <v>48</v>
      </c>
      <c r="AN4334" s="4">
        <v>0</v>
      </c>
      <c r="AO4334" s="4">
        <v>0</v>
      </c>
      <c r="AP4334" s="4">
        <v>16</v>
      </c>
      <c r="AQ4334" s="4">
        <v>17</v>
      </c>
      <c r="AR4334" s="3" t="s">
        <v>62</v>
      </c>
      <c r="AS4334" s="3" t="s">
        <v>62</v>
      </c>
      <c r="AT4334" s="3" t="s">
        <v>62</v>
      </c>
      <c r="AV4334" s="6" t="str">
        <f>HYPERLINK("http://mcgill.on.worldcat.org/oclc/426290","Catalog Record")</f>
        <v>Catalog Record</v>
      </c>
      <c r="AW4334" s="6" t="str">
        <f>HYPERLINK("http://www.worldcat.org/oclc/426290","WorldCat Record")</f>
        <v>WorldCat Record</v>
      </c>
      <c r="AX4334" s="3" t="s">
        <v>41653</v>
      </c>
      <c r="AY4334" s="3" t="s">
        <v>41654</v>
      </c>
      <c r="AZ4334" s="3" t="s">
        <v>41655</v>
      </c>
      <c r="BA4334" s="3" t="s">
        <v>41655</v>
      </c>
      <c r="BB4334" s="3" t="s">
        <v>41656</v>
      </c>
      <c r="BC4334" s="3" t="s">
        <v>102</v>
      </c>
      <c r="BD4334" s="3" t="s">
        <v>68</v>
      </c>
      <c r="BE4334" s="3" t="s">
        <v>41657</v>
      </c>
      <c r="BF4334" s="3" t="s">
        <v>41656</v>
      </c>
      <c r="BG4334" s="3" t="s">
        <v>41658</v>
      </c>
    </row>
    <row r="4335" spans="1:59" ht="58" x14ac:dyDescent="0.35">
      <c r="A4335" s="2" t="s">
        <v>59</v>
      </c>
      <c r="B4335" s="2" t="s">
        <v>60</v>
      </c>
      <c r="C4335" s="2" t="s">
        <v>41659</v>
      </c>
      <c r="D4335" s="2" t="s">
        <v>41660</v>
      </c>
      <c r="E4335" s="2" t="s">
        <v>41661</v>
      </c>
      <c r="G4335" s="3" t="s">
        <v>62</v>
      </c>
      <c r="I4335" s="3" t="s">
        <v>62</v>
      </c>
      <c r="J4335" s="3" t="s">
        <v>62</v>
      </c>
      <c r="K4335" s="3" t="s">
        <v>63</v>
      </c>
      <c r="M4335" s="2" t="s">
        <v>41662</v>
      </c>
      <c r="N4335" s="3" t="s">
        <v>87</v>
      </c>
      <c r="P4335" s="3" t="s">
        <v>64</v>
      </c>
      <c r="Q4335" s="2" t="s">
        <v>41663</v>
      </c>
      <c r="R4335" s="3" t="s">
        <v>40557</v>
      </c>
      <c r="S4335" s="4">
        <v>5</v>
      </c>
      <c r="T4335" s="4">
        <v>5</v>
      </c>
      <c r="U4335" s="5" t="s">
        <v>23107</v>
      </c>
      <c r="V4335" s="5" t="s">
        <v>23107</v>
      </c>
      <c r="W4335" s="5" t="s">
        <v>67</v>
      </c>
      <c r="X4335" s="5" t="s">
        <v>67</v>
      </c>
      <c r="Y4335" s="4">
        <v>302</v>
      </c>
      <c r="Z4335" s="4">
        <v>18</v>
      </c>
      <c r="AA4335" s="4">
        <v>22</v>
      </c>
      <c r="AB4335" s="4">
        <v>3</v>
      </c>
      <c r="AC4335" s="4">
        <v>7</v>
      </c>
      <c r="AD4335" s="4">
        <v>79</v>
      </c>
      <c r="AE4335" s="4">
        <v>82</v>
      </c>
      <c r="AF4335" s="4">
        <v>1</v>
      </c>
      <c r="AG4335" s="4">
        <v>4</v>
      </c>
      <c r="AH4335" s="4">
        <v>74</v>
      </c>
      <c r="AI4335" s="4">
        <v>75</v>
      </c>
      <c r="AJ4335" s="4">
        <v>12</v>
      </c>
      <c r="AK4335" s="4">
        <v>15</v>
      </c>
      <c r="AL4335" s="4">
        <v>39</v>
      </c>
      <c r="AM4335" s="4">
        <v>39</v>
      </c>
      <c r="AN4335" s="4">
        <v>3</v>
      </c>
      <c r="AO4335" s="4">
        <v>3</v>
      </c>
      <c r="AP4335" s="4">
        <v>10</v>
      </c>
      <c r="AQ4335" s="4">
        <v>13</v>
      </c>
      <c r="AR4335" s="3" t="s">
        <v>62</v>
      </c>
      <c r="AS4335" s="3" t="s">
        <v>62</v>
      </c>
      <c r="AT4335" s="3" t="s">
        <v>61</v>
      </c>
      <c r="AU4335" s="6" t="str">
        <f>HYPERLINK("http://catalog.hathitrust.org/Record/000757412","HathiTrust Record")</f>
        <v>HathiTrust Record</v>
      </c>
      <c r="AV4335" s="6" t="str">
        <f>HYPERLINK("http://mcgill.on.worldcat.org/oclc/5942468","Catalog Record")</f>
        <v>Catalog Record</v>
      </c>
      <c r="AW4335" s="6" t="str">
        <f>HYPERLINK("http://www.worldcat.org/oclc/5942468","WorldCat Record")</f>
        <v>WorldCat Record</v>
      </c>
      <c r="AX4335" s="3" t="s">
        <v>41664</v>
      </c>
      <c r="AY4335" s="3" t="s">
        <v>41665</v>
      </c>
      <c r="AZ4335" s="3" t="s">
        <v>41666</v>
      </c>
      <c r="BA4335" s="3" t="s">
        <v>41666</v>
      </c>
      <c r="BB4335" s="3" t="s">
        <v>41667</v>
      </c>
      <c r="BC4335" s="3" t="s">
        <v>102</v>
      </c>
      <c r="BD4335" s="3" t="s">
        <v>68</v>
      </c>
      <c r="BE4335" s="3" t="s">
        <v>41668</v>
      </c>
      <c r="BF4335" s="3" t="s">
        <v>41667</v>
      </c>
      <c r="BG4335" s="3" t="s">
        <v>41669</v>
      </c>
    </row>
    <row r="4336" spans="1:59" ht="58" x14ac:dyDescent="0.35">
      <c r="A4336" s="2" t="s">
        <v>59</v>
      </c>
      <c r="B4336" s="2" t="s">
        <v>60</v>
      </c>
      <c r="C4336" s="2" t="s">
        <v>41670</v>
      </c>
      <c r="D4336" s="2" t="s">
        <v>41671</v>
      </c>
      <c r="E4336" s="2" t="s">
        <v>41672</v>
      </c>
      <c r="G4336" s="3" t="s">
        <v>62</v>
      </c>
      <c r="I4336" s="3" t="s">
        <v>62</v>
      </c>
      <c r="J4336" s="3" t="s">
        <v>62</v>
      </c>
      <c r="K4336" s="3" t="s">
        <v>63</v>
      </c>
      <c r="L4336" s="2" t="s">
        <v>41673</v>
      </c>
      <c r="M4336" s="2" t="s">
        <v>41674</v>
      </c>
      <c r="N4336" s="3" t="s">
        <v>28670</v>
      </c>
      <c r="P4336" s="3" t="s">
        <v>64</v>
      </c>
      <c r="Q4336" s="2" t="s">
        <v>41675</v>
      </c>
      <c r="R4336" s="3" t="s">
        <v>40557</v>
      </c>
      <c r="S4336" s="4">
        <v>2</v>
      </c>
      <c r="T4336" s="4">
        <v>2</v>
      </c>
      <c r="U4336" s="5" t="s">
        <v>21936</v>
      </c>
      <c r="V4336" s="5" t="s">
        <v>21936</v>
      </c>
      <c r="W4336" s="5" t="s">
        <v>67</v>
      </c>
      <c r="X4336" s="5" t="s">
        <v>67</v>
      </c>
      <c r="Y4336" s="4">
        <v>61</v>
      </c>
      <c r="Z4336" s="4">
        <v>5</v>
      </c>
      <c r="AA4336" s="4">
        <v>6</v>
      </c>
      <c r="AB4336" s="4">
        <v>1</v>
      </c>
      <c r="AC4336" s="4">
        <v>1</v>
      </c>
      <c r="AD4336" s="4">
        <v>29</v>
      </c>
      <c r="AE4336" s="4">
        <v>31</v>
      </c>
      <c r="AF4336" s="4">
        <v>0</v>
      </c>
      <c r="AG4336" s="4">
        <v>0</v>
      </c>
      <c r="AH4336" s="4">
        <v>28</v>
      </c>
      <c r="AI4336" s="4">
        <v>29</v>
      </c>
      <c r="AJ4336" s="4">
        <v>2</v>
      </c>
      <c r="AK4336" s="4">
        <v>3</v>
      </c>
      <c r="AL4336" s="4">
        <v>23</v>
      </c>
      <c r="AM4336" s="4">
        <v>24</v>
      </c>
      <c r="AN4336" s="4">
        <v>0</v>
      </c>
      <c r="AO4336" s="4">
        <v>0</v>
      </c>
      <c r="AP4336" s="4">
        <v>2</v>
      </c>
      <c r="AQ4336" s="4">
        <v>2</v>
      </c>
      <c r="AR4336" s="3" t="s">
        <v>62</v>
      </c>
      <c r="AS4336" s="3" t="s">
        <v>62</v>
      </c>
      <c r="AT4336" s="3" t="s">
        <v>61</v>
      </c>
      <c r="AU4336" s="6" t="str">
        <f>HYPERLINK("http://catalog.hathitrust.org/Record/001625832","HathiTrust Record")</f>
        <v>HathiTrust Record</v>
      </c>
      <c r="AV4336" s="6" t="str">
        <f>HYPERLINK("http://mcgill.on.worldcat.org/oclc/6219920","Catalog Record")</f>
        <v>Catalog Record</v>
      </c>
      <c r="AW4336" s="6" t="str">
        <f>HYPERLINK("http://www.worldcat.org/oclc/6219920","WorldCat Record")</f>
        <v>WorldCat Record</v>
      </c>
      <c r="AX4336" s="3" t="s">
        <v>41676</v>
      </c>
      <c r="AY4336" s="3" t="s">
        <v>41677</v>
      </c>
      <c r="AZ4336" s="3" t="s">
        <v>41678</v>
      </c>
      <c r="BA4336" s="3" t="s">
        <v>41678</v>
      </c>
      <c r="BB4336" s="3" t="s">
        <v>41679</v>
      </c>
      <c r="BC4336" s="3" t="s">
        <v>102</v>
      </c>
      <c r="BD4336" s="3" t="s">
        <v>68</v>
      </c>
      <c r="BF4336" s="3" t="s">
        <v>41679</v>
      </c>
      <c r="BG4336" s="3" t="s">
        <v>41680</v>
      </c>
    </row>
    <row r="4337" spans="1:59" ht="58" x14ac:dyDescent="0.35">
      <c r="A4337" s="2" t="s">
        <v>59</v>
      </c>
      <c r="B4337" s="2" t="s">
        <v>60</v>
      </c>
      <c r="C4337" s="2" t="s">
        <v>41681</v>
      </c>
      <c r="D4337" s="2" t="s">
        <v>41682</v>
      </c>
      <c r="E4337" s="2" t="s">
        <v>41683</v>
      </c>
      <c r="G4337" s="3" t="s">
        <v>62</v>
      </c>
      <c r="I4337" s="3" t="s">
        <v>62</v>
      </c>
      <c r="J4337" s="3" t="s">
        <v>62</v>
      </c>
      <c r="K4337" s="3" t="s">
        <v>63</v>
      </c>
      <c r="M4337" s="2" t="s">
        <v>41684</v>
      </c>
      <c r="N4337" s="3" t="s">
        <v>2588</v>
      </c>
      <c r="P4337" s="3" t="s">
        <v>64</v>
      </c>
      <c r="Q4337" s="2" t="s">
        <v>41685</v>
      </c>
      <c r="R4337" s="3" t="s">
        <v>40557</v>
      </c>
      <c r="S4337" s="4">
        <v>9</v>
      </c>
      <c r="T4337" s="4">
        <v>9</v>
      </c>
      <c r="U4337" s="5" t="s">
        <v>36908</v>
      </c>
      <c r="V4337" s="5" t="s">
        <v>36908</v>
      </c>
      <c r="W4337" s="5" t="s">
        <v>67</v>
      </c>
      <c r="X4337" s="5" t="s">
        <v>67</v>
      </c>
      <c r="Y4337" s="4">
        <v>306</v>
      </c>
      <c r="Z4337" s="4">
        <v>18</v>
      </c>
      <c r="AA4337" s="4">
        <v>21</v>
      </c>
      <c r="AB4337" s="4">
        <v>2</v>
      </c>
      <c r="AC4337" s="4">
        <v>5</v>
      </c>
      <c r="AD4337" s="4">
        <v>93</v>
      </c>
      <c r="AE4337" s="4">
        <v>96</v>
      </c>
      <c r="AF4337" s="4">
        <v>1</v>
      </c>
      <c r="AG4337" s="4">
        <v>4</v>
      </c>
      <c r="AH4337" s="4">
        <v>84</v>
      </c>
      <c r="AI4337" s="4">
        <v>85</v>
      </c>
      <c r="AJ4337" s="4">
        <v>15</v>
      </c>
      <c r="AK4337" s="4">
        <v>18</v>
      </c>
      <c r="AL4337" s="4">
        <v>43</v>
      </c>
      <c r="AM4337" s="4">
        <v>43</v>
      </c>
      <c r="AN4337" s="4">
        <v>0</v>
      </c>
      <c r="AO4337" s="4">
        <v>0</v>
      </c>
      <c r="AP4337" s="4">
        <v>15</v>
      </c>
      <c r="AQ4337" s="4">
        <v>17</v>
      </c>
      <c r="AR4337" s="3" t="s">
        <v>62</v>
      </c>
      <c r="AS4337" s="3" t="s">
        <v>62</v>
      </c>
      <c r="AT4337" s="3" t="s">
        <v>61</v>
      </c>
      <c r="AU4337" s="6" t="str">
        <f>HYPERLINK("http://catalog.hathitrust.org/Record/003913468","HathiTrust Record")</f>
        <v>HathiTrust Record</v>
      </c>
      <c r="AV4337" s="6" t="str">
        <f>HYPERLINK("http://mcgill.on.worldcat.org/oclc/2968559","Catalog Record")</f>
        <v>Catalog Record</v>
      </c>
      <c r="AW4337" s="6" t="str">
        <f>HYPERLINK("http://www.worldcat.org/oclc/2968559","WorldCat Record")</f>
        <v>WorldCat Record</v>
      </c>
      <c r="AX4337" s="3" t="s">
        <v>41686</v>
      </c>
      <c r="AY4337" s="3" t="s">
        <v>41687</v>
      </c>
      <c r="AZ4337" s="3" t="s">
        <v>41688</v>
      </c>
      <c r="BA4337" s="3" t="s">
        <v>41688</v>
      </c>
      <c r="BB4337" s="3" t="s">
        <v>41689</v>
      </c>
      <c r="BC4337" s="3" t="s">
        <v>102</v>
      </c>
      <c r="BD4337" s="3" t="s">
        <v>68</v>
      </c>
      <c r="BE4337" s="3" t="s">
        <v>41690</v>
      </c>
      <c r="BF4337" s="3" t="s">
        <v>41689</v>
      </c>
      <c r="BG4337" s="3" t="s">
        <v>41691</v>
      </c>
    </row>
    <row r="4338" spans="1:59" ht="58" x14ac:dyDescent="0.35">
      <c r="A4338" s="2" t="s">
        <v>59</v>
      </c>
      <c r="B4338" s="2" t="s">
        <v>60</v>
      </c>
      <c r="C4338" s="2" t="s">
        <v>41692</v>
      </c>
      <c r="D4338" s="2" t="s">
        <v>41693</v>
      </c>
      <c r="E4338" s="2" t="s">
        <v>41694</v>
      </c>
      <c r="G4338" s="3" t="s">
        <v>62</v>
      </c>
      <c r="I4338" s="3" t="s">
        <v>62</v>
      </c>
      <c r="J4338" s="3" t="s">
        <v>62</v>
      </c>
      <c r="K4338" s="3" t="s">
        <v>63</v>
      </c>
      <c r="L4338" s="2" t="s">
        <v>41695</v>
      </c>
      <c r="M4338" s="2" t="s">
        <v>21534</v>
      </c>
      <c r="N4338" s="3" t="s">
        <v>115</v>
      </c>
      <c r="P4338" s="3" t="s">
        <v>64</v>
      </c>
      <c r="R4338" s="3" t="s">
        <v>40557</v>
      </c>
      <c r="S4338" s="4">
        <v>5</v>
      </c>
      <c r="T4338" s="4">
        <v>5</v>
      </c>
      <c r="U4338" s="5" t="s">
        <v>13186</v>
      </c>
      <c r="V4338" s="5" t="s">
        <v>13186</v>
      </c>
      <c r="W4338" s="5" t="s">
        <v>67</v>
      </c>
      <c r="X4338" s="5" t="s">
        <v>67</v>
      </c>
      <c r="Y4338" s="4">
        <v>464</v>
      </c>
      <c r="Z4338" s="4">
        <v>23</v>
      </c>
      <c r="AA4338" s="4">
        <v>25</v>
      </c>
      <c r="AB4338" s="4">
        <v>3</v>
      </c>
      <c r="AC4338" s="4">
        <v>5</v>
      </c>
      <c r="AD4338" s="4">
        <v>107</v>
      </c>
      <c r="AE4338" s="4">
        <v>109</v>
      </c>
      <c r="AF4338" s="4">
        <v>1</v>
      </c>
      <c r="AG4338" s="4">
        <v>3</v>
      </c>
      <c r="AH4338" s="4">
        <v>95</v>
      </c>
      <c r="AI4338" s="4">
        <v>95</v>
      </c>
      <c r="AJ4338" s="4">
        <v>14</v>
      </c>
      <c r="AK4338" s="4">
        <v>16</v>
      </c>
      <c r="AL4338" s="4">
        <v>51</v>
      </c>
      <c r="AM4338" s="4">
        <v>51</v>
      </c>
      <c r="AN4338" s="4">
        <v>0</v>
      </c>
      <c r="AO4338" s="4">
        <v>0</v>
      </c>
      <c r="AP4338" s="4">
        <v>17</v>
      </c>
      <c r="AQ4338" s="4">
        <v>18</v>
      </c>
      <c r="AR4338" s="3" t="s">
        <v>62</v>
      </c>
      <c r="AS4338" s="3" t="s">
        <v>62</v>
      </c>
      <c r="AT4338" s="3" t="s">
        <v>62</v>
      </c>
      <c r="AV4338" s="6" t="str">
        <f>HYPERLINK("http://mcgill.on.worldcat.org/oclc/18192419","Catalog Record")</f>
        <v>Catalog Record</v>
      </c>
      <c r="AW4338" s="6" t="str">
        <f>HYPERLINK("http://www.worldcat.org/oclc/18192419","WorldCat Record")</f>
        <v>WorldCat Record</v>
      </c>
      <c r="AX4338" s="3" t="s">
        <v>41696</v>
      </c>
      <c r="AY4338" s="3" t="s">
        <v>41697</v>
      </c>
      <c r="AZ4338" s="3" t="s">
        <v>41698</v>
      </c>
      <c r="BA4338" s="3" t="s">
        <v>41698</v>
      </c>
      <c r="BB4338" s="3" t="s">
        <v>41699</v>
      </c>
      <c r="BC4338" s="3" t="s">
        <v>102</v>
      </c>
      <c r="BD4338" s="3" t="s">
        <v>68</v>
      </c>
      <c r="BE4338" s="3" t="s">
        <v>41700</v>
      </c>
      <c r="BF4338" s="3" t="s">
        <v>41699</v>
      </c>
      <c r="BG4338" s="3" t="s">
        <v>41701</v>
      </c>
    </row>
    <row r="4339" spans="1:59" ht="58" x14ac:dyDescent="0.35">
      <c r="A4339" s="2" t="s">
        <v>59</v>
      </c>
      <c r="B4339" s="2" t="s">
        <v>60</v>
      </c>
      <c r="C4339" s="2" t="s">
        <v>41702</v>
      </c>
      <c r="D4339" s="2" t="s">
        <v>41703</v>
      </c>
      <c r="E4339" s="2" t="s">
        <v>41704</v>
      </c>
      <c r="G4339" s="3" t="s">
        <v>62</v>
      </c>
      <c r="I4339" s="3" t="s">
        <v>62</v>
      </c>
      <c r="J4339" s="3" t="s">
        <v>62</v>
      </c>
      <c r="K4339" s="3" t="s">
        <v>63</v>
      </c>
      <c r="M4339" s="2" t="s">
        <v>41705</v>
      </c>
      <c r="N4339" s="3" t="s">
        <v>186</v>
      </c>
      <c r="P4339" s="3" t="s">
        <v>64</v>
      </c>
      <c r="R4339" s="3" t="s">
        <v>40557</v>
      </c>
      <c r="S4339" s="4">
        <v>6</v>
      </c>
      <c r="T4339" s="4">
        <v>6</v>
      </c>
      <c r="U4339" s="5" t="s">
        <v>17135</v>
      </c>
      <c r="V4339" s="5" t="s">
        <v>17135</v>
      </c>
      <c r="W4339" s="5" t="s">
        <v>67</v>
      </c>
      <c r="X4339" s="5" t="s">
        <v>67</v>
      </c>
      <c r="Y4339" s="4">
        <v>136</v>
      </c>
      <c r="Z4339" s="4">
        <v>15</v>
      </c>
      <c r="AA4339" s="4">
        <v>24</v>
      </c>
      <c r="AB4339" s="4">
        <v>1</v>
      </c>
      <c r="AC4339" s="4">
        <v>6</v>
      </c>
      <c r="AD4339" s="4">
        <v>47</v>
      </c>
      <c r="AE4339" s="4">
        <v>66</v>
      </c>
      <c r="AF4339" s="4">
        <v>0</v>
      </c>
      <c r="AG4339" s="4">
        <v>2</v>
      </c>
      <c r="AH4339" s="4">
        <v>42</v>
      </c>
      <c r="AI4339" s="4">
        <v>56</v>
      </c>
      <c r="AJ4339" s="4">
        <v>8</v>
      </c>
      <c r="AK4339" s="4">
        <v>13</v>
      </c>
      <c r="AL4339" s="4">
        <v>21</v>
      </c>
      <c r="AM4339" s="4">
        <v>29</v>
      </c>
      <c r="AN4339" s="4">
        <v>0</v>
      </c>
      <c r="AO4339" s="4">
        <v>0</v>
      </c>
      <c r="AP4339" s="4">
        <v>9</v>
      </c>
      <c r="AQ4339" s="4">
        <v>15</v>
      </c>
      <c r="AR4339" s="3" t="s">
        <v>62</v>
      </c>
      <c r="AS4339" s="3" t="s">
        <v>62</v>
      </c>
      <c r="AT4339" s="3" t="s">
        <v>61</v>
      </c>
      <c r="AU4339" s="6" t="str">
        <f>HYPERLINK("http://catalog.hathitrust.org/Record/001497192","HathiTrust Record")</f>
        <v>HathiTrust Record</v>
      </c>
      <c r="AV4339" s="6" t="str">
        <f>HYPERLINK("http://mcgill.on.worldcat.org/oclc/1602896","Catalog Record")</f>
        <v>Catalog Record</v>
      </c>
      <c r="AW4339" s="6" t="str">
        <f>HYPERLINK("http://www.worldcat.org/oclc/1602896","WorldCat Record")</f>
        <v>WorldCat Record</v>
      </c>
      <c r="AX4339" s="3" t="s">
        <v>41706</v>
      </c>
      <c r="AY4339" s="3" t="s">
        <v>41707</v>
      </c>
      <c r="AZ4339" s="3" t="s">
        <v>41708</v>
      </c>
      <c r="BA4339" s="3" t="s">
        <v>41708</v>
      </c>
      <c r="BB4339" s="3" t="s">
        <v>41709</v>
      </c>
      <c r="BC4339" s="3" t="s">
        <v>102</v>
      </c>
      <c r="BD4339" s="3" t="s">
        <v>68</v>
      </c>
      <c r="BE4339" s="3" t="s">
        <v>41710</v>
      </c>
      <c r="BF4339" s="3" t="s">
        <v>41709</v>
      </c>
      <c r="BG4339" s="3" t="s">
        <v>41711</v>
      </c>
    </row>
    <row r="4340" spans="1:59" ht="58" x14ac:dyDescent="0.35">
      <c r="A4340" s="2" t="s">
        <v>59</v>
      </c>
      <c r="B4340" s="2" t="s">
        <v>60</v>
      </c>
      <c r="C4340" s="2" t="s">
        <v>41712</v>
      </c>
      <c r="D4340" s="2" t="s">
        <v>41713</v>
      </c>
      <c r="E4340" s="2" t="s">
        <v>41714</v>
      </c>
      <c r="F4340" s="3" t="s">
        <v>1390</v>
      </c>
      <c r="G4340" s="3" t="s">
        <v>61</v>
      </c>
      <c r="I4340" s="3" t="s">
        <v>62</v>
      </c>
      <c r="J4340" s="3" t="s">
        <v>62</v>
      </c>
      <c r="K4340" s="3" t="s">
        <v>63</v>
      </c>
      <c r="L4340" s="2" t="s">
        <v>41715</v>
      </c>
      <c r="M4340" s="2" t="s">
        <v>41716</v>
      </c>
      <c r="N4340" s="3" t="s">
        <v>1576</v>
      </c>
      <c r="P4340" s="3" t="s">
        <v>85</v>
      </c>
      <c r="Q4340" s="2" t="s">
        <v>41717</v>
      </c>
      <c r="R4340" s="3" t="s">
        <v>40557</v>
      </c>
      <c r="S4340" s="4">
        <v>7</v>
      </c>
      <c r="T4340" s="4">
        <v>16</v>
      </c>
      <c r="U4340" s="5" t="s">
        <v>6363</v>
      </c>
      <c r="V4340" s="5" t="s">
        <v>6363</v>
      </c>
      <c r="W4340" s="5" t="s">
        <v>67</v>
      </c>
      <c r="X4340" s="5" t="s">
        <v>67</v>
      </c>
      <c r="Y4340" s="4">
        <v>164</v>
      </c>
      <c r="Z4340" s="4">
        <v>10</v>
      </c>
      <c r="AA4340" s="4">
        <v>34</v>
      </c>
      <c r="AB4340" s="4">
        <v>1</v>
      </c>
      <c r="AC4340" s="4">
        <v>12</v>
      </c>
      <c r="AD4340" s="4">
        <v>56</v>
      </c>
      <c r="AE4340" s="4">
        <v>83</v>
      </c>
      <c r="AF4340" s="4">
        <v>0</v>
      </c>
      <c r="AG4340" s="4">
        <v>6</v>
      </c>
      <c r="AH4340" s="4">
        <v>48</v>
      </c>
      <c r="AI4340" s="4">
        <v>64</v>
      </c>
      <c r="AJ4340" s="4">
        <v>6</v>
      </c>
      <c r="AK4340" s="4">
        <v>16</v>
      </c>
      <c r="AL4340" s="4">
        <v>27</v>
      </c>
      <c r="AM4340" s="4">
        <v>34</v>
      </c>
      <c r="AN4340" s="4">
        <v>0</v>
      </c>
      <c r="AO4340" s="4">
        <v>0</v>
      </c>
      <c r="AP4340" s="4">
        <v>8</v>
      </c>
      <c r="AQ4340" s="4">
        <v>22</v>
      </c>
      <c r="AR4340" s="3" t="s">
        <v>62</v>
      </c>
      <c r="AS4340" s="3" t="s">
        <v>62</v>
      </c>
      <c r="AT4340" s="3" t="s">
        <v>61</v>
      </c>
      <c r="AU4340" s="6" t="str">
        <f>HYPERLINK("http://catalog.hathitrust.org/Record/000234961","HathiTrust Record")</f>
        <v>HathiTrust Record</v>
      </c>
      <c r="AV4340" s="6" t="str">
        <f>HYPERLINK("http://mcgill.on.worldcat.org/oclc/1425248","Catalog Record")</f>
        <v>Catalog Record</v>
      </c>
      <c r="AW4340" s="6" t="str">
        <f>HYPERLINK("http://www.worldcat.org/oclc/1425248","WorldCat Record")</f>
        <v>WorldCat Record</v>
      </c>
      <c r="AX4340" s="3" t="s">
        <v>41718</v>
      </c>
      <c r="AY4340" s="3" t="s">
        <v>41719</v>
      </c>
      <c r="AZ4340" s="3" t="s">
        <v>41720</v>
      </c>
      <c r="BA4340" s="3" t="s">
        <v>41720</v>
      </c>
      <c r="BB4340" s="3" t="s">
        <v>41721</v>
      </c>
      <c r="BC4340" s="3" t="s">
        <v>102</v>
      </c>
      <c r="BD4340" s="3" t="s">
        <v>68</v>
      </c>
      <c r="BF4340" s="3" t="s">
        <v>41721</v>
      </c>
      <c r="BG4340" s="3" t="s">
        <v>41722</v>
      </c>
    </row>
    <row r="4341" spans="1:59" ht="58" x14ac:dyDescent="0.35">
      <c r="A4341" s="2" t="s">
        <v>59</v>
      </c>
      <c r="B4341" s="2" t="s">
        <v>60</v>
      </c>
      <c r="C4341" s="2" t="s">
        <v>41712</v>
      </c>
      <c r="D4341" s="2" t="s">
        <v>41713</v>
      </c>
      <c r="E4341" s="2" t="s">
        <v>41714</v>
      </c>
      <c r="F4341" s="3" t="s">
        <v>1371</v>
      </c>
      <c r="G4341" s="3" t="s">
        <v>61</v>
      </c>
      <c r="I4341" s="3" t="s">
        <v>62</v>
      </c>
      <c r="J4341" s="3" t="s">
        <v>62</v>
      </c>
      <c r="K4341" s="3" t="s">
        <v>63</v>
      </c>
      <c r="L4341" s="2" t="s">
        <v>41715</v>
      </c>
      <c r="M4341" s="2" t="s">
        <v>41716</v>
      </c>
      <c r="N4341" s="3" t="s">
        <v>1576</v>
      </c>
      <c r="P4341" s="3" t="s">
        <v>85</v>
      </c>
      <c r="Q4341" s="2" t="s">
        <v>41717</v>
      </c>
      <c r="R4341" s="3" t="s">
        <v>40557</v>
      </c>
      <c r="S4341" s="4">
        <v>6</v>
      </c>
      <c r="T4341" s="4">
        <v>16</v>
      </c>
      <c r="U4341" s="5" t="s">
        <v>6363</v>
      </c>
      <c r="V4341" s="5" t="s">
        <v>6363</v>
      </c>
      <c r="W4341" s="5" t="s">
        <v>67</v>
      </c>
      <c r="X4341" s="5" t="s">
        <v>67</v>
      </c>
      <c r="Y4341" s="4">
        <v>164</v>
      </c>
      <c r="Z4341" s="4">
        <v>10</v>
      </c>
      <c r="AA4341" s="4">
        <v>34</v>
      </c>
      <c r="AB4341" s="4">
        <v>1</v>
      </c>
      <c r="AC4341" s="4">
        <v>12</v>
      </c>
      <c r="AD4341" s="4">
        <v>56</v>
      </c>
      <c r="AE4341" s="4">
        <v>83</v>
      </c>
      <c r="AF4341" s="4">
        <v>0</v>
      </c>
      <c r="AG4341" s="4">
        <v>6</v>
      </c>
      <c r="AH4341" s="4">
        <v>48</v>
      </c>
      <c r="AI4341" s="4">
        <v>64</v>
      </c>
      <c r="AJ4341" s="4">
        <v>6</v>
      </c>
      <c r="AK4341" s="4">
        <v>16</v>
      </c>
      <c r="AL4341" s="4">
        <v>27</v>
      </c>
      <c r="AM4341" s="4">
        <v>34</v>
      </c>
      <c r="AN4341" s="4">
        <v>0</v>
      </c>
      <c r="AO4341" s="4">
        <v>0</v>
      </c>
      <c r="AP4341" s="4">
        <v>8</v>
      </c>
      <c r="AQ4341" s="4">
        <v>22</v>
      </c>
      <c r="AR4341" s="3" t="s">
        <v>62</v>
      </c>
      <c r="AS4341" s="3" t="s">
        <v>62</v>
      </c>
      <c r="AT4341" s="3" t="s">
        <v>61</v>
      </c>
      <c r="AU4341" s="6" t="str">
        <f>HYPERLINK("http://catalog.hathitrust.org/Record/000234961","HathiTrust Record")</f>
        <v>HathiTrust Record</v>
      </c>
      <c r="AV4341" s="6" t="str">
        <f>HYPERLINK("http://mcgill.on.worldcat.org/oclc/1425248","Catalog Record")</f>
        <v>Catalog Record</v>
      </c>
      <c r="AW4341" s="6" t="str">
        <f>HYPERLINK("http://www.worldcat.org/oclc/1425248","WorldCat Record")</f>
        <v>WorldCat Record</v>
      </c>
      <c r="AX4341" s="3" t="s">
        <v>41718</v>
      </c>
      <c r="AY4341" s="3" t="s">
        <v>41719</v>
      </c>
      <c r="AZ4341" s="3" t="s">
        <v>41720</v>
      </c>
      <c r="BA4341" s="3" t="s">
        <v>41720</v>
      </c>
      <c r="BB4341" s="3" t="s">
        <v>41723</v>
      </c>
      <c r="BC4341" s="3" t="s">
        <v>102</v>
      </c>
      <c r="BD4341" s="3" t="s">
        <v>68</v>
      </c>
      <c r="BF4341" s="3" t="s">
        <v>41723</v>
      </c>
      <c r="BG4341" s="3" t="s">
        <v>41724</v>
      </c>
    </row>
    <row r="4342" spans="1:59" ht="58" x14ac:dyDescent="0.35">
      <c r="A4342" s="2" t="s">
        <v>59</v>
      </c>
      <c r="B4342" s="2" t="s">
        <v>60</v>
      </c>
      <c r="C4342" s="2" t="s">
        <v>41712</v>
      </c>
      <c r="D4342" s="2" t="s">
        <v>41713</v>
      </c>
      <c r="E4342" s="2" t="s">
        <v>41714</v>
      </c>
      <c r="F4342" s="3" t="s">
        <v>1381</v>
      </c>
      <c r="G4342" s="3" t="s">
        <v>61</v>
      </c>
      <c r="I4342" s="3" t="s">
        <v>62</v>
      </c>
      <c r="J4342" s="3" t="s">
        <v>62</v>
      </c>
      <c r="K4342" s="3" t="s">
        <v>63</v>
      </c>
      <c r="L4342" s="2" t="s">
        <v>41715</v>
      </c>
      <c r="M4342" s="2" t="s">
        <v>41716</v>
      </c>
      <c r="N4342" s="3" t="s">
        <v>1576</v>
      </c>
      <c r="P4342" s="3" t="s">
        <v>85</v>
      </c>
      <c r="Q4342" s="2" t="s">
        <v>41717</v>
      </c>
      <c r="R4342" s="3" t="s">
        <v>40557</v>
      </c>
      <c r="S4342" s="4">
        <v>3</v>
      </c>
      <c r="T4342" s="4">
        <v>16</v>
      </c>
      <c r="U4342" s="5" t="s">
        <v>6363</v>
      </c>
      <c r="V4342" s="5" t="s">
        <v>6363</v>
      </c>
      <c r="W4342" s="5" t="s">
        <v>67</v>
      </c>
      <c r="X4342" s="5" t="s">
        <v>67</v>
      </c>
      <c r="Y4342" s="4">
        <v>164</v>
      </c>
      <c r="Z4342" s="4">
        <v>10</v>
      </c>
      <c r="AA4342" s="4">
        <v>34</v>
      </c>
      <c r="AB4342" s="4">
        <v>1</v>
      </c>
      <c r="AC4342" s="4">
        <v>12</v>
      </c>
      <c r="AD4342" s="4">
        <v>56</v>
      </c>
      <c r="AE4342" s="4">
        <v>83</v>
      </c>
      <c r="AF4342" s="4">
        <v>0</v>
      </c>
      <c r="AG4342" s="4">
        <v>6</v>
      </c>
      <c r="AH4342" s="4">
        <v>48</v>
      </c>
      <c r="AI4342" s="4">
        <v>64</v>
      </c>
      <c r="AJ4342" s="4">
        <v>6</v>
      </c>
      <c r="AK4342" s="4">
        <v>16</v>
      </c>
      <c r="AL4342" s="4">
        <v>27</v>
      </c>
      <c r="AM4342" s="4">
        <v>34</v>
      </c>
      <c r="AN4342" s="4">
        <v>0</v>
      </c>
      <c r="AO4342" s="4">
        <v>0</v>
      </c>
      <c r="AP4342" s="4">
        <v>8</v>
      </c>
      <c r="AQ4342" s="4">
        <v>22</v>
      </c>
      <c r="AR4342" s="3" t="s">
        <v>62</v>
      </c>
      <c r="AS4342" s="3" t="s">
        <v>62</v>
      </c>
      <c r="AT4342" s="3" t="s">
        <v>61</v>
      </c>
      <c r="AU4342" s="6" t="str">
        <f>HYPERLINK("http://catalog.hathitrust.org/Record/000234961","HathiTrust Record")</f>
        <v>HathiTrust Record</v>
      </c>
      <c r="AV4342" s="6" t="str">
        <f>HYPERLINK("http://mcgill.on.worldcat.org/oclc/1425248","Catalog Record")</f>
        <v>Catalog Record</v>
      </c>
      <c r="AW4342" s="6" t="str">
        <f>HYPERLINK("http://www.worldcat.org/oclc/1425248","WorldCat Record")</f>
        <v>WorldCat Record</v>
      </c>
      <c r="AX4342" s="3" t="s">
        <v>41718</v>
      </c>
      <c r="AY4342" s="3" t="s">
        <v>41719</v>
      </c>
      <c r="AZ4342" s="3" t="s">
        <v>41720</v>
      </c>
      <c r="BA4342" s="3" t="s">
        <v>41720</v>
      </c>
      <c r="BB4342" s="3" t="s">
        <v>41725</v>
      </c>
      <c r="BC4342" s="3" t="s">
        <v>102</v>
      </c>
      <c r="BD4342" s="3" t="s">
        <v>68</v>
      </c>
      <c r="BF4342" s="3" t="s">
        <v>41725</v>
      </c>
      <c r="BG4342" s="3" t="s">
        <v>41726</v>
      </c>
    </row>
    <row r="4343" spans="1:59" ht="58" x14ac:dyDescent="0.35">
      <c r="A4343" s="2" t="s">
        <v>59</v>
      </c>
      <c r="B4343" s="2" t="s">
        <v>60</v>
      </c>
      <c r="C4343" s="2" t="s">
        <v>41727</v>
      </c>
      <c r="D4343" s="2" t="s">
        <v>41728</v>
      </c>
      <c r="E4343" s="2" t="s">
        <v>41729</v>
      </c>
      <c r="G4343" s="3" t="s">
        <v>62</v>
      </c>
      <c r="I4343" s="3" t="s">
        <v>62</v>
      </c>
      <c r="J4343" s="3" t="s">
        <v>62</v>
      </c>
      <c r="K4343" s="3" t="s">
        <v>63</v>
      </c>
      <c r="M4343" s="2" t="s">
        <v>41730</v>
      </c>
      <c r="N4343" s="3" t="s">
        <v>1291</v>
      </c>
      <c r="P4343" s="3" t="s">
        <v>64</v>
      </c>
      <c r="Q4343" s="2" t="s">
        <v>41731</v>
      </c>
      <c r="R4343" s="3" t="s">
        <v>40557</v>
      </c>
      <c r="S4343" s="4">
        <v>5</v>
      </c>
      <c r="T4343" s="4">
        <v>5</v>
      </c>
      <c r="U4343" s="5" t="s">
        <v>14331</v>
      </c>
      <c r="V4343" s="5" t="s">
        <v>14331</v>
      </c>
      <c r="W4343" s="5" t="s">
        <v>67</v>
      </c>
      <c r="X4343" s="5" t="s">
        <v>67</v>
      </c>
      <c r="Y4343" s="4">
        <v>295</v>
      </c>
      <c r="Z4343" s="4">
        <v>21</v>
      </c>
      <c r="AA4343" s="4">
        <v>22</v>
      </c>
      <c r="AB4343" s="4">
        <v>2</v>
      </c>
      <c r="AC4343" s="4">
        <v>3</v>
      </c>
      <c r="AD4343" s="4">
        <v>87</v>
      </c>
      <c r="AE4343" s="4">
        <v>89</v>
      </c>
      <c r="AF4343" s="4">
        <v>1</v>
      </c>
      <c r="AG4343" s="4">
        <v>2</v>
      </c>
      <c r="AH4343" s="4">
        <v>76</v>
      </c>
      <c r="AI4343" s="4">
        <v>78</v>
      </c>
      <c r="AJ4343" s="4">
        <v>14</v>
      </c>
      <c r="AK4343" s="4">
        <v>15</v>
      </c>
      <c r="AL4343" s="4">
        <v>41</v>
      </c>
      <c r="AM4343" s="4">
        <v>42</v>
      </c>
      <c r="AN4343" s="4">
        <v>0</v>
      </c>
      <c r="AO4343" s="4">
        <v>0</v>
      </c>
      <c r="AP4343" s="4">
        <v>16</v>
      </c>
      <c r="AQ4343" s="4">
        <v>17</v>
      </c>
      <c r="AR4343" s="3" t="s">
        <v>62</v>
      </c>
      <c r="AS4343" s="3" t="s">
        <v>62</v>
      </c>
      <c r="AT4343" s="3" t="s">
        <v>61</v>
      </c>
      <c r="AU4343" s="6" t="str">
        <f>HYPERLINK("http://catalog.hathitrust.org/Record/001497224","HathiTrust Record")</f>
        <v>HathiTrust Record</v>
      </c>
      <c r="AV4343" s="6" t="str">
        <f>HYPERLINK("http://mcgill.on.worldcat.org/oclc/1526463","Catalog Record")</f>
        <v>Catalog Record</v>
      </c>
      <c r="AW4343" s="6" t="str">
        <f>HYPERLINK("http://www.worldcat.org/oclc/1526463","WorldCat Record")</f>
        <v>WorldCat Record</v>
      </c>
      <c r="AX4343" s="3" t="s">
        <v>41732</v>
      </c>
      <c r="AY4343" s="3" t="s">
        <v>41733</v>
      </c>
      <c r="AZ4343" s="3" t="s">
        <v>41734</v>
      </c>
      <c r="BA4343" s="3" t="s">
        <v>41734</v>
      </c>
      <c r="BB4343" s="3" t="s">
        <v>41735</v>
      </c>
      <c r="BC4343" s="3" t="s">
        <v>102</v>
      </c>
      <c r="BD4343" s="3" t="s">
        <v>68</v>
      </c>
      <c r="BF4343" s="3" t="s">
        <v>41735</v>
      </c>
      <c r="BG4343" s="3" t="s">
        <v>41736</v>
      </c>
    </row>
    <row r="4344" spans="1:59" ht="58" x14ac:dyDescent="0.35">
      <c r="A4344" s="2" t="s">
        <v>59</v>
      </c>
      <c r="B4344" s="2" t="s">
        <v>60</v>
      </c>
      <c r="C4344" s="2" t="s">
        <v>41737</v>
      </c>
      <c r="D4344" s="2" t="s">
        <v>41738</v>
      </c>
      <c r="E4344" s="2" t="s">
        <v>41739</v>
      </c>
      <c r="G4344" s="3" t="s">
        <v>62</v>
      </c>
      <c r="I4344" s="3" t="s">
        <v>62</v>
      </c>
      <c r="J4344" s="3" t="s">
        <v>62</v>
      </c>
      <c r="K4344" s="3" t="s">
        <v>63</v>
      </c>
      <c r="L4344" s="2" t="s">
        <v>41740</v>
      </c>
      <c r="M4344" s="2" t="s">
        <v>41741</v>
      </c>
      <c r="N4344" s="3" t="s">
        <v>1905</v>
      </c>
      <c r="P4344" s="3" t="s">
        <v>64</v>
      </c>
      <c r="Q4344" s="2" t="s">
        <v>41742</v>
      </c>
      <c r="R4344" s="3" t="s">
        <v>40557</v>
      </c>
      <c r="S4344" s="4">
        <v>9</v>
      </c>
      <c r="T4344" s="4">
        <v>9</v>
      </c>
      <c r="U4344" s="5" t="s">
        <v>18377</v>
      </c>
      <c r="V4344" s="5" t="s">
        <v>18377</v>
      </c>
      <c r="W4344" s="5" t="s">
        <v>67</v>
      </c>
      <c r="X4344" s="5" t="s">
        <v>67</v>
      </c>
      <c r="Y4344" s="4">
        <v>256</v>
      </c>
      <c r="Z4344" s="4">
        <v>10</v>
      </c>
      <c r="AA4344" s="4">
        <v>10</v>
      </c>
      <c r="AB4344" s="4">
        <v>1</v>
      </c>
      <c r="AC4344" s="4">
        <v>1</v>
      </c>
      <c r="AD4344" s="4">
        <v>71</v>
      </c>
      <c r="AE4344" s="4">
        <v>71</v>
      </c>
      <c r="AF4344" s="4">
        <v>0</v>
      </c>
      <c r="AG4344" s="4">
        <v>0</v>
      </c>
      <c r="AH4344" s="4">
        <v>67</v>
      </c>
      <c r="AI4344" s="4">
        <v>67</v>
      </c>
      <c r="AJ4344" s="4">
        <v>6</v>
      </c>
      <c r="AK4344" s="4">
        <v>6</v>
      </c>
      <c r="AL4344" s="4">
        <v>35</v>
      </c>
      <c r="AM4344" s="4">
        <v>35</v>
      </c>
      <c r="AN4344" s="4">
        <v>0</v>
      </c>
      <c r="AO4344" s="4">
        <v>0</v>
      </c>
      <c r="AP4344" s="4">
        <v>8</v>
      </c>
      <c r="AQ4344" s="4">
        <v>8</v>
      </c>
      <c r="AR4344" s="3" t="s">
        <v>62</v>
      </c>
      <c r="AS4344" s="3" t="s">
        <v>62</v>
      </c>
      <c r="AT4344" s="3" t="s">
        <v>61</v>
      </c>
      <c r="AU4344" s="6" t="str">
        <f>HYPERLINK("http://catalog.hathitrust.org/Record/000825791","HathiTrust Record")</f>
        <v>HathiTrust Record</v>
      </c>
      <c r="AV4344" s="6" t="str">
        <f>HYPERLINK("http://mcgill.on.worldcat.org/oclc/13902806","Catalog Record")</f>
        <v>Catalog Record</v>
      </c>
      <c r="AW4344" s="6" t="str">
        <f>HYPERLINK("http://www.worldcat.org/oclc/13902806","WorldCat Record")</f>
        <v>WorldCat Record</v>
      </c>
      <c r="AX4344" s="3" t="s">
        <v>41743</v>
      </c>
      <c r="AY4344" s="3" t="s">
        <v>41744</v>
      </c>
      <c r="AZ4344" s="3" t="s">
        <v>41745</v>
      </c>
      <c r="BA4344" s="3" t="s">
        <v>41745</v>
      </c>
      <c r="BB4344" s="3" t="s">
        <v>41746</v>
      </c>
      <c r="BC4344" s="3" t="s">
        <v>102</v>
      </c>
      <c r="BD4344" s="3" t="s">
        <v>68</v>
      </c>
      <c r="BE4344" s="3" t="s">
        <v>41747</v>
      </c>
      <c r="BF4344" s="3" t="s">
        <v>41746</v>
      </c>
      <c r="BG4344" s="3" t="s">
        <v>41748</v>
      </c>
    </row>
    <row r="4345" spans="1:59" ht="58" x14ac:dyDescent="0.35">
      <c r="A4345" s="2" t="s">
        <v>59</v>
      </c>
      <c r="B4345" s="2" t="s">
        <v>60</v>
      </c>
      <c r="C4345" s="2" t="s">
        <v>41749</v>
      </c>
      <c r="D4345" s="2" t="s">
        <v>41750</v>
      </c>
      <c r="E4345" s="2" t="s">
        <v>41751</v>
      </c>
      <c r="G4345" s="3" t="s">
        <v>62</v>
      </c>
      <c r="I4345" s="3" t="s">
        <v>62</v>
      </c>
      <c r="J4345" s="3" t="s">
        <v>62</v>
      </c>
      <c r="K4345" s="3" t="s">
        <v>63</v>
      </c>
      <c r="M4345" s="2" t="s">
        <v>41752</v>
      </c>
      <c r="N4345" s="3" t="s">
        <v>87</v>
      </c>
      <c r="P4345" s="3" t="s">
        <v>64</v>
      </c>
      <c r="Q4345" s="2" t="s">
        <v>41753</v>
      </c>
      <c r="R4345" s="3" t="s">
        <v>40557</v>
      </c>
      <c r="S4345" s="4">
        <v>8</v>
      </c>
      <c r="T4345" s="4">
        <v>8</v>
      </c>
      <c r="U4345" s="5" t="s">
        <v>24525</v>
      </c>
      <c r="V4345" s="5" t="s">
        <v>24525</v>
      </c>
      <c r="W4345" s="5" t="s">
        <v>67</v>
      </c>
      <c r="X4345" s="5" t="s">
        <v>67</v>
      </c>
      <c r="Y4345" s="4">
        <v>266</v>
      </c>
      <c r="Z4345" s="4">
        <v>19</v>
      </c>
      <c r="AA4345" s="4">
        <v>26</v>
      </c>
      <c r="AB4345" s="4">
        <v>1</v>
      </c>
      <c r="AC4345" s="4">
        <v>5</v>
      </c>
      <c r="AD4345" s="4">
        <v>78</v>
      </c>
      <c r="AE4345" s="4">
        <v>90</v>
      </c>
      <c r="AF4345" s="4">
        <v>0</v>
      </c>
      <c r="AG4345" s="4">
        <v>4</v>
      </c>
      <c r="AH4345" s="4">
        <v>73</v>
      </c>
      <c r="AI4345" s="4">
        <v>81</v>
      </c>
      <c r="AJ4345" s="4">
        <v>9</v>
      </c>
      <c r="AK4345" s="4">
        <v>15</v>
      </c>
      <c r="AL4345" s="4">
        <v>38</v>
      </c>
      <c r="AM4345" s="4">
        <v>43</v>
      </c>
      <c r="AN4345" s="4">
        <v>0</v>
      </c>
      <c r="AO4345" s="4">
        <v>0</v>
      </c>
      <c r="AP4345" s="4">
        <v>8</v>
      </c>
      <c r="AQ4345" s="4">
        <v>14</v>
      </c>
      <c r="AR4345" s="3" t="s">
        <v>62</v>
      </c>
      <c r="AS4345" s="3" t="s">
        <v>62</v>
      </c>
      <c r="AT4345" s="3" t="s">
        <v>61</v>
      </c>
      <c r="AU4345" s="6" t="str">
        <f>HYPERLINK("http://catalog.hathitrust.org/Record/000094857","HathiTrust Record")</f>
        <v>HathiTrust Record</v>
      </c>
      <c r="AV4345" s="6" t="str">
        <f>HYPERLINK("http://mcgill.on.worldcat.org/oclc/5845086","Catalog Record")</f>
        <v>Catalog Record</v>
      </c>
      <c r="AW4345" s="6" t="str">
        <f>HYPERLINK("http://www.worldcat.org/oclc/5845086","WorldCat Record")</f>
        <v>WorldCat Record</v>
      </c>
      <c r="AX4345" s="3" t="s">
        <v>41754</v>
      </c>
      <c r="AY4345" s="3" t="s">
        <v>41755</v>
      </c>
      <c r="AZ4345" s="3" t="s">
        <v>41756</v>
      </c>
      <c r="BA4345" s="3" t="s">
        <v>41756</v>
      </c>
      <c r="BB4345" s="3" t="s">
        <v>41757</v>
      </c>
      <c r="BC4345" s="3" t="s">
        <v>102</v>
      </c>
      <c r="BD4345" s="3" t="s">
        <v>6923</v>
      </c>
      <c r="BF4345" s="3" t="s">
        <v>41757</v>
      </c>
      <c r="BG4345" s="3" t="s">
        <v>41758</v>
      </c>
    </row>
    <row r="4346" spans="1:59" ht="58" x14ac:dyDescent="0.35">
      <c r="A4346" s="2" t="s">
        <v>59</v>
      </c>
      <c r="B4346" s="2" t="s">
        <v>60</v>
      </c>
      <c r="C4346" s="2" t="s">
        <v>41759</v>
      </c>
      <c r="D4346" s="2" t="s">
        <v>41760</v>
      </c>
      <c r="E4346" s="2" t="s">
        <v>41761</v>
      </c>
      <c r="G4346" s="3" t="s">
        <v>62</v>
      </c>
      <c r="I4346" s="3" t="s">
        <v>62</v>
      </c>
      <c r="J4346" s="3" t="s">
        <v>62</v>
      </c>
      <c r="K4346" s="3" t="s">
        <v>63</v>
      </c>
      <c r="M4346" s="2" t="s">
        <v>41762</v>
      </c>
      <c r="N4346" s="3" t="s">
        <v>625</v>
      </c>
      <c r="P4346" s="3" t="s">
        <v>64</v>
      </c>
      <c r="Q4346" s="2" t="s">
        <v>41763</v>
      </c>
      <c r="R4346" s="3" t="s">
        <v>40557</v>
      </c>
      <c r="S4346" s="4">
        <v>6</v>
      </c>
      <c r="T4346" s="4">
        <v>6</v>
      </c>
      <c r="U4346" s="5" t="s">
        <v>41764</v>
      </c>
      <c r="V4346" s="5" t="s">
        <v>41764</v>
      </c>
      <c r="W4346" s="5" t="s">
        <v>67</v>
      </c>
      <c r="X4346" s="5" t="s">
        <v>67</v>
      </c>
      <c r="Y4346" s="4">
        <v>639</v>
      </c>
      <c r="Z4346" s="4">
        <v>50</v>
      </c>
      <c r="AA4346" s="4">
        <v>76</v>
      </c>
      <c r="AB4346" s="4">
        <v>4</v>
      </c>
      <c r="AC4346" s="4">
        <v>15</v>
      </c>
      <c r="AD4346" s="4">
        <v>120</v>
      </c>
      <c r="AE4346" s="4">
        <v>141</v>
      </c>
      <c r="AF4346" s="4">
        <v>1</v>
      </c>
      <c r="AG4346" s="4">
        <v>7</v>
      </c>
      <c r="AH4346" s="4">
        <v>94</v>
      </c>
      <c r="AI4346" s="4">
        <v>101</v>
      </c>
      <c r="AJ4346" s="4">
        <v>19</v>
      </c>
      <c r="AK4346" s="4">
        <v>26</v>
      </c>
      <c r="AL4346" s="4">
        <v>44</v>
      </c>
      <c r="AM4346" s="4">
        <v>47</v>
      </c>
      <c r="AN4346" s="4">
        <v>0</v>
      </c>
      <c r="AO4346" s="4">
        <v>0</v>
      </c>
      <c r="AP4346" s="4">
        <v>35</v>
      </c>
      <c r="AQ4346" s="4">
        <v>49</v>
      </c>
      <c r="AR4346" s="3" t="s">
        <v>62</v>
      </c>
      <c r="AS4346" s="3" t="s">
        <v>62</v>
      </c>
      <c r="AT4346" s="3" t="s">
        <v>62</v>
      </c>
      <c r="AV4346" s="6" t="str">
        <f>HYPERLINK("http://mcgill.on.worldcat.org/oclc/51245822","Catalog Record")</f>
        <v>Catalog Record</v>
      </c>
      <c r="AW4346" s="6" t="str">
        <f>HYPERLINK("http://www.worldcat.org/oclc/51245822","WorldCat Record")</f>
        <v>WorldCat Record</v>
      </c>
      <c r="AX4346" s="3" t="s">
        <v>41765</v>
      </c>
      <c r="AY4346" s="3" t="s">
        <v>41766</v>
      </c>
      <c r="AZ4346" s="3" t="s">
        <v>41767</v>
      </c>
      <c r="BA4346" s="3" t="s">
        <v>41767</v>
      </c>
      <c r="BB4346" s="3" t="s">
        <v>41768</v>
      </c>
      <c r="BC4346" s="3" t="s">
        <v>102</v>
      </c>
      <c r="BD4346" s="3" t="s">
        <v>68</v>
      </c>
      <c r="BE4346" s="3" t="s">
        <v>41769</v>
      </c>
      <c r="BF4346" s="3" t="s">
        <v>41768</v>
      </c>
      <c r="BG4346" s="3" t="s">
        <v>41770</v>
      </c>
    </row>
    <row r="4347" spans="1:59" ht="58" x14ac:dyDescent="0.35">
      <c r="A4347" s="2" t="s">
        <v>59</v>
      </c>
      <c r="B4347" s="2" t="s">
        <v>60</v>
      </c>
      <c r="C4347" s="2" t="s">
        <v>41771</v>
      </c>
      <c r="D4347" s="2" t="s">
        <v>41772</v>
      </c>
      <c r="E4347" s="2" t="s">
        <v>41773</v>
      </c>
      <c r="G4347" s="3" t="s">
        <v>62</v>
      </c>
      <c r="I4347" s="3" t="s">
        <v>62</v>
      </c>
      <c r="J4347" s="3" t="s">
        <v>61</v>
      </c>
      <c r="K4347" s="3" t="s">
        <v>63</v>
      </c>
      <c r="L4347" s="2" t="s">
        <v>41774</v>
      </c>
      <c r="M4347" s="2" t="s">
        <v>41775</v>
      </c>
      <c r="N4347" s="3" t="s">
        <v>2445</v>
      </c>
      <c r="O4347" s="2" t="s">
        <v>6158</v>
      </c>
      <c r="P4347" s="3" t="s">
        <v>64</v>
      </c>
      <c r="Q4347" s="2" t="s">
        <v>41776</v>
      </c>
      <c r="R4347" s="3" t="s">
        <v>40557</v>
      </c>
      <c r="S4347" s="4">
        <v>3</v>
      </c>
      <c r="T4347" s="4">
        <v>3</v>
      </c>
      <c r="U4347" s="5" t="s">
        <v>14331</v>
      </c>
      <c r="V4347" s="5" t="s">
        <v>14331</v>
      </c>
      <c r="W4347" s="5" t="s">
        <v>67</v>
      </c>
      <c r="X4347" s="5" t="s">
        <v>67</v>
      </c>
      <c r="Y4347" s="4">
        <v>598</v>
      </c>
      <c r="Z4347" s="4">
        <v>36</v>
      </c>
      <c r="AA4347" s="4">
        <v>59</v>
      </c>
      <c r="AB4347" s="4">
        <v>2</v>
      </c>
      <c r="AC4347" s="4">
        <v>9</v>
      </c>
      <c r="AD4347" s="4">
        <v>91</v>
      </c>
      <c r="AE4347" s="4">
        <v>135</v>
      </c>
      <c r="AF4347" s="4">
        <v>1</v>
      </c>
      <c r="AG4347" s="4">
        <v>5</v>
      </c>
      <c r="AH4347" s="4">
        <v>72</v>
      </c>
      <c r="AI4347" s="4">
        <v>105</v>
      </c>
      <c r="AJ4347" s="4">
        <v>15</v>
      </c>
      <c r="AK4347" s="4">
        <v>25</v>
      </c>
      <c r="AL4347" s="4">
        <v>39</v>
      </c>
      <c r="AM4347" s="4">
        <v>53</v>
      </c>
      <c r="AN4347" s="4">
        <v>0</v>
      </c>
      <c r="AO4347" s="4">
        <v>0</v>
      </c>
      <c r="AP4347" s="4">
        <v>25</v>
      </c>
      <c r="AQ4347" s="4">
        <v>41</v>
      </c>
      <c r="AR4347" s="3" t="s">
        <v>62</v>
      </c>
      <c r="AS4347" s="3" t="s">
        <v>62</v>
      </c>
      <c r="AT4347" s="3" t="s">
        <v>61</v>
      </c>
      <c r="AU4347" s="6" t="str">
        <f>HYPERLINK("http://catalog.hathitrust.org/Record/001497257","HathiTrust Record")</f>
        <v>HathiTrust Record</v>
      </c>
      <c r="AV4347" s="6" t="str">
        <f>HYPERLINK("http://mcgill.on.worldcat.org/oclc/510167","Catalog Record")</f>
        <v>Catalog Record</v>
      </c>
      <c r="AW4347" s="6" t="str">
        <f>HYPERLINK("http://www.worldcat.org/oclc/510167","WorldCat Record")</f>
        <v>WorldCat Record</v>
      </c>
      <c r="AX4347" s="3" t="s">
        <v>41777</v>
      </c>
      <c r="AY4347" s="3" t="s">
        <v>41778</v>
      </c>
      <c r="AZ4347" s="3" t="s">
        <v>41779</v>
      </c>
      <c r="BA4347" s="3" t="s">
        <v>41779</v>
      </c>
      <c r="BB4347" s="3" t="s">
        <v>41780</v>
      </c>
      <c r="BC4347" s="3" t="s">
        <v>102</v>
      </c>
      <c r="BD4347" s="3" t="s">
        <v>68</v>
      </c>
      <c r="BE4347" s="3" t="s">
        <v>41781</v>
      </c>
      <c r="BF4347" s="3" t="s">
        <v>41780</v>
      </c>
      <c r="BG4347" s="3" t="s">
        <v>41782</v>
      </c>
    </row>
    <row r="4348" spans="1:59" ht="58" x14ac:dyDescent="0.35">
      <c r="A4348" s="2" t="s">
        <v>59</v>
      </c>
      <c r="B4348" s="2" t="s">
        <v>60</v>
      </c>
      <c r="C4348" s="2" t="s">
        <v>41783</v>
      </c>
      <c r="D4348" s="2" t="s">
        <v>41784</v>
      </c>
      <c r="E4348" s="2" t="s">
        <v>41785</v>
      </c>
      <c r="G4348" s="3" t="s">
        <v>62</v>
      </c>
      <c r="I4348" s="3" t="s">
        <v>61</v>
      </c>
      <c r="J4348" s="3" t="s">
        <v>61</v>
      </c>
      <c r="K4348" s="3" t="s">
        <v>63</v>
      </c>
      <c r="L4348" s="2" t="s">
        <v>41786</v>
      </c>
      <c r="M4348" s="2" t="s">
        <v>41787</v>
      </c>
      <c r="N4348" s="3" t="s">
        <v>327</v>
      </c>
      <c r="O4348" s="2" t="s">
        <v>2458</v>
      </c>
      <c r="P4348" s="3" t="s">
        <v>64</v>
      </c>
      <c r="Q4348" s="2" t="s">
        <v>39730</v>
      </c>
      <c r="R4348" s="3" t="s">
        <v>40557</v>
      </c>
      <c r="S4348" s="4">
        <v>6</v>
      </c>
      <c r="T4348" s="4">
        <v>43</v>
      </c>
      <c r="U4348" s="5" t="s">
        <v>41788</v>
      </c>
      <c r="V4348" s="5" t="s">
        <v>12658</v>
      </c>
      <c r="W4348" s="5" t="s">
        <v>67</v>
      </c>
      <c r="X4348" s="5" t="s">
        <v>67</v>
      </c>
      <c r="Y4348" s="4">
        <v>458</v>
      </c>
      <c r="Z4348" s="4">
        <v>24</v>
      </c>
      <c r="AA4348" s="4">
        <v>72</v>
      </c>
      <c r="AB4348" s="4">
        <v>1</v>
      </c>
      <c r="AC4348" s="4">
        <v>11</v>
      </c>
      <c r="AD4348" s="4">
        <v>96</v>
      </c>
      <c r="AE4348" s="4">
        <v>145</v>
      </c>
      <c r="AF4348" s="4">
        <v>0</v>
      </c>
      <c r="AG4348" s="4">
        <v>6</v>
      </c>
      <c r="AH4348" s="4">
        <v>85</v>
      </c>
      <c r="AI4348" s="4">
        <v>110</v>
      </c>
      <c r="AJ4348" s="4">
        <v>15</v>
      </c>
      <c r="AK4348" s="4">
        <v>25</v>
      </c>
      <c r="AL4348" s="4">
        <v>41</v>
      </c>
      <c r="AM4348" s="4">
        <v>55</v>
      </c>
      <c r="AN4348" s="4">
        <v>0</v>
      </c>
      <c r="AO4348" s="4">
        <v>3</v>
      </c>
      <c r="AP4348" s="4">
        <v>18</v>
      </c>
      <c r="AQ4348" s="4">
        <v>43</v>
      </c>
      <c r="AR4348" s="3" t="s">
        <v>62</v>
      </c>
      <c r="AS4348" s="3" t="s">
        <v>62</v>
      </c>
      <c r="AT4348" s="3" t="s">
        <v>62</v>
      </c>
      <c r="AV4348" s="6" t="str">
        <f>HYPERLINK("http://mcgill.on.worldcat.org/oclc/12419126","Catalog Record")</f>
        <v>Catalog Record</v>
      </c>
      <c r="AW4348" s="6" t="str">
        <f>HYPERLINK("http://www.worldcat.org/oclc/12419126","WorldCat Record")</f>
        <v>WorldCat Record</v>
      </c>
      <c r="AX4348" s="3" t="s">
        <v>41789</v>
      </c>
      <c r="AY4348" s="3" t="s">
        <v>41790</v>
      </c>
      <c r="AZ4348" s="3" t="s">
        <v>41791</v>
      </c>
      <c r="BA4348" s="3" t="s">
        <v>41791</v>
      </c>
      <c r="BB4348" s="3" t="s">
        <v>41792</v>
      </c>
      <c r="BC4348" s="3" t="s">
        <v>102</v>
      </c>
      <c r="BD4348" s="3" t="s">
        <v>68</v>
      </c>
      <c r="BE4348" s="3" t="s">
        <v>41793</v>
      </c>
      <c r="BF4348" s="3" t="s">
        <v>41792</v>
      </c>
      <c r="BG4348" s="3" t="s">
        <v>41794</v>
      </c>
    </row>
    <row r="4349" spans="1:59" ht="58" x14ac:dyDescent="0.35">
      <c r="A4349" s="2" t="s">
        <v>59</v>
      </c>
      <c r="B4349" s="2" t="s">
        <v>60</v>
      </c>
      <c r="C4349" s="2" t="s">
        <v>41795</v>
      </c>
      <c r="D4349" s="2" t="s">
        <v>41796</v>
      </c>
      <c r="E4349" s="2" t="s">
        <v>41797</v>
      </c>
      <c r="G4349" s="3" t="s">
        <v>62</v>
      </c>
      <c r="I4349" s="3" t="s">
        <v>61</v>
      </c>
      <c r="J4349" s="3" t="s">
        <v>61</v>
      </c>
      <c r="K4349" s="3" t="s">
        <v>63</v>
      </c>
      <c r="M4349" s="2" t="s">
        <v>1999</v>
      </c>
      <c r="N4349" s="3" t="s">
        <v>2000</v>
      </c>
      <c r="P4349" s="3" t="s">
        <v>64</v>
      </c>
      <c r="R4349" s="3" t="s">
        <v>40557</v>
      </c>
      <c r="S4349" s="4">
        <v>13</v>
      </c>
      <c r="T4349" s="4">
        <v>51</v>
      </c>
      <c r="U4349" s="5" t="s">
        <v>41798</v>
      </c>
      <c r="V4349" s="5" t="s">
        <v>12658</v>
      </c>
      <c r="W4349" s="5" t="s">
        <v>67</v>
      </c>
      <c r="X4349" s="5" t="s">
        <v>67</v>
      </c>
      <c r="Y4349" s="4">
        <v>410</v>
      </c>
      <c r="Z4349" s="4">
        <v>31</v>
      </c>
      <c r="AA4349" s="4">
        <v>105</v>
      </c>
      <c r="AB4349" s="4">
        <v>2</v>
      </c>
      <c r="AC4349" s="4">
        <v>17</v>
      </c>
      <c r="AD4349" s="4">
        <v>102</v>
      </c>
      <c r="AE4349" s="4">
        <v>148</v>
      </c>
      <c r="AF4349" s="4">
        <v>1</v>
      </c>
      <c r="AG4349" s="4">
        <v>8</v>
      </c>
      <c r="AH4349" s="4">
        <v>89</v>
      </c>
      <c r="AI4349" s="4">
        <v>106</v>
      </c>
      <c r="AJ4349" s="4">
        <v>15</v>
      </c>
      <c r="AK4349" s="4">
        <v>26</v>
      </c>
      <c r="AL4349" s="4">
        <v>44</v>
      </c>
      <c r="AM4349" s="4">
        <v>50</v>
      </c>
      <c r="AN4349" s="4">
        <v>0</v>
      </c>
      <c r="AO4349" s="4">
        <v>0</v>
      </c>
      <c r="AP4349" s="4">
        <v>22</v>
      </c>
      <c r="AQ4349" s="4">
        <v>52</v>
      </c>
      <c r="AR4349" s="3" t="s">
        <v>62</v>
      </c>
      <c r="AS4349" s="3" t="s">
        <v>62</v>
      </c>
      <c r="AT4349" s="3" t="s">
        <v>62</v>
      </c>
      <c r="AV4349" s="6" t="str">
        <f>HYPERLINK("http://mcgill.on.worldcat.org/oclc/32665855","Catalog Record")</f>
        <v>Catalog Record</v>
      </c>
      <c r="AW4349" s="6" t="str">
        <f>HYPERLINK("http://www.worldcat.org/oclc/32665855","WorldCat Record")</f>
        <v>WorldCat Record</v>
      </c>
      <c r="AX4349" s="3" t="s">
        <v>41799</v>
      </c>
      <c r="AY4349" s="3" t="s">
        <v>41800</v>
      </c>
      <c r="AZ4349" s="3" t="s">
        <v>41801</v>
      </c>
      <c r="BA4349" s="3" t="s">
        <v>41801</v>
      </c>
      <c r="BB4349" s="3" t="s">
        <v>41802</v>
      </c>
      <c r="BC4349" s="3" t="s">
        <v>102</v>
      </c>
      <c r="BD4349" s="3" t="s">
        <v>68</v>
      </c>
      <c r="BE4349" s="3" t="s">
        <v>41803</v>
      </c>
      <c r="BF4349" s="3" t="s">
        <v>41802</v>
      </c>
      <c r="BG4349" s="3" t="s">
        <v>41804</v>
      </c>
    </row>
    <row r="4350" spans="1:59" ht="58" x14ac:dyDescent="0.35">
      <c r="A4350" s="2" t="s">
        <v>59</v>
      </c>
      <c r="B4350" s="2" t="s">
        <v>60</v>
      </c>
      <c r="C4350" s="2" t="s">
        <v>41805</v>
      </c>
      <c r="D4350" s="2" t="s">
        <v>41806</v>
      </c>
      <c r="E4350" s="2" t="s">
        <v>41807</v>
      </c>
      <c r="G4350" s="3" t="s">
        <v>62</v>
      </c>
      <c r="I4350" s="3" t="s">
        <v>62</v>
      </c>
      <c r="J4350" s="3" t="s">
        <v>62</v>
      </c>
      <c r="K4350" s="3" t="s">
        <v>63</v>
      </c>
      <c r="L4350" s="2" t="s">
        <v>41808</v>
      </c>
      <c r="M4350" s="2" t="s">
        <v>41809</v>
      </c>
      <c r="N4350" s="3" t="s">
        <v>95</v>
      </c>
      <c r="O4350" s="2" t="s">
        <v>41810</v>
      </c>
      <c r="P4350" s="3" t="s">
        <v>64</v>
      </c>
      <c r="R4350" s="3" t="s">
        <v>40557</v>
      </c>
      <c r="S4350" s="4">
        <v>19</v>
      </c>
      <c r="T4350" s="4">
        <v>19</v>
      </c>
      <c r="U4350" s="5" t="s">
        <v>4653</v>
      </c>
      <c r="V4350" s="5" t="s">
        <v>4653</v>
      </c>
      <c r="W4350" s="5" t="s">
        <v>67</v>
      </c>
      <c r="X4350" s="5" t="s">
        <v>67</v>
      </c>
      <c r="Y4350" s="4">
        <v>123</v>
      </c>
      <c r="Z4350" s="4">
        <v>6</v>
      </c>
      <c r="AA4350" s="4">
        <v>15</v>
      </c>
      <c r="AB4350" s="4">
        <v>1</v>
      </c>
      <c r="AC4350" s="4">
        <v>2</v>
      </c>
      <c r="AD4350" s="4">
        <v>22</v>
      </c>
      <c r="AE4350" s="4">
        <v>54</v>
      </c>
      <c r="AF4350" s="4">
        <v>0</v>
      </c>
      <c r="AG4350" s="4">
        <v>1</v>
      </c>
      <c r="AH4350" s="4">
        <v>19</v>
      </c>
      <c r="AI4350" s="4">
        <v>47</v>
      </c>
      <c r="AJ4350" s="4">
        <v>3</v>
      </c>
      <c r="AK4350" s="4">
        <v>10</v>
      </c>
      <c r="AL4350" s="4">
        <v>10</v>
      </c>
      <c r="AM4350" s="4">
        <v>22</v>
      </c>
      <c r="AN4350" s="4">
        <v>0</v>
      </c>
      <c r="AO4350" s="4">
        <v>0</v>
      </c>
      <c r="AP4350" s="4">
        <v>4</v>
      </c>
      <c r="AQ4350" s="4">
        <v>13</v>
      </c>
      <c r="AR4350" s="3" t="s">
        <v>62</v>
      </c>
      <c r="AS4350" s="3" t="s">
        <v>62</v>
      </c>
      <c r="AT4350" s="3" t="s">
        <v>61</v>
      </c>
      <c r="AU4350" s="6" t="str">
        <f>HYPERLINK("http://catalog.hathitrust.org/Record/009134818","HathiTrust Record")</f>
        <v>HathiTrust Record</v>
      </c>
      <c r="AV4350" s="6" t="str">
        <f>HYPERLINK("http://mcgill.on.worldcat.org/oclc/7700424","Catalog Record")</f>
        <v>Catalog Record</v>
      </c>
      <c r="AW4350" s="6" t="str">
        <f>HYPERLINK("http://www.worldcat.org/oclc/7700424","WorldCat Record")</f>
        <v>WorldCat Record</v>
      </c>
      <c r="AX4350" s="3" t="s">
        <v>41811</v>
      </c>
      <c r="AY4350" s="3" t="s">
        <v>41812</v>
      </c>
      <c r="AZ4350" s="3" t="s">
        <v>41813</v>
      </c>
      <c r="BA4350" s="3" t="s">
        <v>41813</v>
      </c>
      <c r="BB4350" s="3" t="s">
        <v>41814</v>
      </c>
      <c r="BC4350" s="3" t="s">
        <v>102</v>
      </c>
      <c r="BD4350" s="3" t="s">
        <v>6923</v>
      </c>
      <c r="BE4350" s="3" t="s">
        <v>41815</v>
      </c>
      <c r="BF4350" s="3" t="s">
        <v>41814</v>
      </c>
      <c r="BG4350" s="3" t="s">
        <v>41816</v>
      </c>
    </row>
    <row r="4351" spans="1:59" ht="58" x14ac:dyDescent="0.35">
      <c r="A4351" s="2" t="s">
        <v>59</v>
      </c>
      <c r="B4351" s="2" t="s">
        <v>60</v>
      </c>
      <c r="C4351" s="2" t="s">
        <v>41817</v>
      </c>
      <c r="D4351" s="2" t="s">
        <v>41818</v>
      </c>
      <c r="E4351" s="2" t="s">
        <v>41819</v>
      </c>
      <c r="G4351" s="3" t="s">
        <v>62</v>
      </c>
      <c r="I4351" s="3" t="s">
        <v>62</v>
      </c>
      <c r="J4351" s="3" t="s">
        <v>62</v>
      </c>
      <c r="K4351" s="3" t="s">
        <v>63</v>
      </c>
      <c r="L4351" s="2" t="s">
        <v>41820</v>
      </c>
      <c r="M4351" s="2" t="s">
        <v>41821</v>
      </c>
      <c r="N4351" s="3" t="s">
        <v>1012</v>
      </c>
      <c r="P4351" s="3" t="s">
        <v>64</v>
      </c>
      <c r="R4351" s="3" t="s">
        <v>40557</v>
      </c>
      <c r="S4351" s="4">
        <v>3</v>
      </c>
      <c r="T4351" s="4">
        <v>3</v>
      </c>
      <c r="U4351" s="5" t="s">
        <v>4653</v>
      </c>
      <c r="V4351" s="5" t="s">
        <v>4653</v>
      </c>
      <c r="W4351" s="5" t="s">
        <v>67</v>
      </c>
      <c r="X4351" s="5" t="s">
        <v>67</v>
      </c>
      <c r="Y4351" s="4">
        <v>129</v>
      </c>
      <c r="Z4351" s="4">
        <v>12</v>
      </c>
      <c r="AA4351" s="4">
        <v>15</v>
      </c>
      <c r="AB4351" s="4">
        <v>2</v>
      </c>
      <c r="AC4351" s="4">
        <v>2</v>
      </c>
      <c r="AD4351" s="4">
        <v>41</v>
      </c>
      <c r="AE4351" s="4">
        <v>59</v>
      </c>
      <c r="AF4351" s="4">
        <v>1</v>
      </c>
      <c r="AG4351" s="4">
        <v>1</v>
      </c>
      <c r="AH4351" s="4">
        <v>37</v>
      </c>
      <c r="AI4351" s="4">
        <v>52</v>
      </c>
      <c r="AJ4351" s="4">
        <v>10</v>
      </c>
      <c r="AK4351" s="4">
        <v>12</v>
      </c>
      <c r="AL4351" s="4">
        <v>21</v>
      </c>
      <c r="AM4351" s="4">
        <v>31</v>
      </c>
      <c r="AN4351" s="4">
        <v>0</v>
      </c>
      <c r="AO4351" s="4">
        <v>0</v>
      </c>
      <c r="AP4351" s="4">
        <v>9</v>
      </c>
      <c r="AQ4351" s="4">
        <v>11</v>
      </c>
      <c r="AR4351" s="3" t="s">
        <v>62</v>
      </c>
      <c r="AS4351" s="3" t="s">
        <v>61</v>
      </c>
      <c r="AT4351" s="3" t="s">
        <v>62</v>
      </c>
      <c r="AU4351" s="6" t="str">
        <f>HYPERLINK("http://catalog.hathitrust.org/Record/001497345","HathiTrust Record")</f>
        <v>HathiTrust Record</v>
      </c>
      <c r="AV4351" s="6" t="str">
        <f>HYPERLINK("http://mcgill.on.worldcat.org/oclc/6409881","Catalog Record")</f>
        <v>Catalog Record</v>
      </c>
      <c r="AW4351" s="6" t="str">
        <f>HYPERLINK("http://www.worldcat.org/oclc/6409881","WorldCat Record")</f>
        <v>WorldCat Record</v>
      </c>
      <c r="AX4351" s="3" t="s">
        <v>41822</v>
      </c>
      <c r="AY4351" s="3" t="s">
        <v>41823</v>
      </c>
      <c r="AZ4351" s="3" t="s">
        <v>41824</v>
      </c>
      <c r="BA4351" s="3" t="s">
        <v>41824</v>
      </c>
      <c r="BB4351" s="3" t="s">
        <v>41825</v>
      </c>
      <c r="BC4351" s="3" t="s">
        <v>102</v>
      </c>
      <c r="BD4351" s="3" t="s">
        <v>68</v>
      </c>
      <c r="BF4351" s="3" t="s">
        <v>41825</v>
      </c>
      <c r="BG4351" s="3" t="s">
        <v>41826</v>
      </c>
    </row>
    <row r="4352" spans="1:59" ht="58" x14ac:dyDescent="0.35">
      <c r="A4352" s="2" t="s">
        <v>59</v>
      </c>
      <c r="B4352" s="2" t="s">
        <v>60</v>
      </c>
      <c r="C4352" s="2" t="s">
        <v>41827</v>
      </c>
      <c r="D4352" s="2" t="s">
        <v>41828</v>
      </c>
      <c r="E4352" s="2" t="s">
        <v>41829</v>
      </c>
      <c r="G4352" s="3" t="s">
        <v>62</v>
      </c>
      <c r="I4352" s="3" t="s">
        <v>62</v>
      </c>
      <c r="J4352" s="3" t="s">
        <v>62</v>
      </c>
      <c r="K4352" s="3" t="s">
        <v>63</v>
      </c>
      <c r="M4352" s="2" t="s">
        <v>39717</v>
      </c>
      <c r="N4352" s="3" t="s">
        <v>438</v>
      </c>
      <c r="P4352" s="3" t="s">
        <v>64</v>
      </c>
      <c r="R4352" s="3" t="s">
        <v>40557</v>
      </c>
      <c r="S4352" s="4">
        <v>14</v>
      </c>
      <c r="T4352" s="4">
        <v>14</v>
      </c>
      <c r="U4352" s="5" t="s">
        <v>22624</v>
      </c>
      <c r="V4352" s="5" t="s">
        <v>22624</v>
      </c>
      <c r="W4352" s="5" t="s">
        <v>67</v>
      </c>
      <c r="X4352" s="5" t="s">
        <v>67</v>
      </c>
      <c r="Y4352" s="4">
        <v>198</v>
      </c>
      <c r="Z4352" s="4">
        <v>17</v>
      </c>
      <c r="AA4352" s="4">
        <v>21</v>
      </c>
      <c r="AB4352" s="4">
        <v>2</v>
      </c>
      <c r="AC4352" s="4">
        <v>5</v>
      </c>
      <c r="AD4352" s="4">
        <v>76</v>
      </c>
      <c r="AE4352" s="4">
        <v>86</v>
      </c>
      <c r="AF4352" s="4">
        <v>1</v>
      </c>
      <c r="AG4352" s="4">
        <v>3</v>
      </c>
      <c r="AH4352" s="4">
        <v>65</v>
      </c>
      <c r="AI4352" s="4">
        <v>73</v>
      </c>
      <c r="AJ4352" s="4">
        <v>13</v>
      </c>
      <c r="AK4352" s="4">
        <v>15</v>
      </c>
      <c r="AL4352" s="4">
        <v>39</v>
      </c>
      <c r="AM4352" s="4">
        <v>44</v>
      </c>
      <c r="AN4352" s="4">
        <v>0</v>
      </c>
      <c r="AO4352" s="4">
        <v>0</v>
      </c>
      <c r="AP4352" s="4">
        <v>13</v>
      </c>
      <c r="AQ4352" s="4">
        <v>15</v>
      </c>
      <c r="AR4352" s="3" t="s">
        <v>62</v>
      </c>
      <c r="AS4352" s="3" t="s">
        <v>62</v>
      </c>
      <c r="AT4352" s="3" t="s">
        <v>61</v>
      </c>
      <c r="AU4352" s="6" t="str">
        <f>HYPERLINK("http://catalog.hathitrust.org/Record/001823549","HathiTrust Record")</f>
        <v>HathiTrust Record</v>
      </c>
      <c r="AV4352" s="6" t="str">
        <f>HYPERLINK("http://mcgill.on.worldcat.org/oclc/20262135","Catalog Record")</f>
        <v>Catalog Record</v>
      </c>
      <c r="AW4352" s="6" t="str">
        <f>HYPERLINK("http://www.worldcat.org/oclc/20262135","WorldCat Record")</f>
        <v>WorldCat Record</v>
      </c>
      <c r="AX4352" s="3" t="s">
        <v>41830</v>
      </c>
      <c r="AY4352" s="3" t="s">
        <v>41831</v>
      </c>
      <c r="AZ4352" s="3" t="s">
        <v>41832</v>
      </c>
      <c r="BA4352" s="3" t="s">
        <v>41832</v>
      </c>
      <c r="BB4352" s="3" t="s">
        <v>41833</v>
      </c>
      <c r="BC4352" s="3" t="s">
        <v>102</v>
      </c>
      <c r="BD4352" s="3" t="s">
        <v>68</v>
      </c>
      <c r="BE4352" s="3" t="s">
        <v>41834</v>
      </c>
      <c r="BF4352" s="3" t="s">
        <v>41833</v>
      </c>
      <c r="BG4352" s="3" t="s">
        <v>41835</v>
      </c>
    </row>
    <row r="4353" spans="1:59" ht="72.5" x14ac:dyDescent="0.35">
      <c r="A4353" s="2" t="s">
        <v>59</v>
      </c>
      <c r="B4353" s="2" t="s">
        <v>60</v>
      </c>
      <c r="C4353" s="2" t="s">
        <v>41836</v>
      </c>
      <c r="D4353" s="2" t="s">
        <v>41837</v>
      </c>
      <c r="E4353" s="2" t="s">
        <v>41838</v>
      </c>
      <c r="G4353" s="3" t="s">
        <v>62</v>
      </c>
      <c r="I4353" s="3" t="s">
        <v>62</v>
      </c>
      <c r="J4353" s="3" t="s">
        <v>62</v>
      </c>
      <c r="K4353" s="3" t="s">
        <v>63</v>
      </c>
      <c r="L4353" s="2" t="s">
        <v>41839</v>
      </c>
      <c r="M4353" s="2" t="s">
        <v>3029</v>
      </c>
      <c r="N4353" s="3" t="s">
        <v>355</v>
      </c>
      <c r="P4353" s="3" t="s">
        <v>64</v>
      </c>
      <c r="Q4353" s="2" t="s">
        <v>41840</v>
      </c>
      <c r="R4353" s="3" t="s">
        <v>40557</v>
      </c>
      <c r="S4353" s="4">
        <v>7</v>
      </c>
      <c r="T4353" s="4">
        <v>7</v>
      </c>
      <c r="U4353" s="5" t="s">
        <v>41841</v>
      </c>
      <c r="V4353" s="5" t="s">
        <v>41841</v>
      </c>
      <c r="W4353" s="5" t="s">
        <v>67</v>
      </c>
      <c r="X4353" s="5" t="s">
        <v>67</v>
      </c>
      <c r="Y4353" s="4">
        <v>275</v>
      </c>
      <c r="Z4353" s="4">
        <v>22</v>
      </c>
      <c r="AA4353" s="4">
        <v>26</v>
      </c>
      <c r="AB4353" s="4">
        <v>3</v>
      </c>
      <c r="AC4353" s="4">
        <v>7</v>
      </c>
      <c r="AD4353" s="4">
        <v>100</v>
      </c>
      <c r="AE4353" s="4">
        <v>103</v>
      </c>
      <c r="AF4353" s="4">
        <v>1</v>
      </c>
      <c r="AG4353" s="4">
        <v>4</v>
      </c>
      <c r="AH4353" s="4">
        <v>89</v>
      </c>
      <c r="AI4353" s="4">
        <v>90</v>
      </c>
      <c r="AJ4353" s="4">
        <v>15</v>
      </c>
      <c r="AK4353" s="4">
        <v>18</v>
      </c>
      <c r="AL4353" s="4">
        <v>45</v>
      </c>
      <c r="AM4353" s="4">
        <v>45</v>
      </c>
      <c r="AN4353" s="4">
        <v>0</v>
      </c>
      <c r="AO4353" s="4">
        <v>0</v>
      </c>
      <c r="AP4353" s="4">
        <v>17</v>
      </c>
      <c r="AQ4353" s="4">
        <v>19</v>
      </c>
      <c r="AR4353" s="3" t="s">
        <v>62</v>
      </c>
      <c r="AS4353" s="3" t="s">
        <v>62</v>
      </c>
      <c r="AT4353" s="3" t="s">
        <v>62</v>
      </c>
      <c r="AV4353" s="6" t="str">
        <f>HYPERLINK("http://mcgill.on.worldcat.org/oclc/10163042","Catalog Record")</f>
        <v>Catalog Record</v>
      </c>
      <c r="AW4353" s="6" t="str">
        <f>HYPERLINK("http://www.worldcat.org/oclc/10163042","WorldCat Record")</f>
        <v>WorldCat Record</v>
      </c>
      <c r="AX4353" s="3" t="s">
        <v>41842</v>
      </c>
      <c r="AY4353" s="3" t="s">
        <v>41843</v>
      </c>
      <c r="AZ4353" s="3" t="s">
        <v>41844</v>
      </c>
      <c r="BA4353" s="3" t="s">
        <v>41844</v>
      </c>
      <c r="BB4353" s="3" t="s">
        <v>41845</v>
      </c>
      <c r="BC4353" s="3" t="s">
        <v>102</v>
      </c>
      <c r="BD4353" s="3" t="s">
        <v>68</v>
      </c>
      <c r="BE4353" s="3" t="s">
        <v>41846</v>
      </c>
      <c r="BF4353" s="3" t="s">
        <v>41845</v>
      </c>
      <c r="BG4353" s="3" t="s">
        <v>41847</v>
      </c>
    </row>
    <row r="4354" spans="1:59" ht="58" x14ac:dyDescent="0.35">
      <c r="A4354" s="2" t="s">
        <v>59</v>
      </c>
      <c r="B4354" s="2" t="s">
        <v>60</v>
      </c>
      <c r="C4354" s="2" t="s">
        <v>41848</v>
      </c>
      <c r="D4354" s="2" t="s">
        <v>41849</v>
      </c>
      <c r="E4354" s="2" t="s">
        <v>41850</v>
      </c>
      <c r="G4354" s="3" t="s">
        <v>62</v>
      </c>
      <c r="I4354" s="3" t="s">
        <v>62</v>
      </c>
      <c r="J4354" s="3" t="s">
        <v>62</v>
      </c>
      <c r="K4354" s="3" t="s">
        <v>63</v>
      </c>
      <c r="L4354" s="2" t="s">
        <v>41851</v>
      </c>
      <c r="M4354" s="2" t="s">
        <v>20619</v>
      </c>
      <c r="N4354" s="3" t="s">
        <v>396</v>
      </c>
      <c r="P4354" s="3" t="s">
        <v>64</v>
      </c>
      <c r="Q4354" s="2" t="s">
        <v>41852</v>
      </c>
      <c r="R4354" s="3" t="s">
        <v>40557</v>
      </c>
      <c r="S4354" s="4">
        <v>3</v>
      </c>
      <c r="T4354" s="4">
        <v>3</v>
      </c>
      <c r="U4354" s="5" t="s">
        <v>41841</v>
      </c>
      <c r="V4354" s="5" t="s">
        <v>41841</v>
      </c>
      <c r="W4354" s="5" t="s">
        <v>67</v>
      </c>
      <c r="X4354" s="5" t="s">
        <v>67</v>
      </c>
      <c r="Y4354" s="4">
        <v>12</v>
      </c>
      <c r="Z4354" s="4">
        <v>2</v>
      </c>
      <c r="AA4354" s="4">
        <v>20</v>
      </c>
      <c r="AB4354" s="4">
        <v>1</v>
      </c>
      <c r="AC4354" s="4">
        <v>3</v>
      </c>
      <c r="AD4354" s="4">
        <v>8</v>
      </c>
      <c r="AE4354" s="4">
        <v>99</v>
      </c>
      <c r="AF4354" s="4">
        <v>0</v>
      </c>
      <c r="AG4354" s="4">
        <v>2</v>
      </c>
      <c r="AH4354" s="4">
        <v>7</v>
      </c>
      <c r="AI4354" s="4">
        <v>89</v>
      </c>
      <c r="AJ4354" s="4">
        <v>1</v>
      </c>
      <c r="AK4354" s="4">
        <v>14</v>
      </c>
      <c r="AL4354" s="4">
        <v>4</v>
      </c>
      <c r="AM4354" s="4">
        <v>48</v>
      </c>
      <c r="AN4354" s="4">
        <v>0</v>
      </c>
      <c r="AO4354" s="4">
        <v>0</v>
      </c>
      <c r="AP4354" s="4">
        <v>1</v>
      </c>
      <c r="AQ4354" s="4">
        <v>14</v>
      </c>
      <c r="AR4354" s="3" t="s">
        <v>62</v>
      </c>
      <c r="AS4354" s="3" t="s">
        <v>62</v>
      </c>
      <c r="AT4354" s="3" t="s">
        <v>62</v>
      </c>
      <c r="AV4354" s="6" t="str">
        <f>HYPERLINK("http://mcgill.on.worldcat.org/oclc/237344824","Catalog Record")</f>
        <v>Catalog Record</v>
      </c>
      <c r="AW4354" s="6" t="str">
        <f>HYPERLINK("http://www.worldcat.org/oclc/237344824","WorldCat Record")</f>
        <v>WorldCat Record</v>
      </c>
      <c r="AX4354" s="3" t="s">
        <v>41853</v>
      </c>
      <c r="AY4354" s="3" t="s">
        <v>41854</v>
      </c>
      <c r="AZ4354" s="3" t="s">
        <v>41855</v>
      </c>
      <c r="BA4354" s="3" t="s">
        <v>41855</v>
      </c>
      <c r="BB4354" s="3" t="s">
        <v>41856</v>
      </c>
      <c r="BC4354" s="3" t="s">
        <v>102</v>
      </c>
      <c r="BD4354" s="3" t="s">
        <v>68</v>
      </c>
      <c r="BE4354" s="3" t="s">
        <v>41857</v>
      </c>
      <c r="BF4354" s="3" t="s">
        <v>41856</v>
      </c>
      <c r="BG4354" s="3" t="s">
        <v>41858</v>
      </c>
    </row>
    <row r="4355" spans="1:59" ht="58" x14ac:dyDescent="0.35">
      <c r="A4355" s="2" t="s">
        <v>59</v>
      </c>
      <c r="B4355" s="2" t="s">
        <v>60</v>
      </c>
      <c r="C4355" s="2" t="s">
        <v>41859</v>
      </c>
      <c r="D4355" s="2" t="s">
        <v>41860</v>
      </c>
      <c r="E4355" s="2" t="s">
        <v>41861</v>
      </c>
      <c r="F4355" s="3" t="s">
        <v>1428</v>
      </c>
      <c r="G4355" s="3" t="s">
        <v>61</v>
      </c>
      <c r="I4355" s="3" t="s">
        <v>61</v>
      </c>
      <c r="J4355" s="3" t="s">
        <v>62</v>
      </c>
      <c r="K4355" s="3" t="s">
        <v>63</v>
      </c>
      <c r="L4355" s="2" t="s">
        <v>41862</v>
      </c>
      <c r="M4355" s="2" t="s">
        <v>41863</v>
      </c>
      <c r="N4355" s="3" t="s">
        <v>2924</v>
      </c>
      <c r="P4355" s="3" t="s">
        <v>64</v>
      </c>
      <c r="R4355" s="3" t="s">
        <v>40557</v>
      </c>
      <c r="S4355" s="4">
        <v>0</v>
      </c>
      <c r="T4355" s="4">
        <v>39</v>
      </c>
      <c r="V4355" s="5" t="s">
        <v>8111</v>
      </c>
      <c r="W4355" s="5" t="s">
        <v>67</v>
      </c>
      <c r="X4355" s="5" t="s">
        <v>67</v>
      </c>
      <c r="Y4355" s="4">
        <v>914</v>
      </c>
      <c r="Z4355" s="4">
        <v>49</v>
      </c>
      <c r="AA4355" s="4">
        <v>63</v>
      </c>
      <c r="AB4355" s="4">
        <v>2</v>
      </c>
      <c r="AC4355" s="4">
        <v>11</v>
      </c>
      <c r="AD4355" s="4">
        <v>134</v>
      </c>
      <c r="AE4355" s="4">
        <v>143</v>
      </c>
      <c r="AF4355" s="4">
        <v>1</v>
      </c>
      <c r="AG4355" s="4">
        <v>6</v>
      </c>
      <c r="AH4355" s="4">
        <v>107</v>
      </c>
      <c r="AI4355" s="4">
        <v>110</v>
      </c>
      <c r="AJ4355" s="4">
        <v>21</v>
      </c>
      <c r="AK4355" s="4">
        <v>27</v>
      </c>
      <c r="AL4355" s="4">
        <v>58</v>
      </c>
      <c r="AM4355" s="4">
        <v>58</v>
      </c>
      <c r="AN4355" s="4">
        <v>0</v>
      </c>
      <c r="AO4355" s="4">
        <v>0</v>
      </c>
      <c r="AP4355" s="4">
        <v>32</v>
      </c>
      <c r="AQ4355" s="4">
        <v>39</v>
      </c>
      <c r="AR4355" s="3" t="s">
        <v>62</v>
      </c>
      <c r="AS4355" s="3" t="s">
        <v>62</v>
      </c>
      <c r="AT4355" s="3" t="s">
        <v>61</v>
      </c>
      <c r="AU4355" s="6" t="str">
        <f>HYPERLINK("http://catalog.hathitrust.org/Record/008364573","HathiTrust Record")</f>
        <v>HathiTrust Record</v>
      </c>
      <c r="AV4355" s="6" t="str">
        <f>HYPERLINK("http://mcgill.on.worldcat.org/oclc/243224","Catalog Record")</f>
        <v>Catalog Record</v>
      </c>
      <c r="AW4355" s="6" t="str">
        <f>HYPERLINK("http://www.worldcat.org/oclc/243224","WorldCat Record")</f>
        <v>WorldCat Record</v>
      </c>
      <c r="AX4355" s="3" t="s">
        <v>41864</v>
      </c>
      <c r="AY4355" s="3" t="s">
        <v>41865</v>
      </c>
      <c r="AZ4355" s="3" t="s">
        <v>41866</v>
      </c>
      <c r="BA4355" s="3" t="s">
        <v>41866</v>
      </c>
      <c r="BB4355" s="3" t="s">
        <v>41867</v>
      </c>
      <c r="BC4355" s="3" t="s">
        <v>102</v>
      </c>
      <c r="BD4355" s="3" t="s">
        <v>68</v>
      </c>
      <c r="BE4355" s="3" t="s">
        <v>41868</v>
      </c>
      <c r="BF4355" s="3" t="s">
        <v>41867</v>
      </c>
      <c r="BG4355" s="3" t="s">
        <v>41869</v>
      </c>
    </row>
    <row r="4356" spans="1:59" ht="58" x14ac:dyDescent="0.35">
      <c r="A4356" s="2" t="s">
        <v>59</v>
      </c>
      <c r="B4356" s="2" t="s">
        <v>60</v>
      </c>
      <c r="C4356" s="2" t="s">
        <v>41859</v>
      </c>
      <c r="D4356" s="2" t="s">
        <v>41860</v>
      </c>
      <c r="E4356" s="2" t="s">
        <v>41861</v>
      </c>
      <c r="F4356" s="3" t="s">
        <v>1413</v>
      </c>
      <c r="G4356" s="3" t="s">
        <v>61</v>
      </c>
      <c r="I4356" s="3" t="s">
        <v>61</v>
      </c>
      <c r="J4356" s="3" t="s">
        <v>62</v>
      </c>
      <c r="K4356" s="3" t="s">
        <v>63</v>
      </c>
      <c r="L4356" s="2" t="s">
        <v>41862</v>
      </c>
      <c r="M4356" s="2" t="s">
        <v>41863</v>
      </c>
      <c r="N4356" s="3" t="s">
        <v>2924</v>
      </c>
      <c r="P4356" s="3" t="s">
        <v>64</v>
      </c>
      <c r="R4356" s="3" t="s">
        <v>40557</v>
      </c>
      <c r="S4356" s="4">
        <v>0</v>
      </c>
      <c r="T4356" s="4">
        <v>39</v>
      </c>
      <c r="V4356" s="5" t="s">
        <v>8111</v>
      </c>
      <c r="W4356" s="5" t="s">
        <v>67</v>
      </c>
      <c r="X4356" s="5" t="s">
        <v>67</v>
      </c>
      <c r="Y4356" s="4">
        <v>914</v>
      </c>
      <c r="Z4356" s="4">
        <v>49</v>
      </c>
      <c r="AA4356" s="4">
        <v>63</v>
      </c>
      <c r="AB4356" s="4">
        <v>2</v>
      </c>
      <c r="AC4356" s="4">
        <v>11</v>
      </c>
      <c r="AD4356" s="4">
        <v>134</v>
      </c>
      <c r="AE4356" s="4">
        <v>143</v>
      </c>
      <c r="AF4356" s="4">
        <v>1</v>
      </c>
      <c r="AG4356" s="4">
        <v>6</v>
      </c>
      <c r="AH4356" s="4">
        <v>107</v>
      </c>
      <c r="AI4356" s="4">
        <v>110</v>
      </c>
      <c r="AJ4356" s="4">
        <v>21</v>
      </c>
      <c r="AK4356" s="4">
        <v>27</v>
      </c>
      <c r="AL4356" s="4">
        <v>58</v>
      </c>
      <c r="AM4356" s="4">
        <v>58</v>
      </c>
      <c r="AN4356" s="4">
        <v>0</v>
      </c>
      <c r="AO4356" s="4">
        <v>0</v>
      </c>
      <c r="AP4356" s="4">
        <v>32</v>
      </c>
      <c r="AQ4356" s="4">
        <v>39</v>
      </c>
      <c r="AR4356" s="3" t="s">
        <v>62</v>
      </c>
      <c r="AS4356" s="3" t="s">
        <v>62</v>
      </c>
      <c r="AT4356" s="3" t="s">
        <v>61</v>
      </c>
      <c r="AU4356" s="6" t="str">
        <f>HYPERLINK("http://catalog.hathitrust.org/Record/008364573","HathiTrust Record")</f>
        <v>HathiTrust Record</v>
      </c>
      <c r="AV4356" s="6" t="str">
        <f>HYPERLINK("http://mcgill.on.worldcat.org/oclc/243224","Catalog Record")</f>
        <v>Catalog Record</v>
      </c>
      <c r="AW4356" s="6" t="str">
        <f>HYPERLINK("http://www.worldcat.org/oclc/243224","WorldCat Record")</f>
        <v>WorldCat Record</v>
      </c>
      <c r="AX4356" s="3" t="s">
        <v>41864</v>
      </c>
      <c r="AY4356" s="3" t="s">
        <v>41865</v>
      </c>
      <c r="AZ4356" s="3" t="s">
        <v>41866</v>
      </c>
      <c r="BA4356" s="3" t="s">
        <v>41866</v>
      </c>
      <c r="BB4356" s="3" t="s">
        <v>41870</v>
      </c>
      <c r="BC4356" s="3" t="s">
        <v>102</v>
      </c>
      <c r="BD4356" s="3" t="s">
        <v>68</v>
      </c>
      <c r="BE4356" s="3" t="s">
        <v>41868</v>
      </c>
      <c r="BF4356" s="3" t="s">
        <v>41870</v>
      </c>
      <c r="BG4356" s="3" t="s">
        <v>41871</v>
      </c>
    </row>
    <row r="4357" spans="1:59" ht="58" x14ac:dyDescent="0.35">
      <c r="A4357" s="2" t="s">
        <v>59</v>
      </c>
      <c r="B4357" s="2" t="s">
        <v>60</v>
      </c>
      <c r="C4357" s="2" t="s">
        <v>41859</v>
      </c>
      <c r="D4357" s="2" t="s">
        <v>41860</v>
      </c>
      <c r="E4357" s="2" t="s">
        <v>41861</v>
      </c>
      <c r="F4357" s="3" t="s">
        <v>1371</v>
      </c>
      <c r="G4357" s="3" t="s">
        <v>61</v>
      </c>
      <c r="I4357" s="3" t="s">
        <v>61</v>
      </c>
      <c r="J4357" s="3" t="s">
        <v>62</v>
      </c>
      <c r="K4357" s="3" t="s">
        <v>63</v>
      </c>
      <c r="L4357" s="2" t="s">
        <v>41862</v>
      </c>
      <c r="M4357" s="2" t="s">
        <v>41863</v>
      </c>
      <c r="N4357" s="3" t="s">
        <v>2924</v>
      </c>
      <c r="P4357" s="3" t="s">
        <v>64</v>
      </c>
      <c r="R4357" s="3" t="s">
        <v>40557</v>
      </c>
      <c r="S4357" s="4">
        <v>0</v>
      </c>
      <c r="T4357" s="4">
        <v>39</v>
      </c>
      <c r="V4357" s="5" t="s">
        <v>8111</v>
      </c>
      <c r="W4357" s="5" t="s">
        <v>67</v>
      </c>
      <c r="X4357" s="5" t="s">
        <v>67</v>
      </c>
      <c r="Y4357" s="4">
        <v>914</v>
      </c>
      <c r="Z4357" s="4">
        <v>49</v>
      </c>
      <c r="AA4357" s="4">
        <v>63</v>
      </c>
      <c r="AB4357" s="4">
        <v>2</v>
      </c>
      <c r="AC4357" s="4">
        <v>11</v>
      </c>
      <c r="AD4357" s="4">
        <v>134</v>
      </c>
      <c r="AE4357" s="4">
        <v>143</v>
      </c>
      <c r="AF4357" s="4">
        <v>1</v>
      </c>
      <c r="AG4357" s="4">
        <v>6</v>
      </c>
      <c r="AH4357" s="4">
        <v>107</v>
      </c>
      <c r="AI4357" s="4">
        <v>110</v>
      </c>
      <c r="AJ4357" s="4">
        <v>21</v>
      </c>
      <c r="AK4357" s="4">
        <v>27</v>
      </c>
      <c r="AL4357" s="4">
        <v>58</v>
      </c>
      <c r="AM4357" s="4">
        <v>58</v>
      </c>
      <c r="AN4357" s="4">
        <v>0</v>
      </c>
      <c r="AO4357" s="4">
        <v>0</v>
      </c>
      <c r="AP4357" s="4">
        <v>32</v>
      </c>
      <c r="AQ4357" s="4">
        <v>39</v>
      </c>
      <c r="AR4357" s="3" t="s">
        <v>62</v>
      </c>
      <c r="AS4357" s="3" t="s">
        <v>62</v>
      </c>
      <c r="AT4357" s="3" t="s">
        <v>61</v>
      </c>
      <c r="AU4357" s="6" t="str">
        <f>HYPERLINK("http://catalog.hathitrust.org/Record/008364573","HathiTrust Record")</f>
        <v>HathiTrust Record</v>
      </c>
      <c r="AV4357" s="6" t="str">
        <f>HYPERLINK("http://mcgill.on.worldcat.org/oclc/243224","Catalog Record")</f>
        <v>Catalog Record</v>
      </c>
      <c r="AW4357" s="6" t="str">
        <f>HYPERLINK("http://www.worldcat.org/oclc/243224","WorldCat Record")</f>
        <v>WorldCat Record</v>
      </c>
      <c r="AX4357" s="3" t="s">
        <v>41864</v>
      </c>
      <c r="AY4357" s="3" t="s">
        <v>41865</v>
      </c>
      <c r="AZ4357" s="3" t="s">
        <v>41866</v>
      </c>
      <c r="BA4357" s="3" t="s">
        <v>41866</v>
      </c>
      <c r="BB4357" s="3" t="s">
        <v>41872</v>
      </c>
      <c r="BC4357" s="3" t="s">
        <v>102</v>
      </c>
      <c r="BD4357" s="3" t="s">
        <v>68</v>
      </c>
      <c r="BE4357" s="3" t="s">
        <v>41868</v>
      </c>
      <c r="BF4357" s="3" t="s">
        <v>41872</v>
      </c>
      <c r="BG4357" s="3" t="s">
        <v>41873</v>
      </c>
    </row>
    <row r="4358" spans="1:59" ht="58" x14ac:dyDescent="0.35">
      <c r="A4358" s="2" t="s">
        <v>59</v>
      </c>
      <c r="B4358" s="2" t="s">
        <v>60</v>
      </c>
      <c r="C4358" s="2" t="s">
        <v>41859</v>
      </c>
      <c r="D4358" s="2" t="s">
        <v>41860</v>
      </c>
      <c r="E4358" s="2" t="s">
        <v>41861</v>
      </c>
      <c r="F4358" s="3" t="s">
        <v>41874</v>
      </c>
      <c r="G4358" s="3" t="s">
        <v>61</v>
      </c>
      <c r="I4358" s="3" t="s">
        <v>61</v>
      </c>
      <c r="J4358" s="3" t="s">
        <v>62</v>
      </c>
      <c r="K4358" s="3" t="s">
        <v>63</v>
      </c>
      <c r="L4358" s="2" t="s">
        <v>41862</v>
      </c>
      <c r="M4358" s="2" t="s">
        <v>41863</v>
      </c>
      <c r="N4358" s="3" t="s">
        <v>2924</v>
      </c>
      <c r="P4358" s="3" t="s">
        <v>64</v>
      </c>
      <c r="R4358" s="3" t="s">
        <v>40557</v>
      </c>
      <c r="S4358" s="4">
        <v>3</v>
      </c>
      <c r="T4358" s="4">
        <v>39</v>
      </c>
      <c r="U4358" s="5" t="s">
        <v>69</v>
      </c>
      <c r="V4358" s="5" t="s">
        <v>8111</v>
      </c>
      <c r="W4358" s="5" t="s">
        <v>67</v>
      </c>
      <c r="X4358" s="5" t="s">
        <v>67</v>
      </c>
      <c r="Y4358" s="4">
        <v>914</v>
      </c>
      <c r="Z4358" s="4">
        <v>49</v>
      </c>
      <c r="AA4358" s="4">
        <v>63</v>
      </c>
      <c r="AB4358" s="4">
        <v>2</v>
      </c>
      <c r="AC4358" s="4">
        <v>11</v>
      </c>
      <c r="AD4358" s="4">
        <v>134</v>
      </c>
      <c r="AE4358" s="4">
        <v>143</v>
      </c>
      <c r="AF4358" s="4">
        <v>1</v>
      </c>
      <c r="AG4358" s="4">
        <v>6</v>
      </c>
      <c r="AH4358" s="4">
        <v>107</v>
      </c>
      <c r="AI4358" s="4">
        <v>110</v>
      </c>
      <c r="AJ4358" s="4">
        <v>21</v>
      </c>
      <c r="AK4358" s="4">
        <v>27</v>
      </c>
      <c r="AL4358" s="4">
        <v>58</v>
      </c>
      <c r="AM4358" s="4">
        <v>58</v>
      </c>
      <c r="AN4358" s="4">
        <v>0</v>
      </c>
      <c r="AO4358" s="4">
        <v>0</v>
      </c>
      <c r="AP4358" s="4">
        <v>32</v>
      </c>
      <c r="AQ4358" s="4">
        <v>39</v>
      </c>
      <c r="AR4358" s="3" t="s">
        <v>62</v>
      </c>
      <c r="AS4358" s="3" t="s">
        <v>62</v>
      </c>
      <c r="AT4358" s="3" t="s">
        <v>61</v>
      </c>
      <c r="AU4358" s="6" t="str">
        <f>HYPERLINK("http://catalog.hathitrust.org/Record/008364573","HathiTrust Record")</f>
        <v>HathiTrust Record</v>
      </c>
      <c r="AV4358" s="6" t="str">
        <f>HYPERLINK("http://mcgill.on.worldcat.org/oclc/243224","Catalog Record")</f>
        <v>Catalog Record</v>
      </c>
      <c r="AW4358" s="6" t="str">
        <f>HYPERLINK("http://www.worldcat.org/oclc/243224","WorldCat Record")</f>
        <v>WorldCat Record</v>
      </c>
      <c r="AX4358" s="3" t="s">
        <v>41864</v>
      </c>
      <c r="AY4358" s="3" t="s">
        <v>41865</v>
      </c>
      <c r="AZ4358" s="3" t="s">
        <v>41866</v>
      </c>
      <c r="BA4358" s="3" t="s">
        <v>41866</v>
      </c>
      <c r="BB4358" s="3" t="s">
        <v>41875</v>
      </c>
      <c r="BC4358" s="3" t="s">
        <v>102</v>
      </c>
      <c r="BD4358" s="3" t="s">
        <v>68</v>
      </c>
      <c r="BE4358" s="3" t="s">
        <v>41868</v>
      </c>
      <c r="BF4358" s="3" t="s">
        <v>41875</v>
      </c>
      <c r="BG4358" s="3" t="s">
        <v>41876</v>
      </c>
    </row>
    <row r="4359" spans="1:59" ht="58" x14ac:dyDescent="0.35">
      <c r="A4359" s="2" t="s">
        <v>59</v>
      </c>
      <c r="B4359" s="2" t="s">
        <v>60</v>
      </c>
      <c r="C4359" s="2" t="s">
        <v>41859</v>
      </c>
      <c r="D4359" s="2" t="s">
        <v>41860</v>
      </c>
      <c r="E4359" s="2" t="s">
        <v>41861</v>
      </c>
      <c r="F4359" s="3" t="s">
        <v>41877</v>
      </c>
      <c r="G4359" s="3" t="s">
        <v>61</v>
      </c>
      <c r="I4359" s="3" t="s">
        <v>61</v>
      </c>
      <c r="J4359" s="3" t="s">
        <v>62</v>
      </c>
      <c r="K4359" s="3" t="s">
        <v>63</v>
      </c>
      <c r="L4359" s="2" t="s">
        <v>41862</v>
      </c>
      <c r="M4359" s="2" t="s">
        <v>41863</v>
      </c>
      <c r="N4359" s="3" t="s">
        <v>2924</v>
      </c>
      <c r="P4359" s="3" t="s">
        <v>64</v>
      </c>
      <c r="R4359" s="3" t="s">
        <v>40557</v>
      </c>
      <c r="S4359" s="4">
        <v>3</v>
      </c>
      <c r="T4359" s="4">
        <v>39</v>
      </c>
      <c r="U4359" s="5" t="s">
        <v>69</v>
      </c>
      <c r="V4359" s="5" t="s">
        <v>8111</v>
      </c>
      <c r="W4359" s="5" t="s">
        <v>67</v>
      </c>
      <c r="X4359" s="5" t="s">
        <v>67</v>
      </c>
      <c r="Y4359" s="4">
        <v>914</v>
      </c>
      <c r="Z4359" s="4">
        <v>49</v>
      </c>
      <c r="AA4359" s="4">
        <v>63</v>
      </c>
      <c r="AB4359" s="4">
        <v>2</v>
      </c>
      <c r="AC4359" s="4">
        <v>11</v>
      </c>
      <c r="AD4359" s="4">
        <v>134</v>
      </c>
      <c r="AE4359" s="4">
        <v>143</v>
      </c>
      <c r="AF4359" s="4">
        <v>1</v>
      </c>
      <c r="AG4359" s="4">
        <v>6</v>
      </c>
      <c r="AH4359" s="4">
        <v>107</v>
      </c>
      <c r="AI4359" s="4">
        <v>110</v>
      </c>
      <c r="AJ4359" s="4">
        <v>21</v>
      </c>
      <c r="AK4359" s="4">
        <v>27</v>
      </c>
      <c r="AL4359" s="4">
        <v>58</v>
      </c>
      <c r="AM4359" s="4">
        <v>58</v>
      </c>
      <c r="AN4359" s="4">
        <v>0</v>
      </c>
      <c r="AO4359" s="4">
        <v>0</v>
      </c>
      <c r="AP4359" s="4">
        <v>32</v>
      </c>
      <c r="AQ4359" s="4">
        <v>39</v>
      </c>
      <c r="AR4359" s="3" t="s">
        <v>62</v>
      </c>
      <c r="AS4359" s="3" t="s">
        <v>62</v>
      </c>
      <c r="AT4359" s="3" t="s">
        <v>61</v>
      </c>
      <c r="AU4359" s="6" t="str">
        <f>HYPERLINK("http://catalog.hathitrust.org/Record/008364573","HathiTrust Record")</f>
        <v>HathiTrust Record</v>
      </c>
      <c r="AV4359" s="6" t="str">
        <f>HYPERLINK("http://mcgill.on.worldcat.org/oclc/243224","Catalog Record")</f>
        <v>Catalog Record</v>
      </c>
      <c r="AW4359" s="6" t="str">
        <f>HYPERLINK("http://www.worldcat.org/oclc/243224","WorldCat Record")</f>
        <v>WorldCat Record</v>
      </c>
      <c r="AX4359" s="3" t="s">
        <v>41864</v>
      </c>
      <c r="AY4359" s="3" t="s">
        <v>41865</v>
      </c>
      <c r="AZ4359" s="3" t="s">
        <v>41866</v>
      </c>
      <c r="BA4359" s="3" t="s">
        <v>41866</v>
      </c>
      <c r="BB4359" s="3" t="s">
        <v>41878</v>
      </c>
      <c r="BC4359" s="3" t="s">
        <v>102</v>
      </c>
      <c r="BD4359" s="3" t="s">
        <v>68</v>
      </c>
      <c r="BE4359" s="3" t="s">
        <v>41868</v>
      </c>
      <c r="BF4359" s="3" t="s">
        <v>41878</v>
      </c>
      <c r="BG4359" s="3" t="s">
        <v>41879</v>
      </c>
    </row>
    <row r="4360" spans="1:59" ht="58" x14ac:dyDescent="0.35">
      <c r="A4360" s="2" t="s">
        <v>59</v>
      </c>
      <c r="B4360" s="2" t="s">
        <v>60</v>
      </c>
      <c r="C4360" s="2" t="s">
        <v>41880</v>
      </c>
      <c r="D4360" s="2" t="s">
        <v>41881</v>
      </c>
      <c r="E4360" s="2" t="s">
        <v>41882</v>
      </c>
      <c r="G4360" s="3" t="s">
        <v>62</v>
      </c>
      <c r="I4360" s="3" t="s">
        <v>62</v>
      </c>
      <c r="J4360" s="3" t="s">
        <v>62</v>
      </c>
      <c r="K4360" s="3" t="s">
        <v>63</v>
      </c>
      <c r="L4360" s="2" t="s">
        <v>41883</v>
      </c>
      <c r="M4360" s="2" t="s">
        <v>41884</v>
      </c>
      <c r="N4360" s="3" t="s">
        <v>596</v>
      </c>
      <c r="P4360" s="3" t="s">
        <v>64</v>
      </c>
      <c r="R4360" s="3" t="s">
        <v>40557</v>
      </c>
      <c r="S4360" s="4">
        <v>1</v>
      </c>
      <c r="T4360" s="4">
        <v>1</v>
      </c>
      <c r="U4360" s="5" t="s">
        <v>10533</v>
      </c>
      <c r="V4360" s="5" t="s">
        <v>10533</v>
      </c>
      <c r="W4360" s="5" t="s">
        <v>67</v>
      </c>
      <c r="X4360" s="5" t="s">
        <v>67</v>
      </c>
      <c r="Y4360" s="4">
        <v>944</v>
      </c>
      <c r="Z4360" s="4">
        <v>30</v>
      </c>
      <c r="AA4360" s="4">
        <v>39</v>
      </c>
      <c r="AB4360" s="4">
        <v>4</v>
      </c>
      <c r="AC4360" s="4">
        <v>9</v>
      </c>
      <c r="AD4360" s="4">
        <v>91</v>
      </c>
      <c r="AE4360" s="4">
        <v>106</v>
      </c>
      <c r="AF4360" s="4">
        <v>1</v>
      </c>
      <c r="AG4360" s="4">
        <v>3</v>
      </c>
      <c r="AH4360" s="4">
        <v>83</v>
      </c>
      <c r="AI4360" s="4">
        <v>93</v>
      </c>
      <c r="AJ4360" s="4">
        <v>10</v>
      </c>
      <c r="AK4360" s="4">
        <v>13</v>
      </c>
      <c r="AL4360" s="4">
        <v>41</v>
      </c>
      <c r="AM4360" s="4">
        <v>46</v>
      </c>
      <c r="AN4360" s="4">
        <v>0</v>
      </c>
      <c r="AO4360" s="4">
        <v>0</v>
      </c>
      <c r="AP4360" s="4">
        <v>14</v>
      </c>
      <c r="AQ4360" s="4">
        <v>19</v>
      </c>
      <c r="AR4360" s="3" t="s">
        <v>62</v>
      </c>
      <c r="AS4360" s="3" t="s">
        <v>62</v>
      </c>
      <c r="AT4360" s="3" t="s">
        <v>62</v>
      </c>
      <c r="AV4360" s="6" t="str">
        <f>HYPERLINK("http://mcgill.on.worldcat.org/oclc/49905488","Catalog Record")</f>
        <v>Catalog Record</v>
      </c>
      <c r="AW4360" s="6" t="str">
        <f>HYPERLINK("http://www.worldcat.org/oclc/49905488","WorldCat Record")</f>
        <v>WorldCat Record</v>
      </c>
      <c r="AX4360" s="3" t="s">
        <v>41885</v>
      </c>
      <c r="AY4360" s="3" t="s">
        <v>41886</v>
      </c>
      <c r="AZ4360" s="3" t="s">
        <v>41887</v>
      </c>
      <c r="BA4360" s="3" t="s">
        <v>41887</v>
      </c>
      <c r="BB4360" s="3" t="s">
        <v>41888</v>
      </c>
      <c r="BC4360" s="3" t="s">
        <v>102</v>
      </c>
      <c r="BD4360" s="3" t="s">
        <v>68</v>
      </c>
      <c r="BE4360" s="3" t="s">
        <v>41889</v>
      </c>
      <c r="BF4360" s="3" t="s">
        <v>41888</v>
      </c>
      <c r="BG4360" s="3" t="s">
        <v>41890</v>
      </c>
    </row>
    <row r="4361" spans="1:59" ht="58" x14ac:dyDescent="0.35">
      <c r="A4361" s="2" t="s">
        <v>59</v>
      </c>
      <c r="B4361" s="2" t="s">
        <v>60</v>
      </c>
      <c r="C4361" s="2" t="s">
        <v>41891</v>
      </c>
      <c r="D4361" s="2" t="s">
        <v>41892</v>
      </c>
      <c r="E4361" s="2" t="s">
        <v>41893</v>
      </c>
      <c r="G4361" s="3" t="s">
        <v>62</v>
      </c>
      <c r="I4361" s="3" t="s">
        <v>62</v>
      </c>
      <c r="J4361" s="3" t="s">
        <v>62</v>
      </c>
      <c r="K4361" s="3" t="s">
        <v>63</v>
      </c>
      <c r="L4361" s="2" t="s">
        <v>41894</v>
      </c>
      <c r="M4361" s="2" t="s">
        <v>41895</v>
      </c>
      <c r="N4361" s="3" t="s">
        <v>9091</v>
      </c>
      <c r="P4361" s="3" t="s">
        <v>64</v>
      </c>
      <c r="R4361" s="3" t="s">
        <v>40557</v>
      </c>
      <c r="S4361" s="4">
        <v>3</v>
      </c>
      <c r="T4361" s="4">
        <v>3</v>
      </c>
      <c r="U4361" s="5" t="s">
        <v>8532</v>
      </c>
      <c r="V4361" s="5" t="s">
        <v>8532</v>
      </c>
      <c r="W4361" s="5" t="s">
        <v>67</v>
      </c>
      <c r="X4361" s="5" t="s">
        <v>67</v>
      </c>
      <c r="Y4361" s="4">
        <v>84</v>
      </c>
      <c r="Z4361" s="4">
        <v>10</v>
      </c>
      <c r="AA4361" s="4">
        <v>22</v>
      </c>
      <c r="AB4361" s="4">
        <v>1</v>
      </c>
      <c r="AC4361" s="4">
        <v>3</v>
      </c>
      <c r="AD4361" s="4">
        <v>34</v>
      </c>
      <c r="AE4361" s="4">
        <v>95</v>
      </c>
      <c r="AF4361" s="4">
        <v>0</v>
      </c>
      <c r="AG4361" s="4">
        <v>0</v>
      </c>
      <c r="AH4361" s="4">
        <v>30</v>
      </c>
      <c r="AI4361" s="4">
        <v>85</v>
      </c>
      <c r="AJ4361" s="4">
        <v>6</v>
      </c>
      <c r="AK4361" s="4">
        <v>12</v>
      </c>
      <c r="AL4361" s="4">
        <v>18</v>
      </c>
      <c r="AM4361" s="4">
        <v>43</v>
      </c>
      <c r="AN4361" s="4">
        <v>0</v>
      </c>
      <c r="AO4361" s="4">
        <v>1</v>
      </c>
      <c r="AP4361" s="4">
        <v>7</v>
      </c>
      <c r="AQ4361" s="4">
        <v>14</v>
      </c>
      <c r="AR4361" s="3" t="s">
        <v>62</v>
      </c>
      <c r="AS4361" s="3" t="s">
        <v>62</v>
      </c>
      <c r="AT4361" s="3" t="s">
        <v>62</v>
      </c>
      <c r="AU4361" s="6" t="str">
        <f>HYPERLINK("http://catalog.hathitrust.org/Record/009082883","HathiTrust Record")</f>
        <v>HathiTrust Record</v>
      </c>
      <c r="AV4361" s="6" t="str">
        <f>HYPERLINK("http://mcgill.on.worldcat.org/oclc/3505336","Catalog Record")</f>
        <v>Catalog Record</v>
      </c>
      <c r="AW4361" s="6" t="str">
        <f>HYPERLINK("http://www.worldcat.org/oclc/3505336","WorldCat Record")</f>
        <v>WorldCat Record</v>
      </c>
      <c r="AX4361" s="3" t="s">
        <v>41896</v>
      </c>
      <c r="AY4361" s="3" t="s">
        <v>41897</v>
      </c>
      <c r="AZ4361" s="3" t="s">
        <v>41898</v>
      </c>
      <c r="BA4361" s="3" t="s">
        <v>41898</v>
      </c>
      <c r="BB4361" s="3" t="s">
        <v>41899</v>
      </c>
      <c r="BC4361" s="3" t="s">
        <v>102</v>
      </c>
      <c r="BD4361" s="3" t="s">
        <v>68</v>
      </c>
      <c r="BF4361" s="3" t="s">
        <v>41899</v>
      </c>
      <c r="BG4361" s="3" t="s">
        <v>41900</v>
      </c>
    </row>
    <row r="4362" spans="1:59" ht="58" x14ac:dyDescent="0.35">
      <c r="A4362" s="2" t="s">
        <v>59</v>
      </c>
      <c r="B4362" s="2" t="s">
        <v>60</v>
      </c>
      <c r="C4362" s="2" t="s">
        <v>41901</v>
      </c>
      <c r="D4362" s="2" t="s">
        <v>41902</v>
      </c>
      <c r="E4362" s="2" t="s">
        <v>41903</v>
      </c>
      <c r="G4362" s="3" t="s">
        <v>62</v>
      </c>
      <c r="I4362" s="3" t="s">
        <v>62</v>
      </c>
      <c r="J4362" s="3" t="s">
        <v>62</v>
      </c>
      <c r="K4362" s="3" t="s">
        <v>63</v>
      </c>
      <c r="L4362" s="2" t="s">
        <v>41904</v>
      </c>
      <c r="M4362" s="2" t="s">
        <v>41905</v>
      </c>
      <c r="N4362" s="3" t="s">
        <v>481</v>
      </c>
      <c r="O4362" s="2" t="s">
        <v>2163</v>
      </c>
      <c r="P4362" s="3" t="s">
        <v>64</v>
      </c>
      <c r="R4362" s="3" t="s">
        <v>40557</v>
      </c>
      <c r="S4362" s="4">
        <v>17</v>
      </c>
      <c r="T4362" s="4">
        <v>17</v>
      </c>
      <c r="U4362" s="5" t="s">
        <v>41906</v>
      </c>
      <c r="V4362" s="5" t="s">
        <v>41906</v>
      </c>
      <c r="W4362" s="5" t="s">
        <v>67</v>
      </c>
      <c r="X4362" s="5" t="s">
        <v>67</v>
      </c>
      <c r="Y4362" s="4">
        <v>361</v>
      </c>
      <c r="Z4362" s="4">
        <v>27</v>
      </c>
      <c r="AA4362" s="4">
        <v>31</v>
      </c>
      <c r="AB4362" s="4">
        <v>2</v>
      </c>
      <c r="AC4362" s="4">
        <v>4</v>
      </c>
      <c r="AD4362" s="4">
        <v>77</v>
      </c>
      <c r="AE4362" s="4">
        <v>79</v>
      </c>
      <c r="AF4362" s="4">
        <v>0</v>
      </c>
      <c r="AG4362" s="4">
        <v>2</v>
      </c>
      <c r="AH4362" s="4">
        <v>70</v>
      </c>
      <c r="AI4362" s="4">
        <v>71</v>
      </c>
      <c r="AJ4362" s="4">
        <v>12</v>
      </c>
      <c r="AK4362" s="4">
        <v>14</v>
      </c>
      <c r="AL4362" s="4">
        <v>35</v>
      </c>
      <c r="AM4362" s="4">
        <v>35</v>
      </c>
      <c r="AN4362" s="4">
        <v>0</v>
      </c>
      <c r="AO4362" s="4">
        <v>0</v>
      </c>
      <c r="AP4362" s="4">
        <v>11</v>
      </c>
      <c r="AQ4362" s="4">
        <v>13</v>
      </c>
      <c r="AR4362" s="3" t="s">
        <v>62</v>
      </c>
      <c r="AS4362" s="3" t="s">
        <v>62</v>
      </c>
      <c r="AT4362" s="3" t="s">
        <v>61</v>
      </c>
      <c r="AU4362" s="6" t="str">
        <f>HYPERLINK("http://catalog.hathitrust.org/Record/003188118","HathiTrust Record")</f>
        <v>HathiTrust Record</v>
      </c>
      <c r="AV4362" s="6" t="str">
        <f>HYPERLINK("http://mcgill.on.worldcat.org/oclc/34411834","Catalog Record")</f>
        <v>Catalog Record</v>
      </c>
      <c r="AW4362" s="6" t="str">
        <f>HYPERLINK("http://www.worldcat.org/oclc/34411834","WorldCat Record")</f>
        <v>WorldCat Record</v>
      </c>
      <c r="AX4362" s="3" t="s">
        <v>41907</v>
      </c>
      <c r="AY4362" s="3" t="s">
        <v>41908</v>
      </c>
      <c r="AZ4362" s="3" t="s">
        <v>41909</v>
      </c>
      <c r="BA4362" s="3" t="s">
        <v>41909</v>
      </c>
      <c r="BB4362" s="3" t="s">
        <v>41910</v>
      </c>
      <c r="BC4362" s="3" t="s">
        <v>102</v>
      </c>
      <c r="BD4362" s="3" t="s">
        <v>68</v>
      </c>
      <c r="BE4362" s="3" t="s">
        <v>41911</v>
      </c>
      <c r="BF4362" s="3" t="s">
        <v>41910</v>
      </c>
      <c r="BG4362" s="3" t="s">
        <v>41912</v>
      </c>
    </row>
    <row r="4363" spans="1:59" ht="58" x14ac:dyDescent="0.35">
      <c r="A4363" s="2" t="s">
        <v>59</v>
      </c>
      <c r="B4363" s="2" t="s">
        <v>60</v>
      </c>
      <c r="C4363" s="2" t="s">
        <v>41913</v>
      </c>
      <c r="D4363" s="2" t="s">
        <v>41914</v>
      </c>
      <c r="E4363" s="2" t="s">
        <v>41915</v>
      </c>
      <c r="G4363" s="3" t="s">
        <v>62</v>
      </c>
      <c r="I4363" s="3" t="s">
        <v>61</v>
      </c>
      <c r="J4363" s="3" t="s">
        <v>62</v>
      </c>
      <c r="K4363" s="3" t="s">
        <v>63</v>
      </c>
      <c r="L4363" s="2" t="s">
        <v>41916</v>
      </c>
      <c r="M4363" s="2" t="s">
        <v>41917</v>
      </c>
      <c r="N4363" s="3" t="s">
        <v>157</v>
      </c>
      <c r="P4363" s="3" t="s">
        <v>64</v>
      </c>
      <c r="R4363" s="3" t="s">
        <v>40557</v>
      </c>
      <c r="S4363" s="4">
        <v>9</v>
      </c>
      <c r="T4363" s="4">
        <v>32</v>
      </c>
      <c r="U4363" s="5" t="s">
        <v>14076</v>
      </c>
      <c r="V4363" s="5" t="s">
        <v>14076</v>
      </c>
      <c r="W4363" s="5" t="s">
        <v>67</v>
      </c>
      <c r="X4363" s="5" t="s">
        <v>67</v>
      </c>
      <c r="Y4363" s="4">
        <v>424</v>
      </c>
      <c r="Z4363" s="4">
        <v>16</v>
      </c>
      <c r="AA4363" s="4">
        <v>19</v>
      </c>
      <c r="AB4363" s="4">
        <v>1</v>
      </c>
      <c r="AC4363" s="4">
        <v>1</v>
      </c>
      <c r="AD4363" s="4">
        <v>45</v>
      </c>
      <c r="AE4363" s="4">
        <v>46</v>
      </c>
      <c r="AF4363" s="4">
        <v>0</v>
      </c>
      <c r="AG4363" s="4">
        <v>0</v>
      </c>
      <c r="AH4363" s="4">
        <v>40</v>
      </c>
      <c r="AI4363" s="4">
        <v>41</v>
      </c>
      <c r="AJ4363" s="4">
        <v>3</v>
      </c>
      <c r="AK4363" s="4">
        <v>3</v>
      </c>
      <c r="AL4363" s="4">
        <v>23</v>
      </c>
      <c r="AM4363" s="4">
        <v>23</v>
      </c>
      <c r="AN4363" s="4">
        <v>0</v>
      </c>
      <c r="AO4363" s="4">
        <v>0</v>
      </c>
      <c r="AP4363" s="4">
        <v>5</v>
      </c>
      <c r="AQ4363" s="4">
        <v>5</v>
      </c>
      <c r="AR4363" s="3" t="s">
        <v>62</v>
      </c>
      <c r="AS4363" s="3" t="s">
        <v>62</v>
      </c>
      <c r="AT4363" s="3" t="s">
        <v>62</v>
      </c>
      <c r="AV4363" s="6" t="str">
        <f>HYPERLINK("http://mcgill.on.worldcat.org/oclc/704789","Catalog Record")</f>
        <v>Catalog Record</v>
      </c>
      <c r="AW4363" s="6" t="str">
        <f>HYPERLINK("http://www.worldcat.org/oclc/704789","WorldCat Record")</f>
        <v>WorldCat Record</v>
      </c>
      <c r="AX4363" s="3" t="s">
        <v>41918</v>
      </c>
      <c r="AY4363" s="3" t="s">
        <v>41919</v>
      </c>
      <c r="AZ4363" s="3" t="s">
        <v>41920</v>
      </c>
      <c r="BA4363" s="3" t="s">
        <v>41920</v>
      </c>
      <c r="BB4363" s="3" t="s">
        <v>41921</v>
      </c>
      <c r="BC4363" s="3" t="s">
        <v>102</v>
      </c>
      <c r="BD4363" s="3" t="s">
        <v>68</v>
      </c>
      <c r="BE4363" s="3" t="s">
        <v>41922</v>
      </c>
      <c r="BF4363" s="3" t="s">
        <v>41921</v>
      </c>
      <c r="BG4363" s="3" t="s">
        <v>41923</v>
      </c>
    </row>
    <row r="4364" spans="1:59" ht="58" x14ac:dyDescent="0.35">
      <c r="A4364" s="2" t="s">
        <v>59</v>
      </c>
      <c r="B4364" s="2" t="s">
        <v>60</v>
      </c>
      <c r="C4364" s="2" t="s">
        <v>41924</v>
      </c>
      <c r="D4364" s="2" t="s">
        <v>41925</v>
      </c>
      <c r="E4364" s="2" t="s">
        <v>41926</v>
      </c>
      <c r="G4364" s="3" t="s">
        <v>62</v>
      </c>
      <c r="I4364" s="3" t="s">
        <v>62</v>
      </c>
      <c r="J4364" s="3" t="s">
        <v>62</v>
      </c>
      <c r="K4364" s="3" t="s">
        <v>63</v>
      </c>
      <c r="L4364" s="2" t="s">
        <v>41927</v>
      </c>
      <c r="M4364" s="2" t="s">
        <v>41928</v>
      </c>
      <c r="N4364" s="3" t="s">
        <v>87</v>
      </c>
      <c r="O4364" s="2" t="s">
        <v>2163</v>
      </c>
      <c r="P4364" s="3" t="s">
        <v>64</v>
      </c>
      <c r="R4364" s="3" t="s">
        <v>40557</v>
      </c>
      <c r="S4364" s="4">
        <v>3</v>
      </c>
      <c r="T4364" s="4">
        <v>3</v>
      </c>
      <c r="U4364" s="5" t="s">
        <v>7610</v>
      </c>
      <c r="V4364" s="5" t="s">
        <v>7610</v>
      </c>
      <c r="W4364" s="5" t="s">
        <v>67</v>
      </c>
      <c r="X4364" s="5" t="s">
        <v>67</v>
      </c>
      <c r="Y4364" s="4">
        <v>436</v>
      </c>
      <c r="Z4364" s="4">
        <v>13</v>
      </c>
      <c r="AA4364" s="4">
        <v>16</v>
      </c>
      <c r="AB4364" s="4">
        <v>2</v>
      </c>
      <c r="AC4364" s="4">
        <v>3</v>
      </c>
      <c r="AD4364" s="4">
        <v>38</v>
      </c>
      <c r="AE4364" s="4">
        <v>41</v>
      </c>
      <c r="AF4364" s="4">
        <v>1</v>
      </c>
      <c r="AG4364" s="4">
        <v>2</v>
      </c>
      <c r="AH4364" s="4">
        <v>35</v>
      </c>
      <c r="AI4364" s="4">
        <v>36</v>
      </c>
      <c r="AJ4364" s="4">
        <v>3</v>
      </c>
      <c r="AK4364" s="4">
        <v>4</v>
      </c>
      <c r="AL4364" s="4">
        <v>17</v>
      </c>
      <c r="AM4364" s="4">
        <v>18</v>
      </c>
      <c r="AN4364" s="4">
        <v>0</v>
      </c>
      <c r="AO4364" s="4">
        <v>0</v>
      </c>
      <c r="AP4364" s="4">
        <v>3</v>
      </c>
      <c r="AQ4364" s="4">
        <v>5</v>
      </c>
      <c r="AR4364" s="3" t="s">
        <v>62</v>
      </c>
      <c r="AS4364" s="3" t="s">
        <v>62</v>
      </c>
      <c r="AT4364" s="3" t="s">
        <v>62</v>
      </c>
      <c r="AV4364" s="6" t="str">
        <f>HYPERLINK("http://mcgill.on.worldcat.org/oclc/4004838","Catalog Record")</f>
        <v>Catalog Record</v>
      </c>
      <c r="AW4364" s="6" t="str">
        <f>HYPERLINK("http://www.worldcat.org/oclc/4004838","WorldCat Record")</f>
        <v>WorldCat Record</v>
      </c>
      <c r="AX4364" s="3" t="s">
        <v>41929</v>
      </c>
      <c r="AY4364" s="3" t="s">
        <v>41930</v>
      </c>
      <c r="AZ4364" s="3" t="s">
        <v>41931</v>
      </c>
      <c r="BA4364" s="3" t="s">
        <v>41931</v>
      </c>
      <c r="BB4364" s="3" t="s">
        <v>41932</v>
      </c>
      <c r="BC4364" s="3" t="s">
        <v>102</v>
      </c>
      <c r="BD4364" s="3" t="s">
        <v>68</v>
      </c>
      <c r="BE4364" s="3" t="s">
        <v>41933</v>
      </c>
      <c r="BF4364" s="3" t="s">
        <v>41932</v>
      </c>
      <c r="BG4364" s="3" t="s">
        <v>41934</v>
      </c>
    </row>
    <row r="4365" spans="1:59" ht="58" x14ac:dyDescent="0.35">
      <c r="A4365" s="2" t="s">
        <v>59</v>
      </c>
      <c r="B4365" s="2" t="s">
        <v>60</v>
      </c>
      <c r="C4365" s="2" t="s">
        <v>41935</v>
      </c>
      <c r="D4365" s="2" t="s">
        <v>41936</v>
      </c>
      <c r="E4365" s="2" t="s">
        <v>41937</v>
      </c>
      <c r="G4365" s="3" t="s">
        <v>62</v>
      </c>
      <c r="I4365" s="3" t="s">
        <v>61</v>
      </c>
      <c r="J4365" s="3" t="s">
        <v>62</v>
      </c>
      <c r="K4365" s="3" t="s">
        <v>63</v>
      </c>
      <c r="L4365" s="2" t="s">
        <v>41938</v>
      </c>
      <c r="M4365" s="2" t="s">
        <v>41939</v>
      </c>
      <c r="N4365" s="3" t="s">
        <v>954</v>
      </c>
      <c r="P4365" s="3" t="s">
        <v>64</v>
      </c>
      <c r="R4365" s="3" t="s">
        <v>40557</v>
      </c>
      <c r="S4365" s="4">
        <v>3</v>
      </c>
      <c r="T4365" s="4">
        <v>3</v>
      </c>
      <c r="U4365" s="5" t="s">
        <v>3898</v>
      </c>
      <c r="V4365" s="5" t="s">
        <v>3898</v>
      </c>
      <c r="W4365" s="5" t="s">
        <v>67</v>
      </c>
      <c r="X4365" s="5" t="s">
        <v>67</v>
      </c>
      <c r="Y4365" s="4">
        <v>854</v>
      </c>
      <c r="Z4365" s="4">
        <v>35</v>
      </c>
      <c r="AA4365" s="4">
        <v>51</v>
      </c>
      <c r="AB4365" s="4">
        <v>1</v>
      </c>
      <c r="AC4365" s="4">
        <v>4</v>
      </c>
      <c r="AD4365" s="4">
        <v>85</v>
      </c>
      <c r="AE4365" s="4">
        <v>121</v>
      </c>
      <c r="AF4365" s="4">
        <v>0</v>
      </c>
      <c r="AG4365" s="4">
        <v>2</v>
      </c>
      <c r="AH4365" s="4">
        <v>68</v>
      </c>
      <c r="AI4365" s="4">
        <v>98</v>
      </c>
      <c r="AJ4365" s="4">
        <v>10</v>
      </c>
      <c r="AK4365" s="4">
        <v>19</v>
      </c>
      <c r="AL4365" s="4">
        <v>34</v>
      </c>
      <c r="AM4365" s="4">
        <v>47</v>
      </c>
      <c r="AN4365" s="4">
        <v>0</v>
      </c>
      <c r="AO4365" s="4">
        <v>0</v>
      </c>
      <c r="AP4365" s="4">
        <v>20</v>
      </c>
      <c r="AQ4365" s="4">
        <v>31</v>
      </c>
      <c r="AR4365" s="3" t="s">
        <v>62</v>
      </c>
      <c r="AS4365" s="3" t="s">
        <v>62</v>
      </c>
      <c r="AT4365" s="3" t="s">
        <v>61</v>
      </c>
      <c r="AU4365" s="6" t="str">
        <f>HYPERLINK("http://catalog.hathitrust.org/Record/001497537","HathiTrust Record")</f>
        <v>HathiTrust Record</v>
      </c>
      <c r="AV4365" s="6" t="str">
        <f>HYPERLINK("http://mcgill.on.worldcat.org/oclc/326442","Catalog Record")</f>
        <v>Catalog Record</v>
      </c>
      <c r="AW4365" s="6" t="str">
        <f>HYPERLINK("http://www.worldcat.org/oclc/326442","WorldCat Record")</f>
        <v>WorldCat Record</v>
      </c>
      <c r="AX4365" s="3" t="s">
        <v>41940</v>
      </c>
      <c r="AY4365" s="3" t="s">
        <v>41941</v>
      </c>
      <c r="AZ4365" s="3" t="s">
        <v>41942</v>
      </c>
      <c r="BA4365" s="3" t="s">
        <v>41942</v>
      </c>
      <c r="BB4365" s="3" t="s">
        <v>41943</v>
      </c>
      <c r="BC4365" s="3" t="s">
        <v>102</v>
      </c>
      <c r="BD4365" s="3" t="s">
        <v>68</v>
      </c>
      <c r="BE4365" s="3" t="s">
        <v>41944</v>
      </c>
      <c r="BF4365" s="3" t="s">
        <v>41943</v>
      </c>
      <c r="BG4365" s="3" t="s">
        <v>41945</v>
      </c>
    </row>
    <row r="4366" spans="1:59" ht="58" x14ac:dyDescent="0.35">
      <c r="A4366" s="2" t="s">
        <v>59</v>
      </c>
      <c r="B4366" s="2" t="s">
        <v>60</v>
      </c>
      <c r="C4366" s="2" t="s">
        <v>41946</v>
      </c>
      <c r="D4366" s="2" t="s">
        <v>41947</v>
      </c>
      <c r="E4366" s="2" t="s">
        <v>41948</v>
      </c>
      <c r="G4366" s="3" t="s">
        <v>62</v>
      </c>
      <c r="I4366" s="3" t="s">
        <v>62</v>
      </c>
      <c r="J4366" s="3" t="s">
        <v>62</v>
      </c>
      <c r="K4366" s="3" t="s">
        <v>63</v>
      </c>
      <c r="L4366" s="2" t="s">
        <v>41949</v>
      </c>
      <c r="M4366" s="2" t="s">
        <v>41950</v>
      </c>
      <c r="N4366" s="3" t="s">
        <v>2000</v>
      </c>
      <c r="O4366" s="2" t="s">
        <v>2187</v>
      </c>
      <c r="P4366" s="3" t="s">
        <v>64</v>
      </c>
      <c r="R4366" s="3" t="s">
        <v>40557</v>
      </c>
      <c r="S4366" s="4">
        <v>12</v>
      </c>
      <c r="T4366" s="4">
        <v>12</v>
      </c>
      <c r="U4366" s="5" t="s">
        <v>3898</v>
      </c>
      <c r="V4366" s="5" t="s">
        <v>3898</v>
      </c>
      <c r="W4366" s="5" t="s">
        <v>67</v>
      </c>
      <c r="X4366" s="5" t="s">
        <v>67</v>
      </c>
      <c r="Y4366" s="4">
        <v>746</v>
      </c>
      <c r="Z4366" s="4">
        <v>10</v>
      </c>
      <c r="AA4366" s="4">
        <v>10</v>
      </c>
      <c r="AB4366" s="4">
        <v>1</v>
      </c>
      <c r="AC4366" s="4">
        <v>1</v>
      </c>
      <c r="AD4366" s="4">
        <v>30</v>
      </c>
      <c r="AE4366" s="4">
        <v>31</v>
      </c>
      <c r="AF4366" s="4">
        <v>0</v>
      </c>
      <c r="AG4366" s="4">
        <v>0</v>
      </c>
      <c r="AH4366" s="4">
        <v>30</v>
      </c>
      <c r="AI4366" s="4">
        <v>31</v>
      </c>
      <c r="AJ4366" s="4">
        <v>1</v>
      </c>
      <c r="AK4366" s="4">
        <v>1</v>
      </c>
      <c r="AL4366" s="4">
        <v>15</v>
      </c>
      <c r="AM4366" s="4">
        <v>16</v>
      </c>
      <c r="AN4366" s="4">
        <v>0</v>
      </c>
      <c r="AO4366" s="4">
        <v>0</v>
      </c>
      <c r="AP4366" s="4">
        <v>1</v>
      </c>
      <c r="AQ4366" s="4">
        <v>1</v>
      </c>
      <c r="AR4366" s="3" t="s">
        <v>62</v>
      </c>
      <c r="AS4366" s="3" t="s">
        <v>62</v>
      </c>
      <c r="AT4366" s="3" t="s">
        <v>61</v>
      </c>
      <c r="AU4366" s="6" t="str">
        <f>HYPERLINK("http://catalog.hathitrust.org/Record/008364602","HathiTrust Record")</f>
        <v>HathiTrust Record</v>
      </c>
      <c r="AV4366" s="6" t="str">
        <f>HYPERLINK("http://mcgill.on.worldcat.org/oclc/34320440","Catalog Record")</f>
        <v>Catalog Record</v>
      </c>
      <c r="AW4366" s="6" t="str">
        <f>HYPERLINK("http://www.worldcat.org/oclc/34320440","WorldCat Record")</f>
        <v>WorldCat Record</v>
      </c>
      <c r="AX4366" s="3" t="s">
        <v>41951</v>
      </c>
      <c r="AY4366" s="3" t="s">
        <v>41952</v>
      </c>
      <c r="AZ4366" s="3" t="s">
        <v>41953</v>
      </c>
      <c r="BA4366" s="3" t="s">
        <v>41953</v>
      </c>
      <c r="BB4366" s="3" t="s">
        <v>41954</v>
      </c>
      <c r="BC4366" s="3" t="s">
        <v>102</v>
      </c>
      <c r="BD4366" s="3" t="s">
        <v>68</v>
      </c>
      <c r="BE4366" s="3" t="s">
        <v>41955</v>
      </c>
      <c r="BF4366" s="3" t="s">
        <v>41954</v>
      </c>
      <c r="BG4366" s="3" t="s">
        <v>41956</v>
      </c>
    </row>
    <row r="4367" spans="1:59" ht="101.5" x14ac:dyDescent="0.35">
      <c r="A4367" s="2" t="s">
        <v>59</v>
      </c>
      <c r="B4367" s="2" t="s">
        <v>60</v>
      </c>
      <c r="C4367" s="2" t="s">
        <v>41957</v>
      </c>
      <c r="D4367" s="2" t="s">
        <v>41958</v>
      </c>
      <c r="E4367" s="2" t="s">
        <v>41959</v>
      </c>
      <c r="G4367" s="3" t="s">
        <v>62</v>
      </c>
      <c r="I4367" s="3" t="s">
        <v>62</v>
      </c>
      <c r="J4367" s="3" t="s">
        <v>61</v>
      </c>
      <c r="K4367" s="3" t="s">
        <v>63</v>
      </c>
      <c r="L4367" s="2" t="s">
        <v>41960</v>
      </c>
      <c r="M4367" s="2" t="s">
        <v>41961</v>
      </c>
      <c r="N4367" s="3" t="s">
        <v>19618</v>
      </c>
      <c r="P4367" s="3" t="s">
        <v>64</v>
      </c>
      <c r="R4367" s="3" t="s">
        <v>40557</v>
      </c>
      <c r="S4367" s="4">
        <v>5</v>
      </c>
      <c r="T4367" s="4">
        <v>5</v>
      </c>
      <c r="U4367" s="5" t="s">
        <v>34669</v>
      </c>
      <c r="V4367" s="5" t="s">
        <v>34669</v>
      </c>
      <c r="W4367" s="5" t="s">
        <v>67</v>
      </c>
      <c r="X4367" s="5" t="s">
        <v>67</v>
      </c>
      <c r="Y4367" s="4">
        <v>159</v>
      </c>
      <c r="Z4367" s="4">
        <v>5</v>
      </c>
      <c r="AA4367" s="4">
        <v>29</v>
      </c>
      <c r="AB4367" s="4">
        <v>2</v>
      </c>
      <c r="AC4367" s="4">
        <v>6</v>
      </c>
      <c r="AD4367" s="4">
        <v>38</v>
      </c>
      <c r="AE4367" s="4">
        <v>111</v>
      </c>
      <c r="AF4367" s="4">
        <v>1</v>
      </c>
      <c r="AG4367" s="4">
        <v>3</v>
      </c>
      <c r="AH4367" s="4">
        <v>36</v>
      </c>
      <c r="AI4367" s="4">
        <v>99</v>
      </c>
      <c r="AJ4367" s="4">
        <v>1</v>
      </c>
      <c r="AK4367" s="4">
        <v>12</v>
      </c>
      <c r="AL4367" s="4">
        <v>22</v>
      </c>
      <c r="AM4367" s="4">
        <v>50</v>
      </c>
      <c r="AN4367" s="4">
        <v>0</v>
      </c>
      <c r="AO4367" s="4">
        <v>4</v>
      </c>
      <c r="AP4367" s="4">
        <v>2</v>
      </c>
      <c r="AQ4367" s="4">
        <v>17</v>
      </c>
      <c r="AR4367" s="3" t="s">
        <v>62</v>
      </c>
      <c r="AS4367" s="3" t="s">
        <v>61</v>
      </c>
      <c r="AT4367" s="3" t="s">
        <v>62</v>
      </c>
      <c r="AU4367" s="6" t="str">
        <f>HYPERLINK("http://catalog.hathitrust.org/Record/008593928","HathiTrust Record")</f>
        <v>HathiTrust Record</v>
      </c>
      <c r="AV4367" s="6" t="str">
        <f>HYPERLINK("http://mcgill.on.worldcat.org/oclc/1083270","Catalog Record")</f>
        <v>Catalog Record</v>
      </c>
      <c r="AW4367" s="6" t="str">
        <f>HYPERLINK("http://www.worldcat.org/oclc/1083270","WorldCat Record")</f>
        <v>WorldCat Record</v>
      </c>
      <c r="AX4367" s="3" t="s">
        <v>41962</v>
      </c>
      <c r="AY4367" s="3" t="s">
        <v>41963</v>
      </c>
      <c r="AZ4367" s="3" t="s">
        <v>41964</v>
      </c>
      <c r="BA4367" s="3" t="s">
        <v>41964</v>
      </c>
      <c r="BB4367" s="3" t="s">
        <v>41965</v>
      </c>
      <c r="BC4367" s="3" t="s">
        <v>102</v>
      </c>
      <c r="BD4367" s="3" t="s">
        <v>231</v>
      </c>
      <c r="BF4367" s="3" t="s">
        <v>41965</v>
      </c>
      <c r="BG4367" s="3" t="s">
        <v>41966</v>
      </c>
    </row>
    <row r="4368" spans="1:59" ht="101.5" x14ac:dyDescent="0.35">
      <c r="A4368" s="2" t="s">
        <v>59</v>
      </c>
      <c r="B4368" s="2" t="s">
        <v>60</v>
      </c>
      <c r="C4368" s="2" t="s">
        <v>41967</v>
      </c>
      <c r="D4368" s="2" t="s">
        <v>41968</v>
      </c>
      <c r="E4368" s="2" t="s">
        <v>41959</v>
      </c>
      <c r="G4368" s="3" t="s">
        <v>62</v>
      </c>
      <c r="I4368" s="3" t="s">
        <v>61</v>
      </c>
      <c r="J4368" s="3" t="s">
        <v>61</v>
      </c>
      <c r="K4368" s="3" t="s">
        <v>63</v>
      </c>
      <c r="L4368" s="2" t="s">
        <v>41960</v>
      </c>
      <c r="M4368" s="2" t="s">
        <v>41969</v>
      </c>
      <c r="N4368" s="3" t="s">
        <v>24487</v>
      </c>
      <c r="P4368" s="3" t="s">
        <v>64</v>
      </c>
      <c r="Q4368" s="2" t="s">
        <v>41970</v>
      </c>
      <c r="R4368" s="3" t="s">
        <v>40557</v>
      </c>
      <c r="S4368" s="4">
        <v>6</v>
      </c>
      <c r="T4368" s="4">
        <v>10</v>
      </c>
      <c r="U4368" s="5" t="s">
        <v>16047</v>
      </c>
      <c r="V4368" s="5" t="s">
        <v>16047</v>
      </c>
      <c r="W4368" s="5" t="s">
        <v>67</v>
      </c>
      <c r="X4368" s="5" t="s">
        <v>67</v>
      </c>
      <c r="Y4368" s="4">
        <v>252</v>
      </c>
      <c r="Z4368" s="4">
        <v>5</v>
      </c>
      <c r="AA4368" s="4">
        <v>29</v>
      </c>
      <c r="AB4368" s="4">
        <v>1</v>
      </c>
      <c r="AC4368" s="4">
        <v>6</v>
      </c>
      <c r="AD4368" s="4">
        <v>53</v>
      </c>
      <c r="AE4368" s="4">
        <v>111</v>
      </c>
      <c r="AF4368" s="4">
        <v>0</v>
      </c>
      <c r="AG4368" s="4">
        <v>3</v>
      </c>
      <c r="AH4368" s="4">
        <v>51</v>
      </c>
      <c r="AI4368" s="4">
        <v>99</v>
      </c>
      <c r="AJ4368" s="4">
        <v>2</v>
      </c>
      <c r="AK4368" s="4">
        <v>12</v>
      </c>
      <c r="AL4368" s="4">
        <v>24</v>
      </c>
      <c r="AM4368" s="4">
        <v>50</v>
      </c>
      <c r="AN4368" s="4">
        <v>0</v>
      </c>
      <c r="AO4368" s="4">
        <v>4</v>
      </c>
      <c r="AP4368" s="4">
        <v>3</v>
      </c>
      <c r="AQ4368" s="4">
        <v>17</v>
      </c>
      <c r="AR4368" s="3" t="s">
        <v>62</v>
      </c>
      <c r="AS4368" s="3" t="s">
        <v>61</v>
      </c>
      <c r="AT4368" s="3" t="s">
        <v>62</v>
      </c>
      <c r="AU4368" s="6" t="str">
        <f>HYPERLINK("http://catalog.hathitrust.org/Record/001996629","HathiTrust Record")</f>
        <v>HathiTrust Record</v>
      </c>
      <c r="AV4368" s="6" t="str">
        <f>HYPERLINK("http://mcgill.on.worldcat.org/oclc/268855","Catalog Record")</f>
        <v>Catalog Record</v>
      </c>
      <c r="AW4368" s="6" t="str">
        <f>HYPERLINK("http://www.worldcat.org/oclc/268855","WorldCat Record")</f>
        <v>WorldCat Record</v>
      </c>
      <c r="AX4368" s="3" t="s">
        <v>41962</v>
      </c>
      <c r="AY4368" s="3" t="s">
        <v>41971</v>
      </c>
      <c r="AZ4368" s="3" t="s">
        <v>41972</v>
      </c>
      <c r="BA4368" s="3" t="s">
        <v>41972</v>
      </c>
      <c r="BB4368" s="3" t="s">
        <v>41973</v>
      </c>
      <c r="BC4368" s="3" t="s">
        <v>102</v>
      </c>
      <c r="BD4368" s="3" t="s">
        <v>231</v>
      </c>
      <c r="BF4368" s="3" t="s">
        <v>41973</v>
      </c>
      <c r="BG4368" s="3" t="s">
        <v>41974</v>
      </c>
    </row>
    <row r="4369" spans="1:59" ht="101.5" x14ac:dyDescent="0.35">
      <c r="A4369" s="2" t="s">
        <v>59</v>
      </c>
      <c r="B4369" s="2" t="s">
        <v>60</v>
      </c>
      <c r="C4369" s="2" t="s">
        <v>41967</v>
      </c>
      <c r="D4369" s="2" t="s">
        <v>41968</v>
      </c>
      <c r="E4369" s="2" t="s">
        <v>41959</v>
      </c>
      <c r="G4369" s="3" t="s">
        <v>62</v>
      </c>
      <c r="I4369" s="3" t="s">
        <v>61</v>
      </c>
      <c r="J4369" s="3" t="s">
        <v>61</v>
      </c>
      <c r="K4369" s="3" t="s">
        <v>63</v>
      </c>
      <c r="L4369" s="2" t="s">
        <v>41960</v>
      </c>
      <c r="M4369" s="2" t="s">
        <v>41969</v>
      </c>
      <c r="N4369" s="3" t="s">
        <v>24487</v>
      </c>
      <c r="P4369" s="3" t="s">
        <v>64</v>
      </c>
      <c r="Q4369" s="2" t="s">
        <v>41970</v>
      </c>
      <c r="R4369" s="3" t="s">
        <v>40557</v>
      </c>
      <c r="S4369" s="4">
        <v>4</v>
      </c>
      <c r="T4369" s="4">
        <v>10</v>
      </c>
      <c r="V4369" s="5" t="s">
        <v>16047</v>
      </c>
      <c r="W4369" s="5" t="s">
        <v>67</v>
      </c>
      <c r="X4369" s="5" t="s">
        <v>67</v>
      </c>
      <c r="Y4369" s="4">
        <v>252</v>
      </c>
      <c r="Z4369" s="4">
        <v>5</v>
      </c>
      <c r="AA4369" s="4">
        <v>29</v>
      </c>
      <c r="AB4369" s="4">
        <v>1</v>
      </c>
      <c r="AC4369" s="4">
        <v>6</v>
      </c>
      <c r="AD4369" s="4">
        <v>53</v>
      </c>
      <c r="AE4369" s="4">
        <v>111</v>
      </c>
      <c r="AF4369" s="4">
        <v>0</v>
      </c>
      <c r="AG4369" s="4">
        <v>3</v>
      </c>
      <c r="AH4369" s="4">
        <v>51</v>
      </c>
      <c r="AI4369" s="4">
        <v>99</v>
      </c>
      <c r="AJ4369" s="4">
        <v>2</v>
      </c>
      <c r="AK4369" s="4">
        <v>12</v>
      </c>
      <c r="AL4369" s="4">
        <v>24</v>
      </c>
      <c r="AM4369" s="4">
        <v>50</v>
      </c>
      <c r="AN4369" s="4">
        <v>0</v>
      </c>
      <c r="AO4369" s="4">
        <v>4</v>
      </c>
      <c r="AP4369" s="4">
        <v>3</v>
      </c>
      <c r="AQ4369" s="4">
        <v>17</v>
      </c>
      <c r="AR4369" s="3" t="s">
        <v>62</v>
      </c>
      <c r="AS4369" s="3" t="s">
        <v>61</v>
      </c>
      <c r="AT4369" s="3" t="s">
        <v>62</v>
      </c>
      <c r="AU4369" s="6" t="str">
        <f>HYPERLINK("http://catalog.hathitrust.org/Record/001996629","HathiTrust Record")</f>
        <v>HathiTrust Record</v>
      </c>
      <c r="AV4369" s="6" t="str">
        <f>HYPERLINK("http://mcgill.on.worldcat.org/oclc/268855","Catalog Record")</f>
        <v>Catalog Record</v>
      </c>
      <c r="AW4369" s="6" t="str">
        <f>HYPERLINK("http://www.worldcat.org/oclc/268855","WorldCat Record")</f>
        <v>WorldCat Record</v>
      </c>
      <c r="AX4369" s="3" t="s">
        <v>41962</v>
      </c>
      <c r="AY4369" s="3" t="s">
        <v>41971</v>
      </c>
      <c r="AZ4369" s="3" t="s">
        <v>41972</v>
      </c>
      <c r="BA4369" s="3" t="s">
        <v>41972</v>
      </c>
      <c r="BB4369" s="3" t="s">
        <v>41975</v>
      </c>
      <c r="BC4369" s="3" t="s">
        <v>102</v>
      </c>
      <c r="BD4369" s="3" t="s">
        <v>231</v>
      </c>
      <c r="BF4369" s="3" t="s">
        <v>41975</v>
      </c>
      <c r="BG4369" s="3" t="s">
        <v>41976</v>
      </c>
    </row>
    <row r="4370" spans="1:59" ht="58" x14ac:dyDescent="0.35">
      <c r="A4370" s="2" t="s">
        <v>59</v>
      </c>
      <c r="B4370" s="2" t="s">
        <v>60</v>
      </c>
      <c r="C4370" s="2" t="s">
        <v>41977</v>
      </c>
      <c r="D4370" s="2" t="s">
        <v>41978</v>
      </c>
      <c r="E4370" s="2" t="s">
        <v>41979</v>
      </c>
      <c r="G4370" s="3" t="s">
        <v>62</v>
      </c>
      <c r="I4370" s="3" t="s">
        <v>61</v>
      </c>
      <c r="J4370" s="3" t="s">
        <v>62</v>
      </c>
      <c r="K4370" s="3" t="s">
        <v>63</v>
      </c>
      <c r="L4370" s="2" t="s">
        <v>41980</v>
      </c>
      <c r="M4370" s="2" t="s">
        <v>41981</v>
      </c>
      <c r="N4370" s="3" t="s">
        <v>285</v>
      </c>
      <c r="P4370" s="3" t="s">
        <v>85</v>
      </c>
      <c r="R4370" s="3" t="s">
        <v>40557</v>
      </c>
      <c r="S4370" s="4">
        <v>8</v>
      </c>
      <c r="T4370" s="4">
        <v>43</v>
      </c>
      <c r="U4370" s="5" t="s">
        <v>41982</v>
      </c>
      <c r="V4370" s="5" t="s">
        <v>13723</v>
      </c>
      <c r="W4370" s="5" t="s">
        <v>67</v>
      </c>
      <c r="X4370" s="5" t="s">
        <v>67</v>
      </c>
      <c r="Y4370" s="4">
        <v>47</v>
      </c>
      <c r="Z4370" s="4">
        <v>17</v>
      </c>
      <c r="AA4370" s="4">
        <v>38</v>
      </c>
      <c r="AB4370" s="4">
        <v>3</v>
      </c>
      <c r="AC4370" s="4">
        <v>16</v>
      </c>
      <c r="AD4370" s="4">
        <v>27</v>
      </c>
      <c r="AE4370" s="4">
        <v>36</v>
      </c>
      <c r="AF4370" s="4">
        <v>2</v>
      </c>
      <c r="AG4370" s="4">
        <v>6</v>
      </c>
      <c r="AH4370" s="4">
        <v>21</v>
      </c>
      <c r="AI4370" s="4">
        <v>23</v>
      </c>
      <c r="AJ4370" s="4">
        <v>10</v>
      </c>
      <c r="AK4370" s="4">
        <v>17</v>
      </c>
      <c r="AL4370" s="4">
        <v>12</v>
      </c>
      <c r="AM4370" s="4">
        <v>12</v>
      </c>
      <c r="AN4370" s="4">
        <v>0</v>
      </c>
      <c r="AO4370" s="4">
        <v>0</v>
      </c>
      <c r="AP4370" s="4">
        <v>12</v>
      </c>
      <c r="AQ4370" s="4">
        <v>18</v>
      </c>
      <c r="AR4370" s="3" t="s">
        <v>61</v>
      </c>
      <c r="AS4370" s="3" t="s">
        <v>62</v>
      </c>
      <c r="AT4370" s="3" t="s">
        <v>61</v>
      </c>
      <c r="AU4370" s="6" t="str">
        <f>HYPERLINK("http://catalog.hathitrust.org/Record/002502818","HathiTrust Record")</f>
        <v>HathiTrust Record</v>
      </c>
      <c r="AV4370" s="6" t="str">
        <f>HYPERLINK("http://mcgill.on.worldcat.org/oclc/6479517","Catalog Record")</f>
        <v>Catalog Record</v>
      </c>
      <c r="AW4370" s="6" t="str">
        <f>HYPERLINK("http://www.worldcat.org/oclc/6479517","WorldCat Record")</f>
        <v>WorldCat Record</v>
      </c>
      <c r="AX4370" s="3" t="s">
        <v>41983</v>
      </c>
      <c r="AY4370" s="3" t="s">
        <v>41984</v>
      </c>
      <c r="AZ4370" s="3" t="s">
        <v>41985</v>
      </c>
      <c r="BA4370" s="3" t="s">
        <v>41985</v>
      </c>
      <c r="BB4370" s="3" t="s">
        <v>41986</v>
      </c>
      <c r="BC4370" s="3" t="s">
        <v>102</v>
      </c>
      <c r="BD4370" s="3" t="s">
        <v>68</v>
      </c>
      <c r="BF4370" s="3" t="s">
        <v>41986</v>
      </c>
      <c r="BG4370" s="3" t="s">
        <v>41987</v>
      </c>
    </row>
    <row r="4371" spans="1:59" ht="58" x14ac:dyDescent="0.35">
      <c r="A4371" s="2" t="s">
        <v>59</v>
      </c>
      <c r="B4371" s="2" t="s">
        <v>60</v>
      </c>
      <c r="C4371" s="2" t="s">
        <v>41988</v>
      </c>
      <c r="D4371" s="2" t="s">
        <v>41989</v>
      </c>
      <c r="E4371" s="2" t="s">
        <v>41990</v>
      </c>
      <c r="G4371" s="3" t="s">
        <v>62</v>
      </c>
      <c r="I4371" s="3" t="s">
        <v>61</v>
      </c>
      <c r="J4371" s="3" t="s">
        <v>62</v>
      </c>
      <c r="K4371" s="3" t="s">
        <v>63</v>
      </c>
      <c r="M4371" s="2" t="s">
        <v>41991</v>
      </c>
      <c r="N4371" s="3" t="s">
        <v>327</v>
      </c>
      <c r="P4371" s="3" t="s">
        <v>64</v>
      </c>
      <c r="Q4371" s="2" t="s">
        <v>41992</v>
      </c>
      <c r="R4371" s="3" t="s">
        <v>40557</v>
      </c>
      <c r="S4371" s="4">
        <v>10</v>
      </c>
      <c r="T4371" s="4">
        <v>32</v>
      </c>
      <c r="U4371" s="5" t="s">
        <v>41993</v>
      </c>
      <c r="V4371" s="5" t="s">
        <v>8626</v>
      </c>
      <c r="W4371" s="5" t="s">
        <v>67</v>
      </c>
      <c r="X4371" s="5" t="s">
        <v>67</v>
      </c>
      <c r="Y4371" s="4">
        <v>385</v>
      </c>
      <c r="Z4371" s="4">
        <v>26</v>
      </c>
      <c r="AA4371" s="4">
        <v>30</v>
      </c>
      <c r="AB4371" s="4">
        <v>3</v>
      </c>
      <c r="AC4371" s="4">
        <v>6</v>
      </c>
      <c r="AD4371" s="4">
        <v>113</v>
      </c>
      <c r="AE4371" s="4">
        <v>118</v>
      </c>
      <c r="AF4371" s="4">
        <v>1</v>
      </c>
      <c r="AG4371" s="4">
        <v>3</v>
      </c>
      <c r="AH4371" s="4">
        <v>97</v>
      </c>
      <c r="AI4371" s="4">
        <v>100</v>
      </c>
      <c r="AJ4371" s="4">
        <v>19</v>
      </c>
      <c r="AK4371" s="4">
        <v>21</v>
      </c>
      <c r="AL4371" s="4">
        <v>52</v>
      </c>
      <c r="AM4371" s="4">
        <v>53</v>
      </c>
      <c r="AN4371" s="4">
        <v>0</v>
      </c>
      <c r="AO4371" s="4">
        <v>0</v>
      </c>
      <c r="AP4371" s="4">
        <v>21</v>
      </c>
      <c r="AQ4371" s="4">
        <v>23</v>
      </c>
      <c r="AR4371" s="3" t="s">
        <v>62</v>
      </c>
      <c r="AS4371" s="3" t="s">
        <v>62</v>
      </c>
      <c r="AT4371" s="3" t="s">
        <v>61</v>
      </c>
      <c r="AU4371" s="6" t="str">
        <f>HYPERLINK("http://catalog.hathitrust.org/Record/000153165","HathiTrust Record")</f>
        <v>HathiTrust Record</v>
      </c>
      <c r="AV4371" s="6" t="str">
        <f>HYPERLINK("http://mcgill.on.worldcat.org/oclc/9488663","Catalog Record")</f>
        <v>Catalog Record</v>
      </c>
      <c r="AW4371" s="6" t="str">
        <f>HYPERLINK("http://www.worldcat.org/oclc/9488663","WorldCat Record")</f>
        <v>WorldCat Record</v>
      </c>
      <c r="AX4371" s="3" t="s">
        <v>41994</v>
      </c>
      <c r="AY4371" s="3" t="s">
        <v>41995</v>
      </c>
      <c r="AZ4371" s="3" t="s">
        <v>41996</v>
      </c>
      <c r="BA4371" s="3" t="s">
        <v>41996</v>
      </c>
      <c r="BB4371" s="3" t="s">
        <v>41997</v>
      </c>
      <c r="BC4371" s="3" t="s">
        <v>102</v>
      </c>
      <c r="BD4371" s="3" t="s">
        <v>68</v>
      </c>
      <c r="BE4371" s="3" t="s">
        <v>41998</v>
      </c>
      <c r="BF4371" s="3" t="s">
        <v>41997</v>
      </c>
      <c r="BG4371" s="3" t="s">
        <v>41999</v>
      </c>
    </row>
    <row r="4372" spans="1:59" ht="58" x14ac:dyDescent="0.35">
      <c r="A4372" s="2" t="s">
        <v>59</v>
      </c>
      <c r="B4372" s="2" t="s">
        <v>60</v>
      </c>
      <c r="C4372" s="2" t="s">
        <v>42000</v>
      </c>
      <c r="D4372" s="2" t="s">
        <v>42001</v>
      </c>
      <c r="E4372" s="2" t="s">
        <v>42002</v>
      </c>
      <c r="F4372" s="3" t="s">
        <v>2248</v>
      </c>
      <c r="G4372" s="3" t="s">
        <v>61</v>
      </c>
      <c r="I4372" s="3" t="s">
        <v>62</v>
      </c>
      <c r="J4372" s="3" t="s">
        <v>61</v>
      </c>
      <c r="K4372" s="3" t="s">
        <v>63</v>
      </c>
      <c r="M4372" s="2" t="s">
        <v>42003</v>
      </c>
      <c r="N4372" s="3" t="s">
        <v>3062</v>
      </c>
      <c r="P4372" s="3" t="s">
        <v>64</v>
      </c>
      <c r="Q4372" s="2" t="s">
        <v>42004</v>
      </c>
      <c r="R4372" s="3" t="s">
        <v>40557</v>
      </c>
      <c r="S4372" s="4">
        <v>16</v>
      </c>
      <c r="T4372" s="4">
        <v>69</v>
      </c>
      <c r="U4372" s="5" t="s">
        <v>42005</v>
      </c>
      <c r="V4372" s="5" t="s">
        <v>35267</v>
      </c>
      <c r="W4372" s="5" t="s">
        <v>67</v>
      </c>
      <c r="X4372" s="5" t="s">
        <v>67</v>
      </c>
      <c r="Y4372" s="4">
        <v>331</v>
      </c>
      <c r="Z4372" s="4">
        <v>19</v>
      </c>
      <c r="AA4372" s="4">
        <v>33</v>
      </c>
      <c r="AB4372" s="4">
        <v>2</v>
      </c>
      <c r="AC4372" s="4">
        <v>7</v>
      </c>
      <c r="AD4372" s="4">
        <v>107</v>
      </c>
      <c r="AE4372" s="4">
        <v>127</v>
      </c>
      <c r="AF4372" s="4">
        <v>1</v>
      </c>
      <c r="AG4372" s="4">
        <v>5</v>
      </c>
      <c r="AH4372" s="4">
        <v>93</v>
      </c>
      <c r="AI4372" s="4">
        <v>107</v>
      </c>
      <c r="AJ4372" s="4">
        <v>15</v>
      </c>
      <c r="AK4372" s="4">
        <v>24</v>
      </c>
      <c r="AL4372" s="4">
        <v>56</v>
      </c>
      <c r="AM4372" s="4">
        <v>59</v>
      </c>
      <c r="AN4372" s="4">
        <v>0</v>
      </c>
      <c r="AO4372" s="4">
        <v>2</v>
      </c>
      <c r="AP4372" s="4">
        <v>16</v>
      </c>
      <c r="AQ4372" s="4">
        <v>25</v>
      </c>
      <c r="AR4372" s="3" t="s">
        <v>62</v>
      </c>
      <c r="AS4372" s="3" t="s">
        <v>62</v>
      </c>
      <c r="AT4372" s="3" t="s">
        <v>61</v>
      </c>
      <c r="AU4372" s="6" t="str">
        <f>HYPERLINK("http://catalog.hathitrust.org/Record/002574646","HathiTrust Record")</f>
        <v>HathiTrust Record</v>
      </c>
      <c r="AV4372" s="6" t="str">
        <f>HYPERLINK("http://mcgill.on.worldcat.org/oclc/22207415","Catalog Record")</f>
        <v>Catalog Record</v>
      </c>
      <c r="AW4372" s="6" t="str">
        <f>HYPERLINK("http://www.worldcat.org/oclc/22207415","WorldCat Record")</f>
        <v>WorldCat Record</v>
      </c>
      <c r="AX4372" s="3" t="s">
        <v>42006</v>
      </c>
      <c r="AY4372" s="3" t="s">
        <v>42007</v>
      </c>
      <c r="AZ4372" s="3" t="s">
        <v>42008</v>
      </c>
      <c r="BA4372" s="3" t="s">
        <v>42008</v>
      </c>
      <c r="BB4372" s="3" t="s">
        <v>42009</v>
      </c>
      <c r="BC4372" s="3" t="s">
        <v>102</v>
      </c>
      <c r="BD4372" s="3" t="s">
        <v>68</v>
      </c>
      <c r="BE4372" s="3" t="s">
        <v>42010</v>
      </c>
      <c r="BF4372" s="3" t="s">
        <v>42009</v>
      </c>
      <c r="BG4372" s="3" t="s">
        <v>42011</v>
      </c>
    </row>
    <row r="4373" spans="1:59" ht="58" x14ac:dyDescent="0.35">
      <c r="A4373" s="2" t="s">
        <v>59</v>
      </c>
      <c r="B4373" s="2" t="s">
        <v>60</v>
      </c>
      <c r="C4373" s="2" t="s">
        <v>42000</v>
      </c>
      <c r="D4373" s="2" t="s">
        <v>42001</v>
      </c>
      <c r="E4373" s="2" t="s">
        <v>42002</v>
      </c>
      <c r="F4373" s="3" t="s">
        <v>2233</v>
      </c>
      <c r="G4373" s="3" t="s">
        <v>61</v>
      </c>
      <c r="I4373" s="3" t="s">
        <v>62</v>
      </c>
      <c r="J4373" s="3" t="s">
        <v>61</v>
      </c>
      <c r="K4373" s="3" t="s">
        <v>63</v>
      </c>
      <c r="M4373" s="2" t="s">
        <v>42003</v>
      </c>
      <c r="N4373" s="3" t="s">
        <v>3062</v>
      </c>
      <c r="P4373" s="3" t="s">
        <v>64</v>
      </c>
      <c r="Q4373" s="2" t="s">
        <v>42004</v>
      </c>
      <c r="R4373" s="3" t="s">
        <v>40557</v>
      </c>
      <c r="S4373" s="4">
        <v>21</v>
      </c>
      <c r="T4373" s="4">
        <v>69</v>
      </c>
      <c r="U4373" s="5" t="s">
        <v>42012</v>
      </c>
      <c r="V4373" s="5" t="s">
        <v>35267</v>
      </c>
      <c r="W4373" s="5" t="s">
        <v>67</v>
      </c>
      <c r="X4373" s="5" t="s">
        <v>67</v>
      </c>
      <c r="Y4373" s="4">
        <v>331</v>
      </c>
      <c r="Z4373" s="4">
        <v>19</v>
      </c>
      <c r="AA4373" s="4">
        <v>33</v>
      </c>
      <c r="AB4373" s="4">
        <v>2</v>
      </c>
      <c r="AC4373" s="4">
        <v>7</v>
      </c>
      <c r="AD4373" s="4">
        <v>107</v>
      </c>
      <c r="AE4373" s="4">
        <v>127</v>
      </c>
      <c r="AF4373" s="4">
        <v>1</v>
      </c>
      <c r="AG4373" s="4">
        <v>5</v>
      </c>
      <c r="AH4373" s="4">
        <v>93</v>
      </c>
      <c r="AI4373" s="4">
        <v>107</v>
      </c>
      <c r="AJ4373" s="4">
        <v>15</v>
      </c>
      <c r="AK4373" s="4">
        <v>24</v>
      </c>
      <c r="AL4373" s="4">
        <v>56</v>
      </c>
      <c r="AM4373" s="4">
        <v>59</v>
      </c>
      <c r="AN4373" s="4">
        <v>0</v>
      </c>
      <c r="AO4373" s="4">
        <v>2</v>
      </c>
      <c r="AP4373" s="4">
        <v>16</v>
      </c>
      <c r="AQ4373" s="4">
        <v>25</v>
      </c>
      <c r="AR4373" s="3" t="s">
        <v>62</v>
      </c>
      <c r="AS4373" s="3" t="s">
        <v>62</v>
      </c>
      <c r="AT4373" s="3" t="s">
        <v>61</v>
      </c>
      <c r="AU4373" s="6" t="str">
        <f>HYPERLINK("http://catalog.hathitrust.org/Record/002574646","HathiTrust Record")</f>
        <v>HathiTrust Record</v>
      </c>
      <c r="AV4373" s="6" t="str">
        <f>HYPERLINK("http://mcgill.on.worldcat.org/oclc/22207415","Catalog Record")</f>
        <v>Catalog Record</v>
      </c>
      <c r="AW4373" s="6" t="str">
        <f>HYPERLINK("http://www.worldcat.org/oclc/22207415","WorldCat Record")</f>
        <v>WorldCat Record</v>
      </c>
      <c r="AX4373" s="3" t="s">
        <v>42006</v>
      </c>
      <c r="AY4373" s="3" t="s">
        <v>42007</v>
      </c>
      <c r="AZ4373" s="3" t="s">
        <v>42008</v>
      </c>
      <c r="BA4373" s="3" t="s">
        <v>42008</v>
      </c>
      <c r="BB4373" s="3" t="s">
        <v>42013</v>
      </c>
      <c r="BC4373" s="3" t="s">
        <v>102</v>
      </c>
      <c r="BD4373" s="3" t="s">
        <v>68</v>
      </c>
      <c r="BE4373" s="3" t="s">
        <v>42010</v>
      </c>
      <c r="BF4373" s="3" t="s">
        <v>42013</v>
      </c>
      <c r="BG4373" s="3" t="s">
        <v>42014</v>
      </c>
    </row>
    <row r="4374" spans="1:59" ht="58" x14ac:dyDescent="0.35">
      <c r="A4374" s="2" t="s">
        <v>59</v>
      </c>
      <c r="B4374" s="2" t="s">
        <v>60</v>
      </c>
      <c r="C4374" s="2" t="s">
        <v>42000</v>
      </c>
      <c r="D4374" s="2" t="s">
        <v>42001</v>
      </c>
      <c r="E4374" s="2" t="s">
        <v>42002</v>
      </c>
      <c r="F4374" s="3" t="s">
        <v>2217</v>
      </c>
      <c r="G4374" s="3" t="s">
        <v>61</v>
      </c>
      <c r="I4374" s="3" t="s">
        <v>62</v>
      </c>
      <c r="J4374" s="3" t="s">
        <v>61</v>
      </c>
      <c r="K4374" s="3" t="s">
        <v>63</v>
      </c>
      <c r="M4374" s="2" t="s">
        <v>42003</v>
      </c>
      <c r="N4374" s="3" t="s">
        <v>3062</v>
      </c>
      <c r="P4374" s="3" t="s">
        <v>64</v>
      </c>
      <c r="Q4374" s="2" t="s">
        <v>42004</v>
      </c>
      <c r="R4374" s="3" t="s">
        <v>40557</v>
      </c>
      <c r="S4374" s="4">
        <v>32</v>
      </c>
      <c r="T4374" s="4">
        <v>69</v>
      </c>
      <c r="U4374" s="5" t="s">
        <v>35267</v>
      </c>
      <c r="V4374" s="5" t="s">
        <v>35267</v>
      </c>
      <c r="W4374" s="5" t="s">
        <v>67</v>
      </c>
      <c r="X4374" s="5" t="s">
        <v>67</v>
      </c>
      <c r="Y4374" s="4">
        <v>331</v>
      </c>
      <c r="Z4374" s="4">
        <v>19</v>
      </c>
      <c r="AA4374" s="4">
        <v>33</v>
      </c>
      <c r="AB4374" s="4">
        <v>2</v>
      </c>
      <c r="AC4374" s="4">
        <v>7</v>
      </c>
      <c r="AD4374" s="4">
        <v>107</v>
      </c>
      <c r="AE4374" s="4">
        <v>127</v>
      </c>
      <c r="AF4374" s="4">
        <v>1</v>
      </c>
      <c r="AG4374" s="4">
        <v>5</v>
      </c>
      <c r="AH4374" s="4">
        <v>93</v>
      </c>
      <c r="AI4374" s="4">
        <v>107</v>
      </c>
      <c r="AJ4374" s="4">
        <v>15</v>
      </c>
      <c r="AK4374" s="4">
        <v>24</v>
      </c>
      <c r="AL4374" s="4">
        <v>56</v>
      </c>
      <c r="AM4374" s="4">
        <v>59</v>
      </c>
      <c r="AN4374" s="4">
        <v>0</v>
      </c>
      <c r="AO4374" s="4">
        <v>2</v>
      </c>
      <c r="AP4374" s="4">
        <v>16</v>
      </c>
      <c r="AQ4374" s="4">
        <v>25</v>
      </c>
      <c r="AR4374" s="3" t="s">
        <v>62</v>
      </c>
      <c r="AS4374" s="3" t="s">
        <v>62</v>
      </c>
      <c r="AT4374" s="3" t="s">
        <v>61</v>
      </c>
      <c r="AU4374" s="6" t="str">
        <f>HYPERLINK("http://catalog.hathitrust.org/Record/002574646","HathiTrust Record")</f>
        <v>HathiTrust Record</v>
      </c>
      <c r="AV4374" s="6" t="str">
        <f>HYPERLINK("http://mcgill.on.worldcat.org/oclc/22207415","Catalog Record")</f>
        <v>Catalog Record</v>
      </c>
      <c r="AW4374" s="6" t="str">
        <f>HYPERLINK("http://www.worldcat.org/oclc/22207415","WorldCat Record")</f>
        <v>WorldCat Record</v>
      </c>
      <c r="AX4374" s="3" t="s">
        <v>42006</v>
      </c>
      <c r="AY4374" s="3" t="s">
        <v>42007</v>
      </c>
      <c r="AZ4374" s="3" t="s">
        <v>42008</v>
      </c>
      <c r="BA4374" s="3" t="s">
        <v>42008</v>
      </c>
      <c r="BB4374" s="3" t="s">
        <v>42015</v>
      </c>
      <c r="BC4374" s="3" t="s">
        <v>102</v>
      </c>
      <c r="BD4374" s="3" t="s">
        <v>68</v>
      </c>
      <c r="BE4374" s="3" t="s">
        <v>42010</v>
      </c>
      <c r="BF4374" s="3" t="s">
        <v>42015</v>
      </c>
      <c r="BG4374" s="3" t="s">
        <v>42016</v>
      </c>
    </row>
    <row r="4375" spans="1:59" ht="58" x14ac:dyDescent="0.35">
      <c r="A4375" s="2" t="s">
        <v>59</v>
      </c>
      <c r="B4375" s="2" t="s">
        <v>60</v>
      </c>
      <c r="C4375" s="2" t="s">
        <v>42017</v>
      </c>
      <c r="D4375" s="2" t="s">
        <v>42018</v>
      </c>
      <c r="E4375" s="2" t="s">
        <v>42019</v>
      </c>
      <c r="G4375" s="3" t="s">
        <v>62</v>
      </c>
      <c r="I4375" s="3" t="s">
        <v>62</v>
      </c>
      <c r="J4375" s="3" t="s">
        <v>62</v>
      </c>
      <c r="K4375" s="3" t="s">
        <v>63</v>
      </c>
      <c r="L4375" s="2" t="s">
        <v>42020</v>
      </c>
      <c r="M4375" s="2" t="s">
        <v>42021</v>
      </c>
      <c r="N4375" s="3" t="s">
        <v>852</v>
      </c>
      <c r="P4375" s="3" t="s">
        <v>64</v>
      </c>
      <c r="Q4375" s="2" t="s">
        <v>42022</v>
      </c>
      <c r="R4375" s="3" t="s">
        <v>40557</v>
      </c>
      <c r="S4375" s="4">
        <v>2</v>
      </c>
      <c r="T4375" s="4">
        <v>2</v>
      </c>
      <c r="U4375" s="5" t="s">
        <v>1654</v>
      </c>
      <c r="V4375" s="5" t="s">
        <v>1654</v>
      </c>
      <c r="W4375" s="5" t="s">
        <v>67</v>
      </c>
      <c r="X4375" s="5" t="s">
        <v>67</v>
      </c>
      <c r="Y4375" s="4">
        <v>177</v>
      </c>
      <c r="Z4375" s="4">
        <v>16</v>
      </c>
      <c r="AA4375" s="4">
        <v>17</v>
      </c>
      <c r="AB4375" s="4">
        <v>1</v>
      </c>
      <c r="AC4375" s="4">
        <v>2</v>
      </c>
      <c r="AD4375" s="4">
        <v>69</v>
      </c>
      <c r="AE4375" s="4">
        <v>70</v>
      </c>
      <c r="AF4375" s="4">
        <v>0</v>
      </c>
      <c r="AG4375" s="4">
        <v>1</v>
      </c>
      <c r="AH4375" s="4">
        <v>62</v>
      </c>
      <c r="AI4375" s="4">
        <v>63</v>
      </c>
      <c r="AJ4375" s="4">
        <v>11</v>
      </c>
      <c r="AK4375" s="4">
        <v>12</v>
      </c>
      <c r="AL4375" s="4">
        <v>34</v>
      </c>
      <c r="AM4375" s="4">
        <v>34</v>
      </c>
      <c r="AN4375" s="4">
        <v>0</v>
      </c>
      <c r="AO4375" s="4">
        <v>0</v>
      </c>
      <c r="AP4375" s="4">
        <v>13</v>
      </c>
      <c r="AQ4375" s="4">
        <v>14</v>
      </c>
      <c r="AR4375" s="3" t="s">
        <v>62</v>
      </c>
      <c r="AS4375" s="3" t="s">
        <v>62</v>
      </c>
      <c r="AT4375" s="3" t="s">
        <v>61</v>
      </c>
      <c r="AU4375" s="6" t="str">
        <f>HYPERLINK("http://catalog.hathitrust.org/Record/001665001","HathiTrust Record")</f>
        <v>HathiTrust Record</v>
      </c>
      <c r="AV4375" s="6" t="str">
        <f>HYPERLINK("http://mcgill.on.worldcat.org/oclc/12413","Catalog Record")</f>
        <v>Catalog Record</v>
      </c>
      <c r="AW4375" s="6" t="str">
        <f>HYPERLINK("http://www.worldcat.org/oclc/12413","WorldCat Record")</f>
        <v>WorldCat Record</v>
      </c>
      <c r="AX4375" s="3" t="s">
        <v>42023</v>
      </c>
      <c r="AY4375" s="3" t="s">
        <v>42024</v>
      </c>
      <c r="AZ4375" s="3" t="s">
        <v>42025</v>
      </c>
      <c r="BA4375" s="3" t="s">
        <v>42025</v>
      </c>
      <c r="BB4375" s="3" t="s">
        <v>42026</v>
      </c>
      <c r="BC4375" s="3" t="s">
        <v>102</v>
      </c>
      <c r="BD4375" s="3" t="s">
        <v>68</v>
      </c>
      <c r="BF4375" s="3" t="s">
        <v>42026</v>
      </c>
      <c r="BG4375" s="3" t="s">
        <v>42027</v>
      </c>
    </row>
    <row r="4376" spans="1:59" ht="72.5" x14ac:dyDescent="0.35">
      <c r="A4376" s="2" t="s">
        <v>59</v>
      </c>
      <c r="B4376" s="2" t="s">
        <v>60</v>
      </c>
      <c r="C4376" s="2" t="s">
        <v>42028</v>
      </c>
      <c r="D4376" s="2" t="s">
        <v>42029</v>
      </c>
      <c r="E4376" s="2" t="s">
        <v>42030</v>
      </c>
      <c r="G4376" s="3" t="s">
        <v>62</v>
      </c>
      <c r="I4376" s="3" t="s">
        <v>62</v>
      </c>
      <c r="J4376" s="3" t="s">
        <v>62</v>
      </c>
      <c r="K4376" s="3" t="s">
        <v>63</v>
      </c>
      <c r="L4376" s="2" t="s">
        <v>42031</v>
      </c>
      <c r="M4376" s="2" t="s">
        <v>42032</v>
      </c>
      <c r="N4376" s="3" t="s">
        <v>355</v>
      </c>
      <c r="O4376" s="2" t="s">
        <v>42033</v>
      </c>
      <c r="P4376" s="3" t="s">
        <v>1881</v>
      </c>
      <c r="R4376" s="3" t="s">
        <v>40557</v>
      </c>
      <c r="S4376" s="4">
        <v>3</v>
      </c>
      <c r="T4376" s="4">
        <v>3</v>
      </c>
      <c r="U4376" s="5" t="s">
        <v>20934</v>
      </c>
      <c r="V4376" s="5" t="s">
        <v>20934</v>
      </c>
      <c r="W4376" s="5" t="s">
        <v>67</v>
      </c>
      <c r="X4376" s="5" t="s">
        <v>67</v>
      </c>
      <c r="Y4376" s="4">
        <v>15</v>
      </c>
      <c r="Z4376" s="4">
        <v>1</v>
      </c>
      <c r="AA4376" s="4">
        <v>1</v>
      </c>
      <c r="AB4376" s="4">
        <v>1</v>
      </c>
      <c r="AC4376" s="4">
        <v>1</v>
      </c>
      <c r="AD4376" s="4">
        <v>1</v>
      </c>
      <c r="AE4376" s="4">
        <v>15</v>
      </c>
      <c r="AF4376" s="4">
        <v>0</v>
      </c>
      <c r="AG4376" s="4">
        <v>0</v>
      </c>
      <c r="AH4376" s="4">
        <v>1</v>
      </c>
      <c r="AI4376" s="4">
        <v>14</v>
      </c>
      <c r="AJ4376" s="4">
        <v>0</v>
      </c>
      <c r="AK4376" s="4">
        <v>0</v>
      </c>
      <c r="AL4376" s="4">
        <v>1</v>
      </c>
      <c r="AM4376" s="4">
        <v>11</v>
      </c>
      <c r="AN4376" s="4">
        <v>0</v>
      </c>
      <c r="AO4376" s="4">
        <v>0</v>
      </c>
      <c r="AP4376" s="4">
        <v>0</v>
      </c>
      <c r="AQ4376" s="4">
        <v>0</v>
      </c>
      <c r="AR4376" s="3" t="s">
        <v>62</v>
      </c>
      <c r="AS4376" s="3" t="s">
        <v>62</v>
      </c>
      <c r="AT4376" s="3" t="s">
        <v>62</v>
      </c>
      <c r="AV4376" s="6" t="str">
        <f>HYPERLINK("http://mcgill.on.worldcat.org/oclc/214298825","Catalog Record")</f>
        <v>Catalog Record</v>
      </c>
      <c r="AW4376" s="6" t="str">
        <f>HYPERLINK("http://www.worldcat.org/oclc/214298825","WorldCat Record")</f>
        <v>WorldCat Record</v>
      </c>
      <c r="AX4376" s="3" t="s">
        <v>42034</v>
      </c>
      <c r="AY4376" s="3" t="s">
        <v>42035</v>
      </c>
      <c r="AZ4376" s="3" t="s">
        <v>42036</v>
      </c>
      <c r="BA4376" s="3" t="s">
        <v>42036</v>
      </c>
      <c r="BB4376" s="3" t="s">
        <v>42037</v>
      </c>
      <c r="BC4376" s="3" t="s">
        <v>102</v>
      </c>
      <c r="BD4376" s="3" t="s">
        <v>68</v>
      </c>
      <c r="BE4376" s="3" t="s">
        <v>42038</v>
      </c>
      <c r="BF4376" s="3" t="s">
        <v>42037</v>
      </c>
      <c r="BG4376" s="3" t="s">
        <v>42039</v>
      </c>
    </row>
    <row r="4377" spans="1:59" ht="58" x14ac:dyDescent="0.35">
      <c r="A4377" s="2" t="s">
        <v>59</v>
      </c>
      <c r="B4377" s="2" t="s">
        <v>60</v>
      </c>
      <c r="C4377" s="2" t="s">
        <v>42040</v>
      </c>
      <c r="D4377" s="2" t="s">
        <v>42041</v>
      </c>
      <c r="E4377" s="2" t="s">
        <v>42042</v>
      </c>
      <c r="G4377" s="3" t="s">
        <v>62</v>
      </c>
      <c r="I4377" s="3" t="s">
        <v>62</v>
      </c>
      <c r="J4377" s="3" t="s">
        <v>62</v>
      </c>
      <c r="K4377" s="3" t="s">
        <v>63</v>
      </c>
      <c r="L4377" s="2" t="s">
        <v>42043</v>
      </c>
      <c r="M4377" s="2" t="s">
        <v>42044</v>
      </c>
      <c r="N4377" s="3" t="s">
        <v>424</v>
      </c>
      <c r="P4377" s="3" t="s">
        <v>64</v>
      </c>
      <c r="Q4377" s="2" t="s">
        <v>42045</v>
      </c>
      <c r="R4377" s="3" t="s">
        <v>40557</v>
      </c>
      <c r="S4377" s="4">
        <v>3</v>
      </c>
      <c r="T4377" s="4">
        <v>3</v>
      </c>
      <c r="U4377" s="5" t="s">
        <v>16350</v>
      </c>
      <c r="V4377" s="5" t="s">
        <v>16350</v>
      </c>
      <c r="W4377" s="5" t="s">
        <v>67</v>
      </c>
      <c r="X4377" s="5" t="s">
        <v>67</v>
      </c>
      <c r="Y4377" s="4">
        <v>233</v>
      </c>
      <c r="Z4377" s="4">
        <v>19</v>
      </c>
      <c r="AA4377" s="4">
        <v>21</v>
      </c>
      <c r="AB4377" s="4">
        <v>1</v>
      </c>
      <c r="AC4377" s="4">
        <v>3</v>
      </c>
      <c r="AD4377" s="4">
        <v>82</v>
      </c>
      <c r="AE4377" s="4">
        <v>84</v>
      </c>
      <c r="AF4377" s="4">
        <v>0</v>
      </c>
      <c r="AG4377" s="4">
        <v>2</v>
      </c>
      <c r="AH4377" s="4">
        <v>74</v>
      </c>
      <c r="AI4377" s="4">
        <v>74</v>
      </c>
      <c r="AJ4377" s="4">
        <v>12</v>
      </c>
      <c r="AK4377" s="4">
        <v>14</v>
      </c>
      <c r="AL4377" s="4">
        <v>35</v>
      </c>
      <c r="AM4377" s="4">
        <v>35</v>
      </c>
      <c r="AN4377" s="4">
        <v>0</v>
      </c>
      <c r="AO4377" s="4">
        <v>0</v>
      </c>
      <c r="AP4377" s="4">
        <v>14</v>
      </c>
      <c r="AQ4377" s="4">
        <v>15</v>
      </c>
      <c r="AR4377" s="3" t="s">
        <v>62</v>
      </c>
      <c r="AS4377" s="3" t="s">
        <v>62</v>
      </c>
      <c r="AT4377" s="3" t="s">
        <v>61</v>
      </c>
      <c r="AU4377" s="6" t="str">
        <f>HYPERLINK("http://catalog.hathitrust.org/Record/001069645","HathiTrust Record")</f>
        <v>HathiTrust Record</v>
      </c>
      <c r="AV4377" s="6" t="str">
        <f>HYPERLINK("http://mcgill.on.worldcat.org/oclc/18202314","Catalog Record")</f>
        <v>Catalog Record</v>
      </c>
      <c r="AW4377" s="6" t="str">
        <f>HYPERLINK("http://www.worldcat.org/oclc/18202314","WorldCat Record")</f>
        <v>WorldCat Record</v>
      </c>
      <c r="AX4377" s="3" t="s">
        <v>42046</v>
      </c>
      <c r="AY4377" s="3" t="s">
        <v>42047</v>
      </c>
      <c r="AZ4377" s="3" t="s">
        <v>42048</v>
      </c>
      <c r="BA4377" s="3" t="s">
        <v>42048</v>
      </c>
      <c r="BB4377" s="3" t="s">
        <v>42049</v>
      </c>
      <c r="BC4377" s="3" t="s">
        <v>102</v>
      </c>
      <c r="BD4377" s="3" t="s">
        <v>68</v>
      </c>
      <c r="BE4377" s="3" t="s">
        <v>42050</v>
      </c>
      <c r="BF4377" s="3" t="s">
        <v>42049</v>
      </c>
      <c r="BG4377" s="3" t="s">
        <v>42051</v>
      </c>
    </row>
    <row r="4378" spans="1:59" ht="58" x14ac:dyDescent="0.35">
      <c r="A4378" s="2" t="s">
        <v>59</v>
      </c>
      <c r="B4378" s="2" t="s">
        <v>60</v>
      </c>
      <c r="C4378" s="2" t="s">
        <v>42052</v>
      </c>
      <c r="D4378" s="2" t="s">
        <v>42053</v>
      </c>
      <c r="E4378" s="2" t="s">
        <v>42054</v>
      </c>
      <c r="G4378" s="3" t="s">
        <v>62</v>
      </c>
      <c r="I4378" s="3" t="s">
        <v>62</v>
      </c>
      <c r="J4378" s="3" t="s">
        <v>62</v>
      </c>
      <c r="K4378" s="3" t="s">
        <v>63</v>
      </c>
      <c r="L4378" s="2" t="s">
        <v>42055</v>
      </c>
      <c r="M4378" s="2" t="s">
        <v>42056</v>
      </c>
      <c r="N4378" s="3" t="s">
        <v>852</v>
      </c>
      <c r="P4378" s="3" t="s">
        <v>64</v>
      </c>
      <c r="Q4378" s="2" t="s">
        <v>42057</v>
      </c>
      <c r="R4378" s="3" t="s">
        <v>40557</v>
      </c>
      <c r="S4378" s="4">
        <v>10</v>
      </c>
      <c r="T4378" s="4">
        <v>10</v>
      </c>
      <c r="U4378" s="5" t="s">
        <v>17563</v>
      </c>
      <c r="V4378" s="5" t="s">
        <v>17563</v>
      </c>
      <c r="W4378" s="5" t="s">
        <v>67</v>
      </c>
      <c r="X4378" s="5" t="s">
        <v>67</v>
      </c>
      <c r="Y4378" s="4">
        <v>655</v>
      </c>
      <c r="Z4378" s="4">
        <v>38</v>
      </c>
      <c r="AA4378" s="4">
        <v>40</v>
      </c>
      <c r="AB4378" s="4">
        <v>4</v>
      </c>
      <c r="AC4378" s="4">
        <v>6</v>
      </c>
      <c r="AD4378" s="4">
        <v>94</v>
      </c>
      <c r="AE4378" s="4">
        <v>96</v>
      </c>
      <c r="AF4378" s="4">
        <v>1</v>
      </c>
      <c r="AG4378" s="4">
        <v>3</v>
      </c>
      <c r="AH4378" s="4">
        <v>77</v>
      </c>
      <c r="AI4378" s="4">
        <v>77</v>
      </c>
      <c r="AJ4378" s="4">
        <v>14</v>
      </c>
      <c r="AK4378" s="4">
        <v>16</v>
      </c>
      <c r="AL4378" s="4">
        <v>40</v>
      </c>
      <c r="AM4378" s="4">
        <v>40</v>
      </c>
      <c r="AN4378" s="4">
        <v>0</v>
      </c>
      <c r="AO4378" s="4">
        <v>0</v>
      </c>
      <c r="AP4378" s="4">
        <v>24</v>
      </c>
      <c r="AQ4378" s="4">
        <v>25</v>
      </c>
      <c r="AR4378" s="3" t="s">
        <v>62</v>
      </c>
      <c r="AS4378" s="3" t="s">
        <v>62</v>
      </c>
      <c r="AT4378" s="3" t="s">
        <v>61</v>
      </c>
      <c r="AU4378" s="6" t="str">
        <f>HYPERLINK("http://catalog.hathitrust.org/Record/001497813","HathiTrust Record")</f>
        <v>HathiTrust Record</v>
      </c>
      <c r="AV4378" s="6" t="str">
        <f>HYPERLINK("http://mcgill.on.worldcat.org/oclc/55501","Catalog Record")</f>
        <v>Catalog Record</v>
      </c>
      <c r="AW4378" s="6" t="str">
        <f>HYPERLINK("http://www.worldcat.org/oclc/55501","WorldCat Record")</f>
        <v>WorldCat Record</v>
      </c>
      <c r="AX4378" s="3" t="s">
        <v>42058</v>
      </c>
      <c r="AY4378" s="3" t="s">
        <v>42059</v>
      </c>
      <c r="AZ4378" s="3" t="s">
        <v>42060</v>
      </c>
      <c r="BA4378" s="3" t="s">
        <v>42060</v>
      </c>
      <c r="BB4378" s="3" t="s">
        <v>42061</v>
      </c>
      <c r="BC4378" s="3" t="s">
        <v>102</v>
      </c>
      <c r="BD4378" s="3" t="s">
        <v>68</v>
      </c>
      <c r="BE4378" s="3" t="s">
        <v>42062</v>
      </c>
      <c r="BF4378" s="3" t="s">
        <v>42061</v>
      </c>
      <c r="BG4378" s="3" t="s">
        <v>42063</v>
      </c>
    </row>
    <row r="4379" spans="1:59" ht="58" x14ac:dyDescent="0.35">
      <c r="A4379" s="2" t="s">
        <v>59</v>
      </c>
      <c r="B4379" s="2" t="s">
        <v>60</v>
      </c>
      <c r="C4379" s="2" t="s">
        <v>42064</v>
      </c>
      <c r="D4379" s="2" t="s">
        <v>42065</v>
      </c>
      <c r="E4379" s="2" t="s">
        <v>42066</v>
      </c>
      <c r="G4379" s="3" t="s">
        <v>62</v>
      </c>
      <c r="I4379" s="3" t="s">
        <v>62</v>
      </c>
      <c r="J4379" s="3" t="s">
        <v>62</v>
      </c>
      <c r="K4379" s="3" t="s">
        <v>63</v>
      </c>
      <c r="L4379" s="2" t="s">
        <v>42067</v>
      </c>
      <c r="M4379" s="2" t="s">
        <v>42068</v>
      </c>
      <c r="N4379" s="3" t="s">
        <v>1639</v>
      </c>
      <c r="P4379" s="3" t="s">
        <v>64</v>
      </c>
      <c r="R4379" s="3" t="s">
        <v>40557</v>
      </c>
      <c r="S4379" s="4">
        <v>3</v>
      </c>
      <c r="T4379" s="4">
        <v>3</v>
      </c>
      <c r="U4379" s="5" t="s">
        <v>2950</v>
      </c>
      <c r="V4379" s="5" t="s">
        <v>2950</v>
      </c>
      <c r="W4379" s="5" t="s">
        <v>67</v>
      </c>
      <c r="X4379" s="5" t="s">
        <v>67</v>
      </c>
      <c r="Y4379" s="4">
        <v>118</v>
      </c>
      <c r="Z4379" s="4">
        <v>9</v>
      </c>
      <c r="AA4379" s="4">
        <v>12</v>
      </c>
      <c r="AB4379" s="4">
        <v>1</v>
      </c>
      <c r="AC4379" s="4">
        <v>2</v>
      </c>
      <c r="AD4379" s="4">
        <v>37</v>
      </c>
      <c r="AE4379" s="4">
        <v>41</v>
      </c>
      <c r="AF4379" s="4">
        <v>0</v>
      </c>
      <c r="AG4379" s="4">
        <v>1</v>
      </c>
      <c r="AH4379" s="4">
        <v>33</v>
      </c>
      <c r="AI4379" s="4">
        <v>37</v>
      </c>
      <c r="AJ4379" s="4">
        <v>6</v>
      </c>
      <c r="AK4379" s="4">
        <v>9</v>
      </c>
      <c r="AL4379" s="4">
        <v>19</v>
      </c>
      <c r="AM4379" s="4">
        <v>19</v>
      </c>
      <c r="AN4379" s="4">
        <v>0</v>
      </c>
      <c r="AO4379" s="4">
        <v>0</v>
      </c>
      <c r="AP4379" s="4">
        <v>7</v>
      </c>
      <c r="AQ4379" s="4">
        <v>10</v>
      </c>
      <c r="AR4379" s="3" t="s">
        <v>62</v>
      </c>
      <c r="AS4379" s="3" t="s">
        <v>62</v>
      </c>
      <c r="AT4379" s="3" t="s">
        <v>62</v>
      </c>
      <c r="AV4379" s="6" t="str">
        <f>HYPERLINK("http://mcgill.on.worldcat.org/oclc/150844","Catalog Record")</f>
        <v>Catalog Record</v>
      </c>
      <c r="AW4379" s="6" t="str">
        <f>HYPERLINK("http://www.worldcat.org/oclc/150844","WorldCat Record")</f>
        <v>WorldCat Record</v>
      </c>
      <c r="AX4379" s="3" t="s">
        <v>42069</v>
      </c>
      <c r="AY4379" s="3" t="s">
        <v>42070</v>
      </c>
      <c r="AZ4379" s="3" t="s">
        <v>42071</v>
      </c>
      <c r="BA4379" s="3" t="s">
        <v>42071</v>
      </c>
      <c r="BB4379" s="3" t="s">
        <v>42072</v>
      </c>
      <c r="BC4379" s="3" t="s">
        <v>102</v>
      </c>
      <c r="BD4379" s="3" t="s">
        <v>68</v>
      </c>
      <c r="BF4379" s="3" t="s">
        <v>42072</v>
      </c>
      <c r="BG4379" s="3" t="s">
        <v>42073</v>
      </c>
    </row>
    <row r="4380" spans="1:59" ht="58" x14ac:dyDescent="0.35">
      <c r="A4380" s="2" t="s">
        <v>59</v>
      </c>
      <c r="B4380" s="2" t="s">
        <v>60</v>
      </c>
      <c r="C4380" s="2" t="s">
        <v>42074</v>
      </c>
      <c r="D4380" s="2" t="s">
        <v>42075</v>
      </c>
      <c r="E4380" s="2" t="s">
        <v>42076</v>
      </c>
      <c r="G4380" s="3" t="s">
        <v>62</v>
      </c>
      <c r="I4380" s="3" t="s">
        <v>62</v>
      </c>
      <c r="J4380" s="3" t="s">
        <v>62</v>
      </c>
      <c r="K4380" s="3" t="s">
        <v>63</v>
      </c>
      <c r="M4380" s="2" t="s">
        <v>42077</v>
      </c>
      <c r="N4380" s="3" t="s">
        <v>95</v>
      </c>
      <c r="P4380" s="3" t="s">
        <v>64</v>
      </c>
      <c r="Q4380" s="2" t="s">
        <v>42078</v>
      </c>
      <c r="R4380" s="3" t="s">
        <v>40557</v>
      </c>
      <c r="S4380" s="4">
        <v>6</v>
      </c>
      <c r="T4380" s="4">
        <v>6</v>
      </c>
      <c r="U4380" s="5" t="s">
        <v>33597</v>
      </c>
      <c r="V4380" s="5" t="s">
        <v>33597</v>
      </c>
      <c r="W4380" s="5" t="s">
        <v>67</v>
      </c>
      <c r="X4380" s="5" t="s">
        <v>67</v>
      </c>
      <c r="Y4380" s="4">
        <v>277</v>
      </c>
      <c r="Z4380" s="4">
        <v>21</v>
      </c>
      <c r="AA4380" s="4">
        <v>22</v>
      </c>
      <c r="AB4380" s="4">
        <v>3</v>
      </c>
      <c r="AC4380" s="4">
        <v>4</v>
      </c>
      <c r="AD4380" s="4">
        <v>90</v>
      </c>
      <c r="AE4380" s="4">
        <v>91</v>
      </c>
      <c r="AF4380" s="4">
        <v>1</v>
      </c>
      <c r="AG4380" s="4">
        <v>2</v>
      </c>
      <c r="AH4380" s="4">
        <v>81</v>
      </c>
      <c r="AI4380" s="4">
        <v>82</v>
      </c>
      <c r="AJ4380" s="4">
        <v>15</v>
      </c>
      <c r="AK4380" s="4">
        <v>16</v>
      </c>
      <c r="AL4380" s="4">
        <v>42</v>
      </c>
      <c r="AM4380" s="4">
        <v>42</v>
      </c>
      <c r="AN4380" s="4">
        <v>0</v>
      </c>
      <c r="AO4380" s="4">
        <v>0</v>
      </c>
      <c r="AP4380" s="4">
        <v>14</v>
      </c>
      <c r="AQ4380" s="4">
        <v>15</v>
      </c>
      <c r="AR4380" s="3" t="s">
        <v>62</v>
      </c>
      <c r="AS4380" s="3" t="s">
        <v>62</v>
      </c>
      <c r="AT4380" s="3" t="s">
        <v>61</v>
      </c>
      <c r="AU4380" s="6" t="str">
        <f>HYPERLINK("http://catalog.hathitrust.org/Record/000102727","HathiTrust Record")</f>
        <v>HathiTrust Record</v>
      </c>
      <c r="AV4380" s="6" t="str">
        <f>HYPERLINK("http://mcgill.on.worldcat.org/oclc/8107974","Catalog Record")</f>
        <v>Catalog Record</v>
      </c>
      <c r="AW4380" s="6" t="str">
        <f>HYPERLINK("http://www.worldcat.org/oclc/8107974","WorldCat Record")</f>
        <v>WorldCat Record</v>
      </c>
      <c r="AX4380" s="3" t="s">
        <v>42079</v>
      </c>
      <c r="AY4380" s="3" t="s">
        <v>42080</v>
      </c>
      <c r="AZ4380" s="3" t="s">
        <v>42081</v>
      </c>
      <c r="BA4380" s="3" t="s">
        <v>42081</v>
      </c>
      <c r="BB4380" s="3" t="s">
        <v>42082</v>
      </c>
      <c r="BC4380" s="3" t="s">
        <v>102</v>
      </c>
      <c r="BD4380" s="3" t="s">
        <v>68</v>
      </c>
      <c r="BE4380" s="3" t="s">
        <v>42083</v>
      </c>
      <c r="BF4380" s="3" t="s">
        <v>42082</v>
      </c>
      <c r="BG4380" s="3" t="s">
        <v>42084</v>
      </c>
    </row>
    <row r="4381" spans="1:59" ht="58" x14ac:dyDescent="0.35">
      <c r="A4381" s="2" t="s">
        <v>59</v>
      </c>
      <c r="B4381" s="2" t="s">
        <v>60</v>
      </c>
      <c r="C4381" s="2" t="s">
        <v>42085</v>
      </c>
      <c r="D4381" s="2" t="s">
        <v>42086</v>
      </c>
      <c r="E4381" s="2" t="s">
        <v>42087</v>
      </c>
      <c r="G4381" s="3" t="s">
        <v>62</v>
      </c>
      <c r="I4381" s="3" t="s">
        <v>61</v>
      </c>
      <c r="J4381" s="3" t="s">
        <v>61</v>
      </c>
      <c r="K4381" s="3" t="s">
        <v>63</v>
      </c>
      <c r="L4381" s="2" t="s">
        <v>42088</v>
      </c>
      <c r="M4381" s="2" t="s">
        <v>37536</v>
      </c>
      <c r="N4381" s="3" t="s">
        <v>87</v>
      </c>
      <c r="P4381" s="3" t="s">
        <v>64</v>
      </c>
      <c r="R4381" s="3" t="s">
        <v>40557</v>
      </c>
      <c r="S4381" s="4">
        <v>10</v>
      </c>
      <c r="T4381" s="4">
        <v>43</v>
      </c>
      <c r="U4381" s="5" t="s">
        <v>42089</v>
      </c>
      <c r="V4381" s="5" t="s">
        <v>7495</v>
      </c>
      <c r="W4381" s="5" t="s">
        <v>67</v>
      </c>
      <c r="X4381" s="5" t="s">
        <v>67</v>
      </c>
      <c r="Y4381" s="4">
        <v>561</v>
      </c>
      <c r="Z4381" s="4">
        <v>45</v>
      </c>
      <c r="AA4381" s="4">
        <v>121</v>
      </c>
      <c r="AB4381" s="4">
        <v>3</v>
      </c>
      <c r="AC4381" s="4">
        <v>20</v>
      </c>
      <c r="AD4381" s="4">
        <v>110</v>
      </c>
      <c r="AE4381" s="4">
        <v>153</v>
      </c>
      <c r="AF4381" s="4">
        <v>1</v>
      </c>
      <c r="AG4381" s="4">
        <v>8</v>
      </c>
      <c r="AH4381" s="4">
        <v>88</v>
      </c>
      <c r="AI4381" s="4">
        <v>108</v>
      </c>
      <c r="AJ4381" s="4">
        <v>21</v>
      </c>
      <c r="AK4381" s="4">
        <v>28</v>
      </c>
      <c r="AL4381" s="4">
        <v>46</v>
      </c>
      <c r="AM4381" s="4">
        <v>56</v>
      </c>
      <c r="AN4381" s="4">
        <v>0</v>
      </c>
      <c r="AO4381" s="4">
        <v>0</v>
      </c>
      <c r="AP4381" s="4">
        <v>29</v>
      </c>
      <c r="AQ4381" s="4">
        <v>53</v>
      </c>
      <c r="AR4381" s="3" t="s">
        <v>62</v>
      </c>
      <c r="AS4381" s="3" t="s">
        <v>62</v>
      </c>
      <c r="AT4381" s="3" t="s">
        <v>61</v>
      </c>
      <c r="AU4381" s="6" t="str">
        <f>HYPERLINK("http://catalog.hathitrust.org/Record/000257528","HathiTrust Record")</f>
        <v>HathiTrust Record</v>
      </c>
      <c r="AV4381" s="6" t="str">
        <f>HYPERLINK("http://mcgill.on.worldcat.org/oclc/4515394","Catalog Record")</f>
        <v>Catalog Record</v>
      </c>
      <c r="AW4381" s="6" t="str">
        <f>HYPERLINK("http://www.worldcat.org/oclc/4515394","WorldCat Record")</f>
        <v>WorldCat Record</v>
      </c>
      <c r="AX4381" s="3" t="s">
        <v>42090</v>
      </c>
      <c r="AY4381" s="3" t="s">
        <v>42091</v>
      </c>
      <c r="AZ4381" s="3" t="s">
        <v>42092</v>
      </c>
      <c r="BA4381" s="3" t="s">
        <v>42092</v>
      </c>
      <c r="BB4381" s="3" t="s">
        <v>42093</v>
      </c>
      <c r="BC4381" s="3" t="s">
        <v>102</v>
      </c>
      <c r="BD4381" s="3" t="s">
        <v>68</v>
      </c>
      <c r="BE4381" s="3" t="s">
        <v>42094</v>
      </c>
      <c r="BF4381" s="3" t="s">
        <v>42093</v>
      </c>
      <c r="BG4381" s="3" t="s">
        <v>42095</v>
      </c>
    </row>
    <row r="4382" spans="1:59" ht="58" x14ac:dyDescent="0.35">
      <c r="A4382" s="2" t="s">
        <v>59</v>
      </c>
      <c r="B4382" s="2" t="s">
        <v>60</v>
      </c>
      <c r="C4382" s="2" t="s">
        <v>42096</v>
      </c>
      <c r="D4382" s="2" t="s">
        <v>42097</v>
      </c>
      <c r="E4382" s="2" t="s">
        <v>42098</v>
      </c>
      <c r="G4382" s="3" t="s">
        <v>62</v>
      </c>
      <c r="I4382" s="3" t="s">
        <v>61</v>
      </c>
      <c r="J4382" s="3" t="s">
        <v>61</v>
      </c>
      <c r="K4382" s="3" t="s">
        <v>63</v>
      </c>
      <c r="L4382" s="2" t="s">
        <v>42099</v>
      </c>
      <c r="M4382" s="2" t="s">
        <v>42100</v>
      </c>
      <c r="N4382" s="3" t="s">
        <v>2110</v>
      </c>
      <c r="O4382" s="2" t="s">
        <v>8350</v>
      </c>
      <c r="P4382" s="3" t="s">
        <v>64</v>
      </c>
      <c r="R4382" s="3" t="s">
        <v>40557</v>
      </c>
      <c r="S4382" s="4">
        <v>10</v>
      </c>
      <c r="T4382" s="4">
        <v>48</v>
      </c>
      <c r="U4382" s="5" t="s">
        <v>39908</v>
      </c>
      <c r="V4382" s="5" t="s">
        <v>42101</v>
      </c>
      <c r="W4382" s="5" t="s">
        <v>67</v>
      </c>
      <c r="X4382" s="5" t="s">
        <v>67</v>
      </c>
      <c r="Y4382" s="4">
        <v>419</v>
      </c>
      <c r="Z4382" s="4">
        <v>19</v>
      </c>
      <c r="AA4382" s="4">
        <v>79</v>
      </c>
      <c r="AB4382" s="4">
        <v>2</v>
      </c>
      <c r="AC4382" s="4">
        <v>15</v>
      </c>
      <c r="AD4382" s="4">
        <v>79</v>
      </c>
      <c r="AE4382" s="4">
        <v>147</v>
      </c>
      <c r="AF4382" s="4">
        <v>1</v>
      </c>
      <c r="AG4382" s="4">
        <v>7</v>
      </c>
      <c r="AH4382" s="4">
        <v>72</v>
      </c>
      <c r="AI4382" s="4">
        <v>112</v>
      </c>
      <c r="AJ4382" s="4">
        <v>11</v>
      </c>
      <c r="AK4382" s="4">
        <v>27</v>
      </c>
      <c r="AL4382" s="4">
        <v>36</v>
      </c>
      <c r="AM4382" s="4">
        <v>57</v>
      </c>
      <c r="AN4382" s="4">
        <v>0</v>
      </c>
      <c r="AO4382" s="4">
        <v>0</v>
      </c>
      <c r="AP4382" s="4">
        <v>13</v>
      </c>
      <c r="AQ4382" s="4">
        <v>42</v>
      </c>
      <c r="AR4382" s="3" t="s">
        <v>62</v>
      </c>
      <c r="AS4382" s="3" t="s">
        <v>62</v>
      </c>
      <c r="AT4382" s="3" t="s">
        <v>61</v>
      </c>
      <c r="AU4382" s="6" t="str">
        <f>HYPERLINK("http://catalog.hathitrust.org/Record/000131168","HathiTrust Record")</f>
        <v>HathiTrust Record</v>
      </c>
      <c r="AV4382" s="6" t="str">
        <f>HYPERLINK("http://mcgill.on.worldcat.org/oclc/3705695","Catalog Record")</f>
        <v>Catalog Record</v>
      </c>
      <c r="AW4382" s="6" t="str">
        <f>HYPERLINK("http://www.worldcat.org/oclc/3705695","WorldCat Record")</f>
        <v>WorldCat Record</v>
      </c>
      <c r="AX4382" s="3" t="s">
        <v>42102</v>
      </c>
      <c r="AY4382" s="3" t="s">
        <v>42103</v>
      </c>
      <c r="AZ4382" s="3" t="s">
        <v>42104</v>
      </c>
      <c r="BA4382" s="3" t="s">
        <v>42104</v>
      </c>
      <c r="BB4382" s="3" t="s">
        <v>42105</v>
      </c>
      <c r="BC4382" s="3" t="s">
        <v>102</v>
      </c>
      <c r="BD4382" s="3" t="s">
        <v>68</v>
      </c>
      <c r="BE4382" s="3" t="s">
        <v>42106</v>
      </c>
      <c r="BF4382" s="3" t="s">
        <v>42105</v>
      </c>
      <c r="BG4382" s="3" t="s">
        <v>42107</v>
      </c>
    </row>
    <row r="4383" spans="1:59" ht="58" x14ac:dyDescent="0.35">
      <c r="A4383" s="2" t="s">
        <v>59</v>
      </c>
      <c r="B4383" s="2" t="s">
        <v>60</v>
      </c>
      <c r="C4383" s="2" t="s">
        <v>42096</v>
      </c>
      <c r="D4383" s="2" t="s">
        <v>42097</v>
      </c>
      <c r="E4383" s="2" t="s">
        <v>42098</v>
      </c>
      <c r="G4383" s="3" t="s">
        <v>62</v>
      </c>
      <c r="I4383" s="3" t="s">
        <v>61</v>
      </c>
      <c r="J4383" s="3" t="s">
        <v>61</v>
      </c>
      <c r="K4383" s="3" t="s">
        <v>63</v>
      </c>
      <c r="L4383" s="2" t="s">
        <v>42099</v>
      </c>
      <c r="M4383" s="2" t="s">
        <v>42100</v>
      </c>
      <c r="N4383" s="3" t="s">
        <v>2110</v>
      </c>
      <c r="O4383" s="2" t="s">
        <v>8350</v>
      </c>
      <c r="P4383" s="3" t="s">
        <v>64</v>
      </c>
      <c r="R4383" s="3" t="s">
        <v>40557</v>
      </c>
      <c r="S4383" s="4">
        <v>11</v>
      </c>
      <c r="T4383" s="4">
        <v>48</v>
      </c>
      <c r="U4383" s="5" t="s">
        <v>108</v>
      </c>
      <c r="V4383" s="5" t="s">
        <v>42101</v>
      </c>
      <c r="W4383" s="5" t="s">
        <v>67</v>
      </c>
      <c r="X4383" s="5" t="s">
        <v>67</v>
      </c>
      <c r="Y4383" s="4">
        <v>419</v>
      </c>
      <c r="Z4383" s="4">
        <v>19</v>
      </c>
      <c r="AA4383" s="4">
        <v>79</v>
      </c>
      <c r="AB4383" s="4">
        <v>2</v>
      </c>
      <c r="AC4383" s="4">
        <v>15</v>
      </c>
      <c r="AD4383" s="4">
        <v>79</v>
      </c>
      <c r="AE4383" s="4">
        <v>147</v>
      </c>
      <c r="AF4383" s="4">
        <v>1</v>
      </c>
      <c r="AG4383" s="4">
        <v>7</v>
      </c>
      <c r="AH4383" s="4">
        <v>72</v>
      </c>
      <c r="AI4383" s="4">
        <v>112</v>
      </c>
      <c r="AJ4383" s="4">
        <v>11</v>
      </c>
      <c r="AK4383" s="4">
        <v>27</v>
      </c>
      <c r="AL4383" s="4">
        <v>36</v>
      </c>
      <c r="AM4383" s="4">
        <v>57</v>
      </c>
      <c r="AN4383" s="4">
        <v>0</v>
      </c>
      <c r="AO4383" s="4">
        <v>0</v>
      </c>
      <c r="AP4383" s="4">
        <v>13</v>
      </c>
      <c r="AQ4383" s="4">
        <v>42</v>
      </c>
      <c r="AR4383" s="3" t="s">
        <v>62</v>
      </c>
      <c r="AS4383" s="3" t="s">
        <v>62</v>
      </c>
      <c r="AT4383" s="3" t="s">
        <v>61</v>
      </c>
      <c r="AU4383" s="6" t="str">
        <f>HYPERLINK("http://catalog.hathitrust.org/Record/000131168","HathiTrust Record")</f>
        <v>HathiTrust Record</v>
      </c>
      <c r="AV4383" s="6" t="str">
        <f>HYPERLINK("http://mcgill.on.worldcat.org/oclc/3705695","Catalog Record")</f>
        <v>Catalog Record</v>
      </c>
      <c r="AW4383" s="6" t="str">
        <f>HYPERLINK("http://www.worldcat.org/oclc/3705695","WorldCat Record")</f>
        <v>WorldCat Record</v>
      </c>
      <c r="AX4383" s="3" t="s">
        <v>42102</v>
      </c>
      <c r="AY4383" s="3" t="s">
        <v>42103</v>
      </c>
      <c r="AZ4383" s="3" t="s">
        <v>42104</v>
      </c>
      <c r="BA4383" s="3" t="s">
        <v>42104</v>
      </c>
      <c r="BB4383" s="3" t="s">
        <v>42108</v>
      </c>
      <c r="BC4383" s="3" t="s">
        <v>102</v>
      </c>
      <c r="BD4383" s="3" t="s">
        <v>68</v>
      </c>
      <c r="BE4383" s="3" t="s">
        <v>42106</v>
      </c>
      <c r="BF4383" s="3" t="s">
        <v>42108</v>
      </c>
      <c r="BG4383" s="3" t="s">
        <v>42109</v>
      </c>
    </row>
    <row r="4384" spans="1:59" ht="58" x14ac:dyDescent="0.35">
      <c r="A4384" s="2" t="s">
        <v>59</v>
      </c>
      <c r="B4384" s="2" t="s">
        <v>60</v>
      </c>
      <c r="C4384" s="2" t="s">
        <v>42110</v>
      </c>
      <c r="D4384" s="2" t="s">
        <v>42111</v>
      </c>
      <c r="E4384" s="2" t="s">
        <v>42112</v>
      </c>
      <c r="G4384" s="3" t="s">
        <v>62</v>
      </c>
      <c r="I4384" s="3" t="s">
        <v>61</v>
      </c>
      <c r="J4384" s="3" t="s">
        <v>62</v>
      </c>
      <c r="K4384" s="3" t="s">
        <v>63</v>
      </c>
      <c r="L4384" s="2" t="s">
        <v>42113</v>
      </c>
      <c r="M4384" s="2" t="s">
        <v>42114</v>
      </c>
      <c r="N4384" s="3" t="s">
        <v>893</v>
      </c>
      <c r="P4384" s="3" t="s">
        <v>64</v>
      </c>
      <c r="Q4384" s="2" t="s">
        <v>42115</v>
      </c>
      <c r="R4384" s="3" t="s">
        <v>40557</v>
      </c>
      <c r="S4384" s="4">
        <v>20</v>
      </c>
      <c r="T4384" s="4">
        <v>49</v>
      </c>
      <c r="U4384" s="5" t="s">
        <v>42116</v>
      </c>
      <c r="V4384" s="5" t="s">
        <v>258</v>
      </c>
      <c r="W4384" s="5" t="s">
        <v>67</v>
      </c>
      <c r="X4384" s="5" t="s">
        <v>67</v>
      </c>
      <c r="Y4384" s="4">
        <v>253</v>
      </c>
      <c r="Z4384" s="4">
        <v>21</v>
      </c>
      <c r="AA4384" s="4">
        <v>23</v>
      </c>
      <c r="AB4384" s="4">
        <v>3</v>
      </c>
      <c r="AC4384" s="4">
        <v>5</v>
      </c>
      <c r="AD4384" s="4">
        <v>61</v>
      </c>
      <c r="AE4384" s="4">
        <v>64</v>
      </c>
      <c r="AF4384" s="4">
        <v>1</v>
      </c>
      <c r="AG4384" s="4">
        <v>3</v>
      </c>
      <c r="AH4384" s="4">
        <v>50</v>
      </c>
      <c r="AI4384" s="4">
        <v>52</v>
      </c>
      <c r="AJ4384" s="4">
        <v>12</v>
      </c>
      <c r="AK4384" s="4">
        <v>14</v>
      </c>
      <c r="AL4384" s="4">
        <v>30</v>
      </c>
      <c r="AM4384" s="4">
        <v>30</v>
      </c>
      <c r="AN4384" s="4">
        <v>0</v>
      </c>
      <c r="AO4384" s="4">
        <v>0</v>
      </c>
      <c r="AP4384" s="4">
        <v>13</v>
      </c>
      <c r="AQ4384" s="4">
        <v>15</v>
      </c>
      <c r="AR4384" s="3" t="s">
        <v>62</v>
      </c>
      <c r="AS4384" s="3" t="s">
        <v>62</v>
      </c>
      <c r="AT4384" s="3" t="s">
        <v>62</v>
      </c>
      <c r="AV4384" s="6" t="str">
        <f>HYPERLINK("http://mcgill.on.worldcat.org/oclc/6305198","Catalog Record")</f>
        <v>Catalog Record</v>
      </c>
      <c r="AW4384" s="6" t="str">
        <f>HYPERLINK("http://www.worldcat.org/oclc/6305198","WorldCat Record")</f>
        <v>WorldCat Record</v>
      </c>
      <c r="AX4384" s="3" t="s">
        <v>42117</v>
      </c>
      <c r="AY4384" s="3" t="s">
        <v>42118</v>
      </c>
      <c r="AZ4384" s="3" t="s">
        <v>42119</v>
      </c>
      <c r="BA4384" s="3" t="s">
        <v>42119</v>
      </c>
      <c r="BB4384" s="3" t="s">
        <v>42120</v>
      </c>
      <c r="BC4384" s="3" t="s">
        <v>102</v>
      </c>
      <c r="BD4384" s="3" t="s">
        <v>68</v>
      </c>
      <c r="BE4384" s="3" t="s">
        <v>42121</v>
      </c>
      <c r="BF4384" s="3" t="s">
        <v>42120</v>
      </c>
      <c r="BG4384" s="3" t="s">
        <v>42122</v>
      </c>
    </row>
    <row r="4385" spans="1:59" ht="58" x14ac:dyDescent="0.35">
      <c r="A4385" s="2" t="s">
        <v>59</v>
      </c>
      <c r="B4385" s="2" t="s">
        <v>60</v>
      </c>
      <c r="C4385" s="2" t="s">
        <v>42123</v>
      </c>
      <c r="D4385" s="2" t="s">
        <v>42124</v>
      </c>
      <c r="E4385" s="2" t="s">
        <v>42125</v>
      </c>
      <c r="G4385" s="3" t="s">
        <v>62</v>
      </c>
      <c r="I4385" s="3" t="s">
        <v>61</v>
      </c>
      <c r="J4385" s="3" t="s">
        <v>61</v>
      </c>
      <c r="K4385" s="3" t="s">
        <v>63</v>
      </c>
      <c r="L4385" s="2" t="s">
        <v>42126</v>
      </c>
      <c r="M4385" s="2" t="s">
        <v>42127</v>
      </c>
      <c r="N4385" s="3" t="s">
        <v>2110</v>
      </c>
      <c r="O4385" s="2" t="s">
        <v>8350</v>
      </c>
      <c r="P4385" s="3" t="s">
        <v>64</v>
      </c>
      <c r="Q4385" s="2" t="s">
        <v>42128</v>
      </c>
      <c r="R4385" s="3" t="s">
        <v>40557</v>
      </c>
      <c r="S4385" s="4">
        <v>10</v>
      </c>
      <c r="T4385" s="4">
        <v>17</v>
      </c>
      <c r="U4385" s="5" t="s">
        <v>42129</v>
      </c>
      <c r="V4385" s="5" t="s">
        <v>24376</v>
      </c>
      <c r="W4385" s="5" t="s">
        <v>67</v>
      </c>
      <c r="X4385" s="5" t="s">
        <v>67</v>
      </c>
      <c r="Y4385" s="4">
        <v>331</v>
      </c>
      <c r="Z4385" s="4">
        <v>23</v>
      </c>
      <c r="AA4385" s="4">
        <v>38</v>
      </c>
      <c r="AB4385" s="4">
        <v>2</v>
      </c>
      <c r="AC4385" s="4">
        <v>4</v>
      </c>
      <c r="AD4385" s="4">
        <v>88</v>
      </c>
      <c r="AE4385" s="4">
        <v>122</v>
      </c>
      <c r="AF4385" s="4">
        <v>1</v>
      </c>
      <c r="AG4385" s="4">
        <v>3</v>
      </c>
      <c r="AH4385" s="4">
        <v>75</v>
      </c>
      <c r="AI4385" s="4">
        <v>97</v>
      </c>
      <c r="AJ4385" s="4">
        <v>15</v>
      </c>
      <c r="AK4385" s="4">
        <v>23</v>
      </c>
      <c r="AL4385" s="4">
        <v>41</v>
      </c>
      <c r="AM4385" s="4">
        <v>53</v>
      </c>
      <c r="AN4385" s="4">
        <v>0</v>
      </c>
      <c r="AO4385" s="4">
        <v>0</v>
      </c>
      <c r="AP4385" s="4">
        <v>18</v>
      </c>
      <c r="AQ4385" s="4">
        <v>28</v>
      </c>
      <c r="AR4385" s="3" t="s">
        <v>62</v>
      </c>
      <c r="AS4385" s="3" t="s">
        <v>62</v>
      </c>
      <c r="AT4385" s="3" t="s">
        <v>61</v>
      </c>
      <c r="AU4385" s="6" t="str">
        <f>HYPERLINK("http://catalog.hathitrust.org/Record/000091397","HathiTrust Record")</f>
        <v>HathiTrust Record</v>
      </c>
      <c r="AV4385" s="6" t="str">
        <f>HYPERLINK("http://mcgill.on.worldcat.org/oclc/3608317","Catalog Record")</f>
        <v>Catalog Record</v>
      </c>
      <c r="AW4385" s="6" t="str">
        <f>HYPERLINK("http://www.worldcat.org/oclc/3608317","WorldCat Record")</f>
        <v>WorldCat Record</v>
      </c>
      <c r="AX4385" s="3" t="s">
        <v>42130</v>
      </c>
      <c r="AY4385" s="3" t="s">
        <v>42131</v>
      </c>
      <c r="AZ4385" s="3" t="s">
        <v>42132</v>
      </c>
      <c r="BA4385" s="3" t="s">
        <v>42132</v>
      </c>
      <c r="BB4385" s="3" t="s">
        <v>42133</v>
      </c>
      <c r="BC4385" s="3" t="s">
        <v>102</v>
      </c>
      <c r="BD4385" s="3" t="s">
        <v>68</v>
      </c>
      <c r="BE4385" s="3" t="s">
        <v>42134</v>
      </c>
      <c r="BF4385" s="3" t="s">
        <v>42133</v>
      </c>
      <c r="BG4385" s="3" t="s">
        <v>42135</v>
      </c>
    </row>
    <row r="4386" spans="1:59" ht="72.5" x14ac:dyDescent="0.35">
      <c r="A4386" s="2" t="s">
        <v>59</v>
      </c>
      <c r="B4386" s="2" t="s">
        <v>60</v>
      </c>
      <c r="C4386" s="2" t="s">
        <v>42136</v>
      </c>
      <c r="D4386" s="2" t="s">
        <v>42137</v>
      </c>
      <c r="E4386" s="2" t="s">
        <v>42138</v>
      </c>
      <c r="G4386" s="3" t="s">
        <v>62</v>
      </c>
      <c r="I4386" s="3" t="s">
        <v>62</v>
      </c>
      <c r="J4386" s="3" t="s">
        <v>62</v>
      </c>
      <c r="K4386" s="3" t="s">
        <v>63</v>
      </c>
      <c r="M4386" s="2" t="s">
        <v>42139</v>
      </c>
      <c r="N4386" s="3" t="s">
        <v>327</v>
      </c>
      <c r="P4386" s="3" t="s">
        <v>64</v>
      </c>
      <c r="Q4386" s="2" t="s">
        <v>42140</v>
      </c>
      <c r="R4386" s="3" t="s">
        <v>40557</v>
      </c>
      <c r="S4386" s="4">
        <v>12</v>
      </c>
      <c r="T4386" s="4">
        <v>12</v>
      </c>
      <c r="U4386" s="5" t="s">
        <v>5894</v>
      </c>
      <c r="V4386" s="5" t="s">
        <v>5894</v>
      </c>
      <c r="W4386" s="5" t="s">
        <v>67</v>
      </c>
      <c r="X4386" s="5" t="s">
        <v>67</v>
      </c>
      <c r="Y4386" s="4">
        <v>393</v>
      </c>
      <c r="Z4386" s="4">
        <v>25</v>
      </c>
      <c r="AA4386" s="4">
        <v>26</v>
      </c>
      <c r="AB4386" s="4">
        <v>1</v>
      </c>
      <c r="AC4386" s="4">
        <v>2</v>
      </c>
      <c r="AD4386" s="4">
        <v>99</v>
      </c>
      <c r="AE4386" s="4">
        <v>100</v>
      </c>
      <c r="AF4386" s="4">
        <v>0</v>
      </c>
      <c r="AG4386" s="4">
        <v>1</v>
      </c>
      <c r="AH4386" s="4">
        <v>88</v>
      </c>
      <c r="AI4386" s="4">
        <v>89</v>
      </c>
      <c r="AJ4386" s="4">
        <v>16</v>
      </c>
      <c r="AK4386" s="4">
        <v>17</v>
      </c>
      <c r="AL4386" s="4">
        <v>46</v>
      </c>
      <c r="AM4386" s="4">
        <v>46</v>
      </c>
      <c r="AN4386" s="4">
        <v>0</v>
      </c>
      <c r="AO4386" s="4">
        <v>0</v>
      </c>
      <c r="AP4386" s="4">
        <v>17</v>
      </c>
      <c r="AQ4386" s="4">
        <v>18</v>
      </c>
      <c r="AR4386" s="3" t="s">
        <v>62</v>
      </c>
      <c r="AS4386" s="3" t="s">
        <v>62</v>
      </c>
      <c r="AT4386" s="3" t="s">
        <v>61</v>
      </c>
      <c r="AU4386" s="6" t="str">
        <f>HYPERLINK("http://catalog.hathitrust.org/Record/000322731","HathiTrust Record")</f>
        <v>HathiTrust Record</v>
      </c>
      <c r="AV4386" s="6" t="str">
        <f>HYPERLINK("http://mcgill.on.worldcat.org/oclc/9699320","Catalog Record")</f>
        <v>Catalog Record</v>
      </c>
      <c r="AW4386" s="6" t="str">
        <f>HYPERLINK("http://www.worldcat.org/oclc/9699320","WorldCat Record")</f>
        <v>WorldCat Record</v>
      </c>
      <c r="AX4386" s="3" t="s">
        <v>42141</v>
      </c>
      <c r="AY4386" s="3" t="s">
        <v>42142</v>
      </c>
      <c r="AZ4386" s="3" t="s">
        <v>42143</v>
      </c>
      <c r="BA4386" s="3" t="s">
        <v>42143</v>
      </c>
      <c r="BB4386" s="3" t="s">
        <v>42144</v>
      </c>
      <c r="BC4386" s="3" t="s">
        <v>102</v>
      </c>
      <c r="BD4386" s="3" t="s">
        <v>68</v>
      </c>
      <c r="BE4386" s="3" t="s">
        <v>42145</v>
      </c>
      <c r="BF4386" s="3" t="s">
        <v>42144</v>
      </c>
      <c r="BG4386" s="3" t="s">
        <v>42146</v>
      </c>
    </row>
    <row r="4387" spans="1:59" ht="58" x14ac:dyDescent="0.35">
      <c r="A4387" s="2" t="s">
        <v>59</v>
      </c>
      <c r="B4387" s="2" t="s">
        <v>60</v>
      </c>
      <c r="C4387" s="2" t="s">
        <v>42147</v>
      </c>
      <c r="D4387" s="2" t="s">
        <v>42148</v>
      </c>
      <c r="E4387" s="2" t="s">
        <v>42149</v>
      </c>
      <c r="G4387" s="3" t="s">
        <v>62</v>
      </c>
      <c r="I4387" s="3" t="s">
        <v>61</v>
      </c>
      <c r="J4387" s="3" t="s">
        <v>62</v>
      </c>
      <c r="K4387" s="3" t="s">
        <v>63</v>
      </c>
      <c r="L4387" s="2" t="s">
        <v>42150</v>
      </c>
      <c r="M4387" s="2" t="s">
        <v>12321</v>
      </c>
      <c r="N4387" s="3" t="s">
        <v>866</v>
      </c>
      <c r="P4387" s="3" t="s">
        <v>64</v>
      </c>
      <c r="Q4387" s="2" t="s">
        <v>37537</v>
      </c>
      <c r="R4387" s="3" t="s">
        <v>40557</v>
      </c>
      <c r="S4387" s="4">
        <v>0</v>
      </c>
      <c r="T4387" s="4">
        <v>11</v>
      </c>
      <c r="V4387" s="5" t="s">
        <v>18783</v>
      </c>
      <c r="W4387" s="5" t="s">
        <v>67</v>
      </c>
      <c r="X4387" s="5" t="s">
        <v>67</v>
      </c>
      <c r="Y4387" s="4">
        <v>734</v>
      </c>
      <c r="Z4387" s="4">
        <v>39</v>
      </c>
      <c r="AA4387" s="4">
        <v>44</v>
      </c>
      <c r="AB4387" s="4">
        <v>3</v>
      </c>
      <c r="AC4387" s="4">
        <v>7</v>
      </c>
      <c r="AD4387" s="4">
        <v>109</v>
      </c>
      <c r="AE4387" s="4">
        <v>113</v>
      </c>
      <c r="AF4387" s="4">
        <v>1</v>
      </c>
      <c r="AG4387" s="4">
        <v>4</v>
      </c>
      <c r="AH4387" s="4">
        <v>90</v>
      </c>
      <c r="AI4387" s="4">
        <v>92</v>
      </c>
      <c r="AJ4387" s="4">
        <v>17</v>
      </c>
      <c r="AK4387" s="4">
        <v>21</v>
      </c>
      <c r="AL4387" s="4">
        <v>47</v>
      </c>
      <c r="AM4387" s="4">
        <v>47</v>
      </c>
      <c r="AN4387" s="4">
        <v>1</v>
      </c>
      <c r="AO4387" s="4">
        <v>1</v>
      </c>
      <c r="AP4387" s="4">
        <v>24</v>
      </c>
      <c r="AQ4387" s="4">
        <v>27</v>
      </c>
      <c r="AR4387" s="3" t="s">
        <v>62</v>
      </c>
      <c r="AS4387" s="3" t="s">
        <v>62</v>
      </c>
      <c r="AT4387" s="3" t="s">
        <v>61</v>
      </c>
      <c r="AU4387" s="6" t="str">
        <f>HYPERLINK("http://catalog.hathitrust.org/Record/000006378","HathiTrust Record")</f>
        <v>HathiTrust Record</v>
      </c>
      <c r="AV4387" s="6" t="str">
        <f>HYPERLINK("http://mcgill.on.worldcat.org/oclc/480891","Catalog Record")</f>
        <v>Catalog Record</v>
      </c>
      <c r="AW4387" s="6" t="str">
        <f>HYPERLINK("http://www.worldcat.org/oclc/480891","WorldCat Record")</f>
        <v>WorldCat Record</v>
      </c>
      <c r="AX4387" s="3" t="s">
        <v>42151</v>
      </c>
      <c r="AY4387" s="3" t="s">
        <v>42152</v>
      </c>
      <c r="AZ4387" s="3" t="s">
        <v>42153</v>
      </c>
      <c r="BA4387" s="3" t="s">
        <v>42153</v>
      </c>
      <c r="BB4387" s="3" t="s">
        <v>42154</v>
      </c>
      <c r="BC4387" s="3" t="s">
        <v>102</v>
      </c>
      <c r="BD4387" s="3" t="s">
        <v>68</v>
      </c>
      <c r="BE4387" s="3" t="s">
        <v>42155</v>
      </c>
      <c r="BF4387" s="3" t="s">
        <v>42154</v>
      </c>
      <c r="BG4387" s="3" t="s">
        <v>42156</v>
      </c>
    </row>
    <row r="4388" spans="1:59" ht="58" x14ac:dyDescent="0.35">
      <c r="A4388" s="2" t="s">
        <v>59</v>
      </c>
      <c r="B4388" s="2" t="s">
        <v>60</v>
      </c>
      <c r="C4388" s="2" t="s">
        <v>42157</v>
      </c>
      <c r="D4388" s="2" t="s">
        <v>42158</v>
      </c>
      <c r="E4388" s="2" t="s">
        <v>42159</v>
      </c>
      <c r="G4388" s="3" t="s">
        <v>62</v>
      </c>
      <c r="I4388" s="3" t="s">
        <v>62</v>
      </c>
      <c r="J4388" s="3" t="s">
        <v>62</v>
      </c>
      <c r="K4388" s="3" t="s">
        <v>63</v>
      </c>
      <c r="L4388" s="2" t="s">
        <v>42160</v>
      </c>
      <c r="M4388" s="2" t="s">
        <v>42161</v>
      </c>
      <c r="N4388" s="3" t="s">
        <v>466</v>
      </c>
      <c r="O4388" s="2" t="s">
        <v>1941</v>
      </c>
      <c r="P4388" s="3" t="s">
        <v>64</v>
      </c>
      <c r="R4388" s="3" t="s">
        <v>40557</v>
      </c>
      <c r="S4388" s="4">
        <v>9</v>
      </c>
      <c r="T4388" s="4">
        <v>9</v>
      </c>
      <c r="U4388" s="5" t="s">
        <v>42162</v>
      </c>
      <c r="V4388" s="5" t="s">
        <v>42162</v>
      </c>
      <c r="W4388" s="5" t="s">
        <v>67</v>
      </c>
      <c r="X4388" s="5" t="s">
        <v>67</v>
      </c>
      <c r="Y4388" s="4">
        <v>321</v>
      </c>
      <c r="Z4388" s="4">
        <v>24</v>
      </c>
      <c r="AA4388" s="4">
        <v>27</v>
      </c>
      <c r="AB4388" s="4">
        <v>3</v>
      </c>
      <c r="AC4388" s="4">
        <v>5</v>
      </c>
      <c r="AD4388" s="4">
        <v>96</v>
      </c>
      <c r="AE4388" s="4">
        <v>98</v>
      </c>
      <c r="AF4388" s="4">
        <v>2</v>
      </c>
      <c r="AG4388" s="4">
        <v>3</v>
      </c>
      <c r="AH4388" s="4">
        <v>83</v>
      </c>
      <c r="AI4388" s="4">
        <v>84</v>
      </c>
      <c r="AJ4388" s="4">
        <v>14</v>
      </c>
      <c r="AK4388" s="4">
        <v>16</v>
      </c>
      <c r="AL4388" s="4">
        <v>43</v>
      </c>
      <c r="AM4388" s="4">
        <v>43</v>
      </c>
      <c r="AN4388" s="4">
        <v>0</v>
      </c>
      <c r="AO4388" s="4">
        <v>0</v>
      </c>
      <c r="AP4388" s="4">
        <v>19</v>
      </c>
      <c r="AQ4388" s="4">
        <v>21</v>
      </c>
      <c r="AR4388" s="3" t="s">
        <v>62</v>
      </c>
      <c r="AS4388" s="3" t="s">
        <v>62</v>
      </c>
      <c r="AT4388" s="3" t="s">
        <v>62</v>
      </c>
      <c r="AV4388" s="6" t="str">
        <f>HYPERLINK("http://mcgill.on.worldcat.org/oclc/24795274","Catalog Record")</f>
        <v>Catalog Record</v>
      </c>
      <c r="AW4388" s="6" t="str">
        <f>HYPERLINK("http://www.worldcat.org/oclc/24795274","WorldCat Record")</f>
        <v>WorldCat Record</v>
      </c>
      <c r="AX4388" s="3" t="s">
        <v>42163</v>
      </c>
      <c r="AY4388" s="3" t="s">
        <v>42164</v>
      </c>
      <c r="AZ4388" s="3" t="s">
        <v>42165</v>
      </c>
      <c r="BA4388" s="3" t="s">
        <v>42165</v>
      </c>
      <c r="BB4388" s="3" t="s">
        <v>42166</v>
      </c>
      <c r="BC4388" s="3" t="s">
        <v>102</v>
      </c>
      <c r="BD4388" s="3" t="s">
        <v>68</v>
      </c>
      <c r="BE4388" s="3" t="s">
        <v>42167</v>
      </c>
      <c r="BF4388" s="3" t="s">
        <v>42166</v>
      </c>
      <c r="BG4388" s="3" t="s">
        <v>42168</v>
      </c>
    </row>
    <row r="4389" spans="1:59" ht="58" x14ac:dyDescent="0.35">
      <c r="A4389" s="2" t="s">
        <v>59</v>
      </c>
      <c r="B4389" s="2" t="s">
        <v>60</v>
      </c>
      <c r="C4389" s="2" t="s">
        <v>42169</v>
      </c>
      <c r="D4389" s="2" t="s">
        <v>42170</v>
      </c>
      <c r="E4389" s="2" t="s">
        <v>42171</v>
      </c>
      <c r="G4389" s="3" t="s">
        <v>62</v>
      </c>
      <c r="I4389" s="3" t="s">
        <v>62</v>
      </c>
      <c r="J4389" s="3" t="s">
        <v>61</v>
      </c>
      <c r="K4389" s="3" t="s">
        <v>63</v>
      </c>
      <c r="L4389" s="2" t="s">
        <v>42172</v>
      </c>
      <c r="M4389" s="2" t="s">
        <v>42173</v>
      </c>
      <c r="N4389" s="3" t="s">
        <v>553</v>
      </c>
      <c r="O4389" s="2" t="s">
        <v>17427</v>
      </c>
      <c r="P4389" s="3" t="s">
        <v>64</v>
      </c>
      <c r="Q4389" s="2" t="s">
        <v>42174</v>
      </c>
      <c r="R4389" s="3" t="s">
        <v>40557</v>
      </c>
      <c r="S4389" s="4">
        <v>7</v>
      </c>
      <c r="T4389" s="4">
        <v>7</v>
      </c>
      <c r="U4389" s="5" t="s">
        <v>3763</v>
      </c>
      <c r="V4389" s="5" t="s">
        <v>3763</v>
      </c>
      <c r="W4389" s="5" t="s">
        <v>67</v>
      </c>
      <c r="X4389" s="5" t="s">
        <v>67</v>
      </c>
      <c r="Y4389" s="4">
        <v>521</v>
      </c>
      <c r="Z4389" s="4">
        <v>32</v>
      </c>
      <c r="AA4389" s="4">
        <v>77</v>
      </c>
      <c r="AB4389" s="4">
        <v>1</v>
      </c>
      <c r="AC4389" s="4">
        <v>14</v>
      </c>
      <c r="AD4389" s="4">
        <v>96</v>
      </c>
      <c r="AE4389" s="4">
        <v>150</v>
      </c>
      <c r="AF4389" s="4">
        <v>0</v>
      </c>
      <c r="AG4389" s="4">
        <v>5</v>
      </c>
      <c r="AH4389" s="4">
        <v>80</v>
      </c>
      <c r="AI4389" s="4">
        <v>110</v>
      </c>
      <c r="AJ4389" s="4">
        <v>16</v>
      </c>
      <c r="AK4389" s="4">
        <v>28</v>
      </c>
      <c r="AL4389" s="4">
        <v>44</v>
      </c>
      <c r="AM4389" s="4">
        <v>59</v>
      </c>
      <c r="AN4389" s="4">
        <v>0</v>
      </c>
      <c r="AO4389" s="4">
        <v>0</v>
      </c>
      <c r="AP4389" s="4">
        <v>23</v>
      </c>
      <c r="AQ4389" s="4">
        <v>47</v>
      </c>
      <c r="AR4389" s="3" t="s">
        <v>62</v>
      </c>
      <c r="AS4389" s="3" t="s">
        <v>62</v>
      </c>
      <c r="AT4389" s="3" t="s">
        <v>62</v>
      </c>
      <c r="AV4389" s="6" t="str">
        <f>HYPERLINK("http://mcgill.on.worldcat.org/oclc/40218791","Catalog Record")</f>
        <v>Catalog Record</v>
      </c>
      <c r="AW4389" s="6" t="str">
        <f>HYPERLINK("http://www.worldcat.org/oclc/40218791","WorldCat Record")</f>
        <v>WorldCat Record</v>
      </c>
      <c r="AX4389" s="3" t="s">
        <v>42175</v>
      </c>
      <c r="AY4389" s="3" t="s">
        <v>42176</v>
      </c>
      <c r="AZ4389" s="3" t="s">
        <v>42177</v>
      </c>
      <c r="BA4389" s="3" t="s">
        <v>42177</v>
      </c>
      <c r="BB4389" s="3" t="s">
        <v>42178</v>
      </c>
      <c r="BC4389" s="3" t="s">
        <v>102</v>
      </c>
      <c r="BD4389" s="3" t="s">
        <v>68</v>
      </c>
      <c r="BE4389" s="3" t="s">
        <v>42179</v>
      </c>
      <c r="BF4389" s="3" t="s">
        <v>42178</v>
      </c>
      <c r="BG4389" s="3" t="s">
        <v>42180</v>
      </c>
    </row>
    <row r="4390" spans="1:59" ht="58" x14ac:dyDescent="0.35">
      <c r="A4390" s="2" t="s">
        <v>89</v>
      </c>
      <c r="B4390" s="2" t="s">
        <v>90</v>
      </c>
      <c r="C4390" s="2" t="s">
        <v>42181</v>
      </c>
      <c r="D4390" s="2" t="s">
        <v>42182</v>
      </c>
      <c r="E4390" s="2" t="s">
        <v>42183</v>
      </c>
      <c r="G4390" s="3" t="s">
        <v>62</v>
      </c>
      <c r="I4390" s="3" t="s">
        <v>62</v>
      </c>
      <c r="J4390" s="3" t="s">
        <v>62</v>
      </c>
      <c r="K4390" s="3" t="s">
        <v>63</v>
      </c>
      <c r="M4390" s="2" t="s">
        <v>42184</v>
      </c>
      <c r="N4390" s="3" t="s">
        <v>2975</v>
      </c>
      <c r="P4390" s="3" t="s">
        <v>64</v>
      </c>
      <c r="R4390" s="3" t="s">
        <v>40557</v>
      </c>
      <c r="S4390" s="4">
        <v>5</v>
      </c>
      <c r="T4390" s="4">
        <v>5</v>
      </c>
      <c r="U4390" s="5" t="s">
        <v>34157</v>
      </c>
      <c r="V4390" s="5" t="s">
        <v>34157</v>
      </c>
      <c r="W4390" s="5" t="s">
        <v>67</v>
      </c>
      <c r="X4390" s="5" t="s">
        <v>67</v>
      </c>
      <c r="Y4390" s="4">
        <v>131</v>
      </c>
      <c r="Z4390" s="4">
        <v>13</v>
      </c>
      <c r="AA4390" s="4">
        <v>13</v>
      </c>
      <c r="AB4390" s="4">
        <v>2</v>
      </c>
      <c r="AC4390" s="4">
        <v>2</v>
      </c>
      <c r="AD4390" s="4">
        <v>61</v>
      </c>
      <c r="AE4390" s="4">
        <v>61</v>
      </c>
      <c r="AF4390" s="4">
        <v>0</v>
      </c>
      <c r="AG4390" s="4">
        <v>0</v>
      </c>
      <c r="AH4390" s="4">
        <v>53</v>
      </c>
      <c r="AI4390" s="4">
        <v>53</v>
      </c>
      <c r="AJ4390" s="4">
        <v>8</v>
      </c>
      <c r="AK4390" s="4">
        <v>8</v>
      </c>
      <c r="AL4390" s="4">
        <v>34</v>
      </c>
      <c r="AM4390" s="4">
        <v>34</v>
      </c>
      <c r="AN4390" s="4">
        <v>0</v>
      </c>
      <c r="AO4390" s="4">
        <v>0</v>
      </c>
      <c r="AP4390" s="4">
        <v>10</v>
      </c>
      <c r="AQ4390" s="4">
        <v>10</v>
      </c>
      <c r="AR4390" s="3" t="s">
        <v>62</v>
      </c>
      <c r="AS4390" s="3" t="s">
        <v>62</v>
      </c>
      <c r="AT4390" s="3" t="s">
        <v>62</v>
      </c>
      <c r="AV4390" s="6" t="str">
        <f>HYPERLINK("http://mcgill.on.worldcat.org/oclc/47443972","Catalog Record")</f>
        <v>Catalog Record</v>
      </c>
      <c r="AW4390" s="6" t="str">
        <f>HYPERLINK("http://www.worldcat.org/oclc/47443972","WorldCat Record")</f>
        <v>WorldCat Record</v>
      </c>
      <c r="AX4390" s="3" t="s">
        <v>42185</v>
      </c>
      <c r="AY4390" s="3" t="s">
        <v>42186</v>
      </c>
      <c r="AZ4390" s="3" t="s">
        <v>42187</v>
      </c>
      <c r="BA4390" s="3" t="s">
        <v>42187</v>
      </c>
      <c r="BB4390" s="3" t="s">
        <v>42188</v>
      </c>
      <c r="BC4390" s="3" t="s">
        <v>102</v>
      </c>
      <c r="BD4390" s="3" t="s">
        <v>68</v>
      </c>
      <c r="BE4390" s="3" t="s">
        <v>42189</v>
      </c>
      <c r="BF4390" s="3" t="s">
        <v>42188</v>
      </c>
      <c r="BG4390" s="3" t="s">
        <v>42190</v>
      </c>
    </row>
    <row r="4391" spans="1:59" ht="58" x14ac:dyDescent="0.35">
      <c r="A4391" s="2" t="s">
        <v>59</v>
      </c>
      <c r="B4391" s="2" t="s">
        <v>60</v>
      </c>
      <c r="C4391" s="2" t="s">
        <v>42191</v>
      </c>
      <c r="D4391" s="2" t="s">
        <v>42192</v>
      </c>
      <c r="E4391" s="2" t="s">
        <v>42193</v>
      </c>
      <c r="G4391" s="3" t="s">
        <v>62</v>
      </c>
      <c r="I4391" s="3" t="s">
        <v>62</v>
      </c>
      <c r="J4391" s="3" t="s">
        <v>62</v>
      </c>
      <c r="K4391" s="3" t="s">
        <v>63</v>
      </c>
      <c r="L4391" s="2" t="s">
        <v>42194</v>
      </c>
      <c r="M4391" s="2" t="s">
        <v>42195</v>
      </c>
      <c r="N4391" s="3" t="s">
        <v>438</v>
      </c>
      <c r="P4391" s="3" t="s">
        <v>64</v>
      </c>
      <c r="R4391" s="3" t="s">
        <v>40557</v>
      </c>
      <c r="S4391" s="4">
        <v>2</v>
      </c>
      <c r="T4391" s="4">
        <v>2</v>
      </c>
      <c r="U4391" s="5" t="s">
        <v>1564</v>
      </c>
      <c r="V4391" s="5" t="s">
        <v>1564</v>
      </c>
      <c r="W4391" s="5" t="s">
        <v>67</v>
      </c>
      <c r="X4391" s="5" t="s">
        <v>67</v>
      </c>
      <c r="Y4391" s="4">
        <v>234</v>
      </c>
      <c r="Z4391" s="4">
        <v>14</v>
      </c>
      <c r="AA4391" s="4">
        <v>18</v>
      </c>
      <c r="AB4391" s="4">
        <v>1</v>
      </c>
      <c r="AC4391" s="4">
        <v>2</v>
      </c>
      <c r="AD4391" s="4">
        <v>90</v>
      </c>
      <c r="AE4391" s="4">
        <v>97</v>
      </c>
      <c r="AF4391" s="4">
        <v>0</v>
      </c>
      <c r="AG4391" s="4">
        <v>1</v>
      </c>
      <c r="AH4391" s="4">
        <v>84</v>
      </c>
      <c r="AI4391" s="4">
        <v>88</v>
      </c>
      <c r="AJ4391" s="4">
        <v>11</v>
      </c>
      <c r="AK4391" s="4">
        <v>15</v>
      </c>
      <c r="AL4391" s="4">
        <v>48</v>
      </c>
      <c r="AM4391" s="4">
        <v>49</v>
      </c>
      <c r="AN4391" s="4">
        <v>0</v>
      </c>
      <c r="AO4391" s="4">
        <v>0</v>
      </c>
      <c r="AP4391" s="4">
        <v>12</v>
      </c>
      <c r="AQ4391" s="4">
        <v>15</v>
      </c>
      <c r="AR4391" s="3" t="s">
        <v>62</v>
      </c>
      <c r="AS4391" s="3" t="s">
        <v>62</v>
      </c>
      <c r="AT4391" s="3" t="s">
        <v>62</v>
      </c>
      <c r="AV4391" s="6" t="str">
        <f>HYPERLINK("http://mcgill.on.worldcat.org/oclc/21077582","Catalog Record")</f>
        <v>Catalog Record</v>
      </c>
      <c r="AW4391" s="6" t="str">
        <f>HYPERLINK("http://www.worldcat.org/oclc/21077582","WorldCat Record")</f>
        <v>WorldCat Record</v>
      </c>
      <c r="AX4391" s="3" t="s">
        <v>42196</v>
      </c>
      <c r="AY4391" s="3" t="s">
        <v>42197</v>
      </c>
      <c r="AZ4391" s="3" t="s">
        <v>42198</v>
      </c>
      <c r="BA4391" s="3" t="s">
        <v>42198</v>
      </c>
      <c r="BB4391" s="3" t="s">
        <v>42199</v>
      </c>
      <c r="BC4391" s="3" t="s">
        <v>102</v>
      </c>
      <c r="BD4391" s="3" t="s">
        <v>68</v>
      </c>
      <c r="BE4391" s="3" t="s">
        <v>42200</v>
      </c>
      <c r="BF4391" s="3" t="s">
        <v>42199</v>
      </c>
      <c r="BG4391" s="3" t="s">
        <v>42201</v>
      </c>
    </row>
    <row r="4392" spans="1:59" ht="72.5" x14ac:dyDescent="0.35">
      <c r="A4392" s="2" t="s">
        <v>59</v>
      </c>
      <c r="B4392" s="2" t="s">
        <v>60</v>
      </c>
      <c r="C4392" s="2" t="s">
        <v>42202</v>
      </c>
      <c r="D4392" s="2" t="s">
        <v>42203</v>
      </c>
      <c r="E4392" s="2" t="s">
        <v>42204</v>
      </c>
      <c r="F4392" s="3" t="s">
        <v>42205</v>
      </c>
      <c r="G4392" s="3" t="s">
        <v>62</v>
      </c>
      <c r="I4392" s="3" t="s">
        <v>61</v>
      </c>
      <c r="J4392" s="3" t="s">
        <v>62</v>
      </c>
      <c r="K4392" s="3" t="s">
        <v>63</v>
      </c>
      <c r="L4392" s="2" t="s">
        <v>42206</v>
      </c>
      <c r="M4392" s="2" t="s">
        <v>42207</v>
      </c>
      <c r="N4392" s="3" t="s">
        <v>355</v>
      </c>
      <c r="P4392" s="3" t="s">
        <v>64</v>
      </c>
      <c r="Q4392" s="2" t="s">
        <v>42208</v>
      </c>
      <c r="R4392" s="3" t="s">
        <v>40557</v>
      </c>
      <c r="S4392" s="4">
        <v>10</v>
      </c>
      <c r="T4392" s="4">
        <v>10</v>
      </c>
      <c r="U4392" s="5" t="s">
        <v>42209</v>
      </c>
      <c r="V4392" s="5" t="s">
        <v>42209</v>
      </c>
      <c r="W4392" s="5" t="s">
        <v>67</v>
      </c>
      <c r="X4392" s="5" t="s">
        <v>67</v>
      </c>
      <c r="Y4392" s="4">
        <v>339</v>
      </c>
      <c r="Z4392" s="4">
        <v>31</v>
      </c>
      <c r="AA4392" s="4">
        <v>33</v>
      </c>
      <c r="AB4392" s="4">
        <v>3</v>
      </c>
      <c r="AC4392" s="4">
        <v>4</v>
      </c>
      <c r="AD4392" s="4">
        <v>104</v>
      </c>
      <c r="AE4392" s="4">
        <v>107</v>
      </c>
      <c r="AF4392" s="4">
        <v>1</v>
      </c>
      <c r="AG4392" s="4">
        <v>2</v>
      </c>
      <c r="AH4392" s="4">
        <v>92</v>
      </c>
      <c r="AI4392" s="4">
        <v>93</v>
      </c>
      <c r="AJ4392" s="4">
        <v>21</v>
      </c>
      <c r="AK4392" s="4">
        <v>22</v>
      </c>
      <c r="AL4392" s="4">
        <v>49</v>
      </c>
      <c r="AM4392" s="4">
        <v>50</v>
      </c>
      <c r="AN4392" s="4">
        <v>0</v>
      </c>
      <c r="AO4392" s="4">
        <v>0</v>
      </c>
      <c r="AP4392" s="4">
        <v>21</v>
      </c>
      <c r="AQ4392" s="4">
        <v>22</v>
      </c>
      <c r="AR4392" s="3" t="s">
        <v>62</v>
      </c>
      <c r="AS4392" s="3" t="s">
        <v>62</v>
      </c>
      <c r="AT4392" s="3" t="s">
        <v>61</v>
      </c>
      <c r="AU4392" s="6" t="str">
        <f>HYPERLINK("http://catalog.hathitrust.org/Record/000417557","HathiTrust Record")</f>
        <v>HathiTrust Record</v>
      </c>
      <c r="AV4392" s="6" t="str">
        <f>HYPERLINK("http://mcgill.on.worldcat.org/oclc/12586581","Catalog Record")</f>
        <v>Catalog Record</v>
      </c>
      <c r="AW4392" s="6" t="str">
        <f>HYPERLINK("http://www.worldcat.org/oclc/12586581","WorldCat Record")</f>
        <v>WorldCat Record</v>
      </c>
      <c r="AX4392" s="3" t="s">
        <v>42210</v>
      </c>
      <c r="AY4392" s="3" t="s">
        <v>42211</v>
      </c>
      <c r="AZ4392" s="3" t="s">
        <v>42212</v>
      </c>
      <c r="BA4392" s="3" t="s">
        <v>42212</v>
      </c>
      <c r="BB4392" s="3" t="s">
        <v>42213</v>
      </c>
      <c r="BC4392" s="3" t="s">
        <v>102</v>
      </c>
      <c r="BD4392" s="3" t="s">
        <v>68</v>
      </c>
      <c r="BE4392" s="3" t="s">
        <v>42214</v>
      </c>
      <c r="BF4392" s="3" t="s">
        <v>42213</v>
      </c>
      <c r="BG4392" s="3" t="s">
        <v>42215</v>
      </c>
    </row>
    <row r="4393" spans="1:59" ht="72.5" x14ac:dyDescent="0.35">
      <c r="A4393" s="2" t="s">
        <v>59</v>
      </c>
      <c r="B4393" s="2" t="s">
        <v>60</v>
      </c>
      <c r="C4393" s="2" t="s">
        <v>42216</v>
      </c>
      <c r="D4393" s="2" t="s">
        <v>42217</v>
      </c>
      <c r="E4393" s="2" t="s">
        <v>42218</v>
      </c>
      <c r="F4393" s="3" t="s">
        <v>42219</v>
      </c>
      <c r="G4393" s="3" t="s">
        <v>62</v>
      </c>
      <c r="I4393" s="3" t="s">
        <v>61</v>
      </c>
      <c r="J4393" s="3" t="s">
        <v>62</v>
      </c>
      <c r="K4393" s="3" t="s">
        <v>63</v>
      </c>
      <c r="L4393" s="2" t="s">
        <v>42220</v>
      </c>
      <c r="M4393" s="2" t="s">
        <v>42221</v>
      </c>
      <c r="N4393" s="3" t="s">
        <v>396</v>
      </c>
      <c r="P4393" s="3" t="s">
        <v>64</v>
      </c>
      <c r="Q4393" s="2" t="s">
        <v>42222</v>
      </c>
      <c r="R4393" s="3" t="s">
        <v>40557</v>
      </c>
      <c r="S4393" s="4">
        <v>13</v>
      </c>
      <c r="T4393" s="4">
        <v>23</v>
      </c>
      <c r="U4393" s="5" t="s">
        <v>36365</v>
      </c>
      <c r="V4393" s="5" t="s">
        <v>36365</v>
      </c>
      <c r="W4393" s="5" t="s">
        <v>67</v>
      </c>
      <c r="X4393" s="5" t="s">
        <v>67</v>
      </c>
      <c r="Y4393" s="4">
        <v>362</v>
      </c>
      <c r="Z4393" s="4">
        <v>31</v>
      </c>
      <c r="AA4393" s="4">
        <v>35</v>
      </c>
      <c r="AB4393" s="4">
        <v>3</v>
      </c>
      <c r="AC4393" s="4">
        <v>7</v>
      </c>
      <c r="AD4393" s="4">
        <v>110</v>
      </c>
      <c r="AE4393" s="4">
        <v>114</v>
      </c>
      <c r="AF4393" s="4">
        <v>1</v>
      </c>
      <c r="AG4393" s="4">
        <v>4</v>
      </c>
      <c r="AH4393" s="4">
        <v>97</v>
      </c>
      <c r="AI4393" s="4">
        <v>99</v>
      </c>
      <c r="AJ4393" s="4">
        <v>21</v>
      </c>
      <c r="AK4393" s="4">
        <v>24</v>
      </c>
      <c r="AL4393" s="4">
        <v>52</v>
      </c>
      <c r="AM4393" s="4">
        <v>52</v>
      </c>
      <c r="AN4393" s="4">
        <v>0</v>
      </c>
      <c r="AO4393" s="4">
        <v>0</v>
      </c>
      <c r="AP4393" s="4">
        <v>23</v>
      </c>
      <c r="AQ4393" s="4">
        <v>25</v>
      </c>
      <c r="AR4393" s="3" t="s">
        <v>62</v>
      </c>
      <c r="AS4393" s="3" t="s">
        <v>62</v>
      </c>
      <c r="AT4393" s="3" t="s">
        <v>62</v>
      </c>
      <c r="AV4393" s="6" t="str">
        <f>HYPERLINK("http://mcgill.on.worldcat.org/oclc/12457292","Catalog Record")</f>
        <v>Catalog Record</v>
      </c>
      <c r="AW4393" s="6" t="str">
        <f>HYPERLINK("http://www.worldcat.org/oclc/12457292","WorldCat Record")</f>
        <v>WorldCat Record</v>
      </c>
      <c r="AX4393" s="3" t="s">
        <v>42223</v>
      </c>
      <c r="AY4393" s="3" t="s">
        <v>42224</v>
      </c>
      <c r="AZ4393" s="3" t="s">
        <v>42225</v>
      </c>
      <c r="BA4393" s="3" t="s">
        <v>42225</v>
      </c>
      <c r="BB4393" s="3" t="s">
        <v>42226</v>
      </c>
      <c r="BC4393" s="3" t="s">
        <v>102</v>
      </c>
      <c r="BD4393" s="3" t="s">
        <v>68</v>
      </c>
      <c r="BE4393" s="3" t="s">
        <v>42227</v>
      </c>
      <c r="BF4393" s="3" t="s">
        <v>42226</v>
      </c>
      <c r="BG4393" s="3" t="s">
        <v>42228</v>
      </c>
    </row>
    <row r="4394" spans="1:59" ht="58" x14ac:dyDescent="0.35">
      <c r="A4394" s="2" t="s">
        <v>59</v>
      </c>
      <c r="B4394" s="2" t="s">
        <v>60</v>
      </c>
      <c r="C4394" s="2" t="s">
        <v>42229</v>
      </c>
      <c r="D4394" s="2" t="s">
        <v>42230</v>
      </c>
      <c r="E4394" s="2" t="s">
        <v>42231</v>
      </c>
      <c r="G4394" s="3" t="s">
        <v>62</v>
      </c>
      <c r="I4394" s="3" t="s">
        <v>61</v>
      </c>
      <c r="J4394" s="3" t="s">
        <v>62</v>
      </c>
      <c r="K4394" s="3" t="s">
        <v>63</v>
      </c>
      <c r="L4394" s="2" t="s">
        <v>42232</v>
      </c>
      <c r="M4394" s="2" t="s">
        <v>42233</v>
      </c>
      <c r="N4394" s="3" t="s">
        <v>81</v>
      </c>
      <c r="P4394" s="3" t="s">
        <v>64</v>
      </c>
      <c r="R4394" s="3" t="s">
        <v>40557</v>
      </c>
      <c r="S4394" s="4">
        <v>13</v>
      </c>
      <c r="T4394" s="4">
        <v>35</v>
      </c>
      <c r="U4394" s="5" t="s">
        <v>16546</v>
      </c>
      <c r="V4394" s="5" t="s">
        <v>16546</v>
      </c>
      <c r="W4394" s="5" t="s">
        <v>67</v>
      </c>
      <c r="X4394" s="5" t="s">
        <v>67</v>
      </c>
      <c r="Y4394" s="4">
        <v>910</v>
      </c>
      <c r="Z4394" s="4">
        <v>51</v>
      </c>
      <c r="AA4394" s="4">
        <v>60</v>
      </c>
      <c r="AB4394" s="4">
        <v>3</v>
      </c>
      <c r="AC4394" s="4">
        <v>10</v>
      </c>
      <c r="AD4394" s="4">
        <v>124</v>
      </c>
      <c r="AE4394" s="4">
        <v>130</v>
      </c>
      <c r="AF4394" s="4">
        <v>1</v>
      </c>
      <c r="AG4394" s="4">
        <v>5</v>
      </c>
      <c r="AH4394" s="4">
        <v>100</v>
      </c>
      <c r="AI4394" s="4">
        <v>101</v>
      </c>
      <c r="AJ4394" s="4">
        <v>21</v>
      </c>
      <c r="AK4394" s="4">
        <v>25</v>
      </c>
      <c r="AL4394" s="4">
        <v>50</v>
      </c>
      <c r="AM4394" s="4">
        <v>50</v>
      </c>
      <c r="AN4394" s="4">
        <v>0</v>
      </c>
      <c r="AO4394" s="4">
        <v>0</v>
      </c>
      <c r="AP4394" s="4">
        <v>34</v>
      </c>
      <c r="AQ4394" s="4">
        <v>39</v>
      </c>
      <c r="AR4394" s="3" t="s">
        <v>62</v>
      </c>
      <c r="AS4394" s="3" t="s">
        <v>62</v>
      </c>
      <c r="AT4394" s="3" t="s">
        <v>61</v>
      </c>
      <c r="AU4394" s="6" t="str">
        <f>HYPERLINK("http://catalog.hathitrust.org/Record/001498358","HathiTrust Record")</f>
        <v>HathiTrust Record</v>
      </c>
      <c r="AV4394" s="6" t="str">
        <f>HYPERLINK("http://mcgill.on.worldcat.org/oclc/436648","Catalog Record")</f>
        <v>Catalog Record</v>
      </c>
      <c r="AW4394" s="6" t="str">
        <f>HYPERLINK("http://www.worldcat.org/oclc/436648","WorldCat Record")</f>
        <v>WorldCat Record</v>
      </c>
      <c r="AX4394" s="3" t="s">
        <v>42234</v>
      </c>
      <c r="AY4394" s="3" t="s">
        <v>42235</v>
      </c>
      <c r="AZ4394" s="3" t="s">
        <v>42236</v>
      </c>
      <c r="BA4394" s="3" t="s">
        <v>42236</v>
      </c>
      <c r="BB4394" s="3" t="s">
        <v>42237</v>
      </c>
      <c r="BC4394" s="3" t="s">
        <v>102</v>
      </c>
      <c r="BD4394" s="3" t="s">
        <v>6923</v>
      </c>
      <c r="BF4394" s="3" t="s">
        <v>42237</v>
      </c>
      <c r="BG4394" s="3" t="s">
        <v>42238</v>
      </c>
    </row>
    <row r="4395" spans="1:59" ht="58" x14ac:dyDescent="0.35">
      <c r="A4395" s="2" t="s">
        <v>59</v>
      </c>
      <c r="B4395" s="2" t="s">
        <v>60</v>
      </c>
      <c r="C4395" s="2" t="s">
        <v>42239</v>
      </c>
      <c r="D4395" s="2" t="s">
        <v>42240</v>
      </c>
      <c r="E4395" s="2" t="s">
        <v>42241</v>
      </c>
      <c r="G4395" s="3" t="s">
        <v>62</v>
      </c>
      <c r="I4395" s="3" t="s">
        <v>62</v>
      </c>
      <c r="J4395" s="3" t="s">
        <v>62</v>
      </c>
      <c r="K4395" s="3" t="s">
        <v>63</v>
      </c>
      <c r="M4395" s="2" t="s">
        <v>42242</v>
      </c>
      <c r="N4395" s="3" t="s">
        <v>424</v>
      </c>
      <c r="P4395" s="3" t="s">
        <v>64</v>
      </c>
      <c r="R4395" s="3" t="s">
        <v>40557</v>
      </c>
      <c r="S4395" s="4">
        <v>17</v>
      </c>
      <c r="T4395" s="4">
        <v>17</v>
      </c>
      <c r="U4395" s="5" t="s">
        <v>9574</v>
      </c>
      <c r="V4395" s="5" t="s">
        <v>9574</v>
      </c>
      <c r="W4395" s="5" t="s">
        <v>67</v>
      </c>
      <c r="X4395" s="5" t="s">
        <v>67</v>
      </c>
      <c r="Y4395" s="4">
        <v>121</v>
      </c>
      <c r="Z4395" s="4">
        <v>16</v>
      </c>
      <c r="AA4395" s="4">
        <v>16</v>
      </c>
      <c r="AB4395" s="4">
        <v>2</v>
      </c>
      <c r="AC4395" s="4">
        <v>2</v>
      </c>
      <c r="AD4395" s="4">
        <v>65</v>
      </c>
      <c r="AE4395" s="4">
        <v>65</v>
      </c>
      <c r="AF4395" s="4">
        <v>1</v>
      </c>
      <c r="AG4395" s="4">
        <v>1</v>
      </c>
      <c r="AH4395" s="4">
        <v>58</v>
      </c>
      <c r="AI4395" s="4">
        <v>58</v>
      </c>
      <c r="AJ4395" s="4">
        <v>13</v>
      </c>
      <c r="AK4395" s="4">
        <v>13</v>
      </c>
      <c r="AL4395" s="4">
        <v>34</v>
      </c>
      <c r="AM4395" s="4">
        <v>34</v>
      </c>
      <c r="AN4395" s="4">
        <v>0</v>
      </c>
      <c r="AO4395" s="4">
        <v>0</v>
      </c>
      <c r="AP4395" s="4">
        <v>13</v>
      </c>
      <c r="AQ4395" s="4">
        <v>13</v>
      </c>
      <c r="AR4395" s="3" t="s">
        <v>62</v>
      </c>
      <c r="AS4395" s="3" t="s">
        <v>62</v>
      </c>
      <c r="AT4395" s="3" t="s">
        <v>61</v>
      </c>
      <c r="AU4395" s="6" t="str">
        <f>HYPERLINK("http://catalog.hathitrust.org/Record/001528453","HathiTrust Record")</f>
        <v>HathiTrust Record</v>
      </c>
      <c r="AV4395" s="6" t="str">
        <f>HYPERLINK("http://mcgill.on.worldcat.org/oclc/19819324","Catalog Record")</f>
        <v>Catalog Record</v>
      </c>
      <c r="AW4395" s="6" t="str">
        <f>HYPERLINK("http://www.worldcat.org/oclc/19819324","WorldCat Record")</f>
        <v>WorldCat Record</v>
      </c>
      <c r="AX4395" s="3" t="s">
        <v>42243</v>
      </c>
      <c r="AY4395" s="3" t="s">
        <v>42244</v>
      </c>
      <c r="AZ4395" s="3" t="s">
        <v>42245</v>
      </c>
      <c r="BA4395" s="3" t="s">
        <v>42245</v>
      </c>
      <c r="BB4395" s="3" t="s">
        <v>42246</v>
      </c>
      <c r="BC4395" s="3" t="s">
        <v>102</v>
      </c>
      <c r="BD4395" s="3" t="s">
        <v>68</v>
      </c>
      <c r="BE4395" s="3" t="s">
        <v>42247</v>
      </c>
      <c r="BF4395" s="3" t="s">
        <v>42246</v>
      </c>
      <c r="BG4395" s="3" t="s">
        <v>42248</v>
      </c>
    </row>
    <row r="4396" spans="1:59" ht="58" x14ac:dyDescent="0.35">
      <c r="A4396" s="2" t="s">
        <v>59</v>
      </c>
      <c r="B4396" s="2" t="s">
        <v>60</v>
      </c>
      <c r="C4396" s="2" t="s">
        <v>42249</v>
      </c>
      <c r="D4396" s="2" t="s">
        <v>42250</v>
      </c>
      <c r="E4396" s="2" t="s">
        <v>42251</v>
      </c>
      <c r="G4396" s="3" t="s">
        <v>62</v>
      </c>
      <c r="I4396" s="3" t="s">
        <v>62</v>
      </c>
      <c r="J4396" s="3" t="s">
        <v>62</v>
      </c>
      <c r="K4396" s="3" t="s">
        <v>63</v>
      </c>
      <c r="M4396" s="2" t="s">
        <v>42252</v>
      </c>
      <c r="N4396" s="3" t="s">
        <v>2110</v>
      </c>
      <c r="P4396" s="3" t="s">
        <v>64</v>
      </c>
      <c r="Q4396" s="2" t="s">
        <v>42253</v>
      </c>
      <c r="R4396" s="3" t="s">
        <v>40557</v>
      </c>
      <c r="S4396" s="4">
        <v>5</v>
      </c>
      <c r="T4396" s="4">
        <v>5</v>
      </c>
      <c r="U4396" s="5" t="s">
        <v>34791</v>
      </c>
      <c r="V4396" s="5" t="s">
        <v>34791</v>
      </c>
      <c r="W4396" s="5" t="s">
        <v>67</v>
      </c>
      <c r="X4396" s="5" t="s">
        <v>67</v>
      </c>
      <c r="Y4396" s="4">
        <v>389</v>
      </c>
      <c r="Z4396" s="4">
        <v>22</v>
      </c>
      <c r="AA4396" s="4">
        <v>25</v>
      </c>
      <c r="AB4396" s="4">
        <v>1</v>
      </c>
      <c r="AC4396" s="4">
        <v>4</v>
      </c>
      <c r="AD4396" s="4">
        <v>94</v>
      </c>
      <c r="AE4396" s="4">
        <v>97</v>
      </c>
      <c r="AF4396" s="4">
        <v>0</v>
      </c>
      <c r="AG4396" s="4">
        <v>3</v>
      </c>
      <c r="AH4396" s="4">
        <v>83</v>
      </c>
      <c r="AI4396" s="4">
        <v>84</v>
      </c>
      <c r="AJ4396" s="4">
        <v>14</v>
      </c>
      <c r="AK4396" s="4">
        <v>17</v>
      </c>
      <c r="AL4396" s="4">
        <v>44</v>
      </c>
      <c r="AM4396" s="4">
        <v>44</v>
      </c>
      <c r="AN4396" s="4">
        <v>0</v>
      </c>
      <c r="AO4396" s="4">
        <v>0</v>
      </c>
      <c r="AP4396" s="4">
        <v>16</v>
      </c>
      <c r="AQ4396" s="4">
        <v>19</v>
      </c>
      <c r="AR4396" s="3" t="s">
        <v>62</v>
      </c>
      <c r="AS4396" s="3" t="s">
        <v>62</v>
      </c>
      <c r="AT4396" s="3" t="s">
        <v>61</v>
      </c>
      <c r="AU4396" s="6" t="str">
        <f>HYPERLINK("http://catalog.hathitrust.org/Record/000750788","HathiTrust Record")</f>
        <v>HathiTrust Record</v>
      </c>
      <c r="AV4396" s="6" t="str">
        <f>HYPERLINK("http://mcgill.on.worldcat.org/oclc/3380099","Catalog Record")</f>
        <v>Catalog Record</v>
      </c>
      <c r="AW4396" s="6" t="str">
        <f>HYPERLINK("http://www.worldcat.org/oclc/3380099","WorldCat Record")</f>
        <v>WorldCat Record</v>
      </c>
      <c r="AX4396" s="3" t="s">
        <v>42254</v>
      </c>
      <c r="AY4396" s="3" t="s">
        <v>42255</v>
      </c>
      <c r="AZ4396" s="3" t="s">
        <v>42256</v>
      </c>
      <c r="BA4396" s="3" t="s">
        <v>42256</v>
      </c>
      <c r="BB4396" s="3" t="s">
        <v>42257</v>
      </c>
      <c r="BC4396" s="3" t="s">
        <v>102</v>
      </c>
      <c r="BD4396" s="3" t="s">
        <v>68</v>
      </c>
      <c r="BE4396" s="3" t="s">
        <v>42258</v>
      </c>
      <c r="BF4396" s="3" t="s">
        <v>42257</v>
      </c>
      <c r="BG4396" s="3" t="s">
        <v>42259</v>
      </c>
    </row>
    <row r="4397" spans="1:59" ht="58" x14ac:dyDescent="0.35">
      <c r="A4397" s="2" t="s">
        <v>59</v>
      </c>
      <c r="B4397" s="2" t="s">
        <v>60</v>
      </c>
      <c r="C4397" s="2" t="s">
        <v>42260</v>
      </c>
      <c r="D4397" s="2" t="s">
        <v>42261</v>
      </c>
      <c r="E4397" s="2" t="s">
        <v>42262</v>
      </c>
      <c r="G4397" s="3" t="s">
        <v>62</v>
      </c>
      <c r="I4397" s="3" t="s">
        <v>61</v>
      </c>
      <c r="J4397" s="3" t="s">
        <v>62</v>
      </c>
      <c r="K4397" s="3" t="s">
        <v>63</v>
      </c>
      <c r="L4397" s="2" t="s">
        <v>42263</v>
      </c>
      <c r="M4397" s="2" t="s">
        <v>42264</v>
      </c>
      <c r="N4397" s="3" t="s">
        <v>866</v>
      </c>
      <c r="P4397" s="3" t="s">
        <v>64</v>
      </c>
      <c r="Q4397" s="2" t="s">
        <v>42265</v>
      </c>
      <c r="R4397" s="3" t="s">
        <v>40557</v>
      </c>
      <c r="S4397" s="4">
        <v>10</v>
      </c>
      <c r="T4397" s="4">
        <v>34</v>
      </c>
      <c r="U4397" s="5" t="s">
        <v>31750</v>
      </c>
      <c r="V4397" s="5" t="s">
        <v>42266</v>
      </c>
      <c r="W4397" s="5" t="s">
        <v>67</v>
      </c>
      <c r="X4397" s="5" t="s">
        <v>67</v>
      </c>
      <c r="Y4397" s="4">
        <v>141</v>
      </c>
      <c r="Z4397" s="4">
        <v>41</v>
      </c>
      <c r="AA4397" s="4">
        <v>54</v>
      </c>
      <c r="AB4397" s="4">
        <v>3</v>
      </c>
      <c r="AC4397" s="4">
        <v>9</v>
      </c>
      <c r="AD4397" s="4">
        <v>69</v>
      </c>
      <c r="AE4397" s="4">
        <v>74</v>
      </c>
      <c r="AF4397" s="4">
        <v>1</v>
      </c>
      <c r="AG4397" s="4">
        <v>4</v>
      </c>
      <c r="AH4397" s="4">
        <v>49</v>
      </c>
      <c r="AI4397" s="4">
        <v>51</v>
      </c>
      <c r="AJ4397" s="4">
        <v>19</v>
      </c>
      <c r="AK4397" s="4">
        <v>23</v>
      </c>
      <c r="AL4397" s="4">
        <v>27</v>
      </c>
      <c r="AM4397" s="4">
        <v>28</v>
      </c>
      <c r="AN4397" s="4">
        <v>0</v>
      </c>
      <c r="AO4397" s="4">
        <v>0</v>
      </c>
      <c r="AP4397" s="4">
        <v>23</v>
      </c>
      <c r="AQ4397" s="4">
        <v>27</v>
      </c>
      <c r="AR4397" s="3" t="s">
        <v>61</v>
      </c>
      <c r="AS4397" s="3" t="s">
        <v>62</v>
      </c>
      <c r="AT4397" s="3" t="s">
        <v>61</v>
      </c>
      <c r="AU4397" s="6" t="str">
        <f>HYPERLINK("http://catalog.hathitrust.org/Record/001085876","HathiTrust Record")</f>
        <v>HathiTrust Record</v>
      </c>
      <c r="AV4397" s="6" t="str">
        <f>HYPERLINK("http://mcgill.on.worldcat.org/oclc/515117","Catalog Record")</f>
        <v>Catalog Record</v>
      </c>
      <c r="AW4397" s="6" t="str">
        <f>HYPERLINK("http://www.worldcat.org/oclc/515117","WorldCat Record")</f>
        <v>WorldCat Record</v>
      </c>
      <c r="AX4397" s="3" t="s">
        <v>42267</v>
      </c>
      <c r="AY4397" s="3" t="s">
        <v>42268</v>
      </c>
      <c r="AZ4397" s="3" t="s">
        <v>42269</v>
      </c>
      <c r="BA4397" s="3" t="s">
        <v>42269</v>
      </c>
      <c r="BB4397" s="3" t="s">
        <v>42270</v>
      </c>
      <c r="BC4397" s="3" t="s">
        <v>102</v>
      </c>
      <c r="BD4397" s="3" t="s">
        <v>68</v>
      </c>
      <c r="BE4397" s="3" t="s">
        <v>42271</v>
      </c>
      <c r="BF4397" s="3" t="s">
        <v>42270</v>
      </c>
      <c r="BG4397" s="3" t="s">
        <v>42272</v>
      </c>
    </row>
    <row r="4398" spans="1:59" ht="58" x14ac:dyDescent="0.35">
      <c r="A4398" s="2" t="s">
        <v>59</v>
      </c>
      <c r="B4398" s="2" t="s">
        <v>60</v>
      </c>
      <c r="C4398" s="2" t="s">
        <v>42273</v>
      </c>
      <c r="D4398" s="2" t="s">
        <v>42274</v>
      </c>
      <c r="E4398" s="2" t="s">
        <v>42275</v>
      </c>
      <c r="G4398" s="3" t="s">
        <v>62</v>
      </c>
      <c r="I4398" s="3" t="s">
        <v>62</v>
      </c>
      <c r="J4398" s="3" t="s">
        <v>62</v>
      </c>
      <c r="K4398" s="3" t="s">
        <v>63</v>
      </c>
      <c r="L4398" s="2" t="s">
        <v>42276</v>
      </c>
      <c r="M4398" s="2" t="s">
        <v>42277</v>
      </c>
      <c r="N4398" s="3" t="s">
        <v>539</v>
      </c>
      <c r="P4398" s="3" t="s">
        <v>64</v>
      </c>
      <c r="Q4398" s="2" t="s">
        <v>42278</v>
      </c>
      <c r="R4398" s="3" t="s">
        <v>40557</v>
      </c>
      <c r="S4398" s="4">
        <v>10</v>
      </c>
      <c r="T4398" s="4">
        <v>10</v>
      </c>
      <c r="U4398" s="5" t="s">
        <v>9520</v>
      </c>
      <c r="V4398" s="5" t="s">
        <v>9520</v>
      </c>
      <c r="W4398" s="5" t="s">
        <v>67</v>
      </c>
      <c r="X4398" s="5" t="s">
        <v>67</v>
      </c>
      <c r="Y4398" s="4">
        <v>122</v>
      </c>
      <c r="Z4398" s="4">
        <v>6</v>
      </c>
      <c r="AA4398" s="4">
        <v>15</v>
      </c>
      <c r="AB4398" s="4">
        <v>1</v>
      </c>
      <c r="AC4398" s="4">
        <v>3</v>
      </c>
      <c r="AD4398" s="4">
        <v>57</v>
      </c>
      <c r="AE4398" s="4">
        <v>76</v>
      </c>
      <c r="AF4398" s="4">
        <v>0</v>
      </c>
      <c r="AG4398" s="4">
        <v>1</v>
      </c>
      <c r="AH4398" s="4">
        <v>56</v>
      </c>
      <c r="AI4398" s="4">
        <v>71</v>
      </c>
      <c r="AJ4398" s="4">
        <v>3</v>
      </c>
      <c r="AK4398" s="4">
        <v>6</v>
      </c>
      <c r="AL4398" s="4">
        <v>32</v>
      </c>
      <c r="AM4398" s="4">
        <v>43</v>
      </c>
      <c r="AN4398" s="4">
        <v>0</v>
      </c>
      <c r="AO4398" s="4">
        <v>0</v>
      </c>
      <c r="AP4398" s="4">
        <v>4</v>
      </c>
      <c r="AQ4398" s="4">
        <v>9</v>
      </c>
      <c r="AR4398" s="3" t="s">
        <v>62</v>
      </c>
      <c r="AS4398" s="3" t="s">
        <v>62</v>
      </c>
      <c r="AT4398" s="3" t="s">
        <v>62</v>
      </c>
      <c r="AV4398" s="6" t="str">
        <f>HYPERLINK("http://mcgill.on.worldcat.org/oclc/39515012","Catalog Record")</f>
        <v>Catalog Record</v>
      </c>
      <c r="AW4398" s="6" t="str">
        <f>HYPERLINK("http://www.worldcat.org/oclc/39515012","WorldCat Record")</f>
        <v>WorldCat Record</v>
      </c>
      <c r="AX4398" s="3" t="s">
        <v>42279</v>
      </c>
      <c r="AY4398" s="3" t="s">
        <v>42280</v>
      </c>
      <c r="AZ4398" s="3" t="s">
        <v>42281</v>
      </c>
      <c r="BA4398" s="3" t="s">
        <v>42281</v>
      </c>
      <c r="BB4398" s="3" t="s">
        <v>42282</v>
      </c>
      <c r="BC4398" s="3" t="s">
        <v>102</v>
      </c>
      <c r="BD4398" s="3" t="s">
        <v>68</v>
      </c>
      <c r="BE4398" s="3" t="s">
        <v>42283</v>
      </c>
      <c r="BF4398" s="3" t="s">
        <v>42282</v>
      </c>
      <c r="BG4398" s="3" t="s">
        <v>42284</v>
      </c>
    </row>
    <row r="4399" spans="1:59" ht="58" x14ac:dyDescent="0.35">
      <c r="A4399" s="2" t="s">
        <v>59</v>
      </c>
      <c r="B4399" s="2" t="s">
        <v>60</v>
      </c>
      <c r="C4399" s="2" t="s">
        <v>42285</v>
      </c>
      <c r="D4399" s="2" t="s">
        <v>42286</v>
      </c>
      <c r="E4399" s="2" t="s">
        <v>42287</v>
      </c>
      <c r="G4399" s="3" t="s">
        <v>62</v>
      </c>
      <c r="I4399" s="3" t="s">
        <v>61</v>
      </c>
      <c r="J4399" s="3" t="s">
        <v>61</v>
      </c>
      <c r="K4399" s="3" t="s">
        <v>63</v>
      </c>
      <c r="L4399" s="2" t="s">
        <v>42288</v>
      </c>
      <c r="M4399" s="2" t="s">
        <v>42289</v>
      </c>
      <c r="N4399" s="3" t="s">
        <v>87</v>
      </c>
      <c r="O4399" s="2" t="s">
        <v>42290</v>
      </c>
      <c r="P4399" s="3" t="s">
        <v>64</v>
      </c>
      <c r="Q4399" s="2" t="s">
        <v>8038</v>
      </c>
      <c r="R4399" s="3" t="s">
        <v>40557</v>
      </c>
      <c r="S4399" s="4">
        <v>0</v>
      </c>
      <c r="T4399" s="4">
        <v>22</v>
      </c>
      <c r="V4399" s="5" t="s">
        <v>5074</v>
      </c>
      <c r="W4399" s="5" t="s">
        <v>67</v>
      </c>
      <c r="X4399" s="5" t="s">
        <v>67</v>
      </c>
      <c r="Y4399" s="4">
        <v>417</v>
      </c>
      <c r="Z4399" s="4">
        <v>30</v>
      </c>
      <c r="AA4399" s="4">
        <v>47</v>
      </c>
      <c r="AB4399" s="4">
        <v>2</v>
      </c>
      <c r="AC4399" s="4">
        <v>8</v>
      </c>
      <c r="AD4399" s="4">
        <v>100</v>
      </c>
      <c r="AE4399" s="4">
        <v>140</v>
      </c>
      <c r="AF4399" s="4">
        <v>1</v>
      </c>
      <c r="AG4399" s="4">
        <v>5</v>
      </c>
      <c r="AH4399" s="4">
        <v>84</v>
      </c>
      <c r="AI4399" s="4">
        <v>112</v>
      </c>
      <c r="AJ4399" s="4">
        <v>19</v>
      </c>
      <c r="AK4399" s="4">
        <v>26</v>
      </c>
      <c r="AL4399" s="4">
        <v>44</v>
      </c>
      <c r="AM4399" s="4">
        <v>60</v>
      </c>
      <c r="AN4399" s="4">
        <v>0</v>
      </c>
      <c r="AO4399" s="4">
        <v>0</v>
      </c>
      <c r="AP4399" s="4">
        <v>23</v>
      </c>
      <c r="AQ4399" s="4">
        <v>36</v>
      </c>
      <c r="AR4399" s="3" t="s">
        <v>62</v>
      </c>
      <c r="AS4399" s="3" t="s">
        <v>62</v>
      </c>
      <c r="AT4399" s="3" t="s">
        <v>61</v>
      </c>
      <c r="AU4399" s="6" t="str">
        <f>HYPERLINK("http://catalog.hathitrust.org/Record/000174248","HathiTrust Record")</f>
        <v>HathiTrust Record</v>
      </c>
      <c r="AV4399" s="6" t="str">
        <f>HYPERLINK("http://mcgill.on.worldcat.org/oclc/3915458","Catalog Record")</f>
        <v>Catalog Record</v>
      </c>
      <c r="AW4399" s="6" t="str">
        <f>HYPERLINK("http://www.worldcat.org/oclc/3915458","WorldCat Record")</f>
        <v>WorldCat Record</v>
      </c>
      <c r="AX4399" s="3" t="s">
        <v>42291</v>
      </c>
      <c r="AY4399" s="3" t="s">
        <v>42292</v>
      </c>
      <c r="AZ4399" s="3" t="s">
        <v>42293</v>
      </c>
      <c r="BA4399" s="3" t="s">
        <v>42293</v>
      </c>
      <c r="BB4399" s="3" t="s">
        <v>42294</v>
      </c>
      <c r="BC4399" s="3" t="s">
        <v>102</v>
      </c>
      <c r="BD4399" s="3" t="s">
        <v>68</v>
      </c>
      <c r="BE4399" s="3" t="s">
        <v>42295</v>
      </c>
      <c r="BF4399" s="3" t="s">
        <v>42294</v>
      </c>
      <c r="BG4399" s="3" t="s">
        <v>42296</v>
      </c>
    </row>
    <row r="4400" spans="1:59" ht="58" x14ac:dyDescent="0.35">
      <c r="A4400" s="2" t="s">
        <v>59</v>
      </c>
      <c r="B4400" s="2" t="s">
        <v>60</v>
      </c>
      <c r="C4400" s="2" t="s">
        <v>42297</v>
      </c>
      <c r="D4400" s="2" t="s">
        <v>42298</v>
      </c>
      <c r="E4400" s="2" t="s">
        <v>42299</v>
      </c>
      <c r="G4400" s="3" t="s">
        <v>62</v>
      </c>
      <c r="I4400" s="3" t="s">
        <v>62</v>
      </c>
      <c r="J4400" s="3" t="s">
        <v>62</v>
      </c>
      <c r="K4400" s="3" t="s">
        <v>63</v>
      </c>
      <c r="M4400" s="2" t="s">
        <v>42300</v>
      </c>
      <c r="N4400" s="3" t="s">
        <v>2110</v>
      </c>
      <c r="P4400" s="3" t="s">
        <v>64</v>
      </c>
      <c r="Q4400" s="2" t="s">
        <v>42301</v>
      </c>
      <c r="R4400" s="3" t="s">
        <v>40557</v>
      </c>
      <c r="S4400" s="4">
        <v>10</v>
      </c>
      <c r="T4400" s="4">
        <v>10</v>
      </c>
      <c r="U4400" s="5" t="s">
        <v>14331</v>
      </c>
      <c r="V4400" s="5" t="s">
        <v>14331</v>
      </c>
      <c r="W4400" s="5" t="s">
        <v>67</v>
      </c>
      <c r="X4400" s="5" t="s">
        <v>67</v>
      </c>
      <c r="Y4400" s="4">
        <v>535</v>
      </c>
      <c r="Z4400" s="4">
        <v>35</v>
      </c>
      <c r="AA4400" s="4">
        <v>38</v>
      </c>
      <c r="AB4400" s="4">
        <v>3</v>
      </c>
      <c r="AC4400" s="4">
        <v>3</v>
      </c>
      <c r="AD4400" s="4">
        <v>102</v>
      </c>
      <c r="AE4400" s="4">
        <v>105</v>
      </c>
      <c r="AF4400" s="4">
        <v>1</v>
      </c>
      <c r="AG4400" s="4">
        <v>1</v>
      </c>
      <c r="AH4400" s="4">
        <v>84</v>
      </c>
      <c r="AI4400" s="4">
        <v>87</v>
      </c>
      <c r="AJ4400" s="4">
        <v>15</v>
      </c>
      <c r="AK4400" s="4">
        <v>18</v>
      </c>
      <c r="AL4400" s="4">
        <v>44</v>
      </c>
      <c r="AM4400" s="4">
        <v>44</v>
      </c>
      <c r="AN4400" s="4">
        <v>5</v>
      </c>
      <c r="AO4400" s="4">
        <v>5</v>
      </c>
      <c r="AP4400" s="4">
        <v>21</v>
      </c>
      <c r="AQ4400" s="4">
        <v>24</v>
      </c>
      <c r="AR4400" s="3" t="s">
        <v>62</v>
      </c>
      <c r="AS4400" s="3" t="s">
        <v>62</v>
      </c>
      <c r="AT4400" s="3" t="s">
        <v>61</v>
      </c>
      <c r="AU4400" s="6" t="str">
        <f>HYPERLINK("http://catalog.hathitrust.org/Record/102219542","HathiTrust Record")</f>
        <v>HathiTrust Record</v>
      </c>
      <c r="AV4400" s="6" t="str">
        <f>HYPERLINK("http://mcgill.on.worldcat.org/oclc/4916591","Catalog Record")</f>
        <v>Catalog Record</v>
      </c>
      <c r="AW4400" s="6" t="str">
        <f>HYPERLINK("http://www.worldcat.org/oclc/4916591","WorldCat Record")</f>
        <v>WorldCat Record</v>
      </c>
      <c r="AX4400" s="3" t="s">
        <v>42302</v>
      </c>
      <c r="AY4400" s="3" t="s">
        <v>42303</v>
      </c>
      <c r="AZ4400" s="3" t="s">
        <v>42304</v>
      </c>
      <c r="BA4400" s="3" t="s">
        <v>42304</v>
      </c>
      <c r="BB4400" s="3" t="s">
        <v>42305</v>
      </c>
      <c r="BC4400" s="3" t="s">
        <v>102</v>
      </c>
      <c r="BD4400" s="3" t="s">
        <v>68</v>
      </c>
      <c r="BE4400" s="3" t="s">
        <v>42306</v>
      </c>
      <c r="BF4400" s="3" t="s">
        <v>42305</v>
      </c>
      <c r="BG4400" s="3" t="s">
        <v>42307</v>
      </c>
    </row>
    <row r="4401" spans="1:59" ht="58" x14ac:dyDescent="0.35">
      <c r="A4401" s="2" t="s">
        <v>59</v>
      </c>
      <c r="B4401" s="2" t="s">
        <v>60</v>
      </c>
      <c r="C4401" s="2" t="s">
        <v>42308</v>
      </c>
      <c r="D4401" s="2" t="s">
        <v>42309</v>
      </c>
      <c r="E4401" s="2" t="s">
        <v>42310</v>
      </c>
      <c r="G4401" s="3" t="s">
        <v>62</v>
      </c>
      <c r="I4401" s="3" t="s">
        <v>62</v>
      </c>
      <c r="J4401" s="3" t="s">
        <v>62</v>
      </c>
      <c r="K4401" s="3" t="s">
        <v>63</v>
      </c>
      <c r="L4401" s="2" t="s">
        <v>42311</v>
      </c>
      <c r="M4401" s="2" t="s">
        <v>42312</v>
      </c>
      <c r="N4401" s="3" t="s">
        <v>481</v>
      </c>
      <c r="P4401" s="3" t="s">
        <v>64</v>
      </c>
      <c r="Q4401" s="2" t="s">
        <v>42313</v>
      </c>
      <c r="R4401" s="3" t="s">
        <v>40557</v>
      </c>
      <c r="S4401" s="4">
        <v>16</v>
      </c>
      <c r="T4401" s="4">
        <v>16</v>
      </c>
      <c r="U4401" s="5" t="s">
        <v>9447</v>
      </c>
      <c r="V4401" s="5" t="s">
        <v>9447</v>
      </c>
      <c r="W4401" s="5" t="s">
        <v>67</v>
      </c>
      <c r="X4401" s="5" t="s">
        <v>67</v>
      </c>
      <c r="Y4401" s="4">
        <v>142</v>
      </c>
      <c r="Z4401" s="4">
        <v>7</v>
      </c>
      <c r="AA4401" s="4">
        <v>8</v>
      </c>
      <c r="AB4401" s="4">
        <v>1</v>
      </c>
      <c r="AC4401" s="4">
        <v>2</v>
      </c>
      <c r="AD4401" s="4">
        <v>48</v>
      </c>
      <c r="AE4401" s="4">
        <v>49</v>
      </c>
      <c r="AF4401" s="4">
        <v>0</v>
      </c>
      <c r="AG4401" s="4">
        <v>1</v>
      </c>
      <c r="AH4401" s="4">
        <v>43</v>
      </c>
      <c r="AI4401" s="4">
        <v>43</v>
      </c>
      <c r="AJ4401" s="4">
        <v>6</v>
      </c>
      <c r="AK4401" s="4">
        <v>6</v>
      </c>
      <c r="AL4401" s="4">
        <v>26</v>
      </c>
      <c r="AM4401" s="4">
        <v>26</v>
      </c>
      <c r="AN4401" s="4">
        <v>0</v>
      </c>
      <c r="AO4401" s="4">
        <v>0</v>
      </c>
      <c r="AP4401" s="4">
        <v>5</v>
      </c>
      <c r="AQ4401" s="4">
        <v>6</v>
      </c>
      <c r="AR4401" s="3" t="s">
        <v>62</v>
      </c>
      <c r="AS4401" s="3" t="s">
        <v>62</v>
      </c>
      <c r="AT4401" s="3" t="s">
        <v>61</v>
      </c>
      <c r="AU4401" s="6" t="str">
        <f>HYPERLINK("http://catalog.hathitrust.org/Record/004366231","HathiTrust Record")</f>
        <v>HathiTrust Record</v>
      </c>
      <c r="AV4401" s="6" t="str">
        <f>HYPERLINK("http://mcgill.on.worldcat.org/oclc/37270909","Catalog Record")</f>
        <v>Catalog Record</v>
      </c>
      <c r="AW4401" s="6" t="str">
        <f>HYPERLINK("http://www.worldcat.org/oclc/37270909","WorldCat Record")</f>
        <v>WorldCat Record</v>
      </c>
      <c r="AX4401" s="3" t="s">
        <v>42314</v>
      </c>
      <c r="AY4401" s="3" t="s">
        <v>42315</v>
      </c>
      <c r="AZ4401" s="3" t="s">
        <v>42316</v>
      </c>
      <c r="BA4401" s="3" t="s">
        <v>42316</v>
      </c>
      <c r="BB4401" s="3" t="s">
        <v>42317</v>
      </c>
      <c r="BC4401" s="3" t="s">
        <v>102</v>
      </c>
      <c r="BD4401" s="3" t="s">
        <v>68</v>
      </c>
      <c r="BF4401" s="3" t="s">
        <v>42317</v>
      </c>
      <c r="BG4401" s="3" t="s">
        <v>42318</v>
      </c>
    </row>
    <row r="4402" spans="1:59" ht="58" x14ac:dyDescent="0.35">
      <c r="A4402" s="2" t="s">
        <v>59</v>
      </c>
      <c r="B4402" s="2" t="s">
        <v>60</v>
      </c>
      <c r="C4402" s="2" t="s">
        <v>42319</v>
      </c>
      <c r="D4402" s="2" t="s">
        <v>42320</v>
      </c>
      <c r="E4402" s="2" t="s">
        <v>42321</v>
      </c>
      <c r="G4402" s="3" t="s">
        <v>62</v>
      </c>
      <c r="I4402" s="3" t="s">
        <v>62</v>
      </c>
      <c r="J4402" s="3" t="s">
        <v>62</v>
      </c>
      <c r="K4402" s="3" t="s">
        <v>63</v>
      </c>
      <c r="L4402" s="2" t="s">
        <v>42322</v>
      </c>
      <c r="M4402" s="2" t="s">
        <v>42323</v>
      </c>
      <c r="N4402" s="3" t="s">
        <v>553</v>
      </c>
      <c r="P4402" s="3" t="s">
        <v>85</v>
      </c>
      <c r="Q4402" s="2" t="s">
        <v>42324</v>
      </c>
      <c r="R4402" s="3" t="s">
        <v>40557</v>
      </c>
      <c r="S4402" s="4">
        <v>2</v>
      </c>
      <c r="T4402" s="4">
        <v>2</v>
      </c>
      <c r="U4402" s="5" t="s">
        <v>6962</v>
      </c>
      <c r="V4402" s="5" t="s">
        <v>6962</v>
      </c>
      <c r="W4402" s="5" t="s">
        <v>67</v>
      </c>
      <c r="X4402" s="5" t="s">
        <v>67</v>
      </c>
      <c r="Y4402" s="4">
        <v>25</v>
      </c>
      <c r="Z4402" s="4">
        <v>5</v>
      </c>
      <c r="AA4402" s="4">
        <v>117</v>
      </c>
      <c r="AB4402" s="4">
        <v>1</v>
      </c>
      <c r="AC4402" s="4">
        <v>20</v>
      </c>
      <c r="AD4402" s="4">
        <v>10</v>
      </c>
      <c r="AE4402" s="4">
        <v>91</v>
      </c>
      <c r="AF4402" s="4">
        <v>0</v>
      </c>
      <c r="AG4402" s="4">
        <v>7</v>
      </c>
      <c r="AH4402" s="4">
        <v>9</v>
      </c>
      <c r="AI4402" s="4">
        <v>58</v>
      </c>
      <c r="AJ4402" s="4">
        <v>2</v>
      </c>
      <c r="AK4402" s="4">
        <v>24</v>
      </c>
      <c r="AL4402" s="4">
        <v>5</v>
      </c>
      <c r="AM4402" s="4">
        <v>26</v>
      </c>
      <c r="AN4402" s="4">
        <v>0</v>
      </c>
      <c r="AO4402" s="4">
        <v>0</v>
      </c>
      <c r="AP4402" s="4">
        <v>2</v>
      </c>
      <c r="AQ4402" s="4">
        <v>40</v>
      </c>
      <c r="AR4402" s="3" t="s">
        <v>61</v>
      </c>
      <c r="AS4402" s="3" t="s">
        <v>62</v>
      </c>
      <c r="AT4402" s="3" t="s">
        <v>61</v>
      </c>
      <c r="AU4402" s="6" t="str">
        <f>HYPERLINK("http://catalog.hathitrust.org/Record/008338920","HathiTrust Record")</f>
        <v>HathiTrust Record</v>
      </c>
      <c r="AV4402" s="6" t="str">
        <f>HYPERLINK("http://mcgill.on.worldcat.org/oclc/43973291","Catalog Record")</f>
        <v>Catalog Record</v>
      </c>
      <c r="AW4402" s="6" t="str">
        <f>HYPERLINK("http://www.worldcat.org/oclc/43973291","WorldCat Record")</f>
        <v>WorldCat Record</v>
      </c>
      <c r="AX4402" s="3" t="s">
        <v>42325</v>
      </c>
      <c r="AY4402" s="3" t="s">
        <v>42326</v>
      </c>
      <c r="AZ4402" s="3" t="s">
        <v>42327</v>
      </c>
      <c r="BA4402" s="3" t="s">
        <v>42327</v>
      </c>
      <c r="BB4402" s="3" t="s">
        <v>42328</v>
      </c>
      <c r="BC4402" s="3" t="s">
        <v>102</v>
      </c>
      <c r="BD4402" s="3" t="s">
        <v>68</v>
      </c>
      <c r="BE4402" s="3" t="s">
        <v>42329</v>
      </c>
      <c r="BF4402" s="3" t="s">
        <v>42328</v>
      </c>
      <c r="BG4402" s="3" t="s">
        <v>42330</v>
      </c>
    </row>
    <row r="4403" spans="1:59" ht="58" x14ac:dyDescent="0.35">
      <c r="A4403" s="2" t="s">
        <v>59</v>
      </c>
      <c r="B4403" s="2" t="s">
        <v>60</v>
      </c>
      <c r="C4403" s="2" t="s">
        <v>42331</v>
      </c>
      <c r="D4403" s="2" t="s">
        <v>42332</v>
      </c>
      <c r="E4403" s="2" t="s">
        <v>42333</v>
      </c>
      <c r="G4403" s="3" t="s">
        <v>62</v>
      </c>
      <c r="I4403" s="3" t="s">
        <v>61</v>
      </c>
      <c r="J4403" s="3" t="s">
        <v>62</v>
      </c>
      <c r="K4403" s="3" t="s">
        <v>63</v>
      </c>
      <c r="M4403" s="2" t="s">
        <v>42334</v>
      </c>
      <c r="N4403" s="3" t="s">
        <v>1064</v>
      </c>
      <c r="O4403" s="2" t="s">
        <v>42335</v>
      </c>
      <c r="P4403" s="3" t="s">
        <v>64</v>
      </c>
      <c r="R4403" s="3" t="s">
        <v>40557</v>
      </c>
      <c r="S4403" s="4">
        <v>14</v>
      </c>
      <c r="T4403" s="4">
        <v>21</v>
      </c>
      <c r="U4403" s="5" t="s">
        <v>21424</v>
      </c>
      <c r="V4403" s="5" t="s">
        <v>21424</v>
      </c>
      <c r="W4403" s="5" t="s">
        <v>67</v>
      </c>
      <c r="X4403" s="5" t="s">
        <v>67</v>
      </c>
      <c r="Y4403" s="4">
        <v>294</v>
      </c>
      <c r="Z4403" s="4">
        <v>22</v>
      </c>
      <c r="AA4403" s="4">
        <v>23</v>
      </c>
      <c r="AB4403" s="4">
        <v>1</v>
      </c>
      <c r="AC4403" s="4">
        <v>2</v>
      </c>
      <c r="AD4403" s="4">
        <v>83</v>
      </c>
      <c r="AE4403" s="4">
        <v>84</v>
      </c>
      <c r="AF4403" s="4">
        <v>0</v>
      </c>
      <c r="AG4403" s="4">
        <v>1</v>
      </c>
      <c r="AH4403" s="4">
        <v>75</v>
      </c>
      <c r="AI4403" s="4">
        <v>76</v>
      </c>
      <c r="AJ4403" s="4">
        <v>13</v>
      </c>
      <c r="AK4403" s="4">
        <v>14</v>
      </c>
      <c r="AL4403" s="4">
        <v>41</v>
      </c>
      <c r="AM4403" s="4">
        <v>41</v>
      </c>
      <c r="AN4403" s="4">
        <v>0</v>
      </c>
      <c r="AO4403" s="4">
        <v>0</v>
      </c>
      <c r="AP4403" s="4">
        <v>18</v>
      </c>
      <c r="AQ4403" s="4">
        <v>19</v>
      </c>
      <c r="AR4403" s="3" t="s">
        <v>62</v>
      </c>
      <c r="AS4403" s="3" t="s">
        <v>62</v>
      </c>
      <c r="AT4403" s="3" t="s">
        <v>61</v>
      </c>
      <c r="AU4403" s="6" t="str">
        <f>HYPERLINK("http://catalog.hathitrust.org/Record/001498430","HathiTrust Record")</f>
        <v>HathiTrust Record</v>
      </c>
      <c r="AV4403" s="6" t="str">
        <f>HYPERLINK("http://mcgill.on.worldcat.org/oclc/202383","Catalog Record")</f>
        <v>Catalog Record</v>
      </c>
      <c r="AW4403" s="6" t="str">
        <f>HYPERLINK("http://www.worldcat.org/oclc/202383","WorldCat Record")</f>
        <v>WorldCat Record</v>
      </c>
      <c r="AX4403" s="3" t="s">
        <v>42336</v>
      </c>
      <c r="AY4403" s="3" t="s">
        <v>42337</v>
      </c>
      <c r="AZ4403" s="3" t="s">
        <v>42338</v>
      </c>
      <c r="BA4403" s="3" t="s">
        <v>42338</v>
      </c>
      <c r="BB4403" s="3" t="s">
        <v>42339</v>
      </c>
      <c r="BC4403" s="3" t="s">
        <v>102</v>
      </c>
      <c r="BD4403" s="3" t="s">
        <v>68</v>
      </c>
      <c r="BE4403" s="3" t="s">
        <v>42340</v>
      </c>
      <c r="BF4403" s="3" t="s">
        <v>42339</v>
      </c>
      <c r="BG4403" s="3" t="s">
        <v>42341</v>
      </c>
    </row>
    <row r="4404" spans="1:59" ht="58" x14ac:dyDescent="0.35">
      <c r="A4404" s="2" t="s">
        <v>59</v>
      </c>
      <c r="B4404" s="2" t="s">
        <v>60</v>
      </c>
      <c r="C4404" s="2" t="s">
        <v>42342</v>
      </c>
      <c r="D4404" s="2" t="s">
        <v>42343</v>
      </c>
      <c r="E4404" s="2" t="s">
        <v>42344</v>
      </c>
      <c r="G4404" s="3" t="s">
        <v>62</v>
      </c>
      <c r="I4404" s="3" t="s">
        <v>62</v>
      </c>
      <c r="J4404" s="3" t="s">
        <v>62</v>
      </c>
      <c r="K4404" s="3" t="s">
        <v>63</v>
      </c>
      <c r="L4404" s="2" t="s">
        <v>42345</v>
      </c>
      <c r="M4404" s="2" t="s">
        <v>42346</v>
      </c>
      <c r="N4404" s="3" t="s">
        <v>87</v>
      </c>
      <c r="P4404" s="3" t="s">
        <v>64</v>
      </c>
      <c r="R4404" s="3" t="s">
        <v>40557</v>
      </c>
      <c r="S4404" s="4">
        <v>7</v>
      </c>
      <c r="T4404" s="4">
        <v>7</v>
      </c>
      <c r="U4404" s="5" t="s">
        <v>24017</v>
      </c>
      <c r="V4404" s="5" t="s">
        <v>24017</v>
      </c>
      <c r="W4404" s="5" t="s">
        <v>67</v>
      </c>
      <c r="X4404" s="5" t="s">
        <v>67</v>
      </c>
      <c r="Y4404" s="4">
        <v>310</v>
      </c>
      <c r="Z4404" s="4">
        <v>17</v>
      </c>
      <c r="AA4404" s="4">
        <v>18</v>
      </c>
      <c r="AB4404" s="4">
        <v>1</v>
      </c>
      <c r="AC4404" s="4">
        <v>2</v>
      </c>
      <c r="AD4404" s="4">
        <v>84</v>
      </c>
      <c r="AE4404" s="4">
        <v>85</v>
      </c>
      <c r="AF4404" s="4">
        <v>0</v>
      </c>
      <c r="AG4404" s="4">
        <v>1</v>
      </c>
      <c r="AH4404" s="4">
        <v>76</v>
      </c>
      <c r="AI4404" s="4">
        <v>77</v>
      </c>
      <c r="AJ4404" s="4">
        <v>14</v>
      </c>
      <c r="AK4404" s="4">
        <v>15</v>
      </c>
      <c r="AL4404" s="4">
        <v>42</v>
      </c>
      <c r="AM4404" s="4">
        <v>42</v>
      </c>
      <c r="AN4404" s="4">
        <v>0</v>
      </c>
      <c r="AO4404" s="4">
        <v>0</v>
      </c>
      <c r="AP4404" s="4">
        <v>13</v>
      </c>
      <c r="AQ4404" s="4">
        <v>14</v>
      </c>
      <c r="AR4404" s="3" t="s">
        <v>62</v>
      </c>
      <c r="AS4404" s="3" t="s">
        <v>62</v>
      </c>
      <c r="AT4404" s="3" t="s">
        <v>62</v>
      </c>
      <c r="AV4404" s="6" t="str">
        <f>HYPERLINK("http://mcgill.on.worldcat.org/oclc/5196681","Catalog Record")</f>
        <v>Catalog Record</v>
      </c>
      <c r="AW4404" s="6" t="str">
        <f>HYPERLINK("http://www.worldcat.org/oclc/5196681","WorldCat Record")</f>
        <v>WorldCat Record</v>
      </c>
      <c r="AX4404" s="3" t="s">
        <v>42347</v>
      </c>
      <c r="AY4404" s="3" t="s">
        <v>42348</v>
      </c>
      <c r="AZ4404" s="3" t="s">
        <v>42349</v>
      </c>
      <c r="BA4404" s="3" t="s">
        <v>42349</v>
      </c>
      <c r="BB4404" s="3" t="s">
        <v>42350</v>
      </c>
      <c r="BC4404" s="3" t="s">
        <v>102</v>
      </c>
      <c r="BD4404" s="3" t="s">
        <v>68</v>
      </c>
      <c r="BE4404" s="3" t="s">
        <v>42351</v>
      </c>
      <c r="BF4404" s="3" t="s">
        <v>42350</v>
      </c>
      <c r="BG4404" s="3" t="s">
        <v>42352</v>
      </c>
    </row>
    <row r="4405" spans="1:59" ht="58" x14ac:dyDescent="0.35">
      <c r="A4405" s="2" t="s">
        <v>59</v>
      </c>
      <c r="B4405" s="2" t="s">
        <v>60</v>
      </c>
      <c r="C4405" s="2" t="s">
        <v>42353</v>
      </c>
      <c r="D4405" s="2" t="s">
        <v>42354</v>
      </c>
      <c r="E4405" s="2" t="s">
        <v>42355</v>
      </c>
      <c r="G4405" s="3" t="s">
        <v>62</v>
      </c>
      <c r="I4405" s="3" t="s">
        <v>62</v>
      </c>
      <c r="J4405" s="3" t="s">
        <v>62</v>
      </c>
      <c r="K4405" s="3" t="s">
        <v>63</v>
      </c>
      <c r="L4405" s="2" t="s">
        <v>42356</v>
      </c>
      <c r="M4405" s="2" t="s">
        <v>42357</v>
      </c>
      <c r="N4405" s="3" t="s">
        <v>2924</v>
      </c>
      <c r="P4405" s="3" t="s">
        <v>64</v>
      </c>
      <c r="R4405" s="3" t="s">
        <v>40557</v>
      </c>
      <c r="S4405" s="4">
        <v>6</v>
      </c>
      <c r="T4405" s="4">
        <v>6</v>
      </c>
      <c r="U4405" s="5" t="s">
        <v>27911</v>
      </c>
      <c r="V4405" s="5" t="s">
        <v>27911</v>
      </c>
      <c r="W4405" s="5" t="s">
        <v>67</v>
      </c>
      <c r="X4405" s="5" t="s">
        <v>67</v>
      </c>
      <c r="Y4405" s="4">
        <v>8</v>
      </c>
      <c r="Z4405" s="4">
        <v>1</v>
      </c>
      <c r="AA4405" s="4">
        <v>31</v>
      </c>
      <c r="AB4405" s="4">
        <v>1</v>
      </c>
      <c r="AC4405" s="4">
        <v>6</v>
      </c>
      <c r="AD4405" s="4">
        <v>1</v>
      </c>
      <c r="AE4405" s="4">
        <v>87</v>
      </c>
      <c r="AF4405" s="4">
        <v>0</v>
      </c>
      <c r="AG4405" s="4">
        <v>5</v>
      </c>
      <c r="AH4405" s="4">
        <v>1</v>
      </c>
      <c r="AI4405" s="4">
        <v>74</v>
      </c>
      <c r="AJ4405" s="4">
        <v>0</v>
      </c>
      <c r="AK4405" s="4">
        <v>17</v>
      </c>
      <c r="AL4405" s="4">
        <v>1</v>
      </c>
      <c r="AM4405" s="4">
        <v>40</v>
      </c>
      <c r="AN4405" s="4">
        <v>0</v>
      </c>
      <c r="AO4405" s="4">
        <v>0</v>
      </c>
      <c r="AP4405" s="4">
        <v>0</v>
      </c>
      <c r="AQ4405" s="4">
        <v>22</v>
      </c>
      <c r="AR4405" s="3" t="s">
        <v>62</v>
      </c>
      <c r="AS4405" s="3" t="s">
        <v>62</v>
      </c>
      <c r="AT4405" s="3" t="s">
        <v>62</v>
      </c>
      <c r="AV4405" s="6" t="str">
        <f>HYPERLINK("http://mcgill.on.worldcat.org/oclc/263526698","Catalog Record")</f>
        <v>Catalog Record</v>
      </c>
      <c r="AW4405" s="6" t="str">
        <f>HYPERLINK("http://www.worldcat.org/oclc/263526698","WorldCat Record")</f>
        <v>WorldCat Record</v>
      </c>
      <c r="AX4405" s="3" t="s">
        <v>42358</v>
      </c>
      <c r="AY4405" s="3" t="s">
        <v>42359</v>
      </c>
      <c r="AZ4405" s="3" t="s">
        <v>42360</v>
      </c>
      <c r="BA4405" s="3" t="s">
        <v>42360</v>
      </c>
      <c r="BB4405" s="3" t="s">
        <v>42361</v>
      </c>
      <c r="BC4405" s="3" t="s">
        <v>102</v>
      </c>
      <c r="BD4405" s="3" t="s">
        <v>68</v>
      </c>
      <c r="BF4405" s="3" t="s">
        <v>42361</v>
      </c>
      <c r="BG4405" s="3" t="s">
        <v>42362</v>
      </c>
    </row>
    <row r="4406" spans="1:59" ht="72.5" x14ac:dyDescent="0.35">
      <c r="A4406" s="2" t="s">
        <v>59</v>
      </c>
      <c r="B4406" s="2" t="s">
        <v>60</v>
      </c>
      <c r="C4406" s="2" t="s">
        <v>42363</v>
      </c>
      <c r="D4406" s="2" t="s">
        <v>42364</v>
      </c>
      <c r="E4406" s="2" t="s">
        <v>42365</v>
      </c>
      <c r="F4406" s="3" t="s">
        <v>42366</v>
      </c>
      <c r="G4406" s="3" t="s">
        <v>62</v>
      </c>
      <c r="I4406" s="3" t="s">
        <v>62</v>
      </c>
      <c r="J4406" s="3" t="s">
        <v>62</v>
      </c>
      <c r="K4406" s="3" t="s">
        <v>63</v>
      </c>
      <c r="M4406" s="2" t="s">
        <v>42367</v>
      </c>
      <c r="N4406" s="3" t="s">
        <v>481</v>
      </c>
      <c r="P4406" s="3" t="s">
        <v>64</v>
      </c>
      <c r="Q4406" s="2" t="s">
        <v>42368</v>
      </c>
      <c r="R4406" s="3" t="s">
        <v>42369</v>
      </c>
      <c r="S4406" s="4">
        <v>5</v>
      </c>
      <c r="T4406" s="4">
        <v>5</v>
      </c>
      <c r="U4406" s="5" t="s">
        <v>6932</v>
      </c>
      <c r="V4406" s="5" t="s">
        <v>6932</v>
      </c>
      <c r="W4406" s="5" t="s">
        <v>67</v>
      </c>
      <c r="X4406" s="5" t="s">
        <v>67</v>
      </c>
      <c r="Y4406" s="4">
        <v>355</v>
      </c>
      <c r="Z4406" s="4">
        <v>16</v>
      </c>
      <c r="AA4406" s="4">
        <v>17</v>
      </c>
      <c r="AB4406" s="4">
        <v>2</v>
      </c>
      <c r="AC4406" s="4">
        <v>3</v>
      </c>
      <c r="AD4406" s="4">
        <v>75</v>
      </c>
      <c r="AE4406" s="4">
        <v>76</v>
      </c>
      <c r="AF4406" s="4">
        <v>1</v>
      </c>
      <c r="AG4406" s="4">
        <v>2</v>
      </c>
      <c r="AH4406" s="4">
        <v>67</v>
      </c>
      <c r="AI4406" s="4">
        <v>68</v>
      </c>
      <c r="AJ4406" s="4">
        <v>10</v>
      </c>
      <c r="AK4406" s="4">
        <v>11</v>
      </c>
      <c r="AL4406" s="4">
        <v>32</v>
      </c>
      <c r="AM4406" s="4">
        <v>32</v>
      </c>
      <c r="AN4406" s="4">
        <v>0</v>
      </c>
      <c r="AO4406" s="4">
        <v>0</v>
      </c>
      <c r="AP4406" s="4">
        <v>13</v>
      </c>
      <c r="AQ4406" s="4">
        <v>14</v>
      </c>
      <c r="AR4406" s="3" t="s">
        <v>62</v>
      </c>
      <c r="AS4406" s="3" t="s">
        <v>62</v>
      </c>
      <c r="AT4406" s="3" t="s">
        <v>61</v>
      </c>
      <c r="AU4406" s="6" t="str">
        <f>HYPERLINK("http://catalog.hathitrust.org/Record/011428675","HathiTrust Record")</f>
        <v>HathiTrust Record</v>
      </c>
      <c r="AV4406" s="6" t="str">
        <f>HYPERLINK("http://mcgill.on.worldcat.org/oclc/36817342","Catalog Record")</f>
        <v>Catalog Record</v>
      </c>
      <c r="AW4406" s="6" t="str">
        <f>HYPERLINK("http://www.worldcat.org/oclc/36817342","WorldCat Record")</f>
        <v>WorldCat Record</v>
      </c>
      <c r="AX4406" s="3" t="s">
        <v>42370</v>
      </c>
      <c r="AY4406" s="3" t="s">
        <v>42371</v>
      </c>
      <c r="AZ4406" s="3" t="s">
        <v>42372</v>
      </c>
      <c r="BA4406" s="3" t="s">
        <v>42372</v>
      </c>
      <c r="BB4406" s="3" t="s">
        <v>42373</v>
      </c>
      <c r="BC4406" s="3" t="s">
        <v>102</v>
      </c>
      <c r="BD4406" s="3" t="s">
        <v>68</v>
      </c>
      <c r="BF4406" s="3" t="s">
        <v>42373</v>
      </c>
      <c r="BG4406" s="3" t="s">
        <v>42374</v>
      </c>
    </row>
    <row r="4407" spans="1:59" ht="58" x14ac:dyDescent="0.35">
      <c r="A4407" s="2" t="s">
        <v>59</v>
      </c>
      <c r="B4407" s="2" t="s">
        <v>60</v>
      </c>
      <c r="C4407" s="2" t="s">
        <v>42375</v>
      </c>
      <c r="D4407" s="2" t="s">
        <v>42376</v>
      </c>
      <c r="E4407" s="2" t="s">
        <v>42377</v>
      </c>
      <c r="G4407" s="3" t="s">
        <v>62</v>
      </c>
      <c r="I4407" s="3" t="s">
        <v>61</v>
      </c>
      <c r="J4407" s="3" t="s">
        <v>62</v>
      </c>
      <c r="K4407" s="3" t="s">
        <v>63</v>
      </c>
      <c r="L4407" s="2" t="s">
        <v>42378</v>
      </c>
      <c r="M4407" s="2" t="s">
        <v>42379</v>
      </c>
      <c r="N4407" s="3" t="s">
        <v>2445</v>
      </c>
      <c r="P4407" s="3" t="s">
        <v>85</v>
      </c>
      <c r="Q4407" s="2" t="s">
        <v>42380</v>
      </c>
      <c r="R4407" s="3" t="s">
        <v>42369</v>
      </c>
      <c r="S4407" s="4">
        <v>6</v>
      </c>
      <c r="T4407" s="4">
        <v>6</v>
      </c>
      <c r="U4407" s="5" t="s">
        <v>3388</v>
      </c>
      <c r="V4407" s="5" t="s">
        <v>3388</v>
      </c>
      <c r="W4407" s="5" t="s">
        <v>67</v>
      </c>
      <c r="X4407" s="5" t="s">
        <v>67</v>
      </c>
      <c r="Y4407" s="4">
        <v>68</v>
      </c>
      <c r="Z4407" s="4">
        <v>4</v>
      </c>
      <c r="AA4407" s="4">
        <v>14</v>
      </c>
      <c r="AB4407" s="4">
        <v>1</v>
      </c>
      <c r="AC4407" s="4">
        <v>4</v>
      </c>
      <c r="AD4407" s="4">
        <v>20</v>
      </c>
      <c r="AE4407" s="4">
        <v>64</v>
      </c>
      <c r="AF4407" s="4">
        <v>0</v>
      </c>
      <c r="AG4407" s="4">
        <v>2</v>
      </c>
      <c r="AH4407" s="4">
        <v>18</v>
      </c>
      <c r="AI4407" s="4">
        <v>59</v>
      </c>
      <c r="AJ4407" s="4">
        <v>2</v>
      </c>
      <c r="AK4407" s="4">
        <v>9</v>
      </c>
      <c r="AL4407" s="4">
        <v>12</v>
      </c>
      <c r="AM4407" s="4">
        <v>35</v>
      </c>
      <c r="AN4407" s="4">
        <v>0</v>
      </c>
      <c r="AO4407" s="4">
        <v>0</v>
      </c>
      <c r="AP4407" s="4">
        <v>2</v>
      </c>
      <c r="AQ4407" s="4">
        <v>10</v>
      </c>
      <c r="AR4407" s="3" t="s">
        <v>62</v>
      </c>
      <c r="AS4407" s="3" t="s">
        <v>62</v>
      </c>
      <c r="AT4407" s="3" t="s">
        <v>62</v>
      </c>
      <c r="AV4407" s="6" t="str">
        <f>HYPERLINK("http://mcgill.on.worldcat.org/oclc/14594009","Catalog Record")</f>
        <v>Catalog Record</v>
      </c>
      <c r="AW4407" s="6" t="str">
        <f>HYPERLINK("http://www.worldcat.org/oclc/14594009","WorldCat Record")</f>
        <v>WorldCat Record</v>
      </c>
      <c r="AX4407" s="3" t="s">
        <v>42381</v>
      </c>
      <c r="AY4407" s="3" t="s">
        <v>42382</v>
      </c>
      <c r="AZ4407" s="3" t="s">
        <v>42383</v>
      </c>
      <c r="BA4407" s="3" t="s">
        <v>42383</v>
      </c>
      <c r="BB4407" s="3" t="s">
        <v>42384</v>
      </c>
      <c r="BC4407" s="3" t="s">
        <v>102</v>
      </c>
      <c r="BD4407" s="3" t="s">
        <v>68</v>
      </c>
      <c r="BF4407" s="3" t="s">
        <v>42384</v>
      </c>
      <c r="BG4407" s="3" t="s">
        <v>42385</v>
      </c>
    </row>
    <row r="4408" spans="1:59" ht="58" x14ac:dyDescent="0.35">
      <c r="A4408" s="2" t="s">
        <v>59</v>
      </c>
      <c r="B4408" s="2" t="s">
        <v>60</v>
      </c>
      <c r="C4408" s="2" t="s">
        <v>42386</v>
      </c>
      <c r="D4408" s="2" t="s">
        <v>42387</v>
      </c>
      <c r="E4408" s="2" t="s">
        <v>42388</v>
      </c>
      <c r="G4408" s="3" t="s">
        <v>62</v>
      </c>
      <c r="I4408" s="3" t="s">
        <v>61</v>
      </c>
      <c r="J4408" s="3" t="s">
        <v>62</v>
      </c>
      <c r="K4408" s="3" t="s">
        <v>63</v>
      </c>
      <c r="L4408" s="2" t="s">
        <v>42389</v>
      </c>
      <c r="M4408" s="2" t="s">
        <v>42390</v>
      </c>
      <c r="N4408" s="3" t="s">
        <v>640</v>
      </c>
      <c r="P4408" s="3" t="s">
        <v>64</v>
      </c>
      <c r="R4408" s="3" t="s">
        <v>42369</v>
      </c>
      <c r="S4408" s="4">
        <v>1</v>
      </c>
      <c r="T4408" s="4">
        <v>1</v>
      </c>
      <c r="U4408" s="5" t="s">
        <v>6918</v>
      </c>
      <c r="V4408" s="5" t="s">
        <v>6918</v>
      </c>
      <c r="W4408" s="5" t="s">
        <v>67</v>
      </c>
      <c r="X4408" s="5" t="s">
        <v>67</v>
      </c>
      <c r="Y4408" s="4">
        <v>34</v>
      </c>
      <c r="Z4408" s="4">
        <v>3</v>
      </c>
      <c r="AA4408" s="4">
        <v>3</v>
      </c>
      <c r="AB4408" s="4">
        <v>1</v>
      </c>
      <c r="AC4408" s="4">
        <v>1</v>
      </c>
      <c r="AD4408" s="4">
        <v>17</v>
      </c>
      <c r="AE4408" s="4">
        <v>18</v>
      </c>
      <c r="AF4408" s="4">
        <v>0</v>
      </c>
      <c r="AG4408" s="4">
        <v>0</v>
      </c>
      <c r="AH4408" s="4">
        <v>17</v>
      </c>
      <c r="AI4408" s="4">
        <v>18</v>
      </c>
      <c r="AJ4408" s="4">
        <v>1</v>
      </c>
      <c r="AK4408" s="4">
        <v>1</v>
      </c>
      <c r="AL4408" s="4">
        <v>9</v>
      </c>
      <c r="AM4408" s="4">
        <v>10</v>
      </c>
      <c r="AN4408" s="4">
        <v>0</v>
      </c>
      <c r="AO4408" s="4">
        <v>0</v>
      </c>
      <c r="AP4408" s="4">
        <v>1</v>
      </c>
      <c r="AQ4408" s="4">
        <v>1</v>
      </c>
      <c r="AR4408" s="3" t="s">
        <v>62</v>
      </c>
      <c r="AS4408" s="3" t="s">
        <v>62</v>
      </c>
      <c r="AT4408" s="3" t="s">
        <v>62</v>
      </c>
      <c r="AV4408" s="6" t="str">
        <f>HYPERLINK("http://mcgill.on.worldcat.org/oclc/61569479","Catalog Record")</f>
        <v>Catalog Record</v>
      </c>
      <c r="AW4408" s="6" t="str">
        <f>HYPERLINK("http://www.worldcat.org/oclc/61569479","WorldCat Record")</f>
        <v>WorldCat Record</v>
      </c>
      <c r="AX4408" s="3" t="s">
        <v>42391</v>
      </c>
      <c r="AY4408" s="3" t="s">
        <v>42392</v>
      </c>
      <c r="AZ4408" s="3" t="s">
        <v>42393</v>
      </c>
      <c r="BA4408" s="3" t="s">
        <v>42393</v>
      </c>
      <c r="BB4408" s="3" t="s">
        <v>42394</v>
      </c>
      <c r="BC4408" s="3" t="s">
        <v>102</v>
      </c>
      <c r="BD4408" s="3" t="s">
        <v>6923</v>
      </c>
      <c r="BE4408" s="3" t="s">
        <v>42395</v>
      </c>
      <c r="BF4408" s="3" t="s">
        <v>42394</v>
      </c>
      <c r="BG4408" s="3" t="s">
        <v>42396</v>
      </c>
    </row>
    <row r="4409" spans="1:59" ht="58" x14ac:dyDescent="0.35">
      <c r="A4409" s="2" t="s">
        <v>89</v>
      </c>
      <c r="B4409" s="2" t="s">
        <v>90</v>
      </c>
      <c r="C4409" s="2" t="s">
        <v>42397</v>
      </c>
      <c r="D4409" s="2" t="s">
        <v>42398</v>
      </c>
      <c r="E4409" s="2" t="s">
        <v>42399</v>
      </c>
      <c r="G4409" s="3" t="s">
        <v>62</v>
      </c>
      <c r="I4409" s="3" t="s">
        <v>61</v>
      </c>
      <c r="J4409" s="3" t="s">
        <v>62</v>
      </c>
      <c r="K4409" s="3" t="s">
        <v>63</v>
      </c>
      <c r="L4409" s="2" t="s">
        <v>42400</v>
      </c>
      <c r="M4409" s="2" t="s">
        <v>42401</v>
      </c>
      <c r="N4409" s="3" t="s">
        <v>438</v>
      </c>
      <c r="P4409" s="3" t="s">
        <v>64</v>
      </c>
      <c r="R4409" s="3" t="s">
        <v>42369</v>
      </c>
      <c r="S4409" s="4">
        <v>6</v>
      </c>
      <c r="T4409" s="4">
        <v>19</v>
      </c>
      <c r="U4409" s="5" t="s">
        <v>42402</v>
      </c>
      <c r="V4409" s="5" t="s">
        <v>2543</v>
      </c>
      <c r="W4409" s="5" t="s">
        <v>67</v>
      </c>
      <c r="X4409" s="5" t="s">
        <v>67</v>
      </c>
      <c r="Y4409" s="4">
        <v>2415</v>
      </c>
      <c r="Z4409" s="4">
        <v>92</v>
      </c>
      <c r="AA4409" s="4">
        <v>103</v>
      </c>
      <c r="AB4409" s="4">
        <v>4</v>
      </c>
      <c r="AC4409" s="4">
        <v>9</v>
      </c>
      <c r="AD4409" s="4">
        <v>129</v>
      </c>
      <c r="AE4409" s="4">
        <v>137</v>
      </c>
      <c r="AF4409" s="4">
        <v>1</v>
      </c>
      <c r="AG4409" s="4">
        <v>2</v>
      </c>
      <c r="AH4409" s="4">
        <v>99</v>
      </c>
      <c r="AI4409" s="4">
        <v>105</v>
      </c>
      <c r="AJ4409" s="4">
        <v>18</v>
      </c>
      <c r="AK4409" s="4">
        <v>19</v>
      </c>
      <c r="AL4409" s="4">
        <v>51</v>
      </c>
      <c r="AM4409" s="4">
        <v>54</v>
      </c>
      <c r="AN4409" s="4">
        <v>0</v>
      </c>
      <c r="AO4409" s="4">
        <v>0</v>
      </c>
      <c r="AP4409" s="4">
        <v>38</v>
      </c>
      <c r="AQ4409" s="4">
        <v>38</v>
      </c>
      <c r="AR4409" s="3" t="s">
        <v>62</v>
      </c>
      <c r="AS4409" s="3" t="s">
        <v>62</v>
      </c>
      <c r="AT4409" s="3" t="s">
        <v>61</v>
      </c>
      <c r="AU4409" s="6" t="str">
        <f>HYPERLINK("http://catalog.hathitrust.org/Record/002437495","HathiTrust Record")</f>
        <v>HathiTrust Record</v>
      </c>
      <c r="AV4409" s="6" t="str">
        <f>HYPERLINK("http://mcgill.on.worldcat.org/oclc/21523604","Catalog Record")</f>
        <v>Catalog Record</v>
      </c>
      <c r="AW4409" s="6" t="str">
        <f>HYPERLINK("http://www.worldcat.org/oclc/21523604","WorldCat Record")</f>
        <v>WorldCat Record</v>
      </c>
      <c r="AX4409" s="3" t="s">
        <v>42403</v>
      </c>
      <c r="AY4409" s="3" t="s">
        <v>42404</v>
      </c>
      <c r="AZ4409" s="3" t="s">
        <v>42405</v>
      </c>
      <c r="BA4409" s="3" t="s">
        <v>42405</v>
      </c>
      <c r="BB4409" s="3" t="s">
        <v>42406</v>
      </c>
      <c r="BC4409" s="3" t="s">
        <v>102</v>
      </c>
      <c r="BD4409" s="3" t="s">
        <v>68</v>
      </c>
      <c r="BE4409" s="3" t="s">
        <v>42407</v>
      </c>
      <c r="BF4409" s="3" t="s">
        <v>42406</v>
      </c>
      <c r="BG4409" s="3" t="s">
        <v>42408</v>
      </c>
    </row>
    <row r="4410" spans="1:59" ht="58" x14ac:dyDescent="0.35">
      <c r="A4410" s="2" t="s">
        <v>89</v>
      </c>
      <c r="B4410" s="2" t="s">
        <v>90</v>
      </c>
      <c r="C4410" s="2" t="s">
        <v>42397</v>
      </c>
      <c r="D4410" s="2" t="s">
        <v>42398</v>
      </c>
      <c r="E4410" s="2" t="s">
        <v>42399</v>
      </c>
      <c r="G4410" s="3" t="s">
        <v>62</v>
      </c>
      <c r="I4410" s="3" t="s">
        <v>61</v>
      </c>
      <c r="J4410" s="3" t="s">
        <v>62</v>
      </c>
      <c r="K4410" s="3" t="s">
        <v>63</v>
      </c>
      <c r="L4410" s="2" t="s">
        <v>42400</v>
      </c>
      <c r="M4410" s="2" t="s">
        <v>42401</v>
      </c>
      <c r="N4410" s="3" t="s">
        <v>438</v>
      </c>
      <c r="P4410" s="3" t="s">
        <v>64</v>
      </c>
      <c r="R4410" s="3" t="s">
        <v>42369</v>
      </c>
      <c r="S4410" s="4">
        <v>13</v>
      </c>
      <c r="T4410" s="4">
        <v>19</v>
      </c>
      <c r="U4410" s="5" t="s">
        <v>2543</v>
      </c>
      <c r="V4410" s="5" t="s">
        <v>2543</v>
      </c>
      <c r="W4410" s="5" t="s">
        <v>67</v>
      </c>
      <c r="X4410" s="5" t="s">
        <v>67</v>
      </c>
      <c r="Y4410" s="4">
        <v>2415</v>
      </c>
      <c r="Z4410" s="4">
        <v>92</v>
      </c>
      <c r="AA4410" s="4">
        <v>103</v>
      </c>
      <c r="AB4410" s="4">
        <v>4</v>
      </c>
      <c r="AC4410" s="4">
        <v>9</v>
      </c>
      <c r="AD4410" s="4">
        <v>129</v>
      </c>
      <c r="AE4410" s="4">
        <v>137</v>
      </c>
      <c r="AF4410" s="4">
        <v>1</v>
      </c>
      <c r="AG4410" s="4">
        <v>2</v>
      </c>
      <c r="AH4410" s="4">
        <v>99</v>
      </c>
      <c r="AI4410" s="4">
        <v>105</v>
      </c>
      <c r="AJ4410" s="4">
        <v>18</v>
      </c>
      <c r="AK4410" s="4">
        <v>19</v>
      </c>
      <c r="AL4410" s="4">
        <v>51</v>
      </c>
      <c r="AM4410" s="4">
        <v>54</v>
      </c>
      <c r="AN4410" s="4">
        <v>0</v>
      </c>
      <c r="AO4410" s="4">
        <v>0</v>
      </c>
      <c r="AP4410" s="4">
        <v>38</v>
      </c>
      <c r="AQ4410" s="4">
        <v>38</v>
      </c>
      <c r="AR4410" s="3" t="s">
        <v>62</v>
      </c>
      <c r="AS4410" s="3" t="s">
        <v>62</v>
      </c>
      <c r="AT4410" s="3" t="s">
        <v>61</v>
      </c>
      <c r="AU4410" s="6" t="str">
        <f>HYPERLINK("http://catalog.hathitrust.org/Record/002437495","HathiTrust Record")</f>
        <v>HathiTrust Record</v>
      </c>
      <c r="AV4410" s="6" t="str">
        <f>HYPERLINK("http://mcgill.on.worldcat.org/oclc/21523604","Catalog Record")</f>
        <v>Catalog Record</v>
      </c>
      <c r="AW4410" s="6" t="str">
        <f>HYPERLINK("http://www.worldcat.org/oclc/21523604","WorldCat Record")</f>
        <v>WorldCat Record</v>
      </c>
      <c r="AX4410" s="3" t="s">
        <v>42403</v>
      </c>
      <c r="AY4410" s="3" t="s">
        <v>42404</v>
      </c>
      <c r="AZ4410" s="3" t="s">
        <v>42405</v>
      </c>
      <c r="BA4410" s="3" t="s">
        <v>42405</v>
      </c>
      <c r="BB4410" s="3" t="s">
        <v>42409</v>
      </c>
      <c r="BC4410" s="3" t="s">
        <v>102</v>
      </c>
      <c r="BD4410" s="3" t="s">
        <v>68</v>
      </c>
      <c r="BE4410" s="3" t="s">
        <v>42407</v>
      </c>
      <c r="BF4410" s="3" t="s">
        <v>42409</v>
      </c>
      <c r="BG4410" s="3" t="s">
        <v>42410</v>
      </c>
    </row>
    <row r="4411" spans="1:59" ht="58" x14ac:dyDescent="0.35">
      <c r="A4411" s="2" t="s">
        <v>59</v>
      </c>
      <c r="B4411" s="2" t="s">
        <v>60</v>
      </c>
      <c r="C4411" s="2" t="s">
        <v>42411</v>
      </c>
      <c r="D4411" s="2" t="s">
        <v>42412</v>
      </c>
      <c r="E4411" s="2" t="s">
        <v>42413</v>
      </c>
      <c r="G4411" s="3" t="s">
        <v>62</v>
      </c>
      <c r="I4411" s="3" t="s">
        <v>61</v>
      </c>
      <c r="J4411" s="3" t="s">
        <v>62</v>
      </c>
      <c r="K4411" s="3" t="s">
        <v>63</v>
      </c>
      <c r="L4411" s="2" t="s">
        <v>42414</v>
      </c>
      <c r="M4411" s="2" t="s">
        <v>42415</v>
      </c>
      <c r="N4411" s="3" t="s">
        <v>2588</v>
      </c>
      <c r="P4411" s="3" t="s">
        <v>64</v>
      </c>
      <c r="R4411" s="3" t="s">
        <v>42369</v>
      </c>
      <c r="S4411" s="4">
        <v>0</v>
      </c>
      <c r="T4411" s="4">
        <v>1</v>
      </c>
      <c r="V4411" s="5" t="s">
        <v>33840</v>
      </c>
      <c r="W4411" s="5" t="s">
        <v>67</v>
      </c>
      <c r="X4411" s="5" t="s">
        <v>67</v>
      </c>
      <c r="Y4411" s="4">
        <v>26</v>
      </c>
      <c r="Z4411" s="4">
        <v>15</v>
      </c>
      <c r="AA4411" s="4">
        <v>28</v>
      </c>
      <c r="AB4411" s="4">
        <v>3</v>
      </c>
      <c r="AC4411" s="4">
        <v>5</v>
      </c>
      <c r="AD4411" s="4">
        <v>9</v>
      </c>
      <c r="AE4411" s="4">
        <v>88</v>
      </c>
      <c r="AF4411" s="4">
        <v>0</v>
      </c>
      <c r="AG4411" s="4">
        <v>1</v>
      </c>
      <c r="AH4411" s="4">
        <v>4</v>
      </c>
      <c r="AI4411" s="4">
        <v>76</v>
      </c>
      <c r="AJ4411" s="4">
        <v>3</v>
      </c>
      <c r="AK4411" s="4">
        <v>9</v>
      </c>
      <c r="AL4411" s="4">
        <v>2</v>
      </c>
      <c r="AM4411" s="4">
        <v>37</v>
      </c>
      <c r="AN4411" s="4">
        <v>0</v>
      </c>
      <c r="AO4411" s="4">
        <v>0</v>
      </c>
      <c r="AP4411" s="4">
        <v>5</v>
      </c>
      <c r="AQ4411" s="4">
        <v>13</v>
      </c>
      <c r="AR4411" s="3" t="s">
        <v>61</v>
      </c>
      <c r="AS4411" s="3" t="s">
        <v>62</v>
      </c>
      <c r="AT4411" s="3" t="s">
        <v>61</v>
      </c>
      <c r="AU4411" s="6" t="str">
        <f>HYPERLINK("http://catalog.hathitrust.org/Record/002492678","HathiTrust Record")</f>
        <v>HathiTrust Record</v>
      </c>
      <c r="AV4411" s="6" t="str">
        <f>HYPERLINK("http://mcgill.on.worldcat.org/oclc/4795512","Catalog Record")</f>
        <v>Catalog Record</v>
      </c>
      <c r="AW4411" s="6" t="str">
        <f>HYPERLINK("http://www.worldcat.org/oclc/4795512","WorldCat Record")</f>
        <v>WorldCat Record</v>
      </c>
      <c r="AX4411" s="3" t="s">
        <v>42416</v>
      </c>
      <c r="AY4411" s="3" t="s">
        <v>42417</v>
      </c>
      <c r="AZ4411" s="3" t="s">
        <v>42418</v>
      </c>
      <c r="BA4411" s="3" t="s">
        <v>42418</v>
      </c>
      <c r="BB4411" s="3" t="s">
        <v>42419</v>
      </c>
      <c r="BC4411" s="3" t="s">
        <v>102</v>
      </c>
      <c r="BD4411" s="3" t="s">
        <v>68</v>
      </c>
      <c r="BE4411" s="3" t="s">
        <v>42420</v>
      </c>
      <c r="BF4411" s="3" t="s">
        <v>42419</v>
      </c>
      <c r="BG4411" s="3" t="s">
        <v>42421</v>
      </c>
    </row>
    <row r="4412" spans="1:59" ht="58" x14ac:dyDescent="0.35">
      <c r="A4412" s="2" t="s">
        <v>59</v>
      </c>
      <c r="B4412" s="2" t="s">
        <v>60</v>
      </c>
      <c r="C4412" s="2" t="s">
        <v>42422</v>
      </c>
      <c r="D4412" s="2" t="s">
        <v>42423</v>
      </c>
      <c r="E4412" s="2" t="s">
        <v>42424</v>
      </c>
      <c r="G4412" s="3" t="s">
        <v>62</v>
      </c>
      <c r="I4412" s="3" t="s">
        <v>62</v>
      </c>
      <c r="J4412" s="3" t="s">
        <v>62</v>
      </c>
      <c r="K4412" s="3" t="s">
        <v>63</v>
      </c>
      <c r="L4412" s="2" t="s">
        <v>42425</v>
      </c>
      <c r="M4412" s="2" t="s">
        <v>42426</v>
      </c>
      <c r="N4412" s="3" t="s">
        <v>640</v>
      </c>
      <c r="O4412" s="2" t="s">
        <v>2163</v>
      </c>
      <c r="P4412" s="3" t="s">
        <v>64</v>
      </c>
      <c r="R4412" s="3" t="s">
        <v>42369</v>
      </c>
      <c r="S4412" s="4">
        <v>2</v>
      </c>
      <c r="T4412" s="4">
        <v>2</v>
      </c>
      <c r="U4412" s="5" t="s">
        <v>15112</v>
      </c>
      <c r="V4412" s="5" t="s">
        <v>15112</v>
      </c>
      <c r="W4412" s="5" t="s">
        <v>67</v>
      </c>
      <c r="X4412" s="5" t="s">
        <v>67</v>
      </c>
      <c r="Y4412" s="4">
        <v>461</v>
      </c>
      <c r="Z4412" s="4">
        <v>13</v>
      </c>
      <c r="AA4412" s="4">
        <v>36</v>
      </c>
      <c r="AB4412" s="4">
        <v>1</v>
      </c>
      <c r="AC4412" s="4">
        <v>3</v>
      </c>
      <c r="AD4412" s="4">
        <v>65</v>
      </c>
      <c r="AE4412" s="4">
        <v>76</v>
      </c>
      <c r="AF4412" s="4">
        <v>0</v>
      </c>
      <c r="AG4412" s="4">
        <v>0</v>
      </c>
      <c r="AH4412" s="4">
        <v>62</v>
      </c>
      <c r="AI4412" s="4">
        <v>67</v>
      </c>
      <c r="AJ4412" s="4">
        <v>6</v>
      </c>
      <c r="AK4412" s="4">
        <v>9</v>
      </c>
      <c r="AL4412" s="4">
        <v>33</v>
      </c>
      <c r="AM4412" s="4">
        <v>36</v>
      </c>
      <c r="AN4412" s="4">
        <v>0</v>
      </c>
      <c r="AO4412" s="4">
        <v>0</v>
      </c>
      <c r="AP4412" s="4">
        <v>6</v>
      </c>
      <c r="AQ4412" s="4">
        <v>12</v>
      </c>
      <c r="AR4412" s="3" t="s">
        <v>62</v>
      </c>
      <c r="AS4412" s="3" t="s">
        <v>62</v>
      </c>
      <c r="AT4412" s="3" t="s">
        <v>62</v>
      </c>
      <c r="AV4412" s="6" t="str">
        <f>HYPERLINK("http://mcgill.on.worldcat.org/oclc/53951733","Catalog Record")</f>
        <v>Catalog Record</v>
      </c>
      <c r="AW4412" s="6" t="str">
        <f>HYPERLINK("http://www.worldcat.org/oclc/53951733","WorldCat Record")</f>
        <v>WorldCat Record</v>
      </c>
      <c r="AX4412" s="3" t="s">
        <v>42427</v>
      </c>
      <c r="AY4412" s="3" t="s">
        <v>42428</v>
      </c>
      <c r="AZ4412" s="3" t="s">
        <v>42429</v>
      </c>
      <c r="BA4412" s="3" t="s">
        <v>42429</v>
      </c>
      <c r="BB4412" s="3" t="s">
        <v>42430</v>
      </c>
      <c r="BC4412" s="3" t="s">
        <v>102</v>
      </c>
      <c r="BD4412" s="3" t="s">
        <v>68</v>
      </c>
      <c r="BE4412" s="3" t="s">
        <v>42431</v>
      </c>
      <c r="BF4412" s="3" t="s">
        <v>42430</v>
      </c>
      <c r="BG4412" s="3" t="s">
        <v>42432</v>
      </c>
    </row>
    <row r="4413" spans="1:59" ht="58" x14ac:dyDescent="0.35">
      <c r="A4413" s="2" t="s">
        <v>59</v>
      </c>
      <c r="B4413" s="2" t="s">
        <v>60</v>
      </c>
      <c r="C4413" s="2" t="s">
        <v>42433</v>
      </c>
      <c r="D4413" s="2" t="s">
        <v>42434</v>
      </c>
      <c r="E4413" s="2" t="s">
        <v>42435</v>
      </c>
      <c r="G4413" s="3" t="s">
        <v>62</v>
      </c>
      <c r="I4413" s="3" t="s">
        <v>62</v>
      </c>
      <c r="J4413" s="3" t="s">
        <v>62</v>
      </c>
      <c r="K4413" s="3" t="s">
        <v>63</v>
      </c>
      <c r="L4413" s="2" t="s">
        <v>42436</v>
      </c>
      <c r="M4413" s="2" t="s">
        <v>42437</v>
      </c>
      <c r="N4413" s="3" t="s">
        <v>596</v>
      </c>
      <c r="P4413" s="3" t="s">
        <v>64</v>
      </c>
      <c r="R4413" s="3" t="s">
        <v>42369</v>
      </c>
      <c r="S4413" s="4">
        <v>6</v>
      </c>
      <c r="T4413" s="4">
        <v>6</v>
      </c>
      <c r="U4413" s="5" t="s">
        <v>2529</v>
      </c>
      <c r="V4413" s="5" t="s">
        <v>2529</v>
      </c>
      <c r="W4413" s="5" t="s">
        <v>67</v>
      </c>
      <c r="X4413" s="5" t="s">
        <v>67</v>
      </c>
      <c r="Y4413" s="4">
        <v>54</v>
      </c>
      <c r="Z4413" s="4">
        <v>43</v>
      </c>
      <c r="AA4413" s="4">
        <v>51</v>
      </c>
      <c r="AB4413" s="4">
        <v>3</v>
      </c>
      <c r="AC4413" s="4">
        <v>4</v>
      </c>
      <c r="AD4413" s="4">
        <v>24</v>
      </c>
      <c r="AE4413" s="4">
        <v>31</v>
      </c>
      <c r="AF4413" s="4">
        <v>0</v>
      </c>
      <c r="AG4413" s="4">
        <v>1</v>
      </c>
      <c r="AH4413" s="4">
        <v>12</v>
      </c>
      <c r="AI4413" s="4">
        <v>17</v>
      </c>
      <c r="AJ4413" s="4">
        <v>12</v>
      </c>
      <c r="AK4413" s="4">
        <v>13</v>
      </c>
      <c r="AL4413" s="4">
        <v>3</v>
      </c>
      <c r="AM4413" s="4">
        <v>5</v>
      </c>
      <c r="AN4413" s="4">
        <v>0</v>
      </c>
      <c r="AO4413" s="4">
        <v>0</v>
      </c>
      <c r="AP4413" s="4">
        <v>18</v>
      </c>
      <c r="AQ4413" s="4">
        <v>20</v>
      </c>
      <c r="AR4413" s="3" t="s">
        <v>61</v>
      </c>
      <c r="AS4413" s="3" t="s">
        <v>62</v>
      </c>
      <c r="AT4413" s="3" t="s">
        <v>62</v>
      </c>
      <c r="AV4413" s="6" t="str">
        <f>HYPERLINK("http://mcgill.on.worldcat.org/oclc/50538880","Catalog Record")</f>
        <v>Catalog Record</v>
      </c>
      <c r="AW4413" s="6" t="str">
        <f>HYPERLINK("http://www.worldcat.org/oclc/50538880","WorldCat Record")</f>
        <v>WorldCat Record</v>
      </c>
      <c r="AX4413" s="3" t="s">
        <v>42438</v>
      </c>
      <c r="AY4413" s="3" t="s">
        <v>42439</v>
      </c>
      <c r="AZ4413" s="3" t="s">
        <v>42440</v>
      </c>
      <c r="BA4413" s="3" t="s">
        <v>42440</v>
      </c>
      <c r="BB4413" s="3" t="s">
        <v>42441</v>
      </c>
      <c r="BC4413" s="3" t="s">
        <v>102</v>
      </c>
      <c r="BD4413" s="3" t="s">
        <v>68</v>
      </c>
      <c r="BE4413" s="3" t="s">
        <v>42442</v>
      </c>
      <c r="BF4413" s="3" t="s">
        <v>42441</v>
      </c>
      <c r="BG4413" s="3" t="s">
        <v>42443</v>
      </c>
    </row>
    <row r="4414" spans="1:59" ht="58" x14ac:dyDescent="0.35">
      <c r="A4414" s="2" t="s">
        <v>59</v>
      </c>
      <c r="B4414" s="2" t="s">
        <v>60</v>
      </c>
      <c r="C4414" s="2" t="s">
        <v>42444</v>
      </c>
      <c r="D4414" s="2" t="s">
        <v>42445</v>
      </c>
      <c r="E4414" s="2" t="s">
        <v>42446</v>
      </c>
      <c r="G4414" s="3" t="s">
        <v>62</v>
      </c>
      <c r="I4414" s="3" t="s">
        <v>62</v>
      </c>
      <c r="J4414" s="3" t="s">
        <v>62</v>
      </c>
      <c r="K4414" s="3" t="s">
        <v>63</v>
      </c>
      <c r="L4414" s="2" t="s">
        <v>42447</v>
      </c>
      <c r="M4414" s="2" t="s">
        <v>42448</v>
      </c>
      <c r="N4414" s="3" t="s">
        <v>1576</v>
      </c>
      <c r="P4414" s="3" t="s">
        <v>64</v>
      </c>
      <c r="R4414" s="3" t="s">
        <v>42369</v>
      </c>
      <c r="S4414" s="4">
        <v>1</v>
      </c>
      <c r="T4414" s="4">
        <v>1</v>
      </c>
      <c r="U4414" s="5" t="s">
        <v>5368</v>
      </c>
      <c r="V4414" s="5" t="s">
        <v>5368</v>
      </c>
      <c r="W4414" s="5" t="s">
        <v>67</v>
      </c>
      <c r="X4414" s="5" t="s">
        <v>67</v>
      </c>
      <c r="Y4414" s="4">
        <v>185</v>
      </c>
      <c r="Z4414" s="4">
        <v>5</v>
      </c>
      <c r="AA4414" s="4">
        <v>5</v>
      </c>
      <c r="AB4414" s="4">
        <v>1</v>
      </c>
      <c r="AC4414" s="4">
        <v>1</v>
      </c>
      <c r="AD4414" s="4">
        <v>37</v>
      </c>
      <c r="AE4414" s="4">
        <v>37</v>
      </c>
      <c r="AF4414" s="4">
        <v>0</v>
      </c>
      <c r="AG4414" s="4">
        <v>0</v>
      </c>
      <c r="AH4414" s="4">
        <v>35</v>
      </c>
      <c r="AI4414" s="4">
        <v>35</v>
      </c>
      <c r="AJ4414" s="4">
        <v>3</v>
      </c>
      <c r="AK4414" s="4">
        <v>3</v>
      </c>
      <c r="AL4414" s="4">
        <v>14</v>
      </c>
      <c r="AM4414" s="4">
        <v>14</v>
      </c>
      <c r="AN4414" s="4">
        <v>0</v>
      </c>
      <c r="AO4414" s="4">
        <v>0</v>
      </c>
      <c r="AP4414" s="4">
        <v>3</v>
      </c>
      <c r="AQ4414" s="4">
        <v>3</v>
      </c>
      <c r="AR4414" s="3" t="s">
        <v>62</v>
      </c>
      <c r="AS4414" s="3" t="s">
        <v>62</v>
      </c>
      <c r="AT4414" s="3" t="s">
        <v>62</v>
      </c>
      <c r="AV4414" s="6" t="str">
        <f>HYPERLINK("http://mcgill.on.worldcat.org/oclc/1516420","Catalog Record")</f>
        <v>Catalog Record</v>
      </c>
      <c r="AW4414" s="6" t="str">
        <f>HYPERLINK("http://www.worldcat.org/oclc/1516420","WorldCat Record")</f>
        <v>WorldCat Record</v>
      </c>
      <c r="AX4414" s="3" t="s">
        <v>42449</v>
      </c>
      <c r="AY4414" s="3" t="s">
        <v>42450</v>
      </c>
      <c r="AZ4414" s="3" t="s">
        <v>42451</v>
      </c>
      <c r="BA4414" s="3" t="s">
        <v>42451</v>
      </c>
      <c r="BB4414" s="3" t="s">
        <v>42452</v>
      </c>
      <c r="BC4414" s="3" t="s">
        <v>102</v>
      </c>
      <c r="BD4414" s="3" t="s">
        <v>68</v>
      </c>
      <c r="BF4414" s="3" t="s">
        <v>42452</v>
      </c>
      <c r="BG4414" s="3" t="s">
        <v>42453</v>
      </c>
    </row>
    <row r="4415" spans="1:59" ht="72.5" x14ac:dyDescent="0.35">
      <c r="A4415" s="2" t="s">
        <v>59</v>
      </c>
      <c r="B4415" s="2" t="s">
        <v>60</v>
      </c>
      <c r="C4415" s="2" t="s">
        <v>42454</v>
      </c>
      <c r="D4415" s="2" t="s">
        <v>42455</v>
      </c>
      <c r="E4415" s="2" t="s">
        <v>42456</v>
      </c>
      <c r="G4415" s="3" t="s">
        <v>62</v>
      </c>
      <c r="I4415" s="3" t="s">
        <v>62</v>
      </c>
      <c r="J4415" s="3" t="s">
        <v>62</v>
      </c>
      <c r="K4415" s="3" t="s">
        <v>63</v>
      </c>
      <c r="M4415" s="2" t="s">
        <v>42457</v>
      </c>
      <c r="N4415" s="3" t="s">
        <v>2566</v>
      </c>
      <c r="O4415" s="2" t="s">
        <v>42458</v>
      </c>
      <c r="P4415" s="3" t="s">
        <v>64</v>
      </c>
      <c r="R4415" s="3" t="s">
        <v>42369</v>
      </c>
      <c r="S4415" s="4">
        <v>2</v>
      </c>
      <c r="T4415" s="4">
        <v>2</v>
      </c>
      <c r="U4415" s="5" t="s">
        <v>2885</v>
      </c>
      <c r="V4415" s="5" t="s">
        <v>2885</v>
      </c>
      <c r="W4415" s="5" t="s">
        <v>67</v>
      </c>
      <c r="X4415" s="5" t="s">
        <v>67</v>
      </c>
      <c r="Y4415" s="4">
        <v>99</v>
      </c>
      <c r="Z4415" s="4">
        <v>4</v>
      </c>
      <c r="AA4415" s="4">
        <v>4</v>
      </c>
      <c r="AB4415" s="4">
        <v>1</v>
      </c>
      <c r="AC4415" s="4">
        <v>1</v>
      </c>
      <c r="AD4415" s="4">
        <v>46</v>
      </c>
      <c r="AE4415" s="4">
        <v>46</v>
      </c>
      <c r="AF4415" s="4">
        <v>0</v>
      </c>
      <c r="AG4415" s="4">
        <v>0</v>
      </c>
      <c r="AH4415" s="4">
        <v>44</v>
      </c>
      <c r="AI4415" s="4">
        <v>44</v>
      </c>
      <c r="AJ4415" s="4">
        <v>3</v>
      </c>
      <c r="AK4415" s="4">
        <v>3</v>
      </c>
      <c r="AL4415" s="4">
        <v>24</v>
      </c>
      <c r="AM4415" s="4">
        <v>24</v>
      </c>
      <c r="AN4415" s="4">
        <v>0</v>
      </c>
      <c r="AO4415" s="4">
        <v>0</v>
      </c>
      <c r="AP4415" s="4">
        <v>3</v>
      </c>
      <c r="AQ4415" s="4">
        <v>3</v>
      </c>
      <c r="AR4415" s="3" t="s">
        <v>62</v>
      </c>
      <c r="AS4415" s="3" t="s">
        <v>62</v>
      </c>
      <c r="AT4415" s="3" t="s">
        <v>61</v>
      </c>
      <c r="AU4415" s="6" t="str">
        <f>HYPERLINK("http://catalog.hathitrust.org/Record/001498656","HathiTrust Record")</f>
        <v>HathiTrust Record</v>
      </c>
      <c r="AV4415" s="6" t="str">
        <f>HYPERLINK("http://mcgill.on.worldcat.org/oclc/841448","Catalog Record")</f>
        <v>Catalog Record</v>
      </c>
      <c r="AW4415" s="6" t="str">
        <f>HYPERLINK("http://www.worldcat.org/oclc/841448","WorldCat Record")</f>
        <v>WorldCat Record</v>
      </c>
      <c r="AX4415" s="3" t="s">
        <v>42459</v>
      </c>
      <c r="AY4415" s="3" t="s">
        <v>42460</v>
      </c>
      <c r="AZ4415" s="3" t="s">
        <v>42461</v>
      </c>
      <c r="BA4415" s="3" t="s">
        <v>42461</v>
      </c>
      <c r="BB4415" s="3" t="s">
        <v>42462</v>
      </c>
      <c r="BC4415" s="3" t="s">
        <v>102</v>
      </c>
      <c r="BD4415" s="3" t="s">
        <v>68</v>
      </c>
      <c r="BE4415" s="3" t="s">
        <v>42463</v>
      </c>
      <c r="BF4415" s="3" t="s">
        <v>42462</v>
      </c>
      <c r="BG4415" s="3" t="s">
        <v>42464</v>
      </c>
    </row>
    <row r="4416" spans="1:59" ht="58" x14ac:dyDescent="0.35">
      <c r="A4416" s="2" t="s">
        <v>89</v>
      </c>
      <c r="B4416" s="2" t="s">
        <v>90</v>
      </c>
      <c r="C4416" s="2" t="s">
        <v>42465</v>
      </c>
      <c r="D4416" s="2" t="s">
        <v>42466</v>
      </c>
      <c r="E4416" s="2" t="s">
        <v>42467</v>
      </c>
      <c r="G4416" s="3" t="s">
        <v>62</v>
      </c>
      <c r="I4416" s="3" t="s">
        <v>62</v>
      </c>
      <c r="J4416" s="3" t="s">
        <v>61</v>
      </c>
      <c r="K4416" s="3" t="s">
        <v>63</v>
      </c>
      <c r="L4416" s="2" t="s">
        <v>5390</v>
      </c>
      <c r="M4416" s="2" t="s">
        <v>42468</v>
      </c>
      <c r="N4416" s="3" t="s">
        <v>2975</v>
      </c>
      <c r="P4416" s="3" t="s">
        <v>64</v>
      </c>
      <c r="Q4416" s="2" t="s">
        <v>5392</v>
      </c>
      <c r="R4416" s="3" t="s">
        <v>42369</v>
      </c>
      <c r="S4416" s="4">
        <v>31</v>
      </c>
      <c r="T4416" s="4">
        <v>31</v>
      </c>
      <c r="U4416" s="5" t="s">
        <v>7448</v>
      </c>
      <c r="V4416" s="5" t="s">
        <v>7448</v>
      </c>
      <c r="W4416" s="5" t="s">
        <v>67</v>
      </c>
      <c r="X4416" s="5" t="s">
        <v>67</v>
      </c>
      <c r="Y4416" s="4">
        <v>251</v>
      </c>
      <c r="Z4416" s="4">
        <v>16</v>
      </c>
      <c r="AA4416" s="4">
        <v>118</v>
      </c>
      <c r="AB4416" s="4">
        <v>2</v>
      </c>
      <c r="AC4416" s="4">
        <v>15</v>
      </c>
      <c r="AD4416" s="4">
        <v>87</v>
      </c>
      <c r="AE4416" s="4">
        <v>138</v>
      </c>
      <c r="AF4416" s="4">
        <v>1</v>
      </c>
      <c r="AG4416" s="4">
        <v>6</v>
      </c>
      <c r="AH4416" s="4">
        <v>80</v>
      </c>
      <c r="AI4416" s="4">
        <v>104</v>
      </c>
      <c r="AJ4416" s="4">
        <v>11</v>
      </c>
      <c r="AK4416" s="4">
        <v>25</v>
      </c>
      <c r="AL4416" s="4">
        <v>48</v>
      </c>
      <c r="AM4416" s="4">
        <v>53</v>
      </c>
      <c r="AN4416" s="4">
        <v>0</v>
      </c>
      <c r="AO4416" s="4">
        <v>0</v>
      </c>
      <c r="AP4416" s="4">
        <v>12</v>
      </c>
      <c r="AQ4416" s="4">
        <v>42</v>
      </c>
      <c r="AR4416" s="3" t="s">
        <v>62</v>
      </c>
      <c r="AS4416" s="3" t="s">
        <v>62</v>
      </c>
      <c r="AT4416" s="3" t="s">
        <v>62</v>
      </c>
      <c r="AV4416" s="6" t="str">
        <f>HYPERLINK("http://mcgill.on.worldcat.org/oclc/48588337","Catalog Record")</f>
        <v>Catalog Record</v>
      </c>
      <c r="AW4416" s="6" t="str">
        <f>HYPERLINK("http://www.worldcat.org/oclc/48588337","WorldCat Record")</f>
        <v>WorldCat Record</v>
      </c>
      <c r="AX4416" s="3" t="s">
        <v>42469</v>
      </c>
      <c r="AY4416" s="3" t="s">
        <v>42470</v>
      </c>
      <c r="AZ4416" s="3" t="s">
        <v>42471</v>
      </c>
      <c r="BA4416" s="3" t="s">
        <v>42471</v>
      </c>
      <c r="BB4416" s="3" t="s">
        <v>42472</v>
      </c>
      <c r="BC4416" s="3" t="s">
        <v>102</v>
      </c>
      <c r="BD4416" s="3" t="s">
        <v>68</v>
      </c>
      <c r="BE4416" s="3" t="s">
        <v>42473</v>
      </c>
      <c r="BF4416" s="3" t="s">
        <v>42472</v>
      </c>
      <c r="BG4416" s="3" t="s">
        <v>42474</v>
      </c>
    </row>
    <row r="4417" spans="1:59" ht="58" x14ac:dyDescent="0.35">
      <c r="A4417" s="2" t="s">
        <v>89</v>
      </c>
      <c r="B4417" s="2" t="s">
        <v>90</v>
      </c>
      <c r="C4417" s="2" t="s">
        <v>42475</v>
      </c>
      <c r="D4417" s="2" t="s">
        <v>42476</v>
      </c>
      <c r="E4417" s="2" t="s">
        <v>42477</v>
      </c>
      <c r="G4417" s="3" t="s">
        <v>62</v>
      </c>
      <c r="I4417" s="3" t="s">
        <v>62</v>
      </c>
      <c r="J4417" s="3" t="s">
        <v>62</v>
      </c>
      <c r="K4417" s="3" t="s">
        <v>63</v>
      </c>
      <c r="L4417" s="2" t="s">
        <v>42478</v>
      </c>
      <c r="M4417" s="2" t="s">
        <v>42479</v>
      </c>
      <c r="N4417" s="3" t="s">
        <v>568</v>
      </c>
      <c r="P4417" s="3" t="s">
        <v>64</v>
      </c>
      <c r="Q4417" s="2" t="s">
        <v>42480</v>
      </c>
      <c r="R4417" s="3" t="s">
        <v>42369</v>
      </c>
      <c r="S4417" s="4">
        <v>10</v>
      </c>
      <c r="T4417" s="4">
        <v>10</v>
      </c>
      <c r="U4417" s="5" t="s">
        <v>18455</v>
      </c>
      <c r="V4417" s="5" t="s">
        <v>18455</v>
      </c>
      <c r="W4417" s="5" t="s">
        <v>67</v>
      </c>
      <c r="X4417" s="5" t="s">
        <v>67</v>
      </c>
      <c r="Y4417" s="4">
        <v>112</v>
      </c>
      <c r="Z4417" s="4">
        <v>9</v>
      </c>
      <c r="AA4417" s="4">
        <v>11</v>
      </c>
      <c r="AB4417" s="4">
        <v>2</v>
      </c>
      <c r="AC4417" s="4">
        <v>3</v>
      </c>
      <c r="AD4417" s="4">
        <v>50</v>
      </c>
      <c r="AE4417" s="4">
        <v>55</v>
      </c>
      <c r="AF4417" s="4">
        <v>0</v>
      </c>
      <c r="AG4417" s="4">
        <v>1</v>
      </c>
      <c r="AH4417" s="4">
        <v>48</v>
      </c>
      <c r="AI4417" s="4">
        <v>52</v>
      </c>
      <c r="AJ4417" s="4">
        <v>5</v>
      </c>
      <c r="AK4417" s="4">
        <v>7</v>
      </c>
      <c r="AL4417" s="4">
        <v>33</v>
      </c>
      <c r="AM4417" s="4">
        <v>35</v>
      </c>
      <c r="AN4417" s="4">
        <v>5</v>
      </c>
      <c r="AO4417" s="4">
        <v>5</v>
      </c>
      <c r="AP4417" s="4">
        <v>5</v>
      </c>
      <c r="AQ4417" s="4">
        <v>7</v>
      </c>
      <c r="AR4417" s="3" t="s">
        <v>62</v>
      </c>
      <c r="AS4417" s="3" t="s">
        <v>62</v>
      </c>
      <c r="AT4417" s="3" t="s">
        <v>61</v>
      </c>
      <c r="AU4417" s="6" t="str">
        <f>HYPERLINK("http://catalog.hathitrust.org/Record/003604108","HathiTrust Record")</f>
        <v>HathiTrust Record</v>
      </c>
      <c r="AV4417" s="6" t="str">
        <f>HYPERLINK("http://mcgill.on.worldcat.org/oclc/47255429","Catalog Record")</f>
        <v>Catalog Record</v>
      </c>
      <c r="AW4417" s="6" t="str">
        <f>HYPERLINK("http://www.worldcat.org/oclc/47255429","WorldCat Record")</f>
        <v>WorldCat Record</v>
      </c>
      <c r="AX4417" s="3" t="s">
        <v>42481</v>
      </c>
      <c r="AY4417" s="3" t="s">
        <v>42482</v>
      </c>
      <c r="AZ4417" s="3" t="s">
        <v>42483</v>
      </c>
      <c r="BA4417" s="3" t="s">
        <v>42483</v>
      </c>
      <c r="BB4417" s="3" t="s">
        <v>42484</v>
      </c>
      <c r="BC4417" s="3" t="s">
        <v>102</v>
      </c>
      <c r="BD4417" s="3" t="s">
        <v>68</v>
      </c>
      <c r="BE4417" s="3" t="s">
        <v>42485</v>
      </c>
      <c r="BF4417" s="3" t="s">
        <v>42484</v>
      </c>
      <c r="BG4417" s="3" t="s">
        <v>42486</v>
      </c>
    </row>
    <row r="4418" spans="1:59" ht="58" x14ac:dyDescent="0.35">
      <c r="A4418" s="2" t="s">
        <v>59</v>
      </c>
      <c r="B4418" s="2" t="s">
        <v>60</v>
      </c>
      <c r="C4418" s="2" t="s">
        <v>42487</v>
      </c>
      <c r="D4418" s="2" t="s">
        <v>42488</v>
      </c>
      <c r="E4418" s="2" t="s">
        <v>42489</v>
      </c>
      <c r="G4418" s="3" t="s">
        <v>62</v>
      </c>
      <c r="I4418" s="3" t="s">
        <v>62</v>
      </c>
      <c r="J4418" s="3" t="s">
        <v>62</v>
      </c>
      <c r="K4418" s="3" t="s">
        <v>63</v>
      </c>
      <c r="L4418" s="2" t="s">
        <v>35376</v>
      </c>
      <c r="M4418" s="2" t="s">
        <v>42490</v>
      </c>
      <c r="N4418" s="3" t="s">
        <v>5251</v>
      </c>
      <c r="P4418" s="3" t="s">
        <v>64</v>
      </c>
      <c r="R4418" s="3" t="s">
        <v>42369</v>
      </c>
      <c r="S4418" s="4">
        <v>1</v>
      </c>
      <c r="T4418" s="4">
        <v>1</v>
      </c>
      <c r="U4418" s="5" t="s">
        <v>27444</v>
      </c>
      <c r="V4418" s="5" t="s">
        <v>27444</v>
      </c>
      <c r="W4418" s="5" t="s">
        <v>67</v>
      </c>
      <c r="X4418" s="5" t="s">
        <v>67</v>
      </c>
      <c r="Y4418" s="4">
        <v>1</v>
      </c>
      <c r="Z4418" s="4">
        <v>1</v>
      </c>
      <c r="AA4418" s="4">
        <v>1</v>
      </c>
      <c r="AB4418" s="4">
        <v>1</v>
      </c>
      <c r="AC4418" s="4">
        <v>1</v>
      </c>
      <c r="AD4418" s="4">
        <v>0</v>
      </c>
      <c r="AE4418" s="4">
        <v>1</v>
      </c>
      <c r="AF4418" s="4">
        <v>0</v>
      </c>
      <c r="AG4418" s="4">
        <v>0</v>
      </c>
      <c r="AH4418" s="4">
        <v>0</v>
      </c>
      <c r="AI4418" s="4">
        <v>1</v>
      </c>
      <c r="AJ4418" s="4">
        <v>0</v>
      </c>
      <c r="AK4418" s="4">
        <v>0</v>
      </c>
      <c r="AL4418" s="4">
        <v>0</v>
      </c>
      <c r="AM4418" s="4">
        <v>1</v>
      </c>
      <c r="AN4418" s="4">
        <v>0</v>
      </c>
      <c r="AO4418" s="4">
        <v>0</v>
      </c>
      <c r="AP4418" s="4">
        <v>0</v>
      </c>
      <c r="AQ4418" s="4">
        <v>0</v>
      </c>
      <c r="AR4418" s="3" t="s">
        <v>62</v>
      </c>
      <c r="AS4418" s="3" t="s">
        <v>62</v>
      </c>
      <c r="AT4418" s="3" t="s">
        <v>62</v>
      </c>
      <c r="AV4418" s="6" t="str">
        <f>HYPERLINK("http://mcgill.on.worldcat.org/oclc/61631360","Catalog Record")</f>
        <v>Catalog Record</v>
      </c>
      <c r="AW4418" s="6" t="str">
        <f>HYPERLINK("http://www.worldcat.org/oclc/61631360","WorldCat Record")</f>
        <v>WorldCat Record</v>
      </c>
      <c r="AX4418" s="3" t="s">
        <v>42491</v>
      </c>
      <c r="AY4418" s="3" t="s">
        <v>42492</v>
      </c>
      <c r="AZ4418" s="3" t="s">
        <v>42493</v>
      </c>
      <c r="BA4418" s="3" t="s">
        <v>42493</v>
      </c>
      <c r="BB4418" s="3" t="s">
        <v>42494</v>
      </c>
      <c r="BC4418" s="3" t="s">
        <v>102</v>
      </c>
      <c r="BD4418" s="3" t="s">
        <v>68</v>
      </c>
      <c r="BF4418" s="3" t="s">
        <v>42494</v>
      </c>
      <c r="BG4418" s="3" t="s">
        <v>42495</v>
      </c>
    </row>
    <row r="4419" spans="1:59" ht="58" x14ac:dyDescent="0.35">
      <c r="A4419" s="2" t="s">
        <v>59</v>
      </c>
      <c r="B4419" s="2" t="s">
        <v>60</v>
      </c>
      <c r="C4419" s="2" t="s">
        <v>42496</v>
      </c>
      <c r="D4419" s="2" t="s">
        <v>42497</v>
      </c>
      <c r="E4419" s="2" t="s">
        <v>42498</v>
      </c>
      <c r="G4419" s="3" t="s">
        <v>62</v>
      </c>
      <c r="I4419" s="3" t="s">
        <v>62</v>
      </c>
      <c r="J4419" s="3" t="s">
        <v>62</v>
      </c>
      <c r="K4419" s="3" t="s">
        <v>63</v>
      </c>
      <c r="L4419" s="2" t="s">
        <v>42499</v>
      </c>
      <c r="M4419" s="2" t="s">
        <v>42500</v>
      </c>
      <c r="N4419" s="3" t="s">
        <v>1662</v>
      </c>
      <c r="P4419" s="3" t="s">
        <v>64</v>
      </c>
      <c r="R4419" s="3" t="s">
        <v>42369</v>
      </c>
      <c r="S4419" s="4">
        <v>2</v>
      </c>
      <c r="T4419" s="4">
        <v>2</v>
      </c>
      <c r="U4419" s="5" t="s">
        <v>21691</v>
      </c>
      <c r="V4419" s="5" t="s">
        <v>21691</v>
      </c>
      <c r="W4419" s="5" t="s">
        <v>67</v>
      </c>
      <c r="X4419" s="5" t="s">
        <v>67</v>
      </c>
      <c r="Y4419" s="4">
        <v>1</v>
      </c>
      <c r="Z4419" s="4">
        <v>1</v>
      </c>
      <c r="AA4419" s="4">
        <v>1</v>
      </c>
      <c r="AB4419" s="4">
        <v>1</v>
      </c>
      <c r="AC4419" s="4">
        <v>1</v>
      </c>
      <c r="AD4419" s="4">
        <v>0</v>
      </c>
      <c r="AE4419" s="4">
        <v>0</v>
      </c>
      <c r="AF4419" s="4">
        <v>0</v>
      </c>
      <c r="AG4419" s="4">
        <v>0</v>
      </c>
      <c r="AH4419" s="4">
        <v>0</v>
      </c>
      <c r="AI4419" s="4">
        <v>0</v>
      </c>
      <c r="AJ4419" s="4">
        <v>0</v>
      </c>
      <c r="AK4419" s="4">
        <v>0</v>
      </c>
      <c r="AL4419" s="4">
        <v>0</v>
      </c>
      <c r="AM4419" s="4">
        <v>0</v>
      </c>
      <c r="AN4419" s="4">
        <v>0</v>
      </c>
      <c r="AO4419" s="4">
        <v>0</v>
      </c>
      <c r="AP4419" s="4">
        <v>0</v>
      </c>
      <c r="AQ4419" s="4">
        <v>0</v>
      </c>
      <c r="AR4419" s="3" t="s">
        <v>61</v>
      </c>
      <c r="AS4419" s="3" t="s">
        <v>62</v>
      </c>
      <c r="AT4419" s="3" t="s">
        <v>62</v>
      </c>
      <c r="AV4419" s="6" t="str">
        <f>HYPERLINK("http://mcgill.on.worldcat.org/oclc/61631266","Catalog Record")</f>
        <v>Catalog Record</v>
      </c>
      <c r="AW4419" s="6" t="str">
        <f>HYPERLINK("http://www.worldcat.org/oclc/61631266","WorldCat Record")</f>
        <v>WorldCat Record</v>
      </c>
      <c r="AX4419" s="3" t="s">
        <v>42501</v>
      </c>
      <c r="AY4419" s="3" t="s">
        <v>42502</v>
      </c>
      <c r="AZ4419" s="3" t="s">
        <v>42503</v>
      </c>
      <c r="BA4419" s="3" t="s">
        <v>42503</v>
      </c>
      <c r="BB4419" s="3" t="s">
        <v>42504</v>
      </c>
      <c r="BC4419" s="3" t="s">
        <v>102</v>
      </c>
      <c r="BD4419" s="3" t="s">
        <v>68</v>
      </c>
      <c r="BF4419" s="3" t="s">
        <v>42504</v>
      </c>
      <c r="BG4419" s="3" t="s">
        <v>42505</v>
      </c>
    </row>
    <row r="4420" spans="1:59" ht="58" x14ac:dyDescent="0.35">
      <c r="A4420" s="2" t="s">
        <v>59</v>
      </c>
      <c r="B4420" s="2" t="s">
        <v>60</v>
      </c>
      <c r="C4420" s="2" t="s">
        <v>42506</v>
      </c>
      <c r="D4420" s="2" t="s">
        <v>42507</v>
      </c>
      <c r="E4420" s="2" t="s">
        <v>42508</v>
      </c>
      <c r="G4420" s="3" t="s">
        <v>62</v>
      </c>
      <c r="I4420" s="3" t="s">
        <v>62</v>
      </c>
      <c r="J4420" s="3" t="s">
        <v>62</v>
      </c>
      <c r="K4420" s="3" t="s">
        <v>63</v>
      </c>
      <c r="L4420" s="2" t="s">
        <v>42509</v>
      </c>
      <c r="M4420" s="2" t="s">
        <v>42510</v>
      </c>
      <c r="N4420" s="3" t="s">
        <v>866</v>
      </c>
      <c r="P4420" s="3" t="s">
        <v>64</v>
      </c>
      <c r="R4420" s="3" t="s">
        <v>42369</v>
      </c>
      <c r="S4420" s="4">
        <v>2</v>
      </c>
      <c r="T4420" s="4">
        <v>2</v>
      </c>
      <c r="U4420" s="5" t="s">
        <v>24161</v>
      </c>
      <c r="V4420" s="5" t="s">
        <v>24161</v>
      </c>
      <c r="W4420" s="5" t="s">
        <v>67</v>
      </c>
      <c r="X4420" s="5" t="s">
        <v>67</v>
      </c>
      <c r="Y4420" s="4">
        <v>1</v>
      </c>
      <c r="Z4420" s="4">
        <v>1</v>
      </c>
      <c r="AA4420" s="4">
        <v>1</v>
      </c>
      <c r="AB4420" s="4">
        <v>1</v>
      </c>
      <c r="AC4420" s="4">
        <v>1</v>
      </c>
      <c r="AD4420" s="4">
        <v>0</v>
      </c>
      <c r="AE4420" s="4">
        <v>3</v>
      </c>
      <c r="AF4420" s="4">
        <v>0</v>
      </c>
      <c r="AG4420" s="4">
        <v>0</v>
      </c>
      <c r="AH4420" s="4">
        <v>0</v>
      </c>
      <c r="AI4420" s="4">
        <v>2</v>
      </c>
      <c r="AJ4420" s="4">
        <v>0</v>
      </c>
      <c r="AK4420" s="4">
        <v>0</v>
      </c>
      <c r="AL4420" s="4">
        <v>0</v>
      </c>
      <c r="AM4420" s="4">
        <v>2</v>
      </c>
      <c r="AN4420" s="4">
        <v>0</v>
      </c>
      <c r="AO4420" s="4">
        <v>0</v>
      </c>
      <c r="AP4420" s="4">
        <v>0</v>
      </c>
      <c r="AQ4420" s="4">
        <v>0</v>
      </c>
      <c r="AR4420" s="3" t="s">
        <v>62</v>
      </c>
      <c r="AS4420" s="3" t="s">
        <v>62</v>
      </c>
      <c r="AT4420" s="3" t="s">
        <v>62</v>
      </c>
      <c r="AV4420" s="6" t="str">
        <f>HYPERLINK("http://mcgill.on.worldcat.org/oclc/427314242","Catalog Record")</f>
        <v>Catalog Record</v>
      </c>
      <c r="AW4420" s="6" t="str">
        <f>HYPERLINK("http://www.worldcat.org/oclc/427314242","WorldCat Record")</f>
        <v>WorldCat Record</v>
      </c>
      <c r="AX4420" s="3" t="s">
        <v>42511</v>
      </c>
      <c r="AY4420" s="3" t="s">
        <v>42512</v>
      </c>
      <c r="AZ4420" s="3" t="s">
        <v>42513</v>
      </c>
      <c r="BA4420" s="3" t="s">
        <v>42513</v>
      </c>
      <c r="BB4420" s="3" t="s">
        <v>42514</v>
      </c>
      <c r="BC4420" s="3" t="s">
        <v>102</v>
      </c>
      <c r="BD4420" s="3" t="s">
        <v>68</v>
      </c>
      <c r="BF4420" s="3" t="s">
        <v>42514</v>
      </c>
      <c r="BG4420" s="3" t="s">
        <v>42515</v>
      </c>
    </row>
    <row r="4421" spans="1:59" ht="58" x14ac:dyDescent="0.35">
      <c r="A4421" s="2" t="s">
        <v>59</v>
      </c>
      <c r="B4421" s="2" t="s">
        <v>60</v>
      </c>
      <c r="C4421" s="2" t="s">
        <v>42516</v>
      </c>
      <c r="D4421" s="2" t="s">
        <v>42517</v>
      </c>
      <c r="E4421" s="2" t="s">
        <v>42518</v>
      </c>
      <c r="G4421" s="3" t="s">
        <v>62</v>
      </c>
      <c r="I4421" s="3" t="s">
        <v>62</v>
      </c>
      <c r="J4421" s="3" t="s">
        <v>62</v>
      </c>
      <c r="K4421" s="3" t="s">
        <v>63</v>
      </c>
      <c r="L4421" s="2" t="s">
        <v>42519</v>
      </c>
      <c r="M4421" s="2" t="s">
        <v>42520</v>
      </c>
      <c r="N4421" s="3" t="s">
        <v>1012</v>
      </c>
      <c r="P4421" s="3" t="s">
        <v>64</v>
      </c>
      <c r="R4421" s="3" t="s">
        <v>42369</v>
      </c>
      <c r="S4421" s="4">
        <v>2</v>
      </c>
      <c r="T4421" s="4">
        <v>2</v>
      </c>
      <c r="U4421" s="5" t="s">
        <v>22320</v>
      </c>
      <c r="V4421" s="5" t="s">
        <v>22320</v>
      </c>
      <c r="W4421" s="5" t="s">
        <v>67</v>
      </c>
      <c r="X4421" s="5" t="s">
        <v>67</v>
      </c>
      <c r="Y4421" s="4">
        <v>2</v>
      </c>
      <c r="Z4421" s="4">
        <v>2</v>
      </c>
      <c r="AA4421" s="4">
        <v>5</v>
      </c>
      <c r="AB4421" s="4">
        <v>2</v>
      </c>
      <c r="AC4421" s="4">
        <v>2</v>
      </c>
      <c r="AD4421" s="4">
        <v>0</v>
      </c>
      <c r="AE4421" s="4">
        <v>4</v>
      </c>
      <c r="AF4421" s="4">
        <v>0</v>
      </c>
      <c r="AG4421" s="4">
        <v>0</v>
      </c>
      <c r="AH4421" s="4">
        <v>0</v>
      </c>
      <c r="AI4421" s="4">
        <v>2</v>
      </c>
      <c r="AJ4421" s="4">
        <v>0</v>
      </c>
      <c r="AK4421" s="4">
        <v>2</v>
      </c>
      <c r="AL4421" s="4">
        <v>0</v>
      </c>
      <c r="AM4421" s="4">
        <v>1</v>
      </c>
      <c r="AN4421" s="4">
        <v>0</v>
      </c>
      <c r="AO4421" s="4">
        <v>0</v>
      </c>
      <c r="AP4421" s="4">
        <v>0</v>
      </c>
      <c r="AQ4421" s="4">
        <v>2</v>
      </c>
      <c r="AR4421" s="3" t="s">
        <v>62</v>
      </c>
      <c r="AS4421" s="3" t="s">
        <v>62</v>
      </c>
      <c r="AT4421" s="3" t="s">
        <v>62</v>
      </c>
      <c r="AV4421" s="6" t="str">
        <f>HYPERLINK("http://mcgill.on.worldcat.org/oclc/427303060","Catalog Record")</f>
        <v>Catalog Record</v>
      </c>
      <c r="AW4421" s="6" t="str">
        <f>HYPERLINK("http://www.worldcat.org/oclc/427303060","WorldCat Record")</f>
        <v>WorldCat Record</v>
      </c>
      <c r="AX4421" s="3" t="s">
        <v>42521</v>
      </c>
      <c r="AY4421" s="3" t="s">
        <v>42522</v>
      </c>
      <c r="AZ4421" s="3" t="s">
        <v>42523</v>
      </c>
      <c r="BA4421" s="3" t="s">
        <v>42523</v>
      </c>
      <c r="BB4421" s="3" t="s">
        <v>42524</v>
      </c>
      <c r="BC4421" s="3" t="s">
        <v>102</v>
      </c>
      <c r="BD4421" s="3" t="s">
        <v>68</v>
      </c>
      <c r="BF4421" s="3" t="s">
        <v>42524</v>
      </c>
      <c r="BG4421" s="3" t="s">
        <v>42525</v>
      </c>
    </row>
    <row r="4422" spans="1:59" ht="58" x14ac:dyDescent="0.35">
      <c r="A4422" s="2" t="s">
        <v>59</v>
      </c>
      <c r="B4422" s="2" t="s">
        <v>60</v>
      </c>
      <c r="C4422" s="2" t="s">
        <v>42526</v>
      </c>
      <c r="D4422" s="2" t="s">
        <v>42527</v>
      </c>
      <c r="E4422" s="2" t="s">
        <v>42528</v>
      </c>
      <c r="G4422" s="3" t="s">
        <v>62</v>
      </c>
      <c r="I4422" s="3" t="s">
        <v>62</v>
      </c>
      <c r="J4422" s="3" t="s">
        <v>62</v>
      </c>
      <c r="K4422" s="3" t="s">
        <v>63</v>
      </c>
      <c r="L4422" s="2" t="s">
        <v>42529</v>
      </c>
      <c r="M4422" s="2" t="s">
        <v>42530</v>
      </c>
      <c r="N4422" s="3" t="s">
        <v>893</v>
      </c>
      <c r="O4422" s="2" t="s">
        <v>42531</v>
      </c>
      <c r="P4422" s="3" t="s">
        <v>64</v>
      </c>
      <c r="R4422" s="3" t="s">
        <v>42369</v>
      </c>
      <c r="S4422" s="4">
        <v>6</v>
      </c>
      <c r="T4422" s="4">
        <v>6</v>
      </c>
      <c r="U4422" s="5" t="s">
        <v>12900</v>
      </c>
      <c r="V4422" s="5" t="s">
        <v>12900</v>
      </c>
      <c r="W4422" s="5" t="s">
        <v>67</v>
      </c>
      <c r="X4422" s="5" t="s">
        <v>67</v>
      </c>
      <c r="Y4422" s="4">
        <v>68</v>
      </c>
      <c r="Z4422" s="4">
        <v>2</v>
      </c>
      <c r="AA4422" s="4">
        <v>12</v>
      </c>
      <c r="AB4422" s="4">
        <v>1</v>
      </c>
      <c r="AC4422" s="4">
        <v>3</v>
      </c>
      <c r="AD4422" s="4">
        <v>6</v>
      </c>
      <c r="AE4422" s="4">
        <v>43</v>
      </c>
      <c r="AF4422" s="4">
        <v>0</v>
      </c>
      <c r="AG4422" s="4">
        <v>1</v>
      </c>
      <c r="AH4422" s="4">
        <v>6</v>
      </c>
      <c r="AI4422" s="4">
        <v>38</v>
      </c>
      <c r="AJ4422" s="4">
        <v>0</v>
      </c>
      <c r="AK4422" s="4">
        <v>5</v>
      </c>
      <c r="AL4422" s="4">
        <v>2</v>
      </c>
      <c r="AM4422" s="4">
        <v>17</v>
      </c>
      <c r="AN4422" s="4">
        <v>0</v>
      </c>
      <c r="AO4422" s="4">
        <v>0</v>
      </c>
      <c r="AP4422" s="4">
        <v>0</v>
      </c>
      <c r="AQ4422" s="4">
        <v>6</v>
      </c>
      <c r="AR4422" s="3" t="s">
        <v>62</v>
      </c>
      <c r="AS4422" s="3" t="s">
        <v>62</v>
      </c>
      <c r="AT4422" s="3" t="s">
        <v>62</v>
      </c>
      <c r="AV4422" s="6" t="str">
        <f>HYPERLINK("http://mcgill.on.worldcat.org/oclc/8974351","Catalog Record")</f>
        <v>Catalog Record</v>
      </c>
      <c r="AW4422" s="6" t="str">
        <f>HYPERLINK("http://www.worldcat.org/oclc/8974351","WorldCat Record")</f>
        <v>WorldCat Record</v>
      </c>
      <c r="AX4422" s="3" t="s">
        <v>42532</v>
      </c>
      <c r="AY4422" s="3" t="s">
        <v>42533</v>
      </c>
      <c r="AZ4422" s="3" t="s">
        <v>42534</v>
      </c>
      <c r="BA4422" s="3" t="s">
        <v>42534</v>
      </c>
      <c r="BB4422" s="3" t="s">
        <v>42535</v>
      </c>
      <c r="BC4422" s="3" t="s">
        <v>102</v>
      </c>
      <c r="BD4422" s="3" t="s">
        <v>68</v>
      </c>
      <c r="BE4422" s="3" t="s">
        <v>42536</v>
      </c>
      <c r="BF4422" s="3" t="s">
        <v>42535</v>
      </c>
      <c r="BG4422" s="3" t="s">
        <v>42537</v>
      </c>
    </row>
    <row r="4423" spans="1:59" ht="72.5" x14ac:dyDescent="0.35">
      <c r="A4423" s="2" t="s">
        <v>59</v>
      </c>
      <c r="B4423" s="2" t="s">
        <v>60</v>
      </c>
      <c r="C4423" s="2" t="s">
        <v>42538</v>
      </c>
      <c r="D4423" s="2" t="s">
        <v>42539</v>
      </c>
      <c r="E4423" s="2" t="s">
        <v>42540</v>
      </c>
      <c r="G4423" s="3" t="s">
        <v>62</v>
      </c>
      <c r="I4423" s="3" t="s">
        <v>62</v>
      </c>
      <c r="J4423" s="3" t="s">
        <v>61</v>
      </c>
      <c r="K4423" s="3" t="s">
        <v>63</v>
      </c>
      <c r="L4423" s="2" t="s">
        <v>42541</v>
      </c>
      <c r="M4423" s="2" t="s">
        <v>42542</v>
      </c>
      <c r="N4423" s="3" t="s">
        <v>87</v>
      </c>
      <c r="O4423" s="2" t="s">
        <v>17427</v>
      </c>
      <c r="P4423" s="3" t="s">
        <v>64</v>
      </c>
      <c r="R4423" s="3" t="s">
        <v>42369</v>
      </c>
      <c r="S4423" s="4">
        <v>7</v>
      </c>
      <c r="T4423" s="4">
        <v>7</v>
      </c>
      <c r="U4423" s="5" t="s">
        <v>9615</v>
      </c>
      <c r="V4423" s="5" t="s">
        <v>9615</v>
      </c>
      <c r="W4423" s="5" t="s">
        <v>67</v>
      </c>
      <c r="X4423" s="5" t="s">
        <v>67</v>
      </c>
      <c r="Y4423" s="4">
        <v>217</v>
      </c>
      <c r="Z4423" s="4">
        <v>14</v>
      </c>
      <c r="AA4423" s="4">
        <v>103</v>
      </c>
      <c r="AB4423" s="4">
        <v>1</v>
      </c>
      <c r="AC4423" s="4">
        <v>23</v>
      </c>
      <c r="AD4423" s="4">
        <v>42</v>
      </c>
      <c r="AE4423" s="4">
        <v>145</v>
      </c>
      <c r="AF4423" s="4">
        <v>0</v>
      </c>
      <c r="AG4423" s="4">
        <v>8</v>
      </c>
      <c r="AH4423" s="4">
        <v>39</v>
      </c>
      <c r="AI4423" s="4">
        <v>103</v>
      </c>
      <c r="AJ4423" s="4">
        <v>7</v>
      </c>
      <c r="AK4423" s="4">
        <v>31</v>
      </c>
      <c r="AL4423" s="4">
        <v>18</v>
      </c>
      <c r="AM4423" s="4">
        <v>51</v>
      </c>
      <c r="AN4423" s="4">
        <v>0</v>
      </c>
      <c r="AO4423" s="4">
        <v>0</v>
      </c>
      <c r="AP4423" s="4">
        <v>8</v>
      </c>
      <c r="AQ4423" s="4">
        <v>48</v>
      </c>
      <c r="AR4423" s="3" t="s">
        <v>62</v>
      </c>
      <c r="AS4423" s="3" t="s">
        <v>62</v>
      </c>
      <c r="AT4423" s="3" t="s">
        <v>62</v>
      </c>
      <c r="AV4423" s="6" t="str">
        <f>HYPERLINK("http://mcgill.on.worldcat.org/oclc/4491721","Catalog Record")</f>
        <v>Catalog Record</v>
      </c>
      <c r="AW4423" s="6" t="str">
        <f>HYPERLINK("http://www.worldcat.org/oclc/4491721","WorldCat Record")</f>
        <v>WorldCat Record</v>
      </c>
      <c r="AX4423" s="3" t="s">
        <v>42543</v>
      </c>
      <c r="AY4423" s="3" t="s">
        <v>42544</v>
      </c>
      <c r="AZ4423" s="3" t="s">
        <v>42545</v>
      </c>
      <c r="BA4423" s="3" t="s">
        <v>42545</v>
      </c>
      <c r="BB4423" s="3" t="s">
        <v>42546</v>
      </c>
      <c r="BC4423" s="3" t="s">
        <v>102</v>
      </c>
      <c r="BD4423" s="3" t="s">
        <v>68</v>
      </c>
      <c r="BE4423" s="3" t="s">
        <v>42547</v>
      </c>
      <c r="BF4423" s="3" t="s">
        <v>42546</v>
      </c>
      <c r="BG4423" s="3" t="s">
        <v>42548</v>
      </c>
    </row>
    <row r="4424" spans="1:59" ht="58" x14ac:dyDescent="0.35">
      <c r="A4424" s="2" t="s">
        <v>59</v>
      </c>
      <c r="B4424" s="2" t="s">
        <v>60</v>
      </c>
      <c r="C4424" s="2" t="s">
        <v>42549</v>
      </c>
      <c r="D4424" s="2" t="s">
        <v>42550</v>
      </c>
      <c r="E4424" s="2" t="s">
        <v>42551</v>
      </c>
      <c r="G4424" s="3" t="s">
        <v>62</v>
      </c>
      <c r="I4424" s="3" t="s">
        <v>62</v>
      </c>
      <c r="J4424" s="3" t="s">
        <v>61</v>
      </c>
      <c r="K4424" s="3" t="s">
        <v>63</v>
      </c>
      <c r="L4424" s="2" t="s">
        <v>42552</v>
      </c>
      <c r="M4424" s="2" t="s">
        <v>42553</v>
      </c>
      <c r="N4424" s="3" t="s">
        <v>866</v>
      </c>
      <c r="O4424" s="2" t="s">
        <v>3990</v>
      </c>
      <c r="P4424" s="3" t="s">
        <v>64</v>
      </c>
      <c r="R4424" s="3" t="s">
        <v>42369</v>
      </c>
      <c r="S4424" s="4">
        <v>1</v>
      </c>
      <c r="T4424" s="4">
        <v>1</v>
      </c>
      <c r="U4424" s="5" t="s">
        <v>28263</v>
      </c>
      <c r="V4424" s="5" t="s">
        <v>28263</v>
      </c>
      <c r="W4424" s="5" t="s">
        <v>67</v>
      </c>
      <c r="X4424" s="5" t="s">
        <v>67</v>
      </c>
      <c r="Y4424" s="4">
        <v>383</v>
      </c>
      <c r="Z4424" s="4">
        <v>16</v>
      </c>
      <c r="AA4424" s="4">
        <v>64</v>
      </c>
      <c r="AB4424" s="4">
        <v>1</v>
      </c>
      <c r="AC4424" s="4">
        <v>6</v>
      </c>
      <c r="AD4424" s="4">
        <v>35</v>
      </c>
      <c r="AE4424" s="4">
        <v>60</v>
      </c>
      <c r="AF4424" s="4">
        <v>0</v>
      </c>
      <c r="AG4424" s="4">
        <v>1</v>
      </c>
      <c r="AH4424" s="4">
        <v>27</v>
      </c>
      <c r="AI4424" s="4">
        <v>38</v>
      </c>
      <c r="AJ4424" s="4">
        <v>4</v>
      </c>
      <c r="AK4424" s="4">
        <v>20</v>
      </c>
      <c r="AL4424" s="4">
        <v>13</v>
      </c>
      <c r="AM4424" s="4">
        <v>16</v>
      </c>
      <c r="AN4424" s="4">
        <v>0</v>
      </c>
      <c r="AO4424" s="4">
        <v>0</v>
      </c>
      <c r="AP4424" s="4">
        <v>8</v>
      </c>
      <c r="AQ4424" s="4">
        <v>31</v>
      </c>
      <c r="AR4424" s="3" t="s">
        <v>62</v>
      </c>
      <c r="AS4424" s="3" t="s">
        <v>62</v>
      </c>
      <c r="AT4424" s="3" t="s">
        <v>61</v>
      </c>
      <c r="AU4424" s="6" t="str">
        <f>HYPERLINK("http://catalog.hathitrust.org/Record/003093844","HathiTrust Record")</f>
        <v>HathiTrust Record</v>
      </c>
      <c r="AV4424" s="6" t="str">
        <f>HYPERLINK("http://mcgill.on.worldcat.org/oclc/378977","Catalog Record")</f>
        <v>Catalog Record</v>
      </c>
      <c r="AW4424" s="6" t="str">
        <f>HYPERLINK("http://www.worldcat.org/oclc/378977","WorldCat Record")</f>
        <v>WorldCat Record</v>
      </c>
      <c r="AX4424" s="3" t="s">
        <v>42554</v>
      </c>
      <c r="AY4424" s="3" t="s">
        <v>42555</v>
      </c>
      <c r="AZ4424" s="3" t="s">
        <v>42556</v>
      </c>
      <c r="BA4424" s="3" t="s">
        <v>42556</v>
      </c>
      <c r="BB4424" s="3" t="s">
        <v>42557</v>
      </c>
      <c r="BC4424" s="3" t="s">
        <v>102</v>
      </c>
      <c r="BD4424" s="3" t="s">
        <v>68</v>
      </c>
      <c r="BE4424" s="3" t="s">
        <v>42558</v>
      </c>
      <c r="BF4424" s="3" t="s">
        <v>42557</v>
      </c>
      <c r="BG4424" s="3" t="s">
        <v>42559</v>
      </c>
    </row>
    <row r="4425" spans="1:59" ht="87" x14ac:dyDescent="0.35">
      <c r="A4425" s="2" t="s">
        <v>89</v>
      </c>
      <c r="B4425" s="2" t="s">
        <v>42560</v>
      </c>
      <c r="C4425" s="2" t="s">
        <v>42561</v>
      </c>
      <c r="D4425" s="2" t="s">
        <v>42562</v>
      </c>
      <c r="E4425" s="2" t="s">
        <v>42563</v>
      </c>
      <c r="F4425" s="3" t="s">
        <v>42564</v>
      </c>
      <c r="G4425" s="3" t="s">
        <v>61</v>
      </c>
      <c r="I4425" s="3" t="s">
        <v>61</v>
      </c>
      <c r="J4425" s="3" t="s">
        <v>62</v>
      </c>
      <c r="K4425" s="3" t="s">
        <v>63</v>
      </c>
      <c r="L4425" s="2" t="s">
        <v>42565</v>
      </c>
      <c r="M4425" s="2" t="s">
        <v>42566</v>
      </c>
      <c r="N4425" s="3" t="s">
        <v>655</v>
      </c>
      <c r="P4425" s="3" t="s">
        <v>64</v>
      </c>
      <c r="R4425" s="3" t="s">
        <v>42369</v>
      </c>
      <c r="S4425" s="4">
        <v>65</v>
      </c>
      <c r="T4425" s="4">
        <v>1188</v>
      </c>
      <c r="U4425" s="5" t="s">
        <v>42567</v>
      </c>
      <c r="V4425" s="5" t="s">
        <v>15891</v>
      </c>
      <c r="W4425" s="5" t="s">
        <v>67</v>
      </c>
      <c r="X4425" s="5" t="s">
        <v>67</v>
      </c>
      <c r="Y4425" s="4">
        <v>4</v>
      </c>
      <c r="Z4425" s="4">
        <v>4</v>
      </c>
      <c r="AA4425" s="4">
        <v>20</v>
      </c>
      <c r="AB4425" s="4">
        <v>1</v>
      </c>
      <c r="AC4425" s="4">
        <v>4</v>
      </c>
      <c r="AD4425" s="4">
        <v>1</v>
      </c>
      <c r="AE4425" s="4">
        <v>11</v>
      </c>
      <c r="AF4425" s="4">
        <v>0</v>
      </c>
      <c r="AG4425" s="4">
        <v>0</v>
      </c>
      <c r="AH4425" s="4">
        <v>0</v>
      </c>
      <c r="AI4425" s="4">
        <v>7</v>
      </c>
      <c r="AJ4425" s="4">
        <v>1</v>
      </c>
      <c r="AK4425" s="4">
        <v>3</v>
      </c>
      <c r="AL4425" s="4">
        <v>0</v>
      </c>
      <c r="AM4425" s="4">
        <v>5</v>
      </c>
      <c r="AN4425" s="4">
        <v>0</v>
      </c>
      <c r="AO4425" s="4">
        <v>0</v>
      </c>
      <c r="AP4425" s="4">
        <v>1</v>
      </c>
      <c r="AQ4425" s="4">
        <v>4</v>
      </c>
      <c r="AR4425" s="3" t="s">
        <v>61</v>
      </c>
      <c r="AS4425" s="3" t="s">
        <v>62</v>
      </c>
      <c r="AT4425" s="3" t="s">
        <v>62</v>
      </c>
      <c r="AV4425" s="6" t="str">
        <f>HYPERLINK("http://mcgill.on.worldcat.org/oclc/253896911","Catalog Record")</f>
        <v>Catalog Record</v>
      </c>
      <c r="AW4425" s="6" t="str">
        <f>HYPERLINK("http://www.worldcat.org/oclc/253896911","WorldCat Record")</f>
        <v>WorldCat Record</v>
      </c>
      <c r="AX4425" s="3" t="s">
        <v>42568</v>
      </c>
      <c r="AY4425" s="3" t="s">
        <v>42569</v>
      </c>
      <c r="AZ4425" s="3" t="s">
        <v>42570</v>
      </c>
      <c r="BA4425" s="3" t="s">
        <v>42570</v>
      </c>
      <c r="BB4425" s="3" t="s">
        <v>42571</v>
      </c>
      <c r="BC4425" s="3" t="s">
        <v>33640</v>
      </c>
      <c r="BD4425" s="3" t="s">
        <v>231</v>
      </c>
      <c r="BF4425" s="3" t="s">
        <v>42571</v>
      </c>
      <c r="BG4425" s="3" t="s">
        <v>42572</v>
      </c>
    </row>
    <row r="4426" spans="1:59" ht="87" x14ac:dyDescent="0.35">
      <c r="A4426" s="2" t="s">
        <v>89</v>
      </c>
      <c r="B4426" s="2" t="s">
        <v>42560</v>
      </c>
      <c r="C4426" s="2" t="s">
        <v>42561</v>
      </c>
      <c r="D4426" s="2" t="s">
        <v>42562</v>
      </c>
      <c r="E4426" s="2" t="s">
        <v>42563</v>
      </c>
      <c r="F4426" s="3" t="s">
        <v>42573</v>
      </c>
      <c r="G4426" s="3" t="s">
        <v>61</v>
      </c>
      <c r="I4426" s="3" t="s">
        <v>61</v>
      </c>
      <c r="J4426" s="3" t="s">
        <v>62</v>
      </c>
      <c r="K4426" s="3" t="s">
        <v>63</v>
      </c>
      <c r="L4426" s="2" t="s">
        <v>42565</v>
      </c>
      <c r="M4426" s="2" t="s">
        <v>42566</v>
      </c>
      <c r="N4426" s="3" t="s">
        <v>655</v>
      </c>
      <c r="P4426" s="3" t="s">
        <v>64</v>
      </c>
      <c r="R4426" s="3" t="s">
        <v>42369</v>
      </c>
      <c r="S4426" s="4">
        <v>64</v>
      </c>
      <c r="T4426" s="4">
        <v>1188</v>
      </c>
      <c r="U4426" s="5" t="s">
        <v>42567</v>
      </c>
      <c r="V4426" s="5" t="s">
        <v>15891</v>
      </c>
      <c r="W4426" s="5" t="s">
        <v>67</v>
      </c>
      <c r="X4426" s="5" t="s">
        <v>67</v>
      </c>
      <c r="Y4426" s="4">
        <v>4</v>
      </c>
      <c r="Z4426" s="4">
        <v>4</v>
      </c>
      <c r="AA4426" s="4">
        <v>20</v>
      </c>
      <c r="AB4426" s="4">
        <v>1</v>
      </c>
      <c r="AC4426" s="4">
        <v>4</v>
      </c>
      <c r="AD4426" s="4">
        <v>1</v>
      </c>
      <c r="AE4426" s="4">
        <v>11</v>
      </c>
      <c r="AF4426" s="4">
        <v>0</v>
      </c>
      <c r="AG4426" s="4">
        <v>0</v>
      </c>
      <c r="AH4426" s="4">
        <v>0</v>
      </c>
      <c r="AI4426" s="4">
        <v>7</v>
      </c>
      <c r="AJ4426" s="4">
        <v>1</v>
      </c>
      <c r="AK4426" s="4">
        <v>3</v>
      </c>
      <c r="AL4426" s="4">
        <v>0</v>
      </c>
      <c r="AM4426" s="4">
        <v>5</v>
      </c>
      <c r="AN4426" s="4">
        <v>0</v>
      </c>
      <c r="AO4426" s="4">
        <v>0</v>
      </c>
      <c r="AP4426" s="4">
        <v>1</v>
      </c>
      <c r="AQ4426" s="4">
        <v>4</v>
      </c>
      <c r="AR4426" s="3" t="s">
        <v>61</v>
      </c>
      <c r="AS4426" s="3" t="s">
        <v>62</v>
      </c>
      <c r="AT4426" s="3" t="s">
        <v>62</v>
      </c>
      <c r="AV4426" s="6" t="str">
        <f>HYPERLINK("http://mcgill.on.worldcat.org/oclc/253896911","Catalog Record")</f>
        <v>Catalog Record</v>
      </c>
      <c r="AW4426" s="6" t="str">
        <f>HYPERLINK("http://www.worldcat.org/oclc/253896911","WorldCat Record")</f>
        <v>WorldCat Record</v>
      </c>
      <c r="AX4426" s="3" t="s">
        <v>42568</v>
      </c>
      <c r="AY4426" s="3" t="s">
        <v>42569</v>
      </c>
      <c r="AZ4426" s="3" t="s">
        <v>42570</v>
      </c>
      <c r="BA4426" s="3" t="s">
        <v>42570</v>
      </c>
      <c r="BB4426" s="3" t="s">
        <v>42574</v>
      </c>
      <c r="BC4426" s="3" t="s">
        <v>33640</v>
      </c>
      <c r="BD4426" s="3" t="s">
        <v>231</v>
      </c>
      <c r="BF4426" s="3" t="s">
        <v>42574</v>
      </c>
      <c r="BG4426" s="3" t="s">
        <v>42575</v>
      </c>
    </row>
    <row r="4427" spans="1:59" ht="58" x14ac:dyDescent="0.35">
      <c r="A4427" s="2" t="s">
        <v>89</v>
      </c>
      <c r="B4427" s="2" t="s">
        <v>90</v>
      </c>
      <c r="C4427" s="2" t="s">
        <v>42576</v>
      </c>
      <c r="D4427" s="2" t="s">
        <v>42577</v>
      </c>
      <c r="E4427" s="2" t="s">
        <v>42578</v>
      </c>
      <c r="G4427" s="3" t="s">
        <v>62</v>
      </c>
      <c r="I4427" s="3" t="s">
        <v>62</v>
      </c>
      <c r="J4427" s="3" t="s">
        <v>62</v>
      </c>
      <c r="K4427" s="3" t="s">
        <v>63</v>
      </c>
      <c r="L4427" s="2" t="s">
        <v>42579</v>
      </c>
      <c r="M4427" s="2" t="s">
        <v>42580</v>
      </c>
      <c r="N4427" s="3" t="s">
        <v>712</v>
      </c>
      <c r="P4427" s="3" t="s">
        <v>64</v>
      </c>
      <c r="Q4427" s="2" t="s">
        <v>42581</v>
      </c>
      <c r="R4427" s="3" t="s">
        <v>42369</v>
      </c>
      <c r="S4427" s="4">
        <v>0</v>
      </c>
      <c r="T4427" s="4">
        <v>0</v>
      </c>
      <c r="W4427" s="5" t="s">
        <v>67</v>
      </c>
      <c r="X4427" s="5" t="s">
        <v>67</v>
      </c>
      <c r="Y4427" s="4">
        <v>14</v>
      </c>
      <c r="Z4427" s="4">
        <v>3</v>
      </c>
      <c r="AA4427" s="4">
        <v>3</v>
      </c>
      <c r="AB4427" s="4">
        <v>1</v>
      </c>
      <c r="AC4427" s="4">
        <v>1</v>
      </c>
      <c r="AD4427" s="4">
        <v>2</v>
      </c>
      <c r="AE4427" s="4">
        <v>2</v>
      </c>
      <c r="AF4427" s="4">
        <v>0</v>
      </c>
      <c r="AG4427" s="4">
        <v>0</v>
      </c>
      <c r="AH4427" s="4">
        <v>2</v>
      </c>
      <c r="AI4427" s="4">
        <v>2</v>
      </c>
      <c r="AJ4427" s="4">
        <v>1</v>
      </c>
      <c r="AK4427" s="4">
        <v>1</v>
      </c>
      <c r="AL4427" s="4">
        <v>1</v>
      </c>
      <c r="AM4427" s="4">
        <v>1</v>
      </c>
      <c r="AN4427" s="4">
        <v>0</v>
      </c>
      <c r="AO4427" s="4">
        <v>0</v>
      </c>
      <c r="AP4427" s="4">
        <v>1</v>
      </c>
      <c r="AQ4427" s="4">
        <v>1</v>
      </c>
      <c r="AR4427" s="3" t="s">
        <v>62</v>
      </c>
      <c r="AS4427" s="3" t="s">
        <v>62</v>
      </c>
      <c r="AT4427" s="3" t="s">
        <v>62</v>
      </c>
      <c r="AV4427" s="6" t="str">
        <f>HYPERLINK("http://mcgill.on.worldcat.org/oclc/864788414","Catalog Record")</f>
        <v>Catalog Record</v>
      </c>
      <c r="AW4427" s="6" t="str">
        <f>HYPERLINK("http://www.worldcat.org/oclc/864788414","WorldCat Record")</f>
        <v>WorldCat Record</v>
      </c>
      <c r="AX4427" s="3" t="s">
        <v>42582</v>
      </c>
      <c r="AY4427" s="3" t="s">
        <v>42583</v>
      </c>
      <c r="AZ4427" s="3" t="s">
        <v>42584</v>
      </c>
      <c r="BA4427" s="3" t="s">
        <v>42584</v>
      </c>
      <c r="BB4427" s="3" t="s">
        <v>42585</v>
      </c>
      <c r="BC4427" s="3" t="s">
        <v>102</v>
      </c>
      <c r="BD4427" s="3" t="s">
        <v>68</v>
      </c>
      <c r="BE4427" s="3" t="s">
        <v>42586</v>
      </c>
      <c r="BF4427" s="3" t="s">
        <v>42585</v>
      </c>
      <c r="BG4427" s="3" t="s">
        <v>42587</v>
      </c>
    </row>
    <row r="4428" spans="1:59" ht="58" x14ac:dyDescent="0.35">
      <c r="A4428" s="2" t="s">
        <v>59</v>
      </c>
      <c r="B4428" s="2" t="s">
        <v>60</v>
      </c>
      <c r="C4428" s="2" t="s">
        <v>42588</v>
      </c>
      <c r="D4428" s="2" t="s">
        <v>42589</v>
      </c>
      <c r="E4428" s="2" t="s">
        <v>42590</v>
      </c>
      <c r="G4428" s="3" t="s">
        <v>62</v>
      </c>
      <c r="I4428" s="3" t="s">
        <v>62</v>
      </c>
      <c r="J4428" s="3" t="s">
        <v>62</v>
      </c>
      <c r="K4428" s="3" t="s">
        <v>63</v>
      </c>
      <c r="L4428" s="2" t="s">
        <v>42591</v>
      </c>
      <c r="M4428" s="2" t="s">
        <v>42592</v>
      </c>
      <c r="N4428" s="3" t="s">
        <v>115</v>
      </c>
      <c r="P4428" s="3" t="s">
        <v>64</v>
      </c>
      <c r="R4428" s="3" t="s">
        <v>42369</v>
      </c>
      <c r="S4428" s="4">
        <v>5</v>
      </c>
      <c r="T4428" s="4">
        <v>5</v>
      </c>
      <c r="U4428" s="5" t="s">
        <v>1579</v>
      </c>
      <c r="V4428" s="5" t="s">
        <v>1579</v>
      </c>
      <c r="W4428" s="5" t="s">
        <v>67</v>
      </c>
      <c r="X4428" s="5" t="s">
        <v>67</v>
      </c>
      <c r="Y4428" s="4">
        <v>160</v>
      </c>
      <c r="Z4428" s="4">
        <v>10</v>
      </c>
      <c r="AA4428" s="4">
        <v>12</v>
      </c>
      <c r="AB4428" s="4">
        <v>1</v>
      </c>
      <c r="AC4428" s="4">
        <v>2</v>
      </c>
      <c r="AD4428" s="4">
        <v>13</v>
      </c>
      <c r="AE4428" s="4">
        <v>15</v>
      </c>
      <c r="AF4428" s="4">
        <v>0</v>
      </c>
      <c r="AG4428" s="4">
        <v>0</v>
      </c>
      <c r="AH4428" s="4">
        <v>11</v>
      </c>
      <c r="AI4428" s="4">
        <v>13</v>
      </c>
      <c r="AJ4428" s="4">
        <v>2</v>
      </c>
      <c r="AK4428" s="4">
        <v>3</v>
      </c>
      <c r="AL4428" s="4">
        <v>7</v>
      </c>
      <c r="AM4428" s="4">
        <v>8</v>
      </c>
      <c r="AN4428" s="4">
        <v>0</v>
      </c>
      <c r="AO4428" s="4">
        <v>1</v>
      </c>
      <c r="AP4428" s="4">
        <v>2</v>
      </c>
      <c r="AQ4428" s="4">
        <v>3</v>
      </c>
      <c r="AR4428" s="3" t="s">
        <v>62</v>
      </c>
      <c r="AS4428" s="3" t="s">
        <v>62</v>
      </c>
      <c r="AT4428" s="3" t="s">
        <v>62</v>
      </c>
      <c r="AV4428" s="6" t="str">
        <f>HYPERLINK("http://mcgill.on.worldcat.org/oclc/23941824","Catalog Record")</f>
        <v>Catalog Record</v>
      </c>
      <c r="AW4428" s="6" t="str">
        <f>HYPERLINK("http://www.worldcat.org/oclc/23941824","WorldCat Record")</f>
        <v>WorldCat Record</v>
      </c>
      <c r="AX4428" s="3" t="s">
        <v>42593</v>
      </c>
      <c r="AY4428" s="3" t="s">
        <v>42594</v>
      </c>
      <c r="AZ4428" s="3" t="s">
        <v>42595</v>
      </c>
      <c r="BA4428" s="3" t="s">
        <v>42595</v>
      </c>
      <c r="BB4428" s="3" t="s">
        <v>42596</v>
      </c>
      <c r="BC4428" s="3" t="s">
        <v>102</v>
      </c>
      <c r="BD4428" s="3" t="s">
        <v>68</v>
      </c>
      <c r="BE4428" s="3" t="s">
        <v>42597</v>
      </c>
      <c r="BF4428" s="3" t="s">
        <v>42596</v>
      </c>
      <c r="BG4428" s="3" t="s">
        <v>42598</v>
      </c>
    </row>
    <row r="4429" spans="1:59" ht="58" x14ac:dyDescent="0.35">
      <c r="A4429" s="2" t="s">
        <v>89</v>
      </c>
      <c r="B4429" s="2" t="s">
        <v>90</v>
      </c>
      <c r="C4429" s="2" t="s">
        <v>42599</v>
      </c>
      <c r="D4429" s="2" t="s">
        <v>42600</v>
      </c>
      <c r="E4429" s="2" t="s">
        <v>42601</v>
      </c>
      <c r="G4429" s="3" t="s">
        <v>62</v>
      </c>
      <c r="I4429" s="3" t="s">
        <v>62</v>
      </c>
      <c r="J4429" s="3" t="s">
        <v>62</v>
      </c>
      <c r="K4429" s="3" t="s">
        <v>63</v>
      </c>
      <c r="L4429" s="2" t="s">
        <v>42602</v>
      </c>
      <c r="M4429" s="2" t="s">
        <v>42603</v>
      </c>
      <c r="N4429" s="3" t="s">
        <v>2085</v>
      </c>
      <c r="P4429" s="3" t="s">
        <v>64</v>
      </c>
      <c r="Q4429" s="2" t="s">
        <v>42604</v>
      </c>
      <c r="R4429" s="3" t="s">
        <v>42369</v>
      </c>
      <c r="S4429" s="4">
        <v>1</v>
      </c>
      <c r="T4429" s="4">
        <v>1</v>
      </c>
      <c r="U4429" s="5" t="s">
        <v>6279</v>
      </c>
      <c r="V4429" s="5" t="s">
        <v>6279</v>
      </c>
      <c r="W4429" s="5" t="s">
        <v>67</v>
      </c>
      <c r="X4429" s="5" t="s">
        <v>67</v>
      </c>
      <c r="Y4429" s="4">
        <v>66</v>
      </c>
      <c r="Z4429" s="4">
        <v>28</v>
      </c>
      <c r="AA4429" s="4">
        <v>99</v>
      </c>
      <c r="AB4429" s="4">
        <v>4</v>
      </c>
      <c r="AC4429" s="4">
        <v>18</v>
      </c>
      <c r="AD4429" s="4">
        <v>30</v>
      </c>
      <c r="AE4429" s="4">
        <v>104</v>
      </c>
      <c r="AF4429" s="4">
        <v>2</v>
      </c>
      <c r="AG4429" s="4">
        <v>8</v>
      </c>
      <c r="AH4429" s="4">
        <v>19</v>
      </c>
      <c r="AI4429" s="4">
        <v>62</v>
      </c>
      <c r="AJ4429" s="4">
        <v>8</v>
      </c>
      <c r="AK4429" s="4">
        <v>25</v>
      </c>
      <c r="AL4429" s="4">
        <v>12</v>
      </c>
      <c r="AM4429" s="4">
        <v>31</v>
      </c>
      <c r="AN4429" s="4">
        <v>0</v>
      </c>
      <c r="AO4429" s="4">
        <v>0</v>
      </c>
      <c r="AP4429" s="4">
        <v>14</v>
      </c>
      <c r="AQ4429" s="4">
        <v>49</v>
      </c>
      <c r="AR4429" s="3" t="s">
        <v>61</v>
      </c>
      <c r="AS4429" s="3" t="s">
        <v>62</v>
      </c>
      <c r="AT4429" s="3" t="s">
        <v>62</v>
      </c>
      <c r="AV4429" s="6" t="str">
        <f>HYPERLINK("http://mcgill.on.worldcat.org/oclc/1013499226","Catalog Record")</f>
        <v>Catalog Record</v>
      </c>
      <c r="AW4429" s="6" t="str">
        <f>HYPERLINK("http://www.worldcat.org/oclc/1013499226","WorldCat Record")</f>
        <v>WorldCat Record</v>
      </c>
      <c r="AX4429" s="3" t="s">
        <v>42605</v>
      </c>
      <c r="AY4429" s="3" t="s">
        <v>42606</v>
      </c>
      <c r="AZ4429" s="3" t="s">
        <v>42607</v>
      </c>
      <c r="BA4429" s="3" t="s">
        <v>42607</v>
      </c>
      <c r="BB4429" s="3" t="s">
        <v>42608</v>
      </c>
      <c r="BC4429" s="3" t="s">
        <v>102</v>
      </c>
      <c r="BD4429" s="3" t="s">
        <v>68</v>
      </c>
      <c r="BE4429" s="3" t="s">
        <v>42609</v>
      </c>
      <c r="BF4429" s="3" t="s">
        <v>42608</v>
      </c>
      <c r="BG4429" s="3" t="s">
        <v>42610</v>
      </c>
    </row>
    <row r="4430" spans="1:59" ht="58" x14ac:dyDescent="0.35">
      <c r="A4430" s="2" t="s">
        <v>89</v>
      </c>
      <c r="B4430" s="2" t="s">
        <v>90</v>
      </c>
      <c r="C4430" s="2" t="s">
        <v>42611</v>
      </c>
      <c r="D4430" s="2" t="s">
        <v>42612</v>
      </c>
      <c r="E4430" s="2" t="s">
        <v>42613</v>
      </c>
      <c r="G4430" s="3" t="s">
        <v>62</v>
      </c>
      <c r="H4430" s="3" t="s">
        <v>916</v>
      </c>
      <c r="I4430" s="3" t="s">
        <v>62</v>
      </c>
      <c r="J4430" s="3" t="s">
        <v>62</v>
      </c>
      <c r="K4430" s="3" t="s">
        <v>63</v>
      </c>
      <c r="L4430" s="2" t="s">
        <v>42614</v>
      </c>
      <c r="M4430" s="2" t="s">
        <v>42615</v>
      </c>
      <c r="N4430" s="3" t="s">
        <v>741</v>
      </c>
      <c r="P4430" s="3" t="s">
        <v>64</v>
      </c>
      <c r="R4430" s="3" t="s">
        <v>42369</v>
      </c>
      <c r="S4430" s="4">
        <v>0</v>
      </c>
      <c r="T4430" s="4">
        <v>0</v>
      </c>
      <c r="W4430" s="5" t="s">
        <v>42616</v>
      </c>
      <c r="X4430" s="5" t="s">
        <v>42616</v>
      </c>
      <c r="Y4430" s="4">
        <v>49</v>
      </c>
      <c r="Z4430" s="4">
        <v>3</v>
      </c>
      <c r="AA4430" s="4">
        <v>15</v>
      </c>
      <c r="AB4430" s="4">
        <v>1</v>
      </c>
      <c r="AC4430" s="4">
        <v>8</v>
      </c>
      <c r="AD4430" s="4">
        <v>20</v>
      </c>
      <c r="AE4430" s="4">
        <v>38</v>
      </c>
      <c r="AF4430" s="4">
        <v>0</v>
      </c>
      <c r="AG4430" s="4">
        <v>4</v>
      </c>
      <c r="AH4430" s="4">
        <v>18</v>
      </c>
      <c r="AI4430" s="4">
        <v>30</v>
      </c>
      <c r="AJ4430" s="4">
        <v>1</v>
      </c>
      <c r="AK4430" s="4">
        <v>7</v>
      </c>
      <c r="AL4430" s="4">
        <v>15</v>
      </c>
      <c r="AM4430" s="4">
        <v>21</v>
      </c>
      <c r="AN4430" s="4">
        <v>0</v>
      </c>
      <c r="AO4430" s="4">
        <v>0</v>
      </c>
      <c r="AP4430" s="4">
        <v>1</v>
      </c>
      <c r="AQ4430" s="4">
        <v>9</v>
      </c>
      <c r="AR4430" s="3" t="s">
        <v>62</v>
      </c>
      <c r="AS4430" s="3" t="s">
        <v>62</v>
      </c>
      <c r="AT4430" s="3" t="s">
        <v>62</v>
      </c>
      <c r="AV4430" s="6" t="str">
        <f>HYPERLINK("http://mcgill.on.worldcat.org/oclc/1077483437","Catalog Record")</f>
        <v>Catalog Record</v>
      </c>
      <c r="AW4430" s="6" t="str">
        <f>HYPERLINK("http://www.worldcat.org/oclc/1077483437","WorldCat Record")</f>
        <v>WorldCat Record</v>
      </c>
      <c r="AX4430" s="3" t="s">
        <v>42617</v>
      </c>
      <c r="AY4430" s="3" t="s">
        <v>42618</v>
      </c>
      <c r="AZ4430" s="3" t="s">
        <v>42619</v>
      </c>
      <c r="BA4430" s="3" t="s">
        <v>42619</v>
      </c>
      <c r="BB4430" s="3" t="s">
        <v>42620</v>
      </c>
      <c r="BC4430" s="3" t="s">
        <v>102</v>
      </c>
      <c r="BD4430" s="3" t="s">
        <v>68</v>
      </c>
      <c r="BE4430" s="3" t="s">
        <v>42621</v>
      </c>
      <c r="BF4430" s="3" t="s">
        <v>42620</v>
      </c>
      <c r="BG4430" s="3" t="s">
        <v>42622</v>
      </c>
    </row>
    <row r="4431" spans="1:59" ht="58" x14ac:dyDescent="0.35">
      <c r="A4431" s="2" t="s">
        <v>89</v>
      </c>
      <c r="B4431" s="2" t="s">
        <v>90</v>
      </c>
      <c r="C4431" s="2" t="s">
        <v>42623</v>
      </c>
      <c r="D4431" s="2" t="s">
        <v>42624</v>
      </c>
      <c r="E4431" s="2" t="s">
        <v>42625</v>
      </c>
      <c r="G4431" s="3" t="s">
        <v>62</v>
      </c>
      <c r="I4431" s="3" t="s">
        <v>62</v>
      </c>
      <c r="J4431" s="3" t="s">
        <v>62</v>
      </c>
      <c r="K4431" s="3" t="s">
        <v>63</v>
      </c>
      <c r="L4431" s="2" t="s">
        <v>42626</v>
      </c>
      <c r="M4431" s="2" t="s">
        <v>42627</v>
      </c>
      <c r="N4431" s="3" t="s">
        <v>2000</v>
      </c>
      <c r="P4431" s="3" t="s">
        <v>64</v>
      </c>
      <c r="R4431" s="3" t="s">
        <v>42369</v>
      </c>
      <c r="S4431" s="4">
        <v>38</v>
      </c>
      <c r="T4431" s="4">
        <v>38</v>
      </c>
      <c r="U4431" s="5" t="s">
        <v>2245</v>
      </c>
      <c r="V4431" s="5" t="s">
        <v>2245</v>
      </c>
      <c r="W4431" s="5" t="s">
        <v>67</v>
      </c>
      <c r="X4431" s="5" t="s">
        <v>67</v>
      </c>
      <c r="Y4431" s="4">
        <v>218</v>
      </c>
      <c r="Z4431" s="4">
        <v>9</v>
      </c>
      <c r="AA4431" s="4">
        <v>21</v>
      </c>
      <c r="AB4431" s="4">
        <v>1</v>
      </c>
      <c r="AC4431" s="4">
        <v>1</v>
      </c>
      <c r="AD4431" s="4">
        <v>44</v>
      </c>
      <c r="AE4431" s="4">
        <v>99</v>
      </c>
      <c r="AF4431" s="4">
        <v>0</v>
      </c>
      <c r="AG4431" s="4">
        <v>0</v>
      </c>
      <c r="AH4431" s="4">
        <v>38</v>
      </c>
      <c r="AI4431" s="4">
        <v>88</v>
      </c>
      <c r="AJ4431" s="4">
        <v>6</v>
      </c>
      <c r="AK4431" s="4">
        <v>13</v>
      </c>
      <c r="AL4431" s="4">
        <v>17</v>
      </c>
      <c r="AM4431" s="4">
        <v>47</v>
      </c>
      <c r="AN4431" s="4">
        <v>0</v>
      </c>
      <c r="AO4431" s="4">
        <v>0</v>
      </c>
      <c r="AP4431" s="4">
        <v>8</v>
      </c>
      <c r="AQ4431" s="4">
        <v>17</v>
      </c>
      <c r="AR4431" s="3" t="s">
        <v>62</v>
      </c>
      <c r="AS4431" s="3" t="s">
        <v>62</v>
      </c>
      <c r="AT4431" s="3" t="s">
        <v>62</v>
      </c>
      <c r="AV4431" s="6" t="str">
        <f>HYPERLINK("http://mcgill.on.worldcat.org/oclc/34576850","Catalog Record")</f>
        <v>Catalog Record</v>
      </c>
      <c r="AW4431" s="6" t="str">
        <f>HYPERLINK("http://www.worldcat.org/oclc/34576850","WorldCat Record")</f>
        <v>WorldCat Record</v>
      </c>
      <c r="AX4431" s="3" t="s">
        <v>42628</v>
      </c>
      <c r="AY4431" s="3" t="s">
        <v>42629</v>
      </c>
      <c r="AZ4431" s="3" t="s">
        <v>42630</v>
      </c>
      <c r="BA4431" s="3" t="s">
        <v>42630</v>
      </c>
      <c r="BB4431" s="3" t="s">
        <v>42631</v>
      </c>
      <c r="BC4431" s="3" t="s">
        <v>102</v>
      </c>
      <c r="BD4431" s="3" t="s">
        <v>68</v>
      </c>
      <c r="BE4431" s="3" t="s">
        <v>42632</v>
      </c>
      <c r="BF4431" s="3" t="s">
        <v>42631</v>
      </c>
      <c r="BG4431" s="3" t="s">
        <v>42633</v>
      </c>
    </row>
    <row r="4432" spans="1:59" ht="58" x14ac:dyDescent="0.35">
      <c r="A4432" s="2" t="s">
        <v>89</v>
      </c>
      <c r="B4432" s="2" t="s">
        <v>90</v>
      </c>
      <c r="C4432" s="2" t="s">
        <v>42634</v>
      </c>
      <c r="D4432" s="2" t="s">
        <v>42635</v>
      </c>
      <c r="E4432" s="2" t="s">
        <v>42636</v>
      </c>
      <c r="G4432" s="3" t="s">
        <v>62</v>
      </c>
      <c r="I4432" s="3" t="s">
        <v>61</v>
      </c>
      <c r="J4432" s="3" t="s">
        <v>62</v>
      </c>
      <c r="K4432" s="3" t="s">
        <v>63</v>
      </c>
      <c r="M4432" s="2" t="s">
        <v>42637</v>
      </c>
      <c r="N4432" s="3" t="s">
        <v>2975</v>
      </c>
      <c r="P4432" s="3" t="s">
        <v>64</v>
      </c>
      <c r="R4432" s="3" t="s">
        <v>42369</v>
      </c>
      <c r="S4432" s="4">
        <v>9</v>
      </c>
      <c r="T4432" s="4">
        <v>36</v>
      </c>
      <c r="U4432" s="5" t="s">
        <v>32949</v>
      </c>
      <c r="V4432" s="5" t="s">
        <v>42638</v>
      </c>
      <c r="W4432" s="5" t="s">
        <v>67</v>
      </c>
      <c r="X4432" s="5" t="s">
        <v>67</v>
      </c>
      <c r="Y4432" s="4">
        <v>233</v>
      </c>
      <c r="Z4432" s="4">
        <v>22</v>
      </c>
      <c r="AA4432" s="4">
        <v>22</v>
      </c>
      <c r="AB4432" s="4">
        <v>3</v>
      </c>
      <c r="AC4432" s="4">
        <v>3</v>
      </c>
      <c r="AD4432" s="4">
        <v>78</v>
      </c>
      <c r="AE4432" s="4">
        <v>83</v>
      </c>
      <c r="AF4432" s="4">
        <v>1</v>
      </c>
      <c r="AG4432" s="4">
        <v>1</v>
      </c>
      <c r="AH4432" s="4">
        <v>70</v>
      </c>
      <c r="AI4432" s="4">
        <v>74</v>
      </c>
      <c r="AJ4432" s="4">
        <v>16</v>
      </c>
      <c r="AK4432" s="4">
        <v>16</v>
      </c>
      <c r="AL4432" s="4">
        <v>37</v>
      </c>
      <c r="AM4432" s="4">
        <v>42</v>
      </c>
      <c r="AN4432" s="4">
        <v>0</v>
      </c>
      <c r="AO4432" s="4">
        <v>0</v>
      </c>
      <c r="AP4432" s="4">
        <v>17</v>
      </c>
      <c r="AQ4432" s="4">
        <v>17</v>
      </c>
      <c r="AR4432" s="3" t="s">
        <v>62</v>
      </c>
      <c r="AS4432" s="3" t="s">
        <v>62</v>
      </c>
      <c r="AT4432" s="3" t="s">
        <v>61</v>
      </c>
      <c r="AU4432" s="6" t="str">
        <f>HYPERLINK("http://catalog.hathitrust.org/Record/004175161","HathiTrust Record")</f>
        <v>HathiTrust Record</v>
      </c>
      <c r="AV4432" s="6" t="str">
        <f>HYPERLINK("http://mcgill.on.worldcat.org/oclc/46984498","Catalog Record")</f>
        <v>Catalog Record</v>
      </c>
      <c r="AW4432" s="6" t="str">
        <f>HYPERLINK("http://www.worldcat.org/oclc/46984498","WorldCat Record")</f>
        <v>WorldCat Record</v>
      </c>
      <c r="AX4432" s="3" t="s">
        <v>42639</v>
      </c>
      <c r="AY4432" s="3" t="s">
        <v>42640</v>
      </c>
      <c r="AZ4432" s="3" t="s">
        <v>42641</v>
      </c>
      <c r="BA4432" s="3" t="s">
        <v>42641</v>
      </c>
      <c r="BB4432" s="3" t="s">
        <v>42642</v>
      </c>
      <c r="BC4432" s="3" t="s">
        <v>102</v>
      </c>
      <c r="BD4432" s="3" t="s">
        <v>68</v>
      </c>
      <c r="BE4432" s="3" t="s">
        <v>42643</v>
      </c>
      <c r="BF4432" s="3" t="s">
        <v>42642</v>
      </c>
      <c r="BG4432" s="3" t="s">
        <v>42644</v>
      </c>
    </row>
    <row r="4433" spans="1:59" ht="58" x14ac:dyDescent="0.35">
      <c r="A4433" s="2" t="s">
        <v>89</v>
      </c>
      <c r="B4433" s="2" t="s">
        <v>90</v>
      </c>
      <c r="C4433" s="2" t="s">
        <v>42634</v>
      </c>
      <c r="D4433" s="2" t="s">
        <v>42635</v>
      </c>
      <c r="E4433" s="2" t="s">
        <v>42636</v>
      </c>
      <c r="G4433" s="3" t="s">
        <v>62</v>
      </c>
      <c r="I4433" s="3" t="s">
        <v>61</v>
      </c>
      <c r="J4433" s="3" t="s">
        <v>62</v>
      </c>
      <c r="K4433" s="3" t="s">
        <v>63</v>
      </c>
      <c r="M4433" s="2" t="s">
        <v>42637</v>
      </c>
      <c r="N4433" s="3" t="s">
        <v>2975</v>
      </c>
      <c r="P4433" s="3" t="s">
        <v>64</v>
      </c>
      <c r="R4433" s="3" t="s">
        <v>42369</v>
      </c>
      <c r="S4433" s="4">
        <v>27</v>
      </c>
      <c r="T4433" s="4">
        <v>36</v>
      </c>
      <c r="U4433" s="5" t="s">
        <v>42638</v>
      </c>
      <c r="V4433" s="5" t="s">
        <v>42638</v>
      </c>
      <c r="W4433" s="5" t="s">
        <v>67</v>
      </c>
      <c r="X4433" s="5" t="s">
        <v>67</v>
      </c>
      <c r="Y4433" s="4">
        <v>233</v>
      </c>
      <c r="Z4433" s="4">
        <v>22</v>
      </c>
      <c r="AA4433" s="4">
        <v>22</v>
      </c>
      <c r="AB4433" s="4">
        <v>3</v>
      </c>
      <c r="AC4433" s="4">
        <v>3</v>
      </c>
      <c r="AD4433" s="4">
        <v>78</v>
      </c>
      <c r="AE4433" s="4">
        <v>83</v>
      </c>
      <c r="AF4433" s="4">
        <v>1</v>
      </c>
      <c r="AG4433" s="4">
        <v>1</v>
      </c>
      <c r="AH4433" s="4">
        <v>70</v>
      </c>
      <c r="AI4433" s="4">
        <v>74</v>
      </c>
      <c r="AJ4433" s="4">
        <v>16</v>
      </c>
      <c r="AK4433" s="4">
        <v>16</v>
      </c>
      <c r="AL4433" s="4">
        <v>37</v>
      </c>
      <c r="AM4433" s="4">
        <v>42</v>
      </c>
      <c r="AN4433" s="4">
        <v>0</v>
      </c>
      <c r="AO4433" s="4">
        <v>0</v>
      </c>
      <c r="AP4433" s="4">
        <v>17</v>
      </c>
      <c r="AQ4433" s="4">
        <v>17</v>
      </c>
      <c r="AR4433" s="3" t="s">
        <v>62</v>
      </c>
      <c r="AS4433" s="3" t="s">
        <v>62</v>
      </c>
      <c r="AT4433" s="3" t="s">
        <v>61</v>
      </c>
      <c r="AU4433" s="6" t="str">
        <f>HYPERLINK("http://catalog.hathitrust.org/Record/004175161","HathiTrust Record")</f>
        <v>HathiTrust Record</v>
      </c>
      <c r="AV4433" s="6" t="str">
        <f>HYPERLINK("http://mcgill.on.worldcat.org/oclc/46984498","Catalog Record")</f>
        <v>Catalog Record</v>
      </c>
      <c r="AW4433" s="6" t="str">
        <f>HYPERLINK("http://www.worldcat.org/oclc/46984498","WorldCat Record")</f>
        <v>WorldCat Record</v>
      </c>
      <c r="AX4433" s="3" t="s">
        <v>42639</v>
      </c>
      <c r="AY4433" s="3" t="s">
        <v>42640</v>
      </c>
      <c r="AZ4433" s="3" t="s">
        <v>42641</v>
      </c>
      <c r="BA4433" s="3" t="s">
        <v>42641</v>
      </c>
      <c r="BB4433" s="3" t="s">
        <v>42645</v>
      </c>
      <c r="BC4433" s="3" t="s">
        <v>102</v>
      </c>
      <c r="BD4433" s="3" t="s">
        <v>68</v>
      </c>
      <c r="BE4433" s="3" t="s">
        <v>42643</v>
      </c>
      <c r="BF4433" s="3" t="s">
        <v>42645</v>
      </c>
      <c r="BG4433" s="3" t="s">
        <v>42646</v>
      </c>
    </row>
    <row r="4434" spans="1:59" ht="58" x14ac:dyDescent="0.35">
      <c r="A4434" s="2" t="s">
        <v>89</v>
      </c>
      <c r="B4434" s="2" t="s">
        <v>90</v>
      </c>
      <c r="C4434" s="2" t="s">
        <v>42647</v>
      </c>
      <c r="D4434" s="2" t="s">
        <v>42648</v>
      </c>
      <c r="E4434" s="2" t="s">
        <v>42649</v>
      </c>
      <c r="G4434" s="3" t="s">
        <v>62</v>
      </c>
      <c r="I4434" s="3" t="s">
        <v>62</v>
      </c>
      <c r="J4434" s="3" t="s">
        <v>62</v>
      </c>
      <c r="K4434" s="3" t="s">
        <v>63</v>
      </c>
      <c r="L4434" s="2" t="s">
        <v>42650</v>
      </c>
      <c r="M4434" s="2" t="s">
        <v>42651</v>
      </c>
      <c r="N4434" s="3" t="s">
        <v>1038</v>
      </c>
      <c r="P4434" s="3" t="s">
        <v>64</v>
      </c>
      <c r="R4434" s="3" t="s">
        <v>42369</v>
      </c>
      <c r="S4434" s="4">
        <v>14</v>
      </c>
      <c r="T4434" s="4">
        <v>14</v>
      </c>
      <c r="U4434" s="5" t="s">
        <v>8111</v>
      </c>
      <c r="V4434" s="5" t="s">
        <v>8111</v>
      </c>
      <c r="W4434" s="5" t="s">
        <v>67</v>
      </c>
      <c r="X4434" s="5" t="s">
        <v>67</v>
      </c>
      <c r="Y4434" s="4">
        <v>22</v>
      </c>
      <c r="Z4434" s="4">
        <v>2</v>
      </c>
      <c r="AA4434" s="4">
        <v>2</v>
      </c>
      <c r="AB4434" s="4">
        <v>1</v>
      </c>
      <c r="AC4434" s="4">
        <v>1</v>
      </c>
      <c r="AD4434" s="4">
        <v>5</v>
      </c>
      <c r="AE4434" s="4">
        <v>5</v>
      </c>
      <c r="AF4434" s="4">
        <v>0</v>
      </c>
      <c r="AG4434" s="4">
        <v>0</v>
      </c>
      <c r="AH4434" s="4">
        <v>3</v>
      </c>
      <c r="AI4434" s="4">
        <v>3</v>
      </c>
      <c r="AJ4434" s="4">
        <v>1</v>
      </c>
      <c r="AK4434" s="4">
        <v>1</v>
      </c>
      <c r="AL4434" s="4">
        <v>2</v>
      </c>
      <c r="AM4434" s="4">
        <v>2</v>
      </c>
      <c r="AN4434" s="4">
        <v>0</v>
      </c>
      <c r="AO4434" s="4">
        <v>0</v>
      </c>
      <c r="AP4434" s="4">
        <v>1</v>
      </c>
      <c r="AQ4434" s="4">
        <v>1</v>
      </c>
      <c r="AR4434" s="3" t="s">
        <v>62</v>
      </c>
      <c r="AS4434" s="3" t="s">
        <v>62</v>
      </c>
      <c r="AT4434" s="3" t="s">
        <v>62</v>
      </c>
      <c r="AV4434" s="6" t="str">
        <f>HYPERLINK("http://mcgill.on.worldcat.org/oclc/969240979","Catalog Record")</f>
        <v>Catalog Record</v>
      </c>
      <c r="AW4434" s="6" t="str">
        <f>HYPERLINK("http://www.worldcat.org/oclc/969240979","WorldCat Record")</f>
        <v>WorldCat Record</v>
      </c>
      <c r="AX4434" s="3" t="s">
        <v>42652</v>
      </c>
      <c r="AY4434" s="3" t="s">
        <v>42653</v>
      </c>
      <c r="AZ4434" s="3" t="s">
        <v>42654</v>
      </c>
      <c r="BA4434" s="3" t="s">
        <v>42654</v>
      </c>
      <c r="BB4434" s="3" t="s">
        <v>42655</v>
      </c>
      <c r="BC4434" s="3" t="s">
        <v>102</v>
      </c>
      <c r="BD4434" s="3" t="s">
        <v>231</v>
      </c>
      <c r="BE4434" s="3" t="s">
        <v>42656</v>
      </c>
      <c r="BF4434" s="3" t="s">
        <v>42655</v>
      </c>
      <c r="BG4434" s="3" t="s">
        <v>42657</v>
      </c>
    </row>
    <row r="4435" spans="1:59" ht="58" x14ac:dyDescent="0.35">
      <c r="A4435" s="2" t="s">
        <v>89</v>
      </c>
      <c r="B4435" s="2" t="s">
        <v>90</v>
      </c>
      <c r="C4435" s="2" t="s">
        <v>42658</v>
      </c>
      <c r="D4435" s="2" t="s">
        <v>42659</v>
      </c>
      <c r="E4435" s="2" t="s">
        <v>42660</v>
      </c>
      <c r="G4435" s="3" t="s">
        <v>62</v>
      </c>
      <c r="I4435" s="3" t="s">
        <v>62</v>
      </c>
      <c r="J4435" s="3" t="s">
        <v>62</v>
      </c>
      <c r="K4435" s="3" t="s">
        <v>63</v>
      </c>
      <c r="L4435" s="2" t="s">
        <v>42661</v>
      </c>
      <c r="M4435" s="2" t="s">
        <v>42662</v>
      </c>
      <c r="N4435" s="3" t="s">
        <v>1038</v>
      </c>
      <c r="P4435" s="3" t="s">
        <v>64</v>
      </c>
      <c r="Q4435" s="2" t="s">
        <v>42663</v>
      </c>
      <c r="R4435" s="3" t="s">
        <v>42369</v>
      </c>
      <c r="S4435" s="4">
        <v>1</v>
      </c>
      <c r="T4435" s="4">
        <v>1</v>
      </c>
      <c r="U4435" s="5" t="s">
        <v>1579</v>
      </c>
      <c r="V4435" s="5" t="s">
        <v>1579</v>
      </c>
      <c r="W4435" s="5" t="s">
        <v>67</v>
      </c>
      <c r="X4435" s="5" t="s">
        <v>67</v>
      </c>
      <c r="Y4435" s="4">
        <v>72</v>
      </c>
      <c r="Z4435" s="4">
        <v>3</v>
      </c>
      <c r="AA4435" s="4">
        <v>9</v>
      </c>
      <c r="AB4435" s="4">
        <v>1</v>
      </c>
      <c r="AC4435" s="4">
        <v>4</v>
      </c>
      <c r="AD4435" s="4">
        <v>29</v>
      </c>
      <c r="AE4435" s="4">
        <v>36</v>
      </c>
      <c r="AF4435" s="4">
        <v>0</v>
      </c>
      <c r="AG4435" s="4">
        <v>2</v>
      </c>
      <c r="AH4435" s="4">
        <v>28</v>
      </c>
      <c r="AI4435" s="4">
        <v>33</v>
      </c>
      <c r="AJ4435" s="4">
        <v>1</v>
      </c>
      <c r="AK4435" s="4">
        <v>6</v>
      </c>
      <c r="AL4435" s="4">
        <v>27</v>
      </c>
      <c r="AM4435" s="4">
        <v>28</v>
      </c>
      <c r="AN4435" s="4">
        <v>0</v>
      </c>
      <c r="AO4435" s="4">
        <v>0</v>
      </c>
      <c r="AP4435" s="4">
        <v>1</v>
      </c>
      <c r="AQ4435" s="4">
        <v>6</v>
      </c>
      <c r="AR4435" s="3" t="s">
        <v>62</v>
      </c>
      <c r="AS4435" s="3" t="s">
        <v>62</v>
      </c>
      <c r="AT4435" s="3" t="s">
        <v>62</v>
      </c>
      <c r="AV4435" s="6" t="str">
        <f>HYPERLINK("http://mcgill.on.worldcat.org/oclc/936348983","Catalog Record")</f>
        <v>Catalog Record</v>
      </c>
      <c r="AW4435" s="6" t="str">
        <f>HYPERLINK("http://www.worldcat.org/oclc/936348983","WorldCat Record")</f>
        <v>WorldCat Record</v>
      </c>
      <c r="AX4435" s="3" t="s">
        <v>42664</v>
      </c>
      <c r="AY4435" s="3" t="s">
        <v>42665</v>
      </c>
      <c r="AZ4435" s="3" t="s">
        <v>42666</v>
      </c>
      <c r="BA4435" s="3" t="s">
        <v>42666</v>
      </c>
      <c r="BB4435" s="3" t="s">
        <v>42667</v>
      </c>
      <c r="BC4435" s="3" t="s">
        <v>102</v>
      </c>
      <c r="BD4435" s="3" t="s">
        <v>68</v>
      </c>
      <c r="BE4435" s="3" t="s">
        <v>42668</v>
      </c>
      <c r="BF4435" s="3" t="s">
        <v>42667</v>
      </c>
      <c r="BG4435" s="3" t="s">
        <v>42669</v>
      </c>
    </row>
    <row r="4436" spans="1:59" ht="58" x14ac:dyDescent="0.35">
      <c r="A4436" s="2" t="s">
        <v>59</v>
      </c>
      <c r="B4436" s="2" t="s">
        <v>60</v>
      </c>
      <c r="C4436" s="2" t="s">
        <v>42670</v>
      </c>
      <c r="D4436" s="2" t="s">
        <v>42671</v>
      </c>
      <c r="E4436" s="2" t="s">
        <v>42672</v>
      </c>
      <c r="G4436" s="3" t="s">
        <v>62</v>
      </c>
      <c r="I4436" s="3" t="s">
        <v>62</v>
      </c>
      <c r="J4436" s="3" t="s">
        <v>62</v>
      </c>
      <c r="K4436" s="3" t="s">
        <v>63</v>
      </c>
      <c r="L4436" s="2" t="s">
        <v>42673</v>
      </c>
      <c r="M4436" s="2" t="s">
        <v>42674</v>
      </c>
      <c r="N4436" s="3" t="s">
        <v>466</v>
      </c>
      <c r="P4436" s="3" t="s">
        <v>64</v>
      </c>
      <c r="R4436" s="3" t="s">
        <v>42369</v>
      </c>
      <c r="S4436" s="4">
        <v>2</v>
      </c>
      <c r="T4436" s="4">
        <v>2</v>
      </c>
      <c r="U4436" s="5" t="s">
        <v>10139</v>
      </c>
      <c r="V4436" s="5" t="s">
        <v>10139</v>
      </c>
      <c r="W4436" s="5" t="s">
        <v>67</v>
      </c>
      <c r="X4436" s="5" t="s">
        <v>67</v>
      </c>
      <c r="Y4436" s="4">
        <v>777</v>
      </c>
      <c r="Z4436" s="4">
        <v>30</v>
      </c>
      <c r="AA4436" s="4">
        <v>33</v>
      </c>
      <c r="AB4436" s="4">
        <v>2</v>
      </c>
      <c r="AC4436" s="4">
        <v>3</v>
      </c>
      <c r="AD4436" s="4">
        <v>61</v>
      </c>
      <c r="AE4436" s="4">
        <v>61</v>
      </c>
      <c r="AF4436" s="4">
        <v>0</v>
      </c>
      <c r="AG4436" s="4">
        <v>0</v>
      </c>
      <c r="AH4436" s="4">
        <v>55</v>
      </c>
      <c r="AI4436" s="4">
        <v>55</v>
      </c>
      <c r="AJ4436" s="4">
        <v>7</v>
      </c>
      <c r="AK4436" s="4">
        <v>7</v>
      </c>
      <c r="AL4436" s="4">
        <v>31</v>
      </c>
      <c r="AM4436" s="4">
        <v>31</v>
      </c>
      <c r="AN4436" s="4">
        <v>0</v>
      </c>
      <c r="AO4436" s="4">
        <v>0</v>
      </c>
      <c r="AP4436" s="4">
        <v>9</v>
      </c>
      <c r="AQ4436" s="4">
        <v>9</v>
      </c>
      <c r="AR4436" s="3" t="s">
        <v>62</v>
      </c>
      <c r="AS4436" s="3" t="s">
        <v>62</v>
      </c>
      <c r="AT4436" s="3" t="s">
        <v>61</v>
      </c>
      <c r="AU4436" s="6" t="str">
        <f>HYPERLINK("http://catalog.hathitrust.org/Record/009159142","HathiTrust Record")</f>
        <v>HathiTrust Record</v>
      </c>
      <c r="AV4436" s="6" t="str">
        <f>HYPERLINK("http://mcgill.on.worldcat.org/oclc/25915314","Catalog Record")</f>
        <v>Catalog Record</v>
      </c>
      <c r="AW4436" s="6" t="str">
        <f>HYPERLINK("http://www.worldcat.org/oclc/25915314","WorldCat Record")</f>
        <v>WorldCat Record</v>
      </c>
      <c r="AX4436" s="3" t="s">
        <v>42675</v>
      </c>
      <c r="AY4436" s="3" t="s">
        <v>42676</v>
      </c>
      <c r="AZ4436" s="3" t="s">
        <v>42677</v>
      </c>
      <c r="BA4436" s="3" t="s">
        <v>42677</v>
      </c>
      <c r="BB4436" s="3" t="s">
        <v>42678</v>
      </c>
      <c r="BC4436" s="3" t="s">
        <v>102</v>
      </c>
      <c r="BD4436" s="3" t="s">
        <v>68</v>
      </c>
      <c r="BE4436" s="3" t="s">
        <v>42679</v>
      </c>
      <c r="BF4436" s="3" t="s">
        <v>42678</v>
      </c>
      <c r="BG4436" s="3" t="s">
        <v>42680</v>
      </c>
    </row>
    <row r="4437" spans="1:59" ht="58" x14ac:dyDescent="0.35">
      <c r="A4437" s="2" t="s">
        <v>89</v>
      </c>
      <c r="B4437" s="2" t="s">
        <v>90</v>
      </c>
      <c r="C4437" s="2" t="s">
        <v>42681</v>
      </c>
      <c r="D4437" s="2" t="s">
        <v>42682</v>
      </c>
      <c r="E4437" s="2" t="s">
        <v>42683</v>
      </c>
      <c r="G4437" s="3" t="s">
        <v>62</v>
      </c>
      <c r="I4437" s="3" t="s">
        <v>62</v>
      </c>
      <c r="J4437" s="3" t="s">
        <v>62</v>
      </c>
      <c r="K4437" s="3" t="s">
        <v>63</v>
      </c>
      <c r="L4437" s="2" t="s">
        <v>42684</v>
      </c>
      <c r="M4437" s="2" t="s">
        <v>42685</v>
      </c>
      <c r="N4437" s="3" t="s">
        <v>568</v>
      </c>
      <c r="P4437" s="3" t="s">
        <v>64</v>
      </c>
      <c r="Q4437" s="2" t="s">
        <v>42686</v>
      </c>
      <c r="R4437" s="3" t="s">
        <v>42369</v>
      </c>
      <c r="S4437" s="4">
        <v>12</v>
      </c>
      <c r="T4437" s="4">
        <v>12</v>
      </c>
      <c r="U4437" s="5" t="s">
        <v>24180</v>
      </c>
      <c r="V4437" s="5" t="s">
        <v>24180</v>
      </c>
      <c r="W4437" s="5" t="s">
        <v>67</v>
      </c>
      <c r="X4437" s="5" t="s">
        <v>67</v>
      </c>
      <c r="Y4437" s="4">
        <v>239</v>
      </c>
      <c r="Z4437" s="4">
        <v>11</v>
      </c>
      <c r="AA4437" s="4">
        <v>11</v>
      </c>
      <c r="AB4437" s="4">
        <v>1</v>
      </c>
      <c r="AC4437" s="4">
        <v>1</v>
      </c>
      <c r="AD4437" s="4">
        <v>80</v>
      </c>
      <c r="AE4437" s="4">
        <v>82</v>
      </c>
      <c r="AF4437" s="4">
        <v>0</v>
      </c>
      <c r="AG4437" s="4">
        <v>0</v>
      </c>
      <c r="AH4437" s="4">
        <v>76</v>
      </c>
      <c r="AI4437" s="4">
        <v>78</v>
      </c>
      <c r="AJ4437" s="4">
        <v>7</v>
      </c>
      <c r="AK4437" s="4">
        <v>7</v>
      </c>
      <c r="AL4437" s="4">
        <v>43</v>
      </c>
      <c r="AM4437" s="4">
        <v>43</v>
      </c>
      <c r="AN4437" s="4">
        <v>0</v>
      </c>
      <c r="AO4437" s="4">
        <v>0</v>
      </c>
      <c r="AP4437" s="4">
        <v>9</v>
      </c>
      <c r="AQ4437" s="4">
        <v>9</v>
      </c>
      <c r="AR4437" s="3" t="s">
        <v>62</v>
      </c>
      <c r="AS4437" s="3" t="s">
        <v>62</v>
      </c>
      <c r="AT4437" s="3" t="s">
        <v>61</v>
      </c>
      <c r="AU4437" s="6" t="str">
        <f>HYPERLINK("http://catalog.hathitrust.org/Record/004208425","HathiTrust Record")</f>
        <v>HathiTrust Record</v>
      </c>
      <c r="AV4437" s="6" t="str">
        <f>HYPERLINK("http://mcgill.on.worldcat.org/oclc/44768909","Catalog Record")</f>
        <v>Catalog Record</v>
      </c>
      <c r="AW4437" s="6" t="str">
        <f>HYPERLINK("http://www.worldcat.org/oclc/44768909","WorldCat Record")</f>
        <v>WorldCat Record</v>
      </c>
      <c r="AX4437" s="3" t="s">
        <v>42687</v>
      </c>
      <c r="AY4437" s="3" t="s">
        <v>42688</v>
      </c>
      <c r="AZ4437" s="3" t="s">
        <v>42689</v>
      </c>
      <c r="BA4437" s="3" t="s">
        <v>42689</v>
      </c>
      <c r="BB4437" s="3" t="s">
        <v>42690</v>
      </c>
      <c r="BC4437" s="3" t="s">
        <v>102</v>
      </c>
      <c r="BD4437" s="3" t="s">
        <v>68</v>
      </c>
      <c r="BE4437" s="3" t="s">
        <v>42691</v>
      </c>
      <c r="BF4437" s="3" t="s">
        <v>42690</v>
      </c>
      <c r="BG4437" s="3" t="s">
        <v>42692</v>
      </c>
    </row>
    <row r="4438" spans="1:59" ht="58" x14ac:dyDescent="0.35">
      <c r="A4438" s="2" t="s">
        <v>89</v>
      </c>
      <c r="B4438" s="2" t="s">
        <v>90</v>
      </c>
      <c r="C4438" s="2" t="s">
        <v>42693</v>
      </c>
      <c r="D4438" s="2" t="s">
        <v>42694</v>
      </c>
      <c r="E4438" s="2" t="s">
        <v>42695</v>
      </c>
      <c r="G4438" s="3" t="s">
        <v>62</v>
      </c>
      <c r="I4438" s="3" t="s">
        <v>62</v>
      </c>
      <c r="J4438" s="3" t="s">
        <v>62</v>
      </c>
      <c r="K4438" s="3" t="s">
        <v>63</v>
      </c>
      <c r="M4438" s="2" t="s">
        <v>12716</v>
      </c>
      <c r="N4438" s="3" t="s">
        <v>568</v>
      </c>
      <c r="P4438" s="3" t="s">
        <v>64</v>
      </c>
      <c r="Q4438" s="2" t="s">
        <v>42696</v>
      </c>
      <c r="R4438" s="3" t="s">
        <v>42369</v>
      </c>
      <c r="S4438" s="4">
        <v>11</v>
      </c>
      <c r="T4438" s="4">
        <v>11</v>
      </c>
      <c r="U4438" s="5" t="s">
        <v>22044</v>
      </c>
      <c r="V4438" s="5" t="s">
        <v>22044</v>
      </c>
      <c r="W4438" s="5" t="s">
        <v>67</v>
      </c>
      <c r="X4438" s="5" t="s">
        <v>67</v>
      </c>
      <c r="Y4438" s="4">
        <v>271</v>
      </c>
      <c r="Z4438" s="4">
        <v>27</v>
      </c>
      <c r="AA4438" s="4">
        <v>117</v>
      </c>
      <c r="AB4438" s="4">
        <v>2</v>
      </c>
      <c r="AC4438" s="4">
        <v>19</v>
      </c>
      <c r="AD4438" s="4">
        <v>95</v>
      </c>
      <c r="AE4438" s="4">
        <v>142</v>
      </c>
      <c r="AF4438" s="4">
        <v>1</v>
      </c>
      <c r="AG4438" s="4">
        <v>8</v>
      </c>
      <c r="AH4438" s="4">
        <v>77</v>
      </c>
      <c r="AI4438" s="4">
        <v>100</v>
      </c>
      <c r="AJ4438" s="4">
        <v>15</v>
      </c>
      <c r="AK4438" s="4">
        <v>25</v>
      </c>
      <c r="AL4438" s="4">
        <v>41</v>
      </c>
      <c r="AM4438" s="4">
        <v>51</v>
      </c>
      <c r="AN4438" s="4">
        <v>0</v>
      </c>
      <c r="AO4438" s="4">
        <v>0</v>
      </c>
      <c r="AP4438" s="4">
        <v>23</v>
      </c>
      <c r="AQ4438" s="4">
        <v>50</v>
      </c>
      <c r="AR4438" s="3" t="s">
        <v>62</v>
      </c>
      <c r="AS4438" s="3" t="s">
        <v>62</v>
      </c>
      <c r="AT4438" s="3" t="s">
        <v>62</v>
      </c>
      <c r="AV4438" s="6" t="str">
        <f>HYPERLINK("http://mcgill.on.worldcat.org/oclc/43063309","Catalog Record")</f>
        <v>Catalog Record</v>
      </c>
      <c r="AW4438" s="6" t="str">
        <f>HYPERLINK("http://www.worldcat.org/oclc/43063309","WorldCat Record")</f>
        <v>WorldCat Record</v>
      </c>
      <c r="AX4438" s="3" t="s">
        <v>42697</v>
      </c>
      <c r="AY4438" s="3" t="s">
        <v>42698</v>
      </c>
      <c r="AZ4438" s="3" t="s">
        <v>42699</v>
      </c>
      <c r="BA4438" s="3" t="s">
        <v>42699</v>
      </c>
      <c r="BB4438" s="3" t="s">
        <v>42700</v>
      </c>
      <c r="BC4438" s="3" t="s">
        <v>102</v>
      </c>
      <c r="BD4438" s="3" t="s">
        <v>68</v>
      </c>
      <c r="BE4438" s="3" t="s">
        <v>42701</v>
      </c>
      <c r="BF4438" s="3" t="s">
        <v>42700</v>
      </c>
      <c r="BG4438" s="3" t="s">
        <v>42702</v>
      </c>
    </row>
    <row r="4439" spans="1:59" ht="58" x14ac:dyDescent="0.35">
      <c r="A4439" s="2" t="s">
        <v>89</v>
      </c>
      <c r="B4439" s="2" t="s">
        <v>90</v>
      </c>
      <c r="C4439" s="2" t="s">
        <v>42703</v>
      </c>
      <c r="D4439" s="2" t="s">
        <v>42704</v>
      </c>
      <c r="E4439" s="2" t="s">
        <v>42705</v>
      </c>
      <c r="G4439" s="3" t="s">
        <v>62</v>
      </c>
      <c r="I4439" s="3" t="s">
        <v>62</v>
      </c>
      <c r="J4439" s="3" t="s">
        <v>62</v>
      </c>
      <c r="K4439" s="3" t="s">
        <v>63</v>
      </c>
      <c r="M4439" s="2" t="s">
        <v>42706</v>
      </c>
      <c r="N4439" s="3" t="s">
        <v>129</v>
      </c>
      <c r="P4439" s="3" t="s">
        <v>64</v>
      </c>
      <c r="R4439" s="3" t="s">
        <v>42369</v>
      </c>
      <c r="S4439" s="4">
        <v>1</v>
      </c>
      <c r="T4439" s="4">
        <v>1</v>
      </c>
      <c r="U4439" s="5" t="s">
        <v>7038</v>
      </c>
      <c r="V4439" s="5" t="s">
        <v>7038</v>
      </c>
      <c r="W4439" s="5" t="s">
        <v>67</v>
      </c>
      <c r="X4439" s="5" t="s">
        <v>67</v>
      </c>
      <c r="Y4439" s="4">
        <v>7</v>
      </c>
      <c r="Z4439" s="4">
        <v>1</v>
      </c>
      <c r="AA4439" s="4">
        <v>1</v>
      </c>
      <c r="AB4439" s="4">
        <v>1</v>
      </c>
      <c r="AC4439" s="4">
        <v>1</v>
      </c>
      <c r="AD4439" s="4">
        <v>1</v>
      </c>
      <c r="AE4439" s="4">
        <v>1</v>
      </c>
      <c r="AF4439" s="4">
        <v>0</v>
      </c>
      <c r="AG4439" s="4">
        <v>0</v>
      </c>
      <c r="AH4439" s="4">
        <v>1</v>
      </c>
      <c r="AI4439" s="4">
        <v>1</v>
      </c>
      <c r="AJ4439" s="4">
        <v>0</v>
      </c>
      <c r="AK4439" s="4">
        <v>0</v>
      </c>
      <c r="AL4439" s="4">
        <v>0</v>
      </c>
      <c r="AM4439" s="4">
        <v>0</v>
      </c>
      <c r="AN4439" s="4">
        <v>0</v>
      </c>
      <c r="AO4439" s="4">
        <v>0</v>
      </c>
      <c r="AP4439" s="4">
        <v>0</v>
      </c>
      <c r="AQ4439" s="4">
        <v>0</v>
      </c>
      <c r="AR4439" s="3" t="s">
        <v>62</v>
      </c>
      <c r="AS4439" s="3" t="s">
        <v>62</v>
      </c>
      <c r="AT4439" s="3" t="s">
        <v>62</v>
      </c>
      <c r="AV4439" s="6" t="str">
        <f>HYPERLINK("http://mcgill.on.worldcat.org/oclc/897379196","Catalog Record")</f>
        <v>Catalog Record</v>
      </c>
      <c r="AW4439" s="6" t="str">
        <f>HYPERLINK("http://www.worldcat.org/oclc/897379196","WorldCat Record")</f>
        <v>WorldCat Record</v>
      </c>
      <c r="AX4439" s="3" t="s">
        <v>42707</v>
      </c>
      <c r="AY4439" s="3" t="s">
        <v>42708</v>
      </c>
      <c r="AZ4439" s="3" t="s">
        <v>42709</v>
      </c>
      <c r="BA4439" s="3" t="s">
        <v>42709</v>
      </c>
      <c r="BB4439" s="3" t="s">
        <v>42710</v>
      </c>
      <c r="BC4439" s="3" t="s">
        <v>102</v>
      </c>
      <c r="BD4439" s="3" t="s">
        <v>68</v>
      </c>
      <c r="BE4439" s="3" t="s">
        <v>42711</v>
      </c>
      <c r="BF4439" s="3" t="s">
        <v>42710</v>
      </c>
      <c r="BG4439" s="3" t="s">
        <v>42712</v>
      </c>
    </row>
    <row r="4440" spans="1:59" ht="58" x14ac:dyDescent="0.35">
      <c r="A4440" s="2" t="s">
        <v>89</v>
      </c>
      <c r="B4440" s="2" t="s">
        <v>90</v>
      </c>
      <c r="C4440" s="2" t="s">
        <v>42713</v>
      </c>
      <c r="D4440" s="2" t="s">
        <v>42714</v>
      </c>
      <c r="E4440" s="2" t="s">
        <v>42715</v>
      </c>
      <c r="G4440" s="3" t="s">
        <v>62</v>
      </c>
      <c r="I4440" s="3" t="s">
        <v>62</v>
      </c>
      <c r="J4440" s="3" t="s">
        <v>62</v>
      </c>
      <c r="K4440" s="3" t="s">
        <v>63</v>
      </c>
      <c r="M4440" s="2" t="s">
        <v>8661</v>
      </c>
      <c r="N4440" s="3" t="s">
        <v>509</v>
      </c>
      <c r="P4440" s="3" t="s">
        <v>64</v>
      </c>
      <c r="R4440" s="3" t="s">
        <v>42369</v>
      </c>
      <c r="S4440" s="4">
        <v>50</v>
      </c>
      <c r="T4440" s="4">
        <v>50</v>
      </c>
      <c r="U4440" s="5" t="s">
        <v>32680</v>
      </c>
      <c r="V4440" s="5" t="s">
        <v>32680</v>
      </c>
      <c r="W4440" s="5" t="s">
        <v>67</v>
      </c>
      <c r="X4440" s="5" t="s">
        <v>67</v>
      </c>
      <c r="Y4440" s="4">
        <v>252</v>
      </c>
      <c r="Z4440" s="4">
        <v>15</v>
      </c>
      <c r="AA4440" s="4">
        <v>83</v>
      </c>
      <c r="AB4440" s="4">
        <v>1</v>
      </c>
      <c r="AC4440" s="4">
        <v>15</v>
      </c>
      <c r="AD4440" s="4">
        <v>76</v>
      </c>
      <c r="AE4440" s="4">
        <v>132</v>
      </c>
      <c r="AF4440" s="4">
        <v>0</v>
      </c>
      <c r="AG4440" s="4">
        <v>8</v>
      </c>
      <c r="AH4440" s="4">
        <v>70</v>
      </c>
      <c r="AI4440" s="4">
        <v>95</v>
      </c>
      <c r="AJ4440" s="4">
        <v>9</v>
      </c>
      <c r="AK4440" s="4">
        <v>24</v>
      </c>
      <c r="AL4440" s="4">
        <v>42</v>
      </c>
      <c r="AM4440" s="4">
        <v>52</v>
      </c>
      <c r="AN4440" s="4">
        <v>0</v>
      </c>
      <c r="AO4440" s="4">
        <v>0</v>
      </c>
      <c r="AP4440" s="4">
        <v>12</v>
      </c>
      <c r="AQ4440" s="4">
        <v>45</v>
      </c>
      <c r="AR4440" s="3" t="s">
        <v>62</v>
      </c>
      <c r="AS4440" s="3" t="s">
        <v>62</v>
      </c>
      <c r="AT4440" s="3" t="s">
        <v>62</v>
      </c>
      <c r="AV4440" s="6" t="str">
        <f>HYPERLINK("http://mcgill.on.worldcat.org/oclc/27974254","Catalog Record")</f>
        <v>Catalog Record</v>
      </c>
      <c r="AW4440" s="6" t="str">
        <f>HYPERLINK("http://www.worldcat.org/oclc/27974254","WorldCat Record")</f>
        <v>WorldCat Record</v>
      </c>
      <c r="AX4440" s="3" t="s">
        <v>42716</v>
      </c>
      <c r="AY4440" s="3" t="s">
        <v>42717</v>
      </c>
      <c r="AZ4440" s="3" t="s">
        <v>42718</v>
      </c>
      <c r="BA4440" s="3" t="s">
        <v>42718</v>
      </c>
      <c r="BB4440" s="3" t="s">
        <v>42719</v>
      </c>
      <c r="BC4440" s="3" t="s">
        <v>102</v>
      </c>
      <c r="BD4440" s="3" t="s">
        <v>68</v>
      </c>
      <c r="BE4440" s="3" t="s">
        <v>42720</v>
      </c>
      <c r="BF4440" s="3" t="s">
        <v>42719</v>
      </c>
      <c r="BG4440" s="3" t="s">
        <v>42721</v>
      </c>
    </row>
    <row r="4441" spans="1:59" ht="58" x14ac:dyDescent="0.35">
      <c r="A4441" s="2" t="s">
        <v>89</v>
      </c>
      <c r="B4441" s="2" t="s">
        <v>90</v>
      </c>
      <c r="C4441" s="2" t="s">
        <v>42722</v>
      </c>
      <c r="D4441" s="2" t="s">
        <v>42723</v>
      </c>
      <c r="E4441" s="2" t="s">
        <v>42724</v>
      </c>
      <c r="G4441" s="3" t="s">
        <v>62</v>
      </c>
      <c r="I4441" s="3" t="s">
        <v>62</v>
      </c>
      <c r="J4441" s="3" t="s">
        <v>62</v>
      </c>
      <c r="K4441" s="3" t="s">
        <v>63</v>
      </c>
      <c r="L4441" s="2" t="s">
        <v>42725</v>
      </c>
      <c r="M4441" s="2" t="s">
        <v>42726</v>
      </c>
      <c r="N4441" s="3" t="s">
        <v>698</v>
      </c>
      <c r="P4441" s="3" t="s">
        <v>64</v>
      </c>
      <c r="R4441" s="3" t="s">
        <v>42369</v>
      </c>
      <c r="S4441" s="4">
        <v>2</v>
      </c>
      <c r="T4441" s="4">
        <v>2</v>
      </c>
      <c r="W4441" s="5" t="s">
        <v>67</v>
      </c>
      <c r="X4441" s="5" t="s">
        <v>67</v>
      </c>
      <c r="Y4441" s="4">
        <v>2</v>
      </c>
      <c r="Z4441" s="4">
        <v>1</v>
      </c>
      <c r="AA4441" s="4">
        <v>1</v>
      </c>
      <c r="AB4441" s="4">
        <v>1</v>
      </c>
      <c r="AC4441" s="4">
        <v>1</v>
      </c>
      <c r="AD4441" s="4">
        <v>0</v>
      </c>
      <c r="AE4441" s="4">
        <v>0</v>
      </c>
      <c r="AF4441" s="4">
        <v>0</v>
      </c>
      <c r="AG4441" s="4">
        <v>0</v>
      </c>
      <c r="AH4441" s="4">
        <v>0</v>
      </c>
      <c r="AI4441" s="4">
        <v>0</v>
      </c>
      <c r="AJ4441" s="4">
        <v>0</v>
      </c>
      <c r="AK4441" s="4">
        <v>0</v>
      </c>
      <c r="AL4441" s="4">
        <v>0</v>
      </c>
      <c r="AM4441" s="4">
        <v>0</v>
      </c>
      <c r="AN4441" s="4">
        <v>0</v>
      </c>
      <c r="AO4441" s="4">
        <v>0</v>
      </c>
      <c r="AP4441" s="4">
        <v>0</v>
      </c>
      <c r="AQ4441" s="4">
        <v>0</v>
      </c>
      <c r="AR4441" s="3" t="s">
        <v>62</v>
      </c>
      <c r="AS4441" s="3" t="s">
        <v>62</v>
      </c>
      <c r="AT4441" s="3" t="s">
        <v>62</v>
      </c>
      <c r="AV4441" s="6" t="str">
        <f>HYPERLINK("http://mcgill.on.worldcat.org/oclc/1042352467","Catalog Record")</f>
        <v>Catalog Record</v>
      </c>
      <c r="AW4441" s="6" t="str">
        <f>HYPERLINK("http://www.worldcat.org/oclc/1042352467","WorldCat Record")</f>
        <v>WorldCat Record</v>
      </c>
      <c r="AX4441" s="3" t="s">
        <v>42727</v>
      </c>
      <c r="AY4441" s="3" t="s">
        <v>42728</v>
      </c>
      <c r="AZ4441" s="3" t="s">
        <v>42729</v>
      </c>
      <c r="BA4441" s="3" t="s">
        <v>42729</v>
      </c>
      <c r="BB4441" s="3" t="s">
        <v>42730</v>
      </c>
      <c r="BC4441" s="3" t="s">
        <v>102</v>
      </c>
      <c r="BD4441" s="3" t="s">
        <v>231</v>
      </c>
      <c r="BE4441" s="3" t="s">
        <v>42731</v>
      </c>
      <c r="BF4441" s="3" t="s">
        <v>42730</v>
      </c>
      <c r="BG4441" s="3" t="s">
        <v>42732</v>
      </c>
    </row>
    <row r="4442" spans="1:59" ht="58" x14ac:dyDescent="0.35">
      <c r="A4442" s="2" t="s">
        <v>89</v>
      </c>
      <c r="B4442" s="2" t="s">
        <v>90</v>
      </c>
      <c r="C4442" s="2" t="s">
        <v>42733</v>
      </c>
      <c r="D4442" s="2" t="s">
        <v>42734</v>
      </c>
      <c r="E4442" s="2" t="s">
        <v>42735</v>
      </c>
      <c r="G4442" s="3" t="s">
        <v>62</v>
      </c>
      <c r="I4442" s="3" t="s">
        <v>62</v>
      </c>
      <c r="J4442" s="3" t="s">
        <v>62</v>
      </c>
      <c r="K4442" s="3" t="s">
        <v>63</v>
      </c>
      <c r="L4442" s="2" t="s">
        <v>42736</v>
      </c>
      <c r="M4442" s="2" t="s">
        <v>42737</v>
      </c>
      <c r="N4442" s="3" t="s">
        <v>596</v>
      </c>
      <c r="P4442" s="3" t="s">
        <v>64</v>
      </c>
      <c r="R4442" s="3" t="s">
        <v>42369</v>
      </c>
      <c r="S4442" s="4">
        <v>14</v>
      </c>
      <c r="T4442" s="4">
        <v>14</v>
      </c>
      <c r="U4442" s="5" t="s">
        <v>17290</v>
      </c>
      <c r="V4442" s="5" t="s">
        <v>17290</v>
      </c>
      <c r="W4442" s="5" t="s">
        <v>67</v>
      </c>
      <c r="X4442" s="5" t="s">
        <v>67</v>
      </c>
      <c r="Y4442" s="4">
        <v>158</v>
      </c>
      <c r="Z4442" s="4">
        <v>58</v>
      </c>
      <c r="AA4442" s="4">
        <v>113</v>
      </c>
      <c r="AB4442" s="4">
        <v>3</v>
      </c>
      <c r="AC4442" s="4">
        <v>20</v>
      </c>
      <c r="AD4442" s="4">
        <v>81</v>
      </c>
      <c r="AE4442" s="4">
        <v>119</v>
      </c>
      <c r="AF4442" s="4">
        <v>1</v>
      </c>
      <c r="AG4442" s="4">
        <v>9</v>
      </c>
      <c r="AH4442" s="4">
        <v>53</v>
      </c>
      <c r="AI4442" s="4">
        <v>69</v>
      </c>
      <c r="AJ4442" s="4">
        <v>21</v>
      </c>
      <c r="AK4442" s="4">
        <v>28</v>
      </c>
      <c r="AL4442" s="4">
        <v>27</v>
      </c>
      <c r="AM4442" s="4">
        <v>36</v>
      </c>
      <c r="AN4442" s="4">
        <v>0</v>
      </c>
      <c r="AO4442" s="4">
        <v>0</v>
      </c>
      <c r="AP4442" s="4">
        <v>38</v>
      </c>
      <c r="AQ4442" s="4">
        <v>58</v>
      </c>
      <c r="AR4442" s="3" t="s">
        <v>61</v>
      </c>
      <c r="AS4442" s="3" t="s">
        <v>62</v>
      </c>
      <c r="AT4442" s="3" t="s">
        <v>61</v>
      </c>
      <c r="AU4442" s="6" t="str">
        <f>HYPERLINK("http://catalog.hathitrust.org/Record/004364230","HathiTrust Record")</f>
        <v>HathiTrust Record</v>
      </c>
      <c r="AV4442" s="6" t="str">
        <f>HYPERLINK("http://mcgill.on.worldcat.org/oclc/50713652","Catalog Record")</f>
        <v>Catalog Record</v>
      </c>
      <c r="AW4442" s="6" t="str">
        <f>HYPERLINK("http://www.worldcat.org/oclc/50713652","WorldCat Record")</f>
        <v>WorldCat Record</v>
      </c>
      <c r="AX4442" s="3" t="s">
        <v>42738</v>
      </c>
      <c r="AY4442" s="3" t="s">
        <v>42739</v>
      </c>
      <c r="AZ4442" s="3" t="s">
        <v>42740</v>
      </c>
      <c r="BA4442" s="3" t="s">
        <v>42740</v>
      </c>
      <c r="BB4442" s="3" t="s">
        <v>42741</v>
      </c>
      <c r="BC4442" s="3" t="s">
        <v>102</v>
      </c>
      <c r="BD4442" s="3" t="s">
        <v>68</v>
      </c>
      <c r="BE4442" s="3" t="s">
        <v>42742</v>
      </c>
      <c r="BF4442" s="3" t="s">
        <v>42741</v>
      </c>
      <c r="BG4442" s="3" t="s">
        <v>42743</v>
      </c>
    </row>
    <row r="4443" spans="1:59" ht="58" x14ac:dyDescent="0.35">
      <c r="A4443" s="2" t="s">
        <v>89</v>
      </c>
      <c r="B4443" s="2" t="s">
        <v>90</v>
      </c>
      <c r="C4443" s="2" t="s">
        <v>42744</v>
      </c>
      <c r="D4443" s="2" t="s">
        <v>42745</v>
      </c>
      <c r="E4443" s="2" t="s">
        <v>42746</v>
      </c>
      <c r="G4443" s="3" t="s">
        <v>62</v>
      </c>
      <c r="I4443" s="3" t="s">
        <v>62</v>
      </c>
      <c r="J4443" s="3" t="s">
        <v>62</v>
      </c>
      <c r="K4443" s="3" t="s">
        <v>63</v>
      </c>
      <c r="L4443" s="2" t="s">
        <v>42747</v>
      </c>
      <c r="M4443" s="2" t="s">
        <v>42748</v>
      </c>
      <c r="N4443" s="3" t="s">
        <v>553</v>
      </c>
      <c r="P4443" s="3" t="s">
        <v>64</v>
      </c>
      <c r="R4443" s="3" t="s">
        <v>42369</v>
      </c>
      <c r="S4443" s="4">
        <v>13</v>
      </c>
      <c r="T4443" s="4">
        <v>13</v>
      </c>
      <c r="U4443" s="5" t="s">
        <v>17290</v>
      </c>
      <c r="V4443" s="5" t="s">
        <v>17290</v>
      </c>
      <c r="W4443" s="5" t="s">
        <v>67</v>
      </c>
      <c r="X4443" s="5" t="s">
        <v>67</v>
      </c>
      <c r="Y4443" s="4">
        <v>277</v>
      </c>
      <c r="Z4443" s="4">
        <v>20</v>
      </c>
      <c r="AA4443" s="4">
        <v>89</v>
      </c>
      <c r="AB4443" s="4">
        <v>2</v>
      </c>
      <c r="AC4443" s="4">
        <v>14</v>
      </c>
      <c r="AD4443" s="4">
        <v>84</v>
      </c>
      <c r="AE4443" s="4">
        <v>137</v>
      </c>
      <c r="AF4443" s="4">
        <v>1</v>
      </c>
      <c r="AG4443" s="4">
        <v>8</v>
      </c>
      <c r="AH4443" s="4">
        <v>75</v>
      </c>
      <c r="AI4443" s="4">
        <v>94</v>
      </c>
      <c r="AJ4443" s="4">
        <v>13</v>
      </c>
      <c r="AK4443" s="4">
        <v>25</v>
      </c>
      <c r="AL4443" s="4">
        <v>40</v>
      </c>
      <c r="AM4443" s="4">
        <v>45</v>
      </c>
      <c r="AN4443" s="4">
        <v>0</v>
      </c>
      <c r="AO4443" s="4">
        <v>0</v>
      </c>
      <c r="AP4443" s="4">
        <v>17</v>
      </c>
      <c r="AQ4443" s="4">
        <v>52</v>
      </c>
      <c r="AR4443" s="3" t="s">
        <v>62</v>
      </c>
      <c r="AS4443" s="3" t="s">
        <v>62</v>
      </c>
      <c r="AT4443" s="3" t="s">
        <v>61</v>
      </c>
      <c r="AU4443" s="6" t="str">
        <f>HYPERLINK("http://catalog.hathitrust.org/Record/004042760","HathiTrust Record")</f>
        <v>HathiTrust Record</v>
      </c>
      <c r="AV4443" s="6" t="str">
        <f>HYPERLINK("http://mcgill.on.worldcat.org/oclc/41257030","Catalog Record")</f>
        <v>Catalog Record</v>
      </c>
      <c r="AW4443" s="6" t="str">
        <f>HYPERLINK("http://www.worldcat.org/oclc/41257030","WorldCat Record")</f>
        <v>WorldCat Record</v>
      </c>
      <c r="AX4443" s="3" t="s">
        <v>42749</v>
      </c>
      <c r="AY4443" s="3" t="s">
        <v>42750</v>
      </c>
      <c r="AZ4443" s="3" t="s">
        <v>42751</v>
      </c>
      <c r="BA4443" s="3" t="s">
        <v>42751</v>
      </c>
      <c r="BB4443" s="3" t="s">
        <v>42752</v>
      </c>
      <c r="BC4443" s="3" t="s">
        <v>102</v>
      </c>
      <c r="BD4443" s="3" t="s">
        <v>68</v>
      </c>
      <c r="BE4443" s="3" t="s">
        <v>42753</v>
      </c>
      <c r="BF4443" s="3" t="s">
        <v>42752</v>
      </c>
      <c r="BG4443" s="3" t="s">
        <v>42754</v>
      </c>
    </row>
    <row r="4444" spans="1:59" ht="58" x14ac:dyDescent="0.35">
      <c r="A4444" s="2" t="s">
        <v>89</v>
      </c>
      <c r="B4444" s="2" t="s">
        <v>90</v>
      </c>
      <c r="C4444" s="2" t="s">
        <v>42755</v>
      </c>
      <c r="D4444" s="2" t="s">
        <v>42756</v>
      </c>
      <c r="E4444" s="2" t="s">
        <v>42757</v>
      </c>
      <c r="G4444" s="3" t="s">
        <v>62</v>
      </c>
      <c r="I4444" s="3" t="s">
        <v>62</v>
      </c>
      <c r="J4444" s="3" t="s">
        <v>62</v>
      </c>
      <c r="K4444" s="3" t="s">
        <v>63</v>
      </c>
      <c r="L4444" s="2" t="s">
        <v>42758</v>
      </c>
      <c r="M4444" s="2" t="s">
        <v>42759</v>
      </c>
      <c r="N4444" s="3" t="s">
        <v>596</v>
      </c>
      <c r="P4444" s="3" t="s">
        <v>64</v>
      </c>
      <c r="Q4444" s="2" t="s">
        <v>42760</v>
      </c>
      <c r="R4444" s="3" t="s">
        <v>42369</v>
      </c>
      <c r="S4444" s="4">
        <v>27</v>
      </c>
      <c r="T4444" s="4">
        <v>27</v>
      </c>
      <c r="U4444" s="5" t="s">
        <v>7461</v>
      </c>
      <c r="V4444" s="5" t="s">
        <v>7461</v>
      </c>
      <c r="W4444" s="5" t="s">
        <v>67</v>
      </c>
      <c r="X4444" s="5" t="s">
        <v>67</v>
      </c>
      <c r="Y4444" s="4">
        <v>193</v>
      </c>
      <c r="Z4444" s="4">
        <v>13</v>
      </c>
      <c r="AA4444" s="4">
        <v>18</v>
      </c>
      <c r="AB4444" s="4">
        <v>1</v>
      </c>
      <c r="AC4444" s="4">
        <v>3</v>
      </c>
      <c r="AD4444" s="4">
        <v>66</v>
      </c>
      <c r="AE4444" s="4">
        <v>71</v>
      </c>
      <c r="AF4444" s="4">
        <v>0</v>
      </c>
      <c r="AG4444" s="4">
        <v>0</v>
      </c>
      <c r="AH4444" s="4">
        <v>59</v>
      </c>
      <c r="AI4444" s="4">
        <v>63</v>
      </c>
      <c r="AJ4444" s="4">
        <v>6</v>
      </c>
      <c r="AK4444" s="4">
        <v>9</v>
      </c>
      <c r="AL4444" s="4">
        <v>38</v>
      </c>
      <c r="AM4444" s="4">
        <v>38</v>
      </c>
      <c r="AN4444" s="4">
        <v>0</v>
      </c>
      <c r="AO4444" s="4">
        <v>0</v>
      </c>
      <c r="AP4444" s="4">
        <v>10</v>
      </c>
      <c r="AQ4444" s="4">
        <v>13</v>
      </c>
      <c r="AR4444" s="3" t="s">
        <v>62</v>
      </c>
      <c r="AS4444" s="3" t="s">
        <v>62</v>
      </c>
      <c r="AT4444" s="3" t="s">
        <v>62</v>
      </c>
      <c r="AV4444" s="6" t="str">
        <f>HYPERLINK("http://mcgill.on.worldcat.org/oclc/49905622","Catalog Record")</f>
        <v>Catalog Record</v>
      </c>
      <c r="AW4444" s="6" t="str">
        <f>HYPERLINK("http://www.worldcat.org/oclc/49905622","WorldCat Record")</f>
        <v>WorldCat Record</v>
      </c>
      <c r="AX4444" s="3" t="s">
        <v>42761</v>
      </c>
      <c r="AY4444" s="3" t="s">
        <v>42762</v>
      </c>
      <c r="AZ4444" s="3" t="s">
        <v>42763</v>
      </c>
      <c r="BA4444" s="3" t="s">
        <v>42763</v>
      </c>
      <c r="BB4444" s="3" t="s">
        <v>42764</v>
      </c>
      <c r="BC4444" s="3" t="s">
        <v>102</v>
      </c>
      <c r="BD4444" s="3" t="s">
        <v>68</v>
      </c>
      <c r="BE4444" s="3" t="s">
        <v>42765</v>
      </c>
      <c r="BF4444" s="3" t="s">
        <v>42764</v>
      </c>
      <c r="BG4444" s="3" t="s">
        <v>42766</v>
      </c>
    </row>
    <row r="4445" spans="1:59" ht="58" x14ac:dyDescent="0.35">
      <c r="A4445" s="2" t="s">
        <v>89</v>
      </c>
      <c r="B4445" s="2" t="s">
        <v>90</v>
      </c>
      <c r="C4445" s="2" t="s">
        <v>42767</v>
      </c>
      <c r="D4445" s="2" t="s">
        <v>42768</v>
      </c>
      <c r="E4445" s="2" t="s">
        <v>42769</v>
      </c>
      <c r="G4445" s="3" t="s">
        <v>62</v>
      </c>
      <c r="I4445" s="3" t="s">
        <v>61</v>
      </c>
      <c r="J4445" s="3" t="s">
        <v>62</v>
      </c>
      <c r="K4445" s="3" t="s">
        <v>63</v>
      </c>
      <c r="L4445" s="2" t="s">
        <v>42770</v>
      </c>
      <c r="M4445" s="2" t="s">
        <v>42771</v>
      </c>
      <c r="N4445" s="3" t="s">
        <v>1038</v>
      </c>
      <c r="P4445" s="3" t="s">
        <v>64</v>
      </c>
      <c r="Q4445" s="2" t="s">
        <v>42772</v>
      </c>
      <c r="R4445" s="3" t="s">
        <v>42369</v>
      </c>
      <c r="S4445" s="4">
        <v>20</v>
      </c>
      <c r="T4445" s="4">
        <v>53</v>
      </c>
      <c r="U4445" s="5" t="s">
        <v>16887</v>
      </c>
      <c r="V4445" s="5" t="s">
        <v>12842</v>
      </c>
      <c r="W4445" s="5" t="s">
        <v>67</v>
      </c>
      <c r="X4445" s="5" t="s">
        <v>67</v>
      </c>
      <c r="Y4445" s="4">
        <v>400</v>
      </c>
      <c r="Z4445" s="4">
        <v>25</v>
      </c>
      <c r="AA4445" s="4">
        <v>66</v>
      </c>
      <c r="AB4445" s="4">
        <v>3</v>
      </c>
      <c r="AC4445" s="4">
        <v>11</v>
      </c>
      <c r="AD4445" s="4">
        <v>84</v>
      </c>
      <c r="AE4445" s="4">
        <v>115</v>
      </c>
      <c r="AF4445" s="4">
        <v>1</v>
      </c>
      <c r="AG4445" s="4">
        <v>5</v>
      </c>
      <c r="AH4445" s="4">
        <v>72</v>
      </c>
      <c r="AI4445" s="4">
        <v>88</v>
      </c>
      <c r="AJ4445" s="4">
        <v>10</v>
      </c>
      <c r="AK4445" s="4">
        <v>21</v>
      </c>
      <c r="AL4445" s="4">
        <v>43</v>
      </c>
      <c r="AM4445" s="4">
        <v>48</v>
      </c>
      <c r="AN4445" s="4">
        <v>0</v>
      </c>
      <c r="AO4445" s="4">
        <v>0</v>
      </c>
      <c r="AP4445" s="4">
        <v>18</v>
      </c>
      <c r="AQ4445" s="4">
        <v>34</v>
      </c>
      <c r="AR4445" s="3" t="s">
        <v>62</v>
      </c>
      <c r="AS4445" s="3" t="s">
        <v>62</v>
      </c>
      <c r="AT4445" s="3" t="s">
        <v>62</v>
      </c>
      <c r="AV4445" s="6" t="str">
        <f>HYPERLINK("http://mcgill.on.worldcat.org/oclc/934194942","Catalog Record")</f>
        <v>Catalog Record</v>
      </c>
      <c r="AW4445" s="6" t="str">
        <f>HYPERLINK("http://www.worldcat.org/oclc/934194942","WorldCat Record")</f>
        <v>WorldCat Record</v>
      </c>
      <c r="AX4445" s="3" t="s">
        <v>42773</v>
      </c>
      <c r="AY4445" s="3" t="s">
        <v>42774</v>
      </c>
      <c r="AZ4445" s="3" t="s">
        <v>42775</v>
      </c>
      <c r="BA4445" s="3" t="s">
        <v>42775</v>
      </c>
      <c r="BB4445" s="3" t="s">
        <v>42776</v>
      </c>
      <c r="BC4445" s="3" t="s">
        <v>102</v>
      </c>
      <c r="BD4445" s="3" t="s">
        <v>231</v>
      </c>
      <c r="BE4445" s="3" t="s">
        <v>42777</v>
      </c>
      <c r="BF4445" s="3" t="s">
        <v>42776</v>
      </c>
      <c r="BG4445" s="3" t="s">
        <v>42778</v>
      </c>
    </row>
    <row r="4446" spans="1:59" ht="58" x14ac:dyDescent="0.35">
      <c r="A4446" s="2" t="s">
        <v>89</v>
      </c>
      <c r="B4446" s="2" t="s">
        <v>90</v>
      </c>
      <c r="C4446" s="2" t="s">
        <v>42767</v>
      </c>
      <c r="D4446" s="2" t="s">
        <v>42768</v>
      </c>
      <c r="E4446" s="2" t="s">
        <v>42769</v>
      </c>
      <c r="G4446" s="3" t="s">
        <v>62</v>
      </c>
      <c r="I4446" s="3" t="s">
        <v>61</v>
      </c>
      <c r="J4446" s="3" t="s">
        <v>62</v>
      </c>
      <c r="K4446" s="3" t="s">
        <v>63</v>
      </c>
      <c r="L4446" s="2" t="s">
        <v>42770</v>
      </c>
      <c r="M4446" s="2" t="s">
        <v>42771</v>
      </c>
      <c r="N4446" s="3" t="s">
        <v>1038</v>
      </c>
      <c r="P4446" s="3" t="s">
        <v>64</v>
      </c>
      <c r="Q4446" s="2" t="s">
        <v>42772</v>
      </c>
      <c r="R4446" s="3" t="s">
        <v>42369</v>
      </c>
      <c r="S4446" s="4">
        <v>14</v>
      </c>
      <c r="T4446" s="4">
        <v>53</v>
      </c>
      <c r="U4446" s="5" t="s">
        <v>12842</v>
      </c>
      <c r="V4446" s="5" t="s">
        <v>12842</v>
      </c>
      <c r="W4446" s="5" t="s">
        <v>67</v>
      </c>
      <c r="X4446" s="5" t="s">
        <v>67</v>
      </c>
      <c r="Y4446" s="4">
        <v>400</v>
      </c>
      <c r="Z4446" s="4">
        <v>25</v>
      </c>
      <c r="AA4446" s="4">
        <v>66</v>
      </c>
      <c r="AB4446" s="4">
        <v>3</v>
      </c>
      <c r="AC4446" s="4">
        <v>11</v>
      </c>
      <c r="AD4446" s="4">
        <v>84</v>
      </c>
      <c r="AE4446" s="4">
        <v>115</v>
      </c>
      <c r="AF4446" s="4">
        <v>1</v>
      </c>
      <c r="AG4446" s="4">
        <v>5</v>
      </c>
      <c r="AH4446" s="4">
        <v>72</v>
      </c>
      <c r="AI4446" s="4">
        <v>88</v>
      </c>
      <c r="AJ4446" s="4">
        <v>10</v>
      </c>
      <c r="AK4446" s="4">
        <v>21</v>
      </c>
      <c r="AL4446" s="4">
        <v>43</v>
      </c>
      <c r="AM4446" s="4">
        <v>48</v>
      </c>
      <c r="AN4446" s="4">
        <v>0</v>
      </c>
      <c r="AO4446" s="4">
        <v>0</v>
      </c>
      <c r="AP4446" s="4">
        <v>18</v>
      </c>
      <c r="AQ4446" s="4">
        <v>34</v>
      </c>
      <c r="AR4446" s="3" t="s">
        <v>62</v>
      </c>
      <c r="AS4446" s="3" t="s">
        <v>62</v>
      </c>
      <c r="AT4446" s="3" t="s">
        <v>62</v>
      </c>
      <c r="AV4446" s="6" t="str">
        <f>HYPERLINK("http://mcgill.on.worldcat.org/oclc/934194942","Catalog Record")</f>
        <v>Catalog Record</v>
      </c>
      <c r="AW4446" s="6" t="str">
        <f>HYPERLINK("http://www.worldcat.org/oclc/934194942","WorldCat Record")</f>
        <v>WorldCat Record</v>
      </c>
      <c r="AX4446" s="3" t="s">
        <v>42773</v>
      </c>
      <c r="AY4446" s="3" t="s">
        <v>42774</v>
      </c>
      <c r="AZ4446" s="3" t="s">
        <v>42775</v>
      </c>
      <c r="BA4446" s="3" t="s">
        <v>42775</v>
      </c>
      <c r="BB4446" s="3" t="s">
        <v>42779</v>
      </c>
      <c r="BC4446" s="3" t="s">
        <v>102</v>
      </c>
      <c r="BD4446" s="3" t="s">
        <v>68</v>
      </c>
      <c r="BE4446" s="3" t="s">
        <v>42777</v>
      </c>
      <c r="BF4446" s="3" t="s">
        <v>42779</v>
      </c>
      <c r="BG4446" s="3" t="s">
        <v>42780</v>
      </c>
    </row>
    <row r="4447" spans="1:59" ht="58" x14ac:dyDescent="0.35">
      <c r="A4447" s="2" t="s">
        <v>89</v>
      </c>
      <c r="B4447" s="2" t="s">
        <v>90</v>
      </c>
      <c r="C4447" s="2" t="s">
        <v>42767</v>
      </c>
      <c r="D4447" s="2" t="s">
        <v>42768</v>
      </c>
      <c r="E4447" s="2" t="s">
        <v>42769</v>
      </c>
      <c r="G4447" s="3" t="s">
        <v>62</v>
      </c>
      <c r="I4447" s="3" t="s">
        <v>61</v>
      </c>
      <c r="J4447" s="3" t="s">
        <v>62</v>
      </c>
      <c r="K4447" s="3" t="s">
        <v>63</v>
      </c>
      <c r="L4447" s="2" t="s">
        <v>42770</v>
      </c>
      <c r="M4447" s="2" t="s">
        <v>42771</v>
      </c>
      <c r="N4447" s="3" t="s">
        <v>1038</v>
      </c>
      <c r="P4447" s="3" t="s">
        <v>64</v>
      </c>
      <c r="Q4447" s="2" t="s">
        <v>42772</v>
      </c>
      <c r="R4447" s="3" t="s">
        <v>42369</v>
      </c>
      <c r="S4447" s="4">
        <v>19</v>
      </c>
      <c r="T4447" s="4">
        <v>53</v>
      </c>
      <c r="U4447" s="5" t="s">
        <v>84</v>
      </c>
      <c r="V4447" s="5" t="s">
        <v>12842</v>
      </c>
      <c r="W4447" s="5" t="s">
        <v>67</v>
      </c>
      <c r="X4447" s="5" t="s">
        <v>67</v>
      </c>
      <c r="Y4447" s="4">
        <v>400</v>
      </c>
      <c r="Z4447" s="4">
        <v>25</v>
      </c>
      <c r="AA4447" s="4">
        <v>66</v>
      </c>
      <c r="AB4447" s="4">
        <v>3</v>
      </c>
      <c r="AC4447" s="4">
        <v>11</v>
      </c>
      <c r="AD4447" s="4">
        <v>84</v>
      </c>
      <c r="AE4447" s="4">
        <v>115</v>
      </c>
      <c r="AF4447" s="4">
        <v>1</v>
      </c>
      <c r="AG4447" s="4">
        <v>5</v>
      </c>
      <c r="AH4447" s="4">
        <v>72</v>
      </c>
      <c r="AI4447" s="4">
        <v>88</v>
      </c>
      <c r="AJ4447" s="4">
        <v>10</v>
      </c>
      <c r="AK4447" s="4">
        <v>21</v>
      </c>
      <c r="AL4447" s="4">
        <v>43</v>
      </c>
      <c r="AM4447" s="4">
        <v>48</v>
      </c>
      <c r="AN4447" s="4">
        <v>0</v>
      </c>
      <c r="AO4447" s="4">
        <v>0</v>
      </c>
      <c r="AP4447" s="4">
        <v>18</v>
      </c>
      <c r="AQ4447" s="4">
        <v>34</v>
      </c>
      <c r="AR4447" s="3" t="s">
        <v>62</v>
      </c>
      <c r="AS4447" s="3" t="s">
        <v>62</v>
      </c>
      <c r="AT4447" s="3" t="s">
        <v>62</v>
      </c>
      <c r="AV4447" s="6" t="str">
        <f>HYPERLINK("http://mcgill.on.worldcat.org/oclc/934194942","Catalog Record")</f>
        <v>Catalog Record</v>
      </c>
      <c r="AW4447" s="6" t="str">
        <f>HYPERLINK("http://www.worldcat.org/oclc/934194942","WorldCat Record")</f>
        <v>WorldCat Record</v>
      </c>
      <c r="AX4447" s="3" t="s">
        <v>42773</v>
      </c>
      <c r="AY4447" s="3" t="s">
        <v>42774</v>
      </c>
      <c r="AZ4447" s="3" t="s">
        <v>42775</v>
      </c>
      <c r="BA4447" s="3" t="s">
        <v>42775</v>
      </c>
      <c r="BB4447" s="3" t="s">
        <v>42781</v>
      </c>
      <c r="BC4447" s="3" t="s">
        <v>102</v>
      </c>
      <c r="BD4447" s="3" t="s">
        <v>231</v>
      </c>
      <c r="BE4447" s="3" t="s">
        <v>42777</v>
      </c>
      <c r="BF4447" s="3" t="s">
        <v>42781</v>
      </c>
      <c r="BG4447" s="3" t="s">
        <v>42782</v>
      </c>
    </row>
    <row r="4448" spans="1:59" ht="58" x14ac:dyDescent="0.35">
      <c r="A4448" s="2" t="s">
        <v>89</v>
      </c>
      <c r="B4448" s="2" t="s">
        <v>90</v>
      </c>
      <c r="C4448" s="2" t="s">
        <v>42783</v>
      </c>
      <c r="D4448" s="2" t="s">
        <v>42784</v>
      </c>
      <c r="E4448" s="2" t="s">
        <v>42785</v>
      </c>
      <c r="G4448" s="3" t="s">
        <v>62</v>
      </c>
      <c r="I4448" s="3" t="s">
        <v>61</v>
      </c>
      <c r="J4448" s="3" t="s">
        <v>62</v>
      </c>
      <c r="K4448" s="3" t="s">
        <v>63</v>
      </c>
      <c r="L4448" s="2" t="s">
        <v>37039</v>
      </c>
      <c r="M4448" s="2" t="s">
        <v>42786</v>
      </c>
      <c r="N4448" s="3" t="s">
        <v>1722</v>
      </c>
      <c r="P4448" s="3" t="s">
        <v>64</v>
      </c>
      <c r="Q4448" s="2" t="s">
        <v>42787</v>
      </c>
      <c r="R4448" s="3" t="s">
        <v>42369</v>
      </c>
      <c r="S4448" s="4">
        <v>7</v>
      </c>
      <c r="T4448" s="4">
        <v>99</v>
      </c>
      <c r="U4448" s="5" t="s">
        <v>22421</v>
      </c>
      <c r="V4448" s="5" t="s">
        <v>3820</v>
      </c>
      <c r="W4448" s="5" t="s">
        <v>67</v>
      </c>
      <c r="X4448" s="5" t="s">
        <v>67</v>
      </c>
      <c r="Y4448" s="4">
        <v>645</v>
      </c>
      <c r="Z4448" s="4">
        <v>41</v>
      </c>
      <c r="AA4448" s="4">
        <v>66</v>
      </c>
      <c r="AB4448" s="4">
        <v>2</v>
      </c>
      <c r="AC4448" s="4">
        <v>5</v>
      </c>
      <c r="AD4448" s="4">
        <v>109</v>
      </c>
      <c r="AE4448" s="4">
        <v>123</v>
      </c>
      <c r="AF4448" s="4">
        <v>0</v>
      </c>
      <c r="AG4448" s="4">
        <v>1</v>
      </c>
      <c r="AH4448" s="4">
        <v>90</v>
      </c>
      <c r="AI4448" s="4">
        <v>97</v>
      </c>
      <c r="AJ4448" s="4">
        <v>16</v>
      </c>
      <c r="AK4448" s="4">
        <v>19</v>
      </c>
      <c r="AL4448" s="4">
        <v>51</v>
      </c>
      <c r="AM4448" s="4">
        <v>54</v>
      </c>
      <c r="AN4448" s="4">
        <v>0</v>
      </c>
      <c r="AO4448" s="4">
        <v>0</v>
      </c>
      <c r="AP4448" s="4">
        <v>27</v>
      </c>
      <c r="AQ4448" s="4">
        <v>34</v>
      </c>
      <c r="AR4448" s="3" t="s">
        <v>62</v>
      </c>
      <c r="AS4448" s="3" t="s">
        <v>62</v>
      </c>
      <c r="AT4448" s="3" t="s">
        <v>62</v>
      </c>
      <c r="AV4448" s="6" t="str">
        <f>HYPERLINK("http://mcgill.on.worldcat.org/oclc/230932894","Catalog Record")</f>
        <v>Catalog Record</v>
      </c>
      <c r="AW4448" s="6" t="str">
        <f>HYPERLINK("http://www.worldcat.org/oclc/230932894","WorldCat Record")</f>
        <v>WorldCat Record</v>
      </c>
      <c r="AX4448" s="3" t="s">
        <v>42788</v>
      </c>
      <c r="AY4448" s="3" t="s">
        <v>42789</v>
      </c>
      <c r="AZ4448" s="3" t="s">
        <v>42790</v>
      </c>
      <c r="BA4448" s="3" t="s">
        <v>42790</v>
      </c>
      <c r="BB4448" s="3" t="s">
        <v>42791</v>
      </c>
      <c r="BC4448" s="3" t="s">
        <v>102</v>
      </c>
      <c r="BD4448" s="3" t="s">
        <v>68</v>
      </c>
      <c r="BE4448" s="3" t="s">
        <v>42792</v>
      </c>
      <c r="BF4448" s="3" t="s">
        <v>42791</v>
      </c>
      <c r="BG4448" s="3" t="s">
        <v>42793</v>
      </c>
    </row>
    <row r="4449" spans="1:59" ht="58" x14ac:dyDescent="0.35">
      <c r="A4449" s="2" t="s">
        <v>89</v>
      </c>
      <c r="B4449" s="2" t="s">
        <v>90</v>
      </c>
      <c r="C4449" s="2" t="s">
        <v>42783</v>
      </c>
      <c r="D4449" s="2" t="s">
        <v>42784</v>
      </c>
      <c r="E4449" s="2" t="s">
        <v>42785</v>
      </c>
      <c r="G4449" s="3" t="s">
        <v>62</v>
      </c>
      <c r="I4449" s="3" t="s">
        <v>61</v>
      </c>
      <c r="J4449" s="3" t="s">
        <v>62</v>
      </c>
      <c r="K4449" s="3" t="s">
        <v>63</v>
      </c>
      <c r="L4449" s="2" t="s">
        <v>37039</v>
      </c>
      <c r="M4449" s="2" t="s">
        <v>42786</v>
      </c>
      <c r="N4449" s="3" t="s">
        <v>1722</v>
      </c>
      <c r="P4449" s="3" t="s">
        <v>64</v>
      </c>
      <c r="Q4449" s="2" t="s">
        <v>42787</v>
      </c>
      <c r="R4449" s="3" t="s">
        <v>42369</v>
      </c>
      <c r="S4449" s="4">
        <v>20</v>
      </c>
      <c r="T4449" s="4">
        <v>99</v>
      </c>
      <c r="U4449" s="5" t="s">
        <v>3820</v>
      </c>
      <c r="V4449" s="5" t="s">
        <v>3820</v>
      </c>
      <c r="W4449" s="5" t="s">
        <v>67</v>
      </c>
      <c r="X4449" s="5" t="s">
        <v>67</v>
      </c>
      <c r="Y4449" s="4">
        <v>645</v>
      </c>
      <c r="Z4449" s="4">
        <v>41</v>
      </c>
      <c r="AA4449" s="4">
        <v>66</v>
      </c>
      <c r="AB4449" s="4">
        <v>2</v>
      </c>
      <c r="AC4449" s="4">
        <v>5</v>
      </c>
      <c r="AD4449" s="4">
        <v>109</v>
      </c>
      <c r="AE4449" s="4">
        <v>123</v>
      </c>
      <c r="AF4449" s="4">
        <v>0</v>
      </c>
      <c r="AG4449" s="4">
        <v>1</v>
      </c>
      <c r="AH4449" s="4">
        <v>90</v>
      </c>
      <c r="AI4449" s="4">
        <v>97</v>
      </c>
      <c r="AJ4449" s="4">
        <v>16</v>
      </c>
      <c r="AK4449" s="4">
        <v>19</v>
      </c>
      <c r="AL4449" s="4">
        <v>51</v>
      </c>
      <c r="AM4449" s="4">
        <v>54</v>
      </c>
      <c r="AN4449" s="4">
        <v>0</v>
      </c>
      <c r="AO4449" s="4">
        <v>0</v>
      </c>
      <c r="AP4449" s="4">
        <v>27</v>
      </c>
      <c r="AQ4449" s="4">
        <v>34</v>
      </c>
      <c r="AR4449" s="3" t="s">
        <v>62</v>
      </c>
      <c r="AS4449" s="3" t="s">
        <v>62</v>
      </c>
      <c r="AT4449" s="3" t="s">
        <v>62</v>
      </c>
      <c r="AV4449" s="6" t="str">
        <f>HYPERLINK("http://mcgill.on.worldcat.org/oclc/230932894","Catalog Record")</f>
        <v>Catalog Record</v>
      </c>
      <c r="AW4449" s="6" t="str">
        <f>HYPERLINK("http://www.worldcat.org/oclc/230932894","WorldCat Record")</f>
        <v>WorldCat Record</v>
      </c>
      <c r="AX4449" s="3" t="s">
        <v>42788</v>
      </c>
      <c r="AY4449" s="3" t="s">
        <v>42789</v>
      </c>
      <c r="AZ4449" s="3" t="s">
        <v>42790</v>
      </c>
      <c r="BA4449" s="3" t="s">
        <v>42790</v>
      </c>
      <c r="BB4449" s="3" t="s">
        <v>42794</v>
      </c>
      <c r="BC4449" s="3" t="s">
        <v>102</v>
      </c>
      <c r="BD4449" s="3" t="s">
        <v>231</v>
      </c>
      <c r="BE4449" s="3" t="s">
        <v>42792</v>
      </c>
      <c r="BF4449" s="3" t="s">
        <v>42794</v>
      </c>
      <c r="BG4449" s="3" t="s">
        <v>42795</v>
      </c>
    </row>
    <row r="4450" spans="1:59" ht="58" x14ac:dyDescent="0.35">
      <c r="A4450" s="2" t="s">
        <v>89</v>
      </c>
      <c r="B4450" s="2" t="s">
        <v>90</v>
      </c>
      <c r="C4450" s="2" t="s">
        <v>42783</v>
      </c>
      <c r="D4450" s="2" t="s">
        <v>42784</v>
      </c>
      <c r="E4450" s="2" t="s">
        <v>42785</v>
      </c>
      <c r="G4450" s="3" t="s">
        <v>62</v>
      </c>
      <c r="I4450" s="3" t="s">
        <v>61</v>
      </c>
      <c r="J4450" s="3" t="s">
        <v>62</v>
      </c>
      <c r="K4450" s="3" t="s">
        <v>63</v>
      </c>
      <c r="L4450" s="2" t="s">
        <v>37039</v>
      </c>
      <c r="M4450" s="2" t="s">
        <v>42786</v>
      </c>
      <c r="N4450" s="3" t="s">
        <v>1722</v>
      </c>
      <c r="P4450" s="3" t="s">
        <v>64</v>
      </c>
      <c r="Q4450" s="2" t="s">
        <v>42787</v>
      </c>
      <c r="R4450" s="3" t="s">
        <v>42369</v>
      </c>
      <c r="S4450" s="4">
        <v>34</v>
      </c>
      <c r="T4450" s="4">
        <v>99</v>
      </c>
      <c r="U4450" s="5" t="s">
        <v>15565</v>
      </c>
      <c r="V4450" s="5" t="s">
        <v>3820</v>
      </c>
      <c r="W4450" s="5" t="s">
        <v>67</v>
      </c>
      <c r="X4450" s="5" t="s">
        <v>67</v>
      </c>
      <c r="Y4450" s="4">
        <v>645</v>
      </c>
      <c r="Z4450" s="4">
        <v>41</v>
      </c>
      <c r="AA4450" s="4">
        <v>66</v>
      </c>
      <c r="AB4450" s="4">
        <v>2</v>
      </c>
      <c r="AC4450" s="4">
        <v>5</v>
      </c>
      <c r="AD4450" s="4">
        <v>109</v>
      </c>
      <c r="AE4450" s="4">
        <v>123</v>
      </c>
      <c r="AF4450" s="4">
        <v>0</v>
      </c>
      <c r="AG4450" s="4">
        <v>1</v>
      </c>
      <c r="AH4450" s="4">
        <v>90</v>
      </c>
      <c r="AI4450" s="4">
        <v>97</v>
      </c>
      <c r="AJ4450" s="4">
        <v>16</v>
      </c>
      <c r="AK4450" s="4">
        <v>19</v>
      </c>
      <c r="AL4450" s="4">
        <v>51</v>
      </c>
      <c r="AM4450" s="4">
        <v>54</v>
      </c>
      <c r="AN4450" s="4">
        <v>0</v>
      </c>
      <c r="AO4450" s="4">
        <v>0</v>
      </c>
      <c r="AP4450" s="4">
        <v>27</v>
      </c>
      <c r="AQ4450" s="4">
        <v>34</v>
      </c>
      <c r="AR4450" s="3" t="s">
        <v>62</v>
      </c>
      <c r="AS4450" s="3" t="s">
        <v>62</v>
      </c>
      <c r="AT4450" s="3" t="s">
        <v>62</v>
      </c>
      <c r="AV4450" s="6" t="str">
        <f>HYPERLINK("http://mcgill.on.worldcat.org/oclc/230932894","Catalog Record")</f>
        <v>Catalog Record</v>
      </c>
      <c r="AW4450" s="6" t="str">
        <f>HYPERLINK("http://www.worldcat.org/oclc/230932894","WorldCat Record")</f>
        <v>WorldCat Record</v>
      </c>
      <c r="AX4450" s="3" t="s">
        <v>42788</v>
      </c>
      <c r="AY4450" s="3" t="s">
        <v>42789</v>
      </c>
      <c r="AZ4450" s="3" t="s">
        <v>42790</v>
      </c>
      <c r="BA4450" s="3" t="s">
        <v>42790</v>
      </c>
      <c r="BB4450" s="3" t="s">
        <v>42796</v>
      </c>
      <c r="BC4450" s="3" t="s">
        <v>102</v>
      </c>
      <c r="BD4450" s="3" t="s">
        <v>231</v>
      </c>
      <c r="BE4450" s="3" t="s">
        <v>42792</v>
      </c>
      <c r="BF4450" s="3" t="s">
        <v>42796</v>
      </c>
      <c r="BG4450" s="3" t="s">
        <v>42797</v>
      </c>
    </row>
    <row r="4451" spans="1:59" ht="58" x14ac:dyDescent="0.35">
      <c r="A4451" s="2" t="s">
        <v>89</v>
      </c>
      <c r="B4451" s="2" t="s">
        <v>90</v>
      </c>
      <c r="C4451" s="2" t="s">
        <v>42798</v>
      </c>
      <c r="D4451" s="2" t="s">
        <v>42799</v>
      </c>
      <c r="E4451" s="2" t="s">
        <v>42800</v>
      </c>
      <c r="G4451" s="3" t="s">
        <v>62</v>
      </c>
      <c r="I4451" s="3" t="s">
        <v>62</v>
      </c>
      <c r="J4451" s="3" t="s">
        <v>62</v>
      </c>
      <c r="K4451" s="3" t="s">
        <v>63</v>
      </c>
      <c r="M4451" s="2" t="s">
        <v>42801</v>
      </c>
      <c r="N4451" s="3" t="s">
        <v>553</v>
      </c>
      <c r="P4451" s="3" t="s">
        <v>64</v>
      </c>
      <c r="R4451" s="3" t="s">
        <v>42369</v>
      </c>
      <c r="S4451" s="4">
        <v>11</v>
      </c>
      <c r="T4451" s="4">
        <v>11</v>
      </c>
      <c r="U4451" s="5" t="s">
        <v>21878</v>
      </c>
      <c r="V4451" s="5" t="s">
        <v>21878</v>
      </c>
      <c r="W4451" s="5" t="s">
        <v>67</v>
      </c>
      <c r="X4451" s="5" t="s">
        <v>67</v>
      </c>
      <c r="Y4451" s="4">
        <v>59</v>
      </c>
      <c r="Z4451" s="4">
        <v>2</v>
      </c>
      <c r="AA4451" s="4">
        <v>18</v>
      </c>
      <c r="AB4451" s="4">
        <v>1</v>
      </c>
      <c r="AC4451" s="4">
        <v>1</v>
      </c>
      <c r="AD4451" s="4">
        <v>3</v>
      </c>
      <c r="AE4451" s="4">
        <v>70</v>
      </c>
      <c r="AF4451" s="4">
        <v>0</v>
      </c>
      <c r="AG4451" s="4">
        <v>0</v>
      </c>
      <c r="AH4451" s="4">
        <v>3</v>
      </c>
      <c r="AI4451" s="4">
        <v>64</v>
      </c>
      <c r="AJ4451" s="4">
        <v>0</v>
      </c>
      <c r="AK4451" s="4">
        <v>7</v>
      </c>
      <c r="AL4451" s="4">
        <v>2</v>
      </c>
      <c r="AM4451" s="4">
        <v>37</v>
      </c>
      <c r="AN4451" s="4">
        <v>0</v>
      </c>
      <c r="AO4451" s="4">
        <v>0</v>
      </c>
      <c r="AP4451" s="4">
        <v>0</v>
      </c>
      <c r="AQ4451" s="4">
        <v>11</v>
      </c>
      <c r="AR4451" s="3" t="s">
        <v>62</v>
      </c>
      <c r="AS4451" s="3" t="s">
        <v>62</v>
      </c>
      <c r="AT4451" s="3" t="s">
        <v>62</v>
      </c>
      <c r="AV4451" s="6" t="str">
        <f>HYPERLINK("http://mcgill.on.worldcat.org/oclc/41258237","Catalog Record")</f>
        <v>Catalog Record</v>
      </c>
      <c r="AW4451" s="6" t="str">
        <f>HYPERLINK("http://www.worldcat.org/oclc/41258237","WorldCat Record")</f>
        <v>WorldCat Record</v>
      </c>
      <c r="AX4451" s="3" t="s">
        <v>42802</v>
      </c>
      <c r="AY4451" s="3" t="s">
        <v>42803</v>
      </c>
      <c r="AZ4451" s="3" t="s">
        <v>42804</v>
      </c>
      <c r="BA4451" s="3" t="s">
        <v>42804</v>
      </c>
      <c r="BB4451" s="3" t="s">
        <v>42805</v>
      </c>
      <c r="BC4451" s="3" t="s">
        <v>102</v>
      </c>
      <c r="BD4451" s="3" t="s">
        <v>68</v>
      </c>
      <c r="BE4451" s="3" t="s">
        <v>42806</v>
      </c>
      <c r="BF4451" s="3" t="s">
        <v>42805</v>
      </c>
      <c r="BG4451" s="3" t="s">
        <v>42807</v>
      </c>
    </row>
    <row r="4452" spans="1:59" ht="58" x14ac:dyDescent="0.35">
      <c r="A4452" s="2" t="s">
        <v>89</v>
      </c>
      <c r="B4452" s="2" t="s">
        <v>90</v>
      </c>
      <c r="C4452" s="2" t="s">
        <v>42808</v>
      </c>
      <c r="D4452" s="2" t="s">
        <v>42809</v>
      </c>
      <c r="E4452" s="2" t="s">
        <v>42810</v>
      </c>
      <c r="G4452" s="3" t="s">
        <v>62</v>
      </c>
      <c r="I4452" s="3" t="s">
        <v>62</v>
      </c>
      <c r="J4452" s="3" t="s">
        <v>62</v>
      </c>
      <c r="K4452" s="3" t="s">
        <v>63</v>
      </c>
      <c r="M4452" s="2" t="s">
        <v>42811</v>
      </c>
      <c r="N4452" s="3" t="s">
        <v>2136</v>
      </c>
      <c r="P4452" s="3" t="s">
        <v>64</v>
      </c>
      <c r="Q4452" s="2" t="s">
        <v>42812</v>
      </c>
      <c r="R4452" s="3" t="s">
        <v>42369</v>
      </c>
      <c r="S4452" s="4">
        <v>11</v>
      </c>
      <c r="T4452" s="4">
        <v>11</v>
      </c>
      <c r="U4452" s="5" t="s">
        <v>42813</v>
      </c>
      <c r="V4452" s="5" t="s">
        <v>42813</v>
      </c>
      <c r="W4452" s="5" t="s">
        <v>67</v>
      </c>
      <c r="X4452" s="5" t="s">
        <v>67</v>
      </c>
      <c r="Y4452" s="4">
        <v>161</v>
      </c>
      <c r="Z4452" s="4">
        <v>8</v>
      </c>
      <c r="AA4452" s="4">
        <v>8</v>
      </c>
      <c r="AB4452" s="4">
        <v>1</v>
      </c>
      <c r="AC4452" s="4">
        <v>1</v>
      </c>
      <c r="AD4452" s="4">
        <v>66</v>
      </c>
      <c r="AE4452" s="4">
        <v>66</v>
      </c>
      <c r="AF4452" s="4">
        <v>0</v>
      </c>
      <c r="AG4452" s="4">
        <v>0</v>
      </c>
      <c r="AH4452" s="4">
        <v>61</v>
      </c>
      <c r="AI4452" s="4">
        <v>61</v>
      </c>
      <c r="AJ4452" s="4">
        <v>5</v>
      </c>
      <c r="AK4452" s="4">
        <v>5</v>
      </c>
      <c r="AL4452" s="4">
        <v>43</v>
      </c>
      <c r="AM4452" s="4">
        <v>43</v>
      </c>
      <c r="AN4452" s="4">
        <v>0</v>
      </c>
      <c r="AO4452" s="4">
        <v>0</v>
      </c>
      <c r="AP4452" s="4">
        <v>6</v>
      </c>
      <c r="AQ4452" s="4">
        <v>6</v>
      </c>
      <c r="AR4452" s="3" t="s">
        <v>62</v>
      </c>
      <c r="AS4452" s="3" t="s">
        <v>62</v>
      </c>
      <c r="AT4452" s="3" t="s">
        <v>62</v>
      </c>
      <c r="AV4452" s="6" t="str">
        <f>HYPERLINK("http://mcgill.on.worldcat.org/oclc/58986178","Catalog Record")</f>
        <v>Catalog Record</v>
      </c>
      <c r="AW4452" s="6" t="str">
        <f>HYPERLINK("http://www.worldcat.org/oclc/58986178","WorldCat Record")</f>
        <v>WorldCat Record</v>
      </c>
      <c r="AX4452" s="3" t="s">
        <v>42814</v>
      </c>
      <c r="AY4452" s="3" t="s">
        <v>42815</v>
      </c>
      <c r="AZ4452" s="3" t="s">
        <v>42816</v>
      </c>
      <c r="BA4452" s="3" t="s">
        <v>42816</v>
      </c>
      <c r="BB4452" s="3" t="s">
        <v>42817</v>
      </c>
      <c r="BC4452" s="3" t="s">
        <v>102</v>
      </c>
      <c r="BD4452" s="3" t="s">
        <v>68</v>
      </c>
      <c r="BE4452" s="3" t="s">
        <v>42818</v>
      </c>
      <c r="BF4452" s="3" t="s">
        <v>42817</v>
      </c>
      <c r="BG4452" s="3" t="s">
        <v>42819</v>
      </c>
    </row>
    <row r="4453" spans="1:59" ht="58" x14ac:dyDescent="0.35">
      <c r="A4453" s="2" t="s">
        <v>89</v>
      </c>
      <c r="B4453" s="2" t="s">
        <v>90</v>
      </c>
      <c r="C4453" s="2" t="s">
        <v>42820</v>
      </c>
      <c r="D4453" s="2" t="s">
        <v>42821</v>
      </c>
      <c r="E4453" s="2" t="s">
        <v>42822</v>
      </c>
      <c r="G4453" s="3" t="s">
        <v>62</v>
      </c>
      <c r="I4453" s="3" t="s">
        <v>62</v>
      </c>
      <c r="J4453" s="3" t="s">
        <v>62</v>
      </c>
      <c r="K4453" s="3" t="s">
        <v>63</v>
      </c>
      <c r="M4453" s="2" t="s">
        <v>42823</v>
      </c>
      <c r="N4453" s="3" t="s">
        <v>129</v>
      </c>
      <c r="P4453" s="3" t="s">
        <v>64</v>
      </c>
      <c r="Q4453" s="2" t="s">
        <v>42824</v>
      </c>
      <c r="R4453" s="3" t="s">
        <v>42369</v>
      </c>
      <c r="S4453" s="4">
        <v>0</v>
      </c>
      <c r="T4453" s="4">
        <v>0</v>
      </c>
      <c r="W4453" s="5" t="s">
        <v>67</v>
      </c>
      <c r="X4453" s="5" t="s">
        <v>67</v>
      </c>
      <c r="Y4453" s="4">
        <v>82</v>
      </c>
      <c r="Z4453" s="4">
        <v>3</v>
      </c>
      <c r="AA4453" s="4">
        <v>28</v>
      </c>
      <c r="AB4453" s="4">
        <v>1</v>
      </c>
      <c r="AC4453" s="4">
        <v>5</v>
      </c>
      <c r="AD4453" s="4">
        <v>37</v>
      </c>
      <c r="AE4453" s="4">
        <v>53</v>
      </c>
      <c r="AF4453" s="4">
        <v>0</v>
      </c>
      <c r="AG4453" s="4">
        <v>1</v>
      </c>
      <c r="AH4453" s="4">
        <v>35</v>
      </c>
      <c r="AI4453" s="4">
        <v>45</v>
      </c>
      <c r="AJ4453" s="4">
        <v>2</v>
      </c>
      <c r="AK4453" s="4">
        <v>9</v>
      </c>
      <c r="AL4453" s="4">
        <v>27</v>
      </c>
      <c r="AM4453" s="4">
        <v>32</v>
      </c>
      <c r="AN4453" s="4">
        <v>0</v>
      </c>
      <c r="AO4453" s="4">
        <v>0</v>
      </c>
      <c r="AP4453" s="4">
        <v>2</v>
      </c>
      <c r="AQ4453" s="4">
        <v>11</v>
      </c>
      <c r="AR4453" s="3" t="s">
        <v>62</v>
      </c>
      <c r="AS4453" s="3" t="s">
        <v>62</v>
      </c>
      <c r="AT4453" s="3" t="s">
        <v>62</v>
      </c>
      <c r="AV4453" s="6" t="str">
        <f>HYPERLINK("http://mcgill.on.worldcat.org/oclc/856053380","Catalog Record")</f>
        <v>Catalog Record</v>
      </c>
      <c r="AW4453" s="6" t="str">
        <f>HYPERLINK("http://www.worldcat.org/oclc/856053380","WorldCat Record")</f>
        <v>WorldCat Record</v>
      </c>
      <c r="AX4453" s="3" t="s">
        <v>42825</v>
      </c>
      <c r="AY4453" s="3" t="s">
        <v>42826</v>
      </c>
      <c r="AZ4453" s="3" t="s">
        <v>42827</v>
      </c>
      <c r="BA4453" s="3" t="s">
        <v>42827</v>
      </c>
      <c r="BB4453" s="3" t="s">
        <v>42828</v>
      </c>
      <c r="BC4453" s="3" t="s">
        <v>102</v>
      </c>
      <c r="BD4453" s="3" t="s">
        <v>68</v>
      </c>
      <c r="BE4453" s="3" t="s">
        <v>42829</v>
      </c>
      <c r="BF4453" s="3" t="s">
        <v>42828</v>
      </c>
      <c r="BG4453" s="3" t="s">
        <v>42830</v>
      </c>
    </row>
    <row r="4454" spans="1:59" ht="58" x14ac:dyDescent="0.35">
      <c r="A4454" s="2" t="s">
        <v>89</v>
      </c>
      <c r="B4454" s="2" t="s">
        <v>90</v>
      </c>
      <c r="C4454" s="2" t="s">
        <v>42831</v>
      </c>
      <c r="D4454" s="2" t="s">
        <v>42832</v>
      </c>
      <c r="E4454" s="2" t="s">
        <v>42833</v>
      </c>
      <c r="G4454" s="3" t="s">
        <v>62</v>
      </c>
      <c r="I4454" s="3" t="s">
        <v>62</v>
      </c>
      <c r="J4454" s="3" t="s">
        <v>62</v>
      </c>
      <c r="K4454" s="3" t="s">
        <v>63</v>
      </c>
      <c r="M4454" s="2" t="s">
        <v>12716</v>
      </c>
      <c r="N4454" s="3" t="s">
        <v>568</v>
      </c>
      <c r="P4454" s="3" t="s">
        <v>64</v>
      </c>
      <c r="Q4454" s="2" t="s">
        <v>42834</v>
      </c>
      <c r="R4454" s="3" t="s">
        <v>42369</v>
      </c>
      <c r="S4454" s="4">
        <v>13</v>
      </c>
      <c r="T4454" s="4">
        <v>13</v>
      </c>
      <c r="U4454" s="5" t="s">
        <v>6618</v>
      </c>
      <c r="V4454" s="5" t="s">
        <v>6618</v>
      </c>
      <c r="W4454" s="5" t="s">
        <v>67</v>
      </c>
      <c r="X4454" s="5" t="s">
        <v>67</v>
      </c>
      <c r="Y4454" s="4">
        <v>251</v>
      </c>
      <c r="Z4454" s="4">
        <v>23</v>
      </c>
      <c r="AA4454" s="4">
        <v>31</v>
      </c>
      <c r="AB4454" s="4">
        <v>3</v>
      </c>
      <c r="AC4454" s="4">
        <v>9</v>
      </c>
      <c r="AD4454" s="4">
        <v>94</v>
      </c>
      <c r="AE4454" s="4">
        <v>100</v>
      </c>
      <c r="AF4454" s="4">
        <v>1</v>
      </c>
      <c r="AG4454" s="4">
        <v>3</v>
      </c>
      <c r="AH4454" s="4">
        <v>84</v>
      </c>
      <c r="AI4454" s="4">
        <v>88</v>
      </c>
      <c r="AJ4454" s="4">
        <v>14</v>
      </c>
      <c r="AK4454" s="4">
        <v>18</v>
      </c>
      <c r="AL4454" s="4">
        <v>48</v>
      </c>
      <c r="AM4454" s="4">
        <v>49</v>
      </c>
      <c r="AN4454" s="4">
        <v>0</v>
      </c>
      <c r="AO4454" s="4">
        <v>0</v>
      </c>
      <c r="AP4454" s="4">
        <v>18</v>
      </c>
      <c r="AQ4454" s="4">
        <v>21</v>
      </c>
      <c r="AR4454" s="3" t="s">
        <v>62</v>
      </c>
      <c r="AS4454" s="3" t="s">
        <v>62</v>
      </c>
      <c r="AT4454" s="3" t="s">
        <v>62</v>
      </c>
      <c r="AV4454" s="6" t="str">
        <f>HYPERLINK("http://mcgill.on.worldcat.org/oclc/44509232","Catalog Record")</f>
        <v>Catalog Record</v>
      </c>
      <c r="AW4454" s="6" t="str">
        <f>HYPERLINK("http://www.worldcat.org/oclc/44509232","WorldCat Record")</f>
        <v>WorldCat Record</v>
      </c>
      <c r="AX4454" s="3" t="s">
        <v>42835</v>
      </c>
      <c r="AY4454" s="3" t="s">
        <v>42836</v>
      </c>
      <c r="AZ4454" s="3" t="s">
        <v>42837</v>
      </c>
      <c r="BA4454" s="3" t="s">
        <v>42837</v>
      </c>
      <c r="BB4454" s="3" t="s">
        <v>42838</v>
      </c>
      <c r="BC4454" s="3" t="s">
        <v>102</v>
      </c>
      <c r="BD4454" s="3" t="s">
        <v>68</v>
      </c>
      <c r="BE4454" s="3" t="s">
        <v>42839</v>
      </c>
      <c r="BF4454" s="3" t="s">
        <v>42838</v>
      </c>
      <c r="BG4454" s="3" t="s">
        <v>42840</v>
      </c>
    </row>
    <row r="4455" spans="1:59" ht="58" x14ac:dyDescent="0.35">
      <c r="A4455" s="2" t="s">
        <v>89</v>
      </c>
      <c r="B4455" s="2" t="s">
        <v>90</v>
      </c>
      <c r="C4455" s="2" t="s">
        <v>42841</v>
      </c>
      <c r="D4455" s="2" t="s">
        <v>42842</v>
      </c>
      <c r="E4455" s="2" t="s">
        <v>42843</v>
      </c>
      <c r="G4455" s="3" t="s">
        <v>62</v>
      </c>
      <c r="I4455" s="3" t="s">
        <v>62</v>
      </c>
      <c r="J4455" s="3" t="s">
        <v>62</v>
      </c>
      <c r="K4455" s="3" t="s">
        <v>63</v>
      </c>
      <c r="M4455" s="2" t="s">
        <v>42844</v>
      </c>
      <c r="N4455" s="3" t="s">
        <v>2985</v>
      </c>
      <c r="P4455" s="3" t="s">
        <v>64</v>
      </c>
      <c r="R4455" s="3" t="s">
        <v>42369</v>
      </c>
      <c r="S4455" s="4">
        <v>4</v>
      </c>
      <c r="T4455" s="4">
        <v>4</v>
      </c>
      <c r="U4455" s="5" t="s">
        <v>9836</v>
      </c>
      <c r="V4455" s="5" t="s">
        <v>9836</v>
      </c>
      <c r="W4455" s="5" t="s">
        <v>67</v>
      </c>
      <c r="X4455" s="5" t="s">
        <v>67</v>
      </c>
      <c r="Y4455" s="4">
        <v>72</v>
      </c>
      <c r="Z4455" s="4">
        <v>15</v>
      </c>
      <c r="AA4455" s="4">
        <v>15</v>
      </c>
      <c r="AB4455" s="4">
        <v>2</v>
      </c>
      <c r="AC4455" s="4">
        <v>2</v>
      </c>
      <c r="AD4455" s="4">
        <v>31</v>
      </c>
      <c r="AE4455" s="4">
        <v>31</v>
      </c>
      <c r="AF4455" s="4">
        <v>0</v>
      </c>
      <c r="AG4455" s="4">
        <v>0</v>
      </c>
      <c r="AH4455" s="4">
        <v>27</v>
      </c>
      <c r="AI4455" s="4">
        <v>27</v>
      </c>
      <c r="AJ4455" s="4">
        <v>7</v>
      </c>
      <c r="AK4455" s="4">
        <v>7</v>
      </c>
      <c r="AL4455" s="4">
        <v>17</v>
      </c>
      <c r="AM4455" s="4">
        <v>17</v>
      </c>
      <c r="AN4455" s="4">
        <v>0</v>
      </c>
      <c r="AO4455" s="4">
        <v>0</v>
      </c>
      <c r="AP4455" s="4">
        <v>9</v>
      </c>
      <c r="AQ4455" s="4">
        <v>9</v>
      </c>
      <c r="AR4455" s="3" t="s">
        <v>62</v>
      </c>
      <c r="AS4455" s="3" t="s">
        <v>62</v>
      </c>
      <c r="AT4455" s="3" t="s">
        <v>62</v>
      </c>
      <c r="AV4455" s="6" t="str">
        <f>HYPERLINK("http://mcgill.on.worldcat.org/oclc/428370874","Catalog Record")</f>
        <v>Catalog Record</v>
      </c>
      <c r="AW4455" s="6" t="str">
        <f>HYPERLINK("http://www.worldcat.org/oclc/428370874","WorldCat Record")</f>
        <v>WorldCat Record</v>
      </c>
      <c r="AX4455" s="3" t="s">
        <v>42845</v>
      </c>
      <c r="AY4455" s="3" t="s">
        <v>42846</v>
      </c>
      <c r="AZ4455" s="3" t="s">
        <v>42847</v>
      </c>
      <c r="BA4455" s="3" t="s">
        <v>42847</v>
      </c>
      <c r="BB4455" s="3" t="s">
        <v>42848</v>
      </c>
      <c r="BC4455" s="3" t="s">
        <v>102</v>
      </c>
      <c r="BD4455" s="3" t="s">
        <v>68</v>
      </c>
      <c r="BE4455" s="3" t="s">
        <v>42849</v>
      </c>
      <c r="BF4455" s="3" t="s">
        <v>42848</v>
      </c>
      <c r="BG4455" s="3" t="s">
        <v>42850</v>
      </c>
    </row>
    <row r="4456" spans="1:59" ht="58" x14ac:dyDescent="0.35">
      <c r="A4456" s="2" t="s">
        <v>89</v>
      </c>
      <c r="B4456" s="2" t="s">
        <v>90</v>
      </c>
      <c r="C4456" s="2" t="s">
        <v>42851</v>
      </c>
      <c r="D4456" s="2" t="s">
        <v>42852</v>
      </c>
      <c r="E4456" s="2" t="s">
        <v>42853</v>
      </c>
      <c r="G4456" s="3" t="s">
        <v>62</v>
      </c>
      <c r="I4456" s="3" t="s">
        <v>62</v>
      </c>
      <c r="J4456" s="3" t="s">
        <v>62</v>
      </c>
      <c r="K4456" s="3" t="s">
        <v>63</v>
      </c>
      <c r="M4456" s="2" t="s">
        <v>42854</v>
      </c>
      <c r="N4456" s="3" t="s">
        <v>640</v>
      </c>
      <c r="P4456" s="3" t="s">
        <v>64</v>
      </c>
      <c r="R4456" s="3" t="s">
        <v>42369</v>
      </c>
      <c r="S4456" s="4">
        <v>16</v>
      </c>
      <c r="T4456" s="4">
        <v>16</v>
      </c>
      <c r="U4456" s="5" t="s">
        <v>22683</v>
      </c>
      <c r="V4456" s="5" t="s">
        <v>22683</v>
      </c>
      <c r="W4456" s="5" t="s">
        <v>67</v>
      </c>
      <c r="X4456" s="5" t="s">
        <v>67</v>
      </c>
      <c r="Y4456" s="4">
        <v>424</v>
      </c>
      <c r="Z4456" s="4">
        <v>24</v>
      </c>
      <c r="AA4456" s="4">
        <v>107</v>
      </c>
      <c r="AB4456" s="4">
        <v>1</v>
      </c>
      <c r="AC4456" s="4">
        <v>18</v>
      </c>
      <c r="AD4456" s="4">
        <v>102</v>
      </c>
      <c r="AE4456" s="4">
        <v>139</v>
      </c>
      <c r="AF4456" s="4">
        <v>0</v>
      </c>
      <c r="AG4456" s="4">
        <v>8</v>
      </c>
      <c r="AH4456" s="4">
        <v>91</v>
      </c>
      <c r="AI4456" s="4">
        <v>102</v>
      </c>
      <c r="AJ4456" s="4">
        <v>14</v>
      </c>
      <c r="AK4456" s="4">
        <v>24</v>
      </c>
      <c r="AL4456" s="4">
        <v>48</v>
      </c>
      <c r="AM4456" s="4">
        <v>53</v>
      </c>
      <c r="AN4456" s="4">
        <v>0</v>
      </c>
      <c r="AO4456" s="4">
        <v>0</v>
      </c>
      <c r="AP4456" s="4">
        <v>19</v>
      </c>
      <c r="AQ4456" s="4">
        <v>46</v>
      </c>
      <c r="AR4456" s="3" t="s">
        <v>62</v>
      </c>
      <c r="AS4456" s="3" t="s">
        <v>62</v>
      </c>
      <c r="AT4456" s="3" t="s">
        <v>62</v>
      </c>
      <c r="AV4456" s="6" t="str">
        <f>HYPERLINK("http://mcgill.on.worldcat.org/oclc/52127452","Catalog Record")</f>
        <v>Catalog Record</v>
      </c>
      <c r="AW4456" s="6" t="str">
        <f>HYPERLINK("http://www.worldcat.org/oclc/52127452","WorldCat Record")</f>
        <v>WorldCat Record</v>
      </c>
      <c r="AX4456" s="3" t="s">
        <v>42855</v>
      </c>
      <c r="AY4456" s="3" t="s">
        <v>42856</v>
      </c>
      <c r="AZ4456" s="3" t="s">
        <v>42857</v>
      </c>
      <c r="BA4456" s="3" t="s">
        <v>42857</v>
      </c>
      <c r="BB4456" s="3" t="s">
        <v>42858</v>
      </c>
      <c r="BC4456" s="3" t="s">
        <v>102</v>
      </c>
      <c r="BD4456" s="3" t="s">
        <v>68</v>
      </c>
      <c r="BE4456" s="3" t="s">
        <v>42859</v>
      </c>
      <c r="BF4456" s="3" t="s">
        <v>42858</v>
      </c>
      <c r="BG4456" s="3" t="s">
        <v>42860</v>
      </c>
    </row>
    <row r="4457" spans="1:59" ht="58" x14ac:dyDescent="0.35">
      <c r="A4457" s="2" t="s">
        <v>89</v>
      </c>
      <c r="B4457" s="2" t="s">
        <v>90</v>
      </c>
      <c r="C4457" s="2" t="s">
        <v>42861</v>
      </c>
      <c r="D4457" s="2" t="s">
        <v>42862</v>
      </c>
      <c r="E4457" s="2" t="s">
        <v>42863</v>
      </c>
      <c r="G4457" s="3" t="s">
        <v>62</v>
      </c>
      <c r="I4457" s="3" t="s">
        <v>62</v>
      </c>
      <c r="J4457" s="3" t="s">
        <v>62</v>
      </c>
      <c r="K4457" s="3" t="s">
        <v>63</v>
      </c>
      <c r="L4457" s="2" t="s">
        <v>42864</v>
      </c>
      <c r="M4457" s="2" t="s">
        <v>42865</v>
      </c>
      <c r="N4457" s="3" t="s">
        <v>2975</v>
      </c>
      <c r="P4457" s="3" t="s">
        <v>64</v>
      </c>
      <c r="R4457" s="3" t="s">
        <v>42369</v>
      </c>
      <c r="S4457" s="4">
        <v>16</v>
      </c>
      <c r="T4457" s="4">
        <v>16</v>
      </c>
      <c r="U4457" s="5" t="s">
        <v>30231</v>
      </c>
      <c r="V4457" s="5" t="s">
        <v>30231</v>
      </c>
      <c r="W4457" s="5" t="s">
        <v>67</v>
      </c>
      <c r="X4457" s="5" t="s">
        <v>67</v>
      </c>
      <c r="Y4457" s="4">
        <v>366</v>
      </c>
      <c r="Z4457" s="4">
        <v>47</v>
      </c>
      <c r="AA4457" s="4">
        <v>130</v>
      </c>
      <c r="AB4457" s="4">
        <v>3</v>
      </c>
      <c r="AC4457" s="4">
        <v>26</v>
      </c>
      <c r="AD4457" s="4">
        <v>118</v>
      </c>
      <c r="AE4457" s="4">
        <v>161</v>
      </c>
      <c r="AF4457" s="4">
        <v>0</v>
      </c>
      <c r="AG4457" s="4">
        <v>9</v>
      </c>
      <c r="AH4457" s="4">
        <v>93</v>
      </c>
      <c r="AI4457" s="4">
        <v>110</v>
      </c>
      <c r="AJ4457" s="4">
        <v>19</v>
      </c>
      <c r="AK4457" s="4">
        <v>30</v>
      </c>
      <c r="AL4457" s="4">
        <v>48</v>
      </c>
      <c r="AM4457" s="4">
        <v>54</v>
      </c>
      <c r="AN4457" s="4">
        <v>0</v>
      </c>
      <c r="AO4457" s="4">
        <v>0</v>
      </c>
      <c r="AP4457" s="4">
        <v>32</v>
      </c>
      <c r="AQ4457" s="4">
        <v>59</v>
      </c>
      <c r="AR4457" s="3" t="s">
        <v>61</v>
      </c>
      <c r="AS4457" s="3" t="s">
        <v>62</v>
      </c>
      <c r="AT4457" s="3" t="s">
        <v>62</v>
      </c>
      <c r="AV4457" s="6" t="str">
        <f>HYPERLINK("http://mcgill.on.worldcat.org/oclc/44751667","Catalog Record")</f>
        <v>Catalog Record</v>
      </c>
      <c r="AW4457" s="6" t="str">
        <f>HYPERLINK("http://www.worldcat.org/oclc/44751667","WorldCat Record")</f>
        <v>WorldCat Record</v>
      </c>
      <c r="AX4457" s="3" t="s">
        <v>42866</v>
      </c>
      <c r="AY4457" s="3" t="s">
        <v>42867</v>
      </c>
      <c r="AZ4457" s="3" t="s">
        <v>42868</v>
      </c>
      <c r="BA4457" s="3" t="s">
        <v>42868</v>
      </c>
      <c r="BB4457" s="3" t="s">
        <v>42869</v>
      </c>
      <c r="BC4457" s="3" t="s">
        <v>102</v>
      </c>
      <c r="BD4457" s="3" t="s">
        <v>68</v>
      </c>
      <c r="BE4457" s="3" t="s">
        <v>42870</v>
      </c>
      <c r="BF4457" s="3" t="s">
        <v>42869</v>
      </c>
      <c r="BG4457" s="3" t="s">
        <v>42871</v>
      </c>
    </row>
    <row r="4458" spans="1:59" ht="58" x14ac:dyDescent="0.35">
      <c r="A4458" s="2" t="s">
        <v>89</v>
      </c>
      <c r="B4458" s="2" t="s">
        <v>90</v>
      </c>
      <c r="C4458" s="2" t="s">
        <v>42872</v>
      </c>
      <c r="D4458" s="2" t="s">
        <v>42873</v>
      </c>
      <c r="E4458" s="2" t="s">
        <v>42874</v>
      </c>
      <c r="G4458" s="3" t="s">
        <v>62</v>
      </c>
      <c r="I4458" s="3" t="s">
        <v>62</v>
      </c>
      <c r="J4458" s="3" t="s">
        <v>62</v>
      </c>
      <c r="K4458" s="3" t="s">
        <v>63</v>
      </c>
      <c r="M4458" s="2" t="s">
        <v>42875</v>
      </c>
      <c r="N4458" s="3" t="s">
        <v>539</v>
      </c>
      <c r="P4458" s="3" t="s">
        <v>85</v>
      </c>
      <c r="Q4458" s="2" t="s">
        <v>42876</v>
      </c>
      <c r="R4458" s="3" t="s">
        <v>42369</v>
      </c>
      <c r="S4458" s="4">
        <v>8</v>
      </c>
      <c r="T4458" s="4">
        <v>8</v>
      </c>
      <c r="U4458" s="5" t="s">
        <v>27978</v>
      </c>
      <c r="V4458" s="5" t="s">
        <v>27978</v>
      </c>
      <c r="W4458" s="5" t="s">
        <v>67</v>
      </c>
      <c r="X4458" s="5" t="s">
        <v>67</v>
      </c>
      <c r="Y4458" s="4">
        <v>114</v>
      </c>
      <c r="Z4458" s="4">
        <v>16</v>
      </c>
      <c r="AA4458" s="4">
        <v>16</v>
      </c>
      <c r="AB4458" s="4">
        <v>12</v>
      </c>
      <c r="AC4458" s="4">
        <v>12</v>
      </c>
      <c r="AD4458" s="4">
        <v>8</v>
      </c>
      <c r="AE4458" s="4">
        <v>10</v>
      </c>
      <c r="AF4458" s="4">
        <v>4</v>
      </c>
      <c r="AG4458" s="4">
        <v>4</v>
      </c>
      <c r="AH4458" s="4">
        <v>5</v>
      </c>
      <c r="AI4458" s="4">
        <v>6</v>
      </c>
      <c r="AJ4458" s="4">
        <v>5</v>
      </c>
      <c r="AK4458" s="4">
        <v>5</v>
      </c>
      <c r="AL4458" s="4">
        <v>2</v>
      </c>
      <c r="AM4458" s="4">
        <v>4</v>
      </c>
      <c r="AN4458" s="4">
        <v>0</v>
      </c>
      <c r="AO4458" s="4">
        <v>0</v>
      </c>
      <c r="AP4458" s="4">
        <v>5</v>
      </c>
      <c r="AQ4458" s="4">
        <v>5</v>
      </c>
      <c r="AR4458" s="3" t="s">
        <v>62</v>
      </c>
      <c r="AS4458" s="3" t="s">
        <v>62</v>
      </c>
      <c r="AT4458" s="3" t="s">
        <v>62</v>
      </c>
      <c r="AV4458" s="6" t="str">
        <f>HYPERLINK("http://mcgill.on.worldcat.org/oclc/39785163","Catalog Record")</f>
        <v>Catalog Record</v>
      </c>
      <c r="AW4458" s="6" t="str">
        <f>HYPERLINK("http://www.worldcat.org/oclc/39785163","WorldCat Record")</f>
        <v>WorldCat Record</v>
      </c>
      <c r="AX4458" s="3" t="s">
        <v>42877</v>
      </c>
      <c r="AY4458" s="3" t="s">
        <v>42878</v>
      </c>
      <c r="AZ4458" s="3" t="s">
        <v>42879</v>
      </c>
      <c r="BA4458" s="3" t="s">
        <v>42879</v>
      </c>
      <c r="BB4458" s="3" t="s">
        <v>42880</v>
      </c>
      <c r="BC4458" s="3" t="s">
        <v>102</v>
      </c>
      <c r="BD4458" s="3" t="s">
        <v>68</v>
      </c>
      <c r="BE4458" s="3" t="s">
        <v>42881</v>
      </c>
      <c r="BF4458" s="3" t="s">
        <v>42880</v>
      </c>
      <c r="BG4458" s="3" t="s">
        <v>42882</v>
      </c>
    </row>
    <row r="4459" spans="1:59" ht="58" x14ac:dyDescent="0.35">
      <c r="A4459" s="2" t="s">
        <v>89</v>
      </c>
      <c r="B4459" s="2" t="s">
        <v>90</v>
      </c>
      <c r="C4459" s="2" t="s">
        <v>42883</v>
      </c>
      <c r="D4459" s="2" t="s">
        <v>42884</v>
      </c>
      <c r="E4459" s="2" t="s">
        <v>42885</v>
      </c>
      <c r="G4459" s="3" t="s">
        <v>62</v>
      </c>
      <c r="I4459" s="3" t="s">
        <v>62</v>
      </c>
      <c r="J4459" s="3" t="s">
        <v>62</v>
      </c>
      <c r="K4459" s="3" t="s">
        <v>63</v>
      </c>
      <c r="M4459" s="2" t="s">
        <v>42886</v>
      </c>
      <c r="N4459" s="3" t="s">
        <v>640</v>
      </c>
      <c r="P4459" s="3" t="s">
        <v>64</v>
      </c>
      <c r="Q4459" s="2" t="s">
        <v>42887</v>
      </c>
      <c r="R4459" s="3" t="s">
        <v>42369</v>
      </c>
      <c r="S4459" s="4">
        <v>15</v>
      </c>
      <c r="T4459" s="4">
        <v>15</v>
      </c>
      <c r="U4459" s="5" t="s">
        <v>18979</v>
      </c>
      <c r="V4459" s="5" t="s">
        <v>18979</v>
      </c>
      <c r="W4459" s="5" t="s">
        <v>67</v>
      </c>
      <c r="X4459" s="5" t="s">
        <v>67</v>
      </c>
      <c r="Y4459" s="4">
        <v>142</v>
      </c>
      <c r="Z4459" s="4">
        <v>12</v>
      </c>
      <c r="AA4459" s="4">
        <v>15</v>
      </c>
      <c r="AB4459" s="4">
        <v>1</v>
      </c>
      <c r="AC4459" s="4">
        <v>4</v>
      </c>
      <c r="AD4459" s="4">
        <v>61</v>
      </c>
      <c r="AE4459" s="4">
        <v>64</v>
      </c>
      <c r="AF4459" s="4">
        <v>0</v>
      </c>
      <c r="AG4459" s="4">
        <v>0</v>
      </c>
      <c r="AH4459" s="4">
        <v>56</v>
      </c>
      <c r="AI4459" s="4">
        <v>59</v>
      </c>
      <c r="AJ4459" s="4">
        <v>8</v>
      </c>
      <c r="AK4459" s="4">
        <v>8</v>
      </c>
      <c r="AL4459" s="4">
        <v>33</v>
      </c>
      <c r="AM4459" s="4">
        <v>34</v>
      </c>
      <c r="AN4459" s="4">
        <v>0</v>
      </c>
      <c r="AO4459" s="4">
        <v>0</v>
      </c>
      <c r="AP4459" s="4">
        <v>9</v>
      </c>
      <c r="AQ4459" s="4">
        <v>9</v>
      </c>
      <c r="AR4459" s="3" t="s">
        <v>62</v>
      </c>
      <c r="AS4459" s="3" t="s">
        <v>62</v>
      </c>
      <c r="AT4459" s="3" t="s">
        <v>62</v>
      </c>
      <c r="AV4459" s="6" t="str">
        <f>HYPERLINK("http://mcgill.on.worldcat.org/oclc/52587592","Catalog Record")</f>
        <v>Catalog Record</v>
      </c>
      <c r="AW4459" s="6" t="str">
        <f>HYPERLINK("http://www.worldcat.org/oclc/52587592","WorldCat Record")</f>
        <v>WorldCat Record</v>
      </c>
      <c r="AX4459" s="3" t="s">
        <v>42888</v>
      </c>
      <c r="AY4459" s="3" t="s">
        <v>42889</v>
      </c>
      <c r="AZ4459" s="3" t="s">
        <v>42890</v>
      </c>
      <c r="BA4459" s="3" t="s">
        <v>42890</v>
      </c>
      <c r="BB4459" s="3" t="s">
        <v>42891</v>
      </c>
      <c r="BC4459" s="3" t="s">
        <v>102</v>
      </c>
      <c r="BD4459" s="3" t="s">
        <v>68</v>
      </c>
      <c r="BE4459" s="3" t="s">
        <v>42892</v>
      </c>
      <c r="BF4459" s="3" t="s">
        <v>42891</v>
      </c>
      <c r="BG4459" s="3" t="s">
        <v>42893</v>
      </c>
    </row>
    <row r="4460" spans="1:59" ht="58" x14ac:dyDescent="0.35">
      <c r="A4460" s="2" t="s">
        <v>89</v>
      </c>
      <c r="B4460" s="2" t="s">
        <v>90</v>
      </c>
      <c r="C4460" s="2" t="s">
        <v>42894</v>
      </c>
      <c r="D4460" s="2" t="s">
        <v>42895</v>
      </c>
      <c r="E4460" s="2" t="s">
        <v>42896</v>
      </c>
      <c r="G4460" s="3" t="s">
        <v>62</v>
      </c>
      <c r="I4460" s="3" t="s">
        <v>62</v>
      </c>
      <c r="J4460" s="3" t="s">
        <v>62</v>
      </c>
      <c r="K4460" s="3" t="s">
        <v>63</v>
      </c>
      <c r="M4460" s="2" t="s">
        <v>42897</v>
      </c>
      <c r="N4460" s="3" t="s">
        <v>481</v>
      </c>
      <c r="P4460" s="3" t="s">
        <v>85</v>
      </c>
      <c r="Q4460" s="2" t="s">
        <v>42898</v>
      </c>
      <c r="R4460" s="3" t="s">
        <v>42369</v>
      </c>
      <c r="S4460" s="4">
        <v>6</v>
      </c>
      <c r="T4460" s="4">
        <v>6</v>
      </c>
      <c r="U4460" s="5" t="s">
        <v>42813</v>
      </c>
      <c r="V4460" s="5" t="s">
        <v>42813</v>
      </c>
      <c r="W4460" s="5" t="s">
        <v>67</v>
      </c>
      <c r="X4460" s="5" t="s">
        <v>67</v>
      </c>
      <c r="Y4460" s="4">
        <v>74</v>
      </c>
      <c r="Z4460" s="4">
        <v>7</v>
      </c>
      <c r="AA4460" s="4">
        <v>15</v>
      </c>
      <c r="AB4460" s="4">
        <v>1</v>
      </c>
      <c r="AC4460" s="4">
        <v>7</v>
      </c>
      <c r="AD4460" s="4">
        <v>32</v>
      </c>
      <c r="AE4460" s="4">
        <v>38</v>
      </c>
      <c r="AF4460" s="4">
        <v>0</v>
      </c>
      <c r="AG4460" s="4">
        <v>3</v>
      </c>
      <c r="AH4460" s="4">
        <v>31</v>
      </c>
      <c r="AI4460" s="4">
        <v>34</v>
      </c>
      <c r="AJ4460" s="4">
        <v>3</v>
      </c>
      <c r="AK4460" s="4">
        <v>7</v>
      </c>
      <c r="AL4460" s="4">
        <v>20</v>
      </c>
      <c r="AM4460" s="4">
        <v>21</v>
      </c>
      <c r="AN4460" s="4">
        <v>0</v>
      </c>
      <c r="AO4460" s="4">
        <v>0</v>
      </c>
      <c r="AP4460" s="4">
        <v>3</v>
      </c>
      <c r="AQ4460" s="4">
        <v>7</v>
      </c>
      <c r="AR4460" s="3" t="s">
        <v>62</v>
      </c>
      <c r="AS4460" s="3" t="s">
        <v>62</v>
      </c>
      <c r="AT4460" s="3" t="s">
        <v>62</v>
      </c>
      <c r="AV4460" s="6" t="str">
        <f>HYPERLINK("http://mcgill.on.worldcat.org/oclc/38744282","Catalog Record")</f>
        <v>Catalog Record</v>
      </c>
      <c r="AW4460" s="6" t="str">
        <f>HYPERLINK("http://www.worldcat.org/oclc/38744282","WorldCat Record")</f>
        <v>WorldCat Record</v>
      </c>
      <c r="AX4460" s="3" t="s">
        <v>42899</v>
      </c>
      <c r="AY4460" s="3" t="s">
        <v>42900</v>
      </c>
      <c r="AZ4460" s="3" t="s">
        <v>42901</v>
      </c>
      <c r="BA4460" s="3" t="s">
        <v>42901</v>
      </c>
      <c r="BB4460" s="3" t="s">
        <v>42902</v>
      </c>
      <c r="BC4460" s="3" t="s">
        <v>102</v>
      </c>
      <c r="BD4460" s="3" t="s">
        <v>68</v>
      </c>
      <c r="BE4460" s="3" t="s">
        <v>42903</v>
      </c>
      <c r="BF4460" s="3" t="s">
        <v>42902</v>
      </c>
      <c r="BG4460" s="3" t="s">
        <v>42904</v>
      </c>
    </row>
    <row r="4461" spans="1:59" ht="58" x14ac:dyDescent="0.35">
      <c r="A4461" s="2" t="s">
        <v>89</v>
      </c>
      <c r="B4461" s="2" t="s">
        <v>90</v>
      </c>
      <c r="C4461" s="2" t="s">
        <v>42905</v>
      </c>
      <c r="D4461" s="2" t="s">
        <v>42906</v>
      </c>
      <c r="E4461" s="2" t="s">
        <v>42907</v>
      </c>
      <c r="G4461" s="3" t="s">
        <v>62</v>
      </c>
      <c r="I4461" s="3" t="s">
        <v>62</v>
      </c>
      <c r="J4461" s="3" t="s">
        <v>62</v>
      </c>
      <c r="K4461" s="3" t="s">
        <v>63</v>
      </c>
      <c r="L4461" s="2" t="s">
        <v>42908</v>
      </c>
      <c r="M4461" s="2" t="s">
        <v>42909</v>
      </c>
      <c r="N4461" s="3" t="s">
        <v>726</v>
      </c>
      <c r="P4461" s="3" t="s">
        <v>64</v>
      </c>
      <c r="R4461" s="3" t="s">
        <v>42369</v>
      </c>
      <c r="S4461" s="4">
        <v>0</v>
      </c>
      <c r="T4461" s="4">
        <v>0</v>
      </c>
      <c r="W4461" s="5" t="s">
        <v>67</v>
      </c>
      <c r="X4461" s="5" t="s">
        <v>67</v>
      </c>
      <c r="Y4461" s="4">
        <v>4</v>
      </c>
      <c r="Z4461" s="4">
        <v>3</v>
      </c>
      <c r="AA4461" s="4">
        <v>3</v>
      </c>
      <c r="AB4461" s="4">
        <v>1</v>
      </c>
      <c r="AC4461" s="4">
        <v>1</v>
      </c>
      <c r="AD4461" s="4">
        <v>2</v>
      </c>
      <c r="AE4461" s="4">
        <v>2</v>
      </c>
      <c r="AF4461" s="4">
        <v>0</v>
      </c>
      <c r="AG4461" s="4">
        <v>0</v>
      </c>
      <c r="AH4461" s="4">
        <v>1</v>
      </c>
      <c r="AI4461" s="4">
        <v>1</v>
      </c>
      <c r="AJ4461" s="4">
        <v>2</v>
      </c>
      <c r="AK4461" s="4">
        <v>2</v>
      </c>
      <c r="AL4461" s="4">
        <v>0</v>
      </c>
      <c r="AM4461" s="4">
        <v>0</v>
      </c>
      <c r="AN4461" s="4">
        <v>0</v>
      </c>
      <c r="AO4461" s="4">
        <v>0</v>
      </c>
      <c r="AP4461" s="4">
        <v>1</v>
      </c>
      <c r="AQ4461" s="4">
        <v>1</v>
      </c>
      <c r="AR4461" s="3" t="s">
        <v>61</v>
      </c>
      <c r="AS4461" s="3" t="s">
        <v>62</v>
      </c>
      <c r="AT4461" s="3" t="s">
        <v>62</v>
      </c>
      <c r="AV4461" s="6" t="str">
        <f>HYPERLINK("http://mcgill.on.worldcat.org/oclc/1049174402","Catalog Record")</f>
        <v>Catalog Record</v>
      </c>
      <c r="AW4461" s="6" t="str">
        <f>HYPERLINK("http://www.worldcat.org/oclc/1049174402","WorldCat Record")</f>
        <v>WorldCat Record</v>
      </c>
      <c r="AX4461" s="3" t="s">
        <v>42910</v>
      </c>
      <c r="AY4461" s="3" t="s">
        <v>42911</v>
      </c>
      <c r="AZ4461" s="3" t="s">
        <v>42912</v>
      </c>
      <c r="BA4461" s="3" t="s">
        <v>42912</v>
      </c>
      <c r="BB4461" s="3" t="s">
        <v>42913</v>
      </c>
      <c r="BC4461" s="3" t="s">
        <v>102</v>
      </c>
      <c r="BD4461" s="3" t="s">
        <v>68</v>
      </c>
      <c r="BE4461" s="3" t="s">
        <v>42914</v>
      </c>
      <c r="BF4461" s="3" t="s">
        <v>42913</v>
      </c>
      <c r="BG4461" s="3" t="s">
        <v>42915</v>
      </c>
    </row>
    <row r="4462" spans="1:59" ht="58" x14ac:dyDescent="0.35">
      <c r="A4462" s="2" t="s">
        <v>59</v>
      </c>
      <c r="B4462" s="2" t="s">
        <v>60</v>
      </c>
      <c r="C4462" s="2" t="s">
        <v>42916</v>
      </c>
      <c r="D4462" s="2" t="s">
        <v>42917</v>
      </c>
      <c r="E4462" s="2" t="s">
        <v>42918</v>
      </c>
      <c r="G4462" s="3" t="s">
        <v>62</v>
      </c>
      <c r="I4462" s="3" t="s">
        <v>62</v>
      </c>
      <c r="J4462" s="3" t="s">
        <v>62</v>
      </c>
      <c r="K4462" s="3" t="s">
        <v>63</v>
      </c>
      <c r="L4462" s="2" t="s">
        <v>42919</v>
      </c>
      <c r="M4462" s="2" t="s">
        <v>42920</v>
      </c>
      <c r="N4462" s="3" t="s">
        <v>2588</v>
      </c>
      <c r="P4462" s="3" t="s">
        <v>64</v>
      </c>
      <c r="R4462" s="3" t="s">
        <v>42369</v>
      </c>
      <c r="S4462" s="4">
        <v>6</v>
      </c>
      <c r="T4462" s="4">
        <v>6</v>
      </c>
      <c r="U4462" s="5" t="s">
        <v>2543</v>
      </c>
      <c r="V4462" s="5" t="s">
        <v>2543</v>
      </c>
      <c r="W4462" s="5" t="s">
        <v>67</v>
      </c>
      <c r="X4462" s="5" t="s">
        <v>67</v>
      </c>
      <c r="Y4462" s="4">
        <v>103</v>
      </c>
      <c r="Z4462" s="4">
        <v>23</v>
      </c>
      <c r="AA4462" s="4">
        <v>28</v>
      </c>
      <c r="AB4462" s="4">
        <v>1</v>
      </c>
      <c r="AC4462" s="4">
        <v>1</v>
      </c>
      <c r="AD4462" s="4">
        <v>26</v>
      </c>
      <c r="AE4462" s="4">
        <v>29</v>
      </c>
      <c r="AF4462" s="4">
        <v>0</v>
      </c>
      <c r="AG4462" s="4">
        <v>0</v>
      </c>
      <c r="AH4462" s="4">
        <v>20</v>
      </c>
      <c r="AI4462" s="4">
        <v>20</v>
      </c>
      <c r="AJ4462" s="4">
        <v>6</v>
      </c>
      <c r="AK4462" s="4">
        <v>9</v>
      </c>
      <c r="AL4462" s="4">
        <v>9</v>
      </c>
      <c r="AM4462" s="4">
        <v>9</v>
      </c>
      <c r="AN4462" s="4">
        <v>0</v>
      </c>
      <c r="AO4462" s="4">
        <v>0</v>
      </c>
      <c r="AP4462" s="4">
        <v>9</v>
      </c>
      <c r="AQ4462" s="4">
        <v>10</v>
      </c>
      <c r="AR4462" s="3" t="s">
        <v>61</v>
      </c>
      <c r="AS4462" s="3" t="s">
        <v>62</v>
      </c>
      <c r="AT4462" s="3" t="s">
        <v>62</v>
      </c>
      <c r="AV4462" s="6" t="str">
        <f>HYPERLINK("http://mcgill.on.worldcat.org/oclc/3161851","Catalog Record")</f>
        <v>Catalog Record</v>
      </c>
      <c r="AW4462" s="6" t="str">
        <f>HYPERLINK("http://www.worldcat.org/oclc/3161851","WorldCat Record")</f>
        <v>WorldCat Record</v>
      </c>
      <c r="AX4462" s="3" t="s">
        <v>42921</v>
      </c>
      <c r="AY4462" s="3" t="s">
        <v>42922</v>
      </c>
      <c r="AZ4462" s="3" t="s">
        <v>42923</v>
      </c>
      <c r="BA4462" s="3" t="s">
        <v>42923</v>
      </c>
      <c r="BB4462" s="3" t="s">
        <v>42924</v>
      </c>
      <c r="BC4462" s="3" t="s">
        <v>102</v>
      </c>
      <c r="BD4462" s="3" t="s">
        <v>68</v>
      </c>
      <c r="BE4462" s="3" t="s">
        <v>42925</v>
      </c>
      <c r="BF4462" s="3" t="s">
        <v>42924</v>
      </c>
      <c r="BG4462" s="3" t="s">
        <v>42926</v>
      </c>
    </row>
    <row r="4463" spans="1:59" ht="58" x14ac:dyDescent="0.35">
      <c r="A4463" s="2" t="s">
        <v>89</v>
      </c>
      <c r="B4463" s="2" t="s">
        <v>90</v>
      </c>
      <c r="C4463" s="2" t="s">
        <v>42927</v>
      </c>
      <c r="D4463" s="2" t="s">
        <v>42928</v>
      </c>
      <c r="E4463" s="2" t="s">
        <v>42929</v>
      </c>
      <c r="G4463" s="3" t="s">
        <v>62</v>
      </c>
      <c r="I4463" s="3" t="s">
        <v>62</v>
      </c>
      <c r="J4463" s="3" t="s">
        <v>62</v>
      </c>
      <c r="K4463" s="3" t="s">
        <v>63</v>
      </c>
      <c r="L4463" s="2" t="s">
        <v>42930</v>
      </c>
      <c r="M4463" s="2" t="s">
        <v>42931</v>
      </c>
      <c r="N4463" s="3" t="s">
        <v>640</v>
      </c>
      <c r="P4463" s="3" t="s">
        <v>64</v>
      </c>
      <c r="R4463" s="3" t="s">
        <v>42369</v>
      </c>
      <c r="S4463" s="4">
        <v>11</v>
      </c>
      <c r="T4463" s="4">
        <v>11</v>
      </c>
      <c r="U4463" s="5" t="s">
        <v>42932</v>
      </c>
      <c r="V4463" s="5" t="s">
        <v>42932</v>
      </c>
      <c r="W4463" s="5" t="s">
        <v>67</v>
      </c>
      <c r="X4463" s="5" t="s">
        <v>67</v>
      </c>
      <c r="Y4463" s="4">
        <v>517</v>
      </c>
      <c r="Z4463" s="4">
        <v>22</v>
      </c>
      <c r="AA4463" s="4">
        <v>27</v>
      </c>
      <c r="AB4463" s="4">
        <v>1</v>
      </c>
      <c r="AC4463" s="4">
        <v>6</v>
      </c>
      <c r="AD4463" s="4">
        <v>79</v>
      </c>
      <c r="AE4463" s="4">
        <v>81</v>
      </c>
      <c r="AF4463" s="4">
        <v>0</v>
      </c>
      <c r="AG4463" s="4">
        <v>2</v>
      </c>
      <c r="AH4463" s="4">
        <v>73</v>
      </c>
      <c r="AI4463" s="4">
        <v>74</v>
      </c>
      <c r="AJ4463" s="4">
        <v>11</v>
      </c>
      <c r="AK4463" s="4">
        <v>13</v>
      </c>
      <c r="AL4463" s="4">
        <v>35</v>
      </c>
      <c r="AM4463" s="4">
        <v>35</v>
      </c>
      <c r="AN4463" s="4">
        <v>0</v>
      </c>
      <c r="AO4463" s="4">
        <v>0</v>
      </c>
      <c r="AP4463" s="4">
        <v>13</v>
      </c>
      <c r="AQ4463" s="4">
        <v>14</v>
      </c>
      <c r="AR4463" s="3" t="s">
        <v>62</v>
      </c>
      <c r="AS4463" s="3" t="s">
        <v>62</v>
      </c>
      <c r="AT4463" s="3" t="s">
        <v>61</v>
      </c>
      <c r="AU4463" s="6" t="str">
        <f>HYPERLINK("http://catalog.hathitrust.org/Record/004925642","HathiTrust Record")</f>
        <v>HathiTrust Record</v>
      </c>
      <c r="AV4463" s="6" t="str">
        <f>HYPERLINK("http://mcgill.on.worldcat.org/oclc/55982193","Catalog Record")</f>
        <v>Catalog Record</v>
      </c>
      <c r="AW4463" s="6" t="str">
        <f>HYPERLINK("http://www.worldcat.org/oclc/55982193","WorldCat Record")</f>
        <v>WorldCat Record</v>
      </c>
      <c r="AX4463" s="3" t="s">
        <v>42933</v>
      </c>
      <c r="AY4463" s="3" t="s">
        <v>42934</v>
      </c>
      <c r="AZ4463" s="3" t="s">
        <v>42935</v>
      </c>
      <c r="BA4463" s="3" t="s">
        <v>42935</v>
      </c>
      <c r="BB4463" s="3" t="s">
        <v>42936</v>
      </c>
      <c r="BC4463" s="3" t="s">
        <v>102</v>
      </c>
      <c r="BD4463" s="3" t="s">
        <v>68</v>
      </c>
      <c r="BE4463" s="3" t="s">
        <v>42937</v>
      </c>
      <c r="BF4463" s="3" t="s">
        <v>42936</v>
      </c>
      <c r="BG4463" s="3" t="s">
        <v>42938</v>
      </c>
    </row>
    <row r="4464" spans="1:59" ht="58" x14ac:dyDescent="0.35">
      <c r="A4464" s="2" t="s">
        <v>59</v>
      </c>
      <c r="B4464" s="2" t="s">
        <v>60</v>
      </c>
      <c r="C4464" s="2" t="s">
        <v>42939</v>
      </c>
      <c r="D4464" s="2" t="s">
        <v>42940</v>
      </c>
      <c r="E4464" s="2" t="s">
        <v>42941</v>
      </c>
      <c r="G4464" s="3" t="s">
        <v>62</v>
      </c>
      <c r="I4464" s="3" t="s">
        <v>61</v>
      </c>
      <c r="J4464" s="3" t="s">
        <v>62</v>
      </c>
      <c r="K4464" s="3" t="s">
        <v>63</v>
      </c>
      <c r="L4464" s="2" t="s">
        <v>42942</v>
      </c>
      <c r="M4464" s="2" t="s">
        <v>42943</v>
      </c>
      <c r="N4464" s="3" t="s">
        <v>866</v>
      </c>
      <c r="P4464" s="3" t="s">
        <v>64</v>
      </c>
      <c r="Q4464" s="2" t="s">
        <v>42944</v>
      </c>
      <c r="R4464" s="3" t="s">
        <v>42369</v>
      </c>
      <c r="S4464" s="4">
        <v>4</v>
      </c>
      <c r="T4464" s="4">
        <v>23</v>
      </c>
      <c r="U4464" s="5" t="s">
        <v>42945</v>
      </c>
      <c r="V4464" s="5" t="s">
        <v>5160</v>
      </c>
      <c r="W4464" s="5" t="s">
        <v>67</v>
      </c>
      <c r="X4464" s="5" t="s">
        <v>67</v>
      </c>
      <c r="Y4464" s="4">
        <v>535</v>
      </c>
      <c r="Z4464" s="4">
        <v>49</v>
      </c>
      <c r="AA4464" s="4">
        <v>62</v>
      </c>
      <c r="AB4464" s="4">
        <v>5</v>
      </c>
      <c r="AC4464" s="4">
        <v>16</v>
      </c>
      <c r="AD4464" s="4">
        <v>117</v>
      </c>
      <c r="AE4464" s="4">
        <v>124</v>
      </c>
      <c r="AF4464" s="4">
        <v>2</v>
      </c>
      <c r="AG4464" s="4">
        <v>5</v>
      </c>
      <c r="AH4464" s="4">
        <v>94</v>
      </c>
      <c r="AI4464" s="4">
        <v>98</v>
      </c>
      <c r="AJ4464" s="4">
        <v>19</v>
      </c>
      <c r="AK4464" s="4">
        <v>23</v>
      </c>
      <c r="AL4464" s="4">
        <v>49</v>
      </c>
      <c r="AM4464" s="4">
        <v>51</v>
      </c>
      <c r="AN4464" s="4">
        <v>0</v>
      </c>
      <c r="AO4464" s="4">
        <v>0</v>
      </c>
      <c r="AP4464" s="4">
        <v>31</v>
      </c>
      <c r="AQ4464" s="4">
        <v>35</v>
      </c>
      <c r="AR4464" s="3" t="s">
        <v>62</v>
      </c>
      <c r="AS4464" s="3" t="s">
        <v>62</v>
      </c>
      <c r="AT4464" s="3" t="s">
        <v>61</v>
      </c>
      <c r="AU4464" s="6" t="str">
        <f>HYPERLINK("http://catalog.hathitrust.org/Record/001498963","HathiTrust Record")</f>
        <v>HathiTrust Record</v>
      </c>
      <c r="AV4464" s="6" t="str">
        <f>HYPERLINK("http://mcgill.on.worldcat.org/oclc/590792","Catalog Record")</f>
        <v>Catalog Record</v>
      </c>
      <c r="AW4464" s="6" t="str">
        <f>HYPERLINK("http://www.worldcat.org/oclc/590792","WorldCat Record")</f>
        <v>WorldCat Record</v>
      </c>
      <c r="AX4464" s="3" t="s">
        <v>42946</v>
      </c>
      <c r="AY4464" s="3" t="s">
        <v>42947</v>
      </c>
      <c r="AZ4464" s="3" t="s">
        <v>42948</v>
      </c>
      <c r="BA4464" s="3" t="s">
        <v>42948</v>
      </c>
      <c r="BB4464" s="3" t="s">
        <v>42949</v>
      </c>
      <c r="BC4464" s="3" t="s">
        <v>102</v>
      </c>
      <c r="BD4464" s="3" t="s">
        <v>68</v>
      </c>
      <c r="BE4464" s="3" t="s">
        <v>42950</v>
      </c>
      <c r="BF4464" s="3" t="s">
        <v>42949</v>
      </c>
      <c r="BG4464" s="3" t="s">
        <v>42951</v>
      </c>
    </row>
    <row r="4465" spans="1:59" ht="58" x14ac:dyDescent="0.35">
      <c r="A4465" s="2" t="s">
        <v>89</v>
      </c>
      <c r="B4465" s="2" t="s">
        <v>90</v>
      </c>
      <c r="C4465" s="2" t="s">
        <v>42952</v>
      </c>
      <c r="D4465" s="2" t="s">
        <v>42953</v>
      </c>
      <c r="E4465" s="2" t="s">
        <v>42954</v>
      </c>
      <c r="G4465" s="3" t="s">
        <v>62</v>
      </c>
      <c r="I4465" s="3" t="s">
        <v>62</v>
      </c>
      <c r="J4465" s="3" t="s">
        <v>62</v>
      </c>
      <c r="K4465" s="3" t="s">
        <v>63</v>
      </c>
      <c r="L4465" s="2" t="s">
        <v>42955</v>
      </c>
      <c r="M4465" s="2" t="s">
        <v>18169</v>
      </c>
      <c r="N4465" s="3" t="s">
        <v>1038</v>
      </c>
      <c r="P4465" s="3" t="s">
        <v>64</v>
      </c>
      <c r="Q4465" s="2" t="s">
        <v>42956</v>
      </c>
      <c r="R4465" s="3" t="s">
        <v>42369</v>
      </c>
      <c r="S4465" s="4">
        <v>2</v>
      </c>
      <c r="T4465" s="4">
        <v>2</v>
      </c>
      <c r="U4465" s="5" t="s">
        <v>23692</v>
      </c>
      <c r="V4465" s="5" t="s">
        <v>23692</v>
      </c>
      <c r="W4465" s="5" t="s">
        <v>67</v>
      </c>
      <c r="X4465" s="5" t="s">
        <v>67</v>
      </c>
      <c r="Y4465" s="4">
        <v>204</v>
      </c>
      <c r="Z4465" s="4">
        <v>15</v>
      </c>
      <c r="AA4465" s="4">
        <v>89</v>
      </c>
      <c r="AB4465" s="4">
        <v>2</v>
      </c>
      <c r="AC4465" s="4">
        <v>19</v>
      </c>
      <c r="AD4465" s="4">
        <v>27</v>
      </c>
      <c r="AE4465" s="4">
        <v>108</v>
      </c>
      <c r="AF4465" s="4">
        <v>0</v>
      </c>
      <c r="AG4465" s="4">
        <v>8</v>
      </c>
      <c r="AH4465" s="4">
        <v>23</v>
      </c>
      <c r="AI4465" s="4">
        <v>75</v>
      </c>
      <c r="AJ4465" s="4">
        <v>5</v>
      </c>
      <c r="AK4465" s="4">
        <v>22</v>
      </c>
      <c r="AL4465" s="4">
        <v>16</v>
      </c>
      <c r="AM4465" s="4">
        <v>39</v>
      </c>
      <c r="AN4465" s="4">
        <v>0</v>
      </c>
      <c r="AO4465" s="4">
        <v>0</v>
      </c>
      <c r="AP4465" s="4">
        <v>5</v>
      </c>
      <c r="AQ4465" s="4">
        <v>39</v>
      </c>
      <c r="AR4465" s="3" t="s">
        <v>62</v>
      </c>
      <c r="AS4465" s="3" t="s">
        <v>62</v>
      </c>
      <c r="AT4465" s="3" t="s">
        <v>62</v>
      </c>
      <c r="AV4465" s="6" t="str">
        <f>HYPERLINK("http://mcgill.on.worldcat.org/oclc/910566494","Catalog Record")</f>
        <v>Catalog Record</v>
      </c>
      <c r="AW4465" s="6" t="str">
        <f>HYPERLINK("http://www.worldcat.org/oclc/910566494","WorldCat Record")</f>
        <v>WorldCat Record</v>
      </c>
      <c r="AX4465" s="3" t="s">
        <v>42957</v>
      </c>
      <c r="AY4465" s="3" t="s">
        <v>42958</v>
      </c>
      <c r="AZ4465" s="3" t="s">
        <v>42959</v>
      </c>
      <c r="BA4465" s="3" t="s">
        <v>42959</v>
      </c>
      <c r="BB4465" s="3" t="s">
        <v>42960</v>
      </c>
      <c r="BC4465" s="3" t="s">
        <v>102</v>
      </c>
      <c r="BD4465" s="3" t="s">
        <v>68</v>
      </c>
      <c r="BE4465" s="3" t="s">
        <v>42961</v>
      </c>
      <c r="BF4465" s="3" t="s">
        <v>42960</v>
      </c>
      <c r="BG4465" s="3" t="s">
        <v>42962</v>
      </c>
    </row>
    <row r="4466" spans="1:59" ht="58" x14ac:dyDescent="0.35">
      <c r="A4466" s="2" t="s">
        <v>59</v>
      </c>
      <c r="B4466" s="2" t="s">
        <v>60</v>
      </c>
      <c r="C4466" s="2" t="s">
        <v>42963</v>
      </c>
      <c r="D4466" s="2" t="s">
        <v>42964</v>
      </c>
      <c r="E4466" s="2" t="s">
        <v>42965</v>
      </c>
      <c r="G4466" s="3" t="s">
        <v>62</v>
      </c>
      <c r="I4466" s="3" t="s">
        <v>61</v>
      </c>
      <c r="J4466" s="3" t="s">
        <v>62</v>
      </c>
      <c r="K4466" s="3" t="s">
        <v>63</v>
      </c>
      <c r="L4466" s="2" t="s">
        <v>42966</v>
      </c>
      <c r="M4466" s="2" t="s">
        <v>42967</v>
      </c>
      <c r="N4466" s="3" t="s">
        <v>954</v>
      </c>
      <c r="P4466" s="3" t="s">
        <v>64</v>
      </c>
      <c r="R4466" s="3" t="s">
        <v>42369</v>
      </c>
      <c r="S4466" s="4">
        <v>0</v>
      </c>
      <c r="T4466" s="4">
        <v>7</v>
      </c>
      <c r="V4466" s="5" t="s">
        <v>6823</v>
      </c>
      <c r="W4466" s="5" t="s">
        <v>67</v>
      </c>
      <c r="X4466" s="5" t="s">
        <v>67</v>
      </c>
      <c r="Y4466" s="4">
        <v>545</v>
      </c>
      <c r="Z4466" s="4">
        <v>28</v>
      </c>
      <c r="AA4466" s="4">
        <v>34</v>
      </c>
      <c r="AB4466" s="4">
        <v>2</v>
      </c>
      <c r="AC4466" s="4">
        <v>6</v>
      </c>
      <c r="AD4466" s="4">
        <v>103</v>
      </c>
      <c r="AE4466" s="4">
        <v>110</v>
      </c>
      <c r="AF4466" s="4">
        <v>1</v>
      </c>
      <c r="AG4466" s="4">
        <v>3</v>
      </c>
      <c r="AH4466" s="4">
        <v>84</v>
      </c>
      <c r="AI4466" s="4">
        <v>87</v>
      </c>
      <c r="AJ4466" s="4">
        <v>18</v>
      </c>
      <c r="AK4466" s="4">
        <v>21</v>
      </c>
      <c r="AL4466" s="4">
        <v>46</v>
      </c>
      <c r="AM4466" s="4">
        <v>48</v>
      </c>
      <c r="AN4466" s="4">
        <v>0</v>
      </c>
      <c r="AO4466" s="4">
        <v>0</v>
      </c>
      <c r="AP4466" s="4">
        <v>23</v>
      </c>
      <c r="AQ4466" s="4">
        <v>27</v>
      </c>
      <c r="AR4466" s="3" t="s">
        <v>62</v>
      </c>
      <c r="AS4466" s="3" t="s">
        <v>62</v>
      </c>
      <c r="AT4466" s="3" t="s">
        <v>61</v>
      </c>
      <c r="AU4466" s="6" t="str">
        <f>HYPERLINK("http://catalog.hathitrust.org/Record/001490400","HathiTrust Record")</f>
        <v>HathiTrust Record</v>
      </c>
      <c r="AV4466" s="6" t="str">
        <f>HYPERLINK("http://mcgill.on.worldcat.org/oclc/556358","Catalog Record")</f>
        <v>Catalog Record</v>
      </c>
      <c r="AW4466" s="6" t="str">
        <f>HYPERLINK("http://www.worldcat.org/oclc/556358","WorldCat Record")</f>
        <v>WorldCat Record</v>
      </c>
      <c r="AX4466" s="3" t="s">
        <v>42968</v>
      </c>
      <c r="AY4466" s="3" t="s">
        <v>42969</v>
      </c>
      <c r="AZ4466" s="3" t="s">
        <v>42970</v>
      </c>
      <c r="BA4466" s="3" t="s">
        <v>42970</v>
      </c>
      <c r="BB4466" s="3" t="s">
        <v>42971</v>
      </c>
      <c r="BC4466" s="3" t="s">
        <v>102</v>
      </c>
      <c r="BD4466" s="3" t="s">
        <v>68</v>
      </c>
      <c r="BE4466" s="3" t="s">
        <v>42972</v>
      </c>
      <c r="BF4466" s="3" t="s">
        <v>42971</v>
      </c>
      <c r="BG4466" s="3" t="s">
        <v>42973</v>
      </c>
    </row>
    <row r="4467" spans="1:59" ht="58" x14ac:dyDescent="0.35">
      <c r="A4467" s="2" t="s">
        <v>59</v>
      </c>
      <c r="B4467" s="2" t="s">
        <v>60</v>
      </c>
      <c r="C4467" s="2" t="s">
        <v>42974</v>
      </c>
      <c r="D4467" s="2" t="s">
        <v>42975</v>
      </c>
      <c r="E4467" s="2" t="s">
        <v>42976</v>
      </c>
      <c r="G4467" s="3" t="s">
        <v>62</v>
      </c>
      <c r="I4467" s="3" t="s">
        <v>61</v>
      </c>
      <c r="J4467" s="3" t="s">
        <v>62</v>
      </c>
      <c r="K4467" s="3" t="s">
        <v>63</v>
      </c>
      <c r="L4467" s="2" t="s">
        <v>42977</v>
      </c>
      <c r="M4467" s="2" t="s">
        <v>42978</v>
      </c>
      <c r="N4467" s="3" t="s">
        <v>95</v>
      </c>
      <c r="P4467" s="3" t="s">
        <v>64</v>
      </c>
      <c r="R4467" s="3" t="s">
        <v>42369</v>
      </c>
      <c r="S4467" s="4">
        <v>0</v>
      </c>
      <c r="T4467" s="4">
        <v>3</v>
      </c>
      <c r="V4467" s="5" t="s">
        <v>88</v>
      </c>
      <c r="W4467" s="5" t="s">
        <v>67</v>
      </c>
      <c r="X4467" s="5" t="s">
        <v>67</v>
      </c>
      <c r="Y4467" s="4">
        <v>500</v>
      </c>
      <c r="Z4467" s="4">
        <v>31</v>
      </c>
      <c r="AA4467" s="4">
        <v>33</v>
      </c>
      <c r="AB4467" s="4">
        <v>3</v>
      </c>
      <c r="AC4467" s="4">
        <v>4</v>
      </c>
      <c r="AD4467" s="4">
        <v>108</v>
      </c>
      <c r="AE4467" s="4">
        <v>111</v>
      </c>
      <c r="AF4467" s="4">
        <v>1</v>
      </c>
      <c r="AG4467" s="4">
        <v>1</v>
      </c>
      <c r="AH4467" s="4">
        <v>89</v>
      </c>
      <c r="AI4467" s="4">
        <v>91</v>
      </c>
      <c r="AJ4467" s="4">
        <v>16</v>
      </c>
      <c r="AK4467" s="4">
        <v>16</v>
      </c>
      <c r="AL4467" s="4">
        <v>47</v>
      </c>
      <c r="AM4467" s="4">
        <v>49</v>
      </c>
      <c r="AN4467" s="4">
        <v>0</v>
      </c>
      <c r="AO4467" s="4">
        <v>0</v>
      </c>
      <c r="AP4467" s="4">
        <v>24</v>
      </c>
      <c r="AQ4467" s="4">
        <v>25</v>
      </c>
      <c r="AR4467" s="3" t="s">
        <v>62</v>
      </c>
      <c r="AS4467" s="3" t="s">
        <v>62</v>
      </c>
      <c r="AT4467" s="3" t="s">
        <v>61</v>
      </c>
      <c r="AU4467" s="6" t="str">
        <f>HYPERLINK("http://catalog.hathitrust.org/Record/000771690","HathiTrust Record")</f>
        <v>HathiTrust Record</v>
      </c>
      <c r="AV4467" s="6" t="str">
        <f>HYPERLINK("http://mcgill.on.worldcat.org/oclc/7575660","Catalog Record")</f>
        <v>Catalog Record</v>
      </c>
      <c r="AW4467" s="6" t="str">
        <f>HYPERLINK("http://www.worldcat.org/oclc/7575660","WorldCat Record")</f>
        <v>WorldCat Record</v>
      </c>
      <c r="AX4467" s="3" t="s">
        <v>42979</v>
      </c>
      <c r="AY4467" s="3" t="s">
        <v>42980</v>
      </c>
      <c r="AZ4467" s="3" t="s">
        <v>42981</v>
      </c>
      <c r="BA4467" s="3" t="s">
        <v>42981</v>
      </c>
      <c r="BB4467" s="3" t="s">
        <v>42982</v>
      </c>
      <c r="BC4467" s="3" t="s">
        <v>102</v>
      </c>
      <c r="BD4467" s="3" t="s">
        <v>68</v>
      </c>
      <c r="BE4467" s="3" t="s">
        <v>42983</v>
      </c>
      <c r="BF4467" s="3" t="s">
        <v>42982</v>
      </c>
      <c r="BG4467" s="3" t="s">
        <v>42984</v>
      </c>
    </row>
    <row r="4468" spans="1:59" ht="58" x14ac:dyDescent="0.35">
      <c r="A4468" s="2" t="s">
        <v>59</v>
      </c>
      <c r="B4468" s="2" t="s">
        <v>60</v>
      </c>
      <c r="C4468" s="2" t="s">
        <v>42985</v>
      </c>
      <c r="D4468" s="2" t="s">
        <v>42986</v>
      </c>
      <c r="E4468" s="2" t="s">
        <v>42987</v>
      </c>
      <c r="G4468" s="3" t="s">
        <v>62</v>
      </c>
      <c r="I4468" s="3" t="s">
        <v>62</v>
      </c>
      <c r="J4468" s="3" t="s">
        <v>62</v>
      </c>
      <c r="K4468" s="3" t="s">
        <v>63</v>
      </c>
      <c r="M4468" s="2" t="s">
        <v>42988</v>
      </c>
      <c r="N4468" s="3" t="s">
        <v>396</v>
      </c>
      <c r="P4468" s="3" t="s">
        <v>64</v>
      </c>
      <c r="Q4468" s="2" t="s">
        <v>42989</v>
      </c>
      <c r="R4468" s="3" t="s">
        <v>42369</v>
      </c>
      <c r="S4468" s="4">
        <v>3</v>
      </c>
      <c r="T4468" s="4">
        <v>3</v>
      </c>
      <c r="U4468" s="5" t="s">
        <v>42990</v>
      </c>
      <c r="V4468" s="5" t="s">
        <v>42990</v>
      </c>
      <c r="W4468" s="5" t="s">
        <v>67</v>
      </c>
      <c r="X4468" s="5" t="s">
        <v>67</v>
      </c>
      <c r="Y4468" s="4">
        <v>256</v>
      </c>
      <c r="Z4468" s="4">
        <v>22</v>
      </c>
      <c r="AA4468" s="4">
        <v>22</v>
      </c>
      <c r="AB4468" s="4">
        <v>2</v>
      </c>
      <c r="AC4468" s="4">
        <v>2</v>
      </c>
      <c r="AD4468" s="4">
        <v>91</v>
      </c>
      <c r="AE4468" s="4">
        <v>91</v>
      </c>
      <c r="AF4468" s="4">
        <v>0</v>
      </c>
      <c r="AG4468" s="4">
        <v>0</v>
      </c>
      <c r="AH4468" s="4">
        <v>83</v>
      </c>
      <c r="AI4468" s="4">
        <v>83</v>
      </c>
      <c r="AJ4468" s="4">
        <v>13</v>
      </c>
      <c r="AK4468" s="4">
        <v>13</v>
      </c>
      <c r="AL4468" s="4">
        <v>43</v>
      </c>
      <c r="AM4468" s="4">
        <v>43</v>
      </c>
      <c r="AN4468" s="4">
        <v>0</v>
      </c>
      <c r="AO4468" s="4">
        <v>0</v>
      </c>
      <c r="AP4468" s="4">
        <v>13</v>
      </c>
      <c r="AQ4468" s="4">
        <v>13</v>
      </c>
      <c r="AR4468" s="3" t="s">
        <v>62</v>
      </c>
      <c r="AS4468" s="3" t="s">
        <v>62</v>
      </c>
      <c r="AT4468" s="3" t="s">
        <v>61</v>
      </c>
      <c r="AU4468" s="6" t="str">
        <f>HYPERLINK("http://catalog.hathitrust.org/Record/000822129","HathiTrust Record")</f>
        <v>HathiTrust Record</v>
      </c>
      <c r="AV4468" s="6" t="str">
        <f>HYPERLINK("http://mcgill.on.worldcat.org/oclc/11187804","Catalog Record")</f>
        <v>Catalog Record</v>
      </c>
      <c r="AW4468" s="6" t="str">
        <f>HYPERLINK("http://www.worldcat.org/oclc/11187804","WorldCat Record")</f>
        <v>WorldCat Record</v>
      </c>
      <c r="AX4468" s="3" t="s">
        <v>42991</v>
      </c>
      <c r="AY4468" s="3" t="s">
        <v>42992</v>
      </c>
      <c r="AZ4468" s="3" t="s">
        <v>42993</v>
      </c>
      <c r="BA4468" s="3" t="s">
        <v>42993</v>
      </c>
      <c r="BB4468" s="3" t="s">
        <v>42994</v>
      </c>
      <c r="BC4468" s="3" t="s">
        <v>102</v>
      </c>
      <c r="BD4468" s="3" t="s">
        <v>68</v>
      </c>
      <c r="BE4468" s="3" t="s">
        <v>42995</v>
      </c>
      <c r="BF4468" s="3" t="s">
        <v>42994</v>
      </c>
      <c r="BG4468" s="3" t="s">
        <v>42996</v>
      </c>
    </row>
    <row r="4469" spans="1:59" ht="58" x14ac:dyDescent="0.35">
      <c r="A4469" s="2" t="s">
        <v>59</v>
      </c>
      <c r="B4469" s="2" t="s">
        <v>60</v>
      </c>
      <c r="C4469" s="2" t="s">
        <v>42997</v>
      </c>
      <c r="D4469" s="2" t="s">
        <v>42998</v>
      </c>
      <c r="E4469" s="2" t="s">
        <v>42999</v>
      </c>
      <c r="G4469" s="3" t="s">
        <v>62</v>
      </c>
      <c r="I4469" s="3" t="s">
        <v>62</v>
      </c>
      <c r="J4469" s="3" t="s">
        <v>62</v>
      </c>
      <c r="K4469" s="3" t="s">
        <v>63</v>
      </c>
      <c r="L4469" s="2" t="s">
        <v>43000</v>
      </c>
      <c r="M4469" s="2" t="s">
        <v>43001</v>
      </c>
      <c r="N4469" s="3" t="s">
        <v>2975</v>
      </c>
      <c r="O4469" s="2" t="s">
        <v>43002</v>
      </c>
      <c r="P4469" s="3" t="s">
        <v>64</v>
      </c>
      <c r="R4469" s="3" t="s">
        <v>42369</v>
      </c>
      <c r="S4469" s="4">
        <v>3</v>
      </c>
      <c r="T4469" s="4">
        <v>3</v>
      </c>
      <c r="U4469" s="5" t="s">
        <v>5252</v>
      </c>
      <c r="V4469" s="5" t="s">
        <v>5252</v>
      </c>
      <c r="W4469" s="5" t="s">
        <v>67</v>
      </c>
      <c r="X4469" s="5" t="s">
        <v>67</v>
      </c>
      <c r="Y4469" s="4">
        <v>97</v>
      </c>
      <c r="Z4469" s="4">
        <v>3</v>
      </c>
      <c r="AA4469" s="4">
        <v>32</v>
      </c>
      <c r="AB4469" s="4">
        <v>3</v>
      </c>
      <c r="AC4469" s="4">
        <v>3</v>
      </c>
      <c r="AD4469" s="4">
        <v>5</v>
      </c>
      <c r="AE4469" s="4">
        <v>78</v>
      </c>
      <c r="AF4469" s="4">
        <v>0</v>
      </c>
      <c r="AG4469" s="4">
        <v>0</v>
      </c>
      <c r="AH4469" s="4">
        <v>5</v>
      </c>
      <c r="AI4469" s="4">
        <v>69</v>
      </c>
      <c r="AJ4469" s="4">
        <v>0</v>
      </c>
      <c r="AK4469" s="4">
        <v>5</v>
      </c>
      <c r="AL4469" s="4">
        <v>1</v>
      </c>
      <c r="AM4469" s="4">
        <v>42</v>
      </c>
      <c r="AN4469" s="4">
        <v>0</v>
      </c>
      <c r="AO4469" s="4">
        <v>0</v>
      </c>
      <c r="AP4469" s="4">
        <v>0</v>
      </c>
      <c r="AQ4469" s="4">
        <v>7</v>
      </c>
      <c r="AR4469" s="3" t="s">
        <v>62</v>
      </c>
      <c r="AS4469" s="3" t="s">
        <v>62</v>
      </c>
      <c r="AT4469" s="3" t="s">
        <v>62</v>
      </c>
      <c r="AV4469" s="6" t="str">
        <f>HYPERLINK("http://mcgill.on.worldcat.org/oclc/45422141","Catalog Record")</f>
        <v>Catalog Record</v>
      </c>
      <c r="AW4469" s="6" t="str">
        <f>HYPERLINK("http://www.worldcat.org/oclc/45422141","WorldCat Record")</f>
        <v>WorldCat Record</v>
      </c>
      <c r="AX4469" s="3" t="s">
        <v>43003</v>
      </c>
      <c r="AY4469" s="3" t="s">
        <v>43004</v>
      </c>
      <c r="AZ4469" s="3" t="s">
        <v>43005</v>
      </c>
      <c r="BA4469" s="3" t="s">
        <v>43005</v>
      </c>
      <c r="BB4469" s="3" t="s">
        <v>43006</v>
      </c>
      <c r="BC4469" s="3" t="s">
        <v>102</v>
      </c>
      <c r="BD4469" s="3" t="s">
        <v>68</v>
      </c>
      <c r="BE4469" s="3" t="s">
        <v>43007</v>
      </c>
      <c r="BF4469" s="3" t="s">
        <v>43006</v>
      </c>
      <c r="BG4469" s="3" t="s">
        <v>43008</v>
      </c>
    </row>
    <row r="4470" spans="1:59" ht="72.5" x14ac:dyDescent="0.35">
      <c r="A4470" s="2" t="s">
        <v>59</v>
      </c>
      <c r="B4470" s="2" t="s">
        <v>60</v>
      </c>
      <c r="C4470" s="2" t="s">
        <v>43009</v>
      </c>
      <c r="D4470" s="2" t="s">
        <v>43010</v>
      </c>
      <c r="E4470" s="2" t="s">
        <v>43011</v>
      </c>
      <c r="G4470" s="3" t="s">
        <v>62</v>
      </c>
      <c r="I4470" s="3" t="s">
        <v>62</v>
      </c>
      <c r="J4470" s="3" t="s">
        <v>62</v>
      </c>
      <c r="K4470" s="3" t="s">
        <v>63</v>
      </c>
      <c r="M4470" s="2" t="s">
        <v>43012</v>
      </c>
      <c r="N4470" s="3" t="s">
        <v>2000</v>
      </c>
      <c r="P4470" s="3" t="s">
        <v>64</v>
      </c>
      <c r="R4470" s="3" t="s">
        <v>42369</v>
      </c>
      <c r="S4470" s="4">
        <v>10</v>
      </c>
      <c r="T4470" s="4">
        <v>10</v>
      </c>
      <c r="U4470" s="5" t="s">
        <v>314</v>
      </c>
      <c r="V4470" s="5" t="s">
        <v>314</v>
      </c>
      <c r="W4470" s="5" t="s">
        <v>67</v>
      </c>
      <c r="X4470" s="5" t="s">
        <v>67</v>
      </c>
      <c r="Y4470" s="4">
        <v>753</v>
      </c>
      <c r="Z4470" s="4">
        <v>20</v>
      </c>
      <c r="AA4470" s="4">
        <v>29</v>
      </c>
      <c r="AB4470" s="4">
        <v>1</v>
      </c>
      <c r="AC4470" s="4">
        <v>2</v>
      </c>
      <c r="AD4470" s="4">
        <v>83</v>
      </c>
      <c r="AE4470" s="4">
        <v>93</v>
      </c>
      <c r="AF4470" s="4">
        <v>0</v>
      </c>
      <c r="AG4470" s="4">
        <v>1</v>
      </c>
      <c r="AH4470" s="4">
        <v>72</v>
      </c>
      <c r="AI4470" s="4">
        <v>79</v>
      </c>
      <c r="AJ4470" s="4">
        <v>8</v>
      </c>
      <c r="AK4470" s="4">
        <v>12</v>
      </c>
      <c r="AL4470" s="4">
        <v>40</v>
      </c>
      <c r="AM4470" s="4">
        <v>43</v>
      </c>
      <c r="AN4470" s="4">
        <v>0</v>
      </c>
      <c r="AO4470" s="4">
        <v>0</v>
      </c>
      <c r="AP4470" s="4">
        <v>12</v>
      </c>
      <c r="AQ4470" s="4">
        <v>18</v>
      </c>
      <c r="AR4470" s="3" t="s">
        <v>62</v>
      </c>
      <c r="AS4470" s="3" t="s">
        <v>62</v>
      </c>
      <c r="AT4470" s="3" t="s">
        <v>62</v>
      </c>
      <c r="AV4470" s="6" t="str">
        <f>HYPERLINK("http://mcgill.on.worldcat.org/oclc/35673765","Catalog Record")</f>
        <v>Catalog Record</v>
      </c>
      <c r="AW4470" s="6" t="str">
        <f>HYPERLINK("http://www.worldcat.org/oclc/35673765","WorldCat Record")</f>
        <v>WorldCat Record</v>
      </c>
      <c r="AX4470" s="3" t="s">
        <v>43013</v>
      </c>
      <c r="AY4470" s="3" t="s">
        <v>43014</v>
      </c>
      <c r="AZ4470" s="3" t="s">
        <v>43015</v>
      </c>
      <c r="BA4470" s="3" t="s">
        <v>43015</v>
      </c>
      <c r="BB4470" s="3" t="s">
        <v>43016</v>
      </c>
      <c r="BC4470" s="3" t="s">
        <v>102</v>
      </c>
      <c r="BD4470" s="3" t="s">
        <v>68</v>
      </c>
      <c r="BE4470" s="3" t="s">
        <v>43017</v>
      </c>
      <c r="BF4470" s="3" t="s">
        <v>43016</v>
      </c>
      <c r="BG4470" s="3" t="s">
        <v>43018</v>
      </c>
    </row>
    <row r="4471" spans="1:59" ht="58" x14ac:dyDescent="0.35">
      <c r="A4471" s="2" t="s">
        <v>59</v>
      </c>
      <c r="B4471" s="2" t="s">
        <v>60</v>
      </c>
      <c r="C4471" s="2" t="s">
        <v>43019</v>
      </c>
      <c r="D4471" s="2" t="s">
        <v>43020</v>
      </c>
      <c r="E4471" s="2" t="s">
        <v>43021</v>
      </c>
      <c r="G4471" s="3" t="s">
        <v>62</v>
      </c>
      <c r="I4471" s="3" t="s">
        <v>62</v>
      </c>
      <c r="J4471" s="3" t="s">
        <v>62</v>
      </c>
      <c r="K4471" s="3" t="s">
        <v>63</v>
      </c>
      <c r="L4471" s="2" t="s">
        <v>43022</v>
      </c>
      <c r="M4471" s="2" t="s">
        <v>43023</v>
      </c>
      <c r="N4471" s="3" t="s">
        <v>355</v>
      </c>
      <c r="P4471" s="3" t="s">
        <v>64</v>
      </c>
      <c r="R4471" s="3" t="s">
        <v>42369</v>
      </c>
      <c r="S4471" s="4">
        <v>20</v>
      </c>
      <c r="T4471" s="4">
        <v>20</v>
      </c>
      <c r="U4471" s="5" t="s">
        <v>5131</v>
      </c>
      <c r="V4471" s="5" t="s">
        <v>5131</v>
      </c>
      <c r="W4471" s="5" t="s">
        <v>67</v>
      </c>
      <c r="X4471" s="5" t="s">
        <v>67</v>
      </c>
      <c r="Y4471" s="4">
        <v>341</v>
      </c>
      <c r="Z4471" s="4">
        <v>24</v>
      </c>
      <c r="AA4471" s="4">
        <v>29</v>
      </c>
      <c r="AB4471" s="4">
        <v>3</v>
      </c>
      <c r="AC4471" s="4">
        <v>7</v>
      </c>
      <c r="AD4471" s="4">
        <v>101</v>
      </c>
      <c r="AE4471" s="4">
        <v>106</v>
      </c>
      <c r="AF4471" s="4">
        <v>1</v>
      </c>
      <c r="AG4471" s="4">
        <v>4</v>
      </c>
      <c r="AH4471" s="4">
        <v>92</v>
      </c>
      <c r="AI4471" s="4">
        <v>93</v>
      </c>
      <c r="AJ4471" s="4">
        <v>16</v>
      </c>
      <c r="AK4471" s="4">
        <v>19</v>
      </c>
      <c r="AL4471" s="4">
        <v>47</v>
      </c>
      <c r="AM4471" s="4">
        <v>48</v>
      </c>
      <c r="AN4471" s="4">
        <v>0</v>
      </c>
      <c r="AO4471" s="4">
        <v>0</v>
      </c>
      <c r="AP4471" s="4">
        <v>16</v>
      </c>
      <c r="AQ4471" s="4">
        <v>19</v>
      </c>
      <c r="AR4471" s="3" t="s">
        <v>62</v>
      </c>
      <c r="AS4471" s="3" t="s">
        <v>62</v>
      </c>
      <c r="AT4471" s="3" t="s">
        <v>61</v>
      </c>
      <c r="AU4471" s="6" t="str">
        <f>HYPERLINK("http://catalog.hathitrust.org/Record/000608637","HathiTrust Record")</f>
        <v>HathiTrust Record</v>
      </c>
      <c r="AV4471" s="6" t="str">
        <f>HYPERLINK("http://mcgill.on.worldcat.org/oclc/10276010","Catalog Record")</f>
        <v>Catalog Record</v>
      </c>
      <c r="AW4471" s="6" t="str">
        <f>HYPERLINK("http://www.worldcat.org/oclc/10276010","WorldCat Record")</f>
        <v>WorldCat Record</v>
      </c>
      <c r="AX4471" s="3" t="s">
        <v>43024</v>
      </c>
      <c r="AY4471" s="3" t="s">
        <v>43025</v>
      </c>
      <c r="AZ4471" s="3" t="s">
        <v>43026</v>
      </c>
      <c r="BA4471" s="3" t="s">
        <v>43026</v>
      </c>
      <c r="BB4471" s="3" t="s">
        <v>43027</v>
      </c>
      <c r="BC4471" s="3" t="s">
        <v>102</v>
      </c>
      <c r="BD4471" s="3" t="s">
        <v>68</v>
      </c>
      <c r="BE4471" s="3" t="s">
        <v>43028</v>
      </c>
      <c r="BF4471" s="3" t="s">
        <v>43027</v>
      </c>
      <c r="BG4471" s="3" t="s">
        <v>43029</v>
      </c>
    </row>
    <row r="4472" spans="1:59" ht="101.5" x14ac:dyDescent="0.35">
      <c r="A4472" s="2" t="s">
        <v>89</v>
      </c>
      <c r="B4472" s="2" t="s">
        <v>12301</v>
      </c>
      <c r="C4472" s="2" t="s">
        <v>43030</v>
      </c>
      <c r="D4472" s="2" t="s">
        <v>43031</v>
      </c>
      <c r="E4472" s="2" t="s">
        <v>43032</v>
      </c>
      <c r="G4472" s="3" t="s">
        <v>62</v>
      </c>
      <c r="I4472" s="3" t="s">
        <v>62</v>
      </c>
      <c r="J4472" s="3" t="s">
        <v>61</v>
      </c>
      <c r="K4472" s="3" t="s">
        <v>63</v>
      </c>
      <c r="L4472" s="2" t="s">
        <v>43033</v>
      </c>
      <c r="M4472" s="2" t="s">
        <v>43034</v>
      </c>
      <c r="N4472" s="3" t="s">
        <v>129</v>
      </c>
      <c r="O4472" s="2" t="s">
        <v>43035</v>
      </c>
      <c r="P4472" s="3" t="s">
        <v>64</v>
      </c>
      <c r="Q4472" s="2" t="s">
        <v>43036</v>
      </c>
      <c r="R4472" s="3" t="s">
        <v>42369</v>
      </c>
      <c r="S4472" s="4">
        <v>0</v>
      </c>
      <c r="T4472" s="4">
        <v>0</v>
      </c>
      <c r="W4472" s="5" t="s">
        <v>67</v>
      </c>
      <c r="X4472" s="5" t="s">
        <v>67</v>
      </c>
      <c r="Y4472" s="4">
        <v>46</v>
      </c>
      <c r="Z4472" s="4">
        <v>3</v>
      </c>
      <c r="AA4472" s="4">
        <v>9</v>
      </c>
      <c r="AB4472" s="4">
        <v>1</v>
      </c>
      <c r="AC4472" s="4">
        <v>1</v>
      </c>
      <c r="AD4472" s="4">
        <v>3</v>
      </c>
      <c r="AE4472" s="4">
        <v>37</v>
      </c>
      <c r="AF4472" s="4">
        <v>0</v>
      </c>
      <c r="AG4472" s="4">
        <v>0</v>
      </c>
      <c r="AH4472" s="4">
        <v>2</v>
      </c>
      <c r="AI4472" s="4">
        <v>34</v>
      </c>
      <c r="AJ4472" s="4">
        <v>0</v>
      </c>
      <c r="AK4472" s="4">
        <v>5</v>
      </c>
      <c r="AL4472" s="4">
        <v>3</v>
      </c>
      <c r="AM4472" s="4">
        <v>19</v>
      </c>
      <c r="AN4472" s="4">
        <v>0</v>
      </c>
      <c r="AO4472" s="4">
        <v>0</v>
      </c>
      <c r="AP4472" s="4">
        <v>0</v>
      </c>
      <c r="AQ4472" s="4">
        <v>5</v>
      </c>
      <c r="AR4472" s="3" t="s">
        <v>62</v>
      </c>
      <c r="AS4472" s="3" t="s">
        <v>62</v>
      </c>
      <c r="AT4472" s="3" t="s">
        <v>62</v>
      </c>
      <c r="AV4472" s="6" t="str">
        <f>HYPERLINK("http://mcgill.on.worldcat.org/oclc/861665721","Catalog Record")</f>
        <v>Catalog Record</v>
      </c>
      <c r="AW4472" s="6" t="str">
        <f>HYPERLINK("http://www.worldcat.org/oclc/861665721","WorldCat Record")</f>
        <v>WorldCat Record</v>
      </c>
      <c r="AX4472" s="3" t="s">
        <v>43037</v>
      </c>
      <c r="AY4472" s="3" t="s">
        <v>43038</v>
      </c>
      <c r="AZ4472" s="3" t="s">
        <v>43039</v>
      </c>
      <c r="BA4472" s="3" t="s">
        <v>43039</v>
      </c>
      <c r="BB4472" s="3" t="s">
        <v>43040</v>
      </c>
      <c r="BC4472" s="3" t="s">
        <v>102</v>
      </c>
      <c r="BD4472" s="3" t="s">
        <v>68</v>
      </c>
      <c r="BE4472" s="3" t="s">
        <v>43041</v>
      </c>
      <c r="BF4472" s="3" t="s">
        <v>43040</v>
      </c>
      <c r="BG4472" s="3" t="s">
        <v>43042</v>
      </c>
    </row>
    <row r="4473" spans="1:59" ht="72.5" x14ac:dyDescent="0.35">
      <c r="A4473" s="2" t="s">
        <v>59</v>
      </c>
      <c r="B4473" s="2" t="s">
        <v>60</v>
      </c>
      <c r="C4473" s="2" t="s">
        <v>43043</v>
      </c>
      <c r="D4473" s="2" t="s">
        <v>43044</v>
      </c>
      <c r="E4473" s="2" t="s">
        <v>43045</v>
      </c>
      <c r="F4473" s="3" t="s">
        <v>43046</v>
      </c>
      <c r="G4473" s="3" t="s">
        <v>62</v>
      </c>
      <c r="I4473" s="3" t="s">
        <v>62</v>
      </c>
      <c r="J4473" s="3" t="s">
        <v>62</v>
      </c>
      <c r="K4473" s="3" t="s">
        <v>63</v>
      </c>
      <c r="L4473" s="2" t="s">
        <v>43047</v>
      </c>
      <c r="M4473" s="2" t="s">
        <v>43048</v>
      </c>
      <c r="N4473" s="3" t="s">
        <v>1077</v>
      </c>
      <c r="P4473" s="3" t="s">
        <v>64</v>
      </c>
      <c r="Q4473" s="2" t="s">
        <v>43049</v>
      </c>
      <c r="R4473" s="3" t="s">
        <v>42369</v>
      </c>
      <c r="S4473" s="4">
        <v>5</v>
      </c>
      <c r="T4473" s="4">
        <v>5</v>
      </c>
      <c r="U4473" s="5" t="s">
        <v>19040</v>
      </c>
      <c r="V4473" s="5" t="s">
        <v>19040</v>
      </c>
      <c r="W4473" s="5" t="s">
        <v>67</v>
      </c>
      <c r="X4473" s="5" t="s">
        <v>67</v>
      </c>
      <c r="Y4473" s="4">
        <v>13</v>
      </c>
      <c r="Z4473" s="4">
        <v>1</v>
      </c>
      <c r="AA4473" s="4">
        <v>1</v>
      </c>
      <c r="AB4473" s="4">
        <v>1</v>
      </c>
      <c r="AC4473" s="4">
        <v>1</v>
      </c>
      <c r="AD4473" s="4">
        <v>4</v>
      </c>
      <c r="AE4473" s="4">
        <v>4</v>
      </c>
      <c r="AF4473" s="4">
        <v>0</v>
      </c>
      <c r="AG4473" s="4">
        <v>0</v>
      </c>
      <c r="AH4473" s="4">
        <v>3</v>
      </c>
      <c r="AI4473" s="4">
        <v>3</v>
      </c>
      <c r="AJ4473" s="4">
        <v>0</v>
      </c>
      <c r="AK4473" s="4">
        <v>0</v>
      </c>
      <c r="AL4473" s="4">
        <v>3</v>
      </c>
      <c r="AM4473" s="4">
        <v>3</v>
      </c>
      <c r="AN4473" s="4">
        <v>0</v>
      </c>
      <c r="AO4473" s="4">
        <v>0</v>
      </c>
      <c r="AP4473" s="4">
        <v>0</v>
      </c>
      <c r="AQ4473" s="4">
        <v>0</v>
      </c>
      <c r="AR4473" s="3" t="s">
        <v>62</v>
      </c>
      <c r="AS4473" s="3" t="s">
        <v>62</v>
      </c>
      <c r="AT4473" s="3" t="s">
        <v>61</v>
      </c>
      <c r="AU4473" s="6" t="str">
        <f>HYPERLINK("http://catalog.hathitrust.org/Record/008334859","HathiTrust Record")</f>
        <v>HathiTrust Record</v>
      </c>
      <c r="AV4473" s="6" t="str">
        <f>HYPERLINK("http://mcgill.on.worldcat.org/oclc/28238791","Catalog Record")</f>
        <v>Catalog Record</v>
      </c>
      <c r="AW4473" s="6" t="str">
        <f>HYPERLINK("http://www.worldcat.org/oclc/28238791","WorldCat Record")</f>
        <v>WorldCat Record</v>
      </c>
      <c r="AX4473" s="3" t="s">
        <v>43050</v>
      </c>
      <c r="AY4473" s="3" t="s">
        <v>43051</v>
      </c>
      <c r="AZ4473" s="3" t="s">
        <v>43052</v>
      </c>
      <c r="BA4473" s="3" t="s">
        <v>43052</v>
      </c>
      <c r="BB4473" s="3" t="s">
        <v>43053</v>
      </c>
      <c r="BC4473" s="3" t="s">
        <v>102</v>
      </c>
      <c r="BD4473" s="3" t="s">
        <v>68</v>
      </c>
      <c r="BE4473" s="3" t="s">
        <v>43054</v>
      </c>
      <c r="BF4473" s="3" t="s">
        <v>43053</v>
      </c>
      <c r="BG4473" s="3" t="s">
        <v>43055</v>
      </c>
    </row>
    <row r="4474" spans="1:59" ht="101.5" x14ac:dyDescent="0.35">
      <c r="A4474" s="2" t="s">
        <v>59</v>
      </c>
      <c r="B4474" s="2" t="s">
        <v>60</v>
      </c>
      <c r="C4474" s="2" t="s">
        <v>43056</v>
      </c>
      <c r="D4474" s="2" t="s">
        <v>43057</v>
      </c>
      <c r="E4474" s="2" t="s">
        <v>43058</v>
      </c>
      <c r="G4474" s="3" t="s">
        <v>62</v>
      </c>
      <c r="I4474" s="3" t="s">
        <v>62</v>
      </c>
      <c r="J4474" s="3" t="s">
        <v>61</v>
      </c>
      <c r="K4474" s="3" t="s">
        <v>63</v>
      </c>
      <c r="L4474" s="2" t="s">
        <v>43059</v>
      </c>
      <c r="M4474" s="2" t="s">
        <v>43060</v>
      </c>
      <c r="N4474" s="3" t="s">
        <v>2445</v>
      </c>
      <c r="O4474" s="2" t="s">
        <v>43061</v>
      </c>
      <c r="P4474" s="3" t="s">
        <v>64</v>
      </c>
      <c r="R4474" s="3" t="s">
        <v>42369</v>
      </c>
      <c r="S4474" s="4">
        <v>1</v>
      </c>
      <c r="T4474" s="4">
        <v>1</v>
      </c>
      <c r="U4474" s="5" t="s">
        <v>15112</v>
      </c>
      <c r="V4474" s="5" t="s">
        <v>15112</v>
      </c>
      <c r="W4474" s="5" t="s">
        <v>67</v>
      </c>
      <c r="X4474" s="5" t="s">
        <v>67</v>
      </c>
      <c r="Y4474" s="4">
        <v>315</v>
      </c>
      <c r="Z4474" s="4">
        <v>11</v>
      </c>
      <c r="AA4474" s="4">
        <v>22</v>
      </c>
      <c r="AB4474" s="4">
        <v>2</v>
      </c>
      <c r="AC4474" s="4">
        <v>4</v>
      </c>
      <c r="AD4474" s="4">
        <v>56</v>
      </c>
      <c r="AE4474" s="4">
        <v>95</v>
      </c>
      <c r="AF4474" s="4">
        <v>1</v>
      </c>
      <c r="AG4474" s="4">
        <v>1</v>
      </c>
      <c r="AH4474" s="4">
        <v>48</v>
      </c>
      <c r="AI4474" s="4">
        <v>84</v>
      </c>
      <c r="AJ4474" s="4">
        <v>4</v>
      </c>
      <c r="AK4474" s="4">
        <v>11</v>
      </c>
      <c r="AL4474" s="4">
        <v>31</v>
      </c>
      <c r="AM4474" s="4">
        <v>48</v>
      </c>
      <c r="AN4474" s="4">
        <v>0</v>
      </c>
      <c r="AO4474" s="4">
        <v>0</v>
      </c>
      <c r="AP4474" s="4">
        <v>8</v>
      </c>
      <c r="AQ4474" s="4">
        <v>14</v>
      </c>
      <c r="AR4474" s="3" t="s">
        <v>62</v>
      </c>
      <c r="AS4474" s="3" t="s">
        <v>62</v>
      </c>
      <c r="AT4474" s="3" t="s">
        <v>61</v>
      </c>
      <c r="AU4474" s="6" t="str">
        <f>HYPERLINK("http://catalog.hathitrust.org/Record/001999571","HathiTrust Record")</f>
        <v>HathiTrust Record</v>
      </c>
      <c r="AV4474" s="6" t="str">
        <f>HYPERLINK("http://mcgill.on.worldcat.org/oclc/556231","Catalog Record")</f>
        <v>Catalog Record</v>
      </c>
      <c r="AW4474" s="6" t="str">
        <f>HYPERLINK("http://www.worldcat.org/oclc/556231","WorldCat Record")</f>
        <v>WorldCat Record</v>
      </c>
      <c r="AX4474" s="3" t="s">
        <v>43062</v>
      </c>
      <c r="AY4474" s="3" t="s">
        <v>43063</v>
      </c>
      <c r="AZ4474" s="3" t="s">
        <v>43064</v>
      </c>
      <c r="BA4474" s="3" t="s">
        <v>43064</v>
      </c>
      <c r="BB4474" s="3" t="s">
        <v>43065</v>
      </c>
      <c r="BC4474" s="3" t="s">
        <v>102</v>
      </c>
      <c r="BD4474" s="3" t="s">
        <v>68</v>
      </c>
      <c r="BF4474" s="3" t="s">
        <v>43065</v>
      </c>
      <c r="BG4474" s="3" t="s">
        <v>43066</v>
      </c>
    </row>
    <row r="4475" spans="1:59" ht="58" x14ac:dyDescent="0.35">
      <c r="A4475" s="2" t="s">
        <v>59</v>
      </c>
      <c r="B4475" s="2" t="s">
        <v>60</v>
      </c>
      <c r="C4475" s="2" t="s">
        <v>43067</v>
      </c>
      <c r="D4475" s="2" t="s">
        <v>43068</v>
      </c>
      <c r="E4475" s="2" t="s">
        <v>43069</v>
      </c>
      <c r="G4475" s="3" t="s">
        <v>62</v>
      </c>
      <c r="I4475" s="3" t="s">
        <v>62</v>
      </c>
      <c r="J4475" s="3" t="s">
        <v>62</v>
      </c>
      <c r="K4475" s="3" t="s">
        <v>63</v>
      </c>
      <c r="L4475" s="2" t="s">
        <v>43070</v>
      </c>
      <c r="M4475" s="2" t="s">
        <v>43071</v>
      </c>
      <c r="N4475" s="3" t="s">
        <v>355</v>
      </c>
      <c r="P4475" s="3" t="s">
        <v>64</v>
      </c>
      <c r="R4475" s="3" t="s">
        <v>42369</v>
      </c>
      <c r="S4475" s="4">
        <v>29</v>
      </c>
      <c r="T4475" s="4">
        <v>29</v>
      </c>
      <c r="U4475" s="5" t="s">
        <v>43072</v>
      </c>
      <c r="V4475" s="5" t="s">
        <v>43072</v>
      </c>
      <c r="W4475" s="5" t="s">
        <v>67</v>
      </c>
      <c r="X4475" s="5" t="s">
        <v>67</v>
      </c>
      <c r="Y4475" s="4">
        <v>232</v>
      </c>
      <c r="Z4475" s="4">
        <v>34</v>
      </c>
      <c r="AA4475" s="4">
        <v>36</v>
      </c>
      <c r="AB4475" s="4">
        <v>1</v>
      </c>
      <c r="AC4475" s="4">
        <v>3</v>
      </c>
      <c r="AD4475" s="4">
        <v>92</v>
      </c>
      <c r="AE4475" s="4">
        <v>94</v>
      </c>
      <c r="AF4475" s="4">
        <v>0</v>
      </c>
      <c r="AG4475" s="4">
        <v>2</v>
      </c>
      <c r="AH4475" s="4">
        <v>77</v>
      </c>
      <c r="AI4475" s="4">
        <v>77</v>
      </c>
      <c r="AJ4475" s="4">
        <v>18</v>
      </c>
      <c r="AK4475" s="4">
        <v>20</v>
      </c>
      <c r="AL4475" s="4">
        <v>38</v>
      </c>
      <c r="AM4475" s="4">
        <v>38</v>
      </c>
      <c r="AN4475" s="4">
        <v>0</v>
      </c>
      <c r="AO4475" s="4">
        <v>0</v>
      </c>
      <c r="AP4475" s="4">
        <v>23</v>
      </c>
      <c r="AQ4475" s="4">
        <v>24</v>
      </c>
      <c r="AR4475" s="3" t="s">
        <v>62</v>
      </c>
      <c r="AS4475" s="3" t="s">
        <v>62</v>
      </c>
      <c r="AT4475" s="3" t="s">
        <v>62</v>
      </c>
      <c r="AV4475" s="6" t="str">
        <f>HYPERLINK("http://mcgill.on.worldcat.org/oclc/10301240","Catalog Record")</f>
        <v>Catalog Record</v>
      </c>
      <c r="AW4475" s="6" t="str">
        <f>HYPERLINK("http://www.worldcat.org/oclc/10301240","WorldCat Record")</f>
        <v>WorldCat Record</v>
      </c>
      <c r="AX4475" s="3" t="s">
        <v>43073</v>
      </c>
      <c r="AY4475" s="3" t="s">
        <v>43074</v>
      </c>
      <c r="AZ4475" s="3" t="s">
        <v>43075</v>
      </c>
      <c r="BA4475" s="3" t="s">
        <v>43075</v>
      </c>
      <c r="BB4475" s="3" t="s">
        <v>43076</v>
      </c>
      <c r="BC4475" s="3" t="s">
        <v>102</v>
      </c>
      <c r="BD4475" s="3" t="s">
        <v>231</v>
      </c>
      <c r="BE4475" s="3" t="s">
        <v>43077</v>
      </c>
      <c r="BF4475" s="3" t="s">
        <v>43076</v>
      </c>
      <c r="BG4475" s="3" t="s">
        <v>43078</v>
      </c>
    </row>
    <row r="4476" spans="1:59" ht="58" x14ac:dyDescent="0.35">
      <c r="A4476" s="2" t="s">
        <v>89</v>
      </c>
      <c r="B4476" s="2" t="s">
        <v>90</v>
      </c>
      <c r="C4476" s="2" t="s">
        <v>43079</v>
      </c>
      <c r="D4476" s="2" t="s">
        <v>43080</v>
      </c>
      <c r="E4476" s="2" t="s">
        <v>43081</v>
      </c>
      <c r="G4476" s="3" t="s">
        <v>62</v>
      </c>
      <c r="I4476" s="3" t="s">
        <v>61</v>
      </c>
      <c r="J4476" s="3" t="s">
        <v>62</v>
      </c>
      <c r="K4476" s="3" t="s">
        <v>63</v>
      </c>
      <c r="L4476" s="2" t="s">
        <v>43082</v>
      </c>
      <c r="M4476" s="2" t="s">
        <v>43083</v>
      </c>
      <c r="N4476" s="3" t="s">
        <v>1012</v>
      </c>
      <c r="P4476" s="3" t="s">
        <v>64</v>
      </c>
      <c r="R4476" s="3" t="s">
        <v>42369</v>
      </c>
      <c r="S4476" s="4">
        <v>1</v>
      </c>
      <c r="T4476" s="4">
        <v>1</v>
      </c>
      <c r="U4476" s="5" t="s">
        <v>17290</v>
      </c>
      <c r="V4476" s="5" t="s">
        <v>17290</v>
      </c>
      <c r="W4476" s="5" t="s">
        <v>67</v>
      </c>
      <c r="X4476" s="5" t="s">
        <v>67</v>
      </c>
      <c r="Y4476" s="4">
        <v>74</v>
      </c>
      <c r="Z4476" s="4">
        <v>4</v>
      </c>
      <c r="AA4476" s="4">
        <v>10</v>
      </c>
      <c r="AB4476" s="4">
        <v>1</v>
      </c>
      <c r="AC4476" s="4">
        <v>5</v>
      </c>
      <c r="AD4476" s="4">
        <v>34</v>
      </c>
      <c r="AE4476" s="4">
        <v>40</v>
      </c>
      <c r="AF4476" s="4">
        <v>0</v>
      </c>
      <c r="AG4476" s="4">
        <v>0</v>
      </c>
      <c r="AH4476" s="4">
        <v>31</v>
      </c>
      <c r="AI4476" s="4">
        <v>35</v>
      </c>
      <c r="AJ4476" s="4">
        <v>3</v>
      </c>
      <c r="AK4476" s="4">
        <v>4</v>
      </c>
      <c r="AL4476" s="4">
        <v>20</v>
      </c>
      <c r="AM4476" s="4">
        <v>22</v>
      </c>
      <c r="AN4476" s="4">
        <v>0</v>
      </c>
      <c r="AO4476" s="4">
        <v>0</v>
      </c>
      <c r="AP4476" s="4">
        <v>3</v>
      </c>
      <c r="AQ4476" s="4">
        <v>5</v>
      </c>
      <c r="AR4476" s="3" t="s">
        <v>62</v>
      </c>
      <c r="AS4476" s="3" t="s">
        <v>62</v>
      </c>
      <c r="AT4476" s="3" t="s">
        <v>62</v>
      </c>
      <c r="AU4476" s="6" t="str">
        <f>HYPERLINK("http://catalog.hathitrust.org/Record/006127948","HathiTrust Record")</f>
        <v>HathiTrust Record</v>
      </c>
      <c r="AV4476" s="6" t="str">
        <f>HYPERLINK("http://mcgill.on.worldcat.org/oclc/2232703","Catalog Record")</f>
        <v>Catalog Record</v>
      </c>
      <c r="AW4476" s="6" t="str">
        <f>HYPERLINK("http://www.worldcat.org/oclc/2232703","WorldCat Record")</f>
        <v>WorldCat Record</v>
      </c>
      <c r="AX4476" s="3" t="s">
        <v>43084</v>
      </c>
      <c r="AY4476" s="3" t="s">
        <v>43085</v>
      </c>
      <c r="AZ4476" s="3" t="s">
        <v>43086</v>
      </c>
      <c r="BA4476" s="3" t="s">
        <v>43086</v>
      </c>
      <c r="BB4476" s="3" t="s">
        <v>43087</v>
      </c>
      <c r="BC4476" s="3" t="s">
        <v>102</v>
      </c>
      <c r="BD4476" s="3" t="s">
        <v>68</v>
      </c>
      <c r="BF4476" s="3" t="s">
        <v>43087</v>
      </c>
      <c r="BG4476" s="3" t="s">
        <v>43088</v>
      </c>
    </row>
    <row r="4477" spans="1:59" ht="58" x14ac:dyDescent="0.35">
      <c r="A4477" s="2" t="s">
        <v>59</v>
      </c>
      <c r="B4477" s="2" t="s">
        <v>60</v>
      </c>
      <c r="C4477" s="2" t="s">
        <v>43089</v>
      </c>
      <c r="D4477" s="2" t="s">
        <v>43090</v>
      </c>
      <c r="E4477" s="2" t="s">
        <v>43091</v>
      </c>
      <c r="G4477" s="3" t="s">
        <v>62</v>
      </c>
      <c r="I4477" s="3" t="s">
        <v>62</v>
      </c>
      <c r="J4477" s="3" t="s">
        <v>62</v>
      </c>
      <c r="K4477" s="3" t="s">
        <v>63</v>
      </c>
      <c r="L4477" s="2" t="s">
        <v>43092</v>
      </c>
      <c r="M4477" s="2" t="s">
        <v>43093</v>
      </c>
      <c r="N4477" s="3" t="s">
        <v>6259</v>
      </c>
      <c r="P4477" s="3" t="s">
        <v>64</v>
      </c>
      <c r="R4477" s="3" t="s">
        <v>42369</v>
      </c>
      <c r="S4477" s="4">
        <v>1</v>
      </c>
      <c r="T4477" s="4">
        <v>1</v>
      </c>
      <c r="U4477" s="5" t="s">
        <v>23988</v>
      </c>
      <c r="V4477" s="5" t="s">
        <v>23988</v>
      </c>
      <c r="W4477" s="5" t="s">
        <v>67</v>
      </c>
      <c r="X4477" s="5" t="s">
        <v>67</v>
      </c>
      <c r="Y4477" s="4">
        <v>18</v>
      </c>
      <c r="Z4477" s="4">
        <v>1</v>
      </c>
      <c r="AA4477" s="4">
        <v>5</v>
      </c>
      <c r="AB4477" s="4">
        <v>1</v>
      </c>
      <c r="AC4477" s="4">
        <v>1</v>
      </c>
      <c r="AD4477" s="4">
        <v>6</v>
      </c>
      <c r="AE4477" s="4">
        <v>42</v>
      </c>
      <c r="AF4477" s="4">
        <v>0</v>
      </c>
      <c r="AG4477" s="4">
        <v>0</v>
      </c>
      <c r="AH4477" s="4">
        <v>6</v>
      </c>
      <c r="AI4477" s="4">
        <v>36</v>
      </c>
      <c r="AJ4477" s="4">
        <v>0</v>
      </c>
      <c r="AK4477" s="4">
        <v>2</v>
      </c>
      <c r="AL4477" s="4">
        <v>3</v>
      </c>
      <c r="AM4477" s="4">
        <v>24</v>
      </c>
      <c r="AN4477" s="4">
        <v>0</v>
      </c>
      <c r="AO4477" s="4">
        <v>0</v>
      </c>
      <c r="AP4477" s="4">
        <v>0</v>
      </c>
      <c r="AQ4477" s="4">
        <v>4</v>
      </c>
      <c r="AR4477" s="3" t="s">
        <v>62</v>
      </c>
      <c r="AS4477" s="3" t="s">
        <v>62</v>
      </c>
      <c r="AT4477" s="3" t="s">
        <v>61</v>
      </c>
      <c r="AU4477" s="6" t="str">
        <f>HYPERLINK("http://catalog.hathitrust.org/Record/101528811","HathiTrust Record")</f>
        <v>HathiTrust Record</v>
      </c>
      <c r="AV4477" s="6" t="str">
        <f>HYPERLINK("http://mcgill.on.worldcat.org/oclc/12656052","Catalog Record")</f>
        <v>Catalog Record</v>
      </c>
      <c r="AW4477" s="6" t="str">
        <f>HYPERLINK("http://www.worldcat.org/oclc/12656052","WorldCat Record")</f>
        <v>WorldCat Record</v>
      </c>
      <c r="AX4477" s="3" t="s">
        <v>43094</v>
      </c>
      <c r="AY4477" s="3" t="s">
        <v>43095</v>
      </c>
      <c r="AZ4477" s="3" t="s">
        <v>43096</v>
      </c>
      <c r="BA4477" s="3" t="s">
        <v>43096</v>
      </c>
      <c r="BB4477" s="3" t="s">
        <v>43097</v>
      </c>
      <c r="BC4477" s="3" t="s">
        <v>102</v>
      </c>
      <c r="BD4477" s="3" t="s">
        <v>68</v>
      </c>
      <c r="BF4477" s="3" t="s">
        <v>43097</v>
      </c>
      <c r="BG4477" s="3" t="s">
        <v>43098</v>
      </c>
    </row>
    <row r="4478" spans="1:59" ht="58" x14ac:dyDescent="0.35">
      <c r="A4478" s="2" t="s">
        <v>89</v>
      </c>
      <c r="B4478" s="2" t="s">
        <v>90</v>
      </c>
      <c r="C4478" s="2" t="s">
        <v>43099</v>
      </c>
      <c r="D4478" s="2" t="s">
        <v>43100</v>
      </c>
      <c r="E4478" s="2" t="s">
        <v>43101</v>
      </c>
      <c r="G4478" s="3" t="s">
        <v>62</v>
      </c>
      <c r="I4478" s="3" t="s">
        <v>62</v>
      </c>
      <c r="J4478" s="3" t="s">
        <v>62</v>
      </c>
      <c r="K4478" s="3" t="s">
        <v>63</v>
      </c>
      <c r="L4478" s="2" t="s">
        <v>43102</v>
      </c>
      <c r="M4478" s="2" t="s">
        <v>43103</v>
      </c>
      <c r="N4478" s="3" t="s">
        <v>129</v>
      </c>
      <c r="P4478" s="3" t="s">
        <v>64</v>
      </c>
      <c r="R4478" s="3" t="s">
        <v>42369</v>
      </c>
      <c r="S4478" s="4">
        <v>4</v>
      </c>
      <c r="T4478" s="4">
        <v>4</v>
      </c>
      <c r="U4478" s="5" t="s">
        <v>22226</v>
      </c>
      <c r="V4478" s="5" t="s">
        <v>22226</v>
      </c>
      <c r="W4478" s="5" t="s">
        <v>67</v>
      </c>
      <c r="X4478" s="5" t="s">
        <v>67</v>
      </c>
      <c r="Y4478" s="4">
        <v>82</v>
      </c>
      <c r="Z4478" s="4">
        <v>2</v>
      </c>
      <c r="AA4478" s="4">
        <v>13</v>
      </c>
      <c r="AB4478" s="4">
        <v>2</v>
      </c>
      <c r="AC4478" s="4">
        <v>5</v>
      </c>
      <c r="AD4478" s="4">
        <v>8</v>
      </c>
      <c r="AE4478" s="4">
        <v>33</v>
      </c>
      <c r="AF4478" s="4">
        <v>1</v>
      </c>
      <c r="AG4478" s="4">
        <v>1</v>
      </c>
      <c r="AH4478" s="4">
        <v>7</v>
      </c>
      <c r="AI4478" s="4">
        <v>32</v>
      </c>
      <c r="AJ4478" s="4">
        <v>1</v>
      </c>
      <c r="AK4478" s="4">
        <v>1</v>
      </c>
      <c r="AL4478" s="4">
        <v>7</v>
      </c>
      <c r="AM4478" s="4">
        <v>20</v>
      </c>
      <c r="AN4478" s="4">
        <v>0</v>
      </c>
      <c r="AO4478" s="4">
        <v>0</v>
      </c>
      <c r="AP4478" s="4">
        <v>1</v>
      </c>
      <c r="AQ4478" s="4">
        <v>1</v>
      </c>
      <c r="AR4478" s="3" t="s">
        <v>62</v>
      </c>
      <c r="AS4478" s="3" t="s">
        <v>62</v>
      </c>
      <c r="AT4478" s="3" t="s">
        <v>62</v>
      </c>
      <c r="AV4478" s="6" t="str">
        <f>HYPERLINK("http://mcgill.on.worldcat.org/oclc/815366340","Catalog Record")</f>
        <v>Catalog Record</v>
      </c>
      <c r="AW4478" s="6" t="str">
        <f>HYPERLINK("http://www.worldcat.org/oclc/815366340","WorldCat Record")</f>
        <v>WorldCat Record</v>
      </c>
      <c r="AX4478" s="3" t="s">
        <v>43104</v>
      </c>
      <c r="AY4478" s="3" t="s">
        <v>43105</v>
      </c>
      <c r="AZ4478" s="3" t="s">
        <v>43106</v>
      </c>
      <c r="BA4478" s="3" t="s">
        <v>43106</v>
      </c>
      <c r="BB4478" s="3" t="s">
        <v>43107</v>
      </c>
      <c r="BC4478" s="3" t="s">
        <v>102</v>
      </c>
      <c r="BD4478" s="3" t="s">
        <v>68</v>
      </c>
      <c r="BE4478" s="3" t="s">
        <v>43108</v>
      </c>
      <c r="BF4478" s="3" t="s">
        <v>43107</v>
      </c>
      <c r="BG4478" s="3" t="s">
        <v>43109</v>
      </c>
    </row>
    <row r="4479" spans="1:59" ht="58" x14ac:dyDescent="0.35">
      <c r="A4479" s="2" t="s">
        <v>59</v>
      </c>
      <c r="B4479" s="2" t="s">
        <v>60</v>
      </c>
      <c r="C4479" s="2" t="s">
        <v>43110</v>
      </c>
      <c r="D4479" s="2" t="s">
        <v>43111</v>
      </c>
      <c r="E4479" s="2" t="s">
        <v>43112</v>
      </c>
      <c r="G4479" s="3" t="s">
        <v>62</v>
      </c>
      <c r="I4479" s="3" t="s">
        <v>62</v>
      </c>
      <c r="J4479" s="3" t="s">
        <v>62</v>
      </c>
      <c r="K4479" s="3" t="s">
        <v>63</v>
      </c>
      <c r="L4479" s="2" t="s">
        <v>43113</v>
      </c>
      <c r="M4479" s="2" t="s">
        <v>43114</v>
      </c>
      <c r="N4479" s="3" t="s">
        <v>866</v>
      </c>
      <c r="P4479" s="3" t="s">
        <v>64</v>
      </c>
      <c r="R4479" s="3" t="s">
        <v>42369</v>
      </c>
      <c r="S4479" s="4">
        <v>1</v>
      </c>
      <c r="T4479" s="4">
        <v>1</v>
      </c>
      <c r="U4479" s="5" t="s">
        <v>17448</v>
      </c>
      <c r="V4479" s="5" t="s">
        <v>17448</v>
      </c>
      <c r="W4479" s="5" t="s">
        <v>67</v>
      </c>
      <c r="X4479" s="5" t="s">
        <v>67</v>
      </c>
      <c r="Y4479" s="4">
        <v>375</v>
      </c>
      <c r="Z4479" s="4">
        <v>12</v>
      </c>
      <c r="AA4479" s="4">
        <v>50</v>
      </c>
      <c r="AB4479" s="4">
        <v>1</v>
      </c>
      <c r="AC4479" s="4">
        <v>7</v>
      </c>
      <c r="AD4479" s="4">
        <v>34</v>
      </c>
      <c r="AE4479" s="4">
        <v>124</v>
      </c>
      <c r="AF4479" s="4">
        <v>0</v>
      </c>
      <c r="AG4479" s="4">
        <v>4</v>
      </c>
      <c r="AH4479" s="4">
        <v>29</v>
      </c>
      <c r="AI4479" s="4">
        <v>103</v>
      </c>
      <c r="AJ4479" s="4">
        <v>5</v>
      </c>
      <c r="AK4479" s="4">
        <v>19</v>
      </c>
      <c r="AL4479" s="4">
        <v>15</v>
      </c>
      <c r="AM4479" s="4">
        <v>53</v>
      </c>
      <c r="AN4479" s="4">
        <v>0</v>
      </c>
      <c r="AO4479" s="4">
        <v>9</v>
      </c>
      <c r="AP4479" s="4">
        <v>8</v>
      </c>
      <c r="AQ4479" s="4">
        <v>28</v>
      </c>
      <c r="AR4479" s="3" t="s">
        <v>62</v>
      </c>
      <c r="AS4479" s="3" t="s">
        <v>62</v>
      </c>
      <c r="AT4479" s="3" t="s">
        <v>61</v>
      </c>
      <c r="AU4479" s="6" t="str">
        <f>HYPERLINK("http://catalog.hathitrust.org/Record/001605087","HathiTrust Record")</f>
        <v>HathiTrust Record</v>
      </c>
      <c r="AV4479" s="6" t="str">
        <f>HYPERLINK("http://mcgill.on.worldcat.org/oclc/636152","Catalog Record")</f>
        <v>Catalog Record</v>
      </c>
      <c r="AW4479" s="6" t="str">
        <f>HYPERLINK("http://www.worldcat.org/oclc/636152","WorldCat Record")</f>
        <v>WorldCat Record</v>
      </c>
      <c r="AX4479" s="3" t="s">
        <v>43115</v>
      </c>
      <c r="AY4479" s="3" t="s">
        <v>43116</v>
      </c>
      <c r="AZ4479" s="3" t="s">
        <v>43117</v>
      </c>
      <c r="BA4479" s="3" t="s">
        <v>43117</v>
      </c>
      <c r="BB4479" s="3" t="s">
        <v>43118</v>
      </c>
      <c r="BC4479" s="3" t="s">
        <v>102</v>
      </c>
      <c r="BD4479" s="3" t="s">
        <v>6923</v>
      </c>
      <c r="BE4479" s="3" t="s">
        <v>43119</v>
      </c>
      <c r="BF4479" s="3" t="s">
        <v>43118</v>
      </c>
      <c r="BG4479" s="3" t="s">
        <v>43120</v>
      </c>
    </row>
    <row r="4480" spans="1:59" ht="58" x14ac:dyDescent="0.35">
      <c r="A4480" s="2" t="s">
        <v>59</v>
      </c>
      <c r="B4480" s="2" t="s">
        <v>60</v>
      </c>
      <c r="C4480" s="2" t="s">
        <v>43121</v>
      </c>
      <c r="D4480" s="2" t="s">
        <v>43122</v>
      </c>
      <c r="E4480" s="2" t="s">
        <v>43123</v>
      </c>
      <c r="G4480" s="3" t="s">
        <v>62</v>
      </c>
      <c r="I4480" s="3" t="s">
        <v>62</v>
      </c>
      <c r="J4480" s="3" t="s">
        <v>62</v>
      </c>
      <c r="K4480" s="3" t="s">
        <v>63</v>
      </c>
      <c r="L4480" s="2" t="s">
        <v>43124</v>
      </c>
      <c r="M4480" s="2" t="s">
        <v>43125</v>
      </c>
      <c r="N4480" s="3" t="s">
        <v>355</v>
      </c>
      <c r="O4480" s="2" t="s">
        <v>43126</v>
      </c>
      <c r="P4480" s="3" t="s">
        <v>64</v>
      </c>
      <c r="R4480" s="3" t="s">
        <v>42369</v>
      </c>
      <c r="S4480" s="4">
        <v>7</v>
      </c>
      <c r="T4480" s="4">
        <v>7</v>
      </c>
      <c r="U4480" s="5" t="s">
        <v>6962</v>
      </c>
      <c r="V4480" s="5" t="s">
        <v>6962</v>
      </c>
      <c r="W4480" s="5" t="s">
        <v>67</v>
      </c>
      <c r="X4480" s="5" t="s">
        <v>67</v>
      </c>
      <c r="Y4480" s="4">
        <v>276</v>
      </c>
      <c r="Z4480" s="4">
        <v>6</v>
      </c>
      <c r="AA4480" s="4">
        <v>10</v>
      </c>
      <c r="AB4480" s="4">
        <v>2</v>
      </c>
      <c r="AC4480" s="4">
        <v>2</v>
      </c>
      <c r="AD4480" s="4">
        <v>34</v>
      </c>
      <c r="AE4480" s="4">
        <v>44</v>
      </c>
      <c r="AF4480" s="4">
        <v>0</v>
      </c>
      <c r="AG4480" s="4">
        <v>0</v>
      </c>
      <c r="AH4480" s="4">
        <v>33</v>
      </c>
      <c r="AI4480" s="4">
        <v>43</v>
      </c>
      <c r="AJ4480" s="4">
        <v>2</v>
      </c>
      <c r="AK4480" s="4">
        <v>5</v>
      </c>
      <c r="AL4480" s="4">
        <v>16</v>
      </c>
      <c r="AM4480" s="4">
        <v>21</v>
      </c>
      <c r="AN4480" s="4">
        <v>5</v>
      </c>
      <c r="AO4480" s="4">
        <v>10</v>
      </c>
      <c r="AP4480" s="4">
        <v>2</v>
      </c>
      <c r="AQ4480" s="4">
        <v>5</v>
      </c>
      <c r="AR4480" s="3" t="s">
        <v>62</v>
      </c>
      <c r="AS4480" s="3" t="s">
        <v>62</v>
      </c>
      <c r="AT4480" s="3" t="s">
        <v>61</v>
      </c>
      <c r="AU4480" s="6" t="str">
        <f>HYPERLINK("http://catalog.hathitrust.org/Record/101993807","HathiTrust Record")</f>
        <v>HathiTrust Record</v>
      </c>
      <c r="AV4480" s="6" t="str">
        <f>HYPERLINK("http://mcgill.on.worldcat.org/oclc/10457964","Catalog Record")</f>
        <v>Catalog Record</v>
      </c>
      <c r="AW4480" s="6" t="str">
        <f>HYPERLINK("http://www.worldcat.org/oclc/10457964","WorldCat Record")</f>
        <v>WorldCat Record</v>
      </c>
      <c r="AX4480" s="3" t="s">
        <v>43127</v>
      </c>
      <c r="AY4480" s="3" t="s">
        <v>43128</v>
      </c>
      <c r="AZ4480" s="3" t="s">
        <v>43129</v>
      </c>
      <c r="BA4480" s="3" t="s">
        <v>43129</v>
      </c>
      <c r="BB4480" s="3" t="s">
        <v>43130</v>
      </c>
      <c r="BC4480" s="3" t="s">
        <v>102</v>
      </c>
      <c r="BD4480" s="3" t="s">
        <v>68</v>
      </c>
      <c r="BE4480" s="3" t="s">
        <v>43131</v>
      </c>
      <c r="BF4480" s="3" t="s">
        <v>43130</v>
      </c>
      <c r="BG4480" s="3" t="s">
        <v>43132</v>
      </c>
    </row>
    <row r="4481" spans="1:59" ht="58" x14ac:dyDescent="0.35">
      <c r="A4481" s="2" t="s">
        <v>59</v>
      </c>
      <c r="B4481" s="2" t="s">
        <v>60</v>
      </c>
      <c r="C4481" s="2" t="s">
        <v>43133</v>
      </c>
      <c r="D4481" s="2" t="s">
        <v>43134</v>
      </c>
      <c r="E4481" s="2" t="s">
        <v>43135</v>
      </c>
      <c r="G4481" s="3" t="s">
        <v>62</v>
      </c>
      <c r="I4481" s="3" t="s">
        <v>62</v>
      </c>
      <c r="J4481" s="3" t="s">
        <v>62</v>
      </c>
      <c r="K4481" s="3" t="s">
        <v>63</v>
      </c>
      <c r="L4481" s="2" t="s">
        <v>43136</v>
      </c>
      <c r="M4481" s="2" t="s">
        <v>43137</v>
      </c>
      <c r="N4481" s="3" t="s">
        <v>2588</v>
      </c>
      <c r="P4481" s="3" t="s">
        <v>64</v>
      </c>
      <c r="R4481" s="3" t="s">
        <v>42369</v>
      </c>
      <c r="S4481" s="4">
        <v>7</v>
      </c>
      <c r="T4481" s="4">
        <v>7</v>
      </c>
      <c r="U4481" s="5" t="s">
        <v>13499</v>
      </c>
      <c r="V4481" s="5" t="s">
        <v>13499</v>
      </c>
      <c r="W4481" s="5" t="s">
        <v>67</v>
      </c>
      <c r="X4481" s="5" t="s">
        <v>67</v>
      </c>
      <c r="Y4481" s="4">
        <v>177</v>
      </c>
      <c r="Z4481" s="4">
        <v>15</v>
      </c>
      <c r="AA4481" s="4">
        <v>37</v>
      </c>
      <c r="AB4481" s="4">
        <v>1</v>
      </c>
      <c r="AC4481" s="4">
        <v>4</v>
      </c>
      <c r="AD4481" s="4">
        <v>14</v>
      </c>
      <c r="AE4481" s="4">
        <v>63</v>
      </c>
      <c r="AF4481" s="4">
        <v>0</v>
      </c>
      <c r="AG4481" s="4">
        <v>0</v>
      </c>
      <c r="AH4481" s="4">
        <v>12</v>
      </c>
      <c r="AI4481" s="4">
        <v>55</v>
      </c>
      <c r="AJ4481" s="4">
        <v>3</v>
      </c>
      <c r="AK4481" s="4">
        <v>7</v>
      </c>
      <c r="AL4481" s="4">
        <v>4</v>
      </c>
      <c r="AM4481" s="4">
        <v>28</v>
      </c>
      <c r="AN4481" s="4">
        <v>0</v>
      </c>
      <c r="AO4481" s="4">
        <v>5</v>
      </c>
      <c r="AP4481" s="4">
        <v>5</v>
      </c>
      <c r="AQ4481" s="4">
        <v>11</v>
      </c>
      <c r="AR4481" s="3" t="s">
        <v>62</v>
      </c>
      <c r="AS4481" s="3" t="s">
        <v>62</v>
      </c>
      <c r="AT4481" s="3" t="s">
        <v>62</v>
      </c>
      <c r="AV4481" s="6" t="str">
        <f>HYPERLINK("http://mcgill.on.worldcat.org/oclc/4809491","Catalog Record")</f>
        <v>Catalog Record</v>
      </c>
      <c r="AW4481" s="6" t="str">
        <f>HYPERLINK("http://www.worldcat.org/oclc/4809491","WorldCat Record")</f>
        <v>WorldCat Record</v>
      </c>
      <c r="AX4481" s="3" t="s">
        <v>43138</v>
      </c>
      <c r="AY4481" s="3" t="s">
        <v>43139</v>
      </c>
      <c r="AZ4481" s="3" t="s">
        <v>43140</v>
      </c>
      <c r="BA4481" s="3" t="s">
        <v>43140</v>
      </c>
      <c r="BB4481" s="3" t="s">
        <v>43141</v>
      </c>
      <c r="BC4481" s="3" t="s">
        <v>102</v>
      </c>
      <c r="BD4481" s="3" t="s">
        <v>68</v>
      </c>
      <c r="BE4481" s="3" t="s">
        <v>43142</v>
      </c>
      <c r="BF4481" s="3" t="s">
        <v>43141</v>
      </c>
      <c r="BG4481" s="3" t="s">
        <v>43143</v>
      </c>
    </row>
    <row r="4482" spans="1:59" ht="72.5" x14ac:dyDescent="0.35">
      <c r="A4482" s="2" t="s">
        <v>59</v>
      </c>
      <c r="B4482" s="2" t="s">
        <v>60</v>
      </c>
      <c r="C4482" s="2" t="s">
        <v>43144</v>
      </c>
      <c r="D4482" s="2" t="s">
        <v>43145</v>
      </c>
      <c r="E4482" s="2" t="s">
        <v>43146</v>
      </c>
      <c r="G4482" s="3" t="s">
        <v>62</v>
      </c>
      <c r="I4482" s="3" t="s">
        <v>61</v>
      </c>
      <c r="J4482" s="3" t="s">
        <v>61</v>
      </c>
      <c r="K4482" s="3" t="s">
        <v>63</v>
      </c>
      <c r="L4482" s="2" t="s">
        <v>43147</v>
      </c>
      <c r="M4482" s="2" t="s">
        <v>43148</v>
      </c>
      <c r="N4482" s="3" t="s">
        <v>1905</v>
      </c>
      <c r="O4482" s="2" t="s">
        <v>43149</v>
      </c>
      <c r="P4482" s="3" t="s">
        <v>64</v>
      </c>
      <c r="R4482" s="3" t="s">
        <v>42369</v>
      </c>
      <c r="S4482" s="4">
        <v>0</v>
      </c>
      <c r="T4482" s="4">
        <v>14</v>
      </c>
      <c r="V4482" s="5" t="s">
        <v>37766</v>
      </c>
      <c r="W4482" s="5" t="s">
        <v>67</v>
      </c>
      <c r="X4482" s="5" t="s">
        <v>67</v>
      </c>
      <c r="Y4482" s="4">
        <v>1072</v>
      </c>
      <c r="Z4482" s="4">
        <v>49</v>
      </c>
      <c r="AA4482" s="4">
        <v>95</v>
      </c>
      <c r="AB4482" s="4">
        <v>1</v>
      </c>
      <c r="AC4482" s="4">
        <v>9</v>
      </c>
      <c r="AD4482" s="4">
        <v>106</v>
      </c>
      <c r="AE4482" s="4">
        <v>161</v>
      </c>
      <c r="AF4482" s="4">
        <v>0</v>
      </c>
      <c r="AG4482" s="4">
        <v>5</v>
      </c>
      <c r="AH4482" s="4">
        <v>83</v>
      </c>
      <c r="AI4482" s="4">
        <v>117</v>
      </c>
      <c r="AJ4482" s="4">
        <v>18</v>
      </c>
      <c r="AK4482" s="4">
        <v>27</v>
      </c>
      <c r="AL4482" s="4">
        <v>42</v>
      </c>
      <c r="AM4482" s="4">
        <v>60</v>
      </c>
      <c r="AN4482" s="4">
        <v>0</v>
      </c>
      <c r="AO4482" s="4">
        <v>5</v>
      </c>
      <c r="AP4482" s="4">
        <v>30</v>
      </c>
      <c r="AQ4482" s="4">
        <v>50</v>
      </c>
      <c r="AR4482" s="3" t="s">
        <v>62</v>
      </c>
      <c r="AS4482" s="3" t="s">
        <v>62</v>
      </c>
      <c r="AT4482" s="3" t="s">
        <v>62</v>
      </c>
      <c r="AV4482" s="6" t="str">
        <f>HYPERLINK("http://mcgill.on.worldcat.org/oclc/13456472","Catalog Record")</f>
        <v>Catalog Record</v>
      </c>
      <c r="AW4482" s="6" t="str">
        <f>HYPERLINK("http://www.worldcat.org/oclc/13456472","WorldCat Record")</f>
        <v>WorldCat Record</v>
      </c>
      <c r="AX4482" s="3" t="s">
        <v>43150</v>
      </c>
      <c r="AY4482" s="3" t="s">
        <v>43151</v>
      </c>
      <c r="AZ4482" s="3" t="s">
        <v>43152</v>
      </c>
      <c r="BA4482" s="3" t="s">
        <v>43152</v>
      </c>
      <c r="BB4482" s="3" t="s">
        <v>43153</v>
      </c>
      <c r="BC4482" s="3" t="s">
        <v>102</v>
      </c>
      <c r="BD4482" s="3" t="s">
        <v>68</v>
      </c>
      <c r="BE4482" s="3" t="s">
        <v>43154</v>
      </c>
      <c r="BF4482" s="3" t="s">
        <v>43153</v>
      </c>
      <c r="BG4482" s="3" t="s">
        <v>43155</v>
      </c>
    </row>
    <row r="4483" spans="1:59" ht="58" x14ac:dyDescent="0.35">
      <c r="A4483" s="2" t="s">
        <v>59</v>
      </c>
      <c r="B4483" s="2" t="s">
        <v>60</v>
      </c>
      <c r="C4483" s="2" t="s">
        <v>43156</v>
      </c>
      <c r="D4483" s="2" t="s">
        <v>43157</v>
      </c>
      <c r="E4483" s="2" t="s">
        <v>43158</v>
      </c>
      <c r="G4483" s="3" t="s">
        <v>62</v>
      </c>
      <c r="I4483" s="3" t="s">
        <v>62</v>
      </c>
      <c r="J4483" s="3" t="s">
        <v>62</v>
      </c>
      <c r="K4483" s="3" t="s">
        <v>63</v>
      </c>
      <c r="M4483" s="2" t="s">
        <v>43159</v>
      </c>
      <c r="N4483" s="3" t="s">
        <v>115</v>
      </c>
      <c r="P4483" s="3" t="s">
        <v>64</v>
      </c>
      <c r="R4483" s="3" t="s">
        <v>42369</v>
      </c>
      <c r="S4483" s="4">
        <v>1</v>
      </c>
      <c r="T4483" s="4">
        <v>1</v>
      </c>
      <c r="U4483" s="5" t="s">
        <v>2872</v>
      </c>
      <c r="V4483" s="5" t="s">
        <v>2872</v>
      </c>
      <c r="W4483" s="5" t="s">
        <v>67</v>
      </c>
      <c r="X4483" s="5" t="s">
        <v>67</v>
      </c>
      <c r="Y4483" s="4">
        <v>11</v>
      </c>
      <c r="Z4483" s="4">
        <v>1</v>
      </c>
      <c r="AA4483" s="4">
        <v>1</v>
      </c>
      <c r="AB4483" s="4">
        <v>1</v>
      </c>
      <c r="AC4483" s="4">
        <v>1</v>
      </c>
      <c r="AD4483" s="4">
        <v>1</v>
      </c>
      <c r="AE4483" s="4">
        <v>1</v>
      </c>
      <c r="AF4483" s="4">
        <v>0</v>
      </c>
      <c r="AG4483" s="4">
        <v>0</v>
      </c>
      <c r="AH4483" s="4">
        <v>0</v>
      </c>
      <c r="AI4483" s="4">
        <v>0</v>
      </c>
      <c r="AJ4483" s="4">
        <v>0</v>
      </c>
      <c r="AK4483" s="4">
        <v>0</v>
      </c>
      <c r="AL4483" s="4">
        <v>1</v>
      </c>
      <c r="AM4483" s="4">
        <v>1</v>
      </c>
      <c r="AN4483" s="4">
        <v>0</v>
      </c>
      <c r="AO4483" s="4">
        <v>0</v>
      </c>
      <c r="AP4483" s="4">
        <v>0</v>
      </c>
      <c r="AQ4483" s="4">
        <v>0</v>
      </c>
      <c r="AR4483" s="3" t="s">
        <v>62</v>
      </c>
      <c r="AS4483" s="3" t="s">
        <v>62</v>
      </c>
      <c r="AT4483" s="3" t="s">
        <v>62</v>
      </c>
      <c r="AV4483" s="6" t="str">
        <f>HYPERLINK("http://mcgill.on.worldcat.org/oclc/25891632","Catalog Record")</f>
        <v>Catalog Record</v>
      </c>
      <c r="AW4483" s="6" t="str">
        <f>HYPERLINK("http://www.worldcat.org/oclc/25891632","WorldCat Record")</f>
        <v>WorldCat Record</v>
      </c>
      <c r="AX4483" s="3" t="s">
        <v>43160</v>
      </c>
      <c r="AY4483" s="3" t="s">
        <v>43161</v>
      </c>
      <c r="AZ4483" s="3" t="s">
        <v>43162</v>
      </c>
      <c r="BA4483" s="3" t="s">
        <v>43162</v>
      </c>
      <c r="BB4483" s="3" t="s">
        <v>43163</v>
      </c>
      <c r="BC4483" s="3" t="s">
        <v>102</v>
      </c>
      <c r="BD4483" s="3" t="s">
        <v>68</v>
      </c>
      <c r="BF4483" s="3" t="s">
        <v>43163</v>
      </c>
      <c r="BG4483" s="3" t="s">
        <v>43164</v>
      </c>
    </row>
    <row r="4484" spans="1:59" ht="58" x14ac:dyDescent="0.35">
      <c r="A4484" s="2" t="s">
        <v>59</v>
      </c>
      <c r="B4484" s="2" t="s">
        <v>60</v>
      </c>
      <c r="C4484" s="2" t="s">
        <v>43165</v>
      </c>
      <c r="D4484" s="2" t="s">
        <v>43166</v>
      </c>
      <c r="E4484" s="2" t="s">
        <v>43167</v>
      </c>
      <c r="G4484" s="3" t="s">
        <v>62</v>
      </c>
      <c r="I4484" s="3" t="s">
        <v>62</v>
      </c>
      <c r="J4484" s="3" t="s">
        <v>62</v>
      </c>
      <c r="K4484" s="3" t="s">
        <v>63</v>
      </c>
      <c r="M4484" s="2" t="s">
        <v>34790</v>
      </c>
      <c r="N4484" s="3" t="s">
        <v>3062</v>
      </c>
      <c r="P4484" s="3" t="s">
        <v>64</v>
      </c>
      <c r="R4484" s="3" t="s">
        <v>42369</v>
      </c>
      <c r="S4484" s="4">
        <v>8</v>
      </c>
      <c r="T4484" s="4">
        <v>8</v>
      </c>
      <c r="U4484" s="5" t="s">
        <v>6932</v>
      </c>
      <c r="V4484" s="5" t="s">
        <v>6932</v>
      </c>
      <c r="W4484" s="5" t="s">
        <v>67</v>
      </c>
      <c r="X4484" s="5" t="s">
        <v>67</v>
      </c>
      <c r="Y4484" s="4">
        <v>235</v>
      </c>
      <c r="Z4484" s="4">
        <v>19</v>
      </c>
      <c r="AA4484" s="4">
        <v>20</v>
      </c>
      <c r="AB4484" s="4">
        <v>1</v>
      </c>
      <c r="AC4484" s="4">
        <v>1</v>
      </c>
      <c r="AD4484" s="4">
        <v>74</v>
      </c>
      <c r="AE4484" s="4">
        <v>75</v>
      </c>
      <c r="AF4484" s="4">
        <v>0</v>
      </c>
      <c r="AG4484" s="4">
        <v>0</v>
      </c>
      <c r="AH4484" s="4">
        <v>66</v>
      </c>
      <c r="AI4484" s="4">
        <v>67</v>
      </c>
      <c r="AJ4484" s="4">
        <v>9</v>
      </c>
      <c r="AK4484" s="4">
        <v>9</v>
      </c>
      <c r="AL4484" s="4">
        <v>37</v>
      </c>
      <c r="AM4484" s="4">
        <v>38</v>
      </c>
      <c r="AN4484" s="4">
        <v>0</v>
      </c>
      <c r="AO4484" s="4">
        <v>0</v>
      </c>
      <c r="AP4484" s="4">
        <v>11</v>
      </c>
      <c r="AQ4484" s="4">
        <v>11</v>
      </c>
      <c r="AR4484" s="3" t="s">
        <v>62</v>
      </c>
      <c r="AS4484" s="3" t="s">
        <v>62</v>
      </c>
      <c r="AT4484" s="3" t="s">
        <v>61</v>
      </c>
      <c r="AU4484" s="6" t="str">
        <f>HYPERLINK("http://catalog.hathitrust.org/Record/002498923","HathiTrust Record")</f>
        <v>HathiTrust Record</v>
      </c>
      <c r="AV4484" s="6" t="str">
        <f>HYPERLINK("http://mcgill.on.worldcat.org/oclc/22112990","Catalog Record")</f>
        <v>Catalog Record</v>
      </c>
      <c r="AW4484" s="6" t="str">
        <f>HYPERLINK("http://www.worldcat.org/oclc/22112990","WorldCat Record")</f>
        <v>WorldCat Record</v>
      </c>
      <c r="AX4484" s="3" t="s">
        <v>43168</v>
      </c>
      <c r="AY4484" s="3" t="s">
        <v>43169</v>
      </c>
      <c r="AZ4484" s="3" t="s">
        <v>43170</v>
      </c>
      <c r="BA4484" s="3" t="s">
        <v>43170</v>
      </c>
      <c r="BB4484" s="3" t="s">
        <v>43171</v>
      </c>
      <c r="BC4484" s="3" t="s">
        <v>102</v>
      </c>
      <c r="BD4484" s="3" t="s">
        <v>68</v>
      </c>
      <c r="BE4484" s="3" t="s">
        <v>43172</v>
      </c>
      <c r="BF4484" s="3" t="s">
        <v>43171</v>
      </c>
      <c r="BG4484" s="3" t="s">
        <v>43173</v>
      </c>
    </row>
    <row r="4485" spans="1:59" ht="58" x14ac:dyDescent="0.35">
      <c r="A4485" s="2" t="s">
        <v>59</v>
      </c>
      <c r="B4485" s="2" t="s">
        <v>60</v>
      </c>
      <c r="C4485" s="2" t="s">
        <v>43174</v>
      </c>
      <c r="D4485" s="2" t="s">
        <v>43175</v>
      </c>
      <c r="E4485" s="2" t="s">
        <v>43176</v>
      </c>
      <c r="G4485" s="3" t="s">
        <v>62</v>
      </c>
      <c r="I4485" s="3" t="s">
        <v>62</v>
      </c>
      <c r="J4485" s="3" t="s">
        <v>62</v>
      </c>
      <c r="K4485" s="3" t="s">
        <v>63</v>
      </c>
      <c r="L4485" s="2" t="s">
        <v>43177</v>
      </c>
      <c r="M4485" s="2" t="s">
        <v>43178</v>
      </c>
      <c r="N4485" s="3" t="s">
        <v>481</v>
      </c>
      <c r="P4485" s="3" t="s">
        <v>64</v>
      </c>
      <c r="Q4485" s="2" t="s">
        <v>43179</v>
      </c>
      <c r="R4485" s="3" t="s">
        <v>42369</v>
      </c>
      <c r="S4485" s="4">
        <v>1</v>
      </c>
      <c r="T4485" s="4">
        <v>1</v>
      </c>
      <c r="U4485" s="5" t="s">
        <v>29434</v>
      </c>
      <c r="V4485" s="5" t="s">
        <v>29434</v>
      </c>
      <c r="W4485" s="5" t="s">
        <v>67</v>
      </c>
      <c r="X4485" s="5" t="s">
        <v>67</v>
      </c>
      <c r="Y4485" s="4">
        <v>118</v>
      </c>
      <c r="Z4485" s="4">
        <v>29</v>
      </c>
      <c r="AA4485" s="4">
        <v>29</v>
      </c>
      <c r="AB4485" s="4">
        <v>1</v>
      </c>
      <c r="AC4485" s="4">
        <v>1</v>
      </c>
      <c r="AD4485" s="4">
        <v>57</v>
      </c>
      <c r="AE4485" s="4">
        <v>57</v>
      </c>
      <c r="AF4485" s="4">
        <v>0</v>
      </c>
      <c r="AG4485" s="4">
        <v>0</v>
      </c>
      <c r="AH4485" s="4">
        <v>43</v>
      </c>
      <c r="AI4485" s="4">
        <v>43</v>
      </c>
      <c r="AJ4485" s="4">
        <v>11</v>
      </c>
      <c r="AK4485" s="4">
        <v>11</v>
      </c>
      <c r="AL4485" s="4">
        <v>22</v>
      </c>
      <c r="AM4485" s="4">
        <v>22</v>
      </c>
      <c r="AN4485" s="4">
        <v>0</v>
      </c>
      <c r="AO4485" s="4">
        <v>0</v>
      </c>
      <c r="AP4485" s="4">
        <v>17</v>
      </c>
      <c r="AQ4485" s="4">
        <v>17</v>
      </c>
      <c r="AR4485" s="3" t="s">
        <v>61</v>
      </c>
      <c r="AS4485" s="3" t="s">
        <v>62</v>
      </c>
      <c r="AT4485" s="3" t="s">
        <v>62</v>
      </c>
      <c r="AV4485" s="6" t="str">
        <f>HYPERLINK("http://mcgill.on.worldcat.org/oclc/36991984","Catalog Record")</f>
        <v>Catalog Record</v>
      </c>
      <c r="AW4485" s="6" t="str">
        <f>HYPERLINK("http://www.worldcat.org/oclc/36991984","WorldCat Record")</f>
        <v>WorldCat Record</v>
      </c>
      <c r="AX4485" s="3" t="s">
        <v>43180</v>
      </c>
      <c r="AY4485" s="3" t="s">
        <v>43181</v>
      </c>
      <c r="AZ4485" s="3" t="s">
        <v>43182</v>
      </c>
      <c r="BA4485" s="3" t="s">
        <v>43182</v>
      </c>
      <c r="BB4485" s="3" t="s">
        <v>43183</v>
      </c>
      <c r="BC4485" s="3" t="s">
        <v>102</v>
      </c>
      <c r="BD4485" s="3" t="s">
        <v>68</v>
      </c>
      <c r="BE4485" s="3" t="s">
        <v>43184</v>
      </c>
      <c r="BF4485" s="3" t="s">
        <v>43183</v>
      </c>
      <c r="BG4485" s="3" t="s">
        <v>43185</v>
      </c>
    </row>
    <row r="4486" spans="1:59" ht="72.5" x14ac:dyDescent="0.35">
      <c r="A4486" s="2" t="s">
        <v>59</v>
      </c>
      <c r="B4486" s="2" t="s">
        <v>60</v>
      </c>
      <c r="C4486" s="2" t="s">
        <v>43186</v>
      </c>
      <c r="D4486" s="2" t="s">
        <v>43187</v>
      </c>
      <c r="E4486" s="2" t="s">
        <v>43188</v>
      </c>
      <c r="G4486" s="3" t="s">
        <v>62</v>
      </c>
      <c r="I4486" s="3" t="s">
        <v>61</v>
      </c>
      <c r="J4486" s="3" t="s">
        <v>62</v>
      </c>
      <c r="K4486" s="3" t="s">
        <v>63</v>
      </c>
      <c r="L4486" s="2" t="s">
        <v>43189</v>
      </c>
      <c r="M4486" s="2" t="s">
        <v>43190</v>
      </c>
      <c r="N4486" s="3" t="s">
        <v>2000</v>
      </c>
      <c r="O4486" s="2" t="s">
        <v>43191</v>
      </c>
      <c r="P4486" s="3" t="s">
        <v>64</v>
      </c>
      <c r="R4486" s="3" t="s">
        <v>42369</v>
      </c>
      <c r="S4486" s="4">
        <v>31</v>
      </c>
      <c r="T4486" s="4">
        <v>86</v>
      </c>
      <c r="U4486" s="5" t="s">
        <v>43192</v>
      </c>
      <c r="V4486" s="5" t="s">
        <v>16766</v>
      </c>
      <c r="W4486" s="5" t="s">
        <v>67</v>
      </c>
      <c r="X4486" s="5" t="s">
        <v>67</v>
      </c>
      <c r="Y4486" s="4">
        <v>363</v>
      </c>
      <c r="Z4486" s="4">
        <v>23</v>
      </c>
      <c r="AA4486" s="4">
        <v>25</v>
      </c>
      <c r="AB4486" s="4">
        <v>1</v>
      </c>
      <c r="AC4486" s="4">
        <v>3</v>
      </c>
      <c r="AD4486" s="4">
        <v>89</v>
      </c>
      <c r="AE4486" s="4">
        <v>91</v>
      </c>
      <c r="AF4486" s="4">
        <v>0</v>
      </c>
      <c r="AG4486" s="4">
        <v>2</v>
      </c>
      <c r="AH4486" s="4">
        <v>81</v>
      </c>
      <c r="AI4486" s="4">
        <v>82</v>
      </c>
      <c r="AJ4486" s="4">
        <v>13</v>
      </c>
      <c r="AK4486" s="4">
        <v>15</v>
      </c>
      <c r="AL4486" s="4">
        <v>43</v>
      </c>
      <c r="AM4486" s="4">
        <v>43</v>
      </c>
      <c r="AN4486" s="4">
        <v>0</v>
      </c>
      <c r="AO4486" s="4">
        <v>0</v>
      </c>
      <c r="AP4486" s="4">
        <v>15</v>
      </c>
      <c r="AQ4486" s="4">
        <v>17</v>
      </c>
      <c r="AR4486" s="3" t="s">
        <v>62</v>
      </c>
      <c r="AS4486" s="3" t="s">
        <v>62</v>
      </c>
      <c r="AT4486" s="3" t="s">
        <v>62</v>
      </c>
      <c r="AV4486" s="6" t="str">
        <f>HYPERLINK("http://mcgill.on.worldcat.org/oclc/35666444","Catalog Record")</f>
        <v>Catalog Record</v>
      </c>
      <c r="AW4486" s="6" t="str">
        <f>HYPERLINK("http://www.worldcat.org/oclc/35666444","WorldCat Record")</f>
        <v>WorldCat Record</v>
      </c>
      <c r="AX4486" s="3" t="s">
        <v>43193</v>
      </c>
      <c r="AY4486" s="3" t="s">
        <v>43194</v>
      </c>
      <c r="AZ4486" s="3" t="s">
        <v>43195</v>
      </c>
      <c r="BA4486" s="3" t="s">
        <v>43195</v>
      </c>
      <c r="BB4486" s="3" t="s">
        <v>43196</v>
      </c>
      <c r="BC4486" s="3" t="s">
        <v>102</v>
      </c>
      <c r="BD4486" s="3" t="s">
        <v>68</v>
      </c>
      <c r="BE4486" s="3" t="s">
        <v>43197</v>
      </c>
      <c r="BF4486" s="3" t="s">
        <v>43196</v>
      </c>
      <c r="BG4486" s="3" t="s">
        <v>43198</v>
      </c>
    </row>
    <row r="4487" spans="1:59" ht="58" x14ac:dyDescent="0.35">
      <c r="A4487" s="2" t="s">
        <v>59</v>
      </c>
      <c r="B4487" s="2" t="s">
        <v>60</v>
      </c>
      <c r="C4487" s="2" t="s">
        <v>43199</v>
      </c>
      <c r="D4487" s="2" t="s">
        <v>43200</v>
      </c>
      <c r="E4487" s="2" t="s">
        <v>43201</v>
      </c>
      <c r="G4487" s="3" t="s">
        <v>62</v>
      </c>
      <c r="I4487" s="3" t="s">
        <v>61</v>
      </c>
      <c r="J4487" s="3" t="s">
        <v>61</v>
      </c>
      <c r="K4487" s="3" t="s">
        <v>63</v>
      </c>
      <c r="L4487" s="2" t="s">
        <v>43189</v>
      </c>
      <c r="M4487" s="2" t="s">
        <v>43202</v>
      </c>
      <c r="N4487" s="3" t="s">
        <v>866</v>
      </c>
      <c r="P4487" s="3" t="s">
        <v>64</v>
      </c>
      <c r="R4487" s="3" t="s">
        <v>42369</v>
      </c>
      <c r="S4487" s="4">
        <v>11</v>
      </c>
      <c r="T4487" s="4">
        <v>51</v>
      </c>
      <c r="U4487" s="5" t="s">
        <v>39466</v>
      </c>
      <c r="V4487" s="5" t="s">
        <v>43203</v>
      </c>
      <c r="W4487" s="5" t="s">
        <v>67</v>
      </c>
      <c r="X4487" s="5" t="s">
        <v>67</v>
      </c>
      <c r="Y4487" s="4">
        <v>651</v>
      </c>
      <c r="Z4487" s="4">
        <v>33</v>
      </c>
      <c r="AA4487" s="4">
        <v>52</v>
      </c>
      <c r="AB4487" s="4">
        <v>4</v>
      </c>
      <c r="AC4487" s="4">
        <v>8</v>
      </c>
      <c r="AD4487" s="4">
        <v>90</v>
      </c>
      <c r="AE4487" s="4">
        <v>126</v>
      </c>
      <c r="AF4487" s="4">
        <v>1</v>
      </c>
      <c r="AG4487" s="4">
        <v>4</v>
      </c>
      <c r="AH4487" s="4">
        <v>78</v>
      </c>
      <c r="AI4487" s="4">
        <v>105</v>
      </c>
      <c r="AJ4487" s="4">
        <v>16</v>
      </c>
      <c r="AK4487" s="4">
        <v>23</v>
      </c>
      <c r="AL4487" s="4">
        <v>38</v>
      </c>
      <c r="AM4487" s="4">
        <v>55</v>
      </c>
      <c r="AN4487" s="4">
        <v>0</v>
      </c>
      <c r="AO4487" s="4">
        <v>0</v>
      </c>
      <c r="AP4487" s="4">
        <v>17</v>
      </c>
      <c r="AQ4487" s="4">
        <v>28</v>
      </c>
      <c r="AR4487" s="3" t="s">
        <v>62</v>
      </c>
      <c r="AS4487" s="3" t="s">
        <v>62</v>
      </c>
      <c r="AT4487" s="3" t="s">
        <v>61</v>
      </c>
      <c r="AU4487" s="6" t="str">
        <f>HYPERLINK("http://catalog.hathitrust.org/Record/004413668","HathiTrust Record")</f>
        <v>HathiTrust Record</v>
      </c>
      <c r="AV4487" s="6" t="str">
        <f>HYPERLINK("http://mcgill.on.worldcat.org/oclc/603537","Catalog Record")</f>
        <v>Catalog Record</v>
      </c>
      <c r="AW4487" s="6" t="str">
        <f>HYPERLINK("http://www.worldcat.org/oclc/603537","WorldCat Record")</f>
        <v>WorldCat Record</v>
      </c>
      <c r="AX4487" s="3" t="s">
        <v>43204</v>
      </c>
      <c r="AY4487" s="3" t="s">
        <v>43205</v>
      </c>
      <c r="AZ4487" s="3" t="s">
        <v>43206</v>
      </c>
      <c r="BA4487" s="3" t="s">
        <v>43206</v>
      </c>
      <c r="BB4487" s="3" t="s">
        <v>43207</v>
      </c>
      <c r="BC4487" s="3" t="s">
        <v>102</v>
      </c>
      <c r="BD4487" s="3" t="s">
        <v>68</v>
      </c>
      <c r="BE4487" s="3" t="s">
        <v>43208</v>
      </c>
      <c r="BF4487" s="3" t="s">
        <v>43207</v>
      </c>
      <c r="BG4487" s="3" t="s">
        <v>43209</v>
      </c>
    </row>
    <row r="4488" spans="1:59" ht="58" x14ac:dyDescent="0.35">
      <c r="A4488" s="2" t="s">
        <v>89</v>
      </c>
      <c r="B4488" s="2" t="s">
        <v>90</v>
      </c>
      <c r="C4488" s="2" t="s">
        <v>43210</v>
      </c>
      <c r="D4488" s="2" t="s">
        <v>43211</v>
      </c>
      <c r="E4488" s="2" t="s">
        <v>43212</v>
      </c>
      <c r="G4488" s="3" t="s">
        <v>62</v>
      </c>
      <c r="H4488" s="3" t="s">
        <v>916</v>
      </c>
      <c r="I4488" s="3" t="s">
        <v>62</v>
      </c>
      <c r="J4488" s="3" t="s">
        <v>61</v>
      </c>
      <c r="K4488" s="3" t="s">
        <v>63</v>
      </c>
      <c r="L4488" s="2" t="s">
        <v>43213</v>
      </c>
      <c r="M4488" s="2" t="s">
        <v>43214</v>
      </c>
      <c r="N4488" s="3" t="s">
        <v>684</v>
      </c>
      <c r="P4488" s="3" t="s">
        <v>64</v>
      </c>
      <c r="R4488" s="3" t="s">
        <v>42369</v>
      </c>
      <c r="S4488" s="4">
        <v>0</v>
      </c>
      <c r="T4488" s="4">
        <v>0</v>
      </c>
      <c r="W4488" s="5" t="s">
        <v>26568</v>
      </c>
      <c r="X4488" s="5" t="s">
        <v>26568</v>
      </c>
      <c r="Y4488" s="4">
        <v>10</v>
      </c>
      <c r="Z4488" s="4">
        <v>2</v>
      </c>
      <c r="AA4488" s="4">
        <v>13</v>
      </c>
      <c r="AB4488" s="4">
        <v>1</v>
      </c>
      <c r="AC4488" s="4">
        <v>1</v>
      </c>
      <c r="AD4488" s="4">
        <v>4</v>
      </c>
      <c r="AE4488" s="4">
        <v>57</v>
      </c>
      <c r="AF4488" s="4">
        <v>0</v>
      </c>
      <c r="AG4488" s="4">
        <v>0</v>
      </c>
      <c r="AH4488" s="4">
        <v>4</v>
      </c>
      <c r="AI4488" s="4">
        <v>53</v>
      </c>
      <c r="AJ4488" s="4">
        <v>1</v>
      </c>
      <c r="AK4488" s="4">
        <v>9</v>
      </c>
      <c r="AL4488" s="4">
        <v>2</v>
      </c>
      <c r="AM4488" s="4">
        <v>31</v>
      </c>
      <c r="AN4488" s="4">
        <v>0</v>
      </c>
      <c r="AO4488" s="4">
        <v>0</v>
      </c>
      <c r="AP4488" s="4">
        <v>1</v>
      </c>
      <c r="AQ4488" s="4">
        <v>10</v>
      </c>
      <c r="AR4488" s="3" t="s">
        <v>62</v>
      </c>
      <c r="AS4488" s="3" t="s">
        <v>62</v>
      </c>
      <c r="AT4488" s="3" t="s">
        <v>62</v>
      </c>
      <c r="AV4488" s="6" t="str">
        <f>HYPERLINK("http://mcgill.on.worldcat.org/oclc/755015724","Catalog Record")</f>
        <v>Catalog Record</v>
      </c>
      <c r="AW4488" s="6" t="str">
        <f>HYPERLINK("http://www.worldcat.org/oclc/755015724","WorldCat Record")</f>
        <v>WorldCat Record</v>
      </c>
      <c r="AX4488" s="3" t="s">
        <v>43215</v>
      </c>
      <c r="AY4488" s="3" t="s">
        <v>43216</v>
      </c>
      <c r="AZ4488" s="3" t="s">
        <v>43217</v>
      </c>
      <c r="BA4488" s="3" t="s">
        <v>43217</v>
      </c>
      <c r="BB4488" s="3" t="s">
        <v>43218</v>
      </c>
      <c r="BC4488" s="3" t="s">
        <v>102</v>
      </c>
      <c r="BD4488" s="3" t="s">
        <v>68</v>
      </c>
      <c r="BE4488" s="3" t="s">
        <v>43219</v>
      </c>
      <c r="BF4488" s="3" t="s">
        <v>43218</v>
      </c>
      <c r="BG4488" s="3" t="s">
        <v>43220</v>
      </c>
    </row>
    <row r="4489" spans="1:59" ht="58" x14ac:dyDescent="0.35">
      <c r="A4489" s="2" t="s">
        <v>59</v>
      </c>
      <c r="B4489" s="2" t="s">
        <v>60</v>
      </c>
      <c r="C4489" s="2" t="s">
        <v>43221</v>
      </c>
      <c r="D4489" s="2" t="s">
        <v>43222</v>
      </c>
      <c r="E4489" s="2" t="s">
        <v>43223</v>
      </c>
      <c r="G4489" s="3" t="s">
        <v>62</v>
      </c>
      <c r="I4489" s="3" t="s">
        <v>62</v>
      </c>
      <c r="J4489" s="3" t="s">
        <v>62</v>
      </c>
      <c r="K4489" s="3" t="s">
        <v>63</v>
      </c>
      <c r="L4489" s="2" t="s">
        <v>43224</v>
      </c>
      <c r="M4489" s="2" t="s">
        <v>43225</v>
      </c>
      <c r="N4489" s="3" t="s">
        <v>201</v>
      </c>
      <c r="P4489" s="3" t="s">
        <v>64</v>
      </c>
      <c r="R4489" s="3" t="s">
        <v>42369</v>
      </c>
      <c r="S4489" s="4">
        <v>5</v>
      </c>
      <c r="T4489" s="4">
        <v>5</v>
      </c>
      <c r="U4489" s="5" t="s">
        <v>7391</v>
      </c>
      <c r="V4489" s="5" t="s">
        <v>7391</v>
      </c>
      <c r="W4489" s="5" t="s">
        <v>67</v>
      </c>
      <c r="X4489" s="5" t="s">
        <v>67</v>
      </c>
      <c r="Y4489" s="4">
        <v>306</v>
      </c>
      <c r="Z4489" s="4">
        <v>13</v>
      </c>
      <c r="AA4489" s="4">
        <v>13</v>
      </c>
      <c r="AB4489" s="4">
        <v>1</v>
      </c>
      <c r="AC4489" s="4">
        <v>1</v>
      </c>
      <c r="AD4489" s="4">
        <v>81</v>
      </c>
      <c r="AE4489" s="4">
        <v>81</v>
      </c>
      <c r="AF4489" s="4">
        <v>0</v>
      </c>
      <c r="AG4489" s="4">
        <v>0</v>
      </c>
      <c r="AH4489" s="4">
        <v>75</v>
      </c>
      <c r="AI4489" s="4">
        <v>75</v>
      </c>
      <c r="AJ4489" s="4">
        <v>9</v>
      </c>
      <c r="AK4489" s="4">
        <v>9</v>
      </c>
      <c r="AL4489" s="4">
        <v>37</v>
      </c>
      <c r="AM4489" s="4">
        <v>37</v>
      </c>
      <c r="AN4489" s="4">
        <v>0</v>
      </c>
      <c r="AO4489" s="4">
        <v>0</v>
      </c>
      <c r="AP4489" s="4">
        <v>9</v>
      </c>
      <c r="AQ4489" s="4">
        <v>9</v>
      </c>
      <c r="AR4489" s="3" t="s">
        <v>62</v>
      </c>
      <c r="AS4489" s="3" t="s">
        <v>62</v>
      </c>
      <c r="AT4489" s="3" t="s">
        <v>62</v>
      </c>
      <c r="AV4489" s="6" t="str">
        <f>HYPERLINK("http://mcgill.on.worldcat.org/oclc/2786933","Catalog Record")</f>
        <v>Catalog Record</v>
      </c>
      <c r="AW4489" s="6" t="str">
        <f>HYPERLINK("http://www.worldcat.org/oclc/2786933","WorldCat Record")</f>
        <v>WorldCat Record</v>
      </c>
      <c r="AX4489" s="3" t="s">
        <v>43226</v>
      </c>
      <c r="AY4489" s="3" t="s">
        <v>43227</v>
      </c>
      <c r="AZ4489" s="3" t="s">
        <v>43228</v>
      </c>
      <c r="BA4489" s="3" t="s">
        <v>43228</v>
      </c>
      <c r="BB4489" s="3" t="s">
        <v>43229</v>
      </c>
      <c r="BC4489" s="3" t="s">
        <v>102</v>
      </c>
      <c r="BD4489" s="3" t="s">
        <v>68</v>
      </c>
      <c r="BE4489" s="3" t="s">
        <v>43230</v>
      </c>
      <c r="BF4489" s="3" t="s">
        <v>43229</v>
      </c>
      <c r="BG4489" s="3" t="s">
        <v>43231</v>
      </c>
    </row>
    <row r="4490" spans="1:59" ht="58" x14ac:dyDescent="0.35">
      <c r="A4490" s="2" t="s">
        <v>59</v>
      </c>
      <c r="B4490" s="2" t="s">
        <v>60</v>
      </c>
      <c r="C4490" s="2" t="s">
        <v>43232</v>
      </c>
      <c r="D4490" s="2" t="s">
        <v>43233</v>
      </c>
      <c r="E4490" s="2" t="s">
        <v>43234</v>
      </c>
      <c r="G4490" s="3" t="s">
        <v>62</v>
      </c>
      <c r="I4490" s="3" t="s">
        <v>62</v>
      </c>
      <c r="J4490" s="3" t="s">
        <v>62</v>
      </c>
      <c r="K4490" s="3" t="s">
        <v>63</v>
      </c>
      <c r="M4490" s="2" t="s">
        <v>11327</v>
      </c>
      <c r="N4490" s="3" t="s">
        <v>596</v>
      </c>
      <c r="P4490" s="3" t="s">
        <v>64</v>
      </c>
      <c r="Q4490" s="2" t="s">
        <v>43235</v>
      </c>
      <c r="R4490" s="3" t="s">
        <v>42369</v>
      </c>
      <c r="S4490" s="4">
        <v>5</v>
      </c>
      <c r="T4490" s="4">
        <v>5</v>
      </c>
      <c r="U4490" s="5" t="s">
        <v>70</v>
      </c>
      <c r="V4490" s="5" t="s">
        <v>70</v>
      </c>
      <c r="W4490" s="5" t="s">
        <v>67</v>
      </c>
      <c r="X4490" s="5" t="s">
        <v>67</v>
      </c>
      <c r="Y4490" s="4">
        <v>133</v>
      </c>
      <c r="Z4490" s="4">
        <v>8</v>
      </c>
      <c r="AA4490" s="4">
        <v>10</v>
      </c>
      <c r="AB4490" s="4">
        <v>1</v>
      </c>
      <c r="AC4490" s="4">
        <v>1</v>
      </c>
      <c r="AD4490" s="4">
        <v>54</v>
      </c>
      <c r="AE4490" s="4">
        <v>59</v>
      </c>
      <c r="AF4490" s="4">
        <v>0</v>
      </c>
      <c r="AG4490" s="4">
        <v>0</v>
      </c>
      <c r="AH4490" s="4">
        <v>50</v>
      </c>
      <c r="AI4490" s="4">
        <v>54</v>
      </c>
      <c r="AJ4490" s="4">
        <v>6</v>
      </c>
      <c r="AK4490" s="4">
        <v>7</v>
      </c>
      <c r="AL4490" s="4">
        <v>28</v>
      </c>
      <c r="AM4490" s="4">
        <v>31</v>
      </c>
      <c r="AN4490" s="4">
        <v>0</v>
      </c>
      <c r="AO4490" s="4">
        <v>0</v>
      </c>
      <c r="AP4490" s="4">
        <v>7</v>
      </c>
      <c r="AQ4490" s="4">
        <v>9</v>
      </c>
      <c r="AR4490" s="3" t="s">
        <v>62</v>
      </c>
      <c r="AS4490" s="3" t="s">
        <v>62</v>
      </c>
      <c r="AT4490" s="3" t="s">
        <v>62</v>
      </c>
      <c r="AV4490" s="6" t="str">
        <f>HYPERLINK("http://mcgill.on.worldcat.org/oclc/50253193","Catalog Record")</f>
        <v>Catalog Record</v>
      </c>
      <c r="AW4490" s="6" t="str">
        <f>HYPERLINK("http://www.worldcat.org/oclc/50253193","WorldCat Record")</f>
        <v>WorldCat Record</v>
      </c>
      <c r="AX4490" s="3" t="s">
        <v>43236</v>
      </c>
      <c r="AY4490" s="3" t="s">
        <v>43237</v>
      </c>
      <c r="AZ4490" s="3" t="s">
        <v>43238</v>
      </c>
      <c r="BA4490" s="3" t="s">
        <v>43238</v>
      </c>
      <c r="BB4490" s="3" t="s">
        <v>43239</v>
      </c>
      <c r="BC4490" s="3" t="s">
        <v>102</v>
      </c>
      <c r="BD4490" s="3" t="s">
        <v>68</v>
      </c>
      <c r="BE4490" s="3" t="s">
        <v>43240</v>
      </c>
      <c r="BF4490" s="3" t="s">
        <v>43239</v>
      </c>
      <c r="BG4490" s="3" t="s">
        <v>43241</v>
      </c>
    </row>
    <row r="4491" spans="1:59" ht="58" x14ac:dyDescent="0.35">
      <c r="A4491" s="2" t="s">
        <v>89</v>
      </c>
      <c r="B4491" s="2" t="s">
        <v>90</v>
      </c>
      <c r="C4491" s="2" t="s">
        <v>43242</v>
      </c>
      <c r="D4491" s="2" t="s">
        <v>43243</v>
      </c>
      <c r="E4491" s="2" t="s">
        <v>43244</v>
      </c>
      <c r="G4491" s="3" t="s">
        <v>62</v>
      </c>
      <c r="I4491" s="3" t="s">
        <v>62</v>
      </c>
      <c r="J4491" s="3" t="s">
        <v>62</v>
      </c>
      <c r="K4491" s="3" t="s">
        <v>63</v>
      </c>
      <c r="L4491" s="2" t="s">
        <v>43245</v>
      </c>
      <c r="M4491" s="2" t="s">
        <v>43246</v>
      </c>
      <c r="N4491" s="3" t="s">
        <v>239</v>
      </c>
      <c r="P4491" s="3" t="s">
        <v>64</v>
      </c>
      <c r="Q4491" s="2" t="s">
        <v>43247</v>
      </c>
      <c r="R4491" s="3" t="s">
        <v>42369</v>
      </c>
      <c r="S4491" s="4">
        <v>2</v>
      </c>
      <c r="T4491" s="4">
        <v>2</v>
      </c>
      <c r="U4491" s="5" t="s">
        <v>22152</v>
      </c>
      <c r="V4491" s="5" t="s">
        <v>22152</v>
      </c>
      <c r="W4491" s="5" t="s">
        <v>67</v>
      </c>
      <c r="X4491" s="5" t="s">
        <v>67</v>
      </c>
      <c r="Y4491" s="4">
        <v>241</v>
      </c>
      <c r="Z4491" s="4">
        <v>10</v>
      </c>
      <c r="AA4491" s="4">
        <v>10</v>
      </c>
      <c r="AB4491" s="4">
        <v>1</v>
      </c>
      <c r="AC4491" s="4">
        <v>1</v>
      </c>
      <c r="AD4491" s="4">
        <v>83</v>
      </c>
      <c r="AE4491" s="4">
        <v>85</v>
      </c>
      <c r="AF4491" s="4">
        <v>0</v>
      </c>
      <c r="AG4491" s="4">
        <v>0</v>
      </c>
      <c r="AH4491" s="4">
        <v>78</v>
      </c>
      <c r="AI4491" s="4">
        <v>80</v>
      </c>
      <c r="AJ4491" s="4">
        <v>7</v>
      </c>
      <c r="AK4491" s="4">
        <v>7</v>
      </c>
      <c r="AL4491" s="4">
        <v>44</v>
      </c>
      <c r="AM4491" s="4">
        <v>46</v>
      </c>
      <c r="AN4491" s="4">
        <v>0</v>
      </c>
      <c r="AO4491" s="4">
        <v>0</v>
      </c>
      <c r="AP4491" s="4">
        <v>6</v>
      </c>
      <c r="AQ4491" s="4">
        <v>6</v>
      </c>
      <c r="AR4491" s="3" t="s">
        <v>62</v>
      </c>
      <c r="AS4491" s="3" t="s">
        <v>61</v>
      </c>
      <c r="AT4491" s="3" t="s">
        <v>62</v>
      </c>
      <c r="AU4491" s="6" t="str">
        <f>HYPERLINK("http://catalog.hathitrust.org/Record/001639454","HathiTrust Record")</f>
        <v>HathiTrust Record</v>
      </c>
      <c r="AV4491" s="6" t="str">
        <f>HYPERLINK("http://mcgill.on.worldcat.org/oclc/1150954","Catalog Record")</f>
        <v>Catalog Record</v>
      </c>
      <c r="AW4491" s="6" t="str">
        <f>HYPERLINK("http://www.worldcat.org/oclc/1150954","WorldCat Record")</f>
        <v>WorldCat Record</v>
      </c>
      <c r="AX4491" s="3" t="s">
        <v>43248</v>
      </c>
      <c r="AY4491" s="3" t="s">
        <v>43249</v>
      </c>
      <c r="AZ4491" s="3" t="s">
        <v>43250</v>
      </c>
      <c r="BA4491" s="3" t="s">
        <v>43250</v>
      </c>
      <c r="BB4491" s="3" t="s">
        <v>43251</v>
      </c>
      <c r="BC4491" s="3" t="s">
        <v>102</v>
      </c>
      <c r="BD4491" s="3" t="s">
        <v>68</v>
      </c>
      <c r="BF4491" s="3" t="s">
        <v>43251</v>
      </c>
      <c r="BG4491" s="3" t="s">
        <v>43252</v>
      </c>
    </row>
    <row r="4492" spans="1:59" ht="72.5" x14ac:dyDescent="0.35">
      <c r="A4492" s="2" t="s">
        <v>59</v>
      </c>
      <c r="B4492" s="2" t="s">
        <v>60</v>
      </c>
      <c r="C4492" s="2" t="s">
        <v>43253</v>
      </c>
      <c r="D4492" s="2" t="s">
        <v>43254</v>
      </c>
      <c r="E4492" s="2" t="s">
        <v>43255</v>
      </c>
      <c r="F4492" s="3" t="s">
        <v>1428</v>
      </c>
      <c r="G4492" s="3" t="s">
        <v>61</v>
      </c>
      <c r="I4492" s="3" t="s">
        <v>62</v>
      </c>
      <c r="J4492" s="3" t="s">
        <v>62</v>
      </c>
      <c r="K4492" s="3" t="s">
        <v>63</v>
      </c>
      <c r="L4492" s="2" t="s">
        <v>43256</v>
      </c>
      <c r="M4492" s="2" t="s">
        <v>43257</v>
      </c>
      <c r="N4492" s="3" t="s">
        <v>285</v>
      </c>
      <c r="P4492" s="3" t="s">
        <v>64</v>
      </c>
      <c r="R4492" s="3" t="s">
        <v>42369</v>
      </c>
      <c r="S4492" s="4">
        <v>6</v>
      </c>
      <c r="T4492" s="4">
        <v>17</v>
      </c>
      <c r="U4492" s="5" t="s">
        <v>6810</v>
      </c>
      <c r="V4492" s="5" t="s">
        <v>6810</v>
      </c>
      <c r="W4492" s="5" t="s">
        <v>67</v>
      </c>
      <c r="X4492" s="5" t="s">
        <v>67</v>
      </c>
      <c r="Y4492" s="4">
        <v>82</v>
      </c>
      <c r="Z4492" s="4">
        <v>8</v>
      </c>
      <c r="AA4492" s="4">
        <v>11</v>
      </c>
      <c r="AB4492" s="4">
        <v>1</v>
      </c>
      <c r="AC4492" s="4">
        <v>2</v>
      </c>
      <c r="AD4492" s="4">
        <v>34</v>
      </c>
      <c r="AE4492" s="4">
        <v>37</v>
      </c>
      <c r="AF4492" s="4">
        <v>0</v>
      </c>
      <c r="AG4492" s="4">
        <v>1</v>
      </c>
      <c r="AH4492" s="4">
        <v>27</v>
      </c>
      <c r="AI4492" s="4">
        <v>29</v>
      </c>
      <c r="AJ4492" s="4">
        <v>6</v>
      </c>
      <c r="AK4492" s="4">
        <v>8</v>
      </c>
      <c r="AL4492" s="4">
        <v>14</v>
      </c>
      <c r="AM4492" s="4">
        <v>15</v>
      </c>
      <c r="AN4492" s="4">
        <v>0</v>
      </c>
      <c r="AO4492" s="4">
        <v>0</v>
      </c>
      <c r="AP4492" s="4">
        <v>7</v>
      </c>
      <c r="AQ4492" s="4">
        <v>8</v>
      </c>
      <c r="AR4492" s="3" t="s">
        <v>62</v>
      </c>
      <c r="AS4492" s="3" t="s">
        <v>62</v>
      </c>
      <c r="AT4492" s="3" t="s">
        <v>61</v>
      </c>
      <c r="AU4492" s="6" t="str">
        <f>HYPERLINK("http://catalog.hathitrust.org/Record/007160130","HathiTrust Record")</f>
        <v>HathiTrust Record</v>
      </c>
      <c r="AV4492" s="6" t="str">
        <f>HYPERLINK("http://mcgill.on.worldcat.org/oclc/7355487","Catalog Record")</f>
        <v>Catalog Record</v>
      </c>
      <c r="AW4492" s="6" t="str">
        <f>HYPERLINK("http://www.worldcat.org/oclc/7355487","WorldCat Record")</f>
        <v>WorldCat Record</v>
      </c>
      <c r="AX4492" s="3" t="s">
        <v>43258</v>
      </c>
      <c r="AY4492" s="3" t="s">
        <v>43259</v>
      </c>
      <c r="AZ4492" s="3" t="s">
        <v>43260</v>
      </c>
      <c r="BA4492" s="3" t="s">
        <v>43260</v>
      </c>
      <c r="BB4492" s="3" t="s">
        <v>43261</v>
      </c>
      <c r="BC4492" s="3" t="s">
        <v>102</v>
      </c>
      <c r="BD4492" s="3" t="s">
        <v>68</v>
      </c>
      <c r="BF4492" s="3" t="s">
        <v>43261</v>
      </c>
      <c r="BG4492" s="3" t="s">
        <v>43262</v>
      </c>
    </row>
    <row r="4493" spans="1:59" ht="72.5" x14ac:dyDescent="0.35">
      <c r="A4493" s="2" t="s">
        <v>59</v>
      </c>
      <c r="B4493" s="2" t="s">
        <v>60</v>
      </c>
      <c r="C4493" s="2" t="s">
        <v>43253</v>
      </c>
      <c r="D4493" s="2" t="s">
        <v>43254</v>
      </c>
      <c r="E4493" s="2" t="s">
        <v>43255</v>
      </c>
      <c r="F4493" s="3" t="s">
        <v>1416</v>
      </c>
      <c r="G4493" s="3" t="s">
        <v>61</v>
      </c>
      <c r="I4493" s="3" t="s">
        <v>62</v>
      </c>
      <c r="J4493" s="3" t="s">
        <v>62</v>
      </c>
      <c r="K4493" s="3" t="s">
        <v>63</v>
      </c>
      <c r="L4493" s="2" t="s">
        <v>43256</v>
      </c>
      <c r="M4493" s="2" t="s">
        <v>43257</v>
      </c>
      <c r="N4493" s="3" t="s">
        <v>285</v>
      </c>
      <c r="P4493" s="3" t="s">
        <v>64</v>
      </c>
      <c r="R4493" s="3" t="s">
        <v>42369</v>
      </c>
      <c r="S4493" s="4">
        <v>6</v>
      </c>
      <c r="T4493" s="4">
        <v>17</v>
      </c>
      <c r="U4493" s="5" t="s">
        <v>6810</v>
      </c>
      <c r="V4493" s="5" t="s">
        <v>6810</v>
      </c>
      <c r="W4493" s="5" t="s">
        <v>67</v>
      </c>
      <c r="X4493" s="5" t="s">
        <v>67</v>
      </c>
      <c r="Y4493" s="4">
        <v>82</v>
      </c>
      <c r="Z4493" s="4">
        <v>8</v>
      </c>
      <c r="AA4493" s="4">
        <v>11</v>
      </c>
      <c r="AB4493" s="4">
        <v>1</v>
      </c>
      <c r="AC4493" s="4">
        <v>2</v>
      </c>
      <c r="AD4493" s="4">
        <v>34</v>
      </c>
      <c r="AE4493" s="4">
        <v>37</v>
      </c>
      <c r="AF4493" s="4">
        <v>0</v>
      </c>
      <c r="AG4493" s="4">
        <v>1</v>
      </c>
      <c r="AH4493" s="4">
        <v>27</v>
      </c>
      <c r="AI4493" s="4">
        <v>29</v>
      </c>
      <c r="AJ4493" s="4">
        <v>6</v>
      </c>
      <c r="AK4493" s="4">
        <v>8</v>
      </c>
      <c r="AL4493" s="4">
        <v>14</v>
      </c>
      <c r="AM4493" s="4">
        <v>15</v>
      </c>
      <c r="AN4493" s="4">
        <v>0</v>
      </c>
      <c r="AO4493" s="4">
        <v>0</v>
      </c>
      <c r="AP4493" s="4">
        <v>7</v>
      </c>
      <c r="AQ4493" s="4">
        <v>8</v>
      </c>
      <c r="AR4493" s="3" t="s">
        <v>62</v>
      </c>
      <c r="AS4493" s="3" t="s">
        <v>62</v>
      </c>
      <c r="AT4493" s="3" t="s">
        <v>61</v>
      </c>
      <c r="AU4493" s="6" t="str">
        <f>HYPERLINK("http://catalog.hathitrust.org/Record/007160130","HathiTrust Record")</f>
        <v>HathiTrust Record</v>
      </c>
      <c r="AV4493" s="6" t="str">
        <f>HYPERLINK("http://mcgill.on.worldcat.org/oclc/7355487","Catalog Record")</f>
        <v>Catalog Record</v>
      </c>
      <c r="AW4493" s="6" t="str">
        <f>HYPERLINK("http://www.worldcat.org/oclc/7355487","WorldCat Record")</f>
        <v>WorldCat Record</v>
      </c>
      <c r="AX4493" s="3" t="s">
        <v>43258</v>
      </c>
      <c r="AY4493" s="3" t="s">
        <v>43259</v>
      </c>
      <c r="AZ4493" s="3" t="s">
        <v>43260</v>
      </c>
      <c r="BA4493" s="3" t="s">
        <v>43260</v>
      </c>
      <c r="BB4493" s="3" t="s">
        <v>43263</v>
      </c>
      <c r="BC4493" s="3" t="s">
        <v>102</v>
      </c>
      <c r="BD4493" s="3" t="s">
        <v>68</v>
      </c>
      <c r="BF4493" s="3" t="s">
        <v>43263</v>
      </c>
      <c r="BG4493" s="3" t="s">
        <v>43264</v>
      </c>
    </row>
    <row r="4494" spans="1:59" ht="72.5" x14ac:dyDescent="0.35">
      <c r="A4494" s="2" t="s">
        <v>59</v>
      </c>
      <c r="B4494" s="2" t="s">
        <v>60</v>
      </c>
      <c r="C4494" s="2" t="s">
        <v>43253</v>
      </c>
      <c r="D4494" s="2" t="s">
        <v>43254</v>
      </c>
      <c r="E4494" s="2" t="s">
        <v>43255</v>
      </c>
      <c r="F4494" s="3" t="s">
        <v>1413</v>
      </c>
      <c r="G4494" s="3" t="s">
        <v>61</v>
      </c>
      <c r="I4494" s="3" t="s">
        <v>62</v>
      </c>
      <c r="J4494" s="3" t="s">
        <v>62</v>
      </c>
      <c r="K4494" s="3" t="s">
        <v>63</v>
      </c>
      <c r="L4494" s="2" t="s">
        <v>43256</v>
      </c>
      <c r="M4494" s="2" t="s">
        <v>43257</v>
      </c>
      <c r="N4494" s="3" t="s">
        <v>285</v>
      </c>
      <c r="P4494" s="3" t="s">
        <v>64</v>
      </c>
      <c r="R4494" s="3" t="s">
        <v>42369</v>
      </c>
      <c r="S4494" s="4">
        <v>5</v>
      </c>
      <c r="T4494" s="4">
        <v>17</v>
      </c>
      <c r="U4494" s="5" t="s">
        <v>43265</v>
      </c>
      <c r="V4494" s="5" t="s">
        <v>6810</v>
      </c>
      <c r="W4494" s="5" t="s">
        <v>67</v>
      </c>
      <c r="X4494" s="5" t="s">
        <v>67</v>
      </c>
      <c r="Y4494" s="4">
        <v>82</v>
      </c>
      <c r="Z4494" s="4">
        <v>8</v>
      </c>
      <c r="AA4494" s="4">
        <v>11</v>
      </c>
      <c r="AB4494" s="4">
        <v>1</v>
      </c>
      <c r="AC4494" s="4">
        <v>2</v>
      </c>
      <c r="AD4494" s="4">
        <v>34</v>
      </c>
      <c r="AE4494" s="4">
        <v>37</v>
      </c>
      <c r="AF4494" s="4">
        <v>0</v>
      </c>
      <c r="AG4494" s="4">
        <v>1</v>
      </c>
      <c r="AH4494" s="4">
        <v>27</v>
      </c>
      <c r="AI4494" s="4">
        <v>29</v>
      </c>
      <c r="AJ4494" s="4">
        <v>6</v>
      </c>
      <c r="AK4494" s="4">
        <v>8</v>
      </c>
      <c r="AL4494" s="4">
        <v>14</v>
      </c>
      <c r="AM4494" s="4">
        <v>15</v>
      </c>
      <c r="AN4494" s="4">
        <v>0</v>
      </c>
      <c r="AO4494" s="4">
        <v>0</v>
      </c>
      <c r="AP4494" s="4">
        <v>7</v>
      </c>
      <c r="AQ4494" s="4">
        <v>8</v>
      </c>
      <c r="AR4494" s="3" t="s">
        <v>62</v>
      </c>
      <c r="AS4494" s="3" t="s">
        <v>62</v>
      </c>
      <c r="AT4494" s="3" t="s">
        <v>61</v>
      </c>
      <c r="AU4494" s="6" t="str">
        <f>HYPERLINK("http://catalog.hathitrust.org/Record/007160130","HathiTrust Record")</f>
        <v>HathiTrust Record</v>
      </c>
      <c r="AV4494" s="6" t="str">
        <f>HYPERLINK("http://mcgill.on.worldcat.org/oclc/7355487","Catalog Record")</f>
        <v>Catalog Record</v>
      </c>
      <c r="AW4494" s="6" t="str">
        <f>HYPERLINK("http://www.worldcat.org/oclc/7355487","WorldCat Record")</f>
        <v>WorldCat Record</v>
      </c>
      <c r="AX4494" s="3" t="s">
        <v>43258</v>
      </c>
      <c r="AY4494" s="3" t="s">
        <v>43259</v>
      </c>
      <c r="AZ4494" s="3" t="s">
        <v>43260</v>
      </c>
      <c r="BA4494" s="3" t="s">
        <v>43260</v>
      </c>
      <c r="BB4494" s="3" t="s">
        <v>43266</v>
      </c>
      <c r="BC4494" s="3" t="s">
        <v>102</v>
      </c>
      <c r="BD4494" s="3" t="s">
        <v>68</v>
      </c>
      <c r="BF4494" s="3" t="s">
        <v>43266</v>
      </c>
      <c r="BG4494" s="3" t="s">
        <v>43267</v>
      </c>
    </row>
    <row r="4495" spans="1:59" ht="58" x14ac:dyDescent="0.35">
      <c r="A4495" s="2" t="s">
        <v>89</v>
      </c>
      <c r="B4495" s="2" t="s">
        <v>90</v>
      </c>
      <c r="C4495" s="2" t="s">
        <v>43268</v>
      </c>
      <c r="D4495" s="2" t="s">
        <v>43269</v>
      </c>
      <c r="E4495" s="2" t="s">
        <v>43270</v>
      </c>
      <c r="G4495" s="3" t="s">
        <v>62</v>
      </c>
      <c r="I4495" s="3" t="s">
        <v>62</v>
      </c>
      <c r="J4495" s="3" t="s">
        <v>62</v>
      </c>
      <c r="K4495" s="3" t="s">
        <v>63</v>
      </c>
      <c r="L4495" s="2" t="s">
        <v>43271</v>
      </c>
      <c r="M4495" s="2" t="s">
        <v>43272</v>
      </c>
      <c r="N4495" s="3" t="s">
        <v>684</v>
      </c>
      <c r="P4495" s="3" t="s">
        <v>64</v>
      </c>
      <c r="Q4495" s="2" t="s">
        <v>43273</v>
      </c>
      <c r="R4495" s="3" t="s">
        <v>42369</v>
      </c>
      <c r="S4495" s="4">
        <v>9</v>
      </c>
      <c r="T4495" s="4">
        <v>9</v>
      </c>
      <c r="U4495" s="5" t="s">
        <v>25732</v>
      </c>
      <c r="V4495" s="5" t="s">
        <v>25732</v>
      </c>
      <c r="W4495" s="5" t="s">
        <v>67</v>
      </c>
      <c r="X4495" s="5" t="s">
        <v>67</v>
      </c>
      <c r="Y4495" s="4">
        <v>234</v>
      </c>
      <c r="Z4495" s="4">
        <v>16</v>
      </c>
      <c r="AA4495" s="4">
        <v>31</v>
      </c>
      <c r="AB4495" s="4">
        <v>1</v>
      </c>
      <c r="AC4495" s="4">
        <v>3</v>
      </c>
      <c r="AD4495" s="4">
        <v>60</v>
      </c>
      <c r="AE4495" s="4">
        <v>83</v>
      </c>
      <c r="AF4495" s="4">
        <v>0</v>
      </c>
      <c r="AG4495" s="4">
        <v>0</v>
      </c>
      <c r="AH4495" s="4">
        <v>52</v>
      </c>
      <c r="AI4495" s="4">
        <v>67</v>
      </c>
      <c r="AJ4495" s="4">
        <v>7</v>
      </c>
      <c r="AK4495" s="4">
        <v>9</v>
      </c>
      <c r="AL4495" s="4">
        <v>32</v>
      </c>
      <c r="AM4495" s="4">
        <v>40</v>
      </c>
      <c r="AN4495" s="4">
        <v>0</v>
      </c>
      <c r="AO4495" s="4">
        <v>0</v>
      </c>
      <c r="AP4495" s="4">
        <v>12</v>
      </c>
      <c r="AQ4495" s="4">
        <v>20</v>
      </c>
      <c r="AR4495" s="3" t="s">
        <v>62</v>
      </c>
      <c r="AS4495" s="3" t="s">
        <v>62</v>
      </c>
      <c r="AT4495" s="3" t="s">
        <v>62</v>
      </c>
      <c r="AV4495" s="6" t="str">
        <f>HYPERLINK("http://mcgill.on.worldcat.org/oclc/670480401","Catalog Record")</f>
        <v>Catalog Record</v>
      </c>
      <c r="AW4495" s="6" t="str">
        <f>HYPERLINK("http://www.worldcat.org/oclc/670480401","WorldCat Record")</f>
        <v>WorldCat Record</v>
      </c>
      <c r="AX4495" s="3" t="s">
        <v>43274</v>
      </c>
      <c r="AY4495" s="3" t="s">
        <v>43275</v>
      </c>
      <c r="AZ4495" s="3" t="s">
        <v>43276</v>
      </c>
      <c r="BA4495" s="3" t="s">
        <v>43276</v>
      </c>
      <c r="BB4495" s="3" t="s">
        <v>43277</v>
      </c>
      <c r="BC4495" s="3" t="s">
        <v>102</v>
      </c>
      <c r="BD4495" s="3" t="s">
        <v>68</v>
      </c>
      <c r="BE4495" s="3" t="s">
        <v>43278</v>
      </c>
      <c r="BF4495" s="3" t="s">
        <v>43277</v>
      </c>
      <c r="BG4495" s="3" t="s">
        <v>43279</v>
      </c>
    </row>
    <row r="4496" spans="1:59" ht="72.5" x14ac:dyDescent="0.35">
      <c r="A4496" s="2" t="s">
        <v>59</v>
      </c>
      <c r="B4496" s="2" t="s">
        <v>60</v>
      </c>
      <c r="C4496" s="2" t="s">
        <v>43280</v>
      </c>
      <c r="D4496" s="2" t="s">
        <v>43281</v>
      </c>
      <c r="E4496" s="2" t="s">
        <v>43282</v>
      </c>
      <c r="G4496" s="3" t="s">
        <v>62</v>
      </c>
      <c r="I4496" s="3" t="s">
        <v>62</v>
      </c>
      <c r="J4496" s="3" t="s">
        <v>62</v>
      </c>
      <c r="K4496" s="3" t="s">
        <v>63</v>
      </c>
      <c r="M4496" s="2" t="s">
        <v>43283</v>
      </c>
      <c r="N4496" s="3" t="s">
        <v>3062</v>
      </c>
      <c r="P4496" s="3" t="s">
        <v>64</v>
      </c>
      <c r="Q4496" s="2" t="s">
        <v>43284</v>
      </c>
      <c r="R4496" s="3" t="s">
        <v>42369</v>
      </c>
      <c r="S4496" s="4">
        <v>4</v>
      </c>
      <c r="T4496" s="4">
        <v>4</v>
      </c>
      <c r="U4496" s="5" t="s">
        <v>7495</v>
      </c>
      <c r="V4496" s="5" t="s">
        <v>7495</v>
      </c>
      <c r="W4496" s="5" t="s">
        <v>67</v>
      </c>
      <c r="X4496" s="5" t="s">
        <v>67</v>
      </c>
      <c r="Y4496" s="4">
        <v>100</v>
      </c>
      <c r="Z4496" s="4">
        <v>9</v>
      </c>
      <c r="AA4496" s="4">
        <v>10</v>
      </c>
      <c r="AB4496" s="4">
        <v>1</v>
      </c>
      <c r="AC4496" s="4">
        <v>2</v>
      </c>
      <c r="AD4496" s="4">
        <v>39</v>
      </c>
      <c r="AE4496" s="4">
        <v>40</v>
      </c>
      <c r="AF4496" s="4">
        <v>0</v>
      </c>
      <c r="AG4496" s="4">
        <v>1</v>
      </c>
      <c r="AH4496" s="4">
        <v>34</v>
      </c>
      <c r="AI4496" s="4">
        <v>34</v>
      </c>
      <c r="AJ4496" s="4">
        <v>5</v>
      </c>
      <c r="AK4496" s="4">
        <v>6</v>
      </c>
      <c r="AL4496" s="4">
        <v>15</v>
      </c>
      <c r="AM4496" s="4">
        <v>15</v>
      </c>
      <c r="AN4496" s="4">
        <v>0</v>
      </c>
      <c r="AO4496" s="4">
        <v>0</v>
      </c>
      <c r="AP4496" s="4">
        <v>6</v>
      </c>
      <c r="AQ4496" s="4">
        <v>7</v>
      </c>
      <c r="AR4496" s="3" t="s">
        <v>62</v>
      </c>
      <c r="AS4496" s="3" t="s">
        <v>62</v>
      </c>
      <c r="AT4496" s="3" t="s">
        <v>61</v>
      </c>
      <c r="AU4496" s="6" t="str">
        <f>HYPERLINK("http://catalog.hathitrust.org/Record/002570556","HathiTrust Record")</f>
        <v>HathiTrust Record</v>
      </c>
      <c r="AV4496" s="6" t="str">
        <f>HYPERLINK("http://mcgill.on.worldcat.org/oclc/25813332","Catalog Record")</f>
        <v>Catalog Record</v>
      </c>
      <c r="AW4496" s="6" t="str">
        <f>HYPERLINK("http://www.worldcat.org/oclc/25813332","WorldCat Record")</f>
        <v>WorldCat Record</v>
      </c>
      <c r="AX4496" s="3" t="s">
        <v>43285</v>
      </c>
      <c r="AY4496" s="3" t="s">
        <v>43286</v>
      </c>
      <c r="AZ4496" s="3" t="s">
        <v>43287</v>
      </c>
      <c r="BA4496" s="3" t="s">
        <v>43287</v>
      </c>
      <c r="BB4496" s="3" t="s">
        <v>43288</v>
      </c>
      <c r="BC4496" s="3" t="s">
        <v>102</v>
      </c>
      <c r="BD4496" s="3" t="s">
        <v>68</v>
      </c>
      <c r="BE4496" s="3" t="s">
        <v>43289</v>
      </c>
      <c r="BF4496" s="3" t="s">
        <v>43288</v>
      </c>
      <c r="BG4496" s="3" t="s">
        <v>43290</v>
      </c>
    </row>
    <row r="4497" spans="1:59" ht="87" x14ac:dyDescent="0.35">
      <c r="A4497" s="2" t="s">
        <v>59</v>
      </c>
      <c r="B4497" s="2" t="s">
        <v>60</v>
      </c>
      <c r="C4497" s="2" t="s">
        <v>43291</v>
      </c>
      <c r="D4497" s="2" t="s">
        <v>43292</v>
      </c>
      <c r="E4497" s="2" t="s">
        <v>43293</v>
      </c>
      <c r="G4497" s="3" t="s">
        <v>62</v>
      </c>
      <c r="I4497" s="3" t="s">
        <v>62</v>
      </c>
      <c r="J4497" s="3" t="s">
        <v>62</v>
      </c>
      <c r="K4497" s="3" t="s">
        <v>63</v>
      </c>
      <c r="L4497" s="2" t="s">
        <v>43294</v>
      </c>
      <c r="M4497" s="2" t="s">
        <v>43295</v>
      </c>
      <c r="N4497" s="3" t="s">
        <v>1905</v>
      </c>
      <c r="P4497" s="3" t="s">
        <v>64</v>
      </c>
      <c r="Q4497" s="2" t="s">
        <v>43296</v>
      </c>
      <c r="R4497" s="3" t="s">
        <v>42369</v>
      </c>
      <c r="S4497" s="4">
        <v>3</v>
      </c>
      <c r="T4497" s="4">
        <v>3</v>
      </c>
      <c r="U4497" s="5" t="s">
        <v>15229</v>
      </c>
      <c r="V4497" s="5" t="s">
        <v>15229</v>
      </c>
      <c r="W4497" s="5" t="s">
        <v>67</v>
      </c>
      <c r="X4497" s="5" t="s">
        <v>67</v>
      </c>
      <c r="Y4497" s="4">
        <v>23</v>
      </c>
      <c r="Z4497" s="4">
        <v>3</v>
      </c>
      <c r="AA4497" s="4">
        <v>5</v>
      </c>
      <c r="AB4497" s="4">
        <v>1</v>
      </c>
      <c r="AC4497" s="4">
        <v>1</v>
      </c>
      <c r="AD4497" s="4">
        <v>13</v>
      </c>
      <c r="AE4497" s="4">
        <v>14</v>
      </c>
      <c r="AF4497" s="4">
        <v>0</v>
      </c>
      <c r="AG4497" s="4">
        <v>0</v>
      </c>
      <c r="AH4497" s="4">
        <v>12</v>
      </c>
      <c r="AI4497" s="4">
        <v>13</v>
      </c>
      <c r="AJ4497" s="4">
        <v>2</v>
      </c>
      <c r="AK4497" s="4">
        <v>3</v>
      </c>
      <c r="AL4497" s="4">
        <v>5</v>
      </c>
      <c r="AM4497" s="4">
        <v>6</v>
      </c>
      <c r="AN4497" s="4">
        <v>0</v>
      </c>
      <c r="AO4497" s="4">
        <v>0</v>
      </c>
      <c r="AP4497" s="4">
        <v>1</v>
      </c>
      <c r="AQ4497" s="4">
        <v>2</v>
      </c>
      <c r="AR4497" s="3" t="s">
        <v>62</v>
      </c>
      <c r="AS4497" s="3" t="s">
        <v>62</v>
      </c>
      <c r="AT4497" s="3" t="s">
        <v>61</v>
      </c>
      <c r="AU4497" s="6" t="str">
        <f>HYPERLINK("http://catalog.hathitrust.org/Record/009135590","HathiTrust Record")</f>
        <v>HathiTrust Record</v>
      </c>
      <c r="AV4497" s="6" t="str">
        <f>HYPERLINK("http://mcgill.on.worldcat.org/oclc/18908194","Catalog Record")</f>
        <v>Catalog Record</v>
      </c>
      <c r="AW4497" s="6" t="str">
        <f>HYPERLINK("http://www.worldcat.org/oclc/18908194","WorldCat Record")</f>
        <v>WorldCat Record</v>
      </c>
      <c r="AX4497" s="3" t="s">
        <v>43297</v>
      </c>
      <c r="AY4497" s="3" t="s">
        <v>43298</v>
      </c>
      <c r="AZ4497" s="3" t="s">
        <v>43299</v>
      </c>
      <c r="BA4497" s="3" t="s">
        <v>43299</v>
      </c>
      <c r="BB4497" s="3" t="s">
        <v>43300</v>
      </c>
      <c r="BC4497" s="3" t="s">
        <v>102</v>
      </c>
      <c r="BD4497" s="3" t="s">
        <v>68</v>
      </c>
      <c r="BE4497" s="3" t="s">
        <v>43301</v>
      </c>
      <c r="BF4497" s="3" t="s">
        <v>43300</v>
      </c>
      <c r="BG4497" s="3" t="s">
        <v>43302</v>
      </c>
    </row>
    <row r="4498" spans="1:59" ht="58" x14ac:dyDescent="0.35">
      <c r="A4498" s="2" t="s">
        <v>59</v>
      </c>
      <c r="B4498" s="2" t="s">
        <v>60</v>
      </c>
      <c r="C4498" s="2" t="s">
        <v>43303</v>
      </c>
      <c r="D4498" s="2" t="s">
        <v>43304</v>
      </c>
      <c r="E4498" s="2" t="s">
        <v>43305</v>
      </c>
      <c r="G4498" s="3" t="s">
        <v>62</v>
      </c>
      <c r="I4498" s="3" t="s">
        <v>62</v>
      </c>
      <c r="J4498" s="3" t="s">
        <v>61</v>
      </c>
      <c r="K4498" s="3" t="s">
        <v>916</v>
      </c>
      <c r="L4498" s="2" t="s">
        <v>43306</v>
      </c>
      <c r="M4498" s="2" t="s">
        <v>43307</v>
      </c>
      <c r="N4498" s="3" t="s">
        <v>1064</v>
      </c>
      <c r="P4498" s="3" t="s">
        <v>64</v>
      </c>
      <c r="R4498" s="3" t="s">
        <v>42369</v>
      </c>
      <c r="S4498" s="4">
        <v>1</v>
      </c>
      <c r="T4498" s="4">
        <v>1</v>
      </c>
      <c r="U4498" s="5" t="s">
        <v>21936</v>
      </c>
      <c r="V4498" s="5" t="s">
        <v>21936</v>
      </c>
      <c r="W4498" s="5" t="s">
        <v>67</v>
      </c>
      <c r="X4498" s="5" t="s">
        <v>67</v>
      </c>
      <c r="Y4498" s="4">
        <v>195</v>
      </c>
      <c r="Z4498" s="4">
        <v>13</v>
      </c>
      <c r="AA4498" s="4">
        <v>162</v>
      </c>
      <c r="AB4498" s="4">
        <v>1</v>
      </c>
      <c r="AC4498" s="4">
        <v>24</v>
      </c>
      <c r="AD4498" s="4">
        <v>25</v>
      </c>
      <c r="AE4498" s="4">
        <v>160</v>
      </c>
      <c r="AF4498" s="4">
        <v>0</v>
      </c>
      <c r="AG4498" s="4">
        <v>9</v>
      </c>
      <c r="AH4498" s="4">
        <v>21</v>
      </c>
      <c r="AI4498" s="4">
        <v>113</v>
      </c>
      <c r="AJ4498" s="4">
        <v>3</v>
      </c>
      <c r="AK4498" s="4">
        <v>28</v>
      </c>
      <c r="AL4498" s="4">
        <v>9</v>
      </c>
      <c r="AM4498" s="4">
        <v>61</v>
      </c>
      <c r="AN4498" s="4">
        <v>5</v>
      </c>
      <c r="AO4498" s="4">
        <v>7</v>
      </c>
      <c r="AP4498" s="4">
        <v>7</v>
      </c>
      <c r="AQ4498" s="4">
        <v>52</v>
      </c>
      <c r="AR4498" s="3" t="s">
        <v>62</v>
      </c>
      <c r="AS4498" s="3" t="s">
        <v>62</v>
      </c>
      <c r="AT4498" s="3" t="s">
        <v>61</v>
      </c>
      <c r="AU4498" s="6" t="str">
        <f>HYPERLINK("http://catalog.hathitrust.org/Record/102069456","HathiTrust Record")</f>
        <v>HathiTrust Record</v>
      </c>
      <c r="AV4498" s="6" t="str">
        <f>HYPERLINK("http://mcgill.on.worldcat.org/oclc/165248","Catalog Record")</f>
        <v>Catalog Record</v>
      </c>
      <c r="AW4498" s="6" t="str">
        <f>HYPERLINK("http://www.worldcat.org/oclc/165248","WorldCat Record")</f>
        <v>WorldCat Record</v>
      </c>
      <c r="AX4498" s="3" t="s">
        <v>43308</v>
      </c>
      <c r="AY4498" s="3" t="s">
        <v>43309</v>
      </c>
      <c r="AZ4498" s="3" t="s">
        <v>43310</v>
      </c>
      <c r="BA4498" s="3" t="s">
        <v>43310</v>
      </c>
      <c r="BB4498" s="3" t="s">
        <v>43311</v>
      </c>
      <c r="BC4498" s="3" t="s">
        <v>102</v>
      </c>
      <c r="BD4498" s="3" t="s">
        <v>68</v>
      </c>
      <c r="BE4498" s="3" t="s">
        <v>43312</v>
      </c>
      <c r="BF4498" s="3" t="s">
        <v>43311</v>
      </c>
      <c r="BG4498" s="3" t="s">
        <v>43313</v>
      </c>
    </row>
    <row r="4499" spans="1:59" ht="72.5" x14ac:dyDescent="0.35">
      <c r="A4499" s="2" t="s">
        <v>89</v>
      </c>
      <c r="B4499" s="2" t="s">
        <v>90</v>
      </c>
      <c r="C4499" s="2" t="s">
        <v>43314</v>
      </c>
      <c r="D4499" s="2" t="s">
        <v>43315</v>
      </c>
      <c r="E4499" s="2" t="s">
        <v>43316</v>
      </c>
      <c r="G4499" s="3" t="s">
        <v>62</v>
      </c>
      <c r="I4499" s="3" t="s">
        <v>62</v>
      </c>
      <c r="J4499" s="3" t="s">
        <v>62</v>
      </c>
      <c r="K4499" s="3" t="s">
        <v>63</v>
      </c>
      <c r="L4499" s="2" t="s">
        <v>43317</v>
      </c>
      <c r="M4499" s="2" t="s">
        <v>43318</v>
      </c>
      <c r="N4499" s="3" t="s">
        <v>568</v>
      </c>
      <c r="P4499" s="3" t="s">
        <v>64</v>
      </c>
      <c r="R4499" s="3" t="s">
        <v>42369</v>
      </c>
      <c r="S4499" s="4">
        <v>23</v>
      </c>
      <c r="T4499" s="4">
        <v>23</v>
      </c>
      <c r="U4499" s="5" t="s">
        <v>1593</v>
      </c>
      <c r="V4499" s="5" t="s">
        <v>1593</v>
      </c>
      <c r="W4499" s="5" t="s">
        <v>67</v>
      </c>
      <c r="X4499" s="5" t="s">
        <v>67</v>
      </c>
      <c r="Y4499" s="4">
        <v>538</v>
      </c>
      <c r="Z4499" s="4">
        <v>26</v>
      </c>
      <c r="AA4499" s="4">
        <v>28</v>
      </c>
      <c r="AB4499" s="4">
        <v>1</v>
      </c>
      <c r="AC4499" s="4">
        <v>1</v>
      </c>
      <c r="AD4499" s="4">
        <v>102</v>
      </c>
      <c r="AE4499" s="4">
        <v>105</v>
      </c>
      <c r="AF4499" s="4">
        <v>0</v>
      </c>
      <c r="AG4499" s="4">
        <v>0</v>
      </c>
      <c r="AH4499" s="4">
        <v>90</v>
      </c>
      <c r="AI4499" s="4">
        <v>91</v>
      </c>
      <c r="AJ4499" s="4">
        <v>15</v>
      </c>
      <c r="AK4499" s="4">
        <v>16</v>
      </c>
      <c r="AL4499" s="4">
        <v>49</v>
      </c>
      <c r="AM4499" s="4">
        <v>51</v>
      </c>
      <c r="AN4499" s="4">
        <v>0</v>
      </c>
      <c r="AO4499" s="4">
        <v>0</v>
      </c>
      <c r="AP4499" s="4">
        <v>17</v>
      </c>
      <c r="AQ4499" s="4">
        <v>18</v>
      </c>
      <c r="AR4499" s="3" t="s">
        <v>62</v>
      </c>
      <c r="AS4499" s="3" t="s">
        <v>62</v>
      </c>
      <c r="AT4499" s="3" t="s">
        <v>61</v>
      </c>
      <c r="AU4499" s="6" t="str">
        <f>HYPERLINK("http://catalog.hathitrust.org/Record/004096072","HathiTrust Record")</f>
        <v>HathiTrust Record</v>
      </c>
      <c r="AV4499" s="6" t="str">
        <f>HYPERLINK("http://mcgill.on.worldcat.org/oclc/39787844","Catalog Record")</f>
        <v>Catalog Record</v>
      </c>
      <c r="AW4499" s="6" t="str">
        <f>HYPERLINK("http://www.worldcat.org/oclc/39787844","WorldCat Record")</f>
        <v>WorldCat Record</v>
      </c>
      <c r="AX4499" s="3" t="s">
        <v>43319</v>
      </c>
      <c r="AY4499" s="3" t="s">
        <v>43320</v>
      </c>
      <c r="AZ4499" s="3" t="s">
        <v>43321</v>
      </c>
      <c r="BA4499" s="3" t="s">
        <v>43321</v>
      </c>
      <c r="BB4499" s="3" t="s">
        <v>43322</v>
      </c>
      <c r="BC4499" s="3" t="s">
        <v>102</v>
      </c>
      <c r="BD4499" s="3" t="s">
        <v>68</v>
      </c>
      <c r="BE4499" s="3" t="s">
        <v>43323</v>
      </c>
      <c r="BF4499" s="3" t="s">
        <v>43322</v>
      </c>
      <c r="BG4499" s="3" t="s">
        <v>43324</v>
      </c>
    </row>
    <row r="4500" spans="1:59" ht="58" x14ac:dyDescent="0.35">
      <c r="A4500" s="2" t="s">
        <v>89</v>
      </c>
      <c r="B4500" s="2" t="s">
        <v>90</v>
      </c>
      <c r="C4500" s="2" t="s">
        <v>43325</v>
      </c>
      <c r="D4500" s="2" t="s">
        <v>43326</v>
      </c>
      <c r="E4500" s="2" t="s">
        <v>43327</v>
      </c>
      <c r="G4500" s="3" t="s">
        <v>62</v>
      </c>
      <c r="I4500" s="3" t="s">
        <v>62</v>
      </c>
      <c r="J4500" s="3" t="s">
        <v>62</v>
      </c>
      <c r="K4500" s="3" t="s">
        <v>63</v>
      </c>
      <c r="L4500" s="2" t="s">
        <v>43328</v>
      </c>
      <c r="M4500" s="2" t="s">
        <v>43329</v>
      </c>
      <c r="N4500" s="3" t="s">
        <v>1305</v>
      </c>
      <c r="P4500" s="3" t="s">
        <v>85</v>
      </c>
      <c r="Q4500" s="2" t="s">
        <v>43330</v>
      </c>
      <c r="R4500" s="3" t="s">
        <v>42369</v>
      </c>
      <c r="S4500" s="4">
        <v>1</v>
      </c>
      <c r="T4500" s="4">
        <v>1</v>
      </c>
      <c r="U4500" s="5" t="s">
        <v>12923</v>
      </c>
      <c r="V4500" s="5" t="s">
        <v>12923</v>
      </c>
      <c r="W4500" s="5" t="s">
        <v>67</v>
      </c>
      <c r="X4500" s="5" t="s">
        <v>67</v>
      </c>
      <c r="Y4500" s="4">
        <v>1</v>
      </c>
      <c r="Z4500" s="4">
        <v>1</v>
      </c>
      <c r="AA4500" s="4">
        <v>1</v>
      </c>
      <c r="AB4500" s="4">
        <v>1</v>
      </c>
      <c r="AC4500" s="4">
        <v>1</v>
      </c>
      <c r="AD4500" s="4">
        <v>0</v>
      </c>
      <c r="AE4500" s="4">
        <v>0</v>
      </c>
      <c r="AF4500" s="4">
        <v>0</v>
      </c>
      <c r="AG4500" s="4">
        <v>0</v>
      </c>
      <c r="AH4500" s="4">
        <v>0</v>
      </c>
      <c r="AI4500" s="4">
        <v>0</v>
      </c>
      <c r="AJ4500" s="4">
        <v>0</v>
      </c>
      <c r="AK4500" s="4">
        <v>0</v>
      </c>
      <c r="AL4500" s="4">
        <v>0</v>
      </c>
      <c r="AM4500" s="4">
        <v>0</v>
      </c>
      <c r="AN4500" s="4">
        <v>0</v>
      </c>
      <c r="AO4500" s="4">
        <v>0</v>
      </c>
      <c r="AP4500" s="4">
        <v>0</v>
      </c>
      <c r="AQ4500" s="4">
        <v>0</v>
      </c>
      <c r="AR4500" s="3" t="s">
        <v>62</v>
      </c>
      <c r="AS4500" s="3" t="s">
        <v>62</v>
      </c>
      <c r="AT4500" s="3" t="s">
        <v>62</v>
      </c>
      <c r="AV4500" s="6" t="str">
        <f>HYPERLINK("http://mcgill.on.worldcat.org/oclc/824721455","Catalog Record")</f>
        <v>Catalog Record</v>
      </c>
      <c r="AW4500" s="6" t="str">
        <f>HYPERLINK("http://www.worldcat.org/oclc/824721455","WorldCat Record")</f>
        <v>WorldCat Record</v>
      </c>
      <c r="AX4500" s="3" t="s">
        <v>43331</v>
      </c>
      <c r="AY4500" s="3" t="s">
        <v>43332</v>
      </c>
      <c r="AZ4500" s="3" t="s">
        <v>43333</v>
      </c>
      <c r="BA4500" s="3" t="s">
        <v>43333</v>
      </c>
      <c r="BB4500" s="3" t="s">
        <v>43334</v>
      </c>
      <c r="BC4500" s="3" t="s">
        <v>102</v>
      </c>
      <c r="BD4500" s="3" t="s">
        <v>68</v>
      </c>
      <c r="BF4500" s="3" t="s">
        <v>43334</v>
      </c>
      <c r="BG4500" s="3" t="s">
        <v>43335</v>
      </c>
    </row>
    <row r="4501" spans="1:59" ht="58" x14ac:dyDescent="0.35">
      <c r="A4501" s="2" t="s">
        <v>89</v>
      </c>
      <c r="B4501" s="2" t="s">
        <v>90</v>
      </c>
      <c r="C4501" s="2" t="s">
        <v>43336</v>
      </c>
      <c r="D4501" s="2" t="s">
        <v>43337</v>
      </c>
      <c r="E4501" s="2" t="s">
        <v>43338</v>
      </c>
      <c r="G4501" s="3" t="s">
        <v>62</v>
      </c>
      <c r="I4501" s="3" t="s">
        <v>61</v>
      </c>
      <c r="J4501" s="3" t="s">
        <v>61</v>
      </c>
      <c r="K4501" s="3" t="s">
        <v>63</v>
      </c>
      <c r="L4501" s="2" t="s">
        <v>43339</v>
      </c>
      <c r="M4501" s="2" t="s">
        <v>43340</v>
      </c>
      <c r="N4501" s="3" t="s">
        <v>95</v>
      </c>
      <c r="O4501" s="2" t="s">
        <v>17648</v>
      </c>
      <c r="P4501" s="3" t="s">
        <v>64</v>
      </c>
      <c r="R4501" s="3" t="s">
        <v>42369</v>
      </c>
      <c r="S4501" s="4">
        <v>3</v>
      </c>
      <c r="T4501" s="4">
        <v>23</v>
      </c>
      <c r="U4501" s="5" t="s">
        <v>43341</v>
      </c>
      <c r="V4501" s="5" t="s">
        <v>43342</v>
      </c>
      <c r="W4501" s="5" t="s">
        <v>67</v>
      </c>
      <c r="X4501" s="5" t="s">
        <v>67</v>
      </c>
      <c r="Y4501" s="4">
        <v>349</v>
      </c>
      <c r="Z4501" s="4">
        <v>27</v>
      </c>
      <c r="AA4501" s="4">
        <v>100</v>
      </c>
      <c r="AB4501" s="4">
        <v>2</v>
      </c>
      <c r="AC4501" s="4">
        <v>16</v>
      </c>
      <c r="AD4501" s="4">
        <v>65</v>
      </c>
      <c r="AE4501" s="4">
        <v>160</v>
      </c>
      <c r="AF4501" s="4">
        <v>0</v>
      </c>
      <c r="AG4501" s="4">
        <v>6</v>
      </c>
      <c r="AH4501" s="4">
        <v>58</v>
      </c>
      <c r="AI4501" s="4">
        <v>118</v>
      </c>
      <c r="AJ4501" s="4">
        <v>11</v>
      </c>
      <c r="AK4501" s="4">
        <v>27</v>
      </c>
      <c r="AL4501" s="4">
        <v>30</v>
      </c>
      <c r="AM4501" s="4">
        <v>61</v>
      </c>
      <c r="AN4501" s="4">
        <v>0</v>
      </c>
      <c r="AO4501" s="4">
        <v>5</v>
      </c>
      <c r="AP4501" s="4">
        <v>11</v>
      </c>
      <c r="AQ4501" s="4">
        <v>48</v>
      </c>
      <c r="AR4501" s="3" t="s">
        <v>62</v>
      </c>
      <c r="AS4501" s="3" t="s">
        <v>62</v>
      </c>
      <c r="AT4501" s="3" t="s">
        <v>61</v>
      </c>
      <c r="AU4501" s="6" t="str">
        <f>HYPERLINK("http://catalog.hathitrust.org/Record/000156668","HathiTrust Record")</f>
        <v>HathiTrust Record</v>
      </c>
      <c r="AV4501" s="6" t="str">
        <f>HYPERLINK("http://mcgill.on.worldcat.org/oclc/7622404","Catalog Record")</f>
        <v>Catalog Record</v>
      </c>
      <c r="AW4501" s="6" t="str">
        <f>HYPERLINK("http://www.worldcat.org/oclc/7622404","WorldCat Record")</f>
        <v>WorldCat Record</v>
      </c>
      <c r="AX4501" s="3" t="s">
        <v>43343</v>
      </c>
      <c r="AY4501" s="3" t="s">
        <v>43344</v>
      </c>
      <c r="AZ4501" s="3" t="s">
        <v>43345</v>
      </c>
      <c r="BA4501" s="3" t="s">
        <v>43345</v>
      </c>
      <c r="BB4501" s="3" t="s">
        <v>43346</v>
      </c>
      <c r="BC4501" s="3" t="s">
        <v>102</v>
      </c>
      <c r="BD4501" s="3" t="s">
        <v>68</v>
      </c>
      <c r="BE4501" s="3" t="s">
        <v>43347</v>
      </c>
      <c r="BF4501" s="3" t="s">
        <v>43346</v>
      </c>
      <c r="BG4501" s="3" t="s">
        <v>43348</v>
      </c>
    </row>
    <row r="4502" spans="1:59" ht="58" x14ac:dyDescent="0.35">
      <c r="A4502" s="2" t="s">
        <v>89</v>
      </c>
      <c r="B4502" s="2" t="s">
        <v>90</v>
      </c>
      <c r="C4502" s="2" t="s">
        <v>43349</v>
      </c>
      <c r="D4502" s="2" t="s">
        <v>43350</v>
      </c>
      <c r="E4502" s="2" t="s">
        <v>43351</v>
      </c>
      <c r="G4502" s="3" t="s">
        <v>62</v>
      </c>
      <c r="I4502" s="3" t="s">
        <v>61</v>
      </c>
      <c r="J4502" s="3" t="s">
        <v>61</v>
      </c>
      <c r="K4502" s="3" t="s">
        <v>63</v>
      </c>
      <c r="L4502" s="2" t="s">
        <v>43352</v>
      </c>
      <c r="M4502" s="2" t="s">
        <v>12124</v>
      </c>
      <c r="N4502" s="3" t="s">
        <v>852</v>
      </c>
      <c r="P4502" s="3" t="s">
        <v>64</v>
      </c>
      <c r="Q4502" s="2" t="s">
        <v>43353</v>
      </c>
      <c r="R4502" s="3" t="s">
        <v>42369</v>
      </c>
      <c r="S4502" s="4">
        <v>5</v>
      </c>
      <c r="T4502" s="4">
        <v>31</v>
      </c>
      <c r="U4502" s="5" t="s">
        <v>43354</v>
      </c>
      <c r="V4502" s="5" t="s">
        <v>43354</v>
      </c>
      <c r="W4502" s="5" t="s">
        <v>67</v>
      </c>
      <c r="X4502" s="5" t="s">
        <v>67</v>
      </c>
      <c r="Y4502" s="4">
        <v>201</v>
      </c>
      <c r="Z4502" s="4">
        <v>19</v>
      </c>
      <c r="AA4502" s="4">
        <v>91</v>
      </c>
      <c r="AB4502" s="4">
        <v>3</v>
      </c>
      <c r="AC4502" s="4">
        <v>20</v>
      </c>
      <c r="AD4502" s="4">
        <v>28</v>
      </c>
      <c r="AE4502" s="4">
        <v>163</v>
      </c>
      <c r="AF4502" s="4">
        <v>1</v>
      </c>
      <c r="AG4502" s="4">
        <v>8</v>
      </c>
      <c r="AH4502" s="4">
        <v>19</v>
      </c>
      <c r="AI4502" s="4">
        <v>115</v>
      </c>
      <c r="AJ4502" s="4">
        <v>11</v>
      </c>
      <c r="AK4502" s="4">
        <v>27</v>
      </c>
      <c r="AL4502" s="4">
        <v>8</v>
      </c>
      <c r="AM4502" s="4">
        <v>61</v>
      </c>
      <c r="AN4502" s="4">
        <v>0</v>
      </c>
      <c r="AO4502" s="4">
        <v>0</v>
      </c>
      <c r="AP4502" s="4">
        <v>15</v>
      </c>
      <c r="AQ4502" s="4">
        <v>54</v>
      </c>
      <c r="AR4502" s="3" t="s">
        <v>62</v>
      </c>
      <c r="AS4502" s="3" t="s">
        <v>62</v>
      </c>
      <c r="AT4502" s="3" t="s">
        <v>62</v>
      </c>
      <c r="AV4502" s="6" t="str">
        <f>HYPERLINK("http://mcgill.on.worldcat.org/oclc/71186","Catalog Record")</f>
        <v>Catalog Record</v>
      </c>
      <c r="AW4502" s="6" t="str">
        <f>HYPERLINK("http://www.worldcat.org/oclc/71186","WorldCat Record")</f>
        <v>WorldCat Record</v>
      </c>
      <c r="AX4502" s="3" t="s">
        <v>43355</v>
      </c>
      <c r="AY4502" s="3" t="s">
        <v>43356</v>
      </c>
      <c r="AZ4502" s="3" t="s">
        <v>43357</v>
      </c>
      <c r="BA4502" s="3" t="s">
        <v>43357</v>
      </c>
      <c r="BB4502" s="3" t="s">
        <v>43358</v>
      </c>
      <c r="BC4502" s="3" t="s">
        <v>102</v>
      </c>
      <c r="BD4502" s="3" t="s">
        <v>68</v>
      </c>
      <c r="BE4502" s="3" t="s">
        <v>43359</v>
      </c>
      <c r="BF4502" s="3" t="s">
        <v>43358</v>
      </c>
      <c r="BG4502" s="3" t="s">
        <v>43360</v>
      </c>
    </row>
    <row r="4503" spans="1:59" ht="58" x14ac:dyDescent="0.35">
      <c r="A4503" s="2" t="s">
        <v>59</v>
      </c>
      <c r="B4503" s="2" t="s">
        <v>60</v>
      </c>
      <c r="C4503" s="2" t="s">
        <v>43361</v>
      </c>
      <c r="D4503" s="2" t="s">
        <v>43362</v>
      </c>
      <c r="E4503" s="2" t="s">
        <v>43363</v>
      </c>
      <c r="G4503" s="3" t="s">
        <v>62</v>
      </c>
      <c r="I4503" s="3" t="s">
        <v>62</v>
      </c>
      <c r="J4503" s="3" t="s">
        <v>62</v>
      </c>
      <c r="K4503" s="3" t="s">
        <v>63</v>
      </c>
      <c r="L4503" s="2" t="s">
        <v>43306</v>
      </c>
      <c r="M4503" s="2" t="s">
        <v>43364</v>
      </c>
      <c r="N4503" s="3" t="s">
        <v>1305</v>
      </c>
      <c r="P4503" s="3" t="s">
        <v>64</v>
      </c>
      <c r="R4503" s="3" t="s">
        <v>42369</v>
      </c>
      <c r="S4503" s="4">
        <v>1</v>
      </c>
      <c r="T4503" s="4">
        <v>1</v>
      </c>
      <c r="U4503" s="5" t="s">
        <v>21936</v>
      </c>
      <c r="V4503" s="5" t="s">
        <v>21936</v>
      </c>
      <c r="W4503" s="5" t="s">
        <v>67</v>
      </c>
      <c r="X4503" s="5" t="s">
        <v>67</v>
      </c>
      <c r="Y4503" s="4">
        <v>104</v>
      </c>
      <c r="Z4503" s="4">
        <v>3</v>
      </c>
      <c r="AA4503" s="4">
        <v>3</v>
      </c>
      <c r="AB4503" s="4">
        <v>1</v>
      </c>
      <c r="AC4503" s="4">
        <v>1</v>
      </c>
      <c r="AD4503" s="4">
        <v>25</v>
      </c>
      <c r="AE4503" s="4">
        <v>25</v>
      </c>
      <c r="AF4503" s="4">
        <v>0</v>
      </c>
      <c r="AG4503" s="4">
        <v>0</v>
      </c>
      <c r="AH4503" s="4">
        <v>25</v>
      </c>
      <c r="AI4503" s="4">
        <v>25</v>
      </c>
      <c r="AJ4503" s="4">
        <v>2</v>
      </c>
      <c r="AK4503" s="4">
        <v>2</v>
      </c>
      <c r="AL4503" s="4">
        <v>15</v>
      </c>
      <c r="AM4503" s="4">
        <v>15</v>
      </c>
      <c r="AN4503" s="4">
        <v>0</v>
      </c>
      <c r="AO4503" s="4">
        <v>0</v>
      </c>
      <c r="AP4503" s="4">
        <v>2</v>
      </c>
      <c r="AQ4503" s="4">
        <v>2</v>
      </c>
      <c r="AR4503" s="3" t="s">
        <v>62</v>
      </c>
      <c r="AS4503" s="3" t="s">
        <v>62</v>
      </c>
      <c r="AT4503" s="3" t="s">
        <v>61</v>
      </c>
      <c r="AU4503" s="6" t="str">
        <f>HYPERLINK("http://catalog.hathitrust.org/Record/008556076","HathiTrust Record")</f>
        <v>HathiTrust Record</v>
      </c>
      <c r="AV4503" s="6" t="str">
        <f>HYPERLINK("http://mcgill.on.worldcat.org/oclc/1533900","Catalog Record")</f>
        <v>Catalog Record</v>
      </c>
      <c r="AW4503" s="6" t="str">
        <f>HYPERLINK("http://www.worldcat.org/oclc/1533900","WorldCat Record")</f>
        <v>WorldCat Record</v>
      </c>
      <c r="AX4503" s="3" t="s">
        <v>43365</v>
      </c>
      <c r="AY4503" s="3" t="s">
        <v>43366</v>
      </c>
      <c r="AZ4503" s="3" t="s">
        <v>43367</v>
      </c>
      <c r="BA4503" s="3" t="s">
        <v>43367</v>
      </c>
      <c r="BB4503" s="3" t="s">
        <v>43368</v>
      </c>
      <c r="BC4503" s="3" t="s">
        <v>102</v>
      </c>
      <c r="BD4503" s="3" t="s">
        <v>68</v>
      </c>
      <c r="BE4503" s="3" t="s">
        <v>43369</v>
      </c>
      <c r="BF4503" s="3" t="s">
        <v>43368</v>
      </c>
      <c r="BG4503" s="3" t="s">
        <v>43370</v>
      </c>
    </row>
    <row r="4504" spans="1:59" ht="58" x14ac:dyDescent="0.35">
      <c r="A4504" s="2" t="s">
        <v>89</v>
      </c>
      <c r="B4504" s="2" t="s">
        <v>90</v>
      </c>
      <c r="C4504" s="2" t="s">
        <v>43371</v>
      </c>
      <c r="D4504" s="2" t="s">
        <v>43372</v>
      </c>
      <c r="E4504" s="2" t="s">
        <v>43373</v>
      </c>
      <c r="G4504" s="3" t="s">
        <v>62</v>
      </c>
      <c r="I4504" s="3" t="s">
        <v>62</v>
      </c>
      <c r="J4504" s="3" t="s">
        <v>61</v>
      </c>
      <c r="K4504" s="3" t="s">
        <v>63</v>
      </c>
      <c r="L4504" s="2" t="s">
        <v>43374</v>
      </c>
      <c r="M4504" s="2" t="s">
        <v>43375</v>
      </c>
      <c r="N4504" s="3" t="s">
        <v>684</v>
      </c>
      <c r="O4504" s="2" t="s">
        <v>43376</v>
      </c>
      <c r="P4504" s="3" t="s">
        <v>64</v>
      </c>
      <c r="R4504" s="3" t="s">
        <v>42369</v>
      </c>
      <c r="S4504" s="4">
        <v>8</v>
      </c>
      <c r="T4504" s="4">
        <v>8</v>
      </c>
      <c r="U4504" s="5" t="s">
        <v>43377</v>
      </c>
      <c r="V4504" s="5" t="s">
        <v>43377</v>
      </c>
      <c r="W4504" s="5" t="s">
        <v>67</v>
      </c>
      <c r="X4504" s="5" t="s">
        <v>67</v>
      </c>
      <c r="Y4504" s="4">
        <v>68</v>
      </c>
      <c r="Z4504" s="4">
        <v>5</v>
      </c>
      <c r="AA4504" s="4">
        <v>43</v>
      </c>
      <c r="AB4504" s="4">
        <v>1</v>
      </c>
      <c r="AC4504" s="4">
        <v>6</v>
      </c>
      <c r="AD4504" s="4">
        <v>7</v>
      </c>
      <c r="AE4504" s="4">
        <v>95</v>
      </c>
      <c r="AF4504" s="4">
        <v>0</v>
      </c>
      <c r="AG4504" s="4">
        <v>2</v>
      </c>
      <c r="AH4504" s="4">
        <v>7</v>
      </c>
      <c r="AI4504" s="4">
        <v>85</v>
      </c>
      <c r="AJ4504" s="4">
        <v>2</v>
      </c>
      <c r="AK4504" s="4">
        <v>15</v>
      </c>
      <c r="AL4504" s="4">
        <v>3</v>
      </c>
      <c r="AM4504" s="4">
        <v>49</v>
      </c>
      <c r="AN4504" s="4">
        <v>0</v>
      </c>
      <c r="AO4504" s="4">
        <v>0</v>
      </c>
      <c r="AP4504" s="4">
        <v>2</v>
      </c>
      <c r="AQ4504" s="4">
        <v>16</v>
      </c>
      <c r="AR4504" s="3" t="s">
        <v>62</v>
      </c>
      <c r="AS4504" s="3" t="s">
        <v>62</v>
      </c>
      <c r="AT4504" s="3" t="s">
        <v>62</v>
      </c>
      <c r="AV4504" s="6" t="str">
        <f>HYPERLINK("http://mcgill.on.worldcat.org/oclc/644663831","Catalog Record")</f>
        <v>Catalog Record</v>
      </c>
      <c r="AW4504" s="6" t="str">
        <f>HYPERLINK("http://www.worldcat.org/oclc/644663831","WorldCat Record")</f>
        <v>WorldCat Record</v>
      </c>
      <c r="AX4504" s="3" t="s">
        <v>43378</v>
      </c>
      <c r="AY4504" s="3" t="s">
        <v>43379</v>
      </c>
      <c r="AZ4504" s="3" t="s">
        <v>43380</v>
      </c>
      <c r="BA4504" s="3" t="s">
        <v>43380</v>
      </c>
      <c r="BB4504" s="3" t="s">
        <v>43381</v>
      </c>
      <c r="BC4504" s="3" t="s">
        <v>102</v>
      </c>
      <c r="BD4504" s="3" t="s">
        <v>68</v>
      </c>
      <c r="BE4504" s="3" t="s">
        <v>43382</v>
      </c>
      <c r="BF4504" s="3" t="s">
        <v>43381</v>
      </c>
      <c r="BG4504" s="3" t="s">
        <v>43383</v>
      </c>
    </row>
    <row r="4505" spans="1:59" ht="58" x14ac:dyDescent="0.35">
      <c r="A4505" s="2" t="s">
        <v>89</v>
      </c>
      <c r="B4505" s="2" t="s">
        <v>90</v>
      </c>
      <c r="C4505" s="2" t="s">
        <v>43384</v>
      </c>
      <c r="D4505" s="2" t="s">
        <v>43385</v>
      </c>
      <c r="E4505" s="2" t="s">
        <v>43386</v>
      </c>
      <c r="G4505" s="3" t="s">
        <v>62</v>
      </c>
      <c r="I4505" s="3" t="s">
        <v>61</v>
      </c>
      <c r="J4505" s="3" t="s">
        <v>62</v>
      </c>
      <c r="K4505" s="3" t="s">
        <v>63</v>
      </c>
      <c r="L4505" s="2" t="s">
        <v>43339</v>
      </c>
      <c r="M4505" s="2" t="s">
        <v>43387</v>
      </c>
      <c r="N4505" s="3" t="s">
        <v>1639</v>
      </c>
      <c r="P4505" s="3" t="s">
        <v>64</v>
      </c>
      <c r="Q4505" s="2" t="s">
        <v>43388</v>
      </c>
      <c r="R4505" s="3" t="s">
        <v>42369</v>
      </c>
      <c r="S4505" s="4">
        <v>6</v>
      </c>
      <c r="T4505" s="4">
        <v>30</v>
      </c>
      <c r="U4505" s="5" t="s">
        <v>37687</v>
      </c>
      <c r="V4505" s="5" t="s">
        <v>37687</v>
      </c>
      <c r="W4505" s="5" t="s">
        <v>67</v>
      </c>
      <c r="X4505" s="5" t="s">
        <v>67</v>
      </c>
      <c r="Y4505" s="4">
        <v>2536</v>
      </c>
      <c r="Z4505" s="4">
        <v>93</v>
      </c>
      <c r="AA4505" s="4">
        <v>104</v>
      </c>
      <c r="AB4505" s="4">
        <v>8</v>
      </c>
      <c r="AC4505" s="4">
        <v>17</v>
      </c>
      <c r="AD4505" s="4">
        <v>121</v>
      </c>
      <c r="AE4505" s="4">
        <v>128</v>
      </c>
      <c r="AF4505" s="4">
        <v>1</v>
      </c>
      <c r="AG4505" s="4">
        <v>6</v>
      </c>
      <c r="AH4505" s="4">
        <v>94</v>
      </c>
      <c r="AI4505" s="4">
        <v>95</v>
      </c>
      <c r="AJ4505" s="4">
        <v>16</v>
      </c>
      <c r="AK4505" s="4">
        <v>21</v>
      </c>
      <c r="AL4505" s="4">
        <v>47</v>
      </c>
      <c r="AM4505" s="4">
        <v>47</v>
      </c>
      <c r="AN4505" s="4">
        <v>0</v>
      </c>
      <c r="AO4505" s="4">
        <v>0</v>
      </c>
      <c r="AP4505" s="4">
        <v>35</v>
      </c>
      <c r="AQ4505" s="4">
        <v>41</v>
      </c>
      <c r="AR4505" s="3" t="s">
        <v>62</v>
      </c>
      <c r="AS4505" s="3" t="s">
        <v>62</v>
      </c>
      <c r="AT4505" s="3" t="s">
        <v>61</v>
      </c>
      <c r="AU4505" s="6" t="str">
        <f>HYPERLINK("http://catalog.hathitrust.org/Record/000000769","HathiTrust Record")</f>
        <v>HathiTrust Record</v>
      </c>
      <c r="AV4505" s="6" t="str">
        <f>HYPERLINK("http://mcgill.on.worldcat.org/oclc/66022","Catalog Record")</f>
        <v>Catalog Record</v>
      </c>
      <c r="AW4505" s="6" t="str">
        <f>HYPERLINK("http://www.worldcat.org/oclc/66022","WorldCat Record")</f>
        <v>WorldCat Record</v>
      </c>
      <c r="AX4505" s="3" t="s">
        <v>43389</v>
      </c>
      <c r="AY4505" s="3" t="s">
        <v>43390</v>
      </c>
      <c r="AZ4505" s="3" t="s">
        <v>43391</v>
      </c>
      <c r="BA4505" s="3" t="s">
        <v>43391</v>
      </c>
      <c r="BB4505" s="3" t="s">
        <v>43392</v>
      </c>
      <c r="BC4505" s="3" t="s">
        <v>102</v>
      </c>
      <c r="BD4505" s="3" t="s">
        <v>68</v>
      </c>
      <c r="BE4505" s="3" t="s">
        <v>43393</v>
      </c>
      <c r="BF4505" s="3" t="s">
        <v>43392</v>
      </c>
      <c r="BG4505" s="3" t="s">
        <v>43394</v>
      </c>
    </row>
    <row r="4506" spans="1:59" ht="58" x14ac:dyDescent="0.35">
      <c r="A4506" s="2" t="s">
        <v>89</v>
      </c>
      <c r="B4506" s="2" t="s">
        <v>90</v>
      </c>
      <c r="C4506" s="2" t="s">
        <v>43395</v>
      </c>
      <c r="D4506" s="2" t="s">
        <v>43396</v>
      </c>
      <c r="E4506" s="2" t="s">
        <v>43397</v>
      </c>
      <c r="G4506" s="3" t="s">
        <v>62</v>
      </c>
      <c r="I4506" s="3" t="s">
        <v>61</v>
      </c>
      <c r="J4506" s="3" t="s">
        <v>62</v>
      </c>
      <c r="K4506" s="3" t="s">
        <v>63</v>
      </c>
      <c r="L4506" s="2" t="s">
        <v>43398</v>
      </c>
      <c r="M4506" s="2" t="s">
        <v>43399</v>
      </c>
      <c r="N4506" s="3" t="s">
        <v>87</v>
      </c>
      <c r="P4506" s="3" t="s">
        <v>64</v>
      </c>
      <c r="Q4506" s="2" t="s">
        <v>43400</v>
      </c>
      <c r="R4506" s="3" t="s">
        <v>42369</v>
      </c>
      <c r="S4506" s="4">
        <v>4</v>
      </c>
      <c r="T4506" s="4">
        <v>7</v>
      </c>
      <c r="U4506" s="5" t="s">
        <v>6337</v>
      </c>
      <c r="V4506" s="5" t="s">
        <v>6337</v>
      </c>
      <c r="W4506" s="5" t="s">
        <v>67</v>
      </c>
      <c r="X4506" s="5" t="s">
        <v>67</v>
      </c>
      <c r="Y4506" s="4">
        <v>388</v>
      </c>
      <c r="Z4506" s="4">
        <v>27</v>
      </c>
      <c r="AA4506" s="4">
        <v>28</v>
      </c>
      <c r="AB4506" s="4">
        <v>1</v>
      </c>
      <c r="AC4506" s="4">
        <v>2</v>
      </c>
      <c r="AD4506" s="4">
        <v>76</v>
      </c>
      <c r="AE4506" s="4">
        <v>77</v>
      </c>
      <c r="AF4506" s="4">
        <v>0</v>
      </c>
      <c r="AG4506" s="4">
        <v>1</v>
      </c>
      <c r="AH4506" s="4">
        <v>65</v>
      </c>
      <c r="AI4506" s="4">
        <v>66</v>
      </c>
      <c r="AJ4506" s="4">
        <v>9</v>
      </c>
      <c r="AK4506" s="4">
        <v>10</v>
      </c>
      <c r="AL4506" s="4">
        <v>32</v>
      </c>
      <c r="AM4506" s="4">
        <v>32</v>
      </c>
      <c r="AN4506" s="4">
        <v>0</v>
      </c>
      <c r="AO4506" s="4">
        <v>0</v>
      </c>
      <c r="AP4506" s="4">
        <v>16</v>
      </c>
      <c r="AQ4506" s="4">
        <v>17</v>
      </c>
      <c r="AR4506" s="3" t="s">
        <v>62</v>
      </c>
      <c r="AS4506" s="3" t="s">
        <v>62</v>
      </c>
      <c r="AT4506" s="3" t="s">
        <v>61</v>
      </c>
      <c r="AU4506" s="6" t="str">
        <f>HYPERLINK("http://catalog.hathitrust.org/Record/000267513","HathiTrust Record")</f>
        <v>HathiTrust Record</v>
      </c>
      <c r="AV4506" s="6" t="str">
        <f>HYPERLINK("http://mcgill.on.worldcat.org/oclc/4956673","Catalog Record")</f>
        <v>Catalog Record</v>
      </c>
      <c r="AW4506" s="6" t="str">
        <f>HYPERLINK("http://www.worldcat.org/oclc/4956673","WorldCat Record")</f>
        <v>WorldCat Record</v>
      </c>
      <c r="AX4506" s="3" t="s">
        <v>43401</v>
      </c>
      <c r="AY4506" s="3" t="s">
        <v>43402</v>
      </c>
      <c r="AZ4506" s="3" t="s">
        <v>43403</v>
      </c>
      <c r="BA4506" s="3" t="s">
        <v>43403</v>
      </c>
      <c r="BB4506" s="3" t="s">
        <v>43404</v>
      </c>
      <c r="BC4506" s="3" t="s">
        <v>102</v>
      </c>
      <c r="BD4506" s="3" t="s">
        <v>68</v>
      </c>
      <c r="BE4506" s="3" t="s">
        <v>43405</v>
      </c>
      <c r="BF4506" s="3" t="s">
        <v>43404</v>
      </c>
      <c r="BG4506" s="3" t="s">
        <v>43406</v>
      </c>
    </row>
    <row r="4507" spans="1:59" ht="58" x14ac:dyDescent="0.35">
      <c r="A4507" s="2" t="s">
        <v>89</v>
      </c>
      <c r="B4507" s="2" t="s">
        <v>90</v>
      </c>
      <c r="C4507" s="2" t="s">
        <v>43407</v>
      </c>
      <c r="D4507" s="2" t="s">
        <v>43408</v>
      </c>
      <c r="E4507" s="2" t="s">
        <v>43409</v>
      </c>
      <c r="G4507" s="3" t="s">
        <v>62</v>
      </c>
      <c r="I4507" s="3" t="s">
        <v>61</v>
      </c>
      <c r="J4507" s="3" t="s">
        <v>61</v>
      </c>
      <c r="K4507" s="3" t="s">
        <v>63</v>
      </c>
      <c r="L4507" s="2" t="s">
        <v>43410</v>
      </c>
      <c r="M4507" s="2" t="s">
        <v>43411</v>
      </c>
      <c r="N4507" s="3" t="s">
        <v>2110</v>
      </c>
      <c r="O4507" s="2" t="s">
        <v>21546</v>
      </c>
      <c r="P4507" s="3" t="s">
        <v>64</v>
      </c>
      <c r="Q4507" s="2" t="s">
        <v>43400</v>
      </c>
      <c r="R4507" s="3" t="s">
        <v>42369</v>
      </c>
      <c r="S4507" s="4">
        <v>10</v>
      </c>
      <c r="T4507" s="4">
        <v>13</v>
      </c>
      <c r="U4507" s="5" t="s">
        <v>37687</v>
      </c>
      <c r="V4507" s="5" t="s">
        <v>37687</v>
      </c>
      <c r="W4507" s="5" t="s">
        <v>67</v>
      </c>
      <c r="X4507" s="5" t="s">
        <v>67</v>
      </c>
      <c r="Y4507" s="4">
        <v>619</v>
      </c>
      <c r="Z4507" s="4">
        <v>41</v>
      </c>
      <c r="AA4507" s="4">
        <v>49</v>
      </c>
      <c r="AB4507" s="4">
        <v>4</v>
      </c>
      <c r="AC4507" s="4">
        <v>7</v>
      </c>
      <c r="AD4507" s="4">
        <v>72</v>
      </c>
      <c r="AE4507" s="4">
        <v>79</v>
      </c>
      <c r="AF4507" s="4">
        <v>1</v>
      </c>
      <c r="AG4507" s="4">
        <v>3</v>
      </c>
      <c r="AH4507" s="4">
        <v>58</v>
      </c>
      <c r="AI4507" s="4">
        <v>62</v>
      </c>
      <c r="AJ4507" s="4">
        <v>9</v>
      </c>
      <c r="AK4507" s="4">
        <v>15</v>
      </c>
      <c r="AL4507" s="4">
        <v>34</v>
      </c>
      <c r="AM4507" s="4">
        <v>35</v>
      </c>
      <c r="AN4507" s="4">
        <v>0</v>
      </c>
      <c r="AO4507" s="4">
        <v>0</v>
      </c>
      <c r="AP4507" s="4">
        <v>15</v>
      </c>
      <c r="AQ4507" s="4">
        <v>21</v>
      </c>
      <c r="AR4507" s="3" t="s">
        <v>62</v>
      </c>
      <c r="AS4507" s="3" t="s">
        <v>62</v>
      </c>
      <c r="AT4507" s="3" t="s">
        <v>61</v>
      </c>
      <c r="AU4507" s="6" t="str">
        <f>HYPERLINK("http://catalog.hathitrust.org/Record/000178214","HathiTrust Record")</f>
        <v>HathiTrust Record</v>
      </c>
      <c r="AV4507" s="6" t="str">
        <f>HYPERLINK("http://mcgill.on.worldcat.org/oclc/4136675","Catalog Record")</f>
        <v>Catalog Record</v>
      </c>
      <c r="AW4507" s="6" t="str">
        <f>HYPERLINK("http://www.worldcat.org/oclc/4136675","WorldCat Record")</f>
        <v>WorldCat Record</v>
      </c>
      <c r="AX4507" s="3" t="s">
        <v>43412</v>
      </c>
      <c r="AY4507" s="3" t="s">
        <v>43413</v>
      </c>
      <c r="AZ4507" s="3" t="s">
        <v>43414</v>
      </c>
      <c r="BA4507" s="3" t="s">
        <v>43414</v>
      </c>
      <c r="BB4507" s="3" t="s">
        <v>43415</v>
      </c>
      <c r="BC4507" s="3" t="s">
        <v>102</v>
      </c>
      <c r="BD4507" s="3" t="s">
        <v>68</v>
      </c>
      <c r="BE4507" s="3" t="s">
        <v>43416</v>
      </c>
      <c r="BF4507" s="3" t="s">
        <v>43415</v>
      </c>
      <c r="BG4507" s="3" t="s">
        <v>43417</v>
      </c>
    </row>
    <row r="4508" spans="1:59" ht="58" x14ac:dyDescent="0.35">
      <c r="A4508" s="2" t="s">
        <v>89</v>
      </c>
      <c r="B4508" s="2" t="s">
        <v>90</v>
      </c>
      <c r="C4508" s="2" t="s">
        <v>43407</v>
      </c>
      <c r="D4508" s="2" t="s">
        <v>43408</v>
      </c>
      <c r="E4508" s="2" t="s">
        <v>43409</v>
      </c>
      <c r="G4508" s="3" t="s">
        <v>62</v>
      </c>
      <c r="I4508" s="3" t="s">
        <v>61</v>
      </c>
      <c r="J4508" s="3" t="s">
        <v>61</v>
      </c>
      <c r="K4508" s="3" t="s">
        <v>63</v>
      </c>
      <c r="L4508" s="2" t="s">
        <v>43410</v>
      </c>
      <c r="M4508" s="2" t="s">
        <v>43411</v>
      </c>
      <c r="N4508" s="3" t="s">
        <v>2110</v>
      </c>
      <c r="O4508" s="2" t="s">
        <v>21546</v>
      </c>
      <c r="P4508" s="3" t="s">
        <v>64</v>
      </c>
      <c r="Q4508" s="2" t="s">
        <v>43400</v>
      </c>
      <c r="R4508" s="3" t="s">
        <v>42369</v>
      </c>
      <c r="S4508" s="4">
        <v>3</v>
      </c>
      <c r="T4508" s="4">
        <v>13</v>
      </c>
      <c r="U4508" s="5" t="s">
        <v>37687</v>
      </c>
      <c r="V4508" s="5" t="s">
        <v>37687</v>
      </c>
      <c r="W4508" s="5" t="s">
        <v>67</v>
      </c>
      <c r="X4508" s="5" t="s">
        <v>67</v>
      </c>
      <c r="Y4508" s="4">
        <v>619</v>
      </c>
      <c r="Z4508" s="4">
        <v>41</v>
      </c>
      <c r="AA4508" s="4">
        <v>49</v>
      </c>
      <c r="AB4508" s="4">
        <v>4</v>
      </c>
      <c r="AC4508" s="4">
        <v>7</v>
      </c>
      <c r="AD4508" s="4">
        <v>72</v>
      </c>
      <c r="AE4508" s="4">
        <v>79</v>
      </c>
      <c r="AF4508" s="4">
        <v>1</v>
      </c>
      <c r="AG4508" s="4">
        <v>3</v>
      </c>
      <c r="AH4508" s="4">
        <v>58</v>
      </c>
      <c r="AI4508" s="4">
        <v>62</v>
      </c>
      <c r="AJ4508" s="4">
        <v>9</v>
      </c>
      <c r="AK4508" s="4">
        <v>15</v>
      </c>
      <c r="AL4508" s="4">
        <v>34</v>
      </c>
      <c r="AM4508" s="4">
        <v>35</v>
      </c>
      <c r="AN4508" s="4">
        <v>0</v>
      </c>
      <c r="AO4508" s="4">
        <v>0</v>
      </c>
      <c r="AP4508" s="4">
        <v>15</v>
      </c>
      <c r="AQ4508" s="4">
        <v>21</v>
      </c>
      <c r="AR4508" s="3" t="s">
        <v>62</v>
      </c>
      <c r="AS4508" s="3" t="s">
        <v>62</v>
      </c>
      <c r="AT4508" s="3" t="s">
        <v>61</v>
      </c>
      <c r="AU4508" s="6" t="str">
        <f>HYPERLINK("http://catalog.hathitrust.org/Record/000178214","HathiTrust Record")</f>
        <v>HathiTrust Record</v>
      </c>
      <c r="AV4508" s="6" t="str">
        <f>HYPERLINK("http://mcgill.on.worldcat.org/oclc/4136675","Catalog Record")</f>
        <v>Catalog Record</v>
      </c>
      <c r="AW4508" s="6" t="str">
        <f>HYPERLINK("http://www.worldcat.org/oclc/4136675","WorldCat Record")</f>
        <v>WorldCat Record</v>
      </c>
      <c r="AX4508" s="3" t="s">
        <v>43412</v>
      </c>
      <c r="AY4508" s="3" t="s">
        <v>43413</v>
      </c>
      <c r="AZ4508" s="3" t="s">
        <v>43414</v>
      </c>
      <c r="BA4508" s="3" t="s">
        <v>43414</v>
      </c>
      <c r="BB4508" s="3" t="s">
        <v>43418</v>
      </c>
      <c r="BC4508" s="3" t="s">
        <v>102</v>
      </c>
      <c r="BD4508" s="3" t="s">
        <v>68</v>
      </c>
      <c r="BE4508" s="3" t="s">
        <v>43416</v>
      </c>
      <c r="BF4508" s="3" t="s">
        <v>43418</v>
      </c>
      <c r="BG4508" s="3" t="s">
        <v>43419</v>
      </c>
    </row>
    <row r="4509" spans="1:59" ht="58" x14ac:dyDescent="0.35">
      <c r="A4509" s="2" t="s">
        <v>59</v>
      </c>
      <c r="B4509" s="2" t="s">
        <v>60</v>
      </c>
      <c r="C4509" s="2" t="s">
        <v>43420</v>
      </c>
      <c r="D4509" s="2" t="s">
        <v>43421</v>
      </c>
      <c r="E4509" s="2" t="s">
        <v>43422</v>
      </c>
      <c r="G4509" s="3" t="s">
        <v>62</v>
      </c>
      <c r="I4509" s="3" t="s">
        <v>62</v>
      </c>
      <c r="J4509" s="3" t="s">
        <v>62</v>
      </c>
      <c r="K4509" s="3" t="s">
        <v>63</v>
      </c>
      <c r="L4509" s="2" t="s">
        <v>43423</v>
      </c>
      <c r="M4509" s="2" t="s">
        <v>43424</v>
      </c>
      <c r="N4509" s="3" t="s">
        <v>87</v>
      </c>
      <c r="P4509" s="3" t="s">
        <v>64</v>
      </c>
      <c r="Q4509" s="2" t="s">
        <v>43425</v>
      </c>
      <c r="R4509" s="3" t="s">
        <v>42369</v>
      </c>
      <c r="S4509" s="4">
        <v>4</v>
      </c>
      <c r="T4509" s="4">
        <v>4</v>
      </c>
      <c r="U4509" s="5" t="s">
        <v>22541</v>
      </c>
      <c r="V4509" s="5" t="s">
        <v>22541</v>
      </c>
      <c r="W4509" s="5" t="s">
        <v>67</v>
      </c>
      <c r="X4509" s="5" t="s">
        <v>67</v>
      </c>
      <c r="Y4509" s="4">
        <v>2</v>
      </c>
      <c r="Z4509" s="4">
        <v>1</v>
      </c>
      <c r="AA4509" s="4">
        <v>1</v>
      </c>
      <c r="AB4509" s="4">
        <v>1</v>
      </c>
      <c r="AC4509" s="4">
        <v>1</v>
      </c>
      <c r="AD4509" s="4">
        <v>0</v>
      </c>
      <c r="AE4509" s="4">
        <v>0</v>
      </c>
      <c r="AF4509" s="4">
        <v>0</v>
      </c>
      <c r="AG4509" s="4">
        <v>0</v>
      </c>
      <c r="AH4509" s="4">
        <v>0</v>
      </c>
      <c r="AI4509" s="4">
        <v>0</v>
      </c>
      <c r="AJ4509" s="4">
        <v>0</v>
      </c>
      <c r="AK4509" s="4">
        <v>0</v>
      </c>
      <c r="AL4509" s="4">
        <v>0</v>
      </c>
      <c r="AM4509" s="4">
        <v>0</v>
      </c>
      <c r="AN4509" s="4">
        <v>0</v>
      </c>
      <c r="AO4509" s="4">
        <v>0</v>
      </c>
      <c r="AP4509" s="4">
        <v>0</v>
      </c>
      <c r="AQ4509" s="4">
        <v>0</v>
      </c>
      <c r="AR4509" s="3" t="s">
        <v>61</v>
      </c>
      <c r="AS4509" s="3" t="s">
        <v>62</v>
      </c>
      <c r="AT4509" s="3" t="s">
        <v>62</v>
      </c>
      <c r="AV4509" s="6" t="str">
        <f>HYPERLINK("http://mcgill.on.worldcat.org/oclc/7221709","Catalog Record")</f>
        <v>Catalog Record</v>
      </c>
      <c r="AW4509" s="6" t="str">
        <f>HYPERLINK("http://www.worldcat.org/oclc/7221709","WorldCat Record")</f>
        <v>WorldCat Record</v>
      </c>
      <c r="AX4509" s="3" t="s">
        <v>43426</v>
      </c>
      <c r="AY4509" s="3" t="s">
        <v>43427</v>
      </c>
      <c r="AZ4509" s="3" t="s">
        <v>43428</v>
      </c>
      <c r="BA4509" s="3" t="s">
        <v>43428</v>
      </c>
      <c r="BB4509" s="3" t="s">
        <v>43429</v>
      </c>
      <c r="BC4509" s="3" t="s">
        <v>102</v>
      </c>
      <c r="BD4509" s="3" t="s">
        <v>68</v>
      </c>
      <c r="BF4509" s="3" t="s">
        <v>43429</v>
      </c>
      <c r="BG4509" s="3" t="s">
        <v>43430</v>
      </c>
    </row>
    <row r="4510" spans="1:59" ht="58" x14ac:dyDescent="0.35">
      <c r="A4510" s="2" t="s">
        <v>89</v>
      </c>
      <c r="B4510" s="2" t="s">
        <v>90</v>
      </c>
      <c r="C4510" s="2" t="s">
        <v>43431</v>
      </c>
      <c r="D4510" s="2" t="s">
        <v>43432</v>
      </c>
      <c r="E4510" s="2" t="s">
        <v>43433</v>
      </c>
      <c r="G4510" s="3" t="s">
        <v>62</v>
      </c>
      <c r="I4510" s="3" t="s">
        <v>61</v>
      </c>
      <c r="J4510" s="3" t="s">
        <v>62</v>
      </c>
      <c r="K4510" s="3" t="s">
        <v>63</v>
      </c>
      <c r="M4510" s="2" t="s">
        <v>43434</v>
      </c>
      <c r="N4510" s="3" t="s">
        <v>2110</v>
      </c>
      <c r="P4510" s="3" t="s">
        <v>64</v>
      </c>
      <c r="R4510" s="3" t="s">
        <v>42369</v>
      </c>
      <c r="S4510" s="4">
        <v>7</v>
      </c>
      <c r="T4510" s="4">
        <v>49</v>
      </c>
      <c r="U4510" s="5" t="s">
        <v>1350</v>
      </c>
      <c r="V4510" s="5" t="s">
        <v>1350</v>
      </c>
      <c r="W4510" s="5" t="s">
        <v>67</v>
      </c>
      <c r="X4510" s="5" t="s">
        <v>67</v>
      </c>
      <c r="Y4510" s="4">
        <v>497</v>
      </c>
      <c r="Z4510" s="4">
        <v>38</v>
      </c>
      <c r="AA4510" s="4">
        <v>38</v>
      </c>
      <c r="AB4510" s="4">
        <v>4</v>
      </c>
      <c r="AC4510" s="4">
        <v>4</v>
      </c>
      <c r="AD4510" s="4">
        <v>97</v>
      </c>
      <c r="AE4510" s="4">
        <v>97</v>
      </c>
      <c r="AF4510" s="4">
        <v>2</v>
      </c>
      <c r="AG4510" s="4">
        <v>2</v>
      </c>
      <c r="AH4510" s="4">
        <v>82</v>
      </c>
      <c r="AI4510" s="4">
        <v>82</v>
      </c>
      <c r="AJ4510" s="4">
        <v>14</v>
      </c>
      <c r="AK4510" s="4">
        <v>14</v>
      </c>
      <c r="AL4510" s="4">
        <v>45</v>
      </c>
      <c r="AM4510" s="4">
        <v>45</v>
      </c>
      <c r="AN4510" s="4">
        <v>0</v>
      </c>
      <c r="AO4510" s="4">
        <v>0</v>
      </c>
      <c r="AP4510" s="4">
        <v>20</v>
      </c>
      <c r="AQ4510" s="4">
        <v>20</v>
      </c>
      <c r="AR4510" s="3" t="s">
        <v>62</v>
      </c>
      <c r="AS4510" s="3" t="s">
        <v>62</v>
      </c>
      <c r="AT4510" s="3" t="s">
        <v>61</v>
      </c>
      <c r="AU4510" s="6" t="str">
        <f>HYPERLINK("http://catalog.hathitrust.org/Record/000230494","HathiTrust Record")</f>
        <v>HathiTrust Record</v>
      </c>
      <c r="AV4510" s="6" t="str">
        <f>HYPERLINK("http://mcgill.on.worldcat.org/oclc/3953557","Catalog Record")</f>
        <v>Catalog Record</v>
      </c>
      <c r="AW4510" s="6" t="str">
        <f>HYPERLINK("http://www.worldcat.org/oclc/3953557","WorldCat Record")</f>
        <v>WorldCat Record</v>
      </c>
      <c r="AX4510" s="3" t="s">
        <v>43435</v>
      </c>
      <c r="AY4510" s="3" t="s">
        <v>43436</v>
      </c>
      <c r="AZ4510" s="3" t="s">
        <v>43437</v>
      </c>
      <c r="BA4510" s="3" t="s">
        <v>43437</v>
      </c>
      <c r="BB4510" s="3" t="s">
        <v>43438</v>
      </c>
      <c r="BC4510" s="3" t="s">
        <v>102</v>
      </c>
      <c r="BD4510" s="3" t="s">
        <v>68</v>
      </c>
      <c r="BE4510" s="3" t="s">
        <v>43439</v>
      </c>
      <c r="BF4510" s="3" t="s">
        <v>43438</v>
      </c>
      <c r="BG4510" s="3" t="s">
        <v>43440</v>
      </c>
    </row>
    <row r="4511" spans="1:59" ht="58" x14ac:dyDescent="0.35">
      <c r="A4511" s="2" t="s">
        <v>59</v>
      </c>
      <c r="B4511" s="2" t="s">
        <v>60</v>
      </c>
      <c r="C4511" s="2" t="s">
        <v>43441</v>
      </c>
      <c r="D4511" s="2" t="s">
        <v>43442</v>
      </c>
      <c r="E4511" s="2" t="s">
        <v>43443</v>
      </c>
      <c r="G4511" s="3" t="s">
        <v>62</v>
      </c>
      <c r="I4511" s="3" t="s">
        <v>62</v>
      </c>
      <c r="J4511" s="3" t="s">
        <v>62</v>
      </c>
      <c r="K4511" s="3" t="s">
        <v>63</v>
      </c>
      <c r="L4511" s="2" t="s">
        <v>43444</v>
      </c>
      <c r="M4511" s="2" t="s">
        <v>43445</v>
      </c>
      <c r="N4511" s="3" t="s">
        <v>553</v>
      </c>
      <c r="P4511" s="3" t="s">
        <v>64</v>
      </c>
      <c r="R4511" s="3" t="s">
        <v>42369</v>
      </c>
      <c r="S4511" s="4">
        <v>3</v>
      </c>
      <c r="T4511" s="4">
        <v>3</v>
      </c>
      <c r="U4511" s="5" t="s">
        <v>10522</v>
      </c>
      <c r="V4511" s="5" t="s">
        <v>10522</v>
      </c>
      <c r="W4511" s="5" t="s">
        <v>67</v>
      </c>
      <c r="X4511" s="5" t="s">
        <v>67</v>
      </c>
      <c r="Y4511" s="4">
        <v>43</v>
      </c>
      <c r="Z4511" s="4">
        <v>1</v>
      </c>
      <c r="AA4511" s="4">
        <v>14</v>
      </c>
      <c r="AB4511" s="4">
        <v>1</v>
      </c>
      <c r="AC4511" s="4">
        <v>5</v>
      </c>
      <c r="AD4511" s="4">
        <v>5</v>
      </c>
      <c r="AE4511" s="4">
        <v>61</v>
      </c>
      <c r="AF4511" s="4">
        <v>0</v>
      </c>
      <c r="AG4511" s="4">
        <v>1</v>
      </c>
      <c r="AH4511" s="4">
        <v>5</v>
      </c>
      <c r="AI4511" s="4">
        <v>56</v>
      </c>
      <c r="AJ4511" s="4">
        <v>0</v>
      </c>
      <c r="AK4511" s="4">
        <v>4</v>
      </c>
      <c r="AL4511" s="4">
        <v>1</v>
      </c>
      <c r="AM4511" s="4">
        <v>32</v>
      </c>
      <c r="AN4511" s="4">
        <v>0</v>
      </c>
      <c r="AO4511" s="4">
        <v>0</v>
      </c>
      <c r="AP4511" s="4">
        <v>0</v>
      </c>
      <c r="AQ4511" s="4">
        <v>5</v>
      </c>
      <c r="AR4511" s="3" t="s">
        <v>62</v>
      </c>
      <c r="AS4511" s="3" t="s">
        <v>62</v>
      </c>
      <c r="AT4511" s="3" t="s">
        <v>62</v>
      </c>
      <c r="AV4511" s="6" t="str">
        <f>HYPERLINK("http://mcgill.on.worldcat.org/oclc/40397117","Catalog Record")</f>
        <v>Catalog Record</v>
      </c>
      <c r="AW4511" s="6" t="str">
        <f>HYPERLINK("http://www.worldcat.org/oclc/40397117","WorldCat Record")</f>
        <v>WorldCat Record</v>
      </c>
      <c r="AX4511" s="3" t="s">
        <v>43446</v>
      </c>
      <c r="AY4511" s="3" t="s">
        <v>43447</v>
      </c>
      <c r="AZ4511" s="3" t="s">
        <v>43448</v>
      </c>
      <c r="BA4511" s="3" t="s">
        <v>43448</v>
      </c>
      <c r="BB4511" s="3" t="s">
        <v>43449</v>
      </c>
      <c r="BC4511" s="3" t="s">
        <v>102</v>
      </c>
      <c r="BD4511" s="3" t="s">
        <v>68</v>
      </c>
      <c r="BE4511" s="3" t="s">
        <v>43450</v>
      </c>
      <c r="BF4511" s="3" t="s">
        <v>43449</v>
      </c>
      <c r="BG4511" s="3" t="s">
        <v>43451</v>
      </c>
    </row>
    <row r="4512" spans="1:59" ht="58" x14ac:dyDescent="0.35">
      <c r="A4512" s="2" t="s">
        <v>59</v>
      </c>
      <c r="B4512" s="2" t="s">
        <v>60</v>
      </c>
      <c r="C4512" s="2" t="s">
        <v>43452</v>
      </c>
      <c r="D4512" s="2" t="s">
        <v>43453</v>
      </c>
      <c r="E4512" s="2" t="s">
        <v>43454</v>
      </c>
      <c r="G4512" s="3" t="s">
        <v>62</v>
      </c>
      <c r="I4512" s="3" t="s">
        <v>61</v>
      </c>
      <c r="J4512" s="3" t="s">
        <v>62</v>
      </c>
      <c r="K4512" s="3" t="s">
        <v>63</v>
      </c>
      <c r="L4512" s="2" t="s">
        <v>43455</v>
      </c>
      <c r="M4512" s="2" t="s">
        <v>43456</v>
      </c>
      <c r="N4512" s="3" t="s">
        <v>396</v>
      </c>
      <c r="P4512" s="3" t="s">
        <v>64</v>
      </c>
      <c r="R4512" s="3" t="s">
        <v>42369</v>
      </c>
      <c r="S4512" s="4">
        <v>10</v>
      </c>
      <c r="T4512" s="4">
        <v>19</v>
      </c>
      <c r="U4512" s="5" t="s">
        <v>41489</v>
      </c>
      <c r="V4512" s="5" t="s">
        <v>33394</v>
      </c>
      <c r="W4512" s="5" t="s">
        <v>67</v>
      </c>
      <c r="X4512" s="5" t="s">
        <v>67</v>
      </c>
      <c r="Y4512" s="4">
        <v>1002</v>
      </c>
      <c r="Z4512" s="4">
        <v>50</v>
      </c>
      <c r="AA4512" s="4">
        <v>63</v>
      </c>
      <c r="AB4512" s="4">
        <v>3</v>
      </c>
      <c r="AC4512" s="4">
        <v>8</v>
      </c>
      <c r="AD4512" s="4">
        <v>131</v>
      </c>
      <c r="AE4512" s="4">
        <v>140</v>
      </c>
      <c r="AF4512" s="4">
        <v>1</v>
      </c>
      <c r="AG4512" s="4">
        <v>4</v>
      </c>
      <c r="AH4512" s="4">
        <v>103</v>
      </c>
      <c r="AI4512" s="4">
        <v>108</v>
      </c>
      <c r="AJ4512" s="4">
        <v>18</v>
      </c>
      <c r="AK4512" s="4">
        <v>23</v>
      </c>
      <c r="AL4512" s="4">
        <v>53</v>
      </c>
      <c r="AM4512" s="4">
        <v>54</v>
      </c>
      <c r="AN4512" s="4">
        <v>0</v>
      </c>
      <c r="AO4512" s="4">
        <v>0</v>
      </c>
      <c r="AP4512" s="4">
        <v>34</v>
      </c>
      <c r="AQ4512" s="4">
        <v>38</v>
      </c>
      <c r="AR4512" s="3" t="s">
        <v>62</v>
      </c>
      <c r="AS4512" s="3" t="s">
        <v>62</v>
      </c>
      <c r="AT4512" s="3" t="s">
        <v>62</v>
      </c>
      <c r="AV4512" s="6" t="str">
        <f>HYPERLINK("http://mcgill.on.worldcat.org/oclc/10753353","Catalog Record")</f>
        <v>Catalog Record</v>
      </c>
      <c r="AW4512" s="6" t="str">
        <f>HYPERLINK("http://www.worldcat.org/oclc/10753353","WorldCat Record")</f>
        <v>WorldCat Record</v>
      </c>
      <c r="AX4512" s="3" t="s">
        <v>43457</v>
      </c>
      <c r="AY4512" s="3" t="s">
        <v>43458</v>
      </c>
      <c r="AZ4512" s="3" t="s">
        <v>43459</v>
      </c>
      <c r="BA4512" s="3" t="s">
        <v>43459</v>
      </c>
      <c r="BB4512" s="3" t="s">
        <v>43460</v>
      </c>
      <c r="BC4512" s="3" t="s">
        <v>102</v>
      </c>
      <c r="BD4512" s="3" t="s">
        <v>68</v>
      </c>
      <c r="BE4512" s="3" t="s">
        <v>43461</v>
      </c>
      <c r="BF4512" s="3" t="s">
        <v>43460</v>
      </c>
      <c r="BG4512" s="3" t="s">
        <v>43462</v>
      </c>
    </row>
    <row r="4513" spans="1:59" ht="58" x14ac:dyDescent="0.35">
      <c r="A4513" s="2" t="s">
        <v>89</v>
      </c>
      <c r="B4513" s="2" t="s">
        <v>90</v>
      </c>
      <c r="C4513" s="2" t="s">
        <v>43463</v>
      </c>
      <c r="D4513" s="2" t="s">
        <v>43464</v>
      </c>
      <c r="E4513" s="2" t="s">
        <v>43465</v>
      </c>
      <c r="G4513" s="3" t="s">
        <v>62</v>
      </c>
      <c r="I4513" s="3" t="s">
        <v>62</v>
      </c>
      <c r="J4513" s="3" t="s">
        <v>61</v>
      </c>
      <c r="K4513" s="3" t="s">
        <v>63</v>
      </c>
      <c r="L4513" s="2" t="s">
        <v>43306</v>
      </c>
      <c r="M4513" s="2" t="s">
        <v>43466</v>
      </c>
      <c r="N4513" s="3" t="s">
        <v>809</v>
      </c>
      <c r="O4513" s="2" t="s">
        <v>43467</v>
      </c>
      <c r="P4513" s="3" t="s">
        <v>64</v>
      </c>
      <c r="R4513" s="3" t="s">
        <v>42369</v>
      </c>
      <c r="S4513" s="4">
        <v>7</v>
      </c>
      <c r="T4513" s="4">
        <v>7</v>
      </c>
      <c r="U4513" s="5" t="s">
        <v>6726</v>
      </c>
      <c r="V4513" s="5" t="s">
        <v>6726</v>
      </c>
      <c r="W4513" s="5" t="s">
        <v>67</v>
      </c>
      <c r="X4513" s="5" t="s">
        <v>67</v>
      </c>
      <c r="Y4513" s="4">
        <v>8</v>
      </c>
      <c r="Z4513" s="4">
        <v>2</v>
      </c>
      <c r="AA4513" s="4">
        <v>38</v>
      </c>
      <c r="AB4513" s="4">
        <v>1</v>
      </c>
      <c r="AC4513" s="4">
        <v>5</v>
      </c>
      <c r="AD4513" s="4">
        <v>2</v>
      </c>
      <c r="AE4513" s="4">
        <v>106</v>
      </c>
      <c r="AF4513" s="4">
        <v>0</v>
      </c>
      <c r="AG4513" s="4">
        <v>1</v>
      </c>
      <c r="AH4513" s="4">
        <v>1</v>
      </c>
      <c r="AI4513" s="4">
        <v>93</v>
      </c>
      <c r="AJ4513" s="4">
        <v>0</v>
      </c>
      <c r="AK4513" s="4">
        <v>12</v>
      </c>
      <c r="AL4513" s="4">
        <v>1</v>
      </c>
      <c r="AM4513" s="4">
        <v>49</v>
      </c>
      <c r="AN4513" s="4">
        <v>0</v>
      </c>
      <c r="AO4513" s="4">
        <v>5</v>
      </c>
      <c r="AP4513" s="4">
        <v>1</v>
      </c>
      <c r="AQ4513" s="4">
        <v>18</v>
      </c>
      <c r="AR4513" s="3" t="s">
        <v>62</v>
      </c>
      <c r="AS4513" s="3" t="s">
        <v>62</v>
      </c>
      <c r="AT4513" s="3" t="s">
        <v>62</v>
      </c>
      <c r="AV4513" s="6" t="str">
        <f>HYPERLINK("http://mcgill.on.worldcat.org/oclc/221769645","Catalog Record")</f>
        <v>Catalog Record</v>
      </c>
      <c r="AW4513" s="6" t="str">
        <f>HYPERLINK("http://www.worldcat.org/oclc/221769645","WorldCat Record")</f>
        <v>WorldCat Record</v>
      </c>
      <c r="AX4513" s="3" t="s">
        <v>43468</v>
      </c>
      <c r="AY4513" s="3" t="s">
        <v>43469</v>
      </c>
      <c r="AZ4513" s="3" t="s">
        <v>43470</v>
      </c>
      <c r="BA4513" s="3" t="s">
        <v>43470</v>
      </c>
      <c r="BB4513" s="3" t="s">
        <v>43471</v>
      </c>
      <c r="BC4513" s="3" t="s">
        <v>102</v>
      </c>
      <c r="BD4513" s="3" t="s">
        <v>68</v>
      </c>
      <c r="BF4513" s="3" t="s">
        <v>43471</v>
      </c>
      <c r="BG4513" s="3" t="s">
        <v>43472</v>
      </c>
    </row>
    <row r="4514" spans="1:59" ht="58" x14ac:dyDescent="0.35">
      <c r="A4514" s="2" t="s">
        <v>59</v>
      </c>
      <c r="B4514" s="2" t="s">
        <v>60</v>
      </c>
      <c r="C4514" s="2" t="s">
        <v>43473</v>
      </c>
      <c r="D4514" s="2" t="s">
        <v>43474</v>
      </c>
      <c r="E4514" s="2" t="s">
        <v>43475</v>
      </c>
      <c r="G4514" s="3" t="s">
        <v>62</v>
      </c>
      <c r="I4514" s="3" t="s">
        <v>61</v>
      </c>
      <c r="J4514" s="3" t="s">
        <v>61</v>
      </c>
      <c r="K4514" s="3" t="s">
        <v>63</v>
      </c>
      <c r="L4514" s="2" t="s">
        <v>43306</v>
      </c>
      <c r="M4514" s="2" t="s">
        <v>43476</v>
      </c>
      <c r="N4514" s="3" t="s">
        <v>13197</v>
      </c>
      <c r="P4514" s="3" t="s">
        <v>64</v>
      </c>
      <c r="R4514" s="3" t="s">
        <v>42369</v>
      </c>
      <c r="S4514" s="4">
        <v>2</v>
      </c>
      <c r="T4514" s="4">
        <v>4</v>
      </c>
      <c r="U4514" s="5" t="s">
        <v>21936</v>
      </c>
      <c r="V4514" s="5" t="s">
        <v>21936</v>
      </c>
      <c r="W4514" s="5" t="s">
        <v>67</v>
      </c>
      <c r="X4514" s="5" t="s">
        <v>67</v>
      </c>
      <c r="Y4514" s="4">
        <v>206</v>
      </c>
      <c r="Z4514" s="4">
        <v>9</v>
      </c>
      <c r="AA4514" s="4">
        <v>34</v>
      </c>
      <c r="AB4514" s="4">
        <v>1</v>
      </c>
      <c r="AC4514" s="4">
        <v>5</v>
      </c>
      <c r="AD4514" s="4">
        <v>52</v>
      </c>
      <c r="AE4514" s="4">
        <v>86</v>
      </c>
      <c r="AF4514" s="4">
        <v>0</v>
      </c>
      <c r="AG4514" s="4">
        <v>0</v>
      </c>
      <c r="AH4514" s="4">
        <v>47</v>
      </c>
      <c r="AI4514" s="4">
        <v>73</v>
      </c>
      <c r="AJ4514" s="4">
        <v>5</v>
      </c>
      <c r="AK4514" s="4">
        <v>13</v>
      </c>
      <c r="AL4514" s="4">
        <v>26</v>
      </c>
      <c r="AM4514" s="4">
        <v>41</v>
      </c>
      <c r="AN4514" s="4">
        <v>0</v>
      </c>
      <c r="AO4514" s="4">
        <v>0</v>
      </c>
      <c r="AP4514" s="4">
        <v>6</v>
      </c>
      <c r="AQ4514" s="4">
        <v>18</v>
      </c>
      <c r="AR4514" s="3" t="s">
        <v>62</v>
      </c>
      <c r="AS4514" s="3" t="s">
        <v>62</v>
      </c>
      <c r="AT4514" s="3" t="s">
        <v>62</v>
      </c>
      <c r="AU4514" s="6" t="str">
        <f>HYPERLINK("http://catalog.hathitrust.org/Record/007657416","HathiTrust Record")</f>
        <v>HathiTrust Record</v>
      </c>
      <c r="AV4514" s="6" t="str">
        <f>HYPERLINK("http://mcgill.on.worldcat.org/oclc/1548980","Catalog Record")</f>
        <v>Catalog Record</v>
      </c>
      <c r="AW4514" s="6" t="str">
        <f>HYPERLINK("http://www.worldcat.org/oclc/1548980","WorldCat Record")</f>
        <v>WorldCat Record</v>
      </c>
      <c r="AX4514" s="3" t="s">
        <v>43477</v>
      </c>
      <c r="AY4514" s="3" t="s">
        <v>43478</v>
      </c>
      <c r="AZ4514" s="3" t="s">
        <v>43479</v>
      </c>
      <c r="BA4514" s="3" t="s">
        <v>43479</v>
      </c>
      <c r="BB4514" s="3" t="s">
        <v>43480</v>
      </c>
      <c r="BC4514" s="3" t="s">
        <v>102</v>
      </c>
      <c r="BD4514" s="3" t="s">
        <v>68</v>
      </c>
      <c r="BF4514" s="3" t="s">
        <v>43480</v>
      </c>
      <c r="BG4514" s="3" t="s">
        <v>43481</v>
      </c>
    </row>
    <row r="4515" spans="1:59" ht="58" x14ac:dyDescent="0.35">
      <c r="A4515" s="2" t="s">
        <v>89</v>
      </c>
      <c r="B4515" s="2" t="s">
        <v>90</v>
      </c>
      <c r="C4515" s="2" t="s">
        <v>43482</v>
      </c>
      <c r="D4515" s="2" t="s">
        <v>43483</v>
      </c>
      <c r="E4515" s="2" t="s">
        <v>43484</v>
      </c>
      <c r="G4515" s="3" t="s">
        <v>62</v>
      </c>
      <c r="I4515" s="3" t="s">
        <v>61</v>
      </c>
      <c r="J4515" s="3" t="s">
        <v>62</v>
      </c>
      <c r="K4515" s="3" t="s">
        <v>63</v>
      </c>
      <c r="L4515" s="2" t="s">
        <v>43485</v>
      </c>
      <c r="M4515" s="2" t="s">
        <v>43486</v>
      </c>
      <c r="N4515" s="3" t="s">
        <v>1064</v>
      </c>
      <c r="P4515" s="3" t="s">
        <v>64</v>
      </c>
      <c r="R4515" s="3" t="s">
        <v>42369</v>
      </c>
      <c r="S4515" s="4">
        <v>7</v>
      </c>
      <c r="T4515" s="4">
        <v>31</v>
      </c>
      <c r="U4515" s="5" t="s">
        <v>43487</v>
      </c>
      <c r="V4515" s="5" t="s">
        <v>19000</v>
      </c>
      <c r="W4515" s="5" t="s">
        <v>67</v>
      </c>
      <c r="X4515" s="5" t="s">
        <v>67</v>
      </c>
      <c r="Y4515" s="4">
        <v>1694</v>
      </c>
      <c r="Z4515" s="4">
        <v>70</v>
      </c>
      <c r="AA4515" s="4">
        <v>78</v>
      </c>
      <c r="AB4515" s="4">
        <v>4</v>
      </c>
      <c r="AC4515" s="4">
        <v>10</v>
      </c>
      <c r="AD4515" s="4">
        <v>149</v>
      </c>
      <c r="AE4515" s="4">
        <v>153</v>
      </c>
      <c r="AF4515" s="4">
        <v>1</v>
      </c>
      <c r="AG4515" s="4">
        <v>4</v>
      </c>
      <c r="AH4515" s="4">
        <v>111</v>
      </c>
      <c r="AI4515" s="4">
        <v>112</v>
      </c>
      <c r="AJ4515" s="4">
        <v>24</v>
      </c>
      <c r="AK4515" s="4">
        <v>27</v>
      </c>
      <c r="AL4515" s="4">
        <v>57</v>
      </c>
      <c r="AM4515" s="4">
        <v>57</v>
      </c>
      <c r="AN4515" s="4">
        <v>0</v>
      </c>
      <c r="AO4515" s="4">
        <v>0</v>
      </c>
      <c r="AP4515" s="4">
        <v>44</v>
      </c>
      <c r="AQ4515" s="4">
        <v>47</v>
      </c>
      <c r="AR4515" s="3" t="s">
        <v>62</v>
      </c>
      <c r="AS4515" s="3" t="s">
        <v>62</v>
      </c>
      <c r="AT4515" s="3" t="s">
        <v>61</v>
      </c>
      <c r="AU4515" s="6" t="str">
        <f>HYPERLINK("http://catalog.hathitrust.org/Record/001500149","HathiTrust Record")</f>
        <v>HathiTrust Record</v>
      </c>
      <c r="AV4515" s="6" t="str">
        <f>HYPERLINK("http://mcgill.on.worldcat.org/oclc/199513","Catalog Record")</f>
        <v>Catalog Record</v>
      </c>
      <c r="AW4515" s="6" t="str">
        <f>HYPERLINK("http://www.worldcat.org/oclc/199513","WorldCat Record")</f>
        <v>WorldCat Record</v>
      </c>
      <c r="AX4515" s="3" t="s">
        <v>43488</v>
      </c>
      <c r="AY4515" s="3" t="s">
        <v>43489</v>
      </c>
      <c r="AZ4515" s="3" t="s">
        <v>43490</v>
      </c>
      <c r="BA4515" s="3" t="s">
        <v>43490</v>
      </c>
      <c r="BB4515" s="3" t="s">
        <v>43491</v>
      </c>
      <c r="BC4515" s="3" t="s">
        <v>102</v>
      </c>
      <c r="BD4515" s="3" t="s">
        <v>68</v>
      </c>
      <c r="BE4515" s="3" t="s">
        <v>43492</v>
      </c>
      <c r="BF4515" s="3" t="s">
        <v>43491</v>
      </c>
      <c r="BG4515" s="3" t="s">
        <v>43493</v>
      </c>
    </row>
    <row r="4516" spans="1:59" ht="58" x14ac:dyDescent="0.35">
      <c r="A4516" s="2" t="s">
        <v>59</v>
      </c>
      <c r="B4516" s="2" t="s">
        <v>60</v>
      </c>
      <c r="C4516" s="2" t="s">
        <v>43494</v>
      </c>
      <c r="D4516" s="2" t="s">
        <v>43495</v>
      </c>
      <c r="E4516" s="2" t="s">
        <v>43496</v>
      </c>
      <c r="G4516" s="3" t="s">
        <v>62</v>
      </c>
      <c r="I4516" s="3" t="s">
        <v>61</v>
      </c>
      <c r="J4516" s="3" t="s">
        <v>62</v>
      </c>
      <c r="K4516" s="3" t="s">
        <v>63</v>
      </c>
      <c r="L4516" s="2" t="s">
        <v>43497</v>
      </c>
      <c r="M4516" s="2" t="s">
        <v>43498</v>
      </c>
      <c r="N4516" s="3" t="s">
        <v>106</v>
      </c>
      <c r="P4516" s="3" t="s">
        <v>64</v>
      </c>
      <c r="Q4516" s="2" t="s">
        <v>43499</v>
      </c>
      <c r="R4516" s="3" t="s">
        <v>42369</v>
      </c>
      <c r="S4516" s="4">
        <v>5</v>
      </c>
      <c r="T4516" s="4">
        <v>5</v>
      </c>
      <c r="U4516" s="5" t="s">
        <v>37829</v>
      </c>
      <c r="V4516" s="5" t="s">
        <v>37829</v>
      </c>
      <c r="W4516" s="5" t="s">
        <v>67</v>
      </c>
      <c r="X4516" s="5" t="s">
        <v>67</v>
      </c>
      <c r="Y4516" s="4">
        <v>179</v>
      </c>
      <c r="Z4516" s="4">
        <v>13</v>
      </c>
      <c r="AA4516" s="4">
        <v>15</v>
      </c>
      <c r="AB4516" s="4">
        <v>2</v>
      </c>
      <c r="AC4516" s="4">
        <v>4</v>
      </c>
      <c r="AD4516" s="4">
        <v>64</v>
      </c>
      <c r="AE4516" s="4">
        <v>66</v>
      </c>
      <c r="AF4516" s="4">
        <v>0</v>
      </c>
      <c r="AG4516" s="4">
        <v>2</v>
      </c>
      <c r="AH4516" s="4">
        <v>60</v>
      </c>
      <c r="AI4516" s="4">
        <v>61</v>
      </c>
      <c r="AJ4516" s="4">
        <v>7</v>
      </c>
      <c r="AK4516" s="4">
        <v>9</v>
      </c>
      <c r="AL4516" s="4">
        <v>36</v>
      </c>
      <c r="AM4516" s="4">
        <v>36</v>
      </c>
      <c r="AN4516" s="4">
        <v>0</v>
      </c>
      <c r="AO4516" s="4">
        <v>0</v>
      </c>
      <c r="AP4516" s="4">
        <v>9</v>
      </c>
      <c r="AQ4516" s="4">
        <v>10</v>
      </c>
      <c r="AR4516" s="3" t="s">
        <v>62</v>
      </c>
      <c r="AS4516" s="3" t="s">
        <v>62</v>
      </c>
      <c r="AT4516" s="3" t="s">
        <v>62</v>
      </c>
      <c r="AV4516" s="6" t="str">
        <f>HYPERLINK("http://mcgill.on.worldcat.org/oclc/174596","Catalog Record")</f>
        <v>Catalog Record</v>
      </c>
      <c r="AW4516" s="6" t="str">
        <f>HYPERLINK("http://www.worldcat.org/oclc/174596","WorldCat Record")</f>
        <v>WorldCat Record</v>
      </c>
      <c r="AX4516" s="3" t="s">
        <v>43500</v>
      </c>
      <c r="AY4516" s="3" t="s">
        <v>43501</v>
      </c>
      <c r="AZ4516" s="3" t="s">
        <v>43502</v>
      </c>
      <c r="BA4516" s="3" t="s">
        <v>43502</v>
      </c>
      <c r="BB4516" s="3" t="s">
        <v>43503</v>
      </c>
      <c r="BC4516" s="3" t="s">
        <v>102</v>
      </c>
      <c r="BD4516" s="3" t="s">
        <v>6923</v>
      </c>
      <c r="BF4516" s="3" t="s">
        <v>43503</v>
      </c>
      <c r="BG4516" s="3" t="s">
        <v>43504</v>
      </c>
    </row>
    <row r="4517" spans="1:59" ht="58" x14ac:dyDescent="0.35">
      <c r="A4517" s="2" t="s">
        <v>59</v>
      </c>
      <c r="B4517" s="2" t="s">
        <v>60</v>
      </c>
      <c r="C4517" s="2" t="s">
        <v>43505</v>
      </c>
      <c r="D4517" s="2" t="s">
        <v>43506</v>
      </c>
      <c r="E4517" s="2" t="s">
        <v>43507</v>
      </c>
      <c r="G4517" s="3" t="s">
        <v>62</v>
      </c>
      <c r="I4517" s="3" t="s">
        <v>61</v>
      </c>
      <c r="J4517" s="3" t="s">
        <v>62</v>
      </c>
      <c r="K4517" s="3" t="s">
        <v>63</v>
      </c>
      <c r="L4517" s="2" t="s">
        <v>43508</v>
      </c>
      <c r="M4517" s="2" t="s">
        <v>43509</v>
      </c>
      <c r="N4517" s="3" t="s">
        <v>78</v>
      </c>
      <c r="P4517" s="3" t="s">
        <v>64</v>
      </c>
      <c r="R4517" s="3" t="s">
        <v>42369</v>
      </c>
      <c r="S4517" s="4">
        <v>4</v>
      </c>
      <c r="T4517" s="4">
        <v>4</v>
      </c>
      <c r="U4517" s="5" t="s">
        <v>35132</v>
      </c>
      <c r="V4517" s="5" t="s">
        <v>35132</v>
      </c>
      <c r="W4517" s="5" t="s">
        <v>67</v>
      </c>
      <c r="X4517" s="5" t="s">
        <v>67</v>
      </c>
      <c r="Y4517" s="4">
        <v>69</v>
      </c>
      <c r="Z4517" s="4">
        <v>4</v>
      </c>
      <c r="AA4517" s="4">
        <v>4</v>
      </c>
      <c r="AB4517" s="4">
        <v>2</v>
      </c>
      <c r="AC4517" s="4">
        <v>2</v>
      </c>
      <c r="AD4517" s="4">
        <v>21</v>
      </c>
      <c r="AE4517" s="4">
        <v>21</v>
      </c>
      <c r="AF4517" s="4">
        <v>0</v>
      </c>
      <c r="AG4517" s="4">
        <v>0</v>
      </c>
      <c r="AH4517" s="4">
        <v>19</v>
      </c>
      <c r="AI4517" s="4">
        <v>19</v>
      </c>
      <c r="AJ4517" s="4">
        <v>1</v>
      </c>
      <c r="AK4517" s="4">
        <v>1</v>
      </c>
      <c r="AL4517" s="4">
        <v>12</v>
      </c>
      <c r="AM4517" s="4">
        <v>12</v>
      </c>
      <c r="AN4517" s="4">
        <v>0</v>
      </c>
      <c r="AO4517" s="4">
        <v>0</v>
      </c>
      <c r="AP4517" s="4">
        <v>1</v>
      </c>
      <c r="AQ4517" s="4">
        <v>1</v>
      </c>
      <c r="AR4517" s="3" t="s">
        <v>62</v>
      </c>
      <c r="AS4517" s="3" t="s">
        <v>62</v>
      </c>
      <c r="AT4517" s="3" t="s">
        <v>61</v>
      </c>
      <c r="AU4517" s="6" t="str">
        <f>HYPERLINK("http://catalog.hathitrust.org/Record/009167883","HathiTrust Record")</f>
        <v>HathiTrust Record</v>
      </c>
      <c r="AV4517" s="6" t="str">
        <f>HYPERLINK("http://mcgill.on.worldcat.org/oclc/4532210","Catalog Record")</f>
        <v>Catalog Record</v>
      </c>
      <c r="AW4517" s="6" t="str">
        <f>HYPERLINK("http://www.worldcat.org/oclc/4532210","WorldCat Record")</f>
        <v>WorldCat Record</v>
      </c>
      <c r="AX4517" s="3" t="s">
        <v>43510</v>
      </c>
      <c r="AY4517" s="3" t="s">
        <v>43511</v>
      </c>
      <c r="AZ4517" s="3" t="s">
        <v>43512</v>
      </c>
      <c r="BA4517" s="3" t="s">
        <v>43512</v>
      </c>
      <c r="BB4517" s="3" t="s">
        <v>43513</v>
      </c>
      <c r="BC4517" s="3" t="s">
        <v>102</v>
      </c>
      <c r="BD4517" s="3" t="s">
        <v>68</v>
      </c>
      <c r="BF4517" s="3" t="s">
        <v>43513</v>
      </c>
      <c r="BG4517" s="3" t="s">
        <v>43514</v>
      </c>
    </row>
    <row r="4518" spans="1:59" ht="58" x14ac:dyDescent="0.35">
      <c r="A4518" s="2" t="s">
        <v>89</v>
      </c>
      <c r="B4518" s="2" t="s">
        <v>90</v>
      </c>
      <c r="C4518" s="2" t="s">
        <v>43515</v>
      </c>
      <c r="D4518" s="2" t="s">
        <v>43516</v>
      </c>
      <c r="E4518" s="2" t="s">
        <v>43517</v>
      </c>
      <c r="G4518" s="3" t="s">
        <v>62</v>
      </c>
      <c r="I4518" s="3" t="s">
        <v>62</v>
      </c>
      <c r="J4518" s="3" t="s">
        <v>62</v>
      </c>
      <c r="K4518" s="3" t="s">
        <v>63</v>
      </c>
      <c r="L4518" s="2" t="s">
        <v>43518</v>
      </c>
      <c r="M4518" s="2" t="s">
        <v>43519</v>
      </c>
      <c r="N4518" s="3" t="s">
        <v>684</v>
      </c>
      <c r="P4518" s="3" t="s">
        <v>64</v>
      </c>
      <c r="Q4518" s="2" t="s">
        <v>43520</v>
      </c>
      <c r="R4518" s="3" t="s">
        <v>42369</v>
      </c>
      <c r="S4518" s="4">
        <v>0</v>
      </c>
      <c r="T4518" s="4">
        <v>0</v>
      </c>
      <c r="W4518" s="5" t="s">
        <v>67</v>
      </c>
      <c r="X4518" s="5" t="s">
        <v>67</v>
      </c>
      <c r="Y4518" s="4">
        <v>1</v>
      </c>
      <c r="Z4518" s="4">
        <v>1</v>
      </c>
      <c r="AA4518" s="4">
        <v>1</v>
      </c>
      <c r="AB4518" s="4">
        <v>1</v>
      </c>
      <c r="AC4518" s="4">
        <v>1</v>
      </c>
      <c r="AD4518" s="4">
        <v>0</v>
      </c>
      <c r="AE4518" s="4">
        <v>0</v>
      </c>
      <c r="AF4518" s="4">
        <v>0</v>
      </c>
      <c r="AG4518" s="4">
        <v>0</v>
      </c>
      <c r="AH4518" s="4">
        <v>0</v>
      </c>
      <c r="AI4518" s="4">
        <v>0</v>
      </c>
      <c r="AJ4518" s="4">
        <v>0</v>
      </c>
      <c r="AK4518" s="4">
        <v>0</v>
      </c>
      <c r="AL4518" s="4">
        <v>0</v>
      </c>
      <c r="AM4518" s="4">
        <v>0</v>
      </c>
      <c r="AN4518" s="4">
        <v>0</v>
      </c>
      <c r="AO4518" s="4">
        <v>0</v>
      </c>
      <c r="AP4518" s="4">
        <v>0</v>
      </c>
      <c r="AQ4518" s="4">
        <v>0</v>
      </c>
      <c r="AR4518" s="3" t="s">
        <v>62</v>
      </c>
      <c r="AS4518" s="3" t="s">
        <v>62</v>
      </c>
      <c r="AT4518" s="3" t="s">
        <v>62</v>
      </c>
      <c r="AV4518" s="6" t="str">
        <f>HYPERLINK("http://mcgill.on.worldcat.org/oclc/857766628","Catalog Record")</f>
        <v>Catalog Record</v>
      </c>
      <c r="AW4518" s="6" t="str">
        <f>HYPERLINK("http://www.worldcat.org/oclc/857766628","WorldCat Record")</f>
        <v>WorldCat Record</v>
      </c>
      <c r="AX4518" s="3" t="s">
        <v>43521</v>
      </c>
      <c r="AY4518" s="3" t="s">
        <v>43522</v>
      </c>
      <c r="AZ4518" s="3" t="s">
        <v>43523</v>
      </c>
      <c r="BA4518" s="3" t="s">
        <v>43523</v>
      </c>
      <c r="BB4518" s="3" t="s">
        <v>43524</v>
      </c>
      <c r="BC4518" s="3" t="s">
        <v>102</v>
      </c>
      <c r="BD4518" s="3" t="s">
        <v>68</v>
      </c>
      <c r="BE4518" s="3" t="s">
        <v>43525</v>
      </c>
      <c r="BF4518" s="3" t="s">
        <v>43524</v>
      </c>
      <c r="BG4518" s="3" t="s">
        <v>43526</v>
      </c>
    </row>
    <row r="4519" spans="1:59" ht="58" x14ac:dyDescent="0.35">
      <c r="A4519" s="2" t="s">
        <v>89</v>
      </c>
      <c r="B4519" s="2" t="s">
        <v>90</v>
      </c>
      <c r="C4519" s="2" t="s">
        <v>43527</v>
      </c>
      <c r="D4519" s="2" t="s">
        <v>43528</v>
      </c>
      <c r="E4519" s="2" t="s">
        <v>43529</v>
      </c>
      <c r="G4519" s="3" t="s">
        <v>62</v>
      </c>
      <c r="I4519" s="3" t="s">
        <v>62</v>
      </c>
      <c r="J4519" s="3" t="s">
        <v>62</v>
      </c>
      <c r="K4519" s="3" t="s">
        <v>63</v>
      </c>
      <c r="L4519" s="2" t="s">
        <v>43530</v>
      </c>
      <c r="M4519" s="2" t="s">
        <v>43519</v>
      </c>
      <c r="N4519" s="3" t="s">
        <v>684</v>
      </c>
      <c r="P4519" s="3" t="s">
        <v>64</v>
      </c>
      <c r="Q4519" s="2" t="s">
        <v>43520</v>
      </c>
      <c r="R4519" s="3" t="s">
        <v>42369</v>
      </c>
      <c r="S4519" s="4">
        <v>0</v>
      </c>
      <c r="T4519" s="4">
        <v>0</v>
      </c>
      <c r="W4519" s="5" t="s">
        <v>67</v>
      </c>
      <c r="X4519" s="5" t="s">
        <v>67</v>
      </c>
      <c r="Y4519" s="4">
        <v>1</v>
      </c>
      <c r="Z4519" s="4">
        <v>1</v>
      </c>
      <c r="AA4519" s="4">
        <v>1</v>
      </c>
      <c r="AB4519" s="4">
        <v>1</v>
      </c>
      <c r="AC4519" s="4">
        <v>1</v>
      </c>
      <c r="AD4519" s="4">
        <v>0</v>
      </c>
      <c r="AE4519" s="4">
        <v>0</v>
      </c>
      <c r="AF4519" s="4">
        <v>0</v>
      </c>
      <c r="AG4519" s="4">
        <v>0</v>
      </c>
      <c r="AH4519" s="4">
        <v>0</v>
      </c>
      <c r="AI4519" s="4">
        <v>0</v>
      </c>
      <c r="AJ4519" s="4">
        <v>0</v>
      </c>
      <c r="AK4519" s="4">
        <v>0</v>
      </c>
      <c r="AL4519" s="4">
        <v>0</v>
      </c>
      <c r="AM4519" s="4">
        <v>0</v>
      </c>
      <c r="AN4519" s="4">
        <v>0</v>
      </c>
      <c r="AO4519" s="4">
        <v>0</v>
      </c>
      <c r="AP4519" s="4">
        <v>0</v>
      </c>
      <c r="AQ4519" s="4">
        <v>0</v>
      </c>
      <c r="AR4519" s="3" t="s">
        <v>62</v>
      </c>
      <c r="AS4519" s="3" t="s">
        <v>62</v>
      </c>
      <c r="AT4519" s="3" t="s">
        <v>62</v>
      </c>
      <c r="AV4519" s="6" t="str">
        <f>HYPERLINK("http://mcgill.on.worldcat.org/oclc/857766590","Catalog Record")</f>
        <v>Catalog Record</v>
      </c>
      <c r="AW4519" s="6" t="str">
        <f>HYPERLINK("http://www.worldcat.org/oclc/857766590","WorldCat Record")</f>
        <v>WorldCat Record</v>
      </c>
      <c r="AX4519" s="3" t="s">
        <v>43531</v>
      </c>
      <c r="AY4519" s="3" t="s">
        <v>43532</v>
      </c>
      <c r="AZ4519" s="3" t="s">
        <v>43533</v>
      </c>
      <c r="BA4519" s="3" t="s">
        <v>43533</v>
      </c>
      <c r="BB4519" s="3" t="s">
        <v>43534</v>
      </c>
      <c r="BC4519" s="3" t="s">
        <v>102</v>
      </c>
      <c r="BD4519" s="3" t="s">
        <v>68</v>
      </c>
      <c r="BE4519" s="3" t="s">
        <v>43535</v>
      </c>
      <c r="BF4519" s="3" t="s">
        <v>43534</v>
      </c>
      <c r="BG4519" s="3" t="s">
        <v>43536</v>
      </c>
    </row>
    <row r="4520" spans="1:59" ht="58" x14ac:dyDescent="0.35">
      <c r="A4520" s="2" t="s">
        <v>89</v>
      </c>
      <c r="B4520" s="2" t="s">
        <v>90</v>
      </c>
      <c r="C4520" s="2" t="s">
        <v>43537</v>
      </c>
      <c r="D4520" s="2" t="s">
        <v>43538</v>
      </c>
      <c r="E4520" s="2" t="s">
        <v>43539</v>
      </c>
      <c r="G4520" s="3" t="s">
        <v>62</v>
      </c>
      <c r="I4520" s="3" t="s">
        <v>62</v>
      </c>
      <c r="J4520" s="3" t="s">
        <v>62</v>
      </c>
      <c r="K4520" s="3" t="s">
        <v>63</v>
      </c>
      <c r="L4520" s="2" t="s">
        <v>43540</v>
      </c>
      <c r="M4520" s="2" t="s">
        <v>43519</v>
      </c>
      <c r="N4520" s="3" t="s">
        <v>684</v>
      </c>
      <c r="P4520" s="3" t="s">
        <v>64</v>
      </c>
      <c r="Q4520" s="2" t="s">
        <v>43520</v>
      </c>
      <c r="R4520" s="3" t="s">
        <v>42369</v>
      </c>
      <c r="S4520" s="4">
        <v>0</v>
      </c>
      <c r="T4520" s="4">
        <v>0</v>
      </c>
      <c r="W4520" s="5" t="s">
        <v>67</v>
      </c>
      <c r="X4520" s="5" t="s">
        <v>67</v>
      </c>
      <c r="Y4520" s="4">
        <v>2</v>
      </c>
      <c r="Z4520" s="4">
        <v>1</v>
      </c>
      <c r="AA4520" s="4">
        <v>1</v>
      </c>
      <c r="AB4520" s="4">
        <v>1</v>
      </c>
      <c r="AC4520" s="4">
        <v>1</v>
      </c>
      <c r="AD4520" s="4">
        <v>0</v>
      </c>
      <c r="AE4520" s="4">
        <v>0</v>
      </c>
      <c r="AF4520" s="4">
        <v>0</v>
      </c>
      <c r="AG4520" s="4">
        <v>0</v>
      </c>
      <c r="AH4520" s="4">
        <v>0</v>
      </c>
      <c r="AI4520" s="4">
        <v>0</v>
      </c>
      <c r="AJ4520" s="4">
        <v>0</v>
      </c>
      <c r="AK4520" s="4">
        <v>0</v>
      </c>
      <c r="AL4520" s="4">
        <v>0</v>
      </c>
      <c r="AM4520" s="4">
        <v>0</v>
      </c>
      <c r="AN4520" s="4">
        <v>0</v>
      </c>
      <c r="AO4520" s="4">
        <v>0</v>
      </c>
      <c r="AP4520" s="4">
        <v>0</v>
      </c>
      <c r="AQ4520" s="4">
        <v>0</v>
      </c>
      <c r="AR4520" s="3" t="s">
        <v>62</v>
      </c>
      <c r="AS4520" s="3" t="s">
        <v>62</v>
      </c>
      <c r="AT4520" s="3" t="s">
        <v>62</v>
      </c>
      <c r="AV4520" s="6" t="str">
        <f>HYPERLINK("http://mcgill.on.worldcat.org/oclc/857766388","Catalog Record")</f>
        <v>Catalog Record</v>
      </c>
      <c r="AW4520" s="6" t="str">
        <f>HYPERLINK("http://www.worldcat.org/oclc/857766388","WorldCat Record")</f>
        <v>WorldCat Record</v>
      </c>
      <c r="AX4520" s="3" t="s">
        <v>43541</v>
      </c>
      <c r="AY4520" s="3" t="s">
        <v>43542</v>
      </c>
      <c r="AZ4520" s="3" t="s">
        <v>43543</v>
      </c>
      <c r="BA4520" s="3" t="s">
        <v>43543</v>
      </c>
      <c r="BB4520" s="3" t="s">
        <v>43544</v>
      </c>
      <c r="BC4520" s="3" t="s">
        <v>102</v>
      </c>
      <c r="BD4520" s="3" t="s">
        <v>68</v>
      </c>
      <c r="BE4520" s="3" t="s">
        <v>43545</v>
      </c>
      <c r="BF4520" s="3" t="s">
        <v>43544</v>
      </c>
      <c r="BG4520" s="3" t="s">
        <v>43546</v>
      </c>
    </row>
    <row r="4521" spans="1:59" ht="58" x14ac:dyDescent="0.35">
      <c r="A4521" s="2" t="s">
        <v>59</v>
      </c>
      <c r="B4521" s="2" t="s">
        <v>60</v>
      </c>
      <c r="C4521" s="2" t="s">
        <v>43547</v>
      </c>
      <c r="D4521" s="2" t="s">
        <v>43548</v>
      </c>
      <c r="E4521" s="2" t="s">
        <v>43549</v>
      </c>
      <c r="F4521" s="3" t="s">
        <v>2217</v>
      </c>
      <c r="G4521" s="3" t="s">
        <v>61</v>
      </c>
      <c r="I4521" s="3" t="s">
        <v>62</v>
      </c>
      <c r="J4521" s="3" t="s">
        <v>61</v>
      </c>
      <c r="K4521" s="3" t="s">
        <v>63</v>
      </c>
      <c r="L4521" s="2" t="s">
        <v>43550</v>
      </c>
      <c r="M4521" s="2" t="s">
        <v>43551</v>
      </c>
      <c r="N4521" s="3" t="s">
        <v>6048</v>
      </c>
      <c r="P4521" s="3" t="s">
        <v>64</v>
      </c>
      <c r="R4521" s="3" t="s">
        <v>42369</v>
      </c>
      <c r="S4521" s="4">
        <v>1</v>
      </c>
      <c r="T4521" s="4">
        <v>1</v>
      </c>
      <c r="U4521" s="5" t="s">
        <v>31717</v>
      </c>
      <c r="V4521" s="5" t="s">
        <v>31717</v>
      </c>
      <c r="W4521" s="5" t="s">
        <v>67</v>
      </c>
      <c r="X4521" s="5" t="s">
        <v>67</v>
      </c>
      <c r="Y4521" s="4">
        <v>62</v>
      </c>
      <c r="Z4521" s="4">
        <v>1</v>
      </c>
      <c r="AA4521" s="4">
        <v>5</v>
      </c>
      <c r="AB4521" s="4">
        <v>1</v>
      </c>
      <c r="AC4521" s="4">
        <v>3</v>
      </c>
      <c r="AD4521" s="4">
        <v>25</v>
      </c>
      <c r="AE4521" s="4">
        <v>31</v>
      </c>
      <c r="AF4521" s="4">
        <v>0</v>
      </c>
      <c r="AG4521" s="4">
        <v>1</v>
      </c>
      <c r="AH4521" s="4">
        <v>23</v>
      </c>
      <c r="AI4521" s="4">
        <v>28</v>
      </c>
      <c r="AJ4521" s="4">
        <v>0</v>
      </c>
      <c r="AK4521" s="4">
        <v>2</v>
      </c>
      <c r="AL4521" s="4">
        <v>18</v>
      </c>
      <c r="AM4521" s="4">
        <v>22</v>
      </c>
      <c r="AN4521" s="4">
        <v>0</v>
      </c>
      <c r="AO4521" s="4">
        <v>0</v>
      </c>
      <c r="AP4521" s="4">
        <v>0</v>
      </c>
      <c r="AQ4521" s="4">
        <v>1</v>
      </c>
      <c r="AR4521" s="3" t="s">
        <v>62</v>
      </c>
      <c r="AS4521" s="3" t="s">
        <v>62</v>
      </c>
      <c r="AT4521" s="3" t="s">
        <v>62</v>
      </c>
      <c r="AU4521" s="6" t="str">
        <f>HYPERLINK("http://catalog.hathitrust.org/Record/000855171","HathiTrust Record")</f>
        <v>HathiTrust Record</v>
      </c>
      <c r="AV4521" s="6" t="str">
        <f>HYPERLINK("http://mcgill.on.worldcat.org/oclc/6437685","Catalog Record")</f>
        <v>Catalog Record</v>
      </c>
      <c r="AW4521" s="6" t="str">
        <f>HYPERLINK("http://www.worldcat.org/oclc/6437685","WorldCat Record")</f>
        <v>WorldCat Record</v>
      </c>
      <c r="AX4521" s="3" t="s">
        <v>43552</v>
      </c>
      <c r="AY4521" s="3" t="s">
        <v>43553</v>
      </c>
      <c r="AZ4521" s="3" t="s">
        <v>43554</v>
      </c>
      <c r="BA4521" s="3" t="s">
        <v>43554</v>
      </c>
      <c r="BB4521" s="3" t="s">
        <v>43555</v>
      </c>
      <c r="BC4521" s="3" t="s">
        <v>102</v>
      </c>
      <c r="BD4521" s="3" t="s">
        <v>68</v>
      </c>
      <c r="BF4521" s="3" t="s">
        <v>43555</v>
      </c>
      <c r="BG4521" s="3" t="s">
        <v>43556</v>
      </c>
    </row>
    <row r="4522" spans="1:59" ht="58" x14ac:dyDescent="0.35">
      <c r="A4522" s="2" t="s">
        <v>89</v>
      </c>
      <c r="B4522" s="2" t="s">
        <v>90</v>
      </c>
      <c r="C4522" s="2" t="s">
        <v>43557</v>
      </c>
      <c r="D4522" s="2" t="s">
        <v>43558</v>
      </c>
      <c r="E4522" s="2" t="s">
        <v>43559</v>
      </c>
      <c r="G4522" s="3" t="s">
        <v>62</v>
      </c>
      <c r="I4522" s="3" t="s">
        <v>61</v>
      </c>
      <c r="J4522" s="3" t="s">
        <v>62</v>
      </c>
      <c r="K4522" s="3" t="s">
        <v>63</v>
      </c>
      <c r="L4522" s="2" t="s">
        <v>43560</v>
      </c>
      <c r="M4522" s="2" t="s">
        <v>38295</v>
      </c>
      <c r="N4522" s="3" t="s">
        <v>1064</v>
      </c>
      <c r="P4522" s="3" t="s">
        <v>64</v>
      </c>
      <c r="R4522" s="3" t="s">
        <v>42369</v>
      </c>
      <c r="S4522" s="4">
        <v>9</v>
      </c>
      <c r="T4522" s="4">
        <v>38</v>
      </c>
      <c r="U4522" s="5" t="s">
        <v>43561</v>
      </c>
      <c r="V4522" s="5" t="s">
        <v>22100</v>
      </c>
      <c r="W4522" s="5" t="s">
        <v>67</v>
      </c>
      <c r="X4522" s="5" t="s">
        <v>67</v>
      </c>
      <c r="Y4522" s="4">
        <v>617</v>
      </c>
      <c r="Z4522" s="4">
        <v>38</v>
      </c>
      <c r="AA4522" s="4">
        <v>40</v>
      </c>
      <c r="AB4522" s="4">
        <v>4</v>
      </c>
      <c r="AC4522" s="4">
        <v>6</v>
      </c>
      <c r="AD4522" s="4">
        <v>114</v>
      </c>
      <c r="AE4522" s="4">
        <v>116</v>
      </c>
      <c r="AF4522" s="4">
        <v>2</v>
      </c>
      <c r="AG4522" s="4">
        <v>4</v>
      </c>
      <c r="AH4522" s="4">
        <v>94</v>
      </c>
      <c r="AI4522" s="4">
        <v>94</v>
      </c>
      <c r="AJ4522" s="4">
        <v>19</v>
      </c>
      <c r="AK4522" s="4">
        <v>21</v>
      </c>
      <c r="AL4522" s="4">
        <v>51</v>
      </c>
      <c r="AM4522" s="4">
        <v>51</v>
      </c>
      <c r="AN4522" s="4">
        <v>0</v>
      </c>
      <c r="AO4522" s="4">
        <v>0</v>
      </c>
      <c r="AP4522" s="4">
        <v>28</v>
      </c>
      <c r="AQ4522" s="4">
        <v>29</v>
      </c>
      <c r="AR4522" s="3" t="s">
        <v>62</v>
      </c>
      <c r="AS4522" s="3" t="s">
        <v>62</v>
      </c>
      <c r="AT4522" s="3" t="s">
        <v>62</v>
      </c>
      <c r="AV4522" s="6" t="str">
        <f>HYPERLINK("http://mcgill.on.worldcat.org/oclc/210501","Catalog Record")</f>
        <v>Catalog Record</v>
      </c>
      <c r="AW4522" s="6" t="str">
        <f>HYPERLINK("http://www.worldcat.org/oclc/210501","WorldCat Record")</f>
        <v>WorldCat Record</v>
      </c>
      <c r="AX4522" s="3" t="s">
        <v>43562</v>
      </c>
      <c r="AY4522" s="3" t="s">
        <v>43563</v>
      </c>
      <c r="AZ4522" s="3" t="s">
        <v>43564</v>
      </c>
      <c r="BA4522" s="3" t="s">
        <v>43564</v>
      </c>
      <c r="BB4522" s="3" t="s">
        <v>43565</v>
      </c>
      <c r="BC4522" s="3" t="s">
        <v>102</v>
      </c>
      <c r="BD4522" s="3" t="s">
        <v>68</v>
      </c>
      <c r="BE4522" s="3" t="s">
        <v>43566</v>
      </c>
      <c r="BF4522" s="3" t="s">
        <v>43565</v>
      </c>
      <c r="BG4522" s="3" t="s">
        <v>43567</v>
      </c>
    </row>
    <row r="4523" spans="1:59" ht="72.5" x14ac:dyDescent="0.35">
      <c r="A4523" s="2" t="s">
        <v>59</v>
      </c>
      <c r="B4523" s="2" t="s">
        <v>60</v>
      </c>
      <c r="C4523" s="2" t="s">
        <v>43568</v>
      </c>
      <c r="D4523" s="2" t="s">
        <v>43569</v>
      </c>
      <c r="E4523" s="2" t="s">
        <v>43570</v>
      </c>
      <c r="F4523" s="3" t="s">
        <v>43571</v>
      </c>
      <c r="G4523" s="3" t="s">
        <v>62</v>
      </c>
      <c r="I4523" s="3" t="s">
        <v>62</v>
      </c>
      <c r="J4523" s="3" t="s">
        <v>62</v>
      </c>
      <c r="K4523" s="3" t="s">
        <v>63</v>
      </c>
      <c r="L4523" s="2" t="s">
        <v>43572</v>
      </c>
      <c r="M4523" s="2" t="s">
        <v>43573</v>
      </c>
      <c r="N4523" s="3" t="s">
        <v>1482</v>
      </c>
      <c r="P4523" s="3" t="s">
        <v>64</v>
      </c>
      <c r="Q4523" s="2" t="s">
        <v>43574</v>
      </c>
      <c r="R4523" s="3" t="s">
        <v>42369</v>
      </c>
      <c r="S4523" s="4">
        <v>3</v>
      </c>
      <c r="T4523" s="4">
        <v>3</v>
      </c>
      <c r="U4523" s="5" t="s">
        <v>43575</v>
      </c>
      <c r="V4523" s="5" t="s">
        <v>43575</v>
      </c>
      <c r="W4523" s="5" t="s">
        <v>67</v>
      </c>
      <c r="X4523" s="5" t="s">
        <v>67</v>
      </c>
      <c r="Y4523" s="4">
        <v>27</v>
      </c>
      <c r="Z4523" s="4">
        <v>1</v>
      </c>
      <c r="AA4523" s="4">
        <v>1</v>
      </c>
      <c r="AB4523" s="4">
        <v>1</v>
      </c>
      <c r="AC4523" s="4">
        <v>1</v>
      </c>
      <c r="AD4523" s="4">
        <v>12</v>
      </c>
      <c r="AE4523" s="4">
        <v>12</v>
      </c>
      <c r="AF4523" s="4">
        <v>0</v>
      </c>
      <c r="AG4523" s="4">
        <v>0</v>
      </c>
      <c r="AH4523" s="4">
        <v>11</v>
      </c>
      <c r="AI4523" s="4">
        <v>11</v>
      </c>
      <c r="AJ4523" s="4">
        <v>0</v>
      </c>
      <c r="AK4523" s="4">
        <v>0</v>
      </c>
      <c r="AL4523" s="4">
        <v>7</v>
      </c>
      <c r="AM4523" s="4">
        <v>7</v>
      </c>
      <c r="AN4523" s="4">
        <v>0</v>
      </c>
      <c r="AO4523" s="4">
        <v>0</v>
      </c>
      <c r="AP4523" s="4">
        <v>0</v>
      </c>
      <c r="AQ4523" s="4">
        <v>0</v>
      </c>
      <c r="AR4523" s="3" t="s">
        <v>62</v>
      </c>
      <c r="AS4523" s="3" t="s">
        <v>62</v>
      </c>
      <c r="AT4523" s="3" t="s">
        <v>62</v>
      </c>
      <c r="AV4523" s="6" t="str">
        <f>HYPERLINK("http://mcgill.on.worldcat.org/oclc/14178523","Catalog Record")</f>
        <v>Catalog Record</v>
      </c>
      <c r="AW4523" s="6" t="str">
        <f>HYPERLINK("http://www.worldcat.org/oclc/14178523","WorldCat Record")</f>
        <v>WorldCat Record</v>
      </c>
      <c r="AX4523" s="3" t="s">
        <v>43576</v>
      </c>
      <c r="AY4523" s="3" t="s">
        <v>43577</v>
      </c>
      <c r="AZ4523" s="3" t="s">
        <v>43578</v>
      </c>
      <c r="BA4523" s="3" t="s">
        <v>43578</v>
      </c>
      <c r="BB4523" s="3" t="s">
        <v>43579</v>
      </c>
      <c r="BC4523" s="3" t="s">
        <v>102</v>
      </c>
      <c r="BD4523" s="3" t="s">
        <v>68</v>
      </c>
      <c r="BF4523" s="3" t="s">
        <v>43579</v>
      </c>
      <c r="BG4523" s="3" t="s">
        <v>43580</v>
      </c>
    </row>
    <row r="4524" spans="1:59" ht="58" x14ac:dyDescent="0.35">
      <c r="A4524" s="2" t="s">
        <v>59</v>
      </c>
      <c r="B4524" s="2" t="s">
        <v>60</v>
      </c>
      <c r="C4524" s="2" t="s">
        <v>43581</v>
      </c>
      <c r="D4524" s="2" t="s">
        <v>43582</v>
      </c>
      <c r="E4524" s="2" t="s">
        <v>43583</v>
      </c>
      <c r="G4524" s="3" t="s">
        <v>62</v>
      </c>
      <c r="I4524" s="3" t="s">
        <v>62</v>
      </c>
      <c r="J4524" s="3" t="s">
        <v>61</v>
      </c>
      <c r="K4524" s="3" t="s">
        <v>63</v>
      </c>
      <c r="L4524" s="2" t="s">
        <v>43584</v>
      </c>
      <c r="M4524" s="2" t="s">
        <v>43585</v>
      </c>
      <c r="N4524" s="3" t="s">
        <v>893</v>
      </c>
      <c r="P4524" s="3" t="s">
        <v>64</v>
      </c>
      <c r="R4524" s="3" t="s">
        <v>42369</v>
      </c>
      <c r="S4524" s="4">
        <v>5</v>
      </c>
      <c r="T4524" s="4">
        <v>5</v>
      </c>
      <c r="U4524" s="5" t="s">
        <v>23883</v>
      </c>
      <c r="V4524" s="5" t="s">
        <v>23883</v>
      </c>
      <c r="W4524" s="5" t="s">
        <v>67</v>
      </c>
      <c r="X4524" s="5" t="s">
        <v>67</v>
      </c>
      <c r="Y4524" s="4">
        <v>444</v>
      </c>
      <c r="Z4524" s="4">
        <v>34</v>
      </c>
      <c r="AA4524" s="4">
        <v>76</v>
      </c>
      <c r="AB4524" s="4">
        <v>1</v>
      </c>
      <c r="AC4524" s="4">
        <v>15</v>
      </c>
      <c r="AD4524" s="4">
        <v>87</v>
      </c>
      <c r="AE4524" s="4">
        <v>145</v>
      </c>
      <c r="AF4524" s="4">
        <v>0</v>
      </c>
      <c r="AG4524" s="4">
        <v>6</v>
      </c>
      <c r="AH4524" s="4">
        <v>73</v>
      </c>
      <c r="AI4524" s="4">
        <v>112</v>
      </c>
      <c r="AJ4524" s="4">
        <v>12</v>
      </c>
      <c r="AK4524" s="4">
        <v>26</v>
      </c>
      <c r="AL4524" s="4">
        <v>40</v>
      </c>
      <c r="AM4524" s="4">
        <v>57</v>
      </c>
      <c r="AN4524" s="4">
        <v>0</v>
      </c>
      <c r="AO4524" s="4">
        <v>0</v>
      </c>
      <c r="AP4524" s="4">
        <v>21</v>
      </c>
      <c r="AQ4524" s="4">
        <v>42</v>
      </c>
      <c r="AR4524" s="3" t="s">
        <v>62</v>
      </c>
      <c r="AS4524" s="3" t="s">
        <v>62</v>
      </c>
      <c r="AT4524" s="3" t="s">
        <v>61</v>
      </c>
      <c r="AU4524" s="6" t="str">
        <f>HYPERLINK("http://catalog.hathitrust.org/Record/000146173","HathiTrust Record")</f>
        <v>HathiTrust Record</v>
      </c>
      <c r="AV4524" s="6" t="str">
        <f>HYPERLINK("http://mcgill.on.worldcat.org/oclc/7732219","Catalog Record")</f>
        <v>Catalog Record</v>
      </c>
      <c r="AW4524" s="6" t="str">
        <f>HYPERLINK("http://www.worldcat.org/oclc/7732219","WorldCat Record")</f>
        <v>WorldCat Record</v>
      </c>
      <c r="AX4524" s="3" t="s">
        <v>43586</v>
      </c>
      <c r="AY4524" s="3" t="s">
        <v>43587</v>
      </c>
      <c r="AZ4524" s="3" t="s">
        <v>43588</v>
      </c>
      <c r="BA4524" s="3" t="s">
        <v>43588</v>
      </c>
      <c r="BB4524" s="3" t="s">
        <v>43589</v>
      </c>
      <c r="BC4524" s="3" t="s">
        <v>102</v>
      </c>
      <c r="BD4524" s="3" t="s">
        <v>68</v>
      </c>
      <c r="BE4524" s="3" t="s">
        <v>43590</v>
      </c>
      <c r="BF4524" s="3" t="s">
        <v>43589</v>
      </c>
      <c r="BG4524" s="3" t="s">
        <v>43591</v>
      </c>
    </row>
    <row r="4525" spans="1:59" ht="58" x14ac:dyDescent="0.35">
      <c r="A4525" s="2" t="s">
        <v>59</v>
      </c>
      <c r="B4525" s="2" t="s">
        <v>60</v>
      </c>
      <c r="C4525" s="2" t="s">
        <v>43592</v>
      </c>
      <c r="D4525" s="2" t="s">
        <v>43593</v>
      </c>
      <c r="E4525" s="2" t="s">
        <v>43594</v>
      </c>
      <c r="G4525" s="3" t="s">
        <v>62</v>
      </c>
      <c r="I4525" s="3" t="s">
        <v>62</v>
      </c>
      <c r="J4525" s="3" t="s">
        <v>62</v>
      </c>
      <c r="K4525" s="3" t="s">
        <v>63</v>
      </c>
      <c r="L4525" s="2" t="s">
        <v>43595</v>
      </c>
      <c r="M4525" s="2" t="s">
        <v>43596</v>
      </c>
      <c r="N4525" s="3" t="s">
        <v>438</v>
      </c>
      <c r="P4525" s="3" t="s">
        <v>64</v>
      </c>
      <c r="Q4525" s="2" t="s">
        <v>43597</v>
      </c>
      <c r="R4525" s="3" t="s">
        <v>42369</v>
      </c>
      <c r="S4525" s="4">
        <v>19</v>
      </c>
      <c r="T4525" s="4">
        <v>19</v>
      </c>
      <c r="U4525" s="5" t="s">
        <v>16837</v>
      </c>
      <c r="V4525" s="5" t="s">
        <v>16837</v>
      </c>
      <c r="W4525" s="5" t="s">
        <v>67</v>
      </c>
      <c r="X4525" s="5" t="s">
        <v>67</v>
      </c>
      <c r="Y4525" s="4">
        <v>479</v>
      </c>
      <c r="Z4525" s="4">
        <v>42</v>
      </c>
      <c r="AA4525" s="4">
        <v>56</v>
      </c>
      <c r="AB4525" s="4">
        <v>3</v>
      </c>
      <c r="AC4525" s="4">
        <v>8</v>
      </c>
      <c r="AD4525" s="4">
        <v>103</v>
      </c>
      <c r="AE4525" s="4">
        <v>120</v>
      </c>
      <c r="AF4525" s="4">
        <v>1</v>
      </c>
      <c r="AG4525" s="4">
        <v>5</v>
      </c>
      <c r="AH4525" s="4">
        <v>86</v>
      </c>
      <c r="AI4525" s="4">
        <v>92</v>
      </c>
      <c r="AJ4525" s="4">
        <v>20</v>
      </c>
      <c r="AK4525" s="4">
        <v>23</v>
      </c>
      <c r="AL4525" s="4">
        <v>40</v>
      </c>
      <c r="AM4525" s="4">
        <v>44</v>
      </c>
      <c r="AN4525" s="4">
        <v>0</v>
      </c>
      <c r="AO4525" s="4">
        <v>0</v>
      </c>
      <c r="AP4525" s="4">
        <v>27</v>
      </c>
      <c r="AQ4525" s="4">
        <v>39</v>
      </c>
      <c r="AR4525" s="3" t="s">
        <v>62</v>
      </c>
      <c r="AS4525" s="3" t="s">
        <v>62</v>
      </c>
      <c r="AT4525" s="3" t="s">
        <v>61</v>
      </c>
      <c r="AU4525" s="6" t="str">
        <f>HYPERLINK("http://catalog.hathitrust.org/Record/002204636","HathiTrust Record")</f>
        <v>HathiTrust Record</v>
      </c>
      <c r="AV4525" s="6" t="str">
        <f>HYPERLINK("http://mcgill.on.worldcat.org/oclc/19970482","Catalog Record")</f>
        <v>Catalog Record</v>
      </c>
      <c r="AW4525" s="6" t="str">
        <f>HYPERLINK("http://www.worldcat.org/oclc/19970482","WorldCat Record")</f>
        <v>WorldCat Record</v>
      </c>
      <c r="AX4525" s="3" t="s">
        <v>43598</v>
      </c>
      <c r="AY4525" s="3" t="s">
        <v>43599</v>
      </c>
      <c r="AZ4525" s="3" t="s">
        <v>43600</v>
      </c>
      <c r="BA4525" s="3" t="s">
        <v>43600</v>
      </c>
      <c r="BB4525" s="3" t="s">
        <v>43601</v>
      </c>
      <c r="BC4525" s="3" t="s">
        <v>102</v>
      </c>
      <c r="BD4525" s="3" t="s">
        <v>68</v>
      </c>
      <c r="BE4525" s="3" t="s">
        <v>43602</v>
      </c>
      <c r="BF4525" s="3" t="s">
        <v>43601</v>
      </c>
      <c r="BG4525" s="3" t="s">
        <v>43603</v>
      </c>
    </row>
    <row r="4526" spans="1:59" ht="58" x14ac:dyDescent="0.35">
      <c r="A4526" s="2" t="s">
        <v>59</v>
      </c>
      <c r="B4526" s="2" t="s">
        <v>60</v>
      </c>
      <c r="C4526" s="2" t="s">
        <v>43604</v>
      </c>
      <c r="D4526" s="2" t="s">
        <v>43605</v>
      </c>
      <c r="E4526" s="2" t="s">
        <v>43606</v>
      </c>
      <c r="G4526" s="3" t="s">
        <v>62</v>
      </c>
      <c r="I4526" s="3" t="s">
        <v>62</v>
      </c>
      <c r="J4526" s="3" t="s">
        <v>62</v>
      </c>
      <c r="K4526" s="3" t="s">
        <v>63</v>
      </c>
      <c r="L4526" s="2" t="s">
        <v>43607</v>
      </c>
      <c r="M4526" s="2" t="s">
        <v>43608</v>
      </c>
      <c r="N4526" s="3" t="s">
        <v>2566</v>
      </c>
      <c r="P4526" s="3" t="s">
        <v>64</v>
      </c>
      <c r="Q4526" s="2" t="s">
        <v>43609</v>
      </c>
      <c r="R4526" s="3" t="s">
        <v>42369</v>
      </c>
      <c r="S4526" s="4">
        <v>7</v>
      </c>
      <c r="T4526" s="4">
        <v>7</v>
      </c>
      <c r="U4526" s="5" t="s">
        <v>2074</v>
      </c>
      <c r="V4526" s="5" t="s">
        <v>2074</v>
      </c>
      <c r="W4526" s="5" t="s">
        <v>67</v>
      </c>
      <c r="X4526" s="5" t="s">
        <v>67</v>
      </c>
      <c r="Y4526" s="4">
        <v>386</v>
      </c>
      <c r="Z4526" s="4">
        <v>21</v>
      </c>
      <c r="AA4526" s="4">
        <v>26</v>
      </c>
      <c r="AB4526" s="4">
        <v>2</v>
      </c>
      <c r="AC4526" s="4">
        <v>4</v>
      </c>
      <c r="AD4526" s="4">
        <v>88</v>
      </c>
      <c r="AE4526" s="4">
        <v>92</v>
      </c>
      <c r="AF4526" s="4">
        <v>1</v>
      </c>
      <c r="AG4526" s="4">
        <v>3</v>
      </c>
      <c r="AH4526" s="4">
        <v>76</v>
      </c>
      <c r="AI4526" s="4">
        <v>78</v>
      </c>
      <c r="AJ4526" s="4">
        <v>11</v>
      </c>
      <c r="AK4526" s="4">
        <v>15</v>
      </c>
      <c r="AL4526" s="4">
        <v>43</v>
      </c>
      <c r="AM4526" s="4">
        <v>43</v>
      </c>
      <c r="AN4526" s="4">
        <v>0</v>
      </c>
      <c r="AO4526" s="4">
        <v>0</v>
      </c>
      <c r="AP4526" s="4">
        <v>18</v>
      </c>
      <c r="AQ4526" s="4">
        <v>21</v>
      </c>
      <c r="AR4526" s="3" t="s">
        <v>62</v>
      </c>
      <c r="AS4526" s="3" t="s">
        <v>62</v>
      </c>
      <c r="AT4526" s="3" t="s">
        <v>62</v>
      </c>
      <c r="AV4526" s="6" t="str">
        <f>HYPERLINK("http://mcgill.on.worldcat.org/oclc/915322","Catalog Record")</f>
        <v>Catalog Record</v>
      </c>
      <c r="AW4526" s="6" t="str">
        <f>HYPERLINK("http://www.worldcat.org/oclc/915322","WorldCat Record")</f>
        <v>WorldCat Record</v>
      </c>
      <c r="AX4526" s="3" t="s">
        <v>43610</v>
      </c>
      <c r="AY4526" s="3" t="s">
        <v>43611</v>
      </c>
      <c r="AZ4526" s="3" t="s">
        <v>43612</v>
      </c>
      <c r="BA4526" s="3" t="s">
        <v>43612</v>
      </c>
      <c r="BB4526" s="3" t="s">
        <v>43613</v>
      </c>
      <c r="BC4526" s="3" t="s">
        <v>102</v>
      </c>
      <c r="BD4526" s="3" t="s">
        <v>68</v>
      </c>
      <c r="BE4526" s="3" t="s">
        <v>43614</v>
      </c>
      <c r="BF4526" s="3" t="s">
        <v>43613</v>
      </c>
      <c r="BG4526" s="3" t="s">
        <v>43615</v>
      </c>
    </row>
    <row r="4527" spans="1:59" ht="58" x14ac:dyDescent="0.35">
      <c r="A4527" s="2" t="s">
        <v>59</v>
      </c>
      <c r="B4527" s="2" t="s">
        <v>60</v>
      </c>
      <c r="C4527" s="2" t="s">
        <v>43616</v>
      </c>
      <c r="D4527" s="2" t="s">
        <v>43617</v>
      </c>
      <c r="E4527" s="2" t="s">
        <v>43618</v>
      </c>
      <c r="G4527" s="3" t="s">
        <v>62</v>
      </c>
      <c r="I4527" s="3" t="s">
        <v>62</v>
      </c>
      <c r="J4527" s="3" t="s">
        <v>62</v>
      </c>
      <c r="K4527" s="3" t="s">
        <v>63</v>
      </c>
      <c r="M4527" s="2" t="s">
        <v>43619</v>
      </c>
      <c r="N4527" s="3" t="s">
        <v>1064</v>
      </c>
      <c r="P4527" s="3" t="s">
        <v>64</v>
      </c>
      <c r="Q4527" s="2" t="s">
        <v>43620</v>
      </c>
      <c r="R4527" s="3" t="s">
        <v>42369</v>
      </c>
      <c r="S4527" s="4">
        <v>7</v>
      </c>
      <c r="T4527" s="4">
        <v>7</v>
      </c>
      <c r="U4527" s="5" t="s">
        <v>41146</v>
      </c>
      <c r="V4527" s="5" t="s">
        <v>41146</v>
      </c>
      <c r="W4527" s="5" t="s">
        <v>67</v>
      </c>
      <c r="X4527" s="5" t="s">
        <v>67</v>
      </c>
      <c r="Y4527" s="4">
        <v>437</v>
      </c>
      <c r="Z4527" s="4">
        <v>33</v>
      </c>
      <c r="AA4527" s="4">
        <v>49</v>
      </c>
      <c r="AB4527" s="4">
        <v>3</v>
      </c>
      <c r="AC4527" s="4">
        <v>7</v>
      </c>
      <c r="AD4527" s="4">
        <v>94</v>
      </c>
      <c r="AE4527" s="4">
        <v>102</v>
      </c>
      <c r="AF4527" s="4">
        <v>1</v>
      </c>
      <c r="AG4527" s="4">
        <v>4</v>
      </c>
      <c r="AH4527" s="4">
        <v>76</v>
      </c>
      <c r="AI4527" s="4">
        <v>80</v>
      </c>
      <c r="AJ4527" s="4">
        <v>17</v>
      </c>
      <c r="AK4527" s="4">
        <v>24</v>
      </c>
      <c r="AL4527" s="4">
        <v>38</v>
      </c>
      <c r="AM4527" s="4">
        <v>39</v>
      </c>
      <c r="AN4527" s="4">
        <v>0</v>
      </c>
      <c r="AO4527" s="4">
        <v>0</v>
      </c>
      <c r="AP4527" s="4">
        <v>25</v>
      </c>
      <c r="AQ4527" s="4">
        <v>33</v>
      </c>
      <c r="AR4527" s="3" t="s">
        <v>62</v>
      </c>
      <c r="AS4527" s="3" t="s">
        <v>62</v>
      </c>
      <c r="AT4527" s="3" t="s">
        <v>61</v>
      </c>
      <c r="AU4527" s="6" t="str">
        <f>HYPERLINK("http://catalog.hathitrust.org/Record/000003013","HathiTrust Record")</f>
        <v>HathiTrust Record</v>
      </c>
      <c r="AV4527" s="6" t="str">
        <f>HYPERLINK("http://mcgill.on.worldcat.org/oclc/207487","Catalog Record")</f>
        <v>Catalog Record</v>
      </c>
      <c r="AW4527" s="6" t="str">
        <f>HYPERLINK("http://www.worldcat.org/oclc/207487","WorldCat Record")</f>
        <v>WorldCat Record</v>
      </c>
      <c r="AX4527" s="3" t="s">
        <v>43621</v>
      </c>
      <c r="AY4527" s="3" t="s">
        <v>43622</v>
      </c>
      <c r="AZ4527" s="3" t="s">
        <v>43623</v>
      </c>
      <c r="BA4527" s="3" t="s">
        <v>43623</v>
      </c>
      <c r="BB4527" s="3" t="s">
        <v>43624</v>
      </c>
      <c r="BC4527" s="3" t="s">
        <v>102</v>
      </c>
      <c r="BD4527" s="3" t="s">
        <v>68</v>
      </c>
      <c r="BF4527" s="3" t="s">
        <v>43624</v>
      </c>
      <c r="BG4527" s="3" t="s">
        <v>43625</v>
      </c>
    </row>
    <row r="4528" spans="1:59" ht="58" x14ac:dyDescent="0.35">
      <c r="A4528" s="2" t="s">
        <v>59</v>
      </c>
      <c r="B4528" s="2" t="s">
        <v>60</v>
      </c>
      <c r="C4528" s="2" t="s">
        <v>43626</v>
      </c>
      <c r="D4528" s="2" t="s">
        <v>43627</v>
      </c>
      <c r="E4528" s="2" t="s">
        <v>43628</v>
      </c>
      <c r="G4528" s="3" t="s">
        <v>62</v>
      </c>
      <c r="I4528" s="3" t="s">
        <v>62</v>
      </c>
      <c r="J4528" s="3" t="s">
        <v>62</v>
      </c>
      <c r="K4528" s="3" t="s">
        <v>63</v>
      </c>
      <c r="L4528" s="2" t="s">
        <v>43629</v>
      </c>
      <c r="M4528" s="2" t="s">
        <v>43630</v>
      </c>
      <c r="N4528" s="3" t="s">
        <v>285</v>
      </c>
      <c r="O4528" s="2" t="s">
        <v>2163</v>
      </c>
      <c r="P4528" s="3" t="s">
        <v>64</v>
      </c>
      <c r="Q4528" s="2" t="s">
        <v>43631</v>
      </c>
      <c r="R4528" s="3" t="s">
        <v>42369</v>
      </c>
      <c r="S4528" s="4">
        <v>4</v>
      </c>
      <c r="T4528" s="4">
        <v>4</v>
      </c>
      <c r="U4528" s="5" t="s">
        <v>23883</v>
      </c>
      <c r="V4528" s="5" t="s">
        <v>23883</v>
      </c>
      <c r="W4528" s="5" t="s">
        <v>67</v>
      </c>
      <c r="X4528" s="5" t="s">
        <v>67</v>
      </c>
      <c r="Y4528" s="4">
        <v>261</v>
      </c>
      <c r="Z4528" s="4">
        <v>17</v>
      </c>
      <c r="AA4528" s="4">
        <v>17</v>
      </c>
      <c r="AB4528" s="4">
        <v>1</v>
      </c>
      <c r="AC4528" s="4">
        <v>1</v>
      </c>
      <c r="AD4528" s="4">
        <v>64</v>
      </c>
      <c r="AE4528" s="4">
        <v>64</v>
      </c>
      <c r="AF4528" s="4">
        <v>0</v>
      </c>
      <c r="AG4528" s="4">
        <v>0</v>
      </c>
      <c r="AH4528" s="4">
        <v>58</v>
      </c>
      <c r="AI4528" s="4">
        <v>58</v>
      </c>
      <c r="AJ4528" s="4">
        <v>8</v>
      </c>
      <c r="AK4528" s="4">
        <v>8</v>
      </c>
      <c r="AL4528" s="4">
        <v>31</v>
      </c>
      <c r="AM4528" s="4">
        <v>31</v>
      </c>
      <c r="AN4528" s="4">
        <v>0</v>
      </c>
      <c r="AO4528" s="4">
        <v>0</v>
      </c>
      <c r="AP4528" s="4">
        <v>9</v>
      </c>
      <c r="AQ4528" s="4">
        <v>9</v>
      </c>
      <c r="AR4528" s="3" t="s">
        <v>62</v>
      </c>
      <c r="AS4528" s="3" t="s">
        <v>62</v>
      </c>
      <c r="AT4528" s="3" t="s">
        <v>61</v>
      </c>
      <c r="AU4528" s="6" t="str">
        <f>HYPERLINK("http://catalog.hathitrust.org/Record/000138788","HathiTrust Record")</f>
        <v>HathiTrust Record</v>
      </c>
      <c r="AV4528" s="6" t="str">
        <f>HYPERLINK("http://mcgill.on.worldcat.org/oclc/6446999","Catalog Record")</f>
        <v>Catalog Record</v>
      </c>
      <c r="AW4528" s="6" t="str">
        <f>HYPERLINK("http://www.worldcat.org/oclc/6446999","WorldCat Record")</f>
        <v>WorldCat Record</v>
      </c>
      <c r="AX4528" s="3" t="s">
        <v>43632</v>
      </c>
      <c r="AY4528" s="3" t="s">
        <v>43633</v>
      </c>
      <c r="AZ4528" s="3" t="s">
        <v>43634</v>
      </c>
      <c r="BA4528" s="3" t="s">
        <v>43634</v>
      </c>
      <c r="BB4528" s="3" t="s">
        <v>43635</v>
      </c>
      <c r="BC4528" s="3" t="s">
        <v>102</v>
      </c>
      <c r="BD4528" s="3" t="s">
        <v>68</v>
      </c>
      <c r="BE4528" s="3" t="s">
        <v>43636</v>
      </c>
      <c r="BF4528" s="3" t="s">
        <v>43635</v>
      </c>
      <c r="BG4528" s="3" t="s">
        <v>43637</v>
      </c>
    </row>
    <row r="4529" spans="1:59" ht="58" x14ac:dyDescent="0.35">
      <c r="A4529" s="2" t="s">
        <v>59</v>
      </c>
      <c r="B4529" s="2" t="s">
        <v>60</v>
      </c>
      <c r="C4529" s="2" t="s">
        <v>43638</v>
      </c>
      <c r="D4529" s="2" t="s">
        <v>43639</v>
      </c>
      <c r="E4529" s="2" t="s">
        <v>43640</v>
      </c>
      <c r="G4529" s="3" t="s">
        <v>62</v>
      </c>
      <c r="I4529" s="3" t="s">
        <v>62</v>
      </c>
      <c r="J4529" s="3" t="s">
        <v>62</v>
      </c>
      <c r="K4529" s="3" t="s">
        <v>63</v>
      </c>
      <c r="L4529" s="2" t="s">
        <v>43641</v>
      </c>
      <c r="M4529" s="2" t="s">
        <v>43642</v>
      </c>
      <c r="N4529" s="3" t="s">
        <v>539</v>
      </c>
      <c r="O4529" s="2" t="s">
        <v>43643</v>
      </c>
      <c r="P4529" s="3" t="s">
        <v>1752</v>
      </c>
      <c r="Q4529" s="2" t="s">
        <v>43644</v>
      </c>
      <c r="R4529" s="3" t="s">
        <v>42369</v>
      </c>
      <c r="S4529" s="4">
        <v>1</v>
      </c>
      <c r="T4529" s="4">
        <v>1</v>
      </c>
      <c r="U4529" s="5" t="s">
        <v>18861</v>
      </c>
      <c r="V4529" s="5" t="s">
        <v>18861</v>
      </c>
      <c r="W4529" s="5" t="s">
        <v>67</v>
      </c>
      <c r="X4529" s="5" t="s">
        <v>67</v>
      </c>
      <c r="Y4529" s="4">
        <v>43</v>
      </c>
      <c r="Z4529" s="4">
        <v>4</v>
      </c>
      <c r="AA4529" s="4">
        <v>8</v>
      </c>
      <c r="AB4529" s="4">
        <v>2</v>
      </c>
      <c r="AC4529" s="4">
        <v>2</v>
      </c>
      <c r="AD4529" s="4">
        <v>14</v>
      </c>
      <c r="AE4529" s="4">
        <v>30</v>
      </c>
      <c r="AF4529" s="4">
        <v>0</v>
      </c>
      <c r="AG4529" s="4">
        <v>0</v>
      </c>
      <c r="AH4529" s="4">
        <v>13</v>
      </c>
      <c r="AI4529" s="4">
        <v>29</v>
      </c>
      <c r="AJ4529" s="4">
        <v>0</v>
      </c>
      <c r="AK4529" s="4">
        <v>3</v>
      </c>
      <c r="AL4529" s="4">
        <v>11</v>
      </c>
      <c r="AM4529" s="4">
        <v>18</v>
      </c>
      <c r="AN4529" s="4">
        <v>0</v>
      </c>
      <c r="AO4529" s="4">
        <v>0</v>
      </c>
      <c r="AP4529" s="4">
        <v>0</v>
      </c>
      <c r="AQ4529" s="4">
        <v>3</v>
      </c>
      <c r="AR4529" s="3" t="s">
        <v>62</v>
      </c>
      <c r="AS4529" s="3" t="s">
        <v>62</v>
      </c>
      <c r="AT4529" s="3" t="s">
        <v>62</v>
      </c>
      <c r="AV4529" s="6" t="str">
        <f>HYPERLINK("http://mcgill.on.worldcat.org/oclc/40984149","Catalog Record")</f>
        <v>Catalog Record</v>
      </c>
      <c r="AW4529" s="6" t="str">
        <f>HYPERLINK("http://www.worldcat.org/oclc/40984149","WorldCat Record")</f>
        <v>WorldCat Record</v>
      </c>
      <c r="AX4529" s="3" t="s">
        <v>43645</v>
      </c>
      <c r="AY4529" s="3" t="s">
        <v>43646</v>
      </c>
      <c r="AZ4529" s="3" t="s">
        <v>43647</v>
      </c>
      <c r="BA4529" s="3" t="s">
        <v>43647</v>
      </c>
      <c r="BB4529" s="3" t="s">
        <v>43648</v>
      </c>
      <c r="BC4529" s="3" t="s">
        <v>102</v>
      </c>
      <c r="BD4529" s="3" t="s">
        <v>68</v>
      </c>
      <c r="BE4529" s="3" t="s">
        <v>43649</v>
      </c>
      <c r="BF4529" s="3" t="s">
        <v>43648</v>
      </c>
      <c r="BG4529" s="3" t="s">
        <v>43650</v>
      </c>
    </row>
    <row r="4530" spans="1:59" ht="58" x14ac:dyDescent="0.35">
      <c r="A4530" s="2" t="s">
        <v>59</v>
      </c>
      <c r="B4530" s="2" t="s">
        <v>60</v>
      </c>
      <c r="C4530" s="2" t="s">
        <v>43651</v>
      </c>
      <c r="D4530" s="2" t="s">
        <v>43652</v>
      </c>
      <c r="E4530" s="2" t="s">
        <v>43653</v>
      </c>
      <c r="F4530" s="3" t="s">
        <v>237</v>
      </c>
      <c r="G4530" s="3" t="s">
        <v>61</v>
      </c>
      <c r="I4530" s="3" t="s">
        <v>62</v>
      </c>
      <c r="J4530" s="3" t="s">
        <v>62</v>
      </c>
      <c r="K4530" s="3" t="s">
        <v>63</v>
      </c>
      <c r="L4530" s="2" t="s">
        <v>43654</v>
      </c>
      <c r="M4530" s="2" t="s">
        <v>43655</v>
      </c>
      <c r="N4530" s="3" t="s">
        <v>3761</v>
      </c>
      <c r="P4530" s="3" t="s">
        <v>64</v>
      </c>
      <c r="Q4530" s="2" t="s">
        <v>43656</v>
      </c>
      <c r="R4530" s="3" t="s">
        <v>42369</v>
      </c>
      <c r="S4530" s="4">
        <v>1</v>
      </c>
      <c r="T4530" s="4">
        <v>1</v>
      </c>
      <c r="U4530" s="5" t="s">
        <v>18861</v>
      </c>
      <c r="V4530" s="5" t="s">
        <v>18861</v>
      </c>
      <c r="W4530" s="5" t="s">
        <v>67</v>
      </c>
      <c r="X4530" s="5" t="s">
        <v>67</v>
      </c>
      <c r="Y4530" s="4">
        <v>111</v>
      </c>
      <c r="Z4530" s="4">
        <v>7</v>
      </c>
      <c r="AA4530" s="4">
        <v>8</v>
      </c>
      <c r="AB4530" s="4">
        <v>1</v>
      </c>
      <c r="AC4530" s="4">
        <v>1</v>
      </c>
      <c r="AD4530" s="4">
        <v>40</v>
      </c>
      <c r="AE4530" s="4">
        <v>42</v>
      </c>
      <c r="AF4530" s="4">
        <v>0</v>
      </c>
      <c r="AG4530" s="4">
        <v>0</v>
      </c>
      <c r="AH4530" s="4">
        <v>37</v>
      </c>
      <c r="AI4530" s="4">
        <v>39</v>
      </c>
      <c r="AJ4530" s="4">
        <v>3</v>
      </c>
      <c r="AK4530" s="4">
        <v>4</v>
      </c>
      <c r="AL4530" s="4">
        <v>27</v>
      </c>
      <c r="AM4530" s="4">
        <v>27</v>
      </c>
      <c r="AN4530" s="4">
        <v>0</v>
      </c>
      <c r="AO4530" s="4">
        <v>0</v>
      </c>
      <c r="AP4530" s="4">
        <v>3</v>
      </c>
      <c r="AQ4530" s="4">
        <v>4</v>
      </c>
      <c r="AR4530" s="3" t="s">
        <v>62</v>
      </c>
      <c r="AS4530" s="3" t="s">
        <v>61</v>
      </c>
      <c r="AT4530" s="3" t="s">
        <v>62</v>
      </c>
      <c r="AU4530" s="6" t="str">
        <f>HYPERLINK("http://catalog.hathitrust.org/Record/001649270","HathiTrust Record")</f>
        <v>HathiTrust Record</v>
      </c>
      <c r="AV4530" s="6" t="str">
        <f>HYPERLINK("http://mcgill.on.worldcat.org/oclc/4477720","Catalog Record")</f>
        <v>Catalog Record</v>
      </c>
      <c r="AW4530" s="6" t="str">
        <f>HYPERLINK("http://www.worldcat.org/oclc/4477720","WorldCat Record")</f>
        <v>WorldCat Record</v>
      </c>
      <c r="AX4530" s="3" t="s">
        <v>43657</v>
      </c>
      <c r="AY4530" s="3" t="s">
        <v>43658</v>
      </c>
      <c r="AZ4530" s="3" t="s">
        <v>43659</v>
      </c>
      <c r="BA4530" s="3" t="s">
        <v>43659</v>
      </c>
      <c r="BB4530" s="3" t="s">
        <v>43660</v>
      </c>
      <c r="BC4530" s="3" t="s">
        <v>102</v>
      </c>
      <c r="BD4530" s="3" t="s">
        <v>68</v>
      </c>
      <c r="BF4530" s="3" t="s">
        <v>43660</v>
      </c>
      <c r="BG4530" s="3" t="s">
        <v>43661</v>
      </c>
    </row>
    <row r="4531" spans="1:59" ht="58" x14ac:dyDescent="0.35">
      <c r="A4531" s="2" t="s">
        <v>59</v>
      </c>
      <c r="B4531" s="2" t="s">
        <v>60</v>
      </c>
      <c r="C4531" s="2" t="s">
        <v>43662</v>
      </c>
      <c r="D4531" s="2" t="s">
        <v>43663</v>
      </c>
      <c r="E4531" s="2" t="s">
        <v>43664</v>
      </c>
      <c r="G4531" s="3" t="s">
        <v>62</v>
      </c>
      <c r="I4531" s="3" t="s">
        <v>62</v>
      </c>
      <c r="J4531" s="3" t="s">
        <v>62</v>
      </c>
      <c r="K4531" s="3" t="s">
        <v>63</v>
      </c>
      <c r="L4531" s="2" t="s">
        <v>43665</v>
      </c>
      <c r="M4531" s="2" t="s">
        <v>43666</v>
      </c>
      <c r="N4531" s="3" t="s">
        <v>186</v>
      </c>
      <c r="P4531" s="3" t="s">
        <v>64</v>
      </c>
      <c r="R4531" s="3" t="s">
        <v>42369</v>
      </c>
      <c r="S4531" s="4">
        <v>6</v>
      </c>
      <c r="T4531" s="4">
        <v>6</v>
      </c>
      <c r="U4531" s="5" t="s">
        <v>27955</v>
      </c>
      <c r="V4531" s="5" t="s">
        <v>27955</v>
      </c>
      <c r="W4531" s="5" t="s">
        <v>67</v>
      </c>
      <c r="X4531" s="5" t="s">
        <v>67</v>
      </c>
      <c r="Y4531" s="4">
        <v>354</v>
      </c>
      <c r="Z4531" s="4">
        <v>24</v>
      </c>
      <c r="AA4531" s="4">
        <v>25</v>
      </c>
      <c r="AB4531" s="4">
        <v>2</v>
      </c>
      <c r="AC4531" s="4">
        <v>3</v>
      </c>
      <c r="AD4531" s="4">
        <v>87</v>
      </c>
      <c r="AE4531" s="4">
        <v>88</v>
      </c>
      <c r="AF4531" s="4">
        <v>1</v>
      </c>
      <c r="AG4531" s="4">
        <v>2</v>
      </c>
      <c r="AH4531" s="4">
        <v>76</v>
      </c>
      <c r="AI4531" s="4">
        <v>76</v>
      </c>
      <c r="AJ4531" s="4">
        <v>15</v>
      </c>
      <c r="AK4531" s="4">
        <v>16</v>
      </c>
      <c r="AL4531" s="4">
        <v>42</v>
      </c>
      <c r="AM4531" s="4">
        <v>42</v>
      </c>
      <c r="AN4531" s="4">
        <v>0</v>
      </c>
      <c r="AO4531" s="4">
        <v>0</v>
      </c>
      <c r="AP4531" s="4">
        <v>19</v>
      </c>
      <c r="AQ4531" s="4">
        <v>20</v>
      </c>
      <c r="AR4531" s="3" t="s">
        <v>62</v>
      </c>
      <c r="AS4531" s="3" t="s">
        <v>62</v>
      </c>
      <c r="AT4531" s="3" t="s">
        <v>61</v>
      </c>
      <c r="AU4531" s="6" t="str">
        <f>HYPERLINK("http://catalog.hathitrust.org/Record/000028745","HathiTrust Record")</f>
        <v>HathiTrust Record</v>
      </c>
      <c r="AV4531" s="6" t="str">
        <f>HYPERLINK("http://mcgill.on.worldcat.org/oclc/1272596","Catalog Record")</f>
        <v>Catalog Record</v>
      </c>
      <c r="AW4531" s="6" t="str">
        <f>HYPERLINK("http://www.worldcat.org/oclc/1272596","WorldCat Record")</f>
        <v>WorldCat Record</v>
      </c>
      <c r="AX4531" s="3" t="s">
        <v>43667</v>
      </c>
      <c r="AY4531" s="3" t="s">
        <v>43668</v>
      </c>
      <c r="AZ4531" s="3" t="s">
        <v>43669</v>
      </c>
      <c r="BA4531" s="3" t="s">
        <v>43669</v>
      </c>
      <c r="BB4531" s="3" t="s">
        <v>43670</v>
      </c>
      <c r="BC4531" s="3" t="s">
        <v>102</v>
      </c>
      <c r="BD4531" s="3" t="s">
        <v>68</v>
      </c>
      <c r="BE4531" s="3" t="s">
        <v>43671</v>
      </c>
      <c r="BF4531" s="3" t="s">
        <v>43670</v>
      </c>
      <c r="BG4531" s="3" t="s">
        <v>43672</v>
      </c>
    </row>
    <row r="4532" spans="1:59" ht="58" x14ac:dyDescent="0.35">
      <c r="A4532" s="2" t="s">
        <v>59</v>
      </c>
      <c r="B4532" s="2" t="s">
        <v>60</v>
      </c>
      <c r="C4532" s="2" t="s">
        <v>43673</v>
      </c>
      <c r="D4532" s="2" t="s">
        <v>43674</v>
      </c>
      <c r="E4532" s="2" t="s">
        <v>43675</v>
      </c>
      <c r="G4532" s="3" t="s">
        <v>62</v>
      </c>
      <c r="I4532" s="3" t="s">
        <v>62</v>
      </c>
      <c r="J4532" s="3" t="s">
        <v>62</v>
      </c>
      <c r="K4532" s="3" t="s">
        <v>63</v>
      </c>
      <c r="M4532" s="2" t="s">
        <v>43676</v>
      </c>
      <c r="N4532" s="3" t="s">
        <v>625</v>
      </c>
      <c r="P4532" s="3" t="s">
        <v>64</v>
      </c>
      <c r="R4532" s="3" t="s">
        <v>42369</v>
      </c>
      <c r="S4532" s="4">
        <v>4</v>
      </c>
      <c r="T4532" s="4">
        <v>4</v>
      </c>
      <c r="U4532" s="5" t="s">
        <v>43677</v>
      </c>
      <c r="V4532" s="5" t="s">
        <v>43677</v>
      </c>
      <c r="W4532" s="5" t="s">
        <v>67</v>
      </c>
      <c r="X4532" s="5" t="s">
        <v>67</v>
      </c>
      <c r="Y4532" s="4">
        <v>94</v>
      </c>
      <c r="Z4532" s="4">
        <v>6</v>
      </c>
      <c r="AA4532" s="4">
        <v>11</v>
      </c>
      <c r="AB4532" s="4">
        <v>1</v>
      </c>
      <c r="AC4532" s="4">
        <v>3</v>
      </c>
      <c r="AD4532" s="4">
        <v>46</v>
      </c>
      <c r="AE4532" s="4">
        <v>56</v>
      </c>
      <c r="AF4532" s="4">
        <v>0</v>
      </c>
      <c r="AG4532" s="4">
        <v>1</v>
      </c>
      <c r="AH4532" s="4">
        <v>45</v>
      </c>
      <c r="AI4532" s="4">
        <v>53</v>
      </c>
      <c r="AJ4532" s="4">
        <v>5</v>
      </c>
      <c r="AK4532" s="4">
        <v>8</v>
      </c>
      <c r="AL4532" s="4">
        <v>25</v>
      </c>
      <c r="AM4532" s="4">
        <v>30</v>
      </c>
      <c r="AN4532" s="4">
        <v>0</v>
      </c>
      <c r="AO4532" s="4">
        <v>0</v>
      </c>
      <c r="AP4532" s="4">
        <v>5</v>
      </c>
      <c r="AQ4532" s="4">
        <v>9</v>
      </c>
      <c r="AR4532" s="3" t="s">
        <v>62</v>
      </c>
      <c r="AS4532" s="3" t="s">
        <v>62</v>
      </c>
      <c r="AT4532" s="3" t="s">
        <v>62</v>
      </c>
      <c r="AV4532" s="6" t="str">
        <f>HYPERLINK("http://mcgill.on.worldcat.org/oclc/52418390","Catalog Record")</f>
        <v>Catalog Record</v>
      </c>
      <c r="AW4532" s="6" t="str">
        <f>HYPERLINK("http://www.worldcat.org/oclc/52418390","WorldCat Record")</f>
        <v>WorldCat Record</v>
      </c>
      <c r="AX4532" s="3" t="s">
        <v>43678</v>
      </c>
      <c r="AY4532" s="3" t="s">
        <v>43679</v>
      </c>
      <c r="AZ4532" s="3" t="s">
        <v>43680</v>
      </c>
      <c r="BA4532" s="3" t="s">
        <v>43680</v>
      </c>
      <c r="BB4532" s="3" t="s">
        <v>43681</v>
      </c>
      <c r="BC4532" s="3" t="s">
        <v>102</v>
      </c>
      <c r="BD4532" s="3" t="s">
        <v>68</v>
      </c>
      <c r="BE4532" s="3" t="s">
        <v>43682</v>
      </c>
      <c r="BF4532" s="3" t="s">
        <v>43681</v>
      </c>
      <c r="BG4532" s="3" t="s">
        <v>43683</v>
      </c>
    </row>
    <row r="4533" spans="1:59" ht="58" x14ac:dyDescent="0.35">
      <c r="A4533" s="2" t="s">
        <v>89</v>
      </c>
      <c r="B4533" s="2" t="s">
        <v>90</v>
      </c>
      <c r="C4533" s="2" t="s">
        <v>43684</v>
      </c>
      <c r="D4533" s="2" t="s">
        <v>43685</v>
      </c>
      <c r="E4533" s="2" t="s">
        <v>43686</v>
      </c>
      <c r="G4533" s="3" t="s">
        <v>62</v>
      </c>
      <c r="I4533" s="3" t="s">
        <v>62</v>
      </c>
      <c r="J4533" s="3" t="s">
        <v>62</v>
      </c>
      <c r="K4533" s="3" t="s">
        <v>63</v>
      </c>
      <c r="L4533" s="2" t="s">
        <v>43687</v>
      </c>
      <c r="M4533" s="2" t="s">
        <v>43688</v>
      </c>
      <c r="N4533" s="3" t="s">
        <v>726</v>
      </c>
      <c r="P4533" s="3" t="s">
        <v>85</v>
      </c>
      <c r="R4533" s="3" t="s">
        <v>42369</v>
      </c>
      <c r="S4533" s="4">
        <v>1</v>
      </c>
      <c r="T4533" s="4">
        <v>1</v>
      </c>
      <c r="U4533" s="5" t="s">
        <v>1325</v>
      </c>
      <c r="V4533" s="5" t="s">
        <v>1325</v>
      </c>
      <c r="W4533" s="5" t="s">
        <v>67</v>
      </c>
      <c r="X4533" s="5" t="s">
        <v>67</v>
      </c>
      <c r="Y4533" s="4">
        <v>1</v>
      </c>
      <c r="Z4533" s="4">
        <v>1</v>
      </c>
      <c r="AA4533" s="4">
        <v>1</v>
      </c>
      <c r="AB4533" s="4">
        <v>1</v>
      </c>
      <c r="AC4533" s="4">
        <v>1</v>
      </c>
      <c r="AD4533" s="4">
        <v>0</v>
      </c>
      <c r="AE4533" s="4">
        <v>1</v>
      </c>
      <c r="AF4533" s="4">
        <v>0</v>
      </c>
      <c r="AG4533" s="4">
        <v>0</v>
      </c>
      <c r="AH4533" s="4">
        <v>0</v>
      </c>
      <c r="AI4533" s="4">
        <v>1</v>
      </c>
      <c r="AJ4533" s="4">
        <v>0</v>
      </c>
      <c r="AK4533" s="4">
        <v>0</v>
      </c>
      <c r="AL4533" s="4">
        <v>0</v>
      </c>
      <c r="AM4533" s="4">
        <v>0</v>
      </c>
      <c r="AN4533" s="4">
        <v>0</v>
      </c>
      <c r="AO4533" s="4">
        <v>0</v>
      </c>
      <c r="AP4533" s="4">
        <v>0</v>
      </c>
      <c r="AQ4533" s="4">
        <v>0</v>
      </c>
      <c r="AR4533" s="3" t="s">
        <v>62</v>
      </c>
      <c r="AS4533" s="3" t="s">
        <v>62</v>
      </c>
      <c r="AT4533" s="3" t="s">
        <v>62</v>
      </c>
      <c r="AV4533" s="6" t="str">
        <f>HYPERLINK("http://mcgill.on.worldcat.org/oclc/1077290426","Catalog Record")</f>
        <v>Catalog Record</v>
      </c>
      <c r="AW4533" s="6" t="str">
        <f>HYPERLINK("http://www.worldcat.org/oclc/1077290426","WorldCat Record")</f>
        <v>WorldCat Record</v>
      </c>
      <c r="AX4533" s="3" t="s">
        <v>43689</v>
      </c>
      <c r="AY4533" s="3" t="s">
        <v>43690</v>
      </c>
      <c r="AZ4533" s="3" t="s">
        <v>43691</v>
      </c>
      <c r="BA4533" s="3" t="s">
        <v>43691</v>
      </c>
      <c r="BB4533" s="3" t="s">
        <v>43692</v>
      </c>
      <c r="BC4533" s="3" t="s">
        <v>102</v>
      </c>
      <c r="BD4533" s="3" t="s">
        <v>68</v>
      </c>
      <c r="BE4533" s="3" t="s">
        <v>43693</v>
      </c>
      <c r="BF4533" s="3" t="s">
        <v>43692</v>
      </c>
      <c r="BG4533" s="3" t="s">
        <v>43694</v>
      </c>
    </row>
    <row r="4534" spans="1:59" ht="58" x14ac:dyDescent="0.35">
      <c r="A4534" s="2" t="s">
        <v>59</v>
      </c>
      <c r="B4534" s="2" t="s">
        <v>60</v>
      </c>
      <c r="C4534" s="2" t="s">
        <v>43695</v>
      </c>
      <c r="D4534" s="2" t="s">
        <v>43696</v>
      </c>
      <c r="E4534" s="2" t="s">
        <v>43697</v>
      </c>
      <c r="G4534" s="3" t="s">
        <v>61</v>
      </c>
      <c r="I4534" s="3" t="s">
        <v>61</v>
      </c>
      <c r="J4534" s="3" t="s">
        <v>62</v>
      </c>
      <c r="K4534" s="3" t="s">
        <v>63</v>
      </c>
      <c r="L4534" s="2" t="s">
        <v>43698</v>
      </c>
      <c r="M4534" s="2" t="s">
        <v>43699</v>
      </c>
      <c r="N4534" s="3" t="s">
        <v>1662</v>
      </c>
      <c r="P4534" s="3" t="s">
        <v>85</v>
      </c>
      <c r="R4534" s="3" t="s">
        <v>42369</v>
      </c>
      <c r="S4534" s="4">
        <v>1</v>
      </c>
      <c r="T4534" s="4">
        <v>2</v>
      </c>
      <c r="U4534" s="5" t="s">
        <v>2820</v>
      </c>
      <c r="V4534" s="5" t="s">
        <v>2820</v>
      </c>
      <c r="W4534" s="5" t="s">
        <v>67</v>
      </c>
      <c r="X4534" s="5" t="s">
        <v>67</v>
      </c>
      <c r="Y4534" s="4">
        <v>114</v>
      </c>
      <c r="Z4534" s="4">
        <v>10</v>
      </c>
      <c r="AA4534" s="4">
        <v>14</v>
      </c>
      <c r="AB4534" s="4">
        <v>1</v>
      </c>
      <c r="AC4534" s="4">
        <v>2</v>
      </c>
      <c r="AD4534" s="4">
        <v>50</v>
      </c>
      <c r="AE4534" s="4">
        <v>60</v>
      </c>
      <c r="AF4534" s="4">
        <v>0</v>
      </c>
      <c r="AG4534" s="4">
        <v>1</v>
      </c>
      <c r="AH4534" s="4">
        <v>46</v>
      </c>
      <c r="AI4534" s="4">
        <v>53</v>
      </c>
      <c r="AJ4534" s="4">
        <v>3</v>
      </c>
      <c r="AK4534" s="4">
        <v>7</v>
      </c>
      <c r="AL4534" s="4">
        <v>27</v>
      </c>
      <c r="AM4534" s="4">
        <v>31</v>
      </c>
      <c r="AN4534" s="4">
        <v>0</v>
      </c>
      <c r="AO4534" s="4">
        <v>0</v>
      </c>
      <c r="AP4534" s="4">
        <v>6</v>
      </c>
      <c r="AQ4534" s="4">
        <v>9</v>
      </c>
      <c r="AR4534" s="3" t="s">
        <v>62</v>
      </c>
      <c r="AS4534" s="3" t="s">
        <v>62</v>
      </c>
      <c r="AT4534" s="3" t="s">
        <v>62</v>
      </c>
      <c r="AV4534" s="6" t="str">
        <f>HYPERLINK("http://mcgill.on.worldcat.org/oclc/1833142","Catalog Record")</f>
        <v>Catalog Record</v>
      </c>
      <c r="AW4534" s="6" t="str">
        <f>HYPERLINK("http://www.worldcat.org/oclc/1833142","WorldCat Record")</f>
        <v>WorldCat Record</v>
      </c>
      <c r="AX4534" s="3" t="s">
        <v>43700</v>
      </c>
      <c r="AY4534" s="3" t="s">
        <v>43701</v>
      </c>
      <c r="AZ4534" s="3" t="s">
        <v>43702</v>
      </c>
      <c r="BA4534" s="3" t="s">
        <v>43702</v>
      </c>
      <c r="BB4534" s="3" t="s">
        <v>43703</v>
      </c>
      <c r="BC4534" s="3" t="s">
        <v>102</v>
      </c>
      <c r="BD4534" s="3" t="s">
        <v>6923</v>
      </c>
      <c r="BE4534" s="3" t="s">
        <v>43704</v>
      </c>
      <c r="BF4534" s="3" t="s">
        <v>43703</v>
      </c>
      <c r="BG4534" s="3" t="s">
        <v>43705</v>
      </c>
    </row>
    <row r="4535" spans="1:59" ht="58" x14ac:dyDescent="0.35">
      <c r="A4535" s="2" t="s">
        <v>59</v>
      </c>
      <c r="B4535" s="2" t="s">
        <v>60</v>
      </c>
      <c r="C4535" s="2" t="s">
        <v>43695</v>
      </c>
      <c r="D4535" s="2" t="s">
        <v>43696</v>
      </c>
      <c r="E4535" s="2" t="s">
        <v>43697</v>
      </c>
      <c r="G4535" s="3" t="s">
        <v>61</v>
      </c>
      <c r="I4535" s="3" t="s">
        <v>61</v>
      </c>
      <c r="J4535" s="3" t="s">
        <v>62</v>
      </c>
      <c r="K4535" s="3" t="s">
        <v>63</v>
      </c>
      <c r="L4535" s="2" t="s">
        <v>43698</v>
      </c>
      <c r="M4535" s="2" t="s">
        <v>43699</v>
      </c>
      <c r="N4535" s="3" t="s">
        <v>1662</v>
      </c>
      <c r="P4535" s="3" t="s">
        <v>85</v>
      </c>
      <c r="R4535" s="3" t="s">
        <v>42369</v>
      </c>
      <c r="S4535" s="4">
        <v>1</v>
      </c>
      <c r="T4535" s="4">
        <v>2</v>
      </c>
      <c r="U4535" s="5" t="s">
        <v>2820</v>
      </c>
      <c r="V4535" s="5" t="s">
        <v>2820</v>
      </c>
      <c r="W4535" s="5" t="s">
        <v>67</v>
      </c>
      <c r="X4535" s="5" t="s">
        <v>67</v>
      </c>
      <c r="Y4535" s="4">
        <v>114</v>
      </c>
      <c r="Z4535" s="4">
        <v>10</v>
      </c>
      <c r="AA4535" s="4">
        <v>14</v>
      </c>
      <c r="AB4535" s="4">
        <v>1</v>
      </c>
      <c r="AC4535" s="4">
        <v>2</v>
      </c>
      <c r="AD4535" s="4">
        <v>50</v>
      </c>
      <c r="AE4535" s="4">
        <v>60</v>
      </c>
      <c r="AF4535" s="4">
        <v>0</v>
      </c>
      <c r="AG4535" s="4">
        <v>1</v>
      </c>
      <c r="AH4535" s="4">
        <v>46</v>
      </c>
      <c r="AI4535" s="4">
        <v>53</v>
      </c>
      <c r="AJ4535" s="4">
        <v>3</v>
      </c>
      <c r="AK4535" s="4">
        <v>7</v>
      </c>
      <c r="AL4535" s="4">
        <v>27</v>
      </c>
      <c r="AM4535" s="4">
        <v>31</v>
      </c>
      <c r="AN4535" s="4">
        <v>0</v>
      </c>
      <c r="AO4535" s="4">
        <v>0</v>
      </c>
      <c r="AP4535" s="4">
        <v>6</v>
      </c>
      <c r="AQ4535" s="4">
        <v>9</v>
      </c>
      <c r="AR4535" s="3" t="s">
        <v>62</v>
      </c>
      <c r="AS4535" s="3" t="s">
        <v>62</v>
      </c>
      <c r="AT4535" s="3" t="s">
        <v>62</v>
      </c>
      <c r="AV4535" s="6" t="str">
        <f>HYPERLINK("http://mcgill.on.worldcat.org/oclc/1833142","Catalog Record")</f>
        <v>Catalog Record</v>
      </c>
      <c r="AW4535" s="6" t="str">
        <f>HYPERLINK("http://www.worldcat.org/oclc/1833142","WorldCat Record")</f>
        <v>WorldCat Record</v>
      </c>
      <c r="AX4535" s="3" t="s">
        <v>43700</v>
      </c>
      <c r="AY4535" s="3" t="s">
        <v>43701</v>
      </c>
      <c r="AZ4535" s="3" t="s">
        <v>43702</v>
      </c>
      <c r="BA4535" s="3" t="s">
        <v>43702</v>
      </c>
      <c r="BB4535" s="3" t="s">
        <v>43706</v>
      </c>
      <c r="BC4535" s="3" t="s">
        <v>102</v>
      </c>
      <c r="BD4535" s="3" t="s">
        <v>6923</v>
      </c>
      <c r="BE4535" s="3" t="s">
        <v>43704</v>
      </c>
      <c r="BF4535" s="3" t="s">
        <v>43706</v>
      </c>
      <c r="BG4535" s="3" t="s">
        <v>43707</v>
      </c>
    </row>
    <row r="4536" spans="1:59" ht="58" x14ac:dyDescent="0.35">
      <c r="A4536" s="2" t="s">
        <v>59</v>
      </c>
      <c r="B4536" s="2" t="s">
        <v>60</v>
      </c>
      <c r="C4536" s="2" t="s">
        <v>43708</v>
      </c>
      <c r="D4536" s="2" t="s">
        <v>43709</v>
      </c>
      <c r="E4536" s="2" t="s">
        <v>43710</v>
      </c>
      <c r="G4536" s="3" t="s">
        <v>62</v>
      </c>
      <c r="I4536" s="3" t="s">
        <v>62</v>
      </c>
      <c r="J4536" s="3" t="s">
        <v>62</v>
      </c>
      <c r="K4536" s="3" t="s">
        <v>63</v>
      </c>
      <c r="M4536" s="2" t="s">
        <v>43711</v>
      </c>
      <c r="N4536" s="3" t="s">
        <v>596</v>
      </c>
      <c r="O4536" s="2" t="s">
        <v>2163</v>
      </c>
      <c r="P4536" s="3" t="s">
        <v>64</v>
      </c>
      <c r="Q4536" s="2" t="s">
        <v>43712</v>
      </c>
      <c r="R4536" s="3" t="s">
        <v>42369</v>
      </c>
      <c r="S4536" s="4">
        <v>6</v>
      </c>
      <c r="T4536" s="4">
        <v>6</v>
      </c>
      <c r="U4536" s="5" t="s">
        <v>43713</v>
      </c>
      <c r="V4536" s="5" t="s">
        <v>43713</v>
      </c>
      <c r="W4536" s="5" t="s">
        <v>67</v>
      </c>
      <c r="X4536" s="5" t="s">
        <v>67</v>
      </c>
      <c r="Y4536" s="4">
        <v>206</v>
      </c>
      <c r="Z4536" s="4">
        <v>17</v>
      </c>
      <c r="AA4536" s="4">
        <v>20</v>
      </c>
      <c r="AB4536" s="4">
        <v>1</v>
      </c>
      <c r="AC4536" s="4">
        <v>3</v>
      </c>
      <c r="AD4536" s="4">
        <v>64</v>
      </c>
      <c r="AE4536" s="4">
        <v>71</v>
      </c>
      <c r="AF4536" s="4">
        <v>0</v>
      </c>
      <c r="AG4536" s="4">
        <v>2</v>
      </c>
      <c r="AH4536" s="4">
        <v>55</v>
      </c>
      <c r="AI4536" s="4">
        <v>60</v>
      </c>
      <c r="AJ4536" s="4">
        <v>12</v>
      </c>
      <c r="AK4536" s="4">
        <v>14</v>
      </c>
      <c r="AL4536" s="4">
        <v>34</v>
      </c>
      <c r="AM4536" s="4">
        <v>35</v>
      </c>
      <c r="AN4536" s="4">
        <v>0</v>
      </c>
      <c r="AO4536" s="4">
        <v>0</v>
      </c>
      <c r="AP4536" s="4">
        <v>13</v>
      </c>
      <c r="AQ4536" s="4">
        <v>15</v>
      </c>
      <c r="AR4536" s="3" t="s">
        <v>62</v>
      </c>
      <c r="AS4536" s="3" t="s">
        <v>62</v>
      </c>
      <c r="AT4536" s="3" t="s">
        <v>62</v>
      </c>
      <c r="AV4536" s="6" t="str">
        <f>HYPERLINK("http://mcgill.on.worldcat.org/oclc/49926870","Catalog Record")</f>
        <v>Catalog Record</v>
      </c>
      <c r="AW4536" s="6" t="str">
        <f>HYPERLINK("http://www.worldcat.org/oclc/49926870","WorldCat Record")</f>
        <v>WorldCat Record</v>
      </c>
      <c r="AX4536" s="3" t="s">
        <v>43714</v>
      </c>
      <c r="AY4536" s="3" t="s">
        <v>43715</v>
      </c>
      <c r="AZ4536" s="3" t="s">
        <v>43716</v>
      </c>
      <c r="BA4536" s="3" t="s">
        <v>43716</v>
      </c>
      <c r="BB4536" s="3" t="s">
        <v>43717</v>
      </c>
      <c r="BC4536" s="3" t="s">
        <v>102</v>
      </c>
      <c r="BD4536" s="3" t="s">
        <v>68</v>
      </c>
      <c r="BE4536" s="3" t="s">
        <v>43718</v>
      </c>
      <c r="BF4536" s="3" t="s">
        <v>43717</v>
      </c>
      <c r="BG4536" s="3" t="s">
        <v>43719</v>
      </c>
    </row>
    <row r="4537" spans="1:59" ht="87" x14ac:dyDescent="0.35">
      <c r="A4537" s="2" t="s">
        <v>59</v>
      </c>
      <c r="B4537" s="2" t="s">
        <v>60</v>
      </c>
      <c r="C4537" s="2" t="s">
        <v>43720</v>
      </c>
      <c r="D4537" s="2" t="s">
        <v>43721</v>
      </c>
      <c r="E4537" s="2" t="s">
        <v>43722</v>
      </c>
      <c r="G4537" s="3" t="s">
        <v>62</v>
      </c>
      <c r="I4537" s="3" t="s">
        <v>62</v>
      </c>
      <c r="J4537" s="3" t="s">
        <v>62</v>
      </c>
      <c r="K4537" s="3" t="s">
        <v>63</v>
      </c>
      <c r="M4537" s="2" t="s">
        <v>43723</v>
      </c>
      <c r="N4537" s="3" t="s">
        <v>1905</v>
      </c>
      <c r="P4537" s="3" t="s">
        <v>64</v>
      </c>
      <c r="Q4537" s="2" t="s">
        <v>43724</v>
      </c>
      <c r="R4537" s="3" t="s">
        <v>42369</v>
      </c>
      <c r="S4537" s="4">
        <v>16</v>
      </c>
      <c r="T4537" s="4">
        <v>16</v>
      </c>
      <c r="U4537" s="5" t="s">
        <v>43725</v>
      </c>
      <c r="V4537" s="5" t="s">
        <v>43725</v>
      </c>
      <c r="W4537" s="5" t="s">
        <v>67</v>
      </c>
      <c r="X4537" s="5" t="s">
        <v>67</v>
      </c>
      <c r="Y4537" s="4">
        <v>68</v>
      </c>
      <c r="Z4537" s="4">
        <v>7</v>
      </c>
      <c r="AA4537" s="4">
        <v>7</v>
      </c>
      <c r="AB4537" s="4">
        <v>1</v>
      </c>
      <c r="AC4537" s="4">
        <v>1</v>
      </c>
      <c r="AD4537" s="4">
        <v>26</v>
      </c>
      <c r="AE4537" s="4">
        <v>26</v>
      </c>
      <c r="AF4537" s="4">
        <v>0</v>
      </c>
      <c r="AG4537" s="4">
        <v>0</v>
      </c>
      <c r="AH4537" s="4">
        <v>22</v>
      </c>
      <c r="AI4537" s="4">
        <v>22</v>
      </c>
      <c r="AJ4537" s="4">
        <v>4</v>
      </c>
      <c r="AK4537" s="4">
        <v>4</v>
      </c>
      <c r="AL4537" s="4">
        <v>13</v>
      </c>
      <c r="AM4537" s="4">
        <v>13</v>
      </c>
      <c r="AN4537" s="4">
        <v>0</v>
      </c>
      <c r="AO4537" s="4">
        <v>0</v>
      </c>
      <c r="AP4537" s="4">
        <v>5</v>
      </c>
      <c r="AQ4537" s="4">
        <v>5</v>
      </c>
      <c r="AR4537" s="3" t="s">
        <v>62</v>
      </c>
      <c r="AS4537" s="3" t="s">
        <v>62</v>
      </c>
      <c r="AT4537" s="3" t="s">
        <v>62</v>
      </c>
      <c r="AV4537" s="6" t="str">
        <f>HYPERLINK("http://mcgill.on.worldcat.org/oclc/20492248","Catalog Record")</f>
        <v>Catalog Record</v>
      </c>
      <c r="AW4537" s="6" t="str">
        <f>HYPERLINK("http://www.worldcat.org/oclc/20492248","WorldCat Record")</f>
        <v>WorldCat Record</v>
      </c>
      <c r="AX4537" s="3" t="s">
        <v>43726</v>
      </c>
      <c r="AY4537" s="3" t="s">
        <v>43727</v>
      </c>
      <c r="AZ4537" s="3" t="s">
        <v>43728</v>
      </c>
      <c r="BA4537" s="3" t="s">
        <v>43728</v>
      </c>
      <c r="BB4537" s="3" t="s">
        <v>43729</v>
      </c>
      <c r="BC4537" s="3" t="s">
        <v>102</v>
      </c>
      <c r="BD4537" s="3" t="s">
        <v>68</v>
      </c>
      <c r="BE4537" s="3" t="s">
        <v>43730</v>
      </c>
      <c r="BF4537" s="3" t="s">
        <v>43729</v>
      </c>
      <c r="BG4537" s="3" t="s">
        <v>43731</v>
      </c>
    </row>
    <row r="4538" spans="1:59" ht="87" x14ac:dyDescent="0.35">
      <c r="A4538" s="2" t="s">
        <v>59</v>
      </c>
      <c r="B4538" s="2" t="s">
        <v>60</v>
      </c>
      <c r="C4538" s="2" t="s">
        <v>43732</v>
      </c>
      <c r="D4538" s="2" t="s">
        <v>43733</v>
      </c>
      <c r="E4538" s="2" t="s">
        <v>43734</v>
      </c>
      <c r="G4538" s="3" t="s">
        <v>62</v>
      </c>
      <c r="I4538" s="3" t="s">
        <v>62</v>
      </c>
      <c r="J4538" s="3" t="s">
        <v>62</v>
      </c>
      <c r="K4538" s="3" t="s">
        <v>63</v>
      </c>
      <c r="L4538" s="2" t="s">
        <v>43735</v>
      </c>
      <c r="M4538" s="2" t="s">
        <v>43736</v>
      </c>
      <c r="N4538" s="3" t="s">
        <v>115</v>
      </c>
      <c r="P4538" s="3" t="s">
        <v>64</v>
      </c>
      <c r="Q4538" s="2" t="s">
        <v>43737</v>
      </c>
      <c r="R4538" s="3" t="s">
        <v>42369</v>
      </c>
      <c r="S4538" s="4">
        <v>6</v>
      </c>
      <c r="T4538" s="4">
        <v>6</v>
      </c>
      <c r="U4538" s="5" t="s">
        <v>35702</v>
      </c>
      <c r="V4538" s="5" t="s">
        <v>35702</v>
      </c>
      <c r="W4538" s="5" t="s">
        <v>67</v>
      </c>
      <c r="X4538" s="5" t="s">
        <v>67</v>
      </c>
      <c r="Y4538" s="4">
        <v>62</v>
      </c>
      <c r="Z4538" s="4">
        <v>5</v>
      </c>
      <c r="AA4538" s="4">
        <v>5</v>
      </c>
      <c r="AB4538" s="4">
        <v>1</v>
      </c>
      <c r="AC4538" s="4">
        <v>1</v>
      </c>
      <c r="AD4538" s="4">
        <v>23</v>
      </c>
      <c r="AE4538" s="4">
        <v>23</v>
      </c>
      <c r="AF4538" s="4">
        <v>0</v>
      </c>
      <c r="AG4538" s="4">
        <v>0</v>
      </c>
      <c r="AH4538" s="4">
        <v>20</v>
      </c>
      <c r="AI4538" s="4">
        <v>20</v>
      </c>
      <c r="AJ4538" s="4">
        <v>3</v>
      </c>
      <c r="AK4538" s="4">
        <v>3</v>
      </c>
      <c r="AL4538" s="4">
        <v>13</v>
      </c>
      <c r="AM4538" s="4">
        <v>13</v>
      </c>
      <c r="AN4538" s="4">
        <v>0</v>
      </c>
      <c r="AO4538" s="4">
        <v>0</v>
      </c>
      <c r="AP4538" s="4">
        <v>4</v>
      </c>
      <c r="AQ4538" s="4">
        <v>4</v>
      </c>
      <c r="AR4538" s="3" t="s">
        <v>62</v>
      </c>
      <c r="AS4538" s="3" t="s">
        <v>62</v>
      </c>
      <c r="AT4538" s="3" t="s">
        <v>62</v>
      </c>
      <c r="AV4538" s="6" t="str">
        <f>HYPERLINK("http://mcgill.on.worldcat.org/oclc/22455843","Catalog Record")</f>
        <v>Catalog Record</v>
      </c>
      <c r="AW4538" s="6" t="str">
        <f>HYPERLINK("http://www.worldcat.org/oclc/22455843","WorldCat Record")</f>
        <v>WorldCat Record</v>
      </c>
      <c r="AX4538" s="3" t="s">
        <v>43738</v>
      </c>
      <c r="AY4538" s="3" t="s">
        <v>43739</v>
      </c>
      <c r="AZ4538" s="3" t="s">
        <v>43740</v>
      </c>
      <c r="BA4538" s="3" t="s">
        <v>43740</v>
      </c>
      <c r="BB4538" s="3" t="s">
        <v>43741</v>
      </c>
      <c r="BC4538" s="3" t="s">
        <v>102</v>
      </c>
      <c r="BD4538" s="3" t="s">
        <v>68</v>
      </c>
      <c r="BE4538" s="3" t="s">
        <v>43742</v>
      </c>
      <c r="BF4538" s="3" t="s">
        <v>43741</v>
      </c>
      <c r="BG4538" s="3" t="s">
        <v>43743</v>
      </c>
    </row>
    <row r="4539" spans="1:59" ht="72.5" x14ac:dyDescent="0.35">
      <c r="A4539" s="2" t="s">
        <v>59</v>
      </c>
      <c r="B4539" s="2" t="s">
        <v>60</v>
      </c>
      <c r="C4539" s="2" t="s">
        <v>43744</v>
      </c>
      <c r="D4539" s="2" t="s">
        <v>43745</v>
      </c>
      <c r="E4539" s="2" t="s">
        <v>43746</v>
      </c>
      <c r="G4539" s="3" t="s">
        <v>62</v>
      </c>
      <c r="I4539" s="3" t="s">
        <v>62</v>
      </c>
      <c r="J4539" s="3" t="s">
        <v>62</v>
      </c>
      <c r="K4539" s="3" t="s">
        <v>63</v>
      </c>
      <c r="L4539" s="2" t="s">
        <v>43747</v>
      </c>
      <c r="M4539" s="2" t="s">
        <v>43748</v>
      </c>
      <c r="N4539" s="3" t="s">
        <v>568</v>
      </c>
      <c r="O4539" s="2" t="s">
        <v>2163</v>
      </c>
      <c r="P4539" s="3" t="s">
        <v>64</v>
      </c>
      <c r="R4539" s="3" t="s">
        <v>42369</v>
      </c>
      <c r="S4539" s="4">
        <v>5</v>
      </c>
      <c r="T4539" s="4">
        <v>5</v>
      </c>
      <c r="U4539" s="5" t="s">
        <v>10908</v>
      </c>
      <c r="V4539" s="5" t="s">
        <v>10908</v>
      </c>
      <c r="W4539" s="5" t="s">
        <v>67</v>
      </c>
      <c r="X4539" s="5" t="s">
        <v>67</v>
      </c>
      <c r="Y4539" s="4">
        <v>1178</v>
      </c>
      <c r="Z4539" s="4">
        <v>27</v>
      </c>
      <c r="AA4539" s="4">
        <v>34</v>
      </c>
      <c r="AB4539" s="4">
        <v>2</v>
      </c>
      <c r="AC4539" s="4">
        <v>3</v>
      </c>
      <c r="AD4539" s="4">
        <v>92</v>
      </c>
      <c r="AE4539" s="4">
        <v>100</v>
      </c>
      <c r="AF4539" s="4">
        <v>0</v>
      </c>
      <c r="AG4539" s="4">
        <v>1</v>
      </c>
      <c r="AH4539" s="4">
        <v>84</v>
      </c>
      <c r="AI4539" s="4">
        <v>88</v>
      </c>
      <c r="AJ4539" s="4">
        <v>9</v>
      </c>
      <c r="AK4539" s="4">
        <v>13</v>
      </c>
      <c r="AL4539" s="4">
        <v>44</v>
      </c>
      <c r="AM4539" s="4">
        <v>47</v>
      </c>
      <c r="AN4539" s="4">
        <v>0</v>
      </c>
      <c r="AO4539" s="4">
        <v>0</v>
      </c>
      <c r="AP4539" s="4">
        <v>12</v>
      </c>
      <c r="AQ4539" s="4">
        <v>16</v>
      </c>
      <c r="AR4539" s="3" t="s">
        <v>62</v>
      </c>
      <c r="AS4539" s="3" t="s">
        <v>62</v>
      </c>
      <c r="AT4539" s="3" t="s">
        <v>62</v>
      </c>
      <c r="AV4539" s="6" t="str">
        <f>HYPERLINK("http://mcgill.on.worldcat.org/oclc/42290224","Catalog Record")</f>
        <v>Catalog Record</v>
      </c>
      <c r="AW4539" s="6" t="str">
        <f>HYPERLINK("http://www.worldcat.org/oclc/42290224","WorldCat Record")</f>
        <v>WorldCat Record</v>
      </c>
      <c r="AX4539" s="3" t="s">
        <v>43749</v>
      </c>
      <c r="AY4539" s="3" t="s">
        <v>43750</v>
      </c>
      <c r="AZ4539" s="3" t="s">
        <v>43751</v>
      </c>
      <c r="BA4539" s="3" t="s">
        <v>43751</v>
      </c>
      <c r="BB4539" s="3" t="s">
        <v>43752</v>
      </c>
      <c r="BC4539" s="3" t="s">
        <v>102</v>
      </c>
      <c r="BD4539" s="3" t="s">
        <v>68</v>
      </c>
      <c r="BE4539" s="3" t="s">
        <v>43753</v>
      </c>
      <c r="BF4539" s="3" t="s">
        <v>43752</v>
      </c>
      <c r="BG4539" s="3" t="s">
        <v>43754</v>
      </c>
    </row>
    <row r="4540" spans="1:59" ht="58" x14ac:dyDescent="0.35">
      <c r="A4540" s="2" t="s">
        <v>59</v>
      </c>
      <c r="B4540" s="2" t="s">
        <v>60</v>
      </c>
      <c r="C4540" s="2" t="s">
        <v>43755</v>
      </c>
      <c r="D4540" s="2" t="s">
        <v>43756</v>
      </c>
      <c r="E4540" s="2" t="s">
        <v>43757</v>
      </c>
      <c r="G4540" s="3" t="s">
        <v>62</v>
      </c>
      <c r="I4540" s="3" t="s">
        <v>62</v>
      </c>
      <c r="J4540" s="3" t="s">
        <v>62</v>
      </c>
      <c r="K4540" s="3" t="s">
        <v>63</v>
      </c>
      <c r="L4540" s="2" t="s">
        <v>43758</v>
      </c>
      <c r="M4540" s="2" t="s">
        <v>43759</v>
      </c>
      <c r="N4540" s="3" t="s">
        <v>396</v>
      </c>
      <c r="P4540" s="3" t="s">
        <v>85</v>
      </c>
      <c r="Q4540" s="2" t="s">
        <v>43760</v>
      </c>
      <c r="R4540" s="3" t="s">
        <v>42369</v>
      </c>
      <c r="S4540" s="4">
        <v>1</v>
      </c>
      <c r="T4540" s="4">
        <v>1</v>
      </c>
      <c r="U4540" s="5" t="s">
        <v>19040</v>
      </c>
      <c r="V4540" s="5" t="s">
        <v>19040</v>
      </c>
      <c r="W4540" s="5" t="s">
        <v>67</v>
      </c>
      <c r="X4540" s="5" t="s">
        <v>67</v>
      </c>
      <c r="Y4540" s="4">
        <v>2</v>
      </c>
      <c r="Z4540" s="4">
        <v>2</v>
      </c>
      <c r="AA4540" s="4">
        <v>10</v>
      </c>
      <c r="AB4540" s="4">
        <v>2</v>
      </c>
      <c r="AC4540" s="4">
        <v>9</v>
      </c>
      <c r="AD4540" s="4">
        <v>1</v>
      </c>
      <c r="AE4540" s="4">
        <v>5</v>
      </c>
      <c r="AF4540" s="4">
        <v>1</v>
      </c>
      <c r="AG4540" s="4">
        <v>4</v>
      </c>
      <c r="AH4540" s="4">
        <v>0</v>
      </c>
      <c r="AI4540" s="4">
        <v>1</v>
      </c>
      <c r="AJ4540" s="4">
        <v>1</v>
      </c>
      <c r="AK4540" s="4">
        <v>5</v>
      </c>
      <c r="AL4540" s="4">
        <v>0</v>
      </c>
      <c r="AM4540" s="4">
        <v>0</v>
      </c>
      <c r="AN4540" s="4">
        <v>0</v>
      </c>
      <c r="AO4540" s="4">
        <v>0</v>
      </c>
      <c r="AP4540" s="4">
        <v>1</v>
      </c>
      <c r="AQ4540" s="4">
        <v>3</v>
      </c>
      <c r="AR4540" s="3" t="s">
        <v>61</v>
      </c>
      <c r="AS4540" s="3" t="s">
        <v>62</v>
      </c>
      <c r="AT4540" s="3" t="s">
        <v>62</v>
      </c>
      <c r="AV4540" s="6" t="str">
        <f>HYPERLINK("http://mcgill.on.worldcat.org/oclc/427237430","Catalog Record")</f>
        <v>Catalog Record</v>
      </c>
      <c r="AW4540" s="6" t="str">
        <f>HYPERLINK("http://www.worldcat.org/oclc/427237430","WorldCat Record")</f>
        <v>WorldCat Record</v>
      </c>
      <c r="AX4540" s="3" t="s">
        <v>43761</v>
      </c>
      <c r="AY4540" s="3" t="s">
        <v>43762</v>
      </c>
      <c r="AZ4540" s="3" t="s">
        <v>43763</v>
      </c>
      <c r="BA4540" s="3" t="s">
        <v>43763</v>
      </c>
      <c r="BB4540" s="3" t="s">
        <v>43764</v>
      </c>
      <c r="BC4540" s="3" t="s">
        <v>102</v>
      </c>
      <c r="BD4540" s="3" t="s">
        <v>68</v>
      </c>
      <c r="BE4540" s="3" t="s">
        <v>43765</v>
      </c>
      <c r="BF4540" s="3" t="s">
        <v>43764</v>
      </c>
      <c r="BG4540" s="3" t="s">
        <v>43766</v>
      </c>
    </row>
    <row r="4541" spans="1:59" ht="130.5" x14ac:dyDescent="0.35">
      <c r="A4541" s="2" t="s">
        <v>89</v>
      </c>
      <c r="B4541" s="2" t="s">
        <v>90</v>
      </c>
      <c r="C4541" s="2" t="s">
        <v>43767</v>
      </c>
      <c r="D4541" s="2" t="s">
        <v>43768</v>
      </c>
      <c r="E4541" s="2" t="s">
        <v>43769</v>
      </c>
      <c r="G4541" s="3" t="s">
        <v>62</v>
      </c>
      <c r="I4541" s="3" t="s">
        <v>62</v>
      </c>
      <c r="J4541" s="3" t="s">
        <v>62</v>
      </c>
      <c r="K4541" s="3" t="s">
        <v>63</v>
      </c>
      <c r="L4541" s="2" t="s">
        <v>43770</v>
      </c>
      <c r="M4541" s="2" t="s">
        <v>43771</v>
      </c>
      <c r="N4541" s="3" t="s">
        <v>1455</v>
      </c>
      <c r="P4541" s="3" t="s">
        <v>64</v>
      </c>
      <c r="Q4541" s="2" t="s">
        <v>43772</v>
      </c>
      <c r="R4541" s="3" t="s">
        <v>42369</v>
      </c>
      <c r="S4541" s="4">
        <v>0</v>
      </c>
      <c r="T4541" s="4">
        <v>0</v>
      </c>
      <c r="W4541" s="5" t="s">
        <v>67</v>
      </c>
      <c r="X4541" s="5" t="s">
        <v>67</v>
      </c>
      <c r="Y4541" s="4">
        <v>105</v>
      </c>
      <c r="Z4541" s="4">
        <v>5</v>
      </c>
      <c r="AA4541" s="4">
        <v>5</v>
      </c>
      <c r="AB4541" s="4">
        <v>1</v>
      </c>
      <c r="AC4541" s="4">
        <v>1</v>
      </c>
      <c r="AD4541" s="4">
        <v>54</v>
      </c>
      <c r="AE4541" s="4">
        <v>54</v>
      </c>
      <c r="AF4541" s="4">
        <v>0</v>
      </c>
      <c r="AG4541" s="4">
        <v>0</v>
      </c>
      <c r="AH4541" s="4">
        <v>51</v>
      </c>
      <c r="AI4541" s="4">
        <v>51</v>
      </c>
      <c r="AJ4541" s="4">
        <v>4</v>
      </c>
      <c r="AK4541" s="4">
        <v>4</v>
      </c>
      <c r="AL4541" s="4">
        <v>33</v>
      </c>
      <c r="AM4541" s="4">
        <v>33</v>
      </c>
      <c r="AN4541" s="4">
        <v>0</v>
      </c>
      <c r="AO4541" s="4">
        <v>0</v>
      </c>
      <c r="AP4541" s="4">
        <v>4</v>
      </c>
      <c r="AQ4541" s="4">
        <v>4</v>
      </c>
      <c r="AR4541" s="3" t="s">
        <v>62</v>
      </c>
      <c r="AS4541" s="3" t="s">
        <v>62</v>
      </c>
      <c r="AT4541" s="3" t="s">
        <v>62</v>
      </c>
      <c r="AV4541" s="6" t="str">
        <f>HYPERLINK("http://mcgill.on.worldcat.org/oclc/918562855","Catalog Record")</f>
        <v>Catalog Record</v>
      </c>
      <c r="AW4541" s="6" t="str">
        <f>HYPERLINK("http://www.worldcat.org/oclc/918562855","WorldCat Record")</f>
        <v>WorldCat Record</v>
      </c>
      <c r="AX4541" s="3" t="s">
        <v>43773</v>
      </c>
      <c r="AY4541" s="3" t="s">
        <v>43774</v>
      </c>
      <c r="AZ4541" s="3" t="s">
        <v>43775</v>
      </c>
      <c r="BA4541" s="3" t="s">
        <v>43775</v>
      </c>
      <c r="BB4541" s="3" t="s">
        <v>43776</v>
      </c>
      <c r="BC4541" s="3" t="s">
        <v>102</v>
      </c>
      <c r="BD4541" s="3" t="s">
        <v>68</v>
      </c>
      <c r="BE4541" s="3" t="s">
        <v>43777</v>
      </c>
      <c r="BF4541" s="3" t="s">
        <v>43776</v>
      </c>
      <c r="BG4541" s="3" t="s">
        <v>43778</v>
      </c>
    </row>
    <row r="4542" spans="1:59" ht="58" x14ac:dyDescent="0.35">
      <c r="A4542" s="2" t="s">
        <v>89</v>
      </c>
      <c r="B4542" s="2" t="s">
        <v>90</v>
      </c>
      <c r="C4542" s="2" t="s">
        <v>43779</v>
      </c>
      <c r="D4542" s="2" t="s">
        <v>43780</v>
      </c>
      <c r="E4542" s="2" t="s">
        <v>43781</v>
      </c>
      <c r="G4542" s="3" t="s">
        <v>62</v>
      </c>
      <c r="I4542" s="3" t="s">
        <v>62</v>
      </c>
      <c r="J4542" s="3" t="s">
        <v>62</v>
      </c>
      <c r="K4542" s="3" t="s">
        <v>63</v>
      </c>
      <c r="L4542" s="2" t="s">
        <v>43770</v>
      </c>
      <c r="M4542" s="2" t="s">
        <v>697</v>
      </c>
      <c r="N4542" s="3" t="s">
        <v>698</v>
      </c>
      <c r="P4542" s="3" t="s">
        <v>64</v>
      </c>
      <c r="Q4542" s="2" t="s">
        <v>43782</v>
      </c>
      <c r="R4542" s="3" t="s">
        <v>42369</v>
      </c>
      <c r="S4542" s="4">
        <v>0</v>
      </c>
      <c r="T4542" s="4">
        <v>0</v>
      </c>
      <c r="W4542" s="5" t="s">
        <v>67</v>
      </c>
      <c r="X4542" s="5" t="s">
        <v>67</v>
      </c>
      <c r="Y4542" s="4">
        <v>128</v>
      </c>
      <c r="Z4542" s="4">
        <v>7</v>
      </c>
      <c r="AA4542" s="4">
        <v>7</v>
      </c>
      <c r="AB4542" s="4">
        <v>1</v>
      </c>
      <c r="AC4542" s="4">
        <v>1</v>
      </c>
      <c r="AD4542" s="4">
        <v>61</v>
      </c>
      <c r="AE4542" s="4">
        <v>61</v>
      </c>
      <c r="AF4542" s="4">
        <v>0</v>
      </c>
      <c r="AG4542" s="4">
        <v>0</v>
      </c>
      <c r="AH4542" s="4">
        <v>56</v>
      </c>
      <c r="AI4542" s="4">
        <v>56</v>
      </c>
      <c r="AJ4542" s="4">
        <v>6</v>
      </c>
      <c r="AK4542" s="4">
        <v>6</v>
      </c>
      <c r="AL4542" s="4">
        <v>35</v>
      </c>
      <c r="AM4542" s="4">
        <v>35</v>
      </c>
      <c r="AN4542" s="4">
        <v>0</v>
      </c>
      <c r="AO4542" s="4">
        <v>0</v>
      </c>
      <c r="AP4542" s="4">
        <v>6</v>
      </c>
      <c r="AQ4542" s="4">
        <v>6</v>
      </c>
      <c r="AR4542" s="3" t="s">
        <v>62</v>
      </c>
      <c r="AS4542" s="3" t="s">
        <v>62</v>
      </c>
      <c r="AT4542" s="3" t="s">
        <v>62</v>
      </c>
      <c r="AV4542" s="6" t="str">
        <f>HYPERLINK("http://mcgill.on.worldcat.org/oclc/781431880","Catalog Record")</f>
        <v>Catalog Record</v>
      </c>
      <c r="AW4542" s="6" t="str">
        <f>HYPERLINK("http://www.worldcat.org/oclc/781431880","WorldCat Record")</f>
        <v>WorldCat Record</v>
      </c>
      <c r="AX4542" s="3" t="s">
        <v>43783</v>
      </c>
      <c r="AY4542" s="3" t="s">
        <v>43784</v>
      </c>
      <c r="AZ4542" s="3" t="s">
        <v>43785</v>
      </c>
      <c r="BA4542" s="3" t="s">
        <v>43785</v>
      </c>
      <c r="BB4542" s="3" t="s">
        <v>43786</v>
      </c>
      <c r="BC4542" s="3" t="s">
        <v>102</v>
      </c>
      <c r="BD4542" s="3" t="s">
        <v>68</v>
      </c>
      <c r="BE4542" s="3" t="s">
        <v>43787</v>
      </c>
      <c r="BF4542" s="3" t="s">
        <v>43786</v>
      </c>
      <c r="BG4542" s="3" t="s">
        <v>43788</v>
      </c>
    </row>
    <row r="4543" spans="1:59" ht="58" x14ac:dyDescent="0.35">
      <c r="A4543" s="2" t="s">
        <v>89</v>
      </c>
      <c r="B4543" s="2" t="s">
        <v>90</v>
      </c>
      <c r="C4543" s="2" t="s">
        <v>43789</v>
      </c>
      <c r="D4543" s="2" t="s">
        <v>43790</v>
      </c>
      <c r="E4543" s="2" t="s">
        <v>43791</v>
      </c>
      <c r="G4543" s="3" t="s">
        <v>62</v>
      </c>
      <c r="I4543" s="3" t="s">
        <v>62</v>
      </c>
      <c r="J4543" s="3" t="s">
        <v>62</v>
      </c>
      <c r="K4543" s="3" t="s">
        <v>63</v>
      </c>
      <c r="L4543" s="2" t="s">
        <v>43792</v>
      </c>
      <c r="M4543" s="2" t="s">
        <v>43793</v>
      </c>
      <c r="N4543" s="3" t="s">
        <v>1038</v>
      </c>
      <c r="P4543" s="3" t="s">
        <v>64</v>
      </c>
      <c r="R4543" s="3" t="s">
        <v>42369</v>
      </c>
      <c r="S4543" s="4">
        <v>2</v>
      </c>
      <c r="T4543" s="4">
        <v>2</v>
      </c>
      <c r="U4543" s="5" t="s">
        <v>25732</v>
      </c>
      <c r="V4543" s="5" t="s">
        <v>25732</v>
      </c>
      <c r="W4543" s="5" t="s">
        <v>67</v>
      </c>
      <c r="X4543" s="5" t="s">
        <v>67</v>
      </c>
      <c r="Y4543" s="4">
        <v>352</v>
      </c>
      <c r="Z4543" s="4">
        <v>13</v>
      </c>
      <c r="AA4543" s="4">
        <v>16</v>
      </c>
      <c r="AB4543" s="4">
        <v>1</v>
      </c>
      <c r="AC4543" s="4">
        <v>4</v>
      </c>
      <c r="AD4543" s="4">
        <v>50</v>
      </c>
      <c r="AE4543" s="4">
        <v>51</v>
      </c>
      <c r="AF4543" s="4">
        <v>0</v>
      </c>
      <c r="AG4543" s="4">
        <v>0</v>
      </c>
      <c r="AH4543" s="4">
        <v>45</v>
      </c>
      <c r="AI4543" s="4">
        <v>46</v>
      </c>
      <c r="AJ4543" s="4">
        <v>7</v>
      </c>
      <c r="AK4543" s="4">
        <v>7</v>
      </c>
      <c r="AL4543" s="4">
        <v>30</v>
      </c>
      <c r="AM4543" s="4">
        <v>31</v>
      </c>
      <c r="AN4543" s="4">
        <v>0</v>
      </c>
      <c r="AO4543" s="4">
        <v>0</v>
      </c>
      <c r="AP4543" s="4">
        <v>8</v>
      </c>
      <c r="AQ4543" s="4">
        <v>8</v>
      </c>
      <c r="AR4543" s="3" t="s">
        <v>62</v>
      </c>
      <c r="AS4543" s="3" t="s">
        <v>62</v>
      </c>
      <c r="AT4543" s="3" t="s">
        <v>62</v>
      </c>
      <c r="AV4543" s="6" t="str">
        <f>HYPERLINK("http://mcgill.on.worldcat.org/oclc/921821791","Catalog Record")</f>
        <v>Catalog Record</v>
      </c>
      <c r="AW4543" s="6" t="str">
        <f>HYPERLINK("http://www.worldcat.org/oclc/921821791","WorldCat Record")</f>
        <v>WorldCat Record</v>
      </c>
      <c r="AX4543" s="3" t="s">
        <v>43794</v>
      </c>
      <c r="AY4543" s="3" t="s">
        <v>43795</v>
      </c>
      <c r="AZ4543" s="3" t="s">
        <v>43796</v>
      </c>
      <c r="BA4543" s="3" t="s">
        <v>43796</v>
      </c>
      <c r="BB4543" s="3" t="s">
        <v>43797</v>
      </c>
      <c r="BC4543" s="3" t="s">
        <v>102</v>
      </c>
      <c r="BD4543" s="3" t="s">
        <v>68</v>
      </c>
      <c r="BE4543" s="3" t="s">
        <v>43798</v>
      </c>
      <c r="BF4543" s="3" t="s">
        <v>43797</v>
      </c>
      <c r="BG4543" s="3" t="s">
        <v>43799</v>
      </c>
    </row>
    <row r="4544" spans="1:59" ht="58" x14ac:dyDescent="0.35">
      <c r="A4544" s="2" t="s">
        <v>59</v>
      </c>
      <c r="B4544" s="2" t="s">
        <v>60</v>
      </c>
      <c r="C4544" s="2" t="s">
        <v>43800</v>
      </c>
      <c r="D4544" s="2" t="s">
        <v>43801</v>
      </c>
      <c r="E4544" s="2" t="s">
        <v>43802</v>
      </c>
      <c r="G4544" s="3" t="s">
        <v>62</v>
      </c>
      <c r="I4544" s="3" t="s">
        <v>62</v>
      </c>
      <c r="J4544" s="3" t="s">
        <v>62</v>
      </c>
      <c r="K4544" s="3" t="s">
        <v>63</v>
      </c>
      <c r="L4544" s="2" t="s">
        <v>43803</v>
      </c>
      <c r="M4544" s="2" t="s">
        <v>16901</v>
      </c>
      <c r="N4544" s="3" t="s">
        <v>355</v>
      </c>
      <c r="P4544" s="3" t="s">
        <v>64</v>
      </c>
      <c r="Q4544" s="2" t="s">
        <v>43804</v>
      </c>
      <c r="R4544" s="3" t="s">
        <v>42369</v>
      </c>
      <c r="S4544" s="4">
        <v>15</v>
      </c>
      <c r="T4544" s="4">
        <v>15</v>
      </c>
      <c r="U4544" s="5" t="s">
        <v>7391</v>
      </c>
      <c r="V4544" s="5" t="s">
        <v>7391</v>
      </c>
      <c r="W4544" s="5" t="s">
        <v>67</v>
      </c>
      <c r="X4544" s="5" t="s">
        <v>67</v>
      </c>
      <c r="Y4544" s="4">
        <v>570</v>
      </c>
      <c r="Z4544" s="4">
        <v>15</v>
      </c>
      <c r="AA4544" s="4">
        <v>16</v>
      </c>
      <c r="AB4544" s="4">
        <v>1</v>
      </c>
      <c r="AC4544" s="4">
        <v>1</v>
      </c>
      <c r="AD4544" s="4">
        <v>56</v>
      </c>
      <c r="AE4544" s="4">
        <v>56</v>
      </c>
      <c r="AF4544" s="4">
        <v>0</v>
      </c>
      <c r="AG4544" s="4">
        <v>0</v>
      </c>
      <c r="AH4544" s="4">
        <v>53</v>
      </c>
      <c r="AI4544" s="4">
        <v>53</v>
      </c>
      <c r="AJ4544" s="4">
        <v>2</v>
      </c>
      <c r="AK4544" s="4">
        <v>2</v>
      </c>
      <c r="AL4544" s="4">
        <v>28</v>
      </c>
      <c r="AM4544" s="4">
        <v>28</v>
      </c>
      <c r="AN4544" s="4">
        <v>0</v>
      </c>
      <c r="AO4544" s="4">
        <v>0</v>
      </c>
      <c r="AP4544" s="4">
        <v>5</v>
      </c>
      <c r="AQ4544" s="4">
        <v>5</v>
      </c>
      <c r="AR4544" s="3" t="s">
        <v>62</v>
      </c>
      <c r="AS4544" s="3" t="s">
        <v>62</v>
      </c>
      <c r="AT4544" s="3" t="s">
        <v>61</v>
      </c>
      <c r="AU4544" s="6" t="str">
        <f>HYPERLINK("http://catalog.hathitrust.org/Record/004414416","HathiTrust Record")</f>
        <v>HathiTrust Record</v>
      </c>
      <c r="AV4544" s="6" t="str">
        <f>HYPERLINK("http://mcgill.on.worldcat.org/oclc/10404081","Catalog Record")</f>
        <v>Catalog Record</v>
      </c>
      <c r="AW4544" s="6" t="str">
        <f>HYPERLINK("http://www.worldcat.org/oclc/10404081","WorldCat Record")</f>
        <v>WorldCat Record</v>
      </c>
      <c r="AX4544" s="3" t="s">
        <v>43805</v>
      </c>
      <c r="AY4544" s="3" t="s">
        <v>43806</v>
      </c>
      <c r="AZ4544" s="3" t="s">
        <v>43807</v>
      </c>
      <c r="BA4544" s="3" t="s">
        <v>43807</v>
      </c>
      <c r="BB4544" s="3" t="s">
        <v>43808</v>
      </c>
      <c r="BC4544" s="3" t="s">
        <v>102</v>
      </c>
      <c r="BD4544" s="3" t="s">
        <v>68</v>
      </c>
      <c r="BE4544" s="3" t="s">
        <v>43809</v>
      </c>
      <c r="BF4544" s="3" t="s">
        <v>43808</v>
      </c>
      <c r="BG4544" s="3" t="s">
        <v>43810</v>
      </c>
    </row>
    <row r="4545" spans="1:59" ht="58" x14ac:dyDescent="0.35">
      <c r="A4545" s="2" t="s">
        <v>59</v>
      </c>
      <c r="B4545" s="2" t="s">
        <v>60</v>
      </c>
      <c r="C4545" s="2" t="s">
        <v>43811</v>
      </c>
      <c r="D4545" s="2" t="s">
        <v>43812</v>
      </c>
      <c r="E4545" s="2" t="s">
        <v>43813</v>
      </c>
      <c r="F4545" s="3" t="s">
        <v>43814</v>
      </c>
      <c r="G4545" s="3" t="s">
        <v>61</v>
      </c>
      <c r="I4545" s="3" t="s">
        <v>62</v>
      </c>
      <c r="J4545" s="3" t="s">
        <v>62</v>
      </c>
      <c r="K4545" s="3" t="s">
        <v>63</v>
      </c>
      <c r="L4545" s="2" t="s">
        <v>43815</v>
      </c>
      <c r="M4545" s="2" t="s">
        <v>43816</v>
      </c>
      <c r="N4545" s="3" t="s">
        <v>186</v>
      </c>
      <c r="P4545" s="3" t="s">
        <v>64</v>
      </c>
      <c r="R4545" s="3" t="s">
        <v>42369</v>
      </c>
      <c r="S4545" s="4">
        <v>4</v>
      </c>
      <c r="T4545" s="4">
        <v>7</v>
      </c>
      <c r="U4545" s="5" t="s">
        <v>2820</v>
      </c>
      <c r="V4545" s="5" t="s">
        <v>2820</v>
      </c>
      <c r="W4545" s="5" t="s">
        <v>67</v>
      </c>
      <c r="X4545" s="5" t="s">
        <v>67</v>
      </c>
      <c r="Y4545" s="4">
        <v>187</v>
      </c>
      <c r="Z4545" s="4">
        <v>22</v>
      </c>
      <c r="AA4545" s="4">
        <v>24</v>
      </c>
      <c r="AB4545" s="4">
        <v>2</v>
      </c>
      <c r="AC4545" s="4">
        <v>4</v>
      </c>
      <c r="AD4545" s="4">
        <v>70</v>
      </c>
      <c r="AE4545" s="4">
        <v>72</v>
      </c>
      <c r="AF4545" s="4">
        <v>1</v>
      </c>
      <c r="AG4545" s="4">
        <v>3</v>
      </c>
      <c r="AH4545" s="4">
        <v>57</v>
      </c>
      <c r="AI4545" s="4">
        <v>58</v>
      </c>
      <c r="AJ4545" s="4">
        <v>15</v>
      </c>
      <c r="AK4545" s="4">
        <v>17</v>
      </c>
      <c r="AL4545" s="4">
        <v>29</v>
      </c>
      <c r="AM4545" s="4">
        <v>29</v>
      </c>
      <c r="AN4545" s="4">
        <v>0</v>
      </c>
      <c r="AO4545" s="4">
        <v>0</v>
      </c>
      <c r="AP4545" s="4">
        <v>17</v>
      </c>
      <c r="AQ4545" s="4">
        <v>18</v>
      </c>
      <c r="AR4545" s="3" t="s">
        <v>62</v>
      </c>
      <c r="AS4545" s="3" t="s">
        <v>62</v>
      </c>
      <c r="AT4545" s="3" t="s">
        <v>61</v>
      </c>
      <c r="AU4545" s="6" t="str">
        <f>HYPERLINK("http://catalog.hathitrust.org/Record/001533448","HathiTrust Record")</f>
        <v>HathiTrust Record</v>
      </c>
      <c r="AV4545" s="6" t="str">
        <f>HYPERLINK("http://mcgill.on.worldcat.org/oclc/2465061","Catalog Record")</f>
        <v>Catalog Record</v>
      </c>
      <c r="AW4545" s="6" t="str">
        <f>HYPERLINK("http://www.worldcat.org/oclc/2465061","WorldCat Record")</f>
        <v>WorldCat Record</v>
      </c>
      <c r="AX4545" s="3" t="s">
        <v>43817</v>
      </c>
      <c r="AY4545" s="3" t="s">
        <v>43818</v>
      </c>
      <c r="AZ4545" s="3" t="s">
        <v>43819</v>
      </c>
      <c r="BA4545" s="3" t="s">
        <v>43819</v>
      </c>
      <c r="BB4545" s="3" t="s">
        <v>43820</v>
      </c>
      <c r="BC4545" s="3" t="s">
        <v>102</v>
      </c>
      <c r="BD4545" s="3" t="s">
        <v>6923</v>
      </c>
      <c r="BE4545" s="3" t="s">
        <v>43821</v>
      </c>
      <c r="BF4545" s="3" t="s">
        <v>43820</v>
      </c>
      <c r="BG4545" s="3" t="s">
        <v>43822</v>
      </c>
    </row>
    <row r="4546" spans="1:59" ht="58" x14ac:dyDescent="0.35">
      <c r="A4546" s="2" t="s">
        <v>59</v>
      </c>
      <c r="B4546" s="2" t="s">
        <v>60</v>
      </c>
      <c r="C4546" s="2" t="s">
        <v>43811</v>
      </c>
      <c r="D4546" s="2" t="s">
        <v>43812</v>
      </c>
      <c r="E4546" s="2" t="s">
        <v>43813</v>
      </c>
      <c r="F4546" s="3" t="s">
        <v>43823</v>
      </c>
      <c r="G4546" s="3" t="s">
        <v>61</v>
      </c>
      <c r="I4546" s="3" t="s">
        <v>62</v>
      </c>
      <c r="J4546" s="3" t="s">
        <v>62</v>
      </c>
      <c r="K4546" s="3" t="s">
        <v>63</v>
      </c>
      <c r="L4546" s="2" t="s">
        <v>43815</v>
      </c>
      <c r="M4546" s="2" t="s">
        <v>43816</v>
      </c>
      <c r="N4546" s="3" t="s">
        <v>186</v>
      </c>
      <c r="P4546" s="3" t="s">
        <v>64</v>
      </c>
      <c r="R4546" s="3" t="s">
        <v>42369</v>
      </c>
      <c r="S4546" s="4">
        <v>3</v>
      </c>
      <c r="T4546" s="4">
        <v>7</v>
      </c>
      <c r="U4546" s="5" t="s">
        <v>2820</v>
      </c>
      <c r="V4546" s="5" t="s">
        <v>2820</v>
      </c>
      <c r="W4546" s="5" t="s">
        <v>67</v>
      </c>
      <c r="X4546" s="5" t="s">
        <v>67</v>
      </c>
      <c r="Y4546" s="4">
        <v>187</v>
      </c>
      <c r="Z4546" s="4">
        <v>22</v>
      </c>
      <c r="AA4546" s="4">
        <v>24</v>
      </c>
      <c r="AB4546" s="4">
        <v>2</v>
      </c>
      <c r="AC4546" s="4">
        <v>4</v>
      </c>
      <c r="AD4546" s="4">
        <v>70</v>
      </c>
      <c r="AE4546" s="4">
        <v>72</v>
      </c>
      <c r="AF4546" s="4">
        <v>1</v>
      </c>
      <c r="AG4546" s="4">
        <v>3</v>
      </c>
      <c r="AH4546" s="4">
        <v>57</v>
      </c>
      <c r="AI4546" s="4">
        <v>58</v>
      </c>
      <c r="AJ4546" s="4">
        <v>15</v>
      </c>
      <c r="AK4546" s="4">
        <v>17</v>
      </c>
      <c r="AL4546" s="4">
        <v>29</v>
      </c>
      <c r="AM4546" s="4">
        <v>29</v>
      </c>
      <c r="AN4546" s="4">
        <v>0</v>
      </c>
      <c r="AO4546" s="4">
        <v>0</v>
      </c>
      <c r="AP4546" s="4">
        <v>17</v>
      </c>
      <c r="AQ4546" s="4">
        <v>18</v>
      </c>
      <c r="AR4546" s="3" t="s">
        <v>62</v>
      </c>
      <c r="AS4546" s="3" t="s">
        <v>62</v>
      </c>
      <c r="AT4546" s="3" t="s">
        <v>61</v>
      </c>
      <c r="AU4546" s="6" t="str">
        <f>HYPERLINK("http://catalog.hathitrust.org/Record/001533448","HathiTrust Record")</f>
        <v>HathiTrust Record</v>
      </c>
      <c r="AV4546" s="6" t="str">
        <f>HYPERLINK("http://mcgill.on.worldcat.org/oclc/2465061","Catalog Record")</f>
        <v>Catalog Record</v>
      </c>
      <c r="AW4546" s="6" t="str">
        <f>HYPERLINK("http://www.worldcat.org/oclc/2465061","WorldCat Record")</f>
        <v>WorldCat Record</v>
      </c>
      <c r="AX4546" s="3" t="s">
        <v>43817</v>
      </c>
      <c r="AY4546" s="3" t="s">
        <v>43818</v>
      </c>
      <c r="AZ4546" s="3" t="s">
        <v>43819</v>
      </c>
      <c r="BA4546" s="3" t="s">
        <v>43819</v>
      </c>
      <c r="BB4546" s="3" t="s">
        <v>43824</v>
      </c>
      <c r="BC4546" s="3" t="s">
        <v>102</v>
      </c>
      <c r="BD4546" s="3" t="s">
        <v>6923</v>
      </c>
      <c r="BE4546" s="3" t="s">
        <v>43821</v>
      </c>
      <c r="BF4546" s="3" t="s">
        <v>43824</v>
      </c>
      <c r="BG4546" s="3" t="s">
        <v>43825</v>
      </c>
    </row>
    <row r="4547" spans="1:59" ht="58" x14ac:dyDescent="0.35">
      <c r="A4547" s="2" t="s">
        <v>59</v>
      </c>
      <c r="B4547" s="2" t="s">
        <v>60</v>
      </c>
      <c r="C4547" s="2" t="s">
        <v>43826</v>
      </c>
      <c r="D4547" s="2" t="s">
        <v>43827</v>
      </c>
      <c r="E4547" s="2" t="s">
        <v>43828</v>
      </c>
      <c r="G4547" s="3" t="s">
        <v>62</v>
      </c>
      <c r="I4547" s="3" t="s">
        <v>62</v>
      </c>
      <c r="J4547" s="3" t="s">
        <v>62</v>
      </c>
      <c r="K4547" s="3" t="s">
        <v>63</v>
      </c>
      <c r="L4547" s="2" t="s">
        <v>43829</v>
      </c>
      <c r="M4547" s="2" t="s">
        <v>43830</v>
      </c>
      <c r="N4547" s="3" t="s">
        <v>7622</v>
      </c>
      <c r="P4547" s="3" t="s">
        <v>1881</v>
      </c>
      <c r="R4547" s="3" t="s">
        <v>42369</v>
      </c>
      <c r="S4547" s="4">
        <v>1</v>
      </c>
      <c r="T4547" s="4">
        <v>1</v>
      </c>
      <c r="U4547" s="5" t="s">
        <v>11614</v>
      </c>
      <c r="V4547" s="5" t="s">
        <v>11614</v>
      </c>
      <c r="W4547" s="5" t="s">
        <v>67</v>
      </c>
      <c r="X4547" s="5" t="s">
        <v>67</v>
      </c>
      <c r="Y4547" s="4">
        <v>22</v>
      </c>
      <c r="Z4547" s="4">
        <v>1</v>
      </c>
      <c r="AA4547" s="4">
        <v>1</v>
      </c>
      <c r="AB4547" s="4">
        <v>1</v>
      </c>
      <c r="AC4547" s="4">
        <v>1</v>
      </c>
      <c r="AD4547" s="4">
        <v>7</v>
      </c>
      <c r="AE4547" s="4">
        <v>7</v>
      </c>
      <c r="AF4547" s="4">
        <v>0</v>
      </c>
      <c r="AG4547" s="4">
        <v>0</v>
      </c>
      <c r="AH4547" s="4">
        <v>7</v>
      </c>
      <c r="AI4547" s="4">
        <v>7</v>
      </c>
      <c r="AJ4547" s="4">
        <v>0</v>
      </c>
      <c r="AK4547" s="4">
        <v>0</v>
      </c>
      <c r="AL4547" s="4">
        <v>6</v>
      </c>
      <c r="AM4547" s="4">
        <v>6</v>
      </c>
      <c r="AN4547" s="4">
        <v>0</v>
      </c>
      <c r="AO4547" s="4">
        <v>0</v>
      </c>
      <c r="AP4547" s="4">
        <v>0</v>
      </c>
      <c r="AQ4547" s="4">
        <v>0</v>
      </c>
      <c r="AR4547" s="3" t="s">
        <v>62</v>
      </c>
      <c r="AS4547" s="3" t="s">
        <v>62</v>
      </c>
      <c r="AT4547" s="3" t="s">
        <v>62</v>
      </c>
      <c r="AV4547" s="6" t="str">
        <f>HYPERLINK("http://mcgill.on.worldcat.org/oclc/13280701","Catalog Record")</f>
        <v>Catalog Record</v>
      </c>
      <c r="AW4547" s="6" t="str">
        <f>HYPERLINK("http://www.worldcat.org/oclc/13280701","WorldCat Record")</f>
        <v>WorldCat Record</v>
      </c>
      <c r="AX4547" s="3" t="s">
        <v>43831</v>
      </c>
      <c r="AY4547" s="3" t="s">
        <v>43832</v>
      </c>
      <c r="AZ4547" s="3" t="s">
        <v>43833</v>
      </c>
      <c r="BA4547" s="3" t="s">
        <v>43833</v>
      </c>
      <c r="BB4547" s="3" t="s">
        <v>43834</v>
      </c>
      <c r="BC4547" s="3" t="s">
        <v>102</v>
      </c>
      <c r="BD4547" s="3" t="s">
        <v>68</v>
      </c>
      <c r="BF4547" s="3" t="s">
        <v>43834</v>
      </c>
      <c r="BG4547" s="3" t="s">
        <v>43835</v>
      </c>
    </row>
    <row r="4548" spans="1:59" ht="58" x14ac:dyDescent="0.35">
      <c r="A4548" s="2" t="s">
        <v>59</v>
      </c>
      <c r="B4548" s="2" t="s">
        <v>60</v>
      </c>
      <c r="C4548" s="2" t="s">
        <v>43836</v>
      </c>
      <c r="D4548" s="2" t="s">
        <v>43837</v>
      </c>
      <c r="E4548" s="2" t="s">
        <v>43838</v>
      </c>
      <c r="F4548" s="3" t="s">
        <v>1416</v>
      </c>
      <c r="G4548" s="3" t="s">
        <v>61</v>
      </c>
      <c r="I4548" s="3" t="s">
        <v>62</v>
      </c>
      <c r="J4548" s="3" t="s">
        <v>62</v>
      </c>
      <c r="K4548" s="3" t="s">
        <v>63</v>
      </c>
      <c r="M4548" s="2" t="s">
        <v>43839</v>
      </c>
      <c r="N4548" s="3" t="s">
        <v>327</v>
      </c>
      <c r="P4548" s="3" t="s">
        <v>64</v>
      </c>
      <c r="R4548" s="3" t="s">
        <v>42369</v>
      </c>
      <c r="S4548" s="4">
        <v>4</v>
      </c>
      <c r="T4548" s="4">
        <v>4</v>
      </c>
      <c r="U4548" s="5" t="s">
        <v>32249</v>
      </c>
      <c r="V4548" s="5" t="s">
        <v>32249</v>
      </c>
      <c r="W4548" s="5" t="s">
        <v>67</v>
      </c>
      <c r="X4548" s="5" t="s">
        <v>67</v>
      </c>
      <c r="Y4548" s="4">
        <v>216</v>
      </c>
      <c r="Z4548" s="4">
        <v>25</v>
      </c>
      <c r="AA4548" s="4">
        <v>26</v>
      </c>
      <c r="AB4548" s="4">
        <v>1</v>
      </c>
      <c r="AC4548" s="4">
        <v>2</v>
      </c>
      <c r="AD4548" s="4">
        <v>101</v>
      </c>
      <c r="AE4548" s="4">
        <v>102</v>
      </c>
      <c r="AF4548" s="4">
        <v>0</v>
      </c>
      <c r="AG4548" s="4">
        <v>1</v>
      </c>
      <c r="AH4548" s="4">
        <v>86</v>
      </c>
      <c r="AI4548" s="4">
        <v>87</v>
      </c>
      <c r="AJ4548" s="4">
        <v>17</v>
      </c>
      <c r="AK4548" s="4">
        <v>18</v>
      </c>
      <c r="AL4548" s="4">
        <v>50</v>
      </c>
      <c r="AM4548" s="4">
        <v>50</v>
      </c>
      <c r="AN4548" s="4">
        <v>0</v>
      </c>
      <c r="AO4548" s="4">
        <v>0</v>
      </c>
      <c r="AP4548" s="4">
        <v>19</v>
      </c>
      <c r="AQ4548" s="4">
        <v>20</v>
      </c>
      <c r="AR4548" s="3" t="s">
        <v>62</v>
      </c>
      <c r="AS4548" s="3" t="s">
        <v>62</v>
      </c>
      <c r="AT4548" s="3" t="s">
        <v>61</v>
      </c>
      <c r="AU4548" s="6" t="str">
        <f>HYPERLINK("http://catalog.hathitrust.org/Record/000114800","HathiTrust Record")</f>
        <v>HathiTrust Record</v>
      </c>
      <c r="AV4548" s="6" t="str">
        <f>HYPERLINK("http://mcgill.on.worldcat.org/oclc/8476145","Catalog Record")</f>
        <v>Catalog Record</v>
      </c>
      <c r="AW4548" s="6" t="str">
        <f>HYPERLINK("http://www.worldcat.org/oclc/8476145","WorldCat Record")</f>
        <v>WorldCat Record</v>
      </c>
      <c r="AX4548" s="3" t="s">
        <v>43840</v>
      </c>
      <c r="AY4548" s="3" t="s">
        <v>43841</v>
      </c>
      <c r="AZ4548" s="3" t="s">
        <v>43842</v>
      </c>
      <c r="BA4548" s="3" t="s">
        <v>43842</v>
      </c>
      <c r="BB4548" s="3" t="s">
        <v>43843</v>
      </c>
      <c r="BC4548" s="3" t="s">
        <v>102</v>
      </c>
      <c r="BD4548" s="3" t="s">
        <v>68</v>
      </c>
      <c r="BE4548" s="3" t="s">
        <v>43844</v>
      </c>
      <c r="BF4548" s="3" t="s">
        <v>43843</v>
      </c>
      <c r="BG4548" s="3" t="s">
        <v>43845</v>
      </c>
    </row>
    <row r="4549" spans="1:59" ht="58" x14ac:dyDescent="0.35">
      <c r="A4549" s="2" t="s">
        <v>59</v>
      </c>
      <c r="B4549" s="2" t="s">
        <v>60</v>
      </c>
      <c r="C4549" s="2" t="s">
        <v>43836</v>
      </c>
      <c r="D4549" s="2" t="s">
        <v>43837</v>
      </c>
      <c r="E4549" s="2" t="s">
        <v>43838</v>
      </c>
      <c r="F4549" s="3" t="s">
        <v>1413</v>
      </c>
      <c r="G4549" s="3" t="s">
        <v>61</v>
      </c>
      <c r="I4549" s="3" t="s">
        <v>62</v>
      </c>
      <c r="J4549" s="3" t="s">
        <v>62</v>
      </c>
      <c r="K4549" s="3" t="s">
        <v>63</v>
      </c>
      <c r="M4549" s="2" t="s">
        <v>43839</v>
      </c>
      <c r="N4549" s="3" t="s">
        <v>327</v>
      </c>
      <c r="P4549" s="3" t="s">
        <v>64</v>
      </c>
      <c r="R4549" s="3" t="s">
        <v>42369</v>
      </c>
      <c r="S4549" s="4">
        <v>0</v>
      </c>
      <c r="T4549" s="4">
        <v>4</v>
      </c>
      <c r="V4549" s="5" t="s">
        <v>32249</v>
      </c>
      <c r="W4549" s="5" t="s">
        <v>67</v>
      </c>
      <c r="X4549" s="5" t="s">
        <v>67</v>
      </c>
      <c r="Y4549" s="4">
        <v>216</v>
      </c>
      <c r="Z4549" s="4">
        <v>25</v>
      </c>
      <c r="AA4549" s="4">
        <v>26</v>
      </c>
      <c r="AB4549" s="4">
        <v>1</v>
      </c>
      <c r="AC4549" s="4">
        <v>2</v>
      </c>
      <c r="AD4549" s="4">
        <v>101</v>
      </c>
      <c r="AE4549" s="4">
        <v>102</v>
      </c>
      <c r="AF4549" s="4">
        <v>0</v>
      </c>
      <c r="AG4549" s="4">
        <v>1</v>
      </c>
      <c r="AH4549" s="4">
        <v>86</v>
      </c>
      <c r="AI4549" s="4">
        <v>87</v>
      </c>
      <c r="AJ4549" s="4">
        <v>17</v>
      </c>
      <c r="AK4549" s="4">
        <v>18</v>
      </c>
      <c r="AL4549" s="4">
        <v>50</v>
      </c>
      <c r="AM4549" s="4">
        <v>50</v>
      </c>
      <c r="AN4549" s="4">
        <v>0</v>
      </c>
      <c r="AO4549" s="4">
        <v>0</v>
      </c>
      <c r="AP4549" s="4">
        <v>19</v>
      </c>
      <c r="AQ4549" s="4">
        <v>20</v>
      </c>
      <c r="AR4549" s="3" t="s">
        <v>62</v>
      </c>
      <c r="AS4549" s="3" t="s">
        <v>62</v>
      </c>
      <c r="AT4549" s="3" t="s">
        <v>61</v>
      </c>
      <c r="AU4549" s="6" t="str">
        <f>HYPERLINK("http://catalog.hathitrust.org/Record/000114800","HathiTrust Record")</f>
        <v>HathiTrust Record</v>
      </c>
      <c r="AV4549" s="6" t="str">
        <f>HYPERLINK("http://mcgill.on.worldcat.org/oclc/8476145","Catalog Record")</f>
        <v>Catalog Record</v>
      </c>
      <c r="AW4549" s="6" t="str">
        <f>HYPERLINK("http://www.worldcat.org/oclc/8476145","WorldCat Record")</f>
        <v>WorldCat Record</v>
      </c>
      <c r="AX4549" s="3" t="s">
        <v>43840</v>
      </c>
      <c r="AY4549" s="3" t="s">
        <v>43841</v>
      </c>
      <c r="AZ4549" s="3" t="s">
        <v>43842</v>
      </c>
      <c r="BA4549" s="3" t="s">
        <v>43842</v>
      </c>
      <c r="BB4549" s="3" t="s">
        <v>43846</v>
      </c>
      <c r="BC4549" s="3" t="s">
        <v>102</v>
      </c>
      <c r="BD4549" s="3" t="s">
        <v>68</v>
      </c>
      <c r="BE4549" s="3" t="s">
        <v>43844</v>
      </c>
      <c r="BF4549" s="3" t="s">
        <v>43846</v>
      </c>
      <c r="BG4549" s="3" t="s">
        <v>43847</v>
      </c>
    </row>
    <row r="4550" spans="1:59" ht="58" x14ac:dyDescent="0.35">
      <c r="A4550" s="2" t="s">
        <v>59</v>
      </c>
      <c r="B4550" s="2" t="s">
        <v>60</v>
      </c>
      <c r="C4550" s="2" t="s">
        <v>43848</v>
      </c>
      <c r="D4550" s="2" t="s">
        <v>43849</v>
      </c>
      <c r="E4550" s="2" t="s">
        <v>43850</v>
      </c>
      <c r="G4550" s="3" t="s">
        <v>62</v>
      </c>
      <c r="I4550" s="3" t="s">
        <v>62</v>
      </c>
      <c r="J4550" s="3" t="s">
        <v>61</v>
      </c>
      <c r="K4550" s="3" t="s">
        <v>63</v>
      </c>
      <c r="L4550" s="2" t="s">
        <v>43851</v>
      </c>
      <c r="M4550" s="2" t="s">
        <v>43852</v>
      </c>
      <c r="N4550" s="3" t="s">
        <v>1064</v>
      </c>
      <c r="O4550" s="2" t="s">
        <v>8350</v>
      </c>
      <c r="P4550" s="3" t="s">
        <v>64</v>
      </c>
      <c r="R4550" s="3" t="s">
        <v>42369</v>
      </c>
      <c r="S4550" s="4">
        <v>7</v>
      </c>
      <c r="T4550" s="4">
        <v>7</v>
      </c>
      <c r="U4550" s="5" t="s">
        <v>38029</v>
      </c>
      <c r="V4550" s="5" t="s">
        <v>38029</v>
      </c>
      <c r="W4550" s="5" t="s">
        <v>67</v>
      </c>
      <c r="X4550" s="5" t="s">
        <v>67</v>
      </c>
      <c r="Y4550" s="4">
        <v>1</v>
      </c>
      <c r="Z4550" s="4">
        <v>1</v>
      </c>
      <c r="AA4550" s="4">
        <v>63</v>
      </c>
      <c r="AB4550" s="4">
        <v>1</v>
      </c>
      <c r="AC4550" s="4">
        <v>13</v>
      </c>
      <c r="AD4550" s="4">
        <v>0</v>
      </c>
      <c r="AE4550" s="4">
        <v>134</v>
      </c>
      <c r="AF4550" s="4">
        <v>0</v>
      </c>
      <c r="AG4550" s="4">
        <v>5</v>
      </c>
      <c r="AH4550" s="4">
        <v>0</v>
      </c>
      <c r="AI4550" s="4">
        <v>102</v>
      </c>
      <c r="AJ4550" s="4">
        <v>0</v>
      </c>
      <c r="AK4550" s="4">
        <v>25</v>
      </c>
      <c r="AL4550" s="4">
        <v>0</v>
      </c>
      <c r="AM4550" s="4">
        <v>57</v>
      </c>
      <c r="AN4550" s="4">
        <v>0</v>
      </c>
      <c r="AO4550" s="4">
        <v>0</v>
      </c>
      <c r="AP4550" s="4">
        <v>0</v>
      </c>
      <c r="AQ4550" s="4">
        <v>38</v>
      </c>
      <c r="AR4550" s="3" t="s">
        <v>62</v>
      </c>
      <c r="AS4550" s="3" t="s">
        <v>61</v>
      </c>
      <c r="AT4550" s="3" t="s">
        <v>62</v>
      </c>
      <c r="AU4550" s="6" t="str">
        <f>HYPERLINK("http://catalog.hathitrust.org/Record/001501046","HathiTrust Record")</f>
        <v>HathiTrust Record</v>
      </c>
      <c r="AV4550" s="6" t="str">
        <f>HYPERLINK("http://mcgill.on.worldcat.org/oclc/427127007","Catalog Record")</f>
        <v>Catalog Record</v>
      </c>
      <c r="AW4550" s="6" t="str">
        <f>HYPERLINK("http://www.worldcat.org/oclc/427127007","WorldCat Record")</f>
        <v>WorldCat Record</v>
      </c>
      <c r="AX4550" s="3" t="s">
        <v>43853</v>
      </c>
      <c r="AY4550" s="3" t="s">
        <v>43854</v>
      </c>
      <c r="AZ4550" s="3" t="s">
        <v>43855</v>
      </c>
      <c r="BA4550" s="3" t="s">
        <v>43855</v>
      </c>
      <c r="BB4550" s="3" t="s">
        <v>43856</v>
      </c>
      <c r="BC4550" s="3" t="s">
        <v>102</v>
      </c>
      <c r="BD4550" s="3" t="s">
        <v>68</v>
      </c>
      <c r="BF4550" s="3" t="s">
        <v>43856</v>
      </c>
      <c r="BG4550" s="3" t="s">
        <v>43857</v>
      </c>
    </row>
    <row r="4551" spans="1:59" ht="58" x14ac:dyDescent="0.35">
      <c r="A4551" s="2" t="s">
        <v>59</v>
      </c>
      <c r="B4551" s="2" t="s">
        <v>60</v>
      </c>
      <c r="C4551" s="2" t="s">
        <v>43858</v>
      </c>
      <c r="D4551" s="2" t="s">
        <v>43859</v>
      </c>
      <c r="E4551" s="2" t="s">
        <v>43860</v>
      </c>
      <c r="G4551" s="3" t="s">
        <v>62</v>
      </c>
      <c r="I4551" s="3" t="s">
        <v>62</v>
      </c>
      <c r="J4551" s="3" t="s">
        <v>62</v>
      </c>
      <c r="K4551" s="3" t="s">
        <v>63</v>
      </c>
      <c r="L4551" s="2" t="s">
        <v>43861</v>
      </c>
      <c r="M4551" s="2" t="s">
        <v>43862</v>
      </c>
      <c r="N4551" s="3" t="s">
        <v>1482</v>
      </c>
      <c r="P4551" s="3" t="s">
        <v>64</v>
      </c>
      <c r="R4551" s="3" t="s">
        <v>42369</v>
      </c>
      <c r="S4551" s="4">
        <v>19</v>
      </c>
      <c r="T4551" s="4">
        <v>19</v>
      </c>
      <c r="U4551" s="5" t="s">
        <v>43863</v>
      </c>
      <c r="V4551" s="5" t="s">
        <v>43863</v>
      </c>
      <c r="W4551" s="5" t="s">
        <v>67</v>
      </c>
      <c r="X4551" s="5" t="s">
        <v>67</v>
      </c>
      <c r="Y4551" s="4">
        <v>1605</v>
      </c>
      <c r="Z4551" s="4">
        <v>40</v>
      </c>
      <c r="AA4551" s="4">
        <v>48</v>
      </c>
      <c r="AB4551" s="4">
        <v>4</v>
      </c>
      <c r="AC4551" s="4">
        <v>6</v>
      </c>
      <c r="AD4551" s="4">
        <v>84</v>
      </c>
      <c r="AE4551" s="4">
        <v>100</v>
      </c>
      <c r="AF4551" s="4">
        <v>1</v>
      </c>
      <c r="AG4551" s="4">
        <v>2</v>
      </c>
      <c r="AH4551" s="4">
        <v>74</v>
      </c>
      <c r="AI4551" s="4">
        <v>88</v>
      </c>
      <c r="AJ4551" s="4">
        <v>8</v>
      </c>
      <c r="AK4551" s="4">
        <v>12</v>
      </c>
      <c r="AL4551" s="4">
        <v>39</v>
      </c>
      <c r="AM4551" s="4">
        <v>46</v>
      </c>
      <c r="AN4551" s="4">
        <v>0</v>
      </c>
      <c r="AO4551" s="4">
        <v>0</v>
      </c>
      <c r="AP4551" s="4">
        <v>12</v>
      </c>
      <c r="AQ4551" s="4">
        <v>16</v>
      </c>
      <c r="AR4551" s="3" t="s">
        <v>62</v>
      </c>
      <c r="AS4551" s="3" t="s">
        <v>62</v>
      </c>
      <c r="AT4551" s="3" t="s">
        <v>62</v>
      </c>
      <c r="AV4551" s="6" t="str">
        <f>HYPERLINK("http://mcgill.on.worldcat.org/oclc/12975533","Catalog Record")</f>
        <v>Catalog Record</v>
      </c>
      <c r="AW4551" s="6" t="str">
        <f>HYPERLINK("http://www.worldcat.org/oclc/12975533","WorldCat Record")</f>
        <v>WorldCat Record</v>
      </c>
      <c r="AX4551" s="3" t="s">
        <v>43864</v>
      </c>
      <c r="AY4551" s="3" t="s">
        <v>43865</v>
      </c>
      <c r="AZ4551" s="3" t="s">
        <v>43866</v>
      </c>
      <c r="BA4551" s="3" t="s">
        <v>43866</v>
      </c>
      <c r="BB4551" s="3" t="s">
        <v>43867</v>
      </c>
      <c r="BC4551" s="3" t="s">
        <v>102</v>
      </c>
      <c r="BD4551" s="3" t="s">
        <v>68</v>
      </c>
      <c r="BE4551" s="3" t="s">
        <v>43868</v>
      </c>
      <c r="BF4551" s="3" t="s">
        <v>43867</v>
      </c>
      <c r="BG4551" s="3" t="s">
        <v>43869</v>
      </c>
    </row>
    <row r="4552" spans="1:59" ht="58" x14ac:dyDescent="0.35">
      <c r="A4552" s="2" t="s">
        <v>59</v>
      </c>
      <c r="B4552" s="2" t="s">
        <v>60</v>
      </c>
      <c r="C4552" s="2" t="s">
        <v>43870</v>
      </c>
      <c r="D4552" s="2" t="s">
        <v>43871</v>
      </c>
      <c r="E4552" s="2" t="s">
        <v>43872</v>
      </c>
      <c r="G4552" s="3" t="s">
        <v>62</v>
      </c>
      <c r="I4552" s="3" t="s">
        <v>61</v>
      </c>
      <c r="J4552" s="3" t="s">
        <v>62</v>
      </c>
      <c r="K4552" s="3" t="s">
        <v>63</v>
      </c>
      <c r="L4552" s="2" t="s">
        <v>43873</v>
      </c>
      <c r="M4552" s="2" t="s">
        <v>43874</v>
      </c>
      <c r="N4552" s="3" t="s">
        <v>186</v>
      </c>
      <c r="O4552" s="2" t="s">
        <v>9823</v>
      </c>
      <c r="P4552" s="3" t="s">
        <v>64</v>
      </c>
      <c r="Q4552" s="2" t="s">
        <v>43875</v>
      </c>
      <c r="R4552" s="3" t="s">
        <v>42369</v>
      </c>
      <c r="S4552" s="4">
        <v>14</v>
      </c>
      <c r="T4552" s="4">
        <v>34</v>
      </c>
      <c r="U4552" s="5" t="s">
        <v>43876</v>
      </c>
      <c r="V4552" s="5" t="s">
        <v>43876</v>
      </c>
      <c r="W4552" s="5" t="s">
        <v>67</v>
      </c>
      <c r="X4552" s="5" t="s">
        <v>67</v>
      </c>
      <c r="Y4552" s="4">
        <v>1309</v>
      </c>
      <c r="Z4552" s="4">
        <v>37</v>
      </c>
      <c r="AA4552" s="4">
        <v>50</v>
      </c>
      <c r="AB4552" s="4">
        <v>2</v>
      </c>
      <c r="AC4552" s="4">
        <v>5</v>
      </c>
      <c r="AD4552" s="4">
        <v>87</v>
      </c>
      <c r="AE4552" s="4">
        <v>89</v>
      </c>
      <c r="AF4552" s="4">
        <v>1</v>
      </c>
      <c r="AG4552" s="4">
        <v>2</v>
      </c>
      <c r="AH4552" s="4">
        <v>73</v>
      </c>
      <c r="AI4552" s="4">
        <v>74</v>
      </c>
      <c r="AJ4552" s="4">
        <v>10</v>
      </c>
      <c r="AK4552" s="4">
        <v>12</v>
      </c>
      <c r="AL4552" s="4">
        <v>40</v>
      </c>
      <c r="AM4552" s="4">
        <v>41</v>
      </c>
      <c r="AN4552" s="4">
        <v>0</v>
      </c>
      <c r="AO4552" s="4">
        <v>0</v>
      </c>
      <c r="AP4552" s="4">
        <v>16</v>
      </c>
      <c r="AQ4552" s="4">
        <v>18</v>
      </c>
      <c r="AR4552" s="3" t="s">
        <v>62</v>
      </c>
      <c r="AS4552" s="3" t="s">
        <v>62</v>
      </c>
      <c r="AT4552" s="3" t="s">
        <v>61</v>
      </c>
      <c r="AU4552" s="6" t="str">
        <f>HYPERLINK("http://catalog.hathitrust.org/Record/001501084","HathiTrust Record")</f>
        <v>HathiTrust Record</v>
      </c>
      <c r="AV4552" s="6" t="str">
        <f>HYPERLINK("http://mcgill.on.worldcat.org/oclc/1423604","Catalog Record")</f>
        <v>Catalog Record</v>
      </c>
      <c r="AW4552" s="6" t="str">
        <f>HYPERLINK("http://www.worldcat.org/oclc/1423604","WorldCat Record")</f>
        <v>WorldCat Record</v>
      </c>
      <c r="AX4552" s="3" t="s">
        <v>43877</v>
      </c>
      <c r="AY4552" s="3" t="s">
        <v>43878</v>
      </c>
      <c r="AZ4552" s="3" t="s">
        <v>43879</v>
      </c>
      <c r="BA4552" s="3" t="s">
        <v>43879</v>
      </c>
      <c r="BB4552" s="3" t="s">
        <v>43880</v>
      </c>
      <c r="BC4552" s="3" t="s">
        <v>102</v>
      </c>
      <c r="BD4552" s="3" t="s">
        <v>68</v>
      </c>
      <c r="BE4552" s="3" t="s">
        <v>43881</v>
      </c>
      <c r="BF4552" s="3" t="s">
        <v>43880</v>
      </c>
      <c r="BG4552" s="3" t="s">
        <v>43882</v>
      </c>
    </row>
    <row r="4553" spans="1:59" ht="58" x14ac:dyDescent="0.35">
      <c r="A4553" s="2" t="s">
        <v>59</v>
      </c>
      <c r="B4553" s="2" t="s">
        <v>60</v>
      </c>
      <c r="C4553" s="2" t="s">
        <v>43883</v>
      </c>
      <c r="D4553" s="2" t="s">
        <v>43884</v>
      </c>
      <c r="E4553" s="2" t="s">
        <v>43885</v>
      </c>
      <c r="G4553" s="3" t="s">
        <v>62</v>
      </c>
      <c r="I4553" s="3" t="s">
        <v>61</v>
      </c>
      <c r="J4553" s="3" t="s">
        <v>62</v>
      </c>
      <c r="K4553" s="3" t="s">
        <v>63</v>
      </c>
      <c r="L4553" s="2" t="s">
        <v>43886</v>
      </c>
      <c r="M4553" s="2" t="s">
        <v>43887</v>
      </c>
      <c r="N4553" s="3" t="s">
        <v>893</v>
      </c>
      <c r="P4553" s="3" t="s">
        <v>64</v>
      </c>
      <c r="Q4553" s="2" t="s">
        <v>43888</v>
      </c>
      <c r="R4553" s="3" t="s">
        <v>42369</v>
      </c>
      <c r="S4553" s="4">
        <v>1</v>
      </c>
      <c r="T4553" s="4">
        <v>43</v>
      </c>
      <c r="U4553" s="5" t="s">
        <v>43889</v>
      </c>
      <c r="V4553" s="5" t="s">
        <v>43889</v>
      </c>
      <c r="W4553" s="5" t="s">
        <v>67</v>
      </c>
      <c r="X4553" s="5" t="s">
        <v>67</v>
      </c>
      <c r="Y4553" s="4">
        <v>1045</v>
      </c>
      <c r="Z4553" s="4">
        <v>35</v>
      </c>
      <c r="AA4553" s="4">
        <v>40</v>
      </c>
      <c r="AB4553" s="4">
        <v>3</v>
      </c>
      <c r="AC4553" s="4">
        <v>4</v>
      </c>
      <c r="AD4553" s="4">
        <v>65</v>
      </c>
      <c r="AE4553" s="4">
        <v>67</v>
      </c>
      <c r="AF4553" s="4">
        <v>0</v>
      </c>
      <c r="AG4553" s="4">
        <v>1</v>
      </c>
      <c r="AH4553" s="4">
        <v>59</v>
      </c>
      <c r="AI4553" s="4">
        <v>60</v>
      </c>
      <c r="AJ4553" s="4">
        <v>10</v>
      </c>
      <c r="AK4553" s="4">
        <v>11</v>
      </c>
      <c r="AL4553" s="4">
        <v>30</v>
      </c>
      <c r="AM4553" s="4">
        <v>30</v>
      </c>
      <c r="AN4553" s="4">
        <v>0</v>
      </c>
      <c r="AO4553" s="4">
        <v>0</v>
      </c>
      <c r="AP4553" s="4">
        <v>14</v>
      </c>
      <c r="AQ4553" s="4">
        <v>15</v>
      </c>
      <c r="AR4553" s="3" t="s">
        <v>62</v>
      </c>
      <c r="AS4553" s="3" t="s">
        <v>62</v>
      </c>
      <c r="AT4553" s="3" t="s">
        <v>62</v>
      </c>
      <c r="AV4553" s="6" t="str">
        <f>HYPERLINK("http://mcgill.on.worldcat.org/oclc/8785374","Catalog Record")</f>
        <v>Catalog Record</v>
      </c>
      <c r="AW4553" s="6" t="str">
        <f>HYPERLINK("http://www.worldcat.org/oclc/8785374","WorldCat Record")</f>
        <v>WorldCat Record</v>
      </c>
      <c r="AX4553" s="3" t="s">
        <v>43890</v>
      </c>
      <c r="AY4553" s="3" t="s">
        <v>43891</v>
      </c>
      <c r="AZ4553" s="3" t="s">
        <v>43892</v>
      </c>
      <c r="BA4553" s="3" t="s">
        <v>43892</v>
      </c>
      <c r="BB4553" s="3" t="s">
        <v>43893</v>
      </c>
      <c r="BC4553" s="3" t="s">
        <v>102</v>
      </c>
      <c r="BD4553" s="3" t="s">
        <v>68</v>
      </c>
      <c r="BE4553" s="3" t="s">
        <v>43894</v>
      </c>
      <c r="BF4553" s="3" t="s">
        <v>43893</v>
      </c>
      <c r="BG4553" s="3" t="s">
        <v>43895</v>
      </c>
    </row>
    <row r="4554" spans="1:59" ht="58" x14ac:dyDescent="0.35">
      <c r="A4554" s="2" t="s">
        <v>59</v>
      </c>
      <c r="B4554" s="2" t="s">
        <v>60</v>
      </c>
      <c r="C4554" s="2" t="s">
        <v>43896</v>
      </c>
      <c r="D4554" s="2" t="s">
        <v>43897</v>
      </c>
      <c r="E4554" s="2" t="s">
        <v>43898</v>
      </c>
      <c r="G4554" s="3" t="s">
        <v>62</v>
      </c>
      <c r="I4554" s="3" t="s">
        <v>62</v>
      </c>
      <c r="J4554" s="3" t="s">
        <v>62</v>
      </c>
      <c r="K4554" s="3" t="s">
        <v>63</v>
      </c>
      <c r="L4554" s="2" t="s">
        <v>43886</v>
      </c>
      <c r="M4554" s="2" t="s">
        <v>43899</v>
      </c>
      <c r="N4554" s="3" t="s">
        <v>2110</v>
      </c>
      <c r="P4554" s="3" t="s">
        <v>64</v>
      </c>
      <c r="Q4554" s="2" t="s">
        <v>43900</v>
      </c>
      <c r="R4554" s="3" t="s">
        <v>42369</v>
      </c>
      <c r="S4554" s="4">
        <v>2</v>
      </c>
      <c r="T4554" s="4">
        <v>2</v>
      </c>
      <c r="U4554" s="5" t="s">
        <v>43889</v>
      </c>
      <c r="V4554" s="5" t="s">
        <v>43889</v>
      </c>
      <c r="W4554" s="5" t="s">
        <v>67</v>
      </c>
      <c r="X4554" s="5" t="s">
        <v>67</v>
      </c>
      <c r="Y4554" s="4">
        <v>607</v>
      </c>
      <c r="Z4554" s="4">
        <v>11</v>
      </c>
      <c r="AA4554" s="4">
        <v>12</v>
      </c>
      <c r="AB4554" s="4">
        <v>1</v>
      </c>
      <c r="AC4554" s="4">
        <v>1</v>
      </c>
      <c r="AD4554" s="4">
        <v>33</v>
      </c>
      <c r="AE4554" s="4">
        <v>33</v>
      </c>
      <c r="AF4554" s="4">
        <v>0</v>
      </c>
      <c r="AG4554" s="4">
        <v>0</v>
      </c>
      <c r="AH4554" s="4">
        <v>31</v>
      </c>
      <c r="AI4554" s="4">
        <v>31</v>
      </c>
      <c r="AJ4554" s="4">
        <v>4</v>
      </c>
      <c r="AK4554" s="4">
        <v>4</v>
      </c>
      <c r="AL4554" s="4">
        <v>14</v>
      </c>
      <c r="AM4554" s="4">
        <v>14</v>
      </c>
      <c r="AN4554" s="4">
        <v>5</v>
      </c>
      <c r="AO4554" s="4">
        <v>5</v>
      </c>
      <c r="AP4554" s="4">
        <v>6</v>
      </c>
      <c r="AQ4554" s="4">
        <v>6</v>
      </c>
      <c r="AR4554" s="3" t="s">
        <v>62</v>
      </c>
      <c r="AS4554" s="3" t="s">
        <v>62</v>
      </c>
      <c r="AT4554" s="3" t="s">
        <v>61</v>
      </c>
      <c r="AU4554" s="6" t="str">
        <f>HYPERLINK("http://catalog.hathitrust.org/Record/101996971","HathiTrust Record")</f>
        <v>HathiTrust Record</v>
      </c>
      <c r="AV4554" s="6" t="str">
        <f>HYPERLINK("http://mcgill.on.worldcat.org/oclc/4875093","Catalog Record")</f>
        <v>Catalog Record</v>
      </c>
      <c r="AW4554" s="6" t="str">
        <f>HYPERLINK("http://www.worldcat.org/oclc/4875093","WorldCat Record")</f>
        <v>WorldCat Record</v>
      </c>
      <c r="AX4554" s="3" t="s">
        <v>43901</v>
      </c>
      <c r="AY4554" s="3" t="s">
        <v>43902</v>
      </c>
      <c r="AZ4554" s="3" t="s">
        <v>43903</v>
      </c>
      <c r="BA4554" s="3" t="s">
        <v>43903</v>
      </c>
      <c r="BB4554" s="3" t="s">
        <v>43904</v>
      </c>
      <c r="BC4554" s="3" t="s">
        <v>102</v>
      </c>
      <c r="BD4554" s="3" t="s">
        <v>68</v>
      </c>
      <c r="BE4554" s="3" t="s">
        <v>43905</v>
      </c>
      <c r="BF4554" s="3" t="s">
        <v>43904</v>
      </c>
      <c r="BG4554" s="3" t="s">
        <v>43906</v>
      </c>
    </row>
    <row r="4555" spans="1:59" ht="58" x14ac:dyDescent="0.35">
      <c r="A4555" s="2" t="s">
        <v>59</v>
      </c>
      <c r="B4555" s="2" t="s">
        <v>60</v>
      </c>
      <c r="C4555" s="2" t="s">
        <v>43907</v>
      </c>
      <c r="D4555" s="2" t="s">
        <v>43908</v>
      </c>
      <c r="E4555" s="2" t="s">
        <v>43909</v>
      </c>
      <c r="G4555" s="3" t="s">
        <v>62</v>
      </c>
      <c r="I4555" s="3" t="s">
        <v>62</v>
      </c>
      <c r="J4555" s="3" t="s">
        <v>62</v>
      </c>
      <c r="K4555" s="3" t="s">
        <v>63</v>
      </c>
      <c r="L4555" s="2" t="s">
        <v>43910</v>
      </c>
      <c r="M4555" s="2" t="s">
        <v>43911</v>
      </c>
      <c r="N4555" s="3" t="s">
        <v>1576</v>
      </c>
      <c r="P4555" s="3" t="s">
        <v>64</v>
      </c>
      <c r="Q4555" s="2" t="s">
        <v>43912</v>
      </c>
      <c r="R4555" s="3" t="s">
        <v>42369</v>
      </c>
      <c r="S4555" s="4">
        <v>4</v>
      </c>
      <c r="T4555" s="4">
        <v>4</v>
      </c>
      <c r="U4555" s="5" t="s">
        <v>33819</v>
      </c>
      <c r="V4555" s="5" t="s">
        <v>33819</v>
      </c>
      <c r="W4555" s="5" t="s">
        <v>67</v>
      </c>
      <c r="X4555" s="5" t="s">
        <v>67</v>
      </c>
      <c r="Y4555" s="4">
        <v>1044</v>
      </c>
      <c r="Z4555" s="4">
        <v>46</v>
      </c>
      <c r="AA4555" s="4">
        <v>50</v>
      </c>
      <c r="AB4555" s="4">
        <v>2</v>
      </c>
      <c r="AC4555" s="4">
        <v>5</v>
      </c>
      <c r="AD4555" s="4">
        <v>95</v>
      </c>
      <c r="AE4555" s="4">
        <v>97</v>
      </c>
      <c r="AF4555" s="4">
        <v>0</v>
      </c>
      <c r="AG4555" s="4">
        <v>2</v>
      </c>
      <c r="AH4555" s="4">
        <v>80</v>
      </c>
      <c r="AI4555" s="4">
        <v>80</v>
      </c>
      <c r="AJ4555" s="4">
        <v>17</v>
      </c>
      <c r="AK4555" s="4">
        <v>19</v>
      </c>
      <c r="AL4555" s="4">
        <v>41</v>
      </c>
      <c r="AM4555" s="4">
        <v>41</v>
      </c>
      <c r="AN4555" s="4">
        <v>0</v>
      </c>
      <c r="AO4555" s="4">
        <v>0</v>
      </c>
      <c r="AP4555" s="4">
        <v>20</v>
      </c>
      <c r="AQ4555" s="4">
        <v>22</v>
      </c>
      <c r="AR4555" s="3" t="s">
        <v>62</v>
      </c>
      <c r="AS4555" s="3" t="s">
        <v>62</v>
      </c>
      <c r="AT4555" s="3" t="s">
        <v>61</v>
      </c>
      <c r="AU4555" s="6" t="str">
        <f>HYPERLINK("http://catalog.hathitrust.org/Record/001501090","HathiTrust Record")</f>
        <v>HathiTrust Record</v>
      </c>
      <c r="AV4555" s="6" t="str">
        <f>HYPERLINK("http://mcgill.on.worldcat.org/oclc/559172","Catalog Record")</f>
        <v>Catalog Record</v>
      </c>
      <c r="AW4555" s="6" t="str">
        <f>HYPERLINK("http://www.worldcat.org/oclc/559172","WorldCat Record")</f>
        <v>WorldCat Record</v>
      </c>
      <c r="AX4555" s="3" t="s">
        <v>43913</v>
      </c>
      <c r="AY4555" s="3" t="s">
        <v>43914</v>
      </c>
      <c r="AZ4555" s="3" t="s">
        <v>43915</v>
      </c>
      <c r="BA4555" s="3" t="s">
        <v>43915</v>
      </c>
      <c r="BB4555" s="3" t="s">
        <v>43916</v>
      </c>
      <c r="BC4555" s="3" t="s">
        <v>102</v>
      </c>
      <c r="BD4555" s="3" t="s">
        <v>68</v>
      </c>
      <c r="BE4555" s="3" t="s">
        <v>43917</v>
      </c>
      <c r="BF4555" s="3" t="s">
        <v>43916</v>
      </c>
      <c r="BG4555" s="3" t="s">
        <v>43918</v>
      </c>
    </row>
    <row r="4556" spans="1:59" ht="58" x14ac:dyDescent="0.35">
      <c r="A4556" s="2" t="s">
        <v>59</v>
      </c>
      <c r="B4556" s="2" t="s">
        <v>60</v>
      </c>
      <c r="C4556" s="2" t="s">
        <v>43919</v>
      </c>
      <c r="D4556" s="2" t="s">
        <v>43920</v>
      </c>
      <c r="E4556" s="2" t="s">
        <v>43921</v>
      </c>
      <c r="G4556" s="3" t="s">
        <v>62</v>
      </c>
      <c r="I4556" s="3" t="s">
        <v>62</v>
      </c>
      <c r="J4556" s="3" t="s">
        <v>62</v>
      </c>
      <c r="K4556" s="3" t="s">
        <v>63</v>
      </c>
      <c r="L4556" s="2" t="s">
        <v>43922</v>
      </c>
      <c r="M4556" s="2" t="s">
        <v>43923</v>
      </c>
      <c r="N4556" s="3" t="s">
        <v>596</v>
      </c>
      <c r="P4556" s="3" t="s">
        <v>64</v>
      </c>
      <c r="R4556" s="3" t="s">
        <v>42369</v>
      </c>
      <c r="S4556" s="4">
        <v>1</v>
      </c>
      <c r="T4556" s="4">
        <v>1</v>
      </c>
      <c r="U4556" s="5" t="s">
        <v>5334</v>
      </c>
      <c r="V4556" s="5" t="s">
        <v>5334</v>
      </c>
      <c r="W4556" s="5" t="s">
        <v>67</v>
      </c>
      <c r="X4556" s="5" t="s">
        <v>67</v>
      </c>
      <c r="Y4556" s="4">
        <v>141</v>
      </c>
      <c r="Z4556" s="4">
        <v>23</v>
      </c>
      <c r="AA4556" s="4">
        <v>24</v>
      </c>
      <c r="AB4556" s="4">
        <v>1</v>
      </c>
      <c r="AC4556" s="4">
        <v>1</v>
      </c>
      <c r="AD4556" s="4">
        <v>16</v>
      </c>
      <c r="AE4556" s="4">
        <v>16</v>
      </c>
      <c r="AF4556" s="4">
        <v>0</v>
      </c>
      <c r="AG4556" s="4">
        <v>0</v>
      </c>
      <c r="AH4556" s="4">
        <v>12</v>
      </c>
      <c r="AI4556" s="4">
        <v>12</v>
      </c>
      <c r="AJ4556" s="4">
        <v>6</v>
      </c>
      <c r="AK4556" s="4">
        <v>6</v>
      </c>
      <c r="AL4556" s="4">
        <v>4</v>
      </c>
      <c r="AM4556" s="4">
        <v>4</v>
      </c>
      <c r="AN4556" s="4">
        <v>0</v>
      </c>
      <c r="AO4556" s="4">
        <v>0</v>
      </c>
      <c r="AP4556" s="4">
        <v>7</v>
      </c>
      <c r="AQ4556" s="4">
        <v>7</v>
      </c>
      <c r="AR4556" s="3" t="s">
        <v>62</v>
      </c>
      <c r="AS4556" s="3" t="s">
        <v>62</v>
      </c>
      <c r="AT4556" s="3" t="s">
        <v>62</v>
      </c>
      <c r="AV4556" s="6" t="str">
        <f>HYPERLINK("http://mcgill.on.worldcat.org/oclc/49404049","Catalog Record")</f>
        <v>Catalog Record</v>
      </c>
      <c r="AW4556" s="6" t="str">
        <f>HYPERLINK("http://www.worldcat.org/oclc/49404049","WorldCat Record")</f>
        <v>WorldCat Record</v>
      </c>
      <c r="AX4556" s="3" t="s">
        <v>43924</v>
      </c>
      <c r="AY4556" s="3" t="s">
        <v>43925</v>
      </c>
      <c r="AZ4556" s="3" t="s">
        <v>43926</v>
      </c>
      <c r="BA4556" s="3" t="s">
        <v>43926</v>
      </c>
      <c r="BB4556" s="3" t="s">
        <v>43927</v>
      </c>
      <c r="BC4556" s="3" t="s">
        <v>102</v>
      </c>
      <c r="BD4556" s="3" t="s">
        <v>68</v>
      </c>
      <c r="BE4556" s="3" t="s">
        <v>43928</v>
      </c>
      <c r="BF4556" s="3" t="s">
        <v>43927</v>
      </c>
      <c r="BG4556" s="3" t="s">
        <v>43929</v>
      </c>
    </row>
    <row r="4557" spans="1:59" ht="58" x14ac:dyDescent="0.35">
      <c r="A4557" s="2" t="s">
        <v>59</v>
      </c>
      <c r="B4557" s="2" t="s">
        <v>60</v>
      </c>
      <c r="C4557" s="2" t="s">
        <v>43930</v>
      </c>
      <c r="D4557" s="2" t="s">
        <v>43931</v>
      </c>
      <c r="E4557" s="2" t="s">
        <v>43932</v>
      </c>
      <c r="G4557" s="3" t="s">
        <v>62</v>
      </c>
      <c r="I4557" s="3" t="s">
        <v>62</v>
      </c>
      <c r="J4557" s="3" t="s">
        <v>62</v>
      </c>
      <c r="K4557" s="3" t="s">
        <v>63</v>
      </c>
      <c r="L4557" s="2" t="s">
        <v>43933</v>
      </c>
      <c r="M4557" s="2" t="s">
        <v>43934</v>
      </c>
      <c r="N4557" s="3" t="s">
        <v>355</v>
      </c>
      <c r="P4557" s="3" t="s">
        <v>64</v>
      </c>
      <c r="R4557" s="3" t="s">
        <v>42369</v>
      </c>
      <c r="S4557" s="4">
        <v>5</v>
      </c>
      <c r="T4557" s="4">
        <v>5</v>
      </c>
      <c r="U4557" s="5" t="s">
        <v>9640</v>
      </c>
      <c r="V4557" s="5" t="s">
        <v>9640</v>
      </c>
      <c r="W4557" s="5" t="s">
        <v>67</v>
      </c>
      <c r="X4557" s="5" t="s">
        <v>67</v>
      </c>
      <c r="Y4557" s="4">
        <v>55</v>
      </c>
      <c r="Z4557" s="4">
        <v>31</v>
      </c>
      <c r="AA4557" s="4">
        <v>33</v>
      </c>
      <c r="AB4557" s="4">
        <v>1</v>
      </c>
      <c r="AC4557" s="4">
        <v>2</v>
      </c>
      <c r="AD4557" s="4">
        <v>38</v>
      </c>
      <c r="AE4557" s="4">
        <v>40</v>
      </c>
      <c r="AF4557" s="4">
        <v>0</v>
      </c>
      <c r="AG4557" s="4">
        <v>1</v>
      </c>
      <c r="AH4557" s="4">
        <v>24</v>
      </c>
      <c r="AI4557" s="4">
        <v>25</v>
      </c>
      <c r="AJ4557" s="4">
        <v>15</v>
      </c>
      <c r="AK4557" s="4">
        <v>17</v>
      </c>
      <c r="AL4557" s="4">
        <v>10</v>
      </c>
      <c r="AM4557" s="4">
        <v>10</v>
      </c>
      <c r="AN4557" s="4">
        <v>0</v>
      </c>
      <c r="AO4557" s="4">
        <v>0</v>
      </c>
      <c r="AP4557" s="4">
        <v>22</v>
      </c>
      <c r="AQ4557" s="4">
        <v>24</v>
      </c>
      <c r="AR4557" s="3" t="s">
        <v>61</v>
      </c>
      <c r="AS4557" s="3" t="s">
        <v>62</v>
      </c>
      <c r="AT4557" s="3" t="s">
        <v>62</v>
      </c>
      <c r="AV4557" s="6" t="str">
        <f>HYPERLINK("http://mcgill.on.worldcat.org/oclc/10994516","Catalog Record")</f>
        <v>Catalog Record</v>
      </c>
      <c r="AW4557" s="6" t="str">
        <f>HYPERLINK("http://www.worldcat.org/oclc/10994516","WorldCat Record")</f>
        <v>WorldCat Record</v>
      </c>
      <c r="AX4557" s="3" t="s">
        <v>43935</v>
      </c>
      <c r="AY4557" s="3" t="s">
        <v>43936</v>
      </c>
      <c r="AZ4557" s="3" t="s">
        <v>43937</v>
      </c>
      <c r="BA4557" s="3" t="s">
        <v>43937</v>
      </c>
      <c r="BB4557" s="3" t="s">
        <v>43938</v>
      </c>
      <c r="BC4557" s="3" t="s">
        <v>102</v>
      </c>
      <c r="BD4557" s="3" t="s">
        <v>68</v>
      </c>
      <c r="BE4557" s="3" t="s">
        <v>43939</v>
      </c>
      <c r="BF4557" s="3" t="s">
        <v>43938</v>
      </c>
      <c r="BG4557" s="3" t="s">
        <v>43940</v>
      </c>
    </row>
    <row r="4558" spans="1:59" ht="58" x14ac:dyDescent="0.35">
      <c r="A4558" s="2" t="s">
        <v>59</v>
      </c>
      <c r="B4558" s="2" t="s">
        <v>60</v>
      </c>
      <c r="C4558" s="2" t="s">
        <v>43941</v>
      </c>
      <c r="D4558" s="2" t="s">
        <v>43942</v>
      </c>
      <c r="E4558" s="2" t="s">
        <v>43943</v>
      </c>
      <c r="G4558" s="3" t="s">
        <v>62</v>
      </c>
      <c r="I4558" s="3" t="s">
        <v>62</v>
      </c>
      <c r="J4558" s="3" t="s">
        <v>62</v>
      </c>
      <c r="K4558" s="3" t="s">
        <v>63</v>
      </c>
      <c r="L4558" s="2" t="s">
        <v>43944</v>
      </c>
      <c r="M4558" s="2" t="s">
        <v>43945</v>
      </c>
      <c r="N4558" s="3" t="s">
        <v>115</v>
      </c>
      <c r="P4558" s="3" t="s">
        <v>64</v>
      </c>
      <c r="R4558" s="3" t="s">
        <v>42369</v>
      </c>
      <c r="S4558" s="4">
        <v>14</v>
      </c>
      <c r="T4558" s="4">
        <v>14</v>
      </c>
      <c r="U4558" s="5" t="s">
        <v>9640</v>
      </c>
      <c r="V4558" s="5" t="s">
        <v>9640</v>
      </c>
      <c r="W4558" s="5" t="s">
        <v>67</v>
      </c>
      <c r="X4558" s="5" t="s">
        <v>67</v>
      </c>
      <c r="Y4558" s="4">
        <v>39</v>
      </c>
      <c r="Z4558" s="4">
        <v>33</v>
      </c>
      <c r="AA4558" s="4">
        <v>34</v>
      </c>
      <c r="AB4558" s="4">
        <v>3</v>
      </c>
      <c r="AC4558" s="4">
        <v>3</v>
      </c>
      <c r="AD4558" s="4">
        <v>15</v>
      </c>
      <c r="AE4558" s="4">
        <v>15</v>
      </c>
      <c r="AF4558" s="4">
        <v>1</v>
      </c>
      <c r="AG4558" s="4">
        <v>1</v>
      </c>
      <c r="AH4558" s="4">
        <v>12</v>
      </c>
      <c r="AI4558" s="4">
        <v>12</v>
      </c>
      <c r="AJ4558" s="4">
        <v>11</v>
      </c>
      <c r="AK4558" s="4">
        <v>11</v>
      </c>
      <c r="AL4558" s="4">
        <v>5</v>
      </c>
      <c r="AM4558" s="4">
        <v>5</v>
      </c>
      <c r="AN4558" s="4">
        <v>0</v>
      </c>
      <c r="AO4558" s="4">
        <v>0</v>
      </c>
      <c r="AP4558" s="4">
        <v>10</v>
      </c>
      <c r="AQ4558" s="4">
        <v>10</v>
      </c>
      <c r="AR4558" s="3" t="s">
        <v>61</v>
      </c>
      <c r="AS4558" s="3" t="s">
        <v>62</v>
      </c>
      <c r="AT4558" s="3" t="s">
        <v>62</v>
      </c>
      <c r="AV4558" s="6" t="str">
        <f>HYPERLINK("http://mcgill.on.worldcat.org/oclc/19516156","Catalog Record")</f>
        <v>Catalog Record</v>
      </c>
      <c r="AW4558" s="6" t="str">
        <f>HYPERLINK("http://www.worldcat.org/oclc/19516156","WorldCat Record")</f>
        <v>WorldCat Record</v>
      </c>
      <c r="AX4558" s="3" t="s">
        <v>43946</v>
      </c>
      <c r="AY4558" s="3" t="s">
        <v>43947</v>
      </c>
      <c r="AZ4558" s="3" t="s">
        <v>43948</v>
      </c>
      <c r="BA4558" s="3" t="s">
        <v>43948</v>
      </c>
      <c r="BB4558" s="3" t="s">
        <v>43949</v>
      </c>
      <c r="BC4558" s="3" t="s">
        <v>102</v>
      </c>
      <c r="BD4558" s="3" t="s">
        <v>68</v>
      </c>
      <c r="BE4558" s="3" t="s">
        <v>43950</v>
      </c>
      <c r="BF4558" s="3" t="s">
        <v>43949</v>
      </c>
      <c r="BG4558" s="3" t="s">
        <v>43951</v>
      </c>
    </row>
    <row r="4559" spans="1:59" ht="58" x14ac:dyDescent="0.35">
      <c r="A4559" s="2" t="s">
        <v>59</v>
      </c>
      <c r="B4559" s="2" t="s">
        <v>60</v>
      </c>
      <c r="C4559" s="2" t="s">
        <v>43952</v>
      </c>
      <c r="D4559" s="2" t="s">
        <v>43953</v>
      </c>
      <c r="E4559" s="2" t="s">
        <v>43954</v>
      </c>
      <c r="G4559" s="3" t="s">
        <v>62</v>
      </c>
      <c r="I4559" s="3" t="s">
        <v>62</v>
      </c>
      <c r="J4559" s="3" t="s">
        <v>62</v>
      </c>
      <c r="K4559" s="3" t="s">
        <v>63</v>
      </c>
      <c r="L4559" s="2" t="s">
        <v>43955</v>
      </c>
      <c r="M4559" s="2" t="s">
        <v>43956</v>
      </c>
      <c r="N4559" s="3" t="s">
        <v>893</v>
      </c>
      <c r="P4559" s="3" t="s">
        <v>64</v>
      </c>
      <c r="R4559" s="3" t="s">
        <v>42369</v>
      </c>
      <c r="S4559" s="4">
        <v>3</v>
      </c>
      <c r="T4559" s="4">
        <v>3</v>
      </c>
      <c r="U4559" s="5" t="s">
        <v>6070</v>
      </c>
      <c r="V4559" s="5" t="s">
        <v>6070</v>
      </c>
      <c r="W4559" s="5" t="s">
        <v>67</v>
      </c>
      <c r="X4559" s="5" t="s">
        <v>67</v>
      </c>
      <c r="Y4559" s="4">
        <v>42</v>
      </c>
      <c r="Z4559" s="4">
        <v>26</v>
      </c>
      <c r="AA4559" s="4">
        <v>28</v>
      </c>
      <c r="AB4559" s="4">
        <v>1</v>
      </c>
      <c r="AC4559" s="4">
        <v>2</v>
      </c>
      <c r="AD4559" s="4">
        <v>17</v>
      </c>
      <c r="AE4559" s="4">
        <v>19</v>
      </c>
      <c r="AF4559" s="4">
        <v>0</v>
      </c>
      <c r="AG4559" s="4">
        <v>1</v>
      </c>
      <c r="AH4559" s="4">
        <v>11</v>
      </c>
      <c r="AI4559" s="4">
        <v>11</v>
      </c>
      <c r="AJ4559" s="4">
        <v>10</v>
      </c>
      <c r="AK4559" s="4">
        <v>11</v>
      </c>
      <c r="AL4559" s="4">
        <v>3</v>
      </c>
      <c r="AM4559" s="4">
        <v>3</v>
      </c>
      <c r="AN4559" s="4">
        <v>0</v>
      </c>
      <c r="AO4559" s="4">
        <v>0</v>
      </c>
      <c r="AP4559" s="4">
        <v>12</v>
      </c>
      <c r="AQ4559" s="4">
        <v>14</v>
      </c>
      <c r="AR4559" s="3" t="s">
        <v>61</v>
      </c>
      <c r="AS4559" s="3" t="s">
        <v>62</v>
      </c>
      <c r="AT4559" s="3" t="s">
        <v>62</v>
      </c>
      <c r="AV4559" s="6" t="str">
        <f>HYPERLINK("http://mcgill.on.worldcat.org/oclc/10258595","Catalog Record")</f>
        <v>Catalog Record</v>
      </c>
      <c r="AW4559" s="6" t="str">
        <f>HYPERLINK("http://www.worldcat.org/oclc/10258595","WorldCat Record")</f>
        <v>WorldCat Record</v>
      </c>
      <c r="AX4559" s="3" t="s">
        <v>43957</v>
      </c>
      <c r="AY4559" s="3" t="s">
        <v>43958</v>
      </c>
      <c r="AZ4559" s="3" t="s">
        <v>43959</v>
      </c>
      <c r="BA4559" s="3" t="s">
        <v>43959</v>
      </c>
      <c r="BB4559" s="3" t="s">
        <v>43960</v>
      </c>
      <c r="BC4559" s="3" t="s">
        <v>102</v>
      </c>
      <c r="BD4559" s="3" t="s">
        <v>68</v>
      </c>
      <c r="BE4559" s="3" t="s">
        <v>43961</v>
      </c>
      <c r="BF4559" s="3" t="s">
        <v>43960</v>
      </c>
      <c r="BG4559" s="3" t="s">
        <v>43962</v>
      </c>
    </row>
    <row r="4560" spans="1:59" ht="58" x14ac:dyDescent="0.35">
      <c r="A4560" s="2" t="s">
        <v>59</v>
      </c>
      <c r="B4560" s="2" t="s">
        <v>60</v>
      </c>
      <c r="C4560" s="2" t="s">
        <v>43963</v>
      </c>
      <c r="D4560" s="2" t="s">
        <v>43964</v>
      </c>
      <c r="E4560" s="2" t="s">
        <v>43965</v>
      </c>
      <c r="G4560" s="3" t="s">
        <v>62</v>
      </c>
      <c r="I4560" s="3" t="s">
        <v>62</v>
      </c>
      <c r="J4560" s="3" t="s">
        <v>62</v>
      </c>
      <c r="K4560" s="3" t="s">
        <v>63</v>
      </c>
      <c r="L4560" s="2" t="s">
        <v>43966</v>
      </c>
      <c r="M4560" s="2" t="s">
        <v>43967</v>
      </c>
      <c r="N4560" s="3" t="s">
        <v>3062</v>
      </c>
      <c r="P4560" s="3" t="s">
        <v>64</v>
      </c>
      <c r="R4560" s="3" t="s">
        <v>42369</v>
      </c>
      <c r="S4560" s="4">
        <v>12</v>
      </c>
      <c r="T4560" s="4">
        <v>12</v>
      </c>
      <c r="U4560" s="5" t="s">
        <v>19874</v>
      </c>
      <c r="V4560" s="5" t="s">
        <v>19874</v>
      </c>
      <c r="W4560" s="5" t="s">
        <v>67</v>
      </c>
      <c r="X4560" s="5" t="s">
        <v>67</v>
      </c>
      <c r="Y4560" s="4">
        <v>377</v>
      </c>
      <c r="Z4560" s="4">
        <v>20</v>
      </c>
      <c r="AA4560" s="4">
        <v>20</v>
      </c>
      <c r="AB4560" s="4">
        <v>1</v>
      </c>
      <c r="AC4560" s="4">
        <v>1</v>
      </c>
      <c r="AD4560" s="4">
        <v>71</v>
      </c>
      <c r="AE4560" s="4">
        <v>71</v>
      </c>
      <c r="AF4560" s="4">
        <v>0</v>
      </c>
      <c r="AG4560" s="4">
        <v>0</v>
      </c>
      <c r="AH4560" s="4">
        <v>66</v>
      </c>
      <c r="AI4560" s="4">
        <v>66</v>
      </c>
      <c r="AJ4560" s="4">
        <v>7</v>
      </c>
      <c r="AK4560" s="4">
        <v>7</v>
      </c>
      <c r="AL4560" s="4">
        <v>35</v>
      </c>
      <c r="AM4560" s="4">
        <v>35</v>
      </c>
      <c r="AN4560" s="4">
        <v>0</v>
      </c>
      <c r="AO4560" s="4">
        <v>0</v>
      </c>
      <c r="AP4560" s="4">
        <v>10</v>
      </c>
      <c r="AQ4560" s="4">
        <v>10</v>
      </c>
      <c r="AR4560" s="3" t="s">
        <v>62</v>
      </c>
      <c r="AS4560" s="3" t="s">
        <v>62</v>
      </c>
      <c r="AT4560" s="3" t="s">
        <v>61</v>
      </c>
      <c r="AU4560" s="6" t="str">
        <f>HYPERLINK("http://catalog.hathitrust.org/Record/002502955","HathiTrust Record")</f>
        <v>HathiTrust Record</v>
      </c>
      <c r="AV4560" s="6" t="str">
        <f>HYPERLINK("http://mcgill.on.worldcat.org/oclc/20827385","Catalog Record")</f>
        <v>Catalog Record</v>
      </c>
      <c r="AW4560" s="6" t="str">
        <f>HYPERLINK("http://www.worldcat.org/oclc/20827385","WorldCat Record")</f>
        <v>WorldCat Record</v>
      </c>
      <c r="AX4560" s="3" t="s">
        <v>43968</v>
      </c>
      <c r="AY4560" s="3" t="s">
        <v>43969</v>
      </c>
      <c r="AZ4560" s="3" t="s">
        <v>43970</v>
      </c>
      <c r="BA4560" s="3" t="s">
        <v>43970</v>
      </c>
      <c r="BB4560" s="3" t="s">
        <v>43971</v>
      </c>
      <c r="BC4560" s="3" t="s">
        <v>102</v>
      </c>
      <c r="BD4560" s="3" t="s">
        <v>68</v>
      </c>
      <c r="BE4560" s="3" t="s">
        <v>43972</v>
      </c>
      <c r="BF4560" s="3" t="s">
        <v>43971</v>
      </c>
      <c r="BG4560" s="3" t="s">
        <v>43973</v>
      </c>
    </row>
    <row r="4561" spans="1:59" ht="58" x14ac:dyDescent="0.35">
      <c r="A4561" s="2" t="s">
        <v>59</v>
      </c>
      <c r="B4561" s="2" t="s">
        <v>60</v>
      </c>
      <c r="C4561" s="2" t="s">
        <v>43974</v>
      </c>
      <c r="D4561" s="2" t="s">
        <v>43975</v>
      </c>
      <c r="E4561" s="2" t="s">
        <v>43976</v>
      </c>
      <c r="G4561" s="3" t="s">
        <v>62</v>
      </c>
      <c r="I4561" s="3" t="s">
        <v>62</v>
      </c>
      <c r="J4561" s="3" t="s">
        <v>62</v>
      </c>
      <c r="K4561" s="3" t="s">
        <v>63</v>
      </c>
      <c r="L4561" s="2" t="s">
        <v>43977</v>
      </c>
      <c r="M4561" s="2" t="s">
        <v>43978</v>
      </c>
      <c r="N4561" s="3" t="s">
        <v>596</v>
      </c>
      <c r="P4561" s="3" t="s">
        <v>64</v>
      </c>
      <c r="R4561" s="3" t="s">
        <v>42369</v>
      </c>
      <c r="S4561" s="4">
        <v>1</v>
      </c>
      <c r="T4561" s="4">
        <v>1</v>
      </c>
      <c r="U4561" s="5" t="s">
        <v>18681</v>
      </c>
      <c r="V4561" s="5" t="s">
        <v>18681</v>
      </c>
      <c r="W4561" s="5" t="s">
        <v>67</v>
      </c>
      <c r="X4561" s="5" t="s">
        <v>67</v>
      </c>
      <c r="Y4561" s="4">
        <v>56</v>
      </c>
      <c r="Z4561" s="4">
        <v>3</v>
      </c>
      <c r="AA4561" s="4">
        <v>3</v>
      </c>
      <c r="AB4561" s="4">
        <v>1</v>
      </c>
      <c r="AC4561" s="4">
        <v>1</v>
      </c>
      <c r="AD4561" s="4">
        <v>14</v>
      </c>
      <c r="AE4561" s="4">
        <v>14</v>
      </c>
      <c r="AF4561" s="4">
        <v>0</v>
      </c>
      <c r="AG4561" s="4">
        <v>0</v>
      </c>
      <c r="AH4561" s="4">
        <v>13</v>
      </c>
      <c r="AI4561" s="4">
        <v>13</v>
      </c>
      <c r="AJ4561" s="4">
        <v>1</v>
      </c>
      <c r="AK4561" s="4">
        <v>1</v>
      </c>
      <c r="AL4561" s="4">
        <v>10</v>
      </c>
      <c r="AM4561" s="4">
        <v>10</v>
      </c>
      <c r="AN4561" s="4">
        <v>0</v>
      </c>
      <c r="AO4561" s="4">
        <v>0</v>
      </c>
      <c r="AP4561" s="4">
        <v>1</v>
      </c>
      <c r="AQ4561" s="4">
        <v>1</v>
      </c>
      <c r="AR4561" s="3" t="s">
        <v>62</v>
      </c>
      <c r="AS4561" s="3" t="s">
        <v>62</v>
      </c>
      <c r="AT4561" s="3" t="s">
        <v>61</v>
      </c>
      <c r="AU4561" s="6" t="str">
        <f>HYPERLINK("http://catalog.hathitrust.org/Record/004301232","HathiTrust Record")</f>
        <v>HathiTrust Record</v>
      </c>
      <c r="AV4561" s="6" t="str">
        <f>HYPERLINK("http://mcgill.on.worldcat.org/oclc/51759081","Catalog Record")</f>
        <v>Catalog Record</v>
      </c>
      <c r="AW4561" s="6" t="str">
        <f>HYPERLINK("http://www.worldcat.org/oclc/51759081","WorldCat Record")</f>
        <v>WorldCat Record</v>
      </c>
      <c r="AX4561" s="3" t="s">
        <v>43979</v>
      </c>
      <c r="AY4561" s="3" t="s">
        <v>43980</v>
      </c>
      <c r="AZ4561" s="3" t="s">
        <v>43981</v>
      </c>
      <c r="BA4561" s="3" t="s">
        <v>43981</v>
      </c>
      <c r="BB4561" s="3" t="s">
        <v>43982</v>
      </c>
      <c r="BC4561" s="3" t="s">
        <v>102</v>
      </c>
      <c r="BD4561" s="3" t="s">
        <v>68</v>
      </c>
      <c r="BE4561" s="3" t="s">
        <v>43983</v>
      </c>
      <c r="BF4561" s="3" t="s">
        <v>43982</v>
      </c>
      <c r="BG4561" s="3" t="s">
        <v>43984</v>
      </c>
    </row>
    <row r="4562" spans="1:59" ht="72.5" x14ac:dyDescent="0.35">
      <c r="A4562" s="2" t="s">
        <v>59</v>
      </c>
      <c r="B4562" s="2" t="s">
        <v>60</v>
      </c>
      <c r="C4562" s="2" t="s">
        <v>43985</v>
      </c>
      <c r="D4562" s="2" t="s">
        <v>43986</v>
      </c>
      <c r="E4562" s="2" t="s">
        <v>43987</v>
      </c>
      <c r="G4562" s="3" t="s">
        <v>62</v>
      </c>
      <c r="I4562" s="3" t="s">
        <v>62</v>
      </c>
      <c r="J4562" s="3" t="s">
        <v>62</v>
      </c>
      <c r="K4562" s="3" t="s">
        <v>63</v>
      </c>
      <c r="M4562" s="2" t="s">
        <v>43988</v>
      </c>
      <c r="N4562" s="3" t="s">
        <v>2110</v>
      </c>
      <c r="P4562" s="3" t="s">
        <v>64</v>
      </c>
      <c r="Q4562" s="2" t="s">
        <v>43989</v>
      </c>
      <c r="R4562" s="3" t="s">
        <v>42369</v>
      </c>
      <c r="S4562" s="4">
        <v>3</v>
      </c>
      <c r="T4562" s="4">
        <v>3</v>
      </c>
      <c r="U4562" s="5" t="s">
        <v>21972</v>
      </c>
      <c r="V4562" s="5" t="s">
        <v>21972</v>
      </c>
      <c r="W4562" s="5" t="s">
        <v>67</v>
      </c>
      <c r="X4562" s="5" t="s">
        <v>67</v>
      </c>
      <c r="Y4562" s="4">
        <v>292</v>
      </c>
      <c r="Z4562" s="4">
        <v>6</v>
      </c>
      <c r="AA4562" s="4">
        <v>10</v>
      </c>
      <c r="AB4562" s="4">
        <v>1</v>
      </c>
      <c r="AC4562" s="4">
        <v>2</v>
      </c>
      <c r="AD4562" s="4">
        <v>78</v>
      </c>
      <c r="AE4562" s="4">
        <v>81</v>
      </c>
      <c r="AF4562" s="4">
        <v>0</v>
      </c>
      <c r="AG4562" s="4">
        <v>1</v>
      </c>
      <c r="AH4562" s="4">
        <v>76</v>
      </c>
      <c r="AI4562" s="4">
        <v>77</v>
      </c>
      <c r="AJ4562" s="4">
        <v>3</v>
      </c>
      <c r="AK4562" s="4">
        <v>6</v>
      </c>
      <c r="AL4562" s="4">
        <v>45</v>
      </c>
      <c r="AM4562" s="4">
        <v>45</v>
      </c>
      <c r="AN4562" s="4">
        <v>0</v>
      </c>
      <c r="AO4562" s="4">
        <v>0</v>
      </c>
      <c r="AP4562" s="4">
        <v>3</v>
      </c>
      <c r="AQ4562" s="4">
        <v>6</v>
      </c>
      <c r="AR4562" s="3" t="s">
        <v>62</v>
      </c>
      <c r="AS4562" s="3" t="s">
        <v>61</v>
      </c>
      <c r="AT4562" s="3" t="s">
        <v>62</v>
      </c>
      <c r="AU4562" s="6" t="str">
        <f>HYPERLINK("http://catalog.hathitrust.org/Record/011324839","HathiTrust Record")</f>
        <v>HathiTrust Record</v>
      </c>
      <c r="AV4562" s="6" t="str">
        <f>HYPERLINK("http://mcgill.on.worldcat.org/oclc/4571831","Catalog Record")</f>
        <v>Catalog Record</v>
      </c>
      <c r="AW4562" s="6" t="str">
        <f>HYPERLINK("http://www.worldcat.org/oclc/4571831","WorldCat Record")</f>
        <v>WorldCat Record</v>
      </c>
      <c r="AX4562" s="3" t="s">
        <v>43990</v>
      </c>
      <c r="AY4562" s="3" t="s">
        <v>43991</v>
      </c>
      <c r="AZ4562" s="3" t="s">
        <v>43992</v>
      </c>
      <c r="BA4562" s="3" t="s">
        <v>43992</v>
      </c>
      <c r="BB4562" s="3" t="s">
        <v>43993</v>
      </c>
      <c r="BC4562" s="3" t="s">
        <v>102</v>
      </c>
      <c r="BD4562" s="3" t="s">
        <v>68</v>
      </c>
      <c r="BF4562" s="3" t="s">
        <v>43993</v>
      </c>
      <c r="BG4562" s="3" t="s">
        <v>43994</v>
      </c>
    </row>
    <row r="4563" spans="1:59" ht="58" x14ac:dyDescent="0.35">
      <c r="A4563" s="2" t="s">
        <v>59</v>
      </c>
      <c r="B4563" s="2" t="s">
        <v>60</v>
      </c>
      <c r="C4563" s="2" t="s">
        <v>43995</v>
      </c>
      <c r="D4563" s="2" t="s">
        <v>43996</v>
      </c>
      <c r="E4563" s="2" t="s">
        <v>43997</v>
      </c>
      <c r="G4563" s="3" t="s">
        <v>62</v>
      </c>
      <c r="I4563" s="3" t="s">
        <v>62</v>
      </c>
      <c r="J4563" s="3" t="s">
        <v>62</v>
      </c>
      <c r="K4563" s="3" t="s">
        <v>63</v>
      </c>
      <c r="L4563" s="2" t="s">
        <v>43998</v>
      </c>
      <c r="M4563" s="2" t="s">
        <v>43999</v>
      </c>
      <c r="N4563" s="3" t="s">
        <v>115</v>
      </c>
      <c r="P4563" s="3" t="s">
        <v>64</v>
      </c>
      <c r="Q4563" s="2" t="s">
        <v>44000</v>
      </c>
      <c r="R4563" s="3" t="s">
        <v>42369</v>
      </c>
      <c r="S4563" s="4">
        <v>4</v>
      </c>
      <c r="T4563" s="4">
        <v>4</v>
      </c>
      <c r="U4563" s="5" t="s">
        <v>10848</v>
      </c>
      <c r="V4563" s="5" t="s">
        <v>10848</v>
      </c>
      <c r="W4563" s="5" t="s">
        <v>67</v>
      </c>
      <c r="X4563" s="5" t="s">
        <v>67</v>
      </c>
      <c r="Y4563" s="4">
        <v>33</v>
      </c>
      <c r="Z4563" s="4">
        <v>2</v>
      </c>
      <c r="AA4563" s="4">
        <v>2</v>
      </c>
      <c r="AB4563" s="4">
        <v>1</v>
      </c>
      <c r="AC4563" s="4">
        <v>1</v>
      </c>
      <c r="AD4563" s="4">
        <v>17</v>
      </c>
      <c r="AE4563" s="4">
        <v>17</v>
      </c>
      <c r="AF4563" s="4">
        <v>0</v>
      </c>
      <c r="AG4563" s="4">
        <v>0</v>
      </c>
      <c r="AH4563" s="4">
        <v>16</v>
      </c>
      <c r="AI4563" s="4">
        <v>16</v>
      </c>
      <c r="AJ4563" s="4">
        <v>1</v>
      </c>
      <c r="AK4563" s="4">
        <v>1</v>
      </c>
      <c r="AL4563" s="4">
        <v>9</v>
      </c>
      <c r="AM4563" s="4">
        <v>9</v>
      </c>
      <c r="AN4563" s="4">
        <v>0</v>
      </c>
      <c r="AO4563" s="4">
        <v>0</v>
      </c>
      <c r="AP4563" s="4">
        <v>0</v>
      </c>
      <c r="AQ4563" s="4">
        <v>0</v>
      </c>
      <c r="AR4563" s="3" t="s">
        <v>62</v>
      </c>
      <c r="AS4563" s="3" t="s">
        <v>62</v>
      </c>
      <c r="AT4563" s="3" t="s">
        <v>61</v>
      </c>
      <c r="AU4563" s="6" t="str">
        <f>HYPERLINK("http://catalog.hathitrust.org/Record/001292338","HathiTrust Record")</f>
        <v>HathiTrust Record</v>
      </c>
      <c r="AV4563" s="6" t="str">
        <f>HYPERLINK("http://mcgill.on.worldcat.org/oclc/19549368","Catalog Record")</f>
        <v>Catalog Record</v>
      </c>
      <c r="AW4563" s="6" t="str">
        <f>HYPERLINK("http://www.worldcat.org/oclc/19549368","WorldCat Record")</f>
        <v>WorldCat Record</v>
      </c>
      <c r="AX4563" s="3" t="s">
        <v>44001</v>
      </c>
      <c r="AY4563" s="3" t="s">
        <v>44002</v>
      </c>
      <c r="AZ4563" s="3" t="s">
        <v>44003</v>
      </c>
      <c r="BA4563" s="3" t="s">
        <v>44003</v>
      </c>
      <c r="BB4563" s="3" t="s">
        <v>44004</v>
      </c>
      <c r="BC4563" s="3" t="s">
        <v>102</v>
      </c>
      <c r="BD4563" s="3" t="s">
        <v>68</v>
      </c>
      <c r="BE4563" s="3" t="s">
        <v>44005</v>
      </c>
      <c r="BF4563" s="3" t="s">
        <v>44004</v>
      </c>
      <c r="BG4563" s="3" t="s">
        <v>44006</v>
      </c>
    </row>
    <row r="4564" spans="1:59" ht="58" x14ac:dyDescent="0.35">
      <c r="A4564" s="2" t="s">
        <v>59</v>
      </c>
      <c r="B4564" s="2" t="s">
        <v>60</v>
      </c>
      <c r="C4564" s="2" t="s">
        <v>44007</v>
      </c>
      <c r="D4564" s="2" t="s">
        <v>44008</v>
      </c>
      <c r="E4564" s="2" t="s">
        <v>44009</v>
      </c>
      <c r="G4564" s="3" t="s">
        <v>62</v>
      </c>
      <c r="I4564" s="3" t="s">
        <v>62</v>
      </c>
      <c r="J4564" s="3" t="s">
        <v>62</v>
      </c>
      <c r="K4564" s="3" t="s">
        <v>63</v>
      </c>
      <c r="L4564" s="2" t="s">
        <v>44010</v>
      </c>
      <c r="M4564" s="2" t="s">
        <v>44011</v>
      </c>
      <c r="N4564" s="3" t="s">
        <v>553</v>
      </c>
      <c r="O4564" s="2" t="s">
        <v>44012</v>
      </c>
      <c r="P4564" s="3" t="s">
        <v>64</v>
      </c>
      <c r="R4564" s="3" t="s">
        <v>42369</v>
      </c>
      <c r="S4564" s="4">
        <v>2</v>
      </c>
      <c r="T4564" s="4">
        <v>2</v>
      </c>
      <c r="U4564" s="5" t="s">
        <v>1375</v>
      </c>
      <c r="V4564" s="5" t="s">
        <v>1375</v>
      </c>
      <c r="W4564" s="5" t="s">
        <v>67</v>
      </c>
      <c r="X4564" s="5" t="s">
        <v>67</v>
      </c>
      <c r="Y4564" s="4">
        <v>72</v>
      </c>
      <c r="Z4564" s="4">
        <v>3</v>
      </c>
      <c r="AA4564" s="4">
        <v>4</v>
      </c>
      <c r="AB4564" s="4">
        <v>1</v>
      </c>
      <c r="AC4564" s="4">
        <v>2</v>
      </c>
      <c r="AD4564" s="4">
        <v>26</v>
      </c>
      <c r="AE4564" s="4">
        <v>27</v>
      </c>
      <c r="AF4564" s="4">
        <v>0</v>
      </c>
      <c r="AG4564" s="4">
        <v>1</v>
      </c>
      <c r="AH4564" s="4">
        <v>26</v>
      </c>
      <c r="AI4564" s="4">
        <v>26</v>
      </c>
      <c r="AJ4564" s="4">
        <v>1</v>
      </c>
      <c r="AK4564" s="4">
        <v>2</v>
      </c>
      <c r="AL4564" s="4">
        <v>16</v>
      </c>
      <c r="AM4564" s="4">
        <v>16</v>
      </c>
      <c r="AN4564" s="4">
        <v>0</v>
      </c>
      <c r="AO4564" s="4">
        <v>0</v>
      </c>
      <c r="AP4564" s="4">
        <v>1</v>
      </c>
      <c r="AQ4564" s="4">
        <v>1</v>
      </c>
      <c r="AR4564" s="3" t="s">
        <v>62</v>
      </c>
      <c r="AS4564" s="3" t="s">
        <v>62</v>
      </c>
      <c r="AT4564" s="3" t="s">
        <v>62</v>
      </c>
      <c r="AV4564" s="6" t="str">
        <f>HYPERLINK("http://mcgill.on.worldcat.org/oclc/38105209","Catalog Record")</f>
        <v>Catalog Record</v>
      </c>
      <c r="AW4564" s="6" t="str">
        <f>HYPERLINK("http://www.worldcat.org/oclc/38105209","WorldCat Record")</f>
        <v>WorldCat Record</v>
      </c>
      <c r="AX4564" s="3" t="s">
        <v>44013</v>
      </c>
      <c r="AY4564" s="3" t="s">
        <v>44014</v>
      </c>
      <c r="AZ4564" s="3" t="s">
        <v>44015</v>
      </c>
      <c r="BA4564" s="3" t="s">
        <v>44015</v>
      </c>
      <c r="BB4564" s="3" t="s">
        <v>44016</v>
      </c>
      <c r="BC4564" s="3" t="s">
        <v>102</v>
      </c>
      <c r="BD4564" s="3" t="s">
        <v>68</v>
      </c>
      <c r="BE4564" s="3" t="s">
        <v>44017</v>
      </c>
      <c r="BF4564" s="3" t="s">
        <v>44016</v>
      </c>
      <c r="BG4564" s="3" t="s">
        <v>44018</v>
      </c>
    </row>
    <row r="4565" spans="1:59" ht="58" x14ac:dyDescent="0.35">
      <c r="A4565" s="2" t="s">
        <v>59</v>
      </c>
      <c r="B4565" s="2" t="s">
        <v>60</v>
      </c>
      <c r="C4565" s="2" t="s">
        <v>44019</v>
      </c>
      <c r="D4565" s="2" t="s">
        <v>44020</v>
      </c>
      <c r="E4565" s="2" t="s">
        <v>44021</v>
      </c>
      <c r="G4565" s="3" t="s">
        <v>62</v>
      </c>
      <c r="I4565" s="3" t="s">
        <v>62</v>
      </c>
      <c r="J4565" s="3" t="s">
        <v>62</v>
      </c>
      <c r="K4565" s="3" t="s">
        <v>63</v>
      </c>
      <c r="L4565" s="2" t="s">
        <v>44022</v>
      </c>
      <c r="M4565" s="2" t="s">
        <v>44023</v>
      </c>
      <c r="N4565" s="3" t="s">
        <v>481</v>
      </c>
      <c r="P4565" s="3" t="s">
        <v>64</v>
      </c>
      <c r="R4565" s="3" t="s">
        <v>42369</v>
      </c>
      <c r="S4565" s="4">
        <v>10</v>
      </c>
      <c r="T4565" s="4">
        <v>10</v>
      </c>
      <c r="U4565" s="5" t="s">
        <v>4688</v>
      </c>
      <c r="V4565" s="5" t="s">
        <v>4688</v>
      </c>
      <c r="W4565" s="5" t="s">
        <v>67</v>
      </c>
      <c r="X4565" s="5" t="s">
        <v>67</v>
      </c>
      <c r="Y4565" s="4">
        <v>76</v>
      </c>
      <c r="Z4565" s="4">
        <v>2</v>
      </c>
      <c r="AA4565" s="4">
        <v>2</v>
      </c>
      <c r="AB4565" s="4">
        <v>1</v>
      </c>
      <c r="AC4565" s="4">
        <v>1</v>
      </c>
      <c r="AD4565" s="4">
        <v>13</v>
      </c>
      <c r="AE4565" s="4">
        <v>13</v>
      </c>
      <c r="AF4565" s="4">
        <v>0</v>
      </c>
      <c r="AG4565" s="4">
        <v>0</v>
      </c>
      <c r="AH4565" s="4">
        <v>13</v>
      </c>
      <c r="AI4565" s="4">
        <v>13</v>
      </c>
      <c r="AJ4565" s="4">
        <v>1</v>
      </c>
      <c r="AK4565" s="4">
        <v>1</v>
      </c>
      <c r="AL4565" s="4">
        <v>10</v>
      </c>
      <c r="AM4565" s="4">
        <v>10</v>
      </c>
      <c r="AN4565" s="4">
        <v>0</v>
      </c>
      <c r="AO4565" s="4">
        <v>0</v>
      </c>
      <c r="AP4565" s="4">
        <v>1</v>
      </c>
      <c r="AQ4565" s="4">
        <v>1</v>
      </c>
      <c r="AR4565" s="3" t="s">
        <v>62</v>
      </c>
      <c r="AS4565" s="3" t="s">
        <v>62</v>
      </c>
      <c r="AT4565" s="3" t="s">
        <v>62</v>
      </c>
      <c r="AV4565" s="6" t="str">
        <f>HYPERLINK("http://mcgill.on.worldcat.org/oclc/38407991","Catalog Record")</f>
        <v>Catalog Record</v>
      </c>
      <c r="AW4565" s="6" t="str">
        <f>HYPERLINK("http://www.worldcat.org/oclc/38407991","WorldCat Record")</f>
        <v>WorldCat Record</v>
      </c>
      <c r="AX4565" s="3" t="s">
        <v>44024</v>
      </c>
      <c r="AY4565" s="3" t="s">
        <v>44025</v>
      </c>
      <c r="AZ4565" s="3" t="s">
        <v>44026</v>
      </c>
      <c r="BA4565" s="3" t="s">
        <v>44026</v>
      </c>
      <c r="BB4565" s="3" t="s">
        <v>44027</v>
      </c>
      <c r="BC4565" s="3" t="s">
        <v>102</v>
      </c>
      <c r="BD4565" s="3" t="s">
        <v>68</v>
      </c>
      <c r="BE4565" s="3" t="s">
        <v>44028</v>
      </c>
      <c r="BF4565" s="3" t="s">
        <v>44027</v>
      </c>
      <c r="BG4565" s="3" t="s">
        <v>44029</v>
      </c>
    </row>
    <row r="4566" spans="1:59" ht="58" x14ac:dyDescent="0.35">
      <c r="A4566" s="2" t="s">
        <v>59</v>
      </c>
      <c r="B4566" s="2" t="s">
        <v>60</v>
      </c>
      <c r="C4566" s="2" t="s">
        <v>44030</v>
      </c>
      <c r="D4566" s="2" t="s">
        <v>44031</v>
      </c>
      <c r="E4566" s="2" t="s">
        <v>44032</v>
      </c>
      <c r="G4566" s="3" t="s">
        <v>62</v>
      </c>
      <c r="I4566" s="3" t="s">
        <v>62</v>
      </c>
      <c r="J4566" s="3" t="s">
        <v>62</v>
      </c>
      <c r="K4566" s="3" t="s">
        <v>63</v>
      </c>
      <c r="L4566" s="2" t="s">
        <v>44033</v>
      </c>
      <c r="M4566" s="2" t="s">
        <v>44034</v>
      </c>
      <c r="N4566" s="3" t="s">
        <v>81</v>
      </c>
      <c r="P4566" s="3" t="s">
        <v>64</v>
      </c>
      <c r="R4566" s="3" t="s">
        <v>42369</v>
      </c>
      <c r="S4566" s="4">
        <v>3</v>
      </c>
      <c r="T4566" s="4">
        <v>3</v>
      </c>
      <c r="U4566" s="5" t="s">
        <v>4688</v>
      </c>
      <c r="V4566" s="5" t="s">
        <v>4688</v>
      </c>
      <c r="W4566" s="5" t="s">
        <v>67</v>
      </c>
      <c r="X4566" s="5" t="s">
        <v>67</v>
      </c>
      <c r="Y4566" s="4">
        <v>60</v>
      </c>
      <c r="Z4566" s="4">
        <v>7</v>
      </c>
      <c r="AA4566" s="4">
        <v>8</v>
      </c>
      <c r="AB4566" s="4">
        <v>1</v>
      </c>
      <c r="AC4566" s="4">
        <v>1</v>
      </c>
      <c r="AD4566" s="4">
        <v>14</v>
      </c>
      <c r="AE4566" s="4">
        <v>20</v>
      </c>
      <c r="AF4566" s="4">
        <v>0</v>
      </c>
      <c r="AG4566" s="4">
        <v>0</v>
      </c>
      <c r="AH4566" s="4">
        <v>13</v>
      </c>
      <c r="AI4566" s="4">
        <v>19</v>
      </c>
      <c r="AJ4566" s="4">
        <v>3</v>
      </c>
      <c r="AK4566" s="4">
        <v>4</v>
      </c>
      <c r="AL4566" s="4">
        <v>9</v>
      </c>
      <c r="AM4566" s="4">
        <v>13</v>
      </c>
      <c r="AN4566" s="4">
        <v>0</v>
      </c>
      <c r="AO4566" s="4">
        <v>0</v>
      </c>
      <c r="AP4566" s="4">
        <v>3</v>
      </c>
      <c r="AQ4566" s="4">
        <v>4</v>
      </c>
      <c r="AR4566" s="3" t="s">
        <v>62</v>
      </c>
      <c r="AS4566" s="3" t="s">
        <v>62</v>
      </c>
      <c r="AT4566" s="3" t="s">
        <v>62</v>
      </c>
      <c r="AV4566" s="6" t="str">
        <f>HYPERLINK("http://mcgill.on.worldcat.org/oclc/42420","Catalog Record")</f>
        <v>Catalog Record</v>
      </c>
      <c r="AW4566" s="6" t="str">
        <f>HYPERLINK("http://www.worldcat.org/oclc/42420","WorldCat Record")</f>
        <v>WorldCat Record</v>
      </c>
      <c r="AX4566" s="3" t="s">
        <v>44035</v>
      </c>
      <c r="AY4566" s="3" t="s">
        <v>44036</v>
      </c>
      <c r="AZ4566" s="3" t="s">
        <v>44037</v>
      </c>
      <c r="BA4566" s="3" t="s">
        <v>44037</v>
      </c>
      <c r="BB4566" s="3" t="s">
        <v>44038</v>
      </c>
      <c r="BC4566" s="3" t="s">
        <v>102</v>
      </c>
      <c r="BD4566" s="3" t="s">
        <v>68</v>
      </c>
      <c r="BF4566" s="3" t="s">
        <v>44038</v>
      </c>
      <c r="BG4566" s="3" t="s">
        <v>44039</v>
      </c>
    </row>
    <row r="4567" spans="1:59" ht="58" x14ac:dyDescent="0.35">
      <c r="A4567" s="2" t="s">
        <v>59</v>
      </c>
      <c r="B4567" s="2" t="s">
        <v>60</v>
      </c>
      <c r="C4567" s="2" t="s">
        <v>44040</v>
      </c>
      <c r="D4567" s="2" t="s">
        <v>44041</v>
      </c>
      <c r="E4567" s="2" t="s">
        <v>44042</v>
      </c>
      <c r="F4567" s="3" t="s">
        <v>1416</v>
      </c>
      <c r="G4567" s="3" t="s">
        <v>61</v>
      </c>
      <c r="I4567" s="3" t="s">
        <v>62</v>
      </c>
      <c r="J4567" s="3" t="s">
        <v>61</v>
      </c>
      <c r="K4567" s="3" t="s">
        <v>63</v>
      </c>
      <c r="L4567" s="2" t="s">
        <v>44043</v>
      </c>
      <c r="M4567" s="2" t="s">
        <v>44044</v>
      </c>
      <c r="N4567" s="3" t="s">
        <v>809</v>
      </c>
      <c r="P4567" s="3" t="s">
        <v>64</v>
      </c>
      <c r="R4567" s="3" t="s">
        <v>42369</v>
      </c>
      <c r="S4567" s="4">
        <v>0</v>
      </c>
      <c r="T4567" s="4">
        <v>5</v>
      </c>
      <c r="V4567" s="5" t="s">
        <v>9931</v>
      </c>
      <c r="W4567" s="5" t="s">
        <v>67</v>
      </c>
      <c r="X4567" s="5" t="s">
        <v>67</v>
      </c>
      <c r="Y4567" s="4">
        <v>360</v>
      </c>
      <c r="Z4567" s="4">
        <v>10</v>
      </c>
      <c r="AA4567" s="4">
        <v>47</v>
      </c>
      <c r="AB4567" s="4">
        <v>1</v>
      </c>
      <c r="AC4567" s="4">
        <v>3</v>
      </c>
      <c r="AD4567" s="4">
        <v>76</v>
      </c>
      <c r="AE4567" s="4">
        <v>132</v>
      </c>
      <c r="AF4567" s="4">
        <v>0</v>
      </c>
      <c r="AG4567" s="4">
        <v>1</v>
      </c>
      <c r="AH4567" s="4">
        <v>71</v>
      </c>
      <c r="AI4567" s="4">
        <v>110</v>
      </c>
      <c r="AJ4567" s="4">
        <v>7</v>
      </c>
      <c r="AK4567" s="4">
        <v>20</v>
      </c>
      <c r="AL4567" s="4">
        <v>46</v>
      </c>
      <c r="AM4567" s="4">
        <v>56</v>
      </c>
      <c r="AN4567" s="4">
        <v>0</v>
      </c>
      <c r="AO4567" s="4">
        <v>0</v>
      </c>
      <c r="AP4567" s="4">
        <v>7</v>
      </c>
      <c r="AQ4567" s="4">
        <v>30</v>
      </c>
      <c r="AR4567" s="3" t="s">
        <v>62</v>
      </c>
      <c r="AS4567" s="3" t="s">
        <v>62</v>
      </c>
      <c r="AT4567" s="3" t="s">
        <v>61</v>
      </c>
      <c r="AU4567" s="6" t="str">
        <f>HYPERLINK("http://catalog.hathitrust.org/Record/004414452","HathiTrust Record")</f>
        <v>HathiTrust Record</v>
      </c>
      <c r="AV4567" s="6" t="str">
        <f>HYPERLINK("http://mcgill.on.worldcat.org/oclc/14621894","Catalog Record")</f>
        <v>Catalog Record</v>
      </c>
      <c r="AW4567" s="6" t="str">
        <f>HYPERLINK("http://www.worldcat.org/oclc/14621894","WorldCat Record")</f>
        <v>WorldCat Record</v>
      </c>
      <c r="AX4567" s="3" t="s">
        <v>44045</v>
      </c>
      <c r="AY4567" s="3" t="s">
        <v>44046</v>
      </c>
      <c r="AZ4567" s="3" t="s">
        <v>44047</v>
      </c>
      <c r="BA4567" s="3" t="s">
        <v>44047</v>
      </c>
      <c r="BB4567" s="3" t="s">
        <v>44048</v>
      </c>
      <c r="BC4567" s="3" t="s">
        <v>102</v>
      </c>
      <c r="BD4567" s="3" t="s">
        <v>68</v>
      </c>
      <c r="BF4567" s="3" t="s">
        <v>44048</v>
      </c>
      <c r="BG4567" s="3" t="s">
        <v>44049</v>
      </c>
    </row>
    <row r="4568" spans="1:59" ht="58" x14ac:dyDescent="0.35">
      <c r="A4568" s="2" t="s">
        <v>59</v>
      </c>
      <c r="B4568" s="2" t="s">
        <v>60</v>
      </c>
      <c r="C4568" s="2" t="s">
        <v>44040</v>
      </c>
      <c r="D4568" s="2" t="s">
        <v>44041</v>
      </c>
      <c r="E4568" s="2" t="s">
        <v>44042</v>
      </c>
      <c r="F4568" s="3" t="s">
        <v>1413</v>
      </c>
      <c r="G4568" s="3" t="s">
        <v>61</v>
      </c>
      <c r="I4568" s="3" t="s">
        <v>62</v>
      </c>
      <c r="J4568" s="3" t="s">
        <v>61</v>
      </c>
      <c r="K4568" s="3" t="s">
        <v>63</v>
      </c>
      <c r="L4568" s="2" t="s">
        <v>44043</v>
      </c>
      <c r="M4568" s="2" t="s">
        <v>44044</v>
      </c>
      <c r="N4568" s="3" t="s">
        <v>809</v>
      </c>
      <c r="P4568" s="3" t="s">
        <v>64</v>
      </c>
      <c r="R4568" s="3" t="s">
        <v>42369</v>
      </c>
      <c r="S4568" s="4">
        <v>5</v>
      </c>
      <c r="T4568" s="4">
        <v>5</v>
      </c>
      <c r="U4568" s="5" t="s">
        <v>9931</v>
      </c>
      <c r="V4568" s="5" t="s">
        <v>9931</v>
      </c>
      <c r="W4568" s="5" t="s">
        <v>67</v>
      </c>
      <c r="X4568" s="5" t="s">
        <v>67</v>
      </c>
      <c r="Y4568" s="4">
        <v>360</v>
      </c>
      <c r="Z4568" s="4">
        <v>10</v>
      </c>
      <c r="AA4568" s="4">
        <v>47</v>
      </c>
      <c r="AB4568" s="4">
        <v>1</v>
      </c>
      <c r="AC4568" s="4">
        <v>3</v>
      </c>
      <c r="AD4568" s="4">
        <v>76</v>
      </c>
      <c r="AE4568" s="4">
        <v>132</v>
      </c>
      <c r="AF4568" s="4">
        <v>0</v>
      </c>
      <c r="AG4568" s="4">
        <v>1</v>
      </c>
      <c r="AH4568" s="4">
        <v>71</v>
      </c>
      <c r="AI4568" s="4">
        <v>110</v>
      </c>
      <c r="AJ4568" s="4">
        <v>7</v>
      </c>
      <c r="AK4568" s="4">
        <v>20</v>
      </c>
      <c r="AL4568" s="4">
        <v>46</v>
      </c>
      <c r="AM4568" s="4">
        <v>56</v>
      </c>
      <c r="AN4568" s="4">
        <v>0</v>
      </c>
      <c r="AO4568" s="4">
        <v>0</v>
      </c>
      <c r="AP4568" s="4">
        <v>7</v>
      </c>
      <c r="AQ4568" s="4">
        <v>30</v>
      </c>
      <c r="AR4568" s="3" t="s">
        <v>62</v>
      </c>
      <c r="AS4568" s="3" t="s">
        <v>62</v>
      </c>
      <c r="AT4568" s="3" t="s">
        <v>61</v>
      </c>
      <c r="AU4568" s="6" t="str">
        <f>HYPERLINK("http://catalog.hathitrust.org/Record/004414452","HathiTrust Record")</f>
        <v>HathiTrust Record</v>
      </c>
      <c r="AV4568" s="6" t="str">
        <f>HYPERLINK("http://mcgill.on.worldcat.org/oclc/14621894","Catalog Record")</f>
        <v>Catalog Record</v>
      </c>
      <c r="AW4568" s="6" t="str">
        <f>HYPERLINK("http://www.worldcat.org/oclc/14621894","WorldCat Record")</f>
        <v>WorldCat Record</v>
      </c>
      <c r="AX4568" s="3" t="s">
        <v>44045</v>
      </c>
      <c r="AY4568" s="3" t="s">
        <v>44046</v>
      </c>
      <c r="AZ4568" s="3" t="s">
        <v>44047</v>
      </c>
      <c r="BA4568" s="3" t="s">
        <v>44047</v>
      </c>
      <c r="BB4568" s="3" t="s">
        <v>44050</v>
      </c>
      <c r="BC4568" s="3" t="s">
        <v>102</v>
      </c>
      <c r="BD4568" s="3" t="s">
        <v>68</v>
      </c>
      <c r="BF4568" s="3" t="s">
        <v>44050</v>
      </c>
      <c r="BG4568" s="3" t="s">
        <v>44051</v>
      </c>
    </row>
    <row r="4569" spans="1:59" ht="58" x14ac:dyDescent="0.35">
      <c r="A4569" s="2" t="s">
        <v>59</v>
      </c>
      <c r="B4569" s="2" t="s">
        <v>60</v>
      </c>
      <c r="C4569" s="2" t="s">
        <v>44052</v>
      </c>
      <c r="D4569" s="2" t="s">
        <v>44053</v>
      </c>
      <c r="E4569" s="2" t="s">
        <v>44054</v>
      </c>
      <c r="G4569" s="3" t="s">
        <v>62</v>
      </c>
      <c r="I4569" s="3" t="s">
        <v>62</v>
      </c>
      <c r="J4569" s="3" t="s">
        <v>62</v>
      </c>
      <c r="K4569" s="3" t="s">
        <v>63</v>
      </c>
      <c r="L4569" s="2" t="s">
        <v>44055</v>
      </c>
      <c r="M4569" s="2" t="s">
        <v>44056</v>
      </c>
      <c r="N4569" s="3" t="s">
        <v>866</v>
      </c>
      <c r="P4569" s="3" t="s">
        <v>64</v>
      </c>
      <c r="R4569" s="3" t="s">
        <v>42369</v>
      </c>
      <c r="S4569" s="4">
        <v>7</v>
      </c>
      <c r="T4569" s="4">
        <v>7</v>
      </c>
      <c r="U4569" s="5" t="s">
        <v>17429</v>
      </c>
      <c r="V4569" s="5" t="s">
        <v>17429</v>
      </c>
      <c r="W4569" s="5" t="s">
        <v>67</v>
      </c>
      <c r="X4569" s="5" t="s">
        <v>67</v>
      </c>
      <c r="Y4569" s="4">
        <v>428</v>
      </c>
      <c r="Z4569" s="4">
        <v>30</v>
      </c>
      <c r="AA4569" s="4">
        <v>31</v>
      </c>
      <c r="AB4569" s="4">
        <v>2</v>
      </c>
      <c r="AC4569" s="4">
        <v>3</v>
      </c>
      <c r="AD4569" s="4">
        <v>110</v>
      </c>
      <c r="AE4569" s="4">
        <v>111</v>
      </c>
      <c r="AF4569" s="4">
        <v>1</v>
      </c>
      <c r="AG4569" s="4">
        <v>2</v>
      </c>
      <c r="AH4569" s="4">
        <v>94</v>
      </c>
      <c r="AI4569" s="4">
        <v>95</v>
      </c>
      <c r="AJ4569" s="4">
        <v>18</v>
      </c>
      <c r="AK4569" s="4">
        <v>19</v>
      </c>
      <c r="AL4569" s="4">
        <v>48</v>
      </c>
      <c r="AM4569" s="4">
        <v>48</v>
      </c>
      <c r="AN4569" s="4">
        <v>0</v>
      </c>
      <c r="AO4569" s="4">
        <v>0</v>
      </c>
      <c r="AP4569" s="4">
        <v>25</v>
      </c>
      <c r="AQ4569" s="4">
        <v>26</v>
      </c>
      <c r="AR4569" s="3" t="s">
        <v>62</v>
      </c>
      <c r="AS4569" s="3" t="s">
        <v>62</v>
      </c>
      <c r="AT4569" s="3" t="s">
        <v>61</v>
      </c>
      <c r="AU4569" s="6" t="str">
        <f>HYPERLINK("http://catalog.hathitrust.org/Record/001501250","HathiTrust Record")</f>
        <v>HathiTrust Record</v>
      </c>
      <c r="AV4569" s="6" t="str">
        <f>HYPERLINK("http://mcgill.on.worldcat.org/oclc/480629","Catalog Record")</f>
        <v>Catalog Record</v>
      </c>
      <c r="AW4569" s="6" t="str">
        <f>HYPERLINK("http://www.worldcat.org/oclc/480629","WorldCat Record")</f>
        <v>WorldCat Record</v>
      </c>
      <c r="AX4569" s="3" t="s">
        <v>44057</v>
      </c>
      <c r="AY4569" s="3" t="s">
        <v>44058</v>
      </c>
      <c r="AZ4569" s="3" t="s">
        <v>44059</v>
      </c>
      <c r="BA4569" s="3" t="s">
        <v>44059</v>
      </c>
      <c r="BB4569" s="3" t="s">
        <v>44060</v>
      </c>
      <c r="BC4569" s="3" t="s">
        <v>102</v>
      </c>
      <c r="BD4569" s="3" t="s">
        <v>68</v>
      </c>
      <c r="BE4569" s="3" t="s">
        <v>44061</v>
      </c>
      <c r="BF4569" s="3" t="s">
        <v>44060</v>
      </c>
      <c r="BG4569" s="3" t="s">
        <v>44062</v>
      </c>
    </row>
    <row r="4570" spans="1:59" ht="58" x14ac:dyDescent="0.35">
      <c r="A4570" s="2" t="s">
        <v>59</v>
      </c>
      <c r="B4570" s="2" t="s">
        <v>60</v>
      </c>
      <c r="C4570" s="2" t="s">
        <v>44063</v>
      </c>
      <c r="D4570" s="2" t="s">
        <v>44064</v>
      </c>
      <c r="E4570" s="2" t="s">
        <v>44065</v>
      </c>
      <c r="G4570" s="3" t="s">
        <v>62</v>
      </c>
      <c r="I4570" s="3" t="s">
        <v>62</v>
      </c>
      <c r="J4570" s="3" t="s">
        <v>62</v>
      </c>
      <c r="K4570" s="3" t="s">
        <v>63</v>
      </c>
      <c r="L4570" s="2" t="s">
        <v>44066</v>
      </c>
      <c r="M4570" s="2" t="s">
        <v>44067</v>
      </c>
      <c r="N4570" s="3" t="s">
        <v>2000</v>
      </c>
      <c r="O4570" s="2" t="s">
        <v>2163</v>
      </c>
      <c r="P4570" s="3" t="s">
        <v>64</v>
      </c>
      <c r="R4570" s="3" t="s">
        <v>42369</v>
      </c>
      <c r="S4570" s="4">
        <v>5</v>
      </c>
      <c r="T4570" s="4">
        <v>5</v>
      </c>
      <c r="U4570" s="5" t="s">
        <v>4557</v>
      </c>
      <c r="V4570" s="5" t="s">
        <v>4557</v>
      </c>
      <c r="W4570" s="5" t="s">
        <v>67</v>
      </c>
      <c r="X4570" s="5" t="s">
        <v>67</v>
      </c>
      <c r="Y4570" s="4">
        <v>265</v>
      </c>
      <c r="Z4570" s="4">
        <v>14</v>
      </c>
      <c r="AA4570" s="4">
        <v>14</v>
      </c>
      <c r="AB4570" s="4">
        <v>1</v>
      </c>
      <c r="AC4570" s="4">
        <v>1</v>
      </c>
      <c r="AD4570" s="4">
        <v>79</v>
      </c>
      <c r="AE4570" s="4">
        <v>79</v>
      </c>
      <c r="AF4570" s="4">
        <v>0</v>
      </c>
      <c r="AG4570" s="4">
        <v>0</v>
      </c>
      <c r="AH4570" s="4">
        <v>72</v>
      </c>
      <c r="AI4570" s="4">
        <v>72</v>
      </c>
      <c r="AJ4570" s="4">
        <v>7</v>
      </c>
      <c r="AK4570" s="4">
        <v>7</v>
      </c>
      <c r="AL4570" s="4">
        <v>39</v>
      </c>
      <c r="AM4570" s="4">
        <v>39</v>
      </c>
      <c r="AN4570" s="4">
        <v>0</v>
      </c>
      <c r="AO4570" s="4">
        <v>0</v>
      </c>
      <c r="AP4570" s="4">
        <v>9</v>
      </c>
      <c r="AQ4570" s="4">
        <v>9</v>
      </c>
      <c r="AR4570" s="3" t="s">
        <v>62</v>
      </c>
      <c r="AS4570" s="3" t="s">
        <v>62</v>
      </c>
      <c r="AT4570" s="3" t="s">
        <v>62</v>
      </c>
      <c r="AV4570" s="6" t="str">
        <f>HYPERLINK("http://mcgill.on.worldcat.org/oclc/35207011","Catalog Record")</f>
        <v>Catalog Record</v>
      </c>
      <c r="AW4570" s="6" t="str">
        <f>HYPERLINK("http://www.worldcat.org/oclc/35207011","WorldCat Record")</f>
        <v>WorldCat Record</v>
      </c>
      <c r="AX4570" s="3" t="s">
        <v>44068</v>
      </c>
      <c r="AY4570" s="3" t="s">
        <v>44069</v>
      </c>
      <c r="AZ4570" s="3" t="s">
        <v>44070</v>
      </c>
      <c r="BA4570" s="3" t="s">
        <v>44070</v>
      </c>
      <c r="BB4570" s="3" t="s">
        <v>44071</v>
      </c>
      <c r="BC4570" s="3" t="s">
        <v>102</v>
      </c>
      <c r="BD4570" s="3" t="s">
        <v>68</v>
      </c>
      <c r="BE4570" s="3" t="s">
        <v>44072</v>
      </c>
      <c r="BF4570" s="3" t="s">
        <v>44071</v>
      </c>
      <c r="BG4570" s="3" t="s">
        <v>44073</v>
      </c>
    </row>
    <row r="4571" spans="1:59" ht="58" x14ac:dyDescent="0.35">
      <c r="A4571" s="2" t="s">
        <v>59</v>
      </c>
      <c r="B4571" s="2" t="s">
        <v>60</v>
      </c>
      <c r="C4571" s="2" t="s">
        <v>44074</v>
      </c>
      <c r="D4571" s="2" t="s">
        <v>44075</v>
      </c>
      <c r="E4571" s="2" t="s">
        <v>44076</v>
      </c>
      <c r="G4571" s="3" t="s">
        <v>62</v>
      </c>
      <c r="I4571" s="3" t="s">
        <v>62</v>
      </c>
      <c r="J4571" s="3" t="s">
        <v>62</v>
      </c>
      <c r="K4571" s="3" t="s">
        <v>63</v>
      </c>
      <c r="L4571" s="2" t="s">
        <v>44077</v>
      </c>
      <c r="M4571" s="2" t="s">
        <v>44078</v>
      </c>
      <c r="N4571" s="3" t="s">
        <v>809</v>
      </c>
      <c r="P4571" s="3" t="s">
        <v>64</v>
      </c>
      <c r="R4571" s="3" t="s">
        <v>42369</v>
      </c>
      <c r="S4571" s="4">
        <v>15</v>
      </c>
      <c r="T4571" s="4">
        <v>15</v>
      </c>
      <c r="U4571" s="5" t="s">
        <v>5429</v>
      </c>
      <c r="V4571" s="5" t="s">
        <v>5429</v>
      </c>
      <c r="W4571" s="5" t="s">
        <v>67</v>
      </c>
      <c r="X4571" s="5" t="s">
        <v>67</v>
      </c>
      <c r="Y4571" s="4">
        <v>664</v>
      </c>
      <c r="Z4571" s="4">
        <v>36</v>
      </c>
      <c r="AA4571" s="4">
        <v>42</v>
      </c>
      <c r="AB4571" s="4">
        <v>3</v>
      </c>
      <c r="AC4571" s="4">
        <v>7</v>
      </c>
      <c r="AD4571" s="4">
        <v>116</v>
      </c>
      <c r="AE4571" s="4">
        <v>122</v>
      </c>
      <c r="AF4571" s="4">
        <v>2</v>
      </c>
      <c r="AG4571" s="4">
        <v>5</v>
      </c>
      <c r="AH4571" s="4">
        <v>99</v>
      </c>
      <c r="AI4571" s="4">
        <v>101</v>
      </c>
      <c r="AJ4571" s="4">
        <v>19</v>
      </c>
      <c r="AK4571" s="4">
        <v>22</v>
      </c>
      <c r="AL4571" s="4">
        <v>51</v>
      </c>
      <c r="AM4571" s="4">
        <v>51</v>
      </c>
      <c r="AN4571" s="4">
        <v>0</v>
      </c>
      <c r="AO4571" s="4">
        <v>0</v>
      </c>
      <c r="AP4571" s="4">
        <v>28</v>
      </c>
      <c r="AQ4571" s="4">
        <v>31</v>
      </c>
      <c r="AR4571" s="3" t="s">
        <v>62</v>
      </c>
      <c r="AS4571" s="3" t="s">
        <v>62</v>
      </c>
      <c r="AT4571" s="3" t="s">
        <v>61</v>
      </c>
      <c r="AU4571" s="6" t="str">
        <f>HYPERLINK("http://catalog.hathitrust.org/Record/001501288","HathiTrust Record")</f>
        <v>HathiTrust Record</v>
      </c>
      <c r="AV4571" s="6" t="str">
        <f>HYPERLINK("http://mcgill.on.worldcat.org/oclc/236743","Catalog Record")</f>
        <v>Catalog Record</v>
      </c>
      <c r="AW4571" s="6" t="str">
        <f>HYPERLINK("http://www.worldcat.org/oclc/236743","WorldCat Record")</f>
        <v>WorldCat Record</v>
      </c>
      <c r="AX4571" s="3" t="s">
        <v>44079</v>
      </c>
      <c r="AY4571" s="3" t="s">
        <v>44080</v>
      </c>
      <c r="AZ4571" s="3" t="s">
        <v>44081</v>
      </c>
      <c r="BA4571" s="3" t="s">
        <v>44081</v>
      </c>
      <c r="BB4571" s="3" t="s">
        <v>44082</v>
      </c>
      <c r="BC4571" s="3" t="s">
        <v>102</v>
      </c>
      <c r="BD4571" s="3" t="s">
        <v>68</v>
      </c>
      <c r="BF4571" s="3" t="s">
        <v>44082</v>
      </c>
      <c r="BG4571" s="3" t="s">
        <v>44083</v>
      </c>
    </row>
    <row r="4572" spans="1:59" ht="101.5" x14ac:dyDescent="0.35">
      <c r="A4572" s="2" t="s">
        <v>59</v>
      </c>
      <c r="B4572" s="2" t="s">
        <v>60</v>
      </c>
      <c r="C4572" s="2" t="s">
        <v>44084</v>
      </c>
      <c r="D4572" s="2" t="s">
        <v>44085</v>
      </c>
      <c r="E4572" s="2" t="s">
        <v>44086</v>
      </c>
      <c r="G4572" s="3" t="s">
        <v>62</v>
      </c>
      <c r="I4572" s="3" t="s">
        <v>62</v>
      </c>
      <c r="J4572" s="3" t="s">
        <v>62</v>
      </c>
      <c r="K4572" s="3" t="s">
        <v>63</v>
      </c>
      <c r="L4572" s="2" t="s">
        <v>44087</v>
      </c>
      <c r="M4572" s="2" t="s">
        <v>44088</v>
      </c>
      <c r="N4572" s="3" t="s">
        <v>424</v>
      </c>
      <c r="P4572" s="3" t="s">
        <v>64</v>
      </c>
      <c r="R4572" s="3" t="s">
        <v>42369</v>
      </c>
      <c r="S4572" s="4">
        <v>2</v>
      </c>
      <c r="T4572" s="4">
        <v>2</v>
      </c>
      <c r="U4572" s="5" t="s">
        <v>21972</v>
      </c>
      <c r="V4572" s="5" t="s">
        <v>21972</v>
      </c>
      <c r="W4572" s="5" t="s">
        <v>67</v>
      </c>
      <c r="X4572" s="5" t="s">
        <v>67</v>
      </c>
      <c r="Y4572" s="4">
        <v>105</v>
      </c>
      <c r="Z4572" s="4">
        <v>8</v>
      </c>
      <c r="AA4572" s="4">
        <v>10</v>
      </c>
      <c r="AB4572" s="4">
        <v>1</v>
      </c>
      <c r="AC4572" s="4">
        <v>3</v>
      </c>
      <c r="AD4572" s="4">
        <v>61</v>
      </c>
      <c r="AE4572" s="4">
        <v>62</v>
      </c>
      <c r="AF4572" s="4">
        <v>0</v>
      </c>
      <c r="AG4572" s="4">
        <v>1</v>
      </c>
      <c r="AH4572" s="4">
        <v>58</v>
      </c>
      <c r="AI4572" s="4">
        <v>58</v>
      </c>
      <c r="AJ4572" s="4">
        <v>6</v>
      </c>
      <c r="AK4572" s="4">
        <v>7</v>
      </c>
      <c r="AL4572" s="4">
        <v>33</v>
      </c>
      <c r="AM4572" s="4">
        <v>33</v>
      </c>
      <c r="AN4572" s="4">
        <v>0</v>
      </c>
      <c r="AO4572" s="4">
        <v>0</v>
      </c>
      <c r="AP4572" s="4">
        <v>5</v>
      </c>
      <c r="AQ4572" s="4">
        <v>5</v>
      </c>
      <c r="AR4572" s="3" t="s">
        <v>62</v>
      </c>
      <c r="AS4572" s="3" t="s">
        <v>62</v>
      </c>
      <c r="AT4572" s="3" t="s">
        <v>61</v>
      </c>
      <c r="AU4572" s="6" t="str">
        <f>HYPERLINK("http://catalog.hathitrust.org/Record/001302614","HathiTrust Record")</f>
        <v>HathiTrust Record</v>
      </c>
      <c r="AV4572" s="6" t="str">
        <f>HYPERLINK("http://mcgill.on.worldcat.org/oclc/18136661","Catalog Record")</f>
        <v>Catalog Record</v>
      </c>
      <c r="AW4572" s="6" t="str">
        <f>HYPERLINK("http://www.worldcat.org/oclc/18136661","WorldCat Record")</f>
        <v>WorldCat Record</v>
      </c>
      <c r="AX4572" s="3" t="s">
        <v>44089</v>
      </c>
      <c r="AY4572" s="3" t="s">
        <v>44090</v>
      </c>
      <c r="AZ4572" s="3" t="s">
        <v>44091</v>
      </c>
      <c r="BA4572" s="3" t="s">
        <v>44091</v>
      </c>
      <c r="BB4572" s="3" t="s">
        <v>44092</v>
      </c>
      <c r="BC4572" s="3" t="s">
        <v>102</v>
      </c>
      <c r="BD4572" s="3" t="s">
        <v>68</v>
      </c>
      <c r="BE4572" s="3" t="s">
        <v>44093</v>
      </c>
      <c r="BF4572" s="3" t="s">
        <v>44092</v>
      </c>
      <c r="BG4572" s="3" t="s">
        <v>44094</v>
      </c>
    </row>
    <row r="4573" spans="1:59" ht="58" x14ac:dyDescent="0.35">
      <c r="A4573" s="2" t="s">
        <v>59</v>
      </c>
      <c r="B4573" s="2" t="s">
        <v>60</v>
      </c>
      <c r="C4573" s="2" t="s">
        <v>44095</v>
      </c>
      <c r="D4573" s="2" t="s">
        <v>44096</v>
      </c>
      <c r="E4573" s="2" t="s">
        <v>44097</v>
      </c>
      <c r="G4573" s="3" t="s">
        <v>62</v>
      </c>
      <c r="I4573" s="3" t="s">
        <v>61</v>
      </c>
      <c r="J4573" s="3" t="s">
        <v>61</v>
      </c>
      <c r="K4573" s="3" t="s">
        <v>63</v>
      </c>
      <c r="L4573" s="2" t="s">
        <v>44098</v>
      </c>
      <c r="M4573" s="2" t="s">
        <v>44099</v>
      </c>
      <c r="N4573" s="3" t="s">
        <v>524</v>
      </c>
      <c r="O4573" s="2" t="s">
        <v>2986</v>
      </c>
      <c r="P4573" s="3" t="s">
        <v>64</v>
      </c>
      <c r="R4573" s="3" t="s">
        <v>42369</v>
      </c>
      <c r="S4573" s="4">
        <v>23</v>
      </c>
      <c r="T4573" s="4">
        <v>68</v>
      </c>
      <c r="U4573" s="5" t="s">
        <v>44100</v>
      </c>
      <c r="V4573" s="5" t="s">
        <v>14183</v>
      </c>
      <c r="W4573" s="5" t="s">
        <v>67</v>
      </c>
      <c r="X4573" s="5" t="s">
        <v>67</v>
      </c>
      <c r="Y4573" s="4">
        <v>474</v>
      </c>
      <c r="Z4573" s="4">
        <v>39</v>
      </c>
      <c r="AA4573" s="4">
        <v>77</v>
      </c>
      <c r="AB4573" s="4">
        <v>3</v>
      </c>
      <c r="AC4573" s="4">
        <v>12</v>
      </c>
      <c r="AD4573" s="4">
        <v>92</v>
      </c>
      <c r="AE4573" s="4">
        <v>134</v>
      </c>
      <c r="AF4573" s="4">
        <v>1</v>
      </c>
      <c r="AG4573" s="4">
        <v>6</v>
      </c>
      <c r="AH4573" s="4">
        <v>74</v>
      </c>
      <c r="AI4573" s="4">
        <v>99</v>
      </c>
      <c r="AJ4573" s="4">
        <v>15</v>
      </c>
      <c r="AK4573" s="4">
        <v>25</v>
      </c>
      <c r="AL4573" s="4">
        <v>44</v>
      </c>
      <c r="AM4573" s="4">
        <v>54</v>
      </c>
      <c r="AN4573" s="4">
        <v>0</v>
      </c>
      <c r="AO4573" s="4">
        <v>0</v>
      </c>
      <c r="AP4573" s="4">
        <v>25</v>
      </c>
      <c r="AQ4573" s="4">
        <v>43</v>
      </c>
      <c r="AR4573" s="3" t="s">
        <v>62</v>
      </c>
      <c r="AS4573" s="3" t="s">
        <v>62</v>
      </c>
      <c r="AT4573" s="3" t="s">
        <v>62</v>
      </c>
      <c r="AV4573" s="6" t="str">
        <f>HYPERLINK("http://mcgill.on.worldcat.org/oclc/30354617","Catalog Record")</f>
        <v>Catalog Record</v>
      </c>
      <c r="AW4573" s="6" t="str">
        <f>HYPERLINK("http://www.worldcat.org/oclc/30354617","WorldCat Record")</f>
        <v>WorldCat Record</v>
      </c>
      <c r="AX4573" s="3" t="s">
        <v>44101</v>
      </c>
      <c r="AY4573" s="3" t="s">
        <v>44102</v>
      </c>
      <c r="AZ4573" s="3" t="s">
        <v>44103</v>
      </c>
      <c r="BA4573" s="3" t="s">
        <v>44103</v>
      </c>
      <c r="BB4573" s="3" t="s">
        <v>44104</v>
      </c>
      <c r="BC4573" s="3" t="s">
        <v>102</v>
      </c>
      <c r="BD4573" s="3" t="s">
        <v>68</v>
      </c>
      <c r="BE4573" s="3" t="s">
        <v>44105</v>
      </c>
      <c r="BF4573" s="3" t="s">
        <v>44104</v>
      </c>
      <c r="BG4573" s="3" t="s">
        <v>44106</v>
      </c>
    </row>
    <row r="4574" spans="1:59" ht="58" x14ac:dyDescent="0.35">
      <c r="A4574" s="2" t="s">
        <v>89</v>
      </c>
      <c r="B4574" s="2" t="s">
        <v>90</v>
      </c>
      <c r="C4574" s="2" t="s">
        <v>44107</v>
      </c>
      <c r="D4574" s="2" t="s">
        <v>44108</v>
      </c>
      <c r="E4574" s="2" t="s">
        <v>44109</v>
      </c>
      <c r="F4574" s="3" t="s">
        <v>41499</v>
      </c>
      <c r="G4574" s="3" t="s">
        <v>62</v>
      </c>
      <c r="I4574" s="3" t="s">
        <v>62</v>
      </c>
      <c r="J4574" s="3" t="s">
        <v>62</v>
      </c>
      <c r="K4574" s="3" t="s">
        <v>63</v>
      </c>
      <c r="L4574" s="2" t="s">
        <v>44110</v>
      </c>
      <c r="M4574" s="2" t="s">
        <v>44111</v>
      </c>
      <c r="N4574" s="3" t="s">
        <v>1038</v>
      </c>
      <c r="P4574" s="3" t="s">
        <v>85</v>
      </c>
      <c r="Q4574" s="2" t="s">
        <v>44112</v>
      </c>
      <c r="R4574" s="3" t="s">
        <v>42369</v>
      </c>
      <c r="S4574" s="4">
        <v>0</v>
      </c>
      <c r="T4574" s="4">
        <v>0</v>
      </c>
      <c r="W4574" s="5" t="s">
        <v>67</v>
      </c>
      <c r="X4574" s="5" t="s">
        <v>67</v>
      </c>
      <c r="Y4574" s="4">
        <v>5</v>
      </c>
      <c r="Z4574" s="4">
        <v>1</v>
      </c>
      <c r="AA4574" s="4">
        <v>1</v>
      </c>
      <c r="AB4574" s="4">
        <v>1</v>
      </c>
      <c r="AC4574" s="4">
        <v>1</v>
      </c>
      <c r="AD4574" s="4">
        <v>0</v>
      </c>
      <c r="AE4574" s="4">
        <v>0</v>
      </c>
      <c r="AF4574" s="4">
        <v>0</v>
      </c>
      <c r="AG4574" s="4">
        <v>0</v>
      </c>
      <c r="AH4574" s="4">
        <v>0</v>
      </c>
      <c r="AI4574" s="4">
        <v>0</v>
      </c>
      <c r="AJ4574" s="4">
        <v>0</v>
      </c>
      <c r="AK4574" s="4">
        <v>0</v>
      </c>
      <c r="AL4574" s="4">
        <v>0</v>
      </c>
      <c r="AM4574" s="4">
        <v>0</v>
      </c>
      <c r="AN4574" s="4">
        <v>0</v>
      </c>
      <c r="AO4574" s="4">
        <v>0</v>
      </c>
      <c r="AP4574" s="4">
        <v>0</v>
      </c>
      <c r="AQ4574" s="4">
        <v>0</v>
      </c>
      <c r="AR4574" s="3" t="s">
        <v>62</v>
      </c>
      <c r="AS4574" s="3" t="s">
        <v>62</v>
      </c>
      <c r="AT4574" s="3" t="s">
        <v>62</v>
      </c>
      <c r="AV4574" s="6" t="str">
        <f>HYPERLINK("http://mcgill.on.worldcat.org/oclc/974096990","Catalog Record")</f>
        <v>Catalog Record</v>
      </c>
      <c r="AW4574" s="6" t="str">
        <f>HYPERLINK("http://www.worldcat.org/oclc/974096990","WorldCat Record")</f>
        <v>WorldCat Record</v>
      </c>
      <c r="AX4574" s="3" t="s">
        <v>44113</v>
      </c>
      <c r="AY4574" s="3" t="s">
        <v>44114</v>
      </c>
      <c r="AZ4574" s="3" t="s">
        <v>44115</v>
      </c>
      <c r="BA4574" s="3" t="s">
        <v>44115</v>
      </c>
      <c r="BB4574" s="3" t="s">
        <v>44116</v>
      </c>
      <c r="BC4574" s="3" t="s">
        <v>102</v>
      </c>
      <c r="BD4574" s="3" t="s">
        <v>68</v>
      </c>
      <c r="BE4574" s="3" t="s">
        <v>44117</v>
      </c>
      <c r="BF4574" s="3" t="s">
        <v>44116</v>
      </c>
      <c r="BG4574" s="3" t="s">
        <v>44118</v>
      </c>
    </row>
    <row r="4575" spans="1:59" ht="58" x14ac:dyDescent="0.35">
      <c r="A4575" s="2" t="s">
        <v>59</v>
      </c>
      <c r="B4575" s="2" t="s">
        <v>60</v>
      </c>
      <c r="C4575" s="2" t="s">
        <v>44119</v>
      </c>
      <c r="D4575" s="2" t="s">
        <v>44120</v>
      </c>
      <c r="E4575" s="2" t="s">
        <v>44121</v>
      </c>
      <c r="G4575" s="3" t="s">
        <v>62</v>
      </c>
      <c r="I4575" s="3" t="s">
        <v>62</v>
      </c>
      <c r="J4575" s="3" t="s">
        <v>62</v>
      </c>
      <c r="K4575" s="3" t="s">
        <v>63</v>
      </c>
      <c r="L4575" s="2" t="s">
        <v>44122</v>
      </c>
      <c r="M4575" s="2" t="s">
        <v>44123</v>
      </c>
      <c r="N4575" s="3" t="s">
        <v>424</v>
      </c>
      <c r="P4575" s="3" t="s">
        <v>64</v>
      </c>
      <c r="R4575" s="3" t="s">
        <v>42369</v>
      </c>
      <c r="S4575" s="4">
        <v>1</v>
      </c>
      <c r="T4575" s="4">
        <v>1</v>
      </c>
      <c r="U4575" s="5" t="s">
        <v>4712</v>
      </c>
      <c r="V4575" s="5" t="s">
        <v>4712</v>
      </c>
      <c r="W4575" s="5" t="s">
        <v>67</v>
      </c>
      <c r="X4575" s="5" t="s">
        <v>67</v>
      </c>
      <c r="Y4575" s="4">
        <v>18</v>
      </c>
      <c r="Z4575" s="4">
        <v>7</v>
      </c>
      <c r="AA4575" s="4">
        <v>9</v>
      </c>
      <c r="AB4575" s="4">
        <v>2</v>
      </c>
      <c r="AC4575" s="4">
        <v>4</v>
      </c>
      <c r="AD4575" s="4">
        <v>10</v>
      </c>
      <c r="AE4575" s="4">
        <v>11</v>
      </c>
      <c r="AF4575" s="4">
        <v>0</v>
      </c>
      <c r="AG4575" s="4">
        <v>1</v>
      </c>
      <c r="AH4575" s="4">
        <v>8</v>
      </c>
      <c r="AI4575" s="4">
        <v>8</v>
      </c>
      <c r="AJ4575" s="4">
        <v>4</v>
      </c>
      <c r="AK4575" s="4">
        <v>5</v>
      </c>
      <c r="AL4575" s="4">
        <v>4</v>
      </c>
      <c r="AM4575" s="4">
        <v>4</v>
      </c>
      <c r="AN4575" s="4">
        <v>0</v>
      </c>
      <c r="AO4575" s="4">
        <v>0</v>
      </c>
      <c r="AP4575" s="4">
        <v>3</v>
      </c>
      <c r="AQ4575" s="4">
        <v>3</v>
      </c>
      <c r="AR4575" s="3" t="s">
        <v>61</v>
      </c>
      <c r="AS4575" s="3" t="s">
        <v>62</v>
      </c>
      <c r="AT4575" s="3" t="s">
        <v>62</v>
      </c>
      <c r="AV4575" s="6" t="str">
        <f>HYPERLINK("http://mcgill.on.worldcat.org/oclc/18639184","Catalog Record")</f>
        <v>Catalog Record</v>
      </c>
      <c r="AW4575" s="6" t="str">
        <f>HYPERLINK("http://www.worldcat.org/oclc/18639184","WorldCat Record")</f>
        <v>WorldCat Record</v>
      </c>
      <c r="AX4575" s="3" t="s">
        <v>44124</v>
      </c>
      <c r="AY4575" s="3" t="s">
        <v>44125</v>
      </c>
      <c r="AZ4575" s="3" t="s">
        <v>44126</v>
      </c>
      <c r="BA4575" s="3" t="s">
        <v>44126</v>
      </c>
      <c r="BB4575" s="3" t="s">
        <v>44127</v>
      </c>
      <c r="BC4575" s="3" t="s">
        <v>102</v>
      </c>
      <c r="BD4575" s="3" t="s">
        <v>6923</v>
      </c>
      <c r="BE4575" s="3" t="s">
        <v>44128</v>
      </c>
      <c r="BF4575" s="3" t="s">
        <v>44127</v>
      </c>
      <c r="BG4575" s="3" t="s">
        <v>44129</v>
      </c>
    </row>
    <row r="4576" spans="1:59" ht="58" x14ac:dyDescent="0.35">
      <c r="A4576" s="2" t="s">
        <v>59</v>
      </c>
      <c r="B4576" s="2" t="s">
        <v>60</v>
      </c>
      <c r="C4576" s="2" t="s">
        <v>44130</v>
      </c>
      <c r="D4576" s="2" t="s">
        <v>44131</v>
      </c>
      <c r="E4576" s="2" t="s">
        <v>44132</v>
      </c>
      <c r="G4576" s="3" t="s">
        <v>62</v>
      </c>
      <c r="I4576" s="3" t="s">
        <v>62</v>
      </c>
      <c r="J4576" s="3" t="s">
        <v>62</v>
      </c>
      <c r="K4576" s="3" t="s">
        <v>63</v>
      </c>
      <c r="L4576" s="2" t="s">
        <v>44133</v>
      </c>
      <c r="M4576" s="2" t="s">
        <v>44134</v>
      </c>
      <c r="N4576" s="3" t="s">
        <v>568</v>
      </c>
      <c r="P4576" s="3" t="s">
        <v>64</v>
      </c>
      <c r="R4576" s="3" t="s">
        <v>42369</v>
      </c>
      <c r="S4576" s="4">
        <v>2</v>
      </c>
      <c r="T4576" s="4">
        <v>2</v>
      </c>
      <c r="U4576" s="5" t="s">
        <v>2767</v>
      </c>
      <c r="V4576" s="5" t="s">
        <v>2767</v>
      </c>
      <c r="W4576" s="5" t="s">
        <v>67</v>
      </c>
      <c r="X4576" s="5" t="s">
        <v>67</v>
      </c>
      <c r="Y4576" s="4">
        <v>885</v>
      </c>
      <c r="Z4576" s="4">
        <v>24</v>
      </c>
      <c r="AA4576" s="4">
        <v>31</v>
      </c>
      <c r="AB4576" s="4">
        <v>2</v>
      </c>
      <c r="AC4576" s="4">
        <v>4</v>
      </c>
      <c r="AD4576" s="4">
        <v>75</v>
      </c>
      <c r="AE4576" s="4">
        <v>82</v>
      </c>
      <c r="AF4576" s="4">
        <v>0</v>
      </c>
      <c r="AG4576" s="4">
        <v>1</v>
      </c>
      <c r="AH4576" s="4">
        <v>69</v>
      </c>
      <c r="AI4576" s="4">
        <v>73</v>
      </c>
      <c r="AJ4576" s="4">
        <v>6</v>
      </c>
      <c r="AK4576" s="4">
        <v>6</v>
      </c>
      <c r="AL4576" s="4">
        <v>33</v>
      </c>
      <c r="AM4576" s="4">
        <v>33</v>
      </c>
      <c r="AN4576" s="4">
        <v>0</v>
      </c>
      <c r="AO4576" s="4">
        <v>0</v>
      </c>
      <c r="AP4576" s="4">
        <v>8</v>
      </c>
      <c r="AQ4576" s="4">
        <v>11</v>
      </c>
      <c r="AR4576" s="3" t="s">
        <v>62</v>
      </c>
      <c r="AS4576" s="3" t="s">
        <v>62</v>
      </c>
      <c r="AT4576" s="3" t="s">
        <v>61</v>
      </c>
      <c r="AU4576" s="6" t="str">
        <f>HYPERLINK("http://catalog.hathitrust.org/Record/004170225","HathiTrust Record")</f>
        <v>HathiTrust Record</v>
      </c>
      <c r="AV4576" s="6" t="str">
        <f>HYPERLINK("http://mcgill.on.worldcat.org/oclc/42683160","Catalog Record")</f>
        <v>Catalog Record</v>
      </c>
      <c r="AW4576" s="6" t="str">
        <f>HYPERLINK("http://www.worldcat.org/oclc/42683160","WorldCat Record")</f>
        <v>WorldCat Record</v>
      </c>
      <c r="AX4576" s="3" t="s">
        <v>44135</v>
      </c>
      <c r="AY4576" s="3" t="s">
        <v>44136</v>
      </c>
      <c r="AZ4576" s="3" t="s">
        <v>44137</v>
      </c>
      <c r="BA4576" s="3" t="s">
        <v>44137</v>
      </c>
      <c r="BB4576" s="3" t="s">
        <v>44138</v>
      </c>
      <c r="BC4576" s="3" t="s">
        <v>102</v>
      </c>
      <c r="BD4576" s="3" t="s">
        <v>68</v>
      </c>
      <c r="BE4576" s="3" t="s">
        <v>44139</v>
      </c>
      <c r="BF4576" s="3" t="s">
        <v>44138</v>
      </c>
      <c r="BG4576" s="3" t="s">
        <v>44140</v>
      </c>
    </row>
    <row r="4577" spans="1:59" ht="58" x14ac:dyDescent="0.35">
      <c r="A4577" s="2" t="s">
        <v>89</v>
      </c>
      <c r="B4577" s="2" t="s">
        <v>90</v>
      </c>
      <c r="C4577" s="2" t="s">
        <v>44141</v>
      </c>
      <c r="D4577" s="2" t="s">
        <v>44142</v>
      </c>
      <c r="E4577" s="2" t="s">
        <v>44143</v>
      </c>
      <c r="G4577" s="3" t="s">
        <v>62</v>
      </c>
      <c r="I4577" s="3" t="s">
        <v>62</v>
      </c>
      <c r="J4577" s="3" t="s">
        <v>62</v>
      </c>
      <c r="K4577" s="3" t="s">
        <v>63</v>
      </c>
      <c r="M4577" s="2" t="s">
        <v>44144</v>
      </c>
      <c r="N4577" s="3" t="s">
        <v>880</v>
      </c>
      <c r="P4577" s="3" t="s">
        <v>64</v>
      </c>
      <c r="Q4577" s="2" t="s">
        <v>44145</v>
      </c>
      <c r="R4577" s="3" t="s">
        <v>42369</v>
      </c>
      <c r="S4577" s="4">
        <v>0</v>
      </c>
      <c r="T4577" s="4">
        <v>0</v>
      </c>
      <c r="W4577" s="5" t="s">
        <v>67</v>
      </c>
      <c r="X4577" s="5" t="s">
        <v>67</v>
      </c>
      <c r="Y4577" s="4">
        <v>20</v>
      </c>
      <c r="Z4577" s="4">
        <v>10</v>
      </c>
      <c r="AA4577" s="4">
        <v>11</v>
      </c>
      <c r="AB4577" s="4">
        <v>1</v>
      </c>
      <c r="AC4577" s="4">
        <v>1</v>
      </c>
      <c r="AD4577" s="4">
        <v>9</v>
      </c>
      <c r="AE4577" s="4">
        <v>9</v>
      </c>
      <c r="AF4577" s="4">
        <v>0</v>
      </c>
      <c r="AG4577" s="4">
        <v>0</v>
      </c>
      <c r="AH4577" s="4">
        <v>5</v>
      </c>
      <c r="AI4577" s="4">
        <v>5</v>
      </c>
      <c r="AJ4577" s="4">
        <v>6</v>
      </c>
      <c r="AK4577" s="4">
        <v>6</v>
      </c>
      <c r="AL4577" s="4">
        <v>1</v>
      </c>
      <c r="AM4577" s="4">
        <v>1</v>
      </c>
      <c r="AN4577" s="4">
        <v>0</v>
      </c>
      <c r="AO4577" s="4">
        <v>0</v>
      </c>
      <c r="AP4577" s="4">
        <v>4</v>
      </c>
      <c r="AQ4577" s="4">
        <v>4</v>
      </c>
      <c r="AR4577" s="3" t="s">
        <v>61</v>
      </c>
      <c r="AS4577" s="3" t="s">
        <v>62</v>
      </c>
      <c r="AT4577" s="3" t="s">
        <v>62</v>
      </c>
      <c r="AV4577" s="6" t="str">
        <f>HYPERLINK("http://mcgill.on.worldcat.org/oclc/541681568","Catalog Record")</f>
        <v>Catalog Record</v>
      </c>
      <c r="AW4577" s="6" t="str">
        <f>HYPERLINK("http://www.worldcat.org/oclc/541681568","WorldCat Record")</f>
        <v>WorldCat Record</v>
      </c>
      <c r="AX4577" s="3" t="s">
        <v>44146</v>
      </c>
      <c r="AY4577" s="3" t="s">
        <v>44147</v>
      </c>
      <c r="AZ4577" s="3" t="s">
        <v>44148</v>
      </c>
      <c r="BA4577" s="3" t="s">
        <v>44148</v>
      </c>
      <c r="BB4577" s="3" t="s">
        <v>44149</v>
      </c>
      <c r="BC4577" s="3" t="s">
        <v>102</v>
      </c>
      <c r="BD4577" s="3" t="s">
        <v>68</v>
      </c>
      <c r="BE4577" s="3" t="s">
        <v>44150</v>
      </c>
      <c r="BF4577" s="3" t="s">
        <v>44149</v>
      </c>
      <c r="BG4577" s="3" t="s">
        <v>44151</v>
      </c>
    </row>
    <row r="4578" spans="1:59" ht="58" x14ac:dyDescent="0.35">
      <c r="A4578" s="2" t="s">
        <v>59</v>
      </c>
      <c r="B4578" s="2" t="s">
        <v>60</v>
      </c>
      <c r="C4578" s="2" t="s">
        <v>44152</v>
      </c>
      <c r="D4578" s="2" t="s">
        <v>44153</v>
      </c>
      <c r="E4578" s="2" t="s">
        <v>44154</v>
      </c>
      <c r="G4578" s="3" t="s">
        <v>62</v>
      </c>
      <c r="I4578" s="3" t="s">
        <v>62</v>
      </c>
      <c r="J4578" s="3" t="s">
        <v>61</v>
      </c>
      <c r="K4578" s="3" t="s">
        <v>63</v>
      </c>
      <c r="L4578" s="2" t="s">
        <v>44155</v>
      </c>
      <c r="M4578" s="2" t="s">
        <v>44156</v>
      </c>
      <c r="N4578" s="3" t="s">
        <v>1639</v>
      </c>
      <c r="O4578" s="2" t="s">
        <v>10722</v>
      </c>
      <c r="P4578" s="3" t="s">
        <v>64</v>
      </c>
      <c r="R4578" s="3" t="s">
        <v>42369</v>
      </c>
      <c r="S4578" s="4">
        <v>8</v>
      </c>
      <c r="T4578" s="4">
        <v>8</v>
      </c>
      <c r="U4578" s="5" t="s">
        <v>23883</v>
      </c>
      <c r="V4578" s="5" t="s">
        <v>23883</v>
      </c>
      <c r="W4578" s="5" t="s">
        <v>67</v>
      </c>
      <c r="X4578" s="5" t="s">
        <v>67</v>
      </c>
      <c r="Y4578" s="4">
        <v>485</v>
      </c>
      <c r="Z4578" s="4">
        <v>32</v>
      </c>
      <c r="AA4578" s="4">
        <v>60</v>
      </c>
      <c r="AB4578" s="4">
        <v>3</v>
      </c>
      <c r="AC4578" s="4">
        <v>14</v>
      </c>
      <c r="AD4578" s="4">
        <v>82</v>
      </c>
      <c r="AE4578" s="4">
        <v>116</v>
      </c>
      <c r="AF4578" s="4">
        <v>1</v>
      </c>
      <c r="AG4578" s="4">
        <v>6</v>
      </c>
      <c r="AH4578" s="4">
        <v>67</v>
      </c>
      <c r="AI4578" s="4">
        <v>90</v>
      </c>
      <c r="AJ4578" s="4">
        <v>15</v>
      </c>
      <c r="AK4578" s="4">
        <v>23</v>
      </c>
      <c r="AL4578" s="4">
        <v>37</v>
      </c>
      <c r="AM4578" s="4">
        <v>45</v>
      </c>
      <c r="AN4578" s="4">
        <v>0</v>
      </c>
      <c r="AO4578" s="4">
        <v>0</v>
      </c>
      <c r="AP4578" s="4">
        <v>20</v>
      </c>
      <c r="AQ4578" s="4">
        <v>33</v>
      </c>
      <c r="AR4578" s="3" t="s">
        <v>62</v>
      </c>
      <c r="AS4578" s="3" t="s">
        <v>62</v>
      </c>
      <c r="AT4578" s="3" t="s">
        <v>61</v>
      </c>
      <c r="AU4578" s="6" t="str">
        <f>HYPERLINK("http://catalog.hathitrust.org/Record/000230716","HathiTrust Record")</f>
        <v>HathiTrust Record</v>
      </c>
      <c r="AV4578" s="6" t="str">
        <f>HYPERLINK("http://mcgill.on.worldcat.org/oclc/102317","Catalog Record")</f>
        <v>Catalog Record</v>
      </c>
      <c r="AW4578" s="6" t="str">
        <f>HYPERLINK("http://www.worldcat.org/oclc/102317","WorldCat Record")</f>
        <v>WorldCat Record</v>
      </c>
      <c r="AX4578" s="3" t="s">
        <v>44157</v>
      </c>
      <c r="AY4578" s="3" t="s">
        <v>44158</v>
      </c>
      <c r="AZ4578" s="3" t="s">
        <v>44159</v>
      </c>
      <c r="BA4578" s="3" t="s">
        <v>44159</v>
      </c>
      <c r="BB4578" s="3" t="s">
        <v>44160</v>
      </c>
      <c r="BC4578" s="3" t="s">
        <v>102</v>
      </c>
      <c r="BD4578" s="3" t="s">
        <v>68</v>
      </c>
      <c r="BE4578" s="3" t="s">
        <v>44161</v>
      </c>
      <c r="BF4578" s="3" t="s">
        <v>44160</v>
      </c>
      <c r="BG4578" s="3" t="s">
        <v>44162</v>
      </c>
    </row>
    <row r="4579" spans="1:59" ht="58" x14ac:dyDescent="0.35">
      <c r="A4579" s="2" t="s">
        <v>59</v>
      </c>
      <c r="B4579" s="2" t="s">
        <v>60</v>
      </c>
      <c r="C4579" s="2" t="s">
        <v>44163</v>
      </c>
      <c r="D4579" s="2" t="s">
        <v>44164</v>
      </c>
      <c r="E4579" s="2" t="s">
        <v>44165</v>
      </c>
      <c r="G4579" s="3" t="s">
        <v>62</v>
      </c>
      <c r="I4579" s="3" t="s">
        <v>62</v>
      </c>
      <c r="J4579" s="3" t="s">
        <v>62</v>
      </c>
      <c r="K4579" s="3" t="s">
        <v>63</v>
      </c>
      <c r="L4579" s="2" t="s">
        <v>44166</v>
      </c>
      <c r="M4579" s="2" t="s">
        <v>44167</v>
      </c>
      <c r="N4579" s="3" t="s">
        <v>852</v>
      </c>
      <c r="P4579" s="3" t="s">
        <v>64</v>
      </c>
      <c r="R4579" s="3" t="s">
        <v>42369</v>
      </c>
      <c r="S4579" s="4">
        <v>1</v>
      </c>
      <c r="T4579" s="4">
        <v>1</v>
      </c>
      <c r="U4579" s="5" t="s">
        <v>31717</v>
      </c>
      <c r="V4579" s="5" t="s">
        <v>31717</v>
      </c>
      <c r="W4579" s="5" t="s">
        <v>67</v>
      </c>
      <c r="X4579" s="5" t="s">
        <v>67</v>
      </c>
      <c r="Y4579" s="4">
        <v>62</v>
      </c>
      <c r="Z4579" s="4">
        <v>5</v>
      </c>
      <c r="AA4579" s="4">
        <v>9</v>
      </c>
      <c r="AB4579" s="4">
        <v>1</v>
      </c>
      <c r="AC4579" s="4">
        <v>4</v>
      </c>
      <c r="AD4579" s="4">
        <v>15</v>
      </c>
      <c r="AE4579" s="4">
        <v>18</v>
      </c>
      <c r="AF4579" s="4">
        <v>0</v>
      </c>
      <c r="AG4579" s="4">
        <v>2</v>
      </c>
      <c r="AH4579" s="4">
        <v>14</v>
      </c>
      <c r="AI4579" s="4">
        <v>15</v>
      </c>
      <c r="AJ4579" s="4">
        <v>2</v>
      </c>
      <c r="AK4579" s="4">
        <v>4</v>
      </c>
      <c r="AL4579" s="4">
        <v>9</v>
      </c>
      <c r="AM4579" s="4">
        <v>10</v>
      </c>
      <c r="AN4579" s="4">
        <v>0</v>
      </c>
      <c r="AO4579" s="4">
        <v>0</v>
      </c>
      <c r="AP4579" s="4">
        <v>3</v>
      </c>
      <c r="AQ4579" s="4">
        <v>4</v>
      </c>
      <c r="AR4579" s="3" t="s">
        <v>62</v>
      </c>
      <c r="AS4579" s="3" t="s">
        <v>62</v>
      </c>
      <c r="AT4579" s="3" t="s">
        <v>61</v>
      </c>
      <c r="AU4579" s="6" t="str">
        <f>HYPERLINK("http://catalog.hathitrust.org/Record/000005144","HathiTrust Record")</f>
        <v>HathiTrust Record</v>
      </c>
      <c r="AV4579" s="6" t="str">
        <f>HYPERLINK("http://mcgill.on.worldcat.org/oclc/361061","Catalog Record")</f>
        <v>Catalog Record</v>
      </c>
      <c r="AW4579" s="6" t="str">
        <f>HYPERLINK("http://www.worldcat.org/oclc/361061","WorldCat Record")</f>
        <v>WorldCat Record</v>
      </c>
      <c r="AX4579" s="3" t="s">
        <v>44168</v>
      </c>
      <c r="AY4579" s="3" t="s">
        <v>44169</v>
      </c>
      <c r="AZ4579" s="3" t="s">
        <v>44170</v>
      </c>
      <c r="BA4579" s="3" t="s">
        <v>44170</v>
      </c>
      <c r="BB4579" s="3" t="s">
        <v>44171</v>
      </c>
      <c r="BC4579" s="3" t="s">
        <v>102</v>
      </c>
      <c r="BD4579" s="3" t="s">
        <v>68</v>
      </c>
      <c r="BF4579" s="3" t="s">
        <v>44171</v>
      </c>
      <c r="BG4579" s="3" t="s">
        <v>44172</v>
      </c>
    </row>
    <row r="4580" spans="1:59" ht="58" x14ac:dyDescent="0.35">
      <c r="A4580" s="2" t="s">
        <v>59</v>
      </c>
      <c r="B4580" s="2" t="s">
        <v>60</v>
      </c>
      <c r="C4580" s="2" t="s">
        <v>44173</v>
      </c>
      <c r="D4580" s="2" t="s">
        <v>44174</v>
      </c>
      <c r="E4580" s="2" t="s">
        <v>44175</v>
      </c>
      <c r="G4580" s="3" t="s">
        <v>62</v>
      </c>
      <c r="I4580" s="3" t="s">
        <v>62</v>
      </c>
      <c r="J4580" s="3" t="s">
        <v>62</v>
      </c>
      <c r="K4580" s="3" t="s">
        <v>63</v>
      </c>
      <c r="L4580" s="2" t="s">
        <v>44176</v>
      </c>
      <c r="M4580" s="2" t="s">
        <v>44177</v>
      </c>
      <c r="N4580" s="3" t="s">
        <v>2110</v>
      </c>
      <c r="P4580" s="3" t="s">
        <v>64</v>
      </c>
      <c r="R4580" s="3" t="s">
        <v>42369</v>
      </c>
      <c r="S4580" s="4">
        <v>1</v>
      </c>
      <c r="T4580" s="4">
        <v>1</v>
      </c>
      <c r="U4580" s="5" t="s">
        <v>20127</v>
      </c>
      <c r="V4580" s="5" t="s">
        <v>20127</v>
      </c>
      <c r="W4580" s="5" t="s">
        <v>67</v>
      </c>
      <c r="X4580" s="5" t="s">
        <v>67</v>
      </c>
      <c r="Y4580" s="4">
        <v>6</v>
      </c>
      <c r="Z4580" s="4">
        <v>1</v>
      </c>
      <c r="AA4580" s="4">
        <v>1</v>
      </c>
      <c r="AB4580" s="4">
        <v>1</v>
      </c>
      <c r="AC4580" s="4">
        <v>1</v>
      </c>
      <c r="AD4580" s="4">
        <v>0</v>
      </c>
      <c r="AE4580" s="4">
        <v>4</v>
      </c>
      <c r="AF4580" s="4">
        <v>0</v>
      </c>
      <c r="AG4580" s="4">
        <v>0</v>
      </c>
      <c r="AH4580" s="4">
        <v>0</v>
      </c>
      <c r="AI4580" s="4">
        <v>4</v>
      </c>
      <c r="AJ4580" s="4">
        <v>0</v>
      </c>
      <c r="AK4580" s="4">
        <v>0</v>
      </c>
      <c r="AL4580" s="4">
        <v>0</v>
      </c>
      <c r="AM4580" s="4">
        <v>2</v>
      </c>
      <c r="AN4580" s="4">
        <v>0</v>
      </c>
      <c r="AO4580" s="4">
        <v>0</v>
      </c>
      <c r="AP4580" s="4">
        <v>0</v>
      </c>
      <c r="AQ4580" s="4">
        <v>0</v>
      </c>
      <c r="AR4580" s="3" t="s">
        <v>62</v>
      </c>
      <c r="AS4580" s="3" t="s">
        <v>62</v>
      </c>
      <c r="AT4580" s="3" t="s">
        <v>62</v>
      </c>
      <c r="AV4580" s="6" t="str">
        <f>HYPERLINK("http://mcgill.on.worldcat.org/oclc/427227409","Catalog Record")</f>
        <v>Catalog Record</v>
      </c>
      <c r="AW4580" s="6" t="str">
        <f>HYPERLINK("http://www.worldcat.org/oclc/427227409","WorldCat Record")</f>
        <v>WorldCat Record</v>
      </c>
      <c r="AX4580" s="3" t="s">
        <v>44178</v>
      </c>
      <c r="AY4580" s="3" t="s">
        <v>44179</v>
      </c>
      <c r="AZ4580" s="3" t="s">
        <v>44180</v>
      </c>
      <c r="BA4580" s="3" t="s">
        <v>44180</v>
      </c>
      <c r="BB4580" s="3" t="s">
        <v>44181</v>
      </c>
      <c r="BC4580" s="3" t="s">
        <v>102</v>
      </c>
      <c r="BD4580" s="3" t="s">
        <v>68</v>
      </c>
      <c r="BE4580" s="3" t="s">
        <v>44182</v>
      </c>
      <c r="BF4580" s="3" t="s">
        <v>44181</v>
      </c>
      <c r="BG4580" s="3" t="s">
        <v>44183</v>
      </c>
    </row>
    <row r="4581" spans="1:59" ht="87" x14ac:dyDescent="0.35">
      <c r="A4581" s="2" t="s">
        <v>89</v>
      </c>
      <c r="B4581" s="2" t="s">
        <v>90</v>
      </c>
      <c r="C4581" s="2" t="s">
        <v>44184</v>
      </c>
      <c r="D4581" s="2" t="s">
        <v>44185</v>
      </c>
      <c r="E4581" s="2" t="s">
        <v>44186</v>
      </c>
      <c r="G4581" s="3" t="s">
        <v>62</v>
      </c>
      <c r="I4581" s="3" t="s">
        <v>61</v>
      </c>
      <c r="J4581" s="3" t="s">
        <v>62</v>
      </c>
      <c r="K4581" s="3" t="s">
        <v>63</v>
      </c>
      <c r="L4581" s="2" t="s">
        <v>44187</v>
      </c>
      <c r="M4581" s="2" t="s">
        <v>44188</v>
      </c>
      <c r="N4581" s="3" t="s">
        <v>285</v>
      </c>
      <c r="O4581" s="2" t="s">
        <v>44189</v>
      </c>
      <c r="P4581" s="3" t="s">
        <v>64</v>
      </c>
      <c r="Q4581" s="2" t="s">
        <v>44190</v>
      </c>
      <c r="R4581" s="3" t="s">
        <v>42369</v>
      </c>
      <c r="S4581" s="4">
        <v>2</v>
      </c>
      <c r="T4581" s="4">
        <v>4</v>
      </c>
      <c r="U4581" s="5" t="s">
        <v>13800</v>
      </c>
      <c r="V4581" s="5" t="s">
        <v>13800</v>
      </c>
      <c r="W4581" s="5" t="s">
        <v>67</v>
      </c>
      <c r="X4581" s="5" t="s">
        <v>67</v>
      </c>
      <c r="Y4581" s="4">
        <v>2461</v>
      </c>
      <c r="Z4581" s="4">
        <v>79</v>
      </c>
      <c r="AA4581" s="4">
        <v>105</v>
      </c>
      <c r="AB4581" s="4">
        <v>7</v>
      </c>
      <c r="AC4581" s="4">
        <v>12</v>
      </c>
      <c r="AD4581" s="4">
        <v>109</v>
      </c>
      <c r="AE4581" s="4">
        <v>126</v>
      </c>
      <c r="AF4581" s="4">
        <v>1</v>
      </c>
      <c r="AG4581" s="4">
        <v>4</v>
      </c>
      <c r="AH4581" s="4">
        <v>90</v>
      </c>
      <c r="AI4581" s="4">
        <v>97</v>
      </c>
      <c r="AJ4581" s="4">
        <v>12</v>
      </c>
      <c r="AK4581" s="4">
        <v>23</v>
      </c>
      <c r="AL4581" s="4">
        <v>48</v>
      </c>
      <c r="AM4581" s="4">
        <v>49</v>
      </c>
      <c r="AN4581" s="4">
        <v>0</v>
      </c>
      <c r="AO4581" s="4">
        <v>2</v>
      </c>
      <c r="AP4581" s="4">
        <v>20</v>
      </c>
      <c r="AQ4581" s="4">
        <v>34</v>
      </c>
      <c r="AR4581" s="3" t="s">
        <v>62</v>
      </c>
      <c r="AS4581" s="3" t="s">
        <v>62</v>
      </c>
      <c r="AT4581" s="3" t="s">
        <v>61</v>
      </c>
      <c r="AU4581" s="6" t="str">
        <f>HYPERLINK("http://catalog.hathitrust.org/Record/004384856","HathiTrust Record")</f>
        <v>HathiTrust Record</v>
      </c>
      <c r="AV4581" s="6" t="str">
        <f>HYPERLINK("http://mcgill.on.worldcat.org/oclc/6223743","Catalog Record")</f>
        <v>Catalog Record</v>
      </c>
      <c r="AW4581" s="6" t="str">
        <f>HYPERLINK("http://www.worldcat.org/oclc/6223743","WorldCat Record")</f>
        <v>WorldCat Record</v>
      </c>
      <c r="AX4581" s="3" t="s">
        <v>44191</v>
      </c>
      <c r="AY4581" s="3" t="s">
        <v>44192</v>
      </c>
      <c r="AZ4581" s="3" t="s">
        <v>44193</v>
      </c>
      <c r="BA4581" s="3" t="s">
        <v>44193</v>
      </c>
      <c r="BB4581" s="3" t="s">
        <v>44194</v>
      </c>
      <c r="BC4581" s="3" t="s">
        <v>102</v>
      </c>
      <c r="BD4581" s="3" t="s">
        <v>68</v>
      </c>
      <c r="BE4581" s="3" t="s">
        <v>44195</v>
      </c>
      <c r="BF4581" s="3" t="s">
        <v>44194</v>
      </c>
      <c r="BG4581" s="3" t="s">
        <v>44196</v>
      </c>
    </row>
    <row r="4582" spans="1:59" ht="72.5" x14ac:dyDescent="0.35">
      <c r="A4582" s="2" t="s">
        <v>59</v>
      </c>
      <c r="B4582" s="2" t="s">
        <v>60</v>
      </c>
      <c r="C4582" s="2" t="s">
        <v>44197</v>
      </c>
      <c r="D4582" s="2" t="s">
        <v>44198</v>
      </c>
      <c r="E4582" s="2" t="s">
        <v>44199</v>
      </c>
      <c r="F4582" s="3" t="s">
        <v>44200</v>
      </c>
      <c r="G4582" s="3" t="s">
        <v>61</v>
      </c>
      <c r="I4582" s="3" t="s">
        <v>62</v>
      </c>
      <c r="J4582" s="3" t="s">
        <v>62</v>
      </c>
      <c r="K4582" s="3" t="s">
        <v>63</v>
      </c>
      <c r="M4582" s="2" t="s">
        <v>44201</v>
      </c>
      <c r="N4582" s="3" t="s">
        <v>893</v>
      </c>
      <c r="P4582" s="3" t="s">
        <v>64</v>
      </c>
      <c r="Q4582" s="2" t="s">
        <v>44202</v>
      </c>
      <c r="R4582" s="3" t="s">
        <v>42369</v>
      </c>
      <c r="S4582" s="4">
        <v>3</v>
      </c>
      <c r="T4582" s="4">
        <v>6</v>
      </c>
      <c r="U4582" s="5" t="s">
        <v>29259</v>
      </c>
      <c r="V4582" s="5" t="s">
        <v>29259</v>
      </c>
      <c r="W4582" s="5" t="s">
        <v>67</v>
      </c>
      <c r="X4582" s="5" t="s">
        <v>67</v>
      </c>
      <c r="Y4582" s="4">
        <v>167</v>
      </c>
      <c r="Z4582" s="4">
        <v>3</v>
      </c>
      <c r="AA4582" s="4">
        <v>3</v>
      </c>
      <c r="AB4582" s="4">
        <v>1</v>
      </c>
      <c r="AC4582" s="4">
        <v>1</v>
      </c>
      <c r="AD4582" s="4">
        <v>50</v>
      </c>
      <c r="AE4582" s="4">
        <v>58</v>
      </c>
      <c r="AF4582" s="4">
        <v>0</v>
      </c>
      <c r="AG4582" s="4">
        <v>0</v>
      </c>
      <c r="AH4582" s="4">
        <v>48</v>
      </c>
      <c r="AI4582" s="4">
        <v>56</v>
      </c>
      <c r="AJ4582" s="4">
        <v>1</v>
      </c>
      <c r="AK4582" s="4">
        <v>1</v>
      </c>
      <c r="AL4582" s="4">
        <v>25</v>
      </c>
      <c r="AM4582" s="4">
        <v>32</v>
      </c>
      <c r="AN4582" s="4">
        <v>0</v>
      </c>
      <c r="AO4582" s="4">
        <v>0</v>
      </c>
      <c r="AP4582" s="4">
        <v>1</v>
      </c>
      <c r="AQ4582" s="4">
        <v>1</v>
      </c>
      <c r="AR4582" s="3" t="s">
        <v>62</v>
      </c>
      <c r="AS4582" s="3" t="s">
        <v>61</v>
      </c>
      <c r="AT4582" s="3" t="s">
        <v>62</v>
      </c>
      <c r="AU4582" s="6" t="str">
        <f>HYPERLINK("http://catalog.hathitrust.org/Record/012213008","HathiTrust Record")</f>
        <v>HathiTrust Record</v>
      </c>
      <c r="AV4582" s="6" t="str">
        <f>HYPERLINK("http://mcgill.on.worldcat.org/oclc/8359556","Catalog Record")</f>
        <v>Catalog Record</v>
      </c>
      <c r="AW4582" s="6" t="str">
        <f>HYPERLINK("http://www.worldcat.org/oclc/8359556","WorldCat Record")</f>
        <v>WorldCat Record</v>
      </c>
      <c r="AX4582" s="3" t="s">
        <v>44203</v>
      </c>
      <c r="AY4582" s="3" t="s">
        <v>44204</v>
      </c>
      <c r="AZ4582" s="3" t="s">
        <v>44205</v>
      </c>
      <c r="BA4582" s="3" t="s">
        <v>44205</v>
      </c>
      <c r="BB4582" s="3" t="s">
        <v>44206</v>
      </c>
      <c r="BC4582" s="3" t="s">
        <v>102</v>
      </c>
      <c r="BD4582" s="3" t="s">
        <v>68</v>
      </c>
      <c r="BF4582" s="3" t="s">
        <v>44206</v>
      </c>
      <c r="BG4582" s="3" t="s">
        <v>44207</v>
      </c>
    </row>
    <row r="4583" spans="1:59" ht="72.5" x14ac:dyDescent="0.35">
      <c r="A4583" s="2" t="s">
        <v>59</v>
      </c>
      <c r="B4583" s="2" t="s">
        <v>60</v>
      </c>
      <c r="C4583" s="2" t="s">
        <v>44197</v>
      </c>
      <c r="D4583" s="2" t="s">
        <v>44198</v>
      </c>
      <c r="E4583" s="2" t="s">
        <v>44199</v>
      </c>
      <c r="F4583" s="3" t="s">
        <v>44208</v>
      </c>
      <c r="G4583" s="3" t="s">
        <v>61</v>
      </c>
      <c r="I4583" s="3" t="s">
        <v>62</v>
      </c>
      <c r="J4583" s="3" t="s">
        <v>62</v>
      </c>
      <c r="K4583" s="3" t="s">
        <v>63</v>
      </c>
      <c r="M4583" s="2" t="s">
        <v>44201</v>
      </c>
      <c r="N4583" s="3" t="s">
        <v>893</v>
      </c>
      <c r="P4583" s="3" t="s">
        <v>64</v>
      </c>
      <c r="Q4583" s="2" t="s">
        <v>44202</v>
      </c>
      <c r="R4583" s="3" t="s">
        <v>42369</v>
      </c>
      <c r="S4583" s="4">
        <v>2</v>
      </c>
      <c r="T4583" s="4">
        <v>6</v>
      </c>
      <c r="U4583" s="5" t="s">
        <v>44209</v>
      </c>
      <c r="V4583" s="5" t="s">
        <v>29259</v>
      </c>
      <c r="W4583" s="5" t="s">
        <v>67</v>
      </c>
      <c r="X4583" s="5" t="s">
        <v>67</v>
      </c>
      <c r="Y4583" s="4">
        <v>167</v>
      </c>
      <c r="Z4583" s="4">
        <v>3</v>
      </c>
      <c r="AA4583" s="4">
        <v>3</v>
      </c>
      <c r="AB4583" s="4">
        <v>1</v>
      </c>
      <c r="AC4583" s="4">
        <v>1</v>
      </c>
      <c r="AD4583" s="4">
        <v>50</v>
      </c>
      <c r="AE4583" s="4">
        <v>58</v>
      </c>
      <c r="AF4583" s="4">
        <v>0</v>
      </c>
      <c r="AG4583" s="4">
        <v>0</v>
      </c>
      <c r="AH4583" s="4">
        <v>48</v>
      </c>
      <c r="AI4583" s="4">
        <v>56</v>
      </c>
      <c r="AJ4583" s="4">
        <v>1</v>
      </c>
      <c r="AK4583" s="4">
        <v>1</v>
      </c>
      <c r="AL4583" s="4">
        <v>25</v>
      </c>
      <c r="AM4583" s="4">
        <v>32</v>
      </c>
      <c r="AN4583" s="4">
        <v>0</v>
      </c>
      <c r="AO4583" s="4">
        <v>0</v>
      </c>
      <c r="AP4583" s="4">
        <v>1</v>
      </c>
      <c r="AQ4583" s="4">
        <v>1</v>
      </c>
      <c r="AR4583" s="3" t="s">
        <v>62</v>
      </c>
      <c r="AS4583" s="3" t="s">
        <v>61</v>
      </c>
      <c r="AT4583" s="3" t="s">
        <v>62</v>
      </c>
      <c r="AU4583" s="6" t="str">
        <f>HYPERLINK("http://catalog.hathitrust.org/Record/012213008","HathiTrust Record")</f>
        <v>HathiTrust Record</v>
      </c>
      <c r="AV4583" s="6" t="str">
        <f>HYPERLINK("http://mcgill.on.worldcat.org/oclc/8359556","Catalog Record")</f>
        <v>Catalog Record</v>
      </c>
      <c r="AW4583" s="6" t="str">
        <f>HYPERLINK("http://www.worldcat.org/oclc/8359556","WorldCat Record")</f>
        <v>WorldCat Record</v>
      </c>
      <c r="AX4583" s="3" t="s">
        <v>44203</v>
      </c>
      <c r="AY4583" s="3" t="s">
        <v>44204</v>
      </c>
      <c r="AZ4583" s="3" t="s">
        <v>44205</v>
      </c>
      <c r="BA4583" s="3" t="s">
        <v>44205</v>
      </c>
      <c r="BB4583" s="3" t="s">
        <v>44210</v>
      </c>
      <c r="BC4583" s="3" t="s">
        <v>102</v>
      </c>
      <c r="BD4583" s="3" t="s">
        <v>68</v>
      </c>
      <c r="BF4583" s="3" t="s">
        <v>44210</v>
      </c>
      <c r="BG4583" s="3" t="s">
        <v>44211</v>
      </c>
    </row>
    <row r="4584" spans="1:59" ht="72.5" x14ac:dyDescent="0.35">
      <c r="A4584" s="2" t="s">
        <v>59</v>
      </c>
      <c r="B4584" s="2" t="s">
        <v>60</v>
      </c>
      <c r="C4584" s="2" t="s">
        <v>44197</v>
      </c>
      <c r="D4584" s="2" t="s">
        <v>44198</v>
      </c>
      <c r="E4584" s="2" t="s">
        <v>44199</v>
      </c>
      <c r="F4584" s="3" t="s">
        <v>44212</v>
      </c>
      <c r="G4584" s="3" t="s">
        <v>61</v>
      </c>
      <c r="I4584" s="3" t="s">
        <v>62</v>
      </c>
      <c r="J4584" s="3" t="s">
        <v>62</v>
      </c>
      <c r="K4584" s="3" t="s">
        <v>63</v>
      </c>
      <c r="M4584" s="2" t="s">
        <v>44201</v>
      </c>
      <c r="N4584" s="3" t="s">
        <v>893</v>
      </c>
      <c r="P4584" s="3" t="s">
        <v>64</v>
      </c>
      <c r="Q4584" s="2" t="s">
        <v>44202</v>
      </c>
      <c r="R4584" s="3" t="s">
        <v>42369</v>
      </c>
      <c r="S4584" s="4">
        <v>1</v>
      </c>
      <c r="T4584" s="4">
        <v>6</v>
      </c>
      <c r="U4584" s="5" t="s">
        <v>44209</v>
      </c>
      <c r="V4584" s="5" t="s">
        <v>29259</v>
      </c>
      <c r="W4584" s="5" t="s">
        <v>67</v>
      </c>
      <c r="X4584" s="5" t="s">
        <v>67</v>
      </c>
      <c r="Y4584" s="4">
        <v>167</v>
      </c>
      <c r="Z4584" s="4">
        <v>3</v>
      </c>
      <c r="AA4584" s="4">
        <v>3</v>
      </c>
      <c r="AB4584" s="4">
        <v>1</v>
      </c>
      <c r="AC4584" s="4">
        <v>1</v>
      </c>
      <c r="AD4584" s="4">
        <v>50</v>
      </c>
      <c r="AE4584" s="4">
        <v>58</v>
      </c>
      <c r="AF4584" s="4">
        <v>0</v>
      </c>
      <c r="AG4584" s="4">
        <v>0</v>
      </c>
      <c r="AH4584" s="4">
        <v>48</v>
      </c>
      <c r="AI4584" s="4">
        <v>56</v>
      </c>
      <c r="AJ4584" s="4">
        <v>1</v>
      </c>
      <c r="AK4584" s="4">
        <v>1</v>
      </c>
      <c r="AL4584" s="4">
        <v>25</v>
      </c>
      <c r="AM4584" s="4">
        <v>32</v>
      </c>
      <c r="AN4584" s="4">
        <v>0</v>
      </c>
      <c r="AO4584" s="4">
        <v>0</v>
      </c>
      <c r="AP4584" s="4">
        <v>1</v>
      </c>
      <c r="AQ4584" s="4">
        <v>1</v>
      </c>
      <c r="AR4584" s="3" t="s">
        <v>62</v>
      </c>
      <c r="AS4584" s="3" t="s">
        <v>61</v>
      </c>
      <c r="AT4584" s="3" t="s">
        <v>62</v>
      </c>
      <c r="AU4584" s="6" t="str">
        <f>HYPERLINK("http://catalog.hathitrust.org/Record/012213008","HathiTrust Record")</f>
        <v>HathiTrust Record</v>
      </c>
      <c r="AV4584" s="6" t="str">
        <f>HYPERLINK("http://mcgill.on.worldcat.org/oclc/8359556","Catalog Record")</f>
        <v>Catalog Record</v>
      </c>
      <c r="AW4584" s="6" t="str">
        <f>HYPERLINK("http://www.worldcat.org/oclc/8359556","WorldCat Record")</f>
        <v>WorldCat Record</v>
      </c>
      <c r="AX4584" s="3" t="s">
        <v>44203</v>
      </c>
      <c r="AY4584" s="3" t="s">
        <v>44204</v>
      </c>
      <c r="AZ4584" s="3" t="s">
        <v>44205</v>
      </c>
      <c r="BA4584" s="3" t="s">
        <v>44205</v>
      </c>
      <c r="BB4584" s="3" t="s">
        <v>44213</v>
      </c>
      <c r="BC4584" s="3" t="s">
        <v>102</v>
      </c>
      <c r="BD4584" s="3" t="s">
        <v>68</v>
      </c>
      <c r="BF4584" s="3" t="s">
        <v>44213</v>
      </c>
      <c r="BG4584" s="3" t="s">
        <v>44214</v>
      </c>
    </row>
    <row r="4585" spans="1:59" ht="58" x14ac:dyDescent="0.35">
      <c r="A4585" s="2" t="s">
        <v>59</v>
      </c>
      <c r="B4585" s="2" t="s">
        <v>60</v>
      </c>
      <c r="C4585" s="2" t="s">
        <v>44215</v>
      </c>
      <c r="D4585" s="2" t="s">
        <v>44216</v>
      </c>
      <c r="E4585" s="2" t="s">
        <v>44217</v>
      </c>
      <c r="G4585" s="3" t="s">
        <v>62</v>
      </c>
      <c r="I4585" s="3" t="s">
        <v>62</v>
      </c>
      <c r="J4585" s="3" t="s">
        <v>62</v>
      </c>
      <c r="K4585" s="3" t="s">
        <v>63</v>
      </c>
      <c r="L4585" s="2" t="s">
        <v>44218</v>
      </c>
      <c r="M4585" s="2" t="s">
        <v>44219</v>
      </c>
      <c r="N4585" s="3" t="s">
        <v>2588</v>
      </c>
      <c r="P4585" s="3" t="s">
        <v>85</v>
      </c>
      <c r="Q4585" s="2" t="s">
        <v>44220</v>
      </c>
      <c r="R4585" s="3" t="s">
        <v>42369</v>
      </c>
      <c r="S4585" s="4">
        <v>1</v>
      </c>
      <c r="T4585" s="4">
        <v>1</v>
      </c>
      <c r="U4585" s="5" t="s">
        <v>1654</v>
      </c>
      <c r="V4585" s="5" t="s">
        <v>1654</v>
      </c>
      <c r="W4585" s="5" t="s">
        <v>67</v>
      </c>
      <c r="X4585" s="5" t="s">
        <v>67</v>
      </c>
      <c r="Y4585" s="4">
        <v>8</v>
      </c>
      <c r="Z4585" s="4">
        <v>8</v>
      </c>
      <c r="AA4585" s="4">
        <v>9</v>
      </c>
      <c r="AB4585" s="4">
        <v>3</v>
      </c>
      <c r="AC4585" s="4">
        <v>3</v>
      </c>
      <c r="AD4585" s="4">
        <v>4</v>
      </c>
      <c r="AE4585" s="4">
        <v>8</v>
      </c>
      <c r="AF4585" s="4">
        <v>1</v>
      </c>
      <c r="AG4585" s="4">
        <v>1</v>
      </c>
      <c r="AH4585" s="4">
        <v>1</v>
      </c>
      <c r="AI4585" s="4">
        <v>4</v>
      </c>
      <c r="AJ4585" s="4">
        <v>3</v>
      </c>
      <c r="AK4585" s="4">
        <v>4</v>
      </c>
      <c r="AL4585" s="4">
        <v>0</v>
      </c>
      <c r="AM4585" s="4">
        <v>0</v>
      </c>
      <c r="AN4585" s="4">
        <v>0</v>
      </c>
      <c r="AO4585" s="4">
        <v>0</v>
      </c>
      <c r="AP4585" s="4">
        <v>2</v>
      </c>
      <c r="AQ4585" s="4">
        <v>3</v>
      </c>
      <c r="AR4585" s="3" t="s">
        <v>61</v>
      </c>
      <c r="AS4585" s="3" t="s">
        <v>62</v>
      </c>
      <c r="AT4585" s="3" t="s">
        <v>62</v>
      </c>
      <c r="AV4585" s="6" t="str">
        <f>HYPERLINK("http://mcgill.on.worldcat.org/oclc/427318292","Catalog Record")</f>
        <v>Catalog Record</v>
      </c>
      <c r="AW4585" s="6" t="str">
        <f>HYPERLINK("http://www.worldcat.org/oclc/427318292","WorldCat Record")</f>
        <v>WorldCat Record</v>
      </c>
      <c r="AX4585" s="3" t="s">
        <v>44221</v>
      </c>
      <c r="AY4585" s="3" t="s">
        <v>44222</v>
      </c>
      <c r="AZ4585" s="3" t="s">
        <v>44223</v>
      </c>
      <c r="BA4585" s="3" t="s">
        <v>44223</v>
      </c>
      <c r="BB4585" s="3" t="s">
        <v>44224</v>
      </c>
      <c r="BC4585" s="3" t="s">
        <v>102</v>
      </c>
      <c r="BD4585" s="3" t="s">
        <v>6923</v>
      </c>
      <c r="BE4585" s="3" t="s">
        <v>44225</v>
      </c>
      <c r="BF4585" s="3" t="s">
        <v>44224</v>
      </c>
      <c r="BG4585" s="3" t="s">
        <v>44226</v>
      </c>
    </row>
    <row r="4586" spans="1:59" ht="58" x14ac:dyDescent="0.35">
      <c r="A4586" s="2" t="s">
        <v>59</v>
      </c>
      <c r="B4586" s="2" t="s">
        <v>60</v>
      </c>
      <c r="C4586" s="2" t="s">
        <v>44227</v>
      </c>
      <c r="D4586" s="2" t="s">
        <v>44228</v>
      </c>
      <c r="E4586" s="2" t="s">
        <v>44229</v>
      </c>
      <c r="G4586" s="3" t="s">
        <v>62</v>
      </c>
      <c r="I4586" s="3" t="s">
        <v>62</v>
      </c>
      <c r="J4586" s="3" t="s">
        <v>62</v>
      </c>
      <c r="K4586" s="3" t="s">
        <v>63</v>
      </c>
      <c r="L4586" s="2" t="s">
        <v>44230</v>
      </c>
      <c r="M4586" s="2" t="s">
        <v>44231</v>
      </c>
      <c r="N4586" s="3" t="s">
        <v>866</v>
      </c>
      <c r="O4586" s="2" t="s">
        <v>44232</v>
      </c>
      <c r="P4586" s="3" t="s">
        <v>85</v>
      </c>
      <c r="R4586" s="3" t="s">
        <v>42369</v>
      </c>
      <c r="S4586" s="4">
        <v>3</v>
      </c>
      <c r="T4586" s="4">
        <v>3</v>
      </c>
      <c r="U4586" s="5" t="s">
        <v>1860</v>
      </c>
      <c r="V4586" s="5" t="s">
        <v>1860</v>
      </c>
      <c r="W4586" s="5" t="s">
        <v>67</v>
      </c>
      <c r="X4586" s="5" t="s">
        <v>67</v>
      </c>
      <c r="Y4586" s="4">
        <v>25</v>
      </c>
      <c r="Z4586" s="4">
        <v>9</v>
      </c>
      <c r="AA4586" s="4">
        <v>28</v>
      </c>
      <c r="AB4586" s="4">
        <v>1</v>
      </c>
      <c r="AC4586" s="4">
        <v>11</v>
      </c>
      <c r="AD4586" s="4">
        <v>8</v>
      </c>
      <c r="AE4586" s="4">
        <v>18</v>
      </c>
      <c r="AF4586" s="4">
        <v>0</v>
      </c>
      <c r="AG4586" s="4">
        <v>4</v>
      </c>
      <c r="AH4586" s="4">
        <v>6</v>
      </c>
      <c r="AI4586" s="4">
        <v>10</v>
      </c>
      <c r="AJ4586" s="4">
        <v>6</v>
      </c>
      <c r="AK4586" s="4">
        <v>13</v>
      </c>
      <c r="AL4586" s="4">
        <v>0</v>
      </c>
      <c r="AM4586" s="4">
        <v>2</v>
      </c>
      <c r="AN4586" s="4">
        <v>0</v>
      </c>
      <c r="AO4586" s="4">
        <v>0</v>
      </c>
      <c r="AP4586" s="4">
        <v>7</v>
      </c>
      <c r="AQ4586" s="4">
        <v>14</v>
      </c>
      <c r="AR4586" s="3" t="s">
        <v>61</v>
      </c>
      <c r="AS4586" s="3" t="s">
        <v>62</v>
      </c>
      <c r="AT4586" s="3" t="s">
        <v>62</v>
      </c>
      <c r="AV4586" s="6" t="str">
        <f>HYPERLINK("http://mcgill.on.worldcat.org/oclc/1721374","Catalog Record")</f>
        <v>Catalog Record</v>
      </c>
      <c r="AW4586" s="6" t="str">
        <f>HYPERLINK("http://www.worldcat.org/oclc/1721374","WorldCat Record")</f>
        <v>WorldCat Record</v>
      </c>
      <c r="AX4586" s="3" t="s">
        <v>44233</v>
      </c>
      <c r="AY4586" s="3" t="s">
        <v>44234</v>
      </c>
      <c r="AZ4586" s="3" t="s">
        <v>44235</v>
      </c>
      <c r="BA4586" s="3" t="s">
        <v>44235</v>
      </c>
      <c r="BB4586" s="3" t="s">
        <v>44236</v>
      </c>
      <c r="BC4586" s="3" t="s">
        <v>102</v>
      </c>
      <c r="BD4586" s="3" t="s">
        <v>68</v>
      </c>
      <c r="BF4586" s="3" t="s">
        <v>44236</v>
      </c>
      <c r="BG4586" s="3" t="s">
        <v>44237</v>
      </c>
    </row>
    <row r="4587" spans="1:59" ht="58" x14ac:dyDescent="0.35">
      <c r="A4587" s="2" t="s">
        <v>59</v>
      </c>
      <c r="B4587" s="2" t="s">
        <v>60</v>
      </c>
      <c r="C4587" s="2" t="s">
        <v>44238</v>
      </c>
      <c r="D4587" s="2" t="s">
        <v>44239</v>
      </c>
      <c r="E4587" s="2" t="s">
        <v>44240</v>
      </c>
      <c r="G4587" s="3" t="s">
        <v>62</v>
      </c>
      <c r="I4587" s="3" t="s">
        <v>62</v>
      </c>
      <c r="J4587" s="3" t="s">
        <v>62</v>
      </c>
      <c r="K4587" s="3" t="s">
        <v>63</v>
      </c>
      <c r="L4587" s="2" t="s">
        <v>44241</v>
      </c>
      <c r="M4587" s="2" t="s">
        <v>44242</v>
      </c>
      <c r="N4587" s="3" t="s">
        <v>596</v>
      </c>
      <c r="P4587" s="3" t="s">
        <v>64</v>
      </c>
      <c r="R4587" s="3" t="s">
        <v>42369</v>
      </c>
      <c r="S4587" s="4">
        <v>3</v>
      </c>
      <c r="T4587" s="4">
        <v>3</v>
      </c>
      <c r="U4587" s="5" t="s">
        <v>9358</v>
      </c>
      <c r="V4587" s="5" t="s">
        <v>9358</v>
      </c>
      <c r="W4587" s="5" t="s">
        <v>67</v>
      </c>
      <c r="X4587" s="5" t="s">
        <v>67</v>
      </c>
      <c r="Y4587" s="4">
        <v>29</v>
      </c>
      <c r="Z4587" s="4">
        <v>21</v>
      </c>
      <c r="AA4587" s="4">
        <v>23</v>
      </c>
      <c r="AB4587" s="4">
        <v>2</v>
      </c>
      <c r="AC4587" s="4">
        <v>3</v>
      </c>
      <c r="AD4587" s="4">
        <v>8</v>
      </c>
      <c r="AE4587" s="4">
        <v>9</v>
      </c>
      <c r="AF4587" s="4">
        <v>0</v>
      </c>
      <c r="AG4587" s="4">
        <v>0</v>
      </c>
      <c r="AH4587" s="4">
        <v>4</v>
      </c>
      <c r="AI4587" s="4">
        <v>4</v>
      </c>
      <c r="AJ4587" s="4">
        <v>5</v>
      </c>
      <c r="AK4587" s="4">
        <v>5</v>
      </c>
      <c r="AL4587" s="4">
        <v>1</v>
      </c>
      <c r="AM4587" s="4">
        <v>1</v>
      </c>
      <c r="AN4587" s="4">
        <v>0</v>
      </c>
      <c r="AO4587" s="4">
        <v>0</v>
      </c>
      <c r="AP4587" s="4">
        <v>6</v>
      </c>
      <c r="AQ4587" s="4">
        <v>7</v>
      </c>
      <c r="AR4587" s="3" t="s">
        <v>61</v>
      </c>
      <c r="AS4587" s="3" t="s">
        <v>62</v>
      </c>
      <c r="AT4587" s="3" t="s">
        <v>62</v>
      </c>
      <c r="AV4587" s="6" t="str">
        <f>HYPERLINK("http://mcgill.on.worldcat.org/oclc/48906326","Catalog Record")</f>
        <v>Catalog Record</v>
      </c>
      <c r="AW4587" s="6" t="str">
        <f>HYPERLINK("http://www.worldcat.org/oclc/48906326","WorldCat Record")</f>
        <v>WorldCat Record</v>
      </c>
      <c r="AX4587" s="3" t="s">
        <v>44243</v>
      </c>
      <c r="AY4587" s="3" t="s">
        <v>44244</v>
      </c>
      <c r="AZ4587" s="3" t="s">
        <v>44245</v>
      </c>
      <c r="BA4587" s="3" t="s">
        <v>44245</v>
      </c>
      <c r="BB4587" s="3" t="s">
        <v>44246</v>
      </c>
      <c r="BC4587" s="3" t="s">
        <v>102</v>
      </c>
      <c r="BD4587" s="3" t="s">
        <v>68</v>
      </c>
      <c r="BE4587" s="3" t="s">
        <v>44247</v>
      </c>
      <c r="BF4587" s="3" t="s">
        <v>44246</v>
      </c>
      <c r="BG4587" s="3" t="s">
        <v>44248</v>
      </c>
    </row>
    <row r="4588" spans="1:59" ht="58" x14ac:dyDescent="0.35">
      <c r="A4588" s="2" t="s">
        <v>59</v>
      </c>
      <c r="B4588" s="2" t="s">
        <v>60</v>
      </c>
      <c r="C4588" s="2" t="s">
        <v>44249</v>
      </c>
      <c r="D4588" s="2" t="s">
        <v>44250</v>
      </c>
      <c r="E4588" s="2" t="s">
        <v>44251</v>
      </c>
      <c r="G4588" s="3" t="s">
        <v>62</v>
      </c>
      <c r="I4588" s="3" t="s">
        <v>62</v>
      </c>
      <c r="J4588" s="3" t="s">
        <v>62</v>
      </c>
      <c r="K4588" s="3" t="s">
        <v>63</v>
      </c>
      <c r="L4588" s="2" t="s">
        <v>44252</v>
      </c>
      <c r="M4588" s="2" t="s">
        <v>44253</v>
      </c>
      <c r="N4588" s="3" t="s">
        <v>201</v>
      </c>
      <c r="P4588" s="3" t="s">
        <v>64</v>
      </c>
      <c r="Q4588" s="2" t="s">
        <v>44254</v>
      </c>
      <c r="R4588" s="3" t="s">
        <v>42369</v>
      </c>
      <c r="S4588" s="4">
        <v>1</v>
      </c>
      <c r="T4588" s="4">
        <v>1</v>
      </c>
      <c r="U4588" s="5" t="s">
        <v>31546</v>
      </c>
      <c r="V4588" s="5" t="s">
        <v>31546</v>
      </c>
      <c r="W4588" s="5" t="s">
        <v>67</v>
      </c>
      <c r="X4588" s="5" t="s">
        <v>67</v>
      </c>
      <c r="Y4588" s="4">
        <v>60</v>
      </c>
      <c r="Z4588" s="4">
        <v>13</v>
      </c>
      <c r="AA4588" s="4">
        <v>29</v>
      </c>
      <c r="AB4588" s="4">
        <v>1</v>
      </c>
      <c r="AC4588" s="4">
        <v>2</v>
      </c>
      <c r="AD4588" s="4">
        <v>28</v>
      </c>
      <c r="AE4588" s="4">
        <v>37</v>
      </c>
      <c r="AF4588" s="4">
        <v>0</v>
      </c>
      <c r="AG4588" s="4">
        <v>1</v>
      </c>
      <c r="AH4588" s="4">
        <v>22</v>
      </c>
      <c r="AI4588" s="4">
        <v>26</v>
      </c>
      <c r="AJ4588" s="4">
        <v>7</v>
      </c>
      <c r="AK4588" s="4">
        <v>14</v>
      </c>
      <c r="AL4588" s="4">
        <v>13</v>
      </c>
      <c r="AM4588" s="4">
        <v>14</v>
      </c>
      <c r="AN4588" s="4">
        <v>0</v>
      </c>
      <c r="AO4588" s="4">
        <v>0</v>
      </c>
      <c r="AP4588" s="4">
        <v>11</v>
      </c>
      <c r="AQ4588" s="4">
        <v>20</v>
      </c>
      <c r="AR4588" s="3" t="s">
        <v>61</v>
      </c>
      <c r="AS4588" s="3" t="s">
        <v>62</v>
      </c>
      <c r="AT4588" s="3" t="s">
        <v>62</v>
      </c>
      <c r="AV4588" s="6" t="str">
        <f>HYPERLINK("http://mcgill.on.worldcat.org/oclc/3085712","Catalog Record")</f>
        <v>Catalog Record</v>
      </c>
      <c r="AW4588" s="6" t="str">
        <f>HYPERLINK("http://www.worldcat.org/oclc/3085712","WorldCat Record")</f>
        <v>WorldCat Record</v>
      </c>
      <c r="AX4588" s="3" t="s">
        <v>44255</v>
      </c>
      <c r="AY4588" s="3" t="s">
        <v>44256</v>
      </c>
      <c r="AZ4588" s="3" t="s">
        <v>44257</v>
      </c>
      <c r="BA4588" s="3" t="s">
        <v>44257</v>
      </c>
      <c r="BB4588" s="3" t="s">
        <v>44258</v>
      </c>
      <c r="BC4588" s="3" t="s">
        <v>102</v>
      </c>
      <c r="BD4588" s="3" t="s">
        <v>68</v>
      </c>
      <c r="BF4588" s="3" t="s">
        <v>44258</v>
      </c>
      <c r="BG4588" s="3" t="s">
        <v>44259</v>
      </c>
    </row>
    <row r="4589" spans="1:59" ht="58" x14ac:dyDescent="0.35">
      <c r="A4589" s="2" t="s">
        <v>59</v>
      </c>
      <c r="B4589" s="2" t="s">
        <v>60</v>
      </c>
      <c r="C4589" s="2" t="s">
        <v>44260</v>
      </c>
      <c r="D4589" s="2" t="s">
        <v>44261</v>
      </c>
      <c r="E4589" s="2" t="s">
        <v>44262</v>
      </c>
      <c r="G4589" s="3" t="s">
        <v>62</v>
      </c>
      <c r="I4589" s="3" t="s">
        <v>62</v>
      </c>
      <c r="J4589" s="3" t="s">
        <v>62</v>
      </c>
      <c r="K4589" s="3" t="s">
        <v>63</v>
      </c>
      <c r="L4589" s="2" t="s">
        <v>44263</v>
      </c>
      <c r="M4589" s="2" t="s">
        <v>44264</v>
      </c>
      <c r="N4589" s="3" t="s">
        <v>1905</v>
      </c>
      <c r="P4589" s="3" t="s">
        <v>64</v>
      </c>
      <c r="Q4589" s="2" t="s">
        <v>44265</v>
      </c>
      <c r="R4589" s="3" t="s">
        <v>42369</v>
      </c>
      <c r="S4589" s="4">
        <v>6</v>
      </c>
      <c r="T4589" s="4">
        <v>6</v>
      </c>
      <c r="U4589" s="5" t="s">
        <v>4583</v>
      </c>
      <c r="V4589" s="5" t="s">
        <v>4583</v>
      </c>
      <c r="W4589" s="5" t="s">
        <v>67</v>
      </c>
      <c r="X4589" s="5" t="s">
        <v>67</v>
      </c>
      <c r="Y4589" s="4">
        <v>107</v>
      </c>
      <c r="Z4589" s="4">
        <v>24</v>
      </c>
      <c r="AA4589" s="4">
        <v>25</v>
      </c>
      <c r="AB4589" s="4">
        <v>5</v>
      </c>
      <c r="AC4589" s="4">
        <v>6</v>
      </c>
      <c r="AD4589" s="4">
        <v>58</v>
      </c>
      <c r="AE4589" s="4">
        <v>59</v>
      </c>
      <c r="AF4589" s="4">
        <v>1</v>
      </c>
      <c r="AG4589" s="4">
        <v>2</v>
      </c>
      <c r="AH4589" s="4">
        <v>49</v>
      </c>
      <c r="AI4589" s="4">
        <v>49</v>
      </c>
      <c r="AJ4589" s="4">
        <v>9</v>
      </c>
      <c r="AK4589" s="4">
        <v>10</v>
      </c>
      <c r="AL4589" s="4">
        <v>28</v>
      </c>
      <c r="AM4589" s="4">
        <v>28</v>
      </c>
      <c r="AN4589" s="4">
        <v>0</v>
      </c>
      <c r="AO4589" s="4">
        <v>0</v>
      </c>
      <c r="AP4589" s="4">
        <v>12</v>
      </c>
      <c r="AQ4589" s="4">
        <v>12</v>
      </c>
      <c r="AR4589" s="3" t="s">
        <v>62</v>
      </c>
      <c r="AS4589" s="3" t="s">
        <v>62</v>
      </c>
      <c r="AT4589" s="3" t="s">
        <v>61</v>
      </c>
      <c r="AU4589" s="6" t="str">
        <f>HYPERLINK("http://catalog.hathitrust.org/Record/001547506","HathiTrust Record")</f>
        <v>HathiTrust Record</v>
      </c>
      <c r="AV4589" s="6" t="str">
        <f>HYPERLINK("http://mcgill.on.worldcat.org/oclc/18292443","Catalog Record")</f>
        <v>Catalog Record</v>
      </c>
      <c r="AW4589" s="6" t="str">
        <f>HYPERLINK("http://www.worldcat.org/oclc/18292443","WorldCat Record")</f>
        <v>WorldCat Record</v>
      </c>
      <c r="AX4589" s="3" t="s">
        <v>44266</v>
      </c>
      <c r="AY4589" s="3" t="s">
        <v>44267</v>
      </c>
      <c r="AZ4589" s="3" t="s">
        <v>44268</v>
      </c>
      <c r="BA4589" s="3" t="s">
        <v>44268</v>
      </c>
      <c r="BB4589" s="3" t="s">
        <v>44269</v>
      </c>
      <c r="BC4589" s="3" t="s">
        <v>102</v>
      </c>
      <c r="BD4589" s="3" t="s">
        <v>68</v>
      </c>
      <c r="BF4589" s="3" t="s">
        <v>44269</v>
      </c>
      <c r="BG4589" s="3" t="s">
        <v>44270</v>
      </c>
    </row>
    <row r="4590" spans="1:59" ht="58" x14ac:dyDescent="0.35">
      <c r="A4590" s="2" t="s">
        <v>59</v>
      </c>
      <c r="B4590" s="2" t="s">
        <v>60</v>
      </c>
      <c r="C4590" s="2" t="s">
        <v>44271</v>
      </c>
      <c r="D4590" s="2" t="s">
        <v>44272</v>
      </c>
      <c r="E4590" s="2" t="s">
        <v>44273</v>
      </c>
      <c r="G4590" s="3" t="s">
        <v>62</v>
      </c>
      <c r="I4590" s="3" t="s">
        <v>62</v>
      </c>
      <c r="J4590" s="3" t="s">
        <v>62</v>
      </c>
      <c r="K4590" s="3" t="s">
        <v>63</v>
      </c>
      <c r="L4590" s="2" t="s">
        <v>44274</v>
      </c>
      <c r="M4590" s="2" t="s">
        <v>44275</v>
      </c>
      <c r="N4590" s="3" t="s">
        <v>466</v>
      </c>
      <c r="P4590" s="3" t="s">
        <v>85</v>
      </c>
      <c r="R4590" s="3" t="s">
        <v>42369</v>
      </c>
      <c r="S4590" s="4">
        <v>5</v>
      </c>
      <c r="T4590" s="4">
        <v>5</v>
      </c>
      <c r="U4590" s="5" t="s">
        <v>34870</v>
      </c>
      <c r="V4590" s="5" t="s">
        <v>34870</v>
      </c>
      <c r="W4590" s="5" t="s">
        <v>67</v>
      </c>
      <c r="X4590" s="5" t="s">
        <v>67</v>
      </c>
      <c r="Y4590" s="4">
        <v>7</v>
      </c>
      <c r="Z4590" s="4">
        <v>7</v>
      </c>
      <c r="AA4590" s="4">
        <v>41</v>
      </c>
      <c r="AB4590" s="4">
        <v>2</v>
      </c>
      <c r="AC4590" s="4">
        <v>18</v>
      </c>
      <c r="AD4590" s="4">
        <v>5</v>
      </c>
      <c r="AE4590" s="4">
        <v>25</v>
      </c>
      <c r="AF4590" s="4">
        <v>0</v>
      </c>
      <c r="AG4590" s="4">
        <v>5</v>
      </c>
      <c r="AH4590" s="4">
        <v>4</v>
      </c>
      <c r="AI4590" s="4">
        <v>15</v>
      </c>
      <c r="AJ4590" s="4">
        <v>5</v>
      </c>
      <c r="AK4590" s="4">
        <v>16</v>
      </c>
      <c r="AL4590" s="4">
        <v>0</v>
      </c>
      <c r="AM4590" s="4">
        <v>4</v>
      </c>
      <c r="AN4590" s="4">
        <v>0</v>
      </c>
      <c r="AO4590" s="4">
        <v>0</v>
      </c>
      <c r="AP4590" s="4">
        <v>5</v>
      </c>
      <c r="AQ4590" s="4">
        <v>18</v>
      </c>
      <c r="AR4590" s="3" t="s">
        <v>61</v>
      </c>
      <c r="AS4590" s="3" t="s">
        <v>62</v>
      </c>
      <c r="AT4590" s="3" t="s">
        <v>62</v>
      </c>
      <c r="AV4590" s="6" t="str">
        <f>HYPERLINK("http://mcgill.on.worldcat.org/oclc/427955767","Catalog Record")</f>
        <v>Catalog Record</v>
      </c>
      <c r="AW4590" s="6" t="str">
        <f>HYPERLINK("http://www.worldcat.org/oclc/427955767","WorldCat Record")</f>
        <v>WorldCat Record</v>
      </c>
      <c r="AX4590" s="3" t="s">
        <v>44276</v>
      </c>
      <c r="AY4590" s="3" t="s">
        <v>44277</v>
      </c>
      <c r="AZ4590" s="3" t="s">
        <v>44278</v>
      </c>
      <c r="BA4590" s="3" t="s">
        <v>44278</v>
      </c>
      <c r="BB4590" s="3" t="s">
        <v>44279</v>
      </c>
      <c r="BC4590" s="3" t="s">
        <v>102</v>
      </c>
      <c r="BD4590" s="3" t="s">
        <v>68</v>
      </c>
      <c r="BE4590" s="3" t="s">
        <v>44280</v>
      </c>
      <c r="BF4590" s="3" t="s">
        <v>44279</v>
      </c>
      <c r="BG4590" s="3" t="s">
        <v>44281</v>
      </c>
    </row>
    <row r="4591" spans="1:59" ht="58" x14ac:dyDescent="0.35">
      <c r="A4591" s="2" t="s">
        <v>59</v>
      </c>
      <c r="B4591" s="2" t="s">
        <v>60</v>
      </c>
      <c r="C4591" s="2" t="s">
        <v>44282</v>
      </c>
      <c r="D4591" s="2" t="s">
        <v>44283</v>
      </c>
      <c r="E4591" s="2" t="s">
        <v>44284</v>
      </c>
      <c r="G4591" s="3" t="s">
        <v>62</v>
      </c>
      <c r="I4591" s="3" t="s">
        <v>62</v>
      </c>
      <c r="J4591" s="3" t="s">
        <v>62</v>
      </c>
      <c r="K4591" s="3" t="s">
        <v>63</v>
      </c>
      <c r="M4591" s="2" t="s">
        <v>44285</v>
      </c>
      <c r="N4591" s="3" t="s">
        <v>466</v>
      </c>
      <c r="P4591" s="3" t="s">
        <v>64</v>
      </c>
      <c r="R4591" s="3" t="s">
        <v>42369</v>
      </c>
      <c r="S4591" s="4">
        <v>18</v>
      </c>
      <c r="T4591" s="4">
        <v>18</v>
      </c>
      <c r="U4591" s="5" t="s">
        <v>159</v>
      </c>
      <c r="V4591" s="5" t="s">
        <v>159</v>
      </c>
      <c r="W4591" s="5" t="s">
        <v>67</v>
      </c>
      <c r="X4591" s="5" t="s">
        <v>67</v>
      </c>
      <c r="Y4591" s="4">
        <v>436</v>
      </c>
      <c r="Z4591" s="4">
        <v>29</v>
      </c>
      <c r="AA4591" s="4">
        <v>33</v>
      </c>
      <c r="AB4591" s="4">
        <v>1</v>
      </c>
      <c r="AC4591" s="4">
        <v>5</v>
      </c>
      <c r="AD4591" s="4">
        <v>91</v>
      </c>
      <c r="AE4591" s="4">
        <v>95</v>
      </c>
      <c r="AF4591" s="4">
        <v>0</v>
      </c>
      <c r="AG4591" s="4">
        <v>3</v>
      </c>
      <c r="AH4591" s="4">
        <v>81</v>
      </c>
      <c r="AI4591" s="4">
        <v>82</v>
      </c>
      <c r="AJ4591" s="4">
        <v>12</v>
      </c>
      <c r="AK4591" s="4">
        <v>15</v>
      </c>
      <c r="AL4591" s="4">
        <v>43</v>
      </c>
      <c r="AM4591" s="4">
        <v>44</v>
      </c>
      <c r="AN4591" s="4">
        <v>0</v>
      </c>
      <c r="AO4591" s="4">
        <v>0</v>
      </c>
      <c r="AP4591" s="4">
        <v>18</v>
      </c>
      <c r="AQ4591" s="4">
        <v>20</v>
      </c>
      <c r="AR4591" s="3" t="s">
        <v>62</v>
      </c>
      <c r="AS4591" s="3" t="s">
        <v>62</v>
      </c>
      <c r="AT4591" s="3" t="s">
        <v>61</v>
      </c>
      <c r="AU4591" s="6" t="str">
        <f>HYPERLINK("http://catalog.hathitrust.org/Record/002566371","HathiTrust Record")</f>
        <v>HathiTrust Record</v>
      </c>
      <c r="AV4591" s="6" t="str">
        <f>HYPERLINK("http://mcgill.on.worldcat.org/oclc/23583000","Catalog Record")</f>
        <v>Catalog Record</v>
      </c>
      <c r="AW4591" s="6" t="str">
        <f>HYPERLINK("http://www.worldcat.org/oclc/23583000","WorldCat Record")</f>
        <v>WorldCat Record</v>
      </c>
      <c r="AX4591" s="3" t="s">
        <v>44286</v>
      </c>
      <c r="AY4591" s="3" t="s">
        <v>44287</v>
      </c>
      <c r="AZ4591" s="3" t="s">
        <v>44288</v>
      </c>
      <c r="BA4591" s="3" t="s">
        <v>44288</v>
      </c>
      <c r="BB4591" s="3" t="s">
        <v>44289</v>
      </c>
      <c r="BC4591" s="3" t="s">
        <v>102</v>
      </c>
      <c r="BD4591" s="3" t="s">
        <v>68</v>
      </c>
      <c r="BE4591" s="3" t="s">
        <v>44290</v>
      </c>
      <c r="BF4591" s="3" t="s">
        <v>44289</v>
      </c>
      <c r="BG4591" s="3" t="s">
        <v>44291</v>
      </c>
    </row>
    <row r="4592" spans="1:59" ht="58" x14ac:dyDescent="0.35">
      <c r="A4592" s="2" t="s">
        <v>59</v>
      </c>
      <c r="B4592" s="2" t="s">
        <v>60</v>
      </c>
      <c r="C4592" s="2" t="s">
        <v>44292</v>
      </c>
      <c r="D4592" s="2" t="s">
        <v>44293</v>
      </c>
      <c r="E4592" s="2" t="s">
        <v>44294</v>
      </c>
      <c r="G4592" s="3" t="s">
        <v>62</v>
      </c>
      <c r="I4592" s="3" t="s">
        <v>62</v>
      </c>
      <c r="J4592" s="3" t="s">
        <v>62</v>
      </c>
      <c r="K4592" s="3" t="s">
        <v>63</v>
      </c>
      <c r="L4592" s="2" t="s">
        <v>44295</v>
      </c>
      <c r="M4592" s="2" t="s">
        <v>44296</v>
      </c>
      <c r="N4592" s="3" t="s">
        <v>553</v>
      </c>
      <c r="O4592" s="2" t="s">
        <v>2163</v>
      </c>
      <c r="P4592" s="3" t="s">
        <v>64</v>
      </c>
      <c r="Q4592" s="2" t="s">
        <v>44297</v>
      </c>
      <c r="R4592" s="3" t="s">
        <v>42369</v>
      </c>
      <c r="S4592" s="4">
        <v>1</v>
      </c>
      <c r="T4592" s="4">
        <v>1</v>
      </c>
      <c r="U4592" s="5" t="s">
        <v>44298</v>
      </c>
      <c r="V4592" s="5" t="s">
        <v>44298</v>
      </c>
      <c r="W4592" s="5" t="s">
        <v>67</v>
      </c>
      <c r="X4592" s="5" t="s">
        <v>67</v>
      </c>
      <c r="Y4592" s="4">
        <v>272</v>
      </c>
      <c r="Z4592" s="4">
        <v>8</v>
      </c>
      <c r="AA4592" s="4">
        <v>8</v>
      </c>
      <c r="AB4592" s="4">
        <v>1</v>
      </c>
      <c r="AC4592" s="4">
        <v>1</v>
      </c>
      <c r="AD4592" s="4">
        <v>61</v>
      </c>
      <c r="AE4592" s="4">
        <v>61</v>
      </c>
      <c r="AF4592" s="4">
        <v>0</v>
      </c>
      <c r="AG4592" s="4">
        <v>0</v>
      </c>
      <c r="AH4592" s="4">
        <v>60</v>
      </c>
      <c r="AI4592" s="4">
        <v>60</v>
      </c>
      <c r="AJ4592" s="4">
        <v>5</v>
      </c>
      <c r="AK4592" s="4">
        <v>5</v>
      </c>
      <c r="AL4592" s="4">
        <v>32</v>
      </c>
      <c r="AM4592" s="4">
        <v>32</v>
      </c>
      <c r="AN4592" s="4">
        <v>0</v>
      </c>
      <c r="AO4592" s="4">
        <v>0</v>
      </c>
      <c r="AP4592" s="4">
        <v>5</v>
      </c>
      <c r="AQ4592" s="4">
        <v>5</v>
      </c>
      <c r="AR4592" s="3" t="s">
        <v>62</v>
      </c>
      <c r="AS4592" s="3" t="s">
        <v>62</v>
      </c>
      <c r="AT4592" s="3" t="s">
        <v>62</v>
      </c>
      <c r="AV4592" s="6" t="str">
        <f>HYPERLINK("http://mcgill.on.worldcat.org/oclc/39516063","Catalog Record")</f>
        <v>Catalog Record</v>
      </c>
      <c r="AW4592" s="6" t="str">
        <f>HYPERLINK("http://www.worldcat.org/oclc/39516063","WorldCat Record")</f>
        <v>WorldCat Record</v>
      </c>
      <c r="AX4592" s="3" t="s">
        <v>44299</v>
      </c>
      <c r="AY4592" s="3" t="s">
        <v>44300</v>
      </c>
      <c r="AZ4592" s="3" t="s">
        <v>44301</v>
      </c>
      <c r="BA4592" s="3" t="s">
        <v>44301</v>
      </c>
      <c r="BB4592" s="3" t="s">
        <v>44302</v>
      </c>
      <c r="BC4592" s="3" t="s">
        <v>102</v>
      </c>
      <c r="BD4592" s="3" t="s">
        <v>68</v>
      </c>
      <c r="BE4592" s="3" t="s">
        <v>44303</v>
      </c>
      <c r="BF4592" s="3" t="s">
        <v>44302</v>
      </c>
      <c r="BG4592" s="3" t="s">
        <v>44304</v>
      </c>
    </row>
    <row r="4593" spans="1:59" ht="58" x14ac:dyDescent="0.35">
      <c r="A4593" s="2" t="s">
        <v>59</v>
      </c>
      <c r="B4593" s="2" t="s">
        <v>60</v>
      </c>
      <c r="C4593" s="2" t="s">
        <v>44305</v>
      </c>
      <c r="D4593" s="2" t="s">
        <v>44306</v>
      </c>
      <c r="E4593" s="2" t="s">
        <v>44307</v>
      </c>
      <c r="G4593" s="3" t="s">
        <v>62</v>
      </c>
      <c r="I4593" s="3" t="s">
        <v>62</v>
      </c>
      <c r="J4593" s="3" t="s">
        <v>62</v>
      </c>
      <c r="K4593" s="3" t="s">
        <v>63</v>
      </c>
      <c r="L4593" s="2" t="s">
        <v>44308</v>
      </c>
      <c r="M4593" s="2" t="s">
        <v>44309</v>
      </c>
      <c r="N4593" s="3" t="s">
        <v>1639</v>
      </c>
      <c r="P4593" s="3" t="s">
        <v>64</v>
      </c>
      <c r="R4593" s="3" t="s">
        <v>42369</v>
      </c>
      <c r="S4593" s="4">
        <v>10</v>
      </c>
      <c r="T4593" s="4">
        <v>10</v>
      </c>
      <c r="U4593" s="5" t="s">
        <v>16200</v>
      </c>
      <c r="V4593" s="5" t="s">
        <v>16200</v>
      </c>
      <c r="W4593" s="5" t="s">
        <v>67</v>
      </c>
      <c r="X4593" s="5" t="s">
        <v>67</v>
      </c>
      <c r="Y4593" s="4">
        <v>360</v>
      </c>
      <c r="Z4593" s="4">
        <v>22</v>
      </c>
      <c r="AA4593" s="4">
        <v>31</v>
      </c>
      <c r="AB4593" s="4">
        <v>2</v>
      </c>
      <c r="AC4593" s="4">
        <v>4</v>
      </c>
      <c r="AD4593" s="4">
        <v>75</v>
      </c>
      <c r="AE4593" s="4">
        <v>82</v>
      </c>
      <c r="AF4593" s="4">
        <v>0</v>
      </c>
      <c r="AG4593" s="4">
        <v>1</v>
      </c>
      <c r="AH4593" s="4">
        <v>66</v>
      </c>
      <c r="AI4593" s="4">
        <v>72</v>
      </c>
      <c r="AJ4593" s="4">
        <v>10</v>
      </c>
      <c r="AK4593" s="4">
        <v>14</v>
      </c>
      <c r="AL4593" s="4">
        <v>36</v>
      </c>
      <c r="AM4593" s="4">
        <v>37</v>
      </c>
      <c r="AN4593" s="4">
        <v>0</v>
      </c>
      <c r="AO4593" s="4">
        <v>0</v>
      </c>
      <c r="AP4593" s="4">
        <v>13</v>
      </c>
      <c r="AQ4593" s="4">
        <v>16</v>
      </c>
      <c r="AR4593" s="3" t="s">
        <v>62</v>
      </c>
      <c r="AS4593" s="3" t="s">
        <v>62</v>
      </c>
      <c r="AT4593" s="3" t="s">
        <v>61</v>
      </c>
      <c r="AU4593" s="6" t="str">
        <f>HYPERLINK("http://catalog.hathitrust.org/Record/001501830","HathiTrust Record")</f>
        <v>HathiTrust Record</v>
      </c>
      <c r="AV4593" s="6" t="str">
        <f>HYPERLINK("http://mcgill.on.worldcat.org/oclc/115641","Catalog Record")</f>
        <v>Catalog Record</v>
      </c>
      <c r="AW4593" s="6" t="str">
        <f>HYPERLINK("http://www.worldcat.org/oclc/115641","WorldCat Record")</f>
        <v>WorldCat Record</v>
      </c>
      <c r="AX4593" s="3" t="s">
        <v>44310</v>
      </c>
      <c r="AY4593" s="3" t="s">
        <v>44311</v>
      </c>
      <c r="AZ4593" s="3" t="s">
        <v>44312</v>
      </c>
      <c r="BA4593" s="3" t="s">
        <v>44312</v>
      </c>
      <c r="BB4593" s="3" t="s">
        <v>44313</v>
      </c>
      <c r="BC4593" s="3" t="s">
        <v>102</v>
      </c>
      <c r="BD4593" s="3" t="s">
        <v>68</v>
      </c>
      <c r="BE4593" s="3" t="s">
        <v>44314</v>
      </c>
      <c r="BF4593" s="3" t="s">
        <v>44313</v>
      </c>
      <c r="BG4593" s="3" t="s">
        <v>44315</v>
      </c>
    </row>
    <row r="4594" spans="1:59" ht="58" x14ac:dyDescent="0.35">
      <c r="A4594" s="2" t="s">
        <v>59</v>
      </c>
      <c r="B4594" s="2" t="s">
        <v>60</v>
      </c>
      <c r="C4594" s="2" t="s">
        <v>44316</v>
      </c>
      <c r="D4594" s="2" t="s">
        <v>44317</v>
      </c>
      <c r="E4594" s="2" t="s">
        <v>44318</v>
      </c>
      <c r="G4594" s="3" t="s">
        <v>62</v>
      </c>
      <c r="I4594" s="3" t="s">
        <v>62</v>
      </c>
      <c r="J4594" s="3" t="s">
        <v>62</v>
      </c>
      <c r="K4594" s="3" t="s">
        <v>63</v>
      </c>
      <c r="L4594" s="2" t="s">
        <v>44319</v>
      </c>
      <c r="M4594" s="2" t="s">
        <v>44320</v>
      </c>
      <c r="N4594" s="3" t="s">
        <v>438</v>
      </c>
      <c r="P4594" s="3" t="s">
        <v>64</v>
      </c>
      <c r="R4594" s="3" t="s">
        <v>42369</v>
      </c>
      <c r="S4594" s="4">
        <v>3</v>
      </c>
      <c r="T4594" s="4">
        <v>3</v>
      </c>
      <c r="U4594" s="5" t="s">
        <v>17100</v>
      </c>
      <c r="V4594" s="5" t="s">
        <v>17100</v>
      </c>
      <c r="W4594" s="5" t="s">
        <v>67</v>
      </c>
      <c r="X4594" s="5" t="s">
        <v>67</v>
      </c>
      <c r="Y4594" s="4">
        <v>99</v>
      </c>
      <c r="Z4594" s="4">
        <v>7</v>
      </c>
      <c r="AA4594" s="4">
        <v>10</v>
      </c>
      <c r="AB4594" s="4">
        <v>1</v>
      </c>
      <c r="AC4594" s="4">
        <v>2</v>
      </c>
      <c r="AD4594" s="4">
        <v>36</v>
      </c>
      <c r="AE4594" s="4">
        <v>39</v>
      </c>
      <c r="AF4594" s="4">
        <v>0</v>
      </c>
      <c r="AG4594" s="4">
        <v>1</v>
      </c>
      <c r="AH4594" s="4">
        <v>34</v>
      </c>
      <c r="AI4594" s="4">
        <v>36</v>
      </c>
      <c r="AJ4594" s="4">
        <v>3</v>
      </c>
      <c r="AK4594" s="4">
        <v>6</v>
      </c>
      <c r="AL4594" s="4">
        <v>21</v>
      </c>
      <c r="AM4594" s="4">
        <v>21</v>
      </c>
      <c r="AN4594" s="4">
        <v>0</v>
      </c>
      <c r="AO4594" s="4">
        <v>0</v>
      </c>
      <c r="AP4594" s="4">
        <v>4</v>
      </c>
      <c r="AQ4594" s="4">
        <v>7</v>
      </c>
      <c r="AR4594" s="3" t="s">
        <v>62</v>
      </c>
      <c r="AS4594" s="3" t="s">
        <v>62</v>
      </c>
      <c r="AT4594" s="3" t="s">
        <v>62</v>
      </c>
      <c r="AV4594" s="6" t="str">
        <f>HYPERLINK("http://mcgill.on.worldcat.org/oclc/22163126","Catalog Record")</f>
        <v>Catalog Record</v>
      </c>
      <c r="AW4594" s="6" t="str">
        <f>HYPERLINK("http://www.worldcat.org/oclc/22163126","WorldCat Record")</f>
        <v>WorldCat Record</v>
      </c>
      <c r="AX4594" s="3" t="s">
        <v>44321</v>
      </c>
      <c r="AY4594" s="3" t="s">
        <v>44322</v>
      </c>
      <c r="AZ4594" s="3" t="s">
        <v>44323</v>
      </c>
      <c r="BA4594" s="3" t="s">
        <v>44323</v>
      </c>
      <c r="BB4594" s="3" t="s">
        <v>44324</v>
      </c>
      <c r="BC4594" s="3" t="s">
        <v>102</v>
      </c>
      <c r="BD4594" s="3" t="s">
        <v>68</v>
      </c>
      <c r="BE4594" s="3" t="s">
        <v>44325</v>
      </c>
      <c r="BF4594" s="3" t="s">
        <v>44324</v>
      </c>
      <c r="BG4594" s="3" t="s">
        <v>44326</v>
      </c>
    </row>
    <row r="4595" spans="1:59" ht="58" x14ac:dyDescent="0.35">
      <c r="A4595" s="2" t="s">
        <v>59</v>
      </c>
      <c r="B4595" s="2" t="s">
        <v>60</v>
      </c>
      <c r="C4595" s="2" t="s">
        <v>44327</v>
      </c>
      <c r="D4595" s="2" t="s">
        <v>44328</v>
      </c>
      <c r="E4595" s="2" t="s">
        <v>44329</v>
      </c>
      <c r="G4595" s="3" t="s">
        <v>62</v>
      </c>
      <c r="I4595" s="3" t="s">
        <v>62</v>
      </c>
      <c r="J4595" s="3" t="s">
        <v>61</v>
      </c>
      <c r="K4595" s="3" t="s">
        <v>63</v>
      </c>
      <c r="L4595" s="2" t="s">
        <v>44330</v>
      </c>
      <c r="M4595" s="2" t="s">
        <v>44331</v>
      </c>
      <c r="N4595" s="3" t="s">
        <v>115</v>
      </c>
      <c r="O4595" s="2" t="s">
        <v>44332</v>
      </c>
      <c r="P4595" s="3" t="s">
        <v>64</v>
      </c>
      <c r="R4595" s="3" t="s">
        <v>42369</v>
      </c>
      <c r="S4595" s="4">
        <v>4</v>
      </c>
      <c r="T4595" s="4">
        <v>4</v>
      </c>
      <c r="U4595" s="5" t="s">
        <v>39971</v>
      </c>
      <c r="V4595" s="5" t="s">
        <v>39971</v>
      </c>
      <c r="W4595" s="5" t="s">
        <v>67</v>
      </c>
      <c r="X4595" s="5" t="s">
        <v>67</v>
      </c>
      <c r="Y4595" s="4">
        <v>30</v>
      </c>
      <c r="Z4595" s="4">
        <v>2</v>
      </c>
      <c r="AA4595" s="4">
        <v>3</v>
      </c>
      <c r="AB4595" s="4">
        <v>1</v>
      </c>
      <c r="AC4595" s="4">
        <v>1</v>
      </c>
      <c r="AD4595" s="4">
        <v>8</v>
      </c>
      <c r="AE4595" s="4">
        <v>16</v>
      </c>
      <c r="AF4595" s="4">
        <v>0</v>
      </c>
      <c r="AG4595" s="4">
        <v>0</v>
      </c>
      <c r="AH4595" s="4">
        <v>8</v>
      </c>
      <c r="AI4595" s="4">
        <v>15</v>
      </c>
      <c r="AJ4595" s="4">
        <v>1</v>
      </c>
      <c r="AK4595" s="4">
        <v>1</v>
      </c>
      <c r="AL4595" s="4">
        <v>6</v>
      </c>
      <c r="AM4595" s="4">
        <v>13</v>
      </c>
      <c r="AN4595" s="4">
        <v>0</v>
      </c>
      <c r="AO4595" s="4">
        <v>0</v>
      </c>
      <c r="AP4595" s="4">
        <v>1</v>
      </c>
      <c r="AQ4595" s="4">
        <v>2</v>
      </c>
      <c r="AR4595" s="3" t="s">
        <v>62</v>
      </c>
      <c r="AS4595" s="3" t="s">
        <v>62</v>
      </c>
      <c r="AT4595" s="3" t="s">
        <v>61</v>
      </c>
      <c r="AU4595" s="6" t="str">
        <f>HYPERLINK("http://catalog.hathitrust.org/Record/009145693","HathiTrust Record")</f>
        <v>HathiTrust Record</v>
      </c>
      <c r="AV4595" s="6" t="str">
        <f>HYPERLINK("http://mcgill.on.worldcat.org/oclc/23762191","Catalog Record")</f>
        <v>Catalog Record</v>
      </c>
      <c r="AW4595" s="6" t="str">
        <f>HYPERLINK("http://www.worldcat.org/oclc/23762191","WorldCat Record")</f>
        <v>WorldCat Record</v>
      </c>
      <c r="AX4595" s="3" t="s">
        <v>44333</v>
      </c>
      <c r="AY4595" s="3" t="s">
        <v>44334</v>
      </c>
      <c r="AZ4595" s="3" t="s">
        <v>44335</v>
      </c>
      <c r="BA4595" s="3" t="s">
        <v>44335</v>
      </c>
      <c r="BB4595" s="3" t="s">
        <v>44336</v>
      </c>
      <c r="BC4595" s="3" t="s">
        <v>102</v>
      </c>
      <c r="BD4595" s="3" t="s">
        <v>68</v>
      </c>
      <c r="BE4595" s="3" t="s">
        <v>44337</v>
      </c>
      <c r="BF4595" s="3" t="s">
        <v>44336</v>
      </c>
      <c r="BG4595" s="3" t="s">
        <v>44338</v>
      </c>
    </row>
    <row r="4596" spans="1:59" ht="58" x14ac:dyDescent="0.35">
      <c r="A4596" s="2" t="s">
        <v>59</v>
      </c>
      <c r="B4596" s="2" t="s">
        <v>60</v>
      </c>
      <c r="C4596" s="2" t="s">
        <v>44339</v>
      </c>
      <c r="D4596" s="2" t="s">
        <v>44340</v>
      </c>
      <c r="E4596" s="2" t="s">
        <v>44341</v>
      </c>
      <c r="G4596" s="3" t="s">
        <v>62</v>
      </c>
      <c r="I4596" s="3" t="s">
        <v>62</v>
      </c>
      <c r="J4596" s="3" t="s">
        <v>61</v>
      </c>
      <c r="K4596" s="3" t="s">
        <v>63</v>
      </c>
      <c r="L4596" s="2" t="s">
        <v>44330</v>
      </c>
      <c r="M4596" s="2" t="s">
        <v>44342</v>
      </c>
      <c r="N4596" s="3" t="s">
        <v>625</v>
      </c>
      <c r="O4596" s="2" t="s">
        <v>44343</v>
      </c>
      <c r="P4596" s="3" t="s">
        <v>64</v>
      </c>
      <c r="R4596" s="3" t="s">
        <v>42369</v>
      </c>
      <c r="S4596" s="4">
        <v>3</v>
      </c>
      <c r="T4596" s="4">
        <v>3</v>
      </c>
      <c r="U4596" s="5" t="s">
        <v>44344</v>
      </c>
      <c r="V4596" s="5" t="s">
        <v>44344</v>
      </c>
      <c r="W4596" s="5" t="s">
        <v>67</v>
      </c>
      <c r="X4596" s="5" t="s">
        <v>67</v>
      </c>
      <c r="Y4596" s="4">
        <v>15</v>
      </c>
      <c r="Z4596" s="4">
        <v>2</v>
      </c>
      <c r="AA4596" s="4">
        <v>3</v>
      </c>
      <c r="AB4596" s="4">
        <v>1</v>
      </c>
      <c r="AC4596" s="4">
        <v>1</v>
      </c>
      <c r="AD4596" s="4">
        <v>4</v>
      </c>
      <c r="AE4596" s="4">
        <v>16</v>
      </c>
      <c r="AF4596" s="4">
        <v>0</v>
      </c>
      <c r="AG4596" s="4">
        <v>0</v>
      </c>
      <c r="AH4596" s="4">
        <v>4</v>
      </c>
      <c r="AI4596" s="4">
        <v>15</v>
      </c>
      <c r="AJ4596" s="4">
        <v>1</v>
      </c>
      <c r="AK4596" s="4">
        <v>1</v>
      </c>
      <c r="AL4596" s="4">
        <v>3</v>
      </c>
      <c r="AM4596" s="4">
        <v>13</v>
      </c>
      <c r="AN4596" s="4">
        <v>0</v>
      </c>
      <c r="AO4596" s="4">
        <v>0</v>
      </c>
      <c r="AP4596" s="4">
        <v>1</v>
      </c>
      <c r="AQ4596" s="4">
        <v>2</v>
      </c>
      <c r="AR4596" s="3" t="s">
        <v>62</v>
      </c>
      <c r="AS4596" s="3" t="s">
        <v>62</v>
      </c>
      <c r="AT4596" s="3" t="s">
        <v>62</v>
      </c>
      <c r="AV4596" s="6" t="str">
        <f>HYPERLINK("http://mcgill.on.worldcat.org/oclc/54664660","Catalog Record")</f>
        <v>Catalog Record</v>
      </c>
      <c r="AW4596" s="6" t="str">
        <f>HYPERLINK("http://www.worldcat.org/oclc/54664660","WorldCat Record")</f>
        <v>WorldCat Record</v>
      </c>
      <c r="AX4596" s="3" t="s">
        <v>44333</v>
      </c>
      <c r="AY4596" s="3" t="s">
        <v>44345</v>
      </c>
      <c r="AZ4596" s="3" t="s">
        <v>44346</v>
      </c>
      <c r="BA4596" s="3" t="s">
        <v>44346</v>
      </c>
      <c r="BB4596" s="3" t="s">
        <v>44347</v>
      </c>
      <c r="BC4596" s="3" t="s">
        <v>102</v>
      </c>
      <c r="BD4596" s="3" t="s">
        <v>68</v>
      </c>
      <c r="BE4596" s="3" t="s">
        <v>44348</v>
      </c>
      <c r="BF4596" s="3" t="s">
        <v>44347</v>
      </c>
      <c r="BG4596" s="3" t="s">
        <v>44349</v>
      </c>
    </row>
    <row r="4597" spans="1:59" ht="58" x14ac:dyDescent="0.35">
      <c r="A4597" s="2" t="s">
        <v>59</v>
      </c>
      <c r="B4597" s="2" t="s">
        <v>60</v>
      </c>
      <c r="C4597" s="2" t="s">
        <v>44350</v>
      </c>
      <c r="D4597" s="2" t="s">
        <v>44351</v>
      </c>
      <c r="E4597" s="2" t="s">
        <v>44352</v>
      </c>
      <c r="G4597" s="3" t="s">
        <v>62</v>
      </c>
      <c r="I4597" s="3" t="s">
        <v>62</v>
      </c>
      <c r="J4597" s="3" t="s">
        <v>62</v>
      </c>
      <c r="K4597" s="3" t="s">
        <v>63</v>
      </c>
      <c r="L4597" s="2" t="s">
        <v>44353</v>
      </c>
      <c r="M4597" s="2" t="s">
        <v>44354</v>
      </c>
      <c r="N4597" s="3" t="s">
        <v>596</v>
      </c>
      <c r="O4597" s="2" t="s">
        <v>2986</v>
      </c>
      <c r="P4597" s="3" t="s">
        <v>64</v>
      </c>
      <c r="R4597" s="3" t="s">
        <v>42369</v>
      </c>
      <c r="S4597" s="4">
        <v>3</v>
      </c>
      <c r="T4597" s="4">
        <v>3</v>
      </c>
      <c r="U4597" s="5" t="s">
        <v>4001</v>
      </c>
      <c r="V4597" s="5" t="s">
        <v>4001</v>
      </c>
      <c r="W4597" s="5" t="s">
        <v>67</v>
      </c>
      <c r="X4597" s="5" t="s">
        <v>67</v>
      </c>
      <c r="Y4597" s="4">
        <v>6</v>
      </c>
      <c r="Z4597" s="4">
        <v>1</v>
      </c>
      <c r="AA4597" s="4">
        <v>1</v>
      </c>
      <c r="AB4597" s="4">
        <v>1</v>
      </c>
      <c r="AC4597" s="4">
        <v>1</v>
      </c>
      <c r="AD4597" s="4">
        <v>1</v>
      </c>
      <c r="AE4597" s="4">
        <v>1</v>
      </c>
      <c r="AF4597" s="4">
        <v>0</v>
      </c>
      <c r="AG4597" s="4">
        <v>0</v>
      </c>
      <c r="AH4597" s="4">
        <v>1</v>
      </c>
      <c r="AI4597" s="4">
        <v>1</v>
      </c>
      <c r="AJ4597" s="4">
        <v>0</v>
      </c>
      <c r="AK4597" s="4">
        <v>0</v>
      </c>
      <c r="AL4597" s="4">
        <v>0</v>
      </c>
      <c r="AM4597" s="4">
        <v>0</v>
      </c>
      <c r="AN4597" s="4">
        <v>0</v>
      </c>
      <c r="AO4597" s="4">
        <v>0</v>
      </c>
      <c r="AP4597" s="4">
        <v>0</v>
      </c>
      <c r="AQ4597" s="4">
        <v>0</v>
      </c>
      <c r="AR4597" s="3" t="s">
        <v>62</v>
      </c>
      <c r="AS4597" s="3" t="s">
        <v>62</v>
      </c>
      <c r="AT4597" s="3" t="s">
        <v>62</v>
      </c>
      <c r="AV4597" s="6" t="str">
        <f>HYPERLINK("http://mcgill.on.worldcat.org/oclc/52657137","Catalog Record")</f>
        <v>Catalog Record</v>
      </c>
      <c r="AW4597" s="6" t="str">
        <f>HYPERLINK("http://www.worldcat.org/oclc/52657137","WorldCat Record")</f>
        <v>WorldCat Record</v>
      </c>
      <c r="AX4597" s="3" t="s">
        <v>44355</v>
      </c>
      <c r="AY4597" s="3" t="s">
        <v>44356</v>
      </c>
      <c r="AZ4597" s="3" t="s">
        <v>44357</v>
      </c>
      <c r="BA4597" s="3" t="s">
        <v>44357</v>
      </c>
      <c r="BB4597" s="3" t="s">
        <v>44358</v>
      </c>
      <c r="BC4597" s="3" t="s">
        <v>102</v>
      </c>
      <c r="BD4597" s="3" t="s">
        <v>68</v>
      </c>
      <c r="BF4597" s="3" t="s">
        <v>44358</v>
      </c>
      <c r="BG4597" s="3" t="s">
        <v>44359</v>
      </c>
    </row>
    <row r="4598" spans="1:59" ht="58" x14ac:dyDescent="0.35">
      <c r="A4598" s="2" t="s">
        <v>59</v>
      </c>
      <c r="B4598" s="2" t="s">
        <v>60</v>
      </c>
      <c r="C4598" s="2" t="s">
        <v>44360</v>
      </c>
      <c r="D4598" s="2" t="s">
        <v>44361</v>
      </c>
      <c r="E4598" s="2" t="s">
        <v>44362</v>
      </c>
      <c r="G4598" s="3" t="s">
        <v>62</v>
      </c>
      <c r="I4598" s="3" t="s">
        <v>62</v>
      </c>
      <c r="J4598" s="3" t="s">
        <v>62</v>
      </c>
      <c r="K4598" s="3" t="s">
        <v>63</v>
      </c>
      <c r="L4598" s="2" t="s">
        <v>44363</v>
      </c>
      <c r="M4598" s="2" t="s">
        <v>44364</v>
      </c>
      <c r="N4598" s="3" t="s">
        <v>481</v>
      </c>
      <c r="P4598" s="3" t="s">
        <v>64</v>
      </c>
      <c r="R4598" s="3" t="s">
        <v>42369</v>
      </c>
      <c r="S4598" s="4">
        <v>1</v>
      </c>
      <c r="T4598" s="4">
        <v>1</v>
      </c>
      <c r="U4598" s="5" t="s">
        <v>4852</v>
      </c>
      <c r="V4598" s="5" t="s">
        <v>4852</v>
      </c>
      <c r="W4598" s="5" t="s">
        <v>67</v>
      </c>
      <c r="X4598" s="5" t="s">
        <v>67</v>
      </c>
      <c r="Y4598" s="4">
        <v>78</v>
      </c>
      <c r="Z4598" s="4">
        <v>2</v>
      </c>
      <c r="AA4598" s="4">
        <v>2</v>
      </c>
      <c r="AB4598" s="4">
        <v>2</v>
      </c>
      <c r="AC4598" s="4">
        <v>2</v>
      </c>
      <c r="AD4598" s="4">
        <v>31</v>
      </c>
      <c r="AE4598" s="4">
        <v>31</v>
      </c>
      <c r="AF4598" s="4">
        <v>0</v>
      </c>
      <c r="AG4598" s="4">
        <v>0</v>
      </c>
      <c r="AH4598" s="4">
        <v>30</v>
      </c>
      <c r="AI4598" s="4">
        <v>30</v>
      </c>
      <c r="AJ4598" s="4">
        <v>0</v>
      </c>
      <c r="AK4598" s="4">
        <v>0</v>
      </c>
      <c r="AL4598" s="4">
        <v>21</v>
      </c>
      <c r="AM4598" s="4">
        <v>21</v>
      </c>
      <c r="AN4598" s="4">
        <v>0</v>
      </c>
      <c r="AO4598" s="4">
        <v>0</v>
      </c>
      <c r="AP4598" s="4">
        <v>0</v>
      </c>
      <c r="AQ4598" s="4">
        <v>0</v>
      </c>
      <c r="AR4598" s="3" t="s">
        <v>62</v>
      </c>
      <c r="AS4598" s="3" t="s">
        <v>62</v>
      </c>
      <c r="AT4598" s="3" t="s">
        <v>61</v>
      </c>
      <c r="AU4598" s="6" t="str">
        <f>HYPERLINK("http://catalog.hathitrust.org/Record/003192819","HathiTrust Record")</f>
        <v>HathiTrust Record</v>
      </c>
      <c r="AV4598" s="6" t="str">
        <f>HYPERLINK("http://mcgill.on.worldcat.org/oclc/37721838","Catalog Record")</f>
        <v>Catalog Record</v>
      </c>
      <c r="AW4598" s="6" t="str">
        <f>HYPERLINK("http://www.worldcat.org/oclc/37721838","WorldCat Record")</f>
        <v>WorldCat Record</v>
      </c>
      <c r="AX4598" s="3" t="s">
        <v>44365</v>
      </c>
      <c r="AY4598" s="3" t="s">
        <v>44366</v>
      </c>
      <c r="AZ4598" s="3" t="s">
        <v>44367</v>
      </c>
      <c r="BA4598" s="3" t="s">
        <v>44367</v>
      </c>
      <c r="BB4598" s="3" t="s">
        <v>44368</v>
      </c>
      <c r="BC4598" s="3" t="s">
        <v>102</v>
      </c>
      <c r="BD4598" s="3" t="s">
        <v>68</v>
      </c>
      <c r="BE4598" s="3" t="s">
        <v>44369</v>
      </c>
      <c r="BF4598" s="3" t="s">
        <v>44368</v>
      </c>
      <c r="BG4598" s="3" t="s">
        <v>44370</v>
      </c>
    </row>
    <row r="4599" spans="1:59" ht="58" x14ac:dyDescent="0.35">
      <c r="A4599" s="2" t="s">
        <v>59</v>
      </c>
      <c r="B4599" s="2" t="s">
        <v>60</v>
      </c>
      <c r="C4599" s="2" t="s">
        <v>44371</v>
      </c>
      <c r="D4599" s="2" t="s">
        <v>44372</v>
      </c>
      <c r="E4599" s="2" t="s">
        <v>44373</v>
      </c>
      <c r="G4599" s="3" t="s">
        <v>62</v>
      </c>
      <c r="I4599" s="3" t="s">
        <v>62</v>
      </c>
      <c r="J4599" s="3" t="s">
        <v>62</v>
      </c>
      <c r="K4599" s="3" t="s">
        <v>63</v>
      </c>
      <c r="M4599" s="2" t="s">
        <v>44374</v>
      </c>
      <c r="N4599" s="3" t="s">
        <v>596</v>
      </c>
      <c r="P4599" s="3" t="s">
        <v>64</v>
      </c>
      <c r="R4599" s="3" t="s">
        <v>42369</v>
      </c>
      <c r="S4599" s="4">
        <v>2</v>
      </c>
      <c r="T4599" s="4">
        <v>2</v>
      </c>
      <c r="U4599" s="5" t="s">
        <v>22276</v>
      </c>
      <c r="V4599" s="5" t="s">
        <v>22276</v>
      </c>
      <c r="W4599" s="5" t="s">
        <v>67</v>
      </c>
      <c r="X4599" s="5" t="s">
        <v>67</v>
      </c>
      <c r="Y4599" s="4">
        <v>84</v>
      </c>
      <c r="Z4599" s="4">
        <v>8</v>
      </c>
      <c r="AA4599" s="4">
        <v>8</v>
      </c>
      <c r="AB4599" s="4">
        <v>1</v>
      </c>
      <c r="AC4599" s="4">
        <v>1</v>
      </c>
      <c r="AD4599" s="4">
        <v>23</v>
      </c>
      <c r="AE4599" s="4">
        <v>23</v>
      </c>
      <c r="AF4599" s="4">
        <v>0</v>
      </c>
      <c r="AG4599" s="4">
        <v>0</v>
      </c>
      <c r="AH4599" s="4">
        <v>21</v>
      </c>
      <c r="AI4599" s="4">
        <v>21</v>
      </c>
      <c r="AJ4599" s="4">
        <v>4</v>
      </c>
      <c r="AK4599" s="4">
        <v>4</v>
      </c>
      <c r="AL4599" s="4">
        <v>14</v>
      </c>
      <c r="AM4599" s="4">
        <v>14</v>
      </c>
      <c r="AN4599" s="4">
        <v>0</v>
      </c>
      <c r="AO4599" s="4">
        <v>0</v>
      </c>
      <c r="AP4599" s="4">
        <v>4</v>
      </c>
      <c r="AQ4599" s="4">
        <v>4</v>
      </c>
      <c r="AR4599" s="3" t="s">
        <v>62</v>
      </c>
      <c r="AS4599" s="3" t="s">
        <v>62</v>
      </c>
      <c r="AT4599" s="3" t="s">
        <v>62</v>
      </c>
      <c r="AV4599" s="6" t="str">
        <f>HYPERLINK("http://mcgill.on.worldcat.org/oclc/50582482","Catalog Record")</f>
        <v>Catalog Record</v>
      </c>
      <c r="AW4599" s="6" t="str">
        <f>HYPERLINK("http://www.worldcat.org/oclc/50582482","WorldCat Record")</f>
        <v>WorldCat Record</v>
      </c>
      <c r="AX4599" s="3" t="s">
        <v>44375</v>
      </c>
      <c r="AY4599" s="3" t="s">
        <v>44376</v>
      </c>
      <c r="AZ4599" s="3" t="s">
        <v>44377</v>
      </c>
      <c r="BA4599" s="3" t="s">
        <v>44377</v>
      </c>
      <c r="BB4599" s="3" t="s">
        <v>44378</v>
      </c>
      <c r="BC4599" s="3" t="s">
        <v>102</v>
      </c>
      <c r="BD4599" s="3" t="s">
        <v>68</v>
      </c>
      <c r="BE4599" s="3" t="s">
        <v>44379</v>
      </c>
      <c r="BF4599" s="3" t="s">
        <v>44378</v>
      </c>
      <c r="BG4599" s="3" t="s">
        <v>44380</v>
      </c>
    </row>
    <row r="4600" spans="1:59" ht="58" x14ac:dyDescent="0.35">
      <c r="A4600" s="2" t="s">
        <v>89</v>
      </c>
      <c r="B4600" s="2" t="s">
        <v>90</v>
      </c>
      <c r="C4600" s="2" t="s">
        <v>44381</v>
      </c>
      <c r="D4600" s="2" t="s">
        <v>44382</v>
      </c>
      <c r="E4600" s="2" t="s">
        <v>44383</v>
      </c>
      <c r="G4600" s="3" t="s">
        <v>62</v>
      </c>
      <c r="H4600" s="3" t="s">
        <v>916</v>
      </c>
      <c r="I4600" s="3" t="s">
        <v>62</v>
      </c>
      <c r="J4600" s="3" t="s">
        <v>62</v>
      </c>
      <c r="K4600" s="3" t="s">
        <v>63</v>
      </c>
      <c r="L4600" s="2" t="s">
        <v>44384</v>
      </c>
      <c r="M4600" s="2" t="s">
        <v>44385</v>
      </c>
      <c r="N4600" s="3" t="s">
        <v>129</v>
      </c>
      <c r="P4600" s="3" t="s">
        <v>64</v>
      </c>
      <c r="Q4600" s="2" t="s">
        <v>44386</v>
      </c>
      <c r="R4600" s="3" t="s">
        <v>42369</v>
      </c>
      <c r="S4600" s="4">
        <v>0</v>
      </c>
      <c r="T4600" s="4">
        <v>0</v>
      </c>
      <c r="W4600" s="5" t="s">
        <v>3978</v>
      </c>
      <c r="X4600" s="5" t="s">
        <v>3978</v>
      </c>
      <c r="Y4600" s="4">
        <v>48</v>
      </c>
      <c r="Z4600" s="4">
        <v>7</v>
      </c>
      <c r="AA4600" s="4">
        <v>10</v>
      </c>
      <c r="AB4600" s="4">
        <v>1</v>
      </c>
      <c r="AC4600" s="4">
        <v>3</v>
      </c>
      <c r="AD4600" s="4">
        <v>14</v>
      </c>
      <c r="AE4600" s="4">
        <v>16</v>
      </c>
      <c r="AF4600" s="4">
        <v>0</v>
      </c>
      <c r="AG4600" s="4">
        <v>0</v>
      </c>
      <c r="AH4600" s="4">
        <v>12</v>
      </c>
      <c r="AI4600" s="4">
        <v>14</v>
      </c>
      <c r="AJ4600" s="4">
        <v>3</v>
      </c>
      <c r="AK4600" s="4">
        <v>4</v>
      </c>
      <c r="AL4600" s="4">
        <v>9</v>
      </c>
      <c r="AM4600" s="4">
        <v>10</v>
      </c>
      <c r="AN4600" s="4">
        <v>0</v>
      </c>
      <c r="AO4600" s="4">
        <v>0</v>
      </c>
      <c r="AP4600" s="4">
        <v>4</v>
      </c>
      <c r="AQ4600" s="4">
        <v>5</v>
      </c>
      <c r="AR4600" s="3" t="s">
        <v>62</v>
      </c>
      <c r="AS4600" s="3" t="s">
        <v>62</v>
      </c>
      <c r="AT4600" s="3" t="s">
        <v>62</v>
      </c>
      <c r="AV4600" s="6" t="str">
        <f>HYPERLINK("http://mcgill.on.worldcat.org/oclc/841184373","Catalog Record")</f>
        <v>Catalog Record</v>
      </c>
      <c r="AW4600" s="6" t="str">
        <f>HYPERLINK("http://www.worldcat.org/oclc/841184373","WorldCat Record")</f>
        <v>WorldCat Record</v>
      </c>
      <c r="AX4600" s="3" t="s">
        <v>44387</v>
      </c>
      <c r="AY4600" s="3" t="s">
        <v>44388</v>
      </c>
      <c r="AZ4600" s="3" t="s">
        <v>44389</v>
      </c>
      <c r="BA4600" s="3" t="s">
        <v>44389</v>
      </c>
      <c r="BB4600" s="3" t="s">
        <v>44390</v>
      </c>
      <c r="BC4600" s="3" t="s">
        <v>102</v>
      </c>
      <c r="BD4600" s="3" t="s">
        <v>68</v>
      </c>
      <c r="BE4600" s="3" t="s">
        <v>44391</v>
      </c>
      <c r="BF4600" s="3" t="s">
        <v>44390</v>
      </c>
      <c r="BG4600" s="3" t="s">
        <v>44392</v>
      </c>
    </row>
    <row r="4601" spans="1:59" ht="58" x14ac:dyDescent="0.35">
      <c r="A4601" s="2" t="s">
        <v>59</v>
      </c>
      <c r="B4601" s="2" t="s">
        <v>60</v>
      </c>
      <c r="C4601" s="2" t="s">
        <v>44393</v>
      </c>
      <c r="D4601" s="2" t="s">
        <v>44394</v>
      </c>
      <c r="E4601" s="2" t="s">
        <v>44395</v>
      </c>
      <c r="G4601" s="3" t="s">
        <v>62</v>
      </c>
      <c r="I4601" s="3" t="s">
        <v>62</v>
      </c>
      <c r="J4601" s="3" t="s">
        <v>62</v>
      </c>
      <c r="K4601" s="3" t="s">
        <v>63</v>
      </c>
      <c r="L4601" s="2" t="s">
        <v>44396</v>
      </c>
      <c r="M4601" s="2" t="s">
        <v>44397</v>
      </c>
      <c r="N4601" s="3" t="s">
        <v>553</v>
      </c>
      <c r="P4601" s="3" t="s">
        <v>64</v>
      </c>
      <c r="R4601" s="3" t="s">
        <v>42369</v>
      </c>
      <c r="S4601" s="4">
        <v>1</v>
      </c>
      <c r="T4601" s="4">
        <v>1</v>
      </c>
      <c r="U4601" s="5" t="s">
        <v>4852</v>
      </c>
      <c r="V4601" s="5" t="s">
        <v>4852</v>
      </c>
      <c r="W4601" s="5" t="s">
        <v>67</v>
      </c>
      <c r="X4601" s="5" t="s">
        <v>67</v>
      </c>
      <c r="Y4601" s="4">
        <v>61</v>
      </c>
      <c r="Z4601" s="4">
        <v>1</v>
      </c>
      <c r="AA4601" s="4">
        <v>1</v>
      </c>
      <c r="AB4601" s="4">
        <v>1</v>
      </c>
      <c r="AC4601" s="4">
        <v>1</v>
      </c>
      <c r="AD4601" s="4">
        <v>30</v>
      </c>
      <c r="AE4601" s="4">
        <v>30</v>
      </c>
      <c r="AF4601" s="4">
        <v>0</v>
      </c>
      <c r="AG4601" s="4">
        <v>0</v>
      </c>
      <c r="AH4601" s="4">
        <v>28</v>
      </c>
      <c r="AI4601" s="4">
        <v>28</v>
      </c>
      <c r="AJ4601" s="4">
        <v>0</v>
      </c>
      <c r="AK4601" s="4">
        <v>0</v>
      </c>
      <c r="AL4601" s="4">
        <v>19</v>
      </c>
      <c r="AM4601" s="4">
        <v>19</v>
      </c>
      <c r="AN4601" s="4">
        <v>0</v>
      </c>
      <c r="AO4601" s="4">
        <v>0</v>
      </c>
      <c r="AP4601" s="4">
        <v>0</v>
      </c>
      <c r="AQ4601" s="4">
        <v>0</v>
      </c>
      <c r="AR4601" s="3" t="s">
        <v>62</v>
      </c>
      <c r="AS4601" s="3" t="s">
        <v>62</v>
      </c>
      <c r="AT4601" s="3" t="s">
        <v>62</v>
      </c>
      <c r="AV4601" s="6" t="str">
        <f>HYPERLINK("http://mcgill.on.worldcat.org/oclc/42212161","Catalog Record")</f>
        <v>Catalog Record</v>
      </c>
      <c r="AW4601" s="6" t="str">
        <f>HYPERLINK("http://www.worldcat.org/oclc/42212161","WorldCat Record")</f>
        <v>WorldCat Record</v>
      </c>
      <c r="AX4601" s="3" t="s">
        <v>44398</v>
      </c>
      <c r="AY4601" s="3" t="s">
        <v>44399</v>
      </c>
      <c r="AZ4601" s="3" t="s">
        <v>44400</v>
      </c>
      <c r="BA4601" s="3" t="s">
        <v>44400</v>
      </c>
      <c r="BB4601" s="3" t="s">
        <v>44401</v>
      </c>
      <c r="BC4601" s="3" t="s">
        <v>102</v>
      </c>
      <c r="BD4601" s="3" t="s">
        <v>68</v>
      </c>
      <c r="BE4601" s="3" t="s">
        <v>44402</v>
      </c>
      <c r="BF4601" s="3" t="s">
        <v>44401</v>
      </c>
      <c r="BG4601" s="3" t="s">
        <v>44403</v>
      </c>
    </row>
    <row r="4602" spans="1:59" ht="159.5" x14ac:dyDescent="0.35">
      <c r="A4602" s="2" t="s">
        <v>59</v>
      </c>
      <c r="B4602" s="2" t="s">
        <v>60</v>
      </c>
      <c r="C4602" s="2" t="s">
        <v>44404</v>
      </c>
      <c r="D4602" s="2" t="s">
        <v>44405</v>
      </c>
      <c r="E4602" s="2" t="s">
        <v>44406</v>
      </c>
      <c r="G4602" s="3" t="s">
        <v>62</v>
      </c>
      <c r="I4602" s="3" t="s">
        <v>61</v>
      </c>
      <c r="J4602" s="3" t="s">
        <v>62</v>
      </c>
      <c r="K4602" s="3" t="s">
        <v>63</v>
      </c>
      <c r="L4602" s="2" t="s">
        <v>44407</v>
      </c>
      <c r="M4602" s="2" t="s">
        <v>44408</v>
      </c>
      <c r="N4602" s="3" t="s">
        <v>2727</v>
      </c>
      <c r="P4602" s="3" t="s">
        <v>64</v>
      </c>
      <c r="R4602" s="3" t="s">
        <v>42369</v>
      </c>
      <c r="S4602" s="4">
        <v>0</v>
      </c>
      <c r="T4602" s="4">
        <v>1</v>
      </c>
      <c r="V4602" s="5" t="s">
        <v>22243</v>
      </c>
      <c r="W4602" s="5" t="s">
        <v>67</v>
      </c>
      <c r="X4602" s="5" t="s">
        <v>67</v>
      </c>
      <c r="Y4602" s="4">
        <v>86</v>
      </c>
      <c r="Z4602" s="4">
        <v>6</v>
      </c>
      <c r="AA4602" s="4">
        <v>7</v>
      </c>
      <c r="AB4602" s="4">
        <v>1</v>
      </c>
      <c r="AC4602" s="4">
        <v>1</v>
      </c>
      <c r="AD4602" s="4">
        <v>33</v>
      </c>
      <c r="AE4602" s="4">
        <v>34</v>
      </c>
      <c r="AF4602" s="4">
        <v>0</v>
      </c>
      <c r="AG4602" s="4">
        <v>0</v>
      </c>
      <c r="AH4602" s="4">
        <v>31</v>
      </c>
      <c r="AI4602" s="4">
        <v>32</v>
      </c>
      <c r="AJ4602" s="4">
        <v>5</v>
      </c>
      <c r="AK4602" s="4">
        <v>6</v>
      </c>
      <c r="AL4602" s="4">
        <v>20</v>
      </c>
      <c r="AM4602" s="4">
        <v>20</v>
      </c>
      <c r="AN4602" s="4">
        <v>0</v>
      </c>
      <c r="AO4602" s="4">
        <v>0</v>
      </c>
      <c r="AP4602" s="4">
        <v>5</v>
      </c>
      <c r="AQ4602" s="4">
        <v>6</v>
      </c>
      <c r="AR4602" s="3" t="s">
        <v>62</v>
      </c>
      <c r="AS4602" s="3" t="s">
        <v>62</v>
      </c>
      <c r="AT4602" s="3" t="s">
        <v>61</v>
      </c>
      <c r="AU4602" s="6" t="str">
        <f>HYPERLINK("http://catalog.hathitrust.org/Record/001501966","HathiTrust Record")</f>
        <v>HathiTrust Record</v>
      </c>
      <c r="AV4602" s="6" t="str">
        <f>HYPERLINK("http://mcgill.on.worldcat.org/oclc/4362977","Catalog Record")</f>
        <v>Catalog Record</v>
      </c>
      <c r="AW4602" s="6" t="str">
        <f>HYPERLINK("http://www.worldcat.org/oclc/4362977","WorldCat Record")</f>
        <v>WorldCat Record</v>
      </c>
      <c r="AX4602" s="3" t="s">
        <v>44409</v>
      </c>
      <c r="AY4602" s="3" t="s">
        <v>44410</v>
      </c>
      <c r="AZ4602" s="3" t="s">
        <v>44411</v>
      </c>
      <c r="BA4602" s="3" t="s">
        <v>44411</v>
      </c>
      <c r="BB4602" s="3" t="s">
        <v>44412</v>
      </c>
      <c r="BC4602" s="3" t="s">
        <v>102</v>
      </c>
      <c r="BD4602" s="3" t="s">
        <v>68</v>
      </c>
      <c r="BF4602" s="3" t="s">
        <v>44412</v>
      </c>
      <c r="BG4602" s="3" t="s">
        <v>44413</v>
      </c>
    </row>
    <row r="4603" spans="1:59" ht="87" x14ac:dyDescent="0.35">
      <c r="A4603" s="2" t="s">
        <v>59</v>
      </c>
      <c r="B4603" s="2" t="s">
        <v>60</v>
      </c>
      <c r="C4603" s="2" t="s">
        <v>44414</v>
      </c>
      <c r="D4603" s="2" t="s">
        <v>44415</v>
      </c>
      <c r="E4603" s="2" t="s">
        <v>44416</v>
      </c>
      <c r="G4603" s="3" t="s">
        <v>62</v>
      </c>
      <c r="I4603" s="3" t="s">
        <v>62</v>
      </c>
      <c r="J4603" s="3" t="s">
        <v>62</v>
      </c>
      <c r="K4603" s="3" t="s">
        <v>63</v>
      </c>
      <c r="L4603" s="2" t="s">
        <v>44308</v>
      </c>
      <c r="M4603" s="2" t="s">
        <v>44417</v>
      </c>
      <c r="N4603" s="3" t="s">
        <v>355</v>
      </c>
      <c r="P4603" s="3" t="s">
        <v>64</v>
      </c>
      <c r="R4603" s="3" t="s">
        <v>42369</v>
      </c>
      <c r="S4603" s="4">
        <v>1</v>
      </c>
      <c r="T4603" s="4">
        <v>1</v>
      </c>
      <c r="U4603" s="5" t="s">
        <v>2234</v>
      </c>
      <c r="V4603" s="5" t="s">
        <v>2234</v>
      </c>
      <c r="W4603" s="5" t="s">
        <v>67</v>
      </c>
      <c r="X4603" s="5" t="s">
        <v>67</v>
      </c>
      <c r="Y4603" s="4">
        <v>385</v>
      </c>
      <c r="Z4603" s="4">
        <v>16</v>
      </c>
      <c r="AA4603" s="4">
        <v>17</v>
      </c>
      <c r="AB4603" s="4">
        <v>1</v>
      </c>
      <c r="AC4603" s="4">
        <v>2</v>
      </c>
      <c r="AD4603" s="4">
        <v>87</v>
      </c>
      <c r="AE4603" s="4">
        <v>89</v>
      </c>
      <c r="AF4603" s="4">
        <v>0</v>
      </c>
      <c r="AG4603" s="4">
        <v>1</v>
      </c>
      <c r="AH4603" s="4">
        <v>81</v>
      </c>
      <c r="AI4603" s="4">
        <v>83</v>
      </c>
      <c r="AJ4603" s="4">
        <v>11</v>
      </c>
      <c r="AK4603" s="4">
        <v>12</v>
      </c>
      <c r="AL4603" s="4">
        <v>42</v>
      </c>
      <c r="AM4603" s="4">
        <v>43</v>
      </c>
      <c r="AN4603" s="4">
        <v>0</v>
      </c>
      <c r="AO4603" s="4">
        <v>0</v>
      </c>
      <c r="AP4603" s="4">
        <v>10</v>
      </c>
      <c r="AQ4603" s="4">
        <v>11</v>
      </c>
      <c r="AR4603" s="3" t="s">
        <v>62</v>
      </c>
      <c r="AS4603" s="3" t="s">
        <v>62</v>
      </c>
      <c r="AT4603" s="3" t="s">
        <v>61</v>
      </c>
      <c r="AU4603" s="6" t="str">
        <f>HYPERLINK("http://catalog.hathitrust.org/Record/000125063","HathiTrust Record")</f>
        <v>HathiTrust Record</v>
      </c>
      <c r="AV4603" s="6" t="str">
        <f>HYPERLINK("http://mcgill.on.worldcat.org/oclc/9622094","Catalog Record")</f>
        <v>Catalog Record</v>
      </c>
      <c r="AW4603" s="6" t="str">
        <f>HYPERLINK("http://www.worldcat.org/oclc/9622094","WorldCat Record")</f>
        <v>WorldCat Record</v>
      </c>
      <c r="AX4603" s="3" t="s">
        <v>44418</v>
      </c>
      <c r="AY4603" s="3" t="s">
        <v>44419</v>
      </c>
      <c r="AZ4603" s="3" t="s">
        <v>44420</v>
      </c>
      <c r="BA4603" s="3" t="s">
        <v>44420</v>
      </c>
      <c r="BB4603" s="3" t="s">
        <v>44421</v>
      </c>
      <c r="BC4603" s="3" t="s">
        <v>102</v>
      </c>
      <c r="BD4603" s="3" t="s">
        <v>68</v>
      </c>
      <c r="BE4603" s="3" t="s">
        <v>44422</v>
      </c>
      <c r="BF4603" s="3" t="s">
        <v>44421</v>
      </c>
      <c r="BG4603" s="3" t="s">
        <v>44423</v>
      </c>
    </row>
    <row r="4604" spans="1:59" ht="58" x14ac:dyDescent="0.35">
      <c r="A4604" s="2" t="s">
        <v>89</v>
      </c>
      <c r="B4604" s="2" t="s">
        <v>90</v>
      </c>
      <c r="C4604" s="2" t="s">
        <v>44424</v>
      </c>
      <c r="D4604" s="2" t="s">
        <v>44425</v>
      </c>
      <c r="E4604" s="2" t="s">
        <v>44426</v>
      </c>
      <c r="G4604" s="3" t="s">
        <v>62</v>
      </c>
      <c r="I4604" s="3" t="s">
        <v>62</v>
      </c>
      <c r="J4604" s="3" t="s">
        <v>62</v>
      </c>
      <c r="K4604" s="3" t="s">
        <v>63</v>
      </c>
      <c r="L4604" s="2" t="s">
        <v>44427</v>
      </c>
      <c r="M4604" s="2" t="s">
        <v>44428</v>
      </c>
      <c r="N4604" s="3" t="s">
        <v>2985</v>
      </c>
      <c r="P4604" s="3" t="s">
        <v>64</v>
      </c>
      <c r="Q4604" s="2" t="s">
        <v>42956</v>
      </c>
      <c r="R4604" s="3" t="s">
        <v>42369</v>
      </c>
      <c r="S4604" s="4">
        <v>5</v>
      </c>
      <c r="T4604" s="4">
        <v>5</v>
      </c>
      <c r="U4604" s="5" t="s">
        <v>44429</v>
      </c>
      <c r="V4604" s="5" t="s">
        <v>44429</v>
      </c>
      <c r="W4604" s="5" t="s">
        <v>67</v>
      </c>
      <c r="X4604" s="5" t="s">
        <v>67</v>
      </c>
      <c r="Y4604" s="4">
        <v>191</v>
      </c>
      <c r="Z4604" s="4">
        <v>8</v>
      </c>
      <c r="AA4604" s="4">
        <v>8</v>
      </c>
      <c r="AB4604" s="4">
        <v>2</v>
      </c>
      <c r="AC4604" s="4">
        <v>2</v>
      </c>
      <c r="AD4604" s="4">
        <v>46</v>
      </c>
      <c r="AE4604" s="4">
        <v>46</v>
      </c>
      <c r="AF4604" s="4">
        <v>0</v>
      </c>
      <c r="AG4604" s="4">
        <v>0</v>
      </c>
      <c r="AH4604" s="4">
        <v>44</v>
      </c>
      <c r="AI4604" s="4">
        <v>44</v>
      </c>
      <c r="AJ4604" s="4">
        <v>3</v>
      </c>
      <c r="AK4604" s="4">
        <v>3</v>
      </c>
      <c r="AL4604" s="4">
        <v>25</v>
      </c>
      <c r="AM4604" s="4">
        <v>25</v>
      </c>
      <c r="AN4604" s="4">
        <v>0</v>
      </c>
      <c r="AO4604" s="4">
        <v>0</v>
      </c>
      <c r="AP4604" s="4">
        <v>3</v>
      </c>
      <c r="AQ4604" s="4">
        <v>3</v>
      </c>
      <c r="AR4604" s="3" t="s">
        <v>62</v>
      </c>
      <c r="AS4604" s="3" t="s">
        <v>62</v>
      </c>
      <c r="AT4604" s="3" t="s">
        <v>62</v>
      </c>
      <c r="AV4604" s="6" t="str">
        <f>HYPERLINK("http://mcgill.on.worldcat.org/oclc/276340701","Catalog Record")</f>
        <v>Catalog Record</v>
      </c>
      <c r="AW4604" s="6" t="str">
        <f>HYPERLINK("http://www.worldcat.org/oclc/276340701","WorldCat Record")</f>
        <v>WorldCat Record</v>
      </c>
      <c r="AX4604" s="3" t="s">
        <v>44430</v>
      </c>
      <c r="AY4604" s="3" t="s">
        <v>44431</v>
      </c>
      <c r="AZ4604" s="3" t="s">
        <v>44432</v>
      </c>
      <c r="BA4604" s="3" t="s">
        <v>44432</v>
      </c>
      <c r="BB4604" s="3" t="s">
        <v>44433</v>
      </c>
      <c r="BC4604" s="3" t="s">
        <v>102</v>
      </c>
      <c r="BD4604" s="3" t="s">
        <v>68</v>
      </c>
      <c r="BE4604" s="3" t="s">
        <v>44434</v>
      </c>
      <c r="BF4604" s="3" t="s">
        <v>44433</v>
      </c>
      <c r="BG4604" s="3" t="s">
        <v>44435</v>
      </c>
    </row>
    <row r="4605" spans="1:59" ht="58" x14ac:dyDescent="0.35">
      <c r="A4605" s="2" t="s">
        <v>59</v>
      </c>
      <c r="B4605" s="2" t="s">
        <v>60</v>
      </c>
      <c r="C4605" s="2" t="s">
        <v>44436</v>
      </c>
      <c r="D4605" s="2" t="s">
        <v>44437</v>
      </c>
      <c r="E4605" s="2" t="s">
        <v>44438</v>
      </c>
      <c r="G4605" s="3" t="s">
        <v>62</v>
      </c>
      <c r="I4605" s="3" t="s">
        <v>62</v>
      </c>
      <c r="J4605" s="3" t="s">
        <v>62</v>
      </c>
      <c r="K4605" s="3" t="s">
        <v>63</v>
      </c>
      <c r="L4605" s="2" t="s">
        <v>44439</v>
      </c>
      <c r="M4605" s="2" t="s">
        <v>44440</v>
      </c>
      <c r="N4605" s="3" t="s">
        <v>524</v>
      </c>
      <c r="P4605" s="3" t="s">
        <v>64</v>
      </c>
      <c r="R4605" s="3" t="s">
        <v>42369</v>
      </c>
      <c r="S4605" s="4">
        <v>3</v>
      </c>
      <c r="T4605" s="4">
        <v>3</v>
      </c>
      <c r="U4605" s="5" t="s">
        <v>22552</v>
      </c>
      <c r="V4605" s="5" t="s">
        <v>22552</v>
      </c>
      <c r="W4605" s="5" t="s">
        <v>67</v>
      </c>
      <c r="X4605" s="5" t="s">
        <v>67</v>
      </c>
      <c r="Y4605" s="4">
        <v>36</v>
      </c>
      <c r="Z4605" s="4">
        <v>3</v>
      </c>
      <c r="AA4605" s="4">
        <v>3</v>
      </c>
      <c r="AB4605" s="4">
        <v>1</v>
      </c>
      <c r="AC4605" s="4">
        <v>1</v>
      </c>
      <c r="AD4605" s="4">
        <v>3</v>
      </c>
      <c r="AE4605" s="4">
        <v>3</v>
      </c>
      <c r="AF4605" s="4">
        <v>0</v>
      </c>
      <c r="AG4605" s="4">
        <v>0</v>
      </c>
      <c r="AH4605" s="4">
        <v>3</v>
      </c>
      <c r="AI4605" s="4">
        <v>3</v>
      </c>
      <c r="AJ4605" s="4">
        <v>0</v>
      </c>
      <c r="AK4605" s="4">
        <v>0</v>
      </c>
      <c r="AL4605" s="4">
        <v>2</v>
      </c>
      <c r="AM4605" s="4">
        <v>2</v>
      </c>
      <c r="AN4605" s="4">
        <v>0</v>
      </c>
      <c r="AO4605" s="4">
        <v>0</v>
      </c>
      <c r="AP4605" s="4">
        <v>0</v>
      </c>
      <c r="AQ4605" s="4">
        <v>0</v>
      </c>
      <c r="AR4605" s="3" t="s">
        <v>62</v>
      </c>
      <c r="AS4605" s="3" t="s">
        <v>62</v>
      </c>
      <c r="AT4605" s="3" t="s">
        <v>62</v>
      </c>
      <c r="AV4605" s="6" t="str">
        <f>HYPERLINK("http://mcgill.on.worldcat.org/oclc/32465117","Catalog Record")</f>
        <v>Catalog Record</v>
      </c>
      <c r="AW4605" s="6" t="str">
        <f>HYPERLINK("http://www.worldcat.org/oclc/32465117","WorldCat Record")</f>
        <v>WorldCat Record</v>
      </c>
      <c r="AX4605" s="3" t="s">
        <v>44441</v>
      </c>
      <c r="AY4605" s="3" t="s">
        <v>44442</v>
      </c>
      <c r="AZ4605" s="3" t="s">
        <v>44443</v>
      </c>
      <c r="BA4605" s="3" t="s">
        <v>44443</v>
      </c>
      <c r="BB4605" s="3" t="s">
        <v>44444</v>
      </c>
      <c r="BC4605" s="3" t="s">
        <v>102</v>
      </c>
      <c r="BD4605" s="3" t="s">
        <v>68</v>
      </c>
      <c r="BE4605" s="3" t="s">
        <v>44445</v>
      </c>
      <c r="BF4605" s="3" t="s">
        <v>44444</v>
      </c>
      <c r="BG4605" s="3" t="s">
        <v>44446</v>
      </c>
    </row>
    <row r="4606" spans="1:59" ht="87" x14ac:dyDescent="0.35">
      <c r="A4606" s="2" t="s">
        <v>59</v>
      </c>
      <c r="B4606" s="2" t="s">
        <v>60</v>
      </c>
      <c r="C4606" s="2" t="s">
        <v>44447</v>
      </c>
      <c r="D4606" s="2" t="s">
        <v>44448</v>
      </c>
      <c r="E4606" s="2" t="s">
        <v>44449</v>
      </c>
      <c r="G4606" s="3" t="s">
        <v>62</v>
      </c>
      <c r="I4606" s="3" t="s">
        <v>62</v>
      </c>
      <c r="J4606" s="3" t="s">
        <v>62</v>
      </c>
      <c r="K4606" s="3" t="s">
        <v>63</v>
      </c>
      <c r="L4606" s="2" t="s">
        <v>44450</v>
      </c>
      <c r="M4606" s="2" t="s">
        <v>44451</v>
      </c>
      <c r="N4606" s="3" t="s">
        <v>553</v>
      </c>
      <c r="P4606" s="3" t="s">
        <v>64</v>
      </c>
      <c r="R4606" s="3" t="s">
        <v>42369</v>
      </c>
      <c r="S4606" s="4">
        <v>5</v>
      </c>
      <c r="T4606" s="4">
        <v>5</v>
      </c>
      <c r="U4606" s="5" t="s">
        <v>4387</v>
      </c>
      <c r="V4606" s="5" t="s">
        <v>4387</v>
      </c>
      <c r="W4606" s="5" t="s">
        <v>67</v>
      </c>
      <c r="X4606" s="5" t="s">
        <v>67</v>
      </c>
      <c r="Y4606" s="4">
        <v>166</v>
      </c>
      <c r="Z4606" s="4">
        <v>8</v>
      </c>
      <c r="AA4606" s="4">
        <v>8</v>
      </c>
      <c r="AB4606" s="4">
        <v>1</v>
      </c>
      <c r="AC4606" s="4">
        <v>1</v>
      </c>
      <c r="AD4606" s="4">
        <v>52</v>
      </c>
      <c r="AE4606" s="4">
        <v>52</v>
      </c>
      <c r="AF4606" s="4">
        <v>0</v>
      </c>
      <c r="AG4606" s="4">
        <v>0</v>
      </c>
      <c r="AH4606" s="4">
        <v>52</v>
      </c>
      <c r="AI4606" s="4">
        <v>52</v>
      </c>
      <c r="AJ4606" s="4">
        <v>2</v>
      </c>
      <c r="AK4606" s="4">
        <v>2</v>
      </c>
      <c r="AL4606" s="4">
        <v>31</v>
      </c>
      <c r="AM4606" s="4">
        <v>31</v>
      </c>
      <c r="AN4606" s="4">
        <v>0</v>
      </c>
      <c r="AO4606" s="4">
        <v>0</v>
      </c>
      <c r="AP4606" s="4">
        <v>2</v>
      </c>
      <c r="AQ4606" s="4">
        <v>2</v>
      </c>
      <c r="AR4606" s="3" t="s">
        <v>62</v>
      </c>
      <c r="AS4606" s="3" t="s">
        <v>62</v>
      </c>
      <c r="AT4606" s="3" t="s">
        <v>62</v>
      </c>
      <c r="AV4606" s="6" t="str">
        <f>HYPERLINK("http://mcgill.on.worldcat.org/oclc/39890499","Catalog Record")</f>
        <v>Catalog Record</v>
      </c>
      <c r="AW4606" s="6" t="str">
        <f>HYPERLINK("http://www.worldcat.org/oclc/39890499","WorldCat Record")</f>
        <v>WorldCat Record</v>
      </c>
      <c r="AX4606" s="3" t="s">
        <v>44452</v>
      </c>
      <c r="AY4606" s="3" t="s">
        <v>44453</v>
      </c>
      <c r="AZ4606" s="3" t="s">
        <v>44454</v>
      </c>
      <c r="BA4606" s="3" t="s">
        <v>44454</v>
      </c>
      <c r="BB4606" s="3" t="s">
        <v>44455</v>
      </c>
      <c r="BC4606" s="3" t="s">
        <v>102</v>
      </c>
      <c r="BD4606" s="3" t="s">
        <v>231</v>
      </c>
      <c r="BE4606" s="3" t="s">
        <v>44456</v>
      </c>
      <c r="BF4606" s="3" t="s">
        <v>44455</v>
      </c>
      <c r="BG4606" s="3" t="s">
        <v>44457</v>
      </c>
    </row>
    <row r="4607" spans="1:59" ht="58" x14ac:dyDescent="0.35">
      <c r="A4607" s="2" t="s">
        <v>59</v>
      </c>
      <c r="B4607" s="2" t="s">
        <v>60</v>
      </c>
      <c r="C4607" s="2" t="s">
        <v>44458</v>
      </c>
      <c r="D4607" s="2" t="s">
        <v>44459</v>
      </c>
      <c r="E4607" s="2" t="s">
        <v>44460</v>
      </c>
      <c r="G4607" s="3" t="s">
        <v>62</v>
      </c>
      <c r="I4607" s="3" t="s">
        <v>62</v>
      </c>
      <c r="J4607" s="3" t="s">
        <v>62</v>
      </c>
      <c r="K4607" s="3" t="s">
        <v>63</v>
      </c>
      <c r="L4607" s="2" t="s">
        <v>44461</v>
      </c>
      <c r="M4607" s="2" t="s">
        <v>44462</v>
      </c>
      <c r="N4607" s="3" t="s">
        <v>2445</v>
      </c>
      <c r="P4607" s="3" t="s">
        <v>85</v>
      </c>
      <c r="Q4607" s="2" t="s">
        <v>44463</v>
      </c>
      <c r="R4607" s="3" t="s">
        <v>42369</v>
      </c>
      <c r="S4607" s="4">
        <v>1</v>
      </c>
      <c r="T4607" s="4">
        <v>1</v>
      </c>
      <c r="U4607" s="5" t="s">
        <v>13087</v>
      </c>
      <c r="V4607" s="5" t="s">
        <v>13087</v>
      </c>
      <c r="W4607" s="5" t="s">
        <v>67</v>
      </c>
      <c r="X4607" s="5" t="s">
        <v>67</v>
      </c>
      <c r="Y4607" s="4">
        <v>56</v>
      </c>
      <c r="Z4607" s="4">
        <v>4</v>
      </c>
      <c r="AA4607" s="4">
        <v>4</v>
      </c>
      <c r="AB4607" s="4">
        <v>1</v>
      </c>
      <c r="AC4607" s="4">
        <v>1</v>
      </c>
      <c r="AD4607" s="4">
        <v>23</v>
      </c>
      <c r="AE4607" s="4">
        <v>23</v>
      </c>
      <c r="AF4607" s="4">
        <v>0</v>
      </c>
      <c r="AG4607" s="4">
        <v>0</v>
      </c>
      <c r="AH4607" s="4">
        <v>22</v>
      </c>
      <c r="AI4607" s="4">
        <v>22</v>
      </c>
      <c r="AJ4607" s="4">
        <v>1</v>
      </c>
      <c r="AK4607" s="4">
        <v>1</v>
      </c>
      <c r="AL4607" s="4">
        <v>14</v>
      </c>
      <c r="AM4607" s="4">
        <v>14</v>
      </c>
      <c r="AN4607" s="4">
        <v>0</v>
      </c>
      <c r="AO4607" s="4">
        <v>0</v>
      </c>
      <c r="AP4607" s="4">
        <v>1</v>
      </c>
      <c r="AQ4607" s="4">
        <v>1</v>
      </c>
      <c r="AR4607" s="3" t="s">
        <v>62</v>
      </c>
      <c r="AS4607" s="3" t="s">
        <v>62</v>
      </c>
      <c r="AT4607" s="3" t="s">
        <v>61</v>
      </c>
      <c r="AU4607" s="6" t="str">
        <f>HYPERLINK("http://catalog.hathitrust.org/Record/001502018","HathiTrust Record")</f>
        <v>HathiTrust Record</v>
      </c>
      <c r="AV4607" s="6" t="str">
        <f>HYPERLINK("http://mcgill.on.worldcat.org/oclc/7980665","Catalog Record")</f>
        <v>Catalog Record</v>
      </c>
      <c r="AW4607" s="6" t="str">
        <f>HYPERLINK("http://www.worldcat.org/oclc/7980665","WorldCat Record")</f>
        <v>WorldCat Record</v>
      </c>
      <c r="AX4607" s="3" t="s">
        <v>44464</v>
      </c>
      <c r="AY4607" s="3" t="s">
        <v>44465</v>
      </c>
      <c r="AZ4607" s="3" t="s">
        <v>44466</v>
      </c>
      <c r="BA4607" s="3" t="s">
        <v>44466</v>
      </c>
      <c r="BB4607" s="3" t="s">
        <v>44467</v>
      </c>
      <c r="BC4607" s="3" t="s">
        <v>102</v>
      </c>
      <c r="BD4607" s="3" t="s">
        <v>68</v>
      </c>
      <c r="BF4607" s="3" t="s">
        <v>44467</v>
      </c>
      <c r="BG4607" s="3" t="s">
        <v>44468</v>
      </c>
    </row>
    <row r="4608" spans="1:59" ht="58" x14ac:dyDescent="0.35">
      <c r="A4608" s="2" t="s">
        <v>59</v>
      </c>
      <c r="B4608" s="2" t="s">
        <v>60</v>
      </c>
      <c r="C4608" s="2" t="s">
        <v>44469</v>
      </c>
      <c r="D4608" s="2" t="s">
        <v>44470</v>
      </c>
      <c r="E4608" s="2" t="s">
        <v>44471</v>
      </c>
      <c r="G4608" s="3" t="s">
        <v>61</v>
      </c>
      <c r="I4608" s="3" t="s">
        <v>62</v>
      </c>
      <c r="J4608" s="3" t="s">
        <v>62</v>
      </c>
      <c r="K4608" s="3" t="s">
        <v>63</v>
      </c>
      <c r="L4608" s="2" t="s">
        <v>44472</v>
      </c>
      <c r="M4608" s="2" t="s">
        <v>44473</v>
      </c>
      <c r="N4608" s="3" t="s">
        <v>186</v>
      </c>
      <c r="P4608" s="3" t="s">
        <v>64</v>
      </c>
      <c r="R4608" s="3" t="s">
        <v>42369</v>
      </c>
      <c r="S4608" s="4">
        <v>1</v>
      </c>
      <c r="T4608" s="4">
        <v>1</v>
      </c>
      <c r="U4608" s="5" t="s">
        <v>27664</v>
      </c>
      <c r="V4608" s="5" t="s">
        <v>27664</v>
      </c>
      <c r="W4608" s="5" t="s">
        <v>67</v>
      </c>
      <c r="X4608" s="5" t="s">
        <v>67</v>
      </c>
      <c r="Y4608" s="4">
        <v>68</v>
      </c>
      <c r="Z4608" s="4">
        <v>1</v>
      </c>
      <c r="AA4608" s="4">
        <v>3</v>
      </c>
      <c r="AB4608" s="4">
        <v>1</v>
      </c>
      <c r="AC4608" s="4">
        <v>1</v>
      </c>
      <c r="AD4608" s="4">
        <v>15</v>
      </c>
      <c r="AE4608" s="4">
        <v>15</v>
      </c>
      <c r="AF4608" s="4">
        <v>0</v>
      </c>
      <c r="AG4608" s="4">
        <v>0</v>
      </c>
      <c r="AH4608" s="4">
        <v>15</v>
      </c>
      <c r="AI4608" s="4">
        <v>15</v>
      </c>
      <c r="AJ4608" s="4">
        <v>0</v>
      </c>
      <c r="AK4608" s="4">
        <v>0</v>
      </c>
      <c r="AL4608" s="4">
        <v>10</v>
      </c>
      <c r="AM4608" s="4">
        <v>10</v>
      </c>
      <c r="AN4608" s="4">
        <v>0</v>
      </c>
      <c r="AO4608" s="4">
        <v>0</v>
      </c>
      <c r="AP4608" s="4">
        <v>0</v>
      </c>
      <c r="AQ4608" s="4">
        <v>0</v>
      </c>
      <c r="AR4608" s="3" t="s">
        <v>62</v>
      </c>
      <c r="AS4608" s="3" t="s">
        <v>62</v>
      </c>
      <c r="AT4608" s="3" t="s">
        <v>61</v>
      </c>
      <c r="AU4608" s="6" t="str">
        <f>HYPERLINK("http://catalog.hathitrust.org/Record/001952921","HathiTrust Record")</f>
        <v>HathiTrust Record</v>
      </c>
      <c r="AV4608" s="6" t="str">
        <f>HYPERLINK("http://mcgill.on.worldcat.org/oclc/1612381","Catalog Record")</f>
        <v>Catalog Record</v>
      </c>
      <c r="AW4608" s="6" t="str">
        <f>HYPERLINK("http://www.worldcat.org/oclc/1612381","WorldCat Record")</f>
        <v>WorldCat Record</v>
      </c>
      <c r="AX4608" s="3" t="s">
        <v>44474</v>
      </c>
      <c r="AY4608" s="3" t="s">
        <v>44475</v>
      </c>
      <c r="AZ4608" s="3" t="s">
        <v>44476</v>
      </c>
      <c r="BA4608" s="3" t="s">
        <v>44476</v>
      </c>
      <c r="BB4608" s="3" t="s">
        <v>44477</v>
      </c>
      <c r="BC4608" s="3" t="s">
        <v>102</v>
      </c>
      <c r="BD4608" s="3" t="s">
        <v>68</v>
      </c>
      <c r="BE4608" s="3" t="s">
        <v>44478</v>
      </c>
      <c r="BF4608" s="3" t="s">
        <v>44477</v>
      </c>
      <c r="BG4608" s="3" t="s">
        <v>44479</v>
      </c>
    </row>
    <row r="4609" spans="1:59" ht="58" x14ac:dyDescent="0.35">
      <c r="A4609" s="2" t="s">
        <v>59</v>
      </c>
      <c r="B4609" s="2" t="s">
        <v>60</v>
      </c>
      <c r="C4609" s="2" t="s">
        <v>44480</v>
      </c>
      <c r="D4609" s="2" t="s">
        <v>44481</v>
      </c>
      <c r="E4609" s="2" t="s">
        <v>44482</v>
      </c>
      <c r="G4609" s="3" t="s">
        <v>62</v>
      </c>
      <c r="I4609" s="3" t="s">
        <v>62</v>
      </c>
      <c r="J4609" s="3" t="s">
        <v>62</v>
      </c>
      <c r="K4609" s="3" t="s">
        <v>63</v>
      </c>
      <c r="M4609" s="2" t="s">
        <v>44483</v>
      </c>
      <c r="N4609" s="3" t="s">
        <v>1482</v>
      </c>
      <c r="P4609" s="3" t="s">
        <v>64</v>
      </c>
      <c r="Q4609" s="2" t="s">
        <v>44484</v>
      </c>
      <c r="R4609" s="3" t="s">
        <v>42369</v>
      </c>
      <c r="S4609" s="4">
        <v>1</v>
      </c>
      <c r="T4609" s="4">
        <v>1</v>
      </c>
      <c r="U4609" s="5" t="s">
        <v>7472</v>
      </c>
      <c r="V4609" s="5" t="s">
        <v>7472</v>
      </c>
      <c r="W4609" s="5" t="s">
        <v>67</v>
      </c>
      <c r="X4609" s="5" t="s">
        <v>67</v>
      </c>
      <c r="Y4609" s="4">
        <v>10</v>
      </c>
      <c r="Z4609" s="4">
        <v>2</v>
      </c>
      <c r="AA4609" s="4">
        <v>2</v>
      </c>
      <c r="AB4609" s="4">
        <v>1</v>
      </c>
      <c r="AC4609" s="4">
        <v>1</v>
      </c>
      <c r="AD4609" s="4">
        <v>6</v>
      </c>
      <c r="AE4609" s="4">
        <v>17</v>
      </c>
      <c r="AF4609" s="4">
        <v>0</v>
      </c>
      <c r="AG4609" s="4">
        <v>0</v>
      </c>
      <c r="AH4609" s="4">
        <v>4</v>
      </c>
      <c r="AI4609" s="4">
        <v>15</v>
      </c>
      <c r="AJ4609" s="4">
        <v>1</v>
      </c>
      <c r="AK4609" s="4">
        <v>1</v>
      </c>
      <c r="AL4609" s="4">
        <v>5</v>
      </c>
      <c r="AM4609" s="4">
        <v>12</v>
      </c>
      <c r="AN4609" s="4">
        <v>0</v>
      </c>
      <c r="AO4609" s="4">
        <v>0</v>
      </c>
      <c r="AP4609" s="4">
        <v>1</v>
      </c>
      <c r="AQ4609" s="4">
        <v>1</v>
      </c>
      <c r="AR4609" s="3" t="s">
        <v>62</v>
      </c>
      <c r="AS4609" s="3" t="s">
        <v>62</v>
      </c>
      <c r="AT4609" s="3" t="s">
        <v>61</v>
      </c>
      <c r="AU4609" s="6" t="str">
        <f>HYPERLINK("http://catalog.hathitrust.org/Record/000851290","HathiTrust Record")</f>
        <v>HathiTrust Record</v>
      </c>
      <c r="AV4609" s="6" t="str">
        <f>HYPERLINK("http://mcgill.on.worldcat.org/oclc/123205123","Catalog Record")</f>
        <v>Catalog Record</v>
      </c>
      <c r="AW4609" s="6" t="str">
        <f>HYPERLINK("http://www.worldcat.org/oclc/123205123","WorldCat Record")</f>
        <v>WorldCat Record</v>
      </c>
      <c r="AX4609" s="3" t="s">
        <v>44485</v>
      </c>
      <c r="AY4609" s="3" t="s">
        <v>44486</v>
      </c>
      <c r="AZ4609" s="3" t="s">
        <v>44487</v>
      </c>
      <c r="BA4609" s="3" t="s">
        <v>44487</v>
      </c>
      <c r="BB4609" s="3" t="s">
        <v>44488</v>
      </c>
      <c r="BC4609" s="3" t="s">
        <v>102</v>
      </c>
      <c r="BD4609" s="3" t="s">
        <v>68</v>
      </c>
      <c r="BE4609" s="3" t="s">
        <v>44489</v>
      </c>
      <c r="BF4609" s="3" t="s">
        <v>44488</v>
      </c>
      <c r="BG4609" s="3" t="s">
        <v>44490</v>
      </c>
    </row>
    <row r="4610" spans="1:59" ht="58" x14ac:dyDescent="0.35">
      <c r="A4610" s="2" t="s">
        <v>59</v>
      </c>
      <c r="B4610" s="2" t="s">
        <v>60</v>
      </c>
      <c r="C4610" s="2" t="s">
        <v>44491</v>
      </c>
      <c r="D4610" s="2" t="s">
        <v>44492</v>
      </c>
      <c r="E4610" s="2" t="s">
        <v>44493</v>
      </c>
      <c r="G4610" s="3" t="s">
        <v>62</v>
      </c>
      <c r="I4610" s="3" t="s">
        <v>62</v>
      </c>
      <c r="J4610" s="3" t="s">
        <v>61</v>
      </c>
      <c r="K4610" s="3" t="s">
        <v>63</v>
      </c>
      <c r="L4610" s="2" t="s">
        <v>44494</v>
      </c>
      <c r="M4610" s="2" t="s">
        <v>44495</v>
      </c>
      <c r="N4610" s="3" t="s">
        <v>893</v>
      </c>
      <c r="O4610" s="2" t="s">
        <v>6158</v>
      </c>
      <c r="P4610" s="3" t="s">
        <v>64</v>
      </c>
      <c r="R4610" s="3" t="s">
        <v>42369</v>
      </c>
      <c r="S4610" s="4">
        <v>11</v>
      </c>
      <c r="T4610" s="4">
        <v>11</v>
      </c>
      <c r="U4610" s="5" t="s">
        <v>8532</v>
      </c>
      <c r="V4610" s="5" t="s">
        <v>8532</v>
      </c>
      <c r="W4610" s="5" t="s">
        <v>67</v>
      </c>
      <c r="X4610" s="5" t="s">
        <v>67</v>
      </c>
      <c r="Y4610" s="4">
        <v>63</v>
      </c>
      <c r="Z4610" s="4">
        <v>5</v>
      </c>
      <c r="AA4610" s="4">
        <v>22</v>
      </c>
      <c r="AB4610" s="4">
        <v>1</v>
      </c>
      <c r="AC4610" s="4">
        <v>4</v>
      </c>
      <c r="AD4610" s="4">
        <v>12</v>
      </c>
      <c r="AE4610" s="4">
        <v>73</v>
      </c>
      <c r="AF4610" s="4">
        <v>0</v>
      </c>
      <c r="AG4610" s="4">
        <v>1</v>
      </c>
      <c r="AH4610" s="4">
        <v>11</v>
      </c>
      <c r="AI4610" s="4">
        <v>65</v>
      </c>
      <c r="AJ4610" s="4">
        <v>0</v>
      </c>
      <c r="AK4610" s="4">
        <v>10</v>
      </c>
      <c r="AL4610" s="4">
        <v>8</v>
      </c>
      <c r="AM4610" s="4">
        <v>31</v>
      </c>
      <c r="AN4610" s="4">
        <v>0</v>
      </c>
      <c r="AO4610" s="4">
        <v>0</v>
      </c>
      <c r="AP4610" s="4">
        <v>1</v>
      </c>
      <c r="AQ4610" s="4">
        <v>11</v>
      </c>
      <c r="AR4610" s="3" t="s">
        <v>62</v>
      </c>
      <c r="AS4610" s="3" t="s">
        <v>62</v>
      </c>
      <c r="AT4610" s="3" t="s">
        <v>62</v>
      </c>
      <c r="AV4610" s="6" t="str">
        <f>HYPERLINK("http://mcgill.on.worldcat.org/oclc/9249592","Catalog Record")</f>
        <v>Catalog Record</v>
      </c>
      <c r="AW4610" s="6" t="str">
        <f>HYPERLINK("http://www.worldcat.org/oclc/9249592","WorldCat Record")</f>
        <v>WorldCat Record</v>
      </c>
      <c r="AX4610" s="3" t="s">
        <v>44496</v>
      </c>
      <c r="AY4610" s="3" t="s">
        <v>44497</v>
      </c>
      <c r="AZ4610" s="3" t="s">
        <v>44498</v>
      </c>
      <c r="BA4610" s="3" t="s">
        <v>44498</v>
      </c>
      <c r="BB4610" s="3" t="s">
        <v>44499</v>
      </c>
      <c r="BC4610" s="3" t="s">
        <v>102</v>
      </c>
      <c r="BD4610" s="3" t="s">
        <v>231</v>
      </c>
      <c r="BE4610" s="3" t="s">
        <v>44500</v>
      </c>
      <c r="BF4610" s="3" t="s">
        <v>44499</v>
      </c>
      <c r="BG4610" s="3" t="s">
        <v>44501</v>
      </c>
    </row>
    <row r="4611" spans="1:59" ht="58" x14ac:dyDescent="0.35">
      <c r="A4611" s="2" t="s">
        <v>59</v>
      </c>
      <c r="B4611" s="2" t="s">
        <v>60</v>
      </c>
      <c r="C4611" s="2" t="s">
        <v>44502</v>
      </c>
      <c r="D4611" s="2" t="s">
        <v>44503</v>
      </c>
      <c r="E4611" s="2" t="s">
        <v>44504</v>
      </c>
      <c r="G4611" s="3" t="s">
        <v>62</v>
      </c>
      <c r="I4611" s="3" t="s">
        <v>62</v>
      </c>
      <c r="J4611" s="3" t="s">
        <v>62</v>
      </c>
      <c r="K4611" s="3" t="s">
        <v>63</v>
      </c>
      <c r="L4611" s="2" t="s">
        <v>44505</v>
      </c>
      <c r="M4611" s="2" t="s">
        <v>44506</v>
      </c>
      <c r="N4611" s="3" t="s">
        <v>930</v>
      </c>
      <c r="P4611" s="3" t="s">
        <v>64</v>
      </c>
      <c r="Q4611" s="2" t="s">
        <v>44507</v>
      </c>
      <c r="R4611" s="3" t="s">
        <v>42369</v>
      </c>
      <c r="S4611" s="4">
        <v>5</v>
      </c>
      <c r="T4611" s="4">
        <v>5</v>
      </c>
      <c r="U4611" s="5" t="s">
        <v>32047</v>
      </c>
      <c r="V4611" s="5" t="s">
        <v>32047</v>
      </c>
      <c r="W4611" s="5" t="s">
        <v>67</v>
      </c>
      <c r="X4611" s="5" t="s">
        <v>67</v>
      </c>
      <c r="Y4611" s="4">
        <v>29</v>
      </c>
      <c r="Z4611" s="4">
        <v>14</v>
      </c>
      <c r="AA4611" s="4">
        <v>47</v>
      </c>
      <c r="AB4611" s="4">
        <v>1</v>
      </c>
      <c r="AC4611" s="4">
        <v>4</v>
      </c>
      <c r="AD4611" s="4">
        <v>9</v>
      </c>
      <c r="AE4611" s="4">
        <v>77</v>
      </c>
      <c r="AF4611" s="4">
        <v>0</v>
      </c>
      <c r="AG4611" s="4">
        <v>2</v>
      </c>
      <c r="AH4611" s="4">
        <v>6</v>
      </c>
      <c r="AI4611" s="4">
        <v>53</v>
      </c>
      <c r="AJ4611" s="4">
        <v>4</v>
      </c>
      <c r="AK4611" s="4">
        <v>23</v>
      </c>
      <c r="AL4611" s="4">
        <v>2</v>
      </c>
      <c r="AM4611" s="4">
        <v>30</v>
      </c>
      <c r="AN4611" s="4">
        <v>0</v>
      </c>
      <c r="AO4611" s="4">
        <v>0</v>
      </c>
      <c r="AP4611" s="4">
        <v>7</v>
      </c>
      <c r="AQ4611" s="4">
        <v>33</v>
      </c>
      <c r="AR4611" s="3" t="s">
        <v>61</v>
      </c>
      <c r="AS4611" s="3" t="s">
        <v>62</v>
      </c>
      <c r="AT4611" s="3" t="s">
        <v>62</v>
      </c>
      <c r="AV4611" s="6" t="str">
        <f>HYPERLINK("http://mcgill.on.worldcat.org/oclc/37762956","Catalog Record")</f>
        <v>Catalog Record</v>
      </c>
      <c r="AW4611" s="6" t="str">
        <f>HYPERLINK("http://www.worldcat.org/oclc/37762956","WorldCat Record")</f>
        <v>WorldCat Record</v>
      </c>
      <c r="AX4611" s="3" t="s">
        <v>44508</v>
      </c>
      <c r="AY4611" s="3" t="s">
        <v>44509</v>
      </c>
      <c r="AZ4611" s="3" t="s">
        <v>44510</v>
      </c>
      <c r="BA4611" s="3" t="s">
        <v>44510</v>
      </c>
      <c r="BB4611" s="3" t="s">
        <v>44511</v>
      </c>
      <c r="BC4611" s="3" t="s">
        <v>102</v>
      </c>
      <c r="BD4611" s="3" t="s">
        <v>68</v>
      </c>
      <c r="BF4611" s="3" t="s">
        <v>44511</v>
      </c>
      <c r="BG4611" s="3" t="s">
        <v>44512</v>
      </c>
    </row>
    <row r="4612" spans="1:59" ht="58" x14ac:dyDescent="0.35">
      <c r="A4612" s="2" t="s">
        <v>59</v>
      </c>
      <c r="B4612" s="2" t="s">
        <v>60</v>
      </c>
      <c r="C4612" s="2" t="s">
        <v>44513</v>
      </c>
      <c r="D4612" s="2" t="s">
        <v>44514</v>
      </c>
      <c r="E4612" s="2" t="s">
        <v>44515</v>
      </c>
      <c r="G4612" s="3" t="s">
        <v>62</v>
      </c>
      <c r="I4612" s="3" t="s">
        <v>62</v>
      </c>
      <c r="J4612" s="3" t="s">
        <v>62</v>
      </c>
      <c r="K4612" s="3" t="s">
        <v>63</v>
      </c>
      <c r="L4612" s="2" t="s">
        <v>44516</v>
      </c>
      <c r="M4612" s="2" t="s">
        <v>44517</v>
      </c>
      <c r="N4612" s="3" t="s">
        <v>157</v>
      </c>
      <c r="P4612" s="3" t="s">
        <v>64</v>
      </c>
      <c r="Q4612" s="2" t="s">
        <v>44518</v>
      </c>
      <c r="R4612" s="3" t="s">
        <v>42369</v>
      </c>
      <c r="S4612" s="4">
        <v>2</v>
      </c>
      <c r="T4612" s="4">
        <v>2</v>
      </c>
      <c r="U4612" s="5" t="s">
        <v>21333</v>
      </c>
      <c r="V4612" s="5" t="s">
        <v>21333</v>
      </c>
      <c r="W4612" s="5" t="s">
        <v>67</v>
      </c>
      <c r="X4612" s="5" t="s">
        <v>67</v>
      </c>
      <c r="Y4612" s="4">
        <v>130</v>
      </c>
      <c r="Z4612" s="4">
        <v>11</v>
      </c>
      <c r="AA4612" s="4">
        <v>11</v>
      </c>
      <c r="AB4612" s="4">
        <v>1</v>
      </c>
      <c r="AC4612" s="4">
        <v>1</v>
      </c>
      <c r="AD4612" s="4">
        <v>47</v>
      </c>
      <c r="AE4612" s="4">
        <v>47</v>
      </c>
      <c r="AF4612" s="4">
        <v>0</v>
      </c>
      <c r="AG4612" s="4">
        <v>0</v>
      </c>
      <c r="AH4612" s="4">
        <v>41</v>
      </c>
      <c r="AI4612" s="4">
        <v>41</v>
      </c>
      <c r="AJ4612" s="4">
        <v>8</v>
      </c>
      <c r="AK4612" s="4">
        <v>8</v>
      </c>
      <c r="AL4612" s="4">
        <v>25</v>
      </c>
      <c r="AM4612" s="4">
        <v>25</v>
      </c>
      <c r="AN4612" s="4">
        <v>0</v>
      </c>
      <c r="AO4612" s="4">
        <v>0</v>
      </c>
      <c r="AP4612" s="4">
        <v>8</v>
      </c>
      <c r="AQ4612" s="4">
        <v>8</v>
      </c>
      <c r="AR4612" s="3" t="s">
        <v>62</v>
      </c>
      <c r="AS4612" s="3" t="s">
        <v>62</v>
      </c>
      <c r="AT4612" s="3" t="s">
        <v>62</v>
      </c>
      <c r="AV4612" s="6" t="str">
        <f>HYPERLINK("http://mcgill.on.worldcat.org/oclc/1120216","Catalog Record")</f>
        <v>Catalog Record</v>
      </c>
      <c r="AW4612" s="6" t="str">
        <f>HYPERLINK("http://www.worldcat.org/oclc/1120216","WorldCat Record")</f>
        <v>WorldCat Record</v>
      </c>
      <c r="AX4612" s="3" t="s">
        <v>44519</v>
      </c>
      <c r="AY4612" s="3" t="s">
        <v>44520</v>
      </c>
      <c r="AZ4612" s="3" t="s">
        <v>44521</v>
      </c>
      <c r="BA4612" s="3" t="s">
        <v>44521</v>
      </c>
      <c r="BB4612" s="3" t="s">
        <v>44522</v>
      </c>
      <c r="BC4612" s="3" t="s">
        <v>102</v>
      </c>
      <c r="BD4612" s="3" t="s">
        <v>68</v>
      </c>
      <c r="BE4612" s="3" t="s">
        <v>44523</v>
      </c>
      <c r="BF4612" s="3" t="s">
        <v>44522</v>
      </c>
      <c r="BG4612" s="3" t="s">
        <v>44524</v>
      </c>
    </row>
    <row r="4613" spans="1:59" ht="72.5" x14ac:dyDescent="0.35">
      <c r="A4613" s="2" t="s">
        <v>59</v>
      </c>
      <c r="B4613" s="2" t="s">
        <v>60</v>
      </c>
      <c r="C4613" s="2" t="s">
        <v>44525</v>
      </c>
      <c r="D4613" s="2" t="s">
        <v>44526</v>
      </c>
      <c r="E4613" s="2" t="s">
        <v>44527</v>
      </c>
      <c r="G4613" s="3" t="s">
        <v>62</v>
      </c>
      <c r="I4613" s="3" t="s">
        <v>62</v>
      </c>
      <c r="J4613" s="3" t="s">
        <v>62</v>
      </c>
      <c r="K4613" s="3" t="s">
        <v>63</v>
      </c>
      <c r="M4613" s="2" t="s">
        <v>44528</v>
      </c>
      <c r="N4613" s="3" t="s">
        <v>396</v>
      </c>
      <c r="P4613" s="3" t="s">
        <v>64</v>
      </c>
      <c r="R4613" s="3" t="s">
        <v>42369</v>
      </c>
      <c r="S4613" s="4">
        <v>17</v>
      </c>
      <c r="T4613" s="4">
        <v>17</v>
      </c>
      <c r="U4613" s="5" t="s">
        <v>44209</v>
      </c>
      <c r="V4613" s="5" t="s">
        <v>44209</v>
      </c>
      <c r="W4613" s="5" t="s">
        <v>67</v>
      </c>
      <c r="X4613" s="5" t="s">
        <v>67</v>
      </c>
      <c r="Y4613" s="4">
        <v>285</v>
      </c>
      <c r="Z4613" s="4">
        <v>29</v>
      </c>
      <c r="AA4613" s="4">
        <v>34</v>
      </c>
      <c r="AB4613" s="4">
        <v>3</v>
      </c>
      <c r="AC4613" s="4">
        <v>6</v>
      </c>
      <c r="AD4613" s="4">
        <v>91</v>
      </c>
      <c r="AE4613" s="4">
        <v>94</v>
      </c>
      <c r="AF4613" s="4">
        <v>0</v>
      </c>
      <c r="AG4613" s="4">
        <v>2</v>
      </c>
      <c r="AH4613" s="4">
        <v>79</v>
      </c>
      <c r="AI4613" s="4">
        <v>80</v>
      </c>
      <c r="AJ4613" s="4">
        <v>15</v>
      </c>
      <c r="AK4613" s="4">
        <v>17</v>
      </c>
      <c r="AL4613" s="4">
        <v>41</v>
      </c>
      <c r="AM4613" s="4">
        <v>41</v>
      </c>
      <c r="AN4613" s="4">
        <v>0</v>
      </c>
      <c r="AO4613" s="4">
        <v>0</v>
      </c>
      <c r="AP4613" s="4">
        <v>18</v>
      </c>
      <c r="AQ4613" s="4">
        <v>20</v>
      </c>
      <c r="AR4613" s="3" t="s">
        <v>62</v>
      </c>
      <c r="AS4613" s="3" t="s">
        <v>62</v>
      </c>
      <c r="AT4613" s="3" t="s">
        <v>61</v>
      </c>
      <c r="AU4613" s="6" t="str">
        <f>HYPERLINK("http://catalog.hathitrust.org/Record/000664634","HathiTrust Record")</f>
        <v>HathiTrust Record</v>
      </c>
      <c r="AV4613" s="6" t="str">
        <f>HYPERLINK("http://mcgill.on.worldcat.org/oclc/11865625","Catalog Record")</f>
        <v>Catalog Record</v>
      </c>
      <c r="AW4613" s="6" t="str">
        <f>HYPERLINK("http://www.worldcat.org/oclc/11865625","WorldCat Record")</f>
        <v>WorldCat Record</v>
      </c>
      <c r="AX4613" s="3" t="s">
        <v>44529</v>
      </c>
      <c r="AY4613" s="3" t="s">
        <v>44530</v>
      </c>
      <c r="AZ4613" s="3" t="s">
        <v>44531</v>
      </c>
      <c r="BA4613" s="3" t="s">
        <v>44531</v>
      </c>
      <c r="BB4613" s="3" t="s">
        <v>44532</v>
      </c>
      <c r="BC4613" s="3" t="s">
        <v>102</v>
      </c>
      <c r="BD4613" s="3" t="s">
        <v>68</v>
      </c>
      <c r="BE4613" s="3" t="s">
        <v>44533</v>
      </c>
      <c r="BF4613" s="3" t="s">
        <v>44532</v>
      </c>
      <c r="BG4613" s="3" t="s">
        <v>44534</v>
      </c>
    </row>
    <row r="4614" spans="1:59" ht="58" x14ac:dyDescent="0.35">
      <c r="A4614" s="2" t="s">
        <v>59</v>
      </c>
      <c r="B4614" s="2" t="s">
        <v>60</v>
      </c>
      <c r="C4614" s="2" t="s">
        <v>44535</v>
      </c>
      <c r="D4614" s="2" t="s">
        <v>44536</v>
      </c>
      <c r="E4614" s="2" t="s">
        <v>44537</v>
      </c>
      <c r="G4614" s="3" t="s">
        <v>62</v>
      </c>
      <c r="I4614" s="3" t="s">
        <v>62</v>
      </c>
      <c r="J4614" s="3" t="s">
        <v>62</v>
      </c>
      <c r="K4614" s="3" t="s">
        <v>63</v>
      </c>
      <c r="L4614" s="2" t="s">
        <v>44538</v>
      </c>
      <c r="M4614" s="2" t="s">
        <v>44539</v>
      </c>
      <c r="N4614" s="3" t="s">
        <v>285</v>
      </c>
      <c r="P4614" s="3" t="s">
        <v>64</v>
      </c>
      <c r="Q4614" s="2" t="s">
        <v>44540</v>
      </c>
      <c r="R4614" s="3" t="s">
        <v>42369</v>
      </c>
      <c r="S4614" s="4">
        <v>3</v>
      </c>
      <c r="T4614" s="4">
        <v>3</v>
      </c>
      <c r="U4614" s="5" t="s">
        <v>36254</v>
      </c>
      <c r="V4614" s="5" t="s">
        <v>36254</v>
      </c>
      <c r="W4614" s="5" t="s">
        <v>67</v>
      </c>
      <c r="X4614" s="5" t="s">
        <v>67</v>
      </c>
      <c r="Y4614" s="4">
        <v>98</v>
      </c>
      <c r="Z4614" s="4">
        <v>30</v>
      </c>
      <c r="AA4614" s="4">
        <v>44</v>
      </c>
      <c r="AB4614" s="4">
        <v>3</v>
      </c>
      <c r="AC4614" s="4">
        <v>5</v>
      </c>
      <c r="AD4614" s="4">
        <v>41</v>
      </c>
      <c r="AE4614" s="4">
        <v>48</v>
      </c>
      <c r="AF4614" s="4">
        <v>0</v>
      </c>
      <c r="AG4614" s="4">
        <v>1</v>
      </c>
      <c r="AH4614" s="4">
        <v>30</v>
      </c>
      <c r="AI4614" s="4">
        <v>34</v>
      </c>
      <c r="AJ4614" s="4">
        <v>9</v>
      </c>
      <c r="AK4614" s="4">
        <v>15</v>
      </c>
      <c r="AL4614" s="4">
        <v>15</v>
      </c>
      <c r="AM4614" s="4">
        <v>15</v>
      </c>
      <c r="AN4614" s="4">
        <v>0</v>
      </c>
      <c r="AO4614" s="4">
        <v>0</v>
      </c>
      <c r="AP4614" s="4">
        <v>16</v>
      </c>
      <c r="AQ4614" s="4">
        <v>22</v>
      </c>
      <c r="AR4614" s="3" t="s">
        <v>61</v>
      </c>
      <c r="AS4614" s="3" t="s">
        <v>62</v>
      </c>
      <c r="AT4614" s="3" t="s">
        <v>62</v>
      </c>
      <c r="AV4614" s="6" t="str">
        <f>HYPERLINK("http://mcgill.on.worldcat.org/oclc/6859957","Catalog Record")</f>
        <v>Catalog Record</v>
      </c>
      <c r="AW4614" s="6" t="str">
        <f>HYPERLINK("http://www.worldcat.org/oclc/6859957","WorldCat Record")</f>
        <v>WorldCat Record</v>
      </c>
      <c r="AX4614" s="3" t="s">
        <v>44541</v>
      </c>
      <c r="AY4614" s="3" t="s">
        <v>44542</v>
      </c>
      <c r="AZ4614" s="3" t="s">
        <v>44543</v>
      </c>
      <c r="BA4614" s="3" t="s">
        <v>44543</v>
      </c>
      <c r="BB4614" s="3" t="s">
        <v>44544</v>
      </c>
      <c r="BC4614" s="3" t="s">
        <v>102</v>
      </c>
      <c r="BD4614" s="3" t="s">
        <v>68</v>
      </c>
      <c r="BE4614" s="3" t="s">
        <v>44545</v>
      </c>
      <c r="BF4614" s="3" t="s">
        <v>44544</v>
      </c>
      <c r="BG4614" s="3" t="s">
        <v>44546</v>
      </c>
    </row>
    <row r="4615" spans="1:59" ht="58" x14ac:dyDescent="0.35">
      <c r="A4615" s="2" t="s">
        <v>59</v>
      </c>
      <c r="B4615" s="2" t="s">
        <v>60</v>
      </c>
      <c r="C4615" s="2" t="s">
        <v>44547</v>
      </c>
      <c r="D4615" s="2" t="s">
        <v>44548</v>
      </c>
      <c r="E4615" s="2" t="s">
        <v>44549</v>
      </c>
      <c r="G4615" s="3" t="s">
        <v>62</v>
      </c>
      <c r="I4615" s="3" t="s">
        <v>62</v>
      </c>
      <c r="J4615" s="3" t="s">
        <v>62</v>
      </c>
      <c r="K4615" s="3" t="s">
        <v>63</v>
      </c>
      <c r="L4615" s="2" t="s">
        <v>44550</v>
      </c>
      <c r="M4615" s="2" t="s">
        <v>44551</v>
      </c>
      <c r="N4615" s="3" t="s">
        <v>95</v>
      </c>
      <c r="P4615" s="3" t="s">
        <v>64</v>
      </c>
      <c r="Q4615" s="2" t="s">
        <v>44552</v>
      </c>
      <c r="R4615" s="3" t="s">
        <v>42369</v>
      </c>
      <c r="S4615" s="4">
        <v>9</v>
      </c>
      <c r="T4615" s="4">
        <v>9</v>
      </c>
      <c r="U4615" s="5" t="s">
        <v>32047</v>
      </c>
      <c r="V4615" s="5" t="s">
        <v>32047</v>
      </c>
      <c r="W4615" s="5" t="s">
        <v>67</v>
      </c>
      <c r="X4615" s="5" t="s">
        <v>67</v>
      </c>
      <c r="Y4615" s="4">
        <v>193</v>
      </c>
      <c r="Z4615" s="4">
        <v>51</v>
      </c>
      <c r="AA4615" s="4">
        <v>51</v>
      </c>
      <c r="AB4615" s="4">
        <v>4</v>
      </c>
      <c r="AC4615" s="4">
        <v>4</v>
      </c>
      <c r="AD4615" s="4">
        <v>72</v>
      </c>
      <c r="AE4615" s="4">
        <v>72</v>
      </c>
      <c r="AF4615" s="4">
        <v>0</v>
      </c>
      <c r="AG4615" s="4">
        <v>0</v>
      </c>
      <c r="AH4615" s="4">
        <v>50</v>
      </c>
      <c r="AI4615" s="4">
        <v>50</v>
      </c>
      <c r="AJ4615" s="4">
        <v>14</v>
      </c>
      <c r="AK4615" s="4">
        <v>14</v>
      </c>
      <c r="AL4615" s="4">
        <v>31</v>
      </c>
      <c r="AM4615" s="4">
        <v>31</v>
      </c>
      <c r="AN4615" s="4">
        <v>0</v>
      </c>
      <c r="AO4615" s="4">
        <v>0</v>
      </c>
      <c r="AP4615" s="4">
        <v>28</v>
      </c>
      <c r="AQ4615" s="4">
        <v>28</v>
      </c>
      <c r="AR4615" s="3" t="s">
        <v>61</v>
      </c>
      <c r="AS4615" s="3" t="s">
        <v>62</v>
      </c>
      <c r="AT4615" s="3" t="s">
        <v>61</v>
      </c>
      <c r="AU4615" s="6" t="str">
        <f>HYPERLINK("http://catalog.hathitrust.org/Record/000147426","HathiTrust Record")</f>
        <v>HathiTrust Record</v>
      </c>
      <c r="AV4615" s="6" t="str">
        <f>HYPERLINK("http://mcgill.on.worldcat.org/oclc/10459223","Catalog Record")</f>
        <v>Catalog Record</v>
      </c>
      <c r="AW4615" s="6" t="str">
        <f>HYPERLINK("http://www.worldcat.org/oclc/10459223","WorldCat Record")</f>
        <v>WorldCat Record</v>
      </c>
      <c r="AX4615" s="3" t="s">
        <v>44553</v>
      </c>
      <c r="AY4615" s="3" t="s">
        <v>44554</v>
      </c>
      <c r="AZ4615" s="3" t="s">
        <v>44555</v>
      </c>
      <c r="BA4615" s="3" t="s">
        <v>44555</v>
      </c>
      <c r="BB4615" s="3" t="s">
        <v>44556</v>
      </c>
      <c r="BC4615" s="3" t="s">
        <v>102</v>
      </c>
      <c r="BD4615" s="3" t="s">
        <v>68</v>
      </c>
      <c r="BE4615" s="3" t="s">
        <v>44557</v>
      </c>
      <c r="BF4615" s="3" t="s">
        <v>44556</v>
      </c>
      <c r="BG4615" s="3" t="s">
        <v>44558</v>
      </c>
    </row>
    <row r="4616" spans="1:59" ht="58" x14ac:dyDescent="0.35">
      <c r="A4616" s="2" t="s">
        <v>59</v>
      </c>
      <c r="B4616" s="2" t="s">
        <v>60</v>
      </c>
      <c r="C4616" s="2" t="s">
        <v>44559</v>
      </c>
      <c r="D4616" s="2" t="s">
        <v>44560</v>
      </c>
      <c r="E4616" s="2" t="s">
        <v>44561</v>
      </c>
      <c r="G4616" s="3" t="s">
        <v>62</v>
      </c>
      <c r="I4616" s="3" t="s">
        <v>62</v>
      </c>
      <c r="J4616" s="3" t="s">
        <v>62</v>
      </c>
      <c r="K4616" s="3" t="s">
        <v>63</v>
      </c>
      <c r="M4616" s="2" t="s">
        <v>44562</v>
      </c>
      <c r="N4616" s="3" t="s">
        <v>1077</v>
      </c>
      <c r="P4616" s="3" t="s">
        <v>64</v>
      </c>
      <c r="Q4616" s="2" t="s">
        <v>44563</v>
      </c>
      <c r="R4616" s="3" t="s">
        <v>42369</v>
      </c>
      <c r="S4616" s="4">
        <v>6</v>
      </c>
      <c r="T4616" s="4">
        <v>6</v>
      </c>
      <c r="U4616" s="5" t="s">
        <v>42266</v>
      </c>
      <c r="V4616" s="5" t="s">
        <v>42266</v>
      </c>
      <c r="W4616" s="5" t="s">
        <v>67</v>
      </c>
      <c r="X4616" s="5" t="s">
        <v>67</v>
      </c>
      <c r="Y4616" s="4">
        <v>100</v>
      </c>
      <c r="Z4616" s="4">
        <v>38</v>
      </c>
      <c r="AA4616" s="4">
        <v>40</v>
      </c>
      <c r="AB4616" s="4">
        <v>3</v>
      </c>
      <c r="AC4616" s="4">
        <v>5</v>
      </c>
      <c r="AD4616" s="4">
        <v>40</v>
      </c>
      <c r="AE4616" s="4">
        <v>41</v>
      </c>
      <c r="AF4616" s="4">
        <v>0</v>
      </c>
      <c r="AG4616" s="4">
        <v>1</v>
      </c>
      <c r="AH4616" s="4">
        <v>28</v>
      </c>
      <c r="AI4616" s="4">
        <v>29</v>
      </c>
      <c r="AJ4616" s="4">
        <v>12</v>
      </c>
      <c r="AK4616" s="4">
        <v>13</v>
      </c>
      <c r="AL4616" s="4">
        <v>15</v>
      </c>
      <c r="AM4616" s="4">
        <v>15</v>
      </c>
      <c r="AN4616" s="4">
        <v>0</v>
      </c>
      <c r="AO4616" s="4">
        <v>0</v>
      </c>
      <c r="AP4616" s="4">
        <v>18</v>
      </c>
      <c r="AQ4616" s="4">
        <v>19</v>
      </c>
      <c r="AR4616" s="3" t="s">
        <v>61</v>
      </c>
      <c r="AS4616" s="3" t="s">
        <v>62</v>
      </c>
      <c r="AT4616" s="3" t="s">
        <v>61</v>
      </c>
      <c r="AU4616" s="6" t="str">
        <f>HYPERLINK("http://catalog.hathitrust.org/Record/007476415","HathiTrust Record")</f>
        <v>HathiTrust Record</v>
      </c>
      <c r="AV4616" s="6" t="str">
        <f>HYPERLINK("http://mcgill.on.worldcat.org/oclc/28850316","Catalog Record")</f>
        <v>Catalog Record</v>
      </c>
      <c r="AW4616" s="6" t="str">
        <f>HYPERLINK("http://www.worldcat.org/oclc/28850316","WorldCat Record")</f>
        <v>WorldCat Record</v>
      </c>
      <c r="AX4616" s="3" t="s">
        <v>44564</v>
      </c>
      <c r="AY4616" s="3" t="s">
        <v>44565</v>
      </c>
      <c r="AZ4616" s="3" t="s">
        <v>44566</v>
      </c>
      <c r="BA4616" s="3" t="s">
        <v>44566</v>
      </c>
      <c r="BB4616" s="3" t="s">
        <v>44567</v>
      </c>
      <c r="BC4616" s="3" t="s">
        <v>102</v>
      </c>
      <c r="BD4616" s="3" t="s">
        <v>68</v>
      </c>
      <c r="BE4616" s="3" t="s">
        <v>44568</v>
      </c>
      <c r="BF4616" s="3" t="s">
        <v>44567</v>
      </c>
      <c r="BG4616" s="3" t="s">
        <v>44569</v>
      </c>
    </row>
    <row r="4617" spans="1:59" ht="58" x14ac:dyDescent="0.35">
      <c r="A4617" s="2" t="s">
        <v>59</v>
      </c>
      <c r="B4617" s="2" t="s">
        <v>60</v>
      </c>
      <c r="C4617" s="2" t="s">
        <v>44570</v>
      </c>
      <c r="D4617" s="2" t="s">
        <v>44571</v>
      </c>
      <c r="E4617" s="2" t="s">
        <v>44572</v>
      </c>
      <c r="G4617" s="3" t="s">
        <v>62</v>
      </c>
      <c r="I4617" s="3" t="s">
        <v>62</v>
      </c>
      <c r="J4617" s="3" t="s">
        <v>62</v>
      </c>
      <c r="K4617" s="3" t="s">
        <v>63</v>
      </c>
      <c r="L4617" s="2" t="s">
        <v>44573</v>
      </c>
      <c r="M4617" s="2" t="s">
        <v>44574</v>
      </c>
      <c r="N4617" s="3" t="s">
        <v>1905</v>
      </c>
      <c r="P4617" s="3" t="s">
        <v>64</v>
      </c>
      <c r="R4617" s="3" t="s">
        <v>42369</v>
      </c>
      <c r="S4617" s="4">
        <v>7</v>
      </c>
      <c r="T4617" s="4">
        <v>7</v>
      </c>
      <c r="U4617" s="5" t="s">
        <v>32040</v>
      </c>
      <c r="V4617" s="5" t="s">
        <v>32040</v>
      </c>
      <c r="W4617" s="5" t="s">
        <v>67</v>
      </c>
      <c r="X4617" s="5" t="s">
        <v>67</v>
      </c>
      <c r="Y4617" s="4">
        <v>136</v>
      </c>
      <c r="Z4617" s="4">
        <v>17</v>
      </c>
      <c r="AA4617" s="4">
        <v>19</v>
      </c>
      <c r="AB4617" s="4">
        <v>3</v>
      </c>
      <c r="AC4617" s="4">
        <v>4</v>
      </c>
      <c r="AD4617" s="4">
        <v>43</v>
      </c>
      <c r="AE4617" s="4">
        <v>44</v>
      </c>
      <c r="AF4617" s="4">
        <v>1</v>
      </c>
      <c r="AG4617" s="4">
        <v>1</v>
      </c>
      <c r="AH4617" s="4">
        <v>38</v>
      </c>
      <c r="AI4617" s="4">
        <v>38</v>
      </c>
      <c r="AJ4617" s="4">
        <v>9</v>
      </c>
      <c r="AK4617" s="4">
        <v>9</v>
      </c>
      <c r="AL4617" s="4">
        <v>20</v>
      </c>
      <c r="AM4617" s="4">
        <v>20</v>
      </c>
      <c r="AN4617" s="4">
        <v>0</v>
      </c>
      <c r="AO4617" s="4">
        <v>0</v>
      </c>
      <c r="AP4617" s="4">
        <v>11</v>
      </c>
      <c r="AQ4617" s="4">
        <v>12</v>
      </c>
      <c r="AR4617" s="3" t="s">
        <v>62</v>
      </c>
      <c r="AS4617" s="3" t="s">
        <v>62</v>
      </c>
      <c r="AT4617" s="3" t="s">
        <v>61</v>
      </c>
      <c r="AU4617" s="6" t="str">
        <f>HYPERLINK("http://catalog.hathitrust.org/Record/002454690","HathiTrust Record")</f>
        <v>HathiTrust Record</v>
      </c>
      <c r="AV4617" s="6" t="str">
        <f>HYPERLINK("http://mcgill.on.worldcat.org/oclc/16681156","Catalog Record")</f>
        <v>Catalog Record</v>
      </c>
      <c r="AW4617" s="6" t="str">
        <f>HYPERLINK("http://www.worldcat.org/oclc/16681156","WorldCat Record")</f>
        <v>WorldCat Record</v>
      </c>
      <c r="AX4617" s="3" t="s">
        <v>44575</v>
      </c>
      <c r="AY4617" s="3" t="s">
        <v>44576</v>
      </c>
      <c r="AZ4617" s="3" t="s">
        <v>44577</v>
      </c>
      <c r="BA4617" s="3" t="s">
        <v>44577</v>
      </c>
      <c r="BB4617" s="3" t="s">
        <v>44578</v>
      </c>
      <c r="BC4617" s="3" t="s">
        <v>102</v>
      </c>
      <c r="BD4617" s="3" t="s">
        <v>68</v>
      </c>
      <c r="BE4617" s="3" t="s">
        <v>44579</v>
      </c>
      <c r="BF4617" s="3" t="s">
        <v>44578</v>
      </c>
      <c r="BG4617" s="3" t="s">
        <v>44580</v>
      </c>
    </row>
    <row r="4618" spans="1:59" ht="58" x14ac:dyDescent="0.35">
      <c r="A4618" s="2" t="s">
        <v>59</v>
      </c>
      <c r="B4618" s="2" t="s">
        <v>60</v>
      </c>
      <c r="C4618" s="2" t="s">
        <v>44581</v>
      </c>
      <c r="D4618" s="2" t="s">
        <v>44582</v>
      </c>
      <c r="E4618" s="2" t="s">
        <v>44583</v>
      </c>
      <c r="G4618" s="3" t="s">
        <v>62</v>
      </c>
      <c r="I4618" s="3" t="s">
        <v>61</v>
      </c>
      <c r="J4618" s="3" t="s">
        <v>62</v>
      </c>
      <c r="K4618" s="3" t="s">
        <v>63</v>
      </c>
      <c r="L4618" s="2" t="s">
        <v>44584</v>
      </c>
      <c r="M4618" s="2" t="s">
        <v>44585</v>
      </c>
      <c r="N4618" s="3" t="s">
        <v>1264</v>
      </c>
      <c r="P4618" s="3" t="s">
        <v>64</v>
      </c>
      <c r="R4618" s="3" t="s">
        <v>42369</v>
      </c>
      <c r="S4618" s="4">
        <v>0</v>
      </c>
      <c r="T4618" s="4">
        <v>8</v>
      </c>
      <c r="V4618" s="5" t="s">
        <v>44586</v>
      </c>
      <c r="W4618" s="5" t="s">
        <v>67</v>
      </c>
      <c r="X4618" s="5" t="s">
        <v>67</v>
      </c>
      <c r="Y4618" s="4">
        <v>21</v>
      </c>
      <c r="Z4618" s="4">
        <v>3</v>
      </c>
      <c r="AA4618" s="4">
        <v>3</v>
      </c>
      <c r="AB4618" s="4">
        <v>2</v>
      </c>
      <c r="AC4618" s="4">
        <v>2</v>
      </c>
      <c r="AD4618" s="4">
        <v>6</v>
      </c>
      <c r="AE4618" s="4">
        <v>6</v>
      </c>
      <c r="AF4618" s="4">
        <v>0</v>
      </c>
      <c r="AG4618" s="4">
        <v>0</v>
      </c>
      <c r="AH4618" s="4">
        <v>5</v>
      </c>
      <c r="AI4618" s="4">
        <v>5</v>
      </c>
      <c r="AJ4618" s="4">
        <v>1</v>
      </c>
      <c r="AK4618" s="4">
        <v>1</v>
      </c>
      <c r="AL4618" s="4">
        <v>2</v>
      </c>
      <c r="AM4618" s="4">
        <v>2</v>
      </c>
      <c r="AN4618" s="4">
        <v>0</v>
      </c>
      <c r="AO4618" s="4">
        <v>0</v>
      </c>
      <c r="AP4618" s="4">
        <v>1</v>
      </c>
      <c r="AQ4618" s="4">
        <v>1</v>
      </c>
      <c r="AR4618" s="3" t="s">
        <v>62</v>
      </c>
      <c r="AS4618" s="3" t="s">
        <v>62</v>
      </c>
      <c r="AT4618" s="3" t="s">
        <v>62</v>
      </c>
      <c r="AV4618" s="6" t="str">
        <f>HYPERLINK("http://mcgill.on.worldcat.org/oclc/7930046","Catalog Record")</f>
        <v>Catalog Record</v>
      </c>
      <c r="AW4618" s="6" t="str">
        <f>HYPERLINK("http://www.worldcat.org/oclc/7930046","WorldCat Record")</f>
        <v>WorldCat Record</v>
      </c>
      <c r="AX4618" s="3" t="s">
        <v>44587</v>
      </c>
      <c r="AY4618" s="3" t="s">
        <v>44588</v>
      </c>
      <c r="AZ4618" s="3" t="s">
        <v>44589</v>
      </c>
      <c r="BA4618" s="3" t="s">
        <v>44589</v>
      </c>
      <c r="BB4618" s="3" t="s">
        <v>44590</v>
      </c>
      <c r="BC4618" s="3" t="s">
        <v>102</v>
      </c>
      <c r="BD4618" s="3" t="s">
        <v>68</v>
      </c>
      <c r="BF4618" s="3" t="s">
        <v>44590</v>
      </c>
      <c r="BG4618" s="3" t="s">
        <v>44591</v>
      </c>
    </row>
    <row r="4619" spans="1:59" ht="58" x14ac:dyDescent="0.35">
      <c r="A4619" s="2" t="s">
        <v>59</v>
      </c>
      <c r="B4619" s="2" t="s">
        <v>60</v>
      </c>
      <c r="C4619" s="2" t="s">
        <v>44592</v>
      </c>
      <c r="D4619" s="2" t="s">
        <v>44593</v>
      </c>
      <c r="E4619" s="2" t="s">
        <v>44594</v>
      </c>
      <c r="G4619" s="3" t="s">
        <v>62</v>
      </c>
      <c r="I4619" s="3" t="s">
        <v>62</v>
      </c>
      <c r="J4619" s="3" t="s">
        <v>62</v>
      </c>
      <c r="K4619" s="3" t="s">
        <v>63</v>
      </c>
      <c r="L4619" s="2" t="s">
        <v>44595</v>
      </c>
      <c r="M4619" s="2" t="s">
        <v>44596</v>
      </c>
      <c r="N4619" s="3" t="s">
        <v>186</v>
      </c>
      <c r="P4619" s="3" t="s">
        <v>64</v>
      </c>
      <c r="R4619" s="3" t="s">
        <v>42369</v>
      </c>
      <c r="S4619" s="4">
        <v>1</v>
      </c>
      <c r="T4619" s="4">
        <v>1</v>
      </c>
      <c r="U4619" s="5" t="s">
        <v>8039</v>
      </c>
      <c r="V4619" s="5" t="s">
        <v>8039</v>
      </c>
      <c r="W4619" s="5" t="s">
        <v>67</v>
      </c>
      <c r="X4619" s="5" t="s">
        <v>67</v>
      </c>
      <c r="Y4619" s="4">
        <v>175</v>
      </c>
      <c r="Z4619" s="4">
        <v>12</v>
      </c>
      <c r="AA4619" s="4">
        <v>14</v>
      </c>
      <c r="AB4619" s="4">
        <v>1</v>
      </c>
      <c r="AC4619" s="4">
        <v>3</v>
      </c>
      <c r="AD4619" s="4">
        <v>48</v>
      </c>
      <c r="AE4619" s="4">
        <v>48</v>
      </c>
      <c r="AF4619" s="4">
        <v>0</v>
      </c>
      <c r="AG4619" s="4">
        <v>0</v>
      </c>
      <c r="AH4619" s="4">
        <v>41</v>
      </c>
      <c r="AI4619" s="4">
        <v>41</v>
      </c>
      <c r="AJ4619" s="4">
        <v>9</v>
      </c>
      <c r="AK4619" s="4">
        <v>9</v>
      </c>
      <c r="AL4619" s="4">
        <v>22</v>
      </c>
      <c r="AM4619" s="4">
        <v>22</v>
      </c>
      <c r="AN4619" s="4">
        <v>2</v>
      </c>
      <c r="AO4619" s="4">
        <v>2</v>
      </c>
      <c r="AP4619" s="4">
        <v>8</v>
      </c>
      <c r="AQ4619" s="4">
        <v>8</v>
      </c>
      <c r="AR4619" s="3" t="s">
        <v>62</v>
      </c>
      <c r="AS4619" s="3" t="s">
        <v>62</v>
      </c>
      <c r="AT4619" s="3" t="s">
        <v>61</v>
      </c>
      <c r="AU4619" s="6" t="str">
        <f>HYPERLINK("http://catalog.hathitrust.org/Record/000709274","HathiTrust Record")</f>
        <v>HathiTrust Record</v>
      </c>
      <c r="AV4619" s="6" t="str">
        <f>HYPERLINK("http://mcgill.on.worldcat.org/oclc/1958561","Catalog Record")</f>
        <v>Catalog Record</v>
      </c>
      <c r="AW4619" s="6" t="str">
        <f>HYPERLINK("http://www.worldcat.org/oclc/1958561","WorldCat Record")</f>
        <v>WorldCat Record</v>
      </c>
      <c r="AX4619" s="3" t="s">
        <v>44597</v>
      </c>
      <c r="AY4619" s="3" t="s">
        <v>44598</v>
      </c>
      <c r="AZ4619" s="3" t="s">
        <v>44599</v>
      </c>
      <c r="BA4619" s="3" t="s">
        <v>44599</v>
      </c>
      <c r="BB4619" s="3" t="s">
        <v>44600</v>
      </c>
      <c r="BC4619" s="3" t="s">
        <v>102</v>
      </c>
      <c r="BD4619" s="3" t="s">
        <v>68</v>
      </c>
      <c r="BE4619" s="3" t="s">
        <v>44601</v>
      </c>
      <c r="BF4619" s="3" t="s">
        <v>44600</v>
      </c>
      <c r="BG4619" s="3" t="s">
        <v>44602</v>
      </c>
    </row>
    <row r="4620" spans="1:59" ht="58" x14ac:dyDescent="0.35">
      <c r="A4620" s="2" t="s">
        <v>89</v>
      </c>
      <c r="B4620" s="2" t="s">
        <v>90</v>
      </c>
      <c r="C4620" s="2" t="s">
        <v>44603</v>
      </c>
      <c r="D4620" s="2" t="s">
        <v>44604</v>
      </c>
      <c r="E4620" s="2" t="s">
        <v>44605</v>
      </c>
      <c r="G4620" s="3" t="s">
        <v>62</v>
      </c>
      <c r="I4620" s="3" t="s">
        <v>62</v>
      </c>
      <c r="J4620" s="3" t="s">
        <v>62</v>
      </c>
      <c r="K4620" s="3" t="s">
        <v>63</v>
      </c>
      <c r="L4620" s="2" t="s">
        <v>44606</v>
      </c>
      <c r="M4620" s="2" t="s">
        <v>44607</v>
      </c>
      <c r="N4620" s="3" t="s">
        <v>712</v>
      </c>
      <c r="O4620" s="2" t="s">
        <v>35432</v>
      </c>
      <c r="P4620" s="3" t="s">
        <v>64</v>
      </c>
      <c r="R4620" s="3" t="s">
        <v>42369</v>
      </c>
      <c r="S4620" s="4">
        <v>0</v>
      </c>
      <c r="T4620" s="4">
        <v>0</v>
      </c>
      <c r="W4620" s="5" t="s">
        <v>67</v>
      </c>
      <c r="X4620" s="5" t="s">
        <v>67</v>
      </c>
      <c r="Y4620" s="4">
        <v>907</v>
      </c>
      <c r="Z4620" s="4">
        <v>37</v>
      </c>
      <c r="AA4620" s="4">
        <v>43</v>
      </c>
      <c r="AB4620" s="4">
        <v>4</v>
      </c>
      <c r="AC4620" s="4">
        <v>6</v>
      </c>
      <c r="AD4620" s="4">
        <v>82</v>
      </c>
      <c r="AE4620" s="4">
        <v>85</v>
      </c>
      <c r="AF4620" s="4">
        <v>2</v>
      </c>
      <c r="AG4620" s="4">
        <v>2</v>
      </c>
      <c r="AH4620" s="4">
        <v>72</v>
      </c>
      <c r="AI4620" s="4">
        <v>74</v>
      </c>
      <c r="AJ4620" s="4">
        <v>7</v>
      </c>
      <c r="AK4620" s="4">
        <v>9</v>
      </c>
      <c r="AL4620" s="4">
        <v>42</v>
      </c>
      <c r="AM4620" s="4">
        <v>42</v>
      </c>
      <c r="AN4620" s="4">
        <v>0</v>
      </c>
      <c r="AO4620" s="4">
        <v>0</v>
      </c>
      <c r="AP4620" s="4">
        <v>13</v>
      </c>
      <c r="AQ4620" s="4">
        <v>15</v>
      </c>
      <c r="AR4620" s="3" t="s">
        <v>62</v>
      </c>
      <c r="AS4620" s="3" t="s">
        <v>62</v>
      </c>
      <c r="AT4620" s="3" t="s">
        <v>62</v>
      </c>
      <c r="AV4620" s="6" t="str">
        <f>HYPERLINK("http://mcgill.on.worldcat.org/oclc/849210339","Catalog Record")</f>
        <v>Catalog Record</v>
      </c>
      <c r="AW4620" s="6" t="str">
        <f>HYPERLINK("http://www.worldcat.org/oclc/849210339","WorldCat Record")</f>
        <v>WorldCat Record</v>
      </c>
      <c r="AX4620" s="3" t="s">
        <v>44608</v>
      </c>
      <c r="AY4620" s="3" t="s">
        <v>44609</v>
      </c>
      <c r="AZ4620" s="3" t="s">
        <v>44610</v>
      </c>
      <c r="BA4620" s="3" t="s">
        <v>44610</v>
      </c>
      <c r="BB4620" s="3" t="s">
        <v>44611</v>
      </c>
      <c r="BC4620" s="3" t="s">
        <v>102</v>
      </c>
      <c r="BD4620" s="3" t="s">
        <v>68</v>
      </c>
      <c r="BE4620" s="3" t="s">
        <v>44612</v>
      </c>
      <c r="BF4620" s="3" t="s">
        <v>44611</v>
      </c>
      <c r="BG4620" s="3" t="s">
        <v>44613</v>
      </c>
    </row>
    <row r="4621" spans="1:59" ht="58" x14ac:dyDescent="0.35">
      <c r="A4621" s="2" t="s">
        <v>59</v>
      </c>
      <c r="B4621" s="2" t="s">
        <v>60</v>
      </c>
      <c r="C4621" s="2" t="s">
        <v>44614</v>
      </c>
      <c r="D4621" s="2" t="s">
        <v>44615</v>
      </c>
      <c r="E4621" s="2" t="s">
        <v>44616</v>
      </c>
      <c r="G4621" s="3" t="s">
        <v>62</v>
      </c>
      <c r="I4621" s="3" t="s">
        <v>62</v>
      </c>
      <c r="J4621" s="3" t="s">
        <v>62</v>
      </c>
      <c r="K4621" s="3" t="s">
        <v>63</v>
      </c>
      <c r="L4621" s="2" t="s">
        <v>44617</v>
      </c>
      <c r="M4621" s="2" t="s">
        <v>44618</v>
      </c>
      <c r="N4621" s="3" t="s">
        <v>893</v>
      </c>
      <c r="P4621" s="3" t="s">
        <v>64</v>
      </c>
      <c r="R4621" s="3" t="s">
        <v>42369</v>
      </c>
      <c r="S4621" s="4">
        <v>1</v>
      </c>
      <c r="T4621" s="4">
        <v>1</v>
      </c>
      <c r="U4621" s="5" t="s">
        <v>34060</v>
      </c>
      <c r="V4621" s="5" t="s">
        <v>34060</v>
      </c>
      <c r="W4621" s="5" t="s">
        <v>67</v>
      </c>
      <c r="X4621" s="5" t="s">
        <v>67</v>
      </c>
      <c r="Y4621" s="4">
        <v>104</v>
      </c>
      <c r="Z4621" s="4">
        <v>1</v>
      </c>
      <c r="AA4621" s="4">
        <v>1</v>
      </c>
      <c r="AB4621" s="4">
        <v>1</v>
      </c>
      <c r="AC4621" s="4">
        <v>1</v>
      </c>
      <c r="AD4621" s="4">
        <v>16</v>
      </c>
      <c r="AE4621" s="4">
        <v>16</v>
      </c>
      <c r="AF4621" s="4">
        <v>0</v>
      </c>
      <c r="AG4621" s="4">
        <v>0</v>
      </c>
      <c r="AH4621" s="4">
        <v>16</v>
      </c>
      <c r="AI4621" s="4">
        <v>16</v>
      </c>
      <c r="AJ4621" s="4">
        <v>0</v>
      </c>
      <c r="AK4621" s="4">
        <v>0</v>
      </c>
      <c r="AL4621" s="4">
        <v>11</v>
      </c>
      <c r="AM4621" s="4">
        <v>11</v>
      </c>
      <c r="AN4621" s="4">
        <v>0</v>
      </c>
      <c r="AO4621" s="4">
        <v>0</v>
      </c>
      <c r="AP4621" s="4">
        <v>0</v>
      </c>
      <c r="AQ4621" s="4">
        <v>0</v>
      </c>
      <c r="AR4621" s="3" t="s">
        <v>62</v>
      </c>
      <c r="AS4621" s="3" t="s">
        <v>62</v>
      </c>
      <c r="AT4621" s="3" t="s">
        <v>61</v>
      </c>
      <c r="AU4621" s="6" t="str">
        <f>HYPERLINK("http://catalog.hathitrust.org/Record/000651772","HathiTrust Record")</f>
        <v>HathiTrust Record</v>
      </c>
      <c r="AV4621" s="6" t="str">
        <f>HYPERLINK("http://mcgill.on.worldcat.org/oclc/9826742","Catalog Record")</f>
        <v>Catalog Record</v>
      </c>
      <c r="AW4621" s="6" t="str">
        <f>HYPERLINK("http://www.worldcat.org/oclc/9826742","WorldCat Record")</f>
        <v>WorldCat Record</v>
      </c>
      <c r="AX4621" s="3" t="s">
        <v>44619</v>
      </c>
      <c r="AY4621" s="3" t="s">
        <v>44620</v>
      </c>
      <c r="AZ4621" s="3" t="s">
        <v>44621</v>
      </c>
      <c r="BA4621" s="3" t="s">
        <v>44621</v>
      </c>
      <c r="BB4621" s="3" t="s">
        <v>44622</v>
      </c>
      <c r="BC4621" s="3" t="s">
        <v>102</v>
      </c>
      <c r="BD4621" s="3" t="s">
        <v>68</v>
      </c>
      <c r="BE4621" s="3" t="s">
        <v>44623</v>
      </c>
      <c r="BF4621" s="3" t="s">
        <v>44622</v>
      </c>
      <c r="BG4621" s="3" t="s">
        <v>44624</v>
      </c>
    </row>
    <row r="4622" spans="1:59" ht="58" x14ac:dyDescent="0.35">
      <c r="A4622" s="2" t="s">
        <v>59</v>
      </c>
      <c r="B4622" s="2" t="s">
        <v>60</v>
      </c>
      <c r="C4622" s="2" t="s">
        <v>44625</v>
      </c>
      <c r="D4622" s="2" t="s">
        <v>44626</v>
      </c>
      <c r="E4622" s="2" t="s">
        <v>44627</v>
      </c>
      <c r="G4622" s="3" t="s">
        <v>62</v>
      </c>
      <c r="I4622" s="3" t="s">
        <v>62</v>
      </c>
      <c r="J4622" s="3" t="s">
        <v>62</v>
      </c>
      <c r="K4622" s="3" t="s">
        <v>63</v>
      </c>
      <c r="L4622" s="2" t="s">
        <v>44628</v>
      </c>
      <c r="M4622" s="2" t="s">
        <v>44629</v>
      </c>
      <c r="N4622" s="3" t="s">
        <v>481</v>
      </c>
      <c r="P4622" s="3" t="s">
        <v>64</v>
      </c>
      <c r="R4622" s="3" t="s">
        <v>42369</v>
      </c>
      <c r="S4622" s="4">
        <v>12</v>
      </c>
      <c r="T4622" s="4">
        <v>12</v>
      </c>
      <c r="U4622" s="5" t="s">
        <v>15825</v>
      </c>
      <c r="V4622" s="5" t="s">
        <v>15825</v>
      </c>
      <c r="W4622" s="5" t="s">
        <v>67</v>
      </c>
      <c r="X4622" s="5" t="s">
        <v>67</v>
      </c>
      <c r="Y4622" s="4">
        <v>227</v>
      </c>
      <c r="Z4622" s="4">
        <v>1</v>
      </c>
      <c r="AA4622" s="4">
        <v>24</v>
      </c>
      <c r="AB4622" s="4">
        <v>1</v>
      </c>
      <c r="AC4622" s="4">
        <v>2</v>
      </c>
      <c r="AD4622" s="4">
        <v>28</v>
      </c>
      <c r="AE4622" s="4">
        <v>36</v>
      </c>
      <c r="AF4622" s="4">
        <v>0</v>
      </c>
      <c r="AG4622" s="4">
        <v>0</v>
      </c>
      <c r="AH4622" s="4">
        <v>28</v>
      </c>
      <c r="AI4622" s="4">
        <v>31</v>
      </c>
      <c r="AJ4622" s="4">
        <v>0</v>
      </c>
      <c r="AK4622" s="4">
        <v>5</v>
      </c>
      <c r="AL4622" s="4">
        <v>14</v>
      </c>
      <c r="AM4622" s="4">
        <v>14</v>
      </c>
      <c r="AN4622" s="4">
        <v>0</v>
      </c>
      <c r="AO4622" s="4">
        <v>0</v>
      </c>
      <c r="AP4622" s="4">
        <v>0</v>
      </c>
      <c r="AQ4622" s="4">
        <v>6</v>
      </c>
      <c r="AR4622" s="3" t="s">
        <v>62</v>
      </c>
      <c r="AS4622" s="3" t="s">
        <v>62</v>
      </c>
      <c r="AT4622" s="3" t="s">
        <v>61</v>
      </c>
      <c r="AU4622" s="6" t="str">
        <f>HYPERLINK("http://catalog.hathitrust.org/Record/009925091","HathiTrust Record")</f>
        <v>HathiTrust Record</v>
      </c>
      <c r="AV4622" s="6" t="str">
        <f>HYPERLINK("http://mcgill.on.worldcat.org/oclc/36458149","Catalog Record")</f>
        <v>Catalog Record</v>
      </c>
      <c r="AW4622" s="6" t="str">
        <f>HYPERLINK("http://www.worldcat.org/oclc/36458149","WorldCat Record")</f>
        <v>WorldCat Record</v>
      </c>
      <c r="AX4622" s="3" t="s">
        <v>44630</v>
      </c>
      <c r="AY4622" s="3" t="s">
        <v>44631</v>
      </c>
      <c r="AZ4622" s="3" t="s">
        <v>44632</v>
      </c>
      <c r="BA4622" s="3" t="s">
        <v>44632</v>
      </c>
      <c r="BB4622" s="3" t="s">
        <v>44633</v>
      </c>
      <c r="BC4622" s="3" t="s">
        <v>102</v>
      </c>
      <c r="BD4622" s="3" t="s">
        <v>68</v>
      </c>
      <c r="BE4622" s="3" t="s">
        <v>44634</v>
      </c>
      <c r="BF4622" s="3" t="s">
        <v>44633</v>
      </c>
      <c r="BG4622" s="3" t="s">
        <v>44635</v>
      </c>
    </row>
    <row r="4623" spans="1:59" ht="101.5" x14ac:dyDescent="0.35">
      <c r="A4623" s="2" t="s">
        <v>59</v>
      </c>
      <c r="B4623" s="2" t="s">
        <v>60</v>
      </c>
      <c r="C4623" s="2" t="s">
        <v>44636</v>
      </c>
      <c r="D4623" s="2" t="s">
        <v>44637</v>
      </c>
      <c r="E4623" s="2" t="s">
        <v>44638</v>
      </c>
      <c r="G4623" s="3" t="s">
        <v>62</v>
      </c>
      <c r="I4623" s="3" t="s">
        <v>62</v>
      </c>
      <c r="J4623" s="3" t="s">
        <v>62</v>
      </c>
      <c r="K4623" s="3" t="s">
        <v>63</v>
      </c>
      <c r="L4623" s="2" t="s">
        <v>44639</v>
      </c>
      <c r="M4623" s="2" t="s">
        <v>44640</v>
      </c>
      <c r="N4623" s="3" t="s">
        <v>2975</v>
      </c>
      <c r="P4623" s="3" t="s">
        <v>64</v>
      </c>
      <c r="R4623" s="3" t="s">
        <v>42369</v>
      </c>
      <c r="S4623" s="4">
        <v>4</v>
      </c>
      <c r="T4623" s="4">
        <v>4</v>
      </c>
      <c r="U4623" s="5" t="s">
        <v>1676</v>
      </c>
      <c r="V4623" s="5" t="s">
        <v>1676</v>
      </c>
      <c r="W4623" s="5" t="s">
        <v>67</v>
      </c>
      <c r="X4623" s="5" t="s">
        <v>67</v>
      </c>
      <c r="Y4623" s="4">
        <v>2</v>
      </c>
      <c r="Z4623" s="4">
        <v>1</v>
      </c>
      <c r="AA4623" s="4">
        <v>2</v>
      </c>
      <c r="AB4623" s="4">
        <v>1</v>
      </c>
      <c r="AC4623" s="4">
        <v>2</v>
      </c>
      <c r="AD4623" s="4">
        <v>0</v>
      </c>
      <c r="AE4623" s="4">
        <v>1</v>
      </c>
      <c r="AF4623" s="4">
        <v>0</v>
      </c>
      <c r="AG4623" s="4">
        <v>1</v>
      </c>
      <c r="AH4623" s="4">
        <v>0</v>
      </c>
      <c r="AI4623" s="4">
        <v>0</v>
      </c>
      <c r="AJ4623" s="4">
        <v>0</v>
      </c>
      <c r="AK4623" s="4">
        <v>1</v>
      </c>
      <c r="AL4623" s="4">
        <v>0</v>
      </c>
      <c r="AM4623" s="4">
        <v>0</v>
      </c>
      <c r="AN4623" s="4">
        <v>0</v>
      </c>
      <c r="AO4623" s="4">
        <v>0</v>
      </c>
      <c r="AP4623" s="4">
        <v>0</v>
      </c>
      <c r="AQ4623" s="4">
        <v>1</v>
      </c>
      <c r="AR4623" s="3" t="s">
        <v>62</v>
      </c>
      <c r="AS4623" s="3" t="s">
        <v>62</v>
      </c>
      <c r="AT4623" s="3" t="s">
        <v>62</v>
      </c>
      <c r="AV4623" s="6" t="str">
        <f>HYPERLINK("http://mcgill.on.worldcat.org/oclc/61738687","Catalog Record")</f>
        <v>Catalog Record</v>
      </c>
      <c r="AW4623" s="6" t="str">
        <f>HYPERLINK("http://www.worldcat.org/oclc/61738687","WorldCat Record")</f>
        <v>WorldCat Record</v>
      </c>
      <c r="AX4623" s="3" t="s">
        <v>44641</v>
      </c>
      <c r="AY4623" s="3" t="s">
        <v>44642</v>
      </c>
      <c r="AZ4623" s="3" t="s">
        <v>44643</v>
      </c>
      <c r="BA4623" s="3" t="s">
        <v>44643</v>
      </c>
      <c r="BB4623" s="3" t="s">
        <v>44644</v>
      </c>
      <c r="BC4623" s="3" t="s">
        <v>102</v>
      </c>
      <c r="BD4623" s="3" t="s">
        <v>68</v>
      </c>
      <c r="BF4623" s="3" t="s">
        <v>44644</v>
      </c>
      <c r="BG4623" s="3" t="s">
        <v>44645</v>
      </c>
    </row>
    <row r="4624" spans="1:59" ht="58" x14ac:dyDescent="0.35">
      <c r="A4624" s="2" t="s">
        <v>59</v>
      </c>
      <c r="B4624" s="2" t="s">
        <v>60</v>
      </c>
      <c r="C4624" s="2" t="s">
        <v>44646</v>
      </c>
      <c r="D4624" s="2" t="s">
        <v>44647</v>
      </c>
      <c r="E4624" s="2" t="s">
        <v>44648</v>
      </c>
      <c r="G4624" s="3" t="s">
        <v>62</v>
      </c>
      <c r="I4624" s="3" t="s">
        <v>62</v>
      </c>
      <c r="J4624" s="3" t="s">
        <v>62</v>
      </c>
      <c r="K4624" s="3" t="s">
        <v>63</v>
      </c>
      <c r="L4624" s="2" t="s">
        <v>44649</v>
      </c>
      <c r="M4624" s="2" t="s">
        <v>44650</v>
      </c>
      <c r="N4624" s="3" t="s">
        <v>893</v>
      </c>
      <c r="P4624" s="3" t="s">
        <v>64</v>
      </c>
      <c r="R4624" s="3" t="s">
        <v>42369</v>
      </c>
      <c r="S4624" s="4">
        <v>1</v>
      </c>
      <c r="T4624" s="4">
        <v>1</v>
      </c>
      <c r="U4624" s="5" t="s">
        <v>1080</v>
      </c>
      <c r="V4624" s="5" t="s">
        <v>1080</v>
      </c>
      <c r="W4624" s="5" t="s">
        <v>67</v>
      </c>
      <c r="X4624" s="5" t="s">
        <v>67</v>
      </c>
      <c r="Y4624" s="4">
        <v>73</v>
      </c>
      <c r="Z4624" s="4">
        <v>1</v>
      </c>
      <c r="AA4624" s="4">
        <v>6</v>
      </c>
      <c r="AB4624" s="4">
        <v>1</v>
      </c>
      <c r="AC4624" s="4">
        <v>1</v>
      </c>
      <c r="AD4624" s="4">
        <v>10</v>
      </c>
      <c r="AE4624" s="4">
        <v>38</v>
      </c>
      <c r="AF4624" s="4">
        <v>0</v>
      </c>
      <c r="AG4624" s="4">
        <v>0</v>
      </c>
      <c r="AH4624" s="4">
        <v>9</v>
      </c>
      <c r="AI4624" s="4">
        <v>37</v>
      </c>
      <c r="AJ4624" s="4">
        <v>0</v>
      </c>
      <c r="AK4624" s="4">
        <v>3</v>
      </c>
      <c r="AL4624" s="4">
        <v>8</v>
      </c>
      <c r="AM4624" s="4">
        <v>23</v>
      </c>
      <c r="AN4624" s="4">
        <v>5</v>
      </c>
      <c r="AO4624" s="4">
        <v>5</v>
      </c>
      <c r="AP4624" s="4">
        <v>0</v>
      </c>
      <c r="AQ4624" s="4">
        <v>3</v>
      </c>
      <c r="AR4624" s="3" t="s">
        <v>62</v>
      </c>
      <c r="AS4624" s="3" t="s">
        <v>62</v>
      </c>
      <c r="AT4624" s="3" t="s">
        <v>61</v>
      </c>
      <c r="AU4624" s="6" t="str">
        <f>HYPERLINK("http://catalog.hathitrust.org/Record/101940499","HathiTrust Record")</f>
        <v>HathiTrust Record</v>
      </c>
      <c r="AV4624" s="6" t="str">
        <f>HYPERLINK("http://mcgill.on.worldcat.org/oclc/10133827","Catalog Record")</f>
        <v>Catalog Record</v>
      </c>
      <c r="AW4624" s="6" t="str">
        <f>HYPERLINK("http://www.worldcat.org/oclc/10133827","WorldCat Record")</f>
        <v>WorldCat Record</v>
      </c>
      <c r="AX4624" s="3" t="s">
        <v>44651</v>
      </c>
      <c r="AY4624" s="3" t="s">
        <v>44652</v>
      </c>
      <c r="AZ4624" s="3" t="s">
        <v>44653</v>
      </c>
      <c r="BA4624" s="3" t="s">
        <v>44653</v>
      </c>
      <c r="BB4624" s="3" t="s">
        <v>44654</v>
      </c>
      <c r="BC4624" s="3" t="s">
        <v>102</v>
      </c>
      <c r="BD4624" s="3" t="s">
        <v>68</v>
      </c>
      <c r="BE4624" s="3" t="s">
        <v>44655</v>
      </c>
      <c r="BF4624" s="3" t="s">
        <v>44654</v>
      </c>
      <c r="BG4624" s="3" t="s">
        <v>44656</v>
      </c>
    </row>
    <row r="4625" spans="1:59" ht="58" x14ac:dyDescent="0.35">
      <c r="A4625" s="2" t="s">
        <v>89</v>
      </c>
      <c r="B4625" s="2" t="s">
        <v>90</v>
      </c>
      <c r="C4625" s="2" t="s">
        <v>44657</v>
      </c>
      <c r="D4625" s="2" t="s">
        <v>44658</v>
      </c>
      <c r="E4625" s="2" t="s">
        <v>44659</v>
      </c>
      <c r="G4625" s="3" t="s">
        <v>62</v>
      </c>
      <c r="I4625" s="3" t="s">
        <v>62</v>
      </c>
      <c r="J4625" s="3" t="s">
        <v>62</v>
      </c>
      <c r="K4625" s="3" t="s">
        <v>63</v>
      </c>
      <c r="L4625" s="2" t="s">
        <v>44660</v>
      </c>
      <c r="M4625" s="2" t="s">
        <v>44661</v>
      </c>
      <c r="N4625" s="3" t="s">
        <v>712</v>
      </c>
      <c r="P4625" s="3" t="s">
        <v>64</v>
      </c>
      <c r="R4625" s="3" t="s">
        <v>42369</v>
      </c>
      <c r="S4625" s="4">
        <v>19</v>
      </c>
      <c r="T4625" s="4">
        <v>19</v>
      </c>
      <c r="U4625" s="5" t="s">
        <v>44662</v>
      </c>
      <c r="V4625" s="5" t="s">
        <v>44662</v>
      </c>
      <c r="W4625" s="5" t="s">
        <v>67</v>
      </c>
      <c r="X4625" s="5" t="s">
        <v>67</v>
      </c>
      <c r="Y4625" s="4">
        <v>2164</v>
      </c>
      <c r="Z4625" s="4">
        <v>18</v>
      </c>
      <c r="AA4625" s="4">
        <v>85</v>
      </c>
      <c r="AB4625" s="4">
        <v>1</v>
      </c>
      <c r="AC4625" s="4">
        <v>10</v>
      </c>
      <c r="AD4625" s="4">
        <v>70</v>
      </c>
      <c r="AE4625" s="4">
        <v>109</v>
      </c>
      <c r="AF4625" s="4">
        <v>0</v>
      </c>
      <c r="AG4625" s="4">
        <v>2</v>
      </c>
      <c r="AH4625" s="4">
        <v>63</v>
      </c>
      <c r="AI4625" s="4">
        <v>94</v>
      </c>
      <c r="AJ4625" s="4">
        <v>4</v>
      </c>
      <c r="AK4625" s="4">
        <v>15</v>
      </c>
      <c r="AL4625" s="4">
        <v>38</v>
      </c>
      <c r="AM4625" s="4">
        <v>52</v>
      </c>
      <c r="AN4625" s="4">
        <v>0</v>
      </c>
      <c r="AO4625" s="4">
        <v>0</v>
      </c>
      <c r="AP4625" s="4">
        <v>5</v>
      </c>
      <c r="AQ4625" s="4">
        <v>22</v>
      </c>
      <c r="AR4625" s="3" t="s">
        <v>62</v>
      </c>
      <c r="AS4625" s="3" t="s">
        <v>62</v>
      </c>
      <c r="AT4625" s="3" t="s">
        <v>62</v>
      </c>
      <c r="AV4625" s="6" t="str">
        <f>HYPERLINK("http://mcgill.on.worldcat.org/oclc/883651136","Catalog Record")</f>
        <v>Catalog Record</v>
      </c>
      <c r="AW4625" s="6" t="str">
        <f>HYPERLINK("http://www.worldcat.org/oclc/883651136","WorldCat Record")</f>
        <v>WorldCat Record</v>
      </c>
      <c r="AX4625" s="3" t="s">
        <v>44663</v>
      </c>
      <c r="AY4625" s="3" t="s">
        <v>44664</v>
      </c>
      <c r="AZ4625" s="3" t="s">
        <v>44665</v>
      </c>
      <c r="BA4625" s="3" t="s">
        <v>44665</v>
      </c>
      <c r="BB4625" s="3" t="s">
        <v>44666</v>
      </c>
      <c r="BC4625" s="3" t="s">
        <v>102</v>
      </c>
      <c r="BD4625" s="3" t="s">
        <v>68</v>
      </c>
      <c r="BE4625" s="3" t="s">
        <v>44667</v>
      </c>
      <c r="BF4625" s="3" t="s">
        <v>44666</v>
      </c>
      <c r="BG4625" s="3" t="s">
        <v>44668</v>
      </c>
    </row>
    <row r="4626" spans="1:59" ht="58" x14ac:dyDescent="0.35">
      <c r="A4626" s="2" t="s">
        <v>59</v>
      </c>
      <c r="B4626" s="2" t="s">
        <v>60</v>
      </c>
      <c r="C4626" s="2" t="s">
        <v>44669</v>
      </c>
      <c r="D4626" s="2" t="s">
        <v>44670</v>
      </c>
      <c r="E4626" s="2" t="s">
        <v>44671</v>
      </c>
      <c r="G4626" s="3" t="s">
        <v>62</v>
      </c>
      <c r="I4626" s="3" t="s">
        <v>62</v>
      </c>
      <c r="J4626" s="3" t="s">
        <v>62</v>
      </c>
      <c r="K4626" s="3" t="s">
        <v>63</v>
      </c>
      <c r="L4626" s="2" t="s">
        <v>44672</v>
      </c>
      <c r="M4626" s="2" t="s">
        <v>44673</v>
      </c>
      <c r="N4626" s="3" t="s">
        <v>852</v>
      </c>
      <c r="P4626" s="3" t="s">
        <v>64</v>
      </c>
      <c r="R4626" s="3" t="s">
        <v>42369</v>
      </c>
      <c r="S4626" s="4">
        <v>1</v>
      </c>
      <c r="T4626" s="4">
        <v>1</v>
      </c>
      <c r="U4626" s="5" t="s">
        <v>1350</v>
      </c>
      <c r="V4626" s="5" t="s">
        <v>1350</v>
      </c>
      <c r="W4626" s="5" t="s">
        <v>67</v>
      </c>
      <c r="X4626" s="5" t="s">
        <v>67</v>
      </c>
      <c r="Y4626" s="4">
        <v>14</v>
      </c>
      <c r="Z4626" s="4">
        <v>5</v>
      </c>
      <c r="AA4626" s="4">
        <v>8</v>
      </c>
      <c r="AB4626" s="4">
        <v>2</v>
      </c>
      <c r="AC4626" s="4">
        <v>3</v>
      </c>
      <c r="AD4626" s="4">
        <v>9</v>
      </c>
      <c r="AE4626" s="4">
        <v>21</v>
      </c>
      <c r="AF4626" s="4">
        <v>0</v>
      </c>
      <c r="AG4626" s="4">
        <v>1</v>
      </c>
      <c r="AH4626" s="4">
        <v>8</v>
      </c>
      <c r="AI4626" s="4">
        <v>18</v>
      </c>
      <c r="AJ4626" s="4">
        <v>3</v>
      </c>
      <c r="AK4626" s="4">
        <v>5</v>
      </c>
      <c r="AL4626" s="4">
        <v>4</v>
      </c>
      <c r="AM4626" s="4">
        <v>10</v>
      </c>
      <c r="AN4626" s="4">
        <v>0</v>
      </c>
      <c r="AO4626" s="4">
        <v>0</v>
      </c>
      <c r="AP4626" s="4">
        <v>3</v>
      </c>
      <c r="AQ4626" s="4">
        <v>3</v>
      </c>
      <c r="AR4626" s="3" t="s">
        <v>62</v>
      </c>
      <c r="AS4626" s="3" t="s">
        <v>62</v>
      </c>
      <c r="AT4626" s="3" t="s">
        <v>62</v>
      </c>
      <c r="AV4626" s="6" t="str">
        <f>HYPERLINK("http://mcgill.on.worldcat.org/oclc/14496236","Catalog Record")</f>
        <v>Catalog Record</v>
      </c>
      <c r="AW4626" s="6" t="str">
        <f>HYPERLINK("http://www.worldcat.org/oclc/14496236","WorldCat Record")</f>
        <v>WorldCat Record</v>
      </c>
      <c r="AX4626" s="3" t="s">
        <v>44674</v>
      </c>
      <c r="AY4626" s="3" t="s">
        <v>44675</v>
      </c>
      <c r="AZ4626" s="3" t="s">
        <v>44676</v>
      </c>
      <c r="BA4626" s="3" t="s">
        <v>44676</v>
      </c>
      <c r="BB4626" s="3" t="s">
        <v>44677</v>
      </c>
      <c r="BC4626" s="3" t="s">
        <v>102</v>
      </c>
      <c r="BD4626" s="3" t="s">
        <v>68</v>
      </c>
      <c r="BF4626" s="3" t="s">
        <v>44677</v>
      </c>
      <c r="BG4626" s="3" t="s">
        <v>44678</v>
      </c>
    </row>
    <row r="4627" spans="1:59" ht="58" x14ac:dyDescent="0.35">
      <c r="A4627" s="2" t="s">
        <v>59</v>
      </c>
      <c r="B4627" s="2" t="s">
        <v>60</v>
      </c>
      <c r="C4627" s="2" t="s">
        <v>44679</v>
      </c>
      <c r="D4627" s="2" t="s">
        <v>44680</v>
      </c>
      <c r="E4627" s="2" t="s">
        <v>44681</v>
      </c>
      <c r="G4627" s="3" t="s">
        <v>62</v>
      </c>
      <c r="I4627" s="3" t="s">
        <v>62</v>
      </c>
      <c r="J4627" s="3" t="s">
        <v>62</v>
      </c>
      <c r="K4627" s="3" t="s">
        <v>63</v>
      </c>
      <c r="L4627" s="2" t="s">
        <v>44682</v>
      </c>
      <c r="M4627" s="2" t="s">
        <v>44683</v>
      </c>
      <c r="N4627" s="3" t="s">
        <v>1482</v>
      </c>
      <c r="P4627" s="3" t="s">
        <v>64</v>
      </c>
      <c r="R4627" s="3" t="s">
        <v>42369</v>
      </c>
      <c r="S4627" s="4">
        <v>2</v>
      </c>
      <c r="T4627" s="4">
        <v>2</v>
      </c>
      <c r="U4627" s="5" t="s">
        <v>9629</v>
      </c>
      <c r="V4627" s="5" t="s">
        <v>9629</v>
      </c>
      <c r="W4627" s="5" t="s">
        <v>67</v>
      </c>
      <c r="X4627" s="5" t="s">
        <v>67</v>
      </c>
      <c r="Y4627" s="4">
        <v>157</v>
      </c>
      <c r="Z4627" s="4">
        <v>10</v>
      </c>
      <c r="AA4627" s="4">
        <v>10</v>
      </c>
      <c r="AB4627" s="4">
        <v>2</v>
      </c>
      <c r="AC4627" s="4">
        <v>2</v>
      </c>
      <c r="AD4627" s="4">
        <v>39</v>
      </c>
      <c r="AE4627" s="4">
        <v>39</v>
      </c>
      <c r="AF4627" s="4">
        <v>0</v>
      </c>
      <c r="AG4627" s="4">
        <v>0</v>
      </c>
      <c r="AH4627" s="4">
        <v>36</v>
      </c>
      <c r="AI4627" s="4">
        <v>36</v>
      </c>
      <c r="AJ4627" s="4">
        <v>7</v>
      </c>
      <c r="AK4627" s="4">
        <v>7</v>
      </c>
      <c r="AL4627" s="4">
        <v>20</v>
      </c>
      <c r="AM4627" s="4">
        <v>20</v>
      </c>
      <c r="AN4627" s="4">
        <v>0</v>
      </c>
      <c r="AO4627" s="4">
        <v>0</v>
      </c>
      <c r="AP4627" s="4">
        <v>7</v>
      </c>
      <c r="AQ4627" s="4">
        <v>7</v>
      </c>
      <c r="AR4627" s="3" t="s">
        <v>62</v>
      </c>
      <c r="AS4627" s="3" t="s">
        <v>62</v>
      </c>
      <c r="AT4627" s="3" t="s">
        <v>62</v>
      </c>
      <c r="AV4627" s="6" t="str">
        <f>HYPERLINK("http://mcgill.on.worldcat.org/oclc/13703271","Catalog Record")</f>
        <v>Catalog Record</v>
      </c>
      <c r="AW4627" s="6" t="str">
        <f>HYPERLINK("http://www.worldcat.org/oclc/13703271","WorldCat Record")</f>
        <v>WorldCat Record</v>
      </c>
      <c r="AX4627" s="3" t="s">
        <v>44684</v>
      </c>
      <c r="AY4627" s="3" t="s">
        <v>44685</v>
      </c>
      <c r="AZ4627" s="3" t="s">
        <v>44686</v>
      </c>
      <c r="BA4627" s="3" t="s">
        <v>44686</v>
      </c>
      <c r="BB4627" s="3" t="s">
        <v>44687</v>
      </c>
      <c r="BC4627" s="3" t="s">
        <v>102</v>
      </c>
      <c r="BD4627" s="3" t="s">
        <v>68</v>
      </c>
      <c r="BE4627" s="3" t="s">
        <v>44688</v>
      </c>
      <c r="BF4627" s="3" t="s">
        <v>44687</v>
      </c>
      <c r="BG4627" s="3" t="s">
        <v>44689</v>
      </c>
    </row>
    <row r="4628" spans="1:59" ht="72.5" x14ac:dyDescent="0.35">
      <c r="A4628" s="2" t="s">
        <v>59</v>
      </c>
      <c r="B4628" s="2" t="s">
        <v>60</v>
      </c>
      <c r="C4628" s="2" t="s">
        <v>44690</v>
      </c>
      <c r="D4628" s="2" t="s">
        <v>44691</v>
      </c>
      <c r="E4628" s="2" t="s">
        <v>44692</v>
      </c>
      <c r="G4628" s="3" t="s">
        <v>62</v>
      </c>
      <c r="I4628" s="3" t="s">
        <v>62</v>
      </c>
      <c r="J4628" s="3" t="s">
        <v>62</v>
      </c>
      <c r="K4628" s="3" t="s">
        <v>63</v>
      </c>
      <c r="L4628" s="2" t="s">
        <v>44693</v>
      </c>
      <c r="M4628" s="2" t="s">
        <v>44694</v>
      </c>
      <c r="N4628" s="3" t="s">
        <v>466</v>
      </c>
      <c r="P4628" s="3" t="s">
        <v>64</v>
      </c>
      <c r="R4628" s="3" t="s">
        <v>42369</v>
      </c>
      <c r="S4628" s="4">
        <v>3</v>
      </c>
      <c r="T4628" s="4">
        <v>3</v>
      </c>
      <c r="U4628" s="5" t="s">
        <v>17429</v>
      </c>
      <c r="V4628" s="5" t="s">
        <v>17429</v>
      </c>
      <c r="W4628" s="5" t="s">
        <v>67</v>
      </c>
      <c r="X4628" s="5" t="s">
        <v>67</v>
      </c>
      <c r="Y4628" s="4">
        <v>100</v>
      </c>
      <c r="Z4628" s="4">
        <v>4</v>
      </c>
      <c r="AA4628" s="4">
        <v>8</v>
      </c>
      <c r="AB4628" s="4">
        <v>1</v>
      </c>
      <c r="AC4628" s="4">
        <v>1</v>
      </c>
      <c r="AD4628" s="4">
        <v>57</v>
      </c>
      <c r="AE4628" s="4">
        <v>62</v>
      </c>
      <c r="AF4628" s="4">
        <v>0</v>
      </c>
      <c r="AG4628" s="4">
        <v>0</v>
      </c>
      <c r="AH4628" s="4">
        <v>55</v>
      </c>
      <c r="AI4628" s="4">
        <v>58</v>
      </c>
      <c r="AJ4628" s="4">
        <v>3</v>
      </c>
      <c r="AK4628" s="4">
        <v>6</v>
      </c>
      <c r="AL4628" s="4">
        <v>31</v>
      </c>
      <c r="AM4628" s="4">
        <v>33</v>
      </c>
      <c r="AN4628" s="4">
        <v>0</v>
      </c>
      <c r="AO4628" s="4">
        <v>0</v>
      </c>
      <c r="AP4628" s="4">
        <v>2</v>
      </c>
      <c r="AQ4628" s="4">
        <v>5</v>
      </c>
      <c r="AR4628" s="3" t="s">
        <v>62</v>
      </c>
      <c r="AS4628" s="3" t="s">
        <v>62</v>
      </c>
      <c r="AT4628" s="3" t="s">
        <v>62</v>
      </c>
      <c r="AV4628" s="6" t="str">
        <f>HYPERLINK("http://mcgill.on.worldcat.org/oclc/19222217","Catalog Record")</f>
        <v>Catalog Record</v>
      </c>
      <c r="AW4628" s="6" t="str">
        <f>HYPERLINK("http://www.worldcat.org/oclc/19222217","WorldCat Record")</f>
        <v>WorldCat Record</v>
      </c>
      <c r="AX4628" s="3" t="s">
        <v>44695</v>
      </c>
      <c r="AY4628" s="3" t="s">
        <v>44696</v>
      </c>
      <c r="AZ4628" s="3" t="s">
        <v>44697</v>
      </c>
      <c r="BA4628" s="3" t="s">
        <v>44697</v>
      </c>
      <c r="BB4628" s="3" t="s">
        <v>44698</v>
      </c>
      <c r="BC4628" s="3" t="s">
        <v>102</v>
      </c>
      <c r="BD4628" s="3" t="s">
        <v>68</v>
      </c>
      <c r="BF4628" s="3" t="s">
        <v>44698</v>
      </c>
      <c r="BG4628" s="3" t="s">
        <v>44699</v>
      </c>
    </row>
    <row r="4629" spans="1:59" ht="72.5" x14ac:dyDescent="0.35">
      <c r="A4629" s="2" t="s">
        <v>59</v>
      </c>
      <c r="B4629" s="2" t="s">
        <v>60</v>
      </c>
      <c r="C4629" s="2" t="s">
        <v>44700</v>
      </c>
      <c r="D4629" s="2" t="s">
        <v>44701</v>
      </c>
      <c r="E4629" s="2" t="s">
        <v>44702</v>
      </c>
      <c r="G4629" s="3" t="s">
        <v>62</v>
      </c>
      <c r="I4629" s="3" t="s">
        <v>62</v>
      </c>
      <c r="J4629" s="3" t="s">
        <v>62</v>
      </c>
      <c r="K4629" s="3" t="s">
        <v>63</v>
      </c>
      <c r="L4629" s="2" t="s">
        <v>44703</v>
      </c>
      <c r="M4629" s="2" t="s">
        <v>44704</v>
      </c>
      <c r="N4629" s="3" t="s">
        <v>466</v>
      </c>
      <c r="P4629" s="3" t="s">
        <v>64</v>
      </c>
      <c r="R4629" s="3" t="s">
        <v>42369</v>
      </c>
      <c r="S4629" s="4">
        <v>8</v>
      </c>
      <c r="T4629" s="4">
        <v>8</v>
      </c>
      <c r="U4629" s="5" t="s">
        <v>18783</v>
      </c>
      <c r="V4629" s="5" t="s">
        <v>18783</v>
      </c>
      <c r="W4629" s="5" t="s">
        <v>67</v>
      </c>
      <c r="X4629" s="5" t="s">
        <v>67</v>
      </c>
      <c r="Y4629" s="4">
        <v>176</v>
      </c>
      <c r="Z4629" s="4">
        <v>13</v>
      </c>
      <c r="AA4629" s="4">
        <v>16</v>
      </c>
      <c r="AB4629" s="4">
        <v>1</v>
      </c>
      <c r="AC4629" s="4">
        <v>3</v>
      </c>
      <c r="AD4629" s="4">
        <v>66</v>
      </c>
      <c r="AE4629" s="4">
        <v>68</v>
      </c>
      <c r="AF4629" s="4">
        <v>0</v>
      </c>
      <c r="AG4629" s="4">
        <v>0</v>
      </c>
      <c r="AH4629" s="4">
        <v>60</v>
      </c>
      <c r="AI4629" s="4">
        <v>62</v>
      </c>
      <c r="AJ4629" s="4">
        <v>7</v>
      </c>
      <c r="AK4629" s="4">
        <v>8</v>
      </c>
      <c r="AL4629" s="4">
        <v>33</v>
      </c>
      <c r="AM4629" s="4">
        <v>33</v>
      </c>
      <c r="AN4629" s="4">
        <v>0</v>
      </c>
      <c r="AO4629" s="4">
        <v>0</v>
      </c>
      <c r="AP4629" s="4">
        <v>9</v>
      </c>
      <c r="AQ4629" s="4">
        <v>10</v>
      </c>
      <c r="AR4629" s="3" t="s">
        <v>62</v>
      </c>
      <c r="AS4629" s="3" t="s">
        <v>62</v>
      </c>
      <c r="AT4629" s="3" t="s">
        <v>62</v>
      </c>
      <c r="AV4629" s="6" t="str">
        <f>HYPERLINK("http://mcgill.on.worldcat.org/oclc/26150009","Catalog Record")</f>
        <v>Catalog Record</v>
      </c>
      <c r="AW4629" s="6" t="str">
        <f>HYPERLINK("http://www.worldcat.org/oclc/26150009","WorldCat Record")</f>
        <v>WorldCat Record</v>
      </c>
      <c r="AX4629" s="3" t="s">
        <v>44705</v>
      </c>
      <c r="AY4629" s="3" t="s">
        <v>44706</v>
      </c>
      <c r="AZ4629" s="3" t="s">
        <v>44707</v>
      </c>
      <c r="BA4629" s="3" t="s">
        <v>44707</v>
      </c>
      <c r="BB4629" s="3" t="s">
        <v>44708</v>
      </c>
      <c r="BC4629" s="3" t="s">
        <v>102</v>
      </c>
      <c r="BD4629" s="3" t="s">
        <v>68</v>
      </c>
      <c r="BE4629" s="3" t="s">
        <v>44709</v>
      </c>
      <c r="BF4629" s="3" t="s">
        <v>44708</v>
      </c>
      <c r="BG4629" s="3" t="s">
        <v>44710</v>
      </c>
    </row>
    <row r="4630" spans="1:59" ht="58" x14ac:dyDescent="0.35">
      <c r="A4630" s="2" t="s">
        <v>59</v>
      </c>
      <c r="B4630" s="2" t="s">
        <v>60</v>
      </c>
      <c r="C4630" s="2" t="s">
        <v>44711</v>
      </c>
      <c r="D4630" s="2" t="s">
        <v>44712</v>
      </c>
      <c r="E4630" s="2" t="s">
        <v>44713</v>
      </c>
      <c r="G4630" s="3" t="s">
        <v>62</v>
      </c>
      <c r="I4630" s="3" t="s">
        <v>62</v>
      </c>
      <c r="J4630" s="3" t="s">
        <v>62</v>
      </c>
      <c r="K4630" s="3" t="s">
        <v>63</v>
      </c>
      <c r="L4630" s="2" t="s">
        <v>44714</v>
      </c>
      <c r="M4630" s="2" t="s">
        <v>44715</v>
      </c>
      <c r="N4630" s="3" t="s">
        <v>2566</v>
      </c>
      <c r="P4630" s="3" t="s">
        <v>64</v>
      </c>
      <c r="Q4630" s="2" t="s">
        <v>44716</v>
      </c>
      <c r="R4630" s="3" t="s">
        <v>42369</v>
      </c>
      <c r="S4630" s="4">
        <v>1</v>
      </c>
      <c r="T4630" s="4">
        <v>1</v>
      </c>
      <c r="U4630" s="5" t="s">
        <v>1512</v>
      </c>
      <c r="V4630" s="5" t="s">
        <v>1512</v>
      </c>
      <c r="W4630" s="5" t="s">
        <v>67</v>
      </c>
      <c r="X4630" s="5" t="s">
        <v>67</v>
      </c>
      <c r="Y4630" s="4">
        <v>145</v>
      </c>
      <c r="Z4630" s="4">
        <v>15</v>
      </c>
      <c r="AA4630" s="4">
        <v>17</v>
      </c>
      <c r="AB4630" s="4">
        <v>1</v>
      </c>
      <c r="AC4630" s="4">
        <v>2</v>
      </c>
      <c r="AD4630" s="4">
        <v>66</v>
      </c>
      <c r="AE4630" s="4">
        <v>68</v>
      </c>
      <c r="AF4630" s="4">
        <v>0</v>
      </c>
      <c r="AG4630" s="4">
        <v>1</v>
      </c>
      <c r="AH4630" s="4">
        <v>58</v>
      </c>
      <c r="AI4630" s="4">
        <v>58</v>
      </c>
      <c r="AJ4630" s="4">
        <v>11</v>
      </c>
      <c r="AK4630" s="4">
        <v>12</v>
      </c>
      <c r="AL4630" s="4">
        <v>36</v>
      </c>
      <c r="AM4630" s="4">
        <v>36</v>
      </c>
      <c r="AN4630" s="4">
        <v>0</v>
      </c>
      <c r="AO4630" s="4">
        <v>0</v>
      </c>
      <c r="AP4630" s="4">
        <v>11</v>
      </c>
      <c r="AQ4630" s="4">
        <v>13</v>
      </c>
      <c r="AR4630" s="3" t="s">
        <v>62</v>
      </c>
      <c r="AS4630" s="3" t="s">
        <v>62</v>
      </c>
      <c r="AT4630" s="3" t="s">
        <v>62</v>
      </c>
      <c r="AV4630" s="6" t="str">
        <f>HYPERLINK("http://mcgill.on.worldcat.org/oclc/805200","Catalog Record")</f>
        <v>Catalog Record</v>
      </c>
      <c r="AW4630" s="6" t="str">
        <f>HYPERLINK("http://www.worldcat.org/oclc/805200","WorldCat Record")</f>
        <v>WorldCat Record</v>
      </c>
      <c r="AX4630" s="3" t="s">
        <v>44717</v>
      </c>
      <c r="AY4630" s="3" t="s">
        <v>44718</v>
      </c>
      <c r="AZ4630" s="3" t="s">
        <v>44719</v>
      </c>
      <c r="BA4630" s="3" t="s">
        <v>44719</v>
      </c>
      <c r="BB4630" s="3" t="s">
        <v>44720</v>
      </c>
      <c r="BC4630" s="3" t="s">
        <v>102</v>
      </c>
      <c r="BD4630" s="3" t="s">
        <v>68</v>
      </c>
      <c r="BF4630" s="3" t="s">
        <v>44720</v>
      </c>
      <c r="BG4630" s="3" t="s">
        <v>44721</v>
      </c>
    </row>
    <row r="4631" spans="1:59" ht="72.5" x14ac:dyDescent="0.35">
      <c r="A4631" s="2" t="s">
        <v>59</v>
      </c>
      <c r="B4631" s="2" t="s">
        <v>60</v>
      </c>
      <c r="C4631" s="2" t="s">
        <v>44722</v>
      </c>
      <c r="D4631" s="2" t="s">
        <v>44723</v>
      </c>
      <c r="E4631" s="2" t="s">
        <v>44724</v>
      </c>
      <c r="G4631" s="3" t="s">
        <v>62</v>
      </c>
      <c r="I4631" s="3" t="s">
        <v>62</v>
      </c>
      <c r="J4631" s="3" t="s">
        <v>62</v>
      </c>
      <c r="K4631" s="3" t="s">
        <v>63</v>
      </c>
      <c r="L4631" s="2" t="s">
        <v>44725</v>
      </c>
      <c r="M4631" s="2" t="s">
        <v>44726</v>
      </c>
      <c r="N4631" s="3" t="s">
        <v>115</v>
      </c>
      <c r="P4631" s="3" t="s">
        <v>64</v>
      </c>
      <c r="R4631" s="3" t="s">
        <v>42369</v>
      </c>
      <c r="S4631" s="4">
        <v>6</v>
      </c>
      <c r="T4631" s="4">
        <v>6</v>
      </c>
      <c r="U4631" s="5" t="s">
        <v>79</v>
      </c>
      <c r="V4631" s="5" t="s">
        <v>79</v>
      </c>
      <c r="W4631" s="5" t="s">
        <v>67</v>
      </c>
      <c r="X4631" s="5" t="s">
        <v>67</v>
      </c>
      <c r="Y4631" s="4">
        <v>404</v>
      </c>
      <c r="Z4631" s="4">
        <v>29</v>
      </c>
      <c r="AA4631" s="4">
        <v>33</v>
      </c>
      <c r="AB4631" s="4">
        <v>3</v>
      </c>
      <c r="AC4631" s="4">
        <v>7</v>
      </c>
      <c r="AD4631" s="4">
        <v>111</v>
      </c>
      <c r="AE4631" s="4">
        <v>114</v>
      </c>
      <c r="AF4631" s="4">
        <v>1</v>
      </c>
      <c r="AG4631" s="4">
        <v>4</v>
      </c>
      <c r="AH4631" s="4">
        <v>92</v>
      </c>
      <c r="AI4631" s="4">
        <v>92</v>
      </c>
      <c r="AJ4631" s="4">
        <v>14</v>
      </c>
      <c r="AK4631" s="4">
        <v>17</v>
      </c>
      <c r="AL4631" s="4">
        <v>53</v>
      </c>
      <c r="AM4631" s="4">
        <v>53</v>
      </c>
      <c r="AN4631" s="4">
        <v>0</v>
      </c>
      <c r="AO4631" s="4">
        <v>0</v>
      </c>
      <c r="AP4631" s="4">
        <v>22</v>
      </c>
      <c r="AQ4631" s="4">
        <v>24</v>
      </c>
      <c r="AR4631" s="3" t="s">
        <v>62</v>
      </c>
      <c r="AS4631" s="3" t="s">
        <v>62</v>
      </c>
      <c r="AT4631" s="3" t="s">
        <v>62</v>
      </c>
      <c r="AV4631" s="6" t="str">
        <f>HYPERLINK("http://mcgill.on.worldcat.org/oclc/19222597","Catalog Record")</f>
        <v>Catalog Record</v>
      </c>
      <c r="AW4631" s="6" t="str">
        <f>HYPERLINK("http://www.worldcat.org/oclc/19222597","WorldCat Record")</f>
        <v>WorldCat Record</v>
      </c>
      <c r="AX4631" s="3" t="s">
        <v>44727</v>
      </c>
      <c r="AY4631" s="3" t="s">
        <v>44728</v>
      </c>
      <c r="AZ4631" s="3" t="s">
        <v>44729</v>
      </c>
      <c r="BA4631" s="3" t="s">
        <v>44729</v>
      </c>
      <c r="BB4631" s="3" t="s">
        <v>44730</v>
      </c>
      <c r="BC4631" s="3" t="s">
        <v>102</v>
      </c>
      <c r="BD4631" s="3" t="s">
        <v>231</v>
      </c>
      <c r="BE4631" s="3" t="s">
        <v>44731</v>
      </c>
      <c r="BF4631" s="3" t="s">
        <v>44730</v>
      </c>
      <c r="BG4631" s="3" t="s">
        <v>44732</v>
      </c>
    </row>
    <row r="4632" spans="1:59" ht="72.5" x14ac:dyDescent="0.35">
      <c r="A4632" s="2" t="s">
        <v>59</v>
      </c>
      <c r="B4632" s="2" t="s">
        <v>60</v>
      </c>
      <c r="C4632" s="2" t="s">
        <v>44733</v>
      </c>
      <c r="D4632" s="2" t="s">
        <v>44734</v>
      </c>
      <c r="E4632" s="2" t="s">
        <v>44735</v>
      </c>
      <c r="G4632" s="3" t="s">
        <v>62</v>
      </c>
      <c r="I4632" s="3" t="s">
        <v>62</v>
      </c>
      <c r="J4632" s="3" t="s">
        <v>61</v>
      </c>
      <c r="K4632" s="3" t="s">
        <v>63</v>
      </c>
      <c r="L4632" s="2" t="s">
        <v>44736</v>
      </c>
      <c r="M4632" s="2" t="s">
        <v>44737</v>
      </c>
      <c r="N4632" s="3" t="s">
        <v>1077</v>
      </c>
      <c r="O4632" s="2" t="s">
        <v>2986</v>
      </c>
      <c r="P4632" s="3" t="s">
        <v>64</v>
      </c>
      <c r="R4632" s="3" t="s">
        <v>42369</v>
      </c>
      <c r="S4632" s="4">
        <v>7</v>
      </c>
      <c r="T4632" s="4">
        <v>7</v>
      </c>
      <c r="U4632" s="5" t="s">
        <v>44738</v>
      </c>
      <c r="V4632" s="5" t="s">
        <v>44738</v>
      </c>
      <c r="W4632" s="5" t="s">
        <v>67</v>
      </c>
      <c r="X4632" s="5" t="s">
        <v>67</v>
      </c>
      <c r="Y4632" s="4">
        <v>10</v>
      </c>
      <c r="Z4632" s="4">
        <v>1</v>
      </c>
      <c r="AA4632" s="4">
        <v>13</v>
      </c>
      <c r="AB4632" s="4">
        <v>1</v>
      </c>
      <c r="AC4632" s="4">
        <v>1</v>
      </c>
      <c r="AD4632" s="4">
        <v>2</v>
      </c>
      <c r="AE4632" s="4">
        <v>38</v>
      </c>
      <c r="AF4632" s="4">
        <v>0</v>
      </c>
      <c r="AG4632" s="4">
        <v>0</v>
      </c>
      <c r="AH4632" s="4">
        <v>2</v>
      </c>
      <c r="AI4632" s="4">
        <v>34</v>
      </c>
      <c r="AJ4632" s="4">
        <v>0</v>
      </c>
      <c r="AK4632" s="4">
        <v>10</v>
      </c>
      <c r="AL4632" s="4">
        <v>2</v>
      </c>
      <c r="AM4632" s="4">
        <v>20</v>
      </c>
      <c r="AN4632" s="4">
        <v>0</v>
      </c>
      <c r="AO4632" s="4">
        <v>0</v>
      </c>
      <c r="AP4632" s="4">
        <v>0</v>
      </c>
      <c r="AQ4632" s="4">
        <v>10</v>
      </c>
      <c r="AR4632" s="3" t="s">
        <v>62</v>
      </c>
      <c r="AS4632" s="3" t="s">
        <v>62</v>
      </c>
      <c r="AT4632" s="3" t="s">
        <v>62</v>
      </c>
      <c r="AV4632" s="6" t="str">
        <f>HYPERLINK("http://mcgill.on.worldcat.org/oclc/31709569","Catalog Record")</f>
        <v>Catalog Record</v>
      </c>
      <c r="AW4632" s="6" t="str">
        <f>HYPERLINK("http://www.worldcat.org/oclc/31709569","WorldCat Record")</f>
        <v>WorldCat Record</v>
      </c>
      <c r="AX4632" s="3" t="s">
        <v>44739</v>
      </c>
      <c r="AY4632" s="3" t="s">
        <v>44740</v>
      </c>
      <c r="AZ4632" s="3" t="s">
        <v>44741</v>
      </c>
      <c r="BA4632" s="3" t="s">
        <v>44741</v>
      </c>
      <c r="BB4632" s="3" t="s">
        <v>44742</v>
      </c>
      <c r="BC4632" s="3" t="s">
        <v>102</v>
      </c>
      <c r="BD4632" s="3" t="s">
        <v>68</v>
      </c>
      <c r="BE4632" s="3" t="s">
        <v>44743</v>
      </c>
      <c r="BF4632" s="3" t="s">
        <v>44742</v>
      </c>
      <c r="BG4632" s="3" t="s">
        <v>44744</v>
      </c>
    </row>
    <row r="4633" spans="1:59" ht="72.5" x14ac:dyDescent="0.35">
      <c r="A4633" s="2" t="s">
        <v>59</v>
      </c>
      <c r="B4633" s="2" t="s">
        <v>60</v>
      </c>
      <c r="C4633" s="2" t="s">
        <v>44745</v>
      </c>
      <c r="D4633" s="2" t="s">
        <v>44746</v>
      </c>
      <c r="E4633" s="2" t="s">
        <v>44747</v>
      </c>
      <c r="G4633" s="3" t="s">
        <v>62</v>
      </c>
      <c r="I4633" s="3" t="s">
        <v>61</v>
      </c>
      <c r="J4633" s="3" t="s">
        <v>61</v>
      </c>
      <c r="K4633" s="3" t="s">
        <v>63</v>
      </c>
      <c r="L4633" s="2" t="s">
        <v>44748</v>
      </c>
      <c r="M4633" s="2" t="s">
        <v>28705</v>
      </c>
      <c r="N4633" s="3" t="s">
        <v>1482</v>
      </c>
      <c r="P4633" s="3" t="s">
        <v>64</v>
      </c>
      <c r="R4633" s="3" t="s">
        <v>42369</v>
      </c>
      <c r="S4633" s="4">
        <v>14</v>
      </c>
      <c r="T4633" s="4">
        <v>28</v>
      </c>
      <c r="U4633" s="5" t="s">
        <v>8532</v>
      </c>
      <c r="V4633" s="5" t="s">
        <v>8532</v>
      </c>
      <c r="W4633" s="5" t="s">
        <v>67</v>
      </c>
      <c r="X4633" s="5" t="s">
        <v>67</v>
      </c>
      <c r="Y4633" s="4">
        <v>773</v>
      </c>
      <c r="Z4633" s="4">
        <v>31</v>
      </c>
      <c r="AA4633" s="4">
        <v>98</v>
      </c>
      <c r="AB4633" s="4">
        <v>3</v>
      </c>
      <c r="AC4633" s="4">
        <v>15</v>
      </c>
      <c r="AD4633" s="4">
        <v>115</v>
      </c>
      <c r="AE4633" s="4">
        <v>153</v>
      </c>
      <c r="AF4633" s="4">
        <v>2</v>
      </c>
      <c r="AG4633" s="4">
        <v>8</v>
      </c>
      <c r="AH4633" s="4">
        <v>96</v>
      </c>
      <c r="AI4633" s="4">
        <v>112</v>
      </c>
      <c r="AJ4633" s="4">
        <v>13</v>
      </c>
      <c r="AK4633" s="4">
        <v>26</v>
      </c>
      <c r="AL4633" s="4">
        <v>51</v>
      </c>
      <c r="AM4633" s="4">
        <v>59</v>
      </c>
      <c r="AN4633" s="4">
        <v>0</v>
      </c>
      <c r="AO4633" s="4">
        <v>0</v>
      </c>
      <c r="AP4633" s="4">
        <v>24</v>
      </c>
      <c r="AQ4633" s="4">
        <v>50</v>
      </c>
      <c r="AR4633" s="3" t="s">
        <v>62</v>
      </c>
      <c r="AS4633" s="3" t="s">
        <v>62</v>
      </c>
      <c r="AT4633" s="3" t="s">
        <v>61</v>
      </c>
      <c r="AU4633" s="6" t="str">
        <f>HYPERLINK("http://catalog.hathitrust.org/Record/000815603","HathiTrust Record")</f>
        <v>HathiTrust Record</v>
      </c>
      <c r="AV4633" s="6" t="str">
        <f>HYPERLINK("http://mcgill.on.worldcat.org/oclc/13497352","Catalog Record")</f>
        <v>Catalog Record</v>
      </c>
      <c r="AW4633" s="6" t="str">
        <f>HYPERLINK("http://www.worldcat.org/oclc/13497352","WorldCat Record")</f>
        <v>WorldCat Record</v>
      </c>
      <c r="AX4633" s="3" t="s">
        <v>44749</v>
      </c>
      <c r="AY4633" s="3" t="s">
        <v>44750</v>
      </c>
      <c r="AZ4633" s="3" t="s">
        <v>44751</v>
      </c>
      <c r="BA4633" s="3" t="s">
        <v>44751</v>
      </c>
      <c r="BB4633" s="3" t="s">
        <v>44752</v>
      </c>
      <c r="BC4633" s="3" t="s">
        <v>102</v>
      </c>
      <c r="BD4633" s="3" t="s">
        <v>231</v>
      </c>
      <c r="BE4633" s="3" t="s">
        <v>44753</v>
      </c>
      <c r="BF4633" s="3" t="s">
        <v>44752</v>
      </c>
      <c r="BG4633" s="3" t="s">
        <v>44754</v>
      </c>
    </row>
    <row r="4634" spans="1:59" ht="72.5" x14ac:dyDescent="0.35">
      <c r="A4634" s="2" t="s">
        <v>89</v>
      </c>
      <c r="B4634" s="2" t="s">
        <v>90</v>
      </c>
      <c r="C4634" s="2" t="s">
        <v>44755</v>
      </c>
      <c r="D4634" s="2" t="s">
        <v>44756</v>
      </c>
      <c r="E4634" s="2" t="s">
        <v>44757</v>
      </c>
      <c r="G4634" s="3" t="s">
        <v>62</v>
      </c>
      <c r="I4634" s="3" t="s">
        <v>62</v>
      </c>
      <c r="J4634" s="3" t="s">
        <v>62</v>
      </c>
      <c r="K4634" s="3" t="s">
        <v>63</v>
      </c>
      <c r="L4634" s="2" t="s">
        <v>44748</v>
      </c>
      <c r="M4634" s="2" t="s">
        <v>44758</v>
      </c>
      <c r="N4634" s="3" t="s">
        <v>880</v>
      </c>
      <c r="P4634" s="3" t="s">
        <v>64</v>
      </c>
      <c r="Q4634" s="2" t="s">
        <v>44759</v>
      </c>
      <c r="R4634" s="3" t="s">
        <v>42369</v>
      </c>
      <c r="S4634" s="4">
        <v>0</v>
      </c>
      <c r="T4634" s="4">
        <v>0</v>
      </c>
      <c r="W4634" s="5" t="s">
        <v>67</v>
      </c>
      <c r="X4634" s="5" t="s">
        <v>67</v>
      </c>
      <c r="Y4634" s="4">
        <v>41</v>
      </c>
      <c r="Z4634" s="4">
        <v>3</v>
      </c>
      <c r="AA4634" s="4">
        <v>3</v>
      </c>
      <c r="AB4634" s="4">
        <v>1</v>
      </c>
      <c r="AC4634" s="4">
        <v>1</v>
      </c>
      <c r="AD4634" s="4">
        <v>14</v>
      </c>
      <c r="AE4634" s="4">
        <v>14</v>
      </c>
      <c r="AF4634" s="4">
        <v>0</v>
      </c>
      <c r="AG4634" s="4">
        <v>0</v>
      </c>
      <c r="AH4634" s="4">
        <v>13</v>
      </c>
      <c r="AI4634" s="4">
        <v>13</v>
      </c>
      <c r="AJ4634" s="4">
        <v>2</v>
      </c>
      <c r="AK4634" s="4">
        <v>2</v>
      </c>
      <c r="AL4634" s="4">
        <v>9</v>
      </c>
      <c r="AM4634" s="4">
        <v>9</v>
      </c>
      <c r="AN4634" s="4">
        <v>0</v>
      </c>
      <c r="AO4634" s="4">
        <v>0</v>
      </c>
      <c r="AP4634" s="4">
        <v>2</v>
      </c>
      <c r="AQ4634" s="4">
        <v>2</v>
      </c>
      <c r="AR4634" s="3" t="s">
        <v>62</v>
      </c>
      <c r="AS4634" s="3" t="s">
        <v>62</v>
      </c>
      <c r="AT4634" s="3" t="s">
        <v>62</v>
      </c>
      <c r="AV4634" s="6" t="str">
        <f>HYPERLINK("http://mcgill.on.worldcat.org/oclc/727048455","Catalog Record")</f>
        <v>Catalog Record</v>
      </c>
      <c r="AW4634" s="6" t="str">
        <f>HYPERLINK("http://www.worldcat.org/oclc/727048455","WorldCat Record")</f>
        <v>WorldCat Record</v>
      </c>
      <c r="AX4634" s="3" t="s">
        <v>44760</v>
      </c>
      <c r="AY4634" s="3" t="s">
        <v>44761</v>
      </c>
      <c r="AZ4634" s="3" t="s">
        <v>44762</v>
      </c>
      <c r="BA4634" s="3" t="s">
        <v>44762</v>
      </c>
      <c r="BB4634" s="3" t="s">
        <v>44763</v>
      </c>
      <c r="BC4634" s="3" t="s">
        <v>102</v>
      </c>
      <c r="BD4634" s="3" t="s">
        <v>68</v>
      </c>
      <c r="BE4634" s="3" t="s">
        <v>44764</v>
      </c>
      <c r="BF4634" s="3" t="s">
        <v>44763</v>
      </c>
      <c r="BG4634" s="3" t="s">
        <v>44765</v>
      </c>
    </row>
    <row r="4635" spans="1:59" ht="72.5" x14ac:dyDescent="0.35">
      <c r="A4635" s="2" t="s">
        <v>59</v>
      </c>
      <c r="B4635" s="2" t="s">
        <v>60</v>
      </c>
      <c r="C4635" s="2" t="s">
        <v>44766</v>
      </c>
      <c r="D4635" s="2" t="s">
        <v>44767</v>
      </c>
      <c r="E4635" s="2" t="s">
        <v>44768</v>
      </c>
      <c r="G4635" s="3" t="s">
        <v>62</v>
      </c>
      <c r="I4635" s="3" t="s">
        <v>62</v>
      </c>
      <c r="J4635" s="3" t="s">
        <v>62</v>
      </c>
      <c r="K4635" s="3" t="s">
        <v>63</v>
      </c>
      <c r="L4635" s="2" t="s">
        <v>44769</v>
      </c>
      <c r="M4635" s="2" t="s">
        <v>44770</v>
      </c>
      <c r="N4635" s="3" t="s">
        <v>539</v>
      </c>
      <c r="P4635" s="3" t="s">
        <v>64</v>
      </c>
      <c r="R4635" s="3" t="s">
        <v>42369</v>
      </c>
      <c r="S4635" s="4">
        <v>4</v>
      </c>
      <c r="T4635" s="4">
        <v>4</v>
      </c>
      <c r="U4635" s="5" t="s">
        <v>13026</v>
      </c>
      <c r="V4635" s="5" t="s">
        <v>13026</v>
      </c>
      <c r="W4635" s="5" t="s">
        <v>67</v>
      </c>
      <c r="X4635" s="5" t="s">
        <v>67</v>
      </c>
      <c r="Y4635" s="4">
        <v>283</v>
      </c>
      <c r="Z4635" s="4">
        <v>6</v>
      </c>
      <c r="AA4635" s="4">
        <v>8</v>
      </c>
      <c r="AB4635" s="4">
        <v>1</v>
      </c>
      <c r="AC4635" s="4">
        <v>2</v>
      </c>
      <c r="AD4635" s="4">
        <v>48</v>
      </c>
      <c r="AE4635" s="4">
        <v>49</v>
      </c>
      <c r="AF4635" s="4">
        <v>0</v>
      </c>
      <c r="AG4635" s="4">
        <v>0</v>
      </c>
      <c r="AH4635" s="4">
        <v>47</v>
      </c>
      <c r="AI4635" s="4">
        <v>47</v>
      </c>
      <c r="AJ4635" s="4">
        <v>2</v>
      </c>
      <c r="AK4635" s="4">
        <v>2</v>
      </c>
      <c r="AL4635" s="4">
        <v>21</v>
      </c>
      <c r="AM4635" s="4">
        <v>21</v>
      </c>
      <c r="AN4635" s="4">
        <v>0</v>
      </c>
      <c r="AO4635" s="4">
        <v>0</v>
      </c>
      <c r="AP4635" s="4">
        <v>3</v>
      </c>
      <c r="AQ4635" s="4">
        <v>4</v>
      </c>
      <c r="AR4635" s="3" t="s">
        <v>62</v>
      </c>
      <c r="AS4635" s="3" t="s">
        <v>62</v>
      </c>
      <c r="AT4635" s="3" t="s">
        <v>62</v>
      </c>
      <c r="AV4635" s="6" t="str">
        <f>HYPERLINK("http://mcgill.on.worldcat.org/oclc/38438988","Catalog Record")</f>
        <v>Catalog Record</v>
      </c>
      <c r="AW4635" s="6" t="str">
        <f>HYPERLINK("http://www.worldcat.org/oclc/38438988","WorldCat Record")</f>
        <v>WorldCat Record</v>
      </c>
      <c r="AX4635" s="3" t="s">
        <v>44771</v>
      </c>
      <c r="AY4635" s="3" t="s">
        <v>44772</v>
      </c>
      <c r="AZ4635" s="3" t="s">
        <v>44773</v>
      </c>
      <c r="BA4635" s="3" t="s">
        <v>44773</v>
      </c>
      <c r="BB4635" s="3" t="s">
        <v>44774</v>
      </c>
      <c r="BC4635" s="3" t="s">
        <v>102</v>
      </c>
      <c r="BD4635" s="3" t="s">
        <v>68</v>
      </c>
      <c r="BE4635" s="3" t="s">
        <v>44775</v>
      </c>
      <c r="BF4635" s="3" t="s">
        <v>44774</v>
      </c>
      <c r="BG4635" s="3" t="s">
        <v>44776</v>
      </c>
    </row>
    <row r="4636" spans="1:59" ht="72.5" x14ac:dyDescent="0.35">
      <c r="A4636" s="2" t="s">
        <v>59</v>
      </c>
      <c r="B4636" s="2" t="s">
        <v>60</v>
      </c>
      <c r="C4636" s="2" t="s">
        <v>44777</v>
      </c>
      <c r="D4636" s="2" t="s">
        <v>44778</v>
      </c>
      <c r="E4636" s="2" t="s">
        <v>44779</v>
      </c>
      <c r="G4636" s="3" t="s">
        <v>62</v>
      </c>
      <c r="I4636" s="3" t="s">
        <v>62</v>
      </c>
      <c r="J4636" s="3" t="s">
        <v>62</v>
      </c>
      <c r="K4636" s="3" t="s">
        <v>63</v>
      </c>
      <c r="L4636" s="2" t="s">
        <v>44780</v>
      </c>
      <c r="M4636" s="2" t="s">
        <v>44781</v>
      </c>
      <c r="N4636" s="3" t="s">
        <v>596</v>
      </c>
      <c r="O4636" s="2" t="s">
        <v>2163</v>
      </c>
      <c r="P4636" s="3" t="s">
        <v>64</v>
      </c>
      <c r="Q4636" s="2" t="s">
        <v>44782</v>
      </c>
      <c r="R4636" s="3" t="s">
        <v>42369</v>
      </c>
      <c r="S4636" s="4">
        <v>4</v>
      </c>
      <c r="T4636" s="4">
        <v>4</v>
      </c>
      <c r="U4636" s="5" t="s">
        <v>5405</v>
      </c>
      <c r="V4636" s="5" t="s">
        <v>5405</v>
      </c>
      <c r="W4636" s="5" t="s">
        <v>67</v>
      </c>
      <c r="X4636" s="5" t="s">
        <v>67</v>
      </c>
      <c r="Y4636" s="4">
        <v>436</v>
      </c>
      <c r="Z4636" s="4">
        <v>9</v>
      </c>
      <c r="AA4636" s="4">
        <v>9</v>
      </c>
      <c r="AB4636" s="4">
        <v>2</v>
      </c>
      <c r="AC4636" s="4">
        <v>2</v>
      </c>
      <c r="AD4636" s="4">
        <v>68</v>
      </c>
      <c r="AE4636" s="4">
        <v>68</v>
      </c>
      <c r="AF4636" s="4">
        <v>0</v>
      </c>
      <c r="AG4636" s="4">
        <v>0</v>
      </c>
      <c r="AH4636" s="4">
        <v>67</v>
      </c>
      <c r="AI4636" s="4">
        <v>67</v>
      </c>
      <c r="AJ4636" s="4">
        <v>6</v>
      </c>
      <c r="AK4636" s="4">
        <v>6</v>
      </c>
      <c r="AL4636" s="4">
        <v>34</v>
      </c>
      <c r="AM4636" s="4">
        <v>34</v>
      </c>
      <c r="AN4636" s="4">
        <v>0</v>
      </c>
      <c r="AO4636" s="4">
        <v>0</v>
      </c>
      <c r="AP4636" s="4">
        <v>6</v>
      </c>
      <c r="AQ4636" s="4">
        <v>6</v>
      </c>
      <c r="AR4636" s="3" t="s">
        <v>62</v>
      </c>
      <c r="AS4636" s="3" t="s">
        <v>62</v>
      </c>
      <c r="AT4636" s="3" t="s">
        <v>62</v>
      </c>
      <c r="AV4636" s="6" t="str">
        <f>HYPERLINK("http://mcgill.on.worldcat.org/oclc/47443767","Catalog Record")</f>
        <v>Catalog Record</v>
      </c>
      <c r="AW4636" s="6" t="str">
        <f>HYPERLINK("http://www.worldcat.org/oclc/47443767","WorldCat Record")</f>
        <v>WorldCat Record</v>
      </c>
      <c r="AX4636" s="3" t="s">
        <v>44783</v>
      </c>
      <c r="AY4636" s="3" t="s">
        <v>44784</v>
      </c>
      <c r="AZ4636" s="3" t="s">
        <v>44785</v>
      </c>
      <c r="BA4636" s="3" t="s">
        <v>44785</v>
      </c>
      <c r="BB4636" s="3" t="s">
        <v>44786</v>
      </c>
      <c r="BC4636" s="3" t="s">
        <v>102</v>
      </c>
      <c r="BD4636" s="3" t="s">
        <v>68</v>
      </c>
      <c r="BE4636" s="3" t="s">
        <v>44787</v>
      </c>
      <c r="BF4636" s="3" t="s">
        <v>44786</v>
      </c>
      <c r="BG4636" s="3" t="s">
        <v>44788</v>
      </c>
    </row>
    <row r="4637" spans="1:59" ht="72.5" x14ac:dyDescent="0.35">
      <c r="A4637" s="2" t="s">
        <v>59</v>
      </c>
      <c r="B4637" s="2" t="s">
        <v>60</v>
      </c>
      <c r="C4637" s="2" t="s">
        <v>44789</v>
      </c>
      <c r="D4637" s="2" t="s">
        <v>44790</v>
      </c>
      <c r="E4637" s="2" t="s">
        <v>44791</v>
      </c>
      <c r="G4637" s="3" t="s">
        <v>62</v>
      </c>
      <c r="I4637" s="3" t="s">
        <v>62</v>
      </c>
      <c r="J4637" s="3" t="s">
        <v>62</v>
      </c>
      <c r="K4637" s="3" t="s">
        <v>63</v>
      </c>
      <c r="L4637" s="2" t="s">
        <v>44792</v>
      </c>
      <c r="M4637" s="2" t="s">
        <v>16325</v>
      </c>
      <c r="N4637" s="3" t="s">
        <v>355</v>
      </c>
      <c r="P4637" s="3" t="s">
        <v>64</v>
      </c>
      <c r="R4637" s="3" t="s">
        <v>42369</v>
      </c>
      <c r="S4637" s="4">
        <v>5</v>
      </c>
      <c r="T4637" s="4">
        <v>5</v>
      </c>
      <c r="U4637" s="5" t="s">
        <v>13039</v>
      </c>
      <c r="V4637" s="5" t="s">
        <v>13039</v>
      </c>
      <c r="W4637" s="5" t="s">
        <v>67</v>
      </c>
      <c r="X4637" s="5" t="s">
        <v>67</v>
      </c>
      <c r="Y4637" s="4">
        <v>354</v>
      </c>
      <c r="Z4637" s="4">
        <v>14</v>
      </c>
      <c r="AA4637" s="4">
        <v>14</v>
      </c>
      <c r="AB4637" s="4">
        <v>1</v>
      </c>
      <c r="AC4637" s="4">
        <v>1</v>
      </c>
      <c r="AD4637" s="4">
        <v>63</v>
      </c>
      <c r="AE4637" s="4">
        <v>63</v>
      </c>
      <c r="AF4637" s="4">
        <v>0</v>
      </c>
      <c r="AG4637" s="4">
        <v>0</v>
      </c>
      <c r="AH4637" s="4">
        <v>57</v>
      </c>
      <c r="AI4637" s="4">
        <v>57</v>
      </c>
      <c r="AJ4637" s="4">
        <v>8</v>
      </c>
      <c r="AK4637" s="4">
        <v>8</v>
      </c>
      <c r="AL4637" s="4">
        <v>32</v>
      </c>
      <c r="AM4637" s="4">
        <v>32</v>
      </c>
      <c r="AN4637" s="4">
        <v>0</v>
      </c>
      <c r="AO4637" s="4">
        <v>0</v>
      </c>
      <c r="AP4637" s="4">
        <v>8</v>
      </c>
      <c r="AQ4637" s="4">
        <v>8</v>
      </c>
      <c r="AR4637" s="3" t="s">
        <v>62</v>
      </c>
      <c r="AS4637" s="3" t="s">
        <v>62</v>
      </c>
      <c r="AT4637" s="3" t="s">
        <v>61</v>
      </c>
      <c r="AU4637" s="6" t="str">
        <f>HYPERLINK("http://catalog.hathitrust.org/Record/000415877","HathiTrust Record")</f>
        <v>HathiTrust Record</v>
      </c>
      <c r="AV4637" s="6" t="str">
        <f>HYPERLINK("http://mcgill.on.worldcat.org/oclc/10430019","Catalog Record")</f>
        <v>Catalog Record</v>
      </c>
      <c r="AW4637" s="6" t="str">
        <f>HYPERLINK("http://www.worldcat.org/oclc/10430019","WorldCat Record")</f>
        <v>WorldCat Record</v>
      </c>
      <c r="AX4637" s="3" t="s">
        <v>44793</v>
      </c>
      <c r="AY4637" s="3" t="s">
        <v>44794</v>
      </c>
      <c r="AZ4637" s="3" t="s">
        <v>44795</v>
      </c>
      <c r="BA4637" s="3" t="s">
        <v>44795</v>
      </c>
      <c r="BB4637" s="3" t="s">
        <v>44796</v>
      </c>
      <c r="BC4637" s="3" t="s">
        <v>102</v>
      </c>
      <c r="BD4637" s="3" t="s">
        <v>68</v>
      </c>
      <c r="BE4637" s="3" t="s">
        <v>44797</v>
      </c>
      <c r="BF4637" s="3" t="s">
        <v>44796</v>
      </c>
      <c r="BG4637" s="3" t="s">
        <v>44798</v>
      </c>
    </row>
    <row r="4638" spans="1:59" ht="58" x14ac:dyDescent="0.35">
      <c r="A4638" s="2" t="s">
        <v>59</v>
      </c>
      <c r="B4638" s="2" t="s">
        <v>60</v>
      </c>
      <c r="C4638" s="2" t="s">
        <v>44799</v>
      </c>
      <c r="D4638" s="2" t="s">
        <v>44800</v>
      </c>
      <c r="E4638" s="2" t="s">
        <v>44801</v>
      </c>
      <c r="G4638" s="3" t="s">
        <v>62</v>
      </c>
      <c r="I4638" s="3" t="s">
        <v>62</v>
      </c>
      <c r="J4638" s="3" t="s">
        <v>62</v>
      </c>
      <c r="K4638" s="3" t="s">
        <v>63</v>
      </c>
      <c r="L4638" s="2" t="s">
        <v>44802</v>
      </c>
      <c r="M4638" s="2" t="s">
        <v>44803</v>
      </c>
      <c r="N4638" s="3" t="s">
        <v>1639</v>
      </c>
      <c r="P4638" s="3" t="s">
        <v>64</v>
      </c>
      <c r="R4638" s="3" t="s">
        <v>42369</v>
      </c>
      <c r="S4638" s="4">
        <v>3</v>
      </c>
      <c r="T4638" s="4">
        <v>3</v>
      </c>
      <c r="U4638" s="5" t="s">
        <v>5322</v>
      </c>
      <c r="V4638" s="5" t="s">
        <v>5322</v>
      </c>
      <c r="W4638" s="5" t="s">
        <v>67</v>
      </c>
      <c r="X4638" s="5" t="s">
        <v>67</v>
      </c>
      <c r="Y4638" s="4">
        <v>289</v>
      </c>
      <c r="Z4638" s="4">
        <v>12</v>
      </c>
      <c r="AA4638" s="4">
        <v>13</v>
      </c>
      <c r="AB4638" s="4">
        <v>1</v>
      </c>
      <c r="AC4638" s="4">
        <v>2</v>
      </c>
      <c r="AD4638" s="4">
        <v>74</v>
      </c>
      <c r="AE4638" s="4">
        <v>75</v>
      </c>
      <c r="AF4638" s="4">
        <v>0</v>
      </c>
      <c r="AG4638" s="4">
        <v>1</v>
      </c>
      <c r="AH4638" s="4">
        <v>68</v>
      </c>
      <c r="AI4638" s="4">
        <v>69</v>
      </c>
      <c r="AJ4638" s="4">
        <v>8</v>
      </c>
      <c r="AK4638" s="4">
        <v>9</v>
      </c>
      <c r="AL4638" s="4">
        <v>34</v>
      </c>
      <c r="AM4638" s="4">
        <v>34</v>
      </c>
      <c r="AN4638" s="4">
        <v>0</v>
      </c>
      <c r="AO4638" s="4">
        <v>0</v>
      </c>
      <c r="AP4638" s="4">
        <v>10</v>
      </c>
      <c r="AQ4638" s="4">
        <v>11</v>
      </c>
      <c r="AR4638" s="3" t="s">
        <v>62</v>
      </c>
      <c r="AS4638" s="3" t="s">
        <v>62</v>
      </c>
      <c r="AT4638" s="3" t="s">
        <v>61</v>
      </c>
      <c r="AU4638" s="6" t="str">
        <f>HYPERLINK("http://catalog.hathitrust.org/Record/002009478","HathiTrust Record")</f>
        <v>HathiTrust Record</v>
      </c>
      <c r="AV4638" s="6" t="str">
        <f>HYPERLINK("http://mcgill.on.worldcat.org/oclc/80902","Catalog Record")</f>
        <v>Catalog Record</v>
      </c>
      <c r="AW4638" s="6" t="str">
        <f>HYPERLINK("http://www.worldcat.org/oclc/80902","WorldCat Record")</f>
        <v>WorldCat Record</v>
      </c>
      <c r="AX4638" s="3" t="s">
        <v>44804</v>
      </c>
      <c r="AY4638" s="3" t="s">
        <v>44805</v>
      </c>
      <c r="AZ4638" s="3" t="s">
        <v>44806</v>
      </c>
      <c r="BA4638" s="3" t="s">
        <v>44806</v>
      </c>
      <c r="BB4638" s="3" t="s">
        <v>44807</v>
      </c>
      <c r="BC4638" s="3" t="s">
        <v>102</v>
      </c>
      <c r="BD4638" s="3" t="s">
        <v>68</v>
      </c>
      <c r="BE4638" s="3" t="s">
        <v>44808</v>
      </c>
      <c r="BF4638" s="3" t="s">
        <v>44807</v>
      </c>
      <c r="BG4638" s="3" t="s">
        <v>44809</v>
      </c>
    </row>
    <row r="4639" spans="1:59" ht="58" x14ac:dyDescent="0.35">
      <c r="A4639" s="2" t="s">
        <v>59</v>
      </c>
      <c r="B4639" s="2" t="s">
        <v>60</v>
      </c>
      <c r="C4639" s="2" t="s">
        <v>44810</v>
      </c>
      <c r="D4639" s="2" t="s">
        <v>44811</v>
      </c>
      <c r="E4639" s="2" t="s">
        <v>44812</v>
      </c>
      <c r="G4639" s="3" t="s">
        <v>62</v>
      </c>
      <c r="I4639" s="3" t="s">
        <v>62</v>
      </c>
      <c r="J4639" s="3" t="s">
        <v>62</v>
      </c>
      <c r="K4639" s="3" t="s">
        <v>63</v>
      </c>
      <c r="M4639" s="2" t="s">
        <v>44813</v>
      </c>
      <c r="N4639" s="3" t="s">
        <v>481</v>
      </c>
      <c r="P4639" s="3" t="s">
        <v>64</v>
      </c>
      <c r="Q4639" s="2" t="s">
        <v>44814</v>
      </c>
      <c r="R4639" s="3" t="s">
        <v>42369</v>
      </c>
      <c r="S4639" s="4">
        <v>4</v>
      </c>
      <c r="T4639" s="4">
        <v>4</v>
      </c>
      <c r="U4639" s="5" t="s">
        <v>4876</v>
      </c>
      <c r="V4639" s="5" t="s">
        <v>4876</v>
      </c>
      <c r="W4639" s="5" t="s">
        <v>67</v>
      </c>
      <c r="X4639" s="5" t="s">
        <v>67</v>
      </c>
      <c r="Y4639" s="4">
        <v>15</v>
      </c>
      <c r="Z4639" s="4">
        <v>1</v>
      </c>
      <c r="AA4639" s="4">
        <v>1</v>
      </c>
      <c r="AB4639" s="4">
        <v>1</v>
      </c>
      <c r="AC4639" s="4">
        <v>1</v>
      </c>
      <c r="AD4639" s="4">
        <v>3</v>
      </c>
      <c r="AE4639" s="4">
        <v>3</v>
      </c>
      <c r="AF4639" s="4">
        <v>0</v>
      </c>
      <c r="AG4639" s="4">
        <v>0</v>
      </c>
      <c r="AH4639" s="4">
        <v>3</v>
      </c>
      <c r="AI4639" s="4">
        <v>3</v>
      </c>
      <c r="AJ4639" s="4">
        <v>0</v>
      </c>
      <c r="AK4639" s="4">
        <v>0</v>
      </c>
      <c r="AL4639" s="4">
        <v>3</v>
      </c>
      <c r="AM4639" s="4">
        <v>3</v>
      </c>
      <c r="AN4639" s="4">
        <v>0</v>
      </c>
      <c r="AO4639" s="4">
        <v>0</v>
      </c>
      <c r="AP4639" s="4">
        <v>0</v>
      </c>
      <c r="AQ4639" s="4">
        <v>0</v>
      </c>
      <c r="AR4639" s="3" t="s">
        <v>62</v>
      </c>
      <c r="AS4639" s="3" t="s">
        <v>62</v>
      </c>
      <c r="AT4639" s="3" t="s">
        <v>62</v>
      </c>
      <c r="AV4639" s="6" t="str">
        <f>HYPERLINK("http://mcgill.on.worldcat.org/oclc/38109609","Catalog Record")</f>
        <v>Catalog Record</v>
      </c>
      <c r="AW4639" s="6" t="str">
        <f>HYPERLINK("http://www.worldcat.org/oclc/38109609","WorldCat Record")</f>
        <v>WorldCat Record</v>
      </c>
      <c r="AX4639" s="3" t="s">
        <v>44815</v>
      </c>
      <c r="AY4639" s="3" t="s">
        <v>44816</v>
      </c>
      <c r="AZ4639" s="3" t="s">
        <v>44817</v>
      </c>
      <c r="BA4639" s="3" t="s">
        <v>44817</v>
      </c>
      <c r="BB4639" s="3" t="s">
        <v>44818</v>
      </c>
      <c r="BC4639" s="3" t="s">
        <v>102</v>
      </c>
      <c r="BD4639" s="3" t="s">
        <v>68</v>
      </c>
      <c r="BE4639" s="3" t="s">
        <v>44819</v>
      </c>
      <c r="BF4639" s="3" t="s">
        <v>44818</v>
      </c>
      <c r="BG4639" s="3" t="s">
        <v>44820</v>
      </c>
    </row>
    <row r="4640" spans="1:59" ht="58" x14ac:dyDescent="0.35">
      <c r="A4640" s="2" t="s">
        <v>59</v>
      </c>
      <c r="B4640" s="2" t="s">
        <v>60</v>
      </c>
      <c r="C4640" s="2" t="s">
        <v>44821</v>
      </c>
      <c r="D4640" s="2" t="s">
        <v>44822</v>
      </c>
      <c r="E4640" s="2" t="s">
        <v>44823</v>
      </c>
      <c r="G4640" s="3" t="s">
        <v>62</v>
      </c>
      <c r="I4640" s="3" t="s">
        <v>62</v>
      </c>
      <c r="J4640" s="3" t="s">
        <v>62</v>
      </c>
      <c r="K4640" s="3" t="s">
        <v>63</v>
      </c>
      <c r="L4640" s="2" t="s">
        <v>44824</v>
      </c>
      <c r="M4640" s="2" t="s">
        <v>44825</v>
      </c>
      <c r="N4640" s="3" t="s">
        <v>1905</v>
      </c>
      <c r="P4640" s="3" t="s">
        <v>64</v>
      </c>
      <c r="R4640" s="3" t="s">
        <v>42369</v>
      </c>
      <c r="S4640" s="4">
        <v>2</v>
      </c>
      <c r="T4640" s="4">
        <v>2</v>
      </c>
      <c r="U4640" s="5" t="s">
        <v>44826</v>
      </c>
      <c r="V4640" s="5" t="s">
        <v>44826</v>
      </c>
      <c r="W4640" s="5" t="s">
        <v>67</v>
      </c>
      <c r="X4640" s="5" t="s">
        <v>67</v>
      </c>
      <c r="Y4640" s="4">
        <v>780</v>
      </c>
      <c r="Z4640" s="4">
        <v>15</v>
      </c>
      <c r="AA4640" s="4">
        <v>16</v>
      </c>
      <c r="AB4640" s="4">
        <v>1</v>
      </c>
      <c r="AC4640" s="4">
        <v>1</v>
      </c>
      <c r="AD4640" s="4">
        <v>70</v>
      </c>
      <c r="AE4640" s="4">
        <v>77</v>
      </c>
      <c r="AF4640" s="4">
        <v>0</v>
      </c>
      <c r="AG4640" s="4">
        <v>0</v>
      </c>
      <c r="AH4640" s="4">
        <v>68</v>
      </c>
      <c r="AI4640" s="4">
        <v>74</v>
      </c>
      <c r="AJ4640" s="4">
        <v>7</v>
      </c>
      <c r="AK4640" s="4">
        <v>7</v>
      </c>
      <c r="AL4640" s="4">
        <v>36</v>
      </c>
      <c r="AM4640" s="4">
        <v>37</v>
      </c>
      <c r="AN4640" s="4">
        <v>0</v>
      </c>
      <c r="AO4640" s="4">
        <v>0</v>
      </c>
      <c r="AP4640" s="4">
        <v>7</v>
      </c>
      <c r="AQ4640" s="4">
        <v>7</v>
      </c>
      <c r="AR4640" s="3" t="s">
        <v>62</v>
      </c>
      <c r="AS4640" s="3" t="s">
        <v>62</v>
      </c>
      <c r="AT4640" s="3" t="s">
        <v>62</v>
      </c>
      <c r="AV4640" s="6" t="str">
        <f>HYPERLINK("http://mcgill.on.worldcat.org/oclc/15486687","Catalog Record")</f>
        <v>Catalog Record</v>
      </c>
      <c r="AW4640" s="6" t="str">
        <f>HYPERLINK("http://www.worldcat.org/oclc/15486687","WorldCat Record")</f>
        <v>WorldCat Record</v>
      </c>
      <c r="AX4640" s="3" t="s">
        <v>44827</v>
      </c>
      <c r="AY4640" s="3" t="s">
        <v>44828</v>
      </c>
      <c r="AZ4640" s="3" t="s">
        <v>44829</v>
      </c>
      <c r="BA4640" s="3" t="s">
        <v>44829</v>
      </c>
      <c r="BB4640" s="3" t="s">
        <v>44830</v>
      </c>
      <c r="BC4640" s="3" t="s">
        <v>102</v>
      </c>
      <c r="BD4640" s="3" t="s">
        <v>68</v>
      </c>
      <c r="BE4640" s="3" t="s">
        <v>44831</v>
      </c>
      <c r="BF4640" s="3" t="s">
        <v>44830</v>
      </c>
      <c r="BG4640" s="3" t="s">
        <v>44832</v>
      </c>
    </row>
    <row r="4641" spans="1:59" ht="87" x14ac:dyDescent="0.35">
      <c r="A4641" s="2" t="s">
        <v>59</v>
      </c>
      <c r="B4641" s="2" t="s">
        <v>60</v>
      </c>
      <c r="C4641" s="2" t="s">
        <v>44833</v>
      </c>
      <c r="D4641" s="2" t="s">
        <v>44834</v>
      </c>
      <c r="E4641" s="2" t="s">
        <v>44835</v>
      </c>
      <c r="G4641" s="3" t="s">
        <v>62</v>
      </c>
      <c r="I4641" s="3" t="s">
        <v>62</v>
      </c>
      <c r="J4641" s="3" t="s">
        <v>61</v>
      </c>
      <c r="K4641" s="3" t="s">
        <v>63</v>
      </c>
      <c r="L4641" s="2" t="s">
        <v>44836</v>
      </c>
      <c r="M4641" s="2" t="s">
        <v>44837</v>
      </c>
      <c r="N4641" s="3" t="s">
        <v>87</v>
      </c>
      <c r="P4641" s="3" t="s">
        <v>64</v>
      </c>
      <c r="R4641" s="3" t="s">
        <v>42369</v>
      </c>
      <c r="S4641" s="4">
        <v>3</v>
      </c>
      <c r="T4641" s="4">
        <v>3</v>
      </c>
      <c r="U4641" s="5" t="s">
        <v>4234</v>
      </c>
      <c r="V4641" s="5" t="s">
        <v>4234</v>
      </c>
      <c r="W4641" s="5" t="s">
        <v>67</v>
      </c>
      <c r="X4641" s="5" t="s">
        <v>67</v>
      </c>
      <c r="Y4641" s="4">
        <v>62</v>
      </c>
      <c r="Z4641" s="4">
        <v>16</v>
      </c>
      <c r="AA4641" s="4">
        <v>25</v>
      </c>
      <c r="AB4641" s="4">
        <v>1</v>
      </c>
      <c r="AC4641" s="4">
        <v>3</v>
      </c>
      <c r="AD4641" s="4">
        <v>25</v>
      </c>
      <c r="AE4641" s="4">
        <v>44</v>
      </c>
      <c r="AF4641" s="4">
        <v>0</v>
      </c>
      <c r="AG4641" s="4">
        <v>1</v>
      </c>
      <c r="AH4641" s="4">
        <v>22</v>
      </c>
      <c r="AI4641" s="4">
        <v>37</v>
      </c>
      <c r="AJ4641" s="4">
        <v>7</v>
      </c>
      <c r="AK4641" s="4">
        <v>12</v>
      </c>
      <c r="AL4641" s="4">
        <v>9</v>
      </c>
      <c r="AM4641" s="4">
        <v>17</v>
      </c>
      <c r="AN4641" s="4">
        <v>0</v>
      </c>
      <c r="AO4641" s="4">
        <v>0</v>
      </c>
      <c r="AP4641" s="4">
        <v>7</v>
      </c>
      <c r="AQ4641" s="4">
        <v>13</v>
      </c>
      <c r="AR4641" s="3" t="s">
        <v>61</v>
      </c>
      <c r="AS4641" s="3" t="s">
        <v>62</v>
      </c>
      <c r="AT4641" s="3" t="s">
        <v>61</v>
      </c>
      <c r="AU4641" s="6" t="str">
        <f>HYPERLINK("http://catalog.hathitrust.org/Record/000312743","HathiTrust Record")</f>
        <v>HathiTrust Record</v>
      </c>
      <c r="AV4641" s="6" t="str">
        <f>HYPERLINK("http://mcgill.on.worldcat.org/oclc/5684860","Catalog Record")</f>
        <v>Catalog Record</v>
      </c>
      <c r="AW4641" s="6" t="str">
        <f>HYPERLINK("http://www.worldcat.org/oclc/5684860","WorldCat Record")</f>
        <v>WorldCat Record</v>
      </c>
      <c r="AX4641" s="3" t="s">
        <v>44838</v>
      </c>
      <c r="AY4641" s="3" t="s">
        <v>44839</v>
      </c>
      <c r="AZ4641" s="3" t="s">
        <v>44840</v>
      </c>
      <c r="BA4641" s="3" t="s">
        <v>44840</v>
      </c>
      <c r="BB4641" s="3" t="s">
        <v>44841</v>
      </c>
      <c r="BC4641" s="3" t="s">
        <v>102</v>
      </c>
      <c r="BD4641" s="3" t="s">
        <v>68</v>
      </c>
      <c r="BF4641" s="3" t="s">
        <v>44841</v>
      </c>
      <c r="BG4641" s="3" t="s">
        <v>44842</v>
      </c>
    </row>
    <row r="4642" spans="1:59" ht="58" x14ac:dyDescent="0.35">
      <c r="A4642" s="2" t="s">
        <v>59</v>
      </c>
      <c r="B4642" s="2" t="s">
        <v>60</v>
      </c>
      <c r="C4642" s="2" t="s">
        <v>44843</v>
      </c>
      <c r="D4642" s="2" t="s">
        <v>44844</v>
      </c>
      <c r="E4642" s="2" t="s">
        <v>44845</v>
      </c>
      <c r="G4642" s="3" t="s">
        <v>62</v>
      </c>
      <c r="I4642" s="3" t="s">
        <v>62</v>
      </c>
      <c r="J4642" s="3" t="s">
        <v>62</v>
      </c>
      <c r="K4642" s="3" t="s">
        <v>63</v>
      </c>
      <c r="L4642" s="2" t="s">
        <v>44846</v>
      </c>
      <c r="M4642" s="2" t="s">
        <v>44847</v>
      </c>
      <c r="N4642" s="3" t="s">
        <v>285</v>
      </c>
      <c r="P4642" s="3" t="s">
        <v>64</v>
      </c>
      <c r="R4642" s="3" t="s">
        <v>42369</v>
      </c>
      <c r="S4642" s="4">
        <v>4</v>
      </c>
      <c r="T4642" s="4">
        <v>4</v>
      </c>
      <c r="U4642" s="5" t="s">
        <v>44848</v>
      </c>
      <c r="V4642" s="5" t="s">
        <v>44848</v>
      </c>
      <c r="W4642" s="5" t="s">
        <v>67</v>
      </c>
      <c r="X4642" s="5" t="s">
        <v>67</v>
      </c>
      <c r="Y4642" s="4">
        <v>241</v>
      </c>
      <c r="Z4642" s="4">
        <v>15</v>
      </c>
      <c r="AA4642" s="4">
        <v>17</v>
      </c>
      <c r="AB4642" s="4">
        <v>1</v>
      </c>
      <c r="AC4642" s="4">
        <v>3</v>
      </c>
      <c r="AD4642" s="4">
        <v>84</v>
      </c>
      <c r="AE4642" s="4">
        <v>86</v>
      </c>
      <c r="AF4642" s="4">
        <v>0</v>
      </c>
      <c r="AG4642" s="4">
        <v>2</v>
      </c>
      <c r="AH4642" s="4">
        <v>77</v>
      </c>
      <c r="AI4642" s="4">
        <v>77</v>
      </c>
      <c r="AJ4642" s="4">
        <v>10</v>
      </c>
      <c r="AK4642" s="4">
        <v>12</v>
      </c>
      <c r="AL4642" s="4">
        <v>37</v>
      </c>
      <c r="AM4642" s="4">
        <v>37</v>
      </c>
      <c r="AN4642" s="4">
        <v>0</v>
      </c>
      <c r="AO4642" s="4">
        <v>0</v>
      </c>
      <c r="AP4642" s="4">
        <v>12</v>
      </c>
      <c r="AQ4642" s="4">
        <v>13</v>
      </c>
      <c r="AR4642" s="3" t="s">
        <v>62</v>
      </c>
      <c r="AS4642" s="3" t="s">
        <v>62</v>
      </c>
      <c r="AT4642" s="3" t="s">
        <v>61</v>
      </c>
      <c r="AU4642" s="6" t="str">
        <f>HYPERLINK("http://catalog.hathitrust.org/Record/000189535","HathiTrust Record")</f>
        <v>HathiTrust Record</v>
      </c>
      <c r="AV4642" s="6" t="str">
        <f>HYPERLINK("http://mcgill.on.worldcat.org/oclc/7169711","Catalog Record")</f>
        <v>Catalog Record</v>
      </c>
      <c r="AW4642" s="6" t="str">
        <f>HYPERLINK("http://www.worldcat.org/oclc/7169711","WorldCat Record")</f>
        <v>WorldCat Record</v>
      </c>
      <c r="AX4642" s="3" t="s">
        <v>44849</v>
      </c>
      <c r="AY4642" s="3" t="s">
        <v>44850</v>
      </c>
      <c r="AZ4642" s="3" t="s">
        <v>44851</v>
      </c>
      <c r="BA4642" s="3" t="s">
        <v>44851</v>
      </c>
      <c r="BB4642" s="3" t="s">
        <v>44852</v>
      </c>
      <c r="BC4642" s="3" t="s">
        <v>102</v>
      </c>
      <c r="BD4642" s="3" t="s">
        <v>68</v>
      </c>
      <c r="BE4642" s="3" t="s">
        <v>44853</v>
      </c>
      <c r="BF4642" s="3" t="s">
        <v>44852</v>
      </c>
      <c r="BG4642" s="3" t="s">
        <v>44854</v>
      </c>
    </row>
    <row r="4643" spans="1:59" ht="58" x14ac:dyDescent="0.35">
      <c r="A4643" s="2" t="s">
        <v>59</v>
      </c>
      <c r="B4643" s="2" t="s">
        <v>60</v>
      </c>
      <c r="C4643" s="2" t="s">
        <v>44855</v>
      </c>
      <c r="D4643" s="2" t="s">
        <v>44856</v>
      </c>
      <c r="E4643" s="2" t="s">
        <v>44857</v>
      </c>
      <c r="G4643" s="3" t="s">
        <v>62</v>
      </c>
      <c r="I4643" s="3" t="s">
        <v>62</v>
      </c>
      <c r="J4643" s="3" t="s">
        <v>62</v>
      </c>
      <c r="K4643" s="3" t="s">
        <v>63</v>
      </c>
      <c r="L4643" s="2" t="s">
        <v>44858</v>
      </c>
      <c r="M4643" s="2" t="s">
        <v>44859</v>
      </c>
      <c r="N4643" s="3" t="s">
        <v>438</v>
      </c>
      <c r="P4643" s="3" t="s">
        <v>64</v>
      </c>
      <c r="R4643" s="3" t="s">
        <v>42369</v>
      </c>
      <c r="S4643" s="4">
        <v>7</v>
      </c>
      <c r="T4643" s="4">
        <v>7</v>
      </c>
      <c r="U4643" s="5" t="s">
        <v>11453</v>
      </c>
      <c r="V4643" s="5" t="s">
        <v>11453</v>
      </c>
      <c r="W4643" s="5" t="s">
        <v>67</v>
      </c>
      <c r="X4643" s="5" t="s">
        <v>67</v>
      </c>
      <c r="Y4643" s="4">
        <v>210</v>
      </c>
      <c r="Z4643" s="4">
        <v>13</v>
      </c>
      <c r="AA4643" s="4">
        <v>21</v>
      </c>
      <c r="AB4643" s="4">
        <v>3</v>
      </c>
      <c r="AC4643" s="4">
        <v>7</v>
      </c>
      <c r="AD4643" s="4">
        <v>62</v>
      </c>
      <c r="AE4643" s="4">
        <v>66</v>
      </c>
      <c r="AF4643" s="4">
        <v>0</v>
      </c>
      <c r="AG4643" s="4">
        <v>2</v>
      </c>
      <c r="AH4643" s="4">
        <v>57</v>
      </c>
      <c r="AI4643" s="4">
        <v>58</v>
      </c>
      <c r="AJ4643" s="4">
        <v>5</v>
      </c>
      <c r="AK4643" s="4">
        <v>8</v>
      </c>
      <c r="AL4643" s="4">
        <v>35</v>
      </c>
      <c r="AM4643" s="4">
        <v>35</v>
      </c>
      <c r="AN4643" s="4">
        <v>2</v>
      </c>
      <c r="AO4643" s="4">
        <v>2</v>
      </c>
      <c r="AP4643" s="4">
        <v>6</v>
      </c>
      <c r="AQ4643" s="4">
        <v>9</v>
      </c>
      <c r="AR4643" s="3" t="s">
        <v>62</v>
      </c>
      <c r="AS4643" s="3" t="s">
        <v>62</v>
      </c>
      <c r="AT4643" s="3" t="s">
        <v>61</v>
      </c>
      <c r="AU4643" s="6" t="str">
        <f>HYPERLINK("http://catalog.hathitrust.org/Record/002438056","HathiTrust Record")</f>
        <v>HathiTrust Record</v>
      </c>
      <c r="AV4643" s="6" t="str">
        <f>HYPERLINK("http://mcgill.on.worldcat.org/oclc/21790684","Catalog Record")</f>
        <v>Catalog Record</v>
      </c>
      <c r="AW4643" s="6" t="str">
        <f>HYPERLINK("http://www.worldcat.org/oclc/21790684","WorldCat Record")</f>
        <v>WorldCat Record</v>
      </c>
      <c r="AX4643" s="3" t="s">
        <v>44860</v>
      </c>
      <c r="AY4643" s="3" t="s">
        <v>44861</v>
      </c>
      <c r="AZ4643" s="3" t="s">
        <v>44862</v>
      </c>
      <c r="BA4643" s="3" t="s">
        <v>44862</v>
      </c>
      <c r="BB4643" s="3" t="s">
        <v>44863</v>
      </c>
      <c r="BC4643" s="3" t="s">
        <v>102</v>
      </c>
      <c r="BD4643" s="3" t="s">
        <v>6923</v>
      </c>
      <c r="BE4643" s="3" t="s">
        <v>44864</v>
      </c>
      <c r="BF4643" s="3" t="s">
        <v>44863</v>
      </c>
      <c r="BG4643" s="3" t="s">
        <v>44865</v>
      </c>
    </row>
    <row r="4644" spans="1:59" ht="72.5" x14ac:dyDescent="0.35">
      <c r="A4644" s="2" t="s">
        <v>89</v>
      </c>
      <c r="B4644" s="2" t="s">
        <v>90</v>
      </c>
      <c r="C4644" s="2" t="s">
        <v>44866</v>
      </c>
      <c r="D4644" s="2" t="s">
        <v>44867</v>
      </c>
      <c r="E4644" s="2" t="s">
        <v>44868</v>
      </c>
      <c r="F4644" s="3" t="s">
        <v>28025</v>
      </c>
      <c r="G4644" s="3" t="s">
        <v>62</v>
      </c>
      <c r="I4644" s="3" t="s">
        <v>62</v>
      </c>
      <c r="J4644" s="3" t="s">
        <v>62</v>
      </c>
      <c r="K4644" s="3" t="s">
        <v>63</v>
      </c>
      <c r="M4644" s="2" t="s">
        <v>44869</v>
      </c>
      <c r="N4644" s="3" t="s">
        <v>2975</v>
      </c>
      <c r="P4644" s="3" t="s">
        <v>64</v>
      </c>
      <c r="R4644" s="3" t="s">
        <v>42369</v>
      </c>
      <c r="S4644" s="4">
        <v>7</v>
      </c>
      <c r="T4644" s="4">
        <v>7</v>
      </c>
      <c r="U4644" s="5" t="s">
        <v>22212</v>
      </c>
      <c r="V4644" s="5" t="s">
        <v>22212</v>
      </c>
      <c r="W4644" s="5" t="s">
        <v>67</v>
      </c>
      <c r="X4644" s="5" t="s">
        <v>67</v>
      </c>
      <c r="Y4644" s="4">
        <v>23</v>
      </c>
      <c r="Z4644" s="4">
        <v>3</v>
      </c>
      <c r="AA4644" s="4">
        <v>3</v>
      </c>
      <c r="AB4644" s="4">
        <v>2</v>
      </c>
      <c r="AC4644" s="4">
        <v>2</v>
      </c>
      <c r="AD4644" s="4">
        <v>8</v>
      </c>
      <c r="AE4644" s="4">
        <v>8</v>
      </c>
      <c r="AF4644" s="4">
        <v>0</v>
      </c>
      <c r="AG4644" s="4">
        <v>0</v>
      </c>
      <c r="AH4644" s="4">
        <v>7</v>
      </c>
      <c r="AI4644" s="4">
        <v>7</v>
      </c>
      <c r="AJ4644" s="4">
        <v>0</v>
      </c>
      <c r="AK4644" s="4">
        <v>0</v>
      </c>
      <c r="AL4644" s="4">
        <v>7</v>
      </c>
      <c r="AM4644" s="4">
        <v>7</v>
      </c>
      <c r="AN4644" s="4">
        <v>0</v>
      </c>
      <c r="AO4644" s="4">
        <v>0</v>
      </c>
      <c r="AP4644" s="4">
        <v>1</v>
      </c>
      <c r="AQ4644" s="4">
        <v>1</v>
      </c>
      <c r="AR4644" s="3" t="s">
        <v>62</v>
      </c>
      <c r="AS4644" s="3" t="s">
        <v>62</v>
      </c>
      <c r="AT4644" s="3" t="s">
        <v>62</v>
      </c>
      <c r="AV4644" s="6" t="str">
        <f>HYPERLINK("http://mcgill.on.worldcat.org/oclc/82601381","Catalog Record")</f>
        <v>Catalog Record</v>
      </c>
      <c r="AW4644" s="6" t="str">
        <f>HYPERLINK("http://www.worldcat.org/oclc/82601381","WorldCat Record")</f>
        <v>WorldCat Record</v>
      </c>
      <c r="AX4644" s="3" t="s">
        <v>44870</v>
      </c>
      <c r="AY4644" s="3" t="s">
        <v>44871</v>
      </c>
      <c r="AZ4644" s="3" t="s">
        <v>44872</v>
      </c>
      <c r="BA4644" s="3" t="s">
        <v>44872</v>
      </c>
      <c r="BB4644" s="3" t="s">
        <v>44873</v>
      </c>
      <c r="BC4644" s="3" t="s">
        <v>44874</v>
      </c>
      <c r="BD4644" s="3" t="s">
        <v>68</v>
      </c>
      <c r="BF4644" s="3" t="s">
        <v>44873</v>
      </c>
      <c r="BG4644" s="3" t="s">
        <v>44875</v>
      </c>
    </row>
    <row r="4645" spans="1:59" ht="58" x14ac:dyDescent="0.35">
      <c r="A4645" s="2" t="s">
        <v>59</v>
      </c>
      <c r="B4645" s="2" t="s">
        <v>60</v>
      </c>
      <c r="C4645" s="2" t="s">
        <v>44876</v>
      </c>
      <c r="D4645" s="2" t="s">
        <v>44877</v>
      </c>
      <c r="E4645" s="2" t="s">
        <v>44878</v>
      </c>
      <c r="G4645" s="3" t="s">
        <v>62</v>
      </c>
      <c r="I4645" s="3" t="s">
        <v>62</v>
      </c>
      <c r="J4645" s="3" t="s">
        <v>62</v>
      </c>
      <c r="K4645" s="3" t="s">
        <v>63</v>
      </c>
      <c r="L4645" s="2" t="s">
        <v>44879</v>
      </c>
      <c r="M4645" s="2" t="s">
        <v>44880</v>
      </c>
      <c r="N4645" s="3" t="s">
        <v>2588</v>
      </c>
      <c r="P4645" s="3" t="s">
        <v>64</v>
      </c>
      <c r="R4645" s="3" t="s">
        <v>42369</v>
      </c>
      <c r="S4645" s="4">
        <v>13</v>
      </c>
      <c r="T4645" s="4">
        <v>13</v>
      </c>
      <c r="U4645" s="5" t="s">
        <v>1977</v>
      </c>
      <c r="V4645" s="5" t="s">
        <v>1977</v>
      </c>
      <c r="W4645" s="5" t="s">
        <v>67</v>
      </c>
      <c r="X4645" s="5" t="s">
        <v>67</v>
      </c>
      <c r="Y4645" s="4">
        <v>653</v>
      </c>
      <c r="Z4645" s="4">
        <v>26</v>
      </c>
      <c r="AA4645" s="4">
        <v>28</v>
      </c>
      <c r="AB4645" s="4">
        <v>3</v>
      </c>
      <c r="AC4645" s="4">
        <v>5</v>
      </c>
      <c r="AD4645" s="4">
        <v>92</v>
      </c>
      <c r="AE4645" s="4">
        <v>93</v>
      </c>
      <c r="AF4645" s="4">
        <v>1</v>
      </c>
      <c r="AG4645" s="4">
        <v>2</v>
      </c>
      <c r="AH4645" s="4">
        <v>79</v>
      </c>
      <c r="AI4645" s="4">
        <v>79</v>
      </c>
      <c r="AJ4645" s="4">
        <v>14</v>
      </c>
      <c r="AK4645" s="4">
        <v>15</v>
      </c>
      <c r="AL4645" s="4">
        <v>38</v>
      </c>
      <c r="AM4645" s="4">
        <v>38</v>
      </c>
      <c r="AN4645" s="4">
        <v>0</v>
      </c>
      <c r="AO4645" s="4">
        <v>0</v>
      </c>
      <c r="AP4645" s="4">
        <v>18</v>
      </c>
      <c r="AQ4645" s="4">
        <v>19</v>
      </c>
      <c r="AR4645" s="3" t="s">
        <v>62</v>
      </c>
      <c r="AS4645" s="3" t="s">
        <v>62</v>
      </c>
      <c r="AT4645" s="3" t="s">
        <v>61</v>
      </c>
      <c r="AU4645" s="6" t="str">
        <f>HYPERLINK("http://catalog.hathitrust.org/Record/000182637","HathiTrust Record")</f>
        <v>HathiTrust Record</v>
      </c>
      <c r="AV4645" s="6" t="str">
        <f>HYPERLINK("http://mcgill.on.worldcat.org/oclc/2968562","Catalog Record")</f>
        <v>Catalog Record</v>
      </c>
      <c r="AW4645" s="6" t="str">
        <f>HYPERLINK("http://www.worldcat.org/oclc/2968562","WorldCat Record")</f>
        <v>WorldCat Record</v>
      </c>
      <c r="AX4645" s="3" t="s">
        <v>44881</v>
      </c>
      <c r="AY4645" s="3" t="s">
        <v>44882</v>
      </c>
      <c r="AZ4645" s="3" t="s">
        <v>44883</v>
      </c>
      <c r="BA4645" s="3" t="s">
        <v>44883</v>
      </c>
      <c r="BB4645" s="3" t="s">
        <v>44884</v>
      </c>
      <c r="BC4645" s="3" t="s">
        <v>102</v>
      </c>
      <c r="BD4645" s="3" t="s">
        <v>68</v>
      </c>
      <c r="BE4645" s="3" t="s">
        <v>44885</v>
      </c>
      <c r="BF4645" s="3" t="s">
        <v>44884</v>
      </c>
      <c r="BG4645" s="3" t="s">
        <v>44886</v>
      </c>
    </row>
    <row r="4646" spans="1:59" ht="58" x14ac:dyDescent="0.35">
      <c r="A4646" s="2" t="s">
        <v>59</v>
      </c>
      <c r="B4646" s="2" t="s">
        <v>60</v>
      </c>
      <c r="C4646" s="2" t="s">
        <v>44887</v>
      </c>
      <c r="D4646" s="2" t="s">
        <v>44888</v>
      </c>
      <c r="E4646" s="2" t="s">
        <v>44889</v>
      </c>
      <c r="G4646" s="3" t="s">
        <v>62</v>
      </c>
      <c r="I4646" s="3" t="s">
        <v>62</v>
      </c>
      <c r="J4646" s="3" t="s">
        <v>62</v>
      </c>
      <c r="K4646" s="3" t="s">
        <v>63</v>
      </c>
      <c r="L4646" s="2" t="s">
        <v>44890</v>
      </c>
      <c r="M4646" s="2" t="s">
        <v>44891</v>
      </c>
      <c r="N4646" s="3" t="s">
        <v>157</v>
      </c>
      <c r="P4646" s="3" t="s">
        <v>64</v>
      </c>
      <c r="R4646" s="3" t="s">
        <v>42369</v>
      </c>
      <c r="S4646" s="4">
        <v>3</v>
      </c>
      <c r="T4646" s="4">
        <v>3</v>
      </c>
      <c r="U4646" s="5" t="s">
        <v>7472</v>
      </c>
      <c r="V4646" s="5" t="s">
        <v>7472</v>
      </c>
      <c r="W4646" s="5" t="s">
        <v>67</v>
      </c>
      <c r="X4646" s="5" t="s">
        <v>67</v>
      </c>
      <c r="Y4646" s="4">
        <v>221</v>
      </c>
      <c r="Z4646" s="4">
        <v>21</v>
      </c>
      <c r="AA4646" s="4">
        <v>30</v>
      </c>
      <c r="AB4646" s="4">
        <v>2</v>
      </c>
      <c r="AC4646" s="4">
        <v>5</v>
      </c>
      <c r="AD4646" s="4">
        <v>69</v>
      </c>
      <c r="AE4646" s="4">
        <v>89</v>
      </c>
      <c r="AF4646" s="4">
        <v>1</v>
      </c>
      <c r="AG4646" s="4">
        <v>3</v>
      </c>
      <c r="AH4646" s="4">
        <v>58</v>
      </c>
      <c r="AI4646" s="4">
        <v>73</v>
      </c>
      <c r="AJ4646" s="4">
        <v>13</v>
      </c>
      <c r="AK4646" s="4">
        <v>20</v>
      </c>
      <c r="AL4646" s="4">
        <v>28</v>
      </c>
      <c r="AM4646" s="4">
        <v>38</v>
      </c>
      <c r="AN4646" s="4">
        <v>0</v>
      </c>
      <c r="AO4646" s="4">
        <v>0</v>
      </c>
      <c r="AP4646" s="4">
        <v>17</v>
      </c>
      <c r="AQ4646" s="4">
        <v>24</v>
      </c>
      <c r="AR4646" s="3" t="s">
        <v>62</v>
      </c>
      <c r="AS4646" s="3" t="s">
        <v>62</v>
      </c>
      <c r="AT4646" s="3" t="s">
        <v>61</v>
      </c>
      <c r="AU4646" s="6" t="str">
        <f>HYPERLINK("http://catalog.hathitrust.org/Record/009518743","HathiTrust Record")</f>
        <v>HathiTrust Record</v>
      </c>
      <c r="AV4646" s="6" t="str">
        <f>HYPERLINK("http://mcgill.on.worldcat.org/oclc/677469","Catalog Record")</f>
        <v>Catalog Record</v>
      </c>
      <c r="AW4646" s="6" t="str">
        <f>HYPERLINK("http://www.worldcat.org/oclc/677469","WorldCat Record")</f>
        <v>WorldCat Record</v>
      </c>
      <c r="AX4646" s="3" t="s">
        <v>44892</v>
      </c>
      <c r="AY4646" s="3" t="s">
        <v>44893</v>
      </c>
      <c r="AZ4646" s="3" t="s">
        <v>44894</v>
      </c>
      <c r="BA4646" s="3" t="s">
        <v>44894</v>
      </c>
      <c r="BB4646" s="3" t="s">
        <v>44895</v>
      </c>
      <c r="BC4646" s="3" t="s">
        <v>102</v>
      </c>
      <c r="BD4646" s="3" t="s">
        <v>68</v>
      </c>
      <c r="BE4646" s="3" t="s">
        <v>44896</v>
      </c>
      <c r="BF4646" s="3" t="s">
        <v>44895</v>
      </c>
      <c r="BG4646" s="3" t="s">
        <v>44897</v>
      </c>
    </row>
    <row r="4647" spans="1:59" ht="58" x14ac:dyDescent="0.35">
      <c r="A4647" s="2" t="s">
        <v>59</v>
      </c>
      <c r="B4647" s="2" t="s">
        <v>60</v>
      </c>
      <c r="C4647" s="2" t="s">
        <v>44898</v>
      </c>
      <c r="D4647" s="2" t="s">
        <v>44899</v>
      </c>
      <c r="E4647" s="2" t="s">
        <v>44900</v>
      </c>
      <c r="G4647" s="3" t="s">
        <v>62</v>
      </c>
      <c r="I4647" s="3" t="s">
        <v>61</v>
      </c>
      <c r="J4647" s="3" t="s">
        <v>62</v>
      </c>
      <c r="K4647" s="3" t="s">
        <v>63</v>
      </c>
      <c r="L4647" s="2" t="s">
        <v>44901</v>
      </c>
      <c r="M4647" s="2" t="s">
        <v>44902</v>
      </c>
      <c r="N4647" s="3" t="s">
        <v>838</v>
      </c>
      <c r="P4647" s="3" t="s">
        <v>64</v>
      </c>
      <c r="R4647" s="3" t="s">
        <v>42369</v>
      </c>
      <c r="S4647" s="4">
        <v>0</v>
      </c>
      <c r="T4647" s="4">
        <v>2</v>
      </c>
      <c r="V4647" s="5" t="s">
        <v>6531</v>
      </c>
      <c r="W4647" s="5" t="s">
        <v>67</v>
      </c>
      <c r="X4647" s="5" t="s">
        <v>67</v>
      </c>
      <c r="Y4647" s="4">
        <v>4</v>
      </c>
      <c r="Z4647" s="4">
        <v>2</v>
      </c>
      <c r="AA4647" s="4">
        <v>51</v>
      </c>
      <c r="AB4647" s="4">
        <v>1</v>
      </c>
      <c r="AC4647" s="4">
        <v>7</v>
      </c>
      <c r="AD4647" s="4">
        <v>1</v>
      </c>
      <c r="AE4647" s="4">
        <v>118</v>
      </c>
      <c r="AF4647" s="4">
        <v>0</v>
      </c>
      <c r="AG4647" s="4">
        <v>5</v>
      </c>
      <c r="AH4647" s="4">
        <v>1</v>
      </c>
      <c r="AI4647" s="4">
        <v>99</v>
      </c>
      <c r="AJ4647" s="4">
        <v>1</v>
      </c>
      <c r="AK4647" s="4">
        <v>20</v>
      </c>
      <c r="AL4647" s="4">
        <v>0</v>
      </c>
      <c r="AM4647" s="4">
        <v>51</v>
      </c>
      <c r="AN4647" s="4">
        <v>0</v>
      </c>
      <c r="AO4647" s="4">
        <v>0</v>
      </c>
      <c r="AP4647" s="4">
        <v>1</v>
      </c>
      <c r="AQ4647" s="4">
        <v>27</v>
      </c>
      <c r="AR4647" s="3" t="s">
        <v>62</v>
      </c>
      <c r="AS4647" s="3" t="s">
        <v>62</v>
      </c>
      <c r="AT4647" s="3" t="s">
        <v>61</v>
      </c>
      <c r="AU4647" s="6" t="str">
        <f>HYPERLINK("http://catalog.hathitrust.org/Record/005716025","HathiTrust Record")</f>
        <v>HathiTrust Record</v>
      </c>
      <c r="AV4647" s="6" t="str">
        <f>HYPERLINK("http://mcgill.on.worldcat.org/oclc/427861116","Catalog Record")</f>
        <v>Catalog Record</v>
      </c>
      <c r="AW4647" s="6" t="str">
        <f>HYPERLINK("http://www.worldcat.org/oclc/427861116","WorldCat Record")</f>
        <v>WorldCat Record</v>
      </c>
      <c r="AX4647" s="3" t="s">
        <v>44903</v>
      </c>
      <c r="AY4647" s="3" t="s">
        <v>44904</v>
      </c>
      <c r="AZ4647" s="3" t="s">
        <v>44905</v>
      </c>
      <c r="BA4647" s="3" t="s">
        <v>44905</v>
      </c>
      <c r="BB4647" s="3" t="s">
        <v>44906</v>
      </c>
      <c r="BC4647" s="3" t="s">
        <v>102</v>
      </c>
      <c r="BD4647" s="3" t="s">
        <v>68</v>
      </c>
      <c r="BE4647" s="3" t="s">
        <v>44907</v>
      </c>
      <c r="BF4647" s="3" t="s">
        <v>44906</v>
      </c>
      <c r="BG4647" s="3" t="s">
        <v>44908</v>
      </c>
    </row>
    <row r="4648" spans="1:59" ht="58" x14ac:dyDescent="0.35">
      <c r="A4648" s="2" t="s">
        <v>59</v>
      </c>
      <c r="B4648" s="2" t="s">
        <v>60</v>
      </c>
      <c r="C4648" s="2" t="s">
        <v>44898</v>
      </c>
      <c r="D4648" s="2" t="s">
        <v>44899</v>
      </c>
      <c r="E4648" s="2" t="s">
        <v>44900</v>
      </c>
      <c r="G4648" s="3" t="s">
        <v>62</v>
      </c>
      <c r="I4648" s="3" t="s">
        <v>61</v>
      </c>
      <c r="J4648" s="3" t="s">
        <v>62</v>
      </c>
      <c r="K4648" s="3" t="s">
        <v>63</v>
      </c>
      <c r="L4648" s="2" t="s">
        <v>44901</v>
      </c>
      <c r="M4648" s="2" t="s">
        <v>44902</v>
      </c>
      <c r="N4648" s="3" t="s">
        <v>838</v>
      </c>
      <c r="P4648" s="3" t="s">
        <v>64</v>
      </c>
      <c r="R4648" s="3" t="s">
        <v>42369</v>
      </c>
      <c r="S4648" s="4">
        <v>2</v>
      </c>
      <c r="T4648" s="4">
        <v>2</v>
      </c>
      <c r="U4648" s="5" t="s">
        <v>6531</v>
      </c>
      <c r="V4648" s="5" t="s">
        <v>6531</v>
      </c>
      <c r="W4648" s="5" t="s">
        <v>67</v>
      </c>
      <c r="X4648" s="5" t="s">
        <v>67</v>
      </c>
      <c r="Y4648" s="4">
        <v>4</v>
      </c>
      <c r="Z4648" s="4">
        <v>2</v>
      </c>
      <c r="AA4648" s="4">
        <v>51</v>
      </c>
      <c r="AB4648" s="4">
        <v>1</v>
      </c>
      <c r="AC4648" s="4">
        <v>7</v>
      </c>
      <c r="AD4648" s="4">
        <v>1</v>
      </c>
      <c r="AE4648" s="4">
        <v>118</v>
      </c>
      <c r="AF4648" s="4">
        <v>0</v>
      </c>
      <c r="AG4648" s="4">
        <v>5</v>
      </c>
      <c r="AH4648" s="4">
        <v>1</v>
      </c>
      <c r="AI4648" s="4">
        <v>99</v>
      </c>
      <c r="AJ4648" s="4">
        <v>1</v>
      </c>
      <c r="AK4648" s="4">
        <v>20</v>
      </c>
      <c r="AL4648" s="4">
        <v>0</v>
      </c>
      <c r="AM4648" s="4">
        <v>51</v>
      </c>
      <c r="AN4648" s="4">
        <v>0</v>
      </c>
      <c r="AO4648" s="4">
        <v>0</v>
      </c>
      <c r="AP4648" s="4">
        <v>1</v>
      </c>
      <c r="AQ4648" s="4">
        <v>27</v>
      </c>
      <c r="AR4648" s="3" t="s">
        <v>62</v>
      </c>
      <c r="AS4648" s="3" t="s">
        <v>62</v>
      </c>
      <c r="AT4648" s="3" t="s">
        <v>61</v>
      </c>
      <c r="AU4648" s="6" t="str">
        <f>HYPERLINK("http://catalog.hathitrust.org/Record/005716025","HathiTrust Record")</f>
        <v>HathiTrust Record</v>
      </c>
      <c r="AV4648" s="6" t="str">
        <f>HYPERLINK("http://mcgill.on.worldcat.org/oclc/427861116","Catalog Record")</f>
        <v>Catalog Record</v>
      </c>
      <c r="AW4648" s="6" t="str">
        <f>HYPERLINK("http://www.worldcat.org/oclc/427861116","WorldCat Record")</f>
        <v>WorldCat Record</v>
      </c>
      <c r="AX4648" s="3" t="s">
        <v>44903</v>
      </c>
      <c r="AY4648" s="3" t="s">
        <v>44904</v>
      </c>
      <c r="AZ4648" s="3" t="s">
        <v>44905</v>
      </c>
      <c r="BA4648" s="3" t="s">
        <v>44905</v>
      </c>
      <c r="BB4648" s="3" t="s">
        <v>44909</v>
      </c>
      <c r="BC4648" s="3" t="s">
        <v>102</v>
      </c>
      <c r="BD4648" s="3" t="s">
        <v>68</v>
      </c>
      <c r="BE4648" s="3" t="s">
        <v>44907</v>
      </c>
      <c r="BF4648" s="3" t="s">
        <v>44909</v>
      </c>
      <c r="BG4648" s="3" t="s">
        <v>44910</v>
      </c>
    </row>
    <row r="4649" spans="1:59" ht="58" x14ac:dyDescent="0.35">
      <c r="A4649" s="2" t="s">
        <v>59</v>
      </c>
      <c r="B4649" s="2" t="s">
        <v>60</v>
      </c>
      <c r="C4649" s="2" t="s">
        <v>44911</v>
      </c>
      <c r="D4649" s="2" t="s">
        <v>44912</v>
      </c>
      <c r="E4649" s="2" t="s">
        <v>44913</v>
      </c>
      <c r="G4649" s="3" t="s">
        <v>62</v>
      </c>
      <c r="I4649" s="3" t="s">
        <v>61</v>
      </c>
      <c r="J4649" s="3" t="s">
        <v>61</v>
      </c>
      <c r="K4649" s="3" t="s">
        <v>63</v>
      </c>
      <c r="L4649" s="2" t="s">
        <v>44914</v>
      </c>
      <c r="M4649" s="2" t="s">
        <v>44915</v>
      </c>
      <c r="N4649" s="3" t="s">
        <v>866</v>
      </c>
      <c r="P4649" s="3" t="s">
        <v>64</v>
      </c>
      <c r="R4649" s="3" t="s">
        <v>42369</v>
      </c>
      <c r="S4649" s="4">
        <v>5</v>
      </c>
      <c r="T4649" s="4">
        <v>10</v>
      </c>
      <c r="U4649" s="5" t="s">
        <v>44916</v>
      </c>
      <c r="V4649" s="5" t="s">
        <v>5131</v>
      </c>
      <c r="W4649" s="5" t="s">
        <v>67</v>
      </c>
      <c r="X4649" s="5" t="s">
        <v>67</v>
      </c>
      <c r="Y4649" s="4">
        <v>705</v>
      </c>
      <c r="Z4649" s="4">
        <v>34</v>
      </c>
      <c r="AA4649" s="4">
        <v>72</v>
      </c>
      <c r="AB4649" s="4">
        <v>4</v>
      </c>
      <c r="AC4649" s="4">
        <v>12</v>
      </c>
      <c r="AD4649" s="4">
        <v>95</v>
      </c>
      <c r="AE4649" s="4">
        <v>140</v>
      </c>
      <c r="AF4649" s="4">
        <v>2</v>
      </c>
      <c r="AG4649" s="4">
        <v>6</v>
      </c>
      <c r="AH4649" s="4">
        <v>78</v>
      </c>
      <c r="AI4649" s="4">
        <v>106</v>
      </c>
      <c r="AJ4649" s="4">
        <v>15</v>
      </c>
      <c r="AK4649" s="4">
        <v>28</v>
      </c>
      <c r="AL4649" s="4">
        <v>42</v>
      </c>
      <c r="AM4649" s="4">
        <v>54</v>
      </c>
      <c r="AN4649" s="4">
        <v>0</v>
      </c>
      <c r="AO4649" s="4">
        <v>0</v>
      </c>
      <c r="AP4649" s="4">
        <v>22</v>
      </c>
      <c r="AQ4649" s="4">
        <v>42</v>
      </c>
      <c r="AR4649" s="3" t="s">
        <v>62</v>
      </c>
      <c r="AS4649" s="3" t="s">
        <v>62</v>
      </c>
      <c r="AT4649" s="3" t="s">
        <v>61</v>
      </c>
      <c r="AU4649" s="6" t="str">
        <f>HYPERLINK("http://catalog.hathitrust.org/Record/001502475","HathiTrust Record")</f>
        <v>HathiTrust Record</v>
      </c>
      <c r="AV4649" s="6" t="str">
        <f>HYPERLINK("http://mcgill.on.worldcat.org/oclc/482062","Catalog Record")</f>
        <v>Catalog Record</v>
      </c>
      <c r="AW4649" s="6" t="str">
        <f>HYPERLINK("http://www.worldcat.org/oclc/482062","WorldCat Record")</f>
        <v>WorldCat Record</v>
      </c>
      <c r="AX4649" s="3" t="s">
        <v>44917</v>
      </c>
      <c r="AY4649" s="3" t="s">
        <v>44918</v>
      </c>
      <c r="AZ4649" s="3" t="s">
        <v>44919</v>
      </c>
      <c r="BA4649" s="3" t="s">
        <v>44919</v>
      </c>
      <c r="BB4649" s="3" t="s">
        <v>44920</v>
      </c>
      <c r="BC4649" s="3" t="s">
        <v>102</v>
      </c>
      <c r="BD4649" s="3" t="s">
        <v>68</v>
      </c>
      <c r="BE4649" s="3" t="s">
        <v>44921</v>
      </c>
      <c r="BF4649" s="3" t="s">
        <v>44920</v>
      </c>
      <c r="BG4649" s="3" t="s">
        <v>44922</v>
      </c>
    </row>
    <row r="4650" spans="1:59" ht="58" x14ac:dyDescent="0.35">
      <c r="A4650" s="2" t="s">
        <v>59</v>
      </c>
      <c r="B4650" s="2" t="s">
        <v>60</v>
      </c>
      <c r="C4650" s="2" t="s">
        <v>44911</v>
      </c>
      <c r="D4650" s="2" t="s">
        <v>44912</v>
      </c>
      <c r="E4650" s="2" t="s">
        <v>44913</v>
      </c>
      <c r="G4650" s="3" t="s">
        <v>62</v>
      </c>
      <c r="I4650" s="3" t="s">
        <v>61</v>
      </c>
      <c r="J4650" s="3" t="s">
        <v>61</v>
      </c>
      <c r="K4650" s="3" t="s">
        <v>63</v>
      </c>
      <c r="L4650" s="2" t="s">
        <v>44914</v>
      </c>
      <c r="M4650" s="2" t="s">
        <v>44915</v>
      </c>
      <c r="N4650" s="3" t="s">
        <v>866</v>
      </c>
      <c r="P4650" s="3" t="s">
        <v>64</v>
      </c>
      <c r="R4650" s="3" t="s">
        <v>42369</v>
      </c>
      <c r="S4650" s="4">
        <v>5</v>
      </c>
      <c r="T4650" s="4">
        <v>10</v>
      </c>
      <c r="U4650" s="5" t="s">
        <v>5131</v>
      </c>
      <c r="V4650" s="5" t="s">
        <v>5131</v>
      </c>
      <c r="W4650" s="5" t="s">
        <v>67</v>
      </c>
      <c r="X4650" s="5" t="s">
        <v>67</v>
      </c>
      <c r="Y4650" s="4">
        <v>705</v>
      </c>
      <c r="Z4650" s="4">
        <v>34</v>
      </c>
      <c r="AA4650" s="4">
        <v>72</v>
      </c>
      <c r="AB4650" s="4">
        <v>4</v>
      </c>
      <c r="AC4650" s="4">
        <v>12</v>
      </c>
      <c r="AD4650" s="4">
        <v>95</v>
      </c>
      <c r="AE4650" s="4">
        <v>140</v>
      </c>
      <c r="AF4650" s="4">
        <v>2</v>
      </c>
      <c r="AG4650" s="4">
        <v>6</v>
      </c>
      <c r="AH4650" s="4">
        <v>78</v>
      </c>
      <c r="AI4650" s="4">
        <v>106</v>
      </c>
      <c r="AJ4650" s="4">
        <v>15</v>
      </c>
      <c r="AK4650" s="4">
        <v>28</v>
      </c>
      <c r="AL4650" s="4">
        <v>42</v>
      </c>
      <c r="AM4650" s="4">
        <v>54</v>
      </c>
      <c r="AN4650" s="4">
        <v>0</v>
      </c>
      <c r="AO4650" s="4">
        <v>0</v>
      </c>
      <c r="AP4650" s="4">
        <v>22</v>
      </c>
      <c r="AQ4650" s="4">
        <v>42</v>
      </c>
      <c r="AR4650" s="3" t="s">
        <v>62</v>
      </c>
      <c r="AS4650" s="3" t="s">
        <v>62</v>
      </c>
      <c r="AT4650" s="3" t="s">
        <v>61</v>
      </c>
      <c r="AU4650" s="6" t="str">
        <f>HYPERLINK("http://catalog.hathitrust.org/Record/001502475","HathiTrust Record")</f>
        <v>HathiTrust Record</v>
      </c>
      <c r="AV4650" s="6" t="str">
        <f>HYPERLINK("http://mcgill.on.worldcat.org/oclc/482062","Catalog Record")</f>
        <v>Catalog Record</v>
      </c>
      <c r="AW4650" s="6" t="str">
        <f>HYPERLINK("http://www.worldcat.org/oclc/482062","WorldCat Record")</f>
        <v>WorldCat Record</v>
      </c>
      <c r="AX4650" s="3" t="s">
        <v>44917</v>
      </c>
      <c r="AY4650" s="3" t="s">
        <v>44918</v>
      </c>
      <c r="AZ4650" s="3" t="s">
        <v>44919</v>
      </c>
      <c r="BA4650" s="3" t="s">
        <v>44919</v>
      </c>
      <c r="BB4650" s="3" t="s">
        <v>44923</v>
      </c>
      <c r="BC4650" s="3" t="s">
        <v>102</v>
      </c>
      <c r="BD4650" s="3" t="s">
        <v>68</v>
      </c>
      <c r="BE4650" s="3" t="s">
        <v>44921</v>
      </c>
      <c r="BF4650" s="3" t="s">
        <v>44923</v>
      </c>
      <c r="BG4650" s="3" t="s">
        <v>44924</v>
      </c>
    </row>
    <row r="4651" spans="1:59" ht="58" x14ac:dyDescent="0.35">
      <c r="A4651" s="2" t="s">
        <v>59</v>
      </c>
      <c r="B4651" s="2" t="s">
        <v>60</v>
      </c>
      <c r="C4651" s="2" t="s">
        <v>44925</v>
      </c>
      <c r="D4651" s="2" t="s">
        <v>44926</v>
      </c>
      <c r="E4651" s="2" t="s">
        <v>44927</v>
      </c>
      <c r="F4651" s="3" t="s">
        <v>1381</v>
      </c>
      <c r="G4651" s="3" t="s">
        <v>61</v>
      </c>
      <c r="I4651" s="3" t="s">
        <v>62</v>
      </c>
      <c r="J4651" s="3" t="s">
        <v>61</v>
      </c>
      <c r="K4651" s="3" t="s">
        <v>63</v>
      </c>
      <c r="L4651" s="2" t="s">
        <v>44928</v>
      </c>
      <c r="M4651" s="2" t="s">
        <v>44929</v>
      </c>
      <c r="N4651" s="3" t="s">
        <v>838</v>
      </c>
      <c r="P4651" s="3" t="s">
        <v>64</v>
      </c>
      <c r="R4651" s="3" t="s">
        <v>42369</v>
      </c>
      <c r="S4651" s="4">
        <v>1</v>
      </c>
      <c r="T4651" s="4">
        <v>4</v>
      </c>
      <c r="U4651" s="5" t="s">
        <v>31569</v>
      </c>
      <c r="V4651" s="5" t="s">
        <v>31569</v>
      </c>
      <c r="W4651" s="5" t="s">
        <v>67</v>
      </c>
      <c r="X4651" s="5" t="s">
        <v>67</v>
      </c>
      <c r="Y4651" s="4">
        <v>881</v>
      </c>
      <c r="Z4651" s="4">
        <v>34</v>
      </c>
      <c r="AA4651" s="4">
        <v>58</v>
      </c>
      <c r="AB4651" s="4">
        <v>3</v>
      </c>
      <c r="AC4651" s="4">
        <v>8</v>
      </c>
      <c r="AD4651" s="4">
        <v>109</v>
      </c>
      <c r="AE4651" s="4">
        <v>134</v>
      </c>
      <c r="AF4651" s="4">
        <v>1</v>
      </c>
      <c r="AG4651" s="4">
        <v>3</v>
      </c>
      <c r="AH4651" s="4">
        <v>90</v>
      </c>
      <c r="AI4651" s="4">
        <v>106</v>
      </c>
      <c r="AJ4651" s="4">
        <v>16</v>
      </c>
      <c r="AK4651" s="4">
        <v>23</v>
      </c>
      <c r="AL4651" s="4">
        <v>50</v>
      </c>
      <c r="AM4651" s="4">
        <v>56</v>
      </c>
      <c r="AN4651" s="4">
        <v>0</v>
      </c>
      <c r="AO4651" s="4">
        <v>0</v>
      </c>
      <c r="AP4651" s="4">
        <v>21</v>
      </c>
      <c r="AQ4651" s="4">
        <v>29</v>
      </c>
      <c r="AR4651" s="3" t="s">
        <v>62</v>
      </c>
      <c r="AS4651" s="3" t="s">
        <v>62</v>
      </c>
      <c r="AT4651" s="3" t="s">
        <v>61</v>
      </c>
      <c r="AU4651" s="6" t="str">
        <f>HYPERLINK("http://catalog.hathitrust.org/Record/001502476","HathiTrust Record")</f>
        <v>HathiTrust Record</v>
      </c>
      <c r="AV4651" s="6" t="str">
        <f>HYPERLINK("http://mcgill.on.worldcat.org/oclc/420451","Catalog Record")</f>
        <v>Catalog Record</v>
      </c>
      <c r="AW4651" s="6" t="str">
        <f>HYPERLINK("http://www.worldcat.org/oclc/420451","WorldCat Record")</f>
        <v>WorldCat Record</v>
      </c>
      <c r="AX4651" s="3" t="s">
        <v>44930</v>
      </c>
      <c r="AY4651" s="3" t="s">
        <v>44931</v>
      </c>
      <c r="AZ4651" s="3" t="s">
        <v>44932</v>
      </c>
      <c r="BA4651" s="3" t="s">
        <v>44932</v>
      </c>
      <c r="BB4651" s="3" t="s">
        <v>44933</v>
      </c>
      <c r="BC4651" s="3" t="s">
        <v>102</v>
      </c>
      <c r="BD4651" s="3" t="s">
        <v>68</v>
      </c>
      <c r="BF4651" s="3" t="s">
        <v>44933</v>
      </c>
      <c r="BG4651" s="3" t="s">
        <v>44934</v>
      </c>
    </row>
    <row r="4652" spans="1:59" ht="58" x14ac:dyDescent="0.35">
      <c r="A4652" s="2" t="s">
        <v>59</v>
      </c>
      <c r="B4652" s="2" t="s">
        <v>60</v>
      </c>
      <c r="C4652" s="2" t="s">
        <v>44925</v>
      </c>
      <c r="D4652" s="2" t="s">
        <v>44926</v>
      </c>
      <c r="E4652" s="2" t="s">
        <v>44927</v>
      </c>
      <c r="F4652" s="3" t="s">
        <v>1371</v>
      </c>
      <c r="G4652" s="3" t="s">
        <v>61</v>
      </c>
      <c r="I4652" s="3" t="s">
        <v>62</v>
      </c>
      <c r="J4652" s="3" t="s">
        <v>61</v>
      </c>
      <c r="K4652" s="3" t="s">
        <v>63</v>
      </c>
      <c r="L4652" s="2" t="s">
        <v>44928</v>
      </c>
      <c r="M4652" s="2" t="s">
        <v>44929</v>
      </c>
      <c r="N4652" s="3" t="s">
        <v>838</v>
      </c>
      <c r="P4652" s="3" t="s">
        <v>64</v>
      </c>
      <c r="R4652" s="3" t="s">
        <v>42369</v>
      </c>
      <c r="S4652" s="4">
        <v>2</v>
      </c>
      <c r="T4652" s="4">
        <v>4</v>
      </c>
      <c r="U4652" s="5" t="s">
        <v>44935</v>
      </c>
      <c r="V4652" s="5" t="s">
        <v>31569</v>
      </c>
      <c r="W4652" s="5" t="s">
        <v>67</v>
      </c>
      <c r="X4652" s="5" t="s">
        <v>67</v>
      </c>
      <c r="Y4652" s="4">
        <v>881</v>
      </c>
      <c r="Z4652" s="4">
        <v>34</v>
      </c>
      <c r="AA4652" s="4">
        <v>58</v>
      </c>
      <c r="AB4652" s="4">
        <v>3</v>
      </c>
      <c r="AC4652" s="4">
        <v>8</v>
      </c>
      <c r="AD4652" s="4">
        <v>109</v>
      </c>
      <c r="AE4652" s="4">
        <v>134</v>
      </c>
      <c r="AF4652" s="4">
        <v>1</v>
      </c>
      <c r="AG4652" s="4">
        <v>3</v>
      </c>
      <c r="AH4652" s="4">
        <v>90</v>
      </c>
      <c r="AI4652" s="4">
        <v>106</v>
      </c>
      <c r="AJ4652" s="4">
        <v>16</v>
      </c>
      <c r="AK4652" s="4">
        <v>23</v>
      </c>
      <c r="AL4652" s="4">
        <v>50</v>
      </c>
      <c r="AM4652" s="4">
        <v>56</v>
      </c>
      <c r="AN4652" s="4">
        <v>0</v>
      </c>
      <c r="AO4652" s="4">
        <v>0</v>
      </c>
      <c r="AP4652" s="4">
        <v>21</v>
      </c>
      <c r="AQ4652" s="4">
        <v>29</v>
      </c>
      <c r="AR4652" s="3" t="s">
        <v>62</v>
      </c>
      <c r="AS4652" s="3" t="s">
        <v>62</v>
      </c>
      <c r="AT4652" s="3" t="s">
        <v>61</v>
      </c>
      <c r="AU4652" s="6" t="str">
        <f>HYPERLINK("http://catalog.hathitrust.org/Record/001502476","HathiTrust Record")</f>
        <v>HathiTrust Record</v>
      </c>
      <c r="AV4652" s="6" t="str">
        <f>HYPERLINK("http://mcgill.on.worldcat.org/oclc/420451","Catalog Record")</f>
        <v>Catalog Record</v>
      </c>
      <c r="AW4652" s="6" t="str">
        <f>HYPERLINK("http://www.worldcat.org/oclc/420451","WorldCat Record")</f>
        <v>WorldCat Record</v>
      </c>
      <c r="AX4652" s="3" t="s">
        <v>44930</v>
      </c>
      <c r="AY4652" s="3" t="s">
        <v>44931</v>
      </c>
      <c r="AZ4652" s="3" t="s">
        <v>44932</v>
      </c>
      <c r="BA4652" s="3" t="s">
        <v>44932</v>
      </c>
      <c r="BB4652" s="3" t="s">
        <v>44936</v>
      </c>
      <c r="BC4652" s="3" t="s">
        <v>102</v>
      </c>
      <c r="BD4652" s="3" t="s">
        <v>68</v>
      </c>
      <c r="BF4652" s="3" t="s">
        <v>44936</v>
      </c>
      <c r="BG4652" s="3" t="s">
        <v>44937</v>
      </c>
    </row>
    <row r="4653" spans="1:59" ht="58" x14ac:dyDescent="0.35">
      <c r="A4653" s="2" t="s">
        <v>59</v>
      </c>
      <c r="B4653" s="2" t="s">
        <v>60</v>
      </c>
      <c r="C4653" s="2" t="s">
        <v>44925</v>
      </c>
      <c r="D4653" s="2" t="s">
        <v>44926</v>
      </c>
      <c r="E4653" s="2" t="s">
        <v>44927</v>
      </c>
      <c r="F4653" s="3" t="s">
        <v>2248</v>
      </c>
      <c r="G4653" s="3" t="s">
        <v>61</v>
      </c>
      <c r="I4653" s="3" t="s">
        <v>62</v>
      </c>
      <c r="J4653" s="3" t="s">
        <v>61</v>
      </c>
      <c r="K4653" s="3" t="s">
        <v>63</v>
      </c>
      <c r="L4653" s="2" t="s">
        <v>44928</v>
      </c>
      <c r="M4653" s="2" t="s">
        <v>44929</v>
      </c>
      <c r="N4653" s="3" t="s">
        <v>838</v>
      </c>
      <c r="P4653" s="3" t="s">
        <v>64</v>
      </c>
      <c r="R4653" s="3" t="s">
        <v>42369</v>
      </c>
      <c r="S4653" s="4">
        <v>1</v>
      </c>
      <c r="T4653" s="4">
        <v>4</v>
      </c>
      <c r="U4653" s="5" t="s">
        <v>31569</v>
      </c>
      <c r="V4653" s="5" t="s">
        <v>31569</v>
      </c>
      <c r="W4653" s="5" t="s">
        <v>67</v>
      </c>
      <c r="X4653" s="5" t="s">
        <v>67</v>
      </c>
      <c r="Y4653" s="4">
        <v>881</v>
      </c>
      <c r="Z4653" s="4">
        <v>34</v>
      </c>
      <c r="AA4653" s="4">
        <v>58</v>
      </c>
      <c r="AB4653" s="4">
        <v>3</v>
      </c>
      <c r="AC4653" s="4">
        <v>8</v>
      </c>
      <c r="AD4653" s="4">
        <v>109</v>
      </c>
      <c r="AE4653" s="4">
        <v>134</v>
      </c>
      <c r="AF4653" s="4">
        <v>1</v>
      </c>
      <c r="AG4653" s="4">
        <v>3</v>
      </c>
      <c r="AH4653" s="4">
        <v>90</v>
      </c>
      <c r="AI4653" s="4">
        <v>106</v>
      </c>
      <c r="AJ4653" s="4">
        <v>16</v>
      </c>
      <c r="AK4653" s="4">
        <v>23</v>
      </c>
      <c r="AL4653" s="4">
        <v>50</v>
      </c>
      <c r="AM4653" s="4">
        <v>56</v>
      </c>
      <c r="AN4653" s="4">
        <v>0</v>
      </c>
      <c r="AO4653" s="4">
        <v>0</v>
      </c>
      <c r="AP4653" s="4">
        <v>21</v>
      </c>
      <c r="AQ4653" s="4">
        <v>29</v>
      </c>
      <c r="AR4653" s="3" t="s">
        <v>62</v>
      </c>
      <c r="AS4653" s="3" t="s">
        <v>62</v>
      </c>
      <c r="AT4653" s="3" t="s">
        <v>61</v>
      </c>
      <c r="AU4653" s="6" t="str">
        <f>HYPERLINK("http://catalog.hathitrust.org/Record/001502476","HathiTrust Record")</f>
        <v>HathiTrust Record</v>
      </c>
      <c r="AV4653" s="6" t="str">
        <f>HYPERLINK("http://mcgill.on.worldcat.org/oclc/420451","Catalog Record")</f>
        <v>Catalog Record</v>
      </c>
      <c r="AW4653" s="6" t="str">
        <f>HYPERLINK("http://www.worldcat.org/oclc/420451","WorldCat Record")</f>
        <v>WorldCat Record</v>
      </c>
      <c r="AX4653" s="3" t="s">
        <v>44930</v>
      </c>
      <c r="AY4653" s="3" t="s">
        <v>44931</v>
      </c>
      <c r="AZ4653" s="3" t="s">
        <v>44932</v>
      </c>
      <c r="BA4653" s="3" t="s">
        <v>44932</v>
      </c>
      <c r="BB4653" s="3" t="s">
        <v>44938</v>
      </c>
      <c r="BC4653" s="3" t="s">
        <v>102</v>
      </c>
      <c r="BD4653" s="3" t="s">
        <v>68</v>
      </c>
      <c r="BF4653" s="3" t="s">
        <v>44938</v>
      </c>
      <c r="BG4653" s="3" t="s">
        <v>44939</v>
      </c>
    </row>
    <row r="4654" spans="1:59" ht="72.5" x14ac:dyDescent="0.35">
      <c r="A4654" s="2" t="s">
        <v>59</v>
      </c>
      <c r="B4654" s="2" t="s">
        <v>60</v>
      </c>
      <c r="C4654" s="2" t="s">
        <v>44940</v>
      </c>
      <c r="D4654" s="2" t="s">
        <v>44941</v>
      </c>
      <c r="E4654" s="2" t="s">
        <v>44927</v>
      </c>
      <c r="F4654" s="3" t="s">
        <v>1371</v>
      </c>
      <c r="G4654" s="3" t="s">
        <v>61</v>
      </c>
      <c r="I4654" s="3" t="s">
        <v>61</v>
      </c>
      <c r="J4654" s="3" t="s">
        <v>61</v>
      </c>
      <c r="K4654" s="3" t="s">
        <v>63</v>
      </c>
      <c r="L4654" s="2" t="s">
        <v>44928</v>
      </c>
      <c r="M4654" s="2" t="s">
        <v>44942</v>
      </c>
      <c r="N4654" s="3" t="s">
        <v>186</v>
      </c>
      <c r="O4654" s="2" t="s">
        <v>44943</v>
      </c>
      <c r="P4654" s="3" t="s">
        <v>64</v>
      </c>
      <c r="R4654" s="3" t="s">
        <v>42369</v>
      </c>
      <c r="S4654" s="4">
        <v>1</v>
      </c>
      <c r="T4654" s="4">
        <v>17</v>
      </c>
      <c r="U4654" s="5" t="s">
        <v>31569</v>
      </c>
      <c r="V4654" s="5" t="s">
        <v>31569</v>
      </c>
      <c r="W4654" s="5" t="s">
        <v>67</v>
      </c>
      <c r="X4654" s="5" t="s">
        <v>67</v>
      </c>
      <c r="Y4654" s="4">
        <v>774</v>
      </c>
      <c r="Z4654" s="4">
        <v>33</v>
      </c>
      <c r="AA4654" s="4">
        <v>58</v>
      </c>
      <c r="AB4654" s="4">
        <v>2</v>
      </c>
      <c r="AC4654" s="4">
        <v>8</v>
      </c>
      <c r="AD4654" s="4">
        <v>103</v>
      </c>
      <c r="AE4654" s="4">
        <v>134</v>
      </c>
      <c r="AF4654" s="4">
        <v>1</v>
      </c>
      <c r="AG4654" s="4">
        <v>3</v>
      </c>
      <c r="AH4654" s="4">
        <v>90</v>
      </c>
      <c r="AI4654" s="4">
        <v>106</v>
      </c>
      <c r="AJ4654" s="4">
        <v>15</v>
      </c>
      <c r="AK4654" s="4">
        <v>23</v>
      </c>
      <c r="AL4654" s="4">
        <v>48</v>
      </c>
      <c r="AM4654" s="4">
        <v>56</v>
      </c>
      <c r="AN4654" s="4">
        <v>0</v>
      </c>
      <c r="AO4654" s="4">
        <v>0</v>
      </c>
      <c r="AP4654" s="4">
        <v>17</v>
      </c>
      <c r="AQ4654" s="4">
        <v>29</v>
      </c>
      <c r="AR4654" s="3" t="s">
        <v>62</v>
      </c>
      <c r="AS4654" s="3" t="s">
        <v>62</v>
      </c>
      <c r="AT4654" s="3" t="s">
        <v>61</v>
      </c>
      <c r="AU4654" s="6" t="str">
        <f>HYPERLINK("http://catalog.hathitrust.org/Record/000031512","HathiTrust Record")</f>
        <v>HathiTrust Record</v>
      </c>
      <c r="AV4654" s="6" t="str">
        <f>HYPERLINK("http://mcgill.on.worldcat.org/oclc/1289512","Catalog Record")</f>
        <v>Catalog Record</v>
      </c>
      <c r="AW4654" s="6" t="str">
        <f>HYPERLINK("http://www.worldcat.org/oclc/1289512","WorldCat Record")</f>
        <v>WorldCat Record</v>
      </c>
      <c r="AX4654" s="3" t="s">
        <v>44930</v>
      </c>
      <c r="AY4654" s="3" t="s">
        <v>44944</v>
      </c>
      <c r="AZ4654" s="3" t="s">
        <v>44945</v>
      </c>
      <c r="BA4654" s="3" t="s">
        <v>44945</v>
      </c>
      <c r="BB4654" s="3" t="s">
        <v>44946</v>
      </c>
      <c r="BC4654" s="3" t="s">
        <v>102</v>
      </c>
      <c r="BD4654" s="3" t="s">
        <v>68</v>
      </c>
      <c r="BE4654" s="3" t="s">
        <v>44947</v>
      </c>
      <c r="BF4654" s="3" t="s">
        <v>44946</v>
      </c>
      <c r="BG4654" s="3" t="s">
        <v>44948</v>
      </c>
    </row>
    <row r="4655" spans="1:59" ht="72.5" x14ac:dyDescent="0.35">
      <c r="A4655" s="2" t="s">
        <v>59</v>
      </c>
      <c r="B4655" s="2" t="s">
        <v>60</v>
      </c>
      <c r="C4655" s="2" t="s">
        <v>44940</v>
      </c>
      <c r="D4655" s="2" t="s">
        <v>44941</v>
      </c>
      <c r="E4655" s="2" t="s">
        <v>44927</v>
      </c>
      <c r="F4655" s="3" t="s">
        <v>1381</v>
      </c>
      <c r="G4655" s="3" t="s">
        <v>61</v>
      </c>
      <c r="I4655" s="3" t="s">
        <v>61</v>
      </c>
      <c r="J4655" s="3" t="s">
        <v>61</v>
      </c>
      <c r="K4655" s="3" t="s">
        <v>63</v>
      </c>
      <c r="L4655" s="2" t="s">
        <v>44928</v>
      </c>
      <c r="M4655" s="2" t="s">
        <v>44942</v>
      </c>
      <c r="N4655" s="3" t="s">
        <v>186</v>
      </c>
      <c r="O4655" s="2" t="s">
        <v>44943</v>
      </c>
      <c r="P4655" s="3" t="s">
        <v>64</v>
      </c>
      <c r="R4655" s="3" t="s">
        <v>42369</v>
      </c>
      <c r="S4655" s="4">
        <v>2</v>
      </c>
      <c r="T4655" s="4">
        <v>17</v>
      </c>
      <c r="U4655" s="5" t="s">
        <v>31569</v>
      </c>
      <c r="V4655" s="5" t="s">
        <v>31569</v>
      </c>
      <c r="W4655" s="5" t="s">
        <v>67</v>
      </c>
      <c r="X4655" s="5" t="s">
        <v>67</v>
      </c>
      <c r="Y4655" s="4">
        <v>774</v>
      </c>
      <c r="Z4655" s="4">
        <v>33</v>
      </c>
      <c r="AA4655" s="4">
        <v>58</v>
      </c>
      <c r="AB4655" s="4">
        <v>2</v>
      </c>
      <c r="AC4655" s="4">
        <v>8</v>
      </c>
      <c r="AD4655" s="4">
        <v>103</v>
      </c>
      <c r="AE4655" s="4">
        <v>134</v>
      </c>
      <c r="AF4655" s="4">
        <v>1</v>
      </c>
      <c r="AG4655" s="4">
        <v>3</v>
      </c>
      <c r="AH4655" s="4">
        <v>90</v>
      </c>
      <c r="AI4655" s="4">
        <v>106</v>
      </c>
      <c r="AJ4655" s="4">
        <v>15</v>
      </c>
      <c r="AK4655" s="4">
        <v>23</v>
      </c>
      <c r="AL4655" s="4">
        <v>48</v>
      </c>
      <c r="AM4655" s="4">
        <v>56</v>
      </c>
      <c r="AN4655" s="4">
        <v>0</v>
      </c>
      <c r="AO4655" s="4">
        <v>0</v>
      </c>
      <c r="AP4655" s="4">
        <v>17</v>
      </c>
      <c r="AQ4655" s="4">
        <v>29</v>
      </c>
      <c r="AR4655" s="3" t="s">
        <v>62</v>
      </c>
      <c r="AS4655" s="3" t="s">
        <v>62</v>
      </c>
      <c r="AT4655" s="3" t="s">
        <v>61</v>
      </c>
      <c r="AU4655" s="6" t="str">
        <f>HYPERLINK("http://catalog.hathitrust.org/Record/000031512","HathiTrust Record")</f>
        <v>HathiTrust Record</v>
      </c>
      <c r="AV4655" s="6" t="str">
        <f>HYPERLINK("http://mcgill.on.worldcat.org/oclc/1289512","Catalog Record")</f>
        <v>Catalog Record</v>
      </c>
      <c r="AW4655" s="6" t="str">
        <f>HYPERLINK("http://www.worldcat.org/oclc/1289512","WorldCat Record")</f>
        <v>WorldCat Record</v>
      </c>
      <c r="AX4655" s="3" t="s">
        <v>44930</v>
      </c>
      <c r="AY4655" s="3" t="s">
        <v>44944</v>
      </c>
      <c r="AZ4655" s="3" t="s">
        <v>44945</v>
      </c>
      <c r="BA4655" s="3" t="s">
        <v>44945</v>
      </c>
      <c r="BB4655" s="3" t="s">
        <v>44949</v>
      </c>
      <c r="BC4655" s="3" t="s">
        <v>102</v>
      </c>
      <c r="BD4655" s="3" t="s">
        <v>68</v>
      </c>
      <c r="BE4655" s="3" t="s">
        <v>44947</v>
      </c>
      <c r="BF4655" s="3" t="s">
        <v>44949</v>
      </c>
      <c r="BG4655" s="3" t="s">
        <v>44950</v>
      </c>
    </row>
    <row r="4656" spans="1:59" ht="58" x14ac:dyDescent="0.35">
      <c r="A4656" s="2" t="s">
        <v>59</v>
      </c>
      <c r="B4656" s="2" t="s">
        <v>60</v>
      </c>
      <c r="C4656" s="2" t="s">
        <v>44951</v>
      </c>
      <c r="D4656" s="2" t="s">
        <v>44952</v>
      </c>
      <c r="E4656" s="2" t="s">
        <v>44953</v>
      </c>
      <c r="G4656" s="3" t="s">
        <v>62</v>
      </c>
      <c r="I4656" s="3" t="s">
        <v>61</v>
      </c>
      <c r="J4656" s="3" t="s">
        <v>62</v>
      </c>
      <c r="K4656" s="3" t="s">
        <v>63</v>
      </c>
      <c r="M4656" s="2" t="s">
        <v>44954</v>
      </c>
      <c r="N4656" s="3" t="s">
        <v>893</v>
      </c>
      <c r="P4656" s="3" t="s">
        <v>64</v>
      </c>
      <c r="R4656" s="3" t="s">
        <v>42369</v>
      </c>
      <c r="S4656" s="4">
        <v>9</v>
      </c>
      <c r="T4656" s="4">
        <v>10</v>
      </c>
      <c r="U4656" s="5" t="s">
        <v>31569</v>
      </c>
      <c r="V4656" s="5" t="s">
        <v>31569</v>
      </c>
      <c r="W4656" s="5" t="s">
        <v>67</v>
      </c>
      <c r="X4656" s="5" t="s">
        <v>67</v>
      </c>
      <c r="Y4656" s="4">
        <v>409</v>
      </c>
      <c r="Z4656" s="4">
        <v>36</v>
      </c>
      <c r="AA4656" s="4">
        <v>38</v>
      </c>
      <c r="AB4656" s="4">
        <v>3</v>
      </c>
      <c r="AC4656" s="4">
        <v>5</v>
      </c>
      <c r="AD4656" s="4">
        <v>108</v>
      </c>
      <c r="AE4656" s="4">
        <v>109</v>
      </c>
      <c r="AF4656" s="4">
        <v>0</v>
      </c>
      <c r="AG4656" s="4">
        <v>1</v>
      </c>
      <c r="AH4656" s="4">
        <v>95</v>
      </c>
      <c r="AI4656" s="4">
        <v>95</v>
      </c>
      <c r="AJ4656" s="4">
        <v>19</v>
      </c>
      <c r="AK4656" s="4">
        <v>20</v>
      </c>
      <c r="AL4656" s="4">
        <v>47</v>
      </c>
      <c r="AM4656" s="4">
        <v>47</v>
      </c>
      <c r="AN4656" s="4">
        <v>0</v>
      </c>
      <c r="AO4656" s="4">
        <v>0</v>
      </c>
      <c r="AP4656" s="4">
        <v>22</v>
      </c>
      <c r="AQ4656" s="4">
        <v>23</v>
      </c>
      <c r="AR4656" s="3" t="s">
        <v>62</v>
      </c>
      <c r="AS4656" s="3" t="s">
        <v>62</v>
      </c>
      <c r="AT4656" s="3" t="s">
        <v>61</v>
      </c>
      <c r="AU4656" s="6" t="str">
        <f>HYPERLINK("http://catalog.hathitrust.org/Record/000146266","HathiTrust Record")</f>
        <v>HathiTrust Record</v>
      </c>
      <c r="AV4656" s="6" t="str">
        <f>HYPERLINK("http://mcgill.on.worldcat.org/oclc/8476356","Catalog Record")</f>
        <v>Catalog Record</v>
      </c>
      <c r="AW4656" s="6" t="str">
        <f>HYPERLINK("http://www.worldcat.org/oclc/8476356","WorldCat Record")</f>
        <v>WorldCat Record</v>
      </c>
      <c r="AX4656" s="3" t="s">
        <v>44955</v>
      </c>
      <c r="AY4656" s="3" t="s">
        <v>44956</v>
      </c>
      <c r="AZ4656" s="3" t="s">
        <v>44957</v>
      </c>
      <c r="BA4656" s="3" t="s">
        <v>44957</v>
      </c>
      <c r="BB4656" s="3" t="s">
        <v>44958</v>
      </c>
      <c r="BC4656" s="3" t="s">
        <v>102</v>
      </c>
      <c r="BD4656" s="3" t="s">
        <v>231</v>
      </c>
      <c r="BE4656" s="3" t="s">
        <v>44959</v>
      </c>
      <c r="BF4656" s="3" t="s">
        <v>44958</v>
      </c>
      <c r="BG4656" s="3" t="s">
        <v>44960</v>
      </c>
    </row>
    <row r="4657" spans="1:59" ht="58" x14ac:dyDescent="0.35">
      <c r="A4657" s="2" t="s">
        <v>59</v>
      </c>
      <c r="B4657" s="2" t="s">
        <v>60</v>
      </c>
      <c r="C4657" s="2" t="s">
        <v>44961</v>
      </c>
      <c r="D4657" s="2" t="s">
        <v>44962</v>
      </c>
      <c r="E4657" s="2" t="s">
        <v>44963</v>
      </c>
      <c r="G4657" s="3" t="s">
        <v>62</v>
      </c>
      <c r="I4657" s="3" t="s">
        <v>62</v>
      </c>
      <c r="J4657" s="3" t="s">
        <v>62</v>
      </c>
      <c r="K4657" s="3" t="s">
        <v>63</v>
      </c>
      <c r="M4657" s="2" t="s">
        <v>44964</v>
      </c>
      <c r="N4657" s="3" t="s">
        <v>1905</v>
      </c>
      <c r="P4657" s="3" t="s">
        <v>64</v>
      </c>
      <c r="R4657" s="3" t="s">
        <v>42369</v>
      </c>
      <c r="S4657" s="4">
        <v>2</v>
      </c>
      <c r="T4657" s="4">
        <v>2</v>
      </c>
      <c r="U4657" s="5" t="s">
        <v>44965</v>
      </c>
      <c r="V4657" s="5" t="s">
        <v>44965</v>
      </c>
      <c r="W4657" s="5" t="s">
        <v>67</v>
      </c>
      <c r="X4657" s="5" t="s">
        <v>67</v>
      </c>
      <c r="Y4657" s="4">
        <v>102</v>
      </c>
      <c r="Z4657" s="4">
        <v>9</v>
      </c>
      <c r="AA4657" s="4">
        <v>10</v>
      </c>
      <c r="AB4657" s="4">
        <v>1</v>
      </c>
      <c r="AC4657" s="4">
        <v>2</v>
      </c>
      <c r="AD4657" s="4">
        <v>40</v>
      </c>
      <c r="AE4657" s="4">
        <v>41</v>
      </c>
      <c r="AF4657" s="4">
        <v>0</v>
      </c>
      <c r="AG4657" s="4">
        <v>1</v>
      </c>
      <c r="AH4657" s="4">
        <v>38</v>
      </c>
      <c r="AI4657" s="4">
        <v>38</v>
      </c>
      <c r="AJ4657" s="4">
        <v>3</v>
      </c>
      <c r="AK4657" s="4">
        <v>4</v>
      </c>
      <c r="AL4657" s="4">
        <v>19</v>
      </c>
      <c r="AM4657" s="4">
        <v>19</v>
      </c>
      <c r="AN4657" s="4">
        <v>0</v>
      </c>
      <c r="AO4657" s="4">
        <v>0</v>
      </c>
      <c r="AP4657" s="4">
        <v>4</v>
      </c>
      <c r="AQ4657" s="4">
        <v>4</v>
      </c>
      <c r="AR4657" s="3" t="s">
        <v>62</v>
      </c>
      <c r="AS4657" s="3" t="s">
        <v>62</v>
      </c>
      <c r="AT4657" s="3" t="s">
        <v>61</v>
      </c>
      <c r="AU4657" s="6" t="str">
        <f>HYPERLINK("http://catalog.hathitrust.org/Record/001545834","HathiTrust Record")</f>
        <v>HathiTrust Record</v>
      </c>
      <c r="AV4657" s="6" t="str">
        <f>HYPERLINK("http://mcgill.on.worldcat.org/oclc/17460532","Catalog Record")</f>
        <v>Catalog Record</v>
      </c>
      <c r="AW4657" s="6" t="str">
        <f>HYPERLINK("http://www.worldcat.org/oclc/17460532","WorldCat Record")</f>
        <v>WorldCat Record</v>
      </c>
      <c r="AX4657" s="3" t="s">
        <v>44966</v>
      </c>
      <c r="AY4657" s="3" t="s">
        <v>44967</v>
      </c>
      <c r="AZ4657" s="3" t="s">
        <v>44968</v>
      </c>
      <c r="BA4657" s="3" t="s">
        <v>44968</v>
      </c>
      <c r="BB4657" s="3" t="s">
        <v>44969</v>
      </c>
      <c r="BC4657" s="3" t="s">
        <v>102</v>
      </c>
      <c r="BD4657" s="3" t="s">
        <v>231</v>
      </c>
      <c r="BE4657" s="3" t="s">
        <v>44970</v>
      </c>
      <c r="BF4657" s="3" t="s">
        <v>44969</v>
      </c>
      <c r="BG4657" s="3" t="s">
        <v>44971</v>
      </c>
    </row>
    <row r="4658" spans="1:59" ht="58" x14ac:dyDescent="0.35">
      <c r="A4658" s="2" t="s">
        <v>59</v>
      </c>
      <c r="B4658" s="2" t="s">
        <v>60</v>
      </c>
      <c r="C4658" s="2" t="s">
        <v>44972</v>
      </c>
      <c r="D4658" s="2" t="s">
        <v>44973</v>
      </c>
      <c r="E4658" s="2" t="s">
        <v>44974</v>
      </c>
      <c r="G4658" s="3" t="s">
        <v>62</v>
      </c>
      <c r="I4658" s="3" t="s">
        <v>62</v>
      </c>
      <c r="J4658" s="3" t="s">
        <v>62</v>
      </c>
      <c r="K4658" s="3" t="s">
        <v>63</v>
      </c>
      <c r="L4658" s="2" t="s">
        <v>44975</v>
      </c>
      <c r="M4658" s="2" t="s">
        <v>44976</v>
      </c>
      <c r="N4658" s="3" t="s">
        <v>95</v>
      </c>
      <c r="P4658" s="3" t="s">
        <v>64</v>
      </c>
      <c r="R4658" s="3" t="s">
        <v>42369</v>
      </c>
      <c r="S4658" s="4">
        <v>10</v>
      </c>
      <c r="T4658" s="4">
        <v>10</v>
      </c>
      <c r="U4658" s="5" t="s">
        <v>10262</v>
      </c>
      <c r="V4658" s="5" t="s">
        <v>10262</v>
      </c>
      <c r="W4658" s="5" t="s">
        <v>67</v>
      </c>
      <c r="X4658" s="5" t="s">
        <v>67</v>
      </c>
      <c r="Y4658" s="4">
        <v>744</v>
      </c>
      <c r="Z4658" s="4">
        <v>47</v>
      </c>
      <c r="AA4658" s="4">
        <v>57</v>
      </c>
      <c r="AB4658" s="4">
        <v>3</v>
      </c>
      <c r="AC4658" s="4">
        <v>10</v>
      </c>
      <c r="AD4658" s="4">
        <v>135</v>
      </c>
      <c r="AE4658" s="4">
        <v>143</v>
      </c>
      <c r="AF4658" s="4">
        <v>1</v>
      </c>
      <c r="AG4658" s="4">
        <v>6</v>
      </c>
      <c r="AH4658" s="4">
        <v>108</v>
      </c>
      <c r="AI4658" s="4">
        <v>111</v>
      </c>
      <c r="AJ4658" s="4">
        <v>19</v>
      </c>
      <c r="AK4658" s="4">
        <v>23</v>
      </c>
      <c r="AL4658" s="4">
        <v>55</v>
      </c>
      <c r="AM4658" s="4">
        <v>57</v>
      </c>
      <c r="AN4658" s="4">
        <v>0</v>
      </c>
      <c r="AO4658" s="4">
        <v>0</v>
      </c>
      <c r="AP4658" s="4">
        <v>32</v>
      </c>
      <c r="AQ4658" s="4">
        <v>37</v>
      </c>
      <c r="AR4658" s="3" t="s">
        <v>62</v>
      </c>
      <c r="AS4658" s="3" t="s">
        <v>62</v>
      </c>
      <c r="AT4658" s="3" t="s">
        <v>62</v>
      </c>
      <c r="AV4658" s="6" t="str">
        <f>HYPERLINK("http://mcgill.on.worldcat.org/oclc/7171342","Catalog Record")</f>
        <v>Catalog Record</v>
      </c>
      <c r="AW4658" s="6" t="str">
        <f>HYPERLINK("http://www.worldcat.org/oclc/7171342","WorldCat Record")</f>
        <v>WorldCat Record</v>
      </c>
      <c r="AX4658" s="3" t="s">
        <v>44977</v>
      </c>
      <c r="AY4658" s="3" t="s">
        <v>44978</v>
      </c>
      <c r="AZ4658" s="3" t="s">
        <v>44979</v>
      </c>
      <c r="BA4658" s="3" t="s">
        <v>44979</v>
      </c>
      <c r="BB4658" s="3" t="s">
        <v>44980</v>
      </c>
      <c r="BC4658" s="3" t="s">
        <v>102</v>
      </c>
      <c r="BD4658" s="3" t="s">
        <v>68</v>
      </c>
      <c r="BE4658" s="3" t="s">
        <v>44981</v>
      </c>
      <c r="BF4658" s="3" t="s">
        <v>44980</v>
      </c>
      <c r="BG4658" s="3" t="s">
        <v>44982</v>
      </c>
    </row>
    <row r="4659" spans="1:59" ht="58" x14ac:dyDescent="0.35">
      <c r="A4659" s="2" t="s">
        <v>59</v>
      </c>
      <c r="B4659" s="2" t="s">
        <v>60</v>
      </c>
      <c r="C4659" s="2" t="s">
        <v>44983</v>
      </c>
      <c r="D4659" s="2" t="s">
        <v>44984</v>
      </c>
      <c r="E4659" s="2" t="s">
        <v>44985</v>
      </c>
      <c r="G4659" s="3" t="s">
        <v>62</v>
      </c>
      <c r="I4659" s="3" t="s">
        <v>62</v>
      </c>
      <c r="J4659" s="3" t="s">
        <v>62</v>
      </c>
      <c r="K4659" s="3" t="s">
        <v>63</v>
      </c>
      <c r="L4659" s="2" t="s">
        <v>44986</v>
      </c>
      <c r="M4659" s="2" t="s">
        <v>44987</v>
      </c>
      <c r="N4659" s="3" t="s">
        <v>596</v>
      </c>
      <c r="P4659" s="3" t="s">
        <v>64</v>
      </c>
      <c r="Q4659" s="2" t="s">
        <v>42956</v>
      </c>
      <c r="R4659" s="3" t="s">
        <v>42369</v>
      </c>
      <c r="S4659" s="4">
        <v>8</v>
      </c>
      <c r="T4659" s="4">
        <v>8</v>
      </c>
      <c r="U4659" s="5" t="s">
        <v>44988</v>
      </c>
      <c r="V4659" s="5" t="s">
        <v>44988</v>
      </c>
      <c r="W4659" s="5" t="s">
        <v>67</v>
      </c>
      <c r="X4659" s="5" t="s">
        <v>67</v>
      </c>
      <c r="Y4659" s="4">
        <v>228</v>
      </c>
      <c r="Z4659" s="4">
        <v>19</v>
      </c>
      <c r="AA4659" s="4">
        <v>21</v>
      </c>
      <c r="AB4659" s="4">
        <v>1</v>
      </c>
      <c r="AC4659" s="4">
        <v>1</v>
      </c>
      <c r="AD4659" s="4">
        <v>68</v>
      </c>
      <c r="AE4659" s="4">
        <v>75</v>
      </c>
      <c r="AF4659" s="4">
        <v>0</v>
      </c>
      <c r="AG4659" s="4">
        <v>0</v>
      </c>
      <c r="AH4659" s="4">
        <v>60</v>
      </c>
      <c r="AI4659" s="4">
        <v>67</v>
      </c>
      <c r="AJ4659" s="4">
        <v>8</v>
      </c>
      <c r="AK4659" s="4">
        <v>10</v>
      </c>
      <c r="AL4659" s="4">
        <v>33</v>
      </c>
      <c r="AM4659" s="4">
        <v>35</v>
      </c>
      <c r="AN4659" s="4">
        <v>0</v>
      </c>
      <c r="AO4659" s="4">
        <v>0</v>
      </c>
      <c r="AP4659" s="4">
        <v>12</v>
      </c>
      <c r="AQ4659" s="4">
        <v>14</v>
      </c>
      <c r="AR4659" s="3" t="s">
        <v>62</v>
      </c>
      <c r="AS4659" s="3" t="s">
        <v>62</v>
      </c>
      <c r="AT4659" s="3" t="s">
        <v>62</v>
      </c>
      <c r="AV4659" s="6" t="str">
        <f>HYPERLINK("http://mcgill.on.worldcat.org/oclc/51807032","Catalog Record")</f>
        <v>Catalog Record</v>
      </c>
      <c r="AW4659" s="6" t="str">
        <f>HYPERLINK("http://www.worldcat.org/oclc/51807032","WorldCat Record")</f>
        <v>WorldCat Record</v>
      </c>
      <c r="AX4659" s="3" t="s">
        <v>44989</v>
      </c>
      <c r="AY4659" s="3" t="s">
        <v>44990</v>
      </c>
      <c r="AZ4659" s="3" t="s">
        <v>44991</v>
      </c>
      <c r="BA4659" s="3" t="s">
        <v>44991</v>
      </c>
      <c r="BB4659" s="3" t="s">
        <v>44992</v>
      </c>
      <c r="BC4659" s="3" t="s">
        <v>102</v>
      </c>
      <c r="BD4659" s="3" t="s">
        <v>68</v>
      </c>
      <c r="BE4659" s="3" t="s">
        <v>44993</v>
      </c>
      <c r="BF4659" s="3" t="s">
        <v>44992</v>
      </c>
      <c r="BG4659" s="3" t="s">
        <v>44994</v>
      </c>
    </row>
    <row r="4660" spans="1:59" ht="58" x14ac:dyDescent="0.35">
      <c r="A4660" s="2" t="s">
        <v>59</v>
      </c>
      <c r="B4660" s="2" t="s">
        <v>60</v>
      </c>
      <c r="C4660" s="2" t="s">
        <v>44995</v>
      </c>
      <c r="D4660" s="2" t="s">
        <v>44996</v>
      </c>
      <c r="E4660" s="2" t="s">
        <v>44997</v>
      </c>
      <c r="G4660" s="3" t="s">
        <v>62</v>
      </c>
      <c r="I4660" s="3" t="s">
        <v>62</v>
      </c>
      <c r="J4660" s="3" t="s">
        <v>62</v>
      </c>
      <c r="K4660" s="3" t="s">
        <v>63</v>
      </c>
      <c r="L4660" s="2" t="s">
        <v>44998</v>
      </c>
      <c r="M4660" s="2" t="s">
        <v>44999</v>
      </c>
      <c r="N4660" s="3" t="s">
        <v>78</v>
      </c>
      <c r="P4660" s="3" t="s">
        <v>64</v>
      </c>
      <c r="R4660" s="3" t="s">
        <v>42369</v>
      </c>
      <c r="S4660" s="4">
        <v>13</v>
      </c>
      <c r="T4660" s="4">
        <v>13</v>
      </c>
      <c r="U4660" s="5" t="s">
        <v>20934</v>
      </c>
      <c r="V4660" s="5" t="s">
        <v>20934</v>
      </c>
      <c r="W4660" s="5" t="s">
        <v>67</v>
      </c>
      <c r="X4660" s="5" t="s">
        <v>67</v>
      </c>
      <c r="Y4660" s="4">
        <v>773</v>
      </c>
      <c r="Z4660" s="4">
        <v>34</v>
      </c>
      <c r="AA4660" s="4">
        <v>48</v>
      </c>
      <c r="AB4660" s="4">
        <v>1</v>
      </c>
      <c r="AC4660" s="4">
        <v>5</v>
      </c>
      <c r="AD4660" s="4">
        <v>112</v>
      </c>
      <c r="AE4660" s="4">
        <v>126</v>
      </c>
      <c r="AF4660" s="4">
        <v>0</v>
      </c>
      <c r="AG4660" s="4">
        <v>4</v>
      </c>
      <c r="AH4660" s="4">
        <v>93</v>
      </c>
      <c r="AI4660" s="4">
        <v>99</v>
      </c>
      <c r="AJ4660" s="4">
        <v>13</v>
      </c>
      <c r="AK4660" s="4">
        <v>20</v>
      </c>
      <c r="AL4660" s="4">
        <v>53</v>
      </c>
      <c r="AM4660" s="4">
        <v>56</v>
      </c>
      <c r="AN4660" s="4">
        <v>0</v>
      </c>
      <c r="AO4660" s="4">
        <v>0</v>
      </c>
      <c r="AP4660" s="4">
        <v>22</v>
      </c>
      <c r="AQ4660" s="4">
        <v>31</v>
      </c>
      <c r="AR4660" s="3" t="s">
        <v>62</v>
      </c>
      <c r="AS4660" s="3" t="s">
        <v>62</v>
      </c>
      <c r="AT4660" s="3" t="s">
        <v>61</v>
      </c>
      <c r="AU4660" s="6" t="str">
        <f>HYPERLINK("http://catalog.hathitrust.org/Record/001502522","HathiTrust Record")</f>
        <v>HathiTrust Record</v>
      </c>
      <c r="AV4660" s="6" t="str">
        <f>HYPERLINK("http://mcgill.on.worldcat.org/oclc/327620","Catalog Record")</f>
        <v>Catalog Record</v>
      </c>
      <c r="AW4660" s="6" t="str">
        <f>HYPERLINK("http://www.worldcat.org/oclc/327620","WorldCat Record")</f>
        <v>WorldCat Record</v>
      </c>
      <c r="AX4660" s="3" t="s">
        <v>45000</v>
      </c>
      <c r="AY4660" s="3" t="s">
        <v>45001</v>
      </c>
      <c r="AZ4660" s="3" t="s">
        <v>45002</v>
      </c>
      <c r="BA4660" s="3" t="s">
        <v>45002</v>
      </c>
      <c r="BB4660" s="3" t="s">
        <v>45003</v>
      </c>
      <c r="BC4660" s="3" t="s">
        <v>102</v>
      </c>
      <c r="BD4660" s="3" t="s">
        <v>68</v>
      </c>
      <c r="BF4660" s="3" t="s">
        <v>45003</v>
      </c>
      <c r="BG4660" s="3" t="s">
        <v>45004</v>
      </c>
    </row>
    <row r="4661" spans="1:59" ht="58" x14ac:dyDescent="0.35">
      <c r="A4661" s="2" t="s">
        <v>59</v>
      </c>
      <c r="B4661" s="2" t="s">
        <v>60</v>
      </c>
      <c r="C4661" s="2" t="s">
        <v>45005</v>
      </c>
      <c r="D4661" s="2" t="s">
        <v>45006</v>
      </c>
      <c r="E4661" s="2" t="s">
        <v>45007</v>
      </c>
      <c r="G4661" s="3" t="s">
        <v>62</v>
      </c>
      <c r="I4661" s="3" t="s">
        <v>62</v>
      </c>
      <c r="J4661" s="3" t="s">
        <v>61</v>
      </c>
      <c r="K4661" s="3" t="s">
        <v>63</v>
      </c>
      <c r="L4661" s="2" t="s">
        <v>45008</v>
      </c>
      <c r="M4661" s="2" t="s">
        <v>45009</v>
      </c>
      <c r="N4661" s="3" t="s">
        <v>1639</v>
      </c>
      <c r="P4661" s="3" t="s">
        <v>64</v>
      </c>
      <c r="R4661" s="3" t="s">
        <v>42369</v>
      </c>
      <c r="S4661" s="4">
        <v>7</v>
      </c>
      <c r="T4661" s="4">
        <v>7</v>
      </c>
      <c r="U4661" s="5" t="s">
        <v>45010</v>
      </c>
      <c r="V4661" s="5" t="s">
        <v>45010</v>
      </c>
      <c r="W4661" s="5" t="s">
        <v>67</v>
      </c>
      <c r="X4661" s="5" t="s">
        <v>67</v>
      </c>
      <c r="Y4661" s="4">
        <v>373</v>
      </c>
      <c r="Z4661" s="4">
        <v>8</v>
      </c>
      <c r="AA4661" s="4">
        <v>29</v>
      </c>
      <c r="AB4661" s="4">
        <v>1</v>
      </c>
      <c r="AC4661" s="4">
        <v>3</v>
      </c>
      <c r="AD4661" s="4">
        <v>58</v>
      </c>
      <c r="AE4661" s="4">
        <v>90</v>
      </c>
      <c r="AF4661" s="4">
        <v>0</v>
      </c>
      <c r="AG4661" s="4">
        <v>1</v>
      </c>
      <c r="AH4661" s="4">
        <v>54</v>
      </c>
      <c r="AI4661" s="4">
        <v>77</v>
      </c>
      <c r="AJ4661" s="4">
        <v>4</v>
      </c>
      <c r="AK4661" s="4">
        <v>11</v>
      </c>
      <c r="AL4661" s="4">
        <v>30</v>
      </c>
      <c r="AM4661" s="4">
        <v>42</v>
      </c>
      <c r="AN4661" s="4">
        <v>0</v>
      </c>
      <c r="AO4661" s="4">
        <v>0</v>
      </c>
      <c r="AP4661" s="4">
        <v>5</v>
      </c>
      <c r="AQ4661" s="4">
        <v>19</v>
      </c>
      <c r="AR4661" s="3" t="s">
        <v>62</v>
      </c>
      <c r="AS4661" s="3" t="s">
        <v>62</v>
      </c>
      <c r="AT4661" s="3" t="s">
        <v>62</v>
      </c>
      <c r="AV4661" s="6" t="str">
        <f>HYPERLINK("http://mcgill.on.worldcat.org/oclc/90313","Catalog Record")</f>
        <v>Catalog Record</v>
      </c>
      <c r="AW4661" s="6" t="str">
        <f>HYPERLINK("http://www.worldcat.org/oclc/90313","WorldCat Record")</f>
        <v>WorldCat Record</v>
      </c>
      <c r="AX4661" s="3" t="s">
        <v>45011</v>
      </c>
      <c r="AY4661" s="3" t="s">
        <v>45012</v>
      </c>
      <c r="AZ4661" s="3" t="s">
        <v>45013</v>
      </c>
      <c r="BA4661" s="3" t="s">
        <v>45013</v>
      </c>
      <c r="BB4661" s="3" t="s">
        <v>45014</v>
      </c>
      <c r="BC4661" s="3" t="s">
        <v>102</v>
      </c>
      <c r="BD4661" s="3" t="s">
        <v>68</v>
      </c>
      <c r="BF4661" s="3" t="s">
        <v>45014</v>
      </c>
      <c r="BG4661" s="3" t="s">
        <v>45015</v>
      </c>
    </row>
    <row r="4662" spans="1:59" ht="58" x14ac:dyDescent="0.35">
      <c r="A4662" s="2" t="s">
        <v>59</v>
      </c>
      <c r="B4662" s="2" t="s">
        <v>60</v>
      </c>
      <c r="C4662" s="2" t="s">
        <v>45016</v>
      </c>
      <c r="D4662" s="2" t="s">
        <v>45017</v>
      </c>
      <c r="E4662" s="2" t="s">
        <v>45018</v>
      </c>
      <c r="G4662" s="3" t="s">
        <v>62</v>
      </c>
      <c r="I4662" s="3" t="s">
        <v>62</v>
      </c>
      <c r="J4662" s="3" t="s">
        <v>62</v>
      </c>
      <c r="K4662" s="3" t="s">
        <v>63</v>
      </c>
      <c r="L4662" s="2" t="s">
        <v>45019</v>
      </c>
      <c r="M4662" s="2" t="s">
        <v>45020</v>
      </c>
      <c r="N4662" s="3" t="s">
        <v>1639</v>
      </c>
      <c r="P4662" s="3" t="s">
        <v>64</v>
      </c>
      <c r="Q4662" s="2" t="s">
        <v>45021</v>
      </c>
      <c r="R4662" s="3" t="s">
        <v>42369</v>
      </c>
      <c r="S4662" s="4">
        <v>1</v>
      </c>
      <c r="T4662" s="4">
        <v>1</v>
      </c>
      <c r="U4662" s="5" t="s">
        <v>45010</v>
      </c>
      <c r="V4662" s="5" t="s">
        <v>45010</v>
      </c>
      <c r="W4662" s="5" t="s">
        <v>67</v>
      </c>
      <c r="X4662" s="5" t="s">
        <v>67</v>
      </c>
      <c r="Y4662" s="4">
        <v>18</v>
      </c>
      <c r="Z4662" s="4">
        <v>2</v>
      </c>
      <c r="AA4662" s="4">
        <v>2</v>
      </c>
      <c r="AB4662" s="4">
        <v>1</v>
      </c>
      <c r="AC4662" s="4">
        <v>1</v>
      </c>
      <c r="AD4662" s="4">
        <v>11</v>
      </c>
      <c r="AE4662" s="4">
        <v>11</v>
      </c>
      <c r="AF4662" s="4">
        <v>0</v>
      </c>
      <c r="AG4662" s="4">
        <v>0</v>
      </c>
      <c r="AH4662" s="4">
        <v>9</v>
      </c>
      <c r="AI4662" s="4">
        <v>9</v>
      </c>
      <c r="AJ4662" s="4">
        <v>1</v>
      </c>
      <c r="AK4662" s="4">
        <v>1</v>
      </c>
      <c r="AL4662" s="4">
        <v>7</v>
      </c>
      <c r="AM4662" s="4">
        <v>7</v>
      </c>
      <c r="AN4662" s="4">
        <v>0</v>
      </c>
      <c r="AO4662" s="4">
        <v>0</v>
      </c>
      <c r="AP4662" s="4">
        <v>1</v>
      </c>
      <c r="AQ4662" s="4">
        <v>1</v>
      </c>
      <c r="AR4662" s="3" t="s">
        <v>62</v>
      </c>
      <c r="AS4662" s="3" t="s">
        <v>62</v>
      </c>
      <c r="AT4662" s="3" t="s">
        <v>61</v>
      </c>
      <c r="AU4662" s="6" t="str">
        <f>HYPERLINK("http://catalog.hathitrust.org/Record/009116047","HathiTrust Record")</f>
        <v>HathiTrust Record</v>
      </c>
      <c r="AV4662" s="6" t="str">
        <f>HYPERLINK("http://mcgill.on.worldcat.org/oclc/618874","Catalog Record")</f>
        <v>Catalog Record</v>
      </c>
      <c r="AW4662" s="6" t="str">
        <f>HYPERLINK("http://www.worldcat.org/oclc/618874","WorldCat Record")</f>
        <v>WorldCat Record</v>
      </c>
      <c r="AX4662" s="3" t="s">
        <v>45022</v>
      </c>
      <c r="AY4662" s="3" t="s">
        <v>45023</v>
      </c>
      <c r="AZ4662" s="3" t="s">
        <v>45024</v>
      </c>
      <c r="BA4662" s="3" t="s">
        <v>45024</v>
      </c>
      <c r="BB4662" s="3" t="s">
        <v>45025</v>
      </c>
      <c r="BC4662" s="3" t="s">
        <v>102</v>
      </c>
      <c r="BD4662" s="3" t="s">
        <v>68</v>
      </c>
      <c r="BF4662" s="3" t="s">
        <v>45025</v>
      </c>
      <c r="BG4662" s="3" t="s">
        <v>45026</v>
      </c>
    </row>
    <row r="4663" spans="1:59" ht="58" x14ac:dyDescent="0.35">
      <c r="A4663" s="2" t="s">
        <v>59</v>
      </c>
      <c r="B4663" s="2" t="s">
        <v>60</v>
      </c>
      <c r="C4663" s="2" t="s">
        <v>45027</v>
      </c>
      <c r="D4663" s="2" t="s">
        <v>45028</v>
      </c>
      <c r="E4663" s="2" t="s">
        <v>45029</v>
      </c>
      <c r="G4663" s="3" t="s">
        <v>62</v>
      </c>
      <c r="I4663" s="3" t="s">
        <v>62</v>
      </c>
      <c r="J4663" s="3" t="s">
        <v>62</v>
      </c>
      <c r="K4663" s="3" t="s">
        <v>63</v>
      </c>
      <c r="L4663" s="2" t="s">
        <v>31441</v>
      </c>
      <c r="M4663" s="2" t="s">
        <v>45030</v>
      </c>
      <c r="N4663" s="3" t="s">
        <v>524</v>
      </c>
      <c r="P4663" s="3" t="s">
        <v>64</v>
      </c>
      <c r="R4663" s="3" t="s">
        <v>42369</v>
      </c>
      <c r="S4663" s="4">
        <v>2</v>
      </c>
      <c r="T4663" s="4">
        <v>2</v>
      </c>
      <c r="U4663" s="5" t="s">
        <v>23727</v>
      </c>
      <c r="V4663" s="5" t="s">
        <v>23727</v>
      </c>
      <c r="W4663" s="5" t="s">
        <v>67</v>
      </c>
      <c r="X4663" s="5" t="s">
        <v>67</v>
      </c>
      <c r="Y4663" s="4">
        <v>3</v>
      </c>
      <c r="Z4663" s="4">
        <v>1</v>
      </c>
      <c r="AA4663" s="4">
        <v>9</v>
      </c>
      <c r="AB4663" s="4">
        <v>1</v>
      </c>
      <c r="AC4663" s="4">
        <v>1</v>
      </c>
      <c r="AD4663" s="4">
        <v>0</v>
      </c>
      <c r="AE4663" s="4">
        <v>66</v>
      </c>
      <c r="AF4663" s="4">
        <v>0</v>
      </c>
      <c r="AG4663" s="4">
        <v>0</v>
      </c>
      <c r="AH4663" s="4">
        <v>0</v>
      </c>
      <c r="AI4663" s="4">
        <v>64</v>
      </c>
      <c r="AJ4663" s="4">
        <v>0</v>
      </c>
      <c r="AK4663" s="4">
        <v>4</v>
      </c>
      <c r="AL4663" s="4">
        <v>0</v>
      </c>
      <c r="AM4663" s="4">
        <v>39</v>
      </c>
      <c r="AN4663" s="4">
        <v>0</v>
      </c>
      <c r="AO4663" s="4">
        <v>0</v>
      </c>
      <c r="AP4663" s="4">
        <v>0</v>
      </c>
      <c r="AQ4663" s="4">
        <v>4</v>
      </c>
      <c r="AR4663" s="3" t="s">
        <v>62</v>
      </c>
      <c r="AS4663" s="3" t="s">
        <v>62</v>
      </c>
      <c r="AT4663" s="3" t="s">
        <v>62</v>
      </c>
      <c r="AV4663" s="6" t="str">
        <f>HYPERLINK("http://mcgill.on.worldcat.org/oclc/428039653","Catalog Record")</f>
        <v>Catalog Record</v>
      </c>
      <c r="AW4663" s="6" t="str">
        <f>HYPERLINK("http://www.worldcat.org/oclc/428039653","WorldCat Record")</f>
        <v>WorldCat Record</v>
      </c>
      <c r="AX4663" s="3" t="s">
        <v>45031</v>
      </c>
      <c r="AY4663" s="3" t="s">
        <v>45032</v>
      </c>
      <c r="AZ4663" s="3" t="s">
        <v>45033</v>
      </c>
      <c r="BA4663" s="3" t="s">
        <v>45033</v>
      </c>
      <c r="BB4663" s="3" t="s">
        <v>45034</v>
      </c>
      <c r="BC4663" s="3" t="s">
        <v>102</v>
      </c>
      <c r="BD4663" s="3" t="s">
        <v>68</v>
      </c>
      <c r="BE4663" s="3" t="s">
        <v>45035</v>
      </c>
      <c r="BF4663" s="3" t="s">
        <v>45034</v>
      </c>
      <c r="BG4663" s="3" t="s">
        <v>45036</v>
      </c>
    </row>
    <row r="4664" spans="1:59" ht="58" x14ac:dyDescent="0.35">
      <c r="A4664" s="2" t="s">
        <v>89</v>
      </c>
      <c r="B4664" s="2" t="s">
        <v>90</v>
      </c>
      <c r="C4664" s="2" t="s">
        <v>45037</v>
      </c>
      <c r="D4664" s="2" t="s">
        <v>45038</v>
      </c>
      <c r="E4664" s="2" t="s">
        <v>45039</v>
      </c>
      <c r="G4664" s="3" t="s">
        <v>62</v>
      </c>
      <c r="I4664" s="3" t="s">
        <v>62</v>
      </c>
      <c r="J4664" s="3" t="s">
        <v>62</v>
      </c>
      <c r="K4664" s="3" t="s">
        <v>63</v>
      </c>
      <c r="L4664" s="2" t="s">
        <v>45040</v>
      </c>
      <c r="M4664" s="2" t="s">
        <v>45041</v>
      </c>
      <c r="N4664" s="3" t="s">
        <v>684</v>
      </c>
      <c r="P4664" s="3" t="s">
        <v>64</v>
      </c>
      <c r="Q4664" s="2" t="s">
        <v>45042</v>
      </c>
      <c r="R4664" s="3" t="s">
        <v>42369</v>
      </c>
      <c r="S4664" s="4">
        <v>2</v>
      </c>
      <c r="T4664" s="4">
        <v>2</v>
      </c>
      <c r="U4664" s="5" t="s">
        <v>45043</v>
      </c>
      <c r="V4664" s="5" t="s">
        <v>45043</v>
      </c>
      <c r="W4664" s="5" t="s">
        <v>67</v>
      </c>
      <c r="X4664" s="5" t="s">
        <v>67</v>
      </c>
      <c r="Y4664" s="4">
        <v>94</v>
      </c>
      <c r="Z4664" s="4">
        <v>4</v>
      </c>
      <c r="AA4664" s="4">
        <v>4</v>
      </c>
      <c r="AB4664" s="4">
        <v>2</v>
      </c>
      <c r="AC4664" s="4">
        <v>2</v>
      </c>
      <c r="AD4664" s="4">
        <v>23</v>
      </c>
      <c r="AE4664" s="4">
        <v>23</v>
      </c>
      <c r="AF4664" s="4">
        <v>0</v>
      </c>
      <c r="AG4664" s="4">
        <v>0</v>
      </c>
      <c r="AH4664" s="4">
        <v>23</v>
      </c>
      <c r="AI4664" s="4">
        <v>23</v>
      </c>
      <c r="AJ4664" s="4">
        <v>0</v>
      </c>
      <c r="AK4664" s="4">
        <v>0</v>
      </c>
      <c r="AL4664" s="4">
        <v>14</v>
      </c>
      <c r="AM4664" s="4">
        <v>14</v>
      </c>
      <c r="AN4664" s="4">
        <v>0</v>
      </c>
      <c r="AO4664" s="4">
        <v>0</v>
      </c>
      <c r="AP4664" s="4">
        <v>0</v>
      </c>
      <c r="AQ4664" s="4">
        <v>0</v>
      </c>
      <c r="AR4664" s="3" t="s">
        <v>62</v>
      </c>
      <c r="AS4664" s="3" t="s">
        <v>62</v>
      </c>
      <c r="AT4664" s="3" t="s">
        <v>62</v>
      </c>
      <c r="AV4664" s="6" t="str">
        <f>HYPERLINK("http://mcgill.on.worldcat.org/oclc/717566999","Catalog Record")</f>
        <v>Catalog Record</v>
      </c>
      <c r="AW4664" s="6" t="str">
        <f>HYPERLINK("http://www.worldcat.org/oclc/717566999","WorldCat Record")</f>
        <v>WorldCat Record</v>
      </c>
      <c r="AX4664" s="3" t="s">
        <v>45044</v>
      </c>
      <c r="AY4664" s="3" t="s">
        <v>45045</v>
      </c>
      <c r="AZ4664" s="3" t="s">
        <v>45046</v>
      </c>
      <c r="BA4664" s="3" t="s">
        <v>45046</v>
      </c>
      <c r="BB4664" s="3" t="s">
        <v>45047</v>
      </c>
      <c r="BC4664" s="3" t="s">
        <v>102</v>
      </c>
      <c r="BD4664" s="3" t="s">
        <v>68</v>
      </c>
      <c r="BE4664" s="3" t="s">
        <v>45048</v>
      </c>
      <c r="BF4664" s="3" t="s">
        <v>45047</v>
      </c>
      <c r="BG4664" s="3" t="s">
        <v>45049</v>
      </c>
    </row>
    <row r="4665" spans="1:59" ht="58" x14ac:dyDescent="0.35">
      <c r="A4665" s="2" t="s">
        <v>59</v>
      </c>
      <c r="B4665" s="2" t="s">
        <v>60</v>
      </c>
      <c r="C4665" s="2" t="s">
        <v>45050</v>
      </c>
      <c r="D4665" s="2" t="s">
        <v>45051</v>
      </c>
      <c r="E4665" s="2" t="s">
        <v>45052</v>
      </c>
      <c r="G4665" s="3" t="s">
        <v>62</v>
      </c>
      <c r="I4665" s="3" t="s">
        <v>62</v>
      </c>
      <c r="J4665" s="3" t="s">
        <v>62</v>
      </c>
      <c r="K4665" s="3" t="s">
        <v>63</v>
      </c>
      <c r="L4665" s="2" t="s">
        <v>45053</v>
      </c>
      <c r="M4665" s="2" t="s">
        <v>45054</v>
      </c>
      <c r="N4665" s="3" t="s">
        <v>424</v>
      </c>
      <c r="P4665" s="3" t="s">
        <v>64</v>
      </c>
      <c r="R4665" s="3" t="s">
        <v>42369</v>
      </c>
      <c r="S4665" s="4">
        <v>10</v>
      </c>
      <c r="T4665" s="4">
        <v>10</v>
      </c>
      <c r="U4665" s="5" t="s">
        <v>31289</v>
      </c>
      <c r="V4665" s="5" t="s">
        <v>31289</v>
      </c>
      <c r="W4665" s="5" t="s">
        <v>67</v>
      </c>
      <c r="X4665" s="5" t="s">
        <v>67</v>
      </c>
      <c r="Y4665" s="4">
        <v>439</v>
      </c>
      <c r="Z4665" s="4">
        <v>14</v>
      </c>
      <c r="AA4665" s="4">
        <v>18</v>
      </c>
      <c r="AB4665" s="4">
        <v>1</v>
      </c>
      <c r="AC4665" s="4">
        <v>1</v>
      </c>
      <c r="AD4665" s="4">
        <v>38</v>
      </c>
      <c r="AE4665" s="4">
        <v>43</v>
      </c>
      <c r="AF4665" s="4">
        <v>0</v>
      </c>
      <c r="AG4665" s="4">
        <v>0</v>
      </c>
      <c r="AH4665" s="4">
        <v>35</v>
      </c>
      <c r="AI4665" s="4">
        <v>40</v>
      </c>
      <c r="AJ4665" s="4">
        <v>3</v>
      </c>
      <c r="AK4665" s="4">
        <v>3</v>
      </c>
      <c r="AL4665" s="4">
        <v>14</v>
      </c>
      <c r="AM4665" s="4">
        <v>18</v>
      </c>
      <c r="AN4665" s="4">
        <v>0</v>
      </c>
      <c r="AO4665" s="4">
        <v>0</v>
      </c>
      <c r="AP4665" s="4">
        <v>4</v>
      </c>
      <c r="AQ4665" s="4">
        <v>4</v>
      </c>
      <c r="AR4665" s="3" t="s">
        <v>62</v>
      </c>
      <c r="AS4665" s="3" t="s">
        <v>62</v>
      </c>
      <c r="AT4665" s="3" t="s">
        <v>62</v>
      </c>
      <c r="AV4665" s="6" t="str">
        <f>HYPERLINK("http://mcgill.on.worldcat.org/oclc/30891866","Catalog Record")</f>
        <v>Catalog Record</v>
      </c>
      <c r="AW4665" s="6" t="str">
        <f>HYPERLINK("http://www.worldcat.org/oclc/30891866","WorldCat Record")</f>
        <v>WorldCat Record</v>
      </c>
      <c r="AX4665" s="3" t="s">
        <v>45055</v>
      </c>
      <c r="AY4665" s="3" t="s">
        <v>45056</v>
      </c>
      <c r="AZ4665" s="3" t="s">
        <v>45057</v>
      </c>
      <c r="BA4665" s="3" t="s">
        <v>45057</v>
      </c>
      <c r="BB4665" s="3" t="s">
        <v>45058</v>
      </c>
      <c r="BC4665" s="3" t="s">
        <v>102</v>
      </c>
      <c r="BD4665" s="3" t="s">
        <v>68</v>
      </c>
      <c r="BE4665" s="3" t="s">
        <v>45059</v>
      </c>
      <c r="BF4665" s="3" t="s">
        <v>45058</v>
      </c>
      <c r="BG4665" s="3" t="s">
        <v>45060</v>
      </c>
    </row>
    <row r="4666" spans="1:59" ht="58" x14ac:dyDescent="0.35">
      <c r="A4666" s="2" t="s">
        <v>59</v>
      </c>
      <c r="B4666" s="2" t="s">
        <v>60</v>
      </c>
      <c r="C4666" s="2" t="s">
        <v>45061</v>
      </c>
      <c r="D4666" s="2" t="s">
        <v>45062</v>
      </c>
      <c r="E4666" s="2" t="s">
        <v>45063</v>
      </c>
      <c r="G4666" s="3" t="s">
        <v>62</v>
      </c>
      <c r="I4666" s="3" t="s">
        <v>62</v>
      </c>
      <c r="J4666" s="3" t="s">
        <v>62</v>
      </c>
      <c r="K4666" s="3" t="s">
        <v>63</v>
      </c>
      <c r="L4666" s="2" t="s">
        <v>45064</v>
      </c>
      <c r="M4666" s="2" t="s">
        <v>45065</v>
      </c>
      <c r="N4666" s="3" t="s">
        <v>2000</v>
      </c>
      <c r="P4666" s="3" t="s">
        <v>64</v>
      </c>
      <c r="R4666" s="3" t="s">
        <v>42369</v>
      </c>
      <c r="S4666" s="4">
        <v>1</v>
      </c>
      <c r="T4666" s="4">
        <v>1</v>
      </c>
      <c r="U4666" s="5" t="s">
        <v>4187</v>
      </c>
      <c r="V4666" s="5" t="s">
        <v>4187</v>
      </c>
      <c r="W4666" s="5" t="s">
        <v>67</v>
      </c>
      <c r="X4666" s="5" t="s">
        <v>67</v>
      </c>
      <c r="Y4666" s="4">
        <v>180</v>
      </c>
      <c r="Z4666" s="4">
        <v>7</v>
      </c>
      <c r="AA4666" s="4">
        <v>9</v>
      </c>
      <c r="AB4666" s="4">
        <v>2</v>
      </c>
      <c r="AC4666" s="4">
        <v>3</v>
      </c>
      <c r="AD4666" s="4">
        <v>16</v>
      </c>
      <c r="AE4666" s="4">
        <v>34</v>
      </c>
      <c r="AF4666" s="4">
        <v>0</v>
      </c>
      <c r="AG4666" s="4">
        <v>0</v>
      </c>
      <c r="AH4666" s="4">
        <v>16</v>
      </c>
      <c r="AI4666" s="4">
        <v>34</v>
      </c>
      <c r="AJ4666" s="4">
        <v>1</v>
      </c>
      <c r="AK4666" s="4">
        <v>1</v>
      </c>
      <c r="AL4666" s="4">
        <v>8</v>
      </c>
      <c r="AM4666" s="4">
        <v>17</v>
      </c>
      <c r="AN4666" s="4">
        <v>0</v>
      </c>
      <c r="AO4666" s="4">
        <v>0</v>
      </c>
      <c r="AP4666" s="4">
        <v>1</v>
      </c>
      <c r="AQ4666" s="4">
        <v>1</v>
      </c>
      <c r="AR4666" s="3" t="s">
        <v>62</v>
      </c>
      <c r="AS4666" s="3" t="s">
        <v>62</v>
      </c>
      <c r="AT4666" s="3" t="s">
        <v>61</v>
      </c>
      <c r="AU4666" s="6" t="str">
        <f>HYPERLINK("http://catalog.hathitrust.org/Record/003170366","HathiTrust Record")</f>
        <v>HathiTrust Record</v>
      </c>
      <c r="AV4666" s="6" t="str">
        <f>HYPERLINK("http://mcgill.on.worldcat.org/oclc/35083773","Catalog Record")</f>
        <v>Catalog Record</v>
      </c>
      <c r="AW4666" s="6" t="str">
        <f>HYPERLINK("http://www.worldcat.org/oclc/35083773","WorldCat Record")</f>
        <v>WorldCat Record</v>
      </c>
      <c r="AX4666" s="3" t="s">
        <v>45066</v>
      </c>
      <c r="AY4666" s="3" t="s">
        <v>45067</v>
      </c>
      <c r="AZ4666" s="3" t="s">
        <v>45068</v>
      </c>
      <c r="BA4666" s="3" t="s">
        <v>45068</v>
      </c>
      <c r="BB4666" s="3" t="s">
        <v>45069</v>
      </c>
      <c r="BC4666" s="3" t="s">
        <v>102</v>
      </c>
      <c r="BD4666" s="3" t="s">
        <v>68</v>
      </c>
      <c r="BE4666" s="3" t="s">
        <v>45070</v>
      </c>
      <c r="BF4666" s="3" t="s">
        <v>45069</v>
      </c>
      <c r="BG4666" s="3" t="s">
        <v>45071</v>
      </c>
    </row>
    <row r="4667" spans="1:59" ht="58" x14ac:dyDescent="0.35">
      <c r="A4667" s="2" t="s">
        <v>59</v>
      </c>
      <c r="B4667" s="2" t="s">
        <v>60</v>
      </c>
      <c r="C4667" s="2" t="s">
        <v>45072</v>
      </c>
      <c r="D4667" s="2" t="s">
        <v>45073</v>
      </c>
      <c r="E4667" s="2" t="s">
        <v>45074</v>
      </c>
      <c r="G4667" s="3" t="s">
        <v>62</v>
      </c>
      <c r="I4667" s="3" t="s">
        <v>62</v>
      </c>
      <c r="J4667" s="3" t="s">
        <v>62</v>
      </c>
      <c r="K4667" s="3" t="s">
        <v>63</v>
      </c>
      <c r="L4667" s="2" t="s">
        <v>45075</v>
      </c>
      <c r="M4667" s="2" t="s">
        <v>45076</v>
      </c>
      <c r="N4667" s="3" t="s">
        <v>524</v>
      </c>
      <c r="P4667" s="3" t="s">
        <v>64</v>
      </c>
      <c r="R4667" s="3" t="s">
        <v>42369</v>
      </c>
      <c r="S4667" s="4">
        <v>10</v>
      </c>
      <c r="T4667" s="4">
        <v>10</v>
      </c>
      <c r="U4667" s="5" t="s">
        <v>4187</v>
      </c>
      <c r="V4667" s="5" t="s">
        <v>4187</v>
      </c>
      <c r="W4667" s="5" t="s">
        <v>67</v>
      </c>
      <c r="X4667" s="5" t="s">
        <v>67</v>
      </c>
      <c r="Y4667" s="4">
        <v>288</v>
      </c>
      <c r="Z4667" s="4">
        <v>10</v>
      </c>
      <c r="AA4667" s="4">
        <v>10</v>
      </c>
      <c r="AB4667" s="4">
        <v>1</v>
      </c>
      <c r="AC4667" s="4">
        <v>1</v>
      </c>
      <c r="AD4667" s="4">
        <v>34</v>
      </c>
      <c r="AE4667" s="4">
        <v>34</v>
      </c>
      <c r="AF4667" s="4">
        <v>0</v>
      </c>
      <c r="AG4667" s="4">
        <v>0</v>
      </c>
      <c r="AH4667" s="4">
        <v>32</v>
      </c>
      <c r="AI4667" s="4">
        <v>32</v>
      </c>
      <c r="AJ4667" s="4">
        <v>3</v>
      </c>
      <c r="AK4667" s="4">
        <v>3</v>
      </c>
      <c r="AL4667" s="4">
        <v>19</v>
      </c>
      <c r="AM4667" s="4">
        <v>19</v>
      </c>
      <c r="AN4667" s="4">
        <v>0</v>
      </c>
      <c r="AO4667" s="4">
        <v>0</v>
      </c>
      <c r="AP4667" s="4">
        <v>4</v>
      </c>
      <c r="AQ4667" s="4">
        <v>4</v>
      </c>
      <c r="AR4667" s="3" t="s">
        <v>62</v>
      </c>
      <c r="AS4667" s="3" t="s">
        <v>62</v>
      </c>
      <c r="AT4667" s="3" t="s">
        <v>61</v>
      </c>
      <c r="AU4667" s="6" t="str">
        <f>HYPERLINK("http://catalog.hathitrust.org/Record/003061910","HathiTrust Record")</f>
        <v>HathiTrust Record</v>
      </c>
      <c r="AV4667" s="6" t="str">
        <f>HYPERLINK("http://mcgill.on.worldcat.org/oclc/32938322","Catalog Record")</f>
        <v>Catalog Record</v>
      </c>
      <c r="AW4667" s="6" t="str">
        <f>HYPERLINK("http://www.worldcat.org/oclc/32938322","WorldCat Record")</f>
        <v>WorldCat Record</v>
      </c>
      <c r="AX4667" s="3" t="s">
        <v>45077</v>
      </c>
      <c r="AY4667" s="3" t="s">
        <v>45078</v>
      </c>
      <c r="AZ4667" s="3" t="s">
        <v>45079</v>
      </c>
      <c r="BA4667" s="3" t="s">
        <v>45079</v>
      </c>
      <c r="BB4667" s="3" t="s">
        <v>45080</v>
      </c>
      <c r="BC4667" s="3" t="s">
        <v>102</v>
      </c>
      <c r="BD4667" s="3" t="s">
        <v>68</v>
      </c>
      <c r="BE4667" s="3" t="s">
        <v>45081</v>
      </c>
      <c r="BF4667" s="3" t="s">
        <v>45080</v>
      </c>
      <c r="BG4667" s="3" t="s">
        <v>45082</v>
      </c>
    </row>
    <row r="4668" spans="1:59" ht="58" x14ac:dyDescent="0.35">
      <c r="A4668" s="2" t="s">
        <v>59</v>
      </c>
      <c r="B4668" s="2" t="s">
        <v>60</v>
      </c>
      <c r="C4668" s="2" t="s">
        <v>45083</v>
      </c>
      <c r="D4668" s="2" t="s">
        <v>45084</v>
      </c>
      <c r="E4668" s="2" t="s">
        <v>45085</v>
      </c>
      <c r="G4668" s="3" t="s">
        <v>62</v>
      </c>
      <c r="I4668" s="3" t="s">
        <v>62</v>
      </c>
      <c r="J4668" s="3" t="s">
        <v>62</v>
      </c>
      <c r="K4668" s="3" t="s">
        <v>63</v>
      </c>
      <c r="L4668" s="2" t="s">
        <v>45086</v>
      </c>
      <c r="M4668" s="2" t="s">
        <v>45087</v>
      </c>
      <c r="N4668" s="3" t="s">
        <v>2110</v>
      </c>
      <c r="P4668" s="3" t="s">
        <v>64</v>
      </c>
      <c r="R4668" s="3" t="s">
        <v>42369</v>
      </c>
      <c r="S4668" s="4">
        <v>11</v>
      </c>
      <c r="T4668" s="4">
        <v>11</v>
      </c>
      <c r="U4668" s="5" t="s">
        <v>1564</v>
      </c>
      <c r="V4668" s="5" t="s">
        <v>1564</v>
      </c>
      <c r="W4668" s="5" t="s">
        <v>67</v>
      </c>
      <c r="X4668" s="5" t="s">
        <v>67</v>
      </c>
      <c r="Y4668" s="4">
        <v>1794</v>
      </c>
      <c r="Z4668" s="4">
        <v>61</v>
      </c>
      <c r="AA4668" s="4">
        <v>83</v>
      </c>
      <c r="AB4668" s="4">
        <v>2</v>
      </c>
      <c r="AC4668" s="4">
        <v>8</v>
      </c>
      <c r="AD4668" s="4">
        <v>125</v>
      </c>
      <c r="AE4668" s="4">
        <v>135</v>
      </c>
      <c r="AF4668" s="4">
        <v>1</v>
      </c>
      <c r="AG4668" s="4">
        <v>3</v>
      </c>
      <c r="AH4668" s="4">
        <v>100</v>
      </c>
      <c r="AI4668" s="4">
        <v>108</v>
      </c>
      <c r="AJ4668" s="4">
        <v>15</v>
      </c>
      <c r="AK4668" s="4">
        <v>19</v>
      </c>
      <c r="AL4668" s="4">
        <v>52</v>
      </c>
      <c r="AM4668" s="4">
        <v>55</v>
      </c>
      <c r="AN4668" s="4">
        <v>0</v>
      </c>
      <c r="AO4668" s="4">
        <v>0</v>
      </c>
      <c r="AP4668" s="4">
        <v>30</v>
      </c>
      <c r="AQ4668" s="4">
        <v>35</v>
      </c>
      <c r="AR4668" s="3" t="s">
        <v>62</v>
      </c>
      <c r="AS4668" s="3" t="s">
        <v>62</v>
      </c>
      <c r="AT4668" s="3" t="s">
        <v>62</v>
      </c>
      <c r="AV4668" s="6" t="str">
        <f>HYPERLINK("http://mcgill.on.worldcat.org/oclc/3843350","Catalog Record")</f>
        <v>Catalog Record</v>
      </c>
      <c r="AW4668" s="6" t="str">
        <f>HYPERLINK("http://www.worldcat.org/oclc/3843350","WorldCat Record")</f>
        <v>WorldCat Record</v>
      </c>
      <c r="AX4668" s="3" t="s">
        <v>45088</v>
      </c>
      <c r="AY4668" s="3" t="s">
        <v>45089</v>
      </c>
      <c r="AZ4668" s="3" t="s">
        <v>45090</v>
      </c>
      <c r="BA4668" s="3" t="s">
        <v>45090</v>
      </c>
      <c r="BB4668" s="3" t="s">
        <v>45091</v>
      </c>
      <c r="BC4668" s="3" t="s">
        <v>102</v>
      </c>
      <c r="BD4668" s="3" t="s">
        <v>68</v>
      </c>
      <c r="BE4668" s="3" t="s">
        <v>45092</v>
      </c>
      <c r="BF4668" s="3" t="s">
        <v>45091</v>
      </c>
      <c r="BG4668" s="3" t="s">
        <v>45093</v>
      </c>
    </row>
    <row r="4669" spans="1:59" ht="58" x14ac:dyDescent="0.35">
      <c r="A4669" s="2" t="s">
        <v>59</v>
      </c>
      <c r="B4669" s="2" t="s">
        <v>60</v>
      </c>
      <c r="C4669" s="2" t="s">
        <v>45094</v>
      </c>
      <c r="D4669" s="2" t="s">
        <v>45095</v>
      </c>
      <c r="E4669" s="2" t="s">
        <v>45096</v>
      </c>
      <c r="G4669" s="3" t="s">
        <v>62</v>
      </c>
      <c r="I4669" s="3" t="s">
        <v>62</v>
      </c>
      <c r="J4669" s="3" t="s">
        <v>62</v>
      </c>
      <c r="K4669" s="3" t="s">
        <v>63</v>
      </c>
      <c r="L4669" s="2" t="s">
        <v>45097</v>
      </c>
      <c r="M4669" s="2" t="s">
        <v>45098</v>
      </c>
      <c r="N4669" s="3" t="s">
        <v>1905</v>
      </c>
      <c r="P4669" s="3" t="s">
        <v>64</v>
      </c>
      <c r="R4669" s="3" t="s">
        <v>42369</v>
      </c>
      <c r="S4669" s="4">
        <v>16</v>
      </c>
      <c r="T4669" s="4">
        <v>16</v>
      </c>
      <c r="U4669" s="5" t="s">
        <v>23850</v>
      </c>
      <c r="V4669" s="5" t="s">
        <v>23850</v>
      </c>
      <c r="W4669" s="5" t="s">
        <v>67</v>
      </c>
      <c r="X4669" s="5" t="s">
        <v>67</v>
      </c>
      <c r="Y4669" s="4">
        <v>334</v>
      </c>
      <c r="Z4669" s="4">
        <v>5</v>
      </c>
      <c r="AA4669" s="4">
        <v>8</v>
      </c>
      <c r="AB4669" s="4">
        <v>1</v>
      </c>
      <c r="AC4669" s="4">
        <v>1</v>
      </c>
      <c r="AD4669" s="4">
        <v>33</v>
      </c>
      <c r="AE4669" s="4">
        <v>35</v>
      </c>
      <c r="AF4669" s="4">
        <v>0</v>
      </c>
      <c r="AG4669" s="4">
        <v>0</v>
      </c>
      <c r="AH4669" s="4">
        <v>32</v>
      </c>
      <c r="AI4669" s="4">
        <v>33</v>
      </c>
      <c r="AJ4669" s="4">
        <v>0</v>
      </c>
      <c r="AK4669" s="4">
        <v>1</v>
      </c>
      <c r="AL4669" s="4">
        <v>15</v>
      </c>
      <c r="AM4669" s="4">
        <v>16</v>
      </c>
      <c r="AN4669" s="4">
        <v>0</v>
      </c>
      <c r="AO4669" s="4">
        <v>0</v>
      </c>
      <c r="AP4669" s="4">
        <v>1</v>
      </c>
      <c r="AQ4669" s="4">
        <v>2</v>
      </c>
      <c r="AR4669" s="3" t="s">
        <v>62</v>
      </c>
      <c r="AS4669" s="3" t="s">
        <v>62</v>
      </c>
      <c r="AT4669" s="3" t="s">
        <v>62</v>
      </c>
      <c r="AV4669" s="6" t="str">
        <f>HYPERLINK("http://mcgill.on.worldcat.org/oclc/16405687","Catalog Record")</f>
        <v>Catalog Record</v>
      </c>
      <c r="AW4669" s="6" t="str">
        <f>HYPERLINK("http://www.worldcat.org/oclc/16405687","WorldCat Record")</f>
        <v>WorldCat Record</v>
      </c>
      <c r="AX4669" s="3" t="s">
        <v>45099</v>
      </c>
      <c r="AY4669" s="3" t="s">
        <v>45100</v>
      </c>
      <c r="AZ4669" s="3" t="s">
        <v>45101</v>
      </c>
      <c r="BA4669" s="3" t="s">
        <v>45101</v>
      </c>
      <c r="BB4669" s="3" t="s">
        <v>45102</v>
      </c>
      <c r="BC4669" s="3" t="s">
        <v>102</v>
      </c>
      <c r="BD4669" s="3" t="s">
        <v>68</v>
      </c>
      <c r="BE4669" s="3" t="s">
        <v>45103</v>
      </c>
      <c r="BF4669" s="3" t="s">
        <v>45102</v>
      </c>
      <c r="BG4669" s="3" t="s">
        <v>45104</v>
      </c>
    </row>
    <row r="4670" spans="1:59" ht="58" x14ac:dyDescent="0.35">
      <c r="A4670" s="2" t="s">
        <v>59</v>
      </c>
      <c r="B4670" s="2" t="s">
        <v>60</v>
      </c>
      <c r="C4670" s="2" t="s">
        <v>45105</v>
      </c>
      <c r="D4670" s="2" t="s">
        <v>45106</v>
      </c>
      <c r="E4670" s="2" t="s">
        <v>45107</v>
      </c>
      <c r="G4670" s="3" t="s">
        <v>62</v>
      </c>
      <c r="I4670" s="3" t="s">
        <v>62</v>
      </c>
      <c r="J4670" s="3" t="s">
        <v>62</v>
      </c>
      <c r="K4670" s="3" t="s">
        <v>63</v>
      </c>
      <c r="L4670" s="2" t="s">
        <v>45108</v>
      </c>
      <c r="M4670" s="2" t="s">
        <v>45109</v>
      </c>
      <c r="N4670" s="3" t="s">
        <v>396</v>
      </c>
      <c r="P4670" s="3" t="s">
        <v>64</v>
      </c>
      <c r="R4670" s="3" t="s">
        <v>42369</v>
      </c>
      <c r="S4670" s="4">
        <v>4</v>
      </c>
      <c r="T4670" s="4">
        <v>4</v>
      </c>
      <c r="U4670" s="5" t="s">
        <v>1564</v>
      </c>
      <c r="V4670" s="5" t="s">
        <v>1564</v>
      </c>
      <c r="W4670" s="5" t="s">
        <v>67</v>
      </c>
      <c r="X4670" s="5" t="s">
        <v>67</v>
      </c>
      <c r="Y4670" s="4">
        <v>639</v>
      </c>
      <c r="Z4670" s="4">
        <v>26</v>
      </c>
      <c r="AA4670" s="4">
        <v>26</v>
      </c>
      <c r="AB4670" s="4">
        <v>2</v>
      </c>
      <c r="AC4670" s="4">
        <v>2</v>
      </c>
      <c r="AD4670" s="4">
        <v>70</v>
      </c>
      <c r="AE4670" s="4">
        <v>70</v>
      </c>
      <c r="AF4670" s="4">
        <v>0</v>
      </c>
      <c r="AG4670" s="4">
        <v>0</v>
      </c>
      <c r="AH4670" s="4">
        <v>63</v>
      </c>
      <c r="AI4670" s="4">
        <v>63</v>
      </c>
      <c r="AJ4670" s="4">
        <v>7</v>
      </c>
      <c r="AK4670" s="4">
        <v>7</v>
      </c>
      <c r="AL4670" s="4">
        <v>31</v>
      </c>
      <c r="AM4670" s="4">
        <v>31</v>
      </c>
      <c r="AN4670" s="4">
        <v>0</v>
      </c>
      <c r="AO4670" s="4">
        <v>0</v>
      </c>
      <c r="AP4670" s="4">
        <v>10</v>
      </c>
      <c r="AQ4670" s="4">
        <v>10</v>
      </c>
      <c r="AR4670" s="3" t="s">
        <v>62</v>
      </c>
      <c r="AS4670" s="3" t="s">
        <v>62</v>
      </c>
      <c r="AT4670" s="3" t="s">
        <v>61</v>
      </c>
      <c r="AU4670" s="6" t="str">
        <f>HYPERLINK("http://catalog.hathitrust.org/Record/000609802","HathiTrust Record")</f>
        <v>HathiTrust Record</v>
      </c>
      <c r="AV4670" s="6" t="str">
        <f>HYPERLINK("http://mcgill.on.worldcat.org/oclc/10348671","Catalog Record")</f>
        <v>Catalog Record</v>
      </c>
      <c r="AW4670" s="6" t="str">
        <f>HYPERLINK("http://www.worldcat.org/oclc/10348671","WorldCat Record")</f>
        <v>WorldCat Record</v>
      </c>
      <c r="AX4670" s="3" t="s">
        <v>45110</v>
      </c>
      <c r="AY4670" s="3" t="s">
        <v>45111</v>
      </c>
      <c r="AZ4670" s="3" t="s">
        <v>45112</v>
      </c>
      <c r="BA4670" s="3" t="s">
        <v>45112</v>
      </c>
      <c r="BB4670" s="3" t="s">
        <v>45113</v>
      </c>
      <c r="BC4670" s="3" t="s">
        <v>102</v>
      </c>
      <c r="BD4670" s="3" t="s">
        <v>68</v>
      </c>
      <c r="BE4670" s="3" t="s">
        <v>45114</v>
      </c>
      <c r="BF4670" s="3" t="s">
        <v>45113</v>
      </c>
      <c r="BG4670" s="3" t="s">
        <v>45115</v>
      </c>
    </row>
    <row r="4671" spans="1:59" ht="58" x14ac:dyDescent="0.35">
      <c r="A4671" s="2" t="s">
        <v>59</v>
      </c>
      <c r="B4671" s="2" t="s">
        <v>60</v>
      </c>
      <c r="C4671" s="2" t="s">
        <v>45116</v>
      </c>
      <c r="D4671" s="2" t="s">
        <v>45117</v>
      </c>
      <c r="E4671" s="2" t="s">
        <v>45118</v>
      </c>
      <c r="G4671" s="3" t="s">
        <v>62</v>
      </c>
      <c r="I4671" s="3" t="s">
        <v>62</v>
      </c>
      <c r="J4671" s="3" t="s">
        <v>62</v>
      </c>
      <c r="K4671" s="3" t="s">
        <v>63</v>
      </c>
      <c r="L4671" s="2" t="s">
        <v>45119</v>
      </c>
      <c r="M4671" s="2" t="s">
        <v>45120</v>
      </c>
      <c r="N4671" s="3" t="s">
        <v>2975</v>
      </c>
      <c r="P4671" s="3" t="s">
        <v>64</v>
      </c>
      <c r="R4671" s="3" t="s">
        <v>42369</v>
      </c>
      <c r="S4671" s="4">
        <v>1</v>
      </c>
      <c r="T4671" s="4">
        <v>1</v>
      </c>
      <c r="U4671" s="5" t="s">
        <v>25056</v>
      </c>
      <c r="V4671" s="5" t="s">
        <v>25056</v>
      </c>
      <c r="W4671" s="5" t="s">
        <v>67</v>
      </c>
      <c r="X4671" s="5" t="s">
        <v>67</v>
      </c>
      <c r="Y4671" s="4">
        <v>143</v>
      </c>
      <c r="Z4671" s="4">
        <v>16</v>
      </c>
      <c r="AA4671" s="4">
        <v>16</v>
      </c>
      <c r="AB4671" s="4">
        <v>1</v>
      </c>
      <c r="AC4671" s="4">
        <v>1</v>
      </c>
      <c r="AD4671" s="4">
        <v>56</v>
      </c>
      <c r="AE4671" s="4">
        <v>56</v>
      </c>
      <c r="AF4671" s="4">
        <v>0</v>
      </c>
      <c r="AG4671" s="4">
        <v>0</v>
      </c>
      <c r="AH4671" s="4">
        <v>51</v>
      </c>
      <c r="AI4671" s="4">
        <v>51</v>
      </c>
      <c r="AJ4671" s="4">
        <v>9</v>
      </c>
      <c r="AK4671" s="4">
        <v>9</v>
      </c>
      <c r="AL4671" s="4">
        <v>26</v>
      </c>
      <c r="AM4671" s="4">
        <v>26</v>
      </c>
      <c r="AN4671" s="4">
        <v>0</v>
      </c>
      <c r="AO4671" s="4">
        <v>0</v>
      </c>
      <c r="AP4671" s="4">
        <v>12</v>
      </c>
      <c r="AQ4671" s="4">
        <v>12</v>
      </c>
      <c r="AR4671" s="3" t="s">
        <v>62</v>
      </c>
      <c r="AS4671" s="3" t="s">
        <v>62</v>
      </c>
      <c r="AT4671" s="3" t="s">
        <v>62</v>
      </c>
      <c r="AV4671" s="6" t="str">
        <f>HYPERLINK("http://mcgill.on.worldcat.org/oclc/45890501","Catalog Record")</f>
        <v>Catalog Record</v>
      </c>
      <c r="AW4671" s="6" t="str">
        <f>HYPERLINK("http://www.worldcat.org/oclc/45890501","WorldCat Record")</f>
        <v>WorldCat Record</v>
      </c>
      <c r="AX4671" s="3" t="s">
        <v>45121</v>
      </c>
      <c r="AY4671" s="3" t="s">
        <v>45122</v>
      </c>
      <c r="AZ4671" s="3" t="s">
        <v>45123</v>
      </c>
      <c r="BA4671" s="3" t="s">
        <v>45123</v>
      </c>
      <c r="BB4671" s="3" t="s">
        <v>45124</v>
      </c>
      <c r="BC4671" s="3" t="s">
        <v>102</v>
      </c>
      <c r="BD4671" s="3" t="s">
        <v>68</v>
      </c>
      <c r="BE4671" s="3" t="s">
        <v>45125</v>
      </c>
      <c r="BF4671" s="3" t="s">
        <v>45124</v>
      </c>
      <c r="BG4671" s="3" t="s">
        <v>45126</v>
      </c>
    </row>
    <row r="4672" spans="1:59" ht="58" x14ac:dyDescent="0.35">
      <c r="A4672" s="2" t="s">
        <v>59</v>
      </c>
      <c r="B4672" s="2" t="s">
        <v>60</v>
      </c>
      <c r="C4672" s="2" t="s">
        <v>45127</v>
      </c>
      <c r="D4672" s="2" t="s">
        <v>45128</v>
      </c>
      <c r="E4672" s="2" t="s">
        <v>45129</v>
      </c>
      <c r="G4672" s="3" t="s">
        <v>62</v>
      </c>
      <c r="I4672" s="3" t="s">
        <v>62</v>
      </c>
      <c r="J4672" s="3" t="s">
        <v>62</v>
      </c>
      <c r="K4672" s="3" t="s">
        <v>63</v>
      </c>
      <c r="L4672" s="2" t="s">
        <v>45130</v>
      </c>
      <c r="M4672" s="2" t="s">
        <v>45131</v>
      </c>
      <c r="N4672" s="3" t="s">
        <v>1482</v>
      </c>
      <c r="P4672" s="3" t="s">
        <v>64</v>
      </c>
      <c r="R4672" s="3" t="s">
        <v>42369</v>
      </c>
      <c r="S4672" s="4">
        <v>5</v>
      </c>
      <c r="T4672" s="4">
        <v>5</v>
      </c>
      <c r="U4672" s="5" t="s">
        <v>5160</v>
      </c>
      <c r="V4672" s="5" t="s">
        <v>5160</v>
      </c>
      <c r="W4672" s="5" t="s">
        <v>67</v>
      </c>
      <c r="X4672" s="5" t="s">
        <v>67</v>
      </c>
      <c r="Y4672" s="4">
        <v>474</v>
      </c>
      <c r="Z4672" s="4">
        <v>10</v>
      </c>
      <c r="AA4672" s="4">
        <v>10</v>
      </c>
      <c r="AB4672" s="4">
        <v>1</v>
      </c>
      <c r="AC4672" s="4">
        <v>1</v>
      </c>
      <c r="AD4672" s="4">
        <v>46</v>
      </c>
      <c r="AE4672" s="4">
        <v>46</v>
      </c>
      <c r="AF4672" s="4">
        <v>0</v>
      </c>
      <c r="AG4672" s="4">
        <v>0</v>
      </c>
      <c r="AH4672" s="4">
        <v>45</v>
      </c>
      <c r="AI4672" s="4">
        <v>45</v>
      </c>
      <c r="AJ4672" s="4">
        <v>2</v>
      </c>
      <c r="AK4672" s="4">
        <v>2</v>
      </c>
      <c r="AL4672" s="4">
        <v>26</v>
      </c>
      <c r="AM4672" s="4">
        <v>26</v>
      </c>
      <c r="AN4672" s="4">
        <v>0</v>
      </c>
      <c r="AO4672" s="4">
        <v>0</v>
      </c>
      <c r="AP4672" s="4">
        <v>3</v>
      </c>
      <c r="AQ4672" s="4">
        <v>3</v>
      </c>
      <c r="AR4672" s="3" t="s">
        <v>62</v>
      </c>
      <c r="AS4672" s="3" t="s">
        <v>62</v>
      </c>
      <c r="AT4672" s="3" t="s">
        <v>61</v>
      </c>
      <c r="AU4672" s="6" t="str">
        <f>HYPERLINK("http://catalog.hathitrust.org/Record/009240409","HathiTrust Record")</f>
        <v>HathiTrust Record</v>
      </c>
      <c r="AV4672" s="6" t="str">
        <f>HYPERLINK("http://mcgill.on.worldcat.org/oclc/13455640","Catalog Record")</f>
        <v>Catalog Record</v>
      </c>
      <c r="AW4672" s="6" t="str">
        <f>HYPERLINK("http://www.worldcat.org/oclc/13455640","WorldCat Record")</f>
        <v>WorldCat Record</v>
      </c>
      <c r="AX4672" s="3" t="s">
        <v>45132</v>
      </c>
      <c r="AY4672" s="3" t="s">
        <v>45133</v>
      </c>
      <c r="AZ4672" s="3" t="s">
        <v>45134</v>
      </c>
      <c r="BA4672" s="3" t="s">
        <v>45134</v>
      </c>
      <c r="BB4672" s="3" t="s">
        <v>45135</v>
      </c>
      <c r="BC4672" s="3" t="s">
        <v>102</v>
      </c>
      <c r="BD4672" s="3" t="s">
        <v>68</v>
      </c>
      <c r="BE4672" s="3" t="s">
        <v>45136</v>
      </c>
      <c r="BF4672" s="3" t="s">
        <v>45135</v>
      </c>
      <c r="BG4672" s="3" t="s">
        <v>45137</v>
      </c>
    </row>
    <row r="4673" spans="1:59" ht="58" x14ac:dyDescent="0.35">
      <c r="A4673" s="2" t="s">
        <v>59</v>
      </c>
      <c r="B4673" s="2" t="s">
        <v>60</v>
      </c>
      <c r="C4673" s="2" t="s">
        <v>45138</v>
      </c>
      <c r="D4673" s="2" t="s">
        <v>45139</v>
      </c>
      <c r="E4673" s="2" t="s">
        <v>45140</v>
      </c>
      <c r="G4673" s="3" t="s">
        <v>62</v>
      </c>
      <c r="I4673" s="3" t="s">
        <v>62</v>
      </c>
      <c r="J4673" s="3" t="s">
        <v>62</v>
      </c>
      <c r="K4673" s="3" t="s">
        <v>63</v>
      </c>
      <c r="L4673" s="2" t="s">
        <v>45141</v>
      </c>
      <c r="M4673" s="2" t="s">
        <v>45142</v>
      </c>
      <c r="N4673" s="3" t="s">
        <v>568</v>
      </c>
      <c r="P4673" s="3" t="s">
        <v>64</v>
      </c>
      <c r="R4673" s="3" t="s">
        <v>42369</v>
      </c>
      <c r="S4673" s="4">
        <v>4</v>
      </c>
      <c r="T4673" s="4">
        <v>4</v>
      </c>
      <c r="U4673" s="5" t="s">
        <v>5160</v>
      </c>
      <c r="V4673" s="5" t="s">
        <v>5160</v>
      </c>
      <c r="W4673" s="5" t="s">
        <v>67</v>
      </c>
      <c r="X4673" s="5" t="s">
        <v>67</v>
      </c>
      <c r="Y4673" s="4">
        <v>214</v>
      </c>
      <c r="Z4673" s="4">
        <v>9</v>
      </c>
      <c r="AA4673" s="4">
        <v>19</v>
      </c>
      <c r="AB4673" s="4">
        <v>2</v>
      </c>
      <c r="AC4673" s="4">
        <v>3</v>
      </c>
      <c r="AD4673" s="4">
        <v>40</v>
      </c>
      <c r="AE4673" s="4">
        <v>43</v>
      </c>
      <c r="AF4673" s="4">
        <v>0</v>
      </c>
      <c r="AG4673" s="4">
        <v>0</v>
      </c>
      <c r="AH4673" s="4">
        <v>36</v>
      </c>
      <c r="AI4673" s="4">
        <v>38</v>
      </c>
      <c r="AJ4673" s="4">
        <v>2</v>
      </c>
      <c r="AK4673" s="4">
        <v>2</v>
      </c>
      <c r="AL4673" s="4">
        <v>20</v>
      </c>
      <c r="AM4673" s="4">
        <v>21</v>
      </c>
      <c r="AN4673" s="4">
        <v>0</v>
      </c>
      <c r="AO4673" s="4">
        <v>0</v>
      </c>
      <c r="AP4673" s="4">
        <v>4</v>
      </c>
      <c r="AQ4673" s="4">
        <v>5</v>
      </c>
      <c r="AR4673" s="3" t="s">
        <v>62</v>
      </c>
      <c r="AS4673" s="3" t="s">
        <v>62</v>
      </c>
      <c r="AT4673" s="3" t="s">
        <v>62</v>
      </c>
      <c r="AV4673" s="6" t="str">
        <f>HYPERLINK("http://mcgill.on.worldcat.org/oclc/42953299","Catalog Record")</f>
        <v>Catalog Record</v>
      </c>
      <c r="AW4673" s="6" t="str">
        <f>HYPERLINK("http://www.worldcat.org/oclc/42953299","WorldCat Record")</f>
        <v>WorldCat Record</v>
      </c>
      <c r="AX4673" s="3" t="s">
        <v>45143</v>
      </c>
      <c r="AY4673" s="3" t="s">
        <v>45144</v>
      </c>
      <c r="AZ4673" s="3" t="s">
        <v>45145</v>
      </c>
      <c r="BA4673" s="3" t="s">
        <v>45145</v>
      </c>
      <c r="BB4673" s="3" t="s">
        <v>45146</v>
      </c>
      <c r="BC4673" s="3" t="s">
        <v>102</v>
      </c>
      <c r="BD4673" s="3" t="s">
        <v>68</v>
      </c>
      <c r="BE4673" s="3" t="s">
        <v>45147</v>
      </c>
      <c r="BF4673" s="3" t="s">
        <v>45146</v>
      </c>
      <c r="BG4673" s="3" t="s">
        <v>45148</v>
      </c>
    </row>
    <row r="4674" spans="1:59" ht="101.5" x14ac:dyDescent="0.35">
      <c r="A4674" s="2" t="s">
        <v>59</v>
      </c>
      <c r="B4674" s="2" t="s">
        <v>60</v>
      </c>
      <c r="C4674" s="2" t="s">
        <v>45149</v>
      </c>
      <c r="D4674" s="2" t="s">
        <v>45150</v>
      </c>
      <c r="E4674" s="2" t="s">
        <v>45151</v>
      </c>
      <c r="G4674" s="3" t="s">
        <v>62</v>
      </c>
      <c r="I4674" s="3" t="s">
        <v>62</v>
      </c>
      <c r="J4674" s="3" t="s">
        <v>62</v>
      </c>
      <c r="K4674" s="3" t="s">
        <v>63</v>
      </c>
      <c r="L4674" s="2" t="s">
        <v>45152</v>
      </c>
      <c r="M4674" s="2" t="s">
        <v>45153</v>
      </c>
      <c r="N4674" s="3" t="s">
        <v>568</v>
      </c>
      <c r="O4674" s="2" t="s">
        <v>45154</v>
      </c>
      <c r="P4674" s="3" t="s">
        <v>64</v>
      </c>
      <c r="R4674" s="3" t="s">
        <v>42369</v>
      </c>
      <c r="S4674" s="4">
        <v>1</v>
      </c>
      <c r="T4674" s="4">
        <v>1</v>
      </c>
      <c r="U4674" s="5" t="s">
        <v>18411</v>
      </c>
      <c r="V4674" s="5" t="s">
        <v>18411</v>
      </c>
      <c r="W4674" s="5" t="s">
        <v>67</v>
      </c>
      <c r="X4674" s="5" t="s">
        <v>67</v>
      </c>
      <c r="Y4674" s="4">
        <v>102</v>
      </c>
      <c r="Z4674" s="4">
        <v>3</v>
      </c>
      <c r="AA4674" s="4">
        <v>9</v>
      </c>
      <c r="AB4674" s="4">
        <v>1</v>
      </c>
      <c r="AC4674" s="4">
        <v>2</v>
      </c>
      <c r="AD4674" s="4">
        <v>26</v>
      </c>
      <c r="AE4674" s="4">
        <v>58</v>
      </c>
      <c r="AF4674" s="4">
        <v>0</v>
      </c>
      <c r="AG4674" s="4">
        <v>0</v>
      </c>
      <c r="AH4674" s="4">
        <v>26</v>
      </c>
      <c r="AI4674" s="4">
        <v>57</v>
      </c>
      <c r="AJ4674" s="4">
        <v>0</v>
      </c>
      <c r="AK4674" s="4">
        <v>3</v>
      </c>
      <c r="AL4674" s="4">
        <v>15</v>
      </c>
      <c r="AM4674" s="4">
        <v>28</v>
      </c>
      <c r="AN4674" s="4">
        <v>0</v>
      </c>
      <c r="AO4674" s="4">
        <v>0</v>
      </c>
      <c r="AP4674" s="4">
        <v>0</v>
      </c>
      <c r="AQ4674" s="4">
        <v>3</v>
      </c>
      <c r="AR4674" s="3" t="s">
        <v>62</v>
      </c>
      <c r="AS4674" s="3" t="s">
        <v>62</v>
      </c>
      <c r="AT4674" s="3" t="s">
        <v>62</v>
      </c>
      <c r="AV4674" s="6" t="str">
        <f>HYPERLINK("http://mcgill.on.worldcat.org/oclc/44090589","Catalog Record")</f>
        <v>Catalog Record</v>
      </c>
      <c r="AW4674" s="6" t="str">
        <f>HYPERLINK("http://www.worldcat.org/oclc/44090589","WorldCat Record")</f>
        <v>WorldCat Record</v>
      </c>
      <c r="AX4674" s="3" t="s">
        <v>45155</v>
      </c>
      <c r="AY4674" s="3" t="s">
        <v>45156</v>
      </c>
      <c r="AZ4674" s="3" t="s">
        <v>45157</v>
      </c>
      <c r="BA4674" s="3" t="s">
        <v>45157</v>
      </c>
      <c r="BB4674" s="3" t="s">
        <v>45158</v>
      </c>
      <c r="BC4674" s="3" t="s">
        <v>102</v>
      </c>
      <c r="BD4674" s="3" t="s">
        <v>68</v>
      </c>
      <c r="BE4674" s="3" t="s">
        <v>45159</v>
      </c>
      <c r="BF4674" s="3" t="s">
        <v>45158</v>
      </c>
      <c r="BG4674" s="3" t="s">
        <v>45160</v>
      </c>
    </row>
    <row r="4675" spans="1:59" ht="58" x14ac:dyDescent="0.35">
      <c r="A4675" s="2" t="s">
        <v>89</v>
      </c>
      <c r="B4675" s="2" t="s">
        <v>90</v>
      </c>
      <c r="C4675" s="2" t="s">
        <v>45161</v>
      </c>
      <c r="D4675" s="2" t="s">
        <v>45162</v>
      </c>
      <c r="E4675" s="2" t="s">
        <v>45163</v>
      </c>
      <c r="G4675" s="3" t="s">
        <v>62</v>
      </c>
      <c r="I4675" s="3" t="s">
        <v>62</v>
      </c>
      <c r="J4675" s="3" t="s">
        <v>62</v>
      </c>
      <c r="K4675" s="3" t="s">
        <v>63</v>
      </c>
      <c r="L4675" s="2" t="s">
        <v>45164</v>
      </c>
      <c r="M4675" s="2" t="s">
        <v>45165</v>
      </c>
      <c r="N4675" s="3" t="s">
        <v>726</v>
      </c>
      <c r="P4675" s="3" t="s">
        <v>85</v>
      </c>
      <c r="R4675" s="3" t="s">
        <v>42369</v>
      </c>
      <c r="S4675" s="4">
        <v>0</v>
      </c>
      <c r="T4675" s="4">
        <v>0</v>
      </c>
      <c r="W4675" s="5" t="s">
        <v>67</v>
      </c>
      <c r="X4675" s="5" t="s">
        <v>67</v>
      </c>
      <c r="Y4675" s="4">
        <v>6</v>
      </c>
      <c r="Z4675" s="4">
        <v>6</v>
      </c>
      <c r="AA4675" s="4">
        <v>13</v>
      </c>
      <c r="AB4675" s="4">
        <v>3</v>
      </c>
      <c r="AC4675" s="4">
        <v>8</v>
      </c>
      <c r="AD4675" s="4">
        <v>3</v>
      </c>
      <c r="AE4675" s="4">
        <v>6</v>
      </c>
      <c r="AF4675" s="4">
        <v>1</v>
      </c>
      <c r="AG4675" s="4">
        <v>3</v>
      </c>
      <c r="AH4675" s="4">
        <v>1</v>
      </c>
      <c r="AI4675" s="4">
        <v>2</v>
      </c>
      <c r="AJ4675" s="4">
        <v>3</v>
      </c>
      <c r="AK4675" s="4">
        <v>6</v>
      </c>
      <c r="AL4675" s="4">
        <v>0</v>
      </c>
      <c r="AM4675" s="4">
        <v>0</v>
      </c>
      <c r="AN4675" s="4">
        <v>0</v>
      </c>
      <c r="AO4675" s="4">
        <v>0</v>
      </c>
      <c r="AP4675" s="4">
        <v>3</v>
      </c>
      <c r="AQ4675" s="4">
        <v>4</v>
      </c>
      <c r="AR4675" s="3" t="s">
        <v>61</v>
      </c>
      <c r="AS4675" s="3" t="s">
        <v>62</v>
      </c>
      <c r="AT4675" s="3" t="s">
        <v>62</v>
      </c>
      <c r="AV4675" s="6" t="str">
        <f>HYPERLINK("http://mcgill.on.worldcat.org/oclc/1031482707","Catalog Record")</f>
        <v>Catalog Record</v>
      </c>
      <c r="AW4675" s="6" t="str">
        <f>HYPERLINK("http://www.worldcat.org/oclc/1031482707","WorldCat Record")</f>
        <v>WorldCat Record</v>
      </c>
      <c r="AX4675" s="3" t="s">
        <v>45166</v>
      </c>
      <c r="AY4675" s="3" t="s">
        <v>45167</v>
      </c>
      <c r="AZ4675" s="3" t="s">
        <v>45168</v>
      </c>
      <c r="BA4675" s="3" t="s">
        <v>45168</v>
      </c>
      <c r="BB4675" s="3" t="s">
        <v>45169</v>
      </c>
      <c r="BC4675" s="3" t="s">
        <v>102</v>
      </c>
      <c r="BD4675" s="3" t="s">
        <v>68</v>
      </c>
      <c r="BE4675" s="3" t="s">
        <v>45170</v>
      </c>
      <c r="BF4675" s="3" t="s">
        <v>45169</v>
      </c>
      <c r="BG4675" s="3" t="s">
        <v>45171</v>
      </c>
    </row>
    <row r="4676" spans="1:59" ht="58" x14ac:dyDescent="0.35">
      <c r="A4676" s="2" t="s">
        <v>89</v>
      </c>
      <c r="B4676" s="2" t="s">
        <v>90</v>
      </c>
      <c r="C4676" s="2" t="s">
        <v>45172</v>
      </c>
      <c r="D4676" s="2" t="s">
        <v>45173</v>
      </c>
      <c r="E4676" s="2" t="s">
        <v>45174</v>
      </c>
      <c r="G4676" s="3" t="s">
        <v>62</v>
      </c>
      <c r="I4676" s="3" t="s">
        <v>62</v>
      </c>
      <c r="J4676" s="3" t="s">
        <v>62</v>
      </c>
      <c r="K4676" s="3" t="s">
        <v>63</v>
      </c>
      <c r="M4676" s="2" t="s">
        <v>45175</v>
      </c>
      <c r="N4676" s="3" t="s">
        <v>2985</v>
      </c>
      <c r="P4676" s="3" t="s">
        <v>64</v>
      </c>
      <c r="Q4676" s="2" t="s">
        <v>45176</v>
      </c>
      <c r="R4676" s="3" t="s">
        <v>42369</v>
      </c>
      <c r="S4676" s="4">
        <v>19</v>
      </c>
      <c r="T4676" s="4">
        <v>19</v>
      </c>
      <c r="U4676" s="5" t="s">
        <v>3675</v>
      </c>
      <c r="V4676" s="5" t="s">
        <v>3675</v>
      </c>
      <c r="W4676" s="5" t="s">
        <v>67</v>
      </c>
      <c r="X4676" s="5" t="s">
        <v>67</v>
      </c>
      <c r="Y4676" s="4">
        <v>63</v>
      </c>
      <c r="Z4676" s="4">
        <v>39</v>
      </c>
      <c r="AA4676" s="4">
        <v>41</v>
      </c>
      <c r="AB4676" s="4">
        <v>2</v>
      </c>
      <c r="AC4676" s="4">
        <v>4</v>
      </c>
      <c r="AD4676" s="4">
        <v>39</v>
      </c>
      <c r="AE4676" s="4">
        <v>42</v>
      </c>
      <c r="AF4676" s="4">
        <v>0</v>
      </c>
      <c r="AG4676" s="4">
        <v>2</v>
      </c>
      <c r="AH4676" s="4">
        <v>22</v>
      </c>
      <c r="AI4676" s="4">
        <v>24</v>
      </c>
      <c r="AJ4676" s="4">
        <v>19</v>
      </c>
      <c r="AK4676" s="4">
        <v>21</v>
      </c>
      <c r="AL4676" s="4">
        <v>12</v>
      </c>
      <c r="AM4676" s="4">
        <v>12</v>
      </c>
      <c r="AN4676" s="4">
        <v>0</v>
      </c>
      <c r="AO4676" s="4">
        <v>0</v>
      </c>
      <c r="AP4676" s="4">
        <v>26</v>
      </c>
      <c r="AQ4676" s="4">
        <v>28</v>
      </c>
      <c r="AR4676" s="3" t="s">
        <v>61</v>
      </c>
      <c r="AS4676" s="3" t="s">
        <v>62</v>
      </c>
      <c r="AT4676" s="3" t="s">
        <v>62</v>
      </c>
      <c r="AV4676" s="6" t="str">
        <f>HYPERLINK("http://mcgill.on.worldcat.org/oclc/364977501","Catalog Record")</f>
        <v>Catalog Record</v>
      </c>
      <c r="AW4676" s="6" t="str">
        <f>HYPERLINK("http://www.worldcat.org/oclc/364977501","WorldCat Record")</f>
        <v>WorldCat Record</v>
      </c>
      <c r="AX4676" s="3" t="s">
        <v>45177</v>
      </c>
      <c r="AY4676" s="3" t="s">
        <v>45178</v>
      </c>
      <c r="AZ4676" s="3" t="s">
        <v>45179</v>
      </c>
      <c r="BA4676" s="3" t="s">
        <v>45179</v>
      </c>
      <c r="BB4676" s="3" t="s">
        <v>45180</v>
      </c>
      <c r="BC4676" s="3" t="s">
        <v>102</v>
      </c>
      <c r="BD4676" s="3" t="s">
        <v>68</v>
      </c>
      <c r="BE4676" s="3" t="s">
        <v>45181</v>
      </c>
      <c r="BF4676" s="3" t="s">
        <v>45180</v>
      </c>
      <c r="BG4676" s="3" t="s">
        <v>45182</v>
      </c>
    </row>
    <row r="4677" spans="1:59" ht="58" x14ac:dyDescent="0.35">
      <c r="A4677" s="2" t="s">
        <v>59</v>
      </c>
      <c r="B4677" s="2" t="s">
        <v>60</v>
      </c>
      <c r="C4677" s="2" t="s">
        <v>45183</v>
      </c>
      <c r="D4677" s="2" t="s">
        <v>45184</v>
      </c>
      <c r="E4677" s="2" t="s">
        <v>45185</v>
      </c>
      <c r="G4677" s="3" t="s">
        <v>62</v>
      </c>
      <c r="I4677" s="3" t="s">
        <v>62</v>
      </c>
      <c r="J4677" s="3" t="s">
        <v>62</v>
      </c>
      <c r="K4677" s="3" t="s">
        <v>63</v>
      </c>
      <c r="L4677" s="2" t="s">
        <v>45186</v>
      </c>
      <c r="M4677" s="2" t="s">
        <v>45187</v>
      </c>
      <c r="N4677" s="3" t="s">
        <v>625</v>
      </c>
      <c r="P4677" s="3" t="s">
        <v>64</v>
      </c>
      <c r="R4677" s="3" t="s">
        <v>42369</v>
      </c>
      <c r="S4677" s="4">
        <v>1</v>
      </c>
      <c r="T4677" s="4">
        <v>1</v>
      </c>
      <c r="U4677" s="5" t="s">
        <v>13290</v>
      </c>
      <c r="V4677" s="5" t="s">
        <v>13290</v>
      </c>
      <c r="W4677" s="5" t="s">
        <v>67</v>
      </c>
      <c r="X4677" s="5" t="s">
        <v>67</v>
      </c>
      <c r="Y4677" s="4">
        <v>53</v>
      </c>
      <c r="Z4677" s="4">
        <v>6</v>
      </c>
      <c r="AA4677" s="4">
        <v>12</v>
      </c>
      <c r="AB4677" s="4">
        <v>2</v>
      </c>
      <c r="AC4677" s="4">
        <v>2</v>
      </c>
      <c r="AD4677" s="4">
        <v>3</v>
      </c>
      <c r="AE4677" s="4">
        <v>53</v>
      </c>
      <c r="AF4677" s="4">
        <v>0</v>
      </c>
      <c r="AG4677" s="4">
        <v>0</v>
      </c>
      <c r="AH4677" s="4">
        <v>3</v>
      </c>
      <c r="AI4677" s="4">
        <v>48</v>
      </c>
      <c r="AJ4677" s="4">
        <v>2</v>
      </c>
      <c r="AK4677" s="4">
        <v>6</v>
      </c>
      <c r="AL4677" s="4">
        <v>1</v>
      </c>
      <c r="AM4677" s="4">
        <v>24</v>
      </c>
      <c r="AN4677" s="4">
        <v>0</v>
      </c>
      <c r="AO4677" s="4">
        <v>0</v>
      </c>
      <c r="AP4677" s="4">
        <v>2</v>
      </c>
      <c r="AQ4677" s="4">
        <v>6</v>
      </c>
      <c r="AR4677" s="3" t="s">
        <v>62</v>
      </c>
      <c r="AS4677" s="3" t="s">
        <v>62</v>
      </c>
      <c r="AT4677" s="3" t="s">
        <v>62</v>
      </c>
      <c r="AV4677" s="6" t="str">
        <f>HYPERLINK("http://mcgill.on.worldcat.org/oclc/52196599","Catalog Record")</f>
        <v>Catalog Record</v>
      </c>
      <c r="AW4677" s="6" t="str">
        <f>HYPERLINK("http://www.worldcat.org/oclc/52196599","WorldCat Record")</f>
        <v>WorldCat Record</v>
      </c>
      <c r="AX4677" s="3" t="s">
        <v>45188</v>
      </c>
      <c r="AY4677" s="3" t="s">
        <v>45189</v>
      </c>
      <c r="AZ4677" s="3" t="s">
        <v>45190</v>
      </c>
      <c r="BA4677" s="3" t="s">
        <v>45190</v>
      </c>
      <c r="BB4677" s="3" t="s">
        <v>45191</v>
      </c>
      <c r="BC4677" s="3" t="s">
        <v>102</v>
      </c>
      <c r="BD4677" s="3" t="s">
        <v>68</v>
      </c>
      <c r="BE4677" s="3" t="s">
        <v>45192</v>
      </c>
      <c r="BF4677" s="3" t="s">
        <v>45191</v>
      </c>
      <c r="BG4677" s="3" t="s">
        <v>45193</v>
      </c>
    </row>
    <row r="4678" spans="1:59" ht="72.5" x14ac:dyDescent="0.35">
      <c r="A4678" s="2" t="s">
        <v>89</v>
      </c>
      <c r="B4678" s="2" t="s">
        <v>90</v>
      </c>
      <c r="C4678" s="2" t="s">
        <v>45194</v>
      </c>
      <c r="D4678" s="2" t="s">
        <v>45195</v>
      </c>
      <c r="E4678" s="2" t="s">
        <v>45196</v>
      </c>
      <c r="G4678" s="3" t="s">
        <v>62</v>
      </c>
      <c r="I4678" s="3" t="s">
        <v>62</v>
      </c>
      <c r="J4678" s="3" t="s">
        <v>62</v>
      </c>
      <c r="K4678" s="3" t="s">
        <v>63</v>
      </c>
      <c r="L4678" s="2" t="s">
        <v>45197</v>
      </c>
      <c r="M4678" s="2" t="s">
        <v>45198</v>
      </c>
      <c r="N4678" s="3" t="s">
        <v>1722</v>
      </c>
      <c r="P4678" s="3" t="s">
        <v>64</v>
      </c>
      <c r="Q4678" s="2" t="s">
        <v>45199</v>
      </c>
      <c r="R4678" s="3" t="s">
        <v>42369</v>
      </c>
      <c r="S4678" s="4">
        <v>11</v>
      </c>
      <c r="T4678" s="4">
        <v>11</v>
      </c>
      <c r="U4678" s="5" t="s">
        <v>3675</v>
      </c>
      <c r="V4678" s="5" t="s">
        <v>3675</v>
      </c>
      <c r="W4678" s="5" t="s">
        <v>67</v>
      </c>
      <c r="X4678" s="5" t="s">
        <v>67</v>
      </c>
      <c r="Y4678" s="4">
        <v>44</v>
      </c>
      <c r="Z4678" s="4">
        <v>21</v>
      </c>
      <c r="AA4678" s="4">
        <v>28</v>
      </c>
      <c r="AB4678" s="4">
        <v>2</v>
      </c>
      <c r="AC4678" s="4">
        <v>3</v>
      </c>
      <c r="AD4678" s="4">
        <v>28</v>
      </c>
      <c r="AE4678" s="4">
        <v>34</v>
      </c>
      <c r="AF4678" s="4">
        <v>0</v>
      </c>
      <c r="AG4678" s="4">
        <v>1</v>
      </c>
      <c r="AH4678" s="4">
        <v>17</v>
      </c>
      <c r="AI4678" s="4">
        <v>20</v>
      </c>
      <c r="AJ4678" s="4">
        <v>12</v>
      </c>
      <c r="AK4678" s="4">
        <v>18</v>
      </c>
      <c r="AL4678" s="4">
        <v>10</v>
      </c>
      <c r="AM4678" s="4">
        <v>11</v>
      </c>
      <c r="AN4678" s="4">
        <v>0</v>
      </c>
      <c r="AO4678" s="4">
        <v>0</v>
      </c>
      <c r="AP4678" s="4">
        <v>15</v>
      </c>
      <c r="AQ4678" s="4">
        <v>21</v>
      </c>
      <c r="AR4678" s="3" t="s">
        <v>61</v>
      </c>
      <c r="AS4678" s="3" t="s">
        <v>62</v>
      </c>
      <c r="AT4678" s="3" t="s">
        <v>62</v>
      </c>
      <c r="AV4678" s="6" t="str">
        <f>HYPERLINK("http://mcgill.on.worldcat.org/oclc/429726050","Catalog Record")</f>
        <v>Catalog Record</v>
      </c>
      <c r="AW4678" s="6" t="str">
        <f>HYPERLINK("http://www.worldcat.org/oclc/429726050","WorldCat Record")</f>
        <v>WorldCat Record</v>
      </c>
      <c r="AX4678" s="3" t="s">
        <v>45200</v>
      </c>
      <c r="AY4678" s="3" t="s">
        <v>45201</v>
      </c>
      <c r="AZ4678" s="3" t="s">
        <v>45202</v>
      </c>
      <c r="BA4678" s="3" t="s">
        <v>45202</v>
      </c>
      <c r="BB4678" s="3" t="s">
        <v>45203</v>
      </c>
      <c r="BC4678" s="3" t="s">
        <v>102</v>
      </c>
      <c r="BD4678" s="3" t="s">
        <v>68</v>
      </c>
      <c r="BE4678" s="3" t="s">
        <v>45204</v>
      </c>
      <c r="BF4678" s="3" t="s">
        <v>45203</v>
      </c>
      <c r="BG4678" s="3" t="s">
        <v>45205</v>
      </c>
    </row>
    <row r="4679" spans="1:59" ht="58" x14ac:dyDescent="0.35">
      <c r="A4679" s="2" t="s">
        <v>89</v>
      </c>
      <c r="B4679" s="2" t="s">
        <v>90</v>
      </c>
      <c r="C4679" s="2" t="s">
        <v>45206</v>
      </c>
      <c r="D4679" s="2" t="s">
        <v>45207</v>
      </c>
      <c r="E4679" s="2" t="s">
        <v>45208</v>
      </c>
      <c r="G4679" s="3" t="s">
        <v>62</v>
      </c>
      <c r="I4679" s="3" t="s">
        <v>62</v>
      </c>
      <c r="J4679" s="3" t="s">
        <v>62</v>
      </c>
      <c r="K4679" s="3" t="s">
        <v>63</v>
      </c>
      <c r="L4679" s="2" t="s">
        <v>45209</v>
      </c>
      <c r="M4679" s="2" t="s">
        <v>45210</v>
      </c>
      <c r="N4679" s="3" t="s">
        <v>880</v>
      </c>
      <c r="O4679" s="2" t="s">
        <v>1674</v>
      </c>
      <c r="P4679" s="3" t="s">
        <v>64</v>
      </c>
      <c r="Q4679" s="2" t="s">
        <v>45211</v>
      </c>
      <c r="R4679" s="3" t="s">
        <v>42369</v>
      </c>
      <c r="S4679" s="4">
        <v>2</v>
      </c>
      <c r="T4679" s="4">
        <v>2</v>
      </c>
      <c r="U4679" s="5" t="s">
        <v>45043</v>
      </c>
      <c r="V4679" s="5" t="s">
        <v>45043</v>
      </c>
      <c r="W4679" s="5" t="s">
        <v>67</v>
      </c>
      <c r="X4679" s="5" t="s">
        <v>67</v>
      </c>
      <c r="Y4679" s="4">
        <v>17</v>
      </c>
      <c r="Z4679" s="4">
        <v>1</v>
      </c>
      <c r="AA4679" s="4">
        <v>1</v>
      </c>
      <c r="AB4679" s="4">
        <v>1</v>
      </c>
      <c r="AC4679" s="4">
        <v>1</v>
      </c>
      <c r="AD4679" s="4">
        <v>6</v>
      </c>
      <c r="AE4679" s="4">
        <v>6</v>
      </c>
      <c r="AF4679" s="4">
        <v>0</v>
      </c>
      <c r="AG4679" s="4">
        <v>0</v>
      </c>
      <c r="AH4679" s="4">
        <v>6</v>
      </c>
      <c r="AI4679" s="4">
        <v>6</v>
      </c>
      <c r="AJ4679" s="4">
        <v>0</v>
      </c>
      <c r="AK4679" s="4">
        <v>0</v>
      </c>
      <c r="AL4679" s="4">
        <v>5</v>
      </c>
      <c r="AM4679" s="4">
        <v>5</v>
      </c>
      <c r="AN4679" s="4">
        <v>0</v>
      </c>
      <c r="AO4679" s="4">
        <v>0</v>
      </c>
      <c r="AP4679" s="4">
        <v>0</v>
      </c>
      <c r="AQ4679" s="4">
        <v>0</v>
      </c>
      <c r="AR4679" s="3" t="s">
        <v>62</v>
      </c>
      <c r="AS4679" s="3" t="s">
        <v>62</v>
      </c>
      <c r="AT4679" s="3" t="s">
        <v>62</v>
      </c>
      <c r="AV4679" s="6" t="str">
        <f>HYPERLINK("http://mcgill.on.worldcat.org/oclc/763130285","Catalog Record")</f>
        <v>Catalog Record</v>
      </c>
      <c r="AW4679" s="6" t="str">
        <f>HYPERLINK("http://www.worldcat.org/oclc/763130285","WorldCat Record")</f>
        <v>WorldCat Record</v>
      </c>
      <c r="AX4679" s="3" t="s">
        <v>45212</v>
      </c>
      <c r="AY4679" s="3" t="s">
        <v>45213</v>
      </c>
      <c r="AZ4679" s="3" t="s">
        <v>45214</v>
      </c>
      <c r="BA4679" s="3" t="s">
        <v>45214</v>
      </c>
      <c r="BB4679" s="3" t="s">
        <v>45215</v>
      </c>
      <c r="BC4679" s="3" t="s">
        <v>102</v>
      </c>
      <c r="BD4679" s="3" t="s">
        <v>68</v>
      </c>
      <c r="BE4679" s="3" t="s">
        <v>45216</v>
      </c>
      <c r="BF4679" s="3" t="s">
        <v>45215</v>
      </c>
      <c r="BG4679" s="3" t="s">
        <v>45217</v>
      </c>
    </row>
    <row r="4680" spans="1:59" ht="58" x14ac:dyDescent="0.35">
      <c r="A4680" s="2" t="s">
        <v>59</v>
      </c>
      <c r="B4680" s="2" t="s">
        <v>60</v>
      </c>
      <c r="C4680" s="2" t="s">
        <v>45218</v>
      </c>
      <c r="D4680" s="2" t="s">
        <v>45219</v>
      </c>
      <c r="E4680" s="2" t="s">
        <v>45220</v>
      </c>
      <c r="G4680" s="3" t="s">
        <v>62</v>
      </c>
      <c r="I4680" s="3" t="s">
        <v>62</v>
      </c>
      <c r="J4680" s="3" t="s">
        <v>62</v>
      </c>
      <c r="K4680" s="3" t="s">
        <v>63</v>
      </c>
      <c r="L4680" s="2" t="s">
        <v>35678</v>
      </c>
      <c r="M4680" s="2" t="s">
        <v>45221</v>
      </c>
      <c r="N4680" s="3" t="s">
        <v>866</v>
      </c>
      <c r="O4680" s="2" t="s">
        <v>45222</v>
      </c>
      <c r="P4680" s="3" t="s">
        <v>64</v>
      </c>
      <c r="Q4680" s="2" t="s">
        <v>39819</v>
      </c>
      <c r="R4680" s="3" t="s">
        <v>42369</v>
      </c>
      <c r="S4680" s="4">
        <v>8</v>
      </c>
      <c r="T4680" s="4">
        <v>8</v>
      </c>
      <c r="U4680" s="5" t="s">
        <v>24793</v>
      </c>
      <c r="V4680" s="5" t="s">
        <v>24793</v>
      </c>
      <c r="W4680" s="5" t="s">
        <v>67</v>
      </c>
      <c r="X4680" s="5" t="s">
        <v>67</v>
      </c>
      <c r="Y4680" s="4">
        <v>1432</v>
      </c>
      <c r="Z4680" s="4">
        <v>39</v>
      </c>
      <c r="AA4680" s="4">
        <v>44</v>
      </c>
      <c r="AB4680" s="4">
        <v>1</v>
      </c>
      <c r="AC4680" s="4">
        <v>3</v>
      </c>
      <c r="AD4680" s="4">
        <v>88</v>
      </c>
      <c r="AE4680" s="4">
        <v>90</v>
      </c>
      <c r="AF4680" s="4">
        <v>0</v>
      </c>
      <c r="AG4680" s="4">
        <v>1</v>
      </c>
      <c r="AH4680" s="4">
        <v>74</v>
      </c>
      <c r="AI4680" s="4">
        <v>74</v>
      </c>
      <c r="AJ4680" s="4">
        <v>14</v>
      </c>
      <c r="AK4680" s="4">
        <v>15</v>
      </c>
      <c r="AL4680" s="4">
        <v>37</v>
      </c>
      <c r="AM4680" s="4">
        <v>37</v>
      </c>
      <c r="AN4680" s="4">
        <v>5</v>
      </c>
      <c r="AO4680" s="4">
        <v>5</v>
      </c>
      <c r="AP4680" s="4">
        <v>18</v>
      </c>
      <c r="AQ4680" s="4">
        <v>20</v>
      </c>
      <c r="AR4680" s="3" t="s">
        <v>62</v>
      </c>
      <c r="AS4680" s="3" t="s">
        <v>62</v>
      </c>
      <c r="AT4680" s="3" t="s">
        <v>61</v>
      </c>
      <c r="AU4680" s="6" t="str">
        <f>HYPERLINK("http://catalog.hathitrust.org/Record/004425755","HathiTrust Record")</f>
        <v>HathiTrust Record</v>
      </c>
      <c r="AV4680" s="6" t="str">
        <f>HYPERLINK("http://mcgill.on.worldcat.org/oclc/415335","Catalog Record")</f>
        <v>Catalog Record</v>
      </c>
      <c r="AW4680" s="6" t="str">
        <f>HYPERLINK("http://www.worldcat.org/oclc/415335","WorldCat Record")</f>
        <v>WorldCat Record</v>
      </c>
      <c r="AX4680" s="3" t="s">
        <v>45223</v>
      </c>
      <c r="AY4680" s="3" t="s">
        <v>45224</v>
      </c>
      <c r="AZ4680" s="3" t="s">
        <v>45225</v>
      </c>
      <c r="BA4680" s="3" t="s">
        <v>45225</v>
      </c>
      <c r="BB4680" s="3" t="s">
        <v>45226</v>
      </c>
      <c r="BC4680" s="3" t="s">
        <v>102</v>
      </c>
      <c r="BD4680" s="3" t="s">
        <v>68</v>
      </c>
      <c r="BF4680" s="3" t="s">
        <v>45226</v>
      </c>
      <c r="BG4680" s="3" t="s">
        <v>45227</v>
      </c>
    </row>
    <row r="4681" spans="1:59" ht="58" x14ac:dyDescent="0.35">
      <c r="A4681" s="2" t="s">
        <v>59</v>
      </c>
      <c r="B4681" s="2" t="s">
        <v>60</v>
      </c>
      <c r="C4681" s="2" t="s">
        <v>45228</v>
      </c>
      <c r="D4681" s="2" t="s">
        <v>45229</v>
      </c>
      <c r="E4681" s="2" t="s">
        <v>45230</v>
      </c>
      <c r="G4681" s="3" t="s">
        <v>62</v>
      </c>
      <c r="I4681" s="3" t="s">
        <v>62</v>
      </c>
      <c r="J4681" s="3" t="s">
        <v>62</v>
      </c>
      <c r="K4681" s="3" t="s">
        <v>63</v>
      </c>
      <c r="L4681" s="2" t="s">
        <v>45231</v>
      </c>
      <c r="M4681" s="2" t="s">
        <v>45232</v>
      </c>
      <c r="N4681" s="3" t="s">
        <v>186</v>
      </c>
      <c r="P4681" s="3" t="s">
        <v>64</v>
      </c>
      <c r="Q4681" s="2" t="s">
        <v>45233</v>
      </c>
      <c r="R4681" s="3" t="s">
        <v>42369</v>
      </c>
      <c r="S4681" s="4">
        <v>7</v>
      </c>
      <c r="T4681" s="4">
        <v>7</v>
      </c>
      <c r="U4681" s="5" t="s">
        <v>7720</v>
      </c>
      <c r="V4681" s="5" t="s">
        <v>7720</v>
      </c>
      <c r="W4681" s="5" t="s">
        <v>67</v>
      </c>
      <c r="X4681" s="5" t="s">
        <v>67</v>
      </c>
      <c r="Y4681" s="4">
        <v>147</v>
      </c>
      <c r="Z4681" s="4">
        <v>21</v>
      </c>
      <c r="AA4681" s="4">
        <v>23</v>
      </c>
      <c r="AB4681" s="4">
        <v>2</v>
      </c>
      <c r="AC4681" s="4">
        <v>3</v>
      </c>
      <c r="AD4681" s="4">
        <v>51</v>
      </c>
      <c r="AE4681" s="4">
        <v>53</v>
      </c>
      <c r="AF4681" s="4">
        <v>0</v>
      </c>
      <c r="AG4681" s="4">
        <v>1</v>
      </c>
      <c r="AH4681" s="4">
        <v>43</v>
      </c>
      <c r="AI4681" s="4">
        <v>43</v>
      </c>
      <c r="AJ4681" s="4">
        <v>10</v>
      </c>
      <c r="AK4681" s="4">
        <v>12</v>
      </c>
      <c r="AL4681" s="4">
        <v>23</v>
      </c>
      <c r="AM4681" s="4">
        <v>23</v>
      </c>
      <c r="AN4681" s="4">
        <v>0</v>
      </c>
      <c r="AO4681" s="4">
        <v>0</v>
      </c>
      <c r="AP4681" s="4">
        <v>11</v>
      </c>
      <c r="AQ4681" s="4">
        <v>12</v>
      </c>
      <c r="AR4681" s="3" t="s">
        <v>62</v>
      </c>
      <c r="AS4681" s="3" t="s">
        <v>62</v>
      </c>
      <c r="AT4681" s="3" t="s">
        <v>61</v>
      </c>
      <c r="AU4681" s="6" t="str">
        <f>HYPERLINK("http://catalog.hathitrust.org/Record/000646155","HathiTrust Record")</f>
        <v>HathiTrust Record</v>
      </c>
      <c r="AV4681" s="6" t="str">
        <f>HYPERLINK("http://mcgill.on.worldcat.org/oclc/1546934","Catalog Record")</f>
        <v>Catalog Record</v>
      </c>
      <c r="AW4681" s="6" t="str">
        <f>HYPERLINK("http://www.worldcat.org/oclc/1546934","WorldCat Record")</f>
        <v>WorldCat Record</v>
      </c>
      <c r="AX4681" s="3" t="s">
        <v>45234</v>
      </c>
      <c r="AY4681" s="3" t="s">
        <v>45235</v>
      </c>
      <c r="AZ4681" s="3" t="s">
        <v>45236</v>
      </c>
      <c r="BA4681" s="3" t="s">
        <v>45236</v>
      </c>
      <c r="BB4681" s="3" t="s">
        <v>45237</v>
      </c>
      <c r="BC4681" s="3" t="s">
        <v>102</v>
      </c>
      <c r="BD4681" s="3" t="s">
        <v>68</v>
      </c>
      <c r="BF4681" s="3" t="s">
        <v>45237</v>
      </c>
      <c r="BG4681" s="3" t="s">
        <v>45238</v>
      </c>
    </row>
    <row r="4682" spans="1:59" ht="58" x14ac:dyDescent="0.35">
      <c r="A4682" s="2" t="s">
        <v>59</v>
      </c>
      <c r="B4682" s="2" t="s">
        <v>60</v>
      </c>
      <c r="C4682" s="2" t="s">
        <v>45239</v>
      </c>
      <c r="D4682" s="2" t="s">
        <v>45240</v>
      </c>
      <c r="E4682" s="2" t="s">
        <v>45241</v>
      </c>
      <c r="G4682" s="3" t="s">
        <v>62</v>
      </c>
      <c r="I4682" s="3" t="s">
        <v>61</v>
      </c>
      <c r="J4682" s="3" t="s">
        <v>62</v>
      </c>
      <c r="K4682" s="3" t="s">
        <v>63</v>
      </c>
      <c r="L4682" s="2" t="s">
        <v>45242</v>
      </c>
      <c r="M4682" s="2" t="s">
        <v>45243</v>
      </c>
      <c r="N4682" s="3" t="s">
        <v>866</v>
      </c>
      <c r="P4682" s="3" t="s">
        <v>64</v>
      </c>
      <c r="R4682" s="3" t="s">
        <v>42369</v>
      </c>
      <c r="S4682" s="4">
        <v>4</v>
      </c>
      <c r="T4682" s="4">
        <v>8</v>
      </c>
      <c r="U4682" s="5" t="s">
        <v>45244</v>
      </c>
      <c r="V4682" s="5" t="s">
        <v>13723</v>
      </c>
      <c r="W4682" s="5" t="s">
        <v>67</v>
      </c>
      <c r="X4682" s="5" t="s">
        <v>67</v>
      </c>
      <c r="Y4682" s="4">
        <v>218</v>
      </c>
      <c r="Z4682" s="4">
        <v>94</v>
      </c>
      <c r="AA4682" s="4">
        <v>195</v>
      </c>
      <c r="AB4682" s="4">
        <v>4</v>
      </c>
      <c r="AC4682" s="4">
        <v>20</v>
      </c>
      <c r="AD4682" s="4">
        <v>59</v>
      </c>
      <c r="AE4682" s="4">
        <v>147</v>
      </c>
      <c r="AF4682" s="4">
        <v>1</v>
      </c>
      <c r="AG4682" s="4">
        <v>8</v>
      </c>
      <c r="AH4682" s="4">
        <v>33</v>
      </c>
      <c r="AI4682" s="4">
        <v>99</v>
      </c>
      <c r="AJ4682" s="4">
        <v>21</v>
      </c>
      <c r="AK4682" s="4">
        <v>29</v>
      </c>
      <c r="AL4682" s="4">
        <v>13</v>
      </c>
      <c r="AM4682" s="4">
        <v>48</v>
      </c>
      <c r="AN4682" s="4">
        <v>0</v>
      </c>
      <c r="AO4682" s="4">
        <v>0</v>
      </c>
      <c r="AP4682" s="4">
        <v>35</v>
      </c>
      <c r="AQ4682" s="4">
        <v>56</v>
      </c>
      <c r="AR4682" s="3" t="s">
        <v>61</v>
      </c>
      <c r="AS4682" s="3" t="s">
        <v>62</v>
      </c>
      <c r="AT4682" s="3" t="s">
        <v>62</v>
      </c>
      <c r="AV4682" s="6" t="str">
        <f>HYPERLINK("http://mcgill.on.worldcat.org/oclc/608634","Catalog Record")</f>
        <v>Catalog Record</v>
      </c>
      <c r="AW4682" s="6" t="str">
        <f>HYPERLINK("http://www.worldcat.org/oclc/608634","WorldCat Record")</f>
        <v>WorldCat Record</v>
      </c>
      <c r="AX4682" s="3" t="s">
        <v>45245</v>
      </c>
      <c r="AY4682" s="3" t="s">
        <v>45246</v>
      </c>
      <c r="AZ4682" s="3" t="s">
        <v>45247</v>
      </c>
      <c r="BA4682" s="3" t="s">
        <v>45247</v>
      </c>
      <c r="BB4682" s="3" t="s">
        <v>45248</v>
      </c>
      <c r="BC4682" s="3" t="s">
        <v>102</v>
      </c>
      <c r="BD4682" s="3" t="s">
        <v>68</v>
      </c>
      <c r="BE4682" s="3" t="s">
        <v>45249</v>
      </c>
      <c r="BF4682" s="3" t="s">
        <v>45248</v>
      </c>
      <c r="BG4682" s="3" t="s">
        <v>45250</v>
      </c>
    </row>
    <row r="4683" spans="1:59" ht="72.5" x14ac:dyDescent="0.35">
      <c r="A4683" s="2" t="s">
        <v>59</v>
      </c>
      <c r="B4683" s="2" t="s">
        <v>60</v>
      </c>
      <c r="C4683" s="2" t="s">
        <v>45251</v>
      </c>
      <c r="D4683" s="2" t="s">
        <v>45252</v>
      </c>
      <c r="E4683" s="2" t="s">
        <v>45253</v>
      </c>
      <c r="G4683" s="3" t="s">
        <v>62</v>
      </c>
      <c r="I4683" s="3" t="s">
        <v>62</v>
      </c>
      <c r="J4683" s="3" t="s">
        <v>62</v>
      </c>
      <c r="K4683" s="3" t="s">
        <v>63</v>
      </c>
      <c r="L4683" s="2" t="s">
        <v>45254</v>
      </c>
      <c r="M4683" s="2" t="s">
        <v>45255</v>
      </c>
      <c r="N4683" s="3" t="s">
        <v>355</v>
      </c>
      <c r="P4683" s="3" t="s">
        <v>64</v>
      </c>
      <c r="R4683" s="3" t="s">
        <v>42369</v>
      </c>
      <c r="S4683" s="4">
        <v>24</v>
      </c>
      <c r="T4683" s="4">
        <v>24</v>
      </c>
      <c r="U4683" s="5" t="s">
        <v>7851</v>
      </c>
      <c r="V4683" s="5" t="s">
        <v>7851</v>
      </c>
      <c r="W4683" s="5" t="s">
        <v>67</v>
      </c>
      <c r="X4683" s="5" t="s">
        <v>67</v>
      </c>
      <c r="Y4683" s="4">
        <v>111</v>
      </c>
      <c r="Z4683" s="4">
        <v>29</v>
      </c>
      <c r="AA4683" s="4">
        <v>45</v>
      </c>
      <c r="AB4683" s="4">
        <v>2</v>
      </c>
      <c r="AC4683" s="4">
        <v>4</v>
      </c>
      <c r="AD4683" s="4">
        <v>20</v>
      </c>
      <c r="AE4683" s="4">
        <v>46</v>
      </c>
      <c r="AF4683" s="4">
        <v>0</v>
      </c>
      <c r="AG4683" s="4">
        <v>0</v>
      </c>
      <c r="AH4683" s="4">
        <v>12</v>
      </c>
      <c r="AI4683" s="4">
        <v>34</v>
      </c>
      <c r="AJ4683" s="4">
        <v>8</v>
      </c>
      <c r="AK4683" s="4">
        <v>9</v>
      </c>
      <c r="AL4683" s="4">
        <v>5</v>
      </c>
      <c r="AM4683" s="4">
        <v>19</v>
      </c>
      <c r="AN4683" s="4">
        <v>0</v>
      </c>
      <c r="AO4683" s="4">
        <v>0</v>
      </c>
      <c r="AP4683" s="4">
        <v>12</v>
      </c>
      <c r="AQ4683" s="4">
        <v>16</v>
      </c>
      <c r="AR4683" s="3" t="s">
        <v>61</v>
      </c>
      <c r="AS4683" s="3" t="s">
        <v>62</v>
      </c>
      <c r="AT4683" s="3" t="s">
        <v>61</v>
      </c>
      <c r="AU4683" s="6" t="str">
        <f>HYPERLINK("http://catalog.hathitrust.org/Record/007056614","HathiTrust Record")</f>
        <v>HathiTrust Record</v>
      </c>
      <c r="AV4683" s="6" t="str">
        <f>HYPERLINK("http://mcgill.on.worldcat.org/oclc/11490964","Catalog Record")</f>
        <v>Catalog Record</v>
      </c>
      <c r="AW4683" s="6" t="str">
        <f>HYPERLINK("http://www.worldcat.org/oclc/11490964","WorldCat Record")</f>
        <v>WorldCat Record</v>
      </c>
      <c r="AX4683" s="3" t="s">
        <v>45256</v>
      </c>
      <c r="AY4683" s="3" t="s">
        <v>45257</v>
      </c>
      <c r="AZ4683" s="3" t="s">
        <v>45258</v>
      </c>
      <c r="BA4683" s="3" t="s">
        <v>45258</v>
      </c>
      <c r="BB4683" s="3" t="s">
        <v>45259</v>
      </c>
      <c r="BC4683" s="3" t="s">
        <v>102</v>
      </c>
      <c r="BD4683" s="3" t="s">
        <v>68</v>
      </c>
      <c r="BE4683" s="3" t="s">
        <v>45260</v>
      </c>
      <c r="BF4683" s="3" t="s">
        <v>45259</v>
      </c>
      <c r="BG4683" s="3" t="s">
        <v>45261</v>
      </c>
    </row>
    <row r="4684" spans="1:59" ht="58" x14ac:dyDescent="0.35">
      <c r="A4684" s="2" t="s">
        <v>59</v>
      </c>
      <c r="B4684" s="2" t="s">
        <v>60</v>
      </c>
      <c r="C4684" s="2" t="s">
        <v>45262</v>
      </c>
      <c r="D4684" s="2" t="s">
        <v>45263</v>
      </c>
      <c r="E4684" s="2" t="s">
        <v>45264</v>
      </c>
      <c r="G4684" s="3" t="s">
        <v>62</v>
      </c>
      <c r="I4684" s="3" t="s">
        <v>62</v>
      </c>
      <c r="J4684" s="3" t="s">
        <v>62</v>
      </c>
      <c r="K4684" s="3" t="s">
        <v>63</v>
      </c>
      <c r="L4684" s="2" t="s">
        <v>45265</v>
      </c>
      <c r="M4684" s="2" t="s">
        <v>45266</v>
      </c>
      <c r="N4684" s="3" t="s">
        <v>87</v>
      </c>
      <c r="P4684" s="3" t="s">
        <v>64</v>
      </c>
      <c r="Q4684" s="2" t="s">
        <v>45267</v>
      </c>
      <c r="R4684" s="3" t="s">
        <v>42369</v>
      </c>
      <c r="S4684" s="4">
        <v>3</v>
      </c>
      <c r="T4684" s="4">
        <v>3</v>
      </c>
      <c r="U4684" s="5" t="s">
        <v>1080</v>
      </c>
      <c r="V4684" s="5" t="s">
        <v>1080</v>
      </c>
      <c r="W4684" s="5" t="s">
        <v>67</v>
      </c>
      <c r="X4684" s="5" t="s">
        <v>67</v>
      </c>
      <c r="Y4684" s="4">
        <v>39</v>
      </c>
      <c r="Z4684" s="4">
        <v>3</v>
      </c>
      <c r="AA4684" s="4">
        <v>3</v>
      </c>
      <c r="AB4684" s="4">
        <v>1</v>
      </c>
      <c r="AC4684" s="4">
        <v>1</v>
      </c>
      <c r="AD4684" s="4">
        <v>23</v>
      </c>
      <c r="AE4684" s="4">
        <v>23</v>
      </c>
      <c r="AF4684" s="4">
        <v>0</v>
      </c>
      <c r="AG4684" s="4">
        <v>0</v>
      </c>
      <c r="AH4684" s="4">
        <v>19</v>
      </c>
      <c r="AI4684" s="4">
        <v>19</v>
      </c>
      <c r="AJ4684" s="4">
        <v>2</v>
      </c>
      <c r="AK4684" s="4">
        <v>2</v>
      </c>
      <c r="AL4684" s="4">
        <v>14</v>
      </c>
      <c r="AM4684" s="4">
        <v>14</v>
      </c>
      <c r="AN4684" s="4">
        <v>0</v>
      </c>
      <c r="AO4684" s="4">
        <v>0</v>
      </c>
      <c r="AP4684" s="4">
        <v>1</v>
      </c>
      <c r="AQ4684" s="4">
        <v>1</v>
      </c>
      <c r="AR4684" s="3" t="s">
        <v>62</v>
      </c>
      <c r="AS4684" s="3" t="s">
        <v>62</v>
      </c>
      <c r="AT4684" s="3" t="s">
        <v>62</v>
      </c>
      <c r="AV4684" s="6" t="str">
        <f>HYPERLINK("http://mcgill.on.worldcat.org/oclc/5889856","Catalog Record")</f>
        <v>Catalog Record</v>
      </c>
      <c r="AW4684" s="6" t="str">
        <f>HYPERLINK("http://www.worldcat.org/oclc/5889856","WorldCat Record")</f>
        <v>WorldCat Record</v>
      </c>
      <c r="AX4684" s="3" t="s">
        <v>45268</v>
      </c>
      <c r="AY4684" s="3" t="s">
        <v>45269</v>
      </c>
      <c r="AZ4684" s="3" t="s">
        <v>45270</v>
      </c>
      <c r="BA4684" s="3" t="s">
        <v>45270</v>
      </c>
      <c r="BB4684" s="3" t="s">
        <v>45271</v>
      </c>
      <c r="BC4684" s="3" t="s">
        <v>102</v>
      </c>
      <c r="BD4684" s="3" t="s">
        <v>68</v>
      </c>
      <c r="BE4684" s="3" t="s">
        <v>45272</v>
      </c>
      <c r="BF4684" s="3" t="s">
        <v>45271</v>
      </c>
      <c r="BG4684" s="3" t="s">
        <v>45273</v>
      </c>
    </row>
    <row r="4685" spans="1:59" ht="58" x14ac:dyDescent="0.35">
      <c r="A4685" s="2" t="s">
        <v>59</v>
      </c>
      <c r="B4685" s="2" t="s">
        <v>60</v>
      </c>
      <c r="C4685" s="2" t="s">
        <v>45274</v>
      </c>
      <c r="D4685" s="2" t="s">
        <v>45275</v>
      </c>
      <c r="E4685" s="2" t="s">
        <v>45276</v>
      </c>
      <c r="G4685" s="3" t="s">
        <v>62</v>
      </c>
      <c r="I4685" s="3" t="s">
        <v>62</v>
      </c>
      <c r="J4685" s="3" t="s">
        <v>62</v>
      </c>
      <c r="K4685" s="3" t="s">
        <v>63</v>
      </c>
      <c r="M4685" s="2" t="s">
        <v>45277</v>
      </c>
      <c r="N4685" s="3" t="s">
        <v>1482</v>
      </c>
      <c r="P4685" s="3" t="s">
        <v>64</v>
      </c>
      <c r="Q4685" s="2" t="s">
        <v>45278</v>
      </c>
      <c r="R4685" s="3" t="s">
        <v>42369</v>
      </c>
      <c r="S4685" s="4">
        <v>15</v>
      </c>
      <c r="T4685" s="4">
        <v>15</v>
      </c>
      <c r="U4685" s="5" t="s">
        <v>28117</v>
      </c>
      <c r="V4685" s="5" t="s">
        <v>28117</v>
      </c>
      <c r="W4685" s="5" t="s">
        <v>67</v>
      </c>
      <c r="X4685" s="5" t="s">
        <v>67</v>
      </c>
      <c r="Y4685" s="4">
        <v>261</v>
      </c>
      <c r="Z4685" s="4">
        <v>14</v>
      </c>
      <c r="AA4685" s="4">
        <v>14</v>
      </c>
      <c r="AB4685" s="4">
        <v>1</v>
      </c>
      <c r="AC4685" s="4">
        <v>1</v>
      </c>
      <c r="AD4685" s="4">
        <v>86</v>
      </c>
      <c r="AE4685" s="4">
        <v>86</v>
      </c>
      <c r="AF4685" s="4">
        <v>0</v>
      </c>
      <c r="AG4685" s="4">
        <v>0</v>
      </c>
      <c r="AH4685" s="4">
        <v>81</v>
      </c>
      <c r="AI4685" s="4">
        <v>81</v>
      </c>
      <c r="AJ4685" s="4">
        <v>9</v>
      </c>
      <c r="AK4685" s="4">
        <v>9</v>
      </c>
      <c r="AL4685" s="4">
        <v>47</v>
      </c>
      <c r="AM4685" s="4">
        <v>47</v>
      </c>
      <c r="AN4685" s="4">
        <v>0</v>
      </c>
      <c r="AO4685" s="4">
        <v>0</v>
      </c>
      <c r="AP4685" s="4">
        <v>9</v>
      </c>
      <c r="AQ4685" s="4">
        <v>9</v>
      </c>
      <c r="AR4685" s="3" t="s">
        <v>62</v>
      </c>
      <c r="AS4685" s="3" t="s">
        <v>62</v>
      </c>
      <c r="AT4685" s="3" t="s">
        <v>61</v>
      </c>
      <c r="AU4685" s="6" t="str">
        <f>HYPERLINK("http://catalog.hathitrust.org/Record/000628642","HathiTrust Record")</f>
        <v>HathiTrust Record</v>
      </c>
      <c r="AV4685" s="6" t="str">
        <f>HYPERLINK("http://mcgill.on.worldcat.org/oclc/12286752","Catalog Record")</f>
        <v>Catalog Record</v>
      </c>
      <c r="AW4685" s="6" t="str">
        <f>HYPERLINK("http://www.worldcat.org/oclc/12286752","WorldCat Record")</f>
        <v>WorldCat Record</v>
      </c>
      <c r="AX4685" s="3" t="s">
        <v>45279</v>
      </c>
      <c r="AY4685" s="3" t="s">
        <v>45280</v>
      </c>
      <c r="AZ4685" s="3" t="s">
        <v>45281</v>
      </c>
      <c r="BA4685" s="3" t="s">
        <v>45281</v>
      </c>
      <c r="BB4685" s="3" t="s">
        <v>45282</v>
      </c>
      <c r="BC4685" s="3" t="s">
        <v>102</v>
      </c>
      <c r="BD4685" s="3" t="s">
        <v>68</v>
      </c>
      <c r="BE4685" s="3" t="s">
        <v>45283</v>
      </c>
      <c r="BF4685" s="3" t="s">
        <v>45282</v>
      </c>
      <c r="BG4685" s="3" t="s">
        <v>45284</v>
      </c>
    </row>
    <row r="4686" spans="1:59" ht="72.5" x14ac:dyDescent="0.35">
      <c r="A4686" s="2" t="s">
        <v>89</v>
      </c>
      <c r="B4686" s="2" t="s">
        <v>90</v>
      </c>
      <c r="C4686" s="2" t="s">
        <v>45285</v>
      </c>
      <c r="D4686" s="2" t="s">
        <v>45286</v>
      </c>
      <c r="E4686" s="2" t="s">
        <v>45287</v>
      </c>
      <c r="G4686" s="3" t="s">
        <v>62</v>
      </c>
      <c r="I4686" s="3" t="s">
        <v>62</v>
      </c>
      <c r="J4686" s="3" t="s">
        <v>62</v>
      </c>
      <c r="K4686" s="3" t="s">
        <v>63</v>
      </c>
      <c r="M4686" s="2" t="s">
        <v>45288</v>
      </c>
      <c r="N4686" s="3" t="s">
        <v>726</v>
      </c>
      <c r="P4686" s="3" t="s">
        <v>64</v>
      </c>
      <c r="R4686" s="3" t="s">
        <v>42369</v>
      </c>
      <c r="S4686" s="4">
        <v>0</v>
      </c>
      <c r="T4686" s="4">
        <v>0</v>
      </c>
      <c r="W4686" s="5" t="s">
        <v>67</v>
      </c>
      <c r="X4686" s="5" t="s">
        <v>67</v>
      </c>
      <c r="Y4686" s="4">
        <v>94</v>
      </c>
      <c r="Z4686" s="4">
        <v>8</v>
      </c>
      <c r="AA4686" s="4">
        <v>8</v>
      </c>
      <c r="AB4686" s="4">
        <v>1</v>
      </c>
      <c r="AC4686" s="4">
        <v>1</v>
      </c>
      <c r="AD4686" s="4">
        <v>29</v>
      </c>
      <c r="AE4686" s="4">
        <v>29</v>
      </c>
      <c r="AF4686" s="4">
        <v>0</v>
      </c>
      <c r="AG4686" s="4">
        <v>0</v>
      </c>
      <c r="AH4686" s="4">
        <v>25</v>
      </c>
      <c r="AI4686" s="4">
        <v>25</v>
      </c>
      <c r="AJ4686" s="4">
        <v>4</v>
      </c>
      <c r="AK4686" s="4">
        <v>4</v>
      </c>
      <c r="AL4686" s="4">
        <v>17</v>
      </c>
      <c r="AM4686" s="4">
        <v>17</v>
      </c>
      <c r="AN4686" s="4">
        <v>0</v>
      </c>
      <c r="AO4686" s="4">
        <v>0</v>
      </c>
      <c r="AP4686" s="4">
        <v>4</v>
      </c>
      <c r="AQ4686" s="4">
        <v>4</v>
      </c>
      <c r="AR4686" s="3" t="s">
        <v>62</v>
      </c>
      <c r="AS4686" s="3" t="s">
        <v>62</v>
      </c>
      <c r="AT4686" s="3" t="s">
        <v>62</v>
      </c>
      <c r="AV4686" s="6" t="str">
        <f>HYPERLINK("http://mcgill.on.worldcat.org/oclc/1005895346","Catalog Record")</f>
        <v>Catalog Record</v>
      </c>
      <c r="AW4686" s="6" t="str">
        <f>HYPERLINK("http://www.worldcat.org/oclc/1005895346","WorldCat Record")</f>
        <v>WorldCat Record</v>
      </c>
      <c r="AX4686" s="3" t="s">
        <v>45289</v>
      </c>
      <c r="AY4686" s="3" t="s">
        <v>45290</v>
      </c>
      <c r="AZ4686" s="3" t="s">
        <v>45291</v>
      </c>
      <c r="BA4686" s="3" t="s">
        <v>45291</v>
      </c>
      <c r="BB4686" s="3" t="s">
        <v>45292</v>
      </c>
      <c r="BC4686" s="3" t="s">
        <v>102</v>
      </c>
      <c r="BD4686" s="3" t="s">
        <v>68</v>
      </c>
      <c r="BE4686" s="3" t="s">
        <v>45293</v>
      </c>
      <c r="BF4686" s="3" t="s">
        <v>45292</v>
      </c>
      <c r="BG4686" s="3" t="s">
        <v>45294</v>
      </c>
    </row>
    <row r="4687" spans="1:59" ht="72.5" x14ac:dyDescent="0.35">
      <c r="A4687" s="2" t="s">
        <v>59</v>
      </c>
      <c r="B4687" s="2" t="s">
        <v>60</v>
      </c>
      <c r="C4687" s="2" t="s">
        <v>45295</v>
      </c>
      <c r="D4687" s="2" t="s">
        <v>45296</v>
      </c>
      <c r="E4687" s="2" t="s">
        <v>45297</v>
      </c>
      <c r="G4687" s="3" t="s">
        <v>62</v>
      </c>
      <c r="I4687" s="3" t="s">
        <v>62</v>
      </c>
      <c r="J4687" s="3" t="s">
        <v>62</v>
      </c>
      <c r="K4687" s="3" t="s">
        <v>63</v>
      </c>
      <c r="L4687" s="2" t="s">
        <v>45298</v>
      </c>
      <c r="M4687" s="2" t="s">
        <v>45299</v>
      </c>
      <c r="N4687" s="3" t="s">
        <v>539</v>
      </c>
      <c r="P4687" s="3" t="s">
        <v>64</v>
      </c>
      <c r="Q4687" s="2" t="s">
        <v>45300</v>
      </c>
      <c r="R4687" s="3" t="s">
        <v>42369</v>
      </c>
      <c r="S4687" s="4">
        <v>3</v>
      </c>
      <c r="T4687" s="4">
        <v>3</v>
      </c>
      <c r="U4687" s="5" t="s">
        <v>11570</v>
      </c>
      <c r="V4687" s="5" t="s">
        <v>11570</v>
      </c>
      <c r="W4687" s="5" t="s">
        <v>67</v>
      </c>
      <c r="X4687" s="5" t="s">
        <v>67</v>
      </c>
      <c r="Y4687" s="4">
        <v>70</v>
      </c>
      <c r="Z4687" s="4">
        <v>4</v>
      </c>
      <c r="AA4687" s="4">
        <v>4</v>
      </c>
      <c r="AB4687" s="4">
        <v>1</v>
      </c>
      <c r="AC4687" s="4">
        <v>1</v>
      </c>
      <c r="AD4687" s="4">
        <v>23</v>
      </c>
      <c r="AE4687" s="4">
        <v>23</v>
      </c>
      <c r="AF4687" s="4">
        <v>0</v>
      </c>
      <c r="AG4687" s="4">
        <v>0</v>
      </c>
      <c r="AH4687" s="4">
        <v>23</v>
      </c>
      <c r="AI4687" s="4">
        <v>23</v>
      </c>
      <c r="AJ4687" s="4">
        <v>0</v>
      </c>
      <c r="AK4687" s="4">
        <v>0</v>
      </c>
      <c r="AL4687" s="4">
        <v>14</v>
      </c>
      <c r="AM4687" s="4">
        <v>14</v>
      </c>
      <c r="AN4687" s="4">
        <v>0</v>
      </c>
      <c r="AO4687" s="4">
        <v>0</v>
      </c>
      <c r="AP4687" s="4">
        <v>0</v>
      </c>
      <c r="AQ4687" s="4">
        <v>0</v>
      </c>
      <c r="AR4687" s="3" t="s">
        <v>62</v>
      </c>
      <c r="AS4687" s="3" t="s">
        <v>62</v>
      </c>
      <c r="AT4687" s="3" t="s">
        <v>62</v>
      </c>
      <c r="AV4687" s="6" t="str">
        <f>HYPERLINK("http://mcgill.on.worldcat.org/oclc/41321408","Catalog Record")</f>
        <v>Catalog Record</v>
      </c>
      <c r="AW4687" s="6" t="str">
        <f>HYPERLINK("http://www.worldcat.org/oclc/41321408","WorldCat Record")</f>
        <v>WorldCat Record</v>
      </c>
      <c r="AX4687" s="3" t="s">
        <v>45301</v>
      </c>
      <c r="AY4687" s="3" t="s">
        <v>45302</v>
      </c>
      <c r="AZ4687" s="3" t="s">
        <v>45303</v>
      </c>
      <c r="BA4687" s="3" t="s">
        <v>45303</v>
      </c>
      <c r="BB4687" s="3" t="s">
        <v>45304</v>
      </c>
      <c r="BC4687" s="3" t="s">
        <v>102</v>
      </c>
      <c r="BD4687" s="3" t="s">
        <v>68</v>
      </c>
      <c r="BE4687" s="3" t="s">
        <v>45305</v>
      </c>
      <c r="BF4687" s="3" t="s">
        <v>45304</v>
      </c>
      <c r="BG4687" s="3" t="s">
        <v>45306</v>
      </c>
    </row>
    <row r="4688" spans="1:59" ht="58" x14ac:dyDescent="0.35">
      <c r="A4688" s="2" t="s">
        <v>59</v>
      </c>
      <c r="B4688" s="2" t="s">
        <v>60</v>
      </c>
      <c r="C4688" s="2" t="s">
        <v>45307</v>
      </c>
      <c r="D4688" s="2" t="s">
        <v>45308</v>
      </c>
      <c r="E4688" s="2" t="s">
        <v>45309</v>
      </c>
      <c r="G4688" s="3" t="s">
        <v>62</v>
      </c>
      <c r="I4688" s="3" t="s">
        <v>62</v>
      </c>
      <c r="J4688" s="3" t="s">
        <v>62</v>
      </c>
      <c r="K4688" s="3" t="s">
        <v>63</v>
      </c>
      <c r="L4688" s="2" t="s">
        <v>45310</v>
      </c>
      <c r="M4688" s="2" t="s">
        <v>45311</v>
      </c>
      <c r="N4688" s="3" t="s">
        <v>481</v>
      </c>
      <c r="P4688" s="3" t="s">
        <v>64</v>
      </c>
      <c r="Q4688" s="2" t="s">
        <v>45312</v>
      </c>
      <c r="R4688" s="3" t="s">
        <v>42369</v>
      </c>
      <c r="S4688" s="4">
        <v>1</v>
      </c>
      <c r="T4688" s="4">
        <v>1</v>
      </c>
      <c r="U4688" s="5" t="s">
        <v>1621</v>
      </c>
      <c r="V4688" s="5" t="s">
        <v>1621</v>
      </c>
      <c r="W4688" s="5" t="s">
        <v>67</v>
      </c>
      <c r="X4688" s="5" t="s">
        <v>67</v>
      </c>
      <c r="Y4688" s="4">
        <v>88</v>
      </c>
      <c r="Z4688" s="4">
        <v>2</v>
      </c>
      <c r="AA4688" s="4">
        <v>2</v>
      </c>
      <c r="AB4688" s="4">
        <v>1</v>
      </c>
      <c r="AC4688" s="4">
        <v>1</v>
      </c>
      <c r="AD4688" s="4">
        <v>8</v>
      </c>
      <c r="AE4688" s="4">
        <v>8</v>
      </c>
      <c r="AF4688" s="4">
        <v>0</v>
      </c>
      <c r="AG4688" s="4">
        <v>0</v>
      </c>
      <c r="AH4688" s="4">
        <v>7</v>
      </c>
      <c r="AI4688" s="4">
        <v>7</v>
      </c>
      <c r="AJ4688" s="4">
        <v>1</v>
      </c>
      <c r="AK4688" s="4">
        <v>1</v>
      </c>
      <c r="AL4688" s="4">
        <v>6</v>
      </c>
      <c r="AM4688" s="4">
        <v>6</v>
      </c>
      <c r="AN4688" s="4">
        <v>0</v>
      </c>
      <c r="AO4688" s="4">
        <v>0</v>
      </c>
      <c r="AP4688" s="4">
        <v>1</v>
      </c>
      <c r="AQ4688" s="4">
        <v>1</v>
      </c>
      <c r="AR4688" s="3" t="s">
        <v>62</v>
      </c>
      <c r="AS4688" s="3" t="s">
        <v>62</v>
      </c>
      <c r="AT4688" s="3" t="s">
        <v>61</v>
      </c>
      <c r="AU4688" s="6" t="str">
        <f>HYPERLINK("http://catalog.hathitrust.org/Record/003960562","HathiTrust Record")</f>
        <v>HathiTrust Record</v>
      </c>
      <c r="AV4688" s="6" t="str">
        <f>HYPERLINK("http://mcgill.on.worldcat.org/oclc/38466192","Catalog Record")</f>
        <v>Catalog Record</v>
      </c>
      <c r="AW4688" s="6" t="str">
        <f>HYPERLINK("http://www.worldcat.org/oclc/38466192","WorldCat Record")</f>
        <v>WorldCat Record</v>
      </c>
      <c r="AX4688" s="3" t="s">
        <v>45313</v>
      </c>
      <c r="AY4688" s="3" t="s">
        <v>45314</v>
      </c>
      <c r="AZ4688" s="3" t="s">
        <v>45315</v>
      </c>
      <c r="BA4688" s="3" t="s">
        <v>45315</v>
      </c>
      <c r="BB4688" s="3" t="s">
        <v>45316</v>
      </c>
      <c r="BC4688" s="3" t="s">
        <v>102</v>
      </c>
      <c r="BD4688" s="3" t="s">
        <v>68</v>
      </c>
      <c r="BE4688" s="3" t="s">
        <v>45317</v>
      </c>
      <c r="BF4688" s="3" t="s">
        <v>45316</v>
      </c>
      <c r="BG4688" s="3" t="s">
        <v>45318</v>
      </c>
    </row>
    <row r="4689" spans="1:59" ht="58" x14ac:dyDescent="0.35">
      <c r="A4689" s="2" t="s">
        <v>59</v>
      </c>
      <c r="B4689" s="2" t="s">
        <v>60</v>
      </c>
      <c r="C4689" s="2" t="s">
        <v>45319</v>
      </c>
      <c r="D4689" s="2" t="s">
        <v>45320</v>
      </c>
      <c r="E4689" s="2" t="s">
        <v>45321</v>
      </c>
      <c r="G4689" s="3" t="s">
        <v>62</v>
      </c>
      <c r="I4689" s="3" t="s">
        <v>62</v>
      </c>
      <c r="J4689" s="3" t="s">
        <v>62</v>
      </c>
      <c r="K4689" s="3" t="s">
        <v>63</v>
      </c>
      <c r="L4689" s="2" t="s">
        <v>45322</v>
      </c>
      <c r="M4689" s="2" t="s">
        <v>45323</v>
      </c>
      <c r="N4689" s="3" t="s">
        <v>1905</v>
      </c>
      <c r="P4689" s="3" t="s">
        <v>64</v>
      </c>
      <c r="R4689" s="3" t="s">
        <v>42369</v>
      </c>
      <c r="S4689" s="4">
        <v>4</v>
      </c>
      <c r="T4689" s="4">
        <v>4</v>
      </c>
      <c r="U4689" s="5" t="s">
        <v>45324</v>
      </c>
      <c r="V4689" s="5" t="s">
        <v>45324</v>
      </c>
      <c r="W4689" s="5" t="s">
        <v>67</v>
      </c>
      <c r="X4689" s="5" t="s">
        <v>67</v>
      </c>
      <c r="Y4689" s="4">
        <v>140</v>
      </c>
      <c r="Z4689" s="4">
        <v>5</v>
      </c>
      <c r="AA4689" s="4">
        <v>6</v>
      </c>
      <c r="AB4689" s="4">
        <v>1</v>
      </c>
      <c r="AC4689" s="4">
        <v>1</v>
      </c>
      <c r="AD4689" s="4">
        <v>14</v>
      </c>
      <c r="AE4689" s="4">
        <v>14</v>
      </c>
      <c r="AF4689" s="4">
        <v>0</v>
      </c>
      <c r="AG4689" s="4">
        <v>0</v>
      </c>
      <c r="AH4689" s="4">
        <v>14</v>
      </c>
      <c r="AI4689" s="4">
        <v>14</v>
      </c>
      <c r="AJ4689" s="4">
        <v>1</v>
      </c>
      <c r="AK4689" s="4">
        <v>1</v>
      </c>
      <c r="AL4689" s="4">
        <v>8</v>
      </c>
      <c r="AM4689" s="4">
        <v>8</v>
      </c>
      <c r="AN4689" s="4">
        <v>0</v>
      </c>
      <c r="AO4689" s="4">
        <v>0</v>
      </c>
      <c r="AP4689" s="4">
        <v>1</v>
      </c>
      <c r="AQ4689" s="4">
        <v>1</v>
      </c>
      <c r="AR4689" s="3" t="s">
        <v>62</v>
      </c>
      <c r="AS4689" s="3" t="s">
        <v>62</v>
      </c>
      <c r="AT4689" s="3" t="s">
        <v>62</v>
      </c>
      <c r="AV4689" s="6" t="str">
        <f>HYPERLINK("http://mcgill.on.worldcat.org/oclc/59994598","Catalog Record")</f>
        <v>Catalog Record</v>
      </c>
      <c r="AW4689" s="6" t="str">
        <f>HYPERLINK("http://www.worldcat.org/oclc/59994598","WorldCat Record")</f>
        <v>WorldCat Record</v>
      </c>
      <c r="AX4689" s="3" t="s">
        <v>45325</v>
      </c>
      <c r="AY4689" s="3" t="s">
        <v>45326</v>
      </c>
      <c r="AZ4689" s="3" t="s">
        <v>45327</v>
      </c>
      <c r="BA4689" s="3" t="s">
        <v>45327</v>
      </c>
      <c r="BB4689" s="3" t="s">
        <v>45328</v>
      </c>
      <c r="BC4689" s="3" t="s">
        <v>102</v>
      </c>
      <c r="BD4689" s="3" t="s">
        <v>68</v>
      </c>
      <c r="BE4689" s="3" t="s">
        <v>45329</v>
      </c>
      <c r="BF4689" s="3" t="s">
        <v>45328</v>
      </c>
      <c r="BG4689" s="3" t="s">
        <v>45330</v>
      </c>
    </row>
    <row r="4690" spans="1:59" ht="72.5" x14ac:dyDescent="0.35">
      <c r="A4690" s="2" t="s">
        <v>59</v>
      </c>
      <c r="B4690" s="2" t="s">
        <v>60</v>
      </c>
      <c r="C4690" s="2" t="s">
        <v>45331</v>
      </c>
      <c r="D4690" s="2" t="s">
        <v>45332</v>
      </c>
      <c r="E4690" s="2" t="s">
        <v>45333</v>
      </c>
      <c r="G4690" s="3" t="s">
        <v>62</v>
      </c>
      <c r="I4690" s="3" t="s">
        <v>62</v>
      </c>
      <c r="J4690" s="3" t="s">
        <v>62</v>
      </c>
      <c r="K4690" s="3" t="s">
        <v>63</v>
      </c>
      <c r="L4690" s="2" t="s">
        <v>45334</v>
      </c>
      <c r="M4690" s="2" t="s">
        <v>45335</v>
      </c>
      <c r="N4690" s="3" t="s">
        <v>396</v>
      </c>
      <c r="P4690" s="3" t="s">
        <v>64</v>
      </c>
      <c r="R4690" s="3" t="s">
        <v>42369</v>
      </c>
      <c r="S4690" s="4">
        <v>5</v>
      </c>
      <c r="T4690" s="4">
        <v>5</v>
      </c>
      <c r="U4690" s="5" t="s">
        <v>5160</v>
      </c>
      <c r="V4690" s="5" t="s">
        <v>5160</v>
      </c>
      <c r="W4690" s="5" t="s">
        <v>67</v>
      </c>
      <c r="X4690" s="5" t="s">
        <v>67</v>
      </c>
      <c r="Y4690" s="4">
        <v>121</v>
      </c>
      <c r="Z4690" s="4">
        <v>7</v>
      </c>
      <c r="AA4690" s="4">
        <v>7</v>
      </c>
      <c r="AB4690" s="4">
        <v>1</v>
      </c>
      <c r="AC4690" s="4">
        <v>1</v>
      </c>
      <c r="AD4690" s="4">
        <v>34</v>
      </c>
      <c r="AE4690" s="4">
        <v>34</v>
      </c>
      <c r="AF4690" s="4">
        <v>0</v>
      </c>
      <c r="AG4690" s="4">
        <v>0</v>
      </c>
      <c r="AH4690" s="4">
        <v>32</v>
      </c>
      <c r="AI4690" s="4">
        <v>32</v>
      </c>
      <c r="AJ4690" s="4">
        <v>4</v>
      </c>
      <c r="AK4690" s="4">
        <v>4</v>
      </c>
      <c r="AL4690" s="4">
        <v>15</v>
      </c>
      <c r="AM4690" s="4">
        <v>15</v>
      </c>
      <c r="AN4690" s="4">
        <v>0</v>
      </c>
      <c r="AO4690" s="4">
        <v>0</v>
      </c>
      <c r="AP4690" s="4">
        <v>5</v>
      </c>
      <c r="AQ4690" s="4">
        <v>5</v>
      </c>
      <c r="AR4690" s="3" t="s">
        <v>62</v>
      </c>
      <c r="AS4690" s="3" t="s">
        <v>62</v>
      </c>
      <c r="AT4690" s="3" t="s">
        <v>62</v>
      </c>
      <c r="AV4690" s="6" t="str">
        <f>HYPERLINK("http://mcgill.on.worldcat.org/oclc/13000682","Catalog Record")</f>
        <v>Catalog Record</v>
      </c>
      <c r="AW4690" s="6" t="str">
        <f>HYPERLINK("http://www.worldcat.org/oclc/13000682","WorldCat Record")</f>
        <v>WorldCat Record</v>
      </c>
      <c r="AX4690" s="3" t="s">
        <v>45336</v>
      </c>
      <c r="AY4690" s="3" t="s">
        <v>45337</v>
      </c>
      <c r="AZ4690" s="3" t="s">
        <v>45338</v>
      </c>
      <c r="BA4690" s="3" t="s">
        <v>45338</v>
      </c>
      <c r="BB4690" s="3" t="s">
        <v>45339</v>
      </c>
      <c r="BC4690" s="3" t="s">
        <v>102</v>
      </c>
      <c r="BD4690" s="3" t="s">
        <v>68</v>
      </c>
      <c r="BE4690" s="3" t="s">
        <v>45340</v>
      </c>
      <c r="BF4690" s="3" t="s">
        <v>45339</v>
      </c>
      <c r="BG4690" s="3" t="s">
        <v>45341</v>
      </c>
    </row>
    <row r="4691" spans="1:59" ht="58" x14ac:dyDescent="0.35">
      <c r="A4691" s="2" t="s">
        <v>59</v>
      </c>
      <c r="B4691" s="2" t="s">
        <v>60</v>
      </c>
      <c r="C4691" s="2" t="s">
        <v>45342</v>
      </c>
      <c r="D4691" s="2" t="s">
        <v>45343</v>
      </c>
      <c r="E4691" s="2" t="s">
        <v>45344</v>
      </c>
      <c r="G4691" s="3" t="s">
        <v>62</v>
      </c>
      <c r="I4691" s="3" t="s">
        <v>62</v>
      </c>
      <c r="J4691" s="3" t="s">
        <v>62</v>
      </c>
      <c r="K4691" s="3" t="s">
        <v>63</v>
      </c>
      <c r="L4691" s="2" t="s">
        <v>45345</v>
      </c>
      <c r="M4691" s="2" t="s">
        <v>45346</v>
      </c>
      <c r="N4691" s="3" t="s">
        <v>524</v>
      </c>
      <c r="P4691" s="3" t="s">
        <v>64</v>
      </c>
      <c r="Q4691" s="2" t="s">
        <v>45347</v>
      </c>
      <c r="R4691" s="3" t="s">
        <v>42369</v>
      </c>
      <c r="S4691" s="4">
        <v>20</v>
      </c>
      <c r="T4691" s="4">
        <v>20</v>
      </c>
      <c r="U4691" s="5" t="s">
        <v>32077</v>
      </c>
      <c r="V4691" s="5" t="s">
        <v>32077</v>
      </c>
      <c r="W4691" s="5" t="s">
        <v>67</v>
      </c>
      <c r="X4691" s="5" t="s">
        <v>67</v>
      </c>
      <c r="Y4691" s="4">
        <v>550</v>
      </c>
      <c r="Z4691" s="4">
        <v>18</v>
      </c>
      <c r="AA4691" s="4">
        <v>52</v>
      </c>
      <c r="AB4691" s="4">
        <v>2</v>
      </c>
      <c r="AC4691" s="4">
        <v>4</v>
      </c>
      <c r="AD4691" s="4">
        <v>81</v>
      </c>
      <c r="AE4691" s="4">
        <v>96</v>
      </c>
      <c r="AF4691" s="4">
        <v>0</v>
      </c>
      <c r="AG4691" s="4">
        <v>0</v>
      </c>
      <c r="AH4691" s="4">
        <v>76</v>
      </c>
      <c r="AI4691" s="4">
        <v>82</v>
      </c>
      <c r="AJ4691" s="4">
        <v>8</v>
      </c>
      <c r="AK4691" s="4">
        <v>10</v>
      </c>
      <c r="AL4691" s="4">
        <v>43</v>
      </c>
      <c r="AM4691" s="4">
        <v>45</v>
      </c>
      <c r="AN4691" s="4">
        <v>0</v>
      </c>
      <c r="AO4691" s="4">
        <v>0</v>
      </c>
      <c r="AP4691" s="4">
        <v>9</v>
      </c>
      <c r="AQ4691" s="4">
        <v>17</v>
      </c>
      <c r="AR4691" s="3" t="s">
        <v>62</v>
      </c>
      <c r="AS4691" s="3" t="s">
        <v>62</v>
      </c>
      <c r="AT4691" s="3" t="s">
        <v>61</v>
      </c>
      <c r="AU4691" s="6" t="str">
        <f>HYPERLINK("http://catalog.hathitrust.org/Record/003019172","HathiTrust Record")</f>
        <v>HathiTrust Record</v>
      </c>
      <c r="AV4691" s="6" t="str">
        <f>HYPERLINK("http://mcgill.on.worldcat.org/oclc/31133382","Catalog Record")</f>
        <v>Catalog Record</v>
      </c>
      <c r="AW4691" s="6" t="str">
        <f>HYPERLINK("http://www.worldcat.org/oclc/31133382","WorldCat Record")</f>
        <v>WorldCat Record</v>
      </c>
      <c r="AX4691" s="3" t="s">
        <v>45348</v>
      </c>
      <c r="AY4691" s="3" t="s">
        <v>45349</v>
      </c>
      <c r="AZ4691" s="3" t="s">
        <v>45350</v>
      </c>
      <c r="BA4691" s="3" t="s">
        <v>45350</v>
      </c>
      <c r="BB4691" s="3" t="s">
        <v>45351</v>
      </c>
      <c r="BC4691" s="3" t="s">
        <v>102</v>
      </c>
      <c r="BD4691" s="3" t="s">
        <v>68</v>
      </c>
      <c r="BE4691" s="3" t="s">
        <v>45352</v>
      </c>
      <c r="BF4691" s="3" t="s">
        <v>45351</v>
      </c>
      <c r="BG4691" s="3" t="s">
        <v>45353</v>
      </c>
    </row>
    <row r="4692" spans="1:59" ht="58" x14ac:dyDescent="0.35">
      <c r="A4692" s="2" t="s">
        <v>59</v>
      </c>
      <c r="B4692" s="2" t="s">
        <v>60</v>
      </c>
      <c r="C4692" s="2" t="s">
        <v>45354</v>
      </c>
      <c r="D4692" s="2" t="s">
        <v>45355</v>
      </c>
      <c r="E4692" s="2" t="s">
        <v>45356</v>
      </c>
      <c r="G4692" s="3" t="s">
        <v>62</v>
      </c>
      <c r="I4692" s="3" t="s">
        <v>62</v>
      </c>
      <c r="J4692" s="3" t="s">
        <v>62</v>
      </c>
      <c r="K4692" s="3" t="s">
        <v>63</v>
      </c>
      <c r="M4692" s="2" t="s">
        <v>45357</v>
      </c>
      <c r="N4692" s="3" t="s">
        <v>3062</v>
      </c>
      <c r="O4692" s="2" t="s">
        <v>2163</v>
      </c>
      <c r="P4692" s="3" t="s">
        <v>64</v>
      </c>
      <c r="R4692" s="3" t="s">
        <v>42369</v>
      </c>
      <c r="S4692" s="4">
        <v>11</v>
      </c>
      <c r="T4692" s="4">
        <v>11</v>
      </c>
      <c r="U4692" s="5" t="s">
        <v>7341</v>
      </c>
      <c r="V4692" s="5" t="s">
        <v>7341</v>
      </c>
      <c r="W4692" s="5" t="s">
        <v>67</v>
      </c>
      <c r="X4692" s="5" t="s">
        <v>67</v>
      </c>
      <c r="Y4692" s="4">
        <v>205</v>
      </c>
      <c r="Z4692" s="4">
        <v>24</v>
      </c>
      <c r="AA4692" s="4">
        <v>28</v>
      </c>
      <c r="AB4692" s="4">
        <v>1</v>
      </c>
      <c r="AC4692" s="4">
        <v>4</v>
      </c>
      <c r="AD4692" s="4">
        <v>67</v>
      </c>
      <c r="AE4692" s="4">
        <v>73</v>
      </c>
      <c r="AF4692" s="4">
        <v>0</v>
      </c>
      <c r="AG4692" s="4">
        <v>1</v>
      </c>
      <c r="AH4692" s="4">
        <v>55</v>
      </c>
      <c r="AI4692" s="4">
        <v>59</v>
      </c>
      <c r="AJ4692" s="4">
        <v>14</v>
      </c>
      <c r="AK4692" s="4">
        <v>15</v>
      </c>
      <c r="AL4692" s="4">
        <v>30</v>
      </c>
      <c r="AM4692" s="4">
        <v>32</v>
      </c>
      <c r="AN4692" s="4">
        <v>0</v>
      </c>
      <c r="AO4692" s="4">
        <v>0</v>
      </c>
      <c r="AP4692" s="4">
        <v>18</v>
      </c>
      <c r="AQ4692" s="4">
        <v>19</v>
      </c>
      <c r="AR4692" s="3" t="s">
        <v>62</v>
      </c>
      <c r="AS4692" s="3" t="s">
        <v>62</v>
      </c>
      <c r="AT4692" s="3" t="s">
        <v>62</v>
      </c>
      <c r="AV4692" s="6" t="str">
        <f>HYPERLINK("http://mcgill.on.worldcat.org/oclc/22490763","Catalog Record")</f>
        <v>Catalog Record</v>
      </c>
      <c r="AW4692" s="6" t="str">
        <f>HYPERLINK("http://www.worldcat.org/oclc/22490763","WorldCat Record")</f>
        <v>WorldCat Record</v>
      </c>
      <c r="AX4692" s="3" t="s">
        <v>45358</v>
      </c>
      <c r="AY4692" s="3" t="s">
        <v>45359</v>
      </c>
      <c r="AZ4692" s="3" t="s">
        <v>45360</v>
      </c>
      <c r="BA4692" s="3" t="s">
        <v>45360</v>
      </c>
      <c r="BB4692" s="3" t="s">
        <v>45361</v>
      </c>
      <c r="BC4692" s="3" t="s">
        <v>102</v>
      </c>
      <c r="BD4692" s="3" t="s">
        <v>68</v>
      </c>
      <c r="BE4692" s="3" t="s">
        <v>45362</v>
      </c>
      <c r="BF4692" s="3" t="s">
        <v>45361</v>
      </c>
      <c r="BG4692" s="3" t="s">
        <v>45363</v>
      </c>
    </row>
    <row r="4693" spans="1:59" ht="58" x14ac:dyDescent="0.35">
      <c r="A4693" s="2" t="s">
        <v>59</v>
      </c>
      <c r="B4693" s="2" t="s">
        <v>60</v>
      </c>
      <c r="C4693" s="2" t="s">
        <v>45364</v>
      </c>
      <c r="D4693" s="2" t="s">
        <v>45365</v>
      </c>
      <c r="E4693" s="2" t="s">
        <v>45366</v>
      </c>
      <c r="G4693" s="3" t="s">
        <v>62</v>
      </c>
      <c r="I4693" s="3" t="s">
        <v>62</v>
      </c>
      <c r="J4693" s="3" t="s">
        <v>62</v>
      </c>
      <c r="K4693" s="3" t="s">
        <v>63</v>
      </c>
      <c r="L4693" s="2" t="s">
        <v>45367</v>
      </c>
      <c r="M4693" s="2" t="s">
        <v>26818</v>
      </c>
      <c r="N4693" s="3" t="s">
        <v>438</v>
      </c>
      <c r="P4693" s="3" t="s">
        <v>64</v>
      </c>
      <c r="R4693" s="3" t="s">
        <v>42369</v>
      </c>
      <c r="S4693" s="4">
        <v>23</v>
      </c>
      <c r="T4693" s="4">
        <v>23</v>
      </c>
      <c r="U4693" s="5" t="s">
        <v>7341</v>
      </c>
      <c r="V4693" s="5" t="s">
        <v>7341</v>
      </c>
      <c r="W4693" s="5" t="s">
        <v>67</v>
      </c>
      <c r="X4693" s="5" t="s">
        <v>67</v>
      </c>
      <c r="Y4693" s="4">
        <v>708</v>
      </c>
      <c r="Z4693" s="4">
        <v>40</v>
      </c>
      <c r="AA4693" s="4">
        <v>40</v>
      </c>
      <c r="AB4693" s="4">
        <v>2</v>
      </c>
      <c r="AC4693" s="4">
        <v>2</v>
      </c>
      <c r="AD4693" s="4">
        <v>111</v>
      </c>
      <c r="AE4693" s="4">
        <v>111</v>
      </c>
      <c r="AF4693" s="4">
        <v>1</v>
      </c>
      <c r="AG4693" s="4">
        <v>1</v>
      </c>
      <c r="AH4693" s="4">
        <v>93</v>
      </c>
      <c r="AI4693" s="4">
        <v>93</v>
      </c>
      <c r="AJ4693" s="4">
        <v>18</v>
      </c>
      <c r="AK4693" s="4">
        <v>18</v>
      </c>
      <c r="AL4693" s="4">
        <v>52</v>
      </c>
      <c r="AM4693" s="4">
        <v>52</v>
      </c>
      <c r="AN4693" s="4">
        <v>0</v>
      </c>
      <c r="AO4693" s="4">
        <v>0</v>
      </c>
      <c r="AP4693" s="4">
        <v>25</v>
      </c>
      <c r="AQ4693" s="4">
        <v>25</v>
      </c>
      <c r="AR4693" s="3" t="s">
        <v>62</v>
      </c>
      <c r="AS4693" s="3" t="s">
        <v>62</v>
      </c>
      <c r="AT4693" s="3" t="s">
        <v>62</v>
      </c>
      <c r="AV4693" s="6" t="str">
        <f>HYPERLINK("http://mcgill.on.worldcat.org/oclc/19511610","Catalog Record")</f>
        <v>Catalog Record</v>
      </c>
      <c r="AW4693" s="6" t="str">
        <f>HYPERLINK("http://www.worldcat.org/oclc/19511610","WorldCat Record")</f>
        <v>WorldCat Record</v>
      </c>
      <c r="AX4693" s="3" t="s">
        <v>45368</v>
      </c>
      <c r="AY4693" s="3" t="s">
        <v>45369</v>
      </c>
      <c r="AZ4693" s="3" t="s">
        <v>45370</v>
      </c>
      <c r="BA4693" s="3" t="s">
        <v>45370</v>
      </c>
      <c r="BB4693" s="3" t="s">
        <v>45371</v>
      </c>
      <c r="BC4693" s="3" t="s">
        <v>102</v>
      </c>
      <c r="BD4693" s="3" t="s">
        <v>68</v>
      </c>
      <c r="BE4693" s="3" t="s">
        <v>45372</v>
      </c>
      <c r="BF4693" s="3" t="s">
        <v>45371</v>
      </c>
      <c r="BG4693" s="3" t="s">
        <v>45373</v>
      </c>
    </row>
    <row r="4694" spans="1:59" ht="58" x14ac:dyDescent="0.35">
      <c r="A4694" s="2" t="s">
        <v>59</v>
      </c>
      <c r="B4694" s="2" t="s">
        <v>60</v>
      </c>
      <c r="C4694" s="2" t="s">
        <v>45374</v>
      </c>
      <c r="D4694" s="2" t="s">
        <v>45375</v>
      </c>
      <c r="E4694" s="2" t="s">
        <v>45376</v>
      </c>
      <c r="G4694" s="3" t="s">
        <v>62</v>
      </c>
      <c r="I4694" s="3" t="s">
        <v>62</v>
      </c>
      <c r="J4694" s="3" t="s">
        <v>62</v>
      </c>
      <c r="K4694" s="3" t="s">
        <v>63</v>
      </c>
      <c r="L4694" s="2" t="s">
        <v>45377</v>
      </c>
      <c r="M4694" s="2" t="s">
        <v>45378</v>
      </c>
      <c r="N4694" s="3" t="s">
        <v>1662</v>
      </c>
      <c r="P4694" s="3" t="s">
        <v>64</v>
      </c>
      <c r="R4694" s="3" t="s">
        <v>42369</v>
      </c>
      <c r="S4694" s="4">
        <v>9</v>
      </c>
      <c r="T4694" s="4">
        <v>9</v>
      </c>
      <c r="U4694" s="5" t="s">
        <v>31501</v>
      </c>
      <c r="V4694" s="5" t="s">
        <v>31501</v>
      </c>
      <c r="W4694" s="5" t="s">
        <v>67</v>
      </c>
      <c r="X4694" s="5" t="s">
        <v>67</v>
      </c>
      <c r="Y4694" s="4">
        <v>550</v>
      </c>
      <c r="Z4694" s="4">
        <v>30</v>
      </c>
      <c r="AA4694" s="4">
        <v>36</v>
      </c>
      <c r="AB4694" s="4">
        <v>2</v>
      </c>
      <c r="AC4694" s="4">
        <v>7</v>
      </c>
      <c r="AD4694" s="4">
        <v>107</v>
      </c>
      <c r="AE4694" s="4">
        <v>111</v>
      </c>
      <c r="AF4694" s="4">
        <v>1</v>
      </c>
      <c r="AG4694" s="4">
        <v>4</v>
      </c>
      <c r="AH4694" s="4">
        <v>89</v>
      </c>
      <c r="AI4694" s="4">
        <v>89</v>
      </c>
      <c r="AJ4694" s="4">
        <v>18</v>
      </c>
      <c r="AK4694" s="4">
        <v>21</v>
      </c>
      <c r="AL4694" s="4">
        <v>49</v>
      </c>
      <c r="AM4694" s="4">
        <v>49</v>
      </c>
      <c r="AN4694" s="4">
        <v>0</v>
      </c>
      <c r="AO4694" s="4">
        <v>0</v>
      </c>
      <c r="AP4694" s="4">
        <v>24</v>
      </c>
      <c r="AQ4694" s="4">
        <v>27</v>
      </c>
      <c r="AR4694" s="3" t="s">
        <v>62</v>
      </c>
      <c r="AS4694" s="3" t="s">
        <v>62</v>
      </c>
      <c r="AT4694" s="3" t="s">
        <v>61</v>
      </c>
      <c r="AU4694" s="6" t="str">
        <f>HYPERLINK("http://catalog.hathitrust.org/Record/001502774","HathiTrust Record")</f>
        <v>HathiTrust Record</v>
      </c>
      <c r="AV4694" s="6" t="str">
        <f>HYPERLINK("http://mcgill.on.worldcat.org/oclc/182952","Catalog Record")</f>
        <v>Catalog Record</v>
      </c>
      <c r="AW4694" s="6" t="str">
        <f>HYPERLINK("http://www.worldcat.org/oclc/182952","WorldCat Record")</f>
        <v>WorldCat Record</v>
      </c>
      <c r="AX4694" s="3" t="s">
        <v>45379</v>
      </c>
      <c r="AY4694" s="3" t="s">
        <v>45380</v>
      </c>
      <c r="AZ4694" s="3" t="s">
        <v>45381</v>
      </c>
      <c r="BA4694" s="3" t="s">
        <v>45381</v>
      </c>
      <c r="BB4694" s="3" t="s">
        <v>45382</v>
      </c>
      <c r="BC4694" s="3" t="s">
        <v>102</v>
      </c>
      <c r="BD4694" s="3" t="s">
        <v>68</v>
      </c>
      <c r="BF4694" s="3" t="s">
        <v>45382</v>
      </c>
      <c r="BG4694" s="3" t="s">
        <v>45383</v>
      </c>
    </row>
    <row r="4695" spans="1:59" ht="72.5" x14ac:dyDescent="0.35">
      <c r="A4695" s="2" t="s">
        <v>89</v>
      </c>
      <c r="B4695" s="2" t="s">
        <v>90</v>
      </c>
      <c r="C4695" s="2" t="s">
        <v>45384</v>
      </c>
      <c r="D4695" s="2" t="s">
        <v>45385</v>
      </c>
      <c r="E4695" s="2" t="s">
        <v>45386</v>
      </c>
      <c r="G4695" s="3" t="s">
        <v>62</v>
      </c>
      <c r="I4695" s="3" t="s">
        <v>62</v>
      </c>
      <c r="J4695" s="3" t="s">
        <v>62</v>
      </c>
      <c r="K4695" s="3" t="s">
        <v>63</v>
      </c>
      <c r="L4695" s="2" t="s">
        <v>45387</v>
      </c>
      <c r="M4695" s="2" t="s">
        <v>45388</v>
      </c>
      <c r="N4695" s="3" t="s">
        <v>726</v>
      </c>
      <c r="P4695" s="3" t="s">
        <v>64</v>
      </c>
      <c r="Q4695" s="2" t="s">
        <v>45389</v>
      </c>
      <c r="R4695" s="3" t="s">
        <v>42369</v>
      </c>
      <c r="S4695" s="4">
        <v>0</v>
      </c>
      <c r="T4695" s="4">
        <v>0</v>
      </c>
      <c r="W4695" s="5" t="s">
        <v>67</v>
      </c>
      <c r="X4695" s="5" t="s">
        <v>67</v>
      </c>
      <c r="Y4695" s="4">
        <v>36</v>
      </c>
      <c r="Z4695" s="4">
        <v>6</v>
      </c>
      <c r="AA4695" s="4">
        <v>6</v>
      </c>
      <c r="AB4695" s="4">
        <v>1</v>
      </c>
      <c r="AC4695" s="4">
        <v>1</v>
      </c>
      <c r="AD4695" s="4">
        <v>19</v>
      </c>
      <c r="AE4695" s="4">
        <v>19</v>
      </c>
      <c r="AF4695" s="4">
        <v>0</v>
      </c>
      <c r="AG4695" s="4">
        <v>0</v>
      </c>
      <c r="AH4695" s="4">
        <v>18</v>
      </c>
      <c r="AI4695" s="4">
        <v>18</v>
      </c>
      <c r="AJ4695" s="4">
        <v>4</v>
      </c>
      <c r="AK4695" s="4">
        <v>4</v>
      </c>
      <c r="AL4695" s="4">
        <v>11</v>
      </c>
      <c r="AM4695" s="4">
        <v>11</v>
      </c>
      <c r="AN4695" s="4">
        <v>0</v>
      </c>
      <c r="AO4695" s="4">
        <v>0</v>
      </c>
      <c r="AP4695" s="4">
        <v>4</v>
      </c>
      <c r="AQ4695" s="4">
        <v>4</v>
      </c>
      <c r="AR4695" s="3" t="s">
        <v>62</v>
      </c>
      <c r="AS4695" s="3" t="s">
        <v>62</v>
      </c>
      <c r="AT4695" s="3" t="s">
        <v>62</v>
      </c>
      <c r="AV4695" s="6" t="str">
        <f>HYPERLINK("http://mcgill.on.worldcat.org/oclc/979568273","Catalog Record")</f>
        <v>Catalog Record</v>
      </c>
      <c r="AW4695" s="6" t="str">
        <f>HYPERLINK("http://www.worldcat.org/oclc/979568273","WorldCat Record")</f>
        <v>WorldCat Record</v>
      </c>
      <c r="AX4695" s="3" t="s">
        <v>45390</v>
      </c>
      <c r="AY4695" s="3" t="s">
        <v>45391</v>
      </c>
      <c r="AZ4695" s="3" t="s">
        <v>45392</v>
      </c>
      <c r="BA4695" s="3" t="s">
        <v>45392</v>
      </c>
      <c r="BB4695" s="3" t="s">
        <v>45393</v>
      </c>
      <c r="BC4695" s="3" t="s">
        <v>102</v>
      </c>
      <c r="BD4695" s="3" t="s">
        <v>68</v>
      </c>
      <c r="BE4695" s="3" t="s">
        <v>45394</v>
      </c>
      <c r="BF4695" s="3" t="s">
        <v>45393</v>
      </c>
      <c r="BG4695" s="3" t="s">
        <v>45395</v>
      </c>
    </row>
    <row r="4696" spans="1:59" ht="58" x14ac:dyDescent="0.35">
      <c r="A4696" s="2" t="s">
        <v>59</v>
      </c>
      <c r="B4696" s="2" t="s">
        <v>60</v>
      </c>
      <c r="C4696" s="2" t="s">
        <v>45396</v>
      </c>
      <c r="D4696" s="2" t="s">
        <v>45397</v>
      </c>
      <c r="E4696" s="2" t="s">
        <v>45398</v>
      </c>
      <c r="G4696" s="3" t="s">
        <v>62</v>
      </c>
      <c r="I4696" s="3" t="s">
        <v>62</v>
      </c>
      <c r="J4696" s="3" t="s">
        <v>62</v>
      </c>
      <c r="K4696" s="3" t="s">
        <v>63</v>
      </c>
      <c r="L4696" s="2" t="s">
        <v>45399</v>
      </c>
      <c r="M4696" s="2" t="s">
        <v>45400</v>
      </c>
      <c r="N4696" s="3" t="s">
        <v>2110</v>
      </c>
      <c r="P4696" s="3" t="s">
        <v>64</v>
      </c>
      <c r="R4696" s="3" t="s">
        <v>42369</v>
      </c>
      <c r="S4696" s="4">
        <v>4</v>
      </c>
      <c r="T4696" s="4">
        <v>4</v>
      </c>
      <c r="U4696" s="5" t="s">
        <v>31501</v>
      </c>
      <c r="V4696" s="5" t="s">
        <v>31501</v>
      </c>
      <c r="W4696" s="5" t="s">
        <v>67</v>
      </c>
      <c r="X4696" s="5" t="s">
        <v>67</v>
      </c>
      <c r="Y4696" s="4">
        <v>3</v>
      </c>
      <c r="Z4696" s="4">
        <v>2</v>
      </c>
      <c r="AA4696" s="4">
        <v>16</v>
      </c>
      <c r="AB4696" s="4">
        <v>1</v>
      </c>
      <c r="AC4696" s="4">
        <v>3</v>
      </c>
      <c r="AD4696" s="4">
        <v>1</v>
      </c>
      <c r="AE4696" s="4">
        <v>11</v>
      </c>
      <c r="AF4696" s="4">
        <v>0</v>
      </c>
      <c r="AG4696" s="4">
        <v>1</v>
      </c>
      <c r="AH4696" s="4">
        <v>1</v>
      </c>
      <c r="AI4696" s="4">
        <v>6</v>
      </c>
      <c r="AJ4696" s="4">
        <v>1</v>
      </c>
      <c r="AK4696" s="4">
        <v>8</v>
      </c>
      <c r="AL4696" s="4">
        <v>0</v>
      </c>
      <c r="AM4696" s="4">
        <v>1</v>
      </c>
      <c r="AN4696" s="4">
        <v>0</v>
      </c>
      <c r="AO4696" s="4">
        <v>0</v>
      </c>
      <c r="AP4696" s="4">
        <v>1</v>
      </c>
      <c r="AQ4696" s="4">
        <v>10</v>
      </c>
      <c r="AR4696" s="3" t="s">
        <v>61</v>
      </c>
      <c r="AS4696" s="3" t="s">
        <v>62</v>
      </c>
      <c r="AT4696" s="3" t="s">
        <v>62</v>
      </c>
      <c r="AV4696" s="6" t="str">
        <f>HYPERLINK("http://mcgill.on.worldcat.org/oclc/427973088","Catalog Record")</f>
        <v>Catalog Record</v>
      </c>
      <c r="AW4696" s="6" t="str">
        <f>HYPERLINK("http://www.worldcat.org/oclc/427973088","WorldCat Record")</f>
        <v>WorldCat Record</v>
      </c>
      <c r="AX4696" s="3" t="s">
        <v>45401</v>
      </c>
      <c r="AY4696" s="3" t="s">
        <v>45402</v>
      </c>
      <c r="AZ4696" s="3" t="s">
        <v>45403</v>
      </c>
      <c r="BA4696" s="3" t="s">
        <v>45403</v>
      </c>
      <c r="BB4696" s="3" t="s">
        <v>45404</v>
      </c>
      <c r="BC4696" s="3" t="s">
        <v>102</v>
      </c>
      <c r="BD4696" s="3" t="s">
        <v>68</v>
      </c>
      <c r="BF4696" s="3" t="s">
        <v>45404</v>
      </c>
      <c r="BG4696" s="3" t="s">
        <v>45405</v>
      </c>
    </row>
    <row r="4697" spans="1:59" ht="72.5" x14ac:dyDescent="0.35">
      <c r="A4697" s="2" t="s">
        <v>59</v>
      </c>
      <c r="B4697" s="2" t="s">
        <v>60</v>
      </c>
      <c r="C4697" s="2" t="s">
        <v>45406</v>
      </c>
      <c r="D4697" s="2" t="s">
        <v>45407</v>
      </c>
      <c r="E4697" s="2" t="s">
        <v>45408</v>
      </c>
      <c r="G4697" s="3" t="s">
        <v>62</v>
      </c>
      <c r="I4697" s="3" t="s">
        <v>62</v>
      </c>
      <c r="J4697" s="3" t="s">
        <v>62</v>
      </c>
      <c r="K4697" s="3" t="s">
        <v>63</v>
      </c>
      <c r="L4697" s="2" t="s">
        <v>45409</v>
      </c>
      <c r="M4697" s="2" t="s">
        <v>45400</v>
      </c>
      <c r="N4697" s="3" t="s">
        <v>2110</v>
      </c>
      <c r="P4697" s="3" t="s">
        <v>64</v>
      </c>
      <c r="R4697" s="3" t="s">
        <v>42369</v>
      </c>
      <c r="S4697" s="4">
        <v>3</v>
      </c>
      <c r="T4697" s="4">
        <v>3</v>
      </c>
      <c r="U4697" s="5" t="s">
        <v>31501</v>
      </c>
      <c r="V4697" s="5" t="s">
        <v>31501</v>
      </c>
      <c r="W4697" s="5" t="s">
        <v>67</v>
      </c>
      <c r="X4697" s="5" t="s">
        <v>67</v>
      </c>
      <c r="Y4697" s="4">
        <v>2</v>
      </c>
      <c r="Z4697" s="4">
        <v>2</v>
      </c>
      <c r="AA4697" s="4">
        <v>10</v>
      </c>
      <c r="AB4697" s="4">
        <v>1</v>
      </c>
      <c r="AC4697" s="4">
        <v>1</v>
      </c>
      <c r="AD4697" s="4">
        <v>1</v>
      </c>
      <c r="AE4697" s="4">
        <v>8</v>
      </c>
      <c r="AF4697" s="4">
        <v>0</v>
      </c>
      <c r="AG4697" s="4">
        <v>0</v>
      </c>
      <c r="AH4697" s="4">
        <v>1</v>
      </c>
      <c r="AI4697" s="4">
        <v>4</v>
      </c>
      <c r="AJ4697" s="4">
        <v>1</v>
      </c>
      <c r="AK4697" s="4">
        <v>5</v>
      </c>
      <c r="AL4697" s="4">
        <v>0</v>
      </c>
      <c r="AM4697" s="4">
        <v>0</v>
      </c>
      <c r="AN4697" s="4">
        <v>0</v>
      </c>
      <c r="AO4697" s="4">
        <v>0</v>
      </c>
      <c r="AP4697" s="4">
        <v>1</v>
      </c>
      <c r="AQ4697" s="4">
        <v>7</v>
      </c>
      <c r="AR4697" s="3" t="s">
        <v>61</v>
      </c>
      <c r="AS4697" s="3" t="s">
        <v>62</v>
      </c>
      <c r="AT4697" s="3" t="s">
        <v>62</v>
      </c>
      <c r="AV4697" s="6" t="str">
        <f>HYPERLINK("http://mcgill.on.worldcat.org/oclc/427973082","Catalog Record")</f>
        <v>Catalog Record</v>
      </c>
      <c r="AW4697" s="6" t="str">
        <f>HYPERLINK("http://www.worldcat.org/oclc/427973082","WorldCat Record")</f>
        <v>WorldCat Record</v>
      </c>
      <c r="AX4697" s="3" t="s">
        <v>45410</v>
      </c>
      <c r="AY4697" s="3" t="s">
        <v>45411</v>
      </c>
      <c r="AZ4697" s="3" t="s">
        <v>45412</v>
      </c>
      <c r="BA4697" s="3" t="s">
        <v>45412</v>
      </c>
      <c r="BB4697" s="3" t="s">
        <v>45413</v>
      </c>
      <c r="BC4697" s="3" t="s">
        <v>102</v>
      </c>
      <c r="BD4697" s="3" t="s">
        <v>68</v>
      </c>
      <c r="BF4697" s="3" t="s">
        <v>45413</v>
      </c>
      <c r="BG4697" s="3" t="s">
        <v>45414</v>
      </c>
    </row>
    <row r="4698" spans="1:59" ht="58" x14ac:dyDescent="0.35">
      <c r="A4698" s="2" t="s">
        <v>59</v>
      </c>
      <c r="B4698" s="2" t="s">
        <v>60</v>
      </c>
      <c r="C4698" s="2" t="s">
        <v>45415</v>
      </c>
      <c r="D4698" s="2" t="s">
        <v>45416</v>
      </c>
      <c r="E4698" s="2" t="s">
        <v>45417</v>
      </c>
      <c r="G4698" s="3" t="s">
        <v>62</v>
      </c>
      <c r="I4698" s="3" t="s">
        <v>62</v>
      </c>
      <c r="J4698" s="3" t="s">
        <v>62</v>
      </c>
      <c r="K4698" s="3" t="s">
        <v>63</v>
      </c>
      <c r="L4698" s="2" t="s">
        <v>45418</v>
      </c>
      <c r="M4698" s="2" t="s">
        <v>45419</v>
      </c>
      <c r="N4698" s="3" t="s">
        <v>327</v>
      </c>
      <c r="P4698" s="3" t="s">
        <v>64</v>
      </c>
      <c r="R4698" s="3" t="s">
        <v>42369</v>
      </c>
      <c r="S4698" s="4">
        <v>1</v>
      </c>
      <c r="T4698" s="4">
        <v>1</v>
      </c>
      <c r="U4698" s="5" t="s">
        <v>31501</v>
      </c>
      <c r="V4698" s="5" t="s">
        <v>31501</v>
      </c>
      <c r="W4698" s="5" t="s">
        <v>67</v>
      </c>
      <c r="X4698" s="5" t="s">
        <v>67</v>
      </c>
      <c r="Y4698" s="4">
        <v>3</v>
      </c>
      <c r="Z4698" s="4">
        <v>3</v>
      </c>
      <c r="AA4698" s="4">
        <v>3</v>
      </c>
      <c r="AB4698" s="4">
        <v>1</v>
      </c>
      <c r="AC4698" s="4">
        <v>1</v>
      </c>
      <c r="AD4698" s="4">
        <v>2</v>
      </c>
      <c r="AE4698" s="4">
        <v>2</v>
      </c>
      <c r="AF4698" s="4">
        <v>0</v>
      </c>
      <c r="AG4698" s="4">
        <v>0</v>
      </c>
      <c r="AH4698" s="4">
        <v>1</v>
      </c>
      <c r="AI4698" s="4">
        <v>1</v>
      </c>
      <c r="AJ4698" s="4">
        <v>2</v>
      </c>
      <c r="AK4698" s="4">
        <v>2</v>
      </c>
      <c r="AL4698" s="4">
        <v>0</v>
      </c>
      <c r="AM4698" s="4">
        <v>0</v>
      </c>
      <c r="AN4698" s="4">
        <v>0</v>
      </c>
      <c r="AO4698" s="4">
        <v>0</v>
      </c>
      <c r="AP4698" s="4">
        <v>2</v>
      </c>
      <c r="AQ4698" s="4">
        <v>2</v>
      </c>
      <c r="AR4698" s="3" t="s">
        <v>61</v>
      </c>
      <c r="AS4698" s="3" t="s">
        <v>62</v>
      </c>
      <c r="AT4698" s="3" t="s">
        <v>62</v>
      </c>
      <c r="AV4698" s="6" t="str">
        <f>HYPERLINK("http://mcgill.on.worldcat.org/oclc/879889530","Catalog Record")</f>
        <v>Catalog Record</v>
      </c>
      <c r="AW4698" s="6" t="str">
        <f>HYPERLINK("http://www.worldcat.org/oclc/879889530","WorldCat Record")</f>
        <v>WorldCat Record</v>
      </c>
      <c r="AX4698" s="3" t="s">
        <v>45420</v>
      </c>
      <c r="AY4698" s="3" t="s">
        <v>45421</v>
      </c>
      <c r="AZ4698" s="3" t="s">
        <v>45422</v>
      </c>
      <c r="BA4698" s="3" t="s">
        <v>45422</v>
      </c>
      <c r="BB4698" s="3" t="s">
        <v>45423</v>
      </c>
      <c r="BC4698" s="3" t="s">
        <v>102</v>
      </c>
      <c r="BD4698" s="3" t="s">
        <v>68</v>
      </c>
      <c r="BF4698" s="3" t="s">
        <v>45423</v>
      </c>
      <c r="BG4698" s="3" t="s">
        <v>45424</v>
      </c>
    </row>
    <row r="4699" spans="1:59" ht="58" x14ac:dyDescent="0.35">
      <c r="A4699" s="2" t="s">
        <v>59</v>
      </c>
      <c r="B4699" s="2" t="s">
        <v>60</v>
      </c>
      <c r="C4699" s="2" t="s">
        <v>45425</v>
      </c>
      <c r="D4699" s="2" t="s">
        <v>45426</v>
      </c>
      <c r="E4699" s="2" t="s">
        <v>45427</v>
      </c>
      <c r="G4699" s="3" t="s">
        <v>62</v>
      </c>
      <c r="I4699" s="3" t="s">
        <v>62</v>
      </c>
      <c r="J4699" s="3" t="s">
        <v>62</v>
      </c>
      <c r="K4699" s="3" t="s">
        <v>63</v>
      </c>
      <c r="L4699" s="2" t="s">
        <v>45428</v>
      </c>
      <c r="M4699" s="2" t="s">
        <v>45429</v>
      </c>
      <c r="N4699" s="3" t="s">
        <v>95</v>
      </c>
      <c r="P4699" s="3" t="s">
        <v>64</v>
      </c>
      <c r="Q4699" s="2" t="s">
        <v>45430</v>
      </c>
      <c r="R4699" s="3" t="s">
        <v>42369</v>
      </c>
      <c r="S4699" s="4">
        <v>9</v>
      </c>
      <c r="T4699" s="4">
        <v>9</v>
      </c>
      <c r="U4699" s="5" t="s">
        <v>31501</v>
      </c>
      <c r="V4699" s="5" t="s">
        <v>31501</v>
      </c>
      <c r="W4699" s="5" t="s">
        <v>67</v>
      </c>
      <c r="X4699" s="5" t="s">
        <v>67</v>
      </c>
      <c r="Y4699" s="4">
        <v>9</v>
      </c>
      <c r="Z4699" s="4">
        <v>7</v>
      </c>
      <c r="AA4699" s="4">
        <v>21</v>
      </c>
      <c r="AB4699" s="4">
        <v>1</v>
      </c>
      <c r="AC4699" s="4">
        <v>1</v>
      </c>
      <c r="AD4699" s="4">
        <v>4</v>
      </c>
      <c r="AE4699" s="4">
        <v>16</v>
      </c>
      <c r="AF4699" s="4">
        <v>0</v>
      </c>
      <c r="AG4699" s="4">
        <v>0</v>
      </c>
      <c r="AH4699" s="4">
        <v>1</v>
      </c>
      <c r="AI4699" s="4">
        <v>8</v>
      </c>
      <c r="AJ4699" s="4">
        <v>3</v>
      </c>
      <c r="AK4699" s="4">
        <v>14</v>
      </c>
      <c r="AL4699" s="4">
        <v>0</v>
      </c>
      <c r="AM4699" s="4">
        <v>1</v>
      </c>
      <c r="AN4699" s="4">
        <v>0</v>
      </c>
      <c r="AO4699" s="4">
        <v>0</v>
      </c>
      <c r="AP4699" s="4">
        <v>3</v>
      </c>
      <c r="AQ4699" s="4">
        <v>15</v>
      </c>
      <c r="AR4699" s="3" t="s">
        <v>61</v>
      </c>
      <c r="AS4699" s="3" t="s">
        <v>62</v>
      </c>
      <c r="AT4699" s="3" t="s">
        <v>62</v>
      </c>
      <c r="AV4699" s="6" t="str">
        <f>HYPERLINK("http://mcgill.on.worldcat.org/oclc/15943337","Catalog Record")</f>
        <v>Catalog Record</v>
      </c>
      <c r="AW4699" s="6" t="str">
        <f>HYPERLINK("http://www.worldcat.org/oclc/15943337","WorldCat Record")</f>
        <v>WorldCat Record</v>
      </c>
      <c r="AX4699" s="3" t="s">
        <v>45431</v>
      </c>
      <c r="AY4699" s="3" t="s">
        <v>45432</v>
      </c>
      <c r="AZ4699" s="3" t="s">
        <v>45433</v>
      </c>
      <c r="BA4699" s="3" t="s">
        <v>45433</v>
      </c>
      <c r="BB4699" s="3" t="s">
        <v>45434</v>
      </c>
      <c r="BC4699" s="3" t="s">
        <v>102</v>
      </c>
      <c r="BD4699" s="3" t="s">
        <v>68</v>
      </c>
      <c r="BF4699" s="3" t="s">
        <v>45434</v>
      </c>
      <c r="BG4699" s="3" t="s">
        <v>45435</v>
      </c>
    </row>
    <row r="4700" spans="1:59" ht="58" x14ac:dyDescent="0.35">
      <c r="A4700" s="2" t="s">
        <v>59</v>
      </c>
      <c r="B4700" s="2" t="s">
        <v>60</v>
      </c>
      <c r="C4700" s="2" t="s">
        <v>45436</v>
      </c>
      <c r="D4700" s="2" t="s">
        <v>45437</v>
      </c>
      <c r="E4700" s="2" t="s">
        <v>45438</v>
      </c>
      <c r="G4700" s="3" t="s">
        <v>62</v>
      </c>
      <c r="I4700" s="3" t="s">
        <v>62</v>
      </c>
      <c r="J4700" s="3" t="s">
        <v>62</v>
      </c>
      <c r="K4700" s="3" t="s">
        <v>63</v>
      </c>
      <c r="L4700" s="2" t="s">
        <v>45439</v>
      </c>
      <c r="M4700" s="2" t="s">
        <v>45440</v>
      </c>
      <c r="N4700" s="3" t="s">
        <v>95</v>
      </c>
      <c r="P4700" s="3" t="s">
        <v>64</v>
      </c>
      <c r="R4700" s="3" t="s">
        <v>42369</v>
      </c>
      <c r="S4700" s="4">
        <v>6</v>
      </c>
      <c r="T4700" s="4">
        <v>6</v>
      </c>
      <c r="U4700" s="5" t="s">
        <v>31501</v>
      </c>
      <c r="V4700" s="5" t="s">
        <v>31501</v>
      </c>
      <c r="W4700" s="5" t="s">
        <v>67</v>
      </c>
      <c r="X4700" s="5" t="s">
        <v>67</v>
      </c>
      <c r="Y4700" s="4">
        <v>3</v>
      </c>
      <c r="Z4700" s="4">
        <v>3</v>
      </c>
      <c r="AA4700" s="4">
        <v>7</v>
      </c>
      <c r="AB4700" s="4">
        <v>1</v>
      </c>
      <c r="AC4700" s="4">
        <v>2</v>
      </c>
      <c r="AD4700" s="4">
        <v>2</v>
      </c>
      <c r="AE4700" s="4">
        <v>5</v>
      </c>
      <c r="AF4700" s="4">
        <v>0</v>
      </c>
      <c r="AG4700" s="4">
        <v>1</v>
      </c>
      <c r="AH4700" s="4">
        <v>2</v>
      </c>
      <c r="AI4700" s="4">
        <v>3</v>
      </c>
      <c r="AJ4700" s="4">
        <v>2</v>
      </c>
      <c r="AK4700" s="4">
        <v>5</v>
      </c>
      <c r="AL4700" s="4">
        <v>0</v>
      </c>
      <c r="AM4700" s="4">
        <v>0</v>
      </c>
      <c r="AN4700" s="4">
        <v>0</v>
      </c>
      <c r="AO4700" s="4">
        <v>0</v>
      </c>
      <c r="AP4700" s="4">
        <v>2</v>
      </c>
      <c r="AQ4700" s="4">
        <v>4</v>
      </c>
      <c r="AR4700" s="3" t="s">
        <v>61</v>
      </c>
      <c r="AS4700" s="3" t="s">
        <v>62</v>
      </c>
      <c r="AT4700" s="3" t="s">
        <v>62</v>
      </c>
      <c r="AV4700" s="6" t="str">
        <f>HYPERLINK("http://mcgill.on.worldcat.org/oclc/61558264","Catalog Record")</f>
        <v>Catalog Record</v>
      </c>
      <c r="AW4700" s="6" t="str">
        <f>HYPERLINK("http://www.worldcat.org/oclc/61558264","WorldCat Record")</f>
        <v>WorldCat Record</v>
      </c>
      <c r="AX4700" s="3" t="s">
        <v>45441</v>
      </c>
      <c r="AY4700" s="3" t="s">
        <v>45442</v>
      </c>
      <c r="AZ4700" s="3" t="s">
        <v>45443</v>
      </c>
      <c r="BA4700" s="3" t="s">
        <v>45443</v>
      </c>
      <c r="BB4700" s="3" t="s">
        <v>45444</v>
      </c>
      <c r="BC4700" s="3" t="s">
        <v>102</v>
      </c>
      <c r="BD4700" s="3" t="s">
        <v>68</v>
      </c>
      <c r="BF4700" s="3" t="s">
        <v>45444</v>
      </c>
      <c r="BG4700" s="3" t="s">
        <v>45445</v>
      </c>
    </row>
    <row r="4701" spans="1:59" ht="58" x14ac:dyDescent="0.35">
      <c r="A4701" s="2" t="s">
        <v>89</v>
      </c>
      <c r="B4701" s="2" t="s">
        <v>90</v>
      </c>
      <c r="C4701" s="2" t="s">
        <v>45446</v>
      </c>
      <c r="D4701" s="2" t="s">
        <v>45447</v>
      </c>
      <c r="E4701" s="2" t="s">
        <v>45448</v>
      </c>
      <c r="G4701" s="3" t="s">
        <v>62</v>
      </c>
      <c r="I4701" s="3" t="s">
        <v>61</v>
      </c>
      <c r="J4701" s="3" t="s">
        <v>62</v>
      </c>
      <c r="K4701" s="3" t="s">
        <v>63</v>
      </c>
      <c r="L4701" s="2" t="s">
        <v>45449</v>
      </c>
      <c r="M4701" s="2" t="s">
        <v>45450</v>
      </c>
      <c r="N4701" s="3" t="s">
        <v>2136</v>
      </c>
      <c r="P4701" s="3" t="s">
        <v>64</v>
      </c>
      <c r="R4701" s="3" t="s">
        <v>42369</v>
      </c>
      <c r="S4701" s="4">
        <v>8</v>
      </c>
      <c r="T4701" s="4">
        <v>9</v>
      </c>
      <c r="U4701" s="5" t="s">
        <v>45451</v>
      </c>
      <c r="V4701" s="5" t="s">
        <v>45451</v>
      </c>
      <c r="W4701" s="5" t="s">
        <v>67</v>
      </c>
      <c r="X4701" s="5" t="s">
        <v>67</v>
      </c>
      <c r="Y4701" s="4">
        <v>365</v>
      </c>
      <c r="Z4701" s="4">
        <v>31</v>
      </c>
      <c r="AA4701" s="4">
        <v>32</v>
      </c>
      <c r="AB4701" s="4">
        <v>2</v>
      </c>
      <c r="AC4701" s="4">
        <v>3</v>
      </c>
      <c r="AD4701" s="4">
        <v>114</v>
      </c>
      <c r="AE4701" s="4">
        <v>115</v>
      </c>
      <c r="AF4701" s="4">
        <v>1</v>
      </c>
      <c r="AG4701" s="4">
        <v>2</v>
      </c>
      <c r="AH4701" s="4">
        <v>97</v>
      </c>
      <c r="AI4701" s="4">
        <v>98</v>
      </c>
      <c r="AJ4701" s="4">
        <v>17</v>
      </c>
      <c r="AK4701" s="4">
        <v>18</v>
      </c>
      <c r="AL4701" s="4">
        <v>51</v>
      </c>
      <c r="AM4701" s="4">
        <v>51</v>
      </c>
      <c r="AN4701" s="4">
        <v>0</v>
      </c>
      <c r="AO4701" s="4">
        <v>0</v>
      </c>
      <c r="AP4701" s="4">
        <v>25</v>
      </c>
      <c r="AQ4701" s="4">
        <v>26</v>
      </c>
      <c r="AR4701" s="3" t="s">
        <v>62</v>
      </c>
      <c r="AS4701" s="3" t="s">
        <v>62</v>
      </c>
      <c r="AT4701" s="3" t="s">
        <v>62</v>
      </c>
      <c r="AV4701" s="6" t="str">
        <f>HYPERLINK("http://mcgill.on.worldcat.org/oclc/56481793","Catalog Record")</f>
        <v>Catalog Record</v>
      </c>
      <c r="AW4701" s="6" t="str">
        <f>HYPERLINK("http://www.worldcat.org/oclc/56481793","WorldCat Record")</f>
        <v>WorldCat Record</v>
      </c>
      <c r="AX4701" s="3" t="s">
        <v>45452</v>
      </c>
      <c r="AY4701" s="3" t="s">
        <v>45453</v>
      </c>
      <c r="AZ4701" s="3" t="s">
        <v>45454</v>
      </c>
      <c r="BA4701" s="3" t="s">
        <v>45454</v>
      </c>
      <c r="BB4701" s="3" t="s">
        <v>45455</v>
      </c>
      <c r="BC4701" s="3" t="s">
        <v>102</v>
      </c>
      <c r="BD4701" s="3" t="s">
        <v>68</v>
      </c>
      <c r="BE4701" s="3" t="s">
        <v>45456</v>
      </c>
      <c r="BF4701" s="3" t="s">
        <v>45455</v>
      </c>
      <c r="BG4701" s="3" t="s">
        <v>45457</v>
      </c>
    </row>
    <row r="4702" spans="1:59" ht="58" x14ac:dyDescent="0.35">
      <c r="A4702" s="2" t="s">
        <v>89</v>
      </c>
      <c r="B4702" s="2" t="s">
        <v>90</v>
      </c>
      <c r="C4702" s="2" t="s">
        <v>45458</v>
      </c>
      <c r="D4702" s="2" t="s">
        <v>45459</v>
      </c>
      <c r="E4702" s="2" t="s">
        <v>45460</v>
      </c>
      <c r="G4702" s="3" t="s">
        <v>62</v>
      </c>
      <c r="I4702" s="3" t="s">
        <v>61</v>
      </c>
      <c r="J4702" s="3" t="s">
        <v>62</v>
      </c>
      <c r="K4702" s="3" t="s">
        <v>63</v>
      </c>
      <c r="L4702" s="2" t="s">
        <v>37039</v>
      </c>
      <c r="M4702" s="2" t="s">
        <v>24880</v>
      </c>
      <c r="N4702" s="3" t="s">
        <v>115</v>
      </c>
      <c r="P4702" s="3" t="s">
        <v>64</v>
      </c>
      <c r="R4702" s="3" t="s">
        <v>42369</v>
      </c>
      <c r="S4702" s="4">
        <v>15</v>
      </c>
      <c r="T4702" s="4">
        <v>131</v>
      </c>
      <c r="U4702" s="5" t="s">
        <v>19315</v>
      </c>
      <c r="V4702" s="5" t="s">
        <v>19315</v>
      </c>
      <c r="W4702" s="5" t="s">
        <v>67</v>
      </c>
      <c r="X4702" s="5" t="s">
        <v>67</v>
      </c>
      <c r="Y4702" s="4">
        <v>1031</v>
      </c>
      <c r="Z4702" s="4">
        <v>74</v>
      </c>
      <c r="AA4702" s="4">
        <v>80</v>
      </c>
      <c r="AB4702" s="4">
        <v>4</v>
      </c>
      <c r="AC4702" s="4">
        <v>10</v>
      </c>
      <c r="AD4702" s="4">
        <v>153</v>
      </c>
      <c r="AE4702" s="4">
        <v>157</v>
      </c>
      <c r="AF4702" s="4">
        <v>2</v>
      </c>
      <c r="AG4702" s="4">
        <v>5</v>
      </c>
      <c r="AH4702" s="4">
        <v>112</v>
      </c>
      <c r="AI4702" s="4">
        <v>114</v>
      </c>
      <c r="AJ4702" s="4">
        <v>24</v>
      </c>
      <c r="AK4702" s="4">
        <v>27</v>
      </c>
      <c r="AL4702" s="4">
        <v>59</v>
      </c>
      <c r="AM4702" s="4">
        <v>59</v>
      </c>
      <c r="AN4702" s="4">
        <v>0</v>
      </c>
      <c r="AO4702" s="4">
        <v>0</v>
      </c>
      <c r="AP4702" s="4">
        <v>48</v>
      </c>
      <c r="AQ4702" s="4">
        <v>50</v>
      </c>
      <c r="AR4702" s="3" t="s">
        <v>62</v>
      </c>
      <c r="AS4702" s="3" t="s">
        <v>62</v>
      </c>
      <c r="AT4702" s="3" t="s">
        <v>61</v>
      </c>
      <c r="AU4702" s="6" t="str">
        <f>HYPERLINK("http://catalog.hathitrust.org/Record/001816369","HathiTrust Record")</f>
        <v>HathiTrust Record</v>
      </c>
      <c r="AV4702" s="6" t="str">
        <f>HYPERLINK("http://mcgill.on.worldcat.org/oclc/19672184","Catalog Record")</f>
        <v>Catalog Record</v>
      </c>
      <c r="AW4702" s="6" t="str">
        <f>HYPERLINK("http://www.worldcat.org/oclc/19672184","WorldCat Record")</f>
        <v>WorldCat Record</v>
      </c>
      <c r="AX4702" s="3" t="s">
        <v>45461</v>
      </c>
      <c r="AY4702" s="3" t="s">
        <v>45462</v>
      </c>
      <c r="AZ4702" s="3" t="s">
        <v>45463</v>
      </c>
      <c r="BA4702" s="3" t="s">
        <v>45463</v>
      </c>
      <c r="BB4702" s="3" t="s">
        <v>45464</v>
      </c>
      <c r="BC4702" s="3" t="s">
        <v>102</v>
      </c>
      <c r="BD4702" s="3" t="s">
        <v>68</v>
      </c>
      <c r="BE4702" s="3" t="s">
        <v>45465</v>
      </c>
      <c r="BF4702" s="3" t="s">
        <v>45464</v>
      </c>
      <c r="BG4702" s="3" t="s">
        <v>45466</v>
      </c>
    </row>
    <row r="4703" spans="1:59" ht="58" x14ac:dyDescent="0.35">
      <c r="A4703" s="2" t="s">
        <v>89</v>
      </c>
      <c r="B4703" s="2" t="s">
        <v>90</v>
      </c>
      <c r="C4703" s="2" t="s">
        <v>45458</v>
      </c>
      <c r="D4703" s="2" t="s">
        <v>45459</v>
      </c>
      <c r="E4703" s="2" t="s">
        <v>45460</v>
      </c>
      <c r="G4703" s="3" t="s">
        <v>62</v>
      </c>
      <c r="I4703" s="3" t="s">
        <v>61</v>
      </c>
      <c r="J4703" s="3" t="s">
        <v>62</v>
      </c>
      <c r="K4703" s="3" t="s">
        <v>63</v>
      </c>
      <c r="L4703" s="2" t="s">
        <v>37039</v>
      </c>
      <c r="M4703" s="2" t="s">
        <v>24880</v>
      </c>
      <c r="N4703" s="3" t="s">
        <v>115</v>
      </c>
      <c r="P4703" s="3" t="s">
        <v>64</v>
      </c>
      <c r="R4703" s="3" t="s">
        <v>42369</v>
      </c>
      <c r="S4703" s="4">
        <v>54</v>
      </c>
      <c r="T4703" s="4">
        <v>131</v>
      </c>
      <c r="U4703" s="5" t="s">
        <v>45467</v>
      </c>
      <c r="V4703" s="5" t="s">
        <v>19315</v>
      </c>
      <c r="W4703" s="5" t="s">
        <v>67</v>
      </c>
      <c r="X4703" s="5" t="s">
        <v>67</v>
      </c>
      <c r="Y4703" s="4">
        <v>1031</v>
      </c>
      <c r="Z4703" s="4">
        <v>74</v>
      </c>
      <c r="AA4703" s="4">
        <v>80</v>
      </c>
      <c r="AB4703" s="4">
        <v>4</v>
      </c>
      <c r="AC4703" s="4">
        <v>10</v>
      </c>
      <c r="AD4703" s="4">
        <v>153</v>
      </c>
      <c r="AE4703" s="4">
        <v>157</v>
      </c>
      <c r="AF4703" s="4">
        <v>2</v>
      </c>
      <c r="AG4703" s="4">
        <v>5</v>
      </c>
      <c r="AH4703" s="4">
        <v>112</v>
      </c>
      <c r="AI4703" s="4">
        <v>114</v>
      </c>
      <c r="AJ4703" s="4">
        <v>24</v>
      </c>
      <c r="AK4703" s="4">
        <v>27</v>
      </c>
      <c r="AL4703" s="4">
        <v>59</v>
      </c>
      <c r="AM4703" s="4">
        <v>59</v>
      </c>
      <c r="AN4703" s="4">
        <v>0</v>
      </c>
      <c r="AO4703" s="4">
        <v>0</v>
      </c>
      <c r="AP4703" s="4">
        <v>48</v>
      </c>
      <c r="AQ4703" s="4">
        <v>50</v>
      </c>
      <c r="AR4703" s="3" t="s">
        <v>62</v>
      </c>
      <c r="AS4703" s="3" t="s">
        <v>62</v>
      </c>
      <c r="AT4703" s="3" t="s">
        <v>61</v>
      </c>
      <c r="AU4703" s="6" t="str">
        <f>HYPERLINK("http://catalog.hathitrust.org/Record/001816369","HathiTrust Record")</f>
        <v>HathiTrust Record</v>
      </c>
      <c r="AV4703" s="6" t="str">
        <f>HYPERLINK("http://mcgill.on.worldcat.org/oclc/19672184","Catalog Record")</f>
        <v>Catalog Record</v>
      </c>
      <c r="AW4703" s="6" t="str">
        <f>HYPERLINK("http://www.worldcat.org/oclc/19672184","WorldCat Record")</f>
        <v>WorldCat Record</v>
      </c>
      <c r="AX4703" s="3" t="s">
        <v>45461</v>
      </c>
      <c r="AY4703" s="3" t="s">
        <v>45462</v>
      </c>
      <c r="AZ4703" s="3" t="s">
        <v>45463</v>
      </c>
      <c r="BA4703" s="3" t="s">
        <v>45463</v>
      </c>
      <c r="BB4703" s="3" t="s">
        <v>45468</v>
      </c>
      <c r="BC4703" s="3" t="s">
        <v>102</v>
      </c>
      <c r="BD4703" s="3" t="s">
        <v>68</v>
      </c>
      <c r="BE4703" s="3" t="s">
        <v>45465</v>
      </c>
      <c r="BF4703" s="3" t="s">
        <v>45468</v>
      </c>
      <c r="BG4703" s="3" t="s">
        <v>45469</v>
      </c>
    </row>
    <row r="4704" spans="1:59" ht="58" x14ac:dyDescent="0.35">
      <c r="A4704" s="2" t="s">
        <v>89</v>
      </c>
      <c r="B4704" s="2" t="s">
        <v>90</v>
      </c>
      <c r="C4704" s="2" t="s">
        <v>45458</v>
      </c>
      <c r="D4704" s="2" t="s">
        <v>45459</v>
      </c>
      <c r="E4704" s="2" t="s">
        <v>45460</v>
      </c>
      <c r="G4704" s="3" t="s">
        <v>62</v>
      </c>
      <c r="I4704" s="3" t="s">
        <v>61</v>
      </c>
      <c r="J4704" s="3" t="s">
        <v>62</v>
      </c>
      <c r="K4704" s="3" t="s">
        <v>63</v>
      </c>
      <c r="L4704" s="2" t="s">
        <v>37039</v>
      </c>
      <c r="M4704" s="2" t="s">
        <v>24880</v>
      </c>
      <c r="N4704" s="3" t="s">
        <v>115</v>
      </c>
      <c r="P4704" s="3" t="s">
        <v>64</v>
      </c>
      <c r="R4704" s="3" t="s">
        <v>42369</v>
      </c>
      <c r="S4704" s="4">
        <v>62</v>
      </c>
      <c r="T4704" s="4">
        <v>131</v>
      </c>
      <c r="U4704" s="5" t="s">
        <v>13420</v>
      </c>
      <c r="V4704" s="5" t="s">
        <v>19315</v>
      </c>
      <c r="W4704" s="5" t="s">
        <v>67</v>
      </c>
      <c r="X4704" s="5" t="s">
        <v>67</v>
      </c>
      <c r="Y4704" s="4">
        <v>1031</v>
      </c>
      <c r="Z4704" s="4">
        <v>74</v>
      </c>
      <c r="AA4704" s="4">
        <v>80</v>
      </c>
      <c r="AB4704" s="4">
        <v>4</v>
      </c>
      <c r="AC4704" s="4">
        <v>10</v>
      </c>
      <c r="AD4704" s="4">
        <v>153</v>
      </c>
      <c r="AE4704" s="4">
        <v>157</v>
      </c>
      <c r="AF4704" s="4">
        <v>2</v>
      </c>
      <c r="AG4704" s="4">
        <v>5</v>
      </c>
      <c r="AH4704" s="4">
        <v>112</v>
      </c>
      <c r="AI4704" s="4">
        <v>114</v>
      </c>
      <c r="AJ4704" s="4">
        <v>24</v>
      </c>
      <c r="AK4704" s="4">
        <v>27</v>
      </c>
      <c r="AL4704" s="4">
        <v>59</v>
      </c>
      <c r="AM4704" s="4">
        <v>59</v>
      </c>
      <c r="AN4704" s="4">
        <v>0</v>
      </c>
      <c r="AO4704" s="4">
        <v>0</v>
      </c>
      <c r="AP4704" s="4">
        <v>48</v>
      </c>
      <c r="AQ4704" s="4">
        <v>50</v>
      </c>
      <c r="AR4704" s="3" t="s">
        <v>62</v>
      </c>
      <c r="AS4704" s="3" t="s">
        <v>62</v>
      </c>
      <c r="AT4704" s="3" t="s">
        <v>61</v>
      </c>
      <c r="AU4704" s="6" t="str">
        <f>HYPERLINK("http://catalog.hathitrust.org/Record/001816369","HathiTrust Record")</f>
        <v>HathiTrust Record</v>
      </c>
      <c r="AV4704" s="6" t="str">
        <f>HYPERLINK("http://mcgill.on.worldcat.org/oclc/19672184","Catalog Record")</f>
        <v>Catalog Record</v>
      </c>
      <c r="AW4704" s="6" t="str">
        <f>HYPERLINK("http://www.worldcat.org/oclc/19672184","WorldCat Record")</f>
        <v>WorldCat Record</v>
      </c>
      <c r="AX4704" s="3" t="s">
        <v>45461</v>
      </c>
      <c r="AY4704" s="3" t="s">
        <v>45462</v>
      </c>
      <c r="AZ4704" s="3" t="s">
        <v>45463</v>
      </c>
      <c r="BA4704" s="3" t="s">
        <v>45463</v>
      </c>
      <c r="BB4704" s="3" t="s">
        <v>45470</v>
      </c>
      <c r="BC4704" s="3" t="s">
        <v>102</v>
      </c>
      <c r="BD4704" s="3" t="s">
        <v>68</v>
      </c>
      <c r="BE4704" s="3" t="s">
        <v>45465</v>
      </c>
      <c r="BF4704" s="3" t="s">
        <v>45470</v>
      </c>
      <c r="BG4704" s="3" t="s">
        <v>45471</v>
      </c>
    </row>
    <row r="4705" spans="1:59" ht="58" x14ac:dyDescent="0.35">
      <c r="A4705" s="2" t="s">
        <v>89</v>
      </c>
      <c r="B4705" s="2" t="s">
        <v>90</v>
      </c>
      <c r="C4705" s="2" t="s">
        <v>45472</v>
      </c>
      <c r="D4705" s="2" t="s">
        <v>45473</v>
      </c>
      <c r="E4705" s="2" t="s">
        <v>45474</v>
      </c>
      <c r="G4705" s="3" t="s">
        <v>62</v>
      </c>
      <c r="I4705" s="3" t="s">
        <v>62</v>
      </c>
      <c r="J4705" s="3" t="s">
        <v>61</v>
      </c>
      <c r="K4705" s="3" t="s">
        <v>63</v>
      </c>
      <c r="L4705" s="2" t="s">
        <v>45475</v>
      </c>
      <c r="M4705" s="2" t="s">
        <v>29940</v>
      </c>
      <c r="N4705" s="3" t="s">
        <v>684</v>
      </c>
      <c r="O4705" s="2" t="s">
        <v>10722</v>
      </c>
      <c r="P4705" s="3" t="s">
        <v>64</v>
      </c>
      <c r="R4705" s="3" t="s">
        <v>42369</v>
      </c>
      <c r="S4705" s="4">
        <v>42</v>
      </c>
      <c r="T4705" s="4">
        <v>42</v>
      </c>
      <c r="U4705" s="5" t="s">
        <v>21500</v>
      </c>
      <c r="V4705" s="5" t="s">
        <v>21500</v>
      </c>
      <c r="W4705" s="5" t="s">
        <v>67</v>
      </c>
      <c r="X4705" s="5" t="s">
        <v>67</v>
      </c>
      <c r="Y4705" s="4">
        <v>141</v>
      </c>
      <c r="Z4705" s="4">
        <v>13</v>
      </c>
      <c r="AA4705" s="4">
        <v>44</v>
      </c>
      <c r="AB4705" s="4">
        <v>1</v>
      </c>
      <c r="AC4705" s="4">
        <v>8</v>
      </c>
      <c r="AD4705" s="4">
        <v>59</v>
      </c>
      <c r="AE4705" s="4">
        <v>121</v>
      </c>
      <c r="AF4705" s="4">
        <v>0</v>
      </c>
      <c r="AG4705" s="4">
        <v>3</v>
      </c>
      <c r="AH4705" s="4">
        <v>53</v>
      </c>
      <c r="AI4705" s="4">
        <v>101</v>
      </c>
      <c r="AJ4705" s="4">
        <v>8</v>
      </c>
      <c r="AK4705" s="4">
        <v>21</v>
      </c>
      <c r="AL4705" s="4">
        <v>38</v>
      </c>
      <c r="AM4705" s="4">
        <v>53</v>
      </c>
      <c r="AN4705" s="4">
        <v>0</v>
      </c>
      <c r="AO4705" s="4">
        <v>0</v>
      </c>
      <c r="AP4705" s="4">
        <v>10</v>
      </c>
      <c r="AQ4705" s="4">
        <v>29</v>
      </c>
      <c r="AR4705" s="3" t="s">
        <v>62</v>
      </c>
      <c r="AS4705" s="3" t="s">
        <v>62</v>
      </c>
      <c r="AT4705" s="3" t="s">
        <v>62</v>
      </c>
      <c r="AV4705" s="6" t="str">
        <f>HYPERLINK("http://mcgill.on.worldcat.org/oclc/653121660","Catalog Record")</f>
        <v>Catalog Record</v>
      </c>
      <c r="AW4705" s="6" t="str">
        <f>HYPERLINK("http://www.worldcat.org/oclc/653121660","WorldCat Record")</f>
        <v>WorldCat Record</v>
      </c>
      <c r="AX4705" s="3" t="s">
        <v>45476</v>
      </c>
      <c r="AY4705" s="3" t="s">
        <v>45477</v>
      </c>
      <c r="AZ4705" s="3" t="s">
        <v>45478</v>
      </c>
      <c r="BA4705" s="3" t="s">
        <v>45478</v>
      </c>
      <c r="BB4705" s="3" t="s">
        <v>45479</v>
      </c>
      <c r="BC4705" s="3" t="s">
        <v>102</v>
      </c>
      <c r="BD4705" s="3" t="s">
        <v>68</v>
      </c>
      <c r="BE4705" s="3" t="s">
        <v>45480</v>
      </c>
      <c r="BF4705" s="3" t="s">
        <v>45479</v>
      </c>
      <c r="BG4705" s="3" t="s">
        <v>45481</v>
      </c>
    </row>
    <row r="4706" spans="1:59" ht="58" x14ac:dyDescent="0.35">
      <c r="A4706" s="2" t="s">
        <v>89</v>
      </c>
      <c r="B4706" s="2" t="s">
        <v>90</v>
      </c>
      <c r="C4706" s="2" t="s">
        <v>45482</v>
      </c>
      <c r="D4706" s="2" t="s">
        <v>45483</v>
      </c>
      <c r="E4706" s="2" t="s">
        <v>45484</v>
      </c>
      <c r="G4706" s="3" t="s">
        <v>62</v>
      </c>
      <c r="I4706" s="3" t="s">
        <v>62</v>
      </c>
      <c r="J4706" s="3" t="s">
        <v>62</v>
      </c>
      <c r="K4706" s="3" t="s">
        <v>63</v>
      </c>
      <c r="M4706" s="2" t="s">
        <v>38168</v>
      </c>
      <c r="N4706" s="3" t="s">
        <v>2975</v>
      </c>
      <c r="P4706" s="3" t="s">
        <v>64</v>
      </c>
      <c r="R4706" s="3" t="s">
        <v>42369</v>
      </c>
      <c r="S4706" s="4">
        <v>15</v>
      </c>
      <c r="T4706" s="4">
        <v>15</v>
      </c>
      <c r="U4706" s="5" t="s">
        <v>15229</v>
      </c>
      <c r="V4706" s="5" t="s">
        <v>15229</v>
      </c>
      <c r="W4706" s="5" t="s">
        <v>67</v>
      </c>
      <c r="X4706" s="5" t="s">
        <v>67</v>
      </c>
      <c r="Y4706" s="4">
        <v>834</v>
      </c>
      <c r="Z4706" s="4">
        <v>42</v>
      </c>
      <c r="AA4706" s="4">
        <v>44</v>
      </c>
      <c r="AB4706" s="4">
        <v>2</v>
      </c>
      <c r="AC4706" s="4">
        <v>3</v>
      </c>
      <c r="AD4706" s="4">
        <v>121</v>
      </c>
      <c r="AE4706" s="4">
        <v>123</v>
      </c>
      <c r="AF4706" s="4">
        <v>0</v>
      </c>
      <c r="AG4706" s="4">
        <v>1</v>
      </c>
      <c r="AH4706" s="4">
        <v>103</v>
      </c>
      <c r="AI4706" s="4">
        <v>104</v>
      </c>
      <c r="AJ4706" s="4">
        <v>16</v>
      </c>
      <c r="AK4706" s="4">
        <v>18</v>
      </c>
      <c r="AL4706" s="4">
        <v>53</v>
      </c>
      <c r="AM4706" s="4">
        <v>53</v>
      </c>
      <c r="AN4706" s="4">
        <v>0</v>
      </c>
      <c r="AO4706" s="4">
        <v>0</v>
      </c>
      <c r="AP4706" s="4">
        <v>26</v>
      </c>
      <c r="AQ4706" s="4">
        <v>27</v>
      </c>
      <c r="AR4706" s="3" t="s">
        <v>62</v>
      </c>
      <c r="AS4706" s="3" t="s">
        <v>62</v>
      </c>
      <c r="AT4706" s="3" t="s">
        <v>61</v>
      </c>
      <c r="AU4706" s="6" t="str">
        <f>HYPERLINK("http://catalog.hathitrust.org/Record/004185542","HathiTrust Record")</f>
        <v>HathiTrust Record</v>
      </c>
      <c r="AV4706" s="6" t="str">
        <f>HYPERLINK("http://mcgill.on.worldcat.org/oclc/45137660","Catalog Record")</f>
        <v>Catalog Record</v>
      </c>
      <c r="AW4706" s="6" t="str">
        <f>HYPERLINK("http://www.worldcat.org/oclc/45137660","WorldCat Record")</f>
        <v>WorldCat Record</v>
      </c>
      <c r="AX4706" s="3" t="s">
        <v>45485</v>
      </c>
      <c r="AY4706" s="3" t="s">
        <v>45486</v>
      </c>
      <c r="AZ4706" s="3" t="s">
        <v>45487</v>
      </c>
      <c r="BA4706" s="3" t="s">
        <v>45487</v>
      </c>
      <c r="BB4706" s="3" t="s">
        <v>45488</v>
      </c>
      <c r="BC4706" s="3" t="s">
        <v>102</v>
      </c>
      <c r="BD4706" s="3" t="s">
        <v>68</v>
      </c>
      <c r="BE4706" s="3" t="s">
        <v>45489</v>
      </c>
      <c r="BF4706" s="3" t="s">
        <v>45488</v>
      </c>
      <c r="BG4706" s="3" t="s">
        <v>45490</v>
      </c>
    </row>
    <row r="4707" spans="1:59" ht="58" x14ac:dyDescent="0.35">
      <c r="A4707" s="2" t="s">
        <v>89</v>
      </c>
      <c r="B4707" s="2" t="s">
        <v>6124</v>
      </c>
      <c r="C4707" s="2" t="s">
        <v>45491</v>
      </c>
      <c r="D4707" s="2" t="s">
        <v>45492</v>
      </c>
      <c r="E4707" s="2" t="s">
        <v>45493</v>
      </c>
      <c r="G4707" s="3" t="s">
        <v>62</v>
      </c>
      <c r="I4707" s="3" t="s">
        <v>62</v>
      </c>
      <c r="J4707" s="3" t="s">
        <v>62</v>
      </c>
      <c r="K4707" s="3" t="s">
        <v>63</v>
      </c>
      <c r="L4707" s="2" t="s">
        <v>45494</v>
      </c>
      <c r="M4707" s="2" t="s">
        <v>45495</v>
      </c>
      <c r="N4707" s="3" t="s">
        <v>596</v>
      </c>
      <c r="O4707" s="2" t="s">
        <v>30033</v>
      </c>
      <c r="P4707" s="3" t="s">
        <v>64</v>
      </c>
      <c r="R4707" s="3" t="s">
        <v>42369</v>
      </c>
      <c r="S4707" s="4">
        <v>23</v>
      </c>
      <c r="T4707" s="4">
        <v>23</v>
      </c>
      <c r="U4707" s="5" t="s">
        <v>3541</v>
      </c>
      <c r="V4707" s="5" t="s">
        <v>3541</v>
      </c>
      <c r="W4707" s="5" t="s">
        <v>67</v>
      </c>
      <c r="X4707" s="5" t="s">
        <v>67</v>
      </c>
      <c r="Y4707" s="4">
        <v>242</v>
      </c>
      <c r="Z4707" s="4">
        <v>7</v>
      </c>
      <c r="AA4707" s="4">
        <v>53</v>
      </c>
      <c r="AB4707" s="4">
        <v>2</v>
      </c>
      <c r="AC4707" s="4">
        <v>6</v>
      </c>
      <c r="AD4707" s="4">
        <v>20</v>
      </c>
      <c r="AE4707" s="4">
        <v>112</v>
      </c>
      <c r="AF4707" s="4">
        <v>1</v>
      </c>
      <c r="AG4707" s="4">
        <v>1</v>
      </c>
      <c r="AH4707" s="4">
        <v>17</v>
      </c>
      <c r="AI4707" s="4">
        <v>95</v>
      </c>
      <c r="AJ4707" s="4">
        <v>3</v>
      </c>
      <c r="AK4707" s="4">
        <v>14</v>
      </c>
      <c r="AL4707" s="4">
        <v>7</v>
      </c>
      <c r="AM4707" s="4">
        <v>54</v>
      </c>
      <c r="AN4707" s="4">
        <v>0</v>
      </c>
      <c r="AO4707" s="4">
        <v>0</v>
      </c>
      <c r="AP4707" s="4">
        <v>5</v>
      </c>
      <c r="AQ4707" s="4">
        <v>23</v>
      </c>
      <c r="AR4707" s="3" t="s">
        <v>62</v>
      </c>
      <c r="AS4707" s="3" t="s">
        <v>62</v>
      </c>
      <c r="AT4707" s="3" t="s">
        <v>61</v>
      </c>
      <c r="AU4707" s="6" t="str">
        <f>HYPERLINK("http://catalog.hathitrust.org/Record/004207885","HathiTrust Record")</f>
        <v>HathiTrust Record</v>
      </c>
      <c r="AV4707" s="6" t="str">
        <f>HYPERLINK("http://mcgill.on.worldcat.org/oclc/49279595","Catalog Record")</f>
        <v>Catalog Record</v>
      </c>
      <c r="AW4707" s="6" t="str">
        <f>HYPERLINK("http://www.worldcat.org/oclc/49279595","WorldCat Record")</f>
        <v>WorldCat Record</v>
      </c>
      <c r="AX4707" s="3" t="s">
        <v>45496</v>
      </c>
      <c r="AY4707" s="3" t="s">
        <v>45497</v>
      </c>
      <c r="AZ4707" s="3" t="s">
        <v>45498</v>
      </c>
      <c r="BA4707" s="3" t="s">
        <v>45498</v>
      </c>
      <c r="BB4707" s="3" t="s">
        <v>45499</v>
      </c>
      <c r="BC4707" s="3" t="s">
        <v>102</v>
      </c>
      <c r="BD4707" s="3" t="s">
        <v>231</v>
      </c>
      <c r="BE4707" s="3" t="s">
        <v>45500</v>
      </c>
      <c r="BF4707" s="3" t="s">
        <v>45499</v>
      </c>
      <c r="BG4707" s="3" t="s">
        <v>45501</v>
      </c>
    </row>
    <row r="4708" spans="1:59" ht="72.5" x14ac:dyDescent="0.35">
      <c r="A4708" s="2" t="s">
        <v>59</v>
      </c>
      <c r="B4708" s="2" t="s">
        <v>60</v>
      </c>
      <c r="C4708" s="2" t="s">
        <v>45502</v>
      </c>
      <c r="D4708" s="2" t="s">
        <v>45503</v>
      </c>
      <c r="E4708" s="2" t="s">
        <v>45504</v>
      </c>
      <c r="G4708" s="3" t="s">
        <v>62</v>
      </c>
      <c r="I4708" s="3" t="s">
        <v>62</v>
      </c>
      <c r="J4708" s="3" t="s">
        <v>62</v>
      </c>
      <c r="K4708" s="3" t="s">
        <v>63</v>
      </c>
      <c r="L4708" s="2" t="s">
        <v>45505</v>
      </c>
      <c r="M4708" s="2" t="s">
        <v>45506</v>
      </c>
      <c r="N4708" s="3" t="s">
        <v>524</v>
      </c>
      <c r="O4708" s="2" t="s">
        <v>2986</v>
      </c>
      <c r="P4708" s="3" t="s">
        <v>64</v>
      </c>
      <c r="Q4708" s="2" t="s">
        <v>45507</v>
      </c>
      <c r="R4708" s="3" t="s">
        <v>42369</v>
      </c>
      <c r="S4708" s="4">
        <v>8</v>
      </c>
      <c r="T4708" s="4">
        <v>8</v>
      </c>
      <c r="U4708" s="5" t="s">
        <v>8580</v>
      </c>
      <c r="V4708" s="5" t="s">
        <v>8580</v>
      </c>
      <c r="W4708" s="5" t="s">
        <v>67</v>
      </c>
      <c r="X4708" s="5" t="s">
        <v>67</v>
      </c>
      <c r="Y4708" s="4">
        <v>17</v>
      </c>
      <c r="Z4708" s="4">
        <v>1</v>
      </c>
      <c r="AA4708" s="4">
        <v>3</v>
      </c>
      <c r="AB4708" s="4">
        <v>1</v>
      </c>
      <c r="AC4708" s="4">
        <v>1</v>
      </c>
      <c r="AD4708" s="4">
        <v>2</v>
      </c>
      <c r="AE4708" s="4">
        <v>16</v>
      </c>
      <c r="AF4708" s="4">
        <v>0</v>
      </c>
      <c r="AG4708" s="4">
        <v>0</v>
      </c>
      <c r="AH4708" s="4">
        <v>2</v>
      </c>
      <c r="AI4708" s="4">
        <v>15</v>
      </c>
      <c r="AJ4708" s="4">
        <v>0</v>
      </c>
      <c r="AK4708" s="4">
        <v>2</v>
      </c>
      <c r="AL4708" s="4">
        <v>2</v>
      </c>
      <c r="AM4708" s="4">
        <v>11</v>
      </c>
      <c r="AN4708" s="4">
        <v>0</v>
      </c>
      <c r="AO4708" s="4">
        <v>0</v>
      </c>
      <c r="AP4708" s="4">
        <v>0</v>
      </c>
      <c r="AQ4708" s="4">
        <v>2</v>
      </c>
      <c r="AR4708" s="3" t="s">
        <v>62</v>
      </c>
      <c r="AS4708" s="3" t="s">
        <v>62</v>
      </c>
      <c r="AT4708" s="3" t="s">
        <v>62</v>
      </c>
      <c r="AV4708" s="6" t="str">
        <f>HYPERLINK("http://mcgill.on.worldcat.org/oclc/34121267","Catalog Record")</f>
        <v>Catalog Record</v>
      </c>
      <c r="AW4708" s="6" t="str">
        <f>HYPERLINK("http://www.worldcat.org/oclc/34121267","WorldCat Record")</f>
        <v>WorldCat Record</v>
      </c>
      <c r="AX4708" s="3" t="s">
        <v>45508</v>
      </c>
      <c r="AY4708" s="3" t="s">
        <v>45509</v>
      </c>
      <c r="AZ4708" s="3" t="s">
        <v>45510</v>
      </c>
      <c r="BA4708" s="3" t="s">
        <v>45510</v>
      </c>
      <c r="BB4708" s="3" t="s">
        <v>45511</v>
      </c>
      <c r="BC4708" s="3" t="s">
        <v>102</v>
      </c>
      <c r="BD4708" s="3" t="s">
        <v>68</v>
      </c>
      <c r="BE4708" s="3" t="s">
        <v>45512</v>
      </c>
      <c r="BF4708" s="3" t="s">
        <v>45511</v>
      </c>
      <c r="BG4708" s="3" t="s">
        <v>45513</v>
      </c>
    </row>
    <row r="4709" spans="1:59" ht="58" x14ac:dyDescent="0.35">
      <c r="A4709" s="2" t="s">
        <v>89</v>
      </c>
      <c r="B4709" s="2" t="s">
        <v>90</v>
      </c>
      <c r="C4709" s="2" t="s">
        <v>45514</v>
      </c>
      <c r="D4709" s="2" t="s">
        <v>45515</v>
      </c>
      <c r="E4709" s="2" t="s">
        <v>45516</v>
      </c>
      <c r="G4709" s="3" t="s">
        <v>62</v>
      </c>
      <c r="I4709" s="3" t="s">
        <v>61</v>
      </c>
      <c r="J4709" s="3" t="s">
        <v>62</v>
      </c>
      <c r="K4709" s="3" t="s">
        <v>63</v>
      </c>
      <c r="L4709" s="2" t="s">
        <v>43687</v>
      </c>
      <c r="M4709" s="2" t="s">
        <v>45517</v>
      </c>
      <c r="N4709" s="3" t="s">
        <v>4865</v>
      </c>
      <c r="O4709" s="2" t="s">
        <v>45518</v>
      </c>
      <c r="P4709" s="3" t="s">
        <v>85</v>
      </c>
      <c r="Q4709" s="2" t="s">
        <v>43330</v>
      </c>
      <c r="R4709" s="3" t="s">
        <v>42369</v>
      </c>
      <c r="S4709" s="4">
        <v>1</v>
      </c>
      <c r="T4709" s="4">
        <v>1</v>
      </c>
      <c r="U4709" s="5" t="s">
        <v>11207</v>
      </c>
      <c r="V4709" s="5" t="s">
        <v>11207</v>
      </c>
      <c r="W4709" s="5" t="s">
        <v>67</v>
      </c>
      <c r="X4709" s="5" t="s">
        <v>67</v>
      </c>
      <c r="Y4709" s="4">
        <v>6</v>
      </c>
      <c r="Z4709" s="4">
        <v>1</v>
      </c>
      <c r="AA4709" s="4">
        <v>3</v>
      </c>
      <c r="AB4709" s="4">
        <v>1</v>
      </c>
      <c r="AC4709" s="4">
        <v>3</v>
      </c>
      <c r="AD4709" s="4">
        <v>1</v>
      </c>
      <c r="AE4709" s="4">
        <v>2</v>
      </c>
      <c r="AF4709" s="4">
        <v>0</v>
      </c>
      <c r="AG4709" s="4">
        <v>1</v>
      </c>
      <c r="AH4709" s="4">
        <v>1</v>
      </c>
      <c r="AI4709" s="4">
        <v>2</v>
      </c>
      <c r="AJ4709" s="4">
        <v>0</v>
      </c>
      <c r="AK4709" s="4">
        <v>1</v>
      </c>
      <c r="AL4709" s="4">
        <v>0</v>
      </c>
      <c r="AM4709" s="4">
        <v>0</v>
      </c>
      <c r="AN4709" s="4">
        <v>0</v>
      </c>
      <c r="AO4709" s="4">
        <v>0</v>
      </c>
      <c r="AP4709" s="4">
        <v>0</v>
      </c>
      <c r="AQ4709" s="4">
        <v>1</v>
      </c>
      <c r="AR4709" s="3" t="s">
        <v>62</v>
      </c>
      <c r="AS4709" s="3" t="s">
        <v>62</v>
      </c>
      <c r="AT4709" s="3" t="s">
        <v>62</v>
      </c>
      <c r="AV4709" s="6" t="str">
        <f>HYPERLINK("http://mcgill.on.worldcat.org/oclc/1049805651","Catalog Record")</f>
        <v>Catalog Record</v>
      </c>
      <c r="AW4709" s="6" t="str">
        <f>HYPERLINK("http://www.worldcat.org/oclc/1049805651","WorldCat Record")</f>
        <v>WorldCat Record</v>
      </c>
      <c r="AX4709" s="3" t="s">
        <v>45519</v>
      </c>
      <c r="AY4709" s="3" t="s">
        <v>45520</v>
      </c>
      <c r="AZ4709" s="3" t="s">
        <v>45521</v>
      </c>
      <c r="BA4709" s="3" t="s">
        <v>45521</v>
      </c>
      <c r="BB4709" s="3" t="s">
        <v>45522</v>
      </c>
      <c r="BC4709" s="3" t="s">
        <v>102</v>
      </c>
      <c r="BD4709" s="3" t="s">
        <v>68</v>
      </c>
      <c r="BF4709" s="3" t="s">
        <v>45522</v>
      </c>
      <c r="BG4709" s="3" t="s">
        <v>45523</v>
      </c>
    </row>
    <row r="4710" spans="1:59" ht="58" x14ac:dyDescent="0.35">
      <c r="A4710" s="2" t="s">
        <v>59</v>
      </c>
      <c r="B4710" s="2" t="s">
        <v>60</v>
      </c>
      <c r="C4710" s="2" t="s">
        <v>45524</v>
      </c>
      <c r="D4710" s="2" t="s">
        <v>45525</v>
      </c>
      <c r="E4710" s="2" t="s">
        <v>45526</v>
      </c>
      <c r="G4710" s="3" t="s">
        <v>62</v>
      </c>
      <c r="I4710" s="3" t="s">
        <v>62</v>
      </c>
      <c r="J4710" s="3" t="s">
        <v>62</v>
      </c>
      <c r="K4710" s="3" t="s">
        <v>63</v>
      </c>
      <c r="M4710" s="2" t="s">
        <v>45527</v>
      </c>
      <c r="N4710" s="3" t="s">
        <v>327</v>
      </c>
      <c r="P4710" s="3" t="s">
        <v>64</v>
      </c>
      <c r="R4710" s="3" t="s">
        <v>42369</v>
      </c>
      <c r="S4710" s="4">
        <v>4</v>
      </c>
      <c r="T4710" s="4">
        <v>4</v>
      </c>
      <c r="U4710" s="5" t="s">
        <v>9563</v>
      </c>
      <c r="V4710" s="5" t="s">
        <v>9563</v>
      </c>
      <c r="W4710" s="5" t="s">
        <v>67</v>
      </c>
      <c r="X4710" s="5" t="s">
        <v>67</v>
      </c>
      <c r="Y4710" s="4">
        <v>283</v>
      </c>
      <c r="Z4710" s="4">
        <v>22</v>
      </c>
      <c r="AA4710" s="4">
        <v>25</v>
      </c>
      <c r="AB4710" s="4">
        <v>3</v>
      </c>
      <c r="AC4710" s="4">
        <v>6</v>
      </c>
      <c r="AD4710" s="4">
        <v>98</v>
      </c>
      <c r="AE4710" s="4">
        <v>101</v>
      </c>
      <c r="AF4710" s="4">
        <v>1</v>
      </c>
      <c r="AG4710" s="4">
        <v>4</v>
      </c>
      <c r="AH4710" s="4">
        <v>86</v>
      </c>
      <c r="AI4710" s="4">
        <v>87</v>
      </c>
      <c r="AJ4710" s="4">
        <v>14</v>
      </c>
      <c r="AK4710" s="4">
        <v>17</v>
      </c>
      <c r="AL4710" s="4">
        <v>47</v>
      </c>
      <c r="AM4710" s="4">
        <v>47</v>
      </c>
      <c r="AN4710" s="4">
        <v>0</v>
      </c>
      <c r="AO4710" s="4">
        <v>0</v>
      </c>
      <c r="AP4710" s="4">
        <v>16</v>
      </c>
      <c r="AQ4710" s="4">
        <v>18</v>
      </c>
      <c r="AR4710" s="3" t="s">
        <v>62</v>
      </c>
      <c r="AS4710" s="3" t="s">
        <v>62</v>
      </c>
      <c r="AT4710" s="3" t="s">
        <v>62</v>
      </c>
      <c r="AV4710" s="6" t="str">
        <f>HYPERLINK("http://mcgill.on.worldcat.org/oclc/8476062","Catalog Record")</f>
        <v>Catalog Record</v>
      </c>
      <c r="AW4710" s="6" t="str">
        <f>HYPERLINK("http://www.worldcat.org/oclc/8476062","WorldCat Record")</f>
        <v>WorldCat Record</v>
      </c>
      <c r="AX4710" s="3" t="s">
        <v>45528</v>
      </c>
      <c r="AY4710" s="3" t="s">
        <v>45529</v>
      </c>
      <c r="AZ4710" s="3" t="s">
        <v>45530</v>
      </c>
      <c r="BA4710" s="3" t="s">
        <v>45530</v>
      </c>
      <c r="BB4710" s="3" t="s">
        <v>45531</v>
      </c>
      <c r="BC4710" s="3" t="s">
        <v>102</v>
      </c>
      <c r="BD4710" s="3" t="s">
        <v>68</v>
      </c>
      <c r="BE4710" s="3" t="s">
        <v>45532</v>
      </c>
      <c r="BF4710" s="3" t="s">
        <v>45531</v>
      </c>
      <c r="BG4710" s="3" t="s">
        <v>45533</v>
      </c>
    </row>
    <row r="4711" spans="1:59" ht="58" x14ac:dyDescent="0.35">
      <c r="A4711" s="2" t="s">
        <v>59</v>
      </c>
      <c r="B4711" s="2" t="s">
        <v>60</v>
      </c>
      <c r="C4711" s="2" t="s">
        <v>45534</v>
      </c>
      <c r="D4711" s="2" t="s">
        <v>45535</v>
      </c>
      <c r="E4711" s="2" t="s">
        <v>45536</v>
      </c>
      <c r="G4711" s="3" t="s">
        <v>62</v>
      </c>
      <c r="I4711" s="3" t="s">
        <v>62</v>
      </c>
      <c r="J4711" s="3" t="s">
        <v>62</v>
      </c>
      <c r="K4711" s="3" t="s">
        <v>63</v>
      </c>
      <c r="L4711" s="2" t="s">
        <v>45537</v>
      </c>
      <c r="M4711" s="2" t="s">
        <v>45538</v>
      </c>
      <c r="N4711" s="3" t="s">
        <v>8555</v>
      </c>
      <c r="P4711" s="3" t="s">
        <v>64</v>
      </c>
      <c r="Q4711" s="2" t="s">
        <v>45539</v>
      </c>
      <c r="R4711" s="3" t="s">
        <v>42369</v>
      </c>
      <c r="S4711" s="4">
        <v>3</v>
      </c>
      <c r="T4711" s="4">
        <v>3</v>
      </c>
      <c r="U4711" s="5" t="s">
        <v>9563</v>
      </c>
      <c r="V4711" s="5" t="s">
        <v>9563</v>
      </c>
      <c r="W4711" s="5" t="s">
        <v>67</v>
      </c>
      <c r="X4711" s="5" t="s">
        <v>67</v>
      </c>
      <c r="Y4711" s="4">
        <v>113</v>
      </c>
      <c r="Z4711" s="4">
        <v>6</v>
      </c>
      <c r="AA4711" s="4">
        <v>8</v>
      </c>
      <c r="AB4711" s="4">
        <v>1</v>
      </c>
      <c r="AC4711" s="4">
        <v>1</v>
      </c>
      <c r="AD4711" s="4">
        <v>45</v>
      </c>
      <c r="AE4711" s="4">
        <v>47</v>
      </c>
      <c r="AF4711" s="4">
        <v>0</v>
      </c>
      <c r="AG4711" s="4">
        <v>0</v>
      </c>
      <c r="AH4711" s="4">
        <v>42</v>
      </c>
      <c r="AI4711" s="4">
        <v>44</v>
      </c>
      <c r="AJ4711" s="4">
        <v>4</v>
      </c>
      <c r="AK4711" s="4">
        <v>6</v>
      </c>
      <c r="AL4711" s="4">
        <v>31</v>
      </c>
      <c r="AM4711" s="4">
        <v>31</v>
      </c>
      <c r="AN4711" s="4">
        <v>0</v>
      </c>
      <c r="AO4711" s="4">
        <v>0</v>
      </c>
      <c r="AP4711" s="4">
        <v>4</v>
      </c>
      <c r="AQ4711" s="4">
        <v>6</v>
      </c>
      <c r="AR4711" s="3" t="s">
        <v>62</v>
      </c>
      <c r="AS4711" s="3" t="s">
        <v>62</v>
      </c>
      <c r="AT4711" s="3" t="s">
        <v>62</v>
      </c>
      <c r="AV4711" s="6" t="str">
        <f>HYPERLINK("http://mcgill.on.worldcat.org/oclc/806613","Catalog Record")</f>
        <v>Catalog Record</v>
      </c>
      <c r="AW4711" s="6" t="str">
        <f>HYPERLINK("http://www.worldcat.org/oclc/806613","WorldCat Record")</f>
        <v>WorldCat Record</v>
      </c>
      <c r="AX4711" s="3" t="s">
        <v>45540</v>
      </c>
      <c r="AY4711" s="3" t="s">
        <v>45541</v>
      </c>
      <c r="AZ4711" s="3" t="s">
        <v>45542</v>
      </c>
      <c r="BA4711" s="3" t="s">
        <v>45542</v>
      </c>
      <c r="BB4711" s="3" t="s">
        <v>45543</v>
      </c>
      <c r="BC4711" s="3" t="s">
        <v>102</v>
      </c>
      <c r="BD4711" s="3" t="s">
        <v>68</v>
      </c>
      <c r="BF4711" s="3" t="s">
        <v>45543</v>
      </c>
      <c r="BG4711" s="3" t="s">
        <v>45544</v>
      </c>
    </row>
    <row r="4712" spans="1:59" ht="58" x14ac:dyDescent="0.35">
      <c r="A4712" s="2" t="s">
        <v>59</v>
      </c>
      <c r="B4712" s="2" t="s">
        <v>60</v>
      </c>
      <c r="C4712" s="2" t="s">
        <v>45545</v>
      </c>
      <c r="D4712" s="2" t="s">
        <v>45546</v>
      </c>
      <c r="E4712" s="2" t="s">
        <v>45547</v>
      </c>
      <c r="G4712" s="3" t="s">
        <v>62</v>
      </c>
      <c r="I4712" s="3" t="s">
        <v>62</v>
      </c>
      <c r="J4712" s="3" t="s">
        <v>62</v>
      </c>
      <c r="K4712" s="3" t="s">
        <v>63</v>
      </c>
      <c r="L4712" s="2" t="s">
        <v>45548</v>
      </c>
      <c r="M4712" s="2" t="s">
        <v>10617</v>
      </c>
      <c r="N4712" s="3" t="s">
        <v>524</v>
      </c>
      <c r="P4712" s="3" t="s">
        <v>64</v>
      </c>
      <c r="Q4712" s="2" t="s">
        <v>45549</v>
      </c>
      <c r="R4712" s="3" t="s">
        <v>42369</v>
      </c>
      <c r="S4712" s="4">
        <v>16</v>
      </c>
      <c r="T4712" s="4">
        <v>16</v>
      </c>
      <c r="U4712" s="5" t="s">
        <v>3501</v>
      </c>
      <c r="V4712" s="5" t="s">
        <v>3501</v>
      </c>
      <c r="W4712" s="5" t="s">
        <v>67</v>
      </c>
      <c r="X4712" s="5" t="s">
        <v>67</v>
      </c>
      <c r="Y4712" s="4">
        <v>378</v>
      </c>
      <c r="Z4712" s="4">
        <v>26</v>
      </c>
      <c r="AA4712" s="4">
        <v>27</v>
      </c>
      <c r="AB4712" s="4">
        <v>2</v>
      </c>
      <c r="AC4712" s="4">
        <v>2</v>
      </c>
      <c r="AD4712" s="4">
        <v>94</v>
      </c>
      <c r="AE4712" s="4">
        <v>95</v>
      </c>
      <c r="AF4712" s="4">
        <v>1</v>
      </c>
      <c r="AG4712" s="4">
        <v>1</v>
      </c>
      <c r="AH4712" s="4">
        <v>81</v>
      </c>
      <c r="AI4712" s="4">
        <v>81</v>
      </c>
      <c r="AJ4712" s="4">
        <v>14</v>
      </c>
      <c r="AK4712" s="4">
        <v>14</v>
      </c>
      <c r="AL4712" s="4">
        <v>46</v>
      </c>
      <c r="AM4712" s="4">
        <v>46</v>
      </c>
      <c r="AN4712" s="4">
        <v>0</v>
      </c>
      <c r="AO4712" s="4">
        <v>0</v>
      </c>
      <c r="AP4712" s="4">
        <v>20</v>
      </c>
      <c r="AQ4712" s="4">
        <v>21</v>
      </c>
      <c r="AR4712" s="3" t="s">
        <v>62</v>
      </c>
      <c r="AS4712" s="3" t="s">
        <v>62</v>
      </c>
      <c r="AT4712" s="3" t="s">
        <v>62</v>
      </c>
      <c r="AV4712" s="6" t="str">
        <f>HYPERLINK("http://mcgill.on.worldcat.org/oclc/30356376","Catalog Record")</f>
        <v>Catalog Record</v>
      </c>
      <c r="AW4712" s="6" t="str">
        <f>HYPERLINK("http://www.worldcat.org/oclc/30356376","WorldCat Record")</f>
        <v>WorldCat Record</v>
      </c>
      <c r="AX4712" s="3" t="s">
        <v>45550</v>
      </c>
      <c r="AY4712" s="3" t="s">
        <v>45551</v>
      </c>
      <c r="AZ4712" s="3" t="s">
        <v>45552</v>
      </c>
      <c r="BA4712" s="3" t="s">
        <v>45552</v>
      </c>
      <c r="BB4712" s="3" t="s">
        <v>45553</v>
      </c>
      <c r="BC4712" s="3" t="s">
        <v>102</v>
      </c>
      <c r="BD4712" s="3" t="s">
        <v>68</v>
      </c>
      <c r="BE4712" s="3" t="s">
        <v>45554</v>
      </c>
      <c r="BF4712" s="3" t="s">
        <v>45553</v>
      </c>
      <c r="BG4712" s="3" t="s">
        <v>45555</v>
      </c>
    </row>
    <row r="4713" spans="1:59" ht="58" x14ac:dyDescent="0.35">
      <c r="A4713" s="2" t="s">
        <v>59</v>
      </c>
      <c r="B4713" s="2" t="s">
        <v>60</v>
      </c>
      <c r="C4713" s="2" t="s">
        <v>45556</v>
      </c>
      <c r="D4713" s="2" t="s">
        <v>45557</v>
      </c>
      <c r="E4713" s="2" t="s">
        <v>45558</v>
      </c>
      <c r="G4713" s="3" t="s">
        <v>62</v>
      </c>
      <c r="I4713" s="3" t="s">
        <v>62</v>
      </c>
      <c r="J4713" s="3" t="s">
        <v>62</v>
      </c>
      <c r="K4713" s="3" t="s">
        <v>63</v>
      </c>
      <c r="L4713" s="2" t="s">
        <v>45559</v>
      </c>
      <c r="M4713" s="2" t="s">
        <v>45560</v>
      </c>
      <c r="N4713" s="3" t="s">
        <v>596</v>
      </c>
      <c r="P4713" s="3" t="s">
        <v>64</v>
      </c>
      <c r="Q4713" s="2" t="s">
        <v>45561</v>
      </c>
      <c r="R4713" s="3" t="s">
        <v>42369</v>
      </c>
      <c r="S4713" s="4">
        <v>8</v>
      </c>
      <c r="T4713" s="4">
        <v>8</v>
      </c>
      <c r="U4713" s="5" t="s">
        <v>6070</v>
      </c>
      <c r="V4713" s="5" t="s">
        <v>6070</v>
      </c>
      <c r="W4713" s="5" t="s">
        <v>67</v>
      </c>
      <c r="X4713" s="5" t="s">
        <v>67</v>
      </c>
      <c r="Y4713" s="4">
        <v>1292</v>
      </c>
      <c r="Z4713" s="4">
        <v>37</v>
      </c>
      <c r="AA4713" s="4">
        <v>118</v>
      </c>
      <c r="AB4713" s="4">
        <v>2</v>
      </c>
      <c r="AC4713" s="4">
        <v>19</v>
      </c>
      <c r="AD4713" s="4">
        <v>99</v>
      </c>
      <c r="AE4713" s="4">
        <v>142</v>
      </c>
      <c r="AF4713" s="4">
        <v>0</v>
      </c>
      <c r="AG4713" s="4">
        <v>8</v>
      </c>
      <c r="AH4713" s="4">
        <v>88</v>
      </c>
      <c r="AI4713" s="4">
        <v>104</v>
      </c>
      <c r="AJ4713" s="4">
        <v>11</v>
      </c>
      <c r="AK4713" s="4">
        <v>23</v>
      </c>
      <c r="AL4713" s="4">
        <v>45</v>
      </c>
      <c r="AM4713" s="4">
        <v>48</v>
      </c>
      <c r="AN4713" s="4">
        <v>0</v>
      </c>
      <c r="AO4713" s="4">
        <v>0</v>
      </c>
      <c r="AP4713" s="4">
        <v>17</v>
      </c>
      <c r="AQ4713" s="4">
        <v>48</v>
      </c>
      <c r="AR4713" s="3" t="s">
        <v>62</v>
      </c>
      <c r="AS4713" s="3" t="s">
        <v>62</v>
      </c>
      <c r="AT4713" s="3" t="s">
        <v>62</v>
      </c>
      <c r="AV4713" s="6" t="str">
        <f>HYPERLINK("http://mcgill.on.worldcat.org/oclc/48803709","Catalog Record")</f>
        <v>Catalog Record</v>
      </c>
      <c r="AW4713" s="6" t="str">
        <f>HYPERLINK("http://www.worldcat.org/oclc/48803709","WorldCat Record")</f>
        <v>WorldCat Record</v>
      </c>
      <c r="AX4713" s="3" t="s">
        <v>45562</v>
      </c>
      <c r="AY4713" s="3" t="s">
        <v>45563</v>
      </c>
      <c r="AZ4713" s="3" t="s">
        <v>45564</v>
      </c>
      <c r="BA4713" s="3" t="s">
        <v>45564</v>
      </c>
      <c r="BB4713" s="3" t="s">
        <v>45565</v>
      </c>
      <c r="BC4713" s="3" t="s">
        <v>102</v>
      </c>
      <c r="BD4713" s="3" t="s">
        <v>68</v>
      </c>
      <c r="BE4713" s="3" t="s">
        <v>45566</v>
      </c>
      <c r="BF4713" s="3" t="s">
        <v>45565</v>
      </c>
      <c r="BG4713" s="3" t="s">
        <v>45567</v>
      </c>
    </row>
    <row r="4714" spans="1:59" ht="72.5" x14ac:dyDescent="0.35">
      <c r="A4714" s="2" t="s">
        <v>59</v>
      </c>
      <c r="B4714" s="2" t="s">
        <v>60</v>
      </c>
      <c r="C4714" s="2" t="s">
        <v>45568</v>
      </c>
      <c r="D4714" s="2" t="s">
        <v>45569</v>
      </c>
      <c r="E4714" s="2" t="s">
        <v>45570</v>
      </c>
      <c r="G4714" s="3" t="s">
        <v>62</v>
      </c>
      <c r="I4714" s="3" t="s">
        <v>62</v>
      </c>
      <c r="J4714" s="3" t="s">
        <v>62</v>
      </c>
      <c r="K4714" s="3" t="s">
        <v>63</v>
      </c>
      <c r="M4714" s="2" t="s">
        <v>45571</v>
      </c>
      <c r="N4714" s="3" t="s">
        <v>1905</v>
      </c>
      <c r="P4714" s="3" t="s">
        <v>64</v>
      </c>
      <c r="Q4714" s="2" t="s">
        <v>45572</v>
      </c>
      <c r="R4714" s="3" t="s">
        <v>42369</v>
      </c>
      <c r="S4714" s="4">
        <v>12</v>
      </c>
      <c r="T4714" s="4">
        <v>12</v>
      </c>
      <c r="U4714" s="5" t="s">
        <v>37149</v>
      </c>
      <c r="V4714" s="5" t="s">
        <v>37149</v>
      </c>
      <c r="W4714" s="5" t="s">
        <v>67</v>
      </c>
      <c r="X4714" s="5" t="s">
        <v>67</v>
      </c>
      <c r="Y4714" s="4">
        <v>298</v>
      </c>
      <c r="Z4714" s="4">
        <v>24</v>
      </c>
      <c r="AA4714" s="4">
        <v>24</v>
      </c>
      <c r="AB4714" s="4">
        <v>2</v>
      </c>
      <c r="AC4714" s="4">
        <v>2</v>
      </c>
      <c r="AD4714" s="4">
        <v>88</v>
      </c>
      <c r="AE4714" s="4">
        <v>88</v>
      </c>
      <c r="AF4714" s="4">
        <v>0</v>
      </c>
      <c r="AG4714" s="4">
        <v>0</v>
      </c>
      <c r="AH4714" s="4">
        <v>79</v>
      </c>
      <c r="AI4714" s="4">
        <v>79</v>
      </c>
      <c r="AJ4714" s="4">
        <v>9</v>
      </c>
      <c r="AK4714" s="4">
        <v>9</v>
      </c>
      <c r="AL4714" s="4">
        <v>43</v>
      </c>
      <c r="AM4714" s="4">
        <v>43</v>
      </c>
      <c r="AN4714" s="4">
        <v>0</v>
      </c>
      <c r="AO4714" s="4">
        <v>0</v>
      </c>
      <c r="AP4714" s="4">
        <v>13</v>
      </c>
      <c r="AQ4714" s="4">
        <v>13</v>
      </c>
      <c r="AR4714" s="3" t="s">
        <v>62</v>
      </c>
      <c r="AS4714" s="3" t="s">
        <v>62</v>
      </c>
      <c r="AT4714" s="3" t="s">
        <v>61</v>
      </c>
      <c r="AU4714" s="6" t="str">
        <f>HYPERLINK("http://catalog.hathitrust.org/Record/000904697","HathiTrust Record")</f>
        <v>HathiTrust Record</v>
      </c>
      <c r="AV4714" s="6" t="str">
        <f>HYPERLINK("http://mcgill.on.worldcat.org/oclc/13526447","Catalog Record")</f>
        <v>Catalog Record</v>
      </c>
      <c r="AW4714" s="6" t="str">
        <f>HYPERLINK("http://www.worldcat.org/oclc/13526447","WorldCat Record")</f>
        <v>WorldCat Record</v>
      </c>
      <c r="AX4714" s="3" t="s">
        <v>45573</v>
      </c>
      <c r="AY4714" s="3" t="s">
        <v>45574</v>
      </c>
      <c r="AZ4714" s="3" t="s">
        <v>45575</v>
      </c>
      <c r="BA4714" s="3" t="s">
        <v>45575</v>
      </c>
      <c r="BB4714" s="3" t="s">
        <v>45576</v>
      </c>
      <c r="BC4714" s="3" t="s">
        <v>102</v>
      </c>
      <c r="BD4714" s="3" t="s">
        <v>68</v>
      </c>
      <c r="BE4714" s="3" t="s">
        <v>45577</v>
      </c>
      <c r="BF4714" s="3" t="s">
        <v>45576</v>
      </c>
      <c r="BG4714" s="3" t="s">
        <v>45578</v>
      </c>
    </row>
    <row r="4715" spans="1:59" ht="58" x14ac:dyDescent="0.35">
      <c r="A4715" s="2" t="s">
        <v>59</v>
      </c>
      <c r="B4715" s="2" t="s">
        <v>60</v>
      </c>
      <c r="C4715" s="2" t="s">
        <v>45579</v>
      </c>
      <c r="D4715" s="2" t="s">
        <v>45580</v>
      </c>
      <c r="E4715" s="2" t="s">
        <v>45581</v>
      </c>
      <c r="G4715" s="3" t="s">
        <v>62</v>
      </c>
      <c r="I4715" s="3" t="s">
        <v>62</v>
      </c>
      <c r="J4715" s="3" t="s">
        <v>62</v>
      </c>
      <c r="K4715" s="3" t="s">
        <v>63</v>
      </c>
      <c r="L4715" s="2" t="s">
        <v>45582</v>
      </c>
      <c r="M4715" s="2" t="s">
        <v>45583</v>
      </c>
      <c r="N4715" s="3" t="s">
        <v>285</v>
      </c>
      <c r="P4715" s="3" t="s">
        <v>64</v>
      </c>
      <c r="Q4715" s="2" t="s">
        <v>45584</v>
      </c>
      <c r="R4715" s="3" t="s">
        <v>42369</v>
      </c>
      <c r="S4715" s="4">
        <v>6</v>
      </c>
      <c r="T4715" s="4">
        <v>6</v>
      </c>
      <c r="U4715" s="5" t="s">
        <v>3943</v>
      </c>
      <c r="V4715" s="5" t="s">
        <v>3943</v>
      </c>
      <c r="W4715" s="5" t="s">
        <v>67</v>
      </c>
      <c r="X4715" s="5" t="s">
        <v>67</v>
      </c>
      <c r="Y4715" s="4">
        <v>13</v>
      </c>
      <c r="Z4715" s="4">
        <v>12</v>
      </c>
      <c r="AA4715" s="4">
        <v>14</v>
      </c>
      <c r="AB4715" s="4">
        <v>2</v>
      </c>
      <c r="AC4715" s="4">
        <v>2</v>
      </c>
      <c r="AD4715" s="4">
        <v>3</v>
      </c>
      <c r="AE4715" s="4">
        <v>5</v>
      </c>
      <c r="AF4715" s="4">
        <v>0</v>
      </c>
      <c r="AG4715" s="4">
        <v>0</v>
      </c>
      <c r="AH4715" s="4">
        <v>2</v>
      </c>
      <c r="AI4715" s="4">
        <v>3</v>
      </c>
      <c r="AJ4715" s="4">
        <v>3</v>
      </c>
      <c r="AK4715" s="4">
        <v>4</v>
      </c>
      <c r="AL4715" s="4">
        <v>0</v>
      </c>
      <c r="AM4715" s="4">
        <v>0</v>
      </c>
      <c r="AN4715" s="4">
        <v>0</v>
      </c>
      <c r="AO4715" s="4">
        <v>0</v>
      </c>
      <c r="AP4715" s="4">
        <v>2</v>
      </c>
      <c r="AQ4715" s="4">
        <v>4</v>
      </c>
      <c r="AR4715" s="3" t="s">
        <v>61</v>
      </c>
      <c r="AS4715" s="3" t="s">
        <v>62</v>
      </c>
      <c r="AT4715" s="3" t="s">
        <v>62</v>
      </c>
      <c r="AV4715" s="6" t="str">
        <f>HYPERLINK("http://mcgill.on.worldcat.org/oclc/35391415","Catalog Record")</f>
        <v>Catalog Record</v>
      </c>
      <c r="AW4715" s="6" t="str">
        <f>HYPERLINK("http://www.worldcat.org/oclc/35391415","WorldCat Record")</f>
        <v>WorldCat Record</v>
      </c>
      <c r="AX4715" s="3" t="s">
        <v>45585</v>
      </c>
      <c r="AY4715" s="3" t="s">
        <v>45586</v>
      </c>
      <c r="AZ4715" s="3" t="s">
        <v>45587</v>
      </c>
      <c r="BA4715" s="3" t="s">
        <v>45587</v>
      </c>
      <c r="BB4715" s="3" t="s">
        <v>45588</v>
      </c>
      <c r="BC4715" s="3" t="s">
        <v>102</v>
      </c>
      <c r="BD4715" s="3" t="s">
        <v>68</v>
      </c>
      <c r="BE4715" s="3" t="s">
        <v>45589</v>
      </c>
      <c r="BF4715" s="3" t="s">
        <v>45588</v>
      </c>
      <c r="BG4715" s="3" t="s">
        <v>45590</v>
      </c>
    </row>
    <row r="4716" spans="1:59" ht="72.5" x14ac:dyDescent="0.35">
      <c r="A4716" s="2" t="s">
        <v>89</v>
      </c>
      <c r="B4716" s="2" t="s">
        <v>90</v>
      </c>
      <c r="C4716" s="2" t="s">
        <v>45591</v>
      </c>
      <c r="D4716" s="2" t="s">
        <v>45592</v>
      </c>
      <c r="E4716" s="2" t="s">
        <v>45593</v>
      </c>
      <c r="G4716" s="3" t="s">
        <v>62</v>
      </c>
      <c r="I4716" s="3" t="s">
        <v>62</v>
      </c>
      <c r="J4716" s="3" t="s">
        <v>62</v>
      </c>
      <c r="K4716" s="3" t="s">
        <v>63</v>
      </c>
      <c r="M4716" s="2" t="s">
        <v>45594</v>
      </c>
      <c r="N4716" s="3" t="s">
        <v>2085</v>
      </c>
      <c r="P4716" s="3" t="s">
        <v>64</v>
      </c>
      <c r="R4716" s="3" t="s">
        <v>42369</v>
      </c>
      <c r="S4716" s="4">
        <v>0</v>
      </c>
      <c r="T4716" s="4">
        <v>0</v>
      </c>
      <c r="W4716" s="5" t="s">
        <v>67</v>
      </c>
      <c r="X4716" s="5" t="s">
        <v>67</v>
      </c>
      <c r="Y4716" s="4">
        <v>113</v>
      </c>
      <c r="Z4716" s="4">
        <v>35</v>
      </c>
      <c r="AA4716" s="4">
        <v>65</v>
      </c>
      <c r="AB4716" s="4">
        <v>2</v>
      </c>
      <c r="AC4716" s="4">
        <v>14</v>
      </c>
      <c r="AD4716" s="4">
        <v>45</v>
      </c>
      <c r="AE4716" s="4">
        <v>70</v>
      </c>
      <c r="AF4716" s="4">
        <v>1</v>
      </c>
      <c r="AG4716" s="4">
        <v>6</v>
      </c>
      <c r="AH4716" s="4">
        <v>30</v>
      </c>
      <c r="AI4716" s="4">
        <v>39</v>
      </c>
      <c r="AJ4716" s="4">
        <v>12</v>
      </c>
      <c r="AK4716" s="4">
        <v>19</v>
      </c>
      <c r="AL4716" s="4">
        <v>17</v>
      </c>
      <c r="AM4716" s="4">
        <v>21</v>
      </c>
      <c r="AN4716" s="4">
        <v>0</v>
      </c>
      <c r="AO4716" s="4">
        <v>0</v>
      </c>
      <c r="AP4716" s="4">
        <v>20</v>
      </c>
      <c r="AQ4716" s="4">
        <v>35</v>
      </c>
      <c r="AR4716" s="3" t="s">
        <v>61</v>
      </c>
      <c r="AS4716" s="3" t="s">
        <v>62</v>
      </c>
      <c r="AT4716" s="3" t="s">
        <v>62</v>
      </c>
      <c r="AV4716" s="6" t="str">
        <f>HYPERLINK("http://mcgill.on.worldcat.org/oclc/1038288927","Catalog Record")</f>
        <v>Catalog Record</v>
      </c>
      <c r="AW4716" s="6" t="str">
        <f>HYPERLINK("http://www.worldcat.org/oclc/1038288927","WorldCat Record")</f>
        <v>WorldCat Record</v>
      </c>
      <c r="AX4716" s="3" t="s">
        <v>45595</v>
      </c>
      <c r="AY4716" s="3" t="s">
        <v>45596</v>
      </c>
      <c r="AZ4716" s="3" t="s">
        <v>45597</v>
      </c>
      <c r="BA4716" s="3" t="s">
        <v>45597</v>
      </c>
      <c r="BB4716" s="3" t="s">
        <v>45598</v>
      </c>
      <c r="BC4716" s="3" t="s">
        <v>102</v>
      </c>
      <c r="BD4716" s="3" t="s">
        <v>68</v>
      </c>
      <c r="BE4716" s="3" t="s">
        <v>45599</v>
      </c>
      <c r="BF4716" s="3" t="s">
        <v>45598</v>
      </c>
      <c r="BG4716" s="3" t="s">
        <v>45600</v>
      </c>
    </row>
    <row r="4717" spans="1:59" ht="58" x14ac:dyDescent="0.35">
      <c r="A4717" s="2" t="s">
        <v>59</v>
      </c>
      <c r="B4717" s="2" t="s">
        <v>60</v>
      </c>
      <c r="C4717" s="2" t="s">
        <v>45601</v>
      </c>
      <c r="D4717" s="2" t="s">
        <v>45602</v>
      </c>
      <c r="E4717" s="2" t="s">
        <v>45603</v>
      </c>
      <c r="G4717" s="3" t="s">
        <v>62</v>
      </c>
      <c r="I4717" s="3" t="s">
        <v>62</v>
      </c>
      <c r="J4717" s="3" t="s">
        <v>62</v>
      </c>
      <c r="K4717" s="3" t="s">
        <v>63</v>
      </c>
      <c r="L4717" s="2" t="s">
        <v>45604</v>
      </c>
      <c r="M4717" s="2" t="s">
        <v>45605</v>
      </c>
      <c r="N4717" s="3" t="s">
        <v>596</v>
      </c>
      <c r="P4717" s="3" t="s">
        <v>64</v>
      </c>
      <c r="R4717" s="3" t="s">
        <v>42369</v>
      </c>
      <c r="S4717" s="4">
        <v>2</v>
      </c>
      <c r="T4717" s="4">
        <v>2</v>
      </c>
      <c r="U4717" s="5" t="s">
        <v>25056</v>
      </c>
      <c r="V4717" s="5" t="s">
        <v>25056</v>
      </c>
      <c r="W4717" s="5" t="s">
        <v>67</v>
      </c>
      <c r="X4717" s="5" t="s">
        <v>67</v>
      </c>
      <c r="Y4717" s="4">
        <v>252</v>
      </c>
      <c r="Z4717" s="4">
        <v>13</v>
      </c>
      <c r="AA4717" s="4">
        <v>14</v>
      </c>
      <c r="AB4717" s="4">
        <v>1</v>
      </c>
      <c r="AC4717" s="4">
        <v>2</v>
      </c>
      <c r="AD4717" s="4">
        <v>72</v>
      </c>
      <c r="AE4717" s="4">
        <v>73</v>
      </c>
      <c r="AF4717" s="4">
        <v>0</v>
      </c>
      <c r="AG4717" s="4">
        <v>1</v>
      </c>
      <c r="AH4717" s="4">
        <v>66</v>
      </c>
      <c r="AI4717" s="4">
        <v>67</v>
      </c>
      <c r="AJ4717" s="4">
        <v>7</v>
      </c>
      <c r="AK4717" s="4">
        <v>8</v>
      </c>
      <c r="AL4717" s="4">
        <v>39</v>
      </c>
      <c r="AM4717" s="4">
        <v>39</v>
      </c>
      <c r="AN4717" s="4">
        <v>0</v>
      </c>
      <c r="AO4717" s="4">
        <v>0</v>
      </c>
      <c r="AP4717" s="4">
        <v>8</v>
      </c>
      <c r="AQ4717" s="4">
        <v>9</v>
      </c>
      <c r="AR4717" s="3" t="s">
        <v>62</v>
      </c>
      <c r="AS4717" s="3" t="s">
        <v>62</v>
      </c>
      <c r="AT4717" s="3" t="s">
        <v>62</v>
      </c>
      <c r="AV4717" s="6" t="str">
        <f>HYPERLINK("http://mcgill.on.worldcat.org/oclc/50067976","Catalog Record")</f>
        <v>Catalog Record</v>
      </c>
      <c r="AW4717" s="6" t="str">
        <f>HYPERLINK("http://www.worldcat.org/oclc/50067976","WorldCat Record")</f>
        <v>WorldCat Record</v>
      </c>
      <c r="AX4717" s="3" t="s">
        <v>45606</v>
      </c>
      <c r="AY4717" s="3" t="s">
        <v>45607</v>
      </c>
      <c r="AZ4717" s="3" t="s">
        <v>45608</v>
      </c>
      <c r="BA4717" s="3" t="s">
        <v>45608</v>
      </c>
      <c r="BB4717" s="3" t="s">
        <v>45609</v>
      </c>
      <c r="BC4717" s="3" t="s">
        <v>102</v>
      </c>
      <c r="BD4717" s="3" t="s">
        <v>68</v>
      </c>
      <c r="BE4717" s="3" t="s">
        <v>45610</v>
      </c>
      <c r="BF4717" s="3" t="s">
        <v>45609</v>
      </c>
      <c r="BG4717" s="3" t="s">
        <v>45611</v>
      </c>
    </row>
    <row r="4718" spans="1:59" ht="58" x14ac:dyDescent="0.35">
      <c r="A4718" s="2" t="s">
        <v>59</v>
      </c>
      <c r="B4718" s="2" t="s">
        <v>60</v>
      </c>
      <c r="C4718" s="2" t="s">
        <v>45612</v>
      </c>
      <c r="D4718" s="2" t="s">
        <v>45613</v>
      </c>
      <c r="E4718" s="2" t="s">
        <v>45614</v>
      </c>
      <c r="G4718" s="3" t="s">
        <v>62</v>
      </c>
      <c r="I4718" s="3" t="s">
        <v>62</v>
      </c>
      <c r="J4718" s="3" t="s">
        <v>62</v>
      </c>
      <c r="K4718" s="3" t="s">
        <v>63</v>
      </c>
      <c r="L4718" s="2" t="s">
        <v>45615</v>
      </c>
      <c r="M4718" s="2" t="s">
        <v>45616</v>
      </c>
      <c r="N4718" s="3" t="s">
        <v>553</v>
      </c>
      <c r="P4718" s="3" t="s">
        <v>64</v>
      </c>
      <c r="Q4718" s="2" t="s">
        <v>45617</v>
      </c>
      <c r="R4718" s="3" t="s">
        <v>42369</v>
      </c>
      <c r="S4718" s="4">
        <v>3</v>
      </c>
      <c r="T4718" s="4">
        <v>3</v>
      </c>
      <c r="U4718" s="5" t="s">
        <v>26240</v>
      </c>
      <c r="V4718" s="5" t="s">
        <v>26240</v>
      </c>
      <c r="W4718" s="5" t="s">
        <v>67</v>
      </c>
      <c r="X4718" s="5" t="s">
        <v>67</v>
      </c>
      <c r="Y4718" s="4">
        <v>343</v>
      </c>
      <c r="Z4718" s="4">
        <v>13</v>
      </c>
      <c r="AA4718" s="4">
        <v>20</v>
      </c>
      <c r="AB4718" s="4">
        <v>2</v>
      </c>
      <c r="AC4718" s="4">
        <v>4</v>
      </c>
      <c r="AD4718" s="4">
        <v>66</v>
      </c>
      <c r="AE4718" s="4">
        <v>70</v>
      </c>
      <c r="AF4718" s="4">
        <v>0</v>
      </c>
      <c r="AG4718" s="4">
        <v>0</v>
      </c>
      <c r="AH4718" s="4">
        <v>64</v>
      </c>
      <c r="AI4718" s="4">
        <v>67</v>
      </c>
      <c r="AJ4718" s="4">
        <v>5</v>
      </c>
      <c r="AK4718" s="4">
        <v>7</v>
      </c>
      <c r="AL4718" s="4">
        <v>34</v>
      </c>
      <c r="AM4718" s="4">
        <v>35</v>
      </c>
      <c r="AN4718" s="4">
        <v>0</v>
      </c>
      <c r="AO4718" s="4">
        <v>0</v>
      </c>
      <c r="AP4718" s="4">
        <v>5</v>
      </c>
      <c r="AQ4718" s="4">
        <v>8</v>
      </c>
      <c r="AR4718" s="3" t="s">
        <v>62</v>
      </c>
      <c r="AS4718" s="3" t="s">
        <v>62</v>
      </c>
      <c r="AT4718" s="3" t="s">
        <v>62</v>
      </c>
      <c r="AV4718" s="6" t="str">
        <f>HYPERLINK("http://mcgill.on.worldcat.org/oclc/42274422","Catalog Record")</f>
        <v>Catalog Record</v>
      </c>
      <c r="AW4718" s="6" t="str">
        <f>HYPERLINK("http://www.worldcat.org/oclc/42274422","WorldCat Record")</f>
        <v>WorldCat Record</v>
      </c>
      <c r="AX4718" s="3" t="s">
        <v>45618</v>
      </c>
      <c r="AY4718" s="3" t="s">
        <v>45619</v>
      </c>
      <c r="AZ4718" s="3" t="s">
        <v>45620</v>
      </c>
      <c r="BA4718" s="3" t="s">
        <v>45620</v>
      </c>
      <c r="BB4718" s="3" t="s">
        <v>45621</v>
      </c>
      <c r="BC4718" s="3" t="s">
        <v>102</v>
      </c>
      <c r="BD4718" s="3" t="s">
        <v>68</v>
      </c>
      <c r="BE4718" s="3" t="s">
        <v>45622</v>
      </c>
      <c r="BF4718" s="3" t="s">
        <v>45621</v>
      </c>
      <c r="BG4718" s="3" t="s">
        <v>45623</v>
      </c>
    </row>
    <row r="4719" spans="1:59" ht="101.5" x14ac:dyDescent="0.35">
      <c r="A4719" s="2" t="s">
        <v>59</v>
      </c>
      <c r="B4719" s="2" t="s">
        <v>60</v>
      </c>
      <c r="C4719" s="2" t="s">
        <v>45624</v>
      </c>
      <c r="D4719" s="2" t="s">
        <v>45625</v>
      </c>
      <c r="E4719" s="2" t="s">
        <v>45626</v>
      </c>
      <c r="G4719" s="3" t="s">
        <v>62</v>
      </c>
      <c r="I4719" s="3" t="s">
        <v>62</v>
      </c>
      <c r="J4719" s="3" t="s">
        <v>62</v>
      </c>
      <c r="K4719" s="3" t="s">
        <v>63</v>
      </c>
      <c r="L4719" s="2" t="s">
        <v>45627</v>
      </c>
      <c r="M4719" s="2" t="s">
        <v>45628</v>
      </c>
      <c r="N4719" s="3" t="s">
        <v>509</v>
      </c>
      <c r="P4719" s="3" t="s">
        <v>64</v>
      </c>
      <c r="Q4719" s="2" t="s">
        <v>45629</v>
      </c>
      <c r="R4719" s="3" t="s">
        <v>42369</v>
      </c>
      <c r="S4719" s="4">
        <v>15</v>
      </c>
      <c r="T4719" s="4">
        <v>15</v>
      </c>
      <c r="U4719" s="5" t="s">
        <v>45630</v>
      </c>
      <c r="V4719" s="5" t="s">
        <v>45630</v>
      </c>
      <c r="W4719" s="5" t="s">
        <v>67</v>
      </c>
      <c r="X4719" s="5" t="s">
        <v>67</v>
      </c>
      <c r="Y4719" s="4">
        <v>86</v>
      </c>
      <c r="Z4719" s="4">
        <v>7</v>
      </c>
      <c r="AA4719" s="4">
        <v>7</v>
      </c>
      <c r="AB4719" s="4">
        <v>1</v>
      </c>
      <c r="AC4719" s="4">
        <v>1</v>
      </c>
      <c r="AD4719" s="4">
        <v>33</v>
      </c>
      <c r="AE4719" s="4">
        <v>33</v>
      </c>
      <c r="AF4719" s="4">
        <v>0</v>
      </c>
      <c r="AG4719" s="4">
        <v>0</v>
      </c>
      <c r="AH4719" s="4">
        <v>30</v>
      </c>
      <c r="AI4719" s="4">
        <v>30</v>
      </c>
      <c r="AJ4719" s="4">
        <v>5</v>
      </c>
      <c r="AK4719" s="4">
        <v>5</v>
      </c>
      <c r="AL4719" s="4">
        <v>17</v>
      </c>
      <c r="AM4719" s="4">
        <v>17</v>
      </c>
      <c r="AN4719" s="4">
        <v>0</v>
      </c>
      <c r="AO4719" s="4">
        <v>0</v>
      </c>
      <c r="AP4719" s="4">
        <v>4</v>
      </c>
      <c r="AQ4719" s="4">
        <v>4</v>
      </c>
      <c r="AR4719" s="3" t="s">
        <v>62</v>
      </c>
      <c r="AS4719" s="3" t="s">
        <v>62</v>
      </c>
      <c r="AT4719" s="3" t="s">
        <v>62</v>
      </c>
      <c r="AV4719" s="6" t="str">
        <f>HYPERLINK("http://mcgill.on.worldcat.org/oclc/29224532","Catalog Record")</f>
        <v>Catalog Record</v>
      </c>
      <c r="AW4719" s="6" t="str">
        <f>HYPERLINK("http://www.worldcat.org/oclc/29224532","WorldCat Record")</f>
        <v>WorldCat Record</v>
      </c>
      <c r="AX4719" s="3" t="s">
        <v>45631</v>
      </c>
      <c r="AY4719" s="3" t="s">
        <v>45632</v>
      </c>
      <c r="AZ4719" s="3" t="s">
        <v>45633</v>
      </c>
      <c r="BA4719" s="3" t="s">
        <v>45633</v>
      </c>
      <c r="BB4719" s="3" t="s">
        <v>45634</v>
      </c>
      <c r="BC4719" s="3" t="s">
        <v>102</v>
      </c>
      <c r="BD4719" s="3" t="s">
        <v>68</v>
      </c>
      <c r="BE4719" s="3" t="s">
        <v>45635</v>
      </c>
      <c r="BF4719" s="3" t="s">
        <v>45634</v>
      </c>
      <c r="BG4719" s="3" t="s">
        <v>45636</v>
      </c>
    </row>
    <row r="4720" spans="1:59" ht="58" x14ac:dyDescent="0.35">
      <c r="A4720" s="2" t="s">
        <v>59</v>
      </c>
      <c r="B4720" s="2" t="s">
        <v>60</v>
      </c>
      <c r="C4720" s="2" t="s">
        <v>45637</v>
      </c>
      <c r="D4720" s="2" t="s">
        <v>45638</v>
      </c>
      <c r="E4720" s="2" t="s">
        <v>45639</v>
      </c>
      <c r="G4720" s="3" t="s">
        <v>62</v>
      </c>
      <c r="I4720" s="3" t="s">
        <v>62</v>
      </c>
      <c r="J4720" s="3" t="s">
        <v>62</v>
      </c>
      <c r="K4720" s="3" t="s">
        <v>63</v>
      </c>
      <c r="M4720" s="2" t="s">
        <v>22839</v>
      </c>
      <c r="N4720" s="3" t="s">
        <v>553</v>
      </c>
      <c r="P4720" s="3" t="s">
        <v>64</v>
      </c>
      <c r="R4720" s="3" t="s">
        <v>42369</v>
      </c>
      <c r="S4720" s="4">
        <v>9</v>
      </c>
      <c r="T4720" s="4">
        <v>9</v>
      </c>
      <c r="U4720" s="5" t="s">
        <v>4199</v>
      </c>
      <c r="V4720" s="5" t="s">
        <v>4199</v>
      </c>
      <c r="W4720" s="5" t="s">
        <v>67</v>
      </c>
      <c r="X4720" s="5" t="s">
        <v>67</v>
      </c>
      <c r="Y4720" s="4">
        <v>303</v>
      </c>
      <c r="Z4720" s="4">
        <v>22</v>
      </c>
      <c r="AA4720" s="4">
        <v>30</v>
      </c>
      <c r="AB4720" s="4">
        <v>1</v>
      </c>
      <c r="AC4720" s="4">
        <v>6</v>
      </c>
      <c r="AD4720" s="4">
        <v>92</v>
      </c>
      <c r="AE4720" s="4">
        <v>99</v>
      </c>
      <c r="AF4720" s="4">
        <v>0</v>
      </c>
      <c r="AG4720" s="4">
        <v>3</v>
      </c>
      <c r="AH4720" s="4">
        <v>83</v>
      </c>
      <c r="AI4720" s="4">
        <v>87</v>
      </c>
      <c r="AJ4720" s="4">
        <v>13</v>
      </c>
      <c r="AK4720" s="4">
        <v>16</v>
      </c>
      <c r="AL4720" s="4">
        <v>43</v>
      </c>
      <c r="AM4720" s="4">
        <v>46</v>
      </c>
      <c r="AN4720" s="4">
        <v>0</v>
      </c>
      <c r="AO4720" s="4">
        <v>0</v>
      </c>
      <c r="AP4720" s="4">
        <v>16</v>
      </c>
      <c r="AQ4720" s="4">
        <v>19</v>
      </c>
      <c r="AR4720" s="3" t="s">
        <v>62</v>
      </c>
      <c r="AS4720" s="3" t="s">
        <v>62</v>
      </c>
      <c r="AT4720" s="3" t="s">
        <v>62</v>
      </c>
      <c r="AV4720" s="6" t="str">
        <f>HYPERLINK("http://mcgill.on.worldcat.org/oclc/39886996","Catalog Record")</f>
        <v>Catalog Record</v>
      </c>
      <c r="AW4720" s="6" t="str">
        <f>HYPERLINK("http://www.worldcat.org/oclc/39886996","WorldCat Record")</f>
        <v>WorldCat Record</v>
      </c>
      <c r="AX4720" s="3" t="s">
        <v>45640</v>
      </c>
      <c r="AY4720" s="3" t="s">
        <v>45641</v>
      </c>
      <c r="AZ4720" s="3" t="s">
        <v>45642</v>
      </c>
      <c r="BA4720" s="3" t="s">
        <v>45642</v>
      </c>
      <c r="BB4720" s="3" t="s">
        <v>45643</v>
      </c>
      <c r="BC4720" s="3" t="s">
        <v>102</v>
      </c>
      <c r="BD4720" s="3" t="s">
        <v>68</v>
      </c>
      <c r="BE4720" s="3" t="s">
        <v>45644</v>
      </c>
      <c r="BF4720" s="3" t="s">
        <v>45643</v>
      </c>
      <c r="BG4720" s="3" t="s">
        <v>45645</v>
      </c>
    </row>
    <row r="4721" spans="1:59" ht="58" x14ac:dyDescent="0.35">
      <c r="A4721" s="2" t="s">
        <v>59</v>
      </c>
      <c r="B4721" s="2" t="s">
        <v>60</v>
      </c>
      <c r="C4721" s="2" t="s">
        <v>45646</v>
      </c>
      <c r="D4721" s="2" t="s">
        <v>45647</v>
      </c>
      <c r="E4721" s="2" t="s">
        <v>45648</v>
      </c>
      <c r="G4721" s="3" t="s">
        <v>62</v>
      </c>
      <c r="I4721" s="3" t="s">
        <v>62</v>
      </c>
      <c r="J4721" s="3" t="s">
        <v>61</v>
      </c>
      <c r="K4721" s="3" t="s">
        <v>63</v>
      </c>
      <c r="M4721" s="2" t="s">
        <v>45649</v>
      </c>
      <c r="N4721" s="3" t="s">
        <v>481</v>
      </c>
      <c r="O4721" s="2" t="s">
        <v>10722</v>
      </c>
      <c r="P4721" s="3" t="s">
        <v>64</v>
      </c>
      <c r="R4721" s="3" t="s">
        <v>42369</v>
      </c>
      <c r="S4721" s="4">
        <v>38</v>
      </c>
      <c r="T4721" s="4">
        <v>38</v>
      </c>
      <c r="U4721" s="5" t="s">
        <v>31569</v>
      </c>
      <c r="V4721" s="5" t="s">
        <v>31569</v>
      </c>
      <c r="W4721" s="5" t="s">
        <v>67</v>
      </c>
      <c r="X4721" s="5" t="s">
        <v>67</v>
      </c>
      <c r="Y4721" s="4">
        <v>456</v>
      </c>
      <c r="Z4721" s="4">
        <v>28</v>
      </c>
      <c r="AA4721" s="4">
        <v>86</v>
      </c>
      <c r="AB4721" s="4">
        <v>2</v>
      </c>
      <c r="AC4721" s="4">
        <v>15</v>
      </c>
      <c r="AD4721" s="4">
        <v>106</v>
      </c>
      <c r="AE4721" s="4">
        <v>157</v>
      </c>
      <c r="AF4721" s="4">
        <v>1</v>
      </c>
      <c r="AG4721" s="4">
        <v>5</v>
      </c>
      <c r="AH4721" s="4">
        <v>92</v>
      </c>
      <c r="AI4721" s="4">
        <v>118</v>
      </c>
      <c r="AJ4721" s="4">
        <v>12</v>
      </c>
      <c r="AK4721" s="4">
        <v>27</v>
      </c>
      <c r="AL4721" s="4">
        <v>51</v>
      </c>
      <c r="AM4721" s="4">
        <v>60</v>
      </c>
      <c r="AN4721" s="4">
        <v>0</v>
      </c>
      <c r="AO4721" s="4">
        <v>0</v>
      </c>
      <c r="AP4721" s="4">
        <v>19</v>
      </c>
      <c r="AQ4721" s="4">
        <v>46</v>
      </c>
      <c r="AR4721" s="3" t="s">
        <v>62</v>
      </c>
      <c r="AS4721" s="3" t="s">
        <v>62</v>
      </c>
      <c r="AT4721" s="3" t="s">
        <v>62</v>
      </c>
      <c r="AV4721" s="6" t="str">
        <f>HYPERLINK("http://mcgill.on.worldcat.org/oclc/35114973","Catalog Record")</f>
        <v>Catalog Record</v>
      </c>
      <c r="AW4721" s="6" t="str">
        <f>HYPERLINK("http://www.worldcat.org/oclc/35114973","WorldCat Record")</f>
        <v>WorldCat Record</v>
      </c>
      <c r="AX4721" s="3" t="s">
        <v>45650</v>
      </c>
      <c r="AY4721" s="3" t="s">
        <v>45651</v>
      </c>
      <c r="AZ4721" s="3" t="s">
        <v>45652</v>
      </c>
      <c r="BA4721" s="3" t="s">
        <v>45652</v>
      </c>
      <c r="BB4721" s="3" t="s">
        <v>45653</v>
      </c>
      <c r="BC4721" s="3" t="s">
        <v>102</v>
      </c>
      <c r="BD4721" s="3" t="s">
        <v>68</v>
      </c>
      <c r="BE4721" s="3" t="s">
        <v>45654</v>
      </c>
      <c r="BF4721" s="3" t="s">
        <v>45653</v>
      </c>
      <c r="BG4721" s="3" t="s">
        <v>45655</v>
      </c>
    </row>
    <row r="4722" spans="1:59" ht="58" x14ac:dyDescent="0.35">
      <c r="A4722" s="2" t="s">
        <v>59</v>
      </c>
      <c r="B4722" s="2" t="s">
        <v>60</v>
      </c>
      <c r="C4722" s="2" t="s">
        <v>45656</v>
      </c>
      <c r="D4722" s="2" t="s">
        <v>45657</v>
      </c>
      <c r="E4722" s="2" t="s">
        <v>45658</v>
      </c>
      <c r="G4722" s="3" t="s">
        <v>62</v>
      </c>
      <c r="I4722" s="3" t="s">
        <v>62</v>
      </c>
      <c r="J4722" s="3" t="s">
        <v>62</v>
      </c>
      <c r="K4722" s="3" t="s">
        <v>63</v>
      </c>
      <c r="L4722" s="2" t="s">
        <v>45659</v>
      </c>
      <c r="M4722" s="2" t="s">
        <v>45660</v>
      </c>
      <c r="N4722" s="3" t="s">
        <v>2000</v>
      </c>
      <c r="P4722" s="3" t="s">
        <v>85</v>
      </c>
      <c r="Q4722" s="2" t="s">
        <v>45661</v>
      </c>
      <c r="R4722" s="3" t="s">
        <v>42369</v>
      </c>
      <c r="S4722" s="4">
        <v>1</v>
      </c>
      <c r="T4722" s="4">
        <v>1</v>
      </c>
      <c r="U4722" s="5" t="s">
        <v>15386</v>
      </c>
      <c r="V4722" s="5" t="s">
        <v>15386</v>
      </c>
      <c r="W4722" s="5" t="s">
        <v>67</v>
      </c>
      <c r="X4722" s="5" t="s">
        <v>67</v>
      </c>
      <c r="Y4722" s="4">
        <v>2</v>
      </c>
      <c r="Z4722" s="4">
        <v>1</v>
      </c>
      <c r="AA4722" s="4">
        <v>1</v>
      </c>
      <c r="AB4722" s="4">
        <v>1</v>
      </c>
      <c r="AC4722" s="4">
        <v>1</v>
      </c>
      <c r="AD4722" s="4">
        <v>1</v>
      </c>
      <c r="AE4722" s="4">
        <v>1</v>
      </c>
      <c r="AF4722" s="4">
        <v>0</v>
      </c>
      <c r="AG4722" s="4">
        <v>0</v>
      </c>
      <c r="AH4722" s="4">
        <v>1</v>
      </c>
      <c r="AI4722" s="4">
        <v>1</v>
      </c>
      <c r="AJ4722" s="4">
        <v>0</v>
      </c>
      <c r="AK4722" s="4">
        <v>0</v>
      </c>
      <c r="AL4722" s="4">
        <v>0</v>
      </c>
      <c r="AM4722" s="4">
        <v>0</v>
      </c>
      <c r="AN4722" s="4">
        <v>0</v>
      </c>
      <c r="AO4722" s="4">
        <v>0</v>
      </c>
      <c r="AP4722" s="4">
        <v>0</v>
      </c>
      <c r="AQ4722" s="4">
        <v>0</v>
      </c>
      <c r="AR4722" s="3" t="s">
        <v>62</v>
      </c>
      <c r="AS4722" s="3" t="s">
        <v>62</v>
      </c>
      <c r="AT4722" s="3" t="s">
        <v>62</v>
      </c>
      <c r="AV4722" s="6" t="str">
        <f>HYPERLINK("http://mcgill.on.worldcat.org/oclc/40175490","Catalog Record")</f>
        <v>Catalog Record</v>
      </c>
      <c r="AW4722" s="6" t="str">
        <f>HYPERLINK("http://www.worldcat.org/oclc/40175490","WorldCat Record")</f>
        <v>WorldCat Record</v>
      </c>
      <c r="AX4722" s="3" t="s">
        <v>45662</v>
      </c>
      <c r="AY4722" s="3" t="s">
        <v>45663</v>
      </c>
      <c r="AZ4722" s="3" t="s">
        <v>45664</v>
      </c>
      <c r="BA4722" s="3" t="s">
        <v>45664</v>
      </c>
      <c r="BB4722" s="3" t="s">
        <v>45665</v>
      </c>
      <c r="BC4722" s="3" t="s">
        <v>102</v>
      </c>
      <c r="BD4722" s="3" t="s">
        <v>68</v>
      </c>
      <c r="BF4722" s="3" t="s">
        <v>45665</v>
      </c>
      <c r="BG4722" s="3" t="s">
        <v>45666</v>
      </c>
    </row>
    <row r="4723" spans="1:59" ht="58" x14ac:dyDescent="0.35">
      <c r="A4723" s="2" t="s">
        <v>59</v>
      </c>
      <c r="B4723" s="2" t="s">
        <v>60</v>
      </c>
      <c r="C4723" s="2" t="s">
        <v>45667</v>
      </c>
      <c r="D4723" s="2" t="s">
        <v>45668</v>
      </c>
      <c r="E4723" s="2" t="s">
        <v>45669</v>
      </c>
      <c r="G4723" s="3" t="s">
        <v>62</v>
      </c>
      <c r="I4723" s="3" t="s">
        <v>62</v>
      </c>
      <c r="J4723" s="3" t="s">
        <v>62</v>
      </c>
      <c r="K4723" s="3" t="s">
        <v>63</v>
      </c>
      <c r="L4723" s="2" t="s">
        <v>45670</v>
      </c>
      <c r="M4723" s="2" t="s">
        <v>45671</v>
      </c>
      <c r="N4723" s="3" t="s">
        <v>424</v>
      </c>
      <c r="P4723" s="3" t="s">
        <v>64</v>
      </c>
      <c r="R4723" s="3" t="s">
        <v>42369</v>
      </c>
      <c r="S4723" s="4">
        <v>8</v>
      </c>
      <c r="T4723" s="4">
        <v>8</v>
      </c>
      <c r="U4723" s="5" t="s">
        <v>21367</v>
      </c>
      <c r="V4723" s="5" t="s">
        <v>21367</v>
      </c>
      <c r="W4723" s="5" t="s">
        <v>67</v>
      </c>
      <c r="X4723" s="5" t="s">
        <v>67</v>
      </c>
      <c r="Y4723" s="4">
        <v>258</v>
      </c>
      <c r="Z4723" s="4">
        <v>20</v>
      </c>
      <c r="AA4723" s="4">
        <v>20</v>
      </c>
      <c r="AB4723" s="4">
        <v>1</v>
      </c>
      <c r="AC4723" s="4">
        <v>1</v>
      </c>
      <c r="AD4723" s="4">
        <v>98</v>
      </c>
      <c r="AE4723" s="4">
        <v>98</v>
      </c>
      <c r="AF4723" s="4">
        <v>0</v>
      </c>
      <c r="AG4723" s="4">
        <v>0</v>
      </c>
      <c r="AH4723" s="4">
        <v>88</v>
      </c>
      <c r="AI4723" s="4">
        <v>88</v>
      </c>
      <c r="AJ4723" s="4">
        <v>16</v>
      </c>
      <c r="AK4723" s="4">
        <v>16</v>
      </c>
      <c r="AL4723" s="4">
        <v>45</v>
      </c>
      <c r="AM4723" s="4">
        <v>45</v>
      </c>
      <c r="AN4723" s="4">
        <v>0</v>
      </c>
      <c r="AO4723" s="4">
        <v>0</v>
      </c>
      <c r="AP4723" s="4">
        <v>17</v>
      </c>
      <c r="AQ4723" s="4">
        <v>17</v>
      </c>
      <c r="AR4723" s="3" t="s">
        <v>62</v>
      </c>
      <c r="AS4723" s="3" t="s">
        <v>62</v>
      </c>
      <c r="AT4723" s="3" t="s">
        <v>61</v>
      </c>
      <c r="AU4723" s="6" t="str">
        <f>HYPERLINK("http://catalog.hathitrust.org/Record/001945323","HathiTrust Record")</f>
        <v>HathiTrust Record</v>
      </c>
      <c r="AV4723" s="6" t="str">
        <f>HYPERLINK("http://mcgill.on.worldcat.org/oclc/17954371","Catalog Record")</f>
        <v>Catalog Record</v>
      </c>
      <c r="AW4723" s="6" t="str">
        <f>HYPERLINK("http://www.worldcat.org/oclc/17954371","WorldCat Record")</f>
        <v>WorldCat Record</v>
      </c>
      <c r="AX4723" s="3" t="s">
        <v>45672</v>
      </c>
      <c r="AY4723" s="3" t="s">
        <v>45673</v>
      </c>
      <c r="AZ4723" s="3" t="s">
        <v>45674</v>
      </c>
      <c r="BA4723" s="3" t="s">
        <v>45674</v>
      </c>
      <c r="BB4723" s="3" t="s">
        <v>45675</v>
      </c>
      <c r="BC4723" s="3" t="s">
        <v>102</v>
      </c>
      <c r="BD4723" s="3" t="s">
        <v>68</v>
      </c>
      <c r="BE4723" s="3" t="s">
        <v>45676</v>
      </c>
      <c r="BF4723" s="3" t="s">
        <v>45675</v>
      </c>
      <c r="BG4723" s="3" t="s">
        <v>45677</v>
      </c>
    </row>
    <row r="4724" spans="1:59" ht="58" x14ac:dyDescent="0.35">
      <c r="A4724" s="2" t="s">
        <v>89</v>
      </c>
      <c r="B4724" s="2" t="s">
        <v>90</v>
      </c>
      <c r="C4724" s="2" t="s">
        <v>45678</v>
      </c>
      <c r="D4724" s="2" t="s">
        <v>45679</v>
      </c>
      <c r="E4724" s="2" t="s">
        <v>45680</v>
      </c>
      <c r="G4724" s="3" t="s">
        <v>62</v>
      </c>
      <c r="I4724" s="3" t="s">
        <v>61</v>
      </c>
      <c r="J4724" s="3" t="s">
        <v>62</v>
      </c>
      <c r="K4724" s="3" t="s">
        <v>63</v>
      </c>
      <c r="L4724" s="2" t="s">
        <v>45681</v>
      </c>
      <c r="M4724" s="2" t="s">
        <v>45682</v>
      </c>
      <c r="N4724" s="3" t="s">
        <v>2136</v>
      </c>
      <c r="P4724" s="3" t="s">
        <v>64</v>
      </c>
      <c r="R4724" s="3" t="s">
        <v>42369</v>
      </c>
      <c r="S4724" s="4">
        <v>7</v>
      </c>
      <c r="T4724" s="4">
        <v>38</v>
      </c>
      <c r="U4724" s="5" t="s">
        <v>6141</v>
      </c>
      <c r="V4724" s="5" t="s">
        <v>6141</v>
      </c>
      <c r="W4724" s="5" t="s">
        <v>67</v>
      </c>
      <c r="X4724" s="5" t="s">
        <v>67</v>
      </c>
      <c r="Y4724" s="4">
        <v>2146</v>
      </c>
      <c r="Z4724" s="4">
        <v>70</v>
      </c>
      <c r="AA4724" s="4">
        <v>84</v>
      </c>
      <c r="AB4724" s="4">
        <v>5</v>
      </c>
      <c r="AC4724" s="4">
        <v>8</v>
      </c>
      <c r="AD4724" s="4">
        <v>115</v>
      </c>
      <c r="AE4724" s="4">
        <v>125</v>
      </c>
      <c r="AF4724" s="4">
        <v>2</v>
      </c>
      <c r="AG4724" s="4">
        <v>4</v>
      </c>
      <c r="AH4724" s="4">
        <v>99</v>
      </c>
      <c r="AI4724" s="4">
        <v>103</v>
      </c>
      <c r="AJ4724" s="4">
        <v>16</v>
      </c>
      <c r="AK4724" s="4">
        <v>19</v>
      </c>
      <c r="AL4724" s="4">
        <v>54</v>
      </c>
      <c r="AM4724" s="4">
        <v>56</v>
      </c>
      <c r="AN4724" s="4">
        <v>0</v>
      </c>
      <c r="AO4724" s="4">
        <v>0</v>
      </c>
      <c r="AP4724" s="4">
        <v>24</v>
      </c>
      <c r="AQ4724" s="4">
        <v>28</v>
      </c>
      <c r="AR4724" s="3" t="s">
        <v>62</v>
      </c>
      <c r="AS4724" s="3" t="s">
        <v>62</v>
      </c>
      <c r="AT4724" s="3" t="s">
        <v>62</v>
      </c>
      <c r="AV4724" s="6" t="str">
        <f>HYPERLINK("http://mcgill.on.worldcat.org/oclc/56535176","Catalog Record")</f>
        <v>Catalog Record</v>
      </c>
      <c r="AW4724" s="6" t="str">
        <f>HYPERLINK("http://www.worldcat.org/oclc/56535176","WorldCat Record")</f>
        <v>WorldCat Record</v>
      </c>
      <c r="AX4724" s="3" t="s">
        <v>45683</v>
      </c>
      <c r="AY4724" s="3" t="s">
        <v>45684</v>
      </c>
      <c r="AZ4724" s="3" t="s">
        <v>45685</v>
      </c>
      <c r="BA4724" s="3" t="s">
        <v>45685</v>
      </c>
      <c r="BB4724" s="3" t="s">
        <v>45686</v>
      </c>
      <c r="BC4724" s="3" t="s">
        <v>102</v>
      </c>
      <c r="BD4724" s="3" t="s">
        <v>68</v>
      </c>
      <c r="BE4724" s="3" t="s">
        <v>45687</v>
      </c>
      <c r="BF4724" s="3" t="s">
        <v>45686</v>
      </c>
      <c r="BG4724" s="3" t="s">
        <v>45688</v>
      </c>
    </row>
    <row r="4725" spans="1:59" ht="58" x14ac:dyDescent="0.35">
      <c r="A4725" s="2" t="s">
        <v>89</v>
      </c>
      <c r="B4725" s="2" t="s">
        <v>90</v>
      </c>
      <c r="C4725" s="2" t="s">
        <v>45678</v>
      </c>
      <c r="D4725" s="2" t="s">
        <v>45679</v>
      </c>
      <c r="E4725" s="2" t="s">
        <v>45680</v>
      </c>
      <c r="G4725" s="3" t="s">
        <v>62</v>
      </c>
      <c r="I4725" s="3" t="s">
        <v>61</v>
      </c>
      <c r="J4725" s="3" t="s">
        <v>62</v>
      </c>
      <c r="K4725" s="3" t="s">
        <v>63</v>
      </c>
      <c r="L4725" s="2" t="s">
        <v>45681</v>
      </c>
      <c r="M4725" s="2" t="s">
        <v>45682</v>
      </c>
      <c r="N4725" s="3" t="s">
        <v>2136</v>
      </c>
      <c r="P4725" s="3" t="s">
        <v>64</v>
      </c>
      <c r="R4725" s="3" t="s">
        <v>42369</v>
      </c>
      <c r="S4725" s="4">
        <v>3</v>
      </c>
      <c r="T4725" s="4">
        <v>38</v>
      </c>
      <c r="U4725" s="5" t="s">
        <v>34199</v>
      </c>
      <c r="V4725" s="5" t="s">
        <v>6141</v>
      </c>
      <c r="W4725" s="5" t="s">
        <v>67</v>
      </c>
      <c r="X4725" s="5" t="s">
        <v>67</v>
      </c>
      <c r="Y4725" s="4">
        <v>2146</v>
      </c>
      <c r="Z4725" s="4">
        <v>70</v>
      </c>
      <c r="AA4725" s="4">
        <v>84</v>
      </c>
      <c r="AB4725" s="4">
        <v>5</v>
      </c>
      <c r="AC4725" s="4">
        <v>8</v>
      </c>
      <c r="AD4725" s="4">
        <v>115</v>
      </c>
      <c r="AE4725" s="4">
        <v>125</v>
      </c>
      <c r="AF4725" s="4">
        <v>2</v>
      </c>
      <c r="AG4725" s="4">
        <v>4</v>
      </c>
      <c r="AH4725" s="4">
        <v>99</v>
      </c>
      <c r="AI4725" s="4">
        <v>103</v>
      </c>
      <c r="AJ4725" s="4">
        <v>16</v>
      </c>
      <c r="AK4725" s="4">
        <v>19</v>
      </c>
      <c r="AL4725" s="4">
        <v>54</v>
      </c>
      <c r="AM4725" s="4">
        <v>56</v>
      </c>
      <c r="AN4725" s="4">
        <v>0</v>
      </c>
      <c r="AO4725" s="4">
        <v>0</v>
      </c>
      <c r="AP4725" s="4">
        <v>24</v>
      </c>
      <c r="AQ4725" s="4">
        <v>28</v>
      </c>
      <c r="AR4725" s="3" t="s">
        <v>62</v>
      </c>
      <c r="AS4725" s="3" t="s">
        <v>62</v>
      </c>
      <c r="AT4725" s="3" t="s">
        <v>62</v>
      </c>
      <c r="AV4725" s="6" t="str">
        <f>HYPERLINK("http://mcgill.on.worldcat.org/oclc/56535176","Catalog Record")</f>
        <v>Catalog Record</v>
      </c>
      <c r="AW4725" s="6" t="str">
        <f>HYPERLINK("http://www.worldcat.org/oclc/56535176","WorldCat Record")</f>
        <v>WorldCat Record</v>
      </c>
      <c r="AX4725" s="3" t="s">
        <v>45683</v>
      </c>
      <c r="AY4725" s="3" t="s">
        <v>45684</v>
      </c>
      <c r="AZ4725" s="3" t="s">
        <v>45685</v>
      </c>
      <c r="BA4725" s="3" t="s">
        <v>45685</v>
      </c>
      <c r="BB4725" s="3" t="s">
        <v>45689</v>
      </c>
      <c r="BC4725" s="3" t="s">
        <v>102</v>
      </c>
      <c r="BD4725" s="3" t="s">
        <v>68</v>
      </c>
      <c r="BE4725" s="3" t="s">
        <v>45687</v>
      </c>
      <c r="BF4725" s="3" t="s">
        <v>45689</v>
      </c>
      <c r="BG4725" s="3" t="s">
        <v>45690</v>
      </c>
    </row>
    <row r="4726" spans="1:59" ht="58" x14ac:dyDescent="0.35">
      <c r="A4726" s="2" t="s">
        <v>59</v>
      </c>
      <c r="B4726" s="2" t="s">
        <v>60</v>
      </c>
      <c r="C4726" s="2" t="s">
        <v>45691</v>
      </c>
      <c r="D4726" s="2" t="s">
        <v>45692</v>
      </c>
      <c r="E4726" s="2" t="s">
        <v>45693</v>
      </c>
      <c r="G4726" s="3" t="s">
        <v>62</v>
      </c>
      <c r="I4726" s="3" t="s">
        <v>62</v>
      </c>
      <c r="J4726" s="3" t="s">
        <v>61</v>
      </c>
      <c r="K4726" s="3" t="s">
        <v>63</v>
      </c>
      <c r="L4726" s="2" t="s">
        <v>45694</v>
      </c>
      <c r="M4726" s="2" t="s">
        <v>45695</v>
      </c>
      <c r="N4726" s="3" t="s">
        <v>1077</v>
      </c>
      <c r="O4726" s="2" t="s">
        <v>2986</v>
      </c>
      <c r="P4726" s="3" t="s">
        <v>64</v>
      </c>
      <c r="R4726" s="3" t="s">
        <v>42369</v>
      </c>
      <c r="S4726" s="4">
        <v>8</v>
      </c>
      <c r="T4726" s="4">
        <v>8</v>
      </c>
      <c r="U4726" s="5" t="s">
        <v>45696</v>
      </c>
      <c r="V4726" s="5" t="s">
        <v>45696</v>
      </c>
      <c r="W4726" s="5" t="s">
        <v>67</v>
      </c>
      <c r="X4726" s="5" t="s">
        <v>67</v>
      </c>
      <c r="Y4726" s="4">
        <v>269</v>
      </c>
      <c r="Z4726" s="4">
        <v>19</v>
      </c>
      <c r="AA4726" s="4">
        <v>48</v>
      </c>
      <c r="AB4726" s="4">
        <v>2</v>
      </c>
      <c r="AC4726" s="4">
        <v>6</v>
      </c>
      <c r="AD4726" s="4">
        <v>77</v>
      </c>
      <c r="AE4726" s="4">
        <v>128</v>
      </c>
      <c r="AF4726" s="4">
        <v>1</v>
      </c>
      <c r="AG4726" s="4">
        <v>4</v>
      </c>
      <c r="AH4726" s="4">
        <v>66</v>
      </c>
      <c r="AI4726" s="4">
        <v>101</v>
      </c>
      <c r="AJ4726" s="4">
        <v>11</v>
      </c>
      <c r="AK4726" s="4">
        <v>24</v>
      </c>
      <c r="AL4726" s="4">
        <v>40</v>
      </c>
      <c r="AM4726" s="4">
        <v>52</v>
      </c>
      <c r="AN4726" s="4">
        <v>0</v>
      </c>
      <c r="AO4726" s="4">
        <v>0</v>
      </c>
      <c r="AP4726" s="4">
        <v>16</v>
      </c>
      <c r="AQ4726" s="4">
        <v>35</v>
      </c>
      <c r="AR4726" s="3" t="s">
        <v>62</v>
      </c>
      <c r="AS4726" s="3" t="s">
        <v>62</v>
      </c>
      <c r="AT4726" s="3" t="s">
        <v>62</v>
      </c>
      <c r="AV4726" s="6" t="str">
        <f>HYPERLINK("http://mcgill.on.worldcat.org/oclc/25832200","Catalog Record")</f>
        <v>Catalog Record</v>
      </c>
      <c r="AW4726" s="6" t="str">
        <f>HYPERLINK("http://www.worldcat.org/oclc/25832200","WorldCat Record")</f>
        <v>WorldCat Record</v>
      </c>
      <c r="AX4726" s="3" t="s">
        <v>45697</v>
      </c>
      <c r="AY4726" s="3" t="s">
        <v>45698</v>
      </c>
      <c r="AZ4726" s="3" t="s">
        <v>45699</v>
      </c>
      <c r="BA4726" s="3" t="s">
        <v>45699</v>
      </c>
      <c r="BB4726" s="3" t="s">
        <v>45700</v>
      </c>
      <c r="BC4726" s="3" t="s">
        <v>102</v>
      </c>
      <c r="BD4726" s="3" t="s">
        <v>68</v>
      </c>
      <c r="BE4726" s="3" t="s">
        <v>45701</v>
      </c>
      <c r="BF4726" s="3" t="s">
        <v>45700</v>
      </c>
      <c r="BG4726" s="3" t="s">
        <v>45702</v>
      </c>
    </row>
    <row r="4727" spans="1:59" ht="58" x14ac:dyDescent="0.35">
      <c r="A4727" s="2" t="s">
        <v>59</v>
      </c>
      <c r="B4727" s="2" t="s">
        <v>60</v>
      </c>
      <c r="C4727" s="2" t="s">
        <v>45703</v>
      </c>
      <c r="D4727" s="2" t="s">
        <v>45704</v>
      </c>
      <c r="E4727" s="2" t="s">
        <v>45705</v>
      </c>
      <c r="G4727" s="3" t="s">
        <v>62</v>
      </c>
      <c r="I4727" s="3" t="s">
        <v>62</v>
      </c>
      <c r="J4727" s="3" t="s">
        <v>62</v>
      </c>
      <c r="K4727" s="3" t="s">
        <v>63</v>
      </c>
      <c r="L4727" s="2" t="s">
        <v>45706</v>
      </c>
      <c r="M4727" s="2" t="s">
        <v>45707</v>
      </c>
      <c r="N4727" s="3" t="s">
        <v>568</v>
      </c>
      <c r="O4727" s="2" t="s">
        <v>2163</v>
      </c>
      <c r="P4727" s="3" t="s">
        <v>64</v>
      </c>
      <c r="R4727" s="3" t="s">
        <v>42369</v>
      </c>
      <c r="S4727" s="4">
        <v>9</v>
      </c>
      <c r="T4727" s="4">
        <v>9</v>
      </c>
      <c r="U4727" s="5" t="s">
        <v>18455</v>
      </c>
      <c r="V4727" s="5" t="s">
        <v>18455</v>
      </c>
      <c r="W4727" s="5" t="s">
        <v>67</v>
      </c>
      <c r="X4727" s="5" t="s">
        <v>67</v>
      </c>
      <c r="Y4727" s="4">
        <v>914</v>
      </c>
      <c r="Z4727" s="4">
        <v>35</v>
      </c>
      <c r="AA4727" s="4">
        <v>41</v>
      </c>
      <c r="AB4727" s="4">
        <v>2</v>
      </c>
      <c r="AC4727" s="4">
        <v>4</v>
      </c>
      <c r="AD4727" s="4">
        <v>50</v>
      </c>
      <c r="AE4727" s="4">
        <v>53</v>
      </c>
      <c r="AF4727" s="4">
        <v>0</v>
      </c>
      <c r="AG4727" s="4">
        <v>0</v>
      </c>
      <c r="AH4727" s="4">
        <v>47</v>
      </c>
      <c r="AI4727" s="4">
        <v>50</v>
      </c>
      <c r="AJ4727" s="4">
        <v>1</v>
      </c>
      <c r="AK4727" s="4">
        <v>2</v>
      </c>
      <c r="AL4727" s="4">
        <v>22</v>
      </c>
      <c r="AM4727" s="4">
        <v>23</v>
      </c>
      <c r="AN4727" s="4">
        <v>0</v>
      </c>
      <c r="AO4727" s="4">
        <v>0</v>
      </c>
      <c r="AP4727" s="4">
        <v>3</v>
      </c>
      <c r="AQ4727" s="4">
        <v>4</v>
      </c>
      <c r="AR4727" s="3" t="s">
        <v>62</v>
      </c>
      <c r="AS4727" s="3" t="s">
        <v>62</v>
      </c>
      <c r="AT4727" s="3" t="s">
        <v>61</v>
      </c>
      <c r="AU4727" s="6" t="str">
        <f>HYPERLINK("http://catalog.hathitrust.org/Record/004112969","HathiTrust Record")</f>
        <v>HathiTrust Record</v>
      </c>
      <c r="AV4727" s="6" t="str">
        <f>HYPERLINK("http://mcgill.on.worldcat.org/oclc/42813053","Catalog Record")</f>
        <v>Catalog Record</v>
      </c>
      <c r="AW4727" s="6" t="str">
        <f>HYPERLINK("http://www.worldcat.org/oclc/42813053","WorldCat Record")</f>
        <v>WorldCat Record</v>
      </c>
      <c r="AX4727" s="3" t="s">
        <v>45708</v>
      </c>
      <c r="AY4727" s="3" t="s">
        <v>45709</v>
      </c>
      <c r="AZ4727" s="3" t="s">
        <v>45710</v>
      </c>
      <c r="BA4727" s="3" t="s">
        <v>45710</v>
      </c>
      <c r="BB4727" s="3" t="s">
        <v>45711</v>
      </c>
      <c r="BC4727" s="3" t="s">
        <v>102</v>
      </c>
      <c r="BD4727" s="3" t="s">
        <v>68</v>
      </c>
      <c r="BE4727" s="3" t="s">
        <v>45712</v>
      </c>
      <c r="BF4727" s="3" t="s">
        <v>45711</v>
      </c>
      <c r="BG4727" s="3" t="s">
        <v>45713</v>
      </c>
    </row>
    <row r="4728" spans="1:59" ht="58" x14ac:dyDescent="0.35">
      <c r="A4728" s="2" t="s">
        <v>59</v>
      </c>
      <c r="B4728" s="2" t="s">
        <v>60</v>
      </c>
      <c r="C4728" s="2" t="s">
        <v>45714</v>
      </c>
      <c r="D4728" s="2" t="s">
        <v>45715</v>
      </c>
      <c r="E4728" s="2" t="s">
        <v>45716</v>
      </c>
      <c r="G4728" s="3" t="s">
        <v>62</v>
      </c>
      <c r="I4728" s="3" t="s">
        <v>61</v>
      </c>
      <c r="J4728" s="3" t="s">
        <v>62</v>
      </c>
      <c r="K4728" s="3" t="s">
        <v>63</v>
      </c>
      <c r="L4728" s="2" t="s">
        <v>45717</v>
      </c>
      <c r="M4728" s="2" t="s">
        <v>45718</v>
      </c>
      <c r="N4728" s="3" t="s">
        <v>893</v>
      </c>
      <c r="O4728" s="2" t="s">
        <v>2187</v>
      </c>
      <c r="P4728" s="3" t="s">
        <v>64</v>
      </c>
      <c r="R4728" s="3" t="s">
        <v>42369</v>
      </c>
      <c r="S4728" s="4">
        <v>3</v>
      </c>
      <c r="T4728" s="4">
        <v>4</v>
      </c>
      <c r="U4728" s="5" t="s">
        <v>241</v>
      </c>
      <c r="V4728" s="5" t="s">
        <v>241</v>
      </c>
      <c r="W4728" s="5" t="s">
        <v>67</v>
      </c>
      <c r="X4728" s="5" t="s">
        <v>67</v>
      </c>
      <c r="Y4728" s="4">
        <v>837</v>
      </c>
      <c r="Z4728" s="4">
        <v>25</v>
      </c>
      <c r="AA4728" s="4">
        <v>33</v>
      </c>
      <c r="AB4728" s="4">
        <v>1</v>
      </c>
      <c r="AC4728" s="4">
        <v>2</v>
      </c>
      <c r="AD4728" s="4">
        <v>74</v>
      </c>
      <c r="AE4728" s="4">
        <v>89</v>
      </c>
      <c r="AF4728" s="4">
        <v>0</v>
      </c>
      <c r="AG4728" s="4">
        <v>1</v>
      </c>
      <c r="AH4728" s="4">
        <v>66</v>
      </c>
      <c r="AI4728" s="4">
        <v>77</v>
      </c>
      <c r="AJ4728" s="4">
        <v>7</v>
      </c>
      <c r="AK4728" s="4">
        <v>11</v>
      </c>
      <c r="AL4728" s="4">
        <v>31</v>
      </c>
      <c r="AM4728" s="4">
        <v>37</v>
      </c>
      <c r="AN4728" s="4">
        <v>0</v>
      </c>
      <c r="AO4728" s="4">
        <v>0</v>
      </c>
      <c r="AP4728" s="4">
        <v>13</v>
      </c>
      <c r="AQ4728" s="4">
        <v>19</v>
      </c>
      <c r="AR4728" s="3" t="s">
        <v>62</v>
      </c>
      <c r="AS4728" s="3" t="s">
        <v>62</v>
      </c>
      <c r="AT4728" s="3" t="s">
        <v>62</v>
      </c>
      <c r="AV4728" s="6" t="str">
        <f>HYPERLINK("http://mcgill.on.worldcat.org/oclc/8918204","Catalog Record")</f>
        <v>Catalog Record</v>
      </c>
      <c r="AW4728" s="6" t="str">
        <f>HYPERLINK("http://www.worldcat.org/oclc/8918204","WorldCat Record")</f>
        <v>WorldCat Record</v>
      </c>
      <c r="AX4728" s="3" t="s">
        <v>45719</v>
      </c>
      <c r="AY4728" s="3" t="s">
        <v>45720</v>
      </c>
      <c r="AZ4728" s="3" t="s">
        <v>45721</v>
      </c>
      <c r="BA4728" s="3" t="s">
        <v>45721</v>
      </c>
      <c r="BB4728" s="3" t="s">
        <v>45722</v>
      </c>
      <c r="BC4728" s="3" t="s">
        <v>102</v>
      </c>
      <c r="BD4728" s="3" t="s">
        <v>68</v>
      </c>
      <c r="BE4728" s="3" t="s">
        <v>45723</v>
      </c>
      <c r="BF4728" s="3" t="s">
        <v>45722</v>
      </c>
      <c r="BG4728" s="3" t="s">
        <v>45724</v>
      </c>
    </row>
    <row r="4729" spans="1:59" ht="58" x14ac:dyDescent="0.35">
      <c r="A4729" s="2" t="s">
        <v>89</v>
      </c>
      <c r="B4729" s="2" t="s">
        <v>90</v>
      </c>
      <c r="C4729" s="2" t="s">
        <v>45725</v>
      </c>
      <c r="D4729" s="2" t="s">
        <v>45726</v>
      </c>
      <c r="E4729" s="2" t="s">
        <v>45727</v>
      </c>
      <c r="G4729" s="3" t="s">
        <v>62</v>
      </c>
      <c r="I4729" s="3" t="s">
        <v>62</v>
      </c>
      <c r="J4729" s="3" t="s">
        <v>62</v>
      </c>
      <c r="K4729" s="3" t="s">
        <v>63</v>
      </c>
      <c r="L4729" s="2" t="s">
        <v>45728</v>
      </c>
      <c r="M4729" s="2" t="s">
        <v>45729</v>
      </c>
      <c r="N4729" s="3" t="s">
        <v>930</v>
      </c>
      <c r="P4729" s="3" t="s">
        <v>64</v>
      </c>
      <c r="Q4729" s="2" t="s">
        <v>45730</v>
      </c>
      <c r="R4729" s="3" t="s">
        <v>42369</v>
      </c>
      <c r="S4729" s="4">
        <v>10</v>
      </c>
      <c r="T4729" s="4">
        <v>10</v>
      </c>
      <c r="U4729" s="5" t="s">
        <v>45731</v>
      </c>
      <c r="V4729" s="5" t="s">
        <v>45731</v>
      </c>
      <c r="W4729" s="5" t="s">
        <v>67</v>
      </c>
      <c r="X4729" s="5" t="s">
        <v>67</v>
      </c>
      <c r="Y4729" s="4">
        <v>517</v>
      </c>
      <c r="Z4729" s="4">
        <v>33</v>
      </c>
      <c r="AA4729" s="4">
        <v>40</v>
      </c>
      <c r="AB4729" s="4">
        <v>2</v>
      </c>
      <c r="AC4729" s="4">
        <v>8</v>
      </c>
      <c r="AD4729" s="4">
        <v>116</v>
      </c>
      <c r="AE4729" s="4">
        <v>121</v>
      </c>
      <c r="AF4729" s="4">
        <v>1</v>
      </c>
      <c r="AG4729" s="4">
        <v>5</v>
      </c>
      <c r="AH4729" s="4">
        <v>98</v>
      </c>
      <c r="AI4729" s="4">
        <v>99</v>
      </c>
      <c r="AJ4729" s="4">
        <v>18</v>
      </c>
      <c r="AK4729" s="4">
        <v>23</v>
      </c>
      <c r="AL4729" s="4">
        <v>49</v>
      </c>
      <c r="AM4729" s="4">
        <v>49</v>
      </c>
      <c r="AN4729" s="4">
        <v>0</v>
      </c>
      <c r="AO4729" s="4">
        <v>0</v>
      </c>
      <c r="AP4729" s="4">
        <v>26</v>
      </c>
      <c r="AQ4729" s="4">
        <v>30</v>
      </c>
      <c r="AR4729" s="3" t="s">
        <v>62</v>
      </c>
      <c r="AS4729" s="3" t="s">
        <v>62</v>
      </c>
      <c r="AT4729" s="3" t="s">
        <v>61</v>
      </c>
      <c r="AU4729" s="6" t="str">
        <f>HYPERLINK("http://catalog.hathitrust.org/Record/001503020","HathiTrust Record")</f>
        <v>HathiTrust Record</v>
      </c>
      <c r="AV4729" s="6" t="str">
        <f>HYPERLINK("http://mcgill.on.worldcat.org/oclc/490668","Catalog Record")</f>
        <v>Catalog Record</v>
      </c>
      <c r="AW4729" s="6" t="str">
        <f>HYPERLINK("http://www.worldcat.org/oclc/490668","WorldCat Record")</f>
        <v>WorldCat Record</v>
      </c>
      <c r="AX4729" s="3" t="s">
        <v>45732</v>
      </c>
      <c r="AY4729" s="3" t="s">
        <v>45733</v>
      </c>
      <c r="AZ4729" s="3" t="s">
        <v>45734</v>
      </c>
      <c r="BA4729" s="3" t="s">
        <v>45734</v>
      </c>
      <c r="BB4729" s="3" t="s">
        <v>45735</v>
      </c>
      <c r="BC4729" s="3" t="s">
        <v>102</v>
      </c>
      <c r="BD4729" s="3" t="s">
        <v>68</v>
      </c>
      <c r="BE4729" s="3" t="s">
        <v>45736</v>
      </c>
      <c r="BF4729" s="3" t="s">
        <v>45735</v>
      </c>
      <c r="BG4729" s="3" t="s">
        <v>45737</v>
      </c>
    </row>
    <row r="4730" spans="1:59" ht="58" x14ac:dyDescent="0.35">
      <c r="A4730" s="2" t="s">
        <v>59</v>
      </c>
      <c r="B4730" s="2" t="s">
        <v>60</v>
      </c>
      <c r="C4730" s="2" t="s">
        <v>45738</v>
      </c>
      <c r="D4730" s="2" t="s">
        <v>45739</v>
      </c>
      <c r="E4730" s="2" t="s">
        <v>45740</v>
      </c>
      <c r="G4730" s="3" t="s">
        <v>62</v>
      </c>
      <c r="I4730" s="3" t="s">
        <v>61</v>
      </c>
      <c r="J4730" s="3" t="s">
        <v>62</v>
      </c>
      <c r="K4730" s="3" t="s">
        <v>63</v>
      </c>
      <c r="L4730" s="2" t="s">
        <v>45741</v>
      </c>
      <c r="M4730" s="2" t="s">
        <v>45742</v>
      </c>
      <c r="N4730" s="3" t="s">
        <v>81</v>
      </c>
      <c r="P4730" s="3" t="s">
        <v>64</v>
      </c>
      <c r="Q4730" s="2" t="s">
        <v>45743</v>
      </c>
      <c r="R4730" s="3" t="s">
        <v>42369</v>
      </c>
      <c r="S4730" s="4">
        <v>6</v>
      </c>
      <c r="T4730" s="4">
        <v>25</v>
      </c>
      <c r="U4730" s="5" t="s">
        <v>45744</v>
      </c>
      <c r="V4730" s="5" t="s">
        <v>7448</v>
      </c>
      <c r="W4730" s="5" t="s">
        <v>67</v>
      </c>
      <c r="X4730" s="5" t="s">
        <v>67</v>
      </c>
      <c r="Y4730" s="4">
        <v>765</v>
      </c>
      <c r="Z4730" s="4">
        <v>38</v>
      </c>
      <c r="AA4730" s="4">
        <v>48</v>
      </c>
      <c r="AB4730" s="4">
        <v>2</v>
      </c>
      <c r="AC4730" s="4">
        <v>8</v>
      </c>
      <c r="AD4730" s="4">
        <v>130</v>
      </c>
      <c r="AE4730" s="4">
        <v>138</v>
      </c>
      <c r="AF4730" s="4">
        <v>1</v>
      </c>
      <c r="AG4730" s="4">
        <v>4</v>
      </c>
      <c r="AH4730" s="4">
        <v>105</v>
      </c>
      <c r="AI4730" s="4">
        <v>110</v>
      </c>
      <c r="AJ4730" s="4">
        <v>23</v>
      </c>
      <c r="AK4730" s="4">
        <v>27</v>
      </c>
      <c r="AL4730" s="4">
        <v>57</v>
      </c>
      <c r="AM4730" s="4">
        <v>58</v>
      </c>
      <c r="AN4730" s="4">
        <v>0</v>
      </c>
      <c r="AO4730" s="4">
        <v>0</v>
      </c>
      <c r="AP4730" s="4">
        <v>30</v>
      </c>
      <c r="AQ4730" s="4">
        <v>34</v>
      </c>
      <c r="AR4730" s="3" t="s">
        <v>62</v>
      </c>
      <c r="AS4730" s="3" t="s">
        <v>62</v>
      </c>
      <c r="AT4730" s="3" t="s">
        <v>61</v>
      </c>
      <c r="AU4730" s="6" t="str">
        <f>HYPERLINK("http://catalog.hathitrust.org/Record/001503134","HathiTrust Record")</f>
        <v>HathiTrust Record</v>
      </c>
      <c r="AV4730" s="6" t="str">
        <f>HYPERLINK("http://mcgill.on.worldcat.org/oclc/310897","Catalog Record")</f>
        <v>Catalog Record</v>
      </c>
      <c r="AW4730" s="6" t="str">
        <f>HYPERLINK("http://www.worldcat.org/oclc/310897","WorldCat Record")</f>
        <v>WorldCat Record</v>
      </c>
      <c r="AX4730" s="3" t="s">
        <v>45745</v>
      </c>
      <c r="AY4730" s="3" t="s">
        <v>45746</v>
      </c>
      <c r="AZ4730" s="3" t="s">
        <v>45747</v>
      </c>
      <c r="BA4730" s="3" t="s">
        <v>45747</v>
      </c>
      <c r="BB4730" s="3" t="s">
        <v>45748</v>
      </c>
      <c r="BC4730" s="3" t="s">
        <v>102</v>
      </c>
      <c r="BD4730" s="3" t="s">
        <v>68</v>
      </c>
      <c r="BE4730" s="3" t="s">
        <v>45749</v>
      </c>
      <c r="BF4730" s="3" t="s">
        <v>45748</v>
      </c>
      <c r="BG4730" s="3" t="s">
        <v>45750</v>
      </c>
    </row>
    <row r="4731" spans="1:59" ht="58" x14ac:dyDescent="0.35">
      <c r="A4731" s="2" t="s">
        <v>59</v>
      </c>
      <c r="B4731" s="2" t="s">
        <v>60</v>
      </c>
      <c r="C4731" s="2" t="s">
        <v>45751</v>
      </c>
      <c r="D4731" s="2" t="s">
        <v>45752</v>
      </c>
      <c r="E4731" s="2" t="s">
        <v>45753</v>
      </c>
      <c r="G4731" s="3" t="s">
        <v>62</v>
      </c>
      <c r="I4731" s="3" t="s">
        <v>62</v>
      </c>
      <c r="J4731" s="3" t="s">
        <v>62</v>
      </c>
      <c r="K4731" s="3" t="s">
        <v>63</v>
      </c>
      <c r="M4731" s="2" t="s">
        <v>45754</v>
      </c>
      <c r="N4731" s="3" t="s">
        <v>1482</v>
      </c>
      <c r="P4731" s="3" t="s">
        <v>64</v>
      </c>
      <c r="Q4731" s="2" t="s">
        <v>45755</v>
      </c>
      <c r="R4731" s="3" t="s">
        <v>42369</v>
      </c>
      <c r="S4731" s="4">
        <v>10</v>
      </c>
      <c r="T4731" s="4">
        <v>10</v>
      </c>
      <c r="U4731" s="5" t="s">
        <v>42162</v>
      </c>
      <c r="V4731" s="5" t="s">
        <v>42162</v>
      </c>
      <c r="W4731" s="5" t="s">
        <v>67</v>
      </c>
      <c r="X4731" s="5" t="s">
        <v>67</v>
      </c>
      <c r="Y4731" s="4">
        <v>10</v>
      </c>
      <c r="Z4731" s="4">
        <v>2</v>
      </c>
      <c r="AA4731" s="4">
        <v>21</v>
      </c>
      <c r="AB4731" s="4">
        <v>1</v>
      </c>
      <c r="AC4731" s="4">
        <v>3</v>
      </c>
      <c r="AD4731" s="4">
        <v>5</v>
      </c>
      <c r="AE4731" s="4">
        <v>91</v>
      </c>
      <c r="AF4731" s="4">
        <v>0</v>
      </c>
      <c r="AG4731" s="4">
        <v>1</v>
      </c>
      <c r="AH4731" s="4">
        <v>4</v>
      </c>
      <c r="AI4731" s="4">
        <v>82</v>
      </c>
      <c r="AJ4731" s="4">
        <v>1</v>
      </c>
      <c r="AK4731" s="4">
        <v>16</v>
      </c>
      <c r="AL4731" s="4">
        <v>3</v>
      </c>
      <c r="AM4731" s="4">
        <v>40</v>
      </c>
      <c r="AN4731" s="4">
        <v>0</v>
      </c>
      <c r="AO4731" s="4">
        <v>0</v>
      </c>
      <c r="AP4731" s="4">
        <v>0</v>
      </c>
      <c r="AQ4731" s="4">
        <v>16</v>
      </c>
      <c r="AR4731" s="3" t="s">
        <v>62</v>
      </c>
      <c r="AS4731" s="3" t="s">
        <v>62</v>
      </c>
      <c r="AT4731" s="3" t="s">
        <v>61</v>
      </c>
      <c r="AU4731" s="6" t="str">
        <f>HYPERLINK("http://catalog.hathitrust.org/Record/000904574","HathiTrust Record")</f>
        <v>HathiTrust Record</v>
      </c>
      <c r="AV4731" s="6" t="str">
        <f>HYPERLINK("http://mcgill.on.worldcat.org/oclc/214492623","Catalog Record")</f>
        <v>Catalog Record</v>
      </c>
      <c r="AW4731" s="6" t="str">
        <f>HYPERLINK("http://www.worldcat.org/oclc/214492623","WorldCat Record")</f>
        <v>WorldCat Record</v>
      </c>
      <c r="AX4731" s="3" t="s">
        <v>45756</v>
      </c>
      <c r="AY4731" s="3" t="s">
        <v>45757</v>
      </c>
      <c r="AZ4731" s="3" t="s">
        <v>45758</v>
      </c>
      <c r="BA4731" s="3" t="s">
        <v>45758</v>
      </c>
      <c r="BB4731" s="3" t="s">
        <v>45759</v>
      </c>
      <c r="BC4731" s="3" t="s">
        <v>102</v>
      </c>
      <c r="BD4731" s="3" t="s">
        <v>68</v>
      </c>
      <c r="BE4731" s="3" t="s">
        <v>45760</v>
      </c>
      <c r="BF4731" s="3" t="s">
        <v>45759</v>
      </c>
      <c r="BG4731" s="3" t="s">
        <v>45761</v>
      </c>
    </row>
    <row r="4732" spans="1:59" ht="58" x14ac:dyDescent="0.35">
      <c r="A4732" s="2" t="s">
        <v>59</v>
      </c>
      <c r="B4732" s="2" t="s">
        <v>60</v>
      </c>
      <c r="C4732" s="2" t="s">
        <v>45762</v>
      </c>
      <c r="D4732" s="2" t="s">
        <v>45763</v>
      </c>
      <c r="E4732" s="2" t="s">
        <v>45764</v>
      </c>
      <c r="G4732" s="3" t="s">
        <v>62</v>
      </c>
      <c r="I4732" s="3" t="s">
        <v>62</v>
      </c>
      <c r="J4732" s="3" t="s">
        <v>61</v>
      </c>
      <c r="K4732" s="3" t="s">
        <v>63</v>
      </c>
      <c r="L4732" s="2" t="s">
        <v>45765</v>
      </c>
      <c r="M4732" s="2" t="s">
        <v>45766</v>
      </c>
      <c r="N4732" s="3" t="s">
        <v>1374</v>
      </c>
      <c r="P4732" s="3" t="s">
        <v>85</v>
      </c>
      <c r="Q4732" s="2" t="s">
        <v>45767</v>
      </c>
      <c r="R4732" s="3" t="s">
        <v>42369</v>
      </c>
      <c r="S4732" s="4">
        <v>4</v>
      </c>
      <c r="T4732" s="4">
        <v>4</v>
      </c>
      <c r="U4732" s="5" t="s">
        <v>28347</v>
      </c>
      <c r="V4732" s="5" t="s">
        <v>28347</v>
      </c>
      <c r="W4732" s="5" t="s">
        <v>67</v>
      </c>
      <c r="X4732" s="5" t="s">
        <v>67</v>
      </c>
      <c r="Y4732" s="4">
        <v>77</v>
      </c>
      <c r="Z4732" s="4">
        <v>2</v>
      </c>
      <c r="AA4732" s="4">
        <v>7</v>
      </c>
      <c r="AB4732" s="4">
        <v>1</v>
      </c>
      <c r="AC4732" s="4">
        <v>5</v>
      </c>
      <c r="AD4732" s="4">
        <v>23</v>
      </c>
      <c r="AE4732" s="4">
        <v>40</v>
      </c>
      <c r="AF4732" s="4">
        <v>0</v>
      </c>
      <c r="AG4732" s="4">
        <v>3</v>
      </c>
      <c r="AH4732" s="4">
        <v>20</v>
      </c>
      <c r="AI4732" s="4">
        <v>35</v>
      </c>
      <c r="AJ4732" s="4">
        <v>1</v>
      </c>
      <c r="AK4732" s="4">
        <v>5</v>
      </c>
      <c r="AL4732" s="4">
        <v>17</v>
      </c>
      <c r="AM4732" s="4">
        <v>23</v>
      </c>
      <c r="AN4732" s="4">
        <v>0</v>
      </c>
      <c r="AO4732" s="4">
        <v>0</v>
      </c>
      <c r="AP4732" s="4">
        <v>1</v>
      </c>
      <c r="AQ4732" s="4">
        <v>4</v>
      </c>
      <c r="AR4732" s="3" t="s">
        <v>62</v>
      </c>
      <c r="AS4732" s="3" t="s">
        <v>62</v>
      </c>
      <c r="AT4732" s="3" t="s">
        <v>62</v>
      </c>
      <c r="AU4732" s="6" t="str">
        <f>HYPERLINK("http://catalog.hathitrust.org/Record/006798760","HathiTrust Record")</f>
        <v>HathiTrust Record</v>
      </c>
      <c r="AV4732" s="6" t="str">
        <f>HYPERLINK("http://mcgill.on.worldcat.org/oclc/14775110","Catalog Record")</f>
        <v>Catalog Record</v>
      </c>
      <c r="AW4732" s="6" t="str">
        <f>HYPERLINK("http://www.worldcat.org/oclc/14775110","WorldCat Record")</f>
        <v>WorldCat Record</v>
      </c>
      <c r="AX4732" s="3" t="s">
        <v>45768</v>
      </c>
      <c r="AY4732" s="3" t="s">
        <v>45769</v>
      </c>
      <c r="AZ4732" s="3" t="s">
        <v>45770</v>
      </c>
      <c r="BA4732" s="3" t="s">
        <v>45770</v>
      </c>
      <c r="BB4732" s="3" t="s">
        <v>45771</v>
      </c>
      <c r="BC4732" s="3" t="s">
        <v>102</v>
      </c>
      <c r="BD4732" s="3" t="s">
        <v>68</v>
      </c>
      <c r="BF4732" s="3" t="s">
        <v>45771</v>
      </c>
      <c r="BG4732" s="3" t="s">
        <v>45772</v>
      </c>
    </row>
    <row r="4733" spans="1:59" ht="58" x14ac:dyDescent="0.35">
      <c r="A4733" s="2" t="s">
        <v>89</v>
      </c>
      <c r="B4733" s="2" t="s">
        <v>90</v>
      </c>
      <c r="C4733" s="2" t="s">
        <v>45773</v>
      </c>
      <c r="D4733" s="2" t="s">
        <v>45774</v>
      </c>
      <c r="E4733" s="2" t="s">
        <v>45775</v>
      </c>
      <c r="G4733" s="3" t="s">
        <v>62</v>
      </c>
      <c r="I4733" s="3" t="s">
        <v>62</v>
      </c>
      <c r="J4733" s="3" t="s">
        <v>61</v>
      </c>
      <c r="K4733" s="3" t="s">
        <v>63</v>
      </c>
      <c r="L4733" s="2" t="s">
        <v>45776</v>
      </c>
      <c r="M4733" s="2" t="s">
        <v>45777</v>
      </c>
      <c r="N4733" s="3" t="s">
        <v>2136</v>
      </c>
      <c r="P4733" s="3" t="s">
        <v>64</v>
      </c>
      <c r="R4733" s="3" t="s">
        <v>42369</v>
      </c>
      <c r="S4733" s="4">
        <v>8</v>
      </c>
      <c r="T4733" s="4">
        <v>8</v>
      </c>
      <c r="U4733" s="5" t="s">
        <v>1860</v>
      </c>
      <c r="V4733" s="5" t="s">
        <v>1860</v>
      </c>
      <c r="W4733" s="5" t="s">
        <v>67</v>
      </c>
      <c r="X4733" s="5" t="s">
        <v>67</v>
      </c>
      <c r="Y4733" s="4">
        <v>708</v>
      </c>
      <c r="Z4733" s="4">
        <v>38</v>
      </c>
      <c r="AA4733" s="4">
        <v>129</v>
      </c>
      <c r="AB4733" s="4">
        <v>3</v>
      </c>
      <c r="AC4733" s="4">
        <v>19</v>
      </c>
      <c r="AD4733" s="4">
        <v>107</v>
      </c>
      <c r="AE4733" s="4">
        <v>151</v>
      </c>
      <c r="AF4733" s="4">
        <v>1</v>
      </c>
      <c r="AG4733" s="4">
        <v>8</v>
      </c>
      <c r="AH4733" s="4">
        <v>95</v>
      </c>
      <c r="AI4733" s="4">
        <v>112</v>
      </c>
      <c r="AJ4733" s="4">
        <v>15</v>
      </c>
      <c r="AK4733" s="4">
        <v>25</v>
      </c>
      <c r="AL4733" s="4">
        <v>49</v>
      </c>
      <c r="AM4733" s="4">
        <v>56</v>
      </c>
      <c r="AN4733" s="4">
        <v>0</v>
      </c>
      <c r="AO4733" s="4">
        <v>0</v>
      </c>
      <c r="AP4733" s="4">
        <v>20</v>
      </c>
      <c r="AQ4733" s="4">
        <v>49</v>
      </c>
      <c r="AR4733" s="3" t="s">
        <v>62</v>
      </c>
      <c r="AS4733" s="3" t="s">
        <v>62</v>
      </c>
      <c r="AT4733" s="3" t="s">
        <v>62</v>
      </c>
      <c r="AV4733" s="6" t="str">
        <f>HYPERLINK("http://mcgill.on.worldcat.org/oclc/57751148","Catalog Record")</f>
        <v>Catalog Record</v>
      </c>
      <c r="AW4733" s="6" t="str">
        <f>HYPERLINK("http://www.worldcat.org/oclc/57751148","WorldCat Record")</f>
        <v>WorldCat Record</v>
      </c>
      <c r="AX4733" s="3" t="s">
        <v>45778</v>
      </c>
      <c r="AY4733" s="3" t="s">
        <v>45779</v>
      </c>
      <c r="AZ4733" s="3" t="s">
        <v>45780</v>
      </c>
      <c r="BA4733" s="3" t="s">
        <v>45780</v>
      </c>
      <c r="BB4733" s="3" t="s">
        <v>45781</v>
      </c>
      <c r="BC4733" s="3" t="s">
        <v>102</v>
      </c>
      <c r="BD4733" s="3" t="s">
        <v>68</v>
      </c>
      <c r="BE4733" s="3" t="s">
        <v>45782</v>
      </c>
      <c r="BF4733" s="3" t="s">
        <v>45781</v>
      </c>
      <c r="BG4733" s="3" t="s">
        <v>45783</v>
      </c>
    </row>
    <row r="4734" spans="1:59" ht="58" x14ac:dyDescent="0.35">
      <c r="A4734" s="2" t="s">
        <v>59</v>
      </c>
      <c r="B4734" s="2" t="s">
        <v>60</v>
      </c>
      <c r="C4734" s="2" t="s">
        <v>45784</v>
      </c>
      <c r="D4734" s="2" t="s">
        <v>45785</v>
      </c>
      <c r="E4734" s="2" t="s">
        <v>45786</v>
      </c>
      <c r="G4734" s="3" t="s">
        <v>62</v>
      </c>
      <c r="I4734" s="3" t="s">
        <v>62</v>
      </c>
      <c r="J4734" s="3" t="s">
        <v>62</v>
      </c>
      <c r="K4734" s="3" t="s">
        <v>63</v>
      </c>
      <c r="L4734" s="2" t="s">
        <v>45787</v>
      </c>
      <c r="M4734" s="2" t="s">
        <v>45788</v>
      </c>
      <c r="N4734" s="3" t="s">
        <v>3062</v>
      </c>
      <c r="P4734" s="3" t="s">
        <v>64</v>
      </c>
      <c r="R4734" s="3" t="s">
        <v>42369</v>
      </c>
      <c r="S4734" s="4">
        <v>27</v>
      </c>
      <c r="T4734" s="4">
        <v>27</v>
      </c>
      <c r="U4734" s="5" t="s">
        <v>1746</v>
      </c>
      <c r="V4734" s="5" t="s">
        <v>1746</v>
      </c>
      <c r="W4734" s="5" t="s">
        <v>67</v>
      </c>
      <c r="X4734" s="5" t="s">
        <v>67</v>
      </c>
      <c r="Y4734" s="4">
        <v>868</v>
      </c>
      <c r="Z4734" s="4">
        <v>40</v>
      </c>
      <c r="AA4734" s="4">
        <v>60</v>
      </c>
      <c r="AB4734" s="4">
        <v>3</v>
      </c>
      <c r="AC4734" s="4">
        <v>6</v>
      </c>
      <c r="AD4734" s="4">
        <v>123</v>
      </c>
      <c r="AE4734" s="4">
        <v>143</v>
      </c>
      <c r="AF4734" s="4">
        <v>2</v>
      </c>
      <c r="AG4734" s="4">
        <v>4</v>
      </c>
      <c r="AH4734" s="4">
        <v>100</v>
      </c>
      <c r="AI4734" s="4">
        <v>108</v>
      </c>
      <c r="AJ4734" s="4">
        <v>15</v>
      </c>
      <c r="AK4734" s="4">
        <v>22</v>
      </c>
      <c r="AL4734" s="4">
        <v>53</v>
      </c>
      <c r="AM4734" s="4">
        <v>58</v>
      </c>
      <c r="AN4734" s="4">
        <v>0</v>
      </c>
      <c r="AO4734" s="4">
        <v>0</v>
      </c>
      <c r="AP4734" s="4">
        <v>27</v>
      </c>
      <c r="AQ4734" s="4">
        <v>40</v>
      </c>
      <c r="AR4734" s="3" t="s">
        <v>62</v>
      </c>
      <c r="AS4734" s="3" t="s">
        <v>62</v>
      </c>
      <c r="AT4734" s="3" t="s">
        <v>62</v>
      </c>
      <c r="AV4734" s="6" t="str">
        <f>HYPERLINK("http://mcgill.on.worldcat.org/oclc/23144516","Catalog Record")</f>
        <v>Catalog Record</v>
      </c>
      <c r="AW4734" s="6" t="str">
        <f>HYPERLINK("http://www.worldcat.org/oclc/23144516","WorldCat Record")</f>
        <v>WorldCat Record</v>
      </c>
      <c r="AX4734" s="3" t="s">
        <v>45789</v>
      </c>
      <c r="AY4734" s="3" t="s">
        <v>45790</v>
      </c>
      <c r="AZ4734" s="3" t="s">
        <v>45791</v>
      </c>
      <c r="BA4734" s="3" t="s">
        <v>45791</v>
      </c>
      <c r="BB4734" s="3" t="s">
        <v>45792</v>
      </c>
      <c r="BC4734" s="3" t="s">
        <v>102</v>
      </c>
      <c r="BD4734" s="3" t="s">
        <v>68</v>
      </c>
      <c r="BE4734" s="3" t="s">
        <v>45793</v>
      </c>
      <c r="BF4734" s="3" t="s">
        <v>45792</v>
      </c>
      <c r="BG4734" s="3" t="s">
        <v>45794</v>
      </c>
    </row>
    <row r="4735" spans="1:59" ht="58" x14ac:dyDescent="0.35">
      <c r="A4735" s="2" t="s">
        <v>59</v>
      </c>
      <c r="B4735" s="2" t="s">
        <v>60</v>
      </c>
      <c r="C4735" s="2" t="s">
        <v>45795</v>
      </c>
      <c r="D4735" s="2" t="s">
        <v>45796</v>
      </c>
      <c r="E4735" s="2" t="s">
        <v>45797</v>
      </c>
      <c r="G4735" s="3" t="s">
        <v>62</v>
      </c>
      <c r="I4735" s="3" t="s">
        <v>62</v>
      </c>
      <c r="J4735" s="3" t="s">
        <v>62</v>
      </c>
      <c r="K4735" s="3" t="s">
        <v>63</v>
      </c>
      <c r="L4735" s="2" t="s">
        <v>45798</v>
      </c>
      <c r="M4735" s="2" t="s">
        <v>45799</v>
      </c>
      <c r="N4735" s="3" t="s">
        <v>2110</v>
      </c>
      <c r="P4735" s="3" t="s">
        <v>64</v>
      </c>
      <c r="R4735" s="3" t="s">
        <v>42369</v>
      </c>
      <c r="S4735" s="4">
        <v>8</v>
      </c>
      <c r="T4735" s="4">
        <v>8</v>
      </c>
      <c r="U4735" s="5" t="s">
        <v>45696</v>
      </c>
      <c r="V4735" s="5" t="s">
        <v>45696</v>
      </c>
      <c r="W4735" s="5" t="s">
        <v>67</v>
      </c>
      <c r="X4735" s="5" t="s">
        <v>67</v>
      </c>
      <c r="Y4735" s="4">
        <v>337</v>
      </c>
      <c r="Z4735" s="4">
        <v>26</v>
      </c>
      <c r="AA4735" s="4">
        <v>30</v>
      </c>
      <c r="AB4735" s="4">
        <v>3</v>
      </c>
      <c r="AC4735" s="4">
        <v>6</v>
      </c>
      <c r="AD4735" s="4">
        <v>103</v>
      </c>
      <c r="AE4735" s="4">
        <v>106</v>
      </c>
      <c r="AF4735" s="4">
        <v>1</v>
      </c>
      <c r="AG4735" s="4">
        <v>3</v>
      </c>
      <c r="AH4735" s="4">
        <v>87</v>
      </c>
      <c r="AI4735" s="4">
        <v>88</v>
      </c>
      <c r="AJ4735" s="4">
        <v>14</v>
      </c>
      <c r="AK4735" s="4">
        <v>17</v>
      </c>
      <c r="AL4735" s="4">
        <v>45</v>
      </c>
      <c r="AM4735" s="4">
        <v>45</v>
      </c>
      <c r="AN4735" s="4">
        <v>0</v>
      </c>
      <c r="AO4735" s="4">
        <v>0</v>
      </c>
      <c r="AP4735" s="4">
        <v>23</v>
      </c>
      <c r="AQ4735" s="4">
        <v>25</v>
      </c>
      <c r="AR4735" s="3" t="s">
        <v>62</v>
      </c>
      <c r="AS4735" s="3" t="s">
        <v>62</v>
      </c>
      <c r="AT4735" s="3" t="s">
        <v>62</v>
      </c>
      <c r="AV4735" s="6" t="str">
        <f>HYPERLINK("http://mcgill.on.worldcat.org/oclc/3608851","Catalog Record")</f>
        <v>Catalog Record</v>
      </c>
      <c r="AW4735" s="6" t="str">
        <f>HYPERLINK("http://www.worldcat.org/oclc/3608851","WorldCat Record")</f>
        <v>WorldCat Record</v>
      </c>
      <c r="AX4735" s="3" t="s">
        <v>45800</v>
      </c>
      <c r="AY4735" s="3" t="s">
        <v>45801</v>
      </c>
      <c r="AZ4735" s="3" t="s">
        <v>45802</v>
      </c>
      <c r="BA4735" s="3" t="s">
        <v>45802</v>
      </c>
      <c r="BB4735" s="3" t="s">
        <v>45803</v>
      </c>
      <c r="BC4735" s="3" t="s">
        <v>102</v>
      </c>
      <c r="BD4735" s="3" t="s">
        <v>68</v>
      </c>
      <c r="BE4735" s="3" t="s">
        <v>45804</v>
      </c>
      <c r="BF4735" s="3" t="s">
        <v>45803</v>
      </c>
      <c r="BG4735" s="3" t="s">
        <v>45805</v>
      </c>
    </row>
    <row r="4736" spans="1:59" ht="58" x14ac:dyDescent="0.35">
      <c r="A4736" s="2" t="s">
        <v>59</v>
      </c>
      <c r="B4736" s="2" t="s">
        <v>60</v>
      </c>
      <c r="C4736" s="2" t="s">
        <v>45806</v>
      </c>
      <c r="D4736" s="2" t="s">
        <v>45807</v>
      </c>
      <c r="E4736" s="2" t="s">
        <v>45808</v>
      </c>
      <c r="G4736" s="3" t="s">
        <v>62</v>
      </c>
      <c r="I4736" s="3" t="s">
        <v>62</v>
      </c>
      <c r="J4736" s="3" t="s">
        <v>62</v>
      </c>
      <c r="K4736" s="3" t="s">
        <v>63</v>
      </c>
      <c r="L4736" s="2" t="s">
        <v>45809</v>
      </c>
      <c r="M4736" s="2" t="s">
        <v>45810</v>
      </c>
      <c r="N4736" s="3" t="s">
        <v>81</v>
      </c>
      <c r="P4736" s="3" t="s">
        <v>64</v>
      </c>
      <c r="R4736" s="3" t="s">
        <v>42369</v>
      </c>
      <c r="S4736" s="4">
        <v>3</v>
      </c>
      <c r="T4736" s="4">
        <v>3</v>
      </c>
      <c r="U4736" s="5" t="s">
        <v>9563</v>
      </c>
      <c r="V4736" s="5" t="s">
        <v>9563</v>
      </c>
      <c r="W4736" s="5" t="s">
        <v>67</v>
      </c>
      <c r="X4736" s="5" t="s">
        <v>67</v>
      </c>
      <c r="Y4736" s="4">
        <v>600</v>
      </c>
      <c r="Z4736" s="4">
        <v>32</v>
      </c>
      <c r="AA4736" s="4">
        <v>36</v>
      </c>
      <c r="AB4736" s="4">
        <v>2</v>
      </c>
      <c r="AC4736" s="4">
        <v>4</v>
      </c>
      <c r="AD4736" s="4">
        <v>119</v>
      </c>
      <c r="AE4736" s="4">
        <v>123</v>
      </c>
      <c r="AF4736" s="4">
        <v>1</v>
      </c>
      <c r="AG4736" s="4">
        <v>3</v>
      </c>
      <c r="AH4736" s="4">
        <v>99</v>
      </c>
      <c r="AI4736" s="4">
        <v>100</v>
      </c>
      <c r="AJ4736" s="4">
        <v>18</v>
      </c>
      <c r="AK4736" s="4">
        <v>21</v>
      </c>
      <c r="AL4736" s="4">
        <v>52</v>
      </c>
      <c r="AM4736" s="4">
        <v>52</v>
      </c>
      <c r="AN4736" s="4">
        <v>0</v>
      </c>
      <c r="AO4736" s="4">
        <v>0</v>
      </c>
      <c r="AP4736" s="4">
        <v>28</v>
      </c>
      <c r="AQ4736" s="4">
        <v>31</v>
      </c>
      <c r="AR4736" s="3" t="s">
        <v>62</v>
      </c>
      <c r="AS4736" s="3" t="s">
        <v>62</v>
      </c>
      <c r="AT4736" s="3" t="s">
        <v>61</v>
      </c>
      <c r="AU4736" s="6" t="str">
        <f>HYPERLINK("http://catalog.hathitrust.org/Record/001503226","HathiTrust Record")</f>
        <v>HathiTrust Record</v>
      </c>
      <c r="AV4736" s="6" t="str">
        <f>HYPERLINK("http://mcgill.on.worldcat.org/oclc/186643","Catalog Record")</f>
        <v>Catalog Record</v>
      </c>
      <c r="AW4736" s="6" t="str">
        <f>HYPERLINK("http://www.worldcat.org/oclc/186643","WorldCat Record")</f>
        <v>WorldCat Record</v>
      </c>
      <c r="AX4736" s="3" t="s">
        <v>45811</v>
      </c>
      <c r="AY4736" s="3" t="s">
        <v>45812</v>
      </c>
      <c r="AZ4736" s="3" t="s">
        <v>45813</v>
      </c>
      <c r="BA4736" s="3" t="s">
        <v>45813</v>
      </c>
      <c r="BB4736" s="3" t="s">
        <v>45814</v>
      </c>
      <c r="BC4736" s="3" t="s">
        <v>102</v>
      </c>
      <c r="BD4736" s="3" t="s">
        <v>68</v>
      </c>
      <c r="BF4736" s="3" t="s">
        <v>45814</v>
      </c>
      <c r="BG4736" s="3" t="s">
        <v>45815</v>
      </c>
    </row>
    <row r="4737" spans="1:59" ht="58" x14ac:dyDescent="0.35">
      <c r="A4737" s="2" t="s">
        <v>59</v>
      </c>
      <c r="B4737" s="2" t="s">
        <v>60</v>
      </c>
      <c r="C4737" s="2" t="s">
        <v>45816</v>
      </c>
      <c r="D4737" s="2" t="s">
        <v>45817</v>
      </c>
      <c r="E4737" s="2" t="s">
        <v>45818</v>
      </c>
      <c r="G4737" s="3" t="s">
        <v>62</v>
      </c>
      <c r="I4737" s="3" t="s">
        <v>62</v>
      </c>
      <c r="J4737" s="3" t="s">
        <v>62</v>
      </c>
      <c r="K4737" s="3" t="s">
        <v>63</v>
      </c>
      <c r="M4737" s="2" t="s">
        <v>45819</v>
      </c>
      <c r="N4737" s="3" t="s">
        <v>481</v>
      </c>
      <c r="P4737" s="3" t="s">
        <v>64</v>
      </c>
      <c r="R4737" s="3" t="s">
        <v>42369</v>
      </c>
      <c r="S4737" s="4">
        <v>15</v>
      </c>
      <c r="T4737" s="4">
        <v>15</v>
      </c>
      <c r="U4737" s="5" t="s">
        <v>14911</v>
      </c>
      <c r="V4737" s="5" t="s">
        <v>14911</v>
      </c>
      <c r="W4737" s="5" t="s">
        <v>67</v>
      </c>
      <c r="X4737" s="5" t="s">
        <v>67</v>
      </c>
      <c r="Y4737" s="4">
        <v>293</v>
      </c>
      <c r="Z4737" s="4">
        <v>20</v>
      </c>
      <c r="AA4737" s="4">
        <v>25</v>
      </c>
      <c r="AB4737" s="4">
        <v>1</v>
      </c>
      <c r="AC4737" s="4">
        <v>4</v>
      </c>
      <c r="AD4737" s="4">
        <v>103</v>
      </c>
      <c r="AE4737" s="4">
        <v>107</v>
      </c>
      <c r="AF4737" s="4">
        <v>0</v>
      </c>
      <c r="AG4737" s="4">
        <v>2</v>
      </c>
      <c r="AH4737" s="4">
        <v>94</v>
      </c>
      <c r="AI4737" s="4">
        <v>94</v>
      </c>
      <c r="AJ4737" s="4">
        <v>15</v>
      </c>
      <c r="AK4737" s="4">
        <v>18</v>
      </c>
      <c r="AL4737" s="4">
        <v>53</v>
      </c>
      <c r="AM4737" s="4">
        <v>53</v>
      </c>
      <c r="AN4737" s="4">
        <v>0</v>
      </c>
      <c r="AO4737" s="4">
        <v>0</v>
      </c>
      <c r="AP4737" s="4">
        <v>15</v>
      </c>
      <c r="AQ4737" s="4">
        <v>18</v>
      </c>
      <c r="AR4737" s="3" t="s">
        <v>62</v>
      </c>
      <c r="AS4737" s="3" t="s">
        <v>62</v>
      </c>
      <c r="AT4737" s="3" t="s">
        <v>62</v>
      </c>
      <c r="AV4737" s="6" t="str">
        <f>HYPERLINK("http://mcgill.on.worldcat.org/oclc/34990110","Catalog Record")</f>
        <v>Catalog Record</v>
      </c>
      <c r="AW4737" s="6" t="str">
        <f>HYPERLINK("http://www.worldcat.org/oclc/34990110","WorldCat Record")</f>
        <v>WorldCat Record</v>
      </c>
      <c r="AX4737" s="3" t="s">
        <v>45820</v>
      </c>
      <c r="AY4737" s="3" t="s">
        <v>45821</v>
      </c>
      <c r="AZ4737" s="3" t="s">
        <v>45822</v>
      </c>
      <c r="BA4737" s="3" t="s">
        <v>45822</v>
      </c>
      <c r="BB4737" s="3" t="s">
        <v>45823</v>
      </c>
      <c r="BC4737" s="3" t="s">
        <v>102</v>
      </c>
      <c r="BD4737" s="3" t="s">
        <v>68</v>
      </c>
      <c r="BE4737" s="3" t="s">
        <v>45824</v>
      </c>
      <c r="BF4737" s="3" t="s">
        <v>45823</v>
      </c>
      <c r="BG4737" s="3" t="s">
        <v>45825</v>
      </c>
    </row>
    <row r="4738" spans="1:59" ht="58" x14ac:dyDescent="0.35">
      <c r="A4738" s="2" t="s">
        <v>59</v>
      </c>
      <c r="B4738" s="2" t="s">
        <v>60</v>
      </c>
      <c r="C4738" s="2" t="s">
        <v>45826</v>
      </c>
      <c r="D4738" s="2" t="s">
        <v>45827</v>
      </c>
      <c r="E4738" s="2" t="s">
        <v>45828</v>
      </c>
      <c r="G4738" s="3" t="s">
        <v>62</v>
      </c>
      <c r="I4738" s="3" t="s">
        <v>62</v>
      </c>
      <c r="J4738" s="3" t="s">
        <v>62</v>
      </c>
      <c r="K4738" s="3" t="s">
        <v>63</v>
      </c>
      <c r="L4738" s="2" t="s">
        <v>45829</v>
      </c>
      <c r="M4738" s="2" t="s">
        <v>45830</v>
      </c>
      <c r="N4738" s="3" t="s">
        <v>625</v>
      </c>
      <c r="P4738" s="3" t="s">
        <v>64</v>
      </c>
      <c r="R4738" s="3" t="s">
        <v>42369</v>
      </c>
      <c r="S4738" s="4">
        <v>3</v>
      </c>
      <c r="T4738" s="4">
        <v>3</v>
      </c>
      <c r="U4738" s="5" t="s">
        <v>24180</v>
      </c>
      <c r="V4738" s="5" t="s">
        <v>24180</v>
      </c>
      <c r="W4738" s="5" t="s">
        <v>67</v>
      </c>
      <c r="X4738" s="5" t="s">
        <v>67</v>
      </c>
      <c r="Y4738" s="4">
        <v>138</v>
      </c>
      <c r="Z4738" s="4">
        <v>11</v>
      </c>
      <c r="AA4738" s="4">
        <v>11</v>
      </c>
      <c r="AB4738" s="4">
        <v>1</v>
      </c>
      <c r="AC4738" s="4">
        <v>1</v>
      </c>
      <c r="AD4738" s="4">
        <v>38</v>
      </c>
      <c r="AE4738" s="4">
        <v>38</v>
      </c>
      <c r="AF4738" s="4">
        <v>0</v>
      </c>
      <c r="AG4738" s="4">
        <v>0</v>
      </c>
      <c r="AH4738" s="4">
        <v>37</v>
      </c>
      <c r="AI4738" s="4">
        <v>37</v>
      </c>
      <c r="AJ4738" s="4">
        <v>5</v>
      </c>
      <c r="AK4738" s="4">
        <v>5</v>
      </c>
      <c r="AL4738" s="4">
        <v>15</v>
      </c>
      <c r="AM4738" s="4">
        <v>15</v>
      </c>
      <c r="AN4738" s="4">
        <v>0</v>
      </c>
      <c r="AO4738" s="4">
        <v>0</v>
      </c>
      <c r="AP4738" s="4">
        <v>5</v>
      </c>
      <c r="AQ4738" s="4">
        <v>5</v>
      </c>
      <c r="AR4738" s="3" t="s">
        <v>62</v>
      </c>
      <c r="AS4738" s="3" t="s">
        <v>62</v>
      </c>
      <c r="AT4738" s="3" t="s">
        <v>62</v>
      </c>
      <c r="AV4738" s="6" t="str">
        <f>HYPERLINK("http://mcgill.on.worldcat.org/oclc/50731017","Catalog Record")</f>
        <v>Catalog Record</v>
      </c>
      <c r="AW4738" s="6" t="str">
        <f>HYPERLINK("http://www.worldcat.org/oclc/50731017","WorldCat Record")</f>
        <v>WorldCat Record</v>
      </c>
      <c r="AX4738" s="3" t="s">
        <v>45831</v>
      </c>
      <c r="AY4738" s="3" t="s">
        <v>45832</v>
      </c>
      <c r="AZ4738" s="3" t="s">
        <v>45833</v>
      </c>
      <c r="BA4738" s="3" t="s">
        <v>45833</v>
      </c>
      <c r="BB4738" s="3" t="s">
        <v>45834</v>
      </c>
      <c r="BC4738" s="3" t="s">
        <v>102</v>
      </c>
      <c r="BD4738" s="3" t="s">
        <v>6923</v>
      </c>
      <c r="BE4738" s="3" t="s">
        <v>45835</v>
      </c>
      <c r="BF4738" s="3" t="s">
        <v>45834</v>
      </c>
      <c r="BG4738" s="3" t="s">
        <v>45836</v>
      </c>
    </row>
    <row r="4739" spans="1:59" ht="58" x14ac:dyDescent="0.35">
      <c r="A4739" s="2" t="s">
        <v>59</v>
      </c>
      <c r="B4739" s="2" t="s">
        <v>60</v>
      </c>
      <c r="C4739" s="2" t="s">
        <v>45837</v>
      </c>
      <c r="D4739" s="2" t="s">
        <v>45838</v>
      </c>
      <c r="E4739" s="2" t="s">
        <v>45839</v>
      </c>
      <c r="G4739" s="3" t="s">
        <v>62</v>
      </c>
      <c r="I4739" s="3" t="s">
        <v>62</v>
      </c>
      <c r="J4739" s="3" t="s">
        <v>62</v>
      </c>
      <c r="K4739" s="3" t="s">
        <v>63</v>
      </c>
      <c r="L4739" s="2" t="s">
        <v>45840</v>
      </c>
      <c r="M4739" s="2" t="s">
        <v>4875</v>
      </c>
      <c r="N4739" s="3" t="s">
        <v>3062</v>
      </c>
      <c r="P4739" s="3" t="s">
        <v>64</v>
      </c>
      <c r="Q4739" s="2" t="s">
        <v>45841</v>
      </c>
      <c r="R4739" s="3" t="s">
        <v>42369</v>
      </c>
      <c r="S4739" s="4">
        <v>8</v>
      </c>
      <c r="T4739" s="4">
        <v>8</v>
      </c>
      <c r="U4739" s="5" t="s">
        <v>4852</v>
      </c>
      <c r="V4739" s="5" t="s">
        <v>4852</v>
      </c>
      <c r="W4739" s="5" t="s">
        <v>67</v>
      </c>
      <c r="X4739" s="5" t="s">
        <v>67</v>
      </c>
      <c r="Y4739" s="4">
        <v>342</v>
      </c>
      <c r="Z4739" s="4">
        <v>27</v>
      </c>
      <c r="AA4739" s="4">
        <v>30</v>
      </c>
      <c r="AB4739" s="4">
        <v>2</v>
      </c>
      <c r="AC4739" s="4">
        <v>5</v>
      </c>
      <c r="AD4739" s="4">
        <v>105</v>
      </c>
      <c r="AE4739" s="4">
        <v>109</v>
      </c>
      <c r="AF4739" s="4">
        <v>1</v>
      </c>
      <c r="AG4739" s="4">
        <v>4</v>
      </c>
      <c r="AH4739" s="4">
        <v>90</v>
      </c>
      <c r="AI4739" s="4">
        <v>92</v>
      </c>
      <c r="AJ4739" s="4">
        <v>16</v>
      </c>
      <c r="AK4739" s="4">
        <v>18</v>
      </c>
      <c r="AL4739" s="4">
        <v>47</v>
      </c>
      <c r="AM4739" s="4">
        <v>47</v>
      </c>
      <c r="AN4739" s="4">
        <v>0</v>
      </c>
      <c r="AO4739" s="4">
        <v>0</v>
      </c>
      <c r="AP4739" s="4">
        <v>22</v>
      </c>
      <c r="AQ4739" s="4">
        <v>24</v>
      </c>
      <c r="AR4739" s="3" t="s">
        <v>62</v>
      </c>
      <c r="AS4739" s="3" t="s">
        <v>62</v>
      </c>
      <c r="AT4739" s="3" t="s">
        <v>62</v>
      </c>
      <c r="AV4739" s="6" t="str">
        <f>HYPERLINK("http://mcgill.on.worldcat.org/oclc/22005698","Catalog Record")</f>
        <v>Catalog Record</v>
      </c>
      <c r="AW4739" s="6" t="str">
        <f>HYPERLINK("http://www.worldcat.org/oclc/22005698","WorldCat Record")</f>
        <v>WorldCat Record</v>
      </c>
      <c r="AX4739" s="3" t="s">
        <v>45842</v>
      </c>
      <c r="AY4739" s="3" t="s">
        <v>45843</v>
      </c>
      <c r="AZ4739" s="3" t="s">
        <v>45844</v>
      </c>
      <c r="BA4739" s="3" t="s">
        <v>45844</v>
      </c>
      <c r="BB4739" s="3" t="s">
        <v>45845</v>
      </c>
      <c r="BC4739" s="3" t="s">
        <v>102</v>
      </c>
      <c r="BD4739" s="3" t="s">
        <v>68</v>
      </c>
      <c r="BE4739" s="3" t="s">
        <v>45846</v>
      </c>
      <c r="BF4739" s="3" t="s">
        <v>45845</v>
      </c>
      <c r="BG4739" s="3" t="s">
        <v>45847</v>
      </c>
    </row>
    <row r="4740" spans="1:59" ht="58" x14ac:dyDescent="0.35">
      <c r="A4740" s="2" t="s">
        <v>89</v>
      </c>
      <c r="B4740" s="2" t="s">
        <v>6791</v>
      </c>
      <c r="C4740" s="2" t="s">
        <v>45848</v>
      </c>
      <c r="D4740" s="2" t="s">
        <v>45849</v>
      </c>
      <c r="E4740" s="2" t="s">
        <v>45850</v>
      </c>
      <c r="G4740" s="3" t="s">
        <v>62</v>
      </c>
      <c r="I4740" s="3" t="s">
        <v>61</v>
      </c>
      <c r="J4740" s="3" t="s">
        <v>62</v>
      </c>
      <c r="K4740" s="3" t="s">
        <v>63</v>
      </c>
      <c r="L4740" s="2" t="s">
        <v>43485</v>
      </c>
      <c r="M4740" s="2" t="s">
        <v>45851</v>
      </c>
      <c r="N4740" s="3" t="s">
        <v>186</v>
      </c>
      <c r="P4740" s="3" t="s">
        <v>64</v>
      </c>
      <c r="R4740" s="3" t="s">
        <v>42369</v>
      </c>
      <c r="S4740" s="4">
        <v>7</v>
      </c>
      <c r="T4740" s="4">
        <v>63</v>
      </c>
      <c r="U4740" s="5" t="s">
        <v>45852</v>
      </c>
      <c r="V4740" s="5" t="s">
        <v>44826</v>
      </c>
      <c r="W4740" s="5" t="s">
        <v>67</v>
      </c>
      <c r="X4740" s="5" t="s">
        <v>67</v>
      </c>
      <c r="Y4740" s="4">
        <v>1845</v>
      </c>
      <c r="Z4740" s="4">
        <v>69</v>
      </c>
      <c r="AA4740" s="4">
        <v>113</v>
      </c>
      <c r="AB4740" s="4">
        <v>3</v>
      </c>
      <c r="AC4740" s="4">
        <v>15</v>
      </c>
      <c r="AD4740" s="4">
        <v>144</v>
      </c>
      <c r="AE4740" s="4">
        <v>170</v>
      </c>
      <c r="AF4740" s="4">
        <v>1</v>
      </c>
      <c r="AG4740" s="4">
        <v>6</v>
      </c>
      <c r="AH4740" s="4">
        <v>109</v>
      </c>
      <c r="AI4740" s="4">
        <v>119</v>
      </c>
      <c r="AJ4740" s="4">
        <v>17</v>
      </c>
      <c r="AK4740" s="4">
        <v>29</v>
      </c>
      <c r="AL4740" s="4">
        <v>60</v>
      </c>
      <c r="AM4740" s="4">
        <v>63</v>
      </c>
      <c r="AN4740" s="4">
        <v>0</v>
      </c>
      <c r="AO4740" s="4">
        <v>0</v>
      </c>
      <c r="AP4740" s="4">
        <v>35</v>
      </c>
      <c r="AQ4740" s="4">
        <v>54</v>
      </c>
      <c r="AR4740" s="3" t="s">
        <v>62</v>
      </c>
      <c r="AS4740" s="3" t="s">
        <v>62</v>
      </c>
      <c r="AT4740" s="3" t="s">
        <v>61</v>
      </c>
      <c r="AU4740" s="6" t="str">
        <f>HYPERLINK("http://catalog.hathitrust.org/Record/001503268","HathiTrust Record")</f>
        <v>HathiTrust Record</v>
      </c>
      <c r="AV4740" s="6" t="str">
        <f>HYPERLINK("http://mcgill.on.worldcat.org/oclc/1368872","Catalog Record")</f>
        <v>Catalog Record</v>
      </c>
      <c r="AW4740" s="6" t="str">
        <f>HYPERLINK("http://www.worldcat.org/oclc/1368872","WorldCat Record")</f>
        <v>WorldCat Record</v>
      </c>
      <c r="AX4740" s="3" t="s">
        <v>45853</v>
      </c>
      <c r="AY4740" s="3" t="s">
        <v>45854</v>
      </c>
      <c r="AZ4740" s="3" t="s">
        <v>45855</v>
      </c>
      <c r="BA4740" s="3" t="s">
        <v>45855</v>
      </c>
      <c r="BB4740" s="3" t="s">
        <v>45856</v>
      </c>
      <c r="BC4740" s="3" t="s">
        <v>102</v>
      </c>
      <c r="BD4740" s="3" t="s">
        <v>68</v>
      </c>
      <c r="BE4740" s="3" t="s">
        <v>45857</v>
      </c>
      <c r="BF4740" s="3" t="s">
        <v>45856</v>
      </c>
      <c r="BG4740" s="3" t="s">
        <v>45858</v>
      </c>
    </row>
    <row r="4741" spans="1:59" ht="72.5" x14ac:dyDescent="0.35">
      <c r="A4741" s="2" t="s">
        <v>89</v>
      </c>
      <c r="B4741" s="2" t="s">
        <v>1231</v>
      </c>
      <c r="C4741" s="2" t="s">
        <v>45848</v>
      </c>
      <c r="D4741" s="2" t="s">
        <v>45849</v>
      </c>
      <c r="E4741" s="2" t="s">
        <v>45850</v>
      </c>
      <c r="G4741" s="3" t="s">
        <v>62</v>
      </c>
      <c r="I4741" s="3" t="s">
        <v>61</v>
      </c>
      <c r="J4741" s="3" t="s">
        <v>62</v>
      </c>
      <c r="K4741" s="3" t="s">
        <v>63</v>
      </c>
      <c r="L4741" s="2" t="s">
        <v>43485</v>
      </c>
      <c r="M4741" s="2" t="s">
        <v>45851</v>
      </c>
      <c r="N4741" s="3" t="s">
        <v>186</v>
      </c>
      <c r="P4741" s="3" t="s">
        <v>64</v>
      </c>
      <c r="R4741" s="3" t="s">
        <v>42369</v>
      </c>
      <c r="S4741" s="4">
        <v>0</v>
      </c>
      <c r="T4741" s="4">
        <v>63</v>
      </c>
      <c r="V4741" s="5" t="s">
        <v>44826</v>
      </c>
      <c r="W4741" s="5" t="s">
        <v>67</v>
      </c>
      <c r="X4741" s="5" t="s">
        <v>67</v>
      </c>
      <c r="Y4741" s="4">
        <v>1845</v>
      </c>
      <c r="Z4741" s="4">
        <v>69</v>
      </c>
      <c r="AA4741" s="4">
        <v>113</v>
      </c>
      <c r="AB4741" s="4">
        <v>3</v>
      </c>
      <c r="AC4741" s="4">
        <v>15</v>
      </c>
      <c r="AD4741" s="4">
        <v>144</v>
      </c>
      <c r="AE4741" s="4">
        <v>170</v>
      </c>
      <c r="AF4741" s="4">
        <v>1</v>
      </c>
      <c r="AG4741" s="4">
        <v>6</v>
      </c>
      <c r="AH4741" s="4">
        <v>109</v>
      </c>
      <c r="AI4741" s="4">
        <v>119</v>
      </c>
      <c r="AJ4741" s="4">
        <v>17</v>
      </c>
      <c r="AK4741" s="4">
        <v>29</v>
      </c>
      <c r="AL4741" s="4">
        <v>60</v>
      </c>
      <c r="AM4741" s="4">
        <v>63</v>
      </c>
      <c r="AN4741" s="4">
        <v>0</v>
      </c>
      <c r="AO4741" s="4">
        <v>0</v>
      </c>
      <c r="AP4741" s="4">
        <v>35</v>
      </c>
      <c r="AQ4741" s="4">
        <v>54</v>
      </c>
      <c r="AR4741" s="3" t="s">
        <v>62</v>
      </c>
      <c r="AS4741" s="3" t="s">
        <v>62</v>
      </c>
      <c r="AT4741" s="3" t="s">
        <v>61</v>
      </c>
      <c r="AU4741" s="6" t="str">
        <f>HYPERLINK("http://catalog.hathitrust.org/Record/001503268","HathiTrust Record")</f>
        <v>HathiTrust Record</v>
      </c>
      <c r="AV4741" s="6" t="str">
        <f>HYPERLINK("http://mcgill.on.worldcat.org/oclc/1368872","Catalog Record")</f>
        <v>Catalog Record</v>
      </c>
      <c r="AW4741" s="6" t="str">
        <f>HYPERLINK("http://www.worldcat.org/oclc/1368872","WorldCat Record")</f>
        <v>WorldCat Record</v>
      </c>
      <c r="AX4741" s="3" t="s">
        <v>45853</v>
      </c>
      <c r="AY4741" s="3" t="s">
        <v>45854</v>
      </c>
      <c r="AZ4741" s="3" t="s">
        <v>45855</v>
      </c>
      <c r="BA4741" s="3" t="s">
        <v>45855</v>
      </c>
      <c r="BB4741" s="3" t="s">
        <v>45859</v>
      </c>
      <c r="BC4741" s="3" t="s">
        <v>102</v>
      </c>
      <c r="BD4741" s="3" t="s">
        <v>68</v>
      </c>
      <c r="BE4741" s="3" t="s">
        <v>45857</v>
      </c>
      <c r="BF4741" s="3" t="s">
        <v>45859</v>
      </c>
      <c r="BG4741" s="3" t="s">
        <v>45860</v>
      </c>
    </row>
    <row r="4742" spans="1:59" ht="58" x14ac:dyDescent="0.35">
      <c r="A4742" s="2" t="s">
        <v>89</v>
      </c>
      <c r="B4742" s="2" t="s">
        <v>90</v>
      </c>
      <c r="C4742" s="2" t="s">
        <v>45848</v>
      </c>
      <c r="D4742" s="2" t="s">
        <v>45849</v>
      </c>
      <c r="E4742" s="2" t="s">
        <v>45850</v>
      </c>
      <c r="G4742" s="3" t="s">
        <v>62</v>
      </c>
      <c r="I4742" s="3" t="s">
        <v>61</v>
      </c>
      <c r="J4742" s="3" t="s">
        <v>62</v>
      </c>
      <c r="K4742" s="3" t="s">
        <v>63</v>
      </c>
      <c r="L4742" s="2" t="s">
        <v>43485</v>
      </c>
      <c r="M4742" s="2" t="s">
        <v>45851</v>
      </c>
      <c r="N4742" s="3" t="s">
        <v>186</v>
      </c>
      <c r="P4742" s="3" t="s">
        <v>64</v>
      </c>
      <c r="R4742" s="3" t="s">
        <v>42369</v>
      </c>
      <c r="S4742" s="4">
        <v>45</v>
      </c>
      <c r="T4742" s="4">
        <v>63</v>
      </c>
      <c r="U4742" s="5" t="s">
        <v>44826</v>
      </c>
      <c r="V4742" s="5" t="s">
        <v>44826</v>
      </c>
      <c r="W4742" s="5" t="s">
        <v>67</v>
      </c>
      <c r="X4742" s="5" t="s">
        <v>67</v>
      </c>
      <c r="Y4742" s="4">
        <v>1845</v>
      </c>
      <c r="Z4742" s="4">
        <v>69</v>
      </c>
      <c r="AA4742" s="4">
        <v>113</v>
      </c>
      <c r="AB4742" s="4">
        <v>3</v>
      </c>
      <c r="AC4742" s="4">
        <v>15</v>
      </c>
      <c r="AD4742" s="4">
        <v>144</v>
      </c>
      <c r="AE4742" s="4">
        <v>170</v>
      </c>
      <c r="AF4742" s="4">
        <v>1</v>
      </c>
      <c r="AG4742" s="4">
        <v>6</v>
      </c>
      <c r="AH4742" s="4">
        <v>109</v>
      </c>
      <c r="AI4742" s="4">
        <v>119</v>
      </c>
      <c r="AJ4742" s="4">
        <v>17</v>
      </c>
      <c r="AK4742" s="4">
        <v>29</v>
      </c>
      <c r="AL4742" s="4">
        <v>60</v>
      </c>
      <c r="AM4742" s="4">
        <v>63</v>
      </c>
      <c r="AN4742" s="4">
        <v>0</v>
      </c>
      <c r="AO4742" s="4">
        <v>0</v>
      </c>
      <c r="AP4742" s="4">
        <v>35</v>
      </c>
      <c r="AQ4742" s="4">
        <v>54</v>
      </c>
      <c r="AR4742" s="3" t="s">
        <v>62</v>
      </c>
      <c r="AS4742" s="3" t="s">
        <v>62</v>
      </c>
      <c r="AT4742" s="3" t="s">
        <v>61</v>
      </c>
      <c r="AU4742" s="6" t="str">
        <f>HYPERLINK("http://catalog.hathitrust.org/Record/001503268","HathiTrust Record")</f>
        <v>HathiTrust Record</v>
      </c>
      <c r="AV4742" s="6" t="str">
        <f>HYPERLINK("http://mcgill.on.worldcat.org/oclc/1368872","Catalog Record")</f>
        <v>Catalog Record</v>
      </c>
      <c r="AW4742" s="6" t="str">
        <f>HYPERLINK("http://www.worldcat.org/oclc/1368872","WorldCat Record")</f>
        <v>WorldCat Record</v>
      </c>
      <c r="AX4742" s="3" t="s">
        <v>45853</v>
      </c>
      <c r="AY4742" s="3" t="s">
        <v>45854</v>
      </c>
      <c r="AZ4742" s="3" t="s">
        <v>45855</v>
      </c>
      <c r="BA4742" s="3" t="s">
        <v>45855</v>
      </c>
      <c r="BB4742" s="3" t="s">
        <v>45861</v>
      </c>
      <c r="BC4742" s="3" t="s">
        <v>102</v>
      </c>
      <c r="BD4742" s="3" t="s">
        <v>68</v>
      </c>
      <c r="BE4742" s="3" t="s">
        <v>45857</v>
      </c>
      <c r="BF4742" s="3" t="s">
        <v>45861</v>
      </c>
      <c r="BG4742" s="3" t="s">
        <v>45862</v>
      </c>
    </row>
    <row r="4743" spans="1:59" ht="58" x14ac:dyDescent="0.35">
      <c r="A4743" s="2" t="s">
        <v>89</v>
      </c>
      <c r="B4743" s="2" t="s">
        <v>18023</v>
      </c>
      <c r="C4743" s="2" t="s">
        <v>45863</v>
      </c>
      <c r="D4743" s="2" t="s">
        <v>45864</v>
      </c>
      <c r="E4743" s="2" t="s">
        <v>45865</v>
      </c>
      <c r="G4743" s="3" t="s">
        <v>62</v>
      </c>
      <c r="I4743" s="3" t="s">
        <v>62</v>
      </c>
      <c r="J4743" s="3" t="s">
        <v>61</v>
      </c>
      <c r="K4743" s="3" t="s">
        <v>63</v>
      </c>
      <c r="L4743" s="2" t="s">
        <v>45866</v>
      </c>
      <c r="M4743" s="2" t="s">
        <v>45867</v>
      </c>
      <c r="N4743" s="3" t="s">
        <v>684</v>
      </c>
      <c r="O4743" s="2" t="s">
        <v>2986</v>
      </c>
      <c r="P4743" s="3" t="s">
        <v>64</v>
      </c>
      <c r="R4743" s="3" t="s">
        <v>42369</v>
      </c>
      <c r="S4743" s="4">
        <v>9</v>
      </c>
      <c r="T4743" s="4">
        <v>9</v>
      </c>
      <c r="U4743" s="5" t="s">
        <v>45868</v>
      </c>
      <c r="V4743" s="5" t="s">
        <v>45868</v>
      </c>
      <c r="W4743" s="5" t="s">
        <v>67</v>
      </c>
      <c r="X4743" s="5" t="s">
        <v>67</v>
      </c>
      <c r="Y4743" s="4">
        <v>324</v>
      </c>
      <c r="Z4743" s="4">
        <v>18</v>
      </c>
      <c r="AA4743" s="4">
        <v>50</v>
      </c>
      <c r="AB4743" s="4">
        <v>1</v>
      </c>
      <c r="AC4743" s="4">
        <v>8</v>
      </c>
      <c r="AD4743" s="4">
        <v>74</v>
      </c>
      <c r="AE4743" s="4">
        <v>134</v>
      </c>
      <c r="AF4743" s="4">
        <v>0</v>
      </c>
      <c r="AG4743" s="4">
        <v>5</v>
      </c>
      <c r="AH4743" s="4">
        <v>63</v>
      </c>
      <c r="AI4743" s="4">
        <v>108</v>
      </c>
      <c r="AJ4743" s="4">
        <v>10</v>
      </c>
      <c r="AK4743" s="4">
        <v>24</v>
      </c>
      <c r="AL4743" s="4">
        <v>36</v>
      </c>
      <c r="AM4743" s="4">
        <v>55</v>
      </c>
      <c r="AN4743" s="4">
        <v>0</v>
      </c>
      <c r="AO4743" s="4">
        <v>0</v>
      </c>
      <c r="AP4743" s="4">
        <v>15</v>
      </c>
      <c r="AQ4743" s="4">
        <v>38</v>
      </c>
      <c r="AR4743" s="3" t="s">
        <v>62</v>
      </c>
      <c r="AS4743" s="3" t="s">
        <v>62</v>
      </c>
      <c r="AT4743" s="3" t="s">
        <v>62</v>
      </c>
      <c r="AV4743" s="6" t="str">
        <f>HYPERLINK("http://mcgill.on.worldcat.org/oclc/747947250","Catalog Record")</f>
        <v>Catalog Record</v>
      </c>
      <c r="AW4743" s="6" t="str">
        <f>HYPERLINK("http://www.worldcat.org/oclc/747947250","WorldCat Record")</f>
        <v>WorldCat Record</v>
      </c>
      <c r="AX4743" s="3" t="s">
        <v>45869</v>
      </c>
      <c r="AY4743" s="3" t="s">
        <v>45870</v>
      </c>
      <c r="AZ4743" s="3" t="s">
        <v>45871</v>
      </c>
      <c r="BA4743" s="3" t="s">
        <v>45871</v>
      </c>
      <c r="BB4743" s="3" t="s">
        <v>45872</v>
      </c>
      <c r="BC4743" s="3" t="s">
        <v>102</v>
      </c>
      <c r="BD4743" s="3" t="s">
        <v>68</v>
      </c>
      <c r="BE4743" s="3" t="s">
        <v>45873</v>
      </c>
      <c r="BF4743" s="3" t="s">
        <v>45872</v>
      </c>
      <c r="BG4743" s="3" t="s">
        <v>45874</v>
      </c>
    </row>
    <row r="4744" spans="1:59" ht="58" x14ac:dyDescent="0.35">
      <c r="A4744" s="2" t="s">
        <v>89</v>
      </c>
      <c r="B4744" s="2" t="s">
        <v>90</v>
      </c>
      <c r="C4744" s="2" t="s">
        <v>45875</v>
      </c>
      <c r="D4744" s="2" t="s">
        <v>45876</v>
      </c>
      <c r="E4744" s="2" t="s">
        <v>45877</v>
      </c>
      <c r="G4744" s="3" t="s">
        <v>62</v>
      </c>
      <c r="I4744" s="3" t="s">
        <v>62</v>
      </c>
      <c r="J4744" s="3" t="s">
        <v>62</v>
      </c>
      <c r="K4744" s="3" t="s">
        <v>63</v>
      </c>
      <c r="M4744" s="2" t="s">
        <v>45878</v>
      </c>
      <c r="N4744" s="3" t="s">
        <v>1064</v>
      </c>
      <c r="P4744" s="3" t="s">
        <v>64</v>
      </c>
      <c r="R4744" s="3" t="s">
        <v>42369</v>
      </c>
      <c r="S4744" s="4">
        <v>4</v>
      </c>
      <c r="T4744" s="4">
        <v>4</v>
      </c>
      <c r="U4744" s="5" t="s">
        <v>45879</v>
      </c>
      <c r="V4744" s="5" t="s">
        <v>45879</v>
      </c>
      <c r="W4744" s="5" t="s">
        <v>67</v>
      </c>
      <c r="X4744" s="5" t="s">
        <v>67</v>
      </c>
      <c r="Y4744" s="4">
        <v>543</v>
      </c>
      <c r="Z4744" s="4">
        <v>37</v>
      </c>
      <c r="AA4744" s="4">
        <v>41</v>
      </c>
      <c r="AB4744" s="4">
        <v>2</v>
      </c>
      <c r="AC4744" s="4">
        <v>6</v>
      </c>
      <c r="AD4744" s="4">
        <v>120</v>
      </c>
      <c r="AE4744" s="4">
        <v>122</v>
      </c>
      <c r="AF4744" s="4">
        <v>1</v>
      </c>
      <c r="AG4744" s="4">
        <v>3</v>
      </c>
      <c r="AH4744" s="4">
        <v>98</v>
      </c>
      <c r="AI4744" s="4">
        <v>99</v>
      </c>
      <c r="AJ4744" s="4">
        <v>21</v>
      </c>
      <c r="AK4744" s="4">
        <v>23</v>
      </c>
      <c r="AL4744" s="4">
        <v>52</v>
      </c>
      <c r="AM4744" s="4">
        <v>52</v>
      </c>
      <c r="AN4744" s="4">
        <v>0</v>
      </c>
      <c r="AO4744" s="4">
        <v>0</v>
      </c>
      <c r="AP4744" s="4">
        <v>30</v>
      </c>
      <c r="AQ4744" s="4">
        <v>32</v>
      </c>
      <c r="AR4744" s="3" t="s">
        <v>62</v>
      </c>
      <c r="AS4744" s="3" t="s">
        <v>62</v>
      </c>
      <c r="AT4744" s="3" t="s">
        <v>61</v>
      </c>
      <c r="AU4744" s="6" t="str">
        <f>HYPERLINK("http://catalog.hathitrust.org/Record/001503283","HathiTrust Record")</f>
        <v>HathiTrust Record</v>
      </c>
      <c r="AV4744" s="6" t="str">
        <f>HYPERLINK("http://mcgill.on.worldcat.org/oclc/226797","Catalog Record")</f>
        <v>Catalog Record</v>
      </c>
      <c r="AW4744" s="6" t="str">
        <f>HYPERLINK("http://www.worldcat.org/oclc/226797","WorldCat Record")</f>
        <v>WorldCat Record</v>
      </c>
      <c r="AX4744" s="3" t="s">
        <v>45880</v>
      </c>
      <c r="AY4744" s="3" t="s">
        <v>45881</v>
      </c>
      <c r="AZ4744" s="3" t="s">
        <v>45882</v>
      </c>
      <c r="BA4744" s="3" t="s">
        <v>45882</v>
      </c>
      <c r="BB4744" s="3" t="s">
        <v>45883</v>
      </c>
      <c r="BC4744" s="3" t="s">
        <v>102</v>
      </c>
      <c r="BD4744" s="3" t="s">
        <v>68</v>
      </c>
      <c r="BE4744" s="3" t="s">
        <v>45884</v>
      </c>
      <c r="BF4744" s="3" t="s">
        <v>45883</v>
      </c>
      <c r="BG4744" s="3" t="s">
        <v>45885</v>
      </c>
    </row>
    <row r="4745" spans="1:59" ht="58" x14ac:dyDescent="0.35">
      <c r="A4745" s="2" t="s">
        <v>59</v>
      </c>
      <c r="B4745" s="2" t="s">
        <v>60</v>
      </c>
      <c r="C4745" s="2" t="s">
        <v>45886</v>
      </c>
      <c r="D4745" s="2" t="s">
        <v>45887</v>
      </c>
      <c r="E4745" s="2" t="s">
        <v>45888</v>
      </c>
      <c r="G4745" s="3" t="s">
        <v>62</v>
      </c>
      <c r="I4745" s="3" t="s">
        <v>62</v>
      </c>
      <c r="J4745" s="3" t="s">
        <v>61</v>
      </c>
      <c r="K4745" s="3" t="s">
        <v>63</v>
      </c>
      <c r="L4745" s="2" t="s">
        <v>44901</v>
      </c>
      <c r="M4745" s="2" t="s">
        <v>45889</v>
      </c>
      <c r="N4745" s="3" t="s">
        <v>201</v>
      </c>
      <c r="P4745" s="3" t="s">
        <v>64</v>
      </c>
      <c r="R4745" s="3" t="s">
        <v>42369</v>
      </c>
      <c r="S4745" s="4">
        <v>7</v>
      </c>
      <c r="T4745" s="4">
        <v>7</v>
      </c>
      <c r="U4745" s="5" t="s">
        <v>6531</v>
      </c>
      <c r="V4745" s="5" t="s">
        <v>6531</v>
      </c>
      <c r="W4745" s="5" t="s">
        <v>67</v>
      </c>
      <c r="X4745" s="5" t="s">
        <v>67</v>
      </c>
      <c r="Y4745" s="4">
        <v>830</v>
      </c>
      <c r="Z4745" s="4">
        <v>45</v>
      </c>
      <c r="AA4745" s="4">
        <v>70</v>
      </c>
      <c r="AB4745" s="4">
        <v>5</v>
      </c>
      <c r="AC4745" s="4">
        <v>11</v>
      </c>
      <c r="AD4745" s="4">
        <v>130</v>
      </c>
      <c r="AE4745" s="4">
        <v>158</v>
      </c>
      <c r="AF4745" s="4">
        <v>2</v>
      </c>
      <c r="AG4745" s="4">
        <v>6</v>
      </c>
      <c r="AH4745" s="4">
        <v>104</v>
      </c>
      <c r="AI4745" s="4">
        <v>117</v>
      </c>
      <c r="AJ4745" s="4">
        <v>22</v>
      </c>
      <c r="AK4745" s="4">
        <v>28</v>
      </c>
      <c r="AL4745" s="4">
        <v>56</v>
      </c>
      <c r="AM4745" s="4">
        <v>62</v>
      </c>
      <c r="AN4745" s="4">
        <v>0</v>
      </c>
      <c r="AO4745" s="4">
        <v>0</v>
      </c>
      <c r="AP4745" s="4">
        <v>33</v>
      </c>
      <c r="AQ4745" s="4">
        <v>46</v>
      </c>
      <c r="AR4745" s="3" t="s">
        <v>62</v>
      </c>
      <c r="AS4745" s="3" t="s">
        <v>62</v>
      </c>
      <c r="AT4745" s="3" t="s">
        <v>62</v>
      </c>
      <c r="AV4745" s="6" t="str">
        <f>HYPERLINK("http://mcgill.on.worldcat.org/oclc/2512955","Catalog Record")</f>
        <v>Catalog Record</v>
      </c>
      <c r="AW4745" s="6" t="str">
        <f>HYPERLINK("http://www.worldcat.org/oclc/2512955","WorldCat Record")</f>
        <v>WorldCat Record</v>
      </c>
      <c r="AX4745" s="3" t="s">
        <v>45890</v>
      </c>
      <c r="AY4745" s="3" t="s">
        <v>45891</v>
      </c>
      <c r="AZ4745" s="3" t="s">
        <v>45892</v>
      </c>
      <c r="BA4745" s="3" t="s">
        <v>45892</v>
      </c>
      <c r="BB4745" s="3" t="s">
        <v>45893</v>
      </c>
      <c r="BC4745" s="3" t="s">
        <v>102</v>
      </c>
      <c r="BD4745" s="3" t="s">
        <v>68</v>
      </c>
      <c r="BE4745" s="3" t="s">
        <v>45894</v>
      </c>
      <c r="BF4745" s="3" t="s">
        <v>45893</v>
      </c>
      <c r="BG4745" s="3" t="s">
        <v>45895</v>
      </c>
    </row>
    <row r="4746" spans="1:59" ht="58" x14ac:dyDescent="0.35">
      <c r="A4746" s="2" t="s">
        <v>59</v>
      </c>
      <c r="B4746" s="2" t="s">
        <v>60</v>
      </c>
      <c r="C4746" s="2" t="s">
        <v>45896</v>
      </c>
      <c r="D4746" s="2" t="s">
        <v>45897</v>
      </c>
      <c r="E4746" s="2" t="s">
        <v>45898</v>
      </c>
      <c r="G4746" s="3" t="s">
        <v>62</v>
      </c>
      <c r="I4746" s="3" t="s">
        <v>62</v>
      </c>
      <c r="J4746" s="3" t="s">
        <v>62</v>
      </c>
      <c r="K4746" s="3" t="s">
        <v>63</v>
      </c>
      <c r="M4746" s="2" t="s">
        <v>45899</v>
      </c>
      <c r="N4746" s="3" t="s">
        <v>87</v>
      </c>
      <c r="P4746" s="3" t="s">
        <v>64</v>
      </c>
      <c r="R4746" s="3" t="s">
        <v>42369</v>
      </c>
      <c r="S4746" s="4">
        <v>5</v>
      </c>
      <c r="T4746" s="4">
        <v>5</v>
      </c>
      <c r="U4746" s="5" t="s">
        <v>15187</v>
      </c>
      <c r="V4746" s="5" t="s">
        <v>15187</v>
      </c>
      <c r="W4746" s="5" t="s">
        <v>67</v>
      </c>
      <c r="X4746" s="5" t="s">
        <v>67</v>
      </c>
      <c r="Y4746" s="4">
        <v>362</v>
      </c>
      <c r="Z4746" s="4">
        <v>25</v>
      </c>
      <c r="AA4746" s="4">
        <v>30</v>
      </c>
      <c r="AB4746" s="4">
        <v>3</v>
      </c>
      <c r="AC4746" s="4">
        <v>7</v>
      </c>
      <c r="AD4746" s="4">
        <v>104</v>
      </c>
      <c r="AE4746" s="4">
        <v>106</v>
      </c>
      <c r="AF4746" s="4">
        <v>1</v>
      </c>
      <c r="AG4746" s="4">
        <v>2</v>
      </c>
      <c r="AH4746" s="4">
        <v>90</v>
      </c>
      <c r="AI4746" s="4">
        <v>90</v>
      </c>
      <c r="AJ4746" s="4">
        <v>15</v>
      </c>
      <c r="AK4746" s="4">
        <v>17</v>
      </c>
      <c r="AL4746" s="4">
        <v>48</v>
      </c>
      <c r="AM4746" s="4">
        <v>48</v>
      </c>
      <c r="AN4746" s="4">
        <v>0</v>
      </c>
      <c r="AO4746" s="4">
        <v>0</v>
      </c>
      <c r="AP4746" s="4">
        <v>20</v>
      </c>
      <c r="AQ4746" s="4">
        <v>22</v>
      </c>
      <c r="AR4746" s="3" t="s">
        <v>62</v>
      </c>
      <c r="AS4746" s="3" t="s">
        <v>62</v>
      </c>
      <c r="AT4746" s="3" t="s">
        <v>61</v>
      </c>
      <c r="AU4746" s="6" t="str">
        <f>HYPERLINK("http://catalog.hathitrust.org/Record/006243144","HathiTrust Record")</f>
        <v>HathiTrust Record</v>
      </c>
      <c r="AV4746" s="6" t="str">
        <f>HYPERLINK("http://mcgill.on.worldcat.org/oclc/4498567","Catalog Record")</f>
        <v>Catalog Record</v>
      </c>
      <c r="AW4746" s="6" t="str">
        <f>HYPERLINK("http://www.worldcat.org/oclc/4498567","WorldCat Record")</f>
        <v>WorldCat Record</v>
      </c>
      <c r="AX4746" s="3" t="s">
        <v>45900</v>
      </c>
      <c r="AY4746" s="3" t="s">
        <v>45901</v>
      </c>
      <c r="AZ4746" s="3" t="s">
        <v>45902</v>
      </c>
      <c r="BA4746" s="3" t="s">
        <v>45902</v>
      </c>
      <c r="BB4746" s="3" t="s">
        <v>45903</v>
      </c>
      <c r="BC4746" s="3" t="s">
        <v>102</v>
      </c>
      <c r="BD4746" s="3" t="s">
        <v>68</v>
      </c>
      <c r="BE4746" s="3" t="s">
        <v>45904</v>
      </c>
      <c r="BF4746" s="3" t="s">
        <v>45903</v>
      </c>
      <c r="BG4746" s="3" t="s">
        <v>45905</v>
      </c>
    </row>
    <row r="4747" spans="1:59" ht="58" x14ac:dyDescent="0.35">
      <c r="A4747" s="2" t="s">
        <v>59</v>
      </c>
      <c r="B4747" s="2" t="s">
        <v>60</v>
      </c>
      <c r="C4747" s="2" t="s">
        <v>45906</v>
      </c>
      <c r="D4747" s="2" t="s">
        <v>45907</v>
      </c>
      <c r="E4747" s="2" t="s">
        <v>45908</v>
      </c>
      <c r="G4747" s="3" t="s">
        <v>62</v>
      </c>
      <c r="I4747" s="3" t="s">
        <v>61</v>
      </c>
      <c r="J4747" s="3" t="s">
        <v>62</v>
      </c>
      <c r="K4747" s="3" t="s">
        <v>63</v>
      </c>
      <c r="L4747" s="2" t="s">
        <v>45909</v>
      </c>
      <c r="M4747" s="2" t="s">
        <v>45910</v>
      </c>
      <c r="N4747" s="3" t="s">
        <v>2924</v>
      </c>
      <c r="P4747" s="3" t="s">
        <v>64</v>
      </c>
      <c r="R4747" s="3" t="s">
        <v>42369</v>
      </c>
      <c r="S4747" s="4">
        <v>8</v>
      </c>
      <c r="T4747" s="4">
        <v>11</v>
      </c>
      <c r="U4747" s="5" t="s">
        <v>45911</v>
      </c>
      <c r="V4747" s="5" t="s">
        <v>13831</v>
      </c>
      <c r="W4747" s="5" t="s">
        <v>67</v>
      </c>
      <c r="X4747" s="5" t="s">
        <v>67</v>
      </c>
      <c r="Y4747" s="4">
        <v>591</v>
      </c>
      <c r="Z4747" s="4">
        <v>37</v>
      </c>
      <c r="AA4747" s="4">
        <v>45</v>
      </c>
      <c r="AB4747" s="4">
        <v>5</v>
      </c>
      <c r="AC4747" s="4">
        <v>9</v>
      </c>
      <c r="AD4747" s="4">
        <v>114</v>
      </c>
      <c r="AE4747" s="4">
        <v>121</v>
      </c>
      <c r="AF4747" s="4">
        <v>2</v>
      </c>
      <c r="AG4747" s="4">
        <v>4</v>
      </c>
      <c r="AH4747" s="4">
        <v>92</v>
      </c>
      <c r="AI4747" s="4">
        <v>95</v>
      </c>
      <c r="AJ4747" s="4">
        <v>16</v>
      </c>
      <c r="AK4747" s="4">
        <v>22</v>
      </c>
      <c r="AL4747" s="4">
        <v>53</v>
      </c>
      <c r="AM4747" s="4">
        <v>53</v>
      </c>
      <c r="AN4747" s="4">
        <v>0</v>
      </c>
      <c r="AO4747" s="4">
        <v>0</v>
      </c>
      <c r="AP4747" s="4">
        <v>26</v>
      </c>
      <c r="AQ4747" s="4">
        <v>31</v>
      </c>
      <c r="AR4747" s="3" t="s">
        <v>62</v>
      </c>
      <c r="AS4747" s="3" t="s">
        <v>62</v>
      </c>
      <c r="AT4747" s="3" t="s">
        <v>62</v>
      </c>
      <c r="AV4747" s="6" t="str">
        <f>HYPERLINK("http://mcgill.on.worldcat.org/oclc/894102","Catalog Record")</f>
        <v>Catalog Record</v>
      </c>
      <c r="AW4747" s="6" t="str">
        <f>HYPERLINK("http://www.worldcat.org/oclc/894102","WorldCat Record")</f>
        <v>WorldCat Record</v>
      </c>
      <c r="AX4747" s="3" t="s">
        <v>45912</v>
      </c>
      <c r="AY4747" s="3" t="s">
        <v>45913</v>
      </c>
      <c r="AZ4747" s="3" t="s">
        <v>45914</v>
      </c>
      <c r="BA4747" s="3" t="s">
        <v>45914</v>
      </c>
      <c r="BB4747" s="3" t="s">
        <v>45915</v>
      </c>
      <c r="BC4747" s="3" t="s">
        <v>102</v>
      </c>
      <c r="BD4747" s="3" t="s">
        <v>68</v>
      </c>
      <c r="BF4747" s="3" t="s">
        <v>45915</v>
      </c>
      <c r="BG4747" s="3" t="s">
        <v>45916</v>
      </c>
    </row>
    <row r="4748" spans="1:59" ht="58" x14ac:dyDescent="0.35">
      <c r="A4748" s="2" t="s">
        <v>59</v>
      </c>
      <c r="B4748" s="2" t="s">
        <v>60</v>
      </c>
      <c r="C4748" s="2" t="s">
        <v>45906</v>
      </c>
      <c r="D4748" s="2" t="s">
        <v>45907</v>
      </c>
      <c r="E4748" s="2" t="s">
        <v>45908</v>
      </c>
      <c r="G4748" s="3" t="s">
        <v>62</v>
      </c>
      <c r="I4748" s="3" t="s">
        <v>61</v>
      </c>
      <c r="J4748" s="3" t="s">
        <v>62</v>
      </c>
      <c r="K4748" s="3" t="s">
        <v>63</v>
      </c>
      <c r="L4748" s="2" t="s">
        <v>45909</v>
      </c>
      <c r="M4748" s="2" t="s">
        <v>45910</v>
      </c>
      <c r="N4748" s="3" t="s">
        <v>2924</v>
      </c>
      <c r="P4748" s="3" t="s">
        <v>64</v>
      </c>
      <c r="R4748" s="3" t="s">
        <v>42369</v>
      </c>
      <c r="S4748" s="4">
        <v>3</v>
      </c>
      <c r="T4748" s="4">
        <v>11</v>
      </c>
      <c r="U4748" s="5" t="s">
        <v>13831</v>
      </c>
      <c r="V4748" s="5" t="s">
        <v>13831</v>
      </c>
      <c r="W4748" s="5" t="s">
        <v>67</v>
      </c>
      <c r="X4748" s="5" t="s">
        <v>67</v>
      </c>
      <c r="Y4748" s="4">
        <v>591</v>
      </c>
      <c r="Z4748" s="4">
        <v>37</v>
      </c>
      <c r="AA4748" s="4">
        <v>45</v>
      </c>
      <c r="AB4748" s="4">
        <v>5</v>
      </c>
      <c r="AC4748" s="4">
        <v>9</v>
      </c>
      <c r="AD4748" s="4">
        <v>114</v>
      </c>
      <c r="AE4748" s="4">
        <v>121</v>
      </c>
      <c r="AF4748" s="4">
        <v>2</v>
      </c>
      <c r="AG4748" s="4">
        <v>4</v>
      </c>
      <c r="AH4748" s="4">
        <v>92</v>
      </c>
      <c r="AI4748" s="4">
        <v>95</v>
      </c>
      <c r="AJ4748" s="4">
        <v>16</v>
      </c>
      <c r="AK4748" s="4">
        <v>22</v>
      </c>
      <c r="AL4748" s="4">
        <v>53</v>
      </c>
      <c r="AM4748" s="4">
        <v>53</v>
      </c>
      <c r="AN4748" s="4">
        <v>0</v>
      </c>
      <c r="AO4748" s="4">
        <v>0</v>
      </c>
      <c r="AP4748" s="4">
        <v>26</v>
      </c>
      <c r="AQ4748" s="4">
        <v>31</v>
      </c>
      <c r="AR4748" s="3" t="s">
        <v>62</v>
      </c>
      <c r="AS4748" s="3" t="s">
        <v>62</v>
      </c>
      <c r="AT4748" s="3" t="s">
        <v>62</v>
      </c>
      <c r="AV4748" s="6" t="str">
        <f>HYPERLINK("http://mcgill.on.worldcat.org/oclc/894102","Catalog Record")</f>
        <v>Catalog Record</v>
      </c>
      <c r="AW4748" s="6" t="str">
        <f>HYPERLINK("http://www.worldcat.org/oclc/894102","WorldCat Record")</f>
        <v>WorldCat Record</v>
      </c>
      <c r="AX4748" s="3" t="s">
        <v>45912</v>
      </c>
      <c r="AY4748" s="3" t="s">
        <v>45913</v>
      </c>
      <c r="AZ4748" s="3" t="s">
        <v>45914</v>
      </c>
      <c r="BA4748" s="3" t="s">
        <v>45914</v>
      </c>
      <c r="BB4748" s="3" t="s">
        <v>45917</v>
      </c>
      <c r="BC4748" s="3" t="s">
        <v>102</v>
      </c>
      <c r="BD4748" s="3" t="s">
        <v>68</v>
      </c>
      <c r="BF4748" s="3" t="s">
        <v>45917</v>
      </c>
      <c r="BG4748" s="3" t="s">
        <v>45918</v>
      </c>
    </row>
    <row r="4749" spans="1:59" ht="58" x14ac:dyDescent="0.35">
      <c r="A4749" s="2" t="s">
        <v>89</v>
      </c>
      <c r="B4749" s="2" t="s">
        <v>90</v>
      </c>
      <c r="C4749" s="2" t="s">
        <v>45919</v>
      </c>
      <c r="D4749" s="2" t="s">
        <v>45920</v>
      </c>
      <c r="E4749" s="2" t="s">
        <v>45921</v>
      </c>
      <c r="G4749" s="3" t="s">
        <v>62</v>
      </c>
      <c r="I4749" s="3" t="s">
        <v>61</v>
      </c>
      <c r="J4749" s="3" t="s">
        <v>62</v>
      </c>
      <c r="K4749" s="3" t="s">
        <v>63</v>
      </c>
      <c r="L4749" s="2" t="s">
        <v>45922</v>
      </c>
      <c r="M4749" s="2" t="s">
        <v>45923</v>
      </c>
      <c r="N4749" s="3" t="s">
        <v>2975</v>
      </c>
      <c r="P4749" s="3" t="s">
        <v>64</v>
      </c>
      <c r="R4749" s="3" t="s">
        <v>42369</v>
      </c>
      <c r="S4749" s="4">
        <v>3</v>
      </c>
      <c r="T4749" s="4">
        <v>13</v>
      </c>
      <c r="U4749" s="5" t="s">
        <v>45043</v>
      </c>
      <c r="V4749" s="5" t="s">
        <v>45043</v>
      </c>
      <c r="W4749" s="5" t="s">
        <v>67</v>
      </c>
      <c r="X4749" s="5" t="s">
        <v>67</v>
      </c>
      <c r="Y4749" s="4">
        <v>326</v>
      </c>
      <c r="Z4749" s="4">
        <v>16</v>
      </c>
      <c r="AA4749" s="4">
        <v>17</v>
      </c>
      <c r="AB4749" s="4">
        <v>1</v>
      </c>
      <c r="AC4749" s="4">
        <v>2</v>
      </c>
      <c r="AD4749" s="4">
        <v>83</v>
      </c>
      <c r="AE4749" s="4">
        <v>84</v>
      </c>
      <c r="AF4749" s="4">
        <v>0</v>
      </c>
      <c r="AG4749" s="4">
        <v>1</v>
      </c>
      <c r="AH4749" s="4">
        <v>77</v>
      </c>
      <c r="AI4749" s="4">
        <v>77</v>
      </c>
      <c r="AJ4749" s="4">
        <v>10</v>
      </c>
      <c r="AK4749" s="4">
        <v>11</v>
      </c>
      <c r="AL4749" s="4">
        <v>42</v>
      </c>
      <c r="AM4749" s="4">
        <v>42</v>
      </c>
      <c r="AN4749" s="4">
        <v>0</v>
      </c>
      <c r="AO4749" s="4">
        <v>0</v>
      </c>
      <c r="AP4749" s="4">
        <v>12</v>
      </c>
      <c r="AQ4749" s="4">
        <v>12</v>
      </c>
      <c r="AR4749" s="3" t="s">
        <v>62</v>
      </c>
      <c r="AS4749" s="3" t="s">
        <v>62</v>
      </c>
      <c r="AT4749" s="3" t="s">
        <v>62</v>
      </c>
      <c r="AV4749" s="6" t="str">
        <f>HYPERLINK("http://mcgill.on.worldcat.org/oclc/48083994","Catalog Record")</f>
        <v>Catalog Record</v>
      </c>
      <c r="AW4749" s="6" t="str">
        <f>HYPERLINK("http://www.worldcat.org/oclc/48083994","WorldCat Record")</f>
        <v>WorldCat Record</v>
      </c>
      <c r="AX4749" s="3" t="s">
        <v>45924</v>
      </c>
      <c r="AY4749" s="3" t="s">
        <v>45925</v>
      </c>
      <c r="AZ4749" s="3" t="s">
        <v>45926</v>
      </c>
      <c r="BA4749" s="3" t="s">
        <v>45926</v>
      </c>
      <c r="BB4749" s="3" t="s">
        <v>45927</v>
      </c>
      <c r="BC4749" s="3" t="s">
        <v>102</v>
      </c>
      <c r="BD4749" s="3" t="s">
        <v>68</v>
      </c>
      <c r="BE4749" s="3" t="s">
        <v>45928</v>
      </c>
      <c r="BF4749" s="3" t="s">
        <v>45927</v>
      </c>
      <c r="BG4749" s="3" t="s">
        <v>45929</v>
      </c>
    </row>
    <row r="4750" spans="1:59" ht="58" x14ac:dyDescent="0.35">
      <c r="A4750" s="2" t="s">
        <v>89</v>
      </c>
      <c r="B4750" s="2" t="s">
        <v>90</v>
      </c>
      <c r="C4750" s="2" t="s">
        <v>45930</v>
      </c>
      <c r="D4750" s="2" t="s">
        <v>45931</v>
      </c>
      <c r="E4750" s="2" t="s">
        <v>45932</v>
      </c>
      <c r="G4750" s="3" t="s">
        <v>62</v>
      </c>
      <c r="I4750" s="3" t="s">
        <v>62</v>
      </c>
      <c r="J4750" s="3" t="s">
        <v>62</v>
      </c>
      <c r="K4750" s="3" t="s">
        <v>63</v>
      </c>
      <c r="L4750" s="2" t="s">
        <v>45933</v>
      </c>
      <c r="M4750" s="2" t="s">
        <v>45934</v>
      </c>
      <c r="N4750" s="3" t="s">
        <v>481</v>
      </c>
      <c r="P4750" s="3" t="s">
        <v>85</v>
      </c>
      <c r="Q4750" s="2" t="s">
        <v>45935</v>
      </c>
      <c r="R4750" s="3" t="s">
        <v>42369</v>
      </c>
      <c r="S4750" s="4">
        <v>7</v>
      </c>
      <c r="T4750" s="4">
        <v>7</v>
      </c>
      <c r="U4750" s="5" t="s">
        <v>45936</v>
      </c>
      <c r="V4750" s="5" t="s">
        <v>45936</v>
      </c>
      <c r="W4750" s="5" t="s">
        <v>67</v>
      </c>
      <c r="X4750" s="5" t="s">
        <v>67</v>
      </c>
      <c r="Y4750" s="4">
        <v>36</v>
      </c>
      <c r="Z4750" s="4">
        <v>3</v>
      </c>
      <c r="AA4750" s="4">
        <v>8</v>
      </c>
      <c r="AB4750" s="4">
        <v>1</v>
      </c>
      <c r="AC4750" s="4">
        <v>5</v>
      </c>
      <c r="AD4750" s="4">
        <v>14</v>
      </c>
      <c r="AE4750" s="4">
        <v>17</v>
      </c>
      <c r="AF4750" s="4">
        <v>0</v>
      </c>
      <c r="AG4750" s="4">
        <v>2</v>
      </c>
      <c r="AH4750" s="4">
        <v>13</v>
      </c>
      <c r="AI4750" s="4">
        <v>15</v>
      </c>
      <c r="AJ4750" s="4">
        <v>1</v>
      </c>
      <c r="AK4750" s="4">
        <v>4</v>
      </c>
      <c r="AL4750" s="4">
        <v>10</v>
      </c>
      <c r="AM4750" s="4">
        <v>10</v>
      </c>
      <c r="AN4750" s="4">
        <v>0</v>
      </c>
      <c r="AO4750" s="4">
        <v>0</v>
      </c>
      <c r="AP4750" s="4">
        <v>1</v>
      </c>
      <c r="AQ4750" s="4">
        <v>4</v>
      </c>
      <c r="AR4750" s="3" t="s">
        <v>62</v>
      </c>
      <c r="AS4750" s="3" t="s">
        <v>62</v>
      </c>
      <c r="AT4750" s="3" t="s">
        <v>62</v>
      </c>
      <c r="AV4750" s="6" t="str">
        <f>HYPERLINK("http://mcgill.on.worldcat.org/oclc/36894593","Catalog Record")</f>
        <v>Catalog Record</v>
      </c>
      <c r="AW4750" s="6" t="str">
        <f>HYPERLINK("http://www.worldcat.org/oclc/36894593","WorldCat Record")</f>
        <v>WorldCat Record</v>
      </c>
      <c r="AX4750" s="3" t="s">
        <v>45937</v>
      </c>
      <c r="AY4750" s="3" t="s">
        <v>45938</v>
      </c>
      <c r="AZ4750" s="3" t="s">
        <v>45939</v>
      </c>
      <c r="BA4750" s="3" t="s">
        <v>45939</v>
      </c>
      <c r="BB4750" s="3" t="s">
        <v>45940</v>
      </c>
      <c r="BC4750" s="3" t="s">
        <v>102</v>
      </c>
      <c r="BD4750" s="3" t="s">
        <v>68</v>
      </c>
      <c r="BE4750" s="3" t="s">
        <v>45941</v>
      </c>
      <c r="BF4750" s="3" t="s">
        <v>45940</v>
      </c>
      <c r="BG4750" s="3" t="s">
        <v>45942</v>
      </c>
    </row>
    <row r="4751" spans="1:59" ht="58" x14ac:dyDescent="0.35">
      <c r="A4751" s="2" t="s">
        <v>59</v>
      </c>
      <c r="B4751" s="2" t="s">
        <v>60</v>
      </c>
      <c r="C4751" s="2" t="s">
        <v>45943</v>
      </c>
      <c r="D4751" s="2" t="s">
        <v>45944</v>
      </c>
      <c r="E4751" s="2" t="s">
        <v>45945</v>
      </c>
      <c r="G4751" s="3" t="s">
        <v>62</v>
      </c>
      <c r="I4751" s="3" t="s">
        <v>61</v>
      </c>
      <c r="J4751" s="3" t="s">
        <v>62</v>
      </c>
      <c r="K4751" s="3" t="s">
        <v>63</v>
      </c>
      <c r="L4751" s="2" t="s">
        <v>45946</v>
      </c>
      <c r="M4751" s="2" t="s">
        <v>45947</v>
      </c>
      <c r="N4751" s="3" t="s">
        <v>81</v>
      </c>
      <c r="P4751" s="3" t="s">
        <v>64</v>
      </c>
      <c r="R4751" s="3" t="s">
        <v>42369</v>
      </c>
      <c r="S4751" s="4">
        <v>11</v>
      </c>
      <c r="T4751" s="4">
        <v>27</v>
      </c>
      <c r="U4751" s="5" t="s">
        <v>45948</v>
      </c>
      <c r="V4751" s="5" t="s">
        <v>34915</v>
      </c>
      <c r="W4751" s="5" t="s">
        <v>67</v>
      </c>
      <c r="X4751" s="5" t="s">
        <v>67</v>
      </c>
      <c r="Y4751" s="4">
        <v>514</v>
      </c>
      <c r="Z4751" s="4">
        <v>29</v>
      </c>
      <c r="AA4751" s="4">
        <v>39</v>
      </c>
      <c r="AB4751" s="4">
        <v>3</v>
      </c>
      <c r="AC4751" s="4">
        <v>7</v>
      </c>
      <c r="AD4751" s="4">
        <v>96</v>
      </c>
      <c r="AE4751" s="4">
        <v>104</v>
      </c>
      <c r="AF4751" s="4">
        <v>1</v>
      </c>
      <c r="AG4751" s="4">
        <v>3</v>
      </c>
      <c r="AH4751" s="4">
        <v>80</v>
      </c>
      <c r="AI4751" s="4">
        <v>85</v>
      </c>
      <c r="AJ4751" s="4">
        <v>15</v>
      </c>
      <c r="AK4751" s="4">
        <v>18</v>
      </c>
      <c r="AL4751" s="4">
        <v>42</v>
      </c>
      <c r="AM4751" s="4">
        <v>44</v>
      </c>
      <c r="AN4751" s="4">
        <v>0</v>
      </c>
      <c r="AO4751" s="4">
        <v>0</v>
      </c>
      <c r="AP4751" s="4">
        <v>22</v>
      </c>
      <c r="AQ4751" s="4">
        <v>27</v>
      </c>
      <c r="AR4751" s="3" t="s">
        <v>62</v>
      </c>
      <c r="AS4751" s="3" t="s">
        <v>62</v>
      </c>
      <c r="AT4751" s="3" t="s">
        <v>61</v>
      </c>
      <c r="AU4751" s="6" t="str">
        <f>HYPERLINK("http://catalog.hathitrust.org/Record/001503338","HathiTrust Record")</f>
        <v>HathiTrust Record</v>
      </c>
      <c r="AV4751" s="6" t="str">
        <f>HYPERLINK("http://mcgill.on.worldcat.org/oclc/464831","Catalog Record")</f>
        <v>Catalog Record</v>
      </c>
      <c r="AW4751" s="6" t="str">
        <f>HYPERLINK("http://www.worldcat.org/oclc/464831","WorldCat Record")</f>
        <v>WorldCat Record</v>
      </c>
      <c r="AX4751" s="3" t="s">
        <v>45949</v>
      </c>
      <c r="AY4751" s="3" t="s">
        <v>45950</v>
      </c>
      <c r="AZ4751" s="3" t="s">
        <v>45951</v>
      </c>
      <c r="BA4751" s="3" t="s">
        <v>45951</v>
      </c>
      <c r="BB4751" s="3" t="s">
        <v>45952</v>
      </c>
      <c r="BC4751" s="3" t="s">
        <v>102</v>
      </c>
      <c r="BD4751" s="3" t="s">
        <v>68</v>
      </c>
      <c r="BF4751" s="3" t="s">
        <v>45952</v>
      </c>
      <c r="BG4751" s="3" t="s">
        <v>45953</v>
      </c>
    </row>
    <row r="4752" spans="1:59" ht="58" x14ac:dyDescent="0.35">
      <c r="A4752" s="2" t="s">
        <v>59</v>
      </c>
      <c r="B4752" s="2" t="s">
        <v>60</v>
      </c>
      <c r="C4752" s="2" t="s">
        <v>45954</v>
      </c>
      <c r="D4752" s="2" t="s">
        <v>45955</v>
      </c>
      <c r="E4752" s="2" t="s">
        <v>45956</v>
      </c>
      <c r="G4752" s="3" t="s">
        <v>62</v>
      </c>
      <c r="I4752" s="3" t="s">
        <v>62</v>
      </c>
      <c r="J4752" s="3" t="s">
        <v>62</v>
      </c>
      <c r="K4752" s="3" t="s">
        <v>63</v>
      </c>
      <c r="L4752" s="2" t="s">
        <v>45957</v>
      </c>
      <c r="M4752" s="2" t="s">
        <v>45958</v>
      </c>
      <c r="N4752" s="3" t="s">
        <v>954</v>
      </c>
      <c r="O4752" s="2" t="s">
        <v>2849</v>
      </c>
      <c r="P4752" s="3" t="s">
        <v>64</v>
      </c>
      <c r="R4752" s="3" t="s">
        <v>42369</v>
      </c>
      <c r="S4752" s="4">
        <v>9</v>
      </c>
      <c r="T4752" s="4">
        <v>9</v>
      </c>
      <c r="U4752" s="5" t="s">
        <v>45959</v>
      </c>
      <c r="V4752" s="5" t="s">
        <v>45959</v>
      </c>
      <c r="W4752" s="5" t="s">
        <v>67</v>
      </c>
      <c r="X4752" s="5" t="s">
        <v>67</v>
      </c>
      <c r="Y4752" s="4">
        <v>814</v>
      </c>
      <c r="Z4752" s="4">
        <v>27</v>
      </c>
      <c r="AA4752" s="4">
        <v>32</v>
      </c>
      <c r="AB4752" s="4">
        <v>3</v>
      </c>
      <c r="AC4752" s="4">
        <v>3</v>
      </c>
      <c r="AD4752" s="4">
        <v>97</v>
      </c>
      <c r="AE4752" s="4">
        <v>104</v>
      </c>
      <c r="AF4752" s="4">
        <v>1</v>
      </c>
      <c r="AG4752" s="4">
        <v>1</v>
      </c>
      <c r="AH4752" s="4">
        <v>84</v>
      </c>
      <c r="AI4752" s="4">
        <v>88</v>
      </c>
      <c r="AJ4752" s="4">
        <v>13</v>
      </c>
      <c r="AK4752" s="4">
        <v>13</v>
      </c>
      <c r="AL4752" s="4">
        <v>49</v>
      </c>
      <c r="AM4752" s="4">
        <v>50</v>
      </c>
      <c r="AN4752" s="4">
        <v>0</v>
      </c>
      <c r="AO4752" s="4">
        <v>0</v>
      </c>
      <c r="AP4752" s="4">
        <v>17</v>
      </c>
      <c r="AQ4752" s="4">
        <v>20</v>
      </c>
      <c r="AR4752" s="3" t="s">
        <v>62</v>
      </c>
      <c r="AS4752" s="3" t="s">
        <v>62</v>
      </c>
      <c r="AT4752" s="3" t="s">
        <v>61</v>
      </c>
      <c r="AU4752" s="6" t="str">
        <f>HYPERLINK("http://catalog.hathitrust.org/Record/001502728","HathiTrust Record")</f>
        <v>HathiTrust Record</v>
      </c>
      <c r="AV4752" s="6" t="str">
        <f>HYPERLINK("http://mcgill.on.worldcat.org/oclc/851669","Catalog Record")</f>
        <v>Catalog Record</v>
      </c>
      <c r="AW4752" s="6" t="str">
        <f>HYPERLINK("http://www.worldcat.org/oclc/851669","WorldCat Record")</f>
        <v>WorldCat Record</v>
      </c>
      <c r="AX4752" s="3" t="s">
        <v>45960</v>
      </c>
      <c r="AY4752" s="3" t="s">
        <v>45961</v>
      </c>
      <c r="AZ4752" s="3" t="s">
        <v>45962</v>
      </c>
      <c r="BA4752" s="3" t="s">
        <v>45962</v>
      </c>
      <c r="BB4752" s="3" t="s">
        <v>45963</v>
      </c>
      <c r="BC4752" s="3" t="s">
        <v>102</v>
      </c>
      <c r="BD4752" s="3" t="s">
        <v>68</v>
      </c>
      <c r="BE4752" s="3" t="s">
        <v>45964</v>
      </c>
      <c r="BF4752" s="3" t="s">
        <v>45963</v>
      </c>
      <c r="BG4752" s="3" t="s">
        <v>45965</v>
      </c>
    </row>
    <row r="4753" spans="1:59" ht="58" x14ac:dyDescent="0.35">
      <c r="A4753" s="2" t="s">
        <v>89</v>
      </c>
      <c r="B4753" s="2" t="s">
        <v>90</v>
      </c>
      <c r="C4753" s="2" t="s">
        <v>45966</v>
      </c>
      <c r="D4753" s="2" t="s">
        <v>45967</v>
      </c>
      <c r="E4753" s="2" t="s">
        <v>45968</v>
      </c>
      <c r="G4753" s="3" t="s">
        <v>62</v>
      </c>
      <c r="I4753" s="3" t="s">
        <v>62</v>
      </c>
      <c r="J4753" s="3" t="s">
        <v>62</v>
      </c>
      <c r="K4753" s="3" t="s">
        <v>63</v>
      </c>
      <c r="L4753" s="2" t="s">
        <v>45969</v>
      </c>
      <c r="M4753" s="2" t="s">
        <v>45970</v>
      </c>
      <c r="N4753" s="3" t="s">
        <v>1064</v>
      </c>
      <c r="P4753" s="3" t="s">
        <v>85</v>
      </c>
      <c r="R4753" s="3" t="s">
        <v>42369</v>
      </c>
      <c r="S4753" s="4">
        <v>1</v>
      </c>
      <c r="T4753" s="4">
        <v>1</v>
      </c>
      <c r="U4753" s="5" t="s">
        <v>30470</v>
      </c>
      <c r="V4753" s="5" t="s">
        <v>30470</v>
      </c>
      <c r="W4753" s="5" t="s">
        <v>67</v>
      </c>
      <c r="X4753" s="5" t="s">
        <v>67</v>
      </c>
      <c r="Y4753" s="4">
        <v>54</v>
      </c>
      <c r="Z4753" s="4">
        <v>10</v>
      </c>
      <c r="AA4753" s="4">
        <v>16</v>
      </c>
      <c r="AB4753" s="4">
        <v>1</v>
      </c>
      <c r="AC4753" s="4">
        <v>3</v>
      </c>
      <c r="AD4753" s="4">
        <v>31</v>
      </c>
      <c r="AE4753" s="4">
        <v>38</v>
      </c>
      <c r="AF4753" s="4">
        <v>0</v>
      </c>
      <c r="AG4753" s="4">
        <v>1</v>
      </c>
      <c r="AH4753" s="4">
        <v>26</v>
      </c>
      <c r="AI4753" s="4">
        <v>31</v>
      </c>
      <c r="AJ4753" s="4">
        <v>8</v>
      </c>
      <c r="AK4753" s="4">
        <v>11</v>
      </c>
      <c r="AL4753" s="4">
        <v>13</v>
      </c>
      <c r="AM4753" s="4">
        <v>15</v>
      </c>
      <c r="AN4753" s="4">
        <v>0</v>
      </c>
      <c r="AO4753" s="4">
        <v>0</v>
      </c>
      <c r="AP4753" s="4">
        <v>9</v>
      </c>
      <c r="AQ4753" s="4">
        <v>12</v>
      </c>
      <c r="AR4753" s="3" t="s">
        <v>62</v>
      </c>
      <c r="AS4753" s="3" t="s">
        <v>62</v>
      </c>
      <c r="AT4753" s="3" t="s">
        <v>62</v>
      </c>
      <c r="AV4753" s="6" t="str">
        <f>HYPERLINK("http://mcgill.on.worldcat.org/oclc/1239777","Catalog Record")</f>
        <v>Catalog Record</v>
      </c>
      <c r="AW4753" s="6" t="str">
        <f>HYPERLINK("http://www.worldcat.org/oclc/1239777","WorldCat Record")</f>
        <v>WorldCat Record</v>
      </c>
      <c r="AX4753" s="3" t="s">
        <v>45971</v>
      </c>
      <c r="AY4753" s="3" t="s">
        <v>45972</v>
      </c>
      <c r="AZ4753" s="3" t="s">
        <v>45973</v>
      </c>
      <c r="BA4753" s="3" t="s">
        <v>45973</v>
      </c>
      <c r="BB4753" s="3" t="s">
        <v>45974</v>
      </c>
      <c r="BC4753" s="3" t="s">
        <v>102</v>
      </c>
      <c r="BD4753" s="3" t="s">
        <v>68</v>
      </c>
      <c r="BF4753" s="3" t="s">
        <v>45974</v>
      </c>
      <c r="BG4753" s="3" t="s">
        <v>45975</v>
      </c>
    </row>
    <row r="4754" spans="1:59" ht="58" x14ac:dyDescent="0.35">
      <c r="A4754" s="2" t="s">
        <v>89</v>
      </c>
      <c r="B4754" s="2" t="s">
        <v>90</v>
      </c>
      <c r="C4754" s="2" t="s">
        <v>45976</v>
      </c>
      <c r="D4754" s="2" t="s">
        <v>45977</v>
      </c>
      <c r="E4754" s="2" t="s">
        <v>45978</v>
      </c>
      <c r="G4754" s="3" t="s">
        <v>62</v>
      </c>
      <c r="I4754" s="3" t="s">
        <v>62</v>
      </c>
      <c r="J4754" s="3" t="s">
        <v>62</v>
      </c>
      <c r="K4754" s="3" t="s">
        <v>63</v>
      </c>
      <c r="L4754" s="2" t="s">
        <v>45979</v>
      </c>
      <c r="M4754" s="2" t="s">
        <v>45980</v>
      </c>
      <c r="N4754" s="3" t="s">
        <v>4865</v>
      </c>
      <c r="P4754" s="3" t="s">
        <v>64</v>
      </c>
      <c r="R4754" s="3" t="s">
        <v>42369</v>
      </c>
      <c r="S4754" s="4">
        <v>1</v>
      </c>
      <c r="T4754" s="4">
        <v>1</v>
      </c>
      <c r="U4754" s="5" t="s">
        <v>44344</v>
      </c>
      <c r="V4754" s="5" t="s">
        <v>44344</v>
      </c>
      <c r="W4754" s="5" t="s">
        <v>67</v>
      </c>
      <c r="X4754" s="5" t="s">
        <v>67</v>
      </c>
      <c r="Y4754" s="4">
        <v>22</v>
      </c>
      <c r="Z4754" s="4">
        <v>13</v>
      </c>
      <c r="AA4754" s="4">
        <v>15</v>
      </c>
      <c r="AB4754" s="4">
        <v>1</v>
      </c>
      <c r="AC4754" s="4">
        <v>1</v>
      </c>
      <c r="AD4754" s="4">
        <v>11</v>
      </c>
      <c r="AE4754" s="4">
        <v>13</v>
      </c>
      <c r="AF4754" s="4">
        <v>0</v>
      </c>
      <c r="AG4754" s="4">
        <v>0</v>
      </c>
      <c r="AH4754" s="4">
        <v>7</v>
      </c>
      <c r="AI4754" s="4">
        <v>8</v>
      </c>
      <c r="AJ4754" s="4">
        <v>8</v>
      </c>
      <c r="AK4754" s="4">
        <v>9</v>
      </c>
      <c r="AL4754" s="4">
        <v>2</v>
      </c>
      <c r="AM4754" s="4">
        <v>3</v>
      </c>
      <c r="AN4754" s="4">
        <v>0</v>
      </c>
      <c r="AO4754" s="4">
        <v>0</v>
      </c>
      <c r="AP4754" s="4">
        <v>9</v>
      </c>
      <c r="AQ4754" s="4">
        <v>9</v>
      </c>
      <c r="AR4754" s="3" t="s">
        <v>62</v>
      </c>
      <c r="AS4754" s="3" t="s">
        <v>62</v>
      </c>
      <c r="AT4754" s="3" t="s">
        <v>62</v>
      </c>
      <c r="AV4754" s="6" t="str">
        <f>HYPERLINK("http://mcgill.on.worldcat.org/oclc/11964835","Catalog Record")</f>
        <v>Catalog Record</v>
      </c>
      <c r="AW4754" s="6" t="str">
        <f>HYPERLINK("http://www.worldcat.org/oclc/11964835","WorldCat Record")</f>
        <v>WorldCat Record</v>
      </c>
      <c r="AX4754" s="3" t="s">
        <v>45981</v>
      </c>
      <c r="AY4754" s="3" t="s">
        <v>45982</v>
      </c>
      <c r="AZ4754" s="3" t="s">
        <v>45983</v>
      </c>
      <c r="BA4754" s="3" t="s">
        <v>45983</v>
      </c>
      <c r="BB4754" s="3" t="s">
        <v>45984</v>
      </c>
      <c r="BC4754" s="3" t="s">
        <v>102</v>
      </c>
      <c r="BD4754" s="3" t="s">
        <v>68</v>
      </c>
      <c r="BF4754" s="3" t="s">
        <v>45984</v>
      </c>
      <c r="BG4754" s="3" t="s">
        <v>45985</v>
      </c>
    </row>
    <row r="4755" spans="1:59" ht="58" x14ac:dyDescent="0.35">
      <c r="A4755" s="2" t="s">
        <v>89</v>
      </c>
      <c r="B4755" s="2" t="s">
        <v>90</v>
      </c>
      <c r="C4755" s="2" t="s">
        <v>45986</v>
      </c>
      <c r="D4755" s="2" t="s">
        <v>45987</v>
      </c>
      <c r="E4755" s="2" t="s">
        <v>45988</v>
      </c>
      <c r="G4755" s="3" t="s">
        <v>62</v>
      </c>
      <c r="I4755" s="3" t="s">
        <v>62</v>
      </c>
      <c r="J4755" s="3" t="s">
        <v>61</v>
      </c>
      <c r="K4755" s="3" t="s">
        <v>916</v>
      </c>
      <c r="L4755" s="2" t="s">
        <v>45979</v>
      </c>
      <c r="M4755" s="2" t="s">
        <v>45989</v>
      </c>
      <c r="N4755" s="3" t="s">
        <v>3062</v>
      </c>
      <c r="P4755" s="3" t="s">
        <v>64</v>
      </c>
      <c r="Q4755" s="2" t="s">
        <v>45990</v>
      </c>
      <c r="R4755" s="3" t="s">
        <v>42369</v>
      </c>
      <c r="S4755" s="4">
        <v>6</v>
      </c>
      <c r="T4755" s="4">
        <v>6</v>
      </c>
      <c r="U4755" s="5" t="s">
        <v>17290</v>
      </c>
      <c r="V4755" s="5" t="s">
        <v>17290</v>
      </c>
      <c r="W4755" s="5" t="s">
        <v>67</v>
      </c>
      <c r="X4755" s="5" t="s">
        <v>67</v>
      </c>
      <c r="Y4755" s="4">
        <v>57</v>
      </c>
      <c r="Z4755" s="4">
        <v>21</v>
      </c>
      <c r="AA4755" s="4">
        <v>130</v>
      </c>
      <c r="AB4755" s="4">
        <v>1</v>
      </c>
      <c r="AC4755" s="4">
        <v>18</v>
      </c>
      <c r="AD4755" s="4">
        <v>10</v>
      </c>
      <c r="AE4755" s="4">
        <v>154</v>
      </c>
      <c r="AF4755" s="4">
        <v>0</v>
      </c>
      <c r="AG4755" s="4">
        <v>8</v>
      </c>
      <c r="AH4755" s="4">
        <v>3</v>
      </c>
      <c r="AI4755" s="4">
        <v>108</v>
      </c>
      <c r="AJ4755" s="4">
        <v>3</v>
      </c>
      <c r="AK4755" s="4">
        <v>28</v>
      </c>
      <c r="AL4755" s="4">
        <v>2</v>
      </c>
      <c r="AM4755" s="4">
        <v>59</v>
      </c>
      <c r="AN4755" s="4">
        <v>0</v>
      </c>
      <c r="AO4755" s="4">
        <v>7</v>
      </c>
      <c r="AP4755" s="4">
        <v>8</v>
      </c>
      <c r="AQ4755" s="4">
        <v>52</v>
      </c>
      <c r="AR4755" s="3" t="s">
        <v>61</v>
      </c>
      <c r="AS4755" s="3" t="s">
        <v>62</v>
      </c>
      <c r="AT4755" s="3" t="s">
        <v>62</v>
      </c>
      <c r="AV4755" s="6" t="str">
        <f>HYPERLINK("http://mcgill.on.worldcat.org/oclc/23052949","Catalog Record")</f>
        <v>Catalog Record</v>
      </c>
      <c r="AW4755" s="6" t="str">
        <f>HYPERLINK("http://www.worldcat.org/oclc/23052949","WorldCat Record")</f>
        <v>WorldCat Record</v>
      </c>
      <c r="AX4755" s="3" t="s">
        <v>45991</v>
      </c>
      <c r="AY4755" s="3" t="s">
        <v>45992</v>
      </c>
      <c r="AZ4755" s="3" t="s">
        <v>45993</v>
      </c>
      <c r="BA4755" s="3" t="s">
        <v>45993</v>
      </c>
      <c r="BB4755" s="3" t="s">
        <v>45994</v>
      </c>
      <c r="BC4755" s="3" t="s">
        <v>102</v>
      </c>
      <c r="BD4755" s="3" t="s">
        <v>68</v>
      </c>
      <c r="BE4755" s="3" t="s">
        <v>45995</v>
      </c>
      <c r="BF4755" s="3" t="s">
        <v>45994</v>
      </c>
      <c r="BG4755" s="3" t="s">
        <v>45996</v>
      </c>
    </row>
    <row r="4756" spans="1:59" ht="58" x14ac:dyDescent="0.35">
      <c r="A4756" s="2" t="s">
        <v>59</v>
      </c>
      <c r="B4756" s="2" t="s">
        <v>60</v>
      </c>
      <c r="C4756" s="2" t="s">
        <v>45997</v>
      </c>
      <c r="D4756" s="2" t="s">
        <v>45998</v>
      </c>
      <c r="E4756" s="2" t="s">
        <v>45999</v>
      </c>
      <c r="G4756" s="3" t="s">
        <v>62</v>
      </c>
      <c r="I4756" s="3" t="s">
        <v>62</v>
      </c>
      <c r="J4756" s="3" t="s">
        <v>62</v>
      </c>
      <c r="K4756" s="3" t="s">
        <v>63</v>
      </c>
      <c r="L4756" s="2" t="s">
        <v>46000</v>
      </c>
      <c r="M4756" s="2" t="s">
        <v>46001</v>
      </c>
      <c r="N4756" s="3" t="s">
        <v>954</v>
      </c>
      <c r="O4756" s="2" t="s">
        <v>46002</v>
      </c>
      <c r="P4756" s="3" t="s">
        <v>64</v>
      </c>
      <c r="R4756" s="3" t="s">
        <v>42369</v>
      </c>
      <c r="S4756" s="4">
        <v>15</v>
      </c>
      <c r="T4756" s="4">
        <v>15</v>
      </c>
      <c r="U4756" s="5" t="s">
        <v>5030</v>
      </c>
      <c r="V4756" s="5" t="s">
        <v>5030</v>
      </c>
      <c r="W4756" s="5" t="s">
        <v>67</v>
      </c>
      <c r="X4756" s="5" t="s">
        <v>67</v>
      </c>
      <c r="Y4756" s="4">
        <v>462</v>
      </c>
      <c r="Z4756" s="4">
        <v>11</v>
      </c>
      <c r="AA4756" s="4">
        <v>31</v>
      </c>
      <c r="AB4756" s="4">
        <v>3</v>
      </c>
      <c r="AC4756" s="4">
        <v>4</v>
      </c>
      <c r="AD4756" s="4">
        <v>59</v>
      </c>
      <c r="AE4756" s="4">
        <v>93</v>
      </c>
      <c r="AF4756" s="4">
        <v>2</v>
      </c>
      <c r="AG4756" s="4">
        <v>2</v>
      </c>
      <c r="AH4756" s="4">
        <v>51</v>
      </c>
      <c r="AI4756" s="4">
        <v>80</v>
      </c>
      <c r="AJ4756" s="4">
        <v>3</v>
      </c>
      <c r="AK4756" s="4">
        <v>10</v>
      </c>
      <c r="AL4756" s="4">
        <v>28</v>
      </c>
      <c r="AM4756" s="4">
        <v>42</v>
      </c>
      <c r="AN4756" s="4">
        <v>0</v>
      </c>
      <c r="AO4756" s="4">
        <v>0</v>
      </c>
      <c r="AP4756" s="4">
        <v>8</v>
      </c>
      <c r="AQ4756" s="4">
        <v>18</v>
      </c>
      <c r="AR4756" s="3" t="s">
        <v>62</v>
      </c>
      <c r="AS4756" s="3" t="s">
        <v>62</v>
      </c>
      <c r="AT4756" s="3" t="s">
        <v>61</v>
      </c>
      <c r="AU4756" s="6" t="str">
        <f>HYPERLINK("http://catalog.hathitrust.org/Record/001503398","HathiTrust Record")</f>
        <v>HathiTrust Record</v>
      </c>
      <c r="AV4756" s="6" t="str">
        <f>HYPERLINK("http://mcgill.on.worldcat.org/oclc/1974896","Catalog Record")</f>
        <v>Catalog Record</v>
      </c>
      <c r="AW4756" s="6" t="str">
        <f>HYPERLINK("http://www.worldcat.org/oclc/1974896","WorldCat Record")</f>
        <v>WorldCat Record</v>
      </c>
      <c r="AX4756" s="3" t="s">
        <v>46003</v>
      </c>
      <c r="AY4756" s="3" t="s">
        <v>46004</v>
      </c>
      <c r="AZ4756" s="3" t="s">
        <v>46005</v>
      </c>
      <c r="BA4756" s="3" t="s">
        <v>46005</v>
      </c>
      <c r="BB4756" s="3" t="s">
        <v>46006</v>
      </c>
      <c r="BC4756" s="3" t="s">
        <v>102</v>
      </c>
      <c r="BD4756" s="3" t="s">
        <v>6923</v>
      </c>
      <c r="BF4756" s="3" t="s">
        <v>46006</v>
      </c>
      <c r="BG4756" s="3" t="s">
        <v>46007</v>
      </c>
    </row>
    <row r="4757" spans="1:59" ht="58" x14ac:dyDescent="0.35">
      <c r="A4757" s="2" t="s">
        <v>89</v>
      </c>
      <c r="B4757" s="2" t="s">
        <v>90</v>
      </c>
      <c r="C4757" s="2" t="s">
        <v>46008</v>
      </c>
      <c r="D4757" s="2" t="s">
        <v>46009</v>
      </c>
      <c r="E4757" s="2" t="s">
        <v>46010</v>
      </c>
      <c r="G4757" s="3" t="s">
        <v>62</v>
      </c>
      <c r="I4757" s="3" t="s">
        <v>62</v>
      </c>
      <c r="J4757" s="3" t="s">
        <v>62</v>
      </c>
      <c r="K4757" s="3" t="s">
        <v>63</v>
      </c>
      <c r="L4757" s="2" t="s">
        <v>46011</v>
      </c>
      <c r="M4757" s="2" t="s">
        <v>46012</v>
      </c>
      <c r="N4757" s="3" t="s">
        <v>3761</v>
      </c>
      <c r="P4757" s="3" t="s">
        <v>64</v>
      </c>
      <c r="R4757" s="3" t="s">
        <v>42369</v>
      </c>
      <c r="S4757" s="4">
        <v>1</v>
      </c>
      <c r="T4757" s="4">
        <v>1</v>
      </c>
      <c r="U4757" s="5" t="s">
        <v>15891</v>
      </c>
      <c r="V4757" s="5" t="s">
        <v>15891</v>
      </c>
      <c r="W4757" s="5" t="s">
        <v>67</v>
      </c>
      <c r="X4757" s="5" t="s">
        <v>67</v>
      </c>
      <c r="Y4757" s="4">
        <v>73</v>
      </c>
      <c r="Z4757" s="4">
        <v>6</v>
      </c>
      <c r="AA4757" s="4">
        <v>17</v>
      </c>
      <c r="AB4757" s="4">
        <v>1</v>
      </c>
      <c r="AC4757" s="4">
        <v>3</v>
      </c>
      <c r="AD4757" s="4">
        <v>34</v>
      </c>
      <c r="AE4757" s="4">
        <v>93</v>
      </c>
      <c r="AF4757" s="4">
        <v>0</v>
      </c>
      <c r="AG4757" s="4">
        <v>0</v>
      </c>
      <c r="AH4757" s="4">
        <v>32</v>
      </c>
      <c r="AI4757" s="4">
        <v>85</v>
      </c>
      <c r="AJ4757" s="4">
        <v>5</v>
      </c>
      <c r="AK4757" s="4">
        <v>9</v>
      </c>
      <c r="AL4757" s="4">
        <v>21</v>
      </c>
      <c r="AM4757" s="4">
        <v>52</v>
      </c>
      <c r="AN4757" s="4">
        <v>0</v>
      </c>
      <c r="AO4757" s="4">
        <v>0</v>
      </c>
      <c r="AP4757" s="4">
        <v>5</v>
      </c>
      <c r="AQ4757" s="4">
        <v>10</v>
      </c>
      <c r="AR4757" s="3" t="s">
        <v>62</v>
      </c>
      <c r="AS4757" s="3" t="s">
        <v>61</v>
      </c>
      <c r="AT4757" s="3" t="s">
        <v>62</v>
      </c>
      <c r="AU4757" s="6" t="str">
        <f>HYPERLINK("http://catalog.hathitrust.org/Record/001904275","HathiTrust Record")</f>
        <v>HathiTrust Record</v>
      </c>
      <c r="AV4757" s="6" t="str">
        <f>HYPERLINK("http://mcgill.on.worldcat.org/oclc/5059141","Catalog Record")</f>
        <v>Catalog Record</v>
      </c>
      <c r="AW4757" s="6" t="str">
        <f>HYPERLINK("http://www.worldcat.org/oclc/5059141","WorldCat Record")</f>
        <v>WorldCat Record</v>
      </c>
      <c r="AX4757" s="3" t="s">
        <v>46013</v>
      </c>
      <c r="AY4757" s="3" t="s">
        <v>46014</v>
      </c>
      <c r="AZ4757" s="3" t="s">
        <v>46015</v>
      </c>
      <c r="BA4757" s="3" t="s">
        <v>46015</v>
      </c>
      <c r="BB4757" s="3" t="s">
        <v>46016</v>
      </c>
      <c r="BC4757" s="3" t="s">
        <v>102</v>
      </c>
      <c r="BD4757" s="3" t="s">
        <v>68</v>
      </c>
      <c r="BF4757" s="3" t="s">
        <v>46016</v>
      </c>
      <c r="BG4757" s="3" t="s">
        <v>46017</v>
      </c>
    </row>
    <row r="4758" spans="1:59" ht="58" x14ac:dyDescent="0.35">
      <c r="A4758" s="2" t="s">
        <v>89</v>
      </c>
      <c r="B4758" s="2" t="s">
        <v>90</v>
      </c>
      <c r="C4758" s="2" t="s">
        <v>46018</v>
      </c>
      <c r="D4758" s="2" t="s">
        <v>46019</v>
      </c>
      <c r="E4758" s="2" t="s">
        <v>46020</v>
      </c>
      <c r="G4758" s="3" t="s">
        <v>62</v>
      </c>
      <c r="I4758" s="3" t="s">
        <v>61</v>
      </c>
      <c r="J4758" s="3" t="s">
        <v>61</v>
      </c>
      <c r="K4758" s="3" t="s">
        <v>63</v>
      </c>
      <c r="L4758" s="2" t="s">
        <v>45242</v>
      </c>
      <c r="M4758" s="2" t="s">
        <v>46021</v>
      </c>
      <c r="N4758" s="3" t="s">
        <v>1467</v>
      </c>
      <c r="P4758" s="3" t="s">
        <v>64</v>
      </c>
      <c r="R4758" s="3" t="s">
        <v>42369</v>
      </c>
      <c r="S4758" s="4">
        <v>18</v>
      </c>
      <c r="T4758" s="4">
        <v>23</v>
      </c>
      <c r="U4758" s="5" t="s">
        <v>17290</v>
      </c>
      <c r="V4758" s="5" t="s">
        <v>17290</v>
      </c>
      <c r="W4758" s="5" t="s">
        <v>67</v>
      </c>
      <c r="X4758" s="5" t="s">
        <v>67</v>
      </c>
      <c r="Y4758" s="4">
        <v>29</v>
      </c>
      <c r="Z4758" s="4">
        <v>26</v>
      </c>
      <c r="AA4758" s="4">
        <v>193</v>
      </c>
      <c r="AB4758" s="4">
        <v>2</v>
      </c>
      <c r="AC4758" s="4">
        <v>16</v>
      </c>
      <c r="AD4758" s="4">
        <v>15</v>
      </c>
      <c r="AE4758" s="4">
        <v>149</v>
      </c>
      <c r="AF4758" s="4">
        <v>0</v>
      </c>
      <c r="AG4758" s="4">
        <v>5</v>
      </c>
      <c r="AH4758" s="4">
        <v>10</v>
      </c>
      <c r="AI4758" s="4">
        <v>104</v>
      </c>
      <c r="AJ4758" s="4">
        <v>9</v>
      </c>
      <c r="AK4758" s="4">
        <v>28</v>
      </c>
      <c r="AL4758" s="4">
        <v>3</v>
      </c>
      <c r="AM4758" s="4">
        <v>57</v>
      </c>
      <c r="AN4758" s="4">
        <v>0</v>
      </c>
      <c r="AO4758" s="4">
        <v>0</v>
      </c>
      <c r="AP4758" s="4">
        <v>13</v>
      </c>
      <c r="AQ4758" s="4">
        <v>52</v>
      </c>
      <c r="AR4758" s="3" t="s">
        <v>61</v>
      </c>
      <c r="AS4758" s="3" t="s">
        <v>62</v>
      </c>
      <c r="AT4758" s="3" t="s">
        <v>61</v>
      </c>
      <c r="AU4758" s="6" t="str">
        <f>HYPERLINK("http://catalog.hathitrust.org/Record/001516165","HathiTrust Record")</f>
        <v>HathiTrust Record</v>
      </c>
      <c r="AV4758" s="6" t="str">
        <f>HYPERLINK("http://mcgill.on.worldcat.org/oclc/187455225","Catalog Record")</f>
        <v>Catalog Record</v>
      </c>
      <c r="AW4758" s="6" t="str">
        <f>HYPERLINK("http://www.worldcat.org/oclc/187455225","WorldCat Record")</f>
        <v>WorldCat Record</v>
      </c>
      <c r="AX4758" s="3" t="s">
        <v>46022</v>
      </c>
      <c r="AY4758" s="3" t="s">
        <v>46023</v>
      </c>
      <c r="AZ4758" s="3" t="s">
        <v>46024</v>
      </c>
      <c r="BA4758" s="3" t="s">
        <v>46024</v>
      </c>
      <c r="BB4758" s="3" t="s">
        <v>46025</v>
      </c>
      <c r="BC4758" s="3" t="s">
        <v>102</v>
      </c>
      <c r="BD4758" s="3" t="s">
        <v>68</v>
      </c>
      <c r="BF4758" s="3" t="s">
        <v>46025</v>
      </c>
      <c r="BG4758" s="3" t="s">
        <v>46026</v>
      </c>
    </row>
    <row r="4759" spans="1:59" ht="58" x14ac:dyDescent="0.35">
      <c r="A4759" s="2" t="s">
        <v>89</v>
      </c>
      <c r="B4759" s="2" t="s">
        <v>90</v>
      </c>
      <c r="C4759" s="2" t="s">
        <v>46018</v>
      </c>
      <c r="D4759" s="2" t="s">
        <v>46019</v>
      </c>
      <c r="E4759" s="2" t="s">
        <v>46020</v>
      </c>
      <c r="G4759" s="3" t="s">
        <v>62</v>
      </c>
      <c r="I4759" s="3" t="s">
        <v>61</v>
      </c>
      <c r="J4759" s="3" t="s">
        <v>61</v>
      </c>
      <c r="K4759" s="3" t="s">
        <v>63</v>
      </c>
      <c r="L4759" s="2" t="s">
        <v>45242</v>
      </c>
      <c r="M4759" s="2" t="s">
        <v>46021</v>
      </c>
      <c r="N4759" s="3" t="s">
        <v>1467</v>
      </c>
      <c r="P4759" s="3" t="s">
        <v>64</v>
      </c>
      <c r="R4759" s="3" t="s">
        <v>42369</v>
      </c>
      <c r="S4759" s="4">
        <v>0</v>
      </c>
      <c r="T4759" s="4">
        <v>23</v>
      </c>
      <c r="V4759" s="5" t="s">
        <v>17290</v>
      </c>
      <c r="W4759" s="5" t="s">
        <v>67</v>
      </c>
      <c r="X4759" s="5" t="s">
        <v>67</v>
      </c>
      <c r="Y4759" s="4">
        <v>29</v>
      </c>
      <c r="Z4759" s="4">
        <v>26</v>
      </c>
      <c r="AA4759" s="4">
        <v>193</v>
      </c>
      <c r="AB4759" s="4">
        <v>2</v>
      </c>
      <c r="AC4759" s="4">
        <v>16</v>
      </c>
      <c r="AD4759" s="4">
        <v>15</v>
      </c>
      <c r="AE4759" s="4">
        <v>149</v>
      </c>
      <c r="AF4759" s="4">
        <v>0</v>
      </c>
      <c r="AG4759" s="4">
        <v>5</v>
      </c>
      <c r="AH4759" s="4">
        <v>10</v>
      </c>
      <c r="AI4759" s="4">
        <v>104</v>
      </c>
      <c r="AJ4759" s="4">
        <v>9</v>
      </c>
      <c r="AK4759" s="4">
        <v>28</v>
      </c>
      <c r="AL4759" s="4">
        <v>3</v>
      </c>
      <c r="AM4759" s="4">
        <v>57</v>
      </c>
      <c r="AN4759" s="4">
        <v>0</v>
      </c>
      <c r="AO4759" s="4">
        <v>0</v>
      </c>
      <c r="AP4759" s="4">
        <v>13</v>
      </c>
      <c r="AQ4759" s="4">
        <v>52</v>
      </c>
      <c r="AR4759" s="3" t="s">
        <v>61</v>
      </c>
      <c r="AS4759" s="3" t="s">
        <v>62</v>
      </c>
      <c r="AT4759" s="3" t="s">
        <v>61</v>
      </c>
      <c r="AU4759" s="6" t="str">
        <f>HYPERLINK("http://catalog.hathitrust.org/Record/001516165","HathiTrust Record")</f>
        <v>HathiTrust Record</v>
      </c>
      <c r="AV4759" s="6" t="str">
        <f>HYPERLINK("http://mcgill.on.worldcat.org/oclc/187455225","Catalog Record")</f>
        <v>Catalog Record</v>
      </c>
      <c r="AW4759" s="6" t="str">
        <f>HYPERLINK("http://www.worldcat.org/oclc/187455225","WorldCat Record")</f>
        <v>WorldCat Record</v>
      </c>
      <c r="AX4759" s="3" t="s">
        <v>46022</v>
      </c>
      <c r="AY4759" s="3" t="s">
        <v>46023</v>
      </c>
      <c r="AZ4759" s="3" t="s">
        <v>46024</v>
      </c>
      <c r="BA4759" s="3" t="s">
        <v>46024</v>
      </c>
      <c r="BB4759" s="3" t="s">
        <v>46027</v>
      </c>
      <c r="BC4759" s="3" t="s">
        <v>102</v>
      </c>
      <c r="BD4759" s="3" t="s">
        <v>68</v>
      </c>
      <c r="BF4759" s="3" t="s">
        <v>46027</v>
      </c>
      <c r="BG4759" s="3" t="s">
        <v>46028</v>
      </c>
    </row>
    <row r="4760" spans="1:59" ht="58" x14ac:dyDescent="0.35">
      <c r="A4760" s="2" t="s">
        <v>59</v>
      </c>
      <c r="B4760" s="2" t="s">
        <v>60</v>
      </c>
      <c r="C4760" s="2" t="s">
        <v>46029</v>
      </c>
      <c r="D4760" s="2" t="s">
        <v>46030</v>
      </c>
      <c r="E4760" s="2" t="s">
        <v>46020</v>
      </c>
      <c r="G4760" s="3" t="s">
        <v>62</v>
      </c>
      <c r="I4760" s="3" t="s">
        <v>62</v>
      </c>
      <c r="J4760" s="3" t="s">
        <v>61</v>
      </c>
      <c r="K4760" s="3" t="s">
        <v>63</v>
      </c>
      <c r="L4760" s="2" t="s">
        <v>46031</v>
      </c>
      <c r="M4760" s="2" t="s">
        <v>46032</v>
      </c>
      <c r="N4760" s="3" t="s">
        <v>1467</v>
      </c>
      <c r="O4760" s="2" t="s">
        <v>3990</v>
      </c>
      <c r="P4760" s="3" t="s">
        <v>64</v>
      </c>
      <c r="R4760" s="3" t="s">
        <v>42369</v>
      </c>
      <c r="S4760" s="4">
        <v>10</v>
      </c>
      <c r="T4760" s="4">
        <v>10</v>
      </c>
      <c r="U4760" s="5" t="s">
        <v>3943</v>
      </c>
      <c r="V4760" s="5" t="s">
        <v>3943</v>
      </c>
      <c r="W4760" s="5" t="s">
        <v>67</v>
      </c>
      <c r="X4760" s="5" t="s">
        <v>67</v>
      </c>
      <c r="Y4760" s="4">
        <v>1496</v>
      </c>
      <c r="Z4760" s="4">
        <v>32</v>
      </c>
      <c r="AA4760" s="4">
        <v>193</v>
      </c>
      <c r="AB4760" s="4">
        <v>1</v>
      </c>
      <c r="AC4760" s="4">
        <v>16</v>
      </c>
      <c r="AD4760" s="4">
        <v>92</v>
      </c>
      <c r="AE4760" s="4">
        <v>149</v>
      </c>
      <c r="AF4760" s="4">
        <v>0</v>
      </c>
      <c r="AG4760" s="4">
        <v>5</v>
      </c>
      <c r="AH4760" s="4">
        <v>77</v>
      </c>
      <c r="AI4760" s="4">
        <v>104</v>
      </c>
      <c r="AJ4760" s="4">
        <v>10</v>
      </c>
      <c r="AK4760" s="4">
        <v>28</v>
      </c>
      <c r="AL4760" s="4">
        <v>45</v>
      </c>
      <c r="AM4760" s="4">
        <v>57</v>
      </c>
      <c r="AN4760" s="4">
        <v>0</v>
      </c>
      <c r="AO4760" s="4">
        <v>0</v>
      </c>
      <c r="AP4760" s="4">
        <v>16</v>
      </c>
      <c r="AQ4760" s="4">
        <v>52</v>
      </c>
      <c r="AR4760" s="3" t="s">
        <v>62</v>
      </c>
      <c r="AS4760" s="3" t="s">
        <v>62</v>
      </c>
      <c r="AT4760" s="3" t="s">
        <v>61</v>
      </c>
      <c r="AU4760" s="6" t="str">
        <f>HYPERLINK("http://catalog.hathitrust.org/Record/001516165","HathiTrust Record")</f>
        <v>HathiTrust Record</v>
      </c>
      <c r="AV4760" s="6" t="str">
        <f>HYPERLINK("http://mcgill.on.worldcat.org/oclc/1080233","Catalog Record")</f>
        <v>Catalog Record</v>
      </c>
      <c r="AW4760" s="6" t="str">
        <f>HYPERLINK("http://www.worldcat.org/oclc/1080233","WorldCat Record")</f>
        <v>WorldCat Record</v>
      </c>
      <c r="AX4760" s="3" t="s">
        <v>46022</v>
      </c>
      <c r="AY4760" s="3" t="s">
        <v>46033</v>
      </c>
      <c r="AZ4760" s="3" t="s">
        <v>46034</v>
      </c>
      <c r="BA4760" s="3" t="s">
        <v>46034</v>
      </c>
      <c r="BB4760" s="3" t="s">
        <v>46035</v>
      </c>
      <c r="BC4760" s="3" t="s">
        <v>102</v>
      </c>
      <c r="BD4760" s="3" t="s">
        <v>68</v>
      </c>
      <c r="BE4760" s="3" t="s">
        <v>46036</v>
      </c>
      <c r="BF4760" s="3" t="s">
        <v>46035</v>
      </c>
      <c r="BG4760" s="3" t="s">
        <v>46037</v>
      </c>
    </row>
    <row r="4761" spans="1:59" ht="58" x14ac:dyDescent="0.35">
      <c r="A4761" s="2" t="s">
        <v>89</v>
      </c>
      <c r="B4761" s="2" t="s">
        <v>90</v>
      </c>
      <c r="C4761" s="2" t="s">
        <v>46038</v>
      </c>
      <c r="D4761" s="2" t="s">
        <v>46039</v>
      </c>
      <c r="E4761" s="2" t="s">
        <v>46020</v>
      </c>
      <c r="G4761" s="3" t="s">
        <v>62</v>
      </c>
      <c r="I4761" s="3" t="s">
        <v>62</v>
      </c>
      <c r="J4761" s="3" t="s">
        <v>61</v>
      </c>
      <c r="K4761" s="3" t="s">
        <v>63</v>
      </c>
      <c r="L4761" s="2" t="s">
        <v>45242</v>
      </c>
      <c r="M4761" s="2" t="s">
        <v>46040</v>
      </c>
      <c r="N4761" s="3" t="s">
        <v>2566</v>
      </c>
      <c r="O4761" s="2" t="s">
        <v>8350</v>
      </c>
      <c r="P4761" s="3" t="s">
        <v>64</v>
      </c>
      <c r="R4761" s="3" t="s">
        <v>42369</v>
      </c>
      <c r="S4761" s="4">
        <v>20</v>
      </c>
      <c r="T4761" s="4">
        <v>20</v>
      </c>
      <c r="U4761" s="5" t="s">
        <v>1170</v>
      </c>
      <c r="V4761" s="5" t="s">
        <v>1170</v>
      </c>
      <c r="W4761" s="5" t="s">
        <v>67</v>
      </c>
      <c r="X4761" s="5" t="s">
        <v>67</v>
      </c>
      <c r="Y4761" s="4">
        <v>47</v>
      </c>
      <c r="Z4761" s="4">
        <v>37</v>
      </c>
      <c r="AA4761" s="4">
        <v>193</v>
      </c>
      <c r="AB4761" s="4">
        <v>1</v>
      </c>
      <c r="AC4761" s="4">
        <v>16</v>
      </c>
      <c r="AD4761" s="4">
        <v>10</v>
      </c>
      <c r="AE4761" s="4">
        <v>149</v>
      </c>
      <c r="AF4761" s="4">
        <v>0</v>
      </c>
      <c r="AG4761" s="4">
        <v>5</v>
      </c>
      <c r="AH4761" s="4">
        <v>5</v>
      </c>
      <c r="AI4761" s="4">
        <v>104</v>
      </c>
      <c r="AJ4761" s="4">
        <v>6</v>
      </c>
      <c r="AK4761" s="4">
        <v>28</v>
      </c>
      <c r="AL4761" s="4">
        <v>0</v>
      </c>
      <c r="AM4761" s="4">
        <v>57</v>
      </c>
      <c r="AN4761" s="4">
        <v>0</v>
      </c>
      <c r="AO4761" s="4">
        <v>0</v>
      </c>
      <c r="AP4761" s="4">
        <v>9</v>
      </c>
      <c r="AQ4761" s="4">
        <v>52</v>
      </c>
      <c r="AR4761" s="3" t="s">
        <v>61</v>
      </c>
      <c r="AS4761" s="3" t="s">
        <v>62</v>
      </c>
      <c r="AT4761" s="3" t="s">
        <v>62</v>
      </c>
      <c r="AV4761" s="6" t="str">
        <f>HYPERLINK("http://mcgill.on.worldcat.org/oclc/7259136","Catalog Record")</f>
        <v>Catalog Record</v>
      </c>
      <c r="AW4761" s="6" t="str">
        <f>HYPERLINK("http://www.worldcat.org/oclc/7259136","WorldCat Record")</f>
        <v>WorldCat Record</v>
      </c>
      <c r="AX4761" s="3" t="s">
        <v>46022</v>
      </c>
      <c r="AY4761" s="3" t="s">
        <v>46041</v>
      </c>
      <c r="AZ4761" s="3" t="s">
        <v>46042</v>
      </c>
      <c r="BA4761" s="3" t="s">
        <v>46042</v>
      </c>
      <c r="BB4761" s="3" t="s">
        <v>46043</v>
      </c>
      <c r="BC4761" s="3" t="s">
        <v>102</v>
      </c>
      <c r="BD4761" s="3" t="s">
        <v>68</v>
      </c>
      <c r="BE4761" s="3" t="s">
        <v>46044</v>
      </c>
      <c r="BF4761" s="3" t="s">
        <v>46043</v>
      </c>
      <c r="BG4761" s="3" t="s">
        <v>46045</v>
      </c>
    </row>
    <row r="4762" spans="1:59" ht="58" x14ac:dyDescent="0.35">
      <c r="A4762" s="2" t="s">
        <v>59</v>
      </c>
      <c r="B4762" s="2" t="s">
        <v>60</v>
      </c>
      <c r="C4762" s="2" t="s">
        <v>46046</v>
      </c>
      <c r="D4762" s="2" t="s">
        <v>46047</v>
      </c>
      <c r="E4762" s="2" t="s">
        <v>46048</v>
      </c>
      <c r="G4762" s="3" t="s">
        <v>62</v>
      </c>
      <c r="I4762" s="3" t="s">
        <v>62</v>
      </c>
      <c r="J4762" s="3" t="s">
        <v>62</v>
      </c>
      <c r="K4762" s="3" t="s">
        <v>63</v>
      </c>
      <c r="L4762" s="2" t="s">
        <v>46049</v>
      </c>
      <c r="M4762" s="2" t="s">
        <v>46050</v>
      </c>
      <c r="N4762" s="3" t="s">
        <v>1662</v>
      </c>
      <c r="P4762" s="3" t="s">
        <v>64</v>
      </c>
      <c r="Q4762" s="2" t="s">
        <v>46051</v>
      </c>
      <c r="R4762" s="3" t="s">
        <v>42369</v>
      </c>
      <c r="S4762" s="4">
        <v>1</v>
      </c>
      <c r="T4762" s="4">
        <v>1</v>
      </c>
      <c r="U4762" s="5" t="s">
        <v>6881</v>
      </c>
      <c r="V4762" s="5" t="s">
        <v>6881</v>
      </c>
      <c r="W4762" s="5" t="s">
        <v>67</v>
      </c>
      <c r="X4762" s="5" t="s">
        <v>67</v>
      </c>
      <c r="Y4762" s="4">
        <v>319</v>
      </c>
      <c r="Z4762" s="4">
        <v>12</v>
      </c>
      <c r="AA4762" s="4">
        <v>18</v>
      </c>
      <c r="AB4762" s="4">
        <v>1</v>
      </c>
      <c r="AC4762" s="4">
        <v>4</v>
      </c>
      <c r="AD4762" s="4">
        <v>90</v>
      </c>
      <c r="AE4762" s="4">
        <v>101</v>
      </c>
      <c r="AF4762" s="4">
        <v>0</v>
      </c>
      <c r="AG4762" s="4">
        <v>2</v>
      </c>
      <c r="AH4762" s="4">
        <v>81</v>
      </c>
      <c r="AI4762" s="4">
        <v>89</v>
      </c>
      <c r="AJ4762" s="4">
        <v>7</v>
      </c>
      <c r="AK4762" s="4">
        <v>11</v>
      </c>
      <c r="AL4762" s="4">
        <v>51</v>
      </c>
      <c r="AM4762" s="4">
        <v>52</v>
      </c>
      <c r="AN4762" s="4">
        <v>0</v>
      </c>
      <c r="AO4762" s="4">
        <v>0</v>
      </c>
      <c r="AP4762" s="4">
        <v>9</v>
      </c>
      <c r="AQ4762" s="4">
        <v>14</v>
      </c>
      <c r="AR4762" s="3" t="s">
        <v>62</v>
      </c>
      <c r="AS4762" s="3" t="s">
        <v>62</v>
      </c>
      <c r="AT4762" s="3" t="s">
        <v>62</v>
      </c>
      <c r="AV4762" s="6" t="str">
        <f>HYPERLINK("http://mcgill.on.worldcat.org/oclc/1535894","Catalog Record")</f>
        <v>Catalog Record</v>
      </c>
      <c r="AW4762" s="6" t="str">
        <f>HYPERLINK("http://www.worldcat.org/oclc/1535894","WorldCat Record")</f>
        <v>WorldCat Record</v>
      </c>
      <c r="AX4762" s="3" t="s">
        <v>46052</v>
      </c>
      <c r="AY4762" s="3" t="s">
        <v>46053</v>
      </c>
      <c r="AZ4762" s="3" t="s">
        <v>46054</v>
      </c>
      <c r="BA4762" s="3" t="s">
        <v>46054</v>
      </c>
      <c r="BB4762" s="3" t="s">
        <v>46055</v>
      </c>
      <c r="BC4762" s="3" t="s">
        <v>102</v>
      </c>
      <c r="BD4762" s="3" t="s">
        <v>68</v>
      </c>
      <c r="BF4762" s="3" t="s">
        <v>46055</v>
      </c>
      <c r="BG4762" s="3" t="s">
        <v>46056</v>
      </c>
    </row>
    <row r="4763" spans="1:59" ht="58" x14ac:dyDescent="0.35">
      <c r="A4763" s="2" t="s">
        <v>59</v>
      </c>
      <c r="B4763" s="2" t="s">
        <v>60</v>
      </c>
      <c r="C4763" s="2" t="s">
        <v>46057</v>
      </c>
      <c r="D4763" s="2" t="s">
        <v>46058</v>
      </c>
      <c r="E4763" s="2" t="s">
        <v>46059</v>
      </c>
      <c r="G4763" s="3" t="s">
        <v>62</v>
      </c>
      <c r="I4763" s="3" t="s">
        <v>61</v>
      </c>
      <c r="J4763" s="3" t="s">
        <v>61</v>
      </c>
      <c r="K4763" s="3" t="s">
        <v>63</v>
      </c>
      <c r="L4763" s="2" t="s">
        <v>46060</v>
      </c>
      <c r="M4763" s="2" t="s">
        <v>46061</v>
      </c>
      <c r="N4763" s="3" t="s">
        <v>496</v>
      </c>
      <c r="P4763" s="3" t="s">
        <v>64</v>
      </c>
      <c r="R4763" s="3" t="s">
        <v>42369</v>
      </c>
      <c r="S4763" s="4">
        <v>0</v>
      </c>
      <c r="T4763" s="4">
        <v>2</v>
      </c>
      <c r="V4763" s="5" t="s">
        <v>10950</v>
      </c>
      <c r="W4763" s="5" t="s">
        <v>67</v>
      </c>
      <c r="X4763" s="5" t="s">
        <v>67</v>
      </c>
      <c r="Y4763" s="4">
        <v>430</v>
      </c>
      <c r="Z4763" s="4">
        <v>20</v>
      </c>
      <c r="AA4763" s="4">
        <v>34</v>
      </c>
      <c r="AB4763" s="4">
        <v>2</v>
      </c>
      <c r="AC4763" s="4">
        <v>4</v>
      </c>
      <c r="AD4763" s="4">
        <v>101</v>
      </c>
      <c r="AE4763" s="4">
        <v>122</v>
      </c>
      <c r="AF4763" s="4">
        <v>1</v>
      </c>
      <c r="AG4763" s="4">
        <v>3</v>
      </c>
      <c r="AH4763" s="4">
        <v>89</v>
      </c>
      <c r="AI4763" s="4">
        <v>103</v>
      </c>
      <c r="AJ4763" s="4">
        <v>14</v>
      </c>
      <c r="AK4763" s="4">
        <v>23</v>
      </c>
      <c r="AL4763" s="4">
        <v>52</v>
      </c>
      <c r="AM4763" s="4">
        <v>58</v>
      </c>
      <c r="AN4763" s="4">
        <v>0</v>
      </c>
      <c r="AO4763" s="4">
        <v>0</v>
      </c>
      <c r="AP4763" s="4">
        <v>17</v>
      </c>
      <c r="AQ4763" s="4">
        <v>26</v>
      </c>
      <c r="AR4763" s="3" t="s">
        <v>62</v>
      </c>
      <c r="AS4763" s="3" t="s">
        <v>62</v>
      </c>
      <c r="AT4763" s="3" t="s">
        <v>61</v>
      </c>
      <c r="AU4763" s="6" t="str">
        <f>HYPERLINK("http://catalog.hathitrust.org/Record/001503457","HathiTrust Record")</f>
        <v>HathiTrust Record</v>
      </c>
      <c r="AV4763" s="6" t="str">
        <f>HYPERLINK("http://mcgill.on.worldcat.org/oclc/1535861","Catalog Record")</f>
        <v>Catalog Record</v>
      </c>
      <c r="AW4763" s="6" t="str">
        <f>HYPERLINK("http://www.worldcat.org/oclc/1535861","WorldCat Record")</f>
        <v>WorldCat Record</v>
      </c>
      <c r="AX4763" s="3" t="s">
        <v>46062</v>
      </c>
      <c r="AY4763" s="3" t="s">
        <v>46063</v>
      </c>
      <c r="AZ4763" s="3" t="s">
        <v>46064</v>
      </c>
      <c r="BA4763" s="3" t="s">
        <v>46064</v>
      </c>
      <c r="BB4763" s="3" t="s">
        <v>46065</v>
      </c>
      <c r="BC4763" s="3" t="s">
        <v>102</v>
      </c>
      <c r="BD4763" s="3" t="s">
        <v>68</v>
      </c>
      <c r="BF4763" s="3" t="s">
        <v>46065</v>
      </c>
      <c r="BG4763" s="3" t="s">
        <v>46066</v>
      </c>
    </row>
    <row r="4764" spans="1:59" ht="58" x14ac:dyDescent="0.35">
      <c r="A4764" s="2" t="s">
        <v>59</v>
      </c>
      <c r="B4764" s="2" t="s">
        <v>60</v>
      </c>
      <c r="C4764" s="2" t="s">
        <v>46067</v>
      </c>
      <c r="D4764" s="2" t="s">
        <v>46068</v>
      </c>
      <c r="E4764" s="2" t="s">
        <v>46069</v>
      </c>
      <c r="G4764" s="3" t="s">
        <v>62</v>
      </c>
      <c r="I4764" s="3" t="s">
        <v>61</v>
      </c>
      <c r="J4764" s="3" t="s">
        <v>62</v>
      </c>
      <c r="K4764" s="3" t="s">
        <v>63</v>
      </c>
      <c r="L4764" s="2" t="s">
        <v>46070</v>
      </c>
      <c r="M4764" s="2" t="s">
        <v>46071</v>
      </c>
      <c r="N4764" s="3" t="s">
        <v>13195</v>
      </c>
      <c r="P4764" s="3" t="s">
        <v>64</v>
      </c>
      <c r="R4764" s="3" t="s">
        <v>42369</v>
      </c>
      <c r="S4764" s="4">
        <v>1</v>
      </c>
      <c r="T4764" s="4">
        <v>1</v>
      </c>
      <c r="U4764" s="5" t="s">
        <v>46072</v>
      </c>
      <c r="V4764" s="5" t="s">
        <v>46072</v>
      </c>
      <c r="W4764" s="5" t="s">
        <v>67</v>
      </c>
      <c r="X4764" s="5" t="s">
        <v>67</v>
      </c>
      <c r="Y4764" s="4">
        <v>105</v>
      </c>
      <c r="Z4764" s="4">
        <v>8</v>
      </c>
      <c r="AA4764" s="4">
        <v>10</v>
      </c>
      <c r="AB4764" s="4">
        <v>1</v>
      </c>
      <c r="AC4764" s="4">
        <v>1</v>
      </c>
      <c r="AD4764" s="4">
        <v>39</v>
      </c>
      <c r="AE4764" s="4">
        <v>40</v>
      </c>
      <c r="AF4764" s="4">
        <v>0</v>
      </c>
      <c r="AG4764" s="4">
        <v>0</v>
      </c>
      <c r="AH4764" s="4">
        <v>36</v>
      </c>
      <c r="AI4764" s="4">
        <v>37</v>
      </c>
      <c r="AJ4764" s="4">
        <v>7</v>
      </c>
      <c r="AK4764" s="4">
        <v>8</v>
      </c>
      <c r="AL4764" s="4">
        <v>26</v>
      </c>
      <c r="AM4764" s="4">
        <v>27</v>
      </c>
      <c r="AN4764" s="4">
        <v>0</v>
      </c>
      <c r="AO4764" s="4">
        <v>0</v>
      </c>
      <c r="AP4764" s="4">
        <v>7</v>
      </c>
      <c r="AQ4764" s="4">
        <v>8</v>
      </c>
      <c r="AR4764" s="3" t="s">
        <v>62</v>
      </c>
      <c r="AS4764" s="3" t="s">
        <v>62</v>
      </c>
      <c r="AT4764" s="3" t="s">
        <v>61</v>
      </c>
      <c r="AU4764" s="6" t="str">
        <f>HYPERLINK("http://catalog.hathitrust.org/Record/010057650","HathiTrust Record")</f>
        <v>HathiTrust Record</v>
      </c>
      <c r="AV4764" s="6" t="str">
        <f>HYPERLINK("http://mcgill.on.worldcat.org/oclc/5586212","Catalog Record")</f>
        <v>Catalog Record</v>
      </c>
      <c r="AW4764" s="6" t="str">
        <f>HYPERLINK("http://www.worldcat.org/oclc/5586212","WorldCat Record")</f>
        <v>WorldCat Record</v>
      </c>
      <c r="AX4764" s="3" t="s">
        <v>46073</v>
      </c>
      <c r="AY4764" s="3" t="s">
        <v>46074</v>
      </c>
      <c r="AZ4764" s="3" t="s">
        <v>46075</v>
      </c>
      <c r="BA4764" s="3" t="s">
        <v>46075</v>
      </c>
      <c r="BB4764" s="3" t="s">
        <v>46076</v>
      </c>
      <c r="BC4764" s="3" t="s">
        <v>102</v>
      </c>
      <c r="BD4764" s="3" t="s">
        <v>68</v>
      </c>
      <c r="BF4764" s="3" t="s">
        <v>46076</v>
      </c>
      <c r="BG4764" s="3" t="s">
        <v>46077</v>
      </c>
    </row>
    <row r="4765" spans="1:59" ht="58" x14ac:dyDescent="0.35">
      <c r="A4765" s="2" t="s">
        <v>59</v>
      </c>
      <c r="B4765" s="2" t="s">
        <v>60</v>
      </c>
      <c r="C4765" s="2" t="s">
        <v>46078</v>
      </c>
      <c r="D4765" s="2" t="s">
        <v>46079</v>
      </c>
      <c r="E4765" s="2" t="s">
        <v>46080</v>
      </c>
      <c r="F4765" s="3" t="s">
        <v>1413</v>
      </c>
      <c r="G4765" s="3" t="s">
        <v>61</v>
      </c>
      <c r="I4765" s="3" t="s">
        <v>62</v>
      </c>
      <c r="J4765" s="3" t="s">
        <v>62</v>
      </c>
      <c r="K4765" s="3" t="s">
        <v>63</v>
      </c>
      <c r="M4765" s="2" t="s">
        <v>46081</v>
      </c>
      <c r="N4765" s="3" t="s">
        <v>396</v>
      </c>
      <c r="P4765" s="3" t="s">
        <v>64</v>
      </c>
      <c r="R4765" s="3" t="s">
        <v>42369</v>
      </c>
      <c r="S4765" s="4">
        <v>16</v>
      </c>
      <c r="T4765" s="4">
        <v>24</v>
      </c>
      <c r="U4765" s="5" t="s">
        <v>25358</v>
      </c>
      <c r="V4765" s="5" t="s">
        <v>25358</v>
      </c>
      <c r="W4765" s="5" t="s">
        <v>67</v>
      </c>
      <c r="X4765" s="5" t="s">
        <v>67</v>
      </c>
      <c r="Y4765" s="4">
        <v>325</v>
      </c>
      <c r="Z4765" s="4">
        <v>22</v>
      </c>
      <c r="AA4765" s="4">
        <v>24</v>
      </c>
      <c r="AB4765" s="4">
        <v>1</v>
      </c>
      <c r="AC4765" s="4">
        <v>3</v>
      </c>
      <c r="AD4765" s="4">
        <v>101</v>
      </c>
      <c r="AE4765" s="4">
        <v>103</v>
      </c>
      <c r="AF4765" s="4">
        <v>0</v>
      </c>
      <c r="AG4765" s="4">
        <v>2</v>
      </c>
      <c r="AH4765" s="4">
        <v>89</v>
      </c>
      <c r="AI4765" s="4">
        <v>90</v>
      </c>
      <c r="AJ4765" s="4">
        <v>10</v>
      </c>
      <c r="AK4765" s="4">
        <v>12</v>
      </c>
      <c r="AL4765" s="4">
        <v>53</v>
      </c>
      <c r="AM4765" s="4">
        <v>53</v>
      </c>
      <c r="AN4765" s="4">
        <v>0</v>
      </c>
      <c r="AO4765" s="4">
        <v>0</v>
      </c>
      <c r="AP4765" s="4">
        <v>15</v>
      </c>
      <c r="AQ4765" s="4">
        <v>16</v>
      </c>
      <c r="AR4765" s="3" t="s">
        <v>62</v>
      </c>
      <c r="AS4765" s="3" t="s">
        <v>62</v>
      </c>
      <c r="AT4765" s="3" t="s">
        <v>61</v>
      </c>
      <c r="AU4765" s="6" t="str">
        <f>HYPERLINK("http://catalog.hathitrust.org/Record/000595957","HathiTrust Record")</f>
        <v>HathiTrust Record</v>
      </c>
      <c r="AV4765" s="6" t="str">
        <f>HYPERLINK("http://mcgill.on.worldcat.org/oclc/13162915","Catalog Record")</f>
        <v>Catalog Record</v>
      </c>
      <c r="AW4765" s="6" t="str">
        <f>HYPERLINK("http://www.worldcat.org/oclc/13162915","WorldCat Record")</f>
        <v>WorldCat Record</v>
      </c>
      <c r="AX4765" s="3" t="s">
        <v>46082</v>
      </c>
      <c r="AY4765" s="3" t="s">
        <v>46083</v>
      </c>
      <c r="AZ4765" s="3" t="s">
        <v>46084</v>
      </c>
      <c r="BA4765" s="3" t="s">
        <v>46084</v>
      </c>
      <c r="BB4765" s="3" t="s">
        <v>46085</v>
      </c>
      <c r="BC4765" s="3" t="s">
        <v>102</v>
      </c>
      <c r="BD4765" s="3" t="s">
        <v>68</v>
      </c>
      <c r="BE4765" s="3" t="s">
        <v>46086</v>
      </c>
      <c r="BF4765" s="3" t="s">
        <v>46085</v>
      </c>
      <c r="BG4765" s="3" t="s">
        <v>46087</v>
      </c>
    </row>
    <row r="4766" spans="1:59" ht="58" x14ac:dyDescent="0.35">
      <c r="A4766" s="2" t="s">
        <v>59</v>
      </c>
      <c r="B4766" s="2" t="s">
        <v>60</v>
      </c>
      <c r="C4766" s="2" t="s">
        <v>46078</v>
      </c>
      <c r="D4766" s="2" t="s">
        <v>46079</v>
      </c>
      <c r="E4766" s="2" t="s">
        <v>46080</v>
      </c>
      <c r="F4766" s="3" t="s">
        <v>1416</v>
      </c>
      <c r="G4766" s="3" t="s">
        <v>61</v>
      </c>
      <c r="I4766" s="3" t="s">
        <v>62</v>
      </c>
      <c r="J4766" s="3" t="s">
        <v>62</v>
      </c>
      <c r="K4766" s="3" t="s">
        <v>63</v>
      </c>
      <c r="M4766" s="2" t="s">
        <v>46081</v>
      </c>
      <c r="N4766" s="3" t="s">
        <v>396</v>
      </c>
      <c r="P4766" s="3" t="s">
        <v>64</v>
      </c>
      <c r="R4766" s="3" t="s">
        <v>42369</v>
      </c>
      <c r="S4766" s="4">
        <v>8</v>
      </c>
      <c r="T4766" s="4">
        <v>24</v>
      </c>
      <c r="U4766" s="5" t="s">
        <v>25358</v>
      </c>
      <c r="V4766" s="5" t="s">
        <v>25358</v>
      </c>
      <c r="W4766" s="5" t="s">
        <v>67</v>
      </c>
      <c r="X4766" s="5" t="s">
        <v>67</v>
      </c>
      <c r="Y4766" s="4">
        <v>325</v>
      </c>
      <c r="Z4766" s="4">
        <v>22</v>
      </c>
      <c r="AA4766" s="4">
        <v>24</v>
      </c>
      <c r="AB4766" s="4">
        <v>1</v>
      </c>
      <c r="AC4766" s="4">
        <v>3</v>
      </c>
      <c r="AD4766" s="4">
        <v>101</v>
      </c>
      <c r="AE4766" s="4">
        <v>103</v>
      </c>
      <c r="AF4766" s="4">
        <v>0</v>
      </c>
      <c r="AG4766" s="4">
        <v>2</v>
      </c>
      <c r="AH4766" s="4">
        <v>89</v>
      </c>
      <c r="AI4766" s="4">
        <v>90</v>
      </c>
      <c r="AJ4766" s="4">
        <v>10</v>
      </c>
      <c r="AK4766" s="4">
        <v>12</v>
      </c>
      <c r="AL4766" s="4">
        <v>53</v>
      </c>
      <c r="AM4766" s="4">
        <v>53</v>
      </c>
      <c r="AN4766" s="4">
        <v>0</v>
      </c>
      <c r="AO4766" s="4">
        <v>0</v>
      </c>
      <c r="AP4766" s="4">
        <v>15</v>
      </c>
      <c r="AQ4766" s="4">
        <v>16</v>
      </c>
      <c r="AR4766" s="3" t="s">
        <v>62</v>
      </c>
      <c r="AS4766" s="3" t="s">
        <v>62</v>
      </c>
      <c r="AT4766" s="3" t="s">
        <v>61</v>
      </c>
      <c r="AU4766" s="6" t="str">
        <f>HYPERLINK("http://catalog.hathitrust.org/Record/000595957","HathiTrust Record")</f>
        <v>HathiTrust Record</v>
      </c>
      <c r="AV4766" s="6" t="str">
        <f>HYPERLINK("http://mcgill.on.worldcat.org/oclc/13162915","Catalog Record")</f>
        <v>Catalog Record</v>
      </c>
      <c r="AW4766" s="6" t="str">
        <f>HYPERLINK("http://www.worldcat.org/oclc/13162915","WorldCat Record")</f>
        <v>WorldCat Record</v>
      </c>
      <c r="AX4766" s="3" t="s">
        <v>46082</v>
      </c>
      <c r="AY4766" s="3" t="s">
        <v>46083</v>
      </c>
      <c r="AZ4766" s="3" t="s">
        <v>46084</v>
      </c>
      <c r="BA4766" s="3" t="s">
        <v>46084</v>
      </c>
      <c r="BB4766" s="3" t="s">
        <v>46088</v>
      </c>
      <c r="BC4766" s="3" t="s">
        <v>102</v>
      </c>
      <c r="BD4766" s="3" t="s">
        <v>68</v>
      </c>
      <c r="BE4766" s="3" t="s">
        <v>46086</v>
      </c>
      <c r="BF4766" s="3" t="s">
        <v>46088</v>
      </c>
      <c r="BG4766" s="3" t="s">
        <v>46089</v>
      </c>
    </row>
    <row r="4767" spans="1:59" ht="58" x14ac:dyDescent="0.35">
      <c r="A4767" s="2" t="s">
        <v>59</v>
      </c>
      <c r="B4767" s="2" t="s">
        <v>60</v>
      </c>
      <c r="C4767" s="2" t="s">
        <v>46090</v>
      </c>
      <c r="D4767" s="2" t="s">
        <v>46091</v>
      </c>
      <c r="E4767" s="2" t="s">
        <v>46092</v>
      </c>
      <c r="G4767" s="3" t="s">
        <v>62</v>
      </c>
      <c r="I4767" s="3" t="s">
        <v>62</v>
      </c>
      <c r="J4767" s="3" t="s">
        <v>62</v>
      </c>
      <c r="K4767" s="3" t="s">
        <v>63</v>
      </c>
      <c r="L4767" s="2" t="s">
        <v>46093</v>
      </c>
      <c r="M4767" s="2" t="s">
        <v>46094</v>
      </c>
      <c r="N4767" s="3" t="s">
        <v>2588</v>
      </c>
      <c r="P4767" s="3" t="s">
        <v>64</v>
      </c>
      <c r="R4767" s="3" t="s">
        <v>42369</v>
      </c>
      <c r="S4767" s="4">
        <v>2</v>
      </c>
      <c r="T4767" s="4">
        <v>2</v>
      </c>
      <c r="U4767" s="5" t="s">
        <v>3688</v>
      </c>
      <c r="V4767" s="5" t="s">
        <v>3688</v>
      </c>
      <c r="W4767" s="5" t="s">
        <v>67</v>
      </c>
      <c r="X4767" s="5" t="s">
        <v>67</v>
      </c>
      <c r="Y4767" s="4">
        <v>146</v>
      </c>
      <c r="Z4767" s="4">
        <v>9</v>
      </c>
      <c r="AA4767" s="4">
        <v>12</v>
      </c>
      <c r="AB4767" s="4">
        <v>1</v>
      </c>
      <c r="AC4767" s="4">
        <v>3</v>
      </c>
      <c r="AD4767" s="4">
        <v>58</v>
      </c>
      <c r="AE4767" s="4">
        <v>65</v>
      </c>
      <c r="AF4767" s="4">
        <v>0</v>
      </c>
      <c r="AG4767" s="4">
        <v>1</v>
      </c>
      <c r="AH4767" s="4">
        <v>52</v>
      </c>
      <c r="AI4767" s="4">
        <v>57</v>
      </c>
      <c r="AJ4767" s="4">
        <v>7</v>
      </c>
      <c r="AK4767" s="4">
        <v>8</v>
      </c>
      <c r="AL4767" s="4">
        <v>37</v>
      </c>
      <c r="AM4767" s="4">
        <v>40</v>
      </c>
      <c r="AN4767" s="4">
        <v>0</v>
      </c>
      <c r="AO4767" s="4">
        <v>0</v>
      </c>
      <c r="AP4767" s="4">
        <v>7</v>
      </c>
      <c r="AQ4767" s="4">
        <v>8</v>
      </c>
      <c r="AR4767" s="3" t="s">
        <v>62</v>
      </c>
      <c r="AS4767" s="3" t="s">
        <v>62</v>
      </c>
      <c r="AT4767" s="3" t="s">
        <v>62</v>
      </c>
      <c r="AV4767" s="6" t="str">
        <f>HYPERLINK("http://mcgill.on.worldcat.org/oclc/2542632","Catalog Record")</f>
        <v>Catalog Record</v>
      </c>
      <c r="AW4767" s="6" t="str">
        <f>HYPERLINK("http://www.worldcat.org/oclc/2542632","WorldCat Record")</f>
        <v>WorldCat Record</v>
      </c>
      <c r="AX4767" s="3" t="s">
        <v>46095</v>
      </c>
      <c r="AY4767" s="3" t="s">
        <v>46096</v>
      </c>
      <c r="AZ4767" s="3" t="s">
        <v>46097</v>
      </c>
      <c r="BA4767" s="3" t="s">
        <v>46097</v>
      </c>
      <c r="BB4767" s="3" t="s">
        <v>46098</v>
      </c>
      <c r="BC4767" s="3" t="s">
        <v>102</v>
      </c>
      <c r="BD4767" s="3" t="s">
        <v>6923</v>
      </c>
      <c r="BE4767" s="3" t="s">
        <v>46099</v>
      </c>
      <c r="BF4767" s="3" t="s">
        <v>46098</v>
      </c>
      <c r="BG4767" s="3" t="s">
        <v>46100</v>
      </c>
    </row>
    <row r="4768" spans="1:59" ht="58" x14ac:dyDescent="0.35">
      <c r="A4768" s="2" t="s">
        <v>59</v>
      </c>
      <c r="B4768" s="2" t="s">
        <v>60</v>
      </c>
      <c r="C4768" s="2" t="s">
        <v>46101</v>
      </c>
      <c r="D4768" s="2" t="s">
        <v>46102</v>
      </c>
      <c r="E4768" s="2" t="s">
        <v>46103</v>
      </c>
      <c r="G4768" s="3" t="s">
        <v>62</v>
      </c>
      <c r="I4768" s="3" t="s">
        <v>61</v>
      </c>
      <c r="J4768" s="3" t="s">
        <v>61</v>
      </c>
      <c r="K4768" s="3" t="s">
        <v>63</v>
      </c>
      <c r="L4768" s="2" t="s">
        <v>3132</v>
      </c>
      <c r="M4768" s="2" t="s">
        <v>46104</v>
      </c>
      <c r="N4768" s="3" t="s">
        <v>6048</v>
      </c>
      <c r="P4768" s="3" t="s">
        <v>64</v>
      </c>
      <c r="R4768" s="3" t="s">
        <v>42369</v>
      </c>
      <c r="S4768" s="4">
        <v>7</v>
      </c>
      <c r="T4768" s="4">
        <v>30</v>
      </c>
      <c r="U4768" s="5" t="s">
        <v>46105</v>
      </c>
      <c r="V4768" s="5" t="s">
        <v>46106</v>
      </c>
      <c r="W4768" s="5" t="s">
        <v>67</v>
      </c>
      <c r="X4768" s="5" t="s">
        <v>67</v>
      </c>
      <c r="Y4768" s="4">
        <v>212</v>
      </c>
      <c r="Z4768" s="4">
        <v>12</v>
      </c>
      <c r="AA4768" s="4">
        <v>34</v>
      </c>
      <c r="AB4768" s="4">
        <v>1</v>
      </c>
      <c r="AC4768" s="4">
        <v>5</v>
      </c>
      <c r="AD4768" s="4">
        <v>74</v>
      </c>
      <c r="AE4768" s="4">
        <v>132</v>
      </c>
      <c r="AF4768" s="4">
        <v>0</v>
      </c>
      <c r="AG4768" s="4">
        <v>3</v>
      </c>
      <c r="AH4768" s="4">
        <v>66</v>
      </c>
      <c r="AI4768" s="4">
        <v>114</v>
      </c>
      <c r="AJ4768" s="4">
        <v>9</v>
      </c>
      <c r="AK4768" s="4">
        <v>22</v>
      </c>
      <c r="AL4768" s="4">
        <v>41</v>
      </c>
      <c r="AM4768" s="4">
        <v>62</v>
      </c>
      <c r="AN4768" s="4">
        <v>0</v>
      </c>
      <c r="AO4768" s="4">
        <v>0</v>
      </c>
      <c r="AP4768" s="4">
        <v>9</v>
      </c>
      <c r="AQ4768" s="4">
        <v>25</v>
      </c>
      <c r="AR4768" s="3" t="s">
        <v>62</v>
      </c>
      <c r="AS4768" s="3" t="s">
        <v>62</v>
      </c>
      <c r="AT4768" s="3" t="s">
        <v>61</v>
      </c>
      <c r="AU4768" s="6" t="str">
        <f>HYPERLINK("http://catalog.hathitrust.org/Record/001503672","HathiTrust Record")</f>
        <v>HathiTrust Record</v>
      </c>
      <c r="AV4768" s="6" t="str">
        <f>HYPERLINK("http://mcgill.on.worldcat.org/oclc/830850","Catalog Record")</f>
        <v>Catalog Record</v>
      </c>
      <c r="AW4768" s="6" t="str">
        <f>HYPERLINK("http://www.worldcat.org/oclc/830850","WorldCat Record")</f>
        <v>WorldCat Record</v>
      </c>
      <c r="AX4768" s="3" t="s">
        <v>46107</v>
      </c>
      <c r="AY4768" s="3" t="s">
        <v>46108</v>
      </c>
      <c r="AZ4768" s="3" t="s">
        <v>46109</v>
      </c>
      <c r="BA4768" s="3" t="s">
        <v>46109</v>
      </c>
      <c r="BB4768" s="3" t="s">
        <v>46110</v>
      </c>
      <c r="BC4768" s="3" t="s">
        <v>102</v>
      </c>
      <c r="BD4768" s="3" t="s">
        <v>68</v>
      </c>
      <c r="BF4768" s="3" t="s">
        <v>46110</v>
      </c>
      <c r="BG4768" s="3" t="s">
        <v>46111</v>
      </c>
    </row>
    <row r="4769" spans="1:59" ht="58" x14ac:dyDescent="0.35">
      <c r="A4769" s="2" t="s">
        <v>59</v>
      </c>
      <c r="B4769" s="2" t="s">
        <v>60</v>
      </c>
      <c r="C4769" s="2" t="s">
        <v>46112</v>
      </c>
      <c r="D4769" s="2" t="s">
        <v>46113</v>
      </c>
      <c r="E4769" s="2" t="s">
        <v>46114</v>
      </c>
      <c r="G4769" s="3" t="s">
        <v>62</v>
      </c>
      <c r="I4769" s="3" t="s">
        <v>61</v>
      </c>
      <c r="J4769" s="3" t="s">
        <v>62</v>
      </c>
      <c r="K4769" s="3" t="s">
        <v>63</v>
      </c>
      <c r="L4769" s="2" t="s">
        <v>46115</v>
      </c>
      <c r="M4769" s="2" t="s">
        <v>46116</v>
      </c>
      <c r="N4769" s="3" t="s">
        <v>6259</v>
      </c>
      <c r="P4769" s="3" t="s">
        <v>64</v>
      </c>
      <c r="Q4769" s="2" t="s">
        <v>46117</v>
      </c>
      <c r="R4769" s="3" t="s">
        <v>42369</v>
      </c>
      <c r="S4769" s="4">
        <v>3</v>
      </c>
      <c r="T4769" s="4">
        <v>3</v>
      </c>
      <c r="U4769" s="5" t="s">
        <v>10568</v>
      </c>
      <c r="V4769" s="5" t="s">
        <v>10568</v>
      </c>
      <c r="W4769" s="5" t="s">
        <v>67</v>
      </c>
      <c r="X4769" s="5" t="s">
        <v>67</v>
      </c>
      <c r="Y4769" s="4">
        <v>204</v>
      </c>
      <c r="Z4769" s="4">
        <v>12</v>
      </c>
      <c r="AA4769" s="4">
        <v>14</v>
      </c>
      <c r="AB4769" s="4">
        <v>2</v>
      </c>
      <c r="AC4769" s="4">
        <v>2</v>
      </c>
      <c r="AD4769" s="4">
        <v>76</v>
      </c>
      <c r="AE4769" s="4">
        <v>81</v>
      </c>
      <c r="AF4769" s="4">
        <v>1</v>
      </c>
      <c r="AG4769" s="4">
        <v>1</v>
      </c>
      <c r="AH4769" s="4">
        <v>69</v>
      </c>
      <c r="AI4769" s="4">
        <v>73</v>
      </c>
      <c r="AJ4769" s="4">
        <v>8</v>
      </c>
      <c r="AK4769" s="4">
        <v>9</v>
      </c>
      <c r="AL4769" s="4">
        <v>44</v>
      </c>
      <c r="AM4769" s="4">
        <v>47</v>
      </c>
      <c r="AN4769" s="4">
        <v>0</v>
      </c>
      <c r="AO4769" s="4">
        <v>0</v>
      </c>
      <c r="AP4769" s="4">
        <v>10</v>
      </c>
      <c r="AQ4769" s="4">
        <v>12</v>
      </c>
      <c r="AR4769" s="3" t="s">
        <v>62</v>
      </c>
      <c r="AS4769" s="3" t="s">
        <v>62</v>
      </c>
      <c r="AT4769" s="3" t="s">
        <v>62</v>
      </c>
      <c r="AU4769" s="6" t="str">
        <f>HYPERLINK("http://catalog.hathitrust.org/Record/001503804","HathiTrust Record")</f>
        <v>HathiTrust Record</v>
      </c>
      <c r="AV4769" s="6" t="str">
        <f>HYPERLINK("http://mcgill.on.worldcat.org/oclc/1135733","Catalog Record")</f>
        <v>Catalog Record</v>
      </c>
      <c r="AW4769" s="6" t="str">
        <f>HYPERLINK("http://www.worldcat.org/oclc/1135733","WorldCat Record")</f>
        <v>WorldCat Record</v>
      </c>
      <c r="AX4769" s="3" t="s">
        <v>46118</v>
      </c>
      <c r="AY4769" s="3" t="s">
        <v>46119</v>
      </c>
      <c r="AZ4769" s="3" t="s">
        <v>46120</v>
      </c>
      <c r="BA4769" s="3" t="s">
        <v>46120</v>
      </c>
      <c r="BB4769" s="3" t="s">
        <v>46121</v>
      </c>
      <c r="BC4769" s="3" t="s">
        <v>102</v>
      </c>
      <c r="BD4769" s="3" t="s">
        <v>68</v>
      </c>
      <c r="BF4769" s="3" t="s">
        <v>46121</v>
      </c>
      <c r="BG4769" s="3" t="s">
        <v>46122</v>
      </c>
    </row>
    <row r="4770" spans="1:59" ht="58" x14ac:dyDescent="0.35">
      <c r="A4770" s="2" t="s">
        <v>59</v>
      </c>
      <c r="B4770" s="2" t="s">
        <v>60</v>
      </c>
      <c r="C4770" s="2" t="s">
        <v>46123</v>
      </c>
      <c r="D4770" s="2" t="s">
        <v>46124</v>
      </c>
      <c r="E4770" s="2" t="s">
        <v>46125</v>
      </c>
      <c r="G4770" s="3" t="s">
        <v>62</v>
      </c>
      <c r="I4770" s="3" t="s">
        <v>62</v>
      </c>
      <c r="J4770" s="3" t="s">
        <v>61</v>
      </c>
      <c r="K4770" s="3" t="s">
        <v>63</v>
      </c>
      <c r="L4770" s="2" t="s">
        <v>46126</v>
      </c>
      <c r="M4770" s="2" t="s">
        <v>34113</v>
      </c>
      <c r="N4770" s="3" t="s">
        <v>396</v>
      </c>
      <c r="P4770" s="3" t="s">
        <v>64</v>
      </c>
      <c r="R4770" s="3" t="s">
        <v>42369</v>
      </c>
      <c r="S4770" s="4">
        <v>23</v>
      </c>
      <c r="T4770" s="4">
        <v>23</v>
      </c>
      <c r="U4770" s="5" t="s">
        <v>14267</v>
      </c>
      <c r="V4770" s="5" t="s">
        <v>14267</v>
      </c>
      <c r="W4770" s="5" t="s">
        <v>67</v>
      </c>
      <c r="X4770" s="5" t="s">
        <v>67</v>
      </c>
      <c r="Y4770" s="4">
        <v>233</v>
      </c>
      <c r="Z4770" s="4">
        <v>19</v>
      </c>
      <c r="AA4770" s="4">
        <v>32</v>
      </c>
      <c r="AB4770" s="4">
        <v>3</v>
      </c>
      <c r="AC4770" s="4">
        <v>9</v>
      </c>
      <c r="AD4770" s="4">
        <v>101</v>
      </c>
      <c r="AE4770" s="4">
        <v>123</v>
      </c>
      <c r="AF4770" s="4">
        <v>1</v>
      </c>
      <c r="AG4770" s="4">
        <v>5</v>
      </c>
      <c r="AH4770" s="4">
        <v>90</v>
      </c>
      <c r="AI4770" s="4">
        <v>106</v>
      </c>
      <c r="AJ4770" s="4">
        <v>13</v>
      </c>
      <c r="AK4770" s="4">
        <v>19</v>
      </c>
      <c r="AL4770" s="4">
        <v>55</v>
      </c>
      <c r="AM4770" s="4">
        <v>60</v>
      </c>
      <c r="AN4770" s="4">
        <v>0</v>
      </c>
      <c r="AO4770" s="4">
        <v>0</v>
      </c>
      <c r="AP4770" s="4">
        <v>13</v>
      </c>
      <c r="AQ4770" s="4">
        <v>22</v>
      </c>
      <c r="AR4770" s="3" t="s">
        <v>62</v>
      </c>
      <c r="AS4770" s="3" t="s">
        <v>62</v>
      </c>
      <c r="AT4770" s="3" t="s">
        <v>61</v>
      </c>
      <c r="AU4770" s="6" t="str">
        <f>HYPERLINK("http://catalog.hathitrust.org/Record/000623675","HathiTrust Record")</f>
        <v>HathiTrust Record</v>
      </c>
      <c r="AV4770" s="6" t="str">
        <f>HYPERLINK("http://mcgill.on.worldcat.org/oclc/12558721","Catalog Record")</f>
        <v>Catalog Record</v>
      </c>
      <c r="AW4770" s="6" t="str">
        <f>HYPERLINK("http://www.worldcat.org/oclc/12558721","WorldCat Record")</f>
        <v>WorldCat Record</v>
      </c>
      <c r="AX4770" s="3" t="s">
        <v>46127</v>
      </c>
      <c r="AY4770" s="3" t="s">
        <v>46128</v>
      </c>
      <c r="AZ4770" s="3" t="s">
        <v>46129</v>
      </c>
      <c r="BA4770" s="3" t="s">
        <v>46129</v>
      </c>
      <c r="BB4770" s="3" t="s">
        <v>46130</v>
      </c>
      <c r="BC4770" s="3" t="s">
        <v>102</v>
      </c>
      <c r="BD4770" s="3" t="s">
        <v>231</v>
      </c>
      <c r="BE4770" s="3" t="s">
        <v>46131</v>
      </c>
      <c r="BF4770" s="3" t="s">
        <v>46130</v>
      </c>
      <c r="BG4770" s="3" t="s">
        <v>46132</v>
      </c>
    </row>
    <row r="4771" spans="1:59" ht="58" x14ac:dyDescent="0.35">
      <c r="A4771" s="2" t="s">
        <v>59</v>
      </c>
      <c r="B4771" s="2" t="s">
        <v>60</v>
      </c>
      <c r="C4771" s="2" t="s">
        <v>46133</v>
      </c>
      <c r="D4771" s="2" t="s">
        <v>46134</v>
      </c>
      <c r="E4771" s="2" t="s">
        <v>46135</v>
      </c>
      <c r="G4771" s="3" t="s">
        <v>62</v>
      </c>
      <c r="I4771" s="3" t="s">
        <v>62</v>
      </c>
      <c r="J4771" s="3" t="s">
        <v>62</v>
      </c>
      <c r="K4771" s="3" t="s">
        <v>63</v>
      </c>
      <c r="L4771" s="2" t="s">
        <v>46115</v>
      </c>
      <c r="M4771" s="2" t="s">
        <v>46136</v>
      </c>
      <c r="N4771" s="3" t="s">
        <v>2702</v>
      </c>
      <c r="P4771" s="3" t="s">
        <v>64</v>
      </c>
      <c r="Q4771" s="2" t="s">
        <v>46117</v>
      </c>
      <c r="R4771" s="3" t="s">
        <v>42369</v>
      </c>
      <c r="S4771" s="4">
        <v>7</v>
      </c>
      <c r="T4771" s="4">
        <v>7</v>
      </c>
      <c r="U4771" s="5" t="s">
        <v>4653</v>
      </c>
      <c r="V4771" s="5" t="s">
        <v>4653</v>
      </c>
      <c r="W4771" s="5" t="s">
        <v>67</v>
      </c>
      <c r="X4771" s="5" t="s">
        <v>67</v>
      </c>
      <c r="Y4771" s="4">
        <v>312</v>
      </c>
      <c r="Z4771" s="4">
        <v>10</v>
      </c>
      <c r="AA4771" s="4">
        <v>10</v>
      </c>
      <c r="AB4771" s="4">
        <v>1</v>
      </c>
      <c r="AC4771" s="4">
        <v>1</v>
      </c>
      <c r="AD4771" s="4">
        <v>86</v>
      </c>
      <c r="AE4771" s="4">
        <v>86</v>
      </c>
      <c r="AF4771" s="4">
        <v>0</v>
      </c>
      <c r="AG4771" s="4">
        <v>0</v>
      </c>
      <c r="AH4771" s="4">
        <v>81</v>
      </c>
      <c r="AI4771" s="4">
        <v>81</v>
      </c>
      <c r="AJ4771" s="4">
        <v>8</v>
      </c>
      <c r="AK4771" s="4">
        <v>8</v>
      </c>
      <c r="AL4771" s="4">
        <v>46</v>
      </c>
      <c r="AM4771" s="4">
        <v>46</v>
      </c>
      <c r="AN4771" s="4">
        <v>0</v>
      </c>
      <c r="AO4771" s="4">
        <v>0</v>
      </c>
      <c r="AP4771" s="4">
        <v>9</v>
      </c>
      <c r="AQ4771" s="4">
        <v>9</v>
      </c>
      <c r="AR4771" s="3" t="s">
        <v>62</v>
      </c>
      <c r="AS4771" s="3" t="s">
        <v>62</v>
      </c>
      <c r="AT4771" s="3" t="s">
        <v>61</v>
      </c>
      <c r="AU4771" s="6" t="str">
        <f>HYPERLINK("http://catalog.hathitrust.org/Record/001503789","HathiTrust Record")</f>
        <v>HathiTrust Record</v>
      </c>
      <c r="AV4771" s="6" t="str">
        <f>HYPERLINK("http://mcgill.on.worldcat.org/oclc/1538474","Catalog Record")</f>
        <v>Catalog Record</v>
      </c>
      <c r="AW4771" s="6" t="str">
        <f>HYPERLINK("http://www.worldcat.org/oclc/1538474","WorldCat Record")</f>
        <v>WorldCat Record</v>
      </c>
      <c r="AX4771" s="3" t="s">
        <v>46137</v>
      </c>
      <c r="AY4771" s="3" t="s">
        <v>46138</v>
      </c>
      <c r="AZ4771" s="3" t="s">
        <v>46139</v>
      </c>
      <c r="BA4771" s="3" t="s">
        <v>46139</v>
      </c>
      <c r="BB4771" s="3" t="s">
        <v>46140</v>
      </c>
      <c r="BC4771" s="3" t="s">
        <v>102</v>
      </c>
      <c r="BD4771" s="3" t="s">
        <v>231</v>
      </c>
      <c r="BF4771" s="3" t="s">
        <v>46140</v>
      </c>
      <c r="BG4771" s="3" t="s">
        <v>46141</v>
      </c>
    </row>
    <row r="4772" spans="1:59" ht="58" x14ac:dyDescent="0.35">
      <c r="A4772" s="2" t="s">
        <v>59</v>
      </c>
      <c r="B4772" s="2" t="s">
        <v>60</v>
      </c>
      <c r="C4772" s="2" t="s">
        <v>46142</v>
      </c>
      <c r="D4772" s="2" t="s">
        <v>46143</v>
      </c>
      <c r="E4772" s="2" t="s">
        <v>46144</v>
      </c>
      <c r="G4772" s="3" t="s">
        <v>62</v>
      </c>
      <c r="I4772" s="3" t="s">
        <v>61</v>
      </c>
      <c r="J4772" s="3" t="s">
        <v>62</v>
      </c>
      <c r="K4772" s="3" t="s">
        <v>63</v>
      </c>
      <c r="L4772" s="2" t="s">
        <v>46145</v>
      </c>
      <c r="M4772" s="2" t="s">
        <v>46146</v>
      </c>
      <c r="N4772" s="3" t="s">
        <v>852</v>
      </c>
      <c r="P4772" s="3" t="s">
        <v>64</v>
      </c>
      <c r="R4772" s="3" t="s">
        <v>42369</v>
      </c>
      <c r="S4772" s="4">
        <v>0</v>
      </c>
      <c r="T4772" s="4">
        <v>4</v>
      </c>
      <c r="V4772" s="5" t="s">
        <v>2112</v>
      </c>
      <c r="W4772" s="5" t="s">
        <v>67</v>
      </c>
      <c r="X4772" s="5" t="s">
        <v>67</v>
      </c>
      <c r="Y4772" s="4">
        <v>422</v>
      </c>
      <c r="Z4772" s="4">
        <v>23</v>
      </c>
      <c r="AA4772" s="4">
        <v>24</v>
      </c>
      <c r="AB4772" s="4">
        <v>2</v>
      </c>
      <c r="AC4772" s="4">
        <v>3</v>
      </c>
      <c r="AD4772" s="4">
        <v>98</v>
      </c>
      <c r="AE4772" s="4">
        <v>99</v>
      </c>
      <c r="AF4772" s="4">
        <v>0</v>
      </c>
      <c r="AG4772" s="4">
        <v>1</v>
      </c>
      <c r="AH4772" s="4">
        <v>85</v>
      </c>
      <c r="AI4772" s="4">
        <v>86</v>
      </c>
      <c r="AJ4772" s="4">
        <v>16</v>
      </c>
      <c r="AK4772" s="4">
        <v>17</v>
      </c>
      <c r="AL4772" s="4">
        <v>47</v>
      </c>
      <c r="AM4772" s="4">
        <v>47</v>
      </c>
      <c r="AN4772" s="4">
        <v>0</v>
      </c>
      <c r="AO4772" s="4">
        <v>0</v>
      </c>
      <c r="AP4772" s="4">
        <v>20</v>
      </c>
      <c r="AQ4772" s="4">
        <v>21</v>
      </c>
      <c r="AR4772" s="3" t="s">
        <v>62</v>
      </c>
      <c r="AS4772" s="3" t="s">
        <v>62</v>
      </c>
      <c r="AT4772" s="3" t="s">
        <v>61</v>
      </c>
      <c r="AU4772" s="6" t="str">
        <f>HYPERLINK("http://catalog.hathitrust.org/Record/001503817","HathiTrust Record")</f>
        <v>HathiTrust Record</v>
      </c>
      <c r="AV4772" s="6" t="str">
        <f>HYPERLINK("http://mcgill.on.worldcat.org/oclc/12015","Catalog Record")</f>
        <v>Catalog Record</v>
      </c>
      <c r="AW4772" s="6" t="str">
        <f>HYPERLINK("http://www.worldcat.org/oclc/12015","WorldCat Record")</f>
        <v>WorldCat Record</v>
      </c>
      <c r="AX4772" s="3" t="s">
        <v>46147</v>
      </c>
      <c r="AY4772" s="3" t="s">
        <v>46148</v>
      </c>
      <c r="AZ4772" s="3" t="s">
        <v>46149</v>
      </c>
      <c r="BA4772" s="3" t="s">
        <v>46149</v>
      </c>
      <c r="BB4772" s="3" t="s">
        <v>46150</v>
      </c>
      <c r="BC4772" s="3" t="s">
        <v>102</v>
      </c>
      <c r="BD4772" s="3" t="s">
        <v>68</v>
      </c>
      <c r="BF4772" s="3" t="s">
        <v>46150</v>
      </c>
      <c r="BG4772" s="3" t="s">
        <v>46151</v>
      </c>
    </row>
    <row r="4773" spans="1:59" ht="58" x14ac:dyDescent="0.35">
      <c r="A4773" s="2" t="s">
        <v>89</v>
      </c>
      <c r="B4773" s="2" t="s">
        <v>90</v>
      </c>
      <c r="C4773" s="2" t="s">
        <v>46152</v>
      </c>
      <c r="D4773" s="2" t="s">
        <v>46153</v>
      </c>
      <c r="E4773" s="2" t="s">
        <v>46154</v>
      </c>
      <c r="G4773" s="3" t="s">
        <v>62</v>
      </c>
      <c r="I4773" s="3" t="s">
        <v>62</v>
      </c>
      <c r="J4773" s="3" t="s">
        <v>62</v>
      </c>
      <c r="K4773" s="3" t="s">
        <v>63</v>
      </c>
      <c r="L4773" s="2" t="s">
        <v>46155</v>
      </c>
      <c r="M4773" s="2" t="s">
        <v>46156</v>
      </c>
      <c r="N4773" s="3" t="s">
        <v>481</v>
      </c>
      <c r="P4773" s="3" t="s">
        <v>64</v>
      </c>
      <c r="Q4773" s="2" t="s">
        <v>7609</v>
      </c>
      <c r="R4773" s="3" t="s">
        <v>42369</v>
      </c>
      <c r="S4773" s="4">
        <v>15</v>
      </c>
      <c r="T4773" s="4">
        <v>15</v>
      </c>
      <c r="U4773" s="5" t="s">
        <v>46157</v>
      </c>
      <c r="V4773" s="5" t="s">
        <v>46157</v>
      </c>
      <c r="W4773" s="5" t="s">
        <v>67</v>
      </c>
      <c r="X4773" s="5" t="s">
        <v>67</v>
      </c>
      <c r="Y4773" s="4">
        <v>280</v>
      </c>
      <c r="Z4773" s="4">
        <v>15</v>
      </c>
      <c r="AA4773" s="4">
        <v>15</v>
      </c>
      <c r="AB4773" s="4">
        <v>2</v>
      </c>
      <c r="AC4773" s="4">
        <v>2</v>
      </c>
      <c r="AD4773" s="4">
        <v>100</v>
      </c>
      <c r="AE4773" s="4">
        <v>100</v>
      </c>
      <c r="AF4773" s="4">
        <v>1</v>
      </c>
      <c r="AG4773" s="4">
        <v>1</v>
      </c>
      <c r="AH4773" s="4">
        <v>94</v>
      </c>
      <c r="AI4773" s="4">
        <v>94</v>
      </c>
      <c r="AJ4773" s="4">
        <v>11</v>
      </c>
      <c r="AK4773" s="4">
        <v>11</v>
      </c>
      <c r="AL4773" s="4">
        <v>53</v>
      </c>
      <c r="AM4773" s="4">
        <v>53</v>
      </c>
      <c r="AN4773" s="4">
        <v>0</v>
      </c>
      <c r="AO4773" s="4">
        <v>0</v>
      </c>
      <c r="AP4773" s="4">
        <v>11</v>
      </c>
      <c r="AQ4773" s="4">
        <v>11</v>
      </c>
      <c r="AR4773" s="3" t="s">
        <v>62</v>
      </c>
      <c r="AS4773" s="3" t="s">
        <v>62</v>
      </c>
      <c r="AT4773" s="3" t="s">
        <v>62</v>
      </c>
      <c r="AV4773" s="6" t="str">
        <f>HYPERLINK("http://mcgill.on.worldcat.org/oclc/35198621","Catalog Record")</f>
        <v>Catalog Record</v>
      </c>
      <c r="AW4773" s="6" t="str">
        <f>HYPERLINK("http://www.worldcat.org/oclc/35198621","WorldCat Record")</f>
        <v>WorldCat Record</v>
      </c>
      <c r="AX4773" s="3" t="s">
        <v>46158</v>
      </c>
      <c r="AY4773" s="3" t="s">
        <v>46159</v>
      </c>
      <c r="AZ4773" s="3" t="s">
        <v>46160</v>
      </c>
      <c r="BA4773" s="3" t="s">
        <v>46160</v>
      </c>
      <c r="BB4773" s="3" t="s">
        <v>46161</v>
      </c>
      <c r="BC4773" s="3" t="s">
        <v>102</v>
      </c>
      <c r="BD4773" s="3" t="s">
        <v>231</v>
      </c>
      <c r="BE4773" s="3" t="s">
        <v>46162</v>
      </c>
      <c r="BF4773" s="3" t="s">
        <v>46161</v>
      </c>
      <c r="BG4773" s="3" t="s">
        <v>46163</v>
      </c>
    </row>
    <row r="4774" spans="1:59" ht="72.5" x14ac:dyDescent="0.35">
      <c r="A4774" s="2" t="s">
        <v>89</v>
      </c>
      <c r="B4774" s="2" t="s">
        <v>1231</v>
      </c>
      <c r="C4774" s="2" t="s">
        <v>46164</v>
      </c>
      <c r="D4774" s="2" t="s">
        <v>46165</v>
      </c>
      <c r="E4774" s="2" t="s">
        <v>46166</v>
      </c>
      <c r="G4774" s="3" t="s">
        <v>62</v>
      </c>
      <c r="I4774" s="3" t="s">
        <v>61</v>
      </c>
      <c r="J4774" s="3" t="s">
        <v>62</v>
      </c>
      <c r="K4774" s="3" t="s">
        <v>63</v>
      </c>
      <c r="L4774" s="2" t="s">
        <v>46167</v>
      </c>
      <c r="M4774" s="2" t="s">
        <v>46168</v>
      </c>
      <c r="N4774" s="3" t="s">
        <v>106</v>
      </c>
      <c r="P4774" s="3" t="s">
        <v>64</v>
      </c>
      <c r="Q4774" s="2" t="s">
        <v>46169</v>
      </c>
      <c r="R4774" s="3" t="s">
        <v>46170</v>
      </c>
      <c r="S4774" s="4">
        <v>17</v>
      </c>
      <c r="T4774" s="4">
        <v>44</v>
      </c>
      <c r="U4774" s="5" t="s">
        <v>46171</v>
      </c>
      <c r="V4774" s="5" t="s">
        <v>22212</v>
      </c>
      <c r="W4774" s="5" t="s">
        <v>67</v>
      </c>
      <c r="X4774" s="5" t="s">
        <v>67</v>
      </c>
      <c r="Y4774" s="4">
        <v>244</v>
      </c>
      <c r="Z4774" s="4">
        <v>13</v>
      </c>
      <c r="AA4774" s="4">
        <v>19</v>
      </c>
      <c r="AB4774" s="4">
        <v>1</v>
      </c>
      <c r="AC4774" s="4">
        <v>3</v>
      </c>
      <c r="AD4774" s="4">
        <v>84</v>
      </c>
      <c r="AE4774" s="4">
        <v>109</v>
      </c>
      <c r="AF4774" s="4">
        <v>0</v>
      </c>
      <c r="AG4774" s="4">
        <v>2</v>
      </c>
      <c r="AH4774" s="4">
        <v>77</v>
      </c>
      <c r="AI4774" s="4">
        <v>99</v>
      </c>
      <c r="AJ4774" s="4">
        <v>11</v>
      </c>
      <c r="AK4774" s="4">
        <v>15</v>
      </c>
      <c r="AL4774" s="4">
        <v>50</v>
      </c>
      <c r="AM4774" s="4">
        <v>57</v>
      </c>
      <c r="AN4774" s="4">
        <v>0</v>
      </c>
      <c r="AO4774" s="4">
        <v>0</v>
      </c>
      <c r="AP4774" s="4">
        <v>11</v>
      </c>
      <c r="AQ4774" s="4">
        <v>16</v>
      </c>
      <c r="AR4774" s="3" t="s">
        <v>62</v>
      </c>
      <c r="AS4774" s="3" t="s">
        <v>62</v>
      </c>
      <c r="AT4774" s="3" t="s">
        <v>62</v>
      </c>
      <c r="AV4774" s="6" t="str">
        <f>HYPERLINK("http://mcgill.on.worldcat.org/oclc/14651049","Catalog Record")</f>
        <v>Catalog Record</v>
      </c>
      <c r="AW4774" s="6" t="str">
        <f>HYPERLINK("http://www.worldcat.org/oclc/14651049","WorldCat Record")</f>
        <v>WorldCat Record</v>
      </c>
      <c r="AX4774" s="3" t="s">
        <v>46172</v>
      </c>
      <c r="AY4774" s="3" t="s">
        <v>46173</v>
      </c>
      <c r="AZ4774" s="3" t="s">
        <v>46174</v>
      </c>
      <c r="BA4774" s="3" t="s">
        <v>46174</v>
      </c>
      <c r="BB4774" s="3" t="s">
        <v>46175</v>
      </c>
      <c r="BC4774" s="3" t="s">
        <v>102</v>
      </c>
      <c r="BD4774" s="3" t="s">
        <v>68</v>
      </c>
      <c r="BF4774" s="3" t="s">
        <v>46175</v>
      </c>
      <c r="BG4774" s="3" t="s">
        <v>46176</v>
      </c>
    </row>
    <row r="4775" spans="1:59" ht="72.5" x14ac:dyDescent="0.35">
      <c r="A4775" s="2" t="s">
        <v>59</v>
      </c>
      <c r="B4775" s="2" t="s">
        <v>60</v>
      </c>
      <c r="C4775" s="2" t="s">
        <v>46177</v>
      </c>
      <c r="D4775" s="2" t="s">
        <v>46178</v>
      </c>
      <c r="E4775" s="2" t="s">
        <v>46179</v>
      </c>
      <c r="G4775" s="3" t="s">
        <v>62</v>
      </c>
      <c r="I4775" s="3" t="s">
        <v>61</v>
      </c>
      <c r="J4775" s="3" t="s">
        <v>62</v>
      </c>
      <c r="K4775" s="3" t="s">
        <v>63</v>
      </c>
      <c r="L4775" s="2" t="s">
        <v>46180</v>
      </c>
      <c r="M4775" s="2" t="s">
        <v>46181</v>
      </c>
      <c r="N4775" s="3" t="s">
        <v>838</v>
      </c>
      <c r="P4775" s="3" t="s">
        <v>64</v>
      </c>
      <c r="R4775" s="3" t="s">
        <v>46170</v>
      </c>
      <c r="S4775" s="4">
        <v>24</v>
      </c>
      <c r="T4775" s="4">
        <v>77</v>
      </c>
      <c r="U4775" s="5" t="s">
        <v>46182</v>
      </c>
      <c r="V4775" s="5" t="s">
        <v>28871</v>
      </c>
      <c r="W4775" s="5" t="s">
        <v>67</v>
      </c>
      <c r="X4775" s="5" t="s">
        <v>67</v>
      </c>
      <c r="Y4775" s="4">
        <v>842</v>
      </c>
      <c r="Z4775" s="4">
        <v>32</v>
      </c>
      <c r="AA4775" s="4">
        <v>46</v>
      </c>
      <c r="AB4775" s="4">
        <v>2</v>
      </c>
      <c r="AC4775" s="4">
        <v>5</v>
      </c>
      <c r="AD4775" s="4">
        <v>127</v>
      </c>
      <c r="AE4775" s="4">
        <v>134</v>
      </c>
      <c r="AF4775" s="4">
        <v>0</v>
      </c>
      <c r="AG4775" s="4">
        <v>2</v>
      </c>
      <c r="AH4775" s="4">
        <v>110</v>
      </c>
      <c r="AI4775" s="4">
        <v>112</v>
      </c>
      <c r="AJ4775" s="4">
        <v>18</v>
      </c>
      <c r="AK4775" s="4">
        <v>22</v>
      </c>
      <c r="AL4775" s="4">
        <v>57</v>
      </c>
      <c r="AM4775" s="4">
        <v>58</v>
      </c>
      <c r="AN4775" s="4">
        <v>0</v>
      </c>
      <c r="AO4775" s="4">
        <v>0</v>
      </c>
      <c r="AP4775" s="4">
        <v>24</v>
      </c>
      <c r="AQ4775" s="4">
        <v>30</v>
      </c>
      <c r="AR4775" s="3" t="s">
        <v>62</v>
      </c>
      <c r="AS4775" s="3" t="s">
        <v>62</v>
      </c>
      <c r="AT4775" s="3" t="s">
        <v>62</v>
      </c>
      <c r="AU4775" s="6" t="str">
        <f>HYPERLINK("http://catalog.hathitrust.org/Record/001552428","HathiTrust Record")</f>
        <v>HathiTrust Record</v>
      </c>
      <c r="AV4775" s="6" t="str">
        <f>HYPERLINK("http://mcgill.on.worldcat.org/oclc/429258","Catalog Record")</f>
        <v>Catalog Record</v>
      </c>
      <c r="AW4775" s="6" t="str">
        <f>HYPERLINK("http://www.worldcat.org/oclc/429258","WorldCat Record")</f>
        <v>WorldCat Record</v>
      </c>
      <c r="AX4775" s="3" t="s">
        <v>46183</v>
      </c>
      <c r="AY4775" s="3" t="s">
        <v>46184</v>
      </c>
      <c r="AZ4775" s="3" t="s">
        <v>46185</v>
      </c>
      <c r="BA4775" s="3" t="s">
        <v>46185</v>
      </c>
      <c r="BB4775" s="3" t="s">
        <v>46186</v>
      </c>
      <c r="BC4775" s="3" t="s">
        <v>102</v>
      </c>
      <c r="BD4775" s="3" t="s">
        <v>68</v>
      </c>
      <c r="BF4775" s="3" t="s">
        <v>46186</v>
      </c>
      <c r="BG4775" s="3" t="s">
        <v>46187</v>
      </c>
    </row>
    <row r="4776" spans="1:59" ht="58" x14ac:dyDescent="0.35">
      <c r="A4776" s="2" t="s">
        <v>59</v>
      </c>
      <c r="B4776" s="2" t="s">
        <v>60</v>
      </c>
      <c r="C4776" s="2" t="s">
        <v>46188</v>
      </c>
      <c r="D4776" s="2" t="s">
        <v>46189</v>
      </c>
      <c r="E4776" s="2" t="s">
        <v>46190</v>
      </c>
      <c r="G4776" s="3" t="s">
        <v>62</v>
      </c>
      <c r="I4776" s="3" t="s">
        <v>61</v>
      </c>
      <c r="J4776" s="3" t="s">
        <v>62</v>
      </c>
      <c r="K4776" s="3" t="s">
        <v>63</v>
      </c>
      <c r="L4776" s="2" t="s">
        <v>46191</v>
      </c>
      <c r="M4776" s="2" t="s">
        <v>46192</v>
      </c>
      <c r="N4776" s="3" t="s">
        <v>1291</v>
      </c>
      <c r="P4776" s="3" t="s">
        <v>64</v>
      </c>
      <c r="R4776" s="3" t="s">
        <v>46170</v>
      </c>
      <c r="S4776" s="4">
        <v>6</v>
      </c>
      <c r="T4776" s="4">
        <v>11</v>
      </c>
      <c r="U4776" s="5" t="s">
        <v>44916</v>
      </c>
      <c r="V4776" s="5" t="s">
        <v>46193</v>
      </c>
      <c r="W4776" s="5" t="s">
        <v>67</v>
      </c>
      <c r="X4776" s="5" t="s">
        <v>67</v>
      </c>
      <c r="Y4776" s="4">
        <v>204</v>
      </c>
      <c r="Z4776" s="4">
        <v>7</v>
      </c>
      <c r="AA4776" s="4">
        <v>12</v>
      </c>
      <c r="AB4776" s="4">
        <v>1</v>
      </c>
      <c r="AC4776" s="4">
        <v>2</v>
      </c>
      <c r="AD4776" s="4">
        <v>56</v>
      </c>
      <c r="AE4776" s="4">
        <v>74</v>
      </c>
      <c r="AF4776" s="4">
        <v>0</v>
      </c>
      <c r="AG4776" s="4">
        <v>1</v>
      </c>
      <c r="AH4776" s="4">
        <v>54</v>
      </c>
      <c r="AI4776" s="4">
        <v>67</v>
      </c>
      <c r="AJ4776" s="4">
        <v>6</v>
      </c>
      <c r="AK4776" s="4">
        <v>10</v>
      </c>
      <c r="AL4776" s="4">
        <v>33</v>
      </c>
      <c r="AM4776" s="4">
        <v>39</v>
      </c>
      <c r="AN4776" s="4">
        <v>0</v>
      </c>
      <c r="AO4776" s="4">
        <v>0</v>
      </c>
      <c r="AP4776" s="4">
        <v>6</v>
      </c>
      <c r="AQ4776" s="4">
        <v>10</v>
      </c>
      <c r="AR4776" s="3" t="s">
        <v>62</v>
      </c>
      <c r="AS4776" s="3" t="s">
        <v>62</v>
      </c>
      <c r="AT4776" s="3" t="s">
        <v>61</v>
      </c>
      <c r="AU4776" s="6" t="str">
        <f>HYPERLINK("http://catalog.hathitrust.org/Record/001552432","HathiTrust Record")</f>
        <v>HathiTrust Record</v>
      </c>
      <c r="AV4776" s="6" t="str">
        <f>HYPERLINK("http://mcgill.on.worldcat.org/oclc/2400019","Catalog Record")</f>
        <v>Catalog Record</v>
      </c>
      <c r="AW4776" s="6" t="str">
        <f>HYPERLINK("http://www.worldcat.org/oclc/2400019","WorldCat Record")</f>
        <v>WorldCat Record</v>
      </c>
      <c r="AX4776" s="3" t="s">
        <v>46194</v>
      </c>
      <c r="AY4776" s="3" t="s">
        <v>46195</v>
      </c>
      <c r="AZ4776" s="3" t="s">
        <v>46196</v>
      </c>
      <c r="BA4776" s="3" t="s">
        <v>46196</v>
      </c>
      <c r="BB4776" s="3" t="s">
        <v>46197</v>
      </c>
      <c r="BC4776" s="3" t="s">
        <v>102</v>
      </c>
      <c r="BD4776" s="3" t="s">
        <v>68</v>
      </c>
      <c r="BF4776" s="3" t="s">
        <v>46197</v>
      </c>
      <c r="BG4776" s="3" t="s">
        <v>46198</v>
      </c>
    </row>
    <row r="4777" spans="1:59" ht="58" x14ac:dyDescent="0.35">
      <c r="A4777" s="2" t="s">
        <v>89</v>
      </c>
      <c r="B4777" s="2" t="s">
        <v>90</v>
      </c>
      <c r="C4777" s="2" t="s">
        <v>46199</v>
      </c>
      <c r="D4777" s="2" t="s">
        <v>46200</v>
      </c>
      <c r="E4777" s="2" t="s">
        <v>46201</v>
      </c>
      <c r="G4777" s="3" t="s">
        <v>62</v>
      </c>
      <c r="I4777" s="3" t="s">
        <v>61</v>
      </c>
      <c r="J4777" s="3" t="s">
        <v>62</v>
      </c>
      <c r="K4777" s="3" t="s">
        <v>63</v>
      </c>
      <c r="L4777" s="2" t="s">
        <v>46202</v>
      </c>
      <c r="M4777" s="2" t="s">
        <v>46203</v>
      </c>
      <c r="N4777" s="3" t="s">
        <v>2445</v>
      </c>
      <c r="P4777" s="3" t="s">
        <v>64</v>
      </c>
      <c r="R4777" s="3" t="s">
        <v>46170</v>
      </c>
      <c r="S4777" s="4">
        <v>10</v>
      </c>
      <c r="T4777" s="4">
        <v>37</v>
      </c>
      <c r="U4777" s="5" t="s">
        <v>17302</v>
      </c>
      <c r="V4777" s="5" t="s">
        <v>13735</v>
      </c>
      <c r="W4777" s="5" t="s">
        <v>67</v>
      </c>
      <c r="X4777" s="5" t="s">
        <v>67</v>
      </c>
      <c r="Y4777" s="4">
        <v>209</v>
      </c>
      <c r="Z4777" s="4">
        <v>12</v>
      </c>
      <c r="AA4777" s="4">
        <v>12</v>
      </c>
      <c r="AB4777" s="4">
        <v>1</v>
      </c>
      <c r="AC4777" s="4">
        <v>1</v>
      </c>
      <c r="AD4777" s="4">
        <v>72</v>
      </c>
      <c r="AE4777" s="4">
        <v>72</v>
      </c>
      <c r="AF4777" s="4">
        <v>0</v>
      </c>
      <c r="AG4777" s="4">
        <v>0</v>
      </c>
      <c r="AH4777" s="4">
        <v>67</v>
      </c>
      <c r="AI4777" s="4">
        <v>67</v>
      </c>
      <c r="AJ4777" s="4">
        <v>8</v>
      </c>
      <c r="AK4777" s="4">
        <v>8</v>
      </c>
      <c r="AL4777" s="4">
        <v>46</v>
      </c>
      <c r="AM4777" s="4">
        <v>46</v>
      </c>
      <c r="AN4777" s="4">
        <v>0</v>
      </c>
      <c r="AO4777" s="4">
        <v>0</v>
      </c>
      <c r="AP4777" s="4">
        <v>9</v>
      </c>
      <c r="AQ4777" s="4">
        <v>9</v>
      </c>
      <c r="AR4777" s="3" t="s">
        <v>62</v>
      </c>
      <c r="AS4777" s="3" t="s">
        <v>62</v>
      </c>
      <c r="AT4777" s="3" t="s">
        <v>61</v>
      </c>
      <c r="AU4777" s="6" t="str">
        <f>HYPERLINK("http://catalog.hathitrust.org/Record/002075628","HathiTrust Record")</f>
        <v>HathiTrust Record</v>
      </c>
      <c r="AV4777" s="6" t="str">
        <f>HYPERLINK("http://mcgill.on.worldcat.org/oclc/3856800","Catalog Record")</f>
        <v>Catalog Record</v>
      </c>
      <c r="AW4777" s="6" t="str">
        <f>HYPERLINK("http://www.worldcat.org/oclc/3856800","WorldCat Record")</f>
        <v>WorldCat Record</v>
      </c>
      <c r="AX4777" s="3" t="s">
        <v>46204</v>
      </c>
      <c r="AY4777" s="3" t="s">
        <v>46205</v>
      </c>
      <c r="AZ4777" s="3" t="s">
        <v>46206</v>
      </c>
      <c r="BA4777" s="3" t="s">
        <v>46206</v>
      </c>
      <c r="BB4777" s="3" t="s">
        <v>46207</v>
      </c>
      <c r="BC4777" s="3" t="s">
        <v>102</v>
      </c>
      <c r="BD4777" s="3" t="s">
        <v>231</v>
      </c>
      <c r="BF4777" s="3" t="s">
        <v>46207</v>
      </c>
      <c r="BG4777" s="3" t="s">
        <v>46208</v>
      </c>
    </row>
    <row r="4778" spans="1:59" ht="58" x14ac:dyDescent="0.35">
      <c r="A4778" s="2" t="s">
        <v>59</v>
      </c>
      <c r="B4778" s="2" t="s">
        <v>60</v>
      </c>
      <c r="C4778" s="2" t="s">
        <v>46209</v>
      </c>
      <c r="D4778" s="2" t="s">
        <v>46210</v>
      </c>
      <c r="E4778" s="2" t="s">
        <v>46211</v>
      </c>
      <c r="G4778" s="3" t="s">
        <v>62</v>
      </c>
      <c r="I4778" s="3" t="s">
        <v>61</v>
      </c>
      <c r="J4778" s="3" t="s">
        <v>62</v>
      </c>
      <c r="K4778" s="3" t="s">
        <v>63</v>
      </c>
      <c r="L4778" s="2" t="s">
        <v>46212</v>
      </c>
      <c r="M4778" s="2" t="s">
        <v>46213</v>
      </c>
      <c r="N4778" s="3" t="s">
        <v>838</v>
      </c>
      <c r="P4778" s="3" t="s">
        <v>64</v>
      </c>
      <c r="R4778" s="3" t="s">
        <v>46170</v>
      </c>
      <c r="S4778" s="4">
        <v>1</v>
      </c>
      <c r="T4778" s="4">
        <v>13</v>
      </c>
      <c r="U4778" s="5" t="s">
        <v>46214</v>
      </c>
      <c r="V4778" s="5" t="s">
        <v>7670</v>
      </c>
      <c r="W4778" s="5" t="s">
        <v>67</v>
      </c>
      <c r="X4778" s="5" t="s">
        <v>67</v>
      </c>
      <c r="Y4778" s="4">
        <v>141</v>
      </c>
      <c r="Z4778" s="4">
        <v>18</v>
      </c>
      <c r="AA4778" s="4">
        <v>18</v>
      </c>
      <c r="AB4778" s="4">
        <v>1</v>
      </c>
      <c r="AC4778" s="4">
        <v>1</v>
      </c>
      <c r="AD4778" s="4">
        <v>64</v>
      </c>
      <c r="AE4778" s="4">
        <v>64</v>
      </c>
      <c r="AF4778" s="4">
        <v>0</v>
      </c>
      <c r="AG4778" s="4">
        <v>0</v>
      </c>
      <c r="AH4778" s="4">
        <v>55</v>
      </c>
      <c r="AI4778" s="4">
        <v>55</v>
      </c>
      <c r="AJ4778" s="4">
        <v>13</v>
      </c>
      <c r="AK4778" s="4">
        <v>13</v>
      </c>
      <c r="AL4778" s="4">
        <v>38</v>
      </c>
      <c r="AM4778" s="4">
        <v>38</v>
      </c>
      <c r="AN4778" s="4">
        <v>0</v>
      </c>
      <c r="AO4778" s="4">
        <v>0</v>
      </c>
      <c r="AP4778" s="4">
        <v>13</v>
      </c>
      <c r="AQ4778" s="4">
        <v>13</v>
      </c>
      <c r="AR4778" s="3" t="s">
        <v>62</v>
      </c>
      <c r="AS4778" s="3" t="s">
        <v>62</v>
      </c>
      <c r="AT4778" s="3" t="s">
        <v>62</v>
      </c>
      <c r="AV4778" s="6" t="str">
        <f>HYPERLINK("http://mcgill.on.worldcat.org/oclc/1927282","Catalog Record")</f>
        <v>Catalog Record</v>
      </c>
      <c r="AW4778" s="6" t="str">
        <f>HYPERLINK("http://www.worldcat.org/oclc/1927282","WorldCat Record")</f>
        <v>WorldCat Record</v>
      </c>
      <c r="AX4778" s="3" t="s">
        <v>46215</v>
      </c>
      <c r="AY4778" s="3" t="s">
        <v>46216</v>
      </c>
      <c r="AZ4778" s="3" t="s">
        <v>46217</v>
      </c>
      <c r="BA4778" s="3" t="s">
        <v>46217</v>
      </c>
      <c r="BB4778" s="3" t="s">
        <v>46218</v>
      </c>
      <c r="BC4778" s="3" t="s">
        <v>102</v>
      </c>
      <c r="BD4778" s="3" t="s">
        <v>68</v>
      </c>
      <c r="BF4778" s="3" t="s">
        <v>46218</v>
      </c>
      <c r="BG4778" s="3" t="s">
        <v>46219</v>
      </c>
    </row>
    <row r="4779" spans="1:59" ht="101.5" x14ac:dyDescent="0.35">
      <c r="A4779" s="2" t="s">
        <v>59</v>
      </c>
      <c r="B4779" s="2" t="s">
        <v>60</v>
      </c>
      <c r="C4779" s="2" t="s">
        <v>46220</v>
      </c>
      <c r="D4779" s="2" t="s">
        <v>46221</v>
      </c>
      <c r="E4779" s="2" t="s">
        <v>46222</v>
      </c>
      <c r="G4779" s="3" t="s">
        <v>62</v>
      </c>
      <c r="I4779" s="3" t="s">
        <v>61</v>
      </c>
      <c r="J4779" s="3" t="s">
        <v>62</v>
      </c>
      <c r="K4779" s="3" t="s">
        <v>63</v>
      </c>
      <c r="L4779" s="2" t="s">
        <v>46223</v>
      </c>
      <c r="M4779" s="2" t="s">
        <v>46224</v>
      </c>
      <c r="N4779" s="3" t="s">
        <v>1291</v>
      </c>
      <c r="P4779" s="3" t="s">
        <v>2601</v>
      </c>
      <c r="Q4779" s="2" t="s">
        <v>46225</v>
      </c>
      <c r="R4779" s="3" t="s">
        <v>46170</v>
      </c>
      <c r="S4779" s="4">
        <v>9</v>
      </c>
      <c r="T4779" s="4">
        <v>30</v>
      </c>
      <c r="U4779" s="5" t="s">
        <v>35523</v>
      </c>
      <c r="V4779" s="5" t="s">
        <v>28871</v>
      </c>
      <c r="W4779" s="5" t="s">
        <v>67</v>
      </c>
      <c r="X4779" s="5" t="s">
        <v>67</v>
      </c>
      <c r="Y4779" s="4">
        <v>124</v>
      </c>
      <c r="Z4779" s="4">
        <v>11</v>
      </c>
      <c r="AA4779" s="4">
        <v>11</v>
      </c>
      <c r="AB4779" s="4">
        <v>1</v>
      </c>
      <c r="AC4779" s="4">
        <v>1</v>
      </c>
      <c r="AD4779" s="4">
        <v>63</v>
      </c>
      <c r="AE4779" s="4">
        <v>63</v>
      </c>
      <c r="AF4779" s="4">
        <v>0</v>
      </c>
      <c r="AG4779" s="4">
        <v>0</v>
      </c>
      <c r="AH4779" s="4">
        <v>57</v>
      </c>
      <c r="AI4779" s="4">
        <v>57</v>
      </c>
      <c r="AJ4779" s="4">
        <v>10</v>
      </c>
      <c r="AK4779" s="4">
        <v>10</v>
      </c>
      <c r="AL4779" s="4">
        <v>37</v>
      </c>
      <c r="AM4779" s="4">
        <v>37</v>
      </c>
      <c r="AN4779" s="4">
        <v>2</v>
      </c>
      <c r="AO4779" s="4">
        <v>2</v>
      </c>
      <c r="AP4779" s="4">
        <v>9</v>
      </c>
      <c r="AQ4779" s="4">
        <v>9</v>
      </c>
      <c r="AR4779" s="3" t="s">
        <v>62</v>
      </c>
      <c r="AS4779" s="3" t="s">
        <v>62</v>
      </c>
      <c r="AT4779" s="3" t="s">
        <v>61</v>
      </c>
      <c r="AU4779" s="6" t="str">
        <f>HYPERLINK("http://catalog.hathitrust.org/Record/009801952","HathiTrust Record")</f>
        <v>HathiTrust Record</v>
      </c>
      <c r="AV4779" s="6" t="str">
        <f>HYPERLINK("http://mcgill.on.worldcat.org/oclc/14605383","Catalog Record")</f>
        <v>Catalog Record</v>
      </c>
      <c r="AW4779" s="6" t="str">
        <f>HYPERLINK("http://www.worldcat.org/oclc/14605383","WorldCat Record")</f>
        <v>WorldCat Record</v>
      </c>
      <c r="AX4779" s="3" t="s">
        <v>46226</v>
      </c>
      <c r="AY4779" s="3" t="s">
        <v>46227</v>
      </c>
      <c r="AZ4779" s="3" t="s">
        <v>46228</v>
      </c>
      <c r="BA4779" s="3" t="s">
        <v>46228</v>
      </c>
      <c r="BB4779" s="3" t="s">
        <v>46229</v>
      </c>
      <c r="BC4779" s="3" t="s">
        <v>4753</v>
      </c>
      <c r="BD4779" s="3" t="s">
        <v>68</v>
      </c>
      <c r="BF4779" s="3" t="s">
        <v>46229</v>
      </c>
      <c r="BG4779" s="3" t="s">
        <v>46230</v>
      </c>
    </row>
    <row r="4780" spans="1:59" ht="58" x14ac:dyDescent="0.35">
      <c r="A4780" s="2" t="s">
        <v>89</v>
      </c>
      <c r="B4780" s="2" t="s">
        <v>90</v>
      </c>
      <c r="C4780" s="2" t="s">
        <v>46231</v>
      </c>
      <c r="D4780" s="2" t="s">
        <v>46232</v>
      </c>
      <c r="E4780" s="2" t="s">
        <v>46233</v>
      </c>
      <c r="G4780" s="3" t="s">
        <v>62</v>
      </c>
      <c r="I4780" s="3" t="s">
        <v>61</v>
      </c>
      <c r="J4780" s="3" t="s">
        <v>61</v>
      </c>
      <c r="K4780" s="3" t="s">
        <v>916</v>
      </c>
      <c r="L4780" s="2" t="s">
        <v>46234</v>
      </c>
      <c r="M4780" s="2" t="s">
        <v>46235</v>
      </c>
      <c r="N4780" s="3" t="s">
        <v>880</v>
      </c>
      <c r="O4780" s="2" t="s">
        <v>17427</v>
      </c>
      <c r="P4780" s="3" t="s">
        <v>64</v>
      </c>
      <c r="R4780" s="3" t="s">
        <v>46170</v>
      </c>
      <c r="S4780" s="4">
        <v>30</v>
      </c>
      <c r="T4780" s="4">
        <v>216</v>
      </c>
      <c r="U4780" s="5" t="s">
        <v>46236</v>
      </c>
      <c r="V4780" s="5" t="s">
        <v>29376</v>
      </c>
      <c r="W4780" s="5" t="s">
        <v>67</v>
      </c>
      <c r="X4780" s="5" t="s">
        <v>67</v>
      </c>
      <c r="Y4780" s="4">
        <v>649</v>
      </c>
      <c r="Z4780" s="4">
        <v>37</v>
      </c>
      <c r="AA4780" s="4">
        <v>95</v>
      </c>
      <c r="AB4780" s="4">
        <v>3</v>
      </c>
      <c r="AC4780" s="4">
        <v>22</v>
      </c>
      <c r="AD4780" s="4">
        <v>86</v>
      </c>
      <c r="AE4780" s="4">
        <v>138</v>
      </c>
      <c r="AF4780" s="4">
        <v>0</v>
      </c>
      <c r="AG4780" s="4">
        <v>6</v>
      </c>
      <c r="AH4780" s="4">
        <v>76</v>
      </c>
      <c r="AI4780" s="4">
        <v>108</v>
      </c>
      <c r="AJ4780" s="4">
        <v>15</v>
      </c>
      <c r="AK4780" s="4">
        <v>27</v>
      </c>
      <c r="AL4780" s="4">
        <v>42</v>
      </c>
      <c r="AM4780" s="4">
        <v>56</v>
      </c>
      <c r="AN4780" s="4">
        <v>0</v>
      </c>
      <c r="AO4780" s="4">
        <v>5</v>
      </c>
      <c r="AP4780" s="4">
        <v>19</v>
      </c>
      <c r="AQ4780" s="4">
        <v>37</v>
      </c>
      <c r="AR4780" s="3" t="s">
        <v>62</v>
      </c>
      <c r="AS4780" s="3" t="s">
        <v>62</v>
      </c>
      <c r="AT4780" s="3" t="s">
        <v>62</v>
      </c>
      <c r="AV4780" s="6" t="str">
        <f>HYPERLINK("http://mcgill.on.worldcat.org/oclc/216940468","Catalog Record")</f>
        <v>Catalog Record</v>
      </c>
      <c r="AW4780" s="6" t="str">
        <f>HYPERLINK("http://www.worldcat.org/oclc/216940468","WorldCat Record")</f>
        <v>WorldCat Record</v>
      </c>
      <c r="AX4780" s="3" t="s">
        <v>46237</v>
      </c>
      <c r="AY4780" s="3" t="s">
        <v>46238</v>
      </c>
      <c r="AZ4780" s="3" t="s">
        <v>46239</v>
      </c>
      <c r="BA4780" s="3" t="s">
        <v>46239</v>
      </c>
      <c r="BB4780" s="3" t="s">
        <v>46240</v>
      </c>
      <c r="BC4780" s="3" t="s">
        <v>102</v>
      </c>
      <c r="BD4780" s="3" t="s">
        <v>68</v>
      </c>
      <c r="BE4780" s="3" t="s">
        <v>46241</v>
      </c>
      <c r="BF4780" s="3" t="s">
        <v>46240</v>
      </c>
      <c r="BG4780" s="3" t="s">
        <v>46242</v>
      </c>
    </row>
    <row r="4781" spans="1:59" ht="58" x14ac:dyDescent="0.35">
      <c r="A4781" s="2" t="s">
        <v>89</v>
      </c>
      <c r="B4781" s="2" t="s">
        <v>6791</v>
      </c>
      <c r="C4781" s="2" t="s">
        <v>46243</v>
      </c>
      <c r="D4781" s="2" t="s">
        <v>46244</v>
      </c>
      <c r="E4781" s="2" t="s">
        <v>46245</v>
      </c>
      <c r="G4781" s="3" t="s">
        <v>62</v>
      </c>
      <c r="I4781" s="3" t="s">
        <v>62</v>
      </c>
      <c r="J4781" s="3" t="s">
        <v>61</v>
      </c>
      <c r="K4781" s="3" t="s">
        <v>916</v>
      </c>
      <c r="L4781" s="2" t="s">
        <v>46246</v>
      </c>
      <c r="M4781" s="2" t="s">
        <v>46247</v>
      </c>
      <c r="N4781" s="3" t="s">
        <v>866</v>
      </c>
      <c r="O4781" s="2" t="s">
        <v>17427</v>
      </c>
      <c r="P4781" s="3" t="s">
        <v>64</v>
      </c>
      <c r="R4781" s="3" t="s">
        <v>46170</v>
      </c>
      <c r="S4781" s="4">
        <v>2</v>
      </c>
      <c r="T4781" s="4">
        <v>2</v>
      </c>
      <c r="U4781" s="5" t="s">
        <v>6849</v>
      </c>
      <c r="V4781" s="5" t="s">
        <v>6849</v>
      </c>
      <c r="W4781" s="5" t="s">
        <v>67</v>
      </c>
      <c r="X4781" s="5" t="s">
        <v>67</v>
      </c>
      <c r="Y4781" s="4">
        <v>386</v>
      </c>
      <c r="Z4781" s="4">
        <v>16</v>
      </c>
      <c r="AA4781" s="4">
        <v>34</v>
      </c>
      <c r="AB4781" s="4">
        <v>1</v>
      </c>
      <c r="AC4781" s="4">
        <v>2</v>
      </c>
      <c r="AD4781" s="4">
        <v>78</v>
      </c>
      <c r="AE4781" s="4">
        <v>117</v>
      </c>
      <c r="AF4781" s="4">
        <v>0</v>
      </c>
      <c r="AG4781" s="4">
        <v>0</v>
      </c>
      <c r="AH4781" s="4">
        <v>70</v>
      </c>
      <c r="AI4781" s="4">
        <v>99</v>
      </c>
      <c r="AJ4781" s="4">
        <v>9</v>
      </c>
      <c r="AK4781" s="4">
        <v>15</v>
      </c>
      <c r="AL4781" s="4">
        <v>43</v>
      </c>
      <c r="AM4781" s="4">
        <v>58</v>
      </c>
      <c r="AN4781" s="4">
        <v>0</v>
      </c>
      <c r="AO4781" s="4">
        <v>0</v>
      </c>
      <c r="AP4781" s="4">
        <v>8</v>
      </c>
      <c r="AQ4781" s="4">
        <v>18</v>
      </c>
      <c r="AR4781" s="3" t="s">
        <v>62</v>
      </c>
      <c r="AS4781" s="3" t="s">
        <v>62</v>
      </c>
      <c r="AT4781" s="3" t="s">
        <v>61</v>
      </c>
      <c r="AU4781" s="6" t="str">
        <f>HYPERLINK("http://catalog.hathitrust.org/Record/000003999","HathiTrust Record")</f>
        <v>HathiTrust Record</v>
      </c>
      <c r="AV4781" s="6" t="str">
        <f>HYPERLINK("http://mcgill.on.worldcat.org/oclc/278236","Catalog Record")</f>
        <v>Catalog Record</v>
      </c>
      <c r="AW4781" s="6" t="str">
        <f>HYPERLINK("http://www.worldcat.org/oclc/278236","WorldCat Record")</f>
        <v>WorldCat Record</v>
      </c>
      <c r="AX4781" s="3" t="s">
        <v>46248</v>
      </c>
      <c r="AY4781" s="3" t="s">
        <v>46249</v>
      </c>
      <c r="AZ4781" s="3" t="s">
        <v>46250</v>
      </c>
      <c r="BA4781" s="3" t="s">
        <v>46250</v>
      </c>
      <c r="BB4781" s="3" t="s">
        <v>46251</v>
      </c>
      <c r="BC4781" s="3" t="s">
        <v>102</v>
      </c>
      <c r="BD4781" s="3" t="s">
        <v>68</v>
      </c>
      <c r="BE4781" s="3" t="s">
        <v>46252</v>
      </c>
      <c r="BF4781" s="3" t="s">
        <v>46251</v>
      </c>
      <c r="BG4781" s="3" t="s">
        <v>46253</v>
      </c>
    </row>
    <row r="4782" spans="1:59" ht="58" x14ac:dyDescent="0.35">
      <c r="A4782" s="2" t="s">
        <v>89</v>
      </c>
      <c r="B4782" s="2" t="s">
        <v>90</v>
      </c>
      <c r="C4782" s="2" t="s">
        <v>46254</v>
      </c>
      <c r="D4782" s="2" t="s">
        <v>46255</v>
      </c>
      <c r="E4782" s="2" t="s">
        <v>46256</v>
      </c>
      <c r="G4782" s="3" t="s">
        <v>62</v>
      </c>
      <c r="I4782" s="3" t="s">
        <v>61</v>
      </c>
      <c r="J4782" s="3" t="s">
        <v>62</v>
      </c>
      <c r="K4782" s="3" t="s">
        <v>63</v>
      </c>
      <c r="L4782" s="2" t="s">
        <v>46257</v>
      </c>
      <c r="M4782" s="2" t="s">
        <v>46258</v>
      </c>
      <c r="N4782" s="3" t="s">
        <v>655</v>
      </c>
      <c r="O4782" s="2" t="s">
        <v>8443</v>
      </c>
      <c r="P4782" s="3" t="s">
        <v>64</v>
      </c>
      <c r="R4782" s="3" t="s">
        <v>46170</v>
      </c>
      <c r="S4782" s="4">
        <v>1</v>
      </c>
      <c r="T4782" s="4">
        <v>2</v>
      </c>
      <c r="U4782" s="5" t="s">
        <v>6849</v>
      </c>
      <c r="V4782" s="5" t="s">
        <v>6849</v>
      </c>
      <c r="W4782" s="5" t="s">
        <v>67</v>
      </c>
      <c r="X4782" s="5" t="s">
        <v>67</v>
      </c>
      <c r="Y4782" s="4">
        <v>784</v>
      </c>
      <c r="Z4782" s="4">
        <v>47</v>
      </c>
      <c r="AA4782" s="4">
        <v>79</v>
      </c>
      <c r="AB4782" s="4">
        <v>2</v>
      </c>
      <c r="AC4782" s="4">
        <v>15</v>
      </c>
      <c r="AD4782" s="4">
        <v>67</v>
      </c>
      <c r="AE4782" s="4">
        <v>100</v>
      </c>
      <c r="AF4782" s="4">
        <v>0</v>
      </c>
      <c r="AG4782" s="4">
        <v>5</v>
      </c>
      <c r="AH4782" s="4">
        <v>56</v>
      </c>
      <c r="AI4782" s="4">
        <v>77</v>
      </c>
      <c r="AJ4782" s="4">
        <v>10</v>
      </c>
      <c r="AK4782" s="4">
        <v>18</v>
      </c>
      <c r="AL4782" s="4">
        <v>26</v>
      </c>
      <c r="AM4782" s="4">
        <v>35</v>
      </c>
      <c r="AN4782" s="4">
        <v>0</v>
      </c>
      <c r="AO4782" s="4">
        <v>0</v>
      </c>
      <c r="AP4782" s="4">
        <v>17</v>
      </c>
      <c r="AQ4782" s="4">
        <v>32</v>
      </c>
      <c r="AR4782" s="3" t="s">
        <v>62</v>
      </c>
      <c r="AS4782" s="3" t="s">
        <v>62</v>
      </c>
      <c r="AT4782" s="3" t="s">
        <v>62</v>
      </c>
      <c r="AV4782" s="6" t="str">
        <f>HYPERLINK("http://mcgill.on.worldcat.org/oclc/70292177","Catalog Record")</f>
        <v>Catalog Record</v>
      </c>
      <c r="AW4782" s="6" t="str">
        <f>HYPERLINK("http://www.worldcat.org/oclc/70292177","WorldCat Record")</f>
        <v>WorldCat Record</v>
      </c>
      <c r="AX4782" s="3" t="s">
        <v>46259</v>
      </c>
      <c r="AY4782" s="3" t="s">
        <v>46260</v>
      </c>
      <c r="AZ4782" s="3" t="s">
        <v>46261</v>
      </c>
      <c r="BA4782" s="3" t="s">
        <v>46261</v>
      </c>
      <c r="BB4782" s="3" t="s">
        <v>46262</v>
      </c>
      <c r="BC4782" s="3" t="s">
        <v>102</v>
      </c>
      <c r="BD4782" s="3" t="s">
        <v>68</v>
      </c>
      <c r="BE4782" s="3" t="s">
        <v>46263</v>
      </c>
      <c r="BF4782" s="3" t="s">
        <v>46262</v>
      </c>
      <c r="BG4782" s="3" t="s">
        <v>46264</v>
      </c>
    </row>
    <row r="4783" spans="1:59" ht="116" x14ac:dyDescent="0.35">
      <c r="A4783" s="2" t="s">
        <v>89</v>
      </c>
      <c r="B4783" s="2" t="s">
        <v>6121</v>
      </c>
      <c r="C4783" s="2" t="s">
        <v>46265</v>
      </c>
      <c r="D4783" s="2" t="s">
        <v>46266</v>
      </c>
      <c r="E4783" s="2" t="s">
        <v>46267</v>
      </c>
      <c r="G4783" s="3" t="s">
        <v>62</v>
      </c>
      <c r="I4783" s="3" t="s">
        <v>62</v>
      </c>
      <c r="J4783" s="3" t="s">
        <v>62</v>
      </c>
      <c r="K4783" s="3" t="s">
        <v>63</v>
      </c>
      <c r="M4783" s="2" t="s">
        <v>46268</v>
      </c>
      <c r="N4783" s="3" t="s">
        <v>1077</v>
      </c>
      <c r="P4783" s="3" t="s">
        <v>64</v>
      </c>
      <c r="R4783" s="3" t="s">
        <v>46170</v>
      </c>
      <c r="S4783" s="4">
        <v>48</v>
      </c>
      <c r="T4783" s="4">
        <v>48</v>
      </c>
      <c r="U4783" s="5" t="s">
        <v>26777</v>
      </c>
      <c r="V4783" s="5" t="s">
        <v>26777</v>
      </c>
      <c r="W4783" s="5" t="s">
        <v>67</v>
      </c>
      <c r="X4783" s="5" t="s">
        <v>67</v>
      </c>
      <c r="Y4783" s="4">
        <v>323</v>
      </c>
      <c r="Z4783" s="4">
        <v>17</v>
      </c>
      <c r="AA4783" s="4">
        <v>17</v>
      </c>
      <c r="AB4783" s="4">
        <v>1</v>
      </c>
      <c r="AC4783" s="4">
        <v>1</v>
      </c>
      <c r="AD4783" s="4">
        <v>5</v>
      </c>
      <c r="AE4783" s="4">
        <v>6</v>
      </c>
      <c r="AF4783" s="4">
        <v>0</v>
      </c>
      <c r="AG4783" s="4">
        <v>0</v>
      </c>
      <c r="AH4783" s="4">
        <v>4</v>
      </c>
      <c r="AI4783" s="4">
        <v>5</v>
      </c>
      <c r="AJ4783" s="4">
        <v>2</v>
      </c>
      <c r="AK4783" s="4">
        <v>2</v>
      </c>
      <c r="AL4783" s="4">
        <v>0</v>
      </c>
      <c r="AM4783" s="4">
        <v>1</v>
      </c>
      <c r="AN4783" s="4">
        <v>0</v>
      </c>
      <c r="AO4783" s="4">
        <v>0</v>
      </c>
      <c r="AP4783" s="4">
        <v>3</v>
      </c>
      <c r="AQ4783" s="4">
        <v>3</v>
      </c>
      <c r="AR4783" s="3" t="s">
        <v>62</v>
      </c>
      <c r="AS4783" s="3" t="s">
        <v>62</v>
      </c>
      <c r="AT4783" s="3" t="s">
        <v>62</v>
      </c>
      <c r="AV4783" s="6" t="str">
        <f>HYPERLINK("http://mcgill.on.worldcat.org/oclc/29991576","Catalog Record")</f>
        <v>Catalog Record</v>
      </c>
      <c r="AW4783" s="6" t="str">
        <f>HYPERLINK("http://www.worldcat.org/oclc/29991576","WorldCat Record")</f>
        <v>WorldCat Record</v>
      </c>
      <c r="AX4783" s="3" t="s">
        <v>46269</v>
      </c>
      <c r="AY4783" s="3" t="s">
        <v>46270</v>
      </c>
      <c r="AZ4783" s="3" t="s">
        <v>46271</v>
      </c>
      <c r="BA4783" s="3" t="s">
        <v>46271</v>
      </c>
      <c r="BB4783" s="3" t="s">
        <v>46272</v>
      </c>
      <c r="BC4783" s="3" t="s">
        <v>102</v>
      </c>
      <c r="BD4783" s="3" t="s">
        <v>68</v>
      </c>
      <c r="BE4783" s="3" t="s">
        <v>46273</v>
      </c>
      <c r="BF4783" s="3" t="s">
        <v>46272</v>
      </c>
      <c r="BG4783" s="3" t="s">
        <v>46274</v>
      </c>
    </row>
    <row r="4784" spans="1:59" ht="58" x14ac:dyDescent="0.35">
      <c r="A4784" s="2" t="s">
        <v>89</v>
      </c>
      <c r="B4784" s="2" t="s">
        <v>90</v>
      </c>
      <c r="C4784" s="2" t="s">
        <v>46275</v>
      </c>
      <c r="D4784" s="2" t="s">
        <v>46276</v>
      </c>
      <c r="E4784" s="2" t="s">
        <v>46277</v>
      </c>
      <c r="G4784" s="3" t="s">
        <v>62</v>
      </c>
      <c r="I4784" s="3" t="s">
        <v>62</v>
      </c>
      <c r="J4784" s="3" t="s">
        <v>62</v>
      </c>
      <c r="K4784" s="3" t="s">
        <v>63</v>
      </c>
      <c r="L4784" s="2" t="s">
        <v>46278</v>
      </c>
      <c r="M4784" s="2" t="s">
        <v>46279</v>
      </c>
      <c r="N4784" s="3" t="s">
        <v>712</v>
      </c>
      <c r="P4784" s="3" t="s">
        <v>85</v>
      </c>
      <c r="Q4784" s="2" t="s">
        <v>46280</v>
      </c>
      <c r="R4784" s="3" t="s">
        <v>46170</v>
      </c>
      <c r="S4784" s="4">
        <v>2</v>
      </c>
      <c r="T4784" s="4">
        <v>2</v>
      </c>
      <c r="U4784" s="5" t="s">
        <v>4839</v>
      </c>
      <c r="V4784" s="5" t="s">
        <v>4839</v>
      </c>
      <c r="W4784" s="5" t="s">
        <v>67</v>
      </c>
      <c r="X4784" s="5" t="s">
        <v>67</v>
      </c>
      <c r="Y4784" s="4">
        <v>10</v>
      </c>
      <c r="Z4784" s="4">
        <v>3</v>
      </c>
      <c r="AA4784" s="4">
        <v>3</v>
      </c>
      <c r="AB4784" s="4">
        <v>1</v>
      </c>
      <c r="AC4784" s="4">
        <v>1</v>
      </c>
      <c r="AD4784" s="4">
        <v>4</v>
      </c>
      <c r="AE4784" s="4">
        <v>5</v>
      </c>
      <c r="AF4784" s="4">
        <v>0</v>
      </c>
      <c r="AG4784" s="4">
        <v>0</v>
      </c>
      <c r="AH4784" s="4">
        <v>3</v>
      </c>
      <c r="AI4784" s="4">
        <v>4</v>
      </c>
      <c r="AJ4784" s="4">
        <v>1</v>
      </c>
      <c r="AK4784" s="4">
        <v>1</v>
      </c>
      <c r="AL4784" s="4">
        <v>3</v>
      </c>
      <c r="AM4784" s="4">
        <v>3</v>
      </c>
      <c r="AN4784" s="4">
        <v>0</v>
      </c>
      <c r="AO4784" s="4">
        <v>0</v>
      </c>
      <c r="AP4784" s="4">
        <v>1</v>
      </c>
      <c r="AQ4784" s="4">
        <v>1</v>
      </c>
      <c r="AR4784" s="3" t="s">
        <v>62</v>
      </c>
      <c r="AS4784" s="3" t="s">
        <v>62</v>
      </c>
      <c r="AT4784" s="3" t="s">
        <v>62</v>
      </c>
      <c r="AV4784" s="6" t="str">
        <f>HYPERLINK("http://mcgill.on.worldcat.org/oclc/900465431","Catalog Record")</f>
        <v>Catalog Record</v>
      </c>
      <c r="AW4784" s="6" t="str">
        <f>HYPERLINK("http://www.worldcat.org/oclc/900465431","WorldCat Record")</f>
        <v>WorldCat Record</v>
      </c>
      <c r="AX4784" s="3" t="s">
        <v>46281</v>
      </c>
      <c r="AY4784" s="3" t="s">
        <v>46282</v>
      </c>
      <c r="AZ4784" s="3" t="s">
        <v>46283</v>
      </c>
      <c r="BA4784" s="3" t="s">
        <v>46283</v>
      </c>
      <c r="BB4784" s="3" t="s">
        <v>46284</v>
      </c>
      <c r="BC4784" s="3" t="s">
        <v>102</v>
      </c>
      <c r="BD4784" s="3" t="s">
        <v>68</v>
      </c>
      <c r="BE4784" s="3" t="s">
        <v>46285</v>
      </c>
      <c r="BF4784" s="3" t="s">
        <v>46284</v>
      </c>
      <c r="BG4784" s="3" t="s">
        <v>46286</v>
      </c>
    </row>
    <row r="4785" spans="1:59" ht="58" x14ac:dyDescent="0.35">
      <c r="A4785" s="2" t="s">
        <v>89</v>
      </c>
      <c r="B4785" s="2" t="s">
        <v>90</v>
      </c>
      <c r="C4785" s="2" t="s">
        <v>46287</v>
      </c>
      <c r="D4785" s="2" t="s">
        <v>46288</v>
      </c>
      <c r="E4785" s="2" t="s">
        <v>46289</v>
      </c>
      <c r="G4785" s="3" t="s">
        <v>62</v>
      </c>
      <c r="I4785" s="3" t="s">
        <v>62</v>
      </c>
      <c r="J4785" s="3" t="s">
        <v>62</v>
      </c>
      <c r="K4785" s="3" t="s">
        <v>63</v>
      </c>
      <c r="L4785" s="2" t="s">
        <v>46290</v>
      </c>
      <c r="M4785" s="2" t="s">
        <v>46291</v>
      </c>
      <c r="N4785" s="3" t="s">
        <v>438</v>
      </c>
      <c r="P4785" s="3" t="s">
        <v>85</v>
      </c>
      <c r="R4785" s="3" t="s">
        <v>46170</v>
      </c>
      <c r="S4785" s="4">
        <v>3</v>
      </c>
      <c r="T4785" s="4">
        <v>3</v>
      </c>
      <c r="U4785" s="5" t="s">
        <v>728</v>
      </c>
      <c r="V4785" s="5" t="s">
        <v>728</v>
      </c>
      <c r="W4785" s="5" t="s">
        <v>67</v>
      </c>
      <c r="X4785" s="5" t="s">
        <v>67</v>
      </c>
      <c r="Y4785" s="4">
        <v>19</v>
      </c>
      <c r="Z4785" s="4">
        <v>2</v>
      </c>
      <c r="AA4785" s="4">
        <v>4</v>
      </c>
      <c r="AB4785" s="4">
        <v>2</v>
      </c>
      <c r="AC4785" s="4">
        <v>4</v>
      </c>
      <c r="AD4785" s="4">
        <v>3</v>
      </c>
      <c r="AE4785" s="4">
        <v>5</v>
      </c>
      <c r="AF4785" s="4">
        <v>0</v>
      </c>
      <c r="AG4785" s="4">
        <v>2</v>
      </c>
      <c r="AH4785" s="4">
        <v>3</v>
      </c>
      <c r="AI4785" s="4">
        <v>3</v>
      </c>
      <c r="AJ4785" s="4">
        <v>0</v>
      </c>
      <c r="AK4785" s="4">
        <v>2</v>
      </c>
      <c r="AL4785" s="4">
        <v>2</v>
      </c>
      <c r="AM4785" s="4">
        <v>2</v>
      </c>
      <c r="AN4785" s="4">
        <v>0</v>
      </c>
      <c r="AO4785" s="4">
        <v>0</v>
      </c>
      <c r="AP4785" s="4">
        <v>0</v>
      </c>
      <c r="AQ4785" s="4">
        <v>1</v>
      </c>
      <c r="AR4785" s="3" t="s">
        <v>62</v>
      </c>
      <c r="AS4785" s="3" t="s">
        <v>62</v>
      </c>
      <c r="AT4785" s="3" t="s">
        <v>62</v>
      </c>
      <c r="AV4785" s="6" t="str">
        <f>HYPERLINK("http://mcgill.on.worldcat.org/oclc/24626366","Catalog Record")</f>
        <v>Catalog Record</v>
      </c>
      <c r="AW4785" s="6" t="str">
        <f>HYPERLINK("http://www.worldcat.org/oclc/24626366","WorldCat Record")</f>
        <v>WorldCat Record</v>
      </c>
      <c r="AX4785" s="3" t="s">
        <v>46292</v>
      </c>
      <c r="AY4785" s="3" t="s">
        <v>46293</v>
      </c>
      <c r="AZ4785" s="3" t="s">
        <v>46294</v>
      </c>
      <c r="BA4785" s="3" t="s">
        <v>46294</v>
      </c>
      <c r="BB4785" s="3" t="s">
        <v>46295</v>
      </c>
      <c r="BC4785" s="3" t="s">
        <v>102</v>
      </c>
      <c r="BD4785" s="3" t="s">
        <v>68</v>
      </c>
      <c r="BE4785" s="3" t="s">
        <v>46296</v>
      </c>
      <c r="BF4785" s="3" t="s">
        <v>46295</v>
      </c>
      <c r="BG4785" s="3" t="s">
        <v>46297</v>
      </c>
    </row>
    <row r="4786" spans="1:59" ht="72.5" x14ac:dyDescent="0.35">
      <c r="A4786" s="2" t="s">
        <v>89</v>
      </c>
      <c r="B4786" s="2" t="s">
        <v>1231</v>
      </c>
      <c r="C4786" s="2" t="s">
        <v>46298</v>
      </c>
      <c r="D4786" s="2" t="s">
        <v>46299</v>
      </c>
      <c r="E4786" s="2" t="s">
        <v>46300</v>
      </c>
      <c r="G4786" s="3" t="s">
        <v>62</v>
      </c>
      <c r="I4786" s="3" t="s">
        <v>61</v>
      </c>
      <c r="J4786" s="3" t="s">
        <v>62</v>
      </c>
      <c r="K4786" s="3" t="s">
        <v>63</v>
      </c>
      <c r="L4786" s="2" t="s">
        <v>46301</v>
      </c>
      <c r="M4786" s="2" t="s">
        <v>46302</v>
      </c>
      <c r="N4786" s="3" t="s">
        <v>2985</v>
      </c>
      <c r="P4786" s="3" t="s">
        <v>64</v>
      </c>
      <c r="R4786" s="3" t="s">
        <v>46170</v>
      </c>
      <c r="S4786" s="4">
        <v>6</v>
      </c>
      <c r="T4786" s="4">
        <v>18</v>
      </c>
      <c r="U4786" s="5" t="s">
        <v>770</v>
      </c>
      <c r="V4786" s="5" t="s">
        <v>84</v>
      </c>
      <c r="W4786" s="5" t="s">
        <v>67</v>
      </c>
      <c r="X4786" s="5" t="s">
        <v>67</v>
      </c>
      <c r="Y4786" s="4">
        <v>67</v>
      </c>
      <c r="Z4786" s="4">
        <v>5</v>
      </c>
      <c r="AA4786" s="4">
        <v>5</v>
      </c>
      <c r="AB4786" s="4">
        <v>1</v>
      </c>
      <c r="AC4786" s="4">
        <v>1</v>
      </c>
      <c r="AD4786" s="4">
        <v>30</v>
      </c>
      <c r="AE4786" s="4">
        <v>31</v>
      </c>
      <c r="AF4786" s="4">
        <v>0</v>
      </c>
      <c r="AG4786" s="4">
        <v>0</v>
      </c>
      <c r="AH4786" s="4">
        <v>29</v>
      </c>
      <c r="AI4786" s="4">
        <v>29</v>
      </c>
      <c r="AJ4786" s="4">
        <v>3</v>
      </c>
      <c r="AK4786" s="4">
        <v>3</v>
      </c>
      <c r="AL4786" s="4">
        <v>21</v>
      </c>
      <c r="AM4786" s="4">
        <v>22</v>
      </c>
      <c r="AN4786" s="4">
        <v>0</v>
      </c>
      <c r="AO4786" s="4">
        <v>0</v>
      </c>
      <c r="AP4786" s="4">
        <v>3</v>
      </c>
      <c r="AQ4786" s="4">
        <v>3</v>
      </c>
      <c r="AR4786" s="3" t="s">
        <v>62</v>
      </c>
      <c r="AS4786" s="3" t="s">
        <v>62</v>
      </c>
      <c r="AT4786" s="3" t="s">
        <v>61</v>
      </c>
      <c r="AU4786" s="6" t="str">
        <f>HYPERLINK("http://catalog.hathitrust.org/Record/006822997","HathiTrust Record")</f>
        <v>HathiTrust Record</v>
      </c>
      <c r="AV4786" s="6" t="str">
        <f>HYPERLINK("http://mcgill.on.worldcat.org/oclc/313673248","Catalog Record")</f>
        <v>Catalog Record</v>
      </c>
      <c r="AW4786" s="6" t="str">
        <f>HYPERLINK("http://www.worldcat.org/oclc/313673248","WorldCat Record")</f>
        <v>WorldCat Record</v>
      </c>
      <c r="AX4786" s="3" t="s">
        <v>46303</v>
      </c>
      <c r="AY4786" s="3" t="s">
        <v>46304</v>
      </c>
      <c r="AZ4786" s="3" t="s">
        <v>46305</v>
      </c>
      <c r="BA4786" s="3" t="s">
        <v>46305</v>
      </c>
      <c r="BB4786" s="3" t="s">
        <v>46306</v>
      </c>
      <c r="BC4786" s="3" t="s">
        <v>102</v>
      </c>
      <c r="BD4786" s="3" t="s">
        <v>68</v>
      </c>
      <c r="BE4786" s="3" t="s">
        <v>46307</v>
      </c>
      <c r="BF4786" s="3" t="s">
        <v>46306</v>
      </c>
      <c r="BG4786" s="3" t="s">
        <v>46308</v>
      </c>
    </row>
    <row r="4787" spans="1:59" ht="58" x14ac:dyDescent="0.35">
      <c r="A4787" s="2" t="s">
        <v>89</v>
      </c>
      <c r="B4787" s="2" t="s">
        <v>90</v>
      </c>
      <c r="C4787" s="2" t="s">
        <v>46309</v>
      </c>
      <c r="D4787" s="2" t="s">
        <v>46310</v>
      </c>
      <c r="E4787" s="2" t="s">
        <v>46311</v>
      </c>
      <c r="F4787" s="3" t="s">
        <v>17015</v>
      </c>
      <c r="G4787" s="3" t="s">
        <v>62</v>
      </c>
      <c r="I4787" s="3" t="s">
        <v>62</v>
      </c>
      <c r="J4787" s="3" t="s">
        <v>61</v>
      </c>
      <c r="K4787" s="3" t="s">
        <v>63</v>
      </c>
      <c r="L4787" s="2" t="s">
        <v>46312</v>
      </c>
      <c r="M4787" s="2" t="s">
        <v>46313</v>
      </c>
      <c r="N4787" s="3" t="s">
        <v>1195</v>
      </c>
      <c r="O4787" s="2" t="s">
        <v>2986</v>
      </c>
      <c r="P4787" s="3" t="s">
        <v>64</v>
      </c>
      <c r="R4787" s="3" t="s">
        <v>46170</v>
      </c>
      <c r="S4787" s="4">
        <v>2</v>
      </c>
      <c r="T4787" s="4">
        <v>2</v>
      </c>
      <c r="U4787" s="5" t="s">
        <v>13087</v>
      </c>
      <c r="V4787" s="5" t="s">
        <v>13087</v>
      </c>
      <c r="W4787" s="5" t="s">
        <v>4735</v>
      </c>
      <c r="X4787" s="5" t="s">
        <v>4735</v>
      </c>
      <c r="Y4787" s="4">
        <v>355</v>
      </c>
      <c r="Z4787" s="4">
        <v>26</v>
      </c>
      <c r="AA4787" s="4">
        <v>54</v>
      </c>
      <c r="AB4787" s="4">
        <v>1</v>
      </c>
      <c r="AC4787" s="4">
        <v>7</v>
      </c>
      <c r="AD4787" s="4">
        <v>47</v>
      </c>
      <c r="AE4787" s="4">
        <v>90</v>
      </c>
      <c r="AF4787" s="4">
        <v>0</v>
      </c>
      <c r="AG4787" s="4">
        <v>5</v>
      </c>
      <c r="AH4787" s="4">
        <v>39</v>
      </c>
      <c r="AI4787" s="4">
        <v>70</v>
      </c>
      <c r="AJ4787" s="4">
        <v>9</v>
      </c>
      <c r="AK4787" s="4">
        <v>22</v>
      </c>
      <c r="AL4787" s="4">
        <v>22</v>
      </c>
      <c r="AM4787" s="4">
        <v>31</v>
      </c>
      <c r="AN4787" s="4">
        <v>0</v>
      </c>
      <c r="AO4787" s="4">
        <v>0</v>
      </c>
      <c r="AP4787" s="4">
        <v>14</v>
      </c>
      <c r="AQ4787" s="4">
        <v>30</v>
      </c>
      <c r="AR4787" s="3" t="s">
        <v>62</v>
      </c>
      <c r="AS4787" s="3" t="s">
        <v>62</v>
      </c>
      <c r="AT4787" s="3" t="s">
        <v>61</v>
      </c>
      <c r="AU4787" s="6" t="str">
        <f>HYPERLINK("http://catalog.hathitrust.org/Record/005117172","HathiTrust Record")</f>
        <v>HathiTrust Record</v>
      </c>
      <c r="AV4787" s="6" t="str">
        <f>HYPERLINK("http://mcgill.on.worldcat.org/oclc/58451796","Catalog Record")</f>
        <v>Catalog Record</v>
      </c>
      <c r="AW4787" s="6" t="str">
        <f>HYPERLINK("http://www.worldcat.org/oclc/58451796","WorldCat Record")</f>
        <v>WorldCat Record</v>
      </c>
      <c r="AX4787" s="3" t="s">
        <v>46314</v>
      </c>
      <c r="AY4787" s="3" t="s">
        <v>46315</v>
      </c>
      <c r="AZ4787" s="3" t="s">
        <v>46316</v>
      </c>
      <c r="BA4787" s="3" t="s">
        <v>46316</v>
      </c>
      <c r="BB4787" s="3" t="s">
        <v>46317</v>
      </c>
      <c r="BC4787" s="3" t="s">
        <v>102</v>
      </c>
      <c r="BD4787" s="3" t="s">
        <v>68</v>
      </c>
      <c r="BE4787" s="3" t="s">
        <v>46318</v>
      </c>
      <c r="BF4787" s="3" t="s">
        <v>46317</v>
      </c>
      <c r="BG4787" s="3" t="s">
        <v>46319</v>
      </c>
    </row>
    <row r="4788" spans="1:59" ht="58" x14ac:dyDescent="0.35">
      <c r="A4788" s="2" t="s">
        <v>89</v>
      </c>
      <c r="B4788" s="2" t="s">
        <v>90</v>
      </c>
      <c r="C4788" s="2" t="s">
        <v>46320</v>
      </c>
      <c r="D4788" s="2" t="s">
        <v>46321</v>
      </c>
      <c r="E4788" s="2" t="s">
        <v>46322</v>
      </c>
      <c r="G4788" s="3" t="s">
        <v>62</v>
      </c>
      <c r="I4788" s="3" t="s">
        <v>62</v>
      </c>
      <c r="J4788" s="3" t="s">
        <v>62</v>
      </c>
      <c r="K4788" s="3" t="s">
        <v>63</v>
      </c>
      <c r="L4788" s="2" t="s">
        <v>46323</v>
      </c>
      <c r="M4788" s="2" t="s">
        <v>46324</v>
      </c>
      <c r="N4788" s="3" t="s">
        <v>684</v>
      </c>
      <c r="P4788" s="3" t="s">
        <v>64</v>
      </c>
      <c r="Q4788" s="2" t="s">
        <v>46325</v>
      </c>
      <c r="R4788" s="3" t="s">
        <v>46170</v>
      </c>
      <c r="S4788" s="4">
        <v>0</v>
      </c>
      <c r="T4788" s="4">
        <v>0</v>
      </c>
      <c r="W4788" s="5" t="s">
        <v>67</v>
      </c>
      <c r="X4788" s="5" t="s">
        <v>67</v>
      </c>
      <c r="Y4788" s="4">
        <v>68</v>
      </c>
      <c r="Z4788" s="4">
        <v>8</v>
      </c>
      <c r="AA4788" s="4">
        <v>10</v>
      </c>
      <c r="AB4788" s="4">
        <v>1</v>
      </c>
      <c r="AC4788" s="4">
        <v>3</v>
      </c>
      <c r="AD4788" s="4">
        <v>39</v>
      </c>
      <c r="AE4788" s="4">
        <v>40</v>
      </c>
      <c r="AF4788" s="4">
        <v>0</v>
      </c>
      <c r="AG4788" s="4">
        <v>1</v>
      </c>
      <c r="AH4788" s="4">
        <v>36</v>
      </c>
      <c r="AI4788" s="4">
        <v>36</v>
      </c>
      <c r="AJ4788" s="4">
        <v>5</v>
      </c>
      <c r="AK4788" s="4">
        <v>6</v>
      </c>
      <c r="AL4788" s="4">
        <v>27</v>
      </c>
      <c r="AM4788" s="4">
        <v>27</v>
      </c>
      <c r="AN4788" s="4">
        <v>0</v>
      </c>
      <c r="AO4788" s="4">
        <v>0</v>
      </c>
      <c r="AP4788" s="4">
        <v>5</v>
      </c>
      <c r="AQ4788" s="4">
        <v>5</v>
      </c>
      <c r="AR4788" s="3" t="s">
        <v>62</v>
      </c>
      <c r="AS4788" s="3" t="s">
        <v>62</v>
      </c>
      <c r="AT4788" s="3" t="s">
        <v>62</v>
      </c>
      <c r="AV4788" s="6" t="str">
        <f>HYPERLINK("http://mcgill.on.worldcat.org/oclc/724493086","Catalog Record")</f>
        <v>Catalog Record</v>
      </c>
      <c r="AW4788" s="6" t="str">
        <f>HYPERLINK("http://www.worldcat.org/oclc/724493086","WorldCat Record")</f>
        <v>WorldCat Record</v>
      </c>
      <c r="AX4788" s="3" t="s">
        <v>46326</v>
      </c>
      <c r="AY4788" s="3" t="s">
        <v>46327</v>
      </c>
      <c r="AZ4788" s="3" t="s">
        <v>46328</v>
      </c>
      <c r="BA4788" s="3" t="s">
        <v>46328</v>
      </c>
      <c r="BB4788" s="3" t="s">
        <v>46329</v>
      </c>
      <c r="BC4788" s="3" t="s">
        <v>102</v>
      </c>
      <c r="BD4788" s="3" t="s">
        <v>68</v>
      </c>
      <c r="BE4788" s="3" t="s">
        <v>46330</v>
      </c>
      <c r="BF4788" s="3" t="s">
        <v>46329</v>
      </c>
      <c r="BG4788" s="3" t="s">
        <v>46331</v>
      </c>
    </row>
    <row r="4789" spans="1:59" ht="58" x14ac:dyDescent="0.35">
      <c r="A4789" s="2" t="s">
        <v>89</v>
      </c>
      <c r="B4789" s="2" t="s">
        <v>6791</v>
      </c>
      <c r="C4789" s="2" t="s">
        <v>46332</v>
      </c>
      <c r="D4789" s="2" t="s">
        <v>46333</v>
      </c>
      <c r="E4789" s="2" t="s">
        <v>46334</v>
      </c>
      <c r="G4789" s="3" t="s">
        <v>62</v>
      </c>
      <c r="I4789" s="3" t="s">
        <v>62</v>
      </c>
      <c r="J4789" s="3" t="s">
        <v>62</v>
      </c>
      <c r="K4789" s="3" t="s">
        <v>63</v>
      </c>
      <c r="L4789" s="2" t="s">
        <v>46335</v>
      </c>
      <c r="M4789" s="2" t="s">
        <v>46336</v>
      </c>
      <c r="N4789" s="3" t="s">
        <v>625</v>
      </c>
      <c r="P4789" s="3" t="s">
        <v>64</v>
      </c>
      <c r="Q4789" s="2" t="s">
        <v>46337</v>
      </c>
      <c r="R4789" s="3" t="s">
        <v>46170</v>
      </c>
      <c r="S4789" s="4">
        <v>23</v>
      </c>
      <c r="T4789" s="4">
        <v>23</v>
      </c>
      <c r="U4789" s="5" t="s">
        <v>7311</v>
      </c>
      <c r="V4789" s="5" t="s">
        <v>7311</v>
      </c>
      <c r="W4789" s="5" t="s">
        <v>67</v>
      </c>
      <c r="X4789" s="5" t="s">
        <v>67</v>
      </c>
      <c r="Y4789" s="4">
        <v>1098</v>
      </c>
      <c r="Z4789" s="4">
        <v>68</v>
      </c>
      <c r="AA4789" s="4">
        <v>71</v>
      </c>
      <c r="AB4789" s="4">
        <v>3</v>
      </c>
      <c r="AC4789" s="4">
        <v>5</v>
      </c>
      <c r="AD4789" s="4">
        <v>74</v>
      </c>
      <c r="AE4789" s="4">
        <v>76</v>
      </c>
      <c r="AF4789" s="4">
        <v>1</v>
      </c>
      <c r="AG4789" s="4">
        <v>3</v>
      </c>
      <c r="AH4789" s="4">
        <v>61</v>
      </c>
      <c r="AI4789" s="4">
        <v>62</v>
      </c>
      <c r="AJ4789" s="4">
        <v>12</v>
      </c>
      <c r="AK4789" s="4">
        <v>14</v>
      </c>
      <c r="AL4789" s="4">
        <v>22</v>
      </c>
      <c r="AM4789" s="4">
        <v>22</v>
      </c>
      <c r="AN4789" s="4">
        <v>0</v>
      </c>
      <c r="AO4789" s="4">
        <v>0</v>
      </c>
      <c r="AP4789" s="4">
        <v>23</v>
      </c>
      <c r="AQ4789" s="4">
        <v>25</v>
      </c>
      <c r="AR4789" s="3" t="s">
        <v>62</v>
      </c>
      <c r="AS4789" s="3" t="s">
        <v>62</v>
      </c>
      <c r="AT4789" s="3" t="s">
        <v>62</v>
      </c>
      <c r="AV4789" s="6" t="str">
        <f>HYPERLINK("http://mcgill.on.worldcat.org/oclc/50858873","Catalog Record")</f>
        <v>Catalog Record</v>
      </c>
      <c r="AW4789" s="6" t="str">
        <f>HYPERLINK("http://www.worldcat.org/oclc/50858873","WorldCat Record")</f>
        <v>WorldCat Record</v>
      </c>
      <c r="AX4789" s="3" t="s">
        <v>46338</v>
      </c>
      <c r="AY4789" s="3" t="s">
        <v>46339</v>
      </c>
      <c r="AZ4789" s="3" t="s">
        <v>46340</v>
      </c>
      <c r="BA4789" s="3" t="s">
        <v>46340</v>
      </c>
      <c r="BB4789" s="3" t="s">
        <v>46341</v>
      </c>
      <c r="BC4789" s="3" t="s">
        <v>102</v>
      </c>
      <c r="BD4789" s="3" t="s">
        <v>68</v>
      </c>
      <c r="BE4789" s="3" t="s">
        <v>46342</v>
      </c>
      <c r="BF4789" s="3" t="s">
        <v>46341</v>
      </c>
      <c r="BG4789" s="3" t="s">
        <v>46343</v>
      </c>
    </row>
    <row r="4790" spans="1:59" ht="58" x14ac:dyDescent="0.35">
      <c r="A4790" s="2" t="s">
        <v>89</v>
      </c>
      <c r="B4790" s="2" t="s">
        <v>90</v>
      </c>
      <c r="C4790" s="2" t="s">
        <v>46344</v>
      </c>
      <c r="D4790" s="2" t="s">
        <v>46345</v>
      </c>
      <c r="E4790" s="2" t="s">
        <v>46346</v>
      </c>
      <c r="G4790" s="3" t="s">
        <v>62</v>
      </c>
      <c r="I4790" s="3" t="s">
        <v>62</v>
      </c>
      <c r="J4790" s="3" t="s">
        <v>61</v>
      </c>
      <c r="K4790" s="3" t="s">
        <v>63</v>
      </c>
      <c r="L4790" s="2" t="s">
        <v>46335</v>
      </c>
      <c r="M4790" s="2" t="s">
        <v>46313</v>
      </c>
      <c r="N4790" s="3" t="s">
        <v>1195</v>
      </c>
      <c r="O4790" s="2" t="s">
        <v>2986</v>
      </c>
      <c r="P4790" s="3" t="s">
        <v>64</v>
      </c>
      <c r="R4790" s="3" t="s">
        <v>46170</v>
      </c>
      <c r="S4790" s="4">
        <v>29</v>
      </c>
      <c r="T4790" s="4">
        <v>29</v>
      </c>
      <c r="U4790" s="5" t="s">
        <v>44988</v>
      </c>
      <c r="V4790" s="5" t="s">
        <v>44988</v>
      </c>
      <c r="W4790" s="5" t="s">
        <v>67</v>
      </c>
      <c r="X4790" s="5" t="s">
        <v>67</v>
      </c>
      <c r="Y4790" s="4">
        <v>872</v>
      </c>
      <c r="Z4790" s="4">
        <v>57</v>
      </c>
      <c r="AA4790" s="4">
        <v>106</v>
      </c>
      <c r="AB4790" s="4">
        <v>4</v>
      </c>
      <c r="AC4790" s="4">
        <v>11</v>
      </c>
      <c r="AD4790" s="4">
        <v>51</v>
      </c>
      <c r="AE4790" s="4">
        <v>88</v>
      </c>
      <c r="AF4790" s="4">
        <v>1</v>
      </c>
      <c r="AG4790" s="4">
        <v>4</v>
      </c>
      <c r="AH4790" s="4">
        <v>39</v>
      </c>
      <c r="AI4790" s="4">
        <v>65</v>
      </c>
      <c r="AJ4790" s="4">
        <v>9</v>
      </c>
      <c r="AK4790" s="4">
        <v>18</v>
      </c>
      <c r="AL4790" s="4">
        <v>13</v>
      </c>
      <c r="AM4790" s="4">
        <v>26</v>
      </c>
      <c r="AN4790" s="4">
        <v>0</v>
      </c>
      <c r="AO4790" s="4">
        <v>0</v>
      </c>
      <c r="AP4790" s="4">
        <v>19</v>
      </c>
      <c r="AQ4790" s="4">
        <v>33</v>
      </c>
      <c r="AR4790" s="3" t="s">
        <v>62</v>
      </c>
      <c r="AS4790" s="3" t="s">
        <v>62</v>
      </c>
      <c r="AT4790" s="3" t="s">
        <v>61</v>
      </c>
      <c r="AU4790" s="6" t="str">
        <f>HYPERLINK("http://catalog.hathitrust.org/Record/005114789","HathiTrust Record")</f>
        <v>HathiTrust Record</v>
      </c>
      <c r="AV4790" s="6" t="str">
        <f>HYPERLINK("http://mcgill.on.worldcat.org/oclc/61123117","Catalog Record")</f>
        <v>Catalog Record</v>
      </c>
      <c r="AW4790" s="6" t="str">
        <f>HYPERLINK("http://www.worldcat.org/oclc/61123117","WorldCat Record")</f>
        <v>WorldCat Record</v>
      </c>
      <c r="AX4790" s="3" t="s">
        <v>46347</v>
      </c>
      <c r="AY4790" s="3" t="s">
        <v>46348</v>
      </c>
      <c r="AZ4790" s="3" t="s">
        <v>46349</v>
      </c>
      <c r="BA4790" s="3" t="s">
        <v>46349</v>
      </c>
      <c r="BB4790" s="3" t="s">
        <v>46350</v>
      </c>
      <c r="BC4790" s="3" t="s">
        <v>102</v>
      </c>
      <c r="BD4790" s="3" t="s">
        <v>68</v>
      </c>
      <c r="BE4790" s="3" t="s">
        <v>46351</v>
      </c>
      <c r="BF4790" s="3" t="s">
        <v>46350</v>
      </c>
      <c r="BG4790" s="3" t="s">
        <v>46352</v>
      </c>
    </row>
    <row r="4791" spans="1:59" ht="72.5" x14ac:dyDescent="0.35">
      <c r="A4791" s="2" t="s">
        <v>89</v>
      </c>
      <c r="B4791" s="2" t="s">
        <v>90</v>
      </c>
      <c r="C4791" s="2" t="s">
        <v>46353</v>
      </c>
      <c r="D4791" s="2" t="s">
        <v>46354</v>
      </c>
      <c r="E4791" s="2" t="s">
        <v>46355</v>
      </c>
      <c r="G4791" s="3" t="s">
        <v>62</v>
      </c>
      <c r="I4791" s="3" t="s">
        <v>62</v>
      </c>
      <c r="J4791" s="3" t="s">
        <v>62</v>
      </c>
      <c r="K4791" s="3" t="s">
        <v>63</v>
      </c>
      <c r="L4791" s="2" t="s">
        <v>46356</v>
      </c>
      <c r="M4791" s="2" t="s">
        <v>46357</v>
      </c>
      <c r="N4791" s="3" t="s">
        <v>2136</v>
      </c>
      <c r="P4791" s="3" t="s">
        <v>64</v>
      </c>
      <c r="R4791" s="3" t="s">
        <v>46170</v>
      </c>
      <c r="S4791" s="4">
        <v>11</v>
      </c>
      <c r="T4791" s="4">
        <v>11</v>
      </c>
      <c r="U4791" s="5" t="s">
        <v>14076</v>
      </c>
      <c r="V4791" s="5" t="s">
        <v>14076</v>
      </c>
      <c r="W4791" s="5" t="s">
        <v>67</v>
      </c>
      <c r="X4791" s="5" t="s">
        <v>67</v>
      </c>
      <c r="Y4791" s="4">
        <v>208</v>
      </c>
      <c r="Z4791" s="4">
        <v>25</v>
      </c>
      <c r="AA4791" s="4">
        <v>26</v>
      </c>
      <c r="AB4791" s="4">
        <v>2</v>
      </c>
      <c r="AC4791" s="4">
        <v>2</v>
      </c>
      <c r="AD4791" s="4">
        <v>89</v>
      </c>
      <c r="AE4791" s="4">
        <v>91</v>
      </c>
      <c r="AF4791" s="4">
        <v>1</v>
      </c>
      <c r="AG4791" s="4">
        <v>1</v>
      </c>
      <c r="AH4791" s="4">
        <v>75</v>
      </c>
      <c r="AI4791" s="4">
        <v>76</v>
      </c>
      <c r="AJ4791" s="4">
        <v>14</v>
      </c>
      <c r="AK4791" s="4">
        <v>14</v>
      </c>
      <c r="AL4791" s="4">
        <v>47</v>
      </c>
      <c r="AM4791" s="4">
        <v>48</v>
      </c>
      <c r="AN4791" s="4">
        <v>0</v>
      </c>
      <c r="AO4791" s="4">
        <v>0</v>
      </c>
      <c r="AP4791" s="4">
        <v>19</v>
      </c>
      <c r="AQ4791" s="4">
        <v>20</v>
      </c>
      <c r="AR4791" s="3" t="s">
        <v>62</v>
      </c>
      <c r="AS4791" s="3" t="s">
        <v>62</v>
      </c>
      <c r="AT4791" s="3" t="s">
        <v>62</v>
      </c>
      <c r="AV4791" s="6" t="str">
        <f>HYPERLINK("http://mcgill.on.worldcat.org/oclc/56458289","Catalog Record")</f>
        <v>Catalog Record</v>
      </c>
      <c r="AW4791" s="6" t="str">
        <f>HYPERLINK("http://www.worldcat.org/oclc/56458289","WorldCat Record")</f>
        <v>WorldCat Record</v>
      </c>
      <c r="AX4791" s="3" t="s">
        <v>46358</v>
      </c>
      <c r="AY4791" s="3" t="s">
        <v>46359</v>
      </c>
      <c r="AZ4791" s="3" t="s">
        <v>46360</v>
      </c>
      <c r="BA4791" s="3" t="s">
        <v>46360</v>
      </c>
      <c r="BB4791" s="3" t="s">
        <v>46361</v>
      </c>
      <c r="BC4791" s="3" t="s">
        <v>102</v>
      </c>
      <c r="BD4791" s="3" t="s">
        <v>68</v>
      </c>
      <c r="BE4791" s="3" t="s">
        <v>46362</v>
      </c>
      <c r="BF4791" s="3" t="s">
        <v>46361</v>
      </c>
      <c r="BG4791" s="3" t="s">
        <v>46363</v>
      </c>
    </row>
    <row r="4792" spans="1:59" ht="58" x14ac:dyDescent="0.35">
      <c r="A4792" s="2" t="s">
        <v>89</v>
      </c>
      <c r="B4792" s="2" t="s">
        <v>90</v>
      </c>
      <c r="C4792" s="2" t="s">
        <v>46364</v>
      </c>
      <c r="D4792" s="2" t="s">
        <v>46365</v>
      </c>
      <c r="E4792" s="2" t="s">
        <v>46366</v>
      </c>
      <c r="G4792" s="3" t="s">
        <v>62</v>
      </c>
      <c r="I4792" s="3" t="s">
        <v>61</v>
      </c>
      <c r="J4792" s="3" t="s">
        <v>61</v>
      </c>
      <c r="K4792" s="3" t="s">
        <v>916</v>
      </c>
      <c r="L4792" s="2" t="s">
        <v>46367</v>
      </c>
      <c r="M4792" s="2" t="s">
        <v>46368</v>
      </c>
      <c r="N4792" s="3" t="s">
        <v>866</v>
      </c>
      <c r="P4792" s="3" t="s">
        <v>64</v>
      </c>
      <c r="R4792" s="3" t="s">
        <v>46170</v>
      </c>
      <c r="S4792" s="4">
        <v>12</v>
      </c>
      <c r="T4792" s="4">
        <v>19</v>
      </c>
      <c r="U4792" s="5" t="s">
        <v>44429</v>
      </c>
      <c r="V4792" s="5" t="s">
        <v>44429</v>
      </c>
      <c r="W4792" s="5" t="s">
        <v>67</v>
      </c>
      <c r="X4792" s="5" t="s">
        <v>67</v>
      </c>
      <c r="Y4792" s="4">
        <v>174</v>
      </c>
      <c r="Z4792" s="4">
        <v>12</v>
      </c>
      <c r="AA4792" s="4">
        <v>50</v>
      </c>
      <c r="AB4792" s="4">
        <v>3</v>
      </c>
      <c r="AC4792" s="4">
        <v>10</v>
      </c>
      <c r="AD4792" s="4">
        <v>56</v>
      </c>
      <c r="AE4792" s="4">
        <v>146</v>
      </c>
      <c r="AF4792" s="4">
        <v>1</v>
      </c>
      <c r="AG4792" s="4">
        <v>5</v>
      </c>
      <c r="AH4792" s="4">
        <v>50</v>
      </c>
      <c r="AI4792" s="4">
        <v>113</v>
      </c>
      <c r="AJ4792" s="4">
        <v>7</v>
      </c>
      <c r="AK4792" s="4">
        <v>26</v>
      </c>
      <c r="AL4792" s="4">
        <v>33</v>
      </c>
      <c r="AM4792" s="4">
        <v>59</v>
      </c>
      <c r="AN4792" s="4">
        <v>0</v>
      </c>
      <c r="AO4792" s="4">
        <v>0</v>
      </c>
      <c r="AP4792" s="4">
        <v>9</v>
      </c>
      <c r="AQ4792" s="4">
        <v>40</v>
      </c>
      <c r="AR4792" s="3" t="s">
        <v>62</v>
      </c>
      <c r="AS4792" s="3" t="s">
        <v>62</v>
      </c>
      <c r="AT4792" s="3" t="s">
        <v>61</v>
      </c>
      <c r="AU4792" s="6" t="str">
        <f>HYPERLINK("http://catalog.hathitrust.org/Record/001552790","HathiTrust Record")</f>
        <v>HathiTrust Record</v>
      </c>
      <c r="AV4792" s="6" t="str">
        <f>HYPERLINK("http://mcgill.on.worldcat.org/oclc/394026","Catalog Record")</f>
        <v>Catalog Record</v>
      </c>
      <c r="AW4792" s="6" t="str">
        <f>HYPERLINK("http://www.worldcat.org/oclc/394026","WorldCat Record")</f>
        <v>WorldCat Record</v>
      </c>
      <c r="AX4792" s="3" t="s">
        <v>46369</v>
      </c>
      <c r="AY4792" s="3" t="s">
        <v>46370</v>
      </c>
      <c r="AZ4792" s="3" t="s">
        <v>46371</v>
      </c>
      <c r="BA4792" s="3" t="s">
        <v>46371</v>
      </c>
      <c r="BB4792" s="3" t="s">
        <v>46372</v>
      </c>
      <c r="BC4792" s="3" t="s">
        <v>102</v>
      </c>
      <c r="BD4792" s="3" t="s">
        <v>68</v>
      </c>
      <c r="BE4792" s="3" t="s">
        <v>46373</v>
      </c>
      <c r="BF4792" s="3" t="s">
        <v>46372</v>
      </c>
      <c r="BG4792" s="3" t="s">
        <v>46374</v>
      </c>
    </row>
    <row r="4793" spans="1:59" ht="58" x14ac:dyDescent="0.35">
      <c r="A4793" s="2" t="s">
        <v>89</v>
      </c>
      <c r="B4793" s="2" t="s">
        <v>90</v>
      </c>
      <c r="C4793" s="2" t="s">
        <v>46364</v>
      </c>
      <c r="D4793" s="2" t="s">
        <v>46365</v>
      </c>
      <c r="E4793" s="2" t="s">
        <v>46366</v>
      </c>
      <c r="G4793" s="3" t="s">
        <v>62</v>
      </c>
      <c r="I4793" s="3" t="s">
        <v>61</v>
      </c>
      <c r="J4793" s="3" t="s">
        <v>61</v>
      </c>
      <c r="K4793" s="3" t="s">
        <v>916</v>
      </c>
      <c r="L4793" s="2" t="s">
        <v>46367</v>
      </c>
      <c r="M4793" s="2" t="s">
        <v>46368</v>
      </c>
      <c r="N4793" s="3" t="s">
        <v>866</v>
      </c>
      <c r="P4793" s="3" t="s">
        <v>64</v>
      </c>
      <c r="R4793" s="3" t="s">
        <v>46170</v>
      </c>
      <c r="S4793" s="4">
        <v>7</v>
      </c>
      <c r="T4793" s="4">
        <v>19</v>
      </c>
      <c r="U4793" s="5" t="s">
        <v>44988</v>
      </c>
      <c r="V4793" s="5" t="s">
        <v>44429</v>
      </c>
      <c r="W4793" s="5" t="s">
        <v>67</v>
      </c>
      <c r="X4793" s="5" t="s">
        <v>67</v>
      </c>
      <c r="Y4793" s="4">
        <v>174</v>
      </c>
      <c r="Z4793" s="4">
        <v>12</v>
      </c>
      <c r="AA4793" s="4">
        <v>50</v>
      </c>
      <c r="AB4793" s="4">
        <v>3</v>
      </c>
      <c r="AC4793" s="4">
        <v>10</v>
      </c>
      <c r="AD4793" s="4">
        <v>56</v>
      </c>
      <c r="AE4793" s="4">
        <v>146</v>
      </c>
      <c r="AF4793" s="4">
        <v>1</v>
      </c>
      <c r="AG4793" s="4">
        <v>5</v>
      </c>
      <c r="AH4793" s="4">
        <v>50</v>
      </c>
      <c r="AI4793" s="4">
        <v>113</v>
      </c>
      <c r="AJ4793" s="4">
        <v>7</v>
      </c>
      <c r="AK4793" s="4">
        <v>26</v>
      </c>
      <c r="AL4793" s="4">
        <v>33</v>
      </c>
      <c r="AM4793" s="4">
        <v>59</v>
      </c>
      <c r="AN4793" s="4">
        <v>0</v>
      </c>
      <c r="AO4793" s="4">
        <v>0</v>
      </c>
      <c r="AP4793" s="4">
        <v>9</v>
      </c>
      <c r="AQ4793" s="4">
        <v>40</v>
      </c>
      <c r="AR4793" s="3" t="s">
        <v>62</v>
      </c>
      <c r="AS4793" s="3" t="s">
        <v>62</v>
      </c>
      <c r="AT4793" s="3" t="s">
        <v>61</v>
      </c>
      <c r="AU4793" s="6" t="str">
        <f>HYPERLINK("http://catalog.hathitrust.org/Record/001552790","HathiTrust Record")</f>
        <v>HathiTrust Record</v>
      </c>
      <c r="AV4793" s="6" t="str">
        <f>HYPERLINK("http://mcgill.on.worldcat.org/oclc/394026","Catalog Record")</f>
        <v>Catalog Record</v>
      </c>
      <c r="AW4793" s="6" t="str">
        <f>HYPERLINK("http://www.worldcat.org/oclc/394026","WorldCat Record")</f>
        <v>WorldCat Record</v>
      </c>
      <c r="AX4793" s="3" t="s">
        <v>46369</v>
      </c>
      <c r="AY4793" s="3" t="s">
        <v>46370</v>
      </c>
      <c r="AZ4793" s="3" t="s">
        <v>46371</v>
      </c>
      <c r="BA4793" s="3" t="s">
        <v>46371</v>
      </c>
      <c r="BB4793" s="3" t="s">
        <v>46375</v>
      </c>
      <c r="BC4793" s="3" t="s">
        <v>102</v>
      </c>
      <c r="BD4793" s="3" t="s">
        <v>68</v>
      </c>
      <c r="BE4793" s="3" t="s">
        <v>46373</v>
      </c>
      <c r="BF4793" s="3" t="s">
        <v>46375</v>
      </c>
      <c r="BG4793" s="3" t="s">
        <v>46376</v>
      </c>
    </row>
    <row r="4794" spans="1:59" ht="58" x14ac:dyDescent="0.35">
      <c r="A4794" s="2" t="s">
        <v>89</v>
      </c>
      <c r="B4794" s="2" t="s">
        <v>90</v>
      </c>
      <c r="C4794" s="2" t="s">
        <v>46377</v>
      </c>
      <c r="D4794" s="2" t="s">
        <v>46378</v>
      </c>
      <c r="E4794" s="2" t="s">
        <v>46379</v>
      </c>
      <c r="G4794" s="3" t="s">
        <v>62</v>
      </c>
      <c r="I4794" s="3" t="s">
        <v>61</v>
      </c>
      <c r="J4794" s="3" t="s">
        <v>61</v>
      </c>
      <c r="K4794" s="3" t="s">
        <v>916</v>
      </c>
      <c r="L4794" s="2" t="s">
        <v>46367</v>
      </c>
      <c r="M4794" s="2" t="s">
        <v>46380</v>
      </c>
      <c r="N4794" s="3" t="s">
        <v>3062</v>
      </c>
      <c r="O4794" s="2" t="s">
        <v>10722</v>
      </c>
      <c r="P4794" s="3" t="s">
        <v>64</v>
      </c>
      <c r="R4794" s="3" t="s">
        <v>46170</v>
      </c>
      <c r="S4794" s="4">
        <v>63</v>
      </c>
      <c r="T4794" s="4">
        <v>200</v>
      </c>
      <c r="U4794" s="5" t="s">
        <v>15906</v>
      </c>
      <c r="V4794" s="5" t="s">
        <v>15906</v>
      </c>
      <c r="W4794" s="5" t="s">
        <v>67</v>
      </c>
      <c r="X4794" s="5" t="s">
        <v>67</v>
      </c>
      <c r="Y4794" s="4">
        <v>275</v>
      </c>
      <c r="Z4794" s="4">
        <v>16</v>
      </c>
      <c r="AA4794" s="4">
        <v>50</v>
      </c>
      <c r="AB4794" s="4">
        <v>1</v>
      </c>
      <c r="AC4794" s="4">
        <v>10</v>
      </c>
      <c r="AD4794" s="4">
        <v>77</v>
      </c>
      <c r="AE4794" s="4">
        <v>146</v>
      </c>
      <c r="AF4794" s="4">
        <v>0</v>
      </c>
      <c r="AG4794" s="4">
        <v>5</v>
      </c>
      <c r="AH4794" s="4">
        <v>71</v>
      </c>
      <c r="AI4794" s="4">
        <v>113</v>
      </c>
      <c r="AJ4794" s="4">
        <v>13</v>
      </c>
      <c r="AK4794" s="4">
        <v>26</v>
      </c>
      <c r="AL4794" s="4">
        <v>39</v>
      </c>
      <c r="AM4794" s="4">
        <v>59</v>
      </c>
      <c r="AN4794" s="4">
        <v>0</v>
      </c>
      <c r="AO4794" s="4">
        <v>0</v>
      </c>
      <c r="AP4794" s="4">
        <v>14</v>
      </c>
      <c r="AQ4794" s="4">
        <v>40</v>
      </c>
      <c r="AR4794" s="3" t="s">
        <v>62</v>
      </c>
      <c r="AS4794" s="3" t="s">
        <v>62</v>
      </c>
      <c r="AT4794" s="3" t="s">
        <v>61</v>
      </c>
      <c r="AU4794" s="6" t="str">
        <f>HYPERLINK("http://catalog.hathitrust.org/Record/002483564","HathiTrust Record")</f>
        <v>HathiTrust Record</v>
      </c>
      <c r="AV4794" s="6" t="str">
        <f>HYPERLINK("http://mcgill.on.worldcat.org/oclc/22813398","Catalog Record")</f>
        <v>Catalog Record</v>
      </c>
      <c r="AW4794" s="6" t="str">
        <f>HYPERLINK("http://www.worldcat.org/oclc/22813398","WorldCat Record")</f>
        <v>WorldCat Record</v>
      </c>
      <c r="AX4794" s="3" t="s">
        <v>46369</v>
      </c>
      <c r="AY4794" s="3" t="s">
        <v>46381</v>
      </c>
      <c r="AZ4794" s="3" t="s">
        <v>46382</v>
      </c>
      <c r="BA4794" s="3" t="s">
        <v>46382</v>
      </c>
      <c r="BB4794" s="3" t="s">
        <v>46383</v>
      </c>
      <c r="BC4794" s="3" t="s">
        <v>102</v>
      </c>
      <c r="BD4794" s="3" t="s">
        <v>68</v>
      </c>
      <c r="BE4794" s="3" t="s">
        <v>46384</v>
      </c>
      <c r="BF4794" s="3" t="s">
        <v>46383</v>
      </c>
      <c r="BG4794" s="3" t="s">
        <v>46385</v>
      </c>
    </row>
    <row r="4795" spans="1:59" ht="58" x14ac:dyDescent="0.35">
      <c r="A4795" s="2" t="s">
        <v>89</v>
      </c>
      <c r="B4795" s="2" t="s">
        <v>90</v>
      </c>
      <c r="C4795" s="2" t="s">
        <v>46386</v>
      </c>
      <c r="D4795" s="2" t="s">
        <v>46387</v>
      </c>
      <c r="E4795" s="2" t="s">
        <v>46388</v>
      </c>
      <c r="F4795" s="3" t="s">
        <v>46389</v>
      </c>
      <c r="G4795" s="3" t="s">
        <v>61</v>
      </c>
      <c r="I4795" s="3" t="s">
        <v>62</v>
      </c>
      <c r="J4795" s="3" t="s">
        <v>62</v>
      </c>
      <c r="K4795" s="3" t="s">
        <v>63</v>
      </c>
      <c r="L4795" s="2" t="s">
        <v>46390</v>
      </c>
      <c r="M4795" s="2" t="s">
        <v>46391</v>
      </c>
      <c r="N4795" s="3" t="s">
        <v>726</v>
      </c>
      <c r="P4795" s="3" t="s">
        <v>64</v>
      </c>
      <c r="R4795" s="3" t="s">
        <v>46170</v>
      </c>
      <c r="S4795" s="4">
        <v>1</v>
      </c>
      <c r="T4795" s="4">
        <v>3</v>
      </c>
      <c r="U4795" s="5" t="s">
        <v>13005</v>
      </c>
      <c r="V4795" s="5" t="s">
        <v>1753</v>
      </c>
      <c r="W4795" s="5" t="s">
        <v>67</v>
      </c>
      <c r="X4795" s="5" t="s">
        <v>67</v>
      </c>
      <c r="Y4795" s="4">
        <v>1</v>
      </c>
      <c r="Z4795" s="4">
        <v>1</v>
      </c>
      <c r="AA4795" s="4">
        <v>1</v>
      </c>
      <c r="AB4795" s="4">
        <v>1</v>
      </c>
      <c r="AC4795" s="4">
        <v>1</v>
      </c>
      <c r="AD4795" s="4">
        <v>0</v>
      </c>
      <c r="AE4795" s="4">
        <v>0</v>
      </c>
      <c r="AF4795" s="4">
        <v>0</v>
      </c>
      <c r="AG4795" s="4">
        <v>0</v>
      </c>
      <c r="AH4795" s="4">
        <v>0</v>
      </c>
      <c r="AI4795" s="4">
        <v>0</v>
      </c>
      <c r="AJ4795" s="4">
        <v>0</v>
      </c>
      <c r="AK4795" s="4">
        <v>0</v>
      </c>
      <c r="AL4795" s="4">
        <v>0</v>
      </c>
      <c r="AM4795" s="4">
        <v>0</v>
      </c>
      <c r="AN4795" s="4">
        <v>0</v>
      </c>
      <c r="AO4795" s="4">
        <v>0</v>
      </c>
      <c r="AP4795" s="4">
        <v>0</v>
      </c>
      <c r="AQ4795" s="4">
        <v>0</v>
      </c>
      <c r="AR4795" s="3" t="s">
        <v>62</v>
      </c>
      <c r="AS4795" s="3" t="s">
        <v>62</v>
      </c>
      <c r="AT4795" s="3" t="s">
        <v>62</v>
      </c>
      <c r="AV4795" s="6" t="str">
        <f>HYPERLINK("http://mcgill.on.worldcat.org/oclc/1019872571","Catalog Record")</f>
        <v>Catalog Record</v>
      </c>
      <c r="AW4795" s="6" t="str">
        <f>HYPERLINK("http://www.worldcat.org/oclc/1019872571","WorldCat Record")</f>
        <v>WorldCat Record</v>
      </c>
      <c r="AX4795" s="3" t="s">
        <v>46392</v>
      </c>
      <c r="AY4795" s="3" t="s">
        <v>46393</v>
      </c>
      <c r="AZ4795" s="3" t="s">
        <v>46394</v>
      </c>
      <c r="BA4795" s="3" t="s">
        <v>46394</v>
      </c>
      <c r="BB4795" s="3" t="s">
        <v>46395</v>
      </c>
      <c r="BC4795" s="3" t="s">
        <v>102</v>
      </c>
      <c r="BD4795" s="3" t="s">
        <v>68</v>
      </c>
      <c r="BE4795" s="3" t="s">
        <v>46396</v>
      </c>
      <c r="BF4795" s="3" t="s">
        <v>46395</v>
      </c>
      <c r="BG4795" s="3" t="s">
        <v>46397</v>
      </c>
    </row>
    <row r="4796" spans="1:59" ht="58" x14ac:dyDescent="0.35">
      <c r="A4796" s="2" t="s">
        <v>89</v>
      </c>
      <c r="B4796" s="2" t="s">
        <v>90</v>
      </c>
      <c r="C4796" s="2" t="s">
        <v>46386</v>
      </c>
      <c r="D4796" s="2" t="s">
        <v>46387</v>
      </c>
      <c r="E4796" s="2" t="s">
        <v>46388</v>
      </c>
      <c r="F4796" s="3" t="s">
        <v>237</v>
      </c>
      <c r="G4796" s="3" t="s">
        <v>61</v>
      </c>
      <c r="I4796" s="3" t="s">
        <v>62</v>
      </c>
      <c r="J4796" s="3" t="s">
        <v>62</v>
      </c>
      <c r="K4796" s="3" t="s">
        <v>63</v>
      </c>
      <c r="L4796" s="2" t="s">
        <v>46390</v>
      </c>
      <c r="M4796" s="2" t="s">
        <v>46391</v>
      </c>
      <c r="N4796" s="3" t="s">
        <v>726</v>
      </c>
      <c r="P4796" s="3" t="s">
        <v>64</v>
      </c>
      <c r="R4796" s="3" t="s">
        <v>46170</v>
      </c>
      <c r="S4796" s="4">
        <v>2</v>
      </c>
      <c r="T4796" s="4">
        <v>3</v>
      </c>
      <c r="U4796" s="5" t="s">
        <v>1753</v>
      </c>
      <c r="V4796" s="5" t="s">
        <v>1753</v>
      </c>
      <c r="W4796" s="5" t="s">
        <v>67</v>
      </c>
      <c r="X4796" s="5" t="s">
        <v>67</v>
      </c>
      <c r="Y4796" s="4">
        <v>1</v>
      </c>
      <c r="Z4796" s="4">
        <v>1</v>
      </c>
      <c r="AA4796" s="4">
        <v>1</v>
      </c>
      <c r="AB4796" s="4">
        <v>1</v>
      </c>
      <c r="AC4796" s="4">
        <v>1</v>
      </c>
      <c r="AD4796" s="4">
        <v>0</v>
      </c>
      <c r="AE4796" s="4">
        <v>0</v>
      </c>
      <c r="AF4796" s="4">
        <v>0</v>
      </c>
      <c r="AG4796" s="4">
        <v>0</v>
      </c>
      <c r="AH4796" s="4">
        <v>0</v>
      </c>
      <c r="AI4796" s="4">
        <v>0</v>
      </c>
      <c r="AJ4796" s="4">
        <v>0</v>
      </c>
      <c r="AK4796" s="4">
        <v>0</v>
      </c>
      <c r="AL4796" s="4">
        <v>0</v>
      </c>
      <c r="AM4796" s="4">
        <v>0</v>
      </c>
      <c r="AN4796" s="4">
        <v>0</v>
      </c>
      <c r="AO4796" s="4">
        <v>0</v>
      </c>
      <c r="AP4796" s="4">
        <v>0</v>
      </c>
      <c r="AQ4796" s="4">
        <v>0</v>
      </c>
      <c r="AR4796" s="3" t="s">
        <v>62</v>
      </c>
      <c r="AS4796" s="3" t="s">
        <v>62</v>
      </c>
      <c r="AT4796" s="3" t="s">
        <v>62</v>
      </c>
      <c r="AV4796" s="6" t="str">
        <f>HYPERLINK("http://mcgill.on.worldcat.org/oclc/1019872571","Catalog Record")</f>
        <v>Catalog Record</v>
      </c>
      <c r="AW4796" s="6" t="str">
        <f>HYPERLINK("http://www.worldcat.org/oclc/1019872571","WorldCat Record")</f>
        <v>WorldCat Record</v>
      </c>
      <c r="AX4796" s="3" t="s">
        <v>46392</v>
      </c>
      <c r="AY4796" s="3" t="s">
        <v>46393</v>
      </c>
      <c r="AZ4796" s="3" t="s">
        <v>46394</v>
      </c>
      <c r="BA4796" s="3" t="s">
        <v>46394</v>
      </c>
      <c r="BB4796" s="3" t="s">
        <v>46398</v>
      </c>
      <c r="BC4796" s="3" t="s">
        <v>102</v>
      </c>
      <c r="BD4796" s="3" t="s">
        <v>68</v>
      </c>
      <c r="BE4796" s="3" t="s">
        <v>46396</v>
      </c>
      <c r="BF4796" s="3" t="s">
        <v>46398</v>
      </c>
      <c r="BG4796" s="3" t="s">
        <v>46399</v>
      </c>
    </row>
    <row r="4797" spans="1:59" ht="58" x14ac:dyDescent="0.35">
      <c r="A4797" s="2" t="s">
        <v>89</v>
      </c>
      <c r="B4797" s="2" t="s">
        <v>90</v>
      </c>
      <c r="C4797" s="2" t="s">
        <v>46386</v>
      </c>
      <c r="D4797" s="2" t="s">
        <v>46387</v>
      </c>
      <c r="E4797" s="2" t="s">
        <v>46388</v>
      </c>
      <c r="F4797" s="3" t="s">
        <v>248</v>
      </c>
      <c r="G4797" s="3" t="s">
        <v>61</v>
      </c>
      <c r="I4797" s="3" t="s">
        <v>62</v>
      </c>
      <c r="J4797" s="3" t="s">
        <v>62</v>
      </c>
      <c r="K4797" s="3" t="s">
        <v>63</v>
      </c>
      <c r="L4797" s="2" t="s">
        <v>46390</v>
      </c>
      <c r="M4797" s="2" t="s">
        <v>46391</v>
      </c>
      <c r="N4797" s="3" t="s">
        <v>726</v>
      </c>
      <c r="P4797" s="3" t="s">
        <v>64</v>
      </c>
      <c r="R4797" s="3" t="s">
        <v>46170</v>
      </c>
      <c r="S4797" s="4">
        <v>0</v>
      </c>
      <c r="T4797" s="4">
        <v>3</v>
      </c>
      <c r="V4797" s="5" t="s">
        <v>1753</v>
      </c>
      <c r="W4797" s="5" t="s">
        <v>67</v>
      </c>
      <c r="X4797" s="5" t="s">
        <v>67</v>
      </c>
      <c r="Y4797" s="4">
        <v>1</v>
      </c>
      <c r="Z4797" s="4">
        <v>1</v>
      </c>
      <c r="AA4797" s="4">
        <v>1</v>
      </c>
      <c r="AB4797" s="4">
        <v>1</v>
      </c>
      <c r="AC4797" s="4">
        <v>1</v>
      </c>
      <c r="AD4797" s="4">
        <v>0</v>
      </c>
      <c r="AE4797" s="4">
        <v>0</v>
      </c>
      <c r="AF4797" s="4">
        <v>0</v>
      </c>
      <c r="AG4797" s="4">
        <v>0</v>
      </c>
      <c r="AH4797" s="4">
        <v>0</v>
      </c>
      <c r="AI4797" s="4">
        <v>0</v>
      </c>
      <c r="AJ4797" s="4">
        <v>0</v>
      </c>
      <c r="AK4797" s="4">
        <v>0</v>
      </c>
      <c r="AL4797" s="4">
        <v>0</v>
      </c>
      <c r="AM4797" s="4">
        <v>0</v>
      </c>
      <c r="AN4797" s="4">
        <v>0</v>
      </c>
      <c r="AO4797" s="4">
        <v>0</v>
      </c>
      <c r="AP4797" s="4">
        <v>0</v>
      </c>
      <c r="AQ4797" s="4">
        <v>0</v>
      </c>
      <c r="AR4797" s="3" t="s">
        <v>62</v>
      </c>
      <c r="AS4797" s="3" t="s">
        <v>62</v>
      </c>
      <c r="AT4797" s="3" t="s">
        <v>62</v>
      </c>
      <c r="AV4797" s="6" t="str">
        <f>HYPERLINK("http://mcgill.on.worldcat.org/oclc/1019872571","Catalog Record")</f>
        <v>Catalog Record</v>
      </c>
      <c r="AW4797" s="6" t="str">
        <f>HYPERLINK("http://www.worldcat.org/oclc/1019872571","WorldCat Record")</f>
        <v>WorldCat Record</v>
      </c>
      <c r="AX4797" s="3" t="s">
        <v>46392</v>
      </c>
      <c r="AY4797" s="3" t="s">
        <v>46393</v>
      </c>
      <c r="AZ4797" s="3" t="s">
        <v>46394</v>
      </c>
      <c r="BA4797" s="3" t="s">
        <v>46394</v>
      </c>
      <c r="BB4797" s="3" t="s">
        <v>46400</v>
      </c>
      <c r="BC4797" s="3" t="s">
        <v>102</v>
      </c>
      <c r="BD4797" s="3" t="s">
        <v>68</v>
      </c>
      <c r="BE4797" s="3" t="s">
        <v>46396</v>
      </c>
      <c r="BF4797" s="3" t="s">
        <v>46400</v>
      </c>
      <c r="BG4797" s="3" t="s">
        <v>46401</v>
      </c>
    </row>
    <row r="4798" spans="1:59" ht="58" x14ac:dyDescent="0.35">
      <c r="A4798" s="2" t="s">
        <v>89</v>
      </c>
      <c r="B4798" s="2" t="s">
        <v>90</v>
      </c>
      <c r="C4798" s="2" t="s">
        <v>46402</v>
      </c>
      <c r="D4798" s="2" t="s">
        <v>46403</v>
      </c>
      <c r="E4798" s="2" t="s">
        <v>46404</v>
      </c>
      <c r="G4798" s="3" t="s">
        <v>62</v>
      </c>
      <c r="I4798" s="3" t="s">
        <v>61</v>
      </c>
      <c r="J4798" s="3" t="s">
        <v>62</v>
      </c>
      <c r="K4798" s="3" t="s">
        <v>63</v>
      </c>
      <c r="L4798" s="2" t="s">
        <v>46405</v>
      </c>
      <c r="M4798" s="2" t="s">
        <v>46406</v>
      </c>
      <c r="N4798" s="3" t="s">
        <v>539</v>
      </c>
      <c r="P4798" s="3" t="s">
        <v>64</v>
      </c>
      <c r="R4798" s="3" t="s">
        <v>46170</v>
      </c>
      <c r="S4798" s="4">
        <v>14</v>
      </c>
      <c r="T4798" s="4">
        <v>63</v>
      </c>
      <c r="U4798" s="5" t="s">
        <v>12475</v>
      </c>
      <c r="V4798" s="5" t="s">
        <v>2925</v>
      </c>
      <c r="W4798" s="5" t="s">
        <v>67</v>
      </c>
      <c r="X4798" s="5" t="s">
        <v>67</v>
      </c>
      <c r="Y4798" s="4">
        <v>120</v>
      </c>
      <c r="Z4798" s="4">
        <v>13</v>
      </c>
      <c r="AA4798" s="4">
        <v>22</v>
      </c>
      <c r="AB4798" s="4">
        <v>2</v>
      </c>
      <c r="AC4798" s="4">
        <v>5</v>
      </c>
      <c r="AD4798" s="4">
        <v>13</v>
      </c>
      <c r="AE4798" s="4">
        <v>22</v>
      </c>
      <c r="AF4798" s="4">
        <v>1</v>
      </c>
      <c r="AG4798" s="4">
        <v>2</v>
      </c>
      <c r="AH4798" s="4">
        <v>6</v>
      </c>
      <c r="AI4798" s="4">
        <v>13</v>
      </c>
      <c r="AJ4798" s="4">
        <v>3</v>
      </c>
      <c r="AK4798" s="4">
        <v>5</v>
      </c>
      <c r="AL4798" s="4">
        <v>5</v>
      </c>
      <c r="AM4798" s="4">
        <v>9</v>
      </c>
      <c r="AN4798" s="4">
        <v>0</v>
      </c>
      <c r="AO4798" s="4">
        <v>0</v>
      </c>
      <c r="AP4798" s="4">
        <v>8</v>
      </c>
      <c r="AQ4798" s="4">
        <v>11</v>
      </c>
      <c r="AR4798" s="3" t="s">
        <v>62</v>
      </c>
      <c r="AS4798" s="3" t="s">
        <v>62</v>
      </c>
      <c r="AT4798" s="3" t="s">
        <v>61</v>
      </c>
      <c r="AU4798" s="6" t="str">
        <f>HYPERLINK("http://catalog.hathitrust.org/Record/003300266","HathiTrust Record")</f>
        <v>HathiTrust Record</v>
      </c>
      <c r="AV4798" s="6" t="str">
        <f>HYPERLINK("http://mcgill.on.worldcat.org/oclc/38598121","Catalog Record")</f>
        <v>Catalog Record</v>
      </c>
      <c r="AW4798" s="6" t="str">
        <f>HYPERLINK("http://www.worldcat.org/oclc/38598121","WorldCat Record")</f>
        <v>WorldCat Record</v>
      </c>
      <c r="AX4798" s="3" t="s">
        <v>46407</v>
      </c>
      <c r="AY4798" s="3" t="s">
        <v>46408</v>
      </c>
      <c r="AZ4798" s="3" t="s">
        <v>46409</v>
      </c>
      <c r="BA4798" s="3" t="s">
        <v>46409</v>
      </c>
      <c r="BB4798" s="3" t="s">
        <v>46410</v>
      </c>
      <c r="BC4798" s="3" t="s">
        <v>102</v>
      </c>
      <c r="BD4798" s="3" t="s">
        <v>68</v>
      </c>
      <c r="BE4798" s="3" t="s">
        <v>46411</v>
      </c>
      <c r="BF4798" s="3" t="s">
        <v>46410</v>
      </c>
      <c r="BG4798" s="3" t="s">
        <v>46412</v>
      </c>
    </row>
    <row r="4799" spans="1:59" ht="58" x14ac:dyDescent="0.35">
      <c r="A4799" s="2" t="s">
        <v>89</v>
      </c>
      <c r="B4799" s="2" t="s">
        <v>90</v>
      </c>
      <c r="C4799" s="2" t="s">
        <v>46402</v>
      </c>
      <c r="D4799" s="2" t="s">
        <v>46403</v>
      </c>
      <c r="E4799" s="2" t="s">
        <v>46404</v>
      </c>
      <c r="G4799" s="3" t="s">
        <v>62</v>
      </c>
      <c r="I4799" s="3" t="s">
        <v>61</v>
      </c>
      <c r="J4799" s="3" t="s">
        <v>62</v>
      </c>
      <c r="K4799" s="3" t="s">
        <v>63</v>
      </c>
      <c r="L4799" s="2" t="s">
        <v>46405</v>
      </c>
      <c r="M4799" s="2" t="s">
        <v>46406</v>
      </c>
      <c r="N4799" s="3" t="s">
        <v>539</v>
      </c>
      <c r="P4799" s="3" t="s">
        <v>64</v>
      </c>
      <c r="R4799" s="3" t="s">
        <v>46170</v>
      </c>
      <c r="S4799" s="4">
        <v>7</v>
      </c>
      <c r="T4799" s="4">
        <v>63</v>
      </c>
      <c r="U4799" s="5" t="s">
        <v>46413</v>
      </c>
      <c r="V4799" s="5" t="s">
        <v>2925</v>
      </c>
      <c r="W4799" s="5" t="s">
        <v>67</v>
      </c>
      <c r="X4799" s="5" t="s">
        <v>67</v>
      </c>
      <c r="Y4799" s="4">
        <v>120</v>
      </c>
      <c r="Z4799" s="4">
        <v>13</v>
      </c>
      <c r="AA4799" s="4">
        <v>22</v>
      </c>
      <c r="AB4799" s="4">
        <v>2</v>
      </c>
      <c r="AC4799" s="4">
        <v>5</v>
      </c>
      <c r="AD4799" s="4">
        <v>13</v>
      </c>
      <c r="AE4799" s="4">
        <v>22</v>
      </c>
      <c r="AF4799" s="4">
        <v>1</v>
      </c>
      <c r="AG4799" s="4">
        <v>2</v>
      </c>
      <c r="AH4799" s="4">
        <v>6</v>
      </c>
      <c r="AI4799" s="4">
        <v>13</v>
      </c>
      <c r="AJ4799" s="4">
        <v>3</v>
      </c>
      <c r="AK4799" s="4">
        <v>5</v>
      </c>
      <c r="AL4799" s="4">
        <v>5</v>
      </c>
      <c r="AM4799" s="4">
        <v>9</v>
      </c>
      <c r="AN4799" s="4">
        <v>0</v>
      </c>
      <c r="AO4799" s="4">
        <v>0</v>
      </c>
      <c r="AP4799" s="4">
        <v>8</v>
      </c>
      <c r="AQ4799" s="4">
        <v>11</v>
      </c>
      <c r="AR4799" s="3" t="s">
        <v>62</v>
      </c>
      <c r="AS4799" s="3" t="s">
        <v>62</v>
      </c>
      <c r="AT4799" s="3" t="s">
        <v>61</v>
      </c>
      <c r="AU4799" s="6" t="str">
        <f>HYPERLINK("http://catalog.hathitrust.org/Record/003300266","HathiTrust Record")</f>
        <v>HathiTrust Record</v>
      </c>
      <c r="AV4799" s="6" t="str">
        <f>HYPERLINK("http://mcgill.on.worldcat.org/oclc/38598121","Catalog Record")</f>
        <v>Catalog Record</v>
      </c>
      <c r="AW4799" s="6" t="str">
        <f>HYPERLINK("http://www.worldcat.org/oclc/38598121","WorldCat Record")</f>
        <v>WorldCat Record</v>
      </c>
      <c r="AX4799" s="3" t="s">
        <v>46407</v>
      </c>
      <c r="AY4799" s="3" t="s">
        <v>46408</v>
      </c>
      <c r="AZ4799" s="3" t="s">
        <v>46409</v>
      </c>
      <c r="BA4799" s="3" t="s">
        <v>46409</v>
      </c>
      <c r="BB4799" s="3" t="s">
        <v>46414</v>
      </c>
      <c r="BC4799" s="3" t="s">
        <v>102</v>
      </c>
      <c r="BD4799" s="3" t="s">
        <v>68</v>
      </c>
      <c r="BE4799" s="3" t="s">
        <v>46411</v>
      </c>
      <c r="BF4799" s="3" t="s">
        <v>46414</v>
      </c>
      <c r="BG4799" s="3" t="s">
        <v>46415</v>
      </c>
    </row>
    <row r="4800" spans="1:59" ht="58" x14ac:dyDescent="0.35">
      <c r="A4800" s="2" t="s">
        <v>89</v>
      </c>
      <c r="B4800" s="2" t="s">
        <v>90</v>
      </c>
      <c r="C4800" s="2" t="s">
        <v>46402</v>
      </c>
      <c r="D4800" s="2" t="s">
        <v>46403</v>
      </c>
      <c r="E4800" s="2" t="s">
        <v>46404</v>
      </c>
      <c r="G4800" s="3" t="s">
        <v>62</v>
      </c>
      <c r="I4800" s="3" t="s">
        <v>61</v>
      </c>
      <c r="J4800" s="3" t="s">
        <v>62</v>
      </c>
      <c r="K4800" s="3" t="s">
        <v>63</v>
      </c>
      <c r="L4800" s="2" t="s">
        <v>46405</v>
      </c>
      <c r="M4800" s="2" t="s">
        <v>46406</v>
      </c>
      <c r="N4800" s="3" t="s">
        <v>539</v>
      </c>
      <c r="P4800" s="3" t="s">
        <v>64</v>
      </c>
      <c r="R4800" s="3" t="s">
        <v>46170</v>
      </c>
      <c r="S4800" s="4">
        <v>15</v>
      </c>
      <c r="T4800" s="4">
        <v>63</v>
      </c>
      <c r="U4800" s="5" t="s">
        <v>22841</v>
      </c>
      <c r="V4800" s="5" t="s">
        <v>2925</v>
      </c>
      <c r="W4800" s="5" t="s">
        <v>67</v>
      </c>
      <c r="X4800" s="5" t="s">
        <v>67</v>
      </c>
      <c r="Y4800" s="4">
        <v>120</v>
      </c>
      <c r="Z4800" s="4">
        <v>13</v>
      </c>
      <c r="AA4800" s="4">
        <v>22</v>
      </c>
      <c r="AB4800" s="4">
        <v>2</v>
      </c>
      <c r="AC4800" s="4">
        <v>5</v>
      </c>
      <c r="AD4800" s="4">
        <v>13</v>
      </c>
      <c r="AE4800" s="4">
        <v>22</v>
      </c>
      <c r="AF4800" s="4">
        <v>1</v>
      </c>
      <c r="AG4800" s="4">
        <v>2</v>
      </c>
      <c r="AH4800" s="4">
        <v>6</v>
      </c>
      <c r="AI4800" s="4">
        <v>13</v>
      </c>
      <c r="AJ4800" s="4">
        <v>3</v>
      </c>
      <c r="AK4800" s="4">
        <v>5</v>
      </c>
      <c r="AL4800" s="4">
        <v>5</v>
      </c>
      <c r="AM4800" s="4">
        <v>9</v>
      </c>
      <c r="AN4800" s="4">
        <v>0</v>
      </c>
      <c r="AO4800" s="4">
        <v>0</v>
      </c>
      <c r="AP4800" s="4">
        <v>8</v>
      </c>
      <c r="AQ4800" s="4">
        <v>11</v>
      </c>
      <c r="AR4800" s="3" t="s">
        <v>62</v>
      </c>
      <c r="AS4800" s="3" t="s">
        <v>62</v>
      </c>
      <c r="AT4800" s="3" t="s">
        <v>61</v>
      </c>
      <c r="AU4800" s="6" t="str">
        <f>HYPERLINK("http://catalog.hathitrust.org/Record/003300266","HathiTrust Record")</f>
        <v>HathiTrust Record</v>
      </c>
      <c r="AV4800" s="6" t="str">
        <f>HYPERLINK("http://mcgill.on.worldcat.org/oclc/38598121","Catalog Record")</f>
        <v>Catalog Record</v>
      </c>
      <c r="AW4800" s="6" t="str">
        <f>HYPERLINK("http://www.worldcat.org/oclc/38598121","WorldCat Record")</f>
        <v>WorldCat Record</v>
      </c>
      <c r="AX4800" s="3" t="s">
        <v>46407</v>
      </c>
      <c r="AY4800" s="3" t="s">
        <v>46408</v>
      </c>
      <c r="AZ4800" s="3" t="s">
        <v>46409</v>
      </c>
      <c r="BA4800" s="3" t="s">
        <v>46409</v>
      </c>
      <c r="BB4800" s="3" t="s">
        <v>46416</v>
      </c>
      <c r="BC4800" s="3" t="s">
        <v>102</v>
      </c>
      <c r="BD4800" s="3" t="s">
        <v>68</v>
      </c>
      <c r="BE4800" s="3" t="s">
        <v>46411</v>
      </c>
      <c r="BF4800" s="3" t="s">
        <v>46416</v>
      </c>
      <c r="BG4800" s="3" t="s">
        <v>46417</v>
      </c>
    </row>
    <row r="4801" spans="1:59" ht="58" x14ac:dyDescent="0.35">
      <c r="A4801" s="2" t="s">
        <v>89</v>
      </c>
      <c r="B4801" s="2" t="s">
        <v>90</v>
      </c>
      <c r="C4801" s="2" t="s">
        <v>46402</v>
      </c>
      <c r="D4801" s="2" t="s">
        <v>46403</v>
      </c>
      <c r="E4801" s="2" t="s">
        <v>46404</v>
      </c>
      <c r="G4801" s="3" t="s">
        <v>62</v>
      </c>
      <c r="I4801" s="3" t="s">
        <v>61</v>
      </c>
      <c r="J4801" s="3" t="s">
        <v>62</v>
      </c>
      <c r="K4801" s="3" t="s">
        <v>63</v>
      </c>
      <c r="L4801" s="2" t="s">
        <v>46405</v>
      </c>
      <c r="M4801" s="2" t="s">
        <v>46406</v>
      </c>
      <c r="N4801" s="3" t="s">
        <v>539</v>
      </c>
      <c r="P4801" s="3" t="s">
        <v>64</v>
      </c>
      <c r="R4801" s="3" t="s">
        <v>46170</v>
      </c>
      <c r="S4801" s="4">
        <v>27</v>
      </c>
      <c r="T4801" s="4">
        <v>63</v>
      </c>
      <c r="U4801" s="5" t="s">
        <v>2925</v>
      </c>
      <c r="V4801" s="5" t="s">
        <v>2925</v>
      </c>
      <c r="W4801" s="5" t="s">
        <v>67</v>
      </c>
      <c r="X4801" s="5" t="s">
        <v>67</v>
      </c>
      <c r="Y4801" s="4">
        <v>120</v>
      </c>
      <c r="Z4801" s="4">
        <v>13</v>
      </c>
      <c r="AA4801" s="4">
        <v>22</v>
      </c>
      <c r="AB4801" s="4">
        <v>2</v>
      </c>
      <c r="AC4801" s="4">
        <v>5</v>
      </c>
      <c r="AD4801" s="4">
        <v>13</v>
      </c>
      <c r="AE4801" s="4">
        <v>22</v>
      </c>
      <c r="AF4801" s="4">
        <v>1</v>
      </c>
      <c r="AG4801" s="4">
        <v>2</v>
      </c>
      <c r="AH4801" s="4">
        <v>6</v>
      </c>
      <c r="AI4801" s="4">
        <v>13</v>
      </c>
      <c r="AJ4801" s="4">
        <v>3</v>
      </c>
      <c r="AK4801" s="4">
        <v>5</v>
      </c>
      <c r="AL4801" s="4">
        <v>5</v>
      </c>
      <c r="AM4801" s="4">
        <v>9</v>
      </c>
      <c r="AN4801" s="4">
        <v>0</v>
      </c>
      <c r="AO4801" s="4">
        <v>0</v>
      </c>
      <c r="AP4801" s="4">
        <v>8</v>
      </c>
      <c r="AQ4801" s="4">
        <v>11</v>
      </c>
      <c r="AR4801" s="3" t="s">
        <v>62</v>
      </c>
      <c r="AS4801" s="3" t="s">
        <v>62</v>
      </c>
      <c r="AT4801" s="3" t="s">
        <v>61</v>
      </c>
      <c r="AU4801" s="6" t="str">
        <f>HYPERLINK("http://catalog.hathitrust.org/Record/003300266","HathiTrust Record")</f>
        <v>HathiTrust Record</v>
      </c>
      <c r="AV4801" s="6" t="str">
        <f>HYPERLINK("http://mcgill.on.worldcat.org/oclc/38598121","Catalog Record")</f>
        <v>Catalog Record</v>
      </c>
      <c r="AW4801" s="6" t="str">
        <f>HYPERLINK("http://www.worldcat.org/oclc/38598121","WorldCat Record")</f>
        <v>WorldCat Record</v>
      </c>
      <c r="AX4801" s="3" t="s">
        <v>46407</v>
      </c>
      <c r="AY4801" s="3" t="s">
        <v>46408</v>
      </c>
      <c r="AZ4801" s="3" t="s">
        <v>46409</v>
      </c>
      <c r="BA4801" s="3" t="s">
        <v>46409</v>
      </c>
      <c r="BB4801" s="3" t="s">
        <v>46418</v>
      </c>
      <c r="BC4801" s="3" t="s">
        <v>102</v>
      </c>
      <c r="BD4801" s="3" t="s">
        <v>68</v>
      </c>
      <c r="BE4801" s="3" t="s">
        <v>46411</v>
      </c>
      <c r="BF4801" s="3" t="s">
        <v>46418</v>
      </c>
      <c r="BG4801" s="3" t="s">
        <v>46419</v>
      </c>
    </row>
    <row r="4802" spans="1:59" ht="58" x14ac:dyDescent="0.35">
      <c r="A4802" s="2" t="s">
        <v>89</v>
      </c>
      <c r="B4802" s="2" t="s">
        <v>90</v>
      </c>
      <c r="C4802" s="2" t="s">
        <v>46420</v>
      </c>
      <c r="D4802" s="2" t="s">
        <v>46421</v>
      </c>
      <c r="E4802" s="2" t="s">
        <v>46422</v>
      </c>
      <c r="G4802" s="3" t="s">
        <v>62</v>
      </c>
      <c r="I4802" s="3" t="s">
        <v>61</v>
      </c>
      <c r="J4802" s="3" t="s">
        <v>61</v>
      </c>
      <c r="K4802" s="3" t="s">
        <v>916</v>
      </c>
      <c r="L4802" s="2" t="s">
        <v>46367</v>
      </c>
      <c r="M4802" s="2" t="s">
        <v>46423</v>
      </c>
      <c r="N4802" s="3" t="s">
        <v>327</v>
      </c>
      <c r="O4802" s="2" t="s">
        <v>17018</v>
      </c>
      <c r="P4802" s="3" t="s">
        <v>64</v>
      </c>
      <c r="R4802" s="3" t="s">
        <v>46170</v>
      </c>
      <c r="S4802" s="4">
        <v>28</v>
      </c>
      <c r="T4802" s="4">
        <v>86</v>
      </c>
      <c r="U4802" s="5" t="s">
        <v>1579</v>
      </c>
      <c r="V4802" s="5" t="s">
        <v>7285</v>
      </c>
      <c r="W4802" s="5" t="s">
        <v>67</v>
      </c>
      <c r="X4802" s="5" t="s">
        <v>67</v>
      </c>
      <c r="Y4802" s="4">
        <v>276</v>
      </c>
      <c r="Z4802" s="4">
        <v>14</v>
      </c>
      <c r="AA4802" s="4">
        <v>50</v>
      </c>
      <c r="AB4802" s="4">
        <v>3</v>
      </c>
      <c r="AC4802" s="4">
        <v>10</v>
      </c>
      <c r="AD4802" s="4">
        <v>84</v>
      </c>
      <c r="AE4802" s="4">
        <v>146</v>
      </c>
      <c r="AF4802" s="4">
        <v>1</v>
      </c>
      <c r="AG4802" s="4">
        <v>5</v>
      </c>
      <c r="AH4802" s="4">
        <v>78</v>
      </c>
      <c r="AI4802" s="4">
        <v>113</v>
      </c>
      <c r="AJ4802" s="4">
        <v>11</v>
      </c>
      <c r="AK4802" s="4">
        <v>26</v>
      </c>
      <c r="AL4802" s="4">
        <v>47</v>
      </c>
      <c r="AM4802" s="4">
        <v>59</v>
      </c>
      <c r="AN4802" s="4">
        <v>0</v>
      </c>
      <c r="AO4802" s="4">
        <v>0</v>
      </c>
      <c r="AP4802" s="4">
        <v>11</v>
      </c>
      <c r="AQ4802" s="4">
        <v>40</v>
      </c>
      <c r="AR4802" s="3" t="s">
        <v>62</v>
      </c>
      <c r="AS4802" s="3" t="s">
        <v>62</v>
      </c>
      <c r="AT4802" s="3" t="s">
        <v>61</v>
      </c>
      <c r="AU4802" s="6" t="str">
        <f>HYPERLINK("http://catalog.hathitrust.org/Record/000277506","HathiTrust Record")</f>
        <v>HathiTrust Record</v>
      </c>
      <c r="AV4802" s="6" t="str">
        <f>HYPERLINK("http://mcgill.on.worldcat.org/oclc/8346573","Catalog Record")</f>
        <v>Catalog Record</v>
      </c>
      <c r="AW4802" s="6" t="str">
        <f>HYPERLINK("http://www.worldcat.org/oclc/8346573","WorldCat Record")</f>
        <v>WorldCat Record</v>
      </c>
      <c r="AX4802" s="3" t="s">
        <v>46369</v>
      </c>
      <c r="AY4802" s="3" t="s">
        <v>46424</v>
      </c>
      <c r="AZ4802" s="3" t="s">
        <v>46425</v>
      </c>
      <c r="BA4802" s="3" t="s">
        <v>46425</v>
      </c>
      <c r="BB4802" s="3" t="s">
        <v>46426</v>
      </c>
      <c r="BC4802" s="3" t="s">
        <v>102</v>
      </c>
      <c r="BD4802" s="3" t="s">
        <v>68</v>
      </c>
      <c r="BE4802" s="3" t="s">
        <v>46427</v>
      </c>
      <c r="BF4802" s="3" t="s">
        <v>46426</v>
      </c>
      <c r="BG4802" s="3" t="s">
        <v>46428</v>
      </c>
    </row>
    <row r="4803" spans="1:59" ht="58" x14ac:dyDescent="0.35">
      <c r="A4803" s="2" t="s">
        <v>89</v>
      </c>
      <c r="B4803" s="2" t="s">
        <v>90</v>
      </c>
      <c r="C4803" s="2" t="s">
        <v>46420</v>
      </c>
      <c r="D4803" s="2" t="s">
        <v>46421</v>
      </c>
      <c r="E4803" s="2" t="s">
        <v>46422</v>
      </c>
      <c r="G4803" s="3" t="s">
        <v>62</v>
      </c>
      <c r="I4803" s="3" t="s">
        <v>61</v>
      </c>
      <c r="J4803" s="3" t="s">
        <v>61</v>
      </c>
      <c r="K4803" s="3" t="s">
        <v>916</v>
      </c>
      <c r="L4803" s="2" t="s">
        <v>46367</v>
      </c>
      <c r="M4803" s="2" t="s">
        <v>46423</v>
      </c>
      <c r="N4803" s="3" t="s">
        <v>327</v>
      </c>
      <c r="O4803" s="2" t="s">
        <v>17018</v>
      </c>
      <c r="P4803" s="3" t="s">
        <v>64</v>
      </c>
      <c r="R4803" s="3" t="s">
        <v>46170</v>
      </c>
      <c r="S4803" s="4">
        <v>14</v>
      </c>
      <c r="T4803" s="4">
        <v>86</v>
      </c>
      <c r="U4803" s="5" t="s">
        <v>15838</v>
      </c>
      <c r="V4803" s="5" t="s">
        <v>7285</v>
      </c>
      <c r="W4803" s="5" t="s">
        <v>67</v>
      </c>
      <c r="X4803" s="5" t="s">
        <v>67</v>
      </c>
      <c r="Y4803" s="4">
        <v>276</v>
      </c>
      <c r="Z4803" s="4">
        <v>14</v>
      </c>
      <c r="AA4803" s="4">
        <v>50</v>
      </c>
      <c r="AB4803" s="4">
        <v>3</v>
      </c>
      <c r="AC4803" s="4">
        <v>10</v>
      </c>
      <c r="AD4803" s="4">
        <v>84</v>
      </c>
      <c r="AE4803" s="4">
        <v>146</v>
      </c>
      <c r="AF4803" s="4">
        <v>1</v>
      </c>
      <c r="AG4803" s="4">
        <v>5</v>
      </c>
      <c r="AH4803" s="4">
        <v>78</v>
      </c>
      <c r="AI4803" s="4">
        <v>113</v>
      </c>
      <c r="AJ4803" s="4">
        <v>11</v>
      </c>
      <c r="AK4803" s="4">
        <v>26</v>
      </c>
      <c r="AL4803" s="4">
        <v>47</v>
      </c>
      <c r="AM4803" s="4">
        <v>59</v>
      </c>
      <c r="AN4803" s="4">
        <v>0</v>
      </c>
      <c r="AO4803" s="4">
        <v>0</v>
      </c>
      <c r="AP4803" s="4">
        <v>11</v>
      </c>
      <c r="AQ4803" s="4">
        <v>40</v>
      </c>
      <c r="AR4803" s="3" t="s">
        <v>62</v>
      </c>
      <c r="AS4803" s="3" t="s">
        <v>62</v>
      </c>
      <c r="AT4803" s="3" t="s">
        <v>61</v>
      </c>
      <c r="AU4803" s="6" t="str">
        <f>HYPERLINK("http://catalog.hathitrust.org/Record/000277506","HathiTrust Record")</f>
        <v>HathiTrust Record</v>
      </c>
      <c r="AV4803" s="6" t="str">
        <f>HYPERLINK("http://mcgill.on.worldcat.org/oclc/8346573","Catalog Record")</f>
        <v>Catalog Record</v>
      </c>
      <c r="AW4803" s="6" t="str">
        <f>HYPERLINK("http://www.worldcat.org/oclc/8346573","WorldCat Record")</f>
        <v>WorldCat Record</v>
      </c>
      <c r="AX4803" s="3" t="s">
        <v>46369</v>
      </c>
      <c r="AY4803" s="3" t="s">
        <v>46424</v>
      </c>
      <c r="AZ4803" s="3" t="s">
        <v>46425</v>
      </c>
      <c r="BA4803" s="3" t="s">
        <v>46425</v>
      </c>
      <c r="BB4803" s="3" t="s">
        <v>46429</v>
      </c>
      <c r="BC4803" s="3" t="s">
        <v>102</v>
      </c>
      <c r="BD4803" s="3" t="s">
        <v>68</v>
      </c>
      <c r="BE4803" s="3" t="s">
        <v>46427</v>
      </c>
      <c r="BF4803" s="3" t="s">
        <v>46429</v>
      </c>
      <c r="BG4803" s="3" t="s">
        <v>46430</v>
      </c>
    </row>
    <row r="4804" spans="1:59" ht="58" x14ac:dyDescent="0.35">
      <c r="A4804" s="2" t="s">
        <v>89</v>
      </c>
      <c r="B4804" s="2" t="s">
        <v>90</v>
      </c>
      <c r="C4804" s="2" t="s">
        <v>46420</v>
      </c>
      <c r="D4804" s="2" t="s">
        <v>46421</v>
      </c>
      <c r="E4804" s="2" t="s">
        <v>46422</v>
      </c>
      <c r="G4804" s="3" t="s">
        <v>62</v>
      </c>
      <c r="I4804" s="3" t="s">
        <v>61</v>
      </c>
      <c r="J4804" s="3" t="s">
        <v>61</v>
      </c>
      <c r="K4804" s="3" t="s">
        <v>916</v>
      </c>
      <c r="L4804" s="2" t="s">
        <v>46367</v>
      </c>
      <c r="M4804" s="2" t="s">
        <v>46423</v>
      </c>
      <c r="N4804" s="3" t="s">
        <v>327</v>
      </c>
      <c r="O4804" s="2" t="s">
        <v>17018</v>
      </c>
      <c r="P4804" s="3" t="s">
        <v>64</v>
      </c>
      <c r="R4804" s="3" t="s">
        <v>46170</v>
      </c>
      <c r="S4804" s="4">
        <v>27</v>
      </c>
      <c r="T4804" s="4">
        <v>86</v>
      </c>
      <c r="U4804" s="5" t="s">
        <v>7285</v>
      </c>
      <c r="V4804" s="5" t="s">
        <v>7285</v>
      </c>
      <c r="W4804" s="5" t="s">
        <v>67</v>
      </c>
      <c r="X4804" s="5" t="s">
        <v>67</v>
      </c>
      <c r="Y4804" s="4">
        <v>276</v>
      </c>
      <c r="Z4804" s="4">
        <v>14</v>
      </c>
      <c r="AA4804" s="4">
        <v>50</v>
      </c>
      <c r="AB4804" s="4">
        <v>3</v>
      </c>
      <c r="AC4804" s="4">
        <v>10</v>
      </c>
      <c r="AD4804" s="4">
        <v>84</v>
      </c>
      <c r="AE4804" s="4">
        <v>146</v>
      </c>
      <c r="AF4804" s="4">
        <v>1</v>
      </c>
      <c r="AG4804" s="4">
        <v>5</v>
      </c>
      <c r="AH4804" s="4">
        <v>78</v>
      </c>
      <c r="AI4804" s="4">
        <v>113</v>
      </c>
      <c r="AJ4804" s="4">
        <v>11</v>
      </c>
      <c r="AK4804" s="4">
        <v>26</v>
      </c>
      <c r="AL4804" s="4">
        <v>47</v>
      </c>
      <c r="AM4804" s="4">
        <v>59</v>
      </c>
      <c r="AN4804" s="4">
        <v>0</v>
      </c>
      <c r="AO4804" s="4">
        <v>0</v>
      </c>
      <c r="AP4804" s="4">
        <v>11</v>
      </c>
      <c r="AQ4804" s="4">
        <v>40</v>
      </c>
      <c r="AR4804" s="3" t="s">
        <v>62</v>
      </c>
      <c r="AS4804" s="3" t="s">
        <v>62</v>
      </c>
      <c r="AT4804" s="3" t="s">
        <v>61</v>
      </c>
      <c r="AU4804" s="6" t="str">
        <f>HYPERLINK("http://catalog.hathitrust.org/Record/000277506","HathiTrust Record")</f>
        <v>HathiTrust Record</v>
      </c>
      <c r="AV4804" s="6" t="str">
        <f>HYPERLINK("http://mcgill.on.worldcat.org/oclc/8346573","Catalog Record")</f>
        <v>Catalog Record</v>
      </c>
      <c r="AW4804" s="6" t="str">
        <f>HYPERLINK("http://www.worldcat.org/oclc/8346573","WorldCat Record")</f>
        <v>WorldCat Record</v>
      </c>
      <c r="AX4804" s="3" t="s">
        <v>46369</v>
      </c>
      <c r="AY4804" s="3" t="s">
        <v>46424</v>
      </c>
      <c r="AZ4804" s="3" t="s">
        <v>46425</v>
      </c>
      <c r="BA4804" s="3" t="s">
        <v>46425</v>
      </c>
      <c r="BB4804" s="3" t="s">
        <v>46431</v>
      </c>
      <c r="BC4804" s="3" t="s">
        <v>102</v>
      </c>
      <c r="BD4804" s="3" t="s">
        <v>68</v>
      </c>
      <c r="BE4804" s="3" t="s">
        <v>46427</v>
      </c>
      <c r="BF4804" s="3" t="s">
        <v>46431</v>
      </c>
      <c r="BG4804" s="3" t="s">
        <v>46432</v>
      </c>
    </row>
    <row r="4805" spans="1:59" ht="58" x14ac:dyDescent="0.35">
      <c r="A4805" s="2" t="s">
        <v>59</v>
      </c>
      <c r="B4805" s="2" t="s">
        <v>60</v>
      </c>
      <c r="C4805" s="2" t="s">
        <v>46433</v>
      </c>
      <c r="D4805" s="2" t="s">
        <v>46434</v>
      </c>
      <c r="E4805" s="2" t="s">
        <v>46435</v>
      </c>
      <c r="G4805" s="3" t="s">
        <v>62</v>
      </c>
      <c r="I4805" s="3" t="s">
        <v>61</v>
      </c>
      <c r="J4805" s="3" t="s">
        <v>62</v>
      </c>
      <c r="K4805" s="3" t="s">
        <v>63</v>
      </c>
      <c r="L4805" s="2" t="s">
        <v>46436</v>
      </c>
      <c r="M4805" s="2" t="s">
        <v>46437</v>
      </c>
      <c r="N4805" s="3" t="s">
        <v>7622</v>
      </c>
      <c r="P4805" s="3" t="s">
        <v>64</v>
      </c>
      <c r="R4805" s="3" t="s">
        <v>46170</v>
      </c>
      <c r="S4805" s="4">
        <v>0</v>
      </c>
      <c r="T4805" s="4">
        <v>1</v>
      </c>
      <c r="V4805" s="5" t="s">
        <v>26091</v>
      </c>
      <c r="W4805" s="5" t="s">
        <v>67</v>
      </c>
      <c r="X4805" s="5" t="s">
        <v>67</v>
      </c>
      <c r="Y4805" s="4">
        <v>150</v>
      </c>
      <c r="Z4805" s="4">
        <v>4</v>
      </c>
      <c r="AA4805" s="4">
        <v>5</v>
      </c>
      <c r="AB4805" s="4">
        <v>1</v>
      </c>
      <c r="AC4805" s="4">
        <v>1</v>
      </c>
      <c r="AD4805" s="4">
        <v>56</v>
      </c>
      <c r="AE4805" s="4">
        <v>58</v>
      </c>
      <c r="AF4805" s="4">
        <v>0</v>
      </c>
      <c r="AG4805" s="4">
        <v>0</v>
      </c>
      <c r="AH4805" s="4">
        <v>51</v>
      </c>
      <c r="AI4805" s="4">
        <v>52</v>
      </c>
      <c r="AJ4805" s="4">
        <v>2</v>
      </c>
      <c r="AK4805" s="4">
        <v>3</v>
      </c>
      <c r="AL4805" s="4">
        <v>34</v>
      </c>
      <c r="AM4805" s="4">
        <v>34</v>
      </c>
      <c r="AN4805" s="4">
        <v>0</v>
      </c>
      <c r="AO4805" s="4">
        <v>0</v>
      </c>
      <c r="AP4805" s="4">
        <v>3</v>
      </c>
      <c r="AQ4805" s="4">
        <v>4</v>
      </c>
      <c r="AR4805" s="3" t="s">
        <v>62</v>
      </c>
      <c r="AS4805" s="3" t="s">
        <v>61</v>
      </c>
      <c r="AT4805" s="3" t="s">
        <v>62</v>
      </c>
      <c r="AU4805" s="6" t="str">
        <f>HYPERLINK("http://catalog.hathitrust.org/Record/001580760","HathiTrust Record")</f>
        <v>HathiTrust Record</v>
      </c>
      <c r="AV4805" s="6" t="str">
        <f>HYPERLINK("http://mcgill.on.worldcat.org/oclc/3724516","Catalog Record")</f>
        <v>Catalog Record</v>
      </c>
      <c r="AW4805" s="6" t="str">
        <f>HYPERLINK("http://www.worldcat.org/oclc/3724516","WorldCat Record")</f>
        <v>WorldCat Record</v>
      </c>
      <c r="AX4805" s="3" t="s">
        <v>46438</v>
      </c>
      <c r="AY4805" s="3" t="s">
        <v>46439</v>
      </c>
      <c r="AZ4805" s="3" t="s">
        <v>46440</v>
      </c>
      <c r="BA4805" s="3" t="s">
        <v>46440</v>
      </c>
      <c r="BB4805" s="3" t="s">
        <v>46441</v>
      </c>
      <c r="BC4805" s="3" t="s">
        <v>102</v>
      </c>
      <c r="BD4805" s="3" t="s">
        <v>68</v>
      </c>
      <c r="BF4805" s="3" t="s">
        <v>46441</v>
      </c>
      <c r="BG4805" s="3" t="s">
        <v>46442</v>
      </c>
    </row>
    <row r="4806" spans="1:59" ht="58" x14ac:dyDescent="0.35">
      <c r="A4806" s="2" t="s">
        <v>89</v>
      </c>
      <c r="B4806" s="2" t="s">
        <v>90</v>
      </c>
      <c r="C4806" s="2" t="s">
        <v>46443</v>
      </c>
      <c r="D4806" s="2" t="s">
        <v>46444</v>
      </c>
      <c r="E4806" s="2" t="s">
        <v>46445</v>
      </c>
      <c r="G4806" s="3" t="s">
        <v>62</v>
      </c>
      <c r="I4806" s="3" t="s">
        <v>62</v>
      </c>
      <c r="J4806" s="3" t="s">
        <v>62</v>
      </c>
      <c r="K4806" s="3" t="s">
        <v>63</v>
      </c>
      <c r="M4806" s="2" t="s">
        <v>46446</v>
      </c>
      <c r="N4806" s="3" t="s">
        <v>880</v>
      </c>
      <c r="P4806" s="3" t="s">
        <v>64</v>
      </c>
      <c r="Q4806" s="2" t="s">
        <v>46447</v>
      </c>
      <c r="R4806" s="3" t="s">
        <v>46170</v>
      </c>
      <c r="S4806" s="4">
        <v>1</v>
      </c>
      <c r="T4806" s="4">
        <v>1</v>
      </c>
      <c r="U4806" s="5" t="s">
        <v>46448</v>
      </c>
      <c r="V4806" s="5" t="s">
        <v>46448</v>
      </c>
      <c r="W4806" s="5" t="s">
        <v>67</v>
      </c>
      <c r="X4806" s="5" t="s">
        <v>67</v>
      </c>
      <c r="Y4806" s="4">
        <v>64</v>
      </c>
      <c r="Z4806" s="4">
        <v>6</v>
      </c>
      <c r="AA4806" s="4">
        <v>6</v>
      </c>
      <c r="AB4806" s="4">
        <v>1</v>
      </c>
      <c r="AC4806" s="4">
        <v>1</v>
      </c>
      <c r="AD4806" s="4">
        <v>36</v>
      </c>
      <c r="AE4806" s="4">
        <v>36</v>
      </c>
      <c r="AF4806" s="4">
        <v>0</v>
      </c>
      <c r="AG4806" s="4">
        <v>0</v>
      </c>
      <c r="AH4806" s="4">
        <v>33</v>
      </c>
      <c r="AI4806" s="4">
        <v>33</v>
      </c>
      <c r="AJ4806" s="4">
        <v>4</v>
      </c>
      <c r="AK4806" s="4">
        <v>4</v>
      </c>
      <c r="AL4806" s="4">
        <v>21</v>
      </c>
      <c r="AM4806" s="4">
        <v>21</v>
      </c>
      <c r="AN4806" s="4">
        <v>0</v>
      </c>
      <c r="AO4806" s="4">
        <v>0</v>
      </c>
      <c r="AP4806" s="4">
        <v>5</v>
      </c>
      <c r="AQ4806" s="4">
        <v>5</v>
      </c>
      <c r="AR4806" s="3" t="s">
        <v>62</v>
      </c>
      <c r="AS4806" s="3" t="s">
        <v>62</v>
      </c>
      <c r="AT4806" s="3" t="s">
        <v>62</v>
      </c>
      <c r="AV4806" s="6" t="str">
        <f>HYPERLINK("http://mcgill.on.worldcat.org/oclc/704382820","Catalog Record")</f>
        <v>Catalog Record</v>
      </c>
      <c r="AW4806" s="6" t="str">
        <f>HYPERLINK("http://www.worldcat.org/oclc/704382820","WorldCat Record")</f>
        <v>WorldCat Record</v>
      </c>
      <c r="AX4806" s="3" t="s">
        <v>46449</v>
      </c>
      <c r="AY4806" s="3" t="s">
        <v>46450</v>
      </c>
      <c r="AZ4806" s="3" t="s">
        <v>46451</v>
      </c>
      <c r="BA4806" s="3" t="s">
        <v>46451</v>
      </c>
      <c r="BB4806" s="3" t="s">
        <v>46452</v>
      </c>
      <c r="BC4806" s="3" t="s">
        <v>102</v>
      </c>
      <c r="BD4806" s="3" t="s">
        <v>68</v>
      </c>
      <c r="BE4806" s="3" t="s">
        <v>46453</v>
      </c>
      <c r="BF4806" s="3" t="s">
        <v>46452</v>
      </c>
      <c r="BG4806" s="3" t="s">
        <v>46454</v>
      </c>
    </row>
    <row r="4807" spans="1:59" ht="58" x14ac:dyDescent="0.35">
      <c r="A4807" s="2" t="s">
        <v>89</v>
      </c>
      <c r="B4807" s="2" t="s">
        <v>90</v>
      </c>
      <c r="C4807" s="2" t="s">
        <v>46455</v>
      </c>
      <c r="D4807" s="2" t="s">
        <v>46456</v>
      </c>
      <c r="E4807" s="2" t="s">
        <v>46457</v>
      </c>
      <c r="G4807" s="3" t="s">
        <v>62</v>
      </c>
      <c r="I4807" s="3" t="s">
        <v>61</v>
      </c>
      <c r="J4807" s="3" t="s">
        <v>62</v>
      </c>
      <c r="K4807" s="3" t="s">
        <v>63</v>
      </c>
      <c r="L4807" s="2" t="s">
        <v>46458</v>
      </c>
      <c r="M4807" s="2" t="s">
        <v>46459</v>
      </c>
      <c r="N4807" s="3" t="s">
        <v>880</v>
      </c>
      <c r="P4807" s="3" t="s">
        <v>64</v>
      </c>
      <c r="R4807" s="3" t="s">
        <v>46170</v>
      </c>
      <c r="S4807" s="4">
        <v>6</v>
      </c>
      <c r="T4807" s="4">
        <v>6</v>
      </c>
      <c r="U4807" s="5" t="s">
        <v>17936</v>
      </c>
      <c r="V4807" s="5" t="s">
        <v>17936</v>
      </c>
      <c r="W4807" s="5" t="s">
        <v>67</v>
      </c>
      <c r="X4807" s="5" t="s">
        <v>67</v>
      </c>
      <c r="Y4807" s="4">
        <v>465</v>
      </c>
      <c r="Z4807" s="4">
        <v>24</v>
      </c>
      <c r="AA4807" s="4">
        <v>26</v>
      </c>
      <c r="AB4807" s="4">
        <v>3</v>
      </c>
      <c r="AC4807" s="4">
        <v>4</v>
      </c>
      <c r="AD4807" s="4">
        <v>79</v>
      </c>
      <c r="AE4807" s="4">
        <v>80</v>
      </c>
      <c r="AF4807" s="4">
        <v>1</v>
      </c>
      <c r="AG4807" s="4">
        <v>2</v>
      </c>
      <c r="AH4807" s="4">
        <v>67</v>
      </c>
      <c r="AI4807" s="4">
        <v>67</v>
      </c>
      <c r="AJ4807" s="4">
        <v>14</v>
      </c>
      <c r="AK4807" s="4">
        <v>15</v>
      </c>
      <c r="AL4807" s="4">
        <v>42</v>
      </c>
      <c r="AM4807" s="4">
        <v>42</v>
      </c>
      <c r="AN4807" s="4">
        <v>0</v>
      </c>
      <c r="AO4807" s="4">
        <v>0</v>
      </c>
      <c r="AP4807" s="4">
        <v>16</v>
      </c>
      <c r="AQ4807" s="4">
        <v>16</v>
      </c>
      <c r="AR4807" s="3" t="s">
        <v>62</v>
      </c>
      <c r="AS4807" s="3" t="s">
        <v>62</v>
      </c>
      <c r="AT4807" s="3" t="s">
        <v>62</v>
      </c>
      <c r="AV4807" s="6" t="str">
        <f>HYPERLINK("http://mcgill.on.worldcat.org/oclc/505419613","Catalog Record")</f>
        <v>Catalog Record</v>
      </c>
      <c r="AW4807" s="6" t="str">
        <f>HYPERLINK("http://www.worldcat.org/oclc/505419613","WorldCat Record")</f>
        <v>WorldCat Record</v>
      </c>
      <c r="AX4807" s="3" t="s">
        <v>46460</v>
      </c>
      <c r="AY4807" s="3" t="s">
        <v>46461</v>
      </c>
      <c r="AZ4807" s="3" t="s">
        <v>46462</v>
      </c>
      <c r="BA4807" s="3" t="s">
        <v>46462</v>
      </c>
      <c r="BB4807" s="3" t="s">
        <v>46463</v>
      </c>
      <c r="BC4807" s="3" t="s">
        <v>102</v>
      </c>
      <c r="BD4807" s="3" t="s">
        <v>68</v>
      </c>
      <c r="BE4807" s="3" t="s">
        <v>46464</v>
      </c>
      <c r="BF4807" s="3" t="s">
        <v>46463</v>
      </c>
      <c r="BG4807" s="3" t="s">
        <v>46465</v>
      </c>
    </row>
    <row r="4808" spans="1:59" ht="58" x14ac:dyDescent="0.35">
      <c r="A4808" s="2" t="s">
        <v>89</v>
      </c>
      <c r="B4808" s="2" t="s">
        <v>90</v>
      </c>
      <c r="C4808" s="2" t="s">
        <v>46466</v>
      </c>
      <c r="D4808" s="2" t="s">
        <v>46467</v>
      </c>
      <c r="E4808" s="2" t="s">
        <v>46468</v>
      </c>
      <c r="G4808" s="3" t="s">
        <v>62</v>
      </c>
      <c r="I4808" s="3" t="s">
        <v>62</v>
      </c>
      <c r="J4808" s="3" t="s">
        <v>62</v>
      </c>
      <c r="K4808" s="3" t="s">
        <v>63</v>
      </c>
      <c r="L4808" s="2" t="s">
        <v>46469</v>
      </c>
      <c r="M4808" s="2" t="s">
        <v>46470</v>
      </c>
      <c r="N4808" s="3" t="s">
        <v>712</v>
      </c>
      <c r="P4808" s="3" t="s">
        <v>85</v>
      </c>
      <c r="Q4808" s="2" t="s">
        <v>46471</v>
      </c>
      <c r="R4808" s="3" t="s">
        <v>46170</v>
      </c>
      <c r="S4808" s="4">
        <v>1</v>
      </c>
      <c r="T4808" s="4">
        <v>1</v>
      </c>
      <c r="U4808" s="5" t="s">
        <v>33409</v>
      </c>
      <c r="V4808" s="5" t="s">
        <v>33409</v>
      </c>
      <c r="W4808" s="5" t="s">
        <v>67</v>
      </c>
      <c r="X4808" s="5" t="s">
        <v>67</v>
      </c>
      <c r="Y4808" s="4">
        <v>8</v>
      </c>
      <c r="Z4808" s="4">
        <v>1</v>
      </c>
      <c r="AA4808" s="4">
        <v>2</v>
      </c>
      <c r="AB4808" s="4">
        <v>1</v>
      </c>
      <c r="AC4808" s="4">
        <v>2</v>
      </c>
      <c r="AD4808" s="4">
        <v>3</v>
      </c>
      <c r="AE4808" s="4">
        <v>3</v>
      </c>
      <c r="AF4808" s="4">
        <v>0</v>
      </c>
      <c r="AG4808" s="4">
        <v>0</v>
      </c>
      <c r="AH4808" s="4">
        <v>2</v>
      </c>
      <c r="AI4808" s="4">
        <v>2</v>
      </c>
      <c r="AJ4808" s="4">
        <v>0</v>
      </c>
      <c r="AK4808" s="4">
        <v>0</v>
      </c>
      <c r="AL4808" s="4">
        <v>2</v>
      </c>
      <c r="AM4808" s="4">
        <v>2</v>
      </c>
      <c r="AN4808" s="4">
        <v>0</v>
      </c>
      <c r="AO4808" s="4">
        <v>0</v>
      </c>
      <c r="AP4808" s="4">
        <v>0</v>
      </c>
      <c r="AQ4808" s="4">
        <v>0</v>
      </c>
      <c r="AR4808" s="3" t="s">
        <v>62</v>
      </c>
      <c r="AS4808" s="3" t="s">
        <v>62</v>
      </c>
      <c r="AT4808" s="3" t="s">
        <v>62</v>
      </c>
      <c r="AV4808" s="6" t="str">
        <f>HYPERLINK("http://mcgill.on.worldcat.org/oclc/893942220","Catalog Record")</f>
        <v>Catalog Record</v>
      </c>
      <c r="AW4808" s="6" t="str">
        <f>HYPERLINK("http://www.worldcat.org/oclc/893942220","WorldCat Record")</f>
        <v>WorldCat Record</v>
      </c>
      <c r="AX4808" s="3" t="s">
        <v>46472</v>
      </c>
      <c r="AY4808" s="3" t="s">
        <v>46473</v>
      </c>
      <c r="AZ4808" s="3" t="s">
        <v>46474</v>
      </c>
      <c r="BA4808" s="3" t="s">
        <v>46474</v>
      </c>
      <c r="BB4808" s="3" t="s">
        <v>46475</v>
      </c>
      <c r="BC4808" s="3" t="s">
        <v>102</v>
      </c>
      <c r="BD4808" s="3" t="s">
        <v>68</v>
      </c>
      <c r="BE4808" s="3" t="s">
        <v>46476</v>
      </c>
      <c r="BF4808" s="3" t="s">
        <v>46475</v>
      </c>
      <c r="BG4808" s="3" t="s">
        <v>46477</v>
      </c>
    </row>
    <row r="4809" spans="1:59" ht="58" x14ac:dyDescent="0.35">
      <c r="A4809" s="2" t="s">
        <v>59</v>
      </c>
      <c r="B4809" s="2" t="s">
        <v>60</v>
      </c>
      <c r="C4809" s="2" t="s">
        <v>46478</v>
      </c>
      <c r="D4809" s="2" t="s">
        <v>46479</v>
      </c>
      <c r="E4809" s="2" t="s">
        <v>46480</v>
      </c>
      <c r="G4809" s="3" t="s">
        <v>62</v>
      </c>
      <c r="I4809" s="3" t="s">
        <v>61</v>
      </c>
      <c r="J4809" s="3" t="s">
        <v>61</v>
      </c>
      <c r="K4809" s="3" t="s">
        <v>63</v>
      </c>
      <c r="M4809" s="2" t="s">
        <v>46481</v>
      </c>
      <c r="N4809" s="3" t="s">
        <v>893</v>
      </c>
      <c r="O4809" s="2" t="s">
        <v>2986</v>
      </c>
      <c r="P4809" s="3" t="s">
        <v>64</v>
      </c>
      <c r="R4809" s="3" t="s">
        <v>46170</v>
      </c>
      <c r="S4809" s="4">
        <v>0</v>
      </c>
      <c r="T4809" s="4">
        <v>46</v>
      </c>
      <c r="V4809" s="5" t="s">
        <v>20644</v>
      </c>
      <c r="W4809" s="5" t="s">
        <v>67</v>
      </c>
      <c r="X4809" s="5" t="s">
        <v>67</v>
      </c>
      <c r="Y4809" s="4">
        <v>190</v>
      </c>
      <c r="Z4809" s="4">
        <v>16</v>
      </c>
      <c r="AA4809" s="4">
        <v>54</v>
      </c>
      <c r="AB4809" s="4">
        <v>2</v>
      </c>
      <c r="AC4809" s="4">
        <v>7</v>
      </c>
      <c r="AD4809" s="4">
        <v>55</v>
      </c>
      <c r="AE4809" s="4">
        <v>120</v>
      </c>
      <c r="AF4809" s="4">
        <v>0</v>
      </c>
      <c r="AG4809" s="4">
        <v>3</v>
      </c>
      <c r="AH4809" s="4">
        <v>48</v>
      </c>
      <c r="AI4809" s="4">
        <v>101</v>
      </c>
      <c r="AJ4809" s="4">
        <v>12</v>
      </c>
      <c r="AK4809" s="4">
        <v>22</v>
      </c>
      <c r="AL4809" s="4">
        <v>28</v>
      </c>
      <c r="AM4809" s="4">
        <v>55</v>
      </c>
      <c r="AN4809" s="4">
        <v>0</v>
      </c>
      <c r="AO4809" s="4">
        <v>0</v>
      </c>
      <c r="AP4809" s="4">
        <v>10</v>
      </c>
      <c r="AQ4809" s="4">
        <v>26</v>
      </c>
      <c r="AR4809" s="3" t="s">
        <v>62</v>
      </c>
      <c r="AS4809" s="3" t="s">
        <v>62</v>
      </c>
      <c r="AT4809" s="3" t="s">
        <v>61</v>
      </c>
      <c r="AU4809" s="6" t="str">
        <f>HYPERLINK("http://catalog.hathitrust.org/Record/000112090","HathiTrust Record")</f>
        <v>HathiTrust Record</v>
      </c>
      <c r="AV4809" s="6" t="str">
        <f>HYPERLINK("http://mcgill.on.worldcat.org/oclc/8112909","Catalog Record")</f>
        <v>Catalog Record</v>
      </c>
      <c r="AW4809" s="6" t="str">
        <f>HYPERLINK("http://www.worldcat.org/oclc/8112909","WorldCat Record")</f>
        <v>WorldCat Record</v>
      </c>
      <c r="AX4809" s="3" t="s">
        <v>46482</v>
      </c>
      <c r="AY4809" s="3" t="s">
        <v>46483</v>
      </c>
      <c r="AZ4809" s="3" t="s">
        <v>46484</v>
      </c>
      <c r="BA4809" s="3" t="s">
        <v>46484</v>
      </c>
      <c r="BB4809" s="3" t="s">
        <v>46485</v>
      </c>
      <c r="BC4809" s="3" t="s">
        <v>102</v>
      </c>
      <c r="BD4809" s="3" t="s">
        <v>68</v>
      </c>
      <c r="BE4809" s="3" t="s">
        <v>46486</v>
      </c>
      <c r="BF4809" s="3" t="s">
        <v>46485</v>
      </c>
      <c r="BG4809" s="3" t="s">
        <v>46487</v>
      </c>
    </row>
    <row r="4810" spans="1:59" ht="58" x14ac:dyDescent="0.35">
      <c r="A4810" s="2" t="s">
        <v>59</v>
      </c>
      <c r="B4810" s="2" t="s">
        <v>60</v>
      </c>
      <c r="C4810" s="2" t="s">
        <v>46488</v>
      </c>
      <c r="D4810" s="2" t="s">
        <v>46489</v>
      </c>
      <c r="E4810" s="2" t="s">
        <v>46490</v>
      </c>
      <c r="G4810" s="3" t="s">
        <v>62</v>
      </c>
      <c r="I4810" s="3" t="s">
        <v>62</v>
      </c>
      <c r="J4810" s="3" t="s">
        <v>62</v>
      </c>
      <c r="K4810" s="3" t="s">
        <v>63</v>
      </c>
      <c r="L4810" s="2" t="s">
        <v>46491</v>
      </c>
      <c r="M4810" s="2" t="s">
        <v>46492</v>
      </c>
      <c r="N4810" s="3" t="s">
        <v>27717</v>
      </c>
      <c r="P4810" s="3" t="s">
        <v>64</v>
      </c>
      <c r="R4810" s="3" t="s">
        <v>46170</v>
      </c>
      <c r="S4810" s="4">
        <v>1</v>
      </c>
      <c r="T4810" s="4">
        <v>1</v>
      </c>
      <c r="U4810" s="5" t="s">
        <v>27476</v>
      </c>
      <c r="V4810" s="5" t="s">
        <v>27476</v>
      </c>
      <c r="W4810" s="5" t="s">
        <v>67</v>
      </c>
      <c r="X4810" s="5" t="s">
        <v>67</v>
      </c>
      <c r="Y4810" s="4">
        <v>101</v>
      </c>
      <c r="Z4810" s="4">
        <v>3</v>
      </c>
      <c r="AA4810" s="4">
        <v>4</v>
      </c>
      <c r="AB4810" s="4">
        <v>1</v>
      </c>
      <c r="AC4810" s="4">
        <v>1</v>
      </c>
      <c r="AD4810" s="4">
        <v>45</v>
      </c>
      <c r="AE4810" s="4">
        <v>46</v>
      </c>
      <c r="AF4810" s="4">
        <v>0</v>
      </c>
      <c r="AG4810" s="4">
        <v>0</v>
      </c>
      <c r="AH4810" s="4">
        <v>44</v>
      </c>
      <c r="AI4810" s="4">
        <v>45</v>
      </c>
      <c r="AJ4810" s="4">
        <v>2</v>
      </c>
      <c r="AK4810" s="4">
        <v>3</v>
      </c>
      <c r="AL4810" s="4">
        <v>28</v>
      </c>
      <c r="AM4810" s="4">
        <v>28</v>
      </c>
      <c r="AN4810" s="4">
        <v>0</v>
      </c>
      <c r="AO4810" s="4">
        <v>0</v>
      </c>
      <c r="AP4810" s="4">
        <v>2</v>
      </c>
      <c r="AQ4810" s="4">
        <v>3</v>
      </c>
      <c r="AR4810" s="3" t="s">
        <v>62</v>
      </c>
      <c r="AS4810" s="3" t="s">
        <v>62</v>
      </c>
      <c r="AT4810" s="3" t="s">
        <v>62</v>
      </c>
      <c r="AU4810" s="6" t="str">
        <f>HYPERLINK("http://catalog.hathitrust.org/Record/001553063","HathiTrust Record")</f>
        <v>HathiTrust Record</v>
      </c>
      <c r="AV4810" s="6" t="str">
        <f>HYPERLINK("http://mcgill.on.worldcat.org/oclc/2566507","Catalog Record")</f>
        <v>Catalog Record</v>
      </c>
      <c r="AW4810" s="6" t="str">
        <f>HYPERLINK("http://www.worldcat.org/oclc/2566507","WorldCat Record")</f>
        <v>WorldCat Record</v>
      </c>
      <c r="AX4810" s="3" t="s">
        <v>46493</v>
      </c>
      <c r="AY4810" s="3" t="s">
        <v>46494</v>
      </c>
      <c r="AZ4810" s="3" t="s">
        <v>46495</v>
      </c>
      <c r="BA4810" s="3" t="s">
        <v>46495</v>
      </c>
      <c r="BB4810" s="3" t="s">
        <v>46496</v>
      </c>
      <c r="BC4810" s="3" t="s">
        <v>102</v>
      </c>
      <c r="BD4810" s="3" t="s">
        <v>68</v>
      </c>
      <c r="BF4810" s="3" t="s">
        <v>46496</v>
      </c>
      <c r="BG4810" s="3" t="s">
        <v>46497</v>
      </c>
    </row>
    <row r="4811" spans="1:59" ht="58" x14ac:dyDescent="0.35">
      <c r="A4811" s="2" t="s">
        <v>89</v>
      </c>
      <c r="B4811" s="2" t="s">
        <v>90</v>
      </c>
      <c r="C4811" s="2" t="s">
        <v>46498</v>
      </c>
      <c r="D4811" s="2" t="s">
        <v>46499</v>
      </c>
      <c r="E4811" s="2" t="s">
        <v>46500</v>
      </c>
      <c r="G4811" s="3" t="s">
        <v>62</v>
      </c>
      <c r="I4811" s="3" t="s">
        <v>62</v>
      </c>
      <c r="J4811" s="3" t="s">
        <v>62</v>
      </c>
      <c r="K4811" s="3" t="s">
        <v>63</v>
      </c>
      <c r="L4811" s="2" t="s">
        <v>39000</v>
      </c>
      <c r="M4811" s="2" t="s">
        <v>31766</v>
      </c>
      <c r="N4811" s="3" t="s">
        <v>466</v>
      </c>
      <c r="P4811" s="3" t="s">
        <v>64</v>
      </c>
      <c r="R4811" s="3" t="s">
        <v>46170</v>
      </c>
      <c r="S4811" s="4">
        <v>11</v>
      </c>
      <c r="T4811" s="4">
        <v>11</v>
      </c>
      <c r="U4811" s="5" t="s">
        <v>2474</v>
      </c>
      <c r="V4811" s="5" t="s">
        <v>2474</v>
      </c>
      <c r="W4811" s="5" t="s">
        <v>67</v>
      </c>
      <c r="X4811" s="5" t="s">
        <v>67</v>
      </c>
      <c r="Y4811" s="4">
        <v>989</v>
      </c>
      <c r="Z4811" s="4">
        <v>37</v>
      </c>
      <c r="AA4811" s="4">
        <v>40</v>
      </c>
      <c r="AB4811" s="4">
        <v>2</v>
      </c>
      <c r="AC4811" s="4">
        <v>4</v>
      </c>
      <c r="AD4811" s="4">
        <v>115</v>
      </c>
      <c r="AE4811" s="4">
        <v>117</v>
      </c>
      <c r="AF4811" s="4">
        <v>1</v>
      </c>
      <c r="AG4811" s="4">
        <v>3</v>
      </c>
      <c r="AH4811" s="4">
        <v>98</v>
      </c>
      <c r="AI4811" s="4">
        <v>98</v>
      </c>
      <c r="AJ4811" s="4">
        <v>12</v>
      </c>
      <c r="AK4811" s="4">
        <v>14</v>
      </c>
      <c r="AL4811" s="4">
        <v>53</v>
      </c>
      <c r="AM4811" s="4">
        <v>53</v>
      </c>
      <c r="AN4811" s="4">
        <v>0</v>
      </c>
      <c r="AO4811" s="4">
        <v>0</v>
      </c>
      <c r="AP4811" s="4">
        <v>20</v>
      </c>
      <c r="AQ4811" s="4">
        <v>21</v>
      </c>
      <c r="AR4811" s="3" t="s">
        <v>62</v>
      </c>
      <c r="AS4811" s="3" t="s">
        <v>62</v>
      </c>
      <c r="AT4811" s="3" t="s">
        <v>61</v>
      </c>
      <c r="AU4811" s="6" t="str">
        <f>HYPERLINK("http://catalog.hathitrust.org/Record/002573960","HathiTrust Record")</f>
        <v>HathiTrust Record</v>
      </c>
      <c r="AV4811" s="6" t="str">
        <f>HYPERLINK("http://mcgill.on.worldcat.org/oclc/25832386","Catalog Record")</f>
        <v>Catalog Record</v>
      </c>
      <c r="AW4811" s="6" t="str">
        <f>HYPERLINK("http://www.worldcat.org/oclc/25832386","WorldCat Record")</f>
        <v>WorldCat Record</v>
      </c>
      <c r="AX4811" s="3" t="s">
        <v>46501</v>
      </c>
      <c r="AY4811" s="3" t="s">
        <v>46502</v>
      </c>
      <c r="AZ4811" s="3" t="s">
        <v>46503</v>
      </c>
      <c r="BA4811" s="3" t="s">
        <v>46503</v>
      </c>
      <c r="BB4811" s="3" t="s">
        <v>46504</v>
      </c>
      <c r="BC4811" s="3" t="s">
        <v>102</v>
      </c>
      <c r="BD4811" s="3" t="s">
        <v>68</v>
      </c>
      <c r="BE4811" s="3" t="s">
        <v>46505</v>
      </c>
      <c r="BF4811" s="3" t="s">
        <v>46504</v>
      </c>
      <c r="BG4811" s="3" t="s">
        <v>46506</v>
      </c>
    </row>
    <row r="4812" spans="1:59" ht="58" x14ac:dyDescent="0.35">
      <c r="A4812" s="2" t="s">
        <v>89</v>
      </c>
      <c r="B4812" s="2" t="s">
        <v>90</v>
      </c>
      <c r="C4812" s="2" t="s">
        <v>46507</v>
      </c>
      <c r="D4812" s="2" t="s">
        <v>46508</v>
      </c>
      <c r="E4812" s="2" t="s">
        <v>46509</v>
      </c>
      <c r="G4812" s="3" t="s">
        <v>62</v>
      </c>
      <c r="I4812" s="3" t="s">
        <v>61</v>
      </c>
      <c r="J4812" s="3" t="s">
        <v>62</v>
      </c>
      <c r="K4812" s="3" t="s">
        <v>63</v>
      </c>
      <c r="L4812" s="2" t="s">
        <v>46510</v>
      </c>
      <c r="M4812" s="2" t="s">
        <v>46511</v>
      </c>
      <c r="N4812" s="3" t="s">
        <v>186</v>
      </c>
      <c r="P4812" s="3" t="s">
        <v>64</v>
      </c>
      <c r="Q4812" s="2" t="s">
        <v>46512</v>
      </c>
      <c r="R4812" s="3" t="s">
        <v>46170</v>
      </c>
      <c r="S4812" s="4">
        <v>24</v>
      </c>
      <c r="T4812" s="4">
        <v>36</v>
      </c>
      <c r="U4812" s="5" t="s">
        <v>20044</v>
      </c>
      <c r="V4812" s="5" t="s">
        <v>20044</v>
      </c>
      <c r="W4812" s="5" t="s">
        <v>67</v>
      </c>
      <c r="X4812" s="5" t="s">
        <v>67</v>
      </c>
      <c r="Y4812" s="4">
        <v>237</v>
      </c>
      <c r="Z4812" s="4">
        <v>26</v>
      </c>
      <c r="AA4812" s="4">
        <v>29</v>
      </c>
      <c r="AB4812" s="4">
        <v>1</v>
      </c>
      <c r="AC4812" s="4">
        <v>3</v>
      </c>
      <c r="AD4812" s="4">
        <v>96</v>
      </c>
      <c r="AE4812" s="4">
        <v>99</v>
      </c>
      <c r="AF4812" s="4">
        <v>0</v>
      </c>
      <c r="AG4812" s="4">
        <v>2</v>
      </c>
      <c r="AH4812" s="4">
        <v>84</v>
      </c>
      <c r="AI4812" s="4">
        <v>85</v>
      </c>
      <c r="AJ4812" s="4">
        <v>18</v>
      </c>
      <c r="AK4812" s="4">
        <v>20</v>
      </c>
      <c r="AL4812" s="4">
        <v>49</v>
      </c>
      <c r="AM4812" s="4">
        <v>49</v>
      </c>
      <c r="AN4812" s="4">
        <v>0</v>
      </c>
      <c r="AO4812" s="4">
        <v>0</v>
      </c>
      <c r="AP4812" s="4">
        <v>21</v>
      </c>
      <c r="AQ4812" s="4">
        <v>22</v>
      </c>
      <c r="AR4812" s="3" t="s">
        <v>62</v>
      </c>
      <c r="AS4812" s="3" t="s">
        <v>62</v>
      </c>
      <c r="AT4812" s="3" t="s">
        <v>62</v>
      </c>
      <c r="AV4812" s="6" t="str">
        <f>HYPERLINK("http://mcgill.on.worldcat.org/oclc/1924067","Catalog Record")</f>
        <v>Catalog Record</v>
      </c>
      <c r="AW4812" s="6" t="str">
        <f>HYPERLINK("http://www.worldcat.org/oclc/1924067","WorldCat Record")</f>
        <v>WorldCat Record</v>
      </c>
      <c r="AX4812" s="3" t="s">
        <v>46513</v>
      </c>
      <c r="AY4812" s="3" t="s">
        <v>46514</v>
      </c>
      <c r="AZ4812" s="3" t="s">
        <v>46515</v>
      </c>
      <c r="BA4812" s="3" t="s">
        <v>46515</v>
      </c>
      <c r="BB4812" s="3" t="s">
        <v>46516</v>
      </c>
      <c r="BC4812" s="3" t="s">
        <v>102</v>
      </c>
      <c r="BD4812" s="3" t="s">
        <v>68</v>
      </c>
      <c r="BE4812" s="3" t="s">
        <v>46517</v>
      </c>
      <c r="BF4812" s="3" t="s">
        <v>46516</v>
      </c>
      <c r="BG4812" s="3" t="s">
        <v>46518</v>
      </c>
    </row>
    <row r="4813" spans="1:59" ht="72.5" x14ac:dyDescent="0.35">
      <c r="A4813" s="2" t="s">
        <v>89</v>
      </c>
      <c r="B4813" s="2" t="s">
        <v>90</v>
      </c>
      <c r="C4813" s="2" t="s">
        <v>46519</v>
      </c>
      <c r="D4813" s="2" t="s">
        <v>46520</v>
      </c>
      <c r="E4813" s="2" t="s">
        <v>46521</v>
      </c>
      <c r="G4813" s="3" t="s">
        <v>62</v>
      </c>
      <c r="I4813" s="3" t="s">
        <v>62</v>
      </c>
      <c r="J4813" s="3" t="s">
        <v>62</v>
      </c>
      <c r="K4813" s="3" t="s">
        <v>63</v>
      </c>
      <c r="L4813" s="2" t="s">
        <v>46522</v>
      </c>
      <c r="M4813" s="2" t="s">
        <v>46523</v>
      </c>
      <c r="N4813" s="3" t="s">
        <v>2085</v>
      </c>
      <c r="O4813" s="2" t="s">
        <v>1941</v>
      </c>
      <c r="P4813" s="3" t="s">
        <v>64</v>
      </c>
      <c r="R4813" s="3" t="s">
        <v>46170</v>
      </c>
      <c r="S4813" s="4">
        <v>0</v>
      </c>
      <c r="T4813" s="4">
        <v>0</v>
      </c>
      <c r="W4813" s="5" t="s">
        <v>11453</v>
      </c>
      <c r="X4813" s="5" t="s">
        <v>11453</v>
      </c>
      <c r="Y4813" s="4">
        <v>877</v>
      </c>
      <c r="Z4813" s="4">
        <v>9</v>
      </c>
      <c r="AA4813" s="4">
        <v>9</v>
      </c>
      <c r="AB4813" s="4">
        <v>1</v>
      </c>
      <c r="AC4813" s="4">
        <v>1</v>
      </c>
      <c r="AD4813" s="4">
        <v>59</v>
      </c>
      <c r="AE4813" s="4">
        <v>60</v>
      </c>
      <c r="AF4813" s="4">
        <v>0</v>
      </c>
      <c r="AG4813" s="4">
        <v>0</v>
      </c>
      <c r="AH4813" s="4">
        <v>57</v>
      </c>
      <c r="AI4813" s="4">
        <v>58</v>
      </c>
      <c r="AJ4813" s="4">
        <v>2</v>
      </c>
      <c r="AK4813" s="4">
        <v>2</v>
      </c>
      <c r="AL4813" s="4">
        <v>38</v>
      </c>
      <c r="AM4813" s="4">
        <v>38</v>
      </c>
      <c r="AN4813" s="4">
        <v>0</v>
      </c>
      <c r="AO4813" s="4">
        <v>0</v>
      </c>
      <c r="AP4813" s="4">
        <v>2</v>
      </c>
      <c r="AQ4813" s="4">
        <v>2</v>
      </c>
      <c r="AR4813" s="3" t="s">
        <v>62</v>
      </c>
      <c r="AS4813" s="3" t="s">
        <v>62</v>
      </c>
      <c r="AT4813" s="3" t="s">
        <v>62</v>
      </c>
      <c r="AV4813" s="6" t="str">
        <f>HYPERLINK("http://mcgill.on.worldcat.org/oclc/988285730","Catalog Record")</f>
        <v>Catalog Record</v>
      </c>
      <c r="AW4813" s="6" t="str">
        <f>HYPERLINK("http://www.worldcat.org/oclc/988285730","WorldCat Record")</f>
        <v>WorldCat Record</v>
      </c>
      <c r="AX4813" s="3" t="s">
        <v>46524</v>
      </c>
      <c r="AY4813" s="3" t="s">
        <v>46525</v>
      </c>
      <c r="AZ4813" s="3" t="s">
        <v>46526</v>
      </c>
      <c r="BA4813" s="3" t="s">
        <v>46526</v>
      </c>
      <c r="BB4813" s="3" t="s">
        <v>46527</v>
      </c>
      <c r="BC4813" s="3" t="s">
        <v>102</v>
      </c>
      <c r="BD4813" s="3" t="s">
        <v>68</v>
      </c>
      <c r="BE4813" s="3" t="s">
        <v>46528</v>
      </c>
      <c r="BF4813" s="3" t="s">
        <v>46527</v>
      </c>
      <c r="BG4813" s="3" t="s">
        <v>46529</v>
      </c>
    </row>
    <row r="4814" spans="1:59" ht="72.5" x14ac:dyDescent="0.35">
      <c r="A4814" s="2" t="s">
        <v>59</v>
      </c>
      <c r="B4814" s="2" t="s">
        <v>60</v>
      </c>
      <c r="C4814" s="2" t="s">
        <v>46530</v>
      </c>
      <c r="D4814" s="2" t="s">
        <v>46531</v>
      </c>
      <c r="E4814" s="2" t="s">
        <v>46532</v>
      </c>
      <c r="F4814" s="3" t="s">
        <v>608</v>
      </c>
      <c r="G4814" s="3" t="s">
        <v>62</v>
      </c>
      <c r="I4814" s="3" t="s">
        <v>62</v>
      </c>
      <c r="J4814" s="3" t="s">
        <v>62</v>
      </c>
      <c r="K4814" s="3" t="s">
        <v>63</v>
      </c>
      <c r="M4814" s="2" t="s">
        <v>46533</v>
      </c>
      <c r="N4814" s="3" t="s">
        <v>157</v>
      </c>
      <c r="P4814" s="3" t="s">
        <v>64</v>
      </c>
      <c r="Q4814" s="2" t="s">
        <v>46534</v>
      </c>
      <c r="R4814" s="3" t="s">
        <v>46535</v>
      </c>
      <c r="S4814" s="4">
        <v>4</v>
      </c>
      <c r="T4814" s="4">
        <v>4</v>
      </c>
      <c r="U4814" s="5" t="s">
        <v>2502</v>
      </c>
      <c r="V4814" s="5" t="s">
        <v>2502</v>
      </c>
      <c r="W4814" s="5" t="s">
        <v>67</v>
      </c>
      <c r="X4814" s="5" t="s">
        <v>67</v>
      </c>
      <c r="Y4814" s="4">
        <v>283</v>
      </c>
      <c r="Z4814" s="4">
        <v>22</v>
      </c>
      <c r="AA4814" s="4">
        <v>31</v>
      </c>
      <c r="AB4814" s="4">
        <v>2</v>
      </c>
      <c r="AC4814" s="4">
        <v>6</v>
      </c>
      <c r="AD4814" s="4">
        <v>84</v>
      </c>
      <c r="AE4814" s="4">
        <v>93</v>
      </c>
      <c r="AF4814" s="4">
        <v>0</v>
      </c>
      <c r="AG4814" s="4">
        <v>3</v>
      </c>
      <c r="AH4814" s="4">
        <v>74</v>
      </c>
      <c r="AI4814" s="4">
        <v>78</v>
      </c>
      <c r="AJ4814" s="4">
        <v>12</v>
      </c>
      <c r="AK4814" s="4">
        <v>20</v>
      </c>
      <c r="AL4814" s="4">
        <v>40</v>
      </c>
      <c r="AM4814" s="4">
        <v>40</v>
      </c>
      <c r="AN4814" s="4">
        <v>3</v>
      </c>
      <c r="AO4814" s="4">
        <v>3</v>
      </c>
      <c r="AP4814" s="4">
        <v>18</v>
      </c>
      <c r="AQ4814" s="4">
        <v>25</v>
      </c>
      <c r="AR4814" s="3" t="s">
        <v>62</v>
      </c>
      <c r="AS4814" s="3" t="s">
        <v>62</v>
      </c>
      <c r="AT4814" s="3" t="s">
        <v>61</v>
      </c>
      <c r="AU4814" s="6" t="str">
        <f>HYPERLINK("http://catalog.hathitrust.org/Record/000939135","HathiTrust Record")</f>
        <v>HathiTrust Record</v>
      </c>
      <c r="AV4814" s="6" t="str">
        <f>HYPERLINK("http://mcgill.on.worldcat.org/oclc/3070517","Catalog Record")</f>
        <v>Catalog Record</v>
      </c>
      <c r="AW4814" s="6" t="str">
        <f>HYPERLINK("http://www.worldcat.org/oclc/3070517","WorldCat Record")</f>
        <v>WorldCat Record</v>
      </c>
      <c r="AX4814" s="3" t="s">
        <v>46536</v>
      </c>
      <c r="AY4814" s="3" t="s">
        <v>46537</v>
      </c>
      <c r="AZ4814" s="3" t="s">
        <v>46538</v>
      </c>
      <c r="BA4814" s="3" t="s">
        <v>46538</v>
      </c>
      <c r="BB4814" s="3" t="s">
        <v>46539</v>
      </c>
      <c r="BC4814" s="3" t="s">
        <v>102</v>
      </c>
      <c r="BD4814" s="3" t="s">
        <v>68</v>
      </c>
      <c r="BE4814" s="3" t="s">
        <v>46540</v>
      </c>
      <c r="BF4814" s="3" t="s">
        <v>46539</v>
      </c>
      <c r="BG4814" s="3" t="s">
        <v>46541</v>
      </c>
    </row>
    <row r="4815" spans="1:59" ht="58" x14ac:dyDescent="0.35">
      <c r="A4815" s="2" t="s">
        <v>59</v>
      </c>
      <c r="B4815" s="2" t="s">
        <v>60</v>
      </c>
      <c r="C4815" s="2" t="s">
        <v>46542</v>
      </c>
      <c r="D4815" s="2" t="s">
        <v>46543</v>
      </c>
      <c r="E4815" s="2" t="s">
        <v>46544</v>
      </c>
      <c r="F4815" s="3" t="s">
        <v>46545</v>
      </c>
      <c r="G4815" s="3" t="s">
        <v>61</v>
      </c>
      <c r="I4815" s="3" t="s">
        <v>62</v>
      </c>
      <c r="J4815" s="3" t="s">
        <v>61</v>
      </c>
      <c r="K4815" s="3" t="s">
        <v>63</v>
      </c>
      <c r="L4815" s="2" t="s">
        <v>46546</v>
      </c>
      <c r="M4815" s="2" t="s">
        <v>46547</v>
      </c>
      <c r="N4815" s="3" t="s">
        <v>1291</v>
      </c>
      <c r="P4815" s="3" t="s">
        <v>64</v>
      </c>
      <c r="Q4815" s="2" t="s">
        <v>46548</v>
      </c>
      <c r="R4815" s="3" t="s">
        <v>46535</v>
      </c>
      <c r="S4815" s="4">
        <v>0</v>
      </c>
      <c r="T4815" s="4">
        <v>14</v>
      </c>
      <c r="V4815" s="5" t="s">
        <v>18455</v>
      </c>
      <c r="W4815" s="5" t="s">
        <v>67</v>
      </c>
      <c r="X4815" s="5" t="s">
        <v>67</v>
      </c>
      <c r="Y4815" s="4">
        <v>622</v>
      </c>
      <c r="Z4815" s="4">
        <v>31</v>
      </c>
      <c r="AA4815" s="4">
        <v>38</v>
      </c>
      <c r="AB4815" s="4">
        <v>4</v>
      </c>
      <c r="AC4815" s="4">
        <v>6</v>
      </c>
      <c r="AD4815" s="4">
        <v>112</v>
      </c>
      <c r="AE4815" s="4">
        <v>121</v>
      </c>
      <c r="AF4815" s="4">
        <v>0</v>
      </c>
      <c r="AG4815" s="4">
        <v>2</v>
      </c>
      <c r="AH4815" s="4">
        <v>94</v>
      </c>
      <c r="AI4815" s="4">
        <v>100</v>
      </c>
      <c r="AJ4815" s="4">
        <v>13</v>
      </c>
      <c r="AK4815" s="4">
        <v>16</v>
      </c>
      <c r="AL4815" s="4">
        <v>51</v>
      </c>
      <c r="AM4815" s="4">
        <v>54</v>
      </c>
      <c r="AN4815" s="4">
        <v>0</v>
      </c>
      <c r="AO4815" s="4">
        <v>0</v>
      </c>
      <c r="AP4815" s="4">
        <v>20</v>
      </c>
      <c r="AQ4815" s="4">
        <v>24</v>
      </c>
      <c r="AR4815" s="3" t="s">
        <v>62</v>
      </c>
      <c r="AS4815" s="3" t="s">
        <v>61</v>
      </c>
      <c r="AT4815" s="3" t="s">
        <v>61</v>
      </c>
      <c r="AU4815" s="6" t="str">
        <f t="shared" ref="AU4815:AU4829" si="73">HYPERLINK("http://catalog.hathitrust.org/Record/001294809","HathiTrust Record")</f>
        <v>HathiTrust Record</v>
      </c>
      <c r="AV4815" s="6" t="str">
        <f t="shared" ref="AV4815:AV4829" si="74">HYPERLINK("http://mcgill.on.worldcat.org/oclc/327093","Catalog Record")</f>
        <v>Catalog Record</v>
      </c>
      <c r="AW4815" s="6" t="str">
        <f t="shared" ref="AW4815:AW4829" si="75">HYPERLINK("http://www.worldcat.org/oclc/327093","WorldCat Record")</f>
        <v>WorldCat Record</v>
      </c>
      <c r="AX4815" s="3" t="s">
        <v>46549</v>
      </c>
      <c r="AY4815" s="3" t="s">
        <v>46550</v>
      </c>
      <c r="AZ4815" s="3" t="s">
        <v>46551</v>
      </c>
      <c r="BA4815" s="3" t="s">
        <v>46551</v>
      </c>
      <c r="BB4815" s="3" t="s">
        <v>46552</v>
      </c>
      <c r="BC4815" s="3" t="s">
        <v>102</v>
      </c>
      <c r="BD4815" s="3" t="s">
        <v>68</v>
      </c>
      <c r="BE4815" s="3" t="s">
        <v>46553</v>
      </c>
      <c r="BF4815" s="3" t="s">
        <v>46552</v>
      </c>
      <c r="BG4815" s="3" t="s">
        <v>46554</v>
      </c>
    </row>
    <row r="4816" spans="1:59" ht="58" x14ac:dyDescent="0.35">
      <c r="A4816" s="2" t="s">
        <v>59</v>
      </c>
      <c r="B4816" s="2" t="s">
        <v>60</v>
      </c>
      <c r="C4816" s="2" t="s">
        <v>46542</v>
      </c>
      <c r="D4816" s="2" t="s">
        <v>46543</v>
      </c>
      <c r="E4816" s="2" t="s">
        <v>46544</v>
      </c>
      <c r="F4816" s="3" t="s">
        <v>46555</v>
      </c>
      <c r="G4816" s="3" t="s">
        <v>61</v>
      </c>
      <c r="I4816" s="3" t="s">
        <v>62</v>
      </c>
      <c r="J4816" s="3" t="s">
        <v>61</v>
      </c>
      <c r="K4816" s="3" t="s">
        <v>63</v>
      </c>
      <c r="L4816" s="2" t="s">
        <v>46546</v>
      </c>
      <c r="M4816" s="2" t="s">
        <v>46547</v>
      </c>
      <c r="N4816" s="3" t="s">
        <v>1291</v>
      </c>
      <c r="P4816" s="3" t="s">
        <v>64</v>
      </c>
      <c r="Q4816" s="2" t="s">
        <v>46548</v>
      </c>
      <c r="R4816" s="3" t="s">
        <v>46535</v>
      </c>
      <c r="S4816" s="4">
        <v>0</v>
      </c>
      <c r="T4816" s="4">
        <v>14</v>
      </c>
      <c r="V4816" s="5" t="s">
        <v>18455</v>
      </c>
      <c r="W4816" s="5" t="s">
        <v>67</v>
      </c>
      <c r="X4816" s="5" t="s">
        <v>67</v>
      </c>
      <c r="Y4816" s="4">
        <v>622</v>
      </c>
      <c r="Z4816" s="4">
        <v>31</v>
      </c>
      <c r="AA4816" s="4">
        <v>38</v>
      </c>
      <c r="AB4816" s="4">
        <v>4</v>
      </c>
      <c r="AC4816" s="4">
        <v>6</v>
      </c>
      <c r="AD4816" s="4">
        <v>112</v>
      </c>
      <c r="AE4816" s="4">
        <v>121</v>
      </c>
      <c r="AF4816" s="4">
        <v>0</v>
      </c>
      <c r="AG4816" s="4">
        <v>2</v>
      </c>
      <c r="AH4816" s="4">
        <v>94</v>
      </c>
      <c r="AI4816" s="4">
        <v>100</v>
      </c>
      <c r="AJ4816" s="4">
        <v>13</v>
      </c>
      <c r="AK4816" s="4">
        <v>16</v>
      </c>
      <c r="AL4816" s="4">
        <v>51</v>
      </c>
      <c r="AM4816" s="4">
        <v>54</v>
      </c>
      <c r="AN4816" s="4">
        <v>0</v>
      </c>
      <c r="AO4816" s="4">
        <v>0</v>
      </c>
      <c r="AP4816" s="4">
        <v>20</v>
      </c>
      <c r="AQ4816" s="4">
        <v>24</v>
      </c>
      <c r="AR4816" s="3" t="s">
        <v>62</v>
      </c>
      <c r="AS4816" s="3" t="s">
        <v>61</v>
      </c>
      <c r="AT4816" s="3" t="s">
        <v>61</v>
      </c>
      <c r="AU4816" s="6" t="str">
        <f t="shared" si="73"/>
        <v>HathiTrust Record</v>
      </c>
      <c r="AV4816" s="6" t="str">
        <f t="shared" si="74"/>
        <v>Catalog Record</v>
      </c>
      <c r="AW4816" s="6" t="str">
        <f t="shared" si="75"/>
        <v>WorldCat Record</v>
      </c>
      <c r="AX4816" s="3" t="s">
        <v>46549</v>
      </c>
      <c r="AY4816" s="3" t="s">
        <v>46550</v>
      </c>
      <c r="AZ4816" s="3" t="s">
        <v>46551</v>
      </c>
      <c r="BA4816" s="3" t="s">
        <v>46551</v>
      </c>
      <c r="BB4816" s="3" t="s">
        <v>46556</v>
      </c>
      <c r="BC4816" s="3" t="s">
        <v>102</v>
      </c>
      <c r="BD4816" s="3" t="s">
        <v>68</v>
      </c>
      <c r="BE4816" s="3" t="s">
        <v>46553</v>
      </c>
      <c r="BF4816" s="3" t="s">
        <v>46556</v>
      </c>
      <c r="BG4816" s="3" t="s">
        <v>46557</v>
      </c>
    </row>
    <row r="4817" spans="1:59" ht="58" x14ac:dyDescent="0.35">
      <c r="A4817" s="2" t="s">
        <v>59</v>
      </c>
      <c r="B4817" s="2" t="s">
        <v>60</v>
      </c>
      <c r="C4817" s="2" t="s">
        <v>46542</v>
      </c>
      <c r="D4817" s="2" t="s">
        <v>46543</v>
      </c>
      <c r="E4817" s="2" t="s">
        <v>46544</v>
      </c>
      <c r="F4817" s="3" t="s">
        <v>46558</v>
      </c>
      <c r="G4817" s="3" t="s">
        <v>61</v>
      </c>
      <c r="I4817" s="3" t="s">
        <v>62</v>
      </c>
      <c r="J4817" s="3" t="s">
        <v>61</v>
      </c>
      <c r="K4817" s="3" t="s">
        <v>63</v>
      </c>
      <c r="L4817" s="2" t="s">
        <v>46546</v>
      </c>
      <c r="M4817" s="2" t="s">
        <v>46547</v>
      </c>
      <c r="N4817" s="3" t="s">
        <v>1291</v>
      </c>
      <c r="P4817" s="3" t="s">
        <v>64</v>
      </c>
      <c r="Q4817" s="2" t="s">
        <v>46548</v>
      </c>
      <c r="R4817" s="3" t="s">
        <v>46535</v>
      </c>
      <c r="S4817" s="4">
        <v>0</v>
      </c>
      <c r="T4817" s="4">
        <v>14</v>
      </c>
      <c r="V4817" s="5" t="s">
        <v>18455</v>
      </c>
      <c r="W4817" s="5" t="s">
        <v>67</v>
      </c>
      <c r="X4817" s="5" t="s">
        <v>67</v>
      </c>
      <c r="Y4817" s="4">
        <v>622</v>
      </c>
      <c r="Z4817" s="4">
        <v>31</v>
      </c>
      <c r="AA4817" s="4">
        <v>38</v>
      </c>
      <c r="AB4817" s="4">
        <v>4</v>
      </c>
      <c r="AC4817" s="4">
        <v>6</v>
      </c>
      <c r="AD4817" s="4">
        <v>112</v>
      </c>
      <c r="AE4817" s="4">
        <v>121</v>
      </c>
      <c r="AF4817" s="4">
        <v>0</v>
      </c>
      <c r="AG4817" s="4">
        <v>2</v>
      </c>
      <c r="AH4817" s="4">
        <v>94</v>
      </c>
      <c r="AI4817" s="4">
        <v>100</v>
      </c>
      <c r="AJ4817" s="4">
        <v>13</v>
      </c>
      <c r="AK4817" s="4">
        <v>16</v>
      </c>
      <c r="AL4817" s="4">
        <v>51</v>
      </c>
      <c r="AM4817" s="4">
        <v>54</v>
      </c>
      <c r="AN4817" s="4">
        <v>0</v>
      </c>
      <c r="AO4817" s="4">
        <v>0</v>
      </c>
      <c r="AP4817" s="4">
        <v>20</v>
      </c>
      <c r="AQ4817" s="4">
        <v>24</v>
      </c>
      <c r="AR4817" s="3" t="s">
        <v>62</v>
      </c>
      <c r="AS4817" s="3" t="s">
        <v>61</v>
      </c>
      <c r="AT4817" s="3" t="s">
        <v>61</v>
      </c>
      <c r="AU4817" s="6" t="str">
        <f t="shared" si="73"/>
        <v>HathiTrust Record</v>
      </c>
      <c r="AV4817" s="6" t="str">
        <f t="shared" si="74"/>
        <v>Catalog Record</v>
      </c>
      <c r="AW4817" s="6" t="str">
        <f t="shared" si="75"/>
        <v>WorldCat Record</v>
      </c>
      <c r="AX4817" s="3" t="s">
        <v>46549</v>
      </c>
      <c r="AY4817" s="3" t="s">
        <v>46550</v>
      </c>
      <c r="AZ4817" s="3" t="s">
        <v>46551</v>
      </c>
      <c r="BA4817" s="3" t="s">
        <v>46551</v>
      </c>
      <c r="BB4817" s="3" t="s">
        <v>46559</v>
      </c>
      <c r="BC4817" s="3" t="s">
        <v>102</v>
      </c>
      <c r="BD4817" s="3" t="s">
        <v>68</v>
      </c>
      <c r="BE4817" s="3" t="s">
        <v>46553</v>
      </c>
      <c r="BF4817" s="3" t="s">
        <v>46559</v>
      </c>
      <c r="BG4817" s="3" t="s">
        <v>46560</v>
      </c>
    </row>
    <row r="4818" spans="1:59" ht="58" x14ac:dyDescent="0.35">
      <c r="A4818" s="2" t="s">
        <v>59</v>
      </c>
      <c r="B4818" s="2" t="s">
        <v>60</v>
      </c>
      <c r="C4818" s="2" t="s">
        <v>46542</v>
      </c>
      <c r="D4818" s="2" t="s">
        <v>46543</v>
      </c>
      <c r="E4818" s="2" t="s">
        <v>46544</v>
      </c>
      <c r="F4818" s="3" t="s">
        <v>46561</v>
      </c>
      <c r="G4818" s="3" t="s">
        <v>61</v>
      </c>
      <c r="I4818" s="3" t="s">
        <v>62</v>
      </c>
      <c r="J4818" s="3" t="s">
        <v>61</v>
      </c>
      <c r="K4818" s="3" t="s">
        <v>63</v>
      </c>
      <c r="L4818" s="2" t="s">
        <v>46546</v>
      </c>
      <c r="M4818" s="2" t="s">
        <v>46547</v>
      </c>
      <c r="N4818" s="3" t="s">
        <v>1291</v>
      </c>
      <c r="P4818" s="3" t="s">
        <v>64</v>
      </c>
      <c r="Q4818" s="2" t="s">
        <v>46548</v>
      </c>
      <c r="R4818" s="3" t="s">
        <v>46535</v>
      </c>
      <c r="S4818" s="4">
        <v>3</v>
      </c>
      <c r="T4818" s="4">
        <v>14</v>
      </c>
      <c r="U4818" s="5" t="s">
        <v>46562</v>
      </c>
      <c r="V4818" s="5" t="s">
        <v>18455</v>
      </c>
      <c r="W4818" s="5" t="s">
        <v>67</v>
      </c>
      <c r="X4818" s="5" t="s">
        <v>67</v>
      </c>
      <c r="Y4818" s="4">
        <v>622</v>
      </c>
      <c r="Z4818" s="4">
        <v>31</v>
      </c>
      <c r="AA4818" s="4">
        <v>38</v>
      </c>
      <c r="AB4818" s="4">
        <v>4</v>
      </c>
      <c r="AC4818" s="4">
        <v>6</v>
      </c>
      <c r="AD4818" s="4">
        <v>112</v>
      </c>
      <c r="AE4818" s="4">
        <v>121</v>
      </c>
      <c r="AF4818" s="4">
        <v>0</v>
      </c>
      <c r="AG4818" s="4">
        <v>2</v>
      </c>
      <c r="AH4818" s="4">
        <v>94</v>
      </c>
      <c r="AI4818" s="4">
        <v>100</v>
      </c>
      <c r="AJ4818" s="4">
        <v>13</v>
      </c>
      <c r="AK4818" s="4">
        <v>16</v>
      </c>
      <c r="AL4818" s="4">
        <v>51</v>
      </c>
      <c r="AM4818" s="4">
        <v>54</v>
      </c>
      <c r="AN4818" s="4">
        <v>0</v>
      </c>
      <c r="AO4818" s="4">
        <v>0</v>
      </c>
      <c r="AP4818" s="4">
        <v>20</v>
      </c>
      <c r="AQ4818" s="4">
        <v>24</v>
      </c>
      <c r="AR4818" s="3" t="s">
        <v>62</v>
      </c>
      <c r="AS4818" s="3" t="s">
        <v>61</v>
      </c>
      <c r="AT4818" s="3" t="s">
        <v>61</v>
      </c>
      <c r="AU4818" s="6" t="str">
        <f t="shared" si="73"/>
        <v>HathiTrust Record</v>
      </c>
      <c r="AV4818" s="6" t="str">
        <f t="shared" si="74"/>
        <v>Catalog Record</v>
      </c>
      <c r="AW4818" s="6" t="str">
        <f t="shared" si="75"/>
        <v>WorldCat Record</v>
      </c>
      <c r="AX4818" s="3" t="s">
        <v>46549</v>
      </c>
      <c r="AY4818" s="3" t="s">
        <v>46550</v>
      </c>
      <c r="AZ4818" s="3" t="s">
        <v>46551</v>
      </c>
      <c r="BA4818" s="3" t="s">
        <v>46551</v>
      </c>
      <c r="BB4818" s="3" t="s">
        <v>46563</v>
      </c>
      <c r="BC4818" s="3" t="s">
        <v>102</v>
      </c>
      <c r="BD4818" s="3" t="s">
        <v>68</v>
      </c>
      <c r="BE4818" s="3" t="s">
        <v>46553</v>
      </c>
      <c r="BF4818" s="3" t="s">
        <v>46563</v>
      </c>
      <c r="BG4818" s="3" t="s">
        <v>46564</v>
      </c>
    </row>
    <row r="4819" spans="1:59" ht="58" x14ac:dyDescent="0.35">
      <c r="A4819" s="2" t="s">
        <v>59</v>
      </c>
      <c r="B4819" s="2" t="s">
        <v>60</v>
      </c>
      <c r="C4819" s="2" t="s">
        <v>46542</v>
      </c>
      <c r="D4819" s="2" t="s">
        <v>46543</v>
      </c>
      <c r="E4819" s="2" t="s">
        <v>46544</v>
      </c>
      <c r="F4819" s="3" t="s">
        <v>46565</v>
      </c>
      <c r="G4819" s="3" t="s">
        <v>61</v>
      </c>
      <c r="I4819" s="3" t="s">
        <v>62</v>
      </c>
      <c r="J4819" s="3" t="s">
        <v>61</v>
      </c>
      <c r="K4819" s="3" t="s">
        <v>63</v>
      </c>
      <c r="L4819" s="2" t="s">
        <v>46546</v>
      </c>
      <c r="M4819" s="2" t="s">
        <v>46547</v>
      </c>
      <c r="N4819" s="3" t="s">
        <v>1291</v>
      </c>
      <c r="P4819" s="3" t="s">
        <v>64</v>
      </c>
      <c r="Q4819" s="2" t="s">
        <v>46548</v>
      </c>
      <c r="R4819" s="3" t="s">
        <v>46535</v>
      </c>
      <c r="S4819" s="4">
        <v>0</v>
      </c>
      <c r="T4819" s="4">
        <v>14</v>
      </c>
      <c r="V4819" s="5" t="s">
        <v>18455</v>
      </c>
      <c r="W4819" s="5" t="s">
        <v>67</v>
      </c>
      <c r="X4819" s="5" t="s">
        <v>67</v>
      </c>
      <c r="Y4819" s="4">
        <v>622</v>
      </c>
      <c r="Z4819" s="4">
        <v>31</v>
      </c>
      <c r="AA4819" s="4">
        <v>38</v>
      </c>
      <c r="AB4819" s="4">
        <v>4</v>
      </c>
      <c r="AC4819" s="4">
        <v>6</v>
      </c>
      <c r="AD4819" s="4">
        <v>112</v>
      </c>
      <c r="AE4819" s="4">
        <v>121</v>
      </c>
      <c r="AF4819" s="4">
        <v>0</v>
      </c>
      <c r="AG4819" s="4">
        <v>2</v>
      </c>
      <c r="AH4819" s="4">
        <v>94</v>
      </c>
      <c r="AI4819" s="4">
        <v>100</v>
      </c>
      <c r="AJ4819" s="4">
        <v>13</v>
      </c>
      <c r="AK4819" s="4">
        <v>16</v>
      </c>
      <c r="AL4819" s="4">
        <v>51</v>
      </c>
      <c r="AM4819" s="4">
        <v>54</v>
      </c>
      <c r="AN4819" s="4">
        <v>0</v>
      </c>
      <c r="AO4819" s="4">
        <v>0</v>
      </c>
      <c r="AP4819" s="4">
        <v>20</v>
      </c>
      <c r="AQ4819" s="4">
        <v>24</v>
      </c>
      <c r="AR4819" s="3" t="s">
        <v>62</v>
      </c>
      <c r="AS4819" s="3" t="s">
        <v>61</v>
      </c>
      <c r="AT4819" s="3" t="s">
        <v>61</v>
      </c>
      <c r="AU4819" s="6" t="str">
        <f t="shared" si="73"/>
        <v>HathiTrust Record</v>
      </c>
      <c r="AV4819" s="6" t="str">
        <f t="shared" si="74"/>
        <v>Catalog Record</v>
      </c>
      <c r="AW4819" s="6" t="str">
        <f t="shared" si="75"/>
        <v>WorldCat Record</v>
      </c>
      <c r="AX4819" s="3" t="s">
        <v>46549</v>
      </c>
      <c r="AY4819" s="3" t="s">
        <v>46550</v>
      </c>
      <c r="AZ4819" s="3" t="s">
        <v>46551</v>
      </c>
      <c r="BA4819" s="3" t="s">
        <v>46551</v>
      </c>
      <c r="BB4819" s="3" t="s">
        <v>46566</v>
      </c>
      <c r="BC4819" s="3" t="s">
        <v>102</v>
      </c>
      <c r="BD4819" s="3" t="s">
        <v>68</v>
      </c>
      <c r="BE4819" s="3" t="s">
        <v>46553</v>
      </c>
      <c r="BF4819" s="3" t="s">
        <v>46566</v>
      </c>
      <c r="BG4819" s="3" t="s">
        <v>46567</v>
      </c>
    </row>
    <row r="4820" spans="1:59" ht="58" x14ac:dyDescent="0.35">
      <c r="A4820" s="2" t="s">
        <v>59</v>
      </c>
      <c r="B4820" s="2" t="s">
        <v>60</v>
      </c>
      <c r="C4820" s="2" t="s">
        <v>46542</v>
      </c>
      <c r="D4820" s="2" t="s">
        <v>46543</v>
      </c>
      <c r="E4820" s="2" t="s">
        <v>46544</v>
      </c>
      <c r="F4820" s="3" t="s">
        <v>46568</v>
      </c>
      <c r="G4820" s="3" t="s">
        <v>61</v>
      </c>
      <c r="I4820" s="3" t="s">
        <v>62</v>
      </c>
      <c r="J4820" s="3" t="s">
        <v>61</v>
      </c>
      <c r="K4820" s="3" t="s">
        <v>63</v>
      </c>
      <c r="L4820" s="2" t="s">
        <v>46546</v>
      </c>
      <c r="M4820" s="2" t="s">
        <v>46547</v>
      </c>
      <c r="N4820" s="3" t="s">
        <v>1291</v>
      </c>
      <c r="P4820" s="3" t="s">
        <v>64</v>
      </c>
      <c r="Q4820" s="2" t="s">
        <v>46548</v>
      </c>
      <c r="R4820" s="3" t="s">
        <v>46535</v>
      </c>
      <c r="S4820" s="4">
        <v>1</v>
      </c>
      <c r="T4820" s="4">
        <v>14</v>
      </c>
      <c r="U4820" s="5" t="s">
        <v>18455</v>
      </c>
      <c r="V4820" s="5" t="s">
        <v>18455</v>
      </c>
      <c r="W4820" s="5" t="s">
        <v>67</v>
      </c>
      <c r="X4820" s="5" t="s">
        <v>67</v>
      </c>
      <c r="Y4820" s="4">
        <v>622</v>
      </c>
      <c r="Z4820" s="4">
        <v>31</v>
      </c>
      <c r="AA4820" s="4">
        <v>38</v>
      </c>
      <c r="AB4820" s="4">
        <v>4</v>
      </c>
      <c r="AC4820" s="4">
        <v>6</v>
      </c>
      <c r="AD4820" s="4">
        <v>112</v>
      </c>
      <c r="AE4820" s="4">
        <v>121</v>
      </c>
      <c r="AF4820" s="4">
        <v>0</v>
      </c>
      <c r="AG4820" s="4">
        <v>2</v>
      </c>
      <c r="AH4820" s="4">
        <v>94</v>
      </c>
      <c r="AI4820" s="4">
        <v>100</v>
      </c>
      <c r="AJ4820" s="4">
        <v>13</v>
      </c>
      <c r="AK4820" s="4">
        <v>16</v>
      </c>
      <c r="AL4820" s="4">
        <v>51</v>
      </c>
      <c r="AM4820" s="4">
        <v>54</v>
      </c>
      <c r="AN4820" s="4">
        <v>0</v>
      </c>
      <c r="AO4820" s="4">
        <v>0</v>
      </c>
      <c r="AP4820" s="4">
        <v>20</v>
      </c>
      <c r="AQ4820" s="4">
        <v>24</v>
      </c>
      <c r="AR4820" s="3" t="s">
        <v>62</v>
      </c>
      <c r="AS4820" s="3" t="s">
        <v>61</v>
      </c>
      <c r="AT4820" s="3" t="s">
        <v>61</v>
      </c>
      <c r="AU4820" s="6" t="str">
        <f t="shared" si="73"/>
        <v>HathiTrust Record</v>
      </c>
      <c r="AV4820" s="6" t="str">
        <f t="shared" si="74"/>
        <v>Catalog Record</v>
      </c>
      <c r="AW4820" s="6" t="str">
        <f t="shared" si="75"/>
        <v>WorldCat Record</v>
      </c>
      <c r="AX4820" s="3" t="s">
        <v>46549</v>
      </c>
      <c r="AY4820" s="3" t="s">
        <v>46550</v>
      </c>
      <c r="AZ4820" s="3" t="s">
        <v>46551</v>
      </c>
      <c r="BA4820" s="3" t="s">
        <v>46551</v>
      </c>
      <c r="BB4820" s="3" t="s">
        <v>46569</v>
      </c>
      <c r="BC4820" s="3" t="s">
        <v>102</v>
      </c>
      <c r="BD4820" s="3" t="s">
        <v>68</v>
      </c>
      <c r="BE4820" s="3" t="s">
        <v>46553</v>
      </c>
      <c r="BF4820" s="3" t="s">
        <v>46569</v>
      </c>
      <c r="BG4820" s="3" t="s">
        <v>46570</v>
      </c>
    </row>
    <row r="4821" spans="1:59" ht="58" x14ac:dyDescent="0.35">
      <c r="A4821" s="2" t="s">
        <v>59</v>
      </c>
      <c r="B4821" s="2" t="s">
        <v>60</v>
      </c>
      <c r="C4821" s="2" t="s">
        <v>46542</v>
      </c>
      <c r="D4821" s="2" t="s">
        <v>46543</v>
      </c>
      <c r="E4821" s="2" t="s">
        <v>46544</v>
      </c>
      <c r="F4821" s="3" t="s">
        <v>46571</v>
      </c>
      <c r="G4821" s="3" t="s">
        <v>61</v>
      </c>
      <c r="I4821" s="3" t="s">
        <v>62</v>
      </c>
      <c r="J4821" s="3" t="s">
        <v>61</v>
      </c>
      <c r="K4821" s="3" t="s">
        <v>63</v>
      </c>
      <c r="L4821" s="2" t="s">
        <v>46546</v>
      </c>
      <c r="M4821" s="2" t="s">
        <v>46547</v>
      </c>
      <c r="N4821" s="3" t="s">
        <v>1291</v>
      </c>
      <c r="P4821" s="3" t="s">
        <v>64</v>
      </c>
      <c r="Q4821" s="2" t="s">
        <v>46548</v>
      </c>
      <c r="R4821" s="3" t="s">
        <v>46535</v>
      </c>
      <c r="S4821" s="4">
        <v>0</v>
      </c>
      <c r="T4821" s="4">
        <v>14</v>
      </c>
      <c r="V4821" s="5" t="s">
        <v>18455</v>
      </c>
      <c r="W4821" s="5" t="s">
        <v>67</v>
      </c>
      <c r="X4821" s="5" t="s">
        <v>67</v>
      </c>
      <c r="Y4821" s="4">
        <v>622</v>
      </c>
      <c r="Z4821" s="4">
        <v>31</v>
      </c>
      <c r="AA4821" s="4">
        <v>38</v>
      </c>
      <c r="AB4821" s="4">
        <v>4</v>
      </c>
      <c r="AC4821" s="4">
        <v>6</v>
      </c>
      <c r="AD4821" s="4">
        <v>112</v>
      </c>
      <c r="AE4821" s="4">
        <v>121</v>
      </c>
      <c r="AF4821" s="4">
        <v>0</v>
      </c>
      <c r="AG4821" s="4">
        <v>2</v>
      </c>
      <c r="AH4821" s="4">
        <v>94</v>
      </c>
      <c r="AI4821" s="4">
        <v>100</v>
      </c>
      <c r="AJ4821" s="4">
        <v>13</v>
      </c>
      <c r="AK4821" s="4">
        <v>16</v>
      </c>
      <c r="AL4821" s="4">
        <v>51</v>
      </c>
      <c r="AM4821" s="4">
        <v>54</v>
      </c>
      <c r="AN4821" s="4">
        <v>0</v>
      </c>
      <c r="AO4821" s="4">
        <v>0</v>
      </c>
      <c r="AP4821" s="4">
        <v>20</v>
      </c>
      <c r="AQ4821" s="4">
        <v>24</v>
      </c>
      <c r="AR4821" s="3" t="s">
        <v>62</v>
      </c>
      <c r="AS4821" s="3" t="s">
        <v>61</v>
      </c>
      <c r="AT4821" s="3" t="s">
        <v>61</v>
      </c>
      <c r="AU4821" s="6" t="str">
        <f t="shared" si="73"/>
        <v>HathiTrust Record</v>
      </c>
      <c r="AV4821" s="6" t="str">
        <f t="shared" si="74"/>
        <v>Catalog Record</v>
      </c>
      <c r="AW4821" s="6" t="str">
        <f t="shared" si="75"/>
        <v>WorldCat Record</v>
      </c>
      <c r="AX4821" s="3" t="s">
        <v>46549</v>
      </c>
      <c r="AY4821" s="3" t="s">
        <v>46550</v>
      </c>
      <c r="AZ4821" s="3" t="s">
        <v>46551</v>
      </c>
      <c r="BA4821" s="3" t="s">
        <v>46551</v>
      </c>
      <c r="BB4821" s="3" t="s">
        <v>46572</v>
      </c>
      <c r="BC4821" s="3" t="s">
        <v>102</v>
      </c>
      <c r="BD4821" s="3" t="s">
        <v>68</v>
      </c>
      <c r="BE4821" s="3" t="s">
        <v>46553</v>
      </c>
      <c r="BF4821" s="3" t="s">
        <v>46572</v>
      </c>
      <c r="BG4821" s="3" t="s">
        <v>46573</v>
      </c>
    </row>
    <row r="4822" spans="1:59" ht="58" x14ac:dyDescent="0.35">
      <c r="A4822" s="2" t="s">
        <v>59</v>
      </c>
      <c r="B4822" s="2" t="s">
        <v>60</v>
      </c>
      <c r="C4822" s="2" t="s">
        <v>46542</v>
      </c>
      <c r="D4822" s="2" t="s">
        <v>46543</v>
      </c>
      <c r="E4822" s="2" t="s">
        <v>46544</v>
      </c>
      <c r="F4822" s="3" t="s">
        <v>46574</v>
      </c>
      <c r="G4822" s="3" t="s">
        <v>61</v>
      </c>
      <c r="I4822" s="3" t="s">
        <v>62</v>
      </c>
      <c r="J4822" s="3" t="s">
        <v>61</v>
      </c>
      <c r="K4822" s="3" t="s">
        <v>63</v>
      </c>
      <c r="L4822" s="2" t="s">
        <v>46546</v>
      </c>
      <c r="M4822" s="2" t="s">
        <v>46547</v>
      </c>
      <c r="N4822" s="3" t="s">
        <v>1291</v>
      </c>
      <c r="P4822" s="3" t="s">
        <v>64</v>
      </c>
      <c r="Q4822" s="2" t="s">
        <v>46548</v>
      </c>
      <c r="R4822" s="3" t="s">
        <v>46535</v>
      </c>
      <c r="S4822" s="4">
        <v>0</v>
      </c>
      <c r="T4822" s="4">
        <v>14</v>
      </c>
      <c r="V4822" s="5" t="s">
        <v>18455</v>
      </c>
      <c r="W4822" s="5" t="s">
        <v>67</v>
      </c>
      <c r="X4822" s="5" t="s">
        <v>67</v>
      </c>
      <c r="Y4822" s="4">
        <v>622</v>
      </c>
      <c r="Z4822" s="4">
        <v>31</v>
      </c>
      <c r="AA4822" s="4">
        <v>38</v>
      </c>
      <c r="AB4822" s="4">
        <v>4</v>
      </c>
      <c r="AC4822" s="4">
        <v>6</v>
      </c>
      <c r="AD4822" s="4">
        <v>112</v>
      </c>
      <c r="AE4822" s="4">
        <v>121</v>
      </c>
      <c r="AF4822" s="4">
        <v>0</v>
      </c>
      <c r="AG4822" s="4">
        <v>2</v>
      </c>
      <c r="AH4822" s="4">
        <v>94</v>
      </c>
      <c r="AI4822" s="4">
        <v>100</v>
      </c>
      <c r="AJ4822" s="4">
        <v>13</v>
      </c>
      <c r="AK4822" s="4">
        <v>16</v>
      </c>
      <c r="AL4822" s="4">
        <v>51</v>
      </c>
      <c r="AM4822" s="4">
        <v>54</v>
      </c>
      <c r="AN4822" s="4">
        <v>0</v>
      </c>
      <c r="AO4822" s="4">
        <v>0</v>
      </c>
      <c r="AP4822" s="4">
        <v>20</v>
      </c>
      <c r="AQ4822" s="4">
        <v>24</v>
      </c>
      <c r="AR4822" s="3" t="s">
        <v>62</v>
      </c>
      <c r="AS4822" s="3" t="s">
        <v>61</v>
      </c>
      <c r="AT4822" s="3" t="s">
        <v>61</v>
      </c>
      <c r="AU4822" s="6" t="str">
        <f t="shared" si="73"/>
        <v>HathiTrust Record</v>
      </c>
      <c r="AV4822" s="6" t="str">
        <f t="shared" si="74"/>
        <v>Catalog Record</v>
      </c>
      <c r="AW4822" s="6" t="str">
        <f t="shared" si="75"/>
        <v>WorldCat Record</v>
      </c>
      <c r="AX4822" s="3" t="s">
        <v>46549</v>
      </c>
      <c r="AY4822" s="3" t="s">
        <v>46550</v>
      </c>
      <c r="AZ4822" s="3" t="s">
        <v>46551</v>
      </c>
      <c r="BA4822" s="3" t="s">
        <v>46551</v>
      </c>
      <c r="BB4822" s="3" t="s">
        <v>46575</v>
      </c>
      <c r="BC4822" s="3" t="s">
        <v>102</v>
      </c>
      <c r="BD4822" s="3" t="s">
        <v>68</v>
      </c>
      <c r="BE4822" s="3" t="s">
        <v>46553</v>
      </c>
      <c r="BF4822" s="3" t="s">
        <v>46575</v>
      </c>
      <c r="BG4822" s="3" t="s">
        <v>46576</v>
      </c>
    </row>
    <row r="4823" spans="1:59" ht="58" x14ac:dyDescent="0.35">
      <c r="A4823" s="2" t="s">
        <v>59</v>
      </c>
      <c r="B4823" s="2" t="s">
        <v>60</v>
      </c>
      <c r="C4823" s="2" t="s">
        <v>46542</v>
      </c>
      <c r="D4823" s="2" t="s">
        <v>46543</v>
      </c>
      <c r="E4823" s="2" t="s">
        <v>46544</v>
      </c>
      <c r="F4823" s="3" t="s">
        <v>46577</v>
      </c>
      <c r="G4823" s="3" t="s">
        <v>61</v>
      </c>
      <c r="I4823" s="3" t="s">
        <v>62</v>
      </c>
      <c r="J4823" s="3" t="s">
        <v>61</v>
      </c>
      <c r="K4823" s="3" t="s">
        <v>63</v>
      </c>
      <c r="L4823" s="2" t="s">
        <v>46546</v>
      </c>
      <c r="M4823" s="2" t="s">
        <v>46547</v>
      </c>
      <c r="N4823" s="3" t="s">
        <v>1291</v>
      </c>
      <c r="P4823" s="3" t="s">
        <v>64</v>
      </c>
      <c r="Q4823" s="2" t="s">
        <v>46548</v>
      </c>
      <c r="R4823" s="3" t="s">
        <v>46535</v>
      </c>
      <c r="S4823" s="4">
        <v>0</v>
      </c>
      <c r="T4823" s="4">
        <v>14</v>
      </c>
      <c r="V4823" s="5" t="s">
        <v>18455</v>
      </c>
      <c r="W4823" s="5" t="s">
        <v>67</v>
      </c>
      <c r="X4823" s="5" t="s">
        <v>67</v>
      </c>
      <c r="Y4823" s="4">
        <v>622</v>
      </c>
      <c r="Z4823" s="4">
        <v>31</v>
      </c>
      <c r="AA4823" s="4">
        <v>38</v>
      </c>
      <c r="AB4823" s="4">
        <v>4</v>
      </c>
      <c r="AC4823" s="4">
        <v>6</v>
      </c>
      <c r="AD4823" s="4">
        <v>112</v>
      </c>
      <c r="AE4823" s="4">
        <v>121</v>
      </c>
      <c r="AF4823" s="4">
        <v>0</v>
      </c>
      <c r="AG4823" s="4">
        <v>2</v>
      </c>
      <c r="AH4823" s="4">
        <v>94</v>
      </c>
      <c r="AI4823" s="4">
        <v>100</v>
      </c>
      <c r="AJ4823" s="4">
        <v>13</v>
      </c>
      <c r="AK4823" s="4">
        <v>16</v>
      </c>
      <c r="AL4823" s="4">
        <v>51</v>
      </c>
      <c r="AM4823" s="4">
        <v>54</v>
      </c>
      <c r="AN4823" s="4">
        <v>0</v>
      </c>
      <c r="AO4823" s="4">
        <v>0</v>
      </c>
      <c r="AP4823" s="4">
        <v>20</v>
      </c>
      <c r="AQ4823" s="4">
        <v>24</v>
      </c>
      <c r="AR4823" s="3" t="s">
        <v>62</v>
      </c>
      <c r="AS4823" s="3" t="s">
        <v>61</v>
      </c>
      <c r="AT4823" s="3" t="s">
        <v>61</v>
      </c>
      <c r="AU4823" s="6" t="str">
        <f t="shared" si="73"/>
        <v>HathiTrust Record</v>
      </c>
      <c r="AV4823" s="6" t="str">
        <f t="shared" si="74"/>
        <v>Catalog Record</v>
      </c>
      <c r="AW4823" s="6" t="str">
        <f t="shared" si="75"/>
        <v>WorldCat Record</v>
      </c>
      <c r="AX4823" s="3" t="s">
        <v>46549</v>
      </c>
      <c r="AY4823" s="3" t="s">
        <v>46550</v>
      </c>
      <c r="AZ4823" s="3" t="s">
        <v>46551</v>
      </c>
      <c r="BA4823" s="3" t="s">
        <v>46551</v>
      </c>
      <c r="BB4823" s="3" t="s">
        <v>46578</v>
      </c>
      <c r="BC4823" s="3" t="s">
        <v>102</v>
      </c>
      <c r="BD4823" s="3" t="s">
        <v>68</v>
      </c>
      <c r="BE4823" s="3" t="s">
        <v>46553</v>
      </c>
      <c r="BF4823" s="3" t="s">
        <v>46578</v>
      </c>
      <c r="BG4823" s="3" t="s">
        <v>46579</v>
      </c>
    </row>
    <row r="4824" spans="1:59" ht="58" x14ac:dyDescent="0.35">
      <c r="A4824" s="2" t="s">
        <v>59</v>
      </c>
      <c r="B4824" s="2" t="s">
        <v>60</v>
      </c>
      <c r="C4824" s="2" t="s">
        <v>46542</v>
      </c>
      <c r="D4824" s="2" t="s">
        <v>46543</v>
      </c>
      <c r="E4824" s="2" t="s">
        <v>46544</v>
      </c>
      <c r="F4824" s="3" t="s">
        <v>46580</v>
      </c>
      <c r="G4824" s="3" t="s">
        <v>61</v>
      </c>
      <c r="I4824" s="3" t="s">
        <v>62</v>
      </c>
      <c r="J4824" s="3" t="s">
        <v>61</v>
      </c>
      <c r="K4824" s="3" t="s">
        <v>63</v>
      </c>
      <c r="L4824" s="2" t="s">
        <v>46546</v>
      </c>
      <c r="M4824" s="2" t="s">
        <v>46547</v>
      </c>
      <c r="N4824" s="3" t="s">
        <v>1291</v>
      </c>
      <c r="P4824" s="3" t="s">
        <v>64</v>
      </c>
      <c r="Q4824" s="2" t="s">
        <v>46548</v>
      </c>
      <c r="R4824" s="3" t="s">
        <v>46535</v>
      </c>
      <c r="S4824" s="4">
        <v>2</v>
      </c>
      <c r="T4824" s="4">
        <v>14</v>
      </c>
      <c r="U4824" s="5" t="s">
        <v>46581</v>
      </c>
      <c r="V4824" s="5" t="s">
        <v>18455</v>
      </c>
      <c r="W4824" s="5" t="s">
        <v>67</v>
      </c>
      <c r="X4824" s="5" t="s">
        <v>67</v>
      </c>
      <c r="Y4824" s="4">
        <v>622</v>
      </c>
      <c r="Z4824" s="4">
        <v>31</v>
      </c>
      <c r="AA4824" s="4">
        <v>38</v>
      </c>
      <c r="AB4824" s="4">
        <v>4</v>
      </c>
      <c r="AC4824" s="4">
        <v>6</v>
      </c>
      <c r="AD4824" s="4">
        <v>112</v>
      </c>
      <c r="AE4824" s="4">
        <v>121</v>
      </c>
      <c r="AF4824" s="4">
        <v>0</v>
      </c>
      <c r="AG4824" s="4">
        <v>2</v>
      </c>
      <c r="AH4824" s="4">
        <v>94</v>
      </c>
      <c r="AI4824" s="4">
        <v>100</v>
      </c>
      <c r="AJ4824" s="4">
        <v>13</v>
      </c>
      <c r="AK4824" s="4">
        <v>16</v>
      </c>
      <c r="AL4824" s="4">
        <v>51</v>
      </c>
      <c r="AM4824" s="4">
        <v>54</v>
      </c>
      <c r="AN4824" s="4">
        <v>0</v>
      </c>
      <c r="AO4824" s="4">
        <v>0</v>
      </c>
      <c r="AP4824" s="4">
        <v>20</v>
      </c>
      <c r="AQ4824" s="4">
        <v>24</v>
      </c>
      <c r="AR4824" s="3" t="s">
        <v>62</v>
      </c>
      <c r="AS4824" s="3" t="s">
        <v>61</v>
      </c>
      <c r="AT4824" s="3" t="s">
        <v>61</v>
      </c>
      <c r="AU4824" s="6" t="str">
        <f t="shared" si="73"/>
        <v>HathiTrust Record</v>
      </c>
      <c r="AV4824" s="6" t="str">
        <f t="shared" si="74"/>
        <v>Catalog Record</v>
      </c>
      <c r="AW4824" s="6" t="str">
        <f t="shared" si="75"/>
        <v>WorldCat Record</v>
      </c>
      <c r="AX4824" s="3" t="s">
        <v>46549</v>
      </c>
      <c r="AY4824" s="3" t="s">
        <v>46550</v>
      </c>
      <c r="AZ4824" s="3" t="s">
        <v>46551</v>
      </c>
      <c r="BA4824" s="3" t="s">
        <v>46551</v>
      </c>
      <c r="BB4824" s="3" t="s">
        <v>46582</v>
      </c>
      <c r="BC4824" s="3" t="s">
        <v>102</v>
      </c>
      <c r="BD4824" s="3" t="s">
        <v>68</v>
      </c>
      <c r="BE4824" s="3" t="s">
        <v>46553</v>
      </c>
      <c r="BF4824" s="3" t="s">
        <v>46582</v>
      </c>
      <c r="BG4824" s="3" t="s">
        <v>46583</v>
      </c>
    </row>
    <row r="4825" spans="1:59" ht="58" x14ac:dyDescent="0.35">
      <c r="A4825" s="2" t="s">
        <v>59</v>
      </c>
      <c r="B4825" s="2" t="s">
        <v>60</v>
      </c>
      <c r="C4825" s="2" t="s">
        <v>46542</v>
      </c>
      <c r="D4825" s="2" t="s">
        <v>46543</v>
      </c>
      <c r="E4825" s="2" t="s">
        <v>46544</v>
      </c>
      <c r="F4825" s="3" t="s">
        <v>46584</v>
      </c>
      <c r="G4825" s="3" t="s">
        <v>61</v>
      </c>
      <c r="I4825" s="3" t="s">
        <v>62</v>
      </c>
      <c r="J4825" s="3" t="s">
        <v>61</v>
      </c>
      <c r="K4825" s="3" t="s">
        <v>63</v>
      </c>
      <c r="L4825" s="2" t="s">
        <v>46546</v>
      </c>
      <c r="M4825" s="2" t="s">
        <v>46547</v>
      </c>
      <c r="N4825" s="3" t="s">
        <v>1291</v>
      </c>
      <c r="P4825" s="3" t="s">
        <v>64</v>
      </c>
      <c r="Q4825" s="2" t="s">
        <v>46548</v>
      </c>
      <c r="R4825" s="3" t="s">
        <v>46535</v>
      </c>
      <c r="S4825" s="4">
        <v>0</v>
      </c>
      <c r="T4825" s="4">
        <v>14</v>
      </c>
      <c r="V4825" s="5" t="s">
        <v>18455</v>
      </c>
      <c r="W4825" s="5" t="s">
        <v>67</v>
      </c>
      <c r="X4825" s="5" t="s">
        <v>67</v>
      </c>
      <c r="Y4825" s="4">
        <v>622</v>
      </c>
      <c r="Z4825" s="4">
        <v>31</v>
      </c>
      <c r="AA4825" s="4">
        <v>38</v>
      </c>
      <c r="AB4825" s="4">
        <v>4</v>
      </c>
      <c r="AC4825" s="4">
        <v>6</v>
      </c>
      <c r="AD4825" s="4">
        <v>112</v>
      </c>
      <c r="AE4825" s="4">
        <v>121</v>
      </c>
      <c r="AF4825" s="4">
        <v>0</v>
      </c>
      <c r="AG4825" s="4">
        <v>2</v>
      </c>
      <c r="AH4825" s="4">
        <v>94</v>
      </c>
      <c r="AI4825" s="4">
        <v>100</v>
      </c>
      <c r="AJ4825" s="4">
        <v>13</v>
      </c>
      <c r="AK4825" s="4">
        <v>16</v>
      </c>
      <c r="AL4825" s="4">
        <v>51</v>
      </c>
      <c r="AM4825" s="4">
        <v>54</v>
      </c>
      <c r="AN4825" s="4">
        <v>0</v>
      </c>
      <c r="AO4825" s="4">
        <v>0</v>
      </c>
      <c r="AP4825" s="4">
        <v>20</v>
      </c>
      <c r="AQ4825" s="4">
        <v>24</v>
      </c>
      <c r="AR4825" s="3" t="s">
        <v>62</v>
      </c>
      <c r="AS4825" s="3" t="s">
        <v>61</v>
      </c>
      <c r="AT4825" s="3" t="s">
        <v>61</v>
      </c>
      <c r="AU4825" s="6" t="str">
        <f t="shared" si="73"/>
        <v>HathiTrust Record</v>
      </c>
      <c r="AV4825" s="6" t="str">
        <f t="shared" si="74"/>
        <v>Catalog Record</v>
      </c>
      <c r="AW4825" s="6" t="str">
        <f t="shared" si="75"/>
        <v>WorldCat Record</v>
      </c>
      <c r="AX4825" s="3" t="s">
        <v>46549</v>
      </c>
      <c r="AY4825" s="3" t="s">
        <v>46550</v>
      </c>
      <c r="AZ4825" s="3" t="s">
        <v>46551</v>
      </c>
      <c r="BA4825" s="3" t="s">
        <v>46551</v>
      </c>
      <c r="BB4825" s="3" t="s">
        <v>46585</v>
      </c>
      <c r="BC4825" s="3" t="s">
        <v>102</v>
      </c>
      <c r="BD4825" s="3" t="s">
        <v>68</v>
      </c>
      <c r="BE4825" s="3" t="s">
        <v>46553</v>
      </c>
      <c r="BF4825" s="3" t="s">
        <v>46585</v>
      </c>
      <c r="BG4825" s="3" t="s">
        <v>46586</v>
      </c>
    </row>
    <row r="4826" spans="1:59" ht="58" x14ac:dyDescent="0.35">
      <c r="A4826" s="2" t="s">
        <v>59</v>
      </c>
      <c r="B4826" s="2" t="s">
        <v>60</v>
      </c>
      <c r="C4826" s="2" t="s">
        <v>46542</v>
      </c>
      <c r="D4826" s="2" t="s">
        <v>46543</v>
      </c>
      <c r="E4826" s="2" t="s">
        <v>46544</v>
      </c>
      <c r="F4826" s="3" t="s">
        <v>46587</v>
      </c>
      <c r="G4826" s="3" t="s">
        <v>61</v>
      </c>
      <c r="I4826" s="3" t="s">
        <v>62</v>
      </c>
      <c r="J4826" s="3" t="s">
        <v>61</v>
      </c>
      <c r="K4826" s="3" t="s">
        <v>63</v>
      </c>
      <c r="L4826" s="2" t="s">
        <v>46546</v>
      </c>
      <c r="M4826" s="2" t="s">
        <v>46547</v>
      </c>
      <c r="N4826" s="3" t="s">
        <v>1291</v>
      </c>
      <c r="P4826" s="3" t="s">
        <v>64</v>
      </c>
      <c r="Q4826" s="2" t="s">
        <v>46548</v>
      </c>
      <c r="R4826" s="3" t="s">
        <v>46535</v>
      </c>
      <c r="S4826" s="4">
        <v>1</v>
      </c>
      <c r="T4826" s="4">
        <v>14</v>
      </c>
      <c r="U4826" s="5" t="s">
        <v>46588</v>
      </c>
      <c r="V4826" s="5" t="s">
        <v>18455</v>
      </c>
      <c r="W4826" s="5" t="s">
        <v>67</v>
      </c>
      <c r="X4826" s="5" t="s">
        <v>67</v>
      </c>
      <c r="Y4826" s="4">
        <v>622</v>
      </c>
      <c r="Z4826" s="4">
        <v>31</v>
      </c>
      <c r="AA4826" s="4">
        <v>38</v>
      </c>
      <c r="AB4826" s="4">
        <v>4</v>
      </c>
      <c r="AC4826" s="4">
        <v>6</v>
      </c>
      <c r="AD4826" s="4">
        <v>112</v>
      </c>
      <c r="AE4826" s="4">
        <v>121</v>
      </c>
      <c r="AF4826" s="4">
        <v>0</v>
      </c>
      <c r="AG4826" s="4">
        <v>2</v>
      </c>
      <c r="AH4826" s="4">
        <v>94</v>
      </c>
      <c r="AI4826" s="4">
        <v>100</v>
      </c>
      <c r="AJ4826" s="4">
        <v>13</v>
      </c>
      <c r="AK4826" s="4">
        <v>16</v>
      </c>
      <c r="AL4826" s="4">
        <v>51</v>
      </c>
      <c r="AM4826" s="4">
        <v>54</v>
      </c>
      <c r="AN4826" s="4">
        <v>0</v>
      </c>
      <c r="AO4826" s="4">
        <v>0</v>
      </c>
      <c r="AP4826" s="4">
        <v>20</v>
      </c>
      <c r="AQ4826" s="4">
        <v>24</v>
      </c>
      <c r="AR4826" s="3" t="s">
        <v>62</v>
      </c>
      <c r="AS4826" s="3" t="s">
        <v>61</v>
      </c>
      <c r="AT4826" s="3" t="s">
        <v>61</v>
      </c>
      <c r="AU4826" s="6" t="str">
        <f t="shared" si="73"/>
        <v>HathiTrust Record</v>
      </c>
      <c r="AV4826" s="6" t="str">
        <f t="shared" si="74"/>
        <v>Catalog Record</v>
      </c>
      <c r="AW4826" s="6" t="str">
        <f t="shared" si="75"/>
        <v>WorldCat Record</v>
      </c>
      <c r="AX4826" s="3" t="s">
        <v>46549</v>
      </c>
      <c r="AY4826" s="3" t="s">
        <v>46550</v>
      </c>
      <c r="AZ4826" s="3" t="s">
        <v>46551</v>
      </c>
      <c r="BA4826" s="3" t="s">
        <v>46551</v>
      </c>
      <c r="BB4826" s="3" t="s">
        <v>46589</v>
      </c>
      <c r="BC4826" s="3" t="s">
        <v>102</v>
      </c>
      <c r="BD4826" s="3" t="s">
        <v>68</v>
      </c>
      <c r="BE4826" s="3" t="s">
        <v>46553</v>
      </c>
      <c r="BF4826" s="3" t="s">
        <v>46589</v>
      </c>
      <c r="BG4826" s="3" t="s">
        <v>46590</v>
      </c>
    </row>
    <row r="4827" spans="1:59" ht="58" x14ac:dyDescent="0.35">
      <c r="A4827" s="2" t="s">
        <v>59</v>
      </c>
      <c r="B4827" s="2" t="s">
        <v>60</v>
      </c>
      <c r="C4827" s="2" t="s">
        <v>46542</v>
      </c>
      <c r="D4827" s="2" t="s">
        <v>46543</v>
      </c>
      <c r="E4827" s="2" t="s">
        <v>46544</v>
      </c>
      <c r="F4827" s="3" t="s">
        <v>46591</v>
      </c>
      <c r="G4827" s="3" t="s">
        <v>61</v>
      </c>
      <c r="I4827" s="3" t="s">
        <v>62</v>
      </c>
      <c r="J4827" s="3" t="s">
        <v>61</v>
      </c>
      <c r="K4827" s="3" t="s">
        <v>63</v>
      </c>
      <c r="L4827" s="2" t="s">
        <v>46546</v>
      </c>
      <c r="M4827" s="2" t="s">
        <v>46547</v>
      </c>
      <c r="N4827" s="3" t="s">
        <v>1291</v>
      </c>
      <c r="P4827" s="3" t="s">
        <v>64</v>
      </c>
      <c r="Q4827" s="2" t="s">
        <v>46548</v>
      </c>
      <c r="R4827" s="3" t="s">
        <v>46535</v>
      </c>
      <c r="S4827" s="4">
        <v>0</v>
      </c>
      <c r="T4827" s="4">
        <v>14</v>
      </c>
      <c r="V4827" s="5" t="s">
        <v>18455</v>
      </c>
      <c r="W4827" s="5" t="s">
        <v>67</v>
      </c>
      <c r="X4827" s="5" t="s">
        <v>67</v>
      </c>
      <c r="Y4827" s="4">
        <v>622</v>
      </c>
      <c r="Z4827" s="4">
        <v>31</v>
      </c>
      <c r="AA4827" s="4">
        <v>38</v>
      </c>
      <c r="AB4827" s="4">
        <v>4</v>
      </c>
      <c r="AC4827" s="4">
        <v>6</v>
      </c>
      <c r="AD4827" s="4">
        <v>112</v>
      </c>
      <c r="AE4827" s="4">
        <v>121</v>
      </c>
      <c r="AF4827" s="4">
        <v>0</v>
      </c>
      <c r="AG4827" s="4">
        <v>2</v>
      </c>
      <c r="AH4827" s="4">
        <v>94</v>
      </c>
      <c r="AI4827" s="4">
        <v>100</v>
      </c>
      <c r="AJ4827" s="4">
        <v>13</v>
      </c>
      <c r="AK4827" s="4">
        <v>16</v>
      </c>
      <c r="AL4827" s="4">
        <v>51</v>
      </c>
      <c r="AM4827" s="4">
        <v>54</v>
      </c>
      <c r="AN4827" s="4">
        <v>0</v>
      </c>
      <c r="AO4827" s="4">
        <v>0</v>
      </c>
      <c r="AP4827" s="4">
        <v>20</v>
      </c>
      <c r="AQ4827" s="4">
        <v>24</v>
      </c>
      <c r="AR4827" s="3" t="s">
        <v>62</v>
      </c>
      <c r="AS4827" s="3" t="s">
        <v>61</v>
      </c>
      <c r="AT4827" s="3" t="s">
        <v>61</v>
      </c>
      <c r="AU4827" s="6" t="str">
        <f t="shared" si="73"/>
        <v>HathiTrust Record</v>
      </c>
      <c r="AV4827" s="6" t="str">
        <f t="shared" si="74"/>
        <v>Catalog Record</v>
      </c>
      <c r="AW4827" s="6" t="str">
        <f t="shared" si="75"/>
        <v>WorldCat Record</v>
      </c>
      <c r="AX4827" s="3" t="s">
        <v>46549</v>
      </c>
      <c r="AY4827" s="3" t="s">
        <v>46550</v>
      </c>
      <c r="AZ4827" s="3" t="s">
        <v>46551</v>
      </c>
      <c r="BA4827" s="3" t="s">
        <v>46551</v>
      </c>
      <c r="BB4827" s="3" t="s">
        <v>46592</v>
      </c>
      <c r="BC4827" s="3" t="s">
        <v>102</v>
      </c>
      <c r="BD4827" s="3" t="s">
        <v>68</v>
      </c>
      <c r="BE4827" s="3" t="s">
        <v>46553</v>
      </c>
      <c r="BF4827" s="3" t="s">
        <v>46592</v>
      </c>
      <c r="BG4827" s="3" t="s">
        <v>46593</v>
      </c>
    </row>
    <row r="4828" spans="1:59" ht="58" x14ac:dyDescent="0.35">
      <c r="A4828" s="2" t="s">
        <v>59</v>
      </c>
      <c r="B4828" s="2" t="s">
        <v>60</v>
      </c>
      <c r="C4828" s="2" t="s">
        <v>46542</v>
      </c>
      <c r="D4828" s="2" t="s">
        <v>46543</v>
      </c>
      <c r="E4828" s="2" t="s">
        <v>46544</v>
      </c>
      <c r="F4828" s="3" t="s">
        <v>46594</v>
      </c>
      <c r="G4828" s="3" t="s">
        <v>61</v>
      </c>
      <c r="I4828" s="3" t="s">
        <v>62</v>
      </c>
      <c r="J4828" s="3" t="s">
        <v>61</v>
      </c>
      <c r="K4828" s="3" t="s">
        <v>63</v>
      </c>
      <c r="L4828" s="2" t="s">
        <v>46546</v>
      </c>
      <c r="M4828" s="2" t="s">
        <v>46547</v>
      </c>
      <c r="N4828" s="3" t="s">
        <v>1291</v>
      </c>
      <c r="P4828" s="3" t="s">
        <v>64</v>
      </c>
      <c r="Q4828" s="2" t="s">
        <v>46548</v>
      </c>
      <c r="R4828" s="3" t="s">
        <v>46535</v>
      </c>
      <c r="S4828" s="4">
        <v>1</v>
      </c>
      <c r="T4828" s="4">
        <v>14</v>
      </c>
      <c r="U4828" s="5" t="s">
        <v>18455</v>
      </c>
      <c r="V4828" s="5" t="s">
        <v>18455</v>
      </c>
      <c r="W4828" s="5" t="s">
        <v>67</v>
      </c>
      <c r="X4828" s="5" t="s">
        <v>67</v>
      </c>
      <c r="Y4828" s="4">
        <v>622</v>
      </c>
      <c r="Z4828" s="4">
        <v>31</v>
      </c>
      <c r="AA4828" s="4">
        <v>38</v>
      </c>
      <c r="AB4828" s="4">
        <v>4</v>
      </c>
      <c r="AC4828" s="4">
        <v>6</v>
      </c>
      <c r="AD4828" s="4">
        <v>112</v>
      </c>
      <c r="AE4828" s="4">
        <v>121</v>
      </c>
      <c r="AF4828" s="4">
        <v>0</v>
      </c>
      <c r="AG4828" s="4">
        <v>2</v>
      </c>
      <c r="AH4828" s="4">
        <v>94</v>
      </c>
      <c r="AI4828" s="4">
        <v>100</v>
      </c>
      <c r="AJ4828" s="4">
        <v>13</v>
      </c>
      <c r="AK4828" s="4">
        <v>16</v>
      </c>
      <c r="AL4828" s="4">
        <v>51</v>
      </c>
      <c r="AM4828" s="4">
        <v>54</v>
      </c>
      <c r="AN4828" s="4">
        <v>0</v>
      </c>
      <c r="AO4828" s="4">
        <v>0</v>
      </c>
      <c r="AP4828" s="4">
        <v>20</v>
      </c>
      <c r="AQ4828" s="4">
        <v>24</v>
      </c>
      <c r="AR4828" s="3" t="s">
        <v>62</v>
      </c>
      <c r="AS4828" s="3" t="s">
        <v>61</v>
      </c>
      <c r="AT4828" s="3" t="s">
        <v>61</v>
      </c>
      <c r="AU4828" s="6" t="str">
        <f t="shared" si="73"/>
        <v>HathiTrust Record</v>
      </c>
      <c r="AV4828" s="6" t="str">
        <f t="shared" si="74"/>
        <v>Catalog Record</v>
      </c>
      <c r="AW4828" s="6" t="str">
        <f t="shared" si="75"/>
        <v>WorldCat Record</v>
      </c>
      <c r="AX4828" s="3" t="s">
        <v>46549</v>
      </c>
      <c r="AY4828" s="3" t="s">
        <v>46550</v>
      </c>
      <c r="AZ4828" s="3" t="s">
        <v>46551</v>
      </c>
      <c r="BA4828" s="3" t="s">
        <v>46551</v>
      </c>
      <c r="BB4828" s="3" t="s">
        <v>46595</v>
      </c>
      <c r="BC4828" s="3" t="s">
        <v>102</v>
      </c>
      <c r="BD4828" s="3" t="s">
        <v>68</v>
      </c>
      <c r="BE4828" s="3" t="s">
        <v>46553</v>
      </c>
      <c r="BF4828" s="3" t="s">
        <v>46595</v>
      </c>
      <c r="BG4828" s="3" t="s">
        <v>46596</v>
      </c>
    </row>
    <row r="4829" spans="1:59" ht="58" x14ac:dyDescent="0.35">
      <c r="A4829" s="2" t="s">
        <v>59</v>
      </c>
      <c r="B4829" s="2" t="s">
        <v>60</v>
      </c>
      <c r="C4829" s="2" t="s">
        <v>46542</v>
      </c>
      <c r="D4829" s="2" t="s">
        <v>46543</v>
      </c>
      <c r="E4829" s="2" t="s">
        <v>46544</v>
      </c>
      <c r="F4829" s="3" t="s">
        <v>46597</v>
      </c>
      <c r="G4829" s="3" t="s">
        <v>61</v>
      </c>
      <c r="I4829" s="3" t="s">
        <v>62</v>
      </c>
      <c r="J4829" s="3" t="s">
        <v>61</v>
      </c>
      <c r="K4829" s="3" t="s">
        <v>63</v>
      </c>
      <c r="L4829" s="2" t="s">
        <v>46546</v>
      </c>
      <c r="M4829" s="2" t="s">
        <v>46547</v>
      </c>
      <c r="N4829" s="3" t="s">
        <v>1291</v>
      </c>
      <c r="P4829" s="3" t="s">
        <v>64</v>
      </c>
      <c r="Q4829" s="2" t="s">
        <v>46548</v>
      </c>
      <c r="R4829" s="3" t="s">
        <v>46535</v>
      </c>
      <c r="S4829" s="4">
        <v>0</v>
      </c>
      <c r="T4829" s="4">
        <v>14</v>
      </c>
      <c r="V4829" s="5" t="s">
        <v>18455</v>
      </c>
      <c r="W4829" s="5" t="s">
        <v>67</v>
      </c>
      <c r="X4829" s="5" t="s">
        <v>67</v>
      </c>
      <c r="Y4829" s="4">
        <v>622</v>
      </c>
      <c r="Z4829" s="4">
        <v>31</v>
      </c>
      <c r="AA4829" s="4">
        <v>38</v>
      </c>
      <c r="AB4829" s="4">
        <v>4</v>
      </c>
      <c r="AC4829" s="4">
        <v>6</v>
      </c>
      <c r="AD4829" s="4">
        <v>112</v>
      </c>
      <c r="AE4829" s="4">
        <v>121</v>
      </c>
      <c r="AF4829" s="4">
        <v>0</v>
      </c>
      <c r="AG4829" s="4">
        <v>2</v>
      </c>
      <c r="AH4829" s="4">
        <v>94</v>
      </c>
      <c r="AI4829" s="4">
        <v>100</v>
      </c>
      <c r="AJ4829" s="4">
        <v>13</v>
      </c>
      <c r="AK4829" s="4">
        <v>16</v>
      </c>
      <c r="AL4829" s="4">
        <v>51</v>
      </c>
      <c r="AM4829" s="4">
        <v>54</v>
      </c>
      <c r="AN4829" s="4">
        <v>0</v>
      </c>
      <c r="AO4829" s="4">
        <v>0</v>
      </c>
      <c r="AP4829" s="4">
        <v>20</v>
      </c>
      <c r="AQ4829" s="4">
        <v>24</v>
      </c>
      <c r="AR4829" s="3" t="s">
        <v>62</v>
      </c>
      <c r="AS4829" s="3" t="s">
        <v>61</v>
      </c>
      <c r="AT4829" s="3" t="s">
        <v>61</v>
      </c>
      <c r="AU4829" s="6" t="str">
        <f t="shared" si="73"/>
        <v>HathiTrust Record</v>
      </c>
      <c r="AV4829" s="6" t="str">
        <f t="shared" si="74"/>
        <v>Catalog Record</v>
      </c>
      <c r="AW4829" s="6" t="str">
        <f t="shared" si="75"/>
        <v>WorldCat Record</v>
      </c>
      <c r="AX4829" s="3" t="s">
        <v>46549</v>
      </c>
      <c r="AY4829" s="3" t="s">
        <v>46550</v>
      </c>
      <c r="AZ4829" s="3" t="s">
        <v>46551</v>
      </c>
      <c r="BA4829" s="3" t="s">
        <v>46551</v>
      </c>
      <c r="BB4829" s="3" t="s">
        <v>46598</v>
      </c>
      <c r="BC4829" s="3" t="s">
        <v>102</v>
      </c>
      <c r="BD4829" s="3" t="s">
        <v>68</v>
      </c>
      <c r="BE4829" s="3" t="s">
        <v>46553</v>
      </c>
      <c r="BF4829" s="3" t="s">
        <v>46598</v>
      </c>
      <c r="BG4829" s="3" t="s">
        <v>46599</v>
      </c>
    </row>
    <row r="4830" spans="1:59" ht="58" x14ac:dyDescent="0.35">
      <c r="A4830" s="2" t="s">
        <v>89</v>
      </c>
      <c r="B4830" s="2" t="s">
        <v>90</v>
      </c>
      <c r="C4830" s="2" t="s">
        <v>46600</v>
      </c>
      <c r="D4830" s="2" t="s">
        <v>46601</v>
      </c>
      <c r="E4830" s="2" t="s">
        <v>46602</v>
      </c>
      <c r="G4830" s="3" t="s">
        <v>62</v>
      </c>
      <c r="I4830" s="3" t="s">
        <v>62</v>
      </c>
      <c r="J4830" s="3" t="s">
        <v>62</v>
      </c>
      <c r="K4830" s="3" t="s">
        <v>63</v>
      </c>
      <c r="L4830" s="2" t="s">
        <v>27531</v>
      </c>
      <c r="M4830" s="2" t="s">
        <v>46603</v>
      </c>
      <c r="N4830" s="3" t="s">
        <v>2975</v>
      </c>
      <c r="P4830" s="3" t="s">
        <v>64</v>
      </c>
      <c r="R4830" s="3" t="s">
        <v>46535</v>
      </c>
      <c r="S4830" s="4">
        <v>15</v>
      </c>
      <c r="T4830" s="4">
        <v>15</v>
      </c>
      <c r="U4830" s="5" t="s">
        <v>16047</v>
      </c>
      <c r="V4830" s="5" t="s">
        <v>16047</v>
      </c>
      <c r="W4830" s="5" t="s">
        <v>67</v>
      </c>
      <c r="X4830" s="5" t="s">
        <v>67</v>
      </c>
      <c r="Y4830" s="4">
        <v>296</v>
      </c>
      <c r="Z4830" s="4">
        <v>20</v>
      </c>
      <c r="AA4830" s="4">
        <v>22</v>
      </c>
      <c r="AB4830" s="4">
        <v>1</v>
      </c>
      <c r="AC4830" s="4">
        <v>3</v>
      </c>
      <c r="AD4830" s="4">
        <v>97</v>
      </c>
      <c r="AE4830" s="4">
        <v>99</v>
      </c>
      <c r="AF4830" s="4">
        <v>0</v>
      </c>
      <c r="AG4830" s="4">
        <v>1</v>
      </c>
      <c r="AH4830" s="4">
        <v>89</v>
      </c>
      <c r="AI4830" s="4">
        <v>90</v>
      </c>
      <c r="AJ4830" s="4">
        <v>14</v>
      </c>
      <c r="AK4830" s="4">
        <v>15</v>
      </c>
      <c r="AL4830" s="4">
        <v>48</v>
      </c>
      <c r="AM4830" s="4">
        <v>48</v>
      </c>
      <c r="AN4830" s="4">
        <v>0</v>
      </c>
      <c r="AO4830" s="4">
        <v>0</v>
      </c>
      <c r="AP4830" s="4">
        <v>15</v>
      </c>
      <c r="AQ4830" s="4">
        <v>16</v>
      </c>
      <c r="AR4830" s="3" t="s">
        <v>62</v>
      </c>
      <c r="AS4830" s="3" t="s">
        <v>62</v>
      </c>
      <c r="AT4830" s="3" t="s">
        <v>62</v>
      </c>
      <c r="AV4830" s="6" t="str">
        <f>HYPERLINK("http://mcgill.on.worldcat.org/oclc/44446518","Catalog Record")</f>
        <v>Catalog Record</v>
      </c>
      <c r="AW4830" s="6" t="str">
        <f>HYPERLINK("http://www.worldcat.org/oclc/44446518","WorldCat Record")</f>
        <v>WorldCat Record</v>
      </c>
      <c r="AX4830" s="3" t="s">
        <v>46604</v>
      </c>
      <c r="AY4830" s="3" t="s">
        <v>46605</v>
      </c>
      <c r="AZ4830" s="3" t="s">
        <v>46606</v>
      </c>
      <c r="BA4830" s="3" t="s">
        <v>46606</v>
      </c>
      <c r="BB4830" s="3" t="s">
        <v>46607</v>
      </c>
      <c r="BC4830" s="3" t="s">
        <v>102</v>
      </c>
      <c r="BD4830" s="3" t="s">
        <v>231</v>
      </c>
      <c r="BE4830" s="3" t="s">
        <v>46608</v>
      </c>
      <c r="BF4830" s="3" t="s">
        <v>46607</v>
      </c>
      <c r="BG4830" s="3" t="s">
        <v>46609</v>
      </c>
    </row>
    <row r="4831" spans="1:59" ht="58" x14ac:dyDescent="0.35">
      <c r="A4831" s="2" t="s">
        <v>89</v>
      </c>
      <c r="B4831" s="2" t="s">
        <v>90</v>
      </c>
      <c r="C4831" s="2" t="s">
        <v>46610</v>
      </c>
      <c r="D4831" s="2" t="s">
        <v>46611</v>
      </c>
      <c r="E4831" s="2" t="s">
        <v>46612</v>
      </c>
      <c r="G4831" s="3" t="s">
        <v>62</v>
      </c>
      <c r="I4831" s="3" t="s">
        <v>61</v>
      </c>
      <c r="J4831" s="3" t="s">
        <v>62</v>
      </c>
      <c r="K4831" s="3" t="s">
        <v>63</v>
      </c>
      <c r="L4831" s="2" t="s">
        <v>46613</v>
      </c>
      <c r="M4831" s="2" t="s">
        <v>4642</v>
      </c>
      <c r="N4831" s="3" t="s">
        <v>285</v>
      </c>
      <c r="P4831" s="3" t="s">
        <v>64</v>
      </c>
      <c r="R4831" s="3" t="s">
        <v>46535</v>
      </c>
      <c r="S4831" s="4">
        <v>10</v>
      </c>
      <c r="T4831" s="4">
        <v>34</v>
      </c>
      <c r="U4831" s="5" t="s">
        <v>3616</v>
      </c>
      <c r="V4831" s="5" t="s">
        <v>3616</v>
      </c>
      <c r="W4831" s="5" t="s">
        <v>67</v>
      </c>
      <c r="X4831" s="5" t="s">
        <v>67</v>
      </c>
      <c r="Y4831" s="4">
        <v>557</v>
      </c>
      <c r="Z4831" s="4">
        <v>25</v>
      </c>
      <c r="AA4831" s="4">
        <v>31</v>
      </c>
      <c r="AB4831" s="4">
        <v>1</v>
      </c>
      <c r="AC4831" s="4">
        <v>2</v>
      </c>
      <c r="AD4831" s="4">
        <v>111</v>
      </c>
      <c r="AE4831" s="4">
        <v>120</v>
      </c>
      <c r="AF4831" s="4">
        <v>0</v>
      </c>
      <c r="AG4831" s="4">
        <v>1</v>
      </c>
      <c r="AH4831" s="4">
        <v>98</v>
      </c>
      <c r="AI4831" s="4">
        <v>102</v>
      </c>
      <c r="AJ4831" s="4">
        <v>14</v>
      </c>
      <c r="AK4831" s="4">
        <v>19</v>
      </c>
      <c r="AL4831" s="4">
        <v>54</v>
      </c>
      <c r="AM4831" s="4">
        <v>56</v>
      </c>
      <c r="AN4831" s="4">
        <v>0</v>
      </c>
      <c r="AO4831" s="4">
        <v>0</v>
      </c>
      <c r="AP4831" s="4">
        <v>16</v>
      </c>
      <c r="AQ4831" s="4">
        <v>21</v>
      </c>
      <c r="AR4831" s="3" t="s">
        <v>62</v>
      </c>
      <c r="AS4831" s="3" t="s">
        <v>62</v>
      </c>
      <c r="AT4831" s="3" t="s">
        <v>61</v>
      </c>
      <c r="AU4831" s="6" t="str">
        <f>HYPERLINK("http://catalog.hathitrust.org/Record/004416110","HathiTrust Record")</f>
        <v>HathiTrust Record</v>
      </c>
      <c r="AV4831" s="6" t="str">
        <f>HYPERLINK("http://mcgill.on.worldcat.org/oclc/5939562","Catalog Record")</f>
        <v>Catalog Record</v>
      </c>
      <c r="AW4831" s="6" t="str">
        <f>HYPERLINK("http://www.worldcat.org/oclc/5939562","WorldCat Record")</f>
        <v>WorldCat Record</v>
      </c>
      <c r="AX4831" s="3" t="s">
        <v>46614</v>
      </c>
      <c r="AY4831" s="3" t="s">
        <v>46615</v>
      </c>
      <c r="AZ4831" s="3" t="s">
        <v>46616</v>
      </c>
      <c r="BA4831" s="3" t="s">
        <v>46616</v>
      </c>
      <c r="BB4831" s="3" t="s">
        <v>46617</v>
      </c>
      <c r="BC4831" s="3" t="s">
        <v>102</v>
      </c>
      <c r="BD4831" s="3" t="s">
        <v>68</v>
      </c>
      <c r="BE4831" s="3" t="s">
        <v>46618</v>
      </c>
      <c r="BF4831" s="3" t="s">
        <v>46617</v>
      </c>
      <c r="BG4831" s="3" t="s">
        <v>46619</v>
      </c>
    </row>
    <row r="4832" spans="1:59" ht="58" x14ac:dyDescent="0.35">
      <c r="A4832" s="2" t="s">
        <v>89</v>
      </c>
      <c r="B4832" s="2" t="s">
        <v>90</v>
      </c>
      <c r="C4832" s="2" t="s">
        <v>46620</v>
      </c>
      <c r="D4832" s="2" t="s">
        <v>46621</v>
      </c>
      <c r="E4832" s="2" t="s">
        <v>46622</v>
      </c>
      <c r="G4832" s="3" t="s">
        <v>62</v>
      </c>
      <c r="I4832" s="3" t="s">
        <v>61</v>
      </c>
      <c r="J4832" s="3" t="s">
        <v>62</v>
      </c>
      <c r="K4832" s="3" t="s">
        <v>63</v>
      </c>
      <c r="M4832" s="2" t="s">
        <v>46623</v>
      </c>
      <c r="N4832" s="3" t="s">
        <v>424</v>
      </c>
      <c r="P4832" s="3" t="s">
        <v>64</v>
      </c>
      <c r="R4832" s="3" t="s">
        <v>46535</v>
      </c>
      <c r="S4832" s="4">
        <v>9</v>
      </c>
      <c r="T4832" s="4">
        <v>23</v>
      </c>
      <c r="U4832" s="5" t="s">
        <v>6441</v>
      </c>
      <c r="V4832" s="5" t="s">
        <v>6441</v>
      </c>
      <c r="W4832" s="5" t="s">
        <v>67</v>
      </c>
      <c r="X4832" s="5" t="s">
        <v>67</v>
      </c>
      <c r="Y4832" s="4">
        <v>314</v>
      </c>
      <c r="Z4832" s="4">
        <v>16</v>
      </c>
      <c r="AA4832" s="4">
        <v>17</v>
      </c>
      <c r="AB4832" s="4">
        <v>1</v>
      </c>
      <c r="AC4832" s="4">
        <v>2</v>
      </c>
      <c r="AD4832" s="4">
        <v>97</v>
      </c>
      <c r="AE4832" s="4">
        <v>98</v>
      </c>
      <c r="AF4832" s="4">
        <v>0</v>
      </c>
      <c r="AG4832" s="4">
        <v>1</v>
      </c>
      <c r="AH4832" s="4">
        <v>88</v>
      </c>
      <c r="AI4832" s="4">
        <v>89</v>
      </c>
      <c r="AJ4832" s="4">
        <v>14</v>
      </c>
      <c r="AK4832" s="4">
        <v>15</v>
      </c>
      <c r="AL4832" s="4">
        <v>53</v>
      </c>
      <c r="AM4832" s="4">
        <v>53</v>
      </c>
      <c r="AN4832" s="4">
        <v>0</v>
      </c>
      <c r="AO4832" s="4">
        <v>0</v>
      </c>
      <c r="AP4832" s="4">
        <v>13</v>
      </c>
      <c r="AQ4832" s="4">
        <v>14</v>
      </c>
      <c r="AR4832" s="3" t="s">
        <v>62</v>
      </c>
      <c r="AS4832" s="3" t="s">
        <v>62</v>
      </c>
      <c r="AT4832" s="3" t="s">
        <v>62</v>
      </c>
      <c r="AV4832" s="6" t="str">
        <f>HYPERLINK("http://mcgill.on.worldcat.org/oclc/16578354","Catalog Record")</f>
        <v>Catalog Record</v>
      </c>
      <c r="AW4832" s="6" t="str">
        <f>HYPERLINK("http://www.worldcat.org/oclc/16578354","WorldCat Record")</f>
        <v>WorldCat Record</v>
      </c>
      <c r="AX4832" s="3" t="s">
        <v>46624</v>
      </c>
      <c r="AY4832" s="3" t="s">
        <v>46625</v>
      </c>
      <c r="AZ4832" s="3" t="s">
        <v>46626</v>
      </c>
      <c r="BA4832" s="3" t="s">
        <v>46626</v>
      </c>
      <c r="BB4832" s="3" t="s">
        <v>46627</v>
      </c>
      <c r="BC4832" s="3" t="s">
        <v>102</v>
      </c>
      <c r="BD4832" s="3" t="s">
        <v>68</v>
      </c>
      <c r="BE4832" s="3" t="s">
        <v>46628</v>
      </c>
      <c r="BF4832" s="3" t="s">
        <v>46627</v>
      </c>
      <c r="BG4832" s="3" t="s">
        <v>46629</v>
      </c>
    </row>
    <row r="4833" spans="1:59" ht="58" x14ac:dyDescent="0.35">
      <c r="A4833" s="2" t="s">
        <v>59</v>
      </c>
      <c r="B4833" s="2" t="s">
        <v>60</v>
      </c>
      <c r="C4833" s="2" t="s">
        <v>46630</v>
      </c>
      <c r="D4833" s="2" t="s">
        <v>46631</v>
      </c>
      <c r="E4833" s="2" t="s">
        <v>46632</v>
      </c>
      <c r="G4833" s="3" t="s">
        <v>62</v>
      </c>
      <c r="I4833" s="3" t="s">
        <v>61</v>
      </c>
      <c r="J4833" s="3" t="s">
        <v>62</v>
      </c>
      <c r="K4833" s="3" t="s">
        <v>63</v>
      </c>
      <c r="L4833" s="2" t="s">
        <v>46633</v>
      </c>
      <c r="M4833" s="2" t="s">
        <v>46634</v>
      </c>
      <c r="N4833" s="3" t="s">
        <v>157</v>
      </c>
      <c r="P4833" s="3" t="s">
        <v>64</v>
      </c>
      <c r="Q4833" s="2" t="s">
        <v>46635</v>
      </c>
      <c r="R4833" s="3" t="s">
        <v>46535</v>
      </c>
      <c r="S4833" s="4">
        <v>0</v>
      </c>
      <c r="T4833" s="4">
        <v>3</v>
      </c>
      <c r="V4833" s="5" t="s">
        <v>30689</v>
      </c>
      <c r="W4833" s="5" t="s">
        <v>67</v>
      </c>
      <c r="X4833" s="5" t="s">
        <v>67</v>
      </c>
      <c r="Y4833" s="4">
        <v>453</v>
      </c>
      <c r="Z4833" s="4">
        <v>21</v>
      </c>
      <c r="AA4833" s="4">
        <v>45</v>
      </c>
      <c r="AB4833" s="4">
        <v>2</v>
      </c>
      <c r="AC4833" s="4">
        <v>7</v>
      </c>
      <c r="AD4833" s="4">
        <v>108</v>
      </c>
      <c r="AE4833" s="4">
        <v>129</v>
      </c>
      <c r="AF4833" s="4">
        <v>1</v>
      </c>
      <c r="AG4833" s="4">
        <v>3</v>
      </c>
      <c r="AH4833" s="4">
        <v>96</v>
      </c>
      <c r="AI4833" s="4">
        <v>105</v>
      </c>
      <c r="AJ4833" s="4">
        <v>15</v>
      </c>
      <c r="AK4833" s="4">
        <v>20</v>
      </c>
      <c r="AL4833" s="4">
        <v>54</v>
      </c>
      <c r="AM4833" s="4">
        <v>57</v>
      </c>
      <c r="AN4833" s="4">
        <v>0</v>
      </c>
      <c r="AO4833" s="4">
        <v>0</v>
      </c>
      <c r="AP4833" s="4">
        <v>18</v>
      </c>
      <c r="AQ4833" s="4">
        <v>32</v>
      </c>
      <c r="AR4833" s="3" t="s">
        <v>62</v>
      </c>
      <c r="AS4833" s="3" t="s">
        <v>62</v>
      </c>
      <c r="AT4833" s="3" t="s">
        <v>61</v>
      </c>
      <c r="AU4833" s="6" t="str">
        <f>HYPERLINK("http://catalog.hathitrust.org/Record/001553133","HathiTrust Record")</f>
        <v>HathiTrust Record</v>
      </c>
      <c r="AV4833" s="6" t="str">
        <f>HYPERLINK("http://mcgill.on.worldcat.org/oclc/1092520","Catalog Record")</f>
        <v>Catalog Record</v>
      </c>
      <c r="AW4833" s="6" t="str">
        <f>HYPERLINK("http://www.worldcat.org/oclc/1092520","WorldCat Record")</f>
        <v>WorldCat Record</v>
      </c>
      <c r="AX4833" s="3" t="s">
        <v>46636</v>
      </c>
      <c r="AY4833" s="3" t="s">
        <v>46637</v>
      </c>
      <c r="AZ4833" s="3" t="s">
        <v>46638</v>
      </c>
      <c r="BA4833" s="3" t="s">
        <v>46638</v>
      </c>
      <c r="BB4833" s="3" t="s">
        <v>46639</v>
      </c>
      <c r="BC4833" s="3" t="s">
        <v>102</v>
      </c>
      <c r="BD4833" s="3" t="s">
        <v>68</v>
      </c>
      <c r="BE4833" s="3" t="s">
        <v>46640</v>
      </c>
      <c r="BF4833" s="3" t="s">
        <v>46639</v>
      </c>
      <c r="BG4833" s="3" t="s">
        <v>46641</v>
      </c>
    </row>
    <row r="4834" spans="1:59" ht="58" x14ac:dyDescent="0.35">
      <c r="A4834" s="2" t="s">
        <v>89</v>
      </c>
      <c r="B4834" s="2" t="s">
        <v>90</v>
      </c>
      <c r="C4834" s="2" t="s">
        <v>46642</v>
      </c>
      <c r="D4834" s="2" t="s">
        <v>46643</v>
      </c>
      <c r="E4834" s="2" t="s">
        <v>46644</v>
      </c>
      <c r="G4834" s="3" t="s">
        <v>62</v>
      </c>
      <c r="I4834" s="3" t="s">
        <v>61</v>
      </c>
      <c r="J4834" s="3" t="s">
        <v>62</v>
      </c>
      <c r="K4834" s="3" t="s">
        <v>63</v>
      </c>
      <c r="L4834" s="2" t="s">
        <v>46645</v>
      </c>
      <c r="M4834" s="2" t="s">
        <v>46646</v>
      </c>
      <c r="N4834" s="3" t="s">
        <v>1064</v>
      </c>
      <c r="P4834" s="3" t="s">
        <v>64</v>
      </c>
      <c r="Q4834" s="2" t="s">
        <v>46647</v>
      </c>
      <c r="R4834" s="3" t="s">
        <v>46535</v>
      </c>
      <c r="S4834" s="4">
        <v>16</v>
      </c>
      <c r="T4834" s="4">
        <v>29</v>
      </c>
      <c r="U4834" s="5" t="s">
        <v>30775</v>
      </c>
      <c r="V4834" s="5" t="s">
        <v>30775</v>
      </c>
      <c r="W4834" s="5" t="s">
        <v>67</v>
      </c>
      <c r="X4834" s="5" t="s">
        <v>67</v>
      </c>
      <c r="Y4834" s="4">
        <v>547</v>
      </c>
      <c r="Z4834" s="4">
        <v>33</v>
      </c>
      <c r="AA4834" s="4">
        <v>48</v>
      </c>
      <c r="AB4834" s="4">
        <v>2</v>
      </c>
      <c r="AC4834" s="4">
        <v>10</v>
      </c>
      <c r="AD4834" s="4">
        <v>114</v>
      </c>
      <c r="AE4834" s="4">
        <v>124</v>
      </c>
      <c r="AF4834" s="4">
        <v>0</v>
      </c>
      <c r="AG4834" s="4">
        <v>5</v>
      </c>
      <c r="AH4834" s="4">
        <v>102</v>
      </c>
      <c r="AI4834" s="4">
        <v>105</v>
      </c>
      <c r="AJ4834" s="4">
        <v>18</v>
      </c>
      <c r="AK4834" s="4">
        <v>21</v>
      </c>
      <c r="AL4834" s="4">
        <v>55</v>
      </c>
      <c r="AM4834" s="4">
        <v>57</v>
      </c>
      <c r="AN4834" s="4">
        <v>0</v>
      </c>
      <c r="AO4834" s="4">
        <v>0</v>
      </c>
      <c r="AP4834" s="4">
        <v>23</v>
      </c>
      <c r="AQ4834" s="4">
        <v>28</v>
      </c>
      <c r="AR4834" s="3" t="s">
        <v>62</v>
      </c>
      <c r="AS4834" s="3" t="s">
        <v>62</v>
      </c>
      <c r="AT4834" s="3" t="s">
        <v>61</v>
      </c>
      <c r="AU4834" s="6" t="str">
        <f>HYPERLINK("http://catalog.hathitrust.org/Record/000002195","HathiTrust Record")</f>
        <v>HathiTrust Record</v>
      </c>
      <c r="AV4834" s="6" t="str">
        <f>HYPERLINK("http://mcgill.on.worldcat.org/oclc/147940","Catalog Record")</f>
        <v>Catalog Record</v>
      </c>
      <c r="AW4834" s="6" t="str">
        <f>HYPERLINK("http://www.worldcat.org/oclc/147940","WorldCat Record")</f>
        <v>WorldCat Record</v>
      </c>
      <c r="AX4834" s="3" t="s">
        <v>46648</v>
      </c>
      <c r="AY4834" s="3" t="s">
        <v>46649</v>
      </c>
      <c r="AZ4834" s="3" t="s">
        <v>46650</v>
      </c>
      <c r="BA4834" s="3" t="s">
        <v>46650</v>
      </c>
      <c r="BB4834" s="3" t="s">
        <v>46651</v>
      </c>
      <c r="BC4834" s="3" t="s">
        <v>102</v>
      </c>
      <c r="BD4834" s="3" t="s">
        <v>68</v>
      </c>
      <c r="BE4834" s="3" t="s">
        <v>46652</v>
      </c>
      <c r="BF4834" s="3" t="s">
        <v>46651</v>
      </c>
      <c r="BG4834" s="3" t="s">
        <v>46653</v>
      </c>
    </row>
    <row r="4835" spans="1:59" ht="58" x14ac:dyDescent="0.35">
      <c r="A4835" s="2" t="s">
        <v>89</v>
      </c>
      <c r="B4835" s="2" t="s">
        <v>90</v>
      </c>
      <c r="C4835" s="2" t="s">
        <v>46654</v>
      </c>
      <c r="D4835" s="2" t="s">
        <v>46655</v>
      </c>
      <c r="E4835" s="2" t="s">
        <v>46656</v>
      </c>
      <c r="G4835" s="3" t="s">
        <v>62</v>
      </c>
      <c r="I4835" s="3" t="s">
        <v>61</v>
      </c>
      <c r="J4835" s="3" t="s">
        <v>62</v>
      </c>
      <c r="K4835" s="3" t="s">
        <v>63</v>
      </c>
      <c r="L4835" s="2" t="s">
        <v>46657</v>
      </c>
      <c r="M4835" s="2" t="s">
        <v>46658</v>
      </c>
      <c r="N4835" s="3" t="s">
        <v>919</v>
      </c>
      <c r="P4835" s="3" t="s">
        <v>64</v>
      </c>
      <c r="R4835" s="3" t="s">
        <v>46535</v>
      </c>
      <c r="S4835" s="4">
        <v>6</v>
      </c>
      <c r="T4835" s="4">
        <v>11</v>
      </c>
      <c r="U4835" s="5" t="s">
        <v>46659</v>
      </c>
      <c r="V4835" s="5" t="s">
        <v>24736</v>
      </c>
      <c r="W4835" s="5" t="s">
        <v>67</v>
      </c>
      <c r="X4835" s="5" t="s">
        <v>67</v>
      </c>
      <c r="Y4835" s="4">
        <v>1058</v>
      </c>
      <c r="Z4835" s="4">
        <v>41</v>
      </c>
      <c r="AA4835" s="4">
        <v>54</v>
      </c>
      <c r="AB4835" s="4">
        <v>5</v>
      </c>
      <c r="AC4835" s="4">
        <v>8</v>
      </c>
      <c r="AD4835" s="4">
        <v>127</v>
      </c>
      <c r="AE4835" s="4">
        <v>142</v>
      </c>
      <c r="AF4835" s="4">
        <v>2</v>
      </c>
      <c r="AG4835" s="4">
        <v>5</v>
      </c>
      <c r="AH4835" s="4">
        <v>99</v>
      </c>
      <c r="AI4835" s="4">
        <v>108</v>
      </c>
      <c r="AJ4835" s="4">
        <v>19</v>
      </c>
      <c r="AK4835" s="4">
        <v>25</v>
      </c>
      <c r="AL4835" s="4">
        <v>55</v>
      </c>
      <c r="AM4835" s="4">
        <v>59</v>
      </c>
      <c r="AN4835" s="4">
        <v>0</v>
      </c>
      <c r="AO4835" s="4">
        <v>0</v>
      </c>
      <c r="AP4835" s="4">
        <v>29</v>
      </c>
      <c r="AQ4835" s="4">
        <v>37</v>
      </c>
      <c r="AR4835" s="3" t="s">
        <v>62</v>
      </c>
      <c r="AS4835" s="3" t="s">
        <v>62</v>
      </c>
      <c r="AT4835" s="3" t="s">
        <v>61</v>
      </c>
      <c r="AU4835" s="6" t="str">
        <f>HYPERLINK("http://catalog.hathitrust.org/Record/000717531","HathiTrust Record")</f>
        <v>HathiTrust Record</v>
      </c>
      <c r="AV4835" s="6" t="str">
        <f>HYPERLINK("http://mcgill.on.worldcat.org/oclc/14646076","Catalog Record")</f>
        <v>Catalog Record</v>
      </c>
      <c r="AW4835" s="6" t="str">
        <f>HYPERLINK("http://www.worldcat.org/oclc/14646076","WorldCat Record")</f>
        <v>WorldCat Record</v>
      </c>
      <c r="AX4835" s="3" t="s">
        <v>46660</v>
      </c>
      <c r="AY4835" s="3" t="s">
        <v>46661</v>
      </c>
      <c r="AZ4835" s="3" t="s">
        <v>46662</v>
      </c>
      <c r="BA4835" s="3" t="s">
        <v>46662</v>
      </c>
      <c r="BB4835" s="3" t="s">
        <v>46663</v>
      </c>
      <c r="BC4835" s="3" t="s">
        <v>102</v>
      </c>
      <c r="BD4835" s="3" t="s">
        <v>68</v>
      </c>
      <c r="BE4835" s="3" t="s">
        <v>46664</v>
      </c>
      <c r="BF4835" s="3" t="s">
        <v>46663</v>
      </c>
      <c r="BG4835" s="3" t="s">
        <v>46665</v>
      </c>
    </row>
    <row r="4836" spans="1:59" ht="58" x14ac:dyDescent="0.35">
      <c r="A4836" s="2" t="s">
        <v>59</v>
      </c>
      <c r="B4836" s="2" t="s">
        <v>60</v>
      </c>
      <c r="C4836" s="2" t="s">
        <v>46654</v>
      </c>
      <c r="D4836" s="2" t="s">
        <v>46655</v>
      </c>
      <c r="E4836" s="2" t="s">
        <v>46656</v>
      </c>
      <c r="G4836" s="3" t="s">
        <v>62</v>
      </c>
      <c r="I4836" s="3" t="s">
        <v>61</v>
      </c>
      <c r="J4836" s="3" t="s">
        <v>62</v>
      </c>
      <c r="K4836" s="3" t="s">
        <v>63</v>
      </c>
      <c r="L4836" s="2" t="s">
        <v>46657</v>
      </c>
      <c r="M4836" s="2" t="s">
        <v>46658</v>
      </c>
      <c r="N4836" s="3" t="s">
        <v>919</v>
      </c>
      <c r="P4836" s="3" t="s">
        <v>64</v>
      </c>
      <c r="R4836" s="3" t="s">
        <v>46535</v>
      </c>
      <c r="S4836" s="4">
        <v>0</v>
      </c>
      <c r="T4836" s="4">
        <v>11</v>
      </c>
      <c r="V4836" s="5" t="s">
        <v>24736</v>
      </c>
      <c r="W4836" s="5" t="s">
        <v>67</v>
      </c>
      <c r="X4836" s="5" t="s">
        <v>67</v>
      </c>
      <c r="Y4836" s="4">
        <v>1058</v>
      </c>
      <c r="Z4836" s="4">
        <v>41</v>
      </c>
      <c r="AA4836" s="4">
        <v>54</v>
      </c>
      <c r="AB4836" s="4">
        <v>5</v>
      </c>
      <c r="AC4836" s="4">
        <v>8</v>
      </c>
      <c r="AD4836" s="4">
        <v>127</v>
      </c>
      <c r="AE4836" s="4">
        <v>142</v>
      </c>
      <c r="AF4836" s="4">
        <v>2</v>
      </c>
      <c r="AG4836" s="4">
        <v>5</v>
      </c>
      <c r="AH4836" s="4">
        <v>99</v>
      </c>
      <c r="AI4836" s="4">
        <v>108</v>
      </c>
      <c r="AJ4836" s="4">
        <v>19</v>
      </c>
      <c r="AK4836" s="4">
        <v>25</v>
      </c>
      <c r="AL4836" s="4">
        <v>55</v>
      </c>
      <c r="AM4836" s="4">
        <v>59</v>
      </c>
      <c r="AN4836" s="4">
        <v>0</v>
      </c>
      <c r="AO4836" s="4">
        <v>0</v>
      </c>
      <c r="AP4836" s="4">
        <v>29</v>
      </c>
      <c r="AQ4836" s="4">
        <v>37</v>
      </c>
      <c r="AR4836" s="3" t="s">
        <v>62</v>
      </c>
      <c r="AS4836" s="3" t="s">
        <v>62</v>
      </c>
      <c r="AT4836" s="3" t="s">
        <v>61</v>
      </c>
      <c r="AU4836" s="6" t="str">
        <f>HYPERLINK("http://catalog.hathitrust.org/Record/000717531","HathiTrust Record")</f>
        <v>HathiTrust Record</v>
      </c>
      <c r="AV4836" s="6" t="str">
        <f>HYPERLINK("http://mcgill.on.worldcat.org/oclc/14646076","Catalog Record")</f>
        <v>Catalog Record</v>
      </c>
      <c r="AW4836" s="6" t="str">
        <f>HYPERLINK("http://www.worldcat.org/oclc/14646076","WorldCat Record")</f>
        <v>WorldCat Record</v>
      </c>
      <c r="AX4836" s="3" t="s">
        <v>46660</v>
      </c>
      <c r="AY4836" s="3" t="s">
        <v>46661</v>
      </c>
      <c r="AZ4836" s="3" t="s">
        <v>46662</v>
      </c>
      <c r="BA4836" s="3" t="s">
        <v>46662</v>
      </c>
      <c r="BB4836" s="3" t="s">
        <v>46666</v>
      </c>
      <c r="BC4836" s="3" t="s">
        <v>102</v>
      </c>
      <c r="BD4836" s="3" t="s">
        <v>68</v>
      </c>
      <c r="BE4836" s="3" t="s">
        <v>46664</v>
      </c>
      <c r="BF4836" s="3" t="s">
        <v>46666</v>
      </c>
      <c r="BG4836" s="3" t="s">
        <v>46667</v>
      </c>
    </row>
    <row r="4837" spans="1:59" ht="58" x14ac:dyDescent="0.35">
      <c r="A4837" s="2" t="s">
        <v>59</v>
      </c>
      <c r="B4837" s="2" t="s">
        <v>60</v>
      </c>
      <c r="C4837" s="2" t="s">
        <v>46668</v>
      </c>
      <c r="D4837" s="2" t="s">
        <v>46669</v>
      </c>
      <c r="E4837" s="2" t="s">
        <v>46670</v>
      </c>
      <c r="G4837" s="3" t="s">
        <v>62</v>
      </c>
      <c r="I4837" s="3" t="s">
        <v>62</v>
      </c>
      <c r="J4837" s="3" t="s">
        <v>62</v>
      </c>
      <c r="K4837" s="3" t="s">
        <v>63</v>
      </c>
      <c r="L4837" s="2" t="s">
        <v>46671</v>
      </c>
      <c r="M4837" s="2" t="s">
        <v>46672</v>
      </c>
      <c r="N4837" s="3" t="s">
        <v>157</v>
      </c>
      <c r="O4837" s="2" t="s">
        <v>12082</v>
      </c>
      <c r="P4837" s="3" t="s">
        <v>1881</v>
      </c>
      <c r="Q4837" s="2" t="s">
        <v>46673</v>
      </c>
      <c r="R4837" s="3" t="s">
        <v>46535</v>
      </c>
      <c r="S4837" s="4">
        <v>1</v>
      </c>
      <c r="T4837" s="4">
        <v>1</v>
      </c>
      <c r="U4837" s="5" t="s">
        <v>46674</v>
      </c>
      <c r="V4837" s="5" t="s">
        <v>46674</v>
      </c>
      <c r="W4837" s="5" t="s">
        <v>67</v>
      </c>
      <c r="X4837" s="5" t="s">
        <v>67</v>
      </c>
      <c r="Y4837" s="4">
        <v>58</v>
      </c>
      <c r="Z4837" s="4">
        <v>3</v>
      </c>
      <c r="AA4837" s="4">
        <v>3</v>
      </c>
      <c r="AB4837" s="4">
        <v>1</v>
      </c>
      <c r="AC4837" s="4">
        <v>1</v>
      </c>
      <c r="AD4837" s="4">
        <v>16</v>
      </c>
      <c r="AE4837" s="4">
        <v>16</v>
      </c>
      <c r="AF4837" s="4">
        <v>0</v>
      </c>
      <c r="AG4837" s="4">
        <v>0</v>
      </c>
      <c r="AH4837" s="4">
        <v>15</v>
      </c>
      <c r="AI4837" s="4">
        <v>15</v>
      </c>
      <c r="AJ4837" s="4">
        <v>1</v>
      </c>
      <c r="AK4837" s="4">
        <v>1</v>
      </c>
      <c r="AL4837" s="4">
        <v>14</v>
      </c>
      <c r="AM4837" s="4">
        <v>14</v>
      </c>
      <c r="AN4837" s="4">
        <v>0</v>
      </c>
      <c r="AO4837" s="4">
        <v>0</v>
      </c>
      <c r="AP4837" s="4">
        <v>1</v>
      </c>
      <c r="AQ4837" s="4">
        <v>1</v>
      </c>
      <c r="AR4837" s="3" t="s">
        <v>62</v>
      </c>
      <c r="AS4837" s="3" t="s">
        <v>62</v>
      </c>
      <c r="AT4837" s="3" t="s">
        <v>61</v>
      </c>
      <c r="AU4837" s="6" t="str">
        <f>HYPERLINK("http://catalog.hathitrust.org/Record/000708910","HathiTrust Record")</f>
        <v>HathiTrust Record</v>
      </c>
      <c r="AV4837" s="6" t="str">
        <f>HYPERLINK("http://mcgill.on.worldcat.org/oclc/5584871","Catalog Record")</f>
        <v>Catalog Record</v>
      </c>
      <c r="AW4837" s="6" t="str">
        <f>HYPERLINK("http://www.worldcat.org/oclc/5584871","WorldCat Record")</f>
        <v>WorldCat Record</v>
      </c>
      <c r="AX4837" s="3" t="s">
        <v>46675</v>
      </c>
      <c r="AY4837" s="3" t="s">
        <v>46676</v>
      </c>
      <c r="AZ4837" s="3" t="s">
        <v>46677</v>
      </c>
      <c r="BA4837" s="3" t="s">
        <v>46677</v>
      </c>
      <c r="BB4837" s="3" t="s">
        <v>46678</v>
      </c>
      <c r="BC4837" s="3" t="s">
        <v>102</v>
      </c>
      <c r="BD4837" s="3" t="s">
        <v>68</v>
      </c>
      <c r="BF4837" s="3" t="s">
        <v>46678</v>
      </c>
      <c r="BG4837" s="3" t="s">
        <v>46679</v>
      </c>
    </row>
    <row r="4838" spans="1:59" ht="58" x14ac:dyDescent="0.35">
      <c r="A4838" s="2" t="s">
        <v>89</v>
      </c>
      <c r="B4838" s="2" t="s">
        <v>90</v>
      </c>
      <c r="C4838" s="2" t="s">
        <v>46680</v>
      </c>
      <c r="D4838" s="2" t="s">
        <v>46681</v>
      </c>
      <c r="E4838" s="2" t="s">
        <v>46682</v>
      </c>
      <c r="G4838" s="3" t="s">
        <v>62</v>
      </c>
      <c r="I4838" s="3" t="s">
        <v>62</v>
      </c>
      <c r="J4838" s="3" t="s">
        <v>62</v>
      </c>
      <c r="K4838" s="3" t="s">
        <v>63</v>
      </c>
      <c r="L4838" s="2" t="s">
        <v>46683</v>
      </c>
      <c r="M4838" s="2" t="s">
        <v>46684</v>
      </c>
      <c r="N4838" s="3" t="s">
        <v>640</v>
      </c>
      <c r="P4838" s="3" t="s">
        <v>85</v>
      </c>
      <c r="Q4838" s="2" t="s">
        <v>46685</v>
      </c>
      <c r="R4838" s="3" t="s">
        <v>46535</v>
      </c>
      <c r="S4838" s="4">
        <v>5</v>
      </c>
      <c r="T4838" s="4">
        <v>5</v>
      </c>
      <c r="U4838" s="5" t="s">
        <v>613</v>
      </c>
      <c r="V4838" s="5" t="s">
        <v>613</v>
      </c>
      <c r="W4838" s="5" t="s">
        <v>67</v>
      </c>
      <c r="X4838" s="5" t="s">
        <v>67</v>
      </c>
      <c r="Y4838" s="4">
        <v>60</v>
      </c>
      <c r="Z4838" s="4">
        <v>6</v>
      </c>
      <c r="AA4838" s="4">
        <v>7</v>
      </c>
      <c r="AB4838" s="4">
        <v>1</v>
      </c>
      <c r="AC4838" s="4">
        <v>2</v>
      </c>
      <c r="AD4838" s="4">
        <v>32</v>
      </c>
      <c r="AE4838" s="4">
        <v>33</v>
      </c>
      <c r="AF4838" s="4">
        <v>0</v>
      </c>
      <c r="AG4838" s="4">
        <v>1</v>
      </c>
      <c r="AH4838" s="4">
        <v>30</v>
      </c>
      <c r="AI4838" s="4">
        <v>30</v>
      </c>
      <c r="AJ4838" s="4">
        <v>4</v>
      </c>
      <c r="AK4838" s="4">
        <v>5</v>
      </c>
      <c r="AL4838" s="4">
        <v>24</v>
      </c>
      <c r="AM4838" s="4">
        <v>24</v>
      </c>
      <c r="AN4838" s="4">
        <v>0</v>
      </c>
      <c r="AO4838" s="4">
        <v>0</v>
      </c>
      <c r="AP4838" s="4">
        <v>4</v>
      </c>
      <c r="AQ4838" s="4">
        <v>4</v>
      </c>
      <c r="AR4838" s="3" t="s">
        <v>62</v>
      </c>
      <c r="AS4838" s="3" t="s">
        <v>62</v>
      </c>
      <c r="AT4838" s="3" t="s">
        <v>62</v>
      </c>
      <c r="AV4838" s="6" t="str">
        <f>HYPERLINK("http://mcgill.on.worldcat.org/oclc/56574006","Catalog Record")</f>
        <v>Catalog Record</v>
      </c>
      <c r="AW4838" s="6" t="str">
        <f>HYPERLINK("http://www.worldcat.org/oclc/56574006","WorldCat Record")</f>
        <v>WorldCat Record</v>
      </c>
      <c r="AX4838" s="3" t="s">
        <v>46686</v>
      </c>
      <c r="AY4838" s="3" t="s">
        <v>46687</v>
      </c>
      <c r="AZ4838" s="3" t="s">
        <v>46688</v>
      </c>
      <c r="BA4838" s="3" t="s">
        <v>46688</v>
      </c>
      <c r="BB4838" s="3" t="s">
        <v>46689</v>
      </c>
      <c r="BC4838" s="3" t="s">
        <v>102</v>
      </c>
      <c r="BD4838" s="3" t="s">
        <v>68</v>
      </c>
      <c r="BE4838" s="3" t="s">
        <v>46690</v>
      </c>
      <c r="BF4838" s="3" t="s">
        <v>46689</v>
      </c>
      <c r="BG4838" s="3" t="s">
        <v>46691</v>
      </c>
    </row>
    <row r="4839" spans="1:59" ht="72.5" x14ac:dyDescent="0.35">
      <c r="A4839" s="2" t="s">
        <v>59</v>
      </c>
      <c r="B4839" s="2" t="s">
        <v>60</v>
      </c>
      <c r="C4839" s="2" t="s">
        <v>46692</v>
      </c>
      <c r="D4839" s="2" t="s">
        <v>46693</v>
      </c>
      <c r="E4839" s="2" t="s">
        <v>46694</v>
      </c>
      <c r="F4839" s="3" t="s">
        <v>1434</v>
      </c>
      <c r="G4839" s="3" t="s">
        <v>61</v>
      </c>
      <c r="I4839" s="3" t="s">
        <v>61</v>
      </c>
      <c r="J4839" s="3" t="s">
        <v>62</v>
      </c>
      <c r="K4839" s="3" t="s">
        <v>63</v>
      </c>
      <c r="M4839" s="2" t="s">
        <v>46695</v>
      </c>
      <c r="N4839" s="3" t="s">
        <v>9091</v>
      </c>
      <c r="P4839" s="3" t="s">
        <v>1881</v>
      </c>
      <c r="R4839" s="3" t="s">
        <v>46535</v>
      </c>
      <c r="S4839" s="4">
        <v>0</v>
      </c>
      <c r="T4839" s="4">
        <v>3</v>
      </c>
      <c r="V4839" s="5" t="s">
        <v>13095</v>
      </c>
      <c r="W4839" s="5" t="s">
        <v>67</v>
      </c>
      <c r="X4839" s="5" t="s">
        <v>67</v>
      </c>
      <c r="Y4839" s="4">
        <v>3</v>
      </c>
      <c r="Z4839" s="4">
        <v>2</v>
      </c>
      <c r="AA4839" s="4">
        <v>7</v>
      </c>
      <c r="AB4839" s="4">
        <v>2</v>
      </c>
      <c r="AC4839" s="4">
        <v>2</v>
      </c>
      <c r="AD4839" s="4">
        <v>0</v>
      </c>
      <c r="AE4839" s="4">
        <v>51</v>
      </c>
      <c r="AF4839" s="4">
        <v>0</v>
      </c>
      <c r="AG4839" s="4">
        <v>0</v>
      </c>
      <c r="AH4839" s="4">
        <v>0</v>
      </c>
      <c r="AI4839" s="4">
        <v>48</v>
      </c>
      <c r="AJ4839" s="4">
        <v>0</v>
      </c>
      <c r="AK4839" s="4">
        <v>4</v>
      </c>
      <c r="AL4839" s="4">
        <v>0</v>
      </c>
      <c r="AM4839" s="4">
        <v>39</v>
      </c>
      <c r="AN4839" s="4">
        <v>0</v>
      </c>
      <c r="AO4839" s="4">
        <v>0</v>
      </c>
      <c r="AP4839" s="4">
        <v>0</v>
      </c>
      <c r="AQ4839" s="4">
        <v>3</v>
      </c>
      <c r="AR4839" s="3" t="s">
        <v>62</v>
      </c>
      <c r="AS4839" s="3" t="s">
        <v>62</v>
      </c>
      <c r="AT4839" s="3" t="s">
        <v>62</v>
      </c>
      <c r="AV4839" s="6" t="str">
        <f t="shared" ref="AV4839:AV4859" si="76">HYPERLINK("http://mcgill.on.worldcat.org/oclc/82297234","Catalog Record")</f>
        <v>Catalog Record</v>
      </c>
      <c r="AW4839" s="6" t="str">
        <f t="shared" ref="AW4839:AW4859" si="77">HYPERLINK("http://www.worldcat.org/oclc/82297234","WorldCat Record")</f>
        <v>WorldCat Record</v>
      </c>
      <c r="AX4839" s="3" t="s">
        <v>46696</v>
      </c>
      <c r="AY4839" s="3" t="s">
        <v>46697</v>
      </c>
      <c r="AZ4839" s="3" t="s">
        <v>46698</v>
      </c>
      <c r="BA4839" s="3" t="s">
        <v>46698</v>
      </c>
      <c r="BB4839" s="3" t="s">
        <v>46699</v>
      </c>
      <c r="BC4839" s="3" t="s">
        <v>102</v>
      </c>
      <c r="BD4839" s="3" t="s">
        <v>68</v>
      </c>
      <c r="BF4839" s="3" t="s">
        <v>46699</v>
      </c>
      <c r="BG4839" s="3" t="s">
        <v>46700</v>
      </c>
    </row>
    <row r="4840" spans="1:59" ht="72.5" x14ac:dyDescent="0.35">
      <c r="A4840" s="2" t="s">
        <v>59</v>
      </c>
      <c r="B4840" s="2" t="s">
        <v>60</v>
      </c>
      <c r="C4840" s="2" t="s">
        <v>46692</v>
      </c>
      <c r="D4840" s="2" t="s">
        <v>46693</v>
      </c>
      <c r="E4840" s="2" t="s">
        <v>46694</v>
      </c>
      <c r="F4840" s="3" t="s">
        <v>1416</v>
      </c>
      <c r="G4840" s="3" t="s">
        <v>61</v>
      </c>
      <c r="I4840" s="3" t="s">
        <v>61</v>
      </c>
      <c r="J4840" s="3" t="s">
        <v>62</v>
      </c>
      <c r="K4840" s="3" t="s">
        <v>63</v>
      </c>
      <c r="M4840" s="2" t="s">
        <v>46695</v>
      </c>
      <c r="N4840" s="3" t="s">
        <v>9091</v>
      </c>
      <c r="P4840" s="3" t="s">
        <v>1881</v>
      </c>
      <c r="R4840" s="3" t="s">
        <v>46535</v>
      </c>
      <c r="S4840" s="4">
        <v>0</v>
      </c>
      <c r="T4840" s="4">
        <v>3</v>
      </c>
      <c r="V4840" s="5" t="s">
        <v>13095</v>
      </c>
      <c r="W4840" s="5" t="s">
        <v>67</v>
      </c>
      <c r="X4840" s="5" t="s">
        <v>67</v>
      </c>
      <c r="Y4840" s="4">
        <v>3</v>
      </c>
      <c r="Z4840" s="4">
        <v>2</v>
      </c>
      <c r="AA4840" s="4">
        <v>7</v>
      </c>
      <c r="AB4840" s="4">
        <v>2</v>
      </c>
      <c r="AC4840" s="4">
        <v>2</v>
      </c>
      <c r="AD4840" s="4">
        <v>0</v>
      </c>
      <c r="AE4840" s="4">
        <v>51</v>
      </c>
      <c r="AF4840" s="4">
        <v>0</v>
      </c>
      <c r="AG4840" s="4">
        <v>0</v>
      </c>
      <c r="AH4840" s="4">
        <v>0</v>
      </c>
      <c r="AI4840" s="4">
        <v>48</v>
      </c>
      <c r="AJ4840" s="4">
        <v>0</v>
      </c>
      <c r="AK4840" s="4">
        <v>4</v>
      </c>
      <c r="AL4840" s="4">
        <v>0</v>
      </c>
      <c r="AM4840" s="4">
        <v>39</v>
      </c>
      <c r="AN4840" s="4">
        <v>0</v>
      </c>
      <c r="AO4840" s="4">
        <v>0</v>
      </c>
      <c r="AP4840" s="4">
        <v>0</v>
      </c>
      <c r="AQ4840" s="4">
        <v>3</v>
      </c>
      <c r="AR4840" s="3" t="s">
        <v>62</v>
      </c>
      <c r="AS4840" s="3" t="s">
        <v>62</v>
      </c>
      <c r="AT4840" s="3" t="s">
        <v>62</v>
      </c>
      <c r="AV4840" s="6" t="str">
        <f t="shared" si="76"/>
        <v>Catalog Record</v>
      </c>
      <c r="AW4840" s="6" t="str">
        <f t="shared" si="77"/>
        <v>WorldCat Record</v>
      </c>
      <c r="AX4840" s="3" t="s">
        <v>46696</v>
      </c>
      <c r="AY4840" s="3" t="s">
        <v>46697</v>
      </c>
      <c r="AZ4840" s="3" t="s">
        <v>46698</v>
      </c>
      <c r="BA4840" s="3" t="s">
        <v>46698</v>
      </c>
      <c r="BB4840" s="3" t="s">
        <v>46701</v>
      </c>
      <c r="BC4840" s="3" t="s">
        <v>102</v>
      </c>
      <c r="BD4840" s="3" t="s">
        <v>68</v>
      </c>
      <c r="BF4840" s="3" t="s">
        <v>46701</v>
      </c>
      <c r="BG4840" s="3" t="s">
        <v>46702</v>
      </c>
    </row>
    <row r="4841" spans="1:59" ht="72.5" x14ac:dyDescent="0.35">
      <c r="A4841" s="2" t="s">
        <v>59</v>
      </c>
      <c r="B4841" s="2" t="s">
        <v>60</v>
      </c>
      <c r="C4841" s="2" t="s">
        <v>46692</v>
      </c>
      <c r="D4841" s="2" t="s">
        <v>46693</v>
      </c>
      <c r="E4841" s="2" t="s">
        <v>46694</v>
      </c>
      <c r="F4841" s="3" t="s">
        <v>1402</v>
      </c>
      <c r="G4841" s="3" t="s">
        <v>61</v>
      </c>
      <c r="I4841" s="3" t="s">
        <v>61</v>
      </c>
      <c r="J4841" s="3" t="s">
        <v>62</v>
      </c>
      <c r="K4841" s="3" t="s">
        <v>63</v>
      </c>
      <c r="M4841" s="2" t="s">
        <v>46695</v>
      </c>
      <c r="N4841" s="3" t="s">
        <v>9091</v>
      </c>
      <c r="P4841" s="3" t="s">
        <v>1881</v>
      </c>
      <c r="R4841" s="3" t="s">
        <v>46535</v>
      </c>
      <c r="S4841" s="4">
        <v>0</v>
      </c>
      <c r="T4841" s="4">
        <v>3</v>
      </c>
      <c r="V4841" s="5" t="s">
        <v>13095</v>
      </c>
      <c r="W4841" s="5" t="s">
        <v>67</v>
      </c>
      <c r="X4841" s="5" t="s">
        <v>67</v>
      </c>
      <c r="Y4841" s="4">
        <v>3</v>
      </c>
      <c r="Z4841" s="4">
        <v>2</v>
      </c>
      <c r="AA4841" s="4">
        <v>7</v>
      </c>
      <c r="AB4841" s="4">
        <v>2</v>
      </c>
      <c r="AC4841" s="4">
        <v>2</v>
      </c>
      <c r="AD4841" s="4">
        <v>0</v>
      </c>
      <c r="AE4841" s="4">
        <v>51</v>
      </c>
      <c r="AF4841" s="4">
        <v>0</v>
      </c>
      <c r="AG4841" s="4">
        <v>0</v>
      </c>
      <c r="AH4841" s="4">
        <v>0</v>
      </c>
      <c r="AI4841" s="4">
        <v>48</v>
      </c>
      <c r="AJ4841" s="4">
        <v>0</v>
      </c>
      <c r="AK4841" s="4">
        <v>4</v>
      </c>
      <c r="AL4841" s="4">
        <v>0</v>
      </c>
      <c r="AM4841" s="4">
        <v>39</v>
      </c>
      <c r="AN4841" s="4">
        <v>0</v>
      </c>
      <c r="AO4841" s="4">
        <v>0</v>
      </c>
      <c r="AP4841" s="4">
        <v>0</v>
      </c>
      <c r="AQ4841" s="4">
        <v>3</v>
      </c>
      <c r="AR4841" s="3" t="s">
        <v>62</v>
      </c>
      <c r="AS4841" s="3" t="s">
        <v>62</v>
      </c>
      <c r="AT4841" s="3" t="s">
        <v>62</v>
      </c>
      <c r="AV4841" s="6" t="str">
        <f t="shared" si="76"/>
        <v>Catalog Record</v>
      </c>
      <c r="AW4841" s="6" t="str">
        <f t="shared" si="77"/>
        <v>WorldCat Record</v>
      </c>
      <c r="AX4841" s="3" t="s">
        <v>46696</v>
      </c>
      <c r="AY4841" s="3" t="s">
        <v>46697</v>
      </c>
      <c r="AZ4841" s="3" t="s">
        <v>46698</v>
      </c>
      <c r="BA4841" s="3" t="s">
        <v>46698</v>
      </c>
      <c r="BB4841" s="3" t="s">
        <v>46703</v>
      </c>
      <c r="BC4841" s="3" t="s">
        <v>102</v>
      </c>
      <c r="BD4841" s="3" t="s">
        <v>68</v>
      </c>
      <c r="BF4841" s="3" t="s">
        <v>46703</v>
      </c>
      <c r="BG4841" s="3" t="s">
        <v>46704</v>
      </c>
    </row>
    <row r="4842" spans="1:59" ht="72.5" x14ac:dyDescent="0.35">
      <c r="A4842" s="2" t="s">
        <v>59</v>
      </c>
      <c r="B4842" s="2" t="s">
        <v>60</v>
      </c>
      <c r="C4842" s="2" t="s">
        <v>46692</v>
      </c>
      <c r="D4842" s="2" t="s">
        <v>46693</v>
      </c>
      <c r="E4842" s="2" t="s">
        <v>46694</v>
      </c>
      <c r="F4842" s="3" t="s">
        <v>46705</v>
      </c>
      <c r="G4842" s="3" t="s">
        <v>61</v>
      </c>
      <c r="I4842" s="3" t="s">
        <v>61</v>
      </c>
      <c r="J4842" s="3" t="s">
        <v>62</v>
      </c>
      <c r="K4842" s="3" t="s">
        <v>63</v>
      </c>
      <c r="M4842" s="2" t="s">
        <v>46695</v>
      </c>
      <c r="N4842" s="3" t="s">
        <v>9091</v>
      </c>
      <c r="P4842" s="3" t="s">
        <v>1881</v>
      </c>
      <c r="R4842" s="3" t="s">
        <v>46535</v>
      </c>
      <c r="S4842" s="4">
        <v>0</v>
      </c>
      <c r="T4842" s="4">
        <v>3</v>
      </c>
      <c r="V4842" s="5" t="s">
        <v>13095</v>
      </c>
      <c r="W4842" s="5" t="s">
        <v>67</v>
      </c>
      <c r="X4842" s="5" t="s">
        <v>67</v>
      </c>
      <c r="Y4842" s="4">
        <v>3</v>
      </c>
      <c r="Z4842" s="4">
        <v>2</v>
      </c>
      <c r="AA4842" s="4">
        <v>7</v>
      </c>
      <c r="AB4842" s="4">
        <v>2</v>
      </c>
      <c r="AC4842" s="4">
        <v>2</v>
      </c>
      <c r="AD4842" s="4">
        <v>0</v>
      </c>
      <c r="AE4842" s="4">
        <v>51</v>
      </c>
      <c r="AF4842" s="4">
        <v>0</v>
      </c>
      <c r="AG4842" s="4">
        <v>0</v>
      </c>
      <c r="AH4842" s="4">
        <v>0</v>
      </c>
      <c r="AI4842" s="4">
        <v>48</v>
      </c>
      <c r="AJ4842" s="4">
        <v>0</v>
      </c>
      <c r="AK4842" s="4">
        <v>4</v>
      </c>
      <c r="AL4842" s="4">
        <v>0</v>
      </c>
      <c r="AM4842" s="4">
        <v>39</v>
      </c>
      <c r="AN4842" s="4">
        <v>0</v>
      </c>
      <c r="AO4842" s="4">
        <v>0</v>
      </c>
      <c r="AP4842" s="4">
        <v>0</v>
      </c>
      <c r="AQ4842" s="4">
        <v>3</v>
      </c>
      <c r="AR4842" s="3" t="s">
        <v>62</v>
      </c>
      <c r="AS4842" s="3" t="s">
        <v>62</v>
      </c>
      <c r="AT4842" s="3" t="s">
        <v>62</v>
      </c>
      <c r="AV4842" s="6" t="str">
        <f t="shared" si="76"/>
        <v>Catalog Record</v>
      </c>
      <c r="AW4842" s="6" t="str">
        <f t="shared" si="77"/>
        <v>WorldCat Record</v>
      </c>
      <c r="AX4842" s="3" t="s">
        <v>46696</v>
      </c>
      <c r="AY4842" s="3" t="s">
        <v>46697</v>
      </c>
      <c r="AZ4842" s="3" t="s">
        <v>46698</v>
      </c>
      <c r="BA4842" s="3" t="s">
        <v>46698</v>
      </c>
      <c r="BB4842" s="3" t="s">
        <v>46706</v>
      </c>
      <c r="BC4842" s="3" t="s">
        <v>102</v>
      </c>
      <c r="BD4842" s="3" t="s">
        <v>68</v>
      </c>
      <c r="BF4842" s="3" t="s">
        <v>46706</v>
      </c>
      <c r="BG4842" s="3" t="s">
        <v>46707</v>
      </c>
    </row>
    <row r="4843" spans="1:59" ht="72.5" x14ac:dyDescent="0.35">
      <c r="A4843" s="2" t="s">
        <v>59</v>
      </c>
      <c r="B4843" s="2" t="s">
        <v>60</v>
      </c>
      <c r="C4843" s="2" t="s">
        <v>46692</v>
      </c>
      <c r="D4843" s="2" t="s">
        <v>46693</v>
      </c>
      <c r="E4843" s="2" t="s">
        <v>46694</v>
      </c>
      <c r="F4843" s="3" t="s">
        <v>1419</v>
      </c>
      <c r="G4843" s="3" t="s">
        <v>61</v>
      </c>
      <c r="I4843" s="3" t="s">
        <v>61</v>
      </c>
      <c r="J4843" s="3" t="s">
        <v>62</v>
      </c>
      <c r="K4843" s="3" t="s">
        <v>63</v>
      </c>
      <c r="M4843" s="2" t="s">
        <v>46695</v>
      </c>
      <c r="N4843" s="3" t="s">
        <v>9091</v>
      </c>
      <c r="P4843" s="3" t="s">
        <v>1881</v>
      </c>
      <c r="R4843" s="3" t="s">
        <v>46535</v>
      </c>
      <c r="S4843" s="4">
        <v>0</v>
      </c>
      <c r="T4843" s="4">
        <v>3</v>
      </c>
      <c r="V4843" s="5" t="s">
        <v>13095</v>
      </c>
      <c r="W4843" s="5" t="s">
        <v>67</v>
      </c>
      <c r="X4843" s="5" t="s">
        <v>67</v>
      </c>
      <c r="Y4843" s="4">
        <v>3</v>
      </c>
      <c r="Z4843" s="4">
        <v>2</v>
      </c>
      <c r="AA4843" s="4">
        <v>7</v>
      </c>
      <c r="AB4843" s="4">
        <v>2</v>
      </c>
      <c r="AC4843" s="4">
        <v>2</v>
      </c>
      <c r="AD4843" s="4">
        <v>0</v>
      </c>
      <c r="AE4843" s="4">
        <v>51</v>
      </c>
      <c r="AF4843" s="4">
        <v>0</v>
      </c>
      <c r="AG4843" s="4">
        <v>0</v>
      </c>
      <c r="AH4843" s="4">
        <v>0</v>
      </c>
      <c r="AI4843" s="4">
        <v>48</v>
      </c>
      <c r="AJ4843" s="4">
        <v>0</v>
      </c>
      <c r="AK4843" s="4">
        <v>4</v>
      </c>
      <c r="AL4843" s="4">
        <v>0</v>
      </c>
      <c r="AM4843" s="4">
        <v>39</v>
      </c>
      <c r="AN4843" s="4">
        <v>0</v>
      </c>
      <c r="AO4843" s="4">
        <v>0</v>
      </c>
      <c r="AP4843" s="4">
        <v>0</v>
      </c>
      <c r="AQ4843" s="4">
        <v>3</v>
      </c>
      <c r="AR4843" s="3" t="s">
        <v>62</v>
      </c>
      <c r="AS4843" s="3" t="s">
        <v>62</v>
      </c>
      <c r="AT4843" s="3" t="s">
        <v>62</v>
      </c>
      <c r="AV4843" s="6" t="str">
        <f t="shared" si="76"/>
        <v>Catalog Record</v>
      </c>
      <c r="AW4843" s="6" t="str">
        <f t="shared" si="77"/>
        <v>WorldCat Record</v>
      </c>
      <c r="AX4843" s="3" t="s">
        <v>46696</v>
      </c>
      <c r="AY4843" s="3" t="s">
        <v>46697</v>
      </c>
      <c r="AZ4843" s="3" t="s">
        <v>46698</v>
      </c>
      <c r="BA4843" s="3" t="s">
        <v>46698</v>
      </c>
      <c r="BB4843" s="3" t="s">
        <v>46708</v>
      </c>
      <c r="BC4843" s="3" t="s">
        <v>102</v>
      </c>
      <c r="BD4843" s="3" t="s">
        <v>68</v>
      </c>
      <c r="BF4843" s="3" t="s">
        <v>46708</v>
      </c>
      <c r="BG4843" s="3" t="s">
        <v>46709</v>
      </c>
    </row>
    <row r="4844" spans="1:59" ht="72.5" x14ac:dyDescent="0.35">
      <c r="A4844" s="2" t="s">
        <v>59</v>
      </c>
      <c r="B4844" s="2" t="s">
        <v>60</v>
      </c>
      <c r="C4844" s="2" t="s">
        <v>46692</v>
      </c>
      <c r="D4844" s="2" t="s">
        <v>46693</v>
      </c>
      <c r="E4844" s="2" t="s">
        <v>46694</v>
      </c>
      <c r="F4844" s="3" t="s">
        <v>46710</v>
      </c>
      <c r="G4844" s="3" t="s">
        <v>61</v>
      </c>
      <c r="I4844" s="3" t="s">
        <v>61</v>
      </c>
      <c r="J4844" s="3" t="s">
        <v>62</v>
      </c>
      <c r="K4844" s="3" t="s">
        <v>63</v>
      </c>
      <c r="M4844" s="2" t="s">
        <v>46695</v>
      </c>
      <c r="N4844" s="3" t="s">
        <v>9091</v>
      </c>
      <c r="P4844" s="3" t="s">
        <v>1881</v>
      </c>
      <c r="R4844" s="3" t="s">
        <v>46535</v>
      </c>
      <c r="S4844" s="4">
        <v>0</v>
      </c>
      <c r="T4844" s="4">
        <v>3</v>
      </c>
      <c r="V4844" s="5" t="s">
        <v>13095</v>
      </c>
      <c r="W4844" s="5" t="s">
        <v>67</v>
      </c>
      <c r="X4844" s="5" t="s">
        <v>67</v>
      </c>
      <c r="Y4844" s="4">
        <v>3</v>
      </c>
      <c r="Z4844" s="4">
        <v>2</v>
      </c>
      <c r="AA4844" s="4">
        <v>7</v>
      </c>
      <c r="AB4844" s="4">
        <v>2</v>
      </c>
      <c r="AC4844" s="4">
        <v>2</v>
      </c>
      <c r="AD4844" s="4">
        <v>0</v>
      </c>
      <c r="AE4844" s="4">
        <v>51</v>
      </c>
      <c r="AF4844" s="4">
        <v>0</v>
      </c>
      <c r="AG4844" s="4">
        <v>0</v>
      </c>
      <c r="AH4844" s="4">
        <v>0</v>
      </c>
      <c r="AI4844" s="4">
        <v>48</v>
      </c>
      <c r="AJ4844" s="4">
        <v>0</v>
      </c>
      <c r="AK4844" s="4">
        <v>4</v>
      </c>
      <c r="AL4844" s="4">
        <v>0</v>
      </c>
      <c r="AM4844" s="4">
        <v>39</v>
      </c>
      <c r="AN4844" s="4">
        <v>0</v>
      </c>
      <c r="AO4844" s="4">
        <v>0</v>
      </c>
      <c r="AP4844" s="4">
        <v>0</v>
      </c>
      <c r="AQ4844" s="4">
        <v>3</v>
      </c>
      <c r="AR4844" s="3" t="s">
        <v>62</v>
      </c>
      <c r="AS4844" s="3" t="s">
        <v>62</v>
      </c>
      <c r="AT4844" s="3" t="s">
        <v>62</v>
      </c>
      <c r="AV4844" s="6" t="str">
        <f t="shared" si="76"/>
        <v>Catalog Record</v>
      </c>
      <c r="AW4844" s="6" t="str">
        <f t="shared" si="77"/>
        <v>WorldCat Record</v>
      </c>
      <c r="AX4844" s="3" t="s">
        <v>46696</v>
      </c>
      <c r="AY4844" s="3" t="s">
        <v>46697</v>
      </c>
      <c r="AZ4844" s="3" t="s">
        <v>46698</v>
      </c>
      <c r="BA4844" s="3" t="s">
        <v>46698</v>
      </c>
      <c r="BB4844" s="3" t="s">
        <v>46711</v>
      </c>
      <c r="BC4844" s="3" t="s">
        <v>102</v>
      </c>
      <c r="BD4844" s="3" t="s">
        <v>68</v>
      </c>
      <c r="BF4844" s="3" t="s">
        <v>46711</v>
      </c>
      <c r="BG4844" s="3" t="s">
        <v>46712</v>
      </c>
    </row>
    <row r="4845" spans="1:59" ht="72.5" x14ac:dyDescent="0.35">
      <c r="A4845" s="2" t="s">
        <v>59</v>
      </c>
      <c r="B4845" s="2" t="s">
        <v>60</v>
      </c>
      <c r="C4845" s="2" t="s">
        <v>46692</v>
      </c>
      <c r="D4845" s="2" t="s">
        <v>46693</v>
      </c>
      <c r="E4845" s="2" t="s">
        <v>46694</v>
      </c>
      <c r="F4845" s="3" t="s">
        <v>46713</v>
      </c>
      <c r="G4845" s="3" t="s">
        <v>61</v>
      </c>
      <c r="I4845" s="3" t="s">
        <v>61</v>
      </c>
      <c r="J4845" s="3" t="s">
        <v>62</v>
      </c>
      <c r="K4845" s="3" t="s">
        <v>63</v>
      </c>
      <c r="M4845" s="2" t="s">
        <v>46695</v>
      </c>
      <c r="N4845" s="3" t="s">
        <v>9091</v>
      </c>
      <c r="P4845" s="3" t="s">
        <v>1881</v>
      </c>
      <c r="R4845" s="3" t="s">
        <v>46535</v>
      </c>
      <c r="S4845" s="4">
        <v>0</v>
      </c>
      <c r="T4845" s="4">
        <v>3</v>
      </c>
      <c r="V4845" s="5" t="s">
        <v>13095</v>
      </c>
      <c r="W4845" s="5" t="s">
        <v>67</v>
      </c>
      <c r="X4845" s="5" t="s">
        <v>67</v>
      </c>
      <c r="Y4845" s="4">
        <v>3</v>
      </c>
      <c r="Z4845" s="4">
        <v>2</v>
      </c>
      <c r="AA4845" s="4">
        <v>7</v>
      </c>
      <c r="AB4845" s="4">
        <v>2</v>
      </c>
      <c r="AC4845" s="4">
        <v>2</v>
      </c>
      <c r="AD4845" s="4">
        <v>0</v>
      </c>
      <c r="AE4845" s="4">
        <v>51</v>
      </c>
      <c r="AF4845" s="4">
        <v>0</v>
      </c>
      <c r="AG4845" s="4">
        <v>0</v>
      </c>
      <c r="AH4845" s="4">
        <v>0</v>
      </c>
      <c r="AI4845" s="4">
        <v>48</v>
      </c>
      <c r="AJ4845" s="4">
        <v>0</v>
      </c>
      <c r="AK4845" s="4">
        <v>4</v>
      </c>
      <c r="AL4845" s="4">
        <v>0</v>
      </c>
      <c r="AM4845" s="4">
        <v>39</v>
      </c>
      <c r="AN4845" s="4">
        <v>0</v>
      </c>
      <c r="AO4845" s="4">
        <v>0</v>
      </c>
      <c r="AP4845" s="4">
        <v>0</v>
      </c>
      <c r="AQ4845" s="4">
        <v>3</v>
      </c>
      <c r="AR4845" s="3" t="s">
        <v>62</v>
      </c>
      <c r="AS4845" s="3" t="s">
        <v>62</v>
      </c>
      <c r="AT4845" s="3" t="s">
        <v>62</v>
      </c>
      <c r="AV4845" s="6" t="str">
        <f t="shared" si="76"/>
        <v>Catalog Record</v>
      </c>
      <c r="AW4845" s="6" t="str">
        <f t="shared" si="77"/>
        <v>WorldCat Record</v>
      </c>
      <c r="AX4845" s="3" t="s">
        <v>46696</v>
      </c>
      <c r="AY4845" s="3" t="s">
        <v>46697</v>
      </c>
      <c r="AZ4845" s="3" t="s">
        <v>46698</v>
      </c>
      <c r="BA4845" s="3" t="s">
        <v>46698</v>
      </c>
      <c r="BB4845" s="3" t="s">
        <v>46714</v>
      </c>
      <c r="BC4845" s="3" t="s">
        <v>102</v>
      </c>
      <c r="BD4845" s="3" t="s">
        <v>68</v>
      </c>
      <c r="BF4845" s="3" t="s">
        <v>46714</v>
      </c>
      <c r="BG4845" s="3" t="s">
        <v>46715</v>
      </c>
    </row>
    <row r="4846" spans="1:59" ht="72.5" x14ac:dyDescent="0.35">
      <c r="A4846" s="2" t="s">
        <v>59</v>
      </c>
      <c r="B4846" s="2" t="s">
        <v>60</v>
      </c>
      <c r="C4846" s="2" t="s">
        <v>46692</v>
      </c>
      <c r="D4846" s="2" t="s">
        <v>46693</v>
      </c>
      <c r="E4846" s="2" t="s">
        <v>46694</v>
      </c>
      <c r="F4846" s="3" t="s">
        <v>46716</v>
      </c>
      <c r="G4846" s="3" t="s">
        <v>61</v>
      </c>
      <c r="I4846" s="3" t="s">
        <v>61</v>
      </c>
      <c r="J4846" s="3" t="s">
        <v>62</v>
      </c>
      <c r="K4846" s="3" t="s">
        <v>63</v>
      </c>
      <c r="M4846" s="2" t="s">
        <v>46695</v>
      </c>
      <c r="N4846" s="3" t="s">
        <v>9091</v>
      </c>
      <c r="P4846" s="3" t="s">
        <v>1881</v>
      </c>
      <c r="R4846" s="3" t="s">
        <v>46535</v>
      </c>
      <c r="S4846" s="4">
        <v>0</v>
      </c>
      <c r="T4846" s="4">
        <v>3</v>
      </c>
      <c r="V4846" s="5" t="s">
        <v>13095</v>
      </c>
      <c r="W4846" s="5" t="s">
        <v>67</v>
      </c>
      <c r="X4846" s="5" t="s">
        <v>67</v>
      </c>
      <c r="Y4846" s="4">
        <v>3</v>
      </c>
      <c r="Z4846" s="4">
        <v>2</v>
      </c>
      <c r="AA4846" s="4">
        <v>7</v>
      </c>
      <c r="AB4846" s="4">
        <v>2</v>
      </c>
      <c r="AC4846" s="4">
        <v>2</v>
      </c>
      <c r="AD4846" s="4">
        <v>0</v>
      </c>
      <c r="AE4846" s="4">
        <v>51</v>
      </c>
      <c r="AF4846" s="4">
        <v>0</v>
      </c>
      <c r="AG4846" s="4">
        <v>0</v>
      </c>
      <c r="AH4846" s="4">
        <v>0</v>
      </c>
      <c r="AI4846" s="4">
        <v>48</v>
      </c>
      <c r="AJ4846" s="4">
        <v>0</v>
      </c>
      <c r="AK4846" s="4">
        <v>4</v>
      </c>
      <c r="AL4846" s="4">
        <v>0</v>
      </c>
      <c r="AM4846" s="4">
        <v>39</v>
      </c>
      <c r="AN4846" s="4">
        <v>0</v>
      </c>
      <c r="AO4846" s="4">
        <v>0</v>
      </c>
      <c r="AP4846" s="4">
        <v>0</v>
      </c>
      <c r="AQ4846" s="4">
        <v>3</v>
      </c>
      <c r="AR4846" s="3" t="s">
        <v>62</v>
      </c>
      <c r="AS4846" s="3" t="s">
        <v>62</v>
      </c>
      <c r="AT4846" s="3" t="s">
        <v>62</v>
      </c>
      <c r="AV4846" s="6" t="str">
        <f t="shared" si="76"/>
        <v>Catalog Record</v>
      </c>
      <c r="AW4846" s="6" t="str">
        <f t="shared" si="77"/>
        <v>WorldCat Record</v>
      </c>
      <c r="AX4846" s="3" t="s">
        <v>46696</v>
      </c>
      <c r="AY4846" s="3" t="s">
        <v>46697</v>
      </c>
      <c r="AZ4846" s="3" t="s">
        <v>46698</v>
      </c>
      <c r="BA4846" s="3" t="s">
        <v>46698</v>
      </c>
      <c r="BB4846" s="3" t="s">
        <v>46717</v>
      </c>
      <c r="BC4846" s="3" t="s">
        <v>102</v>
      </c>
      <c r="BD4846" s="3" t="s">
        <v>68</v>
      </c>
      <c r="BF4846" s="3" t="s">
        <v>46717</v>
      </c>
      <c r="BG4846" s="3" t="s">
        <v>46718</v>
      </c>
    </row>
    <row r="4847" spans="1:59" ht="72.5" x14ac:dyDescent="0.35">
      <c r="A4847" s="2" t="s">
        <v>59</v>
      </c>
      <c r="B4847" s="2" t="s">
        <v>60</v>
      </c>
      <c r="C4847" s="2" t="s">
        <v>46692</v>
      </c>
      <c r="D4847" s="2" t="s">
        <v>46693</v>
      </c>
      <c r="E4847" s="2" t="s">
        <v>46694</v>
      </c>
      <c r="F4847" s="3" t="s">
        <v>6313</v>
      </c>
      <c r="G4847" s="3" t="s">
        <v>61</v>
      </c>
      <c r="I4847" s="3" t="s">
        <v>61</v>
      </c>
      <c r="J4847" s="3" t="s">
        <v>62</v>
      </c>
      <c r="K4847" s="3" t="s">
        <v>63</v>
      </c>
      <c r="M4847" s="2" t="s">
        <v>46695</v>
      </c>
      <c r="N4847" s="3" t="s">
        <v>9091</v>
      </c>
      <c r="P4847" s="3" t="s">
        <v>1881</v>
      </c>
      <c r="R4847" s="3" t="s">
        <v>46535</v>
      </c>
      <c r="S4847" s="4">
        <v>0</v>
      </c>
      <c r="T4847" s="4">
        <v>3</v>
      </c>
      <c r="V4847" s="5" t="s">
        <v>13095</v>
      </c>
      <c r="W4847" s="5" t="s">
        <v>67</v>
      </c>
      <c r="X4847" s="5" t="s">
        <v>67</v>
      </c>
      <c r="Y4847" s="4">
        <v>3</v>
      </c>
      <c r="Z4847" s="4">
        <v>2</v>
      </c>
      <c r="AA4847" s="4">
        <v>7</v>
      </c>
      <c r="AB4847" s="4">
        <v>2</v>
      </c>
      <c r="AC4847" s="4">
        <v>2</v>
      </c>
      <c r="AD4847" s="4">
        <v>0</v>
      </c>
      <c r="AE4847" s="4">
        <v>51</v>
      </c>
      <c r="AF4847" s="4">
        <v>0</v>
      </c>
      <c r="AG4847" s="4">
        <v>0</v>
      </c>
      <c r="AH4847" s="4">
        <v>0</v>
      </c>
      <c r="AI4847" s="4">
        <v>48</v>
      </c>
      <c r="AJ4847" s="4">
        <v>0</v>
      </c>
      <c r="AK4847" s="4">
        <v>4</v>
      </c>
      <c r="AL4847" s="4">
        <v>0</v>
      </c>
      <c r="AM4847" s="4">
        <v>39</v>
      </c>
      <c r="AN4847" s="4">
        <v>0</v>
      </c>
      <c r="AO4847" s="4">
        <v>0</v>
      </c>
      <c r="AP4847" s="4">
        <v>0</v>
      </c>
      <c r="AQ4847" s="4">
        <v>3</v>
      </c>
      <c r="AR4847" s="3" t="s">
        <v>62</v>
      </c>
      <c r="AS4847" s="3" t="s">
        <v>62</v>
      </c>
      <c r="AT4847" s="3" t="s">
        <v>62</v>
      </c>
      <c r="AV4847" s="6" t="str">
        <f t="shared" si="76"/>
        <v>Catalog Record</v>
      </c>
      <c r="AW4847" s="6" t="str">
        <f t="shared" si="77"/>
        <v>WorldCat Record</v>
      </c>
      <c r="AX4847" s="3" t="s">
        <v>46696</v>
      </c>
      <c r="AY4847" s="3" t="s">
        <v>46697</v>
      </c>
      <c r="AZ4847" s="3" t="s">
        <v>46698</v>
      </c>
      <c r="BA4847" s="3" t="s">
        <v>46698</v>
      </c>
      <c r="BB4847" s="3" t="s">
        <v>46719</v>
      </c>
      <c r="BC4847" s="3" t="s">
        <v>102</v>
      </c>
      <c r="BD4847" s="3" t="s">
        <v>68</v>
      </c>
      <c r="BF4847" s="3" t="s">
        <v>46719</v>
      </c>
      <c r="BG4847" s="3" t="s">
        <v>46720</v>
      </c>
    </row>
    <row r="4848" spans="1:59" ht="72.5" x14ac:dyDescent="0.35">
      <c r="A4848" s="2" t="s">
        <v>59</v>
      </c>
      <c r="B4848" s="2" t="s">
        <v>60</v>
      </c>
      <c r="C4848" s="2" t="s">
        <v>46692</v>
      </c>
      <c r="D4848" s="2" t="s">
        <v>46693</v>
      </c>
      <c r="E4848" s="2" t="s">
        <v>46694</v>
      </c>
      <c r="F4848" s="3" t="s">
        <v>1413</v>
      </c>
      <c r="G4848" s="3" t="s">
        <v>61</v>
      </c>
      <c r="I4848" s="3" t="s">
        <v>61</v>
      </c>
      <c r="J4848" s="3" t="s">
        <v>62</v>
      </c>
      <c r="K4848" s="3" t="s">
        <v>63</v>
      </c>
      <c r="M4848" s="2" t="s">
        <v>46695</v>
      </c>
      <c r="N4848" s="3" t="s">
        <v>9091</v>
      </c>
      <c r="P4848" s="3" t="s">
        <v>1881</v>
      </c>
      <c r="R4848" s="3" t="s">
        <v>46535</v>
      </c>
      <c r="S4848" s="4">
        <v>0</v>
      </c>
      <c r="T4848" s="4">
        <v>3</v>
      </c>
      <c r="V4848" s="5" t="s">
        <v>13095</v>
      </c>
      <c r="W4848" s="5" t="s">
        <v>67</v>
      </c>
      <c r="X4848" s="5" t="s">
        <v>67</v>
      </c>
      <c r="Y4848" s="4">
        <v>3</v>
      </c>
      <c r="Z4848" s="4">
        <v>2</v>
      </c>
      <c r="AA4848" s="4">
        <v>7</v>
      </c>
      <c r="AB4848" s="4">
        <v>2</v>
      </c>
      <c r="AC4848" s="4">
        <v>2</v>
      </c>
      <c r="AD4848" s="4">
        <v>0</v>
      </c>
      <c r="AE4848" s="4">
        <v>51</v>
      </c>
      <c r="AF4848" s="4">
        <v>0</v>
      </c>
      <c r="AG4848" s="4">
        <v>0</v>
      </c>
      <c r="AH4848" s="4">
        <v>0</v>
      </c>
      <c r="AI4848" s="4">
        <v>48</v>
      </c>
      <c r="AJ4848" s="4">
        <v>0</v>
      </c>
      <c r="AK4848" s="4">
        <v>4</v>
      </c>
      <c r="AL4848" s="4">
        <v>0</v>
      </c>
      <c r="AM4848" s="4">
        <v>39</v>
      </c>
      <c r="AN4848" s="4">
        <v>0</v>
      </c>
      <c r="AO4848" s="4">
        <v>0</v>
      </c>
      <c r="AP4848" s="4">
        <v>0</v>
      </c>
      <c r="AQ4848" s="4">
        <v>3</v>
      </c>
      <c r="AR4848" s="3" t="s">
        <v>62</v>
      </c>
      <c r="AS4848" s="3" t="s">
        <v>62</v>
      </c>
      <c r="AT4848" s="3" t="s">
        <v>62</v>
      </c>
      <c r="AV4848" s="6" t="str">
        <f t="shared" si="76"/>
        <v>Catalog Record</v>
      </c>
      <c r="AW4848" s="6" t="str">
        <f t="shared" si="77"/>
        <v>WorldCat Record</v>
      </c>
      <c r="AX4848" s="3" t="s">
        <v>46696</v>
      </c>
      <c r="AY4848" s="3" t="s">
        <v>46697</v>
      </c>
      <c r="AZ4848" s="3" t="s">
        <v>46698</v>
      </c>
      <c r="BA4848" s="3" t="s">
        <v>46698</v>
      </c>
      <c r="BB4848" s="3" t="s">
        <v>46721</v>
      </c>
      <c r="BC4848" s="3" t="s">
        <v>102</v>
      </c>
      <c r="BD4848" s="3" t="s">
        <v>68</v>
      </c>
      <c r="BF4848" s="3" t="s">
        <v>46721</v>
      </c>
      <c r="BG4848" s="3" t="s">
        <v>46722</v>
      </c>
    </row>
    <row r="4849" spans="1:59" ht="72.5" x14ac:dyDescent="0.35">
      <c r="A4849" s="2" t="s">
        <v>59</v>
      </c>
      <c r="B4849" s="2" t="s">
        <v>60</v>
      </c>
      <c r="C4849" s="2" t="s">
        <v>46692</v>
      </c>
      <c r="D4849" s="2" t="s">
        <v>46693</v>
      </c>
      <c r="E4849" s="2" t="s">
        <v>46694</v>
      </c>
      <c r="F4849" s="3" t="s">
        <v>46723</v>
      </c>
      <c r="G4849" s="3" t="s">
        <v>61</v>
      </c>
      <c r="I4849" s="3" t="s">
        <v>61</v>
      </c>
      <c r="J4849" s="3" t="s">
        <v>62</v>
      </c>
      <c r="K4849" s="3" t="s">
        <v>63</v>
      </c>
      <c r="M4849" s="2" t="s">
        <v>46695</v>
      </c>
      <c r="N4849" s="3" t="s">
        <v>9091</v>
      </c>
      <c r="P4849" s="3" t="s">
        <v>1881</v>
      </c>
      <c r="R4849" s="3" t="s">
        <v>46535</v>
      </c>
      <c r="S4849" s="4">
        <v>0</v>
      </c>
      <c r="T4849" s="4">
        <v>3</v>
      </c>
      <c r="V4849" s="5" t="s">
        <v>13095</v>
      </c>
      <c r="W4849" s="5" t="s">
        <v>67</v>
      </c>
      <c r="X4849" s="5" t="s">
        <v>67</v>
      </c>
      <c r="Y4849" s="4">
        <v>3</v>
      </c>
      <c r="Z4849" s="4">
        <v>2</v>
      </c>
      <c r="AA4849" s="4">
        <v>7</v>
      </c>
      <c r="AB4849" s="4">
        <v>2</v>
      </c>
      <c r="AC4849" s="4">
        <v>2</v>
      </c>
      <c r="AD4849" s="4">
        <v>0</v>
      </c>
      <c r="AE4849" s="4">
        <v>51</v>
      </c>
      <c r="AF4849" s="4">
        <v>0</v>
      </c>
      <c r="AG4849" s="4">
        <v>0</v>
      </c>
      <c r="AH4849" s="4">
        <v>0</v>
      </c>
      <c r="AI4849" s="4">
        <v>48</v>
      </c>
      <c r="AJ4849" s="4">
        <v>0</v>
      </c>
      <c r="AK4849" s="4">
        <v>4</v>
      </c>
      <c r="AL4849" s="4">
        <v>0</v>
      </c>
      <c r="AM4849" s="4">
        <v>39</v>
      </c>
      <c r="AN4849" s="4">
        <v>0</v>
      </c>
      <c r="AO4849" s="4">
        <v>0</v>
      </c>
      <c r="AP4849" s="4">
        <v>0</v>
      </c>
      <c r="AQ4849" s="4">
        <v>3</v>
      </c>
      <c r="AR4849" s="3" t="s">
        <v>62</v>
      </c>
      <c r="AS4849" s="3" t="s">
        <v>62</v>
      </c>
      <c r="AT4849" s="3" t="s">
        <v>62</v>
      </c>
      <c r="AV4849" s="6" t="str">
        <f t="shared" si="76"/>
        <v>Catalog Record</v>
      </c>
      <c r="AW4849" s="6" t="str">
        <f t="shared" si="77"/>
        <v>WorldCat Record</v>
      </c>
      <c r="AX4849" s="3" t="s">
        <v>46696</v>
      </c>
      <c r="AY4849" s="3" t="s">
        <v>46697</v>
      </c>
      <c r="AZ4849" s="3" t="s">
        <v>46698</v>
      </c>
      <c r="BA4849" s="3" t="s">
        <v>46698</v>
      </c>
      <c r="BB4849" s="3" t="s">
        <v>46724</v>
      </c>
      <c r="BC4849" s="3" t="s">
        <v>102</v>
      </c>
      <c r="BD4849" s="3" t="s">
        <v>68</v>
      </c>
      <c r="BF4849" s="3" t="s">
        <v>46724</v>
      </c>
      <c r="BG4849" s="3" t="s">
        <v>46725</v>
      </c>
    </row>
    <row r="4850" spans="1:59" ht="72.5" x14ac:dyDescent="0.35">
      <c r="A4850" s="2" t="s">
        <v>59</v>
      </c>
      <c r="B4850" s="2" t="s">
        <v>60</v>
      </c>
      <c r="C4850" s="2" t="s">
        <v>46692</v>
      </c>
      <c r="D4850" s="2" t="s">
        <v>46693</v>
      </c>
      <c r="E4850" s="2" t="s">
        <v>46694</v>
      </c>
      <c r="F4850" s="3" t="s">
        <v>46726</v>
      </c>
      <c r="G4850" s="3" t="s">
        <v>61</v>
      </c>
      <c r="I4850" s="3" t="s">
        <v>61</v>
      </c>
      <c r="J4850" s="3" t="s">
        <v>62</v>
      </c>
      <c r="K4850" s="3" t="s">
        <v>63</v>
      </c>
      <c r="M4850" s="2" t="s">
        <v>46695</v>
      </c>
      <c r="N4850" s="3" t="s">
        <v>9091</v>
      </c>
      <c r="P4850" s="3" t="s">
        <v>1881</v>
      </c>
      <c r="R4850" s="3" t="s">
        <v>46535</v>
      </c>
      <c r="S4850" s="4">
        <v>0</v>
      </c>
      <c r="T4850" s="4">
        <v>3</v>
      </c>
      <c r="V4850" s="5" t="s">
        <v>13095</v>
      </c>
      <c r="W4850" s="5" t="s">
        <v>67</v>
      </c>
      <c r="X4850" s="5" t="s">
        <v>67</v>
      </c>
      <c r="Y4850" s="4">
        <v>3</v>
      </c>
      <c r="Z4850" s="4">
        <v>2</v>
      </c>
      <c r="AA4850" s="4">
        <v>7</v>
      </c>
      <c r="AB4850" s="4">
        <v>2</v>
      </c>
      <c r="AC4850" s="4">
        <v>2</v>
      </c>
      <c r="AD4850" s="4">
        <v>0</v>
      </c>
      <c r="AE4850" s="4">
        <v>51</v>
      </c>
      <c r="AF4850" s="4">
        <v>0</v>
      </c>
      <c r="AG4850" s="4">
        <v>0</v>
      </c>
      <c r="AH4850" s="4">
        <v>0</v>
      </c>
      <c r="AI4850" s="4">
        <v>48</v>
      </c>
      <c r="AJ4850" s="4">
        <v>0</v>
      </c>
      <c r="AK4850" s="4">
        <v>4</v>
      </c>
      <c r="AL4850" s="4">
        <v>0</v>
      </c>
      <c r="AM4850" s="4">
        <v>39</v>
      </c>
      <c r="AN4850" s="4">
        <v>0</v>
      </c>
      <c r="AO4850" s="4">
        <v>0</v>
      </c>
      <c r="AP4850" s="4">
        <v>0</v>
      </c>
      <c r="AQ4850" s="4">
        <v>3</v>
      </c>
      <c r="AR4850" s="3" t="s">
        <v>62</v>
      </c>
      <c r="AS4850" s="3" t="s">
        <v>62</v>
      </c>
      <c r="AT4850" s="3" t="s">
        <v>62</v>
      </c>
      <c r="AV4850" s="6" t="str">
        <f t="shared" si="76"/>
        <v>Catalog Record</v>
      </c>
      <c r="AW4850" s="6" t="str">
        <f t="shared" si="77"/>
        <v>WorldCat Record</v>
      </c>
      <c r="AX4850" s="3" t="s">
        <v>46696</v>
      </c>
      <c r="AY4850" s="3" t="s">
        <v>46697</v>
      </c>
      <c r="AZ4850" s="3" t="s">
        <v>46698</v>
      </c>
      <c r="BA4850" s="3" t="s">
        <v>46698</v>
      </c>
      <c r="BB4850" s="3" t="s">
        <v>46727</v>
      </c>
      <c r="BC4850" s="3" t="s">
        <v>102</v>
      </c>
      <c r="BD4850" s="3" t="s">
        <v>68</v>
      </c>
      <c r="BF4850" s="3" t="s">
        <v>46727</v>
      </c>
      <c r="BG4850" s="3" t="s">
        <v>46728</v>
      </c>
    </row>
    <row r="4851" spans="1:59" ht="72.5" x14ac:dyDescent="0.35">
      <c r="A4851" s="2" t="s">
        <v>59</v>
      </c>
      <c r="B4851" s="2" t="s">
        <v>60</v>
      </c>
      <c r="C4851" s="2" t="s">
        <v>46692</v>
      </c>
      <c r="D4851" s="2" t="s">
        <v>46693</v>
      </c>
      <c r="E4851" s="2" t="s">
        <v>46694</v>
      </c>
      <c r="F4851" s="3" t="s">
        <v>46729</v>
      </c>
      <c r="G4851" s="3" t="s">
        <v>61</v>
      </c>
      <c r="I4851" s="3" t="s">
        <v>61</v>
      </c>
      <c r="J4851" s="3" t="s">
        <v>62</v>
      </c>
      <c r="K4851" s="3" t="s">
        <v>63</v>
      </c>
      <c r="M4851" s="2" t="s">
        <v>46695</v>
      </c>
      <c r="N4851" s="3" t="s">
        <v>9091</v>
      </c>
      <c r="P4851" s="3" t="s">
        <v>1881</v>
      </c>
      <c r="R4851" s="3" t="s">
        <v>46535</v>
      </c>
      <c r="S4851" s="4">
        <v>0</v>
      </c>
      <c r="T4851" s="4">
        <v>3</v>
      </c>
      <c r="V4851" s="5" t="s">
        <v>13095</v>
      </c>
      <c r="W4851" s="5" t="s">
        <v>67</v>
      </c>
      <c r="X4851" s="5" t="s">
        <v>67</v>
      </c>
      <c r="Y4851" s="4">
        <v>3</v>
      </c>
      <c r="Z4851" s="4">
        <v>2</v>
      </c>
      <c r="AA4851" s="4">
        <v>7</v>
      </c>
      <c r="AB4851" s="4">
        <v>2</v>
      </c>
      <c r="AC4851" s="4">
        <v>2</v>
      </c>
      <c r="AD4851" s="4">
        <v>0</v>
      </c>
      <c r="AE4851" s="4">
        <v>51</v>
      </c>
      <c r="AF4851" s="4">
        <v>0</v>
      </c>
      <c r="AG4851" s="4">
        <v>0</v>
      </c>
      <c r="AH4851" s="4">
        <v>0</v>
      </c>
      <c r="AI4851" s="4">
        <v>48</v>
      </c>
      <c r="AJ4851" s="4">
        <v>0</v>
      </c>
      <c r="AK4851" s="4">
        <v>4</v>
      </c>
      <c r="AL4851" s="4">
        <v>0</v>
      </c>
      <c r="AM4851" s="4">
        <v>39</v>
      </c>
      <c r="AN4851" s="4">
        <v>0</v>
      </c>
      <c r="AO4851" s="4">
        <v>0</v>
      </c>
      <c r="AP4851" s="4">
        <v>0</v>
      </c>
      <c r="AQ4851" s="4">
        <v>3</v>
      </c>
      <c r="AR4851" s="3" t="s">
        <v>62</v>
      </c>
      <c r="AS4851" s="3" t="s">
        <v>62</v>
      </c>
      <c r="AT4851" s="3" t="s">
        <v>62</v>
      </c>
      <c r="AV4851" s="6" t="str">
        <f t="shared" si="76"/>
        <v>Catalog Record</v>
      </c>
      <c r="AW4851" s="6" t="str">
        <f t="shared" si="77"/>
        <v>WorldCat Record</v>
      </c>
      <c r="AX4851" s="3" t="s">
        <v>46696</v>
      </c>
      <c r="AY4851" s="3" t="s">
        <v>46697</v>
      </c>
      <c r="AZ4851" s="3" t="s">
        <v>46698</v>
      </c>
      <c r="BA4851" s="3" t="s">
        <v>46698</v>
      </c>
      <c r="BB4851" s="3" t="s">
        <v>46730</v>
      </c>
      <c r="BC4851" s="3" t="s">
        <v>102</v>
      </c>
      <c r="BD4851" s="3" t="s">
        <v>68</v>
      </c>
      <c r="BF4851" s="3" t="s">
        <v>46730</v>
      </c>
      <c r="BG4851" s="3" t="s">
        <v>46731</v>
      </c>
    </row>
    <row r="4852" spans="1:59" ht="72.5" x14ac:dyDescent="0.35">
      <c r="A4852" s="2" t="s">
        <v>59</v>
      </c>
      <c r="B4852" s="2" t="s">
        <v>60</v>
      </c>
      <c r="C4852" s="2" t="s">
        <v>46692</v>
      </c>
      <c r="D4852" s="2" t="s">
        <v>46693</v>
      </c>
      <c r="E4852" s="2" t="s">
        <v>46694</v>
      </c>
      <c r="F4852" s="3" t="s">
        <v>46732</v>
      </c>
      <c r="G4852" s="3" t="s">
        <v>61</v>
      </c>
      <c r="I4852" s="3" t="s">
        <v>61</v>
      </c>
      <c r="J4852" s="3" t="s">
        <v>62</v>
      </c>
      <c r="K4852" s="3" t="s">
        <v>63</v>
      </c>
      <c r="M4852" s="2" t="s">
        <v>46695</v>
      </c>
      <c r="N4852" s="3" t="s">
        <v>9091</v>
      </c>
      <c r="P4852" s="3" t="s">
        <v>1881</v>
      </c>
      <c r="R4852" s="3" t="s">
        <v>46535</v>
      </c>
      <c r="S4852" s="4">
        <v>0</v>
      </c>
      <c r="T4852" s="4">
        <v>3</v>
      </c>
      <c r="V4852" s="5" t="s">
        <v>13095</v>
      </c>
      <c r="W4852" s="5" t="s">
        <v>67</v>
      </c>
      <c r="X4852" s="5" t="s">
        <v>67</v>
      </c>
      <c r="Y4852" s="4">
        <v>3</v>
      </c>
      <c r="Z4852" s="4">
        <v>2</v>
      </c>
      <c r="AA4852" s="4">
        <v>7</v>
      </c>
      <c r="AB4852" s="4">
        <v>2</v>
      </c>
      <c r="AC4852" s="4">
        <v>2</v>
      </c>
      <c r="AD4852" s="4">
        <v>0</v>
      </c>
      <c r="AE4852" s="4">
        <v>51</v>
      </c>
      <c r="AF4852" s="4">
        <v>0</v>
      </c>
      <c r="AG4852" s="4">
        <v>0</v>
      </c>
      <c r="AH4852" s="4">
        <v>0</v>
      </c>
      <c r="AI4852" s="4">
        <v>48</v>
      </c>
      <c r="AJ4852" s="4">
        <v>0</v>
      </c>
      <c r="AK4852" s="4">
        <v>4</v>
      </c>
      <c r="AL4852" s="4">
        <v>0</v>
      </c>
      <c r="AM4852" s="4">
        <v>39</v>
      </c>
      <c r="AN4852" s="4">
        <v>0</v>
      </c>
      <c r="AO4852" s="4">
        <v>0</v>
      </c>
      <c r="AP4852" s="4">
        <v>0</v>
      </c>
      <c r="AQ4852" s="4">
        <v>3</v>
      </c>
      <c r="AR4852" s="3" t="s">
        <v>62</v>
      </c>
      <c r="AS4852" s="3" t="s">
        <v>62</v>
      </c>
      <c r="AT4852" s="3" t="s">
        <v>62</v>
      </c>
      <c r="AV4852" s="6" t="str">
        <f t="shared" si="76"/>
        <v>Catalog Record</v>
      </c>
      <c r="AW4852" s="6" t="str">
        <f t="shared" si="77"/>
        <v>WorldCat Record</v>
      </c>
      <c r="AX4852" s="3" t="s">
        <v>46696</v>
      </c>
      <c r="AY4852" s="3" t="s">
        <v>46697</v>
      </c>
      <c r="AZ4852" s="3" t="s">
        <v>46698</v>
      </c>
      <c r="BA4852" s="3" t="s">
        <v>46698</v>
      </c>
      <c r="BB4852" s="3" t="s">
        <v>46733</v>
      </c>
      <c r="BC4852" s="3" t="s">
        <v>102</v>
      </c>
      <c r="BD4852" s="3" t="s">
        <v>68</v>
      </c>
      <c r="BF4852" s="3" t="s">
        <v>46733</v>
      </c>
      <c r="BG4852" s="3" t="s">
        <v>46734</v>
      </c>
    </row>
    <row r="4853" spans="1:59" ht="72.5" x14ac:dyDescent="0.35">
      <c r="A4853" s="2" t="s">
        <v>59</v>
      </c>
      <c r="B4853" s="2" t="s">
        <v>60</v>
      </c>
      <c r="C4853" s="2" t="s">
        <v>46692</v>
      </c>
      <c r="D4853" s="2" t="s">
        <v>46693</v>
      </c>
      <c r="E4853" s="2" t="s">
        <v>46694</v>
      </c>
      <c r="F4853" s="3" t="s">
        <v>46735</v>
      </c>
      <c r="G4853" s="3" t="s">
        <v>61</v>
      </c>
      <c r="I4853" s="3" t="s">
        <v>61</v>
      </c>
      <c r="J4853" s="3" t="s">
        <v>62</v>
      </c>
      <c r="K4853" s="3" t="s">
        <v>63</v>
      </c>
      <c r="M4853" s="2" t="s">
        <v>46695</v>
      </c>
      <c r="N4853" s="3" t="s">
        <v>9091</v>
      </c>
      <c r="P4853" s="3" t="s">
        <v>1881</v>
      </c>
      <c r="R4853" s="3" t="s">
        <v>46535</v>
      </c>
      <c r="S4853" s="4">
        <v>0</v>
      </c>
      <c r="T4853" s="4">
        <v>3</v>
      </c>
      <c r="V4853" s="5" t="s">
        <v>13095</v>
      </c>
      <c r="W4853" s="5" t="s">
        <v>67</v>
      </c>
      <c r="X4853" s="5" t="s">
        <v>67</v>
      </c>
      <c r="Y4853" s="4">
        <v>3</v>
      </c>
      <c r="Z4853" s="4">
        <v>2</v>
      </c>
      <c r="AA4853" s="4">
        <v>7</v>
      </c>
      <c r="AB4853" s="4">
        <v>2</v>
      </c>
      <c r="AC4853" s="4">
        <v>2</v>
      </c>
      <c r="AD4853" s="4">
        <v>0</v>
      </c>
      <c r="AE4853" s="4">
        <v>51</v>
      </c>
      <c r="AF4853" s="4">
        <v>0</v>
      </c>
      <c r="AG4853" s="4">
        <v>0</v>
      </c>
      <c r="AH4853" s="4">
        <v>0</v>
      </c>
      <c r="AI4853" s="4">
        <v>48</v>
      </c>
      <c r="AJ4853" s="4">
        <v>0</v>
      </c>
      <c r="AK4853" s="4">
        <v>4</v>
      </c>
      <c r="AL4853" s="4">
        <v>0</v>
      </c>
      <c r="AM4853" s="4">
        <v>39</v>
      </c>
      <c r="AN4853" s="4">
        <v>0</v>
      </c>
      <c r="AO4853" s="4">
        <v>0</v>
      </c>
      <c r="AP4853" s="4">
        <v>0</v>
      </c>
      <c r="AQ4853" s="4">
        <v>3</v>
      </c>
      <c r="AR4853" s="3" t="s">
        <v>62</v>
      </c>
      <c r="AS4853" s="3" t="s">
        <v>62</v>
      </c>
      <c r="AT4853" s="3" t="s">
        <v>62</v>
      </c>
      <c r="AV4853" s="6" t="str">
        <f t="shared" si="76"/>
        <v>Catalog Record</v>
      </c>
      <c r="AW4853" s="6" t="str">
        <f t="shared" si="77"/>
        <v>WorldCat Record</v>
      </c>
      <c r="AX4853" s="3" t="s">
        <v>46696</v>
      </c>
      <c r="AY4853" s="3" t="s">
        <v>46697</v>
      </c>
      <c r="AZ4853" s="3" t="s">
        <v>46698</v>
      </c>
      <c r="BA4853" s="3" t="s">
        <v>46698</v>
      </c>
      <c r="BB4853" s="3" t="s">
        <v>46736</v>
      </c>
      <c r="BC4853" s="3" t="s">
        <v>102</v>
      </c>
      <c r="BD4853" s="3" t="s">
        <v>68</v>
      </c>
      <c r="BF4853" s="3" t="s">
        <v>46736</v>
      </c>
      <c r="BG4853" s="3" t="s">
        <v>46737</v>
      </c>
    </row>
    <row r="4854" spans="1:59" ht="72.5" x14ac:dyDescent="0.35">
      <c r="A4854" s="2" t="s">
        <v>59</v>
      </c>
      <c r="B4854" s="2" t="s">
        <v>60</v>
      </c>
      <c r="C4854" s="2" t="s">
        <v>46692</v>
      </c>
      <c r="D4854" s="2" t="s">
        <v>46693</v>
      </c>
      <c r="E4854" s="2" t="s">
        <v>46694</v>
      </c>
      <c r="F4854" s="3" t="s">
        <v>1422</v>
      </c>
      <c r="G4854" s="3" t="s">
        <v>61</v>
      </c>
      <c r="I4854" s="3" t="s">
        <v>61</v>
      </c>
      <c r="J4854" s="3" t="s">
        <v>62</v>
      </c>
      <c r="K4854" s="3" t="s">
        <v>63</v>
      </c>
      <c r="M4854" s="2" t="s">
        <v>46695</v>
      </c>
      <c r="N4854" s="3" t="s">
        <v>9091</v>
      </c>
      <c r="P4854" s="3" t="s">
        <v>1881</v>
      </c>
      <c r="R4854" s="3" t="s">
        <v>46535</v>
      </c>
      <c r="S4854" s="4">
        <v>0</v>
      </c>
      <c r="T4854" s="4">
        <v>3</v>
      </c>
      <c r="V4854" s="5" t="s">
        <v>13095</v>
      </c>
      <c r="W4854" s="5" t="s">
        <v>67</v>
      </c>
      <c r="X4854" s="5" t="s">
        <v>67</v>
      </c>
      <c r="Y4854" s="4">
        <v>3</v>
      </c>
      <c r="Z4854" s="4">
        <v>2</v>
      </c>
      <c r="AA4854" s="4">
        <v>7</v>
      </c>
      <c r="AB4854" s="4">
        <v>2</v>
      </c>
      <c r="AC4854" s="4">
        <v>2</v>
      </c>
      <c r="AD4854" s="4">
        <v>0</v>
      </c>
      <c r="AE4854" s="4">
        <v>51</v>
      </c>
      <c r="AF4854" s="4">
        <v>0</v>
      </c>
      <c r="AG4854" s="4">
        <v>0</v>
      </c>
      <c r="AH4854" s="4">
        <v>0</v>
      </c>
      <c r="AI4854" s="4">
        <v>48</v>
      </c>
      <c r="AJ4854" s="4">
        <v>0</v>
      </c>
      <c r="AK4854" s="4">
        <v>4</v>
      </c>
      <c r="AL4854" s="4">
        <v>0</v>
      </c>
      <c r="AM4854" s="4">
        <v>39</v>
      </c>
      <c r="AN4854" s="4">
        <v>0</v>
      </c>
      <c r="AO4854" s="4">
        <v>0</v>
      </c>
      <c r="AP4854" s="4">
        <v>0</v>
      </c>
      <c r="AQ4854" s="4">
        <v>3</v>
      </c>
      <c r="AR4854" s="3" t="s">
        <v>62</v>
      </c>
      <c r="AS4854" s="3" t="s">
        <v>62</v>
      </c>
      <c r="AT4854" s="3" t="s">
        <v>62</v>
      </c>
      <c r="AV4854" s="6" t="str">
        <f t="shared" si="76"/>
        <v>Catalog Record</v>
      </c>
      <c r="AW4854" s="6" t="str">
        <f t="shared" si="77"/>
        <v>WorldCat Record</v>
      </c>
      <c r="AX4854" s="3" t="s">
        <v>46696</v>
      </c>
      <c r="AY4854" s="3" t="s">
        <v>46697</v>
      </c>
      <c r="AZ4854" s="3" t="s">
        <v>46698</v>
      </c>
      <c r="BA4854" s="3" t="s">
        <v>46698</v>
      </c>
      <c r="BB4854" s="3" t="s">
        <v>46738</v>
      </c>
      <c r="BC4854" s="3" t="s">
        <v>102</v>
      </c>
      <c r="BD4854" s="3" t="s">
        <v>68</v>
      </c>
      <c r="BF4854" s="3" t="s">
        <v>46738</v>
      </c>
      <c r="BG4854" s="3" t="s">
        <v>46739</v>
      </c>
    </row>
    <row r="4855" spans="1:59" ht="72.5" x14ac:dyDescent="0.35">
      <c r="A4855" s="2" t="s">
        <v>59</v>
      </c>
      <c r="B4855" s="2" t="s">
        <v>60</v>
      </c>
      <c r="C4855" s="2" t="s">
        <v>46692</v>
      </c>
      <c r="D4855" s="2" t="s">
        <v>46693</v>
      </c>
      <c r="E4855" s="2" t="s">
        <v>46694</v>
      </c>
      <c r="F4855" s="3" t="s">
        <v>46740</v>
      </c>
      <c r="G4855" s="3" t="s">
        <v>61</v>
      </c>
      <c r="I4855" s="3" t="s">
        <v>61</v>
      </c>
      <c r="J4855" s="3" t="s">
        <v>62</v>
      </c>
      <c r="K4855" s="3" t="s">
        <v>63</v>
      </c>
      <c r="M4855" s="2" t="s">
        <v>46695</v>
      </c>
      <c r="N4855" s="3" t="s">
        <v>9091</v>
      </c>
      <c r="P4855" s="3" t="s">
        <v>1881</v>
      </c>
      <c r="R4855" s="3" t="s">
        <v>46535</v>
      </c>
      <c r="S4855" s="4">
        <v>0</v>
      </c>
      <c r="T4855" s="4">
        <v>3</v>
      </c>
      <c r="V4855" s="5" t="s">
        <v>13095</v>
      </c>
      <c r="W4855" s="5" t="s">
        <v>67</v>
      </c>
      <c r="X4855" s="5" t="s">
        <v>67</v>
      </c>
      <c r="Y4855" s="4">
        <v>3</v>
      </c>
      <c r="Z4855" s="4">
        <v>2</v>
      </c>
      <c r="AA4855" s="4">
        <v>7</v>
      </c>
      <c r="AB4855" s="4">
        <v>2</v>
      </c>
      <c r="AC4855" s="4">
        <v>2</v>
      </c>
      <c r="AD4855" s="4">
        <v>0</v>
      </c>
      <c r="AE4855" s="4">
        <v>51</v>
      </c>
      <c r="AF4855" s="4">
        <v>0</v>
      </c>
      <c r="AG4855" s="4">
        <v>0</v>
      </c>
      <c r="AH4855" s="4">
        <v>0</v>
      </c>
      <c r="AI4855" s="4">
        <v>48</v>
      </c>
      <c r="AJ4855" s="4">
        <v>0</v>
      </c>
      <c r="AK4855" s="4">
        <v>4</v>
      </c>
      <c r="AL4855" s="4">
        <v>0</v>
      </c>
      <c r="AM4855" s="4">
        <v>39</v>
      </c>
      <c r="AN4855" s="4">
        <v>0</v>
      </c>
      <c r="AO4855" s="4">
        <v>0</v>
      </c>
      <c r="AP4855" s="4">
        <v>0</v>
      </c>
      <c r="AQ4855" s="4">
        <v>3</v>
      </c>
      <c r="AR4855" s="3" t="s">
        <v>62</v>
      </c>
      <c r="AS4855" s="3" t="s">
        <v>62</v>
      </c>
      <c r="AT4855" s="3" t="s">
        <v>62</v>
      </c>
      <c r="AV4855" s="6" t="str">
        <f t="shared" si="76"/>
        <v>Catalog Record</v>
      </c>
      <c r="AW4855" s="6" t="str">
        <f t="shared" si="77"/>
        <v>WorldCat Record</v>
      </c>
      <c r="AX4855" s="3" t="s">
        <v>46696</v>
      </c>
      <c r="AY4855" s="3" t="s">
        <v>46697</v>
      </c>
      <c r="AZ4855" s="3" t="s">
        <v>46698</v>
      </c>
      <c r="BA4855" s="3" t="s">
        <v>46698</v>
      </c>
      <c r="BB4855" s="3" t="s">
        <v>46741</v>
      </c>
      <c r="BC4855" s="3" t="s">
        <v>102</v>
      </c>
      <c r="BD4855" s="3" t="s">
        <v>68</v>
      </c>
      <c r="BF4855" s="3" t="s">
        <v>46741</v>
      </c>
      <c r="BG4855" s="3" t="s">
        <v>46742</v>
      </c>
    </row>
    <row r="4856" spans="1:59" ht="72.5" x14ac:dyDescent="0.35">
      <c r="A4856" s="2" t="s">
        <v>59</v>
      </c>
      <c r="B4856" s="2" t="s">
        <v>60</v>
      </c>
      <c r="C4856" s="2" t="s">
        <v>46692</v>
      </c>
      <c r="D4856" s="2" t="s">
        <v>46693</v>
      </c>
      <c r="E4856" s="2" t="s">
        <v>46694</v>
      </c>
      <c r="F4856" s="3" t="s">
        <v>1428</v>
      </c>
      <c r="G4856" s="3" t="s">
        <v>61</v>
      </c>
      <c r="I4856" s="3" t="s">
        <v>61</v>
      </c>
      <c r="J4856" s="3" t="s">
        <v>62</v>
      </c>
      <c r="K4856" s="3" t="s">
        <v>63</v>
      </c>
      <c r="M4856" s="2" t="s">
        <v>46695</v>
      </c>
      <c r="N4856" s="3" t="s">
        <v>9091</v>
      </c>
      <c r="P4856" s="3" t="s">
        <v>1881</v>
      </c>
      <c r="R4856" s="3" t="s">
        <v>46535</v>
      </c>
      <c r="S4856" s="4">
        <v>0</v>
      </c>
      <c r="T4856" s="4">
        <v>3</v>
      </c>
      <c r="V4856" s="5" t="s">
        <v>13095</v>
      </c>
      <c r="W4856" s="5" t="s">
        <v>67</v>
      </c>
      <c r="X4856" s="5" t="s">
        <v>67</v>
      </c>
      <c r="Y4856" s="4">
        <v>3</v>
      </c>
      <c r="Z4856" s="4">
        <v>2</v>
      </c>
      <c r="AA4856" s="4">
        <v>7</v>
      </c>
      <c r="AB4856" s="4">
        <v>2</v>
      </c>
      <c r="AC4856" s="4">
        <v>2</v>
      </c>
      <c r="AD4856" s="4">
        <v>0</v>
      </c>
      <c r="AE4856" s="4">
        <v>51</v>
      </c>
      <c r="AF4856" s="4">
        <v>0</v>
      </c>
      <c r="AG4856" s="4">
        <v>0</v>
      </c>
      <c r="AH4856" s="4">
        <v>0</v>
      </c>
      <c r="AI4856" s="4">
        <v>48</v>
      </c>
      <c r="AJ4856" s="4">
        <v>0</v>
      </c>
      <c r="AK4856" s="4">
        <v>4</v>
      </c>
      <c r="AL4856" s="4">
        <v>0</v>
      </c>
      <c r="AM4856" s="4">
        <v>39</v>
      </c>
      <c r="AN4856" s="4">
        <v>0</v>
      </c>
      <c r="AO4856" s="4">
        <v>0</v>
      </c>
      <c r="AP4856" s="4">
        <v>0</v>
      </c>
      <c r="AQ4856" s="4">
        <v>3</v>
      </c>
      <c r="AR4856" s="3" t="s">
        <v>62</v>
      </c>
      <c r="AS4856" s="3" t="s">
        <v>62</v>
      </c>
      <c r="AT4856" s="3" t="s">
        <v>62</v>
      </c>
      <c r="AV4856" s="6" t="str">
        <f t="shared" si="76"/>
        <v>Catalog Record</v>
      </c>
      <c r="AW4856" s="6" t="str">
        <f t="shared" si="77"/>
        <v>WorldCat Record</v>
      </c>
      <c r="AX4856" s="3" t="s">
        <v>46696</v>
      </c>
      <c r="AY4856" s="3" t="s">
        <v>46697</v>
      </c>
      <c r="AZ4856" s="3" t="s">
        <v>46698</v>
      </c>
      <c r="BA4856" s="3" t="s">
        <v>46698</v>
      </c>
      <c r="BB4856" s="3" t="s">
        <v>46743</v>
      </c>
      <c r="BC4856" s="3" t="s">
        <v>102</v>
      </c>
      <c r="BD4856" s="3" t="s">
        <v>68</v>
      </c>
      <c r="BF4856" s="3" t="s">
        <v>46743</v>
      </c>
      <c r="BG4856" s="3" t="s">
        <v>46744</v>
      </c>
    </row>
    <row r="4857" spans="1:59" ht="72.5" x14ac:dyDescent="0.35">
      <c r="A4857" s="2" t="s">
        <v>59</v>
      </c>
      <c r="B4857" s="2" t="s">
        <v>60</v>
      </c>
      <c r="C4857" s="2" t="s">
        <v>46692</v>
      </c>
      <c r="D4857" s="2" t="s">
        <v>46693</v>
      </c>
      <c r="E4857" s="2" t="s">
        <v>46694</v>
      </c>
      <c r="F4857" s="3" t="s">
        <v>46745</v>
      </c>
      <c r="G4857" s="3" t="s">
        <v>61</v>
      </c>
      <c r="I4857" s="3" t="s">
        <v>61</v>
      </c>
      <c r="J4857" s="3" t="s">
        <v>62</v>
      </c>
      <c r="K4857" s="3" t="s">
        <v>63</v>
      </c>
      <c r="M4857" s="2" t="s">
        <v>46695</v>
      </c>
      <c r="N4857" s="3" t="s">
        <v>9091</v>
      </c>
      <c r="P4857" s="3" t="s">
        <v>1881</v>
      </c>
      <c r="R4857" s="3" t="s">
        <v>46535</v>
      </c>
      <c r="S4857" s="4">
        <v>0</v>
      </c>
      <c r="T4857" s="4">
        <v>3</v>
      </c>
      <c r="V4857" s="5" t="s">
        <v>13095</v>
      </c>
      <c r="W4857" s="5" t="s">
        <v>67</v>
      </c>
      <c r="X4857" s="5" t="s">
        <v>67</v>
      </c>
      <c r="Y4857" s="4">
        <v>3</v>
      </c>
      <c r="Z4857" s="4">
        <v>2</v>
      </c>
      <c r="AA4857" s="4">
        <v>7</v>
      </c>
      <c r="AB4857" s="4">
        <v>2</v>
      </c>
      <c r="AC4857" s="4">
        <v>2</v>
      </c>
      <c r="AD4857" s="4">
        <v>0</v>
      </c>
      <c r="AE4857" s="4">
        <v>51</v>
      </c>
      <c r="AF4857" s="4">
        <v>0</v>
      </c>
      <c r="AG4857" s="4">
        <v>0</v>
      </c>
      <c r="AH4857" s="4">
        <v>0</v>
      </c>
      <c r="AI4857" s="4">
        <v>48</v>
      </c>
      <c r="AJ4857" s="4">
        <v>0</v>
      </c>
      <c r="AK4857" s="4">
        <v>4</v>
      </c>
      <c r="AL4857" s="4">
        <v>0</v>
      </c>
      <c r="AM4857" s="4">
        <v>39</v>
      </c>
      <c r="AN4857" s="4">
        <v>0</v>
      </c>
      <c r="AO4857" s="4">
        <v>0</v>
      </c>
      <c r="AP4857" s="4">
        <v>0</v>
      </c>
      <c r="AQ4857" s="4">
        <v>3</v>
      </c>
      <c r="AR4857" s="3" t="s">
        <v>62</v>
      </c>
      <c r="AS4857" s="3" t="s">
        <v>62</v>
      </c>
      <c r="AT4857" s="3" t="s">
        <v>62</v>
      </c>
      <c r="AV4857" s="6" t="str">
        <f t="shared" si="76"/>
        <v>Catalog Record</v>
      </c>
      <c r="AW4857" s="6" t="str">
        <f t="shared" si="77"/>
        <v>WorldCat Record</v>
      </c>
      <c r="AX4857" s="3" t="s">
        <v>46696</v>
      </c>
      <c r="AY4857" s="3" t="s">
        <v>46697</v>
      </c>
      <c r="AZ4857" s="3" t="s">
        <v>46698</v>
      </c>
      <c r="BA4857" s="3" t="s">
        <v>46698</v>
      </c>
      <c r="BB4857" s="3" t="s">
        <v>46746</v>
      </c>
      <c r="BC4857" s="3" t="s">
        <v>102</v>
      </c>
      <c r="BD4857" s="3" t="s">
        <v>68</v>
      </c>
      <c r="BF4857" s="3" t="s">
        <v>46746</v>
      </c>
      <c r="BG4857" s="3" t="s">
        <v>46747</v>
      </c>
    </row>
    <row r="4858" spans="1:59" ht="72.5" x14ac:dyDescent="0.35">
      <c r="A4858" s="2" t="s">
        <v>59</v>
      </c>
      <c r="B4858" s="2" t="s">
        <v>60</v>
      </c>
      <c r="C4858" s="2" t="s">
        <v>46692</v>
      </c>
      <c r="D4858" s="2" t="s">
        <v>46693</v>
      </c>
      <c r="E4858" s="2" t="s">
        <v>46694</v>
      </c>
      <c r="F4858" s="3" t="s">
        <v>1425</v>
      </c>
      <c r="G4858" s="3" t="s">
        <v>61</v>
      </c>
      <c r="I4858" s="3" t="s">
        <v>61</v>
      </c>
      <c r="J4858" s="3" t="s">
        <v>62</v>
      </c>
      <c r="K4858" s="3" t="s">
        <v>63</v>
      </c>
      <c r="M4858" s="2" t="s">
        <v>46695</v>
      </c>
      <c r="N4858" s="3" t="s">
        <v>9091</v>
      </c>
      <c r="P4858" s="3" t="s">
        <v>1881</v>
      </c>
      <c r="R4858" s="3" t="s">
        <v>46535</v>
      </c>
      <c r="S4858" s="4">
        <v>0</v>
      </c>
      <c r="T4858" s="4">
        <v>3</v>
      </c>
      <c r="V4858" s="5" t="s">
        <v>13095</v>
      </c>
      <c r="W4858" s="5" t="s">
        <v>67</v>
      </c>
      <c r="X4858" s="5" t="s">
        <v>67</v>
      </c>
      <c r="Y4858" s="4">
        <v>3</v>
      </c>
      <c r="Z4858" s="4">
        <v>2</v>
      </c>
      <c r="AA4858" s="4">
        <v>7</v>
      </c>
      <c r="AB4858" s="4">
        <v>2</v>
      </c>
      <c r="AC4858" s="4">
        <v>2</v>
      </c>
      <c r="AD4858" s="4">
        <v>0</v>
      </c>
      <c r="AE4858" s="4">
        <v>51</v>
      </c>
      <c r="AF4858" s="4">
        <v>0</v>
      </c>
      <c r="AG4858" s="4">
        <v>0</v>
      </c>
      <c r="AH4858" s="4">
        <v>0</v>
      </c>
      <c r="AI4858" s="4">
        <v>48</v>
      </c>
      <c r="AJ4858" s="4">
        <v>0</v>
      </c>
      <c r="AK4858" s="4">
        <v>4</v>
      </c>
      <c r="AL4858" s="4">
        <v>0</v>
      </c>
      <c r="AM4858" s="4">
        <v>39</v>
      </c>
      <c r="AN4858" s="4">
        <v>0</v>
      </c>
      <c r="AO4858" s="4">
        <v>0</v>
      </c>
      <c r="AP4858" s="4">
        <v>0</v>
      </c>
      <c r="AQ4858" s="4">
        <v>3</v>
      </c>
      <c r="AR4858" s="3" t="s">
        <v>62</v>
      </c>
      <c r="AS4858" s="3" t="s">
        <v>62</v>
      </c>
      <c r="AT4858" s="3" t="s">
        <v>62</v>
      </c>
      <c r="AV4858" s="6" t="str">
        <f t="shared" si="76"/>
        <v>Catalog Record</v>
      </c>
      <c r="AW4858" s="6" t="str">
        <f t="shared" si="77"/>
        <v>WorldCat Record</v>
      </c>
      <c r="AX4858" s="3" t="s">
        <v>46696</v>
      </c>
      <c r="AY4858" s="3" t="s">
        <v>46697</v>
      </c>
      <c r="AZ4858" s="3" t="s">
        <v>46698</v>
      </c>
      <c r="BA4858" s="3" t="s">
        <v>46698</v>
      </c>
      <c r="BB4858" s="3" t="s">
        <v>46748</v>
      </c>
      <c r="BC4858" s="3" t="s">
        <v>102</v>
      </c>
      <c r="BD4858" s="3" t="s">
        <v>68</v>
      </c>
      <c r="BF4858" s="3" t="s">
        <v>46748</v>
      </c>
      <c r="BG4858" s="3" t="s">
        <v>46749</v>
      </c>
    </row>
    <row r="4859" spans="1:59" ht="72.5" x14ac:dyDescent="0.35">
      <c r="A4859" s="2" t="s">
        <v>59</v>
      </c>
      <c r="B4859" s="2" t="s">
        <v>60</v>
      </c>
      <c r="C4859" s="2" t="s">
        <v>46692</v>
      </c>
      <c r="D4859" s="2" t="s">
        <v>46693</v>
      </c>
      <c r="E4859" s="2" t="s">
        <v>46694</v>
      </c>
      <c r="F4859" s="3" t="s">
        <v>46750</v>
      </c>
      <c r="G4859" s="3" t="s">
        <v>61</v>
      </c>
      <c r="I4859" s="3" t="s">
        <v>61</v>
      </c>
      <c r="J4859" s="3" t="s">
        <v>62</v>
      </c>
      <c r="K4859" s="3" t="s">
        <v>63</v>
      </c>
      <c r="M4859" s="2" t="s">
        <v>46695</v>
      </c>
      <c r="N4859" s="3" t="s">
        <v>9091</v>
      </c>
      <c r="P4859" s="3" t="s">
        <v>1881</v>
      </c>
      <c r="R4859" s="3" t="s">
        <v>46535</v>
      </c>
      <c r="S4859" s="4">
        <v>0</v>
      </c>
      <c r="T4859" s="4">
        <v>3</v>
      </c>
      <c r="V4859" s="5" t="s">
        <v>13095</v>
      </c>
      <c r="W4859" s="5" t="s">
        <v>67</v>
      </c>
      <c r="X4859" s="5" t="s">
        <v>67</v>
      </c>
      <c r="Y4859" s="4">
        <v>3</v>
      </c>
      <c r="Z4859" s="4">
        <v>2</v>
      </c>
      <c r="AA4859" s="4">
        <v>7</v>
      </c>
      <c r="AB4859" s="4">
        <v>2</v>
      </c>
      <c r="AC4859" s="4">
        <v>2</v>
      </c>
      <c r="AD4859" s="4">
        <v>0</v>
      </c>
      <c r="AE4859" s="4">
        <v>51</v>
      </c>
      <c r="AF4859" s="4">
        <v>0</v>
      </c>
      <c r="AG4859" s="4">
        <v>0</v>
      </c>
      <c r="AH4859" s="4">
        <v>0</v>
      </c>
      <c r="AI4859" s="4">
        <v>48</v>
      </c>
      <c r="AJ4859" s="4">
        <v>0</v>
      </c>
      <c r="AK4859" s="4">
        <v>4</v>
      </c>
      <c r="AL4859" s="4">
        <v>0</v>
      </c>
      <c r="AM4859" s="4">
        <v>39</v>
      </c>
      <c r="AN4859" s="4">
        <v>0</v>
      </c>
      <c r="AO4859" s="4">
        <v>0</v>
      </c>
      <c r="AP4859" s="4">
        <v>0</v>
      </c>
      <c r="AQ4859" s="4">
        <v>3</v>
      </c>
      <c r="AR4859" s="3" t="s">
        <v>62</v>
      </c>
      <c r="AS4859" s="3" t="s">
        <v>62</v>
      </c>
      <c r="AT4859" s="3" t="s">
        <v>62</v>
      </c>
      <c r="AV4859" s="6" t="str">
        <f t="shared" si="76"/>
        <v>Catalog Record</v>
      </c>
      <c r="AW4859" s="6" t="str">
        <f t="shared" si="77"/>
        <v>WorldCat Record</v>
      </c>
      <c r="AX4859" s="3" t="s">
        <v>46696</v>
      </c>
      <c r="AY4859" s="3" t="s">
        <v>46697</v>
      </c>
      <c r="AZ4859" s="3" t="s">
        <v>46698</v>
      </c>
      <c r="BA4859" s="3" t="s">
        <v>46698</v>
      </c>
      <c r="BB4859" s="3" t="s">
        <v>46751</v>
      </c>
      <c r="BC4859" s="3" t="s">
        <v>102</v>
      </c>
      <c r="BD4859" s="3" t="s">
        <v>68</v>
      </c>
      <c r="BF4859" s="3" t="s">
        <v>46751</v>
      </c>
      <c r="BG4859" s="3" t="s">
        <v>46752</v>
      </c>
    </row>
    <row r="4860" spans="1:59" ht="101.5" x14ac:dyDescent="0.35">
      <c r="A4860" s="2" t="s">
        <v>89</v>
      </c>
      <c r="B4860" s="2" t="s">
        <v>24239</v>
      </c>
      <c r="C4860" s="2" t="s">
        <v>46753</v>
      </c>
      <c r="D4860" s="2" t="s">
        <v>46754</v>
      </c>
      <c r="E4860" s="2" t="s">
        <v>46755</v>
      </c>
      <c r="G4860" s="3" t="s">
        <v>62</v>
      </c>
      <c r="I4860" s="3" t="s">
        <v>61</v>
      </c>
      <c r="J4860" s="3" t="s">
        <v>61</v>
      </c>
      <c r="K4860" s="3" t="s">
        <v>63</v>
      </c>
      <c r="L4860" s="2" t="s">
        <v>46756</v>
      </c>
      <c r="M4860" s="2" t="s">
        <v>46757</v>
      </c>
      <c r="N4860" s="3" t="s">
        <v>1722</v>
      </c>
      <c r="O4860" s="2" t="s">
        <v>2986</v>
      </c>
      <c r="P4860" s="3" t="s">
        <v>64</v>
      </c>
      <c r="R4860" s="3" t="s">
        <v>46535</v>
      </c>
      <c r="S4860" s="4">
        <v>0</v>
      </c>
      <c r="T4860" s="4">
        <v>2</v>
      </c>
      <c r="V4860" s="5" t="s">
        <v>34953</v>
      </c>
      <c r="W4860" s="5" t="s">
        <v>67</v>
      </c>
      <c r="X4860" s="5" t="s">
        <v>67</v>
      </c>
      <c r="Y4860" s="4">
        <v>158</v>
      </c>
      <c r="Z4860" s="4">
        <v>25</v>
      </c>
      <c r="AA4860" s="4">
        <v>52</v>
      </c>
      <c r="AB4860" s="4">
        <v>3</v>
      </c>
      <c r="AC4860" s="4">
        <v>10</v>
      </c>
      <c r="AD4860" s="4">
        <v>37</v>
      </c>
      <c r="AE4860" s="4">
        <v>67</v>
      </c>
      <c r="AF4860" s="4">
        <v>1</v>
      </c>
      <c r="AG4860" s="4">
        <v>4</v>
      </c>
      <c r="AH4860" s="4">
        <v>29</v>
      </c>
      <c r="AI4860" s="4">
        <v>46</v>
      </c>
      <c r="AJ4860" s="4">
        <v>10</v>
      </c>
      <c r="AK4860" s="4">
        <v>20</v>
      </c>
      <c r="AL4860" s="4">
        <v>16</v>
      </c>
      <c r="AM4860" s="4">
        <v>23</v>
      </c>
      <c r="AN4860" s="4">
        <v>0</v>
      </c>
      <c r="AO4860" s="4">
        <v>0</v>
      </c>
      <c r="AP4860" s="4">
        <v>14</v>
      </c>
      <c r="AQ4860" s="4">
        <v>28</v>
      </c>
      <c r="AR4860" s="3" t="s">
        <v>62</v>
      </c>
      <c r="AS4860" s="3" t="s">
        <v>62</v>
      </c>
      <c r="AT4860" s="3" t="s">
        <v>62</v>
      </c>
      <c r="AV4860" s="6" t="str">
        <f>HYPERLINK("http://mcgill.on.worldcat.org/oclc/123968326","Catalog Record")</f>
        <v>Catalog Record</v>
      </c>
      <c r="AW4860" s="6" t="str">
        <f>HYPERLINK("http://www.worldcat.org/oclc/123968326","WorldCat Record")</f>
        <v>WorldCat Record</v>
      </c>
      <c r="AX4860" s="3" t="s">
        <v>46758</v>
      </c>
      <c r="AY4860" s="3" t="s">
        <v>46759</v>
      </c>
      <c r="AZ4860" s="3" t="s">
        <v>46760</v>
      </c>
      <c r="BA4860" s="3" t="s">
        <v>46760</v>
      </c>
      <c r="BB4860" s="3" t="s">
        <v>46761</v>
      </c>
      <c r="BC4860" s="3" t="s">
        <v>102</v>
      </c>
      <c r="BD4860" s="3" t="s">
        <v>68</v>
      </c>
      <c r="BE4860" s="3" t="s">
        <v>46762</v>
      </c>
      <c r="BF4860" s="3" t="s">
        <v>46761</v>
      </c>
      <c r="BG4860" s="3" t="s">
        <v>46763</v>
      </c>
    </row>
    <row r="4861" spans="1:59" ht="101.5" x14ac:dyDescent="0.35">
      <c r="A4861" s="2" t="s">
        <v>89</v>
      </c>
      <c r="B4861" s="2" t="s">
        <v>12301</v>
      </c>
      <c r="C4861" s="2" t="s">
        <v>46764</v>
      </c>
      <c r="D4861" s="2" t="s">
        <v>46765</v>
      </c>
      <c r="E4861" s="2" t="s">
        <v>46766</v>
      </c>
      <c r="G4861" s="3" t="s">
        <v>62</v>
      </c>
      <c r="I4861" s="3" t="s">
        <v>61</v>
      </c>
      <c r="J4861" s="3" t="s">
        <v>61</v>
      </c>
      <c r="K4861" s="3" t="s">
        <v>63</v>
      </c>
      <c r="L4861" s="2" t="s">
        <v>46767</v>
      </c>
      <c r="M4861" s="2" t="s">
        <v>46768</v>
      </c>
      <c r="N4861" s="3" t="s">
        <v>596</v>
      </c>
      <c r="O4861" s="2" t="s">
        <v>46769</v>
      </c>
      <c r="P4861" s="3" t="s">
        <v>64</v>
      </c>
      <c r="R4861" s="3" t="s">
        <v>46535</v>
      </c>
      <c r="S4861" s="4">
        <v>172</v>
      </c>
      <c r="T4861" s="4">
        <v>525</v>
      </c>
      <c r="U4861" s="5" t="s">
        <v>24434</v>
      </c>
      <c r="V4861" s="5" t="s">
        <v>17235</v>
      </c>
      <c r="W4861" s="5" t="s">
        <v>67</v>
      </c>
      <c r="X4861" s="5" t="s">
        <v>67</v>
      </c>
      <c r="Y4861" s="4">
        <v>305</v>
      </c>
      <c r="Z4861" s="4">
        <v>16</v>
      </c>
      <c r="AA4861" s="4">
        <v>56</v>
      </c>
      <c r="AB4861" s="4">
        <v>2</v>
      </c>
      <c r="AC4861" s="4">
        <v>10</v>
      </c>
      <c r="AD4861" s="4">
        <v>71</v>
      </c>
      <c r="AE4861" s="4">
        <v>113</v>
      </c>
      <c r="AF4861" s="4">
        <v>0</v>
      </c>
      <c r="AG4861" s="4">
        <v>5</v>
      </c>
      <c r="AH4861" s="4">
        <v>60</v>
      </c>
      <c r="AI4861" s="4">
        <v>87</v>
      </c>
      <c r="AJ4861" s="4">
        <v>6</v>
      </c>
      <c r="AK4861" s="4">
        <v>25</v>
      </c>
      <c r="AL4861" s="4">
        <v>40</v>
      </c>
      <c r="AM4861" s="4">
        <v>48</v>
      </c>
      <c r="AN4861" s="4">
        <v>0</v>
      </c>
      <c r="AO4861" s="4">
        <v>0</v>
      </c>
      <c r="AP4861" s="4">
        <v>13</v>
      </c>
      <c r="AQ4861" s="4">
        <v>35</v>
      </c>
      <c r="AR4861" s="3" t="s">
        <v>62</v>
      </c>
      <c r="AS4861" s="3" t="s">
        <v>62</v>
      </c>
      <c r="AT4861" s="3" t="s">
        <v>62</v>
      </c>
      <c r="AV4861" s="6" t="str">
        <f>HYPERLINK("http://mcgill.on.worldcat.org/oclc/47081417","Catalog Record")</f>
        <v>Catalog Record</v>
      </c>
      <c r="AW4861" s="6" t="str">
        <f>HYPERLINK("http://www.worldcat.org/oclc/47081417","WorldCat Record")</f>
        <v>WorldCat Record</v>
      </c>
      <c r="AX4861" s="3" t="s">
        <v>46770</v>
      </c>
      <c r="AY4861" s="3" t="s">
        <v>46771</v>
      </c>
      <c r="AZ4861" s="3" t="s">
        <v>46772</v>
      </c>
      <c r="BA4861" s="3" t="s">
        <v>46772</v>
      </c>
      <c r="BB4861" s="3" t="s">
        <v>46773</v>
      </c>
      <c r="BC4861" s="3" t="s">
        <v>102</v>
      </c>
      <c r="BD4861" s="3" t="s">
        <v>68</v>
      </c>
      <c r="BE4861" s="3" t="s">
        <v>46774</v>
      </c>
      <c r="BF4861" s="3" t="s">
        <v>46773</v>
      </c>
      <c r="BG4861" s="3" t="s">
        <v>46775</v>
      </c>
    </row>
    <row r="4862" spans="1:59" ht="101.5" x14ac:dyDescent="0.35">
      <c r="A4862" s="2" t="s">
        <v>89</v>
      </c>
      <c r="B4862" s="2" t="s">
        <v>12301</v>
      </c>
      <c r="C4862" s="2" t="s">
        <v>46764</v>
      </c>
      <c r="D4862" s="2" t="s">
        <v>46765</v>
      </c>
      <c r="E4862" s="2" t="s">
        <v>46766</v>
      </c>
      <c r="G4862" s="3" t="s">
        <v>62</v>
      </c>
      <c r="I4862" s="3" t="s">
        <v>61</v>
      </c>
      <c r="J4862" s="3" t="s">
        <v>61</v>
      </c>
      <c r="K4862" s="3" t="s">
        <v>63</v>
      </c>
      <c r="L4862" s="2" t="s">
        <v>46767</v>
      </c>
      <c r="M4862" s="2" t="s">
        <v>46768</v>
      </c>
      <c r="N4862" s="3" t="s">
        <v>596</v>
      </c>
      <c r="O4862" s="2" t="s">
        <v>46769</v>
      </c>
      <c r="P4862" s="3" t="s">
        <v>64</v>
      </c>
      <c r="R4862" s="3" t="s">
        <v>46535</v>
      </c>
      <c r="S4862" s="4">
        <v>10</v>
      </c>
      <c r="T4862" s="4">
        <v>525</v>
      </c>
      <c r="U4862" s="5" t="s">
        <v>17235</v>
      </c>
      <c r="V4862" s="5" t="s">
        <v>17235</v>
      </c>
      <c r="W4862" s="5" t="s">
        <v>67</v>
      </c>
      <c r="X4862" s="5" t="s">
        <v>67</v>
      </c>
      <c r="Y4862" s="4">
        <v>305</v>
      </c>
      <c r="Z4862" s="4">
        <v>16</v>
      </c>
      <c r="AA4862" s="4">
        <v>56</v>
      </c>
      <c r="AB4862" s="4">
        <v>2</v>
      </c>
      <c r="AC4862" s="4">
        <v>10</v>
      </c>
      <c r="AD4862" s="4">
        <v>71</v>
      </c>
      <c r="AE4862" s="4">
        <v>113</v>
      </c>
      <c r="AF4862" s="4">
        <v>0</v>
      </c>
      <c r="AG4862" s="4">
        <v>5</v>
      </c>
      <c r="AH4862" s="4">
        <v>60</v>
      </c>
      <c r="AI4862" s="4">
        <v>87</v>
      </c>
      <c r="AJ4862" s="4">
        <v>6</v>
      </c>
      <c r="AK4862" s="4">
        <v>25</v>
      </c>
      <c r="AL4862" s="4">
        <v>40</v>
      </c>
      <c r="AM4862" s="4">
        <v>48</v>
      </c>
      <c r="AN4862" s="4">
        <v>0</v>
      </c>
      <c r="AO4862" s="4">
        <v>0</v>
      </c>
      <c r="AP4862" s="4">
        <v>13</v>
      </c>
      <c r="AQ4862" s="4">
        <v>35</v>
      </c>
      <c r="AR4862" s="3" t="s">
        <v>62</v>
      </c>
      <c r="AS4862" s="3" t="s">
        <v>62</v>
      </c>
      <c r="AT4862" s="3" t="s">
        <v>62</v>
      </c>
      <c r="AV4862" s="6" t="str">
        <f>HYPERLINK("http://mcgill.on.worldcat.org/oclc/47081417","Catalog Record")</f>
        <v>Catalog Record</v>
      </c>
      <c r="AW4862" s="6" t="str">
        <f>HYPERLINK("http://www.worldcat.org/oclc/47081417","WorldCat Record")</f>
        <v>WorldCat Record</v>
      </c>
      <c r="AX4862" s="3" t="s">
        <v>46770</v>
      </c>
      <c r="AY4862" s="3" t="s">
        <v>46771</v>
      </c>
      <c r="AZ4862" s="3" t="s">
        <v>46772</v>
      </c>
      <c r="BA4862" s="3" t="s">
        <v>46772</v>
      </c>
      <c r="BB4862" s="3" t="s">
        <v>46776</v>
      </c>
      <c r="BC4862" s="3" t="s">
        <v>102</v>
      </c>
      <c r="BD4862" s="3" t="s">
        <v>68</v>
      </c>
      <c r="BE4862" s="3" t="s">
        <v>46774</v>
      </c>
      <c r="BF4862" s="3" t="s">
        <v>46776</v>
      </c>
      <c r="BG4862" s="3" t="s">
        <v>46777</v>
      </c>
    </row>
    <row r="4863" spans="1:59" ht="101.5" x14ac:dyDescent="0.35">
      <c r="A4863" s="2" t="s">
        <v>89</v>
      </c>
      <c r="B4863" s="2" t="s">
        <v>12301</v>
      </c>
      <c r="C4863" s="2" t="s">
        <v>46764</v>
      </c>
      <c r="D4863" s="2" t="s">
        <v>46765</v>
      </c>
      <c r="E4863" s="2" t="s">
        <v>46766</v>
      </c>
      <c r="G4863" s="3" t="s">
        <v>62</v>
      </c>
      <c r="I4863" s="3" t="s">
        <v>61</v>
      </c>
      <c r="J4863" s="3" t="s">
        <v>61</v>
      </c>
      <c r="K4863" s="3" t="s">
        <v>63</v>
      </c>
      <c r="L4863" s="2" t="s">
        <v>46767</v>
      </c>
      <c r="M4863" s="2" t="s">
        <v>46768</v>
      </c>
      <c r="N4863" s="3" t="s">
        <v>596</v>
      </c>
      <c r="O4863" s="2" t="s">
        <v>46769</v>
      </c>
      <c r="P4863" s="3" t="s">
        <v>64</v>
      </c>
      <c r="R4863" s="3" t="s">
        <v>46535</v>
      </c>
      <c r="S4863" s="4">
        <v>180</v>
      </c>
      <c r="T4863" s="4">
        <v>525</v>
      </c>
      <c r="U4863" s="5" t="s">
        <v>46778</v>
      </c>
      <c r="V4863" s="5" t="s">
        <v>17235</v>
      </c>
      <c r="W4863" s="5" t="s">
        <v>67</v>
      </c>
      <c r="X4863" s="5" t="s">
        <v>67</v>
      </c>
      <c r="Y4863" s="4">
        <v>305</v>
      </c>
      <c r="Z4863" s="4">
        <v>16</v>
      </c>
      <c r="AA4863" s="4">
        <v>56</v>
      </c>
      <c r="AB4863" s="4">
        <v>2</v>
      </c>
      <c r="AC4863" s="4">
        <v>10</v>
      </c>
      <c r="AD4863" s="4">
        <v>71</v>
      </c>
      <c r="AE4863" s="4">
        <v>113</v>
      </c>
      <c r="AF4863" s="4">
        <v>0</v>
      </c>
      <c r="AG4863" s="4">
        <v>5</v>
      </c>
      <c r="AH4863" s="4">
        <v>60</v>
      </c>
      <c r="AI4863" s="4">
        <v>87</v>
      </c>
      <c r="AJ4863" s="4">
        <v>6</v>
      </c>
      <c r="AK4863" s="4">
        <v>25</v>
      </c>
      <c r="AL4863" s="4">
        <v>40</v>
      </c>
      <c r="AM4863" s="4">
        <v>48</v>
      </c>
      <c r="AN4863" s="4">
        <v>0</v>
      </c>
      <c r="AO4863" s="4">
        <v>0</v>
      </c>
      <c r="AP4863" s="4">
        <v>13</v>
      </c>
      <c r="AQ4863" s="4">
        <v>35</v>
      </c>
      <c r="AR4863" s="3" t="s">
        <v>62</v>
      </c>
      <c r="AS4863" s="3" t="s">
        <v>62</v>
      </c>
      <c r="AT4863" s="3" t="s">
        <v>62</v>
      </c>
      <c r="AV4863" s="6" t="str">
        <f>HYPERLINK("http://mcgill.on.worldcat.org/oclc/47081417","Catalog Record")</f>
        <v>Catalog Record</v>
      </c>
      <c r="AW4863" s="6" t="str">
        <f>HYPERLINK("http://www.worldcat.org/oclc/47081417","WorldCat Record")</f>
        <v>WorldCat Record</v>
      </c>
      <c r="AX4863" s="3" t="s">
        <v>46770</v>
      </c>
      <c r="AY4863" s="3" t="s">
        <v>46771</v>
      </c>
      <c r="AZ4863" s="3" t="s">
        <v>46772</v>
      </c>
      <c r="BA4863" s="3" t="s">
        <v>46772</v>
      </c>
      <c r="BB4863" s="3" t="s">
        <v>46779</v>
      </c>
      <c r="BC4863" s="3" t="s">
        <v>102</v>
      </c>
      <c r="BD4863" s="3" t="s">
        <v>68</v>
      </c>
      <c r="BE4863" s="3" t="s">
        <v>46774</v>
      </c>
      <c r="BF4863" s="3" t="s">
        <v>46779</v>
      </c>
      <c r="BG4863" s="3" t="s">
        <v>46780</v>
      </c>
    </row>
    <row r="4864" spans="1:59" ht="101.5" x14ac:dyDescent="0.35">
      <c r="A4864" s="2" t="s">
        <v>89</v>
      </c>
      <c r="B4864" s="2" t="s">
        <v>12301</v>
      </c>
      <c r="C4864" s="2" t="s">
        <v>46764</v>
      </c>
      <c r="D4864" s="2" t="s">
        <v>46765</v>
      </c>
      <c r="E4864" s="2" t="s">
        <v>46766</v>
      </c>
      <c r="G4864" s="3" t="s">
        <v>62</v>
      </c>
      <c r="I4864" s="3" t="s">
        <v>61</v>
      </c>
      <c r="J4864" s="3" t="s">
        <v>61</v>
      </c>
      <c r="K4864" s="3" t="s">
        <v>63</v>
      </c>
      <c r="L4864" s="2" t="s">
        <v>46767</v>
      </c>
      <c r="M4864" s="2" t="s">
        <v>46768</v>
      </c>
      <c r="N4864" s="3" t="s">
        <v>596</v>
      </c>
      <c r="O4864" s="2" t="s">
        <v>46769</v>
      </c>
      <c r="P4864" s="3" t="s">
        <v>64</v>
      </c>
      <c r="R4864" s="3" t="s">
        <v>46535</v>
      </c>
      <c r="S4864" s="4">
        <v>159</v>
      </c>
      <c r="T4864" s="4">
        <v>525</v>
      </c>
      <c r="U4864" s="5" t="s">
        <v>2645</v>
      </c>
      <c r="V4864" s="5" t="s">
        <v>17235</v>
      </c>
      <c r="W4864" s="5" t="s">
        <v>67</v>
      </c>
      <c r="X4864" s="5" t="s">
        <v>67</v>
      </c>
      <c r="Y4864" s="4">
        <v>305</v>
      </c>
      <c r="Z4864" s="4">
        <v>16</v>
      </c>
      <c r="AA4864" s="4">
        <v>56</v>
      </c>
      <c r="AB4864" s="4">
        <v>2</v>
      </c>
      <c r="AC4864" s="4">
        <v>10</v>
      </c>
      <c r="AD4864" s="4">
        <v>71</v>
      </c>
      <c r="AE4864" s="4">
        <v>113</v>
      </c>
      <c r="AF4864" s="4">
        <v>0</v>
      </c>
      <c r="AG4864" s="4">
        <v>5</v>
      </c>
      <c r="AH4864" s="4">
        <v>60</v>
      </c>
      <c r="AI4864" s="4">
        <v>87</v>
      </c>
      <c r="AJ4864" s="4">
        <v>6</v>
      </c>
      <c r="AK4864" s="4">
        <v>25</v>
      </c>
      <c r="AL4864" s="4">
        <v>40</v>
      </c>
      <c r="AM4864" s="4">
        <v>48</v>
      </c>
      <c r="AN4864" s="4">
        <v>0</v>
      </c>
      <c r="AO4864" s="4">
        <v>0</v>
      </c>
      <c r="AP4864" s="4">
        <v>13</v>
      </c>
      <c r="AQ4864" s="4">
        <v>35</v>
      </c>
      <c r="AR4864" s="3" t="s">
        <v>62</v>
      </c>
      <c r="AS4864" s="3" t="s">
        <v>62</v>
      </c>
      <c r="AT4864" s="3" t="s">
        <v>62</v>
      </c>
      <c r="AV4864" s="6" t="str">
        <f>HYPERLINK("http://mcgill.on.worldcat.org/oclc/47081417","Catalog Record")</f>
        <v>Catalog Record</v>
      </c>
      <c r="AW4864" s="6" t="str">
        <f>HYPERLINK("http://www.worldcat.org/oclc/47081417","WorldCat Record")</f>
        <v>WorldCat Record</v>
      </c>
      <c r="AX4864" s="3" t="s">
        <v>46770</v>
      </c>
      <c r="AY4864" s="3" t="s">
        <v>46771</v>
      </c>
      <c r="AZ4864" s="3" t="s">
        <v>46772</v>
      </c>
      <c r="BA4864" s="3" t="s">
        <v>46772</v>
      </c>
      <c r="BB4864" s="3" t="s">
        <v>46781</v>
      </c>
      <c r="BC4864" s="3" t="s">
        <v>102</v>
      </c>
      <c r="BD4864" s="3" t="s">
        <v>68</v>
      </c>
      <c r="BE4864" s="3" t="s">
        <v>46774</v>
      </c>
      <c r="BF4864" s="3" t="s">
        <v>46781</v>
      </c>
      <c r="BG4864" s="3" t="s">
        <v>46782</v>
      </c>
    </row>
    <row r="4865" spans="1:59" ht="101.5" x14ac:dyDescent="0.35">
      <c r="A4865" s="2" t="s">
        <v>89</v>
      </c>
      <c r="B4865" s="2" t="s">
        <v>12301</v>
      </c>
      <c r="C4865" s="2" t="s">
        <v>46764</v>
      </c>
      <c r="D4865" s="2" t="s">
        <v>46765</v>
      </c>
      <c r="E4865" s="2" t="s">
        <v>46766</v>
      </c>
      <c r="G4865" s="3" t="s">
        <v>62</v>
      </c>
      <c r="I4865" s="3" t="s">
        <v>61</v>
      </c>
      <c r="J4865" s="3" t="s">
        <v>61</v>
      </c>
      <c r="K4865" s="3" t="s">
        <v>63</v>
      </c>
      <c r="L4865" s="2" t="s">
        <v>46767</v>
      </c>
      <c r="M4865" s="2" t="s">
        <v>46768</v>
      </c>
      <c r="N4865" s="3" t="s">
        <v>596</v>
      </c>
      <c r="O4865" s="2" t="s">
        <v>46769</v>
      </c>
      <c r="P4865" s="3" t="s">
        <v>64</v>
      </c>
      <c r="R4865" s="3" t="s">
        <v>46535</v>
      </c>
      <c r="S4865" s="4">
        <v>4</v>
      </c>
      <c r="T4865" s="4">
        <v>525</v>
      </c>
      <c r="U4865" s="5" t="s">
        <v>24434</v>
      </c>
      <c r="V4865" s="5" t="s">
        <v>17235</v>
      </c>
      <c r="W4865" s="5" t="s">
        <v>67</v>
      </c>
      <c r="X4865" s="5" t="s">
        <v>67</v>
      </c>
      <c r="Y4865" s="4">
        <v>305</v>
      </c>
      <c r="Z4865" s="4">
        <v>16</v>
      </c>
      <c r="AA4865" s="4">
        <v>56</v>
      </c>
      <c r="AB4865" s="4">
        <v>2</v>
      </c>
      <c r="AC4865" s="4">
        <v>10</v>
      </c>
      <c r="AD4865" s="4">
        <v>71</v>
      </c>
      <c r="AE4865" s="4">
        <v>113</v>
      </c>
      <c r="AF4865" s="4">
        <v>0</v>
      </c>
      <c r="AG4865" s="4">
        <v>5</v>
      </c>
      <c r="AH4865" s="4">
        <v>60</v>
      </c>
      <c r="AI4865" s="4">
        <v>87</v>
      </c>
      <c r="AJ4865" s="4">
        <v>6</v>
      </c>
      <c r="AK4865" s="4">
        <v>25</v>
      </c>
      <c r="AL4865" s="4">
        <v>40</v>
      </c>
      <c r="AM4865" s="4">
        <v>48</v>
      </c>
      <c r="AN4865" s="4">
        <v>0</v>
      </c>
      <c r="AO4865" s="4">
        <v>0</v>
      </c>
      <c r="AP4865" s="4">
        <v>13</v>
      </c>
      <c r="AQ4865" s="4">
        <v>35</v>
      </c>
      <c r="AR4865" s="3" t="s">
        <v>62</v>
      </c>
      <c r="AS4865" s="3" t="s">
        <v>62</v>
      </c>
      <c r="AT4865" s="3" t="s">
        <v>62</v>
      </c>
      <c r="AV4865" s="6" t="str">
        <f>HYPERLINK("http://mcgill.on.worldcat.org/oclc/47081417","Catalog Record")</f>
        <v>Catalog Record</v>
      </c>
      <c r="AW4865" s="6" t="str">
        <f>HYPERLINK("http://www.worldcat.org/oclc/47081417","WorldCat Record")</f>
        <v>WorldCat Record</v>
      </c>
      <c r="AX4865" s="3" t="s">
        <v>46770</v>
      </c>
      <c r="AY4865" s="3" t="s">
        <v>46771</v>
      </c>
      <c r="AZ4865" s="3" t="s">
        <v>46772</v>
      </c>
      <c r="BA4865" s="3" t="s">
        <v>46772</v>
      </c>
      <c r="BB4865" s="3" t="s">
        <v>46783</v>
      </c>
      <c r="BC4865" s="3" t="s">
        <v>102</v>
      </c>
      <c r="BD4865" s="3" t="s">
        <v>68</v>
      </c>
      <c r="BE4865" s="3" t="s">
        <v>46774</v>
      </c>
      <c r="BF4865" s="3" t="s">
        <v>46783</v>
      </c>
      <c r="BG4865" s="3" t="s">
        <v>46784</v>
      </c>
    </row>
    <row r="4866" spans="1:59" ht="58" x14ac:dyDescent="0.35">
      <c r="A4866" s="2" t="s">
        <v>59</v>
      </c>
      <c r="B4866" s="2" t="s">
        <v>60</v>
      </c>
      <c r="C4866" s="2" t="s">
        <v>46785</v>
      </c>
      <c r="D4866" s="2" t="s">
        <v>46786</v>
      </c>
      <c r="E4866" s="2" t="s">
        <v>46787</v>
      </c>
      <c r="G4866" s="3" t="s">
        <v>62</v>
      </c>
      <c r="I4866" s="3" t="s">
        <v>62</v>
      </c>
      <c r="J4866" s="3" t="s">
        <v>62</v>
      </c>
      <c r="K4866" s="3" t="s">
        <v>63</v>
      </c>
      <c r="M4866" s="2" t="s">
        <v>46788</v>
      </c>
      <c r="N4866" s="3" t="s">
        <v>1905</v>
      </c>
      <c r="P4866" s="3" t="s">
        <v>64</v>
      </c>
      <c r="Q4866" s="2" t="s">
        <v>46789</v>
      </c>
      <c r="R4866" s="3" t="s">
        <v>46535</v>
      </c>
      <c r="S4866" s="4">
        <v>11</v>
      </c>
      <c r="T4866" s="4">
        <v>11</v>
      </c>
      <c r="U4866" s="5" t="s">
        <v>23181</v>
      </c>
      <c r="V4866" s="5" t="s">
        <v>23181</v>
      </c>
      <c r="W4866" s="5" t="s">
        <v>67</v>
      </c>
      <c r="X4866" s="5" t="s">
        <v>67</v>
      </c>
      <c r="Y4866" s="4">
        <v>227</v>
      </c>
      <c r="Z4866" s="4">
        <v>23</v>
      </c>
      <c r="AA4866" s="4">
        <v>23</v>
      </c>
      <c r="AB4866" s="4">
        <v>2</v>
      </c>
      <c r="AC4866" s="4">
        <v>2</v>
      </c>
      <c r="AD4866" s="4">
        <v>73</v>
      </c>
      <c r="AE4866" s="4">
        <v>73</v>
      </c>
      <c r="AF4866" s="4">
        <v>0</v>
      </c>
      <c r="AG4866" s="4">
        <v>0</v>
      </c>
      <c r="AH4866" s="4">
        <v>60</v>
      </c>
      <c r="AI4866" s="4">
        <v>60</v>
      </c>
      <c r="AJ4866" s="4">
        <v>10</v>
      </c>
      <c r="AK4866" s="4">
        <v>10</v>
      </c>
      <c r="AL4866" s="4">
        <v>35</v>
      </c>
      <c r="AM4866" s="4">
        <v>35</v>
      </c>
      <c r="AN4866" s="4">
        <v>0</v>
      </c>
      <c r="AO4866" s="4">
        <v>0</v>
      </c>
      <c r="AP4866" s="4">
        <v>17</v>
      </c>
      <c r="AQ4866" s="4">
        <v>17</v>
      </c>
      <c r="AR4866" s="3" t="s">
        <v>62</v>
      </c>
      <c r="AS4866" s="3" t="s">
        <v>62</v>
      </c>
      <c r="AT4866" s="3" t="s">
        <v>62</v>
      </c>
      <c r="AV4866" s="6" t="str">
        <f>HYPERLINK("http://mcgill.on.worldcat.org/oclc/18781452","Catalog Record")</f>
        <v>Catalog Record</v>
      </c>
      <c r="AW4866" s="6" t="str">
        <f>HYPERLINK("http://www.worldcat.org/oclc/18781452","WorldCat Record")</f>
        <v>WorldCat Record</v>
      </c>
      <c r="AX4866" s="3" t="s">
        <v>46790</v>
      </c>
      <c r="AY4866" s="3" t="s">
        <v>46791</v>
      </c>
      <c r="AZ4866" s="3" t="s">
        <v>46792</v>
      </c>
      <c r="BA4866" s="3" t="s">
        <v>46792</v>
      </c>
      <c r="BB4866" s="3" t="s">
        <v>46793</v>
      </c>
      <c r="BC4866" s="3" t="s">
        <v>102</v>
      </c>
      <c r="BD4866" s="3" t="s">
        <v>68</v>
      </c>
      <c r="BE4866" s="3" t="s">
        <v>46794</v>
      </c>
      <c r="BF4866" s="3" t="s">
        <v>46793</v>
      </c>
      <c r="BG4866" s="3" t="s">
        <v>46795</v>
      </c>
    </row>
    <row r="4867" spans="1:59" ht="58" x14ac:dyDescent="0.35">
      <c r="A4867" s="2" t="s">
        <v>89</v>
      </c>
      <c r="B4867" s="2" t="s">
        <v>90</v>
      </c>
      <c r="C4867" s="2" t="s">
        <v>46796</v>
      </c>
      <c r="D4867" s="2" t="s">
        <v>46797</v>
      </c>
      <c r="E4867" s="2" t="s">
        <v>46798</v>
      </c>
      <c r="G4867" s="3" t="s">
        <v>62</v>
      </c>
      <c r="I4867" s="3" t="s">
        <v>62</v>
      </c>
      <c r="J4867" s="3" t="s">
        <v>62</v>
      </c>
      <c r="K4867" s="3" t="s">
        <v>63</v>
      </c>
      <c r="L4867" s="2" t="s">
        <v>46799</v>
      </c>
      <c r="M4867" s="2" t="s">
        <v>46800</v>
      </c>
      <c r="N4867" s="3" t="s">
        <v>640</v>
      </c>
      <c r="O4867" s="2" t="s">
        <v>2986</v>
      </c>
      <c r="P4867" s="3" t="s">
        <v>64</v>
      </c>
      <c r="R4867" s="3" t="s">
        <v>46535</v>
      </c>
      <c r="S4867" s="4">
        <v>13</v>
      </c>
      <c r="T4867" s="4">
        <v>13</v>
      </c>
      <c r="U4867" s="5" t="s">
        <v>33394</v>
      </c>
      <c r="V4867" s="5" t="s">
        <v>33394</v>
      </c>
      <c r="W4867" s="5" t="s">
        <v>67</v>
      </c>
      <c r="X4867" s="5" t="s">
        <v>67</v>
      </c>
      <c r="Y4867" s="4">
        <v>416</v>
      </c>
      <c r="Z4867" s="4">
        <v>26</v>
      </c>
      <c r="AA4867" s="4">
        <v>50</v>
      </c>
      <c r="AB4867" s="4">
        <v>3</v>
      </c>
      <c r="AC4867" s="4">
        <v>11</v>
      </c>
      <c r="AD4867" s="4">
        <v>72</v>
      </c>
      <c r="AE4867" s="4">
        <v>103</v>
      </c>
      <c r="AF4867" s="4">
        <v>1</v>
      </c>
      <c r="AG4867" s="4">
        <v>5</v>
      </c>
      <c r="AH4867" s="4">
        <v>60</v>
      </c>
      <c r="AI4867" s="4">
        <v>78</v>
      </c>
      <c r="AJ4867" s="4">
        <v>14</v>
      </c>
      <c r="AK4867" s="4">
        <v>24</v>
      </c>
      <c r="AL4867" s="4">
        <v>27</v>
      </c>
      <c r="AM4867" s="4">
        <v>34</v>
      </c>
      <c r="AN4867" s="4">
        <v>0</v>
      </c>
      <c r="AO4867" s="4">
        <v>0</v>
      </c>
      <c r="AP4867" s="4">
        <v>20</v>
      </c>
      <c r="AQ4867" s="4">
        <v>36</v>
      </c>
      <c r="AR4867" s="3" t="s">
        <v>62</v>
      </c>
      <c r="AS4867" s="3" t="s">
        <v>62</v>
      </c>
      <c r="AT4867" s="3" t="s">
        <v>61</v>
      </c>
      <c r="AU4867" s="6" t="str">
        <f>HYPERLINK("http://catalog.hathitrust.org/Record/004370087","HathiTrust Record")</f>
        <v>HathiTrust Record</v>
      </c>
      <c r="AV4867" s="6" t="str">
        <f>HYPERLINK("http://mcgill.on.worldcat.org/oclc/53014020","Catalog Record")</f>
        <v>Catalog Record</v>
      </c>
      <c r="AW4867" s="6" t="str">
        <f>HYPERLINK("http://www.worldcat.org/oclc/53014020","WorldCat Record")</f>
        <v>WorldCat Record</v>
      </c>
      <c r="AX4867" s="3" t="s">
        <v>46801</v>
      </c>
      <c r="AY4867" s="3" t="s">
        <v>46802</v>
      </c>
      <c r="AZ4867" s="3" t="s">
        <v>46803</v>
      </c>
      <c r="BA4867" s="3" t="s">
        <v>46803</v>
      </c>
      <c r="BB4867" s="3" t="s">
        <v>46804</v>
      </c>
      <c r="BC4867" s="3" t="s">
        <v>102</v>
      </c>
      <c r="BD4867" s="3" t="s">
        <v>68</v>
      </c>
      <c r="BE4867" s="3" t="s">
        <v>46805</v>
      </c>
      <c r="BF4867" s="3" t="s">
        <v>46804</v>
      </c>
      <c r="BG4867" s="3" t="s">
        <v>46806</v>
      </c>
    </row>
    <row r="4868" spans="1:59" ht="58" x14ac:dyDescent="0.35">
      <c r="A4868" s="2" t="s">
        <v>89</v>
      </c>
      <c r="B4868" s="2" t="s">
        <v>90</v>
      </c>
      <c r="C4868" s="2" t="s">
        <v>46807</v>
      </c>
      <c r="D4868" s="2" t="s">
        <v>46808</v>
      </c>
      <c r="E4868" s="2" t="s">
        <v>46809</v>
      </c>
      <c r="G4868" s="3" t="s">
        <v>61</v>
      </c>
      <c r="I4868" s="3" t="s">
        <v>62</v>
      </c>
      <c r="J4868" s="3" t="s">
        <v>62</v>
      </c>
      <c r="K4868" s="3" t="s">
        <v>63</v>
      </c>
      <c r="L4868" s="2" t="s">
        <v>46810</v>
      </c>
      <c r="M4868" s="2" t="s">
        <v>46811</v>
      </c>
      <c r="N4868" s="3" t="s">
        <v>2566</v>
      </c>
      <c r="P4868" s="3" t="s">
        <v>64</v>
      </c>
      <c r="R4868" s="3" t="s">
        <v>46535</v>
      </c>
      <c r="S4868" s="4">
        <v>3</v>
      </c>
      <c r="T4868" s="4">
        <v>3</v>
      </c>
      <c r="U4868" s="5" t="s">
        <v>10262</v>
      </c>
      <c r="V4868" s="5" t="s">
        <v>10262</v>
      </c>
      <c r="W4868" s="5" t="s">
        <v>67</v>
      </c>
      <c r="X4868" s="5" t="s">
        <v>67</v>
      </c>
      <c r="Y4868" s="4">
        <v>72</v>
      </c>
      <c r="Z4868" s="4">
        <v>10</v>
      </c>
      <c r="AA4868" s="4">
        <v>12</v>
      </c>
      <c r="AB4868" s="4">
        <v>1</v>
      </c>
      <c r="AC4868" s="4">
        <v>3</v>
      </c>
      <c r="AD4868" s="4">
        <v>23</v>
      </c>
      <c r="AE4868" s="4">
        <v>25</v>
      </c>
      <c r="AF4868" s="4">
        <v>0</v>
      </c>
      <c r="AG4868" s="4">
        <v>2</v>
      </c>
      <c r="AH4868" s="4">
        <v>22</v>
      </c>
      <c r="AI4868" s="4">
        <v>23</v>
      </c>
      <c r="AJ4868" s="4">
        <v>6</v>
      </c>
      <c r="AK4868" s="4">
        <v>8</v>
      </c>
      <c r="AL4868" s="4">
        <v>9</v>
      </c>
      <c r="AM4868" s="4">
        <v>9</v>
      </c>
      <c r="AN4868" s="4">
        <v>0</v>
      </c>
      <c r="AO4868" s="4">
        <v>0</v>
      </c>
      <c r="AP4868" s="4">
        <v>8</v>
      </c>
      <c r="AQ4868" s="4">
        <v>10</v>
      </c>
      <c r="AR4868" s="3" t="s">
        <v>62</v>
      </c>
      <c r="AS4868" s="3" t="s">
        <v>62</v>
      </c>
      <c r="AT4868" s="3" t="s">
        <v>61</v>
      </c>
      <c r="AU4868" s="6" t="str">
        <f>HYPERLINK("http://catalog.hathitrust.org/Record/000773551","HathiTrust Record")</f>
        <v>HathiTrust Record</v>
      </c>
      <c r="AV4868" s="6" t="str">
        <f>HYPERLINK("http://mcgill.on.worldcat.org/oclc/811194","Catalog Record")</f>
        <v>Catalog Record</v>
      </c>
      <c r="AW4868" s="6" t="str">
        <f>HYPERLINK("http://www.worldcat.org/oclc/811194","WorldCat Record")</f>
        <v>WorldCat Record</v>
      </c>
      <c r="AX4868" s="3" t="s">
        <v>46812</v>
      </c>
      <c r="AY4868" s="3" t="s">
        <v>46813</v>
      </c>
      <c r="AZ4868" s="3" t="s">
        <v>46814</v>
      </c>
      <c r="BA4868" s="3" t="s">
        <v>46814</v>
      </c>
      <c r="BB4868" s="3" t="s">
        <v>46815</v>
      </c>
      <c r="BC4868" s="3" t="s">
        <v>102</v>
      </c>
      <c r="BD4868" s="3" t="s">
        <v>68</v>
      </c>
      <c r="BE4868" s="3" t="s">
        <v>46816</v>
      </c>
      <c r="BF4868" s="3" t="s">
        <v>46815</v>
      </c>
      <c r="BG4868" s="3" t="s">
        <v>46817</v>
      </c>
    </row>
    <row r="4869" spans="1:59" ht="58" x14ac:dyDescent="0.35">
      <c r="A4869" s="2" t="s">
        <v>89</v>
      </c>
      <c r="B4869" s="2" t="s">
        <v>90</v>
      </c>
      <c r="C4869" s="2" t="s">
        <v>46818</v>
      </c>
      <c r="D4869" s="2" t="s">
        <v>46819</v>
      </c>
      <c r="E4869" s="2" t="s">
        <v>46820</v>
      </c>
      <c r="F4869" s="3" t="s">
        <v>14825</v>
      </c>
      <c r="G4869" s="3" t="s">
        <v>61</v>
      </c>
      <c r="I4869" s="3" t="s">
        <v>61</v>
      </c>
      <c r="J4869" s="3" t="s">
        <v>61</v>
      </c>
      <c r="K4869" s="3" t="s">
        <v>63</v>
      </c>
      <c r="L4869" s="2" t="s">
        <v>46821</v>
      </c>
      <c r="M4869" s="2" t="s">
        <v>46822</v>
      </c>
      <c r="N4869" s="3" t="s">
        <v>655</v>
      </c>
      <c r="O4869" s="2" t="s">
        <v>16059</v>
      </c>
      <c r="P4869" s="3" t="s">
        <v>64</v>
      </c>
      <c r="R4869" s="3" t="s">
        <v>46535</v>
      </c>
      <c r="S4869" s="4">
        <v>9</v>
      </c>
      <c r="T4869" s="4">
        <v>44</v>
      </c>
      <c r="U4869" s="5" t="s">
        <v>46823</v>
      </c>
      <c r="V4869" s="5" t="s">
        <v>22552</v>
      </c>
      <c r="W4869" s="5" t="s">
        <v>67</v>
      </c>
      <c r="X4869" s="5" t="s">
        <v>67</v>
      </c>
      <c r="Y4869" s="4">
        <v>398</v>
      </c>
      <c r="Z4869" s="4">
        <v>21</v>
      </c>
      <c r="AA4869" s="4">
        <v>98</v>
      </c>
      <c r="AB4869" s="4">
        <v>1</v>
      </c>
      <c r="AC4869" s="4">
        <v>17</v>
      </c>
      <c r="AD4869" s="4">
        <v>39</v>
      </c>
      <c r="AE4869" s="4">
        <v>128</v>
      </c>
      <c r="AF4869" s="4">
        <v>0</v>
      </c>
      <c r="AG4869" s="4">
        <v>6</v>
      </c>
      <c r="AH4869" s="4">
        <v>36</v>
      </c>
      <c r="AI4869" s="4">
        <v>98</v>
      </c>
      <c r="AJ4869" s="4">
        <v>10</v>
      </c>
      <c r="AK4869" s="4">
        <v>23</v>
      </c>
      <c r="AL4869" s="4">
        <v>16</v>
      </c>
      <c r="AM4869" s="4">
        <v>49</v>
      </c>
      <c r="AN4869" s="4">
        <v>0</v>
      </c>
      <c r="AO4869" s="4">
        <v>5</v>
      </c>
      <c r="AP4869" s="4">
        <v>10</v>
      </c>
      <c r="AQ4869" s="4">
        <v>40</v>
      </c>
      <c r="AR4869" s="3" t="s">
        <v>62</v>
      </c>
      <c r="AS4869" s="3" t="s">
        <v>62</v>
      </c>
      <c r="AT4869" s="3" t="s">
        <v>62</v>
      </c>
      <c r="AV4869" s="6" t="str">
        <f>HYPERLINK("http://mcgill.on.worldcat.org/oclc/61362865","Catalog Record")</f>
        <v>Catalog Record</v>
      </c>
      <c r="AW4869" s="6" t="str">
        <f>HYPERLINK("http://www.worldcat.org/oclc/61362865","WorldCat Record")</f>
        <v>WorldCat Record</v>
      </c>
      <c r="AX4869" s="3" t="s">
        <v>46824</v>
      </c>
      <c r="AY4869" s="3" t="s">
        <v>46825</v>
      </c>
      <c r="AZ4869" s="3" t="s">
        <v>46826</v>
      </c>
      <c r="BA4869" s="3" t="s">
        <v>46826</v>
      </c>
      <c r="BB4869" s="3" t="s">
        <v>46827</v>
      </c>
      <c r="BC4869" s="3" t="s">
        <v>102</v>
      </c>
      <c r="BD4869" s="3" t="s">
        <v>68</v>
      </c>
      <c r="BE4869" s="3" t="s">
        <v>46828</v>
      </c>
      <c r="BF4869" s="3" t="s">
        <v>46827</v>
      </c>
      <c r="BG4869" s="3" t="s">
        <v>46829</v>
      </c>
    </row>
    <row r="4870" spans="1:59" ht="58" x14ac:dyDescent="0.35">
      <c r="A4870" s="2" t="s">
        <v>89</v>
      </c>
      <c r="B4870" s="2" t="s">
        <v>90</v>
      </c>
      <c r="C4870" s="2" t="s">
        <v>46830</v>
      </c>
      <c r="D4870" s="2" t="s">
        <v>46831</v>
      </c>
      <c r="E4870" s="2" t="s">
        <v>46832</v>
      </c>
      <c r="F4870" s="3" t="s">
        <v>46833</v>
      </c>
      <c r="G4870" s="3" t="s">
        <v>62</v>
      </c>
      <c r="I4870" s="3" t="s">
        <v>62</v>
      </c>
      <c r="J4870" s="3" t="s">
        <v>61</v>
      </c>
      <c r="K4870" s="3" t="s">
        <v>63</v>
      </c>
      <c r="L4870" s="2" t="s">
        <v>46821</v>
      </c>
      <c r="M4870" s="2" t="s">
        <v>46834</v>
      </c>
      <c r="N4870" s="3" t="s">
        <v>684</v>
      </c>
      <c r="O4870" s="2" t="s">
        <v>46835</v>
      </c>
      <c r="P4870" s="3" t="s">
        <v>64</v>
      </c>
      <c r="R4870" s="3" t="s">
        <v>46535</v>
      </c>
      <c r="S4870" s="4">
        <v>19</v>
      </c>
      <c r="T4870" s="4">
        <v>19</v>
      </c>
      <c r="U4870" s="5" t="s">
        <v>46836</v>
      </c>
      <c r="V4870" s="5" t="s">
        <v>46836</v>
      </c>
      <c r="W4870" s="5" t="s">
        <v>67</v>
      </c>
      <c r="X4870" s="5" t="s">
        <v>67</v>
      </c>
      <c r="Y4870" s="4">
        <v>75</v>
      </c>
      <c r="Z4870" s="4">
        <v>6</v>
      </c>
      <c r="AA4870" s="4">
        <v>28</v>
      </c>
      <c r="AB4870" s="4">
        <v>1</v>
      </c>
      <c r="AC4870" s="4">
        <v>5</v>
      </c>
      <c r="AD4870" s="4">
        <v>8</v>
      </c>
      <c r="AE4870" s="4">
        <v>42</v>
      </c>
      <c r="AF4870" s="4">
        <v>0</v>
      </c>
      <c r="AG4870" s="4">
        <v>3</v>
      </c>
      <c r="AH4870" s="4">
        <v>7</v>
      </c>
      <c r="AI4870" s="4">
        <v>34</v>
      </c>
      <c r="AJ4870" s="4">
        <v>1</v>
      </c>
      <c r="AK4870" s="4">
        <v>12</v>
      </c>
      <c r="AL4870" s="4">
        <v>5</v>
      </c>
      <c r="AM4870" s="4">
        <v>18</v>
      </c>
      <c r="AN4870" s="4">
        <v>0</v>
      </c>
      <c r="AO4870" s="4">
        <v>0</v>
      </c>
      <c r="AP4870" s="4">
        <v>1</v>
      </c>
      <c r="AQ4870" s="4">
        <v>13</v>
      </c>
      <c r="AR4870" s="3" t="s">
        <v>62</v>
      </c>
      <c r="AS4870" s="3" t="s">
        <v>62</v>
      </c>
      <c r="AT4870" s="3" t="s">
        <v>62</v>
      </c>
      <c r="AV4870" s="6" t="str">
        <f>HYPERLINK("http://mcgill.on.worldcat.org/oclc/439902532","Catalog Record")</f>
        <v>Catalog Record</v>
      </c>
      <c r="AW4870" s="6" t="str">
        <f>HYPERLINK("http://www.worldcat.org/oclc/439902532","WorldCat Record")</f>
        <v>WorldCat Record</v>
      </c>
      <c r="AX4870" s="3" t="s">
        <v>46837</v>
      </c>
      <c r="AY4870" s="3" t="s">
        <v>46838</v>
      </c>
      <c r="AZ4870" s="3" t="s">
        <v>46839</v>
      </c>
      <c r="BA4870" s="3" t="s">
        <v>46839</v>
      </c>
      <c r="BB4870" s="3" t="s">
        <v>46840</v>
      </c>
      <c r="BC4870" s="3" t="s">
        <v>102</v>
      </c>
      <c r="BD4870" s="3" t="s">
        <v>68</v>
      </c>
      <c r="BE4870" s="3" t="s">
        <v>46841</v>
      </c>
      <c r="BF4870" s="3" t="s">
        <v>46840</v>
      </c>
      <c r="BG4870" s="3" t="s">
        <v>46842</v>
      </c>
    </row>
    <row r="4871" spans="1:59" ht="58" x14ac:dyDescent="0.35">
      <c r="A4871" s="2" t="s">
        <v>89</v>
      </c>
      <c r="B4871" s="2" t="s">
        <v>90</v>
      </c>
      <c r="C4871" s="2" t="s">
        <v>46843</v>
      </c>
      <c r="D4871" s="2" t="s">
        <v>46844</v>
      </c>
      <c r="E4871" s="2" t="s">
        <v>46845</v>
      </c>
      <c r="G4871" s="3" t="s">
        <v>62</v>
      </c>
      <c r="I4871" s="3" t="s">
        <v>62</v>
      </c>
      <c r="J4871" s="3" t="s">
        <v>62</v>
      </c>
      <c r="K4871" s="3" t="s">
        <v>63</v>
      </c>
      <c r="L4871" s="2" t="s">
        <v>46846</v>
      </c>
      <c r="M4871" s="2" t="s">
        <v>46847</v>
      </c>
      <c r="N4871" s="3" t="s">
        <v>553</v>
      </c>
      <c r="P4871" s="3" t="s">
        <v>64</v>
      </c>
      <c r="R4871" s="3" t="s">
        <v>46535</v>
      </c>
      <c r="S4871" s="4">
        <v>40</v>
      </c>
      <c r="T4871" s="4">
        <v>40</v>
      </c>
      <c r="U4871" s="5" t="s">
        <v>17612</v>
      </c>
      <c r="V4871" s="5" t="s">
        <v>17612</v>
      </c>
      <c r="W4871" s="5" t="s">
        <v>67</v>
      </c>
      <c r="X4871" s="5" t="s">
        <v>67</v>
      </c>
      <c r="Y4871" s="4">
        <v>1728</v>
      </c>
      <c r="Z4871" s="4">
        <v>67</v>
      </c>
      <c r="AA4871" s="4">
        <v>92</v>
      </c>
      <c r="AB4871" s="4">
        <v>1</v>
      </c>
      <c r="AC4871" s="4">
        <v>9</v>
      </c>
      <c r="AD4871" s="4">
        <v>134</v>
      </c>
      <c r="AE4871" s="4">
        <v>145</v>
      </c>
      <c r="AF4871" s="4">
        <v>0</v>
      </c>
      <c r="AG4871" s="4">
        <v>3</v>
      </c>
      <c r="AH4871" s="4">
        <v>110</v>
      </c>
      <c r="AI4871" s="4">
        <v>111</v>
      </c>
      <c r="AJ4871" s="4">
        <v>15</v>
      </c>
      <c r="AK4871" s="4">
        <v>19</v>
      </c>
      <c r="AL4871" s="4">
        <v>60</v>
      </c>
      <c r="AM4871" s="4">
        <v>60</v>
      </c>
      <c r="AN4871" s="4">
        <v>0</v>
      </c>
      <c r="AO4871" s="4">
        <v>0</v>
      </c>
      <c r="AP4871" s="4">
        <v>28</v>
      </c>
      <c r="AQ4871" s="4">
        <v>38</v>
      </c>
      <c r="AR4871" s="3" t="s">
        <v>62</v>
      </c>
      <c r="AS4871" s="3" t="s">
        <v>62</v>
      </c>
      <c r="AT4871" s="3" t="s">
        <v>62</v>
      </c>
      <c r="AV4871" s="6" t="str">
        <f>HYPERLINK("http://mcgill.on.worldcat.org/oclc/40163506","Catalog Record")</f>
        <v>Catalog Record</v>
      </c>
      <c r="AW4871" s="6" t="str">
        <f>HYPERLINK("http://www.worldcat.org/oclc/40163506","WorldCat Record")</f>
        <v>WorldCat Record</v>
      </c>
      <c r="AX4871" s="3" t="s">
        <v>46848</v>
      </c>
      <c r="AY4871" s="3" t="s">
        <v>46849</v>
      </c>
      <c r="AZ4871" s="3" t="s">
        <v>46850</v>
      </c>
      <c r="BA4871" s="3" t="s">
        <v>46850</v>
      </c>
      <c r="BB4871" s="3" t="s">
        <v>46851</v>
      </c>
      <c r="BC4871" s="3" t="s">
        <v>102</v>
      </c>
      <c r="BD4871" s="3" t="s">
        <v>68</v>
      </c>
      <c r="BE4871" s="3" t="s">
        <v>46852</v>
      </c>
      <c r="BF4871" s="3" t="s">
        <v>46851</v>
      </c>
      <c r="BG4871" s="3" t="s">
        <v>46853</v>
      </c>
    </row>
    <row r="4872" spans="1:59" ht="58" x14ac:dyDescent="0.35">
      <c r="A4872" s="2" t="s">
        <v>89</v>
      </c>
      <c r="B4872" s="2" t="s">
        <v>90</v>
      </c>
      <c r="C4872" s="2" t="s">
        <v>46854</v>
      </c>
      <c r="D4872" s="2" t="s">
        <v>46855</v>
      </c>
      <c r="E4872" s="2" t="s">
        <v>46856</v>
      </c>
      <c r="G4872" s="3" t="s">
        <v>62</v>
      </c>
      <c r="I4872" s="3" t="s">
        <v>61</v>
      </c>
      <c r="J4872" s="3" t="s">
        <v>61</v>
      </c>
      <c r="K4872" s="3" t="s">
        <v>63</v>
      </c>
      <c r="L4872" s="2" t="s">
        <v>46857</v>
      </c>
      <c r="M4872" s="2" t="s">
        <v>46858</v>
      </c>
      <c r="N4872" s="3" t="s">
        <v>2110</v>
      </c>
      <c r="O4872" s="2" t="s">
        <v>2187</v>
      </c>
      <c r="P4872" s="3" t="s">
        <v>64</v>
      </c>
      <c r="R4872" s="3" t="s">
        <v>46535</v>
      </c>
      <c r="S4872" s="4">
        <v>11</v>
      </c>
      <c r="T4872" s="4">
        <v>11</v>
      </c>
      <c r="U4872" s="5" t="s">
        <v>2320</v>
      </c>
      <c r="V4872" s="5" t="s">
        <v>2320</v>
      </c>
      <c r="W4872" s="5" t="s">
        <v>67</v>
      </c>
      <c r="X4872" s="5" t="s">
        <v>67</v>
      </c>
      <c r="Y4872" s="4">
        <v>1330</v>
      </c>
      <c r="Z4872" s="4">
        <v>26</v>
      </c>
      <c r="AA4872" s="4">
        <v>47</v>
      </c>
      <c r="AB4872" s="4">
        <v>1</v>
      </c>
      <c r="AC4872" s="4">
        <v>3</v>
      </c>
      <c r="AD4872" s="4">
        <v>107</v>
      </c>
      <c r="AE4872" s="4">
        <v>127</v>
      </c>
      <c r="AF4872" s="4">
        <v>0</v>
      </c>
      <c r="AG4872" s="4">
        <v>1</v>
      </c>
      <c r="AH4872" s="4">
        <v>94</v>
      </c>
      <c r="AI4872" s="4">
        <v>104</v>
      </c>
      <c r="AJ4872" s="4">
        <v>10</v>
      </c>
      <c r="AK4872" s="4">
        <v>17</v>
      </c>
      <c r="AL4872" s="4">
        <v>52</v>
      </c>
      <c r="AM4872" s="4">
        <v>57</v>
      </c>
      <c r="AN4872" s="4">
        <v>0</v>
      </c>
      <c r="AO4872" s="4">
        <v>0</v>
      </c>
      <c r="AP4872" s="4">
        <v>19</v>
      </c>
      <c r="AQ4872" s="4">
        <v>30</v>
      </c>
      <c r="AR4872" s="3" t="s">
        <v>62</v>
      </c>
      <c r="AS4872" s="3" t="s">
        <v>62</v>
      </c>
      <c r="AT4872" s="3" t="s">
        <v>61</v>
      </c>
      <c r="AU4872" s="6" t="str">
        <f>HYPERLINK("http://catalog.hathitrust.org/Record/000029133","HathiTrust Record")</f>
        <v>HathiTrust Record</v>
      </c>
      <c r="AV4872" s="6" t="str">
        <f>HYPERLINK("http://mcgill.on.worldcat.org/oclc/4492644","Catalog Record")</f>
        <v>Catalog Record</v>
      </c>
      <c r="AW4872" s="6" t="str">
        <f>HYPERLINK("http://www.worldcat.org/oclc/4492644","WorldCat Record")</f>
        <v>WorldCat Record</v>
      </c>
      <c r="AX4872" s="3" t="s">
        <v>46859</v>
      </c>
      <c r="AY4872" s="3" t="s">
        <v>46860</v>
      </c>
      <c r="AZ4872" s="3" t="s">
        <v>46861</v>
      </c>
      <c r="BA4872" s="3" t="s">
        <v>46861</v>
      </c>
      <c r="BB4872" s="3" t="s">
        <v>46862</v>
      </c>
      <c r="BC4872" s="3" t="s">
        <v>102</v>
      </c>
      <c r="BD4872" s="3" t="s">
        <v>68</v>
      </c>
      <c r="BE4872" s="3" t="s">
        <v>46863</v>
      </c>
      <c r="BF4872" s="3" t="s">
        <v>46862</v>
      </c>
      <c r="BG4872" s="3" t="s">
        <v>46864</v>
      </c>
    </row>
    <row r="4873" spans="1:59" ht="58" x14ac:dyDescent="0.35">
      <c r="A4873" s="2" t="s">
        <v>59</v>
      </c>
      <c r="B4873" s="2" t="s">
        <v>60</v>
      </c>
      <c r="C4873" s="2" t="s">
        <v>46865</v>
      </c>
      <c r="D4873" s="2" t="s">
        <v>46866</v>
      </c>
      <c r="E4873" s="2" t="s">
        <v>46867</v>
      </c>
      <c r="G4873" s="3" t="s">
        <v>62</v>
      </c>
      <c r="I4873" s="3" t="s">
        <v>61</v>
      </c>
      <c r="J4873" s="3" t="s">
        <v>62</v>
      </c>
      <c r="K4873" s="3" t="s">
        <v>63</v>
      </c>
      <c r="L4873" s="2" t="s">
        <v>46868</v>
      </c>
      <c r="M4873" s="2" t="s">
        <v>46869</v>
      </c>
      <c r="N4873" s="3" t="s">
        <v>866</v>
      </c>
      <c r="O4873" s="2" t="s">
        <v>17648</v>
      </c>
      <c r="P4873" s="3" t="s">
        <v>64</v>
      </c>
      <c r="Q4873" s="2" t="s">
        <v>46870</v>
      </c>
      <c r="R4873" s="3" t="s">
        <v>46535</v>
      </c>
      <c r="S4873" s="4">
        <v>0</v>
      </c>
      <c r="T4873" s="4">
        <v>18</v>
      </c>
      <c r="V4873" s="5" t="s">
        <v>21367</v>
      </c>
      <c r="W4873" s="5" t="s">
        <v>67</v>
      </c>
      <c r="X4873" s="5" t="s">
        <v>67</v>
      </c>
      <c r="Y4873" s="4">
        <v>50</v>
      </c>
      <c r="Z4873" s="4">
        <v>3</v>
      </c>
      <c r="AA4873" s="4">
        <v>4</v>
      </c>
      <c r="AB4873" s="4">
        <v>1</v>
      </c>
      <c r="AC4873" s="4">
        <v>1</v>
      </c>
      <c r="AD4873" s="4">
        <v>17</v>
      </c>
      <c r="AE4873" s="4">
        <v>24</v>
      </c>
      <c r="AF4873" s="4">
        <v>0</v>
      </c>
      <c r="AG4873" s="4">
        <v>0</v>
      </c>
      <c r="AH4873" s="4">
        <v>17</v>
      </c>
      <c r="AI4873" s="4">
        <v>24</v>
      </c>
      <c r="AJ4873" s="4">
        <v>2</v>
      </c>
      <c r="AK4873" s="4">
        <v>3</v>
      </c>
      <c r="AL4873" s="4">
        <v>5</v>
      </c>
      <c r="AM4873" s="4">
        <v>10</v>
      </c>
      <c r="AN4873" s="4">
        <v>0</v>
      </c>
      <c r="AO4873" s="4">
        <v>0</v>
      </c>
      <c r="AP4873" s="4">
        <v>2</v>
      </c>
      <c r="AQ4873" s="4">
        <v>3</v>
      </c>
      <c r="AR4873" s="3" t="s">
        <v>62</v>
      </c>
      <c r="AS4873" s="3" t="s">
        <v>62</v>
      </c>
      <c r="AT4873" s="3" t="s">
        <v>62</v>
      </c>
      <c r="AV4873" s="6" t="str">
        <f>HYPERLINK("http://mcgill.on.worldcat.org/oclc/585028","Catalog Record")</f>
        <v>Catalog Record</v>
      </c>
      <c r="AW4873" s="6" t="str">
        <f>HYPERLINK("http://www.worldcat.org/oclc/585028","WorldCat Record")</f>
        <v>WorldCat Record</v>
      </c>
      <c r="AX4873" s="3" t="s">
        <v>46871</v>
      </c>
      <c r="AY4873" s="3" t="s">
        <v>46872</v>
      </c>
      <c r="AZ4873" s="3" t="s">
        <v>46873</v>
      </c>
      <c r="BA4873" s="3" t="s">
        <v>46873</v>
      </c>
      <c r="BB4873" s="3" t="s">
        <v>46874</v>
      </c>
      <c r="BC4873" s="3" t="s">
        <v>102</v>
      </c>
      <c r="BD4873" s="3" t="s">
        <v>68</v>
      </c>
      <c r="BE4873" s="3" t="s">
        <v>46875</v>
      </c>
      <c r="BF4873" s="3" t="s">
        <v>46874</v>
      </c>
      <c r="BG4873" s="3" t="s">
        <v>46876</v>
      </c>
    </row>
    <row r="4874" spans="1:59" ht="58" x14ac:dyDescent="0.35">
      <c r="A4874" s="2" t="s">
        <v>89</v>
      </c>
      <c r="B4874" s="2" t="s">
        <v>90</v>
      </c>
      <c r="C4874" s="2" t="s">
        <v>46877</v>
      </c>
      <c r="D4874" s="2" t="s">
        <v>46878</v>
      </c>
      <c r="E4874" s="2" t="s">
        <v>46879</v>
      </c>
      <c r="G4874" s="3" t="s">
        <v>62</v>
      </c>
      <c r="I4874" s="3" t="s">
        <v>62</v>
      </c>
      <c r="J4874" s="3" t="s">
        <v>62</v>
      </c>
      <c r="K4874" s="3" t="s">
        <v>63</v>
      </c>
      <c r="M4874" s="2" t="s">
        <v>46880</v>
      </c>
      <c r="N4874" s="3" t="s">
        <v>625</v>
      </c>
      <c r="O4874" s="2" t="s">
        <v>2163</v>
      </c>
      <c r="P4874" s="3" t="s">
        <v>64</v>
      </c>
      <c r="Q4874" s="2" t="s">
        <v>46881</v>
      </c>
      <c r="R4874" s="3" t="s">
        <v>46535</v>
      </c>
      <c r="S4874" s="4">
        <v>27</v>
      </c>
      <c r="T4874" s="4">
        <v>27</v>
      </c>
      <c r="U4874" s="5" t="s">
        <v>4501</v>
      </c>
      <c r="V4874" s="5" t="s">
        <v>4501</v>
      </c>
      <c r="W4874" s="5" t="s">
        <v>67</v>
      </c>
      <c r="X4874" s="5" t="s">
        <v>67</v>
      </c>
      <c r="Y4874" s="4">
        <v>288</v>
      </c>
      <c r="Z4874" s="4">
        <v>27</v>
      </c>
      <c r="AA4874" s="4">
        <v>33</v>
      </c>
      <c r="AB4874" s="4">
        <v>2</v>
      </c>
      <c r="AC4874" s="4">
        <v>7</v>
      </c>
      <c r="AD4874" s="4">
        <v>92</v>
      </c>
      <c r="AE4874" s="4">
        <v>96</v>
      </c>
      <c r="AF4874" s="4">
        <v>1</v>
      </c>
      <c r="AG4874" s="4">
        <v>4</v>
      </c>
      <c r="AH4874" s="4">
        <v>77</v>
      </c>
      <c r="AI4874" s="4">
        <v>78</v>
      </c>
      <c r="AJ4874" s="4">
        <v>16</v>
      </c>
      <c r="AK4874" s="4">
        <v>19</v>
      </c>
      <c r="AL4874" s="4">
        <v>41</v>
      </c>
      <c r="AM4874" s="4">
        <v>41</v>
      </c>
      <c r="AN4874" s="4">
        <v>0</v>
      </c>
      <c r="AO4874" s="4">
        <v>0</v>
      </c>
      <c r="AP4874" s="4">
        <v>22</v>
      </c>
      <c r="AQ4874" s="4">
        <v>25</v>
      </c>
      <c r="AR4874" s="3" t="s">
        <v>62</v>
      </c>
      <c r="AS4874" s="3" t="s">
        <v>62</v>
      </c>
      <c r="AT4874" s="3" t="s">
        <v>61</v>
      </c>
      <c r="AU4874" s="6" t="str">
        <f>HYPERLINK("http://catalog.hathitrust.org/Record/004321891","HathiTrust Record")</f>
        <v>HathiTrust Record</v>
      </c>
      <c r="AV4874" s="6" t="str">
        <f>HYPERLINK("http://mcgill.on.worldcat.org/oclc/51613865","Catalog Record")</f>
        <v>Catalog Record</v>
      </c>
      <c r="AW4874" s="6" t="str">
        <f>HYPERLINK("http://www.worldcat.org/oclc/51613865","WorldCat Record")</f>
        <v>WorldCat Record</v>
      </c>
      <c r="AX4874" s="3" t="s">
        <v>46882</v>
      </c>
      <c r="AY4874" s="3" t="s">
        <v>46883</v>
      </c>
      <c r="AZ4874" s="3" t="s">
        <v>46884</v>
      </c>
      <c r="BA4874" s="3" t="s">
        <v>46884</v>
      </c>
      <c r="BB4874" s="3" t="s">
        <v>46885</v>
      </c>
      <c r="BC4874" s="3" t="s">
        <v>102</v>
      </c>
      <c r="BD4874" s="3" t="s">
        <v>68</v>
      </c>
      <c r="BE4874" s="3" t="s">
        <v>46886</v>
      </c>
      <c r="BF4874" s="3" t="s">
        <v>46885</v>
      </c>
      <c r="BG4874" s="3" t="s">
        <v>46887</v>
      </c>
    </row>
    <row r="4875" spans="1:59" ht="58" x14ac:dyDescent="0.35">
      <c r="A4875" s="2" t="s">
        <v>89</v>
      </c>
      <c r="B4875" s="2" t="s">
        <v>90</v>
      </c>
      <c r="C4875" s="2" t="s">
        <v>46888</v>
      </c>
      <c r="D4875" s="2" t="s">
        <v>46889</v>
      </c>
      <c r="E4875" s="2" t="s">
        <v>46890</v>
      </c>
      <c r="G4875" s="3" t="s">
        <v>62</v>
      </c>
      <c r="I4875" s="3" t="s">
        <v>62</v>
      </c>
      <c r="J4875" s="3" t="s">
        <v>62</v>
      </c>
      <c r="K4875" s="3" t="s">
        <v>63</v>
      </c>
      <c r="M4875" s="2" t="s">
        <v>46891</v>
      </c>
      <c r="N4875" s="3" t="s">
        <v>438</v>
      </c>
      <c r="P4875" s="3" t="s">
        <v>64</v>
      </c>
      <c r="R4875" s="3" t="s">
        <v>46535</v>
      </c>
      <c r="S4875" s="4">
        <v>135</v>
      </c>
      <c r="T4875" s="4">
        <v>135</v>
      </c>
      <c r="U4875" s="5" t="s">
        <v>1663</v>
      </c>
      <c r="V4875" s="5" t="s">
        <v>1663</v>
      </c>
      <c r="W4875" s="5" t="s">
        <v>67</v>
      </c>
      <c r="X4875" s="5" t="s">
        <v>67</v>
      </c>
      <c r="Y4875" s="4">
        <v>735</v>
      </c>
      <c r="Z4875" s="4">
        <v>54</v>
      </c>
      <c r="AA4875" s="4">
        <v>60</v>
      </c>
      <c r="AB4875" s="4">
        <v>4</v>
      </c>
      <c r="AC4875" s="4">
        <v>8</v>
      </c>
      <c r="AD4875" s="4">
        <v>143</v>
      </c>
      <c r="AE4875" s="4">
        <v>144</v>
      </c>
      <c r="AF4875" s="4">
        <v>2</v>
      </c>
      <c r="AG4875" s="4">
        <v>3</v>
      </c>
      <c r="AH4875" s="4">
        <v>111</v>
      </c>
      <c r="AI4875" s="4">
        <v>111</v>
      </c>
      <c r="AJ4875" s="4">
        <v>22</v>
      </c>
      <c r="AK4875" s="4">
        <v>23</v>
      </c>
      <c r="AL4875" s="4">
        <v>59</v>
      </c>
      <c r="AM4875" s="4">
        <v>59</v>
      </c>
      <c r="AN4875" s="4">
        <v>0</v>
      </c>
      <c r="AO4875" s="4">
        <v>0</v>
      </c>
      <c r="AP4875" s="4">
        <v>40</v>
      </c>
      <c r="AQ4875" s="4">
        <v>40</v>
      </c>
      <c r="AR4875" s="3" t="s">
        <v>62</v>
      </c>
      <c r="AS4875" s="3" t="s">
        <v>62</v>
      </c>
      <c r="AT4875" s="3" t="s">
        <v>61</v>
      </c>
      <c r="AU4875" s="6" t="str">
        <f>HYPERLINK("http://catalog.hathitrust.org/Record/001833148","HathiTrust Record")</f>
        <v>HathiTrust Record</v>
      </c>
      <c r="AV4875" s="6" t="str">
        <f>HYPERLINK("http://mcgill.on.worldcat.org/oclc/19722716","Catalog Record")</f>
        <v>Catalog Record</v>
      </c>
      <c r="AW4875" s="6" t="str">
        <f>HYPERLINK("http://www.worldcat.org/oclc/19722716","WorldCat Record")</f>
        <v>WorldCat Record</v>
      </c>
      <c r="AX4875" s="3" t="s">
        <v>46892</v>
      </c>
      <c r="AY4875" s="3" t="s">
        <v>46893</v>
      </c>
      <c r="AZ4875" s="3" t="s">
        <v>46894</v>
      </c>
      <c r="BA4875" s="3" t="s">
        <v>46894</v>
      </c>
      <c r="BB4875" s="3" t="s">
        <v>46895</v>
      </c>
      <c r="BC4875" s="3" t="s">
        <v>102</v>
      </c>
      <c r="BD4875" s="3" t="s">
        <v>68</v>
      </c>
      <c r="BE4875" s="3" t="s">
        <v>46896</v>
      </c>
      <c r="BF4875" s="3" t="s">
        <v>46895</v>
      </c>
      <c r="BG4875" s="3" t="s">
        <v>46897</v>
      </c>
    </row>
    <row r="4876" spans="1:59" ht="58" x14ac:dyDescent="0.35">
      <c r="A4876" s="2" t="s">
        <v>89</v>
      </c>
      <c r="B4876" s="2" t="s">
        <v>90</v>
      </c>
      <c r="C4876" s="2" t="s">
        <v>46898</v>
      </c>
      <c r="D4876" s="2" t="s">
        <v>46899</v>
      </c>
      <c r="E4876" s="2" t="s">
        <v>46900</v>
      </c>
      <c r="G4876" s="3" t="s">
        <v>62</v>
      </c>
      <c r="I4876" s="3" t="s">
        <v>61</v>
      </c>
      <c r="J4876" s="3" t="s">
        <v>61</v>
      </c>
      <c r="K4876" s="3" t="s">
        <v>63</v>
      </c>
      <c r="L4876" s="2" t="s">
        <v>46901</v>
      </c>
      <c r="M4876" s="2" t="s">
        <v>46902</v>
      </c>
      <c r="N4876" s="3" t="s">
        <v>396</v>
      </c>
      <c r="P4876" s="3" t="s">
        <v>64</v>
      </c>
      <c r="R4876" s="3" t="s">
        <v>46535</v>
      </c>
      <c r="S4876" s="4">
        <v>38</v>
      </c>
      <c r="T4876" s="4">
        <v>104</v>
      </c>
      <c r="U4876" s="5" t="s">
        <v>46903</v>
      </c>
      <c r="V4876" s="5" t="s">
        <v>46903</v>
      </c>
      <c r="W4876" s="5" t="s">
        <v>67</v>
      </c>
      <c r="X4876" s="5" t="s">
        <v>67</v>
      </c>
      <c r="Y4876" s="4">
        <v>1435</v>
      </c>
      <c r="Z4876" s="4">
        <v>61</v>
      </c>
      <c r="AA4876" s="4">
        <v>84</v>
      </c>
      <c r="AB4876" s="4">
        <v>4</v>
      </c>
      <c r="AC4876" s="4">
        <v>10</v>
      </c>
      <c r="AD4876" s="4">
        <v>137</v>
      </c>
      <c r="AE4876" s="4">
        <v>159</v>
      </c>
      <c r="AF4876" s="4">
        <v>2</v>
      </c>
      <c r="AG4876" s="4">
        <v>5</v>
      </c>
      <c r="AH4876" s="4">
        <v>110</v>
      </c>
      <c r="AI4876" s="4">
        <v>117</v>
      </c>
      <c r="AJ4876" s="4">
        <v>22</v>
      </c>
      <c r="AK4876" s="4">
        <v>26</v>
      </c>
      <c r="AL4876" s="4">
        <v>56</v>
      </c>
      <c r="AM4876" s="4">
        <v>61</v>
      </c>
      <c r="AN4876" s="4">
        <v>0</v>
      </c>
      <c r="AO4876" s="4">
        <v>0</v>
      </c>
      <c r="AP4876" s="4">
        <v>36</v>
      </c>
      <c r="AQ4876" s="4">
        <v>49</v>
      </c>
      <c r="AR4876" s="3" t="s">
        <v>62</v>
      </c>
      <c r="AS4876" s="3" t="s">
        <v>62</v>
      </c>
      <c r="AT4876" s="3" t="s">
        <v>61</v>
      </c>
      <c r="AU4876" s="6" t="str">
        <f>HYPERLINK("http://catalog.hathitrust.org/Record/000468577","HathiTrust Record")</f>
        <v>HathiTrust Record</v>
      </c>
      <c r="AV4876" s="6" t="str">
        <f>HYPERLINK("http://mcgill.on.worldcat.org/oclc/12550351","Catalog Record")</f>
        <v>Catalog Record</v>
      </c>
      <c r="AW4876" s="6" t="str">
        <f>HYPERLINK("http://www.worldcat.org/oclc/12550351","WorldCat Record")</f>
        <v>WorldCat Record</v>
      </c>
      <c r="AX4876" s="3" t="s">
        <v>46904</v>
      </c>
      <c r="AY4876" s="3" t="s">
        <v>46905</v>
      </c>
      <c r="AZ4876" s="3" t="s">
        <v>46906</v>
      </c>
      <c r="BA4876" s="3" t="s">
        <v>46906</v>
      </c>
      <c r="BB4876" s="3" t="s">
        <v>46907</v>
      </c>
      <c r="BC4876" s="3" t="s">
        <v>102</v>
      </c>
      <c r="BD4876" s="3" t="s">
        <v>68</v>
      </c>
      <c r="BE4876" s="3" t="s">
        <v>46908</v>
      </c>
      <c r="BF4876" s="3" t="s">
        <v>46907</v>
      </c>
      <c r="BG4876" s="3" t="s">
        <v>46909</v>
      </c>
    </row>
    <row r="4877" spans="1:59" ht="58" x14ac:dyDescent="0.35">
      <c r="A4877" s="2" t="s">
        <v>89</v>
      </c>
      <c r="B4877" s="2" t="s">
        <v>90</v>
      </c>
      <c r="C4877" s="2" t="s">
        <v>46898</v>
      </c>
      <c r="D4877" s="2" t="s">
        <v>46899</v>
      </c>
      <c r="E4877" s="2" t="s">
        <v>46900</v>
      </c>
      <c r="G4877" s="3" t="s">
        <v>62</v>
      </c>
      <c r="I4877" s="3" t="s">
        <v>61</v>
      </c>
      <c r="J4877" s="3" t="s">
        <v>61</v>
      </c>
      <c r="K4877" s="3" t="s">
        <v>63</v>
      </c>
      <c r="L4877" s="2" t="s">
        <v>46901</v>
      </c>
      <c r="M4877" s="2" t="s">
        <v>46902</v>
      </c>
      <c r="N4877" s="3" t="s">
        <v>396</v>
      </c>
      <c r="P4877" s="3" t="s">
        <v>64</v>
      </c>
      <c r="R4877" s="3" t="s">
        <v>46535</v>
      </c>
      <c r="S4877" s="4">
        <v>66</v>
      </c>
      <c r="T4877" s="4">
        <v>104</v>
      </c>
      <c r="U4877" s="5" t="s">
        <v>18411</v>
      </c>
      <c r="V4877" s="5" t="s">
        <v>46903</v>
      </c>
      <c r="W4877" s="5" t="s">
        <v>67</v>
      </c>
      <c r="X4877" s="5" t="s">
        <v>67</v>
      </c>
      <c r="Y4877" s="4">
        <v>1435</v>
      </c>
      <c r="Z4877" s="4">
        <v>61</v>
      </c>
      <c r="AA4877" s="4">
        <v>84</v>
      </c>
      <c r="AB4877" s="4">
        <v>4</v>
      </c>
      <c r="AC4877" s="4">
        <v>10</v>
      </c>
      <c r="AD4877" s="4">
        <v>137</v>
      </c>
      <c r="AE4877" s="4">
        <v>159</v>
      </c>
      <c r="AF4877" s="4">
        <v>2</v>
      </c>
      <c r="AG4877" s="4">
        <v>5</v>
      </c>
      <c r="AH4877" s="4">
        <v>110</v>
      </c>
      <c r="AI4877" s="4">
        <v>117</v>
      </c>
      <c r="AJ4877" s="4">
        <v>22</v>
      </c>
      <c r="AK4877" s="4">
        <v>26</v>
      </c>
      <c r="AL4877" s="4">
        <v>56</v>
      </c>
      <c r="AM4877" s="4">
        <v>61</v>
      </c>
      <c r="AN4877" s="4">
        <v>0</v>
      </c>
      <c r="AO4877" s="4">
        <v>0</v>
      </c>
      <c r="AP4877" s="4">
        <v>36</v>
      </c>
      <c r="AQ4877" s="4">
        <v>49</v>
      </c>
      <c r="AR4877" s="3" t="s">
        <v>62</v>
      </c>
      <c r="AS4877" s="3" t="s">
        <v>62</v>
      </c>
      <c r="AT4877" s="3" t="s">
        <v>61</v>
      </c>
      <c r="AU4877" s="6" t="str">
        <f>HYPERLINK("http://catalog.hathitrust.org/Record/000468577","HathiTrust Record")</f>
        <v>HathiTrust Record</v>
      </c>
      <c r="AV4877" s="6" t="str">
        <f>HYPERLINK("http://mcgill.on.worldcat.org/oclc/12550351","Catalog Record")</f>
        <v>Catalog Record</v>
      </c>
      <c r="AW4877" s="6" t="str">
        <f>HYPERLINK("http://www.worldcat.org/oclc/12550351","WorldCat Record")</f>
        <v>WorldCat Record</v>
      </c>
      <c r="AX4877" s="3" t="s">
        <v>46904</v>
      </c>
      <c r="AY4877" s="3" t="s">
        <v>46905</v>
      </c>
      <c r="AZ4877" s="3" t="s">
        <v>46906</v>
      </c>
      <c r="BA4877" s="3" t="s">
        <v>46906</v>
      </c>
      <c r="BB4877" s="3" t="s">
        <v>46910</v>
      </c>
      <c r="BC4877" s="3" t="s">
        <v>102</v>
      </c>
      <c r="BD4877" s="3" t="s">
        <v>68</v>
      </c>
      <c r="BE4877" s="3" t="s">
        <v>46908</v>
      </c>
      <c r="BF4877" s="3" t="s">
        <v>46910</v>
      </c>
      <c r="BG4877" s="3" t="s">
        <v>46911</v>
      </c>
    </row>
    <row r="4878" spans="1:59" ht="58" x14ac:dyDescent="0.35">
      <c r="A4878" s="2" t="s">
        <v>89</v>
      </c>
      <c r="B4878" s="2" t="s">
        <v>90</v>
      </c>
      <c r="C4878" s="2" t="s">
        <v>46912</v>
      </c>
      <c r="D4878" s="2" t="s">
        <v>46913</v>
      </c>
      <c r="E4878" s="2" t="s">
        <v>46900</v>
      </c>
      <c r="G4878" s="3" t="s">
        <v>62</v>
      </c>
      <c r="I4878" s="3" t="s">
        <v>62</v>
      </c>
      <c r="J4878" s="3" t="s">
        <v>61</v>
      </c>
      <c r="K4878" s="3" t="s">
        <v>63</v>
      </c>
      <c r="L4878" s="2" t="s">
        <v>46901</v>
      </c>
      <c r="M4878" s="2" t="s">
        <v>46914</v>
      </c>
      <c r="N4878" s="3" t="s">
        <v>466</v>
      </c>
      <c r="O4878" s="2" t="s">
        <v>2986</v>
      </c>
      <c r="P4878" s="3" t="s">
        <v>64</v>
      </c>
      <c r="R4878" s="3" t="s">
        <v>46535</v>
      </c>
      <c r="S4878" s="4">
        <v>13</v>
      </c>
      <c r="T4878" s="4">
        <v>13</v>
      </c>
      <c r="U4878" s="5" t="s">
        <v>46915</v>
      </c>
      <c r="V4878" s="5" t="s">
        <v>46915</v>
      </c>
      <c r="W4878" s="5" t="s">
        <v>67</v>
      </c>
      <c r="X4878" s="5" t="s">
        <v>67</v>
      </c>
      <c r="Y4878" s="4">
        <v>659</v>
      </c>
      <c r="Z4878" s="4">
        <v>34</v>
      </c>
      <c r="AA4878" s="4">
        <v>84</v>
      </c>
      <c r="AB4878" s="4">
        <v>2</v>
      </c>
      <c r="AC4878" s="4">
        <v>10</v>
      </c>
      <c r="AD4878" s="4">
        <v>104</v>
      </c>
      <c r="AE4878" s="4">
        <v>159</v>
      </c>
      <c r="AF4878" s="4">
        <v>1</v>
      </c>
      <c r="AG4878" s="4">
        <v>5</v>
      </c>
      <c r="AH4878" s="4">
        <v>81</v>
      </c>
      <c r="AI4878" s="4">
        <v>117</v>
      </c>
      <c r="AJ4878" s="4">
        <v>12</v>
      </c>
      <c r="AK4878" s="4">
        <v>26</v>
      </c>
      <c r="AL4878" s="4">
        <v>51</v>
      </c>
      <c r="AM4878" s="4">
        <v>61</v>
      </c>
      <c r="AN4878" s="4">
        <v>0</v>
      </c>
      <c r="AO4878" s="4">
        <v>0</v>
      </c>
      <c r="AP4878" s="4">
        <v>24</v>
      </c>
      <c r="AQ4878" s="4">
        <v>49</v>
      </c>
      <c r="AR4878" s="3" t="s">
        <v>62</v>
      </c>
      <c r="AS4878" s="3" t="s">
        <v>62</v>
      </c>
      <c r="AT4878" s="3" t="s">
        <v>61</v>
      </c>
      <c r="AU4878" s="6" t="str">
        <f>HYPERLINK("http://catalog.hathitrust.org/Record/004524246","HathiTrust Record")</f>
        <v>HathiTrust Record</v>
      </c>
      <c r="AV4878" s="6" t="str">
        <f>HYPERLINK("http://mcgill.on.worldcat.org/oclc/25748011","Catalog Record")</f>
        <v>Catalog Record</v>
      </c>
      <c r="AW4878" s="6" t="str">
        <f>HYPERLINK("http://www.worldcat.org/oclc/25748011","WorldCat Record")</f>
        <v>WorldCat Record</v>
      </c>
      <c r="AX4878" s="3" t="s">
        <v>46904</v>
      </c>
      <c r="AY4878" s="3" t="s">
        <v>46916</v>
      </c>
      <c r="AZ4878" s="3" t="s">
        <v>46917</v>
      </c>
      <c r="BA4878" s="3" t="s">
        <v>46917</v>
      </c>
      <c r="BB4878" s="3" t="s">
        <v>46918</v>
      </c>
      <c r="BC4878" s="3" t="s">
        <v>102</v>
      </c>
      <c r="BD4878" s="3" t="s">
        <v>68</v>
      </c>
      <c r="BE4878" s="3" t="s">
        <v>46919</v>
      </c>
      <c r="BF4878" s="3" t="s">
        <v>46918</v>
      </c>
      <c r="BG4878" s="3" t="s">
        <v>46920</v>
      </c>
    </row>
    <row r="4879" spans="1:59" ht="58" x14ac:dyDescent="0.35">
      <c r="A4879" s="2" t="s">
        <v>89</v>
      </c>
      <c r="B4879" s="2" t="s">
        <v>90</v>
      </c>
      <c r="C4879" s="2" t="s">
        <v>46921</v>
      </c>
      <c r="D4879" s="2" t="s">
        <v>46922</v>
      </c>
      <c r="E4879" s="2" t="s">
        <v>46923</v>
      </c>
      <c r="G4879" s="3" t="s">
        <v>62</v>
      </c>
      <c r="I4879" s="3" t="s">
        <v>62</v>
      </c>
      <c r="J4879" s="3" t="s">
        <v>61</v>
      </c>
      <c r="K4879" s="3" t="s">
        <v>63</v>
      </c>
      <c r="L4879" s="2" t="s">
        <v>46924</v>
      </c>
      <c r="M4879" s="2" t="s">
        <v>46925</v>
      </c>
      <c r="N4879" s="3" t="s">
        <v>880</v>
      </c>
      <c r="O4879" s="2" t="s">
        <v>2986</v>
      </c>
      <c r="P4879" s="3" t="s">
        <v>64</v>
      </c>
      <c r="R4879" s="3" t="s">
        <v>46535</v>
      </c>
      <c r="S4879" s="4">
        <v>3</v>
      </c>
      <c r="T4879" s="4">
        <v>3</v>
      </c>
      <c r="U4879" s="5" t="s">
        <v>46926</v>
      </c>
      <c r="V4879" s="5" t="s">
        <v>46926</v>
      </c>
      <c r="W4879" s="5" t="s">
        <v>67</v>
      </c>
      <c r="X4879" s="5" t="s">
        <v>67</v>
      </c>
      <c r="Y4879" s="4">
        <v>554</v>
      </c>
      <c r="Z4879" s="4">
        <v>32</v>
      </c>
      <c r="AA4879" s="4">
        <v>75</v>
      </c>
      <c r="AB4879" s="4">
        <v>2</v>
      </c>
      <c r="AC4879" s="4">
        <v>10</v>
      </c>
      <c r="AD4879" s="4">
        <v>92</v>
      </c>
      <c r="AE4879" s="4">
        <v>149</v>
      </c>
      <c r="AF4879" s="4">
        <v>0</v>
      </c>
      <c r="AG4879" s="4">
        <v>4</v>
      </c>
      <c r="AH4879" s="4">
        <v>76</v>
      </c>
      <c r="AI4879" s="4">
        <v>111</v>
      </c>
      <c r="AJ4879" s="4">
        <v>12</v>
      </c>
      <c r="AK4879" s="4">
        <v>26</v>
      </c>
      <c r="AL4879" s="4">
        <v>44</v>
      </c>
      <c r="AM4879" s="4">
        <v>57</v>
      </c>
      <c r="AN4879" s="4">
        <v>0</v>
      </c>
      <c r="AO4879" s="4">
        <v>0</v>
      </c>
      <c r="AP4879" s="4">
        <v>22</v>
      </c>
      <c r="AQ4879" s="4">
        <v>48</v>
      </c>
      <c r="AR4879" s="3" t="s">
        <v>62</v>
      </c>
      <c r="AS4879" s="3" t="s">
        <v>62</v>
      </c>
      <c r="AT4879" s="3" t="s">
        <v>61</v>
      </c>
      <c r="AU4879" s="6" t="str">
        <f>HYPERLINK("http://catalog.hathitrust.org/Record/009932856","HathiTrust Record")</f>
        <v>HathiTrust Record</v>
      </c>
      <c r="AV4879" s="6" t="str">
        <f>HYPERLINK("http://mcgill.on.worldcat.org/oclc/417445425","Catalog Record")</f>
        <v>Catalog Record</v>
      </c>
      <c r="AW4879" s="6" t="str">
        <f>HYPERLINK("http://www.worldcat.org/oclc/417445425","WorldCat Record")</f>
        <v>WorldCat Record</v>
      </c>
      <c r="AX4879" s="3" t="s">
        <v>46927</v>
      </c>
      <c r="AY4879" s="3" t="s">
        <v>46928</v>
      </c>
      <c r="AZ4879" s="3" t="s">
        <v>46929</v>
      </c>
      <c r="BA4879" s="3" t="s">
        <v>46929</v>
      </c>
      <c r="BB4879" s="3" t="s">
        <v>46930</v>
      </c>
      <c r="BC4879" s="3" t="s">
        <v>102</v>
      </c>
      <c r="BD4879" s="3" t="s">
        <v>68</v>
      </c>
      <c r="BE4879" s="3" t="s">
        <v>46931</v>
      </c>
      <c r="BF4879" s="3" t="s">
        <v>46930</v>
      </c>
      <c r="BG4879" s="3" t="s">
        <v>46932</v>
      </c>
    </row>
    <row r="4880" spans="1:59" ht="58" x14ac:dyDescent="0.35">
      <c r="A4880" s="2" t="s">
        <v>89</v>
      </c>
      <c r="B4880" s="2" t="s">
        <v>90</v>
      </c>
      <c r="C4880" s="2" t="s">
        <v>46933</v>
      </c>
      <c r="D4880" s="2" t="s">
        <v>46934</v>
      </c>
      <c r="E4880" s="2" t="s">
        <v>46935</v>
      </c>
      <c r="G4880" s="3" t="s">
        <v>62</v>
      </c>
      <c r="I4880" s="3" t="s">
        <v>62</v>
      </c>
      <c r="J4880" s="3" t="s">
        <v>62</v>
      </c>
      <c r="K4880" s="3" t="s">
        <v>63</v>
      </c>
      <c r="L4880" s="2" t="s">
        <v>4533</v>
      </c>
      <c r="M4880" s="2" t="s">
        <v>46936</v>
      </c>
      <c r="N4880" s="3" t="s">
        <v>1077</v>
      </c>
      <c r="P4880" s="3" t="s">
        <v>64</v>
      </c>
      <c r="R4880" s="3" t="s">
        <v>46535</v>
      </c>
      <c r="S4880" s="4">
        <v>52</v>
      </c>
      <c r="T4880" s="4">
        <v>52</v>
      </c>
      <c r="U4880" s="5" t="s">
        <v>3763</v>
      </c>
      <c r="V4880" s="5" t="s">
        <v>3763</v>
      </c>
      <c r="W4880" s="5" t="s">
        <v>67</v>
      </c>
      <c r="X4880" s="5" t="s">
        <v>67</v>
      </c>
      <c r="Y4880" s="4">
        <v>853</v>
      </c>
      <c r="Z4880" s="4">
        <v>48</v>
      </c>
      <c r="AA4880" s="4">
        <v>65</v>
      </c>
      <c r="AB4880" s="4">
        <v>1</v>
      </c>
      <c r="AC4880" s="4">
        <v>9</v>
      </c>
      <c r="AD4880" s="4">
        <v>138</v>
      </c>
      <c r="AE4880" s="4">
        <v>150</v>
      </c>
      <c r="AF4880" s="4">
        <v>0</v>
      </c>
      <c r="AG4880" s="4">
        <v>4</v>
      </c>
      <c r="AH4880" s="4">
        <v>111</v>
      </c>
      <c r="AI4880" s="4">
        <v>116</v>
      </c>
      <c r="AJ4880" s="4">
        <v>19</v>
      </c>
      <c r="AK4880" s="4">
        <v>25</v>
      </c>
      <c r="AL4880" s="4">
        <v>58</v>
      </c>
      <c r="AM4880" s="4">
        <v>60</v>
      </c>
      <c r="AN4880" s="4">
        <v>0</v>
      </c>
      <c r="AO4880" s="4">
        <v>0</v>
      </c>
      <c r="AP4880" s="4">
        <v>35</v>
      </c>
      <c r="AQ4880" s="4">
        <v>44</v>
      </c>
      <c r="AR4880" s="3" t="s">
        <v>62</v>
      </c>
      <c r="AS4880" s="3" t="s">
        <v>62</v>
      </c>
      <c r="AT4880" s="3" t="s">
        <v>61</v>
      </c>
      <c r="AU4880" s="6" t="str">
        <f>HYPERLINK("http://catalog.hathitrust.org/Record/002732105","HathiTrust Record")</f>
        <v>HathiTrust Record</v>
      </c>
      <c r="AV4880" s="6" t="str">
        <f>HYPERLINK("http://mcgill.on.worldcat.org/oclc/27186489","Catalog Record")</f>
        <v>Catalog Record</v>
      </c>
      <c r="AW4880" s="6" t="str">
        <f>HYPERLINK("http://www.worldcat.org/oclc/27186489","WorldCat Record")</f>
        <v>WorldCat Record</v>
      </c>
      <c r="AX4880" s="3" t="s">
        <v>46937</v>
      </c>
      <c r="AY4880" s="3" t="s">
        <v>46938</v>
      </c>
      <c r="AZ4880" s="3" t="s">
        <v>46939</v>
      </c>
      <c r="BA4880" s="3" t="s">
        <v>46939</v>
      </c>
      <c r="BB4880" s="3" t="s">
        <v>46940</v>
      </c>
      <c r="BC4880" s="3" t="s">
        <v>102</v>
      </c>
      <c r="BD4880" s="3" t="s">
        <v>68</v>
      </c>
      <c r="BE4880" s="3" t="s">
        <v>46941</v>
      </c>
      <c r="BF4880" s="3" t="s">
        <v>46940</v>
      </c>
      <c r="BG4880" s="3" t="s">
        <v>46942</v>
      </c>
    </row>
    <row r="4881" spans="1:59" ht="58" x14ac:dyDescent="0.35">
      <c r="A4881" s="2" t="s">
        <v>89</v>
      </c>
      <c r="B4881" s="2" t="s">
        <v>90</v>
      </c>
      <c r="C4881" s="2" t="s">
        <v>46943</v>
      </c>
      <c r="D4881" s="2" t="s">
        <v>46944</v>
      </c>
      <c r="E4881" s="2" t="s">
        <v>46945</v>
      </c>
      <c r="G4881" s="3" t="s">
        <v>62</v>
      </c>
      <c r="I4881" s="3" t="s">
        <v>62</v>
      </c>
      <c r="J4881" s="3" t="s">
        <v>62</v>
      </c>
      <c r="K4881" s="3" t="s">
        <v>63</v>
      </c>
      <c r="L4881" s="2" t="s">
        <v>46946</v>
      </c>
      <c r="M4881" s="2" t="s">
        <v>46947</v>
      </c>
      <c r="N4881" s="3" t="s">
        <v>481</v>
      </c>
      <c r="P4881" s="3" t="s">
        <v>64</v>
      </c>
      <c r="Q4881" s="2" t="s">
        <v>9551</v>
      </c>
      <c r="R4881" s="3" t="s">
        <v>46535</v>
      </c>
      <c r="S4881" s="4">
        <v>29</v>
      </c>
      <c r="T4881" s="4">
        <v>29</v>
      </c>
      <c r="U4881" s="5" t="s">
        <v>2912</v>
      </c>
      <c r="V4881" s="5" t="s">
        <v>2912</v>
      </c>
      <c r="W4881" s="5" t="s">
        <v>67</v>
      </c>
      <c r="X4881" s="5" t="s">
        <v>67</v>
      </c>
      <c r="Y4881" s="4">
        <v>419</v>
      </c>
      <c r="Z4881" s="4">
        <v>34</v>
      </c>
      <c r="AA4881" s="4">
        <v>131</v>
      </c>
      <c r="AB4881" s="4">
        <v>3</v>
      </c>
      <c r="AC4881" s="4">
        <v>19</v>
      </c>
      <c r="AD4881" s="4">
        <v>116</v>
      </c>
      <c r="AE4881" s="4">
        <v>154</v>
      </c>
      <c r="AF4881" s="4">
        <v>1</v>
      </c>
      <c r="AG4881" s="4">
        <v>9</v>
      </c>
      <c r="AH4881" s="4">
        <v>95</v>
      </c>
      <c r="AI4881" s="4">
        <v>109</v>
      </c>
      <c r="AJ4881" s="4">
        <v>17</v>
      </c>
      <c r="AK4881" s="4">
        <v>26</v>
      </c>
      <c r="AL4881" s="4">
        <v>54</v>
      </c>
      <c r="AM4881" s="4">
        <v>58</v>
      </c>
      <c r="AN4881" s="4">
        <v>0</v>
      </c>
      <c r="AO4881" s="4">
        <v>0</v>
      </c>
      <c r="AP4881" s="4">
        <v>26</v>
      </c>
      <c r="AQ4881" s="4">
        <v>54</v>
      </c>
      <c r="AR4881" s="3" t="s">
        <v>62</v>
      </c>
      <c r="AS4881" s="3" t="s">
        <v>62</v>
      </c>
      <c r="AT4881" s="3" t="s">
        <v>61</v>
      </c>
      <c r="AU4881" s="6" t="str">
        <f>HYPERLINK("http://catalog.hathitrust.org/Record/003155986","HathiTrust Record")</f>
        <v>HathiTrust Record</v>
      </c>
      <c r="AV4881" s="6" t="str">
        <f>HYPERLINK("http://mcgill.on.worldcat.org/oclc/35298646","Catalog Record")</f>
        <v>Catalog Record</v>
      </c>
      <c r="AW4881" s="6" t="str">
        <f>HYPERLINK("http://www.worldcat.org/oclc/35298646","WorldCat Record")</f>
        <v>WorldCat Record</v>
      </c>
      <c r="AX4881" s="3" t="s">
        <v>46948</v>
      </c>
      <c r="AY4881" s="3" t="s">
        <v>46949</v>
      </c>
      <c r="AZ4881" s="3" t="s">
        <v>46950</v>
      </c>
      <c r="BA4881" s="3" t="s">
        <v>46950</v>
      </c>
      <c r="BB4881" s="3" t="s">
        <v>46951</v>
      </c>
      <c r="BC4881" s="3" t="s">
        <v>102</v>
      </c>
      <c r="BD4881" s="3" t="s">
        <v>68</v>
      </c>
      <c r="BE4881" s="3" t="s">
        <v>46952</v>
      </c>
      <c r="BF4881" s="3" t="s">
        <v>46951</v>
      </c>
      <c r="BG4881" s="3" t="s">
        <v>46953</v>
      </c>
    </row>
    <row r="4882" spans="1:59" ht="58" x14ac:dyDescent="0.35">
      <c r="A4882" s="2" t="s">
        <v>89</v>
      </c>
      <c r="B4882" s="2" t="s">
        <v>90</v>
      </c>
      <c r="C4882" s="2" t="s">
        <v>46954</v>
      </c>
      <c r="D4882" s="2" t="s">
        <v>46955</v>
      </c>
      <c r="E4882" s="2" t="s">
        <v>46956</v>
      </c>
      <c r="G4882" s="3" t="s">
        <v>62</v>
      </c>
      <c r="I4882" s="3" t="s">
        <v>62</v>
      </c>
      <c r="J4882" s="3" t="s">
        <v>62</v>
      </c>
      <c r="K4882" s="3" t="s">
        <v>63</v>
      </c>
      <c r="L4882" s="2" t="s">
        <v>46957</v>
      </c>
      <c r="M4882" s="2" t="s">
        <v>46958</v>
      </c>
      <c r="N4882" s="3" t="s">
        <v>640</v>
      </c>
      <c r="P4882" s="3" t="s">
        <v>64</v>
      </c>
      <c r="R4882" s="3" t="s">
        <v>46535</v>
      </c>
      <c r="S4882" s="4">
        <v>6</v>
      </c>
      <c r="T4882" s="4">
        <v>6</v>
      </c>
      <c r="U4882" s="5" t="s">
        <v>46959</v>
      </c>
      <c r="V4882" s="5" t="s">
        <v>46959</v>
      </c>
      <c r="W4882" s="5" t="s">
        <v>67</v>
      </c>
      <c r="X4882" s="5" t="s">
        <v>67</v>
      </c>
      <c r="Y4882" s="4">
        <v>274</v>
      </c>
      <c r="Z4882" s="4">
        <v>23</v>
      </c>
      <c r="AA4882" s="4">
        <v>32</v>
      </c>
      <c r="AB4882" s="4">
        <v>2</v>
      </c>
      <c r="AC4882" s="4">
        <v>5</v>
      </c>
      <c r="AD4882" s="4">
        <v>93</v>
      </c>
      <c r="AE4882" s="4">
        <v>105</v>
      </c>
      <c r="AF4882" s="4">
        <v>1</v>
      </c>
      <c r="AG4882" s="4">
        <v>2</v>
      </c>
      <c r="AH4882" s="4">
        <v>85</v>
      </c>
      <c r="AI4882" s="4">
        <v>92</v>
      </c>
      <c r="AJ4882" s="4">
        <v>16</v>
      </c>
      <c r="AK4882" s="4">
        <v>18</v>
      </c>
      <c r="AL4882" s="4">
        <v>46</v>
      </c>
      <c r="AM4882" s="4">
        <v>49</v>
      </c>
      <c r="AN4882" s="4">
        <v>0</v>
      </c>
      <c r="AO4882" s="4">
        <v>0</v>
      </c>
      <c r="AP4882" s="4">
        <v>18</v>
      </c>
      <c r="AQ4882" s="4">
        <v>24</v>
      </c>
      <c r="AR4882" s="3" t="s">
        <v>62</v>
      </c>
      <c r="AS4882" s="3" t="s">
        <v>62</v>
      </c>
      <c r="AT4882" s="3" t="s">
        <v>62</v>
      </c>
      <c r="AV4882" s="6" t="str">
        <f>HYPERLINK("http://mcgill.on.worldcat.org/oclc/54425403","Catalog Record")</f>
        <v>Catalog Record</v>
      </c>
      <c r="AW4882" s="6" t="str">
        <f>HYPERLINK("http://www.worldcat.org/oclc/54425403","WorldCat Record")</f>
        <v>WorldCat Record</v>
      </c>
      <c r="AX4882" s="3" t="s">
        <v>46960</v>
      </c>
      <c r="AY4882" s="3" t="s">
        <v>46961</v>
      </c>
      <c r="AZ4882" s="3" t="s">
        <v>46962</v>
      </c>
      <c r="BA4882" s="3" t="s">
        <v>46962</v>
      </c>
      <c r="BB4882" s="3" t="s">
        <v>46963</v>
      </c>
      <c r="BC4882" s="3" t="s">
        <v>102</v>
      </c>
      <c r="BD4882" s="3" t="s">
        <v>231</v>
      </c>
      <c r="BE4882" s="3" t="s">
        <v>46964</v>
      </c>
      <c r="BF4882" s="3" t="s">
        <v>46963</v>
      </c>
      <c r="BG4882" s="3" t="s">
        <v>46965</v>
      </c>
    </row>
    <row r="4883" spans="1:59" ht="58" x14ac:dyDescent="0.35">
      <c r="A4883" s="2" t="s">
        <v>59</v>
      </c>
      <c r="B4883" s="2" t="s">
        <v>60</v>
      </c>
      <c r="C4883" s="2" t="s">
        <v>46966</v>
      </c>
      <c r="D4883" s="2" t="s">
        <v>46967</v>
      </c>
      <c r="E4883" s="2" t="s">
        <v>46968</v>
      </c>
      <c r="G4883" s="3" t="s">
        <v>62</v>
      </c>
      <c r="I4883" s="3" t="s">
        <v>62</v>
      </c>
      <c r="J4883" s="3" t="s">
        <v>62</v>
      </c>
      <c r="K4883" s="3" t="s">
        <v>63</v>
      </c>
      <c r="L4883" s="2" t="s">
        <v>46969</v>
      </c>
      <c r="M4883" s="2" t="s">
        <v>46970</v>
      </c>
      <c r="N4883" s="3" t="s">
        <v>568</v>
      </c>
      <c r="P4883" s="3" t="s">
        <v>64</v>
      </c>
      <c r="R4883" s="3" t="s">
        <v>46535</v>
      </c>
      <c r="S4883" s="4">
        <v>4</v>
      </c>
      <c r="T4883" s="4">
        <v>4</v>
      </c>
      <c r="U4883" s="5" t="s">
        <v>3243</v>
      </c>
      <c r="V4883" s="5" t="s">
        <v>3243</v>
      </c>
      <c r="W4883" s="5" t="s">
        <v>67</v>
      </c>
      <c r="X4883" s="5" t="s">
        <v>67</v>
      </c>
      <c r="Y4883" s="4">
        <v>832</v>
      </c>
      <c r="Z4883" s="4">
        <v>30</v>
      </c>
      <c r="AA4883" s="4">
        <v>38</v>
      </c>
      <c r="AB4883" s="4">
        <v>3</v>
      </c>
      <c r="AC4883" s="4">
        <v>5</v>
      </c>
      <c r="AD4883" s="4">
        <v>96</v>
      </c>
      <c r="AE4883" s="4">
        <v>106</v>
      </c>
      <c r="AF4883" s="4">
        <v>1</v>
      </c>
      <c r="AG4883" s="4">
        <v>3</v>
      </c>
      <c r="AH4883" s="4">
        <v>80</v>
      </c>
      <c r="AI4883" s="4">
        <v>88</v>
      </c>
      <c r="AJ4883" s="4">
        <v>11</v>
      </c>
      <c r="AK4883" s="4">
        <v>14</v>
      </c>
      <c r="AL4883" s="4">
        <v>40</v>
      </c>
      <c r="AM4883" s="4">
        <v>44</v>
      </c>
      <c r="AN4883" s="4">
        <v>0</v>
      </c>
      <c r="AO4883" s="4">
        <v>1</v>
      </c>
      <c r="AP4883" s="4">
        <v>17</v>
      </c>
      <c r="AQ4883" s="4">
        <v>20</v>
      </c>
      <c r="AR4883" s="3" t="s">
        <v>62</v>
      </c>
      <c r="AS4883" s="3" t="s">
        <v>62</v>
      </c>
      <c r="AT4883" s="3" t="s">
        <v>62</v>
      </c>
      <c r="AV4883" s="6" t="str">
        <f>HYPERLINK("http://mcgill.on.worldcat.org/oclc/43657034","Catalog Record")</f>
        <v>Catalog Record</v>
      </c>
      <c r="AW4883" s="6" t="str">
        <f>HYPERLINK("http://www.worldcat.org/oclc/43657034","WorldCat Record")</f>
        <v>WorldCat Record</v>
      </c>
      <c r="AX4883" s="3" t="s">
        <v>46971</v>
      </c>
      <c r="AY4883" s="3" t="s">
        <v>46972</v>
      </c>
      <c r="AZ4883" s="3" t="s">
        <v>46973</v>
      </c>
      <c r="BA4883" s="3" t="s">
        <v>46973</v>
      </c>
      <c r="BB4883" s="3" t="s">
        <v>46974</v>
      </c>
      <c r="BC4883" s="3" t="s">
        <v>102</v>
      </c>
      <c r="BD4883" s="3" t="s">
        <v>68</v>
      </c>
      <c r="BE4883" s="3" t="s">
        <v>46975</v>
      </c>
      <c r="BF4883" s="3" t="s">
        <v>46974</v>
      </c>
      <c r="BG4883" s="3" t="s">
        <v>46976</v>
      </c>
    </row>
    <row r="4884" spans="1:59" ht="58" x14ac:dyDescent="0.35">
      <c r="A4884" s="2" t="s">
        <v>89</v>
      </c>
      <c r="B4884" s="2" t="s">
        <v>90</v>
      </c>
      <c r="C4884" s="2" t="s">
        <v>46977</v>
      </c>
      <c r="D4884" s="2" t="s">
        <v>46978</v>
      </c>
      <c r="E4884" s="2" t="s">
        <v>46979</v>
      </c>
      <c r="G4884" s="3" t="s">
        <v>62</v>
      </c>
      <c r="I4884" s="3" t="s">
        <v>62</v>
      </c>
      <c r="J4884" s="3" t="s">
        <v>62</v>
      </c>
      <c r="K4884" s="3" t="s">
        <v>63</v>
      </c>
      <c r="L4884" s="2" t="s">
        <v>46980</v>
      </c>
      <c r="M4884" s="2" t="s">
        <v>46981</v>
      </c>
      <c r="N4884" s="3" t="s">
        <v>640</v>
      </c>
      <c r="O4884" s="2" t="s">
        <v>2163</v>
      </c>
      <c r="P4884" s="3" t="s">
        <v>64</v>
      </c>
      <c r="R4884" s="3" t="s">
        <v>46535</v>
      </c>
      <c r="S4884" s="4">
        <v>11</v>
      </c>
      <c r="T4884" s="4">
        <v>11</v>
      </c>
      <c r="U4884" s="5" t="s">
        <v>342</v>
      </c>
      <c r="V4884" s="5" t="s">
        <v>342</v>
      </c>
      <c r="W4884" s="5" t="s">
        <v>67</v>
      </c>
      <c r="X4884" s="5" t="s">
        <v>67</v>
      </c>
      <c r="Y4884" s="4">
        <v>469</v>
      </c>
      <c r="Z4884" s="4">
        <v>40</v>
      </c>
      <c r="AA4884" s="4">
        <v>42</v>
      </c>
      <c r="AB4884" s="4">
        <v>5</v>
      </c>
      <c r="AC4884" s="4">
        <v>6</v>
      </c>
      <c r="AD4884" s="4">
        <v>54</v>
      </c>
      <c r="AE4884" s="4">
        <v>54</v>
      </c>
      <c r="AF4884" s="4">
        <v>0</v>
      </c>
      <c r="AG4884" s="4">
        <v>0</v>
      </c>
      <c r="AH4884" s="4">
        <v>51</v>
      </c>
      <c r="AI4884" s="4">
        <v>51</v>
      </c>
      <c r="AJ4884" s="4">
        <v>6</v>
      </c>
      <c r="AK4884" s="4">
        <v>6</v>
      </c>
      <c r="AL4884" s="4">
        <v>19</v>
      </c>
      <c r="AM4884" s="4">
        <v>19</v>
      </c>
      <c r="AN4884" s="4">
        <v>0</v>
      </c>
      <c r="AO4884" s="4">
        <v>0</v>
      </c>
      <c r="AP4884" s="4">
        <v>7</v>
      </c>
      <c r="AQ4884" s="4">
        <v>7</v>
      </c>
      <c r="AR4884" s="3" t="s">
        <v>62</v>
      </c>
      <c r="AS4884" s="3" t="s">
        <v>62</v>
      </c>
      <c r="AT4884" s="3" t="s">
        <v>62</v>
      </c>
      <c r="AV4884" s="6" t="str">
        <f>HYPERLINK("http://mcgill.on.worldcat.org/oclc/53231824","Catalog Record")</f>
        <v>Catalog Record</v>
      </c>
      <c r="AW4884" s="6" t="str">
        <f>HYPERLINK("http://www.worldcat.org/oclc/53231824","WorldCat Record")</f>
        <v>WorldCat Record</v>
      </c>
      <c r="AX4884" s="3" t="s">
        <v>46982</v>
      </c>
      <c r="AY4884" s="3" t="s">
        <v>46983</v>
      </c>
      <c r="AZ4884" s="3" t="s">
        <v>46984</v>
      </c>
      <c r="BA4884" s="3" t="s">
        <v>46984</v>
      </c>
      <c r="BB4884" s="3" t="s">
        <v>46985</v>
      </c>
      <c r="BC4884" s="3" t="s">
        <v>102</v>
      </c>
      <c r="BD4884" s="3" t="s">
        <v>68</v>
      </c>
      <c r="BE4884" s="3" t="s">
        <v>46986</v>
      </c>
      <c r="BF4884" s="3" t="s">
        <v>46985</v>
      </c>
      <c r="BG4884" s="3" t="s">
        <v>46987</v>
      </c>
    </row>
    <row r="4885" spans="1:59" ht="58" x14ac:dyDescent="0.35">
      <c r="A4885" s="2" t="s">
        <v>89</v>
      </c>
      <c r="B4885" s="2" t="s">
        <v>90</v>
      </c>
      <c r="C4885" s="2" t="s">
        <v>46988</v>
      </c>
      <c r="D4885" s="2" t="s">
        <v>46989</v>
      </c>
      <c r="E4885" s="2" t="s">
        <v>46990</v>
      </c>
      <c r="G4885" s="3" t="s">
        <v>62</v>
      </c>
      <c r="I4885" s="3" t="s">
        <v>62</v>
      </c>
      <c r="J4885" s="3" t="s">
        <v>62</v>
      </c>
      <c r="K4885" s="3" t="s">
        <v>63</v>
      </c>
      <c r="L4885" s="2" t="s">
        <v>46991</v>
      </c>
      <c r="M4885" s="2" t="s">
        <v>46800</v>
      </c>
      <c r="N4885" s="3" t="s">
        <v>640</v>
      </c>
      <c r="P4885" s="3" t="s">
        <v>64</v>
      </c>
      <c r="R4885" s="3" t="s">
        <v>46535</v>
      </c>
      <c r="S4885" s="4">
        <v>12</v>
      </c>
      <c r="T4885" s="4">
        <v>12</v>
      </c>
      <c r="U4885" s="5" t="s">
        <v>4876</v>
      </c>
      <c r="V4885" s="5" t="s">
        <v>4876</v>
      </c>
      <c r="W4885" s="5" t="s">
        <v>67</v>
      </c>
      <c r="X4885" s="5" t="s">
        <v>67</v>
      </c>
      <c r="Y4885" s="4">
        <v>442</v>
      </c>
      <c r="Z4885" s="4">
        <v>29</v>
      </c>
      <c r="AA4885" s="4">
        <v>35</v>
      </c>
      <c r="AB4885" s="4">
        <v>2</v>
      </c>
      <c r="AC4885" s="4">
        <v>7</v>
      </c>
      <c r="AD4885" s="4">
        <v>67</v>
      </c>
      <c r="AE4885" s="4">
        <v>72</v>
      </c>
      <c r="AF4885" s="4">
        <v>1</v>
      </c>
      <c r="AG4885" s="4">
        <v>5</v>
      </c>
      <c r="AH4885" s="4">
        <v>53</v>
      </c>
      <c r="AI4885" s="4">
        <v>54</v>
      </c>
      <c r="AJ4885" s="4">
        <v>15</v>
      </c>
      <c r="AK4885" s="4">
        <v>19</v>
      </c>
      <c r="AL4885" s="4">
        <v>19</v>
      </c>
      <c r="AM4885" s="4">
        <v>19</v>
      </c>
      <c r="AN4885" s="4">
        <v>0</v>
      </c>
      <c r="AO4885" s="4">
        <v>0</v>
      </c>
      <c r="AP4885" s="4">
        <v>23</v>
      </c>
      <c r="AQ4885" s="4">
        <v>27</v>
      </c>
      <c r="AR4885" s="3" t="s">
        <v>62</v>
      </c>
      <c r="AS4885" s="3" t="s">
        <v>62</v>
      </c>
      <c r="AT4885" s="3" t="s">
        <v>62</v>
      </c>
      <c r="AV4885" s="6" t="str">
        <f>HYPERLINK("http://mcgill.on.worldcat.org/oclc/52514367","Catalog Record")</f>
        <v>Catalog Record</v>
      </c>
      <c r="AW4885" s="6" t="str">
        <f>HYPERLINK("http://www.worldcat.org/oclc/52514367","WorldCat Record")</f>
        <v>WorldCat Record</v>
      </c>
      <c r="AX4885" s="3" t="s">
        <v>46992</v>
      </c>
      <c r="AY4885" s="3" t="s">
        <v>46993</v>
      </c>
      <c r="AZ4885" s="3" t="s">
        <v>46994</v>
      </c>
      <c r="BA4885" s="3" t="s">
        <v>46994</v>
      </c>
      <c r="BB4885" s="3" t="s">
        <v>46995</v>
      </c>
      <c r="BC4885" s="3" t="s">
        <v>102</v>
      </c>
      <c r="BD4885" s="3" t="s">
        <v>68</v>
      </c>
      <c r="BE4885" s="3" t="s">
        <v>46996</v>
      </c>
      <c r="BF4885" s="3" t="s">
        <v>46995</v>
      </c>
      <c r="BG4885" s="3" t="s">
        <v>46997</v>
      </c>
    </row>
    <row r="4886" spans="1:59" ht="58" x14ac:dyDescent="0.35">
      <c r="A4886" s="2" t="s">
        <v>89</v>
      </c>
      <c r="B4886" s="2" t="s">
        <v>90</v>
      </c>
      <c r="C4886" s="2" t="s">
        <v>46998</v>
      </c>
      <c r="D4886" s="2" t="s">
        <v>46999</v>
      </c>
      <c r="E4886" s="2" t="s">
        <v>47000</v>
      </c>
      <c r="G4886" s="3" t="s">
        <v>62</v>
      </c>
      <c r="I4886" s="3" t="s">
        <v>62</v>
      </c>
      <c r="J4886" s="3" t="s">
        <v>62</v>
      </c>
      <c r="K4886" s="3" t="s">
        <v>63</v>
      </c>
      <c r="L4886" s="2" t="s">
        <v>47001</v>
      </c>
      <c r="M4886" s="2" t="s">
        <v>47002</v>
      </c>
      <c r="N4886" s="3" t="s">
        <v>596</v>
      </c>
      <c r="P4886" s="3" t="s">
        <v>64</v>
      </c>
      <c r="R4886" s="3" t="s">
        <v>46535</v>
      </c>
      <c r="S4886" s="4">
        <v>17</v>
      </c>
      <c r="T4886" s="4">
        <v>17</v>
      </c>
      <c r="U4886" s="5" t="s">
        <v>23153</v>
      </c>
      <c r="V4886" s="5" t="s">
        <v>23153</v>
      </c>
      <c r="W4886" s="5" t="s">
        <v>67</v>
      </c>
      <c r="X4886" s="5" t="s">
        <v>67</v>
      </c>
      <c r="Y4886" s="4">
        <v>896</v>
      </c>
      <c r="Z4886" s="4">
        <v>29</v>
      </c>
      <c r="AA4886" s="4">
        <v>40</v>
      </c>
      <c r="AB4886" s="4">
        <v>2</v>
      </c>
      <c r="AC4886" s="4">
        <v>7</v>
      </c>
      <c r="AD4886" s="4">
        <v>98</v>
      </c>
      <c r="AE4886" s="4">
        <v>105</v>
      </c>
      <c r="AF4886" s="4">
        <v>0</v>
      </c>
      <c r="AG4886" s="4">
        <v>2</v>
      </c>
      <c r="AH4886" s="4">
        <v>91</v>
      </c>
      <c r="AI4886" s="4">
        <v>96</v>
      </c>
      <c r="AJ4886" s="4">
        <v>10</v>
      </c>
      <c r="AK4886" s="4">
        <v>13</v>
      </c>
      <c r="AL4886" s="4">
        <v>51</v>
      </c>
      <c r="AM4886" s="4">
        <v>52</v>
      </c>
      <c r="AN4886" s="4">
        <v>0</v>
      </c>
      <c r="AO4886" s="4">
        <v>0</v>
      </c>
      <c r="AP4886" s="4">
        <v>13</v>
      </c>
      <c r="AQ4886" s="4">
        <v>17</v>
      </c>
      <c r="AR4886" s="3" t="s">
        <v>62</v>
      </c>
      <c r="AS4886" s="3" t="s">
        <v>62</v>
      </c>
      <c r="AT4886" s="3" t="s">
        <v>62</v>
      </c>
      <c r="AV4886" s="6" t="str">
        <f>HYPERLINK("http://mcgill.on.worldcat.org/oclc/49639058","Catalog Record")</f>
        <v>Catalog Record</v>
      </c>
      <c r="AW4886" s="6" t="str">
        <f>HYPERLINK("http://www.worldcat.org/oclc/49639058","WorldCat Record")</f>
        <v>WorldCat Record</v>
      </c>
      <c r="AX4886" s="3" t="s">
        <v>47003</v>
      </c>
      <c r="AY4886" s="3" t="s">
        <v>47004</v>
      </c>
      <c r="AZ4886" s="3" t="s">
        <v>47005</v>
      </c>
      <c r="BA4886" s="3" t="s">
        <v>47005</v>
      </c>
      <c r="BB4886" s="3" t="s">
        <v>47006</v>
      </c>
      <c r="BC4886" s="3" t="s">
        <v>102</v>
      </c>
      <c r="BD4886" s="3" t="s">
        <v>68</v>
      </c>
      <c r="BE4886" s="3" t="s">
        <v>47007</v>
      </c>
      <c r="BF4886" s="3" t="s">
        <v>47006</v>
      </c>
      <c r="BG4886" s="3" t="s">
        <v>47008</v>
      </c>
    </row>
    <row r="4887" spans="1:59" ht="58" x14ac:dyDescent="0.35">
      <c r="A4887" s="2" t="s">
        <v>89</v>
      </c>
      <c r="B4887" s="2" t="s">
        <v>90</v>
      </c>
      <c r="C4887" s="2" t="s">
        <v>47009</v>
      </c>
      <c r="D4887" s="2" t="s">
        <v>47010</v>
      </c>
      <c r="E4887" s="2" t="s">
        <v>47011</v>
      </c>
      <c r="G4887" s="3" t="s">
        <v>62</v>
      </c>
      <c r="I4887" s="3" t="s">
        <v>62</v>
      </c>
      <c r="J4887" s="3" t="s">
        <v>62</v>
      </c>
      <c r="K4887" s="3" t="s">
        <v>63</v>
      </c>
      <c r="M4887" s="2" t="s">
        <v>47012</v>
      </c>
      <c r="N4887" s="3" t="s">
        <v>481</v>
      </c>
      <c r="O4887" s="2" t="s">
        <v>2986</v>
      </c>
      <c r="P4887" s="3" t="s">
        <v>64</v>
      </c>
      <c r="Q4887" s="2" t="s">
        <v>47013</v>
      </c>
      <c r="R4887" s="3" t="s">
        <v>46535</v>
      </c>
      <c r="S4887" s="4">
        <v>14</v>
      </c>
      <c r="T4887" s="4">
        <v>14</v>
      </c>
      <c r="U4887" s="5" t="s">
        <v>25864</v>
      </c>
      <c r="V4887" s="5" t="s">
        <v>25864</v>
      </c>
      <c r="W4887" s="5" t="s">
        <v>67</v>
      </c>
      <c r="X4887" s="5" t="s">
        <v>67</v>
      </c>
      <c r="Y4887" s="4">
        <v>18</v>
      </c>
      <c r="Z4887" s="4">
        <v>2</v>
      </c>
      <c r="AA4887" s="4">
        <v>2</v>
      </c>
      <c r="AB4887" s="4">
        <v>2</v>
      </c>
      <c r="AC4887" s="4">
        <v>2</v>
      </c>
      <c r="AD4887" s="4">
        <v>3</v>
      </c>
      <c r="AE4887" s="4">
        <v>3</v>
      </c>
      <c r="AF4887" s="4">
        <v>0</v>
      </c>
      <c r="AG4887" s="4">
        <v>0</v>
      </c>
      <c r="AH4887" s="4">
        <v>3</v>
      </c>
      <c r="AI4887" s="4">
        <v>3</v>
      </c>
      <c r="AJ4887" s="4">
        <v>0</v>
      </c>
      <c r="AK4887" s="4">
        <v>0</v>
      </c>
      <c r="AL4887" s="4">
        <v>1</v>
      </c>
      <c r="AM4887" s="4">
        <v>1</v>
      </c>
      <c r="AN4887" s="4">
        <v>0</v>
      </c>
      <c r="AO4887" s="4">
        <v>0</v>
      </c>
      <c r="AP4887" s="4">
        <v>0</v>
      </c>
      <c r="AQ4887" s="4">
        <v>0</v>
      </c>
      <c r="AR4887" s="3" t="s">
        <v>62</v>
      </c>
      <c r="AS4887" s="3" t="s">
        <v>62</v>
      </c>
      <c r="AT4887" s="3" t="s">
        <v>61</v>
      </c>
      <c r="AU4887" s="6" t="str">
        <f>HYPERLINK("http://catalog.hathitrust.org/Record/007510737","HathiTrust Record")</f>
        <v>HathiTrust Record</v>
      </c>
      <c r="AV4887" s="6" t="str">
        <f>HYPERLINK("http://mcgill.on.worldcat.org/oclc/39736353","Catalog Record")</f>
        <v>Catalog Record</v>
      </c>
      <c r="AW4887" s="6" t="str">
        <f>HYPERLINK("http://www.worldcat.org/oclc/39736353","WorldCat Record")</f>
        <v>WorldCat Record</v>
      </c>
      <c r="AX4887" s="3" t="s">
        <v>47014</v>
      </c>
      <c r="AY4887" s="3" t="s">
        <v>47015</v>
      </c>
      <c r="AZ4887" s="3" t="s">
        <v>47016</v>
      </c>
      <c r="BA4887" s="3" t="s">
        <v>47016</v>
      </c>
      <c r="BB4887" s="3" t="s">
        <v>47017</v>
      </c>
      <c r="BC4887" s="3" t="s">
        <v>102</v>
      </c>
      <c r="BD4887" s="3" t="s">
        <v>68</v>
      </c>
      <c r="BF4887" s="3" t="s">
        <v>47017</v>
      </c>
      <c r="BG4887" s="3" t="s">
        <v>47018</v>
      </c>
    </row>
    <row r="4888" spans="1:59" ht="72.5" x14ac:dyDescent="0.35">
      <c r="A4888" s="2" t="s">
        <v>89</v>
      </c>
      <c r="B4888" s="2" t="s">
        <v>90</v>
      </c>
      <c r="C4888" s="2" t="s">
        <v>47019</v>
      </c>
      <c r="D4888" s="2" t="s">
        <v>47020</v>
      </c>
      <c r="E4888" s="2" t="s">
        <v>47021</v>
      </c>
      <c r="G4888" s="3" t="s">
        <v>62</v>
      </c>
      <c r="I4888" s="3" t="s">
        <v>62</v>
      </c>
      <c r="J4888" s="3" t="s">
        <v>62</v>
      </c>
      <c r="K4888" s="3" t="s">
        <v>63</v>
      </c>
      <c r="M4888" s="2" t="s">
        <v>47022</v>
      </c>
      <c r="N4888" s="3" t="s">
        <v>539</v>
      </c>
      <c r="O4888" s="2" t="s">
        <v>47023</v>
      </c>
      <c r="P4888" s="3" t="s">
        <v>64</v>
      </c>
      <c r="Q4888" s="2" t="s">
        <v>47024</v>
      </c>
      <c r="R4888" s="3" t="s">
        <v>46535</v>
      </c>
      <c r="S4888" s="4">
        <v>5</v>
      </c>
      <c r="T4888" s="4">
        <v>5</v>
      </c>
      <c r="U4888" s="5" t="s">
        <v>97</v>
      </c>
      <c r="V4888" s="5" t="s">
        <v>97</v>
      </c>
      <c r="W4888" s="5" t="s">
        <v>67</v>
      </c>
      <c r="X4888" s="5" t="s">
        <v>67</v>
      </c>
      <c r="Y4888" s="4">
        <v>4</v>
      </c>
      <c r="Z4888" s="4">
        <v>2</v>
      </c>
      <c r="AA4888" s="4">
        <v>2</v>
      </c>
      <c r="AB4888" s="4">
        <v>2</v>
      </c>
      <c r="AC4888" s="4">
        <v>2</v>
      </c>
      <c r="AD4888" s="4">
        <v>0</v>
      </c>
      <c r="AE4888" s="4">
        <v>0</v>
      </c>
      <c r="AF4888" s="4">
        <v>0</v>
      </c>
      <c r="AG4888" s="4">
        <v>0</v>
      </c>
      <c r="AH4888" s="4">
        <v>0</v>
      </c>
      <c r="AI4888" s="4">
        <v>0</v>
      </c>
      <c r="AJ4888" s="4">
        <v>0</v>
      </c>
      <c r="AK4888" s="4">
        <v>0</v>
      </c>
      <c r="AL4888" s="4">
        <v>0</v>
      </c>
      <c r="AM4888" s="4">
        <v>0</v>
      </c>
      <c r="AN4888" s="4">
        <v>0</v>
      </c>
      <c r="AO4888" s="4">
        <v>0</v>
      </c>
      <c r="AP4888" s="4">
        <v>0</v>
      </c>
      <c r="AQ4888" s="4">
        <v>0</v>
      </c>
      <c r="AR4888" s="3" t="s">
        <v>62</v>
      </c>
      <c r="AS4888" s="3" t="s">
        <v>62</v>
      </c>
      <c r="AT4888" s="3" t="s">
        <v>62</v>
      </c>
      <c r="AV4888" s="6" t="str">
        <f>HYPERLINK("http://mcgill.on.worldcat.org/oclc/68045664","Catalog Record")</f>
        <v>Catalog Record</v>
      </c>
      <c r="AW4888" s="6" t="str">
        <f>HYPERLINK("http://www.worldcat.org/oclc/68045664","WorldCat Record")</f>
        <v>WorldCat Record</v>
      </c>
      <c r="AX4888" s="3" t="s">
        <v>47025</v>
      </c>
      <c r="AY4888" s="3" t="s">
        <v>47026</v>
      </c>
      <c r="AZ4888" s="3" t="s">
        <v>47027</v>
      </c>
      <c r="BA4888" s="3" t="s">
        <v>47027</v>
      </c>
      <c r="BB4888" s="3" t="s">
        <v>47028</v>
      </c>
      <c r="BC4888" s="3" t="s">
        <v>102</v>
      </c>
      <c r="BD4888" s="3" t="s">
        <v>68</v>
      </c>
      <c r="BF4888" s="3" t="s">
        <v>47028</v>
      </c>
      <c r="BG4888" s="3" t="s">
        <v>47029</v>
      </c>
    </row>
    <row r="4889" spans="1:59" ht="58" x14ac:dyDescent="0.35">
      <c r="A4889" s="2" t="s">
        <v>89</v>
      </c>
      <c r="B4889" s="2" t="s">
        <v>90</v>
      </c>
      <c r="C4889" s="2" t="s">
        <v>47030</v>
      </c>
      <c r="D4889" s="2" t="s">
        <v>47031</v>
      </c>
      <c r="E4889" s="2" t="s">
        <v>47032</v>
      </c>
      <c r="G4889" s="3" t="s">
        <v>62</v>
      </c>
      <c r="I4889" s="3" t="s">
        <v>62</v>
      </c>
      <c r="J4889" s="3" t="s">
        <v>61</v>
      </c>
      <c r="K4889" s="3" t="s">
        <v>63</v>
      </c>
      <c r="L4889" s="2" t="s">
        <v>47033</v>
      </c>
      <c r="M4889" s="2" t="s">
        <v>47034</v>
      </c>
      <c r="N4889" s="3" t="s">
        <v>396</v>
      </c>
      <c r="O4889" s="2" t="s">
        <v>10722</v>
      </c>
      <c r="P4889" s="3" t="s">
        <v>64</v>
      </c>
      <c r="Q4889" s="2" t="s">
        <v>47035</v>
      </c>
      <c r="R4889" s="3" t="s">
        <v>46535</v>
      </c>
      <c r="S4889" s="4">
        <v>5</v>
      </c>
      <c r="T4889" s="4">
        <v>5</v>
      </c>
      <c r="U4889" s="5" t="s">
        <v>19689</v>
      </c>
      <c r="V4889" s="5" t="s">
        <v>19689</v>
      </c>
      <c r="W4889" s="5" t="s">
        <v>67</v>
      </c>
      <c r="X4889" s="5" t="s">
        <v>67</v>
      </c>
      <c r="Y4889" s="4">
        <v>273</v>
      </c>
      <c r="Z4889" s="4">
        <v>15</v>
      </c>
      <c r="AA4889" s="4">
        <v>47</v>
      </c>
      <c r="AB4889" s="4">
        <v>2</v>
      </c>
      <c r="AC4889" s="4">
        <v>9</v>
      </c>
      <c r="AD4889" s="4">
        <v>81</v>
      </c>
      <c r="AE4889" s="4">
        <v>137</v>
      </c>
      <c r="AF4889" s="4">
        <v>0</v>
      </c>
      <c r="AG4889" s="4">
        <v>4</v>
      </c>
      <c r="AH4889" s="4">
        <v>73</v>
      </c>
      <c r="AI4889" s="4">
        <v>111</v>
      </c>
      <c r="AJ4889" s="4">
        <v>9</v>
      </c>
      <c r="AK4889" s="4">
        <v>26</v>
      </c>
      <c r="AL4889" s="4">
        <v>39</v>
      </c>
      <c r="AM4889" s="4">
        <v>58</v>
      </c>
      <c r="AN4889" s="4">
        <v>5</v>
      </c>
      <c r="AO4889" s="4">
        <v>7</v>
      </c>
      <c r="AP4889" s="4">
        <v>10</v>
      </c>
      <c r="AQ4889" s="4">
        <v>33</v>
      </c>
      <c r="AR4889" s="3" t="s">
        <v>62</v>
      </c>
      <c r="AS4889" s="3" t="s">
        <v>62</v>
      </c>
      <c r="AT4889" s="3" t="s">
        <v>61</v>
      </c>
      <c r="AU4889" s="6" t="str">
        <f>HYPERLINK("http://catalog.hathitrust.org/Record/000656696","HathiTrust Record")</f>
        <v>HathiTrust Record</v>
      </c>
      <c r="AV4889" s="6" t="str">
        <f>HYPERLINK("http://mcgill.on.worldcat.org/oclc/13665442","Catalog Record")</f>
        <v>Catalog Record</v>
      </c>
      <c r="AW4889" s="6" t="str">
        <f>HYPERLINK("http://www.worldcat.org/oclc/13665442","WorldCat Record")</f>
        <v>WorldCat Record</v>
      </c>
      <c r="AX4889" s="3" t="s">
        <v>47036</v>
      </c>
      <c r="AY4889" s="3" t="s">
        <v>47037</v>
      </c>
      <c r="AZ4889" s="3" t="s">
        <v>47038</v>
      </c>
      <c r="BA4889" s="3" t="s">
        <v>47038</v>
      </c>
      <c r="BB4889" s="3" t="s">
        <v>47039</v>
      </c>
      <c r="BC4889" s="3" t="s">
        <v>102</v>
      </c>
      <c r="BD4889" s="3" t="s">
        <v>68</v>
      </c>
      <c r="BE4889" s="3" t="s">
        <v>47040</v>
      </c>
      <c r="BF4889" s="3" t="s">
        <v>47039</v>
      </c>
      <c r="BG4889" s="3" t="s">
        <v>47041</v>
      </c>
    </row>
    <row r="4890" spans="1:59" ht="58" x14ac:dyDescent="0.35">
      <c r="A4890" s="2" t="s">
        <v>59</v>
      </c>
      <c r="B4890" s="2" t="s">
        <v>60</v>
      </c>
      <c r="C4890" s="2" t="s">
        <v>47042</v>
      </c>
      <c r="D4890" s="2" t="s">
        <v>47043</v>
      </c>
      <c r="E4890" s="2" t="s">
        <v>47044</v>
      </c>
      <c r="G4890" s="3" t="s">
        <v>62</v>
      </c>
      <c r="I4890" s="3" t="s">
        <v>61</v>
      </c>
      <c r="J4890" s="3" t="s">
        <v>62</v>
      </c>
      <c r="K4890" s="3" t="s">
        <v>63</v>
      </c>
      <c r="L4890" s="2" t="s">
        <v>47045</v>
      </c>
      <c r="M4890" s="2" t="s">
        <v>47046</v>
      </c>
      <c r="N4890" s="3" t="s">
        <v>838</v>
      </c>
      <c r="O4890" s="2" t="s">
        <v>47047</v>
      </c>
      <c r="P4890" s="3" t="s">
        <v>64</v>
      </c>
      <c r="R4890" s="3" t="s">
        <v>46535</v>
      </c>
      <c r="S4890" s="4">
        <v>0</v>
      </c>
      <c r="T4890" s="4">
        <v>1</v>
      </c>
      <c r="V4890" s="5" t="s">
        <v>2714</v>
      </c>
      <c r="W4890" s="5" t="s">
        <v>67</v>
      </c>
      <c r="X4890" s="5" t="s">
        <v>67</v>
      </c>
      <c r="Y4890" s="4">
        <v>259</v>
      </c>
      <c r="Z4890" s="4">
        <v>21</v>
      </c>
      <c r="AA4890" s="4">
        <v>31</v>
      </c>
      <c r="AB4890" s="4">
        <v>3</v>
      </c>
      <c r="AC4890" s="4">
        <v>5</v>
      </c>
      <c r="AD4890" s="4">
        <v>76</v>
      </c>
      <c r="AE4890" s="4">
        <v>89</v>
      </c>
      <c r="AF4890" s="4">
        <v>1</v>
      </c>
      <c r="AG4890" s="4">
        <v>3</v>
      </c>
      <c r="AH4890" s="4">
        <v>63</v>
      </c>
      <c r="AI4890" s="4">
        <v>72</v>
      </c>
      <c r="AJ4890" s="4">
        <v>12</v>
      </c>
      <c r="AK4890" s="4">
        <v>18</v>
      </c>
      <c r="AL4890" s="4">
        <v>34</v>
      </c>
      <c r="AM4890" s="4">
        <v>37</v>
      </c>
      <c r="AN4890" s="4">
        <v>0</v>
      </c>
      <c r="AO4890" s="4">
        <v>0</v>
      </c>
      <c r="AP4890" s="4">
        <v>19</v>
      </c>
      <c r="AQ4890" s="4">
        <v>26</v>
      </c>
      <c r="AR4890" s="3" t="s">
        <v>62</v>
      </c>
      <c r="AS4890" s="3" t="s">
        <v>62</v>
      </c>
      <c r="AT4890" s="3" t="s">
        <v>61</v>
      </c>
      <c r="AU4890" s="6" t="str">
        <f>HYPERLINK("http://catalog.hathitrust.org/Record/001553508","HathiTrust Record")</f>
        <v>HathiTrust Record</v>
      </c>
      <c r="AV4890" s="6" t="str">
        <f>HYPERLINK("http://mcgill.on.worldcat.org/oclc/1563395","Catalog Record")</f>
        <v>Catalog Record</v>
      </c>
      <c r="AW4890" s="6" t="str">
        <f>HYPERLINK("http://www.worldcat.org/oclc/1563395","WorldCat Record")</f>
        <v>WorldCat Record</v>
      </c>
      <c r="AX4890" s="3" t="s">
        <v>47048</v>
      </c>
      <c r="AY4890" s="3" t="s">
        <v>47049</v>
      </c>
      <c r="AZ4890" s="3" t="s">
        <v>47050</v>
      </c>
      <c r="BA4890" s="3" t="s">
        <v>47050</v>
      </c>
      <c r="BB4890" s="3" t="s">
        <v>47051</v>
      </c>
      <c r="BC4890" s="3" t="s">
        <v>102</v>
      </c>
      <c r="BD4890" s="3" t="s">
        <v>68</v>
      </c>
      <c r="BF4890" s="3" t="s">
        <v>47051</v>
      </c>
      <c r="BG4890" s="3" t="s">
        <v>47052</v>
      </c>
    </row>
    <row r="4891" spans="1:59" ht="58" x14ac:dyDescent="0.35">
      <c r="A4891" s="2" t="s">
        <v>89</v>
      </c>
      <c r="B4891" s="2" t="s">
        <v>90</v>
      </c>
      <c r="C4891" s="2" t="s">
        <v>47053</v>
      </c>
      <c r="D4891" s="2" t="s">
        <v>47054</v>
      </c>
      <c r="E4891" s="2" t="s">
        <v>47055</v>
      </c>
      <c r="G4891" s="3" t="s">
        <v>62</v>
      </c>
      <c r="I4891" s="3" t="s">
        <v>62</v>
      </c>
      <c r="J4891" s="3" t="s">
        <v>62</v>
      </c>
      <c r="K4891" s="3" t="s">
        <v>63</v>
      </c>
      <c r="L4891" s="2" t="s">
        <v>47056</v>
      </c>
      <c r="M4891" s="2" t="s">
        <v>47057</v>
      </c>
      <c r="N4891" s="3" t="s">
        <v>481</v>
      </c>
      <c r="P4891" s="3" t="s">
        <v>64</v>
      </c>
      <c r="R4891" s="3" t="s">
        <v>46535</v>
      </c>
      <c r="S4891" s="4">
        <v>9</v>
      </c>
      <c r="T4891" s="4">
        <v>9</v>
      </c>
      <c r="U4891" s="5" t="s">
        <v>18125</v>
      </c>
      <c r="V4891" s="5" t="s">
        <v>18125</v>
      </c>
      <c r="W4891" s="5" t="s">
        <v>67</v>
      </c>
      <c r="X4891" s="5" t="s">
        <v>67</v>
      </c>
      <c r="Y4891" s="4">
        <v>617</v>
      </c>
      <c r="Z4891" s="4">
        <v>46</v>
      </c>
      <c r="AA4891" s="4">
        <v>54</v>
      </c>
      <c r="AB4891" s="4">
        <v>1</v>
      </c>
      <c r="AC4891" s="4">
        <v>8</v>
      </c>
      <c r="AD4891" s="4">
        <v>99</v>
      </c>
      <c r="AE4891" s="4">
        <v>104</v>
      </c>
      <c r="AF4891" s="4">
        <v>0</v>
      </c>
      <c r="AG4891" s="4">
        <v>4</v>
      </c>
      <c r="AH4891" s="4">
        <v>76</v>
      </c>
      <c r="AI4891" s="4">
        <v>77</v>
      </c>
      <c r="AJ4891" s="4">
        <v>20</v>
      </c>
      <c r="AK4891" s="4">
        <v>24</v>
      </c>
      <c r="AL4891" s="4">
        <v>36</v>
      </c>
      <c r="AM4891" s="4">
        <v>36</v>
      </c>
      <c r="AN4891" s="4">
        <v>0</v>
      </c>
      <c r="AO4891" s="4">
        <v>0</v>
      </c>
      <c r="AP4891" s="4">
        <v>33</v>
      </c>
      <c r="AQ4891" s="4">
        <v>37</v>
      </c>
      <c r="AR4891" s="3" t="s">
        <v>62</v>
      </c>
      <c r="AS4891" s="3" t="s">
        <v>62</v>
      </c>
      <c r="AT4891" s="3" t="s">
        <v>61</v>
      </c>
      <c r="AU4891" s="6" t="str">
        <f>HYPERLINK("http://catalog.hathitrust.org/Record/003140223","HathiTrust Record")</f>
        <v>HathiTrust Record</v>
      </c>
      <c r="AV4891" s="6" t="str">
        <f>HYPERLINK("http://mcgill.on.worldcat.org/oclc/35593580","Catalog Record")</f>
        <v>Catalog Record</v>
      </c>
      <c r="AW4891" s="6" t="str">
        <f>HYPERLINK("http://www.worldcat.org/oclc/35593580","WorldCat Record")</f>
        <v>WorldCat Record</v>
      </c>
      <c r="AX4891" s="3" t="s">
        <v>47058</v>
      </c>
      <c r="AY4891" s="3" t="s">
        <v>47059</v>
      </c>
      <c r="AZ4891" s="3" t="s">
        <v>47060</v>
      </c>
      <c r="BA4891" s="3" t="s">
        <v>47060</v>
      </c>
      <c r="BB4891" s="3" t="s">
        <v>47061</v>
      </c>
      <c r="BC4891" s="3" t="s">
        <v>102</v>
      </c>
      <c r="BD4891" s="3" t="s">
        <v>68</v>
      </c>
      <c r="BE4891" s="3" t="s">
        <v>47062</v>
      </c>
      <c r="BF4891" s="3" t="s">
        <v>47061</v>
      </c>
      <c r="BG4891" s="3" t="s">
        <v>47063</v>
      </c>
    </row>
    <row r="4892" spans="1:59" ht="58" x14ac:dyDescent="0.35">
      <c r="A4892" s="2" t="s">
        <v>89</v>
      </c>
      <c r="B4892" s="2" t="s">
        <v>90</v>
      </c>
      <c r="C4892" s="2" t="s">
        <v>47064</v>
      </c>
      <c r="D4892" s="2" t="s">
        <v>47065</v>
      </c>
      <c r="E4892" s="2" t="s">
        <v>47066</v>
      </c>
      <c r="G4892" s="3" t="s">
        <v>62</v>
      </c>
      <c r="H4892" s="3" t="s">
        <v>916</v>
      </c>
      <c r="I4892" s="3" t="s">
        <v>62</v>
      </c>
      <c r="J4892" s="3" t="s">
        <v>62</v>
      </c>
      <c r="K4892" s="3" t="s">
        <v>63</v>
      </c>
      <c r="L4892" s="2" t="s">
        <v>47067</v>
      </c>
      <c r="M4892" s="2" t="s">
        <v>47068</v>
      </c>
      <c r="N4892" s="3" t="s">
        <v>712</v>
      </c>
      <c r="P4892" s="3" t="s">
        <v>64</v>
      </c>
      <c r="R4892" s="3" t="s">
        <v>46535</v>
      </c>
      <c r="S4892" s="4">
        <v>2</v>
      </c>
      <c r="T4892" s="4">
        <v>2</v>
      </c>
      <c r="W4892" s="5" t="s">
        <v>16936</v>
      </c>
      <c r="X4892" s="5" t="s">
        <v>16936</v>
      </c>
      <c r="Y4892" s="4">
        <v>8</v>
      </c>
      <c r="Z4892" s="4">
        <v>1</v>
      </c>
      <c r="AA4892" s="4">
        <v>1</v>
      </c>
      <c r="AB4892" s="4">
        <v>1</v>
      </c>
      <c r="AC4892" s="4">
        <v>1</v>
      </c>
      <c r="AD4892" s="4">
        <v>1</v>
      </c>
      <c r="AE4892" s="4">
        <v>1</v>
      </c>
      <c r="AF4892" s="4">
        <v>0</v>
      </c>
      <c r="AG4892" s="4">
        <v>0</v>
      </c>
      <c r="AH4892" s="4">
        <v>1</v>
      </c>
      <c r="AI4892" s="4">
        <v>1</v>
      </c>
      <c r="AJ4892" s="4">
        <v>0</v>
      </c>
      <c r="AK4892" s="4">
        <v>0</v>
      </c>
      <c r="AL4892" s="4">
        <v>1</v>
      </c>
      <c r="AM4892" s="4">
        <v>1</v>
      </c>
      <c r="AN4892" s="4">
        <v>0</v>
      </c>
      <c r="AO4892" s="4">
        <v>0</v>
      </c>
      <c r="AP4892" s="4">
        <v>0</v>
      </c>
      <c r="AQ4892" s="4">
        <v>0</v>
      </c>
      <c r="AR4892" s="3" t="s">
        <v>62</v>
      </c>
      <c r="AS4892" s="3" t="s">
        <v>62</v>
      </c>
      <c r="AT4892" s="3" t="s">
        <v>62</v>
      </c>
      <c r="AV4892" s="6" t="str">
        <f>HYPERLINK("http://mcgill.on.worldcat.org/oclc/910560748","Catalog Record")</f>
        <v>Catalog Record</v>
      </c>
      <c r="AW4892" s="6" t="str">
        <f>HYPERLINK("http://www.worldcat.org/oclc/910560748","WorldCat Record")</f>
        <v>WorldCat Record</v>
      </c>
      <c r="AX4892" s="3" t="s">
        <v>47069</v>
      </c>
      <c r="AY4892" s="3" t="s">
        <v>47070</v>
      </c>
      <c r="AZ4892" s="3" t="s">
        <v>47071</v>
      </c>
      <c r="BA4892" s="3" t="s">
        <v>47071</v>
      </c>
      <c r="BB4892" s="3" t="s">
        <v>47072</v>
      </c>
      <c r="BC4892" s="3" t="s">
        <v>102</v>
      </c>
      <c r="BD4892" s="3" t="s">
        <v>231</v>
      </c>
      <c r="BE4892" s="3" t="s">
        <v>47073</v>
      </c>
      <c r="BF4892" s="3" t="s">
        <v>47072</v>
      </c>
      <c r="BG4892" s="3" t="s">
        <v>47074</v>
      </c>
    </row>
    <row r="4893" spans="1:59" ht="58" x14ac:dyDescent="0.35">
      <c r="A4893" s="2" t="s">
        <v>59</v>
      </c>
      <c r="B4893" s="2" t="s">
        <v>60</v>
      </c>
      <c r="C4893" s="2" t="s">
        <v>47075</v>
      </c>
      <c r="D4893" s="2" t="s">
        <v>47076</v>
      </c>
      <c r="E4893" s="2" t="s">
        <v>47077</v>
      </c>
      <c r="G4893" s="3" t="s">
        <v>62</v>
      </c>
      <c r="I4893" s="3" t="s">
        <v>62</v>
      </c>
      <c r="J4893" s="3" t="s">
        <v>62</v>
      </c>
      <c r="K4893" s="3" t="s">
        <v>63</v>
      </c>
      <c r="L4893" s="2" t="s">
        <v>47078</v>
      </c>
      <c r="M4893" s="2" t="s">
        <v>47079</v>
      </c>
      <c r="N4893" s="3" t="s">
        <v>1305</v>
      </c>
      <c r="P4893" s="3" t="s">
        <v>64</v>
      </c>
      <c r="R4893" s="3" t="s">
        <v>46535</v>
      </c>
      <c r="S4893" s="4">
        <v>1</v>
      </c>
      <c r="T4893" s="4">
        <v>1</v>
      </c>
      <c r="U4893" s="5" t="s">
        <v>2388</v>
      </c>
      <c r="V4893" s="5" t="s">
        <v>2388</v>
      </c>
      <c r="W4893" s="5" t="s">
        <v>67</v>
      </c>
      <c r="X4893" s="5" t="s">
        <v>67</v>
      </c>
      <c r="Y4893" s="4">
        <v>155</v>
      </c>
      <c r="Z4893" s="4">
        <v>6</v>
      </c>
      <c r="AA4893" s="4">
        <v>8</v>
      </c>
      <c r="AB4893" s="4">
        <v>0</v>
      </c>
      <c r="AC4893" s="4">
        <v>1</v>
      </c>
      <c r="AD4893" s="4">
        <v>64</v>
      </c>
      <c r="AE4893" s="4">
        <v>66</v>
      </c>
      <c r="AF4893" s="4">
        <v>0</v>
      </c>
      <c r="AG4893" s="4">
        <v>0</v>
      </c>
      <c r="AH4893" s="4">
        <v>64</v>
      </c>
      <c r="AI4893" s="4">
        <v>66</v>
      </c>
      <c r="AJ4893" s="4">
        <v>5</v>
      </c>
      <c r="AK4893" s="4">
        <v>6</v>
      </c>
      <c r="AL4893" s="4">
        <v>38</v>
      </c>
      <c r="AM4893" s="4">
        <v>39</v>
      </c>
      <c r="AN4893" s="4">
        <v>0</v>
      </c>
      <c r="AO4893" s="4">
        <v>0</v>
      </c>
      <c r="AP4893" s="4">
        <v>5</v>
      </c>
      <c r="AQ4893" s="4">
        <v>6</v>
      </c>
      <c r="AR4893" s="3" t="s">
        <v>62</v>
      </c>
      <c r="AS4893" s="3" t="s">
        <v>62</v>
      </c>
      <c r="AT4893" s="3" t="s">
        <v>61</v>
      </c>
      <c r="AU4893" s="6" t="str">
        <f>HYPERLINK("http://catalog.hathitrust.org/Record/001587275","HathiTrust Record")</f>
        <v>HathiTrust Record</v>
      </c>
      <c r="AV4893" s="6" t="str">
        <f>HYPERLINK("http://mcgill.on.worldcat.org/oclc/988393","Catalog Record")</f>
        <v>Catalog Record</v>
      </c>
      <c r="AW4893" s="6" t="str">
        <f>HYPERLINK("http://www.worldcat.org/oclc/988393","WorldCat Record")</f>
        <v>WorldCat Record</v>
      </c>
      <c r="AX4893" s="3" t="s">
        <v>47080</v>
      </c>
      <c r="AY4893" s="3" t="s">
        <v>47081</v>
      </c>
      <c r="AZ4893" s="3" t="s">
        <v>47082</v>
      </c>
      <c r="BA4893" s="3" t="s">
        <v>47082</v>
      </c>
      <c r="BB4893" s="3" t="s">
        <v>47083</v>
      </c>
      <c r="BC4893" s="3" t="s">
        <v>102</v>
      </c>
      <c r="BD4893" s="3" t="s">
        <v>231</v>
      </c>
      <c r="BF4893" s="3" t="s">
        <v>47083</v>
      </c>
      <c r="BG4893" s="3" t="s">
        <v>47084</v>
      </c>
    </row>
    <row r="4894" spans="1:59" ht="58" x14ac:dyDescent="0.35">
      <c r="A4894" s="2" t="s">
        <v>59</v>
      </c>
      <c r="B4894" s="2" t="s">
        <v>60</v>
      </c>
      <c r="C4894" s="2" t="s">
        <v>47085</v>
      </c>
      <c r="D4894" s="2" t="s">
        <v>47086</v>
      </c>
      <c r="E4894" s="2" t="s">
        <v>47087</v>
      </c>
      <c r="G4894" s="3" t="s">
        <v>62</v>
      </c>
      <c r="I4894" s="3" t="s">
        <v>62</v>
      </c>
      <c r="J4894" s="3" t="s">
        <v>62</v>
      </c>
      <c r="K4894" s="3" t="s">
        <v>63</v>
      </c>
      <c r="L4894" s="2" t="s">
        <v>47088</v>
      </c>
      <c r="M4894" s="2" t="s">
        <v>47089</v>
      </c>
      <c r="N4894" s="3" t="s">
        <v>1662</v>
      </c>
      <c r="P4894" s="3" t="s">
        <v>64</v>
      </c>
      <c r="Q4894" s="2" t="s">
        <v>47090</v>
      </c>
      <c r="R4894" s="3" t="s">
        <v>46535</v>
      </c>
      <c r="S4894" s="4">
        <v>1</v>
      </c>
      <c r="T4894" s="4">
        <v>1</v>
      </c>
      <c r="U4894" s="5" t="s">
        <v>2298</v>
      </c>
      <c r="V4894" s="5" t="s">
        <v>2298</v>
      </c>
      <c r="W4894" s="5" t="s">
        <v>67</v>
      </c>
      <c r="X4894" s="5" t="s">
        <v>67</v>
      </c>
      <c r="Y4894" s="4">
        <v>178</v>
      </c>
      <c r="Z4894" s="4">
        <v>16</v>
      </c>
      <c r="AA4894" s="4">
        <v>18</v>
      </c>
      <c r="AB4894" s="4">
        <v>1</v>
      </c>
      <c r="AC4894" s="4">
        <v>2</v>
      </c>
      <c r="AD4894" s="4">
        <v>73</v>
      </c>
      <c r="AE4894" s="4">
        <v>77</v>
      </c>
      <c r="AF4894" s="4">
        <v>0</v>
      </c>
      <c r="AG4894" s="4">
        <v>1</v>
      </c>
      <c r="AH4894" s="4">
        <v>62</v>
      </c>
      <c r="AI4894" s="4">
        <v>64</v>
      </c>
      <c r="AJ4894" s="4">
        <v>12</v>
      </c>
      <c r="AK4894" s="4">
        <v>14</v>
      </c>
      <c r="AL4894" s="4">
        <v>39</v>
      </c>
      <c r="AM4894" s="4">
        <v>40</v>
      </c>
      <c r="AN4894" s="4">
        <v>0</v>
      </c>
      <c r="AO4894" s="4">
        <v>0</v>
      </c>
      <c r="AP4894" s="4">
        <v>13</v>
      </c>
      <c r="AQ4894" s="4">
        <v>14</v>
      </c>
      <c r="AR4894" s="3" t="s">
        <v>62</v>
      </c>
      <c r="AS4894" s="3" t="s">
        <v>62</v>
      </c>
      <c r="AT4894" s="3" t="s">
        <v>61</v>
      </c>
      <c r="AU4894" s="6" t="str">
        <f>HYPERLINK("http://catalog.hathitrust.org/Record/001686544","HathiTrust Record")</f>
        <v>HathiTrust Record</v>
      </c>
      <c r="AV4894" s="6" t="str">
        <f>HYPERLINK("http://mcgill.on.worldcat.org/oclc/976273","Catalog Record")</f>
        <v>Catalog Record</v>
      </c>
      <c r="AW4894" s="6" t="str">
        <f>HYPERLINK("http://www.worldcat.org/oclc/976273","WorldCat Record")</f>
        <v>WorldCat Record</v>
      </c>
      <c r="AX4894" s="3" t="s">
        <v>47091</v>
      </c>
      <c r="AY4894" s="3" t="s">
        <v>47092</v>
      </c>
      <c r="AZ4894" s="3" t="s">
        <v>47093</v>
      </c>
      <c r="BA4894" s="3" t="s">
        <v>47093</v>
      </c>
      <c r="BB4894" s="3" t="s">
        <v>47094</v>
      </c>
      <c r="BC4894" s="3" t="s">
        <v>102</v>
      </c>
      <c r="BD4894" s="3" t="s">
        <v>68</v>
      </c>
      <c r="BF4894" s="3" t="s">
        <v>47094</v>
      </c>
      <c r="BG4894" s="3" t="s">
        <v>47095</v>
      </c>
    </row>
    <row r="4895" spans="1:59" ht="58" x14ac:dyDescent="0.35">
      <c r="A4895" s="2" t="s">
        <v>59</v>
      </c>
      <c r="B4895" s="2" t="s">
        <v>60</v>
      </c>
      <c r="C4895" s="2" t="s">
        <v>47096</v>
      </c>
      <c r="D4895" s="2" t="s">
        <v>47097</v>
      </c>
      <c r="E4895" s="2" t="s">
        <v>47098</v>
      </c>
      <c r="G4895" s="3" t="s">
        <v>62</v>
      </c>
      <c r="I4895" s="3" t="s">
        <v>61</v>
      </c>
      <c r="J4895" s="3" t="s">
        <v>62</v>
      </c>
      <c r="K4895" s="3" t="s">
        <v>63</v>
      </c>
      <c r="L4895" s="2" t="s">
        <v>47099</v>
      </c>
      <c r="M4895" s="2" t="s">
        <v>47100</v>
      </c>
      <c r="N4895" s="3" t="s">
        <v>396</v>
      </c>
      <c r="P4895" s="3" t="s">
        <v>64</v>
      </c>
      <c r="R4895" s="3" t="s">
        <v>46535</v>
      </c>
      <c r="S4895" s="4">
        <v>6</v>
      </c>
      <c r="T4895" s="4">
        <v>30</v>
      </c>
      <c r="U4895" s="5" t="s">
        <v>33395</v>
      </c>
      <c r="V4895" s="5" t="s">
        <v>34940</v>
      </c>
      <c r="W4895" s="5" t="s">
        <v>67</v>
      </c>
      <c r="X4895" s="5" t="s">
        <v>67</v>
      </c>
      <c r="Y4895" s="4">
        <v>772</v>
      </c>
      <c r="Z4895" s="4">
        <v>36</v>
      </c>
      <c r="AA4895" s="4">
        <v>41</v>
      </c>
      <c r="AB4895" s="4">
        <v>3</v>
      </c>
      <c r="AC4895" s="4">
        <v>7</v>
      </c>
      <c r="AD4895" s="4">
        <v>115</v>
      </c>
      <c r="AE4895" s="4">
        <v>117</v>
      </c>
      <c r="AF4895" s="4">
        <v>0</v>
      </c>
      <c r="AG4895" s="4">
        <v>2</v>
      </c>
      <c r="AH4895" s="4">
        <v>97</v>
      </c>
      <c r="AI4895" s="4">
        <v>98</v>
      </c>
      <c r="AJ4895" s="4">
        <v>17</v>
      </c>
      <c r="AK4895" s="4">
        <v>19</v>
      </c>
      <c r="AL4895" s="4">
        <v>51</v>
      </c>
      <c r="AM4895" s="4">
        <v>51</v>
      </c>
      <c r="AN4895" s="4">
        <v>0</v>
      </c>
      <c r="AO4895" s="4">
        <v>0</v>
      </c>
      <c r="AP4895" s="4">
        <v>25</v>
      </c>
      <c r="AQ4895" s="4">
        <v>26</v>
      </c>
      <c r="AR4895" s="3" t="s">
        <v>62</v>
      </c>
      <c r="AS4895" s="3" t="s">
        <v>62</v>
      </c>
      <c r="AT4895" s="3" t="s">
        <v>61</v>
      </c>
      <c r="AU4895" s="6" t="str">
        <f>HYPERLINK("http://catalog.hathitrust.org/Record/000480718","HathiTrust Record")</f>
        <v>HathiTrust Record</v>
      </c>
      <c r="AV4895" s="6" t="str">
        <f>HYPERLINK("http://mcgill.on.worldcat.org/oclc/11842847","Catalog Record")</f>
        <v>Catalog Record</v>
      </c>
      <c r="AW4895" s="6" t="str">
        <f>HYPERLINK("http://www.worldcat.org/oclc/11842847","WorldCat Record")</f>
        <v>WorldCat Record</v>
      </c>
      <c r="AX4895" s="3" t="s">
        <v>47101</v>
      </c>
      <c r="AY4895" s="3" t="s">
        <v>47102</v>
      </c>
      <c r="AZ4895" s="3" t="s">
        <v>47103</v>
      </c>
      <c r="BA4895" s="3" t="s">
        <v>47103</v>
      </c>
      <c r="BB4895" s="3" t="s">
        <v>47104</v>
      </c>
      <c r="BC4895" s="3" t="s">
        <v>102</v>
      </c>
      <c r="BD4895" s="3" t="s">
        <v>68</v>
      </c>
      <c r="BE4895" s="3" t="s">
        <v>47105</v>
      </c>
      <c r="BF4895" s="3" t="s">
        <v>47104</v>
      </c>
      <c r="BG4895" s="3" t="s">
        <v>47106</v>
      </c>
    </row>
    <row r="4896" spans="1:59" ht="58" x14ac:dyDescent="0.35">
      <c r="A4896" s="2" t="s">
        <v>89</v>
      </c>
      <c r="B4896" s="2" t="s">
        <v>90</v>
      </c>
      <c r="C4896" s="2" t="s">
        <v>47107</v>
      </c>
      <c r="D4896" s="2" t="s">
        <v>47108</v>
      </c>
      <c r="E4896" s="2" t="s">
        <v>47109</v>
      </c>
      <c r="G4896" s="3" t="s">
        <v>62</v>
      </c>
      <c r="I4896" s="3" t="s">
        <v>61</v>
      </c>
      <c r="J4896" s="3" t="s">
        <v>62</v>
      </c>
      <c r="K4896" s="3" t="s">
        <v>63</v>
      </c>
      <c r="L4896" s="2" t="s">
        <v>47110</v>
      </c>
      <c r="M4896" s="2" t="s">
        <v>47111</v>
      </c>
      <c r="N4896" s="3" t="s">
        <v>596</v>
      </c>
      <c r="P4896" s="3" t="s">
        <v>64</v>
      </c>
      <c r="Q4896" s="2" t="s">
        <v>47112</v>
      </c>
      <c r="R4896" s="3" t="s">
        <v>46535</v>
      </c>
      <c r="S4896" s="4">
        <v>78</v>
      </c>
      <c r="T4896" s="4">
        <v>87</v>
      </c>
      <c r="U4896" s="5" t="s">
        <v>19543</v>
      </c>
      <c r="V4896" s="5" t="s">
        <v>19543</v>
      </c>
      <c r="W4896" s="5" t="s">
        <v>67</v>
      </c>
      <c r="X4896" s="5" t="s">
        <v>67</v>
      </c>
      <c r="Y4896" s="4">
        <v>682</v>
      </c>
      <c r="Z4896" s="4">
        <v>47</v>
      </c>
      <c r="AA4896" s="4">
        <v>60</v>
      </c>
      <c r="AB4896" s="4">
        <v>4</v>
      </c>
      <c r="AC4896" s="4">
        <v>11</v>
      </c>
      <c r="AD4896" s="4">
        <v>112</v>
      </c>
      <c r="AE4896" s="4">
        <v>125</v>
      </c>
      <c r="AF4896" s="4">
        <v>2</v>
      </c>
      <c r="AG4896" s="4">
        <v>4</v>
      </c>
      <c r="AH4896" s="4">
        <v>88</v>
      </c>
      <c r="AI4896" s="4">
        <v>97</v>
      </c>
      <c r="AJ4896" s="4">
        <v>18</v>
      </c>
      <c r="AK4896" s="4">
        <v>20</v>
      </c>
      <c r="AL4896" s="4">
        <v>54</v>
      </c>
      <c r="AM4896" s="4">
        <v>56</v>
      </c>
      <c r="AN4896" s="4">
        <v>0</v>
      </c>
      <c r="AO4896" s="4">
        <v>0</v>
      </c>
      <c r="AP4896" s="4">
        <v>30</v>
      </c>
      <c r="AQ4896" s="4">
        <v>33</v>
      </c>
      <c r="AR4896" s="3" t="s">
        <v>62</v>
      </c>
      <c r="AS4896" s="3" t="s">
        <v>62</v>
      </c>
      <c r="AT4896" s="3" t="s">
        <v>62</v>
      </c>
      <c r="AV4896" s="6" t="str">
        <f>HYPERLINK("http://mcgill.on.worldcat.org/oclc/47272032","Catalog Record")</f>
        <v>Catalog Record</v>
      </c>
      <c r="AW4896" s="6" t="str">
        <f>HYPERLINK("http://www.worldcat.org/oclc/47272032","WorldCat Record")</f>
        <v>WorldCat Record</v>
      </c>
      <c r="AX4896" s="3" t="s">
        <v>47113</v>
      </c>
      <c r="AY4896" s="3" t="s">
        <v>47114</v>
      </c>
      <c r="AZ4896" s="3" t="s">
        <v>47115</v>
      </c>
      <c r="BA4896" s="3" t="s">
        <v>47115</v>
      </c>
      <c r="BB4896" s="3" t="s">
        <v>47116</v>
      </c>
      <c r="BC4896" s="3" t="s">
        <v>102</v>
      </c>
      <c r="BD4896" s="3" t="s">
        <v>231</v>
      </c>
      <c r="BE4896" s="3" t="s">
        <v>47117</v>
      </c>
      <c r="BF4896" s="3" t="s">
        <v>47116</v>
      </c>
      <c r="BG4896" s="3" t="s">
        <v>47118</v>
      </c>
    </row>
    <row r="4897" spans="1:59" ht="58" x14ac:dyDescent="0.35">
      <c r="A4897" s="2" t="s">
        <v>59</v>
      </c>
      <c r="B4897" s="2" t="s">
        <v>60</v>
      </c>
      <c r="C4897" s="2" t="s">
        <v>47119</v>
      </c>
      <c r="D4897" s="2" t="s">
        <v>47120</v>
      </c>
      <c r="E4897" s="2" t="s">
        <v>47121</v>
      </c>
      <c r="G4897" s="3" t="s">
        <v>62</v>
      </c>
      <c r="I4897" s="3" t="s">
        <v>62</v>
      </c>
      <c r="J4897" s="3" t="s">
        <v>62</v>
      </c>
      <c r="K4897" s="3" t="s">
        <v>63</v>
      </c>
      <c r="L4897" s="2" t="s">
        <v>47122</v>
      </c>
      <c r="M4897" s="2" t="s">
        <v>47123</v>
      </c>
      <c r="N4897" s="3" t="s">
        <v>7622</v>
      </c>
      <c r="P4897" s="3" t="s">
        <v>64</v>
      </c>
      <c r="R4897" s="3" t="s">
        <v>46535</v>
      </c>
      <c r="S4897" s="4">
        <v>1</v>
      </c>
      <c r="T4897" s="4">
        <v>1</v>
      </c>
      <c r="U4897" s="5" t="s">
        <v>30470</v>
      </c>
      <c r="V4897" s="5" t="s">
        <v>30470</v>
      </c>
      <c r="W4897" s="5" t="s">
        <v>67</v>
      </c>
      <c r="X4897" s="5" t="s">
        <v>67</v>
      </c>
      <c r="Y4897" s="4">
        <v>65</v>
      </c>
      <c r="Z4897" s="4">
        <v>7</v>
      </c>
      <c r="AA4897" s="4">
        <v>7</v>
      </c>
      <c r="AB4897" s="4">
        <v>3</v>
      </c>
      <c r="AC4897" s="4">
        <v>3</v>
      </c>
      <c r="AD4897" s="4">
        <v>30</v>
      </c>
      <c r="AE4897" s="4">
        <v>31</v>
      </c>
      <c r="AF4897" s="4">
        <v>1</v>
      </c>
      <c r="AG4897" s="4">
        <v>1</v>
      </c>
      <c r="AH4897" s="4">
        <v>28</v>
      </c>
      <c r="AI4897" s="4">
        <v>29</v>
      </c>
      <c r="AJ4897" s="4">
        <v>4</v>
      </c>
      <c r="AK4897" s="4">
        <v>4</v>
      </c>
      <c r="AL4897" s="4">
        <v>17</v>
      </c>
      <c r="AM4897" s="4">
        <v>18</v>
      </c>
      <c r="AN4897" s="4">
        <v>0</v>
      </c>
      <c r="AO4897" s="4">
        <v>0</v>
      </c>
      <c r="AP4897" s="4">
        <v>4</v>
      </c>
      <c r="AQ4897" s="4">
        <v>4</v>
      </c>
      <c r="AR4897" s="3" t="s">
        <v>62</v>
      </c>
      <c r="AS4897" s="3" t="s">
        <v>62</v>
      </c>
      <c r="AT4897" s="3" t="s">
        <v>61</v>
      </c>
      <c r="AU4897" s="6" t="str">
        <f>HYPERLINK("http://catalog.hathitrust.org/Record/002725269","HathiTrust Record")</f>
        <v>HathiTrust Record</v>
      </c>
      <c r="AV4897" s="6" t="str">
        <f>HYPERLINK("http://mcgill.on.worldcat.org/oclc/2400049","Catalog Record")</f>
        <v>Catalog Record</v>
      </c>
      <c r="AW4897" s="6" t="str">
        <f>HYPERLINK("http://www.worldcat.org/oclc/2400049","WorldCat Record")</f>
        <v>WorldCat Record</v>
      </c>
      <c r="AX4897" s="3" t="s">
        <v>47124</v>
      </c>
      <c r="AY4897" s="3" t="s">
        <v>47125</v>
      </c>
      <c r="AZ4897" s="3" t="s">
        <v>47126</v>
      </c>
      <c r="BA4897" s="3" t="s">
        <v>47126</v>
      </c>
      <c r="BB4897" s="3" t="s">
        <v>47127</v>
      </c>
      <c r="BC4897" s="3" t="s">
        <v>102</v>
      </c>
      <c r="BD4897" s="3" t="s">
        <v>68</v>
      </c>
      <c r="BF4897" s="3" t="s">
        <v>47127</v>
      </c>
      <c r="BG4897" s="3" t="s">
        <v>47128</v>
      </c>
    </row>
    <row r="4898" spans="1:59" ht="58" x14ac:dyDescent="0.35">
      <c r="A4898" s="2" t="s">
        <v>89</v>
      </c>
      <c r="B4898" s="2" t="s">
        <v>90</v>
      </c>
      <c r="C4898" s="2" t="s">
        <v>47129</v>
      </c>
      <c r="D4898" s="2" t="s">
        <v>47130</v>
      </c>
      <c r="E4898" s="2" t="s">
        <v>47131</v>
      </c>
      <c r="G4898" s="3" t="s">
        <v>62</v>
      </c>
      <c r="I4898" s="3" t="s">
        <v>62</v>
      </c>
      <c r="J4898" s="3" t="s">
        <v>62</v>
      </c>
      <c r="K4898" s="3" t="s">
        <v>63</v>
      </c>
      <c r="M4898" s="2" t="s">
        <v>47132</v>
      </c>
      <c r="N4898" s="3" t="s">
        <v>2000</v>
      </c>
      <c r="P4898" s="3" t="s">
        <v>64</v>
      </c>
      <c r="Q4898" s="2" t="s">
        <v>47133</v>
      </c>
      <c r="R4898" s="3" t="s">
        <v>46535</v>
      </c>
      <c r="S4898" s="4">
        <v>2</v>
      </c>
      <c r="T4898" s="4">
        <v>2</v>
      </c>
      <c r="U4898" s="5" t="s">
        <v>18125</v>
      </c>
      <c r="V4898" s="5" t="s">
        <v>18125</v>
      </c>
      <c r="W4898" s="5" t="s">
        <v>67</v>
      </c>
      <c r="X4898" s="5" t="s">
        <v>67</v>
      </c>
      <c r="Y4898" s="4">
        <v>294</v>
      </c>
      <c r="Z4898" s="4">
        <v>19</v>
      </c>
      <c r="AA4898" s="4">
        <v>20</v>
      </c>
      <c r="AB4898" s="4">
        <v>1</v>
      </c>
      <c r="AC4898" s="4">
        <v>2</v>
      </c>
      <c r="AD4898" s="4">
        <v>76</v>
      </c>
      <c r="AE4898" s="4">
        <v>77</v>
      </c>
      <c r="AF4898" s="4">
        <v>0</v>
      </c>
      <c r="AG4898" s="4">
        <v>1</v>
      </c>
      <c r="AH4898" s="4">
        <v>69</v>
      </c>
      <c r="AI4898" s="4">
        <v>69</v>
      </c>
      <c r="AJ4898" s="4">
        <v>15</v>
      </c>
      <c r="AK4898" s="4">
        <v>16</v>
      </c>
      <c r="AL4898" s="4">
        <v>33</v>
      </c>
      <c r="AM4898" s="4">
        <v>33</v>
      </c>
      <c r="AN4898" s="4">
        <v>0</v>
      </c>
      <c r="AO4898" s="4">
        <v>0</v>
      </c>
      <c r="AP4898" s="4">
        <v>17</v>
      </c>
      <c r="AQ4898" s="4">
        <v>17</v>
      </c>
      <c r="AR4898" s="3" t="s">
        <v>62</v>
      </c>
      <c r="AS4898" s="3" t="s">
        <v>62</v>
      </c>
      <c r="AT4898" s="3" t="s">
        <v>62</v>
      </c>
      <c r="AV4898" s="6" t="str">
        <f>HYPERLINK("http://mcgill.on.worldcat.org/oclc/34024909","Catalog Record")</f>
        <v>Catalog Record</v>
      </c>
      <c r="AW4898" s="6" t="str">
        <f>HYPERLINK("http://www.worldcat.org/oclc/34024909","WorldCat Record")</f>
        <v>WorldCat Record</v>
      </c>
      <c r="AX4898" s="3" t="s">
        <v>47134</v>
      </c>
      <c r="AY4898" s="3" t="s">
        <v>47135</v>
      </c>
      <c r="AZ4898" s="3" t="s">
        <v>47136</v>
      </c>
      <c r="BA4898" s="3" t="s">
        <v>47136</v>
      </c>
      <c r="BB4898" s="3" t="s">
        <v>47137</v>
      </c>
      <c r="BC4898" s="3" t="s">
        <v>102</v>
      </c>
      <c r="BD4898" s="3" t="s">
        <v>68</v>
      </c>
      <c r="BE4898" s="3" t="s">
        <v>47138</v>
      </c>
      <c r="BF4898" s="3" t="s">
        <v>47137</v>
      </c>
      <c r="BG4898" s="3" t="s">
        <v>47139</v>
      </c>
    </row>
    <row r="4899" spans="1:59" ht="58" x14ac:dyDescent="0.35">
      <c r="A4899" s="2" t="s">
        <v>59</v>
      </c>
      <c r="B4899" s="2" t="s">
        <v>60</v>
      </c>
      <c r="C4899" s="2" t="s">
        <v>47140</v>
      </c>
      <c r="D4899" s="2" t="s">
        <v>47141</v>
      </c>
      <c r="E4899" s="2" t="s">
        <v>47142</v>
      </c>
      <c r="G4899" s="3" t="s">
        <v>62</v>
      </c>
      <c r="I4899" s="3" t="s">
        <v>62</v>
      </c>
      <c r="J4899" s="3" t="s">
        <v>61</v>
      </c>
      <c r="K4899" s="3" t="s">
        <v>63</v>
      </c>
      <c r="L4899" s="2" t="s">
        <v>47143</v>
      </c>
      <c r="M4899" s="2" t="s">
        <v>47144</v>
      </c>
      <c r="N4899" s="3" t="s">
        <v>7359</v>
      </c>
      <c r="P4899" s="3" t="s">
        <v>64</v>
      </c>
      <c r="R4899" s="3" t="s">
        <v>46535</v>
      </c>
      <c r="S4899" s="4">
        <v>5</v>
      </c>
      <c r="T4899" s="4">
        <v>5</v>
      </c>
      <c r="U4899" s="5" t="s">
        <v>22624</v>
      </c>
      <c r="V4899" s="5" t="s">
        <v>22624</v>
      </c>
      <c r="W4899" s="5" t="s">
        <v>67</v>
      </c>
      <c r="X4899" s="5" t="s">
        <v>67</v>
      </c>
      <c r="Y4899" s="4">
        <v>1</v>
      </c>
      <c r="Z4899" s="4">
        <v>1</v>
      </c>
      <c r="AA4899" s="4">
        <v>46</v>
      </c>
      <c r="AB4899" s="4">
        <v>1</v>
      </c>
      <c r="AC4899" s="4">
        <v>8</v>
      </c>
      <c r="AD4899" s="4">
        <v>0</v>
      </c>
      <c r="AE4899" s="4">
        <v>132</v>
      </c>
      <c r="AF4899" s="4">
        <v>0</v>
      </c>
      <c r="AG4899" s="4">
        <v>4</v>
      </c>
      <c r="AH4899" s="4">
        <v>0</v>
      </c>
      <c r="AI4899" s="4">
        <v>106</v>
      </c>
      <c r="AJ4899" s="4">
        <v>0</v>
      </c>
      <c r="AK4899" s="4">
        <v>21</v>
      </c>
      <c r="AL4899" s="4">
        <v>0</v>
      </c>
      <c r="AM4899" s="4">
        <v>58</v>
      </c>
      <c r="AN4899" s="4">
        <v>0</v>
      </c>
      <c r="AO4899" s="4">
        <v>3</v>
      </c>
      <c r="AP4899" s="4">
        <v>0</v>
      </c>
      <c r="AQ4899" s="4">
        <v>31</v>
      </c>
      <c r="AR4899" s="3" t="s">
        <v>62</v>
      </c>
      <c r="AS4899" s="3" t="s">
        <v>62</v>
      </c>
      <c r="AT4899" s="3" t="s">
        <v>62</v>
      </c>
      <c r="AV4899" s="6" t="str">
        <f>HYPERLINK("http://mcgill.on.worldcat.org/oclc/427306720","Catalog Record")</f>
        <v>Catalog Record</v>
      </c>
      <c r="AW4899" s="6" t="str">
        <f>HYPERLINK("http://www.worldcat.org/oclc/427306720","WorldCat Record")</f>
        <v>WorldCat Record</v>
      </c>
      <c r="AX4899" s="3" t="s">
        <v>47145</v>
      </c>
      <c r="AY4899" s="3" t="s">
        <v>47146</v>
      </c>
      <c r="AZ4899" s="3" t="s">
        <v>47147</v>
      </c>
      <c r="BA4899" s="3" t="s">
        <v>47147</v>
      </c>
      <c r="BB4899" s="3" t="s">
        <v>47148</v>
      </c>
      <c r="BC4899" s="3" t="s">
        <v>102</v>
      </c>
      <c r="BD4899" s="3" t="s">
        <v>68</v>
      </c>
      <c r="BF4899" s="3" t="s">
        <v>47148</v>
      </c>
      <c r="BG4899" s="3" t="s">
        <v>47149</v>
      </c>
    </row>
    <row r="4900" spans="1:59" ht="58" x14ac:dyDescent="0.35">
      <c r="A4900" s="2" t="s">
        <v>89</v>
      </c>
      <c r="B4900" s="2" t="s">
        <v>90</v>
      </c>
      <c r="C4900" s="2" t="s">
        <v>47150</v>
      </c>
      <c r="D4900" s="2" t="s">
        <v>47151</v>
      </c>
      <c r="E4900" s="2" t="s">
        <v>47152</v>
      </c>
      <c r="G4900" s="3" t="s">
        <v>62</v>
      </c>
      <c r="I4900" s="3" t="s">
        <v>62</v>
      </c>
      <c r="J4900" s="3" t="s">
        <v>62</v>
      </c>
      <c r="K4900" s="3" t="s">
        <v>63</v>
      </c>
      <c r="L4900" s="2" t="s">
        <v>47153</v>
      </c>
      <c r="M4900" s="2" t="s">
        <v>47154</v>
      </c>
      <c r="N4900" s="3" t="s">
        <v>129</v>
      </c>
      <c r="P4900" s="3" t="s">
        <v>85</v>
      </c>
      <c r="R4900" s="3" t="s">
        <v>46535</v>
      </c>
      <c r="S4900" s="4">
        <v>0</v>
      </c>
      <c r="T4900" s="4">
        <v>0</v>
      </c>
      <c r="W4900" s="5" t="s">
        <v>67</v>
      </c>
      <c r="X4900" s="5" t="s">
        <v>67</v>
      </c>
      <c r="Y4900" s="4">
        <v>10</v>
      </c>
      <c r="Z4900" s="4">
        <v>3</v>
      </c>
      <c r="AA4900" s="4">
        <v>6</v>
      </c>
      <c r="AB4900" s="4">
        <v>1</v>
      </c>
      <c r="AC4900" s="4">
        <v>4</v>
      </c>
      <c r="AD4900" s="4">
        <v>5</v>
      </c>
      <c r="AE4900" s="4">
        <v>7</v>
      </c>
      <c r="AF4900" s="4">
        <v>0</v>
      </c>
      <c r="AG4900" s="4">
        <v>2</v>
      </c>
      <c r="AH4900" s="4">
        <v>5</v>
      </c>
      <c r="AI4900" s="4">
        <v>6</v>
      </c>
      <c r="AJ4900" s="4">
        <v>1</v>
      </c>
      <c r="AK4900" s="4">
        <v>2</v>
      </c>
      <c r="AL4900" s="4">
        <v>3</v>
      </c>
      <c r="AM4900" s="4">
        <v>3</v>
      </c>
      <c r="AN4900" s="4">
        <v>0</v>
      </c>
      <c r="AO4900" s="4">
        <v>0</v>
      </c>
      <c r="AP4900" s="4">
        <v>1</v>
      </c>
      <c r="AQ4900" s="4">
        <v>3</v>
      </c>
      <c r="AR4900" s="3" t="s">
        <v>62</v>
      </c>
      <c r="AS4900" s="3" t="s">
        <v>62</v>
      </c>
      <c r="AT4900" s="3" t="s">
        <v>62</v>
      </c>
      <c r="AV4900" s="6" t="str">
        <f>HYPERLINK("http://mcgill.on.worldcat.org/oclc/863312239","Catalog Record")</f>
        <v>Catalog Record</v>
      </c>
      <c r="AW4900" s="6" t="str">
        <f>HYPERLINK("http://www.worldcat.org/oclc/863312239","WorldCat Record")</f>
        <v>WorldCat Record</v>
      </c>
      <c r="AX4900" s="3" t="s">
        <v>47155</v>
      </c>
      <c r="AY4900" s="3" t="s">
        <v>47156</v>
      </c>
      <c r="AZ4900" s="3" t="s">
        <v>47157</v>
      </c>
      <c r="BA4900" s="3" t="s">
        <v>47157</v>
      </c>
      <c r="BB4900" s="3" t="s">
        <v>47158</v>
      </c>
      <c r="BC4900" s="3" t="s">
        <v>102</v>
      </c>
      <c r="BD4900" s="3" t="s">
        <v>68</v>
      </c>
      <c r="BE4900" s="3" t="s">
        <v>47159</v>
      </c>
      <c r="BF4900" s="3" t="s">
        <v>47158</v>
      </c>
      <c r="BG4900" s="3" t="s">
        <v>47160</v>
      </c>
    </row>
    <row r="4901" spans="1:59" ht="58" x14ac:dyDescent="0.35">
      <c r="A4901" s="2" t="s">
        <v>59</v>
      </c>
      <c r="B4901" s="2" t="s">
        <v>60</v>
      </c>
      <c r="C4901" s="2" t="s">
        <v>47161</v>
      </c>
      <c r="D4901" s="2" t="s">
        <v>47162</v>
      </c>
      <c r="E4901" s="2" t="s">
        <v>47163</v>
      </c>
      <c r="G4901" s="3" t="s">
        <v>62</v>
      </c>
      <c r="I4901" s="3" t="s">
        <v>62</v>
      </c>
      <c r="J4901" s="3" t="s">
        <v>61</v>
      </c>
      <c r="K4901" s="3" t="s">
        <v>63</v>
      </c>
      <c r="L4901" s="2" t="s">
        <v>47164</v>
      </c>
      <c r="M4901" s="2" t="s">
        <v>47165</v>
      </c>
      <c r="N4901" s="3" t="s">
        <v>6421</v>
      </c>
      <c r="P4901" s="3" t="s">
        <v>64</v>
      </c>
      <c r="R4901" s="3" t="s">
        <v>46535</v>
      </c>
      <c r="S4901" s="4">
        <v>5</v>
      </c>
      <c r="T4901" s="4">
        <v>5</v>
      </c>
      <c r="U4901" s="5" t="s">
        <v>41201</v>
      </c>
      <c r="V4901" s="5" t="s">
        <v>41201</v>
      </c>
      <c r="W4901" s="5" t="s">
        <v>67</v>
      </c>
      <c r="X4901" s="5" t="s">
        <v>67</v>
      </c>
      <c r="Y4901" s="4">
        <v>97</v>
      </c>
      <c r="Z4901" s="4">
        <v>7</v>
      </c>
      <c r="AA4901" s="4">
        <v>12</v>
      </c>
      <c r="AB4901" s="4">
        <v>1</v>
      </c>
      <c r="AC4901" s="4">
        <v>2</v>
      </c>
      <c r="AD4901" s="4">
        <v>57</v>
      </c>
      <c r="AE4901" s="4">
        <v>72</v>
      </c>
      <c r="AF4901" s="4">
        <v>0</v>
      </c>
      <c r="AG4901" s="4">
        <v>0</v>
      </c>
      <c r="AH4901" s="4">
        <v>55</v>
      </c>
      <c r="AI4901" s="4">
        <v>68</v>
      </c>
      <c r="AJ4901" s="4">
        <v>5</v>
      </c>
      <c r="AK4901" s="4">
        <v>8</v>
      </c>
      <c r="AL4901" s="4">
        <v>34</v>
      </c>
      <c r="AM4901" s="4">
        <v>41</v>
      </c>
      <c r="AN4901" s="4">
        <v>0</v>
      </c>
      <c r="AO4901" s="4">
        <v>0</v>
      </c>
      <c r="AP4901" s="4">
        <v>5</v>
      </c>
      <c r="AQ4901" s="4">
        <v>9</v>
      </c>
      <c r="AR4901" s="3" t="s">
        <v>62</v>
      </c>
      <c r="AS4901" s="3" t="s">
        <v>62</v>
      </c>
      <c r="AT4901" s="3" t="s">
        <v>61</v>
      </c>
      <c r="AU4901" s="6" t="str">
        <f>HYPERLINK("http://catalog.hathitrust.org/Record/007472585","HathiTrust Record")</f>
        <v>HathiTrust Record</v>
      </c>
      <c r="AV4901" s="6" t="str">
        <f>HYPERLINK("http://mcgill.on.worldcat.org/oclc/3545625","Catalog Record")</f>
        <v>Catalog Record</v>
      </c>
      <c r="AW4901" s="6" t="str">
        <f>HYPERLINK("http://www.worldcat.org/oclc/3545625","WorldCat Record")</f>
        <v>WorldCat Record</v>
      </c>
      <c r="AX4901" s="3" t="s">
        <v>47166</v>
      </c>
      <c r="AY4901" s="3" t="s">
        <v>47167</v>
      </c>
      <c r="AZ4901" s="3" t="s">
        <v>47168</v>
      </c>
      <c r="BA4901" s="3" t="s">
        <v>47168</v>
      </c>
      <c r="BB4901" s="3" t="s">
        <v>47169</v>
      </c>
      <c r="BC4901" s="3" t="s">
        <v>102</v>
      </c>
      <c r="BD4901" s="3" t="s">
        <v>68</v>
      </c>
      <c r="BF4901" s="3" t="s">
        <v>47169</v>
      </c>
      <c r="BG4901" s="3" t="s">
        <v>47170</v>
      </c>
    </row>
    <row r="4902" spans="1:59" ht="58" x14ac:dyDescent="0.35">
      <c r="A4902" s="2" t="s">
        <v>89</v>
      </c>
      <c r="B4902" s="2" t="s">
        <v>90</v>
      </c>
      <c r="C4902" s="2" t="s">
        <v>47171</v>
      </c>
      <c r="D4902" s="2" t="s">
        <v>47172</v>
      </c>
      <c r="E4902" s="2" t="s">
        <v>47173</v>
      </c>
      <c r="G4902" s="3" t="s">
        <v>62</v>
      </c>
      <c r="I4902" s="3" t="s">
        <v>62</v>
      </c>
      <c r="J4902" s="3" t="s">
        <v>62</v>
      </c>
      <c r="K4902" s="3" t="s">
        <v>63</v>
      </c>
      <c r="M4902" s="2" t="s">
        <v>47174</v>
      </c>
      <c r="N4902" s="3" t="s">
        <v>698</v>
      </c>
      <c r="P4902" s="3" t="s">
        <v>64</v>
      </c>
      <c r="R4902" s="3" t="s">
        <v>46535</v>
      </c>
      <c r="S4902" s="4">
        <v>1</v>
      </c>
      <c r="T4902" s="4">
        <v>1</v>
      </c>
      <c r="U4902" s="5" t="s">
        <v>33396</v>
      </c>
      <c r="V4902" s="5" t="s">
        <v>33396</v>
      </c>
      <c r="W4902" s="5" t="s">
        <v>67</v>
      </c>
      <c r="X4902" s="5" t="s">
        <v>67</v>
      </c>
      <c r="Y4902" s="4">
        <v>141</v>
      </c>
      <c r="Z4902" s="4">
        <v>19</v>
      </c>
      <c r="AA4902" s="4">
        <v>36</v>
      </c>
      <c r="AB4902" s="4">
        <v>1</v>
      </c>
      <c r="AC4902" s="4">
        <v>7</v>
      </c>
      <c r="AD4902" s="4">
        <v>48</v>
      </c>
      <c r="AE4902" s="4">
        <v>73</v>
      </c>
      <c r="AF4902" s="4">
        <v>0</v>
      </c>
      <c r="AG4902" s="4">
        <v>4</v>
      </c>
      <c r="AH4902" s="4">
        <v>40</v>
      </c>
      <c r="AI4902" s="4">
        <v>54</v>
      </c>
      <c r="AJ4902" s="4">
        <v>11</v>
      </c>
      <c r="AK4902" s="4">
        <v>19</v>
      </c>
      <c r="AL4902" s="4">
        <v>19</v>
      </c>
      <c r="AM4902" s="4">
        <v>27</v>
      </c>
      <c r="AN4902" s="4">
        <v>0</v>
      </c>
      <c r="AO4902" s="4">
        <v>0</v>
      </c>
      <c r="AP4902" s="4">
        <v>15</v>
      </c>
      <c r="AQ4902" s="4">
        <v>29</v>
      </c>
      <c r="AR4902" s="3" t="s">
        <v>62</v>
      </c>
      <c r="AS4902" s="3" t="s">
        <v>62</v>
      </c>
      <c r="AT4902" s="3" t="s">
        <v>62</v>
      </c>
      <c r="AV4902" s="6" t="str">
        <f>HYPERLINK("http://mcgill.on.worldcat.org/oclc/704243764","Catalog Record")</f>
        <v>Catalog Record</v>
      </c>
      <c r="AW4902" s="6" t="str">
        <f>HYPERLINK("http://www.worldcat.org/oclc/704243764","WorldCat Record")</f>
        <v>WorldCat Record</v>
      </c>
      <c r="AX4902" s="3" t="s">
        <v>47175</v>
      </c>
      <c r="AY4902" s="3" t="s">
        <v>47176</v>
      </c>
      <c r="AZ4902" s="3" t="s">
        <v>47177</v>
      </c>
      <c r="BA4902" s="3" t="s">
        <v>47177</v>
      </c>
      <c r="BB4902" s="3" t="s">
        <v>47178</v>
      </c>
      <c r="BC4902" s="3" t="s">
        <v>102</v>
      </c>
      <c r="BD4902" s="3" t="s">
        <v>68</v>
      </c>
      <c r="BE4902" s="3" t="s">
        <v>47179</v>
      </c>
      <c r="BF4902" s="3" t="s">
        <v>47178</v>
      </c>
      <c r="BG4902" s="3" t="s">
        <v>47180</v>
      </c>
    </row>
    <row r="4903" spans="1:59" ht="58" x14ac:dyDescent="0.35">
      <c r="A4903" s="2" t="s">
        <v>89</v>
      </c>
      <c r="B4903" s="2" t="s">
        <v>90</v>
      </c>
      <c r="C4903" s="2" t="s">
        <v>47181</v>
      </c>
      <c r="D4903" s="2" t="s">
        <v>47182</v>
      </c>
      <c r="E4903" s="2" t="s">
        <v>47183</v>
      </c>
      <c r="G4903" s="3" t="s">
        <v>62</v>
      </c>
      <c r="I4903" s="3" t="s">
        <v>62</v>
      </c>
      <c r="J4903" s="3" t="s">
        <v>62</v>
      </c>
      <c r="K4903" s="3" t="s">
        <v>63</v>
      </c>
      <c r="L4903" s="2" t="s">
        <v>47184</v>
      </c>
      <c r="M4903" s="2" t="s">
        <v>47185</v>
      </c>
      <c r="N4903" s="3" t="s">
        <v>625</v>
      </c>
      <c r="O4903" s="2" t="s">
        <v>2163</v>
      </c>
      <c r="P4903" s="3" t="s">
        <v>64</v>
      </c>
      <c r="R4903" s="3" t="s">
        <v>46535</v>
      </c>
      <c r="S4903" s="4">
        <v>5</v>
      </c>
      <c r="T4903" s="4">
        <v>5</v>
      </c>
      <c r="U4903" s="5" t="s">
        <v>1663</v>
      </c>
      <c r="V4903" s="5" t="s">
        <v>1663</v>
      </c>
      <c r="W4903" s="5" t="s">
        <v>67</v>
      </c>
      <c r="X4903" s="5" t="s">
        <v>67</v>
      </c>
      <c r="Y4903" s="4">
        <v>291</v>
      </c>
      <c r="Z4903" s="4">
        <v>12</v>
      </c>
      <c r="AA4903" s="4">
        <v>13</v>
      </c>
      <c r="AB4903" s="4">
        <v>1</v>
      </c>
      <c r="AC4903" s="4">
        <v>2</v>
      </c>
      <c r="AD4903" s="4">
        <v>51</v>
      </c>
      <c r="AE4903" s="4">
        <v>51</v>
      </c>
      <c r="AF4903" s="4">
        <v>0</v>
      </c>
      <c r="AG4903" s="4">
        <v>0</v>
      </c>
      <c r="AH4903" s="4">
        <v>48</v>
      </c>
      <c r="AI4903" s="4">
        <v>48</v>
      </c>
      <c r="AJ4903" s="4">
        <v>4</v>
      </c>
      <c r="AK4903" s="4">
        <v>4</v>
      </c>
      <c r="AL4903" s="4">
        <v>28</v>
      </c>
      <c r="AM4903" s="4">
        <v>28</v>
      </c>
      <c r="AN4903" s="4">
        <v>0</v>
      </c>
      <c r="AO4903" s="4">
        <v>0</v>
      </c>
      <c r="AP4903" s="4">
        <v>4</v>
      </c>
      <c r="AQ4903" s="4">
        <v>4</v>
      </c>
      <c r="AR4903" s="3" t="s">
        <v>62</v>
      </c>
      <c r="AS4903" s="3" t="s">
        <v>62</v>
      </c>
      <c r="AT4903" s="3" t="s">
        <v>61</v>
      </c>
      <c r="AU4903" s="6" t="str">
        <f>HYPERLINK("http://catalog.hathitrust.org/Record/004303611","HathiTrust Record")</f>
        <v>HathiTrust Record</v>
      </c>
      <c r="AV4903" s="6" t="str">
        <f>HYPERLINK("http://mcgill.on.worldcat.org/oclc/49356050","Catalog Record")</f>
        <v>Catalog Record</v>
      </c>
      <c r="AW4903" s="6" t="str">
        <f>HYPERLINK("http://www.worldcat.org/oclc/49356050","WorldCat Record")</f>
        <v>WorldCat Record</v>
      </c>
      <c r="AX4903" s="3" t="s">
        <v>47186</v>
      </c>
      <c r="AY4903" s="3" t="s">
        <v>47187</v>
      </c>
      <c r="AZ4903" s="3" t="s">
        <v>47188</v>
      </c>
      <c r="BA4903" s="3" t="s">
        <v>47188</v>
      </c>
      <c r="BB4903" s="3" t="s">
        <v>47189</v>
      </c>
      <c r="BC4903" s="3" t="s">
        <v>102</v>
      </c>
      <c r="BD4903" s="3" t="s">
        <v>231</v>
      </c>
      <c r="BE4903" s="3" t="s">
        <v>47190</v>
      </c>
      <c r="BF4903" s="3" t="s">
        <v>47189</v>
      </c>
      <c r="BG4903" s="3" t="s">
        <v>47191</v>
      </c>
    </row>
    <row r="4904" spans="1:59" ht="101.5" x14ac:dyDescent="0.35">
      <c r="A4904" s="2" t="s">
        <v>89</v>
      </c>
      <c r="B4904" s="2" t="s">
        <v>17803</v>
      </c>
      <c r="C4904" s="2" t="s">
        <v>47192</v>
      </c>
      <c r="D4904" s="2" t="s">
        <v>47193</v>
      </c>
      <c r="E4904" s="2" t="s">
        <v>47194</v>
      </c>
      <c r="G4904" s="3" t="s">
        <v>62</v>
      </c>
      <c r="I4904" s="3" t="s">
        <v>62</v>
      </c>
      <c r="J4904" s="3" t="s">
        <v>62</v>
      </c>
      <c r="K4904" s="3" t="s">
        <v>63</v>
      </c>
      <c r="M4904" s="2" t="s">
        <v>47195</v>
      </c>
      <c r="N4904" s="3" t="s">
        <v>1722</v>
      </c>
      <c r="P4904" s="3" t="s">
        <v>64</v>
      </c>
      <c r="R4904" s="3" t="s">
        <v>46535</v>
      </c>
      <c r="S4904" s="4">
        <v>1</v>
      </c>
      <c r="T4904" s="4">
        <v>1</v>
      </c>
      <c r="U4904" s="5" t="s">
        <v>7930</v>
      </c>
      <c r="V4904" s="5" t="s">
        <v>7930</v>
      </c>
      <c r="W4904" s="5" t="s">
        <v>67</v>
      </c>
      <c r="X4904" s="5" t="s">
        <v>67</v>
      </c>
      <c r="Y4904" s="4">
        <v>1</v>
      </c>
      <c r="Z4904" s="4">
        <v>1</v>
      </c>
      <c r="AA4904" s="4">
        <v>2</v>
      </c>
      <c r="AB4904" s="4">
        <v>1</v>
      </c>
      <c r="AC4904" s="4">
        <v>1</v>
      </c>
      <c r="AD4904" s="4">
        <v>0</v>
      </c>
      <c r="AE4904" s="4">
        <v>1</v>
      </c>
      <c r="AF4904" s="4">
        <v>0</v>
      </c>
      <c r="AG4904" s="4">
        <v>0</v>
      </c>
      <c r="AH4904" s="4">
        <v>0</v>
      </c>
      <c r="AI4904" s="4">
        <v>1</v>
      </c>
      <c r="AJ4904" s="4">
        <v>0</v>
      </c>
      <c r="AK4904" s="4">
        <v>1</v>
      </c>
      <c r="AL4904" s="4">
        <v>0</v>
      </c>
      <c r="AM4904" s="4">
        <v>0</v>
      </c>
      <c r="AN4904" s="4">
        <v>0</v>
      </c>
      <c r="AO4904" s="4">
        <v>0</v>
      </c>
      <c r="AP4904" s="4">
        <v>0</v>
      </c>
      <c r="AQ4904" s="4">
        <v>1</v>
      </c>
      <c r="AR4904" s="3" t="s">
        <v>62</v>
      </c>
      <c r="AS4904" s="3" t="s">
        <v>62</v>
      </c>
      <c r="AT4904" s="3" t="s">
        <v>62</v>
      </c>
      <c r="AV4904" s="6" t="str">
        <f>HYPERLINK("http://mcgill.on.worldcat.org/oclc/1023810971","Catalog Record")</f>
        <v>Catalog Record</v>
      </c>
      <c r="AW4904" s="6" t="str">
        <f>HYPERLINK("http://www.worldcat.org/oclc/1023810971","WorldCat Record")</f>
        <v>WorldCat Record</v>
      </c>
      <c r="AX4904" s="3" t="s">
        <v>47196</v>
      </c>
      <c r="AY4904" s="3" t="s">
        <v>47197</v>
      </c>
      <c r="AZ4904" s="3" t="s">
        <v>47198</v>
      </c>
      <c r="BA4904" s="3" t="s">
        <v>47198</v>
      </c>
      <c r="BB4904" s="3" t="s">
        <v>47199</v>
      </c>
      <c r="BC4904" s="3" t="s">
        <v>102</v>
      </c>
      <c r="BD4904" s="3" t="s">
        <v>68</v>
      </c>
      <c r="BF4904" s="3" t="s">
        <v>47199</v>
      </c>
      <c r="BG4904" s="3" t="s">
        <v>47200</v>
      </c>
    </row>
    <row r="4905" spans="1:59" ht="58" x14ac:dyDescent="0.35">
      <c r="A4905" s="2" t="s">
        <v>59</v>
      </c>
      <c r="B4905" s="2" t="s">
        <v>60</v>
      </c>
      <c r="C4905" s="2" t="s">
        <v>47201</v>
      </c>
      <c r="D4905" s="2" t="s">
        <v>47202</v>
      </c>
      <c r="E4905" s="2" t="s">
        <v>47203</v>
      </c>
      <c r="G4905" s="3" t="s">
        <v>62</v>
      </c>
      <c r="I4905" s="3" t="s">
        <v>61</v>
      </c>
      <c r="J4905" s="3" t="s">
        <v>62</v>
      </c>
      <c r="K4905" s="3" t="s">
        <v>63</v>
      </c>
      <c r="L4905" s="2" t="s">
        <v>47204</v>
      </c>
      <c r="M4905" s="2" t="s">
        <v>47205</v>
      </c>
      <c r="N4905" s="3" t="s">
        <v>838</v>
      </c>
      <c r="P4905" s="3" t="s">
        <v>64</v>
      </c>
      <c r="R4905" s="3" t="s">
        <v>46535</v>
      </c>
      <c r="S4905" s="4">
        <v>6</v>
      </c>
      <c r="T4905" s="4">
        <v>10</v>
      </c>
      <c r="U4905" s="5" t="s">
        <v>47206</v>
      </c>
      <c r="V4905" s="5" t="s">
        <v>5074</v>
      </c>
      <c r="W4905" s="5" t="s">
        <v>67</v>
      </c>
      <c r="X4905" s="5" t="s">
        <v>67</v>
      </c>
      <c r="Y4905" s="4">
        <v>499</v>
      </c>
      <c r="Z4905" s="4">
        <v>20</v>
      </c>
      <c r="AA4905" s="4">
        <v>24</v>
      </c>
      <c r="AB4905" s="4">
        <v>1</v>
      </c>
      <c r="AC4905" s="4">
        <v>2</v>
      </c>
      <c r="AD4905" s="4">
        <v>113</v>
      </c>
      <c r="AE4905" s="4">
        <v>115</v>
      </c>
      <c r="AF4905" s="4">
        <v>0</v>
      </c>
      <c r="AG4905" s="4">
        <v>1</v>
      </c>
      <c r="AH4905" s="4">
        <v>101</v>
      </c>
      <c r="AI4905" s="4">
        <v>102</v>
      </c>
      <c r="AJ4905" s="4">
        <v>13</v>
      </c>
      <c r="AK4905" s="4">
        <v>15</v>
      </c>
      <c r="AL4905" s="4">
        <v>55</v>
      </c>
      <c r="AM4905" s="4">
        <v>56</v>
      </c>
      <c r="AN4905" s="4">
        <v>0</v>
      </c>
      <c r="AO4905" s="4">
        <v>0</v>
      </c>
      <c r="AP4905" s="4">
        <v>16</v>
      </c>
      <c r="AQ4905" s="4">
        <v>17</v>
      </c>
      <c r="AR4905" s="3" t="s">
        <v>62</v>
      </c>
      <c r="AS4905" s="3" t="s">
        <v>62</v>
      </c>
      <c r="AT4905" s="3" t="s">
        <v>61</v>
      </c>
      <c r="AU4905" s="6" t="str">
        <f>HYPERLINK("http://catalog.hathitrust.org/Record/001553874","HathiTrust Record")</f>
        <v>HathiTrust Record</v>
      </c>
      <c r="AV4905" s="6" t="str">
        <f>HYPERLINK("http://mcgill.on.worldcat.org/oclc/1175495","Catalog Record")</f>
        <v>Catalog Record</v>
      </c>
      <c r="AW4905" s="6" t="str">
        <f>HYPERLINK("http://www.worldcat.org/oclc/1175495","WorldCat Record")</f>
        <v>WorldCat Record</v>
      </c>
      <c r="AX4905" s="3" t="s">
        <v>47207</v>
      </c>
      <c r="AY4905" s="3" t="s">
        <v>47208</v>
      </c>
      <c r="AZ4905" s="3" t="s">
        <v>47209</v>
      </c>
      <c r="BA4905" s="3" t="s">
        <v>47209</v>
      </c>
      <c r="BB4905" s="3" t="s">
        <v>47210</v>
      </c>
      <c r="BC4905" s="3" t="s">
        <v>102</v>
      </c>
      <c r="BD4905" s="3" t="s">
        <v>68</v>
      </c>
      <c r="BF4905" s="3" t="s">
        <v>47210</v>
      </c>
      <c r="BG4905" s="3" t="s">
        <v>47211</v>
      </c>
    </row>
    <row r="4906" spans="1:59" ht="58" x14ac:dyDescent="0.35">
      <c r="A4906" s="2" t="s">
        <v>89</v>
      </c>
      <c r="B4906" s="2" t="s">
        <v>90</v>
      </c>
      <c r="C4906" s="2" t="s">
        <v>47212</v>
      </c>
      <c r="D4906" s="2" t="s">
        <v>47213</v>
      </c>
      <c r="E4906" s="2" t="s">
        <v>47214</v>
      </c>
      <c r="G4906" s="3" t="s">
        <v>62</v>
      </c>
      <c r="I4906" s="3" t="s">
        <v>62</v>
      </c>
      <c r="J4906" s="3" t="s">
        <v>62</v>
      </c>
      <c r="K4906" s="3" t="s">
        <v>63</v>
      </c>
      <c r="M4906" s="2" t="s">
        <v>47215</v>
      </c>
      <c r="N4906" s="3" t="s">
        <v>509</v>
      </c>
      <c r="P4906" s="3" t="s">
        <v>64</v>
      </c>
      <c r="Q4906" s="2" t="s">
        <v>45278</v>
      </c>
      <c r="R4906" s="3" t="s">
        <v>46535</v>
      </c>
      <c r="S4906" s="4">
        <v>29</v>
      </c>
      <c r="T4906" s="4">
        <v>29</v>
      </c>
      <c r="U4906" s="5" t="s">
        <v>3388</v>
      </c>
      <c r="V4906" s="5" t="s">
        <v>3388</v>
      </c>
      <c r="W4906" s="5" t="s">
        <v>67</v>
      </c>
      <c r="X4906" s="5" t="s">
        <v>67</v>
      </c>
      <c r="Y4906" s="4">
        <v>233</v>
      </c>
      <c r="Z4906" s="4">
        <v>17</v>
      </c>
      <c r="AA4906" s="4">
        <v>22</v>
      </c>
      <c r="AB4906" s="4">
        <v>1</v>
      </c>
      <c r="AC4906" s="4">
        <v>3</v>
      </c>
      <c r="AD4906" s="4">
        <v>84</v>
      </c>
      <c r="AE4906" s="4">
        <v>89</v>
      </c>
      <c r="AF4906" s="4">
        <v>0</v>
      </c>
      <c r="AG4906" s="4">
        <v>1</v>
      </c>
      <c r="AH4906" s="4">
        <v>75</v>
      </c>
      <c r="AI4906" s="4">
        <v>77</v>
      </c>
      <c r="AJ4906" s="4">
        <v>12</v>
      </c>
      <c r="AK4906" s="4">
        <v>15</v>
      </c>
      <c r="AL4906" s="4">
        <v>40</v>
      </c>
      <c r="AM4906" s="4">
        <v>40</v>
      </c>
      <c r="AN4906" s="4">
        <v>0</v>
      </c>
      <c r="AO4906" s="4">
        <v>0</v>
      </c>
      <c r="AP4906" s="4">
        <v>14</v>
      </c>
      <c r="AQ4906" s="4">
        <v>18</v>
      </c>
      <c r="AR4906" s="3" t="s">
        <v>62</v>
      </c>
      <c r="AS4906" s="3" t="s">
        <v>62</v>
      </c>
      <c r="AT4906" s="3" t="s">
        <v>62</v>
      </c>
      <c r="AV4906" s="6" t="str">
        <f>HYPERLINK("http://mcgill.on.worldcat.org/oclc/30075383","Catalog Record")</f>
        <v>Catalog Record</v>
      </c>
      <c r="AW4906" s="6" t="str">
        <f>HYPERLINK("http://www.worldcat.org/oclc/30075383","WorldCat Record")</f>
        <v>WorldCat Record</v>
      </c>
      <c r="AX4906" s="3" t="s">
        <v>47216</v>
      </c>
      <c r="AY4906" s="3" t="s">
        <v>47217</v>
      </c>
      <c r="AZ4906" s="3" t="s">
        <v>47218</v>
      </c>
      <c r="BA4906" s="3" t="s">
        <v>47218</v>
      </c>
      <c r="BB4906" s="3" t="s">
        <v>47219</v>
      </c>
      <c r="BC4906" s="3" t="s">
        <v>102</v>
      </c>
      <c r="BD4906" s="3" t="s">
        <v>68</v>
      </c>
      <c r="BE4906" s="3" t="s">
        <v>47220</v>
      </c>
      <c r="BF4906" s="3" t="s">
        <v>47219</v>
      </c>
      <c r="BG4906" s="3" t="s">
        <v>47221</v>
      </c>
    </row>
    <row r="4907" spans="1:59" ht="72.5" x14ac:dyDescent="0.35">
      <c r="A4907" s="2" t="s">
        <v>89</v>
      </c>
      <c r="B4907" s="2" t="s">
        <v>90</v>
      </c>
      <c r="C4907" s="2" t="s">
        <v>47222</v>
      </c>
      <c r="D4907" s="2" t="s">
        <v>47223</v>
      </c>
      <c r="E4907" s="2" t="s">
        <v>47224</v>
      </c>
      <c r="F4907" s="3" t="s">
        <v>47225</v>
      </c>
      <c r="G4907" s="3" t="s">
        <v>62</v>
      </c>
      <c r="I4907" s="3" t="s">
        <v>62</v>
      </c>
      <c r="J4907" s="3" t="s">
        <v>62</v>
      </c>
      <c r="K4907" s="3" t="s">
        <v>63</v>
      </c>
      <c r="M4907" s="2" t="s">
        <v>47226</v>
      </c>
      <c r="N4907" s="3" t="s">
        <v>568</v>
      </c>
      <c r="P4907" s="3" t="s">
        <v>64</v>
      </c>
      <c r="Q4907" s="2" t="s">
        <v>47227</v>
      </c>
      <c r="R4907" s="3" t="s">
        <v>46535</v>
      </c>
      <c r="S4907" s="4">
        <v>13</v>
      </c>
      <c r="T4907" s="4">
        <v>13</v>
      </c>
      <c r="U4907" s="5" t="s">
        <v>34870</v>
      </c>
      <c r="V4907" s="5" t="s">
        <v>34870</v>
      </c>
      <c r="W4907" s="5" t="s">
        <v>67</v>
      </c>
      <c r="X4907" s="5" t="s">
        <v>67</v>
      </c>
      <c r="Y4907" s="4">
        <v>135</v>
      </c>
      <c r="Z4907" s="4">
        <v>6</v>
      </c>
      <c r="AA4907" s="4">
        <v>16</v>
      </c>
      <c r="AB4907" s="4">
        <v>2</v>
      </c>
      <c r="AC4907" s="4">
        <v>6</v>
      </c>
      <c r="AD4907" s="4">
        <v>37</v>
      </c>
      <c r="AE4907" s="4">
        <v>50</v>
      </c>
      <c r="AF4907" s="4">
        <v>0</v>
      </c>
      <c r="AG4907" s="4">
        <v>2</v>
      </c>
      <c r="AH4907" s="4">
        <v>34</v>
      </c>
      <c r="AI4907" s="4">
        <v>44</v>
      </c>
      <c r="AJ4907" s="4">
        <v>3</v>
      </c>
      <c r="AK4907" s="4">
        <v>8</v>
      </c>
      <c r="AL4907" s="4">
        <v>16</v>
      </c>
      <c r="AM4907" s="4">
        <v>22</v>
      </c>
      <c r="AN4907" s="4">
        <v>0</v>
      </c>
      <c r="AO4907" s="4">
        <v>0</v>
      </c>
      <c r="AP4907" s="4">
        <v>3</v>
      </c>
      <c r="AQ4907" s="4">
        <v>9</v>
      </c>
      <c r="AR4907" s="3" t="s">
        <v>62</v>
      </c>
      <c r="AS4907" s="3" t="s">
        <v>62</v>
      </c>
      <c r="AT4907" s="3" t="s">
        <v>62</v>
      </c>
      <c r="AV4907" s="6" t="str">
        <f>HYPERLINK("http://mcgill.on.worldcat.org/oclc/41711932","Catalog Record")</f>
        <v>Catalog Record</v>
      </c>
      <c r="AW4907" s="6" t="str">
        <f>HYPERLINK("http://www.worldcat.org/oclc/41711932","WorldCat Record")</f>
        <v>WorldCat Record</v>
      </c>
      <c r="AX4907" s="3" t="s">
        <v>47228</v>
      </c>
      <c r="AY4907" s="3" t="s">
        <v>47229</v>
      </c>
      <c r="AZ4907" s="3" t="s">
        <v>47230</v>
      </c>
      <c r="BA4907" s="3" t="s">
        <v>47230</v>
      </c>
      <c r="BB4907" s="3" t="s">
        <v>47231</v>
      </c>
      <c r="BC4907" s="3" t="s">
        <v>102</v>
      </c>
      <c r="BD4907" s="3" t="s">
        <v>68</v>
      </c>
      <c r="BE4907" s="3" t="s">
        <v>47232</v>
      </c>
      <c r="BF4907" s="3" t="s">
        <v>47231</v>
      </c>
      <c r="BG4907" s="3" t="s">
        <v>47233</v>
      </c>
    </row>
    <row r="4908" spans="1:59" ht="58" x14ac:dyDescent="0.35">
      <c r="A4908" s="2" t="s">
        <v>59</v>
      </c>
      <c r="B4908" s="2" t="s">
        <v>60</v>
      </c>
      <c r="C4908" s="2" t="s">
        <v>47234</v>
      </c>
      <c r="D4908" s="2" t="s">
        <v>47235</v>
      </c>
      <c r="E4908" s="2" t="s">
        <v>47236</v>
      </c>
      <c r="G4908" s="3" t="s">
        <v>62</v>
      </c>
      <c r="I4908" s="3" t="s">
        <v>61</v>
      </c>
      <c r="J4908" s="3" t="s">
        <v>62</v>
      </c>
      <c r="K4908" s="3" t="s">
        <v>63</v>
      </c>
      <c r="L4908" s="2" t="s">
        <v>36375</v>
      </c>
      <c r="M4908" s="2" t="s">
        <v>47237</v>
      </c>
      <c r="N4908" s="3" t="s">
        <v>81</v>
      </c>
      <c r="P4908" s="3" t="s">
        <v>64</v>
      </c>
      <c r="Q4908" s="2" t="s">
        <v>47238</v>
      </c>
      <c r="R4908" s="3" t="s">
        <v>46535</v>
      </c>
      <c r="S4908" s="4">
        <v>0</v>
      </c>
      <c r="T4908" s="4">
        <v>1</v>
      </c>
      <c r="V4908" s="5" t="s">
        <v>47239</v>
      </c>
      <c r="W4908" s="5" t="s">
        <v>67</v>
      </c>
      <c r="X4908" s="5" t="s">
        <v>67</v>
      </c>
      <c r="Y4908" s="4">
        <v>642</v>
      </c>
      <c r="Z4908" s="4">
        <v>38</v>
      </c>
      <c r="AA4908" s="4">
        <v>45</v>
      </c>
      <c r="AB4908" s="4">
        <v>4</v>
      </c>
      <c r="AC4908" s="4">
        <v>11</v>
      </c>
      <c r="AD4908" s="4">
        <v>124</v>
      </c>
      <c r="AE4908" s="4">
        <v>129</v>
      </c>
      <c r="AF4908" s="4">
        <v>1</v>
      </c>
      <c r="AG4908" s="4">
        <v>6</v>
      </c>
      <c r="AH4908" s="4">
        <v>101</v>
      </c>
      <c r="AI4908" s="4">
        <v>102</v>
      </c>
      <c r="AJ4908" s="4">
        <v>20</v>
      </c>
      <c r="AK4908" s="4">
        <v>24</v>
      </c>
      <c r="AL4908" s="4">
        <v>56</v>
      </c>
      <c r="AM4908" s="4">
        <v>56</v>
      </c>
      <c r="AN4908" s="4">
        <v>0</v>
      </c>
      <c r="AO4908" s="4">
        <v>0</v>
      </c>
      <c r="AP4908" s="4">
        <v>28</v>
      </c>
      <c r="AQ4908" s="4">
        <v>32</v>
      </c>
      <c r="AR4908" s="3" t="s">
        <v>62</v>
      </c>
      <c r="AS4908" s="3" t="s">
        <v>62</v>
      </c>
      <c r="AT4908" s="3" t="s">
        <v>61</v>
      </c>
      <c r="AU4908" s="6" t="str">
        <f>HYPERLINK("http://catalog.hathitrust.org/Record/001553885","HathiTrust Record")</f>
        <v>HathiTrust Record</v>
      </c>
      <c r="AV4908" s="6" t="str">
        <f>HYPERLINK("http://mcgill.on.worldcat.org/oclc/38231026","Catalog Record")</f>
        <v>Catalog Record</v>
      </c>
      <c r="AW4908" s="6" t="str">
        <f>HYPERLINK("http://www.worldcat.org/oclc/38231026","WorldCat Record")</f>
        <v>WorldCat Record</v>
      </c>
      <c r="AX4908" s="3" t="s">
        <v>47240</v>
      </c>
      <c r="AY4908" s="3" t="s">
        <v>47241</v>
      </c>
      <c r="AZ4908" s="3" t="s">
        <v>47242</v>
      </c>
      <c r="BA4908" s="3" t="s">
        <v>47242</v>
      </c>
      <c r="BB4908" s="3" t="s">
        <v>47243</v>
      </c>
      <c r="BC4908" s="3" t="s">
        <v>102</v>
      </c>
      <c r="BD4908" s="3" t="s">
        <v>68</v>
      </c>
      <c r="BF4908" s="3" t="s">
        <v>47243</v>
      </c>
      <c r="BG4908" s="3" t="s">
        <v>47244</v>
      </c>
    </row>
    <row r="4909" spans="1:59" ht="72.5" x14ac:dyDescent="0.35">
      <c r="A4909" s="2" t="s">
        <v>89</v>
      </c>
      <c r="B4909" s="2" t="s">
        <v>90</v>
      </c>
      <c r="C4909" s="2" t="s">
        <v>47245</v>
      </c>
      <c r="D4909" s="2" t="s">
        <v>47246</v>
      </c>
      <c r="E4909" s="2" t="s">
        <v>47247</v>
      </c>
      <c r="F4909" s="3" t="s">
        <v>24186</v>
      </c>
      <c r="G4909" s="3" t="s">
        <v>62</v>
      </c>
      <c r="I4909" s="3" t="s">
        <v>62</v>
      </c>
      <c r="J4909" s="3" t="s">
        <v>62</v>
      </c>
      <c r="K4909" s="3" t="s">
        <v>63</v>
      </c>
      <c r="L4909" s="2" t="s">
        <v>47248</v>
      </c>
      <c r="M4909" s="2" t="s">
        <v>47249</v>
      </c>
      <c r="N4909" s="3" t="s">
        <v>568</v>
      </c>
      <c r="O4909" s="2" t="s">
        <v>17018</v>
      </c>
      <c r="P4909" s="3" t="s">
        <v>64</v>
      </c>
      <c r="R4909" s="3" t="s">
        <v>46535</v>
      </c>
      <c r="S4909" s="4">
        <v>26</v>
      </c>
      <c r="T4909" s="4">
        <v>26</v>
      </c>
      <c r="U4909" s="5" t="s">
        <v>14456</v>
      </c>
      <c r="V4909" s="5" t="s">
        <v>14456</v>
      </c>
      <c r="W4909" s="5" t="s">
        <v>67</v>
      </c>
      <c r="X4909" s="5" t="s">
        <v>67</v>
      </c>
      <c r="Y4909" s="4">
        <v>13</v>
      </c>
      <c r="Z4909" s="4">
        <v>2</v>
      </c>
      <c r="AA4909" s="4">
        <v>2</v>
      </c>
      <c r="AB4909" s="4">
        <v>1</v>
      </c>
      <c r="AC4909" s="4">
        <v>1</v>
      </c>
      <c r="AD4909" s="4">
        <v>4</v>
      </c>
      <c r="AE4909" s="4">
        <v>5</v>
      </c>
      <c r="AF4909" s="4">
        <v>0</v>
      </c>
      <c r="AG4909" s="4">
        <v>0</v>
      </c>
      <c r="AH4909" s="4">
        <v>3</v>
      </c>
      <c r="AI4909" s="4">
        <v>4</v>
      </c>
      <c r="AJ4909" s="4">
        <v>1</v>
      </c>
      <c r="AK4909" s="4">
        <v>1</v>
      </c>
      <c r="AL4909" s="4">
        <v>1</v>
      </c>
      <c r="AM4909" s="4">
        <v>1</v>
      </c>
      <c r="AN4909" s="4">
        <v>0</v>
      </c>
      <c r="AO4909" s="4">
        <v>0</v>
      </c>
      <c r="AP4909" s="4">
        <v>1</v>
      </c>
      <c r="AQ4909" s="4">
        <v>1</v>
      </c>
      <c r="AR4909" s="3" t="s">
        <v>62</v>
      </c>
      <c r="AS4909" s="3" t="s">
        <v>62</v>
      </c>
      <c r="AT4909" s="3" t="s">
        <v>62</v>
      </c>
      <c r="AV4909" s="6" t="str">
        <f>HYPERLINK("http://mcgill.on.worldcat.org/oclc/43550328","Catalog Record")</f>
        <v>Catalog Record</v>
      </c>
      <c r="AW4909" s="6" t="str">
        <f>HYPERLINK("http://www.worldcat.org/oclc/43550328","WorldCat Record")</f>
        <v>WorldCat Record</v>
      </c>
      <c r="AX4909" s="3" t="s">
        <v>47250</v>
      </c>
      <c r="AY4909" s="3" t="s">
        <v>47251</v>
      </c>
      <c r="AZ4909" s="3" t="s">
        <v>47252</v>
      </c>
      <c r="BA4909" s="3" t="s">
        <v>47252</v>
      </c>
      <c r="BB4909" s="3" t="s">
        <v>47253</v>
      </c>
      <c r="BC4909" s="3" t="s">
        <v>102</v>
      </c>
      <c r="BD4909" s="3" t="s">
        <v>68</v>
      </c>
      <c r="BE4909" s="3" t="s">
        <v>47254</v>
      </c>
      <c r="BF4909" s="3" t="s">
        <v>47253</v>
      </c>
      <c r="BG4909" s="3" t="s">
        <v>47255</v>
      </c>
    </row>
    <row r="4910" spans="1:59" ht="58" x14ac:dyDescent="0.35">
      <c r="A4910" s="2" t="s">
        <v>89</v>
      </c>
      <c r="B4910" s="2" t="s">
        <v>90</v>
      </c>
      <c r="C4910" s="2" t="s">
        <v>47256</v>
      </c>
      <c r="D4910" s="2" t="s">
        <v>47257</v>
      </c>
      <c r="E4910" s="2" t="s">
        <v>47258</v>
      </c>
      <c r="F4910" s="3" t="s">
        <v>17015</v>
      </c>
      <c r="G4910" s="3" t="s">
        <v>61</v>
      </c>
      <c r="I4910" s="3" t="s">
        <v>61</v>
      </c>
      <c r="J4910" s="3" t="s">
        <v>61</v>
      </c>
      <c r="K4910" s="3" t="s">
        <v>63</v>
      </c>
      <c r="L4910" s="2" t="s">
        <v>47259</v>
      </c>
      <c r="M4910" s="2" t="s">
        <v>47260</v>
      </c>
      <c r="N4910" s="3" t="s">
        <v>1195</v>
      </c>
      <c r="O4910" s="2" t="s">
        <v>19908</v>
      </c>
      <c r="P4910" s="3" t="s">
        <v>64</v>
      </c>
      <c r="R4910" s="3" t="s">
        <v>46535</v>
      </c>
      <c r="S4910" s="4">
        <v>52</v>
      </c>
      <c r="T4910" s="4">
        <v>143</v>
      </c>
      <c r="U4910" s="5" t="s">
        <v>23566</v>
      </c>
      <c r="V4910" s="5" t="s">
        <v>23566</v>
      </c>
      <c r="W4910" s="5" t="s">
        <v>67</v>
      </c>
      <c r="X4910" s="5" t="s">
        <v>67</v>
      </c>
      <c r="Y4910" s="4">
        <v>154</v>
      </c>
      <c r="Z4910" s="4">
        <v>16</v>
      </c>
      <c r="AA4910" s="4">
        <v>96</v>
      </c>
      <c r="AB4910" s="4">
        <v>1</v>
      </c>
      <c r="AC4910" s="4">
        <v>11</v>
      </c>
      <c r="AD4910" s="4">
        <v>21</v>
      </c>
      <c r="AE4910" s="4">
        <v>118</v>
      </c>
      <c r="AF4910" s="4">
        <v>0</v>
      </c>
      <c r="AG4910" s="4">
        <v>3</v>
      </c>
      <c r="AH4910" s="4">
        <v>19</v>
      </c>
      <c r="AI4910" s="4">
        <v>91</v>
      </c>
      <c r="AJ4910" s="4">
        <v>3</v>
      </c>
      <c r="AK4910" s="4">
        <v>24</v>
      </c>
      <c r="AL4910" s="4">
        <v>13</v>
      </c>
      <c r="AM4910" s="4">
        <v>46</v>
      </c>
      <c r="AN4910" s="4">
        <v>0</v>
      </c>
      <c r="AO4910" s="4">
        <v>0</v>
      </c>
      <c r="AP4910" s="4">
        <v>4</v>
      </c>
      <c r="AQ4910" s="4">
        <v>32</v>
      </c>
      <c r="AR4910" s="3" t="s">
        <v>62</v>
      </c>
      <c r="AS4910" s="3" t="s">
        <v>62</v>
      </c>
      <c r="AT4910" s="3" t="s">
        <v>61</v>
      </c>
      <c r="AU4910" s="6" t="str">
        <f>HYPERLINK("http://catalog.hathitrust.org/Record/005088024","HathiTrust Record")</f>
        <v>HathiTrust Record</v>
      </c>
      <c r="AV4910" s="6" t="str">
        <f>HYPERLINK("http://mcgill.on.worldcat.org/oclc/61446986","Catalog Record")</f>
        <v>Catalog Record</v>
      </c>
      <c r="AW4910" s="6" t="str">
        <f>HYPERLINK("http://www.worldcat.org/oclc/61446986","WorldCat Record")</f>
        <v>WorldCat Record</v>
      </c>
      <c r="AX4910" s="3" t="s">
        <v>47261</v>
      </c>
      <c r="AY4910" s="3" t="s">
        <v>47262</v>
      </c>
      <c r="AZ4910" s="3" t="s">
        <v>47263</v>
      </c>
      <c r="BA4910" s="3" t="s">
        <v>47263</v>
      </c>
      <c r="BB4910" s="3" t="s">
        <v>47264</v>
      </c>
      <c r="BC4910" s="3" t="s">
        <v>102</v>
      </c>
      <c r="BD4910" s="3" t="s">
        <v>68</v>
      </c>
      <c r="BE4910" s="3" t="s">
        <v>47265</v>
      </c>
      <c r="BF4910" s="3" t="s">
        <v>47264</v>
      </c>
      <c r="BG4910" s="3" t="s">
        <v>47266</v>
      </c>
    </row>
    <row r="4911" spans="1:59" ht="58" x14ac:dyDescent="0.35">
      <c r="A4911" s="2" t="s">
        <v>89</v>
      </c>
      <c r="B4911" s="2" t="s">
        <v>90</v>
      </c>
      <c r="C4911" s="2" t="s">
        <v>47267</v>
      </c>
      <c r="D4911" s="2" t="s">
        <v>47268</v>
      </c>
      <c r="E4911" s="2" t="s">
        <v>47269</v>
      </c>
      <c r="G4911" s="3" t="s">
        <v>62</v>
      </c>
      <c r="I4911" s="3" t="s">
        <v>61</v>
      </c>
      <c r="J4911" s="3" t="s">
        <v>61</v>
      </c>
      <c r="K4911" s="3" t="s">
        <v>63</v>
      </c>
      <c r="L4911" s="2" t="s">
        <v>47270</v>
      </c>
      <c r="M4911" s="2" t="s">
        <v>47271</v>
      </c>
      <c r="N4911" s="3" t="s">
        <v>1722</v>
      </c>
      <c r="O4911" s="2" t="s">
        <v>22528</v>
      </c>
      <c r="P4911" s="3" t="s">
        <v>64</v>
      </c>
      <c r="R4911" s="3" t="s">
        <v>46535</v>
      </c>
      <c r="S4911" s="4">
        <v>67</v>
      </c>
      <c r="T4911" s="4">
        <v>76</v>
      </c>
      <c r="U4911" s="5" t="s">
        <v>17672</v>
      </c>
      <c r="V4911" s="5" t="s">
        <v>17672</v>
      </c>
      <c r="W4911" s="5" t="s">
        <v>67</v>
      </c>
      <c r="X4911" s="5" t="s">
        <v>67</v>
      </c>
      <c r="Y4911" s="4">
        <v>25</v>
      </c>
      <c r="Z4911" s="4">
        <v>18</v>
      </c>
      <c r="AA4911" s="4">
        <v>96</v>
      </c>
      <c r="AB4911" s="4">
        <v>1</v>
      </c>
      <c r="AC4911" s="4">
        <v>11</v>
      </c>
      <c r="AD4911" s="4">
        <v>8</v>
      </c>
      <c r="AE4911" s="4">
        <v>118</v>
      </c>
      <c r="AF4911" s="4">
        <v>0</v>
      </c>
      <c r="AG4911" s="4">
        <v>3</v>
      </c>
      <c r="AH4911" s="4">
        <v>4</v>
      </c>
      <c r="AI4911" s="4">
        <v>91</v>
      </c>
      <c r="AJ4911" s="4">
        <v>5</v>
      </c>
      <c r="AK4911" s="4">
        <v>24</v>
      </c>
      <c r="AL4911" s="4">
        <v>1</v>
      </c>
      <c r="AM4911" s="4">
        <v>46</v>
      </c>
      <c r="AN4911" s="4">
        <v>0</v>
      </c>
      <c r="AO4911" s="4">
        <v>0</v>
      </c>
      <c r="AP4911" s="4">
        <v>6</v>
      </c>
      <c r="AQ4911" s="4">
        <v>32</v>
      </c>
      <c r="AR4911" s="3" t="s">
        <v>61</v>
      </c>
      <c r="AS4911" s="3" t="s">
        <v>62</v>
      </c>
      <c r="AT4911" s="3" t="s">
        <v>62</v>
      </c>
      <c r="AV4911" s="6" t="str">
        <f>HYPERLINK("http://mcgill.on.worldcat.org/oclc/165870710","Catalog Record")</f>
        <v>Catalog Record</v>
      </c>
      <c r="AW4911" s="6" t="str">
        <f>HYPERLINK("http://www.worldcat.org/oclc/165870710","WorldCat Record")</f>
        <v>WorldCat Record</v>
      </c>
      <c r="AX4911" s="3" t="s">
        <v>47261</v>
      </c>
      <c r="AY4911" s="3" t="s">
        <v>47272</v>
      </c>
      <c r="AZ4911" s="3" t="s">
        <v>47273</v>
      </c>
      <c r="BA4911" s="3" t="s">
        <v>47273</v>
      </c>
      <c r="BB4911" s="3" t="s">
        <v>47274</v>
      </c>
      <c r="BC4911" s="3" t="s">
        <v>102</v>
      </c>
      <c r="BD4911" s="3" t="s">
        <v>68</v>
      </c>
      <c r="BE4911" s="3" t="s">
        <v>47275</v>
      </c>
      <c r="BF4911" s="3" t="s">
        <v>47274</v>
      </c>
      <c r="BG4911" s="3" t="s">
        <v>47276</v>
      </c>
    </row>
    <row r="4912" spans="1:59" ht="58" x14ac:dyDescent="0.35">
      <c r="A4912" s="2" t="s">
        <v>89</v>
      </c>
      <c r="B4912" s="2" t="s">
        <v>90</v>
      </c>
      <c r="C4912" s="2" t="s">
        <v>47277</v>
      </c>
      <c r="D4912" s="2" t="s">
        <v>47278</v>
      </c>
      <c r="E4912" s="2" t="s">
        <v>47269</v>
      </c>
      <c r="G4912" s="3" t="s">
        <v>62</v>
      </c>
      <c r="I4912" s="3" t="s">
        <v>61</v>
      </c>
      <c r="J4912" s="3" t="s">
        <v>61</v>
      </c>
      <c r="K4912" s="3" t="s">
        <v>63</v>
      </c>
      <c r="L4912" s="2" t="s">
        <v>47270</v>
      </c>
      <c r="M4912" s="2" t="s">
        <v>47279</v>
      </c>
      <c r="N4912" s="3" t="s">
        <v>698</v>
      </c>
      <c r="O4912" s="2" t="s">
        <v>20310</v>
      </c>
      <c r="P4912" s="3" t="s">
        <v>64</v>
      </c>
      <c r="R4912" s="3" t="s">
        <v>46535</v>
      </c>
      <c r="S4912" s="4">
        <v>34</v>
      </c>
      <c r="T4912" s="4">
        <v>99</v>
      </c>
      <c r="U4912" s="5" t="s">
        <v>33681</v>
      </c>
      <c r="V4912" s="5" t="s">
        <v>16848</v>
      </c>
      <c r="W4912" s="5" t="s">
        <v>67</v>
      </c>
      <c r="X4912" s="5" t="s">
        <v>67</v>
      </c>
      <c r="Y4912" s="4">
        <v>36</v>
      </c>
      <c r="Z4912" s="4">
        <v>31</v>
      </c>
      <c r="AA4912" s="4">
        <v>96</v>
      </c>
      <c r="AB4912" s="4">
        <v>1</v>
      </c>
      <c r="AC4912" s="4">
        <v>11</v>
      </c>
      <c r="AD4912" s="4">
        <v>11</v>
      </c>
      <c r="AE4912" s="4">
        <v>118</v>
      </c>
      <c r="AF4912" s="4">
        <v>0</v>
      </c>
      <c r="AG4912" s="4">
        <v>3</v>
      </c>
      <c r="AH4912" s="4">
        <v>6</v>
      </c>
      <c r="AI4912" s="4">
        <v>91</v>
      </c>
      <c r="AJ4912" s="4">
        <v>8</v>
      </c>
      <c r="AK4912" s="4">
        <v>24</v>
      </c>
      <c r="AL4912" s="4">
        <v>1</v>
      </c>
      <c r="AM4912" s="4">
        <v>46</v>
      </c>
      <c r="AN4912" s="4">
        <v>0</v>
      </c>
      <c r="AO4912" s="4">
        <v>0</v>
      </c>
      <c r="AP4912" s="4">
        <v>10</v>
      </c>
      <c r="AQ4912" s="4">
        <v>32</v>
      </c>
      <c r="AR4912" s="3" t="s">
        <v>61</v>
      </c>
      <c r="AS4912" s="3" t="s">
        <v>62</v>
      </c>
      <c r="AT4912" s="3" t="s">
        <v>62</v>
      </c>
      <c r="AV4912" s="6" t="str">
        <f>HYPERLINK("http://mcgill.on.worldcat.org/oclc/670421192","Catalog Record")</f>
        <v>Catalog Record</v>
      </c>
      <c r="AW4912" s="6" t="str">
        <f>HYPERLINK("http://www.worldcat.org/oclc/670421192","WorldCat Record")</f>
        <v>WorldCat Record</v>
      </c>
      <c r="AX4912" s="3" t="s">
        <v>47261</v>
      </c>
      <c r="AY4912" s="3" t="s">
        <v>47280</v>
      </c>
      <c r="AZ4912" s="3" t="s">
        <v>47281</v>
      </c>
      <c r="BA4912" s="3" t="s">
        <v>47281</v>
      </c>
      <c r="BB4912" s="3" t="s">
        <v>47282</v>
      </c>
      <c r="BC4912" s="3" t="s">
        <v>102</v>
      </c>
      <c r="BD4912" s="3" t="s">
        <v>68</v>
      </c>
      <c r="BE4912" s="3" t="s">
        <v>47283</v>
      </c>
      <c r="BF4912" s="3" t="s">
        <v>47282</v>
      </c>
      <c r="BG4912" s="3" t="s">
        <v>47284</v>
      </c>
    </row>
    <row r="4913" spans="1:59" ht="58" x14ac:dyDescent="0.35">
      <c r="A4913" s="2" t="s">
        <v>89</v>
      </c>
      <c r="B4913" s="2" t="s">
        <v>90</v>
      </c>
      <c r="C4913" s="2" t="s">
        <v>47277</v>
      </c>
      <c r="D4913" s="2" t="s">
        <v>47278</v>
      </c>
      <c r="E4913" s="2" t="s">
        <v>47269</v>
      </c>
      <c r="G4913" s="3" t="s">
        <v>62</v>
      </c>
      <c r="I4913" s="3" t="s">
        <v>61</v>
      </c>
      <c r="J4913" s="3" t="s">
        <v>61</v>
      </c>
      <c r="K4913" s="3" t="s">
        <v>63</v>
      </c>
      <c r="L4913" s="2" t="s">
        <v>47270</v>
      </c>
      <c r="M4913" s="2" t="s">
        <v>47279</v>
      </c>
      <c r="N4913" s="3" t="s">
        <v>698</v>
      </c>
      <c r="O4913" s="2" t="s">
        <v>20310</v>
      </c>
      <c r="P4913" s="3" t="s">
        <v>64</v>
      </c>
      <c r="R4913" s="3" t="s">
        <v>46535</v>
      </c>
      <c r="S4913" s="4">
        <v>23</v>
      </c>
      <c r="T4913" s="4">
        <v>99</v>
      </c>
      <c r="U4913" s="5" t="s">
        <v>21027</v>
      </c>
      <c r="V4913" s="5" t="s">
        <v>16848</v>
      </c>
      <c r="W4913" s="5" t="s">
        <v>67</v>
      </c>
      <c r="X4913" s="5" t="s">
        <v>67</v>
      </c>
      <c r="Y4913" s="4">
        <v>36</v>
      </c>
      <c r="Z4913" s="4">
        <v>31</v>
      </c>
      <c r="AA4913" s="4">
        <v>96</v>
      </c>
      <c r="AB4913" s="4">
        <v>1</v>
      </c>
      <c r="AC4913" s="4">
        <v>11</v>
      </c>
      <c r="AD4913" s="4">
        <v>11</v>
      </c>
      <c r="AE4913" s="4">
        <v>118</v>
      </c>
      <c r="AF4913" s="4">
        <v>0</v>
      </c>
      <c r="AG4913" s="4">
        <v>3</v>
      </c>
      <c r="AH4913" s="4">
        <v>6</v>
      </c>
      <c r="AI4913" s="4">
        <v>91</v>
      </c>
      <c r="AJ4913" s="4">
        <v>8</v>
      </c>
      <c r="AK4913" s="4">
        <v>24</v>
      </c>
      <c r="AL4913" s="4">
        <v>1</v>
      </c>
      <c r="AM4913" s="4">
        <v>46</v>
      </c>
      <c r="AN4913" s="4">
        <v>0</v>
      </c>
      <c r="AO4913" s="4">
        <v>0</v>
      </c>
      <c r="AP4913" s="4">
        <v>10</v>
      </c>
      <c r="AQ4913" s="4">
        <v>32</v>
      </c>
      <c r="AR4913" s="3" t="s">
        <v>61</v>
      </c>
      <c r="AS4913" s="3" t="s">
        <v>62</v>
      </c>
      <c r="AT4913" s="3" t="s">
        <v>62</v>
      </c>
      <c r="AV4913" s="6" t="str">
        <f>HYPERLINK("http://mcgill.on.worldcat.org/oclc/670421192","Catalog Record")</f>
        <v>Catalog Record</v>
      </c>
      <c r="AW4913" s="6" t="str">
        <f>HYPERLINK("http://www.worldcat.org/oclc/670421192","WorldCat Record")</f>
        <v>WorldCat Record</v>
      </c>
      <c r="AX4913" s="3" t="s">
        <v>47261</v>
      </c>
      <c r="AY4913" s="3" t="s">
        <v>47280</v>
      </c>
      <c r="AZ4913" s="3" t="s">
        <v>47281</v>
      </c>
      <c r="BA4913" s="3" t="s">
        <v>47281</v>
      </c>
      <c r="BB4913" s="3" t="s">
        <v>47285</v>
      </c>
      <c r="BC4913" s="3" t="s">
        <v>102</v>
      </c>
      <c r="BD4913" s="3" t="s">
        <v>68</v>
      </c>
      <c r="BE4913" s="3" t="s">
        <v>47283</v>
      </c>
      <c r="BF4913" s="3" t="s">
        <v>47285</v>
      </c>
      <c r="BG4913" s="3" t="s">
        <v>47286</v>
      </c>
    </row>
    <row r="4914" spans="1:59" ht="58" x14ac:dyDescent="0.35">
      <c r="A4914" s="2" t="s">
        <v>89</v>
      </c>
      <c r="B4914" s="2" t="s">
        <v>90</v>
      </c>
      <c r="C4914" s="2" t="s">
        <v>47287</v>
      </c>
      <c r="D4914" s="2" t="s">
        <v>47288</v>
      </c>
      <c r="E4914" s="2" t="s">
        <v>47289</v>
      </c>
      <c r="G4914" s="3" t="s">
        <v>62</v>
      </c>
      <c r="I4914" s="3" t="s">
        <v>62</v>
      </c>
      <c r="J4914" s="3" t="s">
        <v>61</v>
      </c>
      <c r="K4914" s="3" t="s">
        <v>63</v>
      </c>
      <c r="L4914" s="2" t="s">
        <v>47290</v>
      </c>
      <c r="M4914" s="2" t="s">
        <v>47291</v>
      </c>
      <c r="N4914" s="3" t="s">
        <v>596</v>
      </c>
      <c r="O4914" s="2" t="s">
        <v>17427</v>
      </c>
      <c r="P4914" s="3" t="s">
        <v>64</v>
      </c>
      <c r="R4914" s="3" t="s">
        <v>46535</v>
      </c>
      <c r="S4914" s="4">
        <v>13</v>
      </c>
      <c r="T4914" s="4">
        <v>13</v>
      </c>
      <c r="U4914" s="5" t="s">
        <v>117</v>
      </c>
      <c r="V4914" s="5" t="s">
        <v>117</v>
      </c>
      <c r="W4914" s="5" t="s">
        <v>67</v>
      </c>
      <c r="X4914" s="5" t="s">
        <v>67</v>
      </c>
      <c r="Y4914" s="4">
        <v>150</v>
      </c>
      <c r="Z4914" s="4">
        <v>11</v>
      </c>
      <c r="AA4914" s="4">
        <v>48</v>
      </c>
      <c r="AB4914" s="4">
        <v>1</v>
      </c>
      <c r="AC4914" s="4">
        <v>8</v>
      </c>
      <c r="AD4914" s="4">
        <v>26</v>
      </c>
      <c r="AE4914" s="4">
        <v>82</v>
      </c>
      <c r="AF4914" s="4">
        <v>0</v>
      </c>
      <c r="AG4914" s="4">
        <v>5</v>
      </c>
      <c r="AH4914" s="4">
        <v>22</v>
      </c>
      <c r="AI4914" s="4">
        <v>64</v>
      </c>
      <c r="AJ4914" s="4">
        <v>5</v>
      </c>
      <c r="AK4914" s="4">
        <v>16</v>
      </c>
      <c r="AL4914" s="4">
        <v>9</v>
      </c>
      <c r="AM4914" s="4">
        <v>29</v>
      </c>
      <c r="AN4914" s="4">
        <v>0</v>
      </c>
      <c r="AO4914" s="4">
        <v>0</v>
      </c>
      <c r="AP4914" s="4">
        <v>7</v>
      </c>
      <c r="AQ4914" s="4">
        <v>24</v>
      </c>
      <c r="AR4914" s="3" t="s">
        <v>62</v>
      </c>
      <c r="AS4914" s="3" t="s">
        <v>62</v>
      </c>
      <c r="AT4914" s="3" t="s">
        <v>61</v>
      </c>
      <c r="AU4914" s="6" t="str">
        <f>HYPERLINK("http://catalog.hathitrust.org/Record/009147726","HathiTrust Record")</f>
        <v>HathiTrust Record</v>
      </c>
      <c r="AV4914" s="6" t="str">
        <f>HYPERLINK("http://mcgill.on.worldcat.org/oclc/46508048","Catalog Record")</f>
        <v>Catalog Record</v>
      </c>
      <c r="AW4914" s="6" t="str">
        <f>HYPERLINK("http://www.worldcat.org/oclc/46508048","WorldCat Record")</f>
        <v>WorldCat Record</v>
      </c>
      <c r="AX4914" s="3" t="s">
        <v>47292</v>
      </c>
      <c r="AY4914" s="3" t="s">
        <v>47293</v>
      </c>
      <c r="AZ4914" s="3" t="s">
        <v>47294</v>
      </c>
      <c r="BA4914" s="3" t="s">
        <v>47294</v>
      </c>
      <c r="BB4914" s="3" t="s">
        <v>47295</v>
      </c>
      <c r="BC4914" s="3" t="s">
        <v>102</v>
      </c>
      <c r="BD4914" s="3" t="s">
        <v>68</v>
      </c>
      <c r="BE4914" s="3" t="s">
        <v>47296</v>
      </c>
      <c r="BF4914" s="3" t="s">
        <v>47295</v>
      </c>
      <c r="BG4914" s="3" t="s">
        <v>47297</v>
      </c>
    </row>
    <row r="4915" spans="1:59" ht="58" x14ac:dyDescent="0.35">
      <c r="A4915" s="2" t="s">
        <v>89</v>
      </c>
      <c r="B4915" s="2" t="s">
        <v>90</v>
      </c>
      <c r="C4915" s="2" t="s">
        <v>47298</v>
      </c>
      <c r="D4915" s="2" t="s">
        <v>47299</v>
      </c>
      <c r="E4915" s="2" t="s">
        <v>47300</v>
      </c>
      <c r="G4915" s="3" t="s">
        <v>62</v>
      </c>
      <c r="I4915" s="3" t="s">
        <v>62</v>
      </c>
      <c r="J4915" s="3" t="s">
        <v>62</v>
      </c>
      <c r="K4915" s="3" t="s">
        <v>63</v>
      </c>
      <c r="L4915" s="2" t="s">
        <v>47301</v>
      </c>
      <c r="M4915" s="2" t="s">
        <v>47302</v>
      </c>
      <c r="N4915" s="3" t="s">
        <v>129</v>
      </c>
      <c r="O4915" s="2" t="s">
        <v>1941</v>
      </c>
      <c r="P4915" s="3" t="s">
        <v>64</v>
      </c>
      <c r="Q4915" s="2" t="s">
        <v>5130</v>
      </c>
      <c r="R4915" s="3" t="s">
        <v>46535</v>
      </c>
      <c r="S4915" s="4">
        <v>19</v>
      </c>
      <c r="T4915" s="4">
        <v>19</v>
      </c>
      <c r="U4915" s="5" t="s">
        <v>17128</v>
      </c>
      <c r="V4915" s="5" t="s">
        <v>17128</v>
      </c>
      <c r="W4915" s="5" t="s">
        <v>67</v>
      </c>
      <c r="X4915" s="5" t="s">
        <v>67</v>
      </c>
      <c r="Y4915" s="4">
        <v>2230</v>
      </c>
      <c r="Z4915" s="4">
        <v>60</v>
      </c>
      <c r="AA4915" s="4">
        <v>75</v>
      </c>
      <c r="AB4915" s="4">
        <v>3</v>
      </c>
      <c r="AC4915" s="4">
        <v>8</v>
      </c>
      <c r="AD4915" s="4">
        <v>93</v>
      </c>
      <c r="AE4915" s="4">
        <v>102</v>
      </c>
      <c r="AF4915" s="4">
        <v>0</v>
      </c>
      <c r="AG4915" s="4">
        <v>0</v>
      </c>
      <c r="AH4915" s="4">
        <v>84</v>
      </c>
      <c r="AI4915" s="4">
        <v>89</v>
      </c>
      <c r="AJ4915" s="4">
        <v>11</v>
      </c>
      <c r="AK4915" s="4">
        <v>13</v>
      </c>
      <c r="AL4915" s="4">
        <v>47</v>
      </c>
      <c r="AM4915" s="4">
        <v>49</v>
      </c>
      <c r="AN4915" s="4">
        <v>0</v>
      </c>
      <c r="AO4915" s="4">
        <v>0</v>
      </c>
      <c r="AP4915" s="4">
        <v>14</v>
      </c>
      <c r="AQ4915" s="4">
        <v>17</v>
      </c>
      <c r="AR4915" s="3" t="s">
        <v>62</v>
      </c>
      <c r="AS4915" s="3" t="s">
        <v>62</v>
      </c>
      <c r="AT4915" s="3" t="s">
        <v>62</v>
      </c>
      <c r="AV4915" s="6" t="str">
        <f>HYPERLINK("http://mcgill.on.worldcat.org/oclc/811599508","Catalog Record")</f>
        <v>Catalog Record</v>
      </c>
      <c r="AW4915" s="6" t="str">
        <f>HYPERLINK("http://www.worldcat.org/oclc/811599508","WorldCat Record")</f>
        <v>WorldCat Record</v>
      </c>
      <c r="AX4915" s="3" t="s">
        <v>47303</v>
      </c>
      <c r="AY4915" s="3" t="s">
        <v>47304</v>
      </c>
      <c r="AZ4915" s="3" t="s">
        <v>47305</v>
      </c>
      <c r="BA4915" s="3" t="s">
        <v>47305</v>
      </c>
      <c r="BB4915" s="3" t="s">
        <v>47306</v>
      </c>
      <c r="BC4915" s="3" t="s">
        <v>102</v>
      </c>
      <c r="BD4915" s="3" t="s">
        <v>68</v>
      </c>
      <c r="BE4915" s="3" t="s">
        <v>47307</v>
      </c>
      <c r="BF4915" s="3" t="s">
        <v>47306</v>
      </c>
      <c r="BG4915" s="3" t="s">
        <v>47308</v>
      </c>
    </row>
    <row r="4916" spans="1:59" ht="58" x14ac:dyDescent="0.35">
      <c r="A4916" s="2" t="s">
        <v>59</v>
      </c>
      <c r="B4916" s="2" t="s">
        <v>60</v>
      </c>
      <c r="C4916" s="2" t="s">
        <v>47309</v>
      </c>
      <c r="D4916" s="2" t="s">
        <v>47310</v>
      </c>
      <c r="E4916" s="2" t="s">
        <v>47311</v>
      </c>
      <c r="G4916" s="3" t="s">
        <v>62</v>
      </c>
      <c r="I4916" s="3" t="s">
        <v>62</v>
      </c>
      <c r="J4916" s="3" t="s">
        <v>62</v>
      </c>
      <c r="K4916" s="3" t="s">
        <v>63</v>
      </c>
      <c r="L4916" s="2" t="s">
        <v>47312</v>
      </c>
      <c r="M4916" s="2" t="s">
        <v>47313</v>
      </c>
      <c r="N4916" s="3" t="s">
        <v>481</v>
      </c>
      <c r="P4916" s="3" t="s">
        <v>64</v>
      </c>
      <c r="R4916" s="3" t="s">
        <v>46535</v>
      </c>
      <c r="S4916" s="4">
        <v>2</v>
      </c>
      <c r="T4916" s="4">
        <v>2</v>
      </c>
      <c r="U4916" s="5" t="s">
        <v>22814</v>
      </c>
      <c r="V4916" s="5" t="s">
        <v>22814</v>
      </c>
      <c r="W4916" s="5" t="s">
        <v>67</v>
      </c>
      <c r="X4916" s="5" t="s">
        <v>67</v>
      </c>
      <c r="Y4916" s="4">
        <v>130</v>
      </c>
      <c r="Z4916" s="4">
        <v>9</v>
      </c>
      <c r="AA4916" s="4">
        <v>9</v>
      </c>
      <c r="AB4916" s="4">
        <v>1</v>
      </c>
      <c r="AC4916" s="4">
        <v>1</v>
      </c>
      <c r="AD4916" s="4">
        <v>41</v>
      </c>
      <c r="AE4916" s="4">
        <v>41</v>
      </c>
      <c r="AF4916" s="4">
        <v>0</v>
      </c>
      <c r="AG4916" s="4">
        <v>0</v>
      </c>
      <c r="AH4916" s="4">
        <v>37</v>
      </c>
      <c r="AI4916" s="4">
        <v>37</v>
      </c>
      <c r="AJ4916" s="4">
        <v>7</v>
      </c>
      <c r="AK4916" s="4">
        <v>7</v>
      </c>
      <c r="AL4916" s="4">
        <v>18</v>
      </c>
      <c r="AM4916" s="4">
        <v>18</v>
      </c>
      <c r="AN4916" s="4">
        <v>0</v>
      </c>
      <c r="AO4916" s="4">
        <v>0</v>
      </c>
      <c r="AP4916" s="4">
        <v>8</v>
      </c>
      <c r="AQ4916" s="4">
        <v>8</v>
      </c>
      <c r="AR4916" s="3" t="s">
        <v>62</v>
      </c>
      <c r="AS4916" s="3" t="s">
        <v>62</v>
      </c>
      <c r="AT4916" s="3" t="s">
        <v>61</v>
      </c>
      <c r="AU4916" s="6" t="str">
        <f>HYPERLINK("http://catalog.hathitrust.org/Record/003185011","HathiTrust Record")</f>
        <v>HathiTrust Record</v>
      </c>
      <c r="AV4916" s="6" t="str">
        <f>HYPERLINK("http://mcgill.on.worldcat.org/oclc/36977129","Catalog Record")</f>
        <v>Catalog Record</v>
      </c>
      <c r="AW4916" s="6" t="str">
        <f>HYPERLINK("http://www.worldcat.org/oclc/36977129","WorldCat Record")</f>
        <v>WorldCat Record</v>
      </c>
      <c r="AX4916" s="3" t="s">
        <v>47314</v>
      </c>
      <c r="AY4916" s="3" t="s">
        <v>47315</v>
      </c>
      <c r="AZ4916" s="3" t="s">
        <v>47316</v>
      </c>
      <c r="BA4916" s="3" t="s">
        <v>47316</v>
      </c>
      <c r="BB4916" s="3" t="s">
        <v>47317</v>
      </c>
      <c r="BC4916" s="3" t="s">
        <v>102</v>
      </c>
      <c r="BD4916" s="3" t="s">
        <v>68</v>
      </c>
      <c r="BE4916" s="3" t="s">
        <v>47318</v>
      </c>
      <c r="BF4916" s="3" t="s">
        <v>47317</v>
      </c>
      <c r="BG4916" s="3" t="s">
        <v>47319</v>
      </c>
    </row>
    <row r="4917" spans="1:59" ht="58" x14ac:dyDescent="0.35">
      <c r="A4917" s="2" t="s">
        <v>89</v>
      </c>
      <c r="B4917" s="2" t="s">
        <v>90</v>
      </c>
      <c r="C4917" s="2" t="s">
        <v>47320</v>
      </c>
      <c r="D4917" s="2" t="s">
        <v>47321</v>
      </c>
      <c r="E4917" s="2" t="s">
        <v>47322</v>
      </c>
      <c r="G4917" s="3" t="s">
        <v>62</v>
      </c>
      <c r="I4917" s="3" t="s">
        <v>61</v>
      </c>
      <c r="J4917" s="3" t="s">
        <v>61</v>
      </c>
      <c r="K4917" s="3" t="s">
        <v>63</v>
      </c>
      <c r="L4917" s="2" t="s">
        <v>47323</v>
      </c>
      <c r="M4917" s="2" t="s">
        <v>16901</v>
      </c>
      <c r="N4917" s="3" t="s">
        <v>355</v>
      </c>
      <c r="P4917" s="3" t="s">
        <v>64</v>
      </c>
      <c r="R4917" s="3" t="s">
        <v>46535</v>
      </c>
      <c r="S4917" s="4">
        <v>46</v>
      </c>
      <c r="T4917" s="4">
        <v>131</v>
      </c>
      <c r="U4917" s="5" t="s">
        <v>47324</v>
      </c>
      <c r="V4917" s="5" t="s">
        <v>47325</v>
      </c>
      <c r="W4917" s="5" t="s">
        <v>67</v>
      </c>
      <c r="X4917" s="5" t="s">
        <v>67</v>
      </c>
      <c r="Y4917" s="4">
        <v>410</v>
      </c>
      <c r="Z4917" s="4">
        <v>26</v>
      </c>
      <c r="AA4917" s="4">
        <v>53</v>
      </c>
      <c r="AB4917" s="4">
        <v>4</v>
      </c>
      <c r="AC4917" s="4">
        <v>12</v>
      </c>
      <c r="AD4917" s="4">
        <v>88</v>
      </c>
      <c r="AE4917" s="4">
        <v>136</v>
      </c>
      <c r="AF4917" s="4">
        <v>1</v>
      </c>
      <c r="AG4917" s="4">
        <v>5</v>
      </c>
      <c r="AH4917" s="4">
        <v>74</v>
      </c>
      <c r="AI4917" s="4">
        <v>110</v>
      </c>
      <c r="AJ4917" s="4">
        <v>12</v>
      </c>
      <c r="AK4917" s="4">
        <v>24</v>
      </c>
      <c r="AL4917" s="4">
        <v>39</v>
      </c>
      <c r="AM4917" s="4">
        <v>58</v>
      </c>
      <c r="AN4917" s="4">
        <v>0</v>
      </c>
      <c r="AO4917" s="4">
        <v>0</v>
      </c>
      <c r="AP4917" s="4">
        <v>17</v>
      </c>
      <c r="AQ4917" s="4">
        <v>32</v>
      </c>
      <c r="AR4917" s="3" t="s">
        <v>62</v>
      </c>
      <c r="AS4917" s="3" t="s">
        <v>62</v>
      </c>
      <c r="AT4917" s="3" t="s">
        <v>61</v>
      </c>
      <c r="AU4917" s="6" t="str">
        <f>HYPERLINK("http://catalog.hathitrust.org/Record/004417217","HathiTrust Record")</f>
        <v>HathiTrust Record</v>
      </c>
      <c r="AV4917" s="6" t="str">
        <f>HYPERLINK("http://mcgill.on.worldcat.org/oclc/9465699","Catalog Record")</f>
        <v>Catalog Record</v>
      </c>
      <c r="AW4917" s="6" t="str">
        <f>HYPERLINK("http://www.worldcat.org/oclc/9465699","WorldCat Record")</f>
        <v>WorldCat Record</v>
      </c>
      <c r="AX4917" s="3" t="s">
        <v>47326</v>
      </c>
      <c r="AY4917" s="3" t="s">
        <v>47327</v>
      </c>
      <c r="AZ4917" s="3" t="s">
        <v>47328</v>
      </c>
      <c r="BA4917" s="3" t="s">
        <v>47328</v>
      </c>
      <c r="BB4917" s="3" t="s">
        <v>47329</v>
      </c>
      <c r="BC4917" s="3" t="s">
        <v>102</v>
      </c>
      <c r="BD4917" s="3" t="s">
        <v>68</v>
      </c>
      <c r="BE4917" s="3" t="s">
        <v>47330</v>
      </c>
      <c r="BF4917" s="3" t="s">
        <v>47329</v>
      </c>
      <c r="BG4917" s="3" t="s">
        <v>47331</v>
      </c>
    </row>
    <row r="4918" spans="1:59" ht="58" x14ac:dyDescent="0.35">
      <c r="A4918" s="2" t="s">
        <v>89</v>
      </c>
      <c r="B4918" s="2" t="s">
        <v>90</v>
      </c>
      <c r="C4918" s="2" t="s">
        <v>47320</v>
      </c>
      <c r="D4918" s="2" t="s">
        <v>47321</v>
      </c>
      <c r="E4918" s="2" t="s">
        <v>47322</v>
      </c>
      <c r="G4918" s="3" t="s">
        <v>62</v>
      </c>
      <c r="I4918" s="3" t="s">
        <v>61</v>
      </c>
      <c r="J4918" s="3" t="s">
        <v>61</v>
      </c>
      <c r="K4918" s="3" t="s">
        <v>63</v>
      </c>
      <c r="L4918" s="2" t="s">
        <v>47323</v>
      </c>
      <c r="M4918" s="2" t="s">
        <v>16901</v>
      </c>
      <c r="N4918" s="3" t="s">
        <v>355</v>
      </c>
      <c r="P4918" s="3" t="s">
        <v>64</v>
      </c>
      <c r="R4918" s="3" t="s">
        <v>46535</v>
      </c>
      <c r="S4918" s="4">
        <v>10</v>
      </c>
      <c r="T4918" s="4">
        <v>131</v>
      </c>
      <c r="U4918" s="5" t="s">
        <v>47325</v>
      </c>
      <c r="V4918" s="5" t="s">
        <v>47325</v>
      </c>
      <c r="W4918" s="5" t="s">
        <v>67</v>
      </c>
      <c r="X4918" s="5" t="s">
        <v>67</v>
      </c>
      <c r="Y4918" s="4">
        <v>410</v>
      </c>
      <c r="Z4918" s="4">
        <v>26</v>
      </c>
      <c r="AA4918" s="4">
        <v>53</v>
      </c>
      <c r="AB4918" s="4">
        <v>4</v>
      </c>
      <c r="AC4918" s="4">
        <v>12</v>
      </c>
      <c r="AD4918" s="4">
        <v>88</v>
      </c>
      <c r="AE4918" s="4">
        <v>136</v>
      </c>
      <c r="AF4918" s="4">
        <v>1</v>
      </c>
      <c r="AG4918" s="4">
        <v>5</v>
      </c>
      <c r="AH4918" s="4">
        <v>74</v>
      </c>
      <c r="AI4918" s="4">
        <v>110</v>
      </c>
      <c r="AJ4918" s="4">
        <v>12</v>
      </c>
      <c r="AK4918" s="4">
        <v>24</v>
      </c>
      <c r="AL4918" s="4">
        <v>39</v>
      </c>
      <c r="AM4918" s="4">
        <v>58</v>
      </c>
      <c r="AN4918" s="4">
        <v>0</v>
      </c>
      <c r="AO4918" s="4">
        <v>0</v>
      </c>
      <c r="AP4918" s="4">
        <v>17</v>
      </c>
      <c r="AQ4918" s="4">
        <v>32</v>
      </c>
      <c r="AR4918" s="3" t="s">
        <v>62</v>
      </c>
      <c r="AS4918" s="3" t="s">
        <v>62</v>
      </c>
      <c r="AT4918" s="3" t="s">
        <v>61</v>
      </c>
      <c r="AU4918" s="6" t="str">
        <f>HYPERLINK("http://catalog.hathitrust.org/Record/004417217","HathiTrust Record")</f>
        <v>HathiTrust Record</v>
      </c>
      <c r="AV4918" s="6" t="str">
        <f>HYPERLINK("http://mcgill.on.worldcat.org/oclc/9465699","Catalog Record")</f>
        <v>Catalog Record</v>
      </c>
      <c r="AW4918" s="6" t="str">
        <f>HYPERLINK("http://www.worldcat.org/oclc/9465699","WorldCat Record")</f>
        <v>WorldCat Record</v>
      </c>
      <c r="AX4918" s="3" t="s">
        <v>47326</v>
      </c>
      <c r="AY4918" s="3" t="s">
        <v>47327</v>
      </c>
      <c r="AZ4918" s="3" t="s">
        <v>47328</v>
      </c>
      <c r="BA4918" s="3" t="s">
        <v>47328</v>
      </c>
      <c r="BB4918" s="3" t="s">
        <v>47332</v>
      </c>
      <c r="BC4918" s="3" t="s">
        <v>102</v>
      </c>
      <c r="BD4918" s="3" t="s">
        <v>68</v>
      </c>
      <c r="BE4918" s="3" t="s">
        <v>47330</v>
      </c>
      <c r="BF4918" s="3" t="s">
        <v>47332</v>
      </c>
      <c r="BG4918" s="3" t="s">
        <v>47333</v>
      </c>
    </row>
    <row r="4919" spans="1:59" ht="58" x14ac:dyDescent="0.35">
      <c r="A4919" s="2" t="s">
        <v>59</v>
      </c>
      <c r="B4919" s="2" t="s">
        <v>60</v>
      </c>
      <c r="C4919" s="2" t="s">
        <v>47334</v>
      </c>
      <c r="D4919" s="2" t="s">
        <v>47335</v>
      </c>
      <c r="E4919" s="2" t="s">
        <v>47336</v>
      </c>
      <c r="G4919" s="3" t="s">
        <v>62</v>
      </c>
      <c r="I4919" s="3" t="s">
        <v>61</v>
      </c>
      <c r="J4919" s="3" t="s">
        <v>62</v>
      </c>
      <c r="K4919" s="3" t="s">
        <v>63</v>
      </c>
      <c r="M4919" s="2" t="s">
        <v>47337</v>
      </c>
      <c r="N4919" s="3" t="s">
        <v>2445</v>
      </c>
      <c r="P4919" s="3" t="s">
        <v>64</v>
      </c>
      <c r="R4919" s="3" t="s">
        <v>46535</v>
      </c>
      <c r="S4919" s="4">
        <v>0</v>
      </c>
      <c r="T4919" s="4">
        <v>4</v>
      </c>
      <c r="V4919" s="5" t="s">
        <v>7432</v>
      </c>
      <c r="W4919" s="5" t="s">
        <v>67</v>
      </c>
      <c r="X4919" s="5" t="s">
        <v>67</v>
      </c>
      <c r="Y4919" s="4">
        <v>158</v>
      </c>
      <c r="Z4919" s="4">
        <v>5</v>
      </c>
      <c r="AA4919" s="4">
        <v>6</v>
      </c>
      <c r="AB4919" s="4">
        <v>1</v>
      </c>
      <c r="AC4919" s="4">
        <v>2</v>
      </c>
      <c r="AD4919" s="4">
        <v>65</v>
      </c>
      <c r="AE4919" s="4">
        <v>66</v>
      </c>
      <c r="AF4919" s="4">
        <v>0</v>
      </c>
      <c r="AG4919" s="4">
        <v>1</v>
      </c>
      <c r="AH4919" s="4">
        <v>59</v>
      </c>
      <c r="AI4919" s="4">
        <v>59</v>
      </c>
      <c r="AJ4919" s="4">
        <v>3</v>
      </c>
      <c r="AK4919" s="4">
        <v>4</v>
      </c>
      <c r="AL4919" s="4">
        <v>37</v>
      </c>
      <c r="AM4919" s="4">
        <v>37</v>
      </c>
      <c r="AN4919" s="4">
        <v>0</v>
      </c>
      <c r="AO4919" s="4">
        <v>0</v>
      </c>
      <c r="AP4919" s="4">
        <v>3</v>
      </c>
      <c r="AQ4919" s="4">
        <v>3</v>
      </c>
      <c r="AR4919" s="3" t="s">
        <v>62</v>
      </c>
      <c r="AS4919" s="3" t="s">
        <v>62</v>
      </c>
      <c r="AT4919" s="3" t="s">
        <v>62</v>
      </c>
      <c r="AV4919" s="6" t="str">
        <f>HYPERLINK("http://mcgill.on.worldcat.org/oclc/542255","Catalog Record")</f>
        <v>Catalog Record</v>
      </c>
      <c r="AW4919" s="6" t="str">
        <f>HYPERLINK("http://www.worldcat.org/oclc/542255","WorldCat Record")</f>
        <v>WorldCat Record</v>
      </c>
      <c r="AX4919" s="3" t="s">
        <v>47338</v>
      </c>
      <c r="AY4919" s="3" t="s">
        <v>47339</v>
      </c>
      <c r="AZ4919" s="3" t="s">
        <v>47340</v>
      </c>
      <c r="BA4919" s="3" t="s">
        <v>47340</v>
      </c>
      <c r="BB4919" s="3" t="s">
        <v>47341</v>
      </c>
      <c r="BC4919" s="3" t="s">
        <v>102</v>
      </c>
      <c r="BD4919" s="3" t="s">
        <v>68</v>
      </c>
      <c r="BF4919" s="3" t="s">
        <v>47341</v>
      </c>
      <c r="BG4919" s="3" t="s">
        <v>47342</v>
      </c>
    </row>
    <row r="4920" spans="1:59" ht="87" x14ac:dyDescent="0.35">
      <c r="A4920" s="2" t="s">
        <v>89</v>
      </c>
      <c r="B4920" s="2" t="s">
        <v>11757</v>
      </c>
      <c r="C4920" s="2" t="s">
        <v>47343</v>
      </c>
      <c r="D4920" s="2" t="s">
        <v>47344</v>
      </c>
      <c r="E4920" s="2" t="s">
        <v>47345</v>
      </c>
      <c r="G4920" s="3" t="s">
        <v>62</v>
      </c>
      <c r="I4920" s="3" t="s">
        <v>62</v>
      </c>
      <c r="J4920" s="3" t="s">
        <v>62</v>
      </c>
      <c r="K4920" s="3" t="s">
        <v>63</v>
      </c>
      <c r="L4920" s="2" t="s">
        <v>47346</v>
      </c>
      <c r="M4920" s="2" t="s">
        <v>46336</v>
      </c>
      <c r="N4920" s="3" t="s">
        <v>625</v>
      </c>
      <c r="P4920" s="3" t="s">
        <v>64</v>
      </c>
      <c r="R4920" s="3" t="s">
        <v>46535</v>
      </c>
      <c r="S4920" s="4">
        <v>1</v>
      </c>
      <c r="T4920" s="4">
        <v>1</v>
      </c>
      <c r="U4920" s="5" t="s">
        <v>1325</v>
      </c>
      <c r="V4920" s="5" t="s">
        <v>1325</v>
      </c>
      <c r="W4920" s="5" t="s">
        <v>67</v>
      </c>
      <c r="X4920" s="5" t="s">
        <v>67</v>
      </c>
      <c r="Y4920" s="4">
        <v>297</v>
      </c>
      <c r="Z4920" s="4">
        <v>27</v>
      </c>
      <c r="AA4920" s="4">
        <v>31</v>
      </c>
      <c r="AB4920" s="4">
        <v>1</v>
      </c>
      <c r="AC4920" s="4">
        <v>5</v>
      </c>
      <c r="AD4920" s="4">
        <v>80</v>
      </c>
      <c r="AE4920" s="4">
        <v>83</v>
      </c>
      <c r="AF4920" s="4">
        <v>0</v>
      </c>
      <c r="AG4920" s="4">
        <v>3</v>
      </c>
      <c r="AH4920" s="4">
        <v>67</v>
      </c>
      <c r="AI4920" s="4">
        <v>68</v>
      </c>
      <c r="AJ4920" s="4">
        <v>16</v>
      </c>
      <c r="AK4920" s="4">
        <v>19</v>
      </c>
      <c r="AL4920" s="4">
        <v>32</v>
      </c>
      <c r="AM4920" s="4">
        <v>32</v>
      </c>
      <c r="AN4920" s="4">
        <v>0</v>
      </c>
      <c r="AO4920" s="4">
        <v>0</v>
      </c>
      <c r="AP4920" s="4">
        <v>23</v>
      </c>
      <c r="AQ4920" s="4">
        <v>25</v>
      </c>
      <c r="AR4920" s="3" t="s">
        <v>62</v>
      </c>
      <c r="AS4920" s="3" t="s">
        <v>62</v>
      </c>
      <c r="AT4920" s="3" t="s">
        <v>61</v>
      </c>
      <c r="AU4920" s="6" t="str">
        <f>HYPERLINK("http://catalog.hathitrust.org/Record/003852407","HathiTrust Record")</f>
        <v>HathiTrust Record</v>
      </c>
      <c r="AV4920" s="6" t="str">
        <f>HYPERLINK("http://mcgill.on.worldcat.org/oclc/51336858","Catalog Record")</f>
        <v>Catalog Record</v>
      </c>
      <c r="AW4920" s="6" t="str">
        <f>HYPERLINK("http://www.worldcat.org/oclc/51336858","WorldCat Record")</f>
        <v>WorldCat Record</v>
      </c>
      <c r="AX4920" s="3" t="s">
        <v>47347</v>
      </c>
      <c r="AY4920" s="3" t="s">
        <v>47348</v>
      </c>
      <c r="AZ4920" s="3" t="s">
        <v>47349</v>
      </c>
      <c r="BA4920" s="3" t="s">
        <v>47349</v>
      </c>
      <c r="BB4920" s="3" t="s">
        <v>47350</v>
      </c>
      <c r="BC4920" s="3" t="s">
        <v>102</v>
      </c>
      <c r="BD4920" s="3" t="s">
        <v>68</v>
      </c>
      <c r="BE4920" s="3" t="s">
        <v>47351</v>
      </c>
      <c r="BF4920" s="3" t="s">
        <v>47350</v>
      </c>
      <c r="BG4920" s="3" t="s">
        <v>47352</v>
      </c>
    </row>
    <row r="4921" spans="1:59" ht="58" x14ac:dyDescent="0.35">
      <c r="A4921" s="2" t="s">
        <v>89</v>
      </c>
      <c r="B4921" s="2" t="s">
        <v>90</v>
      </c>
      <c r="C4921" s="2" t="s">
        <v>47353</v>
      </c>
      <c r="D4921" s="2" t="s">
        <v>47354</v>
      </c>
      <c r="E4921" s="2" t="s">
        <v>47355</v>
      </c>
      <c r="G4921" s="3" t="s">
        <v>62</v>
      </c>
      <c r="I4921" s="3" t="s">
        <v>61</v>
      </c>
      <c r="J4921" s="3" t="s">
        <v>62</v>
      </c>
      <c r="K4921" s="3" t="s">
        <v>63</v>
      </c>
      <c r="L4921" s="2" t="s">
        <v>33424</v>
      </c>
      <c r="M4921" s="2" t="s">
        <v>47356</v>
      </c>
      <c r="N4921" s="3" t="s">
        <v>625</v>
      </c>
      <c r="P4921" s="3" t="s">
        <v>64</v>
      </c>
      <c r="Q4921" s="2" t="s">
        <v>47357</v>
      </c>
      <c r="R4921" s="3" t="s">
        <v>46535</v>
      </c>
      <c r="S4921" s="4">
        <v>3</v>
      </c>
      <c r="T4921" s="4">
        <v>5</v>
      </c>
      <c r="U4921" s="5" t="s">
        <v>314</v>
      </c>
      <c r="V4921" s="5" t="s">
        <v>314</v>
      </c>
      <c r="W4921" s="5" t="s">
        <v>67</v>
      </c>
      <c r="X4921" s="5" t="s">
        <v>67</v>
      </c>
      <c r="Y4921" s="4">
        <v>155</v>
      </c>
      <c r="Z4921" s="4">
        <v>13</v>
      </c>
      <c r="AA4921" s="4">
        <v>14</v>
      </c>
      <c r="AB4921" s="4">
        <v>1</v>
      </c>
      <c r="AC4921" s="4">
        <v>2</v>
      </c>
      <c r="AD4921" s="4">
        <v>79</v>
      </c>
      <c r="AE4921" s="4">
        <v>81</v>
      </c>
      <c r="AF4921" s="4">
        <v>0</v>
      </c>
      <c r="AG4921" s="4">
        <v>0</v>
      </c>
      <c r="AH4921" s="4">
        <v>75</v>
      </c>
      <c r="AI4921" s="4">
        <v>77</v>
      </c>
      <c r="AJ4921" s="4">
        <v>9</v>
      </c>
      <c r="AK4921" s="4">
        <v>9</v>
      </c>
      <c r="AL4921" s="4">
        <v>49</v>
      </c>
      <c r="AM4921" s="4">
        <v>51</v>
      </c>
      <c r="AN4921" s="4">
        <v>0</v>
      </c>
      <c r="AO4921" s="4">
        <v>0</v>
      </c>
      <c r="AP4921" s="4">
        <v>9</v>
      </c>
      <c r="AQ4921" s="4">
        <v>9</v>
      </c>
      <c r="AR4921" s="3" t="s">
        <v>62</v>
      </c>
      <c r="AS4921" s="3" t="s">
        <v>62</v>
      </c>
      <c r="AT4921" s="3" t="s">
        <v>62</v>
      </c>
      <c r="AV4921" s="6" t="str">
        <f>HYPERLINK("http://mcgill.on.worldcat.org/oclc/51210459","Catalog Record")</f>
        <v>Catalog Record</v>
      </c>
      <c r="AW4921" s="6" t="str">
        <f>HYPERLINK("http://www.worldcat.org/oclc/51210459","WorldCat Record")</f>
        <v>WorldCat Record</v>
      </c>
      <c r="AX4921" s="3" t="s">
        <v>47358</v>
      </c>
      <c r="AY4921" s="3" t="s">
        <v>47359</v>
      </c>
      <c r="AZ4921" s="3" t="s">
        <v>47360</v>
      </c>
      <c r="BA4921" s="3" t="s">
        <v>47360</v>
      </c>
      <c r="BB4921" s="3" t="s">
        <v>47361</v>
      </c>
      <c r="BC4921" s="3" t="s">
        <v>102</v>
      </c>
      <c r="BD4921" s="3" t="s">
        <v>68</v>
      </c>
      <c r="BE4921" s="3" t="s">
        <v>47362</v>
      </c>
      <c r="BF4921" s="3" t="s">
        <v>47361</v>
      </c>
      <c r="BG4921" s="3" t="s">
        <v>47363</v>
      </c>
    </row>
    <row r="4922" spans="1:59" ht="58" x14ac:dyDescent="0.35">
      <c r="A4922" s="2" t="s">
        <v>89</v>
      </c>
      <c r="B4922" s="2" t="s">
        <v>90</v>
      </c>
      <c r="C4922" s="2" t="s">
        <v>47364</v>
      </c>
      <c r="D4922" s="2" t="s">
        <v>47365</v>
      </c>
      <c r="E4922" s="2" t="s">
        <v>47366</v>
      </c>
      <c r="G4922" s="3" t="s">
        <v>62</v>
      </c>
      <c r="I4922" s="3" t="s">
        <v>62</v>
      </c>
      <c r="J4922" s="3" t="s">
        <v>62</v>
      </c>
      <c r="K4922" s="3" t="s">
        <v>63</v>
      </c>
      <c r="L4922" s="2" t="s">
        <v>47367</v>
      </c>
      <c r="M4922" s="2" t="s">
        <v>47368</v>
      </c>
      <c r="N4922" s="3" t="s">
        <v>396</v>
      </c>
      <c r="P4922" s="3" t="s">
        <v>64</v>
      </c>
      <c r="R4922" s="3" t="s">
        <v>46535</v>
      </c>
      <c r="S4922" s="4">
        <v>24</v>
      </c>
      <c r="T4922" s="4">
        <v>24</v>
      </c>
      <c r="U4922" s="5" t="s">
        <v>3146</v>
      </c>
      <c r="V4922" s="5" t="s">
        <v>3146</v>
      </c>
      <c r="W4922" s="5" t="s">
        <v>67</v>
      </c>
      <c r="X4922" s="5" t="s">
        <v>67</v>
      </c>
      <c r="Y4922" s="4">
        <v>249</v>
      </c>
      <c r="Z4922" s="4">
        <v>8</v>
      </c>
      <c r="AA4922" s="4">
        <v>8</v>
      </c>
      <c r="AB4922" s="4">
        <v>4</v>
      </c>
      <c r="AC4922" s="4">
        <v>4</v>
      </c>
      <c r="AD4922" s="4">
        <v>38</v>
      </c>
      <c r="AE4922" s="4">
        <v>38</v>
      </c>
      <c r="AF4922" s="4">
        <v>1</v>
      </c>
      <c r="AG4922" s="4">
        <v>1</v>
      </c>
      <c r="AH4922" s="4">
        <v>37</v>
      </c>
      <c r="AI4922" s="4">
        <v>37</v>
      </c>
      <c r="AJ4922" s="4">
        <v>2</v>
      </c>
      <c r="AK4922" s="4">
        <v>2</v>
      </c>
      <c r="AL4922" s="4">
        <v>19</v>
      </c>
      <c r="AM4922" s="4">
        <v>19</v>
      </c>
      <c r="AN4922" s="4">
        <v>0</v>
      </c>
      <c r="AO4922" s="4">
        <v>0</v>
      </c>
      <c r="AP4922" s="4">
        <v>2</v>
      </c>
      <c r="AQ4922" s="4">
        <v>2</v>
      </c>
      <c r="AR4922" s="3" t="s">
        <v>62</v>
      </c>
      <c r="AS4922" s="3" t="s">
        <v>62</v>
      </c>
      <c r="AT4922" s="3" t="s">
        <v>61</v>
      </c>
      <c r="AU4922" s="6" t="str">
        <f>HYPERLINK("http://catalog.hathitrust.org/Record/000435259","HathiTrust Record")</f>
        <v>HathiTrust Record</v>
      </c>
      <c r="AV4922" s="6" t="str">
        <f>HYPERLINK("http://mcgill.on.worldcat.org/oclc/12864514","Catalog Record")</f>
        <v>Catalog Record</v>
      </c>
      <c r="AW4922" s="6" t="str">
        <f>HYPERLINK("http://www.worldcat.org/oclc/12864514","WorldCat Record")</f>
        <v>WorldCat Record</v>
      </c>
      <c r="AX4922" s="3" t="s">
        <v>47369</v>
      </c>
      <c r="AY4922" s="3" t="s">
        <v>47370</v>
      </c>
      <c r="AZ4922" s="3" t="s">
        <v>47371</v>
      </c>
      <c r="BA4922" s="3" t="s">
        <v>47371</v>
      </c>
      <c r="BB4922" s="3" t="s">
        <v>47372</v>
      </c>
      <c r="BC4922" s="3" t="s">
        <v>102</v>
      </c>
      <c r="BD4922" s="3" t="s">
        <v>68</v>
      </c>
      <c r="BE4922" s="3" t="s">
        <v>47373</v>
      </c>
      <c r="BF4922" s="3" t="s">
        <v>47372</v>
      </c>
      <c r="BG4922" s="3" t="s">
        <v>47374</v>
      </c>
    </row>
    <row r="4923" spans="1:59" ht="58" x14ac:dyDescent="0.35">
      <c r="A4923" s="2" t="s">
        <v>89</v>
      </c>
      <c r="B4923" s="2" t="s">
        <v>90</v>
      </c>
      <c r="C4923" s="2" t="s">
        <v>47375</v>
      </c>
      <c r="D4923" s="2" t="s">
        <v>47376</v>
      </c>
      <c r="E4923" s="2" t="s">
        <v>47377</v>
      </c>
      <c r="G4923" s="3" t="s">
        <v>62</v>
      </c>
      <c r="I4923" s="3" t="s">
        <v>61</v>
      </c>
      <c r="J4923" s="3" t="s">
        <v>62</v>
      </c>
      <c r="K4923" s="3" t="s">
        <v>63</v>
      </c>
      <c r="L4923" s="2" t="s">
        <v>47378</v>
      </c>
      <c r="M4923" s="2" t="s">
        <v>45754</v>
      </c>
      <c r="N4923" s="3" t="s">
        <v>1482</v>
      </c>
      <c r="O4923" s="2" t="s">
        <v>2986</v>
      </c>
      <c r="P4923" s="3" t="s">
        <v>64</v>
      </c>
      <c r="R4923" s="3" t="s">
        <v>46535</v>
      </c>
      <c r="S4923" s="4">
        <v>24</v>
      </c>
      <c r="T4923" s="4">
        <v>62</v>
      </c>
      <c r="U4923" s="5" t="s">
        <v>47379</v>
      </c>
      <c r="V4923" s="5" t="s">
        <v>27510</v>
      </c>
      <c r="W4923" s="5" t="s">
        <v>67</v>
      </c>
      <c r="X4923" s="5" t="s">
        <v>67</v>
      </c>
      <c r="Y4923" s="4">
        <v>179</v>
      </c>
      <c r="Z4923" s="4">
        <v>17</v>
      </c>
      <c r="AA4923" s="4">
        <v>21</v>
      </c>
      <c r="AB4923" s="4">
        <v>2</v>
      </c>
      <c r="AC4923" s="4">
        <v>5</v>
      </c>
      <c r="AD4923" s="4">
        <v>79</v>
      </c>
      <c r="AE4923" s="4">
        <v>85</v>
      </c>
      <c r="AF4923" s="4">
        <v>0</v>
      </c>
      <c r="AG4923" s="4">
        <v>2</v>
      </c>
      <c r="AH4923" s="4">
        <v>72</v>
      </c>
      <c r="AI4923" s="4">
        <v>75</v>
      </c>
      <c r="AJ4923" s="4">
        <v>12</v>
      </c>
      <c r="AK4923" s="4">
        <v>14</v>
      </c>
      <c r="AL4923" s="4">
        <v>41</v>
      </c>
      <c r="AM4923" s="4">
        <v>42</v>
      </c>
      <c r="AN4923" s="4">
        <v>0</v>
      </c>
      <c r="AO4923" s="4">
        <v>0</v>
      </c>
      <c r="AP4923" s="4">
        <v>13</v>
      </c>
      <c r="AQ4923" s="4">
        <v>15</v>
      </c>
      <c r="AR4923" s="3" t="s">
        <v>62</v>
      </c>
      <c r="AS4923" s="3" t="s">
        <v>62</v>
      </c>
      <c r="AT4923" s="3" t="s">
        <v>61</v>
      </c>
      <c r="AU4923" s="6" t="str">
        <f>HYPERLINK("http://catalog.hathitrust.org/Record/000491422","HathiTrust Record")</f>
        <v>HathiTrust Record</v>
      </c>
      <c r="AV4923" s="6" t="str">
        <f>HYPERLINK("http://mcgill.on.worldcat.org/oclc/13793388","Catalog Record")</f>
        <v>Catalog Record</v>
      </c>
      <c r="AW4923" s="6" t="str">
        <f>HYPERLINK("http://www.worldcat.org/oclc/13793388","WorldCat Record")</f>
        <v>WorldCat Record</v>
      </c>
      <c r="AX4923" s="3" t="s">
        <v>47380</v>
      </c>
      <c r="AY4923" s="3" t="s">
        <v>47381</v>
      </c>
      <c r="AZ4923" s="3" t="s">
        <v>47382</v>
      </c>
      <c r="BA4923" s="3" t="s">
        <v>47382</v>
      </c>
      <c r="BB4923" s="3" t="s">
        <v>47383</v>
      </c>
      <c r="BC4923" s="3" t="s">
        <v>102</v>
      </c>
      <c r="BD4923" s="3" t="s">
        <v>68</v>
      </c>
      <c r="BE4923" s="3" t="s">
        <v>47384</v>
      </c>
      <c r="BF4923" s="3" t="s">
        <v>47383</v>
      </c>
      <c r="BG4923" s="3" t="s">
        <v>47385</v>
      </c>
    </row>
    <row r="4924" spans="1:59" ht="58" x14ac:dyDescent="0.35">
      <c r="A4924" s="2" t="s">
        <v>89</v>
      </c>
      <c r="B4924" s="2" t="s">
        <v>90</v>
      </c>
      <c r="C4924" s="2" t="s">
        <v>47386</v>
      </c>
      <c r="D4924" s="2" t="s">
        <v>47387</v>
      </c>
      <c r="E4924" s="2" t="s">
        <v>47388</v>
      </c>
      <c r="G4924" s="3" t="s">
        <v>62</v>
      </c>
      <c r="I4924" s="3" t="s">
        <v>62</v>
      </c>
      <c r="J4924" s="3" t="s">
        <v>62</v>
      </c>
      <c r="K4924" s="3" t="s">
        <v>63</v>
      </c>
      <c r="L4924" s="2" t="s">
        <v>47389</v>
      </c>
      <c r="M4924" s="2" t="s">
        <v>47390</v>
      </c>
      <c r="N4924" s="3" t="s">
        <v>2000</v>
      </c>
      <c r="P4924" s="3" t="s">
        <v>64</v>
      </c>
      <c r="R4924" s="3" t="s">
        <v>46535</v>
      </c>
      <c r="S4924" s="4">
        <v>39</v>
      </c>
      <c r="T4924" s="4">
        <v>39</v>
      </c>
      <c r="U4924" s="5" t="s">
        <v>42101</v>
      </c>
      <c r="V4924" s="5" t="s">
        <v>42101</v>
      </c>
      <c r="W4924" s="5" t="s">
        <v>67</v>
      </c>
      <c r="X4924" s="5" t="s">
        <v>67</v>
      </c>
      <c r="Y4924" s="4">
        <v>73</v>
      </c>
      <c r="Z4924" s="4">
        <v>3</v>
      </c>
      <c r="AA4924" s="4">
        <v>9</v>
      </c>
      <c r="AB4924" s="4">
        <v>1</v>
      </c>
      <c r="AC4924" s="4">
        <v>3</v>
      </c>
      <c r="AD4924" s="4">
        <v>18</v>
      </c>
      <c r="AE4924" s="4">
        <v>27</v>
      </c>
      <c r="AF4924" s="4">
        <v>0</v>
      </c>
      <c r="AG4924" s="4">
        <v>0</v>
      </c>
      <c r="AH4924" s="4">
        <v>18</v>
      </c>
      <c r="AI4924" s="4">
        <v>26</v>
      </c>
      <c r="AJ4924" s="4">
        <v>2</v>
      </c>
      <c r="AK4924" s="4">
        <v>2</v>
      </c>
      <c r="AL4924" s="4">
        <v>10</v>
      </c>
      <c r="AM4924" s="4">
        <v>12</v>
      </c>
      <c r="AN4924" s="4">
        <v>0</v>
      </c>
      <c r="AO4924" s="4">
        <v>0</v>
      </c>
      <c r="AP4924" s="4">
        <v>2</v>
      </c>
      <c r="AQ4924" s="4">
        <v>3</v>
      </c>
      <c r="AR4924" s="3" t="s">
        <v>62</v>
      </c>
      <c r="AS4924" s="3" t="s">
        <v>62</v>
      </c>
      <c r="AT4924" s="3" t="s">
        <v>62</v>
      </c>
      <c r="AV4924" s="6" t="str">
        <f>HYPERLINK("http://mcgill.on.worldcat.org/oclc/34884285","Catalog Record")</f>
        <v>Catalog Record</v>
      </c>
      <c r="AW4924" s="6" t="str">
        <f>HYPERLINK("http://www.worldcat.org/oclc/34884285","WorldCat Record")</f>
        <v>WorldCat Record</v>
      </c>
      <c r="AX4924" s="3" t="s">
        <v>47391</v>
      </c>
      <c r="AY4924" s="3" t="s">
        <v>47392</v>
      </c>
      <c r="AZ4924" s="3" t="s">
        <v>47393</v>
      </c>
      <c r="BA4924" s="3" t="s">
        <v>47393</v>
      </c>
      <c r="BB4924" s="3" t="s">
        <v>47394</v>
      </c>
      <c r="BC4924" s="3" t="s">
        <v>102</v>
      </c>
      <c r="BD4924" s="3" t="s">
        <v>68</v>
      </c>
      <c r="BE4924" s="3" t="s">
        <v>47395</v>
      </c>
      <c r="BF4924" s="3" t="s">
        <v>47394</v>
      </c>
      <c r="BG4924" s="3" t="s">
        <v>47396</v>
      </c>
    </row>
    <row r="4925" spans="1:59" ht="58" x14ac:dyDescent="0.35">
      <c r="A4925" s="2" t="s">
        <v>89</v>
      </c>
      <c r="B4925" s="2" t="s">
        <v>90</v>
      </c>
      <c r="C4925" s="2" t="s">
        <v>47397</v>
      </c>
      <c r="D4925" s="2" t="s">
        <v>47398</v>
      </c>
      <c r="E4925" s="2" t="s">
        <v>47399</v>
      </c>
      <c r="G4925" s="3" t="s">
        <v>62</v>
      </c>
      <c r="I4925" s="3" t="s">
        <v>62</v>
      </c>
      <c r="J4925" s="3" t="s">
        <v>62</v>
      </c>
      <c r="K4925" s="3" t="s">
        <v>63</v>
      </c>
      <c r="L4925" s="2" t="s">
        <v>47400</v>
      </c>
      <c r="M4925" s="2" t="s">
        <v>47401</v>
      </c>
      <c r="N4925" s="3" t="s">
        <v>726</v>
      </c>
      <c r="P4925" s="3" t="s">
        <v>85</v>
      </c>
      <c r="R4925" s="3" t="s">
        <v>46535</v>
      </c>
      <c r="S4925" s="4">
        <v>0</v>
      </c>
      <c r="T4925" s="4">
        <v>0</v>
      </c>
      <c r="W4925" s="5" t="s">
        <v>67</v>
      </c>
      <c r="X4925" s="5" t="s">
        <v>67</v>
      </c>
      <c r="Y4925" s="4">
        <v>3</v>
      </c>
      <c r="Z4925" s="4">
        <v>3</v>
      </c>
      <c r="AA4925" s="4">
        <v>14</v>
      </c>
      <c r="AB4925" s="4">
        <v>1</v>
      </c>
      <c r="AC4925" s="4">
        <v>6</v>
      </c>
      <c r="AD4925" s="4">
        <v>0</v>
      </c>
      <c r="AE4925" s="4">
        <v>5</v>
      </c>
      <c r="AF4925" s="4">
        <v>0</v>
      </c>
      <c r="AG4925" s="4">
        <v>3</v>
      </c>
      <c r="AH4925" s="4">
        <v>0</v>
      </c>
      <c r="AI4925" s="4">
        <v>1</v>
      </c>
      <c r="AJ4925" s="4">
        <v>0</v>
      </c>
      <c r="AK4925" s="4">
        <v>3</v>
      </c>
      <c r="AL4925" s="4">
        <v>0</v>
      </c>
      <c r="AM4925" s="4">
        <v>0</v>
      </c>
      <c r="AN4925" s="4">
        <v>0</v>
      </c>
      <c r="AO4925" s="4">
        <v>0</v>
      </c>
      <c r="AP4925" s="4">
        <v>0</v>
      </c>
      <c r="AQ4925" s="4">
        <v>4</v>
      </c>
      <c r="AR4925" s="3" t="s">
        <v>61</v>
      </c>
      <c r="AS4925" s="3" t="s">
        <v>62</v>
      </c>
      <c r="AT4925" s="3" t="s">
        <v>62</v>
      </c>
      <c r="AV4925" s="6" t="str">
        <f>HYPERLINK("http://mcgill.on.worldcat.org/oclc/999374863","Catalog Record")</f>
        <v>Catalog Record</v>
      </c>
      <c r="AW4925" s="6" t="str">
        <f>HYPERLINK("http://www.worldcat.org/oclc/999374863","WorldCat Record")</f>
        <v>WorldCat Record</v>
      </c>
      <c r="AX4925" s="3" t="s">
        <v>47402</v>
      </c>
      <c r="AY4925" s="3" t="s">
        <v>47403</v>
      </c>
      <c r="AZ4925" s="3" t="s">
        <v>47404</v>
      </c>
      <c r="BA4925" s="3" t="s">
        <v>47404</v>
      </c>
      <c r="BB4925" s="3" t="s">
        <v>47405</v>
      </c>
      <c r="BC4925" s="3" t="s">
        <v>102</v>
      </c>
      <c r="BD4925" s="3" t="s">
        <v>68</v>
      </c>
      <c r="BE4925" s="3" t="s">
        <v>47406</v>
      </c>
      <c r="BF4925" s="3" t="s">
        <v>47405</v>
      </c>
      <c r="BG4925" s="3" t="s">
        <v>47407</v>
      </c>
    </row>
    <row r="4926" spans="1:59" ht="58" x14ac:dyDescent="0.35">
      <c r="A4926" s="2" t="s">
        <v>59</v>
      </c>
      <c r="B4926" s="2" t="s">
        <v>60</v>
      </c>
      <c r="C4926" s="2" t="s">
        <v>47408</v>
      </c>
      <c r="D4926" s="2" t="s">
        <v>47409</v>
      </c>
      <c r="E4926" s="2" t="s">
        <v>47410</v>
      </c>
      <c r="G4926" s="3" t="s">
        <v>62</v>
      </c>
      <c r="I4926" s="3" t="s">
        <v>62</v>
      </c>
      <c r="J4926" s="3" t="s">
        <v>62</v>
      </c>
      <c r="K4926" s="3" t="s">
        <v>63</v>
      </c>
      <c r="L4926" s="2" t="s">
        <v>47411</v>
      </c>
      <c r="M4926" s="2" t="s">
        <v>47412</v>
      </c>
      <c r="N4926" s="3" t="s">
        <v>640</v>
      </c>
      <c r="O4926" s="2" t="s">
        <v>2163</v>
      </c>
      <c r="P4926" s="3" t="s">
        <v>64</v>
      </c>
      <c r="R4926" s="3" t="s">
        <v>46535</v>
      </c>
      <c r="S4926" s="4">
        <v>2</v>
      </c>
      <c r="T4926" s="4">
        <v>2</v>
      </c>
      <c r="U4926" s="5" t="s">
        <v>14379</v>
      </c>
      <c r="V4926" s="5" t="s">
        <v>14379</v>
      </c>
      <c r="W4926" s="5" t="s">
        <v>67</v>
      </c>
      <c r="X4926" s="5" t="s">
        <v>67</v>
      </c>
      <c r="Y4926" s="4">
        <v>787</v>
      </c>
      <c r="Z4926" s="4">
        <v>44</v>
      </c>
      <c r="AA4926" s="4">
        <v>44</v>
      </c>
      <c r="AB4926" s="4">
        <v>4</v>
      </c>
      <c r="AC4926" s="4">
        <v>4</v>
      </c>
      <c r="AD4926" s="4">
        <v>103</v>
      </c>
      <c r="AE4926" s="4">
        <v>103</v>
      </c>
      <c r="AF4926" s="4">
        <v>0</v>
      </c>
      <c r="AG4926" s="4">
        <v>0</v>
      </c>
      <c r="AH4926" s="4">
        <v>91</v>
      </c>
      <c r="AI4926" s="4">
        <v>91</v>
      </c>
      <c r="AJ4926" s="4">
        <v>15</v>
      </c>
      <c r="AK4926" s="4">
        <v>15</v>
      </c>
      <c r="AL4926" s="4">
        <v>45</v>
      </c>
      <c r="AM4926" s="4">
        <v>45</v>
      </c>
      <c r="AN4926" s="4">
        <v>0</v>
      </c>
      <c r="AO4926" s="4">
        <v>0</v>
      </c>
      <c r="AP4926" s="4">
        <v>20</v>
      </c>
      <c r="AQ4926" s="4">
        <v>20</v>
      </c>
      <c r="AR4926" s="3" t="s">
        <v>62</v>
      </c>
      <c r="AS4926" s="3" t="s">
        <v>62</v>
      </c>
      <c r="AT4926" s="3" t="s">
        <v>62</v>
      </c>
      <c r="AV4926" s="6" t="str">
        <f>HYPERLINK("http://mcgill.on.worldcat.org/oclc/53970701","Catalog Record")</f>
        <v>Catalog Record</v>
      </c>
      <c r="AW4926" s="6" t="str">
        <f>HYPERLINK("http://www.worldcat.org/oclc/53970701","WorldCat Record")</f>
        <v>WorldCat Record</v>
      </c>
      <c r="AX4926" s="3" t="s">
        <v>47413</v>
      </c>
      <c r="AY4926" s="3" t="s">
        <v>47414</v>
      </c>
      <c r="AZ4926" s="3" t="s">
        <v>47415</v>
      </c>
      <c r="BA4926" s="3" t="s">
        <v>47415</v>
      </c>
      <c r="BB4926" s="3" t="s">
        <v>47416</v>
      </c>
      <c r="BC4926" s="3" t="s">
        <v>102</v>
      </c>
      <c r="BD4926" s="3" t="s">
        <v>68</v>
      </c>
      <c r="BE4926" s="3" t="s">
        <v>47417</v>
      </c>
      <c r="BF4926" s="3" t="s">
        <v>47416</v>
      </c>
      <c r="BG4926" s="3" t="s">
        <v>47418</v>
      </c>
    </row>
    <row r="4927" spans="1:59" ht="58" x14ac:dyDescent="0.35">
      <c r="A4927" s="2" t="s">
        <v>89</v>
      </c>
      <c r="B4927" s="2" t="s">
        <v>90</v>
      </c>
      <c r="C4927" s="2" t="s">
        <v>47419</v>
      </c>
      <c r="D4927" s="2" t="s">
        <v>47420</v>
      </c>
      <c r="E4927" s="2" t="s">
        <v>47421</v>
      </c>
      <c r="G4927" s="3" t="s">
        <v>62</v>
      </c>
      <c r="I4927" s="3" t="s">
        <v>62</v>
      </c>
      <c r="J4927" s="3" t="s">
        <v>62</v>
      </c>
      <c r="K4927" s="3" t="s">
        <v>63</v>
      </c>
      <c r="L4927" s="2" t="s">
        <v>47422</v>
      </c>
      <c r="M4927" s="2" t="s">
        <v>3353</v>
      </c>
      <c r="N4927" s="3" t="s">
        <v>2136</v>
      </c>
      <c r="P4927" s="3" t="s">
        <v>64</v>
      </c>
      <c r="R4927" s="3" t="s">
        <v>46535</v>
      </c>
      <c r="S4927" s="4">
        <v>22</v>
      </c>
      <c r="T4927" s="4">
        <v>22</v>
      </c>
      <c r="U4927" s="5" t="s">
        <v>18035</v>
      </c>
      <c r="V4927" s="5" t="s">
        <v>18035</v>
      </c>
      <c r="W4927" s="5" t="s">
        <v>67</v>
      </c>
      <c r="X4927" s="5" t="s">
        <v>67</v>
      </c>
      <c r="Y4927" s="4">
        <v>556</v>
      </c>
      <c r="Z4927" s="4">
        <v>45</v>
      </c>
      <c r="AA4927" s="4">
        <v>120</v>
      </c>
      <c r="AB4927" s="4">
        <v>3</v>
      </c>
      <c r="AC4927" s="4">
        <v>18</v>
      </c>
      <c r="AD4927" s="4">
        <v>126</v>
      </c>
      <c r="AE4927" s="4">
        <v>152</v>
      </c>
      <c r="AF4927" s="4">
        <v>1</v>
      </c>
      <c r="AG4927" s="4">
        <v>8</v>
      </c>
      <c r="AH4927" s="4">
        <v>105</v>
      </c>
      <c r="AI4927" s="4">
        <v>110</v>
      </c>
      <c r="AJ4927" s="4">
        <v>18</v>
      </c>
      <c r="AK4927" s="4">
        <v>23</v>
      </c>
      <c r="AL4927" s="4">
        <v>56</v>
      </c>
      <c r="AM4927" s="4">
        <v>58</v>
      </c>
      <c r="AN4927" s="4">
        <v>0</v>
      </c>
      <c r="AO4927" s="4">
        <v>0</v>
      </c>
      <c r="AP4927" s="4">
        <v>30</v>
      </c>
      <c r="AQ4927" s="4">
        <v>51</v>
      </c>
      <c r="AR4927" s="3" t="s">
        <v>62</v>
      </c>
      <c r="AS4927" s="3" t="s">
        <v>62</v>
      </c>
      <c r="AT4927" s="3" t="s">
        <v>62</v>
      </c>
      <c r="AV4927" s="6" t="str">
        <f>HYPERLINK("http://mcgill.on.worldcat.org/oclc/56671859","Catalog Record")</f>
        <v>Catalog Record</v>
      </c>
      <c r="AW4927" s="6" t="str">
        <f>HYPERLINK("http://www.worldcat.org/oclc/56671859","WorldCat Record")</f>
        <v>WorldCat Record</v>
      </c>
      <c r="AX4927" s="3" t="s">
        <v>47423</v>
      </c>
      <c r="AY4927" s="3" t="s">
        <v>47424</v>
      </c>
      <c r="AZ4927" s="3" t="s">
        <v>47425</v>
      </c>
      <c r="BA4927" s="3" t="s">
        <v>47425</v>
      </c>
      <c r="BB4927" s="3" t="s">
        <v>47426</v>
      </c>
      <c r="BC4927" s="3" t="s">
        <v>102</v>
      </c>
      <c r="BD4927" s="3" t="s">
        <v>68</v>
      </c>
      <c r="BE4927" s="3" t="s">
        <v>47427</v>
      </c>
      <c r="BF4927" s="3" t="s">
        <v>47426</v>
      </c>
      <c r="BG4927" s="3" t="s">
        <v>47428</v>
      </c>
    </row>
    <row r="4928" spans="1:59" ht="58" x14ac:dyDescent="0.35">
      <c r="A4928" s="2" t="s">
        <v>89</v>
      </c>
      <c r="B4928" s="2" t="s">
        <v>90</v>
      </c>
      <c r="C4928" s="2" t="s">
        <v>47429</v>
      </c>
      <c r="D4928" s="2" t="s">
        <v>47430</v>
      </c>
      <c r="E4928" s="2" t="s">
        <v>47431</v>
      </c>
      <c r="G4928" s="3" t="s">
        <v>62</v>
      </c>
      <c r="I4928" s="3" t="s">
        <v>61</v>
      </c>
      <c r="J4928" s="3" t="s">
        <v>62</v>
      </c>
      <c r="K4928" s="3" t="s">
        <v>63</v>
      </c>
      <c r="M4928" s="2" t="s">
        <v>47432</v>
      </c>
      <c r="N4928" s="3" t="s">
        <v>1905</v>
      </c>
      <c r="P4928" s="3" t="s">
        <v>64</v>
      </c>
      <c r="R4928" s="3" t="s">
        <v>46535</v>
      </c>
      <c r="S4928" s="4">
        <v>59</v>
      </c>
      <c r="T4928" s="4">
        <v>93</v>
      </c>
      <c r="U4928" s="5" t="s">
        <v>301</v>
      </c>
      <c r="V4928" s="5" t="s">
        <v>301</v>
      </c>
      <c r="W4928" s="5" t="s">
        <v>67</v>
      </c>
      <c r="X4928" s="5" t="s">
        <v>67</v>
      </c>
      <c r="Y4928" s="4">
        <v>763</v>
      </c>
      <c r="Z4928" s="4">
        <v>46</v>
      </c>
      <c r="AA4928" s="4">
        <v>49</v>
      </c>
      <c r="AB4928" s="4">
        <v>3</v>
      </c>
      <c r="AC4928" s="4">
        <v>6</v>
      </c>
      <c r="AD4928" s="4">
        <v>130</v>
      </c>
      <c r="AE4928" s="4">
        <v>131</v>
      </c>
      <c r="AF4928" s="4">
        <v>2</v>
      </c>
      <c r="AG4928" s="4">
        <v>3</v>
      </c>
      <c r="AH4928" s="4">
        <v>102</v>
      </c>
      <c r="AI4928" s="4">
        <v>102</v>
      </c>
      <c r="AJ4928" s="4">
        <v>20</v>
      </c>
      <c r="AK4928" s="4">
        <v>21</v>
      </c>
      <c r="AL4928" s="4">
        <v>56</v>
      </c>
      <c r="AM4928" s="4">
        <v>56</v>
      </c>
      <c r="AN4928" s="4">
        <v>0</v>
      </c>
      <c r="AO4928" s="4">
        <v>0</v>
      </c>
      <c r="AP4928" s="4">
        <v>36</v>
      </c>
      <c r="AQ4928" s="4">
        <v>37</v>
      </c>
      <c r="AR4928" s="3" t="s">
        <v>62</v>
      </c>
      <c r="AS4928" s="3" t="s">
        <v>62</v>
      </c>
      <c r="AT4928" s="3" t="s">
        <v>62</v>
      </c>
      <c r="AV4928" s="6" t="str">
        <f>HYPERLINK("http://mcgill.on.worldcat.org/oclc/14188031","Catalog Record")</f>
        <v>Catalog Record</v>
      </c>
      <c r="AW4928" s="6" t="str">
        <f>HYPERLINK("http://www.worldcat.org/oclc/14188031","WorldCat Record")</f>
        <v>WorldCat Record</v>
      </c>
      <c r="AX4928" s="3" t="s">
        <v>47433</v>
      </c>
      <c r="AY4928" s="3" t="s">
        <v>47434</v>
      </c>
      <c r="AZ4928" s="3" t="s">
        <v>47435</v>
      </c>
      <c r="BA4928" s="3" t="s">
        <v>47435</v>
      </c>
      <c r="BB4928" s="3" t="s">
        <v>47436</v>
      </c>
      <c r="BC4928" s="3" t="s">
        <v>102</v>
      </c>
      <c r="BD4928" s="3" t="s">
        <v>68</v>
      </c>
      <c r="BE4928" s="3" t="s">
        <v>47437</v>
      </c>
      <c r="BF4928" s="3" t="s">
        <v>47436</v>
      </c>
      <c r="BG4928" s="3" t="s">
        <v>47438</v>
      </c>
    </row>
    <row r="4929" spans="1:59" ht="58" x14ac:dyDescent="0.35">
      <c r="A4929" s="2" t="s">
        <v>89</v>
      </c>
      <c r="B4929" s="2" t="s">
        <v>90</v>
      </c>
      <c r="C4929" s="2" t="s">
        <v>47439</v>
      </c>
      <c r="D4929" s="2" t="s">
        <v>47440</v>
      </c>
      <c r="E4929" s="2" t="s">
        <v>47441</v>
      </c>
      <c r="G4929" s="3" t="s">
        <v>62</v>
      </c>
      <c r="I4929" s="3" t="s">
        <v>61</v>
      </c>
      <c r="J4929" s="3" t="s">
        <v>62</v>
      </c>
      <c r="K4929" s="3" t="s">
        <v>63</v>
      </c>
      <c r="L4929" s="2" t="s">
        <v>47442</v>
      </c>
      <c r="M4929" s="2" t="s">
        <v>47443</v>
      </c>
      <c r="N4929" s="3" t="s">
        <v>1576</v>
      </c>
      <c r="O4929" s="2" t="s">
        <v>2163</v>
      </c>
      <c r="P4929" s="3" t="s">
        <v>64</v>
      </c>
      <c r="R4929" s="3" t="s">
        <v>46535</v>
      </c>
      <c r="S4929" s="4">
        <v>8</v>
      </c>
      <c r="T4929" s="4">
        <v>51</v>
      </c>
      <c r="U4929" s="5" t="s">
        <v>47444</v>
      </c>
      <c r="V4929" s="5" t="s">
        <v>8928</v>
      </c>
      <c r="W4929" s="5" t="s">
        <v>67</v>
      </c>
      <c r="X4929" s="5" t="s">
        <v>67</v>
      </c>
      <c r="Y4929" s="4">
        <v>2158</v>
      </c>
      <c r="Z4929" s="4">
        <v>79</v>
      </c>
      <c r="AA4929" s="4">
        <v>93</v>
      </c>
      <c r="AB4929" s="4">
        <v>3</v>
      </c>
      <c r="AC4929" s="4">
        <v>11</v>
      </c>
      <c r="AD4929" s="4">
        <v>153</v>
      </c>
      <c r="AE4929" s="4">
        <v>160</v>
      </c>
      <c r="AF4929" s="4">
        <v>0</v>
      </c>
      <c r="AG4929" s="4">
        <v>4</v>
      </c>
      <c r="AH4929" s="4">
        <v>114</v>
      </c>
      <c r="AI4929" s="4">
        <v>117</v>
      </c>
      <c r="AJ4929" s="4">
        <v>24</v>
      </c>
      <c r="AK4929" s="4">
        <v>28</v>
      </c>
      <c r="AL4929" s="4">
        <v>62</v>
      </c>
      <c r="AM4929" s="4">
        <v>63</v>
      </c>
      <c r="AN4929" s="4">
        <v>0</v>
      </c>
      <c r="AO4929" s="4">
        <v>0</v>
      </c>
      <c r="AP4929" s="4">
        <v>41</v>
      </c>
      <c r="AQ4929" s="4">
        <v>45</v>
      </c>
      <c r="AR4929" s="3" t="s">
        <v>62</v>
      </c>
      <c r="AS4929" s="3" t="s">
        <v>62</v>
      </c>
      <c r="AT4929" s="3" t="s">
        <v>61</v>
      </c>
      <c r="AU4929" s="6" t="str">
        <f>HYPERLINK("http://catalog.hathitrust.org/Record/001554227","HathiTrust Record")</f>
        <v>HathiTrust Record</v>
      </c>
      <c r="AV4929" s="6" t="str">
        <f>HYPERLINK("http://mcgill.on.worldcat.org/oclc/191468","Catalog Record")</f>
        <v>Catalog Record</v>
      </c>
      <c r="AW4929" s="6" t="str">
        <f>HYPERLINK("http://www.worldcat.org/oclc/191468","WorldCat Record")</f>
        <v>WorldCat Record</v>
      </c>
      <c r="AX4929" s="3" t="s">
        <v>47445</v>
      </c>
      <c r="AY4929" s="3" t="s">
        <v>47446</v>
      </c>
      <c r="AZ4929" s="3" t="s">
        <v>47447</v>
      </c>
      <c r="BA4929" s="3" t="s">
        <v>47447</v>
      </c>
      <c r="BB4929" s="3" t="s">
        <v>47448</v>
      </c>
      <c r="BC4929" s="3" t="s">
        <v>102</v>
      </c>
      <c r="BD4929" s="3" t="s">
        <v>68</v>
      </c>
      <c r="BE4929" s="3" t="s">
        <v>47449</v>
      </c>
      <c r="BF4929" s="3" t="s">
        <v>47448</v>
      </c>
      <c r="BG4929" s="3" t="s">
        <v>47450</v>
      </c>
    </row>
    <row r="4930" spans="1:59" ht="58" x14ac:dyDescent="0.35">
      <c r="A4930" s="2" t="s">
        <v>89</v>
      </c>
      <c r="B4930" s="2" t="s">
        <v>90</v>
      </c>
      <c r="C4930" s="2" t="s">
        <v>47439</v>
      </c>
      <c r="D4930" s="2" t="s">
        <v>47440</v>
      </c>
      <c r="E4930" s="2" t="s">
        <v>47441</v>
      </c>
      <c r="G4930" s="3" t="s">
        <v>62</v>
      </c>
      <c r="I4930" s="3" t="s">
        <v>61</v>
      </c>
      <c r="J4930" s="3" t="s">
        <v>62</v>
      </c>
      <c r="K4930" s="3" t="s">
        <v>63</v>
      </c>
      <c r="L4930" s="2" t="s">
        <v>47442</v>
      </c>
      <c r="M4930" s="2" t="s">
        <v>47443</v>
      </c>
      <c r="N4930" s="3" t="s">
        <v>1576</v>
      </c>
      <c r="O4930" s="2" t="s">
        <v>2163</v>
      </c>
      <c r="P4930" s="3" t="s">
        <v>64</v>
      </c>
      <c r="R4930" s="3" t="s">
        <v>46535</v>
      </c>
      <c r="S4930" s="4">
        <v>0</v>
      </c>
      <c r="T4930" s="4">
        <v>51</v>
      </c>
      <c r="V4930" s="5" t="s">
        <v>8928</v>
      </c>
      <c r="W4930" s="5" t="s">
        <v>67</v>
      </c>
      <c r="X4930" s="5" t="s">
        <v>67</v>
      </c>
      <c r="Y4930" s="4">
        <v>2158</v>
      </c>
      <c r="Z4930" s="4">
        <v>79</v>
      </c>
      <c r="AA4930" s="4">
        <v>93</v>
      </c>
      <c r="AB4930" s="4">
        <v>3</v>
      </c>
      <c r="AC4930" s="4">
        <v>11</v>
      </c>
      <c r="AD4930" s="4">
        <v>153</v>
      </c>
      <c r="AE4930" s="4">
        <v>160</v>
      </c>
      <c r="AF4930" s="4">
        <v>0</v>
      </c>
      <c r="AG4930" s="4">
        <v>4</v>
      </c>
      <c r="AH4930" s="4">
        <v>114</v>
      </c>
      <c r="AI4930" s="4">
        <v>117</v>
      </c>
      <c r="AJ4930" s="4">
        <v>24</v>
      </c>
      <c r="AK4930" s="4">
        <v>28</v>
      </c>
      <c r="AL4930" s="4">
        <v>62</v>
      </c>
      <c r="AM4930" s="4">
        <v>63</v>
      </c>
      <c r="AN4930" s="4">
        <v>0</v>
      </c>
      <c r="AO4930" s="4">
        <v>0</v>
      </c>
      <c r="AP4930" s="4">
        <v>41</v>
      </c>
      <c r="AQ4930" s="4">
        <v>45</v>
      </c>
      <c r="AR4930" s="3" t="s">
        <v>62</v>
      </c>
      <c r="AS4930" s="3" t="s">
        <v>62</v>
      </c>
      <c r="AT4930" s="3" t="s">
        <v>61</v>
      </c>
      <c r="AU4930" s="6" t="str">
        <f>HYPERLINK("http://catalog.hathitrust.org/Record/001554227","HathiTrust Record")</f>
        <v>HathiTrust Record</v>
      </c>
      <c r="AV4930" s="6" t="str">
        <f>HYPERLINK("http://mcgill.on.worldcat.org/oclc/191468","Catalog Record")</f>
        <v>Catalog Record</v>
      </c>
      <c r="AW4930" s="6" t="str">
        <f>HYPERLINK("http://www.worldcat.org/oclc/191468","WorldCat Record")</f>
        <v>WorldCat Record</v>
      </c>
      <c r="AX4930" s="3" t="s">
        <v>47445</v>
      </c>
      <c r="AY4930" s="3" t="s">
        <v>47446</v>
      </c>
      <c r="AZ4930" s="3" t="s">
        <v>47447</v>
      </c>
      <c r="BA4930" s="3" t="s">
        <v>47447</v>
      </c>
      <c r="BB4930" s="3" t="s">
        <v>47451</v>
      </c>
      <c r="BC4930" s="3" t="s">
        <v>102</v>
      </c>
      <c r="BD4930" s="3" t="s">
        <v>68</v>
      </c>
      <c r="BE4930" s="3" t="s">
        <v>47449</v>
      </c>
      <c r="BF4930" s="3" t="s">
        <v>47451</v>
      </c>
      <c r="BG4930" s="3" t="s">
        <v>47452</v>
      </c>
    </row>
    <row r="4931" spans="1:59" ht="58" x14ac:dyDescent="0.35">
      <c r="A4931" s="2" t="s">
        <v>89</v>
      </c>
      <c r="B4931" s="2" t="s">
        <v>90</v>
      </c>
      <c r="C4931" s="2" t="s">
        <v>47439</v>
      </c>
      <c r="D4931" s="2" t="s">
        <v>47440</v>
      </c>
      <c r="E4931" s="2" t="s">
        <v>47441</v>
      </c>
      <c r="G4931" s="3" t="s">
        <v>62</v>
      </c>
      <c r="I4931" s="3" t="s">
        <v>61</v>
      </c>
      <c r="J4931" s="3" t="s">
        <v>62</v>
      </c>
      <c r="K4931" s="3" t="s">
        <v>63</v>
      </c>
      <c r="L4931" s="2" t="s">
        <v>47442</v>
      </c>
      <c r="M4931" s="2" t="s">
        <v>47443</v>
      </c>
      <c r="N4931" s="3" t="s">
        <v>1576</v>
      </c>
      <c r="O4931" s="2" t="s">
        <v>2163</v>
      </c>
      <c r="P4931" s="3" t="s">
        <v>64</v>
      </c>
      <c r="R4931" s="3" t="s">
        <v>46535</v>
      </c>
      <c r="S4931" s="4">
        <v>43</v>
      </c>
      <c r="T4931" s="4">
        <v>51</v>
      </c>
      <c r="U4931" s="5" t="s">
        <v>8928</v>
      </c>
      <c r="V4931" s="5" t="s">
        <v>8928</v>
      </c>
      <c r="W4931" s="5" t="s">
        <v>67</v>
      </c>
      <c r="X4931" s="5" t="s">
        <v>67</v>
      </c>
      <c r="Y4931" s="4">
        <v>2158</v>
      </c>
      <c r="Z4931" s="4">
        <v>79</v>
      </c>
      <c r="AA4931" s="4">
        <v>93</v>
      </c>
      <c r="AB4931" s="4">
        <v>3</v>
      </c>
      <c r="AC4931" s="4">
        <v>11</v>
      </c>
      <c r="AD4931" s="4">
        <v>153</v>
      </c>
      <c r="AE4931" s="4">
        <v>160</v>
      </c>
      <c r="AF4931" s="4">
        <v>0</v>
      </c>
      <c r="AG4931" s="4">
        <v>4</v>
      </c>
      <c r="AH4931" s="4">
        <v>114</v>
      </c>
      <c r="AI4931" s="4">
        <v>117</v>
      </c>
      <c r="AJ4931" s="4">
        <v>24</v>
      </c>
      <c r="AK4931" s="4">
        <v>28</v>
      </c>
      <c r="AL4931" s="4">
        <v>62</v>
      </c>
      <c r="AM4931" s="4">
        <v>63</v>
      </c>
      <c r="AN4931" s="4">
        <v>0</v>
      </c>
      <c r="AO4931" s="4">
        <v>0</v>
      </c>
      <c r="AP4931" s="4">
        <v>41</v>
      </c>
      <c r="AQ4931" s="4">
        <v>45</v>
      </c>
      <c r="AR4931" s="3" t="s">
        <v>62</v>
      </c>
      <c r="AS4931" s="3" t="s">
        <v>62</v>
      </c>
      <c r="AT4931" s="3" t="s">
        <v>61</v>
      </c>
      <c r="AU4931" s="6" t="str">
        <f>HYPERLINK("http://catalog.hathitrust.org/Record/001554227","HathiTrust Record")</f>
        <v>HathiTrust Record</v>
      </c>
      <c r="AV4931" s="6" t="str">
        <f>HYPERLINK("http://mcgill.on.worldcat.org/oclc/191468","Catalog Record")</f>
        <v>Catalog Record</v>
      </c>
      <c r="AW4931" s="6" t="str">
        <f>HYPERLINK("http://www.worldcat.org/oclc/191468","WorldCat Record")</f>
        <v>WorldCat Record</v>
      </c>
      <c r="AX4931" s="3" t="s">
        <v>47445</v>
      </c>
      <c r="AY4931" s="3" t="s">
        <v>47446</v>
      </c>
      <c r="AZ4931" s="3" t="s">
        <v>47447</v>
      </c>
      <c r="BA4931" s="3" t="s">
        <v>47447</v>
      </c>
      <c r="BB4931" s="3" t="s">
        <v>47453</v>
      </c>
      <c r="BC4931" s="3" t="s">
        <v>102</v>
      </c>
      <c r="BD4931" s="3" t="s">
        <v>68</v>
      </c>
      <c r="BE4931" s="3" t="s">
        <v>47449</v>
      </c>
      <c r="BF4931" s="3" t="s">
        <v>47453</v>
      </c>
      <c r="BG4931" s="3" t="s">
        <v>47454</v>
      </c>
    </row>
    <row r="4932" spans="1:59" ht="58" x14ac:dyDescent="0.35">
      <c r="A4932" s="2" t="s">
        <v>89</v>
      </c>
      <c r="B4932" s="2" t="s">
        <v>90</v>
      </c>
      <c r="C4932" s="2" t="s">
        <v>47455</v>
      </c>
      <c r="D4932" s="2" t="s">
        <v>47456</v>
      </c>
      <c r="E4932" s="2" t="s">
        <v>47457</v>
      </c>
      <c r="G4932" s="3" t="s">
        <v>62</v>
      </c>
      <c r="I4932" s="3" t="s">
        <v>61</v>
      </c>
      <c r="J4932" s="3" t="s">
        <v>62</v>
      </c>
      <c r="K4932" s="3" t="s">
        <v>63</v>
      </c>
      <c r="L4932" s="2" t="s">
        <v>47458</v>
      </c>
      <c r="M4932" s="2" t="s">
        <v>47459</v>
      </c>
      <c r="N4932" s="3" t="s">
        <v>866</v>
      </c>
      <c r="P4932" s="3" t="s">
        <v>64</v>
      </c>
      <c r="R4932" s="3" t="s">
        <v>46535</v>
      </c>
      <c r="S4932" s="4">
        <v>9</v>
      </c>
      <c r="T4932" s="4">
        <v>34</v>
      </c>
      <c r="U4932" s="5" t="s">
        <v>3820</v>
      </c>
      <c r="V4932" s="5" t="s">
        <v>3820</v>
      </c>
      <c r="W4932" s="5" t="s">
        <v>67</v>
      </c>
      <c r="X4932" s="5" t="s">
        <v>67</v>
      </c>
      <c r="Y4932" s="4">
        <v>1018</v>
      </c>
      <c r="Z4932" s="4">
        <v>57</v>
      </c>
      <c r="AA4932" s="4">
        <v>71</v>
      </c>
      <c r="AB4932" s="4">
        <v>3</v>
      </c>
      <c r="AC4932" s="4">
        <v>12</v>
      </c>
      <c r="AD4932" s="4">
        <v>141</v>
      </c>
      <c r="AE4932" s="4">
        <v>147</v>
      </c>
      <c r="AF4932" s="4">
        <v>1</v>
      </c>
      <c r="AG4932" s="4">
        <v>4</v>
      </c>
      <c r="AH4932" s="4">
        <v>109</v>
      </c>
      <c r="AI4932" s="4">
        <v>111</v>
      </c>
      <c r="AJ4932" s="4">
        <v>24</v>
      </c>
      <c r="AK4932" s="4">
        <v>27</v>
      </c>
      <c r="AL4932" s="4">
        <v>60</v>
      </c>
      <c r="AM4932" s="4">
        <v>60</v>
      </c>
      <c r="AN4932" s="4">
        <v>0</v>
      </c>
      <c r="AO4932" s="4">
        <v>0</v>
      </c>
      <c r="AP4932" s="4">
        <v>36</v>
      </c>
      <c r="AQ4932" s="4">
        <v>42</v>
      </c>
      <c r="AR4932" s="3" t="s">
        <v>62</v>
      </c>
      <c r="AS4932" s="3" t="s">
        <v>62</v>
      </c>
      <c r="AT4932" s="3" t="s">
        <v>61</v>
      </c>
      <c r="AU4932" s="6" t="str">
        <f>HYPERLINK("http://catalog.hathitrust.org/Record/001554231","HathiTrust Record")</f>
        <v>HathiTrust Record</v>
      </c>
      <c r="AV4932" s="6" t="str">
        <f>HYPERLINK("http://mcgill.on.worldcat.org/oclc/447288","Catalog Record")</f>
        <v>Catalog Record</v>
      </c>
      <c r="AW4932" s="6" t="str">
        <f>HYPERLINK("http://www.worldcat.org/oclc/447288","WorldCat Record")</f>
        <v>WorldCat Record</v>
      </c>
      <c r="AX4932" s="3" t="s">
        <v>47460</v>
      </c>
      <c r="AY4932" s="3" t="s">
        <v>47461</v>
      </c>
      <c r="AZ4932" s="3" t="s">
        <v>47462</v>
      </c>
      <c r="BA4932" s="3" t="s">
        <v>47462</v>
      </c>
      <c r="BB4932" s="3" t="s">
        <v>47463</v>
      </c>
      <c r="BC4932" s="3" t="s">
        <v>102</v>
      </c>
      <c r="BD4932" s="3" t="s">
        <v>68</v>
      </c>
      <c r="BE4932" s="3" t="s">
        <v>47464</v>
      </c>
      <c r="BF4932" s="3" t="s">
        <v>47463</v>
      </c>
      <c r="BG4932" s="3" t="s">
        <v>47465</v>
      </c>
    </row>
    <row r="4933" spans="1:59" ht="58" x14ac:dyDescent="0.35">
      <c r="A4933" s="2" t="s">
        <v>89</v>
      </c>
      <c r="B4933" s="2" t="s">
        <v>90</v>
      </c>
      <c r="C4933" s="2" t="s">
        <v>47466</v>
      </c>
      <c r="D4933" s="2" t="s">
        <v>47467</v>
      </c>
      <c r="E4933" s="2" t="s">
        <v>47468</v>
      </c>
      <c r="G4933" s="3" t="s">
        <v>62</v>
      </c>
      <c r="I4933" s="3" t="s">
        <v>61</v>
      </c>
      <c r="J4933" s="3" t="s">
        <v>62</v>
      </c>
      <c r="K4933" s="3" t="s">
        <v>63</v>
      </c>
      <c r="L4933" s="2" t="s">
        <v>47469</v>
      </c>
      <c r="M4933" s="2" t="s">
        <v>47470</v>
      </c>
      <c r="N4933" s="3" t="s">
        <v>1905</v>
      </c>
      <c r="P4933" s="3" t="s">
        <v>64</v>
      </c>
      <c r="R4933" s="3" t="s">
        <v>46535</v>
      </c>
      <c r="S4933" s="4">
        <v>36</v>
      </c>
      <c r="T4933" s="4">
        <v>63</v>
      </c>
      <c r="U4933" s="5" t="s">
        <v>47471</v>
      </c>
      <c r="V4933" s="5" t="s">
        <v>17235</v>
      </c>
      <c r="W4933" s="5" t="s">
        <v>67</v>
      </c>
      <c r="X4933" s="5" t="s">
        <v>67</v>
      </c>
      <c r="Y4933" s="4">
        <v>616</v>
      </c>
      <c r="Z4933" s="4">
        <v>52</v>
      </c>
      <c r="AA4933" s="4">
        <v>62</v>
      </c>
      <c r="AB4933" s="4">
        <v>5</v>
      </c>
      <c r="AC4933" s="4">
        <v>10</v>
      </c>
      <c r="AD4933" s="4">
        <v>116</v>
      </c>
      <c r="AE4933" s="4">
        <v>122</v>
      </c>
      <c r="AF4933" s="4">
        <v>2</v>
      </c>
      <c r="AG4933" s="4">
        <v>5</v>
      </c>
      <c r="AH4933" s="4">
        <v>93</v>
      </c>
      <c r="AI4933" s="4">
        <v>95</v>
      </c>
      <c r="AJ4933" s="4">
        <v>22</v>
      </c>
      <c r="AK4933" s="4">
        <v>25</v>
      </c>
      <c r="AL4933" s="4">
        <v>53</v>
      </c>
      <c r="AM4933" s="4">
        <v>53</v>
      </c>
      <c r="AN4933" s="4">
        <v>0</v>
      </c>
      <c r="AO4933" s="4">
        <v>0</v>
      </c>
      <c r="AP4933" s="4">
        <v>31</v>
      </c>
      <c r="AQ4933" s="4">
        <v>35</v>
      </c>
      <c r="AR4933" s="3" t="s">
        <v>62</v>
      </c>
      <c r="AS4933" s="3" t="s">
        <v>62</v>
      </c>
      <c r="AT4933" s="3" t="s">
        <v>62</v>
      </c>
      <c r="AV4933" s="6" t="str">
        <f>HYPERLINK("http://mcgill.on.worldcat.org/oclc/15316629","Catalog Record")</f>
        <v>Catalog Record</v>
      </c>
      <c r="AW4933" s="6" t="str">
        <f>HYPERLINK("http://www.worldcat.org/oclc/15316629","WorldCat Record")</f>
        <v>WorldCat Record</v>
      </c>
      <c r="AX4933" s="3" t="s">
        <v>47472</v>
      </c>
      <c r="AY4933" s="3" t="s">
        <v>47473</v>
      </c>
      <c r="AZ4933" s="3" t="s">
        <v>47474</v>
      </c>
      <c r="BA4933" s="3" t="s">
        <v>47474</v>
      </c>
      <c r="BB4933" s="3" t="s">
        <v>47475</v>
      </c>
      <c r="BC4933" s="3" t="s">
        <v>102</v>
      </c>
      <c r="BD4933" s="3" t="s">
        <v>68</v>
      </c>
      <c r="BE4933" s="3" t="s">
        <v>47476</v>
      </c>
      <c r="BF4933" s="3" t="s">
        <v>47475</v>
      </c>
      <c r="BG4933" s="3" t="s">
        <v>47477</v>
      </c>
    </row>
    <row r="4934" spans="1:59" ht="58" x14ac:dyDescent="0.35">
      <c r="A4934" s="2" t="s">
        <v>89</v>
      </c>
      <c r="B4934" s="2" t="s">
        <v>90</v>
      </c>
      <c r="C4934" s="2" t="s">
        <v>47466</v>
      </c>
      <c r="D4934" s="2" t="s">
        <v>47467</v>
      </c>
      <c r="E4934" s="2" t="s">
        <v>47468</v>
      </c>
      <c r="G4934" s="3" t="s">
        <v>62</v>
      </c>
      <c r="I4934" s="3" t="s">
        <v>61</v>
      </c>
      <c r="J4934" s="3" t="s">
        <v>62</v>
      </c>
      <c r="K4934" s="3" t="s">
        <v>63</v>
      </c>
      <c r="L4934" s="2" t="s">
        <v>47469</v>
      </c>
      <c r="M4934" s="2" t="s">
        <v>47470</v>
      </c>
      <c r="N4934" s="3" t="s">
        <v>1905</v>
      </c>
      <c r="P4934" s="3" t="s">
        <v>64</v>
      </c>
      <c r="R4934" s="3" t="s">
        <v>46535</v>
      </c>
      <c r="S4934" s="4">
        <v>27</v>
      </c>
      <c r="T4934" s="4">
        <v>63</v>
      </c>
      <c r="U4934" s="5" t="s">
        <v>17235</v>
      </c>
      <c r="V4934" s="5" t="s">
        <v>17235</v>
      </c>
      <c r="W4934" s="5" t="s">
        <v>67</v>
      </c>
      <c r="X4934" s="5" t="s">
        <v>67</v>
      </c>
      <c r="Y4934" s="4">
        <v>616</v>
      </c>
      <c r="Z4934" s="4">
        <v>52</v>
      </c>
      <c r="AA4934" s="4">
        <v>62</v>
      </c>
      <c r="AB4934" s="4">
        <v>5</v>
      </c>
      <c r="AC4934" s="4">
        <v>10</v>
      </c>
      <c r="AD4934" s="4">
        <v>116</v>
      </c>
      <c r="AE4934" s="4">
        <v>122</v>
      </c>
      <c r="AF4934" s="4">
        <v>2</v>
      </c>
      <c r="AG4934" s="4">
        <v>5</v>
      </c>
      <c r="AH4934" s="4">
        <v>93</v>
      </c>
      <c r="AI4934" s="4">
        <v>95</v>
      </c>
      <c r="AJ4934" s="4">
        <v>22</v>
      </c>
      <c r="AK4934" s="4">
        <v>25</v>
      </c>
      <c r="AL4934" s="4">
        <v>53</v>
      </c>
      <c r="AM4934" s="4">
        <v>53</v>
      </c>
      <c r="AN4934" s="4">
        <v>0</v>
      </c>
      <c r="AO4934" s="4">
        <v>0</v>
      </c>
      <c r="AP4934" s="4">
        <v>31</v>
      </c>
      <c r="AQ4934" s="4">
        <v>35</v>
      </c>
      <c r="AR4934" s="3" t="s">
        <v>62</v>
      </c>
      <c r="AS4934" s="3" t="s">
        <v>62</v>
      </c>
      <c r="AT4934" s="3" t="s">
        <v>62</v>
      </c>
      <c r="AV4934" s="6" t="str">
        <f>HYPERLINK("http://mcgill.on.worldcat.org/oclc/15316629","Catalog Record")</f>
        <v>Catalog Record</v>
      </c>
      <c r="AW4934" s="6" t="str">
        <f>HYPERLINK("http://www.worldcat.org/oclc/15316629","WorldCat Record")</f>
        <v>WorldCat Record</v>
      </c>
      <c r="AX4934" s="3" t="s">
        <v>47472</v>
      </c>
      <c r="AY4934" s="3" t="s">
        <v>47473</v>
      </c>
      <c r="AZ4934" s="3" t="s">
        <v>47474</v>
      </c>
      <c r="BA4934" s="3" t="s">
        <v>47474</v>
      </c>
      <c r="BB4934" s="3" t="s">
        <v>47478</v>
      </c>
      <c r="BC4934" s="3" t="s">
        <v>102</v>
      </c>
      <c r="BD4934" s="3" t="s">
        <v>68</v>
      </c>
      <c r="BE4934" s="3" t="s">
        <v>47476</v>
      </c>
      <c r="BF4934" s="3" t="s">
        <v>47478</v>
      </c>
      <c r="BG4934" s="3" t="s">
        <v>47479</v>
      </c>
    </row>
    <row r="4935" spans="1:59" ht="58" x14ac:dyDescent="0.35">
      <c r="A4935" s="2" t="s">
        <v>89</v>
      </c>
      <c r="B4935" s="2" t="s">
        <v>90</v>
      </c>
      <c r="C4935" s="2" t="s">
        <v>47480</v>
      </c>
      <c r="D4935" s="2" t="s">
        <v>47481</v>
      </c>
      <c r="E4935" s="2" t="s">
        <v>47482</v>
      </c>
      <c r="G4935" s="3" t="s">
        <v>62</v>
      </c>
      <c r="I4935" s="3" t="s">
        <v>62</v>
      </c>
      <c r="J4935" s="3" t="s">
        <v>61</v>
      </c>
      <c r="K4935" s="3" t="s">
        <v>63</v>
      </c>
      <c r="L4935" s="2" t="s">
        <v>47483</v>
      </c>
      <c r="M4935" s="2" t="s">
        <v>47484</v>
      </c>
      <c r="N4935" s="3" t="s">
        <v>2566</v>
      </c>
      <c r="O4935" s="2" t="s">
        <v>47485</v>
      </c>
      <c r="P4935" s="3" t="s">
        <v>64</v>
      </c>
      <c r="Q4935" s="2" t="s">
        <v>47486</v>
      </c>
      <c r="R4935" s="3" t="s">
        <v>46535</v>
      </c>
      <c r="S4935" s="4">
        <v>1</v>
      </c>
      <c r="T4935" s="4">
        <v>1</v>
      </c>
      <c r="U4935" s="5" t="s">
        <v>7851</v>
      </c>
      <c r="V4935" s="5" t="s">
        <v>7851</v>
      </c>
      <c r="W4935" s="5" t="s">
        <v>67</v>
      </c>
      <c r="X4935" s="5" t="s">
        <v>67</v>
      </c>
      <c r="Y4935" s="4">
        <v>21</v>
      </c>
      <c r="Z4935" s="4">
        <v>3</v>
      </c>
      <c r="AA4935" s="4">
        <v>17</v>
      </c>
      <c r="AB4935" s="4">
        <v>2</v>
      </c>
      <c r="AC4935" s="4">
        <v>3</v>
      </c>
      <c r="AD4935" s="4">
        <v>3</v>
      </c>
      <c r="AE4935" s="4">
        <v>49</v>
      </c>
      <c r="AF4935" s="4">
        <v>1</v>
      </c>
      <c r="AG4935" s="4">
        <v>1</v>
      </c>
      <c r="AH4935" s="4">
        <v>1</v>
      </c>
      <c r="AI4935" s="4">
        <v>40</v>
      </c>
      <c r="AJ4935" s="4">
        <v>0</v>
      </c>
      <c r="AK4935" s="4">
        <v>9</v>
      </c>
      <c r="AL4935" s="4">
        <v>1</v>
      </c>
      <c r="AM4935" s="4">
        <v>26</v>
      </c>
      <c r="AN4935" s="4">
        <v>0</v>
      </c>
      <c r="AO4935" s="4">
        <v>0</v>
      </c>
      <c r="AP4935" s="4">
        <v>2</v>
      </c>
      <c r="AQ4935" s="4">
        <v>13</v>
      </c>
      <c r="AR4935" s="3" t="s">
        <v>62</v>
      </c>
      <c r="AS4935" s="3" t="s">
        <v>62</v>
      </c>
      <c r="AT4935" s="3" t="s">
        <v>61</v>
      </c>
      <c r="AU4935" s="6" t="str">
        <f>HYPERLINK("http://catalog.hathitrust.org/Record/000007960","HathiTrust Record")</f>
        <v>HathiTrust Record</v>
      </c>
      <c r="AV4935" s="6" t="str">
        <f>HYPERLINK("http://mcgill.on.worldcat.org/oclc/44188476","Catalog Record")</f>
        <v>Catalog Record</v>
      </c>
      <c r="AW4935" s="6" t="str">
        <f>HYPERLINK("http://www.worldcat.org/oclc/44188476","WorldCat Record")</f>
        <v>WorldCat Record</v>
      </c>
      <c r="AX4935" s="3" t="s">
        <v>47487</v>
      </c>
      <c r="AY4935" s="3" t="s">
        <v>47488</v>
      </c>
      <c r="AZ4935" s="3" t="s">
        <v>47489</v>
      </c>
      <c r="BA4935" s="3" t="s">
        <v>47489</v>
      </c>
      <c r="BB4935" s="3" t="s">
        <v>47490</v>
      </c>
      <c r="BC4935" s="3" t="s">
        <v>102</v>
      </c>
      <c r="BD4935" s="3" t="s">
        <v>68</v>
      </c>
      <c r="BE4935" s="3" t="s">
        <v>47491</v>
      </c>
      <c r="BF4935" s="3" t="s">
        <v>47490</v>
      </c>
      <c r="BG4935" s="3" t="s">
        <v>47492</v>
      </c>
    </row>
    <row r="4936" spans="1:59" ht="58" x14ac:dyDescent="0.35">
      <c r="A4936" s="2" t="s">
        <v>89</v>
      </c>
      <c r="B4936" s="2" t="s">
        <v>90</v>
      </c>
      <c r="C4936" s="2" t="s">
        <v>47493</v>
      </c>
      <c r="D4936" s="2" t="s">
        <v>47494</v>
      </c>
      <c r="E4936" s="2" t="s">
        <v>47495</v>
      </c>
      <c r="G4936" s="3" t="s">
        <v>62</v>
      </c>
      <c r="I4936" s="3" t="s">
        <v>61</v>
      </c>
      <c r="J4936" s="3" t="s">
        <v>62</v>
      </c>
      <c r="K4936" s="3" t="s">
        <v>63</v>
      </c>
      <c r="M4936" s="2" t="s">
        <v>3499</v>
      </c>
      <c r="N4936" s="3" t="s">
        <v>524</v>
      </c>
      <c r="P4936" s="3" t="s">
        <v>64</v>
      </c>
      <c r="Q4936" s="2" t="s">
        <v>47496</v>
      </c>
      <c r="R4936" s="3" t="s">
        <v>46535</v>
      </c>
      <c r="S4936" s="4">
        <v>20</v>
      </c>
      <c r="T4936" s="4">
        <v>54</v>
      </c>
      <c r="U4936" s="5" t="s">
        <v>47497</v>
      </c>
      <c r="V4936" s="5" t="s">
        <v>7089</v>
      </c>
      <c r="W4936" s="5" t="s">
        <v>67</v>
      </c>
      <c r="X4936" s="5" t="s">
        <v>67</v>
      </c>
      <c r="Y4936" s="4">
        <v>528</v>
      </c>
      <c r="Z4936" s="4">
        <v>33</v>
      </c>
      <c r="AA4936" s="4">
        <v>36</v>
      </c>
      <c r="AB4936" s="4">
        <v>2</v>
      </c>
      <c r="AC4936" s="4">
        <v>5</v>
      </c>
      <c r="AD4936" s="4">
        <v>114</v>
      </c>
      <c r="AE4936" s="4">
        <v>117</v>
      </c>
      <c r="AF4936" s="4">
        <v>1</v>
      </c>
      <c r="AG4936" s="4">
        <v>4</v>
      </c>
      <c r="AH4936" s="4">
        <v>97</v>
      </c>
      <c r="AI4936" s="4">
        <v>98</v>
      </c>
      <c r="AJ4936" s="4">
        <v>19</v>
      </c>
      <c r="AK4936" s="4">
        <v>22</v>
      </c>
      <c r="AL4936" s="4">
        <v>55</v>
      </c>
      <c r="AM4936" s="4">
        <v>55</v>
      </c>
      <c r="AN4936" s="4">
        <v>0</v>
      </c>
      <c r="AO4936" s="4">
        <v>0</v>
      </c>
      <c r="AP4936" s="4">
        <v>26</v>
      </c>
      <c r="AQ4936" s="4">
        <v>29</v>
      </c>
      <c r="AR4936" s="3" t="s">
        <v>62</v>
      </c>
      <c r="AS4936" s="3" t="s">
        <v>62</v>
      </c>
      <c r="AT4936" s="3" t="s">
        <v>62</v>
      </c>
      <c r="AV4936" s="6" t="str">
        <f>HYPERLINK("http://mcgill.on.worldcat.org/oclc/31166637","Catalog Record")</f>
        <v>Catalog Record</v>
      </c>
      <c r="AW4936" s="6" t="str">
        <f>HYPERLINK("http://www.worldcat.org/oclc/31166637","WorldCat Record")</f>
        <v>WorldCat Record</v>
      </c>
      <c r="AX4936" s="3" t="s">
        <v>47498</v>
      </c>
      <c r="AY4936" s="3" t="s">
        <v>47499</v>
      </c>
      <c r="AZ4936" s="3" t="s">
        <v>47500</v>
      </c>
      <c r="BA4936" s="3" t="s">
        <v>47500</v>
      </c>
      <c r="BB4936" s="3" t="s">
        <v>47501</v>
      </c>
      <c r="BC4936" s="3" t="s">
        <v>102</v>
      </c>
      <c r="BD4936" s="3" t="s">
        <v>68</v>
      </c>
      <c r="BE4936" s="3" t="s">
        <v>47502</v>
      </c>
      <c r="BF4936" s="3" t="s">
        <v>47501</v>
      </c>
      <c r="BG4936" s="3" t="s">
        <v>47503</v>
      </c>
    </row>
    <row r="4937" spans="1:59" ht="58" x14ac:dyDescent="0.35">
      <c r="A4937" s="2" t="s">
        <v>89</v>
      </c>
      <c r="B4937" s="2" t="s">
        <v>90</v>
      </c>
      <c r="C4937" s="2" t="s">
        <v>47493</v>
      </c>
      <c r="D4937" s="2" t="s">
        <v>47494</v>
      </c>
      <c r="E4937" s="2" t="s">
        <v>47495</v>
      </c>
      <c r="G4937" s="3" t="s">
        <v>62</v>
      </c>
      <c r="I4937" s="3" t="s">
        <v>61</v>
      </c>
      <c r="J4937" s="3" t="s">
        <v>62</v>
      </c>
      <c r="K4937" s="3" t="s">
        <v>63</v>
      </c>
      <c r="M4937" s="2" t="s">
        <v>3499</v>
      </c>
      <c r="N4937" s="3" t="s">
        <v>524</v>
      </c>
      <c r="P4937" s="3" t="s">
        <v>64</v>
      </c>
      <c r="Q4937" s="2" t="s">
        <v>47496</v>
      </c>
      <c r="R4937" s="3" t="s">
        <v>46535</v>
      </c>
      <c r="S4937" s="4">
        <v>34</v>
      </c>
      <c r="T4937" s="4">
        <v>54</v>
      </c>
      <c r="U4937" s="5" t="s">
        <v>7089</v>
      </c>
      <c r="V4937" s="5" t="s">
        <v>7089</v>
      </c>
      <c r="W4937" s="5" t="s">
        <v>67</v>
      </c>
      <c r="X4937" s="5" t="s">
        <v>67</v>
      </c>
      <c r="Y4937" s="4">
        <v>528</v>
      </c>
      <c r="Z4937" s="4">
        <v>33</v>
      </c>
      <c r="AA4937" s="4">
        <v>36</v>
      </c>
      <c r="AB4937" s="4">
        <v>2</v>
      </c>
      <c r="AC4937" s="4">
        <v>5</v>
      </c>
      <c r="AD4937" s="4">
        <v>114</v>
      </c>
      <c r="AE4937" s="4">
        <v>117</v>
      </c>
      <c r="AF4937" s="4">
        <v>1</v>
      </c>
      <c r="AG4937" s="4">
        <v>4</v>
      </c>
      <c r="AH4937" s="4">
        <v>97</v>
      </c>
      <c r="AI4937" s="4">
        <v>98</v>
      </c>
      <c r="AJ4937" s="4">
        <v>19</v>
      </c>
      <c r="AK4937" s="4">
        <v>22</v>
      </c>
      <c r="AL4937" s="4">
        <v>55</v>
      </c>
      <c r="AM4937" s="4">
        <v>55</v>
      </c>
      <c r="AN4937" s="4">
        <v>0</v>
      </c>
      <c r="AO4937" s="4">
        <v>0</v>
      </c>
      <c r="AP4937" s="4">
        <v>26</v>
      </c>
      <c r="AQ4937" s="4">
        <v>29</v>
      </c>
      <c r="AR4937" s="3" t="s">
        <v>62</v>
      </c>
      <c r="AS4937" s="3" t="s">
        <v>62</v>
      </c>
      <c r="AT4937" s="3" t="s">
        <v>62</v>
      </c>
      <c r="AV4937" s="6" t="str">
        <f>HYPERLINK("http://mcgill.on.worldcat.org/oclc/31166637","Catalog Record")</f>
        <v>Catalog Record</v>
      </c>
      <c r="AW4937" s="6" t="str">
        <f>HYPERLINK("http://www.worldcat.org/oclc/31166637","WorldCat Record")</f>
        <v>WorldCat Record</v>
      </c>
      <c r="AX4937" s="3" t="s">
        <v>47498</v>
      </c>
      <c r="AY4937" s="3" t="s">
        <v>47499</v>
      </c>
      <c r="AZ4937" s="3" t="s">
        <v>47500</v>
      </c>
      <c r="BA4937" s="3" t="s">
        <v>47500</v>
      </c>
      <c r="BB4937" s="3" t="s">
        <v>47504</v>
      </c>
      <c r="BC4937" s="3" t="s">
        <v>102</v>
      </c>
      <c r="BD4937" s="3" t="s">
        <v>68</v>
      </c>
      <c r="BE4937" s="3" t="s">
        <v>47502</v>
      </c>
      <c r="BF4937" s="3" t="s">
        <v>47504</v>
      </c>
      <c r="BG4937" s="3" t="s">
        <v>47505</v>
      </c>
    </row>
    <row r="4938" spans="1:59" ht="58" x14ac:dyDescent="0.35">
      <c r="A4938" s="2" t="s">
        <v>59</v>
      </c>
      <c r="B4938" s="2" t="s">
        <v>60</v>
      </c>
      <c r="C4938" s="2" t="s">
        <v>47506</v>
      </c>
      <c r="D4938" s="2" t="s">
        <v>47507</v>
      </c>
      <c r="E4938" s="2" t="s">
        <v>47508</v>
      </c>
      <c r="G4938" s="3" t="s">
        <v>62</v>
      </c>
      <c r="I4938" s="3" t="s">
        <v>61</v>
      </c>
      <c r="J4938" s="3" t="s">
        <v>62</v>
      </c>
      <c r="K4938" s="3" t="s">
        <v>63</v>
      </c>
      <c r="L4938" s="2" t="s">
        <v>47509</v>
      </c>
      <c r="M4938" s="2" t="s">
        <v>47510</v>
      </c>
      <c r="N4938" s="3" t="s">
        <v>6259</v>
      </c>
      <c r="P4938" s="3" t="s">
        <v>64</v>
      </c>
      <c r="R4938" s="3" t="s">
        <v>46535</v>
      </c>
      <c r="S4938" s="4">
        <v>1</v>
      </c>
      <c r="T4938" s="4">
        <v>5</v>
      </c>
      <c r="U4938" s="5" t="s">
        <v>30470</v>
      </c>
      <c r="V4938" s="5" t="s">
        <v>6972</v>
      </c>
      <c r="W4938" s="5" t="s">
        <v>67</v>
      </c>
      <c r="X4938" s="5" t="s">
        <v>67</v>
      </c>
      <c r="Y4938" s="4">
        <v>133</v>
      </c>
      <c r="Z4938" s="4">
        <v>5</v>
      </c>
      <c r="AA4938" s="4">
        <v>12</v>
      </c>
      <c r="AB4938" s="4">
        <v>2</v>
      </c>
      <c r="AC4938" s="4">
        <v>4</v>
      </c>
      <c r="AD4938" s="4">
        <v>54</v>
      </c>
      <c r="AE4938" s="4">
        <v>66</v>
      </c>
      <c r="AF4938" s="4">
        <v>1</v>
      </c>
      <c r="AG4938" s="4">
        <v>3</v>
      </c>
      <c r="AH4938" s="4">
        <v>50</v>
      </c>
      <c r="AI4938" s="4">
        <v>56</v>
      </c>
      <c r="AJ4938" s="4">
        <v>4</v>
      </c>
      <c r="AK4938" s="4">
        <v>11</v>
      </c>
      <c r="AL4938" s="4">
        <v>33</v>
      </c>
      <c r="AM4938" s="4">
        <v>36</v>
      </c>
      <c r="AN4938" s="4">
        <v>0</v>
      </c>
      <c r="AO4938" s="4">
        <v>0</v>
      </c>
      <c r="AP4938" s="4">
        <v>4</v>
      </c>
      <c r="AQ4938" s="4">
        <v>9</v>
      </c>
      <c r="AR4938" s="3" t="s">
        <v>62</v>
      </c>
      <c r="AS4938" s="3" t="s">
        <v>62</v>
      </c>
      <c r="AT4938" s="3" t="s">
        <v>62</v>
      </c>
      <c r="AU4938" s="6" t="str">
        <f>HYPERLINK("http://catalog.hathitrust.org/Record/010058696","HathiTrust Record")</f>
        <v>HathiTrust Record</v>
      </c>
      <c r="AV4938" s="6" t="str">
        <f>HYPERLINK("http://mcgill.on.worldcat.org/oclc/1172347","Catalog Record")</f>
        <v>Catalog Record</v>
      </c>
      <c r="AW4938" s="6" t="str">
        <f>HYPERLINK("http://www.worldcat.org/oclc/1172347","WorldCat Record")</f>
        <v>WorldCat Record</v>
      </c>
      <c r="AX4938" s="3" t="s">
        <v>47511</v>
      </c>
      <c r="AY4938" s="3" t="s">
        <v>47512</v>
      </c>
      <c r="AZ4938" s="3" t="s">
        <v>47513</v>
      </c>
      <c r="BA4938" s="3" t="s">
        <v>47513</v>
      </c>
      <c r="BB4938" s="3" t="s">
        <v>47514</v>
      </c>
      <c r="BC4938" s="3" t="s">
        <v>102</v>
      </c>
      <c r="BD4938" s="3" t="s">
        <v>68</v>
      </c>
      <c r="BF4938" s="3" t="s">
        <v>47514</v>
      </c>
      <c r="BG4938" s="3" t="s">
        <v>47515</v>
      </c>
    </row>
    <row r="4939" spans="1:59" ht="58" x14ac:dyDescent="0.35">
      <c r="A4939" s="2" t="s">
        <v>89</v>
      </c>
      <c r="B4939" s="2" t="s">
        <v>90</v>
      </c>
      <c r="C4939" s="2" t="s">
        <v>47516</v>
      </c>
      <c r="D4939" s="2" t="s">
        <v>47517</v>
      </c>
      <c r="E4939" s="2" t="s">
        <v>47518</v>
      </c>
      <c r="G4939" s="3" t="s">
        <v>62</v>
      </c>
      <c r="I4939" s="3" t="s">
        <v>62</v>
      </c>
      <c r="J4939" s="3" t="s">
        <v>62</v>
      </c>
      <c r="K4939" s="3" t="s">
        <v>63</v>
      </c>
      <c r="L4939" s="2" t="s">
        <v>47519</v>
      </c>
      <c r="M4939" s="2" t="s">
        <v>47520</v>
      </c>
      <c r="N4939" s="3" t="s">
        <v>655</v>
      </c>
      <c r="P4939" s="3" t="s">
        <v>64</v>
      </c>
      <c r="R4939" s="3" t="s">
        <v>46535</v>
      </c>
      <c r="S4939" s="4">
        <v>11</v>
      </c>
      <c r="T4939" s="4">
        <v>11</v>
      </c>
      <c r="U4939" s="5" t="s">
        <v>6834</v>
      </c>
      <c r="V4939" s="5" t="s">
        <v>6834</v>
      </c>
      <c r="W4939" s="5" t="s">
        <v>67</v>
      </c>
      <c r="X4939" s="5" t="s">
        <v>67</v>
      </c>
      <c r="Y4939" s="4">
        <v>218</v>
      </c>
      <c r="Z4939" s="4">
        <v>18</v>
      </c>
      <c r="AA4939" s="4">
        <v>38</v>
      </c>
      <c r="AB4939" s="4">
        <v>1</v>
      </c>
      <c r="AC4939" s="4">
        <v>6</v>
      </c>
      <c r="AD4939" s="4">
        <v>85</v>
      </c>
      <c r="AE4939" s="4">
        <v>113</v>
      </c>
      <c r="AF4939" s="4">
        <v>0</v>
      </c>
      <c r="AG4939" s="4">
        <v>1</v>
      </c>
      <c r="AH4939" s="4">
        <v>75</v>
      </c>
      <c r="AI4939" s="4">
        <v>97</v>
      </c>
      <c r="AJ4939" s="4">
        <v>11</v>
      </c>
      <c r="AK4939" s="4">
        <v>15</v>
      </c>
      <c r="AL4939" s="4">
        <v>42</v>
      </c>
      <c r="AM4939" s="4">
        <v>50</v>
      </c>
      <c r="AN4939" s="4">
        <v>0</v>
      </c>
      <c r="AO4939" s="4">
        <v>0</v>
      </c>
      <c r="AP4939" s="4">
        <v>14</v>
      </c>
      <c r="AQ4939" s="4">
        <v>24</v>
      </c>
      <c r="AR4939" s="3" t="s">
        <v>62</v>
      </c>
      <c r="AS4939" s="3" t="s">
        <v>62</v>
      </c>
      <c r="AT4939" s="3" t="s">
        <v>62</v>
      </c>
      <c r="AV4939" s="6" t="str">
        <f>HYPERLINK("http://mcgill.on.worldcat.org/oclc/70045796","Catalog Record")</f>
        <v>Catalog Record</v>
      </c>
      <c r="AW4939" s="6" t="str">
        <f>HYPERLINK("http://www.worldcat.org/oclc/70045796","WorldCat Record")</f>
        <v>WorldCat Record</v>
      </c>
      <c r="AX4939" s="3" t="s">
        <v>47521</v>
      </c>
      <c r="AY4939" s="3" t="s">
        <v>47522</v>
      </c>
      <c r="AZ4939" s="3" t="s">
        <v>47523</v>
      </c>
      <c r="BA4939" s="3" t="s">
        <v>47523</v>
      </c>
      <c r="BB4939" s="3" t="s">
        <v>47524</v>
      </c>
      <c r="BC4939" s="3" t="s">
        <v>102</v>
      </c>
      <c r="BD4939" s="3" t="s">
        <v>68</v>
      </c>
      <c r="BE4939" s="3" t="s">
        <v>47525</v>
      </c>
      <c r="BF4939" s="3" t="s">
        <v>47524</v>
      </c>
      <c r="BG4939" s="3" t="s">
        <v>47526</v>
      </c>
    </row>
    <row r="4940" spans="1:59" ht="58" x14ac:dyDescent="0.35">
      <c r="A4940" s="2" t="s">
        <v>89</v>
      </c>
      <c r="B4940" s="2" t="s">
        <v>90</v>
      </c>
      <c r="C4940" s="2" t="s">
        <v>47527</v>
      </c>
      <c r="D4940" s="2" t="s">
        <v>47528</v>
      </c>
      <c r="E4940" s="2" t="s">
        <v>47529</v>
      </c>
      <c r="G4940" s="3" t="s">
        <v>62</v>
      </c>
      <c r="I4940" s="3" t="s">
        <v>62</v>
      </c>
      <c r="J4940" s="3" t="s">
        <v>62</v>
      </c>
      <c r="K4940" s="3" t="s">
        <v>63</v>
      </c>
      <c r="L4940" s="2" t="s">
        <v>47530</v>
      </c>
      <c r="M4940" s="2" t="s">
        <v>47531</v>
      </c>
      <c r="N4940" s="3" t="s">
        <v>2085</v>
      </c>
      <c r="P4940" s="3" t="s">
        <v>85</v>
      </c>
      <c r="Q4940" s="2" t="s">
        <v>47532</v>
      </c>
      <c r="R4940" s="3" t="s">
        <v>46535</v>
      </c>
      <c r="S4940" s="4">
        <v>1</v>
      </c>
      <c r="T4940" s="4">
        <v>1</v>
      </c>
      <c r="U4940" s="5" t="s">
        <v>10809</v>
      </c>
      <c r="V4940" s="5" t="s">
        <v>10809</v>
      </c>
      <c r="W4940" s="5" t="s">
        <v>5743</v>
      </c>
      <c r="X4940" s="5" t="s">
        <v>5743</v>
      </c>
      <c r="Y4940" s="4">
        <v>1</v>
      </c>
      <c r="Z4940" s="4">
        <v>1</v>
      </c>
      <c r="AA4940" s="4">
        <v>2</v>
      </c>
      <c r="AB4940" s="4">
        <v>1</v>
      </c>
      <c r="AC4940" s="4">
        <v>2</v>
      </c>
      <c r="AD4940" s="4">
        <v>0</v>
      </c>
      <c r="AE4940" s="4">
        <v>0</v>
      </c>
      <c r="AF4940" s="4">
        <v>0</v>
      </c>
      <c r="AG4940" s="4">
        <v>0</v>
      </c>
      <c r="AH4940" s="4">
        <v>0</v>
      </c>
      <c r="AI4940" s="4">
        <v>0</v>
      </c>
      <c r="AJ4940" s="4">
        <v>0</v>
      </c>
      <c r="AK4940" s="4">
        <v>0</v>
      </c>
      <c r="AL4940" s="4">
        <v>0</v>
      </c>
      <c r="AM4940" s="4">
        <v>0</v>
      </c>
      <c r="AN4940" s="4">
        <v>0</v>
      </c>
      <c r="AO4940" s="4">
        <v>0</v>
      </c>
      <c r="AP4940" s="4">
        <v>0</v>
      </c>
      <c r="AQ4940" s="4">
        <v>0</v>
      </c>
      <c r="AR4940" s="3" t="s">
        <v>62</v>
      </c>
      <c r="AS4940" s="3" t="s">
        <v>62</v>
      </c>
      <c r="AT4940" s="3" t="s">
        <v>62</v>
      </c>
      <c r="AV4940" s="6" t="str">
        <f>HYPERLINK("http://mcgill.on.worldcat.org/oclc/1089932787","Catalog Record")</f>
        <v>Catalog Record</v>
      </c>
      <c r="AW4940" s="6" t="str">
        <f>HYPERLINK("http://www.worldcat.org/oclc/1089932787","WorldCat Record")</f>
        <v>WorldCat Record</v>
      </c>
      <c r="AX4940" s="3" t="s">
        <v>47533</v>
      </c>
      <c r="AY4940" s="3" t="s">
        <v>47534</v>
      </c>
      <c r="AZ4940" s="3" t="s">
        <v>47535</v>
      </c>
      <c r="BA4940" s="3" t="s">
        <v>47535</v>
      </c>
      <c r="BB4940" s="3" t="s">
        <v>47536</v>
      </c>
      <c r="BC4940" s="3" t="s">
        <v>102</v>
      </c>
      <c r="BD4940" s="3" t="s">
        <v>68</v>
      </c>
      <c r="BE4940" s="3" t="s">
        <v>47537</v>
      </c>
      <c r="BF4940" s="3" t="s">
        <v>47536</v>
      </c>
      <c r="BG4940" s="3" t="s">
        <v>47538</v>
      </c>
    </row>
    <row r="4941" spans="1:59" ht="58" x14ac:dyDescent="0.35">
      <c r="A4941" s="2" t="s">
        <v>89</v>
      </c>
      <c r="B4941" s="2" t="s">
        <v>90</v>
      </c>
      <c r="C4941" s="2" t="s">
        <v>47539</v>
      </c>
      <c r="D4941" s="2" t="s">
        <v>47540</v>
      </c>
      <c r="E4941" s="2" t="s">
        <v>47541</v>
      </c>
      <c r="G4941" s="3" t="s">
        <v>62</v>
      </c>
      <c r="I4941" s="3" t="s">
        <v>62</v>
      </c>
      <c r="J4941" s="3" t="s">
        <v>62</v>
      </c>
      <c r="K4941" s="3" t="s">
        <v>63</v>
      </c>
      <c r="L4941" s="2" t="s">
        <v>47542</v>
      </c>
      <c r="M4941" s="2" t="s">
        <v>47543</v>
      </c>
      <c r="N4941" s="3" t="s">
        <v>1038</v>
      </c>
      <c r="P4941" s="3" t="s">
        <v>64</v>
      </c>
      <c r="Q4941" s="2" t="s">
        <v>47544</v>
      </c>
      <c r="R4941" s="3" t="s">
        <v>46535</v>
      </c>
      <c r="S4941" s="4">
        <v>4</v>
      </c>
      <c r="T4941" s="4">
        <v>4</v>
      </c>
      <c r="U4941" s="5" t="s">
        <v>8586</v>
      </c>
      <c r="V4941" s="5" t="s">
        <v>8586</v>
      </c>
      <c r="W4941" s="5" t="s">
        <v>67</v>
      </c>
      <c r="X4941" s="5" t="s">
        <v>67</v>
      </c>
      <c r="Y4941" s="4">
        <v>101</v>
      </c>
      <c r="Z4941" s="4">
        <v>8</v>
      </c>
      <c r="AA4941" s="4">
        <v>42</v>
      </c>
      <c r="AB4941" s="4">
        <v>1</v>
      </c>
      <c r="AC4941" s="4">
        <v>6</v>
      </c>
      <c r="AD4941" s="4">
        <v>44</v>
      </c>
      <c r="AE4941" s="4">
        <v>64</v>
      </c>
      <c r="AF4941" s="4">
        <v>0</v>
      </c>
      <c r="AG4941" s="4">
        <v>3</v>
      </c>
      <c r="AH4941" s="4">
        <v>40</v>
      </c>
      <c r="AI4941" s="4">
        <v>48</v>
      </c>
      <c r="AJ4941" s="4">
        <v>4</v>
      </c>
      <c r="AK4941" s="4">
        <v>12</v>
      </c>
      <c r="AL4941" s="4">
        <v>29</v>
      </c>
      <c r="AM4941" s="4">
        <v>33</v>
      </c>
      <c r="AN4941" s="4">
        <v>0</v>
      </c>
      <c r="AO4941" s="4">
        <v>0</v>
      </c>
      <c r="AP4941" s="4">
        <v>5</v>
      </c>
      <c r="AQ4941" s="4">
        <v>17</v>
      </c>
      <c r="AR4941" s="3" t="s">
        <v>62</v>
      </c>
      <c r="AS4941" s="3" t="s">
        <v>62</v>
      </c>
      <c r="AT4941" s="3" t="s">
        <v>62</v>
      </c>
      <c r="AV4941" s="6" t="str">
        <f>HYPERLINK("http://mcgill.on.worldcat.org/oclc/918594162","Catalog Record")</f>
        <v>Catalog Record</v>
      </c>
      <c r="AW4941" s="6" t="str">
        <f>HYPERLINK("http://www.worldcat.org/oclc/918594162","WorldCat Record")</f>
        <v>WorldCat Record</v>
      </c>
      <c r="AX4941" s="3" t="s">
        <v>47545</v>
      </c>
      <c r="AY4941" s="3" t="s">
        <v>47546</v>
      </c>
      <c r="AZ4941" s="3" t="s">
        <v>47547</v>
      </c>
      <c r="BA4941" s="3" t="s">
        <v>47547</v>
      </c>
      <c r="BB4941" s="3" t="s">
        <v>47548</v>
      </c>
      <c r="BC4941" s="3" t="s">
        <v>102</v>
      </c>
      <c r="BD4941" s="3" t="s">
        <v>231</v>
      </c>
      <c r="BE4941" s="3" t="s">
        <v>47549</v>
      </c>
      <c r="BF4941" s="3" t="s">
        <v>47548</v>
      </c>
      <c r="BG4941" s="3" t="s">
        <v>47550</v>
      </c>
    </row>
    <row r="4942" spans="1:59" ht="58" x14ac:dyDescent="0.35">
      <c r="A4942" s="2" t="s">
        <v>89</v>
      </c>
      <c r="B4942" s="2" t="s">
        <v>90</v>
      </c>
      <c r="C4942" s="2" t="s">
        <v>47551</v>
      </c>
      <c r="D4942" s="2" t="s">
        <v>47552</v>
      </c>
      <c r="E4942" s="2" t="s">
        <v>47553</v>
      </c>
      <c r="G4942" s="3" t="s">
        <v>62</v>
      </c>
      <c r="I4942" s="3" t="s">
        <v>61</v>
      </c>
      <c r="J4942" s="3" t="s">
        <v>61</v>
      </c>
      <c r="K4942" s="3" t="s">
        <v>63</v>
      </c>
      <c r="L4942" s="2" t="s">
        <v>47554</v>
      </c>
      <c r="M4942" s="2" t="s">
        <v>47555</v>
      </c>
      <c r="N4942" s="3" t="s">
        <v>2566</v>
      </c>
      <c r="P4942" s="3" t="s">
        <v>64</v>
      </c>
      <c r="R4942" s="3" t="s">
        <v>46535</v>
      </c>
      <c r="S4942" s="4">
        <v>0</v>
      </c>
      <c r="T4942" s="4">
        <v>9</v>
      </c>
      <c r="V4942" s="5" t="s">
        <v>20582</v>
      </c>
      <c r="W4942" s="5" t="s">
        <v>67</v>
      </c>
      <c r="X4942" s="5" t="s">
        <v>67</v>
      </c>
      <c r="Y4942" s="4">
        <v>205</v>
      </c>
      <c r="Z4942" s="4">
        <v>15</v>
      </c>
      <c r="AA4942" s="4">
        <v>43</v>
      </c>
      <c r="AB4942" s="4">
        <v>1</v>
      </c>
      <c r="AC4942" s="4">
        <v>3</v>
      </c>
      <c r="AD4942" s="4">
        <v>35</v>
      </c>
      <c r="AE4942" s="4">
        <v>125</v>
      </c>
      <c r="AF4942" s="4">
        <v>0</v>
      </c>
      <c r="AG4942" s="4">
        <v>1</v>
      </c>
      <c r="AH4942" s="4">
        <v>32</v>
      </c>
      <c r="AI4942" s="4">
        <v>105</v>
      </c>
      <c r="AJ4942" s="4">
        <v>5</v>
      </c>
      <c r="AK4942" s="4">
        <v>20</v>
      </c>
      <c r="AL4942" s="4">
        <v>18</v>
      </c>
      <c r="AM4942" s="4">
        <v>54</v>
      </c>
      <c r="AN4942" s="4">
        <v>0</v>
      </c>
      <c r="AO4942" s="4">
        <v>0</v>
      </c>
      <c r="AP4942" s="4">
        <v>8</v>
      </c>
      <c r="AQ4942" s="4">
        <v>30</v>
      </c>
      <c r="AR4942" s="3" t="s">
        <v>62</v>
      </c>
      <c r="AS4942" s="3" t="s">
        <v>62</v>
      </c>
      <c r="AT4942" s="3" t="s">
        <v>61</v>
      </c>
      <c r="AU4942" s="6" t="str">
        <f>HYPERLINK("http://catalog.hathitrust.org/Record/001554271","HathiTrust Record")</f>
        <v>HathiTrust Record</v>
      </c>
      <c r="AV4942" s="6" t="str">
        <f>HYPERLINK("http://mcgill.on.worldcat.org/oclc/402410","Catalog Record")</f>
        <v>Catalog Record</v>
      </c>
      <c r="AW4942" s="6" t="str">
        <f>HYPERLINK("http://www.worldcat.org/oclc/402410","WorldCat Record")</f>
        <v>WorldCat Record</v>
      </c>
      <c r="AX4942" s="3" t="s">
        <v>47556</v>
      </c>
      <c r="AY4942" s="3" t="s">
        <v>47557</v>
      </c>
      <c r="AZ4942" s="3" t="s">
        <v>47558</v>
      </c>
      <c r="BA4942" s="3" t="s">
        <v>47558</v>
      </c>
      <c r="BB4942" s="3" t="s">
        <v>47559</v>
      </c>
      <c r="BC4942" s="3" t="s">
        <v>102</v>
      </c>
      <c r="BD4942" s="3" t="s">
        <v>68</v>
      </c>
      <c r="BE4942" s="3" t="s">
        <v>47560</v>
      </c>
      <c r="BF4942" s="3" t="s">
        <v>47559</v>
      </c>
      <c r="BG4942" s="3" t="s">
        <v>47561</v>
      </c>
    </row>
    <row r="4943" spans="1:59" ht="58" x14ac:dyDescent="0.35">
      <c r="A4943" s="2" t="s">
        <v>89</v>
      </c>
      <c r="B4943" s="2" t="s">
        <v>90</v>
      </c>
      <c r="C4943" s="2" t="s">
        <v>47551</v>
      </c>
      <c r="D4943" s="2" t="s">
        <v>47552</v>
      </c>
      <c r="E4943" s="2" t="s">
        <v>47553</v>
      </c>
      <c r="G4943" s="3" t="s">
        <v>62</v>
      </c>
      <c r="I4943" s="3" t="s">
        <v>61</v>
      </c>
      <c r="J4943" s="3" t="s">
        <v>61</v>
      </c>
      <c r="K4943" s="3" t="s">
        <v>63</v>
      </c>
      <c r="L4943" s="2" t="s">
        <v>47554</v>
      </c>
      <c r="M4943" s="2" t="s">
        <v>47555</v>
      </c>
      <c r="N4943" s="3" t="s">
        <v>2566</v>
      </c>
      <c r="P4943" s="3" t="s">
        <v>64</v>
      </c>
      <c r="R4943" s="3" t="s">
        <v>46535</v>
      </c>
      <c r="S4943" s="4">
        <v>9</v>
      </c>
      <c r="T4943" s="4">
        <v>9</v>
      </c>
      <c r="U4943" s="5" t="s">
        <v>20582</v>
      </c>
      <c r="V4943" s="5" t="s">
        <v>20582</v>
      </c>
      <c r="W4943" s="5" t="s">
        <v>67</v>
      </c>
      <c r="X4943" s="5" t="s">
        <v>67</v>
      </c>
      <c r="Y4943" s="4">
        <v>205</v>
      </c>
      <c r="Z4943" s="4">
        <v>15</v>
      </c>
      <c r="AA4943" s="4">
        <v>43</v>
      </c>
      <c r="AB4943" s="4">
        <v>1</v>
      </c>
      <c r="AC4943" s="4">
        <v>3</v>
      </c>
      <c r="AD4943" s="4">
        <v>35</v>
      </c>
      <c r="AE4943" s="4">
        <v>125</v>
      </c>
      <c r="AF4943" s="4">
        <v>0</v>
      </c>
      <c r="AG4943" s="4">
        <v>1</v>
      </c>
      <c r="AH4943" s="4">
        <v>32</v>
      </c>
      <c r="AI4943" s="4">
        <v>105</v>
      </c>
      <c r="AJ4943" s="4">
        <v>5</v>
      </c>
      <c r="AK4943" s="4">
        <v>20</v>
      </c>
      <c r="AL4943" s="4">
        <v>18</v>
      </c>
      <c r="AM4943" s="4">
        <v>54</v>
      </c>
      <c r="AN4943" s="4">
        <v>0</v>
      </c>
      <c r="AO4943" s="4">
        <v>0</v>
      </c>
      <c r="AP4943" s="4">
        <v>8</v>
      </c>
      <c r="AQ4943" s="4">
        <v>30</v>
      </c>
      <c r="AR4943" s="3" t="s">
        <v>62</v>
      </c>
      <c r="AS4943" s="3" t="s">
        <v>62</v>
      </c>
      <c r="AT4943" s="3" t="s">
        <v>61</v>
      </c>
      <c r="AU4943" s="6" t="str">
        <f>HYPERLINK("http://catalog.hathitrust.org/Record/001554271","HathiTrust Record")</f>
        <v>HathiTrust Record</v>
      </c>
      <c r="AV4943" s="6" t="str">
        <f>HYPERLINK("http://mcgill.on.worldcat.org/oclc/402410","Catalog Record")</f>
        <v>Catalog Record</v>
      </c>
      <c r="AW4943" s="6" t="str">
        <f>HYPERLINK("http://www.worldcat.org/oclc/402410","WorldCat Record")</f>
        <v>WorldCat Record</v>
      </c>
      <c r="AX4943" s="3" t="s">
        <v>47556</v>
      </c>
      <c r="AY4943" s="3" t="s">
        <v>47557</v>
      </c>
      <c r="AZ4943" s="3" t="s">
        <v>47558</v>
      </c>
      <c r="BA4943" s="3" t="s">
        <v>47558</v>
      </c>
      <c r="BB4943" s="3" t="s">
        <v>47562</v>
      </c>
      <c r="BC4943" s="3" t="s">
        <v>102</v>
      </c>
      <c r="BD4943" s="3" t="s">
        <v>68</v>
      </c>
      <c r="BE4943" s="3" t="s">
        <v>47560</v>
      </c>
      <c r="BF4943" s="3" t="s">
        <v>47562</v>
      </c>
      <c r="BG4943" s="3" t="s">
        <v>47563</v>
      </c>
    </row>
    <row r="4944" spans="1:59" ht="58" x14ac:dyDescent="0.35">
      <c r="A4944" s="2" t="s">
        <v>89</v>
      </c>
      <c r="B4944" s="2" t="s">
        <v>90</v>
      </c>
      <c r="C4944" s="2" t="s">
        <v>47564</v>
      </c>
      <c r="D4944" s="2" t="s">
        <v>47565</v>
      </c>
      <c r="E4944" s="2" t="s">
        <v>47566</v>
      </c>
      <c r="G4944" s="3" t="s">
        <v>62</v>
      </c>
      <c r="I4944" s="3" t="s">
        <v>62</v>
      </c>
      <c r="J4944" s="3" t="s">
        <v>62</v>
      </c>
      <c r="K4944" s="3" t="s">
        <v>63</v>
      </c>
      <c r="L4944" s="2" t="s">
        <v>47567</v>
      </c>
      <c r="M4944" s="2" t="s">
        <v>47568</v>
      </c>
      <c r="N4944" s="3" t="s">
        <v>1195</v>
      </c>
      <c r="P4944" s="3" t="s">
        <v>64</v>
      </c>
      <c r="R4944" s="3" t="s">
        <v>46535</v>
      </c>
      <c r="S4944" s="4">
        <v>19</v>
      </c>
      <c r="T4944" s="4">
        <v>19</v>
      </c>
      <c r="U4944" s="5" t="s">
        <v>9759</v>
      </c>
      <c r="V4944" s="5" t="s">
        <v>9759</v>
      </c>
      <c r="W4944" s="5" t="s">
        <v>67</v>
      </c>
      <c r="X4944" s="5" t="s">
        <v>67</v>
      </c>
      <c r="Y4944" s="4">
        <v>518</v>
      </c>
      <c r="Z4944" s="4">
        <v>36</v>
      </c>
      <c r="AA4944" s="4">
        <v>92</v>
      </c>
      <c r="AB4944" s="4">
        <v>2</v>
      </c>
      <c r="AC4944" s="4">
        <v>15</v>
      </c>
      <c r="AD4944" s="4">
        <v>114</v>
      </c>
      <c r="AE4944" s="4">
        <v>142</v>
      </c>
      <c r="AF4944" s="4">
        <v>1</v>
      </c>
      <c r="AG4944" s="4">
        <v>8</v>
      </c>
      <c r="AH4944" s="4">
        <v>94</v>
      </c>
      <c r="AI4944" s="4">
        <v>102</v>
      </c>
      <c r="AJ4944" s="4">
        <v>19</v>
      </c>
      <c r="AK4944" s="4">
        <v>25</v>
      </c>
      <c r="AL4944" s="4">
        <v>48</v>
      </c>
      <c r="AM4944" s="4">
        <v>53</v>
      </c>
      <c r="AN4944" s="4">
        <v>0</v>
      </c>
      <c r="AO4944" s="4">
        <v>0</v>
      </c>
      <c r="AP4944" s="4">
        <v>28</v>
      </c>
      <c r="AQ4944" s="4">
        <v>49</v>
      </c>
      <c r="AR4944" s="3" t="s">
        <v>62</v>
      </c>
      <c r="AS4944" s="3" t="s">
        <v>62</v>
      </c>
      <c r="AT4944" s="3" t="s">
        <v>61</v>
      </c>
      <c r="AU4944" s="6" t="str">
        <f>HYPERLINK("http://catalog.hathitrust.org/Record/005221276","HathiTrust Record")</f>
        <v>HathiTrust Record</v>
      </c>
      <c r="AV4944" s="6" t="str">
        <f>HYPERLINK("http://mcgill.on.worldcat.org/oclc/62161220","Catalog Record")</f>
        <v>Catalog Record</v>
      </c>
      <c r="AW4944" s="6" t="str">
        <f>HYPERLINK("http://www.worldcat.org/oclc/62161220","WorldCat Record")</f>
        <v>WorldCat Record</v>
      </c>
      <c r="AX4944" s="3" t="s">
        <v>47569</v>
      </c>
      <c r="AY4944" s="3" t="s">
        <v>47570</v>
      </c>
      <c r="AZ4944" s="3" t="s">
        <v>47571</v>
      </c>
      <c r="BA4944" s="3" t="s">
        <v>47571</v>
      </c>
      <c r="BB4944" s="3" t="s">
        <v>47572</v>
      </c>
      <c r="BC4944" s="3" t="s">
        <v>102</v>
      </c>
      <c r="BD4944" s="3" t="s">
        <v>68</v>
      </c>
      <c r="BE4944" s="3" t="s">
        <v>47573</v>
      </c>
      <c r="BF4944" s="3" t="s">
        <v>47572</v>
      </c>
      <c r="BG4944" s="3" t="s">
        <v>47574</v>
      </c>
    </row>
    <row r="4945" spans="1:59" ht="58" x14ac:dyDescent="0.35">
      <c r="A4945" s="2" t="s">
        <v>89</v>
      </c>
      <c r="B4945" s="2" t="s">
        <v>90</v>
      </c>
      <c r="C4945" s="2" t="s">
        <v>47575</v>
      </c>
      <c r="D4945" s="2" t="s">
        <v>47576</v>
      </c>
      <c r="E4945" s="2" t="s">
        <v>47577</v>
      </c>
      <c r="G4945" s="3" t="s">
        <v>62</v>
      </c>
      <c r="I4945" s="3" t="s">
        <v>62</v>
      </c>
      <c r="J4945" s="3" t="s">
        <v>62</v>
      </c>
      <c r="K4945" s="3" t="s">
        <v>63</v>
      </c>
      <c r="L4945" s="2" t="s">
        <v>47578</v>
      </c>
      <c r="M4945" s="2" t="s">
        <v>47579</v>
      </c>
      <c r="N4945" s="3" t="s">
        <v>698</v>
      </c>
      <c r="P4945" s="3" t="s">
        <v>64</v>
      </c>
      <c r="R4945" s="3" t="s">
        <v>46535</v>
      </c>
      <c r="S4945" s="4">
        <v>6</v>
      </c>
      <c r="T4945" s="4">
        <v>6</v>
      </c>
      <c r="U4945" s="5" t="s">
        <v>9759</v>
      </c>
      <c r="V4945" s="5" t="s">
        <v>9759</v>
      </c>
      <c r="W4945" s="5" t="s">
        <v>67</v>
      </c>
      <c r="X4945" s="5" t="s">
        <v>67</v>
      </c>
      <c r="Y4945" s="4">
        <v>126</v>
      </c>
      <c r="Z4945" s="4">
        <v>12</v>
      </c>
      <c r="AA4945" s="4">
        <v>42</v>
      </c>
      <c r="AB4945" s="4">
        <v>2</v>
      </c>
      <c r="AC4945" s="4">
        <v>4</v>
      </c>
      <c r="AD4945" s="4">
        <v>48</v>
      </c>
      <c r="AE4945" s="4">
        <v>80</v>
      </c>
      <c r="AF4945" s="4">
        <v>1</v>
      </c>
      <c r="AG4945" s="4">
        <v>1</v>
      </c>
      <c r="AH4945" s="4">
        <v>43</v>
      </c>
      <c r="AI4945" s="4">
        <v>65</v>
      </c>
      <c r="AJ4945" s="4">
        <v>7</v>
      </c>
      <c r="AK4945" s="4">
        <v>12</v>
      </c>
      <c r="AL4945" s="4">
        <v>26</v>
      </c>
      <c r="AM4945" s="4">
        <v>38</v>
      </c>
      <c r="AN4945" s="4">
        <v>0</v>
      </c>
      <c r="AO4945" s="4">
        <v>0</v>
      </c>
      <c r="AP4945" s="4">
        <v>8</v>
      </c>
      <c r="AQ4945" s="4">
        <v>20</v>
      </c>
      <c r="AR4945" s="3" t="s">
        <v>62</v>
      </c>
      <c r="AS4945" s="3" t="s">
        <v>62</v>
      </c>
      <c r="AT4945" s="3" t="s">
        <v>62</v>
      </c>
      <c r="AV4945" s="6" t="str">
        <f>HYPERLINK("http://mcgill.on.worldcat.org/oclc/781681099","Catalog Record")</f>
        <v>Catalog Record</v>
      </c>
      <c r="AW4945" s="6" t="str">
        <f>HYPERLINK("http://www.worldcat.org/oclc/781681099","WorldCat Record")</f>
        <v>WorldCat Record</v>
      </c>
      <c r="AX4945" s="3" t="s">
        <v>47580</v>
      </c>
      <c r="AY4945" s="3" t="s">
        <v>47581</v>
      </c>
      <c r="AZ4945" s="3" t="s">
        <v>47582</v>
      </c>
      <c r="BA4945" s="3" t="s">
        <v>47582</v>
      </c>
      <c r="BB4945" s="3" t="s">
        <v>47583</v>
      </c>
      <c r="BC4945" s="3" t="s">
        <v>102</v>
      </c>
      <c r="BD4945" s="3" t="s">
        <v>68</v>
      </c>
      <c r="BE4945" s="3" t="s">
        <v>47584</v>
      </c>
      <c r="BF4945" s="3" t="s">
        <v>47583</v>
      </c>
      <c r="BG4945" s="3" t="s">
        <v>47585</v>
      </c>
    </row>
    <row r="4946" spans="1:59" ht="58" x14ac:dyDescent="0.35">
      <c r="A4946" s="2" t="s">
        <v>89</v>
      </c>
      <c r="B4946" s="2" t="s">
        <v>90</v>
      </c>
      <c r="C4946" s="2" t="s">
        <v>47586</v>
      </c>
      <c r="D4946" s="2" t="s">
        <v>47587</v>
      </c>
      <c r="E4946" s="2" t="s">
        <v>47588</v>
      </c>
      <c r="G4946" s="3" t="s">
        <v>62</v>
      </c>
      <c r="I4946" s="3" t="s">
        <v>62</v>
      </c>
      <c r="J4946" s="3" t="s">
        <v>62</v>
      </c>
      <c r="K4946" s="3" t="s">
        <v>63</v>
      </c>
      <c r="L4946" s="2" t="s">
        <v>47589</v>
      </c>
      <c r="M4946" s="2" t="s">
        <v>47590</v>
      </c>
      <c r="N4946" s="3" t="s">
        <v>1038</v>
      </c>
      <c r="P4946" s="3" t="s">
        <v>64</v>
      </c>
      <c r="Q4946" s="2" t="s">
        <v>42772</v>
      </c>
      <c r="R4946" s="3" t="s">
        <v>46535</v>
      </c>
      <c r="S4946" s="4">
        <v>1</v>
      </c>
      <c r="T4946" s="4">
        <v>1</v>
      </c>
      <c r="U4946" s="5" t="s">
        <v>18681</v>
      </c>
      <c r="V4946" s="5" t="s">
        <v>18681</v>
      </c>
      <c r="W4946" s="5" t="s">
        <v>67</v>
      </c>
      <c r="X4946" s="5" t="s">
        <v>67</v>
      </c>
      <c r="Y4946" s="4">
        <v>91</v>
      </c>
      <c r="Z4946" s="4">
        <v>6</v>
      </c>
      <c r="AA4946" s="4">
        <v>45</v>
      </c>
      <c r="AB4946" s="4">
        <v>1</v>
      </c>
      <c r="AC4946" s="4">
        <v>4</v>
      </c>
      <c r="AD4946" s="4">
        <v>38</v>
      </c>
      <c r="AE4946" s="4">
        <v>69</v>
      </c>
      <c r="AF4946" s="4">
        <v>0</v>
      </c>
      <c r="AG4946" s="4">
        <v>1</v>
      </c>
      <c r="AH4946" s="4">
        <v>36</v>
      </c>
      <c r="AI4946" s="4">
        <v>52</v>
      </c>
      <c r="AJ4946" s="4">
        <v>3</v>
      </c>
      <c r="AK4946" s="4">
        <v>12</v>
      </c>
      <c r="AL4946" s="4">
        <v>23</v>
      </c>
      <c r="AM4946" s="4">
        <v>34</v>
      </c>
      <c r="AN4946" s="4">
        <v>0</v>
      </c>
      <c r="AO4946" s="4">
        <v>0</v>
      </c>
      <c r="AP4946" s="4">
        <v>4</v>
      </c>
      <c r="AQ4946" s="4">
        <v>20</v>
      </c>
      <c r="AR4946" s="3" t="s">
        <v>62</v>
      </c>
      <c r="AS4946" s="3" t="s">
        <v>62</v>
      </c>
      <c r="AT4946" s="3" t="s">
        <v>62</v>
      </c>
      <c r="AV4946" s="6" t="str">
        <f>HYPERLINK("http://mcgill.on.worldcat.org/oclc/917359214","Catalog Record")</f>
        <v>Catalog Record</v>
      </c>
      <c r="AW4946" s="6" t="str">
        <f>HYPERLINK("http://www.worldcat.org/oclc/917359214","WorldCat Record")</f>
        <v>WorldCat Record</v>
      </c>
      <c r="AX4946" s="3" t="s">
        <v>47591</v>
      </c>
      <c r="AY4946" s="3" t="s">
        <v>47592</v>
      </c>
      <c r="AZ4946" s="3" t="s">
        <v>47593</v>
      </c>
      <c r="BA4946" s="3" t="s">
        <v>47593</v>
      </c>
      <c r="BB4946" s="3" t="s">
        <v>47594</v>
      </c>
      <c r="BC4946" s="3" t="s">
        <v>102</v>
      </c>
      <c r="BD4946" s="3" t="s">
        <v>68</v>
      </c>
      <c r="BE4946" s="3" t="s">
        <v>47595</v>
      </c>
      <c r="BF4946" s="3" t="s">
        <v>47594</v>
      </c>
      <c r="BG4946" s="3" t="s">
        <v>47596</v>
      </c>
    </row>
    <row r="4947" spans="1:59" ht="58" x14ac:dyDescent="0.35">
      <c r="A4947" s="2" t="s">
        <v>89</v>
      </c>
      <c r="B4947" s="2" t="s">
        <v>90</v>
      </c>
      <c r="C4947" s="2" t="s">
        <v>47597</v>
      </c>
      <c r="D4947" s="2" t="s">
        <v>47598</v>
      </c>
      <c r="E4947" s="2" t="s">
        <v>47599</v>
      </c>
      <c r="G4947" s="3" t="s">
        <v>62</v>
      </c>
      <c r="I4947" s="3" t="s">
        <v>62</v>
      </c>
      <c r="J4947" s="3" t="s">
        <v>62</v>
      </c>
      <c r="K4947" s="3" t="s">
        <v>63</v>
      </c>
      <c r="L4947" s="2" t="s">
        <v>47600</v>
      </c>
      <c r="M4947" s="2" t="s">
        <v>47601</v>
      </c>
      <c r="N4947" s="3" t="s">
        <v>712</v>
      </c>
      <c r="O4947" s="2" t="s">
        <v>19288</v>
      </c>
      <c r="P4947" s="3" t="s">
        <v>64</v>
      </c>
      <c r="R4947" s="3" t="s">
        <v>46535</v>
      </c>
      <c r="S4947" s="4">
        <v>17</v>
      </c>
      <c r="T4947" s="4">
        <v>17</v>
      </c>
      <c r="U4947" s="5" t="s">
        <v>22226</v>
      </c>
      <c r="V4947" s="5" t="s">
        <v>22226</v>
      </c>
      <c r="W4947" s="5" t="s">
        <v>67</v>
      </c>
      <c r="X4947" s="5" t="s">
        <v>67</v>
      </c>
      <c r="Y4947" s="4">
        <v>34</v>
      </c>
      <c r="Z4947" s="4">
        <v>1</v>
      </c>
      <c r="AA4947" s="4">
        <v>19</v>
      </c>
      <c r="AB4947" s="4">
        <v>1</v>
      </c>
      <c r="AC4947" s="4">
        <v>8</v>
      </c>
      <c r="AD4947" s="4">
        <v>4</v>
      </c>
      <c r="AE4947" s="4">
        <v>35</v>
      </c>
      <c r="AF4947" s="4">
        <v>0</v>
      </c>
      <c r="AG4947" s="4">
        <v>4</v>
      </c>
      <c r="AH4947" s="4">
        <v>4</v>
      </c>
      <c r="AI4947" s="4">
        <v>27</v>
      </c>
      <c r="AJ4947" s="4">
        <v>0</v>
      </c>
      <c r="AK4947" s="4">
        <v>9</v>
      </c>
      <c r="AL4947" s="4">
        <v>3</v>
      </c>
      <c r="AM4947" s="4">
        <v>13</v>
      </c>
      <c r="AN4947" s="4">
        <v>0</v>
      </c>
      <c r="AO4947" s="4">
        <v>8</v>
      </c>
      <c r="AP4947" s="4">
        <v>0</v>
      </c>
      <c r="AQ4947" s="4">
        <v>12</v>
      </c>
      <c r="AR4947" s="3" t="s">
        <v>62</v>
      </c>
      <c r="AS4947" s="3" t="s">
        <v>62</v>
      </c>
      <c r="AT4947" s="3" t="s">
        <v>62</v>
      </c>
      <c r="AV4947" s="6" t="str">
        <f>HYPERLINK("http://mcgill.on.worldcat.org/oclc/823927484","Catalog Record")</f>
        <v>Catalog Record</v>
      </c>
      <c r="AW4947" s="6" t="str">
        <f>HYPERLINK("http://www.worldcat.org/oclc/823927484","WorldCat Record")</f>
        <v>WorldCat Record</v>
      </c>
      <c r="AX4947" s="3" t="s">
        <v>47602</v>
      </c>
      <c r="AY4947" s="3" t="s">
        <v>47603</v>
      </c>
      <c r="AZ4947" s="3" t="s">
        <v>47604</v>
      </c>
      <c r="BA4947" s="3" t="s">
        <v>47604</v>
      </c>
      <c r="BB4947" s="3" t="s">
        <v>47605</v>
      </c>
      <c r="BC4947" s="3" t="s">
        <v>102</v>
      </c>
      <c r="BD4947" s="3" t="s">
        <v>231</v>
      </c>
      <c r="BE4947" s="3" t="s">
        <v>47606</v>
      </c>
      <c r="BF4947" s="3" t="s">
        <v>47605</v>
      </c>
      <c r="BG4947" s="3" t="s">
        <v>47607</v>
      </c>
    </row>
    <row r="4948" spans="1:59" ht="58" x14ac:dyDescent="0.35">
      <c r="A4948" s="2" t="s">
        <v>89</v>
      </c>
      <c r="B4948" s="2" t="s">
        <v>6791</v>
      </c>
      <c r="C4948" s="2" t="s">
        <v>47608</v>
      </c>
      <c r="D4948" s="2" t="s">
        <v>47609</v>
      </c>
      <c r="E4948" s="2" t="s">
        <v>47610</v>
      </c>
      <c r="G4948" s="3" t="s">
        <v>62</v>
      </c>
      <c r="I4948" s="3" t="s">
        <v>62</v>
      </c>
      <c r="J4948" s="3" t="s">
        <v>61</v>
      </c>
      <c r="K4948" s="3" t="s">
        <v>63</v>
      </c>
      <c r="M4948" s="2" t="s">
        <v>47611</v>
      </c>
      <c r="N4948" s="3" t="s">
        <v>553</v>
      </c>
      <c r="O4948" s="2" t="s">
        <v>2986</v>
      </c>
      <c r="P4948" s="3" t="s">
        <v>64</v>
      </c>
      <c r="R4948" s="3" t="s">
        <v>46535</v>
      </c>
      <c r="S4948" s="4">
        <v>16</v>
      </c>
      <c r="T4948" s="4">
        <v>16</v>
      </c>
      <c r="U4948" s="5" t="s">
        <v>4535</v>
      </c>
      <c r="V4948" s="5" t="s">
        <v>4535</v>
      </c>
      <c r="W4948" s="5" t="s">
        <v>67</v>
      </c>
      <c r="X4948" s="5" t="s">
        <v>67</v>
      </c>
      <c r="Y4948" s="4">
        <v>324</v>
      </c>
      <c r="Z4948" s="4">
        <v>22</v>
      </c>
      <c r="AA4948" s="4">
        <v>52</v>
      </c>
      <c r="AB4948" s="4">
        <v>2</v>
      </c>
      <c r="AC4948" s="4">
        <v>15</v>
      </c>
      <c r="AD4948" s="4">
        <v>88</v>
      </c>
      <c r="AE4948" s="4">
        <v>127</v>
      </c>
      <c r="AF4948" s="4">
        <v>1</v>
      </c>
      <c r="AG4948" s="4">
        <v>7</v>
      </c>
      <c r="AH4948" s="4">
        <v>79</v>
      </c>
      <c r="AI4948" s="4">
        <v>104</v>
      </c>
      <c r="AJ4948" s="4">
        <v>18</v>
      </c>
      <c r="AK4948" s="4">
        <v>24</v>
      </c>
      <c r="AL4948" s="4">
        <v>41</v>
      </c>
      <c r="AM4948" s="4">
        <v>55</v>
      </c>
      <c r="AN4948" s="4">
        <v>0</v>
      </c>
      <c r="AO4948" s="4">
        <v>0</v>
      </c>
      <c r="AP4948" s="4">
        <v>19</v>
      </c>
      <c r="AQ4948" s="4">
        <v>31</v>
      </c>
      <c r="AR4948" s="3" t="s">
        <v>62</v>
      </c>
      <c r="AS4948" s="3" t="s">
        <v>62</v>
      </c>
      <c r="AT4948" s="3" t="s">
        <v>61</v>
      </c>
      <c r="AU4948" s="6" t="str">
        <f>HYPERLINK("http://catalog.hathitrust.org/Record/004021203","HathiTrust Record")</f>
        <v>HathiTrust Record</v>
      </c>
      <c r="AV4948" s="6" t="str">
        <f>HYPERLINK("http://mcgill.on.worldcat.org/oclc/39951673","Catalog Record")</f>
        <v>Catalog Record</v>
      </c>
      <c r="AW4948" s="6" t="str">
        <f>HYPERLINK("http://www.worldcat.org/oclc/39951673","WorldCat Record")</f>
        <v>WorldCat Record</v>
      </c>
      <c r="AX4948" s="3" t="s">
        <v>47612</v>
      </c>
      <c r="AY4948" s="3" t="s">
        <v>47613</v>
      </c>
      <c r="AZ4948" s="3" t="s">
        <v>47614</v>
      </c>
      <c r="BA4948" s="3" t="s">
        <v>47614</v>
      </c>
      <c r="BB4948" s="3" t="s">
        <v>47615</v>
      </c>
      <c r="BC4948" s="3" t="s">
        <v>102</v>
      </c>
      <c r="BD4948" s="3" t="s">
        <v>68</v>
      </c>
      <c r="BE4948" s="3" t="s">
        <v>47616</v>
      </c>
      <c r="BF4948" s="3" t="s">
        <v>47615</v>
      </c>
      <c r="BG4948" s="3" t="s">
        <v>47617</v>
      </c>
    </row>
    <row r="4949" spans="1:59" ht="87" x14ac:dyDescent="0.35">
      <c r="A4949" s="2" t="s">
        <v>89</v>
      </c>
      <c r="B4949" s="2" t="s">
        <v>11757</v>
      </c>
      <c r="C4949" s="2" t="s">
        <v>47618</v>
      </c>
      <c r="D4949" s="2" t="s">
        <v>47619</v>
      </c>
      <c r="E4949" s="2" t="s">
        <v>47620</v>
      </c>
      <c r="G4949" s="3" t="s">
        <v>62</v>
      </c>
      <c r="I4949" s="3" t="s">
        <v>62</v>
      </c>
      <c r="J4949" s="3" t="s">
        <v>62</v>
      </c>
      <c r="K4949" s="3" t="s">
        <v>63</v>
      </c>
      <c r="L4949" s="2" t="s">
        <v>47621</v>
      </c>
      <c r="M4949" s="2" t="s">
        <v>47622</v>
      </c>
      <c r="N4949" s="3" t="s">
        <v>684</v>
      </c>
      <c r="P4949" s="3" t="s">
        <v>64</v>
      </c>
      <c r="R4949" s="3" t="s">
        <v>46535</v>
      </c>
      <c r="S4949" s="4">
        <v>0</v>
      </c>
      <c r="T4949" s="4">
        <v>0</v>
      </c>
      <c r="W4949" s="5" t="s">
        <v>67</v>
      </c>
      <c r="X4949" s="5" t="s">
        <v>67</v>
      </c>
      <c r="Y4949" s="4">
        <v>46</v>
      </c>
      <c r="Z4949" s="4">
        <v>1</v>
      </c>
      <c r="AA4949" s="4">
        <v>88</v>
      </c>
      <c r="AB4949" s="4">
        <v>1</v>
      </c>
      <c r="AC4949" s="4">
        <v>18</v>
      </c>
      <c r="AD4949" s="4">
        <v>10</v>
      </c>
      <c r="AE4949" s="4">
        <v>87</v>
      </c>
      <c r="AF4949" s="4">
        <v>0</v>
      </c>
      <c r="AG4949" s="4">
        <v>8</v>
      </c>
      <c r="AH4949" s="4">
        <v>10</v>
      </c>
      <c r="AI4949" s="4">
        <v>56</v>
      </c>
      <c r="AJ4949" s="4">
        <v>0</v>
      </c>
      <c r="AK4949" s="4">
        <v>15</v>
      </c>
      <c r="AL4949" s="4">
        <v>5</v>
      </c>
      <c r="AM4949" s="4">
        <v>26</v>
      </c>
      <c r="AN4949" s="4">
        <v>0</v>
      </c>
      <c r="AO4949" s="4">
        <v>0</v>
      </c>
      <c r="AP4949" s="4">
        <v>0</v>
      </c>
      <c r="AQ4949" s="4">
        <v>36</v>
      </c>
      <c r="AR4949" s="3" t="s">
        <v>62</v>
      </c>
      <c r="AS4949" s="3" t="s">
        <v>62</v>
      </c>
      <c r="AT4949" s="3" t="s">
        <v>62</v>
      </c>
      <c r="AV4949" s="6" t="str">
        <f>HYPERLINK("http://mcgill.on.worldcat.org/oclc/745981029","Catalog Record")</f>
        <v>Catalog Record</v>
      </c>
      <c r="AW4949" s="6" t="str">
        <f>HYPERLINK("http://www.worldcat.org/oclc/745981029","WorldCat Record")</f>
        <v>WorldCat Record</v>
      </c>
      <c r="AX4949" s="3" t="s">
        <v>47623</v>
      </c>
      <c r="AY4949" s="3" t="s">
        <v>47624</v>
      </c>
      <c r="AZ4949" s="3" t="s">
        <v>47625</v>
      </c>
      <c r="BA4949" s="3" t="s">
        <v>47625</v>
      </c>
      <c r="BB4949" s="3" t="s">
        <v>47626</v>
      </c>
      <c r="BC4949" s="3" t="s">
        <v>102</v>
      </c>
      <c r="BD4949" s="3" t="s">
        <v>68</v>
      </c>
      <c r="BE4949" s="3" t="s">
        <v>47627</v>
      </c>
      <c r="BF4949" s="3" t="s">
        <v>47626</v>
      </c>
      <c r="BG4949" s="3" t="s">
        <v>47628</v>
      </c>
    </row>
    <row r="4950" spans="1:59" ht="58" x14ac:dyDescent="0.35">
      <c r="A4950" s="2" t="s">
        <v>89</v>
      </c>
      <c r="B4950" s="2" t="s">
        <v>6791</v>
      </c>
      <c r="C4950" s="2" t="s">
        <v>47629</v>
      </c>
      <c r="D4950" s="2" t="s">
        <v>47630</v>
      </c>
      <c r="E4950" s="2" t="s">
        <v>47631</v>
      </c>
      <c r="G4950" s="3" t="s">
        <v>62</v>
      </c>
      <c r="I4950" s="3" t="s">
        <v>62</v>
      </c>
      <c r="J4950" s="3" t="s">
        <v>61</v>
      </c>
      <c r="K4950" s="3" t="s">
        <v>63</v>
      </c>
      <c r="L4950" s="2" t="s">
        <v>47632</v>
      </c>
      <c r="M4950" s="2" t="s">
        <v>47633</v>
      </c>
      <c r="N4950" s="3" t="s">
        <v>698</v>
      </c>
      <c r="O4950" s="2" t="s">
        <v>2458</v>
      </c>
      <c r="P4950" s="3" t="s">
        <v>64</v>
      </c>
      <c r="R4950" s="3" t="s">
        <v>46535</v>
      </c>
      <c r="S4950" s="4">
        <v>1</v>
      </c>
      <c r="T4950" s="4">
        <v>1</v>
      </c>
      <c r="U4950" s="5" t="s">
        <v>47634</v>
      </c>
      <c r="V4950" s="5" t="s">
        <v>47634</v>
      </c>
      <c r="W4950" s="5" t="s">
        <v>67</v>
      </c>
      <c r="X4950" s="5" t="s">
        <v>67</v>
      </c>
      <c r="Y4950" s="4">
        <v>175</v>
      </c>
      <c r="Z4950" s="4">
        <v>14</v>
      </c>
      <c r="AA4950" s="4">
        <v>46</v>
      </c>
      <c r="AB4950" s="4">
        <v>1</v>
      </c>
      <c r="AC4950" s="4">
        <v>16</v>
      </c>
      <c r="AD4950" s="4">
        <v>29</v>
      </c>
      <c r="AE4950" s="4">
        <v>105</v>
      </c>
      <c r="AF4950" s="4">
        <v>0</v>
      </c>
      <c r="AG4950" s="4">
        <v>4</v>
      </c>
      <c r="AH4950" s="4">
        <v>26</v>
      </c>
      <c r="AI4950" s="4">
        <v>88</v>
      </c>
      <c r="AJ4950" s="4">
        <v>8</v>
      </c>
      <c r="AK4950" s="4">
        <v>22</v>
      </c>
      <c r="AL4950" s="4">
        <v>10</v>
      </c>
      <c r="AM4950" s="4">
        <v>49</v>
      </c>
      <c r="AN4950" s="4">
        <v>0</v>
      </c>
      <c r="AO4950" s="4">
        <v>1</v>
      </c>
      <c r="AP4950" s="4">
        <v>10</v>
      </c>
      <c r="AQ4950" s="4">
        <v>25</v>
      </c>
      <c r="AR4950" s="3" t="s">
        <v>62</v>
      </c>
      <c r="AS4950" s="3" t="s">
        <v>62</v>
      </c>
      <c r="AT4950" s="3" t="s">
        <v>62</v>
      </c>
      <c r="AV4950" s="6" t="str">
        <f>HYPERLINK("http://mcgill.on.worldcat.org/oclc/751716886","Catalog Record")</f>
        <v>Catalog Record</v>
      </c>
      <c r="AW4950" s="6" t="str">
        <f>HYPERLINK("http://www.worldcat.org/oclc/751716886","WorldCat Record")</f>
        <v>WorldCat Record</v>
      </c>
      <c r="AX4950" s="3" t="s">
        <v>47635</v>
      </c>
      <c r="AY4950" s="3" t="s">
        <v>47636</v>
      </c>
      <c r="AZ4950" s="3" t="s">
        <v>47637</v>
      </c>
      <c r="BA4950" s="3" t="s">
        <v>47637</v>
      </c>
      <c r="BB4950" s="3" t="s">
        <v>47638</v>
      </c>
      <c r="BC4950" s="3" t="s">
        <v>102</v>
      </c>
      <c r="BD4950" s="3" t="s">
        <v>68</v>
      </c>
      <c r="BE4950" s="3" t="s">
        <v>47639</v>
      </c>
      <c r="BF4950" s="3" t="s">
        <v>47638</v>
      </c>
      <c r="BG4950" s="3" t="s">
        <v>47640</v>
      </c>
    </row>
    <row r="4951" spans="1:59" ht="58" x14ac:dyDescent="0.35">
      <c r="A4951" s="2" t="s">
        <v>89</v>
      </c>
      <c r="B4951" s="2" t="s">
        <v>90</v>
      </c>
      <c r="C4951" s="2" t="s">
        <v>47641</v>
      </c>
      <c r="D4951" s="2" t="s">
        <v>47642</v>
      </c>
      <c r="E4951" s="2" t="s">
        <v>47643</v>
      </c>
      <c r="G4951" s="3" t="s">
        <v>62</v>
      </c>
      <c r="I4951" s="3" t="s">
        <v>62</v>
      </c>
      <c r="J4951" s="3" t="s">
        <v>62</v>
      </c>
      <c r="K4951" s="3" t="s">
        <v>63</v>
      </c>
      <c r="L4951" s="2" t="s">
        <v>47644</v>
      </c>
      <c r="M4951" s="2" t="s">
        <v>47645</v>
      </c>
      <c r="N4951" s="3" t="s">
        <v>2085</v>
      </c>
      <c r="P4951" s="3" t="s">
        <v>64</v>
      </c>
      <c r="R4951" s="3" t="s">
        <v>46535</v>
      </c>
      <c r="S4951" s="4">
        <v>2</v>
      </c>
      <c r="T4951" s="4">
        <v>2</v>
      </c>
      <c r="U4951" s="5" t="s">
        <v>4363</v>
      </c>
      <c r="V4951" s="5" t="s">
        <v>4363</v>
      </c>
      <c r="W4951" s="5" t="s">
        <v>67</v>
      </c>
      <c r="X4951" s="5" t="s">
        <v>67</v>
      </c>
      <c r="Y4951" s="4">
        <v>96</v>
      </c>
      <c r="Z4951" s="4">
        <v>10</v>
      </c>
      <c r="AA4951" s="4">
        <v>13</v>
      </c>
      <c r="AB4951" s="4">
        <v>2</v>
      </c>
      <c r="AC4951" s="4">
        <v>4</v>
      </c>
      <c r="AD4951" s="4">
        <v>18</v>
      </c>
      <c r="AE4951" s="4">
        <v>21</v>
      </c>
      <c r="AF4951" s="4">
        <v>1</v>
      </c>
      <c r="AG4951" s="4">
        <v>3</v>
      </c>
      <c r="AH4951" s="4">
        <v>13</v>
      </c>
      <c r="AI4951" s="4">
        <v>14</v>
      </c>
      <c r="AJ4951" s="4">
        <v>7</v>
      </c>
      <c r="AK4951" s="4">
        <v>9</v>
      </c>
      <c r="AL4951" s="4">
        <v>5</v>
      </c>
      <c r="AM4951" s="4">
        <v>5</v>
      </c>
      <c r="AN4951" s="4">
        <v>0</v>
      </c>
      <c r="AO4951" s="4">
        <v>0</v>
      </c>
      <c r="AP4951" s="4">
        <v>8</v>
      </c>
      <c r="AQ4951" s="4">
        <v>10</v>
      </c>
      <c r="AR4951" s="3" t="s">
        <v>62</v>
      </c>
      <c r="AS4951" s="3" t="s">
        <v>62</v>
      </c>
      <c r="AT4951" s="3" t="s">
        <v>62</v>
      </c>
      <c r="AV4951" s="6" t="str">
        <f>HYPERLINK("http://mcgill.on.worldcat.org/oclc/973499104","Catalog Record")</f>
        <v>Catalog Record</v>
      </c>
      <c r="AW4951" s="6" t="str">
        <f>HYPERLINK("http://www.worldcat.org/oclc/973499104","WorldCat Record")</f>
        <v>WorldCat Record</v>
      </c>
      <c r="AX4951" s="3" t="s">
        <v>47646</v>
      </c>
      <c r="AY4951" s="3" t="s">
        <v>47647</v>
      </c>
      <c r="AZ4951" s="3" t="s">
        <v>47648</v>
      </c>
      <c r="BA4951" s="3" t="s">
        <v>47648</v>
      </c>
      <c r="BB4951" s="3" t="s">
        <v>47649</v>
      </c>
      <c r="BC4951" s="3" t="s">
        <v>102</v>
      </c>
      <c r="BD4951" s="3" t="s">
        <v>68</v>
      </c>
      <c r="BE4951" s="3" t="s">
        <v>47650</v>
      </c>
      <c r="BF4951" s="3" t="s">
        <v>47649</v>
      </c>
      <c r="BG4951" s="3" t="s">
        <v>47651</v>
      </c>
    </row>
    <row r="4952" spans="1:59" ht="58" x14ac:dyDescent="0.35">
      <c r="A4952" s="2" t="s">
        <v>89</v>
      </c>
      <c r="B4952" s="2" t="s">
        <v>90</v>
      </c>
      <c r="C4952" s="2" t="s">
        <v>47652</v>
      </c>
      <c r="D4952" s="2" t="s">
        <v>47653</v>
      </c>
      <c r="E4952" s="2" t="s">
        <v>47654</v>
      </c>
      <c r="G4952" s="3" t="s">
        <v>62</v>
      </c>
      <c r="I4952" s="3" t="s">
        <v>62</v>
      </c>
      <c r="J4952" s="3" t="s">
        <v>62</v>
      </c>
      <c r="K4952" s="3" t="s">
        <v>63</v>
      </c>
      <c r="M4952" s="2" t="s">
        <v>46313</v>
      </c>
      <c r="N4952" s="3" t="s">
        <v>1195</v>
      </c>
      <c r="O4952" s="2" t="s">
        <v>2986</v>
      </c>
      <c r="P4952" s="3" t="s">
        <v>64</v>
      </c>
      <c r="R4952" s="3" t="s">
        <v>46535</v>
      </c>
      <c r="S4952" s="4">
        <v>4</v>
      </c>
      <c r="T4952" s="4">
        <v>4</v>
      </c>
      <c r="U4952" s="5" t="s">
        <v>88</v>
      </c>
      <c r="V4952" s="5" t="s">
        <v>88</v>
      </c>
      <c r="W4952" s="5" t="s">
        <v>67</v>
      </c>
      <c r="X4952" s="5" t="s">
        <v>67</v>
      </c>
      <c r="Y4952" s="4">
        <v>397</v>
      </c>
      <c r="Z4952" s="4">
        <v>36</v>
      </c>
      <c r="AA4952" s="4">
        <v>49</v>
      </c>
      <c r="AB4952" s="4">
        <v>2</v>
      </c>
      <c r="AC4952" s="4">
        <v>8</v>
      </c>
      <c r="AD4952" s="4">
        <v>78</v>
      </c>
      <c r="AE4952" s="4">
        <v>112</v>
      </c>
      <c r="AF4952" s="4">
        <v>1</v>
      </c>
      <c r="AG4952" s="4">
        <v>5</v>
      </c>
      <c r="AH4952" s="4">
        <v>62</v>
      </c>
      <c r="AI4952" s="4">
        <v>89</v>
      </c>
      <c r="AJ4952" s="4">
        <v>19</v>
      </c>
      <c r="AK4952" s="4">
        <v>24</v>
      </c>
      <c r="AL4952" s="4">
        <v>31</v>
      </c>
      <c r="AM4952" s="4">
        <v>39</v>
      </c>
      <c r="AN4952" s="4">
        <v>0</v>
      </c>
      <c r="AO4952" s="4">
        <v>0</v>
      </c>
      <c r="AP4952" s="4">
        <v>27</v>
      </c>
      <c r="AQ4952" s="4">
        <v>35</v>
      </c>
      <c r="AR4952" s="3" t="s">
        <v>62</v>
      </c>
      <c r="AS4952" s="3" t="s">
        <v>62</v>
      </c>
      <c r="AT4952" s="3" t="s">
        <v>61</v>
      </c>
      <c r="AU4952" s="6" t="str">
        <f>HYPERLINK("http://catalog.hathitrust.org/Record/005125235","HathiTrust Record")</f>
        <v>HathiTrust Record</v>
      </c>
      <c r="AV4952" s="6" t="str">
        <f>HYPERLINK("http://mcgill.on.worldcat.org/oclc/61211272","Catalog Record")</f>
        <v>Catalog Record</v>
      </c>
      <c r="AW4952" s="6" t="str">
        <f>HYPERLINK("http://www.worldcat.org/oclc/61211272","WorldCat Record")</f>
        <v>WorldCat Record</v>
      </c>
      <c r="AX4952" s="3" t="s">
        <v>47655</v>
      </c>
      <c r="AY4952" s="3" t="s">
        <v>47656</v>
      </c>
      <c r="AZ4952" s="3" t="s">
        <v>47657</v>
      </c>
      <c r="BA4952" s="3" t="s">
        <v>47657</v>
      </c>
      <c r="BB4952" s="3" t="s">
        <v>47658</v>
      </c>
      <c r="BC4952" s="3" t="s">
        <v>102</v>
      </c>
      <c r="BD4952" s="3" t="s">
        <v>68</v>
      </c>
      <c r="BE4952" s="3" t="s">
        <v>47659</v>
      </c>
      <c r="BF4952" s="3" t="s">
        <v>47658</v>
      </c>
      <c r="BG4952" s="3" t="s">
        <v>47660</v>
      </c>
    </row>
    <row r="4953" spans="1:59" ht="58" x14ac:dyDescent="0.35">
      <c r="A4953" s="2" t="s">
        <v>89</v>
      </c>
      <c r="B4953" s="2" t="s">
        <v>90</v>
      </c>
      <c r="C4953" s="2" t="s">
        <v>47661</v>
      </c>
      <c r="D4953" s="2" t="s">
        <v>47662</v>
      </c>
      <c r="E4953" s="2" t="s">
        <v>47663</v>
      </c>
      <c r="G4953" s="3" t="s">
        <v>62</v>
      </c>
      <c r="I4953" s="3" t="s">
        <v>61</v>
      </c>
      <c r="J4953" s="3" t="s">
        <v>61</v>
      </c>
      <c r="K4953" s="3" t="s">
        <v>63</v>
      </c>
      <c r="L4953" s="2" t="s">
        <v>47664</v>
      </c>
      <c r="M4953" s="2" t="s">
        <v>47665</v>
      </c>
      <c r="N4953" s="3" t="s">
        <v>698</v>
      </c>
      <c r="O4953" s="2" t="s">
        <v>17427</v>
      </c>
      <c r="P4953" s="3" t="s">
        <v>64</v>
      </c>
      <c r="R4953" s="3" t="s">
        <v>46535</v>
      </c>
      <c r="S4953" s="4">
        <v>16</v>
      </c>
      <c r="T4953" s="4">
        <v>37</v>
      </c>
      <c r="U4953" s="5" t="s">
        <v>47666</v>
      </c>
      <c r="V4953" s="5" t="s">
        <v>5894</v>
      </c>
      <c r="W4953" s="5" t="s">
        <v>67</v>
      </c>
      <c r="X4953" s="5" t="s">
        <v>67</v>
      </c>
      <c r="Y4953" s="4">
        <v>81</v>
      </c>
      <c r="Z4953" s="4">
        <v>12</v>
      </c>
      <c r="AA4953" s="4">
        <v>52</v>
      </c>
      <c r="AB4953" s="4">
        <v>1</v>
      </c>
      <c r="AC4953" s="4">
        <v>7</v>
      </c>
      <c r="AD4953" s="4">
        <v>16</v>
      </c>
      <c r="AE4953" s="4">
        <v>86</v>
      </c>
      <c r="AF4953" s="4">
        <v>0</v>
      </c>
      <c r="AG4953" s="4">
        <v>4</v>
      </c>
      <c r="AH4953" s="4">
        <v>15</v>
      </c>
      <c r="AI4953" s="4">
        <v>63</v>
      </c>
      <c r="AJ4953" s="4">
        <v>6</v>
      </c>
      <c r="AK4953" s="4">
        <v>21</v>
      </c>
      <c r="AL4953" s="4">
        <v>7</v>
      </c>
      <c r="AM4953" s="4">
        <v>31</v>
      </c>
      <c r="AN4953" s="4">
        <v>0</v>
      </c>
      <c r="AO4953" s="4">
        <v>0</v>
      </c>
      <c r="AP4953" s="4">
        <v>7</v>
      </c>
      <c r="AQ4953" s="4">
        <v>33</v>
      </c>
      <c r="AR4953" s="3" t="s">
        <v>62</v>
      </c>
      <c r="AS4953" s="3" t="s">
        <v>62</v>
      </c>
      <c r="AT4953" s="3" t="s">
        <v>62</v>
      </c>
      <c r="AV4953" s="6" t="str">
        <f>HYPERLINK("http://mcgill.on.worldcat.org/oclc/663953379","Catalog Record")</f>
        <v>Catalog Record</v>
      </c>
      <c r="AW4953" s="6" t="str">
        <f>HYPERLINK("http://www.worldcat.org/oclc/663953379","WorldCat Record")</f>
        <v>WorldCat Record</v>
      </c>
      <c r="AX4953" s="3" t="s">
        <v>47667</v>
      </c>
      <c r="AY4953" s="3" t="s">
        <v>47668</v>
      </c>
      <c r="AZ4953" s="3" t="s">
        <v>47669</v>
      </c>
      <c r="BA4953" s="3" t="s">
        <v>47669</v>
      </c>
      <c r="BB4953" s="3" t="s">
        <v>47670</v>
      </c>
      <c r="BC4953" s="3" t="s">
        <v>102</v>
      </c>
      <c r="BD4953" s="3" t="s">
        <v>68</v>
      </c>
      <c r="BE4953" s="3" t="s">
        <v>47671</v>
      </c>
      <c r="BF4953" s="3" t="s">
        <v>47670</v>
      </c>
      <c r="BG4953" s="3" t="s">
        <v>47672</v>
      </c>
    </row>
    <row r="4954" spans="1:59" ht="58" x14ac:dyDescent="0.35">
      <c r="A4954" s="2" t="s">
        <v>89</v>
      </c>
      <c r="B4954" s="2" t="s">
        <v>90</v>
      </c>
      <c r="C4954" s="2" t="s">
        <v>47661</v>
      </c>
      <c r="D4954" s="2" t="s">
        <v>47662</v>
      </c>
      <c r="E4954" s="2" t="s">
        <v>47663</v>
      </c>
      <c r="G4954" s="3" t="s">
        <v>62</v>
      </c>
      <c r="I4954" s="3" t="s">
        <v>61</v>
      </c>
      <c r="J4954" s="3" t="s">
        <v>61</v>
      </c>
      <c r="K4954" s="3" t="s">
        <v>63</v>
      </c>
      <c r="L4954" s="2" t="s">
        <v>47664</v>
      </c>
      <c r="M4954" s="2" t="s">
        <v>47665</v>
      </c>
      <c r="N4954" s="3" t="s">
        <v>698</v>
      </c>
      <c r="O4954" s="2" t="s">
        <v>17427</v>
      </c>
      <c r="P4954" s="3" t="s">
        <v>64</v>
      </c>
      <c r="R4954" s="3" t="s">
        <v>46535</v>
      </c>
      <c r="S4954" s="4">
        <v>7</v>
      </c>
      <c r="T4954" s="4">
        <v>37</v>
      </c>
      <c r="U4954" s="5" t="s">
        <v>47673</v>
      </c>
      <c r="V4954" s="5" t="s">
        <v>5894</v>
      </c>
      <c r="W4954" s="5" t="s">
        <v>67</v>
      </c>
      <c r="X4954" s="5" t="s">
        <v>67</v>
      </c>
      <c r="Y4954" s="4">
        <v>81</v>
      </c>
      <c r="Z4954" s="4">
        <v>12</v>
      </c>
      <c r="AA4954" s="4">
        <v>52</v>
      </c>
      <c r="AB4954" s="4">
        <v>1</v>
      </c>
      <c r="AC4954" s="4">
        <v>7</v>
      </c>
      <c r="AD4954" s="4">
        <v>16</v>
      </c>
      <c r="AE4954" s="4">
        <v>86</v>
      </c>
      <c r="AF4954" s="4">
        <v>0</v>
      </c>
      <c r="AG4954" s="4">
        <v>4</v>
      </c>
      <c r="AH4954" s="4">
        <v>15</v>
      </c>
      <c r="AI4954" s="4">
        <v>63</v>
      </c>
      <c r="AJ4954" s="4">
        <v>6</v>
      </c>
      <c r="AK4954" s="4">
        <v>21</v>
      </c>
      <c r="AL4954" s="4">
        <v>7</v>
      </c>
      <c r="AM4954" s="4">
        <v>31</v>
      </c>
      <c r="AN4954" s="4">
        <v>0</v>
      </c>
      <c r="AO4954" s="4">
        <v>0</v>
      </c>
      <c r="AP4954" s="4">
        <v>7</v>
      </c>
      <c r="AQ4954" s="4">
        <v>33</v>
      </c>
      <c r="AR4954" s="3" t="s">
        <v>62</v>
      </c>
      <c r="AS4954" s="3" t="s">
        <v>62</v>
      </c>
      <c r="AT4954" s="3" t="s">
        <v>62</v>
      </c>
      <c r="AV4954" s="6" t="str">
        <f>HYPERLINK("http://mcgill.on.worldcat.org/oclc/663953379","Catalog Record")</f>
        <v>Catalog Record</v>
      </c>
      <c r="AW4954" s="6" t="str">
        <f>HYPERLINK("http://www.worldcat.org/oclc/663953379","WorldCat Record")</f>
        <v>WorldCat Record</v>
      </c>
      <c r="AX4954" s="3" t="s">
        <v>47667</v>
      </c>
      <c r="AY4954" s="3" t="s">
        <v>47668</v>
      </c>
      <c r="AZ4954" s="3" t="s">
        <v>47669</v>
      </c>
      <c r="BA4954" s="3" t="s">
        <v>47669</v>
      </c>
      <c r="BB4954" s="3" t="s">
        <v>47674</v>
      </c>
      <c r="BC4954" s="3" t="s">
        <v>102</v>
      </c>
      <c r="BD4954" s="3" t="s">
        <v>68</v>
      </c>
      <c r="BE4954" s="3" t="s">
        <v>47671</v>
      </c>
      <c r="BF4954" s="3" t="s">
        <v>47674</v>
      </c>
      <c r="BG4954" s="3" t="s">
        <v>47675</v>
      </c>
    </row>
    <row r="4955" spans="1:59" ht="58" x14ac:dyDescent="0.35">
      <c r="A4955" s="2" t="s">
        <v>89</v>
      </c>
      <c r="B4955" s="2" t="s">
        <v>90</v>
      </c>
      <c r="C4955" s="2" t="s">
        <v>47661</v>
      </c>
      <c r="D4955" s="2" t="s">
        <v>47662</v>
      </c>
      <c r="E4955" s="2" t="s">
        <v>47663</v>
      </c>
      <c r="G4955" s="3" t="s">
        <v>62</v>
      </c>
      <c r="I4955" s="3" t="s">
        <v>61</v>
      </c>
      <c r="J4955" s="3" t="s">
        <v>61</v>
      </c>
      <c r="K4955" s="3" t="s">
        <v>63</v>
      </c>
      <c r="L4955" s="2" t="s">
        <v>47664</v>
      </c>
      <c r="M4955" s="2" t="s">
        <v>47665</v>
      </c>
      <c r="N4955" s="3" t="s">
        <v>698</v>
      </c>
      <c r="O4955" s="2" t="s">
        <v>17427</v>
      </c>
      <c r="P4955" s="3" t="s">
        <v>64</v>
      </c>
      <c r="R4955" s="3" t="s">
        <v>46535</v>
      </c>
      <c r="S4955" s="4">
        <v>14</v>
      </c>
      <c r="T4955" s="4">
        <v>37</v>
      </c>
      <c r="U4955" s="5" t="s">
        <v>5894</v>
      </c>
      <c r="V4955" s="5" t="s">
        <v>5894</v>
      </c>
      <c r="W4955" s="5" t="s">
        <v>67</v>
      </c>
      <c r="X4955" s="5" t="s">
        <v>67</v>
      </c>
      <c r="Y4955" s="4">
        <v>81</v>
      </c>
      <c r="Z4955" s="4">
        <v>12</v>
      </c>
      <c r="AA4955" s="4">
        <v>52</v>
      </c>
      <c r="AB4955" s="4">
        <v>1</v>
      </c>
      <c r="AC4955" s="4">
        <v>7</v>
      </c>
      <c r="AD4955" s="4">
        <v>16</v>
      </c>
      <c r="AE4955" s="4">
        <v>86</v>
      </c>
      <c r="AF4955" s="4">
        <v>0</v>
      </c>
      <c r="AG4955" s="4">
        <v>4</v>
      </c>
      <c r="AH4955" s="4">
        <v>15</v>
      </c>
      <c r="AI4955" s="4">
        <v>63</v>
      </c>
      <c r="AJ4955" s="4">
        <v>6</v>
      </c>
      <c r="AK4955" s="4">
        <v>21</v>
      </c>
      <c r="AL4955" s="4">
        <v>7</v>
      </c>
      <c r="AM4955" s="4">
        <v>31</v>
      </c>
      <c r="AN4955" s="4">
        <v>0</v>
      </c>
      <c r="AO4955" s="4">
        <v>0</v>
      </c>
      <c r="AP4955" s="4">
        <v>7</v>
      </c>
      <c r="AQ4955" s="4">
        <v>33</v>
      </c>
      <c r="AR4955" s="3" t="s">
        <v>62</v>
      </c>
      <c r="AS4955" s="3" t="s">
        <v>62</v>
      </c>
      <c r="AT4955" s="3" t="s">
        <v>62</v>
      </c>
      <c r="AV4955" s="6" t="str">
        <f>HYPERLINK("http://mcgill.on.worldcat.org/oclc/663953379","Catalog Record")</f>
        <v>Catalog Record</v>
      </c>
      <c r="AW4955" s="6" t="str">
        <f>HYPERLINK("http://www.worldcat.org/oclc/663953379","WorldCat Record")</f>
        <v>WorldCat Record</v>
      </c>
      <c r="AX4955" s="3" t="s">
        <v>47667</v>
      </c>
      <c r="AY4955" s="3" t="s">
        <v>47668</v>
      </c>
      <c r="AZ4955" s="3" t="s">
        <v>47669</v>
      </c>
      <c r="BA4955" s="3" t="s">
        <v>47669</v>
      </c>
      <c r="BB4955" s="3" t="s">
        <v>47676</v>
      </c>
      <c r="BC4955" s="3" t="s">
        <v>102</v>
      </c>
      <c r="BD4955" s="3" t="s">
        <v>68</v>
      </c>
      <c r="BE4955" s="3" t="s">
        <v>47671</v>
      </c>
      <c r="BF4955" s="3" t="s">
        <v>47676</v>
      </c>
      <c r="BG4955" s="3" t="s">
        <v>47677</v>
      </c>
    </row>
    <row r="4956" spans="1:59" ht="58" x14ac:dyDescent="0.35">
      <c r="A4956" s="2" t="s">
        <v>89</v>
      </c>
      <c r="B4956" s="2" t="s">
        <v>90</v>
      </c>
      <c r="C4956" s="2" t="s">
        <v>47678</v>
      </c>
      <c r="D4956" s="2" t="s">
        <v>47679</v>
      </c>
      <c r="E4956" s="2" t="s">
        <v>47680</v>
      </c>
      <c r="G4956" s="3" t="s">
        <v>62</v>
      </c>
      <c r="I4956" s="3" t="s">
        <v>62</v>
      </c>
      <c r="J4956" s="3" t="s">
        <v>62</v>
      </c>
      <c r="K4956" s="3" t="s">
        <v>63</v>
      </c>
      <c r="L4956" s="2" t="s">
        <v>47681</v>
      </c>
      <c r="M4956" s="2" t="s">
        <v>46313</v>
      </c>
      <c r="N4956" s="3" t="s">
        <v>1195</v>
      </c>
      <c r="P4956" s="3" t="s">
        <v>64</v>
      </c>
      <c r="R4956" s="3" t="s">
        <v>46535</v>
      </c>
      <c r="S4956" s="4">
        <v>7</v>
      </c>
      <c r="T4956" s="4">
        <v>7</v>
      </c>
      <c r="U4956" s="5" t="s">
        <v>2074</v>
      </c>
      <c r="V4956" s="5" t="s">
        <v>2074</v>
      </c>
      <c r="W4956" s="5" t="s">
        <v>67</v>
      </c>
      <c r="X4956" s="5" t="s">
        <v>67</v>
      </c>
      <c r="Y4956" s="4">
        <v>643</v>
      </c>
      <c r="Z4956" s="4">
        <v>40</v>
      </c>
      <c r="AA4956" s="4">
        <v>48</v>
      </c>
      <c r="AB4956" s="4">
        <v>2</v>
      </c>
      <c r="AC4956" s="4">
        <v>10</v>
      </c>
      <c r="AD4956" s="4">
        <v>83</v>
      </c>
      <c r="AE4956" s="4">
        <v>87</v>
      </c>
      <c r="AF4956" s="4">
        <v>1</v>
      </c>
      <c r="AG4956" s="4">
        <v>5</v>
      </c>
      <c r="AH4956" s="4">
        <v>66</v>
      </c>
      <c r="AI4956" s="4">
        <v>67</v>
      </c>
      <c r="AJ4956" s="4">
        <v>16</v>
      </c>
      <c r="AK4956" s="4">
        <v>20</v>
      </c>
      <c r="AL4956" s="4">
        <v>32</v>
      </c>
      <c r="AM4956" s="4">
        <v>32</v>
      </c>
      <c r="AN4956" s="4">
        <v>0</v>
      </c>
      <c r="AO4956" s="4">
        <v>0</v>
      </c>
      <c r="AP4956" s="4">
        <v>27</v>
      </c>
      <c r="AQ4956" s="4">
        <v>30</v>
      </c>
      <c r="AR4956" s="3" t="s">
        <v>62</v>
      </c>
      <c r="AS4956" s="3" t="s">
        <v>62</v>
      </c>
      <c r="AT4956" s="3" t="s">
        <v>62</v>
      </c>
      <c r="AV4956" s="6" t="str">
        <f>HYPERLINK("http://mcgill.on.worldcat.org/oclc/61513011","Catalog Record")</f>
        <v>Catalog Record</v>
      </c>
      <c r="AW4956" s="6" t="str">
        <f>HYPERLINK("http://www.worldcat.org/oclc/61513011","WorldCat Record")</f>
        <v>WorldCat Record</v>
      </c>
      <c r="AX4956" s="3" t="s">
        <v>47682</v>
      </c>
      <c r="AY4956" s="3" t="s">
        <v>47683</v>
      </c>
      <c r="AZ4956" s="3" t="s">
        <v>47684</v>
      </c>
      <c r="BA4956" s="3" t="s">
        <v>47684</v>
      </c>
      <c r="BB4956" s="3" t="s">
        <v>47685</v>
      </c>
      <c r="BC4956" s="3" t="s">
        <v>102</v>
      </c>
      <c r="BD4956" s="3" t="s">
        <v>68</v>
      </c>
      <c r="BE4956" s="3" t="s">
        <v>47686</v>
      </c>
      <c r="BF4956" s="3" t="s">
        <v>47685</v>
      </c>
      <c r="BG4956" s="3" t="s">
        <v>47687</v>
      </c>
    </row>
    <row r="4957" spans="1:59" ht="58" x14ac:dyDescent="0.35">
      <c r="A4957" s="2" t="s">
        <v>89</v>
      </c>
      <c r="B4957" s="2" t="s">
        <v>6791</v>
      </c>
      <c r="C4957" s="2" t="s">
        <v>47688</v>
      </c>
      <c r="D4957" s="2" t="s">
        <v>47689</v>
      </c>
      <c r="E4957" s="2" t="s">
        <v>47690</v>
      </c>
      <c r="G4957" s="3" t="s">
        <v>62</v>
      </c>
      <c r="I4957" s="3" t="s">
        <v>62</v>
      </c>
      <c r="J4957" s="3" t="s">
        <v>62</v>
      </c>
      <c r="K4957" s="3" t="s">
        <v>63</v>
      </c>
      <c r="L4957" s="2" t="s">
        <v>47691</v>
      </c>
      <c r="M4957" s="2" t="s">
        <v>47692</v>
      </c>
      <c r="N4957" s="3" t="s">
        <v>1195</v>
      </c>
      <c r="O4957" s="2" t="s">
        <v>2986</v>
      </c>
      <c r="P4957" s="3" t="s">
        <v>64</v>
      </c>
      <c r="R4957" s="3" t="s">
        <v>46535</v>
      </c>
      <c r="S4957" s="4">
        <v>1</v>
      </c>
      <c r="T4957" s="4">
        <v>1</v>
      </c>
      <c r="U4957" s="5" t="s">
        <v>13316</v>
      </c>
      <c r="V4957" s="5" t="s">
        <v>13316</v>
      </c>
      <c r="W4957" s="5" t="s">
        <v>67</v>
      </c>
      <c r="X4957" s="5" t="s">
        <v>67</v>
      </c>
      <c r="Y4957" s="4">
        <v>54</v>
      </c>
      <c r="Z4957" s="4">
        <v>13</v>
      </c>
      <c r="AA4957" s="4">
        <v>24</v>
      </c>
      <c r="AB4957" s="4">
        <v>2</v>
      </c>
      <c r="AC4957" s="4">
        <v>7</v>
      </c>
      <c r="AD4957" s="4">
        <v>15</v>
      </c>
      <c r="AE4957" s="4">
        <v>38</v>
      </c>
      <c r="AF4957" s="4">
        <v>1</v>
      </c>
      <c r="AG4957" s="4">
        <v>3</v>
      </c>
      <c r="AH4957" s="4">
        <v>9</v>
      </c>
      <c r="AI4957" s="4">
        <v>27</v>
      </c>
      <c r="AJ4957" s="4">
        <v>7</v>
      </c>
      <c r="AK4957" s="4">
        <v>14</v>
      </c>
      <c r="AL4957" s="4">
        <v>5</v>
      </c>
      <c r="AM4957" s="4">
        <v>14</v>
      </c>
      <c r="AN4957" s="4">
        <v>0</v>
      </c>
      <c r="AO4957" s="4">
        <v>0</v>
      </c>
      <c r="AP4957" s="4">
        <v>10</v>
      </c>
      <c r="AQ4957" s="4">
        <v>18</v>
      </c>
      <c r="AR4957" s="3" t="s">
        <v>62</v>
      </c>
      <c r="AS4957" s="3" t="s">
        <v>62</v>
      </c>
      <c r="AT4957" s="3" t="s">
        <v>61</v>
      </c>
      <c r="AU4957" s="6" t="str">
        <f>HYPERLINK("http://catalog.hathitrust.org/Record/009810746","HathiTrust Record")</f>
        <v>HathiTrust Record</v>
      </c>
      <c r="AV4957" s="6" t="str">
        <f>HYPERLINK("http://mcgill.on.worldcat.org/oclc/64487092","Catalog Record")</f>
        <v>Catalog Record</v>
      </c>
      <c r="AW4957" s="6" t="str">
        <f>HYPERLINK("http://www.worldcat.org/oclc/64487092","WorldCat Record")</f>
        <v>WorldCat Record</v>
      </c>
      <c r="AX4957" s="3" t="s">
        <v>47693</v>
      </c>
      <c r="AY4957" s="3" t="s">
        <v>47694</v>
      </c>
      <c r="AZ4957" s="3" t="s">
        <v>47695</v>
      </c>
      <c r="BA4957" s="3" t="s">
        <v>47695</v>
      </c>
      <c r="BB4957" s="3" t="s">
        <v>47696</v>
      </c>
      <c r="BC4957" s="3" t="s">
        <v>102</v>
      </c>
      <c r="BD4957" s="3" t="s">
        <v>68</v>
      </c>
      <c r="BE4957" s="3" t="s">
        <v>47697</v>
      </c>
      <c r="BF4957" s="3" t="s">
        <v>47696</v>
      </c>
      <c r="BG4957" s="3" t="s">
        <v>47698</v>
      </c>
    </row>
    <row r="4958" spans="1:59" ht="58" x14ac:dyDescent="0.35">
      <c r="A4958" s="2" t="s">
        <v>89</v>
      </c>
      <c r="B4958" s="2" t="s">
        <v>90</v>
      </c>
      <c r="C4958" s="2" t="s">
        <v>47699</v>
      </c>
      <c r="D4958" s="2" t="s">
        <v>47700</v>
      </c>
      <c r="E4958" s="2" t="s">
        <v>47701</v>
      </c>
      <c r="G4958" s="3" t="s">
        <v>62</v>
      </c>
      <c r="I4958" s="3" t="s">
        <v>62</v>
      </c>
      <c r="J4958" s="3" t="s">
        <v>61</v>
      </c>
      <c r="K4958" s="3" t="s">
        <v>63</v>
      </c>
      <c r="L4958" s="2" t="s">
        <v>47702</v>
      </c>
      <c r="M4958" s="2" t="s">
        <v>47703</v>
      </c>
      <c r="N4958" s="3" t="s">
        <v>698</v>
      </c>
      <c r="O4958" s="2" t="s">
        <v>2163</v>
      </c>
      <c r="P4958" s="3" t="s">
        <v>64</v>
      </c>
      <c r="R4958" s="3" t="s">
        <v>46535</v>
      </c>
      <c r="S4958" s="4">
        <v>3</v>
      </c>
      <c r="T4958" s="4">
        <v>3</v>
      </c>
      <c r="U4958" s="5" t="s">
        <v>47704</v>
      </c>
      <c r="V4958" s="5" t="s">
        <v>47704</v>
      </c>
      <c r="W4958" s="5" t="s">
        <v>67</v>
      </c>
      <c r="X4958" s="5" t="s">
        <v>67</v>
      </c>
      <c r="Y4958" s="4">
        <v>146</v>
      </c>
      <c r="Z4958" s="4">
        <v>13</v>
      </c>
      <c r="AA4958" s="4">
        <v>25</v>
      </c>
      <c r="AB4958" s="4">
        <v>1</v>
      </c>
      <c r="AC4958" s="4">
        <v>4</v>
      </c>
      <c r="AD4958" s="4">
        <v>23</v>
      </c>
      <c r="AE4958" s="4">
        <v>45</v>
      </c>
      <c r="AF4958" s="4">
        <v>0</v>
      </c>
      <c r="AG4958" s="4">
        <v>3</v>
      </c>
      <c r="AH4958" s="4">
        <v>19</v>
      </c>
      <c r="AI4958" s="4">
        <v>35</v>
      </c>
      <c r="AJ4958" s="4">
        <v>7</v>
      </c>
      <c r="AK4958" s="4">
        <v>14</v>
      </c>
      <c r="AL4958" s="4">
        <v>9</v>
      </c>
      <c r="AM4958" s="4">
        <v>15</v>
      </c>
      <c r="AN4958" s="4">
        <v>0</v>
      </c>
      <c r="AO4958" s="4">
        <v>0</v>
      </c>
      <c r="AP4958" s="4">
        <v>9</v>
      </c>
      <c r="AQ4958" s="4">
        <v>17</v>
      </c>
      <c r="AR4958" s="3" t="s">
        <v>62</v>
      </c>
      <c r="AS4958" s="3" t="s">
        <v>62</v>
      </c>
      <c r="AT4958" s="3" t="s">
        <v>62</v>
      </c>
      <c r="AV4958" s="6" t="str">
        <f>HYPERLINK("http://mcgill.on.worldcat.org/oclc/671541078","Catalog Record")</f>
        <v>Catalog Record</v>
      </c>
      <c r="AW4958" s="6" t="str">
        <f>HYPERLINK("http://www.worldcat.org/oclc/671541078","WorldCat Record")</f>
        <v>WorldCat Record</v>
      </c>
      <c r="AX4958" s="3" t="s">
        <v>47705</v>
      </c>
      <c r="AY4958" s="3" t="s">
        <v>47706</v>
      </c>
      <c r="AZ4958" s="3" t="s">
        <v>47707</v>
      </c>
      <c r="BA4958" s="3" t="s">
        <v>47707</v>
      </c>
      <c r="BB4958" s="3" t="s">
        <v>47708</v>
      </c>
      <c r="BC4958" s="3" t="s">
        <v>102</v>
      </c>
      <c r="BD4958" s="3" t="s">
        <v>68</v>
      </c>
      <c r="BE4958" s="3" t="s">
        <v>47709</v>
      </c>
      <c r="BF4958" s="3" t="s">
        <v>47708</v>
      </c>
      <c r="BG4958" s="3" t="s">
        <v>47710</v>
      </c>
    </row>
    <row r="4959" spans="1:59" ht="159.5" x14ac:dyDescent="0.35">
      <c r="A4959" s="2" t="s">
        <v>89</v>
      </c>
      <c r="B4959" s="2" t="s">
        <v>90</v>
      </c>
      <c r="C4959" s="2" t="s">
        <v>47711</v>
      </c>
      <c r="D4959" s="2" t="s">
        <v>47712</v>
      </c>
      <c r="E4959" s="2" t="s">
        <v>47713</v>
      </c>
      <c r="G4959" s="3" t="s">
        <v>62</v>
      </c>
      <c r="H4959" s="3" t="s">
        <v>916</v>
      </c>
      <c r="I4959" s="3" t="s">
        <v>61</v>
      </c>
      <c r="J4959" s="3" t="s">
        <v>61</v>
      </c>
      <c r="K4959" s="3" t="s">
        <v>63</v>
      </c>
      <c r="L4959" s="2" t="s">
        <v>47714</v>
      </c>
      <c r="M4959" s="2" t="s">
        <v>47715</v>
      </c>
      <c r="N4959" s="3" t="s">
        <v>1038</v>
      </c>
      <c r="O4959" s="2" t="s">
        <v>8443</v>
      </c>
      <c r="P4959" s="3" t="s">
        <v>64</v>
      </c>
      <c r="R4959" s="3" t="s">
        <v>46535</v>
      </c>
      <c r="S4959" s="4">
        <v>0</v>
      </c>
      <c r="T4959" s="4">
        <v>0</v>
      </c>
      <c r="W4959" s="5" t="s">
        <v>16766</v>
      </c>
      <c r="X4959" s="5" t="s">
        <v>16766</v>
      </c>
      <c r="Y4959" s="4">
        <v>86</v>
      </c>
      <c r="Z4959" s="4">
        <v>5</v>
      </c>
      <c r="AA4959" s="4">
        <v>25</v>
      </c>
      <c r="AB4959" s="4">
        <v>1</v>
      </c>
      <c r="AC4959" s="4">
        <v>4</v>
      </c>
      <c r="AD4959" s="4">
        <v>19</v>
      </c>
      <c r="AE4959" s="4">
        <v>45</v>
      </c>
      <c r="AF4959" s="4">
        <v>0</v>
      </c>
      <c r="AG4959" s="4">
        <v>3</v>
      </c>
      <c r="AH4959" s="4">
        <v>18</v>
      </c>
      <c r="AI4959" s="4">
        <v>35</v>
      </c>
      <c r="AJ4959" s="4">
        <v>2</v>
      </c>
      <c r="AK4959" s="4">
        <v>14</v>
      </c>
      <c r="AL4959" s="4">
        <v>5</v>
      </c>
      <c r="AM4959" s="4">
        <v>15</v>
      </c>
      <c r="AN4959" s="4">
        <v>0</v>
      </c>
      <c r="AO4959" s="4">
        <v>0</v>
      </c>
      <c r="AP4959" s="4">
        <v>2</v>
      </c>
      <c r="AQ4959" s="4">
        <v>17</v>
      </c>
      <c r="AR4959" s="3" t="s">
        <v>62</v>
      </c>
      <c r="AS4959" s="3" t="s">
        <v>62</v>
      </c>
      <c r="AT4959" s="3" t="s">
        <v>62</v>
      </c>
      <c r="AV4959" s="6" t="str">
        <f>HYPERLINK("http://mcgill.on.worldcat.org/oclc/890436618","Catalog Record")</f>
        <v>Catalog Record</v>
      </c>
      <c r="AW4959" s="6" t="str">
        <f>HYPERLINK("http://www.worldcat.org/oclc/890436618","WorldCat Record")</f>
        <v>WorldCat Record</v>
      </c>
      <c r="AX4959" s="3" t="s">
        <v>47705</v>
      </c>
      <c r="AY4959" s="3" t="s">
        <v>47716</v>
      </c>
      <c r="AZ4959" s="3" t="s">
        <v>47717</v>
      </c>
      <c r="BA4959" s="3" t="s">
        <v>47717</v>
      </c>
      <c r="BB4959" s="3" t="s">
        <v>47718</v>
      </c>
      <c r="BC4959" s="3" t="s">
        <v>102</v>
      </c>
      <c r="BD4959" s="3" t="s">
        <v>68</v>
      </c>
      <c r="BE4959" s="3" t="s">
        <v>47719</v>
      </c>
      <c r="BF4959" s="3" t="s">
        <v>47718</v>
      </c>
      <c r="BG4959" s="3" t="s">
        <v>47720</v>
      </c>
    </row>
    <row r="4960" spans="1:59" ht="159.5" x14ac:dyDescent="0.35">
      <c r="A4960" s="2" t="s">
        <v>89</v>
      </c>
      <c r="B4960" s="2" t="s">
        <v>6791</v>
      </c>
      <c r="C4960" s="2" t="s">
        <v>47711</v>
      </c>
      <c r="D4960" s="2" t="s">
        <v>47712</v>
      </c>
      <c r="E4960" s="2" t="s">
        <v>47713</v>
      </c>
      <c r="G4960" s="3" t="s">
        <v>62</v>
      </c>
      <c r="I4960" s="3" t="s">
        <v>61</v>
      </c>
      <c r="J4960" s="3" t="s">
        <v>61</v>
      </c>
      <c r="K4960" s="3" t="s">
        <v>63</v>
      </c>
      <c r="L4960" s="2" t="s">
        <v>47714</v>
      </c>
      <c r="M4960" s="2" t="s">
        <v>47715</v>
      </c>
      <c r="N4960" s="3" t="s">
        <v>1038</v>
      </c>
      <c r="O4960" s="2" t="s">
        <v>8443</v>
      </c>
      <c r="P4960" s="3" t="s">
        <v>64</v>
      </c>
      <c r="R4960" s="3" t="s">
        <v>46535</v>
      </c>
      <c r="S4960" s="4">
        <v>0</v>
      </c>
      <c r="T4960" s="4">
        <v>0</v>
      </c>
      <c r="W4960" s="5" t="s">
        <v>67</v>
      </c>
      <c r="X4960" s="5" t="s">
        <v>16766</v>
      </c>
      <c r="Y4960" s="4">
        <v>86</v>
      </c>
      <c r="Z4960" s="4">
        <v>5</v>
      </c>
      <c r="AA4960" s="4">
        <v>25</v>
      </c>
      <c r="AB4960" s="4">
        <v>1</v>
      </c>
      <c r="AC4960" s="4">
        <v>4</v>
      </c>
      <c r="AD4960" s="4">
        <v>19</v>
      </c>
      <c r="AE4960" s="4">
        <v>45</v>
      </c>
      <c r="AF4960" s="4">
        <v>0</v>
      </c>
      <c r="AG4960" s="4">
        <v>3</v>
      </c>
      <c r="AH4960" s="4">
        <v>18</v>
      </c>
      <c r="AI4960" s="4">
        <v>35</v>
      </c>
      <c r="AJ4960" s="4">
        <v>2</v>
      </c>
      <c r="AK4960" s="4">
        <v>14</v>
      </c>
      <c r="AL4960" s="4">
        <v>5</v>
      </c>
      <c r="AM4960" s="4">
        <v>15</v>
      </c>
      <c r="AN4960" s="4">
        <v>0</v>
      </c>
      <c r="AO4960" s="4">
        <v>0</v>
      </c>
      <c r="AP4960" s="4">
        <v>2</v>
      </c>
      <c r="AQ4960" s="4">
        <v>17</v>
      </c>
      <c r="AR4960" s="3" t="s">
        <v>62</v>
      </c>
      <c r="AS4960" s="3" t="s">
        <v>62</v>
      </c>
      <c r="AT4960" s="3" t="s">
        <v>62</v>
      </c>
      <c r="AV4960" s="6" t="str">
        <f>HYPERLINK("http://mcgill.on.worldcat.org/oclc/890436618","Catalog Record")</f>
        <v>Catalog Record</v>
      </c>
      <c r="AW4960" s="6" t="str">
        <f>HYPERLINK("http://www.worldcat.org/oclc/890436618","WorldCat Record")</f>
        <v>WorldCat Record</v>
      </c>
      <c r="AX4960" s="3" t="s">
        <v>47705</v>
      </c>
      <c r="AY4960" s="3" t="s">
        <v>47716</v>
      </c>
      <c r="AZ4960" s="3" t="s">
        <v>47717</v>
      </c>
      <c r="BA4960" s="3" t="s">
        <v>47717</v>
      </c>
      <c r="BB4960" s="3" t="s">
        <v>47721</v>
      </c>
      <c r="BC4960" s="3" t="s">
        <v>102</v>
      </c>
      <c r="BD4960" s="3" t="s">
        <v>7808</v>
      </c>
      <c r="BE4960" s="3" t="s">
        <v>47719</v>
      </c>
      <c r="BF4960" s="3" t="s">
        <v>47721</v>
      </c>
      <c r="BG4960" s="3" t="s">
        <v>47722</v>
      </c>
    </row>
    <row r="4961" spans="1:59" ht="58" x14ac:dyDescent="0.35">
      <c r="A4961" s="2" t="s">
        <v>89</v>
      </c>
      <c r="B4961" s="2" t="s">
        <v>6791</v>
      </c>
      <c r="C4961" s="2" t="s">
        <v>47723</v>
      </c>
      <c r="D4961" s="2" t="s">
        <v>47724</v>
      </c>
      <c r="E4961" s="2" t="s">
        <v>47725</v>
      </c>
      <c r="G4961" s="3" t="s">
        <v>62</v>
      </c>
      <c r="I4961" s="3" t="s">
        <v>62</v>
      </c>
      <c r="J4961" s="3" t="s">
        <v>61</v>
      </c>
      <c r="K4961" s="3" t="s">
        <v>63</v>
      </c>
      <c r="L4961" s="2" t="s">
        <v>47726</v>
      </c>
      <c r="M4961" s="2" t="s">
        <v>47727</v>
      </c>
      <c r="N4961" s="3" t="s">
        <v>684</v>
      </c>
      <c r="O4961" s="2" t="s">
        <v>10722</v>
      </c>
      <c r="P4961" s="3" t="s">
        <v>64</v>
      </c>
      <c r="R4961" s="3" t="s">
        <v>46535</v>
      </c>
      <c r="S4961" s="4">
        <v>10</v>
      </c>
      <c r="T4961" s="4">
        <v>10</v>
      </c>
      <c r="U4961" s="5" t="s">
        <v>13316</v>
      </c>
      <c r="V4961" s="5" t="s">
        <v>13316</v>
      </c>
      <c r="W4961" s="5" t="s">
        <v>67</v>
      </c>
      <c r="X4961" s="5" t="s">
        <v>67</v>
      </c>
      <c r="Y4961" s="4">
        <v>214</v>
      </c>
      <c r="Z4961" s="4">
        <v>21</v>
      </c>
      <c r="AA4961" s="4">
        <v>65</v>
      </c>
      <c r="AB4961" s="4">
        <v>1</v>
      </c>
      <c r="AC4961" s="4">
        <v>13</v>
      </c>
      <c r="AD4961" s="4">
        <v>26</v>
      </c>
      <c r="AE4961" s="4">
        <v>116</v>
      </c>
      <c r="AF4961" s="4">
        <v>0</v>
      </c>
      <c r="AG4961" s="4">
        <v>6</v>
      </c>
      <c r="AH4961" s="4">
        <v>20</v>
      </c>
      <c r="AI4961" s="4">
        <v>88</v>
      </c>
      <c r="AJ4961" s="4">
        <v>9</v>
      </c>
      <c r="AK4961" s="4">
        <v>24</v>
      </c>
      <c r="AL4961" s="4">
        <v>10</v>
      </c>
      <c r="AM4961" s="4">
        <v>43</v>
      </c>
      <c r="AN4961" s="4">
        <v>0</v>
      </c>
      <c r="AO4961" s="4">
        <v>0</v>
      </c>
      <c r="AP4961" s="4">
        <v>12</v>
      </c>
      <c r="AQ4961" s="4">
        <v>38</v>
      </c>
      <c r="AR4961" s="3" t="s">
        <v>62</v>
      </c>
      <c r="AS4961" s="3" t="s">
        <v>62</v>
      </c>
      <c r="AT4961" s="3" t="s">
        <v>62</v>
      </c>
      <c r="AV4961" s="6" t="str">
        <f>HYPERLINK("http://mcgill.on.worldcat.org/oclc/639161214","Catalog Record")</f>
        <v>Catalog Record</v>
      </c>
      <c r="AW4961" s="6" t="str">
        <f>HYPERLINK("http://www.worldcat.org/oclc/639161214","WorldCat Record")</f>
        <v>WorldCat Record</v>
      </c>
      <c r="AX4961" s="3" t="s">
        <v>47728</v>
      </c>
      <c r="AY4961" s="3" t="s">
        <v>47729</v>
      </c>
      <c r="AZ4961" s="3" t="s">
        <v>47730</v>
      </c>
      <c r="BA4961" s="3" t="s">
        <v>47730</v>
      </c>
      <c r="BB4961" s="3" t="s">
        <v>47731</v>
      </c>
      <c r="BC4961" s="3" t="s">
        <v>102</v>
      </c>
      <c r="BD4961" s="3" t="s">
        <v>68</v>
      </c>
      <c r="BE4961" s="3" t="s">
        <v>47732</v>
      </c>
      <c r="BF4961" s="3" t="s">
        <v>47731</v>
      </c>
      <c r="BG4961" s="3" t="s">
        <v>47733</v>
      </c>
    </row>
    <row r="4962" spans="1:59" ht="58" x14ac:dyDescent="0.35">
      <c r="A4962" s="2" t="s">
        <v>89</v>
      </c>
      <c r="B4962" s="2" t="s">
        <v>90</v>
      </c>
      <c r="C4962" s="2" t="s">
        <v>47734</v>
      </c>
      <c r="D4962" s="2" t="s">
        <v>47735</v>
      </c>
      <c r="E4962" s="2" t="s">
        <v>47736</v>
      </c>
      <c r="F4962" s="3" t="s">
        <v>17015</v>
      </c>
      <c r="G4962" s="3" t="s">
        <v>62</v>
      </c>
      <c r="I4962" s="3" t="s">
        <v>62</v>
      </c>
      <c r="J4962" s="3" t="s">
        <v>61</v>
      </c>
      <c r="K4962" s="3" t="s">
        <v>63</v>
      </c>
      <c r="L4962" s="2" t="s">
        <v>47737</v>
      </c>
      <c r="M4962" s="2" t="s">
        <v>47738</v>
      </c>
      <c r="N4962" s="3" t="s">
        <v>655</v>
      </c>
      <c r="O4962" s="2" t="s">
        <v>17427</v>
      </c>
      <c r="P4962" s="3" t="s">
        <v>64</v>
      </c>
      <c r="R4962" s="3" t="s">
        <v>46535</v>
      </c>
      <c r="S4962" s="4">
        <v>75</v>
      </c>
      <c r="T4962" s="4">
        <v>75</v>
      </c>
      <c r="U4962" s="5" t="s">
        <v>22243</v>
      </c>
      <c r="V4962" s="5" t="s">
        <v>22243</v>
      </c>
      <c r="W4962" s="5" t="s">
        <v>67</v>
      </c>
      <c r="X4962" s="5" t="s">
        <v>67</v>
      </c>
      <c r="Y4962" s="4">
        <v>494</v>
      </c>
      <c r="Z4962" s="4">
        <v>31</v>
      </c>
      <c r="AA4962" s="4">
        <v>94</v>
      </c>
      <c r="AB4962" s="4">
        <v>3</v>
      </c>
      <c r="AC4962" s="4">
        <v>21</v>
      </c>
      <c r="AD4962" s="4">
        <v>76</v>
      </c>
      <c r="AE4962" s="4">
        <v>153</v>
      </c>
      <c r="AF4962" s="4">
        <v>1</v>
      </c>
      <c r="AG4962" s="4">
        <v>6</v>
      </c>
      <c r="AH4962" s="4">
        <v>64</v>
      </c>
      <c r="AI4962" s="4">
        <v>113</v>
      </c>
      <c r="AJ4962" s="4">
        <v>11</v>
      </c>
      <c r="AK4962" s="4">
        <v>26</v>
      </c>
      <c r="AL4962" s="4">
        <v>32</v>
      </c>
      <c r="AM4962" s="4">
        <v>61</v>
      </c>
      <c r="AN4962" s="4">
        <v>0</v>
      </c>
      <c r="AO4962" s="4">
        <v>0</v>
      </c>
      <c r="AP4962" s="4">
        <v>19</v>
      </c>
      <c r="AQ4962" s="4">
        <v>48</v>
      </c>
      <c r="AR4962" s="3" t="s">
        <v>62</v>
      </c>
      <c r="AS4962" s="3" t="s">
        <v>62</v>
      </c>
      <c r="AT4962" s="3" t="s">
        <v>62</v>
      </c>
      <c r="AV4962" s="6" t="str">
        <f>HYPERLINK("http://mcgill.on.worldcat.org/oclc/62078267","Catalog Record")</f>
        <v>Catalog Record</v>
      </c>
      <c r="AW4962" s="6" t="str">
        <f>HYPERLINK("http://www.worldcat.org/oclc/62078267","WorldCat Record")</f>
        <v>WorldCat Record</v>
      </c>
      <c r="AX4962" s="3" t="s">
        <v>47739</v>
      </c>
      <c r="AY4962" s="3" t="s">
        <v>47740</v>
      </c>
      <c r="AZ4962" s="3" t="s">
        <v>47741</v>
      </c>
      <c r="BA4962" s="3" t="s">
        <v>47741</v>
      </c>
      <c r="BB4962" s="3" t="s">
        <v>47742</v>
      </c>
      <c r="BC4962" s="3" t="s">
        <v>102</v>
      </c>
      <c r="BD4962" s="3" t="s">
        <v>68</v>
      </c>
      <c r="BE4962" s="3" t="s">
        <v>47743</v>
      </c>
      <c r="BF4962" s="3" t="s">
        <v>47742</v>
      </c>
      <c r="BG4962" s="3" t="s">
        <v>47744</v>
      </c>
    </row>
    <row r="4963" spans="1:59" ht="58" x14ac:dyDescent="0.35">
      <c r="A4963" s="2" t="s">
        <v>89</v>
      </c>
      <c r="B4963" s="2" t="s">
        <v>6791</v>
      </c>
      <c r="C4963" s="2" t="s">
        <v>47745</v>
      </c>
      <c r="D4963" s="2" t="s">
        <v>47746</v>
      </c>
      <c r="E4963" s="2" t="s">
        <v>47747</v>
      </c>
      <c r="G4963" s="3" t="s">
        <v>62</v>
      </c>
      <c r="I4963" s="3" t="s">
        <v>61</v>
      </c>
      <c r="J4963" s="3" t="s">
        <v>61</v>
      </c>
      <c r="K4963" s="3" t="s">
        <v>63</v>
      </c>
      <c r="L4963" s="2" t="s">
        <v>47737</v>
      </c>
      <c r="M4963" s="2" t="s">
        <v>47748</v>
      </c>
      <c r="N4963" s="3" t="s">
        <v>880</v>
      </c>
      <c r="O4963" s="2" t="s">
        <v>16059</v>
      </c>
      <c r="P4963" s="3" t="s">
        <v>64</v>
      </c>
      <c r="R4963" s="3" t="s">
        <v>46535</v>
      </c>
      <c r="S4963" s="4">
        <v>31</v>
      </c>
      <c r="T4963" s="4">
        <v>48</v>
      </c>
      <c r="U4963" s="5" t="s">
        <v>12308</v>
      </c>
      <c r="V4963" s="5" t="s">
        <v>12308</v>
      </c>
      <c r="W4963" s="5" t="s">
        <v>67</v>
      </c>
      <c r="X4963" s="5" t="s">
        <v>67</v>
      </c>
      <c r="Y4963" s="4">
        <v>441</v>
      </c>
      <c r="Z4963" s="4">
        <v>24</v>
      </c>
      <c r="AA4963" s="4">
        <v>94</v>
      </c>
      <c r="AB4963" s="4">
        <v>2</v>
      </c>
      <c r="AC4963" s="4">
        <v>21</v>
      </c>
      <c r="AD4963" s="4">
        <v>55</v>
      </c>
      <c r="AE4963" s="4">
        <v>153</v>
      </c>
      <c r="AF4963" s="4">
        <v>0</v>
      </c>
      <c r="AG4963" s="4">
        <v>6</v>
      </c>
      <c r="AH4963" s="4">
        <v>47</v>
      </c>
      <c r="AI4963" s="4">
        <v>113</v>
      </c>
      <c r="AJ4963" s="4">
        <v>9</v>
      </c>
      <c r="AK4963" s="4">
        <v>26</v>
      </c>
      <c r="AL4963" s="4">
        <v>24</v>
      </c>
      <c r="AM4963" s="4">
        <v>61</v>
      </c>
      <c r="AN4963" s="4">
        <v>0</v>
      </c>
      <c r="AO4963" s="4">
        <v>0</v>
      </c>
      <c r="AP4963" s="4">
        <v>15</v>
      </c>
      <c r="AQ4963" s="4">
        <v>48</v>
      </c>
      <c r="AR4963" s="3" t="s">
        <v>62</v>
      </c>
      <c r="AS4963" s="3" t="s">
        <v>62</v>
      </c>
      <c r="AT4963" s="3" t="s">
        <v>62</v>
      </c>
      <c r="AV4963" s="6" t="str">
        <f>HYPERLINK("http://mcgill.on.worldcat.org/oclc/427608809","Catalog Record")</f>
        <v>Catalog Record</v>
      </c>
      <c r="AW4963" s="6" t="str">
        <f>HYPERLINK("http://www.worldcat.org/oclc/427608809","WorldCat Record")</f>
        <v>WorldCat Record</v>
      </c>
      <c r="AX4963" s="3" t="s">
        <v>47739</v>
      </c>
      <c r="AY4963" s="3" t="s">
        <v>47749</v>
      </c>
      <c r="AZ4963" s="3" t="s">
        <v>47750</v>
      </c>
      <c r="BA4963" s="3" t="s">
        <v>47750</v>
      </c>
      <c r="BB4963" s="3" t="s">
        <v>47751</v>
      </c>
      <c r="BC4963" s="3" t="s">
        <v>102</v>
      </c>
      <c r="BD4963" s="3" t="s">
        <v>68</v>
      </c>
      <c r="BE4963" s="3" t="s">
        <v>47752</v>
      </c>
      <c r="BF4963" s="3" t="s">
        <v>47751</v>
      </c>
      <c r="BG4963" s="3" t="s">
        <v>47753</v>
      </c>
    </row>
    <row r="4964" spans="1:59" ht="232" x14ac:dyDescent="0.35">
      <c r="A4964" s="2" t="s">
        <v>89</v>
      </c>
      <c r="B4964" s="2" t="s">
        <v>90</v>
      </c>
      <c r="C4964" s="2" t="s">
        <v>47754</v>
      </c>
      <c r="D4964" s="2" t="s">
        <v>47755</v>
      </c>
      <c r="E4964" s="2" t="s">
        <v>47756</v>
      </c>
      <c r="G4964" s="3" t="s">
        <v>62</v>
      </c>
      <c r="I4964" s="3" t="s">
        <v>61</v>
      </c>
      <c r="J4964" s="3" t="s">
        <v>61</v>
      </c>
      <c r="K4964" s="3" t="s">
        <v>63</v>
      </c>
      <c r="L4964" s="2" t="s">
        <v>47757</v>
      </c>
      <c r="M4964" s="2" t="s">
        <v>47758</v>
      </c>
      <c r="N4964" s="3" t="s">
        <v>1455</v>
      </c>
      <c r="O4964" s="2" t="s">
        <v>22672</v>
      </c>
      <c r="P4964" s="3" t="s">
        <v>64</v>
      </c>
      <c r="R4964" s="3" t="s">
        <v>46535</v>
      </c>
      <c r="S4964" s="4">
        <v>2</v>
      </c>
      <c r="T4964" s="4">
        <v>18</v>
      </c>
      <c r="U4964" s="5" t="s">
        <v>19290</v>
      </c>
      <c r="V4964" s="5" t="s">
        <v>32654</v>
      </c>
      <c r="W4964" s="5" t="s">
        <v>67</v>
      </c>
      <c r="X4964" s="5" t="s">
        <v>67</v>
      </c>
      <c r="Y4964" s="4">
        <v>391</v>
      </c>
      <c r="Z4964" s="4">
        <v>24</v>
      </c>
      <c r="AA4964" s="4">
        <v>94</v>
      </c>
      <c r="AB4964" s="4">
        <v>3</v>
      </c>
      <c r="AC4964" s="4">
        <v>21</v>
      </c>
      <c r="AD4964" s="4">
        <v>49</v>
      </c>
      <c r="AE4964" s="4">
        <v>153</v>
      </c>
      <c r="AF4964" s="4">
        <v>1</v>
      </c>
      <c r="AG4964" s="4">
        <v>6</v>
      </c>
      <c r="AH4964" s="4">
        <v>44</v>
      </c>
      <c r="AI4964" s="4">
        <v>113</v>
      </c>
      <c r="AJ4964" s="4">
        <v>11</v>
      </c>
      <c r="AK4964" s="4">
        <v>26</v>
      </c>
      <c r="AL4964" s="4">
        <v>22</v>
      </c>
      <c r="AM4964" s="4">
        <v>61</v>
      </c>
      <c r="AN4964" s="4">
        <v>0</v>
      </c>
      <c r="AO4964" s="4">
        <v>0</v>
      </c>
      <c r="AP4964" s="4">
        <v>12</v>
      </c>
      <c r="AQ4964" s="4">
        <v>48</v>
      </c>
      <c r="AR4964" s="3" t="s">
        <v>62</v>
      </c>
      <c r="AS4964" s="3" t="s">
        <v>62</v>
      </c>
      <c r="AT4964" s="3" t="s">
        <v>62</v>
      </c>
      <c r="AV4964" s="6" t="str">
        <f>HYPERLINK("http://mcgill.on.worldcat.org/oclc/861470594","Catalog Record")</f>
        <v>Catalog Record</v>
      </c>
      <c r="AW4964" s="6" t="str">
        <f>HYPERLINK("http://www.worldcat.org/oclc/861470594","WorldCat Record")</f>
        <v>WorldCat Record</v>
      </c>
      <c r="AX4964" s="3" t="s">
        <v>47739</v>
      </c>
      <c r="AY4964" s="3" t="s">
        <v>47759</v>
      </c>
      <c r="AZ4964" s="3" t="s">
        <v>47760</v>
      </c>
      <c r="BA4964" s="3" t="s">
        <v>47760</v>
      </c>
      <c r="BB4964" s="3" t="s">
        <v>47761</v>
      </c>
      <c r="BC4964" s="3" t="s">
        <v>102</v>
      </c>
      <c r="BD4964" s="3" t="s">
        <v>231</v>
      </c>
      <c r="BE4964" s="3" t="s">
        <v>47762</v>
      </c>
      <c r="BF4964" s="3" t="s">
        <v>47761</v>
      </c>
      <c r="BG4964" s="3" t="s">
        <v>47763</v>
      </c>
    </row>
    <row r="4965" spans="1:59" ht="58" x14ac:dyDescent="0.35">
      <c r="A4965" s="2" t="s">
        <v>89</v>
      </c>
      <c r="B4965" s="2" t="s">
        <v>90</v>
      </c>
      <c r="C4965" s="2" t="s">
        <v>47764</v>
      </c>
      <c r="D4965" s="2" t="s">
        <v>47765</v>
      </c>
      <c r="E4965" s="2" t="s">
        <v>47766</v>
      </c>
      <c r="G4965" s="3" t="s">
        <v>62</v>
      </c>
      <c r="I4965" s="3" t="s">
        <v>62</v>
      </c>
      <c r="J4965" s="3" t="s">
        <v>61</v>
      </c>
      <c r="K4965" s="3" t="s">
        <v>63</v>
      </c>
      <c r="M4965" s="2" t="s">
        <v>47767</v>
      </c>
      <c r="N4965" s="3" t="s">
        <v>684</v>
      </c>
      <c r="O4965" s="2" t="s">
        <v>10722</v>
      </c>
      <c r="P4965" s="3" t="s">
        <v>64</v>
      </c>
      <c r="R4965" s="3" t="s">
        <v>46535</v>
      </c>
      <c r="S4965" s="4">
        <v>5</v>
      </c>
      <c r="T4965" s="4">
        <v>5</v>
      </c>
      <c r="U4965" s="5" t="s">
        <v>33394</v>
      </c>
      <c r="V4965" s="5" t="s">
        <v>33394</v>
      </c>
      <c r="W4965" s="5" t="s">
        <v>67</v>
      </c>
      <c r="X4965" s="5" t="s">
        <v>67</v>
      </c>
      <c r="Y4965" s="4">
        <v>243</v>
      </c>
      <c r="Z4965" s="4">
        <v>21</v>
      </c>
      <c r="AA4965" s="4">
        <v>54</v>
      </c>
      <c r="AB4965" s="4">
        <v>1</v>
      </c>
      <c r="AC4965" s="4">
        <v>9</v>
      </c>
      <c r="AD4965" s="4">
        <v>46</v>
      </c>
      <c r="AE4965" s="4">
        <v>109</v>
      </c>
      <c r="AF4965" s="4">
        <v>0</v>
      </c>
      <c r="AG4965" s="4">
        <v>5</v>
      </c>
      <c r="AH4965" s="4">
        <v>37</v>
      </c>
      <c r="AI4965" s="4">
        <v>82</v>
      </c>
      <c r="AJ4965" s="4">
        <v>12</v>
      </c>
      <c r="AK4965" s="4">
        <v>25</v>
      </c>
      <c r="AL4965" s="4">
        <v>17</v>
      </c>
      <c r="AM4965" s="4">
        <v>38</v>
      </c>
      <c r="AN4965" s="4">
        <v>0</v>
      </c>
      <c r="AO4965" s="4">
        <v>0</v>
      </c>
      <c r="AP4965" s="4">
        <v>17</v>
      </c>
      <c r="AQ4965" s="4">
        <v>40</v>
      </c>
      <c r="AR4965" s="3" t="s">
        <v>62</v>
      </c>
      <c r="AS4965" s="3" t="s">
        <v>62</v>
      </c>
      <c r="AT4965" s="3" t="s">
        <v>62</v>
      </c>
      <c r="AV4965" s="6" t="str">
        <f>HYPERLINK("http://mcgill.on.worldcat.org/oclc/614396821","Catalog Record")</f>
        <v>Catalog Record</v>
      </c>
      <c r="AW4965" s="6" t="str">
        <f>HYPERLINK("http://www.worldcat.org/oclc/614396821","WorldCat Record")</f>
        <v>WorldCat Record</v>
      </c>
      <c r="AX4965" s="3" t="s">
        <v>47768</v>
      </c>
      <c r="AY4965" s="3" t="s">
        <v>47769</v>
      </c>
      <c r="AZ4965" s="3" t="s">
        <v>47770</v>
      </c>
      <c r="BA4965" s="3" t="s">
        <v>47770</v>
      </c>
      <c r="BB4965" s="3" t="s">
        <v>47771</v>
      </c>
      <c r="BC4965" s="3" t="s">
        <v>102</v>
      </c>
      <c r="BD4965" s="3" t="s">
        <v>68</v>
      </c>
      <c r="BE4965" s="3" t="s">
        <v>47772</v>
      </c>
      <c r="BF4965" s="3" t="s">
        <v>47771</v>
      </c>
      <c r="BG4965" s="3" t="s">
        <v>47773</v>
      </c>
    </row>
    <row r="4966" spans="1:59" ht="58" x14ac:dyDescent="0.35">
      <c r="A4966" s="2" t="s">
        <v>89</v>
      </c>
      <c r="B4966" s="2" t="s">
        <v>90</v>
      </c>
      <c r="C4966" s="2" t="s">
        <v>47774</v>
      </c>
      <c r="D4966" s="2" t="s">
        <v>47775</v>
      </c>
      <c r="E4966" s="2" t="s">
        <v>47776</v>
      </c>
      <c r="G4966" s="3" t="s">
        <v>62</v>
      </c>
      <c r="I4966" s="3" t="s">
        <v>62</v>
      </c>
      <c r="J4966" s="3" t="s">
        <v>62</v>
      </c>
      <c r="K4966" s="3" t="s">
        <v>63</v>
      </c>
      <c r="M4966" s="2" t="s">
        <v>47777</v>
      </c>
      <c r="N4966" s="3" t="s">
        <v>2000</v>
      </c>
      <c r="P4966" s="3" t="s">
        <v>64</v>
      </c>
      <c r="R4966" s="3" t="s">
        <v>46535</v>
      </c>
      <c r="S4966" s="4">
        <v>16</v>
      </c>
      <c r="T4966" s="4">
        <v>16</v>
      </c>
      <c r="U4966" s="5" t="s">
        <v>36222</v>
      </c>
      <c r="V4966" s="5" t="s">
        <v>36222</v>
      </c>
      <c r="W4966" s="5" t="s">
        <v>67</v>
      </c>
      <c r="X4966" s="5" t="s">
        <v>67</v>
      </c>
      <c r="Y4966" s="4">
        <v>434</v>
      </c>
      <c r="Z4966" s="4">
        <v>29</v>
      </c>
      <c r="AA4966" s="4">
        <v>32</v>
      </c>
      <c r="AB4966" s="4">
        <v>2</v>
      </c>
      <c r="AC4966" s="4">
        <v>5</v>
      </c>
      <c r="AD4966" s="4">
        <v>88</v>
      </c>
      <c r="AE4966" s="4">
        <v>91</v>
      </c>
      <c r="AF4966" s="4">
        <v>1</v>
      </c>
      <c r="AG4966" s="4">
        <v>4</v>
      </c>
      <c r="AH4966" s="4">
        <v>72</v>
      </c>
      <c r="AI4966" s="4">
        <v>73</v>
      </c>
      <c r="AJ4966" s="4">
        <v>18</v>
      </c>
      <c r="AK4966" s="4">
        <v>21</v>
      </c>
      <c r="AL4966" s="4">
        <v>34</v>
      </c>
      <c r="AM4966" s="4">
        <v>34</v>
      </c>
      <c r="AN4966" s="4">
        <v>0</v>
      </c>
      <c r="AO4966" s="4">
        <v>0</v>
      </c>
      <c r="AP4966" s="4">
        <v>25</v>
      </c>
      <c r="AQ4966" s="4">
        <v>27</v>
      </c>
      <c r="AR4966" s="3" t="s">
        <v>62</v>
      </c>
      <c r="AS4966" s="3" t="s">
        <v>62</v>
      </c>
      <c r="AT4966" s="3" t="s">
        <v>62</v>
      </c>
      <c r="AV4966" s="6" t="str">
        <f>HYPERLINK("http://mcgill.on.worldcat.org/oclc/31374102","Catalog Record")</f>
        <v>Catalog Record</v>
      </c>
      <c r="AW4966" s="6" t="str">
        <f>HYPERLINK("http://www.worldcat.org/oclc/31374102","WorldCat Record")</f>
        <v>WorldCat Record</v>
      </c>
      <c r="AX4966" s="3" t="s">
        <v>47778</v>
      </c>
      <c r="AY4966" s="3" t="s">
        <v>47779</v>
      </c>
      <c r="AZ4966" s="3" t="s">
        <v>47780</v>
      </c>
      <c r="BA4966" s="3" t="s">
        <v>47780</v>
      </c>
      <c r="BB4966" s="3" t="s">
        <v>47781</v>
      </c>
      <c r="BC4966" s="3" t="s">
        <v>102</v>
      </c>
      <c r="BD4966" s="3" t="s">
        <v>68</v>
      </c>
      <c r="BE4966" s="3" t="s">
        <v>47782</v>
      </c>
      <c r="BF4966" s="3" t="s">
        <v>47781</v>
      </c>
      <c r="BG4966" s="3" t="s">
        <v>47783</v>
      </c>
    </row>
    <row r="4967" spans="1:59" ht="87" x14ac:dyDescent="0.35">
      <c r="A4967" s="2" t="s">
        <v>89</v>
      </c>
      <c r="B4967" s="2" t="s">
        <v>11757</v>
      </c>
      <c r="C4967" s="2" t="s">
        <v>47784</v>
      </c>
      <c r="D4967" s="2" t="s">
        <v>47785</v>
      </c>
      <c r="E4967" s="2" t="s">
        <v>47786</v>
      </c>
      <c r="G4967" s="3" t="s">
        <v>62</v>
      </c>
      <c r="I4967" s="3" t="s">
        <v>62</v>
      </c>
      <c r="J4967" s="3" t="s">
        <v>62</v>
      </c>
      <c r="K4967" s="3" t="s">
        <v>63</v>
      </c>
      <c r="M4967" s="2" t="s">
        <v>47787</v>
      </c>
      <c r="N4967" s="3" t="s">
        <v>880</v>
      </c>
      <c r="P4967" s="3" t="s">
        <v>64</v>
      </c>
      <c r="Q4967" s="2" t="s">
        <v>47788</v>
      </c>
      <c r="R4967" s="3" t="s">
        <v>46535</v>
      </c>
      <c r="S4967" s="4">
        <v>0</v>
      </c>
      <c r="T4967" s="4">
        <v>0</v>
      </c>
      <c r="W4967" s="5" t="s">
        <v>67</v>
      </c>
      <c r="X4967" s="5" t="s">
        <v>67</v>
      </c>
      <c r="Y4967" s="4">
        <v>74</v>
      </c>
      <c r="Z4967" s="4">
        <v>10</v>
      </c>
      <c r="AA4967" s="4">
        <v>13</v>
      </c>
      <c r="AB4967" s="4">
        <v>1</v>
      </c>
      <c r="AC4967" s="4">
        <v>3</v>
      </c>
      <c r="AD4967" s="4">
        <v>19</v>
      </c>
      <c r="AE4967" s="4">
        <v>32</v>
      </c>
      <c r="AF4967" s="4">
        <v>0</v>
      </c>
      <c r="AG4967" s="4">
        <v>2</v>
      </c>
      <c r="AH4967" s="4">
        <v>17</v>
      </c>
      <c r="AI4967" s="4">
        <v>27</v>
      </c>
      <c r="AJ4967" s="4">
        <v>6</v>
      </c>
      <c r="AK4967" s="4">
        <v>9</v>
      </c>
      <c r="AL4967" s="4">
        <v>5</v>
      </c>
      <c r="AM4967" s="4">
        <v>13</v>
      </c>
      <c r="AN4967" s="4">
        <v>0</v>
      </c>
      <c r="AO4967" s="4">
        <v>0</v>
      </c>
      <c r="AP4967" s="4">
        <v>7</v>
      </c>
      <c r="AQ4967" s="4">
        <v>10</v>
      </c>
      <c r="AR4967" s="3" t="s">
        <v>62</v>
      </c>
      <c r="AS4967" s="3" t="s">
        <v>62</v>
      </c>
      <c r="AT4967" s="3" t="s">
        <v>62</v>
      </c>
      <c r="AV4967" s="6" t="str">
        <f>HYPERLINK("http://mcgill.on.worldcat.org/oclc/696296696","Catalog Record")</f>
        <v>Catalog Record</v>
      </c>
      <c r="AW4967" s="6" t="str">
        <f>HYPERLINK("http://www.worldcat.org/oclc/696296696","WorldCat Record")</f>
        <v>WorldCat Record</v>
      </c>
      <c r="AX4967" s="3" t="s">
        <v>47789</v>
      </c>
      <c r="AY4967" s="3" t="s">
        <v>47790</v>
      </c>
      <c r="AZ4967" s="3" t="s">
        <v>47791</v>
      </c>
      <c r="BA4967" s="3" t="s">
        <v>47791</v>
      </c>
      <c r="BB4967" s="3" t="s">
        <v>47792</v>
      </c>
      <c r="BC4967" s="3" t="s">
        <v>102</v>
      </c>
      <c r="BD4967" s="3" t="s">
        <v>68</v>
      </c>
      <c r="BE4967" s="3" t="s">
        <v>47793</v>
      </c>
      <c r="BF4967" s="3" t="s">
        <v>47792</v>
      </c>
      <c r="BG4967" s="3" t="s">
        <v>47794</v>
      </c>
    </row>
    <row r="4968" spans="1:59" ht="72.5" x14ac:dyDescent="0.35">
      <c r="A4968" s="2" t="s">
        <v>89</v>
      </c>
      <c r="B4968" s="2" t="s">
        <v>1231</v>
      </c>
      <c r="C4968" s="2" t="s">
        <v>47795</v>
      </c>
      <c r="D4968" s="2" t="s">
        <v>47796</v>
      </c>
      <c r="E4968" s="2" t="s">
        <v>47797</v>
      </c>
      <c r="G4968" s="3" t="s">
        <v>62</v>
      </c>
      <c r="I4968" s="3" t="s">
        <v>61</v>
      </c>
      <c r="J4968" s="3" t="s">
        <v>62</v>
      </c>
      <c r="K4968" s="3" t="s">
        <v>63</v>
      </c>
      <c r="L4968" s="2" t="s">
        <v>47798</v>
      </c>
      <c r="M4968" s="2" t="s">
        <v>25045</v>
      </c>
      <c r="N4968" s="3" t="s">
        <v>824</v>
      </c>
      <c r="P4968" s="3" t="s">
        <v>64</v>
      </c>
      <c r="Q4968" s="2" t="s">
        <v>47799</v>
      </c>
      <c r="R4968" s="3" t="s">
        <v>46535</v>
      </c>
      <c r="S4968" s="4">
        <v>14</v>
      </c>
      <c r="T4968" s="4">
        <v>16</v>
      </c>
      <c r="U4968" s="5" t="s">
        <v>301</v>
      </c>
      <c r="V4968" s="5" t="s">
        <v>301</v>
      </c>
      <c r="W4968" s="5" t="s">
        <v>67</v>
      </c>
      <c r="X4968" s="5" t="s">
        <v>67</v>
      </c>
      <c r="Y4968" s="4">
        <v>1291</v>
      </c>
      <c r="Z4968" s="4">
        <v>46</v>
      </c>
      <c r="AA4968" s="4">
        <v>64</v>
      </c>
      <c r="AB4968" s="4">
        <v>3</v>
      </c>
      <c r="AC4968" s="4">
        <v>11</v>
      </c>
      <c r="AD4968" s="4">
        <v>111</v>
      </c>
      <c r="AE4968" s="4">
        <v>122</v>
      </c>
      <c r="AF4968" s="4">
        <v>1</v>
      </c>
      <c r="AG4968" s="4">
        <v>5</v>
      </c>
      <c r="AH4968" s="4">
        <v>88</v>
      </c>
      <c r="AI4968" s="4">
        <v>96</v>
      </c>
      <c r="AJ4968" s="4">
        <v>17</v>
      </c>
      <c r="AK4968" s="4">
        <v>23</v>
      </c>
      <c r="AL4968" s="4">
        <v>47</v>
      </c>
      <c r="AM4968" s="4">
        <v>50</v>
      </c>
      <c r="AN4968" s="4">
        <v>0</v>
      </c>
      <c r="AO4968" s="4">
        <v>0</v>
      </c>
      <c r="AP4968" s="4">
        <v>27</v>
      </c>
      <c r="AQ4968" s="4">
        <v>32</v>
      </c>
      <c r="AR4968" s="3" t="s">
        <v>62</v>
      </c>
      <c r="AS4968" s="3" t="s">
        <v>62</v>
      </c>
      <c r="AT4968" s="3" t="s">
        <v>61</v>
      </c>
      <c r="AU4968" s="6" t="str">
        <f>HYPERLINK("http://catalog.hathitrust.org/Record/000013088","HathiTrust Record")</f>
        <v>HathiTrust Record</v>
      </c>
      <c r="AV4968" s="6" t="str">
        <f>HYPERLINK("http://mcgill.on.worldcat.org/oclc/850428","Catalog Record")</f>
        <v>Catalog Record</v>
      </c>
      <c r="AW4968" s="6" t="str">
        <f>HYPERLINK("http://www.worldcat.org/oclc/850428","WorldCat Record")</f>
        <v>WorldCat Record</v>
      </c>
      <c r="AX4968" s="3" t="s">
        <v>47800</v>
      </c>
      <c r="AY4968" s="3" t="s">
        <v>47801</v>
      </c>
      <c r="AZ4968" s="3" t="s">
        <v>47802</v>
      </c>
      <c r="BA4968" s="3" t="s">
        <v>47802</v>
      </c>
      <c r="BB4968" s="3" t="s">
        <v>47803</v>
      </c>
      <c r="BC4968" s="3" t="s">
        <v>102</v>
      </c>
      <c r="BD4968" s="3" t="s">
        <v>68</v>
      </c>
      <c r="BE4968" s="3" t="s">
        <v>47804</v>
      </c>
      <c r="BF4968" s="3" t="s">
        <v>47803</v>
      </c>
      <c r="BG4968" s="3" t="s">
        <v>47805</v>
      </c>
    </row>
    <row r="4969" spans="1:59" ht="58" x14ac:dyDescent="0.35">
      <c r="A4969" s="2" t="s">
        <v>89</v>
      </c>
      <c r="B4969" s="2" t="s">
        <v>90</v>
      </c>
      <c r="C4969" s="2" t="s">
        <v>47806</v>
      </c>
      <c r="D4969" s="2" t="s">
        <v>47807</v>
      </c>
      <c r="E4969" s="2" t="s">
        <v>47808</v>
      </c>
      <c r="G4969" s="3" t="s">
        <v>62</v>
      </c>
      <c r="I4969" s="3" t="s">
        <v>62</v>
      </c>
      <c r="J4969" s="3" t="s">
        <v>62</v>
      </c>
      <c r="K4969" s="3" t="s">
        <v>63</v>
      </c>
      <c r="L4969" s="2" t="s">
        <v>47809</v>
      </c>
      <c r="M4969" s="2" t="s">
        <v>47810</v>
      </c>
      <c r="N4969" s="3" t="s">
        <v>106</v>
      </c>
      <c r="P4969" s="3" t="s">
        <v>64</v>
      </c>
      <c r="R4969" s="3" t="s">
        <v>46535</v>
      </c>
      <c r="S4969" s="4">
        <v>4</v>
      </c>
      <c r="T4969" s="4">
        <v>4</v>
      </c>
      <c r="U4969" s="5" t="s">
        <v>23988</v>
      </c>
      <c r="V4969" s="5" t="s">
        <v>23988</v>
      </c>
      <c r="W4969" s="5" t="s">
        <v>67</v>
      </c>
      <c r="X4969" s="5" t="s">
        <v>67</v>
      </c>
      <c r="Y4969" s="4">
        <v>1296</v>
      </c>
      <c r="Z4969" s="4">
        <v>52</v>
      </c>
      <c r="AA4969" s="4">
        <v>60</v>
      </c>
      <c r="AB4969" s="4">
        <v>4</v>
      </c>
      <c r="AC4969" s="4">
        <v>9</v>
      </c>
      <c r="AD4969" s="4">
        <v>130</v>
      </c>
      <c r="AE4969" s="4">
        <v>137</v>
      </c>
      <c r="AF4969" s="4">
        <v>1</v>
      </c>
      <c r="AG4969" s="4">
        <v>4</v>
      </c>
      <c r="AH4969" s="4">
        <v>108</v>
      </c>
      <c r="AI4969" s="4">
        <v>111</v>
      </c>
      <c r="AJ4969" s="4">
        <v>18</v>
      </c>
      <c r="AK4969" s="4">
        <v>21</v>
      </c>
      <c r="AL4969" s="4">
        <v>58</v>
      </c>
      <c r="AM4969" s="4">
        <v>59</v>
      </c>
      <c r="AN4969" s="4">
        <v>0</v>
      </c>
      <c r="AO4969" s="4">
        <v>0</v>
      </c>
      <c r="AP4969" s="4">
        <v>29</v>
      </c>
      <c r="AQ4969" s="4">
        <v>32</v>
      </c>
      <c r="AR4969" s="3" t="s">
        <v>62</v>
      </c>
      <c r="AS4969" s="3" t="s">
        <v>62</v>
      </c>
      <c r="AT4969" s="3" t="s">
        <v>61</v>
      </c>
      <c r="AU4969" s="6" t="str">
        <f>HYPERLINK("http://catalog.hathitrust.org/Record/000003526","HathiTrust Record")</f>
        <v>HathiTrust Record</v>
      </c>
      <c r="AV4969" s="6" t="str">
        <f>HYPERLINK("http://mcgill.on.worldcat.org/oclc/242951","Catalog Record")</f>
        <v>Catalog Record</v>
      </c>
      <c r="AW4969" s="6" t="str">
        <f>HYPERLINK("http://www.worldcat.org/oclc/242951","WorldCat Record")</f>
        <v>WorldCat Record</v>
      </c>
      <c r="AX4969" s="3" t="s">
        <v>47811</v>
      </c>
      <c r="AY4969" s="3" t="s">
        <v>47812</v>
      </c>
      <c r="AZ4969" s="3" t="s">
        <v>47813</v>
      </c>
      <c r="BA4969" s="3" t="s">
        <v>47813</v>
      </c>
      <c r="BB4969" s="3" t="s">
        <v>47814</v>
      </c>
      <c r="BC4969" s="3" t="s">
        <v>102</v>
      </c>
      <c r="BD4969" s="3" t="s">
        <v>68</v>
      </c>
      <c r="BE4969" s="3" t="s">
        <v>47815</v>
      </c>
      <c r="BF4969" s="3" t="s">
        <v>47814</v>
      </c>
      <c r="BG4969" s="3" t="s">
        <v>47816</v>
      </c>
    </row>
    <row r="4970" spans="1:59" ht="58" x14ac:dyDescent="0.35">
      <c r="A4970" s="2" t="s">
        <v>89</v>
      </c>
      <c r="B4970" s="2" t="s">
        <v>90</v>
      </c>
      <c r="C4970" s="2" t="s">
        <v>47817</v>
      </c>
      <c r="D4970" s="2" t="s">
        <v>47818</v>
      </c>
      <c r="E4970" s="2" t="s">
        <v>47819</v>
      </c>
      <c r="G4970" s="3" t="s">
        <v>62</v>
      </c>
      <c r="I4970" s="3" t="s">
        <v>62</v>
      </c>
      <c r="J4970" s="3" t="s">
        <v>62</v>
      </c>
      <c r="K4970" s="3" t="s">
        <v>63</v>
      </c>
      <c r="L4970" s="2" t="s">
        <v>47820</v>
      </c>
      <c r="M4970" s="2" t="s">
        <v>47821</v>
      </c>
      <c r="N4970" s="3" t="s">
        <v>698</v>
      </c>
      <c r="P4970" s="3" t="s">
        <v>64</v>
      </c>
      <c r="Q4970" s="2" t="s">
        <v>47822</v>
      </c>
      <c r="R4970" s="3" t="s">
        <v>46535</v>
      </c>
      <c r="S4970" s="4">
        <v>4</v>
      </c>
      <c r="T4970" s="4">
        <v>4</v>
      </c>
      <c r="U4970" s="5" t="s">
        <v>4607</v>
      </c>
      <c r="V4970" s="5" t="s">
        <v>4607</v>
      </c>
      <c r="W4970" s="5" t="s">
        <v>67</v>
      </c>
      <c r="X4970" s="5" t="s">
        <v>67</v>
      </c>
      <c r="Y4970" s="4">
        <v>234</v>
      </c>
      <c r="Z4970" s="4">
        <v>13</v>
      </c>
      <c r="AA4970" s="4">
        <v>29</v>
      </c>
      <c r="AB4970" s="4">
        <v>2</v>
      </c>
      <c r="AC4970" s="4">
        <v>12</v>
      </c>
      <c r="AD4970" s="4">
        <v>33</v>
      </c>
      <c r="AE4970" s="4">
        <v>47</v>
      </c>
      <c r="AF4970" s="4">
        <v>1</v>
      </c>
      <c r="AG4970" s="4">
        <v>5</v>
      </c>
      <c r="AH4970" s="4">
        <v>27</v>
      </c>
      <c r="AI4970" s="4">
        <v>37</v>
      </c>
      <c r="AJ4970" s="4">
        <v>7</v>
      </c>
      <c r="AK4970" s="4">
        <v>14</v>
      </c>
      <c r="AL4970" s="4">
        <v>11</v>
      </c>
      <c r="AM4970" s="4">
        <v>15</v>
      </c>
      <c r="AN4970" s="4">
        <v>0</v>
      </c>
      <c r="AO4970" s="4">
        <v>0</v>
      </c>
      <c r="AP4970" s="4">
        <v>10</v>
      </c>
      <c r="AQ4970" s="4">
        <v>17</v>
      </c>
      <c r="AR4970" s="3" t="s">
        <v>62</v>
      </c>
      <c r="AS4970" s="3" t="s">
        <v>62</v>
      </c>
      <c r="AT4970" s="3" t="s">
        <v>62</v>
      </c>
      <c r="AV4970" s="6" t="str">
        <f>HYPERLINK("http://mcgill.on.worldcat.org/oclc/754105691","Catalog Record")</f>
        <v>Catalog Record</v>
      </c>
      <c r="AW4970" s="6" t="str">
        <f>HYPERLINK("http://www.worldcat.org/oclc/754105691","WorldCat Record")</f>
        <v>WorldCat Record</v>
      </c>
      <c r="AX4970" s="3" t="s">
        <v>47823</v>
      </c>
      <c r="AY4970" s="3" t="s">
        <v>47824</v>
      </c>
      <c r="AZ4970" s="3" t="s">
        <v>47825</v>
      </c>
      <c r="BA4970" s="3" t="s">
        <v>47825</v>
      </c>
      <c r="BB4970" s="3" t="s">
        <v>47826</v>
      </c>
      <c r="BC4970" s="3" t="s">
        <v>102</v>
      </c>
      <c r="BD4970" s="3" t="s">
        <v>68</v>
      </c>
      <c r="BE4970" s="3" t="s">
        <v>47827</v>
      </c>
      <c r="BF4970" s="3" t="s">
        <v>47826</v>
      </c>
      <c r="BG4970" s="3" t="s">
        <v>47828</v>
      </c>
    </row>
    <row r="4971" spans="1:59" ht="58" x14ac:dyDescent="0.35">
      <c r="A4971" s="2" t="s">
        <v>89</v>
      </c>
      <c r="B4971" s="2" t="s">
        <v>90</v>
      </c>
      <c r="C4971" s="2" t="s">
        <v>47829</v>
      </c>
      <c r="D4971" s="2" t="s">
        <v>47830</v>
      </c>
      <c r="E4971" s="2" t="s">
        <v>47831</v>
      </c>
      <c r="G4971" s="3" t="s">
        <v>62</v>
      </c>
      <c r="I4971" s="3" t="s">
        <v>62</v>
      </c>
      <c r="J4971" s="3" t="s">
        <v>62</v>
      </c>
      <c r="K4971" s="3" t="s">
        <v>63</v>
      </c>
      <c r="L4971" s="2" t="s">
        <v>47832</v>
      </c>
      <c r="M4971" s="2" t="s">
        <v>47833</v>
      </c>
      <c r="N4971" s="3" t="s">
        <v>1038</v>
      </c>
      <c r="P4971" s="3" t="s">
        <v>64</v>
      </c>
      <c r="R4971" s="3" t="s">
        <v>46535</v>
      </c>
      <c r="S4971" s="4">
        <v>6</v>
      </c>
      <c r="T4971" s="4">
        <v>6</v>
      </c>
      <c r="U4971" s="5" t="s">
        <v>47834</v>
      </c>
      <c r="V4971" s="5" t="s">
        <v>47834</v>
      </c>
      <c r="W4971" s="5" t="s">
        <v>67</v>
      </c>
      <c r="X4971" s="5" t="s">
        <v>67</v>
      </c>
      <c r="Y4971" s="4">
        <v>775</v>
      </c>
      <c r="Z4971" s="4">
        <v>17</v>
      </c>
      <c r="AA4971" s="4">
        <v>25</v>
      </c>
      <c r="AB4971" s="4">
        <v>2</v>
      </c>
      <c r="AC4971" s="4">
        <v>6</v>
      </c>
      <c r="AD4971" s="4">
        <v>46</v>
      </c>
      <c r="AE4971" s="4">
        <v>51</v>
      </c>
      <c r="AF4971" s="4">
        <v>0</v>
      </c>
      <c r="AG4971" s="4">
        <v>0</v>
      </c>
      <c r="AH4971" s="4">
        <v>44</v>
      </c>
      <c r="AI4971" s="4">
        <v>49</v>
      </c>
      <c r="AJ4971" s="4">
        <v>3</v>
      </c>
      <c r="AK4971" s="4">
        <v>4</v>
      </c>
      <c r="AL4971" s="4">
        <v>26</v>
      </c>
      <c r="AM4971" s="4">
        <v>28</v>
      </c>
      <c r="AN4971" s="4">
        <v>0</v>
      </c>
      <c r="AO4971" s="4">
        <v>0</v>
      </c>
      <c r="AP4971" s="4">
        <v>3</v>
      </c>
      <c r="AQ4971" s="4">
        <v>4</v>
      </c>
      <c r="AR4971" s="3" t="s">
        <v>62</v>
      </c>
      <c r="AS4971" s="3" t="s">
        <v>62</v>
      </c>
      <c r="AT4971" s="3" t="s">
        <v>62</v>
      </c>
      <c r="AV4971" s="6" t="str">
        <f>HYPERLINK("http://mcgill.on.worldcat.org/oclc/945232268","Catalog Record")</f>
        <v>Catalog Record</v>
      </c>
      <c r="AW4971" s="6" t="str">
        <f>HYPERLINK("http://www.worldcat.org/oclc/945232268","WorldCat Record")</f>
        <v>WorldCat Record</v>
      </c>
      <c r="AX4971" s="3" t="s">
        <v>47835</v>
      </c>
      <c r="AY4971" s="3" t="s">
        <v>47836</v>
      </c>
      <c r="AZ4971" s="3" t="s">
        <v>47837</v>
      </c>
      <c r="BA4971" s="3" t="s">
        <v>47837</v>
      </c>
      <c r="BB4971" s="3" t="s">
        <v>47838</v>
      </c>
      <c r="BC4971" s="3" t="s">
        <v>102</v>
      </c>
      <c r="BD4971" s="3" t="s">
        <v>231</v>
      </c>
      <c r="BE4971" s="3" t="s">
        <v>47839</v>
      </c>
      <c r="BF4971" s="3" t="s">
        <v>47838</v>
      </c>
      <c r="BG4971" s="3" t="s">
        <v>47840</v>
      </c>
    </row>
    <row r="4972" spans="1:59" ht="58" x14ac:dyDescent="0.35">
      <c r="A4972" s="2" t="s">
        <v>89</v>
      </c>
      <c r="B4972" s="2" t="s">
        <v>90</v>
      </c>
      <c r="C4972" s="2" t="s">
        <v>47841</v>
      </c>
      <c r="D4972" s="2" t="s">
        <v>47842</v>
      </c>
      <c r="E4972" s="2" t="s">
        <v>47843</v>
      </c>
      <c r="G4972" s="3" t="s">
        <v>62</v>
      </c>
      <c r="I4972" s="3" t="s">
        <v>62</v>
      </c>
      <c r="J4972" s="3" t="s">
        <v>62</v>
      </c>
      <c r="K4972" s="3" t="s">
        <v>63</v>
      </c>
      <c r="M4972" s="2" t="s">
        <v>47844</v>
      </c>
      <c r="N4972" s="3" t="s">
        <v>596</v>
      </c>
      <c r="P4972" s="3" t="s">
        <v>64</v>
      </c>
      <c r="R4972" s="3" t="s">
        <v>46535</v>
      </c>
      <c r="S4972" s="4">
        <v>15</v>
      </c>
      <c r="T4972" s="4">
        <v>15</v>
      </c>
      <c r="U4972" s="5" t="s">
        <v>13316</v>
      </c>
      <c r="V4972" s="5" t="s">
        <v>13316</v>
      </c>
      <c r="W4972" s="5" t="s">
        <v>67</v>
      </c>
      <c r="X4972" s="5" t="s">
        <v>67</v>
      </c>
      <c r="Y4972" s="4">
        <v>443</v>
      </c>
      <c r="Z4972" s="4">
        <v>28</v>
      </c>
      <c r="AA4972" s="4">
        <v>32</v>
      </c>
      <c r="AB4972" s="4">
        <v>1</v>
      </c>
      <c r="AC4972" s="4">
        <v>5</v>
      </c>
      <c r="AD4972" s="4">
        <v>90</v>
      </c>
      <c r="AE4972" s="4">
        <v>94</v>
      </c>
      <c r="AF4972" s="4">
        <v>0</v>
      </c>
      <c r="AG4972" s="4">
        <v>4</v>
      </c>
      <c r="AH4972" s="4">
        <v>77</v>
      </c>
      <c r="AI4972" s="4">
        <v>78</v>
      </c>
      <c r="AJ4972" s="4">
        <v>15</v>
      </c>
      <c r="AK4972" s="4">
        <v>19</v>
      </c>
      <c r="AL4972" s="4">
        <v>32</v>
      </c>
      <c r="AM4972" s="4">
        <v>32</v>
      </c>
      <c r="AN4972" s="4">
        <v>0</v>
      </c>
      <c r="AO4972" s="4">
        <v>0</v>
      </c>
      <c r="AP4972" s="4">
        <v>25</v>
      </c>
      <c r="AQ4972" s="4">
        <v>28</v>
      </c>
      <c r="AR4972" s="3" t="s">
        <v>62</v>
      </c>
      <c r="AS4972" s="3" t="s">
        <v>62</v>
      </c>
      <c r="AT4972" s="3" t="s">
        <v>61</v>
      </c>
      <c r="AU4972" s="6" t="str">
        <f>HYPERLINK("http://catalog.hathitrust.org/Record/004305704","HathiTrust Record")</f>
        <v>HathiTrust Record</v>
      </c>
      <c r="AV4972" s="6" t="str">
        <f>HYPERLINK("http://mcgill.on.worldcat.org/oclc/49376240","Catalog Record")</f>
        <v>Catalog Record</v>
      </c>
      <c r="AW4972" s="6" t="str">
        <f>HYPERLINK("http://www.worldcat.org/oclc/49376240","WorldCat Record")</f>
        <v>WorldCat Record</v>
      </c>
      <c r="AX4972" s="3" t="s">
        <v>47845</v>
      </c>
      <c r="AY4972" s="3" t="s">
        <v>47846</v>
      </c>
      <c r="AZ4972" s="3" t="s">
        <v>47847</v>
      </c>
      <c r="BA4972" s="3" t="s">
        <v>47847</v>
      </c>
      <c r="BB4972" s="3" t="s">
        <v>47848</v>
      </c>
      <c r="BC4972" s="3" t="s">
        <v>102</v>
      </c>
      <c r="BD4972" s="3" t="s">
        <v>68</v>
      </c>
      <c r="BE4972" s="3" t="s">
        <v>47849</v>
      </c>
      <c r="BF4972" s="3" t="s">
        <v>47848</v>
      </c>
      <c r="BG4972" s="3" t="s">
        <v>47850</v>
      </c>
    </row>
    <row r="4973" spans="1:59" ht="58" x14ac:dyDescent="0.35">
      <c r="A4973" s="2" t="s">
        <v>89</v>
      </c>
      <c r="B4973" s="2" t="s">
        <v>90</v>
      </c>
      <c r="C4973" s="2" t="s">
        <v>47851</v>
      </c>
      <c r="D4973" s="2" t="s">
        <v>47852</v>
      </c>
      <c r="E4973" s="2" t="s">
        <v>47853</v>
      </c>
      <c r="G4973" s="3" t="s">
        <v>62</v>
      </c>
      <c r="I4973" s="3" t="s">
        <v>62</v>
      </c>
      <c r="J4973" s="3" t="s">
        <v>61</v>
      </c>
      <c r="K4973" s="3" t="s">
        <v>63</v>
      </c>
      <c r="L4973" s="2" t="s">
        <v>47854</v>
      </c>
      <c r="M4973" s="2" t="s">
        <v>47855</v>
      </c>
      <c r="N4973" s="3" t="s">
        <v>712</v>
      </c>
      <c r="O4973" s="2" t="s">
        <v>10722</v>
      </c>
      <c r="P4973" s="3" t="s">
        <v>64</v>
      </c>
      <c r="R4973" s="3" t="s">
        <v>46535</v>
      </c>
      <c r="S4973" s="4">
        <v>8</v>
      </c>
      <c r="T4973" s="4">
        <v>8</v>
      </c>
      <c r="U4973" s="5" t="s">
        <v>5881</v>
      </c>
      <c r="V4973" s="5" t="s">
        <v>5881</v>
      </c>
      <c r="W4973" s="5" t="s">
        <v>67</v>
      </c>
      <c r="X4973" s="5" t="s">
        <v>67</v>
      </c>
      <c r="Y4973" s="4">
        <v>178</v>
      </c>
      <c r="Z4973" s="4">
        <v>15</v>
      </c>
      <c r="AA4973" s="4">
        <v>56</v>
      </c>
      <c r="AB4973" s="4">
        <v>1</v>
      </c>
      <c r="AC4973" s="4">
        <v>8</v>
      </c>
      <c r="AD4973" s="4">
        <v>24</v>
      </c>
      <c r="AE4973" s="4">
        <v>89</v>
      </c>
      <c r="AF4973" s="4">
        <v>0</v>
      </c>
      <c r="AG4973" s="4">
        <v>5</v>
      </c>
      <c r="AH4973" s="4">
        <v>21</v>
      </c>
      <c r="AI4973" s="4">
        <v>69</v>
      </c>
      <c r="AJ4973" s="4">
        <v>7</v>
      </c>
      <c r="AK4973" s="4">
        <v>21</v>
      </c>
      <c r="AL4973" s="4">
        <v>8</v>
      </c>
      <c r="AM4973" s="4">
        <v>29</v>
      </c>
      <c r="AN4973" s="4">
        <v>0</v>
      </c>
      <c r="AO4973" s="4">
        <v>0</v>
      </c>
      <c r="AP4973" s="4">
        <v>8</v>
      </c>
      <c r="AQ4973" s="4">
        <v>31</v>
      </c>
      <c r="AR4973" s="3" t="s">
        <v>62</v>
      </c>
      <c r="AS4973" s="3" t="s">
        <v>62</v>
      </c>
      <c r="AT4973" s="3" t="s">
        <v>62</v>
      </c>
      <c r="AV4973" s="6" t="str">
        <f>HYPERLINK("http://mcgill.on.worldcat.org/oclc/806020052","Catalog Record")</f>
        <v>Catalog Record</v>
      </c>
      <c r="AW4973" s="6" t="str">
        <f>HYPERLINK("http://www.worldcat.org/oclc/806020052","WorldCat Record")</f>
        <v>WorldCat Record</v>
      </c>
      <c r="AX4973" s="3" t="s">
        <v>47856</v>
      </c>
      <c r="AY4973" s="3" t="s">
        <v>47857</v>
      </c>
      <c r="AZ4973" s="3" t="s">
        <v>47858</v>
      </c>
      <c r="BA4973" s="3" t="s">
        <v>47858</v>
      </c>
      <c r="BB4973" s="3" t="s">
        <v>47859</v>
      </c>
      <c r="BC4973" s="3" t="s">
        <v>102</v>
      </c>
      <c r="BD4973" s="3" t="s">
        <v>68</v>
      </c>
      <c r="BE4973" s="3" t="s">
        <v>47860</v>
      </c>
      <c r="BF4973" s="3" t="s">
        <v>47859</v>
      </c>
      <c r="BG4973" s="3" t="s">
        <v>47861</v>
      </c>
    </row>
    <row r="4974" spans="1:59" ht="58" x14ac:dyDescent="0.35">
      <c r="A4974" s="2" t="s">
        <v>89</v>
      </c>
      <c r="B4974" s="2" t="s">
        <v>90</v>
      </c>
      <c r="C4974" s="2" t="s">
        <v>47862</v>
      </c>
      <c r="D4974" s="2" t="s">
        <v>47863</v>
      </c>
      <c r="E4974" s="2" t="s">
        <v>47864</v>
      </c>
      <c r="G4974" s="3" t="s">
        <v>62</v>
      </c>
      <c r="I4974" s="3" t="s">
        <v>62</v>
      </c>
      <c r="J4974" s="3" t="s">
        <v>61</v>
      </c>
      <c r="K4974" s="3" t="s">
        <v>63</v>
      </c>
      <c r="M4974" s="2" t="s">
        <v>47865</v>
      </c>
      <c r="N4974" s="3" t="s">
        <v>524</v>
      </c>
      <c r="P4974" s="3" t="s">
        <v>64</v>
      </c>
      <c r="R4974" s="3" t="s">
        <v>46535</v>
      </c>
      <c r="S4974" s="4">
        <v>6</v>
      </c>
      <c r="T4974" s="4">
        <v>6</v>
      </c>
      <c r="U4974" s="5" t="s">
        <v>18125</v>
      </c>
      <c r="V4974" s="5" t="s">
        <v>18125</v>
      </c>
      <c r="W4974" s="5" t="s">
        <v>67</v>
      </c>
      <c r="X4974" s="5" t="s">
        <v>67</v>
      </c>
      <c r="Y4974" s="4">
        <v>587</v>
      </c>
      <c r="Z4974" s="4">
        <v>33</v>
      </c>
      <c r="AA4974" s="4">
        <v>58</v>
      </c>
      <c r="AB4974" s="4">
        <v>2</v>
      </c>
      <c r="AC4974" s="4">
        <v>8</v>
      </c>
      <c r="AD4974" s="4">
        <v>93</v>
      </c>
      <c r="AE4974" s="4">
        <v>114</v>
      </c>
      <c r="AF4974" s="4">
        <v>1</v>
      </c>
      <c r="AG4974" s="4">
        <v>5</v>
      </c>
      <c r="AH4974" s="4">
        <v>76</v>
      </c>
      <c r="AI4974" s="4">
        <v>86</v>
      </c>
      <c r="AJ4974" s="4">
        <v>17</v>
      </c>
      <c r="AK4974" s="4">
        <v>23</v>
      </c>
      <c r="AL4974" s="4">
        <v>32</v>
      </c>
      <c r="AM4974" s="4">
        <v>36</v>
      </c>
      <c r="AN4974" s="4">
        <v>0</v>
      </c>
      <c r="AO4974" s="4">
        <v>0</v>
      </c>
      <c r="AP4974" s="4">
        <v>28</v>
      </c>
      <c r="AQ4974" s="4">
        <v>39</v>
      </c>
      <c r="AR4974" s="3" t="s">
        <v>62</v>
      </c>
      <c r="AS4974" s="3" t="s">
        <v>62</v>
      </c>
      <c r="AT4974" s="3" t="s">
        <v>61</v>
      </c>
      <c r="AU4974" s="6" t="str">
        <f>HYPERLINK("http://catalog.hathitrust.org/Record/003107923","HathiTrust Record")</f>
        <v>HathiTrust Record</v>
      </c>
      <c r="AV4974" s="6" t="str">
        <f>HYPERLINK("http://mcgill.on.worldcat.org/oclc/31375570","Catalog Record")</f>
        <v>Catalog Record</v>
      </c>
      <c r="AW4974" s="6" t="str">
        <f>HYPERLINK("http://www.worldcat.org/oclc/31375570","WorldCat Record")</f>
        <v>WorldCat Record</v>
      </c>
      <c r="AX4974" s="3" t="s">
        <v>47866</v>
      </c>
      <c r="AY4974" s="3" t="s">
        <v>47867</v>
      </c>
      <c r="AZ4974" s="3" t="s">
        <v>47868</v>
      </c>
      <c r="BA4974" s="3" t="s">
        <v>47868</v>
      </c>
      <c r="BB4974" s="3" t="s">
        <v>47869</v>
      </c>
      <c r="BC4974" s="3" t="s">
        <v>102</v>
      </c>
      <c r="BD4974" s="3" t="s">
        <v>68</v>
      </c>
      <c r="BE4974" s="3" t="s">
        <v>47870</v>
      </c>
      <c r="BF4974" s="3" t="s">
        <v>47869</v>
      </c>
      <c r="BG4974" s="3" t="s">
        <v>47871</v>
      </c>
    </row>
    <row r="4975" spans="1:59" ht="58" x14ac:dyDescent="0.35">
      <c r="A4975" s="2" t="s">
        <v>89</v>
      </c>
      <c r="B4975" s="2" t="s">
        <v>6791</v>
      </c>
      <c r="C4975" s="2" t="s">
        <v>47872</v>
      </c>
      <c r="D4975" s="2" t="s">
        <v>47873</v>
      </c>
      <c r="E4975" s="2" t="s">
        <v>47874</v>
      </c>
      <c r="G4975" s="3" t="s">
        <v>62</v>
      </c>
      <c r="I4975" s="3" t="s">
        <v>62</v>
      </c>
      <c r="J4975" s="3" t="s">
        <v>61</v>
      </c>
      <c r="K4975" s="3" t="s">
        <v>63</v>
      </c>
      <c r="M4975" s="2" t="s">
        <v>46313</v>
      </c>
      <c r="N4975" s="3" t="s">
        <v>1195</v>
      </c>
      <c r="O4975" s="2" t="s">
        <v>2986</v>
      </c>
      <c r="P4975" s="3" t="s">
        <v>64</v>
      </c>
      <c r="R4975" s="3" t="s">
        <v>46535</v>
      </c>
      <c r="S4975" s="4">
        <v>14</v>
      </c>
      <c r="T4975" s="4">
        <v>14</v>
      </c>
      <c r="U4975" s="5" t="s">
        <v>33394</v>
      </c>
      <c r="V4975" s="5" t="s">
        <v>33394</v>
      </c>
      <c r="W4975" s="5" t="s">
        <v>67</v>
      </c>
      <c r="X4975" s="5" t="s">
        <v>67</v>
      </c>
      <c r="Y4975" s="4">
        <v>423</v>
      </c>
      <c r="Z4975" s="4">
        <v>39</v>
      </c>
      <c r="AA4975" s="4">
        <v>58</v>
      </c>
      <c r="AB4975" s="4">
        <v>2</v>
      </c>
      <c r="AC4975" s="4">
        <v>8</v>
      </c>
      <c r="AD4975" s="4">
        <v>69</v>
      </c>
      <c r="AE4975" s="4">
        <v>114</v>
      </c>
      <c r="AF4975" s="4">
        <v>1</v>
      </c>
      <c r="AG4975" s="4">
        <v>5</v>
      </c>
      <c r="AH4975" s="4">
        <v>53</v>
      </c>
      <c r="AI4975" s="4">
        <v>86</v>
      </c>
      <c r="AJ4975" s="4">
        <v>15</v>
      </c>
      <c r="AK4975" s="4">
        <v>23</v>
      </c>
      <c r="AL4975" s="4">
        <v>25</v>
      </c>
      <c r="AM4975" s="4">
        <v>36</v>
      </c>
      <c r="AN4975" s="4">
        <v>0</v>
      </c>
      <c r="AO4975" s="4">
        <v>0</v>
      </c>
      <c r="AP4975" s="4">
        <v>25</v>
      </c>
      <c r="AQ4975" s="4">
        <v>39</v>
      </c>
      <c r="AR4975" s="3" t="s">
        <v>62</v>
      </c>
      <c r="AS4975" s="3" t="s">
        <v>62</v>
      </c>
      <c r="AT4975" s="3" t="s">
        <v>62</v>
      </c>
      <c r="AV4975" s="6" t="str">
        <f>HYPERLINK("http://mcgill.on.worldcat.org/oclc/60414562","Catalog Record")</f>
        <v>Catalog Record</v>
      </c>
      <c r="AW4975" s="6" t="str">
        <f>HYPERLINK("http://www.worldcat.org/oclc/60414562","WorldCat Record")</f>
        <v>WorldCat Record</v>
      </c>
      <c r="AX4975" s="3" t="s">
        <v>47866</v>
      </c>
      <c r="AY4975" s="3" t="s">
        <v>47875</v>
      </c>
      <c r="AZ4975" s="3" t="s">
        <v>47876</v>
      </c>
      <c r="BA4975" s="3" t="s">
        <v>47876</v>
      </c>
      <c r="BB4975" s="3" t="s">
        <v>47877</v>
      </c>
      <c r="BC4975" s="3" t="s">
        <v>102</v>
      </c>
      <c r="BD4975" s="3" t="s">
        <v>68</v>
      </c>
      <c r="BE4975" s="3" t="s">
        <v>47878</v>
      </c>
      <c r="BF4975" s="3" t="s">
        <v>47877</v>
      </c>
      <c r="BG4975" s="3" t="s">
        <v>47879</v>
      </c>
    </row>
    <row r="4976" spans="1:59" ht="58" x14ac:dyDescent="0.35">
      <c r="A4976" s="2" t="s">
        <v>89</v>
      </c>
      <c r="B4976" s="2" t="s">
        <v>90</v>
      </c>
      <c r="C4976" s="2" t="s">
        <v>47880</v>
      </c>
      <c r="D4976" s="2" t="s">
        <v>47881</v>
      </c>
      <c r="E4976" s="2" t="s">
        <v>47853</v>
      </c>
      <c r="F4976" s="3" t="s">
        <v>46833</v>
      </c>
      <c r="G4976" s="3" t="s">
        <v>62</v>
      </c>
      <c r="I4976" s="3" t="s">
        <v>62</v>
      </c>
      <c r="J4976" s="3" t="s">
        <v>61</v>
      </c>
      <c r="K4976" s="3" t="s">
        <v>63</v>
      </c>
      <c r="L4976" s="2" t="s">
        <v>47854</v>
      </c>
      <c r="M4976" s="2" t="s">
        <v>47882</v>
      </c>
      <c r="N4976" s="3" t="s">
        <v>625</v>
      </c>
      <c r="O4976" s="2" t="s">
        <v>2986</v>
      </c>
      <c r="P4976" s="3" t="s">
        <v>64</v>
      </c>
      <c r="R4976" s="3" t="s">
        <v>46535</v>
      </c>
      <c r="S4976" s="4">
        <v>19</v>
      </c>
      <c r="T4976" s="4">
        <v>19</v>
      </c>
      <c r="U4976" s="5" t="s">
        <v>28347</v>
      </c>
      <c r="V4976" s="5" t="s">
        <v>28347</v>
      </c>
      <c r="W4976" s="5" t="s">
        <v>67</v>
      </c>
      <c r="X4976" s="5" t="s">
        <v>67</v>
      </c>
      <c r="Y4976" s="4">
        <v>148</v>
      </c>
      <c r="Z4976" s="4">
        <v>13</v>
      </c>
      <c r="AA4976" s="4">
        <v>56</v>
      </c>
      <c r="AB4976" s="4">
        <v>1</v>
      </c>
      <c r="AC4976" s="4">
        <v>8</v>
      </c>
      <c r="AD4976" s="4">
        <v>25</v>
      </c>
      <c r="AE4976" s="4">
        <v>89</v>
      </c>
      <c r="AF4976" s="4">
        <v>0</v>
      </c>
      <c r="AG4976" s="4">
        <v>5</v>
      </c>
      <c r="AH4976" s="4">
        <v>22</v>
      </c>
      <c r="AI4976" s="4">
        <v>69</v>
      </c>
      <c r="AJ4976" s="4">
        <v>5</v>
      </c>
      <c r="AK4976" s="4">
        <v>21</v>
      </c>
      <c r="AL4976" s="4">
        <v>9</v>
      </c>
      <c r="AM4976" s="4">
        <v>29</v>
      </c>
      <c r="AN4976" s="4">
        <v>0</v>
      </c>
      <c r="AO4976" s="4">
        <v>0</v>
      </c>
      <c r="AP4976" s="4">
        <v>7</v>
      </c>
      <c r="AQ4976" s="4">
        <v>31</v>
      </c>
      <c r="AR4976" s="3" t="s">
        <v>62</v>
      </c>
      <c r="AS4976" s="3" t="s">
        <v>62</v>
      </c>
      <c r="AT4976" s="3" t="s">
        <v>62</v>
      </c>
      <c r="AV4976" s="6" t="str">
        <f>HYPERLINK("http://mcgill.on.worldcat.org/oclc/48711435","Catalog Record")</f>
        <v>Catalog Record</v>
      </c>
      <c r="AW4976" s="6" t="str">
        <f>HYPERLINK("http://www.worldcat.org/oclc/48711435","WorldCat Record")</f>
        <v>WorldCat Record</v>
      </c>
      <c r="AX4976" s="3" t="s">
        <v>47856</v>
      </c>
      <c r="AY4976" s="3" t="s">
        <v>47883</v>
      </c>
      <c r="AZ4976" s="3" t="s">
        <v>47884</v>
      </c>
      <c r="BA4976" s="3" t="s">
        <v>47884</v>
      </c>
      <c r="BB4976" s="3" t="s">
        <v>47885</v>
      </c>
      <c r="BC4976" s="3" t="s">
        <v>102</v>
      </c>
      <c r="BD4976" s="3" t="s">
        <v>68</v>
      </c>
      <c r="BE4976" s="3" t="s">
        <v>47886</v>
      </c>
      <c r="BF4976" s="3" t="s">
        <v>47885</v>
      </c>
      <c r="BG4976" s="3" t="s">
        <v>47887</v>
      </c>
    </row>
    <row r="4977" spans="1:59" ht="58" x14ac:dyDescent="0.35">
      <c r="A4977" s="2" t="s">
        <v>89</v>
      </c>
      <c r="B4977" s="2" t="s">
        <v>6791</v>
      </c>
      <c r="C4977" s="2" t="s">
        <v>47888</v>
      </c>
      <c r="D4977" s="2" t="s">
        <v>47889</v>
      </c>
      <c r="E4977" s="2" t="s">
        <v>47853</v>
      </c>
      <c r="G4977" s="3" t="s">
        <v>62</v>
      </c>
      <c r="I4977" s="3" t="s">
        <v>62</v>
      </c>
      <c r="J4977" s="3" t="s">
        <v>61</v>
      </c>
      <c r="K4977" s="3" t="s">
        <v>63</v>
      </c>
      <c r="L4977" s="2" t="s">
        <v>47854</v>
      </c>
      <c r="M4977" s="2" t="s">
        <v>47890</v>
      </c>
      <c r="N4977" s="3" t="s">
        <v>684</v>
      </c>
      <c r="O4977" s="2" t="s">
        <v>2458</v>
      </c>
      <c r="P4977" s="3" t="s">
        <v>64</v>
      </c>
      <c r="R4977" s="3" t="s">
        <v>46535</v>
      </c>
      <c r="S4977" s="4">
        <v>59</v>
      </c>
      <c r="T4977" s="4">
        <v>59</v>
      </c>
      <c r="U4977" s="5" t="s">
        <v>6441</v>
      </c>
      <c r="V4977" s="5" t="s">
        <v>6441</v>
      </c>
      <c r="W4977" s="5" t="s">
        <v>67</v>
      </c>
      <c r="X4977" s="5" t="s">
        <v>67</v>
      </c>
      <c r="Y4977" s="4">
        <v>191</v>
      </c>
      <c r="Z4977" s="4">
        <v>21</v>
      </c>
      <c r="AA4977" s="4">
        <v>56</v>
      </c>
      <c r="AB4977" s="4">
        <v>3</v>
      </c>
      <c r="AC4977" s="4">
        <v>8</v>
      </c>
      <c r="AD4977" s="4">
        <v>28</v>
      </c>
      <c r="AE4977" s="4">
        <v>89</v>
      </c>
      <c r="AF4977" s="4">
        <v>2</v>
      </c>
      <c r="AG4977" s="4">
        <v>5</v>
      </c>
      <c r="AH4977" s="4">
        <v>20</v>
      </c>
      <c r="AI4977" s="4">
        <v>69</v>
      </c>
      <c r="AJ4977" s="4">
        <v>11</v>
      </c>
      <c r="AK4977" s="4">
        <v>21</v>
      </c>
      <c r="AL4977" s="4">
        <v>6</v>
      </c>
      <c r="AM4977" s="4">
        <v>29</v>
      </c>
      <c r="AN4977" s="4">
        <v>0</v>
      </c>
      <c r="AO4977" s="4">
        <v>0</v>
      </c>
      <c r="AP4977" s="4">
        <v>15</v>
      </c>
      <c r="AQ4977" s="4">
        <v>31</v>
      </c>
      <c r="AR4977" s="3" t="s">
        <v>62</v>
      </c>
      <c r="AS4977" s="3" t="s">
        <v>62</v>
      </c>
      <c r="AT4977" s="3" t="s">
        <v>62</v>
      </c>
      <c r="AV4977" s="6" t="str">
        <f>HYPERLINK("http://mcgill.on.worldcat.org/oclc/461256188","Catalog Record")</f>
        <v>Catalog Record</v>
      </c>
      <c r="AW4977" s="6" t="str">
        <f>HYPERLINK("http://www.worldcat.org/oclc/461256188","WorldCat Record")</f>
        <v>WorldCat Record</v>
      </c>
      <c r="AX4977" s="3" t="s">
        <v>47856</v>
      </c>
      <c r="AY4977" s="3" t="s">
        <v>47891</v>
      </c>
      <c r="AZ4977" s="3" t="s">
        <v>47892</v>
      </c>
      <c r="BA4977" s="3" t="s">
        <v>47892</v>
      </c>
      <c r="BB4977" s="3" t="s">
        <v>47893</v>
      </c>
      <c r="BC4977" s="3" t="s">
        <v>102</v>
      </c>
      <c r="BD4977" s="3" t="s">
        <v>68</v>
      </c>
      <c r="BE4977" s="3" t="s">
        <v>47894</v>
      </c>
      <c r="BF4977" s="3" t="s">
        <v>47893</v>
      </c>
      <c r="BG4977" s="3" t="s">
        <v>47895</v>
      </c>
    </row>
    <row r="4978" spans="1:59" ht="58" x14ac:dyDescent="0.35">
      <c r="A4978" s="2" t="s">
        <v>89</v>
      </c>
      <c r="B4978" s="2" t="s">
        <v>90</v>
      </c>
      <c r="C4978" s="2" t="s">
        <v>47896</v>
      </c>
      <c r="D4978" s="2" t="s">
        <v>47897</v>
      </c>
      <c r="E4978" s="2" t="s">
        <v>47898</v>
      </c>
      <c r="G4978" s="3" t="s">
        <v>62</v>
      </c>
      <c r="I4978" s="3" t="s">
        <v>62</v>
      </c>
      <c r="J4978" s="3" t="s">
        <v>61</v>
      </c>
      <c r="K4978" s="3" t="s">
        <v>63</v>
      </c>
      <c r="L4978" s="2" t="s">
        <v>47899</v>
      </c>
      <c r="M4978" s="2" t="s">
        <v>47900</v>
      </c>
      <c r="N4978" s="3" t="s">
        <v>2985</v>
      </c>
      <c r="O4978" s="2" t="s">
        <v>16059</v>
      </c>
      <c r="P4978" s="3" t="s">
        <v>64</v>
      </c>
      <c r="R4978" s="3" t="s">
        <v>46535</v>
      </c>
      <c r="S4978" s="4">
        <v>25</v>
      </c>
      <c r="T4978" s="4">
        <v>25</v>
      </c>
      <c r="U4978" s="5" t="s">
        <v>10792</v>
      </c>
      <c r="V4978" s="5" t="s">
        <v>10792</v>
      </c>
      <c r="W4978" s="5" t="s">
        <v>67</v>
      </c>
      <c r="X4978" s="5" t="s">
        <v>67</v>
      </c>
      <c r="Y4978" s="4">
        <v>181</v>
      </c>
      <c r="Z4978" s="4">
        <v>10</v>
      </c>
      <c r="AA4978" s="4">
        <v>63</v>
      </c>
      <c r="AB4978" s="4">
        <v>2</v>
      </c>
      <c r="AC4978" s="4">
        <v>12</v>
      </c>
      <c r="AD4978" s="4">
        <v>26</v>
      </c>
      <c r="AE4978" s="4">
        <v>106</v>
      </c>
      <c r="AF4978" s="4">
        <v>0</v>
      </c>
      <c r="AG4978" s="4">
        <v>5</v>
      </c>
      <c r="AH4978" s="4">
        <v>24</v>
      </c>
      <c r="AI4978" s="4">
        <v>81</v>
      </c>
      <c r="AJ4978" s="4">
        <v>4</v>
      </c>
      <c r="AK4978" s="4">
        <v>24</v>
      </c>
      <c r="AL4978" s="4">
        <v>16</v>
      </c>
      <c r="AM4978" s="4">
        <v>40</v>
      </c>
      <c r="AN4978" s="4">
        <v>0</v>
      </c>
      <c r="AO4978" s="4">
        <v>0</v>
      </c>
      <c r="AP4978" s="4">
        <v>4</v>
      </c>
      <c r="AQ4978" s="4">
        <v>35</v>
      </c>
      <c r="AR4978" s="3" t="s">
        <v>62</v>
      </c>
      <c r="AS4978" s="3" t="s">
        <v>62</v>
      </c>
      <c r="AT4978" s="3" t="s">
        <v>62</v>
      </c>
      <c r="AV4978" s="6" t="str">
        <f>HYPERLINK("http://mcgill.on.worldcat.org/oclc/226356725","Catalog Record")</f>
        <v>Catalog Record</v>
      </c>
      <c r="AW4978" s="6" t="str">
        <f>HYPERLINK("http://www.worldcat.org/oclc/226356725","WorldCat Record")</f>
        <v>WorldCat Record</v>
      </c>
      <c r="AX4978" s="3" t="s">
        <v>47901</v>
      </c>
      <c r="AY4978" s="3" t="s">
        <v>47902</v>
      </c>
      <c r="AZ4978" s="3" t="s">
        <v>47903</v>
      </c>
      <c r="BA4978" s="3" t="s">
        <v>47903</v>
      </c>
      <c r="BB4978" s="3" t="s">
        <v>47904</v>
      </c>
      <c r="BC4978" s="3" t="s">
        <v>102</v>
      </c>
      <c r="BD4978" s="3" t="s">
        <v>68</v>
      </c>
      <c r="BE4978" s="3" t="s">
        <v>47905</v>
      </c>
      <c r="BF4978" s="3" t="s">
        <v>47904</v>
      </c>
      <c r="BG4978" s="3" t="s">
        <v>47906</v>
      </c>
    </row>
    <row r="4979" spans="1:59" ht="58" x14ac:dyDescent="0.35">
      <c r="A4979" s="2" t="s">
        <v>89</v>
      </c>
      <c r="B4979" s="2" t="s">
        <v>90</v>
      </c>
      <c r="C4979" s="2" t="s">
        <v>47907</v>
      </c>
      <c r="D4979" s="2" t="s">
        <v>47908</v>
      </c>
      <c r="E4979" s="2" t="s">
        <v>47909</v>
      </c>
      <c r="G4979" s="3" t="s">
        <v>62</v>
      </c>
      <c r="I4979" s="3" t="s">
        <v>62</v>
      </c>
      <c r="J4979" s="3" t="s">
        <v>61</v>
      </c>
      <c r="K4979" s="3" t="s">
        <v>63</v>
      </c>
      <c r="L4979" s="2" t="s">
        <v>47899</v>
      </c>
      <c r="M4979" s="2" t="s">
        <v>47910</v>
      </c>
      <c r="N4979" s="3" t="s">
        <v>684</v>
      </c>
      <c r="O4979" s="2" t="s">
        <v>17018</v>
      </c>
      <c r="P4979" s="3" t="s">
        <v>64</v>
      </c>
      <c r="R4979" s="3" t="s">
        <v>46535</v>
      </c>
      <c r="S4979" s="4">
        <v>4</v>
      </c>
      <c r="T4979" s="4">
        <v>4</v>
      </c>
      <c r="U4979" s="5" t="s">
        <v>1654</v>
      </c>
      <c r="V4979" s="5" t="s">
        <v>1654</v>
      </c>
      <c r="W4979" s="5" t="s">
        <v>67</v>
      </c>
      <c r="X4979" s="5" t="s">
        <v>67</v>
      </c>
      <c r="Y4979" s="4">
        <v>189</v>
      </c>
      <c r="Z4979" s="4">
        <v>10</v>
      </c>
      <c r="AA4979" s="4">
        <v>63</v>
      </c>
      <c r="AB4979" s="4">
        <v>1</v>
      </c>
      <c r="AC4979" s="4">
        <v>12</v>
      </c>
      <c r="AD4979" s="4">
        <v>28</v>
      </c>
      <c r="AE4979" s="4">
        <v>106</v>
      </c>
      <c r="AF4979" s="4">
        <v>0</v>
      </c>
      <c r="AG4979" s="4">
        <v>5</v>
      </c>
      <c r="AH4979" s="4">
        <v>26</v>
      </c>
      <c r="AI4979" s="4">
        <v>81</v>
      </c>
      <c r="AJ4979" s="4">
        <v>6</v>
      </c>
      <c r="AK4979" s="4">
        <v>24</v>
      </c>
      <c r="AL4979" s="4">
        <v>12</v>
      </c>
      <c r="AM4979" s="4">
        <v>40</v>
      </c>
      <c r="AN4979" s="4">
        <v>0</v>
      </c>
      <c r="AO4979" s="4">
        <v>0</v>
      </c>
      <c r="AP4979" s="4">
        <v>6</v>
      </c>
      <c r="AQ4979" s="4">
        <v>35</v>
      </c>
      <c r="AR4979" s="3" t="s">
        <v>62</v>
      </c>
      <c r="AS4979" s="3" t="s">
        <v>62</v>
      </c>
      <c r="AT4979" s="3" t="s">
        <v>62</v>
      </c>
      <c r="AV4979" s="6" t="str">
        <f>HYPERLINK("http://mcgill.on.worldcat.org/oclc/751731746","Catalog Record")</f>
        <v>Catalog Record</v>
      </c>
      <c r="AW4979" s="6" t="str">
        <f>HYPERLINK("http://www.worldcat.org/oclc/751731746","WorldCat Record")</f>
        <v>WorldCat Record</v>
      </c>
      <c r="AX4979" s="3" t="s">
        <v>47901</v>
      </c>
      <c r="AY4979" s="3" t="s">
        <v>47911</v>
      </c>
      <c r="AZ4979" s="3" t="s">
        <v>47912</v>
      </c>
      <c r="BA4979" s="3" t="s">
        <v>47912</v>
      </c>
      <c r="BB4979" s="3" t="s">
        <v>47913</v>
      </c>
      <c r="BC4979" s="3" t="s">
        <v>102</v>
      </c>
      <c r="BD4979" s="3" t="s">
        <v>68</v>
      </c>
      <c r="BE4979" s="3" t="s">
        <v>47914</v>
      </c>
      <c r="BF4979" s="3" t="s">
        <v>47913</v>
      </c>
      <c r="BG4979" s="3" t="s">
        <v>47915</v>
      </c>
    </row>
    <row r="4980" spans="1:59" ht="58" x14ac:dyDescent="0.35">
      <c r="A4980" s="2" t="s">
        <v>89</v>
      </c>
      <c r="B4980" s="2" t="s">
        <v>6791</v>
      </c>
      <c r="C4980" s="2" t="s">
        <v>47916</v>
      </c>
      <c r="D4980" s="2" t="s">
        <v>47917</v>
      </c>
      <c r="E4980" s="2" t="s">
        <v>47918</v>
      </c>
      <c r="G4980" s="3" t="s">
        <v>62</v>
      </c>
      <c r="I4980" s="3" t="s">
        <v>62</v>
      </c>
      <c r="J4980" s="3" t="s">
        <v>61</v>
      </c>
      <c r="K4980" s="3" t="s">
        <v>63</v>
      </c>
      <c r="L4980" s="2" t="s">
        <v>47919</v>
      </c>
      <c r="M4980" s="2" t="s">
        <v>47920</v>
      </c>
      <c r="N4980" s="3" t="s">
        <v>1455</v>
      </c>
      <c r="O4980" s="2" t="s">
        <v>17254</v>
      </c>
      <c r="P4980" s="3" t="s">
        <v>64</v>
      </c>
      <c r="R4980" s="3" t="s">
        <v>46535</v>
      </c>
      <c r="S4980" s="4">
        <v>3</v>
      </c>
      <c r="T4980" s="4">
        <v>3</v>
      </c>
      <c r="U4980" s="5" t="s">
        <v>6441</v>
      </c>
      <c r="V4980" s="5" t="s">
        <v>6441</v>
      </c>
      <c r="W4980" s="5" t="s">
        <v>67</v>
      </c>
      <c r="X4980" s="5" t="s">
        <v>67</v>
      </c>
      <c r="Y4980" s="4">
        <v>139</v>
      </c>
      <c r="Z4980" s="4">
        <v>3</v>
      </c>
      <c r="AA4980" s="4">
        <v>63</v>
      </c>
      <c r="AB4980" s="4">
        <v>1</v>
      </c>
      <c r="AC4980" s="4">
        <v>12</v>
      </c>
      <c r="AD4980" s="4">
        <v>23</v>
      </c>
      <c r="AE4980" s="4">
        <v>106</v>
      </c>
      <c r="AF4980" s="4">
        <v>0</v>
      </c>
      <c r="AG4980" s="4">
        <v>5</v>
      </c>
      <c r="AH4980" s="4">
        <v>22</v>
      </c>
      <c r="AI4980" s="4">
        <v>81</v>
      </c>
      <c r="AJ4980" s="4">
        <v>0</v>
      </c>
      <c r="AK4980" s="4">
        <v>24</v>
      </c>
      <c r="AL4980" s="4">
        <v>13</v>
      </c>
      <c r="AM4980" s="4">
        <v>40</v>
      </c>
      <c r="AN4980" s="4">
        <v>0</v>
      </c>
      <c r="AO4980" s="4">
        <v>0</v>
      </c>
      <c r="AP4980" s="4">
        <v>2</v>
      </c>
      <c r="AQ4980" s="4">
        <v>35</v>
      </c>
      <c r="AR4980" s="3" t="s">
        <v>62</v>
      </c>
      <c r="AS4980" s="3" t="s">
        <v>62</v>
      </c>
      <c r="AT4980" s="3" t="s">
        <v>62</v>
      </c>
      <c r="AV4980" s="6" t="str">
        <f>HYPERLINK("http://mcgill.on.worldcat.org/oclc/882738851","Catalog Record")</f>
        <v>Catalog Record</v>
      </c>
      <c r="AW4980" s="6" t="str">
        <f>HYPERLINK("http://www.worldcat.org/oclc/882738851","WorldCat Record")</f>
        <v>WorldCat Record</v>
      </c>
      <c r="AX4980" s="3" t="s">
        <v>47901</v>
      </c>
      <c r="AY4980" s="3" t="s">
        <v>47921</v>
      </c>
      <c r="AZ4980" s="3" t="s">
        <v>47922</v>
      </c>
      <c r="BA4980" s="3" t="s">
        <v>47922</v>
      </c>
      <c r="BB4980" s="3" t="s">
        <v>47923</v>
      </c>
      <c r="BC4980" s="3" t="s">
        <v>102</v>
      </c>
      <c r="BD4980" s="3" t="s">
        <v>68</v>
      </c>
      <c r="BE4980" s="3" t="s">
        <v>47924</v>
      </c>
      <c r="BF4980" s="3" t="s">
        <v>47923</v>
      </c>
      <c r="BG4980" s="3" t="s">
        <v>47925</v>
      </c>
    </row>
    <row r="4981" spans="1:59" ht="58" x14ac:dyDescent="0.35">
      <c r="A4981" s="2" t="s">
        <v>89</v>
      </c>
      <c r="B4981" s="2" t="s">
        <v>90</v>
      </c>
      <c r="C4981" s="2" t="s">
        <v>47926</v>
      </c>
      <c r="D4981" s="2" t="s">
        <v>47927</v>
      </c>
      <c r="E4981" s="2" t="s">
        <v>47928</v>
      </c>
      <c r="G4981" s="3" t="s">
        <v>62</v>
      </c>
      <c r="I4981" s="3" t="s">
        <v>62</v>
      </c>
      <c r="J4981" s="3" t="s">
        <v>62</v>
      </c>
      <c r="K4981" s="3" t="s">
        <v>63</v>
      </c>
      <c r="M4981" s="2" t="s">
        <v>30468</v>
      </c>
      <c r="N4981" s="3" t="s">
        <v>129</v>
      </c>
      <c r="P4981" s="3" t="s">
        <v>64</v>
      </c>
      <c r="Q4981" s="2" t="s">
        <v>47929</v>
      </c>
      <c r="R4981" s="3" t="s">
        <v>46535</v>
      </c>
      <c r="S4981" s="4">
        <v>2</v>
      </c>
      <c r="T4981" s="4">
        <v>2</v>
      </c>
      <c r="U4981" s="5" t="s">
        <v>1080</v>
      </c>
      <c r="V4981" s="5" t="s">
        <v>1080</v>
      </c>
      <c r="W4981" s="5" t="s">
        <v>67</v>
      </c>
      <c r="X4981" s="5" t="s">
        <v>67</v>
      </c>
      <c r="Y4981" s="4">
        <v>103</v>
      </c>
      <c r="Z4981" s="4">
        <v>9</v>
      </c>
      <c r="AA4981" s="4">
        <v>27</v>
      </c>
      <c r="AB4981" s="4">
        <v>1</v>
      </c>
      <c r="AC4981" s="4">
        <v>7</v>
      </c>
      <c r="AD4981" s="4">
        <v>28</v>
      </c>
      <c r="AE4981" s="4">
        <v>47</v>
      </c>
      <c r="AF4981" s="4">
        <v>0</v>
      </c>
      <c r="AG4981" s="4">
        <v>2</v>
      </c>
      <c r="AH4981" s="4">
        <v>24</v>
      </c>
      <c r="AI4981" s="4">
        <v>35</v>
      </c>
      <c r="AJ4981" s="4">
        <v>5</v>
      </c>
      <c r="AK4981" s="4">
        <v>11</v>
      </c>
      <c r="AL4981" s="4">
        <v>16</v>
      </c>
      <c r="AM4981" s="4">
        <v>23</v>
      </c>
      <c r="AN4981" s="4">
        <v>0</v>
      </c>
      <c r="AO4981" s="4">
        <v>0</v>
      </c>
      <c r="AP4981" s="4">
        <v>5</v>
      </c>
      <c r="AQ4981" s="4">
        <v>16</v>
      </c>
      <c r="AR4981" s="3" t="s">
        <v>62</v>
      </c>
      <c r="AS4981" s="3" t="s">
        <v>62</v>
      </c>
      <c r="AT4981" s="3" t="s">
        <v>62</v>
      </c>
      <c r="AV4981" s="6" t="str">
        <f>HYPERLINK("http://mcgill.on.worldcat.org/oclc/817736603","Catalog Record")</f>
        <v>Catalog Record</v>
      </c>
      <c r="AW4981" s="6" t="str">
        <f>HYPERLINK("http://www.worldcat.org/oclc/817736603","WorldCat Record")</f>
        <v>WorldCat Record</v>
      </c>
      <c r="AX4981" s="3" t="s">
        <v>47930</v>
      </c>
      <c r="AY4981" s="3" t="s">
        <v>47931</v>
      </c>
      <c r="AZ4981" s="3" t="s">
        <v>47932</v>
      </c>
      <c r="BA4981" s="3" t="s">
        <v>47932</v>
      </c>
      <c r="BB4981" s="3" t="s">
        <v>47933</v>
      </c>
      <c r="BC4981" s="3" t="s">
        <v>102</v>
      </c>
      <c r="BD4981" s="3" t="s">
        <v>68</v>
      </c>
      <c r="BE4981" s="3" t="s">
        <v>47934</v>
      </c>
      <c r="BF4981" s="3" t="s">
        <v>47933</v>
      </c>
      <c r="BG4981" s="3" t="s">
        <v>47935</v>
      </c>
    </row>
    <row r="4982" spans="1:59" ht="58" x14ac:dyDescent="0.35">
      <c r="A4982" s="2" t="s">
        <v>89</v>
      </c>
      <c r="B4982" s="2" t="s">
        <v>90</v>
      </c>
      <c r="C4982" s="2" t="s">
        <v>47936</v>
      </c>
      <c r="D4982" s="2" t="s">
        <v>47937</v>
      </c>
      <c r="E4982" s="2" t="s">
        <v>47938</v>
      </c>
      <c r="G4982" s="3" t="s">
        <v>62</v>
      </c>
      <c r="I4982" s="3" t="s">
        <v>62</v>
      </c>
      <c r="J4982" s="3" t="s">
        <v>62</v>
      </c>
      <c r="K4982" s="3" t="s">
        <v>63</v>
      </c>
      <c r="L4982" s="2" t="s">
        <v>47939</v>
      </c>
      <c r="M4982" s="2" t="s">
        <v>47940</v>
      </c>
      <c r="N4982" s="3" t="s">
        <v>81</v>
      </c>
      <c r="P4982" s="3" t="s">
        <v>64</v>
      </c>
      <c r="R4982" s="3" t="s">
        <v>46535</v>
      </c>
      <c r="S4982" s="4">
        <v>9</v>
      </c>
      <c r="T4982" s="4">
        <v>9</v>
      </c>
      <c r="U4982" s="5" t="s">
        <v>14793</v>
      </c>
      <c r="V4982" s="5" t="s">
        <v>14793</v>
      </c>
      <c r="W4982" s="5" t="s">
        <v>67</v>
      </c>
      <c r="X4982" s="5" t="s">
        <v>67</v>
      </c>
      <c r="Y4982" s="4">
        <v>113</v>
      </c>
      <c r="Z4982" s="4">
        <v>8</v>
      </c>
      <c r="AA4982" s="4">
        <v>29</v>
      </c>
      <c r="AB4982" s="4">
        <v>2</v>
      </c>
      <c r="AC4982" s="4">
        <v>6</v>
      </c>
      <c r="AD4982" s="4">
        <v>16</v>
      </c>
      <c r="AE4982" s="4">
        <v>108</v>
      </c>
      <c r="AF4982" s="4">
        <v>0</v>
      </c>
      <c r="AG4982" s="4">
        <v>3</v>
      </c>
      <c r="AH4982" s="4">
        <v>15</v>
      </c>
      <c r="AI4982" s="4">
        <v>93</v>
      </c>
      <c r="AJ4982" s="4">
        <v>2</v>
      </c>
      <c r="AK4982" s="4">
        <v>13</v>
      </c>
      <c r="AL4982" s="4">
        <v>11</v>
      </c>
      <c r="AM4982" s="4">
        <v>54</v>
      </c>
      <c r="AN4982" s="4">
        <v>0</v>
      </c>
      <c r="AO4982" s="4">
        <v>0</v>
      </c>
      <c r="AP4982" s="4">
        <v>2</v>
      </c>
      <c r="AQ4982" s="4">
        <v>18</v>
      </c>
      <c r="AR4982" s="3" t="s">
        <v>62</v>
      </c>
      <c r="AS4982" s="3" t="s">
        <v>62</v>
      </c>
      <c r="AT4982" s="3" t="s">
        <v>62</v>
      </c>
      <c r="AV4982" s="6" t="str">
        <f>HYPERLINK("http://mcgill.on.worldcat.org/oclc/17778798","Catalog Record")</f>
        <v>Catalog Record</v>
      </c>
      <c r="AW4982" s="6" t="str">
        <f>HYPERLINK("http://www.worldcat.org/oclc/17778798","WorldCat Record")</f>
        <v>WorldCat Record</v>
      </c>
      <c r="AX4982" s="3" t="s">
        <v>47941</v>
      </c>
      <c r="AY4982" s="3" t="s">
        <v>47942</v>
      </c>
      <c r="AZ4982" s="3" t="s">
        <v>47943</v>
      </c>
      <c r="BA4982" s="3" t="s">
        <v>47943</v>
      </c>
      <c r="BB4982" s="3" t="s">
        <v>47944</v>
      </c>
      <c r="BC4982" s="3" t="s">
        <v>102</v>
      </c>
      <c r="BD4982" s="3" t="s">
        <v>68</v>
      </c>
      <c r="BE4982" s="3" t="s">
        <v>47945</v>
      </c>
      <c r="BF4982" s="3" t="s">
        <v>47944</v>
      </c>
      <c r="BG4982" s="3" t="s">
        <v>47946</v>
      </c>
    </row>
    <row r="4983" spans="1:59" ht="58" x14ac:dyDescent="0.35">
      <c r="A4983" s="2" t="s">
        <v>89</v>
      </c>
      <c r="B4983" s="2" t="s">
        <v>90</v>
      </c>
      <c r="C4983" s="2" t="s">
        <v>47947</v>
      </c>
      <c r="D4983" s="2" t="s">
        <v>47948</v>
      </c>
      <c r="E4983" s="2" t="s">
        <v>47949</v>
      </c>
      <c r="G4983" s="3" t="s">
        <v>62</v>
      </c>
      <c r="I4983" s="3" t="s">
        <v>61</v>
      </c>
      <c r="J4983" s="3" t="s">
        <v>62</v>
      </c>
      <c r="K4983" s="3" t="s">
        <v>63</v>
      </c>
      <c r="L4983" s="2" t="s">
        <v>47950</v>
      </c>
      <c r="M4983" s="2" t="s">
        <v>47951</v>
      </c>
      <c r="N4983" s="3" t="s">
        <v>553</v>
      </c>
      <c r="P4983" s="3" t="s">
        <v>64</v>
      </c>
      <c r="R4983" s="3" t="s">
        <v>46535</v>
      </c>
      <c r="S4983" s="4">
        <v>4</v>
      </c>
      <c r="T4983" s="4">
        <v>18</v>
      </c>
      <c r="U4983" s="5" t="s">
        <v>47952</v>
      </c>
      <c r="V4983" s="5" t="s">
        <v>97</v>
      </c>
      <c r="W4983" s="5" t="s">
        <v>67</v>
      </c>
      <c r="X4983" s="5" t="s">
        <v>67</v>
      </c>
      <c r="Y4983" s="4">
        <v>590</v>
      </c>
      <c r="Z4983" s="4">
        <v>30</v>
      </c>
      <c r="AA4983" s="4">
        <v>49</v>
      </c>
      <c r="AB4983" s="4">
        <v>1</v>
      </c>
      <c r="AC4983" s="4">
        <v>7</v>
      </c>
      <c r="AD4983" s="4">
        <v>83</v>
      </c>
      <c r="AE4983" s="4">
        <v>99</v>
      </c>
      <c r="AF4983" s="4">
        <v>0</v>
      </c>
      <c r="AG4983" s="4">
        <v>4</v>
      </c>
      <c r="AH4983" s="4">
        <v>70</v>
      </c>
      <c r="AI4983" s="4">
        <v>78</v>
      </c>
      <c r="AJ4983" s="4">
        <v>13</v>
      </c>
      <c r="AK4983" s="4">
        <v>21</v>
      </c>
      <c r="AL4983" s="4">
        <v>34</v>
      </c>
      <c r="AM4983" s="4">
        <v>38</v>
      </c>
      <c r="AN4983" s="4">
        <v>0</v>
      </c>
      <c r="AO4983" s="4">
        <v>0</v>
      </c>
      <c r="AP4983" s="4">
        <v>22</v>
      </c>
      <c r="AQ4983" s="4">
        <v>32</v>
      </c>
      <c r="AR4983" s="3" t="s">
        <v>62</v>
      </c>
      <c r="AS4983" s="3" t="s">
        <v>62</v>
      </c>
      <c r="AT4983" s="3" t="s">
        <v>61</v>
      </c>
      <c r="AU4983" s="6" t="str">
        <f>HYPERLINK("http://catalog.hathitrust.org/Record/004025717","HathiTrust Record")</f>
        <v>HathiTrust Record</v>
      </c>
      <c r="AV4983" s="6" t="str">
        <f>HYPERLINK("http://mcgill.on.worldcat.org/oclc/39546476","Catalog Record")</f>
        <v>Catalog Record</v>
      </c>
      <c r="AW4983" s="6" t="str">
        <f>HYPERLINK("http://www.worldcat.org/oclc/39546476","WorldCat Record")</f>
        <v>WorldCat Record</v>
      </c>
      <c r="AX4983" s="3" t="s">
        <v>47953</v>
      </c>
      <c r="AY4983" s="3" t="s">
        <v>47954</v>
      </c>
      <c r="AZ4983" s="3" t="s">
        <v>47955</v>
      </c>
      <c r="BA4983" s="3" t="s">
        <v>47955</v>
      </c>
      <c r="BB4983" s="3" t="s">
        <v>47956</v>
      </c>
      <c r="BC4983" s="3" t="s">
        <v>102</v>
      </c>
      <c r="BD4983" s="3" t="s">
        <v>68</v>
      </c>
      <c r="BE4983" s="3" t="s">
        <v>47957</v>
      </c>
      <c r="BF4983" s="3" t="s">
        <v>47956</v>
      </c>
      <c r="BG4983" s="3" t="s">
        <v>47958</v>
      </c>
    </row>
    <row r="4984" spans="1:59" ht="58" x14ac:dyDescent="0.35">
      <c r="A4984" s="2" t="s">
        <v>89</v>
      </c>
      <c r="B4984" s="2" t="s">
        <v>90</v>
      </c>
      <c r="C4984" s="2" t="s">
        <v>47947</v>
      </c>
      <c r="D4984" s="2" t="s">
        <v>47948</v>
      </c>
      <c r="E4984" s="2" t="s">
        <v>47949</v>
      </c>
      <c r="G4984" s="3" t="s">
        <v>62</v>
      </c>
      <c r="I4984" s="3" t="s">
        <v>61</v>
      </c>
      <c r="J4984" s="3" t="s">
        <v>62</v>
      </c>
      <c r="K4984" s="3" t="s">
        <v>63</v>
      </c>
      <c r="L4984" s="2" t="s">
        <v>47950</v>
      </c>
      <c r="M4984" s="2" t="s">
        <v>47951</v>
      </c>
      <c r="N4984" s="3" t="s">
        <v>553</v>
      </c>
      <c r="P4984" s="3" t="s">
        <v>64</v>
      </c>
      <c r="R4984" s="3" t="s">
        <v>46535</v>
      </c>
      <c r="S4984" s="4">
        <v>14</v>
      </c>
      <c r="T4984" s="4">
        <v>18</v>
      </c>
      <c r="U4984" s="5" t="s">
        <v>97</v>
      </c>
      <c r="V4984" s="5" t="s">
        <v>97</v>
      </c>
      <c r="W4984" s="5" t="s">
        <v>67</v>
      </c>
      <c r="X4984" s="5" t="s">
        <v>67</v>
      </c>
      <c r="Y4984" s="4">
        <v>590</v>
      </c>
      <c r="Z4984" s="4">
        <v>30</v>
      </c>
      <c r="AA4984" s="4">
        <v>49</v>
      </c>
      <c r="AB4984" s="4">
        <v>1</v>
      </c>
      <c r="AC4984" s="4">
        <v>7</v>
      </c>
      <c r="AD4984" s="4">
        <v>83</v>
      </c>
      <c r="AE4984" s="4">
        <v>99</v>
      </c>
      <c r="AF4984" s="4">
        <v>0</v>
      </c>
      <c r="AG4984" s="4">
        <v>4</v>
      </c>
      <c r="AH4984" s="4">
        <v>70</v>
      </c>
      <c r="AI4984" s="4">
        <v>78</v>
      </c>
      <c r="AJ4984" s="4">
        <v>13</v>
      </c>
      <c r="AK4984" s="4">
        <v>21</v>
      </c>
      <c r="AL4984" s="4">
        <v>34</v>
      </c>
      <c r="AM4984" s="4">
        <v>38</v>
      </c>
      <c r="AN4984" s="4">
        <v>0</v>
      </c>
      <c r="AO4984" s="4">
        <v>0</v>
      </c>
      <c r="AP4984" s="4">
        <v>22</v>
      </c>
      <c r="AQ4984" s="4">
        <v>32</v>
      </c>
      <c r="AR4984" s="3" t="s">
        <v>62</v>
      </c>
      <c r="AS4984" s="3" t="s">
        <v>62</v>
      </c>
      <c r="AT4984" s="3" t="s">
        <v>61</v>
      </c>
      <c r="AU4984" s="6" t="str">
        <f>HYPERLINK("http://catalog.hathitrust.org/Record/004025717","HathiTrust Record")</f>
        <v>HathiTrust Record</v>
      </c>
      <c r="AV4984" s="6" t="str">
        <f>HYPERLINK("http://mcgill.on.worldcat.org/oclc/39546476","Catalog Record")</f>
        <v>Catalog Record</v>
      </c>
      <c r="AW4984" s="6" t="str">
        <f>HYPERLINK("http://www.worldcat.org/oclc/39546476","WorldCat Record")</f>
        <v>WorldCat Record</v>
      </c>
      <c r="AX4984" s="3" t="s">
        <v>47953</v>
      </c>
      <c r="AY4984" s="3" t="s">
        <v>47954</v>
      </c>
      <c r="AZ4984" s="3" t="s">
        <v>47955</v>
      </c>
      <c r="BA4984" s="3" t="s">
        <v>47955</v>
      </c>
      <c r="BB4984" s="3" t="s">
        <v>47959</v>
      </c>
      <c r="BC4984" s="3" t="s">
        <v>102</v>
      </c>
      <c r="BD4984" s="3" t="s">
        <v>68</v>
      </c>
      <c r="BE4984" s="3" t="s">
        <v>47957</v>
      </c>
      <c r="BF4984" s="3" t="s">
        <v>47959</v>
      </c>
      <c r="BG4984" s="3" t="s">
        <v>47960</v>
      </c>
    </row>
    <row r="4985" spans="1:59" ht="58" x14ac:dyDescent="0.35">
      <c r="A4985" s="2" t="s">
        <v>89</v>
      </c>
      <c r="B4985" s="2" t="s">
        <v>6791</v>
      </c>
      <c r="C4985" s="2" t="s">
        <v>47961</v>
      </c>
      <c r="D4985" s="2" t="s">
        <v>47962</v>
      </c>
      <c r="E4985" s="2" t="s">
        <v>47963</v>
      </c>
      <c r="G4985" s="3" t="s">
        <v>62</v>
      </c>
      <c r="I4985" s="3" t="s">
        <v>62</v>
      </c>
      <c r="J4985" s="3" t="s">
        <v>61</v>
      </c>
      <c r="K4985" s="3" t="s">
        <v>63</v>
      </c>
      <c r="L4985" s="2" t="s">
        <v>47964</v>
      </c>
      <c r="M4985" s="2" t="s">
        <v>47821</v>
      </c>
      <c r="N4985" s="3" t="s">
        <v>698</v>
      </c>
      <c r="O4985" s="2" t="s">
        <v>17648</v>
      </c>
      <c r="P4985" s="3" t="s">
        <v>64</v>
      </c>
      <c r="R4985" s="3" t="s">
        <v>46535</v>
      </c>
      <c r="S4985" s="4">
        <v>7</v>
      </c>
      <c r="T4985" s="4">
        <v>7</v>
      </c>
      <c r="U4985" s="5" t="s">
        <v>4363</v>
      </c>
      <c r="V4985" s="5" t="s">
        <v>4363</v>
      </c>
      <c r="W4985" s="5" t="s">
        <v>67</v>
      </c>
      <c r="X4985" s="5" t="s">
        <v>67</v>
      </c>
      <c r="Y4985" s="4">
        <v>304</v>
      </c>
      <c r="Z4985" s="4">
        <v>19</v>
      </c>
      <c r="AA4985" s="4">
        <v>81</v>
      </c>
      <c r="AB4985" s="4">
        <v>1</v>
      </c>
      <c r="AC4985" s="4">
        <v>12</v>
      </c>
      <c r="AD4985" s="4">
        <v>39</v>
      </c>
      <c r="AE4985" s="4">
        <v>138</v>
      </c>
      <c r="AF4985" s="4">
        <v>0</v>
      </c>
      <c r="AG4985" s="4">
        <v>5</v>
      </c>
      <c r="AH4985" s="4">
        <v>32</v>
      </c>
      <c r="AI4985" s="4">
        <v>104</v>
      </c>
      <c r="AJ4985" s="4">
        <v>8</v>
      </c>
      <c r="AK4985" s="4">
        <v>26</v>
      </c>
      <c r="AL4985" s="4">
        <v>19</v>
      </c>
      <c r="AM4985" s="4">
        <v>51</v>
      </c>
      <c r="AN4985" s="4">
        <v>0</v>
      </c>
      <c r="AO4985" s="4">
        <v>5</v>
      </c>
      <c r="AP4985" s="4">
        <v>11</v>
      </c>
      <c r="AQ4985" s="4">
        <v>44</v>
      </c>
      <c r="AR4985" s="3" t="s">
        <v>62</v>
      </c>
      <c r="AS4985" s="3" t="s">
        <v>62</v>
      </c>
      <c r="AT4985" s="3" t="s">
        <v>62</v>
      </c>
      <c r="AV4985" s="6" t="str">
        <f>HYPERLINK("http://mcgill.on.worldcat.org/oclc/747903364","Catalog Record")</f>
        <v>Catalog Record</v>
      </c>
      <c r="AW4985" s="6" t="str">
        <f>HYPERLINK("http://www.worldcat.org/oclc/747903364","WorldCat Record")</f>
        <v>WorldCat Record</v>
      </c>
      <c r="AX4985" s="3" t="s">
        <v>47965</v>
      </c>
      <c r="AY4985" s="3" t="s">
        <v>47966</v>
      </c>
      <c r="AZ4985" s="3" t="s">
        <v>47967</v>
      </c>
      <c r="BA4985" s="3" t="s">
        <v>47967</v>
      </c>
      <c r="BB4985" s="3" t="s">
        <v>47968</v>
      </c>
      <c r="BC4985" s="3" t="s">
        <v>102</v>
      </c>
      <c r="BD4985" s="3" t="s">
        <v>68</v>
      </c>
      <c r="BE4985" s="3" t="s">
        <v>47969</v>
      </c>
      <c r="BF4985" s="3" t="s">
        <v>47968</v>
      </c>
      <c r="BG4985" s="3" t="s">
        <v>47970</v>
      </c>
    </row>
    <row r="4986" spans="1:59" ht="58" x14ac:dyDescent="0.35">
      <c r="A4986" s="2" t="s">
        <v>89</v>
      </c>
      <c r="B4986" s="2" t="s">
        <v>90</v>
      </c>
      <c r="C4986" s="2" t="s">
        <v>47971</v>
      </c>
      <c r="D4986" s="2" t="s">
        <v>47972</v>
      </c>
      <c r="E4986" s="2" t="s">
        <v>47973</v>
      </c>
      <c r="G4986" s="3" t="s">
        <v>62</v>
      </c>
      <c r="I4986" s="3" t="s">
        <v>62</v>
      </c>
      <c r="J4986" s="3" t="s">
        <v>62</v>
      </c>
      <c r="K4986" s="3" t="s">
        <v>63</v>
      </c>
      <c r="L4986" s="2" t="s">
        <v>47974</v>
      </c>
      <c r="M4986" s="2" t="s">
        <v>47975</v>
      </c>
      <c r="N4986" s="3" t="s">
        <v>424</v>
      </c>
      <c r="P4986" s="3" t="s">
        <v>64</v>
      </c>
      <c r="R4986" s="3" t="s">
        <v>46535</v>
      </c>
      <c r="S4986" s="4">
        <v>5</v>
      </c>
      <c r="T4986" s="4">
        <v>5</v>
      </c>
      <c r="U4986" s="5" t="s">
        <v>47976</v>
      </c>
      <c r="V4986" s="5" t="s">
        <v>47976</v>
      </c>
      <c r="W4986" s="5" t="s">
        <v>67</v>
      </c>
      <c r="X4986" s="5" t="s">
        <v>67</v>
      </c>
      <c r="Y4986" s="4">
        <v>208</v>
      </c>
      <c r="Z4986" s="4">
        <v>20</v>
      </c>
      <c r="AA4986" s="4">
        <v>25</v>
      </c>
      <c r="AB4986" s="4">
        <v>3</v>
      </c>
      <c r="AC4986" s="4">
        <v>8</v>
      </c>
      <c r="AD4986" s="4">
        <v>61</v>
      </c>
      <c r="AE4986" s="4">
        <v>64</v>
      </c>
      <c r="AF4986" s="4">
        <v>1</v>
      </c>
      <c r="AG4986" s="4">
        <v>4</v>
      </c>
      <c r="AH4986" s="4">
        <v>54</v>
      </c>
      <c r="AI4986" s="4">
        <v>54</v>
      </c>
      <c r="AJ4986" s="4">
        <v>14</v>
      </c>
      <c r="AK4986" s="4">
        <v>16</v>
      </c>
      <c r="AL4986" s="4">
        <v>27</v>
      </c>
      <c r="AM4986" s="4">
        <v>27</v>
      </c>
      <c r="AN4986" s="4">
        <v>0</v>
      </c>
      <c r="AO4986" s="4">
        <v>0</v>
      </c>
      <c r="AP4986" s="4">
        <v>15</v>
      </c>
      <c r="AQ4986" s="4">
        <v>17</v>
      </c>
      <c r="AR4986" s="3" t="s">
        <v>62</v>
      </c>
      <c r="AS4986" s="3" t="s">
        <v>62</v>
      </c>
      <c r="AT4986" s="3" t="s">
        <v>61</v>
      </c>
      <c r="AU4986" s="6" t="str">
        <f>HYPERLINK("http://catalog.hathitrust.org/Record/004414814","HathiTrust Record")</f>
        <v>HathiTrust Record</v>
      </c>
      <c r="AV4986" s="6" t="str">
        <f>HYPERLINK("http://mcgill.on.worldcat.org/oclc/16805419","Catalog Record")</f>
        <v>Catalog Record</v>
      </c>
      <c r="AW4986" s="6" t="str">
        <f>HYPERLINK("http://www.worldcat.org/oclc/16805419","WorldCat Record")</f>
        <v>WorldCat Record</v>
      </c>
      <c r="AX4986" s="3" t="s">
        <v>47977</v>
      </c>
      <c r="AY4986" s="3" t="s">
        <v>47978</v>
      </c>
      <c r="AZ4986" s="3" t="s">
        <v>47979</v>
      </c>
      <c r="BA4986" s="3" t="s">
        <v>47979</v>
      </c>
      <c r="BB4986" s="3" t="s">
        <v>47980</v>
      </c>
      <c r="BC4986" s="3" t="s">
        <v>102</v>
      </c>
      <c r="BD4986" s="3" t="s">
        <v>68</v>
      </c>
      <c r="BE4986" s="3" t="s">
        <v>47981</v>
      </c>
      <c r="BF4986" s="3" t="s">
        <v>47980</v>
      </c>
      <c r="BG4986" s="3" t="s">
        <v>47982</v>
      </c>
    </row>
    <row r="4987" spans="1:59" ht="58" x14ac:dyDescent="0.35">
      <c r="A4987" s="2" t="s">
        <v>89</v>
      </c>
      <c r="B4987" s="2" t="s">
        <v>90</v>
      </c>
      <c r="C4987" s="2" t="s">
        <v>47983</v>
      </c>
      <c r="D4987" s="2" t="s">
        <v>47984</v>
      </c>
      <c r="E4987" s="2" t="s">
        <v>47985</v>
      </c>
      <c r="G4987" s="3" t="s">
        <v>62</v>
      </c>
      <c r="I4987" s="3" t="s">
        <v>62</v>
      </c>
      <c r="J4987" s="3" t="s">
        <v>61</v>
      </c>
      <c r="K4987" s="3" t="s">
        <v>63</v>
      </c>
      <c r="L4987" s="2" t="s">
        <v>47986</v>
      </c>
      <c r="M4987" s="2" t="s">
        <v>47987</v>
      </c>
      <c r="N4987" s="3" t="s">
        <v>524</v>
      </c>
      <c r="P4987" s="3" t="s">
        <v>64</v>
      </c>
      <c r="R4987" s="3" t="s">
        <v>46535</v>
      </c>
      <c r="S4987" s="4">
        <v>16</v>
      </c>
      <c r="T4987" s="4">
        <v>16</v>
      </c>
      <c r="U4987" s="5" t="s">
        <v>211</v>
      </c>
      <c r="V4987" s="5" t="s">
        <v>211</v>
      </c>
      <c r="W4987" s="5" t="s">
        <v>67</v>
      </c>
      <c r="X4987" s="5" t="s">
        <v>67</v>
      </c>
      <c r="Y4987" s="4">
        <v>194</v>
      </c>
      <c r="Z4987" s="4">
        <v>11</v>
      </c>
      <c r="AA4987" s="4">
        <v>38</v>
      </c>
      <c r="AB4987" s="4">
        <v>1</v>
      </c>
      <c r="AC4987" s="4">
        <v>8</v>
      </c>
      <c r="AD4987" s="4">
        <v>35</v>
      </c>
      <c r="AE4987" s="4">
        <v>91</v>
      </c>
      <c r="AF4987" s="4">
        <v>0</v>
      </c>
      <c r="AG4987" s="4">
        <v>5</v>
      </c>
      <c r="AH4987" s="4">
        <v>30</v>
      </c>
      <c r="AI4987" s="4">
        <v>72</v>
      </c>
      <c r="AJ4987" s="4">
        <v>4</v>
      </c>
      <c r="AK4987" s="4">
        <v>22</v>
      </c>
      <c r="AL4987" s="4">
        <v>15</v>
      </c>
      <c r="AM4987" s="4">
        <v>32</v>
      </c>
      <c r="AN4987" s="4">
        <v>5</v>
      </c>
      <c r="AO4987" s="4">
        <v>5</v>
      </c>
      <c r="AP4987" s="4">
        <v>8</v>
      </c>
      <c r="AQ4987" s="4">
        <v>31</v>
      </c>
      <c r="AR4987" s="3" t="s">
        <v>62</v>
      </c>
      <c r="AS4987" s="3" t="s">
        <v>62</v>
      </c>
      <c r="AT4987" s="3" t="s">
        <v>61</v>
      </c>
      <c r="AU4987" s="6" t="str">
        <f>HYPERLINK("http://catalog.hathitrust.org/Record/101962209","HathiTrust Record")</f>
        <v>HathiTrust Record</v>
      </c>
      <c r="AV4987" s="6" t="str">
        <f>HYPERLINK("http://mcgill.on.worldcat.org/oclc/31431382","Catalog Record")</f>
        <v>Catalog Record</v>
      </c>
      <c r="AW4987" s="6" t="str">
        <f>HYPERLINK("http://www.worldcat.org/oclc/31431382","WorldCat Record")</f>
        <v>WorldCat Record</v>
      </c>
      <c r="AX4987" s="3" t="s">
        <v>47988</v>
      </c>
      <c r="AY4987" s="3" t="s">
        <v>47989</v>
      </c>
      <c r="AZ4987" s="3" t="s">
        <v>47990</v>
      </c>
      <c r="BA4987" s="3" t="s">
        <v>47990</v>
      </c>
      <c r="BB4987" s="3" t="s">
        <v>47991</v>
      </c>
      <c r="BC4987" s="3" t="s">
        <v>102</v>
      </c>
      <c r="BD4987" s="3" t="s">
        <v>68</v>
      </c>
      <c r="BE4987" s="3" t="s">
        <v>47992</v>
      </c>
      <c r="BF4987" s="3" t="s">
        <v>47991</v>
      </c>
      <c r="BG4987" s="3" t="s">
        <v>47993</v>
      </c>
    </row>
    <row r="4988" spans="1:59" ht="58" x14ac:dyDescent="0.35">
      <c r="A4988" s="2" t="s">
        <v>59</v>
      </c>
      <c r="B4988" s="2" t="s">
        <v>60</v>
      </c>
      <c r="C4988" s="2" t="s">
        <v>47994</v>
      </c>
      <c r="D4988" s="2" t="s">
        <v>47995</v>
      </c>
      <c r="E4988" s="2" t="s">
        <v>47996</v>
      </c>
      <c r="G4988" s="3" t="s">
        <v>62</v>
      </c>
      <c r="I4988" s="3" t="s">
        <v>61</v>
      </c>
      <c r="J4988" s="3" t="s">
        <v>61</v>
      </c>
      <c r="K4988" s="3" t="s">
        <v>63</v>
      </c>
      <c r="L4988" s="2" t="s">
        <v>47997</v>
      </c>
      <c r="M4988" s="2" t="s">
        <v>47998</v>
      </c>
      <c r="N4988" s="3" t="s">
        <v>81</v>
      </c>
      <c r="P4988" s="3" t="s">
        <v>64</v>
      </c>
      <c r="Q4988" s="2" t="s">
        <v>47999</v>
      </c>
      <c r="R4988" s="3" t="s">
        <v>46535</v>
      </c>
      <c r="S4988" s="4">
        <v>0</v>
      </c>
      <c r="T4988" s="4">
        <v>5</v>
      </c>
      <c r="V4988" s="5" t="s">
        <v>16010</v>
      </c>
      <c r="W4988" s="5" t="s">
        <v>67</v>
      </c>
      <c r="X4988" s="5" t="s">
        <v>67</v>
      </c>
      <c r="Y4988" s="4">
        <v>646</v>
      </c>
      <c r="Z4988" s="4">
        <v>28</v>
      </c>
      <c r="AA4988" s="4">
        <v>61</v>
      </c>
      <c r="AB4988" s="4">
        <v>3</v>
      </c>
      <c r="AC4988" s="4">
        <v>6</v>
      </c>
      <c r="AD4988" s="4">
        <v>101</v>
      </c>
      <c r="AE4988" s="4">
        <v>149</v>
      </c>
      <c r="AF4988" s="4">
        <v>1</v>
      </c>
      <c r="AG4988" s="4">
        <v>4</v>
      </c>
      <c r="AH4988" s="4">
        <v>83</v>
      </c>
      <c r="AI4988" s="4">
        <v>113</v>
      </c>
      <c r="AJ4988" s="4">
        <v>12</v>
      </c>
      <c r="AK4988" s="4">
        <v>28</v>
      </c>
      <c r="AL4988" s="4">
        <v>52</v>
      </c>
      <c r="AM4988" s="4">
        <v>62</v>
      </c>
      <c r="AN4988" s="4">
        <v>0</v>
      </c>
      <c r="AO4988" s="4">
        <v>0</v>
      </c>
      <c r="AP4988" s="4">
        <v>19</v>
      </c>
      <c r="AQ4988" s="4">
        <v>40</v>
      </c>
      <c r="AR4988" s="3" t="s">
        <v>62</v>
      </c>
      <c r="AS4988" s="3" t="s">
        <v>62</v>
      </c>
      <c r="AT4988" s="3" t="s">
        <v>62</v>
      </c>
      <c r="AV4988" s="6" t="str">
        <f>HYPERLINK("http://mcgill.on.worldcat.org/oclc/3983","Catalog Record")</f>
        <v>Catalog Record</v>
      </c>
      <c r="AW4988" s="6" t="str">
        <f>HYPERLINK("http://www.worldcat.org/oclc/3983","WorldCat Record")</f>
        <v>WorldCat Record</v>
      </c>
      <c r="AX4988" s="3" t="s">
        <v>48000</v>
      </c>
      <c r="AY4988" s="3" t="s">
        <v>48001</v>
      </c>
      <c r="AZ4988" s="3" t="s">
        <v>48002</v>
      </c>
      <c r="BA4988" s="3" t="s">
        <v>48002</v>
      </c>
      <c r="BB4988" s="3" t="s">
        <v>48003</v>
      </c>
      <c r="BC4988" s="3" t="s">
        <v>102</v>
      </c>
      <c r="BD4988" s="3" t="s">
        <v>68</v>
      </c>
      <c r="BF4988" s="3" t="s">
        <v>48003</v>
      </c>
      <c r="BG4988" s="3" t="s">
        <v>48004</v>
      </c>
    </row>
    <row r="4989" spans="1:59" ht="58" x14ac:dyDescent="0.35">
      <c r="A4989" s="2" t="s">
        <v>89</v>
      </c>
      <c r="B4989" s="2" t="s">
        <v>90</v>
      </c>
      <c r="C4989" s="2" t="s">
        <v>48005</v>
      </c>
      <c r="D4989" s="2" t="s">
        <v>48006</v>
      </c>
      <c r="E4989" s="2" t="s">
        <v>48007</v>
      </c>
      <c r="G4989" s="3" t="s">
        <v>62</v>
      </c>
      <c r="I4989" s="3" t="s">
        <v>62</v>
      </c>
      <c r="J4989" s="3" t="s">
        <v>62</v>
      </c>
      <c r="K4989" s="3" t="s">
        <v>63</v>
      </c>
      <c r="L4989" s="2" t="s">
        <v>48008</v>
      </c>
      <c r="M4989" s="2" t="s">
        <v>48009</v>
      </c>
      <c r="N4989" s="3" t="s">
        <v>285</v>
      </c>
      <c r="P4989" s="3" t="s">
        <v>64</v>
      </c>
      <c r="R4989" s="3" t="s">
        <v>46535</v>
      </c>
      <c r="S4989" s="4">
        <v>6</v>
      </c>
      <c r="T4989" s="4">
        <v>6</v>
      </c>
      <c r="U4989" s="5" t="s">
        <v>74</v>
      </c>
      <c r="V4989" s="5" t="s">
        <v>74</v>
      </c>
      <c r="W4989" s="5" t="s">
        <v>67</v>
      </c>
      <c r="X4989" s="5" t="s">
        <v>67</v>
      </c>
      <c r="Y4989" s="4">
        <v>712</v>
      </c>
      <c r="Z4989" s="4">
        <v>36</v>
      </c>
      <c r="AA4989" s="4">
        <v>45</v>
      </c>
      <c r="AB4989" s="4">
        <v>4</v>
      </c>
      <c r="AC4989" s="4">
        <v>12</v>
      </c>
      <c r="AD4989" s="4">
        <v>120</v>
      </c>
      <c r="AE4989" s="4">
        <v>128</v>
      </c>
      <c r="AF4989" s="4">
        <v>1</v>
      </c>
      <c r="AG4989" s="4">
        <v>6</v>
      </c>
      <c r="AH4989" s="4">
        <v>102</v>
      </c>
      <c r="AI4989" s="4">
        <v>105</v>
      </c>
      <c r="AJ4989" s="4">
        <v>21</v>
      </c>
      <c r="AK4989" s="4">
        <v>25</v>
      </c>
      <c r="AL4989" s="4">
        <v>53</v>
      </c>
      <c r="AM4989" s="4">
        <v>55</v>
      </c>
      <c r="AN4989" s="4">
        <v>0</v>
      </c>
      <c r="AO4989" s="4">
        <v>0</v>
      </c>
      <c r="AP4989" s="4">
        <v>25</v>
      </c>
      <c r="AQ4989" s="4">
        <v>30</v>
      </c>
      <c r="AR4989" s="3" t="s">
        <v>62</v>
      </c>
      <c r="AS4989" s="3" t="s">
        <v>62</v>
      </c>
      <c r="AT4989" s="3" t="s">
        <v>62</v>
      </c>
      <c r="AV4989" s="6" t="str">
        <f>HYPERLINK("http://mcgill.on.worldcat.org/oclc/6887469","Catalog Record")</f>
        <v>Catalog Record</v>
      </c>
      <c r="AW4989" s="6" t="str">
        <f>HYPERLINK("http://www.worldcat.org/oclc/6887469","WorldCat Record")</f>
        <v>WorldCat Record</v>
      </c>
      <c r="AX4989" s="3" t="s">
        <v>48010</v>
      </c>
      <c r="AY4989" s="3" t="s">
        <v>48011</v>
      </c>
      <c r="AZ4989" s="3" t="s">
        <v>48012</v>
      </c>
      <c r="BA4989" s="3" t="s">
        <v>48012</v>
      </c>
      <c r="BB4989" s="3" t="s">
        <v>48013</v>
      </c>
      <c r="BC4989" s="3" t="s">
        <v>102</v>
      </c>
      <c r="BD4989" s="3" t="s">
        <v>68</v>
      </c>
      <c r="BE4989" s="3" t="s">
        <v>48014</v>
      </c>
      <c r="BF4989" s="3" t="s">
        <v>48013</v>
      </c>
      <c r="BG4989" s="3" t="s">
        <v>48015</v>
      </c>
    </row>
    <row r="4990" spans="1:59" ht="58" x14ac:dyDescent="0.35">
      <c r="A4990" s="2" t="s">
        <v>89</v>
      </c>
      <c r="B4990" s="2" t="s">
        <v>90</v>
      </c>
      <c r="C4990" s="2" t="s">
        <v>48016</v>
      </c>
      <c r="D4990" s="2" t="s">
        <v>48017</v>
      </c>
      <c r="E4990" s="2" t="s">
        <v>48018</v>
      </c>
      <c r="G4990" s="3" t="s">
        <v>62</v>
      </c>
      <c r="I4990" s="3" t="s">
        <v>61</v>
      </c>
      <c r="J4990" s="3" t="s">
        <v>61</v>
      </c>
      <c r="K4990" s="3" t="s">
        <v>63</v>
      </c>
      <c r="L4990" s="2" t="s">
        <v>48019</v>
      </c>
      <c r="M4990" s="2" t="s">
        <v>48020</v>
      </c>
      <c r="N4990" s="3" t="s">
        <v>115</v>
      </c>
      <c r="O4990" s="2" t="s">
        <v>2986</v>
      </c>
      <c r="P4990" s="3" t="s">
        <v>64</v>
      </c>
      <c r="R4990" s="3" t="s">
        <v>46535</v>
      </c>
      <c r="S4990" s="4">
        <v>22</v>
      </c>
      <c r="T4990" s="4">
        <v>118</v>
      </c>
      <c r="U4990" s="5" t="s">
        <v>48021</v>
      </c>
      <c r="V4990" s="5" t="s">
        <v>1183</v>
      </c>
      <c r="W4990" s="5" t="s">
        <v>67</v>
      </c>
      <c r="X4990" s="5" t="s">
        <v>67</v>
      </c>
      <c r="Y4990" s="4">
        <v>465</v>
      </c>
      <c r="Z4990" s="4">
        <v>22</v>
      </c>
      <c r="AA4990" s="4">
        <v>55</v>
      </c>
      <c r="AB4990" s="4">
        <v>1</v>
      </c>
      <c r="AC4990" s="4">
        <v>12</v>
      </c>
      <c r="AD4990" s="4">
        <v>97</v>
      </c>
      <c r="AE4990" s="4">
        <v>127</v>
      </c>
      <c r="AF4990" s="4">
        <v>0</v>
      </c>
      <c r="AG4990" s="4">
        <v>6</v>
      </c>
      <c r="AH4990" s="4">
        <v>89</v>
      </c>
      <c r="AI4990" s="4">
        <v>104</v>
      </c>
      <c r="AJ4990" s="4">
        <v>14</v>
      </c>
      <c r="AK4990" s="4">
        <v>24</v>
      </c>
      <c r="AL4990" s="4">
        <v>46</v>
      </c>
      <c r="AM4990" s="4">
        <v>52</v>
      </c>
      <c r="AN4990" s="4">
        <v>0</v>
      </c>
      <c r="AO4990" s="4">
        <v>0</v>
      </c>
      <c r="AP4990" s="4">
        <v>18</v>
      </c>
      <c r="AQ4990" s="4">
        <v>34</v>
      </c>
      <c r="AR4990" s="3" t="s">
        <v>62</v>
      </c>
      <c r="AS4990" s="3" t="s">
        <v>62</v>
      </c>
      <c r="AT4990" s="3" t="s">
        <v>61</v>
      </c>
      <c r="AU4990" s="6" t="str">
        <f>HYPERLINK("http://catalog.hathitrust.org/Record/001531027","HathiTrust Record")</f>
        <v>HathiTrust Record</v>
      </c>
      <c r="AV4990" s="6" t="str">
        <f>HYPERLINK("http://mcgill.on.worldcat.org/oclc/19391953","Catalog Record")</f>
        <v>Catalog Record</v>
      </c>
      <c r="AW4990" s="6" t="str">
        <f>HYPERLINK("http://www.worldcat.org/oclc/19391953","WorldCat Record")</f>
        <v>WorldCat Record</v>
      </c>
      <c r="AX4990" s="3" t="s">
        <v>48022</v>
      </c>
      <c r="AY4990" s="3" t="s">
        <v>48023</v>
      </c>
      <c r="AZ4990" s="3" t="s">
        <v>48024</v>
      </c>
      <c r="BA4990" s="3" t="s">
        <v>48024</v>
      </c>
      <c r="BB4990" s="3" t="s">
        <v>48025</v>
      </c>
      <c r="BC4990" s="3" t="s">
        <v>102</v>
      </c>
      <c r="BD4990" s="3" t="s">
        <v>68</v>
      </c>
      <c r="BE4990" s="3" t="s">
        <v>48026</v>
      </c>
      <c r="BF4990" s="3" t="s">
        <v>48025</v>
      </c>
      <c r="BG4990" s="3" t="s">
        <v>48027</v>
      </c>
    </row>
    <row r="4991" spans="1:59" ht="58" x14ac:dyDescent="0.35">
      <c r="A4991" s="2" t="s">
        <v>89</v>
      </c>
      <c r="B4991" s="2" t="s">
        <v>90</v>
      </c>
      <c r="C4991" s="2" t="s">
        <v>48028</v>
      </c>
      <c r="D4991" s="2" t="s">
        <v>48029</v>
      </c>
      <c r="E4991" s="2" t="s">
        <v>48030</v>
      </c>
      <c r="G4991" s="3" t="s">
        <v>62</v>
      </c>
      <c r="I4991" s="3" t="s">
        <v>62</v>
      </c>
      <c r="J4991" s="3" t="s">
        <v>62</v>
      </c>
      <c r="K4991" s="3" t="s">
        <v>63</v>
      </c>
      <c r="L4991" s="2" t="s">
        <v>48031</v>
      </c>
      <c r="M4991" s="2" t="s">
        <v>48032</v>
      </c>
      <c r="N4991" s="3" t="s">
        <v>539</v>
      </c>
      <c r="P4991" s="3" t="s">
        <v>64</v>
      </c>
      <c r="R4991" s="3" t="s">
        <v>46535</v>
      </c>
      <c r="S4991" s="4">
        <v>18</v>
      </c>
      <c r="T4991" s="4">
        <v>18</v>
      </c>
      <c r="U4991" s="5" t="s">
        <v>36908</v>
      </c>
      <c r="V4991" s="5" t="s">
        <v>36908</v>
      </c>
      <c r="W4991" s="5" t="s">
        <v>67</v>
      </c>
      <c r="X4991" s="5" t="s">
        <v>67</v>
      </c>
      <c r="Y4991" s="4">
        <v>651</v>
      </c>
      <c r="Z4991" s="4">
        <v>40</v>
      </c>
      <c r="AA4991" s="4">
        <v>47</v>
      </c>
      <c r="AB4991" s="4">
        <v>2</v>
      </c>
      <c r="AC4991" s="4">
        <v>7</v>
      </c>
      <c r="AD4991" s="4">
        <v>97</v>
      </c>
      <c r="AE4991" s="4">
        <v>102</v>
      </c>
      <c r="AF4991" s="4">
        <v>1</v>
      </c>
      <c r="AG4991" s="4">
        <v>5</v>
      </c>
      <c r="AH4991" s="4">
        <v>77</v>
      </c>
      <c r="AI4991" s="4">
        <v>78</v>
      </c>
      <c r="AJ4991" s="4">
        <v>20</v>
      </c>
      <c r="AK4991" s="4">
        <v>24</v>
      </c>
      <c r="AL4991" s="4">
        <v>34</v>
      </c>
      <c r="AM4991" s="4">
        <v>34</v>
      </c>
      <c r="AN4991" s="4">
        <v>0</v>
      </c>
      <c r="AO4991" s="4">
        <v>0</v>
      </c>
      <c r="AP4991" s="4">
        <v>31</v>
      </c>
      <c r="AQ4991" s="4">
        <v>35</v>
      </c>
      <c r="AR4991" s="3" t="s">
        <v>62</v>
      </c>
      <c r="AS4991" s="3" t="s">
        <v>62</v>
      </c>
      <c r="AT4991" s="3" t="s">
        <v>62</v>
      </c>
      <c r="AV4991" s="6" t="str">
        <f>HYPERLINK("http://mcgill.on.worldcat.org/oclc/37011311","Catalog Record")</f>
        <v>Catalog Record</v>
      </c>
      <c r="AW4991" s="6" t="str">
        <f>HYPERLINK("http://www.worldcat.org/oclc/37011311","WorldCat Record")</f>
        <v>WorldCat Record</v>
      </c>
      <c r="AX4991" s="3" t="s">
        <v>48033</v>
      </c>
      <c r="AY4991" s="3" t="s">
        <v>48034</v>
      </c>
      <c r="AZ4991" s="3" t="s">
        <v>48035</v>
      </c>
      <c r="BA4991" s="3" t="s">
        <v>48035</v>
      </c>
      <c r="BB4991" s="3" t="s">
        <v>48036</v>
      </c>
      <c r="BC4991" s="3" t="s">
        <v>102</v>
      </c>
      <c r="BD4991" s="3" t="s">
        <v>68</v>
      </c>
      <c r="BE4991" s="3" t="s">
        <v>48037</v>
      </c>
      <c r="BF4991" s="3" t="s">
        <v>48036</v>
      </c>
      <c r="BG4991" s="3" t="s">
        <v>48038</v>
      </c>
    </row>
    <row r="4992" spans="1:59" ht="58" x14ac:dyDescent="0.35">
      <c r="A4992" s="2" t="s">
        <v>89</v>
      </c>
      <c r="B4992" s="2" t="s">
        <v>6791</v>
      </c>
      <c r="C4992" s="2" t="s">
        <v>48039</v>
      </c>
      <c r="D4992" s="2" t="s">
        <v>48040</v>
      </c>
      <c r="E4992" s="2" t="s">
        <v>48041</v>
      </c>
      <c r="G4992" s="3" t="s">
        <v>62</v>
      </c>
      <c r="I4992" s="3" t="s">
        <v>62</v>
      </c>
      <c r="J4992" s="3" t="s">
        <v>61</v>
      </c>
      <c r="K4992" s="3" t="s">
        <v>63</v>
      </c>
      <c r="L4992" s="2" t="s">
        <v>48042</v>
      </c>
      <c r="M4992" s="2" t="s">
        <v>20775</v>
      </c>
      <c r="N4992" s="3" t="s">
        <v>1195</v>
      </c>
      <c r="O4992" s="2" t="s">
        <v>10722</v>
      </c>
      <c r="P4992" s="3" t="s">
        <v>64</v>
      </c>
      <c r="R4992" s="3" t="s">
        <v>46535</v>
      </c>
      <c r="S4992" s="4">
        <v>5</v>
      </c>
      <c r="T4992" s="4">
        <v>5</v>
      </c>
      <c r="U4992" s="5" t="s">
        <v>36908</v>
      </c>
      <c r="V4992" s="5" t="s">
        <v>36908</v>
      </c>
      <c r="W4992" s="5" t="s">
        <v>67</v>
      </c>
      <c r="X4992" s="5" t="s">
        <v>67</v>
      </c>
      <c r="Y4992" s="4">
        <v>266</v>
      </c>
      <c r="Z4992" s="4">
        <v>27</v>
      </c>
      <c r="AA4992" s="4">
        <v>53</v>
      </c>
      <c r="AB4992" s="4">
        <v>1</v>
      </c>
      <c r="AC4992" s="4">
        <v>14</v>
      </c>
      <c r="AD4992" s="4">
        <v>73</v>
      </c>
      <c r="AE4992" s="4">
        <v>127</v>
      </c>
      <c r="AF4992" s="4">
        <v>0</v>
      </c>
      <c r="AG4992" s="4">
        <v>7</v>
      </c>
      <c r="AH4992" s="4">
        <v>62</v>
      </c>
      <c r="AI4992" s="4">
        <v>104</v>
      </c>
      <c r="AJ4992" s="4">
        <v>18</v>
      </c>
      <c r="AK4992" s="4">
        <v>26</v>
      </c>
      <c r="AL4992" s="4">
        <v>32</v>
      </c>
      <c r="AM4992" s="4">
        <v>51</v>
      </c>
      <c r="AN4992" s="4">
        <v>0</v>
      </c>
      <c r="AO4992" s="4">
        <v>0</v>
      </c>
      <c r="AP4992" s="4">
        <v>21</v>
      </c>
      <c r="AQ4992" s="4">
        <v>33</v>
      </c>
      <c r="AR4992" s="3" t="s">
        <v>62</v>
      </c>
      <c r="AS4992" s="3" t="s">
        <v>62</v>
      </c>
      <c r="AT4992" s="3" t="s">
        <v>62</v>
      </c>
      <c r="AV4992" s="6" t="str">
        <f>HYPERLINK("http://mcgill.on.worldcat.org/oclc/62493369","Catalog Record")</f>
        <v>Catalog Record</v>
      </c>
      <c r="AW4992" s="6" t="str">
        <f>HYPERLINK("http://www.worldcat.org/oclc/62493369","WorldCat Record")</f>
        <v>WorldCat Record</v>
      </c>
      <c r="AX4992" s="3" t="s">
        <v>48043</v>
      </c>
      <c r="AY4992" s="3" t="s">
        <v>48044</v>
      </c>
      <c r="AZ4992" s="3" t="s">
        <v>48045</v>
      </c>
      <c r="BA4992" s="3" t="s">
        <v>48045</v>
      </c>
      <c r="BB4992" s="3" t="s">
        <v>48046</v>
      </c>
      <c r="BC4992" s="3" t="s">
        <v>102</v>
      </c>
      <c r="BD4992" s="3" t="s">
        <v>68</v>
      </c>
      <c r="BE4992" s="3" t="s">
        <v>48047</v>
      </c>
      <c r="BF4992" s="3" t="s">
        <v>48046</v>
      </c>
      <c r="BG4992" s="3" t="s">
        <v>48048</v>
      </c>
    </row>
    <row r="4993" spans="1:59" ht="58" x14ac:dyDescent="0.35">
      <c r="A4993" s="2" t="s">
        <v>89</v>
      </c>
      <c r="B4993" s="2" t="s">
        <v>90</v>
      </c>
      <c r="C4993" s="2" t="s">
        <v>48049</v>
      </c>
      <c r="D4993" s="2" t="s">
        <v>48050</v>
      </c>
      <c r="E4993" s="2" t="s">
        <v>48051</v>
      </c>
      <c r="G4993" s="3" t="s">
        <v>62</v>
      </c>
      <c r="I4993" s="3" t="s">
        <v>62</v>
      </c>
      <c r="J4993" s="3" t="s">
        <v>62</v>
      </c>
      <c r="K4993" s="3" t="s">
        <v>63</v>
      </c>
      <c r="L4993" s="2" t="s">
        <v>48052</v>
      </c>
      <c r="M4993" s="2" t="s">
        <v>48053</v>
      </c>
      <c r="N4993" s="3" t="s">
        <v>1455</v>
      </c>
      <c r="P4993" s="3" t="s">
        <v>64</v>
      </c>
      <c r="Q4993" s="2" t="s">
        <v>48054</v>
      </c>
      <c r="R4993" s="3" t="s">
        <v>46535</v>
      </c>
      <c r="S4993" s="4">
        <v>0</v>
      </c>
      <c r="T4993" s="4">
        <v>0</v>
      </c>
      <c r="W4993" s="5" t="s">
        <v>67</v>
      </c>
      <c r="X4993" s="5" t="s">
        <v>67</v>
      </c>
      <c r="Y4993" s="4">
        <v>64</v>
      </c>
      <c r="Z4993" s="4">
        <v>7</v>
      </c>
      <c r="AA4993" s="4">
        <v>8</v>
      </c>
      <c r="AB4993" s="4">
        <v>3</v>
      </c>
      <c r="AC4993" s="4">
        <v>4</v>
      </c>
      <c r="AD4993" s="4">
        <v>24</v>
      </c>
      <c r="AE4993" s="4">
        <v>25</v>
      </c>
      <c r="AF4993" s="4">
        <v>1</v>
      </c>
      <c r="AG4993" s="4">
        <v>2</v>
      </c>
      <c r="AH4993" s="4">
        <v>20</v>
      </c>
      <c r="AI4993" s="4">
        <v>20</v>
      </c>
      <c r="AJ4993" s="4">
        <v>4</v>
      </c>
      <c r="AK4993" s="4">
        <v>5</v>
      </c>
      <c r="AL4993" s="4">
        <v>13</v>
      </c>
      <c r="AM4993" s="4">
        <v>13</v>
      </c>
      <c r="AN4993" s="4">
        <v>0</v>
      </c>
      <c r="AO4993" s="4">
        <v>0</v>
      </c>
      <c r="AP4993" s="4">
        <v>5</v>
      </c>
      <c r="AQ4993" s="4">
        <v>6</v>
      </c>
      <c r="AR4993" s="3" t="s">
        <v>62</v>
      </c>
      <c r="AS4993" s="3" t="s">
        <v>62</v>
      </c>
      <c r="AT4993" s="3" t="s">
        <v>62</v>
      </c>
      <c r="AV4993" s="6" t="str">
        <f>HYPERLINK("http://mcgill.on.worldcat.org/oclc/908090946","Catalog Record")</f>
        <v>Catalog Record</v>
      </c>
      <c r="AW4993" s="6" t="str">
        <f>HYPERLINK("http://www.worldcat.org/oclc/908090946","WorldCat Record")</f>
        <v>WorldCat Record</v>
      </c>
      <c r="AX4993" s="3" t="s">
        <v>48055</v>
      </c>
      <c r="AY4993" s="3" t="s">
        <v>48056</v>
      </c>
      <c r="AZ4993" s="3" t="s">
        <v>48057</v>
      </c>
      <c r="BA4993" s="3" t="s">
        <v>48057</v>
      </c>
      <c r="BB4993" s="3" t="s">
        <v>48058</v>
      </c>
      <c r="BC4993" s="3" t="s">
        <v>102</v>
      </c>
      <c r="BD4993" s="3" t="s">
        <v>68</v>
      </c>
      <c r="BE4993" s="3" t="s">
        <v>48059</v>
      </c>
      <c r="BF4993" s="3" t="s">
        <v>48058</v>
      </c>
      <c r="BG4993" s="3" t="s">
        <v>48060</v>
      </c>
    </row>
    <row r="4994" spans="1:59" ht="58" x14ac:dyDescent="0.35">
      <c r="A4994" s="2" t="s">
        <v>89</v>
      </c>
      <c r="B4994" s="2" t="s">
        <v>90</v>
      </c>
      <c r="C4994" s="2" t="s">
        <v>48061</v>
      </c>
      <c r="D4994" s="2" t="s">
        <v>48062</v>
      </c>
      <c r="E4994" s="2" t="s">
        <v>48063</v>
      </c>
      <c r="G4994" s="3" t="s">
        <v>62</v>
      </c>
      <c r="I4994" s="3" t="s">
        <v>62</v>
      </c>
      <c r="J4994" s="3" t="s">
        <v>62</v>
      </c>
      <c r="K4994" s="3" t="s">
        <v>63</v>
      </c>
      <c r="M4994" s="2" t="s">
        <v>48064</v>
      </c>
      <c r="N4994" s="3" t="s">
        <v>1077</v>
      </c>
      <c r="P4994" s="3" t="s">
        <v>64</v>
      </c>
      <c r="R4994" s="3" t="s">
        <v>46535</v>
      </c>
      <c r="S4994" s="4">
        <v>3</v>
      </c>
      <c r="T4994" s="4">
        <v>3</v>
      </c>
      <c r="U4994" s="5" t="s">
        <v>5356</v>
      </c>
      <c r="V4994" s="5" t="s">
        <v>5356</v>
      </c>
      <c r="W4994" s="5" t="s">
        <v>67</v>
      </c>
      <c r="X4994" s="5" t="s">
        <v>67</v>
      </c>
      <c r="Y4994" s="4">
        <v>352</v>
      </c>
      <c r="Z4994" s="4">
        <v>27</v>
      </c>
      <c r="AA4994" s="4">
        <v>34</v>
      </c>
      <c r="AB4994" s="4">
        <v>2</v>
      </c>
      <c r="AC4994" s="4">
        <v>8</v>
      </c>
      <c r="AD4994" s="4">
        <v>86</v>
      </c>
      <c r="AE4994" s="4">
        <v>91</v>
      </c>
      <c r="AF4994" s="4">
        <v>1</v>
      </c>
      <c r="AG4994" s="4">
        <v>5</v>
      </c>
      <c r="AH4994" s="4">
        <v>70</v>
      </c>
      <c r="AI4994" s="4">
        <v>72</v>
      </c>
      <c r="AJ4994" s="4">
        <v>17</v>
      </c>
      <c r="AK4994" s="4">
        <v>22</v>
      </c>
      <c r="AL4994" s="4">
        <v>32</v>
      </c>
      <c r="AM4994" s="4">
        <v>32</v>
      </c>
      <c r="AN4994" s="4">
        <v>0</v>
      </c>
      <c r="AO4994" s="4">
        <v>0</v>
      </c>
      <c r="AP4994" s="4">
        <v>24</v>
      </c>
      <c r="AQ4994" s="4">
        <v>28</v>
      </c>
      <c r="AR4994" s="3" t="s">
        <v>62</v>
      </c>
      <c r="AS4994" s="3" t="s">
        <v>62</v>
      </c>
      <c r="AT4994" s="3" t="s">
        <v>61</v>
      </c>
      <c r="AU4994" s="6" t="str">
        <f>HYPERLINK("http://catalog.hathitrust.org/Record/002591764","HathiTrust Record")</f>
        <v>HathiTrust Record</v>
      </c>
      <c r="AV4994" s="6" t="str">
        <f>HYPERLINK("http://mcgill.on.worldcat.org/oclc/26129539","Catalog Record")</f>
        <v>Catalog Record</v>
      </c>
      <c r="AW4994" s="6" t="str">
        <f>HYPERLINK("http://www.worldcat.org/oclc/26129539","WorldCat Record")</f>
        <v>WorldCat Record</v>
      </c>
      <c r="AX4994" s="3" t="s">
        <v>48065</v>
      </c>
      <c r="AY4994" s="3" t="s">
        <v>48066</v>
      </c>
      <c r="AZ4994" s="3" t="s">
        <v>48067</v>
      </c>
      <c r="BA4994" s="3" t="s">
        <v>48067</v>
      </c>
      <c r="BB4994" s="3" t="s">
        <v>48068</v>
      </c>
      <c r="BC4994" s="3" t="s">
        <v>102</v>
      </c>
      <c r="BD4994" s="3" t="s">
        <v>68</v>
      </c>
      <c r="BE4994" s="3" t="s">
        <v>48069</v>
      </c>
      <c r="BF4994" s="3" t="s">
        <v>48068</v>
      </c>
      <c r="BG4994" s="3" t="s">
        <v>48070</v>
      </c>
    </row>
    <row r="4995" spans="1:59" ht="58" x14ac:dyDescent="0.35">
      <c r="A4995" s="2" t="s">
        <v>89</v>
      </c>
      <c r="B4995" s="2" t="s">
        <v>90</v>
      </c>
      <c r="C4995" s="2" t="s">
        <v>48071</v>
      </c>
      <c r="D4995" s="2" t="s">
        <v>48072</v>
      </c>
      <c r="E4995" s="2" t="s">
        <v>48073</v>
      </c>
      <c r="G4995" s="3" t="s">
        <v>62</v>
      </c>
      <c r="I4995" s="3" t="s">
        <v>61</v>
      </c>
      <c r="J4995" s="3" t="s">
        <v>62</v>
      </c>
      <c r="K4995" s="3" t="s">
        <v>63</v>
      </c>
      <c r="L4995" s="2" t="s">
        <v>48074</v>
      </c>
      <c r="M4995" s="2" t="s">
        <v>48075</v>
      </c>
      <c r="N4995" s="3" t="s">
        <v>157</v>
      </c>
      <c r="P4995" s="3" t="s">
        <v>64</v>
      </c>
      <c r="Q4995" s="2" t="s">
        <v>48076</v>
      </c>
      <c r="R4995" s="3" t="s">
        <v>46535</v>
      </c>
      <c r="S4995" s="4">
        <v>4</v>
      </c>
      <c r="T4995" s="4">
        <v>19</v>
      </c>
      <c r="U4995" s="5" t="s">
        <v>9347</v>
      </c>
      <c r="V4995" s="5" t="s">
        <v>9347</v>
      </c>
      <c r="W4995" s="5" t="s">
        <v>67</v>
      </c>
      <c r="X4995" s="5" t="s">
        <v>67</v>
      </c>
      <c r="Y4995" s="4">
        <v>21</v>
      </c>
      <c r="Z4995" s="4">
        <v>9</v>
      </c>
      <c r="AA4995" s="4">
        <v>40</v>
      </c>
      <c r="AB4995" s="4">
        <v>3</v>
      </c>
      <c r="AC4995" s="4">
        <v>7</v>
      </c>
      <c r="AD4995" s="4">
        <v>9</v>
      </c>
      <c r="AE4995" s="4">
        <v>107</v>
      </c>
      <c r="AF4995" s="4">
        <v>1</v>
      </c>
      <c r="AG4995" s="4">
        <v>4</v>
      </c>
      <c r="AH4995" s="4">
        <v>7</v>
      </c>
      <c r="AI4995" s="4">
        <v>83</v>
      </c>
      <c r="AJ4995" s="4">
        <v>6</v>
      </c>
      <c r="AK4995" s="4">
        <v>26</v>
      </c>
      <c r="AL4995" s="4">
        <v>0</v>
      </c>
      <c r="AM4995" s="4">
        <v>40</v>
      </c>
      <c r="AN4995" s="4">
        <v>0</v>
      </c>
      <c r="AO4995" s="4">
        <v>0</v>
      </c>
      <c r="AP4995" s="4">
        <v>7</v>
      </c>
      <c r="AQ4995" s="4">
        <v>34</v>
      </c>
      <c r="AR4995" s="3" t="s">
        <v>62</v>
      </c>
      <c r="AS4995" s="3" t="s">
        <v>62</v>
      </c>
      <c r="AT4995" s="3" t="s">
        <v>61</v>
      </c>
      <c r="AU4995" s="6" t="str">
        <f>HYPERLINK("http://catalog.hathitrust.org/Record/000019329","HathiTrust Record")</f>
        <v>HathiTrust Record</v>
      </c>
      <c r="AV4995" s="6" t="str">
        <f>HYPERLINK("http://mcgill.on.worldcat.org/oclc/364803466","Catalog Record")</f>
        <v>Catalog Record</v>
      </c>
      <c r="AW4995" s="6" t="str">
        <f>HYPERLINK("http://www.worldcat.org/oclc/364803466","WorldCat Record")</f>
        <v>WorldCat Record</v>
      </c>
      <c r="AX4995" s="3" t="s">
        <v>48077</v>
      </c>
      <c r="AY4995" s="3" t="s">
        <v>48078</v>
      </c>
      <c r="AZ4995" s="3" t="s">
        <v>48079</v>
      </c>
      <c r="BA4995" s="3" t="s">
        <v>48079</v>
      </c>
      <c r="BB4995" s="3" t="s">
        <v>48080</v>
      </c>
      <c r="BC4995" s="3" t="s">
        <v>102</v>
      </c>
      <c r="BD4995" s="3" t="s">
        <v>68</v>
      </c>
      <c r="BE4995" s="3" t="s">
        <v>48081</v>
      </c>
      <c r="BF4995" s="3" t="s">
        <v>48080</v>
      </c>
      <c r="BG4995" s="3" t="s">
        <v>48082</v>
      </c>
    </row>
    <row r="4996" spans="1:59" ht="58" x14ac:dyDescent="0.35">
      <c r="A4996" s="2" t="s">
        <v>89</v>
      </c>
      <c r="B4996" s="2" t="s">
        <v>6791</v>
      </c>
      <c r="C4996" s="2" t="s">
        <v>48083</v>
      </c>
      <c r="D4996" s="2" t="s">
        <v>48084</v>
      </c>
      <c r="E4996" s="2" t="s">
        <v>48085</v>
      </c>
      <c r="G4996" s="3" t="s">
        <v>62</v>
      </c>
      <c r="I4996" s="3" t="s">
        <v>62</v>
      </c>
      <c r="J4996" s="3" t="s">
        <v>61</v>
      </c>
      <c r="K4996" s="3" t="s">
        <v>63</v>
      </c>
      <c r="L4996" s="2" t="s">
        <v>48086</v>
      </c>
      <c r="M4996" s="2" t="s">
        <v>48087</v>
      </c>
      <c r="N4996" s="3" t="s">
        <v>553</v>
      </c>
      <c r="O4996" s="2" t="s">
        <v>2458</v>
      </c>
      <c r="P4996" s="3" t="s">
        <v>64</v>
      </c>
      <c r="R4996" s="3" t="s">
        <v>46535</v>
      </c>
      <c r="S4996" s="4">
        <v>23</v>
      </c>
      <c r="T4996" s="4">
        <v>23</v>
      </c>
      <c r="U4996" s="5" t="s">
        <v>3763</v>
      </c>
      <c r="V4996" s="5" t="s">
        <v>3763</v>
      </c>
      <c r="W4996" s="5" t="s">
        <v>67</v>
      </c>
      <c r="X4996" s="5" t="s">
        <v>67</v>
      </c>
      <c r="Y4996" s="4">
        <v>209</v>
      </c>
      <c r="Z4996" s="4">
        <v>7</v>
      </c>
      <c r="AA4996" s="4">
        <v>58</v>
      </c>
      <c r="AB4996" s="4">
        <v>1</v>
      </c>
      <c r="AC4996" s="4">
        <v>12</v>
      </c>
      <c r="AD4996" s="4">
        <v>28</v>
      </c>
      <c r="AE4996" s="4">
        <v>106</v>
      </c>
      <c r="AF4996" s="4">
        <v>0</v>
      </c>
      <c r="AG4996" s="4">
        <v>6</v>
      </c>
      <c r="AH4996" s="4">
        <v>27</v>
      </c>
      <c r="AI4996" s="4">
        <v>81</v>
      </c>
      <c r="AJ4996" s="4">
        <v>3</v>
      </c>
      <c r="AK4996" s="4">
        <v>21</v>
      </c>
      <c r="AL4996" s="4">
        <v>17</v>
      </c>
      <c r="AM4996" s="4">
        <v>44</v>
      </c>
      <c r="AN4996" s="4">
        <v>0</v>
      </c>
      <c r="AO4996" s="4">
        <v>0</v>
      </c>
      <c r="AP4996" s="4">
        <v>4</v>
      </c>
      <c r="AQ4996" s="4">
        <v>34</v>
      </c>
      <c r="AR4996" s="3" t="s">
        <v>62</v>
      </c>
      <c r="AS4996" s="3" t="s">
        <v>62</v>
      </c>
      <c r="AT4996" s="3" t="s">
        <v>61</v>
      </c>
      <c r="AU4996" s="6" t="str">
        <f>HYPERLINK("http://catalog.hathitrust.org/Record/004018304","HathiTrust Record")</f>
        <v>HathiTrust Record</v>
      </c>
      <c r="AV4996" s="6" t="str">
        <f>HYPERLINK("http://mcgill.on.worldcat.org/oclc/39478075","Catalog Record")</f>
        <v>Catalog Record</v>
      </c>
      <c r="AW4996" s="6" t="str">
        <f>HYPERLINK("http://www.worldcat.org/oclc/39478075","WorldCat Record")</f>
        <v>WorldCat Record</v>
      </c>
      <c r="AX4996" s="3" t="s">
        <v>48088</v>
      </c>
      <c r="AY4996" s="3" t="s">
        <v>48089</v>
      </c>
      <c r="AZ4996" s="3" t="s">
        <v>48090</v>
      </c>
      <c r="BA4996" s="3" t="s">
        <v>48090</v>
      </c>
      <c r="BB4996" s="3" t="s">
        <v>48091</v>
      </c>
      <c r="BC4996" s="3" t="s">
        <v>102</v>
      </c>
      <c r="BD4996" s="3" t="s">
        <v>68</v>
      </c>
      <c r="BE4996" s="3" t="s">
        <v>48092</v>
      </c>
      <c r="BF4996" s="3" t="s">
        <v>48091</v>
      </c>
      <c r="BG4996" s="3" t="s">
        <v>48093</v>
      </c>
    </row>
    <row r="4997" spans="1:59" ht="58" x14ac:dyDescent="0.35">
      <c r="A4997" s="2" t="s">
        <v>89</v>
      </c>
      <c r="B4997" s="2" t="s">
        <v>90</v>
      </c>
      <c r="C4997" s="2" t="s">
        <v>48094</v>
      </c>
      <c r="D4997" s="2" t="s">
        <v>48095</v>
      </c>
      <c r="E4997" s="2" t="s">
        <v>48096</v>
      </c>
      <c r="G4997" s="3" t="s">
        <v>62</v>
      </c>
      <c r="I4997" s="3" t="s">
        <v>62</v>
      </c>
      <c r="J4997" s="3" t="s">
        <v>62</v>
      </c>
      <c r="K4997" s="3" t="s">
        <v>63</v>
      </c>
      <c r="M4997" s="2" t="s">
        <v>48097</v>
      </c>
      <c r="N4997" s="3" t="s">
        <v>355</v>
      </c>
      <c r="P4997" s="3" t="s">
        <v>64</v>
      </c>
      <c r="Q4997" s="2" t="s">
        <v>48098</v>
      </c>
      <c r="R4997" s="3" t="s">
        <v>46535</v>
      </c>
      <c r="S4997" s="4">
        <v>19</v>
      </c>
      <c r="T4997" s="4">
        <v>19</v>
      </c>
      <c r="U4997" s="5" t="s">
        <v>48099</v>
      </c>
      <c r="V4997" s="5" t="s">
        <v>48099</v>
      </c>
      <c r="W4997" s="5" t="s">
        <v>67</v>
      </c>
      <c r="X4997" s="5" t="s">
        <v>67</v>
      </c>
      <c r="Y4997" s="4">
        <v>237</v>
      </c>
      <c r="Z4997" s="4">
        <v>21</v>
      </c>
      <c r="AA4997" s="4">
        <v>27</v>
      </c>
      <c r="AB4997" s="4">
        <v>3</v>
      </c>
      <c r="AC4997" s="4">
        <v>6</v>
      </c>
      <c r="AD4997" s="4">
        <v>89</v>
      </c>
      <c r="AE4997" s="4">
        <v>95</v>
      </c>
      <c r="AF4997" s="4">
        <v>1</v>
      </c>
      <c r="AG4997" s="4">
        <v>2</v>
      </c>
      <c r="AH4997" s="4">
        <v>80</v>
      </c>
      <c r="AI4997" s="4">
        <v>84</v>
      </c>
      <c r="AJ4997" s="4">
        <v>15</v>
      </c>
      <c r="AK4997" s="4">
        <v>17</v>
      </c>
      <c r="AL4997" s="4">
        <v>43</v>
      </c>
      <c r="AM4997" s="4">
        <v>44</v>
      </c>
      <c r="AN4997" s="4">
        <v>0</v>
      </c>
      <c r="AO4997" s="4">
        <v>0</v>
      </c>
      <c r="AP4997" s="4">
        <v>18</v>
      </c>
      <c r="AQ4997" s="4">
        <v>21</v>
      </c>
      <c r="AR4997" s="3" t="s">
        <v>62</v>
      </c>
      <c r="AS4997" s="3" t="s">
        <v>62</v>
      </c>
      <c r="AT4997" s="3" t="s">
        <v>61</v>
      </c>
      <c r="AU4997" s="6" t="str">
        <f>HYPERLINK("http://catalog.hathitrust.org/Record/000604492","HathiTrust Record")</f>
        <v>HathiTrust Record</v>
      </c>
      <c r="AV4997" s="6" t="str">
        <f>HYPERLINK("http://mcgill.on.worldcat.org/oclc/10022670","Catalog Record")</f>
        <v>Catalog Record</v>
      </c>
      <c r="AW4997" s="6" t="str">
        <f>HYPERLINK("http://www.worldcat.org/oclc/10022670","WorldCat Record")</f>
        <v>WorldCat Record</v>
      </c>
      <c r="AX4997" s="3" t="s">
        <v>48100</v>
      </c>
      <c r="AY4997" s="3" t="s">
        <v>48101</v>
      </c>
      <c r="AZ4997" s="3" t="s">
        <v>48102</v>
      </c>
      <c r="BA4997" s="3" t="s">
        <v>48102</v>
      </c>
      <c r="BB4997" s="3" t="s">
        <v>48103</v>
      </c>
      <c r="BC4997" s="3" t="s">
        <v>102</v>
      </c>
      <c r="BD4997" s="3" t="s">
        <v>231</v>
      </c>
      <c r="BE4997" s="3" t="s">
        <v>48104</v>
      </c>
      <c r="BF4997" s="3" t="s">
        <v>48103</v>
      </c>
      <c r="BG4997" s="3" t="s">
        <v>48105</v>
      </c>
    </row>
    <row r="4998" spans="1:59" ht="58" x14ac:dyDescent="0.35">
      <c r="A4998" s="2" t="s">
        <v>89</v>
      </c>
      <c r="B4998" s="2" t="s">
        <v>90</v>
      </c>
      <c r="C4998" s="2" t="s">
        <v>48106</v>
      </c>
      <c r="D4998" s="2" t="s">
        <v>48107</v>
      </c>
      <c r="E4998" s="2" t="s">
        <v>48108</v>
      </c>
      <c r="G4998" s="3" t="s">
        <v>62</v>
      </c>
      <c r="I4998" s="3" t="s">
        <v>62</v>
      </c>
      <c r="J4998" s="3" t="s">
        <v>62</v>
      </c>
      <c r="K4998" s="3" t="s">
        <v>63</v>
      </c>
      <c r="L4998" s="2" t="s">
        <v>48109</v>
      </c>
      <c r="M4998" s="2" t="s">
        <v>48110</v>
      </c>
      <c r="N4998" s="3" t="s">
        <v>1722</v>
      </c>
      <c r="P4998" s="3" t="s">
        <v>64</v>
      </c>
      <c r="R4998" s="3" t="s">
        <v>46535</v>
      </c>
      <c r="S4998" s="4">
        <v>2</v>
      </c>
      <c r="T4998" s="4">
        <v>2</v>
      </c>
      <c r="U4998" s="5" t="s">
        <v>7181</v>
      </c>
      <c r="V4998" s="5" t="s">
        <v>7181</v>
      </c>
      <c r="W4998" s="5" t="s">
        <v>67</v>
      </c>
      <c r="X4998" s="5" t="s">
        <v>67</v>
      </c>
      <c r="Y4998" s="4">
        <v>27</v>
      </c>
      <c r="Z4998" s="4">
        <v>10</v>
      </c>
      <c r="AA4998" s="4">
        <v>14</v>
      </c>
      <c r="AB4998" s="4">
        <v>2</v>
      </c>
      <c r="AC4998" s="4">
        <v>2</v>
      </c>
      <c r="AD4998" s="4">
        <v>9</v>
      </c>
      <c r="AE4998" s="4">
        <v>12</v>
      </c>
      <c r="AF4998" s="4">
        <v>1</v>
      </c>
      <c r="AG4998" s="4">
        <v>1</v>
      </c>
      <c r="AH4998" s="4">
        <v>6</v>
      </c>
      <c r="AI4998" s="4">
        <v>6</v>
      </c>
      <c r="AJ4998" s="4">
        <v>6</v>
      </c>
      <c r="AK4998" s="4">
        <v>8</v>
      </c>
      <c r="AL4998" s="4">
        <v>1</v>
      </c>
      <c r="AM4998" s="4">
        <v>1</v>
      </c>
      <c r="AN4998" s="4">
        <v>0</v>
      </c>
      <c r="AO4998" s="4">
        <v>0</v>
      </c>
      <c r="AP4998" s="4">
        <v>6</v>
      </c>
      <c r="AQ4998" s="4">
        <v>9</v>
      </c>
      <c r="AR4998" s="3" t="s">
        <v>61</v>
      </c>
      <c r="AS4998" s="3" t="s">
        <v>62</v>
      </c>
      <c r="AT4998" s="3" t="s">
        <v>62</v>
      </c>
      <c r="AV4998" s="6" t="str">
        <f>HYPERLINK("http://mcgill.on.worldcat.org/oclc/232711818","Catalog Record")</f>
        <v>Catalog Record</v>
      </c>
      <c r="AW4998" s="6" t="str">
        <f>HYPERLINK("http://www.worldcat.org/oclc/232711818","WorldCat Record")</f>
        <v>WorldCat Record</v>
      </c>
      <c r="AX4998" s="3" t="s">
        <v>48111</v>
      </c>
      <c r="AY4998" s="3" t="s">
        <v>48112</v>
      </c>
      <c r="AZ4998" s="3" t="s">
        <v>48113</v>
      </c>
      <c r="BA4998" s="3" t="s">
        <v>48113</v>
      </c>
      <c r="BB4998" s="3" t="s">
        <v>48114</v>
      </c>
      <c r="BC4998" s="3" t="s">
        <v>102</v>
      </c>
      <c r="BD4998" s="3" t="s">
        <v>68</v>
      </c>
      <c r="BE4998" s="3" t="s">
        <v>48115</v>
      </c>
      <c r="BF4998" s="3" t="s">
        <v>48114</v>
      </c>
      <c r="BG4998" s="3" t="s">
        <v>48116</v>
      </c>
    </row>
    <row r="4999" spans="1:59" ht="58" x14ac:dyDescent="0.35">
      <c r="A4999" s="2" t="s">
        <v>89</v>
      </c>
      <c r="B4999" s="2" t="s">
        <v>90</v>
      </c>
      <c r="C4999" s="2" t="s">
        <v>48117</v>
      </c>
      <c r="D4999" s="2" t="s">
        <v>48118</v>
      </c>
      <c r="E4999" s="2" t="s">
        <v>48119</v>
      </c>
      <c r="G4999" s="3" t="s">
        <v>62</v>
      </c>
      <c r="I4999" s="3" t="s">
        <v>62</v>
      </c>
      <c r="J4999" s="3" t="s">
        <v>62</v>
      </c>
      <c r="K4999" s="3" t="s">
        <v>63</v>
      </c>
      <c r="L4999" s="2" t="s">
        <v>48109</v>
      </c>
      <c r="M4999" s="2" t="s">
        <v>48120</v>
      </c>
      <c r="N4999" s="3" t="s">
        <v>880</v>
      </c>
      <c r="P4999" s="3" t="s">
        <v>64</v>
      </c>
      <c r="R4999" s="3" t="s">
        <v>46535</v>
      </c>
      <c r="S4999" s="4">
        <v>2</v>
      </c>
      <c r="T4999" s="4">
        <v>2</v>
      </c>
      <c r="U4999" s="5" t="s">
        <v>7181</v>
      </c>
      <c r="V4999" s="5" t="s">
        <v>7181</v>
      </c>
      <c r="W4999" s="5" t="s">
        <v>67</v>
      </c>
      <c r="X4999" s="5" t="s">
        <v>67</v>
      </c>
      <c r="Y4999" s="4">
        <v>17</v>
      </c>
      <c r="Z4999" s="4">
        <v>5</v>
      </c>
      <c r="AA4999" s="4">
        <v>6</v>
      </c>
      <c r="AB4999" s="4">
        <v>2</v>
      </c>
      <c r="AC4999" s="4">
        <v>2</v>
      </c>
      <c r="AD4999" s="4">
        <v>3</v>
      </c>
      <c r="AE4999" s="4">
        <v>4</v>
      </c>
      <c r="AF4999" s="4">
        <v>0</v>
      </c>
      <c r="AG4999" s="4">
        <v>0</v>
      </c>
      <c r="AH4999" s="4">
        <v>1</v>
      </c>
      <c r="AI4999" s="4">
        <v>1</v>
      </c>
      <c r="AJ4999" s="4">
        <v>1</v>
      </c>
      <c r="AK4999" s="4">
        <v>1</v>
      </c>
      <c r="AL4999" s="4">
        <v>1</v>
      </c>
      <c r="AM4999" s="4">
        <v>1</v>
      </c>
      <c r="AN4999" s="4">
        <v>0</v>
      </c>
      <c r="AO4999" s="4">
        <v>0</v>
      </c>
      <c r="AP4999" s="4">
        <v>1</v>
      </c>
      <c r="AQ4999" s="4">
        <v>2</v>
      </c>
      <c r="AR4999" s="3" t="s">
        <v>61</v>
      </c>
      <c r="AS4999" s="3" t="s">
        <v>62</v>
      </c>
      <c r="AT4999" s="3" t="s">
        <v>62</v>
      </c>
      <c r="AV4999" s="6" t="str">
        <f>HYPERLINK("http://mcgill.on.worldcat.org/oclc/421753576","Catalog Record")</f>
        <v>Catalog Record</v>
      </c>
      <c r="AW4999" s="6" t="str">
        <f>HYPERLINK("http://www.worldcat.org/oclc/421753576","WorldCat Record")</f>
        <v>WorldCat Record</v>
      </c>
      <c r="AX4999" s="3" t="s">
        <v>48121</v>
      </c>
      <c r="AY4999" s="3" t="s">
        <v>48122</v>
      </c>
      <c r="AZ4999" s="3" t="s">
        <v>48123</v>
      </c>
      <c r="BA4999" s="3" t="s">
        <v>48123</v>
      </c>
      <c r="BB4999" s="3" t="s">
        <v>48124</v>
      </c>
      <c r="BC4999" s="3" t="s">
        <v>102</v>
      </c>
      <c r="BD4999" s="3" t="s">
        <v>68</v>
      </c>
      <c r="BE4999" s="3" t="s">
        <v>48125</v>
      </c>
      <c r="BF4999" s="3" t="s">
        <v>48124</v>
      </c>
      <c r="BG4999" s="3" t="s">
        <v>48126</v>
      </c>
    </row>
    <row r="5000" spans="1:59" ht="58" x14ac:dyDescent="0.35">
      <c r="A5000" s="2" t="s">
        <v>89</v>
      </c>
      <c r="B5000" s="2" t="s">
        <v>90</v>
      </c>
      <c r="C5000" s="2" t="s">
        <v>48127</v>
      </c>
      <c r="D5000" s="2" t="s">
        <v>48128</v>
      </c>
      <c r="E5000" s="2" t="s">
        <v>48129</v>
      </c>
      <c r="F5000" s="3" t="s">
        <v>17015</v>
      </c>
      <c r="G5000" s="3" t="s">
        <v>62</v>
      </c>
      <c r="I5000" s="3" t="s">
        <v>62</v>
      </c>
      <c r="J5000" s="3" t="s">
        <v>61</v>
      </c>
      <c r="K5000" s="3" t="s">
        <v>63</v>
      </c>
      <c r="L5000" s="2" t="s">
        <v>48130</v>
      </c>
      <c r="M5000" s="2" t="s">
        <v>47844</v>
      </c>
      <c r="N5000" s="3" t="s">
        <v>596</v>
      </c>
      <c r="O5000" s="2" t="s">
        <v>2986</v>
      </c>
      <c r="P5000" s="3" t="s">
        <v>64</v>
      </c>
      <c r="R5000" s="3" t="s">
        <v>46535</v>
      </c>
      <c r="S5000" s="4">
        <v>6</v>
      </c>
      <c r="T5000" s="4">
        <v>6</v>
      </c>
      <c r="U5000" s="5" t="s">
        <v>36908</v>
      </c>
      <c r="V5000" s="5" t="s">
        <v>36908</v>
      </c>
      <c r="W5000" s="5" t="s">
        <v>67</v>
      </c>
      <c r="X5000" s="5" t="s">
        <v>67</v>
      </c>
      <c r="Y5000" s="4">
        <v>393</v>
      </c>
      <c r="Z5000" s="4">
        <v>24</v>
      </c>
      <c r="AA5000" s="4">
        <v>49</v>
      </c>
      <c r="AB5000" s="4">
        <v>1</v>
      </c>
      <c r="AC5000" s="4">
        <v>6</v>
      </c>
      <c r="AD5000" s="4">
        <v>64</v>
      </c>
      <c r="AE5000" s="4">
        <v>112</v>
      </c>
      <c r="AF5000" s="4">
        <v>0</v>
      </c>
      <c r="AG5000" s="4">
        <v>4</v>
      </c>
      <c r="AH5000" s="4">
        <v>54</v>
      </c>
      <c r="AI5000" s="4">
        <v>87</v>
      </c>
      <c r="AJ5000" s="4">
        <v>11</v>
      </c>
      <c r="AK5000" s="4">
        <v>20</v>
      </c>
      <c r="AL5000" s="4">
        <v>26</v>
      </c>
      <c r="AM5000" s="4">
        <v>41</v>
      </c>
      <c r="AN5000" s="4">
        <v>0</v>
      </c>
      <c r="AO5000" s="4">
        <v>0</v>
      </c>
      <c r="AP5000" s="4">
        <v>18</v>
      </c>
      <c r="AQ5000" s="4">
        <v>36</v>
      </c>
      <c r="AR5000" s="3" t="s">
        <v>62</v>
      </c>
      <c r="AS5000" s="3" t="s">
        <v>62</v>
      </c>
      <c r="AT5000" s="3" t="s">
        <v>61</v>
      </c>
      <c r="AU5000" s="6" t="str">
        <f>HYPERLINK("http://catalog.hathitrust.org/Record/004278569","HathiTrust Record")</f>
        <v>HathiTrust Record</v>
      </c>
      <c r="AV5000" s="6" t="str">
        <f>HYPERLINK("http://mcgill.on.worldcat.org/oclc/48435439","Catalog Record")</f>
        <v>Catalog Record</v>
      </c>
      <c r="AW5000" s="6" t="str">
        <f>HYPERLINK("http://www.worldcat.org/oclc/48435439","WorldCat Record")</f>
        <v>WorldCat Record</v>
      </c>
      <c r="AX5000" s="3" t="s">
        <v>48131</v>
      </c>
      <c r="AY5000" s="3" t="s">
        <v>48132</v>
      </c>
      <c r="AZ5000" s="3" t="s">
        <v>48133</v>
      </c>
      <c r="BA5000" s="3" t="s">
        <v>48133</v>
      </c>
      <c r="BB5000" s="3" t="s">
        <v>48134</v>
      </c>
      <c r="BC5000" s="3" t="s">
        <v>102</v>
      </c>
      <c r="BD5000" s="3" t="s">
        <v>68</v>
      </c>
      <c r="BE5000" s="3" t="s">
        <v>48135</v>
      </c>
      <c r="BF5000" s="3" t="s">
        <v>48134</v>
      </c>
      <c r="BG5000" s="3" t="s">
        <v>48136</v>
      </c>
    </row>
    <row r="5001" spans="1:59" ht="58" x14ac:dyDescent="0.35">
      <c r="A5001" s="2" t="s">
        <v>89</v>
      </c>
      <c r="B5001" s="2" t="s">
        <v>90</v>
      </c>
      <c r="C5001" s="2" t="s">
        <v>48137</v>
      </c>
      <c r="D5001" s="2" t="s">
        <v>48138</v>
      </c>
      <c r="E5001" s="2" t="s">
        <v>48139</v>
      </c>
      <c r="G5001" s="3" t="s">
        <v>62</v>
      </c>
      <c r="I5001" s="3" t="s">
        <v>62</v>
      </c>
      <c r="J5001" s="3" t="s">
        <v>62</v>
      </c>
      <c r="K5001" s="3" t="s">
        <v>63</v>
      </c>
      <c r="L5001" s="2" t="s">
        <v>48140</v>
      </c>
      <c r="M5001" s="2" t="s">
        <v>48141</v>
      </c>
      <c r="N5001" s="3" t="s">
        <v>684</v>
      </c>
      <c r="O5001" s="2" t="s">
        <v>2458</v>
      </c>
      <c r="P5001" s="3" t="s">
        <v>64</v>
      </c>
      <c r="R5001" s="3" t="s">
        <v>46535</v>
      </c>
      <c r="S5001" s="4">
        <v>3</v>
      </c>
      <c r="T5001" s="4">
        <v>3</v>
      </c>
      <c r="U5001" s="5" t="s">
        <v>10603</v>
      </c>
      <c r="V5001" s="5" t="s">
        <v>10603</v>
      </c>
      <c r="W5001" s="5" t="s">
        <v>67</v>
      </c>
      <c r="X5001" s="5" t="s">
        <v>67</v>
      </c>
      <c r="Y5001" s="4">
        <v>72</v>
      </c>
      <c r="Z5001" s="4">
        <v>11</v>
      </c>
      <c r="AA5001" s="4">
        <v>17</v>
      </c>
      <c r="AB5001" s="4">
        <v>1</v>
      </c>
      <c r="AC5001" s="4">
        <v>4</v>
      </c>
      <c r="AD5001" s="4">
        <v>19</v>
      </c>
      <c r="AE5001" s="4">
        <v>33</v>
      </c>
      <c r="AF5001" s="4">
        <v>0</v>
      </c>
      <c r="AG5001" s="4">
        <v>1</v>
      </c>
      <c r="AH5001" s="4">
        <v>15</v>
      </c>
      <c r="AI5001" s="4">
        <v>26</v>
      </c>
      <c r="AJ5001" s="4">
        <v>7</v>
      </c>
      <c r="AK5001" s="4">
        <v>9</v>
      </c>
      <c r="AL5001" s="4">
        <v>7</v>
      </c>
      <c r="AM5001" s="4">
        <v>13</v>
      </c>
      <c r="AN5001" s="4">
        <v>0</v>
      </c>
      <c r="AO5001" s="4">
        <v>0</v>
      </c>
      <c r="AP5001" s="4">
        <v>7</v>
      </c>
      <c r="AQ5001" s="4">
        <v>11</v>
      </c>
      <c r="AR5001" s="3" t="s">
        <v>62</v>
      </c>
      <c r="AS5001" s="3" t="s">
        <v>62</v>
      </c>
      <c r="AT5001" s="3" t="s">
        <v>62</v>
      </c>
      <c r="AV5001" s="6" t="str">
        <f>HYPERLINK("http://mcgill.on.worldcat.org/oclc/650960029","Catalog Record")</f>
        <v>Catalog Record</v>
      </c>
      <c r="AW5001" s="6" t="str">
        <f>HYPERLINK("http://www.worldcat.org/oclc/650960029","WorldCat Record")</f>
        <v>WorldCat Record</v>
      </c>
      <c r="AX5001" s="3" t="s">
        <v>48142</v>
      </c>
      <c r="AY5001" s="3" t="s">
        <v>48143</v>
      </c>
      <c r="AZ5001" s="3" t="s">
        <v>48144</v>
      </c>
      <c r="BA5001" s="3" t="s">
        <v>48144</v>
      </c>
      <c r="BB5001" s="3" t="s">
        <v>48145</v>
      </c>
      <c r="BC5001" s="3" t="s">
        <v>102</v>
      </c>
      <c r="BD5001" s="3" t="s">
        <v>68</v>
      </c>
      <c r="BE5001" s="3" t="s">
        <v>48146</v>
      </c>
      <c r="BF5001" s="3" t="s">
        <v>48145</v>
      </c>
      <c r="BG5001" s="3" t="s">
        <v>48147</v>
      </c>
    </row>
    <row r="5002" spans="1:59" ht="58" x14ac:dyDescent="0.35">
      <c r="A5002" s="2" t="s">
        <v>89</v>
      </c>
      <c r="B5002" s="2" t="s">
        <v>90</v>
      </c>
      <c r="C5002" s="2" t="s">
        <v>48137</v>
      </c>
      <c r="D5002" s="2" t="s">
        <v>48138</v>
      </c>
      <c r="E5002" s="2" t="s">
        <v>48148</v>
      </c>
      <c r="G5002" s="3" t="s">
        <v>62</v>
      </c>
      <c r="I5002" s="3" t="s">
        <v>62</v>
      </c>
      <c r="J5002" s="3" t="s">
        <v>62</v>
      </c>
      <c r="K5002" s="3" t="s">
        <v>63</v>
      </c>
      <c r="L5002" s="2" t="s">
        <v>48140</v>
      </c>
      <c r="M5002" s="2" t="s">
        <v>48149</v>
      </c>
      <c r="N5002" s="3" t="s">
        <v>684</v>
      </c>
      <c r="O5002" s="2" t="s">
        <v>17648</v>
      </c>
      <c r="P5002" s="3" t="s">
        <v>64</v>
      </c>
      <c r="R5002" s="3" t="s">
        <v>46535</v>
      </c>
      <c r="S5002" s="4">
        <v>3</v>
      </c>
      <c r="T5002" s="4">
        <v>3</v>
      </c>
      <c r="U5002" s="5" t="s">
        <v>7181</v>
      </c>
      <c r="V5002" s="5" t="s">
        <v>7181</v>
      </c>
      <c r="W5002" s="5" t="s">
        <v>67</v>
      </c>
      <c r="X5002" s="5" t="s">
        <v>67</v>
      </c>
      <c r="Y5002" s="4">
        <v>256</v>
      </c>
      <c r="Z5002" s="4">
        <v>32</v>
      </c>
      <c r="AA5002" s="4">
        <v>57</v>
      </c>
      <c r="AB5002" s="4">
        <v>1</v>
      </c>
      <c r="AC5002" s="4">
        <v>12</v>
      </c>
      <c r="AD5002" s="4">
        <v>43</v>
      </c>
      <c r="AE5002" s="4">
        <v>81</v>
      </c>
      <c r="AF5002" s="4">
        <v>0</v>
      </c>
      <c r="AG5002" s="4">
        <v>4</v>
      </c>
      <c r="AH5002" s="4">
        <v>33</v>
      </c>
      <c r="AI5002" s="4">
        <v>65</v>
      </c>
      <c r="AJ5002" s="4">
        <v>16</v>
      </c>
      <c r="AK5002" s="4">
        <v>21</v>
      </c>
      <c r="AL5002" s="4">
        <v>14</v>
      </c>
      <c r="AM5002" s="4">
        <v>29</v>
      </c>
      <c r="AN5002" s="4">
        <v>0</v>
      </c>
      <c r="AO5002" s="4">
        <v>0</v>
      </c>
      <c r="AP5002" s="4">
        <v>19</v>
      </c>
      <c r="AQ5002" s="4">
        <v>25</v>
      </c>
      <c r="AR5002" s="3" t="s">
        <v>62</v>
      </c>
      <c r="AS5002" s="3" t="s">
        <v>62</v>
      </c>
      <c r="AT5002" s="3" t="s">
        <v>62</v>
      </c>
      <c r="AV5002" s="6" t="str">
        <f>HYPERLINK("http://mcgill.on.worldcat.org/oclc/660161980","Catalog Record")</f>
        <v>Catalog Record</v>
      </c>
      <c r="AW5002" s="6" t="str">
        <f>HYPERLINK("http://www.worldcat.org/oclc/660161980","WorldCat Record")</f>
        <v>WorldCat Record</v>
      </c>
      <c r="AX5002" s="3" t="s">
        <v>48150</v>
      </c>
      <c r="AY5002" s="3" t="s">
        <v>48151</v>
      </c>
      <c r="AZ5002" s="3" t="s">
        <v>48152</v>
      </c>
      <c r="BA5002" s="3" t="s">
        <v>48152</v>
      </c>
      <c r="BB5002" s="3" t="s">
        <v>48153</v>
      </c>
      <c r="BC5002" s="3" t="s">
        <v>102</v>
      </c>
      <c r="BD5002" s="3" t="s">
        <v>68</v>
      </c>
      <c r="BE5002" s="3" t="s">
        <v>48154</v>
      </c>
      <c r="BF5002" s="3" t="s">
        <v>48153</v>
      </c>
      <c r="BG5002" s="3" t="s">
        <v>48155</v>
      </c>
    </row>
    <row r="5003" spans="1:59" ht="58" x14ac:dyDescent="0.35">
      <c r="A5003" s="2" t="s">
        <v>89</v>
      </c>
      <c r="B5003" s="2" t="s">
        <v>90</v>
      </c>
      <c r="C5003" s="2" t="s">
        <v>48156</v>
      </c>
      <c r="D5003" s="2" t="s">
        <v>48157</v>
      </c>
      <c r="E5003" s="2" t="s">
        <v>48158</v>
      </c>
      <c r="G5003" s="3" t="s">
        <v>62</v>
      </c>
      <c r="I5003" s="3" t="s">
        <v>62</v>
      </c>
      <c r="J5003" s="3" t="s">
        <v>61</v>
      </c>
      <c r="K5003" s="3" t="s">
        <v>63</v>
      </c>
      <c r="L5003" s="2" t="s">
        <v>48159</v>
      </c>
      <c r="M5003" s="2" t="s">
        <v>48160</v>
      </c>
      <c r="N5003" s="3" t="s">
        <v>2136</v>
      </c>
      <c r="O5003" s="2" t="s">
        <v>2986</v>
      </c>
      <c r="P5003" s="3" t="s">
        <v>64</v>
      </c>
      <c r="R5003" s="3" t="s">
        <v>46535</v>
      </c>
      <c r="S5003" s="4">
        <v>22</v>
      </c>
      <c r="T5003" s="4">
        <v>22</v>
      </c>
      <c r="U5003" s="5" t="s">
        <v>3030</v>
      </c>
      <c r="V5003" s="5" t="s">
        <v>3030</v>
      </c>
      <c r="W5003" s="5" t="s">
        <v>67</v>
      </c>
      <c r="X5003" s="5" t="s">
        <v>67</v>
      </c>
      <c r="Y5003" s="4">
        <v>480</v>
      </c>
      <c r="Z5003" s="4">
        <v>37</v>
      </c>
      <c r="AA5003" s="4">
        <v>63</v>
      </c>
      <c r="AB5003" s="4">
        <v>3</v>
      </c>
      <c r="AC5003" s="4">
        <v>12</v>
      </c>
      <c r="AD5003" s="4">
        <v>77</v>
      </c>
      <c r="AE5003" s="4">
        <v>113</v>
      </c>
      <c r="AF5003" s="4">
        <v>1</v>
      </c>
      <c r="AG5003" s="4">
        <v>5</v>
      </c>
      <c r="AH5003" s="4">
        <v>60</v>
      </c>
      <c r="AI5003" s="4">
        <v>88</v>
      </c>
      <c r="AJ5003" s="4">
        <v>18</v>
      </c>
      <c r="AK5003" s="4">
        <v>25</v>
      </c>
      <c r="AL5003" s="4">
        <v>31</v>
      </c>
      <c r="AM5003" s="4">
        <v>42</v>
      </c>
      <c r="AN5003" s="4">
        <v>0</v>
      </c>
      <c r="AO5003" s="4">
        <v>0</v>
      </c>
      <c r="AP5003" s="4">
        <v>25</v>
      </c>
      <c r="AQ5003" s="4">
        <v>36</v>
      </c>
      <c r="AR5003" s="3" t="s">
        <v>62</v>
      </c>
      <c r="AS5003" s="3" t="s">
        <v>62</v>
      </c>
      <c r="AT5003" s="3" t="s">
        <v>61</v>
      </c>
      <c r="AU5003" s="6" t="str">
        <f>HYPERLINK("http://catalog.hathitrust.org/Record/004926536","HathiTrust Record")</f>
        <v>HathiTrust Record</v>
      </c>
      <c r="AV5003" s="6" t="str">
        <f>HYPERLINK("http://mcgill.on.worldcat.org/oclc/55586997","Catalog Record")</f>
        <v>Catalog Record</v>
      </c>
      <c r="AW5003" s="6" t="str">
        <f>HYPERLINK("http://www.worldcat.org/oclc/55586997","WorldCat Record")</f>
        <v>WorldCat Record</v>
      </c>
      <c r="AX5003" s="3" t="s">
        <v>48161</v>
      </c>
      <c r="AY5003" s="3" t="s">
        <v>48162</v>
      </c>
      <c r="AZ5003" s="3" t="s">
        <v>48163</v>
      </c>
      <c r="BA5003" s="3" t="s">
        <v>48163</v>
      </c>
      <c r="BB5003" s="3" t="s">
        <v>48164</v>
      </c>
      <c r="BC5003" s="3" t="s">
        <v>102</v>
      </c>
      <c r="BD5003" s="3" t="s">
        <v>68</v>
      </c>
      <c r="BE5003" s="3" t="s">
        <v>48165</v>
      </c>
      <c r="BF5003" s="3" t="s">
        <v>48164</v>
      </c>
      <c r="BG5003" s="3" t="s">
        <v>48166</v>
      </c>
    </row>
    <row r="5004" spans="1:59" ht="58" x14ac:dyDescent="0.35">
      <c r="A5004" s="2" t="s">
        <v>89</v>
      </c>
      <c r="B5004" s="2" t="s">
        <v>6791</v>
      </c>
      <c r="C5004" s="2" t="s">
        <v>48167</v>
      </c>
      <c r="D5004" s="2" t="s">
        <v>48168</v>
      </c>
      <c r="E5004" s="2" t="s">
        <v>48169</v>
      </c>
      <c r="G5004" s="3" t="s">
        <v>62</v>
      </c>
      <c r="I5004" s="3" t="s">
        <v>62</v>
      </c>
      <c r="J5004" s="3" t="s">
        <v>62</v>
      </c>
      <c r="K5004" s="3" t="s">
        <v>63</v>
      </c>
      <c r="L5004" s="2" t="s">
        <v>48170</v>
      </c>
      <c r="M5004" s="2" t="s">
        <v>48171</v>
      </c>
      <c r="N5004" s="3" t="s">
        <v>1455</v>
      </c>
      <c r="P5004" s="3" t="s">
        <v>64</v>
      </c>
      <c r="R5004" s="3" t="s">
        <v>46535</v>
      </c>
      <c r="S5004" s="4">
        <v>0</v>
      </c>
      <c r="T5004" s="4">
        <v>0</v>
      </c>
      <c r="W5004" s="5" t="s">
        <v>67</v>
      </c>
      <c r="X5004" s="5" t="s">
        <v>67</v>
      </c>
      <c r="Y5004" s="4">
        <v>47</v>
      </c>
      <c r="Z5004" s="4">
        <v>2</v>
      </c>
      <c r="AA5004" s="4">
        <v>8</v>
      </c>
      <c r="AB5004" s="4">
        <v>1</v>
      </c>
      <c r="AC5004" s="4">
        <v>5</v>
      </c>
      <c r="AD5004" s="4">
        <v>9</v>
      </c>
      <c r="AE5004" s="4">
        <v>17</v>
      </c>
      <c r="AF5004" s="4">
        <v>0</v>
      </c>
      <c r="AG5004" s="4">
        <v>2</v>
      </c>
      <c r="AH5004" s="4">
        <v>9</v>
      </c>
      <c r="AI5004" s="4">
        <v>14</v>
      </c>
      <c r="AJ5004" s="4">
        <v>1</v>
      </c>
      <c r="AK5004" s="4">
        <v>4</v>
      </c>
      <c r="AL5004" s="4">
        <v>3</v>
      </c>
      <c r="AM5004" s="4">
        <v>5</v>
      </c>
      <c r="AN5004" s="4">
        <v>0</v>
      </c>
      <c r="AO5004" s="4">
        <v>0</v>
      </c>
      <c r="AP5004" s="4">
        <v>1</v>
      </c>
      <c r="AQ5004" s="4">
        <v>3</v>
      </c>
      <c r="AR5004" s="3" t="s">
        <v>62</v>
      </c>
      <c r="AS5004" s="3" t="s">
        <v>62</v>
      </c>
      <c r="AT5004" s="3" t="s">
        <v>62</v>
      </c>
      <c r="AV5004" s="6" t="str">
        <f>HYPERLINK("http://mcgill.on.worldcat.org/oclc/891354057","Catalog Record")</f>
        <v>Catalog Record</v>
      </c>
      <c r="AW5004" s="6" t="str">
        <f>HYPERLINK("http://www.worldcat.org/oclc/891354057","WorldCat Record")</f>
        <v>WorldCat Record</v>
      </c>
      <c r="AX5004" s="3" t="s">
        <v>48172</v>
      </c>
      <c r="AY5004" s="3" t="s">
        <v>48173</v>
      </c>
      <c r="AZ5004" s="3" t="s">
        <v>48174</v>
      </c>
      <c r="BA5004" s="3" t="s">
        <v>48174</v>
      </c>
      <c r="BB5004" s="3" t="s">
        <v>48175</v>
      </c>
      <c r="BC5004" s="3" t="s">
        <v>102</v>
      </c>
      <c r="BD5004" s="3" t="s">
        <v>68</v>
      </c>
      <c r="BE5004" s="3" t="s">
        <v>48176</v>
      </c>
      <c r="BF5004" s="3" t="s">
        <v>48175</v>
      </c>
      <c r="BG5004" s="3" t="s">
        <v>48177</v>
      </c>
    </row>
    <row r="5005" spans="1:59" ht="58" x14ac:dyDescent="0.35">
      <c r="A5005" s="2" t="s">
        <v>89</v>
      </c>
      <c r="B5005" s="2" t="s">
        <v>90</v>
      </c>
      <c r="C5005" s="2" t="s">
        <v>48178</v>
      </c>
      <c r="D5005" s="2" t="s">
        <v>48179</v>
      </c>
      <c r="E5005" s="2" t="s">
        <v>48180</v>
      </c>
      <c r="G5005" s="3" t="s">
        <v>62</v>
      </c>
      <c r="I5005" s="3" t="s">
        <v>61</v>
      </c>
      <c r="J5005" s="3" t="s">
        <v>61</v>
      </c>
      <c r="K5005" s="3" t="s">
        <v>63</v>
      </c>
      <c r="L5005" s="2" t="s">
        <v>48181</v>
      </c>
      <c r="M5005" s="2" t="s">
        <v>48182</v>
      </c>
      <c r="N5005" s="3" t="s">
        <v>640</v>
      </c>
      <c r="O5005" s="2" t="s">
        <v>2163</v>
      </c>
      <c r="P5005" s="3" t="s">
        <v>64</v>
      </c>
      <c r="R5005" s="3" t="s">
        <v>46535</v>
      </c>
      <c r="S5005" s="4">
        <v>35</v>
      </c>
      <c r="T5005" s="4">
        <v>179</v>
      </c>
      <c r="U5005" s="5" t="s">
        <v>783</v>
      </c>
      <c r="V5005" s="5" t="s">
        <v>783</v>
      </c>
      <c r="W5005" s="5" t="s">
        <v>67</v>
      </c>
      <c r="X5005" s="5" t="s">
        <v>67</v>
      </c>
      <c r="Y5005" s="4">
        <v>330</v>
      </c>
      <c r="Z5005" s="4">
        <v>28</v>
      </c>
      <c r="AA5005" s="4">
        <v>52</v>
      </c>
      <c r="AB5005" s="4">
        <v>2</v>
      </c>
      <c r="AC5005" s="4">
        <v>14</v>
      </c>
      <c r="AD5005" s="4">
        <v>65</v>
      </c>
      <c r="AE5005" s="4">
        <v>92</v>
      </c>
      <c r="AF5005" s="4">
        <v>1</v>
      </c>
      <c r="AG5005" s="4">
        <v>5</v>
      </c>
      <c r="AH5005" s="4">
        <v>53</v>
      </c>
      <c r="AI5005" s="4">
        <v>72</v>
      </c>
      <c r="AJ5005" s="4">
        <v>14</v>
      </c>
      <c r="AK5005" s="4">
        <v>21</v>
      </c>
      <c r="AL5005" s="4">
        <v>24</v>
      </c>
      <c r="AM5005" s="4">
        <v>32</v>
      </c>
      <c r="AN5005" s="4">
        <v>5</v>
      </c>
      <c r="AO5005" s="4">
        <v>5</v>
      </c>
      <c r="AP5005" s="4">
        <v>20</v>
      </c>
      <c r="AQ5005" s="4">
        <v>30</v>
      </c>
      <c r="AR5005" s="3" t="s">
        <v>62</v>
      </c>
      <c r="AS5005" s="3" t="s">
        <v>62</v>
      </c>
      <c r="AT5005" s="3" t="s">
        <v>61</v>
      </c>
      <c r="AU5005" s="6" t="str">
        <f>HYPERLINK("http://catalog.hathitrust.org/Record/004321373","HathiTrust Record")</f>
        <v>HathiTrust Record</v>
      </c>
      <c r="AV5005" s="6" t="str">
        <f>HYPERLINK("http://mcgill.on.worldcat.org/oclc/51478054","Catalog Record")</f>
        <v>Catalog Record</v>
      </c>
      <c r="AW5005" s="6" t="str">
        <f>HYPERLINK("http://www.worldcat.org/oclc/51478054","WorldCat Record")</f>
        <v>WorldCat Record</v>
      </c>
      <c r="AX5005" s="3" t="s">
        <v>48183</v>
      </c>
      <c r="AY5005" s="3" t="s">
        <v>48184</v>
      </c>
      <c r="AZ5005" s="3" t="s">
        <v>48185</v>
      </c>
      <c r="BA5005" s="3" t="s">
        <v>48185</v>
      </c>
      <c r="BB5005" s="3" t="s">
        <v>48186</v>
      </c>
      <c r="BC5005" s="3" t="s">
        <v>102</v>
      </c>
      <c r="BD5005" s="3" t="s">
        <v>68</v>
      </c>
      <c r="BE5005" s="3" t="s">
        <v>48187</v>
      </c>
      <c r="BF5005" s="3" t="s">
        <v>48186</v>
      </c>
      <c r="BG5005" s="3" t="s">
        <v>48188</v>
      </c>
    </row>
    <row r="5006" spans="1:59" ht="58" x14ac:dyDescent="0.35">
      <c r="A5006" s="2" t="s">
        <v>89</v>
      </c>
      <c r="B5006" s="2" t="s">
        <v>6791</v>
      </c>
      <c r="C5006" s="2" t="s">
        <v>48189</v>
      </c>
      <c r="D5006" s="2" t="s">
        <v>48190</v>
      </c>
      <c r="E5006" s="2" t="s">
        <v>48191</v>
      </c>
      <c r="F5006" s="3" t="s">
        <v>48192</v>
      </c>
      <c r="G5006" s="3" t="s">
        <v>61</v>
      </c>
      <c r="I5006" s="3" t="s">
        <v>62</v>
      </c>
      <c r="J5006" s="3" t="s">
        <v>61</v>
      </c>
      <c r="K5006" s="3" t="s">
        <v>63</v>
      </c>
      <c r="L5006" s="2" t="s">
        <v>48181</v>
      </c>
      <c r="M5006" s="2" t="s">
        <v>48193</v>
      </c>
      <c r="N5006" s="3" t="s">
        <v>2985</v>
      </c>
      <c r="O5006" s="2" t="s">
        <v>2986</v>
      </c>
      <c r="P5006" s="3" t="s">
        <v>64</v>
      </c>
      <c r="R5006" s="3" t="s">
        <v>46535</v>
      </c>
      <c r="S5006" s="4">
        <v>26</v>
      </c>
      <c r="T5006" s="4">
        <v>97</v>
      </c>
      <c r="U5006" s="5" t="s">
        <v>13970</v>
      </c>
      <c r="V5006" s="5" t="s">
        <v>8024</v>
      </c>
      <c r="W5006" s="5" t="s">
        <v>67</v>
      </c>
      <c r="X5006" s="5" t="s">
        <v>67</v>
      </c>
      <c r="Y5006" s="4">
        <v>345</v>
      </c>
      <c r="Z5006" s="4">
        <v>23</v>
      </c>
      <c r="AA5006" s="4">
        <v>52</v>
      </c>
      <c r="AB5006" s="4">
        <v>3</v>
      </c>
      <c r="AC5006" s="4">
        <v>14</v>
      </c>
      <c r="AD5006" s="4">
        <v>51</v>
      </c>
      <c r="AE5006" s="4">
        <v>92</v>
      </c>
      <c r="AF5006" s="4">
        <v>1</v>
      </c>
      <c r="AG5006" s="4">
        <v>5</v>
      </c>
      <c r="AH5006" s="4">
        <v>43</v>
      </c>
      <c r="AI5006" s="4">
        <v>72</v>
      </c>
      <c r="AJ5006" s="4">
        <v>10</v>
      </c>
      <c r="AK5006" s="4">
        <v>21</v>
      </c>
      <c r="AL5006" s="4">
        <v>21</v>
      </c>
      <c r="AM5006" s="4">
        <v>32</v>
      </c>
      <c r="AN5006" s="4">
        <v>0</v>
      </c>
      <c r="AO5006" s="4">
        <v>5</v>
      </c>
      <c r="AP5006" s="4">
        <v>14</v>
      </c>
      <c r="AQ5006" s="4">
        <v>30</v>
      </c>
      <c r="AR5006" s="3" t="s">
        <v>62</v>
      </c>
      <c r="AS5006" s="3" t="s">
        <v>62</v>
      </c>
      <c r="AT5006" s="3" t="s">
        <v>61</v>
      </c>
      <c r="AU5006" s="6" t="str">
        <f>HYPERLINK("http://catalog.hathitrust.org/Record/005687994","HathiTrust Record")</f>
        <v>HathiTrust Record</v>
      </c>
      <c r="AV5006" s="6" t="str">
        <f>HYPERLINK("http://mcgill.on.worldcat.org/oclc/171258238","Catalog Record")</f>
        <v>Catalog Record</v>
      </c>
      <c r="AW5006" s="6" t="str">
        <f>HYPERLINK("http://www.worldcat.org/oclc/171258238","WorldCat Record")</f>
        <v>WorldCat Record</v>
      </c>
      <c r="AX5006" s="3" t="s">
        <v>48183</v>
      </c>
      <c r="AY5006" s="3" t="s">
        <v>48194</v>
      </c>
      <c r="AZ5006" s="3" t="s">
        <v>48195</v>
      </c>
      <c r="BA5006" s="3" t="s">
        <v>48195</v>
      </c>
      <c r="BB5006" s="3" t="s">
        <v>48196</v>
      </c>
      <c r="BC5006" s="3" t="s">
        <v>102</v>
      </c>
      <c r="BD5006" s="3" t="s">
        <v>68</v>
      </c>
      <c r="BE5006" s="3" t="s">
        <v>48197</v>
      </c>
      <c r="BF5006" s="3" t="s">
        <v>48196</v>
      </c>
      <c r="BG5006" s="3" t="s">
        <v>48198</v>
      </c>
    </row>
    <row r="5007" spans="1:59" ht="58" x14ac:dyDescent="0.35">
      <c r="A5007" s="2" t="s">
        <v>89</v>
      </c>
      <c r="B5007" s="2" t="s">
        <v>90</v>
      </c>
      <c r="C5007" s="2" t="s">
        <v>48199</v>
      </c>
      <c r="D5007" s="2" t="s">
        <v>48200</v>
      </c>
      <c r="E5007" s="2" t="s">
        <v>48201</v>
      </c>
      <c r="G5007" s="3" t="s">
        <v>62</v>
      </c>
      <c r="I5007" s="3" t="s">
        <v>62</v>
      </c>
      <c r="J5007" s="3" t="s">
        <v>62</v>
      </c>
      <c r="K5007" s="3" t="s">
        <v>63</v>
      </c>
      <c r="L5007" s="2" t="s">
        <v>48202</v>
      </c>
      <c r="M5007" s="2" t="s">
        <v>36108</v>
      </c>
      <c r="N5007" s="3" t="s">
        <v>2136</v>
      </c>
      <c r="P5007" s="3" t="s">
        <v>64</v>
      </c>
      <c r="Q5007" s="2" t="s">
        <v>48203</v>
      </c>
      <c r="R5007" s="3" t="s">
        <v>46535</v>
      </c>
      <c r="S5007" s="4">
        <v>21</v>
      </c>
      <c r="T5007" s="4">
        <v>21</v>
      </c>
      <c r="U5007" s="5" t="s">
        <v>9908</v>
      </c>
      <c r="V5007" s="5" t="s">
        <v>9908</v>
      </c>
      <c r="W5007" s="5" t="s">
        <v>67</v>
      </c>
      <c r="X5007" s="5" t="s">
        <v>67</v>
      </c>
      <c r="Y5007" s="4">
        <v>234</v>
      </c>
      <c r="Z5007" s="4">
        <v>22</v>
      </c>
      <c r="AA5007" s="4">
        <v>24</v>
      </c>
      <c r="AB5007" s="4">
        <v>1</v>
      </c>
      <c r="AC5007" s="4">
        <v>3</v>
      </c>
      <c r="AD5007" s="4">
        <v>92</v>
      </c>
      <c r="AE5007" s="4">
        <v>94</v>
      </c>
      <c r="AF5007" s="4">
        <v>0</v>
      </c>
      <c r="AG5007" s="4">
        <v>2</v>
      </c>
      <c r="AH5007" s="4">
        <v>81</v>
      </c>
      <c r="AI5007" s="4">
        <v>81</v>
      </c>
      <c r="AJ5007" s="4">
        <v>15</v>
      </c>
      <c r="AK5007" s="4">
        <v>17</v>
      </c>
      <c r="AL5007" s="4">
        <v>48</v>
      </c>
      <c r="AM5007" s="4">
        <v>48</v>
      </c>
      <c r="AN5007" s="4">
        <v>0</v>
      </c>
      <c r="AO5007" s="4">
        <v>0</v>
      </c>
      <c r="AP5007" s="4">
        <v>18</v>
      </c>
      <c r="AQ5007" s="4">
        <v>20</v>
      </c>
      <c r="AR5007" s="3" t="s">
        <v>62</v>
      </c>
      <c r="AS5007" s="3" t="s">
        <v>62</v>
      </c>
      <c r="AT5007" s="3" t="s">
        <v>62</v>
      </c>
      <c r="AV5007" s="6" t="str">
        <f>HYPERLINK("http://mcgill.on.worldcat.org/oclc/54529569","Catalog Record")</f>
        <v>Catalog Record</v>
      </c>
      <c r="AW5007" s="6" t="str">
        <f>HYPERLINK("http://www.worldcat.org/oclc/54529569","WorldCat Record")</f>
        <v>WorldCat Record</v>
      </c>
      <c r="AX5007" s="3" t="s">
        <v>48204</v>
      </c>
      <c r="AY5007" s="3" t="s">
        <v>48205</v>
      </c>
      <c r="AZ5007" s="3" t="s">
        <v>48206</v>
      </c>
      <c r="BA5007" s="3" t="s">
        <v>48206</v>
      </c>
      <c r="BB5007" s="3" t="s">
        <v>48207</v>
      </c>
      <c r="BC5007" s="3" t="s">
        <v>102</v>
      </c>
      <c r="BD5007" s="3" t="s">
        <v>68</v>
      </c>
      <c r="BE5007" s="3" t="s">
        <v>48208</v>
      </c>
      <c r="BF5007" s="3" t="s">
        <v>48207</v>
      </c>
      <c r="BG5007" s="3" t="s">
        <v>48209</v>
      </c>
    </row>
    <row r="5008" spans="1:59" ht="101.5" x14ac:dyDescent="0.35">
      <c r="A5008" s="2" t="s">
        <v>89</v>
      </c>
      <c r="B5008" s="2" t="s">
        <v>90</v>
      </c>
      <c r="C5008" s="2" t="s">
        <v>48210</v>
      </c>
      <c r="D5008" s="2" t="s">
        <v>48211</v>
      </c>
      <c r="E5008" s="2" t="s">
        <v>48212</v>
      </c>
      <c r="G5008" s="3" t="s">
        <v>62</v>
      </c>
      <c r="I5008" s="3" t="s">
        <v>62</v>
      </c>
      <c r="J5008" s="3" t="s">
        <v>62</v>
      </c>
      <c r="K5008" s="3" t="s">
        <v>63</v>
      </c>
      <c r="L5008" s="2" t="s">
        <v>48213</v>
      </c>
      <c r="M5008" s="2" t="s">
        <v>48214</v>
      </c>
      <c r="N5008" s="3" t="s">
        <v>1455</v>
      </c>
      <c r="P5008" s="3" t="s">
        <v>64</v>
      </c>
      <c r="R5008" s="3" t="s">
        <v>46535</v>
      </c>
      <c r="S5008" s="4">
        <v>6</v>
      </c>
      <c r="T5008" s="4">
        <v>6</v>
      </c>
      <c r="U5008" s="5" t="s">
        <v>5881</v>
      </c>
      <c r="V5008" s="5" t="s">
        <v>5881</v>
      </c>
      <c r="W5008" s="5" t="s">
        <v>67</v>
      </c>
      <c r="X5008" s="5" t="s">
        <v>67</v>
      </c>
      <c r="Y5008" s="4">
        <v>36</v>
      </c>
      <c r="Z5008" s="4">
        <v>10</v>
      </c>
      <c r="AA5008" s="4">
        <v>20</v>
      </c>
      <c r="AB5008" s="4">
        <v>2</v>
      </c>
      <c r="AC5008" s="4">
        <v>3</v>
      </c>
      <c r="AD5008" s="4">
        <v>12</v>
      </c>
      <c r="AE5008" s="4">
        <v>21</v>
      </c>
      <c r="AF5008" s="4">
        <v>1</v>
      </c>
      <c r="AG5008" s="4">
        <v>2</v>
      </c>
      <c r="AH5008" s="4">
        <v>8</v>
      </c>
      <c r="AI5008" s="4">
        <v>11</v>
      </c>
      <c r="AJ5008" s="4">
        <v>5</v>
      </c>
      <c r="AK5008" s="4">
        <v>10</v>
      </c>
      <c r="AL5008" s="4">
        <v>5</v>
      </c>
      <c r="AM5008" s="4">
        <v>6</v>
      </c>
      <c r="AN5008" s="4">
        <v>0</v>
      </c>
      <c r="AO5008" s="4">
        <v>0</v>
      </c>
      <c r="AP5008" s="4">
        <v>5</v>
      </c>
      <c r="AQ5008" s="4">
        <v>13</v>
      </c>
      <c r="AR5008" s="3" t="s">
        <v>61</v>
      </c>
      <c r="AS5008" s="3" t="s">
        <v>62</v>
      </c>
      <c r="AT5008" s="3" t="s">
        <v>62</v>
      </c>
      <c r="AV5008" s="6" t="str">
        <f>HYPERLINK("http://mcgill.on.worldcat.org/oclc/904184965","Catalog Record")</f>
        <v>Catalog Record</v>
      </c>
      <c r="AW5008" s="6" t="str">
        <f>HYPERLINK("http://www.worldcat.org/oclc/904184965","WorldCat Record")</f>
        <v>WorldCat Record</v>
      </c>
      <c r="AX5008" s="3" t="s">
        <v>48215</v>
      </c>
      <c r="AY5008" s="3" t="s">
        <v>48216</v>
      </c>
      <c r="AZ5008" s="3" t="s">
        <v>48217</v>
      </c>
      <c r="BA5008" s="3" t="s">
        <v>48217</v>
      </c>
      <c r="BB5008" s="3" t="s">
        <v>48218</v>
      </c>
      <c r="BC5008" s="3" t="s">
        <v>102</v>
      </c>
      <c r="BD5008" s="3" t="s">
        <v>68</v>
      </c>
      <c r="BE5008" s="3" t="s">
        <v>48219</v>
      </c>
      <c r="BF5008" s="3" t="s">
        <v>48218</v>
      </c>
      <c r="BG5008" s="3" t="s">
        <v>48220</v>
      </c>
    </row>
    <row r="5009" spans="1:59" ht="58" x14ac:dyDescent="0.35">
      <c r="A5009" s="2" t="s">
        <v>89</v>
      </c>
      <c r="B5009" s="2" t="s">
        <v>90</v>
      </c>
      <c r="C5009" s="2" t="s">
        <v>48221</v>
      </c>
      <c r="D5009" s="2" t="s">
        <v>48222</v>
      </c>
      <c r="E5009" s="2" t="s">
        <v>48223</v>
      </c>
      <c r="G5009" s="3" t="s">
        <v>62</v>
      </c>
      <c r="I5009" s="3" t="s">
        <v>62</v>
      </c>
      <c r="J5009" s="3" t="s">
        <v>61</v>
      </c>
      <c r="K5009" s="3" t="s">
        <v>63</v>
      </c>
      <c r="L5009" s="2" t="s">
        <v>48224</v>
      </c>
      <c r="M5009" s="2" t="s">
        <v>48225</v>
      </c>
      <c r="N5009" s="3" t="s">
        <v>640</v>
      </c>
      <c r="O5009" s="2" t="s">
        <v>44343</v>
      </c>
      <c r="P5009" s="3" t="s">
        <v>64</v>
      </c>
      <c r="R5009" s="3" t="s">
        <v>46535</v>
      </c>
      <c r="S5009" s="4">
        <v>3</v>
      </c>
      <c r="T5009" s="4">
        <v>3</v>
      </c>
      <c r="U5009" s="5" t="s">
        <v>117</v>
      </c>
      <c r="V5009" s="5" t="s">
        <v>117</v>
      </c>
      <c r="W5009" s="5" t="s">
        <v>67</v>
      </c>
      <c r="X5009" s="5" t="s">
        <v>67</v>
      </c>
      <c r="Y5009" s="4">
        <v>178</v>
      </c>
      <c r="Z5009" s="4">
        <v>17</v>
      </c>
      <c r="AA5009" s="4">
        <v>87</v>
      </c>
      <c r="AB5009" s="4">
        <v>2</v>
      </c>
      <c r="AC5009" s="4">
        <v>17</v>
      </c>
      <c r="AD5009" s="4">
        <v>34</v>
      </c>
      <c r="AE5009" s="4">
        <v>149</v>
      </c>
      <c r="AF5009" s="4">
        <v>1</v>
      </c>
      <c r="AG5009" s="4">
        <v>5</v>
      </c>
      <c r="AH5009" s="4">
        <v>27</v>
      </c>
      <c r="AI5009" s="4">
        <v>112</v>
      </c>
      <c r="AJ5009" s="4">
        <v>8</v>
      </c>
      <c r="AK5009" s="4">
        <v>27</v>
      </c>
      <c r="AL5009" s="4">
        <v>12</v>
      </c>
      <c r="AM5009" s="4">
        <v>57</v>
      </c>
      <c r="AN5009" s="4">
        <v>0</v>
      </c>
      <c r="AO5009" s="4">
        <v>6</v>
      </c>
      <c r="AP5009" s="4">
        <v>12</v>
      </c>
      <c r="AQ5009" s="4">
        <v>47</v>
      </c>
      <c r="AR5009" s="3" t="s">
        <v>62</v>
      </c>
      <c r="AS5009" s="3" t="s">
        <v>62</v>
      </c>
      <c r="AT5009" s="3" t="s">
        <v>61</v>
      </c>
      <c r="AU5009" s="6" t="str">
        <f>HYPERLINK("http://catalog.hathitrust.org/Record/004347235","HathiTrust Record")</f>
        <v>HathiTrust Record</v>
      </c>
      <c r="AV5009" s="6" t="str">
        <f>HYPERLINK("http://mcgill.on.worldcat.org/oclc/51305691","Catalog Record")</f>
        <v>Catalog Record</v>
      </c>
      <c r="AW5009" s="6" t="str">
        <f>HYPERLINK("http://www.worldcat.org/oclc/51305691","WorldCat Record")</f>
        <v>WorldCat Record</v>
      </c>
      <c r="AX5009" s="3" t="s">
        <v>48226</v>
      </c>
      <c r="AY5009" s="3" t="s">
        <v>48227</v>
      </c>
      <c r="AZ5009" s="3" t="s">
        <v>48228</v>
      </c>
      <c r="BA5009" s="3" t="s">
        <v>48228</v>
      </c>
      <c r="BB5009" s="3" t="s">
        <v>48229</v>
      </c>
      <c r="BC5009" s="3" t="s">
        <v>102</v>
      </c>
      <c r="BD5009" s="3" t="s">
        <v>68</v>
      </c>
      <c r="BE5009" s="3" t="s">
        <v>48230</v>
      </c>
      <c r="BF5009" s="3" t="s">
        <v>48229</v>
      </c>
      <c r="BG5009" s="3" t="s">
        <v>48231</v>
      </c>
    </row>
    <row r="5010" spans="1:59" ht="58" x14ac:dyDescent="0.35">
      <c r="A5010" s="2" t="s">
        <v>89</v>
      </c>
      <c r="B5010" s="2" t="s">
        <v>90</v>
      </c>
      <c r="C5010" s="2" t="s">
        <v>48232</v>
      </c>
      <c r="D5010" s="2" t="s">
        <v>48233</v>
      </c>
      <c r="E5010" s="2" t="s">
        <v>48234</v>
      </c>
      <c r="G5010" s="3" t="s">
        <v>62</v>
      </c>
      <c r="I5010" s="3" t="s">
        <v>62</v>
      </c>
      <c r="J5010" s="3" t="s">
        <v>62</v>
      </c>
      <c r="K5010" s="3" t="s">
        <v>63</v>
      </c>
      <c r="M5010" s="2" t="s">
        <v>48235</v>
      </c>
      <c r="N5010" s="3" t="s">
        <v>1077</v>
      </c>
      <c r="P5010" s="3" t="s">
        <v>64</v>
      </c>
      <c r="R5010" s="3" t="s">
        <v>46535</v>
      </c>
      <c r="S5010" s="4">
        <v>8</v>
      </c>
      <c r="T5010" s="4">
        <v>8</v>
      </c>
      <c r="U5010" s="5" t="s">
        <v>37149</v>
      </c>
      <c r="V5010" s="5" t="s">
        <v>37149</v>
      </c>
      <c r="W5010" s="5" t="s">
        <v>67</v>
      </c>
      <c r="X5010" s="5" t="s">
        <v>67</v>
      </c>
      <c r="Y5010" s="4">
        <v>319</v>
      </c>
      <c r="Z5010" s="4">
        <v>27</v>
      </c>
      <c r="AA5010" s="4">
        <v>31</v>
      </c>
      <c r="AB5010" s="4">
        <v>2</v>
      </c>
      <c r="AC5010" s="4">
        <v>6</v>
      </c>
      <c r="AD5010" s="4">
        <v>81</v>
      </c>
      <c r="AE5010" s="4">
        <v>85</v>
      </c>
      <c r="AF5010" s="4">
        <v>1</v>
      </c>
      <c r="AG5010" s="4">
        <v>5</v>
      </c>
      <c r="AH5010" s="4">
        <v>65</v>
      </c>
      <c r="AI5010" s="4">
        <v>66</v>
      </c>
      <c r="AJ5010" s="4">
        <v>18</v>
      </c>
      <c r="AK5010" s="4">
        <v>22</v>
      </c>
      <c r="AL5010" s="4">
        <v>31</v>
      </c>
      <c r="AM5010" s="4">
        <v>31</v>
      </c>
      <c r="AN5010" s="4">
        <v>0</v>
      </c>
      <c r="AO5010" s="4">
        <v>0</v>
      </c>
      <c r="AP5010" s="4">
        <v>24</v>
      </c>
      <c r="AQ5010" s="4">
        <v>27</v>
      </c>
      <c r="AR5010" s="3" t="s">
        <v>62</v>
      </c>
      <c r="AS5010" s="3" t="s">
        <v>62</v>
      </c>
      <c r="AT5010" s="3" t="s">
        <v>61</v>
      </c>
      <c r="AU5010" s="6" t="str">
        <f>HYPERLINK("http://catalog.hathitrust.org/Record/004551895","HathiTrust Record")</f>
        <v>HathiTrust Record</v>
      </c>
      <c r="AV5010" s="6" t="str">
        <f>HYPERLINK("http://mcgill.on.worldcat.org/oclc/26720298","Catalog Record")</f>
        <v>Catalog Record</v>
      </c>
      <c r="AW5010" s="6" t="str">
        <f>HYPERLINK("http://www.worldcat.org/oclc/26720298","WorldCat Record")</f>
        <v>WorldCat Record</v>
      </c>
      <c r="AX5010" s="3" t="s">
        <v>48236</v>
      </c>
      <c r="AY5010" s="3" t="s">
        <v>48237</v>
      </c>
      <c r="AZ5010" s="3" t="s">
        <v>48238</v>
      </c>
      <c r="BA5010" s="3" t="s">
        <v>48238</v>
      </c>
      <c r="BB5010" s="3" t="s">
        <v>48239</v>
      </c>
      <c r="BC5010" s="3" t="s">
        <v>102</v>
      </c>
      <c r="BD5010" s="3" t="s">
        <v>68</v>
      </c>
      <c r="BE5010" s="3" t="s">
        <v>48240</v>
      </c>
      <c r="BF5010" s="3" t="s">
        <v>48239</v>
      </c>
      <c r="BG5010" s="3" t="s">
        <v>48241</v>
      </c>
    </row>
    <row r="5011" spans="1:59" ht="58" x14ac:dyDescent="0.35">
      <c r="A5011" s="2" t="s">
        <v>89</v>
      </c>
      <c r="B5011" s="2" t="s">
        <v>6791</v>
      </c>
      <c r="C5011" s="2" t="s">
        <v>48242</v>
      </c>
      <c r="D5011" s="2" t="s">
        <v>48243</v>
      </c>
      <c r="E5011" s="2" t="s">
        <v>48244</v>
      </c>
      <c r="G5011" s="3" t="s">
        <v>62</v>
      </c>
      <c r="I5011" s="3" t="s">
        <v>62</v>
      </c>
      <c r="J5011" s="3" t="s">
        <v>61</v>
      </c>
      <c r="K5011" s="3" t="s">
        <v>63</v>
      </c>
      <c r="L5011" s="2" t="s">
        <v>48245</v>
      </c>
      <c r="M5011" s="2" t="s">
        <v>48160</v>
      </c>
      <c r="N5011" s="3" t="s">
        <v>2136</v>
      </c>
      <c r="O5011" s="2" t="s">
        <v>2458</v>
      </c>
      <c r="P5011" s="3" t="s">
        <v>64</v>
      </c>
      <c r="R5011" s="3" t="s">
        <v>46535</v>
      </c>
      <c r="S5011" s="4">
        <v>8</v>
      </c>
      <c r="T5011" s="4">
        <v>8</v>
      </c>
      <c r="U5011" s="5" t="s">
        <v>43677</v>
      </c>
      <c r="V5011" s="5" t="s">
        <v>43677</v>
      </c>
      <c r="W5011" s="5" t="s">
        <v>67</v>
      </c>
      <c r="X5011" s="5" t="s">
        <v>67</v>
      </c>
      <c r="Y5011" s="4">
        <v>323</v>
      </c>
      <c r="Z5011" s="4">
        <v>30</v>
      </c>
      <c r="AA5011" s="4">
        <v>59</v>
      </c>
      <c r="AB5011" s="4">
        <v>1</v>
      </c>
      <c r="AC5011" s="4">
        <v>13</v>
      </c>
      <c r="AD5011" s="4">
        <v>69</v>
      </c>
      <c r="AE5011" s="4">
        <v>120</v>
      </c>
      <c r="AF5011" s="4">
        <v>0</v>
      </c>
      <c r="AG5011" s="4">
        <v>5</v>
      </c>
      <c r="AH5011" s="4">
        <v>53</v>
      </c>
      <c r="AI5011" s="4">
        <v>91</v>
      </c>
      <c r="AJ5011" s="4">
        <v>16</v>
      </c>
      <c r="AK5011" s="4">
        <v>25</v>
      </c>
      <c r="AL5011" s="4">
        <v>26</v>
      </c>
      <c r="AM5011" s="4">
        <v>42</v>
      </c>
      <c r="AN5011" s="4">
        <v>0</v>
      </c>
      <c r="AO5011" s="4">
        <v>5</v>
      </c>
      <c r="AP5011" s="4">
        <v>24</v>
      </c>
      <c r="AQ5011" s="4">
        <v>40</v>
      </c>
      <c r="AR5011" s="3" t="s">
        <v>62</v>
      </c>
      <c r="AS5011" s="3" t="s">
        <v>62</v>
      </c>
      <c r="AT5011" s="3" t="s">
        <v>61</v>
      </c>
      <c r="AU5011" s="6" t="str">
        <f>HYPERLINK("http://catalog.hathitrust.org/Record/004959378","HathiTrust Record")</f>
        <v>HathiTrust Record</v>
      </c>
      <c r="AV5011" s="6" t="str">
        <f>HYPERLINK("http://mcgill.on.worldcat.org/oclc/56729737","Catalog Record")</f>
        <v>Catalog Record</v>
      </c>
      <c r="AW5011" s="6" t="str">
        <f>HYPERLINK("http://www.worldcat.org/oclc/56729737","WorldCat Record")</f>
        <v>WorldCat Record</v>
      </c>
      <c r="AX5011" s="3" t="s">
        <v>48246</v>
      </c>
      <c r="AY5011" s="3" t="s">
        <v>48247</v>
      </c>
      <c r="AZ5011" s="3" t="s">
        <v>48248</v>
      </c>
      <c r="BA5011" s="3" t="s">
        <v>48248</v>
      </c>
      <c r="BB5011" s="3" t="s">
        <v>48249</v>
      </c>
      <c r="BC5011" s="3" t="s">
        <v>102</v>
      </c>
      <c r="BD5011" s="3" t="s">
        <v>231</v>
      </c>
      <c r="BE5011" s="3" t="s">
        <v>48250</v>
      </c>
      <c r="BF5011" s="3" t="s">
        <v>48249</v>
      </c>
      <c r="BG5011" s="3" t="s">
        <v>48251</v>
      </c>
    </row>
    <row r="5012" spans="1:59" ht="58" x14ac:dyDescent="0.35">
      <c r="A5012" s="2" t="s">
        <v>89</v>
      </c>
      <c r="B5012" s="2" t="s">
        <v>90</v>
      </c>
      <c r="C5012" s="2" t="s">
        <v>48252</v>
      </c>
      <c r="D5012" s="2" t="s">
        <v>48253</v>
      </c>
      <c r="E5012" s="2" t="s">
        <v>48254</v>
      </c>
      <c r="G5012" s="3" t="s">
        <v>62</v>
      </c>
      <c r="I5012" s="3" t="s">
        <v>62</v>
      </c>
      <c r="J5012" s="3" t="s">
        <v>62</v>
      </c>
      <c r="K5012" s="3" t="s">
        <v>63</v>
      </c>
      <c r="M5012" s="2" t="s">
        <v>48255</v>
      </c>
      <c r="N5012" s="3" t="s">
        <v>553</v>
      </c>
      <c r="P5012" s="3" t="s">
        <v>64</v>
      </c>
      <c r="Q5012" s="2" t="s">
        <v>48256</v>
      </c>
      <c r="R5012" s="3" t="s">
        <v>46535</v>
      </c>
      <c r="S5012" s="4">
        <v>9</v>
      </c>
      <c r="T5012" s="4">
        <v>9</v>
      </c>
      <c r="U5012" s="5" t="s">
        <v>48257</v>
      </c>
      <c r="V5012" s="5" t="s">
        <v>48257</v>
      </c>
      <c r="W5012" s="5" t="s">
        <v>67</v>
      </c>
      <c r="X5012" s="5" t="s">
        <v>67</v>
      </c>
      <c r="Y5012" s="4">
        <v>240</v>
      </c>
      <c r="Z5012" s="4">
        <v>12</v>
      </c>
      <c r="AA5012" s="4">
        <v>79</v>
      </c>
      <c r="AB5012" s="4">
        <v>1</v>
      </c>
      <c r="AC5012" s="4">
        <v>14</v>
      </c>
      <c r="AD5012" s="4">
        <v>83</v>
      </c>
      <c r="AE5012" s="4">
        <v>124</v>
      </c>
      <c r="AF5012" s="4">
        <v>0</v>
      </c>
      <c r="AG5012" s="4">
        <v>8</v>
      </c>
      <c r="AH5012" s="4">
        <v>78</v>
      </c>
      <c r="AI5012" s="4">
        <v>91</v>
      </c>
      <c r="AJ5012" s="4">
        <v>9</v>
      </c>
      <c r="AK5012" s="4">
        <v>22</v>
      </c>
      <c r="AL5012" s="4">
        <v>47</v>
      </c>
      <c r="AM5012" s="4">
        <v>51</v>
      </c>
      <c r="AN5012" s="4">
        <v>0</v>
      </c>
      <c r="AO5012" s="4">
        <v>0</v>
      </c>
      <c r="AP5012" s="4">
        <v>10</v>
      </c>
      <c r="AQ5012" s="4">
        <v>41</v>
      </c>
      <c r="AR5012" s="3" t="s">
        <v>62</v>
      </c>
      <c r="AS5012" s="3" t="s">
        <v>62</v>
      </c>
      <c r="AT5012" s="3" t="s">
        <v>62</v>
      </c>
      <c r="AV5012" s="6" t="str">
        <f>HYPERLINK("http://mcgill.on.worldcat.org/oclc/39981852","Catalog Record")</f>
        <v>Catalog Record</v>
      </c>
      <c r="AW5012" s="6" t="str">
        <f>HYPERLINK("http://www.worldcat.org/oclc/39981852","WorldCat Record")</f>
        <v>WorldCat Record</v>
      </c>
      <c r="AX5012" s="3" t="s">
        <v>48258</v>
      </c>
      <c r="AY5012" s="3" t="s">
        <v>48259</v>
      </c>
      <c r="AZ5012" s="3" t="s">
        <v>48260</v>
      </c>
      <c r="BA5012" s="3" t="s">
        <v>48260</v>
      </c>
      <c r="BB5012" s="3" t="s">
        <v>48261</v>
      </c>
      <c r="BC5012" s="3" t="s">
        <v>102</v>
      </c>
      <c r="BD5012" s="3" t="s">
        <v>68</v>
      </c>
      <c r="BE5012" s="3" t="s">
        <v>48262</v>
      </c>
      <c r="BF5012" s="3" t="s">
        <v>48261</v>
      </c>
      <c r="BG5012" s="3" t="s">
        <v>48263</v>
      </c>
    </row>
    <row r="5013" spans="1:59" ht="58" x14ac:dyDescent="0.35">
      <c r="A5013" s="2" t="s">
        <v>89</v>
      </c>
      <c r="B5013" s="2" t="s">
        <v>90</v>
      </c>
      <c r="C5013" s="2" t="s">
        <v>48264</v>
      </c>
      <c r="D5013" s="2" t="s">
        <v>48265</v>
      </c>
      <c r="E5013" s="2" t="s">
        <v>48266</v>
      </c>
      <c r="G5013" s="3" t="s">
        <v>62</v>
      </c>
      <c r="I5013" s="3" t="s">
        <v>61</v>
      </c>
      <c r="J5013" s="3" t="s">
        <v>62</v>
      </c>
      <c r="K5013" s="3" t="s">
        <v>63</v>
      </c>
      <c r="L5013" s="2" t="s">
        <v>48267</v>
      </c>
      <c r="M5013" s="2" t="s">
        <v>48268</v>
      </c>
      <c r="N5013" s="3" t="s">
        <v>954</v>
      </c>
      <c r="P5013" s="3" t="s">
        <v>64</v>
      </c>
      <c r="R5013" s="3" t="s">
        <v>46535</v>
      </c>
      <c r="S5013" s="4">
        <v>21</v>
      </c>
      <c r="T5013" s="4">
        <v>101</v>
      </c>
      <c r="U5013" s="5" t="s">
        <v>13959</v>
      </c>
      <c r="V5013" s="5" t="s">
        <v>2226</v>
      </c>
      <c r="W5013" s="5" t="s">
        <v>67</v>
      </c>
      <c r="X5013" s="5" t="s">
        <v>67</v>
      </c>
      <c r="Y5013" s="4">
        <v>1143</v>
      </c>
      <c r="Z5013" s="4">
        <v>58</v>
      </c>
      <c r="AA5013" s="4">
        <v>71</v>
      </c>
      <c r="AB5013" s="4">
        <v>4</v>
      </c>
      <c r="AC5013" s="4">
        <v>11</v>
      </c>
      <c r="AD5013" s="4">
        <v>149</v>
      </c>
      <c r="AE5013" s="4">
        <v>157</v>
      </c>
      <c r="AF5013" s="4">
        <v>2</v>
      </c>
      <c r="AG5013" s="4">
        <v>6</v>
      </c>
      <c r="AH5013" s="4">
        <v>109</v>
      </c>
      <c r="AI5013" s="4">
        <v>112</v>
      </c>
      <c r="AJ5013" s="4">
        <v>22</v>
      </c>
      <c r="AK5013" s="4">
        <v>26</v>
      </c>
      <c r="AL5013" s="4">
        <v>61</v>
      </c>
      <c r="AM5013" s="4">
        <v>62</v>
      </c>
      <c r="AN5013" s="4">
        <v>0</v>
      </c>
      <c r="AO5013" s="4">
        <v>0</v>
      </c>
      <c r="AP5013" s="4">
        <v>46</v>
      </c>
      <c r="AQ5013" s="4">
        <v>51</v>
      </c>
      <c r="AR5013" s="3" t="s">
        <v>62</v>
      </c>
      <c r="AS5013" s="3" t="s">
        <v>62</v>
      </c>
      <c r="AT5013" s="3" t="s">
        <v>61</v>
      </c>
      <c r="AU5013" s="6" t="str">
        <f>HYPERLINK("http://catalog.hathitrust.org/Record/001193130","HathiTrust Record")</f>
        <v>HathiTrust Record</v>
      </c>
      <c r="AV5013" s="6" t="str">
        <f>HYPERLINK("http://mcgill.on.worldcat.org/oclc/557223","Catalog Record")</f>
        <v>Catalog Record</v>
      </c>
      <c r="AW5013" s="6" t="str">
        <f>HYPERLINK("http://www.worldcat.org/oclc/557223","WorldCat Record")</f>
        <v>WorldCat Record</v>
      </c>
      <c r="AX5013" s="3" t="s">
        <v>48269</v>
      </c>
      <c r="AY5013" s="3" t="s">
        <v>48270</v>
      </c>
      <c r="AZ5013" s="3" t="s">
        <v>48271</v>
      </c>
      <c r="BA5013" s="3" t="s">
        <v>48271</v>
      </c>
      <c r="BB5013" s="3" t="s">
        <v>48272</v>
      </c>
      <c r="BC5013" s="3" t="s">
        <v>102</v>
      </c>
      <c r="BD5013" s="3" t="s">
        <v>68</v>
      </c>
      <c r="BE5013" s="3" t="s">
        <v>48273</v>
      </c>
      <c r="BF5013" s="3" t="s">
        <v>48272</v>
      </c>
      <c r="BG5013" s="3" t="s">
        <v>48274</v>
      </c>
    </row>
    <row r="5014" spans="1:59" ht="58" x14ac:dyDescent="0.35">
      <c r="A5014" s="2" t="s">
        <v>89</v>
      </c>
      <c r="B5014" s="2" t="s">
        <v>90</v>
      </c>
      <c r="C5014" s="2" t="s">
        <v>48264</v>
      </c>
      <c r="D5014" s="2" t="s">
        <v>48265</v>
      </c>
      <c r="E5014" s="2" t="s">
        <v>48266</v>
      </c>
      <c r="G5014" s="3" t="s">
        <v>62</v>
      </c>
      <c r="I5014" s="3" t="s">
        <v>61</v>
      </c>
      <c r="J5014" s="3" t="s">
        <v>62</v>
      </c>
      <c r="K5014" s="3" t="s">
        <v>63</v>
      </c>
      <c r="L5014" s="2" t="s">
        <v>48267</v>
      </c>
      <c r="M5014" s="2" t="s">
        <v>48268</v>
      </c>
      <c r="N5014" s="3" t="s">
        <v>954</v>
      </c>
      <c r="P5014" s="3" t="s">
        <v>64</v>
      </c>
      <c r="R5014" s="3" t="s">
        <v>46535</v>
      </c>
      <c r="S5014" s="4">
        <v>56</v>
      </c>
      <c r="T5014" s="4">
        <v>101</v>
      </c>
      <c r="U5014" s="5" t="s">
        <v>2226</v>
      </c>
      <c r="V5014" s="5" t="s">
        <v>2226</v>
      </c>
      <c r="W5014" s="5" t="s">
        <v>67</v>
      </c>
      <c r="X5014" s="5" t="s">
        <v>67</v>
      </c>
      <c r="Y5014" s="4">
        <v>1143</v>
      </c>
      <c r="Z5014" s="4">
        <v>58</v>
      </c>
      <c r="AA5014" s="4">
        <v>71</v>
      </c>
      <c r="AB5014" s="4">
        <v>4</v>
      </c>
      <c r="AC5014" s="4">
        <v>11</v>
      </c>
      <c r="AD5014" s="4">
        <v>149</v>
      </c>
      <c r="AE5014" s="4">
        <v>157</v>
      </c>
      <c r="AF5014" s="4">
        <v>2</v>
      </c>
      <c r="AG5014" s="4">
        <v>6</v>
      </c>
      <c r="AH5014" s="4">
        <v>109</v>
      </c>
      <c r="AI5014" s="4">
        <v>112</v>
      </c>
      <c r="AJ5014" s="4">
        <v>22</v>
      </c>
      <c r="AK5014" s="4">
        <v>26</v>
      </c>
      <c r="AL5014" s="4">
        <v>61</v>
      </c>
      <c r="AM5014" s="4">
        <v>62</v>
      </c>
      <c r="AN5014" s="4">
        <v>0</v>
      </c>
      <c r="AO5014" s="4">
        <v>0</v>
      </c>
      <c r="AP5014" s="4">
        <v>46</v>
      </c>
      <c r="AQ5014" s="4">
        <v>51</v>
      </c>
      <c r="AR5014" s="3" t="s">
        <v>62</v>
      </c>
      <c r="AS5014" s="3" t="s">
        <v>62</v>
      </c>
      <c r="AT5014" s="3" t="s">
        <v>61</v>
      </c>
      <c r="AU5014" s="6" t="str">
        <f>HYPERLINK("http://catalog.hathitrust.org/Record/001193130","HathiTrust Record")</f>
        <v>HathiTrust Record</v>
      </c>
      <c r="AV5014" s="6" t="str">
        <f>HYPERLINK("http://mcgill.on.worldcat.org/oclc/557223","Catalog Record")</f>
        <v>Catalog Record</v>
      </c>
      <c r="AW5014" s="6" t="str">
        <f>HYPERLINK("http://www.worldcat.org/oclc/557223","WorldCat Record")</f>
        <v>WorldCat Record</v>
      </c>
      <c r="AX5014" s="3" t="s">
        <v>48269</v>
      </c>
      <c r="AY5014" s="3" t="s">
        <v>48270</v>
      </c>
      <c r="AZ5014" s="3" t="s">
        <v>48271</v>
      </c>
      <c r="BA5014" s="3" t="s">
        <v>48271</v>
      </c>
      <c r="BB5014" s="3" t="s">
        <v>48275</v>
      </c>
      <c r="BC5014" s="3" t="s">
        <v>102</v>
      </c>
      <c r="BD5014" s="3" t="s">
        <v>68</v>
      </c>
      <c r="BE5014" s="3" t="s">
        <v>48273</v>
      </c>
      <c r="BF5014" s="3" t="s">
        <v>48275</v>
      </c>
      <c r="BG5014" s="3" t="s">
        <v>48276</v>
      </c>
    </row>
    <row r="5015" spans="1:59" ht="58" x14ac:dyDescent="0.35">
      <c r="A5015" s="2" t="s">
        <v>89</v>
      </c>
      <c r="B5015" s="2" t="s">
        <v>90</v>
      </c>
      <c r="C5015" s="2" t="s">
        <v>48264</v>
      </c>
      <c r="D5015" s="2" t="s">
        <v>48265</v>
      </c>
      <c r="E5015" s="2" t="s">
        <v>48266</v>
      </c>
      <c r="G5015" s="3" t="s">
        <v>62</v>
      </c>
      <c r="I5015" s="3" t="s">
        <v>61</v>
      </c>
      <c r="J5015" s="3" t="s">
        <v>62</v>
      </c>
      <c r="K5015" s="3" t="s">
        <v>63</v>
      </c>
      <c r="L5015" s="2" t="s">
        <v>48267</v>
      </c>
      <c r="M5015" s="2" t="s">
        <v>48268</v>
      </c>
      <c r="N5015" s="3" t="s">
        <v>954</v>
      </c>
      <c r="P5015" s="3" t="s">
        <v>64</v>
      </c>
      <c r="R5015" s="3" t="s">
        <v>46535</v>
      </c>
      <c r="S5015" s="4">
        <v>11</v>
      </c>
      <c r="T5015" s="4">
        <v>101</v>
      </c>
      <c r="U5015" s="5" t="s">
        <v>1013</v>
      </c>
      <c r="V5015" s="5" t="s">
        <v>2226</v>
      </c>
      <c r="W5015" s="5" t="s">
        <v>67</v>
      </c>
      <c r="X5015" s="5" t="s">
        <v>67</v>
      </c>
      <c r="Y5015" s="4">
        <v>1143</v>
      </c>
      <c r="Z5015" s="4">
        <v>58</v>
      </c>
      <c r="AA5015" s="4">
        <v>71</v>
      </c>
      <c r="AB5015" s="4">
        <v>4</v>
      </c>
      <c r="AC5015" s="4">
        <v>11</v>
      </c>
      <c r="AD5015" s="4">
        <v>149</v>
      </c>
      <c r="AE5015" s="4">
        <v>157</v>
      </c>
      <c r="AF5015" s="4">
        <v>2</v>
      </c>
      <c r="AG5015" s="4">
        <v>6</v>
      </c>
      <c r="AH5015" s="4">
        <v>109</v>
      </c>
      <c r="AI5015" s="4">
        <v>112</v>
      </c>
      <c r="AJ5015" s="4">
        <v>22</v>
      </c>
      <c r="AK5015" s="4">
        <v>26</v>
      </c>
      <c r="AL5015" s="4">
        <v>61</v>
      </c>
      <c r="AM5015" s="4">
        <v>62</v>
      </c>
      <c r="AN5015" s="4">
        <v>0</v>
      </c>
      <c r="AO5015" s="4">
        <v>0</v>
      </c>
      <c r="AP5015" s="4">
        <v>46</v>
      </c>
      <c r="AQ5015" s="4">
        <v>51</v>
      </c>
      <c r="AR5015" s="3" t="s">
        <v>62</v>
      </c>
      <c r="AS5015" s="3" t="s">
        <v>62</v>
      </c>
      <c r="AT5015" s="3" t="s">
        <v>61</v>
      </c>
      <c r="AU5015" s="6" t="str">
        <f>HYPERLINK("http://catalog.hathitrust.org/Record/001193130","HathiTrust Record")</f>
        <v>HathiTrust Record</v>
      </c>
      <c r="AV5015" s="6" t="str">
        <f>HYPERLINK("http://mcgill.on.worldcat.org/oclc/557223","Catalog Record")</f>
        <v>Catalog Record</v>
      </c>
      <c r="AW5015" s="6" t="str">
        <f>HYPERLINK("http://www.worldcat.org/oclc/557223","WorldCat Record")</f>
        <v>WorldCat Record</v>
      </c>
      <c r="AX5015" s="3" t="s">
        <v>48269</v>
      </c>
      <c r="AY5015" s="3" t="s">
        <v>48270</v>
      </c>
      <c r="AZ5015" s="3" t="s">
        <v>48271</v>
      </c>
      <c r="BA5015" s="3" t="s">
        <v>48271</v>
      </c>
      <c r="BB5015" s="3" t="s">
        <v>48277</v>
      </c>
      <c r="BC5015" s="3" t="s">
        <v>102</v>
      </c>
      <c r="BD5015" s="3" t="s">
        <v>68</v>
      </c>
      <c r="BE5015" s="3" t="s">
        <v>48273</v>
      </c>
      <c r="BF5015" s="3" t="s">
        <v>48277</v>
      </c>
      <c r="BG5015" s="3" t="s">
        <v>48278</v>
      </c>
    </row>
    <row r="5016" spans="1:59" ht="58" x14ac:dyDescent="0.35">
      <c r="A5016" s="2" t="s">
        <v>89</v>
      </c>
      <c r="B5016" s="2" t="s">
        <v>90</v>
      </c>
      <c r="C5016" s="2" t="s">
        <v>48279</v>
      </c>
      <c r="D5016" s="2" t="s">
        <v>48280</v>
      </c>
      <c r="E5016" s="2" t="s">
        <v>48281</v>
      </c>
      <c r="G5016" s="3" t="s">
        <v>62</v>
      </c>
      <c r="I5016" s="3" t="s">
        <v>62</v>
      </c>
      <c r="J5016" s="3" t="s">
        <v>61</v>
      </c>
      <c r="K5016" s="3" t="s">
        <v>63</v>
      </c>
      <c r="L5016" s="2" t="s">
        <v>48282</v>
      </c>
      <c r="M5016" s="2" t="s">
        <v>4023</v>
      </c>
      <c r="N5016" s="3" t="s">
        <v>596</v>
      </c>
      <c r="P5016" s="3" t="s">
        <v>64</v>
      </c>
      <c r="R5016" s="3" t="s">
        <v>46535</v>
      </c>
      <c r="S5016" s="4">
        <v>8</v>
      </c>
      <c r="T5016" s="4">
        <v>8</v>
      </c>
      <c r="U5016" s="5" t="s">
        <v>23692</v>
      </c>
      <c r="V5016" s="5" t="s">
        <v>23692</v>
      </c>
      <c r="W5016" s="5" t="s">
        <v>67</v>
      </c>
      <c r="X5016" s="5" t="s">
        <v>67</v>
      </c>
      <c r="Y5016" s="4">
        <v>567</v>
      </c>
      <c r="Z5016" s="4">
        <v>28</v>
      </c>
      <c r="AA5016" s="4">
        <v>109</v>
      </c>
      <c r="AB5016" s="4">
        <v>2</v>
      </c>
      <c r="AC5016" s="4">
        <v>19</v>
      </c>
      <c r="AD5016" s="4">
        <v>101</v>
      </c>
      <c r="AE5016" s="4">
        <v>150</v>
      </c>
      <c r="AF5016" s="4">
        <v>1</v>
      </c>
      <c r="AG5016" s="4">
        <v>8</v>
      </c>
      <c r="AH5016" s="4">
        <v>92</v>
      </c>
      <c r="AI5016" s="4">
        <v>109</v>
      </c>
      <c r="AJ5016" s="4">
        <v>14</v>
      </c>
      <c r="AK5016" s="4">
        <v>27</v>
      </c>
      <c r="AL5016" s="4">
        <v>47</v>
      </c>
      <c r="AM5016" s="4">
        <v>56</v>
      </c>
      <c r="AN5016" s="4">
        <v>0</v>
      </c>
      <c r="AO5016" s="4">
        <v>0</v>
      </c>
      <c r="AP5016" s="4">
        <v>19</v>
      </c>
      <c r="AQ5016" s="4">
        <v>51</v>
      </c>
      <c r="AR5016" s="3" t="s">
        <v>62</v>
      </c>
      <c r="AS5016" s="3" t="s">
        <v>62</v>
      </c>
      <c r="AT5016" s="3" t="s">
        <v>62</v>
      </c>
      <c r="AV5016" s="6" t="str">
        <f>HYPERLINK("http://mcgill.on.worldcat.org/oclc/46703102","Catalog Record")</f>
        <v>Catalog Record</v>
      </c>
      <c r="AW5016" s="6" t="str">
        <f>HYPERLINK("http://www.worldcat.org/oclc/46703102","WorldCat Record")</f>
        <v>WorldCat Record</v>
      </c>
      <c r="AX5016" s="3" t="s">
        <v>48283</v>
      </c>
      <c r="AY5016" s="3" t="s">
        <v>48284</v>
      </c>
      <c r="AZ5016" s="3" t="s">
        <v>48285</v>
      </c>
      <c r="BA5016" s="3" t="s">
        <v>48285</v>
      </c>
      <c r="BB5016" s="3" t="s">
        <v>48286</v>
      </c>
      <c r="BC5016" s="3" t="s">
        <v>102</v>
      </c>
      <c r="BD5016" s="3" t="s">
        <v>68</v>
      </c>
      <c r="BE5016" s="3" t="s">
        <v>48287</v>
      </c>
      <c r="BF5016" s="3" t="s">
        <v>48286</v>
      </c>
      <c r="BG5016" s="3" t="s">
        <v>48288</v>
      </c>
    </row>
    <row r="5017" spans="1:59" ht="58" x14ac:dyDescent="0.35">
      <c r="A5017" s="2" t="s">
        <v>89</v>
      </c>
      <c r="B5017" s="2" t="s">
        <v>90</v>
      </c>
      <c r="C5017" s="2" t="s">
        <v>48289</v>
      </c>
      <c r="D5017" s="2" t="s">
        <v>48290</v>
      </c>
      <c r="E5017" s="2" t="s">
        <v>48291</v>
      </c>
      <c r="G5017" s="3" t="s">
        <v>62</v>
      </c>
      <c r="I5017" s="3" t="s">
        <v>62</v>
      </c>
      <c r="J5017" s="3" t="s">
        <v>61</v>
      </c>
      <c r="K5017" s="3" t="s">
        <v>63</v>
      </c>
      <c r="L5017" s="2" t="s">
        <v>48292</v>
      </c>
      <c r="M5017" s="2" t="s">
        <v>48293</v>
      </c>
      <c r="N5017" s="3" t="s">
        <v>1722</v>
      </c>
      <c r="O5017" s="2" t="s">
        <v>6519</v>
      </c>
      <c r="P5017" s="3" t="s">
        <v>64</v>
      </c>
      <c r="R5017" s="3" t="s">
        <v>46535</v>
      </c>
      <c r="S5017" s="4">
        <v>7</v>
      </c>
      <c r="T5017" s="4">
        <v>7</v>
      </c>
      <c r="U5017" s="5" t="s">
        <v>2448</v>
      </c>
      <c r="V5017" s="5" t="s">
        <v>2448</v>
      </c>
      <c r="W5017" s="5" t="s">
        <v>67</v>
      </c>
      <c r="X5017" s="5" t="s">
        <v>67</v>
      </c>
      <c r="Y5017" s="4">
        <v>392</v>
      </c>
      <c r="Z5017" s="4">
        <v>18</v>
      </c>
      <c r="AA5017" s="4">
        <v>109</v>
      </c>
      <c r="AB5017" s="4">
        <v>1</v>
      </c>
      <c r="AC5017" s="4">
        <v>19</v>
      </c>
      <c r="AD5017" s="4">
        <v>76</v>
      </c>
      <c r="AE5017" s="4">
        <v>150</v>
      </c>
      <c r="AF5017" s="4">
        <v>0</v>
      </c>
      <c r="AG5017" s="4">
        <v>8</v>
      </c>
      <c r="AH5017" s="4">
        <v>68</v>
      </c>
      <c r="AI5017" s="4">
        <v>109</v>
      </c>
      <c r="AJ5017" s="4">
        <v>8</v>
      </c>
      <c r="AK5017" s="4">
        <v>27</v>
      </c>
      <c r="AL5017" s="4">
        <v>32</v>
      </c>
      <c r="AM5017" s="4">
        <v>56</v>
      </c>
      <c r="AN5017" s="4">
        <v>0</v>
      </c>
      <c r="AO5017" s="4">
        <v>0</v>
      </c>
      <c r="AP5017" s="4">
        <v>13</v>
      </c>
      <c r="AQ5017" s="4">
        <v>51</v>
      </c>
      <c r="AR5017" s="3" t="s">
        <v>62</v>
      </c>
      <c r="AS5017" s="3" t="s">
        <v>62</v>
      </c>
      <c r="AT5017" s="3" t="s">
        <v>62</v>
      </c>
      <c r="AV5017" s="6" t="str">
        <f>HYPERLINK("http://mcgill.on.worldcat.org/oclc/228676732","Catalog Record")</f>
        <v>Catalog Record</v>
      </c>
      <c r="AW5017" s="6" t="str">
        <f>HYPERLINK("http://www.worldcat.org/oclc/228676732","WorldCat Record")</f>
        <v>WorldCat Record</v>
      </c>
      <c r="AX5017" s="3" t="s">
        <v>48283</v>
      </c>
      <c r="AY5017" s="3" t="s">
        <v>48294</v>
      </c>
      <c r="AZ5017" s="3" t="s">
        <v>48295</v>
      </c>
      <c r="BA5017" s="3" t="s">
        <v>48295</v>
      </c>
      <c r="BB5017" s="3" t="s">
        <v>48296</v>
      </c>
      <c r="BC5017" s="3" t="s">
        <v>102</v>
      </c>
      <c r="BD5017" s="3" t="s">
        <v>68</v>
      </c>
      <c r="BE5017" s="3" t="s">
        <v>48297</v>
      </c>
      <c r="BF5017" s="3" t="s">
        <v>48296</v>
      </c>
      <c r="BG5017" s="3" t="s">
        <v>48298</v>
      </c>
    </row>
    <row r="5018" spans="1:59" ht="58" x14ac:dyDescent="0.35">
      <c r="A5018" s="2" t="s">
        <v>89</v>
      </c>
      <c r="B5018" s="2" t="s">
        <v>90</v>
      </c>
      <c r="C5018" s="2" t="s">
        <v>48299</v>
      </c>
      <c r="D5018" s="2" t="s">
        <v>48300</v>
      </c>
      <c r="E5018" s="2" t="s">
        <v>48301</v>
      </c>
      <c r="G5018" s="3" t="s">
        <v>62</v>
      </c>
      <c r="I5018" s="3" t="s">
        <v>62</v>
      </c>
      <c r="J5018" s="3" t="s">
        <v>62</v>
      </c>
      <c r="K5018" s="3" t="s">
        <v>63</v>
      </c>
      <c r="M5018" s="2" t="s">
        <v>48302</v>
      </c>
      <c r="N5018" s="3" t="s">
        <v>438</v>
      </c>
      <c r="P5018" s="3" t="s">
        <v>64</v>
      </c>
      <c r="R5018" s="3" t="s">
        <v>46535</v>
      </c>
      <c r="S5018" s="4">
        <v>16</v>
      </c>
      <c r="T5018" s="4">
        <v>16</v>
      </c>
      <c r="U5018" s="5" t="s">
        <v>211</v>
      </c>
      <c r="V5018" s="5" t="s">
        <v>211</v>
      </c>
      <c r="W5018" s="5" t="s">
        <v>67</v>
      </c>
      <c r="X5018" s="5" t="s">
        <v>67</v>
      </c>
      <c r="Y5018" s="4">
        <v>589</v>
      </c>
      <c r="Z5018" s="4">
        <v>37</v>
      </c>
      <c r="AA5018" s="4">
        <v>43</v>
      </c>
      <c r="AB5018" s="4">
        <v>2</v>
      </c>
      <c r="AC5018" s="4">
        <v>7</v>
      </c>
      <c r="AD5018" s="4">
        <v>99</v>
      </c>
      <c r="AE5018" s="4">
        <v>104</v>
      </c>
      <c r="AF5018" s="4">
        <v>1</v>
      </c>
      <c r="AG5018" s="4">
        <v>6</v>
      </c>
      <c r="AH5018" s="4">
        <v>81</v>
      </c>
      <c r="AI5018" s="4">
        <v>82</v>
      </c>
      <c r="AJ5018" s="4">
        <v>18</v>
      </c>
      <c r="AK5018" s="4">
        <v>22</v>
      </c>
      <c r="AL5018" s="4">
        <v>36</v>
      </c>
      <c r="AM5018" s="4">
        <v>36</v>
      </c>
      <c r="AN5018" s="4">
        <v>5</v>
      </c>
      <c r="AO5018" s="4">
        <v>5</v>
      </c>
      <c r="AP5018" s="4">
        <v>29</v>
      </c>
      <c r="AQ5018" s="4">
        <v>33</v>
      </c>
      <c r="AR5018" s="3" t="s">
        <v>62</v>
      </c>
      <c r="AS5018" s="3" t="s">
        <v>62</v>
      </c>
      <c r="AT5018" s="3" t="s">
        <v>61</v>
      </c>
      <c r="AU5018" s="6" t="str">
        <f>HYPERLINK("http://catalog.hathitrust.org/Record/101934984","HathiTrust Record")</f>
        <v>HathiTrust Record</v>
      </c>
      <c r="AV5018" s="6" t="str">
        <f>HYPERLINK("http://mcgill.on.worldcat.org/oclc/20635511","Catalog Record")</f>
        <v>Catalog Record</v>
      </c>
      <c r="AW5018" s="6" t="str">
        <f>HYPERLINK("http://www.worldcat.org/oclc/20635511","WorldCat Record")</f>
        <v>WorldCat Record</v>
      </c>
      <c r="AX5018" s="3" t="s">
        <v>48303</v>
      </c>
      <c r="AY5018" s="3" t="s">
        <v>48304</v>
      </c>
      <c r="AZ5018" s="3" t="s">
        <v>48305</v>
      </c>
      <c r="BA5018" s="3" t="s">
        <v>48305</v>
      </c>
      <c r="BB5018" s="3" t="s">
        <v>48306</v>
      </c>
      <c r="BC5018" s="3" t="s">
        <v>102</v>
      </c>
      <c r="BD5018" s="3" t="s">
        <v>68</v>
      </c>
      <c r="BE5018" s="3" t="s">
        <v>48307</v>
      </c>
      <c r="BF5018" s="3" t="s">
        <v>48306</v>
      </c>
      <c r="BG5018" s="3" t="s">
        <v>48308</v>
      </c>
    </row>
    <row r="5019" spans="1:59" ht="72.5" x14ac:dyDescent="0.35">
      <c r="A5019" s="2" t="s">
        <v>89</v>
      </c>
      <c r="B5019" s="2" t="s">
        <v>90</v>
      </c>
      <c r="C5019" s="2" t="s">
        <v>48309</v>
      </c>
      <c r="D5019" s="2" t="s">
        <v>48310</v>
      </c>
      <c r="E5019" s="2" t="s">
        <v>48311</v>
      </c>
      <c r="G5019" s="3" t="s">
        <v>62</v>
      </c>
      <c r="I5019" s="3" t="s">
        <v>61</v>
      </c>
      <c r="J5019" s="3" t="s">
        <v>61</v>
      </c>
      <c r="K5019" s="3" t="s">
        <v>63</v>
      </c>
      <c r="M5019" s="2" t="s">
        <v>48312</v>
      </c>
      <c r="N5019" s="3" t="s">
        <v>1195</v>
      </c>
      <c r="O5019" s="2" t="s">
        <v>2458</v>
      </c>
      <c r="P5019" s="3" t="s">
        <v>64</v>
      </c>
      <c r="R5019" s="3" t="s">
        <v>46535</v>
      </c>
      <c r="S5019" s="4">
        <v>3</v>
      </c>
      <c r="T5019" s="4">
        <v>21</v>
      </c>
      <c r="U5019" s="5" t="s">
        <v>48313</v>
      </c>
      <c r="V5019" s="5" t="s">
        <v>17612</v>
      </c>
      <c r="W5019" s="5" t="s">
        <v>67</v>
      </c>
      <c r="X5019" s="5" t="s">
        <v>67</v>
      </c>
      <c r="Y5019" s="4">
        <v>326</v>
      </c>
      <c r="Z5019" s="4">
        <v>22</v>
      </c>
      <c r="AA5019" s="4">
        <v>57</v>
      </c>
      <c r="AB5019" s="4">
        <v>3</v>
      </c>
      <c r="AC5019" s="4">
        <v>10</v>
      </c>
      <c r="AD5019" s="4">
        <v>79</v>
      </c>
      <c r="AE5019" s="4">
        <v>124</v>
      </c>
      <c r="AF5019" s="4">
        <v>1</v>
      </c>
      <c r="AG5019" s="4">
        <v>5</v>
      </c>
      <c r="AH5019" s="4">
        <v>69</v>
      </c>
      <c r="AI5019" s="4">
        <v>102</v>
      </c>
      <c r="AJ5019" s="4">
        <v>12</v>
      </c>
      <c r="AK5019" s="4">
        <v>22</v>
      </c>
      <c r="AL5019" s="4">
        <v>37</v>
      </c>
      <c r="AM5019" s="4">
        <v>54</v>
      </c>
      <c r="AN5019" s="4">
        <v>0</v>
      </c>
      <c r="AO5019" s="4">
        <v>0</v>
      </c>
      <c r="AP5019" s="4">
        <v>16</v>
      </c>
      <c r="AQ5019" s="4">
        <v>30</v>
      </c>
      <c r="AR5019" s="3" t="s">
        <v>62</v>
      </c>
      <c r="AS5019" s="3" t="s">
        <v>62</v>
      </c>
      <c r="AT5019" s="3" t="s">
        <v>62</v>
      </c>
      <c r="AV5019" s="6" t="str">
        <f>HYPERLINK("http://mcgill.on.worldcat.org/oclc/61247244","Catalog Record")</f>
        <v>Catalog Record</v>
      </c>
      <c r="AW5019" s="6" t="str">
        <f>HYPERLINK("http://www.worldcat.org/oclc/61247244","WorldCat Record")</f>
        <v>WorldCat Record</v>
      </c>
      <c r="AX5019" s="3" t="s">
        <v>48314</v>
      </c>
      <c r="AY5019" s="3" t="s">
        <v>48315</v>
      </c>
      <c r="AZ5019" s="3" t="s">
        <v>48316</v>
      </c>
      <c r="BA5019" s="3" t="s">
        <v>48316</v>
      </c>
      <c r="BB5019" s="3" t="s">
        <v>48317</v>
      </c>
      <c r="BC5019" s="3" t="s">
        <v>102</v>
      </c>
      <c r="BD5019" s="3" t="s">
        <v>68</v>
      </c>
      <c r="BE5019" s="3" t="s">
        <v>48318</v>
      </c>
      <c r="BF5019" s="3" t="s">
        <v>48317</v>
      </c>
      <c r="BG5019" s="3" t="s">
        <v>48319</v>
      </c>
    </row>
    <row r="5020" spans="1:59" ht="58" x14ac:dyDescent="0.35">
      <c r="A5020" s="2" t="s">
        <v>89</v>
      </c>
      <c r="B5020" s="2" t="s">
        <v>90</v>
      </c>
      <c r="C5020" s="2" t="s">
        <v>48320</v>
      </c>
      <c r="D5020" s="2" t="s">
        <v>48321</v>
      </c>
      <c r="E5020" s="2" t="s">
        <v>48322</v>
      </c>
      <c r="G5020" s="3" t="s">
        <v>62</v>
      </c>
      <c r="I5020" s="3" t="s">
        <v>62</v>
      </c>
      <c r="J5020" s="3" t="s">
        <v>61</v>
      </c>
      <c r="K5020" s="3" t="s">
        <v>63</v>
      </c>
      <c r="L5020" s="2" t="s">
        <v>48323</v>
      </c>
      <c r="M5020" s="2" t="s">
        <v>48324</v>
      </c>
      <c r="N5020" s="3" t="s">
        <v>954</v>
      </c>
      <c r="O5020" s="2" t="s">
        <v>8350</v>
      </c>
      <c r="P5020" s="3" t="s">
        <v>64</v>
      </c>
      <c r="R5020" s="3" t="s">
        <v>46535</v>
      </c>
      <c r="S5020" s="4">
        <v>2</v>
      </c>
      <c r="T5020" s="4">
        <v>2</v>
      </c>
      <c r="U5020" s="5" t="s">
        <v>18898</v>
      </c>
      <c r="V5020" s="5" t="s">
        <v>18898</v>
      </c>
      <c r="W5020" s="5" t="s">
        <v>67</v>
      </c>
      <c r="X5020" s="5" t="s">
        <v>67</v>
      </c>
      <c r="Y5020" s="4">
        <v>283</v>
      </c>
      <c r="Z5020" s="4">
        <v>20</v>
      </c>
      <c r="AA5020" s="4">
        <v>50</v>
      </c>
      <c r="AB5020" s="4">
        <v>2</v>
      </c>
      <c r="AC5020" s="4">
        <v>11</v>
      </c>
      <c r="AD5020" s="4">
        <v>73</v>
      </c>
      <c r="AE5020" s="4">
        <v>137</v>
      </c>
      <c r="AF5020" s="4">
        <v>1</v>
      </c>
      <c r="AG5020" s="4">
        <v>5</v>
      </c>
      <c r="AH5020" s="4">
        <v>63</v>
      </c>
      <c r="AI5020" s="4">
        <v>109</v>
      </c>
      <c r="AJ5020" s="4">
        <v>14</v>
      </c>
      <c r="AK5020" s="4">
        <v>28</v>
      </c>
      <c r="AL5020" s="4">
        <v>35</v>
      </c>
      <c r="AM5020" s="4">
        <v>57</v>
      </c>
      <c r="AN5020" s="4">
        <v>2</v>
      </c>
      <c r="AO5020" s="4">
        <v>7</v>
      </c>
      <c r="AP5020" s="4">
        <v>16</v>
      </c>
      <c r="AQ5020" s="4">
        <v>35</v>
      </c>
      <c r="AR5020" s="3" t="s">
        <v>62</v>
      </c>
      <c r="AS5020" s="3" t="s">
        <v>62</v>
      </c>
      <c r="AT5020" s="3" t="s">
        <v>61</v>
      </c>
      <c r="AU5020" s="6" t="str">
        <f>HYPERLINK("http://catalog.hathitrust.org/Record/001554441","HathiTrust Record")</f>
        <v>HathiTrust Record</v>
      </c>
      <c r="AV5020" s="6" t="str">
        <f>HYPERLINK("http://mcgill.on.worldcat.org/oclc/1175660","Catalog Record")</f>
        <v>Catalog Record</v>
      </c>
      <c r="AW5020" s="6" t="str">
        <f>HYPERLINK("http://www.worldcat.org/oclc/1175660","WorldCat Record")</f>
        <v>WorldCat Record</v>
      </c>
      <c r="AX5020" s="3" t="s">
        <v>48325</v>
      </c>
      <c r="AY5020" s="3" t="s">
        <v>48326</v>
      </c>
      <c r="AZ5020" s="3" t="s">
        <v>48327</v>
      </c>
      <c r="BA5020" s="3" t="s">
        <v>48327</v>
      </c>
      <c r="BB5020" s="3" t="s">
        <v>48328</v>
      </c>
      <c r="BC5020" s="3" t="s">
        <v>102</v>
      </c>
      <c r="BD5020" s="3" t="s">
        <v>68</v>
      </c>
      <c r="BF5020" s="3" t="s">
        <v>48328</v>
      </c>
      <c r="BG5020" s="3" t="s">
        <v>48329</v>
      </c>
    </row>
    <row r="5021" spans="1:59" ht="58" x14ac:dyDescent="0.35">
      <c r="A5021" s="2" t="s">
        <v>89</v>
      </c>
      <c r="B5021" s="2" t="s">
        <v>6791</v>
      </c>
      <c r="C5021" s="2" t="s">
        <v>48330</v>
      </c>
      <c r="D5021" s="2" t="s">
        <v>48331</v>
      </c>
      <c r="E5021" s="2" t="s">
        <v>48332</v>
      </c>
      <c r="G5021" s="3" t="s">
        <v>62</v>
      </c>
      <c r="I5021" s="3" t="s">
        <v>62</v>
      </c>
      <c r="J5021" s="3" t="s">
        <v>62</v>
      </c>
      <c r="K5021" s="3" t="s">
        <v>63</v>
      </c>
      <c r="M5021" s="2" t="s">
        <v>48333</v>
      </c>
      <c r="N5021" s="3" t="s">
        <v>684</v>
      </c>
      <c r="P5021" s="3" t="s">
        <v>64</v>
      </c>
      <c r="R5021" s="3" t="s">
        <v>46535</v>
      </c>
      <c r="S5021" s="4">
        <v>2</v>
      </c>
      <c r="T5021" s="4">
        <v>2</v>
      </c>
      <c r="U5021" s="5" t="s">
        <v>48334</v>
      </c>
      <c r="V5021" s="5" t="s">
        <v>48334</v>
      </c>
      <c r="W5021" s="5" t="s">
        <v>67</v>
      </c>
      <c r="X5021" s="5" t="s">
        <v>67</v>
      </c>
      <c r="Y5021" s="4">
        <v>166</v>
      </c>
      <c r="Z5021" s="4">
        <v>11</v>
      </c>
      <c r="AA5021" s="4">
        <v>25</v>
      </c>
      <c r="AB5021" s="4">
        <v>1</v>
      </c>
      <c r="AC5021" s="4">
        <v>7</v>
      </c>
      <c r="AD5021" s="4">
        <v>29</v>
      </c>
      <c r="AE5021" s="4">
        <v>55</v>
      </c>
      <c r="AF5021" s="4">
        <v>0</v>
      </c>
      <c r="AG5021" s="4">
        <v>3</v>
      </c>
      <c r="AH5021" s="4">
        <v>25</v>
      </c>
      <c r="AI5021" s="4">
        <v>43</v>
      </c>
      <c r="AJ5021" s="4">
        <v>8</v>
      </c>
      <c r="AK5021" s="4">
        <v>16</v>
      </c>
      <c r="AL5021" s="4">
        <v>11</v>
      </c>
      <c r="AM5021" s="4">
        <v>17</v>
      </c>
      <c r="AN5021" s="4">
        <v>0</v>
      </c>
      <c r="AO5021" s="4">
        <v>0</v>
      </c>
      <c r="AP5021" s="4">
        <v>9</v>
      </c>
      <c r="AQ5021" s="4">
        <v>19</v>
      </c>
      <c r="AR5021" s="3" t="s">
        <v>62</v>
      </c>
      <c r="AS5021" s="3" t="s">
        <v>62</v>
      </c>
      <c r="AT5021" s="3" t="s">
        <v>62</v>
      </c>
      <c r="AV5021" s="6" t="str">
        <f>HYPERLINK("http://mcgill.on.worldcat.org/oclc/648080321","Catalog Record")</f>
        <v>Catalog Record</v>
      </c>
      <c r="AW5021" s="6" t="str">
        <f>HYPERLINK("http://www.worldcat.org/oclc/648080321","WorldCat Record")</f>
        <v>WorldCat Record</v>
      </c>
      <c r="AX5021" s="3" t="s">
        <v>48335</v>
      </c>
      <c r="AY5021" s="3" t="s">
        <v>48336</v>
      </c>
      <c r="AZ5021" s="3" t="s">
        <v>48337</v>
      </c>
      <c r="BA5021" s="3" t="s">
        <v>48337</v>
      </c>
      <c r="BB5021" s="3" t="s">
        <v>48338</v>
      </c>
      <c r="BC5021" s="3" t="s">
        <v>102</v>
      </c>
      <c r="BD5021" s="3" t="s">
        <v>68</v>
      </c>
      <c r="BE5021" s="3" t="s">
        <v>48339</v>
      </c>
      <c r="BF5021" s="3" t="s">
        <v>48338</v>
      </c>
      <c r="BG5021" s="3" t="s">
        <v>48340</v>
      </c>
    </row>
    <row r="5022" spans="1:59" ht="58" x14ac:dyDescent="0.35">
      <c r="A5022" s="2" t="s">
        <v>89</v>
      </c>
      <c r="B5022" s="2" t="s">
        <v>6791</v>
      </c>
      <c r="C5022" s="2" t="s">
        <v>48341</v>
      </c>
      <c r="D5022" s="2" t="s">
        <v>48342</v>
      </c>
      <c r="E5022" s="2" t="s">
        <v>48343</v>
      </c>
      <c r="G5022" s="3" t="s">
        <v>62</v>
      </c>
      <c r="I5022" s="3" t="s">
        <v>62</v>
      </c>
      <c r="J5022" s="3" t="s">
        <v>62</v>
      </c>
      <c r="K5022" s="3" t="s">
        <v>63</v>
      </c>
      <c r="L5022" s="2" t="s">
        <v>48344</v>
      </c>
      <c r="M5022" s="2" t="s">
        <v>48345</v>
      </c>
      <c r="N5022" s="3" t="s">
        <v>698</v>
      </c>
      <c r="P5022" s="3" t="s">
        <v>64</v>
      </c>
      <c r="R5022" s="3" t="s">
        <v>46535</v>
      </c>
      <c r="S5022" s="4">
        <v>0</v>
      </c>
      <c r="T5022" s="4">
        <v>0</v>
      </c>
      <c r="W5022" s="5" t="s">
        <v>67</v>
      </c>
      <c r="X5022" s="5" t="s">
        <v>67</v>
      </c>
      <c r="Y5022" s="4">
        <v>86</v>
      </c>
      <c r="Z5022" s="4">
        <v>10</v>
      </c>
      <c r="AA5022" s="4">
        <v>14</v>
      </c>
      <c r="AB5022" s="4">
        <v>1</v>
      </c>
      <c r="AC5022" s="4">
        <v>4</v>
      </c>
      <c r="AD5022" s="4">
        <v>18</v>
      </c>
      <c r="AE5022" s="4">
        <v>26</v>
      </c>
      <c r="AF5022" s="4">
        <v>0</v>
      </c>
      <c r="AG5022" s="4">
        <v>1</v>
      </c>
      <c r="AH5022" s="4">
        <v>13</v>
      </c>
      <c r="AI5022" s="4">
        <v>19</v>
      </c>
      <c r="AJ5022" s="4">
        <v>6</v>
      </c>
      <c r="AK5022" s="4">
        <v>7</v>
      </c>
      <c r="AL5022" s="4">
        <v>4</v>
      </c>
      <c r="AM5022" s="4">
        <v>9</v>
      </c>
      <c r="AN5022" s="4">
        <v>0</v>
      </c>
      <c r="AO5022" s="4">
        <v>0</v>
      </c>
      <c r="AP5022" s="4">
        <v>8</v>
      </c>
      <c r="AQ5022" s="4">
        <v>10</v>
      </c>
      <c r="AR5022" s="3" t="s">
        <v>62</v>
      </c>
      <c r="AS5022" s="3" t="s">
        <v>62</v>
      </c>
      <c r="AT5022" s="3" t="s">
        <v>62</v>
      </c>
      <c r="AV5022" s="6" t="str">
        <f>HYPERLINK("http://mcgill.on.worldcat.org/oclc/650214447","Catalog Record")</f>
        <v>Catalog Record</v>
      </c>
      <c r="AW5022" s="6" t="str">
        <f>HYPERLINK("http://www.worldcat.org/oclc/650214447","WorldCat Record")</f>
        <v>WorldCat Record</v>
      </c>
      <c r="AX5022" s="3" t="s">
        <v>48346</v>
      </c>
      <c r="AY5022" s="3" t="s">
        <v>48347</v>
      </c>
      <c r="AZ5022" s="3" t="s">
        <v>48348</v>
      </c>
      <c r="BA5022" s="3" t="s">
        <v>48348</v>
      </c>
      <c r="BB5022" s="3" t="s">
        <v>48349</v>
      </c>
      <c r="BC5022" s="3" t="s">
        <v>102</v>
      </c>
      <c r="BD5022" s="3" t="s">
        <v>68</v>
      </c>
      <c r="BE5022" s="3" t="s">
        <v>48350</v>
      </c>
      <c r="BF5022" s="3" t="s">
        <v>48349</v>
      </c>
      <c r="BG5022" s="3" t="s">
        <v>48351</v>
      </c>
    </row>
    <row r="5023" spans="1:59" ht="58" x14ac:dyDescent="0.35">
      <c r="A5023" s="2" t="s">
        <v>59</v>
      </c>
      <c r="B5023" s="2" t="s">
        <v>60</v>
      </c>
      <c r="C5023" s="2" t="s">
        <v>48352</v>
      </c>
      <c r="D5023" s="2" t="s">
        <v>48353</v>
      </c>
      <c r="E5023" s="2" t="s">
        <v>48354</v>
      </c>
      <c r="F5023" s="3" t="s">
        <v>2233</v>
      </c>
      <c r="G5023" s="3" t="s">
        <v>61</v>
      </c>
      <c r="I5023" s="3" t="s">
        <v>62</v>
      </c>
      <c r="J5023" s="3" t="s">
        <v>62</v>
      </c>
      <c r="K5023" s="3" t="s">
        <v>63</v>
      </c>
      <c r="L5023" s="2" t="s">
        <v>48355</v>
      </c>
      <c r="M5023" s="2" t="s">
        <v>48356</v>
      </c>
      <c r="N5023" s="3" t="s">
        <v>81</v>
      </c>
      <c r="P5023" s="3" t="s">
        <v>64</v>
      </c>
      <c r="R5023" s="3" t="s">
        <v>46535</v>
      </c>
      <c r="S5023" s="4">
        <v>0</v>
      </c>
      <c r="T5023" s="4">
        <v>4</v>
      </c>
      <c r="V5023" s="5" t="s">
        <v>48357</v>
      </c>
      <c r="W5023" s="5" t="s">
        <v>67</v>
      </c>
      <c r="X5023" s="5" t="s">
        <v>67</v>
      </c>
      <c r="Y5023" s="4">
        <v>519</v>
      </c>
      <c r="Z5023" s="4">
        <v>25</v>
      </c>
      <c r="AA5023" s="4">
        <v>25</v>
      </c>
      <c r="AB5023" s="4">
        <v>2</v>
      </c>
      <c r="AC5023" s="4">
        <v>2</v>
      </c>
      <c r="AD5023" s="4">
        <v>115</v>
      </c>
      <c r="AE5023" s="4">
        <v>117</v>
      </c>
      <c r="AF5023" s="4">
        <v>1</v>
      </c>
      <c r="AG5023" s="4">
        <v>1</v>
      </c>
      <c r="AH5023" s="4">
        <v>96</v>
      </c>
      <c r="AI5023" s="4">
        <v>98</v>
      </c>
      <c r="AJ5023" s="4">
        <v>18</v>
      </c>
      <c r="AK5023" s="4">
        <v>18</v>
      </c>
      <c r="AL5023" s="4">
        <v>54</v>
      </c>
      <c r="AM5023" s="4">
        <v>55</v>
      </c>
      <c r="AN5023" s="4">
        <v>0</v>
      </c>
      <c r="AO5023" s="4">
        <v>0</v>
      </c>
      <c r="AP5023" s="4">
        <v>23</v>
      </c>
      <c r="AQ5023" s="4">
        <v>23</v>
      </c>
      <c r="AR5023" s="3" t="s">
        <v>62</v>
      </c>
      <c r="AS5023" s="3" t="s">
        <v>62</v>
      </c>
      <c r="AT5023" s="3" t="s">
        <v>61</v>
      </c>
      <c r="AU5023" s="6" t="str">
        <f t="shared" ref="AU5023:AU5028" si="78">HYPERLINK("http://catalog.hathitrust.org/Record/000235289","HathiTrust Record")</f>
        <v>HathiTrust Record</v>
      </c>
      <c r="AV5023" s="6" t="str">
        <f t="shared" ref="AV5023:AV5028" si="79">HYPERLINK("http://mcgill.on.worldcat.org/oclc/516070","Catalog Record")</f>
        <v>Catalog Record</v>
      </c>
      <c r="AW5023" s="6" t="str">
        <f t="shared" ref="AW5023:AW5028" si="80">HYPERLINK("http://www.worldcat.org/oclc/516070","WorldCat Record")</f>
        <v>WorldCat Record</v>
      </c>
      <c r="AX5023" s="3" t="s">
        <v>48358</v>
      </c>
      <c r="AY5023" s="3" t="s">
        <v>48359</v>
      </c>
      <c r="AZ5023" s="3" t="s">
        <v>48360</v>
      </c>
      <c r="BA5023" s="3" t="s">
        <v>48360</v>
      </c>
      <c r="BB5023" s="3" t="s">
        <v>48361</v>
      </c>
      <c r="BC5023" s="3" t="s">
        <v>102</v>
      </c>
      <c r="BD5023" s="3" t="s">
        <v>68</v>
      </c>
      <c r="BE5023" s="3" t="s">
        <v>48362</v>
      </c>
      <c r="BF5023" s="3" t="s">
        <v>48361</v>
      </c>
      <c r="BG5023" s="3" t="s">
        <v>48363</v>
      </c>
    </row>
    <row r="5024" spans="1:59" ht="58" x14ac:dyDescent="0.35">
      <c r="A5024" s="2" t="s">
        <v>59</v>
      </c>
      <c r="B5024" s="2" t="s">
        <v>60</v>
      </c>
      <c r="C5024" s="2" t="s">
        <v>48352</v>
      </c>
      <c r="D5024" s="2" t="s">
        <v>48353</v>
      </c>
      <c r="E5024" s="2" t="s">
        <v>48354</v>
      </c>
      <c r="F5024" s="3" t="s">
        <v>2223</v>
      </c>
      <c r="G5024" s="3" t="s">
        <v>61</v>
      </c>
      <c r="I5024" s="3" t="s">
        <v>62</v>
      </c>
      <c r="J5024" s="3" t="s">
        <v>62</v>
      </c>
      <c r="K5024" s="3" t="s">
        <v>63</v>
      </c>
      <c r="L5024" s="2" t="s">
        <v>48355</v>
      </c>
      <c r="M5024" s="2" t="s">
        <v>48356</v>
      </c>
      <c r="N5024" s="3" t="s">
        <v>81</v>
      </c>
      <c r="P5024" s="3" t="s">
        <v>64</v>
      </c>
      <c r="R5024" s="3" t="s">
        <v>46535</v>
      </c>
      <c r="S5024" s="4">
        <v>4</v>
      </c>
      <c r="T5024" s="4">
        <v>4</v>
      </c>
      <c r="U5024" s="5" t="s">
        <v>48357</v>
      </c>
      <c r="V5024" s="5" t="s">
        <v>48357</v>
      </c>
      <c r="W5024" s="5" t="s">
        <v>67</v>
      </c>
      <c r="X5024" s="5" t="s">
        <v>67</v>
      </c>
      <c r="Y5024" s="4">
        <v>519</v>
      </c>
      <c r="Z5024" s="4">
        <v>25</v>
      </c>
      <c r="AA5024" s="4">
        <v>25</v>
      </c>
      <c r="AB5024" s="4">
        <v>2</v>
      </c>
      <c r="AC5024" s="4">
        <v>2</v>
      </c>
      <c r="AD5024" s="4">
        <v>115</v>
      </c>
      <c r="AE5024" s="4">
        <v>117</v>
      </c>
      <c r="AF5024" s="4">
        <v>1</v>
      </c>
      <c r="AG5024" s="4">
        <v>1</v>
      </c>
      <c r="AH5024" s="4">
        <v>96</v>
      </c>
      <c r="AI5024" s="4">
        <v>98</v>
      </c>
      <c r="AJ5024" s="4">
        <v>18</v>
      </c>
      <c r="AK5024" s="4">
        <v>18</v>
      </c>
      <c r="AL5024" s="4">
        <v>54</v>
      </c>
      <c r="AM5024" s="4">
        <v>55</v>
      </c>
      <c r="AN5024" s="4">
        <v>0</v>
      </c>
      <c r="AO5024" s="4">
        <v>0</v>
      </c>
      <c r="AP5024" s="4">
        <v>23</v>
      </c>
      <c r="AQ5024" s="4">
        <v>23</v>
      </c>
      <c r="AR5024" s="3" t="s">
        <v>62</v>
      </c>
      <c r="AS5024" s="3" t="s">
        <v>62</v>
      </c>
      <c r="AT5024" s="3" t="s">
        <v>61</v>
      </c>
      <c r="AU5024" s="6" t="str">
        <f t="shared" si="78"/>
        <v>HathiTrust Record</v>
      </c>
      <c r="AV5024" s="6" t="str">
        <f t="shared" si="79"/>
        <v>Catalog Record</v>
      </c>
      <c r="AW5024" s="6" t="str">
        <f t="shared" si="80"/>
        <v>WorldCat Record</v>
      </c>
      <c r="AX5024" s="3" t="s">
        <v>48358</v>
      </c>
      <c r="AY5024" s="3" t="s">
        <v>48359</v>
      </c>
      <c r="AZ5024" s="3" t="s">
        <v>48360</v>
      </c>
      <c r="BA5024" s="3" t="s">
        <v>48360</v>
      </c>
      <c r="BB5024" s="3" t="s">
        <v>48364</v>
      </c>
      <c r="BC5024" s="3" t="s">
        <v>102</v>
      </c>
      <c r="BD5024" s="3" t="s">
        <v>68</v>
      </c>
      <c r="BE5024" s="3" t="s">
        <v>48362</v>
      </c>
      <c r="BF5024" s="3" t="s">
        <v>48364</v>
      </c>
      <c r="BG5024" s="3" t="s">
        <v>48365</v>
      </c>
    </row>
    <row r="5025" spans="1:59" ht="58" x14ac:dyDescent="0.35">
      <c r="A5025" s="2" t="s">
        <v>59</v>
      </c>
      <c r="B5025" s="2" t="s">
        <v>60</v>
      </c>
      <c r="C5025" s="2" t="s">
        <v>48352</v>
      </c>
      <c r="D5025" s="2" t="s">
        <v>48353</v>
      </c>
      <c r="E5025" s="2" t="s">
        <v>48354</v>
      </c>
      <c r="F5025" s="3" t="s">
        <v>2237</v>
      </c>
      <c r="G5025" s="3" t="s">
        <v>61</v>
      </c>
      <c r="I5025" s="3" t="s">
        <v>62</v>
      </c>
      <c r="J5025" s="3" t="s">
        <v>62</v>
      </c>
      <c r="K5025" s="3" t="s">
        <v>63</v>
      </c>
      <c r="L5025" s="2" t="s">
        <v>48355</v>
      </c>
      <c r="M5025" s="2" t="s">
        <v>48356</v>
      </c>
      <c r="N5025" s="3" t="s">
        <v>81</v>
      </c>
      <c r="P5025" s="3" t="s">
        <v>64</v>
      </c>
      <c r="R5025" s="3" t="s">
        <v>46535</v>
      </c>
      <c r="S5025" s="4">
        <v>0</v>
      </c>
      <c r="T5025" s="4">
        <v>4</v>
      </c>
      <c r="V5025" s="5" t="s">
        <v>48357</v>
      </c>
      <c r="W5025" s="5" t="s">
        <v>67</v>
      </c>
      <c r="X5025" s="5" t="s">
        <v>67</v>
      </c>
      <c r="Y5025" s="4">
        <v>519</v>
      </c>
      <c r="Z5025" s="4">
        <v>25</v>
      </c>
      <c r="AA5025" s="4">
        <v>25</v>
      </c>
      <c r="AB5025" s="4">
        <v>2</v>
      </c>
      <c r="AC5025" s="4">
        <v>2</v>
      </c>
      <c r="AD5025" s="4">
        <v>115</v>
      </c>
      <c r="AE5025" s="4">
        <v>117</v>
      </c>
      <c r="AF5025" s="4">
        <v>1</v>
      </c>
      <c r="AG5025" s="4">
        <v>1</v>
      </c>
      <c r="AH5025" s="4">
        <v>96</v>
      </c>
      <c r="AI5025" s="4">
        <v>98</v>
      </c>
      <c r="AJ5025" s="4">
        <v>18</v>
      </c>
      <c r="AK5025" s="4">
        <v>18</v>
      </c>
      <c r="AL5025" s="4">
        <v>54</v>
      </c>
      <c r="AM5025" s="4">
        <v>55</v>
      </c>
      <c r="AN5025" s="4">
        <v>0</v>
      </c>
      <c r="AO5025" s="4">
        <v>0</v>
      </c>
      <c r="AP5025" s="4">
        <v>23</v>
      </c>
      <c r="AQ5025" s="4">
        <v>23</v>
      </c>
      <c r="AR5025" s="3" t="s">
        <v>62</v>
      </c>
      <c r="AS5025" s="3" t="s">
        <v>62</v>
      </c>
      <c r="AT5025" s="3" t="s">
        <v>61</v>
      </c>
      <c r="AU5025" s="6" t="str">
        <f t="shared" si="78"/>
        <v>HathiTrust Record</v>
      </c>
      <c r="AV5025" s="6" t="str">
        <f t="shared" si="79"/>
        <v>Catalog Record</v>
      </c>
      <c r="AW5025" s="6" t="str">
        <f t="shared" si="80"/>
        <v>WorldCat Record</v>
      </c>
      <c r="AX5025" s="3" t="s">
        <v>48358</v>
      </c>
      <c r="AY5025" s="3" t="s">
        <v>48359</v>
      </c>
      <c r="AZ5025" s="3" t="s">
        <v>48360</v>
      </c>
      <c r="BA5025" s="3" t="s">
        <v>48360</v>
      </c>
      <c r="BB5025" s="3" t="s">
        <v>48366</v>
      </c>
      <c r="BC5025" s="3" t="s">
        <v>102</v>
      </c>
      <c r="BD5025" s="3" t="s">
        <v>68</v>
      </c>
      <c r="BE5025" s="3" t="s">
        <v>48362</v>
      </c>
      <c r="BF5025" s="3" t="s">
        <v>48366</v>
      </c>
      <c r="BG5025" s="3" t="s">
        <v>48367</v>
      </c>
    </row>
    <row r="5026" spans="1:59" ht="58" x14ac:dyDescent="0.35">
      <c r="A5026" s="2" t="s">
        <v>59</v>
      </c>
      <c r="B5026" s="2" t="s">
        <v>60</v>
      </c>
      <c r="C5026" s="2" t="s">
        <v>48352</v>
      </c>
      <c r="D5026" s="2" t="s">
        <v>48353</v>
      </c>
      <c r="E5026" s="2" t="s">
        <v>48354</v>
      </c>
      <c r="F5026" s="3" t="s">
        <v>2214</v>
      </c>
      <c r="G5026" s="3" t="s">
        <v>61</v>
      </c>
      <c r="I5026" s="3" t="s">
        <v>62</v>
      </c>
      <c r="J5026" s="3" t="s">
        <v>62</v>
      </c>
      <c r="K5026" s="3" t="s">
        <v>63</v>
      </c>
      <c r="L5026" s="2" t="s">
        <v>48355</v>
      </c>
      <c r="M5026" s="2" t="s">
        <v>48356</v>
      </c>
      <c r="N5026" s="3" t="s">
        <v>81</v>
      </c>
      <c r="P5026" s="3" t="s">
        <v>64</v>
      </c>
      <c r="R5026" s="3" t="s">
        <v>46535</v>
      </c>
      <c r="S5026" s="4">
        <v>0</v>
      </c>
      <c r="T5026" s="4">
        <v>4</v>
      </c>
      <c r="V5026" s="5" t="s">
        <v>48357</v>
      </c>
      <c r="W5026" s="5" t="s">
        <v>67</v>
      </c>
      <c r="X5026" s="5" t="s">
        <v>67</v>
      </c>
      <c r="Y5026" s="4">
        <v>519</v>
      </c>
      <c r="Z5026" s="4">
        <v>25</v>
      </c>
      <c r="AA5026" s="4">
        <v>25</v>
      </c>
      <c r="AB5026" s="4">
        <v>2</v>
      </c>
      <c r="AC5026" s="4">
        <v>2</v>
      </c>
      <c r="AD5026" s="4">
        <v>115</v>
      </c>
      <c r="AE5026" s="4">
        <v>117</v>
      </c>
      <c r="AF5026" s="4">
        <v>1</v>
      </c>
      <c r="AG5026" s="4">
        <v>1</v>
      </c>
      <c r="AH5026" s="4">
        <v>96</v>
      </c>
      <c r="AI5026" s="4">
        <v>98</v>
      </c>
      <c r="AJ5026" s="4">
        <v>18</v>
      </c>
      <c r="AK5026" s="4">
        <v>18</v>
      </c>
      <c r="AL5026" s="4">
        <v>54</v>
      </c>
      <c r="AM5026" s="4">
        <v>55</v>
      </c>
      <c r="AN5026" s="4">
        <v>0</v>
      </c>
      <c r="AO5026" s="4">
        <v>0</v>
      </c>
      <c r="AP5026" s="4">
        <v>23</v>
      </c>
      <c r="AQ5026" s="4">
        <v>23</v>
      </c>
      <c r="AR5026" s="3" t="s">
        <v>62</v>
      </c>
      <c r="AS5026" s="3" t="s">
        <v>62</v>
      </c>
      <c r="AT5026" s="3" t="s">
        <v>61</v>
      </c>
      <c r="AU5026" s="6" t="str">
        <f t="shared" si="78"/>
        <v>HathiTrust Record</v>
      </c>
      <c r="AV5026" s="6" t="str">
        <f t="shared" si="79"/>
        <v>Catalog Record</v>
      </c>
      <c r="AW5026" s="6" t="str">
        <f t="shared" si="80"/>
        <v>WorldCat Record</v>
      </c>
      <c r="AX5026" s="3" t="s">
        <v>48358</v>
      </c>
      <c r="AY5026" s="3" t="s">
        <v>48359</v>
      </c>
      <c r="AZ5026" s="3" t="s">
        <v>48360</v>
      </c>
      <c r="BA5026" s="3" t="s">
        <v>48360</v>
      </c>
      <c r="BB5026" s="3" t="s">
        <v>48368</v>
      </c>
      <c r="BC5026" s="3" t="s">
        <v>102</v>
      </c>
      <c r="BD5026" s="3" t="s">
        <v>68</v>
      </c>
      <c r="BE5026" s="3" t="s">
        <v>48362</v>
      </c>
      <c r="BF5026" s="3" t="s">
        <v>48368</v>
      </c>
      <c r="BG5026" s="3" t="s">
        <v>48369</v>
      </c>
    </row>
    <row r="5027" spans="1:59" ht="58" x14ac:dyDescent="0.35">
      <c r="A5027" s="2" t="s">
        <v>59</v>
      </c>
      <c r="B5027" s="2" t="s">
        <v>60</v>
      </c>
      <c r="C5027" s="2" t="s">
        <v>48352</v>
      </c>
      <c r="D5027" s="2" t="s">
        <v>48353</v>
      </c>
      <c r="E5027" s="2" t="s">
        <v>48354</v>
      </c>
      <c r="F5027" s="3" t="s">
        <v>2248</v>
      </c>
      <c r="G5027" s="3" t="s">
        <v>61</v>
      </c>
      <c r="I5027" s="3" t="s">
        <v>62</v>
      </c>
      <c r="J5027" s="3" t="s">
        <v>62</v>
      </c>
      <c r="K5027" s="3" t="s">
        <v>63</v>
      </c>
      <c r="L5027" s="2" t="s">
        <v>48355</v>
      </c>
      <c r="M5027" s="2" t="s">
        <v>48356</v>
      </c>
      <c r="N5027" s="3" t="s">
        <v>81</v>
      </c>
      <c r="P5027" s="3" t="s">
        <v>64</v>
      </c>
      <c r="R5027" s="3" t="s">
        <v>46535</v>
      </c>
      <c r="S5027" s="4">
        <v>0</v>
      </c>
      <c r="T5027" s="4">
        <v>4</v>
      </c>
      <c r="V5027" s="5" t="s">
        <v>48357</v>
      </c>
      <c r="W5027" s="5" t="s">
        <v>67</v>
      </c>
      <c r="X5027" s="5" t="s">
        <v>67</v>
      </c>
      <c r="Y5027" s="4">
        <v>519</v>
      </c>
      <c r="Z5027" s="4">
        <v>25</v>
      </c>
      <c r="AA5027" s="4">
        <v>25</v>
      </c>
      <c r="AB5027" s="4">
        <v>2</v>
      </c>
      <c r="AC5027" s="4">
        <v>2</v>
      </c>
      <c r="AD5027" s="4">
        <v>115</v>
      </c>
      <c r="AE5027" s="4">
        <v>117</v>
      </c>
      <c r="AF5027" s="4">
        <v>1</v>
      </c>
      <c r="AG5027" s="4">
        <v>1</v>
      </c>
      <c r="AH5027" s="4">
        <v>96</v>
      </c>
      <c r="AI5027" s="4">
        <v>98</v>
      </c>
      <c r="AJ5027" s="4">
        <v>18</v>
      </c>
      <c r="AK5027" s="4">
        <v>18</v>
      </c>
      <c r="AL5027" s="4">
        <v>54</v>
      </c>
      <c r="AM5027" s="4">
        <v>55</v>
      </c>
      <c r="AN5027" s="4">
        <v>0</v>
      </c>
      <c r="AO5027" s="4">
        <v>0</v>
      </c>
      <c r="AP5027" s="4">
        <v>23</v>
      </c>
      <c r="AQ5027" s="4">
        <v>23</v>
      </c>
      <c r="AR5027" s="3" t="s">
        <v>62</v>
      </c>
      <c r="AS5027" s="3" t="s">
        <v>62</v>
      </c>
      <c r="AT5027" s="3" t="s">
        <v>61</v>
      </c>
      <c r="AU5027" s="6" t="str">
        <f t="shared" si="78"/>
        <v>HathiTrust Record</v>
      </c>
      <c r="AV5027" s="6" t="str">
        <f t="shared" si="79"/>
        <v>Catalog Record</v>
      </c>
      <c r="AW5027" s="6" t="str">
        <f t="shared" si="80"/>
        <v>WorldCat Record</v>
      </c>
      <c r="AX5027" s="3" t="s">
        <v>48358</v>
      </c>
      <c r="AY5027" s="3" t="s">
        <v>48359</v>
      </c>
      <c r="AZ5027" s="3" t="s">
        <v>48360</v>
      </c>
      <c r="BA5027" s="3" t="s">
        <v>48360</v>
      </c>
      <c r="BB5027" s="3" t="s">
        <v>48370</v>
      </c>
      <c r="BC5027" s="3" t="s">
        <v>102</v>
      </c>
      <c r="BD5027" s="3" t="s">
        <v>68</v>
      </c>
      <c r="BE5027" s="3" t="s">
        <v>48362</v>
      </c>
      <c r="BF5027" s="3" t="s">
        <v>48370</v>
      </c>
      <c r="BG5027" s="3" t="s">
        <v>48371</v>
      </c>
    </row>
    <row r="5028" spans="1:59" ht="58" x14ac:dyDescent="0.35">
      <c r="A5028" s="2" t="s">
        <v>59</v>
      </c>
      <c r="B5028" s="2" t="s">
        <v>60</v>
      </c>
      <c r="C5028" s="2" t="s">
        <v>48352</v>
      </c>
      <c r="D5028" s="2" t="s">
        <v>48353</v>
      </c>
      <c r="E5028" s="2" t="s">
        <v>48354</v>
      </c>
      <c r="F5028" s="3" t="s">
        <v>2217</v>
      </c>
      <c r="G5028" s="3" t="s">
        <v>61</v>
      </c>
      <c r="I5028" s="3" t="s">
        <v>62</v>
      </c>
      <c r="J5028" s="3" t="s">
        <v>62</v>
      </c>
      <c r="K5028" s="3" t="s">
        <v>63</v>
      </c>
      <c r="L5028" s="2" t="s">
        <v>48355</v>
      </c>
      <c r="M5028" s="2" t="s">
        <v>48356</v>
      </c>
      <c r="N5028" s="3" t="s">
        <v>81</v>
      </c>
      <c r="P5028" s="3" t="s">
        <v>64</v>
      </c>
      <c r="R5028" s="3" t="s">
        <v>46535</v>
      </c>
      <c r="S5028" s="4">
        <v>0</v>
      </c>
      <c r="T5028" s="4">
        <v>4</v>
      </c>
      <c r="V5028" s="5" t="s">
        <v>48357</v>
      </c>
      <c r="W5028" s="5" t="s">
        <v>67</v>
      </c>
      <c r="X5028" s="5" t="s">
        <v>67</v>
      </c>
      <c r="Y5028" s="4">
        <v>519</v>
      </c>
      <c r="Z5028" s="4">
        <v>25</v>
      </c>
      <c r="AA5028" s="4">
        <v>25</v>
      </c>
      <c r="AB5028" s="4">
        <v>2</v>
      </c>
      <c r="AC5028" s="4">
        <v>2</v>
      </c>
      <c r="AD5028" s="4">
        <v>115</v>
      </c>
      <c r="AE5028" s="4">
        <v>117</v>
      </c>
      <c r="AF5028" s="4">
        <v>1</v>
      </c>
      <c r="AG5028" s="4">
        <v>1</v>
      </c>
      <c r="AH5028" s="4">
        <v>96</v>
      </c>
      <c r="AI5028" s="4">
        <v>98</v>
      </c>
      <c r="AJ5028" s="4">
        <v>18</v>
      </c>
      <c r="AK5028" s="4">
        <v>18</v>
      </c>
      <c r="AL5028" s="4">
        <v>54</v>
      </c>
      <c r="AM5028" s="4">
        <v>55</v>
      </c>
      <c r="AN5028" s="4">
        <v>0</v>
      </c>
      <c r="AO5028" s="4">
        <v>0</v>
      </c>
      <c r="AP5028" s="4">
        <v>23</v>
      </c>
      <c r="AQ5028" s="4">
        <v>23</v>
      </c>
      <c r="AR5028" s="3" t="s">
        <v>62</v>
      </c>
      <c r="AS5028" s="3" t="s">
        <v>62</v>
      </c>
      <c r="AT5028" s="3" t="s">
        <v>61</v>
      </c>
      <c r="AU5028" s="6" t="str">
        <f t="shared" si="78"/>
        <v>HathiTrust Record</v>
      </c>
      <c r="AV5028" s="6" t="str">
        <f t="shared" si="79"/>
        <v>Catalog Record</v>
      </c>
      <c r="AW5028" s="6" t="str">
        <f t="shared" si="80"/>
        <v>WorldCat Record</v>
      </c>
      <c r="AX5028" s="3" t="s">
        <v>48358</v>
      </c>
      <c r="AY5028" s="3" t="s">
        <v>48359</v>
      </c>
      <c r="AZ5028" s="3" t="s">
        <v>48360</v>
      </c>
      <c r="BA5028" s="3" t="s">
        <v>48360</v>
      </c>
      <c r="BB5028" s="3" t="s">
        <v>48372</v>
      </c>
      <c r="BC5028" s="3" t="s">
        <v>102</v>
      </c>
      <c r="BD5028" s="3" t="s">
        <v>68</v>
      </c>
      <c r="BE5028" s="3" t="s">
        <v>48362</v>
      </c>
      <c r="BF5028" s="3" t="s">
        <v>48372</v>
      </c>
      <c r="BG5028" s="3" t="s">
        <v>48373</v>
      </c>
    </row>
    <row r="5029" spans="1:59" ht="58" x14ac:dyDescent="0.35">
      <c r="A5029" s="2" t="s">
        <v>89</v>
      </c>
      <c r="B5029" s="2" t="s">
        <v>90</v>
      </c>
      <c r="C5029" s="2" t="s">
        <v>48374</v>
      </c>
      <c r="D5029" s="2" t="s">
        <v>48375</v>
      </c>
      <c r="E5029" s="2" t="s">
        <v>48376</v>
      </c>
      <c r="G5029" s="3" t="s">
        <v>62</v>
      </c>
      <c r="I5029" s="3" t="s">
        <v>62</v>
      </c>
      <c r="J5029" s="3" t="s">
        <v>62</v>
      </c>
      <c r="K5029" s="3" t="s">
        <v>63</v>
      </c>
      <c r="L5029" s="2" t="s">
        <v>48377</v>
      </c>
      <c r="M5029" s="2" t="s">
        <v>48378</v>
      </c>
      <c r="N5029" s="3" t="s">
        <v>553</v>
      </c>
      <c r="O5029" s="2" t="s">
        <v>48379</v>
      </c>
      <c r="P5029" s="3" t="s">
        <v>64</v>
      </c>
      <c r="R5029" s="3" t="s">
        <v>46535</v>
      </c>
      <c r="S5029" s="4">
        <v>9</v>
      </c>
      <c r="T5029" s="4">
        <v>9</v>
      </c>
      <c r="U5029" s="5" t="s">
        <v>48380</v>
      </c>
      <c r="V5029" s="5" t="s">
        <v>48380</v>
      </c>
      <c r="W5029" s="5" t="s">
        <v>67</v>
      </c>
      <c r="X5029" s="5" t="s">
        <v>67</v>
      </c>
      <c r="Y5029" s="4">
        <v>153</v>
      </c>
      <c r="Z5029" s="4">
        <v>11</v>
      </c>
      <c r="AA5029" s="4">
        <v>44</v>
      </c>
      <c r="AB5029" s="4">
        <v>1</v>
      </c>
      <c r="AC5029" s="4">
        <v>4</v>
      </c>
      <c r="AD5029" s="4">
        <v>14</v>
      </c>
      <c r="AE5029" s="4">
        <v>115</v>
      </c>
      <c r="AF5029" s="4">
        <v>0</v>
      </c>
      <c r="AG5029" s="4">
        <v>1</v>
      </c>
      <c r="AH5029" s="4">
        <v>11</v>
      </c>
      <c r="AI5029" s="4">
        <v>98</v>
      </c>
      <c r="AJ5029" s="4">
        <v>5</v>
      </c>
      <c r="AK5029" s="4">
        <v>18</v>
      </c>
      <c r="AL5029" s="4">
        <v>4</v>
      </c>
      <c r="AM5029" s="4">
        <v>49</v>
      </c>
      <c r="AN5029" s="4">
        <v>0</v>
      </c>
      <c r="AO5029" s="4">
        <v>0</v>
      </c>
      <c r="AP5029" s="4">
        <v>6</v>
      </c>
      <c r="AQ5029" s="4">
        <v>25</v>
      </c>
      <c r="AR5029" s="3" t="s">
        <v>62</v>
      </c>
      <c r="AS5029" s="3" t="s">
        <v>62</v>
      </c>
      <c r="AT5029" s="3" t="s">
        <v>62</v>
      </c>
      <c r="AV5029" s="6" t="str">
        <f>HYPERLINK("http://mcgill.on.worldcat.org/oclc/42639508","Catalog Record")</f>
        <v>Catalog Record</v>
      </c>
      <c r="AW5029" s="6" t="str">
        <f>HYPERLINK("http://www.worldcat.org/oclc/42639508","WorldCat Record")</f>
        <v>WorldCat Record</v>
      </c>
      <c r="AX5029" s="3" t="s">
        <v>48381</v>
      </c>
      <c r="AY5029" s="3" t="s">
        <v>48382</v>
      </c>
      <c r="AZ5029" s="3" t="s">
        <v>48383</v>
      </c>
      <c r="BA5029" s="3" t="s">
        <v>48383</v>
      </c>
      <c r="BB5029" s="3" t="s">
        <v>48384</v>
      </c>
      <c r="BC5029" s="3" t="s">
        <v>102</v>
      </c>
      <c r="BD5029" s="3" t="s">
        <v>231</v>
      </c>
      <c r="BE5029" s="3" t="s">
        <v>48385</v>
      </c>
      <c r="BF5029" s="3" t="s">
        <v>48384</v>
      </c>
      <c r="BG5029" s="3" t="s">
        <v>48386</v>
      </c>
    </row>
    <row r="5030" spans="1:59" ht="72.5" x14ac:dyDescent="0.35">
      <c r="A5030" s="2" t="s">
        <v>89</v>
      </c>
      <c r="B5030" s="2" t="s">
        <v>90</v>
      </c>
      <c r="C5030" s="2" t="s">
        <v>48387</v>
      </c>
      <c r="D5030" s="2" t="s">
        <v>48388</v>
      </c>
      <c r="E5030" s="2" t="s">
        <v>48389</v>
      </c>
      <c r="F5030" s="3" t="s">
        <v>48390</v>
      </c>
      <c r="G5030" s="3" t="s">
        <v>62</v>
      </c>
      <c r="I5030" s="3" t="s">
        <v>62</v>
      </c>
      <c r="J5030" s="3" t="s">
        <v>62</v>
      </c>
      <c r="K5030" s="3" t="s">
        <v>63</v>
      </c>
      <c r="L5030" s="2" t="s">
        <v>48391</v>
      </c>
      <c r="M5030" s="2" t="s">
        <v>48392</v>
      </c>
      <c r="N5030" s="3" t="s">
        <v>13197</v>
      </c>
      <c r="P5030" s="3" t="s">
        <v>1881</v>
      </c>
      <c r="Q5030" s="2" t="s">
        <v>48393</v>
      </c>
      <c r="R5030" s="3" t="s">
        <v>46535</v>
      </c>
      <c r="S5030" s="4">
        <v>5</v>
      </c>
      <c r="T5030" s="4">
        <v>5</v>
      </c>
      <c r="U5030" s="5" t="s">
        <v>37494</v>
      </c>
      <c r="V5030" s="5" t="s">
        <v>37494</v>
      </c>
      <c r="W5030" s="5" t="s">
        <v>67</v>
      </c>
      <c r="X5030" s="5" t="s">
        <v>67</v>
      </c>
      <c r="Y5030" s="4">
        <v>60</v>
      </c>
      <c r="Z5030" s="4">
        <v>1</v>
      </c>
      <c r="AA5030" s="4">
        <v>1</v>
      </c>
      <c r="AB5030" s="4">
        <v>1</v>
      </c>
      <c r="AC5030" s="4">
        <v>1</v>
      </c>
      <c r="AD5030" s="4">
        <v>26</v>
      </c>
      <c r="AE5030" s="4">
        <v>28</v>
      </c>
      <c r="AF5030" s="4">
        <v>0</v>
      </c>
      <c r="AG5030" s="4">
        <v>0</v>
      </c>
      <c r="AH5030" s="4">
        <v>24</v>
      </c>
      <c r="AI5030" s="4">
        <v>26</v>
      </c>
      <c r="AJ5030" s="4">
        <v>0</v>
      </c>
      <c r="AK5030" s="4">
        <v>0</v>
      </c>
      <c r="AL5030" s="4">
        <v>24</v>
      </c>
      <c r="AM5030" s="4">
        <v>25</v>
      </c>
      <c r="AN5030" s="4">
        <v>0</v>
      </c>
      <c r="AO5030" s="4">
        <v>0</v>
      </c>
      <c r="AP5030" s="4">
        <v>0</v>
      </c>
      <c r="AQ5030" s="4">
        <v>0</v>
      </c>
      <c r="AR5030" s="3" t="s">
        <v>62</v>
      </c>
      <c r="AS5030" s="3" t="s">
        <v>62</v>
      </c>
      <c r="AT5030" s="3" t="s">
        <v>62</v>
      </c>
      <c r="AU5030" s="6" t="str">
        <f>HYPERLINK("http://catalog.hathitrust.org/Record/001692104","HathiTrust Record")</f>
        <v>HathiTrust Record</v>
      </c>
      <c r="AV5030" s="6" t="str">
        <f>HYPERLINK("http://mcgill.on.worldcat.org/oclc/1367715","Catalog Record")</f>
        <v>Catalog Record</v>
      </c>
      <c r="AW5030" s="6" t="str">
        <f>HYPERLINK("http://www.worldcat.org/oclc/1367715","WorldCat Record")</f>
        <v>WorldCat Record</v>
      </c>
      <c r="AX5030" s="3" t="s">
        <v>48394</v>
      </c>
      <c r="AY5030" s="3" t="s">
        <v>48395</v>
      </c>
      <c r="AZ5030" s="3" t="s">
        <v>48396</v>
      </c>
      <c r="BA5030" s="3" t="s">
        <v>48396</v>
      </c>
      <c r="BB5030" s="3" t="s">
        <v>48397</v>
      </c>
      <c r="BC5030" s="3" t="s">
        <v>102</v>
      </c>
      <c r="BD5030" s="3" t="s">
        <v>68</v>
      </c>
      <c r="BF5030" s="3" t="s">
        <v>48397</v>
      </c>
      <c r="BG5030" s="3" t="s">
        <v>48398</v>
      </c>
    </row>
    <row r="5031" spans="1:59" ht="58" x14ac:dyDescent="0.35">
      <c r="A5031" s="2" t="s">
        <v>89</v>
      </c>
      <c r="B5031" s="2" t="s">
        <v>90</v>
      </c>
      <c r="C5031" s="2" t="s">
        <v>48399</v>
      </c>
      <c r="D5031" s="2" t="s">
        <v>48400</v>
      </c>
      <c r="E5031" s="2" t="s">
        <v>48401</v>
      </c>
      <c r="G5031" s="3" t="s">
        <v>62</v>
      </c>
      <c r="I5031" s="3" t="s">
        <v>62</v>
      </c>
      <c r="J5031" s="3" t="s">
        <v>62</v>
      </c>
      <c r="K5031" s="3" t="s">
        <v>63</v>
      </c>
      <c r="L5031" s="2" t="s">
        <v>40504</v>
      </c>
      <c r="M5031" s="2" t="s">
        <v>48402</v>
      </c>
      <c r="N5031" s="3" t="s">
        <v>1455</v>
      </c>
      <c r="P5031" s="3" t="s">
        <v>64</v>
      </c>
      <c r="R5031" s="3" t="s">
        <v>46535</v>
      </c>
      <c r="S5031" s="4">
        <v>0</v>
      </c>
      <c r="T5031" s="4">
        <v>0</v>
      </c>
      <c r="W5031" s="5" t="s">
        <v>67</v>
      </c>
      <c r="X5031" s="5" t="s">
        <v>67</v>
      </c>
      <c r="Y5031" s="4">
        <v>414</v>
      </c>
      <c r="Z5031" s="4">
        <v>20</v>
      </c>
      <c r="AA5031" s="4">
        <v>125</v>
      </c>
      <c r="AB5031" s="4">
        <v>3</v>
      </c>
      <c r="AC5031" s="4">
        <v>19</v>
      </c>
      <c r="AD5031" s="4">
        <v>59</v>
      </c>
      <c r="AE5031" s="4">
        <v>139</v>
      </c>
      <c r="AF5031" s="4">
        <v>1</v>
      </c>
      <c r="AG5031" s="4">
        <v>8</v>
      </c>
      <c r="AH5031" s="4">
        <v>50</v>
      </c>
      <c r="AI5031" s="4">
        <v>90</v>
      </c>
      <c r="AJ5031" s="4">
        <v>11</v>
      </c>
      <c r="AK5031" s="4">
        <v>27</v>
      </c>
      <c r="AL5031" s="4">
        <v>33</v>
      </c>
      <c r="AM5031" s="4">
        <v>49</v>
      </c>
      <c r="AN5031" s="4">
        <v>0</v>
      </c>
      <c r="AO5031" s="4">
        <v>0</v>
      </c>
      <c r="AP5031" s="4">
        <v>10</v>
      </c>
      <c r="AQ5031" s="4">
        <v>54</v>
      </c>
      <c r="AR5031" s="3" t="s">
        <v>61</v>
      </c>
      <c r="AS5031" s="3" t="s">
        <v>62</v>
      </c>
      <c r="AT5031" s="3" t="s">
        <v>62</v>
      </c>
      <c r="AV5031" s="6" t="str">
        <f>HYPERLINK("http://mcgill.on.worldcat.org/oclc/908628855","Catalog Record")</f>
        <v>Catalog Record</v>
      </c>
      <c r="AW5031" s="6" t="str">
        <f>HYPERLINK("http://www.worldcat.org/oclc/908628855","WorldCat Record")</f>
        <v>WorldCat Record</v>
      </c>
      <c r="AX5031" s="3" t="s">
        <v>48403</v>
      </c>
      <c r="AY5031" s="3" t="s">
        <v>48404</v>
      </c>
      <c r="AZ5031" s="3" t="s">
        <v>48405</v>
      </c>
      <c r="BA5031" s="3" t="s">
        <v>48405</v>
      </c>
      <c r="BB5031" s="3" t="s">
        <v>48406</v>
      </c>
      <c r="BC5031" s="3" t="s">
        <v>102</v>
      </c>
      <c r="BD5031" s="3" t="s">
        <v>68</v>
      </c>
      <c r="BE5031" s="3" t="s">
        <v>48407</v>
      </c>
      <c r="BF5031" s="3" t="s">
        <v>48406</v>
      </c>
      <c r="BG5031" s="3" t="s">
        <v>48408</v>
      </c>
    </row>
    <row r="5032" spans="1:59" ht="58" x14ac:dyDescent="0.35">
      <c r="A5032" s="2" t="s">
        <v>89</v>
      </c>
      <c r="B5032" s="2" t="s">
        <v>90</v>
      </c>
      <c r="C5032" s="2" t="s">
        <v>48409</v>
      </c>
      <c r="D5032" s="2" t="s">
        <v>48410</v>
      </c>
      <c r="E5032" s="2" t="s">
        <v>48411</v>
      </c>
      <c r="G5032" s="3" t="s">
        <v>62</v>
      </c>
      <c r="I5032" s="3" t="s">
        <v>61</v>
      </c>
      <c r="J5032" s="3" t="s">
        <v>62</v>
      </c>
      <c r="K5032" s="3" t="s">
        <v>63</v>
      </c>
      <c r="L5032" s="2" t="s">
        <v>48412</v>
      </c>
      <c r="M5032" s="2" t="s">
        <v>16628</v>
      </c>
      <c r="N5032" s="3" t="s">
        <v>539</v>
      </c>
      <c r="P5032" s="3" t="s">
        <v>64</v>
      </c>
      <c r="R5032" s="3" t="s">
        <v>46535</v>
      </c>
      <c r="S5032" s="4">
        <v>13</v>
      </c>
      <c r="T5032" s="4">
        <v>21</v>
      </c>
      <c r="U5032" s="5" t="s">
        <v>10633</v>
      </c>
      <c r="V5032" s="5" t="s">
        <v>10633</v>
      </c>
      <c r="W5032" s="5" t="s">
        <v>67</v>
      </c>
      <c r="X5032" s="5" t="s">
        <v>67</v>
      </c>
      <c r="Y5032" s="4">
        <v>574</v>
      </c>
      <c r="Z5032" s="4">
        <v>31</v>
      </c>
      <c r="AA5032" s="4">
        <v>123</v>
      </c>
      <c r="AB5032" s="4">
        <v>3</v>
      </c>
      <c r="AC5032" s="4">
        <v>18</v>
      </c>
      <c r="AD5032" s="4">
        <v>118</v>
      </c>
      <c r="AE5032" s="4">
        <v>159</v>
      </c>
      <c r="AF5032" s="4">
        <v>2</v>
      </c>
      <c r="AG5032" s="4">
        <v>9</v>
      </c>
      <c r="AH5032" s="4">
        <v>100</v>
      </c>
      <c r="AI5032" s="4">
        <v>114</v>
      </c>
      <c r="AJ5032" s="4">
        <v>17</v>
      </c>
      <c r="AK5032" s="4">
        <v>27</v>
      </c>
      <c r="AL5032" s="4">
        <v>54</v>
      </c>
      <c r="AM5032" s="4">
        <v>57</v>
      </c>
      <c r="AN5032" s="4">
        <v>0</v>
      </c>
      <c r="AO5032" s="4">
        <v>0</v>
      </c>
      <c r="AP5032" s="4">
        <v>24</v>
      </c>
      <c r="AQ5032" s="4">
        <v>54</v>
      </c>
      <c r="AR5032" s="3" t="s">
        <v>62</v>
      </c>
      <c r="AS5032" s="3" t="s">
        <v>62</v>
      </c>
      <c r="AT5032" s="3" t="s">
        <v>62</v>
      </c>
      <c r="AV5032" s="6" t="str">
        <f>HYPERLINK("http://mcgill.on.worldcat.org/oclc/36877412","Catalog Record")</f>
        <v>Catalog Record</v>
      </c>
      <c r="AW5032" s="6" t="str">
        <f>HYPERLINK("http://www.worldcat.org/oclc/36877412","WorldCat Record")</f>
        <v>WorldCat Record</v>
      </c>
      <c r="AX5032" s="3" t="s">
        <v>48413</v>
      </c>
      <c r="AY5032" s="3" t="s">
        <v>48414</v>
      </c>
      <c r="AZ5032" s="3" t="s">
        <v>48415</v>
      </c>
      <c r="BA5032" s="3" t="s">
        <v>48415</v>
      </c>
      <c r="BB5032" s="3" t="s">
        <v>48416</v>
      </c>
      <c r="BC5032" s="3" t="s">
        <v>102</v>
      </c>
      <c r="BD5032" s="3" t="s">
        <v>231</v>
      </c>
      <c r="BE5032" s="3" t="s">
        <v>48417</v>
      </c>
      <c r="BF5032" s="3" t="s">
        <v>48416</v>
      </c>
      <c r="BG5032" s="3" t="s">
        <v>48418</v>
      </c>
    </row>
    <row r="5033" spans="1:59" ht="58" x14ac:dyDescent="0.35">
      <c r="A5033" s="2" t="s">
        <v>89</v>
      </c>
      <c r="B5033" s="2" t="s">
        <v>90</v>
      </c>
      <c r="C5033" s="2" t="s">
        <v>48419</v>
      </c>
      <c r="D5033" s="2" t="s">
        <v>48420</v>
      </c>
      <c r="E5033" s="2" t="s">
        <v>48421</v>
      </c>
      <c r="G5033" s="3" t="s">
        <v>62</v>
      </c>
      <c r="I5033" s="3" t="s">
        <v>62</v>
      </c>
      <c r="J5033" s="3" t="s">
        <v>62</v>
      </c>
      <c r="K5033" s="3" t="s">
        <v>63</v>
      </c>
      <c r="L5033" s="2" t="s">
        <v>48422</v>
      </c>
      <c r="M5033" s="2" t="s">
        <v>48423</v>
      </c>
      <c r="N5033" s="3" t="s">
        <v>712</v>
      </c>
      <c r="P5033" s="3" t="s">
        <v>64</v>
      </c>
      <c r="R5033" s="3" t="s">
        <v>46535</v>
      </c>
      <c r="S5033" s="4">
        <v>3</v>
      </c>
      <c r="T5033" s="4">
        <v>3</v>
      </c>
      <c r="U5033" s="5" t="s">
        <v>8990</v>
      </c>
      <c r="V5033" s="5" t="s">
        <v>8990</v>
      </c>
      <c r="W5033" s="5" t="s">
        <v>67</v>
      </c>
      <c r="X5033" s="5" t="s">
        <v>67</v>
      </c>
      <c r="Y5033" s="4">
        <v>141</v>
      </c>
      <c r="Z5033" s="4">
        <v>7</v>
      </c>
      <c r="AA5033" s="4">
        <v>7</v>
      </c>
      <c r="AB5033" s="4">
        <v>1</v>
      </c>
      <c r="AC5033" s="4">
        <v>1</v>
      </c>
      <c r="AD5033" s="4">
        <v>28</v>
      </c>
      <c r="AE5033" s="4">
        <v>28</v>
      </c>
      <c r="AF5033" s="4">
        <v>0</v>
      </c>
      <c r="AG5033" s="4">
        <v>0</v>
      </c>
      <c r="AH5033" s="4">
        <v>25</v>
      </c>
      <c r="AI5033" s="4">
        <v>25</v>
      </c>
      <c r="AJ5033" s="4">
        <v>5</v>
      </c>
      <c r="AK5033" s="4">
        <v>5</v>
      </c>
      <c r="AL5033" s="4">
        <v>18</v>
      </c>
      <c r="AM5033" s="4">
        <v>18</v>
      </c>
      <c r="AN5033" s="4">
        <v>0</v>
      </c>
      <c r="AO5033" s="4">
        <v>0</v>
      </c>
      <c r="AP5033" s="4">
        <v>5</v>
      </c>
      <c r="AQ5033" s="4">
        <v>5</v>
      </c>
      <c r="AR5033" s="3" t="s">
        <v>62</v>
      </c>
      <c r="AS5033" s="3" t="s">
        <v>62</v>
      </c>
      <c r="AT5033" s="3" t="s">
        <v>62</v>
      </c>
      <c r="AV5033" s="6" t="str">
        <f>HYPERLINK("http://mcgill.on.worldcat.org/oclc/876292233","Catalog Record")</f>
        <v>Catalog Record</v>
      </c>
      <c r="AW5033" s="6" t="str">
        <f>HYPERLINK("http://www.worldcat.org/oclc/876292233","WorldCat Record")</f>
        <v>WorldCat Record</v>
      </c>
      <c r="AX5033" s="3" t="s">
        <v>48424</v>
      </c>
      <c r="AY5033" s="3" t="s">
        <v>48425</v>
      </c>
      <c r="AZ5033" s="3" t="s">
        <v>48426</v>
      </c>
      <c r="BA5033" s="3" t="s">
        <v>48426</v>
      </c>
      <c r="BB5033" s="3" t="s">
        <v>48427</v>
      </c>
      <c r="BC5033" s="3" t="s">
        <v>102</v>
      </c>
      <c r="BD5033" s="3" t="s">
        <v>68</v>
      </c>
      <c r="BE5033" s="3" t="s">
        <v>48428</v>
      </c>
      <c r="BF5033" s="3" t="s">
        <v>48427</v>
      </c>
      <c r="BG5033" s="3" t="s">
        <v>48429</v>
      </c>
    </row>
    <row r="5034" spans="1:59" ht="58" x14ac:dyDescent="0.35">
      <c r="A5034" s="2" t="s">
        <v>89</v>
      </c>
      <c r="B5034" s="2" t="s">
        <v>90</v>
      </c>
      <c r="C5034" s="2" t="s">
        <v>48430</v>
      </c>
      <c r="D5034" s="2" t="s">
        <v>48431</v>
      </c>
      <c r="E5034" s="2" t="s">
        <v>48432</v>
      </c>
      <c r="G5034" s="3" t="s">
        <v>62</v>
      </c>
      <c r="I5034" s="3" t="s">
        <v>62</v>
      </c>
      <c r="J5034" s="3" t="s">
        <v>62</v>
      </c>
      <c r="K5034" s="3" t="s">
        <v>63</v>
      </c>
      <c r="L5034" s="2" t="s">
        <v>48433</v>
      </c>
      <c r="M5034" s="2" t="s">
        <v>48434</v>
      </c>
      <c r="N5034" s="3" t="s">
        <v>2085</v>
      </c>
      <c r="P5034" s="3" t="s">
        <v>64</v>
      </c>
      <c r="R5034" s="3" t="s">
        <v>46535</v>
      </c>
      <c r="S5034" s="4">
        <v>2</v>
      </c>
      <c r="T5034" s="4">
        <v>2</v>
      </c>
      <c r="U5034" s="5" t="s">
        <v>22966</v>
      </c>
      <c r="V5034" s="5" t="s">
        <v>22966</v>
      </c>
      <c r="W5034" s="5" t="s">
        <v>21500</v>
      </c>
      <c r="X5034" s="5" t="s">
        <v>21500</v>
      </c>
      <c r="Y5034" s="4">
        <v>388</v>
      </c>
      <c r="Z5034" s="4">
        <v>14</v>
      </c>
      <c r="AA5034" s="4">
        <v>21</v>
      </c>
      <c r="AB5034" s="4">
        <v>1</v>
      </c>
      <c r="AC5034" s="4">
        <v>3</v>
      </c>
      <c r="AD5034" s="4">
        <v>66</v>
      </c>
      <c r="AE5034" s="4">
        <v>74</v>
      </c>
      <c r="AF5034" s="4">
        <v>0</v>
      </c>
      <c r="AG5034" s="4">
        <v>0</v>
      </c>
      <c r="AH5034" s="4">
        <v>61</v>
      </c>
      <c r="AI5034" s="4">
        <v>68</v>
      </c>
      <c r="AJ5034" s="4">
        <v>8</v>
      </c>
      <c r="AK5034" s="4">
        <v>13</v>
      </c>
      <c r="AL5034" s="4">
        <v>36</v>
      </c>
      <c r="AM5034" s="4">
        <v>39</v>
      </c>
      <c r="AN5034" s="4">
        <v>0</v>
      </c>
      <c r="AO5034" s="4">
        <v>0</v>
      </c>
      <c r="AP5034" s="4">
        <v>10</v>
      </c>
      <c r="AQ5034" s="4">
        <v>15</v>
      </c>
      <c r="AR5034" s="3" t="s">
        <v>62</v>
      </c>
      <c r="AS5034" s="3" t="s">
        <v>62</v>
      </c>
      <c r="AT5034" s="3" t="s">
        <v>62</v>
      </c>
      <c r="AV5034" s="6" t="str">
        <f>HYPERLINK("http://mcgill.on.worldcat.org/oclc/1031041198","Catalog Record")</f>
        <v>Catalog Record</v>
      </c>
      <c r="AW5034" s="6" t="str">
        <f>HYPERLINK("http://www.worldcat.org/oclc/1031041198","WorldCat Record")</f>
        <v>WorldCat Record</v>
      </c>
      <c r="AX5034" s="3" t="s">
        <v>48435</v>
      </c>
      <c r="AY5034" s="3" t="s">
        <v>48436</v>
      </c>
      <c r="AZ5034" s="3" t="s">
        <v>48437</v>
      </c>
      <c r="BA5034" s="3" t="s">
        <v>48437</v>
      </c>
      <c r="BB5034" s="3" t="s">
        <v>48438</v>
      </c>
      <c r="BC5034" s="3" t="s">
        <v>102</v>
      </c>
      <c r="BD5034" s="3" t="s">
        <v>68</v>
      </c>
      <c r="BE5034" s="3" t="s">
        <v>48439</v>
      </c>
      <c r="BF5034" s="3" t="s">
        <v>48438</v>
      </c>
      <c r="BG5034" s="3" t="s">
        <v>48440</v>
      </c>
    </row>
    <row r="5035" spans="1:59" ht="58" x14ac:dyDescent="0.35">
      <c r="A5035" s="2" t="s">
        <v>89</v>
      </c>
      <c r="B5035" s="2" t="s">
        <v>90</v>
      </c>
      <c r="C5035" s="2" t="s">
        <v>48441</v>
      </c>
      <c r="D5035" s="2" t="s">
        <v>48442</v>
      </c>
      <c r="E5035" s="2" t="s">
        <v>48443</v>
      </c>
      <c r="G5035" s="3" t="s">
        <v>62</v>
      </c>
      <c r="I5035" s="3" t="s">
        <v>62</v>
      </c>
      <c r="J5035" s="3" t="s">
        <v>62</v>
      </c>
      <c r="K5035" s="3" t="s">
        <v>63</v>
      </c>
      <c r="L5035" s="2" t="s">
        <v>48444</v>
      </c>
      <c r="M5035" s="2" t="s">
        <v>48445</v>
      </c>
      <c r="N5035" s="3" t="s">
        <v>2136</v>
      </c>
      <c r="P5035" s="3" t="s">
        <v>64</v>
      </c>
      <c r="R5035" s="3" t="s">
        <v>46535</v>
      </c>
      <c r="S5035" s="4">
        <v>4</v>
      </c>
      <c r="T5035" s="4">
        <v>4</v>
      </c>
      <c r="U5035" s="5" t="s">
        <v>15100</v>
      </c>
      <c r="V5035" s="5" t="s">
        <v>15100</v>
      </c>
      <c r="W5035" s="5" t="s">
        <v>67</v>
      </c>
      <c r="X5035" s="5" t="s">
        <v>67</v>
      </c>
      <c r="Y5035" s="4">
        <v>218</v>
      </c>
      <c r="Z5035" s="4">
        <v>17</v>
      </c>
      <c r="AA5035" s="4">
        <v>24</v>
      </c>
      <c r="AB5035" s="4">
        <v>1</v>
      </c>
      <c r="AC5035" s="4">
        <v>6</v>
      </c>
      <c r="AD5035" s="4">
        <v>65</v>
      </c>
      <c r="AE5035" s="4">
        <v>77</v>
      </c>
      <c r="AF5035" s="4">
        <v>0</v>
      </c>
      <c r="AG5035" s="4">
        <v>4</v>
      </c>
      <c r="AH5035" s="4">
        <v>60</v>
      </c>
      <c r="AI5035" s="4">
        <v>68</v>
      </c>
      <c r="AJ5035" s="4">
        <v>11</v>
      </c>
      <c r="AK5035" s="4">
        <v>17</v>
      </c>
      <c r="AL5035" s="4">
        <v>30</v>
      </c>
      <c r="AM5035" s="4">
        <v>35</v>
      </c>
      <c r="AN5035" s="4">
        <v>0</v>
      </c>
      <c r="AO5035" s="4">
        <v>0</v>
      </c>
      <c r="AP5035" s="4">
        <v>12</v>
      </c>
      <c r="AQ5035" s="4">
        <v>17</v>
      </c>
      <c r="AR5035" s="3" t="s">
        <v>62</v>
      </c>
      <c r="AS5035" s="3" t="s">
        <v>62</v>
      </c>
      <c r="AT5035" s="3" t="s">
        <v>62</v>
      </c>
      <c r="AV5035" s="6" t="str">
        <f>HYPERLINK("http://mcgill.on.worldcat.org/oclc/58422773","Catalog Record")</f>
        <v>Catalog Record</v>
      </c>
      <c r="AW5035" s="6" t="str">
        <f>HYPERLINK("http://www.worldcat.org/oclc/58422773","WorldCat Record")</f>
        <v>WorldCat Record</v>
      </c>
      <c r="AX5035" s="3" t="s">
        <v>48446</v>
      </c>
      <c r="AY5035" s="3" t="s">
        <v>48447</v>
      </c>
      <c r="AZ5035" s="3" t="s">
        <v>48448</v>
      </c>
      <c r="BA5035" s="3" t="s">
        <v>48448</v>
      </c>
      <c r="BB5035" s="3" t="s">
        <v>48449</v>
      </c>
      <c r="BC5035" s="3" t="s">
        <v>102</v>
      </c>
      <c r="BD5035" s="3" t="s">
        <v>68</v>
      </c>
      <c r="BE5035" s="3" t="s">
        <v>48450</v>
      </c>
      <c r="BF5035" s="3" t="s">
        <v>48449</v>
      </c>
      <c r="BG5035" s="3" t="s">
        <v>48451</v>
      </c>
    </row>
    <row r="5036" spans="1:59" ht="58" x14ac:dyDescent="0.35">
      <c r="A5036" s="2" t="s">
        <v>89</v>
      </c>
      <c r="B5036" s="2" t="s">
        <v>90</v>
      </c>
      <c r="C5036" s="2" t="s">
        <v>48452</v>
      </c>
      <c r="D5036" s="2" t="s">
        <v>48453</v>
      </c>
      <c r="E5036" s="2" t="s">
        <v>48454</v>
      </c>
      <c r="F5036" s="3" t="s">
        <v>22459</v>
      </c>
      <c r="G5036" s="3" t="s">
        <v>61</v>
      </c>
      <c r="I5036" s="3" t="s">
        <v>61</v>
      </c>
      <c r="J5036" s="3" t="s">
        <v>61</v>
      </c>
      <c r="K5036" s="3" t="s">
        <v>63</v>
      </c>
      <c r="M5036" s="2" t="s">
        <v>48455</v>
      </c>
      <c r="N5036" s="3" t="s">
        <v>640</v>
      </c>
      <c r="O5036" s="2" t="s">
        <v>2458</v>
      </c>
      <c r="P5036" s="3" t="s">
        <v>64</v>
      </c>
      <c r="R5036" s="3" t="s">
        <v>46535</v>
      </c>
      <c r="S5036" s="4">
        <v>53</v>
      </c>
      <c r="T5036" s="4">
        <v>224</v>
      </c>
      <c r="U5036" s="5" t="s">
        <v>18035</v>
      </c>
      <c r="V5036" s="5" t="s">
        <v>18035</v>
      </c>
      <c r="W5036" s="5" t="s">
        <v>67</v>
      </c>
      <c r="X5036" s="5" t="s">
        <v>67</v>
      </c>
      <c r="Y5036" s="4">
        <v>294</v>
      </c>
      <c r="Z5036" s="4">
        <v>11</v>
      </c>
      <c r="AA5036" s="4">
        <v>48</v>
      </c>
      <c r="AB5036" s="4">
        <v>2</v>
      </c>
      <c r="AC5036" s="4">
        <v>11</v>
      </c>
      <c r="AD5036" s="4">
        <v>81</v>
      </c>
      <c r="AE5036" s="4">
        <v>139</v>
      </c>
      <c r="AF5036" s="4">
        <v>1</v>
      </c>
      <c r="AG5036" s="4">
        <v>5</v>
      </c>
      <c r="AH5036" s="4">
        <v>73</v>
      </c>
      <c r="AI5036" s="4">
        <v>113</v>
      </c>
      <c r="AJ5036" s="4">
        <v>9</v>
      </c>
      <c r="AK5036" s="4">
        <v>25</v>
      </c>
      <c r="AL5036" s="4">
        <v>46</v>
      </c>
      <c r="AM5036" s="4">
        <v>62</v>
      </c>
      <c r="AN5036" s="4">
        <v>0</v>
      </c>
      <c r="AO5036" s="4">
        <v>0</v>
      </c>
      <c r="AP5036" s="4">
        <v>10</v>
      </c>
      <c r="AQ5036" s="4">
        <v>33</v>
      </c>
      <c r="AR5036" s="3" t="s">
        <v>62</v>
      </c>
      <c r="AS5036" s="3" t="s">
        <v>62</v>
      </c>
      <c r="AT5036" s="3" t="s">
        <v>62</v>
      </c>
      <c r="AV5036" s="6" t="str">
        <f>HYPERLINK("http://mcgill.on.worldcat.org/oclc/54487447","Catalog Record")</f>
        <v>Catalog Record</v>
      </c>
      <c r="AW5036" s="6" t="str">
        <f>HYPERLINK("http://www.worldcat.org/oclc/54487447","WorldCat Record")</f>
        <v>WorldCat Record</v>
      </c>
      <c r="AX5036" s="3" t="s">
        <v>48456</v>
      </c>
      <c r="AY5036" s="3" t="s">
        <v>48457</v>
      </c>
      <c r="AZ5036" s="3" t="s">
        <v>48458</v>
      </c>
      <c r="BA5036" s="3" t="s">
        <v>48458</v>
      </c>
      <c r="BB5036" s="3" t="s">
        <v>48459</v>
      </c>
      <c r="BC5036" s="3" t="s">
        <v>102</v>
      </c>
      <c r="BD5036" s="3" t="s">
        <v>68</v>
      </c>
      <c r="BE5036" s="3" t="s">
        <v>48460</v>
      </c>
      <c r="BF5036" s="3" t="s">
        <v>48459</v>
      </c>
      <c r="BG5036" s="3" t="s">
        <v>48461</v>
      </c>
    </row>
    <row r="5037" spans="1:59" ht="58" x14ac:dyDescent="0.35">
      <c r="A5037" s="2" t="s">
        <v>89</v>
      </c>
      <c r="B5037" s="2" t="s">
        <v>90</v>
      </c>
      <c r="C5037" s="2" t="s">
        <v>48452</v>
      </c>
      <c r="D5037" s="2" t="s">
        <v>48453</v>
      </c>
      <c r="E5037" s="2" t="s">
        <v>48454</v>
      </c>
      <c r="F5037" s="3" t="s">
        <v>22459</v>
      </c>
      <c r="G5037" s="3" t="s">
        <v>61</v>
      </c>
      <c r="I5037" s="3" t="s">
        <v>61</v>
      </c>
      <c r="J5037" s="3" t="s">
        <v>61</v>
      </c>
      <c r="K5037" s="3" t="s">
        <v>63</v>
      </c>
      <c r="M5037" s="2" t="s">
        <v>48455</v>
      </c>
      <c r="N5037" s="3" t="s">
        <v>640</v>
      </c>
      <c r="O5037" s="2" t="s">
        <v>2458</v>
      </c>
      <c r="P5037" s="3" t="s">
        <v>64</v>
      </c>
      <c r="R5037" s="3" t="s">
        <v>46535</v>
      </c>
      <c r="S5037" s="4">
        <v>42</v>
      </c>
      <c r="T5037" s="4">
        <v>224</v>
      </c>
      <c r="U5037" s="5" t="s">
        <v>48462</v>
      </c>
      <c r="V5037" s="5" t="s">
        <v>18035</v>
      </c>
      <c r="W5037" s="5" t="s">
        <v>67</v>
      </c>
      <c r="X5037" s="5" t="s">
        <v>67</v>
      </c>
      <c r="Y5037" s="4">
        <v>294</v>
      </c>
      <c r="Z5037" s="4">
        <v>11</v>
      </c>
      <c r="AA5037" s="4">
        <v>48</v>
      </c>
      <c r="AB5037" s="4">
        <v>2</v>
      </c>
      <c r="AC5037" s="4">
        <v>11</v>
      </c>
      <c r="AD5037" s="4">
        <v>81</v>
      </c>
      <c r="AE5037" s="4">
        <v>139</v>
      </c>
      <c r="AF5037" s="4">
        <v>1</v>
      </c>
      <c r="AG5037" s="4">
        <v>5</v>
      </c>
      <c r="AH5037" s="4">
        <v>73</v>
      </c>
      <c r="AI5037" s="4">
        <v>113</v>
      </c>
      <c r="AJ5037" s="4">
        <v>9</v>
      </c>
      <c r="AK5037" s="4">
        <v>25</v>
      </c>
      <c r="AL5037" s="4">
        <v>46</v>
      </c>
      <c r="AM5037" s="4">
        <v>62</v>
      </c>
      <c r="AN5037" s="4">
        <v>0</v>
      </c>
      <c r="AO5037" s="4">
        <v>0</v>
      </c>
      <c r="AP5037" s="4">
        <v>10</v>
      </c>
      <c r="AQ5037" s="4">
        <v>33</v>
      </c>
      <c r="AR5037" s="3" t="s">
        <v>62</v>
      </c>
      <c r="AS5037" s="3" t="s">
        <v>62</v>
      </c>
      <c r="AT5037" s="3" t="s">
        <v>62</v>
      </c>
      <c r="AV5037" s="6" t="str">
        <f>HYPERLINK("http://mcgill.on.worldcat.org/oclc/54487447","Catalog Record")</f>
        <v>Catalog Record</v>
      </c>
      <c r="AW5037" s="6" t="str">
        <f>HYPERLINK("http://www.worldcat.org/oclc/54487447","WorldCat Record")</f>
        <v>WorldCat Record</v>
      </c>
      <c r="AX5037" s="3" t="s">
        <v>48456</v>
      </c>
      <c r="AY5037" s="3" t="s">
        <v>48457</v>
      </c>
      <c r="AZ5037" s="3" t="s">
        <v>48458</v>
      </c>
      <c r="BA5037" s="3" t="s">
        <v>48458</v>
      </c>
      <c r="BB5037" s="3" t="s">
        <v>48463</v>
      </c>
      <c r="BC5037" s="3" t="s">
        <v>102</v>
      </c>
      <c r="BD5037" s="3" t="s">
        <v>68</v>
      </c>
      <c r="BE5037" s="3" t="s">
        <v>48460</v>
      </c>
      <c r="BF5037" s="3" t="s">
        <v>48463</v>
      </c>
      <c r="BG5037" s="3" t="s">
        <v>48464</v>
      </c>
    </row>
    <row r="5038" spans="1:59" ht="58" x14ac:dyDescent="0.35">
      <c r="A5038" s="2" t="s">
        <v>89</v>
      </c>
      <c r="B5038" s="2" t="s">
        <v>90</v>
      </c>
      <c r="C5038" s="2" t="s">
        <v>48452</v>
      </c>
      <c r="D5038" s="2" t="s">
        <v>48453</v>
      </c>
      <c r="E5038" s="2" t="s">
        <v>48454</v>
      </c>
      <c r="F5038" s="3" t="s">
        <v>13127</v>
      </c>
      <c r="G5038" s="3" t="s">
        <v>61</v>
      </c>
      <c r="I5038" s="3" t="s">
        <v>61</v>
      </c>
      <c r="J5038" s="3" t="s">
        <v>61</v>
      </c>
      <c r="K5038" s="3" t="s">
        <v>63</v>
      </c>
      <c r="M5038" s="2" t="s">
        <v>48455</v>
      </c>
      <c r="N5038" s="3" t="s">
        <v>640</v>
      </c>
      <c r="O5038" s="2" t="s">
        <v>2458</v>
      </c>
      <c r="P5038" s="3" t="s">
        <v>64</v>
      </c>
      <c r="R5038" s="3" t="s">
        <v>46535</v>
      </c>
      <c r="S5038" s="4">
        <v>47</v>
      </c>
      <c r="T5038" s="4">
        <v>224</v>
      </c>
      <c r="U5038" s="5" t="s">
        <v>48465</v>
      </c>
      <c r="V5038" s="5" t="s">
        <v>18035</v>
      </c>
      <c r="W5038" s="5" t="s">
        <v>67</v>
      </c>
      <c r="X5038" s="5" t="s">
        <v>67</v>
      </c>
      <c r="Y5038" s="4">
        <v>294</v>
      </c>
      <c r="Z5038" s="4">
        <v>11</v>
      </c>
      <c r="AA5038" s="4">
        <v>48</v>
      </c>
      <c r="AB5038" s="4">
        <v>2</v>
      </c>
      <c r="AC5038" s="4">
        <v>11</v>
      </c>
      <c r="AD5038" s="4">
        <v>81</v>
      </c>
      <c r="AE5038" s="4">
        <v>139</v>
      </c>
      <c r="AF5038" s="4">
        <v>1</v>
      </c>
      <c r="AG5038" s="4">
        <v>5</v>
      </c>
      <c r="AH5038" s="4">
        <v>73</v>
      </c>
      <c r="AI5038" s="4">
        <v>113</v>
      </c>
      <c r="AJ5038" s="4">
        <v>9</v>
      </c>
      <c r="AK5038" s="4">
        <v>25</v>
      </c>
      <c r="AL5038" s="4">
        <v>46</v>
      </c>
      <c r="AM5038" s="4">
        <v>62</v>
      </c>
      <c r="AN5038" s="4">
        <v>0</v>
      </c>
      <c r="AO5038" s="4">
        <v>0</v>
      </c>
      <c r="AP5038" s="4">
        <v>10</v>
      </c>
      <c r="AQ5038" s="4">
        <v>33</v>
      </c>
      <c r="AR5038" s="3" t="s">
        <v>62</v>
      </c>
      <c r="AS5038" s="3" t="s">
        <v>62</v>
      </c>
      <c r="AT5038" s="3" t="s">
        <v>62</v>
      </c>
      <c r="AV5038" s="6" t="str">
        <f>HYPERLINK("http://mcgill.on.worldcat.org/oclc/54487447","Catalog Record")</f>
        <v>Catalog Record</v>
      </c>
      <c r="AW5038" s="6" t="str">
        <f>HYPERLINK("http://www.worldcat.org/oclc/54487447","WorldCat Record")</f>
        <v>WorldCat Record</v>
      </c>
      <c r="AX5038" s="3" t="s">
        <v>48456</v>
      </c>
      <c r="AY5038" s="3" t="s">
        <v>48457</v>
      </c>
      <c r="AZ5038" s="3" t="s">
        <v>48458</v>
      </c>
      <c r="BA5038" s="3" t="s">
        <v>48458</v>
      </c>
      <c r="BB5038" s="3" t="s">
        <v>48466</v>
      </c>
      <c r="BC5038" s="3" t="s">
        <v>102</v>
      </c>
      <c r="BD5038" s="3" t="s">
        <v>68</v>
      </c>
      <c r="BE5038" s="3" t="s">
        <v>48460</v>
      </c>
      <c r="BF5038" s="3" t="s">
        <v>48466</v>
      </c>
      <c r="BG5038" s="3" t="s">
        <v>48467</v>
      </c>
    </row>
    <row r="5039" spans="1:59" ht="58" x14ac:dyDescent="0.35">
      <c r="A5039" s="2" t="s">
        <v>89</v>
      </c>
      <c r="B5039" s="2" t="s">
        <v>90</v>
      </c>
      <c r="C5039" s="2" t="s">
        <v>48468</v>
      </c>
      <c r="D5039" s="2" t="s">
        <v>48469</v>
      </c>
      <c r="E5039" s="2" t="s">
        <v>48454</v>
      </c>
      <c r="G5039" s="3" t="s">
        <v>62</v>
      </c>
      <c r="I5039" s="3" t="s">
        <v>61</v>
      </c>
      <c r="J5039" s="3" t="s">
        <v>61</v>
      </c>
      <c r="K5039" s="3" t="s">
        <v>63</v>
      </c>
      <c r="M5039" s="2" t="s">
        <v>48470</v>
      </c>
      <c r="N5039" s="3" t="s">
        <v>1722</v>
      </c>
      <c r="O5039" s="2" t="s">
        <v>10722</v>
      </c>
      <c r="P5039" s="3" t="s">
        <v>64</v>
      </c>
      <c r="R5039" s="3" t="s">
        <v>46535</v>
      </c>
      <c r="S5039" s="4">
        <v>119</v>
      </c>
      <c r="T5039" s="4">
        <v>822</v>
      </c>
      <c r="U5039" s="5" t="s">
        <v>33410</v>
      </c>
      <c r="V5039" s="5" t="s">
        <v>2667</v>
      </c>
      <c r="W5039" s="5" t="s">
        <v>67</v>
      </c>
      <c r="X5039" s="5" t="s">
        <v>67</v>
      </c>
      <c r="Y5039" s="4">
        <v>378</v>
      </c>
      <c r="Z5039" s="4">
        <v>17</v>
      </c>
      <c r="AA5039" s="4">
        <v>48</v>
      </c>
      <c r="AB5039" s="4">
        <v>3</v>
      </c>
      <c r="AC5039" s="4">
        <v>11</v>
      </c>
      <c r="AD5039" s="4">
        <v>87</v>
      </c>
      <c r="AE5039" s="4">
        <v>139</v>
      </c>
      <c r="AF5039" s="4">
        <v>1</v>
      </c>
      <c r="AG5039" s="4">
        <v>5</v>
      </c>
      <c r="AH5039" s="4">
        <v>78</v>
      </c>
      <c r="AI5039" s="4">
        <v>113</v>
      </c>
      <c r="AJ5039" s="4">
        <v>11</v>
      </c>
      <c r="AK5039" s="4">
        <v>25</v>
      </c>
      <c r="AL5039" s="4">
        <v>50</v>
      </c>
      <c r="AM5039" s="4">
        <v>62</v>
      </c>
      <c r="AN5039" s="4">
        <v>0</v>
      </c>
      <c r="AO5039" s="4">
        <v>0</v>
      </c>
      <c r="AP5039" s="4">
        <v>13</v>
      </c>
      <c r="AQ5039" s="4">
        <v>33</v>
      </c>
      <c r="AR5039" s="3" t="s">
        <v>62</v>
      </c>
      <c r="AS5039" s="3" t="s">
        <v>62</v>
      </c>
      <c r="AT5039" s="3" t="s">
        <v>62</v>
      </c>
      <c r="AV5039" s="6" t="str">
        <f>HYPERLINK("http://mcgill.on.worldcat.org/oclc/144771764","Catalog Record")</f>
        <v>Catalog Record</v>
      </c>
      <c r="AW5039" s="6" t="str">
        <f>HYPERLINK("http://www.worldcat.org/oclc/144771764","WorldCat Record")</f>
        <v>WorldCat Record</v>
      </c>
      <c r="AX5039" s="3" t="s">
        <v>48456</v>
      </c>
      <c r="AY5039" s="3" t="s">
        <v>48471</v>
      </c>
      <c r="AZ5039" s="3" t="s">
        <v>48472</v>
      </c>
      <c r="BA5039" s="3" t="s">
        <v>48472</v>
      </c>
      <c r="BB5039" s="3" t="s">
        <v>48473</v>
      </c>
      <c r="BC5039" s="3" t="s">
        <v>102</v>
      </c>
      <c r="BD5039" s="3" t="s">
        <v>68</v>
      </c>
      <c r="BE5039" s="3" t="s">
        <v>48474</v>
      </c>
      <c r="BF5039" s="3" t="s">
        <v>48473</v>
      </c>
      <c r="BG5039" s="3" t="s">
        <v>48475</v>
      </c>
    </row>
    <row r="5040" spans="1:59" ht="58" x14ac:dyDescent="0.35">
      <c r="A5040" s="2" t="s">
        <v>89</v>
      </c>
      <c r="B5040" s="2" t="s">
        <v>90</v>
      </c>
      <c r="C5040" s="2" t="s">
        <v>48468</v>
      </c>
      <c r="D5040" s="2" t="s">
        <v>48469</v>
      </c>
      <c r="E5040" s="2" t="s">
        <v>48454</v>
      </c>
      <c r="G5040" s="3" t="s">
        <v>62</v>
      </c>
      <c r="I5040" s="3" t="s">
        <v>61</v>
      </c>
      <c r="J5040" s="3" t="s">
        <v>61</v>
      </c>
      <c r="K5040" s="3" t="s">
        <v>63</v>
      </c>
      <c r="M5040" s="2" t="s">
        <v>48470</v>
      </c>
      <c r="N5040" s="3" t="s">
        <v>1722</v>
      </c>
      <c r="O5040" s="2" t="s">
        <v>10722</v>
      </c>
      <c r="P5040" s="3" t="s">
        <v>64</v>
      </c>
      <c r="R5040" s="3" t="s">
        <v>46535</v>
      </c>
      <c r="S5040" s="4">
        <v>32</v>
      </c>
      <c r="T5040" s="4">
        <v>822</v>
      </c>
      <c r="U5040" s="5" t="s">
        <v>7508</v>
      </c>
      <c r="V5040" s="5" t="s">
        <v>2667</v>
      </c>
      <c r="W5040" s="5" t="s">
        <v>67</v>
      </c>
      <c r="X5040" s="5" t="s">
        <v>67</v>
      </c>
      <c r="Y5040" s="4">
        <v>378</v>
      </c>
      <c r="Z5040" s="4">
        <v>17</v>
      </c>
      <c r="AA5040" s="4">
        <v>48</v>
      </c>
      <c r="AB5040" s="4">
        <v>3</v>
      </c>
      <c r="AC5040" s="4">
        <v>11</v>
      </c>
      <c r="AD5040" s="4">
        <v>87</v>
      </c>
      <c r="AE5040" s="4">
        <v>139</v>
      </c>
      <c r="AF5040" s="4">
        <v>1</v>
      </c>
      <c r="AG5040" s="4">
        <v>5</v>
      </c>
      <c r="AH5040" s="4">
        <v>78</v>
      </c>
      <c r="AI5040" s="4">
        <v>113</v>
      </c>
      <c r="AJ5040" s="4">
        <v>11</v>
      </c>
      <c r="AK5040" s="4">
        <v>25</v>
      </c>
      <c r="AL5040" s="4">
        <v>50</v>
      </c>
      <c r="AM5040" s="4">
        <v>62</v>
      </c>
      <c r="AN5040" s="4">
        <v>0</v>
      </c>
      <c r="AO5040" s="4">
        <v>0</v>
      </c>
      <c r="AP5040" s="4">
        <v>13</v>
      </c>
      <c r="AQ5040" s="4">
        <v>33</v>
      </c>
      <c r="AR5040" s="3" t="s">
        <v>62</v>
      </c>
      <c r="AS5040" s="3" t="s">
        <v>62</v>
      </c>
      <c r="AT5040" s="3" t="s">
        <v>62</v>
      </c>
      <c r="AV5040" s="6" t="str">
        <f>HYPERLINK("http://mcgill.on.worldcat.org/oclc/144771764","Catalog Record")</f>
        <v>Catalog Record</v>
      </c>
      <c r="AW5040" s="6" t="str">
        <f>HYPERLINK("http://www.worldcat.org/oclc/144771764","WorldCat Record")</f>
        <v>WorldCat Record</v>
      </c>
      <c r="AX5040" s="3" t="s">
        <v>48456</v>
      </c>
      <c r="AY5040" s="3" t="s">
        <v>48471</v>
      </c>
      <c r="AZ5040" s="3" t="s">
        <v>48472</v>
      </c>
      <c r="BA5040" s="3" t="s">
        <v>48472</v>
      </c>
      <c r="BB5040" s="3" t="s">
        <v>48476</v>
      </c>
      <c r="BC5040" s="3" t="s">
        <v>102</v>
      </c>
      <c r="BD5040" s="3" t="s">
        <v>68</v>
      </c>
      <c r="BE5040" s="3" t="s">
        <v>48474</v>
      </c>
      <c r="BF5040" s="3" t="s">
        <v>48476</v>
      </c>
      <c r="BG5040" s="3" t="s">
        <v>48477</v>
      </c>
    </row>
    <row r="5041" spans="1:59" ht="58" x14ac:dyDescent="0.35">
      <c r="A5041" s="2" t="s">
        <v>89</v>
      </c>
      <c r="B5041" s="2" t="s">
        <v>90</v>
      </c>
      <c r="C5041" s="2" t="s">
        <v>48468</v>
      </c>
      <c r="D5041" s="2" t="s">
        <v>48469</v>
      </c>
      <c r="E5041" s="2" t="s">
        <v>48454</v>
      </c>
      <c r="G5041" s="3" t="s">
        <v>62</v>
      </c>
      <c r="I5041" s="3" t="s">
        <v>61</v>
      </c>
      <c r="J5041" s="3" t="s">
        <v>61</v>
      </c>
      <c r="K5041" s="3" t="s">
        <v>63</v>
      </c>
      <c r="M5041" s="2" t="s">
        <v>48470</v>
      </c>
      <c r="N5041" s="3" t="s">
        <v>1722</v>
      </c>
      <c r="O5041" s="2" t="s">
        <v>10722</v>
      </c>
      <c r="P5041" s="3" t="s">
        <v>64</v>
      </c>
      <c r="R5041" s="3" t="s">
        <v>46535</v>
      </c>
      <c r="S5041" s="4">
        <v>179</v>
      </c>
      <c r="T5041" s="4">
        <v>822</v>
      </c>
      <c r="U5041" s="5" t="s">
        <v>4363</v>
      </c>
      <c r="V5041" s="5" t="s">
        <v>2667</v>
      </c>
      <c r="W5041" s="5" t="s">
        <v>67</v>
      </c>
      <c r="X5041" s="5" t="s">
        <v>67</v>
      </c>
      <c r="Y5041" s="4">
        <v>378</v>
      </c>
      <c r="Z5041" s="4">
        <v>17</v>
      </c>
      <c r="AA5041" s="4">
        <v>48</v>
      </c>
      <c r="AB5041" s="4">
        <v>3</v>
      </c>
      <c r="AC5041" s="4">
        <v>11</v>
      </c>
      <c r="AD5041" s="4">
        <v>87</v>
      </c>
      <c r="AE5041" s="4">
        <v>139</v>
      </c>
      <c r="AF5041" s="4">
        <v>1</v>
      </c>
      <c r="AG5041" s="4">
        <v>5</v>
      </c>
      <c r="AH5041" s="4">
        <v>78</v>
      </c>
      <c r="AI5041" s="4">
        <v>113</v>
      </c>
      <c r="AJ5041" s="4">
        <v>11</v>
      </c>
      <c r="AK5041" s="4">
        <v>25</v>
      </c>
      <c r="AL5041" s="4">
        <v>50</v>
      </c>
      <c r="AM5041" s="4">
        <v>62</v>
      </c>
      <c r="AN5041" s="4">
        <v>0</v>
      </c>
      <c r="AO5041" s="4">
        <v>0</v>
      </c>
      <c r="AP5041" s="4">
        <v>13</v>
      </c>
      <c r="AQ5041" s="4">
        <v>33</v>
      </c>
      <c r="AR5041" s="3" t="s">
        <v>62</v>
      </c>
      <c r="AS5041" s="3" t="s">
        <v>62</v>
      </c>
      <c r="AT5041" s="3" t="s">
        <v>62</v>
      </c>
      <c r="AV5041" s="6" t="str">
        <f>HYPERLINK("http://mcgill.on.worldcat.org/oclc/144771764","Catalog Record")</f>
        <v>Catalog Record</v>
      </c>
      <c r="AW5041" s="6" t="str">
        <f>HYPERLINK("http://www.worldcat.org/oclc/144771764","WorldCat Record")</f>
        <v>WorldCat Record</v>
      </c>
      <c r="AX5041" s="3" t="s">
        <v>48456</v>
      </c>
      <c r="AY5041" s="3" t="s">
        <v>48471</v>
      </c>
      <c r="AZ5041" s="3" t="s">
        <v>48472</v>
      </c>
      <c r="BA5041" s="3" t="s">
        <v>48472</v>
      </c>
      <c r="BB5041" s="3" t="s">
        <v>48478</v>
      </c>
      <c r="BC5041" s="3" t="s">
        <v>102</v>
      </c>
      <c r="BD5041" s="3" t="s">
        <v>68</v>
      </c>
      <c r="BE5041" s="3" t="s">
        <v>48474</v>
      </c>
      <c r="BF5041" s="3" t="s">
        <v>48478</v>
      </c>
      <c r="BG5041" s="3" t="s">
        <v>48479</v>
      </c>
    </row>
    <row r="5042" spans="1:59" ht="58" x14ac:dyDescent="0.35">
      <c r="A5042" s="2" t="s">
        <v>89</v>
      </c>
      <c r="B5042" s="2" t="s">
        <v>90</v>
      </c>
      <c r="C5042" s="2" t="s">
        <v>48468</v>
      </c>
      <c r="D5042" s="2" t="s">
        <v>48469</v>
      </c>
      <c r="E5042" s="2" t="s">
        <v>48454</v>
      </c>
      <c r="G5042" s="3" t="s">
        <v>62</v>
      </c>
      <c r="I5042" s="3" t="s">
        <v>61</v>
      </c>
      <c r="J5042" s="3" t="s">
        <v>61</v>
      </c>
      <c r="K5042" s="3" t="s">
        <v>63</v>
      </c>
      <c r="M5042" s="2" t="s">
        <v>48470</v>
      </c>
      <c r="N5042" s="3" t="s">
        <v>1722</v>
      </c>
      <c r="O5042" s="2" t="s">
        <v>10722</v>
      </c>
      <c r="P5042" s="3" t="s">
        <v>64</v>
      </c>
      <c r="R5042" s="3" t="s">
        <v>46535</v>
      </c>
      <c r="S5042" s="4">
        <v>30</v>
      </c>
      <c r="T5042" s="4">
        <v>822</v>
      </c>
      <c r="U5042" s="5" t="s">
        <v>6594</v>
      </c>
      <c r="V5042" s="5" t="s">
        <v>2667</v>
      </c>
      <c r="W5042" s="5" t="s">
        <v>67</v>
      </c>
      <c r="X5042" s="5" t="s">
        <v>67</v>
      </c>
      <c r="Y5042" s="4">
        <v>378</v>
      </c>
      <c r="Z5042" s="4">
        <v>17</v>
      </c>
      <c r="AA5042" s="4">
        <v>48</v>
      </c>
      <c r="AB5042" s="4">
        <v>3</v>
      </c>
      <c r="AC5042" s="4">
        <v>11</v>
      </c>
      <c r="AD5042" s="4">
        <v>87</v>
      </c>
      <c r="AE5042" s="4">
        <v>139</v>
      </c>
      <c r="AF5042" s="4">
        <v>1</v>
      </c>
      <c r="AG5042" s="4">
        <v>5</v>
      </c>
      <c r="AH5042" s="4">
        <v>78</v>
      </c>
      <c r="AI5042" s="4">
        <v>113</v>
      </c>
      <c r="AJ5042" s="4">
        <v>11</v>
      </c>
      <c r="AK5042" s="4">
        <v>25</v>
      </c>
      <c r="AL5042" s="4">
        <v>50</v>
      </c>
      <c r="AM5042" s="4">
        <v>62</v>
      </c>
      <c r="AN5042" s="4">
        <v>0</v>
      </c>
      <c r="AO5042" s="4">
        <v>0</v>
      </c>
      <c r="AP5042" s="4">
        <v>13</v>
      </c>
      <c r="AQ5042" s="4">
        <v>33</v>
      </c>
      <c r="AR5042" s="3" t="s">
        <v>62</v>
      </c>
      <c r="AS5042" s="3" t="s">
        <v>62</v>
      </c>
      <c r="AT5042" s="3" t="s">
        <v>62</v>
      </c>
      <c r="AV5042" s="6" t="str">
        <f>HYPERLINK("http://mcgill.on.worldcat.org/oclc/144771764","Catalog Record")</f>
        <v>Catalog Record</v>
      </c>
      <c r="AW5042" s="6" t="str">
        <f>HYPERLINK("http://www.worldcat.org/oclc/144771764","WorldCat Record")</f>
        <v>WorldCat Record</v>
      </c>
      <c r="AX5042" s="3" t="s">
        <v>48456</v>
      </c>
      <c r="AY5042" s="3" t="s">
        <v>48471</v>
      </c>
      <c r="AZ5042" s="3" t="s">
        <v>48472</v>
      </c>
      <c r="BA5042" s="3" t="s">
        <v>48472</v>
      </c>
      <c r="BB5042" s="3" t="s">
        <v>48480</v>
      </c>
      <c r="BC5042" s="3" t="s">
        <v>102</v>
      </c>
      <c r="BD5042" s="3" t="s">
        <v>231</v>
      </c>
      <c r="BE5042" s="3" t="s">
        <v>48474</v>
      </c>
      <c r="BF5042" s="3" t="s">
        <v>48480</v>
      </c>
      <c r="BG5042" s="3" t="s">
        <v>48481</v>
      </c>
    </row>
    <row r="5043" spans="1:59" ht="101.5" x14ac:dyDescent="0.35">
      <c r="A5043" s="2" t="s">
        <v>89</v>
      </c>
      <c r="B5043" s="2" t="s">
        <v>12301</v>
      </c>
      <c r="C5043" s="2" t="s">
        <v>48482</v>
      </c>
      <c r="D5043" s="2" t="s">
        <v>48483</v>
      </c>
      <c r="E5043" s="2" t="s">
        <v>48484</v>
      </c>
      <c r="G5043" s="3" t="s">
        <v>62</v>
      </c>
      <c r="I5043" s="3" t="s">
        <v>61</v>
      </c>
      <c r="J5043" s="3" t="s">
        <v>61</v>
      </c>
      <c r="K5043" s="3" t="s">
        <v>63</v>
      </c>
      <c r="M5043" s="2" t="s">
        <v>39433</v>
      </c>
      <c r="N5043" s="3" t="s">
        <v>698</v>
      </c>
      <c r="O5043" s="2" t="s">
        <v>17648</v>
      </c>
      <c r="P5043" s="3" t="s">
        <v>64</v>
      </c>
      <c r="R5043" s="3" t="s">
        <v>46535</v>
      </c>
      <c r="S5043" s="4">
        <v>73</v>
      </c>
      <c r="T5043" s="4">
        <v>483</v>
      </c>
      <c r="U5043" s="5" t="s">
        <v>526</v>
      </c>
      <c r="V5043" s="5" t="s">
        <v>23948</v>
      </c>
      <c r="W5043" s="5" t="s">
        <v>67</v>
      </c>
      <c r="X5043" s="5" t="s">
        <v>67</v>
      </c>
      <c r="Y5043" s="4">
        <v>375</v>
      </c>
      <c r="Z5043" s="4">
        <v>22</v>
      </c>
      <c r="AA5043" s="4">
        <v>48</v>
      </c>
      <c r="AB5043" s="4">
        <v>3</v>
      </c>
      <c r="AC5043" s="4">
        <v>11</v>
      </c>
      <c r="AD5043" s="4">
        <v>98</v>
      </c>
      <c r="AE5043" s="4">
        <v>139</v>
      </c>
      <c r="AF5043" s="4">
        <v>1</v>
      </c>
      <c r="AG5043" s="4">
        <v>5</v>
      </c>
      <c r="AH5043" s="4">
        <v>84</v>
      </c>
      <c r="AI5043" s="4">
        <v>113</v>
      </c>
      <c r="AJ5043" s="4">
        <v>17</v>
      </c>
      <c r="AK5043" s="4">
        <v>25</v>
      </c>
      <c r="AL5043" s="4">
        <v>53</v>
      </c>
      <c r="AM5043" s="4">
        <v>62</v>
      </c>
      <c r="AN5043" s="4">
        <v>0</v>
      </c>
      <c r="AO5043" s="4">
        <v>0</v>
      </c>
      <c r="AP5043" s="4">
        <v>19</v>
      </c>
      <c r="AQ5043" s="4">
        <v>33</v>
      </c>
      <c r="AR5043" s="3" t="s">
        <v>62</v>
      </c>
      <c r="AS5043" s="3" t="s">
        <v>62</v>
      </c>
      <c r="AT5043" s="3" t="s">
        <v>62</v>
      </c>
      <c r="AV5043" s="6" t="str">
        <f>HYPERLINK("http://mcgill.on.worldcat.org/oclc/754389847","Catalog Record")</f>
        <v>Catalog Record</v>
      </c>
      <c r="AW5043" s="6" t="str">
        <f>HYPERLINK("http://www.worldcat.org/oclc/754389847","WorldCat Record")</f>
        <v>WorldCat Record</v>
      </c>
      <c r="AX5043" s="3" t="s">
        <v>48456</v>
      </c>
      <c r="AY5043" s="3" t="s">
        <v>48485</v>
      </c>
      <c r="AZ5043" s="3" t="s">
        <v>48486</v>
      </c>
      <c r="BA5043" s="3" t="s">
        <v>48486</v>
      </c>
      <c r="BB5043" s="3" t="s">
        <v>48487</v>
      </c>
      <c r="BC5043" s="3" t="s">
        <v>102</v>
      </c>
      <c r="BD5043" s="3" t="s">
        <v>68</v>
      </c>
      <c r="BE5043" s="3" t="s">
        <v>48488</v>
      </c>
      <c r="BF5043" s="3" t="s">
        <v>48487</v>
      </c>
      <c r="BG5043" s="3" t="s">
        <v>48489</v>
      </c>
    </row>
    <row r="5044" spans="1:59" ht="101.5" x14ac:dyDescent="0.35">
      <c r="A5044" s="2" t="s">
        <v>89</v>
      </c>
      <c r="B5044" s="2" t="s">
        <v>12301</v>
      </c>
      <c r="C5044" s="2" t="s">
        <v>48482</v>
      </c>
      <c r="D5044" s="2" t="s">
        <v>48483</v>
      </c>
      <c r="E5044" s="2" t="s">
        <v>48484</v>
      </c>
      <c r="G5044" s="3" t="s">
        <v>62</v>
      </c>
      <c r="I5044" s="3" t="s">
        <v>61</v>
      </c>
      <c r="J5044" s="3" t="s">
        <v>61</v>
      </c>
      <c r="K5044" s="3" t="s">
        <v>63</v>
      </c>
      <c r="M5044" s="2" t="s">
        <v>39433</v>
      </c>
      <c r="N5044" s="3" t="s">
        <v>698</v>
      </c>
      <c r="O5044" s="2" t="s">
        <v>17648</v>
      </c>
      <c r="P5044" s="3" t="s">
        <v>64</v>
      </c>
      <c r="R5044" s="3" t="s">
        <v>46535</v>
      </c>
      <c r="S5044" s="4">
        <v>80</v>
      </c>
      <c r="T5044" s="4">
        <v>483</v>
      </c>
      <c r="U5044" s="5" t="s">
        <v>23948</v>
      </c>
      <c r="V5044" s="5" t="s">
        <v>23948</v>
      </c>
      <c r="W5044" s="5" t="s">
        <v>67</v>
      </c>
      <c r="X5044" s="5" t="s">
        <v>67</v>
      </c>
      <c r="Y5044" s="4">
        <v>375</v>
      </c>
      <c r="Z5044" s="4">
        <v>22</v>
      </c>
      <c r="AA5044" s="4">
        <v>48</v>
      </c>
      <c r="AB5044" s="4">
        <v>3</v>
      </c>
      <c r="AC5044" s="4">
        <v>11</v>
      </c>
      <c r="AD5044" s="4">
        <v>98</v>
      </c>
      <c r="AE5044" s="4">
        <v>139</v>
      </c>
      <c r="AF5044" s="4">
        <v>1</v>
      </c>
      <c r="AG5044" s="4">
        <v>5</v>
      </c>
      <c r="AH5044" s="4">
        <v>84</v>
      </c>
      <c r="AI5044" s="4">
        <v>113</v>
      </c>
      <c r="AJ5044" s="4">
        <v>17</v>
      </c>
      <c r="AK5044" s="4">
        <v>25</v>
      </c>
      <c r="AL5044" s="4">
        <v>53</v>
      </c>
      <c r="AM5044" s="4">
        <v>62</v>
      </c>
      <c r="AN5044" s="4">
        <v>0</v>
      </c>
      <c r="AO5044" s="4">
        <v>0</v>
      </c>
      <c r="AP5044" s="4">
        <v>19</v>
      </c>
      <c r="AQ5044" s="4">
        <v>33</v>
      </c>
      <c r="AR5044" s="3" t="s">
        <v>62</v>
      </c>
      <c r="AS5044" s="3" t="s">
        <v>62</v>
      </c>
      <c r="AT5044" s="3" t="s">
        <v>62</v>
      </c>
      <c r="AV5044" s="6" t="str">
        <f>HYPERLINK("http://mcgill.on.worldcat.org/oclc/754389847","Catalog Record")</f>
        <v>Catalog Record</v>
      </c>
      <c r="AW5044" s="6" t="str">
        <f>HYPERLINK("http://www.worldcat.org/oclc/754389847","WorldCat Record")</f>
        <v>WorldCat Record</v>
      </c>
      <c r="AX5044" s="3" t="s">
        <v>48456</v>
      </c>
      <c r="AY5044" s="3" t="s">
        <v>48485</v>
      </c>
      <c r="AZ5044" s="3" t="s">
        <v>48486</v>
      </c>
      <c r="BA5044" s="3" t="s">
        <v>48486</v>
      </c>
      <c r="BB5044" s="3" t="s">
        <v>48490</v>
      </c>
      <c r="BC5044" s="3" t="s">
        <v>102</v>
      </c>
      <c r="BD5044" s="3" t="s">
        <v>68</v>
      </c>
      <c r="BE5044" s="3" t="s">
        <v>48488</v>
      </c>
      <c r="BF5044" s="3" t="s">
        <v>48490</v>
      </c>
      <c r="BG5044" s="3" t="s">
        <v>48491</v>
      </c>
    </row>
    <row r="5045" spans="1:59" ht="87" x14ac:dyDescent="0.35">
      <c r="A5045" s="2" t="s">
        <v>89</v>
      </c>
      <c r="B5045" s="2" t="s">
        <v>15860</v>
      </c>
      <c r="C5045" s="2" t="s">
        <v>48492</v>
      </c>
      <c r="D5045" s="2" t="s">
        <v>48493</v>
      </c>
      <c r="E5045" s="2" t="s">
        <v>48494</v>
      </c>
      <c r="G5045" s="3" t="s">
        <v>62</v>
      </c>
      <c r="I5045" s="3" t="s">
        <v>61</v>
      </c>
      <c r="J5045" s="3" t="s">
        <v>61</v>
      </c>
      <c r="K5045" s="3" t="s">
        <v>63</v>
      </c>
      <c r="M5045" s="2" t="s">
        <v>48495</v>
      </c>
      <c r="N5045" s="3" t="s">
        <v>2085</v>
      </c>
      <c r="O5045" s="2" t="s">
        <v>16034</v>
      </c>
      <c r="P5045" s="3" t="s">
        <v>64</v>
      </c>
      <c r="R5045" s="3" t="s">
        <v>46535</v>
      </c>
      <c r="S5045" s="4">
        <v>12</v>
      </c>
      <c r="T5045" s="4">
        <v>75</v>
      </c>
      <c r="U5045" s="5" t="s">
        <v>24286</v>
      </c>
      <c r="V5045" s="5" t="s">
        <v>24286</v>
      </c>
      <c r="W5045" s="5" t="s">
        <v>67</v>
      </c>
      <c r="X5045" s="5" t="s">
        <v>67</v>
      </c>
      <c r="Y5045" s="4">
        <v>181</v>
      </c>
      <c r="Z5045" s="4">
        <v>14</v>
      </c>
      <c r="AA5045" s="4">
        <v>48</v>
      </c>
      <c r="AB5045" s="4">
        <v>3</v>
      </c>
      <c r="AC5045" s="4">
        <v>11</v>
      </c>
      <c r="AD5045" s="4">
        <v>58</v>
      </c>
      <c r="AE5045" s="4">
        <v>139</v>
      </c>
      <c r="AF5045" s="4">
        <v>1</v>
      </c>
      <c r="AG5045" s="4">
        <v>5</v>
      </c>
      <c r="AH5045" s="4">
        <v>50</v>
      </c>
      <c r="AI5045" s="4">
        <v>113</v>
      </c>
      <c r="AJ5045" s="4">
        <v>10</v>
      </c>
      <c r="AK5045" s="4">
        <v>25</v>
      </c>
      <c r="AL5045" s="4">
        <v>28</v>
      </c>
      <c r="AM5045" s="4">
        <v>62</v>
      </c>
      <c r="AN5045" s="4">
        <v>0</v>
      </c>
      <c r="AO5045" s="4">
        <v>0</v>
      </c>
      <c r="AP5045" s="4">
        <v>12</v>
      </c>
      <c r="AQ5045" s="4">
        <v>33</v>
      </c>
      <c r="AR5045" s="3" t="s">
        <v>62</v>
      </c>
      <c r="AS5045" s="3" t="s">
        <v>62</v>
      </c>
      <c r="AT5045" s="3" t="s">
        <v>62</v>
      </c>
      <c r="AV5045" s="6" t="str">
        <f>HYPERLINK("http://mcgill.on.worldcat.org/oclc/990257568","Catalog Record")</f>
        <v>Catalog Record</v>
      </c>
      <c r="AW5045" s="6" t="str">
        <f>HYPERLINK("http://www.worldcat.org/oclc/990257568","WorldCat Record")</f>
        <v>WorldCat Record</v>
      </c>
      <c r="AX5045" s="3" t="s">
        <v>48456</v>
      </c>
      <c r="AY5045" s="3" t="s">
        <v>48496</v>
      </c>
      <c r="AZ5045" s="3" t="s">
        <v>48497</v>
      </c>
      <c r="BA5045" s="3" t="s">
        <v>48497</v>
      </c>
      <c r="BB5045" s="3" t="s">
        <v>48498</v>
      </c>
      <c r="BC5045" s="3" t="s">
        <v>102</v>
      </c>
      <c r="BD5045" s="3" t="s">
        <v>68</v>
      </c>
      <c r="BE5045" s="3" t="s">
        <v>48499</v>
      </c>
      <c r="BF5045" s="3" t="s">
        <v>48498</v>
      </c>
      <c r="BG5045" s="3" t="s">
        <v>48500</v>
      </c>
    </row>
    <row r="5046" spans="1:59" ht="87" x14ac:dyDescent="0.35">
      <c r="A5046" s="2" t="s">
        <v>89</v>
      </c>
      <c r="B5046" s="2" t="s">
        <v>15860</v>
      </c>
      <c r="C5046" s="2" t="s">
        <v>48492</v>
      </c>
      <c r="D5046" s="2" t="s">
        <v>48493</v>
      </c>
      <c r="E5046" s="2" t="s">
        <v>48494</v>
      </c>
      <c r="G5046" s="3" t="s">
        <v>62</v>
      </c>
      <c r="I5046" s="3" t="s">
        <v>61</v>
      </c>
      <c r="J5046" s="3" t="s">
        <v>61</v>
      </c>
      <c r="K5046" s="3" t="s">
        <v>63</v>
      </c>
      <c r="M5046" s="2" t="s">
        <v>48495</v>
      </c>
      <c r="N5046" s="3" t="s">
        <v>2085</v>
      </c>
      <c r="O5046" s="2" t="s">
        <v>16034</v>
      </c>
      <c r="P5046" s="3" t="s">
        <v>64</v>
      </c>
      <c r="R5046" s="3" t="s">
        <v>46535</v>
      </c>
      <c r="S5046" s="4">
        <v>26</v>
      </c>
      <c r="T5046" s="4">
        <v>75</v>
      </c>
      <c r="U5046" s="5" t="s">
        <v>24286</v>
      </c>
      <c r="V5046" s="5" t="s">
        <v>24286</v>
      </c>
      <c r="W5046" s="5" t="s">
        <v>67</v>
      </c>
      <c r="X5046" s="5" t="s">
        <v>67</v>
      </c>
      <c r="Y5046" s="4">
        <v>181</v>
      </c>
      <c r="Z5046" s="4">
        <v>14</v>
      </c>
      <c r="AA5046" s="4">
        <v>48</v>
      </c>
      <c r="AB5046" s="4">
        <v>3</v>
      </c>
      <c r="AC5046" s="4">
        <v>11</v>
      </c>
      <c r="AD5046" s="4">
        <v>58</v>
      </c>
      <c r="AE5046" s="4">
        <v>139</v>
      </c>
      <c r="AF5046" s="4">
        <v>1</v>
      </c>
      <c r="AG5046" s="4">
        <v>5</v>
      </c>
      <c r="AH5046" s="4">
        <v>50</v>
      </c>
      <c r="AI5046" s="4">
        <v>113</v>
      </c>
      <c r="AJ5046" s="4">
        <v>10</v>
      </c>
      <c r="AK5046" s="4">
        <v>25</v>
      </c>
      <c r="AL5046" s="4">
        <v>28</v>
      </c>
      <c r="AM5046" s="4">
        <v>62</v>
      </c>
      <c r="AN5046" s="4">
        <v>0</v>
      </c>
      <c r="AO5046" s="4">
        <v>0</v>
      </c>
      <c r="AP5046" s="4">
        <v>12</v>
      </c>
      <c r="AQ5046" s="4">
        <v>33</v>
      </c>
      <c r="AR5046" s="3" t="s">
        <v>62</v>
      </c>
      <c r="AS5046" s="3" t="s">
        <v>62</v>
      </c>
      <c r="AT5046" s="3" t="s">
        <v>62</v>
      </c>
      <c r="AV5046" s="6" t="str">
        <f>HYPERLINK("http://mcgill.on.worldcat.org/oclc/990257568","Catalog Record")</f>
        <v>Catalog Record</v>
      </c>
      <c r="AW5046" s="6" t="str">
        <f>HYPERLINK("http://www.worldcat.org/oclc/990257568","WorldCat Record")</f>
        <v>WorldCat Record</v>
      </c>
      <c r="AX5046" s="3" t="s">
        <v>48456</v>
      </c>
      <c r="AY5046" s="3" t="s">
        <v>48496</v>
      </c>
      <c r="AZ5046" s="3" t="s">
        <v>48497</v>
      </c>
      <c r="BA5046" s="3" t="s">
        <v>48497</v>
      </c>
      <c r="BB5046" s="3" t="s">
        <v>48501</v>
      </c>
      <c r="BC5046" s="3" t="s">
        <v>102</v>
      </c>
      <c r="BD5046" s="3" t="s">
        <v>68</v>
      </c>
      <c r="BE5046" s="3" t="s">
        <v>48499</v>
      </c>
      <c r="BF5046" s="3" t="s">
        <v>48501</v>
      </c>
      <c r="BG5046" s="3" t="s">
        <v>48502</v>
      </c>
    </row>
    <row r="5047" spans="1:59" ht="87" x14ac:dyDescent="0.35">
      <c r="A5047" s="2" t="s">
        <v>89</v>
      </c>
      <c r="B5047" s="2" t="s">
        <v>15860</v>
      </c>
      <c r="C5047" s="2" t="s">
        <v>48492</v>
      </c>
      <c r="D5047" s="2" t="s">
        <v>48493</v>
      </c>
      <c r="E5047" s="2" t="s">
        <v>48494</v>
      </c>
      <c r="G5047" s="3" t="s">
        <v>62</v>
      </c>
      <c r="I5047" s="3" t="s">
        <v>61</v>
      </c>
      <c r="J5047" s="3" t="s">
        <v>61</v>
      </c>
      <c r="K5047" s="3" t="s">
        <v>63</v>
      </c>
      <c r="M5047" s="2" t="s">
        <v>48495</v>
      </c>
      <c r="N5047" s="3" t="s">
        <v>2085</v>
      </c>
      <c r="O5047" s="2" t="s">
        <v>16034</v>
      </c>
      <c r="P5047" s="3" t="s">
        <v>64</v>
      </c>
      <c r="R5047" s="3" t="s">
        <v>46535</v>
      </c>
      <c r="S5047" s="4">
        <v>22</v>
      </c>
      <c r="T5047" s="4">
        <v>75</v>
      </c>
      <c r="U5047" s="5" t="s">
        <v>24286</v>
      </c>
      <c r="V5047" s="5" t="s">
        <v>24286</v>
      </c>
      <c r="W5047" s="5" t="s">
        <v>67</v>
      </c>
      <c r="X5047" s="5" t="s">
        <v>67</v>
      </c>
      <c r="Y5047" s="4">
        <v>181</v>
      </c>
      <c r="Z5047" s="4">
        <v>14</v>
      </c>
      <c r="AA5047" s="4">
        <v>48</v>
      </c>
      <c r="AB5047" s="4">
        <v>3</v>
      </c>
      <c r="AC5047" s="4">
        <v>11</v>
      </c>
      <c r="AD5047" s="4">
        <v>58</v>
      </c>
      <c r="AE5047" s="4">
        <v>139</v>
      </c>
      <c r="AF5047" s="4">
        <v>1</v>
      </c>
      <c r="AG5047" s="4">
        <v>5</v>
      </c>
      <c r="AH5047" s="4">
        <v>50</v>
      </c>
      <c r="AI5047" s="4">
        <v>113</v>
      </c>
      <c r="AJ5047" s="4">
        <v>10</v>
      </c>
      <c r="AK5047" s="4">
        <v>25</v>
      </c>
      <c r="AL5047" s="4">
        <v>28</v>
      </c>
      <c r="AM5047" s="4">
        <v>62</v>
      </c>
      <c r="AN5047" s="4">
        <v>0</v>
      </c>
      <c r="AO5047" s="4">
        <v>0</v>
      </c>
      <c r="AP5047" s="4">
        <v>12</v>
      </c>
      <c r="AQ5047" s="4">
        <v>33</v>
      </c>
      <c r="AR5047" s="3" t="s">
        <v>62</v>
      </c>
      <c r="AS5047" s="3" t="s">
        <v>62</v>
      </c>
      <c r="AT5047" s="3" t="s">
        <v>62</v>
      </c>
      <c r="AV5047" s="6" t="str">
        <f>HYPERLINK("http://mcgill.on.worldcat.org/oclc/990257568","Catalog Record")</f>
        <v>Catalog Record</v>
      </c>
      <c r="AW5047" s="6" t="str">
        <f>HYPERLINK("http://www.worldcat.org/oclc/990257568","WorldCat Record")</f>
        <v>WorldCat Record</v>
      </c>
      <c r="AX5047" s="3" t="s">
        <v>48456</v>
      </c>
      <c r="AY5047" s="3" t="s">
        <v>48496</v>
      </c>
      <c r="AZ5047" s="3" t="s">
        <v>48497</v>
      </c>
      <c r="BA5047" s="3" t="s">
        <v>48497</v>
      </c>
      <c r="BB5047" s="3" t="s">
        <v>48503</v>
      </c>
      <c r="BC5047" s="3" t="s">
        <v>102</v>
      </c>
      <c r="BD5047" s="3" t="s">
        <v>68</v>
      </c>
      <c r="BE5047" s="3" t="s">
        <v>48499</v>
      </c>
      <c r="BF5047" s="3" t="s">
        <v>48503</v>
      </c>
      <c r="BG5047" s="3" t="s">
        <v>48504</v>
      </c>
    </row>
    <row r="5048" spans="1:59" ht="58" x14ac:dyDescent="0.35">
      <c r="A5048" s="2" t="s">
        <v>89</v>
      </c>
      <c r="B5048" s="2" t="s">
        <v>90</v>
      </c>
      <c r="C5048" s="2" t="s">
        <v>48505</v>
      </c>
      <c r="D5048" s="2" t="s">
        <v>48506</v>
      </c>
      <c r="E5048" s="2" t="s">
        <v>48507</v>
      </c>
      <c r="G5048" s="3" t="s">
        <v>62</v>
      </c>
      <c r="I5048" s="3" t="s">
        <v>62</v>
      </c>
      <c r="J5048" s="3" t="s">
        <v>62</v>
      </c>
      <c r="K5048" s="3" t="s">
        <v>63</v>
      </c>
      <c r="L5048" s="2" t="s">
        <v>48508</v>
      </c>
      <c r="M5048" s="2" t="s">
        <v>48509</v>
      </c>
      <c r="N5048" s="3" t="s">
        <v>1038</v>
      </c>
      <c r="O5048" s="2" t="s">
        <v>1941</v>
      </c>
      <c r="P5048" s="3" t="s">
        <v>64</v>
      </c>
      <c r="Q5048" s="2" t="s">
        <v>48510</v>
      </c>
      <c r="R5048" s="3" t="s">
        <v>46535</v>
      </c>
      <c r="S5048" s="4">
        <v>2</v>
      </c>
      <c r="T5048" s="4">
        <v>2</v>
      </c>
      <c r="U5048" s="5" t="s">
        <v>7705</v>
      </c>
      <c r="V5048" s="5" t="s">
        <v>7705</v>
      </c>
      <c r="W5048" s="5" t="s">
        <v>67</v>
      </c>
      <c r="X5048" s="5" t="s">
        <v>67</v>
      </c>
      <c r="Y5048" s="4">
        <v>52</v>
      </c>
      <c r="Z5048" s="4">
        <v>8</v>
      </c>
      <c r="AA5048" s="4">
        <v>61</v>
      </c>
      <c r="AB5048" s="4">
        <v>2</v>
      </c>
      <c r="AC5048" s="4">
        <v>9</v>
      </c>
      <c r="AD5048" s="4">
        <v>30</v>
      </c>
      <c r="AE5048" s="4">
        <v>92</v>
      </c>
      <c r="AF5048" s="4">
        <v>1</v>
      </c>
      <c r="AG5048" s="4">
        <v>5</v>
      </c>
      <c r="AH5048" s="4">
        <v>27</v>
      </c>
      <c r="AI5048" s="4">
        <v>70</v>
      </c>
      <c r="AJ5048" s="4">
        <v>5</v>
      </c>
      <c r="AK5048" s="4">
        <v>17</v>
      </c>
      <c r="AL5048" s="4">
        <v>17</v>
      </c>
      <c r="AM5048" s="4">
        <v>38</v>
      </c>
      <c r="AN5048" s="4">
        <v>0</v>
      </c>
      <c r="AO5048" s="4">
        <v>0</v>
      </c>
      <c r="AP5048" s="4">
        <v>6</v>
      </c>
      <c r="AQ5048" s="4">
        <v>29</v>
      </c>
      <c r="AR5048" s="3" t="s">
        <v>62</v>
      </c>
      <c r="AS5048" s="3" t="s">
        <v>62</v>
      </c>
      <c r="AT5048" s="3" t="s">
        <v>62</v>
      </c>
      <c r="AV5048" s="6" t="str">
        <f>HYPERLINK("http://mcgill.on.worldcat.org/oclc/913890484","Catalog Record")</f>
        <v>Catalog Record</v>
      </c>
      <c r="AW5048" s="6" t="str">
        <f>HYPERLINK("http://www.worldcat.org/oclc/913890484","WorldCat Record")</f>
        <v>WorldCat Record</v>
      </c>
      <c r="AX5048" s="3" t="s">
        <v>48511</v>
      </c>
      <c r="AY5048" s="3" t="s">
        <v>48512</v>
      </c>
      <c r="AZ5048" s="3" t="s">
        <v>48513</v>
      </c>
      <c r="BA5048" s="3" t="s">
        <v>48513</v>
      </c>
      <c r="BB5048" s="3" t="s">
        <v>48514</v>
      </c>
      <c r="BC5048" s="3" t="s">
        <v>102</v>
      </c>
      <c r="BD5048" s="3" t="s">
        <v>68</v>
      </c>
      <c r="BE5048" s="3" t="s">
        <v>48515</v>
      </c>
      <c r="BF5048" s="3" t="s">
        <v>48514</v>
      </c>
      <c r="BG5048" s="3" t="s">
        <v>48516</v>
      </c>
    </row>
    <row r="5049" spans="1:59" ht="58" x14ac:dyDescent="0.35">
      <c r="A5049" s="2" t="s">
        <v>59</v>
      </c>
      <c r="B5049" s="2" t="s">
        <v>60</v>
      </c>
      <c r="C5049" s="2" t="s">
        <v>48517</v>
      </c>
      <c r="D5049" s="2" t="s">
        <v>48518</v>
      </c>
      <c r="E5049" s="2" t="s">
        <v>48519</v>
      </c>
      <c r="G5049" s="3" t="s">
        <v>62</v>
      </c>
      <c r="I5049" s="3" t="s">
        <v>61</v>
      </c>
      <c r="J5049" s="3" t="s">
        <v>61</v>
      </c>
      <c r="K5049" s="3" t="s">
        <v>63</v>
      </c>
      <c r="M5049" s="2" t="s">
        <v>48520</v>
      </c>
      <c r="N5049" s="3" t="s">
        <v>396</v>
      </c>
      <c r="O5049" s="2" t="s">
        <v>2986</v>
      </c>
      <c r="P5049" s="3" t="s">
        <v>64</v>
      </c>
      <c r="R5049" s="3" t="s">
        <v>46535</v>
      </c>
      <c r="S5049" s="4">
        <v>17</v>
      </c>
      <c r="T5049" s="4">
        <v>45</v>
      </c>
      <c r="U5049" s="5" t="s">
        <v>48521</v>
      </c>
      <c r="V5049" s="5" t="s">
        <v>22541</v>
      </c>
      <c r="W5049" s="5" t="s">
        <v>67</v>
      </c>
      <c r="X5049" s="5" t="s">
        <v>67</v>
      </c>
      <c r="Y5049" s="4">
        <v>491</v>
      </c>
      <c r="Z5049" s="4">
        <v>28</v>
      </c>
      <c r="AA5049" s="4">
        <v>95</v>
      </c>
      <c r="AB5049" s="4">
        <v>4</v>
      </c>
      <c r="AC5049" s="4">
        <v>27</v>
      </c>
      <c r="AD5049" s="4">
        <v>103</v>
      </c>
      <c r="AE5049" s="4">
        <v>163</v>
      </c>
      <c r="AF5049" s="4">
        <v>1</v>
      </c>
      <c r="AG5049" s="4">
        <v>8</v>
      </c>
      <c r="AH5049" s="4">
        <v>88</v>
      </c>
      <c r="AI5049" s="4">
        <v>116</v>
      </c>
      <c r="AJ5049" s="4">
        <v>18</v>
      </c>
      <c r="AK5049" s="4">
        <v>28</v>
      </c>
      <c r="AL5049" s="4">
        <v>52</v>
      </c>
      <c r="AM5049" s="4">
        <v>64</v>
      </c>
      <c r="AN5049" s="4">
        <v>0</v>
      </c>
      <c r="AO5049" s="4">
        <v>0</v>
      </c>
      <c r="AP5049" s="4">
        <v>21</v>
      </c>
      <c r="AQ5049" s="4">
        <v>52</v>
      </c>
      <c r="AR5049" s="3" t="s">
        <v>62</v>
      </c>
      <c r="AS5049" s="3" t="s">
        <v>62</v>
      </c>
      <c r="AT5049" s="3" t="s">
        <v>61</v>
      </c>
      <c r="AU5049" s="6" t="str">
        <f>HYPERLINK("http://catalog.hathitrust.org/Record/000571677","HathiTrust Record")</f>
        <v>HathiTrust Record</v>
      </c>
      <c r="AV5049" s="6" t="str">
        <f>HYPERLINK("http://mcgill.on.worldcat.org/oclc/11865921","Catalog Record")</f>
        <v>Catalog Record</v>
      </c>
      <c r="AW5049" s="6" t="str">
        <f>HYPERLINK("http://www.worldcat.org/oclc/11865921","WorldCat Record")</f>
        <v>WorldCat Record</v>
      </c>
      <c r="AX5049" s="3" t="s">
        <v>48522</v>
      </c>
      <c r="AY5049" s="3" t="s">
        <v>48523</v>
      </c>
      <c r="AZ5049" s="3" t="s">
        <v>48524</v>
      </c>
      <c r="BA5049" s="3" t="s">
        <v>48524</v>
      </c>
      <c r="BB5049" s="3" t="s">
        <v>48525</v>
      </c>
      <c r="BC5049" s="3" t="s">
        <v>102</v>
      </c>
      <c r="BD5049" s="3" t="s">
        <v>68</v>
      </c>
      <c r="BE5049" s="3" t="s">
        <v>48526</v>
      </c>
      <c r="BF5049" s="3" t="s">
        <v>48525</v>
      </c>
      <c r="BG5049" s="3" t="s">
        <v>48527</v>
      </c>
    </row>
    <row r="5050" spans="1:59" ht="58" x14ac:dyDescent="0.35">
      <c r="A5050" s="2" t="s">
        <v>89</v>
      </c>
      <c r="B5050" s="2" t="s">
        <v>90</v>
      </c>
      <c r="C5050" s="2" t="s">
        <v>48528</v>
      </c>
      <c r="D5050" s="2" t="s">
        <v>48529</v>
      </c>
      <c r="E5050" s="2" t="s">
        <v>48530</v>
      </c>
      <c r="G5050" s="3" t="s">
        <v>62</v>
      </c>
      <c r="I5050" s="3" t="s">
        <v>61</v>
      </c>
      <c r="J5050" s="3" t="s">
        <v>61</v>
      </c>
      <c r="K5050" s="3" t="s">
        <v>63</v>
      </c>
      <c r="M5050" s="2" t="s">
        <v>48531</v>
      </c>
      <c r="N5050" s="3" t="s">
        <v>129</v>
      </c>
      <c r="O5050" s="2" t="s">
        <v>17648</v>
      </c>
      <c r="P5050" s="3" t="s">
        <v>64</v>
      </c>
      <c r="R5050" s="3" t="s">
        <v>46535</v>
      </c>
      <c r="S5050" s="4">
        <v>110</v>
      </c>
      <c r="T5050" s="4">
        <v>460</v>
      </c>
      <c r="U5050" s="5" t="s">
        <v>10372</v>
      </c>
      <c r="V5050" s="5" t="s">
        <v>16849</v>
      </c>
      <c r="W5050" s="5" t="s">
        <v>67</v>
      </c>
      <c r="X5050" s="5" t="s">
        <v>67</v>
      </c>
      <c r="Y5050" s="4">
        <v>538</v>
      </c>
      <c r="Z5050" s="4">
        <v>29</v>
      </c>
      <c r="AA5050" s="4">
        <v>95</v>
      </c>
      <c r="AB5050" s="4">
        <v>1</v>
      </c>
      <c r="AC5050" s="4">
        <v>27</v>
      </c>
      <c r="AD5050" s="4">
        <v>103</v>
      </c>
      <c r="AE5050" s="4">
        <v>163</v>
      </c>
      <c r="AF5050" s="4">
        <v>0</v>
      </c>
      <c r="AG5050" s="4">
        <v>8</v>
      </c>
      <c r="AH5050" s="4">
        <v>87</v>
      </c>
      <c r="AI5050" s="4">
        <v>116</v>
      </c>
      <c r="AJ5050" s="4">
        <v>16</v>
      </c>
      <c r="AK5050" s="4">
        <v>28</v>
      </c>
      <c r="AL5050" s="4">
        <v>50</v>
      </c>
      <c r="AM5050" s="4">
        <v>64</v>
      </c>
      <c r="AN5050" s="4">
        <v>0</v>
      </c>
      <c r="AO5050" s="4">
        <v>0</v>
      </c>
      <c r="AP5050" s="4">
        <v>23</v>
      </c>
      <c r="AQ5050" s="4">
        <v>52</v>
      </c>
      <c r="AR5050" s="3" t="s">
        <v>62</v>
      </c>
      <c r="AS5050" s="3" t="s">
        <v>62</v>
      </c>
      <c r="AT5050" s="3" t="s">
        <v>62</v>
      </c>
      <c r="AV5050" s="6" t="str">
        <f>HYPERLINK("http://mcgill.on.worldcat.org/oclc/795553723","Catalog Record")</f>
        <v>Catalog Record</v>
      </c>
      <c r="AW5050" s="6" t="str">
        <f>HYPERLINK("http://www.worldcat.org/oclc/795553723","WorldCat Record")</f>
        <v>WorldCat Record</v>
      </c>
      <c r="AX5050" s="3" t="s">
        <v>48522</v>
      </c>
      <c r="AY5050" s="3" t="s">
        <v>48532</v>
      </c>
      <c r="AZ5050" s="3" t="s">
        <v>48533</v>
      </c>
      <c r="BA5050" s="3" t="s">
        <v>48533</v>
      </c>
      <c r="BB5050" s="3" t="s">
        <v>48534</v>
      </c>
      <c r="BC5050" s="3" t="s">
        <v>102</v>
      </c>
      <c r="BD5050" s="3" t="s">
        <v>68</v>
      </c>
      <c r="BE5050" s="3" t="s">
        <v>48535</v>
      </c>
      <c r="BF5050" s="3" t="s">
        <v>48534</v>
      </c>
      <c r="BG5050" s="3" t="s">
        <v>48536</v>
      </c>
    </row>
    <row r="5051" spans="1:59" ht="58" x14ac:dyDescent="0.35">
      <c r="A5051" s="2" t="s">
        <v>89</v>
      </c>
      <c r="B5051" s="2" t="s">
        <v>90</v>
      </c>
      <c r="C5051" s="2" t="s">
        <v>48537</v>
      </c>
      <c r="D5051" s="2" t="s">
        <v>48538</v>
      </c>
      <c r="E5051" s="2" t="s">
        <v>48539</v>
      </c>
      <c r="G5051" s="3" t="s">
        <v>62</v>
      </c>
      <c r="I5051" s="3" t="s">
        <v>62</v>
      </c>
      <c r="J5051" s="3" t="s">
        <v>62</v>
      </c>
      <c r="K5051" s="3" t="s">
        <v>63</v>
      </c>
      <c r="L5051" s="2" t="s">
        <v>48540</v>
      </c>
      <c r="M5051" s="2" t="s">
        <v>48541</v>
      </c>
      <c r="N5051" s="3" t="s">
        <v>712</v>
      </c>
      <c r="P5051" s="3" t="s">
        <v>64</v>
      </c>
      <c r="R5051" s="3" t="s">
        <v>46535</v>
      </c>
      <c r="S5051" s="4">
        <v>1</v>
      </c>
      <c r="T5051" s="4">
        <v>1</v>
      </c>
      <c r="U5051" s="5" t="s">
        <v>48099</v>
      </c>
      <c r="V5051" s="5" t="s">
        <v>48099</v>
      </c>
      <c r="W5051" s="5" t="s">
        <v>67</v>
      </c>
      <c r="X5051" s="5" t="s">
        <v>67</v>
      </c>
      <c r="Y5051" s="4">
        <v>501</v>
      </c>
      <c r="Z5051" s="4">
        <v>21</v>
      </c>
      <c r="AA5051" s="4">
        <v>41</v>
      </c>
      <c r="AB5051" s="4">
        <v>3</v>
      </c>
      <c r="AC5051" s="4">
        <v>10</v>
      </c>
      <c r="AD5051" s="4">
        <v>62</v>
      </c>
      <c r="AE5051" s="4">
        <v>91</v>
      </c>
      <c r="AF5051" s="4">
        <v>1</v>
      </c>
      <c r="AG5051" s="4">
        <v>4</v>
      </c>
      <c r="AH5051" s="4">
        <v>56</v>
      </c>
      <c r="AI5051" s="4">
        <v>78</v>
      </c>
      <c r="AJ5051" s="4">
        <v>5</v>
      </c>
      <c r="AK5051" s="4">
        <v>11</v>
      </c>
      <c r="AL5051" s="4">
        <v>36</v>
      </c>
      <c r="AM5051" s="4">
        <v>51</v>
      </c>
      <c r="AN5051" s="4">
        <v>0</v>
      </c>
      <c r="AO5051" s="4">
        <v>0</v>
      </c>
      <c r="AP5051" s="4">
        <v>7</v>
      </c>
      <c r="AQ5051" s="4">
        <v>13</v>
      </c>
      <c r="AR5051" s="3" t="s">
        <v>62</v>
      </c>
      <c r="AS5051" s="3" t="s">
        <v>62</v>
      </c>
      <c r="AT5051" s="3" t="s">
        <v>62</v>
      </c>
      <c r="AV5051" s="6" t="str">
        <f>HYPERLINK("http://mcgill.on.worldcat.org/oclc/877364364","Catalog Record")</f>
        <v>Catalog Record</v>
      </c>
      <c r="AW5051" s="6" t="str">
        <f>HYPERLINK("http://www.worldcat.org/oclc/877364364","WorldCat Record")</f>
        <v>WorldCat Record</v>
      </c>
      <c r="AX5051" s="3" t="s">
        <v>48542</v>
      </c>
      <c r="AY5051" s="3" t="s">
        <v>48543</v>
      </c>
      <c r="AZ5051" s="3" t="s">
        <v>48544</v>
      </c>
      <c r="BA5051" s="3" t="s">
        <v>48544</v>
      </c>
      <c r="BB5051" s="3" t="s">
        <v>48545</v>
      </c>
      <c r="BC5051" s="3" t="s">
        <v>102</v>
      </c>
      <c r="BD5051" s="3" t="s">
        <v>68</v>
      </c>
      <c r="BE5051" s="3" t="s">
        <v>48546</v>
      </c>
      <c r="BF5051" s="3" t="s">
        <v>48545</v>
      </c>
      <c r="BG5051" s="3" t="s">
        <v>48547</v>
      </c>
    </row>
    <row r="5052" spans="1:59" ht="58" x14ac:dyDescent="0.35">
      <c r="A5052" s="2" t="s">
        <v>89</v>
      </c>
      <c r="B5052" s="2" t="s">
        <v>90</v>
      </c>
      <c r="C5052" s="2" t="s">
        <v>48548</v>
      </c>
      <c r="D5052" s="2" t="s">
        <v>48549</v>
      </c>
      <c r="E5052" s="2" t="s">
        <v>48550</v>
      </c>
      <c r="G5052" s="3" t="s">
        <v>62</v>
      </c>
      <c r="I5052" s="3" t="s">
        <v>62</v>
      </c>
      <c r="J5052" s="3" t="s">
        <v>62</v>
      </c>
      <c r="K5052" s="3" t="s">
        <v>63</v>
      </c>
      <c r="L5052" s="2" t="s">
        <v>48551</v>
      </c>
      <c r="M5052" s="2" t="s">
        <v>48552</v>
      </c>
      <c r="N5052" s="3" t="s">
        <v>355</v>
      </c>
      <c r="P5052" s="3" t="s">
        <v>64</v>
      </c>
      <c r="Q5052" s="2" t="s">
        <v>48553</v>
      </c>
      <c r="R5052" s="3" t="s">
        <v>46535</v>
      </c>
      <c r="S5052" s="4">
        <v>39</v>
      </c>
      <c r="T5052" s="4">
        <v>39</v>
      </c>
      <c r="U5052" s="5" t="s">
        <v>32654</v>
      </c>
      <c r="V5052" s="5" t="s">
        <v>32654</v>
      </c>
      <c r="W5052" s="5" t="s">
        <v>67</v>
      </c>
      <c r="X5052" s="5" t="s">
        <v>67</v>
      </c>
      <c r="Y5052" s="4">
        <v>449</v>
      </c>
      <c r="Z5052" s="4">
        <v>33</v>
      </c>
      <c r="AA5052" s="4">
        <v>37</v>
      </c>
      <c r="AB5052" s="4">
        <v>4</v>
      </c>
      <c r="AC5052" s="4">
        <v>5</v>
      </c>
      <c r="AD5052" s="4">
        <v>119</v>
      </c>
      <c r="AE5052" s="4">
        <v>127</v>
      </c>
      <c r="AF5052" s="4">
        <v>1</v>
      </c>
      <c r="AG5052" s="4">
        <v>2</v>
      </c>
      <c r="AH5052" s="4">
        <v>98</v>
      </c>
      <c r="AI5052" s="4">
        <v>105</v>
      </c>
      <c r="AJ5052" s="4">
        <v>16</v>
      </c>
      <c r="AK5052" s="4">
        <v>19</v>
      </c>
      <c r="AL5052" s="4">
        <v>56</v>
      </c>
      <c r="AM5052" s="4">
        <v>59</v>
      </c>
      <c r="AN5052" s="4">
        <v>0</v>
      </c>
      <c r="AO5052" s="4">
        <v>0</v>
      </c>
      <c r="AP5052" s="4">
        <v>22</v>
      </c>
      <c r="AQ5052" s="4">
        <v>26</v>
      </c>
      <c r="AR5052" s="3" t="s">
        <v>62</v>
      </c>
      <c r="AS5052" s="3" t="s">
        <v>62</v>
      </c>
      <c r="AT5052" s="3" t="s">
        <v>62</v>
      </c>
      <c r="AV5052" s="6" t="str">
        <f>HYPERLINK("http://mcgill.on.worldcat.org/oclc/10753133","Catalog Record")</f>
        <v>Catalog Record</v>
      </c>
      <c r="AW5052" s="6" t="str">
        <f>HYPERLINK("http://www.worldcat.org/oclc/10753133","WorldCat Record")</f>
        <v>WorldCat Record</v>
      </c>
      <c r="AX5052" s="3" t="s">
        <v>48554</v>
      </c>
      <c r="AY5052" s="3" t="s">
        <v>48555</v>
      </c>
      <c r="AZ5052" s="3" t="s">
        <v>48556</v>
      </c>
      <c r="BA5052" s="3" t="s">
        <v>48556</v>
      </c>
      <c r="BB5052" s="3" t="s">
        <v>48557</v>
      </c>
      <c r="BC5052" s="3" t="s">
        <v>102</v>
      </c>
      <c r="BD5052" s="3" t="s">
        <v>68</v>
      </c>
      <c r="BE5052" s="3" t="s">
        <v>48558</v>
      </c>
      <c r="BF5052" s="3" t="s">
        <v>48557</v>
      </c>
      <c r="BG5052" s="3" t="s">
        <v>48559</v>
      </c>
    </row>
    <row r="5053" spans="1:59" ht="58" x14ac:dyDescent="0.35">
      <c r="A5053" s="2" t="s">
        <v>89</v>
      </c>
      <c r="B5053" s="2" t="s">
        <v>90</v>
      </c>
      <c r="C5053" s="2" t="s">
        <v>48560</v>
      </c>
      <c r="D5053" s="2" t="s">
        <v>48561</v>
      </c>
      <c r="E5053" s="2" t="s">
        <v>48562</v>
      </c>
      <c r="G5053" s="3" t="s">
        <v>62</v>
      </c>
      <c r="I5053" s="3" t="s">
        <v>62</v>
      </c>
      <c r="J5053" s="3" t="s">
        <v>62</v>
      </c>
      <c r="K5053" s="3" t="s">
        <v>63</v>
      </c>
      <c r="L5053" s="2" t="s">
        <v>48563</v>
      </c>
      <c r="M5053" s="2" t="s">
        <v>48564</v>
      </c>
      <c r="N5053" s="3" t="s">
        <v>698</v>
      </c>
      <c r="P5053" s="3" t="s">
        <v>64</v>
      </c>
      <c r="R5053" s="3" t="s">
        <v>46535</v>
      </c>
      <c r="S5053" s="4">
        <v>1</v>
      </c>
      <c r="T5053" s="4">
        <v>1</v>
      </c>
      <c r="U5053" s="5" t="s">
        <v>48565</v>
      </c>
      <c r="V5053" s="5" t="s">
        <v>48565</v>
      </c>
      <c r="W5053" s="5" t="s">
        <v>67</v>
      </c>
      <c r="X5053" s="5" t="s">
        <v>67</v>
      </c>
      <c r="Y5053" s="4">
        <v>233</v>
      </c>
      <c r="Z5053" s="4">
        <v>15</v>
      </c>
      <c r="AA5053" s="4">
        <v>27</v>
      </c>
      <c r="AB5053" s="4">
        <v>1</v>
      </c>
      <c r="AC5053" s="4">
        <v>4</v>
      </c>
      <c r="AD5053" s="4">
        <v>70</v>
      </c>
      <c r="AE5053" s="4">
        <v>89</v>
      </c>
      <c r="AF5053" s="4">
        <v>0</v>
      </c>
      <c r="AG5053" s="4">
        <v>0</v>
      </c>
      <c r="AH5053" s="4">
        <v>64</v>
      </c>
      <c r="AI5053" s="4">
        <v>81</v>
      </c>
      <c r="AJ5053" s="4">
        <v>9</v>
      </c>
      <c r="AK5053" s="4">
        <v>11</v>
      </c>
      <c r="AL5053" s="4">
        <v>38</v>
      </c>
      <c r="AM5053" s="4">
        <v>46</v>
      </c>
      <c r="AN5053" s="4">
        <v>0</v>
      </c>
      <c r="AO5053" s="4">
        <v>0</v>
      </c>
      <c r="AP5053" s="4">
        <v>10</v>
      </c>
      <c r="AQ5053" s="4">
        <v>13</v>
      </c>
      <c r="AR5053" s="3" t="s">
        <v>62</v>
      </c>
      <c r="AS5053" s="3" t="s">
        <v>62</v>
      </c>
      <c r="AT5053" s="3" t="s">
        <v>62</v>
      </c>
      <c r="AV5053" s="6" t="str">
        <f>HYPERLINK("http://mcgill.on.worldcat.org/oclc/759174111","Catalog Record")</f>
        <v>Catalog Record</v>
      </c>
      <c r="AW5053" s="6" t="str">
        <f>HYPERLINK("http://www.worldcat.org/oclc/759174111","WorldCat Record")</f>
        <v>WorldCat Record</v>
      </c>
      <c r="AX5053" s="3" t="s">
        <v>48566</v>
      </c>
      <c r="AY5053" s="3" t="s">
        <v>48567</v>
      </c>
      <c r="AZ5053" s="3" t="s">
        <v>48568</v>
      </c>
      <c r="BA5053" s="3" t="s">
        <v>48568</v>
      </c>
      <c r="BB5053" s="3" t="s">
        <v>48569</v>
      </c>
      <c r="BC5053" s="3" t="s">
        <v>102</v>
      </c>
      <c r="BD5053" s="3" t="s">
        <v>68</v>
      </c>
      <c r="BE5053" s="3" t="s">
        <v>48570</v>
      </c>
      <c r="BF5053" s="3" t="s">
        <v>48569</v>
      </c>
      <c r="BG5053" s="3" t="s">
        <v>48571</v>
      </c>
    </row>
    <row r="5054" spans="1:59" ht="58" x14ac:dyDescent="0.35">
      <c r="A5054" s="2" t="s">
        <v>89</v>
      </c>
      <c r="B5054" s="2" t="s">
        <v>90</v>
      </c>
      <c r="C5054" s="2" t="s">
        <v>48572</v>
      </c>
      <c r="D5054" s="2" t="s">
        <v>48573</v>
      </c>
      <c r="E5054" s="2" t="s">
        <v>48574</v>
      </c>
      <c r="G5054" s="3" t="s">
        <v>62</v>
      </c>
      <c r="I5054" s="3" t="s">
        <v>61</v>
      </c>
      <c r="J5054" s="3" t="s">
        <v>62</v>
      </c>
      <c r="K5054" s="3" t="s">
        <v>63</v>
      </c>
      <c r="L5054" s="2" t="s">
        <v>48575</v>
      </c>
      <c r="M5054" s="2" t="s">
        <v>12485</v>
      </c>
      <c r="N5054" s="3" t="s">
        <v>466</v>
      </c>
      <c r="P5054" s="3" t="s">
        <v>64</v>
      </c>
      <c r="Q5054" s="2" t="s">
        <v>48203</v>
      </c>
      <c r="R5054" s="3" t="s">
        <v>46535</v>
      </c>
      <c r="S5054" s="4">
        <v>22</v>
      </c>
      <c r="T5054" s="4">
        <v>55</v>
      </c>
      <c r="U5054" s="5" t="s">
        <v>48576</v>
      </c>
      <c r="V5054" s="5" t="s">
        <v>48576</v>
      </c>
      <c r="W5054" s="5" t="s">
        <v>67</v>
      </c>
      <c r="X5054" s="5" t="s">
        <v>67</v>
      </c>
      <c r="Y5054" s="4">
        <v>801</v>
      </c>
      <c r="Z5054" s="4">
        <v>49</v>
      </c>
      <c r="AA5054" s="4">
        <v>119</v>
      </c>
      <c r="AB5054" s="4">
        <v>2</v>
      </c>
      <c r="AC5054" s="4">
        <v>21</v>
      </c>
      <c r="AD5054" s="4">
        <v>137</v>
      </c>
      <c r="AE5054" s="4">
        <v>163</v>
      </c>
      <c r="AF5054" s="4">
        <v>1</v>
      </c>
      <c r="AG5054" s="4">
        <v>9</v>
      </c>
      <c r="AH5054" s="4">
        <v>107</v>
      </c>
      <c r="AI5054" s="4">
        <v>114</v>
      </c>
      <c r="AJ5054" s="4">
        <v>21</v>
      </c>
      <c r="AK5054" s="4">
        <v>28</v>
      </c>
      <c r="AL5054" s="4">
        <v>59</v>
      </c>
      <c r="AM5054" s="4">
        <v>61</v>
      </c>
      <c r="AN5054" s="4">
        <v>0</v>
      </c>
      <c r="AO5054" s="4">
        <v>0</v>
      </c>
      <c r="AP5054" s="4">
        <v>37</v>
      </c>
      <c r="AQ5054" s="4">
        <v>57</v>
      </c>
      <c r="AR5054" s="3" t="s">
        <v>62</v>
      </c>
      <c r="AS5054" s="3" t="s">
        <v>62</v>
      </c>
      <c r="AT5054" s="3" t="s">
        <v>62</v>
      </c>
      <c r="AV5054" s="6" t="str">
        <f>HYPERLINK("http://mcgill.on.worldcat.org/oclc/24110588","Catalog Record")</f>
        <v>Catalog Record</v>
      </c>
      <c r="AW5054" s="6" t="str">
        <f>HYPERLINK("http://www.worldcat.org/oclc/24110588","WorldCat Record")</f>
        <v>WorldCat Record</v>
      </c>
      <c r="AX5054" s="3" t="s">
        <v>48577</v>
      </c>
      <c r="AY5054" s="3" t="s">
        <v>48578</v>
      </c>
      <c r="AZ5054" s="3" t="s">
        <v>48579</v>
      </c>
      <c r="BA5054" s="3" t="s">
        <v>48579</v>
      </c>
      <c r="BB5054" s="3" t="s">
        <v>48580</v>
      </c>
      <c r="BC5054" s="3" t="s">
        <v>102</v>
      </c>
      <c r="BD5054" s="3" t="s">
        <v>68</v>
      </c>
      <c r="BE5054" s="3" t="s">
        <v>48581</v>
      </c>
      <c r="BF5054" s="3" t="s">
        <v>48580</v>
      </c>
      <c r="BG5054" s="3" t="s">
        <v>48582</v>
      </c>
    </row>
    <row r="5055" spans="1:59" ht="58" x14ac:dyDescent="0.35">
      <c r="A5055" s="2" t="s">
        <v>89</v>
      </c>
      <c r="B5055" s="2" t="s">
        <v>90</v>
      </c>
      <c r="C5055" s="2" t="s">
        <v>48583</v>
      </c>
      <c r="D5055" s="2" t="s">
        <v>48584</v>
      </c>
      <c r="E5055" s="2" t="s">
        <v>48585</v>
      </c>
      <c r="G5055" s="3" t="s">
        <v>62</v>
      </c>
      <c r="I5055" s="3" t="s">
        <v>62</v>
      </c>
      <c r="J5055" s="3" t="s">
        <v>62</v>
      </c>
      <c r="K5055" s="3" t="s">
        <v>63</v>
      </c>
      <c r="M5055" s="2" t="s">
        <v>48586</v>
      </c>
      <c r="N5055" s="3" t="s">
        <v>1576</v>
      </c>
      <c r="P5055" s="3" t="s">
        <v>64</v>
      </c>
      <c r="R5055" s="3" t="s">
        <v>46535</v>
      </c>
      <c r="S5055" s="4">
        <v>1</v>
      </c>
      <c r="T5055" s="4">
        <v>1</v>
      </c>
      <c r="U5055" s="5" t="s">
        <v>14217</v>
      </c>
      <c r="V5055" s="5" t="s">
        <v>14217</v>
      </c>
      <c r="W5055" s="5" t="s">
        <v>67</v>
      </c>
      <c r="X5055" s="5" t="s">
        <v>67</v>
      </c>
      <c r="Y5055" s="4">
        <v>340</v>
      </c>
      <c r="Z5055" s="4">
        <v>14</v>
      </c>
      <c r="AA5055" s="4">
        <v>35</v>
      </c>
      <c r="AB5055" s="4">
        <v>1</v>
      </c>
      <c r="AC5055" s="4">
        <v>6</v>
      </c>
      <c r="AD5055" s="4">
        <v>86</v>
      </c>
      <c r="AE5055" s="4">
        <v>121</v>
      </c>
      <c r="AF5055" s="4">
        <v>0</v>
      </c>
      <c r="AG5055" s="4">
        <v>3</v>
      </c>
      <c r="AH5055" s="4">
        <v>75</v>
      </c>
      <c r="AI5055" s="4">
        <v>97</v>
      </c>
      <c r="AJ5055" s="4">
        <v>8</v>
      </c>
      <c r="AK5055" s="4">
        <v>22</v>
      </c>
      <c r="AL5055" s="4">
        <v>49</v>
      </c>
      <c r="AM5055" s="4">
        <v>56</v>
      </c>
      <c r="AN5055" s="4">
        <v>0</v>
      </c>
      <c r="AO5055" s="4">
        <v>0</v>
      </c>
      <c r="AP5055" s="4">
        <v>11</v>
      </c>
      <c r="AQ5055" s="4">
        <v>27</v>
      </c>
      <c r="AR5055" s="3" t="s">
        <v>62</v>
      </c>
      <c r="AS5055" s="3" t="s">
        <v>62</v>
      </c>
      <c r="AT5055" s="3" t="s">
        <v>61</v>
      </c>
      <c r="AU5055" s="6" t="str">
        <f>HYPERLINK("http://catalog.hathitrust.org/Record/001554583","HathiTrust Record")</f>
        <v>HathiTrust Record</v>
      </c>
      <c r="AV5055" s="6" t="str">
        <f>HYPERLINK("http://mcgill.on.worldcat.org/oclc/556740","Catalog Record")</f>
        <v>Catalog Record</v>
      </c>
      <c r="AW5055" s="6" t="str">
        <f>HYPERLINK("http://www.worldcat.org/oclc/556740","WorldCat Record")</f>
        <v>WorldCat Record</v>
      </c>
      <c r="AX5055" s="3" t="s">
        <v>48587</v>
      </c>
      <c r="AY5055" s="3" t="s">
        <v>48588</v>
      </c>
      <c r="AZ5055" s="3" t="s">
        <v>48589</v>
      </c>
      <c r="BA5055" s="3" t="s">
        <v>48589</v>
      </c>
      <c r="BB5055" s="3" t="s">
        <v>48590</v>
      </c>
      <c r="BC5055" s="3" t="s">
        <v>102</v>
      </c>
      <c r="BD5055" s="3" t="s">
        <v>68</v>
      </c>
      <c r="BF5055" s="3" t="s">
        <v>48590</v>
      </c>
      <c r="BG5055" s="3" t="s">
        <v>48591</v>
      </c>
    </row>
    <row r="5056" spans="1:59" ht="58" x14ac:dyDescent="0.35">
      <c r="A5056" s="2" t="s">
        <v>89</v>
      </c>
      <c r="B5056" s="2" t="s">
        <v>90</v>
      </c>
      <c r="C5056" s="2" t="s">
        <v>48592</v>
      </c>
      <c r="D5056" s="2" t="s">
        <v>48593</v>
      </c>
      <c r="E5056" s="2" t="s">
        <v>48594</v>
      </c>
      <c r="G5056" s="3" t="s">
        <v>62</v>
      </c>
      <c r="I5056" s="3" t="s">
        <v>62</v>
      </c>
      <c r="J5056" s="3" t="s">
        <v>62</v>
      </c>
      <c r="K5056" s="3" t="s">
        <v>63</v>
      </c>
      <c r="L5056" s="2" t="s">
        <v>9718</v>
      </c>
      <c r="M5056" s="2" t="s">
        <v>48595</v>
      </c>
      <c r="N5056" s="3" t="s">
        <v>396</v>
      </c>
      <c r="P5056" s="3" t="s">
        <v>64</v>
      </c>
      <c r="Q5056" s="2" t="s">
        <v>48596</v>
      </c>
      <c r="R5056" s="3" t="s">
        <v>46535</v>
      </c>
      <c r="S5056" s="4">
        <v>28</v>
      </c>
      <c r="T5056" s="4">
        <v>28</v>
      </c>
      <c r="U5056" s="5" t="s">
        <v>8916</v>
      </c>
      <c r="V5056" s="5" t="s">
        <v>8916</v>
      </c>
      <c r="W5056" s="5" t="s">
        <v>67</v>
      </c>
      <c r="X5056" s="5" t="s">
        <v>67</v>
      </c>
      <c r="Y5056" s="4">
        <v>218</v>
      </c>
      <c r="Z5056" s="4">
        <v>15</v>
      </c>
      <c r="AA5056" s="4">
        <v>18</v>
      </c>
      <c r="AB5056" s="4">
        <v>1</v>
      </c>
      <c r="AC5056" s="4">
        <v>4</v>
      </c>
      <c r="AD5056" s="4">
        <v>98</v>
      </c>
      <c r="AE5056" s="4">
        <v>102</v>
      </c>
      <c r="AF5056" s="4">
        <v>0</v>
      </c>
      <c r="AG5056" s="4">
        <v>2</v>
      </c>
      <c r="AH5056" s="4">
        <v>90</v>
      </c>
      <c r="AI5056" s="4">
        <v>92</v>
      </c>
      <c r="AJ5056" s="4">
        <v>10</v>
      </c>
      <c r="AK5056" s="4">
        <v>12</v>
      </c>
      <c r="AL5056" s="4">
        <v>50</v>
      </c>
      <c r="AM5056" s="4">
        <v>52</v>
      </c>
      <c r="AN5056" s="4">
        <v>0</v>
      </c>
      <c r="AO5056" s="4">
        <v>0</v>
      </c>
      <c r="AP5056" s="4">
        <v>13</v>
      </c>
      <c r="AQ5056" s="4">
        <v>14</v>
      </c>
      <c r="AR5056" s="3" t="s">
        <v>62</v>
      </c>
      <c r="AS5056" s="3" t="s">
        <v>62</v>
      </c>
      <c r="AT5056" s="3" t="s">
        <v>62</v>
      </c>
      <c r="AV5056" s="6" t="str">
        <f>HYPERLINK("http://mcgill.on.worldcat.org/oclc/10753409","Catalog Record")</f>
        <v>Catalog Record</v>
      </c>
      <c r="AW5056" s="6" t="str">
        <f>HYPERLINK("http://www.worldcat.org/oclc/10753409","WorldCat Record")</f>
        <v>WorldCat Record</v>
      </c>
      <c r="AX5056" s="3" t="s">
        <v>48597</v>
      </c>
      <c r="AY5056" s="3" t="s">
        <v>48598</v>
      </c>
      <c r="AZ5056" s="3" t="s">
        <v>48599</v>
      </c>
      <c r="BA5056" s="3" t="s">
        <v>48599</v>
      </c>
      <c r="BB5056" s="3" t="s">
        <v>48600</v>
      </c>
      <c r="BC5056" s="3" t="s">
        <v>102</v>
      </c>
      <c r="BD5056" s="3" t="s">
        <v>68</v>
      </c>
      <c r="BE5056" s="3" t="s">
        <v>48601</v>
      </c>
      <c r="BF5056" s="3" t="s">
        <v>48600</v>
      </c>
      <c r="BG5056" s="3" t="s">
        <v>48602</v>
      </c>
    </row>
    <row r="5057" spans="1:59" ht="58" x14ac:dyDescent="0.35">
      <c r="A5057" s="2" t="s">
        <v>89</v>
      </c>
      <c r="B5057" s="2" t="s">
        <v>90</v>
      </c>
      <c r="C5057" s="2" t="s">
        <v>48603</v>
      </c>
      <c r="D5057" s="2" t="s">
        <v>48604</v>
      </c>
      <c r="E5057" s="2" t="s">
        <v>48605</v>
      </c>
      <c r="G5057" s="3" t="s">
        <v>62</v>
      </c>
      <c r="I5057" s="3" t="s">
        <v>61</v>
      </c>
      <c r="J5057" s="3" t="s">
        <v>61</v>
      </c>
      <c r="K5057" s="3" t="s">
        <v>63</v>
      </c>
      <c r="L5057" s="2" t="s">
        <v>5332</v>
      </c>
      <c r="M5057" s="2" t="s">
        <v>48606</v>
      </c>
      <c r="N5057" s="3" t="s">
        <v>809</v>
      </c>
      <c r="P5057" s="3" t="s">
        <v>64</v>
      </c>
      <c r="R5057" s="3" t="s">
        <v>46535</v>
      </c>
      <c r="S5057" s="4">
        <v>7</v>
      </c>
      <c r="T5057" s="4">
        <v>29</v>
      </c>
      <c r="U5057" s="5" t="s">
        <v>48607</v>
      </c>
      <c r="V5057" s="5" t="s">
        <v>17448</v>
      </c>
      <c r="W5057" s="5" t="s">
        <v>67</v>
      </c>
      <c r="X5057" s="5" t="s">
        <v>67</v>
      </c>
      <c r="Y5057" s="4">
        <v>1103</v>
      </c>
      <c r="Z5057" s="4">
        <v>71</v>
      </c>
      <c r="AA5057" s="4">
        <v>115</v>
      </c>
      <c r="AB5057" s="4">
        <v>5</v>
      </c>
      <c r="AC5057" s="4">
        <v>14</v>
      </c>
      <c r="AD5057" s="4">
        <v>138</v>
      </c>
      <c r="AE5057" s="4">
        <v>164</v>
      </c>
      <c r="AF5057" s="4">
        <v>1</v>
      </c>
      <c r="AG5057" s="4">
        <v>6</v>
      </c>
      <c r="AH5057" s="4">
        <v>106</v>
      </c>
      <c r="AI5057" s="4">
        <v>117</v>
      </c>
      <c r="AJ5057" s="4">
        <v>24</v>
      </c>
      <c r="AK5057" s="4">
        <v>28</v>
      </c>
      <c r="AL5057" s="4">
        <v>58</v>
      </c>
      <c r="AM5057" s="4">
        <v>63</v>
      </c>
      <c r="AN5057" s="4">
        <v>0</v>
      </c>
      <c r="AO5057" s="4">
        <v>0</v>
      </c>
      <c r="AP5057" s="4">
        <v>37</v>
      </c>
      <c r="AQ5057" s="4">
        <v>51</v>
      </c>
      <c r="AR5057" s="3" t="s">
        <v>62</v>
      </c>
      <c r="AS5057" s="3" t="s">
        <v>62</v>
      </c>
      <c r="AT5057" s="3" t="s">
        <v>62</v>
      </c>
      <c r="AU5057" s="6" t="str">
        <f>HYPERLINK("http://catalog.hathitrust.org/Record/001553450","HathiTrust Record")</f>
        <v>HathiTrust Record</v>
      </c>
      <c r="AV5057" s="6" t="str">
        <f>HYPERLINK("http://mcgill.on.worldcat.org/oclc/525839","Catalog Record")</f>
        <v>Catalog Record</v>
      </c>
      <c r="AW5057" s="6" t="str">
        <f>HYPERLINK("http://www.worldcat.org/oclc/525839","WorldCat Record")</f>
        <v>WorldCat Record</v>
      </c>
      <c r="AX5057" s="3" t="s">
        <v>48608</v>
      </c>
      <c r="AY5057" s="3" t="s">
        <v>48609</v>
      </c>
      <c r="AZ5057" s="3" t="s">
        <v>48610</v>
      </c>
      <c r="BA5057" s="3" t="s">
        <v>48610</v>
      </c>
      <c r="BB5057" s="3" t="s">
        <v>48611</v>
      </c>
      <c r="BC5057" s="3" t="s">
        <v>102</v>
      </c>
      <c r="BD5057" s="3" t="s">
        <v>68</v>
      </c>
      <c r="BE5057" s="3" t="s">
        <v>48612</v>
      </c>
      <c r="BF5057" s="3" t="s">
        <v>48611</v>
      </c>
      <c r="BG5057" s="3" t="s">
        <v>48613</v>
      </c>
    </row>
    <row r="5058" spans="1:59" ht="58" x14ac:dyDescent="0.35">
      <c r="A5058" s="2" t="s">
        <v>89</v>
      </c>
      <c r="B5058" s="2" t="s">
        <v>90</v>
      </c>
      <c r="C5058" s="2" t="s">
        <v>48603</v>
      </c>
      <c r="D5058" s="2" t="s">
        <v>48604</v>
      </c>
      <c r="E5058" s="2" t="s">
        <v>48605</v>
      </c>
      <c r="G5058" s="3" t="s">
        <v>62</v>
      </c>
      <c r="I5058" s="3" t="s">
        <v>61</v>
      </c>
      <c r="J5058" s="3" t="s">
        <v>61</v>
      </c>
      <c r="K5058" s="3" t="s">
        <v>63</v>
      </c>
      <c r="L5058" s="2" t="s">
        <v>5332</v>
      </c>
      <c r="M5058" s="2" t="s">
        <v>48606</v>
      </c>
      <c r="N5058" s="3" t="s">
        <v>809</v>
      </c>
      <c r="P5058" s="3" t="s">
        <v>64</v>
      </c>
      <c r="R5058" s="3" t="s">
        <v>46535</v>
      </c>
      <c r="S5058" s="4">
        <v>5</v>
      </c>
      <c r="T5058" s="4">
        <v>29</v>
      </c>
      <c r="U5058" s="5" t="s">
        <v>48614</v>
      </c>
      <c r="V5058" s="5" t="s">
        <v>17448</v>
      </c>
      <c r="W5058" s="5" t="s">
        <v>67</v>
      </c>
      <c r="X5058" s="5" t="s">
        <v>67</v>
      </c>
      <c r="Y5058" s="4">
        <v>1103</v>
      </c>
      <c r="Z5058" s="4">
        <v>71</v>
      </c>
      <c r="AA5058" s="4">
        <v>115</v>
      </c>
      <c r="AB5058" s="4">
        <v>5</v>
      </c>
      <c r="AC5058" s="4">
        <v>14</v>
      </c>
      <c r="AD5058" s="4">
        <v>138</v>
      </c>
      <c r="AE5058" s="4">
        <v>164</v>
      </c>
      <c r="AF5058" s="4">
        <v>1</v>
      </c>
      <c r="AG5058" s="4">
        <v>6</v>
      </c>
      <c r="AH5058" s="4">
        <v>106</v>
      </c>
      <c r="AI5058" s="4">
        <v>117</v>
      </c>
      <c r="AJ5058" s="4">
        <v>24</v>
      </c>
      <c r="AK5058" s="4">
        <v>28</v>
      </c>
      <c r="AL5058" s="4">
        <v>58</v>
      </c>
      <c r="AM5058" s="4">
        <v>63</v>
      </c>
      <c r="AN5058" s="4">
        <v>0</v>
      </c>
      <c r="AO5058" s="4">
        <v>0</v>
      </c>
      <c r="AP5058" s="4">
        <v>37</v>
      </c>
      <c r="AQ5058" s="4">
        <v>51</v>
      </c>
      <c r="AR5058" s="3" t="s">
        <v>62</v>
      </c>
      <c r="AS5058" s="3" t="s">
        <v>62</v>
      </c>
      <c r="AT5058" s="3" t="s">
        <v>62</v>
      </c>
      <c r="AU5058" s="6" t="str">
        <f>HYPERLINK("http://catalog.hathitrust.org/Record/001553450","HathiTrust Record")</f>
        <v>HathiTrust Record</v>
      </c>
      <c r="AV5058" s="6" t="str">
        <f>HYPERLINK("http://mcgill.on.worldcat.org/oclc/525839","Catalog Record")</f>
        <v>Catalog Record</v>
      </c>
      <c r="AW5058" s="6" t="str">
        <f>HYPERLINK("http://www.worldcat.org/oclc/525839","WorldCat Record")</f>
        <v>WorldCat Record</v>
      </c>
      <c r="AX5058" s="3" t="s">
        <v>48608</v>
      </c>
      <c r="AY5058" s="3" t="s">
        <v>48609</v>
      </c>
      <c r="AZ5058" s="3" t="s">
        <v>48610</v>
      </c>
      <c r="BA5058" s="3" t="s">
        <v>48610</v>
      </c>
      <c r="BB5058" s="3" t="s">
        <v>48615</v>
      </c>
      <c r="BC5058" s="3" t="s">
        <v>102</v>
      </c>
      <c r="BD5058" s="3" t="s">
        <v>68</v>
      </c>
      <c r="BE5058" s="3" t="s">
        <v>48612</v>
      </c>
      <c r="BF5058" s="3" t="s">
        <v>48615</v>
      </c>
      <c r="BG5058" s="3" t="s">
        <v>48616</v>
      </c>
    </row>
    <row r="5059" spans="1:59" ht="58" x14ac:dyDescent="0.35">
      <c r="A5059" s="2" t="s">
        <v>89</v>
      </c>
      <c r="B5059" s="2" t="s">
        <v>90</v>
      </c>
      <c r="C5059" s="2" t="s">
        <v>48603</v>
      </c>
      <c r="D5059" s="2" t="s">
        <v>48604</v>
      </c>
      <c r="E5059" s="2" t="s">
        <v>48605</v>
      </c>
      <c r="G5059" s="3" t="s">
        <v>62</v>
      </c>
      <c r="I5059" s="3" t="s">
        <v>61</v>
      </c>
      <c r="J5059" s="3" t="s">
        <v>61</v>
      </c>
      <c r="K5059" s="3" t="s">
        <v>63</v>
      </c>
      <c r="L5059" s="2" t="s">
        <v>5332</v>
      </c>
      <c r="M5059" s="2" t="s">
        <v>48606</v>
      </c>
      <c r="N5059" s="3" t="s">
        <v>809</v>
      </c>
      <c r="P5059" s="3" t="s">
        <v>64</v>
      </c>
      <c r="R5059" s="3" t="s">
        <v>46535</v>
      </c>
      <c r="S5059" s="4">
        <v>1</v>
      </c>
      <c r="T5059" s="4">
        <v>29</v>
      </c>
      <c r="U5059" s="5" t="s">
        <v>48617</v>
      </c>
      <c r="V5059" s="5" t="s">
        <v>17448</v>
      </c>
      <c r="W5059" s="5" t="s">
        <v>67</v>
      </c>
      <c r="X5059" s="5" t="s">
        <v>67</v>
      </c>
      <c r="Y5059" s="4">
        <v>1103</v>
      </c>
      <c r="Z5059" s="4">
        <v>71</v>
      </c>
      <c r="AA5059" s="4">
        <v>115</v>
      </c>
      <c r="AB5059" s="4">
        <v>5</v>
      </c>
      <c r="AC5059" s="4">
        <v>14</v>
      </c>
      <c r="AD5059" s="4">
        <v>138</v>
      </c>
      <c r="AE5059" s="4">
        <v>164</v>
      </c>
      <c r="AF5059" s="4">
        <v>1</v>
      </c>
      <c r="AG5059" s="4">
        <v>6</v>
      </c>
      <c r="AH5059" s="4">
        <v>106</v>
      </c>
      <c r="AI5059" s="4">
        <v>117</v>
      </c>
      <c r="AJ5059" s="4">
        <v>24</v>
      </c>
      <c r="AK5059" s="4">
        <v>28</v>
      </c>
      <c r="AL5059" s="4">
        <v>58</v>
      </c>
      <c r="AM5059" s="4">
        <v>63</v>
      </c>
      <c r="AN5059" s="4">
        <v>0</v>
      </c>
      <c r="AO5059" s="4">
        <v>0</v>
      </c>
      <c r="AP5059" s="4">
        <v>37</v>
      </c>
      <c r="AQ5059" s="4">
        <v>51</v>
      </c>
      <c r="AR5059" s="3" t="s">
        <v>62</v>
      </c>
      <c r="AS5059" s="3" t="s">
        <v>62</v>
      </c>
      <c r="AT5059" s="3" t="s">
        <v>62</v>
      </c>
      <c r="AU5059" s="6" t="str">
        <f>HYPERLINK("http://catalog.hathitrust.org/Record/001553450","HathiTrust Record")</f>
        <v>HathiTrust Record</v>
      </c>
      <c r="AV5059" s="6" t="str">
        <f>HYPERLINK("http://mcgill.on.worldcat.org/oclc/525839","Catalog Record")</f>
        <v>Catalog Record</v>
      </c>
      <c r="AW5059" s="6" t="str">
        <f>HYPERLINK("http://www.worldcat.org/oclc/525839","WorldCat Record")</f>
        <v>WorldCat Record</v>
      </c>
      <c r="AX5059" s="3" t="s">
        <v>48608</v>
      </c>
      <c r="AY5059" s="3" t="s">
        <v>48609</v>
      </c>
      <c r="AZ5059" s="3" t="s">
        <v>48610</v>
      </c>
      <c r="BA5059" s="3" t="s">
        <v>48610</v>
      </c>
      <c r="BB5059" s="3" t="s">
        <v>48618</v>
      </c>
      <c r="BC5059" s="3" t="s">
        <v>102</v>
      </c>
      <c r="BD5059" s="3" t="s">
        <v>68</v>
      </c>
      <c r="BE5059" s="3" t="s">
        <v>48612</v>
      </c>
      <c r="BF5059" s="3" t="s">
        <v>48618</v>
      </c>
      <c r="BG5059" s="3" t="s">
        <v>48619</v>
      </c>
    </row>
    <row r="5060" spans="1:59" ht="58" x14ac:dyDescent="0.35">
      <c r="A5060" s="2" t="s">
        <v>89</v>
      </c>
      <c r="B5060" s="2" t="s">
        <v>90</v>
      </c>
      <c r="C5060" s="2" t="s">
        <v>48603</v>
      </c>
      <c r="D5060" s="2" t="s">
        <v>48604</v>
      </c>
      <c r="E5060" s="2" t="s">
        <v>48605</v>
      </c>
      <c r="G5060" s="3" t="s">
        <v>62</v>
      </c>
      <c r="I5060" s="3" t="s">
        <v>61</v>
      </c>
      <c r="J5060" s="3" t="s">
        <v>61</v>
      </c>
      <c r="K5060" s="3" t="s">
        <v>63</v>
      </c>
      <c r="L5060" s="2" t="s">
        <v>5332</v>
      </c>
      <c r="M5060" s="2" t="s">
        <v>48606</v>
      </c>
      <c r="N5060" s="3" t="s">
        <v>809</v>
      </c>
      <c r="P5060" s="3" t="s">
        <v>64</v>
      </c>
      <c r="R5060" s="3" t="s">
        <v>46535</v>
      </c>
      <c r="S5060" s="4">
        <v>5</v>
      </c>
      <c r="T5060" s="4">
        <v>29</v>
      </c>
      <c r="U5060" s="5" t="s">
        <v>15386</v>
      </c>
      <c r="V5060" s="5" t="s">
        <v>17448</v>
      </c>
      <c r="W5060" s="5" t="s">
        <v>67</v>
      </c>
      <c r="X5060" s="5" t="s">
        <v>67</v>
      </c>
      <c r="Y5060" s="4">
        <v>1103</v>
      </c>
      <c r="Z5060" s="4">
        <v>71</v>
      </c>
      <c r="AA5060" s="4">
        <v>115</v>
      </c>
      <c r="AB5060" s="4">
        <v>5</v>
      </c>
      <c r="AC5060" s="4">
        <v>14</v>
      </c>
      <c r="AD5060" s="4">
        <v>138</v>
      </c>
      <c r="AE5060" s="4">
        <v>164</v>
      </c>
      <c r="AF5060" s="4">
        <v>1</v>
      </c>
      <c r="AG5060" s="4">
        <v>6</v>
      </c>
      <c r="AH5060" s="4">
        <v>106</v>
      </c>
      <c r="AI5060" s="4">
        <v>117</v>
      </c>
      <c r="AJ5060" s="4">
        <v>24</v>
      </c>
      <c r="AK5060" s="4">
        <v>28</v>
      </c>
      <c r="AL5060" s="4">
        <v>58</v>
      </c>
      <c r="AM5060" s="4">
        <v>63</v>
      </c>
      <c r="AN5060" s="4">
        <v>0</v>
      </c>
      <c r="AO5060" s="4">
        <v>0</v>
      </c>
      <c r="AP5060" s="4">
        <v>37</v>
      </c>
      <c r="AQ5060" s="4">
        <v>51</v>
      </c>
      <c r="AR5060" s="3" t="s">
        <v>62</v>
      </c>
      <c r="AS5060" s="3" t="s">
        <v>62</v>
      </c>
      <c r="AT5060" s="3" t="s">
        <v>62</v>
      </c>
      <c r="AU5060" s="6" t="str">
        <f>HYPERLINK("http://catalog.hathitrust.org/Record/001553450","HathiTrust Record")</f>
        <v>HathiTrust Record</v>
      </c>
      <c r="AV5060" s="6" t="str">
        <f>HYPERLINK("http://mcgill.on.worldcat.org/oclc/525839","Catalog Record")</f>
        <v>Catalog Record</v>
      </c>
      <c r="AW5060" s="6" t="str">
        <f>HYPERLINK("http://www.worldcat.org/oclc/525839","WorldCat Record")</f>
        <v>WorldCat Record</v>
      </c>
      <c r="AX5060" s="3" t="s">
        <v>48608</v>
      </c>
      <c r="AY5060" s="3" t="s">
        <v>48609</v>
      </c>
      <c r="AZ5060" s="3" t="s">
        <v>48610</v>
      </c>
      <c r="BA5060" s="3" t="s">
        <v>48610</v>
      </c>
      <c r="BB5060" s="3" t="s">
        <v>48620</v>
      </c>
      <c r="BC5060" s="3" t="s">
        <v>102</v>
      </c>
      <c r="BD5060" s="3" t="s">
        <v>68</v>
      </c>
      <c r="BE5060" s="3" t="s">
        <v>48612</v>
      </c>
      <c r="BF5060" s="3" t="s">
        <v>48620</v>
      </c>
      <c r="BG5060" s="3" t="s">
        <v>48621</v>
      </c>
    </row>
    <row r="5061" spans="1:59" ht="58" x14ac:dyDescent="0.35">
      <c r="A5061" s="2" t="s">
        <v>89</v>
      </c>
      <c r="B5061" s="2" t="s">
        <v>90</v>
      </c>
      <c r="C5061" s="2" t="s">
        <v>48622</v>
      </c>
      <c r="D5061" s="2" t="s">
        <v>48623</v>
      </c>
      <c r="E5061" s="2" t="s">
        <v>48624</v>
      </c>
      <c r="G5061" s="3" t="s">
        <v>62</v>
      </c>
      <c r="I5061" s="3" t="s">
        <v>61</v>
      </c>
      <c r="J5061" s="3" t="s">
        <v>61</v>
      </c>
      <c r="K5061" s="3" t="s">
        <v>63</v>
      </c>
      <c r="L5061" s="2" t="s">
        <v>5332</v>
      </c>
      <c r="M5061" s="2" t="s">
        <v>48625</v>
      </c>
      <c r="N5061" s="3" t="s">
        <v>201</v>
      </c>
      <c r="O5061" s="2" t="s">
        <v>6158</v>
      </c>
      <c r="P5061" s="3" t="s">
        <v>64</v>
      </c>
      <c r="R5061" s="3" t="s">
        <v>46535</v>
      </c>
      <c r="S5061" s="4">
        <v>10</v>
      </c>
      <c r="T5061" s="4">
        <v>39</v>
      </c>
      <c r="U5061" s="5" t="s">
        <v>48626</v>
      </c>
      <c r="V5061" s="5" t="s">
        <v>15386</v>
      </c>
      <c r="W5061" s="5" t="s">
        <v>67</v>
      </c>
      <c r="X5061" s="5" t="s">
        <v>67</v>
      </c>
      <c r="Y5061" s="4">
        <v>804</v>
      </c>
      <c r="Z5061" s="4">
        <v>52</v>
      </c>
      <c r="AA5061" s="4">
        <v>115</v>
      </c>
      <c r="AB5061" s="4">
        <v>4</v>
      </c>
      <c r="AC5061" s="4">
        <v>14</v>
      </c>
      <c r="AD5061" s="4">
        <v>109</v>
      </c>
      <c r="AE5061" s="4">
        <v>164</v>
      </c>
      <c r="AF5061" s="4">
        <v>1</v>
      </c>
      <c r="AG5061" s="4">
        <v>6</v>
      </c>
      <c r="AH5061" s="4">
        <v>85</v>
      </c>
      <c r="AI5061" s="4">
        <v>117</v>
      </c>
      <c r="AJ5061" s="4">
        <v>23</v>
      </c>
      <c r="AK5061" s="4">
        <v>28</v>
      </c>
      <c r="AL5061" s="4">
        <v>44</v>
      </c>
      <c r="AM5061" s="4">
        <v>63</v>
      </c>
      <c r="AN5061" s="4">
        <v>0</v>
      </c>
      <c r="AO5061" s="4">
        <v>0</v>
      </c>
      <c r="AP5061" s="4">
        <v>31</v>
      </c>
      <c r="AQ5061" s="4">
        <v>51</v>
      </c>
      <c r="AR5061" s="3" t="s">
        <v>62</v>
      </c>
      <c r="AS5061" s="3" t="s">
        <v>62</v>
      </c>
      <c r="AT5061" s="3" t="s">
        <v>61</v>
      </c>
      <c r="AU5061" s="6" t="str">
        <f>HYPERLINK("http://catalog.hathitrust.org/Record/000706689","HathiTrust Record")</f>
        <v>HathiTrust Record</v>
      </c>
      <c r="AV5061" s="6" t="str">
        <f>HYPERLINK("http://mcgill.on.worldcat.org/oclc/2101821","Catalog Record")</f>
        <v>Catalog Record</v>
      </c>
      <c r="AW5061" s="6" t="str">
        <f>HYPERLINK("http://www.worldcat.org/oclc/2101821","WorldCat Record")</f>
        <v>WorldCat Record</v>
      </c>
      <c r="AX5061" s="3" t="s">
        <v>48608</v>
      </c>
      <c r="AY5061" s="3" t="s">
        <v>48627</v>
      </c>
      <c r="AZ5061" s="3" t="s">
        <v>48628</v>
      </c>
      <c r="BA5061" s="3" t="s">
        <v>48628</v>
      </c>
      <c r="BB5061" s="3" t="s">
        <v>48629</v>
      </c>
      <c r="BC5061" s="3" t="s">
        <v>102</v>
      </c>
      <c r="BD5061" s="3" t="s">
        <v>68</v>
      </c>
      <c r="BE5061" s="3" t="s">
        <v>48630</v>
      </c>
      <c r="BF5061" s="3" t="s">
        <v>48629</v>
      </c>
      <c r="BG5061" s="3" t="s">
        <v>48631</v>
      </c>
    </row>
    <row r="5062" spans="1:59" ht="58" x14ac:dyDescent="0.35">
      <c r="A5062" s="2" t="s">
        <v>89</v>
      </c>
      <c r="B5062" s="2" t="s">
        <v>90</v>
      </c>
      <c r="C5062" s="2" t="s">
        <v>48622</v>
      </c>
      <c r="D5062" s="2" t="s">
        <v>48623</v>
      </c>
      <c r="E5062" s="2" t="s">
        <v>48624</v>
      </c>
      <c r="G5062" s="3" t="s">
        <v>62</v>
      </c>
      <c r="I5062" s="3" t="s">
        <v>61</v>
      </c>
      <c r="J5062" s="3" t="s">
        <v>61</v>
      </c>
      <c r="K5062" s="3" t="s">
        <v>63</v>
      </c>
      <c r="L5062" s="2" t="s">
        <v>5332</v>
      </c>
      <c r="M5062" s="2" t="s">
        <v>48625</v>
      </c>
      <c r="N5062" s="3" t="s">
        <v>201</v>
      </c>
      <c r="O5062" s="2" t="s">
        <v>6158</v>
      </c>
      <c r="P5062" s="3" t="s">
        <v>64</v>
      </c>
      <c r="R5062" s="3" t="s">
        <v>46535</v>
      </c>
      <c r="S5062" s="4">
        <v>19</v>
      </c>
      <c r="T5062" s="4">
        <v>39</v>
      </c>
      <c r="U5062" s="5" t="s">
        <v>15386</v>
      </c>
      <c r="V5062" s="5" t="s">
        <v>15386</v>
      </c>
      <c r="W5062" s="5" t="s">
        <v>67</v>
      </c>
      <c r="X5062" s="5" t="s">
        <v>67</v>
      </c>
      <c r="Y5062" s="4">
        <v>804</v>
      </c>
      <c r="Z5062" s="4">
        <v>52</v>
      </c>
      <c r="AA5062" s="4">
        <v>115</v>
      </c>
      <c r="AB5062" s="4">
        <v>4</v>
      </c>
      <c r="AC5062" s="4">
        <v>14</v>
      </c>
      <c r="AD5062" s="4">
        <v>109</v>
      </c>
      <c r="AE5062" s="4">
        <v>164</v>
      </c>
      <c r="AF5062" s="4">
        <v>1</v>
      </c>
      <c r="AG5062" s="4">
        <v>6</v>
      </c>
      <c r="AH5062" s="4">
        <v>85</v>
      </c>
      <c r="AI5062" s="4">
        <v>117</v>
      </c>
      <c r="AJ5062" s="4">
        <v>23</v>
      </c>
      <c r="AK5062" s="4">
        <v>28</v>
      </c>
      <c r="AL5062" s="4">
        <v>44</v>
      </c>
      <c r="AM5062" s="4">
        <v>63</v>
      </c>
      <c r="AN5062" s="4">
        <v>0</v>
      </c>
      <c r="AO5062" s="4">
        <v>0</v>
      </c>
      <c r="AP5062" s="4">
        <v>31</v>
      </c>
      <c r="AQ5062" s="4">
        <v>51</v>
      </c>
      <c r="AR5062" s="3" t="s">
        <v>62</v>
      </c>
      <c r="AS5062" s="3" t="s">
        <v>62</v>
      </c>
      <c r="AT5062" s="3" t="s">
        <v>61</v>
      </c>
      <c r="AU5062" s="6" t="str">
        <f>HYPERLINK("http://catalog.hathitrust.org/Record/000706689","HathiTrust Record")</f>
        <v>HathiTrust Record</v>
      </c>
      <c r="AV5062" s="6" t="str">
        <f>HYPERLINK("http://mcgill.on.worldcat.org/oclc/2101821","Catalog Record")</f>
        <v>Catalog Record</v>
      </c>
      <c r="AW5062" s="6" t="str">
        <f>HYPERLINK("http://www.worldcat.org/oclc/2101821","WorldCat Record")</f>
        <v>WorldCat Record</v>
      </c>
      <c r="AX5062" s="3" t="s">
        <v>48608</v>
      </c>
      <c r="AY5062" s="3" t="s">
        <v>48627</v>
      </c>
      <c r="AZ5062" s="3" t="s">
        <v>48628</v>
      </c>
      <c r="BA5062" s="3" t="s">
        <v>48628</v>
      </c>
      <c r="BB5062" s="3" t="s">
        <v>48632</v>
      </c>
      <c r="BC5062" s="3" t="s">
        <v>102</v>
      </c>
      <c r="BD5062" s="3" t="s">
        <v>68</v>
      </c>
      <c r="BE5062" s="3" t="s">
        <v>48630</v>
      </c>
      <c r="BF5062" s="3" t="s">
        <v>48632</v>
      </c>
      <c r="BG5062" s="3" t="s">
        <v>48633</v>
      </c>
    </row>
    <row r="5063" spans="1:59" ht="58" x14ac:dyDescent="0.35">
      <c r="A5063" s="2" t="s">
        <v>59</v>
      </c>
      <c r="B5063" s="2" t="s">
        <v>60</v>
      </c>
      <c r="C5063" s="2" t="s">
        <v>48634</v>
      </c>
      <c r="D5063" s="2" t="s">
        <v>48635</v>
      </c>
      <c r="E5063" s="2" t="s">
        <v>48636</v>
      </c>
      <c r="G5063" s="3" t="s">
        <v>62</v>
      </c>
      <c r="I5063" s="3" t="s">
        <v>61</v>
      </c>
      <c r="J5063" s="3" t="s">
        <v>61</v>
      </c>
      <c r="K5063" s="3" t="s">
        <v>63</v>
      </c>
      <c r="L5063" s="2" t="s">
        <v>48637</v>
      </c>
      <c r="M5063" s="2" t="s">
        <v>7575</v>
      </c>
      <c r="N5063" s="3" t="s">
        <v>481</v>
      </c>
      <c r="O5063" s="2" t="s">
        <v>2986</v>
      </c>
      <c r="P5063" s="3" t="s">
        <v>64</v>
      </c>
      <c r="R5063" s="3" t="s">
        <v>46535</v>
      </c>
      <c r="S5063" s="4">
        <v>21</v>
      </c>
      <c r="T5063" s="4">
        <v>71</v>
      </c>
      <c r="U5063" s="5" t="s">
        <v>48638</v>
      </c>
      <c r="V5063" s="5" t="s">
        <v>48639</v>
      </c>
      <c r="W5063" s="5" t="s">
        <v>67</v>
      </c>
      <c r="X5063" s="5" t="s">
        <v>67</v>
      </c>
      <c r="Y5063" s="4">
        <v>343</v>
      </c>
      <c r="Z5063" s="4">
        <v>18</v>
      </c>
      <c r="AA5063" s="4">
        <v>45</v>
      </c>
      <c r="AB5063" s="4">
        <v>1</v>
      </c>
      <c r="AC5063" s="4">
        <v>6</v>
      </c>
      <c r="AD5063" s="4">
        <v>89</v>
      </c>
      <c r="AE5063" s="4">
        <v>140</v>
      </c>
      <c r="AF5063" s="4">
        <v>0</v>
      </c>
      <c r="AG5063" s="4">
        <v>2</v>
      </c>
      <c r="AH5063" s="4">
        <v>79</v>
      </c>
      <c r="AI5063" s="4">
        <v>113</v>
      </c>
      <c r="AJ5063" s="4">
        <v>13</v>
      </c>
      <c r="AK5063" s="4">
        <v>23</v>
      </c>
      <c r="AL5063" s="4">
        <v>50</v>
      </c>
      <c r="AM5063" s="4">
        <v>61</v>
      </c>
      <c r="AN5063" s="4">
        <v>0</v>
      </c>
      <c r="AO5063" s="4">
        <v>0</v>
      </c>
      <c r="AP5063" s="4">
        <v>13</v>
      </c>
      <c r="AQ5063" s="4">
        <v>33</v>
      </c>
      <c r="AR5063" s="3" t="s">
        <v>62</v>
      </c>
      <c r="AS5063" s="3" t="s">
        <v>62</v>
      </c>
      <c r="AT5063" s="3" t="s">
        <v>61</v>
      </c>
      <c r="AU5063" s="6" t="str">
        <f>HYPERLINK("http://catalog.hathitrust.org/Record/003110586","HathiTrust Record")</f>
        <v>HathiTrust Record</v>
      </c>
      <c r="AV5063" s="6" t="str">
        <f>HYPERLINK("http://mcgill.on.worldcat.org/oclc/34851315","Catalog Record")</f>
        <v>Catalog Record</v>
      </c>
      <c r="AW5063" s="6" t="str">
        <f>HYPERLINK("http://www.worldcat.org/oclc/34851315","WorldCat Record")</f>
        <v>WorldCat Record</v>
      </c>
      <c r="AX5063" s="3" t="s">
        <v>48640</v>
      </c>
      <c r="AY5063" s="3" t="s">
        <v>48641</v>
      </c>
      <c r="AZ5063" s="3" t="s">
        <v>48642</v>
      </c>
      <c r="BA5063" s="3" t="s">
        <v>48642</v>
      </c>
      <c r="BB5063" s="3" t="s">
        <v>48643</v>
      </c>
      <c r="BC5063" s="3" t="s">
        <v>102</v>
      </c>
      <c r="BD5063" s="3" t="s">
        <v>68</v>
      </c>
      <c r="BE5063" s="3" t="s">
        <v>48644</v>
      </c>
      <c r="BF5063" s="3" t="s">
        <v>48643</v>
      </c>
      <c r="BG5063" s="3" t="s">
        <v>48645</v>
      </c>
    </row>
    <row r="5064" spans="1:59" ht="58" x14ac:dyDescent="0.35">
      <c r="A5064" s="2" t="s">
        <v>89</v>
      </c>
      <c r="B5064" s="2" t="s">
        <v>90</v>
      </c>
      <c r="C5064" s="2" t="s">
        <v>48646</v>
      </c>
      <c r="D5064" s="2" t="s">
        <v>48647</v>
      </c>
      <c r="E5064" s="2" t="s">
        <v>48648</v>
      </c>
      <c r="G5064" s="3" t="s">
        <v>62</v>
      </c>
      <c r="I5064" s="3" t="s">
        <v>62</v>
      </c>
      <c r="J5064" s="3" t="s">
        <v>62</v>
      </c>
      <c r="K5064" s="3" t="s">
        <v>63</v>
      </c>
      <c r="L5064" s="2" t="s">
        <v>48649</v>
      </c>
      <c r="M5064" s="2" t="s">
        <v>48650</v>
      </c>
      <c r="N5064" s="3" t="s">
        <v>524</v>
      </c>
      <c r="P5064" s="3" t="s">
        <v>64</v>
      </c>
      <c r="R5064" s="3" t="s">
        <v>46535</v>
      </c>
      <c r="S5064" s="4">
        <v>28</v>
      </c>
      <c r="T5064" s="4">
        <v>28</v>
      </c>
      <c r="U5064" s="5" t="s">
        <v>7495</v>
      </c>
      <c r="V5064" s="5" t="s">
        <v>7495</v>
      </c>
      <c r="W5064" s="5" t="s">
        <v>67</v>
      </c>
      <c r="X5064" s="5" t="s">
        <v>67</v>
      </c>
      <c r="Y5064" s="4">
        <v>246</v>
      </c>
      <c r="Z5064" s="4">
        <v>17</v>
      </c>
      <c r="AA5064" s="4">
        <v>25</v>
      </c>
      <c r="AB5064" s="4">
        <v>1</v>
      </c>
      <c r="AC5064" s="4">
        <v>5</v>
      </c>
      <c r="AD5064" s="4">
        <v>79</v>
      </c>
      <c r="AE5064" s="4">
        <v>85</v>
      </c>
      <c r="AF5064" s="4">
        <v>0</v>
      </c>
      <c r="AG5064" s="4">
        <v>1</v>
      </c>
      <c r="AH5064" s="4">
        <v>67</v>
      </c>
      <c r="AI5064" s="4">
        <v>70</v>
      </c>
      <c r="AJ5064" s="4">
        <v>8</v>
      </c>
      <c r="AK5064" s="4">
        <v>13</v>
      </c>
      <c r="AL5064" s="4">
        <v>35</v>
      </c>
      <c r="AM5064" s="4">
        <v>36</v>
      </c>
      <c r="AN5064" s="4">
        <v>0</v>
      </c>
      <c r="AO5064" s="4">
        <v>0</v>
      </c>
      <c r="AP5064" s="4">
        <v>12</v>
      </c>
      <c r="AQ5064" s="4">
        <v>17</v>
      </c>
      <c r="AR5064" s="3" t="s">
        <v>62</v>
      </c>
      <c r="AS5064" s="3" t="s">
        <v>62</v>
      </c>
      <c r="AT5064" s="3" t="s">
        <v>62</v>
      </c>
      <c r="AV5064" s="6" t="str">
        <f>HYPERLINK("http://mcgill.on.worldcat.org/oclc/31710175","Catalog Record")</f>
        <v>Catalog Record</v>
      </c>
      <c r="AW5064" s="6" t="str">
        <f>HYPERLINK("http://www.worldcat.org/oclc/31710175","WorldCat Record")</f>
        <v>WorldCat Record</v>
      </c>
      <c r="AX5064" s="3" t="s">
        <v>48651</v>
      </c>
      <c r="AY5064" s="3" t="s">
        <v>48652</v>
      </c>
      <c r="AZ5064" s="3" t="s">
        <v>48653</v>
      </c>
      <c r="BA5064" s="3" t="s">
        <v>48653</v>
      </c>
      <c r="BB5064" s="3" t="s">
        <v>48654</v>
      </c>
      <c r="BC5064" s="3" t="s">
        <v>102</v>
      </c>
      <c r="BD5064" s="3" t="s">
        <v>68</v>
      </c>
      <c r="BE5064" s="3" t="s">
        <v>48655</v>
      </c>
      <c r="BF5064" s="3" t="s">
        <v>48654</v>
      </c>
      <c r="BG5064" s="3" t="s">
        <v>48656</v>
      </c>
    </row>
    <row r="5065" spans="1:59" ht="58" x14ac:dyDescent="0.35">
      <c r="A5065" s="2" t="s">
        <v>89</v>
      </c>
      <c r="B5065" s="2" t="s">
        <v>90</v>
      </c>
      <c r="C5065" s="2" t="s">
        <v>48657</v>
      </c>
      <c r="D5065" s="2" t="s">
        <v>48658</v>
      </c>
      <c r="E5065" s="2" t="s">
        <v>48659</v>
      </c>
      <c r="G5065" s="3" t="s">
        <v>62</v>
      </c>
      <c r="I5065" s="3" t="s">
        <v>61</v>
      </c>
      <c r="J5065" s="3" t="s">
        <v>62</v>
      </c>
      <c r="K5065" s="3" t="s">
        <v>63</v>
      </c>
      <c r="L5065" s="2" t="s">
        <v>48660</v>
      </c>
      <c r="M5065" s="2" t="s">
        <v>48661</v>
      </c>
      <c r="N5065" s="3" t="s">
        <v>509</v>
      </c>
      <c r="P5065" s="3" t="s">
        <v>64</v>
      </c>
      <c r="R5065" s="3" t="s">
        <v>46535</v>
      </c>
      <c r="S5065" s="4">
        <v>15</v>
      </c>
      <c r="T5065" s="4">
        <v>47</v>
      </c>
      <c r="U5065" s="5" t="s">
        <v>16979</v>
      </c>
      <c r="V5065" s="5" t="s">
        <v>16979</v>
      </c>
      <c r="W5065" s="5" t="s">
        <v>67</v>
      </c>
      <c r="X5065" s="5" t="s">
        <v>67</v>
      </c>
      <c r="Y5065" s="4">
        <v>557</v>
      </c>
      <c r="Z5065" s="4">
        <v>27</v>
      </c>
      <c r="AA5065" s="4">
        <v>41</v>
      </c>
      <c r="AB5065" s="4">
        <v>2</v>
      </c>
      <c r="AC5065" s="4">
        <v>10</v>
      </c>
      <c r="AD5065" s="4">
        <v>90</v>
      </c>
      <c r="AE5065" s="4">
        <v>99</v>
      </c>
      <c r="AF5065" s="4">
        <v>1</v>
      </c>
      <c r="AG5065" s="4">
        <v>4</v>
      </c>
      <c r="AH5065" s="4">
        <v>77</v>
      </c>
      <c r="AI5065" s="4">
        <v>80</v>
      </c>
      <c r="AJ5065" s="4">
        <v>12</v>
      </c>
      <c r="AK5065" s="4">
        <v>19</v>
      </c>
      <c r="AL5065" s="4">
        <v>41</v>
      </c>
      <c r="AM5065" s="4">
        <v>41</v>
      </c>
      <c r="AN5065" s="4">
        <v>0</v>
      </c>
      <c r="AO5065" s="4">
        <v>0</v>
      </c>
      <c r="AP5065" s="4">
        <v>15</v>
      </c>
      <c r="AQ5065" s="4">
        <v>23</v>
      </c>
      <c r="AR5065" s="3" t="s">
        <v>62</v>
      </c>
      <c r="AS5065" s="3" t="s">
        <v>62</v>
      </c>
      <c r="AT5065" s="3" t="s">
        <v>62</v>
      </c>
      <c r="AV5065" s="6" t="str">
        <f>HYPERLINK("http://mcgill.on.worldcat.org/oclc/27729242","Catalog Record")</f>
        <v>Catalog Record</v>
      </c>
      <c r="AW5065" s="6" t="str">
        <f>HYPERLINK("http://www.worldcat.org/oclc/27729242","WorldCat Record")</f>
        <v>WorldCat Record</v>
      </c>
      <c r="AX5065" s="3" t="s">
        <v>48662</v>
      </c>
      <c r="AY5065" s="3" t="s">
        <v>48663</v>
      </c>
      <c r="AZ5065" s="3" t="s">
        <v>48664</v>
      </c>
      <c r="BA5065" s="3" t="s">
        <v>48664</v>
      </c>
      <c r="BB5065" s="3" t="s">
        <v>48665</v>
      </c>
      <c r="BC5065" s="3" t="s">
        <v>102</v>
      </c>
      <c r="BD5065" s="3" t="s">
        <v>68</v>
      </c>
      <c r="BE5065" s="3" t="s">
        <v>48666</v>
      </c>
      <c r="BF5065" s="3" t="s">
        <v>48665</v>
      </c>
      <c r="BG5065" s="3" t="s">
        <v>48667</v>
      </c>
    </row>
    <row r="5066" spans="1:59" ht="58" x14ac:dyDescent="0.35">
      <c r="A5066" s="2" t="s">
        <v>89</v>
      </c>
      <c r="B5066" s="2" t="s">
        <v>90</v>
      </c>
      <c r="C5066" s="2" t="s">
        <v>48657</v>
      </c>
      <c r="D5066" s="2" t="s">
        <v>48658</v>
      </c>
      <c r="E5066" s="2" t="s">
        <v>48659</v>
      </c>
      <c r="G5066" s="3" t="s">
        <v>62</v>
      </c>
      <c r="I5066" s="3" t="s">
        <v>61</v>
      </c>
      <c r="J5066" s="3" t="s">
        <v>62</v>
      </c>
      <c r="K5066" s="3" t="s">
        <v>63</v>
      </c>
      <c r="L5066" s="2" t="s">
        <v>48660</v>
      </c>
      <c r="M5066" s="2" t="s">
        <v>48661</v>
      </c>
      <c r="N5066" s="3" t="s">
        <v>509</v>
      </c>
      <c r="P5066" s="3" t="s">
        <v>64</v>
      </c>
      <c r="R5066" s="3" t="s">
        <v>46535</v>
      </c>
      <c r="S5066" s="4">
        <v>9</v>
      </c>
      <c r="T5066" s="4">
        <v>47</v>
      </c>
      <c r="U5066" s="5" t="s">
        <v>48668</v>
      </c>
      <c r="V5066" s="5" t="s">
        <v>16979</v>
      </c>
      <c r="W5066" s="5" t="s">
        <v>67</v>
      </c>
      <c r="X5066" s="5" t="s">
        <v>67</v>
      </c>
      <c r="Y5066" s="4">
        <v>557</v>
      </c>
      <c r="Z5066" s="4">
        <v>27</v>
      </c>
      <c r="AA5066" s="4">
        <v>41</v>
      </c>
      <c r="AB5066" s="4">
        <v>2</v>
      </c>
      <c r="AC5066" s="4">
        <v>10</v>
      </c>
      <c r="AD5066" s="4">
        <v>90</v>
      </c>
      <c r="AE5066" s="4">
        <v>99</v>
      </c>
      <c r="AF5066" s="4">
        <v>1</v>
      </c>
      <c r="AG5066" s="4">
        <v>4</v>
      </c>
      <c r="AH5066" s="4">
        <v>77</v>
      </c>
      <c r="AI5066" s="4">
        <v>80</v>
      </c>
      <c r="AJ5066" s="4">
        <v>12</v>
      </c>
      <c r="AK5066" s="4">
        <v>19</v>
      </c>
      <c r="AL5066" s="4">
        <v>41</v>
      </c>
      <c r="AM5066" s="4">
        <v>41</v>
      </c>
      <c r="AN5066" s="4">
        <v>0</v>
      </c>
      <c r="AO5066" s="4">
        <v>0</v>
      </c>
      <c r="AP5066" s="4">
        <v>15</v>
      </c>
      <c r="AQ5066" s="4">
        <v>23</v>
      </c>
      <c r="AR5066" s="3" t="s">
        <v>62</v>
      </c>
      <c r="AS5066" s="3" t="s">
        <v>62</v>
      </c>
      <c r="AT5066" s="3" t="s">
        <v>62</v>
      </c>
      <c r="AV5066" s="6" t="str">
        <f>HYPERLINK("http://mcgill.on.worldcat.org/oclc/27729242","Catalog Record")</f>
        <v>Catalog Record</v>
      </c>
      <c r="AW5066" s="6" t="str">
        <f>HYPERLINK("http://www.worldcat.org/oclc/27729242","WorldCat Record")</f>
        <v>WorldCat Record</v>
      </c>
      <c r="AX5066" s="3" t="s">
        <v>48662</v>
      </c>
      <c r="AY5066" s="3" t="s">
        <v>48663</v>
      </c>
      <c r="AZ5066" s="3" t="s">
        <v>48664</v>
      </c>
      <c r="BA5066" s="3" t="s">
        <v>48664</v>
      </c>
      <c r="BB5066" s="3" t="s">
        <v>48669</v>
      </c>
      <c r="BC5066" s="3" t="s">
        <v>102</v>
      </c>
      <c r="BD5066" s="3" t="s">
        <v>68</v>
      </c>
      <c r="BE5066" s="3" t="s">
        <v>48666</v>
      </c>
      <c r="BF5066" s="3" t="s">
        <v>48669</v>
      </c>
      <c r="BG5066" s="3" t="s">
        <v>48670</v>
      </c>
    </row>
    <row r="5067" spans="1:59" ht="58" x14ac:dyDescent="0.35">
      <c r="A5067" s="2" t="s">
        <v>89</v>
      </c>
      <c r="B5067" s="2" t="s">
        <v>90</v>
      </c>
      <c r="C5067" s="2" t="s">
        <v>48657</v>
      </c>
      <c r="D5067" s="2" t="s">
        <v>48658</v>
      </c>
      <c r="E5067" s="2" t="s">
        <v>48659</v>
      </c>
      <c r="G5067" s="3" t="s">
        <v>62</v>
      </c>
      <c r="I5067" s="3" t="s">
        <v>61</v>
      </c>
      <c r="J5067" s="3" t="s">
        <v>62</v>
      </c>
      <c r="K5067" s="3" t="s">
        <v>63</v>
      </c>
      <c r="L5067" s="2" t="s">
        <v>48660</v>
      </c>
      <c r="M5067" s="2" t="s">
        <v>48661</v>
      </c>
      <c r="N5067" s="3" t="s">
        <v>509</v>
      </c>
      <c r="P5067" s="3" t="s">
        <v>64</v>
      </c>
      <c r="R5067" s="3" t="s">
        <v>46535</v>
      </c>
      <c r="S5067" s="4">
        <v>7</v>
      </c>
      <c r="T5067" s="4">
        <v>47</v>
      </c>
      <c r="U5067" s="5" t="s">
        <v>4852</v>
      </c>
      <c r="V5067" s="5" t="s">
        <v>16979</v>
      </c>
      <c r="W5067" s="5" t="s">
        <v>67</v>
      </c>
      <c r="X5067" s="5" t="s">
        <v>67</v>
      </c>
      <c r="Y5067" s="4">
        <v>557</v>
      </c>
      <c r="Z5067" s="4">
        <v>27</v>
      </c>
      <c r="AA5067" s="4">
        <v>41</v>
      </c>
      <c r="AB5067" s="4">
        <v>2</v>
      </c>
      <c r="AC5067" s="4">
        <v>10</v>
      </c>
      <c r="AD5067" s="4">
        <v>90</v>
      </c>
      <c r="AE5067" s="4">
        <v>99</v>
      </c>
      <c r="AF5067" s="4">
        <v>1</v>
      </c>
      <c r="AG5067" s="4">
        <v>4</v>
      </c>
      <c r="AH5067" s="4">
        <v>77</v>
      </c>
      <c r="AI5067" s="4">
        <v>80</v>
      </c>
      <c r="AJ5067" s="4">
        <v>12</v>
      </c>
      <c r="AK5067" s="4">
        <v>19</v>
      </c>
      <c r="AL5067" s="4">
        <v>41</v>
      </c>
      <c r="AM5067" s="4">
        <v>41</v>
      </c>
      <c r="AN5067" s="4">
        <v>0</v>
      </c>
      <c r="AO5067" s="4">
        <v>0</v>
      </c>
      <c r="AP5067" s="4">
        <v>15</v>
      </c>
      <c r="AQ5067" s="4">
        <v>23</v>
      </c>
      <c r="AR5067" s="3" t="s">
        <v>62</v>
      </c>
      <c r="AS5067" s="3" t="s">
        <v>62</v>
      </c>
      <c r="AT5067" s="3" t="s">
        <v>62</v>
      </c>
      <c r="AV5067" s="6" t="str">
        <f>HYPERLINK("http://mcgill.on.worldcat.org/oclc/27729242","Catalog Record")</f>
        <v>Catalog Record</v>
      </c>
      <c r="AW5067" s="6" t="str">
        <f>HYPERLINK("http://www.worldcat.org/oclc/27729242","WorldCat Record")</f>
        <v>WorldCat Record</v>
      </c>
      <c r="AX5067" s="3" t="s">
        <v>48662</v>
      </c>
      <c r="AY5067" s="3" t="s">
        <v>48663</v>
      </c>
      <c r="AZ5067" s="3" t="s">
        <v>48664</v>
      </c>
      <c r="BA5067" s="3" t="s">
        <v>48664</v>
      </c>
      <c r="BB5067" s="3" t="s">
        <v>48671</v>
      </c>
      <c r="BC5067" s="3" t="s">
        <v>102</v>
      </c>
      <c r="BD5067" s="3" t="s">
        <v>68</v>
      </c>
      <c r="BE5067" s="3" t="s">
        <v>48666</v>
      </c>
      <c r="BF5067" s="3" t="s">
        <v>48671</v>
      </c>
      <c r="BG5067" s="3" t="s">
        <v>48672</v>
      </c>
    </row>
    <row r="5068" spans="1:59" ht="58" x14ac:dyDescent="0.35">
      <c r="A5068" s="2" t="s">
        <v>89</v>
      </c>
      <c r="B5068" s="2" t="s">
        <v>90</v>
      </c>
      <c r="C5068" s="2" t="s">
        <v>48673</v>
      </c>
      <c r="D5068" s="2" t="s">
        <v>48674</v>
      </c>
      <c r="E5068" s="2" t="s">
        <v>48675</v>
      </c>
      <c r="G5068" s="3" t="s">
        <v>62</v>
      </c>
      <c r="I5068" s="3" t="s">
        <v>61</v>
      </c>
      <c r="J5068" s="3" t="s">
        <v>62</v>
      </c>
      <c r="K5068" s="3" t="s">
        <v>63</v>
      </c>
      <c r="L5068" s="2" t="s">
        <v>48676</v>
      </c>
      <c r="M5068" s="2" t="s">
        <v>48677</v>
      </c>
      <c r="N5068" s="3" t="s">
        <v>1722</v>
      </c>
      <c r="P5068" s="3" t="s">
        <v>64</v>
      </c>
      <c r="R5068" s="3" t="s">
        <v>46535</v>
      </c>
      <c r="S5068" s="4">
        <v>15</v>
      </c>
      <c r="T5068" s="4">
        <v>25</v>
      </c>
      <c r="U5068" s="5" t="s">
        <v>2899</v>
      </c>
      <c r="V5068" s="5" t="s">
        <v>11614</v>
      </c>
      <c r="W5068" s="5" t="s">
        <v>67</v>
      </c>
      <c r="X5068" s="5" t="s">
        <v>67</v>
      </c>
      <c r="Y5068" s="4">
        <v>326</v>
      </c>
      <c r="Z5068" s="4">
        <v>17</v>
      </c>
      <c r="AA5068" s="4">
        <v>79</v>
      </c>
      <c r="AB5068" s="4">
        <v>1</v>
      </c>
      <c r="AC5068" s="4">
        <v>14</v>
      </c>
      <c r="AD5068" s="4">
        <v>59</v>
      </c>
      <c r="AE5068" s="4">
        <v>119</v>
      </c>
      <c r="AF5068" s="4">
        <v>0</v>
      </c>
      <c r="AG5068" s="4">
        <v>8</v>
      </c>
      <c r="AH5068" s="4">
        <v>52</v>
      </c>
      <c r="AI5068" s="4">
        <v>84</v>
      </c>
      <c r="AJ5068" s="4">
        <v>11</v>
      </c>
      <c r="AK5068" s="4">
        <v>22</v>
      </c>
      <c r="AL5068" s="4">
        <v>25</v>
      </c>
      <c r="AM5068" s="4">
        <v>43</v>
      </c>
      <c r="AN5068" s="4">
        <v>0</v>
      </c>
      <c r="AO5068" s="4">
        <v>0</v>
      </c>
      <c r="AP5068" s="4">
        <v>12</v>
      </c>
      <c r="AQ5068" s="4">
        <v>41</v>
      </c>
      <c r="AR5068" s="3" t="s">
        <v>62</v>
      </c>
      <c r="AS5068" s="3" t="s">
        <v>62</v>
      </c>
      <c r="AT5068" s="3" t="s">
        <v>62</v>
      </c>
      <c r="AV5068" s="6" t="str">
        <f>HYPERLINK("http://mcgill.on.worldcat.org/oclc/166357546","Catalog Record")</f>
        <v>Catalog Record</v>
      </c>
      <c r="AW5068" s="6" t="str">
        <f>HYPERLINK("http://www.worldcat.org/oclc/166357546","WorldCat Record")</f>
        <v>WorldCat Record</v>
      </c>
      <c r="AX5068" s="3" t="s">
        <v>48678</v>
      </c>
      <c r="AY5068" s="3" t="s">
        <v>48679</v>
      </c>
      <c r="AZ5068" s="3" t="s">
        <v>48680</v>
      </c>
      <c r="BA5068" s="3" t="s">
        <v>48680</v>
      </c>
      <c r="BB5068" s="3" t="s">
        <v>48681</v>
      </c>
      <c r="BC5068" s="3" t="s">
        <v>102</v>
      </c>
      <c r="BD5068" s="3" t="s">
        <v>68</v>
      </c>
      <c r="BE5068" s="3" t="s">
        <v>48682</v>
      </c>
      <c r="BF5068" s="3" t="s">
        <v>48681</v>
      </c>
      <c r="BG5068" s="3" t="s">
        <v>48683</v>
      </c>
    </row>
    <row r="5069" spans="1:59" ht="58" x14ac:dyDescent="0.35">
      <c r="A5069" s="2" t="s">
        <v>89</v>
      </c>
      <c r="B5069" s="2" t="s">
        <v>90</v>
      </c>
      <c r="C5069" s="2" t="s">
        <v>48684</v>
      </c>
      <c r="D5069" s="2" t="s">
        <v>48685</v>
      </c>
      <c r="E5069" s="2" t="s">
        <v>48686</v>
      </c>
      <c r="F5069" s="3" t="s">
        <v>13127</v>
      </c>
      <c r="G5069" s="3" t="s">
        <v>61</v>
      </c>
      <c r="I5069" s="3" t="s">
        <v>61</v>
      </c>
      <c r="J5069" s="3" t="s">
        <v>61</v>
      </c>
      <c r="K5069" s="3" t="s">
        <v>63</v>
      </c>
      <c r="L5069" s="2" t="s">
        <v>48687</v>
      </c>
      <c r="M5069" s="2" t="s">
        <v>48688</v>
      </c>
      <c r="N5069" s="3" t="s">
        <v>2136</v>
      </c>
      <c r="O5069" s="2" t="s">
        <v>2458</v>
      </c>
      <c r="P5069" s="3" t="s">
        <v>64</v>
      </c>
      <c r="R5069" s="3" t="s">
        <v>46535</v>
      </c>
      <c r="S5069" s="4">
        <v>108</v>
      </c>
      <c r="T5069" s="4">
        <v>185</v>
      </c>
      <c r="U5069" s="5" t="s">
        <v>18024</v>
      </c>
      <c r="V5069" s="5" t="s">
        <v>20032</v>
      </c>
      <c r="W5069" s="5" t="s">
        <v>67</v>
      </c>
      <c r="X5069" s="5" t="s">
        <v>67</v>
      </c>
      <c r="Y5069" s="4">
        <v>226</v>
      </c>
      <c r="Z5069" s="4">
        <v>15</v>
      </c>
      <c r="AA5069" s="4">
        <v>49</v>
      </c>
      <c r="AB5069" s="4">
        <v>2</v>
      </c>
      <c r="AC5069" s="4">
        <v>6</v>
      </c>
      <c r="AD5069" s="4">
        <v>68</v>
      </c>
      <c r="AE5069" s="4">
        <v>131</v>
      </c>
      <c r="AF5069" s="4">
        <v>1</v>
      </c>
      <c r="AG5069" s="4">
        <v>3</v>
      </c>
      <c r="AH5069" s="4">
        <v>59</v>
      </c>
      <c r="AI5069" s="4">
        <v>104</v>
      </c>
      <c r="AJ5069" s="4">
        <v>9</v>
      </c>
      <c r="AK5069" s="4">
        <v>22</v>
      </c>
      <c r="AL5069" s="4">
        <v>36</v>
      </c>
      <c r="AM5069" s="4">
        <v>56</v>
      </c>
      <c r="AN5069" s="4">
        <v>0</v>
      </c>
      <c r="AO5069" s="4">
        <v>0</v>
      </c>
      <c r="AP5069" s="4">
        <v>12</v>
      </c>
      <c r="AQ5069" s="4">
        <v>34</v>
      </c>
      <c r="AR5069" s="3" t="s">
        <v>62</v>
      </c>
      <c r="AS5069" s="3" t="s">
        <v>62</v>
      </c>
      <c r="AT5069" s="3" t="s">
        <v>62</v>
      </c>
      <c r="AV5069" s="6" t="str">
        <f>HYPERLINK("http://mcgill.on.worldcat.org/oclc/61027174","Catalog Record")</f>
        <v>Catalog Record</v>
      </c>
      <c r="AW5069" s="6" t="str">
        <f>HYPERLINK("http://www.worldcat.org/oclc/61027174","WorldCat Record")</f>
        <v>WorldCat Record</v>
      </c>
      <c r="AX5069" s="3" t="s">
        <v>48689</v>
      </c>
      <c r="AY5069" s="3" t="s">
        <v>48690</v>
      </c>
      <c r="AZ5069" s="3" t="s">
        <v>48691</v>
      </c>
      <c r="BA5069" s="3" t="s">
        <v>48691</v>
      </c>
      <c r="BB5069" s="3" t="s">
        <v>48692</v>
      </c>
      <c r="BC5069" s="3" t="s">
        <v>102</v>
      </c>
      <c r="BD5069" s="3" t="s">
        <v>68</v>
      </c>
      <c r="BE5069" s="3" t="s">
        <v>48693</v>
      </c>
      <c r="BF5069" s="3" t="s">
        <v>48692</v>
      </c>
      <c r="BG5069" s="3" t="s">
        <v>48694</v>
      </c>
    </row>
    <row r="5070" spans="1:59" ht="58" x14ac:dyDescent="0.35">
      <c r="A5070" s="2" t="s">
        <v>89</v>
      </c>
      <c r="B5070" s="2" t="s">
        <v>90</v>
      </c>
      <c r="C5070" s="2" t="s">
        <v>48695</v>
      </c>
      <c r="D5070" s="2" t="s">
        <v>48696</v>
      </c>
      <c r="E5070" s="2" t="s">
        <v>48697</v>
      </c>
      <c r="G5070" s="3" t="s">
        <v>62</v>
      </c>
      <c r="I5070" s="3" t="s">
        <v>62</v>
      </c>
      <c r="J5070" s="3" t="s">
        <v>62</v>
      </c>
      <c r="K5070" s="3" t="s">
        <v>63</v>
      </c>
      <c r="M5070" s="2" t="s">
        <v>4023</v>
      </c>
      <c r="N5070" s="3" t="s">
        <v>596</v>
      </c>
      <c r="P5070" s="3" t="s">
        <v>64</v>
      </c>
      <c r="R5070" s="3" t="s">
        <v>46535</v>
      </c>
      <c r="S5070" s="4">
        <v>14</v>
      </c>
      <c r="T5070" s="4">
        <v>14</v>
      </c>
      <c r="U5070" s="5" t="s">
        <v>10633</v>
      </c>
      <c r="V5070" s="5" t="s">
        <v>10633</v>
      </c>
      <c r="W5070" s="5" t="s">
        <v>67</v>
      </c>
      <c r="X5070" s="5" t="s">
        <v>67</v>
      </c>
      <c r="Y5070" s="4">
        <v>507</v>
      </c>
      <c r="Z5070" s="4">
        <v>31</v>
      </c>
      <c r="AA5070" s="4">
        <v>59</v>
      </c>
      <c r="AB5070" s="4">
        <v>2</v>
      </c>
      <c r="AC5070" s="4">
        <v>6</v>
      </c>
      <c r="AD5070" s="4">
        <v>100</v>
      </c>
      <c r="AE5070" s="4">
        <v>113</v>
      </c>
      <c r="AF5070" s="4">
        <v>0</v>
      </c>
      <c r="AG5070" s="4">
        <v>2</v>
      </c>
      <c r="AH5070" s="4">
        <v>87</v>
      </c>
      <c r="AI5070" s="4">
        <v>91</v>
      </c>
      <c r="AJ5070" s="4">
        <v>14</v>
      </c>
      <c r="AK5070" s="4">
        <v>17</v>
      </c>
      <c r="AL5070" s="4">
        <v>46</v>
      </c>
      <c r="AM5070" s="4">
        <v>49</v>
      </c>
      <c r="AN5070" s="4">
        <v>0</v>
      </c>
      <c r="AO5070" s="4">
        <v>0</v>
      </c>
      <c r="AP5070" s="4">
        <v>21</v>
      </c>
      <c r="AQ5070" s="4">
        <v>28</v>
      </c>
      <c r="AR5070" s="3" t="s">
        <v>62</v>
      </c>
      <c r="AS5070" s="3" t="s">
        <v>62</v>
      </c>
      <c r="AT5070" s="3" t="s">
        <v>62</v>
      </c>
      <c r="AV5070" s="6" t="str">
        <f>HYPERLINK("http://mcgill.on.worldcat.org/oclc/45556186","Catalog Record")</f>
        <v>Catalog Record</v>
      </c>
      <c r="AW5070" s="6" t="str">
        <f>HYPERLINK("http://www.worldcat.org/oclc/45556186","WorldCat Record")</f>
        <v>WorldCat Record</v>
      </c>
      <c r="AX5070" s="3" t="s">
        <v>48698</v>
      </c>
      <c r="AY5070" s="3" t="s">
        <v>48699</v>
      </c>
      <c r="AZ5070" s="3" t="s">
        <v>48700</v>
      </c>
      <c r="BA5070" s="3" t="s">
        <v>48700</v>
      </c>
      <c r="BB5070" s="3" t="s">
        <v>48701</v>
      </c>
      <c r="BC5070" s="3" t="s">
        <v>102</v>
      </c>
      <c r="BD5070" s="3" t="s">
        <v>231</v>
      </c>
      <c r="BE5070" s="3" t="s">
        <v>48702</v>
      </c>
      <c r="BF5070" s="3" t="s">
        <v>48701</v>
      </c>
      <c r="BG5070" s="3" t="s">
        <v>48703</v>
      </c>
    </row>
    <row r="5071" spans="1:59" ht="58" x14ac:dyDescent="0.35">
      <c r="A5071" s="2" t="s">
        <v>89</v>
      </c>
      <c r="B5071" s="2" t="s">
        <v>90</v>
      </c>
      <c r="C5071" s="2" t="s">
        <v>48704</v>
      </c>
      <c r="D5071" s="2" t="s">
        <v>48705</v>
      </c>
      <c r="E5071" s="2" t="s">
        <v>48706</v>
      </c>
      <c r="G5071" s="3" t="s">
        <v>62</v>
      </c>
      <c r="I5071" s="3" t="s">
        <v>62</v>
      </c>
      <c r="J5071" s="3" t="s">
        <v>62</v>
      </c>
      <c r="K5071" s="3" t="s">
        <v>63</v>
      </c>
      <c r="L5071" s="2" t="s">
        <v>48707</v>
      </c>
      <c r="M5071" s="2" t="s">
        <v>10450</v>
      </c>
      <c r="N5071" s="3" t="s">
        <v>1038</v>
      </c>
      <c r="P5071" s="3" t="s">
        <v>64</v>
      </c>
      <c r="Q5071" s="2" t="s">
        <v>48203</v>
      </c>
      <c r="R5071" s="3" t="s">
        <v>46535</v>
      </c>
      <c r="S5071" s="4">
        <v>1</v>
      </c>
      <c r="T5071" s="4">
        <v>1</v>
      </c>
      <c r="U5071" s="5" t="s">
        <v>2473</v>
      </c>
      <c r="V5071" s="5" t="s">
        <v>2473</v>
      </c>
      <c r="W5071" s="5" t="s">
        <v>67</v>
      </c>
      <c r="X5071" s="5" t="s">
        <v>67</v>
      </c>
      <c r="Y5071" s="4">
        <v>58</v>
      </c>
      <c r="Z5071" s="4">
        <v>4</v>
      </c>
      <c r="AA5071" s="4">
        <v>5</v>
      </c>
      <c r="AB5071" s="4">
        <v>1</v>
      </c>
      <c r="AC5071" s="4">
        <v>2</v>
      </c>
      <c r="AD5071" s="4">
        <v>29</v>
      </c>
      <c r="AE5071" s="4">
        <v>30</v>
      </c>
      <c r="AF5071" s="4">
        <v>0</v>
      </c>
      <c r="AG5071" s="4">
        <v>1</v>
      </c>
      <c r="AH5071" s="4">
        <v>27</v>
      </c>
      <c r="AI5071" s="4">
        <v>27</v>
      </c>
      <c r="AJ5071" s="4">
        <v>3</v>
      </c>
      <c r="AK5071" s="4">
        <v>4</v>
      </c>
      <c r="AL5071" s="4">
        <v>15</v>
      </c>
      <c r="AM5071" s="4">
        <v>15</v>
      </c>
      <c r="AN5071" s="4">
        <v>0</v>
      </c>
      <c r="AO5071" s="4">
        <v>0</v>
      </c>
      <c r="AP5071" s="4">
        <v>3</v>
      </c>
      <c r="AQ5071" s="4">
        <v>4</v>
      </c>
      <c r="AR5071" s="3" t="s">
        <v>62</v>
      </c>
      <c r="AS5071" s="3" t="s">
        <v>62</v>
      </c>
      <c r="AT5071" s="3" t="s">
        <v>62</v>
      </c>
      <c r="AV5071" s="6" t="str">
        <f>HYPERLINK("http://mcgill.on.worldcat.org/oclc/946160404","Catalog Record")</f>
        <v>Catalog Record</v>
      </c>
      <c r="AW5071" s="6" t="str">
        <f>HYPERLINK("http://www.worldcat.org/oclc/946160404","WorldCat Record")</f>
        <v>WorldCat Record</v>
      </c>
      <c r="AX5071" s="3" t="s">
        <v>48708</v>
      </c>
      <c r="AY5071" s="3" t="s">
        <v>48709</v>
      </c>
      <c r="AZ5071" s="3" t="s">
        <v>48710</v>
      </c>
      <c r="BA5071" s="3" t="s">
        <v>48710</v>
      </c>
      <c r="BB5071" s="3" t="s">
        <v>48711</v>
      </c>
      <c r="BC5071" s="3" t="s">
        <v>102</v>
      </c>
      <c r="BD5071" s="3" t="s">
        <v>68</v>
      </c>
      <c r="BE5071" s="3" t="s">
        <v>48712</v>
      </c>
      <c r="BF5071" s="3" t="s">
        <v>48711</v>
      </c>
      <c r="BG5071" s="3" t="s">
        <v>48713</v>
      </c>
    </row>
    <row r="5072" spans="1:59" ht="58" x14ac:dyDescent="0.35">
      <c r="A5072" s="2" t="s">
        <v>89</v>
      </c>
      <c r="B5072" s="2" t="s">
        <v>90</v>
      </c>
      <c r="C5072" s="2" t="s">
        <v>48714</v>
      </c>
      <c r="D5072" s="2" t="s">
        <v>48715</v>
      </c>
      <c r="E5072" s="2" t="s">
        <v>48716</v>
      </c>
      <c r="G5072" s="3" t="s">
        <v>62</v>
      </c>
      <c r="I5072" s="3" t="s">
        <v>62</v>
      </c>
      <c r="J5072" s="3" t="s">
        <v>62</v>
      </c>
      <c r="K5072" s="3" t="s">
        <v>63</v>
      </c>
      <c r="L5072" s="2" t="s">
        <v>48717</v>
      </c>
      <c r="M5072" s="2" t="s">
        <v>48718</v>
      </c>
      <c r="N5072" s="3" t="s">
        <v>2975</v>
      </c>
      <c r="P5072" s="3" t="s">
        <v>64</v>
      </c>
      <c r="R5072" s="3" t="s">
        <v>46535</v>
      </c>
      <c r="S5072" s="4">
        <v>15</v>
      </c>
      <c r="T5072" s="4">
        <v>15</v>
      </c>
      <c r="U5072" s="5" t="s">
        <v>10633</v>
      </c>
      <c r="V5072" s="5" t="s">
        <v>10633</v>
      </c>
      <c r="W5072" s="5" t="s">
        <v>67</v>
      </c>
      <c r="X5072" s="5" t="s">
        <v>67</v>
      </c>
      <c r="Y5072" s="4">
        <v>216</v>
      </c>
      <c r="Z5072" s="4">
        <v>19</v>
      </c>
      <c r="AA5072" s="4">
        <v>31</v>
      </c>
      <c r="AB5072" s="4">
        <v>3</v>
      </c>
      <c r="AC5072" s="4">
        <v>9</v>
      </c>
      <c r="AD5072" s="4">
        <v>48</v>
      </c>
      <c r="AE5072" s="4">
        <v>62</v>
      </c>
      <c r="AF5072" s="4">
        <v>1</v>
      </c>
      <c r="AG5072" s="4">
        <v>4</v>
      </c>
      <c r="AH5072" s="4">
        <v>40</v>
      </c>
      <c r="AI5072" s="4">
        <v>49</v>
      </c>
      <c r="AJ5072" s="4">
        <v>15</v>
      </c>
      <c r="AK5072" s="4">
        <v>21</v>
      </c>
      <c r="AL5072" s="4">
        <v>19</v>
      </c>
      <c r="AM5072" s="4">
        <v>23</v>
      </c>
      <c r="AN5072" s="4">
        <v>0</v>
      </c>
      <c r="AO5072" s="4">
        <v>0</v>
      </c>
      <c r="AP5072" s="4">
        <v>15</v>
      </c>
      <c r="AQ5072" s="4">
        <v>21</v>
      </c>
      <c r="AR5072" s="3" t="s">
        <v>62</v>
      </c>
      <c r="AS5072" s="3" t="s">
        <v>62</v>
      </c>
      <c r="AT5072" s="3" t="s">
        <v>62</v>
      </c>
      <c r="AV5072" s="6" t="str">
        <f>HYPERLINK("http://mcgill.on.worldcat.org/oclc/46401884","Catalog Record")</f>
        <v>Catalog Record</v>
      </c>
      <c r="AW5072" s="6" t="str">
        <f>HYPERLINK("http://www.worldcat.org/oclc/46401884","WorldCat Record")</f>
        <v>WorldCat Record</v>
      </c>
      <c r="AX5072" s="3" t="s">
        <v>48719</v>
      </c>
      <c r="AY5072" s="3" t="s">
        <v>48720</v>
      </c>
      <c r="AZ5072" s="3" t="s">
        <v>48721</v>
      </c>
      <c r="BA5072" s="3" t="s">
        <v>48721</v>
      </c>
      <c r="BB5072" s="3" t="s">
        <v>48722</v>
      </c>
      <c r="BC5072" s="3" t="s">
        <v>102</v>
      </c>
      <c r="BD5072" s="3" t="s">
        <v>231</v>
      </c>
      <c r="BE5072" s="3" t="s">
        <v>48723</v>
      </c>
      <c r="BF5072" s="3" t="s">
        <v>48722</v>
      </c>
      <c r="BG5072" s="3" t="s">
        <v>48724</v>
      </c>
    </row>
    <row r="5073" spans="1:59" ht="58" x14ac:dyDescent="0.35">
      <c r="A5073" s="2" t="s">
        <v>89</v>
      </c>
      <c r="B5073" s="2" t="s">
        <v>90</v>
      </c>
      <c r="C5073" s="2" t="s">
        <v>48725</v>
      </c>
      <c r="D5073" s="2" t="s">
        <v>48726</v>
      </c>
      <c r="E5073" s="2" t="s">
        <v>48727</v>
      </c>
      <c r="G5073" s="3" t="s">
        <v>62</v>
      </c>
      <c r="I5073" s="3" t="s">
        <v>62</v>
      </c>
      <c r="J5073" s="3" t="s">
        <v>62</v>
      </c>
      <c r="K5073" s="3" t="s">
        <v>63</v>
      </c>
      <c r="L5073" s="2" t="s">
        <v>48728</v>
      </c>
      <c r="M5073" s="2" t="s">
        <v>48729</v>
      </c>
      <c r="N5073" s="3" t="s">
        <v>684</v>
      </c>
      <c r="P5073" s="3" t="s">
        <v>64</v>
      </c>
      <c r="R5073" s="3" t="s">
        <v>46535</v>
      </c>
      <c r="S5073" s="4">
        <v>0</v>
      </c>
      <c r="T5073" s="4">
        <v>0</v>
      </c>
      <c r="W5073" s="5" t="s">
        <v>67</v>
      </c>
      <c r="X5073" s="5" t="s">
        <v>67</v>
      </c>
      <c r="Y5073" s="4">
        <v>92</v>
      </c>
      <c r="Z5073" s="4">
        <v>13</v>
      </c>
      <c r="AA5073" s="4">
        <v>91</v>
      </c>
      <c r="AB5073" s="4">
        <v>1</v>
      </c>
      <c r="AC5073" s="4">
        <v>18</v>
      </c>
      <c r="AD5073" s="4">
        <v>43</v>
      </c>
      <c r="AE5073" s="4">
        <v>117</v>
      </c>
      <c r="AF5073" s="4">
        <v>0</v>
      </c>
      <c r="AG5073" s="4">
        <v>8</v>
      </c>
      <c r="AH5073" s="4">
        <v>36</v>
      </c>
      <c r="AI5073" s="4">
        <v>79</v>
      </c>
      <c r="AJ5073" s="4">
        <v>8</v>
      </c>
      <c r="AK5073" s="4">
        <v>22</v>
      </c>
      <c r="AL5073" s="4">
        <v>21</v>
      </c>
      <c r="AM5073" s="4">
        <v>42</v>
      </c>
      <c r="AN5073" s="4">
        <v>0</v>
      </c>
      <c r="AO5073" s="4">
        <v>0</v>
      </c>
      <c r="AP5073" s="4">
        <v>10</v>
      </c>
      <c r="AQ5073" s="4">
        <v>45</v>
      </c>
      <c r="AR5073" s="3" t="s">
        <v>62</v>
      </c>
      <c r="AS5073" s="3" t="s">
        <v>62</v>
      </c>
      <c r="AT5073" s="3" t="s">
        <v>62</v>
      </c>
      <c r="AV5073" s="6" t="str">
        <f>HYPERLINK("http://mcgill.on.worldcat.org/oclc/692290750","Catalog Record")</f>
        <v>Catalog Record</v>
      </c>
      <c r="AW5073" s="6" t="str">
        <f>HYPERLINK("http://www.worldcat.org/oclc/692290750","WorldCat Record")</f>
        <v>WorldCat Record</v>
      </c>
      <c r="AX5073" s="3" t="s">
        <v>48730</v>
      </c>
      <c r="AY5073" s="3" t="s">
        <v>48731</v>
      </c>
      <c r="AZ5073" s="3" t="s">
        <v>48732</v>
      </c>
      <c r="BA5073" s="3" t="s">
        <v>48732</v>
      </c>
      <c r="BB5073" s="3" t="s">
        <v>48733</v>
      </c>
      <c r="BC5073" s="3" t="s">
        <v>102</v>
      </c>
      <c r="BD5073" s="3" t="s">
        <v>68</v>
      </c>
      <c r="BE5073" s="3" t="s">
        <v>48734</v>
      </c>
      <c r="BF5073" s="3" t="s">
        <v>48733</v>
      </c>
      <c r="BG5073" s="3" t="s">
        <v>48735</v>
      </c>
    </row>
    <row r="5074" spans="1:59" ht="58" x14ac:dyDescent="0.35">
      <c r="A5074" s="2" t="s">
        <v>89</v>
      </c>
      <c r="B5074" s="2" t="s">
        <v>90</v>
      </c>
      <c r="C5074" s="2" t="s">
        <v>48736</v>
      </c>
      <c r="D5074" s="2" t="s">
        <v>48737</v>
      </c>
      <c r="E5074" s="2" t="s">
        <v>48738</v>
      </c>
      <c r="G5074" s="3" t="s">
        <v>62</v>
      </c>
      <c r="I5074" s="3" t="s">
        <v>62</v>
      </c>
      <c r="J5074" s="3" t="s">
        <v>62</v>
      </c>
      <c r="K5074" s="3" t="s">
        <v>63</v>
      </c>
      <c r="M5074" s="2" t="s">
        <v>48739</v>
      </c>
      <c r="N5074" s="3" t="s">
        <v>1482</v>
      </c>
      <c r="P5074" s="3" t="s">
        <v>64</v>
      </c>
      <c r="Q5074" s="2" t="s">
        <v>48740</v>
      </c>
      <c r="R5074" s="3" t="s">
        <v>46535</v>
      </c>
      <c r="S5074" s="4">
        <v>7</v>
      </c>
      <c r="T5074" s="4">
        <v>7</v>
      </c>
      <c r="U5074" s="5" t="s">
        <v>25056</v>
      </c>
      <c r="V5074" s="5" t="s">
        <v>25056</v>
      </c>
      <c r="W5074" s="5" t="s">
        <v>67</v>
      </c>
      <c r="X5074" s="5" t="s">
        <v>67</v>
      </c>
      <c r="Y5074" s="4">
        <v>253</v>
      </c>
      <c r="Z5074" s="4">
        <v>14</v>
      </c>
      <c r="AA5074" s="4">
        <v>18</v>
      </c>
      <c r="AB5074" s="4">
        <v>1</v>
      </c>
      <c r="AC5074" s="4">
        <v>5</v>
      </c>
      <c r="AD5074" s="4">
        <v>96</v>
      </c>
      <c r="AE5074" s="4">
        <v>98</v>
      </c>
      <c r="AF5074" s="4">
        <v>0</v>
      </c>
      <c r="AG5074" s="4">
        <v>2</v>
      </c>
      <c r="AH5074" s="4">
        <v>90</v>
      </c>
      <c r="AI5074" s="4">
        <v>91</v>
      </c>
      <c r="AJ5074" s="4">
        <v>9</v>
      </c>
      <c r="AK5074" s="4">
        <v>11</v>
      </c>
      <c r="AL5074" s="4">
        <v>50</v>
      </c>
      <c r="AM5074" s="4">
        <v>50</v>
      </c>
      <c r="AN5074" s="4">
        <v>0</v>
      </c>
      <c r="AO5074" s="4">
        <v>0</v>
      </c>
      <c r="AP5074" s="4">
        <v>11</v>
      </c>
      <c r="AQ5074" s="4">
        <v>12</v>
      </c>
      <c r="AR5074" s="3" t="s">
        <v>62</v>
      </c>
      <c r="AS5074" s="3" t="s">
        <v>62</v>
      </c>
      <c r="AT5074" s="3" t="s">
        <v>62</v>
      </c>
      <c r="AV5074" s="6" t="str">
        <f>HYPERLINK("http://mcgill.on.worldcat.org/oclc/13185813","Catalog Record")</f>
        <v>Catalog Record</v>
      </c>
      <c r="AW5074" s="6" t="str">
        <f>HYPERLINK("http://www.worldcat.org/oclc/13185813","WorldCat Record")</f>
        <v>WorldCat Record</v>
      </c>
      <c r="AX5074" s="3" t="s">
        <v>48741</v>
      </c>
      <c r="AY5074" s="3" t="s">
        <v>48742</v>
      </c>
      <c r="AZ5074" s="3" t="s">
        <v>48743</v>
      </c>
      <c r="BA5074" s="3" t="s">
        <v>48743</v>
      </c>
      <c r="BB5074" s="3" t="s">
        <v>48744</v>
      </c>
      <c r="BC5074" s="3" t="s">
        <v>102</v>
      </c>
      <c r="BD5074" s="3" t="s">
        <v>68</v>
      </c>
      <c r="BE5074" s="3" t="s">
        <v>48745</v>
      </c>
      <c r="BF5074" s="3" t="s">
        <v>48744</v>
      </c>
      <c r="BG5074" s="3" t="s">
        <v>48746</v>
      </c>
    </row>
    <row r="5075" spans="1:59" ht="58" x14ac:dyDescent="0.35">
      <c r="A5075" s="2" t="s">
        <v>89</v>
      </c>
      <c r="B5075" s="2" t="s">
        <v>90</v>
      </c>
      <c r="C5075" s="2" t="s">
        <v>48747</v>
      </c>
      <c r="D5075" s="2" t="s">
        <v>48748</v>
      </c>
      <c r="E5075" s="2" t="s">
        <v>48749</v>
      </c>
      <c r="G5075" s="3" t="s">
        <v>62</v>
      </c>
      <c r="I5075" s="3" t="s">
        <v>61</v>
      </c>
      <c r="J5075" s="3" t="s">
        <v>61</v>
      </c>
      <c r="K5075" s="3" t="s">
        <v>63</v>
      </c>
      <c r="L5075" s="2" t="s">
        <v>48750</v>
      </c>
      <c r="M5075" s="2" t="s">
        <v>48751</v>
      </c>
      <c r="N5075" s="3" t="s">
        <v>424</v>
      </c>
      <c r="O5075" s="2" t="s">
        <v>2986</v>
      </c>
      <c r="P5075" s="3" t="s">
        <v>64</v>
      </c>
      <c r="R5075" s="3" t="s">
        <v>46535</v>
      </c>
      <c r="S5075" s="4">
        <v>32</v>
      </c>
      <c r="T5075" s="4">
        <v>48</v>
      </c>
      <c r="U5075" s="5" t="s">
        <v>48752</v>
      </c>
      <c r="V5075" s="5" t="s">
        <v>48753</v>
      </c>
      <c r="W5075" s="5" t="s">
        <v>67</v>
      </c>
      <c r="X5075" s="5" t="s">
        <v>67</v>
      </c>
      <c r="Y5075" s="4">
        <v>616</v>
      </c>
      <c r="Z5075" s="4">
        <v>27</v>
      </c>
      <c r="AA5075" s="4">
        <v>51</v>
      </c>
      <c r="AB5075" s="4">
        <v>3</v>
      </c>
      <c r="AC5075" s="4">
        <v>8</v>
      </c>
      <c r="AD5075" s="4">
        <v>81</v>
      </c>
      <c r="AE5075" s="4">
        <v>127</v>
      </c>
      <c r="AF5075" s="4">
        <v>1</v>
      </c>
      <c r="AG5075" s="4">
        <v>4</v>
      </c>
      <c r="AH5075" s="4">
        <v>66</v>
      </c>
      <c r="AI5075" s="4">
        <v>98</v>
      </c>
      <c r="AJ5075" s="4">
        <v>11</v>
      </c>
      <c r="AK5075" s="4">
        <v>23</v>
      </c>
      <c r="AL5075" s="4">
        <v>38</v>
      </c>
      <c r="AM5075" s="4">
        <v>56</v>
      </c>
      <c r="AN5075" s="4">
        <v>0</v>
      </c>
      <c r="AO5075" s="4">
        <v>0</v>
      </c>
      <c r="AP5075" s="4">
        <v>18</v>
      </c>
      <c r="AQ5075" s="4">
        <v>32</v>
      </c>
      <c r="AR5075" s="3" t="s">
        <v>62</v>
      </c>
      <c r="AS5075" s="3" t="s">
        <v>62</v>
      </c>
      <c r="AT5075" s="3" t="s">
        <v>62</v>
      </c>
      <c r="AV5075" s="6" t="str">
        <f>HYPERLINK("http://mcgill.on.worldcat.org/oclc/17258720","Catalog Record")</f>
        <v>Catalog Record</v>
      </c>
      <c r="AW5075" s="6" t="str">
        <f>HYPERLINK("http://www.worldcat.org/oclc/17258720","WorldCat Record")</f>
        <v>WorldCat Record</v>
      </c>
      <c r="AX5075" s="3" t="s">
        <v>48754</v>
      </c>
      <c r="AY5075" s="3" t="s">
        <v>48755</v>
      </c>
      <c r="AZ5075" s="3" t="s">
        <v>48756</v>
      </c>
      <c r="BA5075" s="3" t="s">
        <v>48756</v>
      </c>
      <c r="BB5075" s="3" t="s">
        <v>48757</v>
      </c>
      <c r="BC5075" s="3" t="s">
        <v>102</v>
      </c>
      <c r="BD5075" s="3" t="s">
        <v>68</v>
      </c>
      <c r="BE5075" s="3" t="s">
        <v>48758</v>
      </c>
      <c r="BF5075" s="3" t="s">
        <v>48757</v>
      </c>
      <c r="BG5075" s="3" t="s">
        <v>48759</v>
      </c>
    </row>
    <row r="5076" spans="1:59" ht="58" x14ac:dyDescent="0.35">
      <c r="A5076" s="2" t="s">
        <v>89</v>
      </c>
      <c r="B5076" s="2" t="s">
        <v>90</v>
      </c>
      <c r="C5076" s="2" t="s">
        <v>48760</v>
      </c>
      <c r="D5076" s="2" t="s">
        <v>48761</v>
      </c>
      <c r="E5076" s="2" t="s">
        <v>48762</v>
      </c>
      <c r="G5076" s="3" t="s">
        <v>62</v>
      </c>
      <c r="I5076" s="3" t="s">
        <v>62</v>
      </c>
      <c r="J5076" s="3" t="s">
        <v>61</v>
      </c>
      <c r="K5076" s="3" t="s">
        <v>63</v>
      </c>
      <c r="L5076" s="2" t="s">
        <v>48763</v>
      </c>
      <c r="M5076" s="2" t="s">
        <v>48764</v>
      </c>
      <c r="N5076" s="3" t="s">
        <v>1482</v>
      </c>
      <c r="O5076" s="2" t="s">
        <v>2458</v>
      </c>
      <c r="P5076" s="3" t="s">
        <v>64</v>
      </c>
      <c r="R5076" s="3" t="s">
        <v>46535</v>
      </c>
      <c r="S5076" s="4">
        <v>5</v>
      </c>
      <c r="T5076" s="4">
        <v>5</v>
      </c>
      <c r="U5076" s="5" t="s">
        <v>18301</v>
      </c>
      <c r="V5076" s="5" t="s">
        <v>18301</v>
      </c>
      <c r="W5076" s="5" t="s">
        <v>67</v>
      </c>
      <c r="X5076" s="5" t="s">
        <v>67</v>
      </c>
      <c r="Y5076" s="4">
        <v>276</v>
      </c>
      <c r="Z5076" s="4">
        <v>19</v>
      </c>
      <c r="AA5076" s="4">
        <v>78</v>
      </c>
      <c r="AB5076" s="4">
        <v>2</v>
      </c>
      <c r="AC5076" s="4">
        <v>11</v>
      </c>
      <c r="AD5076" s="4">
        <v>74</v>
      </c>
      <c r="AE5076" s="4">
        <v>147</v>
      </c>
      <c r="AF5076" s="4">
        <v>1</v>
      </c>
      <c r="AG5076" s="4">
        <v>5</v>
      </c>
      <c r="AH5076" s="4">
        <v>66</v>
      </c>
      <c r="AI5076" s="4">
        <v>111</v>
      </c>
      <c r="AJ5076" s="4">
        <v>12</v>
      </c>
      <c r="AK5076" s="4">
        <v>26</v>
      </c>
      <c r="AL5076" s="4">
        <v>38</v>
      </c>
      <c r="AM5076" s="4">
        <v>60</v>
      </c>
      <c r="AN5076" s="4">
        <v>0</v>
      </c>
      <c r="AO5076" s="4">
        <v>0</v>
      </c>
      <c r="AP5076" s="4">
        <v>14</v>
      </c>
      <c r="AQ5076" s="4">
        <v>44</v>
      </c>
      <c r="AR5076" s="3" t="s">
        <v>62</v>
      </c>
      <c r="AS5076" s="3" t="s">
        <v>62</v>
      </c>
      <c r="AT5076" s="3" t="s">
        <v>61</v>
      </c>
      <c r="AU5076" s="6" t="str">
        <f>HYPERLINK("http://catalog.hathitrust.org/Record/000439604","HathiTrust Record")</f>
        <v>HathiTrust Record</v>
      </c>
      <c r="AV5076" s="6" t="str">
        <f>HYPERLINK("http://mcgill.on.worldcat.org/oclc/12189376","Catalog Record")</f>
        <v>Catalog Record</v>
      </c>
      <c r="AW5076" s="6" t="str">
        <f>HYPERLINK("http://www.worldcat.org/oclc/12189376","WorldCat Record")</f>
        <v>WorldCat Record</v>
      </c>
      <c r="AX5076" s="3" t="s">
        <v>48765</v>
      </c>
      <c r="AY5076" s="3" t="s">
        <v>48766</v>
      </c>
      <c r="AZ5076" s="3" t="s">
        <v>48767</v>
      </c>
      <c r="BA5076" s="3" t="s">
        <v>48767</v>
      </c>
      <c r="BB5076" s="3" t="s">
        <v>48768</v>
      </c>
      <c r="BC5076" s="3" t="s">
        <v>102</v>
      </c>
      <c r="BD5076" s="3" t="s">
        <v>68</v>
      </c>
      <c r="BE5076" s="3" t="s">
        <v>48769</v>
      </c>
      <c r="BF5076" s="3" t="s">
        <v>48768</v>
      </c>
      <c r="BG5076" s="3" t="s">
        <v>48770</v>
      </c>
    </row>
    <row r="5077" spans="1:59" ht="58" x14ac:dyDescent="0.35">
      <c r="A5077" s="2" t="s">
        <v>89</v>
      </c>
      <c r="B5077" s="2" t="s">
        <v>90</v>
      </c>
      <c r="C5077" s="2" t="s">
        <v>48771</v>
      </c>
      <c r="D5077" s="2" t="s">
        <v>48772</v>
      </c>
      <c r="E5077" s="2" t="s">
        <v>48762</v>
      </c>
      <c r="F5077" s="3" t="s">
        <v>13127</v>
      </c>
      <c r="G5077" s="3" t="s">
        <v>62</v>
      </c>
      <c r="I5077" s="3" t="s">
        <v>61</v>
      </c>
      <c r="J5077" s="3" t="s">
        <v>61</v>
      </c>
      <c r="K5077" s="3" t="s">
        <v>63</v>
      </c>
      <c r="L5077" s="2" t="s">
        <v>48763</v>
      </c>
      <c r="M5077" s="2" t="s">
        <v>48773</v>
      </c>
      <c r="N5077" s="3" t="s">
        <v>2975</v>
      </c>
      <c r="O5077" s="2" t="s">
        <v>16059</v>
      </c>
      <c r="P5077" s="3" t="s">
        <v>64</v>
      </c>
      <c r="R5077" s="3" t="s">
        <v>46535</v>
      </c>
      <c r="S5077" s="4">
        <v>41</v>
      </c>
      <c r="T5077" s="4">
        <v>71</v>
      </c>
      <c r="U5077" s="5" t="s">
        <v>48774</v>
      </c>
      <c r="V5077" s="5" t="s">
        <v>48774</v>
      </c>
      <c r="W5077" s="5" t="s">
        <v>4735</v>
      </c>
      <c r="X5077" s="5" t="s">
        <v>4735</v>
      </c>
      <c r="Y5077" s="4">
        <v>183</v>
      </c>
      <c r="Z5077" s="4">
        <v>13</v>
      </c>
      <c r="AA5077" s="4">
        <v>78</v>
      </c>
      <c r="AB5077" s="4">
        <v>1</v>
      </c>
      <c r="AC5077" s="4">
        <v>11</v>
      </c>
      <c r="AD5077" s="4">
        <v>40</v>
      </c>
      <c r="AE5077" s="4">
        <v>147</v>
      </c>
      <c r="AF5077" s="4">
        <v>0</v>
      </c>
      <c r="AG5077" s="4">
        <v>5</v>
      </c>
      <c r="AH5077" s="4">
        <v>33</v>
      </c>
      <c r="AI5077" s="4">
        <v>111</v>
      </c>
      <c r="AJ5077" s="4">
        <v>9</v>
      </c>
      <c r="AK5077" s="4">
        <v>26</v>
      </c>
      <c r="AL5077" s="4">
        <v>18</v>
      </c>
      <c r="AM5077" s="4">
        <v>60</v>
      </c>
      <c r="AN5077" s="4">
        <v>0</v>
      </c>
      <c r="AO5077" s="4">
        <v>0</v>
      </c>
      <c r="AP5077" s="4">
        <v>10</v>
      </c>
      <c r="AQ5077" s="4">
        <v>44</v>
      </c>
      <c r="AR5077" s="3" t="s">
        <v>62</v>
      </c>
      <c r="AS5077" s="3" t="s">
        <v>62</v>
      </c>
      <c r="AT5077" s="3" t="s">
        <v>62</v>
      </c>
      <c r="AV5077" s="6" t="str">
        <f>HYPERLINK("http://mcgill.on.worldcat.org/oclc/43801027","Catalog Record")</f>
        <v>Catalog Record</v>
      </c>
      <c r="AW5077" s="6" t="str">
        <f>HYPERLINK("http://www.worldcat.org/oclc/43801027","WorldCat Record")</f>
        <v>WorldCat Record</v>
      </c>
      <c r="AX5077" s="3" t="s">
        <v>48765</v>
      </c>
      <c r="AY5077" s="3" t="s">
        <v>48775</v>
      </c>
      <c r="AZ5077" s="3" t="s">
        <v>48776</v>
      </c>
      <c r="BA5077" s="3" t="s">
        <v>48776</v>
      </c>
      <c r="BB5077" s="3" t="s">
        <v>48777</v>
      </c>
      <c r="BC5077" s="3" t="s">
        <v>102</v>
      </c>
      <c r="BD5077" s="3" t="s">
        <v>68</v>
      </c>
      <c r="BE5077" s="3" t="s">
        <v>48778</v>
      </c>
      <c r="BF5077" s="3" t="s">
        <v>48777</v>
      </c>
      <c r="BG5077" s="3" t="s">
        <v>48779</v>
      </c>
    </row>
    <row r="5078" spans="1:59" ht="58" x14ac:dyDescent="0.35">
      <c r="A5078" s="2" t="s">
        <v>89</v>
      </c>
      <c r="B5078" s="2" t="s">
        <v>90</v>
      </c>
      <c r="C5078" s="2" t="s">
        <v>48771</v>
      </c>
      <c r="D5078" s="2" t="s">
        <v>48772</v>
      </c>
      <c r="E5078" s="2" t="s">
        <v>48762</v>
      </c>
      <c r="F5078" s="3" t="s">
        <v>48780</v>
      </c>
      <c r="G5078" s="3" t="s">
        <v>62</v>
      </c>
      <c r="I5078" s="3" t="s">
        <v>61</v>
      </c>
      <c r="J5078" s="3" t="s">
        <v>61</v>
      </c>
      <c r="K5078" s="3" t="s">
        <v>63</v>
      </c>
      <c r="L5078" s="2" t="s">
        <v>48763</v>
      </c>
      <c r="M5078" s="2" t="s">
        <v>48773</v>
      </c>
      <c r="N5078" s="3" t="s">
        <v>2975</v>
      </c>
      <c r="O5078" s="2" t="s">
        <v>16059</v>
      </c>
      <c r="P5078" s="3" t="s">
        <v>64</v>
      </c>
      <c r="R5078" s="3" t="s">
        <v>46535</v>
      </c>
      <c r="S5078" s="4">
        <v>30</v>
      </c>
      <c r="T5078" s="4">
        <v>71</v>
      </c>
      <c r="U5078" s="5" t="s">
        <v>7051</v>
      </c>
      <c r="V5078" s="5" t="s">
        <v>48774</v>
      </c>
      <c r="W5078" s="5" t="s">
        <v>4735</v>
      </c>
      <c r="X5078" s="5" t="s">
        <v>4735</v>
      </c>
      <c r="Y5078" s="4">
        <v>183</v>
      </c>
      <c r="Z5078" s="4">
        <v>13</v>
      </c>
      <c r="AA5078" s="4">
        <v>78</v>
      </c>
      <c r="AB5078" s="4">
        <v>1</v>
      </c>
      <c r="AC5078" s="4">
        <v>11</v>
      </c>
      <c r="AD5078" s="4">
        <v>40</v>
      </c>
      <c r="AE5078" s="4">
        <v>147</v>
      </c>
      <c r="AF5078" s="4">
        <v>0</v>
      </c>
      <c r="AG5078" s="4">
        <v>5</v>
      </c>
      <c r="AH5078" s="4">
        <v>33</v>
      </c>
      <c r="AI5078" s="4">
        <v>111</v>
      </c>
      <c r="AJ5078" s="4">
        <v>9</v>
      </c>
      <c r="AK5078" s="4">
        <v>26</v>
      </c>
      <c r="AL5078" s="4">
        <v>18</v>
      </c>
      <c r="AM5078" s="4">
        <v>60</v>
      </c>
      <c r="AN5078" s="4">
        <v>0</v>
      </c>
      <c r="AO5078" s="4">
        <v>0</v>
      </c>
      <c r="AP5078" s="4">
        <v>10</v>
      </c>
      <c r="AQ5078" s="4">
        <v>44</v>
      </c>
      <c r="AR5078" s="3" t="s">
        <v>62</v>
      </c>
      <c r="AS5078" s="3" t="s">
        <v>62</v>
      </c>
      <c r="AT5078" s="3" t="s">
        <v>62</v>
      </c>
      <c r="AV5078" s="6" t="str">
        <f>HYPERLINK("http://mcgill.on.worldcat.org/oclc/43801027","Catalog Record")</f>
        <v>Catalog Record</v>
      </c>
      <c r="AW5078" s="6" t="str">
        <f>HYPERLINK("http://www.worldcat.org/oclc/43801027","WorldCat Record")</f>
        <v>WorldCat Record</v>
      </c>
      <c r="AX5078" s="3" t="s">
        <v>48765</v>
      </c>
      <c r="AY5078" s="3" t="s">
        <v>48775</v>
      </c>
      <c r="AZ5078" s="3" t="s">
        <v>48776</v>
      </c>
      <c r="BA5078" s="3" t="s">
        <v>48776</v>
      </c>
      <c r="BB5078" s="3" t="s">
        <v>48781</v>
      </c>
      <c r="BC5078" s="3" t="s">
        <v>102</v>
      </c>
      <c r="BD5078" s="3" t="s">
        <v>68</v>
      </c>
      <c r="BE5078" s="3" t="s">
        <v>48778</v>
      </c>
      <c r="BF5078" s="3" t="s">
        <v>48781</v>
      </c>
      <c r="BG5078" s="3" t="s">
        <v>48782</v>
      </c>
    </row>
    <row r="5079" spans="1:59" ht="58" x14ac:dyDescent="0.35">
      <c r="A5079" s="2" t="s">
        <v>89</v>
      </c>
      <c r="B5079" s="2" t="s">
        <v>90</v>
      </c>
      <c r="C5079" s="2" t="s">
        <v>48783</v>
      </c>
      <c r="D5079" s="2" t="s">
        <v>48784</v>
      </c>
      <c r="E5079" s="2" t="s">
        <v>48762</v>
      </c>
      <c r="F5079" s="3" t="s">
        <v>13127</v>
      </c>
      <c r="G5079" s="3" t="s">
        <v>62</v>
      </c>
      <c r="I5079" s="3" t="s">
        <v>62</v>
      </c>
      <c r="J5079" s="3" t="s">
        <v>61</v>
      </c>
      <c r="K5079" s="3" t="s">
        <v>63</v>
      </c>
      <c r="L5079" s="2" t="s">
        <v>48763</v>
      </c>
      <c r="M5079" s="2" t="s">
        <v>22515</v>
      </c>
      <c r="N5079" s="3" t="s">
        <v>640</v>
      </c>
      <c r="O5079" s="2" t="s">
        <v>17018</v>
      </c>
      <c r="P5079" s="3" t="s">
        <v>64</v>
      </c>
      <c r="R5079" s="3" t="s">
        <v>46535</v>
      </c>
      <c r="S5079" s="4">
        <v>31</v>
      </c>
      <c r="T5079" s="4">
        <v>31</v>
      </c>
      <c r="U5079" s="5" t="s">
        <v>43203</v>
      </c>
      <c r="V5079" s="5" t="s">
        <v>43203</v>
      </c>
      <c r="W5079" s="5" t="s">
        <v>67</v>
      </c>
      <c r="X5079" s="5" t="s">
        <v>67</v>
      </c>
      <c r="Y5079" s="4">
        <v>171</v>
      </c>
      <c r="Z5079" s="4">
        <v>15</v>
      </c>
      <c r="AA5079" s="4">
        <v>78</v>
      </c>
      <c r="AB5079" s="4">
        <v>1</v>
      </c>
      <c r="AC5079" s="4">
        <v>11</v>
      </c>
      <c r="AD5079" s="4">
        <v>40</v>
      </c>
      <c r="AE5079" s="4">
        <v>147</v>
      </c>
      <c r="AF5079" s="4">
        <v>0</v>
      </c>
      <c r="AG5079" s="4">
        <v>5</v>
      </c>
      <c r="AH5079" s="4">
        <v>36</v>
      </c>
      <c r="AI5079" s="4">
        <v>111</v>
      </c>
      <c r="AJ5079" s="4">
        <v>10</v>
      </c>
      <c r="AK5079" s="4">
        <v>26</v>
      </c>
      <c r="AL5079" s="4">
        <v>20</v>
      </c>
      <c r="AM5079" s="4">
        <v>60</v>
      </c>
      <c r="AN5079" s="4">
        <v>0</v>
      </c>
      <c r="AO5079" s="4">
        <v>0</v>
      </c>
      <c r="AP5079" s="4">
        <v>10</v>
      </c>
      <c r="AQ5079" s="4">
        <v>44</v>
      </c>
      <c r="AR5079" s="3" t="s">
        <v>62</v>
      </c>
      <c r="AS5079" s="3" t="s">
        <v>62</v>
      </c>
      <c r="AT5079" s="3" t="s">
        <v>62</v>
      </c>
      <c r="AV5079" s="6" t="str">
        <f>HYPERLINK("http://mcgill.on.worldcat.org/oclc/51892543","Catalog Record")</f>
        <v>Catalog Record</v>
      </c>
      <c r="AW5079" s="6" t="str">
        <f>HYPERLINK("http://www.worldcat.org/oclc/51892543","WorldCat Record")</f>
        <v>WorldCat Record</v>
      </c>
      <c r="AX5079" s="3" t="s">
        <v>48765</v>
      </c>
      <c r="AY5079" s="3" t="s">
        <v>48785</v>
      </c>
      <c r="AZ5079" s="3" t="s">
        <v>48786</v>
      </c>
      <c r="BA5079" s="3" t="s">
        <v>48786</v>
      </c>
      <c r="BB5079" s="3" t="s">
        <v>48787</v>
      </c>
      <c r="BC5079" s="3" t="s">
        <v>102</v>
      </c>
      <c r="BD5079" s="3" t="s">
        <v>68</v>
      </c>
      <c r="BE5079" s="3" t="s">
        <v>48788</v>
      </c>
      <c r="BF5079" s="3" t="s">
        <v>48787</v>
      </c>
      <c r="BG5079" s="3" t="s">
        <v>48789</v>
      </c>
    </row>
    <row r="5080" spans="1:59" ht="58" x14ac:dyDescent="0.35">
      <c r="A5080" s="2" t="s">
        <v>89</v>
      </c>
      <c r="B5080" s="2" t="s">
        <v>90</v>
      </c>
      <c r="C5080" s="2" t="s">
        <v>48790</v>
      </c>
      <c r="D5080" s="2" t="s">
        <v>48791</v>
      </c>
      <c r="E5080" s="2" t="s">
        <v>48762</v>
      </c>
      <c r="F5080" s="3" t="s">
        <v>13127</v>
      </c>
      <c r="G5080" s="3" t="s">
        <v>62</v>
      </c>
      <c r="I5080" s="3" t="s">
        <v>61</v>
      </c>
      <c r="J5080" s="3" t="s">
        <v>61</v>
      </c>
      <c r="K5080" s="3" t="s">
        <v>63</v>
      </c>
      <c r="L5080" s="2" t="s">
        <v>48763</v>
      </c>
      <c r="M5080" s="2" t="s">
        <v>48792</v>
      </c>
      <c r="N5080" s="3" t="s">
        <v>655</v>
      </c>
      <c r="O5080" s="2" t="s">
        <v>17030</v>
      </c>
      <c r="P5080" s="3" t="s">
        <v>64</v>
      </c>
      <c r="R5080" s="3" t="s">
        <v>46535</v>
      </c>
      <c r="S5080" s="4">
        <v>81</v>
      </c>
      <c r="T5080" s="4">
        <v>170</v>
      </c>
      <c r="U5080" s="5" t="s">
        <v>7352</v>
      </c>
      <c r="V5080" s="5" t="s">
        <v>43713</v>
      </c>
      <c r="W5080" s="5" t="s">
        <v>67</v>
      </c>
      <c r="X5080" s="5" t="s">
        <v>67</v>
      </c>
      <c r="Y5080" s="4">
        <v>202</v>
      </c>
      <c r="Z5080" s="4">
        <v>16</v>
      </c>
      <c r="AA5080" s="4">
        <v>78</v>
      </c>
      <c r="AB5080" s="4">
        <v>1</v>
      </c>
      <c r="AC5080" s="4">
        <v>11</v>
      </c>
      <c r="AD5080" s="4">
        <v>39</v>
      </c>
      <c r="AE5080" s="4">
        <v>147</v>
      </c>
      <c r="AF5080" s="4">
        <v>0</v>
      </c>
      <c r="AG5080" s="4">
        <v>5</v>
      </c>
      <c r="AH5080" s="4">
        <v>32</v>
      </c>
      <c r="AI5080" s="4">
        <v>111</v>
      </c>
      <c r="AJ5080" s="4">
        <v>9</v>
      </c>
      <c r="AK5080" s="4">
        <v>26</v>
      </c>
      <c r="AL5080" s="4">
        <v>22</v>
      </c>
      <c r="AM5080" s="4">
        <v>60</v>
      </c>
      <c r="AN5080" s="4">
        <v>0</v>
      </c>
      <c r="AO5080" s="4">
        <v>0</v>
      </c>
      <c r="AP5080" s="4">
        <v>11</v>
      </c>
      <c r="AQ5080" s="4">
        <v>44</v>
      </c>
      <c r="AR5080" s="3" t="s">
        <v>62</v>
      </c>
      <c r="AS5080" s="3" t="s">
        <v>62</v>
      </c>
      <c r="AT5080" s="3" t="s">
        <v>62</v>
      </c>
      <c r="AV5080" s="6" t="str">
        <f>HYPERLINK("http://mcgill.on.worldcat.org/oclc/63297953","Catalog Record")</f>
        <v>Catalog Record</v>
      </c>
      <c r="AW5080" s="6" t="str">
        <f>HYPERLINK("http://www.worldcat.org/oclc/63297953","WorldCat Record")</f>
        <v>WorldCat Record</v>
      </c>
      <c r="AX5080" s="3" t="s">
        <v>48765</v>
      </c>
      <c r="AY5080" s="3" t="s">
        <v>48793</v>
      </c>
      <c r="AZ5080" s="3" t="s">
        <v>48794</v>
      </c>
      <c r="BA5080" s="3" t="s">
        <v>48794</v>
      </c>
      <c r="BB5080" s="3" t="s">
        <v>48795</v>
      </c>
      <c r="BC5080" s="3" t="s">
        <v>102</v>
      </c>
      <c r="BD5080" s="3" t="s">
        <v>68</v>
      </c>
      <c r="BE5080" s="3" t="s">
        <v>48796</v>
      </c>
      <c r="BF5080" s="3" t="s">
        <v>48795</v>
      </c>
      <c r="BG5080" s="3" t="s">
        <v>48797</v>
      </c>
    </row>
    <row r="5081" spans="1:59" ht="58" x14ac:dyDescent="0.35">
      <c r="A5081" s="2" t="s">
        <v>89</v>
      </c>
      <c r="B5081" s="2" t="s">
        <v>90</v>
      </c>
      <c r="C5081" s="2" t="s">
        <v>48790</v>
      </c>
      <c r="D5081" s="2" t="s">
        <v>48791</v>
      </c>
      <c r="E5081" s="2" t="s">
        <v>48762</v>
      </c>
      <c r="F5081" s="3" t="s">
        <v>13127</v>
      </c>
      <c r="G5081" s="3" t="s">
        <v>62</v>
      </c>
      <c r="I5081" s="3" t="s">
        <v>61</v>
      </c>
      <c r="J5081" s="3" t="s">
        <v>61</v>
      </c>
      <c r="K5081" s="3" t="s">
        <v>63</v>
      </c>
      <c r="L5081" s="2" t="s">
        <v>48763</v>
      </c>
      <c r="M5081" s="2" t="s">
        <v>48792</v>
      </c>
      <c r="N5081" s="3" t="s">
        <v>655</v>
      </c>
      <c r="O5081" s="2" t="s">
        <v>17030</v>
      </c>
      <c r="P5081" s="3" t="s">
        <v>64</v>
      </c>
      <c r="R5081" s="3" t="s">
        <v>46535</v>
      </c>
      <c r="S5081" s="4">
        <v>38</v>
      </c>
      <c r="T5081" s="4">
        <v>170</v>
      </c>
      <c r="U5081" s="5" t="s">
        <v>48357</v>
      </c>
      <c r="V5081" s="5" t="s">
        <v>43713</v>
      </c>
      <c r="W5081" s="5" t="s">
        <v>67</v>
      </c>
      <c r="X5081" s="5" t="s">
        <v>67</v>
      </c>
      <c r="Y5081" s="4">
        <v>202</v>
      </c>
      <c r="Z5081" s="4">
        <v>16</v>
      </c>
      <c r="AA5081" s="4">
        <v>78</v>
      </c>
      <c r="AB5081" s="4">
        <v>1</v>
      </c>
      <c r="AC5081" s="4">
        <v>11</v>
      </c>
      <c r="AD5081" s="4">
        <v>39</v>
      </c>
      <c r="AE5081" s="4">
        <v>147</v>
      </c>
      <c r="AF5081" s="4">
        <v>0</v>
      </c>
      <c r="AG5081" s="4">
        <v>5</v>
      </c>
      <c r="AH5081" s="4">
        <v>32</v>
      </c>
      <c r="AI5081" s="4">
        <v>111</v>
      </c>
      <c r="AJ5081" s="4">
        <v>9</v>
      </c>
      <c r="AK5081" s="4">
        <v>26</v>
      </c>
      <c r="AL5081" s="4">
        <v>22</v>
      </c>
      <c r="AM5081" s="4">
        <v>60</v>
      </c>
      <c r="AN5081" s="4">
        <v>0</v>
      </c>
      <c r="AO5081" s="4">
        <v>0</v>
      </c>
      <c r="AP5081" s="4">
        <v>11</v>
      </c>
      <c r="AQ5081" s="4">
        <v>44</v>
      </c>
      <c r="AR5081" s="3" t="s">
        <v>62</v>
      </c>
      <c r="AS5081" s="3" t="s">
        <v>62</v>
      </c>
      <c r="AT5081" s="3" t="s">
        <v>62</v>
      </c>
      <c r="AV5081" s="6" t="str">
        <f>HYPERLINK("http://mcgill.on.worldcat.org/oclc/63297953","Catalog Record")</f>
        <v>Catalog Record</v>
      </c>
      <c r="AW5081" s="6" t="str">
        <f>HYPERLINK("http://www.worldcat.org/oclc/63297953","WorldCat Record")</f>
        <v>WorldCat Record</v>
      </c>
      <c r="AX5081" s="3" t="s">
        <v>48765</v>
      </c>
      <c r="AY5081" s="3" t="s">
        <v>48793</v>
      </c>
      <c r="AZ5081" s="3" t="s">
        <v>48794</v>
      </c>
      <c r="BA5081" s="3" t="s">
        <v>48794</v>
      </c>
      <c r="BB5081" s="3" t="s">
        <v>48798</v>
      </c>
      <c r="BC5081" s="3" t="s">
        <v>102</v>
      </c>
      <c r="BD5081" s="3" t="s">
        <v>68</v>
      </c>
      <c r="BE5081" s="3" t="s">
        <v>48796</v>
      </c>
      <c r="BF5081" s="3" t="s">
        <v>48798</v>
      </c>
      <c r="BG5081" s="3" t="s">
        <v>48799</v>
      </c>
    </row>
    <row r="5082" spans="1:59" ht="58" x14ac:dyDescent="0.35">
      <c r="A5082" s="2" t="s">
        <v>89</v>
      </c>
      <c r="B5082" s="2" t="s">
        <v>90</v>
      </c>
      <c r="C5082" s="2" t="s">
        <v>48790</v>
      </c>
      <c r="D5082" s="2" t="s">
        <v>48791</v>
      </c>
      <c r="E5082" s="2" t="s">
        <v>48762</v>
      </c>
      <c r="F5082" s="3" t="s">
        <v>31366</v>
      </c>
      <c r="G5082" s="3" t="s">
        <v>62</v>
      </c>
      <c r="I5082" s="3" t="s">
        <v>61</v>
      </c>
      <c r="J5082" s="3" t="s">
        <v>61</v>
      </c>
      <c r="K5082" s="3" t="s">
        <v>63</v>
      </c>
      <c r="L5082" s="2" t="s">
        <v>48763</v>
      </c>
      <c r="M5082" s="2" t="s">
        <v>48792</v>
      </c>
      <c r="N5082" s="3" t="s">
        <v>655</v>
      </c>
      <c r="O5082" s="2" t="s">
        <v>17030</v>
      </c>
      <c r="P5082" s="3" t="s">
        <v>64</v>
      </c>
      <c r="R5082" s="3" t="s">
        <v>46535</v>
      </c>
      <c r="S5082" s="4">
        <v>2</v>
      </c>
      <c r="T5082" s="4">
        <v>170</v>
      </c>
      <c r="U5082" s="5" t="s">
        <v>43713</v>
      </c>
      <c r="V5082" s="5" t="s">
        <v>43713</v>
      </c>
      <c r="W5082" s="5" t="s">
        <v>67</v>
      </c>
      <c r="X5082" s="5" t="s">
        <v>67</v>
      </c>
      <c r="Y5082" s="4">
        <v>202</v>
      </c>
      <c r="Z5082" s="4">
        <v>16</v>
      </c>
      <c r="AA5082" s="4">
        <v>78</v>
      </c>
      <c r="AB5082" s="4">
        <v>1</v>
      </c>
      <c r="AC5082" s="4">
        <v>11</v>
      </c>
      <c r="AD5082" s="4">
        <v>39</v>
      </c>
      <c r="AE5082" s="4">
        <v>147</v>
      </c>
      <c r="AF5082" s="4">
        <v>0</v>
      </c>
      <c r="AG5082" s="4">
        <v>5</v>
      </c>
      <c r="AH5082" s="4">
        <v>32</v>
      </c>
      <c r="AI5082" s="4">
        <v>111</v>
      </c>
      <c r="AJ5082" s="4">
        <v>9</v>
      </c>
      <c r="AK5082" s="4">
        <v>26</v>
      </c>
      <c r="AL5082" s="4">
        <v>22</v>
      </c>
      <c r="AM5082" s="4">
        <v>60</v>
      </c>
      <c r="AN5082" s="4">
        <v>0</v>
      </c>
      <c r="AO5082" s="4">
        <v>0</v>
      </c>
      <c r="AP5082" s="4">
        <v>11</v>
      </c>
      <c r="AQ5082" s="4">
        <v>44</v>
      </c>
      <c r="AR5082" s="3" t="s">
        <v>62</v>
      </c>
      <c r="AS5082" s="3" t="s">
        <v>62</v>
      </c>
      <c r="AT5082" s="3" t="s">
        <v>62</v>
      </c>
      <c r="AV5082" s="6" t="str">
        <f>HYPERLINK("http://mcgill.on.worldcat.org/oclc/63297953","Catalog Record")</f>
        <v>Catalog Record</v>
      </c>
      <c r="AW5082" s="6" t="str">
        <f>HYPERLINK("http://www.worldcat.org/oclc/63297953","WorldCat Record")</f>
        <v>WorldCat Record</v>
      </c>
      <c r="AX5082" s="3" t="s">
        <v>48765</v>
      </c>
      <c r="AY5082" s="3" t="s">
        <v>48793</v>
      </c>
      <c r="AZ5082" s="3" t="s">
        <v>48794</v>
      </c>
      <c r="BA5082" s="3" t="s">
        <v>48794</v>
      </c>
      <c r="BB5082" s="3" t="s">
        <v>48800</v>
      </c>
      <c r="BC5082" s="3" t="s">
        <v>102</v>
      </c>
      <c r="BD5082" s="3" t="s">
        <v>68</v>
      </c>
      <c r="BE5082" s="3" t="s">
        <v>48796</v>
      </c>
      <c r="BF5082" s="3" t="s">
        <v>48800</v>
      </c>
      <c r="BG5082" s="3" t="s">
        <v>48801</v>
      </c>
    </row>
    <row r="5083" spans="1:59" ht="58" x14ac:dyDescent="0.35">
      <c r="A5083" s="2" t="s">
        <v>89</v>
      </c>
      <c r="B5083" s="2" t="s">
        <v>90</v>
      </c>
      <c r="C5083" s="2" t="s">
        <v>48790</v>
      </c>
      <c r="D5083" s="2" t="s">
        <v>48791</v>
      </c>
      <c r="E5083" s="2" t="s">
        <v>48762</v>
      </c>
      <c r="G5083" s="3" t="s">
        <v>62</v>
      </c>
      <c r="I5083" s="3" t="s">
        <v>61</v>
      </c>
      <c r="J5083" s="3" t="s">
        <v>61</v>
      </c>
      <c r="K5083" s="3" t="s">
        <v>63</v>
      </c>
      <c r="L5083" s="2" t="s">
        <v>48763</v>
      </c>
      <c r="M5083" s="2" t="s">
        <v>48792</v>
      </c>
      <c r="N5083" s="3" t="s">
        <v>655</v>
      </c>
      <c r="O5083" s="2" t="s">
        <v>17030</v>
      </c>
      <c r="P5083" s="3" t="s">
        <v>64</v>
      </c>
      <c r="R5083" s="3" t="s">
        <v>46535</v>
      </c>
      <c r="S5083" s="4">
        <v>16</v>
      </c>
      <c r="T5083" s="4">
        <v>170</v>
      </c>
      <c r="U5083" s="5" t="s">
        <v>9574</v>
      </c>
      <c r="V5083" s="5" t="s">
        <v>43713</v>
      </c>
      <c r="W5083" s="5" t="s">
        <v>67</v>
      </c>
      <c r="X5083" s="5" t="s">
        <v>67</v>
      </c>
      <c r="Y5083" s="4">
        <v>202</v>
      </c>
      <c r="Z5083" s="4">
        <v>16</v>
      </c>
      <c r="AA5083" s="4">
        <v>78</v>
      </c>
      <c r="AB5083" s="4">
        <v>1</v>
      </c>
      <c r="AC5083" s="4">
        <v>11</v>
      </c>
      <c r="AD5083" s="4">
        <v>39</v>
      </c>
      <c r="AE5083" s="4">
        <v>147</v>
      </c>
      <c r="AF5083" s="4">
        <v>0</v>
      </c>
      <c r="AG5083" s="4">
        <v>5</v>
      </c>
      <c r="AH5083" s="4">
        <v>32</v>
      </c>
      <c r="AI5083" s="4">
        <v>111</v>
      </c>
      <c r="AJ5083" s="4">
        <v>9</v>
      </c>
      <c r="AK5083" s="4">
        <v>26</v>
      </c>
      <c r="AL5083" s="4">
        <v>22</v>
      </c>
      <c r="AM5083" s="4">
        <v>60</v>
      </c>
      <c r="AN5083" s="4">
        <v>0</v>
      </c>
      <c r="AO5083" s="4">
        <v>0</v>
      </c>
      <c r="AP5083" s="4">
        <v>11</v>
      </c>
      <c r="AQ5083" s="4">
        <v>44</v>
      </c>
      <c r="AR5083" s="3" t="s">
        <v>62</v>
      </c>
      <c r="AS5083" s="3" t="s">
        <v>62</v>
      </c>
      <c r="AT5083" s="3" t="s">
        <v>62</v>
      </c>
      <c r="AV5083" s="6" t="str">
        <f>HYPERLINK("http://mcgill.on.worldcat.org/oclc/63297953","Catalog Record")</f>
        <v>Catalog Record</v>
      </c>
      <c r="AW5083" s="6" t="str">
        <f>HYPERLINK("http://www.worldcat.org/oclc/63297953","WorldCat Record")</f>
        <v>WorldCat Record</v>
      </c>
      <c r="AX5083" s="3" t="s">
        <v>48765</v>
      </c>
      <c r="AY5083" s="3" t="s">
        <v>48793</v>
      </c>
      <c r="AZ5083" s="3" t="s">
        <v>48794</v>
      </c>
      <c r="BA5083" s="3" t="s">
        <v>48794</v>
      </c>
      <c r="BB5083" s="3" t="s">
        <v>48802</v>
      </c>
      <c r="BC5083" s="3" t="s">
        <v>102</v>
      </c>
      <c r="BD5083" s="3" t="s">
        <v>68</v>
      </c>
      <c r="BE5083" s="3" t="s">
        <v>48796</v>
      </c>
      <c r="BF5083" s="3" t="s">
        <v>48802</v>
      </c>
      <c r="BG5083" s="3" t="s">
        <v>48803</v>
      </c>
    </row>
    <row r="5084" spans="1:59" ht="58" x14ac:dyDescent="0.35">
      <c r="A5084" s="2" t="s">
        <v>89</v>
      </c>
      <c r="B5084" s="2" t="s">
        <v>90</v>
      </c>
      <c r="C5084" s="2" t="s">
        <v>48804</v>
      </c>
      <c r="D5084" s="2" t="s">
        <v>48805</v>
      </c>
      <c r="E5084" s="2" t="s">
        <v>48762</v>
      </c>
      <c r="G5084" s="3" t="s">
        <v>62</v>
      </c>
      <c r="I5084" s="3" t="s">
        <v>61</v>
      </c>
      <c r="J5084" s="3" t="s">
        <v>61</v>
      </c>
      <c r="K5084" s="3" t="s">
        <v>63</v>
      </c>
      <c r="L5084" s="2" t="s">
        <v>48763</v>
      </c>
      <c r="M5084" s="2" t="s">
        <v>19907</v>
      </c>
      <c r="N5084" s="3" t="s">
        <v>880</v>
      </c>
      <c r="O5084" s="2" t="s">
        <v>19908</v>
      </c>
      <c r="P5084" s="3" t="s">
        <v>64</v>
      </c>
      <c r="R5084" s="3" t="s">
        <v>46535</v>
      </c>
      <c r="S5084" s="4">
        <v>303</v>
      </c>
      <c r="T5084" s="4">
        <v>1066</v>
      </c>
      <c r="U5084" s="5" t="s">
        <v>6606</v>
      </c>
      <c r="V5084" s="5" t="s">
        <v>6606</v>
      </c>
      <c r="W5084" s="5" t="s">
        <v>67</v>
      </c>
      <c r="X5084" s="5" t="s">
        <v>67</v>
      </c>
      <c r="Y5084" s="4">
        <v>177</v>
      </c>
      <c r="Z5084" s="4">
        <v>13</v>
      </c>
      <c r="AA5084" s="4">
        <v>78</v>
      </c>
      <c r="AB5084" s="4">
        <v>2</v>
      </c>
      <c r="AC5084" s="4">
        <v>11</v>
      </c>
      <c r="AD5084" s="4">
        <v>38</v>
      </c>
      <c r="AE5084" s="4">
        <v>147</v>
      </c>
      <c r="AF5084" s="4">
        <v>1</v>
      </c>
      <c r="AG5084" s="4">
        <v>5</v>
      </c>
      <c r="AH5084" s="4">
        <v>33</v>
      </c>
      <c r="AI5084" s="4">
        <v>111</v>
      </c>
      <c r="AJ5084" s="4">
        <v>7</v>
      </c>
      <c r="AK5084" s="4">
        <v>26</v>
      </c>
      <c r="AL5084" s="4">
        <v>18</v>
      </c>
      <c r="AM5084" s="4">
        <v>60</v>
      </c>
      <c r="AN5084" s="4">
        <v>0</v>
      </c>
      <c r="AO5084" s="4">
        <v>0</v>
      </c>
      <c r="AP5084" s="4">
        <v>9</v>
      </c>
      <c r="AQ5084" s="4">
        <v>44</v>
      </c>
      <c r="AR5084" s="3" t="s">
        <v>62</v>
      </c>
      <c r="AS5084" s="3" t="s">
        <v>62</v>
      </c>
      <c r="AT5084" s="3" t="s">
        <v>61</v>
      </c>
      <c r="AU5084" s="6" t="str">
        <f>HYPERLINK("http://catalog.hathitrust.org/Record/102445659","HathiTrust Record")</f>
        <v>HathiTrust Record</v>
      </c>
      <c r="AV5084" s="6" t="str">
        <f>HYPERLINK("http://mcgill.on.worldcat.org/oclc/263605380","Catalog Record")</f>
        <v>Catalog Record</v>
      </c>
      <c r="AW5084" s="6" t="str">
        <f>HYPERLINK("http://www.worldcat.org/oclc/263605380","WorldCat Record")</f>
        <v>WorldCat Record</v>
      </c>
      <c r="AX5084" s="3" t="s">
        <v>48765</v>
      </c>
      <c r="AY5084" s="3" t="s">
        <v>48806</v>
      </c>
      <c r="AZ5084" s="3" t="s">
        <v>48807</v>
      </c>
      <c r="BA5084" s="3" t="s">
        <v>48807</v>
      </c>
      <c r="BB5084" s="3" t="s">
        <v>48808</v>
      </c>
      <c r="BC5084" s="3" t="s">
        <v>102</v>
      </c>
      <c r="BD5084" s="3" t="s">
        <v>68</v>
      </c>
      <c r="BE5084" s="3" t="s">
        <v>48809</v>
      </c>
      <c r="BF5084" s="3" t="s">
        <v>48808</v>
      </c>
      <c r="BG5084" s="3" t="s">
        <v>48810</v>
      </c>
    </row>
    <row r="5085" spans="1:59" ht="58" x14ac:dyDescent="0.35">
      <c r="A5085" s="2" t="s">
        <v>89</v>
      </c>
      <c r="B5085" s="2" t="s">
        <v>90</v>
      </c>
      <c r="C5085" s="2" t="s">
        <v>48804</v>
      </c>
      <c r="D5085" s="2" t="s">
        <v>48805</v>
      </c>
      <c r="E5085" s="2" t="s">
        <v>48762</v>
      </c>
      <c r="G5085" s="3" t="s">
        <v>62</v>
      </c>
      <c r="I5085" s="3" t="s">
        <v>61</v>
      </c>
      <c r="J5085" s="3" t="s">
        <v>61</v>
      </c>
      <c r="K5085" s="3" t="s">
        <v>63</v>
      </c>
      <c r="L5085" s="2" t="s">
        <v>48763</v>
      </c>
      <c r="M5085" s="2" t="s">
        <v>19907</v>
      </c>
      <c r="N5085" s="3" t="s">
        <v>880</v>
      </c>
      <c r="O5085" s="2" t="s">
        <v>19908</v>
      </c>
      <c r="P5085" s="3" t="s">
        <v>64</v>
      </c>
      <c r="R5085" s="3" t="s">
        <v>46535</v>
      </c>
      <c r="S5085" s="4">
        <v>274</v>
      </c>
      <c r="T5085" s="4">
        <v>1066</v>
      </c>
      <c r="U5085" s="5" t="s">
        <v>23566</v>
      </c>
      <c r="V5085" s="5" t="s">
        <v>6606</v>
      </c>
      <c r="W5085" s="5" t="s">
        <v>67</v>
      </c>
      <c r="X5085" s="5" t="s">
        <v>67</v>
      </c>
      <c r="Y5085" s="4">
        <v>177</v>
      </c>
      <c r="Z5085" s="4">
        <v>13</v>
      </c>
      <c r="AA5085" s="4">
        <v>78</v>
      </c>
      <c r="AB5085" s="4">
        <v>2</v>
      </c>
      <c r="AC5085" s="4">
        <v>11</v>
      </c>
      <c r="AD5085" s="4">
        <v>38</v>
      </c>
      <c r="AE5085" s="4">
        <v>147</v>
      </c>
      <c r="AF5085" s="4">
        <v>1</v>
      </c>
      <c r="AG5085" s="4">
        <v>5</v>
      </c>
      <c r="AH5085" s="4">
        <v>33</v>
      </c>
      <c r="AI5085" s="4">
        <v>111</v>
      </c>
      <c r="AJ5085" s="4">
        <v>7</v>
      </c>
      <c r="AK5085" s="4">
        <v>26</v>
      </c>
      <c r="AL5085" s="4">
        <v>18</v>
      </c>
      <c r="AM5085" s="4">
        <v>60</v>
      </c>
      <c r="AN5085" s="4">
        <v>0</v>
      </c>
      <c r="AO5085" s="4">
        <v>0</v>
      </c>
      <c r="AP5085" s="4">
        <v>9</v>
      </c>
      <c r="AQ5085" s="4">
        <v>44</v>
      </c>
      <c r="AR5085" s="3" t="s">
        <v>62</v>
      </c>
      <c r="AS5085" s="3" t="s">
        <v>62</v>
      </c>
      <c r="AT5085" s="3" t="s">
        <v>61</v>
      </c>
      <c r="AU5085" s="6" t="str">
        <f>HYPERLINK("http://catalog.hathitrust.org/Record/102445659","HathiTrust Record")</f>
        <v>HathiTrust Record</v>
      </c>
      <c r="AV5085" s="6" t="str">
        <f>HYPERLINK("http://mcgill.on.worldcat.org/oclc/263605380","Catalog Record")</f>
        <v>Catalog Record</v>
      </c>
      <c r="AW5085" s="6" t="str">
        <f>HYPERLINK("http://www.worldcat.org/oclc/263605380","WorldCat Record")</f>
        <v>WorldCat Record</v>
      </c>
      <c r="AX5085" s="3" t="s">
        <v>48765</v>
      </c>
      <c r="AY5085" s="3" t="s">
        <v>48806</v>
      </c>
      <c r="AZ5085" s="3" t="s">
        <v>48807</v>
      </c>
      <c r="BA5085" s="3" t="s">
        <v>48807</v>
      </c>
      <c r="BB5085" s="3" t="s">
        <v>48811</v>
      </c>
      <c r="BC5085" s="3" t="s">
        <v>102</v>
      </c>
      <c r="BD5085" s="3" t="s">
        <v>68</v>
      </c>
      <c r="BE5085" s="3" t="s">
        <v>48809</v>
      </c>
      <c r="BF5085" s="3" t="s">
        <v>48811</v>
      </c>
      <c r="BG5085" s="3" t="s">
        <v>48812</v>
      </c>
    </row>
    <row r="5086" spans="1:59" ht="58" x14ac:dyDescent="0.35">
      <c r="A5086" s="2" t="s">
        <v>89</v>
      </c>
      <c r="B5086" s="2" t="s">
        <v>90</v>
      </c>
      <c r="C5086" s="2" t="s">
        <v>48804</v>
      </c>
      <c r="D5086" s="2" t="s">
        <v>48805</v>
      </c>
      <c r="E5086" s="2" t="s">
        <v>48762</v>
      </c>
      <c r="G5086" s="3" t="s">
        <v>62</v>
      </c>
      <c r="I5086" s="3" t="s">
        <v>61</v>
      </c>
      <c r="J5086" s="3" t="s">
        <v>61</v>
      </c>
      <c r="K5086" s="3" t="s">
        <v>63</v>
      </c>
      <c r="L5086" s="2" t="s">
        <v>48763</v>
      </c>
      <c r="M5086" s="2" t="s">
        <v>19907</v>
      </c>
      <c r="N5086" s="3" t="s">
        <v>880</v>
      </c>
      <c r="O5086" s="2" t="s">
        <v>19908</v>
      </c>
      <c r="P5086" s="3" t="s">
        <v>64</v>
      </c>
      <c r="R5086" s="3" t="s">
        <v>46535</v>
      </c>
      <c r="S5086" s="4">
        <v>193</v>
      </c>
      <c r="T5086" s="4">
        <v>1066</v>
      </c>
      <c r="U5086" s="5" t="s">
        <v>48813</v>
      </c>
      <c r="V5086" s="5" t="s">
        <v>6606</v>
      </c>
      <c r="W5086" s="5" t="s">
        <v>67</v>
      </c>
      <c r="X5086" s="5" t="s">
        <v>67</v>
      </c>
      <c r="Y5086" s="4">
        <v>177</v>
      </c>
      <c r="Z5086" s="4">
        <v>13</v>
      </c>
      <c r="AA5086" s="4">
        <v>78</v>
      </c>
      <c r="AB5086" s="4">
        <v>2</v>
      </c>
      <c r="AC5086" s="4">
        <v>11</v>
      </c>
      <c r="AD5086" s="4">
        <v>38</v>
      </c>
      <c r="AE5086" s="4">
        <v>147</v>
      </c>
      <c r="AF5086" s="4">
        <v>1</v>
      </c>
      <c r="AG5086" s="4">
        <v>5</v>
      </c>
      <c r="AH5086" s="4">
        <v>33</v>
      </c>
      <c r="AI5086" s="4">
        <v>111</v>
      </c>
      <c r="AJ5086" s="4">
        <v>7</v>
      </c>
      <c r="AK5086" s="4">
        <v>26</v>
      </c>
      <c r="AL5086" s="4">
        <v>18</v>
      </c>
      <c r="AM5086" s="4">
        <v>60</v>
      </c>
      <c r="AN5086" s="4">
        <v>0</v>
      </c>
      <c r="AO5086" s="4">
        <v>0</v>
      </c>
      <c r="AP5086" s="4">
        <v>9</v>
      </c>
      <c r="AQ5086" s="4">
        <v>44</v>
      </c>
      <c r="AR5086" s="3" t="s">
        <v>62</v>
      </c>
      <c r="AS5086" s="3" t="s">
        <v>62</v>
      </c>
      <c r="AT5086" s="3" t="s">
        <v>61</v>
      </c>
      <c r="AU5086" s="6" t="str">
        <f>HYPERLINK("http://catalog.hathitrust.org/Record/102445659","HathiTrust Record")</f>
        <v>HathiTrust Record</v>
      </c>
      <c r="AV5086" s="6" t="str">
        <f>HYPERLINK("http://mcgill.on.worldcat.org/oclc/263605380","Catalog Record")</f>
        <v>Catalog Record</v>
      </c>
      <c r="AW5086" s="6" t="str">
        <f>HYPERLINK("http://www.worldcat.org/oclc/263605380","WorldCat Record")</f>
        <v>WorldCat Record</v>
      </c>
      <c r="AX5086" s="3" t="s">
        <v>48765</v>
      </c>
      <c r="AY5086" s="3" t="s">
        <v>48806</v>
      </c>
      <c r="AZ5086" s="3" t="s">
        <v>48807</v>
      </c>
      <c r="BA5086" s="3" t="s">
        <v>48807</v>
      </c>
      <c r="BB5086" s="3" t="s">
        <v>48814</v>
      </c>
      <c r="BC5086" s="3" t="s">
        <v>102</v>
      </c>
      <c r="BD5086" s="3" t="s">
        <v>68</v>
      </c>
      <c r="BE5086" s="3" t="s">
        <v>48809</v>
      </c>
      <c r="BF5086" s="3" t="s">
        <v>48814</v>
      </c>
      <c r="BG5086" s="3" t="s">
        <v>48815</v>
      </c>
    </row>
    <row r="5087" spans="1:59" ht="101.5" x14ac:dyDescent="0.35">
      <c r="A5087" s="2" t="s">
        <v>89</v>
      </c>
      <c r="B5087" s="2" t="s">
        <v>12301</v>
      </c>
      <c r="C5087" s="2" t="s">
        <v>48816</v>
      </c>
      <c r="D5087" s="2" t="s">
        <v>48817</v>
      </c>
      <c r="E5087" s="2" t="s">
        <v>48762</v>
      </c>
      <c r="G5087" s="3" t="s">
        <v>62</v>
      </c>
      <c r="I5087" s="3" t="s">
        <v>61</v>
      </c>
      <c r="J5087" s="3" t="s">
        <v>61</v>
      </c>
      <c r="K5087" s="3" t="s">
        <v>63</v>
      </c>
      <c r="L5087" s="2" t="s">
        <v>48818</v>
      </c>
      <c r="M5087" s="2" t="s">
        <v>29895</v>
      </c>
      <c r="N5087" s="3" t="s">
        <v>129</v>
      </c>
      <c r="O5087" s="2" t="s">
        <v>32813</v>
      </c>
      <c r="P5087" s="3" t="s">
        <v>64</v>
      </c>
      <c r="R5087" s="3" t="s">
        <v>46535</v>
      </c>
      <c r="S5087" s="4">
        <v>23</v>
      </c>
      <c r="T5087" s="4">
        <v>105</v>
      </c>
      <c r="U5087" s="5" t="s">
        <v>6594</v>
      </c>
      <c r="V5087" s="5" t="s">
        <v>6594</v>
      </c>
      <c r="W5087" s="5" t="s">
        <v>67</v>
      </c>
      <c r="X5087" s="5" t="s">
        <v>67</v>
      </c>
      <c r="Y5087" s="4">
        <v>157</v>
      </c>
      <c r="Z5087" s="4">
        <v>9</v>
      </c>
      <c r="AA5087" s="4">
        <v>78</v>
      </c>
      <c r="AB5087" s="4">
        <v>1</v>
      </c>
      <c r="AC5087" s="4">
        <v>11</v>
      </c>
      <c r="AD5087" s="4">
        <v>36</v>
      </c>
      <c r="AE5087" s="4">
        <v>147</v>
      </c>
      <c r="AF5087" s="4">
        <v>0</v>
      </c>
      <c r="AG5087" s="4">
        <v>5</v>
      </c>
      <c r="AH5087" s="4">
        <v>34</v>
      </c>
      <c r="AI5087" s="4">
        <v>111</v>
      </c>
      <c r="AJ5087" s="4">
        <v>4</v>
      </c>
      <c r="AK5087" s="4">
        <v>26</v>
      </c>
      <c r="AL5087" s="4">
        <v>21</v>
      </c>
      <c r="AM5087" s="4">
        <v>60</v>
      </c>
      <c r="AN5087" s="4">
        <v>0</v>
      </c>
      <c r="AO5087" s="4">
        <v>0</v>
      </c>
      <c r="AP5087" s="4">
        <v>4</v>
      </c>
      <c r="AQ5087" s="4">
        <v>44</v>
      </c>
      <c r="AR5087" s="3" t="s">
        <v>62</v>
      </c>
      <c r="AS5087" s="3" t="s">
        <v>62</v>
      </c>
      <c r="AT5087" s="3" t="s">
        <v>62</v>
      </c>
      <c r="AV5087" s="6" t="str">
        <f>HYPERLINK("http://mcgill.on.worldcat.org/oclc/769818904","Catalog Record")</f>
        <v>Catalog Record</v>
      </c>
      <c r="AW5087" s="6" t="str">
        <f>HYPERLINK("http://www.worldcat.org/oclc/769818904","WorldCat Record")</f>
        <v>WorldCat Record</v>
      </c>
      <c r="AX5087" s="3" t="s">
        <v>48765</v>
      </c>
      <c r="AY5087" s="3" t="s">
        <v>48819</v>
      </c>
      <c r="AZ5087" s="3" t="s">
        <v>48820</v>
      </c>
      <c r="BA5087" s="3" t="s">
        <v>48820</v>
      </c>
      <c r="BB5087" s="3" t="s">
        <v>48821</v>
      </c>
      <c r="BC5087" s="3" t="s">
        <v>102</v>
      </c>
      <c r="BD5087" s="3" t="s">
        <v>68</v>
      </c>
      <c r="BE5087" s="3" t="s">
        <v>48822</v>
      </c>
      <c r="BF5087" s="3" t="s">
        <v>48821</v>
      </c>
      <c r="BG5087" s="3" t="s">
        <v>48823</v>
      </c>
    </row>
    <row r="5088" spans="1:59" ht="101.5" x14ac:dyDescent="0.35">
      <c r="A5088" s="2" t="s">
        <v>89</v>
      </c>
      <c r="B5088" s="2" t="s">
        <v>12301</v>
      </c>
      <c r="C5088" s="2" t="s">
        <v>48816</v>
      </c>
      <c r="D5088" s="2" t="s">
        <v>48817</v>
      </c>
      <c r="E5088" s="2" t="s">
        <v>48762</v>
      </c>
      <c r="G5088" s="3" t="s">
        <v>62</v>
      </c>
      <c r="I5088" s="3" t="s">
        <v>61</v>
      </c>
      <c r="J5088" s="3" t="s">
        <v>61</v>
      </c>
      <c r="K5088" s="3" t="s">
        <v>63</v>
      </c>
      <c r="L5088" s="2" t="s">
        <v>48818</v>
      </c>
      <c r="M5088" s="2" t="s">
        <v>29895</v>
      </c>
      <c r="N5088" s="3" t="s">
        <v>129</v>
      </c>
      <c r="O5088" s="2" t="s">
        <v>32813</v>
      </c>
      <c r="P5088" s="3" t="s">
        <v>64</v>
      </c>
      <c r="R5088" s="3" t="s">
        <v>46535</v>
      </c>
      <c r="S5088" s="4">
        <v>16</v>
      </c>
      <c r="T5088" s="4">
        <v>105</v>
      </c>
      <c r="U5088" s="5" t="s">
        <v>46106</v>
      </c>
      <c r="V5088" s="5" t="s">
        <v>6594</v>
      </c>
      <c r="W5088" s="5" t="s">
        <v>67</v>
      </c>
      <c r="X5088" s="5" t="s">
        <v>67</v>
      </c>
      <c r="Y5088" s="4">
        <v>157</v>
      </c>
      <c r="Z5088" s="4">
        <v>9</v>
      </c>
      <c r="AA5088" s="4">
        <v>78</v>
      </c>
      <c r="AB5088" s="4">
        <v>1</v>
      </c>
      <c r="AC5088" s="4">
        <v>11</v>
      </c>
      <c r="AD5088" s="4">
        <v>36</v>
      </c>
      <c r="AE5088" s="4">
        <v>147</v>
      </c>
      <c r="AF5088" s="4">
        <v>0</v>
      </c>
      <c r="AG5088" s="4">
        <v>5</v>
      </c>
      <c r="AH5088" s="4">
        <v>34</v>
      </c>
      <c r="AI5088" s="4">
        <v>111</v>
      </c>
      <c r="AJ5088" s="4">
        <v>4</v>
      </c>
      <c r="AK5088" s="4">
        <v>26</v>
      </c>
      <c r="AL5088" s="4">
        <v>21</v>
      </c>
      <c r="AM5088" s="4">
        <v>60</v>
      </c>
      <c r="AN5088" s="4">
        <v>0</v>
      </c>
      <c r="AO5088" s="4">
        <v>0</v>
      </c>
      <c r="AP5088" s="4">
        <v>4</v>
      </c>
      <c r="AQ5088" s="4">
        <v>44</v>
      </c>
      <c r="AR5088" s="3" t="s">
        <v>62</v>
      </c>
      <c r="AS5088" s="3" t="s">
        <v>62</v>
      </c>
      <c r="AT5088" s="3" t="s">
        <v>62</v>
      </c>
      <c r="AV5088" s="6" t="str">
        <f>HYPERLINK("http://mcgill.on.worldcat.org/oclc/769818904","Catalog Record")</f>
        <v>Catalog Record</v>
      </c>
      <c r="AW5088" s="6" t="str">
        <f>HYPERLINK("http://www.worldcat.org/oclc/769818904","WorldCat Record")</f>
        <v>WorldCat Record</v>
      </c>
      <c r="AX5088" s="3" t="s">
        <v>48765</v>
      </c>
      <c r="AY5088" s="3" t="s">
        <v>48819</v>
      </c>
      <c r="AZ5088" s="3" t="s">
        <v>48820</v>
      </c>
      <c r="BA5088" s="3" t="s">
        <v>48820</v>
      </c>
      <c r="BB5088" s="3" t="s">
        <v>48824</v>
      </c>
      <c r="BC5088" s="3" t="s">
        <v>102</v>
      </c>
      <c r="BD5088" s="3" t="s">
        <v>68</v>
      </c>
      <c r="BE5088" s="3" t="s">
        <v>48822</v>
      </c>
      <c r="BF5088" s="3" t="s">
        <v>48824</v>
      </c>
      <c r="BG5088" s="3" t="s">
        <v>48825</v>
      </c>
    </row>
    <row r="5089" spans="1:59" ht="101.5" x14ac:dyDescent="0.35">
      <c r="A5089" s="2" t="s">
        <v>89</v>
      </c>
      <c r="B5089" s="2" t="s">
        <v>12301</v>
      </c>
      <c r="C5089" s="2" t="s">
        <v>48816</v>
      </c>
      <c r="D5089" s="2" t="s">
        <v>48817</v>
      </c>
      <c r="E5089" s="2" t="s">
        <v>48762</v>
      </c>
      <c r="G5089" s="3" t="s">
        <v>62</v>
      </c>
      <c r="I5089" s="3" t="s">
        <v>61</v>
      </c>
      <c r="J5089" s="3" t="s">
        <v>61</v>
      </c>
      <c r="K5089" s="3" t="s">
        <v>63</v>
      </c>
      <c r="L5089" s="2" t="s">
        <v>48818</v>
      </c>
      <c r="M5089" s="2" t="s">
        <v>29895</v>
      </c>
      <c r="N5089" s="3" t="s">
        <v>129</v>
      </c>
      <c r="O5089" s="2" t="s">
        <v>32813</v>
      </c>
      <c r="P5089" s="3" t="s">
        <v>64</v>
      </c>
      <c r="R5089" s="3" t="s">
        <v>46535</v>
      </c>
      <c r="S5089" s="4">
        <v>14</v>
      </c>
      <c r="T5089" s="4">
        <v>105</v>
      </c>
      <c r="U5089" s="5" t="s">
        <v>41764</v>
      </c>
      <c r="V5089" s="5" t="s">
        <v>6594</v>
      </c>
      <c r="W5089" s="5" t="s">
        <v>67</v>
      </c>
      <c r="X5089" s="5" t="s">
        <v>67</v>
      </c>
      <c r="Y5089" s="4">
        <v>157</v>
      </c>
      <c r="Z5089" s="4">
        <v>9</v>
      </c>
      <c r="AA5089" s="4">
        <v>78</v>
      </c>
      <c r="AB5089" s="4">
        <v>1</v>
      </c>
      <c r="AC5089" s="4">
        <v>11</v>
      </c>
      <c r="AD5089" s="4">
        <v>36</v>
      </c>
      <c r="AE5089" s="4">
        <v>147</v>
      </c>
      <c r="AF5089" s="4">
        <v>0</v>
      </c>
      <c r="AG5089" s="4">
        <v>5</v>
      </c>
      <c r="AH5089" s="4">
        <v>34</v>
      </c>
      <c r="AI5089" s="4">
        <v>111</v>
      </c>
      <c r="AJ5089" s="4">
        <v>4</v>
      </c>
      <c r="AK5089" s="4">
        <v>26</v>
      </c>
      <c r="AL5089" s="4">
        <v>21</v>
      </c>
      <c r="AM5089" s="4">
        <v>60</v>
      </c>
      <c r="AN5089" s="4">
        <v>0</v>
      </c>
      <c r="AO5089" s="4">
        <v>0</v>
      </c>
      <c r="AP5089" s="4">
        <v>4</v>
      </c>
      <c r="AQ5089" s="4">
        <v>44</v>
      </c>
      <c r="AR5089" s="3" t="s">
        <v>62</v>
      </c>
      <c r="AS5089" s="3" t="s">
        <v>62</v>
      </c>
      <c r="AT5089" s="3" t="s">
        <v>62</v>
      </c>
      <c r="AV5089" s="6" t="str">
        <f>HYPERLINK("http://mcgill.on.worldcat.org/oclc/769818904","Catalog Record")</f>
        <v>Catalog Record</v>
      </c>
      <c r="AW5089" s="6" t="str">
        <f>HYPERLINK("http://www.worldcat.org/oclc/769818904","WorldCat Record")</f>
        <v>WorldCat Record</v>
      </c>
      <c r="AX5089" s="3" t="s">
        <v>48765</v>
      </c>
      <c r="AY5089" s="3" t="s">
        <v>48819</v>
      </c>
      <c r="AZ5089" s="3" t="s">
        <v>48820</v>
      </c>
      <c r="BA5089" s="3" t="s">
        <v>48820</v>
      </c>
      <c r="BB5089" s="3" t="s">
        <v>48826</v>
      </c>
      <c r="BC5089" s="3" t="s">
        <v>102</v>
      </c>
      <c r="BD5089" s="3" t="s">
        <v>68</v>
      </c>
      <c r="BE5089" s="3" t="s">
        <v>48822</v>
      </c>
      <c r="BF5089" s="3" t="s">
        <v>48826</v>
      </c>
      <c r="BG5089" s="3" t="s">
        <v>48827</v>
      </c>
    </row>
    <row r="5090" spans="1:59" ht="101.5" x14ac:dyDescent="0.35">
      <c r="A5090" s="2" t="s">
        <v>89</v>
      </c>
      <c r="B5090" s="2" t="s">
        <v>12301</v>
      </c>
      <c r="C5090" s="2" t="s">
        <v>48816</v>
      </c>
      <c r="D5090" s="2" t="s">
        <v>48817</v>
      </c>
      <c r="E5090" s="2" t="s">
        <v>48762</v>
      </c>
      <c r="G5090" s="3" t="s">
        <v>62</v>
      </c>
      <c r="I5090" s="3" t="s">
        <v>61</v>
      </c>
      <c r="J5090" s="3" t="s">
        <v>61</v>
      </c>
      <c r="K5090" s="3" t="s">
        <v>63</v>
      </c>
      <c r="L5090" s="2" t="s">
        <v>48818</v>
      </c>
      <c r="M5090" s="2" t="s">
        <v>29895</v>
      </c>
      <c r="N5090" s="3" t="s">
        <v>129</v>
      </c>
      <c r="O5090" s="2" t="s">
        <v>32813</v>
      </c>
      <c r="P5090" s="3" t="s">
        <v>64</v>
      </c>
      <c r="R5090" s="3" t="s">
        <v>46535</v>
      </c>
      <c r="S5090" s="4">
        <v>52</v>
      </c>
      <c r="T5090" s="4">
        <v>105</v>
      </c>
      <c r="U5090" s="5" t="s">
        <v>15100</v>
      </c>
      <c r="V5090" s="5" t="s">
        <v>6594</v>
      </c>
      <c r="W5090" s="5" t="s">
        <v>67</v>
      </c>
      <c r="X5090" s="5" t="s">
        <v>67</v>
      </c>
      <c r="Y5090" s="4">
        <v>157</v>
      </c>
      <c r="Z5090" s="4">
        <v>9</v>
      </c>
      <c r="AA5090" s="4">
        <v>78</v>
      </c>
      <c r="AB5090" s="4">
        <v>1</v>
      </c>
      <c r="AC5090" s="4">
        <v>11</v>
      </c>
      <c r="AD5090" s="4">
        <v>36</v>
      </c>
      <c r="AE5090" s="4">
        <v>147</v>
      </c>
      <c r="AF5090" s="4">
        <v>0</v>
      </c>
      <c r="AG5090" s="4">
        <v>5</v>
      </c>
      <c r="AH5090" s="4">
        <v>34</v>
      </c>
      <c r="AI5090" s="4">
        <v>111</v>
      </c>
      <c r="AJ5090" s="4">
        <v>4</v>
      </c>
      <c r="AK5090" s="4">
        <v>26</v>
      </c>
      <c r="AL5090" s="4">
        <v>21</v>
      </c>
      <c r="AM5090" s="4">
        <v>60</v>
      </c>
      <c r="AN5090" s="4">
        <v>0</v>
      </c>
      <c r="AO5090" s="4">
        <v>0</v>
      </c>
      <c r="AP5090" s="4">
        <v>4</v>
      </c>
      <c r="AQ5090" s="4">
        <v>44</v>
      </c>
      <c r="AR5090" s="3" t="s">
        <v>62</v>
      </c>
      <c r="AS5090" s="3" t="s">
        <v>62</v>
      </c>
      <c r="AT5090" s="3" t="s">
        <v>62</v>
      </c>
      <c r="AV5090" s="6" t="str">
        <f>HYPERLINK("http://mcgill.on.worldcat.org/oclc/769818904","Catalog Record")</f>
        <v>Catalog Record</v>
      </c>
      <c r="AW5090" s="6" t="str">
        <f>HYPERLINK("http://www.worldcat.org/oclc/769818904","WorldCat Record")</f>
        <v>WorldCat Record</v>
      </c>
      <c r="AX5090" s="3" t="s">
        <v>48765</v>
      </c>
      <c r="AY5090" s="3" t="s">
        <v>48819</v>
      </c>
      <c r="AZ5090" s="3" t="s">
        <v>48820</v>
      </c>
      <c r="BA5090" s="3" t="s">
        <v>48820</v>
      </c>
      <c r="BB5090" s="3" t="s">
        <v>48828</v>
      </c>
      <c r="BC5090" s="3" t="s">
        <v>102</v>
      </c>
      <c r="BD5090" s="3" t="s">
        <v>68</v>
      </c>
      <c r="BE5090" s="3" t="s">
        <v>48822</v>
      </c>
      <c r="BF5090" s="3" t="s">
        <v>48828</v>
      </c>
      <c r="BG5090" s="3" t="s">
        <v>48829</v>
      </c>
    </row>
    <row r="5091" spans="1:59" ht="101.5" x14ac:dyDescent="0.35">
      <c r="A5091" s="2" t="s">
        <v>89</v>
      </c>
      <c r="B5091" s="2" t="s">
        <v>12301</v>
      </c>
      <c r="C5091" s="2" t="s">
        <v>48830</v>
      </c>
      <c r="D5091" s="2" t="s">
        <v>48831</v>
      </c>
      <c r="E5091" s="2" t="s">
        <v>48832</v>
      </c>
      <c r="G5091" s="3" t="s">
        <v>62</v>
      </c>
      <c r="I5091" s="3" t="s">
        <v>61</v>
      </c>
      <c r="J5091" s="3" t="s">
        <v>62</v>
      </c>
      <c r="K5091" s="3" t="s">
        <v>63</v>
      </c>
      <c r="L5091" s="2" t="s">
        <v>48833</v>
      </c>
      <c r="M5091" s="2" t="s">
        <v>48834</v>
      </c>
      <c r="N5091" s="3" t="s">
        <v>129</v>
      </c>
      <c r="P5091" s="3" t="s">
        <v>64</v>
      </c>
      <c r="R5091" s="3" t="s">
        <v>46535</v>
      </c>
      <c r="S5091" s="4">
        <v>134</v>
      </c>
      <c r="T5091" s="4">
        <v>518</v>
      </c>
      <c r="U5091" s="5" t="s">
        <v>22007</v>
      </c>
      <c r="V5091" s="5" t="s">
        <v>12842</v>
      </c>
      <c r="W5091" s="5" t="s">
        <v>67</v>
      </c>
      <c r="X5091" s="5" t="s">
        <v>67</v>
      </c>
      <c r="Y5091" s="4">
        <v>5</v>
      </c>
      <c r="Z5091" s="4">
        <v>2</v>
      </c>
      <c r="AA5091" s="4">
        <v>12</v>
      </c>
      <c r="AB5091" s="4">
        <v>1</v>
      </c>
      <c r="AC5091" s="4">
        <v>5</v>
      </c>
      <c r="AD5091" s="4">
        <v>1</v>
      </c>
      <c r="AE5091" s="4">
        <v>37</v>
      </c>
      <c r="AF5091" s="4">
        <v>0</v>
      </c>
      <c r="AG5091" s="4">
        <v>2</v>
      </c>
      <c r="AH5091" s="4">
        <v>1</v>
      </c>
      <c r="AI5091" s="4">
        <v>33</v>
      </c>
      <c r="AJ5091" s="4">
        <v>1</v>
      </c>
      <c r="AK5091" s="4">
        <v>7</v>
      </c>
      <c r="AL5091" s="4">
        <v>0</v>
      </c>
      <c r="AM5091" s="4">
        <v>18</v>
      </c>
      <c r="AN5091" s="4">
        <v>0</v>
      </c>
      <c r="AO5091" s="4">
        <v>0</v>
      </c>
      <c r="AP5091" s="4">
        <v>1</v>
      </c>
      <c r="AQ5091" s="4">
        <v>7</v>
      </c>
      <c r="AR5091" s="3" t="s">
        <v>62</v>
      </c>
      <c r="AS5091" s="3" t="s">
        <v>62</v>
      </c>
      <c r="AT5091" s="3" t="s">
        <v>62</v>
      </c>
      <c r="AV5091" s="6" t="str">
        <f>HYPERLINK("http://mcgill.on.worldcat.org/oclc/846786519","Catalog Record")</f>
        <v>Catalog Record</v>
      </c>
      <c r="AW5091" s="6" t="str">
        <f>HYPERLINK("http://www.worldcat.org/oclc/846786519","WorldCat Record")</f>
        <v>WorldCat Record</v>
      </c>
      <c r="AX5091" s="3" t="s">
        <v>48835</v>
      </c>
      <c r="AY5091" s="3" t="s">
        <v>48836</v>
      </c>
      <c r="AZ5091" s="3" t="s">
        <v>48837</v>
      </c>
      <c r="BA5091" s="3" t="s">
        <v>48837</v>
      </c>
      <c r="BB5091" s="3" t="s">
        <v>48838</v>
      </c>
      <c r="BC5091" s="3" t="s">
        <v>102</v>
      </c>
      <c r="BD5091" s="3" t="s">
        <v>68</v>
      </c>
      <c r="BE5091" s="3" t="s">
        <v>48839</v>
      </c>
      <c r="BF5091" s="3" t="s">
        <v>48838</v>
      </c>
      <c r="BG5091" s="3" t="s">
        <v>48840</v>
      </c>
    </row>
    <row r="5092" spans="1:59" ht="101.5" x14ac:dyDescent="0.35">
      <c r="A5092" s="2" t="s">
        <v>89</v>
      </c>
      <c r="B5092" s="2" t="s">
        <v>12301</v>
      </c>
      <c r="C5092" s="2" t="s">
        <v>48830</v>
      </c>
      <c r="D5092" s="2" t="s">
        <v>48831</v>
      </c>
      <c r="E5092" s="2" t="s">
        <v>48832</v>
      </c>
      <c r="G5092" s="3" t="s">
        <v>62</v>
      </c>
      <c r="I5092" s="3" t="s">
        <v>61</v>
      </c>
      <c r="J5092" s="3" t="s">
        <v>62</v>
      </c>
      <c r="K5092" s="3" t="s">
        <v>63</v>
      </c>
      <c r="L5092" s="2" t="s">
        <v>48833</v>
      </c>
      <c r="M5092" s="2" t="s">
        <v>48834</v>
      </c>
      <c r="N5092" s="3" t="s">
        <v>129</v>
      </c>
      <c r="P5092" s="3" t="s">
        <v>64</v>
      </c>
      <c r="R5092" s="3" t="s">
        <v>46535</v>
      </c>
      <c r="S5092" s="4">
        <v>68</v>
      </c>
      <c r="T5092" s="4">
        <v>518</v>
      </c>
      <c r="U5092" s="5" t="s">
        <v>12842</v>
      </c>
      <c r="V5092" s="5" t="s">
        <v>12842</v>
      </c>
      <c r="W5092" s="5" t="s">
        <v>67</v>
      </c>
      <c r="X5092" s="5" t="s">
        <v>67</v>
      </c>
      <c r="Y5092" s="4">
        <v>5</v>
      </c>
      <c r="Z5092" s="4">
        <v>2</v>
      </c>
      <c r="AA5092" s="4">
        <v>12</v>
      </c>
      <c r="AB5092" s="4">
        <v>1</v>
      </c>
      <c r="AC5092" s="4">
        <v>5</v>
      </c>
      <c r="AD5092" s="4">
        <v>1</v>
      </c>
      <c r="AE5092" s="4">
        <v>37</v>
      </c>
      <c r="AF5092" s="4">
        <v>0</v>
      </c>
      <c r="AG5092" s="4">
        <v>2</v>
      </c>
      <c r="AH5092" s="4">
        <v>1</v>
      </c>
      <c r="AI5092" s="4">
        <v>33</v>
      </c>
      <c r="AJ5092" s="4">
        <v>1</v>
      </c>
      <c r="AK5092" s="4">
        <v>7</v>
      </c>
      <c r="AL5092" s="4">
        <v>0</v>
      </c>
      <c r="AM5092" s="4">
        <v>18</v>
      </c>
      <c r="AN5092" s="4">
        <v>0</v>
      </c>
      <c r="AO5092" s="4">
        <v>0</v>
      </c>
      <c r="AP5092" s="4">
        <v>1</v>
      </c>
      <c r="AQ5092" s="4">
        <v>7</v>
      </c>
      <c r="AR5092" s="3" t="s">
        <v>62</v>
      </c>
      <c r="AS5092" s="3" t="s">
        <v>62</v>
      </c>
      <c r="AT5092" s="3" t="s">
        <v>62</v>
      </c>
      <c r="AV5092" s="6" t="str">
        <f>HYPERLINK("http://mcgill.on.worldcat.org/oclc/846786519","Catalog Record")</f>
        <v>Catalog Record</v>
      </c>
      <c r="AW5092" s="6" t="str">
        <f>HYPERLINK("http://www.worldcat.org/oclc/846786519","WorldCat Record")</f>
        <v>WorldCat Record</v>
      </c>
      <c r="AX5092" s="3" t="s">
        <v>48835</v>
      </c>
      <c r="AY5092" s="3" t="s">
        <v>48836</v>
      </c>
      <c r="AZ5092" s="3" t="s">
        <v>48837</v>
      </c>
      <c r="BA5092" s="3" t="s">
        <v>48837</v>
      </c>
      <c r="BB5092" s="3" t="s">
        <v>48841</v>
      </c>
      <c r="BC5092" s="3" t="s">
        <v>102</v>
      </c>
      <c r="BD5092" s="3" t="s">
        <v>68</v>
      </c>
      <c r="BE5092" s="3" t="s">
        <v>48839</v>
      </c>
      <c r="BF5092" s="3" t="s">
        <v>48841</v>
      </c>
      <c r="BG5092" s="3" t="s">
        <v>48842</v>
      </c>
    </row>
    <row r="5093" spans="1:59" ht="101.5" x14ac:dyDescent="0.35">
      <c r="A5093" s="2" t="s">
        <v>89</v>
      </c>
      <c r="B5093" s="2" t="s">
        <v>12301</v>
      </c>
      <c r="C5093" s="2" t="s">
        <v>48830</v>
      </c>
      <c r="D5093" s="2" t="s">
        <v>48831</v>
      </c>
      <c r="E5093" s="2" t="s">
        <v>48832</v>
      </c>
      <c r="G5093" s="3" t="s">
        <v>62</v>
      </c>
      <c r="I5093" s="3" t="s">
        <v>61</v>
      </c>
      <c r="J5093" s="3" t="s">
        <v>62</v>
      </c>
      <c r="K5093" s="3" t="s">
        <v>63</v>
      </c>
      <c r="L5093" s="2" t="s">
        <v>48833</v>
      </c>
      <c r="M5093" s="2" t="s">
        <v>48834</v>
      </c>
      <c r="N5093" s="3" t="s">
        <v>129</v>
      </c>
      <c r="P5093" s="3" t="s">
        <v>64</v>
      </c>
      <c r="R5093" s="3" t="s">
        <v>46535</v>
      </c>
      <c r="S5093" s="4">
        <v>136</v>
      </c>
      <c r="T5093" s="4">
        <v>518</v>
      </c>
      <c r="U5093" s="5" t="s">
        <v>16936</v>
      </c>
      <c r="V5093" s="5" t="s">
        <v>12842</v>
      </c>
      <c r="W5093" s="5" t="s">
        <v>67</v>
      </c>
      <c r="X5093" s="5" t="s">
        <v>67</v>
      </c>
      <c r="Y5093" s="4">
        <v>5</v>
      </c>
      <c r="Z5093" s="4">
        <v>2</v>
      </c>
      <c r="AA5093" s="4">
        <v>12</v>
      </c>
      <c r="AB5093" s="4">
        <v>1</v>
      </c>
      <c r="AC5093" s="4">
        <v>5</v>
      </c>
      <c r="AD5093" s="4">
        <v>1</v>
      </c>
      <c r="AE5093" s="4">
        <v>37</v>
      </c>
      <c r="AF5093" s="4">
        <v>0</v>
      </c>
      <c r="AG5093" s="4">
        <v>2</v>
      </c>
      <c r="AH5093" s="4">
        <v>1</v>
      </c>
      <c r="AI5093" s="4">
        <v>33</v>
      </c>
      <c r="AJ5093" s="4">
        <v>1</v>
      </c>
      <c r="AK5093" s="4">
        <v>7</v>
      </c>
      <c r="AL5093" s="4">
        <v>0</v>
      </c>
      <c r="AM5093" s="4">
        <v>18</v>
      </c>
      <c r="AN5093" s="4">
        <v>0</v>
      </c>
      <c r="AO5093" s="4">
        <v>0</v>
      </c>
      <c r="AP5093" s="4">
        <v>1</v>
      </c>
      <c r="AQ5093" s="4">
        <v>7</v>
      </c>
      <c r="AR5093" s="3" t="s">
        <v>62</v>
      </c>
      <c r="AS5093" s="3" t="s">
        <v>62</v>
      </c>
      <c r="AT5093" s="3" t="s">
        <v>62</v>
      </c>
      <c r="AV5093" s="6" t="str">
        <f>HYPERLINK("http://mcgill.on.worldcat.org/oclc/846786519","Catalog Record")</f>
        <v>Catalog Record</v>
      </c>
      <c r="AW5093" s="6" t="str">
        <f>HYPERLINK("http://www.worldcat.org/oclc/846786519","WorldCat Record")</f>
        <v>WorldCat Record</v>
      </c>
      <c r="AX5093" s="3" t="s">
        <v>48835</v>
      </c>
      <c r="AY5093" s="3" t="s">
        <v>48836</v>
      </c>
      <c r="AZ5093" s="3" t="s">
        <v>48837</v>
      </c>
      <c r="BA5093" s="3" t="s">
        <v>48837</v>
      </c>
      <c r="BB5093" s="3" t="s">
        <v>48843</v>
      </c>
      <c r="BC5093" s="3" t="s">
        <v>102</v>
      </c>
      <c r="BD5093" s="3" t="s">
        <v>68</v>
      </c>
      <c r="BE5093" s="3" t="s">
        <v>48839</v>
      </c>
      <c r="BF5093" s="3" t="s">
        <v>48843</v>
      </c>
      <c r="BG5093" s="3" t="s">
        <v>48844</v>
      </c>
    </row>
    <row r="5094" spans="1:59" ht="101.5" x14ac:dyDescent="0.35">
      <c r="A5094" s="2" t="s">
        <v>89</v>
      </c>
      <c r="B5094" s="2" t="s">
        <v>12301</v>
      </c>
      <c r="C5094" s="2" t="s">
        <v>48830</v>
      </c>
      <c r="D5094" s="2" t="s">
        <v>48831</v>
      </c>
      <c r="E5094" s="2" t="s">
        <v>48832</v>
      </c>
      <c r="G5094" s="3" t="s">
        <v>62</v>
      </c>
      <c r="I5094" s="3" t="s">
        <v>61</v>
      </c>
      <c r="J5094" s="3" t="s">
        <v>62</v>
      </c>
      <c r="K5094" s="3" t="s">
        <v>63</v>
      </c>
      <c r="L5094" s="2" t="s">
        <v>48833</v>
      </c>
      <c r="M5094" s="2" t="s">
        <v>48834</v>
      </c>
      <c r="N5094" s="3" t="s">
        <v>129</v>
      </c>
      <c r="P5094" s="3" t="s">
        <v>64</v>
      </c>
      <c r="R5094" s="3" t="s">
        <v>46535</v>
      </c>
      <c r="S5094" s="4">
        <v>117</v>
      </c>
      <c r="T5094" s="4">
        <v>518</v>
      </c>
      <c r="U5094" s="5" t="s">
        <v>16936</v>
      </c>
      <c r="V5094" s="5" t="s">
        <v>12842</v>
      </c>
      <c r="W5094" s="5" t="s">
        <v>67</v>
      </c>
      <c r="X5094" s="5" t="s">
        <v>67</v>
      </c>
      <c r="Y5094" s="4">
        <v>5</v>
      </c>
      <c r="Z5094" s="4">
        <v>2</v>
      </c>
      <c r="AA5094" s="4">
        <v>12</v>
      </c>
      <c r="AB5094" s="4">
        <v>1</v>
      </c>
      <c r="AC5094" s="4">
        <v>5</v>
      </c>
      <c r="AD5094" s="4">
        <v>1</v>
      </c>
      <c r="AE5094" s="4">
        <v>37</v>
      </c>
      <c r="AF5094" s="4">
        <v>0</v>
      </c>
      <c r="AG5094" s="4">
        <v>2</v>
      </c>
      <c r="AH5094" s="4">
        <v>1</v>
      </c>
      <c r="AI5094" s="4">
        <v>33</v>
      </c>
      <c r="AJ5094" s="4">
        <v>1</v>
      </c>
      <c r="AK5094" s="4">
        <v>7</v>
      </c>
      <c r="AL5094" s="4">
        <v>0</v>
      </c>
      <c r="AM5094" s="4">
        <v>18</v>
      </c>
      <c r="AN5094" s="4">
        <v>0</v>
      </c>
      <c r="AO5094" s="4">
        <v>0</v>
      </c>
      <c r="AP5094" s="4">
        <v>1</v>
      </c>
      <c r="AQ5094" s="4">
        <v>7</v>
      </c>
      <c r="AR5094" s="3" t="s">
        <v>62</v>
      </c>
      <c r="AS5094" s="3" t="s">
        <v>62</v>
      </c>
      <c r="AT5094" s="3" t="s">
        <v>62</v>
      </c>
      <c r="AV5094" s="6" t="str">
        <f>HYPERLINK("http://mcgill.on.worldcat.org/oclc/846786519","Catalog Record")</f>
        <v>Catalog Record</v>
      </c>
      <c r="AW5094" s="6" t="str">
        <f>HYPERLINK("http://www.worldcat.org/oclc/846786519","WorldCat Record")</f>
        <v>WorldCat Record</v>
      </c>
      <c r="AX5094" s="3" t="s">
        <v>48835</v>
      </c>
      <c r="AY5094" s="3" t="s">
        <v>48836</v>
      </c>
      <c r="AZ5094" s="3" t="s">
        <v>48837</v>
      </c>
      <c r="BA5094" s="3" t="s">
        <v>48837</v>
      </c>
      <c r="BB5094" s="3" t="s">
        <v>48845</v>
      </c>
      <c r="BC5094" s="3" t="s">
        <v>102</v>
      </c>
      <c r="BD5094" s="3" t="s">
        <v>68</v>
      </c>
      <c r="BE5094" s="3" t="s">
        <v>48839</v>
      </c>
      <c r="BF5094" s="3" t="s">
        <v>48845</v>
      </c>
      <c r="BG5094" s="3" t="s">
        <v>48846</v>
      </c>
    </row>
    <row r="5095" spans="1:59" ht="58" x14ac:dyDescent="0.35">
      <c r="A5095" s="2" t="s">
        <v>89</v>
      </c>
      <c r="B5095" s="2" t="s">
        <v>90</v>
      </c>
      <c r="C5095" s="2" t="s">
        <v>48847</v>
      </c>
      <c r="D5095" s="2" t="s">
        <v>48848</v>
      </c>
      <c r="E5095" s="2" t="s">
        <v>48849</v>
      </c>
      <c r="G5095" s="3" t="s">
        <v>62</v>
      </c>
      <c r="I5095" s="3" t="s">
        <v>62</v>
      </c>
      <c r="J5095" s="3" t="s">
        <v>62</v>
      </c>
      <c r="K5095" s="3" t="s">
        <v>63</v>
      </c>
      <c r="L5095" s="2" t="s">
        <v>48563</v>
      </c>
      <c r="M5095" s="2" t="s">
        <v>48850</v>
      </c>
      <c r="N5095" s="3" t="s">
        <v>327</v>
      </c>
      <c r="P5095" s="3" t="s">
        <v>85</v>
      </c>
      <c r="Q5095" s="2" t="s">
        <v>48851</v>
      </c>
      <c r="R5095" s="3" t="s">
        <v>46535</v>
      </c>
      <c r="S5095" s="4">
        <v>1</v>
      </c>
      <c r="T5095" s="4">
        <v>1</v>
      </c>
      <c r="U5095" s="5" t="s">
        <v>28694</v>
      </c>
      <c r="V5095" s="5" t="s">
        <v>28694</v>
      </c>
      <c r="W5095" s="5" t="s">
        <v>67</v>
      </c>
      <c r="X5095" s="5" t="s">
        <v>67</v>
      </c>
      <c r="Y5095" s="4">
        <v>70</v>
      </c>
      <c r="Z5095" s="4">
        <v>6</v>
      </c>
      <c r="AA5095" s="4">
        <v>25</v>
      </c>
      <c r="AB5095" s="4">
        <v>2</v>
      </c>
      <c r="AC5095" s="4">
        <v>18</v>
      </c>
      <c r="AD5095" s="4">
        <v>20</v>
      </c>
      <c r="AE5095" s="4">
        <v>29</v>
      </c>
      <c r="AF5095" s="4">
        <v>1</v>
      </c>
      <c r="AG5095" s="4">
        <v>6</v>
      </c>
      <c r="AH5095" s="4">
        <v>18</v>
      </c>
      <c r="AI5095" s="4">
        <v>22</v>
      </c>
      <c r="AJ5095" s="4">
        <v>2</v>
      </c>
      <c r="AK5095" s="4">
        <v>8</v>
      </c>
      <c r="AL5095" s="4">
        <v>10</v>
      </c>
      <c r="AM5095" s="4">
        <v>11</v>
      </c>
      <c r="AN5095" s="4">
        <v>0</v>
      </c>
      <c r="AO5095" s="4">
        <v>0</v>
      </c>
      <c r="AP5095" s="4">
        <v>3</v>
      </c>
      <c r="AQ5095" s="4">
        <v>10</v>
      </c>
      <c r="AR5095" s="3" t="s">
        <v>62</v>
      </c>
      <c r="AS5095" s="3" t="s">
        <v>62</v>
      </c>
      <c r="AT5095" s="3" t="s">
        <v>62</v>
      </c>
      <c r="AV5095" s="6" t="str">
        <f>HYPERLINK("http://mcgill.on.worldcat.org/oclc/10290393","Catalog Record")</f>
        <v>Catalog Record</v>
      </c>
      <c r="AW5095" s="6" t="str">
        <f>HYPERLINK("http://www.worldcat.org/oclc/10290393","WorldCat Record")</f>
        <v>WorldCat Record</v>
      </c>
      <c r="AX5095" s="3" t="s">
        <v>48852</v>
      </c>
      <c r="AY5095" s="3" t="s">
        <v>48853</v>
      </c>
      <c r="AZ5095" s="3" t="s">
        <v>48854</v>
      </c>
      <c r="BA5095" s="3" t="s">
        <v>48854</v>
      </c>
      <c r="BB5095" s="3" t="s">
        <v>48855</v>
      </c>
      <c r="BC5095" s="3" t="s">
        <v>102</v>
      </c>
      <c r="BD5095" s="3" t="s">
        <v>68</v>
      </c>
      <c r="BE5095" s="3" t="s">
        <v>48856</v>
      </c>
      <c r="BF5095" s="3" t="s">
        <v>48855</v>
      </c>
      <c r="BG5095" s="3" t="s">
        <v>48857</v>
      </c>
    </row>
    <row r="5096" spans="1:59" ht="58" x14ac:dyDescent="0.35">
      <c r="A5096" s="2" t="s">
        <v>89</v>
      </c>
      <c r="B5096" s="2" t="s">
        <v>90</v>
      </c>
      <c r="C5096" s="2" t="s">
        <v>48858</v>
      </c>
      <c r="D5096" s="2" t="s">
        <v>48859</v>
      </c>
      <c r="E5096" s="2" t="s">
        <v>48860</v>
      </c>
      <c r="G5096" s="3" t="s">
        <v>62</v>
      </c>
      <c r="I5096" s="3" t="s">
        <v>61</v>
      </c>
      <c r="J5096" s="3" t="s">
        <v>62</v>
      </c>
      <c r="K5096" s="3" t="s">
        <v>63</v>
      </c>
      <c r="L5096" s="2" t="s">
        <v>48563</v>
      </c>
      <c r="M5096" s="2" t="s">
        <v>48861</v>
      </c>
      <c r="N5096" s="3" t="s">
        <v>396</v>
      </c>
      <c r="O5096" s="2" t="s">
        <v>2187</v>
      </c>
      <c r="P5096" s="3" t="s">
        <v>64</v>
      </c>
      <c r="R5096" s="3" t="s">
        <v>46535</v>
      </c>
      <c r="S5096" s="4">
        <v>15</v>
      </c>
      <c r="T5096" s="4">
        <v>26</v>
      </c>
      <c r="U5096" s="5" t="s">
        <v>3763</v>
      </c>
      <c r="V5096" s="5" t="s">
        <v>3763</v>
      </c>
      <c r="W5096" s="5" t="s">
        <v>67</v>
      </c>
      <c r="X5096" s="5" t="s">
        <v>67</v>
      </c>
      <c r="Y5096" s="4">
        <v>846</v>
      </c>
      <c r="Z5096" s="4">
        <v>31</v>
      </c>
      <c r="AA5096" s="4">
        <v>35</v>
      </c>
      <c r="AB5096" s="4">
        <v>3</v>
      </c>
      <c r="AC5096" s="4">
        <v>5</v>
      </c>
      <c r="AD5096" s="4">
        <v>110</v>
      </c>
      <c r="AE5096" s="4">
        <v>112</v>
      </c>
      <c r="AF5096" s="4">
        <v>1</v>
      </c>
      <c r="AG5096" s="4">
        <v>2</v>
      </c>
      <c r="AH5096" s="4">
        <v>93</v>
      </c>
      <c r="AI5096" s="4">
        <v>94</v>
      </c>
      <c r="AJ5096" s="4">
        <v>15</v>
      </c>
      <c r="AK5096" s="4">
        <v>17</v>
      </c>
      <c r="AL5096" s="4">
        <v>51</v>
      </c>
      <c r="AM5096" s="4">
        <v>51</v>
      </c>
      <c r="AN5096" s="4">
        <v>0</v>
      </c>
      <c r="AO5096" s="4">
        <v>0</v>
      </c>
      <c r="AP5096" s="4">
        <v>20</v>
      </c>
      <c r="AQ5096" s="4">
        <v>21</v>
      </c>
      <c r="AR5096" s="3" t="s">
        <v>62</v>
      </c>
      <c r="AS5096" s="3" t="s">
        <v>62</v>
      </c>
      <c r="AT5096" s="3" t="s">
        <v>61</v>
      </c>
      <c r="AU5096" s="6" t="str">
        <f>HYPERLINK("http://catalog.hathitrust.org/Record/000603598","HathiTrust Record")</f>
        <v>HathiTrust Record</v>
      </c>
      <c r="AV5096" s="6" t="str">
        <f>HYPERLINK("http://mcgill.on.worldcat.org/oclc/11518580","Catalog Record")</f>
        <v>Catalog Record</v>
      </c>
      <c r="AW5096" s="6" t="str">
        <f>HYPERLINK("http://www.worldcat.org/oclc/11518580","WorldCat Record")</f>
        <v>WorldCat Record</v>
      </c>
      <c r="AX5096" s="3" t="s">
        <v>48862</v>
      </c>
      <c r="AY5096" s="3" t="s">
        <v>48863</v>
      </c>
      <c r="AZ5096" s="3" t="s">
        <v>48864</v>
      </c>
      <c r="BA5096" s="3" t="s">
        <v>48864</v>
      </c>
      <c r="BB5096" s="3" t="s">
        <v>48865</v>
      </c>
      <c r="BC5096" s="3" t="s">
        <v>102</v>
      </c>
      <c r="BD5096" s="3" t="s">
        <v>68</v>
      </c>
      <c r="BE5096" s="3" t="s">
        <v>48866</v>
      </c>
      <c r="BF5096" s="3" t="s">
        <v>48865</v>
      </c>
      <c r="BG5096" s="3" t="s">
        <v>48867</v>
      </c>
    </row>
    <row r="5097" spans="1:59" ht="58" x14ac:dyDescent="0.35">
      <c r="A5097" s="2" t="s">
        <v>89</v>
      </c>
      <c r="B5097" s="2" t="s">
        <v>90</v>
      </c>
      <c r="C5097" s="2" t="s">
        <v>48868</v>
      </c>
      <c r="D5097" s="2" t="s">
        <v>48869</v>
      </c>
      <c r="E5097" s="2" t="s">
        <v>48870</v>
      </c>
      <c r="G5097" s="3" t="s">
        <v>62</v>
      </c>
      <c r="I5097" s="3" t="s">
        <v>62</v>
      </c>
      <c r="J5097" s="3" t="s">
        <v>61</v>
      </c>
      <c r="K5097" s="3" t="s">
        <v>63</v>
      </c>
      <c r="L5097" s="2" t="s">
        <v>48575</v>
      </c>
      <c r="M5097" s="2" t="s">
        <v>48871</v>
      </c>
      <c r="N5097" s="3" t="s">
        <v>115</v>
      </c>
      <c r="O5097" s="2" t="s">
        <v>10092</v>
      </c>
      <c r="P5097" s="3" t="s">
        <v>64</v>
      </c>
      <c r="Q5097" s="2" t="s">
        <v>48872</v>
      </c>
      <c r="R5097" s="3" t="s">
        <v>46535</v>
      </c>
      <c r="S5097" s="4">
        <v>5</v>
      </c>
      <c r="T5097" s="4">
        <v>5</v>
      </c>
      <c r="U5097" s="5" t="s">
        <v>10633</v>
      </c>
      <c r="V5097" s="5" t="s">
        <v>10633</v>
      </c>
      <c r="W5097" s="5" t="s">
        <v>5356</v>
      </c>
      <c r="X5097" s="5" t="s">
        <v>5356</v>
      </c>
      <c r="Y5097" s="4">
        <v>108</v>
      </c>
      <c r="Z5097" s="4">
        <v>13</v>
      </c>
      <c r="AA5097" s="4">
        <v>59</v>
      </c>
      <c r="AB5097" s="4">
        <v>2</v>
      </c>
      <c r="AC5097" s="4">
        <v>7</v>
      </c>
      <c r="AD5097" s="4">
        <v>17</v>
      </c>
      <c r="AE5097" s="4">
        <v>148</v>
      </c>
      <c r="AF5097" s="4">
        <v>0</v>
      </c>
      <c r="AG5097" s="4">
        <v>4</v>
      </c>
      <c r="AH5097" s="4">
        <v>12</v>
      </c>
      <c r="AI5097" s="4">
        <v>112</v>
      </c>
      <c r="AJ5097" s="4">
        <v>6</v>
      </c>
      <c r="AK5097" s="4">
        <v>25</v>
      </c>
      <c r="AL5097" s="4">
        <v>9</v>
      </c>
      <c r="AM5097" s="4">
        <v>62</v>
      </c>
      <c r="AN5097" s="4">
        <v>0</v>
      </c>
      <c r="AO5097" s="4">
        <v>0</v>
      </c>
      <c r="AP5097" s="4">
        <v>8</v>
      </c>
      <c r="AQ5097" s="4">
        <v>41</v>
      </c>
      <c r="AR5097" s="3" t="s">
        <v>62</v>
      </c>
      <c r="AS5097" s="3" t="s">
        <v>62</v>
      </c>
      <c r="AT5097" s="3" t="s">
        <v>62</v>
      </c>
      <c r="AV5097" s="6" t="str">
        <f>HYPERLINK("http://mcgill.on.worldcat.org/oclc/24537014","Catalog Record")</f>
        <v>Catalog Record</v>
      </c>
      <c r="AW5097" s="6" t="str">
        <f>HYPERLINK("http://www.worldcat.org/oclc/24537014","WorldCat Record")</f>
        <v>WorldCat Record</v>
      </c>
      <c r="AX5097" s="3" t="s">
        <v>48873</v>
      </c>
      <c r="AY5097" s="3" t="s">
        <v>48874</v>
      </c>
      <c r="AZ5097" s="3" t="s">
        <v>48875</v>
      </c>
      <c r="BA5097" s="3" t="s">
        <v>48875</v>
      </c>
      <c r="BB5097" s="3" t="s">
        <v>48876</v>
      </c>
      <c r="BC5097" s="3" t="s">
        <v>102</v>
      </c>
      <c r="BD5097" s="3" t="s">
        <v>231</v>
      </c>
      <c r="BE5097" s="3" t="s">
        <v>48877</v>
      </c>
      <c r="BF5097" s="3" t="s">
        <v>48876</v>
      </c>
      <c r="BG5097" s="3" t="s">
        <v>48878</v>
      </c>
    </row>
    <row r="5098" spans="1:59" ht="87" x14ac:dyDescent="0.35">
      <c r="A5098" s="2" t="s">
        <v>89</v>
      </c>
      <c r="B5098" s="2" t="s">
        <v>90</v>
      </c>
      <c r="C5098" s="2" t="s">
        <v>48879</v>
      </c>
      <c r="D5098" s="2" t="s">
        <v>48880</v>
      </c>
      <c r="E5098" s="2" t="s">
        <v>48881</v>
      </c>
      <c r="G5098" s="3" t="s">
        <v>62</v>
      </c>
      <c r="I5098" s="3" t="s">
        <v>62</v>
      </c>
      <c r="J5098" s="3" t="s">
        <v>61</v>
      </c>
      <c r="K5098" s="3" t="s">
        <v>63</v>
      </c>
      <c r="L5098" s="2" t="s">
        <v>48882</v>
      </c>
      <c r="M5098" s="2" t="s">
        <v>48883</v>
      </c>
      <c r="N5098" s="3" t="s">
        <v>1455</v>
      </c>
      <c r="O5098" s="2" t="s">
        <v>48884</v>
      </c>
      <c r="P5098" s="3" t="s">
        <v>64</v>
      </c>
      <c r="R5098" s="3" t="s">
        <v>46535</v>
      </c>
      <c r="S5098" s="4">
        <v>3</v>
      </c>
      <c r="T5098" s="4">
        <v>3</v>
      </c>
      <c r="U5098" s="5" t="s">
        <v>511</v>
      </c>
      <c r="V5098" s="5" t="s">
        <v>511</v>
      </c>
      <c r="W5098" s="5" t="s">
        <v>67</v>
      </c>
      <c r="X5098" s="5" t="s">
        <v>67</v>
      </c>
      <c r="Y5098" s="4">
        <v>130</v>
      </c>
      <c r="Z5098" s="4">
        <v>9</v>
      </c>
      <c r="AA5098" s="4">
        <v>24</v>
      </c>
      <c r="AB5098" s="4">
        <v>1</v>
      </c>
      <c r="AC5098" s="4">
        <v>4</v>
      </c>
      <c r="AD5098" s="4">
        <v>34</v>
      </c>
      <c r="AE5098" s="4">
        <v>73</v>
      </c>
      <c r="AF5098" s="4">
        <v>0</v>
      </c>
      <c r="AG5098" s="4">
        <v>3</v>
      </c>
      <c r="AH5098" s="4">
        <v>32</v>
      </c>
      <c r="AI5098" s="4">
        <v>60</v>
      </c>
      <c r="AJ5098" s="4">
        <v>5</v>
      </c>
      <c r="AK5098" s="4">
        <v>13</v>
      </c>
      <c r="AL5098" s="4">
        <v>16</v>
      </c>
      <c r="AM5098" s="4">
        <v>34</v>
      </c>
      <c r="AN5098" s="4">
        <v>0</v>
      </c>
      <c r="AO5098" s="4">
        <v>0</v>
      </c>
      <c r="AP5098" s="4">
        <v>6</v>
      </c>
      <c r="AQ5098" s="4">
        <v>18</v>
      </c>
      <c r="AR5098" s="3" t="s">
        <v>62</v>
      </c>
      <c r="AS5098" s="3" t="s">
        <v>62</v>
      </c>
      <c r="AT5098" s="3" t="s">
        <v>62</v>
      </c>
      <c r="AV5098" s="6" t="str">
        <f>HYPERLINK("http://mcgill.on.worldcat.org/oclc/876833285","Catalog Record")</f>
        <v>Catalog Record</v>
      </c>
      <c r="AW5098" s="6" t="str">
        <f>HYPERLINK("http://www.worldcat.org/oclc/876833285","WorldCat Record")</f>
        <v>WorldCat Record</v>
      </c>
      <c r="AX5098" s="3" t="s">
        <v>48885</v>
      </c>
      <c r="AY5098" s="3" t="s">
        <v>48886</v>
      </c>
      <c r="AZ5098" s="3" t="s">
        <v>48887</v>
      </c>
      <c r="BA5098" s="3" t="s">
        <v>48887</v>
      </c>
      <c r="BB5098" s="3" t="s">
        <v>48888</v>
      </c>
      <c r="BC5098" s="3" t="s">
        <v>102</v>
      </c>
      <c r="BD5098" s="3" t="s">
        <v>68</v>
      </c>
      <c r="BE5098" s="3" t="s">
        <v>48889</v>
      </c>
      <c r="BF5098" s="3" t="s">
        <v>48888</v>
      </c>
      <c r="BG5098" s="3" t="s">
        <v>48890</v>
      </c>
    </row>
    <row r="5099" spans="1:59" ht="58" x14ac:dyDescent="0.35">
      <c r="A5099" s="2" t="s">
        <v>89</v>
      </c>
      <c r="B5099" s="2" t="s">
        <v>90</v>
      </c>
      <c r="C5099" s="2" t="s">
        <v>48891</v>
      </c>
      <c r="D5099" s="2" t="s">
        <v>48892</v>
      </c>
      <c r="E5099" s="2" t="s">
        <v>48893</v>
      </c>
      <c r="G5099" s="3" t="s">
        <v>62</v>
      </c>
      <c r="I5099" s="3" t="s">
        <v>62</v>
      </c>
      <c r="J5099" s="3" t="s">
        <v>62</v>
      </c>
      <c r="K5099" s="3" t="s">
        <v>63</v>
      </c>
      <c r="L5099" s="2" t="s">
        <v>48894</v>
      </c>
      <c r="M5099" s="2" t="s">
        <v>48895</v>
      </c>
      <c r="N5099" s="3" t="s">
        <v>539</v>
      </c>
      <c r="P5099" s="3" t="s">
        <v>64</v>
      </c>
      <c r="R5099" s="3" t="s">
        <v>46535</v>
      </c>
      <c r="S5099" s="4">
        <v>24</v>
      </c>
      <c r="T5099" s="4">
        <v>24</v>
      </c>
      <c r="U5099" s="5" t="s">
        <v>41572</v>
      </c>
      <c r="V5099" s="5" t="s">
        <v>41572</v>
      </c>
      <c r="W5099" s="5" t="s">
        <v>67</v>
      </c>
      <c r="X5099" s="5" t="s">
        <v>67</v>
      </c>
      <c r="Y5099" s="4">
        <v>819</v>
      </c>
      <c r="Z5099" s="4">
        <v>34</v>
      </c>
      <c r="AA5099" s="4">
        <v>126</v>
      </c>
      <c r="AB5099" s="4">
        <v>2</v>
      </c>
      <c r="AC5099" s="4">
        <v>19</v>
      </c>
      <c r="AD5099" s="4">
        <v>115</v>
      </c>
      <c r="AE5099" s="4">
        <v>155</v>
      </c>
      <c r="AF5099" s="4">
        <v>1</v>
      </c>
      <c r="AG5099" s="4">
        <v>9</v>
      </c>
      <c r="AH5099" s="4">
        <v>99</v>
      </c>
      <c r="AI5099" s="4">
        <v>108</v>
      </c>
      <c r="AJ5099" s="4">
        <v>16</v>
      </c>
      <c r="AK5099" s="4">
        <v>26</v>
      </c>
      <c r="AL5099" s="4">
        <v>53</v>
      </c>
      <c r="AM5099" s="4">
        <v>57</v>
      </c>
      <c r="AN5099" s="4">
        <v>0</v>
      </c>
      <c r="AO5099" s="4">
        <v>0</v>
      </c>
      <c r="AP5099" s="4">
        <v>24</v>
      </c>
      <c r="AQ5099" s="4">
        <v>54</v>
      </c>
      <c r="AR5099" s="3" t="s">
        <v>62</v>
      </c>
      <c r="AS5099" s="3" t="s">
        <v>62</v>
      </c>
      <c r="AT5099" s="3" t="s">
        <v>62</v>
      </c>
      <c r="AV5099" s="6" t="str">
        <f>HYPERLINK("http://mcgill.on.worldcat.org/oclc/37890322","Catalog Record")</f>
        <v>Catalog Record</v>
      </c>
      <c r="AW5099" s="6" t="str">
        <f>HYPERLINK("http://www.worldcat.org/oclc/37890322","WorldCat Record")</f>
        <v>WorldCat Record</v>
      </c>
      <c r="AX5099" s="3" t="s">
        <v>48896</v>
      </c>
      <c r="AY5099" s="3" t="s">
        <v>48897</v>
      </c>
      <c r="AZ5099" s="3" t="s">
        <v>48898</v>
      </c>
      <c r="BA5099" s="3" t="s">
        <v>48898</v>
      </c>
      <c r="BB5099" s="3" t="s">
        <v>48899</v>
      </c>
      <c r="BC5099" s="3" t="s">
        <v>102</v>
      </c>
      <c r="BD5099" s="3" t="s">
        <v>68</v>
      </c>
      <c r="BE5099" s="3" t="s">
        <v>48900</v>
      </c>
      <c r="BF5099" s="3" t="s">
        <v>48899</v>
      </c>
      <c r="BG5099" s="3" t="s">
        <v>48901</v>
      </c>
    </row>
    <row r="5100" spans="1:59" ht="58" x14ac:dyDescent="0.35">
      <c r="A5100" s="2" t="s">
        <v>89</v>
      </c>
      <c r="B5100" s="2" t="s">
        <v>90</v>
      </c>
      <c r="C5100" s="2" t="s">
        <v>48902</v>
      </c>
      <c r="D5100" s="2" t="s">
        <v>48903</v>
      </c>
      <c r="E5100" s="2" t="s">
        <v>48904</v>
      </c>
      <c r="G5100" s="3" t="s">
        <v>62</v>
      </c>
      <c r="I5100" s="3" t="s">
        <v>62</v>
      </c>
      <c r="J5100" s="3" t="s">
        <v>62</v>
      </c>
      <c r="K5100" s="3" t="s">
        <v>63</v>
      </c>
      <c r="L5100" s="2" t="s">
        <v>48905</v>
      </c>
      <c r="M5100" s="2" t="s">
        <v>48906</v>
      </c>
      <c r="N5100" s="3" t="s">
        <v>2136</v>
      </c>
      <c r="P5100" s="3" t="s">
        <v>64</v>
      </c>
      <c r="R5100" s="3" t="s">
        <v>46535</v>
      </c>
      <c r="S5100" s="4">
        <v>7</v>
      </c>
      <c r="T5100" s="4">
        <v>7</v>
      </c>
      <c r="U5100" s="5" t="s">
        <v>1375</v>
      </c>
      <c r="V5100" s="5" t="s">
        <v>1375</v>
      </c>
      <c r="W5100" s="5" t="s">
        <v>67</v>
      </c>
      <c r="X5100" s="5" t="s">
        <v>67</v>
      </c>
      <c r="Y5100" s="4">
        <v>319</v>
      </c>
      <c r="Z5100" s="4">
        <v>19</v>
      </c>
      <c r="AA5100" s="4">
        <v>27</v>
      </c>
      <c r="AB5100" s="4">
        <v>2</v>
      </c>
      <c r="AC5100" s="4">
        <v>7</v>
      </c>
      <c r="AD5100" s="4">
        <v>89</v>
      </c>
      <c r="AE5100" s="4">
        <v>92</v>
      </c>
      <c r="AF5100" s="4">
        <v>1</v>
      </c>
      <c r="AG5100" s="4">
        <v>3</v>
      </c>
      <c r="AH5100" s="4">
        <v>79</v>
      </c>
      <c r="AI5100" s="4">
        <v>80</v>
      </c>
      <c r="AJ5100" s="4">
        <v>13</v>
      </c>
      <c r="AK5100" s="4">
        <v>16</v>
      </c>
      <c r="AL5100" s="4">
        <v>41</v>
      </c>
      <c r="AM5100" s="4">
        <v>41</v>
      </c>
      <c r="AN5100" s="4">
        <v>0</v>
      </c>
      <c r="AO5100" s="4">
        <v>0</v>
      </c>
      <c r="AP5100" s="4">
        <v>16</v>
      </c>
      <c r="AQ5100" s="4">
        <v>18</v>
      </c>
      <c r="AR5100" s="3" t="s">
        <v>62</v>
      </c>
      <c r="AS5100" s="3" t="s">
        <v>62</v>
      </c>
      <c r="AT5100" s="3" t="s">
        <v>62</v>
      </c>
      <c r="AV5100" s="6" t="str">
        <f>HYPERLINK("http://mcgill.on.worldcat.org/oclc/55085878","Catalog Record")</f>
        <v>Catalog Record</v>
      </c>
      <c r="AW5100" s="6" t="str">
        <f>HYPERLINK("http://www.worldcat.org/oclc/55085878","WorldCat Record")</f>
        <v>WorldCat Record</v>
      </c>
      <c r="AX5100" s="3" t="s">
        <v>48907</v>
      </c>
      <c r="AY5100" s="3" t="s">
        <v>48908</v>
      </c>
      <c r="AZ5100" s="3" t="s">
        <v>48909</v>
      </c>
      <c r="BA5100" s="3" t="s">
        <v>48909</v>
      </c>
      <c r="BB5100" s="3" t="s">
        <v>48910</v>
      </c>
      <c r="BC5100" s="3" t="s">
        <v>102</v>
      </c>
      <c r="BD5100" s="3" t="s">
        <v>68</v>
      </c>
      <c r="BE5100" s="3" t="s">
        <v>48911</v>
      </c>
      <c r="BF5100" s="3" t="s">
        <v>48910</v>
      </c>
      <c r="BG5100" s="3" t="s">
        <v>48912</v>
      </c>
    </row>
    <row r="5101" spans="1:59" ht="58" x14ac:dyDescent="0.35">
      <c r="A5101" s="2" t="s">
        <v>89</v>
      </c>
      <c r="B5101" s="2" t="s">
        <v>90</v>
      </c>
      <c r="C5101" s="2" t="s">
        <v>48913</v>
      </c>
      <c r="D5101" s="2" t="s">
        <v>48914</v>
      </c>
      <c r="E5101" s="2" t="s">
        <v>48915</v>
      </c>
      <c r="G5101" s="3" t="s">
        <v>62</v>
      </c>
      <c r="I5101" s="3" t="s">
        <v>62</v>
      </c>
      <c r="J5101" s="3" t="s">
        <v>62</v>
      </c>
      <c r="K5101" s="3" t="s">
        <v>63</v>
      </c>
      <c r="L5101" s="2" t="s">
        <v>48916</v>
      </c>
      <c r="M5101" s="2" t="s">
        <v>34802</v>
      </c>
      <c r="N5101" s="3" t="s">
        <v>640</v>
      </c>
      <c r="P5101" s="3" t="s">
        <v>64</v>
      </c>
      <c r="R5101" s="3" t="s">
        <v>46535</v>
      </c>
      <c r="S5101" s="4">
        <v>9</v>
      </c>
      <c r="T5101" s="4">
        <v>9</v>
      </c>
      <c r="U5101" s="5" t="s">
        <v>32111</v>
      </c>
      <c r="V5101" s="5" t="s">
        <v>32111</v>
      </c>
      <c r="W5101" s="5" t="s">
        <v>67</v>
      </c>
      <c r="X5101" s="5" t="s">
        <v>67</v>
      </c>
      <c r="Y5101" s="4">
        <v>422</v>
      </c>
      <c r="Z5101" s="4">
        <v>28</v>
      </c>
      <c r="AA5101" s="4">
        <v>71</v>
      </c>
      <c r="AB5101" s="4">
        <v>3</v>
      </c>
      <c r="AC5101" s="4">
        <v>18</v>
      </c>
      <c r="AD5101" s="4">
        <v>109</v>
      </c>
      <c r="AE5101" s="4">
        <v>144</v>
      </c>
      <c r="AF5101" s="4">
        <v>2</v>
      </c>
      <c r="AG5101" s="4">
        <v>9</v>
      </c>
      <c r="AH5101" s="4">
        <v>92</v>
      </c>
      <c r="AI5101" s="4">
        <v>97</v>
      </c>
      <c r="AJ5101" s="4">
        <v>19</v>
      </c>
      <c r="AK5101" s="4">
        <v>26</v>
      </c>
      <c r="AL5101" s="4">
        <v>50</v>
      </c>
      <c r="AM5101" s="4">
        <v>52</v>
      </c>
      <c r="AN5101" s="4">
        <v>0</v>
      </c>
      <c r="AO5101" s="4">
        <v>0</v>
      </c>
      <c r="AP5101" s="4">
        <v>24</v>
      </c>
      <c r="AQ5101" s="4">
        <v>54</v>
      </c>
      <c r="AR5101" s="3" t="s">
        <v>62</v>
      </c>
      <c r="AS5101" s="3" t="s">
        <v>62</v>
      </c>
      <c r="AT5101" s="3" t="s">
        <v>62</v>
      </c>
      <c r="AV5101" s="6" t="str">
        <f>HYPERLINK("http://mcgill.on.worldcat.org/oclc/51804960","Catalog Record")</f>
        <v>Catalog Record</v>
      </c>
      <c r="AW5101" s="6" t="str">
        <f>HYPERLINK("http://www.worldcat.org/oclc/51804960","WorldCat Record")</f>
        <v>WorldCat Record</v>
      </c>
      <c r="AX5101" s="3" t="s">
        <v>48917</v>
      </c>
      <c r="AY5101" s="3" t="s">
        <v>48918</v>
      </c>
      <c r="AZ5101" s="3" t="s">
        <v>48919</v>
      </c>
      <c r="BA5101" s="3" t="s">
        <v>48919</v>
      </c>
      <c r="BB5101" s="3" t="s">
        <v>48920</v>
      </c>
      <c r="BC5101" s="3" t="s">
        <v>102</v>
      </c>
      <c r="BD5101" s="3" t="s">
        <v>68</v>
      </c>
      <c r="BE5101" s="3" t="s">
        <v>48921</v>
      </c>
      <c r="BF5101" s="3" t="s">
        <v>48920</v>
      </c>
      <c r="BG5101" s="3" t="s">
        <v>48922</v>
      </c>
    </row>
    <row r="5102" spans="1:59" ht="58" x14ac:dyDescent="0.35">
      <c r="A5102" s="2" t="s">
        <v>89</v>
      </c>
      <c r="B5102" s="2" t="s">
        <v>90</v>
      </c>
      <c r="C5102" s="2" t="s">
        <v>48923</v>
      </c>
      <c r="D5102" s="2" t="s">
        <v>48924</v>
      </c>
      <c r="E5102" s="2" t="s">
        <v>48925</v>
      </c>
      <c r="G5102" s="3" t="s">
        <v>62</v>
      </c>
      <c r="I5102" s="3" t="s">
        <v>62</v>
      </c>
      <c r="J5102" s="3" t="s">
        <v>62</v>
      </c>
      <c r="K5102" s="3" t="s">
        <v>63</v>
      </c>
      <c r="L5102" s="2" t="s">
        <v>48926</v>
      </c>
      <c r="M5102" s="2" t="s">
        <v>48927</v>
      </c>
      <c r="N5102" s="3" t="s">
        <v>524</v>
      </c>
      <c r="P5102" s="3" t="s">
        <v>64</v>
      </c>
      <c r="Q5102" s="2" t="s">
        <v>16801</v>
      </c>
      <c r="R5102" s="3" t="s">
        <v>46535</v>
      </c>
      <c r="S5102" s="4">
        <v>35</v>
      </c>
      <c r="T5102" s="4">
        <v>35</v>
      </c>
      <c r="U5102" s="5" t="s">
        <v>258</v>
      </c>
      <c r="V5102" s="5" t="s">
        <v>258</v>
      </c>
      <c r="W5102" s="5" t="s">
        <v>67</v>
      </c>
      <c r="X5102" s="5" t="s">
        <v>67</v>
      </c>
      <c r="Y5102" s="4">
        <v>484</v>
      </c>
      <c r="Z5102" s="4">
        <v>30</v>
      </c>
      <c r="AA5102" s="4">
        <v>98</v>
      </c>
      <c r="AB5102" s="4">
        <v>2</v>
      </c>
      <c r="AC5102" s="4">
        <v>17</v>
      </c>
      <c r="AD5102" s="4">
        <v>121</v>
      </c>
      <c r="AE5102" s="4">
        <v>154</v>
      </c>
      <c r="AF5102" s="4">
        <v>1</v>
      </c>
      <c r="AG5102" s="4">
        <v>8</v>
      </c>
      <c r="AH5102" s="4">
        <v>104</v>
      </c>
      <c r="AI5102" s="4">
        <v>113</v>
      </c>
      <c r="AJ5102" s="4">
        <v>18</v>
      </c>
      <c r="AK5102" s="4">
        <v>27</v>
      </c>
      <c r="AL5102" s="4">
        <v>57</v>
      </c>
      <c r="AM5102" s="4">
        <v>59</v>
      </c>
      <c r="AN5102" s="4">
        <v>0</v>
      </c>
      <c r="AO5102" s="4">
        <v>0</v>
      </c>
      <c r="AP5102" s="4">
        <v>24</v>
      </c>
      <c r="AQ5102" s="4">
        <v>50</v>
      </c>
      <c r="AR5102" s="3" t="s">
        <v>62</v>
      </c>
      <c r="AS5102" s="3" t="s">
        <v>62</v>
      </c>
      <c r="AT5102" s="3" t="s">
        <v>62</v>
      </c>
      <c r="AV5102" s="6" t="str">
        <f>HYPERLINK("http://mcgill.on.worldcat.org/oclc/30974863","Catalog Record")</f>
        <v>Catalog Record</v>
      </c>
      <c r="AW5102" s="6" t="str">
        <f>HYPERLINK("http://www.worldcat.org/oclc/30974863","WorldCat Record")</f>
        <v>WorldCat Record</v>
      </c>
      <c r="AX5102" s="3" t="s">
        <v>48928</v>
      </c>
      <c r="AY5102" s="3" t="s">
        <v>48929</v>
      </c>
      <c r="AZ5102" s="3" t="s">
        <v>48930</v>
      </c>
      <c r="BA5102" s="3" t="s">
        <v>48930</v>
      </c>
      <c r="BB5102" s="3" t="s">
        <v>48931</v>
      </c>
      <c r="BC5102" s="3" t="s">
        <v>102</v>
      </c>
      <c r="BD5102" s="3" t="s">
        <v>68</v>
      </c>
      <c r="BE5102" s="3" t="s">
        <v>48932</v>
      </c>
      <c r="BF5102" s="3" t="s">
        <v>48931</v>
      </c>
      <c r="BG5102" s="3" t="s">
        <v>48933</v>
      </c>
    </row>
    <row r="5103" spans="1:59" ht="58" x14ac:dyDescent="0.35">
      <c r="A5103" s="2" t="s">
        <v>89</v>
      </c>
      <c r="B5103" s="2" t="s">
        <v>90</v>
      </c>
      <c r="C5103" s="2" t="s">
        <v>48934</v>
      </c>
      <c r="D5103" s="2" t="s">
        <v>48935</v>
      </c>
      <c r="E5103" s="2" t="s">
        <v>48936</v>
      </c>
      <c r="G5103" s="3" t="s">
        <v>62</v>
      </c>
      <c r="I5103" s="3" t="s">
        <v>62</v>
      </c>
      <c r="J5103" s="3" t="s">
        <v>62</v>
      </c>
      <c r="K5103" s="3" t="s">
        <v>63</v>
      </c>
      <c r="L5103" s="2" t="s">
        <v>48937</v>
      </c>
      <c r="M5103" s="2" t="s">
        <v>48938</v>
      </c>
      <c r="N5103" s="3" t="s">
        <v>625</v>
      </c>
      <c r="P5103" s="3" t="s">
        <v>64</v>
      </c>
      <c r="Q5103" s="2" t="s">
        <v>48939</v>
      </c>
      <c r="R5103" s="3" t="s">
        <v>46535</v>
      </c>
      <c r="S5103" s="4">
        <v>5</v>
      </c>
      <c r="T5103" s="4">
        <v>5</v>
      </c>
      <c r="U5103" s="5" t="s">
        <v>48940</v>
      </c>
      <c r="V5103" s="5" t="s">
        <v>48940</v>
      </c>
      <c r="W5103" s="5" t="s">
        <v>67</v>
      </c>
      <c r="X5103" s="5" t="s">
        <v>67</v>
      </c>
      <c r="Y5103" s="4">
        <v>155</v>
      </c>
      <c r="Z5103" s="4">
        <v>15</v>
      </c>
      <c r="AA5103" s="4">
        <v>75</v>
      </c>
      <c r="AB5103" s="4">
        <v>2</v>
      </c>
      <c r="AC5103" s="4">
        <v>15</v>
      </c>
      <c r="AD5103" s="4">
        <v>38</v>
      </c>
      <c r="AE5103" s="4">
        <v>101</v>
      </c>
      <c r="AF5103" s="4">
        <v>1</v>
      </c>
      <c r="AG5103" s="4">
        <v>8</v>
      </c>
      <c r="AH5103" s="4">
        <v>29</v>
      </c>
      <c r="AI5103" s="4">
        <v>68</v>
      </c>
      <c r="AJ5103" s="4">
        <v>9</v>
      </c>
      <c r="AK5103" s="4">
        <v>21</v>
      </c>
      <c r="AL5103" s="4">
        <v>14</v>
      </c>
      <c r="AM5103" s="4">
        <v>34</v>
      </c>
      <c r="AN5103" s="4">
        <v>0</v>
      </c>
      <c r="AO5103" s="4">
        <v>0</v>
      </c>
      <c r="AP5103" s="4">
        <v>11</v>
      </c>
      <c r="AQ5103" s="4">
        <v>38</v>
      </c>
      <c r="AR5103" s="3" t="s">
        <v>62</v>
      </c>
      <c r="AS5103" s="3" t="s">
        <v>62</v>
      </c>
      <c r="AT5103" s="3" t="s">
        <v>62</v>
      </c>
      <c r="AV5103" s="6" t="str">
        <f>HYPERLINK("http://mcgill.on.worldcat.org/oclc/51568685","Catalog Record")</f>
        <v>Catalog Record</v>
      </c>
      <c r="AW5103" s="6" t="str">
        <f>HYPERLINK("http://www.worldcat.org/oclc/51568685","WorldCat Record")</f>
        <v>WorldCat Record</v>
      </c>
      <c r="AX5103" s="3" t="s">
        <v>48941</v>
      </c>
      <c r="AY5103" s="3" t="s">
        <v>48942</v>
      </c>
      <c r="AZ5103" s="3" t="s">
        <v>48943</v>
      </c>
      <c r="BA5103" s="3" t="s">
        <v>48943</v>
      </c>
      <c r="BB5103" s="3" t="s">
        <v>48944</v>
      </c>
      <c r="BC5103" s="3" t="s">
        <v>102</v>
      </c>
      <c r="BD5103" s="3" t="s">
        <v>68</v>
      </c>
      <c r="BE5103" s="3" t="s">
        <v>48945</v>
      </c>
      <c r="BF5103" s="3" t="s">
        <v>48944</v>
      </c>
      <c r="BG5103" s="3" t="s">
        <v>48946</v>
      </c>
    </row>
    <row r="5104" spans="1:59" ht="58" x14ac:dyDescent="0.35">
      <c r="A5104" s="2" t="s">
        <v>89</v>
      </c>
      <c r="B5104" s="2" t="s">
        <v>90</v>
      </c>
      <c r="C5104" s="2" t="s">
        <v>48947</v>
      </c>
      <c r="D5104" s="2" t="s">
        <v>48948</v>
      </c>
      <c r="E5104" s="2" t="s">
        <v>48949</v>
      </c>
      <c r="G5104" s="3" t="s">
        <v>62</v>
      </c>
      <c r="I5104" s="3" t="s">
        <v>62</v>
      </c>
      <c r="J5104" s="3" t="s">
        <v>62</v>
      </c>
      <c r="K5104" s="3" t="s">
        <v>63</v>
      </c>
      <c r="M5104" s="2" t="s">
        <v>48950</v>
      </c>
      <c r="N5104" s="3" t="s">
        <v>2985</v>
      </c>
      <c r="P5104" s="3" t="s">
        <v>64</v>
      </c>
      <c r="Q5104" s="2" t="s">
        <v>48951</v>
      </c>
      <c r="R5104" s="3" t="s">
        <v>46535</v>
      </c>
      <c r="S5104" s="4">
        <v>2</v>
      </c>
      <c r="T5104" s="4">
        <v>2</v>
      </c>
      <c r="U5104" s="5" t="s">
        <v>1203</v>
      </c>
      <c r="V5104" s="5" t="s">
        <v>1203</v>
      </c>
      <c r="W5104" s="5" t="s">
        <v>67</v>
      </c>
      <c r="X5104" s="5" t="s">
        <v>67</v>
      </c>
      <c r="Y5104" s="4">
        <v>64</v>
      </c>
      <c r="Z5104" s="4">
        <v>8</v>
      </c>
      <c r="AA5104" s="4">
        <v>40</v>
      </c>
      <c r="AB5104" s="4">
        <v>1</v>
      </c>
      <c r="AC5104" s="4">
        <v>7</v>
      </c>
      <c r="AD5104" s="4">
        <v>28</v>
      </c>
      <c r="AE5104" s="4">
        <v>93</v>
      </c>
      <c r="AF5104" s="4">
        <v>0</v>
      </c>
      <c r="AG5104" s="4">
        <v>4</v>
      </c>
      <c r="AH5104" s="4">
        <v>22</v>
      </c>
      <c r="AI5104" s="4">
        <v>66</v>
      </c>
      <c r="AJ5104" s="4">
        <v>5</v>
      </c>
      <c r="AK5104" s="4">
        <v>19</v>
      </c>
      <c r="AL5104" s="4">
        <v>18</v>
      </c>
      <c r="AM5104" s="4">
        <v>38</v>
      </c>
      <c r="AN5104" s="4">
        <v>0</v>
      </c>
      <c r="AO5104" s="4">
        <v>0</v>
      </c>
      <c r="AP5104" s="4">
        <v>6</v>
      </c>
      <c r="AQ5104" s="4">
        <v>33</v>
      </c>
      <c r="AR5104" s="3" t="s">
        <v>62</v>
      </c>
      <c r="AS5104" s="3" t="s">
        <v>62</v>
      </c>
      <c r="AT5104" s="3" t="s">
        <v>62</v>
      </c>
      <c r="AV5104" s="6" t="str">
        <f>HYPERLINK("http://mcgill.on.worldcat.org/oclc/299239001","Catalog Record")</f>
        <v>Catalog Record</v>
      </c>
      <c r="AW5104" s="6" t="str">
        <f>HYPERLINK("http://www.worldcat.org/oclc/299239001","WorldCat Record")</f>
        <v>WorldCat Record</v>
      </c>
      <c r="AX5104" s="3" t="s">
        <v>48952</v>
      </c>
      <c r="AY5104" s="3" t="s">
        <v>48953</v>
      </c>
      <c r="AZ5104" s="3" t="s">
        <v>48954</v>
      </c>
      <c r="BA5104" s="3" t="s">
        <v>48954</v>
      </c>
      <c r="BB5104" s="3" t="s">
        <v>48955</v>
      </c>
      <c r="BC5104" s="3" t="s">
        <v>102</v>
      </c>
      <c r="BD5104" s="3" t="s">
        <v>68</v>
      </c>
      <c r="BE5104" s="3" t="s">
        <v>48956</v>
      </c>
      <c r="BF5104" s="3" t="s">
        <v>48955</v>
      </c>
      <c r="BG5104" s="3" t="s">
        <v>48957</v>
      </c>
    </row>
    <row r="5105" spans="1:59" ht="58" x14ac:dyDescent="0.35">
      <c r="A5105" s="2" t="s">
        <v>89</v>
      </c>
      <c r="B5105" s="2" t="s">
        <v>90</v>
      </c>
      <c r="C5105" s="2" t="s">
        <v>48958</v>
      </c>
      <c r="D5105" s="2" t="s">
        <v>48959</v>
      </c>
      <c r="E5105" s="2" t="s">
        <v>48960</v>
      </c>
      <c r="G5105" s="3" t="s">
        <v>62</v>
      </c>
      <c r="I5105" s="3" t="s">
        <v>62</v>
      </c>
      <c r="J5105" s="3" t="s">
        <v>62</v>
      </c>
      <c r="K5105" s="3" t="s">
        <v>63</v>
      </c>
      <c r="L5105" s="2" t="s">
        <v>48961</v>
      </c>
      <c r="M5105" s="2" t="s">
        <v>48962</v>
      </c>
      <c r="N5105" s="3" t="s">
        <v>1038</v>
      </c>
      <c r="P5105" s="3" t="s">
        <v>64</v>
      </c>
      <c r="Q5105" s="2" t="s">
        <v>48963</v>
      </c>
      <c r="R5105" s="3" t="s">
        <v>46535</v>
      </c>
      <c r="S5105" s="4">
        <v>0</v>
      </c>
      <c r="T5105" s="4">
        <v>0</v>
      </c>
      <c r="W5105" s="5" t="s">
        <v>67</v>
      </c>
      <c r="X5105" s="5" t="s">
        <v>67</v>
      </c>
      <c r="Y5105" s="4">
        <v>82</v>
      </c>
      <c r="Z5105" s="4">
        <v>7</v>
      </c>
      <c r="AA5105" s="4">
        <v>103</v>
      </c>
      <c r="AB5105" s="4">
        <v>2</v>
      </c>
      <c r="AC5105" s="4">
        <v>16</v>
      </c>
      <c r="AD5105" s="4">
        <v>35</v>
      </c>
      <c r="AE5105" s="4">
        <v>117</v>
      </c>
      <c r="AF5105" s="4">
        <v>1</v>
      </c>
      <c r="AG5105" s="4">
        <v>8</v>
      </c>
      <c r="AH5105" s="4">
        <v>32</v>
      </c>
      <c r="AI5105" s="4">
        <v>79</v>
      </c>
      <c r="AJ5105" s="4">
        <v>4</v>
      </c>
      <c r="AK5105" s="4">
        <v>22</v>
      </c>
      <c r="AL5105" s="4">
        <v>21</v>
      </c>
      <c r="AM5105" s="4">
        <v>43</v>
      </c>
      <c r="AN5105" s="4">
        <v>0</v>
      </c>
      <c r="AO5105" s="4">
        <v>0</v>
      </c>
      <c r="AP5105" s="4">
        <v>4</v>
      </c>
      <c r="AQ5105" s="4">
        <v>43</v>
      </c>
      <c r="AR5105" s="3" t="s">
        <v>62</v>
      </c>
      <c r="AS5105" s="3" t="s">
        <v>62</v>
      </c>
      <c r="AT5105" s="3" t="s">
        <v>62</v>
      </c>
      <c r="AV5105" s="6" t="str">
        <f>HYPERLINK("http://mcgill.on.worldcat.org/oclc/920469566","Catalog Record")</f>
        <v>Catalog Record</v>
      </c>
      <c r="AW5105" s="6" t="str">
        <f>HYPERLINK("http://www.worldcat.org/oclc/920469566","WorldCat Record")</f>
        <v>WorldCat Record</v>
      </c>
      <c r="AX5105" s="3" t="s">
        <v>48964</v>
      </c>
      <c r="AY5105" s="3" t="s">
        <v>48965</v>
      </c>
      <c r="AZ5105" s="3" t="s">
        <v>48966</v>
      </c>
      <c r="BA5105" s="3" t="s">
        <v>48966</v>
      </c>
      <c r="BB5105" s="3" t="s">
        <v>48967</v>
      </c>
      <c r="BC5105" s="3" t="s">
        <v>102</v>
      </c>
      <c r="BD5105" s="3" t="s">
        <v>68</v>
      </c>
      <c r="BE5105" s="3" t="s">
        <v>48968</v>
      </c>
      <c r="BF5105" s="3" t="s">
        <v>48967</v>
      </c>
      <c r="BG5105" s="3" t="s">
        <v>48969</v>
      </c>
    </row>
    <row r="5106" spans="1:59" ht="58" x14ac:dyDescent="0.35">
      <c r="A5106" s="2" t="s">
        <v>89</v>
      </c>
      <c r="B5106" s="2" t="s">
        <v>90</v>
      </c>
      <c r="C5106" s="2" t="s">
        <v>48970</v>
      </c>
      <c r="D5106" s="2" t="s">
        <v>48971</v>
      </c>
      <c r="E5106" s="2" t="s">
        <v>48972</v>
      </c>
      <c r="G5106" s="3" t="s">
        <v>62</v>
      </c>
      <c r="I5106" s="3" t="s">
        <v>62</v>
      </c>
      <c r="J5106" s="3" t="s">
        <v>62</v>
      </c>
      <c r="K5106" s="3" t="s">
        <v>63</v>
      </c>
      <c r="L5106" s="2" t="s">
        <v>48973</v>
      </c>
      <c r="M5106" s="2" t="s">
        <v>48974</v>
      </c>
      <c r="N5106" s="3" t="s">
        <v>2985</v>
      </c>
      <c r="P5106" s="3" t="s">
        <v>64</v>
      </c>
      <c r="R5106" s="3" t="s">
        <v>46535</v>
      </c>
      <c r="S5106" s="4">
        <v>2</v>
      </c>
      <c r="T5106" s="4">
        <v>2</v>
      </c>
      <c r="U5106" s="5" t="s">
        <v>20946</v>
      </c>
      <c r="V5106" s="5" t="s">
        <v>20946</v>
      </c>
      <c r="W5106" s="5" t="s">
        <v>67</v>
      </c>
      <c r="X5106" s="5" t="s">
        <v>67</v>
      </c>
      <c r="Y5106" s="4">
        <v>237</v>
      </c>
      <c r="Z5106" s="4">
        <v>21</v>
      </c>
      <c r="AA5106" s="4">
        <v>31</v>
      </c>
      <c r="AB5106" s="4">
        <v>4</v>
      </c>
      <c r="AC5106" s="4">
        <v>7</v>
      </c>
      <c r="AD5106" s="4">
        <v>73</v>
      </c>
      <c r="AE5106" s="4">
        <v>78</v>
      </c>
      <c r="AF5106" s="4">
        <v>1</v>
      </c>
      <c r="AG5106" s="4">
        <v>1</v>
      </c>
      <c r="AH5106" s="4">
        <v>62</v>
      </c>
      <c r="AI5106" s="4">
        <v>66</v>
      </c>
      <c r="AJ5106" s="4">
        <v>12</v>
      </c>
      <c r="AK5106" s="4">
        <v>13</v>
      </c>
      <c r="AL5106" s="4">
        <v>38</v>
      </c>
      <c r="AM5106" s="4">
        <v>39</v>
      </c>
      <c r="AN5106" s="4">
        <v>0</v>
      </c>
      <c r="AO5106" s="4">
        <v>0</v>
      </c>
      <c r="AP5106" s="4">
        <v>15</v>
      </c>
      <c r="AQ5106" s="4">
        <v>17</v>
      </c>
      <c r="AR5106" s="3" t="s">
        <v>62</v>
      </c>
      <c r="AS5106" s="3" t="s">
        <v>62</v>
      </c>
      <c r="AT5106" s="3" t="s">
        <v>62</v>
      </c>
      <c r="AV5106" s="6" t="str">
        <f>HYPERLINK("http://mcgill.on.worldcat.org/oclc/302077933","Catalog Record")</f>
        <v>Catalog Record</v>
      </c>
      <c r="AW5106" s="6" t="str">
        <f>HYPERLINK("http://www.worldcat.org/oclc/302077933","WorldCat Record")</f>
        <v>WorldCat Record</v>
      </c>
      <c r="AX5106" s="3" t="s">
        <v>48975</v>
      </c>
      <c r="AY5106" s="3" t="s">
        <v>48976</v>
      </c>
      <c r="AZ5106" s="3" t="s">
        <v>48977</v>
      </c>
      <c r="BA5106" s="3" t="s">
        <v>48977</v>
      </c>
      <c r="BB5106" s="3" t="s">
        <v>48978</v>
      </c>
      <c r="BC5106" s="3" t="s">
        <v>102</v>
      </c>
      <c r="BD5106" s="3" t="s">
        <v>68</v>
      </c>
      <c r="BE5106" s="3" t="s">
        <v>48979</v>
      </c>
      <c r="BF5106" s="3" t="s">
        <v>48978</v>
      </c>
      <c r="BG5106" s="3" t="s">
        <v>48980</v>
      </c>
    </row>
    <row r="5107" spans="1:59" ht="58" x14ac:dyDescent="0.35">
      <c r="A5107" s="2" t="s">
        <v>89</v>
      </c>
      <c r="B5107" s="2" t="s">
        <v>90</v>
      </c>
      <c r="C5107" s="2" t="s">
        <v>48981</v>
      </c>
      <c r="D5107" s="2" t="s">
        <v>48982</v>
      </c>
      <c r="E5107" s="2" t="s">
        <v>48983</v>
      </c>
      <c r="G5107" s="3" t="s">
        <v>62</v>
      </c>
      <c r="I5107" s="3" t="s">
        <v>62</v>
      </c>
      <c r="J5107" s="3" t="s">
        <v>62</v>
      </c>
      <c r="K5107" s="3" t="s">
        <v>63</v>
      </c>
      <c r="M5107" s="2" t="s">
        <v>48984</v>
      </c>
      <c r="N5107" s="3" t="s">
        <v>3062</v>
      </c>
      <c r="P5107" s="3" t="s">
        <v>64</v>
      </c>
      <c r="R5107" s="3" t="s">
        <v>46535</v>
      </c>
      <c r="S5107" s="4">
        <v>16</v>
      </c>
      <c r="T5107" s="4">
        <v>16</v>
      </c>
      <c r="U5107" s="5" t="s">
        <v>48576</v>
      </c>
      <c r="V5107" s="5" t="s">
        <v>48576</v>
      </c>
      <c r="W5107" s="5" t="s">
        <v>67</v>
      </c>
      <c r="X5107" s="5" t="s">
        <v>67</v>
      </c>
      <c r="Y5107" s="4">
        <v>551</v>
      </c>
      <c r="Z5107" s="4">
        <v>29</v>
      </c>
      <c r="AA5107" s="4">
        <v>32</v>
      </c>
      <c r="AB5107" s="4">
        <v>1</v>
      </c>
      <c r="AC5107" s="4">
        <v>4</v>
      </c>
      <c r="AD5107" s="4">
        <v>117</v>
      </c>
      <c r="AE5107" s="4">
        <v>121</v>
      </c>
      <c r="AF5107" s="4">
        <v>0</v>
      </c>
      <c r="AG5107" s="4">
        <v>2</v>
      </c>
      <c r="AH5107" s="4">
        <v>99</v>
      </c>
      <c r="AI5107" s="4">
        <v>100</v>
      </c>
      <c r="AJ5107" s="4">
        <v>14</v>
      </c>
      <c r="AK5107" s="4">
        <v>16</v>
      </c>
      <c r="AL5107" s="4">
        <v>51</v>
      </c>
      <c r="AM5107" s="4">
        <v>53</v>
      </c>
      <c r="AN5107" s="4">
        <v>2</v>
      </c>
      <c r="AO5107" s="4">
        <v>2</v>
      </c>
      <c r="AP5107" s="4">
        <v>25</v>
      </c>
      <c r="AQ5107" s="4">
        <v>26</v>
      </c>
      <c r="AR5107" s="3" t="s">
        <v>62</v>
      </c>
      <c r="AS5107" s="3" t="s">
        <v>62</v>
      </c>
      <c r="AT5107" s="3" t="s">
        <v>61</v>
      </c>
      <c r="AU5107" s="6" t="str">
        <f>HYPERLINK("http://catalog.hathitrust.org/Record/002499066","HathiTrust Record")</f>
        <v>HathiTrust Record</v>
      </c>
      <c r="AV5107" s="6" t="str">
        <f>HYPERLINK("http://mcgill.on.worldcat.org/oclc/23015314","Catalog Record")</f>
        <v>Catalog Record</v>
      </c>
      <c r="AW5107" s="6" t="str">
        <f>HYPERLINK("http://www.worldcat.org/oclc/23015314","WorldCat Record")</f>
        <v>WorldCat Record</v>
      </c>
      <c r="AX5107" s="3" t="s">
        <v>48985</v>
      </c>
      <c r="AY5107" s="3" t="s">
        <v>48986</v>
      </c>
      <c r="AZ5107" s="3" t="s">
        <v>48987</v>
      </c>
      <c r="BA5107" s="3" t="s">
        <v>48987</v>
      </c>
      <c r="BB5107" s="3" t="s">
        <v>48988</v>
      </c>
      <c r="BC5107" s="3" t="s">
        <v>102</v>
      </c>
      <c r="BD5107" s="3" t="s">
        <v>231</v>
      </c>
      <c r="BE5107" s="3" t="s">
        <v>48989</v>
      </c>
      <c r="BF5107" s="3" t="s">
        <v>48988</v>
      </c>
      <c r="BG5107" s="3" t="s">
        <v>48990</v>
      </c>
    </row>
    <row r="5108" spans="1:59" ht="58" x14ac:dyDescent="0.35">
      <c r="A5108" s="2" t="s">
        <v>89</v>
      </c>
      <c r="B5108" s="2" t="s">
        <v>90</v>
      </c>
      <c r="C5108" s="2" t="s">
        <v>48991</v>
      </c>
      <c r="D5108" s="2" t="s">
        <v>48992</v>
      </c>
      <c r="E5108" s="2" t="s">
        <v>48993</v>
      </c>
      <c r="G5108" s="3" t="s">
        <v>62</v>
      </c>
      <c r="I5108" s="3" t="s">
        <v>61</v>
      </c>
      <c r="J5108" s="3" t="s">
        <v>61</v>
      </c>
      <c r="K5108" s="3" t="s">
        <v>63</v>
      </c>
      <c r="L5108" s="2" t="s">
        <v>46405</v>
      </c>
      <c r="M5108" s="2" t="s">
        <v>48994</v>
      </c>
      <c r="N5108" s="3" t="s">
        <v>684</v>
      </c>
      <c r="O5108" s="2" t="s">
        <v>17018</v>
      </c>
      <c r="P5108" s="3" t="s">
        <v>64</v>
      </c>
      <c r="R5108" s="3" t="s">
        <v>46535</v>
      </c>
      <c r="S5108" s="4">
        <v>33</v>
      </c>
      <c r="T5108" s="4">
        <v>65</v>
      </c>
      <c r="U5108" s="5" t="s">
        <v>48995</v>
      </c>
      <c r="V5108" s="5" t="s">
        <v>48995</v>
      </c>
      <c r="W5108" s="5" t="s">
        <v>67</v>
      </c>
      <c r="X5108" s="5" t="s">
        <v>67</v>
      </c>
      <c r="Y5108" s="4">
        <v>130</v>
      </c>
      <c r="Z5108" s="4">
        <v>17</v>
      </c>
      <c r="AA5108" s="4">
        <v>66</v>
      </c>
      <c r="AB5108" s="4">
        <v>2</v>
      </c>
      <c r="AC5108" s="4">
        <v>10</v>
      </c>
      <c r="AD5108" s="4">
        <v>32</v>
      </c>
      <c r="AE5108" s="4">
        <v>105</v>
      </c>
      <c r="AF5108" s="4">
        <v>1</v>
      </c>
      <c r="AG5108" s="4">
        <v>5</v>
      </c>
      <c r="AH5108" s="4">
        <v>25</v>
      </c>
      <c r="AI5108" s="4">
        <v>74</v>
      </c>
      <c r="AJ5108" s="4">
        <v>11</v>
      </c>
      <c r="AK5108" s="4">
        <v>21</v>
      </c>
      <c r="AL5108" s="4">
        <v>12</v>
      </c>
      <c r="AM5108" s="4">
        <v>42</v>
      </c>
      <c r="AN5108" s="4">
        <v>0</v>
      </c>
      <c r="AO5108" s="4">
        <v>0</v>
      </c>
      <c r="AP5108" s="4">
        <v>13</v>
      </c>
      <c r="AQ5108" s="4">
        <v>38</v>
      </c>
      <c r="AR5108" s="3" t="s">
        <v>62</v>
      </c>
      <c r="AS5108" s="3" t="s">
        <v>62</v>
      </c>
      <c r="AT5108" s="3" t="s">
        <v>62</v>
      </c>
      <c r="AV5108" s="6" t="str">
        <f>HYPERLINK("http://mcgill.on.worldcat.org/oclc/665064394","Catalog Record")</f>
        <v>Catalog Record</v>
      </c>
      <c r="AW5108" s="6" t="str">
        <f>HYPERLINK("http://www.worldcat.org/oclc/665064394","WorldCat Record")</f>
        <v>WorldCat Record</v>
      </c>
      <c r="AX5108" s="3" t="s">
        <v>48996</v>
      </c>
      <c r="AY5108" s="3" t="s">
        <v>48997</v>
      </c>
      <c r="AZ5108" s="3" t="s">
        <v>48998</v>
      </c>
      <c r="BA5108" s="3" t="s">
        <v>48998</v>
      </c>
      <c r="BB5108" s="3" t="s">
        <v>48999</v>
      </c>
      <c r="BC5108" s="3" t="s">
        <v>102</v>
      </c>
      <c r="BD5108" s="3" t="s">
        <v>68</v>
      </c>
      <c r="BE5108" s="3" t="s">
        <v>49000</v>
      </c>
      <c r="BF5108" s="3" t="s">
        <v>48999</v>
      </c>
      <c r="BG5108" s="3" t="s">
        <v>49001</v>
      </c>
    </row>
    <row r="5109" spans="1:59" ht="58" x14ac:dyDescent="0.35">
      <c r="A5109" s="2" t="s">
        <v>89</v>
      </c>
      <c r="B5109" s="2" t="s">
        <v>90</v>
      </c>
      <c r="C5109" s="2" t="s">
        <v>48991</v>
      </c>
      <c r="D5109" s="2" t="s">
        <v>48992</v>
      </c>
      <c r="E5109" s="2" t="s">
        <v>48993</v>
      </c>
      <c r="G5109" s="3" t="s">
        <v>62</v>
      </c>
      <c r="I5109" s="3" t="s">
        <v>61</v>
      </c>
      <c r="J5109" s="3" t="s">
        <v>61</v>
      </c>
      <c r="K5109" s="3" t="s">
        <v>63</v>
      </c>
      <c r="L5109" s="2" t="s">
        <v>46405</v>
      </c>
      <c r="M5109" s="2" t="s">
        <v>48994</v>
      </c>
      <c r="N5109" s="3" t="s">
        <v>684</v>
      </c>
      <c r="O5109" s="2" t="s">
        <v>17018</v>
      </c>
      <c r="P5109" s="3" t="s">
        <v>64</v>
      </c>
      <c r="R5109" s="3" t="s">
        <v>46535</v>
      </c>
      <c r="S5109" s="4">
        <v>32</v>
      </c>
      <c r="T5109" s="4">
        <v>65</v>
      </c>
      <c r="U5109" s="5" t="s">
        <v>7670</v>
      </c>
      <c r="V5109" s="5" t="s">
        <v>48995</v>
      </c>
      <c r="W5109" s="5" t="s">
        <v>67</v>
      </c>
      <c r="X5109" s="5" t="s">
        <v>67</v>
      </c>
      <c r="Y5109" s="4">
        <v>130</v>
      </c>
      <c r="Z5109" s="4">
        <v>17</v>
      </c>
      <c r="AA5109" s="4">
        <v>66</v>
      </c>
      <c r="AB5109" s="4">
        <v>2</v>
      </c>
      <c r="AC5109" s="4">
        <v>10</v>
      </c>
      <c r="AD5109" s="4">
        <v>32</v>
      </c>
      <c r="AE5109" s="4">
        <v>105</v>
      </c>
      <c r="AF5109" s="4">
        <v>1</v>
      </c>
      <c r="AG5109" s="4">
        <v>5</v>
      </c>
      <c r="AH5109" s="4">
        <v>25</v>
      </c>
      <c r="AI5109" s="4">
        <v>74</v>
      </c>
      <c r="AJ5109" s="4">
        <v>11</v>
      </c>
      <c r="AK5109" s="4">
        <v>21</v>
      </c>
      <c r="AL5109" s="4">
        <v>12</v>
      </c>
      <c r="AM5109" s="4">
        <v>42</v>
      </c>
      <c r="AN5109" s="4">
        <v>0</v>
      </c>
      <c r="AO5109" s="4">
        <v>0</v>
      </c>
      <c r="AP5109" s="4">
        <v>13</v>
      </c>
      <c r="AQ5109" s="4">
        <v>38</v>
      </c>
      <c r="AR5109" s="3" t="s">
        <v>62</v>
      </c>
      <c r="AS5109" s="3" t="s">
        <v>62</v>
      </c>
      <c r="AT5109" s="3" t="s">
        <v>62</v>
      </c>
      <c r="AV5109" s="6" t="str">
        <f>HYPERLINK("http://mcgill.on.worldcat.org/oclc/665064394","Catalog Record")</f>
        <v>Catalog Record</v>
      </c>
      <c r="AW5109" s="6" t="str">
        <f>HYPERLINK("http://www.worldcat.org/oclc/665064394","WorldCat Record")</f>
        <v>WorldCat Record</v>
      </c>
      <c r="AX5109" s="3" t="s">
        <v>48996</v>
      </c>
      <c r="AY5109" s="3" t="s">
        <v>48997</v>
      </c>
      <c r="AZ5109" s="3" t="s">
        <v>48998</v>
      </c>
      <c r="BA5109" s="3" t="s">
        <v>48998</v>
      </c>
      <c r="BB5109" s="3" t="s">
        <v>49002</v>
      </c>
      <c r="BC5109" s="3" t="s">
        <v>102</v>
      </c>
      <c r="BD5109" s="3" t="s">
        <v>68</v>
      </c>
      <c r="BE5109" s="3" t="s">
        <v>49000</v>
      </c>
      <c r="BF5109" s="3" t="s">
        <v>49002</v>
      </c>
      <c r="BG5109" s="3" t="s">
        <v>49003</v>
      </c>
    </row>
    <row r="5110" spans="1:59" ht="58" x14ac:dyDescent="0.35">
      <c r="A5110" s="2" t="s">
        <v>89</v>
      </c>
      <c r="B5110" s="2" t="s">
        <v>90</v>
      </c>
      <c r="C5110" s="2" t="s">
        <v>49004</v>
      </c>
      <c r="D5110" s="2" t="s">
        <v>49005</v>
      </c>
      <c r="E5110" s="2" t="s">
        <v>48993</v>
      </c>
      <c r="F5110" s="3" t="s">
        <v>22459</v>
      </c>
      <c r="G5110" s="3" t="s">
        <v>62</v>
      </c>
      <c r="I5110" s="3" t="s">
        <v>61</v>
      </c>
      <c r="J5110" s="3" t="s">
        <v>61</v>
      </c>
      <c r="K5110" s="3" t="s">
        <v>63</v>
      </c>
      <c r="L5110" s="2" t="s">
        <v>46405</v>
      </c>
      <c r="M5110" s="2" t="s">
        <v>11045</v>
      </c>
      <c r="N5110" s="3" t="s">
        <v>625</v>
      </c>
      <c r="O5110" s="2" t="s">
        <v>17648</v>
      </c>
      <c r="P5110" s="3" t="s">
        <v>64</v>
      </c>
      <c r="R5110" s="3" t="s">
        <v>46535</v>
      </c>
      <c r="S5110" s="4">
        <v>249</v>
      </c>
      <c r="T5110" s="4">
        <v>550</v>
      </c>
      <c r="U5110" s="5" t="s">
        <v>49006</v>
      </c>
      <c r="V5110" s="5" t="s">
        <v>16010</v>
      </c>
      <c r="W5110" s="5" t="s">
        <v>67</v>
      </c>
      <c r="X5110" s="5" t="s">
        <v>67</v>
      </c>
      <c r="Y5110" s="4">
        <v>123</v>
      </c>
      <c r="Z5110" s="4">
        <v>10</v>
      </c>
      <c r="AA5110" s="4">
        <v>66</v>
      </c>
      <c r="AB5110" s="4">
        <v>1</v>
      </c>
      <c r="AC5110" s="4">
        <v>10</v>
      </c>
      <c r="AD5110" s="4">
        <v>27</v>
      </c>
      <c r="AE5110" s="4">
        <v>105</v>
      </c>
      <c r="AF5110" s="4">
        <v>0</v>
      </c>
      <c r="AG5110" s="4">
        <v>5</v>
      </c>
      <c r="AH5110" s="4">
        <v>22</v>
      </c>
      <c r="AI5110" s="4">
        <v>74</v>
      </c>
      <c r="AJ5110" s="4">
        <v>6</v>
      </c>
      <c r="AK5110" s="4">
        <v>21</v>
      </c>
      <c r="AL5110" s="4">
        <v>18</v>
      </c>
      <c r="AM5110" s="4">
        <v>42</v>
      </c>
      <c r="AN5110" s="4">
        <v>0</v>
      </c>
      <c r="AO5110" s="4">
        <v>0</v>
      </c>
      <c r="AP5110" s="4">
        <v>7</v>
      </c>
      <c r="AQ5110" s="4">
        <v>38</v>
      </c>
      <c r="AR5110" s="3" t="s">
        <v>62</v>
      </c>
      <c r="AS5110" s="3" t="s">
        <v>62</v>
      </c>
      <c r="AT5110" s="3" t="s">
        <v>62</v>
      </c>
      <c r="AV5110" s="6" t="str">
        <f>HYPERLINK("http://mcgill.on.worldcat.org/oclc/48920566","Catalog Record")</f>
        <v>Catalog Record</v>
      </c>
      <c r="AW5110" s="6" t="str">
        <f>HYPERLINK("http://www.worldcat.org/oclc/48920566","WorldCat Record")</f>
        <v>WorldCat Record</v>
      </c>
      <c r="AX5110" s="3" t="s">
        <v>48996</v>
      </c>
      <c r="AY5110" s="3" t="s">
        <v>49007</v>
      </c>
      <c r="AZ5110" s="3" t="s">
        <v>49008</v>
      </c>
      <c r="BA5110" s="3" t="s">
        <v>49008</v>
      </c>
      <c r="BB5110" s="3" t="s">
        <v>49009</v>
      </c>
      <c r="BC5110" s="3" t="s">
        <v>102</v>
      </c>
      <c r="BD5110" s="3" t="s">
        <v>68</v>
      </c>
      <c r="BE5110" s="3" t="s">
        <v>49010</v>
      </c>
      <c r="BF5110" s="3" t="s">
        <v>49009</v>
      </c>
      <c r="BG5110" s="3" t="s">
        <v>49011</v>
      </c>
    </row>
    <row r="5111" spans="1:59" ht="58" x14ac:dyDescent="0.35">
      <c r="A5111" s="2" t="s">
        <v>89</v>
      </c>
      <c r="B5111" s="2" t="s">
        <v>90</v>
      </c>
      <c r="C5111" s="2" t="s">
        <v>49004</v>
      </c>
      <c r="D5111" s="2" t="s">
        <v>49005</v>
      </c>
      <c r="E5111" s="2" t="s">
        <v>48993</v>
      </c>
      <c r="F5111" s="3" t="s">
        <v>22459</v>
      </c>
      <c r="G5111" s="3" t="s">
        <v>62</v>
      </c>
      <c r="I5111" s="3" t="s">
        <v>61</v>
      </c>
      <c r="J5111" s="3" t="s">
        <v>61</v>
      </c>
      <c r="K5111" s="3" t="s">
        <v>63</v>
      </c>
      <c r="L5111" s="2" t="s">
        <v>46405</v>
      </c>
      <c r="M5111" s="2" t="s">
        <v>11045</v>
      </c>
      <c r="N5111" s="3" t="s">
        <v>625</v>
      </c>
      <c r="O5111" s="2" t="s">
        <v>17648</v>
      </c>
      <c r="P5111" s="3" t="s">
        <v>64</v>
      </c>
      <c r="R5111" s="3" t="s">
        <v>46535</v>
      </c>
      <c r="S5111" s="4">
        <v>191</v>
      </c>
      <c r="T5111" s="4">
        <v>550</v>
      </c>
      <c r="U5111" s="5" t="s">
        <v>49012</v>
      </c>
      <c r="V5111" s="5" t="s">
        <v>16010</v>
      </c>
      <c r="W5111" s="5" t="s">
        <v>67</v>
      </c>
      <c r="X5111" s="5" t="s">
        <v>67</v>
      </c>
      <c r="Y5111" s="4">
        <v>123</v>
      </c>
      <c r="Z5111" s="4">
        <v>10</v>
      </c>
      <c r="AA5111" s="4">
        <v>66</v>
      </c>
      <c r="AB5111" s="4">
        <v>1</v>
      </c>
      <c r="AC5111" s="4">
        <v>10</v>
      </c>
      <c r="AD5111" s="4">
        <v>27</v>
      </c>
      <c r="AE5111" s="4">
        <v>105</v>
      </c>
      <c r="AF5111" s="4">
        <v>0</v>
      </c>
      <c r="AG5111" s="4">
        <v>5</v>
      </c>
      <c r="AH5111" s="4">
        <v>22</v>
      </c>
      <c r="AI5111" s="4">
        <v>74</v>
      </c>
      <c r="AJ5111" s="4">
        <v>6</v>
      </c>
      <c r="AK5111" s="4">
        <v>21</v>
      </c>
      <c r="AL5111" s="4">
        <v>18</v>
      </c>
      <c r="AM5111" s="4">
        <v>42</v>
      </c>
      <c r="AN5111" s="4">
        <v>0</v>
      </c>
      <c r="AO5111" s="4">
        <v>0</v>
      </c>
      <c r="AP5111" s="4">
        <v>7</v>
      </c>
      <c r="AQ5111" s="4">
        <v>38</v>
      </c>
      <c r="AR5111" s="3" t="s">
        <v>62</v>
      </c>
      <c r="AS5111" s="3" t="s">
        <v>62</v>
      </c>
      <c r="AT5111" s="3" t="s">
        <v>62</v>
      </c>
      <c r="AV5111" s="6" t="str">
        <f>HYPERLINK("http://mcgill.on.worldcat.org/oclc/48920566","Catalog Record")</f>
        <v>Catalog Record</v>
      </c>
      <c r="AW5111" s="6" t="str">
        <f>HYPERLINK("http://www.worldcat.org/oclc/48920566","WorldCat Record")</f>
        <v>WorldCat Record</v>
      </c>
      <c r="AX5111" s="3" t="s">
        <v>48996</v>
      </c>
      <c r="AY5111" s="3" t="s">
        <v>49007</v>
      </c>
      <c r="AZ5111" s="3" t="s">
        <v>49008</v>
      </c>
      <c r="BA5111" s="3" t="s">
        <v>49008</v>
      </c>
      <c r="BB5111" s="3" t="s">
        <v>49013</v>
      </c>
      <c r="BC5111" s="3" t="s">
        <v>102</v>
      </c>
      <c r="BD5111" s="3" t="s">
        <v>68</v>
      </c>
      <c r="BE5111" s="3" t="s">
        <v>49010</v>
      </c>
      <c r="BF5111" s="3" t="s">
        <v>49013</v>
      </c>
      <c r="BG5111" s="3" t="s">
        <v>49014</v>
      </c>
    </row>
    <row r="5112" spans="1:59" ht="58" x14ac:dyDescent="0.35">
      <c r="A5112" s="2" t="s">
        <v>89</v>
      </c>
      <c r="B5112" s="2" t="s">
        <v>90</v>
      </c>
      <c r="C5112" s="2" t="s">
        <v>49004</v>
      </c>
      <c r="D5112" s="2" t="s">
        <v>49005</v>
      </c>
      <c r="E5112" s="2" t="s">
        <v>48993</v>
      </c>
      <c r="F5112" s="3" t="s">
        <v>22459</v>
      </c>
      <c r="G5112" s="3" t="s">
        <v>62</v>
      </c>
      <c r="I5112" s="3" t="s">
        <v>61</v>
      </c>
      <c r="J5112" s="3" t="s">
        <v>61</v>
      </c>
      <c r="K5112" s="3" t="s">
        <v>63</v>
      </c>
      <c r="L5112" s="2" t="s">
        <v>46405</v>
      </c>
      <c r="M5112" s="2" t="s">
        <v>11045</v>
      </c>
      <c r="N5112" s="3" t="s">
        <v>625</v>
      </c>
      <c r="O5112" s="2" t="s">
        <v>17648</v>
      </c>
      <c r="P5112" s="3" t="s">
        <v>64</v>
      </c>
      <c r="R5112" s="3" t="s">
        <v>46535</v>
      </c>
      <c r="S5112" s="4">
        <v>57</v>
      </c>
      <c r="T5112" s="4">
        <v>550</v>
      </c>
      <c r="U5112" s="5" t="s">
        <v>49015</v>
      </c>
      <c r="V5112" s="5" t="s">
        <v>16010</v>
      </c>
      <c r="W5112" s="5" t="s">
        <v>67</v>
      </c>
      <c r="X5112" s="5" t="s">
        <v>67</v>
      </c>
      <c r="Y5112" s="4">
        <v>123</v>
      </c>
      <c r="Z5112" s="4">
        <v>10</v>
      </c>
      <c r="AA5112" s="4">
        <v>66</v>
      </c>
      <c r="AB5112" s="4">
        <v>1</v>
      </c>
      <c r="AC5112" s="4">
        <v>10</v>
      </c>
      <c r="AD5112" s="4">
        <v>27</v>
      </c>
      <c r="AE5112" s="4">
        <v>105</v>
      </c>
      <c r="AF5112" s="4">
        <v>0</v>
      </c>
      <c r="AG5112" s="4">
        <v>5</v>
      </c>
      <c r="AH5112" s="4">
        <v>22</v>
      </c>
      <c r="AI5112" s="4">
        <v>74</v>
      </c>
      <c r="AJ5112" s="4">
        <v>6</v>
      </c>
      <c r="AK5112" s="4">
        <v>21</v>
      </c>
      <c r="AL5112" s="4">
        <v>18</v>
      </c>
      <c r="AM5112" s="4">
        <v>42</v>
      </c>
      <c r="AN5112" s="4">
        <v>0</v>
      </c>
      <c r="AO5112" s="4">
        <v>0</v>
      </c>
      <c r="AP5112" s="4">
        <v>7</v>
      </c>
      <c r="AQ5112" s="4">
        <v>38</v>
      </c>
      <c r="AR5112" s="3" t="s">
        <v>62</v>
      </c>
      <c r="AS5112" s="3" t="s">
        <v>62</v>
      </c>
      <c r="AT5112" s="3" t="s">
        <v>62</v>
      </c>
      <c r="AV5112" s="6" t="str">
        <f>HYPERLINK("http://mcgill.on.worldcat.org/oclc/48920566","Catalog Record")</f>
        <v>Catalog Record</v>
      </c>
      <c r="AW5112" s="6" t="str">
        <f>HYPERLINK("http://www.worldcat.org/oclc/48920566","WorldCat Record")</f>
        <v>WorldCat Record</v>
      </c>
      <c r="AX5112" s="3" t="s">
        <v>48996</v>
      </c>
      <c r="AY5112" s="3" t="s">
        <v>49007</v>
      </c>
      <c r="AZ5112" s="3" t="s">
        <v>49008</v>
      </c>
      <c r="BA5112" s="3" t="s">
        <v>49008</v>
      </c>
      <c r="BB5112" s="3" t="s">
        <v>49016</v>
      </c>
      <c r="BC5112" s="3" t="s">
        <v>102</v>
      </c>
      <c r="BD5112" s="3" t="s">
        <v>68</v>
      </c>
      <c r="BE5112" s="3" t="s">
        <v>49010</v>
      </c>
      <c r="BF5112" s="3" t="s">
        <v>49016</v>
      </c>
      <c r="BG5112" s="3" t="s">
        <v>49017</v>
      </c>
    </row>
    <row r="5113" spans="1:59" ht="58" x14ac:dyDescent="0.35">
      <c r="A5113" s="2" t="s">
        <v>89</v>
      </c>
      <c r="B5113" s="2" t="s">
        <v>90</v>
      </c>
      <c r="C5113" s="2" t="s">
        <v>49004</v>
      </c>
      <c r="D5113" s="2" t="s">
        <v>49005</v>
      </c>
      <c r="E5113" s="2" t="s">
        <v>48993</v>
      </c>
      <c r="F5113" s="3" t="s">
        <v>22459</v>
      </c>
      <c r="G5113" s="3" t="s">
        <v>62</v>
      </c>
      <c r="I5113" s="3" t="s">
        <v>61</v>
      </c>
      <c r="J5113" s="3" t="s">
        <v>61</v>
      </c>
      <c r="K5113" s="3" t="s">
        <v>63</v>
      </c>
      <c r="L5113" s="2" t="s">
        <v>46405</v>
      </c>
      <c r="M5113" s="2" t="s">
        <v>11045</v>
      </c>
      <c r="N5113" s="3" t="s">
        <v>625</v>
      </c>
      <c r="O5113" s="2" t="s">
        <v>17648</v>
      </c>
      <c r="P5113" s="3" t="s">
        <v>64</v>
      </c>
      <c r="R5113" s="3" t="s">
        <v>46535</v>
      </c>
      <c r="S5113" s="4">
        <v>53</v>
      </c>
      <c r="T5113" s="4">
        <v>550</v>
      </c>
      <c r="U5113" s="5" t="s">
        <v>16010</v>
      </c>
      <c r="V5113" s="5" t="s">
        <v>16010</v>
      </c>
      <c r="W5113" s="5" t="s">
        <v>67</v>
      </c>
      <c r="X5113" s="5" t="s">
        <v>67</v>
      </c>
      <c r="Y5113" s="4">
        <v>123</v>
      </c>
      <c r="Z5113" s="4">
        <v>10</v>
      </c>
      <c r="AA5113" s="4">
        <v>66</v>
      </c>
      <c r="AB5113" s="4">
        <v>1</v>
      </c>
      <c r="AC5113" s="4">
        <v>10</v>
      </c>
      <c r="AD5113" s="4">
        <v>27</v>
      </c>
      <c r="AE5113" s="4">
        <v>105</v>
      </c>
      <c r="AF5113" s="4">
        <v>0</v>
      </c>
      <c r="AG5113" s="4">
        <v>5</v>
      </c>
      <c r="AH5113" s="4">
        <v>22</v>
      </c>
      <c r="AI5113" s="4">
        <v>74</v>
      </c>
      <c r="AJ5113" s="4">
        <v>6</v>
      </c>
      <c r="AK5113" s="4">
        <v>21</v>
      </c>
      <c r="AL5113" s="4">
        <v>18</v>
      </c>
      <c r="AM5113" s="4">
        <v>42</v>
      </c>
      <c r="AN5113" s="4">
        <v>0</v>
      </c>
      <c r="AO5113" s="4">
        <v>0</v>
      </c>
      <c r="AP5113" s="4">
        <v>7</v>
      </c>
      <c r="AQ5113" s="4">
        <v>38</v>
      </c>
      <c r="AR5113" s="3" t="s">
        <v>62</v>
      </c>
      <c r="AS5113" s="3" t="s">
        <v>62</v>
      </c>
      <c r="AT5113" s="3" t="s">
        <v>62</v>
      </c>
      <c r="AV5113" s="6" t="str">
        <f>HYPERLINK("http://mcgill.on.worldcat.org/oclc/48920566","Catalog Record")</f>
        <v>Catalog Record</v>
      </c>
      <c r="AW5113" s="6" t="str">
        <f>HYPERLINK("http://www.worldcat.org/oclc/48920566","WorldCat Record")</f>
        <v>WorldCat Record</v>
      </c>
      <c r="AX5113" s="3" t="s">
        <v>48996</v>
      </c>
      <c r="AY5113" s="3" t="s">
        <v>49007</v>
      </c>
      <c r="AZ5113" s="3" t="s">
        <v>49008</v>
      </c>
      <c r="BA5113" s="3" t="s">
        <v>49008</v>
      </c>
      <c r="BB5113" s="3" t="s">
        <v>49018</v>
      </c>
      <c r="BC5113" s="3" t="s">
        <v>102</v>
      </c>
      <c r="BD5113" s="3" t="s">
        <v>68</v>
      </c>
      <c r="BE5113" s="3" t="s">
        <v>49010</v>
      </c>
      <c r="BF5113" s="3" t="s">
        <v>49018</v>
      </c>
      <c r="BG5113" s="3" t="s">
        <v>49019</v>
      </c>
    </row>
    <row r="5114" spans="1:59" ht="58" x14ac:dyDescent="0.35">
      <c r="A5114" s="2" t="s">
        <v>89</v>
      </c>
      <c r="B5114" s="2" t="s">
        <v>90</v>
      </c>
      <c r="C5114" s="2" t="s">
        <v>49020</v>
      </c>
      <c r="D5114" s="2" t="s">
        <v>49021</v>
      </c>
      <c r="E5114" s="2" t="s">
        <v>49022</v>
      </c>
      <c r="G5114" s="3" t="s">
        <v>62</v>
      </c>
      <c r="I5114" s="3" t="s">
        <v>61</v>
      </c>
      <c r="J5114" s="3" t="s">
        <v>61</v>
      </c>
      <c r="K5114" s="3" t="s">
        <v>63</v>
      </c>
      <c r="M5114" s="2" t="s">
        <v>49023</v>
      </c>
      <c r="N5114" s="3" t="s">
        <v>568</v>
      </c>
      <c r="O5114" s="2" t="s">
        <v>2986</v>
      </c>
      <c r="P5114" s="3" t="s">
        <v>64</v>
      </c>
      <c r="R5114" s="3" t="s">
        <v>46535</v>
      </c>
      <c r="S5114" s="4">
        <v>14</v>
      </c>
      <c r="T5114" s="4">
        <v>26</v>
      </c>
      <c r="U5114" s="5" t="s">
        <v>49024</v>
      </c>
      <c r="V5114" s="5" t="s">
        <v>1761</v>
      </c>
      <c r="W5114" s="5" t="s">
        <v>67</v>
      </c>
      <c r="X5114" s="5" t="s">
        <v>67</v>
      </c>
      <c r="Y5114" s="4">
        <v>353</v>
      </c>
      <c r="Z5114" s="4">
        <v>28</v>
      </c>
      <c r="AA5114" s="4">
        <v>90</v>
      </c>
      <c r="AB5114" s="4">
        <v>2</v>
      </c>
      <c r="AC5114" s="4">
        <v>15</v>
      </c>
      <c r="AD5114" s="4">
        <v>92</v>
      </c>
      <c r="AE5114" s="4">
        <v>148</v>
      </c>
      <c r="AF5114" s="4">
        <v>0</v>
      </c>
      <c r="AG5114" s="4">
        <v>8</v>
      </c>
      <c r="AH5114" s="4">
        <v>76</v>
      </c>
      <c r="AI5114" s="4">
        <v>106</v>
      </c>
      <c r="AJ5114" s="4">
        <v>16</v>
      </c>
      <c r="AK5114" s="4">
        <v>25</v>
      </c>
      <c r="AL5114" s="4">
        <v>46</v>
      </c>
      <c r="AM5114" s="4">
        <v>57</v>
      </c>
      <c r="AN5114" s="4">
        <v>0</v>
      </c>
      <c r="AO5114" s="4">
        <v>0</v>
      </c>
      <c r="AP5114" s="4">
        <v>22</v>
      </c>
      <c r="AQ5114" s="4">
        <v>49</v>
      </c>
      <c r="AR5114" s="3" t="s">
        <v>62</v>
      </c>
      <c r="AS5114" s="3" t="s">
        <v>62</v>
      </c>
      <c r="AT5114" s="3" t="s">
        <v>62</v>
      </c>
      <c r="AV5114" s="6" t="str">
        <f>HYPERLINK("http://mcgill.on.worldcat.org/oclc/41606510","Catalog Record")</f>
        <v>Catalog Record</v>
      </c>
      <c r="AW5114" s="6" t="str">
        <f>HYPERLINK("http://www.worldcat.org/oclc/41606510","WorldCat Record")</f>
        <v>WorldCat Record</v>
      </c>
      <c r="AX5114" s="3" t="s">
        <v>49025</v>
      </c>
      <c r="AY5114" s="3" t="s">
        <v>49026</v>
      </c>
      <c r="AZ5114" s="3" t="s">
        <v>49027</v>
      </c>
      <c r="BA5114" s="3" t="s">
        <v>49027</v>
      </c>
      <c r="BB5114" s="3" t="s">
        <v>49028</v>
      </c>
      <c r="BC5114" s="3" t="s">
        <v>102</v>
      </c>
      <c r="BD5114" s="3" t="s">
        <v>68</v>
      </c>
      <c r="BE5114" s="3" t="s">
        <v>49029</v>
      </c>
      <c r="BF5114" s="3" t="s">
        <v>49028</v>
      </c>
      <c r="BG5114" s="3" t="s">
        <v>49030</v>
      </c>
    </row>
    <row r="5115" spans="1:59" ht="58" x14ac:dyDescent="0.35">
      <c r="A5115" s="2" t="s">
        <v>89</v>
      </c>
      <c r="B5115" s="2" t="s">
        <v>90</v>
      </c>
      <c r="C5115" s="2" t="s">
        <v>49031</v>
      </c>
      <c r="D5115" s="2" t="s">
        <v>49032</v>
      </c>
      <c r="E5115" s="2" t="s">
        <v>49033</v>
      </c>
      <c r="G5115" s="3" t="s">
        <v>62</v>
      </c>
      <c r="I5115" s="3" t="s">
        <v>61</v>
      </c>
      <c r="J5115" s="3" t="s">
        <v>61</v>
      </c>
      <c r="K5115" s="3" t="s">
        <v>63</v>
      </c>
      <c r="L5115" s="2" t="s">
        <v>49034</v>
      </c>
      <c r="M5115" s="2" t="s">
        <v>38867</v>
      </c>
      <c r="N5115" s="3" t="s">
        <v>655</v>
      </c>
      <c r="O5115" s="2" t="s">
        <v>17648</v>
      </c>
      <c r="P5115" s="3" t="s">
        <v>64</v>
      </c>
      <c r="R5115" s="3" t="s">
        <v>46535</v>
      </c>
      <c r="S5115" s="4">
        <v>14</v>
      </c>
      <c r="T5115" s="4">
        <v>21</v>
      </c>
      <c r="U5115" s="5" t="s">
        <v>20492</v>
      </c>
      <c r="V5115" s="5" t="s">
        <v>20492</v>
      </c>
      <c r="W5115" s="5" t="s">
        <v>67</v>
      </c>
      <c r="X5115" s="5" t="s">
        <v>67</v>
      </c>
      <c r="Y5115" s="4">
        <v>208</v>
      </c>
      <c r="Z5115" s="4">
        <v>24</v>
      </c>
      <c r="AA5115" s="4">
        <v>53</v>
      </c>
      <c r="AB5115" s="4">
        <v>3</v>
      </c>
      <c r="AC5115" s="4">
        <v>7</v>
      </c>
      <c r="AD5115" s="4">
        <v>61</v>
      </c>
      <c r="AE5115" s="4">
        <v>130</v>
      </c>
      <c r="AF5115" s="4">
        <v>1</v>
      </c>
      <c r="AG5115" s="4">
        <v>3</v>
      </c>
      <c r="AH5115" s="4">
        <v>50</v>
      </c>
      <c r="AI5115" s="4">
        <v>100</v>
      </c>
      <c r="AJ5115" s="4">
        <v>13</v>
      </c>
      <c r="AK5115" s="4">
        <v>23</v>
      </c>
      <c r="AL5115" s="4">
        <v>34</v>
      </c>
      <c r="AM5115" s="4">
        <v>54</v>
      </c>
      <c r="AN5115" s="4">
        <v>0</v>
      </c>
      <c r="AO5115" s="4">
        <v>0</v>
      </c>
      <c r="AP5115" s="4">
        <v>15</v>
      </c>
      <c r="AQ5115" s="4">
        <v>35</v>
      </c>
      <c r="AR5115" s="3" t="s">
        <v>62</v>
      </c>
      <c r="AS5115" s="3" t="s">
        <v>62</v>
      </c>
      <c r="AT5115" s="3" t="s">
        <v>62</v>
      </c>
      <c r="AV5115" s="6" t="str">
        <f>HYPERLINK("http://mcgill.on.worldcat.org/oclc/85814094","Catalog Record")</f>
        <v>Catalog Record</v>
      </c>
      <c r="AW5115" s="6" t="str">
        <f>HYPERLINK("http://www.worldcat.org/oclc/85814094","WorldCat Record")</f>
        <v>WorldCat Record</v>
      </c>
      <c r="AX5115" s="3" t="s">
        <v>49035</v>
      </c>
      <c r="AY5115" s="3" t="s">
        <v>49036</v>
      </c>
      <c r="AZ5115" s="3" t="s">
        <v>49037</v>
      </c>
      <c r="BA5115" s="3" t="s">
        <v>49037</v>
      </c>
      <c r="BB5115" s="3" t="s">
        <v>49038</v>
      </c>
      <c r="BC5115" s="3" t="s">
        <v>102</v>
      </c>
      <c r="BD5115" s="3" t="s">
        <v>68</v>
      </c>
      <c r="BE5115" s="3" t="s">
        <v>49039</v>
      </c>
      <c r="BF5115" s="3" t="s">
        <v>49038</v>
      </c>
      <c r="BG5115" s="3" t="s">
        <v>49040</v>
      </c>
    </row>
    <row r="5116" spans="1:59" ht="58" x14ac:dyDescent="0.35">
      <c r="A5116" s="2" t="s">
        <v>89</v>
      </c>
      <c r="B5116" s="2" t="s">
        <v>90</v>
      </c>
      <c r="C5116" s="2" t="s">
        <v>49031</v>
      </c>
      <c r="D5116" s="2" t="s">
        <v>49032</v>
      </c>
      <c r="E5116" s="2" t="s">
        <v>49033</v>
      </c>
      <c r="G5116" s="3" t="s">
        <v>62</v>
      </c>
      <c r="I5116" s="3" t="s">
        <v>61</v>
      </c>
      <c r="J5116" s="3" t="s">
        <v>61</v>
      </c>
      <c r="K5116" s="3" t="s">
        <v>63</v>
      </c>
      <c r="L5116" s="2" t="s">
        <v>49034</v>
      </c>
      <c r="M5116" s="2" t="s">
        <v>38867</v>
      </c>
      <c r="N5116" s="3" t="s">
        <v>655</v>
      </c>
      <c r="O5116" s="2" t="s">
        <v>17648</v>
      </c>
      <c r="P5116" s="3" t="s">
        <v>64</v>
      </c>
      <c r="R5116" s="3" t="s">
        <v>46535</v>
      </c>
      <c r="S5116" s="4">
        <v>7</v>
      </c>
      <c r="T5116" s="4">
        <v>21</v>
      </c>
      <c r="U5116" s="5" t="s">
        <v>49041</v>
      </c>
      <c r="V5116" s="5" t="s">
        <v>20492</v>
      </c>
      <c r="W5116" s="5" t="s">
        <v>67</v>
      </c>
      <c r="X5116" s="5" t="s">
        <v>67</v>
      </c>
      <c r="Y5116" s="4">
        <v>208</v>
      </c>
      <c r="Z5116" s="4">
        <v>24</v>
      </c>
      <c r="AA5116" s="4">
        <v>53</v>
      </c>
      <c r="AB5116" s="4">
        <v>3</v>
      </c>
      <c r="AC5116" s="4">
        <v>7</v>
      </c>
      <c r="AD5116" s="4">
        <v>61</v>
      </c>
      <c r="AE5116" s="4">
        <v>130</v>
      </c>
      <c r="AF5116" s="4">
        <v>1</v>
      </c>
      <c r="AG5116" s="4">
        <v>3</v>
      </c>
      <c r="AH5116" s="4">
        <v>50</v>
      </c>
      <c r="AI5116" s="4">
        <v>100</v>
      </c>
      <c r="AJ5116" s="4">
        <v>13</v>
      </c>
      <c r="AK5116" s="4">
        <v>23</v>
      </c>
      <c r="AL5116" s="4">
        <v>34</v>
      </c>
      <c r="AM5116" s="4">
        <v>54</v>
      </c>
      <c r="AN5116" s="4">
        <v>0</v>
      </c>
      <c r="AO5116" s="4">
        <v>0</v>
      </c>
      <c r="AP5116" s="4">
        <v>15</v>
      </c>
      <c r="AQ5116" s="4">
        <v>35</v>
      </c>
      <c r="AR5116" s="3" t="s">
        <v>62</v>
      </c>
      <c r="AS5116" s="3" t="s">
        <v>62</v>
      </c>
      <c r="AT5116" s="3" t="s">
        <v>62</v>
      </c>
      <c r="AV5116" s="6" t="str">
        <f>HYPERLINK("http://mcgill.on.worldcat.org/oclc/85814094","Catalog Record")</f>
        <v>Catalog Record</v>
      </c>
      <c r="AW5116" s="6" t="str">
        <f>HYPERLINK("http://www.worldcat.org/oclc/85814094","WorldCat Record")</f>
        <v>WorldCat Record</v>
      </c>
      <c r="AX5116" s="3" t="s">
        <v>49035</v>
      </c>
      <c r="AY5116" s="3" t="s">
        <v>49036</v>
      </c>
      <c r="AZ5116" s="3" t="s">
        <v>49037</v>
      </c>
      <c r="BA5116" s="3" t="s">
        <v>49037</v>
      </c>
      <c r="BB5116" s="3" t="s">
        <v>49042</v>
      </c>
      <c r="BC5116" s="3" t="s">
        <v>102</v>
      </c>
      <c r="BD5116" s="3" t="s">
        <v>68</v>
      </c>
      <c r="BE5116" s="3" t="s">
        <v>49039</v>
      </c>
      <c r="BF5116" s="3" t="s">
        <v>49042</v>
      </c>
      <c r="BG5116" s="3" t="s">
        <v>49043</v>
      </c>
    </row>
    <row r="5117" spans="1:59" ht="58" x14ac:dyDescent="0.35">
      <c r="A5117" s="2" t="s">
        <v>89</v>
      </c>
      <c r="B5117" s="2" t="s">
        <v>90</v>
      </c>
      <c r="C5117" s="2" t="s">
        <v>49044</v>
      </c>
      <c r="D5117" s="2" t="s">
        <v>49045</v>
      </c>
      <c r="E5117" s="2" t="s">
        <v>49046</v>
      </c>
      <c r="G5117" s="3" t="s">
        <v>62</v>
      </c>
      <c r="I5117" s="3" t="s">
        <v>62</v>
      </c>
      <c r="J5117" s="3" t="s">
        <v>62</v>
      </c>
      <c r="K5117" s="3" t="s">
        <v>63</v>
      </c>
      <c r="L5117" s="2" t="s">
        <v>49047</v>
      </c>
      <c r="M5117" s="2" t="s">
        <v>49048</v>
      </c>
      <c r="N5117" s="3" t="s">
        <v>596</v>
      </c>
      <c r="P5117" s="3" t="s">
        <v>64</v>
      </c>
      <c r="R5117" s="3" t="s">
        <v>46535</v>
      </c>
      <c r="S5117" s="4">
        <v>20</v>
      </c>
      <c r="T5117" s="4">
        <v>20</v>
      </c>
      <c r="U5117" s="5" t="s">
        <v>7495</v>
      </c>
      <c r="V5117" s="5" t="s">
        <v>7495</v>
      </c>
      <c r="W5117" s="5" t="s">
        <v>67</v>
      </c>
      <c r="X5117" s="5" t="s">
        <v>67</v>
      </c>
      <c r="Y5117" s="4">
        <v>589</v>
      </c>
      <c r="Z5117" s="4">
        <v>28</v>
      </c>
      <c r="AA5117" s="4">
        <v>41</v>
      </c>
      <c r="AB5117" s="4">
        <v>2</v>
      </c>
      <c r="AC5117" s="4">
        <v>3</v>
      </c>
      <c r="AD5117" s="4">
        <v>86</v>
      </c>
      <c r="AE5117" s="4">
        <v>95</v>
      </c>
      <c r="AF5117" s="4">
        <v>1</v>
      </c>
      <c r="AG5117" s="4">
        <v>2</v>
      </c>
      <c r="AH5117" s="4">
        <v>78</v>
      </c>
      <c r="AI5117" s="4">
        <v>82</v>
      </c>
      <c r="AJ5117" s="4">
        <v>12</v>
      </c>
      <c r="AK5117" s="4">
        <v>15</v>
      </c>
      <c r="AL5117" s="4">
        <v>44</v>
      </c>
      <c r="AM5117" s="4">
        <v>45</v>
      </c>
      <c r="AN5117" s="4">
        <v>0</v>
      </c>
      <c r="AO5117" s="4">
        <v>0</v>
      </c>
      <c r="AP5117" s="4">
        <v>14</v>
      </c>
      <c r="AQ5117" s="4">
        <v>20</v>
      </c>
      <c r="AR5117" s="3" t="s">
        <v>62</v>
      </c>
      <c r="AS5117" s="3" t="s">
        <v>62</v>
      </c>
      <c r="AT5117" s="3" t="s">
        <v>62</v>
      </c>
      <c r="AV5117" s="6" t="str">
        <f>HYPERLINK("http://mcgill.on.worldcat.org/oclc/49681471","Catalog Record")</f>
        <v>Catalog Record</v>
      </c>
      <c r="AW5117" s="6" t="str">
        <f>HYPERLINK("http://www.worldcat.org/oclc/49681471","WorldCat Record")</f>
        <v>WorldCat Record</v>
      </c>
      <c r="AX5117" s="3" t="s">
        <v>49049</v>
      </c>
      <c r="AY5117" s="3" t="s">
        <v>49050</v>
      </c>
      <c r="AZ5117" s="3" t="s">
        <v>49051</v>
      </c>
      <c r="BA5117" s="3" t="s">
        <v>49051</v>
      </c>
      <c r="BB5117" s="3" t="s">
        <v>49052</v>
      </c>
      <c r="BC5117" s="3" t="s">
        <v>102</v>
      </c>
      <c r="BD5117" s="3" t="s">
        <v>68</v>
      </c>
      <c r="BE5117" s="3" t="s">
        <v>49053</v>
      </c>
      <c r="BF5117" s="3" t="s">
        <v>49052</v>
      </c>
      <c r="BG5117" s="3" t="s">
        <v>49054</v>
      </c>
    </row>
    <row r="5118" spans="1:59" ht="58" x14ac:dyDescent="0.35">
      <c r="A5118" s="2" t="s">
        <v>89</v>
      </c>
      <c r="B5118" s="2" t="s">
        <v>90</v>
      </c>
      <c r="C5118" s="2" t="s">
        <v>49055</v>
      </c>
      <c r="D5118" s="2" t="s">
        <v>49056</v>
      </c>
      <c r="E5118" s="2" t="s">
        <v>49057</v>
      </c>
      <c r="G5118" s="3" t="s">
        <v>62</v>
      </c>
      <c r="I5118" s="3" t="s">
        <v>62</v>
      </c>
      <c r="J5118" s="3" t="s">
        <v>62</v>
      </c>
      <c r="K5118" s="3" t="s">
        <v>63</v>
      </c>
      <c r="M5118" s="2" t="s">
        <v>49058</v>
      </c>
      <c r="N5118" s="3" t="s">
        <v>2136</v>
      </c>
      <c r="P5118" s="3" t="s">
        <v>64</v>
      </c>
      <c r="Q5118" s="2" t="s">
        <v>49059</v>
      </c>
      <c r="R5118" s="3" t="s">
        <v>46535</v>
      </c>
      <c r="S5118" s="4">
        <v>8</v>
      </c>
      <c r="T5118" s="4">
        <v>8</v>
      </c>
      <c r="U5118" s="5" t="s">
        <v>5636</v>
      </c>
      <c r="V5118" s="5" t="s">
        <v>5636</v>
      </c>
      <c r="W5118" s="5" t="s">
        <v>67</v>
      </c>
      <c r="X5118" s="5" t="s">
        <v>67</v>
      </c>
      <c r="Y5118" s="4">
        <v>146</v>
      </c>
      <c r="Z5118" s="4">
        <v>9</v>
      </c>
      <c r="AA5118" s="4">
        <v>25</v>
      </c>
      <c r="AB5118" s="4">
        <v>1</v>
      </c>
      <c r="AC5118" s="4">
        <v>6</v>
      </c>
      <c r="AD5118" s="4">
        <v>39</v>
      </c>
      <c r="AE5118" s="4">
        <v>67</v>
      </c>
      <c r="AF5118" s="4">
        <v>0</v>
      </c>
      <c r="AG5118" s="4">
        <v>2</v>
      </c>
      <c r="AH5118" s="4">
        <v>35</v>
      </c>
      <c r="AI5118" s="4">
        <v>55</v>
      </c>
      <c r="AJ5118" s="4">
        <v>5</v>
      </c>
      <c r="AK5118" s="4">
        <v>13</v>
      </c>
      <c r="AL5118" s="4">
        <v>18</v>
      </c>
      <c r="AM5118" s="4">
        <v>30</v>
      </c>
      <c r="AN5118" s="4">
        <v>0</v>
      </c>
      <c r="AO5118" s="4">
        <v>0</v>
      </c>
      <c r="AP5118" s="4">
        <v>8</v>
      </c>
      <c r="AQ5118" s="4">
        <v>17</v>
      </c>
      <c r="AR5118" s="3" t="s">
        <v>62</v>
      </c>
      <c r="AS5118" s="3" t="s">
        <v>62</v>
      </c>
      <c r="AT5118" s="3" t="s">
        <v>62</v>
      </c>
      <c r="AV5118" s="6" t="str">
        <f>HYPERLINK("http://mcgill.on.worldcat.org/oclc/55106421","Catalog Record")</f>
        <v>Catalog Record</v>
      </c>
      <c r="AW5118" s="6" t="str">
        <f>HYPERLINK("http://www.worldcat.org/oclc/55106421","WorldCat Record")</f>
        <v>WorldCat Record</v>
      </c>
      <c r="AX5118" s="3" t="s">
        <v>49060</v>
      </c>
      <c r="AY5118" s="3" t="s">
        <v>49061</v>
      </c>
      <c r="AZ5118" s="3" t="s">
        <v>49062</v>
      </c>
      <c r="BA5118" s="3" t="s">
        <v>49062</v>
      </c>
      <c r="BB5118" s="3" t="s">
        <v>49063</v>
      </c>
      <c r="BC5118" s="3" t="s">
        <v>102</v>
      </c>
      <c r="BD5118" s="3" t="s">
        <v>231</v>
      </c>
      <c r="BE5118" s="3" t="s">
        <v>49064</v>
      </c>
      <c r="BF5118" s="3" t="s">
        <v>49063</v>
      </c>
      <c r="BG5118" s="3" t="s">
        <v>49065</v>
      </c>
    </row>
    <row r="5119" spans="1:59" ht="58" x14ac:dyDescent="0.35">
      <c r="A5119" s="2" t="s">
        <v>89</v>
      </c>
      <c r="B5119" s="2" t="s">
        <v>90</v>
      </c>
      <c r="C5119" s="2" t="s">
        <v>49066</v>
      </c>
      <c r="D5119" s="2" t="s">
        <v>49067</v>
      </c>
      <c r="E5119" s="2" t="s">
        <v>49068</v>
      </c>
      <c r="G5119" s="3" t="s">
        <v>62</v>
      </c>
      <c r="I5119" s="3" t="s">
        <v>62</v>
      </c>
      <c r="J5119" s="3" t="s">
        <v>62</v>
      </c>
      <c r="K5119" s="3" t="s">
        <v>63</v>
      </c>
      <c r="M5119" s="2" t="s">
        <v>49069</v>
      </c>
      <c r="N5119" s="3" t="s">
        <v>424</v>
      </c>
      <c r="P5119" s="3" t="s">
        <v>64</v>
      </c>
      <c r="R5119" s="3" t="s">
        <v>46535</v>
      </c>
      <c r="S5119" s="4">
        <v>12</v>
      </c>
      <c r="T5119" s="4">
        <v>12</v>
      </c>
      <c r="U5119" s="5" t="s">
        <v>49070</v>
      </c>
      <c r="V5119" s="5" t="s">
        <v>49070</v>
      </c>
      <c r="W5119" s="5" t="s">
        <v>67</v>
      </c>
      <c r="X5119" s="5" t="s">
        <v>67</v>
      </c>
      <c r="Y5119" s="4">
        <v>239</v>
      </c>
      <c r="Z5119" s="4">
        <v>18</v>
      </c>
      <c r="AA5119" s="4">
        <v>22</v>
      </c>
      <c r="AB5119" s="4">
        <v>3</v>
      </c>
      <c r="AC5119" s="4">
        <v>7</v>
      </c>
      <c r="AD5119" s="4">
        <v>82</v>
      </c>
      <c r="AE5119" s="4">
        <v>85</v>
      </c>
      <c r="AF5119" s="4">
        <v>1</v>
      </c>
      <c r="AG5119" s="4">
        <v>4</v>
      </c>
      <c r="AH5119" s="4">
        <v>73</v>
      </c>
      <c r="AI5119" s="4">
        <v>74</v>
      </c>
      <c r="AJ5119" s="4">
        <v>11</v>
      </c>
      <c r="AK5119" s="4">
        <v>14</v>
      </c>
      <c r="AL5119" s="4">
        <v>42</v>
      </c>
      <c r="AM5119" s="4">
        <v>42</v>
      </c>
      <c r="AN5119" s="4">
        <v>1</v>
      </c>
      <c r="AO5119" s="4">
        <v>1</v>
      </c>
      <c r="AP5119" s="4">
        <v>14</v>
      </c>
      <c r="AQ5119" s="4">
        <v>16</v>
      </c>
      <c r="AR5119" s="3" t="s">
        <v>62</v>
      </c>
      <c r="AS5119" s="3" t="s">
        <v>62</v>
      </c>
      <c r="AT5119" s="3" t="s">
        <v>61</v>
      </c>
      <c r="AU5119" s="6" t="str">
        <f>HYPERLINK("http://catalog.hathitrust.org/Record/000913009","HathiTrust Record")</f>
        <v>HathiTrust Record</v>
      </c>
      <c r="AV5119" s="6" t="str">
        <f>HYPERLINK("http://mcgill.on.worldcat.org/oclc/16924375","Catalog Record")</f>
        <v>Catalog Record</v>
      </c>
      <c r="AW5119" s="6" t="str">
        <f>HYPERLINK("http://www.worldcat.org/oclc/16924375","WorldCat Record")</f>
        <v>WorldCat Record</v>
      </c>
      <c r="AX5119" s="3" t="s">
        <v>49071</v>
      </c>
      <c r="AY5119" s="3" t="s">
        <v>49072</v>
      </c>
      <c r="AZ5119" s="3" t="s">
        <v>49073</v>
      </c>
      <c r="BA5119" s="3" t="s">
        <v>49073</v>
      </c>
      <c r="BB5119" s="3" t="s">
        <v>49074</v>
      </c>
      <c r="BC5119" s="3" t="s">
        <v>102</v>
      </c>
      <c r="BD5119" s="3" t="s">
        <v>68</v>
      </c>
      <c r="BE5119" s="3" t="s">
        <v>49075</v>
      </c>
      <c r="BF5119" s="3" t="s">
        <v>49074</v>
      </c>
      <c r="BG5119" s="3" t="s">
        <v>49076</v>
      </c>
    </row>
    <row r="5120" spans="1:59" ht="58" x14ac:dyDescent="0.35">
      <c r="A5120" s="2" t="s">
        <v>89</v>
      </c>
      <c r="B5120" s="2" t="s">
        <v>90</v>
      </c>
      <c r="C5120" s="2" t="s">
        <v>49077</v>
      </c>
      <c r="D5120" s="2" t="s">
        <v>49078</v>
      </c>
      <c r="E5120" s="2" t="s">
        <v>49079</v>
      </c>
      <c r="G5120" s="3" t="s">
        <v>62</v>
      </c>
      <c r="I5120" s="3" t="s">
        <v>62</v>
      </c>
      <c r="J5120" s="3" t="s">
        <v>62</v>
      </c>
      <c r="K5120" s="3" t="s">
        <v>63</v>
      </c>
      <c r="M5120" s="2" t="s">
        <v>49080</v>
      </c>
      <c r="N5120" s="3" t="s">
        <v>684</v>
      </c>
      <c r="P5120" s="3" t="s">
        <v>64</v>
      </c>
      <c r="Q5120" s="2" t="s">
        <v>49081</v>
      </c>
      <c r="R5120" s="3" t="s">
        <v>46535</v>
      </c>
      <c r="S5120" s="4">
        <v>0</v>
      </c>
      <c r="T5120" s="4">
        <v>0</v>
      </c>
      <c r="W5120" s="5" t="s">
        <v>67</v>
      </c>
      <c r="X5120" s="5" t="s">
        <v>67</v>
      </c>
      <c r="Y5120" s="4">
        <v>142</v>
      </c>
      <c r="Z5120" s="4">
        <v>9</v>
      </c>
      <c r="AA5120" s="4">
        <v>24</v>
      </c>
      <c r="AB5120" s="4">
        <v>2</v>
      </c>
      <c r="AC5120" s="4">
        <v>7</v>
      </c>
      <c r="AD5120" s="4">
        <v>40</v>
      </c>
      <c r="AE5120" s="4">
        <v>73</v>
      </c>
      <c r="AF5120" s="4">
        <v>1</v>
      </c>
      <c r="AG5120" s="4">
        <v>4</v>
      </c>
      <c r="AH5120" s="4">
        <v>36</v>
      </c>
      <c r="AI5120" s="4">
        <v>58</v>
      </c>
      <c r="AJ5120" s="4">
        <v>5</v>
      </c>
      <c r="AK5120" s="4">
        <v>15</v>
      </c>
      <c r="AL5120" s="4">
        <v>21</v>
      </c>
      <c r="AM5120" s="4">
        <v>32</v>
      </c>
      <c r="AN5120" s="4">
        <v>0</v>
      </c>
      <c r="AO5120" s="4">
        <v>0</v>
      </c>
      <c r="AP5120" s="4">
        <v>8</v>
      </c>
      <c r="AQ5120" s="4">
        <v>20</v>
      </c>
      <c r="AR5120" s="3" t="s">
        <v>62</v>
      </c>
      <c r="AS5120" s="3" t="s">
        <v>62</v>
      </c>
      <c r="AT5120" s="3" t="s">
        <v>62</v>
      </c>
      <c r="AV5120" s="6" t="str">
        <f>HYPERLINK("http://mcgill.on.worldcat.org/oclc/818367151","Catalog Record")</f>
        <v>Catalog Record</v>
      </c>
      <c r="AW5120" s="6" t="str">
        <f>HYPERLINK("http://www.worldcat.org/oclc/818367151","WorldCat Record")</f>
        <v>WorldCat Record</v>
      </c>
      <c r="AX5120" s="3" t="s">
        <v>49082</v>
      </c>
      <c r="AY5120" s="3" t="s">
        <v>49083</v>
      </c>
      <c r="AZ5120" s="3" t="s">
        <v>49084</v>
      </c>
      <c r="BA5120" s="3" t="s">
        <v>49084</v>
      </c>
      <c r="BB5120" s="3" t="s">
        <v>49085</v>
      </c>
      <c r="BC5120" s="3" t="s">
        <v>102</v>
      </c>
      <c r="BD5120" s="3" t="s">
        <v>68</v>
      </c>
      <c r="BE5120" s="3" t="s">
        <v>49086</v>
      </c>
      <c r="BF5120" s="3" t="s">
        <v>49085</v>
      </c>
      <c r="BG5120" s="3" t="s">
        <v>49087</v>
      </c>
    </row>
    <row r="5121" spans="1:59" ht="58" x14ac:dyDescent="0.35">
      <c r="A5121" s="2" t="s">
        <v>89</v>
      </c>
      <c r="B5121" s="2" t="s">
        <v>90</v>
      </c>
      <c r="C5121" s="2" t="s">
        <v>49088</v>
      </c>
      <c r="D5121" s="2" t="s">
        <v>49089</v>
      </c>
      <c r="E5121" s="2" t="s">
        <v>49090</v>
      </c>
      <c r="G5121" s="3" t="s">
        <v>62</v>
      </c>
      <c r="I5121" s="3" t="s">
        <v>61</v>
      </c>
      <c r="J5121" s="3" t="s">
        <v>61</v>
      </c>
      <c r="K5121" s="3" t="s">
        <v>63</v>
      </c>
      <c r="L5121" s="2" t="s">
        <v>49091</v>
      </c>
      <c r="M5121" s="2" t="s">
        <v>49092</v>
      </c>
      <c r="N5121" s="3" t="s">
        <v>87</v>
      </c>
      <c r="P5121" s="3" t="s">
        <v>64</v>
      </c>
      <c r="R5121" s="3" t="s">
        <v>46535</v>
      </c>
      <c r="S5121" s="4">
        <v>0</v>
      </c>
      <c r="T5121" s="4">
        <v>6</v>
      </c>
      <c r="V5121" s="5" t="s">
        <v>3943</v>
      </c>
      <c r="W5121" s="5" t="s">
        <v>67</v>
      </c>
      <c r="X5121" s="5" t="s">
        <v>67</v>
      </c>
      <c r="Y5121" s="4">
        <v>139</v>
      </c>
      <c r="Z5121" s="4">
        <v>13</v>
      </c>
      <c r="AA5121" s="4">
        <v>41</v>
      </c>
      <c r="AB5121" s="4">
        <v>2</v>
      </c>
      <c r="AC5121" s="4">
        <v>4</v>
      </c>
      <c r="AD5121" s="4">
        <v>20</v>
      </c>
      <c r="AE5121" s="4">
        <v>118</v>
      </c>
      <c r="AF5121" s="4">
        <v>0</v>
      </c>
      <c r="AG5121" s="4">
        <v>2</v>
      </c>
      <c r="AH5121" s="4">
        <v>18</v>
      </c>
      <c r="AI5121" s="4">
        <v>95</v>
      </c>
      <c r="AJ5121" s="4">
        <v>7</v>
      </c>
      <c r="AK5121" s="4">
        <v>18</v>
      </c>
      <c r="AL5121" s="4">
        <v>8</v>
      </c>
      <c r="AM5121" s="4">
        <v>53</v>
      </c>
      <c r="AN5121" s="4">
        <v>0</v>
      </c>
      <c r="AO5121" s="4">
        <v>0</v>
      </c>
      <c r="AP5121" s="4">
        <v>8</v>
      </c>
      <c r="AQ5121" s="4">
        <v>26</v>
      </c>
      <c r="AR5121" s="3" t="s">
        <v>62</v>
      </c>
      <c r="AS5121" s="3" t="s">
        <v>62</v>
      </c>
      <c r="AT5121" s="3" t="s">
        <v>61</v>
      </c>
      <c r="AU5121" s="6" t="str">
        <f>HYPERLINK("http://catalog.hathitrust.org/Record/000709725","HathiTrust Record")</f>
        <v>HathiTrust Record</v>
      </c>
      <c r="AV5121" s="6" t="str">
        <f>HYPERLINK("http://mcgill.on.worldcat.org/oclc/6085317","Catalog Record")</f>
        <v>Catalog Record</v>
      </c>
      <c r="AW5121" s="6" t="str">
        <f>HYPERLINK("http://www.worldcat.org/oclc/6085317","WorldCat Record")</f>
        <v>WorldCat Record</v>
      </c>
      <c r="AX5121" s="3" t="s">
        <v>49093</v>
      </c>
      <c r="AY5121" s="3" t="s">
        <v>49094</v>
      </c>
      <c r="AZ5121" s="3" t="s">
        <v>49095</v>
      </c>
      <c r="BA5121" s="3" t="s">
        <v>49095</v>
      </c>
      <c r="BB5121" s="3" t="s">
        <v>49096</v>
      </c>
      <c r="BC5121" s="3" t="s">
        <v>102</v>
      </c>
      <c r="BD5121" s="3" t="s">
        <v>68</v>
      </c>
      <c r="BE5121" s="3" t="s">
        <v>49097</v>
      </c>
      <c r="BF5121" s="3" t="s">
        <v>49096</v>
      </c>
      <c r="BG5121" s="3" t="s">
        <v>49098</v>
      </c>
    </row>
    <row r="5122" spans="1:59" ht="58" x14ac:dyDescent="0.35">
      <c r="A5122" s="2" t="s">
        <v>89</v>
      </c>
      <c r="B5122" s="2" t="s">
        <v>90</v>
      </c>
      <c r="C5122" s="2" t="s">
        <v>49099</v>
      </c>
      <c r="D5122" s="2" t="s">
        <v>49100</v>
      </c>
      <c r="E5122" s="2" t="s">
        <v>49101</v>
      </c>
      <c r="G5122" s="3" t="s">
        <v>62</v>
      </c>
      <c r="I5122" s="3" t="s">
        <v>62</v>
      </c>
      <c r="J5122" s="3" t="s">
        <v>62</v>
      </c>
      <c r="K5122" s="3" t="s">
        <v>63</v>
      </c>
      <c r="M5122" s="2" t="s">
        <v>49102</v>
      </c>
      <c r="N5122" s="3" t="s">
        <v>553</v>
      </c>
      <c r="P5122" s="3" t="s">
        <v>64</v>
      </c>
      <c r="Q5122" s="2" t="s">
        <v>49103</v>
      </c>
      <c r="R5122" s="3" t="s">
        <v>46535</v>
      </c>
      <c r="S5122" s="4">
        <v>10</v>
      </c>
      <c r="T5122" s="4">
        <v>10</v>
      </c>
      <c r="U5122" s="5" t="s">
        <v>10116</v>
      </c>
      <c r="V5122" s="5" t="s">
        <v>10116</v>
      </c>
      <c r="W5122" s="5" t="s">
        <v>67</v>
      </c>
      <c r="X5122" s="5" t="s">
        <v>67</v>
      </c>
      <c r="Y5122" s="4">
        <v>159</v>
      </c>
      <c r="Z5122" s="4">
        <v>12</v>
      </c>
      <c r="AA5122" s="4">
        <v>13</v>
      </c>
      <c r="AB5122" s="4">
        <v>2</v>
      </c>
      <c r="AC5122" s="4">
        <v>3</v>
      </c>
      <c r="AD5122" s="4">
        <v>35</v>
      </c>
      <c r="AE5122" s="4">
        <v>38</v>
      </c>
      <c r="AF5122" s="4">
        <v>0</v>
      </c>
      <c r="AG5122" s="4">
        <v>1</v>
      </c>
      <c r="AH5122" s="4">
        <v>27</v>
      </c>
      <c r="AI5122" s="4">
        <v>29</v>
      </c>
      <c r="AJ5122" s="4">
        <v>4</v>
      </c>
      <c r="AK5122" s="4">
        <v>5</v>
      </c>
      <c r="AL5122" s="4">
        <v>17</v>
      </c>
      <c r="AM5122" s="4">
        <v>18</v>
      </c>
      <c r="AN5122" s="4">
        <v>0</v>
      </c>
      <c r="AO5122" s="4">
        <v>0</v>
      </c>
      <c r="AP5122" s="4">
        <v>9</v>
      </c>
      <c r="AQ5122" s="4">
        <v>10</v>
      </c>
      <c r="AR5122" s="3" t="s">
        <v>62</v>
      </c>
      <c r="AS5122" s="3" t="s">
        <v>62</v>
      </c>
      <c r="AT5122" s="3" t="s">
        <v>62</v>
      </c>
      <c r="AV5122" s="6" t="str">
        <f>HYPERLINK("http://mcgill.on.worldcat.org/oclc/42744854","Catalog Record")</f>
        <v>Catalog Record</v>
      </c>
      <c r="AW5122" s="6" t="str">
        <f>HYPERLINK("http://www.worldcat.org/oclc/42744854","WorldCat Record")</f>
        <v>WorldCat Record</v>
      </c>
      <c r="AX5122" s="3" t="s">
        <v>49104</v>
      </c>
      <c r="AY5122" s="3" t="s">
        <v>49105</v>
      </c>
      <c r="AZ5122" s="3" t="s">
        <v>49106</v>
      </c>
      <c r="BA5122" s="3" t="s">
        <v>49106</v>
      </c>
      <c r="BB5122" s="3" t="s">
        <v>49107</v>
      </c>
      <c r="BC5122" s="3" t="s">
        <v>102</v>
      </c>
      <c r="BD5122" s="3" t="s">
        <v>68</v>
      </c>
      <c r="BE5122" s="3" t="s">
        <v>49108</v>
      </c>
      <c r="BF5122" s="3" t="s">
        <v>49107</v>
      </c>
      <c r="BG5122" s="3" t="s">
        <v>49109</v>
      </c>
    </row>
    <row r="5123" spans="1:59" ht="58" x14ac:dyDescent="0.35">
      <c r="A5123" s="2" t="s">
        <v>89</v>
      </c>
      <c r="B5123" s="2" t="s">
        <v>90</v>
      </c>
      <c r="C5123" s="2" t="s">
        <v>49110</v>
      </c>
      <c r="D5123" s="2" t="s">
        <v>49111</v>
      </c>
      <c r="E5123" s="2" t="s">
        <v>49112</v>
      </c>
      <c r="G5123" s="3" t="s">
        <v>62</v>
      </c>
      <c r="I5123" s="3" t="s">
        <v>61</v>
      </c>
      <c r="J5123" s="3" t="s">
        <v>61</v>
      </c>
      <c r="K5123" s="3" t="s">
        <v>63</v>
      </c>
      <c r="L5123" s="2" t="s">
        <v>49113</v>
      </c>
      <c r="M5123" s="2" t="s">
        <v>49114</v>
      </c>
      <c r="N5123" s="3" t="s">
        <v>2110</v>
      </c>
      <c r="P5123" s="3" t="s">
        <v>64</v>
      </c>
      <c r="R5123" s="3" t="s">
        <v>46535</v>
      </c>
      <c r="S5123" s="4">
        <v>15</v>
      </c>
      <c r="T5123" s="4">
        <v>44</v>
      </c>
      <c r="U5123" s="5" t="s">
        <v>49115</v>
      </c>
      <c r="V5123" s="5" t="s">
        <v>9672</v>
      </c>
      <c r="W5123" s="5" t="s">
        <v>67</v>
      </c>
      <c r="X5123" s="5" t="s">
        <v>67</v>
      </c>
      <c r="Y5123" s="4">
        <v>269</v>
      </c>
      <c r="Z5123" s="4">
        <v>15</v>
      </c>
      <c r="AA5123" s="4">
        <v>28</v>
      </c>
      <c r="AB5123" s="4">
        <v>2</v>
      </c>
      <c r="AC5123" s="4">
        <v>7</v>
      </c>
      <c r="AD5123" s="4">
        <v>69</v>
      </c>
      <c r="AE5123" s="4">
        <v>95</v>
      </c>
      <c r="AF5123" s="4">
        <v>0</v>
      </c>
      <c r="AG5123" s="4">
        <v>2</v>
      </c>
      <c r="AH5123" s="4">
        <v>62</v>
      </c>
      <c r="AI5123" s="4">
        <v>80</v>
      </c>
      <c r="AJ5123" s="4">
        <v>11</v>
      </c>
      <c r="AK5123" s="4">
        <v>19</v>
      </c>
      <c r="AL5123" s="4">
        <v>37</v>
      </c>
      <c r="AM5123" s="4">
        <v>46</v>
      </c>
      <c r="AN5123" s="4">
        <v>0</v>
      </c>
      <c r="AO5123" s="4">
        <v>2</v>
      </c>
      <c r="AP5123" s="4">
        <v>12</v>
      </c>
      <c r="AQ5123" s="4">
        <v>19</v>
      </c>
      <c r="AR5123" s="3" t="s">
        <v>62</v>
      </c>
      <c r="AS5123" s="3" t="s">
        <v>62</v>
      </c>
      <c r="AT5123" s="3" t="s">
        <v>61</v>
      </c>
      <c r="AU5123" s="6" t="str">
        <f>HYPERLINK("http://catalog.hathitrust.org/Record/000210638","HathiTrust Record")</f>
        <v>HathiTrust Record</v>
      </c>
      <c r="AV5123" s="6" t="str">
        <f>HYPERLINK("http://mcgill.on.worldcat.org/oclc/2818720","Catalog Record")</f>
        <v>Catalog Record</v>
      </c>
      <c r="AW5123" s="6" t="str">
        <f>HYPERLINK("http://www.worldcat.org/oclc/2818720","WorldCat Record")</f>
        <v>WorldCat Record</v>
      </c>
      <c r="AX5123" s="3" t="s">
        <v>49116</v>
      </c>
      <c r="AY5123" s="3" t="s">
        <v>49117</v>
      </c>
      <c r="AZ5123" s="3" t="s">
        <v>49118</v>
      </c>
      <c r="BA5123" s="3" t="s">
        <v>49118</v>
      </c>
      <c r="BB5123" s="3" t="s">
        <v>49119</v>
      </c>
      <c r="BC5123" s="3" t="s">
        <v>102</v>
      </c>
      <c r="BD5123" s="3" t="s">
        <v>68</v>
      </c>
      <c r="BE5123" s="3" t="s">
        <v>49120</v>
      </c>
      <c r="BF5123" s="3" t="s">
        <v>49119</v>
      </c>
      <c r="BG5123" s="3" t="s">
        <v>49121</v>
      </c>
    </row>
    <row r="5124" spans="1:59" ht="58" x14ac:dyDescent="0.35">
      <c r="A5124" s="2" t="s">
        <v>89</v>
      </c>
      <c r="B5124" s="2" t="s">
        <v>90</v>
      </c>
      <c r="C5124" s="2" t="s">
        <v>49110</v>
      </c>
      <c r="D5124" s="2" t="s">
        <v>49111</v>
      </c>
      <c r="E5124" s="2" t="s">
        <v>49112</v>
      </c>
      <c r="G5124" s="3" t="s">
        <v>62</v>
      </c>
      <c r="I5124" s="3" t="s">
        <v>61</v>
      </c>
      <c r="J5124" s="3" t="s">
        <v>61</v>
      </c>
      <c r="K5124" s="3" t="s">
        <v>63</v>
      </c>
      <c r="L5124" s="2" t="s">
        <v>49113</v>
      </c>
      <c r="M5124" s="2" t="s">
        <v>49114</v>
      </c>
      <c r="N5124" s="3" t="s">
        <v>2110</v>
      </c>
      <c r="P5124" s="3" t="s">
        <v>64</v>
      </c>
      <c r="R5124" s="3" t="s">
        <v>46535</v>
      </c>
      <c r="S5124" s="4">
        <v>0</v>
      </c>
      <c r="T5124" s="4">
        <v>44</v>
      </c>
      <c r="V5124" s="5" t="s">
        <v>9672</v>
      </c>
      <c r="W5124" s="5" t="s">
        <v>67</v>
      </c>
      <c r="X5124" s="5" t="s">
        <v>67</v>
      </c>
      <c r="Y5124" s="4">
        <v>269</v>
      </c>
      <c r="Z5124" s="4">
        <v>15</v>
      </c>
      <c r="AA5124" s="4">
        <v>28</v>
      </c>
      <c r="AB5124" s="4">
        <v>2</v>
      </c>
      <c r="AC5124" s="4">
        <v>7</v>
      </c>
      <c r="AD5124" s="4">
        <v>69</v>
      </c>
      <c r="AE5124" s="4">
        <v>95</v>
      </c>
      <c r="AF5124" s="4">
        <v>0</v>
      </c>
      <c r="AG5124" s="4">
        <v>2</v>
      </c>
      <c r="AH5124" s="4">
        <v>62</v>
      </c>
      <c r="AI5124" s="4">
        <v>80</v>
      </c>
      <c r="AJ5124" s="4">
        <v>11</v>
      </c>
      <c r="AK5124" s="4">
        <v>19</v>
      </c>
      <c r="AL5124" s="4">
        <v>37</v>
      </c>
      <c r="AM5124" s="4">
        <v>46</v>
      </c>
      <c r="AN5124" s="4">
        <v>0</v>
      </c>
      <c r="AO5124" s="4">
        <v>2</v>
      </c>
      <c r="AP5124" s="4">
        <v>12</v>
      </c>
      <c r="AQ5124" s="4">
        <v>19</v>
      </c>
      <c r="AR5124" s="3" t="s">
        <v>62</v>
      </c>
      <c r="AS5124" s="3" t="s">
        <v>62</v>
      </c>
      <c r="AT5124" s="3" t="s">
        <v>61</v>
      </c>
      <c r="AU5124" s="6" t="str">
        <f>HYPERLINK("http://catalog.hathitrust.org/Record/000210638","HathiTrust Record")</f>
        <v>HathiTrust Record</v>
      </c>
      <c r="AV5124" s="6" t="str">
        <f>HYPERLINK("http://mcgill.on.worldcat.org/oclc/2818720","Catalog Record")</f>
        <v>Catalog Record</v>
      </c>
      <c r="AW5124" s="6" t="str">
        <f>HYPERLINK("http://www.worldcat.org/oclc/2818720","WorldCat Record")</f>
        <v>WorldCat Record</v>
      </c>
      <c r="AX5124" s="3" t="s">
        <v>49116</v>
      </c>
      <c r="AY5124" s="3" t="s">
        <v>49117</v>
      </c>
      <c r="AZ5124" s="3" t="s">
        <v>49118</v>
      </c>
      <c r="BA5124" s="3" t="s">
        <v>49118</v>
      </c>
      <c r="BB5124" s="3" t="s">
        <v>49122</v>
      </c>
      <c r="BC5124" s="3" t="s">
        <v>102</v>
      </c>
      <c r="BD5124" s="3" t="s">
        <v>68</v>
      </c>
      <c r="BE5124" s="3" t="s">
        <v>49120</v>
      </c>
      <c r="BF5124" s="3" t="s">
        <v>49122</v>
      </c>
      <c r="BG5124" s="3" t="s">
        <v>49123</v>
      </c>
    </row>
    <row r="5125" spans="1:59" ht="58" x14ac:dyDescent="0.35">
      <c r="A5125" s="2" t="s">
        <v>89</v>
      </c>
      <c r="B5125" s="2" t="s">
        <v>90</v>
      </c>
      <c r="C5125" s="2" t="s">
        <v>49124</v>
      </c>
      <c r="D5125" s="2" t="s">
        <v>49125</v>
      </c>
      <c r="E5125" s="2" t="s">
        <v>49126</v>
      </c>
      <c r="G5125" s="3" t="s">
        <v>62</v>
      </c>
      <c r="I5125" s="3" t="s">
        <v>62</v>
      </c>
      <c r="J5125" s="3" t="s">
        <v>62</v>
      </c>
      <c r="K5125" s="3" t="s">
        <v>63</v>
      </c>
      <c r="M5125" s="2" t="s">
        <v>18158</v>
      </c>
      <c r="N5125" s="3" t="s">
        <v>553</v>
      </c>
      <c r="P5125" s="3" t="s">
        <v>64</v>
      </c>
      <c r="R5125" s="3" t="s">
        <v>46535</v>
      </c>
      <c r="S5125" s="4">
        <v>4</v>
      </c>
      <c r="T5125" s="4">
        <v>4</v>
      </c>
      <c r="U5125" s="5" t="s">
        <v>16464</v>
      </c>
      <c r="V5125" s="5" t="s">
        <v>16464</v>
      </c>
      <c r="W5125" s="5" t="s">
        <v>67</v>
      </c>
      <c r="X5125" s="5" t="s">
        <v>67</v>
      </c>
      <c r="Y5125" s="4">
        <v>396</v>
      </c>
      <c r="Z5125" s="4">
        <v>24</v>
      </c>
      <c r="AA5125" s="4">
        <v>66</v>
      </c>
      <c r="AB5125" s="4">
        <v>2</v>
      </c>
      <c r="AC5125" s="4">
        <v>7</v>
      </c>
      <c r="AD5125" s="4">
        <v>108</v>
      </c>
      <c r="AE5125" s="4">
        <v>136</v>
      </c>
      <c r="AF5125" s="4">
        <v>1</v>
      </c>
      <c r="AG5125" s="4">
        <v>5</v>
      </c>
      <c r="AH5125" s="4">
        <v>94</v>
      </c>
      <c r="AI5125" s="4">
        <v>106</v>
      </c>
      <c r="AJ5125" s="4">
        <v>15</v>
      </c>
      <c r="AK5125" s="4">
        <v>23</v>
      </c>
      <c r="AL5125" s="4">
        <v>50</v>
      </c>
      <c r="AM5125" s="4">
        <v>55</v>
      </c>
      <c r="AN5125" s="4">
        <v>0</v>
      </c>
      <c r="AO5125" s="4">
        <v>0</v>
      </c>
      <c r="AP5125" s="4">
        <v>20</v>
      </c>
      <c r="AQ5125" s="4">
        <v>38</v>
      </c>
      <c r="AR5125" s="3" t="s">
        <v>62</v>
      </c>
      <c r="AS5125" s="3" t="s">
        <v>62</v>
      </c>
      <c r="AT5125" s="3" t="s">
        <v>62</v>
      </c>
      <c r="AV5125" s="6" t="str">
        <f>HYPERLINK("http://mcgill.on.worldcat.org/oclc/40595285","Catalog Record")</f>
        <v>Catalog Record</v>
      </c>
      <c r="AW5125" s="6" t="str">
        <f>HYPERLINK("http://www.worldcat.org/oclc/40595285","WorldCat Record")</f>
        <v>WorldCat Record</v>
      </c>
      <c r="AX5125" s="3" t="s">
        <v>49127</v>
      </c>
      <c r="AY5125" s="3" t="s">
        <v>49128</v>
      </c>
      <c r="AZ5125" s="3" t="s">
        <v>49129</v>
      </c>
      <c r="BA5125" s="3" t="s">
        <v>49129</v>
      </c>
      <c r="BB5125" s="3" t="s">
        <v>49130</v>
      </c>
      <c r="BC5125" s="3" t="s">
        <v>102</v>
      </c>
      <c r="BD5125" s="3" t="s">
        <v>68</v>
      </c>
      <c r="BE5125" s="3" t="s">
        <v>49131</v>
      </c>
      <c r="BF5125" s="3" t="s">
        <v>49130</v>
      </c>
      <c r="BG5125" s="3" t="s">
        <v>49132</v>
      </c>
    </row>
    <row r="5126" spans="1:59" ht="58" x14ac:dyDescent="0.35">
      <c r="A5126" s="2" t="s">
        <v>89</v>
      </c>
      <c r="B5126" s="2" t="s">
        <v>90</v>
      </c>
      <c r="C5126" s="2" t="s">
        <v>49133</v>
      </c>
      <c r="D5126" s="2" t="s">
        <v>49134</v>
      </c>
      <c r="E5126" s="2" t="s">
        <v>49135</v>
      </c>
      <c r="G5126" s="3" t="s">
        <v>62</v>
      </c>
      <c r="I5126" s="3" t="s">
        <v>61</v>
      </c>
      <c r="J5126" s="3" t="s">
        <v>62</v>
      </c>
      <c r="K5126" s="3" t="s">
        <v>63</v>
      </c>
      <c r="L5126" s="2" t="s">
        <v>49136</v>
      </c>
      <c r="M5126" s="2" t="s">
        <v>49137</v>
      </c>
      <c r="N5126" s="3" t="s">
        <v>1905</v>
      </c>
      <c r="P5126" s="3" t="s">
        <v>64</v>
      </c>
      <c r="Q5126" s="2" t="s">
        <v>49138</v>
      </c>
      <c r="R5126" s="3" t="s">
        <v>46535</v>
      </c>
      <c r="S5126" s="4">
        <v>6</v>
      </c>
      <c r="T5126" s="4">
        <v>7</v>
      </c>
      <c r="U5126" s="5" t="s">
        <v>49139</v>
      </c>
      <c r="V5126" s="5" t="s">
        <v>16130</v>
      </c>
      <c r="W5126" s="5" t="s">
        <v>67</v>
      </c>
      <c r="X5126" s="5" t="s">
        <v>67</v>
      </c>
      <c r="Y5126" s="4">
        <v>572</v>
      </c>
      <c r="Z5126" s="4">
        <v>28</v>
      </c>
      <c r="AA5126" s="4">
        <v>38</v>
      </c>
      <c r="AB5126" s="4">
        <v>1</v>
      </c>
      <c r="AC5126" s="4">
        <v>4</v>
      </c>
      <c r="AD5126" s="4">
        <v>106</v>
      </c>
      <c r="AE5126" s="4">
        <v>113</v>
      </c>
      <c r="AF5126" s="4">
        <v>0</v>
      </c>
      <c r="AG5126" s="4">
        <v>2</v>
      </c>
      <c r="AH5126" s="4">
        <v>93</v>
      </c>
      <c r="AI5126" s="4">
        <v>95</v>
      </c>
      <c r="AJ5126" s="4">
        <v>13</v>
      </c>
      <c r="AK5126" s="4">
        <v>16</v>
      </c>
      <c r="AL5126" s="4">
        <v>52</v>
      </c>
      <c r="AM5126" s="4">
        <v>52</v>
      </c>
      <c r="AN5126" s="4">
        <v>0</v>
      </c>
      <c r="AO5126" s="4">
        <v>0</v>
      </c>
      <c r="AP5126" s="4">
        <v>19</v>
      </c>
      <c r="AQ5126" s="4">
        <v>23</v>
      </c>
      <c r="AR5126" s="3" t="s">
        <v>62</v>
      </c>
      <c r="AS5126" s="3" t="s">
        <v>62</v>
      </c>
      <c r="AT5126" s="3" t="s">
        <v>61</v>
      </c>
      <c r="AU5126" s="6" t="str">
        <f>HYPERLINK("http://catalog.hathitrust.org/Record/000806261","HathiTrust Record")</f>
        <v>HathiTrust Record</v>
      </c>
      <c r="AV5126" s="6" t="str">
        <f>HYPERLINK("http://mcgill.on.worldcat.org/oclc/13760742","Catalog Record")</f>
        <v>Catalog Record</v>
      </c>
      <c r="AW5126" s="6" t="str">
        <f>HYPERLINK("http://www.worldcat.org/oclc/13760742","WorldCat Record")</f>
        <v>WorldCat Record</v>
      </c>
      <c r="AX5126" s="3" t="s">
        <v>49140</v>
      </c>
      <c r="AY5126" s="3" t="s">
        <v>49141</v>
      </c>
      <c r="AZ5126" s="3" t="s">
        <v>49142</v>
      </c>
      <c r="BA5126" s="3" t="s">
        <v>49142</v>
      </c>
      <c r="BB5126" s="3" t="s">
        <v>49143</v>
      </c>
      <c r="BC5126" s="3" t="s">
        <v>102</v>
      </c>
      <c r="BD5126" s="3" t="s">
        <v>68</v>
      </c>
      <c r="BE5126" s="3" t="s">
        <v>49144</v>
      </c>
      <c r="BF5126" s="3" t="s">
        <v>49143</v>
      </c>
      <c r="BG5126" s="3" t="s">
        <v>49145</v>
      </c>
    </row>
    <row r="5127" spans="1:59" ht="58" x14ac:dyDescent="0.35">
      <c r="A5127" s="2" t="s">
        <v>89</v>
      </c>
      <c r="B5127" s="2" t="s">
        <v>90</v>
      </c>
      <c r="C5127" s="2" t="s">
        <v>49146</v>
      </c>
      <c r="D5127" s="2" t="s">
        <v>49147</v>
      </c>
      <c r="E5127" s="2" t="s">
        <v>49148</v>
      </c>
      <c r="G5127" s="3" t="s">
        <v>62</v>
      </c>
      <c r="I5127" s="3" t="s">
        <v>61</v>
      </c>
      <c r="J5127" s="3" t="s">
        <v>62</v>
      </c>
      <c r="K5127" s="3" t="s">
        <v>63</v>
      </c>
      <c r="L5127" s="2" t="s">
        <v>49149</v>
      </c>
      <c r="M5127" s="2" t="s">
        <v>49150</v>
      </c>
      <c r="N5127" s="3" t="s">
        <v>1722</v>
      </c>
      <c r="P5127" s="3" t="s">
        <v>64</v>
      </c>
      <c r="R5127" s="3" t="s">
        <v>46535</v>
      </c>
      <c r="S5127" s="4">
        <v>9</v>
      </c>
      <c r="T5127" s="4">
        <v>15</v>
      </c>
      <c r="U5127" s="5" t="s">
        <v>48576</v>
      </c>
      <c r="V5127" s="5" t="s">
        <v>28563</v>
      </c>
      <c r="W5127" s="5" t="s">
        <v>67</v>
      </c>
      <c r="X5127" s="5" t="s">
        <v>67</v>
      </c>
      <c r="Y5127" s="4">
        <v>186</v>
      </c>
      <c r="Z5127" s="4">
        <v>14</v>
      </c>
      <c r="AA5127" s="4">
        <v>30</v>
      </c>
      <c r="AB5127" s="4">
        <v>1</v>
      </c>
      <c r="AC5127" s="4">
        <v>11</v>
      </c>
      <c r="AD5127" s="4">
        <v>65</v>
      </c>
      <c r="AE5127" s="4">
        <v>86</v>
      </c>
      <c r="AF5127" s="4">
        <v>0</v>
      </c>
      <c r="AG5127" s="4">
        <v>4</v>
      </c>
      <c r="AH5127" s="4">
        <v>55</v>
      </c>
      <c r="AI5127" s="4">
        <v>72</v>
      </c>
      <c r="AJ5127" s="4">
        <v>10</v>
      </c>
      <c r="AK5127" s="4">
        <v>16</v>
      </c>
      <c r="AL5127" s="4">
        <v>35</v>
      </c>
      <c r="AM5127" s="4">
        <v>44</v>
      </c>
      <c r="AN5127" s="4">
        <v>0</v>
      </c>
      <c r="AO5127" s="4">
        <v>0</v>
      </c>
      <c r="AP5127" s="4">
        <v>12</v>
      </c>
      <c r="AQ5127" s="4">
        <v>18</v>
      </c>
      <c r="AR5127" s="3" t="s">
        <v>62</v>
      </c>
      <c r="AS5127" s="3" t="s">
        <v>62</v>
      </c>
      <c r="AT5127" s="3" t="s">
        <v>62</v>
      </c>
      <c r="AV5127" s="6" t="str">
        <f>HYPERLINK("http://mcgill.on.worldcat.org/oclc/226911668","Catalog Record")</f>
        <v>Catalog Record</v>
      </c>
      <c r="AW5127" s="6" t="str">
        <f>HYPERLINK("http://www.worldcat.org/oclc/226911668","WorldCat Record")</f>
        <v>WorldCat Record</v>
      </c>
      <c r="AX5127" s="3" t="s">
        <v>49151</v>
      </c>
      <c r="AY5127" s="3" t="s">
        <v>49152</v>
      </c>
      <c r="AZ5127" s="3" t="s">
        <v>49153</v>
      </c>
      <c r="BA5127" s="3" t="s">
        <v>49153</v>
      </c>
      <c r="BB5127" s="3" t="s">
        <v>49154</v>
      </c>
      <c r="BC5127" s="3" t="s">
        <v>102</v>
      </c>
      <c r="BD5127" s="3" t="s">
        <v>231</v>
      </c>
      <c r="BE5127" s="3" t="s">
        <v>49155</v>
      </c>
      <c r="BF5127" s="3" t="s">
        <v>49154</v>
      </c>
      <c r="BG5127" s="3" t="s">
        <v>49156</v>
      </c>
    </row>
    <row r="5128" spans="1:59" ht="58" x14ac:dyDescent="0.35">
      <c r="A5128" s="2" t="s">
        <v>89</v>
      </c>
      <c r="B5128" s="2" t="s">
        <v>90</v>
      </c>
      <c r="C5128" s="2" t="s">
        <v>49157</v>
      </c>
      <c r="D5128" s="2" t="s">
        <v>49158</v>
      </c>
      <c r="E5128" s="2" t="s">
        <v>49159</v>
      </c>
      <c r="G5128" s="3" t="s">
        <v>62</v>
      </c>
      <c r="I5128" s="3" t="s">
        <v>62</v>
      </c>
      <c r="J5128" s="3" t="s">
        <v>62</v>
      </c>
      <c r="K5128" s="3" t="s">
        <v>63</v>
      </c>
      <c r="L5128" s="2" t="s">
        <v>49160</v>
      </c>
      <c r="M5128" s="2" t="s">
        <v>34802</v>
      </c>
      <c r="N5128" s="3" t="s">
        <v>640</v>
      </c>
      <c r="P5128" s="3" t="s">
        <v>64</v>
      </c>
      <c r="R5128" s="3" t="s">
        <v>46535</v>
      </c>
      <c r="S5128" s="4">
        <v>16</v>
      </c>
      <c r="T5128" s="4">
        <v>16</v>
      </c>
      <c r="U5128" s="5" t="s">
        <v>4688</v>
      </c>
      <c r="V5128" s="5" t="s">
        <v>4688</v>
      </c>
      <c r="W5128" s="5" t="s">
        <v>67</v>
      </c>
      <c r="X5128" s="5" t="s">
        <v>67</v>
      </c>
      <c r="Y5128" s="4">
        <v>19</v>
      </c>
      <c r="Z5128" s="4">
        <v>4</v>
      </c>
      <c r="AA5128" s="4">
        <v>66</v>
      </c>
      <c r="AB5128" s="4">
        <v>1</v>
      </c>
      <c r="AC5128" s="4">
        <v>7</v>
      </c>
      <c r="AD5128" s="4">
        <v>8</v>
      </c>
      <c r="AE5128" s="4">
        <v>143</v>
      </c>
      <c r="AF5128" s="4">
        <v>0</v>
      </c>
      <c r="AG5128" s="4">
        <v>4</v>
      </c>
      <c r="AH5128" s="4">
        <v>7</v>
      </c>
      <c r="AI5128" s="4">
        <v>103</v>
      </c>
      <c r="AJ5128" s="4">
        <v>1</v>
      </c>
      <c r="AK5128" s="4">
        <v>23</v>
      </c>
      <c r="AL5128" s="4">
        <v>3</v>
      </c>
      <c r="AM5128" s="4">
        <v>55</v>
      </c>
      <c r="AN5128" s="4">
        <v>0</v>
      </c>
      <c r="AO5128" s="4">
        <v>0</v>
      </c>
      <c r="AP5128" s="4">
        <v>1</v>
      </c>
      <c r="AQ5128" s="4">
        <v>46</v>
      </c>
      <c r="AR5128" s="3" t="s">
        <v>62</v>
      </c>
      <c r="AS5128" s="3" t="s">
        <v>62</v>
      </c>
      <c r="AT5128" s="3" t="s">
        <v>62</v>
      </c>
      <c r="AV5128" s="6" t="str">
        <f>HYPERLINK("http://mcgill.on.worldcat.org/oclc/234174734","Catalog Record")</f>
        <v>Catalog Record</v>
      </c>
      <c r="AW5128" s="6" t="str">
        <f>HYPERLINK("http://www.worldcat.org/oclc/234174734","WorldCat Record")</f>
        <v>WorldCat Record</v>
      </c>
      <c r="AX5128" s="3" t="s">
        <v>49161</v>
      </c>
      <c r="AY5128" s="3" t="s">
        <v>49162</v>
      </c>
      <c r="AZ5128" s="3" t="s">
        <v>49163</v>
      </c>
      <c r="BA5128" s="3" t="s">
        <v>49163</v>
      </c>
      <c r="BB5128" s="3" t="s">
        <v>49164</v>
      </c>
      <c r="BC5128" s="3" t="s">
        <v>102</v>
      </c>
      <c r="BD5128" s="3" t="s">
        <v>68</v>
      </c>
      <c r="BE5128" s="3" t="s">
        <v>49165</v>
      </c>
      <c r="BF5128" s="3" t="s">
        <v>49164</v>
      </c>
      <c r="BG5128" s="3" t="s">
        <v>49166</v>
      </c>
    </row>
    <row r="5129" spans="1:59" ht="58" x14ac:dyDescent="0.35">
      <c r="A5129" s="2" t="s">
        <v>89</v>
      </c>
      <c r="B5129" s="2" t="s">
        <v>90</v>
      </c>
      <c r="C5129" s="2" t="s">
        <v>49167</v>
      </c>
      <c r="D5129" s="2" t="s">
        <v>49168</v>
      </c>
      <c r="E5129" s="2" t="s">
        <v>49169</v>
      </c>
      <c r="G5129" s="3" t="s">
        <v>62</v>
      </c>
      <c r="I5129" s="3" t="s">
        <v>62</v>
      </c>
      <c r="J5129" s="3" t="s">
        <v>62</v>
      </c>
      <c r="K5129" s="3" t="s">
        <v>63</v>
      </c>
      <c r="M5129" s="2" t="s">
        <v>49170</v>
      </c>
      <c r="N5129" s="3" t="s">
        <v>568</v>
      </c>
      <c r="P5129" s="3" t="s">
        <v>64</v>
      </c>
      <c r="R5129" s="3" t="s">
        <v>46535</v>
      </c>
      <c r="S5129" s="4">
        <v>43</v>
      </c>
      <c r="T5129" s="4">
        <v>43</v>
      </c>
      <c r="U5129" s="5" t="s">
        <v>48099</v>
      </c>
      <c r="V5129" s="5" t="s">
        <v>48099</v>
      </c>
      <c r="W5129" s="5" t="s">
        <v>67</v>
      </c>
      <c r="X5129" s="5" t="s">
        <v>67</v>
      </c>
      <c r="Y5129" s="4">
        <v>290</v>
      </c>
      <c r="Z5129" s="4">
        <v>18</v>
      </c>
      <c r="AA5129" s="4">
        <v>19</v>
      </c>
      <c r="AB5129" s="4">
        <v>1</v>
      </c>
      <c r="AC5129" s="4">
        <v>2</v>
      </c>
      <c r="AD5129" s="4">
        <v>73</v>
      </c>
      <c r="AE5129" s="4">
        <v>74</v>
      </c>
      <c r="AF5129" s="4">
        <v>0</v>
      </c>
      <c r="AG5129" s="4">
        <v>1</v>
      </c>
      <c r="AH5129" s="4">
        <v>61</v>
      </c>
      <c r="AI5129" s="4">
        <v>62</v>
      </c>
      <c r="AJ5129" s="4">
        <v>13</v>
      </c>
      <c r="AK5129" s="4">
        <v>14</v>
      </c>
      <c r="AL5129" s="4">
        <v>36</v>
      </c>
      <c r="AM5129" s="4">
        <v>36</v>
      </c>
      <c r="AN5129" s="4">
        <v>0</v>
      </c>
      <c r="AO5129" s="4">
        <v>0</v>
      </c>
      <c r="AP5129" s="4">
        <v>16</v>
      </c>
      <c r="AQ5129" s="4">
        <v>17</v>
      </c>
      <c r="AR5129" s="3" t="s">
        <v>62</v>
      </c>
      <c r="AS5129" s="3" t="s">
        <v>62</v>
      </c>
      <c r="AT5129" s="3" t="s">
        <v>62</v>
      </c>
      <c r="AV5129" s="6" t="str">
        <f>HYPERLINK("http://mcgill.on.worldcat.org/oclc/41580377","Catalog Record")</f>
        <v>Catalog Record</v>
      </c>
      <c r="AW5129" s="6" t="str">
        <f>HYPERLINK("http://www.worldcat.org/oclc/41580377","WorldCat Record")</f>
        <v>WorldCat Record</v>
      </c>
      <c r="AX5129" s="3" t="s">
        <v>49171</v>
      </c>
      <c r="AY5129" s="3" t="s">
        <v>49172</v>
      </c>
      <c r="AZ5129" s="3" t="s">
        <v>49173</v>
      </c>
      <c r="BA5129" s="3" t="s">
        <v>49173</v>
      </c>
      <c r="BB5129" s="3" t="s">
        <v>49174</v>
      </c>
      <c r="BC5129" s="3" t="s">
        <v>102</v>
      </c>
      <c r="BD5129" s="3" t="s">
        <v>231</v>
      </c>
      <c r="BE5129" s="3" t="s">
        <v>49175</v>
      </c>
      <c r="BF5129" s="3" t="s">
        <v>49174</v>
      </c>
      <c r="BG5129" s="3" t="s">
        <v>49176</v>
      </c>
    </row>
    <row r="5130" spans="1:59" ht="58" x14ac:dyDescent="0.35">
      <c r="A5130" s="2" t="s">
        <v>89</v>
      </c>
      <c r="B5130" s="2" t="s">
        <v>90</v>
      </c>
      <c r="C5130" s="2" t="s">
        <v>49177</v>
      </c>
      <c r="D5130" s="2" t="s">
        <v>49178</v>
      </c>
      <c r="E5130" s="2" t="s">
        <v>49179</v>
      </c>
      <c r="G5130" s="3" t="s">
        <v>62</v>
      </c>
      <c r="I5130" s="3" t="s">
        <v>62</v>
      </c>
      <c r="J5130" s="3" t="s">
        <v>62</v>
      </c>
      <c r="K5130" s="3" t="s">
        <v>63</v>
      </c>
      <c r="M5130" s="2" t="s">
        <v>49180</v>
      </c>
      <c r="N5130" s="3" t="s">
        <v>2136</v>
      </c>
      <c r="P5130" s="3" t="s">
        <v>64</v>
      </c>
      <c r="R5130" s="3" t="s">
        <v>46535</v>
      </c>
      <c r="S5130" s="4">
        <v>8</v>
      </c>
      <c r="T5130" s="4">
        <v>8</v>
      </c>
      <c r="U5130" s="5" t="s">
        <v>12829</v>
      </c>
      <c r="V5130" s="5" t="s">
        <v>12829</v>
      </c>
      <c r="W5130" s="5" t="s">
        <v>67</v>
      </c>
      <c r="X5130" s="5" t="s">
        <v>67</v>
      </c>
      <c r="Y5130" s="4">
        <v>258</v>
      </c>
      <c r="Z5130" s="4">
        <v>27</v>
      </c>
      <c r="AA5130" s="4">
        <v>44</v>
      </c>
      <c r="AB5130" s="4">
        <v>2</v>
      </c>
      <c r="AC5130" s="4">
        <v>9</v>
      </c>
      <c r="AD5130" s="4">
        <v>97</v>
      </c>
      <c r="AE5130" s="4">
        <v>110</v>
      </c>
      <c r="AF5130" s="4">
        <v>1</v>
      </c>
      <c r="AG5130" s="4">
        <v>5</v>
      </c>
      <c r="AH5130" s="4">
        <v>79</v>
      </c>
      <c r="AI5130" s="4">
        <v>81</v>
      </c>
      <c r="AJ5130" s="4">
        <v>16</v>
      </c>
      <c r="AK5130" s="4">
        <v>23</v>
      </c>
      <c r="AL5130" s="4">
        <v>46</v>
      </c>
      <c r="AM5130" s="4">
        <v>47</v>
      </c>
      <c r="AN5130" s="4">
        <v>0</v>
      </c>
      <c r="AO5130" s="4">
        <v>0</v>
      </c>
      <c r="AP5130" s="4">
        <v>23</v>
      </c>
      <c r="AQ5130" s="4">
        <v>34</v>
      </c>
      <c r="AR5130" s="3" t="s">
        <v>62</v>
      </c>
      <c r="AS5130" s="3" t="s">
        <v>62</v>
      </c>
      <c r="AT5130" s="3" t="s">
        <v>62</v>
      </c>
      <c r="AV5130" s="6" t="str">
        <f>HYPERLINK("http://mcgill.on.worldcat.org/oclc/55665752","Catalog Record")</f>
        <v>Catalog Record</v>
      </c>
      <c r="AW5130" s="6" t="str">
        <f>HYPERLINK("http://www.worldcat.org/oclc/55665752","WorldCat Record")</f>
        <v>WorldCat Record</v>
      </c>
      <c r="AX5130" s="3" t="s">
        <v>49181</v>
      </c>
      <c r="AY5130" s="3" t="s">
        <v>49182</v>
      </c>
      <c r="AZ5130" s="3" t="s">
        <v>49183</v>
      </c>
      <c r="BA5130" s="3" t="s">
        <v>49183</v>
      </c>
      <c r="BB5130" s="3" t="s">
        <v>49184</v>
      </c>
      <c r="BC5130" s="3" t="s">
        <v>102</v>
      </c>
      <c r="BD5130" s="3" t="s">
        <v>68</v>
      </c>
      <c r="BE5130" s="3" t="s">
        <v>49185</v>
      </c>
      <c r="BF5130" s="3" t="s">
        <v>49184</v>
      </c>
      <c r="BG5130" s="3" t="s">
        <v>49186</v>
      </c>
    </row>
    <row r="5131" spans="1:59" ht="58" x14ac:dyDescent="0.35">
      <c r="A5131" s="2" t="s">
        <v>89</v>
      </c>
      <c r="B5131" s="2" t="s">
        <v>90</v>
      </c>
      <c r="C5131" s="2" t="s">
        <v>49187</v>
      </c>
      <c r="D5131" s="2" t="s">
        <v>49188</v>
      </c>
      <c r="E5131" s="2" t="s">
        <v>49189</v>
      </c>
      <c r="G5131" s="3" t="s">
        <v>62</v>
      </c>
      <c r="I5131" s="3" t="s">
        <v>61</v>
      </c>
      <c r="J5131" s="3" t="s">
        <v>62</v>
      </c>
      <c r="K5131" s="3" t="s">
        <v>63</v>
      </c>
      <c r="M5131" s="2" t="s">
        <v>49190</v>
      </c>
      <c r="N5131" s="3" t="s">
        <v>596</v>
      </c>
      <c r="P5131" s="3" t="s">
        <v>64</v>
      </c>
      <c r="Q5131" s="2" t="s">
        <v>49191</v>
      </c>
      <c r="R5131" s="3" t="s">
        <v>46535</v>
      </c>
      <c r="S5131" s="4">
        <v>8</v>
      </c>
      <c r="T5131" s="4">
        <v>24</v>
      </c>
      <c r="U5131" s="5" t="s">
        <v>49192</v>
      </c>
      <c r="V5131" s="5" t="s">
        <v>34870</v>
      </c>
      <c r="W5131" s="5" t="s">
        <v>67</v>
      </c>
      <c r="X5131" s="5" t="s">
        <v>67</v>
      </c>
      <c r="Y5131" s="4">
        <v>227</v>
      </c>
      <c r="Z5131" s="4">
        <v>13</v>
      </c>
      <c r="AA5131" s="4">
        <v>32</v>
      </c>
      <c r="AB5131" s="4">
        <v>2</v>
      </c>
      <c r="AC5131" s="4">
        <v>6</v>
      </c>
      <c r="AD5131" s="4">
        <v>76</v>
      </c>
      <c r="AE5131" s="4">
        <v>96</v>
      </c>
      <c r="AF5131" s="4">
        <v>1</v>
      </c>
      <c r="AG5131" s="4">
        <v>2</v>
      </c>
      <c r="AH5131" s="4">
        <v>68</v>
      </c>
      <c r="AI5131" s="4">
        <v>77</v>
      </c>
      <c r="AJ5131" s="4">
        <v>10</v>
      </c>
      <c r="AK5131" s="4">
        <v>18</v>
      </c>
      <c r="AL5131" s="4">
        <v>37</v>
      </c>
      <c r="AM5131" s="4">
        <v>42</v>
      </c>
      <c r="AN5131" s="4">
        <v>0</v>
      </c>
      <c r="AO5131" s="4">
        <v>0</v>
      </c>
      <c r="AP5131" s="4">
        <v>12</v>
      </c>
      <c r="AQ5131" s="4">
        <v>25</v>
      </c>
      <c r="AR5131" s="3" t="s">
        <v>62</v>
      </c>
      <c r="AS5131" s="3" t="s">
        <v>62</v>
      </c>
      <c r="AT5131" s="3" t="s">
        <v>62</v>
      </c>
      <c r="AV5131" s="6" t="str">
        <f>HYPERLINK("http://mcgill.on.worldcat.org/oclc/52893893","Catalog Record")</f>
        <v>Catalog Record</v>
      </c>
      <c r="AW5131" s="6" t="str">
        <f>HYPERLINK("http://www.worldcat.org/oclc/52893893","WorldCat Record")</f>
        <v>WorldCat Record</v>
      </c>
      <c r="AX5131" s="3" t="s">
        <v>49193</v>
      </c>
      <c r="AY5131" s="3" t="s">
        <v>49194</v>
      </c>
      <c r="AZ5131" s="3" t="s">
        <v>49195</v>
      </c>
      <c r="BA5131" s="3" t="s">
        <v>49195</v>
      </c>
      <c r="BB5131" s="3" t="s">
        <v>49196</v>
      </c>
      <c r="BC5131" s="3" t="s">
        <v>102</v>
      </c>
      <c r="BD5131" s="3" t="s">
        <v>68</v>
      </c>
      <c r="BE5131" s="3" t="s">
        <v>49197</v>
      </c>
      <c r="BF5131" s="3" t="s">
        <v>49196</v>
      </c>
      <c r="BG5131" s="3" t="s">
        <v>49198</v>
      </c>
    </row>
    <row r="5132" spans="1:59" ht="58" x14ac:dyDescent="0.35">
      <c r="A5132" s="2" t="s">
        <v>89</v>
      </c>
      <c r="B5132" s="2" t="s">
        <v>90</v>
      </c>
      <c r="C5132" s="2" t="s">
        <v>49187</v>
      </c>
      <c r="D5132" s="2" t="s">
        <v>49188</v>
      </c>
      <c r="E5132" s="2" t="s">
        <v>49189</v>
      </c>
      <c r="G5132" s="3" t="s">
        <v>62</v>
      </c>
      <c r="I5132" s="3" t="s">
        <v>61</v>
      </c>
      <c r="J5132" s="3" t="s">
        <v>62</v>
      </c>
      <c r="K5132" s="3" t="s">
        <v>63</v>
      </c>
      <c r="M5132" s="2" t="s">
        <v>49190</v>
      </c>
      <c r="N5132" s="3" t="s">
        <v>596</v>
      </c>
      <c r="P5132" s="3" t="s">
        <v>64</v>
      </c>
      <c r="Q5132" s="2" t="s">
        <v>49191</v>
      </c>
      <c r="R5132" s="3" t="s">
        <v>46535</v>
      </c>
      <c r="S5132" s="4">
        <v>16</v>
      </c>
      <c r="T5132" s="4">
        <v>24</v>
      </c>
      <c r="U5132" s="5" t="s">
        <v>34870</v>
      </c>
      <c r="V5132" s="5" t="s">
        <v>34870</v>
      </c>
      <c r="W5132" s="5" t="s">
        <v>67</v>
      </c>
      <c r="X5132" s="5" t="s">
        <v>67</v>
      </c>
      <c r="Y5132" s="4">
        <v>227</v>
      </c>
      <c r="Z5132" s="4">
        <v>13</v>
      </c>
      <c r="AA5132" s="4">
        <v>32</v>
      </c>
      <c r="AB5132" s="4">
        <v>2</v>
      </c>
      <c r="AC5132" s="4">
        <v>6</v>
      </c>
      <c r="AD5132" s="4">
        <v>76</v>
      </c>
      <c r="AE5132" s="4">
        <v>96</v>
      </c>
      <c r="AF5132" s="4">
        <v>1</v>
      </c>
      <c r="AG5132" s="4">
        <v>2</v>
      </c>
      <c r="AH5132" s="4">
        <v>68</v>
      </c>
      <c r="AI5132" s="4">
        <v>77</v>
      </c>
      <c r="AJ5132" s="4">
        <v>10</v>
      </c>
      <c r="AK5132" s="4">
        <v>18</v>
      </c>
      <c r="AL5132" s="4">
        <v>37</v>
      </c>
      <c r="AM5132" s="4">
        <v>42</v>
      </c>
      <c r="AN5132" s="4">
        <v>0</v>
      </c>
      <c r="AO5132" s="4">
        <v>0</v>
      </c>
      <c r="AP5132" s="4">
        <v>12</v>
      </c>
      <c r="AQ5132" s="4">
        <v>25</v>
      </c>
      <c r="AR5132" s="3" t="s">
        <v>62</v>
      </c>
      <c r="AS5132" s="3" t="s">
        <v>62</v>
      </c>
      <c r="AT5132" s="3" t="s">
        <v>62</v>
      </c>
      <c r="AV5132" s="6" t="str">
        <f>HYPERLINK("http://mcgill.on.worldcat.org/oclc/52893893","Catalog Record")</f>
        <v>Catalog Record</v>
      </c>
      <c r="AW5132" s="6" t="str">
        <f>HYPERLINK("http://www.worldcat.org/oclc/52893893","WorldCat Record")</f>
        <v>WorldCat Record</v>
      </c>
      <c r="AX5132" s="3" t="s">
        <v>49193</v>
      </c>
      <c r="AY5132" s="3" t="s">
        <v>49194</v>
      </c>
      <c r="AZ5132" s="3" t="s">
        <v>49195</v>
      </c>
      <c r="BA5132" s="3" t="s">
        <v>49195</v>
      </c>
      <c r="BB5132" s="3" t="s">
        <v>49199</v>
      </c>
      <c r="BC5132" s="3" t="s">
        <v>102</v>
      </c>
      <c r="BD5132" s="3" t="s">
        <v>231</v>
      </c>
      <c r="BE5132" s="3" t="s">
        <v>49197</v>
      </c>
      <c r="BF5132" s="3" t="s">
        <v>49199</v>
      </c>
      <c r="BG5132" s="3" t="s">
        <v>49200</v>
      </c>
    </row>
    <row r="5133" spans="1:59" ht="58" x14ac:dyDescent="0.35">
      <c r="A5133" s="2" t="s">
        <v>89</v>
      </c>
      <c r="B5133" s="2" t="s">
        <v>90</v>
      </c>
      <c r="C5133" s="2" t="s">
        <v>49201</v>
      </c>
      <c r="D5133" s="2" t="s">
        <v>49202</v>
      </c>
      <c r="E5133" s="2" t="s">
        <v>49203</v>
      </c>
      <c r="G5133" s="3" t="s">
        <v>62</v>
      </c>
      <c r="I5133" s="3" t="s">
        <v>62</v>
      </c>
      <c r="J5133" s="3" t="s">
        <v>62</v>
      </c>
      <c r="K5133" s="3" t="s">
        <v>63</v>
      </c>
      <c r="M5133" s="2" t="s">
        <v>49204</v>
      </c>
      <c r="N5133" s="3" t="s">
        <v>880</v>
      </c>
      <c r="P5133" s="3" t="s">
        <v>64</v>
      </c>
      <c r="R5133" s="3" t="s">
        <v>46535</v>
      </c>
      <c r="S5133" s="4">
        <v>1</v>
      </c>
      <c r="T5133" s="4">
        <v>1</v>
      </c>
      <c r="U5133" s="5" t="s">
        <v>49192</v>
      </c>
      <c r="V5133" s="5" t="s">
        <v>49192</v>
      </c>
      <c r="W5133" s="5" t="s">
        <v>67</v>
      </c>
      <c r="X5133" s="5" t="s">
        <v>67</v>
      </c>
      <c r="Y5133" s="4">
        <v>52</v>
      </c>
      <c r="Z5133" s="4">
        <v>3</v>
      </c>
      <c r="AA5133" s="4">
        <v>40</v>
      </c>
      <c r="AB5133" s="4">
        <v>1</v>
      </c>
      <c r="AC5133" s="4">
        <v>10</v>
      </c>
      <c r="AD5133" s="4">
        <v>18</v>
      </c>
      <c r="AE5133" s="4">
        <v>85</v>
      </c>
      <c r="AF5133" s="4">
        <v>0</v>
      </c>
      <c r="AG5133" s="4">
        <v>6</v>
      </c>
      <c r="AH5133" s="4">
        <v>18</v>
      </c>
      <c r="AI5133" s="4">
        <v>57</v>
      </c>
      <c r="AJ5133" s="4">
        <v>2</v>
      </c>
      <c r="AK5133" s="4">
        <v>19</v>
      </c>
      <c r="AL5133" s="4">
        <v>13</v>
      </c>
      <c r="AM5133" s="4">
        <v>30</v>
      </c>
      <c r="AN5133" s="4">
        <v>0</v>
      </c>
      <c r="AO5133" s="4">
        <v>0</v>
      </c>
      <c r="AP5133" s="4">
        <v>2</v>
      </c>
      <c r="AQ5133" s="4">
        <v>34</v>
      </c>
      <c r="AR5133" s="3" t="s">
        <v>62</v>
      </c>
      <c r="AS5133" s="3" t="s">
        <v>62</v>
      </c>
      <c r="AT5133" s="3" t="s">
        <v>62</v>
      </c>
      <c r="AV5133" s="6" t="str">
        <f>HYPERLINK("http://mcgill.on.worldcat.org/oclc/465370718","Catalog Record")</f>
        <v>Catalog Record</v>
      </c>
      <c r="AW5133" s="6" t="str">
        <f>HYPERLINK("http://www.worldcat.org/oclc/465370718","WorldCat Record")</f>
        <v>WorldCat Record</v>
      </c>
      <c r="AX5133" s="3" t="s">
        <v>49205</v>
      </c>
      <c r="AY5133" s="3" t="s">
        <v>49206</v>
      </c>
      <c r="AZ5133" s="3" t="s">
        <v>49207</v>
      </c>
      <c r="BA5133" s="3" t="s">
        <v>49207</v>
      </c>
      <c r="BB5133" s="3" t="s">
        <v>49208</v>
      </c>
      <c r="BC5133" s="3" t="s">
        <v>102</v>
      </c>
      <c r="BD5133" s="3" t="s">
        <v>68</v>
      </c>
      <c r="BE5133" s="3" t="s">
        <v>49209</v>
      </c>
      <c r="BF5133" s="3" t="s">
        <v>49208</v>
      </c>
      <c r="BG5133" s="3" t="s">
        <v>49210</v>
      </c>
    </row>
    <row r="5134" spans="1:59" ht="58" x14ac:dyDescent="0.35">
      <c r="A5134" s="2" t="s">
        <v>89</v>
      </c>
      <c r="B5134" s="2" t="s">
        <v>90</v>
      </c>
      <c r="C5134" s="2" t="s">
        <v>49211</v>
      </c>
      <c r="D5134" s="2" t="s">
        <v>49212</v>
      </c>
      <c r="E5134" s="2" t="s">
        <v>49213</v>
      </c>
      <c r="G5134" s="3" t="s">
        <v>62</v>
      </c>
      <c r="I5134" s="3" t="s">
        <v>61</v>
      </c>
      <c r="J5134" s="3" t="s">
        <v>62</v>
      </c>
      <c r="K5134" s="3" t="s">
        <v>63</v>
      </c>
      <c r="L5134" s="2" t="s">
        <v>48894</v>
      </c>
      <c r="M5134" s="2" t="s">
        <v>49214</v>
      </c>
      <c r="N5134" s="3" t="s">
        <v>2136</v>
      </c>
      <c r="P5134" s="3" t="s">
        <v>64</v>
      </c>
      <c r="R5134" s="3" t="s">
        <v>46535</v>
      </c>
      <c r="S5134" s="4">
        <v>17</v>
      </c>
      <c r="T5134" s="4">
        <v>28</v>
      </c>
      <c r="U5134" s="5" t="s">
        <v>11570</v>
      </c>
      <c r="V5134" s="5" t="s">
        <v>11570</v>
      </c>
      <c r="W5134" s="5" t="s">
        <v>67</v>
      </c>
      <c r="X5134" s="5" t="s">
        <v>67</v>
      </c>
      <c r="Y5134" s="4">
        <v>1244</v>
      </c>
      <c r="Z5134" s="4">
        <v>59</v>
      </c>
      <c r="AA5134" s="4">
        <v>126</v>
      </c>
      <c r="AB5134" s="4">
        <v>4</v>
      </c>
      <c r="AC5134" s="4">
        <v>19</v>
      </c>
      <c r="AD5134" s="4">
        <v>125</v>
      </c>
      <c r="AE5134" s="4">
        <v>147</v>
      </c>
      <c r="AF5134" s="4">
        <v>2</v>
      </c>
      <c r="AG5134" s="4">
        <v>8</v>
      </c>
      <c r="AH5134" s="4">
        <v>99</v>
      </c>
      <c r="AI5134" s="4">
        <v>106</v>
      </c>
      <c r="AJ5134" s="4">
        <v>16</v>
      </c>
      <c r="AK5134" s="4">
        <v>23</v>
      </c>
      <c r="AL5134" s="4">
        <v>52</v>
      </c>
      <c r="AM5134" s="4">
        <v>54</v>
      </c>
      <c r="AN5134" s="4">
        <v>0</v>
      </c>
      <c r="AO5134" s="4">
        <v>0</v>
      </c>
      <c r="AP5134" s="4">
        <v>31</v>
      </c>
      <c r="AQ5134" s="4">
        <v>48</v>
      </c>
      <c r="AR5134" s="3" t="s">
        <v>62</v>
      </c>
      <c r="AS5134" s="3" t="s">
        <v>62</v>
      </c>
      <c r="AT5134" s="3" t="s">
        <v>61</v>
      </c>
      <c r="AU5134" s="6" t="str">
        <f>HYPERLINK("http://catalog.hathitrust.org/Record/004983072","HathiTrust Record")</f>
        <v>HathiTrust Record</v>
      </c>
      <c r="AV5134" s="6" t="str">
        <f>HYPERLINK("http://mcgill.on.worldcat.org/oclc/56982463","Catalog Record")</f>
        <v>Catalog Record</v>
      </c>
      <c r="AW5134" s="6" t="str">
        <f>HYPERLINK("http://www.worldcat.org/oclc/56982463","WorldCat Record")</f>
        <v>WorldCat Record</v>
      </c>
      <c r="AX5134" s="3" t="s">
        <v>49215</v>
      </c>
      <c r="AY5134" s="3" t="s">
        <v>49216</v>
      </c>
      <c r="AZ5134" s="3" t="s">
        <v>49217</v>
      </c>
      <c r="BA5134" s="3" t="s">
        <v>49217</v>
      </c>
      <c r="BB5134" s="3" t="s">
        <v>49218</v>
      </c>
      <c r="BC5134" s="3" t="s">
        <v>102</v>
      </c>
      <c r="BD5134" s="3" t="s">
        <v>68</v>
      </c>
      <c r="BE5134" s="3" t="s">
        <v>49219</v>
      </c>
      <c r="BF5134" s="3" t="s">
        <v>49218</v>
      </c>
      <c r="BG5134" s="3" t="s">
        <v>49220</v>
      </c>
    </row>
    <row r="5135" spans="1:59" ht="58" x14ac:dyDescent="0.35">
      <c r="A5135" s="2" t="s">
        <v>89</v>
      </c>
      <c r="B5135" s="2" t="s">
        <v>90</v>
      </c>
      <c r="C5135" s="2" t="s">
        <v>49221</v>
      </c>
      <c r="D5135" s="2" t="s">
        <v>49222</v>
      </c>
      <c r="E5135" s="2" t="s">
        <v>49223</v>
      </c>
      <c r="G5135" s="3" t="s">
        <v>62</v>
      </c>
      <c r="I5135" s="3" t="s">
        <v>62</v>
      </c>
      <c r="J5135" s="3" t="s">
        <v>62</v>
      </c>
      <c r="K5135" s="3" t="s">
        <v>63</v>
      </c>
      <c r="L5135" s="2" t="s">
        <v>48894</v>
      </c>
      <c r="M5135" s="2" t="s">
        <v>49224</v>
      </c>
      <c r="N5135" s="3" t="s">
        <v>1722</v>
      </c>
      <c r="O5135" s="2" t="s">
        <v>2163</v>
      </c>
      <c r="P5135" s="3" t="s">
        <v>64</v>
      </c>
      <c r="R5135" s="3" t="s">
        <v>46535</v>
      </c>
      <c r="S5135" s="4">
        <v>5</v>
      </c>
      <c r="T5135" s="4">
        <v>5</v>
      </c>
      <c r="U5135" s="5" t="s">
        <v>10633</v>
      </c>
      <c r="V5135" s="5" t="s">
        <v>10633</v>
      </c>
      <c r="W5135" s="5" t="s">
        <v>67</v>
      </c>
      <c r="X5135" s="5" t="s">
        <v>67</v>
      </c>
      <c r="Y5135" s="4">
        <v>17</v>
      </c>
      <c r="Z5135" s="4">
        <v>8</v>
      </c>
      <c r="AA5135" s="4">
        <v>62</v>
      </c>
      <c r="AB5135" s="4">
        <v>2</v>
      </c>
      <c r="AC5135" s="4">
        <v>9</v>
      </c>
      <c r="AD5135" s="4">
        <v>3</v>
      </c>
      <c r="AE5135" s="4">
        <v>122</v>
      </c>
      <c r="AF5135" s="4">
        <v>0</v>
      </c>
      <c r="AG5135" s="4">
        <v>5</v>
      </c>
      <c r="AH5135" s="4">
        <v>2</v>
      </c>
      <c r="AI5135" s="4">
        <v>97</v>
      </c>
      <c r="AJ5135" s="4">
        <v>1</v>
      </c>
      <c r="AK5135" s="4">
        <v>21</v>
      </c>
      <c r="AL5135" s="4">
        <v>0</v>
      </c>
      <c r="AM5135" s="4">
        <v>49</v>
      </c>
      <c r="AN5135" s="4">
        <v>0</v>
      </c>
      <c r="AO5135" s="4">
        <v>0</v>
      </c>
      <c r="AP5135" s="4">
        <v>2</v>
      </c>
      <c r="AQ5135" s="4">
        <v>34</v>
      </c>
      <c r="AR5135" s="3" t="s">
        <v>62</v>
      </c>
      <c r="AS5135" s="3" t="s">
        <v>62</v>
      </c>
      <c r="AT5135" s="3" t="s">
        <v>62</v>
      </c>
      <c r="AV5135" s="6" t="str">
        <f>HYPERLINK("http://mcgill.on.worldcat.org/oclc/726857585","Catalog Record")</f>
        <v>Catalog Record</v>
      </c>
      <c r="AW5135" s="6" t="str">
        <f>HYPERLINK("http://www.worldcat.org/oclc/726857585","WorldCat Record")</f>
        <v>WorldCat Record</v>
      </c>
      <c r="AX5135" s="3" t="s">
        <v>49225</v>
      </c>
      <c r="AY5135" s="3" t="s">
        <v>49226</v>
      </c>
      <c r="AZ5135" s="3" t="s">
        <v>49227</v>
      </c>
      <c r="BA5135" s="3" t="s">
        <v>49227</v>
      </c>
      <c r="BB5135" s="3" t="s">
        <v>49228</v>
      </c>
      <c r="BC5135" s="3" t="s">
        <v>102</v>
      </c>
      <c r="BD5135" s="3" t="s">
        <v>231</v>
      </c>
      <c r="BE5135" s="3" t="s">
        <v>49229</v>
      </c>
      <c r="BF5135" s="3" t="s">
        <v>49228</v>
      </c>
      <c r="BG5135" s="3" t="s">
        <v>49230</v>
      </c>
    </row>
    <row r="5136" spans="1:59" ht="58" x14ac:dyDescent="0.35">
      <c r="A5136" s="2" t="s">
        <v>89</v>
      </c>
      <c r="B5136" s="2" t="s">
        <v>90</v>
      </c>
      <c r="C5136" s="2" t="s">
        <v>49231</v>
      </c>
      <c r="D5136" s="2" t="s">
        <v>49232</v>
      </c>
      <c r="E5136" s="2" t="s">
        <v>49233</v>
      </c>
      <c r="G5136" s="3" t="s">
        <v>62</v>
      </c>
      <c r="I5136" s="3" t="s">
        <v>62</v>
      </c>
      <c r="J5136" s="3" t="s">
        <v>62</v>
      </c>
      <c r="K5136" s="3" t="s">
        <v>63</v>
      </c>
      <c r="L5136" s="2" t="s">
        <v>46924</v>
      </c>
      <c r="M5136" s="2" t="s">
        <v>23780</v>
      </c>
      <c r="N5136" s="3" t="s">
        <v>2136</v>
      </c>
      <c r="O5136" s="2" t="s">
        <v>2163</v>
      </c>
      <c r="P5136" s="3" t="s">
        <v>64</v>
      </c>
      <c r="R5136" s="3" t="s">
        <v>46535</v>
      </c>
      <c r="S5136" s="4">
        <v>17</v>
      </c>
      <c r="T5136" s="4">
        <v>17</v>
      </c>
      <c r="U5136" s="5" t="s">
        <v>4688</v>
      </c>
      <c r="V5136" s="5" t="s">
        <v>4688</v>
      </c>
      <c r="W5136" s="5" t="s">
        <v>67</v>
      </c>
      <c r="X5136" s="5" t="s">
        <v>67</v>
      </c>
      <c r="Y5136" s="4">
        <v>789</v>
      </c>
      <c r="Z5136" s="4">
        <v>47</v>
      </c>
      <c r="AA5136" s="4">
        <v>59</v>
      </c>
      <c r="AB5136" s="4">
        <v>2</v>
      </c>
      <c r="AC5136" s="4">
        <v>5</v>
      </c>
      <c r="AD5136" s="4">
        <v>124</v>
      </c>
      <c r="AE5136" s="4">
        <v>136</v>
      </c>
      <c r="AF5136" s="4">
        <v>1</v>
      </c>
      <c r="AG5136" s="4">
        <v>4</v>
      </c>
      <c r="AH5136" s="4">
        <v>100</v>
      </c>
      <c r="AI5136" s="4">
        <v>103</v>
      </c>
      <c r="AJ5136" s="4">
        <v>19</v>
      </c>
      <c r="AK5136" s="4">
        <v>26</v>
      </c>
      <c r="AL5136" s="4">
        <v>54</v>
      </c>
      <c r="AM5136" s="4">
        <v>55</v>
      </c>
      <c r="AN5136" s="4">
        <v>0</v>
      </c>
      <c r="AO5136" s="4">
        <v>0</v>
      </c>
      <c r="AP5136" s="4">
        <v>33</v>
      </c>
      <c r="AQ5136" s="4">
        <v>42</v>
      </c>
      <c r="AR5136" s="3" t="s">
        <v>62</v>
      </c>
      <c r="AS5136" s="3" t="s">
        <v>62</v>
      </c>
      <c r="AT5136" s="3" t="s">
        <v>62</v>
      </c>
      <c r="AV5136" s="6" t="str">
        <f>HYPERLINK("http://mcgill.on.worldcat.org/oclc/54906982","Catalog Record")</f>
        <v>Catalog Record</v>
      </c>
      <c r="AW5136" s="6" t="str">
        <f>HYPERLINK("http://www.worldcat.org/oclc/54906982","WorldCat Record")</f>
        <v>WorldCat Record</v>
      </c>
      <c r="AX5136" s="3" t="s">
        <v>49234</v>
      </c>
      <c r="AY5136" s="3" t="s">
        <v>49235</v>
      </c>
      <c r="AZ5136" s="3" t="s">
        <v>49236</v>
      </c>
      <c r="BA5136" s="3" t="s">
        <v>49236</v>
      </c>
      <c r="BB5136" s="3" t="s">
        <v>49237</v>
      </c>
      <c r="BC5136" s="3" t="s">
        <v>102</v>
      </c>
      <c r="BD5136" s="3" t="s">
        <v>68</v>
      </c>
      <c r="BE5136" s="3" t="s">
        <v>49238</v>
      </c>
      <c r="BF5136" s="3" t="s">
        <v>49237</v>
      </c>
      <c r="BG5136" s="3" t="s">
        <v>49239</v>
      </c>
    </row>
    <row r="5137" spans="1:59" ht="58" x14ac:dyDescent="0.35">
      <c r="A5137" s="2" t="s">
        <v>89</v>
      </c>
      <c r="B5137" s="2" t="s">
        <v>90</v>
      </c>
      <c r="C5137" s="2" t="s">
        <v>49240</v>
      </c>
      <c r="D5137" s="2" t="s">
        <v>49241</v>
      </c>
      <c r="E5137" s="2" t="s">
        <v>49242</v>
      </c>
      <c r="G5137" s="3" t="s">
        <v>62</v>
      </c>
      <c r="I5137" s="3" t="s">
        <v>62</v>
      </c>
      <c r="J5137" s="3" t="s">
        <v>62</v>
      </c>
      <c r="K5137" s="3" t="s">
        <v>63</v>
      </c>
      <c r="L5137" s="2" t="s">
        <v>49243</v>
      </c>
      <c r="M5137" s="2" t="s">
        <v>49244</v>
      </c>
      <c r="N5137" s="3" t="s">
        <v>625</v>
      </c>
      <c r="P5137" s="3" t="s">
        <v>64</v>
      </c>
      <c r="Q5137" s="2" t="s">
        <v>49245</v>
      </c>
      <c r="R5137" s="3" t="s">
        <v>46535</v>
      </c>
      <c r="S5137" s="4">
        <v>23</v>
      </c>
      <c r="T5137" s="4">
        <v>23</v>
      </c>
      <c r="U5137" s="5" t="s">
        <v>18681</v>
      </c>
      <c r="V5137" s="5" t="s">
        <v>18681</v>
      </c>
      <c r="W5137" s="5" t="s">
        <v>67</v>
      </c>
      <c r="X5137" s="5" t="s">
        <v>67</v>
      </c>
      <c r="Y5137" s="4">
        <v>413</v>
      </c>
      <c r="Z5137" s="4">
        <v>20</v>
      </c>
      <c r="AA5137" s="4">
        <v>93</v>
      </c>
      <c r="AB5137" s="4">
        <v>2</v>
      </c>
      <c r="AC5137" s="4">
        <v>17</v>
      </c>
      <c r="AD5137" s="4">
        <v>100</v>
      </c>
      <c r="AE5137" s="4">
        <v>140</v>
      </c>
      <c r="AF5137" s="4">
        <v>1</v>
      </c>
      <c r="AG5137" s="4">
        <v>8</v>
      </c>
      <c r="AH5137" s="4">
        <v>88</v>
      </c>
      <c r="AI5137" s="4">
        <v>102</v>
      </c>
      <c r="AJ5137" s="4">
        <v>15</v>
      </c>
      <c r="AK5137" s="4">
        <v>25</v>
      </c>
      <c r="AL5137" s="4">
        <v>51</v>
      </c>
      <c r="AM5137" s="4">
        <v>56</v>
      </c>
      <c r="AN5137" s="4">
        <v>0</v>
      </c>
      <c r="AO5137" s="4">
        <v>0</v>
      </c>
      <c r="AP5137" s="4">
        <v>16</v>
      </c>
      <c r="AQ5137" s="4">
        <v>46</v>
      </c>
      <c r="AR5137" s="3" t="s">
        <v>62</v>
      </c>
      <c r="AS5137" s="3" t="s">
        <v>62</v>
      </c>
      <c r="AT5137" s="3" t="s">
        <v>62</v>
      </c>
      <c r="AV5137" s="6" t="str">
        <f>HYPERLINK("http://mcgill.on.worldcat.org/oclc/50072554","Catalog Record")</f>
        <v>Catalog Record</v>
      </c>
      <c r="AW5137" s="6" t="str">
        <f>HYPERLINK("http://www.worldcat.org/oclc/50072554","WorldCat Record")</f>
        <v>WorldCat Record</v>
      </c>
      <c r="AX5137" s="3" t="s">
        <v>49246</v>
      </c>
      <c r="AY5137" s="3" t="s">
        <v>49247</v>
      </c>
      <c r="AZ5137" s="3" t="s">
        <v>49248</v>
      </c>
      <c r="BA5137" s="3" t="s">
        <v>49248</v>
      </c>
      <c r="BB5137" s="3" t="s">
        <v>49249</v>
      </c>
      <c r="BC5137" s="3" t="s">
        <v>102</v>
      </c>
      <c r="BD5137" s="3" t="s">
        <v>68</v>
      </c>
      <c r="BE5137" s="3" t="s">
        <v>49250</v>
      </c>
      <c r="BF5137" s="3" t="s">
        <v>49249</v>
      </c>
      <c r="BG5137" s="3" t="s">
        <v>49251</v>
      </c>
    </row>
    <row r="5138" spans="1:59" ht="58" x14ac:dyDescent="0.35">
      <c r="A5138" s="2" t="s">
        <v>89</v>
      </c>
      <c r="B5138" s="2" t="s">
        <v>90</v>
      </c>
      <c r="C5138" s="2" t="s">
        <v>49252</v>
      </c>
      <c r="D5138" s="2" t="s">
        <v>49253</v>
      </c>
      <c r="E5138" s="2" t="s">
        <v>49254</v>
      </c>
      <c r="G5138" s="3" t="s">
        <v>62</v>
      </c>
      <c r="I5138" s="3" t="s">
        <v>62</v>
      </c>
      <c r="J5138" s="3" t="s">
        <v>61</v>
      </c>
      <c r="K5138" s="3" t="s">
        <v>63</v>
      </c>
      <c r="M5138" s="2" t="s">
        <v>5144</v>
      </c>
      <c r="N5138" s="3" t="s">
        <v>2975</v>
      </c>
      <c r="P5138" s="3" t="s">
        <v>64</v>
      </c>
      <c r="Q5138" s="2" t="s">
        <v>49245</v>
      </c>
      <c r="R5138" s="3" t="s">
        <v>46535</v>
      </c>
      <c r="S5138" s="4">
        <v>22</v>
      </c>
      <c r="T5138" s="4">
        <v>22</v>
      </c>
      <c r="U5138" s="5" t="s">
        <v>24240</v>
      </c>
      <c r="V5138" s="5" t="s">
        <v>24240</v>
      </c>
      <c r="W5138" s="5" t="s">
        <v>67</v>
      </c>
      <c r="X5138" s="5" t="s">
        <v>67</v>
      </c>
      <c r="Y5138" s="4">
        <v>326</v>
      </c>
      <c r="Z5138" s="4">
        <v>25</v>
      </c>
      <c r="AA5138" s="4">
        <v>56</v>
      </c>
      <c r="AB5138" s="4">
        <v>3</v>
      </c>
      <c r="AC5138" s="4">
        <v>12</v>
      </c>
      <c r="AD5138" s="4">
        <v>98</v>
      </c>
      <c r="AE5138" s="4">
        <v>127</v>
      </c>
      <c r="AF5138" s="4">
        <v>1</v>
      </c>
      <c r="AG5138" s="4">
        <v>5</v>
      </c>
      <c r="AH5138" s="4">
        <v>83</v>
      </c>
      <c r="AI5138" s="4">
        <v>102</v>
      </c>
      <c r="AJ5138" s="4">
        <v>17</v>
      </c>
      <c r="AK5138" s="4">
        <v>24</v>
      </c>
      <c r="AL5138" s="4">
        <v>46</v>
      </c>
      <c r="AM5138" s="4">
        <v>54</v>
      </c>
      <c r="AN5138" s="4">
        <v>0</v>
      </c>
      <c r="AO5138" s="4">
        <v>0</v>
      </c>
      <c r="AP5138" s="4">
        <v>20</v>
      </c>
      <c r="AQ5138" s="4">
        <v>33</v>
      </c>
      <c r="AR5138" s="3" t="s">
        <v>62</v>
      </c>
      <c r="AS5138" s="3" t="s">
        <v>62</v>
      </c>
      <c r="AT5138" s="3" t="s">
        <v>62</v>
      </c>
      <c r="AV5138" s="6" t="str">
        <f>HYPERLINK("http://mcgill.on.worldcat.org/oclc/43365863","Catalog Record")</f>
        <v>Catalog Record</v>
      </c>
      <c r="AW5138" s="6" t="str">
        <f>HYPERLINK("http://www.worldcat.org/oclc/43365863","WorldCat Record")</f>
        <v>WorldCat Record</v>
      </c>
      <c r="AX5138" s="3" t="s">
        <v>49255</v>
      </c>
      <c r="AY5138" s="3" t="s">
        <v>49256</v>
      </c>
      <c r="AZ5138" s="3" t="s">
        <v>49257</v>
      </c>
      <c r="BA5138" s="3" t="s">
        <v>49257</v>
      </c>
      <c r="BB5138" s="3" t="s">
        <v>49258</v>
      </c>
      <c r="BC5138" s="3" t="s">
        <v>102</v>
      </c>
      <c r="BD5138" s="3" t="s">
        <v>68</v>
      </c>
      <c r="BE5138" s="3" t="s">
        <v>49259</v>
      </c>
      <c r="BF5138" s="3" t="s">
        <v>49258</v>
      </c>
      <c r="BG5138" s="3" t="s">
        <v>49260</v>
      </c>
    </row>
    <row r="5139" spans="1:59" ht="101.5" x14ac:dyDescent="0.35">
      <c r="A5139" s="2" t="s">
        <v>89</v>
      </c>
      <c r="B5139" s="2" t="s">
        <v>90</v>
      </c>
      <c r="C5139" s="2" t="s">
        <v>49261</v>
      </c>
      <c r="D5139" s="2" t="s">
        <v>49262</v>
      </c>
      <c r="E5139" s="2" t="s">
        <v>49263</v>
      </c>
      <c r="G5139" s="3" t="s">
        <v>62</v>
      </c>
      <c r="I5139" s="3" t="s">
        <v>62</v>
      </c>
      <c r="J5139" s="3" t="s">
        <v>62</v>
      </c>
      <c r="K5139" s="3" t="s">
        <v>63</v>
      </c>
      <c r="L5139" s="2" t="s">
        <v>49264</v>
      </c>
      <c r="M5139" s="2" t="s">
        <v>49265</v>
      </c>
      <c r="N5139" s="3" t="s">
        <v>1038</v>
      </c>
      <c r="P5139" s="3" t="s">
        <v>64</v>
      </c>
      <c r="R5139" s="3" t="s">
        <v>46535</v>
      </c>
      <c r="S5139" s="4">
        <v>2</v>
      </c>
      <c r="T5139" s="4">
        <v>2</v>
      </c>
      <c r="W5139" s="5" t="s">
        <v>67</v>
      </c>
      <c r="X5139" s="5" t="s">
        <v>67</v>
      </c>
      <c r="Y5139" s="4">
        <v>74</v>
      </c>
      <c r="Z5139" s="4">
        <v>5</v>
      </c>
      <c r="AA5139" s="4">
        <v>6</v>
      </c>
      <c r="AB5139" s="4">
        <v>1</v>
      </c>
      <c r="AC5139" s="4">
        <v>2</v>
      </c>
      <c r="AD5139" s="4">
        <v>32</v>
      </c>
      <c r="AE5139" s="4">
        <v>33</v>
      </c>
      <c r="AF5139" s="4">
        <v>0</v>
      </c>
      <c r="AG5139" s="4">
        <v>0</v>
      </c>
      <c r="AH5139" s="4">
        <v>29</v>
      </c>
      <c r="AI5139" s="4">
        <v>30</v>
      </c>
      <c r="AJ5139" s="4">
        <v>3</v>
      </c>
      <c r="AK5139" s="4">
        <v>3</v>
      </c>
      <c r="AL5139" s="4">
        <v>23</v>
      </c>
      <c r="AM5139" s="4">
        <v>24</v>
      </c>
      <c r="AN5139" s="4">
        <v>0</v>
      </c>
      <c r="AO5139" s="4">
        <v>0</v>
      </c>
      <c r="AP5139" s="4">
        <v>3</v>
      </c>
      <c r="AQ5139" s="4">
        <v>3</v>
      </c>
      <c r="AR5139" s="3" t="s">
        <v>62</v>
      </c>
      <c r="AS5139" s="3" t="s">
        <v>62</v>
      </c>
      <c r="AT5139" s="3" t="s">
        <v>62</v>
      </c>
      <c r="AV5139" s="6" t="str">
        <f>HYPERLINK("http://mcgill.on.worldcat.org/oclc/895272455","Catalog Record")</f>
        <v>Catalog Record</v>
      </c>
      <c r="AW5139" s="6" t="str">
        <f>HYPERLINK("http://www.worldcat.org/oclc/895272455","WorldCat Record")</f>
        <v>WorldCat Record</v>
      </c>
      <c r="AX5139" s="3" t="s">
        <v>49266</v>
      </c>
      <c r="AY5139" s="3" t="s">
        <v>49267</v>
      </c>
      <c r="AZ5139" s="3" t="s">
        <v>49268</v>
      </c>
      <c r="BA5139" s="3" t="s">
        <v>49268</v>
      </c>
      <c r="BB5139" s="3" t="s">
        <v>49269</v>
      </c>
      <c r="BC5139" s="3" t="s">
        <v>102</v>
      </c>
      <c r="BD5139" s="3" t="s">
        <v>231</v>
      </c>
      <c r="BE5139" s="3" t="s">
        <v>49270</v>
      </c>
      <c r="BF5139" s="3" t="s">
        <v>49269</v>
      </c>
      <c r="BG5139" s="3" t="s">
        <v>49271</v>
      </c>
    </row>
    <row r="5140" spans="1:59" ht="58" x14ac:dyDescent="0.35">
      <c r="A5140" s="2" t="s">
        <v>89</v>
      </c>
      <c r="B5140" s="2" t="s">
        <v>90</v>
      </c>
      <c r="C5140" s="2" t="s">
        <v>49272</v>
      </c>
      <c r="D5140" s="2" t="s">
        <v>49273</v>
      </c>
      <c r="E5140" s="2" t="s">
        <v>49274</v>
      </c>
      <c r="G5140" s="3" t="s">
        <v>62</v>
      </c>
      <c r="I5140" s="3" t="s">
        <v>62</v>
      </c>
      <c r="J5140" s="3" t="s">
        <v>62</v>
      </c>
      <c r="K5140" s="3" t="s">
        <v>63</v>
      </c>
      <c r="M5140" s="2" t="s">
        <v>49275</v>
      </c>
      <c r="N5140" s="3" t="s">
        <v>880</v>
      </c>
      <c r="P5140" s="3" t="s">
        <v>64</v>
      </c>
      <c r="Q5140" s="2" t="s">
        <v>49276</v>
      </c>
      <c r="R5140" s="3" t="s">
        <v>46535</v>
      </c>
      <c r="S5140" s="4">
        <v>0</v>
      </c>
      <c r="T5140" s="4">
        <v>0</v>
      </c>
      <c r="W5140" s="5" t="s">
        <v>67</v>
      </c>
      <c r="X5140" s="5" t="s">
        <v>67</v>
      </c>
      <c r="Y5140" s="4">
        <v>72</v>
      </c>
      <c r="Z5140" s="4">
        <v>4</v>
      </c>
      <c r="AA5140" s="4">
        <v>36</v>
      </c>
      <c r="AB5140" s="4">
        <v>1</v>
      </c>
      <c r="AC5140" s="4">
        <v>9</v>
      </c>
      <c r="AD5140" s="4">
        <v>33</v>
      </c>
      <c r="AE5140" s="4">
        <v>91</v>
      </c>
      <c r="AF5140" s="4">
        <v>0</v>
      </c>
      <c r="AG5140" s="4">
        <v>5</v>
      </c>
      <c r="AH5140" s="4">
        <v>31</v>
      </c>
      <c r="AI5140" s="4">
        <v>67</v>
      </c>
      <c r="AJ5140" s="4">
        <v>2</v>
      </c>
      <c r="AK5140" s="4">
        <v>18</v>
      </c>
      <c r="AL5140" s="4">
        <v>19</v>
      </c>
      <c r="AM5140" s="4">
        <v>35</v>
      </c>
      <c r="AN5140" s="4">
        <v>0</v>
      </c>
      <c r="AO5140" s="4">
        <v>0</v>
      </c>
      <c r="AP5140" s="4">
        <v>1</v>
      </c>
      <c r="AQ5140" s="4">
        <v>28</v>
      </c>
      <c r="AR5140" s="3" t="s">
        <v>62</v>
      </c>
      <c r="AS5140" s="3" t="s">
        <v>62</v>
      </c>
      <c r="AT5140" s="3" t="s">
        <v>62</v>
      </c>
      <c r="AV5140" s="6" t="str">
        <f>HYPERLINK("http://mcgill.on.worldcat.org/oclc/428029538","Catalog Record")</f>
        <v>Catalog Record</v>
      </c>
      <c r="AW5140" s="6" t="str">
        <f>HYPERLINK("http://www.worldcat.org/oclc/428029538","WorldCat Record")</f>
        <v>WorldCat Record</v>
      </c>
      <c r="AX5140" s="3" t="s">
        <v>49277</v>
      </c>
      <c r="AY5140" s="3" t="s">
        <v>49278</v>
      </c>
      <c r="AZ5140" s="3" t="s">
        <v>49279</v>
      </c>
      <c r="BA5140" s="3" t="s">
        <v>49279</v>
      </c>
      <c r="BB5140" s="3" t="s">
        <v>49280</v>
      </c>
      <c r="BC5140" s="3" t="s">
        <v>102</v>
      </c>
      <c r="BD5140" s="3" t="s">
        <v>68</v>
      </c>
      <c r="BE5140" s="3" t="s">
        <v>49281</v>
      </c>
      <c r="BF5140" s="3" t="s">
        <v>49280</v>
      </c>
      <c r="BG5140" s="3" t="s">
        <v>49282</v>
      </c>
    </row>
    <row r="5141" spans="1:59" ht="58" x14ac:dyDescent="0.35">
      <c r="A5141" s="2" t="s">
        <v>89</v>
      </c>
      <c r="B5141" s="2" t="s">
        <v>90</v>
      </c>
      <c r="C5141" s="2" t="s">
        <v>49283</v>
      </c>
      <c r="D5141" s="2" t="s">
        <v>49284</v>
      </c>
      <c r="E5141" s="2" t="s">
        <v>49285</v>
      </c>
      <c r="G5141" s="3" t="s">
        <v>62</v>
      </c>
      <c r="I5141" s="3" t="s">
        <v>61</v>
      </c>
      <c r="J5141" s="3" t="s">
        <v>62</v>
      </c>
      <c r="K5141" s="3" t="s">
        <v>63</v>
      </c>
      <c r="L5141" s="2" t="s">
        <v>49286</v>
      </c>
      <c r="M5141" s="2" t="s">
        <v>49287</v>
      </c>
      <c r="N5141" s="3" t="s">
        <v>466</v>
      </c>
      <c r="P5141" s="3" t="s">
        <v>64</v>
      </c>
      <c r="R5141" s="3" t="s">
        <v>46535</v>
      </c>
      <c r="S5141" s="4">
        <v>20</v>
      </c>
      <c r="T5141" s="4">
        <v>40</v>
      </c>
      <c r="U5141" s="5" t="s">
        <v>49288</v>
      </c>
      <c r="V5141" s="5" t="s">
        <v>342</v>
      </c>
      <c r="W5141" s="5" t="s">
        <v>67</v>
      </c>
      <c r="X5141" s="5" t="s">
        <v>67</v>
      </c>
      <c r="Y5141" s="4">
        <v>827</v>
      </c>
      <c r="Z5141" s="4">
        <v>35</v>
      </c>
      <c r="AA5141" s="4">
        <v>52</v>
      </c>
      <c r="AB5141" s="4">
        <v>4</v>
      </c>
      <c r="AC5141" s="4">
        <v>10</v>
      </c>
      <c r="AD5141" s="4">
        <v>119</v>
      </c>
      <c r="AE5141" s="4">
        <v>138</v>
      </c>
      <c r="AF5141" s="4">
        <v>2</v>
      </c>
      <c r="AG5141" s="4">
        <v>5</v>
      </c>
      <c r="AH5141" s="4">
        <v>100</v>
      </c>
      <c r="AI5141" s="4">
        <v>109</v>
      </c>
      <c r="AJ5141" s="4">
        <v>17</v>
      </c>
      <c r="AK5141" s="4">
        <v>25</v>
      </c>
      <c r="AL5141" s="4">
        <v>54</v>
      </c>
      <c r="AM5141" s="4">
        <v>58</v>
      </c>
      <c r="AN5141" s="4">
        <v>0</v>
      </c>
      <c r="AO5141" s="4">
        <v>5</v>
      </c>
      <c r="AP5141" s="4">
        <v>24</v>
      </c>
      <c r="AQ5141" s="4">
        <v>34</v>
      </c>
      <c r="AR5141" s="3" t="s">
        <v>62</v>
      </c>
      <c r="AS5141" s="3" t="s">
        <v>62</v>
      </c>
      <c r="AT5141" s="3" t="s">
        <v>62</v>
      </c>
      <c r="AV5141" s="6" t="str">
        <f>HYPERLINK("http://mcgill.on.worldcat.org/oclc/24695944","Catalog Record")</f>
        <v>Catalog Record</v>
      </c>
      <c r="AW5141" s="6" t="str">
        <f>HYPERLINK("http://www.worldcat.org/oclc/24695944","WorldCat Record")</f>
        <v>WorldCat Record</v>
      </c>
      <c r="AX5141" s="3" t="s">
        <v>49289</v>
      </c>
      <c r="AY5141" s="3" t="s">
        <v>49290</v>
      </c>
      <c r="AZ5141" s="3" t="s">
        <v>49291</v>
      </c>
      <c r="BA5141" s="3" t="s">
        <v>49291</v>
      </c>
      <c r="BB5141" s="3" t="s">
        <v>49292</v>
      </c>
      <c r="BC5141" s="3" t="s">
        <v>102</v>
      </c>
      <c r="BD5141" s="3" t="s">
        <v>68</v>
      </c>
      <c r="BE5141" s="3" t="s">
        <v>49293</v>
      </c>
      <c r="BF5141" s="3" t="s">
        <v>49292</v>
      </c>
      <c r="BG5141" s="3" t="s">
        <v>49294</v>
      </c>
    </row>
    <row r="5142" spans="1:59" ht="58" x14ac:dyDescent="0.35">
      <c r="A5142" s="2" t="s">
        <v>89</v>
      </c>
      <c r="B5142" s="2" t="s">
        <v>90</v>
      </c>
      <c r="C5142" s="2" t="s">
        <v>49295</v>
      </c>
      <c r="D5142" s="2" t="s">
        <v>49296</v>
      </c>
      <c r="E5142" s="2" t="s">
        <v>49297</v>
      </c>
      <c r="G5142" s="3" t="s">
        <v>62</v>
      </c>
      <c r="I5142" s="3" t="s">
        <v>62</v>
      </c>
      <c r="J5142" s="3" t="s">
        <v>62</v>
      </c>
      <c r="K5142" s="3" t="s">
        <v>63</v>
      </c>
      <c r="L5142" s="2" t="s">
        <v>49298</v>
      </c>
      <c r="M5142" s="2" t="s">
        <v>49299</v>
      </c>
      <c r="N5142" s="3" t="s">
        <v>880</v>
      </c>
      <c r="P5142" s="3" t="s">
        <v>64</v>
      </c>
      <c r="R5142" s="3" t="s">
        <v>46535</v>
      </c>
      <c r="S5142" s="4">
        <v>9</v>
      </c>
      <c r="T5142" s="4">
        <v>9</v>
      </c>
      <c r="U5142" s="5" t="s">
        <v>8293</v>
      </c>
      <c r="V5142" s="5" t="s">
        <v>8293</v>
      </c>
      <c r="W5142" s="5" t="s">
        <v>67</v>
      </c>
      <c r="X5142" s="5" t="s">
        <v>67</v>
      </c>
      <c r="Y5142" s="4">
        <v>209</v>
      </c>
      <c r="Z5142" s="4">
        <v>17</v>
      </c>
      <c r="AA5142" s="4">
        <v>30</v>
      </c>
      <c r="AB5142" s="4">
        <v>2</v>
      </c>
      <c r="AC5142" s="4">
        <v>11</v>
      </c>
      <c r="AD5142" s="4">
        <v>67</v>
      </c>
      <c r="AE5142" s="4">
        <v>88</v>
      </c>
      <c r="AF5142" s="4">
        <v>0</v>
      </c>
      <c r="AG5142" s="4">
        <v>5</v>
      </c>
      <c r="AH5142" s="4">
        <v>59</v>
      </c>
      <c r="AI5142" s="4">
        <v>75</v>
      </c>
      <c r="AJ5142" s="4">
        <v>13</v>
      </c>
      <c r="AK5142" s="4">
        <v>19</v>
      </c>
      <c r="AL5142" s="4">
        <v>34</v>
      </c>
      <c r="AM5142" s="4">
        <v>42</v>
      </c>
      <c r="AN5142" s="4">
        <v>0</v>
      </c>
      <c r="AO5142" s="4">
        <v>0</v>
      </c>
      <c r="AP5142" s="4">
        <v>14</v>
      </c>
      <c r="AQ5142" s="4">
        <v>21</v>
      </c>
      <c r="AR5142" s="3" t="s">
        <v>62</v>
      </c>
      <c r="AS5142" s="3" t="s">
        <v>62</v>
      </c>
      <c r="AT5142" s="3" t="s">
        <v>62</v>
      </c>
      <c r="AV5142" s="6" t="str">
        <f>HYPERLINK("http://mcgill.on.worldcat.org/oclc/437053987","Catalog Record")</f>
        <v>Catalog Record</v>
      </c>
      <c r="AW5142" s="6" t="str">
        <f>HYPERLINK("http://www.worldcat.org/oclc/437053987","WorldCat Record")</f>
        <v>WorldCat Record</v>
      </c>
      <c r="AX5142" s="3" t="s">
        <v>49300</v>
      </c>
      <c r="AY5142" s="3" t="s">
        <v>49301</v>
      </c>
      <c r="AZ5142" s="3" t="s">
        <v>49302</v>
      </c>
      <c r="BA5142" s="3" t="s">
        <v>49302</v>
      </c>
      <c r="BB5142" s="3" t="s">
        <v>49303</v>
      </c>
      <c r="BC5142" s="3" t="s">
        <v>102</v>
      </c>
      <c r="BD5142" s="3" t="s">
        <v>68</v>
      </c>
      <c r="BE5142" s="3" t="s">
        <v>49304</v>
      </c>
      <c r="BF5142" s="3" t="s">
        <v>49303</v>
      </c>
      <c r="BG5142" s="3" t="s">
        <v>49305</v>
      </c>
    </row>
    <row r="5143" spans="1:59" ht="58" x14ac:dyDescent="0.35">
      <c r="A5143" s="2" t="s">
        <v>89</v>
      </c>
      <c r="B5143" s="2" t="s">
        <v>90</v>
      </c>
      <c r="C5143" s="2" t="s">
        <v>49306</v>
      </c>
      <c r="D5143" s="2" t="s">
        <v>49307</v>
      </c>
      <c r="E5143" s="2" t="s">
        <v>49308</v>
      </c>
      <c r="G5143" s="3" t="s">
        <v>62</v>
      </c>
      <c r="I5143" s="3" t="s">
        <v>62</v>
      </c>
      <c r="J5143" s="3" t="s">
        <v>62</v>
      </c>
      <c r="K5143" s="3" t="s">
        <v>63</v>
      </c>
      <c r="M5143" s="2" t="s">
        <v>49309</v>
      </c>
      <c r="N5143" s="3" t="s">
        <v>524</v>
      </c>
      <c r="P5143" s="3" t="s">
        <v>64</v>
      </c>
      <c r="Q5143" s="2" t="s">
        <v>49310</v>
      </c>
      <c r="R5143" s="3" t="s">
        <v>46535</v>
      </c>
      <c r="S5143" s="4">
        <v>23</v>
      </c>
      <c r="T5143" s="4">
        <v>23</v>
      </c>
      <c r="U5143" s="5" t="s">
        <v>4898</v>
      </c>
      <c r="V5143" s="5" t="s">
        <v>4898</v>
      </c>
      <c r="W5143" s="5" t="s">
        <v>67</v>
      </c>
      <c r="X5143" s="5" t="s">
        <v>67</v>
      </c>
      <c r="Y5143" s="4">
        <v>182</v>
      </c>
      <c r="Z5143" s="4">
        <v>8</v>
      </c>
      <c r="AA5143" s="4">
        <v>13</v>
      </c>
      <c r="AB5143" s="4">
        <v>1</v>
      </c>
      <c r="AC5143" s="4">
        <v>4</v>
      </c>
      <c r="AD5143" s="4">
        <v>66</v>
      </c>
      <c r="AE5143" s="4">
        <v>70</v>
      </c>
      <c r="AF5143" s="4">
        <v>0</v>
      </c>
      <c r="AG5143" s="4">
        <v>1</v>
      </c>
      <c r="AH5143" s="4">
        <v>60</v>
      </c>
      <c r="AI5143" s="4">
        <v>62</v>
      </c>
      <c r="AJ5143" s="4">
        <v>5</v>
      </c>
      <c r="AK5143" s="4">
        <v>8</v>
      </c>
      <c r="AL5143" s="4">
        <v>41</v>
      </c>
      <c r="AM5143" s="4">
        <v>42</v>
      </c>
      <c r="AN5143" s="4">
        <v>0</v>
      </c>
      <c r="AO5143" s="4">
        <v>0</v>
      </c>
      <c r="AP5143" s="4">
        <v>5</v>
      </c>
      <c r="AQ5143" s="4">
        <v>8</v>
      </c>
      <c r="AR5143" s="3" t="s">
        <v>62</v>
      </c>
      <c r="AS5143" s="3" t="s">
        <v>62</v>
      </c>
      <c r="AT5143" s="3" t="s">
        <v>61</v>
      </c>
      <c r="AU5143" s="6" t="str">
        <f>HYPERLINK("http://catalog.hathitrust.org/Record/002961031","HathiTrust Record")</f>
        <v>HathiTrust Record</v>
      </c>
      <c r="AV5143" s="6" t="str">
        <f>HYPERLINK("http://mcgill.on.worldcat.org/oclc/31606815","Catalog Record")</f>
        <v>Catalog Record</v>
      </c>
      <c r="AW5143" s="6" t="str">
        <f>HYPERLINK("http://www.worldcat.org/oclc/31606815","WorldCat Record")</f>
        <v>WorldCat Record</v>
      </c>
      <c r="AX5143" s="3" t="s">
        <v>49311</v>
      </c>
      <c r="AY5143" s="3" t="s">
        <v>49312</v>
      </c>
      <c r="AZ5143" s="3" t="s">
        <v>49313</v>
      </c>
      <c r="BA5143" s="3" t="s">
        <v>49313</v>
      </c>
      <c r="BB5143" s="3" t="s">
        <v>49314</v>
      </c>
      <c r="BC5143" s="3" t="s">
        <v>102</v>
      </c>
      <c r="BD5143" s="3" t="s">
        <v>68</v>
      </c>
      <c r="BE5143" s="3" t="s">
        <v>49315</v>
      </c>
      <c r="BF5143" s="3" t="s">
        <v>49314</v>
      </c>
      <c r="BG5143" s="3" t="s">
        <v>49316</v>
      </c>
    </row>
    <row r="5144" spans="1:59" ht="58" x14ac:dyDescent="0.35">
      <c r="A5144" s="2" t="s">
        <v>89</v>
      </c>
      <c r="B5144" s="2" t="s">
        <v>90</v>
      </c>
      <c r="C5144" s="2" t="s">
        <v>49317</v>
      </c>
      <c r="D5144" s="2" t="s">
        <v>49318</v>
      </c>
      <c r="E5144" s="2" t="s">
        <v>49319</v>
      </c>
      <c r="G5144" s="3" t="s">
        <v>62</v>
      </c>
      <c r="I5144" s="3" t="s">
        <v>62</v>
      </c>
      <c r="J5144" s="3" t="s">
        <v>62</v>
      </c>
      <c r="K5144" s="3" t="s">
        <v>63</v>
      </c>
      <c r="L5144" s="2" t="s">
        <v>49320</v>
      </c>
      <c r="M5144" s="2" t="s">
        <v>49321</v>
      </c>
      <c r="N5144" s="3" t="s">
        <v>880</v>
      </c>
      <c r="P5144" s="3" t="s">
        <v>64</v>
      </c>
      <c r="R5144" s="3" t="s">
        <v>46535</v>
      </c>
      <c r="S5144" s="4">
        <v>4</v>
      </c>
      <c r="T5144" s="4">
        <v>4</v>
      </c>
      <c r="U5144" s="5" t="s">
        <v>49322</v>
      </c>
      <c r="V5144" s="5" t="s">
        <v>49322</v>
      </c>
      <c r="W5144" s="5" t="s">
        <v>67</v>
      </c>
      <c r="X5144" s="5" t="s">
        <v>67</v>
      </c>
      <c r="Y5144" s="4">
        <v>131</v>
      </c>
      <c r="Z5144" s="4">
        <v>18</v>
      </c>
      <c r="AA5144" s="4">
        <v>100</v>
      </c>
      <c r="AB5144" s="4">
        <v>3</v>
      </c>
      <c r="AC5144" s="4">
        <v>17</v>
      </c>
      <c r="AD5144" s="4">
        <v>51</v>
      </c>
      <c r="AE5144" s="4">
        <v>121</v>
      </c>
      <c r="AF5144" s="4">
        <v>2</v>
      </c>
      <c r="AG5144" s="4">
        <v>8</v>
      </c>
      <c r="AH5144" s="4">
        <v>41</v>
      </c>
      <c r="AI5144" s="4">
        <v>83</v>
      </c>
      <c r="AJ5144" s="4">
        <v>12</v>
      </c>
      <c r="AK5144" s="4">
        <v>21</v>
      </c>
      <c r="AL5144" s="4">
        <v>25</v>
      </c>
      <c r="AM5144" s="4">
        <v>43</v>
      </c>
      <c r="AN5144" s="4">
        <v>0</v>
      </c>
      <c r="AO5144" s="4">
        <v>0</v>
      </c>
      <c r="AP5144" s="4">
        <v>15</v>
      </c>
      <c r="AQ5144" s="4">
        <v>43</v>
      </c>
      <c r="AR5144" s="3" t="s">
        <v>62</v>
      </c>
      <c r="AS5144" s="3" t="s">
        <v>62</v>
      </c>
      <c r="AT5144" s="3" t="s">
        <v>62</v>
      </c>
      <c r="AV5144" s="6" t="str">
        <f>HYPERLINK("http://mcgill.on.worldcat.org/oclc/609529158","Catalog Record")</f>
        <v>Catalog Record</v>
      </c>
      <c r="AW5144" s="6" t="str">
        <f>HYPERLINK("http://www.worldcat.org/oclc/609529158","WorldCat Record")</f>
        <v>WorldCat Record</v>
      </c>
      <c r="AX5144" s="3" t="s">
        <v>49323</v>
      </c>
      <c r="AY5144" s="3" t="s">
        <v>49324</v>
      </c>
      <c r="AZ5144" s="3" t="s">
        <v>49325</v>
      </c>
      <c r="BA5144" s="3" t="s">
        <v>49325</v>
      </c>
      <c r="BB5144" s="3" t="s">
        <v>49326</v>
      </c>
      <c r="BC5144" s="3" t="s">
        <v>102</v>
      </c>
      <c r="BD5144" s="3" t="s">
        <v>68</v>
      </c>
      <c r="BE5144" s="3" t="s">
        <v>49327</v>
      </c>
      <c r="BF5144" s="3" t="s">
        <v>49326</v>
      </c>
      <c r="BG5144" s="3" t="s">
        <v>49328</v>
      </c>
    </row>
    <row r="5145" spans="1:59" ht="58" x14ac:dyDescent="0.35">
      <c r="A5145" s="2" t="s">
        <v>89</v>
      </c>
      <c r="B5145" s="2" t="s">
        <v>90</v>
      </c>
      <c r="C5145" s="2" t="s">
        <v>49329</v>
      </c>
      <c r="D5145" s="2" t="s">
        <v>49330</v>
      </c>
      <c r="E5145" s="2" t="s">
        <v>49331</v>
      </c>
      <c r="G5145" s="3" t="s">
        <v>62</v>
      </c>
      <c r="I5145" s="3" t="s">
        <v>61</v>
      </c>
      <c r="J5145" s="3" t="s">
        <v>62</v>
      </c>
      <c r="K5145" s="3" t="s">
        <v>63</v>
      </c>
      <c r="M5145" s="2" t="s">
        <v>49332</v>
      </c>
      <c r="N5145" s="3" t="s">
        <v>568</v>
      </c>
      <c r="P5145" s="3" t="s">
        <v>64</v>
      </c>
      <c r="Q5145" s="2" t="s">
        <v>49245</v>
      </c>
      <c r="R5145" s="3" t="s">
        <v>46535</v>
      </c>
      <c r="S5145" s="4">
        <v>19</v>
      </c>
      <c r="T5145" s="4">
        <v>43</v>
      </c>
      <c r="U5145" s="5" t="s">
        <v>9574</v>
      </c>
      <c r="V5145" s="5" t="s">
        <v>32249</v>
      </c>
      <c r="W5145" s="5" t="s">
        <v>67</v>
      </c>
      <c r="X5145" s="5" t="s">
        <v>67</v>
      </c>
      <c r="Y5145" s="4">
        <v>448</v>
      </c>
      <c r="Z5145" s="4">
        <v>15</v>
      </c>
      <c r="AA5145" s="4">
        <v>90</v>
      </c>
      <c r="AB5145" s="4">
        <v>1</v>
      </c>
      <c r="AC5145" s="4">
        <v>18</v>
      </c>
      <c r="AD5145" s="4">
        <v>93</v>
      </c>
      <c r="AE5145" s="4">
        <v>137</v>
      </c>
      <c r="AF5145" s="4">
        <v>0</v>
      </c>
      <c r="AG5145" s="4">
        <v>8</v>
      </c>
      <c r="AH5145" s="4">
        <v>79</v>
      </c>
      <c r="AI5145" s="4">
        <v>97</v>
      </c>
      <c r="AJ5145" s="4">
        <v>9</v>
      </c>
      <c r="AK5145" s="4">
        <v>22</v>
      </c>
      <c r="AL5145" s="4">
        <v>48</v>
      </c>
      <c r="AM5145" s="4">
        <v>54</v>
      </c>
      <c r="AN5145" s="4">
        <v>0</v>
      </c>
      <c r="AO5145" s="4">
        <v>0</v>
      </c>
      <c r="AP5145" s="4">
        <v>13</v>
      </c>
      <c r="AQ5145" s="4">
        <v>43</v>
      </c>
      <c r="AR5145" s="3" t="s">
        <v>62</v>
      </c>
      <c r="AS5145" s="3" t="s">
        <v>62</v>
      </c>
      <c r="AT5145" s="3" t="s">
        <v>62</v>
      </c>
      <c r="AV5145" s="6" t="str">
        <f>HYPERLINK("http://mcgill.on.worldcat.org/oclc/40453003","Catalog Record")</f>
        <v>Catalog Record</v>
      </c>
      <c r="AW5145" s="6" t="str">
        <f>HYPERLINK("http://www.worldcat.org/oclc/40453003","WorldCat Record")</f>
        <v>WorldCat Record</v>
      </c>
      <c r="AX5145" s="3" t="s">
        <v>49333</v>
      </c>
      <c r="AY5145" s="3" t="s">
        <v>49334</v>
      </c>
      <c r="AZ5145" s="3" t="s">
        <v>49335</v>
      </c>
      <c r="BA5145" s="3" t="s">
        <v>49335</v>
      </c>
      <c r="BB5145" s="3" t="s">
        <v>49336</v>
      </c>
      <c r="BC5145" s="3" t="s">
        <v>102</v>
      </c>
      <c r="BD5145" s="3" t="s">
        <v>68</v>
      </c>
      <c r="BE5145" s="3" t="s">
        <v>49337</v>
      </c>
      <c r="BF5145" s="3" t="s">
        <v>49336</v>
      </c>
      <c r="BG5145" s="3" t="s">
        <v>49338</v>
      </c>
    </row>
    <row r="5146" spans="1:59" ht="58" x14ac:dyDescent="0.35">
      <c r="A5146" s="2" t="s">
        <v>89</v>
      </c>
      <c r="B5146" s="2" t="s">
        <v>90</v>
      </c>
      <c r="C5146" s="2" t="s">
        <v>49339</v>
      </c>
      <c r="D5146" s="2" t="s">
        <v>49340</v>
      </c>
      <c r="E5146" s="2" t="s">
        <v>49341</v>
      </c>
      <c r="G5146" s="3" t="s">
        <v>62</v>
      </c>
      <c r="I5146" s="3" t="s">
        <v>62</v>
      </c>
      <c r="J5146" s="3" t="s">
        <v>61</v>
      </c>
      <c r="K5146" s="3" t="s">
        <v>63</v>
      </c>
      <c r="M5146" s="2" t="s">
        <v>49342</v>
      </c>
      <c r="N5146" s="3" t="s">
        <v>2985</v>
      </c>
      <c r="O5146" s="2" t="s">
        <v>10722</v>
      </c>
      <c r="P5146" s="3" t="s">
        <v>64</v>
      </c>
      <c r="R5146" s="3" t="s">
        <v>46535</v>
      </c>
      <c r="S5146" s="4">
        <v>26</v>
      </c>
      <c r="T5146" s="4">
        <v>26</v>
      </c>
      <c r="U5146" s="5" t="s">
        <v>48099</v>
      </c>
      <c r="V5146" s="5" t="s">
        <v>48099</v>
      </c>
      <c r="W5146" s="5" t="s">
        <v>67</v>
      </c>
      <c r="X5146" s="5" t="s">
        <v>67</v>
      </c>
      <c r="Y5146" s="4">
        <v>407</v>
      </c>
      <c r="Z5146" s="4">
        <v>26</v>
      </c>
      <c r="AA5146" s="4">
        <v>125</v>
      </c>
      <c r="AB5146" s="4">
        <v>2</v>
      </c>
      <c r="AC5146" s="4">
        <v>20</v>
      </c>
      <c r="AD5146" s="4">
        <v>91</v>
      </c>
      <c r="AE5146" s="4">
        <v>167</v>
      </c>
      <c r="AF5146" s="4">
        <v>1</v>
      </c>
      <c r="AG5146" s="4">
        <v>8</v>
      </c>
      <c r="AH5146" s="4">
        <v>75</v>
      </c>
      <c r="AI5146" s="4">
        <v>116</v>
      </c>
      <c r="AJ5146" s="4">
        <v>16</v>
      </c>
      <c r="AK5146" s="4">
        <v>28</v>
      </c>
      <c r="AL5146" s="4">
        <v>38</v>
      </c>
      <c r="AM5146" s="4">
        <v>62</v>
      </c>
      <c r="AN5146" s="4">
        <v>0</v>
      </c>
      <c r="AO5146" s="4">
        <v>0</v>
      </c>
      <c r="AP5146" s="4">
        <v>23</v>
      </c>
      <c r="AQ5146" s="4">
        <v>58</v>
      </c>
      <c r="AR5146" s="3" t="s">
        <v>62</v>
      </c>
      <c r="AS5146" s="3" t="s">
        <v>62</v>
      </c>
      <c r="AT5146" s="3" t="s">
        <v>62</v>
      </c>
      <c r="AV5146" s="6" t="str">
        <f>HYPERLINK("http://mcgill.on.worldcat.org/oclc/297494728","Catalog Record")</f>
        <v>Catalog Record</v>
      </c>
      <c r="AW5146" s="6" t="str">
        <f>HYPERLINK("http://www.worldcat.org/oclc/297494728","WorldCat Record")</f>
        <v>WorldCat Record</v>
      </c>
      <c r="AX5146" s="3" t="s">
        <v>49343</v>
      </c>
      <c r="AY5146" s="3" t="s">
        <v>49344</v>
      </c>
      <c r="AZ5146" s="3" t="s">
        <v>49345</v>
      </c>
      <c r="BA5146" s="3" t="s">
        <v>49345</v>
      </c>
      <c r="BB5146" s="3" t="s">
        <v>49346</v>
      </c>
      <c r="BC5146" s="3" t="s">
        <v>102</v>
      </c>
      <c r="BD5146" s="3" t="s">
        <v>231</v>
      </c>
      <c r="BE5146" s="3" t="s">
        <v>49347</v>
      </c>
      <c r="BF5146" s="3" t="s">
        <v>49346</v>
      </c>
      <c r="BG5146" s="3" t="s">
        <v>49348</v>
      </c>
    </row>
    <row r="5147" spans="1:59" ht="58" x14ac:dyDescent="0.35">
      <c r="A5147" s="2" t="s">
        <v>89</v>
      </c>
      <c r="B5147" s="2" t="s">
        <v>90</v>
      </c>
      <c r="C5147" s="2" t="s">
        <v>49349</v>
      </c>
      <c r="D5147" s="2" t="s">
        <v>49350</v>
      </c>
      <c r="E5147" s="2" t="s">
        <v>49351</v>
      </c>
      <c r="F5147" s="3" t="s">
        <v>2217</v>
      </c>
      <c r="G5147" s="3" t="s">
        <v>61</v>
      </c>
      <c r="I5147" s="3" t="s">
        <v>62</v>
      </c>
      <c r="J5147" s="3" t="s">
        <v>62</v>
      </c>
      <c r="K5147" s="3" t="s">
        <v>63</v>
      </c>
      <c r="M5147" s="2" t="s">
        <v>32801</v>
      </c>
      <c r="N5147" s="3" t="s">
        <v>712</v>
      </c>
      <c r="P5147" s="3" t="s">
        <v>64</v>
      </c>
      <c r="Q5147" s="2" t="s">
        <v>49352</v>
      </c>
      <c r="R5147" s="3" t="s">
        <v>46535</v>
      </c>
      <c r="S5147" s="4">
        <v>15</v>
      </c>
      <c r="T5147" s="4">
        <v>28</v>
      </c>
      <c r="U5147" s="5" t="s">
        <v>48099</v>
      </c>
      <c r="V5147" s="5" t="s">
        <v>48099</v>
      </c>
      <c r="W5147" s="5" t="s">
        <v>67</v>
      </c>
      <c r="X5147" s="5" t="s">
        <v>67</v>
      </c>
      <c r="Y5147" s="4">
        <v>126</v>
      </c>
      <c r="Z5147" s="4">
        <v>10</v>
      </c>
      <c r="AA5147" s="4">
        <v>21</v>
      </c>
      <c r="AB5147" s="4">
        <v>2</v>
      </c>
      <c r="AC5147" s="4">
        <v>4</v>
      </c>
      <c r="AD5147" s="4">
        <v>43</v>
      </c>
      <c r="AE5147" s="4">
        <v>62</v>
      </c>
      <c r="AF5147" s="4">
        <v>1</v>
      </c>
      <c r="AG5147" s="4">
        <v>3</v>
      </c>
      <c r="AH5147" s="4">
        <v>35</v>
      </c>
      <c r="AI5147" s="4">
        <v>49</v>
      </c>
      <c r="AJ5147" s="4">
        <v>6</v>
      </c>
      <c r="AK5147" s="4">
        <v>13</v>
      </c>
      <c r="AL5147" s="4">
        <v>22</v>
      </c>
      <c r="AM5147" s="4">
        <v>29</v>
      </c>
      <c r="AN5147" s="4">
        <v>0</v>
      </c>
      <c r="AO5147" s="4">
        <v>0</v>
      </c>
      <c r="AP5147" s="4">
        <v>9</v>
      </c>
      <c r="AQ5147" s="4">
        <v>19</v>
      </c>
      <c r="AR5147" s="3" t="s">
        <v>62</v>
      </c>
      <c r="AS5147" s="3" t="s">
        <v>62</v>
      </c>
      <c r="AT5147" s="3" t="s">
        <v>62</v>
      </c>
      <c r="AV5147" s="6" t="str">
        <f>HYPERLINK("http://mcgill.on.worldcat.org/oclc/870248261","Catalog Record")</f>
        <v>Catalog Record</v>
      </c>
      <c r="AW5147" s="6" t="str">
        <f>HYPERLINK("http://www.worldcat.org/oclc/870248261","WorldCat Record")</f>
        <v>WorldCat Record</v>
      </c>
      <c r="AX5147" s="3" t="s">
        <v>49353</v>
      </c>
      <c r="AY5147" s="3" t="s">
        <v>49354</v>
      </c>
      <c r="AZ5147" s="3" t="s">
        <v>49355</v>
      </c>
      <c r="BA5147" s="3" t="s">
        <v>49355</v>
      </c>
      <c r="BB5147" s="3" t="s">
        <v>49356</v>
      </c>
      <c r="BC5147" s="3" t="s">
        <v>102</v>
      </c>
      <c r="BD5147" s="3" t="s">
        <v>231</v>
      </c>
      <c r="BE5147" s="3" t="s">
        <v>49357</v>
      </c>
      <c r="BF5147" s="3" t="s">
        <v>49356</v>
      </c>
      <c r="BG5147" s="3" t="s">
        <v>49358</v>
      </c>
    </row>
    <row r="5148" spans="1:59" ht="58" x14ac:dyDescent="0.35">
      <c r="A5148" s="2" t="s">
        <v>89</v>
      </c>
      <c r="B5148" s="2" t="s">
        <v>90</v>
      </c>
      <c r="C5148" s="2" t="s">
        <v>49349</v>
      </c>
      <c r="D5148" s="2" t="s">
        <v>49350</v>
      </c>
      <c r="E5148" s="2" t="s">
        <v>49351</v>
      </c>
      <c r="F5148" s="3" t="s">
        <v>2233</v>
      </c>
      <c r="G5148" s="3" t="s">
        <v>61</v>
      </c>
      <c r="I5148" s="3" t="s">
        <v>62</v>
      </c>
      <c r="J5148" s="3" t="s">
        <v>62</v>
      </c>
      <c r="K5148" s="3" t="s">
        <v>63</v>
      </c>
      <c r="M5148" s="2" t="s">
        <v>32801</v>
      </c>
      <c r="N5148" s="3" t="s">
        <v>712</v>
      </c>
      <c r="P5148" s="3" t="s">
        <v>64</v>
      </c>
      <c r="Q5148" s="2" t="s">
        <v>49352</v>
      </c>
      <c r="R5148" s="3" t="s">
        <v>46535</v>
      </c>
      <c r="S5148" s="4">
        <v>13</v>
      </c>
      <c r="T5148" s="4">
        <v>28</v>
      </c>
      <c r="U5148" s="5" t="s">
        <v>48099</v>
      </c>
      <c r="V5148" s="5" t="s">
        <v>48099</v>
      </c>
      <c r="W5148" s="5" t="s">
        <v>67</v>
      </c>
      <c r="X5148" s="5" t="s">
        <v>67</v>
      </c>
      <c r="Y5148" s="4">
        <v>126</v>
      </c>
      <c r="Z5148" s="4">
        <v>10</v>
      </c>
      <c r="AA5148" s="4">
        <v>21</v>
      </c>
      <c r="AB5148" s="4">
        <v>2</v>
      </c>
      <c r="AC5148" s="4">
        <v>4</v>
      </c>
      <c r="AD5148" s="4">
        <v>43</v>
      </c>
      <c r="AE5148" s="4">
        <v>62</v>
      </c>
      <c r="AF5148" s="4">
        <v>1</v>
      </c>
      <c r="AG5148" s="4">
        <v>3</v>
      </c>
      <c r="AH5148" s="4">
        <v>35</v>
      </c>
      <c r="AI5148" s="4">
        <v>49</v>
      </c>
      <c r="AJ5148" s="4">
        <v>6</v>
      </c>
      <c r="AK5148" s="4">
        <v>13</v>
      </c>
      <c r="AL5148" s="4">
        <v>22</v>
      </c>
      <c r="AM5148" s="4">
        <v>29</v>
      </c>
      <c r="AN5148" s="4">
        <v>0</v>
      </c>
      <c r="AO5148" s="4">
        <v>0</v>
      </c>
      <c r="AP5148" s="4">
        <v>9</v>
      </c>
      <c r="AQ5148" s="4">
        <v>19</v>
      </c>
      <c r="AR5148" s="3" t="s">
        <v>62</v>
      </c>
      <c r="AS5148" s="3" t="s">
        <v>62</v>
      </c>
      <c r="AT5148" s="3" t="s">
        <v>62</v>
      </c>
      <c r="AV5148" s="6" t="str">
        <f>HYPERLINK("http://mcgill.on.worldcat.org/oclc/870248261","Catalog Record")</f>
        <v>Catalog Record</v>
      </c>
      <c r="AW5148" s="6" t="str">
        <f>HYPERLINK("http://www.worldcat.org/oclc/870248261","WorldCat Record")</f>
        <v>WorldCat Record</v>
      </c>
      <c r="AX5148" s="3" t="s">
        <v>49353</v>
      </c>
      <c r="AY5148" s="3" t="s">
        <v>49354</v>
      </c>
      <c r="AZ5148" s="3" t="s">
        <v>49355</v>
      </c>
      <c r="BA5148" s="3" t="s">
        <v>49355</v>
      </c>
      <c r="BB5148" s="3" t="s">
        <v>49359</v>
      </c>
      <c r="BC5148" s="3" t="s">
        <v>102</v>
      </c>
      <c r="BD5148" s="3" t="s">
        <v>231</v>
      </c>
      <c r="BE5148" s="3" t="s">
        <v>49357</v>
      </c>
      <c r="BF5148" s="3" t="s">
        <v>49359</v>
      </c>
      <c r="BG5148" s="3" t="s">
        <v>49360</v>
      </c>
    </row>
    <row r="5149" spans="1:59" ht="58" x14ac:dyDescent="0.35">
      <c r="A5149" s="2" t="s">
        <v>89</v>
      </c>
      <c r="B5149" s="2" t="s">
        <v>90</v>
      </c>
      <c r="C5149" s="2" t="s">
        <v>49361</v>
      </c>
      <c r="D5149" s="2" t="s">
        <v>49362</v>
      </c>
      <c r="E5149" s="2" t="s">
        <v>49363</v>
      </c>
      <c r="G5149" s="3" t="s">
        <v>62</v>
      </c>
      <c r="I5149" s="3" t="s">
        <v>62</v>
      </c>
      <c r="J5149" s="3" t="s">
        <v>62</v>
      </c>
      <c r="K5149" s="3" t="s">
        <v>63</v>
      </c>
      <c r="L5149" s="2" t="s">
        <v>49364</v>
      </c>
      <c r="M5149" s="2" t="s">
        <v>8442</v>
      </c>
      <c r="N5149" s="3" t="s">
        <v>1038</v>
      </c>
      <c r="O5149" s="2" t="s">
        <v>1941</v>
      </c>
      <c r="P5149" s="3" t="s">
        <v>64</v>
      </c>
      <c r="Q5149" s="2" t="s">
        <v>49365</v>
      </c>
      <c r="R5149" s="3" t="s">
        <v>46535</v>
      </c>
      <c r="S5149" s="4">
        <v>4</v>
      </c>
      <c r="T5149" s="4">
        <v>4</v>
      </c>
      <c r="U5149" s="5" t="s">
        <v>19762</v>
      </c>
      <c r="V5149" s="5" t="s">
        <v>19762</v>
      </c>
      <c r="W5149" s="5" t="s">
        <v>67</v>
      </c>
      <c r="X5149" s="5" t="s">
        <v>67</v>
      </c>
      <c r="Y5149" s="4">
        <v>292</v>
      </c>
      <c r="Z5149" s="4">
        <v>11</v>
      </c>
      <c r="AA5149" s="4">
        <v>20</v>
      </c>
      <c r="AB5149" s="4">
        <v>1</v>
      </c>
      <c r="AC5149" s="4">
        <v>3</v>
      </c>
      <c r="AD5149" s="4">
        <v>47</v>
      </c>
      <c r="AE5149" s="4">
        <v>55</v>
      </c>
      <c r="AF5149" s="4">
        <v>0</v>
      </c>
      <c r="AG5149" s="4">
        <v>1</v>
      </c>
      <c r="AH5149" s="4">
        <v>42</v>
      </c>
      <c r="AI5149" s="4">
        <v>44</v>
      </c>
      <c r="AJ5149" s="4">
        <v>7</v>
      </c>
      <c r="AK5149" s="4">
        <v>11</v>
      </c>
      <c r="AL5149" s="4">
        <v>26</v>
      </c>
      <c r="AM5149" s="4">
        <v>27</v>
      </c>
      <c r="AN5149" s="4">
        <v>0</v>
      </c>
      <c r="AO5149" s="4">
        <v>0</v>
      </c>
      <c r="AP5149" s="4">
        <v>8</v>
      </c>
      <c r="AQ5149" s="4">
        <v>15</v>
      </c>
      <c r="AR5149" s="3" t="s">
        <v>62</v>
      </c>
      <c r="AS5149" s="3" t="s">
        <v>62</v>
      </c>
      <c r="AT5149" s="3" t="s">
        <v>62</v>
      </c>
      <c r="AV5149" s="6" t="str">
        <f>HYPERLINK("http://mcgill.on.worldcat.org/oclc/938360675","Catalog Record")</f>
        <v>Catalog Record</v>
      </c>
      <c r="AW5149" s="6" t="str">
        <f>HYPERLINK("http://www.worldcat.org/oclc/938360675","WorldCat Record")</f>
        <v>WorldCat Record</v>
      </c>
      <c r="AX5149" s="3" t="s">
        <v>49366</v>
      </c>
      <c r="AY5149" s="3" t="s">
        <v>49367</v>
      </c>
      <c r="AZ5149" s="3" t="s">
        <v>49368</v>
      </c>
      <c r="BA5149" s="3" t="s">
        <v>49368</v>
      </c>
      <c r="BB5149" s="3" t="s">
        <v>49369</v>
      </c>
      <c r="BC5149" s="3" t="s">
        <v>102</v>
      </c>
      <c r="BD5149" s="3" t="s">
        <v>68</v>
      </c>
      <c r="BE5149" s="3" t="s">
        <v>49370</v>
      </c>
      <c r="BF5149" s="3" t="s">
        <v>49369</v>
      </c>
      <c r="BG5149" s="3" t="s">
        <v>49371</v>
      </c>
    </row>
    <row r="5150" spans="1:59" ht="58" x14ac:dyDescent="0.35">
      <c r="A5150" s="2" t="s">
        <v>89</v>
      </c>
      <c r="B5150" s="2" t="s">
        <v>90</v>
      </c>
      <c r="C5150" s="2" t="s">
        <v>49372</v>
      </c>
      <c r="D5150" s="2" t="s">
        <v>49373</v>
      </c>
      <c r="E5150" s="2" t="s">
        <v>49374</v>
      </c>
      <c r="G5150" s="3" t="s">
        <v>62</v>
      </c>
      <c r="I5150" s="3" t="s">
        <v>61</v>
      </c>
      <c r="J5150" s="3" t="s">
        <v>61</v>
      </c>
      <c r="K5150" s="3" t="s">
        <v>63</v>
      </c>
      <c r="L5150" s="2" t="s">
        <v>49375</v>
      </c>
      <c r="M5150" s="2" t="s">
        <v>49376</v>
      </c>
      <c r="N5150" s="3" t="s">
        <v>481</v>
      </c>
      <c r="P5150" s="3" t="s">
        <v>64</v>
      </c>
      <c r="R5150" s="3" t="s">
        <v>46535</v>
      </c>
      <c r="S5150" s="4">
        <v>87</v>
      </c>
      <c r="T5150" s="4">
        <v>249</v>
      </c>
      <c r="U5150" s="5" t="s">
        <v>1630</v>
      </c>
      <c r="V5150" s="5" t="s">
        <v>48753</v>
      </c>
      <c r="W5150" s="5" t="s">
        <v>67</v>
      </c>
      <c r="X5150" s="5" t="s">
        <v>67</v>
      </c>
      <c r="Y5150" s="4">
        <v>2230</v>
      </c>
      <c r="Z5150" s="4">
        <v>99</v>
      </c>
      <c r="AA5150" s="4">
        <v>124</v>
      </c>
      <c r="AB5150" s="4">
        <v>4</v>
      </c>
      <c r="AC5150" s="4">
        <v>11</v>
      </c>
      <c r="AD5150" s="4">
        <v>146</v>
      </c>
      <c r="AE5150" s="4">
        <v>159</v>
      </c>
      <c r="AF5150" s="4">
        <v>2</v>
      </c>
      <c r="AG5150" s="4">
        <v>6</v>
      </c>
      <c r="AH5150" s="4">
        <v>110</v>
      </c>
      <c r="AI5150" s="4">
        <v>115</v>
      </c>
      <c r="AJ5150" s="4">
        <v>23</v>
      </c>
      <c r="AK5150" s="4">
        <v>29</v>
      </c>
      <c r="AL5150" s="4">
        <v>57</v>
      </c>
      <c r="AM5150" s="4">
        <v>60</v>
      </c>
      <c r="AN5150" s="4">
        <v>0</v>
      </c>
      <c r="AO5150" s="4">
        <v>0</v>
      </c>
      <c r="AP5150" s="4">
        <v>41</v>
      </c>
      <c r="AQ5150" s="4">
        <v>49</v>
      </c>
      <c r="AR5150" s="3" t="s">
        <v>62</v>
      </c>
      <c r="AS5150" s="3" t="s">
        <v>62</v>
      </c>
      <c r="AT5150" s="3" t="s">
        <v>62</v>
      </c>
      <c r="AV5150" s="6" t="str">
        <f>HYPERLINK("http://mcgill.on.worldcat.org/oclc/36379708","Catalog Record")</f>
        <v>Catalog Record</v>
      </c>
      <c r="AW5150" s="6" t="str">
        <f>HYPERLINK("http://www.worldcat.org/oclc/36379708","WorldCat Record")</f>
        <v>WorldCat Record</v>
      </c>
      <c r="AX5150" s="3" t="s">
        <v>49377</v>
      </c>
      <c r="AY5150" s="3" t="s">
        <v>49378</v>
      </c>
      <c r="AZ5150" s="3" t="s">
        <v>49379</v>
      </c>
      <c r="BA5150" s="3" t="s">
        <v>49379</v>
      </c>
      <c r="BB5150" s="3" t="s">
        <v>49380</v>
      </c>
      <c r="BC5150" s="3" t="s">
        <v>102</v>
      </c>
      <c r="BD5150" s="3" t="s">
        <v>68</v>
      </c>
      <c r="BE5150" s="3" t="s">
        <v>49381</v>
      </c>
      <c r="BF5150" s="3" t="s">
        <v>49380</v>
      </c>
      <c r="BG5150" s="3" t="s">
        <v>49382</v>
      </c>
    </row>
    <row r="5151" spans="1:59" ht="58" x14ac:dyDescent="0.35">
      <c r="A5151" s="2" t="s">
        <v>89</v>
      </c>
      <c r="B5151" s="2" t="s">
        <v>90</v>
      </c>
      <c r="C5151" s="2" t="s">
        <v>49372</v>
      </c>
      <c r="D5151" s="2" t="s">
        <v>49373</v>
      </c>
      <c r="E5151" s="2" t="s">
        <v>49374</v>
      </c>
      <c r="G5151" s="3" t="s">
        <v>62</v>
      </c>
      <c r="I5151" s="3" t="s">
        <v>61</v>
      </c>
      <c r="J5151" s="3" t="s">
        <v>61</v>
      </c>
      <c r="K5151" s="3" t="s">
        <v>63</v>
      </c>
      <c r="L5151" s="2" t="s">
        <v>49375</v>
      </c>
      <c r="M5151" s="2" t="s">
        <v>49376</v>
      </c>
      <c r="N5151" s="3" t="s">
        <v>481</v>
      </c>
      <c r="P5151" s="3" t="s">
        <v>64</v>
      </c>
      <c r="R5151" s="3" t="s">
        <v>46535</v>
      </c>
      <c r="S5151" s="4">
        <v>160</v>
      </c>
      <c r="T5151" s="4">
        <v>249</v>
      </c>
      <c r="U5151" s="5" t="s">
        <v>48753</v>
      </c>
      <c r="V5151" s="5" t="s">
        <v>48753</v>
      </c>
      <c r="W5151" s="5" t="s">
        <v>67</v>
      </c>
      <c r="X5151" s="5" t="s">
        <v>67</v>
      </c>
      <c r="Y5151" s="4">
        <v>2230</v>
      </c>
      <c r="Z5151" s="4">
        <v>99</v>
      </c>
      <c r="AA5151" s="4">
        <v>124</v>
      </c>
      <c r="AB5151" s="4">
        <v>4</v>
      </c>
      <c r="AC5151" s="4">
        <v>11</v>
      </c>
      <c r="AD5151" s="4">
        <v>146</v>
      </c>
      <c r="AE5151" s="4">
        <v>159</v>
      </c>
      <c r="AF5151" s="4">
        <v>2</v>
      </c>
      <c r="AG5151" s="4">
        <v>6</v>
      </c>
      <c r="AH5151" s="4">
        <v>110</v>
      </c>
      <c r="AI5151" s="4">
        <v>115</v>
      </c>
      <c r="AJ5151" s="4">
        <v>23</v>
      </c>
      <c r="AK5151" s="4">
        <v>29</v>
      </c>
      <c r="AL5151" s="4">
        <v>57</v>
      </c>
      <c r="AM5151" s="4">
        <v>60</v>
      </c>
      <c r="AN5151" s="4">
        <v>0</v>
      </c>
      <c r="AO5151" s="4">
        <v>0</v>
      </c>
      <c r="AP5151" s="4">
        <v>41</v>
      </c>
      <c r="AQ5151" s="4">
        <v>49</v>
      </c>
      <c r="AR5151" s="3" t="s">
        <v>62</v>
      </c>
      <c r="AS5151" s="3" t="s">
        <v>62</v>
      </c>
      <c r="AT5151" s="3" t="s">
        <v>62</v>
      </c>
      <c r="AV5151" s="6" t="str">
        <f>HYPERLINK("http://mcgill.on.worldcat.org/oclc/36379708","Catalog Record")</f>
        <v>Catalog Record</v>
      </c>
      <c r="AW5151" s="6" t="str">
        <f>HYPERLINK("http://www.worldcat.org/oclc/36379708","WorldCat Record")</f>
        <v>WorldCat Record</v>
      </c>
      <c r="AX5151" s="3" t="s">
        <v>49377</v>
      </c>
      <c r="AY5151" s="3" t="s">
        <v>49378</v>
      </c>
      <c r="AZ5151" s="3" t="s">
        <v>49379</v>
      </c>
      <c r="BA5151" s="3" t="s">
        <v>49379</v>
      </c>
      <c r="BB5151" s="3" t="s">
        <v>49383</v>
      </c>
      <c r="BC5151" s="3" t="s">
        <v>102</v>
      </c>
      <c r="BD5151" s="3" t="s">
        <v>68</v>
      </c>
      <c r="BE5151" s="3" t="s">
        <v>49381</v>
      </c>
      <c r="BF5151" s="3" t="s">
        <v>49383</v>
      </c>
      <c r="BG5151" s="3" t="s">
        <v>49384</v>
      </c>
    </row>
    <row r="5152" spans="1:59" ht="58" x14ac:dyDescent="0.35">
      <c r="A5152" s="2" t="s">
        <v>89</v>
      </c>
      <c r="B5152" s="2" t="s">
        <v>90</v>
      </c>
      <c r="C5152" s="2" t="s">
        <v>49385</v>
      </c>
      <c r="D5152" s="2" t="s">
        <v>49386</v>
      </c>
      <c r="E5152" s="2" t="s">
        <v>49387</v>
      </c>
      <c r="G5152" s="3" t="s">
        <v>62</v>
      </c>
      <c r="I5152" s="3" t="s">
        <v>62</v>
      </c>
      <c r="J5152" s="3" t="s">
        <v>62</v>
      </c>
      <c r="K5152" s="3" t="s">
        <v>63</v>
      </c>
      <c r="M5152" s="2" t="s">
        <v>49388</v>
      </c>
      <c r="N5152" s="3" t="s">
        <v>655</v>
      </c>
      <c r="P5152" s="3" t="s">
        <v>64</v>
      </c>
      <c r="Q5152" s="2" t="s">
        <v>49389</v>
      </c>
      <c r="R5152" s="3" t="s">
        <v>46535</v>
      </c>
      <c r="S5152" s="4">
        <v>4</v>
      </c>
      <c r="T5152" s="4">
        <v>4</v>
      </c>
      <c r="U5152" s="5" t="s">
        <v>9574</v>
      </c>
      <c r="V5152" s="5" t="s">
        <v>9574</v>
      </c>
      <c r="W5152" s="5" t="s">
        <v>67</v>
      </c>
      <c r="X5152" s="5" t="s">
        <v>67</v>
      </c>
      <c r="Y5152" s="4">
        <v>106</v>
      </c>
      <c r="Z5152" s="4">
        <v>15</v>
      </c>
      <c r="AA5152" s="4">
        <v>98</v>
      </c>
      <c r="AB5152" s="4">
        <v>2</v>
      </c>
      <c r="AC5152" s="4">
        <v>18</v>
      </c>
      <c r="AD5152" s="4">
        <v>54</v>
      </c>
      <c r="AE5152" s="4">
        <v>116</v>
      </c>
      <c r="AF5152" s="4">
        <v>1</v>
      </c>
      <c r="AG5152" s="4">
        <v>8</v>
      </c>
      <c r="AH5152" s="4">
        <v>43</v>
      </c>
      <c r="AI5152" s="4">
        <v>80</v>
      </c>
      <c r="AJ5152" s="4">
        <v>11</v>
      </c>
      <c r="AK5152" s="4">
        <v>20</v>
      </c>
      <c r="AL5152" s="4">
        <v>27</v>
      </c>
      <c r="AM5152" s="4">
        <v>44</v>
      </c>
      <c r="AN5152" s="4">
        <v>0</v>
      </c>
      <c r="AO5152" s="4">
        <v>0</v>
      </c>
      <c r="AP5152" s="4">
        <v>14</v>
      </c>
      <c r="AQ5152" s="4">
        <v>41</v>
      </c>
      <c r="AR5152" s="3" t="s">
        <v>62</v>
      </c>
      <c r="AS5152" s="3" t="s">
        <v>62</v>
      </c>
      <c r="AT5152" s="3" t="s">
        <v>62</v>
      </c>
      <c r="AV5152" s="6" t="str">
        <f>HYPERLINK("http://mcgill.on.worldcat.org/oclc/145554677","Catalog Record")</f>
        <v>Catalog Record</v>
      </c>
      <c r="AW5152" s="6" t="str">
        <f>HYPERLINK("http://www.worldcat.org/oclc/145554677","WorldCat Record")</f>
        <v>WorldCat Record</v>
      </c>
      <c r="AX5152" s="3" t="s">
        <v>49390</v>
      </c>
      <c r="AY5152" s="3" t="s">
        <v>49391</v>
      </c>
      <c r="AZ5152" s="3" t="s">
        <v>49392</v>
      </c>
      <c r="BA5152" s="3" t="s">
        <v>49392</v>
      </c>
      <c r="BB5152" s="3" t="s">
        <v>49393</v>
      </c>
      <c r="BC5152" s="3" t="s">
        <v>102</v>
      </c>
      <c r="BD5152" s="3" t="s">
        <v>68</v>
      </c>
      <c r="BE5152" s="3" t="s">
        <v>49394</v>
      </c>
      <c r="BF5152" s="3" t="s">
        <v>49393</v>
      </c>
      <c r="BG5152" s="3" t="s">
        <v>49395</v>
      </c>
    </row>
    <row r="5153" spans="1:59" ht="58" x14ac:dyDescent="0.35">
      <c r="A5153" s="2" t="s">
        <v>89</v>
      </c>
      <c r="B5153" s="2" t="s">
        <v>90</v>
      </c>
      <c r="C5153" s="2" t="s">
        <v>49396</v>
      </c>
      <c r="D5153" s="2" t="s">
        <v>49397</v>
      </c>
      <c r="E5153" s="2" t="s">
        <v>49398</v>
      </c>
      <c r="G5153" s="3" t="s">
        <v>62</v>
      </c>
      <c r="I5153" s="3" t="s">
        <v>62</v>
      </c>
      <c r="J5153" s="3" t="s">
        <v>62</v>
      </c>
      <c r="K5153" s="3" t="s">
        <v>63</v>
      </c>
      <c r="M5153" s="2" t="s">
        <v>49399</v>
      </c>
      <c r="N5153" s="3" t="s">
        <v>2136</v>
      </c>
      <c r="O5153" s="2" t="s">
        <v>2163</v>
      </c>
      <c r="P5153" s="3" t="s">
        <v>64</v>
      </c>
      <c r="R5153" s="3" t="s">
        <v>46535</v>
      </c>
      <c r="S5153" s="4">
        <v>18</v>
      </c>
      <c r="T5153" s="4">
        <v>18</v>
      </c>
      <c r="U5153" s="5" t="s">
        <v>9574</v>
      </c>
      <c r="V5153" s="5" t="s">
        <v>9574</v>
      </c>
      <c r="W5153" s="5" t="s">
        <v>67</v>
      </c>
      <c r="X5153" s="5" t="s">
        <v>67</v>
      </c>
      <c r="Y5153" s="4">
        <v>254</v>
      </c>
      <c r="Z5153" s="4">
        <v>20</v>
      </c>
      <c r="AA5153" s="4">
        <v>51</v>
      </c>
      <c r="AB5153" s="4">
        <v>1</v>
      </c>
      <c r="AC5153" s="4">
        <v>3</v>
      </c>
      <c r="AD5153" s="4">
        <v>78</v>
      </c>
      <c r="AE5153" s="4">
        <v>101</v>
      </c>
      <c r="AF5153" s="4">
        <v>0</v>
      </c>
      <c r="AG5153" s="4">
        <v>0</v>
      </c>
      <c r="AH5153" s="4">
        <v>70</v>
      </c>
      <c r="AI5153" s="4">
        <v>85</v>
      </c>
      <c r="AJ5153" s="4">
        <v>10</v>
      </c>
      <c r="AK5153" s="4">
        <v>13</v>
      </c>
      <c r="AL5153" s="4">
        <v>40</v>
      </c>
      <c r="AM5153" s="4">
        <v>46</v>
      </c>
      <c r="AN5153" s="4">
        <v>0</v>
      </c>
      <c r="AO5153" s="4">
        <v>0</v>
      </c>
      <c r="AP5153" s="4">
        <v>13</v>
      </c>
      <c r="AQ5153" s="4">
        <v>23</v>
      </c>
      <c r="AR5153" s="3" t="s">
        <v>62</v>
      </c>
      <c r="AS5153" s="3" t="s">
        <v>62</v>
      </c>
      <c r="AT5153" s="3" t="s">
        <v>62</v>
      </c>
      <c r="AV5153" s="6" t="str">
        <f>HYPERLINK("http://mcgill.on.worldcat.org/oclc/57754096","Catalog Record")</f>
        <v>Catalog Record</v>
      </c>
      <c r="AW5153" s="6" t="str">
        <f>HYPERLINK("http://www.worldcat.org/oclc/57754096","WorldCat Record")</f>
        <v>WorldCat Record</v>
      </c>
      <c r="AX5153" s="3" t="s">
        <v>49400</v>
      </c>
      <c r="AY5153" s="3" t="s">
        <v>49401</v>
      </c>
      <c r="AZ5153" s="3" t="s">
        <v>49402</v>
      </c>
      <c r="BA5153" s="3" t="s">
        <v>49402</v>
      </c>
      <c r="BB5153" s="3" t="s">
        <v>49403</v>
      </c>
      <c r="BC5153" s="3" t="s">
        <v>102</v>
      </c>
      <c r="BD5153" s="3" t="s">
        <v>68</v>
      </c>
      <c r="BE5153" s="3" t="s">
        <v>49404</v>
      </c>
      <c r="BF5153" s="3" t="s">
        <v>49403</v>
      </c>
      <c r="BG5153" s="3" t="s">
        <v>49405</v>
      </c>
    </row>
    <row r="5154" spans="1:59" ht="58" x14ac:dyDescent="0.35">
      <c r="A5154" s="2" t="s">
        <v>89</v>
      </c>
      <c r="B5154" s="2" t="s">
        <v>90</v>
      </c>
      <c r="C5154" s="2" t="s">
        <v>49406</v>
      </c>
      <c r="D5154" s="2" t="s">
        <v>49407</v>
      </c>
      <c r="E5154" s="2" t="s">
        <v>49408</v>
      </c>
      <c r="G5154" s="3" t="s">
        <v>62</v>
      </c>
      <c r="I5154" s="3" t="s">
        <v>62</v>
      </c>
      <c r="J5154" s="3" t="s">
        <v>62</v>
      </c>
      <c r="K5154" s="3" t="s">
        <v>63</v>
      </c>
      <c r="L5154" s="2" t="s">
        <v>49409</v>
      </c>
      <c r="M5154" s="2" t="s">
        <v>49410</v>
      </c>
      <c r="N5154" s="3" t="s">
        <v>2136</v>
      </c>
      <c r="P5154" s="3" t="s">
        <v>64</v>
      </c>
      <c r="R5154" s="3" t="s">
        <v>46535</v>
      </c>
      <c r="S5154" s="4">
        <v>13</v>
      </c>
      <c r="T5154" s="4">
        <v>13</v>
      </c>
      <c r="U5154" s="5" t="s">
        <v>24087</v>
      </c>
      <c r="V5154" s="5" t="s">
        <v>24087</v>
      </c>
      <c r="W5154" s="5" t="s">
        <v>67</v>
      </c>
      <c r="X5154" s="5" t="s">
        <v>67</v>
      </c>
      <c r="Y5154" s="4">
        <v>331</v>
      </c>
      <c r="Z5154" s="4">
        <v>24</v>
      </c>
      <c r="AA5154" s="4">
        <v>25</v>
      </c>
      <c r="AB5154" s="4">
        <v>2</v>
      </c>
      <c r="AC5154" s="4">
        <v>3</v>
      </c>
      <c r="AD5154" s="4">
        <v>99</v>
      </c>
      <c r="AE5154" s="4">
        <v>100</v>
      </c>
      <c r="AF5154" s="4">
        <v>1</v>
      </c>
      <c r="AG5154" s="4">
        <v>2</v>
      </c>
      <c r="AH5154" s="4">
        <v>86</v>
      </c>
      <c r="AI5154" s="4">
        <v>86</v>
      </c>
      <c r="AJ5154" s="4">
        <v>13</v>
      </c>
      <c r="AK5154" s="4">
        <v>14</v>
      </c>
      <c r="AL5154" s="4">
        <v>50</v>
      </c>
      <c r="AM5154" s="4">
        <v>50</v>
      </c>
      <c r="AN5154" s="4">
        <v>0</v>
      </c>
      <c r="AO5154" s="4">
        <v>0</v>
      </c>
      <c r="AP5154" s="4">
        <v>19</v>
      </c>
      <c r="AQ5154" s="4">
        <v>19</v>
      </c>
      <c r="AR5154" s="3" t="s">
        <v>62</v>
      </c>
      <c r="AS5154" s="3" t="s">
        <v>62</v>
      </c>
      <c r="AT5154" s="3" t="s">
        <v>62</v>
      </c>
      <c r="AV5154" s="6" t="str">
        <f>HYPERLINK("http://mcgill.on.worldcat.org/oclc/57391684","Catalog Record")</f>
        <v>Catalog Record</v>
      </c>
      <c r="AW5154" s="6" t="str">
        <f>HYPERLINK("http://www.worldcat.org/oclc/57391684","WorldCat Record")</f>
        <v>WorldCat Record</v>
      </c>
      <c r="AX5154" s="3" t="s">
        <v>49411</v>
      </c>
      <c r="AY5154" s="3" t="s">
        <v>49412</v>
      </c>
      <c r="AZ5154" s="3" t="s">
        <v>49413</v>
      </c>
      <c r="BA5154" s="3" t="s">
        <v>49413</v>
      </c>
      <c r="BB5154" s="3" t="s">
        <v>49414</v>
      </c>
      <c r="BC5154" s="3" t="s">
        <v>102</v>
      </c>
      <c r="BD5154" s="3" t="s">
        <v>68</v>
      </c>
      <c r="BE5154" s="3" t="s">
        <v>49415</v>
      </c>
      <c r="BF5154" s="3" t="s">
        <v>49414</v>
      </c>
      <c r="BG5154" s="3" t="s">
        <v>49416</v>
      </c>
    </row>
    <row r="5155" spans="1:59" ht="58" x14ac:dyDescent="0.35">
      <c r="A5155" s="2" t="s">
        <v>59</v>
      </c>
      <c r="B5155" s="2" t="s">
        <v>60</v>
      </c>
      <c r="C5155" s="2" t="s">
        <v>49417</v>
      </c>
      <c r="D5155" s="2" t="s">
        <v>49418</v>
      </c>
      <c r="E5155" s="2" t="s">
        <v>49419</v>
      </c>
      <c r="G5155" s="3" t="s">
        <v>62</v>
      </c>
      <c r="I5155" s="3" t="s">
        <v>62</v>
      </c>
      <c r="J5155" s="3" t="s">
        <v>62</v>
      </c>
      <c r="K5155" s="3" t="s">
        <v>63</v>
      </c>
      <c r="L5155" s="2" t="s">
        <v>49420</v>
      </c>
      <c r="M5155" s="2" t="s">
        <v>49421</v>
      </c>
      <c r="N5155" s="3" t="s">
        <v>157</v>
      </c>
      <c r="P5155" s="3" t="s">
        <v>64</v>
      </c>
      <c r="R5155" s="3" t="s">
        <v>46535</v>
      </c>
      <c r="S5155" s="4">
        <v>2</v>
      </c>
      <c r="T5155" s="4">
        <v>2</v>
      </c>
      <c r="U5155" s="5" t="s">
        <v>46072</v>
      </c>
      <c r="V5155" s="5" t="s">
        <v>46072</v>
      </c>
      <c r="W5155" s="5" t="s">
        <v>67</v>
      </c>
      <c r="X5155" s="5" t="s">
        <v>67</v>
      </c>
      <c r="Y5155" s="4">
        <v>488</v>
      </c>
      <c r="Z5155" s="4">
        <v>31</v>
      </c>
      <c r="AA5155" s="4">
        <v>39</v>
      </c>
      <c r="AB5155" s="4">
        <v>3</v>
      </c>
      <c r="AC5155" s="4">
        <v>6</v>
      </c>
      <c r="AD5155" s="4">
        <v>107</v>
      </c>
      <c r="AE5155" s="4">
        <v>131</v>
      </c>
      <c r="AF5155" s="4">
        <v>1</v>
      </c>
      <c r="AG5155" s="4">
        <v>4</v>
      </c>
      <c r="AH5155" s="4">
        <v>89</v>
      </c>
      <c r="AI5155" s="4">
        <v>107</v>
      </c>
      <c r="AJ5155" s="4">
        <v>19</v>
      </c>
      <c r="AK5155" s="4">
        <v>23</v>
      </c>
      <c r="AL5155" s="4">
        <v>47</v>
      </c>
      <c r="AM5155" s="4">
        <v>59</v>
      </c>
      <c r="AN5155" s="4">
        <v>0</v>
      </c>
      <c r="AO5155" s="4">
        <v>4</v>
      </c>
      <c r="AP5155" s="4">
        <v>25</v>
      </c>
      <c r="AQ5155" s="4">
        <v>29</v>
      </c>
      <c r="AR5155" s="3" t="s">
        <v>62</v>
      </c>
      <c r="AS5155" s="3" t="s">
        <v>62</v>
      </c>
      <c r="AT5155" s="3" t="s">
        <v>61</v>
      </c>
      <c r="AU5155" s="6" t="str">
        <f>HYPERLINK("http://catalog.hathitrust.org/Record/000015791","HathiTrust Record")</f>
        <v>HathiTrust Record</v>
      </c>
      <c r="AV5155" s="6" t="str">
        <f>HYPERLINK("http://mcgill.on.worldcat.org/oclc/979056","Catalog Record")</f>
        <v>Catalog Record</v>
      </c>
      <c r="AW5155" s="6" t="str">
        <f>HYPERLINK("http://www.worldcat.org/oclc/979056","WorldCat Record")</f>
        <v>WorldCat Record</v>
      </c>
      <c r="AX5155" s="3" t="s">
        <v>49422</v>
      </c>
      <c r="AY5155" s="3" t="s">
        <v>49423</v>
      </c>
      <c r="AZ5155" s="3" t="s">
        <v>49424</v>
      </c>
      <c r="BA5155" s="3" t="s">
        <v>49424</v>
      </c>
      <c r="BB5155" s="3" t="s">
        <v>49425</v>
      </c>
      <c r="BC5155" s="3" t="s">
        <v>102</v>
      </c>
      <c r="BD5155" s="3" t="s">
        <v>68</v>
      </c>
      <c r="BE5155" s="3" t="s">
        <v>49426</v>
      </c>
      <c r="BF5155" s="3" t="s">
        <v>49425</v>
      </c>
      <c r="BG5155" s="3" t="s">
        <v>49427</v>
      </c>
    </row>
    <row r="5156" spans="1:59" ht="58" x14ac:dyDescent="0.35">
      <c r="A5156" s="2" t="s">
        <v>89</v>
      </c>
      <c r="B5156" s="2" t="s">
        <v>90</v>
      </c>
      <c r="C5156" s="2" t="s">
        <v>49428</v>
      </c>
      <c r="D5156" s="2" t="s">
        <v>49429</v>
      </c>
      <c r="E5156" s="2" t="s">
        <v>49430</v>
      </c>
      <c r="G5156" s="3" t="s">
        <v>62</v>
      </c>
      <c r="I5156" s="3" t="s">
        <v>61</v>
      </c>
      <c r="J5156" s="3" t="s">
        <v>61</v>
      </c>
      <c r="K5156" s="3" t="s">
        <v>63</v>
      </c>
      <c r="L5156" s="2" t="s">
        <v>49431</v>
      </c>
      <c r="M5156" s="2" t="s">
        <v>49432</v>
      </c>
      <c r="N5156" s="3" t="s">
        <v>655</v>
      </c>
      <c r="P5156" s="3" t="s">
        <v>64</v>
      </c>
      <c r="R5156" s="3" t="s">
        <v>46535</v>
      </c>
      <c r="S5156" s="4">
        <v>6</v>
      </c>
      <c r="T5156" s="4">
        <v>21</v>
      </c>
      <c r="U5156" s="5" t="s">
        <v>20044</v>
      </c>
      <c r="V5156" s="5" t="s">
        <v>20032</v>
      </c>
      <c r="W5156" s="5" t="s">
        <v>67</v>
      </c>
      <c r="X5156" s="5" t="s">
        <v>67</v>
      </c>
      <c r="Y5156" s="4">
        <v>311</v>
      </c>
      <c r="Z5156" s="4">
        <v>18</v>
      </c>
      <c r="AA5156" s="4">
        <v>183</v>
      </c>
      <c r="AB5156" s="4">
        <v>2</v>
      </c>
      <c r="AC5156" s="4">
        <v>12</v>
      </c>
      <c r="AD5156" s="4">
        <v>17</v>
      </c>
      <c r="AE5156" s="4">
        <v>131</v>
      </c>
      <c r="AF5156" s="4">
        <v>1</v>
      </c>
      <c r="AG5156" s="4">
        <v>3</v>
      </c>
      <c r="AH5156" s="4">
        <v>12</v>
      </c>
      <c r="AI5156" s="4">
        <v>89</v>
      </c>
      <c r="AJ5156" s="4">
        <v>3</v>
      </c>
      <c r="AK5156" s="4">
        <v>24</v>
      </c>
      <c r="AL5156" s="4">
        <v>6</v>
      </c>
      <c r="AM5156" s="4">
        <v>51</v>
      </c>
      <c r="AN5156" s="4">
        <v>0</v>
      </c>
      <c r="AO5156" s="4">
        <v>0</v>
      </c>
      <c r="AP5156" s="4">
        <v>5</v>
      </c>
      <c r="AQ5156" s="4">
        <v>45</v>
      </c>
      <c r="AR5156" s="3" t="s">
        <v>62</v>
      </c>
      <c r="AS5156" s="3" t="s">
        <v>62</v>
      </c>
      <c r="AT5156" s="3" t="s">
        <v>62</v>
      </c>
      <c r="AV5156" s="6" t="str">
        <f>HYPERLINK("http://mcgill.on.worldcat.org/oclc/213837492","Catalog Record")</f>
        <v>Catalog Record</v>
      </c>
      <c r="AW5156" s="6" t="str">
        <f>HYPERLINK("http://www.worldcat.org/oclc/213837492","WorldCat Record")</f>
        <v>WorldCat Record</v>
      </c>
      <c r="AX5156" s="3" t="s">
        <v>49433</v>
      </c>
      <c r="AY5156" s="3" t="s">
        <v>49434</v>
      </c>
      <c r="AZ5156" s="3" t="s">
        <v>49435</v>
      </c>
      <c r="BA5156" s="3" t="s">
        <v>49435</v>
      </c>
      <c r="BB5156" s="3" t="s">
        <v>49436</v>
      </c>
      <c r="BC5156" s="3" t="s">
        <v>102</v>
      </c>
      <c r="BD5156" s="3" t="s">
        <v>68</v>
      </c>
      <c r="BE5156" s="3" t="s">
        <v>49437</v>
      </c>
      <c r="BF5156" s="3" t="s">
        <v>49436</v>
      </c>
      <c r="BG5156" s="3" t="s">
        <v>49438</v>
      </c>
    </row>
    <row r="5157" spans="1:59" ht="58" x14ac:dyDescent="0.35">
      <c r="A5157" s="2" t="s">
        <v>89</v>
      </c>
      <c r="B5157" s="2" t="s">
        <v>90</v>
      </c>
      <c r="C5157" s="2" t="s">
        <v>49439</v>
      </c>
      <c r="D5157" s="2" t="s">
        <v>49440</v>
      </c>
      <c r="E5157" s="2" t="s">
        <v>49441</v>
      </c>
      <c r="G5157" s="3" t="s">
        <v>62</v>
      </c>
      <c r="I5157" s="3" t="s">
        <v>62</v>
      </c>
      <c r="J5157" s="3" t="s">
        <v>62</v>
      </c>
      <c r="K5157" s="3" t="s">
        <v>63</v>
      </c>
      <c r="M5157" s="2" t="s">
        <v>49442</v>
      </c>
      <c r="N5157" s="3" t="s">
        <v>684</v>
      </c>
      <c r="P5157" s="3" t="s">
        <v>64</v>
      </c>
      <c r="R5157" s="3" t="s">
        <v>46535</v>
      </c>
      <c r="S5157" s="4">
        <v>2</v>
      </c>
      <c r="T5157" s="4">
        <v>2</v>
      </c>
      <c r="U5157" s="5" t="s">
        <v>1648</v>
      </c>
      <c r="V5157" s="5" t="s">
        <v>1648</v>
      </c>
      <c r="W5157" s="5" t="s">
        <v>67</v>
      </c>
      <c r="X5157" s="5" t="s">
        <v>67</v>
      </c>
      <c r="Y5157" s="4">
        <v>127</v>
      </c>
      <c r="Z5157" s="4">
        <v>11</v>
      </c>
      <c r="AA5157" s="4">
        <v>32</v>
      </c>
      <c r="AB5157" s="4">
        <v>1</v>
      </c>
      <c r="AC5157" s="4">
        <v>7</v>
      </c>
      <c r="AD5157" s="4">
        <v>61</v>
      </c>
      <c r="AE5157" s="4">
        <v>95</v>
      </c>
      <c r="AF5157" s="4">
        <v>0</v>
      </c>
      <c r="AG5157" s="4">
        <v>3</v>
      </c>
      <c r="AH5157" s="4">
        <v>53</v>
      </c>
      <c r="AI5157" s="4">
        <v>76</v>
      </c>
      <c r="AJ5157" s="4">
        <v>10</v>
      </c>
      <c r="AK5157" s="4">
        <v>17</v>
      </c>
      <c r="AL5157" s="4">
        <v>37</v>
      </c>
      <c r="AM5157" s="4">
        <v>46</v>
      </c>
      <c r="AN5157" s="4">
        <v>0</v>
      </c>
      <c r="AO5157" s="4">
        <v>0</v>
      </c>
      <c r="AP5157" s="4">
        <v>10</v>
      </c>
      <c r="AQ5157" s="4">
        <v>23</v>
      </c>
      <c r="AR5157" s="3" t="s">
        <v>62</v>
      </c>
      <c r="AS5157" s="3" t="s">
        <v>62</v>
      </c>
      <c r="AT5157" s="3" t="s">
        <v>62</v>
      </c>
      <c r="AV5157" s="6" t="str">
        <f>HYPERLINK("http://mcgill.on.worldcat.org/oclc/572716979","Catalog Record")</f>
        <v>Catalog Record</v>
      </c>
      <c r="AW5157" s="6" t="str">
        <f>HYPERLINK("http://www.worldcat.org/oclc/572716979","WorldCat Record")</f>
        <v>WorldCat Record</v>
      </c>
      <c r="AX5157" s="3" t="s">
        <v>49443</v>
      </c>
      <c r="AY5157" s="3" t="s">
        <v>49444</v>
      </c>
      <c r="AZ5157" s="3" t="s">
        <v>49445</v>
      </c>
      <c r="BA5157" s="3" t="s">
        <v>49445</v>
      </c>
      <c r="BB5157" s="3" t="s">
        <v>49446</v>
      </c>
      <c r="BC5157" s="3" t="s">
        <v>102</v>
      </c>
      <c r="BD5157" s="3" t="s">
        <v>68</v>
      </c>
      <c r="BE5157" s="3" t="s">
        <v>49447</v>
      </c>
      <c r="BF5157" s="3" t="s">
        <v>49446</v>
      </c>
      <c r="BG5157" s="3" t="s">
        <v>49448</v>
      </c>
    </row>
    <row r="5158" spans="1:59" ht="58" x14ac:dyDescent="0.35">
      <c r="A5158" s="2" t="s">
        <v>89</v>
      </c>
      <c r="B5158" s="2" t="s">
        <v>90</v>
      </c>
      <c r="C5158" s="2" t="s">
        <v>49449</v>
      </c>
      <c r="D5158" s="2" t="s">
        <v>49450</v>
      </c>
      <c r="E5158" s="2" t="s">
        <v>49451</v>
      </c>
      <c r="G5158" s="3" t="s">
        <v>62</v>
      </c>
      <c r="I5158" s="3" t="s">
        <v>62</v>
      </c>
      <c r="J5158" s="3" t="s">
        <v>62</v>
      </c>
      <c r="K5158" s="3" t="s">
        <v>63</v>
      </c>
      <c r="M5158" s="2" t="s">
        <v>16628</v>
      </c>
      <c r="N5158" s="3" t="s">
        <v>539</v>
      </c>
      <c r="P5158" s="3" t="s">
        <v>64</v>
      </c>
      <c r="Q5158" s="2" t="s">
        <v>48203</v>
      </c>
      <c r="R5158" s="3" t="s">
        <v>46535</v>
      </c>
      <c r="S5158" s="4">
        <v>27</v>
      </c>
      <c r="T5158" s="4">
        <v>27</v>
      </c>
      <c r="U5158" s="5" t="s">
        <v>1118</v>
      </c>
      <c r="V5158" s="5" t="s">
        <v>1118</v>
      </c>
      <c r="W5158" s="5" t="s">
        <v>67</v>
      </c>
      <c r="X5158" s="5" t="s">
        <v>67</v>
      </c>
      <c r="Y5158" s="4">
        <v>268</v>
      </c>
      <c r="Z5158" s="4">
        <v>21</v>
      </c>
      <c r="AA5158" s="4">
        <v>117</v>
      </c>
      <c r="AB5158" s="4">
        <v>1</v>
      </c>
      <c r="AC5158" s="4">
        <v>18</v>
      </c>
      <c r="AD5158" s="4">
        <v>95</v>
      </c>
      <c r="AE5158" s="4">
        <v>151</v>
      </c>
      <c r="AF5158" s="4">
        <v>0</v>
      </c>
      <c r="AG5158" s="4">
        <v>9</v>
      </c>
      <c r="AH5158" s="4">
        <v>81</v>
      </c>
      <c r="AI5158" s="4">
        <v>107</v>
      </c>
      <c r="AJ5158" s="4">
        <v>13</v>
      </c>
      <c r="AK5158" s="4">
        <v>25</v>
      </c>
      <c r="AL5158" s="4">
        <v>49</v>
      </c>
      <c r="AM5158" s="4">
        <v>58</v>
      </c>
      <c r="AN5158" s="4">
        <v>0</v>
      </c>
      <c r="AO5158" s="4">
        <v>0</v>
      </c>
      <c r="AP5158" s="4">
        <v>17</v>
      </c>
      <c r="AQ5158" s="4">
        <v>52</v>
      </c>
      <c r="AR5158" s="3" t="s">
        <v>62</v>
      </c>
      <c r="AS5158" s="3" t="s">
        <v>62</v>
      </c>
      <c r="AT5158" s="3" t="s">
        <v>62</v>
      </c>
      <c r="AV5158" s="6" t="str">
        <f>HYPERLINK("http://mcgill.on.worldcat.org/oclc/37553788","Catalog Record")</f>
        <v>Catalog Record</v>
      </c>
      <c r="AW5158" s="6" t="str">
        <f>HYPERLINK("http://www.worldcat.org/oclc/37553788","WorldCat Record")</f>
        <v>WorldCat Record</v>
      </c>
      <c r="AX5158" s="3" t="s">
        <v>49452</v>
      </c>
      <c r="AY5158" s="3" t="s">
        <v>49453</v>
      </c>
      <c r="AZ5158" s="3" t="s">
        <v>49454</v>
      </c>
      <c r="BA5158" s="3" t="s">
        <v>49454</v>
      </c>
      <c r="BB5158" s="3" t="s">
        <v>49455</v>
      </c>
      <c r="BC5158" s="3" t="s">
        <v>102</v>
      </c>
      <c r="BD5158" s="3" t="s">
        <v>68</v>
      </c>
      <c r="BE5158" s="3" t="s">
        <v>49456</v>
      </c>
      <c r="BF5158" s="3" t="s">
        <v>49455</v>
      </c>
      <c r="BG5158" s="3" t="s">
        <v>49457</v>
      </c>
    </row>
    <row r="5159" spans="1:59" ht="58" x14ac:dyDescent="0.35">
      <c r="A5159" s="2" t="s">
        <v>89</v>
      </c>
      <c r="B5159" s="2" t="s">
        <v>90</v>
      </c>
      <c r="C5159" s="2" t="s">
        <v>49458</v>
      </c>
      <c r="D5159" s="2" t="s">
        <v>49459</v>
      </c>
      <c r="E5159" s="2" t="s">
        <v>49460</v>
      </c>
      <c r="G5159" s="3" t="s">
        <v>62</v>
      </c>
      <c r="I5159" s="3" t="s">
        <v>62</v>
      </c>
      <c r="J5159" s="3" t="s">
        <v>61</v>
      </c>
      <c r="K5159" s="3" t="s">
        <v>63</v>
      </c>
      <c r="M5159" s="2" t="s">
        <v>16628</v>
      </c>
      <c r="N5159" s="3" t="s">
        <v>539</v>
      </c>
      <c r="O5159" s="2" t="s">
        <v>2986</v>
      </c>
      <c r="P5159" s="3" t="s">
        <v>64</v>
      </c>
      <c r="Q5159" s="2" t="s">
        <v>48203</v>
      </c>
      <c r="R5159" s="3" t="s">
        <v>46535</v>
      </c>
      <c r="S5159" s="4">
        <v>39</v>
      </c>
      <c r="T5159" s="4">
        <v>39</v>
      </c>
      <c r="U5159" s="5" t="s">
        <v>49461</v>
      </c>
      <c r="V5159" s="5" t="s">
        <v>49461</v>
      </c>
      <c r="W5159" s="5" t="s">
        <v>67</v>
      </c>
      <c r="X5159" s="5" t="s">
        <v>67</v>
      </c>
      <c r="Y5159" s="4">
        <v>272</v>
      </c>
      <c r="Z5159" s="4">
        <v>16</v>
      </c>
      <c r="AA5159" s="4">
        <v>97</v>
      </c>
      <c r="AB5159" s="4">
        <v>1</v>
      </c>
      <c r="AC5159" s="4">
        <v>18</v>
      </c>
      <c r="AD5159" s="4">
        <v>83</v>
      </c>
      <c r="AE5159" s="4">
        <v>152</v>
      </c>
      <c r="AF5159" s="4">
        <v>0</v>
      </c>
      <c r="AG5159" s="4">
        <v>9</v>
      </c>
      <c r="AH5159" s="4">
        <v>71</v>
      </c>
      <c r="AI5159" s="4">
        <v>109</v>
      </c>
      <c r="AJ5159" s="4">
        <v>12</v>
      </c>
      <c r="AK5159" s="4">
        <v>26</v>
      </c>
      <c r="AL5159" s="4">
        <v>50</v>
      </c>
      <c r="AM5159" s="4">
        <v>61</v>
      </c>
      <c r="AN5159" s="4">
        <v>0</v>
      </c>
      <c r="AO5159" s="4">
        <v>0</v>
      </c>
      <c r="AP5159" s="4">
        <v>13</v>
      </c>
      <c r="AQ5159" s="4">
        <v>49</v>
      </c>
      <c r="AR5159" s="3" t="s">
        <v>62</v>
      </c>
      <c r="AS5159" s="3" t="s">
        <v>62</v>
      </c>
      <c r="AT5159" s="3" t="s">
        <v>62</v>
      </c>
      <c r="AV5159" s="6" t="str">
        <f>HYPERLINK("http://mcgill.on.worldcat.org/oclc/36877410","Catalog Record")</f>
        <v>Catalog Record</v>
      </c>
      <c r="AW5159" s="6" t="str">
        <f>HYPERLINK("http://www.worldcat.org/oclc/36877410","WorldCat Record")</f>
        <v>WorldCat Record</v>
      </c>
      <c r="AX5159" s="3" t="s">
        <v>49462</v>
      </c>
      <c r="AY5159" s="3" t="s">
        <v>49463</v>
      </c>
      <c r="AZ5159" s="3" t="s">
        <v>49464</v>
      </c>
      <c r="BA5159" s="3" t="s">
        <v>49464</v>
      </c>
      <c r="BB5159" s="3" t="s">
        <v>49465</v>
      </c>
      <c r="BC5159" s="3" t="s">
        <v>102</v>
      </c>
      <c r="BD5159" s="3" t="s">
        <v>68</v>
      </c>
      <c r="BE5159" s="3" t="s">
        <v>49466</v>
      </c>
      <c r="BF5159" s="3" t="s">
        <v>49465</v>
      </c>
      <c r="BG5159" s="3" t="s">
        <v>49467</v>
      </c>
    </row>
    <row r="5160" spans="1:59" ht="58" x14ac:dyDescent="0.35">
      <c r="A5160" s="2" t="s">
        <v>89</v>
      </c>
      <c r="B5160" s="2" t="s">
        <v>90</v>
      </c>
      <c r="C5160" s="2" t="s">
        <v>49468</v>
      </c>
      <c r="D5160" s="2" t="s">
        <v>49469</v>
      </c>
      <c r="E5160" s="2" t="s">
        <v>49470</v>
      </c>
      <c r="G5160" s="3" t="s">
        <v>62</v>
      </c>
      <c r="I5160" s="3" t="s">
        <v>62</v>
      </c>
      <c r="J5160" s="3" t="s">
        <v>62</v>
      </c>
      <c r="K5160" s="3" t="s">
        <v>63</v>
      </c>
      <c r="M5160" s="2" t="s">
        <v>49471</v>
      </c>
      <c r="N5160" s="3" t="s">
        <v>596</v>
      </c>
      <c r="P5160" s="3" t="s">
        <v>64</v>
      </c>
      <c r="Q5160" s="2" t="s">
        <v>49472</v>
      </c>
      <c r="R5160" s="3" t="s">
        <v>46535</v>
      </c>
      <c r="S5160" s="4">
        <v>16</v>
      </c>
      <c r="T5160" s="4">
        <v>16</v>
      </c>
      <c r="U5160" s="5" t="s">
        <v>49473</v>
      </c>
      <c r="V5160" s="5" t="s">
        <v>49473</v>
      </c>
      <c r="W5160" s="5" t="s">
        <v>67</v>
      </c>
      <c r="X5160" s="5" t="s">
        <v>67</v>
      </c>
      <c r="Y5160" s="4">
        <v>178</v>
      </c>
      <c r="Z5160" s="4">
        <v>22</v>
      </c>
      <c r="AA5160" s="4">
        <v>110</v>
      </c>
      <c r="AB5160" s="4">
        <v>1</v>
      </c>
      <c r="AC5160" s="4">
        <v>17</v>
      </c>
      <c r="AD5160" s="4">
        <v>74</v>
      </c>
      <c r="AE5160" s="4">
        <v>134</v>
      </c>
      <c r="AF5160" s="4">
        <v>0</v>
      </c>
      <c r="AG5160" s="4">
        <v>8</v>
      </c>
      <c r="AH5160" s="4">
        <v>64</v>
      </c>
      <c r="AI5160" s="4">
        <v>96</v>
      </c>
      <c r="AJ5160" s="4">
        <v>17</v>
      </c>
      <c r="AK5160" s="4">
        <v>26</v>
      </c>
      <c r="AL5160" s="4">
        <v>34</v>
      </c>
      <c r="AM5160" s="4">
        <v>49</v>
      </c>
      <c r="AN5160" s="4">
        <v>0</v>
      </c>
      <c r="AO5160" s="4">
        <v>0</v>
      </c>
      <c r="AP5160" s="4">
        <v>19</v>
      </c>
      <c r="AQ5160" s="4">
        <v>48</v>
      </c>
      <c r="AR5160" s="3" t="s">
        <v>62</v>
      </c>
      <c r="AS5160" s="3" t="s">
        <v>62</v>
      </c>
      <c r="AT5160" s="3" t="s">
        <v>61</v>
      </c>
      <c r="AU5160" s="6" t="str">
        <f>HYPERLINK("http://catalog.hathitrust.org/Record/005023633","HathiTrust Record")</f>
        <v>HathiTrust Record</v>
      </c>
      <c r="AV5160" s="6" t="str">
        <f>HYPERLINK("http://mcgill.on.worldcat.org/oclc/49959413","Catalog Record")</f>
        <v>Catalog Record</v>
      </c>
      <c r="AW5160" s="6" t="str">
        <f>HYPERLINK("http://www.worldcat.org/oclc/49959413","WorldCat Record")</f>
        <v>WorldCat Record</v>
      </c>
      <c r="AX5160" s="3" t="s">
        <v>49474</v>
      </c>
      <c r="AY5160" s="3" t="s">
        <v>49475</v>
      </c>
      <c r="AZ5160" s="3" t="s">
        <v>49476</v>
      </c>
      <c r="BA5160" s="3" t="s">
        <v>49476</v>
      </c>
      <c r="BB5160" s="3" t="s">
        <v>49477</v>
      </c>
      <c r="BC5160" s="3" t="s">
        <v>102</v>
      </c>
      <c r="BD5160" s="3" t="s">
        <v>68</v>
      </c>
      <c r="BE5160" s="3" t="s">
        <v>49478</v>
      </c>
      <c r="BF5160" s="3" t="s">
        <v>49477</v>
      </c>
      <c r="BG5160" s="3" t="s">
        <v>49479</v>
      </c>
    </row>
    <row r="5161" spans="1:59" ht="72.5" x14ac:dyDescent="0.35">
      <c r="A5161" s="2" t="s">
        <v>89</v>
      </c>
      <c r="B5161" s="2" t="s">
        <v>90</v>
      </c>
      <c r="C5161" s="2" t="s">
        <v>49480</v>
      </c>
      <c r="D5161" s="2" t="s">
        <v>49481</v>
      </c>
      <c r="E5161" s="2" t="s">
        <v>49482</v>
      </c>
      <c r="G5161" s="3" t="s">
        <v>62</v>
      </c>
      <c r="I5161" s="3" t="s">
        <v>62</v>
      </c>
      <c r="J5161" s="3" t="s">
        <v>62</v>
      </c>
      <c r="K5161" s="3" t="s">
        <v>63</v>
      </c>
      <c r="L5161" s="2" t="s">
        <v>49483</v>
      </c>
      <c r="M5161" s="2" t="s">
        <v>49484</v>
      </c>
      <c r="N5161" s="3" t="s">
        <v>698</v>
      </c>
      <c r="P5161" s="3" t="s">
        <v>64</v>
      </c>
      <c r="Q5161" s="2" t="s">
        <v>49485</v>
      </c>
      <c r="R5161" s="3" t="s">
        <v>46535</v>
      </c>
      <c r="S5161" s="4">
        <v>2</v>
      </c>
      <c r="T5161" s="4">
        <v>2</v>
      </c>
      <c r="U5161" s="5" t="s">
        <v>9574</v>
      </c>
      <c r="V5161" s="5" t="s">
        <v>9574</v>
      </c>
      <c r="W5161" s="5" t="s">
        <v>67</v>
      </c>
      <c r="X5161" s="5" t="s">
        <v>67</v>
      </c>
      <c r="Y5161" s="4">
        <v>38</v>
      </c>
      <c r="Z5161" s="4">
        <v>8</v>
      </c>
      <c r="AA5161" s="4">
        <v>85</v>
      </c>
      <c r="AB5161" s="4">
        <v>1</v>
      </c>
      <c r="AC5161" s="4">
        <v>14</v>
      </c>
      <c r="AD5161" s="4">
        <v>21</v>
      </c>
      <c r="AE5161" s="4">
        <v>105</v>
      </c>
      <c r="AF5161" s="4">
        <v>0</v>
      </c>
      <c r="AG5161" s="4">
        <v>8</v>
      </c>
      <c r="AH5161" s="4">
        <v>19</v>
      </c>
      <c r="AI5161" s="4">
        <v>70</v>
      </c>
      <c r="AJ5161" s="4">
        <v>5</v>
      </c>
      <c r="AK5161" s="4">
        <v>21</v>
      </c>
      <c r="AL5161" s="4">
        <v>9</v>
      </c>
      <c r="AM5161" s="4">
        <v>36</v>
      </c>
      <c r="AN5161" s="4">
        <v>0</v>
      </c>
      <c r="AO5161" s="4">
        <v>0</v>
      </c>
      <c r="AP5161" s="4">
        <v>6</v>
      </c>
      <c r="AQ5161" s="4">
        <v>42</v>
      </c>
      <c r="AR5161" s="3" t="s">
        <v>62</v>
      </c>
      <c r="AS5161" s="3" t="s">
        <v>62</v>
      </c>
      <c r="AT5161" s="3" t="s">
        <v>62</v>
      </c>
      <c r="AV5161" s="6" t="str">
        <f>HYPERLINK("http://mcgill.on.worldcat.org/oclc/697260701","Catalog Record")</f>
        <v>Catalog Record</v>
      </c>
      <c r="AW5161" s="6" t="str">
        <f>HYPERLINK("http://www.worldcat.org/oclc/697260701","WorldCat Record")</f>
        <v>WorldCat Record</v>
      </c>
      <c r="AX5161" s="3" t="s">
        <v>49486</v>
      </c>
      <c r="AY5161" s="3" t="s">
        <v>49487</v>
      </c>
      <c r="AZ5161" s="3" t="s">
        <v>49488</v>
      </c>
      <c r="BA5161" s="3" t="s">
        <v>49488</v>
      </c>
      <c r="BB5161" s="3" t="s">
        <v>49489</v>
      </c>
      <c r="BC5161" s="3" t="s">
        <v>102</v>
      </c>
      <c r="BD5161" s="3" t="s">
        <v>68</v>
      </c>
      <c r="BE5161" s="3" t="s">
        <v>49490</v>
      </c>
      <c r="BF5161" s="3" t="s">
        <v>49489</v>
      </c>
      <c r="BG5161" s="3" t="s">
        <v>49491</v>
      </c>
    </row>
    <row r="5162" spans="1:59" ht="58" x14ac:dyDescent="0.35">
      <c r="A5162" s="2" t="s">
        <v>89</v>
      </c>
      <c r="B5162" s="2" t="s">
        <v>90</v>
      </c>
      <c r="C5162" s="2" t="s">
        <v>49492</v>
      </c>
      <c r="D5162" s="2" t="s">
        <v>49493</v>
      </c>
      <c r="E5162" s="2" t="s">
        <v>49494</v>
      </c>
      <c r="G5162" s="3" t="s">
        <v>62</v>
      </c>
      <c r="I5162" s="3" t="s">
        <v>61</v>
      </c>
      <c r="J5162" s="3" t="s">
        <v>62</v>
      </c>
      <c r="K5162" s="3" t="s">
        <v>63</v>
      </c>
      <c r="L5162" s="2" t="s">
        <v>49495</v>
      </c>
      <c r="M5162" s="2" t="s">
        <v>49496</v>
      </c>
      <c r="N5162" s="3" t="s">
        <v>539</v>
      </c>
      <c r="P5162" s="3" t="s">
        <v>64</v>
      </c>
      <c r="R5162" s="3" t="s">
        <v>46535</v>
      </c>
      <c r="S5162" s="4">
        <v>11</v>
      </c>
      <c r="T5162" s="4">
        <v>12</v>
      </c>
      <c r="U5162" s="5" t="s">
        <v>49497</v>
      </c>
      <c r="V5162" s="5" t="s">
        <v>2529</v>
      </c>
      <c r="W5162" s="5" t="s">
        <v>67</v>
      </c>
      <c r="X5162" s="5" t="s">
        <v>67</v>
      </c>
      <c r="Y5162" s="4">
        <v>286</v>
      </c>
      <c r="Z5162" s="4">
        <v>17</v>
      </c>
      <c r="AA5162" s="4">
        <v>23</v>
      </c>
      <c r="AB5162" s="4">
        <v>1</v>
      </c>
      <c r="AC5162" s="4">
        <v>5</v>
      </c>
      <c r="AD5162" s="4">
        <v>89</v>
      </c>
      <c r="AE5162" s="4">
        <v>93</v>
      </c>
      <c r="AF5162" s="4">
        <v>0</v>
      </c>
      <c r="AG5162" s="4">
        <v>1</v>
      </c>
      <c r="AH5162" s="4">
        <v>78</v>
      </c>
      <c r="AI5162" s="4">
        <v>80</v>
      </c>
      <c r="AJ5162" s="4">
        <v>11</v>
      </c>
      <c r="AK5162" s="4">
        <v>14</v>
      </c>
      <c r="AL5162" s="4">
        <v>49</v>
      </c>
      <c r="AM5162" s="4">
        <v>49</v>
      </c>
      <c r="AN5162" s="4">
        <v>0</v>
      </c>
      <c r="AO5162" s="4">
        <v>0</v>
      </c>
      <c r="AP5162" s="4">
        <v>15</v>
      </c>
      <c r="AQ5162" s="4">
        <v>18</v>
      </c>
      <c r="AR5162" s="3" t="s">
        <v>62</v>
      </c>
      <c r="AS5162" s="3" t="s">
        <v>62</v>
      </c>
      <c r="AT5162" s="3" t="s">
        <v>62</v>
      </c>
      <c r="AV5162" s="6" t="str">
        <f>HYPERLINK("http://mcgill.on.worldcat.org/oclc/37705338","Catalog Record")</f>
        <v>Catalog Record</v>
      </c>
      <c r="AW5162" s="6" t="str">
        <f>HYPERLINK("http://www.worldcat.org/oclc/37705338","WorldCat Record")</f>
        <v>WorldCat Record</v>
      </c>
      <c r="AX5162" s="3" t="s">
        <v>49498</v>
      </c>
      <c r="AY5162" s="3" t="s">
        <v>49499</v>
      </c>
      <c r="AZ5162" s="3" t="s">
        <v>49500</v>
      </c>
      <c r="BA5162" s="3" t="s">
        <v>49500</v>
      </c>
      <c r="BB5162" s="3" t="s">
        <v>49501</v>
      </c>
      <c r="BC5162" s="3" t="s">
        <v>102</v>
      </c>
      <c r="BD5162" s="3" t="s">
        <v>68</v>
      </c>
      <c r="BE5162" s="3" t="s">
        <v>49502</v>
      </c>
      <c r="BF5162" s="3" t="s">
        <v>49501</v>
      </c>
      <c r="BG5162" s="3" t="s">
        <v>49503</v>
      </c>
    </row>
    <row r="5163" spans="1:59" ht="58" x14ac:dyDescent="0.35">
      <c r="A5163" s="2" t="s">
        <v>89</v>
      </c>
      <c r="B5163" s="2" t="s">
        <v>90</v>
      </c>
      <c r="C5163" s="2" t="s">
        <v>49504</v>
      </c>
      <c r="D5163" s="2" t="s">
        <v>49505</v>
      </c>
      <c r="E5163" s="2" t="s">
        <v>49506</v>
      </c>
      <c r="G5163" s="3" t="s">
        <v>62</v>
      </c>
      <c r="I5163" s="3" t="s">
        <v>62</v>
      </c>
      <c r="J5163" s="3" t="s">
        <v>62</v>
      </c>
      <c r="K5163" s="3" t="s">
        <v>63</v>
      </c>
      <c r="M5163" s="2" t="s">
        <v>49507</v>
      </c>
      <c r="N5163" s="3" t="s">
        <v>2975</v>
      </c>
      <c r="P5163" s="3" t="s">
        <v>64</v>
      </c>
      <c r="R5163" s="3" t="s">
        <v>46535</v>
      </c>
      <c r="S5163" s="4">
        <v>14</v>
      </c>
      <c r="T5163" s="4">
        <v>14</v>
      </c>
      <c r="U5163" s="5" t="s">
        <v>7495</v>
      </c>
      <c r="V5163" s="5" t="s">
        <v>7495</v>
      </c>
      <c r="W5163" s="5" t="s">
        <v>67</v>
      </c>
      <c r="X5163" s="5" t="s">
        <v>67</v>
      </c>
      <c r="Y5163" s="4">
        <v>167</v>
      </c>
      <c r="Z5163" s="4">
        <v>22</v>
      </c>
      <c r="AA5163" s="4">
        <v>26</v>
      </c>
      <c r="AB5163" s="4">
        <v>1</v>
      </c>
      <c r="AC5163" s="4">
        <v>5</v>
      </c>
      <c r="AD5163" s="4">
        <v>75</v>
      </c>
      <c r="AE5163" s="4">
        <v>77</v>
      </c>
      <c r="AF5163" s="4">
        <v>0</v>
      </c>
      <c r="AG5163" s="4">
        <v>1</v>
      </c>
      <c r="AH5163" s="4">
        <v>63</v>
      </c>
      <c r="AI5163" s="4">
        <v>64</v>
      </c>
      <c r="AJ5163" s="4">
        <v>15</v>
      </c>
      <c r="AK5163" s="4">
        <v>16</v>
      </c>
      <c r="AL5163" s="4">
        <v>35</v>
      </c>
      <c r="AM5163" s="4">
        <v>35</v>
      </c>
      <c r="AN5163" s="4">
        <v>0</v>
      </c>
      <c r="AO5163" s="4">
        <v>0</v>
      </c>
      <c r="AP5163" s="4">
        <v>18</v>
      </c>
      <c r="AQ5163" s="4">
        <v>18</v>
      </c>
      <c r="AR5163" s="3" t="s">
        <v>62</v>
      </c>
      <c r="AS5163" s="3" t="s">
        <v>62</v>
      </c>
      <c r="AT5163" s="3" t="s">
        <v>62</v>
      </c>
      <c r="AV5163" s="6" t="str">
        <f>HYPERLINK("http://mcgill.on.worldcat.org/oclc/44678485","Catalog Record")</f>
        <v>Catalog Record</v>
      </c>
      <c r="AW5163" s="6" t="str">
        <f>HYPERLINK("http://www.worldcat.org/oclc/44678485","WorldCat Record")</f>
        <v>WorldCat Record</v>
      </c>
      <c r="AX5163" s="3" t="s">
        <v>49508</v>
      </c>
      <c r="AY5163" s="3" t="s">
        <v>49509</v>
      </c>
      <c r="AZ5163" s="3" t="s">
        <v>49510</v>
      </c>
      <c r="BA5163" s="3" t="s">
        <v>49510</v>
      </c>
      <c r="BB5163" s="3" t="s">
        <v>49511</v>
      </c>
      <c r="BC5163" s="3" t="s">
        <v>102</v>
      </c>
      <c r="BD5163" s="3" t="s">
        <v>68</v>
      </c>
      <c r="BE5163" s="3" t="s">
        <v>49512</v>
      </c>
      <c r="BF5163" s="3" t="s">
        <v>49511</v>
      </c>
      <c r="BG5163" s="3" t="s">
        <v>49513</v>
      </c>
    </row>
    <row r="5164" spans="1:59" ht="58" x14ac:dyDescent="0.35">
      <c r="A5164" s="2" t="s">
        <v>89</v>
      </c>
      <c r="B5164" s="2" t="s">
        <v>90</v>
      </c>
      <c r="C5164" s="2" t="s">
        <v>49514</v>
      </c>
      <c r="D5164" s="2" t="s">
        <v>49515</v>
      </c>
      <c r="E5164" s="2" t="s">
        <v>49516</v>
      </c>
      <c r="G5164" s="3" t="s">
        <v>62</v>
      </c>
      <c r="I5164" s="3" t="s">
        <v>62</v>
      </c>
      <c r="J5164" s="3" t="s">
        <v>62</v>
      </c>
      <c r="K5164" s="3" t="s">
        <v>63</v>
      </c>
      <c r="L5164" s="2" t="s">
        <v>49517</v>
      </c>
      <c r="M5164" s="2" t="s">
        <v>40138</v>
      </c>
      <c r="N5164" s="3" t="s">
        <v>509</v>
      </c>
      <c r="P5164" s="3" t="s">
        <v>64</v>
      </c>
      <c r="R5164" s="3" t="s">
        <v>46535</v>
      </c>
      <c r="S5164" s="4">
        <v>16</v>
      </c>
      <c r="T5164" s="4">
        <v>16</v>
      </c>
      <c r="U5164" s="5" t="s">
        <v>5821</v>
      </c>
      <c r="V5164" s="5" t="s">
        <v>5821</v>
      </c>
      <c r="W5164" s="5" t="s">
        <v>67</v>
      </c>
      <c r="X5164" s="5" t="s">
        <v>67</v>
      </c>
      <c r="Y5164" s="4">
        <v>426</v>
      </c>
      <c r="Z5164" s="4">
        <v>20</v>
      </c>
      <c r="AA5164" s="4">
        <v>20</v>
      </c>
      <c r="AB5164" s="4">
        <v>1</v>
      </c>
      <c r="AC5164" s="4">
        <v>1</v>
      </c>
      <c r="AD5164" s="4">
        <v>99</v>
      </c>
      <c r="AE5164" s="4">
        <v>100</v>
      </c>
      <c r="AF5164" s="4">
        <v>0</v>
      </c>
      <c r="AG5164" s="4">
        <v>0</v>
      </c>
      <c r="AH5164" s="4">
        <v>87</v>
      </c>
      <c r="AI5164" s="4">
        <v>88</v>
      </c>
      <c r="AJ5164" s="4">
        <v>12</v>
      </c>
      <c r="AK5164" s="4">
        <v>12</v>
      </c>
      <c r="AL5164" s="4">
        <v>52</v>
      </c>
      <c r="AM5164" s="4">
        <v>53</v>
      </c>
      <c r="AN5164" s="4">
        <v>0</v>
      </c>
      <c r="AO5164" s="4">
        <v>0</v>
      </c>
      <c r="AP5164" s="4">
        <v>14</v>
      </c>
      <c r="AQ5164" s="4">
        <v>14</v>
      </c>
      <c r="AR5164" s="3" t="s">
        <v>62</v>
      </c>
      <c r="AS5164" s="3" t="s">
        <v>62</v>
      </c>
      <c r="AT5164" s="3" t="s">
        <v>61</v>
      </c>
      <c r="AU5164" s="6" t="str">
        <f>HYPERLINK("http://catalog.hathitrust.org/Record/002907021","HathiTrust Record")</f>
        <v>HathiTrust Record</v>
      </c>
      <c r="AV5164" s="6" t="str">
        <f>HYPERLINK("http://mcgill.on.worldcat.org/oclc/30624551","Catalog Record")</f>
        <v>Catalog Record</v>
      </c>
      <c r="AW5164" s="6" t="str">
        <f>HYPERLINK("http://www.worldcat.org/oclc/30624551","WorldCat Record")</f>
        <v>WorldCat Record</v>
      </c>
      <c r="AX5164" s="3" t="s">
        <v>49518</v>
      </c>
      <c r="AY5164" s="3" t="s">
        <v>49519</v>
      </c>
      <c r="AZ5164" s="3" t="s">
        <v>49520</v>
      </c>
      <c r="BA5164" s="3" t="s">
        <v>49520</v>
      </c>
      <c r="BB5164" s="3" t="s">
        <v>49521</v>
      </c>
      <c r="BC5164" s="3" t="s">
        <v>102</v>
      </c>
      <c r="BD5164" s="3" t="s">
        <v>68</v>
      </c>
      <c r="BE5164" s="3" t="s">
        <v>49522</v>
      </c>
      <c r="BF5164" s="3" t="s">
        <v>49521</v>
      </c>
      <c r="BG5164" s="3" t="s">
        <v>49523</v>
      </c>
    </row>
    <row r="5165" spans="1:59" ht="58" x14ac:dyDescent="0.35">
      <c r="A5165" s="2" t="s">
        <v>89</v>
      </c>
      <c r="B5165" s="2" t="s">
        <v>90</v>
      </c>
      <c r="C5165" s="2" t="s">
        <v>49524</v>
      </c>
      <c r="D5165" s="2" t="s">
        <v>49525</v>
      </c>
      <c r="E5165" s="2" t="s">
        <v>49526</v>
      </c>
      <c r="G5165" s="3" t="s">
        <v>62</v>
      </c>
      <c r="I5165" s="3" t="s">
        <v>62</v>
      </c>
      <c r="J5165" s="3" t="s">
        <v>62</v>
      </c>
      <c r="K5165" s="3" t="s">
        <v>63</v>
      </c>
      <c r="L5165" s="2" t="s">
        <v>49527</v>
      </c>
      <c r="M5165" s="2" t="s">
        <v>49528</v>
      </c>
      <c r="N5165" s="3" t="s">
        <v>1722</v>
      </c>
      <c r="O5165" s="2" t="s">
        <v>49529</v>
      </c>
      <c r="P5165" s="3" t="s">
        <v>64</v>
      </c>
      <c r="R5165" s="3" t="s">
        <v>46535</v>
      </c>
      <c r="S5165" s="4">
        <v>10</v>
      </c>
      <c r="T5165" s="4">
        <v>10</v>
      </c>
      <c r="U5165" s="5" t="s">
        <v>17575</v>
      </c>
      <c r="V5165" s="5" t="s">
        <v>17575</v>
      </c>
      <c r="W5165" s="5" t="s">
        <v>67</v>
      </c>
      <c r="X5165" s="5" t="s">
        <v>67</v>
      </c>
      <c r="Y5165" s="4">
        <v>227</v>
      </c>
      <c r="Z5165" s="4">
        <v>4</v>
      </c>
      <c r="AA5165" s="4">
        <v>56</v>
      </c>
      <c r="AB5165" s="4">
        <v>1</v>
      </c>
      <c r="AC5165" s="4">
        <v>8</v>
      </c>
      <c r="AD5165" s="4">
        <v>13</v>
      </c>
      <c r="AE5165" s="4">
        <v>63</v>
      </c>
      <c r="AF5165" s="4">
        <v>0</v>
      </c>
      <c r="AG5165" s="4">
        <v>3</v>
      </c>
      <c r="AH5165" s="4">
        <v>11</v>
      </c>
      <c r="AI5165" s="4">
        <v>51</v>
      </c>
      <c r="AJ5165" s="4">
        <v>0</v>
      </c>
      <c r="AK5165" s="4">
        <v>11</v>
      </c>
      <c r="AL5165" s="4">
        <v>10</v>
      </c>
      <c r="AM5165" s="4">
        <v>31</v>
      </c>
      <c r="AN5165" s="4">
        <v>0</v>
      </c>
      <c r="AO5165" s="4">
        <v>0</v>
      </c>
      <c r="AP5165" s="4">
        <v>1</v>
      </c>
      <c r="AQ5165" s="4">
        <v>16</v>
      </c>
      <c r="AR5165" s="3" t="s">
        <v>62</v>
      </c>
      <c r="AS5165" s="3" t="s">
        <v>62</v>
      </c>
      <c r="AT5165" s="3" t="s">
        <v>62</v>
      </c>
      <c r="AV5165" s="6" t="str">
        <f>HYPERLINK("http://mcgill.on.worldcat.org/oclc/182721424","Catalog Record")</f>
        <v>Catalog Record</v>
      </c>
      <c r="AW5165" s="6" t="str">
        <f>HYPERLINK("http://www.worldcat.org/oclc/182721424","WorldCat Record")</f>
        <v>WorldCat Record</v>
      </c>
      <c r="AX5165" s="3" t="s">
        <v>49530</v>
      </c>
      <c r="AY5165" s="3" t="s">
        <v>49531</v>
      </c>
      <c r="AZ5165" s="3" t="s">
        <v>49532</v>
      </c>
      <c r="BA5165" s="3" t="s">
        <v>49532</v>
      </c>
      <c r="BB5165" s="3" t="s">
        <v>49533</v>
      </c>
      <c r="BC5165" s="3" t="s">
        <v>102</v>
      </c>
      <c r="BD5165" s="3" t="s">
        <v>68</v>
      </c>
      <c r="BE5165" s="3" t="s">
        <v>49534</v>
      </c>
      <c r="BF5165" s="3" t="s">
        <v>49533</v>
      </c>
      <c r="BG5165" s="3" t="s">
        <v>49535</v>
      </c>
    </row>
    <row r="5166" spans="1:59" ht="58" x14ac:dyDescent="0.35">
      <c r="A5166" s="2" t="s">
        <v>59</v>
      </c>
      <c r="B5166" s="2" t="s">
        <v>60</v>
      </c>
      <c r="C5166" s="2" t="s">
        <v>49536</v>
      </c>
      <c r="D5166" s="2" t="s">
        <v>49537</v>
      </c>
      <c r="E5166" s="2" t="s">
        <v>49538</v>
      </c>
      <c r="G5166" s="3" t="s">
        <v>62</v>
      </c>
      <c r="I5166" s="3" t="s">
        <v>62</v>
      </c>
      <c r="J5166" s="3" t="s">
        <v>61</v>
      </c>
      <c r="K5166" s="3" t="s">
        <v>63</v>
      </c>
      <c r="L5166" s="2" t="s">
        <v>49539</v>
      </c>
      <c r="M5166" s="2" t="s">
        <v>49540</v>
      </c>
      <c r="N5166" s="3" t="s">
        <v>1639</v>
      </c>
      <c r="P5166" s="3" t="s">
        <v>64</v>
      </c>
      <c r="Q5166" s="2" t="s">
        <v>49541</v>
      </c>
      <c r="R5166" s="3" t="s">
        <v>46535</v>
      </c>
      <c r="S5166" s="4">
        <v>4</v>
      </c>
      <c r="T5166" s="4">
        <v>4</v>
      </c>
      <c r="U5166" s="5" t="s">
        <v>49542</v>
      </c>
      <c r="V5166" s="5" t="s">
        <v>49542</v>
      </c>
      <c r="W5166" s="5" t="s">
        <v>67</v>
      </c>
      <c r="X5166" s="5" t="s">
        <v>67</v>
      </c>
      <c r="Y5166" s="4">
        <v>289</v>
      </c>
      <c r="Z5166" s="4">
        <v>17</v>
      </c>
      <c r="AA5166" s="4">
        <v>63</v>
      </c>
      <c r="AB5166" s="4">
        <v>3</v>
      </c>
      <c r="AC5166" s="4">
        <v>16</v>
      </c>
      <c r="AD5166" s="4">
        <v>82</v>
      </c>
      <c r="AE5166" s="4">
        <v>152</v>
      </c>
      <c r="AF5166" s="4">
        <v>1</v>
      </c>
      <c r="AG5166" s="4">
        <v>8</v>
      </c>
      <c r="AH5166" s="4">
        <v>69</v>
      </c>
      <c r="AI5166" s="4">
        <v>113</v>
      </c>
      <c r="AJ5166" s="4">
        <v>12</v>
      </c>
      <c r="AK5166" s="4">
        <v>27</v>
      </c>
      <c r="AL5166" s="4">
        <v>41</v>
      </c>
      <c r="AM5166" s="4">
        <v>62</v>
      </c>
      <c r="AN5166" s="4">
        <v>0</v>
      </c>
      <c r="AO5166" s="4">
        <v>0</v>
      </c>
      <c r="AP5166" s="4">
        <v>15</v>
      </c>
      <c r="AQ5166" s="4">
        <v>45</v>
      </c>
      <c r="AR5166" s="3" t="s">
        <v>62</v>
      </c>
      <c r="AS5166" s="3" t="s">
        <v>62</v>
      </c>
      <c r="AT5166" s="3" t="s">
        <v>61</v>
      </c>
      <c r="AU5166" s="6" t="str">
        <f>HYPERLINK("http://catalog.hathitrust.org/Record/001554747","HathiTrust Record")</f>
        <v>HathiTrust Record</v>
      </c>
      <c r="AV5166" s="6" t="str">
        <f>HYPERLINK("http://mcgill.on.worldcat.org/oclc/109291","Catalog Record")</f>
        <v>Catalog Record</v>
      </c>
      <c r="AW5166" s="6" t="str">
        <f>HYPERLINK("http://www.worldcat.org/oclc/109291","WorldCat Record")</f>
        <v>WorldCat Record</v>
      </c>
      <c r="AX5166" s="3" t="s">
        <v>49543</v>
      </c>
      <c r="AY5166" s="3" t="s">
        <v>49544</v>
      </c>
      <c r="AZ5166" s="3" t="s">
        <v>49545</v>
      </c>
      <c r="BA5166" s="3" t="s">
        <v>49545</v>
      </c>
      <c r="BB5166" s="3" t="s">
        <v>49546</v>
      </c>
      <c r="BC5166" s="3" t="s">
        <v>102</v>
      </c>
      <c r="BD5166" s="3" t="s">
        <v>68</v>
      </c>
      <c r="BE5166" s="3" t="s">
        <v>49547</v>
      </c>
      <c r="BF5166" s="3" t="s">
        <v>49546</v>
      </c>
      <c r="BG5166" s="3" t="s">
        <v>49548</v>
      </c>
    </row>
    <row r="5167" spans="1:59" ht="58" x14ac:dyDescent="0.35">
      <c r="A5167" s="2" t="s">
        <v>59</v>
      </c>
      <c r="B5167" s="2" t="s">
        <v>60</v>
      </c>
      <c r="C5167" s="2" t="s">
        <v>49549</v>
      </c>
      <c r="D5167" s="2" t="s">
        <v>49550</v>
      </c>
      <c r="E5167" s="2" t="s">
        <v>49551</v>
      </c>
      <c r="G5167" s="3" t="s">
        <v>62</v>
      </c>
      <c r="I5167" s="3" t="s">
        <v>61</v>
      </c>
      <c r="J5167" s="3" t="s">
        <v>61</v>
      </c>
      <c r="K5167" s="3" t="s">
        <v>63</v>
      </c>
      <c r="L5167" s="2" t="s">
        <v>49539</v>
      </c>
      <c r="M5167" s="2" t="s">
        <v>49552</v>
      </c>
      <c r="N5167" s="3" t="s">
        <v>3062</v>
      </c>
      <c r="O5167" s="2" t="s">
        <v>2458</v>
      </c>
      <c r="P5167" s="3" t="s">
        <v>64</v>
      </c>
      <c r="R5167" s="3" t="s">
        <v>46535</v>
      </c>
      <c r="S5167" s="4">
        <v>20</v>
      </c>
      <c r="T5167" s="4">
        <v>55</v>
      </c>
      <c r="U5167" s="5" t="s">
        <v>49542</v>
      </c>
      <c r="V5167" s="5" t="s">
        <v>49542</v>
      </c>
      <c r="W5167" s="5" t="s">
        <v>67</v>
      </c>
      <c r="X5167" s="5" t="s">
        <v>67</v>
      </c>
      <c r="Y5167" s="4">
        <v>329</v>
      </c>
      <c r="Z5167" s="4">
        <v>22</v>
      </c>
      <c r="AA5167" s="4">
        <v>63</v>
      </c>
      <c r="AB5167" s="4">
        <v>1</v>
      </c>
      <c r="AC5167" s="4">
        <v>16</v>
      </c>
      <c r="AD5167" s="4">
        <v>98</v>
      </c>
      <c r="AE5167" s="4">
        <v>152</v>
      </c>
      <c r="AF5167" s="4">
        <v>0</v>
      </c>
      <c r="AG5167" s="4">
        <v>8</v>
      </c>
      <c r="AH5167" s="4">
        <v>86</v>
      </c>
      <c r="AI5167" s="4">
        <v>113</v>
      </c>
      <c r="AJ5167" s="4">
        <v>16</v>
      </c>
      <c r="AK5167" s="4">
        <v>27</v>
      </c>
      <c r="AL5167" s="4">
        <v>53</v>
      </c>
      <c r="AM5167" s="4">
        <v>62</v>
      </c>
      <c r="AN5167" s="4">
        <v>0</v>
      </c>
      <c r="AO5167" s="4">
        <v>0</v>
      </c>
      <c r="AP5167" s="4">
        <v>17</v>
      </c>
      <c r="AQ5167" s="4">
        <v>45</v>
      </c>
      <c r="AR5167" s="3" t="s">
        <v>62</v>
      </c>
      <c r="AS5167" s="3" t="s">
        <v>62</v>
      </c>
      <c r="AT5167" s="3" t="s">
        <v>61</v>
      </c>
      <c r="AU5167" s="6" t="str">
        <f>HYPERLINK("http://catalog.hathitrust.org/Record/002463691","HathiTrust Record")</f>
        <v>HathiTrust Record</v>
      </c>
      <c r="AV5167" s="6" t="str">
        <f>HYPERLINK("http://mcgill.on.worldcat.org/oclc/23731744","Catalog Record")</f>
        <v>Catalog Record</v>
      </c>
      <c r="AW5167" s="6" t="str">
        <f>HYPERLINK("http://www.worldcat.org/oclc/23731744","WorldCat Record")</f>
        <v>WorldCat Record</v>
      </c>
      <c r="AX5167" s="3" t="s">
        <v>49543</v>
      </c>
      <c r="AY5167" s="3" t="s">
        <v>49553</v>
      </c>
      <c r="AZ5167" s="3" t="s">
        <v>49554</v>
      </c>
      <c r="BA5167" s="3" t="s">
        <v>49554</v>
      </c>
      <c r="BB5167" s="3" t="s">
        <v>49555</v>
      </c>
      <c r="BC5167" s="3" t="s">
        <v>102</v>
      </c>
      <c r="BD5167" s="3" t="s">
        <v>68</v>
      </c>
      <c r="BE5167" s="3" t="s">
        <v>49556</v>
      </c>
      <c r="BF5167" s="3" t="s">
        <v>49555</v>
      </c>
      <c r="BG5167" s="3" t="s">
        <v>49557</v>
      </c>
    </row>
    <row r="5168" spans="1:59" ht="58" x14ac:dyDescent="0.35">
      <c r="A5168" s="2" t="s">
        <v>89</v>
      </c>
      <c r="B5168" s="2" t="s">
        <v>90</v>
      </c>
      <c r="C5168" s="2" t="s">
        <v>49558</v>
      </c>
      <c r="D5168" s="2" t="s">
        <v>49559</v>
      </c>
      <c r="E5168" s="2" t="s">
        <v>49560</v>
      </c>
      <c r="G5168" s="3" t="s">
        <v>62</v>
      </c>
      <c r="I5168" s="3" t="s">
        <v>62</v>
      </c>
      <c r="J5168" s="3" t="s">
        <v>62</v>
      </c>
      <c r="K5168" s="3" t="s">
        <v>63</v>
      </c>
      <c r="M5168" s="2" t="s">
        <v>49561</v>
      </c>
      <c r="N5168" s="3" t="s">
        <v>655</v>
      </c>
      <c r="P5168" s="3" t="s">
        <v>64</v>
      </c>
      <c r="Q5168" s="2" t="s">
        <v>49562</v>
      </c>
      <c r="R5168" s="3" t="s">
        <v>46535</v>
      </c>
      <c r="S5168" s="4">
        <v>8</v>
      </c>
      <c r="T5168" s="4">
        <v>8</v>
      </c>
      <c r="U5168" s="5" t="s">
        <v>4501</v>
      </c>
      <c r="V5168" s="5" t="s">
        <v>4501</v>
      </c>
      <c r="W5168" s="5" t="s">
        <v>67</v>
      </c>
      <c r="X5168" s="5" t="s">
        <v>67</v>
      </c>
      <c r="Y5168" s="4">
        <v>131</v>
      </c>
      <c r="Z5168" s="4">
        <v>11</v>
      </c>
      <c r="AA5168" s="4">
        <v>96</v>
      </c>
      <c r="AB5168" s="4">
        <v>1</v>
      </c>
      <c r="AC5168" s="4">
        <v>17</v>
      </c>
      <c r="AD5168" s="4">
        <v>51</v>
      </c>
      <c r="AE5168" s="4">
        <v>120</v>
      </c>
      <c r="AF5168" s="4">
        <v>0</v>
      </c>
      <c r="AG5168" s="4">
        <v>8</v>
      </c>
      <c r="AH5168" s="4">
        <v>45</v>
      </c>
      <c r="AI5168" s="4">
        <v>83</v>
      </c>
      <c r="AJ5168" s="4">
        <v>8</v>
      </c>
      <c r="AK5168" s="4">
        <v>22</v>
      </c>
      <c r="AL5168" s="4">
        <v>31</v>
      </c>
      <c r="AM5168" s="4">
        <v>47</v>
      </c>
      <c r="AN5168" s="4">
        <v>0</v>
      </c>
      <c r="AO5168" s="4">
        <v>0</v>
      </c>
      <c r="AP5168" s="4">
        <v>9</v>
      </c>
      <c r="AQ5168" s="4">
        <v>43</v>
      </c>
      <c r="AR5168" s="3" t="s">
        <v>62</v>
      </c>
      <c r="AS5168" s="3" t="s">
        <v>62</v>
      </c>
      <c r="AT5168" s="3" t="s">
        <v>62</v>
      </c>
      <c r="AV5168" s="6" t="str">
        <f>HYPERLINK("http://mcgill.on.worldcat.org/oclc/77572590","Catalog Record")</f>
        <v>Catalog Record</v>
      </c>
      <c r="AW5168" s="6" t="str">
        <f>HYPERLINK("http://www.worldcat.org/oclc/77572590","WorldCat Record")</f>
        <v>WorldCat Record</v>
      </c>
      <c r="AX5168" s="3" t="s">
        <v>49563</v>
      </c>
      <c r="AY5168" s="3" t="s">
        <v>49564</v>
      </c>
      <c r="AZ5168" s="3" t="s">
        <v>49565</v>
      </c>
      <c r="BA5168" s="3" t="s">
        <v>49565</v>
      </c>
      <c r="BB5168" s="3" t="s">
        <v>49566</v>
      </c>
      <c r="BC5168" s="3" t="s">
        <v>102</v>
      </c>
      <c r="BD5168" s="3" t="s">
        <v>68</v>
      </c>
      <c r="BE5168" s="3" t="s">
        <v>49567</v>
      </c>
      <c r="BF5168" s="3" t="s">
        <v>49566</v>
      </c>
      <c r="BG5168" s="3" t="s">
        <v>49568</v>
      </c>
    </row>
    <row r="5169" spans="1:59" ht="58" x14ac:dyDescent="0.35">
      <c r="A5169" s="2" t="s">
        <v>59</v>
      </c>
      <c r="B5169" s="2" t="s">
        <v>60</v>
      </c>
      <c r="C5169" s="2" t="s">
        <v>49569</v>
      </c>
      <c r="D5169" s="2" t="s">
        <v>49570</v>
      </c>
      <c r="E5169" s="2" t="s">
        <v>49571</v>
      </c>
      <c r="G5169" s="3" t="s">
        <v>62</v>
      </c>
      <c r="I5169" s="3" t="s">
        <v>62</v>
      </c>
      <c r="J5169" s="3" t="s">
        <v>62</v>
      </c>
      <c r="K5169" s="3" t="s">
        <v>63</v>
      </c>
      <c r="M5169" s="2" t="s">
        <v>40407</v>
      </c>
      <c r="N5169" s="3" t="s">
        <v>1905</v>
      </c>
      <c r="P5169" s="3" t="s">
        <v>64</v>
      </c>
      <c r="Q5169" s="2" t="s">
        <v>49572</v>
      </c>
      <c r="R5169" s="3" t="s">
        <v>46535</v>
      </c>
      <c r="S5169" s="4">
        <v>10</v>
      </c>
      <c r="T5169" s="4">
        <v>10</v>
      </c>
      <c r="U5169" s="5" t="s">
        <v>32893</v>
      </c>
      <c r="V5169" s="5" t="s">
        <v>32893</v>
      </c>
      <c r="W5169" s="5" t="s">
        <v>67</v>
      </c>
      <c r="X5169" s="5" t="s">
        <v>67</v>
      </c>
      <c r="Y5169" s="4">
        <v>246</v>
      </c>
      <c r="Z5169" s="4">
        <v>12</v>
      </c>
      <c r="AA5169" s="4">
        <v>13</v>
      </c>
      <c r="AB5169" s="4">
        <v>1</v>
      </c>
      <c r="AC5169" s="4">
        <v>2</v>
      </c>
      <c r="AD5169" s="4">
        <v>76</v>
      </c>
      <c r="AE5169" s="4">
        <v>77</v>
      </c>
      <c r="AF5169" s="4">
        <v>0</v>
      </c>
      <c r="AG5169" s="4">
        <v>1</v>
      </c>
      <c r="AH5169" s="4">
        <v>69</v>
      </c>
      <c r="AI5169" s="4">
        <v>69</v>
      </c>
      <c r="AJ5169" s="4">
        <v>9</v>
      </c>
      <c r="AK5169" s="4">
        <v>10</v>
      </c>
      <c r="AL5169" s="4">
        <v>46</v>
      </c>
      <c r="AM5169" s="4">
        <v>46</v>
      </c>
      <c r="AN5169" s="4">
        <v>0</v>
      </c>
      <c r="AO5169" s="4">
        <v>0</v>
      </c>
      <c r="AP5169" s="4">
        <v>8</v>
      </c>
      <c r="AQ5169" s="4">
        <v>8</v>
      </c>
      <c r="AR5169" s="3" t="s">
        <v>62</v>
      </c>
      <c r="AS5169" s="3" t="s">
        <v>62</v>
      </c>
      <c r="AT5169" s="3" t="s">
        <v>61</v>
      </c>
      <c r="AU5169" s="6" t="str">
        <f>HYPERLINK("http://catalog.hathitrust.org/Record/000833229","HathiTrust Record")</f>
        <v>HathiTrust Record</v>
      </c>
      <c r="AV5169" s="6" t="str">
        <f>HYPERLINK("http://mcgill.on.worldcat.org/oclc/14358847","Catalog Record")</f>
        <v>Catalog Record</v>
      </c>
      <c r="AW5169" s="6" t="str">
        <f>HYPERLINK("http://www.worldcat.org/oclc/14358847","WorldCat Record")</f>
        <v>WorldCat Record</v>
      </c>
      <c r="AX5169" s="3" t="s">
        <v>49573</v>
      </c>
      <c r="AY5169" s="3" t="s">
        <v>49574</v>
      </c>
      <c r="AZ5169" s="3" t="s">
        <v>49575</v>
      </c>
      <c r="BA5169" s="3" t="s">
        <v>49575</v>
      </c>
      <c r="BB5169" s="3" t="s">
        <v>49576</v>
      </c>
      <c r="BC5169" s="3" t="s">
        <v>102</v>
      </c>
      <c r="BD5169" s="3" t="s">
        <v>6923</v>
      </c>
      <c r="BE5169" s="3" t="s">
        <v>49577</v>
      </c>
      <c r="BF5169" s="3" t="s">
        <v>49576</v>
      </c>
      <c r="BG5169" s="3" t="s">
        <v>49578</v>
      </c>
    </row>
    <row r="5170" spans="1:59" ht="58" x14ac:dyDescent="0.35">
      <c r="A5170" s="2" t="s">
        <v>89</v>
      </c>
      <c r="B5170" s="2" t="s">
        <v>90</v>
      </c>
      <c r="C5170" s="2" t="s">
        <v>49579</v>
      </c>
      <c r="D5170" s="2" t="s">
        <v>49580</v>
      </c>
      <c r="E5170" s="2" t="s">
        <v>49581</v>
      </c>
      <c r="G5170" s="3" t="s">
        <v>62</v>
      </c>
      <c r="I5170" s="3" t="s">
        <v>62</v>
      </c>
      <c r="J5170" s="3" t="s">
        <v>62</v>
      </c>
      <c r="K5170" s="3" t="s">
        <v>63</v>
      </c>
      <c r="M5170" s="2" t="s">
        <v>49582</v>
      </c>
      <c r="N5170" s="3" t="s">
        <v>2136</v>
      </c>
      <c r="P5170" s="3" t="s">
        <v>64</v>
      </c>
      <c r="R5170" s="3" t="s">
        <v>46535</v>
      </c>
      <c r="S5170" s="4">
        <v>4</v>
      </c>
      <c r="T5170" s="4">
        <v>4</v>
      </c>
      <c r="U5170" s="5" t="s">
        <v>32111</v>
      </c>
      <c r="V5170" s="5" t="s">
        <v>32111</v>
      </c>
      <c r="W5170" s="5" t="s">
        <v>67</v>
      </c>
      <c r="X5170" s="5" t="s">
        <v>67</v>
      </c>
      <c r="Y5170" s="4">
        <v>108</v>
      </c>
      <c r="Z5170" s="4">
        <v>14</v>
      </c>
      <c r="AA5170" s="4">
        <v>99</v>
      </c>
      <c r="AB5170" s="4">
        <v>2</v>
      </c>
      <c r="AC5170" s="4">
        <v>18</v>
      </c>
      <c r="AD5170" s="4">
        <v>57</v>
      </c>
      <c r="AE5170" s="4">
        <v>120</v>
      </c>
      <c r="AF5170" s="4">
        <v>0</v>
      </c>
      <c r="AG5170" s="4">
        <v>8</v>
      </c>
      <c r="AH5170" s="4">
        <v>48</v>
      </c>
      <c r="AI5170" s="4">
        <v>82</v>
      </c>
      <c r="AJ5170" s="4">
        <v>7</v>
      </c>
      <c r="AK5170" s="4">
        <v>21</v>
      </c>
      <c r="AL5170" s="4">
        <v>33</v>
      </c>
      <c r="AM5170" s="4">
        <v>44</v>
      </c>
      <c r="AN5170" s="4">
        <v>0</v>
      </c>
      <c r="AO5170" s="4">
        <v>0</v>
      </c>
      <c r="AP5170" s="4">
        <v>9</v>
      </c>
      <c r="AQ5170" s="4">
        <v>43</v>
      </c>
      <c r="AR5170" s="3" t="s">
        <v>62</v>
      </c>
      <c r="AS5170" s="3" t="s">
        <v>62</v>
      </c>
      <c r="AT5170" s="3" t="s">
        <v>62</v>
      </c>
      <c r="AV5170" s="6" t="str">
        <f>HYPERLINK("http://mcgill.on.worldcat.org/oclc/61130877","Catalog Record")</f>
        <v>Catalog Record</v>
      </c>
      <c r="AW5170" s="6" t="str">
        <f>HYPERLINK("http://www.worldcat.org/oclc/61130877","WorldCat Record")</f>
        <v>WorldCat Record</v>
      </c>
      <c r="AX5170" s="3" t="s">
        <v>49583</v>
      </c>
      <c r="AY5170" s="3" t="s">
        <v>49584</v>
      </c>
      <c r="AZ5170" s="3" t="s">
        <v>49585</v>
      </c>
      <c r="BA5170" s="3" t="s">
        <v>49585</v>
      </c>
      <c r="BB5170" s="3" t="s">
        <v>49586</v>
      </c>
      <c r="BC5170" s="3" t="s">
        <v>102</v>
      </c>
      <c r="BD5170" s="3" t="s">
        <v>68</v>
      </c>
      <c r="BE5170" s="3" t="s">
        <v>49587</v>
      </c>
      <c r="BF5170" s="3" t="s">
        <v>49586</v>
      </c>
      <c r="BG5170" s="3" t="s">
        <v>49588</v>
      </c>
    </row>
    <row r="5171" spans="1:59" ht="58" x14ac:dyDescent="0.35">
      <c r="A5171" s="2" t="s">
        <v>59</v>
      </c>
      <c r="B5171" s="2" t="s">
        <v>60</v>
      </c>
      <c r="C5171" s="2" t="s">
        <v>49589</v>
      </c>
      <c r="D5171" s="2" t="s">
        <v>49590</v>
      </c>
      <c r="E5171" s="2" t="s">
        <v>49591</v>
      </c>
      <c r="G5171" s="3" t="s">
        <v>62</v>
      </c>
      <c r="I5171" s="3" t="s">
        <v>62</v>
      </c>
      <c r="J5171" s="3" t="s">
        <v>62</v>
      </c>
      <c r="K5171" s="3" t="s">
        <v>63</v>
      </c>
      <c r="M5171" s="2" t="s">
        <v>49592</v>
      </c>
      <c r="N5171" s="3" t="s">
        <v>509</v>
      </c>
      <c r="P5171" s="3" t="s">
        <v>64</v>
      </c>
      <c r="R5171" s="3" t="s">
        <v>46535</v>
      </c>
      <c r="S5171" s="4">
        <v>8</v>
      </c>
      <c r="T5171" s="4">
        <v>8</v>
      </c>
      <c r="U5171" s="5" t="s">
        <v>16165</v>
      </c>
      <c r="V5171" s="5" t="s">
        <v>16165</v>
      </c>
      <c r="W5171" s="5" t="s">
        <v>67</v>
      </c>
      <c r="X5171" s="5" t="s">
        <v>67</v>
      </c>
      <c r="Y5171" s="4">
        <v>136</v>
      </c>
      <c r="Z5171" s="4">
        <v>13</v>
      </c>
      <c r="AA5171" s="4">
        <v>14</v>
      </c>
      <c r="AB5171" s="4">
        <v>1</v>
      </c>
      <c r="AC5171" s="4">
        <v>1</v>
      </c>
      <c r="AD5171" s="4">
        <v>62</v>
      </c>
      <c r="AE5171" s="4">
        <v>64</v>
      </c>
      <c r="AF5171" s="4">
        <v>0</v>
      </c>
      <c r="AG5171" s="4">
        <v>0</v>
      </c>
      <c r="AH5171" s="4">
        <v>56</v>
      </c>
      <c r="AI5171" s="4">
        <v>56</v>
      </c>
      <c r="AJ5171" s="4">
        <v>11</v>
      </c>
      <c r="AK5171" s="4">
        <v>12</v>
      </c>
      <c r="AL5171" s="4">
        <v>34</v>
      </c>
      <c r="AM5171" s="4">
        <v>35</v>
      </c>
      <c r="AN5171" s="4">
        <v>0</v>
      </c>
      <c r="AO5171" s="4">
        <v>0</v>
      </c>
      <c r="AP5171" s="4">
        <v>10</v>
      </c>
      <c r="AQ5171" s="4">
        <v>11</v>
      </c>
      <c r="AR5171" s="3" t="s">
        <v>62</v>
      </c>
      <c r="AS5171" s="3" t="s">
        <v>62</v>
      </c>
      <c r="AT5171" s="3" t="s">
        <v>62</v>
      </c>
      <c r="AV5171" s="6" t="str">
        <f>HYPERLINK("http://mcgill.on.worldcat.org/oclc/29952121","Catalog Record")</f>
        <v>Catalog Record</v>
      </c>
      <c r="AW5171" s="6" t="str">
        <f>HYPERLINK("http://www.worldcat.org/oclc/29952121","WorldCat Record")</f>
        <v>WorldCat Record</v>
      </c>
      <c r="AX5171" s="3" t="s">
        <v>49593</v>
      </c>
      <c r="AY5171" s="3" t="s">
        <v>49594</v>
      </c>
      <c r="AZ5171" s="3" t="s">
        <v>49595</v>
      </c>
      <c r="BA5171" s="3" t="s">
        <v>49595</v>
      </c>
      <c r="BB5171" s="3" t="s">
        <v>49596</v>
      </c>
      <c r="BC5171" s="3" t="s">
        <v>102</v>
      </c>
      <c r="BD5171" s="3" t="s">
        <v>68</v>
      </c>
      <c r="BE5171" s="3" t="s">
        <v>49597</v>
      </c>
      <c r="BF5171" s="3" t="s">
        <v>49596</v>
      </c>
      <c r="BG5171" s="3" t="s">
        <v>49598</v>
      </c>
    </row>
    <row r="5172" spans="1:59" ht="58" x14ac:dyDescent="0.35">
      <c r="A5172" s="2" t="s">
        <v>59</v>
      </c>
      <c r="B5172" s="2" t="s">
        <v>60</v>
      </c>
      <c r="C5172" s="2" t="s">
        <v>49599</v>
      </c>
      <c r="D5172" s="2" t="s">
        <v>49600</v>
      </c>
      <c r="E5172" s="2" t="s">
        <v>49601</v>
      </c>
      <c r="G5172" s="3" t="s">
        <v>62</v>
      </c>
      <c r="I5172" s="3" t="s">
        <v>61</v>
      </c>
      <c r="J5172" s="3" t="s">
        <v>62</v>
      </c>
      <c r="K5172" s="3" t="s">
        <v>63</v>
      </c>
      <c r="L5172" s="2" t="s">
        <v>49602</v>
      </c>
      <c r="M5172" s="2" t="s">
        <v>49603</v>
      </c>
      <c r="N5172" s="3" t="s">
        <v>2588</v>
      </c>
      <c r="P5172" s="3" t="s">
        <v>64</v>
      </c>
      <c r="Q5172" s="2" t="s">
        <v>49604</v>
      </c>
      <c r="R5172" s="3" t="s">
        <v>46535</v>
      </c>
      <c r="S5172" s="4">
        <v>0</v>
      </c>
      <c r="T5172" s="4">
        <v>7</v>
      </c>
      <c r="V5172" s="5" t="s">
        <v>11453</v>
      </c>
      <c r="W5172" s="5" t="s">
        <v>67</v>
      </c>
      <c r="X5172" s="5" t="s">
        <v>67</v>
      </c>
      <c r="Y5172" s="4">
        <v>229</v>
      </c>
      <c r="Z5172" s="4">
        <v>18</v>
      </c>
      <c r="AA5172" s="4">
        <v>22</v>
      </c>
      <c r="AB5172" s="4">
        <v>3</v>
      </c>
      <c r="AC5172" s="4">
        <v>7</v>
      </c>
      <c r="AD5172" s="4">
        <v>87</v>
      </c>
      <c r="AE5172" s="4">
        <v>90</v>
      </c>
      <c r="AF5172" s="4">
        <v>1</v>
      </c>
      <c r="AG5172" s="4">
        <v>4</v>
      </c>
      <c r="AH5172" s="4">
        <v>79</v>
      </c>
      <c r="AI5172" s="4">
        <v>79</v>
      </c>
      <c r="AJ5172" s="4">
        <v>15</v>
      </c>
      <c r="AK5172" s="4">
        <v>18</v>
      </c>
      <c r="AL5172" s="4">
        <v>45</v>
      </c>
      <c r="AM5172" s="4">
        <v>45</v>
      </c>
      <c r="AN5172" s="4">
        <v>0</v>
      </c>
      <c r="AO5172" s="4">
        <v>0</v>
      </c>
      <c r="AP5172" s="4">
        <v>14</v>
      </c>
      <c r="AQ5172" s="4">
        <v>16</v>
      </c>
      <c r="AR5172" s="3" t="s">
        <v>62</v>
      </c>
      <c r="AS5172" s="3" t="s">
        <v>62</v>
      </c>
      <c r="AT5172" s="3" t="s">
        <v>61</v>
      </c>
      <c r="AU5172" s="6" t="str">
        <f>HYPERLINK("http://catalog.hathitrust.org/Record/000136931","HathiTrust Record")</f>
        <v>HathiTrust Record</v>
      </c>
      <c r="AV5172" s="6" t="str">
        <f>HYPERLINK("http://mcgill.on.worldcat.org/oclc/3882712","Catalog Record")</f>
        <v>Catalog Record</v>
      </c>
      <c r="AW5172" s="6" t="str">
        <f>HYPERLINK("http://www.worldcat.org/oclc/3882712","WorldCat Record")</f>
        <v>WorldCat Record</v>
      </c>
      <c r="AX5172" s="3" t="s">
        <v>49605</v>
      </c>
      <c r="AY5172" s="3" t="s">
        <v>49606</v>
      </c>
      <c r="AZ5172" s="3" t="s">
        <v>49607</v>
      </c>
      <c r="BA5172" s="3" t="s">
        <v>49607</v>
      </c>
      <c r="BB5172" s="3" t="s">
        <v>49608</v>
      </c>
      <c r="BC5172" s="3" t="s">
        <v>102</v>
      </c>
      <c r="BD5172" s="3" t="s">
        <v>68</v>
      </c>
      <c r="BE5172" s="3" t="s">
        <v>49609</v>
      </c>
      <c r="BF5172" s="3" t="s">
        <v>49608</v>
      </c>
      <c r="BG5172" s="3" t="s">
        <v>49610</v>
      </c>
    </row>
    <row r="5173" spans="1:59" ht="58" x14ac:dyDescent="0.35">
      <c r="A5173" s="2" t="s">
        <v>89</v>
      </c>
      <c r="B5173" s="2" t="s">
        <v>90</v>
      </c>
      <c r="C5173" s="2" t="s">
        <v>49611</v>
      </c>
      <c r="D5173" s="2" t="s">
        <v>49612</v>
      </c>
      <c r="E5173" s="2" t="s">
        <v>49613</v>
      </c>
      <c r="G5173" s="3" t="s">
        <v>62</v>
      </c>
      <c r="I5173" s="3" t="s">
        <v>62</v>
      </c>
      <c r="J5173" s="3" t="s">
        <v>62</v>
      </c>
      <c r="K5173" s="3" t="s">
        <v>63</v>
      </c>
      <c r="M5173" s="2" t="s">
        <v>49614</v>
      </c>
      <c r="N5173" s="3" t="s">
        <v>553</v>
      </c>
      <c r="P5173" s="3" t="s">
        <v>64</v>
      </c>
      <c r="R5173" s="3" t="s">
        <v>46535</v>
      </c>
      <c r="S5173" s="4">
        <v>4</v>
      </c>
      <c r="T5173" s="4">
        <v>4</v>
      </c>
      <c r="U5173" s="5" t="s">
        <v>3388</v>
      </c>
      <c r="V5173" s="5" t="s">
        <v>3388</v>
      </c>
      <c r="W5173" s="5" t="s">
        <v>67</v>
      </c>
      <c r="X5173" s="5" t="s">
        <v>67</v>
      </c>
      <c r="Y5173" s="4">
        <v>193</v>
      </c>
      <c r="Z5173" s="4">
        <v>12</v>
      </c>
      <c r="AA5173" s="4">
        <v>17</v>
      </c>
      <c r="AB5173" s="4">
        <v>1</v>
      </c>
      <c r="AC5173" s="4">
        <v>4</v>
      </c>
      <c r="AD5173" s="4">
        <v>80</v>
      </c>
      <c r="AE5173" s="4">
        <v>84</v>
      </c>
      <c r="AF5173" s="4">
        <v>0</v>
      </c>
      <c r="AG5173" s="4">
        <v>2</v>
      </c>
      <c r="AH5173" s="4">
        <v>74</v>
      </c>
      <c r="AI5173" s="4">
        <v>76</v>
      </c>
      <c r="AJ5173" s="4">
        <v>9</v>
      </c>
      <c r="AK5173" s="4">
        <v>13</v>
      </c>
      <c r="AL5173" s="4">
        <v>44</v>
      </c>
      <c r="AM5173" s="4">
        <v>44</v>
      </c>
      <c r="AN5173" s="4">
        <v>0</v>
      </c>
      <c r="AO5173" s="4">
        <v>0</v>
      </c>
      <c r="AP5173" s="4">
        <v>10</v>
      </c>
      <c r="AQ5173" s="4">
        <v>13</v>
      </c>
      <c r="AR5173" s="3" t="s">
        <v>62</v>
      </c>
      <c r="AS5173" s="3" t="s">
        <v>62</v>
      </c>
      <c r="AT5173" s="3" t="s">
        <v>62</v>
      </c>
      <c r="AV5173" s="6" t="str">
        <f>HYPERLINK("http://mcgill.on.worldcat.org/oclc/39655883","Catalog Record")</f>
        <v>Catalog Record</v>
      </c>
      <c r="AW5173" s="6" t="str">
        <f>HYPERLINK("http://www.worldcat.org/oclc/39655883","WorldCat Record")</f>
        <v>WorldCat Record</v>
      </c>
      <c r="AX5173" s="3" t="s">
        <v>49615</v>
      </c>
      <c r="AY5173" s="3" t="s">
        <v>49616</v>
      </c>
      <c r="AZ5173" s="3" t="s">
        <v>49617</v>
      </c>
      <c r="BA5173" s="3" t="s">
        <v>49617</v>
      </c>
      <c r="BB5173" s="3" t="s">
        <v>49618</v>
      </c>
      <c r="BC5173" s="3" t="s">
        <v>102</v>
      </c>
      <c r="BD5173" s="3" t="s">
        <v>68</v>
      </c>
      <c r="BE5173" s="3" t="s">
        <v>49619</v>
      </c>
      <c r="BF5173" s="3" t="s">
        <v>49618</v>
      </c>
      <c r="BG5173" s="3" t="s">
        <v>49620</v>
      </c>
    </row>
    <row r="5174" spans="1:59" ht="58" x14ac:dyDescent="0.35">
      <c r="A5174" s="2" t="s">
        <v>89</v>
      </c>
      <c r="B5174" s="2" t="s">
        <v>90</v>
      </c>
      <c r="C5174" s="2" t="s">
        <v>49621</v>
      </c>
      <c r="D5174" s="2" t="s">
        <v>49622</v>
      </c>
      <c r="E5174" s="2" t="s">
        <v>49623</v>
      </c>
      <c r="G5174" s="3" t="s">
        <v>62</v>
      </c>
      <c r="I5174" s="3" t="s">
        <v>62</v>
      </c>
      <c r="J5174" s="3" t="s">
        <v>62</v>
      </c>
      <c r="K5174" s="3" t="s">
        <v>63</v>
      </c>
      <c r="L5174" s="2" t="s">
        <v>49624</v>
      </c>
      <c r="M5174" s="2" t="s">
        <v>49625</v>
      </c>
      <c r="N5174" s="3" t="s">
        <v>466</v>
      </c>
      <c r="P5174" s="3" t="s">
        <v>64</v>
      </c>
      <c r="Q5174" s="2" t="s">
        <v>49626</v>
      </c>
      <c r="R5174" s="3" t="s">
        <v>46535</v>
      </c>
      <c r="S5174" s="4">
        <v>47</v>
      </c>
      <c r="T5174" s="4">
        <v>47</v>
      </c>
      <c r="U5174" s="5" t="s">
        <v>49627</v>
      </c>
      <c r="V5174" s="5" t="s">
        <v>49627</v>
      </c>
      <c r="W5174" s="5" t="s">
        <v>67</v>
      </c>
      <c r="X5174" s="5" t="s">
        <v>67</v>
      </c>
      <c r="Y5174" s="4">
        <v>215</v>
      </c>
      <c r="Z5174" s="4">
        <v>11</v>
      </c>
      <c r="AA5174" s="4">
        <v>45</v>
      </c>
      <c r="AB5174" s="4">
        <v>1</v>
      </c>
      <c r="AC5174" s="4">
        <v>12</v>
      </c>
      <c r="AD5174" s="4">
        <v>72</v>
      </c>
      <c r="AE5174" s="4">
        <v>118</v>
      </c>
      <c r="AF5174" s="4">
        <v>0</v>
      </c>
      <c r="AG5174" s="4">
        <v>6</v>
      </c>
      <c r="AH5174" s="4">
        <v>65</v>
      </c>
      <c r="AI5174" s="4">
        <v>88</v>
      </c>
      <c r="AJ5174" s="4">
        <v>9</v>
      </c>
      <c r="AK5174" s="4">
        <v>22</v>
      </c>
      <c r="AL5174" s="4">
        <v>43</v>
      </c>
      <c r="AM5174" s="4">
        <v>48</v>
      </c>
      <c r="AN5174" s="4">
        <v>0</v>
      </c>
      <c r="AO5174" s="4">
        <v>0</v>
      </c>
      <c r="AP5174" s="4">
        <v>8</v>
      </c>
      <c r="AQ5174" s="4">
        <v>35</v>
      </c>
      <c r="AR5174" s="3" t="s">
        <v>62</v>
      </c>
      <c r="AS5174" s="3" t="s">
        <v>62</v>
      </c>
      <c r="AT5174" s="3" t="s">
        <v>61</v>
      </c>
      <c r="AU5174" s="6" t="str">
        <f>HYPERLINK("http://catalog.hathitrust.org/Record/002591815","HathiTrust Record")</f>
        <v>HathiTrust Record</v>
      </c>
      <c r="AV5174" s="6" t="str">
        <f>HYPERLINK("http://mcgill.on.worldcat.org/oclc/26314127","Catalog Record")</f>
        <v>Catalog Record</v>
      </c>
      <c r="AW5174" s="6" t="str">
        <f>HYPERLINK("http://www.worldcat.org/oclc/26314127","WorldCat Record")</f>
        <v>WorldCat Record</v>
      </c>
      <c r="AX5174" s="3" t="s">
        <v>49628</v>
      </c>
      <c r="AY5174" s="3" t="s">
        <v>49629</v>
      </c>
      <c r="AZ5174" s="3" t="s">
        <v>49630</v>
      </c>
      <c r="BA5174" s="3" t="s">
        <v>49630</v>
      </c>
      <c r="BB5174" s="3" t="s">
        <v>49631</v>
      </c>
      <c r="BC5174" s="3" t="s">
        <v>102</v>
      </c>
      <c r="BD5174" s="3" t="s">
        <v>68</v>
      </c>
      <c r="BE5174" s="3" t="s">
        <v>49632</v>
      </c>
      <c r="BF5174" s="3" t="s">
        <v>49631</v>
      </c>
      <c r="BG5174" s="3" t="s">
        <v>49633</v>
      </c>
    </row>
    <row r="5175" spans="1:59" ht="58" x14ac:dyDescent="0.35">
      <c r="A5175" s="2" t="s">
        <v>89</v>
      </c>
      <c r="B5175" s="2" t="s">
        <v>90</v>
      </c>
      <c r="C5175" s="2" t="s">
        <v>49634</v>
      </c>
      <c r="D5175" s="2" t="s">
        <v>49635</v>
      </c>
      <c r="E5175" s="2" t="s">
        <v>49636</v>
      </c>
      <c r="G5175" s="3" t="s">
        <v>62</v>
      </c>
      <c r="I5175" s="3" t="s">
        <v>62</v>
      </c>
      <c r="J5175" s="3" t="s">
        <v>62</v>
      </c>
      <c r="K5175" s="3" t="s">
        <v>63</v>
      </c>
      <c r="L5175" s="2" t="s">
        <v>49637</v>
      </c>
      <c r="M5175" s="2" t="s">
        <v>21534</v>
      </c>
      <c r="N5175" s="3" t="s">
        <v>115</v>
      </c>
      <c r="P5175" s="3" t="s">
        <v>64</v>
      </c>
      <c r="R5175" s="3" t="s">
        <v>46535</v>
      </c>
      <c r="S5175" s="4">
        <v>34</v>
      </c>
      <c r="T5175" s="4">
        <v>34</v>
      </c>
      <c r="U5175" s="5" t="s">
        <v>21596</v>
      </c>
      <c r="V5175" s="5" t="s">
        <v>21596</v>
      </c>
      <c r="W5175" s="5" t="s">
        <v>67</v>
      </c>
      <c r="X5175" s="5" t="s">
        <v>67</v>
      </c>
      <c r="Y5175" s="4">
        <v>447</v>
      </c>
      <c r="Z5175" s="4">
        <v>27</v>
      </c>
      <c r="AA5175" s="4">
        <v>32</v>
      </c>
      <c r="AB5175" s="4">
        <v>3</v>
      </c>
      <c r="AC5175" s="4">
        <v>6</v>
      </c>
      <c r="AD5175" s="4">
        <v>113</v>
      </c>
      <c r="AE5175" s="4">
        <v>117</v>
      </c>
      <c r="AF5175" s="4">
        <v>1</v>
      </c>
      <c r="AG5175" s="4">
        <v>3</v>
      </c>
      <c r="AH5175" s="4">
        <v>98</v>
      </c>
      <c r="AI5175" s="4">
        <v>99</v>
      </c>
      <c r="AJ5175" s="4">
        <v>17</v>
      </c>
      <c r="AK5175" s="4">
        <v>20</v>
      </c>
      <c r="AL5175" s="4">
        <v>58</v>
      </c>
      <c r="AM5175" s="4">
        <v>58</v>
      </c>
      <c r="AN5175" s="4">
        <v>0</v>
      </c>
      <c r="AO5175" s="4">
        <v>0</v>
      </c>
      <c r="AP5175" s="4">
        <v>20</v>
      </c>
      <c r="AQ5175" s="4">
        <v>23</v>
      </c>
      <c r="AR5175" s="3" t="s">
        <v>62</v>
      </c>
      <c r="AS5175" s="3" t="s">
        <v>62</v>
      </c>
      <c r="AT5175" s="3" t="s">
        <v>62</v>
      </c>
      <c r="AV5175" s="6" t="str">
        <f>HYPERLINK("http://mcgill.on.worldcat.org/oclc/19922497","Catalog Record")</f>
        <v>Catalog Record</v>
      </c>
      <c r="AW5175" s="6" t="str">
        <f>HYPERLINK("http://www.worldcat.org/oclc/19922497","WorldCat Record")</f>
        <v>WorldCat Record</v>
      </c>
      <c r="AX5175" s="3" t="s">
        <v>49638</v>
      </c>
      <c r="AY5175" s="3" t="s">
        <v>49639</v>
      </c>
      <c r="AZ5175" s="3" t="s">
        <v>49640</v>
      </c>
      <c r="BA5175" s="3" t="s">
        <v>49640</v>
      </c>
      <c r="BB5175" s="3" t="s">
        <v>49641</v>
      </c>
      <c r="BC5175" s="3" t="s">
        <v>102</v>
      </c>
      <c r="BD5175" s="3" t="s">
        <v>231</v>
      </c>
      <c r="BE5175" s="3" t="s">
        <v>49642</v>
      </c>
      <c r="BF5175" s="3" t="s">
        <v>49641</v>
      </c>
      <c r="BG5175" s="3" t="s">
        <v>49643</v>
      </c>
    </row>
    <row r="5176" spans="1:59" ht="58" x14ac:dyDescent="0.35">
      <c r="A5176" s="2" t="s">
        <v>89</v>
      </c>
      <c r="B5176" s="2" t="s">
        <v>90</v>
      </c>
      <c r="C5176" s="2" t="s">
        <v>49644</v>
      </c>
      <c r="D5176" s="2" t="s">
        <v>49645</v>
      </c>
      <c r="E5176" s="2" t="s">
        <v>49646</v>
      </c>
      <c r="G5176" s="3" t="s">
        <v>62</v>
      </c>
      <c r="I5176" s="3" t="s">
        <v>62</v>
      </c>
      <c r="J5176" s="3" t="s">
        <v>62</v>
      </c>
      <c r="K5176" s="3" t="s">
        <v>63</v>
      </c>
      <c r="L5176" s="2" t="s">
        <v>49647</v>
      </c>
      <c r="M5176" s="2" t="s">
        <v>49648</v>
      </c>
      <c r="N5176" s="3" t="s">
        <v>698</v>
      </c>
      <c r="P5176" s="3" t="s">
        <v>85</v>
      </c>
      <c r="Q5176" s="2" t="s">
        <v>49649</v>
      </c>
      <c r="R5176" s="3" t="s">
        <v>46535</v>
      </c>
      <c r="S5176" s="4">
        <v>0</v>
      </c>
      <c r="T5176" s="4">
        <v>0</v>
      </c>
      <c r="W5176" s="5" t="s">
        <v>67</v>
      </c>
      <c r="X5176" s="5" t="s">
        <v>67</v>
      </c>
      <c r="Y5176" s="4">
        <v>6</v>
      </c>
      <c r="Z5176" s="4">
        <v>1</v>
      </c>
      <c r="AA5176" s="4">
        <v>8</v>
      </c>
      <c r="AB5176" s="4">
        <v>1</v>
      </c>
      <c r="AC5176" s="4">
        <v>7</v>
      </c>
      <c r="AD5176" s="4">
        <v>3</v>
      </c>
      <c r="AE5176" s="4">
        <v>7</v>
      </c>
      <c r="AF5176" s="4">
        <v>0</v>
      </c>
      <c r="AG5176" s="4">
        <v>3</v>
      </c>
      <c r="AH5176" s="4">
        <v>3</v>
      </c>
      <c r="AI5176" s="4">
        <v>5</v>
      </c>
      <c r="AJ5176" s="4">
        <v>0</v>
      </c>
      <c r="AK5176" s="4">
        <v>4</v>
      </c>
      <c r="AL5176" s="4">
        <v>2</v>
      </c>
      <c r="AM5176" s="4">
        <v>2</v>
      </c>
      <c r="AN5176" s="4">
        <v>0</v>
      </c>
      <c r="AO5176" s="4">
        <v>0</v>
      </c>
      <c r="AP5176" s="4">
        <v>0</v>
      </c>
      <c r="AQ5176" s="4">
        <v>3</v>
      </c>
      <c r="AR5176" s="3" t="s">
        <v>62</v>
      </c>
      <c r="AS5176" s="3" t="s">
        <v>62</v>
      </c>
      <c r="AT5176" s="3" t="s">
        <v>62</v>
      </c>
      <c r="AV5176" s="6" t="str">
        <f>HYPERLINK("http://mcgill.on.worldcat.org/oclc/779875742","Catalog Record")</f>
        <v>Catalog Record</v>
      </c>
      <c r="AW5176" s="6" t="str">
        <f>HYPERLINK("http://www.worldcat.org/oclc/779875742","WorldCat Record")</f>
        <v>WorldCat Record</v>
      </c>
      <c r="AX5176" s="3" t="s">
        <v>49650</v>
      </c>
      <c r="AY5176" s="3" t="s">
        <v>49651</v>
      </c>
      <c r="AZ5176" s="3" t="s">
        <v>49652</v>
      </c>
      <c r="BA5176" s="3" t="s">
        <v>49652</v>
      </c>
      <c r="BB5176" s="3" t="s">
        <v>49653</v>
      </c>
      <c r="BC5176" s="3" t="s">
        <v>102</v>
      </c>
      <c r="BD5176" s="3" t="s">
        <v>68</v>
      </c>
      <c r="BE5176" s="3" t="s">
        <v>49654</v>
      </c>
      <c r="BF5176" s="3" t="s">
        <v>49653</v>
      </c>
      <c r="BG5176" s="3" t="s">
        <v>49655</v>
      </c>
    </row>
    <row r="5177" spans="1:59" ht="58" x14ac:dyDescent="0.35">
      <c r="A5177" s="2" t="s">
        <v>89</v>
      </c>
      <c r="B5177" s="2" t="s">
        <v>90</v>
      </c>
      <c r="C5177" s="2" t="s">
        <v>49656</v>
      </c>
      <c r="D5177" s="2" t="s">
        <v>49657</v>
      </c>
      <c r="E5177" s="2" t="s">
        <v>49658</v>
      </c>
      <c r="G5177" s="3" t="s">
        <v>62</v>
      </c>
      <c r="I5177" s="3" t="s">
        <v>61</v>
      </c>
      <c r="J5177" s="3" t="s">
        <v>62</v>
      </c>
      <c r="K5177" s="3" t="s">
        <v>63</v>
      </c>
      <c r="L5177" s="2" t="s">
        <v>7492</v>
      </c>
      <c r="M5177" s="2" t="s">
        <v>48927</v>
      </c>
      <c r="N5177" s="3" t="s">
        <v>524</v>
      </c>
      <c r="P5177" s="3" t="s">
        <v>64</v>
      </c>
      <c r="R5177" s="3" t="s">
        <v>46535</v>
      </c>
      <c r="S5177" s="4">
        <v>23</v>
      </c>
      <c r="T5177" s="4">
        <v>23</v>
      </c>
      <c r="U5177" s="5" t="s">
        <v>33649</v>
      </c>
      <c r="V5177" s="5" t="s">
        <v>33649</v>
      </c>
      <c r="W5177" s="5" t="s">
        <v>67</v>
      </c>
      <c r="X5177" s="5" t="s">
        <v>67</v>
      </c>
      <c r="Y5177" s="4">
        <v>1016</v>
      </c>
      <c r="Z5177" s="4">
        <v>39</v>
      </c>
      <c r="AA5177" s="4">
        <v>57</v>
      </c>
      <c r="AB5177" s="4">
        <v>1</v>
      </c>
      <c r="AC5177" s="4">
        <v>7</v>
      </c>
      <c r="AD5177" s="4">
        <v>121</v>
      </c>
      <c r="AE5177" s="4">
        <v>140</v>
      </c>
      <c r="AF5177" s="4">
        <v>0</v>
      </c>
      <c r="AG5177" s="4">
        <v>3</v>
      </c>
      <c r="AH5177" s="4">
        <v>99</v>
      </c>
      <c r="AI5177" s="4">
        <v>108</v>
      </c>
      <c r="AJ5177" s="4">
        <v>17</v>
      </c>
      <c r="AK5177" s="4">
        <v>24</v>
      </c>
      <c r="AL5177" s="4">
        <v>52</v>
      </c>
      <c r="AM5177" s="4">
        <v>57</v>
      </c>
      <c r="AN5177" s="4">
        <v>0</v>
      </c>
      <c r="AO5177" s="4">
        <v>0</v>
      </c>
      <c r="AP5177" s="4">
        <v>27</v>
      </c>
      <c r="AQ5177" s="4">
        <v>39</v>
      </c>
      <c r="AR5177" s="3" t="s">
        <v>62</v>
      </c>
      <c r="AS5177" s="3" t="s">
        <v>62</v>
      </c>
      <c r="AT5177" s="3" t="s">
        <v>62</v>
      </c>
      <c r="AV5177" s="6" t="str">
        <f>HYPERLINK("http://mcgill.on.worldcat.org/oclc/30971698","Catalog Record")</f>
        <v>Catalog Record</v>
      </c>
      <c r="AW5177" s="6" t="str">
        <f>HYPERLINK("http://www.worldcat.org/oclc/30971698","WorldCat Record")</f>
        <v>WorldCat Record</v>
      </c>
      <c r="AX5177" s="3" t="s">
        <v>49659</v>
      </c>
      <c r="AY5177" s="3" t="s">
        <v>49660</v>
      </c>
      <c r="AZ5177" s="3" t="s">
        <v>49661</v>
      </c>
      <c r="BA5177" s="3" t="s">
        <v>49661</v>
      </c>
      <c r="BB5177" s="3" t="s">
        <v>49662</v>
      </c>
      <c r="BC5177" s="3" t="s">
        <v>102</v>
      </c>
      <c r="BD5177" s="3" t="s">
        <v>68</v>
      </c>
      <c r="BE5177" s="3" t="s">
        <v>49663</v>
      </c>
      <c r="BF5177" s="3" t="s">
        <v>49662</v>
      </c>
      <c r="BG5177" s="3" t="s">
        <v>49664</v>
      </c>
    </row>
    <row r="5178" spans="1:59" ht="58" x14ac:dyDescent="0.35">
      <c r="A5178" s="2" t="s">
        <v>89</v>
      </c>
      <c r="B5178" s="2" t="s">
        <v>90</v>
      </c>
      <c r="C5178" s="2" t="s">
        <v>49665</v>
      </c>
      <c r="D5178" s="2" t="s">
        <v>49666</v>
      </c>
      <c r="E5178" s="2" t="s">
        <v>49667</v>
      </c>
      <c r="G5178" s="3" t="s">
        <v>62</v>
      </c>
      <c r="I5178" s="3" t="s">
        <v>62</v>
      </c>
      <c r="J5178" s="3" t="s">
        <v>62</v>
      </c>
      <c r="K5178" s="3" t="s">
        <v>63</v>
      </c>
      <c r="L5178" s="2" t="s">
        <v>49668</v>
      </c>
      <c r="M5178" s="2" t="s">
        <v>49669</v>
      </c>
      <c r="N5178" s="3" t="s">
        <v>698</v>
      </c>
      <c r="O5178" s="2" t="s">
        <v>49670</v>
      </c>
      <c r="P5178" s="3" t="s">
        <v>64</v>
      </c>
      <c r="R5178" s="3" t="s">
        <v>46535</v>
      </c>
      <c r="S5178" s="4">
        <v>10</v>
      </c>
      <c r="T5178" s="4">
        <v>10</v>
      </c>
      <c r="U5178" s="5" t="s">
        <v>23761</v>
      </c>
      <c r="V5178" s="5" t="s">
        <v>23761</v>
      </c>
      <c r="W5178" s="5" t="s">
        <v>67</v>
      </c>
      <c r="X5178" s="5" t="s">
        <v>67</v>
      </c>
      <c r="Y5178" s="4">
        <v>114</v>
      </c>
      <c r="Z5178" s="4">
        <v>8</v>
      </c>
      <c r="AA5178" s="4">
        <v>58</v>
      </c>
      <c r="AB5178" s="4">
        <v>1</v>
      </c>
      <c r="AC5178" s="4">
        <v>9</v>
      </c>
      <c r="AD5178" s="4">
        <v>11</v>
      </c>
      <c r="AE5178" s="4">
        <v>112</v>
      </c>
      <c r="AF5178" s="4">
        <v>0</v>
      </c>
      <c r="AG5178" s="4">
        <v>3</v>
      </c>
      <c r="AH5178" s="4">
        <v>8</v>
      </c>
      <c r="AI5178" s="4">
        <v>89</v>
      </c>
      <c r="AJ5178" s="4">
        <v>2</v>
      </c>
      <c r="AK5178" s="4">
        <v>20</v>
      </c>
      <c r="AL5178" s="4">
        <v>5</v>
      </c>
      <c r="AM5178" s="4">
        <v>48</v>
      </c>
      <c r="AN5178" s="4">
        <v>0</v>
      </c>
      <c r="AO5178" s="4">
        <v>0</v>
      </c>
      <c r="AP5178" s="4">
        <v>5</v>
      </c>
      <c r="AQ5178" s="4">
        <v>29</v>
      </c>
      <c r="AR5178" s="3" t="s">
        <v>62</v>
      </c>
      <c r="AS5178" s="3" t="s">
        <v>62</v>
      </c>
      <c r="AT5178" s="3" t="s">
        <v>62</v>
      </c>
      <c r="AV5178" s="6" t="str">
        <f>HYPERLINK("http://mcgill.on.worldcat.org/oclc/785405127","Catalog Record")</f>
        <v>Catalog Record</v>
      </c>
      <c r="AW5178" s="6" t="str">
        <f>HYPERLINK("http://www.worldcat.org/oclc/785405127","WorldCat Record")</f>
        <v>WorldCat Record</v>
      </c>
      <c r="AX5178" s="3" t="s">
        <v>49671</v>
      </c>
      <c r="AY5178" s="3" t="s">
        <v>49672</v>
      </c>
      <c r="AZ5178" s="3" t="s">
        <v>49673</v>
      </c>
      <c r="BA5178" s="3" t="s">
        <v>49673</v>
      </c>
      <c r="BB5178" s="3" t="s">
        <v>49674</v>
      </c>
      <c r="BC5178" s="3" t="s">
        <v>102</v>
      </c>
      <c r="BD5178" s="3" t="s">
        <v>231</v>
      </c>
      <c r="BE5178" s="3" t="s">
        <v>49675</v>
      </c>
      <c r="BF5178" s="3" t="s">
        <v>49674</v>
      </c>
      <c r="BG5178" s="3" t="s">
        <v>49676</v>
      </c>
    </row>
    <row r="5179" spans="1:59" ht="58" x14ac:dyDescent="0.35">
      <c r="A5179" s="2" t="s">
        <v>89</v>
      </c>
      <c r="B5179" s="2" t="s">
        <v>90</v>
      </c>
      <c r="C5179" s="2" t="s">
        <v>49677</v>
      </c>
      <c r="D5179" s="2" t="s">
        <v>49678</v>
      </c>
      <c r="E5179" s="2" t="s">
        <v>49679</v>
      </c>
      <c r="G5179" s="3" t="s">
        <v>62</v>
      </c>
      <c r="I5179" s="3" t="s">
        <v>62</v>
      </c>
      <c r="J5179" s="3" t="s">
        <v>61</v>
      </c>
      <c r="K5179" s="3" t="s">
        <v>63</v>
      </c>
      <c r="L5179" s="2" t="s">
        <v>49680</v>
      </c>
      <c r="M5179" s="2" t="s">
        <v>49681</v>
      </c>
      <c r="N5179" s="3" t="s">
        <v>726</v>
      </c>
      <c r="O5179" s="2" t="s">
        <v>49682</v>
      </c>
      <c r="P5179" s="3" t="s">
        <v>64</v>
      </c>
      <c r="R5179" s="3" t="s">
        <v>46535</v>
      </c>
      <c r="S5179" s="4">
        <v>2</v>
      </c>
      <c r="T5179" s="4">
        <v>2</v>
      </c>
      <c r="U5179" s="5" t="s">
        <v>6629</v>
      </c>
      <c r="V5179" s="5" t="s">
        <v>6629</v>
      </c>
      <c r="W5179" s="5" t="s">
        <v>67</v>
      </c>
      <c r="X5179" s="5" t="s">
        <v>67</v>
      </c>
      <c r="Y5179" s="4">
        <v>109</v>
      </c>
      <c r="Z5179" s="4">
        <v>7</v>
      </c>
      <c r="AA5179" s="4">
        <v>28</v>
      </c>
      <c r="AB5179" s="4">
        <v>1</v>
      </c>
      <c r="AC5179" s="4">
        <v>4</v>
      </c>
      <c r="AD5179" s="4">
        <v>7</v>
      </c>
      <c r="AE5179" s="4">
        <v>45</v>
      </c>
      <c r="AF5179" s="4">
        <v>0</v>
      </c>
      <c r="AG5179" s="4">
        <v>0</v>
      </c>
      <c r="AH5179" s="4">
        <v>7</v>
      </c>
      <c r="AI5179" s="4">
        <v>43</v>
      </c>
      <c r="AJ5179" s="4">
        <v>1</v>
      </c>
      <c r="AK5179" s="4">
        <v>1</v>
      </c>
      <c r="AL5179" s="4">
        <v>1</v>
      </c>
      <c r="AM5179" s="4">
        <v>29</v>
      </c>
      <c r="AN5179" s="4">
        <v>0</v>
      </c>
      <c r="AO5179" s="4">
        <v>0</v>
      </c>
      <c r="AP5179" s="4">
        <v>1</v>
      </c>
      <c r="AQ5179" s="4">
        <v>1</v>
      </c>
      <c r="AR5179" s="3" t="s">
        <v>62</v>
      </c>
      <c r="AS5179" s="3" t="s">
        <v>62</v>
      </c>
      <c r="AT5179" s="3" t="s">
        <v>62</v>
      </c>
      <c r="AV5179" s="6" t="str">
        <f>HYPERLINK("http://mcgill.on.worldcat.org/oclc/955007002","Catalog Record")</f>
        <v>Catalog Record</v>
      </c>
      <c r="AW5179" s="6" t="str">
        <f>HYPERLINK("http://www.worldcat.org/oclc/955007002","WorldCat Record")</f>
        <v>WorldCat Record</v>
      </c>
      <c r="AX5179" s="3" t="s">
        <v>49683</v>
      </c>
      <c r="AY5179" s="3" t="s">
        <v>49684</v>
      </c>
      <c r="AZ5179" s="3" t="s">
        <v>49685</v>
      </c>
      <c r="BA5179" s="3" t="s">
        <v>49685</v>
      </c>
      <c r="BB5179" s="3" t="s">
        <v>49686</v>
      </c>
      <c r="BC5179" s="3" t="s">
        <v>102</v>
      </c>
      <c r="BD5179" s="3" t="s">
        <v>68</v>
      </c>
      <c r="BE5179" s="3" t="s">
        <v>49687</v>
      </c>
      <c r="BF5179" s="3" t="s">
        <v>49686</v>
      </c>
      <c r="BG5179" s="3" t="s">
        <v>49688</v>
      </c>
    </row>
    <row r="5180" spans="1:59" ht="58" x14ac:dyDescent="0.35">
      <c r="A5180" s="2" t="s">
        <v>89</v>
      </c>
      <c r="B5180" s="2" t="s">
        <v>90</v>
      </c>
      <c r="C5180" s="2" t="s">
        <v>49689</v>
      </c>
      <c r="D5180" s="2" t="s">
        <v>49690</v>
      </c>
      <c r="E5180" s="2" t="s">
        <v>49691</v>
      </c>
      <c r="G5180" s="3" t="s">
        <v>62</v>
      </c>
      <c r="I5180" s="3" t="s">
        <v>61</v>
      </c>
      <c r="J5180" s="3" t="s">
        <v>62</v>
      </c>
      <c r="K5180" s="3" t="s">
        <v>63</v>
      </c>
      <c r="L5180" s="2" t="s">
        <v>49692</v>
      </c>
      <c r="M5180" s="2" t="s">
        <v>49693</v>
      </c>
      <c r="N5180" s="3" t="s">
        <v>115</v>
      </c>
      <c r="P5180" s="3" t="s">
        <v>64</v>
      </c>
      <c r="R5180" s="3" t="s">
        <v>46535</v>
      </c>
      <c r="S5180" s="4">
        <v>27</v>
      </c>
      <c r="T5180" s="4">
        <v>29</v>
      </c>
      <c r="U5180" s="5" t="s">
        <v>49694</v>
      </c>
      <c r="V5180" s="5" t="s">
        <v>8626</v>
      </c>
      <c r="W5180" s="5" t="s">
        <v>67</v>
      </c>
      <c r="X5180" s="5" t="s">
        <v>67</v>
      </c>
      <c r="Y5180" s="4">
        <v>626</v>
      </c>
      <c r="Z5180" s="4">
        <v>40</v>
      </c>
      <c r="AA5180" s="4">
        <v>61</v>
      </c>
      <c r="AB5180" s="4">
        <v>4</v>
      </c>
      <c r="AC5180" s="4">
        <v>12</v>
      </c>
      <c r="AD5180" s="4">
        <v>115</v>
      </c>
      <c r="AE5180" s="4">
        <v>131</v>
      </c>
      <c r="AF5180" s="4">
        <v>1</v>
      </c>
      <c r="AG5180" s="4">
        <v>4</v>
      </c>
      <c r="AH5180" s="4">
        <v>95</v>
      </c>
      <c r="AI5180" s="4">
        <v>102</v>
      </c>
      <c r="AJ5180" s="4">
        <v>15</v>
      </c>
      <c r="AK5180" s="4">
        <v>21</v>
      </c>
      <c r="AL5180" s="4">
        <v>51</v>
      </c>
      <c r="AM5180" s="4">
        <v>56</v>
      </c>
      <c r="AN5180" s="4">
        <v>0</v>
      </c>
      <c r="AO5180" s="4">
        <v>0</v>
      </c>
      <c r="AP5180" s="4">
        <v>29</v>
      </c>
      <c r="AQ5180" s="4">
        <v>38</v>
      </c>
      <c r="AR5180" s="3" t="s">
        <v>62</v>
      </c>
      <c r="AS5180" s="3" t="s">
        <v>62</v>
      </c>
      <c r="AT5180" s="3" t="s">
        <v>62</v>
      </c>
      <c r="AV5180" s="6" t="str">
        <f>HYPERLINK("http://mcgill.on.worldcat.org/oclc/18417579","Catalog Record")</f>
        <v>Catalog Record</v>
      </c>
      <c r="AW5180" s="6" t="str">
        <f>HYPERLINK("http://www.worldcat.org/oclc/18417579","WorldCat Record")</f>
        <v>WorldCat Record</v>
      </c>
      <c r="AX5180" s="3" t="s">
        <v>49695</v>
      </c>
      <c r="AY5180" s="3" t="s">
        <v>49696</v>
      </c>
      <c r="AZ5180" s="3" t="s">
        <v>49697</v>
      </c>
      <c r="BA5180" s="3" t="s">
        <v>49697</v>
      </c>
      <c r="BB5180" s="3" t="s">
        <v>49698</v>
      </c>
      <c r="BC5180" s="3" t="s">
        <v>102</v>
      </c>
      <c r="BD5180" s="3" t="s">
        <v>231</v>
      </c>
      <c r="BE5180" s="3" t="s">
        <v>49699</v>
      </c>
      <c r="BF5180" s="3" t="s">
        <v>49698</v>
      </c>
      <c r="BG5180" s="3" t="s">
        <v>49700</v>
      </c>
    </row>
    <row r="5181" spans="1:59" ht="58" x14ac:dyDescent="0.35">
      <c r="A5181" s="2" t="s">
        <v>89</v>
      </c>
      <c r="B5181" s="2" t="s">
        <v>90</v>
      </c>
      <c r="C5181" s="2" t="s">
        <v>49701</v>
      </c>
      <c r="D5181" s="2" t="s">
        <v>49702</v>
      </c>
      <c r="E5181" s="2" t="s">
        <v>49703</v>
      </c>
      <c r="G5181" s="3" t="s">
        <v>62</v>
      </c>
      <c r="I5181" s="3" t="s">
        <v>61</v>
      </c>
      <c r="J5181" s="3" t="s">
        <v>61</v>
      </c>
      <c r="K5181" s="3" t="s">
        <v>63</v>
      </c>
      <c r="L5181" s="2" t="s">
        <v>49692</v>
      </c>
      <c r="M5181" s="2" t="s">
        <v>49704</v>
      </c>
      <c r="N5181" s="3" t="s">
        <v>2566</v>
      </c>
      <c r="P5181" s="3" t="s">
        <v>64</v>
      </c>
      <c r="Q5181" s="2" t="s">
        <v>49705</v>
      </c>
      <c r="R5181" s="3" t="s">
        <v>46535</v>
      </c>
      <c r="S5181" s="4">
        <v>2</v>
      </c>
      <c r="T5181" s="4">
        <v>2</v>
      </c>
      <c r="U5181" s="5" t="s">
        <v>45959</v>
      </c>
      <c r="V5181" s="5" t="s">
        <v>45959</v>
      </c>
      <c r="W5181" s="5" t="s">
        <v>67</v>
      </c>
      <c r="X5181" s="5" t="s">
        <v>67</v>
      </c>
      <c r="Y5181" s="4">
        <v>553</v>
      </c>
      <c r="Z5181" s="4">
        <v>30</v>
      </c>
      <c r="AA5181" s="4">
        <v>47</v>
      </c>
      <c r="AB5181" s="4">
        <v>1</v>
      </c>
      <c r="AC5181" s="4">
        <v>7</v>
      </c>
      <c r="AD5181" s="4">
        <v>110</v>
      </c>
      <c r="AE5181" s="4">
        <v>135</v>
      </c>
      <c r="AF5181" s="4">
        <v>0</v>
      </c>
      <c r="AG5181" s="4">
        <v>3</v>
      </c>
      <c r="AH5181" s="4">
        <v>90</v>
      </c>
      <c r="AI5181" s="4">
        <v>107</v>
      </c>
      <c r="AJ5181" s="4">
        <v>15</v>
      </c>
      <c r="AK5181" s="4">
        <v>21</v>
      </c>
      <c r="AL5181" s="4">
        <v>54</v>
      </c>
      <c r="AM5181" s="4">
        <v>59</v>
      </c>
      <c r="AN5181" s="4">
        <v>0</v>
      </c>
      <c r="AO5181" s="4">
        <v>0</v>
      </c>
      <c r="AP5181" s="4">
        <v>21</v>
      </c>
      <c r="AQ5181" s="4">
        <v>31</v>
      </c>
      <c r="AR5181" s="3" t="s">
        <v>62</v>
      </c>
      <c r="AS5181" s="3" t="s">
        <v>62</v>
      </c>
      <c r="AT5181" s="3" t="s">
        <v>61</v>
      </c>
      <c r="AU5181" s="6" t="str">
        <f>HYPERLINK("http://catalog.hathitrust.org/Record/001554809","HathiTrust Record")</f>
        <v>HathiTrust Record</v>
      </c>
      <c r="AV5181" s="6" t="str">
        <f>HYPERLINK("http://mcgill.on.worldcat.org/oclc/554130","Catalog Record")</f>
        <v>Catalog Record</v>
      </c>
      <c r="AW5181" s="6" t="str">
        <f>HYPERLINK("http://www.worldcat.org/oclc/554130","WorldCat Record")</f>
        <v>WorldCat Record</v>
      </c>
      <c r="AX5181" s="3" t="s">
        <v>49706</v>
      </c>
      <c r="AY5181" s="3" t="s">
        <v>49707</v>
      </c>
      <c r="AZ5181" s="3" t="s">
        <v>49708</v>
      </c>
      <c r="BA5181" s="3" t="s">
        <v>49708</v>
      </c>
      <c r="BB5181" s="3" t="s">
        <v>49709</v>
      </c>
      <c r="BC5181" s="3" t="s">
        <v>102</v>
      </c>
      <c r="BD5181" s="3" t="s">
        <v>68</v>
      </c>
      <c r="BE5181" s="3" t="s">
        <v>49710</v>
      </c>
      <c r="BF5181" s="3" t="s">
        <v>49709</v>
      </c>
      <c r="BG5181" s="3" t="s">
        <v>49711</v>
      </c>
    </row>
    <row r="5182" spans="1:59" ht="58" x14ac:dyDescent="0.35">
      <c r="A5182" s="2" t="s">
        <v>59</v>
      </c>
      <c r="B5182" s="2" t="s">
        <v>60</v>
      </c>
      <c r="C5182" s="2" t="s">
        <v>49712</v>
      </c>
      <c r="D5182" s="2" t="s">
        <v>49713</v>
      </c>
      <c r="E5182" s="2" t="s">
        <v>49714</v>
      </c>
      <c r="G5182" s="3" t="s">
        <v>62</v>
      </c>
      <c r="I5182" s="3" t="s">
        <v>62</v>
      </c>
      <c r="J5182" s="3" t="s">
        <v>61</v>
      </c>
      <c r="K5182" s="3" t="s">
        <v>63</v>
      </c>
      <c r="L5182" s="2" t="s">
        <v>49692</v>
      </c>
      <c r="M5182" s="2" t="s">
        <v>49715</v>
      </c>
      <c r="N5182" s="3" t="s">
        <v>2588</v>
      </c>
      <c r="O5182" s="2" t="s">
        <v>8350</v>
      </c>
      <c r="P5182" s="3" t="s">
        <v>64</v>
      </c>
      <c r="Q5182" s="2" t="s">
        <v>49716</v>
      </c>
      <c r="R5182" s="3" t="s">
        <v>46535</v>
      </c>
      <c r="S5182" s="4">
        <v>4</v>
      </c>
      <c r="T5182" s="4">
        <v>4</v>
      </c>
      <c r="U5182" s="5" t="s">
        <v>45959</v>
      </c>
      <c r="V5182" s="5" t="s">
        <v>45959</v>
      </c>
      <c r="W5182" s="5" t="s">
        <v>67</v>
      </c>
      <c r="X5182" s="5" t="s">
        <v>67</v>
      </c>
      <c r="Y5182" s="4">
        <v>616</v>
      </c>
      <c r="Z5182" s="4">
        <v>23</v>
      </c>
      <c r="AA5182" s="4">
        <v>47</v>
      </c>
      <c r="AB5182" s="4">
        <v>1</v>
      </c>
      <c r="AC5182" s="4">
        <v>7</v>
      </c>
      <c r="AD5182" s="4">
        <v>105</v>
      </c>
      <c r="AE5182" s="4">
        <v>135</v>
      </c>
      <c r="AF5182" s="4">
        <v>0</v>
      </c>
      <c r="AG5182" s="4">
        <v>3</v>
      </c>
      <c r="AH5182" s="4">
        <v>91</v>
      </c>
      <c r="AI5182" s="4">
        <v>107</v>
      </c>
      <c r="AJ5182" s="4">
        <v>12</v>
      </c>
      <c r="AK5182" s="4">
        <v>21</v>
      </c>
      <c r="AL5182" s="4">
        <v>51</v>
      </c>
      <c r="AM5182" s="4">
        <v>59</v>
      </c>
      <c r="AN5182" s="4">
        <v>0</v>
      </c>
      <c r="AO5182" s="4">
        <v>0</v>
      </c>
      <c r="AP5182" s="4">
        <v>17</v>
      </c>
      <c r="AQ5182" s="4">
        <v>31</v>
      </c>
      <c r="AR5182" s="3" t="s">
        <v>62</v>
      </c>
      <c r="AS5182" s="3" t="s">
        <v>62</v>
      </c>
      <c r="AT5182" s="3" t="s">
        <v>61</v>
      </c>
      <c r="AU5182" s="6" t="str">
        <f>HYPERLINK("http://catalog.hathitrust.org/Record/000710374","HathiTrust Record")</f>
        <v>HathiTrust Record</v>
      </c>
      <c r="AV5182" s="6" t="str">
        <f>HYPERLINK("http://mcgill.on.worldcat.org/oclc/2202459","Catalog Record")</f>
        <v>Catalog Record</v>
      </c>
      <c r="AW5182" s="6" t="str">
        <f>HYPERLINK("http://www.worldcat.org/oclc/2202459","WorldCat Record")</f>
        <v>WorldCat Record</v>
      </c>
      <c r="AX5182" s="3" t="s">
        <v>49706</v>
      </c>
      <c r="AY5182" s="3" t="s">
        <v>49717</v>
      </c>
      <c r="AZ5182" s="3" t="s">
        <v>49718</v>
      </c>
      <c r="BA5182" s="3" t="s">
        <v>49718</v>
      </c>
      <c r="BB5182" s="3" t="s">
        <v>49719</v>
      </c>
      <c r="BC5182" s="3" t="s">
        <v>102</v>
      </c>
      <c r="BD5182" s="3" t="s">
        <v>68</v>
      </c>
      <c r="BE5182" s="3" t="s">
        <v>49720</v>
      </c>
      <c r="BF5182" s="3" t="s">
        <v>49719</v>
      </c>
      <c r="BG5182" s="3" t="s">
        <v>49721</v>
      </c>
    </row>
    <row r="5183" spans="1:59" ht="72.5" x14ac:dyDescent="0.35">
      <c r="A5183" s="2" t="s">
        <v>89</v>
      </c>
      <c r="B5183" s="2" t="s">
        <v>90</v>
      </c>
      <c r="C5183" s="2" t="s">
        <v>49722</v>
      </c>
      <c r="D5183" s="2" t="s">
        <v>49723</v>
      </c>
      <c r="E5183" s="2" t="s">
        <v>49724</v>
      </c>
      <c r="G5183" s="3" t="s">
        <v>62</v>
      </c>
      <c r="I5183" s="3" t="s">
        <v>62</v>
      </c>
      <c r="J5183" s="3" t="s">
        <v>62</v>
      </c>
      <c r="K5183" s="3" t="s">
        <v>63</v>
      </c>
      <c r="L5183" s="2" t="s">
        <v>49725</v>
      </c>
      <c r="M5183" s="2" t="s">
        <v>49726</v>
      </c>
      <c r="N5183" s="3" t="s">
        <v>2085</v>
      </c>
      <c r="O5183" s="2" t="s">
        <v>1941</v>
      </c>
      <c r="P5183" s="3" t="s">
        <v>64</v>
      </c>
      <c r="R5183" s="3" t="s">
        <v>46535</v>
      </c>
      <c r="S5183" s="4">
        <v>1</v>
      </c>
      <c r="T5183" s="4">
        <v>1</v>
      </c>
      <c r="U5183" s="5" t="s">
        <v>14412</v>
      </c>
      <c r="V5183" s="5" t="s">
        <v>14412</v>
      </c>
      <c r="W5183" s="5" t="s">
        <v>67</v>
      </c>
      <c r="X5183" s="5" t="s">
        <v>67</v>
      </c>
      <c r="Y5183" s="4">
        <v>104</v>
      </c>
      <c r="Z5183" s="4">
        <v>6</v>
      </c>
      <c r="AA5183" s="4">
        <v>12</v>
      </c>
      <c r="AB5183" s="4">
        <v>1</v>
      </c>
      <c r="AC5183" s="4">
        <v>4</v>
      </c>
      <c r="AD5183" s="4">
        <v>41</v>
      </c>
      <c r="AE5183" s="4">
        <v>52</v>
      </c>
      <c r="AF5183" s="4">
        <v>0</v>
      </c>
      <c r="AG5183" s="4">
        <v>1</v>
      </c>
      <c r="AH5183" s="4">
        <v>37</v>
      </c>
      <c r="AI5183" s="4">
        <v>44</v>
      </c>
      <c r="AJ5183" s="4">
        <v>3</v>
      </c>
      <c r="AK5183" s="4">
        <v>6</v>
      </c>
      <c r="AL5183" s="4">
        <v>27</v>
      </c>
      <c r="AM5183" s="4">
        <v>33</v>
      </c>
      <c r="AN5183" s="4">
        <v>0</v>
      </c>
      <c r="AO5183" s="4">
        <v>0</v>
      </c>
      <c r="AP5183" s="4">
        <v>5</v>
      </c>
      <c r="AQ5183" s="4">
        <v>8</v>
      </c>
      <c r="AR5183" s="3" t="s">
        <v>62</v>
      </c>
      <c r="AS5183" s="3" t="s">
        <v>62</v>
      </c>
      <c r="AT5183" s="3" t="s">
        <v>62</v>
      </c>
      <c r="AV5183" s="6" t="str">
        <f>HYPERLINK("http://mcgill.on.worldcat.org/oclc/1003833852","Catalog Record")</f>
        <v>Catalog Record</v>
      </c>
      <c r="AW5183" s="6" t="str">
        <f>HYPERLINK("http://www.worldcat.org/oclc/1003833852","WorldCat Record")</f>
        <v>WorldCat Record</v>
      </c>
      <c r="AX5183" s="3" t="s">
        <v>49727</v>
      </c>
      <c r="AY5183" s="3" t="s">
        <v>49728</v>
      </c>
      <c r="AZ5183" s="3" t="s">
        <v>49729</v>
      </c>
      <c r="BA5183" s="3" t="s">
        <v>49729</v>
      </c>
      <c r="BB5183" s="3" t="s">
        <v>49730</v>
      </c>
      <c r="BC5183" s="3" t="s">
        <v>102</v>
      </c>
      <c r="BD5183" s="3" t="s">
        <v>68</v>
      </c>
      <c r="BE5183" s="3" t="s">
        <v>49731</v>
      </c>
      <c r="BF5183" s="3" t="s">
        <v>49730</v>
      </c>
      <c r="BG5183" s="3" t="s">
        <v>49732</v>
      </c>
    </row>
    <row r="5184" spans="1:59" ht="58" x14ac:dyDescent="0.35">
      <c r="A5184" s="2" t="s">
        <v>59</v>
      </c>
      <c r="B5184" s="2" t="s">
        <v>60</v>
      </c>
      <c r="C5184" s="2" t="s">
        <v>49733</v>
      </c>
      <c r="D5184" s="2" t="s">
        <v>49734</v>
      </c>
      <c r="E5184" s="2" t="s">
        <v>49735</v>
      </c>
      <c r="G5184" s="3" t="s">
        <v>62</v>
      </c>
      <c r="I5184" s="3" t="s">
        <v>62</v>
      </c>
      <c r="J5184" s="3" t="s">
        <v>62</v>
      </c>
      <c r="K5184" s="3" t="s">
        <v>63</v>
      </c>
      <c r="M5184" s="2" t="s">
        <v>49736</v>
      </c>
      <c r="N5184" s="3" t="s">
        <v>396</v>
      </c>
      <c r="P5184" s="3" t="s">
        <v>64</v>
      </c>
      <c r="R5184" s="3" t="s">
        <v>46535</v>
      </c>
      <c r="S5184" s="4">
        <v>4</v>
      </c>
      <c r="T5184" s="4">
        <v>4</v>
      </c>
      <c r="U5184" s="5" t="s">
        <v>46072</v>
      </c>
      <c r="V5184" s="5" t="s">
        <v>46072</v>
      </c>
      <c r="W5184" s="5" t="s">
        <v>67</v>
      </c>
      <c r="X5184" s="5" t="s">
        <v>67</v>
      </c>
      <c r="Y5184" s="4">
        <v>343</v>
      </c>
      <c r="Z5184" s="4">
        <v>24</v>
      </c>
      <c r="AA5184" s="4">
        <v>30</v>
      </c>
      <c r="AB5184" s="4">
        <v>3</v>
      </c>
      <c r="AC5184" s="4">
        <v>6</v>
      </c>
      <c r="AD5184" s="4">
        <v>92</v>
      </c>
      <c r="AE5184" s="4">
        <v>98</v>
      </c>
      <c r="AF5184" s="4">
        <v>1</v>
      </c>
      <c r="AG5184" s="4">
        <v>4</v>
      </c>
      <c r="AH5184" s="4">
        <v>82</v>
      </c>
      <c r="AI5184" s="4">
        <v>82</v>
      </c>
      <c r="AJ5184" s="4">
        <v>11</v>
      </c>
      <c r="AK5184" s="4">
        <v>14</v>
      </c>
      <c r="AL5184" s="4">
        <v>44</v>
      </c>
      <c r="AM5184" s="4">
        <v>44</v>
      </c>
      <c r="AN5184" s="4">
        <v>0</v>
      </c>
      <c r="AO5184" s="4">
        <v>0</v>
      </c>
      <c r="AP5184" s="4">
        <v>18</v>
      </c>
      <c r="AQ5184" s="4">
        <v>23</v>
      </c>
      <c r="AR5184" s="3" t="s">
        <v>62</v>
      </c>
      <c r="AS5184" s="3" t="s">
        <v>62</v>
      </c>
      <c r="AT5184" s="3" t="s">
        <v>61</v>
      </c>
      <c r="AU5184" s="6" t="str">
        <f>HYPERLINK("http://catalog.hathitrust.org/Record/007473684","HathiTrust Record")</f>
        <v>HathiTrust Record</v>
      </c>
      <c r="AV5184" s="6" t="str">
        <f>HYPERLINK("http://mcgill.on.worldcat.org/oclc/11969966","Catalog Record")</f>
        <v>Catalog Record</v>
      </c>
      <c r="AW5184" s="6" t="str">
        <f>HYPERLINK("http://www.worldcat.org/oclc/11969966","WorldCat Record")</f>
        <v>WorldCat Record</v>
      </c>
      <c r="AX5184" s="3" t="s">
        <v>49737</v>
      </c>
      <c r="AY5184" s="3" t="s">
        <v>49738</v>
      </c>
      <c r="AZ5184" s="3" t="s">
        <v>49739</v>
      </c>
      <c r="BA5184" s="3" t="s">
        <v>49739</v>
      </c>
      <c r="BB5184" s="3" t="s">
        <v>49740</v>
      </c>
      <c r="BC5184" s="3" t="s">
        <v>102</v>
      </c>
      <c r="BD5184" s="3" t="s">
        <v>68</v>
      </c>
      <c r="BE5184" s="3" t="s">
        <v>49741</v>
      </c>
      <c r="BF5184" s="3" t="s">
        <v>49740</v>
      </c>
      <c r="BG5184" s="3" t="s">
        <v>49742</v>
      </c>
    </row>
    <row r="5185" spans="1:59" ht="58" x14ac:dyDescent="0.35">
      <c r="A5185" s="2" t="s">
        <v>89</v>
      </c>
      <c r="B5185" s="2" t="s">
        <v>90</v>
      </c>
      <c r="C5185" s="2" t="s">
        <v>49743</v>
      </c>
      <c r="D5185" s="2" t="s">
        <v>49744</v>
      </c>
      <c r="E5185" s="2" t="s">
        <v>49745</v>
      </c>
      <c r="G5185" s="3" t="s">
        <v>62</v>
      </c>
      <c r="I5185" s="3" t="s">
        <v>62</v>
      </c>
      <c r="J5185" s="3" t="s">
        <v>62</v>
      </c>
      <c r="K5185" s="3" t="s">
        <v>63</v>
      </c>
      <c r="L5185" s="2" t="s">
        <v>49746</v>
      </c>
      <c r="M5185" s="2" t="s">
        <v>49747</v>
      </c>
      <c r="N5185" s="3" t="s">
        <v>2085</v>
      </c>
      <c r="O5185" s="2" t="s">
        <v>1941</v>
      </c>
      <c r="P5185" s="3" t="s">
        <v>64</v>
      </c>
      <c r="R5185" s="3" t="s">
        <v>46535</v>
      </c>
      <c r="S5185" s="4">
        <v>2</v>
      </c>
      <c r="T5185" s="4">
        <v>2</v>
      </c>
      <c r="U5185" s="5" t="s">
        <v>13723</v>
      </c>
      <c r="V5185" s="5" t="s">
        <v>13723</v>
      </c>
      <c r="W5185" s="5" t="s">
        <v>67</v>
      </c>
      <c r="X5185" s="5" t="s">
        <v>67</v>
      </c>
      <c r="Y5185" s="4">
        <v>790</v>
      </c>
      <c r="Z5185" s="4">
        <v>22</v>
      </c>
      <c r="AA5185" s="4">
        <v>26</v>
      </c>
      <c r="AB5185" s="4">
        <v>2</v>
      </c>
      <c r="AC5185" s="4">
        <v>3</v>
      </c>
      <c r="AD5185" s="4">
        <v>68</v>
      </c>
      <c r="AE5185" s="4">
        <v>70</v>
      </c>
      <c r="AF5185" s="4">
        <v>0</v>
      </c>
      <c r="AG5185" s="4">
        <v>0</v>
      </c>
      <c r="AH5185" s="4">
        <v>62</v>
      </c>
      <c r="AI5185" s="4">
        <v>64</v>
      </c>
      <c r="AJ5185" s="4">
        <v>6</v>
      </c>
      <c r="AK5185" s="4">
        <v>7</v>
      </c>
      <c r="AL5185" s="4">
        <v>38</v>
      </c>
      <c r="AM5185" s="4">
        <v>38</v>
      </c>
      <c r="AN5185" s="4">
        <v>0</v>
      </c>
      <c r="AO5185" s="4">
        <v>0</v>
      </c>
      <c r="AP5185" s="4">
        <v>10</v>
      </c>
      <c r="AQ5185" s="4">
        <v>11</v>
      </c>
      <c r="AR5185" s="3" t="s">
        <v>62</v>
      </c>
      <c r="AS5185" s="3" t="s">
        <v>62</v>
      </c>
      <c r="AT5185" s="3" t="s">
        <v>62</v>
      </c>
      <c r="AV5185" s="6" t="str">
        <f>HYPERLINK("http://mcgill.on.worldcat.org/oclc/988048434","Catalog Record")</f>
        <v>Catalog Record</v>
      </c>
      <c r="AW5185" s="6" t="str">
        <f>HYPERLINK("http://www.worldcat.org/oclc/988048434","WorldCat Record")</f>
        <v>WorldCat Record</v>
      </c>
      <c r="AX5185" s="3" t="s">
        <v>49748</v>
      </c>
      <c r="AY5185" s="3" t="s">
        <v>49749</v>
      </c>
      <c r="AZ5185" s="3" t="s">
        <v>49750</v>
      </c>
      <c r="BA5185" s="3" t="s">
        <v>49750</v>
      </c>
      <c r="BB5185" s="3" t="s">
        <v>49751</v>
      </c>
      <c r="BC5185" s="3" t="s">
        <v>102</v>
      </c>
      <c r="BD5185" s="3" t="s">
        <v>68</v>
      </c>
      <c r="BE5185" s="3" t="s">
        <v>49752</v>
      </c>
      <c r="BF5185" s="3" t="s">
        <v>49751</v>
      </c>
      <c r="BG5185" s="3" t="s">
        <v>49753</v>
      </c>
    </row>
    <row r="5186" spans="1:59" ht="58" x14ac:dyDescent="0.35">
      <c r="A5186" s="2" t="s">
        <v>89</v>
      </c>
      <c r="B5186" s="2" t="s">
        <v>90</v>
      </c>
      <c r="C5186" s="2" t="s">
        <v>49754</v>
      </c>
      <c r="D5186" s="2" t="s">
        <v>49755</v>
      </c>
      <c r="E5186" s="2" t="s">
        <v>49756</v>
      </c>
      <c r="G5186" s="3" t="s">
        <v>62</v>
      </c>
      <c r="I5186" s="3" t="s">
        <v>62</v>
      </c>
      <c r="J5186" s="3" t="s">
        <v>62</v>
      </c>
      <c r="K5186" s="3" t="s">
        <v>63</v>
      </c>
      <c r="L5186" s="2" t="s">
        <v>49757</v>
      </c>
      <c r="M5186" s="2" t="s">
        <v>49758</v>
      </c>
      <c r="N5186" s="3" t="s">
        <v>186</v>
      </c>
      <c r="P5186" s="3" t="s">
        <v>64</v>
      </c>
      <c r="R5186" s="3" t="s">
        <v>46535</v>
      </c>
      <c r="S5186" s="4">
        <v>8</v>
      </c>
      <c r="T5186" s="4">
        <v>8</v>
      </c>
      <c r="U5186" s="5" t="s">
        <v>45959</v>
      </c>
      <c r="V5186" s="5" t="s">
        <v>45959</v>
      </c>
      <c r="W5186" s="5" t="s">
        <v>67</v>
      </c>
      <c r="X5186" s="5" t="s">
        <v>67</v>
      </c>
      <c r="Y5186" s="4">
        <v>571</v>
      </c>
      <c r="Z5186" s="4">
        <v>36</v>
      </c>
      <c r="AA5186" s="4">
        <v>40</v>
      </c>
      <c r="AB5186" s="4">
        <v>2</v>
      </c>
      <c r="AC5186" s="4">
        <v>5</v>
      </c>
      <c r="AD5186" s="4">
        <v>97</v>
      </c>
      <c r="AE5186" s="4">
        <v>101</v>
      </c>
      <c r="AF5186" s="4">
        <v>1</v>
      </c>
      <c r="AG5186" s="4">
        <v>4</v>
      </c>
      <c r="AH5186" s="4">
        <v>80</v>
      </c>
      <c r="AI5186" s="4">
        <v>82</v>
      </c>
      <c r="AJ5186" s="4">
        <v>17</v>
      </c>
      <c r="AK5186" s="4">
        <v>21</v>
      </c>
      <c r="AL5186" s="4">
        <v>46</v>
      </c>
      <c r="AM5186" s="4">
        <v>46</v>
      </c>
      <c r="AN5186" s="4">
        <v>0</v>
      </c>
      <c r="AO5186" s="4">
        <v>0</v>
      </c>
      <c r="AP5186" s="4">
        <v>25</v>
      </c>
      <c r="AQ5186" s="4">
        <v>28</v>
      </c>
      <c r="AR5186" s="3" t="s">
        <v>62</v>
      </c>
      <c r="AS5186" s="3" t="s">
        <v>62</v>
      </c>
      <c r="AT5186" s="3" t="s">
        <v>61</v>
      </c>
      <c r="AU5186" s="6" t="str">
        <f>HYPERLINK("http://catalog.hathitrust.org/Record/000028760","HathiTrust Record")</f>
        <v>HathiTrust Record</v>
      </c>
      <c r="AV5186" s="6" t="str">
        <f>HYPERLINK("http://mcgill.on.worldcat.org/oclc/1272617","Catalog Record")</f>
        <v>Catalog Record</v>
      </c>
      <c r="AW5186" s="6" t="str">
        <f>HYPERLINK("http://www.worldcat.org/oclc/1272617","WorldCat Record")</f>
        <v>WorldCat Record</v>
      </c>
      <c r="AX5186" s="3" t="s">
        <v>49759</v>
      </c>
      <c r="AY5186" s="3" t="s">
        <v>49760</v>
      </c>
      <c r="AZ5186" s="3" t="s">
        <v>49761</v>
      </c>
      <c r="BA5186" s="3" t="s">
        <v>49761</v>
      </c>
      <c r="BB5186" s="3" t="s">
        <v>49762</v>
      </c>
      <c r="BC5186" s="3" t="s">
        <v>102</v>
      </c>
      <c r="BD5186" s="3" t="s">
        <v>68</v>
      </c>
      <c r="BE5186" s="3" t="s">
        <v>49763</v>
      </c>
      <c r="BF5186" s="3" t="s">
        <v>49762</v>
      </c>
      <c r="BG5186" s="3" t="s">
        <v>49764</v>
      </c>
    </row>
    <row r="5187" spans="1:59" ht="58" x14ac:dyDescent="0.35">
      <c r="A5187" s="2" t="s">
        <v>89</v>
      </c>
      <c r="B5187" s="2" t="s">
        <v>90</v>
      </c>
      <c r="C5187" s="2" t="s">
        <v>49765</v>
      </c>
      <c r="D5187" s="2" t="s">
        <v>49766</v>
      </c>
      <c r="E5187" s="2" t="s">
        <v>49767</v>
      </c>
      <c r="G5187" s="3" t="s">
        <v>62</v>
      </c>
      <c r="I5187" s="3" t="s">
        <v>62</v>
      </c>
      <c r="J5187" s="3" t="s">
        <v>62</v>
      </c>
      <c r="K5187" s="3" t="s">
        <v>63</v>
      </c>
      <c r="L5187" s="2" t="s">
        <v>49768</v>
      </c>
      <c r="M5187" s="2" t="s">
        <v>49769</v>
      </c>
      <c r="N5187" s="3" t="s">
        <v>640</v>
      </c>
      <c r="O5187" s="2" t="s">
        <v>2163</v>
      </c>
      <c r="P5187" s="3" t="s">
        <v>64</v>
      </c>
      <c r="R5187" s="3" t="s">
        <v>46535</v>
      </c>
      <c r="S5187" s="4">
        <v>26</v>
      </c>
      <c r="T5187" s="4">
        <v>26</v>
      </c>
      <c r="U5187" s="5" t="s">
        <v>1266</v>
      </c>
      <c r="V5187" s="5" t="s">
        <v>1266</v>
      </c>
      <c r="W5187" s="5" t="s">
        <v>67</v>
      </c>
      <c r="X5187" s="5" t="s">
        <v>67</v>
      </c>
      <c r="Y5187" s="4">
        <v>813</v>
      </c>
      <c r="Z5187" s="4">
        <v>38</v>
      </c>
      <c r="AA5187" s="4">
        <v>50</v>
      </c>
      <c r="AB5187" s="4">
        <v>4</v>
      </c>
      <c r="AC5187" s="4">
        <v>7</v>
      </c>
      <c r="AD5187" s="4">
        <v>91</v>
      </c>
      <c r="AE5187" s="4">
        <v>104</v>
      </c>
      <c r="AF5187" s="4">
        <v>1</v>
      </c>
      <c r="AG5187" s="4">
        <v>3</v>
      </c>
      <c r="AH5187" s="4">
        <v>81</v>
      </c>
      <c r="AI5187" s="4">
        <v>87</v>
      </c>
      <c r="AJ5187" s="4">
        <v>14</v>
      </c>
      <c r="AK5187" s="4">
        <v>18</v>
      </c>
      <c r="AL5187" s="4">
        <v>46</v>
      </c>
      <c r="AM5187" s="4">
        <v>50</v>
      </c>
      <c r="AN5187" s="4">
        <v>0</v>
      </c>
      <c r="AO5187" s="4">
        <v>0</v>
      </c>
      <c r="AP5187" s="4">
        <v>18</v>
      </c>
      <c r="AQ5187" s="4">
        <v>23</v>
      </c>
      <c r="AR5187" s="3" t="s">
        <v>62</v>
      </c>
      <c r="AS5187" s="3" t="s">
        <v>62</v>
      </c>
      <c r="AT5187" s="3" t="s">
        <v>62</v>
      </c>
      <c r="AV5187" s="6" t="str">
        <f>HYPERLINK("http://mcgill.on.worldcat.org/oclc/55510125","Catalog Record")</f>
        <v>Catalog Record</v>
      </c>
      <c r="AW5187" s="6" t="str">
        <f>HYPERLINK("http://www.worldcat.org/oclc/55510125","WorldCat Record")</f>
        <v>WorldCat Record</v>
      </c>
      <c r="AX5187" s="3" t="s">
        <v>49770</v>
      </c>
      <c r="AY5187" s="3" t="s">
        <v>49771</v>
      </c>
      <c r="AZ5187" s="3" t="s">
        <v>49772</v>
      </c>
      <c r="BA5187" s="3" t="s">
        <v>49772</v>
      </c>
      <c r="BB5187" s="3" t="s">
        <v>49773</v>
      </c>
      <c r="BC5187" s="3" t="s">
        <v>102</v>
      </c>
      <c r="BD5187" s="3" t="s">
        <v>68</v>
      </c>
      <c r="BE5187" s="3" t="s">
        <v>49774</v>
      </c>
      <c r="BF5187" s="3" t="s">
        <v>49773</v>
      </c>
      <c r="BG5187" s="3" t="s">
        <v>49775</v>
      </c>
    </row>
    <row r="5188" spans="1:59" ht="101.5" x14ac:dyDescent="0.35">
      <c r="A5188" s="2" t="s">
        <v>89</v>
      </c>
      <c r="B5188" s="2" t="s">
        <v>36812</v>
      </c>
      <c r="C5188" s="2" t="s">
        <v>49776</v>
      </c>
      <c r="D5188" s="2" t="s">
        <v>49777</v>
      </c>
      <c r="E5188" s="2" t="s">
        <v>49778</v>
      </c>
      <c r="G5188" s="3" t="s">
        <v>62</v>
      </c>
      <c r="I5188" s="3" t="s">
        <v>62</v>
      </c>
      <c r="J5188" s="3" t="s">
        <v>62</v>
      </c>
      <c r="K5188" s="3" t="s">
        <v>63</v>
      </c>
      <c r="L5188" s="2" t="s">
        <v>49779</v>
      </c>
      <c r="M5188" s="2" t="s">
        <v>4522</v>
      </c>
      <c r="N5188" s="3" t="s">
        <v>880</v>
      </c>
      <c r="P5188" s="3" t="s">
        <v>64</v>
      </c>
      <c r="R5188" s="3" t="s">
        <v>46535</v>
      </c>
      <c r="S5188" s="4">
        <v>5</v>
      </c>
      <c r="T5188" s="4">
        <v>5</v>
      </c>
      <c r="U5188" s="5" t="s">
        <v>16130</v>
      </c>
      <c r="V5188" s="5" t="s">
        <v>16130</v>
      </c>
      <c r="W5188" s="5" t="s">
        <v>67</v>
      </c>
      <c r="X5188" s="5" t="s">
        <v>67</v>
      </c>
      <c r="Y5188" s="4">
        <v>186</v>
      </c>
      <c r="Z5188" s="4">
        <v>9</v>
      </c>
      <c r="AA5188" s="4">
        <v>22</v>
      </c>
      <c r="AB5188" s="4">
        <v>1</v>
      </c>
      <c r="AC5188" s="4">
        <v>3</v>
      </c>
      <c r="AD5188" s="4">
        <v>18</v>
      </c>
      <c r="AE5188" s="4">
        <v>31</v>
      </c>
      <c r="AF5188" s="4">
        <v>0</v>
      </c>
      <c r="AG5188" s="4">
        <v>0</v>
      </c>
      <c r="AH5188" s="4">
        <v>17</v>
      </c>
      <c r="AI5188" s="4">
        <v>29</v>
      </c>
      <c r="AJ5188" s="4">
        <v>4</v>
      </c>
      <c r="AK5188" s="4">
        <v>4</v>
      </c>
      <c r="AL5188" s="4">
        <v>7</v>
      </c>
      <c r="AM5188" s="4">
        <v>13</v>
      </c>
      <c r="AN5188" s="4">
        <v>0</v>
      </c>
      <c r="AO5188" s="4">
        <v>0</v>
      </c>
      <c r="AP5188" s="4">
        <v>4</v>
      </c>
      <c r="AQ5188" s="4">
        <v>4</v>
      </c>
      <c r="AR5188" s="3" t="s">
        <v>62</v>
      </c>
      <c r="AS5188" s="3" t="s">
        <v>62</v>
      </c>
      <c r="AT5188" s="3" t="s">
        <v>62</v>
      </c>
      <c r="AV5188" s="6" t="str">
        <f>HYPERLINK("http://mcgill.on.worldcat.org/oclc/311074860","Catalog Record")</f>
        <v>Catalog Record</v>
      </c>
      <c r="AW5188" s="6" t="str">
        <f>HYPERLINK("http://www.worldcat.org/oclc/311074860","WorldCat Record")</f>
        <v>WorldCat Record</v>
      </c>
      <c r="AX5188" s="3" t="s">
        <v>49780</v>
      </c>
      <c r="AY5188" s="3" t="s">
        <v>49781</v>
      </c>
      <c r="AZ5188" s="3" t="s">
        <v>49782</v>
      </c>
      <c r="BA5188" s="3" t="s">
        <v>49782</v>
      </c>
      <c r="BB5188" s="3" t="s">
        <v>49783</v>
      </c>
      <c r="BC5188" s="3" t="s">
        <v>102</v>
      </c>
      <c r="BD5188" s="3" t="s">
        <v>68</v>
      </c>
      <c r="BE5188" s="3" t="s">
        <v>49784</v>
      </c>
      <c r="BF5188" s="3" t="s">
        <v>49783</v>
      </c>
      <c r="BG5188" s="3" t="s">
        <v>49785</v>
      </c>
    </row>
    <row r="5189" spans="1:59" ht="58" x14ac:dyDescent="0.35">
      <c r="A5189" s="2" t="s">
        <v>89</v>
      </c>
      <c r="B5189" s="2" t="s">
        <v>90</v>
      </c>
      <c r="C5189" s="2" t="s">
        <v>49786</v>
      </c>
      <c r="D5189" s="2" t="s">
        <v>49787</v>
      </c>
      <c r="E5189" s="2" t="s">
        <v>49788</v>
      </c>
      <c r="G5189" s="3" t="s">
        <v>62</v>
      </c>
      <c r="I5189" s="3" t="s">
        <v>62</v>
      </c>
      <c r="J5189" s="3" t="s">
        <v>62</v>
      </c>
      <c r="K5189" s="3" t="s">
        <v>63</v>
      </c>
      <c r="M5189" s="2" t="s">
        <v>49789</v>
      </c>
      <c r="N5189" s="3" t="s">
        <v>852</v>
      </c>
      <c r="P5189" s="3" t="s">
        <v>64</v>
      </c>
      <c r="R5189" s="3" t="s">
        <v>46535</v>
      </c>
      <c r="S5189" s="4">
        <v>2</v>
      </c>
      <c r="T5189" s="4">
        <v>2</v>
      </c>
      <c r="U5189" s="5" t="s">
        <v>9002</v>
      </c>
      <c r="V5189" s="5" t="s">
        <v>9002</v>
      </c>
      <c r="W5189" s="5" t="s">
        <v>67</v>
      </c>
      <c r="X5189" s="5" t="s">
        <v>67</v>
      </c>
      <c r="Y5189" s="4">
        <v>295</v>
      </c>
      <c r="Z5189" s="4">
        <v>23</v>
      </c>
      <c r="AA5189" s="4">
        <v>26</v>
      </c>
      <c r="AB5189" s="4">
        <v>2</v>
      </c>
      <c r="AC5189" s="4">
        <v>4</v>
      </c>
      <c r="AD5189" s="4">
        <v>104</v>
      </c>
      <c r="AE5189" s="4">
        <v>108</v>
      </c>
      <c r="AF5189" s="4">
        <v>1</v>
      </c>
      <c r="AG5189" s="4">
        <v>2</v>
      </c>
      <c r="AH5189" s="4">
        <v>90</v>
      </c>
      <c r="AI5189" s="4">
        <v>92</v>
      </c>
      <c r="AJ5189" s="4">
        <v>17</v>
      </c>
      <c r="AK5189" s="4">
        <v>18</v>
      </c>
      <c r="AL5189" s="4">
        <v>54</v>
      </c>
      <c r="AM5189" s="4">
        <v>55</v>
      </c>
      <c r="AN5189" s="4">
        <v>0</v>
      </c>
      <c r="AO5189" s="4">
        <v>0</v>
      </c>
      <c r="AP5189" s="4">
        <v>18</v>
      </c>
      <c r="AQ5189" s="4">
        <v>20</v>
      </c>
      <c r="AR5189" s="3" t="s">
        <v>62</v>
      </c>
      <c r="AS5189" s="3" t="s">
        <v>62</v>
      </c>
      <c r="AT5189" s="3" t="s">
        <v>61</v>
      </c>
      <c r="AU5189" s="6" t="str">
        <f>HYPERLINK("http://catalog.hathitrust.org/Record/001554819","HathiTrust Record")</f>
        <v>HathiTrust Record</v>
      </c>
      <c r="AV5189" s="6" t="str">
        <f>HYPERLINK("http://mcgill.on.worldcat.org/oclc/59883","Catalog Record")</f>
        <v>Catalog Record</v>
      </c>
      <c r="AW5189" s="6" t="str">
        <f>HYPERLINK("http://www.worldcat.org/oclc/59883","WorldCat Record")</f>
        <v>WorldCat Record</v>
      </c>
      <c r="AX5189" s="3" t="s">
        <v>49790</v>
      </c>
      <c r="AY5189" s="3" t="s">
        <v>49791</v>
      </c>
      <c r="AZ5189" s="3" t="s">
        <v>49792</v>
      </c>
      <c r="BA5189" s="3" t="s">
        <v>49792</v>
      </c>
      <c r="BB5189" s="3" t="s">
        <v>49793</v>
      </c>
      <c r="BC5189" s="3" t="s">
        <v>102</v>
      </c>
      <c r="BD5189" s="3" t="s">
        <v>68</v>
      </c>
      <c r="BF5189" s="3" t="s">
        <v>49793</v>
      </c>
      <c r="BG5189" s="3" t="s">
        <v>49794</v>
      </c>
    </row>
    <row r="5190" spans="1:59" ht="58" x14ac:dyDescent="0.35">
      <c r="A5190" s="2" t="s">
        <v>59</v>
      </c>
      <c r="B5190" s="2" t="s">
        <v>60</v>
      </c>
      <c r="C5190" s="2" t="s">
        <v>49795</v>
      </c>
      <c r="D5190" s="2" t="s">
        <v>49796</v>
      </c>
      <c r="E5190" s="2" t="s">
        <v>49797</v>
      </c>
      <c r="G5190" s="3" t="s">
        <v>62</v>
      </c>
      <c r="I5190" s="3" t="s">
        <v>62</v>
      </c>
      <c r="J5190" s="3" t="s">
        <v>62</v>
      </c>
      <c r="K5190" s="3" t="s">
        <v>63</v>
      </c>
      <c r="L5190" s="2" t="s">
        <v>49798</v>
      </c>
      <c r="M5190" s="2" t="s">
        <v>49799</v>
      </c>
      <c r="N5190" s="3" t="s">
        <v>893</v>
      </c>
      <c r="P5190" s="3" t="s">
        <v>64</v>
      </c>
      <c r="R5190" s="3" t="s">
        <v>46535</v>
      </c>
      <c r="S5190" s="4">
        <v>6</v>
      </c>
      <c r="T5190" s="4">
        <v>6</v>
      </c>
      <c r="U5190" s="5" t="s">
        <v>14092</v>
      </c>
      <c r="V5190" s="5" t="s">
        <v>14092</v>
      </c>
      <c r="W5190" s="5" t="s">
        <v>67</v>
      </c>
      <c r="X5190" s="5" t="s">
        <v>67</v>
      </c>
      <c r="Y5190" s="4">
        <v>287</v>
      </c>
      <c r="Z5190" s="4">
        <v>20</v>
      </c>
      <c r="AA5190" s="4">
        <v>23</v>
      </c>
      <c r="AB5190" s="4">
        <v>1</v>
      </c>
      <c r="AC5190" s="4">
        <v>4</v>
      </c>
      <c r="AD5190" s="4">
        <v>87</v>
      </c>
      <c r="AE5190" s="4">
        <v>90</v>
      </c>
      <c r="AF5190" s="4">
        <v>0</v>
      </c>
      <c r="AG5190" s="4">
        <v>2</v>
      </c>
      <c r="AH5190" s="4">
        <v>75</v>
      </c>
      <c r="AI5190" s="4">
        <v>76</v>
      </c>
      <c r="AJ5190" s="4">
        <v>12</v>
      </c>
      <c r="AK5190" s="4">
        <v>14</v>
      </c>
      <c r="AL5190" s="4">
        <v>40</v>
      </c>
      <c r="AM5190" s="4">
        <v>41</v>
      </c>
      <c r="AN5190" s="4">
        <v>0</v>
      </c>
      <c r="AO5190" s="4">
        <v>0</v>
      </c>
      <c r="AP5190" s="4">
        <v>15</v>
      </c>
      <c r="AQ5190" s="4">
        <v>17</v>
      </c>
      <c r="AR5190" s="3" t="s">
        <v>62</v>
      </c>
      <c r="AS5190" s="3" t="s">
        <v>62</v>
      </c>
      <c r="AT5190" s="3" t="s">
        <v>61</v>
      </c>
      <c r="AU5190" s="6" t="str">
        <f>HYPERLINK("http://catalog.hathitrust.org/Record/000308251","HathiTrust Record")</f>
        <v>HathiTrust Record</v>
      </c>
      <c r="AV5190" s="6" t="str">
        <f>HYPERLINK("http://mcgill.on.worldcat.org/oclc/6305139","Catalog Record")</f>
        <v>Catalog Record</v>
      </c>
      <c r="AW5190" s="6" t="str">
        <f>HYPERLINK("http://www.worldcat.org/oclc/6305139","WorldCat Record")</f>
        <v>WorldCat Record</v>
      </c>
      <c r="AX5190" s="3" t="s">
        <v>49800</v>
      </c>
      <c r="AY5190" s="3" t="s">
        <v>49801</v>
      </c>
      <c r="AZ5190" s="3" t="s">
        <v>49802</v>
      </c>
      <c r="BA5190" s="3" t="s">
        <v>49802</v>
      </c>
      <c r="BB5190" s="3" t="s">
        <v>49803</v>
      </c>
      <c r="BC5190" s="3" t="s">
        <v>102</v>
      </c>
      <c r="BD5190" s="3" t="s">
        <v>68</v>
      </c>
      <c r="BE5190" s="3" t="s">
        <v>49804</v>
      </c>
      <c r="BF5190" s="3" t="s">
        <v>49803</v>
      </c>
      <c r="BG5190" s="3" t="s">
        <v>49805</v>
      </c>
    </row>
    <row r="5191" spans="1:59" ht="58" x14ac:dyDescent="0.35">
      <c r="A5191" s="2" t="s">
        <v>89</v>
      </c>
      <c r="B5191" s="2" t="s">
        <v>90</v>
      </c>
      <c r="C5191" s="2" t="s">
        <v>49806</v>
      </c>
      <c r="D5191" s="2" t="s">
        <v>49807</v>
      </c>
      <c r="E5191" s="2" t="s">
        <v>49808</v>
      </c>
      <c r="G5191" s="3" t="s">
        <v>62</v>
      </c>
      <c r="I5191" s="3" t="s">
        <v>62</v>
      </c>
      <c r="J5191" s="3" t="s">
        <v>61</v>
      </c>
      <c r="K5191" s="3" t="s">
        <v>63</v>
      </c>
      <c r="L5191" s="2" t="s">
        <v>12602</v>
      </c>
      <c r="M5191" s="2" t="s">
        <v>49809</v>
      </c>
      <c r="N5191" s="3" t="s">
        <v>2136</v>
      </c>
      <c r="P5191" s="3" t="s">
        <v>64</v>
      </c>
      <c r="R5191" s="3" t="s">
        <v>46535</v>
      </c>
      <c r="S5191" s="4">
        <v>50</v>
      </c>
      <c r="T5191" s="4">
        <v>50</v>
      </c>
      <c r="U5191" s="5" t="s">
        <v>10665</v>
      </c>
      <c r="V5191" s="5" t="s">
        <v>10665</v>
      </c>
      <c r="W5191" s="5" t="s">
        <v>67</v>
      </c>
      <c r="X5191" s="5" t="s">
        <v>67</v>
      </c>
      <c r="Y5191" s="4">
        <v>1433</v>
      </c>
      <c r="Z5191" s="4">
        <v>55</v>
      </c>
      <c r="AA5191" s="4">
        <v>83</v>
      </c>
      <c r="AB5191" s="4">
        <v>4</v>
      </c>
      <c r="AC5191" s="4">
        <v>14</v>
      </c>
      <c r="AD5191" s="4">
        <v>105</v>
      </c>
      <c r="AE5191" s="4">
        <v>131</v>
      </c>
      <c r="AF5191" s="4">
        <v>1</v>
      </c>
      <c r="AG5191" s="4">
        <v>5</v>
      </c>
      <c r="AH5191" s="4">
        <v>91</v>
      </c>
      <c r="AI5191" s="4">
        <v>105</v>
      </c>
      <c r="AJ5191" s="4">
        <v>15</v>
      </c>
      <c r="AK5191" s="4">
        <v>23</v>
      </c>
      <c r="AL5191" s="4">
        <v>52</v>
      </c>
      <c r="AM5191" s="4">
        <v>58</v>
      </c>
      <c r="AN5191" s="4">
        <v>0</v>
      </c>
      <c r="AO5191" s="4">
        <v>0</v>
      </c>
      <c r="AP5191" s="4">
        <v>20</v>
      </c>
      <c r="AQ5191" s="4">
        <v>33</v>
      </c>
      <c r="AR5191" s="3" t="s">
        <v>62</v>
      </c>
      <c r="AS5191" s="3" t="s">
        <v>62</v>
      </c>
      <c r="AT5191" s="3" t="s">
        <v>62</v>
      </c>
      <c r="AV5191" s="6" t="str">
        <f>HYPERLINK("http://mcgill.on.worldcat.org/oclc/57201348","Catalog Record")</f>
        <v>Catalog Record</v>
      </c>
      <c r="AW5191" s="6" t="str">
        <f>HYPERLINK("http://www.worldcat.org/oclc/57201348","WorldCat Record")</f>
        <v>WorldCat Record</v>
      </c>
      <c r="AX5191" s="3" t="s">
        <v>49810</v>
      </c>
      <c r="AY5191" s="3" t="s">
        <v>49811</v>
      </c>
      <c r="AZ5191" s="3" t="s">
        <v>49812</v>
      </c>
      <c r="BA5191" s="3" t="s">
        <v>49812</v>
      </c>
      <c r="BB5191" s="3" t="s">
        <v>49813</v>
      </c>
      <c r="BC5191" s="3" t="s">
        <v>102</v>
      </c>
      <c r="BD5191" s="3" t="s">
        <v>231</v>
      </c>
      <c r="BE5191" s="3" t="s">
        <v>49814</v>
      </c>
      <c r="BF5191" s="3" t="s">
        <v>49813</v>
      </c>
      <c r="BG5191" s="3" t="s">
        <v>49815</v>
      </c>
    </row>
    <row r="5192" spans="1:59" ht="58" x14ac:dyDescent="0.35">
      <c r="A5192" s="2" t="s">
        <v>89</v>
      </c>
      <c r="B5192" s="2" t="s">
        <v>90</v>
      </c>
      <c r="C5192" s="2" t="s">
        <v>49816</v>
      </c>
      <c r="D5192" s="2" t="s">
        <v>49817</v>
      </c>
      <c r="E5192" s="2" t="s">
        <v>49808</v>
      </c>
      <c r="G5192" s="3" t="s">
        <v>62</v>
      </c>
      <c r="I5192" s="3" t="s">
        <v>62</v>
      </c>
      <c r="J5192" s="3" t="s">
        <v>61</v>
      </c>
      <c r="K5192" s="3" t="s">
        <v>63</v>
      </c>
      <c r="L5192" s="2" t="s">
        <v>49818</v>
      </c>
      <c r="M5192" s="2" t="s">
        <v>49819</v>
      </c>
      <c r="N5192" s="3" t="s">
        <v>1195</v>
      </c>
      <c r="P5192" s="3" t="s">
        <v>64</v>
      </c>
      <c r="R5192" s="3" t="s">
        <v>46535</v>
      </c>
      <c r="S5192" s="4">
        <v>31</v>
      </c>
      <c r="T5192" s="4">
        <v>31</v>
      </c>
      <c r="U5192" s="5" t="s">
        <v>19386</v>
      </c>
      <c r="V5192" s="5" t="s">
        <v>19386</v>
      </c>
      <c r="W5192" s="5" t="s">
        <v>67</v>
      </c>
      <c r="X5192" s="5" t="s">
        <v>67</v>
      </c>
      <c r="Y5192" s="4">
        <v>531</v>
      </c>
      <c r="Z5192" s="4">
        <v>24</v>
      </c>
      <c r="AA5192" s="4">
        <v>83</v>
      </c>
      <c r="AB5192" s="4">
        <v>2</v>
      </c>
      <c r="AC5192" s="4">
        <v>14</v>
      </c>
      <c r="AD5192" s="4">
        <v>34</v>
      </c>
      <c r="AE5192" s="4">
        <v>131</v>
      </c>
      <c r="AF5192" s="4">
        <v>0</v>
      </c>
      <c r="AG5192" s="4">
        <v>5</v>
      </c>
      <c r="AH5192" s="4">
        <v>25</v>
      </c>
      <c r="AI5192" s="4">
        <v>105</v>
      </c>
      <c r="AJ5192" s="4">
        <v>6</v>
      </c>
      <c r="AK5192" s="4">
        <v>23</v>
      </c>
      <c r="AL5192" s="4">
        <v>14</v>
      </c>
      <c r="AM5192" s="4">
        <v>58</v>
      </c>
      <c r="AN5192" s="4">
        <v>0</v>
      </c>
      <c r="AO5192" s="4">
        <v>0</v>
      </c>
      <c r="AP5192" s="4">
        <v>13</v>
      </c>
      <c r="AQ5192" s="4">
        <v>33</v>
      </c>
      <c r="AR5192" s="3" t="s">
        <v>62</v>
      </c>
      <c r="AS5192" s="3" t="s">
        <v>62</v>
      </c>
      <c r="AT5192" s="3" t="s">
        <v>62</v>
      </c>
      <c r="AV5192" s="6" t="str">
        <f>HYPERLINK("http://mcgill.on.worldcat.org/oclc/71826177","Catalog Record")</f>
        <v>Catalog Record</v>
      </c>
      <c r="AW5192" s="6" t="str">
        <f>HYPERLINK("http://www.worldcat.org/oclc/71826177","WorldCat Record")</f>
        <v>WorldCat Record</v>
      </c>
      <c r="AX5192" s="3" t="s">
        <v>49810</v>
      </c>
      <c r="AY5192" s="3" t="s">
        <v>49820</v>
      </c>
      <c r="AZ5192" s="3" t="s">
        <v>49821</v>
      </c>
      <c r="BA5192" s="3" t="s">
        <v>49821</v>
      </c>
      <c r="BB5192" s="3" t="s">
        <v>49822</v>
      </c>
      <c r="BC5192" s="3" t="s">
        <v>102</v>
      </c>
      <c r="BD5192" s="3" t="s">
        <v>231</v>
      </c>
      <c r="BE5192" s="3" t="s">
        <v>49823</v>
      </c>
      <c r="BF5192" s="3" t="s">
        <v>49822</v>
      </c>
      <c r="BG5192" s="3" t="s">
        <v>49824</v>
      </c>
    </row>
    <row r="5193" spans="1:59" ht="58" x14ac:dyDescent="0.35">
      <c r="A5193" s="2" t="s">
        <v>89</v>
      </c>
      <c r="B5193" s="2" t="s">
        <v>90</v>
      </c>
      <c r="C5193" s="2" t="s">
        <v>49825</v>
      </c>
      <c r="D5193" s="2" t="s">
        <v>49826</v>
      </c>
      <c r="E5193" s="2" t="s">
        <v>49827</v>
      </c>
      <c r="G5193" s="3" t="s">
        <v>62</v>
      </c>
      <c r="I5193" s="3" t="s">
        <v>62</v>
      </c>
      <c r="J5193" s="3" t="s">
        <v>62</v>
      </c>
      <c r="K5193" s="3" t="s">
        <v>63</v>
      </c>
      <c r="L5193" s="2" t="s">
        <v>49828</v>
      </c>
      <c r="M5193" s="2" t="s">
        <v>49829</v>
      </c>
      <c r="N5193" s="3" t="s">
        <v>596</v>
      </c>
      <c r="O5193" s="2" t="s">
        <v>2163</v>
      </c>
      <c r="P5193" s="3" t="s">
        <v>64</v>
      </c>
      <c r="R5193" s="3" t="s">
        <v>46535</v>
      </c>
      <c r="S5193" s="4">
        <v>9</v>
      </c>
      <c r="T5193" s="4">
        <v>9</v>
      </c>
      <c r="U5193" s="5" t="s">
        <v>11582</v>
      </c>
      <c r="V5193" s="5" t="s">
        <v>11582</v>
      </c>
      <c r="W5193" s="5" t="s">
        <v>67</v>
      </c>
      <c r="X5193" s="5" t="s">
        <v>67</v>
      </c>
      <c r="Y5193" s="4">
        <v>394</v>
      </c>
      <c r="Z5193" s="4">
        <v>16</v>
      </c>
      <c r="AA5193" s="4">
        <v>16</v>
      </c>
      <c r="AB5193" s="4">
        <v>1</v>
      </c>
      <c r="AC5193" s="4">
        <v>1</v>
      </c>
      <c r="AD5193" s="4">
        <v>77</v>
      </c>
      <c r="AE5193" s="4">
        <v>77</v>
      </c>
      <c r="AF5193" s="4">
        <v>0</v>
      </c>
      <c r="AG5193" s="4">
        <v>0</v>
      </c>
      <c r="AH5193" s="4">
        <v>70</v>
      </c>
      <c r="AI5193" s="4">
        <v>70</v>
      </c>
      <c r="AJ5193" s="4">
        <v>9</v>
      </c>
      <c r="AK5193" s="4">
        <v>9</v>
      </c>
      <c r="AL5193" s="4">
        <v>39</v>
      </c>
      <c r="AM5193" s="4">
        <v>39</v>
      </c>
      <c r="AN5193" s="4">
        <v>0</v>
      </c>
      <c r="AO5193" s="4">
        <v>0</v>
      </c>
      <c r="AP5193" s="4">
        <v>10</v>
      </c>
      <c r="AQ5193" s="4">
        <v>10</v>
      </c>
      <c r="AR5193" s="3" t="s">
        <v>62</v>
      </c>
      <c r="AS5193" s="3" t="s">
        <v>62</v>
      </c>
      <c r="AT5193" s="3" t="s">
        <v>62</v>
      </c>
      <c r="AV5193" s="6" t="str">
        <f>HYPERLINK("http://mcgill.on.worldcat.org/oclc/51212883","Catalog Record")</f>
        <v>Catalog Record</v>
      </c>
      <c r="AW5193" s="6" t="str">
        <f>HYPERLINK("http://www.worldcat.org/oclc/51212883","WorldCat Record")</f>
        <v>WorldCat Record</v>
      </c>
      <c r="AX5193" s="3" t="s">
        <v>49830</v>
      </c>
      <c r="AY5193" s="3" t="s">
        <v>49831</v>
      </c>
      <c r="AZ5193" s="3" t="s">
        <v>49832</v>
      </c>
      <c r="BA5193" s="3" t="s">
        <v>49832</v>
      </c>
      <c r="BB5193" s="3" t="s">
        <v>49833</v>
      </c>
      <c r="BC5193" s="3" t="s">
        <v>102</v>
      </c>
      <c r="BD5193" s="3" t="s">
        <v>68</v>
      </c>
      <c r="BE5193" s="3" t="s">
        <v>49834</v>
      </c>
      <c r="BF5193" s="3" t="s">
        <v>49833</v>
      </c>
      <c r="BG5193" s="3" t="s">
        <v>49835</v>
      </c>
    </row>
    <row r="5194" spans="1:59" ht="58" x14ac:dyDescent="0.35">
      <c r="A5194" s="2" t="s">
        <v>89</v>
      </c>
      <c r="B5194" s="2" t="s">
        <v>90</v>
      </c>
      <c r="C5194" s="2" t="s">
        <v>49836</v>
      </c>
      <c r="D5194" s="2" t="s">
        <v>49837</v>
      </c>
      <c r="E5194" s="2" t="s">
        <v>49838</v>
      </c>
      <c r="G5194" s="3" t="s">
        <v>62</v>
      </c>
      <c r="I5194" s="3" t="s">
        <v>62</v>
      </c>
      <c r="J5194" s="3" t="s">
        <v>62</v>
      </c>
      <c r="K5194" s="3" t="s">
        <v>63</v>
      </c>
      <c r="L5194" s="2" t="s">
        <v>49839</v>
      </c>
      <c r="M5194" s="2" t="s">
        <v>49840</v>
      </c>
      <c r="N5194" s="3" t="s">
        <v>1349</v>
      </c>
      <c r="P5194" s="3" t="s">
        <v>64</v>
      </c>
      <c r="Q5194" s="2" t="s">
        <v>49841</v>
      </c>
      <c r="R5194" s="3" t="s">
        <v>46535</v>
      </c>
      <c r="S5194" s="4">
        <v>3</v>
      </c>
      <c r="T5194" s="4">
        <v>3</v>
      </c>
      <c r="U5194" s="5" t="s">
        <v>49842</v>
      </c>
      <c r="V5194" s="5" t="s">
        <v>49842</v>
      </c>
      <c r="W5194" s="5" t="s">
        <v>67</v>
      </c>
      <c r="X5194" s="5" t="s">
        <v>67</v>
      </c>
      <c r="Y5194" s="4">
        <v>80</v>
      </c>
      <c r="Z5194" s="4">
        <v>4</v>
      </c>
      <c r="AA5194" s="4">
        <v>23</v>
      </c>
      <c r="AB5194" s="4">
        <v>2</v>
      </c>
      <c r="AC5194" s="4">
        <v>2</v>
      </c>
      <c r="AD5194" s="4">
        <v>41</v>
      </c>
      <c r="AE5194" s="4">
        <v>81</v>
      </c>
      <c r="AF5194" s="4">
        <v>0</v>
      </c>
      <c r="AG5194" s="4">
        <v>0</v>
      </c>
      <c r="AH5194" s="4">
        <v>39</v>
      </c>
      <c r="AI5194" s="4">
        <v>66</v>
      </c>
      <c r="AJ5194" s="4">
        <v>2</v>
      </c>
      <c r="AK5194" s="4">
        <v>11</v>
      </c>
      <c r="AL5194" s="4">
        <v>27</v>
      </c>
      <c r="AM5194" s="4">
        <v>43</v>
      </c>
      <c r="AN5194" s="4">
        <v>0</v>
      </c>
      <c r="AO5194" s="4">
        <v>0</v>
      </c>
      <c r="AP5194" s="4">
        <v>2</v>
      </c>
      <c r="AQ5194" s="4">
        <v>19</v>
      </c>
      <c r="AR5194" s="3" t="s">
        <v>62</v>
      </c>
      <c r="AS5194" s="3" t="s">
        <v>61</v>
      </c>
      <c r="AT5194" s="3" t="s">
        <v>62</v>
      </c>
      <c r="AU5194" s="6" t="str">
        <f>HYPERLINK("http://catalog.hathitrust.org/Record/001554826","HathiTrust Record")</f>
        <v>HathiTrust Record</v>
      </c>
      <c r="AV5194" s="6" t="str">
        <f>HYPERLINK("http://mcgill.on.worldcat.org/oclc/1608829","Catalog Record")</f>
        <v>Catalog Record</v>
      </c>
      <c r="AW5194" s="6" t="str">
        <f>HYPERLINK("http://www.worldcat.org/oclc/1608829","WorldCat Record")</f>
        <v>WorldCat Record</v>
      </c>
      <c r="AX5194" s="3" t="s">
        <v>49843</v>
      </c>
      <c r="AY5194" s="3" t="s">
        <v>49844</v>
      </c>
      <c r="AZ5194" s="3" t="s">
        <v>49845</v>
      </c>
      <c r="BA5194" s="3" t="s">
        <v>49845</v>
      </c>
      <c r="BB5194" s="3" t="s">
        <v>49846</v>
      </c>
      <c r="BC5194" s="3" t="s">
        <v>102</v>
      </c>
      <c r="BD5194" s="3" t="s">
        <v>68</v>
      </c>
      <c r="BF5194" s="3" t="s">
        <v>49846</v>
      </c>
      <c r="BG5194" s="3" t="s">
        <v>49847</v>
      </c>
    </row>
    <row r="5195" spans="1:59" ht="58" x14ac:dyDescent="0.35">
      <c r="A5195" s="2" t="s">
        <v>89</v>
      </c>
      <c r="B5195" s="2" t="s">
        <v>90</v>
      </c>
      <c r="C5195" s="2" t="s">
        <v>49848</v>
      </c>
      <c r="D5195" s="2" t="s">
        <v>49849</v>
      </c>
      <c r="E5195" s="2" t="s">
        <v>49850</v>
      </c>
      <c r="F5195" s="3" t="s">
        <v>49851</v>
      </c>
      <c r="G5195" s="3" t="s">
        <v>62</v>
      </c>
      <c r="I5195" s="3" t="s">
        <v>61</v>
      </c>
      <c r="J5195" s="3" t="s">
        <v>62</v>
      </c>
      <c r="K5195" s="3" t="s">
        <v>63</v>
      </c>
      <c r="L5195" s="2" t="s">
        <v>49852</v>
      </c>
      <c r="M5195" s="2" t="s">
        <v>49853</v>
      </c>
      <c r="N5195" s="3" t="s">
        <v>1722</v>
      </c>
      <c r="O5195" s="2" t="s">
        <v>2163</v>
      </c>
      <c r="P5195" s="3" t="s">
        <v>64</v>
      </c>
      <c r="R5195" s="3" t="s">
        <v>46535</v>
      </c>
      <c r="S5195" s="4">
        <v>18</v>
      </c>
      <c r="T5195" s="4">
        <v>36</v>
      </c>
      <c r="U5195" s="5" t="s">
        <v>1293</v>
      </c>
      <c r="V5195" s="5" t="s">
        <v>1293</v>
      </c>
      <c r="W5195" s="5" t="s">
        <v>67</v>
      </c>
      <c r="X5195" s="5" t="s">
        <v>67</v>
      </c>
      <c r="Y5195" s="4">
        <v>872</v>
      </c>
      <c r="Z5195" s="4">
        <v>34</v>
      </c>
      <c r="AA5195" s="4">
        <v>101</v>
      </c>
      <c r="AB5195" s="4">
        <v>3</v>
      </c>
      <c r="AC5195" s="4">
        <v>16</v>
      </c>
      <c r="AD5195" s="4">
        <v>34</v>
      </c>
      <c r="AE5195" s="4">
        <v>82</v>
      </c>
      <c r="AF5195" s="4">
        <v>0</v>
      </c>
      <c r="AG5195" s="4">
        <v>5</v>
      </c>
      <c r="AH5195" s="4">
        <v>30</v>
      </c>
      <c r="AI5195" s="4">
        <v>57</v>
      </c>
      <c r="AJ5195" s="4">
        <v>2</v>
      </c>
      <c r="AK5195" s="4">
        <v>14</v>
      </c>
      <c r="AL5195" s="4">
        <v>13</v>
      </c>
      <c r="AM5195" s="4">
        <v>28</v>
      </c>
      <c r="AN5195" s="4">
        <v>0</v>
      </c>
      <c r="AO5195" s="4">
        <v>0</v>
      </c>
      <c r="AP5195" s="4">
        <v>6</v>
      </c>
      <c r="AQ5195" s="4">
        <v>30</v>
      </c>
      <c r="AR5195" s="3" t="s">
        <v>62</v>
      </c>
      <c r="AS5195" s="3" t="s">
        <v>62</v>
      </c>
      <c r="AT5195" s="3" t="s">
        <v>62</v>
      </c>
      <c r="AV5195" s="6" t="str">
        <f>HYPERLINK("http://mcgill.on.worldcat.org/oclc/184871778","Catalog Record")</f>
        <v>Catalog Record</v>
      </c>
      <c r="AW5195" s="6" t="str">
        <f>HYPERLINK("http://www.worldcat.org/oclc/184871778","WorldCat Record")</f>
        <v>WorldCat Record</v>
      </c>
      <c r="AX5195" s="3" t="s">
        <v>49854</v>
      </c>
      <c r="AY5195" s="3" t="s">
        <v>49855</v>
      </c>
      <c r="AZ5195" s="3" t="s">
        <v>49856</v>
      </c>
      <c r="BA5195" s="3" t="s">
        <v>49856</v>
      </c>
      <c r="BB5195" s="3" t="s">
        <v>49857</v>
      </c>
      <c r="BC5195" s="3" t="s">
        <v>102</v>
      </c>
      <c r="BD5195" s="3" t="s">
        <v>68</v>
      </c>
      <c r="BE5195" s="3" t="s">
        <v>49858</v>
      </c>
      <c r="BF5195" s="3" t="s">
        <v>49857</v>
      </c>
      <c r="BG5195" s="3" t="s">
        <v>49859</v>
      </c>
    </row>
    <row r="5196" spans="1:59" ht="58" x14ac:dyDescent="0.35">
      <c r="A5196" s="2" t="s">
        <v>89</v>
      </c>
      <c r="B5196" s="2" t="s">
        <v>90</v>
      </c>
      <c r="C5196" s="2" t="s">
        <v>49848</v>
      </c>
      <c r="D5196" s="2" t="s">
        <v>49849</v>
      </c>
      <c r="E5196" s="2" t="s">
        <v>49850</v>
      </c>
      <c r="F5196" s="3" t="s">
        <v>49860</v>
      </c>
      <c r="G5196" s="3" t="s">
        <v>62</v>
      </c>
      <c r="I5196" s="3" t="s">
        <v>61</v>
      </c>
      <c r="J5196" s="3" t="s">
        <v>62</v>
      </c>
      <c r="K5196" s="3" t="s">
        <v>63</v>
      </c>
      <c r="L5196" s="2" t="s">
        <v>49852</v>
      </c>
      <c r="M5196" s="2" t="s">
        <v>49853</v>
      </c>
      <c r="N5196" s="3" t="s">
        <v>1722</v>
      </c>
      <c r="O5196" s="2" t="s">
        <v>2163</v>
      </c>
      <c r="P5196" s="3" t="s">
        <v>64</v>
      </c>
      <c r="R5196" s="3" t="s">
        <v>46535</v>
      </c>
      <c r="S5196" s="4">
        <v>18</v>
      </c>
      <c r="T5196" s="4">
        <v>36</v>
      </c>
      <c r="U5196" s="5" t="s">
        <v>35702</v>
      </c>
      <c r="V5196" s="5" t="s">
        <v>1293</v>
      </c>
      <c r="W5196" s="5" t="s">
        <v>67</v>
      </c>
      <c r="X5196" s="5" t="s">
        <v>67</v>
      </c>
      <c r="Y5196" s="4">
        <v>872</v>
      </c>
      <c r="Z5196" s="4">
        <v>34</v>
      </c>
      <c r="AA5196" s="4">
        <v>101</v>
      </c>
      <c r="AB5196" s="4">
        <v>3</v>
      </c>
      <c r="AC5196" s="4">
        <v>16</v>
      </c>
      <c r="AD5196" s="4">
        <v>34</v>
      </c>
      <c r="AE5196" s="4">
        <v>82</v>
      </c>
      <c r="AF5196" s="4">
        <v>0</v>
      </c>
      <c r="AG5196" s="4">
        <v>5</v>
      </c>
      <c r="AH5196" s="4">
        <v>30</v>
      </c>
      <c r="AI5196" s="4">
        <v>57</v>
      </c>
      <c r="AJ5196" s="4">
        <v>2</v>
      </c>
      <c r="AK5196" s="4">
        <v>14</v>
      </c>
      <c r="AL5196" s="4">
        <v>13</v>
      </c>
      <c r="AM5196" s="4">
        <v>28</v>
      </c>
      <c r="AN5196" s="4">
        <v>0</v>
      </c>
      <c r="AO5196" s="4">
        <v>0</v>
      </c>
      <c r="AP5196" s="4">
        <v>6</v>
      </c>
      <c r="AQ5196" s="4">
        <v>30</v>
      </c>
      <c r="AR5196" s="3" t="s">
        <v>62</v>
      </c>
      <c r="AS5196" s="3" t="s">
        <v>62</v>
      </c>
      <c r="AT5196" s="3" t="s">
        <v>62</v>
      </c>
      <c r="AV5196" s="6" t="str">
        <f>HYPERLINK("http://mcgill.on.worldcat.org/oclc/184871778","Catalog Record")</f>
        <v>Catalog Record</v>
      </c>
      <c r="AW5196" s="6" t="str">
        <f>HYPERLINK("http://www.worldcat.org/oclc/184871778","WorldCat Record")</f>
        <v>WorldCat Record</v>
      </c>
      <c r="AX5196" s="3" t="s">
        <v>49854</v>
      </c>
      <c r="AY5196" s="3" t="s">
        <v>49855</v>
      </c>
      <c r="AZ5196" s="3" t="s">
        <v>49856</v>
      </c>
      <c r="BA5196" s="3" t="s">
        <v>49856</v>
      </c>
      <c r="BB5196" s="3" t="s">
        <v>49861</v>
      </c>
      <c r="BC5196" s="3" t="s">
        <v>102</v>
      </c>
      <c r="BD5196" s="3" t="s">
        <v>68</v>
      </c>
      <c r="BE5196" s="3" t="s">
        <v>49858</v>
      </c>
      <c r="BF5196" s="3" t="s">
        <v>49861</v>
      </c>
      <c r="BG5196" s="3" t="s">
        <v>49862</v>
      </c>
    </row>
    <row r="5197" spans="1:59" ht="58" x14ac:dyDescent="0.35">
      <c r="A5197" s="2" t="s">
        <v>89</v>
      </c>
      <c r="B5197" s="2" t="s">
        <v>90</v>
      </c>
      <c r="C5197" s="2" t="s">
        <v>49863</v>
      </c>
      <c r="D5197" s="2" t="s">
        <v>49864</v>
      </c>
      <c r="E5197" s="2" t="s">
        <v>49865</v>
      </c>
      <c r="G5197" s="3" t="s">
        <v>62</v>
      </c>
      <c r="I5197" s="3" t="s">
        <v>62</v>
      </c>
      <c r="J5197" s="3" t="s">
        <v>62</v>
      </c>
      <c r="K5197" s="3" t="s">
        <v>63</v>
      </c>
      <c r="M5197" s="2" t="s">
        <v>49866</v>
      </c>
      <c r="N5197" s="3" t="s">
        <v>2985</v>
      </c>
      <c r="P5197" s="3" t="s">
        <v>64</v>
      </c>
      <c r="Q5197" s="2" t="s">
        <v>49867</v>
      </c>
      <c r="R5197" s="3" t="s">
        <v>46535</v>
      </c>
      <c r="S5197" s="4">
        <v>13</v>
      </c>
      <c r="T5197" s="4">
        <v>13</v>
      </c>
      <c r="U5197" s="5" t="s">
        <v>49868</v>
      </c>
      <c r="V5197" s="5" t="s">
        <v>49868</v>
      </c>
      <c r="W5197" s="5" t="s">
        <v>67</v>
      </c>
      <c r="X5197" s="5" t="s">
        <v>67</v>
      </c>
      <c r="Y5197" s="4">
        <v>113</v>
      </c>
      <c r="Z5197" s="4">
        <v>11</v>
      </c>
      <c r="AA5197" s="4">
        <v>42</v>
      </c>
      <c r="AB5197" s="4">
        <v>2</v>
      </c>
      <c r="AC5197" s="4">
        <v>8</v>
      </c>
      <c r="AD5197" s="4">
        <v>40</v>
      </c>
      <c r="AE5197" s="4">
        <v>100</v>
      </c>
      <c r="AF5197" s="4">
        <v>0</v>
      </c>
      <c r="AG5197" s="4">
        <v>4</v>
      </c>
      <c r="AH5197" s="4">
        <v>36</v>
      </c>
      <c r="AI5197" s="4">
        <v>73</v>
      </c>
      <c r="AJ5197" s="4">
        <v>5</v>
      </c>
      <c r="AK5197" s="4">
        <v>18</v>
      </c>
      <c r="AL5197" s="4">
        <v>23</v>
      </c>
      <c r="AM5197" s="4">
        <v>41</v>
      </c>
      <c r="AN5197" s="4">
        <v>0</v>
      </c>
      <c r="AO5197" s="4">
        <v>0</v>
      </c>
      <c r="AP5197" s="4">
        <v>7</v>
      </c>
      <c r="AQ5197" s="4">
        <v>33</v>
      </c>
      <c r="AR5197" s="3" t="s">
        <v>62</v>
      </c>
      <c r="AS5197" s="3" t="s">
        <v>62</v>
      </c>
      <c r="AT5197" s="3" t="s">
        <v>62</v>
      </c>
      <c r="AV5197" s="6" t="str">
        <f>HYPERLINK("http://mcgill.on.worldcat.org/oclc/221154131","Catalog Record")</f>
        <v>Catalog Record</v>
      </c>
      <c r="AW5197" s="6" t="str">
        <f>HYPERLINK("http://www.worldcat.org/oclc/221154131","WorldCat Record")</f>
        <v>WorldCat Record</v>
      </c>
      <c r="AX5197" s="3" t="s">
        <v>49869</v>
      </c>
      <c r="AY5197" s="3" t="s">
        <v>49870</v>
      </c>
      <c r="AZ5197" s="3" t="s">
        <v>49871</v>
      </c>
      <c r="BA5197" s="3" t="s">
        <v>49871</v>
      </c>
      <c r="BB5197" s="3" t="s">
        <v>49872</v>
      </c>
      <c r="BC5197" s="3" t="s">
        <v>102</v>
      </c>
      <c r="BD5197" s="3" t="s">
        <v>231</v>
      </c>
      <c r="BE5197" s="3" t="s">
        <v>49873</v>
      </c>
      <c r="BF5197" s="3" t="s">
        <v>49872</v>
      </c>
      <c r="BG5197" s="3" t="s">
        <v>49874</v>
      </c>
    </row>
    <row r="5198" spans="1:59" ht="58" x14ac:dyDescent="0.35">
      <c r="A5198" s="2" t="s">
        <v>89</v>
      </c>
      <c r="B5198" s="2" t="s">
        <v>90</v>
      </c>
      <c r="C5198" s="2" t="s">
        <v>49875</v>
      </c>
      <c r="D5198" s="2" t="s">
        <v>49876</v>
      </c>
      <c r="E5198" s="2" t="s">
        <v>49877</v>
      </c>
      <c r="G5198" s="3" t="s">
        <v>62</v>
      </c>
      <c r="I5198" s="3" t="s">
        <v>61</v>
      </c>
      <c r="J5198" s="3" t="s">
        <v>62</v>
      </c>
      <c r="K5198" s="3" t="s">
        <v>63</v>
      </c>
      <c r="L5198" s="2" t="s">
        <v>49878</v>
      </c>
      <c r="M5198" s="2" t="s">
        <v>49879</v>
      </c>
      <c r="N5198" s="3" t="s">
        <v>2136</v>
      </c>
      <c r="P5198" s="3" t="s">
        <v>64</v>
      </c>
      <c r="Q5198" s="2" t="s">
        <v>49880</v>
      </c>
      <c r="R5198" s="3" t="s">
        <v>46535</v>
      </c>
      <c r="S5198" s="4">
        <v>11</v>
      </c>
      <c r="T5198" s="4">
        <v>16</v>
      </c>
      <c r="U5198" s="5" t="s">
        <v>49881</v>
      </c>
      <c r="V5198" s="5" t="s">
        <v>15743</v>
      </c>
      <c r="W5198" s="5" t="s">
        <v>67</v>
      </c>
      <c r="X5198" s="5" t="s">
        <v>67</v>
      </c>
      <c r="Y5198" s="4">
        <v>493</v>
      </c>
      <c r="Z5198" s="4">
        <v>30</v>
      </c>
      <c r="AA5198" s="4">
        <v>124</v>
      </c>
      <c r="AB5198" s="4">
        <v>1</v>
      </c>
      <c r="AC5198" s="4">
        <v>21</v>
      </c>
      <c r="AD5198" s="4">
        <v>62</v>
      </c>
      <c r="AE5198" s="4">
        <v>140</v>
      </c>
      <c r="AF5198" s="4">
        <v>0</v>
      </c>
      <c r="AG5198" s="4">
        <v>9</v>
      </c>
      <c r="AH5198" s="4">
        <v>54</v>
      </c>
      <c r="AI5198" s="4">
        <v>91</v>
      </c>
      <c r="AJ5198" s="4">
        <v>10</v>
      </c>
      <c r="AK5198" s="4">
        <v>27</v>
      </c>
      <c r="AL5198" s="4">
        <v>30</v>
      </c>
      <c r="AM5198" s="4">
        <v>48</v>
      </c>
      <c r="AN5198" s="4">
        <v>0</v>
      </c>
      <c r="AO5198" s="4">
        <v>0</v>
      </c>
      <c r="AP5198" s="4">
        <v>15</v>
      </c>
      <c r="AQ5198" s="4">
        <v>58</v>
      </c>
      <c r="AR5198" s="3" t="s">
        <v>62</v>
      </c>
      <c r="AS5198" s="3" t="s">
        <v>62</v>
      </c>
      <c r="AT5198" s="3" t="s">
        <v>62</v>
      </c>
      <c r="AV5198" s="6" t="str">
        <f>HYPERLINK("http://mcgill.on.worldcat.org/oclc/61704761","Catalog Record")</f>
        <v>Catalog Record</v>
      </c>
      <c r="AW5198" s="6" t="str">
        <f>HYPERLINK("http://www.worldcat.org/oclc/61704761","WorldCat Record")</f>
        <v>WorldCat Record</v>
      </c>
      <c r="AX5198" s="3" t="s">
        <v>49882</v>
      </c>
      <c r="AY5198" s="3" t="s">
        <v>49883</v>
      </c>
      <c r="AZ5198" s="3" t="s">
        <v>49884</v>
      </c>
      <c r="BA5198" s="3" t="s">
        <v>49884</v>
      </c>
      <c r="BB5198" s="3" t="s">
        <v>49885</v>
      </c>
      <c r="BC5198" s="3" t="s">
        <v>102</v>
      </c>
      <c r="BD5198" s="3" t="s">
        <v>68</v>
      </c>
      <c r="BE5198" s="3" t="s">
        <v>49886</v>
      </c>
      <c r="BF5198" s="3" t="s">
        <v>49885</v>
      </c>
      <c r="BG5198" s="3" t="s">
        <v>49887</v>
      </c>
    </row>
    <row r="5199" spans="1:59" ht="58" x14ac:dyDescent="0.35">
      <c r="A5199" s="2" t="s">
        <v>89</v>
      </c>
      <c r="B5199" s="2" t="s">
        <v>90</v>
      </c>
      <c r="C5199" s="2" t="s">
        <v>49888</v>
      </c>
      <c r="D5199" s="2" t="s">
        <v>49889</v>
      </c>
      <c r="E5199" s="2" t="s">
        <v>49890</v>
      </c>
      <c r="G5199" s="3" t="s">
        <v>62</v>
      </c>
      <c r="I5199" s="3" t="s">
        <v>61</v>
      </c>
      <c r="J5199" s="3" t="s">
        <v>62</v>
      </c>
      <c r="K5199" s="3" t="s">
        <v>63</v>
      </c>
      <c r="L5199" s="2" t="s">
        <v>49891</v>
      </c>
      <c r="M5199" s="2" t="s">
        <v>49892</v>
      </c>
      <c r="N5199" s="3" t="s">
        <v>186</v>
      </c>
      <c r="P5199" s="3" t="s">
        <v>64</v>
      </c>
      <c r="R5199" s="3" t="s">
        <v>46535</v>
      </c>
      <c r="S5199" s="4">
        <v>2</v>
      </c>
      <c r="T5199" s="4">
        <v>9</v>
      </c>
      <c r="V5199" s="5" t="s">
        <v>13005</v>
      </c>
      <c r="W5199" s="5" t="s">
        <v>67</v>
      </c>
      <c r="X5199" s="5" t="s">
        <v>67</v>
      </c>
      <c r="Y5199" s="4">
        <v>1007</v>
      </c>
      <c r="Z5199" s="4">
        <v>72</v>
      </c>
      <c r="AA5199" s="4">
        <v>114</v>
      </c>
      <c r="AB5199" s="4">
        <v>5</v>
      </c>
      <c r="AC5199" s="4">
        <v>19</v>
      </c>
      <c r="AD5199" s="4">
        <v>141</v>
      </c>
      <c r="AE5199" s="4">
        <v>158</v>
      </c>
      <c r="AF5199" s="4">
        <v>1</v>
      </c>
      <c r="AG5199" s="4">
        <v>8</v>
      </c>
      <c r="AH5199" s="4">
        <v>108</v>
      </c>
      <c r="AI5199" s="4">
        <v>112</v>
      </c>
      <c r="AJ5199" s="4">
        <v>22</v>
      </c>
      <c r="AK5199" s="4">
        <v>28</v>
      </c>
      <c r="AL5199" s="4">
        <v>61</v>
      </c>
      <c r="AM5199" s="4">
        <v>61</v>
      </c>
      <c r="AN5199" s="4">
        <v>0</v>
      </c>
      <c r="AO5199" s="4">
        <v>0</v>
      </c>
      <c r="AP5199" s="4">
        <v>39</v>
      </c>
      <c r="AQ5199" s="4">
        <v>53</v>
      </c>
      <c r="AR5199" s="3" t="s">
        <v>62</v>
      </c>
      <c r="AS5199" s="3" t="s">
        <v>62</v>
      </c>
      <c r="AT5199" s="3" t="s">
        <v>62</v>
      </c>
      <c r="AV5199" s="6" t="str">
        <f>HYPERLINK("http://mcgill.on.worldcat.org/oclc/1363569","Catalog Record")</f>
        <v>Catalog Record</v>
      </c>
      <c r="AW5199" s="6" t="str">
        <f>HYPERLINK("http://www.worldcat.org/oclc/1363569","WorldCat Record")</f>
        <v>WorldCat Record</v>
      </c>
      <c r="AX5199" s="3" t="s">
        <v>49893</v>
      </c>
      <c r="AY5199" s="3" t="s">
        <v>49894</v>
      </c>
      <c r="AZ5199" s="3" t="s">
        <v>49895</v>
      </c>
      <c r="BA5199" s="3" t="s">
        <v>49895</v>
      </c>
      <c r="BB5199" s="3" t="s">
        <v>49896</v>
      </c>
      <c r="BC5199" s="3" t="s">
        <v>102</v>
      </c>
      <c r="BD5199" s="3" t="s">
        <v>231</v>
      </c>
      <c r="BE5199" s="3" t="s">
        <v>49897</v>
      </c>
      <c r="BF5199" s="3" t="s">
        <v>49896</v>
      </c>
      <c r="BG5199" s="3" t="s">
        <v>49898</v>
      </c>
    </row>
    <row r="5200" spans="1:59" ht="58" x14ac:dyDescent="0.35">
      <c r="A5200" s="2" t="s">
        <v>89</v>
      </c>
      <c r="B5200" s="2" t="s">
        <v>90</v>
      </c>
      <c r="C5200" s="2" t="s">
        <v>49899</v>
      </c>
      <c r="D5200" s="2" t="s">
        <v>49900</v>
      </c>
      <c r="E5200" s="2" t="s">
        <v>49901</v>
      </c>
      <c r="G5200" s="3" t="s">
        <v>62</v>
      </c>
      <c r="I5200" s="3" t="s">
        <v>62</v>
      </c>
      <c r="J5200" s="3" t="s">
        <v>62</v>
      </c>
      <c r="K5200" s="3" t="s">
        <v>63</v>
      </c>
      <c r="M5200" s="2" t="s">
        <v>12096</v>
      </c>
      <c r="N5200" s="3" t="s">
        <v>596</v>
      </c>
      <c r="P5200" s="3" t="s">
        <v>64</v>
      </c>
      <c r="Q5200" s="2" t="s">
        <v>49902</v>
      </c>
      <c r="R5200" s="3" t="s">
        <v>46535</v>
      </c>
      <c r="S5200" s="4">
        <v>10</v>
      </c>
      <c r="T5200" s="4">
        <v>10</v>
      </c>
      <c r="U5200" s="5" t="s">
        <v>14793</v>
      </c>
      <c r="V5200" s="5" t="s">
        <v>14793</v>
      </c>
      <c r="W5200" s="5" t="s">
        <v>67</v>
      </c>
      <c r="X5200" s="5" t="s">
        <v>67</v>
      </c>
      <c r="Y5200" s="4">
        <v>196</v>
      </c>
      <c r="Z5200" s="4">
        <v>12</v>
      </c>
      <c r="AA5200" s="4">
        <v>93</v>
      </c>
      <c r="AB5200" s="4">
        <v>2</v>
      </c>
      <c r="AC5200" s="4">
        <v>18</v>
      </c>
      <c r="AD5200" s="4">
        <v>71</v>
      </c>
      <c r="AE5200" s="4">
        <v>132</v>
      </c>
      <c r="AF5200" s="4">
        <v>1</v>
      </c>
      <c r="AG5200" s="4">
        <v>8</v>
      </c>
      <c r="AH5200" s="4">
        <v>64</v>
      </c>
      <c r="AI5200" s="4">
        <v>94</v>
      </c>
      <c r="AJ5200" s="4">
        <v>9</v>
      </c>
      <c r="AK5200" s="4">
        <v>24</v>
      </c>
      <c r="AL5200" s="4">
        <v>42</v>
      </c>
      <c r="AM5200" s="4">
        <v>50</v>
      </c>
      <c r="AN5200" s="4">
        <v>0</v>
      </c>
      <c r="AO5200" s="4">
        <v>0</v>
      </c>
      <c r="AP5200" s="4">
        <v>9</v>
      </c>
      <c r="AQ5200" s="4">
        <v>45</v>
      </c>
      <c r="AR5200" s="3" t="s">
        <v>62</v>
      </c>
      <c r="AS5200" s="3" t="s">
        <v>62</v>
      </c>
      <c r="AT5200" s="3" t="s">
        <v>62</v>
      </c>
      <c r="AV5200" s="6" t="str">
        <f>HYPERLINK("http://mcgill.on.worldcat.org/oclc/47177754","Catalog Record")</f>
        <v>Catalog Record</v>
      </c>
      <c r="AW5200" s="6" t="str">
        <f>HYPERLINK("http://www.worldcat.org/oclc/47177754","WorldCat Record")</f>
        <v>WorldCat Record</v>
      </c>
      <c r="AX5200" s="3" t="s">
        <v>49903</v>
      </c>
      <c r="AY5200" s="3" t="s">
        <v>49904</v>
      </c>
      <c r="AZ5200" s="3" t="s">
        <v>49905</v>
      </c>
      <c r="BA5200" s="3" t="s">
        <v>49905</v>
      </c>
      <c r="BB5200" s="3" t="s">
        <v>49906</v>
      </c>
      <c r="BC5200" s="3" t="s">
        <v>102</v>
      </c>
      <c r="BD5200" s="3" t="s">
        <v>68</v>
      </c>
      <c r="BE5200" s="3" t="s">
        <v>49907</v>
      </c>
      <c r="BF5200" s="3" t="s">
        <v>49906</v>
      </c>
      <c r="BG5200" s="3" t="s">
        <v>49908</v>
      </c>
    </row>
    <row r="5201" spans="1:59" ht="58" x14ac:dyDescent="0.35">
      <c r="A5201" s="2" t="s">
        <v>59</v>
      </c>
      <c r="B5201" s="2" t="s">
        <v>60</v>
      </c>
      <c r="C5201" s="2" t="s">
        <v>49909</v>
      </c>
      <c r="D5201" s="2" t="s">
        <v>49910</v>
      </c>
      <c r="E5201" s="2" t="s">
        <v>49911</v>
      </c>
      <c r="G5201" s="3" t="s">
        <v>62</v>
      </c>
      <c r="I5201" s="3" t="s">
        <v>62</v>
      </c>
      <c r="J5201" s="3" t="s">
        <v>62</v>
      </c>
      <c r="K5201" s="3" t="s">
        <v>63</v>
      </c>
      <c r="L5201" s="2" t="s">
        <v>49912</v>
      </c>
      <c r="M5201" s="2" t="s">
        <v>49913</v>
      </c>
      <c r="N5201" s="3" t="s">
        <v>2445</v>
      </c>
      <c r="P5201" s="3" t="s">
        <v>64</v>
      </c>
      <c r="R5201" s="3" t="s">
        <v>46535</v>
      </c>
      <c r="S5201" s="4">
        <v>3</v>
      </c>
      <c r="T5201" s="4">
        <v>3</v>
      </c>
      <c r="U5201" s="5" t="s">
        <v>17349</v>
      </c>
      <c r="V5201" s="5" t="s">
        <v>17349</v>
      </c>
      <c r="W5201" s="5" t="s">
        <v>67</v>
      </c>
      <c r="X5201" s="5" t="s">
        <v>67</v>
      </c>
      <c r="Y5201" s="4">
        <v>240</v>
      </c>
      <c r="Z5201" s="4">
        <v>15</v>
      </c>
      <c r="AA5201" s="4">
        <v>17</v>
      </c>
      <c r="AB5201" s="4">
        <v>1</v>
      </c>
      <c r="AC5201" s="4">
        <v>3</v>
      </c>
      <c r="AD5201" s="4">
        <v>83</v>
      </c>
      <c r="AE5201" s="4">
        <v>87</v>
      </c>
      <c r="AF5201" s="4">
        <v>0</v>
      </c>
      <c r="AG5201" s="4">
        <v>2</v>
      </c>
      <c r="AH5201" s="4">
        <v>72</v>
      </c>
      <c r="AI5201" s="4">
        <v>75</v>
      </c>
      <c r="AJ5201" s="4">
        <v>14</v>
      </c>
      <c r="AK5201" s="4">
        <v>16</v>
      </c>
      <c r="AL5201" s="4">
        <v>46</v>
      </c>
      <c r="AM5201" s="4">
        <v>47</v>
      </c>
      <c r="AN5201" s="4">
        <v>0</v>
      </c>
      <c r="AO5201" s="4">
        <v>0</v>
      </c>
      <c r="AP5201" s="4">
        <v>13</v>
      </c>
      <c r="AQ5201" s="4">
        <v>14</v>
      </c>
      <c r="AR5201" s="3" t="s">
        <v>62</v>
      </c>
      <c r="AS5201" s="3" t="s">
        <v>61</v>
      </c>
      <c r="AT5201" s="3" t="s">
        <v>62</v>
      </c>
      <c r="AU5201" s="6" t="str">
        <f>HYPERLINK("http://catalog.hathitrust.org/Record/000203591","HathiTrust Record")</f>
        <v>HathiTrust Record</v>
      </c>
      <c r="AV5201" s="6" t="str">
        <f>HYPERLINK("http://mcgill.on.worldcat.org/oclc/556780","Catalog Record")</f>
        <v>Catalog Record</v>
      </c>
      <c r="AW5201" s="6" t="str">
        <f>HYPERLINK("http://www.worldcat.org/oclc/556780","WorldCat Record")</f>
        <v>WorldCat Record</v>
      </c>
      <c r="AX5201" s="3" t="s">
        <v>49914</v>
      </c>
      <c r="AY5201" s="3" t="s">
        <v>49915</v>
      </c>
      <c r="AZ5201" s="3" t="s">
        <v>49916</v>
      </c>
      <c r="BA5201" s="3" t="s">
        <v>49916</v>
      </c>
      <c r="BB5201" s="3" t="s">
        <v>49917</v>
      </c>
      <c r="BC5201" s="3" t="s">
        <v>102</v>
      </c>
      <c r="BD5201" s="3" t="s">
        <v>68</v>
      </c>
      <c r="BF5201" s="3" t="s">
        <v>49917</v>
      </c>
      <c r="BG5201" s="3" t="s">
        <v>49918</v>
      </c>
    </row>
    <row r="5202" spans="1:59" ht="58" x14ac:dyDescent="0.35">
      <c r="A5202" s="2" t="s">
        <v>89</v>
      </c>
      <c r="B5202" s="2" t="s">
        <v>90</v>
      </c>
      <c r="C5202" s="2" t="s">
        <v>49919</v>
      </c>
      <c r="D5202" s="2" t="s">
        <v>49920</v>
      </c>
      <c r="E5202" s="2" t="s">
        <v>49921</v>
      </c>
      <c r="F5202" s="3" t="s">
        <v>49922</v>
      </c>
      <c r="G5202" s="3" t="s">
        <v>62</v>
      </c>
      <c r="I5202" s="3" t="s">
        <v>62</v>
      </c>
      <c r="J5202" s="3" t="s">
        <v>61</v>
      </c>
      <c r="K5202" s="3" t="s">
        <v>63</v>
      </c>
      <c r="L5202" s="2" t="s">
        <v>49923</v>
      </c>
      <c r="M5202" s="2" t="s">
        <v>49924</v>
      </c>
      <c r="N5202" s="3" t="s">
        <v>698</v>
      </c>
      <c r="P5202" s="3" t="s">
        <v>64</v>
      </c>
      <c r="R5202" s="3" t="s">
        <v>46535</v>
      </c>
      <c r="S5202" s="4">
        <v>10</v>
      </c>
      <c r="T5202" s="4">
        <v>10</v>
      </c>
      <c r="U5202" s="5" t="s">
        <v>17447</v>
      </c>
      <c r="V5202" s="5" t="s">
        <v>17447</v>
      </c>
      <c r="W5202" s="5" t="s">
        <v>67</v>
      </c>
      <c r="X5202" s="5" t="s">
        <v>67</v>
      </c>
      <c r="Y5202" s="4">
        <v>171</v>
      </c>
      <c r="Z5202" s="4">
        <v>30</v>
      </c>
      <c r="AA5202" s="4">
        <v>45</v>
      </c>
      <c r="AB5202" s="4">
        <v>3</v>
      </c>
      <c r="AC5202" s="4">
        <v>5</v>
      </c>
      <c r="AD5202" s="4">
        <v>14</v>
      </c>
      <c r="AE5202" s="4">
        <v>25</v>
      </c>
      <c r="AF5202" s="4">
        <v>0</v>
      </c>
      <c r="AG5202" s="4">
        <v>1</v>
      </c>
      <c r="AH5202" s="4">
        <v>12</v>
      </c>
      <c r="AI5202" s="4">
        <v>20</v>
      </c>
      <c r="AJ5202" s="4">
        <v>6</v>
      </c>
      <c r="AK5202" s="4">
        <v>8</v>
      </c>
      <c r="AL5202" s="4">
        <v>5</v>
      </c>
      <c r="AM5202" s="4">
        <v>9</v>
      </c>
      <c r="AN5202" s="4">
        <v>0</v>
      </c>
      <c r="AO5202" s="4">
        <v>0</v>
      </c>
      <c r="AP5202" s="4">
        <v>5</v>
      </c>
      <c r="AQ5202" s="4">
        <v>10</v>
      </c>
      <c r="AR5202" s="3" t="s">
        <v>61</v>
      </c>
      <c r="AS5202" s="3" t="s">
        <v>62</v>
      </c>
      <c r="AT5202" s="3" t="s">
        <v>62</v>
      </c>
      <c r="AV5202" s="6" t="str">
        <f>HYPERLINK("http://mcgill.on.worldcat.org/oclc/775060830","Catalog Record")</f>
        <v>Catalog Record</v>
      </c>
      <c r="AW5202" s="6" t="str">
        <f>HYPERLINK("http://www.worldcat.org/oclc/775060830","WorldCat Record")</f>
        <v>WorldCat Record</v>
      </c>
      <c r="AX5202" s="3" t="s">
        <v>49925</v>
      </c>
      <c r="AY5202" s="3" t="s">
        <v>49926</v>
      </c>
      <c r="AZ5202" s="3" t="s">
        <v>49927</v>
      </c>
      <c r="BA5202" s="3" t="s">
        <v>49927</v>
      </c>
      <c r="BB5202" s="3" t="s">
        <v>49928</v>
      </c>
      <c r="BC5202" s="3" t="s">
        <v>102</v>
      </c>
      <c r="BD5202" s="3" t="s">
        <v>68</v>
      </c>
      <c r="BE5202" s="3" t="s">
        <v>49929</v>
      </c>
      <c r="BF5202" s="3" t="s">
        <v>49928</v>
      </c>
      <c r="BG5202" s="3" t="s">
        <v>49930</v>
      </c>
    </row>
    <row r="5203" spans="1:59" ht="58" x14ac:dyDescent="0.35">
      <c r="A5203" s="2" t="s">
        <v>89</v>
      </c>
      <c r="B5203" s="2" t="s">
        <v>90</v>
      </c>
      <c r="C5203" s="2" t="s">
        <v>49931</v>
      </c>
      <c r="D5203" s="2" t="s">
        <v>49932</v>
      </c>
      <c r="E5203" s="2" t="s">
        <v>49933</v>
      </c>
      <c r="G5203" s="3" t="s">
        <v>62</v>
      </c>
      <c r="I5203" s="3" t="s">
        <v>62</v>
      </c>
      <c r="J5203" s="3" t="s">
        <v>62</v>
      </c>
      <c r="K5203" s="3" t="s">
        <v>63</v>
      </c>
      <c r="L5203" s="2" t="s">
        <v>49934</v>
      </c>
      <c r="M5203" s="2" t="s">
        <v>49935</v>
      </c>
      <c r="N5203" s="3" t="s">
        <v>596</v>
      </c>
      <c r="O5203" s="2" t="s">
        <v>3181</v>
      </c>
      <c r="P5203" s="3" t="s">
        <v>64</v>
      </c>
      <c r="R5203" s="3" t="s">
        <v>46535</v>
      </c>
      <c r="S5203" s="4">
        <v>8</v>
      </c>
      <c r="T5203" s="4">
        <v>8</v>
      </c>
      <c r="U5203" s="5" t="s">
        <v>28448</v>
      </c>
      <c r="V5203" s="5" t="s">
        <v>28448</v>
      </c>
      <c r="W5203" s="5" t="s">
        <v>67</v>
      </c>
      <c r="X5203" s="5" t="s">
        <v>67</v>
      </c>
      <c r="Y5203" s="4">
        <v>119</v>
      </c>
      <c r="Z5203" s="4">
        <v>5</v>
      </c>
      <c r="AA5203" s="4">
        <v>33</v>
      </c>
      <c r="AB5203" s="4">
        <v>1</v>
      </c>
      <c r="AC5203" s="4">
        <v>4</v>
      </c>
      <c r="AD5203" s="4">
        <v>6</v>
      </c>
      <c r="AE5203" s="4">
        <v>24</v>
      </c>
      <c r="AF5203" s="4">
        <v>0</v>
      </c>
      <c r="AG5203" s="4">
        <v>1</v>
      </c>
      <c r="AH5203" s="4">
        <v>6</v>
      </c>
      <c r="AI5203" s="4">
        <v>21</v>
      </c>
      <c r="AJ5203" s="4">
        <v>0</v>
      </c>
      <c r="AK5203" s="4">
        <v>0</v>
      </c>
      <c r="AL5203" s="4">
        <v>4</v>
      </c>
      <c r="AM5203" s="4">
        <v>11</v>
      </c>
      <c r="AN5203" s="4">
        <v>0</v>
      </c>
      <c r="AO5203" s="4">
        <v>0</v>
      </c>
      <c r="AP5203" s="4">
        <v>0</v>
      </c>
      <c r="AQ5203" s="4">
        <v>2</v>
      </c>
      <c r="AR5203" s="3" t="s">
        <v>62</v>
      </c>
      <c r="AS5203" s="3" t="s">
        <v>62</v>
      </c>
      <c r="AT5203" s="3" t="s">
        <v>62</v>
      </c>
      <c r="AV5203" s="6" t="str">
        <f>HYPERLINK("http://mcgill.on.worldcat.org/oclc/54347149","Catalog Record")</f>
        <v>Catalog Record</v>
      </c>
      <c r="AW5203" s="6" t="str">
        <f>HYPERLINK("http://www.worldcat.org/oclc/54347149","WorldCat Record")</f>
        <v>WorldCat Record</v>
      </c>
      <c r="AX5203" s="3" t="s">
        <v>49936</v>
      </c>
      <c r="AY5203" s="3" t="s">
        <v>49937</v>
      </c>
      <c r="AZ5203" s="3" t="s">
        <v>49938</v>
      </c>
      <c r="BA5203" s="3" t="s">
        <v>49938</v>
      </c>
      <c r="BB5203" s="3" t="s">
        <v>49939</v>
      </c>
      <c r="BC5203" s="3" t="s">
        <v>102</v>
      </c>
      <c r="BD5203" s="3" t="s">
        <v>68</v>
      </c>
      <c r="BE5203" s="3" t="s">
        <v>49940</v>
      </c>
      <c r="BF5203" s="3" t="s">
        <v>49939</v>
      </c>
      <c r="BG5203" s="3" t="s">
        <v>49941</v>
      </c>
    </row>
    <row r="5204" spans="1:59" ht="58" x14ac:dyDescent="0.35">
      <c r="A5204" s="2" t="s">
        <v>89</v>
      </c>
      <c r="B5204" s="2" t="s">
        <v>90</v>
      </c>
      <c r="C5204" s="2" t="s">
        <v>49942</v>
      </c>
      <c r="D5204" s="2" t="s">
        <v>49943</v>
      </c>
      <c r="E5204" s="2" t="s">
        <v>49944</v>
      </c>
      <c r="G5204" s="3" t="s">
        <v>62</v>
      </c>
      <c r="I5204" s="3" t="s">
        <v>61</v>
      </c>
      <c r="J5204" s="3" t="s">
        <v>61</v>
      </c>
      <c r="K5204" s="3" t="s">
        <v>63</v>
      </c>
      <c r="L5204" s="2" t="s">
        <v>49945</v>
      </c>
      <c r="M5204" s="2" t="s">
        <v>49946</v>
      </c>
      <c r="N5204" s="3" t="s">
        <v>755</v>
      </c>
      <c r="O5204" s="2" t="s">
        <v>2163</v>
      </c>
      <c r="P5204" s="3" t="s">
        <v>64</v>
      </c>
      <c r="R5204" s="3" t="s">
        <v>46535</v>
      </c>
      <c r="S5204" s="4">
        <v>8</v>
      </c>
      <c r="T5204" s="4">
        <v>8</v>
      </c>
      <c r="U5204" s="5" t="s">
        <v>10081</v>
      </c>
      <c r="V5204" s="5" t="s">
        <v>10081</v>
      </c>
      <c r="W5204" s="5" t="s">
        <v>67</v>
      </c>
      <c r="X5204" s="5" t="s">
        <v>67</v>
      </c>
      <c r="Y5204" s="4">
        <v>386</v>
      </c>
      <c r="Z5204" s="4">
        <v>8</v>
      </c>
      <c r="AA5204" s="4">
        <v>38</v>
      </c>
      <c r="AB5204" s="4">
        <v>2</v>
      </c>
      <c r="AC5204" s="4">
        <v>4</v>
      </c>
      <c r="AD5204" s="4">
        <v>87</v>
      </c>
      <c r="AE5204" s="4">
        <v>124</v>
      </c>
      <c r="AF5204" s="4">
        <v>1</v>
      </c>
      <c r="AG5204" s="4">
        <v>2</v>
      </c>
      <c r="AH5204" s="4">
        <v>81</v>
      </c>
      <c r="AI5204" s="4">
        <v>100</v>
      </c>
      <c r="AJ5204" s="4">
        <v>6</v>
      </c>
      <c r="AK5204" s="4">
        <v>19</v>
      </c>
      <c r="AL5204" s="4">
        <v>50</v>
      </c>
      <c r="AM5204" s="4">
        <v>55</v>
      </c>
      <c r="AN5204" s="4">
        <v>0</v>
      </c>
      <c r="AO5204" s="4">
        <v>0</v>
      </c>
      <c r="AP5204" s="4">
        <v>6</v>
      </c>
      <c r="AQ5204" s="4">
        <v>29</v>
      </c>
      <c r="AR5204" s="3" t="s">
        <v>62</v>
      </c>
      <c r="AS5204" s="3" t="s">
        <v>62</v>
      </c>
      <c r="AT5204" s="3" t="s">
        <v>61</v>
      </c>
      <c r="AU5204" s="6" t="str">
        <f>HYPERLINK("http://catalog.hathitrust.org/Record/001576876","HathiTrust Record")</f>
        <v>HathiTrust Record</v>
      </c>
      <c r="AV5204" s="6" t="str">
        <f>HYPERLINK("http://mcgill.on.worldcat.org/oclc/559647","Catalog Record")</f>
        <v>Catalog Record</v>
      </c>
      <c r="AW5204" s="6" t="str">
        <f>HYPERLINK("http://www.worldcat.org/oclc/559647","WorldCat Record")</f>
        <v>WorldCat Record</v>
      </c>
      <c r="AX5204" s="3" t="s">
        <v>49947</v>
      </c>
      <c r="AY5204" s="3" t="s">
        <v>49948</v>
      </c>
      <c r="AZ5204" s="3" t="s">
        <v>49949</v>
      </c>
      <c r="BA5204" s="3" t="s">
        <v>49949</v>
      </c>
      <c r="BB5204" s="3" t="s">
        <v>49950</v>
      </c>
      <c r="BC5204" s="3" t="s">
        <v>102</v>
      </c>
      <c r="BD5204" s="3" t="s">
        <v>68</v>
      </c>
      <c r="BF5204" s="3" t="s">
        <v>49950</v>
      </c>
      <c r="BG5204" s="3" t="s">
        <v>49951</v>
      </c>
    </row>
    <row r="5205" spans="1:59" ht="58" x14ac:dyDescent="0.35">
      <c r="A5205" s="2" t="s">
        <v>89</v>
      </c>
      <c r="B5205" s="2" t="s">
        <v>90</v>
      </c>
      <c r="C5205" s="2" t="s">
        <v>49952</v>
      </c>
      <c r="D5205" s="2" t="s">
        <v>49953</v>
      </c>
      <c r="E5205" s="2" t="s">
        <v>49954</v>
      </c>
      <c r="G5205" s="3" t="s">
        <v>62</v>
      </c>
      <c r="I5205" s="3" t="s">
        <v>61</v>
      </c>
      <c r="J5205" s="3" t="s">
        <v>62</v>
      </c>
      <c r="K5205" s="3" t="s">
        <v>63</v>
      </c>
      <c r="L5205" s="2" t="s">
        <v>49955</v>
      </c>
      <c r="M5205" s="2" t="s">
        <v>49956</v>
      </c>
      <c r="N5205" s="3" t="s">
        <v>1467</v>
      </c>
      <c r="P5205" s="3" t="s">
        <v>64</v>
      </c>
      <c r="Q5205" s="2" t="s">
        <v>49957</v>
      </c>
      <c r="R5205" s="3" t="s">
        <v>46535</v>
      </c>
      <c r="S5205" s="4">
        <v>0</v>
      </c>
      <c r="T5205" s="4">
        <v>8</v>
      </c>
      <c r="V5205" s="5" t="s">
        <v>6070</v>
      </c>
      <c r="W5205" s="5" t="s">
        <v>67</v>
      </c>
      <c r="X5205" s="5" t="s">
        <v>67</v>
      </c>
      <c r="Y5205" s="4">
        <v>1012</v>
      </c>
      <c r="Z5205" s="4">
        <v>51</v>
      </c>
      <c r="AA5205" s="4">
        <v>55</v>
      </c>
      <c r="AB5205" s="4">
        <v>5</v>
      </c>
      <c r="AC5205" s="4">
        <v>8</v>
      </c>
      <c r="AD5205" s="4">
        <v>131</v>
      </c>
      <c r="AE5205" s="4">
        <v>135</v>
      </c>
      <c r="AF5205" s="4">
        <v>1</v>
      </c>
      <c r="AG5205" s="4">
        <v>4</v>
      </c>
      <c r="AH5205" s="4">
        <v>101</v>
      </c>
      <c r="AI5205" s="4">
        <v>102</v>
      </c>
      <c r="AJ5205" s="4">
        <v>21</v>
      </c>
      <c r="AK5205" s="4">
        <v>24</v>
      </c>
      <c r="AL5205" s="4">
        <v>57</v>
      </c>
      <c r="AM5205" s="4">
        <v>57</v>
      </c>
      <c r="AN5205" s="4">
        <v>0</v>
      </c>
      <c r="AO5205" s="4">
        <v>0</v>
      </c>
      <c r="AP5205" s="4">
        <v>35</v>
      </c>
      <c r="AQ5205" s="4">
        <v>38</v>
      </c>
      <c r="AR5205" s="3" t="s">
        <v>62</v>
      </c>
      <c r="AS5205" s="3" t="s">
        <v>62</v>
      </c>
      <c r="AT5205" s="3" t="s">
        <v>61</v>
      </c>
      <c r="AU5205" s="6" t="str">
        <f>HYPERLINK("http://catalog.hathitrust.org/Record/001554858","HathiTrust Record")</f>
        <v>HathiTrust Record</v>
      </c>
      <c r="AV5205" s="6" t="str">
        <f>HYPERLINK("http://mcgill.on.worldcat.org/oclc/233687","Catalog Record")</f>
        <v>Catalog Record</v>
      </c>
      <c r="AW5205" s="6" t="str">
        <f>HYPERLINK("http://www.worldcat.org/oclc/233687","WorldCat Record")</f>
        <v>WorldCat Record</v>
      </c>
      <c r="AX5205" s="3" t="s">
        <v>49958</v>
      </c>
      <c r="AY5205" s="3" t="s">
        <v>49959</v>
      </c>
      <c r="AZ5205" s="3" t="s">
        <v>49960</v>
      </c>
      <c r="BA5205" s="3" t="s">
        <v>49960</v>
      </c>
      <c r="BB5205" s="3" t="s">
        <v>49961</v>
      </c>
      <c r="BC5205" s="3" t="s">
        <v>102</v>
      </c>
      <c r="BD5205" s="3" t="s">
        <v>68</v>
      </c>
      <c r="BE5205" s="3" t="s">
        <v>49962</v>
      </c>
      <c r="BF5205" s="3" t="s">
        <v>49961</v>
      </c>
      <c r="BG5205" s="3" t="s">
        <v>49963</v>
      </c>
    </row>
    <row r="5206" spans="1:59" ht="58" x14ac:dyDescent="0.35">
      <c r="A5206" s="2" t="s">
        <v>89</v>
      </c>
      <c r="B5206" s="2" t="s">
        <v>90</v>
      </c>
      <c r="C5206" s="2" t="s">
        <v>49952</v>
      </c>
      <c r="D5206" s="2" t="s">
        <v>49953</v>
      </c>
      <c r="E5206" s="2" t="s">
        <v>49954</v>
      </c>
      <c r="G5206" s="3" t="s">
        <v>62</v>
      </c>
      <c r="I5206" s="3" t="s">
        <v>61</v>
      </c>
      <c r="J5206" s="3" t="s">
        <v>62</v>
      </c>
      <c r="K5206" s="3" t="s">
        <v>63</v>
      </c>
      <c r="L5206" s="2" t="s">
        <v>49955</v>
      </c>
      <c r="M5206" s="2" t="s">
        <v>49956</v>
      </c>
      <c r="N5206" s="3" t="s">
        <v>1467</v>
      </c>
      <c r="P5206" s="3" t="s">
        <v>64</v>
      </c>
      <c r="Q5206" s="2" t="s">
        <v>49957</v>
      </c>
      <c r="R5206" s="3" t="s">
        <v>46535</v>
      </c>
      <c r="S5206" s="4">
        <v>0</v>
      </c>
      <c r="T5206" s="4">
        <v>8</v>
      </c>
      <c r="V5206" s="5" t="s">
        <v>6070</v>
      </c>
      <c r="W5206" s="5" t="s">
        <v>67</v>
      </c>
      <c r="X5206" s="5" t="s">
        <v>67</v>
      </c>
      <c r="Y5206" s="4">
        <v>1012</v>
      </c>
      <c r="Z5206" s="4">
        <v>51</v>
      </c>
      <c r="AA5206" s="4">
        <v>55</v>
      </c>
      <c r="AB5206" s="4">
        <v>5</v>
      </c>
      <c r="AC5206" s="4">
        <v>8</v>
      </c>
      <c r="AD5206" s="4">
        <v>131</v>
      </c>
      <c r="AE5206" s="4">
        <v>135</v>
      </c>
      <c r="AF5206" s="4">
        <v>1</v>
      </c>
      <c r="AG5206" s="4">
        <v>4</v>
      </c>
      <c r="AH5206" s="4">
        <v>101</v>
      </c>
      <c r="AI5206" s="4">
        <v>102</v>
      </c>
      <c r="AJ5206" s="4">
        <v>21</v>
      </c>
      <c r="AK5206" s="4">
        <v>24</v>
      </c>
      <c r="AL5206" s="4">
        <v>57</v>
      </c>
      <c r="AM5206" s="4">
        <v>57</v>
      </c>
      <c r="AN5206" s="4">
        <v>0</v>
      </c>
      <c r="AO5206" s="4">
        <v>0</v>
      </c>
      <c r="AP5206" s="4">
        <v>35</v>
      </c>
      <c r="AQ5206" s="4">
        <v>38</v>
      </c>
      <c r="AR5206" s="3" t="s">
        <v>62</v>
      </c>
      <c r="AS5206" s="3" t="s">
        <v>62</v>
      </c>
      <c r="AT5206" s="3" t="s">
        <v>61</v>
      </c>
      <c r="AU5206" s="6" t="str">
        <f>HYPERLINK("http://catalog.hathitrust.org/Record/001554858","HathiTrust Record")</f>
        <v>HathiTrust Record</v>
      </c>
      <c r="AV5206" s="6" t="str">
        <f>HYPERLINK("http://mcgill.on.worldcat.org/oclc/233687","Catalog Record")</f>
        <v>Catalog Record</v>
      </c>
      <c r="AW5206" s="6" t="str">
        <f>HYPERLINK("http://www.worldcat.org/oclc/233687","WorldCat Record")</f>
        <v>WorldCat Record</v>
      </c>
      <c r="AX5206" s="3" t="s">
        <v>49958</v>
      </c>
      <c r="AY5206" s="3" t="s">
        <v>49959</v>
      </c>
      <c r="AZ5206" s="3" t="s">
        <v>49960</v>
      </c>
      <c r="BA5206" s="3" t="s">
        <v>49960</v>
      </c>
      <c r="BB5206" s="3" t="s">
        <v>49964</v>
      </c>
      <c r="BC5206" s="3" t="s">
        <v>102</v>
      </c>
      <c r="BD5206" s="3" t="s">
        <v>68</v>
      </c>
      <c r="BE5206" s="3" t="s">
        <v>49962</v>
      </c>
      <c r="BF5206" s="3" t="s">
        <v>49964</v>
      </c>
      <c r="BG5206" s="3" t="s">
        <v>49965</v>
      </c>
    </row>
    <row r="5207" spans="1:59" ht="58" x14ac:dyDescent="0.35">
      <c r="A5207" s="2" t="s">
        <v>89</v>
      </c>
      <c r="B5207" s="2" t="s">
        <v>90</v>
      </c>
      <c r="C5207" s="2" t="s">
        <v>49952</v>
      </c>
      <c r="D5207" s="2" t="s">
        <v>49953</v>
      </c>
      <c r="E5207" s="2" t="s">
        <v>49954</v>
      </c>
      <c r="G5207" s="3" t="s">
        <v>62</v>
      </c>
      <c r="I5207" s="3" t="s">
        <v>61</v>
      </c>
      <c r="J5207" s="3" t="s">
        <v>62</v>
      </c>
      <c r="K5207" s="3" t="s">
        <v>63</v>
      </c>
      <c r="L5207" s="2" t="s">
        <v>49955</v>
      </c>
      <c r="M5207" s="2" t="s">
        <v>49956</v>
      </c>
      <c r="N5207" s="3" t="s">
        <v>1467</v>
      </c>
      <c r="P5207" s="3" t="s">
        <v>64</v>
      </c>
      <c r="Q5207" s="2" t="s">
        <v>49957</v>
      </c>
      <c r="R5207" s="3" t="s">
        <v>46535</v>
      </c>
      <c r="S5207" s="4">
        <v>0</v>
      </c>
      <c r="T5207" s="4">
        <v>8</v>
      </c>
      <c r="V5207" s="5" t="s">
        <v>6070</v>
      </c>
      <c r="W5207" s="5" t="s">
        <v>67</v>
      </c>
      <c r="X5207" s="5" t="s">
        <v>67</v>
      </c>
      <c r="Y5207" s="4">
        <v>1012</v>
      </c>
      <c r="Z5207" s="4">
        <v>51</v>
      </c>
      <c r="AA5207" s="4">
        <v>55</v>
      </c>
      <c r="AB5207" s="4">
        <v>5</v>
      </c>
      <c r="AC5207" s="4">
        <v>8</v>
      </c>
      <c r="AD5207" s="4">
        <v>131</v>
      </c>
      <c r="AE5207" s="4">
        <v>135</v>
      </c>
      <c r="AF5207" s="4">
        <v>1</v>
      </c>
      <c r="AG5207" s="4">
        <v>4</v>
      </c>
      <c r="AH5207" s="4">
        <v>101</v>
      </c>
      <c r="AI5207" s="4">
        <v>102</v>
      </c>
      <c r="AJ5207" s="4">
        <v>21</v>
      </c>
      <c r="AK5207" s="4">
        <v>24</v>
      </c>
      <c r="AL5207" s="4">
        <v>57</v>
      </c>
      <c r="AM5207" s="4">
        <v>57</v>
      </c>
      <c r="AN5207" s="4">
        <v>0</v>
      </c>
      <c r="AO5207" s="4">
        <v>0</v>
      </c>
      <c r="AP5207" s="4">
        <v>35</v>
      </c>
      <c r="AQ5207" s="4">
        <v>38</v>
      </c>
      <c r="AR5207" s="3" t="s">
        <v>62</v>
      </c>
      <c r="AS5207" s="3" t="s">
        <v>62</v>
      </c>
      <c r="AT5207" s="3" t="s">
        <v>61</v>
      </c>
      <c r="AU5207" s="6" t="str">
        <f>HYPERLINK("http://catalog.hathitrust.org/Record/001554858","HathiTrust Record")</f>
        <v>HathiTrust Record</v>
      </c>
      <c r="AV5207" s="6" t="str">
        <f>HYPERLINK("http://mcgill.on.worldcat.org/oclc/233687","Catalog Record")</f>
        <v>Catalog Record</v>
      </c>
      <c r="AW5207" s="6" t="str">
        <f>HYPERLINK("http://www.worldcat.org/oclc/233687","WorldCat Record")</f>
        <v>WorldCat Record</v>
      </c>
      <c r="AX5207" s="3" t="s">
        <v>49958</v>
      </c>
      <c r="AY5207" s="3" t="s">
        <v>49959</v>
      </c>
      <c r="AZ5207" s="3" t="s">
        <v>49960</v>
      </c>
      <c r="BA5207" s="3" t="s">
        <v>49960</v>
      </c>
      <c r="BB5207" s="3" t="s">
        <v>49966</v>
      </c>
      <c r="BC5207" s="3" t="s">
        <v>102</v>
      </c>
      <c r="BD5207" s="3" t="s">
        <v>68</v>
      </c>
      <c r="BE5207" s="3" t="s">
        <v>49962</v>
      </c>
      <c r="BF5207" s="3" t="s">
        <v>49966</v>
      </c>
      <c r="BG5207" s="3" t="s">
        <v>49967</v>
      </c>
    </row>
    <row r="5208" spans="1:59" ht="58" x14ac:dyDescent="0.35">
      <c r="A5208" s="2" t="s">
        <v>89</v>
      </c>
      <c r="B5208" s="2" t="s">
        <v>90</v>
      </c>
      <c r="C5208" s="2" t="s">
        <v>49968</v>
      </c>
      <c r="D5208" s="2" t="s">
        <v>49969</v>
      </c>
      <c r="E5208" s="2" t="s">
        <v>49970</v>
      </c>
      <c r="G5208" s="3" t="s">
        <v>62</v>
      </c>
      <c r="I5208" s="3" t="s">
        <v>62</v>
      </c>
      <c r="J5208" s="3" t="s">
        <v>62</v>
      </c>
      <c r="K5208" s="3" t="s">
        <v>63</v>
      </c>
      <c r="M5208" s="2" t="s">
        <v>15076</v>
      </c>
      <c r="N5208" s="3" t="s">
        <v>524</v>
      </c>
      <c r="P5208" s="3" t="s">
        <v>64</v>
      </c>
      <c r="Q5208" s="2" t="s">
        <v>49971</v>
      </c>
      <c r="R5208" s="3" t="s">
        <v>46535</v>
      </c>
      <c r="S5208" s="4">
        <v>24</v>
      </c>
      <c r="T5208" s="4">
        <v>24</v>
      </c>
      <c r="U5208" s="5" t="s">
        <v>1833</v>
      </c>
      <c r="V5208" s="5" t="s">
        <v>1833</v>
      </c>
      <c r="W5208" s="5" t="s">
        <v>67</v>
      </c>
      <c r="X5208" s="5" t="s">
        <v>67</v>
      </c>
      <c r="Y5208" s="4">
        <v>243</v>
      </c>
      <c r="Z5208" s="4">
        <v>17</v>
      </c>
      <c r="AA5208" s="4">
        <v>43</v>
      </c>
      <c r="AB5208" s="4">
        <v>2</v>
      </c>
      <c r="AC5208" s="4">
        <v>8</v>
      </c>
      <c r="AD5208" s="4">
        <v>93</v>
      </c>
      <c r="AE5208" s="4">
        <v>118</v>
      </c>
      <c r="AF5208" s="4">
        <v>1</v>
      </c>
      <c r="AG5208" s="4">
        <v>5</v>
      </c>
      <c r="AH5208" s="4">
        <v>82</v>
      </c>
      <c r="AI5208" s="4">
        <v>97</v>
      </c>
      <c r="AJ5208" s="4">
        <v>12</v>
      </c>
      <c r="AK5208" s="4">
        <v>19</v>
      </c>
      <c r="AL5208" s="4">
        <v>46</v>
      </c>
      <c r="AM5208" s="4">
        <v>51</v>
      </c>
      <c r="AN5208" s="4">
        <v>0</v>
      </c>
      <c r="AO5208" s="4">
        <v>0</v>
      </c>
      <c r="AP5208" s="4">
        <v>15</v>
      </c>
      <c r="AQ5208" s="4">
        <v>28</v>
      </c>
      <c r="AR5208" s="3" t="s">
        <v>62</v>
      </c>
      <c r="AS5208" s="3" t="s">
        <v>62</v>
      </c>
      <c r="AT5208" s="3" t="s">
        <v>62</v>
      </c>
      <c r="AV5208" s="6" t="str">
        <f>HYPERLINK("http://mcgill.on.worldcat.org/oclc/31738772","Catalog Record")</f>
        <v>Catalog Record</v>
      </c>
      <c r="AW5208" s="6" t="str">
        <f>HYPERLINK("http://www.worldcat.org/oclc/31738772","WorldCat Record")</f>
        <v>WorldCat Record</v>
      </c>
      <c r="AX5208" s="3" t="s">
        <v>49972</v>
      </c>
      <c r="AY5208" s="3" t="s">
        <v>49973</v>
      </c>
      <c r="AZ5208" s="3" t="s">
        <v>49974</v>
      </c>
      <c r="BA5208" s="3" t="s">
        <v>49974</v>
      </c>
      <c r="BB5208" s="3" t="s">
        <v>49975</v>
      </c>
      <c r="BC5208" s="3" t="s">
        <v>102</v>
      </c>
      <c r="BD5208" s="3" t="s">
        <v>68</v>
      </c>
      <c r="BE5208" s="3" t="s">
        <v>49976</v>
      </c>
      <c r="BF5208" s="3" t="s">
        <v>49975</v>
      </c>
      <c r="BG5208" s="3" t="s">
        <v>49977</v>
      </c>
    </row>
    <row r="5209" spans="1:59" ht="58" x14ac:dyDescent="0.35">
      <c r="A5209" s="2" t="s">
        <v>89</v>
      </c>
      <c r="B5209" s="2" t="s">
        <v>90</v>
      </c>
      <c r="C5209" s="2" t="s">
        <v>49978</v>
      </c>
      <c r="D5209" s="2" t="s">
        <v>49979</v>
      </c>
      <c r="E5209" s="2" t="s">
        <v>49980</v>
      </c>
      <c r="G5209" s="3" t="s">
        <v>62</v>
      </c>
      <c r="I5209" s="3" t="s">
        <v>61</v>
      </c>
      <c r="J5209" s="3" t="s">
        <v>62</v>
      </c>
      <c r="K5209" s="3" t="s">
        <v>63</v>
      </c>
      <c r="L5209" s="2" t="s">
        <v>49981</v>
      </c>
      <c r="M5209" s="2" t="s">
        <v>49982</v>
      </c>
      <c r="N5209" s="3" t="s">
        <v>129</v>
      </c>
      <c r="P5209" s="3" t="s">
        <v>64</v>
      </c>
      <c r="R5209" s="3" t="s">
        <v>46535</v>
      </c>
      <c r="S5209" s="4">
        <v>19</v>
      </c>
      <c r="T5209" s="4">
        <v>39</v>
      </c>
      <c r="U5209" s="5" t="s">
        <v>11483</v>
      </c>
      <c r="V5209" s="5" t="s">
        <v>11483</v>
      </c>
      <c r="W5209" s="5" t="s">
        <v>67</v>
      </c>
      <c r="X5209" s="5" t="s">
        <v>67</v>
      </c>
      <c r="Y5209" s="4">
        <v>249</v>
      </c>
      <c r="Z5209" s="4">
        <v>23</v>
      </c>
      <c r="AA5209" s="4">
        <v>31</v>
      </c>
      <c r="AB5209" s="4">
        <v>1</v>
      </c>
      <c r="AC5209" s="4">
        <v>5</v>
      </c>
      <c r="AD5209" s="4">
        <v>76</v>
      </c>
      <c r="AE5209" s="4">
        <v>90</v>
      </c>
      <c r="AF5209" s="4">
        <v>0</v>
      </c>
      <c r="AG5209" s="4">
        <v>1</v>
      </c>
      <c r="AH5209" s="4">
        <v>65</v>
      </c>
      <c r="AI5209" s="4">
        <v>75</v>
      </c>
      <c r="AJ5209" s="4">
        <v>14</v>
      </c>
      <c r="AK5209" s="4">
        <v>16</v>
      </c>
      <c r="AL5209" s="4">
        <v>34</v>
      </c>
      <c r="AM5209" s="4">
        <v>38</v>
      </c>
      <c r="AN5209" s="4">
        <v>0</v>
      </c>
      <c r="AO5209" s="4">
        <v>0</v>
      </c>
      <c r="AP5209" s="4">
        <v>19</v>
      </c>
      <c r="AQ5209" s="4">
        <v>23</v>
      </c>
      <c r="AR5209" s="3" t="s">
        <v>62</v>
      </c>
      <c r="AS5209" s="3" t="s">
        <v>62</v>
      </c>
      <c r="AT5209" s="3" t="s">
        <v>62</v>
      </c>
      <c r="AV5209" s="6" t="str">
        <f>HYPERLINK("http://mcgill.on.worldcat.org/oclc/822971480","Catalog Record")</f>
        <v>Catalog Record</v>
      </c>
      <c r="AW5209" s="6" t="str">
        <f>HYPERLINK("http://www.worldcat.org/oclc/822971480","WorldCat Record")</f>
        <v>WorldCat Record</v>
      </c>
      <c r="AX5209" s="3" t="s">
        <v>49983</v>
      </c>
      <c r="AY5209" s="3" t="s">
        <v>49984</v>
      </c>
      <c r="AZ5209" s="3" t="s">
        <v>49985</v>
      </c>
      <c r="BA5209" s="3" t="s">
        <v>49985</v>
      </c>
      <c r="BB5209" s="3" t="s">
        <v>49986</v>
      </c>
      <c r="BC5209" s="3" t="s">
        <v>102</v>
      </c>
      <c r="BD5209" s="3" t="s">
        <v>68</v>
      </c>
      <c r="BE5209" s="3" t="s">
        <v>49987</v>
      </c>
      <c r="BF5209" s="3" t="s">
        <v>49986</v>
      </c>
      <c r="BG5209" s="3" t="s">
        <v>49988</v>
      </c>
    </row>
    <row r="5210" spans="1:59" ht="58" x14ac:dyDescent="0.35">
      <c r="A5210" s="2" t="s">
        <v>89</v>
      </c>
      <c r="B5210" s="2" t="s">
        <v>90</v>
      </c>
      <c r="C5210" s="2" t="s">
        <v>49978</v>
      </c>
      <c r="D5210" s="2" t="s">
        <v>49979</v>
      </c>
      <c r="E5210" s="2" t="s">
        <v>49980</v>
      </c>
      <c r="G5210" s="3" t="s">
        <v>62</v>
      </c>
      <c r="I5210" s="3" t="s">
        <v>61</v>
      </c>
      <c r="J5210" s="3" t="s">
        <v>62</v>
      </c>
      <c r="K5210" s="3" t="s">
        <v>63</v>
      </c>
      <c r="L5210" s="2" t="s">
        <v>49981</v>
      </c>
      <c r="M5210" s="2" t="s">
        <v>49982</v>
      </c>
      <c r="N5210" s="3" t="s">
        <v>129</v>
      </c>
      <c r="P5210" s="3" t="s">
        <v>64</v>
      </c>
      <c r="R5210" s="3" t="s">
        <v>46535</v>
      </c>
      <c r="S5210" s="4">
        <v>20</v>
      </c>
      <c r="T5210" s="4">
        <v>39</v>
      </c>
      <c r="U5210" s="5" t="s">
        <v>49989</v>
      </c>
      <c r="V5210" s="5" t="s">
        <v>11483</v>
      </c>
      <c r="W5210" s="5" t="s">
        <v>67</v>
      </c>
      <c r="X5210" s="5" t="s">
        <v>67</v>
      </c>
      <c r="Y5210" s="4">
        <v>249</v>
      </c>
      <c r="Z5210" s="4">
        <v>23</v>
      </c>
      <c r="AA5210" s="4">
        <v>31</v>
      </c>
      <c r="AB5210" s="4">
        <v>1</v>
      </c>
      <c r="AC5210" s="4">
        <v>5</v>
      </c>
      <c r="AD5210" s="4">
        <v>76</v>
      </c>
      <c r="AE5210" s="4">
        <v>90</v>
      </c>
      <c r="AF5210" s="4">
        <v>0</v>
      </c>
      <c r="AG5210" s="4">
        <v>1</v>
      </c>
      <c r="AH5210" s="4">
        <v>65</v>
      </c>
      <c r="AI5210" s="4">
        <v>75</v>
      </c>
      <c r="AJ5210" s="4">
        <v>14</v>
      </c>
      <c r="AK5210" s="4">
        <v>16</v>
      </c>
      <c r="AL5210" s="4">
        <v>34</v>
      </c>
      <c r="AM5210" s="4">
        <v>38</v>
      </c>
      <c r="AN5210" s="4">
        <v>0</v>
      </c>
      <c r="AO5210" s="4">
        <v>0</v>
      </c>
      <c r="AP5210" s="4">
        <v>19</v>
      </c>
      <c r="AQ5210" s="4">
        <v>23</v>
      </c>
      <c r="AR5210" s="3" t="s">
        <v>62</v>
      </c>
      <c r="AS5210" s="3" t="s">
        <v>62</v>
      </c>
      <c r="AT5210" s="3" t="s">
        <v>62</v>
      </c>
      <c r="AV5210" s="6" t="str">
        <f>HYPERLINK("http://mcgill.on.worldcat.org/oclc/822971480","Catalog Record")</f>
        <v>Catalog Record</v>
      </c>
      <c r="AW5210" s="6" t="str">
        <f>HYPERLINK("http://www.worldcat.org/oclc/822971480","WorldCat Record")</f>
        <v>WorldCat Record</v>
      </c>
      <c r="AX5210" s="3" t="s">
        <v>49983</v>
      </c>
      <c r="AY5210" s="3" t="s">
        <v>49984</v>
      </c>
      <c r="AZ5210" s="3" t="s">
        <v>49985</v>
      </c>
      <c r="BA5210" s="3" t="s">
        <v>49985</v>
      </c>
      <c r="BB5210" s="3" t="s">
        <v>49990</v>
      </c>
      <c r="BC5210" s="3" t="s">
        <v>102</v>
      </c>
      <c r="BD5210" s="3" t="s">
        <v>68</v>
      </c>
      <c r="BE5210" s="3" t="s">
        <v>49987</v>
      </c>
      <c r="BF5210" s="3" t="s">
        <v>49990</v>
      </c>
      <c r="BG5210" s="3" t="s">
        <v>49991</v>
      </c>
    </row>
    <row r="5211" spans="1:59" ht="58" x14ac:dyDescent="0.35">
      <c r="A5211" s="2" t="s">
        <v>59</v>
      </c>
      <c r="B5211" s="2" t="s">
        <v>60</v>
      </c>
      <c r="C5211" s="2" t="s">
        <v>49992</v>
      </c>
      <c r="D5211" s="2" t="s">
        <v>49993</v>
      </c>
      <c r="E5211" s="2" t="s">
        <v>49994</v>
      </c>
      <c r="G5211" s="3" t="s">
        <v>62</v>
      </c>
      <c r="I5211" s="3" t="s">
        <v>61</v>
      </c>
      <c r="J5211" s="3" t="s">
        <v>62</v>
      </c>
      <c r="K5211" s="3" t="s">
        <v>63</v>
      </c>
      <c r="M5211" s="2" t="s">
        <v>49995</v>
      </c>
      <c r="N5211" s="3" t="s">
        <v>285</v>
      </c>
      <c r="P5211" s="3" t="s">
        <v>64</v>
      </c>
      <c r="R5211" s="3" t="s">
        <v>46535</v>
      </c>
      <c r="S5211" s="4">
        <v>0</v>
      </c>
      <c r="T5211" s="4">
        <v>4</v>
      </c>
      <c r="V5211" s="5" t="s">
        <v>49996</v>
      </c>
      <c r="W5211" s="5" t="s">
        <v>67</v>
      </c>
      <c r="X5211" s="5" t="s">
        <v>67</v>
      </c>
      <c r="Y5211" s="4">
        <v>243</v>
      </c>
      <c r="Z5211" s="4">
        <v>19</v>
      </c>
      <c r="AA5211" s="4">
        <v>22</v>
      </c>
      <c r="AB5211" s="4">
        <v>2</v>
      </c>
      <c r="AC5211" s="4">
        <v>4</v>
      </c>
      <c r="AD5211" s="4">
        <v>90</v>
      </c>
      <c r="AE5211" s="4">
        <v>94</v>
      </c>
      <c r="AF5211" s="4">
        <v>0</v>
      </c>
      <c r="AG5211" s="4">
        <v>1</v>
      </c>
      <c r="AH5211" s="4">
        <v>81</v>
      </c>
      <c r="AI5211" s="4">
        <v>83</v>
      </c>
      <c r="AJ5211" s="4">
        <v>13</v>
      </c>
      <c r="AK5211" s="4">
        <v>14</v>
      </c>
      <c r="AL5211" s="4">
        <v>43</v>
      </c>
      <c r="AM5211" s="4">
        <v>44</v>
      </c>
      <c r="AN5211" s="4">
        <v>0</v>
      </c>
      <c r="AO5211" s="4">
        <v>0</v>
      </c>
      <c r="AP5211" s="4">
        <v>14</v>
      </c>
      <c r="AQ5211" s="4">
        <v>15</v>
      </c>
      <c r="AR5211" s="3" t="s">
        <v>62</v>
      </c>
      <c r="AS5211" s="3" t="s">
        <v>62</v>
      </c>
      <c r="AT5211" s="3" t="s">
        <v>61</v>
      </c>
      <c r="AU5211" s="6" t="str">
        <f>HYPERLINK("http://catalog.hathitrust.org/Record/006257575","HathiTrust Record")</f>
        <v>HathiTrust Record</v>
      </c>
      <c r="AV5211" s="6" t="str">
        <f>HYPERLINK("http://mcgill.on.worldcat.org/oclc/4857486","Catalog Record")</f>
        <v>Catalog Record</v>
      </c>
      <c r="AW5211" s="6" t="str">
        <f>HYPERLINK("http://www.worldcat.org/oclc/4857486","WorldCat Record")</f>
        <v>WorldCat Record</v>
      </c>
      <c r="AX5211" s="3" t="s">
        <v>49997</v>
      </c>
      <c r="AY5211" s="3" t="s">
        <v>49998</v>
      </c>
      <c r="AZ5211" s="3" t="s">
        <v>49999</v>
      </c>
      <c r="BA5211" s="3" t="s">
        <v>49999</v>
      </c>
      <c r="BB5211" s="3" t="s">
        <v>50000</v>
      </c>
      <c r="BC5211" s="3" t="s">
        <v>102</v>
      </c>
      <c r="BD5211" s="3" t="s">
        <v>68</v>
      </c>
      <c r="BE5211" s="3" t="s">
        <v>50001</v>
      </c>
      <c r="BF5211" s="3" t="s">
        <v>50000</v>
      </c>
      <c r="BG5211" s="3" t="s">
        <v>50002</v>
      </c>
    </row>
    <row r="5212" spans="1:59" ht="58" x14ac:dyDescent="0.35">
      <c r="A5212" s="2" t="s">
        <v>89</v>
      </c>
      <c r="B5212" s="2" t="s">
        <v>90</v>
      </c>
      <c r="C5212" s="2" t="s">
        <v>50003</v>
      </c>
      <c r="D5212" s="2" t="s">
        <v>50004</v>
      </c>
      <c r="E5212" s="2" t="s">
        <v>50005</v>
      </c>
      <c r="G5212" s="3" t="s">
        <v>62</v>
      </c>
      <c r="I5212" s="3" t="s">
        <v>61</v>
      </c>
      <c r="J5212" s="3" t="s">
        <v>61</v>
      </c>
      <c r="K5212" s="3" t="s">
        <v>63</v>
      </c>
      <c r="L5212" s="2" t="s">
        <v>50006</v>
      </c>
      <c r="M5212" s="2" t="s">
        <v>50007</v>
      </c>
      <c r="N5212" s="3" t="s">
        <v>930</v>
      </c>
      <c r="P5212" s="3" t="s">
        <v>64</v>
      </c>
      <c r="R5212" s="3" t="s">
        <v>46535</v>
      </c>
      <c r="S5212" s="4">
        <v>3</v>
      </c>
      <c r="T5212" s="4">
        <v>10</v>
      </c>
      <c r="U5212" s="5" t="s">
        <v>50008</v>
      </c>
      <c r="V5212" s="5" t="s">
        <v>4363</v>
      </c>
      <c r="W5212" s="5" t="s">
        <v>67</v>
      </c>
      <c r="X5212" s="5" t="s">
        <v>67</v>
      </c>
      <c r="Y5212" s="4">
        <v>1332</v>
      </c>
      <c r="Z5212" s="4">
        <v>56</v>
      </c>
      <c r="AA5212" s="4">
        <v>72</v>
      </c>
      <c r="AB5212" s="4">
        <v>4</v>
      </c>
      <c r="AC5212" s="4">
        <v>9</v>
      </c>
      <c r="AD5212" s="4">
        <v>120</v>
      </c>
      <c r="AE5212" s="4">
        <v>149</v>
      </c>
      <c r="AF5212" s="4">
        <v>1</v>
      </c>
      <c r="AG5212" s="4">
        <v>5</v>
      </c>
      <c r="AH5212" s="4">
        <v>93</v>
      </c>
      <c r="AI5212" s="4">
        <v>109</v>
      </c>
      <c r="AJ5212" s="4">
        <v>17</v>
      </c>
      <c r="AK5212" s="4">
        <v>23</v>
      </c>
      <c r="AL5212" s="4">
        <v>52</v>
      </c>
      <c r="AM5212" s="4">
        <v>63</v>
      </c>
      <c r="AN5212" s="4">
        <v>0</v>
      </c>
      <c r="AO5212" s="4">
        <v>4</v>
      </c>
      <c r="AP5212" s="4">
        <v>33</v>
      </c>
      <c r="AQ5212" s="4">
        <v>44</v>
      </c>
      <c r="AR5212" s="3" t="s">
        <v>62</v>
      </c>
      <c r="AS5212" s="3" t="s">
        <v>62</v>
      </c>
      <c r="AT5212" s="3" t="s">
        <v>61</v>
      </c>
      <c r="AU5212" s="6" t="str">
        <f>HYPERLINK("http://catalog.hathitrust.org/Record/001554873","HathiTrust Record")</f>
        <v>HathiTrust Record</v>
      </c>
      <c r="AV5212" s="6" t="str">
        <f>HYPERLINK("http://mcgill.on.worldcat.org/oclc/249196","Catalog Record")</f>
        <v>Catalog Record</v>
      </c>
      <c r="AW5212" s="6" t="str">
        <f>HYPERLINK("http://www.worldcat.org/oclc/249196","WorldCat Record")</f>
        <v>WorldCat Record</v>
      </c>
      <c r="AX5212" s="3" t="s">
        <v>50009</v>
      </c>
      <c r="AY5212" s="3" t="s">
        <v>50010</v>
      </c>
      <c r="AZ5212" s="3" t="s">
        <v>50011</v>
      </c>
      <c r="BA5212" s="3" t="s">
        <v>50011</v>
      </c>
      <c r="BB5212" s="3" t="s">
        <v>50012</v>
      </c>
      <c r="BC5212" s="3" t="s">
        <v>102</v>
      </c>
      <c r="BD5212" s="3" t="s">
        <v>68</v>
      </c>
      <c r="BE5212" s="3" t="s">
        <v>50013</v>
      </c>
      <c r="BF5212" s="3" t="s">
        <v>50012</v>
      </c>
      <c r="BG5212" s="3" t="s">
        <v>50014</v>
      </c>
    </row>
    <row r="5213" spans="1:59" ht="58" x14ac:dyDescent="0.35">
      <c r="A5213" s="2" t="s">
        <v>89</v>
      </c>
      <c r="B5213" s="2" t="s">
        <v>90</v>
      </c>
      <c r="C5213" s="2" t="s">
        <v>50003</v>
      </c>
      <c r="D5213" s="2" t="s">
        <v>50004</v>
      </c>
      <c r="E5213" s="2" t="s">
        <v>50005</v>
      </c>
      <c r="G5213" s="3" t="s">
        <v>62</v>
      </c>
      <c r="I5213" s="3" t="s">
        <v>61</v>
      </c>
      <c r="J5213" s="3" t="s">
        <v>61</v>
      </c>
      <c r="K5213" s="3" t="s">
        <v>63</v>
      </c>
      <c r="L5213" s="2" t="s">
        <v>50006</v>
      </c>
      <c r="M5213" s="2" t="s">
        <v>50007</v>
      </c>
      <c r="N5213" s="3" t="s">
        <v>930</v>
      </c>
      <c r="P5213" s="3" t="s">
        <v>64</v>
      </c>
      <c r="R5213" s="3" t="s">
        <v>46535</v>
      </c>
      <c r="S5213" s="4">
        <v>6</v>
      </c>
      <c r="T5213" s="4">
        <v>10</v>
      </c>
      <c r="U5213" s="5" t="s">
        <v>4363</v>
      </c>
      <c r="V5213" s="5" t="s">
        <v>4363</v>
      </c>
      <c r="W5213" s="5" t="s">
        <v>67</v>
      </c>
      <c r="X5213" s="5" t="s">
        <v>67</v>
      </c>
      <c r="Y5213" s="4">
        <v>1332</v>
      </c>
      <c r="Z5213" s="4">
        <v>56</v>
      </c>
      <c r="AA5213" s="4">
        <v>72</v>
      </c>
      <c r="AB5213" s="4">
        <v>4</v>
      </c>
      <c r="AC5213" s="4">
        <v>9</v>
      </c>
      <c r="AD5213" s="4">
        <v>120</v>
      </c>
      <c r="AE5213" s="4">
        <v>149</v>
      </c>
      <c r="AF5213" s="4">
        <v>1</v>
      </c>
      <c r="AG5213" s="4">
        <v>5</v>
      </c>
      <c r="AH5213" s="4">
        <v>93</v>
      </c>
      <c r="AI5213" s="4">
        <v>109</v>
      </c>
      <c r="AJ5213" s="4">
        <v>17</v>
      </c>
      <c r="AK5213" s="4">
        <v>23</v>
      </c>
      <c r="AL5213" s="4">
        <v>52</v>
      </c>
      <c r="AM5213" s="4">
        <v>63</v>
      </c>
      <c r="AN5213" s="4">
        <v>0</v>
      </c>
      <c r="AO5213" s="4">
        <v>4</v>
      </c>
      <c r="AP5213" s="4">
        <v>33</v>
      </c>
      <c r="AQ5213" s="4">
        <v>44</v>
      </c>
      <c r="AR5213" s="3" t="s">
        <v>62</v>
      </c>
      <c r="AS5213" s="3" t="s">
        <v>62</v>
      </c>
      <c r="AT5213" s="3" t="s">
        <v>61</v>
      </c>
      <c r="AU5213" s="6" t="str">
        <f>HYPERLINK("http://catalog.hathitrust.org/Record/001554873","HathiTrust Record")</f>
        <v>HathiTrust Record</v>
      </c>
      <c r="AV5213" s="6" t="str">
        <f>HYPERLINK("http://mcgill.on.worldcat.org/oclc/249196","Catalog Record")</f>
        <v>Catalog Record</v>
      </c>
      <c r="AW5213" s="6" t="str">
        <f>HYPERLINK("http://www.worldcat.org/oclc/249196","WorldCat Record")</f>
        <v>WorldCat Record</v>
      </c>
      <c r="AX5213" s="3" t="s">
        <v>50009</v>
      </c>
      <c r="AY5213" s="3" t="s">
        <v>50010</v>
      </c>
      <c r="AZ5213" s="3" t="s">
        <v>50011</v>
      </c>
      <c r="BA5213" s="3" t="s">
        <v>50011</v>
      </c>
      <c r="BB5213" s="3" t="s">
        <v>50015</v>
      </c>
      <c r="BC5213" s="3" t="s">
        <v>102</v>
      </c>
      <c r="BD5213" s="3" t="s">
        <v>68</v>
      </c>
      <c r="BE5213" s="3" t="s">
        <v>50013</v>
      </c>
      <c r="BF5213" s="3" t="s">
        <v>50015</v>
      </c>
      <c r="BG5213" s="3" t="s">
        <v>50016</v>
      </c>
    </row>
    <row r="5214" spans="1:59" ht="58" x14ac:dyDescent="0.35">
      <c r="A5214" s="2" t="s">
        <v>89</v>
      </c>
      <c r="B5214" s="2" t="s">
        <v>90</v>
      </c>
      <c r="C5214" s="2" t="s">
        <v>50003</v>
      </c>
      <c r="D5214" s="2" t="s">
        <v>50004</v>
      </c>
      <c r="E5214" s="2" t="s">
        <v>50005</v>
      </c>
      <c r="G5214" s="3" t="s">
        <v>62</v>
      </c>
      <c r="I5214" s="3" t="s">
        <v>61</v>
      </c>
      <c r="J5214" s="3" t="s">
        <v>61</v>
      </c>
      <c r="K5214" s="3" t="s">
        <v>63</v>
      </c>
      <c r="L5214" s="2" t="s">
        <v>50006</v>
      </c>
      <c r="M5214" s="2" t="s">
        <v>50007</v>
      </c>
      <c r="N5214" s="3" t="s">
        <v>930</v>
      </c>
      <c r="P5214" s="3" t="s">
        <v>64</v>
      </c>
      <c r="R5214" s="3" t="s">
        <v>46535</v>
      </c>
      <c r="S5214" s="4">
        <v>1</v>
      </c>
      <c r="T5214" s="4">
        <v>10</v>
      </c>
      <c r="U5214" s="5" t="s">
        <v>50017</v>
      </c>
      <c r="V5214" s="5" t="s">
        <v>4363</v>
      </c>
      <c r="W5214" s="5" t="s">
        <v>67</v>
      </c>
      <c r="X5214" s="5" t="s">
        <v>67</v>
      </c>
      <c r="Y5214" s="4">
        <v>1332</v>
      </c>
      <c r="Z5214" s="4">
        <v>56</v>
      </c>
      <c r="AA5214" s="4">
        <v>72</v>
      </c>
      <c r="AB5214" s="4">
        <v>4</v>
      </c>
      <c r="AC5214" s="4">
        <v>9</v>
      </c>
      <c r="AD5214" s="4">
        <v>120</v>
      </c>
      <c r="AE5214" s="4">
        <v>149</v>
      </c>
      <c r="AF5214" s="4">
        <v>1</v>
      </c>
      <c r="AG5214" s="4">
        <v>5</v>
      </c>
      <c r="AH5214" s="4">
        <v>93</v>
      </c>
      <c r="AI5214" s="4">
        <v>109</v>
      </c>
      <c r="AJ5214" s="4">
        <v>17</v>
      </c>
      <c r="AK5214" s="4">
        <v>23</v>
      </c>
      <c r="AL5214" s="4">
        <v>52</v>
      </c>
      <c r="AM5214" s="4">
        <v>63</v>
      </c>
      <c r="AN5214" s="4">
        <v>0</v>
      </c>
      <c r="AO5214" s="4">
        <v>4</v>
      </c>
      <c r="AP5214" s="4">
        <v>33</v>
      </c>
      <c r="AQ5214" s="4">
        <v>44</v>
      </c>
      <c r="AR5214" s="3" t="s">
        <v>62</v>
      </c>
      <c r="AS5214" s="3" t="s">
        <v>62</v>
      </c>
      <c r="AT5214" s="3" t="s">
        <v>61</v>
      </c>
      <c r="AU5214" s="6" t="str">
        <f>HYPERLINK("http://catalog.hathitrust.org/Record/001554873","HathiTrust Record")</f>
        <v>HathiTrust Record</v>
      </c>
      <c r="AV5214" s="6" t="str">
        <f>HYPERLINK("http://mcgill.on.worldcat.org/oclc/249196","Catalog Record")</f>
        <v>Catalog Record</v>
      </c>
      <c r="AW5214" s="6" t="str">
        <f>HYPERLINK("http://www.worldcat.org/oclc/249196","WorldCat Record")</f>
        <v>WorldCat Record</v>
      </c>
      <c r="AX5214" s="3" t="s">
        <v>50009</v>
      </c>
      <c r="AY5214" s="3" t="s">
        <v>50010</v>
      </c>
      <c r="AZ5214" s="3" t="s">
        <v>50011</v>
      </c>
      <c r="BA5214" s="3" t="s">
        <v>50011</v>
      </c>
      <c r="BB5214" s="3" t="s">
        <v>50018</v>
      </c>
      <c r="BC5214" s="3" t="s">
        <v>102</v>
      </c>
      <c r="BD5214" s="3" t="s">
        <v>68</v>
      </c>
      <c r="BE5214" s="3" t="s">
        <v>50013</v>
      </c>
      <c r="BF5214" s="3" t="s">
        <v>50018</v>
      </c>
      <c r="BG5214" s="3" t="s">
        <v>50019</v>
      </c>
    </row>
    <row r="5215" spans="1:59" ht="58" x14ac:dyDescent="0.35">
      <c r="A5215" s="2" t="s">
        <v>59</v>
      </c>
      <c r="B5215" s="2" t="s">
        <v>60</v>
      </c>
      <c r="C5215" s="2" t="s">
        <v>50003</v>
      </c>
      <c r="D5215" s="2" t="s">
        <v>50004</v>
      </c>
      <c r="E5215" s="2" t="s">
        <v>50005</v>
      </c>
      <c r="G5215" s="3" t="s">
        <v>62</v>
      </c>
      <c r="I5215" s="3" t="s">
        <v>61</v>
      </c>
      <c r="J5215" s="3" t="s">
        <v>61</v>
      </c>
      <c r="K5215" s="3" t="s">
        <v>63</v>
      </c>
      <c r="L5215" s="2" t="s">
        <v>50006</v>
      </c>
      <c r="M5215" s="2" t="s">
        <v>50007</v>
      </c>
      <c r="N5215" s="3" t="s">
        <v>930</v>
      </c>
      <c r="P5215" s="3" t="s">
        <v>64</v>
      </c>
      <c r="R5215" s="3" t="s">
        <v>46535</v>
      </c>
      <c r="S5215" s="4">
        <v>0</v>
      </c>
      <c r="T5215" s="4">
        <v>10</v>
      </c>
      <c r="V5215" s="5" t="s">
        <v>4363</v>
      </c>
      <c r="W5215" s="5" t="s">
        <v>67</v>
      </c>
      <c r="X5215" s="5" t="s">
        <v>67</v>
      </c>
      <c r="Y5215" s="4">
        <v>1332</v>
      </c>
      <c r="Z5215" s="4">
        <v>56</v>
      </c>
      <c r="AA5215" s="4">
        <v>72</v>
      </c>
      <c r="AB5215" s="4">
        <v>4</v>
      </c>
      <c r="AC5215" s="4">
        <v>9</v>
      </c>
      <c r="AD5215" s="4">
        <v>120</v>
      </c>
      <c r="AE5215" s="4">
        <v>149</v>
      </c>
      <c r="AF5215" s="4">
        <v>1</v>
      </c>
      <c r="AG5215" s="4">
        <v>5</v>
      </c>
      <c r="AH5215" s="4">
        <v>93</v>
      </c>
      <c r="AI5215" s="4">
        <v>109</v>
      </c>
      <c r="AJ5215" s="4">
        <v>17</v>
      </c>
      <c r="AK5215" s="4">
        <v>23</v>
      </c>
      <c r="AL5215" s="4">
        <v>52</v>
      </c>
      <c r="AM5215" s="4">
        <v>63</v>
      </c>
      <c r="AN5215" s="4">
        <v>0</v>
      </c>
      <c r="AO5215" s="4">
        <v>4</v>
      </c>
      <c r="AP5215" s="4">
        <v>33</v>
      </c>
      <c r="AQ5215" s="4">
        <v>44</v>
      </c>
      <c r="AR5215" s="3" t="s">
        <v>62</v>
      </c>
      <c r="AS5215" s="3" t="s">
        <v>62</v>
      </c>
      <c r="AT5215" s="3" t="s">
        <v>61</v>
      </c>
      <c r="AU5215" s="6" t="str">
        <f>HYPERLINK("http://catalog.hathitrust.org/Record/001554873","HathiTrust Record")</f>
        <v>HathiTrust Record</v>
      </c>
      <c r="AV5215" s="6" t="str">
        <f>HYPERLINK("http://mcgill.on.worldcat.org/oclc/249196","Catalog Record")</f>
        <v>Catalog Record</v>
      </c>
      <c r="AW5215" s="6" t="str">
        <f>HYPERLINK("http://www.worldcat.org/oclc/249196","WorldCat Record")</f>
        <v>WorldCat Record</v>
      </c>
      <c r="AX5215" s="3" t="s">
        <v>50009</v>
      </c>
      <c r="AY5215" s="3" t="s">
        <v>50010</v>
      </c>
      <c r="AZ5215" s="3" t="s">
        <v>50011</v>
      </c>
      <c r="BA5215" s="3" t="s">
        <v>50011</v>
      </c>
      <c r="BB5215" s="3" t="s">
        <v>50020</v>
      </c>
      <c r="BC5215" s="3" t="s">
        <v>102</v>
      </c>
      <c r="BD5215" s="3" t="s">
        <v>68</v>
      </c>
      <c r="BE5215" s="3" t="s">
        <v>50013</v>
      </c>
      <c r="BF5215" s="3" t="s">
        <v>50020</v>
      </c>
      <c r="BG5215" s="3" t="s">
        <v>50021</v>
      </c>
    </row>
    <row r="5216" spans="1:59" ht="58" x14ac:dyDescent="0.35">
      <c r="A5216" s="2" t="s">
        <v>89</v>
      </c>
      <c r="B5216" s="2" t="s">
        <v>90</v>
      </c>
      <c r="C5216" s="2" t="s">
        <v>50003</v>
      </c>
      <c r="D5216" s="2" t="s">
        <v>50004</v>
      </c>
      <c r="E5216" s="2" t="s">
        <v>50005</v>
      </c>
      <c r="G5216" s="3" t="s">
        <v>62</v>
      </c>
      <c r="I5216" s="3" t="s">
        <v>61</v>
      </c>
      <c r="J5216" s="3" t="s">
        <v>61</v>
      </c>
      <c r="K5216" s="3" t="s">
        <v>63</v>
      </c>
      <c r="L5216" s="2" t="s">
        <v>50006</v>
      </c>
      <c r="M5216" s="2" t="s">
        <v>50007</v>
      </c>
      <c r="N5216" s="3" t="s">
        <v>930</v>
      </c>
      <c r="P5216" s="3" t="s">
        <v>64</v>
      </c>
      <c r="R5216" s="3" t="s">
        <v>46535</v>
      </c>
      <c r="S5216" s="4">
        <v>0</v>
      </c>
      <c r="T5216" s="4">
        <v>10</v>
      </c>
      <c r="V5216" s="5" t="s">
        <v>4363</v>
      </c>
      <c r="W5216" s="5" t="s">
        <v>67</v>
      </c>
      <c r="X5216" s="5" t="s">
        <v>67</v>
      </c>
      <c r="Y5216" s="4">
        <v>1332</v>
      </c>
      <c r="Z5216" s="4">
        <v>56</v>
      </c>
      <c r="AA5216" s="4">
        <v>72</v>
      </c>
      <c r="AB5216" s="4">
        <v>4</v>
      </c>
      <c r="AC5216" s="4">
        <v>9</v>
      </c>
      <c r="AD5216" s="4">
        <v>120</v>
      </c>
      <c r="AE5216" s="4">
        <v>149</v>
      </c>
      <c r="AF5216" s="4">
        <v>1</v>
      </c>
      <c r="AG5216" s="4">
        <v>5</v>
      </c>
      <c r="AH5216" s="4">
        <v>93</v>
      </c>
      <c r="AI5216" s="4">
        <v>109</v>
      </c>
      <c r="AJ5216" s="4">
        <v>17</v>
      </c>
      <c r="AK5216" s="4">
        <v>23</v>
      </c>
      <c r="AL5216" s="4">
        <v>52</v>
      </c>
      <c r="AM5216" s="4">
        <v>63</v>
      </c>
      <c r="AN5216" s="4">
        <v>0</v>
      </c>
      <c r="AO5216" s="4">
        <v>4</v>
      </c>
      <c r="AP5216" s="4">
        <v>33</v>
      </c>
      <c r="AQ5216" s="4">
        <v>44</v>
      </c>
      <c r="AR5216" s="3" t="s">
        <v>62</v>
      </c>
      <c r="AS5216" s="3" t="s">
        <v>62</v>
      </c>
      <c r="AT5216" s="3" t="s">
        <v>61</v>
      </c>
      <c r="AU5216" s="6" t="str">
        <f>HYPERLINK("http://catalog.hathitrust.org/Record/001554873","HathiTrust Record")</f>
        <v>HathiTrust Record</v>
      </c>
      <c r="AV5216" s="6" t="str">
        <f>HYPERLINK("http://mcgill.on.worldcat.org/oclc/249196","Catalog Record")</f>
        <v>Catalog Record</v>
      </c>
      <c r="AW5216" s="6" t="str">
        <f>HYPERLINK("http://www.worldcat.org/oclc/249196","WorldCat Record")</f>
        <v>WorldCat Record</v>
      </c>
      <c r="AX5216" s="3" t="s">
        <v>50009</v>
      </c>
      <c r="AY5216" s="3" t="s">
        <v>50010</v>
      </c>
      <c r="AZ5216" s="3" t="s">
        <v>50011</v>
      </c>
      <c r="BA5216" s="3" t="s">
        <v>50011</v>
      </c>
      <c r="BB5216" s="3" t="s">
        <v>50022</v>
      </c>
      <c r="BC5216" s="3" t="s">
        <v>102</v>
      </c>
      <c r="BD5216" s="3" t="s">
        <v>68</v>
      </c>
      <c r="BE5216" s="3" t="s">
        <v>50013</v>
      </c>
      <c r="BF5216" s="3" t="s">
        <v>50022</v>
      </c>
      <c r="BG5216" s="3" t="s">
        <v>50023</v>
      </c>
    </row>
    <row r="5217" spans="1:59" ht="58" x14ac:dyDescent="0.35">
      <c r="A5217" s="2" t="s">
        <v>89</v>
      </c>
      <c r="B5217" s="2" t="s">
        <v>90</v>
      </c>
      <c r="C5217" s="2" t="s">
        <v>50024</v>
      </c>
      <c r="D5217" s="2" t="s">
        <v>50025</v>
      </c>
      <c r="E5217" s="2" t="s">
        <v>50026</v>
      </c>
      <c r="G5217" s="3" t="s">
        <v>62</v>
      </c>
      <c r="I5217" s="3" t="s">
        <v>61</v>
      </c>
      <c r="J5217" s="3" t="s">
        <v>62</v>
      </c>
      <c r="K5217" s="3" t="s">
        <v>63</v>
      </c>
      <c r="L5217" s="2" t="s">
        <v>50027</v>
      </c>
      <c r="M5217" s="2" t="s">
        <v>50028</v>
      </c>
      <c r="N5217" s="3" t="s">
        <v>424</v>
      </c>
      <c r="P5217" s="3" t="s">
        <v>64</v>
      </c>
      <c r="Q5217" s="2" t="s">
        <v>50029</v>
      </c>
      <c r="R5217" s="3" t="s">
        <v>46535</v>
      </c>
      <c r="S5217" s="4">
        <v>27</v>
      </c>
      <c r="T5217" s="4">
        <v>46</v>
      </c>
      <c r="U5217" s="5" t="s">
        <v>21878</v>
      </c>
      <c r="V5217" s="5" t="s">
        <v>21878</v>
      </c>
      <c r="W5217" s="5" t="s">
        <v>67</v>
      </c>
      <c r="X5217" s="5" t="s">
        <v>67</v>
      </c>
      <c r="Y5217" s="4">
        <v>1375</v>
      </c>
      <c r="Z5217" s="4">
        <v>53</v>
      </c>
      <c r="AA5217" s="4">
        <v>61</v>
      </c>
      <c r="AB5217" s="4">
        <v>5</v>
      </c>
      <c r="AC5217" s="4">
        <v>9</v>
      </c>
      <c r="AD5217" s="4">
        <v>120</v>
      </c>
      <c r="AE5217" s="4">
        <v>131</v>
      </c>
      <c r="AF5217" s="4">
        <v>1</v>
      </c>
      <c r="AG5217" s="4">
        <v>3</v>
      </c>
      <c r="AH5217" s="4">
        <v>93</v>
      </c>
      <c r="AI5217" s="4">
        <v>100</v>
      </c>
      <c r="AJ5217" s="4">
        <v>18</v>
      </c>
      <c r="AK5217" s="4">
        <v>21</v>
      </c>
      <c r="AL5217" s="4">
        <v>50</v>
      </c>
      <c r="AM5217" s="4">
        <v>55</v>
      </c>
      <c r="AN5217" s="4">
        <v>0</v>
      </c>
      <c r="AO5217" s="4">
        <v>0</v>
      </c>
      <c r="AP5217" s="4">
        <v>31</v>
      </c>
      <c r="AQ5217" s="4">
        <v>33</v>
      </c>
      <c r="AR5217" s="3" t="s">
        <v>62</v>
      </c>
      <c r="AS5217" s="3" t="s">
        <v>62</v>
      </c>
      <c r="AT5217" s="3" t="s">
        <v>62</v>
      </c>
      <c r="AV5217" s="6" t="str">
        <f>HYPERLINK("http://mcgill.on.worldcat.org/oclc/16649224","Catalog Record")</f>
        <v>Catalog Record</v>
      </c>
      <c r="AW5217" s="6" t="str">
        <f>HYPERLINK("http://www.worldcat.org/oclc/16649224","WorldCat Record")</f>
        <v>WorldCat Record</v>
      </c>
      <c r="AX5217" s="3" t="s">
        <v>50030</v>
      </c>
      <c r="AY5217" s="3" t="s">
        <v>50031</v>
      </c>
      <c r="AZ5217" s="3" t="s">
        <v>50032</v>
      </c>
      <c r="BA5217" s="3" t="s">
        <v>50032</v>
      </c>
      <c r="BB5217" s="3" t="s">
        <v>50033</v>
      </c>
      <c r="BC5217" s="3" t="s">
        <v>102</v>
      </c>
      <c r="BD5217" s="3" t="s">
        <v>68</v>
      </c>
      <c r="BE5217" s="3" t="s">
        <v>50034</v>
      </c>
      <c r="BF5217" s="3" t="s">
        <v>50033</v>
      </c>
      <c r="BG5217" s="3" t="s">
        <v>50035</v>
      </c>
    </row>
    <row r="5218" spans="1:59" ht="58" x14ac:dyDescent="0.35">
      <c r="A5218" s="2" t="s">
        <v>59</v>
      </c>
      <c r="B5218" s="2" t="s">
        <v>60</v>
      </c>
      <c r="C5218" s="2" t="s">
        <v>50036</v>
      </c>
      <c r="D5218" s="2" t="s">
        <v>50037</v>
      </c>
      <c r="E5218" s="2" t="s">
        <v>50038</v>
      </c>
      <c r="G5218" s="3" t="s">
        <v>62</v>
      </c>
      <c r="I5218" s="3" t="s">
        <v>62</v>
      </c>
      <c r="J5218" s="3" t="s">
        <v>62</v>
      </c>
      <c r="K5218" s="3" t="s">
        <v>63</v>
      </c>
      <c r="L5218" s="2" t="s">
        <v>50039</v>
      </c>
      <c r="M5218" s="2" t="s">
        <v>50040</v>
      </c>
      <c r="N5218" s="3" t="s">
        <v>115</v>
      </c>
      <c r="P5218" s="3" t="s">
        <v>64</v>
      </c>
      <c r="R5218" s="3" t="s">
        <v>46535</v>
      </c>
      <c r="S5218" s="4">
        <v>11</v>
      </c>
      <c r="T5218" s="4">
        <v>11</v>
      </c>
      <c r="U5218" s="5" t="s">
        <v>2050</v>
      </c>
      <c r="V5218" s="5" t="s">
        <v>2050</v>
      </c>
      <c r="W5218" s="5" t="s">
        <v>67</v>
      </c>
      <c r="X5218" s="5" t="s">
        <v>67</v>
      </c>
      <c r="Y5218" s="4">
        <v>185</v>
      </c>
      <c r="Z5218" s="4">
        <v>15</v>
      </c>
      <c r="AA5218" s="4">
        <v>17</v>
      </c>
      <c r="AB5218" s="4">
        <v>2</v>
      </c>
      <c r="AC5218" s="4">
        <v>3</v>
      </c>
      <c r="AD5218" s="4">
        <v>74</v>
      </c>
      <c r="AE5218" s="4">
        <v>77</v>
      </c>
      <c r="AF5218" s="4">
        <v>1</v>
      </c>
      <c r="AG5218" s="4">
        <v>1</v>
      </c>
      <c r="AH5218" s="4">
        <v>67</v>
      </c>
      <c r="AI5218" s="4">
        <v>69</v>
      </c>
      <c r="AJ5218" s="4">
        <v>13</v>
      </c>
      <c r="AK5218" s="4">
        <v>13</v>
      </c>
      <c r="AL5218" s="4">
        <v>37</v>
      </c>
      <c r="AM5218" s="4">
        <v>39</v>
      </c>
      <c r="AN5218" s="4">
        <v>0</v>
      </c>
      <c r="AO5218" s="4">
        <v>0</v>
      </c>
      <c r="AP5218" s="4">
        <v>12</v>
      </c>
      <c r="AQ5218" s="4">
        <v>13</v>
      </c>
      <c r="AR5218" s="3" t="s">
        <v>62</v>
      </c>
      <c r="AS5218" s="3" t="s">
        <v>62</v>
      </c>
      <c r="AT5218" s="3" t="s">
        <v>61</v>
      </c>
      <c r="AU5218" s="6" t="str">
        <f>HYPERLINK("http://catalog.hathitrust.org/Record/002218033","HathiTrust Record")</f>
        <v>HathiTrust Record</v>
      </c>
      <c r="AV5218" s="6" t="str">
        <f>HYPERLINK("http://mcgill.on.worldcat.org/oclc/18948282","Catalog Record")</f>
        <v>Catalog Record</v>
      </c>
      <c r="AW5218" s="6" t="str">
        <f>HYPERLINK("http://www.worldcat.org/oclc/18948282","WorldCat Record")</f>
        <v>WorldCat Record</v>
      </c>
      <c r="AX5218" s="3" t="s">
        <v>50041</v>
      </c>
      <c r="AY5218" s="3" t="s">
        <v>50042</v>
      </c>
      <c r="AZ5218" s="3" t="s">
        <v>50043</v>
      </c>
      <c r="BA5218" s="3" t="s">
        <v>50043</v>
      </c>
      <c r="BB5218" s="3" t="s">
        <v>50044</v>
      </c>
      <c r="BC5218" s="3" t="s">
        <v>102</v>
      </c>
      <c r="BD5218" s="3" t="s">
        <v>68</v>
      </c>
      <c r="BE5218" s="3" t="s">
        <v>50045</v>
      </c>
      <c r="BF5218" s="3" t="s">
        <v>50044</v>
      </c>
      <c r="BG5218" s="3" t="s">
        <v>50046</v>
      </c>
    </row>
    <row r="5219" spans="1:59" ht="58" x14ac:dyDescent="0.35">
      <c r="A5219" s="2" t="s">
        <v>89</v>
      </c>
      <c r="B5219" s="2" t="s">
        <v>90</v>
      </c>
      <c r="C5219" s="2" t="s">
        <v>50047</v>
      </c>
      <c r="D5219" s="2" t="s">
        <v>50048</v>
      </c>
      <c r="E5219" s="2" t="s">
        <v>50049</v>
      </c>
      <c r="G5219" s="3" t="s">
        <v>62</v>
      </c>
      <c r="I5219" s="3" t="s">
        <v>62</v>
      </c>
      <c r="J5219" s="3" t="s">
        <v>62</v>
      </c>
      <c r="K5219" s="3" t="s">
        <v>63</v>
      </c>
      <c r="M5219" s="2" t="s">
        <v>50050</v>
      </c>
      <c r="N5219" s="3" t="s">
        <v>2136</v>
      </c>
      <c r="P5219" s="3" t="s">
        <v>64</v>
      </c>
      <c r="R5219" s="3" t="s">
        <v>46535</v>
      </c>
      <c r="S5219" s="4">
        <v>4</v>
      </c>
      <c r="T5219" s="4">
        <v>4</v>
      </c>
      <c r="U5219" s="5" t="s">
        <v>5471</v>
      </c>
      <c r="V5219" s="5" t="s">
        <v>5471</v>
      </c>
      <c r="W5219" s="5" t="s">
        <v>67</v>
      </c>
      <c r="X5219" s="5" t="s">
        <v>67</v>
      </c>
      <c r="Y5219" s="4">
        <v>127</v>
      </c>
      <c r="Z5219" s="4">
        <v>14</v>
      </c>
      <c r="AA5219" s="4">
        <v>48</v>
      </c>
      <c r="AB5219" s="4">
        <v>1</v>
      </c>
      <c r="AC5219" s="4">
        <v>11</v>
      </c>
      <c r="AD5219" s="4">
        <v>67</v>
      </c>
      <c r="AE5219" s="4">
        <v>110</v>
      </c>
      <c r="AF5219" s="4">
        <v>0</v>
      </c>
      <c r="AG5219" s="4">
        <v>7</v>
      </c>
      <c r="AH5219" s="4">
        <v>59</v>
      </c>
      <c r="AI5219" s="4">
        <v>79</v>
      </c>
      <c r="AJ5219" s="4">
        <v>10</v>
      </c>
      <c r="AK5219" s="4">
        <v>22</v>
      </c>
      <c r="AL5219" s="4">
        <v>40</v>
      </c>
      <c r="AM5219" s="4">
        <v>45</v>
      </c>
      <c r="AN5219" s="4">
        <v>0</v>
      </c>
      <c r="AO5219" s="4">
        <v>0</v>
      </c>
      <c r="AP5219" s="4">
        <v>10</v>
      </c>
      <c r="AQ5219" s="4">
        <v>38</v>
      </c>
      <c r="AR5219" s="3" t="s">
        <v>62</v>
      </c>
      <c r="AS5219" s="3" t="s">
        <v>62</v>
      </c>
      <c r="AT5219" s="3" t="s">
        <v>62</v>
      </c>
      <c r="AV5219" s="6" t="str">
        <f>HYPERLINK("http://mcgill.on.worldcat.org/oclc/55738117","Catalog Record")</f>
        <v>Catalog Record</v>
      </c>
      <c r="AW5219" s="6" t="str">
        <f>HYPERLINK("http://www.worldcat.org/oclc/55738117","WorldCat Record")</f>
        <v>WorldCat Record</v>
      </c>
      <c r="AX5219" s="3" t="s">
        <v>50051</v>
      </c>
      <c r="AY5219" s="3" t="s">
        <v>50052</v>
      </c>
      <c r="AZ5219" s="3" t="s">
        <v>50053</v>
      </c>
      <c r="BA5219" s="3" t="s">
        <v>50053</v>
      </c>
      <c r="BB5219" s="3" t="s">
        <v>50054</v>
      </c>
      <c r="BC5219" s="3" t="s">
        <v>102</v>
      </c>
      <c r="BD5219" s="3" t="s">
        <v>68</v>
      </c>
      <c r="BE5219" s="3" t="s">
        <v>50055</v>
      </c>
      <c r="BF5219" s="3" t="s">
        <v>50054</v>
      </c>
      <c r="BG5219" s="3" t="s">
        <v>50056</v>
      </c>
    </row>
    <row r="5220" spans="1:59" ht="58" x14ac:dyDescent="0.35">
      <c r="A5220" s="2" t="s">
        <v>89</v>
      </c>
      <c r="B5220" s="2" t="s">
        <v>90</v>
      </c>
      <c r="C5220" s="2" t="s">
        <v>50057</v>
      </c>
      <c r="D5220" s="2" t="s">
        <v>50058</v>
      </c>
      <c r="E5220" s="2" t="s">
        <v>50059</v>
      </c>
      <c r="G5220" s="3" t="s">
        <v>62</v>
      </c>
      <c r="I5220" s="3" t="s">
        <v>61</v>
      </c>
      <c r="J5220" s="3" t="s">
        <v>62</v>
      </c>
      <c r="K5220" s="3" t="s">
        <v>63</v>
      </c>
      <c r="L5220" s="2" t="s">
        <v>50060</v>
      </c>
      <c r="M5220" s="2" t="s">
        <v>50061</v>
      </c>
      <c r="N5220" s="3" t="s">
        <v>2110</v>
      </c>
      <c r="P5220" s="3" t="s">
        <v>64</v>
      </c>
      <c r="Q5220" s="2" t="s">
        <v>50062</v>
      </c>
      <c r="R5220" s="3" t="s">
        <v>46535</v>
      </c>
      <c r="S5220" s="4">
        <v>7</v>
      </c>
      <c r="T5220" s="4">
        <v>28</v>
      </c>
      <c r="U5220" s="5" t="s">
        <v>7089</v>
      </c>
      <c r="V5220" s="5" t="s">
        <v>7089</v>
      </c>
      <c r="W5220" s="5" t="s">
        <v>67</v>
      </c>
      <c r="X5220" s="5" t="s">
        <v>67</v>
      </c>
      <c r="Y5220" s="4">
        <v>285</v>
      </c>
      <c r="Z5220" s="4">
        <v>13</v>
      </c>
      <c r="AA5220" s="4">
        <v>28</v>
      </c>
      <c r="AB5220" s="4">
        <v>2</v>
      </c>
      <c r="AC5220" s="4">
        <v>8</v>
      </c>
      <c r="AD5220" s="4">
        <v>84</v>
      </c>
      <c r="AE5220" s="4">
        <v>99</v>
      </c>
      <c r="AF5220" s="4">
        <v>0</v>
      </c>
      <c r="AG5220" s="4">
        <v>5</v>
      </c>
      <c r="AH5220" s="4">
        <v>78</v>
      </c>
      <c r="AI5220" s="4">
        <v>84</v>
      </c>
      <c r="AJ5220" s="4">
        <v>8</v>
      </c>
      <c r="AK5220" s="4">
        <v>15</v>
      </c>
      <c r="AL5220" s="4">
        <v>47</v>
      </c>
      <c r="AM5220" s="4">
        <v>50</v>
      </c>
      <c r="AN5220" s="4">
        <v>0</v>
      </c>
      <c r="AO5220" s="4">
        <v>0</v>
      </c>
      <c r="AP5220" s="4">
        <v>8</v>
      </c>
      <c r="AQ5220" s="4">
        <v>18</v>
      </c>
      <c r="AR5220" s="3" t="s">
        <v>62</v>
      </c>
      <c r="AS5220" s="3" t="s">
        <v>62</v>
      </c>
      <c r="AT5220" s="3" t="s">
        <v>61</v>
      </c>
      <c r="AU5220" s="6" t="str">
        <f>HYPERLINK("http://catalog.hathitrust.org/Record/000174260","HathiTrust Record")</f>
        <v>HathiTrust Record</v>
      </c>
      <c r="AV5220" s="6" t="str">
        <f>HYPERLINK("http://mcgill.on.worldcat.org/oclc/3915494","Catalog Record")</f>
        <v>Catalog Record</v>
      </c>
      <c r="AW5220" s="6" t="str">
        <f>HYPERLINK("http://www.worldcat.org/oclc/3915494","WorldCat Record")</f>
        <v>WorldCat Record</v>
      </c>
      <c r="AX5220" s="3" t="s">
        <v>50063</v>
      </c>
      <c r="AY5220" s="3" t="s">
        <v>50064</v>
      </c>
      <c r="AZ5220" s="3" t="s">
        <v>50065</v>
      </c>
      <c r="BA5220" s="3" t="s">
        <v>50065</v>
      </c>
      <c r="BB5220" s="3" t="s">
        <v>50066</v>
      </c>
      <c r="BC5220" s="3" t="s">
        <v>102</v>
      </c>
      <c r="BD5220" s="3" t="s">
        <v>68</v>
      </c>
      <c r="BE5220" s="3" t="s">
        <v>50067</v>
      </c>
      <c r="BF5220" s="3" t="s">
        <v>50066</v>
      </c>
      <c r="BG5220" s="3" t="s">
        <v>50068</v>
      </c>
    </row>
    <row r="5221" spans="1:59" ht="58" x14ac:dyDescent="0.35">
      <c r="A5221" s="2" t="s">
        <v>89</v>
      </c>
      <c r="B5221" s="2" t="s">
        <v>90</v>
      </c>
      <c r="C5221" s="2" t="s">
        <v>50069</v>
      </c>
      <c r="D5221" s="2" t="s">
        <v>50070</v>
      </c>
      <c r="E5221" s="2" t="s">
        <v>50071</v>
      </c>
      <c r="G5221" s="3" t="s">
        <v>62</v>
      </c>
      <c r="I5221" s="3" t="s">
        <v>61</v>
      </c>
      <c r="J5221" s="3" t="s">
        <v>62</v>
      </c>
      <c r="K5221" s="3" t="s">
        <v>63</v>
      </c>
      <c r="L5221" s="2" t="s">
        <v>50072</v>
      </c>
      <c r="M5221" s="2" t="s">
        <v>5144</v>
      </c>
      <c r="N5221" s="3" t="s">
        <v>2975</v>
      </c>
      <c r="P5221" s="3" t="s">
        <v>64</v>
      </c>
      <c r="Q5221" s="2" t="s">
        <v>50073</v>
      </c>
      <c r="R5221" s="3" t="s">
        <v>46535</v>
      </c>
      <c r="S5221" s="4">
        <v>1</v>
      </c>
      <c r="T5221" s="4">
        <v>13</v>
      </c>
      <c r="U5221" s="5" t="s">
        <v>13982</v>
      </c>
      <c r="V5221" s="5" t="s">
        <v>13982</v>
      </c>
      <c r="W5221" s="5" t="s">
        <v>67</v>
      </c>
      <c r="X5221" s="5" t="s">
        <v>67</v>
      </c>
      <c r="Y5221" s="4">
        <v>395</v>
      </c>
      <c r="Z5221" s="4">
        <v>23</v>
      </c>
      <c r="AA5221" s="4">
        <v>44</v>
      </c>
      <c r="AB5221" s="4">
        <v>2</v>
      </c>
      <c r="AC5221" s="4">
        <v>7</v>
      </c>
      <c r="AD5221" s="4">
        <v>92</v>
      </c>
      <c r="AE5221" s="4">
        <v>103</v>
      </c>
      <c r="AF5221" s="4">
        <v>1</v>
      </c>
      <c r="AG5221" s="4">
        <v>2</v>
      </c>
      <c r="AH5221" s="4">
        <v>82</v>
      </c>
      <c r="AI5221" s="4">
        <v>90</v>
      </c>
      <c r="AJ5221" s="4">
        <v>14</v>
      </c>
      <c r="AK5221" s="4">
        <v>15</v>
      </c>
      <c r="AL5221" s="4">
        <v>46</v>
      </c>
      <c r="AM5221" s="4">
        <v>50</v>
      </c>
      <c r="AN5221" s="4">
        <v>0</v>
      </c>
      <c r="AO5221" s="4">
        <v>0</v>
      </c>
      <c r="AP5221" s="4">
        <v>16</v>
      </c>
      <c r="AQ5221" s="4">
        <v>19</v>
      </c>
      <c r="AR5221" s="3" t="s">
        <v>62</v>
      </c>
      <c r="AS5221" s="3" t="s">
        <v>62</v>
      </c>
      <c r="AT5221" s="3" t="s">
        <v>62</v>
      </c>
      <c r="AV5221" s="6" t="str">
        <f>HYPERLINK("http://mcgill.on.worldcat.org/oclc/44613156","Catalog Record")</f>
        <v>Catalog Record</v>
      </c>
      <c r="AW5221" s="6" t="str">
        <f>HYPERLINK("http://www.worldcat.org/oclc/44613156","WorldCat Record")</f>
        <v>WorldCat Record</v>
      </c>
      <c r="AX5221" s="3" t="s">
        <v>50074</v>
      </c>
      <c r="AY5221" s="3" t="s">
        <v>50075</v>
      </c>
      <c r="AZ5221" s="3" t="s">
        <v>50076</v>
      </c>
      <c r="BA5221" s="3" t="s">
        <v>50076</v>
      </c>
      <c r="BB5221" s="3" t="s">
        <v>50077</v>
      </c>
      <c r="BC5221" s="3" t="s">
        <v>102</v>
      </c>
      <c r="BD5221" s="3" t="s">
        <v>68</v>
      </c>
      <c r="BE5221" s="3" t="s">
        <v>50078</v>
      </c>
      <c r="BF5221" s="3" t="s">
        <v>50077</v>
      </c>
      <c r="BG5221" s="3" t="s">
        <v>50079</v>
      </c>
    </row>
    <row r="5222" spans="1:59" ht="58" x14ac:dyDescent="0.35">
      <c r="A5222" s="2" t="s">
        <v>89</v>
      </c>
      <c r="B5222" s="2" t="s">
        <v>90</v>
      </c>
      <c r="C5222" s="2" t="s">
        <v>50069</v>
      </c>
      <c r="D5222" s="2" t="s">
        <v>50070</v>
      </c>
      <c r="E5222" s="2" t="s">
        <v>50071</v>
      </c>
      <c r="G5222" s="3" t="s">
        <v>62</v>
      </c>
      <c r="I5222" s="3" t="s">
        <v>61</v>
      </c>
      <c r="J5222" s="3" t="s">
        <v>62</v>
      </c>
      <c r="K5222" s="3" t="s">
        <v>63</v>
      </c>
      <c r="L5222" s="2" t="s">
        <v>50072</v>
      </c>
      <c r="M5222" s="2" t="s">
        <v>5144</v>
      </c>
      <c r="N5222" s="3" t="s">
        <v>2975</v>
      </c>
      <c r="P5222" s="3" t="s">
        <v>64</v>
      </c>
      <c r="Q5222" s="2" t="s">
        <v>50073</v>
      </c>
      <c r="R5222" s="3" t="s">
        <v>46535</v>
      </c>
      <c r="S5222" s="4">
        <v>12</v>
      </c>
      <c r="T5222" s="4">
        <v>13</v>
      </c>
      <c r="U5222" s="5" t="s">
        <v>5471</v>
      </c>
      <c r="V5222" s="5" t="s">
        <v>13982</v>
      </c>
      <c r="W5222" s="5" t="s">
        <v>67</v>
      </c>
      <c r="X5222" s="5" t="s">
        <v>67</v>
      </c>
      <c r="Y5222" s="4">
        <v>395</v>
      </c>
      <c r="Z5222" s="4">
        <v>23</v>
      </c>
      <c r="AA5222" s="4">
        <v>44</v>
      </c>
      <c r="AB5222" s="4">
        <v>2</v>
      </c>
      <c r="AC5222" s="4">
        <v>7</v>
      </c>
      <c r="AD5222" s="4">
        <v>92</v>
      </c>
      <c r="AE5222" s="4">
        <v>103</v>
      </c>
      <c r="AF5222" s="4">
        <v>1</v>
      </c>
      <c r="AG5222" s="4">
        <v>2</v>
      </c>
      <c r="AH5222" s="4">
        <v>82</v>
      </c>
      <c r="AI5222" s="4">
        <v>90</v>
      </c>
      <c r="AJ5222" s="4">
        <v>14</v>
      </c>
      <c r="AK5222" s="4">
        <v>15</v>
      </c>
      <c r="AL5222" s="4">
        <v>46</v>
      </c>
      <c r="AM5222" s="4">
        <v>50</v>
      </c>
      <c r="AN5222" s="4">
        <v>0</v>
      </c>
      <c r="AO5222" s="4">
        <v>0</v>
      </c>
      <c r="AP5222" s="4">
        <v>16</v>
      </c>
      <c r="AQ5222" s="4">
        <v>19</v>
      </c>
      <c r="AR5222" s="3" t="s">
        <v>62</v>
      </c>
      <c r="AS5222" s="3" t="s">
        <v>62</v>
      </c>
      <c r="AT5222" s="3" t="s">
        <v>62</v>
      </c>
      <c r="AV5222" s="6" t="str">
        <f>HYPERLINK("http://mcgill.on.worldcat.org/oclc/44613156","Catalog Record")</f>
        <v>Catalog Record</v>
      </c>
      <c r="AW5222" s="6" t="str">
        <f>HYPERLINK("http://www.worldcat.org/oclc/44613156","WorldCat Record")</f>
        <v>WorldCat Record</v>
      </c>
      <c r="AX5222" s="3" t="s">
        <v>50074</v>
      </c>
      <c r="AY5222" s="3" t="s">
        <v>50075</v>
      </c>
      <c r="AZ5222" s="3" t="s">
        <v>50076</v>
      </c>
      <c r="BA5222" s="3" t="s">
        <v>50076</v>
      </c>
      <c r="BB5222" s="3" t="s">
        <v>50080</v>
      </c>
      <c r="BC5222" s="3" t="s">
        <v>102</v>
      </c>
      <c r="BD5222" s="3" t="s">
        <v>68</v>
      </c>
      <c r="BE5222" s="3" t="s">
        <v>50078</v>
      </c>
      <c r="BF5222" s="3" t="s">
        <v>50080</v>
      </c>
      <c r="BG5222" s="3" t="s">
        <v>50081</v>
      </c>
    </row>
    <row r="5223" spans="1:59" ht="58" x14ac:dyDescent="0.35">
      <c r="A5223" s="2" t="s">
        <v>89</v>
      </c>
      <c r="B5223" s="2" t="s">
        <v>90</v>
      </c>
      <c r="C5223" s="2" t="s">
        <v>50082</v>
      </c>
      <c r="D5223" s="2" t="s">
        <v>50083</v>
      </c>
      <c r="E5223" s="2" t="s">
        <v>50084</v>
      </c>
      <c r="G5223" s="3" t="s">
        <v>62</v>
      </c>
      <c r="I5223" s="3" t="s">
        <v>62</v>
      </c>
      <c r="J5223" s="3" t="s">
        <v>62</v>
      </c>
      <c r="K5223" s="3" t="s">
        <v>63</v>
      </c>
      <c r="L5223" s="2" t="s">
        <v>50085</v>
      </c>
      <c r="M5223" s="2" t="s">
        <v>18158</v>
      </c>
      <c r="N5223" s="3" t="s">
        <v>553</v>
      </c>
      <c r="P5223" s="3" t="s">
        <v>64</v>
      </c>
      <c r="R5223" s="3" t="s">
        <v>46535</v>
      </c>
      <c r="S5223" s="4">
        <v>9</v>
      </c>
      <c r="T5223" s="4">
        <v>9</v>
      </c>
      <c r="U5223" s="5" t="s">
        <v>9520</v>
      </c>
      <c r="V5223" s="5" t="s">
        <v>9520</v>
      </c>
      <c r="W5223" s="5" t="s">
        <v>67</v>
      </c>
      <c r="X5223" s="5" t="s">
        <v>67</v>
      </c>
      <c r="Y5223" s="4">
        <v>273</v>
      </c>
      <c r="Z5223" s="4">
        <v>21</v>
      </c>
      <c r="AA5223" s="4">
        <v>97</v>
      </c>
      <c r="AB5223" s="4">
        <v>3</v>
      </c>
      <c r="AC5223" s="4">
        <v>19</v>
      </c>
      <c r="AD5223" s="4">
        <v>94</v>
      </c>
      <c r="AE5223" s="4">
        <v>142</v>
      </c>
      <c r="AF5223" s="4">
        <v>1</v>
      </c>
      <c r="AG5223" s="4">
        <v>9</v>
      </c>
      <c r="AH5223" s="4">
        <v>80</v>
      </c>
      <c r="AI5223" s="4">
        <v>103</v>
      </c>
      <c r="AJ5223" s="4">
        <v>14</v>
      </c>
      <c r="AK5223" s="4">
        <v>24</v>
      </c>
      <c r="AL5223" s="4">
        <v>46</v>
      </c>
      <c r="AM5223" s="4">
        <v>54</v>
      </c>
      <c r="AN5223" s="4">
        <v>0</v>
      </c>
      <c r="AO5223" s="4">
        <v>0</v>
      </c>
      <c r="AP5223" s="4">
        <v>16</v>
      </c>
      <c r="AQ5223" s="4">
        <v>45</v>
      </c>
      <c r="AR5223" s="3" t="s">
        <v>62</v>
      </c>
      <c r="AS5223" s="3" t="s">
        <v>62</v>
      </c>
      <c r="AT5223" s="3" t="s">
        <v>62</v>
      </c>
      <c r="AV5223" s="6" t="str">
        <f>HYPERLINK("http://mcgill.on.worldcat.org/oclc/39800626","Catalog Record")</f>
        <v>Catalog Record</v>
      </c>
      <c r="AW5223" s="6" t="str">
        <f>HYPERLINK("http://www.worldcat.org/oclc/39800626","WorldCat Record")</f>
        <v>WorldCat Record</v>
      </c>
      <c r="AX5223" s="3" t="s">
        <v>50086</v>
      </c>
      <c r="AY5223" s="3" t="s">
        <v>50087</v>
      </c>
      <c r="AZ5223" s="3" t="s">
        <v>50088</v>
      </c>
      <c r="BA5223" s="3" t="s">
        <v>50088</v>
      </c>
      <c r="BB5223" s="3" t="s">
        <v>50089</v>
      </c>
      <c r="BC5223" s="3" t="s">
        <v>102</v>
      </c>
      <c r="BD5223" s="3" t="s">
        <v>68</v>
      </c>
      <c r="BE5223" s="3" t="s">
        <v>50090</v>
      </c>
      <c r="BF5223" s="3" t="s">
        <v>50089</v>
      </c>
      <c r="BG5223" s="3" t="s">
        <v>50091</v>
      </c>
    </row>
    <row r="5224" spans="1:59" ht="58" x14ac:dyDescent="0.35">
      <c r="A5224" s="2" t="s">
        <v>59</v>
      </c>
      <c r="B5224" s="2" t="s">
        <v>60</v>
      </c>
      <c r="C5224" s="2" t="s">
        <v>50092</v>
      </c>
      <c r="D5224" s="2" t="s">
        <v>50093</v>
      </c>
      <c r="E5224" s="2" t="s">
        <v>50094</v>
      </c>
      <c r="G5224" s="3" t="s">
        <v>62</v>
      </c>
      <c r="I5224" s="3" t="s">
        <v>62</v>
      </c>
      <c r="J5224" s="3" t="s">
        <v>62</v>
      </c>
      <c r="K5224" s="3" t="s">
        <v>63</v>
      </c>
      <c r="L5224" s="2" t="s">
        <v>50095</v>
      </c>
      <c r="M5224" s="2" t="s">
        <v>50096</v>
      </c>
      <c r="N5224" s="3" t="s">
        <v>1482</v>
      </c>
      <c r="P5224" s="3" t="s">
        <v>64</v>
      </c>
      <c r="Q5224" s="2" t="s">
        <v>50097</v>
      </c>
      <c r="R5224" s="3" t="s">
        <v>46535</v>
      </c>
      <c r="S5224" s="4">
        <v>8</v>
      </c>
      <c r="T5224" s="4">
        <v>8</v>
      </c>
      <c r="U5224" s="5" t="s">
        <v>50098</v>
      </c>
      <c r="V5224" s="5" t="s">
        <v>50098</v>
      </c>
      <c r="W5224" s="5" t="s">
        <v>67</v>
      </c>
      <c r="X5224" s="5" t="s">
        <v>67</v>
      </c>
      <c r="Y5224" s="4">
        <v>183</v>
      </c>
      <c r="Z5224" s="4">
        <v>12</v>
      </c>
      <c r="AA5224" s="4">
        <v>15</v>
      </c>
      <c r="AB5224" s="4">
        <v>1</v>
      </c>
      <c r="AC5224" s="4">
        <v>4</v>
      </c>
      <c r="AD5224" s="4">
        <v>82</v>
      </c>
      <c r="AE5224" s="4">
        <v>83</v>
      </c>
      <c r="AF5224" s="4">
        <v>0</v>
      </c>
      <c r="AG5224" s="4">
        <v>1</v>
      </c>
      <c r="AH5224" s="4">
        <v>74</v>
      </c>
      <c r="AI5224" s="4">
        <v>75</v>
      </c>
      <c r="AJ5224" s="4">
        <v>9</v>
      </c>
      <c r="AK5224" s="4">
        <v>10</v>
      </c>
      <c r="AL5224" s="4">
        <v>43</v>
      </c>
      <c r="AM5224" s="4">
        <v>43</v>
      </c>
      <c r="AN5224" s="4">
        <v>0</v>
      </c>
      <c r="AO5224" s="4">
        <v>0</v>
      </c>
      <c r="AP5224" s="4">
        <v>8</v>
      </c>
      <c r="AQ5224" s="4">
        <v>9</v>
      </c>
      <c r="AR5224" s="3" t="s">
        <v>62</v>
      </c>
      <c r="AS5224" s="3" t="s">
        <v>62</v>
      </c>
      <c r="AT5224" s="3" t="s">
        <v>61</v>
      </c>
      <c r="AU5224" s="6" t="str">
        <f>HYPERLINK("http://catalog.hathitrust.org/Record/000444011","HathiTrust Record")</f>
        <v>HathiTrust Record</v>
      </c>
      <c r="AV5224" s="6" t="str">
        <f>HYPERLINK("http://mcgill.on.worldcat.org/oclc/13666088","Catalog Record")</f>
        <v>Catalog Record</v>
      </c>
      <c r="AW5224" s="6" t="str">
        <f>HYPERLINK("http://www.worldcat.org/oclc/13666088","WorldCat Record")</f>
        <v>WorldCat Record</v>
      </c>
      <c r="AX5224" s="3" t="s">
        <v>50099</v>
      </c>
      <c r="AY5224" s="3" t="s">
        <v>50100</v>
      </c>
      <c r="AZ5224" s="3" t="s">
        <v>50101</v>
      </c>
      <c r="BA5224" s="3" t="s">
        <v>50101</v>
      </c>
      <c r="BB5224" s="3" t="s">
        <v>50102</v>
      </c>
      <c r="BC5224" s="3" t="s">
        <v>102</v>
      </c>
      <c r="BD5224" s="3" t="s">
        <v>231</v>
      </c>
      <c r="BE5224" s="3" t="s">
        <v>50103</v>
      </c>
      <c r="BF5224" s="3" t="s">
        <v>50102</v>
      </c>
      <c r="BG5224" s="3" t="s">
        <v>50104</v>
      </c>
    </row>
    <row r="5225" spans="1:59" ht="58" x14ac:dyDescent="0.35">
      <c r="A5225" s="2" t="s">
        <v>89</v>
      </c>
      <c r="B5225" s="2" t="s">
        <v>90</v>
      </c>
      <c r="C5225" s="2" t="s">
        <v>50105</v>
      </c>
      <c r="D5225" s="2" t="s">
        <v>50106</v>
      </c>
      <c r="E5225" s="2" t="s">
        <v>50107</v>
      </c>
      <c r="G5225" s="3" t="s">
        <v>62</v>
      </c>
      <c r="I5225" s="3" t="s">
        <v>62</v>
      </c>
      <c r="J5225" s="3" t="s">
        <v>62</v>
      </c>
      <c r="K5225" s="3" t="s">
        <v>63</v>
      </c>
      <c r="L5225" s="2" t="s">
        <v>48894</v>
      </c>
      <c r="M5225" s="2" t="s">
        <v>46902</v>
      </c>
      <c r="N5225" s="3" t="s">
        <v>396</v>
      </c>
      <c r="P5225" s="3" t="s">
        <v>64</v>
      </c>
      <c r="R5225" s="3" t="s">
        <v>46535</v>
      </c>
      <c r="S5225" s="4">
        <v>13</v>
      </c>
      <c r="T5225" s="4">
        <v>13</v>
      </c>
      <c r="U5225" s="5" t="s">
        <v>2099</v>
      </c>
      <c r="V5225" s="5" t="s">
        <v>2099</v>
      </c>
      <c r="W5225" s="5" t="s">
        <v>67</v>
      </c>
      <c r="X5225" s="5" t="s">
        <v>67</v>
      </c>
      <c r="Y5225" s="4">
        <v>966</v>
      </c>
      <c r="Z5225" s="4">
        <v>44</v>
      </c>
      <c r="AA5225" s="4">
        <v>48</v>
      </c>
      <c r="AB5225" s="4">
        <v>5</v>
      </c>
      <c r="AC5225" s="4">
        <v>9</v>
      </c>
      <c r="AD5225" s="4">
        <v>131</v>
      </c>
      <c r="AE5225" s="4">
        <v>134</v>
      </c>
      <c r="AF5225" s="4">
        <v>2</v>
      </c>
      <c r="AG5225" s="4">
        <v>5</v>
      </c>
      <c r="AH5225" s="4">
        <v>104</v>
      </c>
      <c r="AI5225" s="4">
        <v>104</v>
      </c>
      <c r="AJ5225" s="4">
        <v>19</v>
      </c>
      <c r="AK5225" s="4">
        <v>22</v>
      </c>
      <c r="AL5225" s="4">
        <v>59</v>
      </c>
      <c r="AM5225" s="4">
        <v>59</v>
      </c>
      <c r="AN5225" s="4">
        <v>0</v>
      </c>
      <c r="AO5225" s="4">
        <v>0</v>
      </c>
      <c r="AP5225" s="4">
        <v>33</v>
      </c>
      <c r="AQ5225" s="4">
        <v>35</v>
      </c>
      <c r="AR5225" s="3" t="s">
        <v>62</v>
      </c>
      <c r="AS5225" s="3" t="s">
        <v>62</v>
      </c>
      <c r="AT5225" s="3" t="s">
        <v>61</v>
      </c>
      <c r="AU5225" s="6" t="str">
        <f>HYPERLINK("http://catalog.hathitrust.org/Record/000377508","HathiTrust Record")</f>
        <v>HathiTrust Record</v>
      </c>
      <c r="AV5225" s="6" t="str">
        <f>HYPERLINK("http://mcgill.on.worldcat.org/oclc/12344199","Catalog Record")</f>
        <v>Catalog Record</v>
      </c>
      <c r="AW5225" s="6" t="str">
        <f>HYPERLINK("http://www.worldcat.org/oclc/12344199","WorldCat Record")</f>
        <v>WorldCat Record</v>
      </c>
      <c r="AX5225" s="3" t="s">
        <v>50108</v>
      </c>
      <c r="AY5225" s="3" t="s">
        <v>50109</v>
      </c>
      <c r="AZ5225" s="3" t="s">
        <v>50110</v>
      </c>
      <c r="BA5225" s="3" t="s">
        <v>50110</v>
      </c>
      <c r="BB5225" s="3" t="s">
        <v>50111</v>
      </c>
      <c r="BC5225" s="3" t="s">
        <v>102</v>
      </c>
      <c r="BD5225" s="3" t="s">
        <v>68</v>
      </c>
      <c r="BE5225" s="3" t="s">
        <v>50112</v>
      </c>
      <c r="BF5225" s="3" t="s">
        <v>50111</v>
      </c>
      <c r="BG5225" s="3" t="s">
        <v>50113</v>
      </c>
    </row>
    <row r="5226" spans="1:59" ht="58" x14ac:dyDescent="0.35">
      <c r="A5226" s="2" t="s">
        <v>89</v>
      </c>
      <c r="B5226" s="2" t="s">
        <v>90</v>
      </c>
      <c r="C5226" s="2" t="s">
        <v>50114</v>
      </c>
      <c r="D5226" s="2" t="s">
        <v>50115</v>
      </c>
      <c r="E5226" s="2" t="s">
        <v>50116</v>
      </c>
      <c r="G5226" s="3" t="s">
        <v>62</v>
      </c>
      <c r="I5226" s="3" t="s">
        <v>61</v>
      </c>
      <c r="J5226" s="3" t="s">
        <v>62</v>
      </c>
      <c r="K5226" s="3" t="s">
        <v>63</v>
      </c>
      <c r="L5226" s="2" t="s">
        <v>49891</v>
      </c>
      <c r="M5226" s="2" t="s">
        <v>50117</v>
      </c>
      <c r="N5226" s="3" t="s">
        <v>1291</v>
      </c>
      <c r="P5226" s="3" t="s">
        <v>64</v>
      </c>
      <c r="R5226" s="3" t="s">
        <v>46535</v>
      </c>
      <c r="S5226" s="4">
        <v>17</v>
      </c>
      <c r="T5226" s="4">
        <v>36</v>
      </c>
      <c r="U5226" s="5" t="s">
        <v>50118</v>
      </c>
      <c r="V5226" s="5" t="s">
        <v>30470</v>
      </c>
      <c r="W5226" s="5" t="s">
        <v>67</v>
      </c>
      <c r="X5226" s="5" t="s">
        <v>67</v>
      </c>
      <c r="Y5226" s="4">
        <v>875</v>
      </c>
      <c r="Z5226" s="4">
        <v>39</v>
      </c>
      <c r="AA5226" s="4">
        <v>104</v>
      </c>
      <c r="AB5226" s="4">
        <v>4</v>
      </c>
      <c r="AC5226" s="4">
        <v>19</v>
      </c>
      <c r="AD5226" s="4">
        <v>128</v>
      </c>
      <c r="AE5226" s="4">
        <v>160</v>
      </c>
      <c r="AF5226" s="4">
        <v>1</v>
      </c>
      <c r="AG5226" s="4">
        <v>8</v>
      </c>
      <c r="AH5226" s="4">
        <v>105</v>
      </c>
      <c r="AI5226" s="4">
        <v>112</v>
      </c>
      <c r="AJ5226" s="4">
        <v>16</v>
      </c>
      <c r="AK5226" s="4">
        <v>27</v>
      </c>
      <c r="AL5226" s="4">
        <v>61</v>
      </c>
      <c r="AM5226" s="4">
        <v>64</v>
      </c>
      <c r="AN5226" s="4">
        <v>0</v>
      </c>
      <c r="AO5226" s="4">
        <v>0</v>
      </c>
      <c r="AP5226" s="4">
        <v>26</v>
      </c>
      <c r="AQ5226" s="4">
        <v>52</v>
      </c>
      <c r="AR5226" s="3" t="s">
        <v>62</v>
      </c>
      <c r="AS5226" s="3" t="s">
        <v>62</v>
      </c>
      <c r="AT5226" s="3" t="s">
        <v>62</v>
      </c>
      <c r="AV5226" s="6" t="str">
        <f>HYPERLINK("http://mcgill.on.worldcat.org/oclc/506005","Catalog Record")</f>
        <v>Catalog Record</v>
      </c>
      <c r="AW5226" s="6" t="str">
        <f>HYPERLINK("http://www.worldcat.org/oclc/506005","WorldCat Record")</f>
        <v>WorldCat Record</v>
      </c>
      <c r="AX5226" s="3" t="s">
        <v>50119</v>
      </c>
      <c r="AY5226" s="3" t="s">
        <v>50120</v>
      </c>
      <c r="AZ5226" s="3" t="s">
        <v>50121</v>
      </c>
      <c r="BA5226" s="3" t="s">
        <v>50121</v>
      </c>
      <c r="BB5226" s="3" t="s">
        <v>50122</v>
      </c>
      <c r="BC5226" s="3" t="s">
        <v>102</v>
      </c>
      <c r="BD5226" s="3" t="s">
        <v>68</v>
      </c>
      <c r="BE5226" s="3" t="s">
        <v>50123</v>
      </c>
      <c r="BF5226" s="3" t="s">
        <v>50122</v>
      </c>
      <c r="BG5226" s="3" t="s">
        <v>50124</v>
      </c>
    </row>
    <row r="5227" spans="1:59" ht="58" x14ac:dyDescent="0.35">
      <c r="A5227" s="2" t="s">
        <v>89</v>
      </c>
      <c r="B5227" s="2" t="s">
        <v>90</v>
      </c>
      <c r="C5227" s="2" t="s">
        <v>50114</v>
      </c>
      <c r="D5227" s="2" t="s">
        <v>50115</v>
      </c>
      <c r="E5227" s="2" t="s">
        <v>50116</v>
      </c>
      <c r="G5227" s="3" t="s">
        <v>62</v>
      </c>
      <c r="I5227" s="3" t="s">
        <v>61</v>
      </c>
      <c r="J5227" s="3" t="s">
        <v>62</v>
      </c>
      <c r="K5227" s="3" t="s">
        <v>63</v>
      </c>
      <c r="L5227" s="2" t="s">
        <v>49891</v>
      </c>
      <c r="M5227" s="2" t="s">
        <v>50117</v>
      </c>
      <c r="N5227" s="3" t="s">
        <v>1291</v>
      </c>
      <c r="P5227" s="3" t="s">
        <v>64</v>
      </c>
      <c r="R5227" s="3" t="s">
        <v>46535</v>
      </c>
      <c r="S5227" s="4">
        <v>12</v>
      </c>
      <c r="T5227" s="4">
        <v>36</v>
      </c>
      <c r="U5227" s="5" t="s">
        <v>30470</v>
      </c>
      <c r="V5227" s="5" t="s">
        <v>30470</v>
      </c>
      <c r="W5227" s="5" t="s">
        <v>67</v>
      </c>
      <c r="X5227" s="5" t="s">
        <v>67</v>
      </c>
      <c r="Y5227" s="4">
        <v>875</v>
      </c>
      <c r="Z5227" s="4">
        <v>39</v>
      </c>
      <c r="AA5227" s="4">
        <v>104</v>
      </c>
      <c r="AB5227" s="4">
        <v>4</v>
      </c>
      <c r="AC5227" s="4">
        <v>19</v>
      </c>
      <c r="AD5227" s="4">
        <v>128</v>
      </c>
      <c r="AE5227" s="4">
        <v>160</v>
      </c>
      <c r="AF5227" s="4">
        <v>1</v>
      </c>
      <c r="AG5227" s="4">
        <v>8</v>
      </c>
      <c r="AH5227" s="4">
        <v>105</v>
      </c>
      <c r="AI5227" s="4">
        <v>112</v>
      </c>
      <c r="AJ5227" s="4">
        <v>16</v>
      </c>
      <c r="AK5227" s="4">
        <v>27</v>
      </c>
      <c r="AL5227" s="4">
        <v>61</v>
      </c>
      <c r="AM5227" s="4">
        <v>64</v>
      </c>
      <c r="AN5227" s="4">
        <v>0</v>
      </c>
      <c r="AO5227" s="4">
        <v>0</v>
      </c>
      <c r="AP5227" s="4">
        <v>26</v>
      </c>
      <c r="AQ5227" s="4">
        <v>52</v>
      </c>
      <c r="AR5227" s="3" t="s">
        <v>62</v>
      </c>
      <c r="AS5227" s="3" t="s">
        <v>62</v>
      </c>
      <c r="AT5227" s="3" t="s">
        <v>62</v>
      </c>
      <c r="AV5227" s="6" t="str">
        <f>HYPERLINK("http://mcgill.on.worldcat.org/oclc/506005","Catalog Record")</f>
        <v>Catalog Record</v>
      </c>
      <c r="AW5227" s="6" t="str">
        <f>HYPERLINK("http://www.worldcat.org/oclc/506005","WorldCat Record")</f>
        <v>WorldCat Record</v>
      </c>
      <c r="AX5227" s="3" t="s">
        <v>50119</v>
      </c>
      <c r="AY5227" s="3" t="s">
        <v>50120</v>
      </c>
      <c r="AZ5227" s="3" t="s">
        <v>50121</v>
      </c>
      <c r="BA5227" s="3" t="s">
        <v>50121</v>
      </c>
      <c r="BB5227" s="3" t="s">
        <v>50125</v>
      </c>
      <c r="BC5227" s="3" t="s">
        <v>102</v>
      </c>
      <c r="BD5227" s="3" t="s">
        <v>68</v>
      </c>
      <c r="BE5227" s="3" t="s">
        <v>50123</v>
      </c>
      <c r="BF5227" s="3" t="s">
        <v>50125</v>
      </c>
      <c r="BG5227" s="3" t="s">
        <v>50126</v>
      </c>
    </row>
    <row r="5228" spans="1:59" ht="58" x14ac:dyDescent="0.35">
      <c r="A5228" s="2" t="s">
        <v>89</v>
      </c>
      <c r="B5228" s="2" t="s">
        <v>90</v>
      </c>
      <c r="C5228" s="2" t="s">
        <v>50127</v>
      </c>
      <c r="D5228" s="2" t="s">
        <v>50128</v>
      </c>
      <c r="E5228" s="2" t="s">
        <v>50129</v>
      </c>
      <c r="G5228" s="3" t="s">
        <v>62</v>
      </c>
      <c r="I5228" s="3" t="s">
        <v>62</v>
      </c>
      <c r="J5228" s="3" t="s">
        <v>62</v>
      </c>
      <c r="K5228" s="3" t="s">
        <v>63</v>
      </c>
      <c r="L5228" s="2" t="s">
        <v>49409</v>
      </c>
      <c r="M5228" s="2" t="s">
        <v>5144</v>
      </c>
      <c r="N5228" s="3" t="s">
        <v>2975</v>
      </c>
      <c r="P5228" s="3" t="s">
        <v>64</v>
      </c>
      <c r="Q5228" s="2" t="s">
        <v>50130</v>
      </c>
      <c r="R5228" s="3" t="s">
        <v>46535</v>
      </c>
      <c r="S5228" s="4">
        <v>23</v>
      </c>
      <c r="T5228" s="4">
        <v>23</v>
      </c>
      <c r="U5228" s="5" t="s">
        <v>4001</v>
      </c>
      <c r="V5228" s="5" t="s">
        <v>4001</v>
      </c>
      <c r="W5228" s="5" t="s">
        <v>67</v>
      </c>
      <c r="X5228" s="5" t="s">
        <v>67</v>
      </c>
      <c r="Y5228" s="4">
        <v>416</v>
      </c>
      <c r="Z5228" s="4">
        <v>28</v>
      </c>
      <c r="AA5228" s="4">
        <v>29</v>
      </c>
      <c r="AB5228" s="4">
        <v>4</v>
      </c>
      <c r="AC5228" s="4">
        <v>5</v>
      </c>
      <c r="AD5228" s="4">
        <v>110</v>
      </c>
      <c r="AE5228" s="4">
        <v>112</v>
      </c>
      <c r="AF5228" s="4">
        <v>2</v>
      </c>
      <c r="AG5228" s="4">
        <v>3</v>
      </c>
      <c r="AH5228" s="4">
        <v>95</v>
      </c>
      <c r="AI5228" s="4">
        <v>96</v>
      </c>
      <c r="AJ5228" s="4">
        <v>18</v>
      </c>
      <c r="AK5228" s="4">
        <v>19</v>
      </c>
      <c r="AL5228" s="4">
        <v>53</v>
      </c>
      <c r="AM5228" s="4">
        <v>54</v>
      </c>
      <c r="AN5228" s="4">
        <v>0</v>
      </c>
      <c r="AO5228" s="4">
        <v>0</v>
      </c>
      <c r="AP5228" s="4">
        <v>22</v>
      </c>
      <c r="AQ5228" s="4">
        <v>22</v>
      </c>
      <c r="AR5228" s="3" t="s">
        <v>62</v>
      </c>
      <c r="AS5228" s="3" t="s">
        <v>62</v>
      </c>
      <c r="AT5228" s="3" t="s">
        <v>62</v>
      </c>
      <c r="AV5228" s="6" t="str">
        <f>HYPERLINK("http://mcgill.on.worldcat.org/oclc/45248325","Catalog Record")</f>
        <v>Catalog Record</v>
      </c>
      <c r="AW5228" s="6" t="str">
        <f>HYPERLINK("http://www.worldcat.org/oclc/45248325","WorldCat Record")</f>
        <v>WorldCat Record</v>
      </c>
      <c r="AX5228" s="3" t="s">
        <v>50131</v>
      </c>
      <c r="AY5228" s="3" t="s">
        <v>50132</v>
      </c>
      <c r="AZ5228" s="3" t="s">
        <v>50133</v>
      </c>
      <c r="BA5228" s="3" t="s">
        <v>50133</v>
      </c>
      <c r="BB5228" s="3" t="s">
        <v>50134</v>
      </c>
      <c r="BC5228" s="3" t="s">
        <v>102</v>
      </c>
      <c r="BD5228" s="3" t="s">
        <v>68</v>
      </c>
      <c r="BE5228" s="3" t="s">
        <v>50135</v>
      </c>
      <c r="BF5228" s="3" t="s">
        <v>50134</v>
      </c>
      <c r="BG5228" s="3" t="s">
        <v>50136</v>
      </c>
    </row>
    <row r="5229" spans="1:59" ht="58" x14ac:dyDescent="0.35">
      <c r="A5229" s="2" t="s">
        <v>89</v>
      </c>
      <c r="B5229" s="2" t="s">
        <v>90</v>
      </c>
      <c r="C5229" s="2" t="s">
        <v>50137</v>
      </c>
      <c r="D5229" s="2" t="s">
        <v>50138</v>
      </c>
      <c r="E5229" s="2" t="s">
        <v>50139</v>
      </c>
      <c r="G5229" s="3" t="s">
        <v>62</v>
      </c>
      <c r="I5229" s="3" t="s">
        <v>62</v>
      </c>
      <c r="J5229" s="3" t="s">
        <v>62</v>
      </c>
      <c r="K5229" s="3" t="s">
        <v>63</v>
      </c>
      <c r="L5229" s="2" t="s">
        <v>50140</v>
      </c>
      <c r="M5229" s="2" t="s">
        <v>50141</v>
      </c>
      <c r="N5229" s="3" t="s">
        <v>1077</v>
      </c>
      <c r="O5229" s="2" t="s">
        <v>43376</v>
      </c>
      <c r="P5229" s="3" t="s">
        <v>64</v>
      </c>
      <c r="R5229" s="3" t="s">
        <v>46535</v>
      </c>
      <c r="S5229" s="4">
        <v>4</v>
      </c>
      <c r="T5229" s="4">
        <v>4</v>
      </c>
      <c r="U5229" s="5" t="s">
        <v>7432</v>
      </c>
      <c r="V5229" s="5" t="s">
        <v>7432</v>
      </c>
      <c r="W5229" s="5" t="s">
        <v>67</v>
      </c>
      <c r="X5229" s="5" t="s">
        <v>67</v>
      </c>
      <c r="Y5229" s="4">
        <v>272</v>
      </c>
      <c r="Z5229" s="4">
        <v>15</v>
      </c>
      <c r="AA5229" s="4">
        <v>78</v>
      </c>
      <c r="AB5229" s="4">
        <v>2</v>
      </c>
      <c r="AC5229" s="4">
        <v>11</v>
      </c>
      <c r="AD5229" s="4">
        <v>20</v>
      </c>
      <c r="AE5229" s="4">
        <v>124</v>
      </c>
      <c r="AF5229" s="4">
        <v>0</v>
      </c>
      <c r="AG5229" s="4">
        <v>4</v>
      </c>
      <c r="AH5229" s="4">
        <v>17</v>
      </c>
      <c r="AI5229" s="4">
        <v>98</v>
      </c>
      <c r="AJ5229" s="4">
        <v>2</v>
      </c>
      <c r="AK5229" s="4">
        <v>21</v>
      </c>
      <c r="AL5229" s="4">
        <v>7</v>
      </c>
      <c r="AM5229" s="4">
        <v>46</v>
      </c>
      <c r="AN5229" s="4">
        <v>0</v>
      </c>
      <c r="AO5229" s="4">
        <v>0</v>
      </c>
      <c r="AP5229" s="4">
        <v>5</v>
      </c>
      <c r="AQ5229" s="4">
        <v>33</v>
      </c>
      <c r="AR5229" s="3" t="s">
        <v>62</v>
      </c>
      <c r="AS5229" s="3" t="s">
        <v>62</v>
      </c>
      <c r="AT5229" s="3" t="s">
        <v>62</v>
      </c>
      <c r="AV5229" s="6" t="str">
        <f>HYPERLINK("http://mcgill.on.worldcat.org/oclc/27012814","Catalog Record")</f>
        <v>Catalog Record</v>
      </c>
      <c r="AW5229" s="6" t="str">
        <f>HYPERLINK("http://www.worldcat.org/oclc/27012814","WorldCat Record")</f>
        <v>WorldCat Record</v>
      </c>
      <c r="AX5229" s="3" t="s">
        <v>50142</v>
      </c>
      <c r="AY5229" s="3" t="s">
        <v>50143</v>
      </c>
      <c r="AZ5229" s="3" t="s">
        <v>50144</v>
      </c>
      <c r="BA5229" s="3" t="s">
        <v>50144</v>
      </c>
      <c r="BB5229" s="3" t="s">
        <v>50145</v>
      </c>
      <c r="BC5229" s="3" t="s">
        <v>102</v>
      </c>
      <c r="BD5229" s="3" t="s">
        <v>68</v>
      </c>
      <c r="BE5229" s="3" t="s">
        <v>50146</v>
      </c>
      <c r="BF5229" s="3" t="s">
        <v>50145</v>
      </c>
      <c r="BG5229" s="3" t="s">
        <v>50147</v>
      </c>
    </row>
    <row r="5230" spans="1:59" ht="58" x14ac:dyDescent="0.35">
      <c r="A5230" s="2" t="s">
        <v>89</v>
      </c>
      <c r="B5230" s="2" t="s">
        <v>90</v>
      </c>
      <c r="C5230" s="2" t="s">
        <v>50148</v>
      </c>
      <c r="D5230" s="2" t="s">
        <v>50149</v>
      </c>
      <c r="E5230" s="2" t="s">
        <v>50150</v>
      </c>
      <c r="G5230" s="3" t="s">
        <v>62</v>
      </c>
      <c r="I5230" s="3" t="s">
        <v>62</v>
      </c>
      <c r="J5230" s="3" t="s">
        <v>62</v>
      </c>
      <c r="K5230" s="3" t="s">
        <v>63</v>
      </c>
      <c r="L5230" s="2" t="s">
        <v>38989</v>
      </c>
      <c r="M5230" s="2" t="s">
        <v>44825</v>
      </c>
      <c r="N5230" s="3" t="s">
        <v>1905</v>
      </c>
      <c r="P5230" s="3" t="s">
        <v>64</v>
      </c>
      <c r="R5230" s="3" t="s">
        <v>46535</v>
      </c>
      <c r="S5230" s="4">
        <v>16</v>
      </c>
      <c r="T5230" s="4">
        <v>16</v>
      </c>
      <c r="U5230" s="5" t="s">
        <v>7432</v>
      </c>
      <c r="V5230" s="5" t="s">
        <v>7432</v>
      </c>
      <c r="W5230" s="5" t="s">
        <v>67</v>
      </c>
      <c r="X5230" s="5" t="s">
        <v>67</v>
      </c>
      <c r="Y5230" s="4">
        <v>591</v>
      </c>
      <c r="Z5230" s="4">
        <v>37</v>
      </c>
      <c r="AA5230" s="4">
        <v>41</v>
      </c>
      <c r="AB5230" s="4">
        <v>4</v>
      </c>
      <c r="AC5230" s="4">
        <v>5</v>
      </c>
      <c r="AD5230" s="4">
        <v>117</v>
      </c>
      <c r="AE5230" s="4">
        <v>122</v>
      </c>
      <c r="AF5230" s="4">
        <v>2</v>
      </c>
      <c r="AG5230" s="4">
        <v>3</v>
      </c>
      <c r="AH5230" s="4">
        <v>98</v>
      </c>
      <c r="AI5230" s="4">
        <v>100</v>
      </c>
      <c r="AJ5230" s="4">
        <v>18</v>
      </c>
      <c r="AK5230" s="4">
        <v>19</v>
      </c>
      <c r="AL5230" s="4">
        <v>54</v>
      </c>
      <c r="AM5230" s="4">
        <v>55</v>
      </c>
      <c r="AN5230" s="4">
        <v>0</v>
      </c>
      <c r="AO5230" s="4">
        <v>0</v>
      </c>
      <c r="AP5230" s="4">
        <v>25</v>
      </c>
      <c r="AQ5230" s="4">
        <v>27</v>
      </c>
      <c r="AR5230" s="3" t="s">
        <v>62</v>
      </c>
      <c r="AS5230" s="3" t="s">
        <v>62</v>
      </c>
      <c r="AT5230" s="3" t="s">
        <v>62</v>
      </c>
      <c r="AV5230" s="6" t="str">
        <f>HYPERLINK("http://mcgill.on.worldcat.org/oclc/15317398","Catalog Record")</f>
        <v>Catalog Record</v>
      </c>
      <c r="AW5230" s="6" t="str">
        <f>HYPERLINK("http://www.worldcat.org/oclc/15317398","WorldCat Record")</f>
        <v>WorldCat Record</v>
      </c>
      <c r="AX5230" s="3" t="s">
        <v>50151</v>
      </c>
      <c r="AY5230" s="3" t="s">
        <v>50152</v>
      </c>
      <c r="AZ5230" s="3" t="s">
        <v>50153</v>
      </c>
      <c r="BA5230" s="3" t="s">
        <v>50153</v>
      </c>
      <c r="BB5230" s="3" t="s">
        <v>50154</v>
      </c>
      <c r="BC5230" s="3" t="s">
        <v>102</v>
      </c>
      <c r="BD5230" s="3" t="s">
        <v>68</v>
      </c>
      <c r="BE5230" s="3" t="s">
        <v>50155</v>
      </c>
      <c r="BF5230" s="3" t="s">
        <v>50154</v>
      </c>
      <c r="BG5230" s="3" t="s">
        <v>50156</v>
      </c>
    </row>
    <row r="5231" spans="1:59" ht="58" x14ac:dyDescent="0.35">
      <c r="A5231" s="2" t="s">
        <v>89</v>
      </c>
      <c r="B5231" s="2" t="s">
        <v>90</v>
      </c>
      <c r="C5231" s="2" t="s">
        <v>50157</v>
      </c>
      <c r="D5231" s="2" t="s">
        <v>50158</v>
      </c>
      <c r="E5231" s="2" t="s">
        <v>50159</v>
      </c>
      <c r="G5231" s="3" t="s">
        <v>62</v>
      </c>
      <c r="I5231" s="3" t="s">
        <v>62</v>
      </c>
      <c r="J5231" s="3" t="s">
        <v>62</v>
      </c>
      <c r="K5231" s="3" t="s">
        <v>63</v>
      </c>
      <c r="L5231" s="2" t="s">
        <v>50160</v>
      </c>
      <c r="M5231" s="2" t="s">
        <v>16628</v>
      </c>
      <c r="N5231" s="3" t="s">
        <v>539</v>
      </c>
      <c r="P5231" s="3" t="s">
        <v>64</v>
      </c>
      <c r="Q5231" s="2" t="s">
        <v>50161</v>
      </c>
      <c r="R5231" s="3" t="s">
        <v>46535</v>
      </c>
      <c r="S5231" s="4">
        <v>11</v>
      </c>
      <c r="T5231" s="4">
        <v>11</v>
      </c>
      <c r="U5231" s="5" t="s">
        <v>16247</v>
      </c>
      <c r="V5231" s="5" t="s">
        <v>16247</v>
      </c>
      <c r="W5231" s="5" t="s">
        <v>67</v>
      </c>
      <c r="X5231" s="5" t="s">
        <v>67</v>
      </c>
      <c r="Y5231" s="4">
        <v>496</v>
      </c>
      <c r="Z5231" s="4">
        <v>33</v>
      </c>
      <c r="AA5231" s="4">
        <v>122</v>
      </c>
      <c r="AB5231" s="4">
        <v>3</v>
      </c>
      <c r="AC5231" s="4">
        <v>18</v>
      </c>
      <c r="AD5231" s="4">
        <v>116</v>
      </c>
      <c r="AE5231" s="4">
        <v>151</v>
      </c>
      <c r="AF5231" s="4">
        <v>2</v>
      </c>
      <c r="AG5231" s="4">
        <v>9</v>
      </c>
      <c r="AH5231" s="4">
        <v>99</v>
      </c>
      <c r="AI5231" s="4">
        <v>106</v>
      </c>
      <c r="AJ5231" s="4">
        <v>19</v>
      </c>
      <c r="AK5231" s="4">
        <v>26</v>
      </c>
      <c r="AL5231" s="4">
        <v>54</v>
      </c>
      <c r="AM5231" s="4">
        <v>55</v>
      </c>
      <c r="AN5231" s="4">
        <v>0</v>
      </c>
      <c r="AO5231" s="4">
        <v>0</v>
      </c>
      <c r="AP5231" s="4">
        <v>25</v>
      </c>
      <c r="AQ5231" s="4">
        <v>54</v>
      </c>
      <c r="AR5231" s="3" t="s">
        <v>62</v>
      </c>
      <c r="AS5231" s="3" t="s">
        <v>62</v>
      </c>
      <c r="AT5231" s="3" t="s">
        <v>62</v>
      </c>
      <c r="AV5231" s="6" t="str">
        <f>HYPERLINK("http://mcgill.on.worldcat.org/oclc/36051982","Catalog Record")</f>
        <v>Catalog Record</v>
      </c>
      <c r="AW5231" s="6" t="str">
        <f>HYPERLINK("http://www.worldcat.org/oclc/36051982","WorldCat Record")</f>
        <v>WorldCat Record</v>
      </c>
      <c r="AX5231" s="3" t="s">
        <v>50162</v>
      </c>
      <c r="AY5231" s="3" t="s">
        <v>50163</v>
      </c>
      <c r="AZ5231" s="3" t="s">
        <v>50164</v>
      </c>
      <c r="BA5231" s="3" t="s">
        <v>50164</v>
      </c>
      <c r="BB5231" s="3" t="s">
        <v>50165</v>
      </c>
      <c r="BC5231" s="3" t="s">
        <v>102</v>
      </c>
      <c r="BD5231" s="3" t="s">
        <v>68</v>
      </c>
      <c r="BE5231" s="3" t="s">
        <v>50166</v>
      </c>
      <c r="BF5231" s="3" t="s">
        <v>50165</v>
      </c>
      <c r="BG5231" s="3" t="s">
        <v>50167</v>
      </c>
    </row>
    <row r="5232" spans="1:59" ht="58" x14ac:dyDescent="0.35">
      <c r="A5232" s="2" t="s">
        <v>89</v>
      </c>
      <c r="B5232" s="2" t="s">
        <v>90</v>
      </c>
      <c r="C5232" s="2" t="s">
        <v>50168</v>
      </c>
      <c r="D5232" s="2" t="s">
        <v>50169</v>
      </c>
      <c r="E5232" s="2" t="s">
        <v>50170</v>
      </c>
      <c r="G5232" s="3" t="s">
        <v>62</v>
      </c>
      <c r="I5232" s="3" t="s">
        <v>61</v>
      </c>
      <c r="J5232" s="3" t="s">
        <v>62</v>
      </c>
      <c r="K5232" s="3" t="s">
        <v>63</v>
      </c>
      <c r="L5232" s="2" t="s">
        <v>50171</v>
      </c>
      <c r="M5232" s="2" t="s">
        <v>50172</v>
      </c>
      <c r="N5232" s="3" t="s">
        <v>2985</v>
      </c>
      <c r="P5232" s="3" t="s">
        <v>64</v>
      </c>
      <c r="R5232" s="3" t="s">
        <v>46535</v>
      </c>
      <c r="S5232" s="4">
        <v>9</v>
      </c>
      <c r="T5232" s="4">
        <v>12</v>
      </c>
      <c r="U5232" s="5" t="s">
        <v>50173</v>
      </c>
      <c r="V5232" s="5" t="s">
        <v>32680</v>
      </c>
      <c r="W5232" s="5" t="s">
        <v>67</v>
      </c>
      <c r="X5232" s="5" t="s">
        <v>67</v>
      </c>
      <c r="Y5232" s="4">
        <v>464</v>
      </c>
      <c r="Z5232" s="4">
        <v>33</v>
      </c>
      <c r="AA5232" s="4">
        <v>112</v>
      </c>
      <c r="AB5232" s="4">
        <v>2</v>
      </c>
      <c r="AC5232" s="4">
        <v>19</v>
      </c>
      <c r="AD5232" s="4">
        <v>86</v>
      </c>
      <c r="AE5232" s="4">
        <v>141</v>
      </c>
      <c r="AF5232" s="4">
        <v>0</v>
      </c>
      <c r="AG5232" s="4">
        <v>8</v>
      </c>
      <c r="AH5232" s="4">
        <v>73</v>
      </c>
      <c r="AI5232" s="4">
        <v>103</v>
      </c>
      <c r="AJ5232" s="4">
        <v>16</v>
      </c>
      <c r="AK5232" s="4">
        <v>26</v>
      </c>
      <c r="AL5232" s="4">
        <v>41</v>
      </c>
      <c r="AM5232" s="4">
        <v>55</v>
      </c>
      <c r="AN5232" s="4">
        <v>0</v>
      </c>
      <c r="AO5232" s="4">
        <v>0</v>
      </c>
      <c r="AP5232" s="4">
        <v>21</v>
      </c>
      <c r="AQ5232" s="4">
        <v>48</v>
      </c>
      <c r="AR5232" s="3" t="s">
        <v>62</v>
      </c>
      <c r="AS5232" s="3" t="s">
        <v>62</v>
      </c>
      <c r="AT5232" s="3" t="s">
        <v>62</v>
      </c>
      <c r="AV5232" s="6" t="str">
        <f>HYPERLINK("http://mcgill.on.worldcat.org/oclc/317249497","Catalog Record")</f>
        <v>Catalog Record</v>
      </c>
      <c r="AW5232" s="6" t="str">
        <f>HYPERLINK("http://www.worldcat.org/oclc/317249497","WorldCat Record")</f>
        <v>WorldCat Record</v>
      </c>
      <c r="AX5232" s="3" t="s">
        <v>50174</v>
      </c>
      <c r="AY5232" s="3" t="s">
        <v>50175</v>
      </c>
      <c r="AZ5232" s="3" t="s">
        <v>50176</v>
      </c>
      <c r="BA5232" s="3" t="s">
        <v>50176</v>
      </c>
      <c r="BB5232" s="3" t="s">
        <v>50177</v>
      </c>
      <c r="BC5232" s="3" t="s">
        <v>102</v>
      </c>
      <c r="BD5232" s="3" t="s">
        <v>68</v>
      </c>
      <c r="BE5232" s="3" t="s">
        <v>50178</v>
      </c>
      <c r="BF5232" s="3" t="s">
        <v>50177</v>
      </c>
      <c r="BG5232" s="3" t="s">
        <v>50179</v>
      </c>
    </row>
    <row r="5233" spans="1:59" ht="58" x14ac:dyDescent="0.35">
      <c r="A5233" s="2" t="s">
        <v>89</v>
      </c>
      <c r="B5233" s="2" t="s">
        <v>90</v>
      </c>
      <c r="C5233" s="2" t="s">
        <v>50180</v>
      </c>
      <c r="D5233" s="2" t="s">
        <v>50181</v>
      </c>
      <c r="E5233" s="2" t="s">
        <v>50182</v>
      </c>
      <c r="G5233" s="3" t="s">
        <v>62</v>
      </c>
      <c r="I5233" s="3" t="s">
        <v>62</v>
      </c>
      <c r="J5233" s="3" t="s">
        <v>62</v>
      </c>
      <c r="K5233" s="3" t="s">
        <v>63</v>
      </c>
      <c r="L5233" s="2" t="s">
        <v>50183</v>
      </c>
      <c r="M5233" s="2" t="s">
        <v>50184</v>
      </c>
      <c r="N5233" s="3" t="s">
        <v>596</v>
      </c>
      <c r="P5233" s="3" t="s">
        <v>64</v>
      </c>
      <c r="R5233" s="3" t="s">
        <v>46535</v>
      </c>
      <c r="S5233" s="4">
        <v>7</v>
      </c>
      <c r="T5233" s="4">
        <v>7</v>
      </c>
      <c r="U5233" s="5" t="s">
        <v>7803</v>
      </c>
      <c r="V5233" s="5" t="s">
        <v>7803</v>
      </c>
      <c r="W5233" s="5" t="s">
        <v>67</v>
      </c>
      <c r="X5233" s="5" t="s">
        <v>67</v>
      </c>
      <c r="Y5233" s="4">
        <v>943</v>
      </c>
      <c r="Z5233" s="4">
        <v>37</v>
      </c>
      <c r="AA5233" s="4">
        <v>52</v>
      </c>
      <c r="AB5233" s="4">
        <v>4</v>
      </c>
      <c r="AC5233" s="4">
        <v>7</v>
      </c>
      <c r="AD5233" s="4">
        <v>106</v>
      </c>
      <c r="AE5233" s="4">
        <v>122</v>
      </c>
      <c r="AF5233" s="4">
        <v>2</v>
      </c>
      <c r="AG5233" s="4">
        <v>4</v>
      </c>
      <c r="AH5233" s="4">
        <v>91</v>
      </c>
      <c r="AI5233" s="4">
        <v>101</v>
      </c>
      <c r="AJ5233" s="4">
        <v>14</v>
      </c>
      <c r="AK5233" s="4">
        <v>21</v>
      </c>
      <c r="AL5233" s="4">
        <v>47</v>
      </c>
      <c r="AM5233" s="4">
        <v>52</v>
      </c>
      <c r="AN5233" s="4">
        <v>0</v>
      </c>
      <c r="AO5233" s="4">
        <v>0</v>
      </c>
      <c r="AP5233" s="4">
        <v>22</v>
      </c>
      <c r="AQ5233" s="4">
        <v>28</v>
      </c>
      <c r="AR5233" s="3" t="s">
        <v>62</v>
      </c>
      <c r="AS5233" s="3" t="s">
        <v>62</v>
      </c>
      <c r="AT5233" s="3" t="s">
        <v>61</v>
      </c>
      <c r="AU5233" s="6" t="str">
        <f>HYPERLINK("http://catalog.hathitrust.org/Record/004237945","HathiTrust Record")</f>
        <v>HathiTrust Record</v>
      </c>
      <c r="AV5233" s="6" t="str">
        <f>HYPERLINK("http://mcgill.on.worldcat.org/oclc/49283836","Catalog Record")</f>
        <v>Catalog Record</v>
      </c>
      <c r="AW5233" s="6" t="str">
        <f>HYPERLINK("http://www.worldcat.org/oclc/49283836","WorldCat Record")</f>
        <v>WorldCat Record</v>
      </c>
      <c r="AX5233" s="3" t="s">
        <v>50185</v>
      </c>
      <c r="AY5233" s="3" t="s">
        <v>50186</v>
      </c>
      <c r="AZ5233" s="3" t="s">
        <v>50187</v>
      </c>
      <c r="BA5233" s="3" t="s">
        <v>50187</v>
      </c>
      <c r="BB5233" s="3" t="s">
        <v>50188</v>
      </c>
      <c r="BC5233" s="3" t="s">
        <v>102</v>
      </c>
      <c r="BD5233" s="3" t="s">
        <v>68</v>
      </c>
      <c r="BE5233" s="3" t="s">
        <v>50189</v>
      </c>
      <c r="BF5233" s="3" t="s">
        <v>50188</v>
      </c>
      <c r="BG5233" s="3" t="s">
        <v>50190</v>
      </c>
    </row>
    <row r="5234" spans="1:59" ht="58" x14ac:dyDescent="0.35">
      <c r="A5234" s="2" t="s">
        <v>89</v>
      </c>
      <c r="B5234" s="2" t="s">
        <v>90</v>
      </c>
      <c r="C5234" s="2" t="s">
        <v>50191</v>
      </c>
      <c r="D5234" s="2" t="s">
        <v>50192</v>
      </c>
      <c r="E5234" s="2" t="s">
        <v>50193</v>
      </c>
      <c r="G5234" s="3" t="s">
        <v>62</v>
      </c>
      <c r="I5234" s="3" t="s">
        <v>62</v>
      </c>
      <c r="J5234" s="3" t="s">
        <v>61</v>
      </c>
      <c r="K5234" s="3" t="s">
        <v>63</v>
      </c>
      <c r="L5234" s="2" t="s">
        <v>7322</v>
      </c>
      <c r="M5234" s="2" t="s">
        <v>50194</v>
      </c>
      <c r="N5234" s="3" t="s">
        <v>539</v>
      </c>
      <c r="O5234" s="2" t="s">
        <v>6158</v>
      </c>
      <c r="P5234" s="3" t="s">
        <v>64</v>
      </c>
      <c r="R5234" s="3" t="s">
        <v>46535</v>
      </c>
      <c r="S5234" s="4">
        <v>8</v>
      </c>
      <c r="T5234" s="4">
        <v>8</v>
      </c>
      <c r="U5234" s="5" t="s">
        <v>1279</v>
      </c>
      <c r="V5234" s="5" t="s">
        <v>1279</v>
      </c>
      <c r="W5234" s="5" t="s">
        <v>67</v>
      </c>
      <c r="X5234" s="5" t="s">
        <v>67</v>
      </c>
      <c r="Y5234" s="4">
        <v>64</v>
      </c>
      <c r="Z5234" s="4">
        <v>6</v>
      </c>
      <c r="AA5234" s="4">
        <v>41</v>
      </c>
      <c r="AB5234" s="4">
        <v>2</v>
      </c>
      <c r="AC5234" s="4">
        <v>7</v>
      </c>
      <c r="AD5234" s="4">
        <v>13</v>
      </c>
      <c r="AE5234" s="4">
        <v>114</v>
      </c>
      <c r="AF5234" s="4">
        <v>1</v>
      </c>
      <c r="AG5234" s="4">
        <v>5</v>
      </c>
      <c r="AH5234" s="4">
        <v>9</v>
      </c>
      <c r="AI5234" s="4">
        <v>88</v>
      </c>
      <c r="AJ5234" s="4">
        <v>4</v>
      </c>
      <c r="AK5234" s="4">
        <v>19</v>
      </c>
      <c r="AL5234" s="4">
        <v>8</v>
      </c>
      <c r="AM5234" s="4">
        <v>47</v>
      </c>
      <c r="AN5234" s="4">
        <v>0</v>
      </c>
      <c r="AO5234" s="4">
        <v>0</v>
      </c>
      <c r="AP5234" s="4">
        <v>4</v>
      </c>
      <c r="AQ5234" s="4">
        <v>30</v>
      </c>
      <c r="AR5234" s="3" t="s">
        <v>62</v>
      </c>
      <c r="AS5234" s="3" t="s">
        <v>62</v>
      </c>
      <c r="AT5234" s="3" t="s">
        <v>62</v>
      </c>
      <c r="AV5234" s="6" t="str">
        <f>HYPERLINK("http://mcgill.on.worldcat.org/oclc/39694004","Catalog Record")</f>
        <v>Catalog Record</v>
      </c>
      <c r="AW5234" s="6" t="str">
        <f>HYPERLINK("http://www.worldcat.org/oclc/39694004","WorldCat Record")</f>
        <v>WorldCat Record</v>
      </c>
      <c r="AX5234" s="3" t="s">
        <v>50195</v>
      </c>
      <c r="AY5234" s="3" t="s">
        <v>50196</v>
      </c>
      <c r="AZ5234" s="3" t="s">
        <v>50197</v>
      </c>
      <c r="BA5234" s="3" t="s">
        <v>50197</v>
      </c>
      <c r="BB5234" s="3" t="s">
        <v>50198</v>
      </c>
      <c r="BC5234" s="3" t="s">
        <v>102</v>
      </c>
      <c r="BD5234" s="3" t="s">
        <v>231</v>
      </c>
      <c r="BE5234" s="3" t="s">
        <v>50199</v>
      </c>
      <c r="BF5234" s="3" t="s">
        <v>50198</v>
      </c>
      <c r="BG5234" s="3" t="s">
        <v>50200</v>
      </c>
    </row>
    <row r="5235" spans="1:59" ht="58" x14ac:dyDescent="0.35">
      <c r="A5235" s="2" t="s">
        <v>89</v>
      </c>
      <c r="B5235" s="2" t="s">
        <v>90</v>
      </c>
      <c r="C5235" s="2" t="s">
        <v>50201</v>
      </c>
      <c r="D5235" s="2" t="s">
        <v>50202</v>
      </c>
      <c r="E5235" s="2" t="s">
        <v>50203</v>
      </c>
      <c r="G5235" s="3" t="s">
        <v>62</v>
      </c>
      <c r="I5235" s="3" t="s">
        <v>62</v>
      </c>
      <c r="J5235" s="3" t="s">
        <v>62</v>
      </c>
      <c r="K5235" s="3" t="s">
        <v>63</v>
      </c>
      <c r="L5235" s="2" t="s">
        <v>50204</v>
      </c>
      <c r="M5235" s="2" t="s">
        <v>50205</v>
      </c>
      <c r="N5235" s="3" t="s">
        <v>596</v>
      </c>
      <c r="P5235" s="3" t="s">
        <v>64</v>
      </c>
      <c r="R5235" s="3" t="s">
        <v>46535</v>
      </c>
      <c r="S5235" s="4">
        <v>19</v>
      </c>
      <c r="T5235" s="4">
        <v>19</v>
      </c>
      <c r="U5235" s="5" t="s">
        <v>27199</v>
      </c>
      <c r="V5235" s="5" t="s">
        <v>27199</v>
      </c>
      <c r="W5235" s="5" t="s">
        <v>67</v>
      </c>
      <c r="X5235" s="5" t="s">
        <v>67</v>
      </c>
      <c r="Y5235" s="4">
        <v>328</v>
      </c>
      <c r="Z5235" s="4">
        <v>18</v>
      </c>
      <c r="AA5235" s="4">
        <v>48</v>
      </c>
      <c r="AB5235" s="4">
        <v>4</v>
      </c>
      <c r="AC5235" s="4">
        <v>11</v>
      </c>
      <c r="AD5235" s="4">
        <v>78</v>
      </c>
      <c r="AE5235" s="4">
        <v>87</v>
      </c>
      <c r="AF5235" s="4">
        <v>1</v>
      </c>
      <c r="AG5235" s="4">
        <v>1</v>
      </c>
      <c r="AH5235" s="4">
        <v>70</v>
      </c>
      <c r="AI5235" s="4">
        <v>74</v>
      </c>
      <c r="AJ5235" s="4">
        <v>12</v>
      </c>
      <c r="AK5235" s="4">
        <v>13</v>
      </c>
      <c r="AL5235" s="4">
        <v>40</v>
      </c>
      <c r="AM5235" s="4">
        <v>42</v>
      </c>
      <c r="AN5235" s="4">
        <v>0</v>
      </c>
      <c r="AO5235" s="4">
        <v>0</v>
      </c>
      <c r="AP5235" s="4">
        <v>13</v>
      </c>
      <c r="AQ5235" s="4">
        <v>18</v>
      </c>
      <c r="AR5235" s="3" t="s">
        <v>62</v>
      </c>
      <c r="AS5235" s="3" t="s">
        <v>62</v>
      </c>
      <c r="AT5235" s="3" t="s">
        <v>61</v>
      </c>
      <c r="AU5235" s="6" t="str">
        <f>HYPERLINK("http://catalog.hathitrust.org/Record/004248042","HathiTrust Record")</f>
        <v>HathiTrust Record</v>
      </c>
      <c r="AV5235" s="6" t="str">
        <f>HYPERLINK("http://mcgill.on.worldcat.org/oclc/48761737","Catalog Record")</f>
        <v>Catalog Record</v>
      </c>
      <c r="AW5235" s="6" t="str">
        <f>HYPERLINK("http://www.worldcat.org/oclc/48761737","WorldCat Record")</f>
        <v>WorldCat Record</v>
      </c>
      <c r="AX5235" s="3" t="s">
        <v>50206</v>
      </c>
      <c r="AY5235" s="3" t="s">
        <v>50207</v>
      </c>
      <c r="AZ5235" s="3" t="s">
        <v>50208</v>
      </c>
      <c r="BA5235" s="3" t="s">
        <v>50208</v>
      </c>
      <c r="BB5235" s="3" t="s">
        <v>50209</v>
      </c>
      <c r="BC5235" s="3" t="s">
        <v>102</v>
      </c>
      <c r="BD5235" s="3" t="s">
        <v>68</v>
      </c>
      <c r="BE5235" s="3" t="s">
        <v>50210</v>
      </c>
      <c r="BF5235" s="3" t="s">
        <v>50209</v>
      </c>
      <c r="BG5235" s="3" t="s">
        <v>50211</v>
      </c>
    </row>
    <row r="5236" spans="1:59" ht="58" x14ac:dyDescent="0.35">
      <c r="A5236" s="2" t="s">
        <v>89</v>
      </c>
      <c r="B5236" s="2" t="s">
        <v>90</v>
      </c>
      <c r="C5236" s="2" t="s">
        <v>50212</v>
      </c>
      <c r="D5236" s="2" t="s">
        <v>50213</v>
      </c>
      <c r="E5236" s="2" t="s">
        <v>50214</v>
      </c>
      <c r="G5236" s="3" t="s">
        <v>62</v>
      </c>
      <c r="I5236" s="3" t="s">
        <v>62</v>
      </c>
      <c r="J5236" s="3" t="s">
        <v>62</v>
      </c>
      <c r="K5236" s="3" t="s">
        <v>63</v>
      </c>
      <c r="L5236" s="2" t="s">
        <v>50215</v>
      </c>
      <c r="M5236" s="2" t="s">
        <v>50216</v>
      </c>
      <c r="N5236" s="3" t="s">
        <v>481</v>
      </c>
      <c r="P5236" s="3" t="s">
        <v>64</v>
      </c>
      <c r="R5236" s="3" t="s">
        <v>46535</v>
      </c>
      <c r="S5236" s="4">
        <v>7</v>
      </c>
      <c r="T5236" s="4">
        <v>7</v>
      </c>
      <c r="U5236" s="5" t="s">
        <v>45959</v>
      </c>
      <c r="V5236" s="5" t="s">
        <v>45959</v>
      </c>
      <c r="W5236" s="5" t="s">
        <v>67</v>
      </c>
      <c r="X5236" s="5" t="s">
        <v>67</v>
      </c>
      <c r="Y5236" s="4">
        <v>98</v>
      </c>
      <c r="Z5236" s="4">
        <v>8</v>
      </c>
      <c r="AA5236" s="4">
        <v>8</v>
      </c>
      <c r="AB5236" s="4">
        <v>2</v>
      </c>
      <c r="AC5236" s="4">
        <v>2</v>
      </c>
      <c r="AD5236" s="4">
        <v>42</v>
      </c>
      <c r="AE5236" s="4">
        <v>42</v>
      </c>
      <c r="AF5236" s="4">
        <v>1</v>
      </c>
      <c r="AG5236" s="4">
        <v>1</v>
      </c>
      <c r="AH5236" s="4">
        <v>37</v>
      </c>
      <c r="AI5236" s="4">
        <v>37</v>
      </c>
      <c r="AJ5236" s="4">
        <v>6</v>
      </c>
      <c r="AK5236" s="4">
        <v>6</v>
      </c>
      <c r="AL5236" s="4">
        <v>23</v>
      </c>
      <c r="AM5236" s="4">
        <v>23</v>
      </c>
      <c r="AN5236" s="4">
        <v>0</v>
      </c>
      <c r="AO5236" s="4">
        <v>0</v>
      </c>
      <c r="AP5236" s="4">
        <v>5</v>
      </c>
      <c r="AQ5236" s="4">
        <v>5</v>
      </c>
      <c r="AR5236" s="3" t="s">
        <v>62</v>
      </c>
      <c r="AS5236" s="3" t="s">
        <v>62</v>
      </c>
      <c r="AT5236" s="3" t="s">
        <v>61</v>
      </c>
      <c r="AU5236" s="6" t="str">
        <f>HYPERLINK("http://catalog.hathitrust.org/Record/003198775","HathiTrust Record")</f>
        <v>HathiTrust Record</v>
      </c>
      <c r="AV5236" s="6" t="str">
        <f>HYPERLINK("http://mcgill.on.worldcat.org/oclc/36219340","Catalog Record")</f>
        <v>Catalog Record</v>
      </c>
      <c r="AW5236" s="6" t="str">
        <f>HYPERLINK("http://www.worldcat.org/oclc/36219340","WorldCat Record")</f>
        <v>WorldCat Record</v>
      </c>
      <c r="AX5236" s="3" t="s">
        <v>50217</v>
      </c>
      <c r="AY5236" s="3" t="s">
        <v>50218</v>
      </c>
      <c r="AZ5236" s="3" t="s">
        <v>50219</v>
      </c>
      <c r="BA5236" s="3" t="s">
        <v>50219</v>
      </c>
      <c r="BB5236" s="3" t="s">
        <v>50220</v>
      </c>
      <c r="BC5236" s="3" t="s">
        <v>102</v>
      </c>
      <c r="BD5236" s="3" t="s">
        <v>68</v>
      </c>
      <c r="BE5236" s="3" t="s">
        <v>50221</v>
      </c>
      <c r="BF5236" s="3" t="s">
        <v>50220</v>
      </c>
      <c r="BG5236" s="3" t="s">
        <v>50222</v>
      </c>
    </row>
    <row r="5237" spans="1:59" ht="58" x14ac:dyDescent="0.35">
      <c r="A5237" s="2" t="s">
        <v>89</v>
      </c>
      <c r="B5237" s="2" t="s">
        <v>90</v>
      </c>
      <c r="C5237" s="2" t="s">
        <v>50223</v>
      </c>
      <c r="D5237" s="2" t="s">
        <v>50224</v>
      </c>
      <c r="E5237" s="2" t="s">
        <v>50225</v>
      </c>
      <c r="G5237" s="3" t="s">
        <v>62</v>
      </c>
      <c r="I5237" s="3" t="s">
        <v>62</v>
      </c>
      <c r="J5237" s="3" t="s">
        <v>62</v>
      </c>
      <c r="K5237" s="3" t="s">
        <v>63</v>
      </c>
      <c r="L5237" s="2" t="s">
        <v>50226</v>
      </c>
      <c r="M5237" s="2" t="s">
        <v>50227</v>
      </c>
      <c r="N5237" s="3" t="s">
        <v>1038</v>
      </c>
      <c r="P5237" s="3" t="s">
        <v>64</v>
      </c>
      <c r="R5237" s="3" t="s">
        <v>46535</v>
      </c>
      <c r="S5237" s="4">
        <v>0</v>
      </c>
      <c r="T5237" s="4">
        <v>0</v>
      </c>
      <c r="W5237" s="5" t="s">
        <v>67</v>
      </c>
      <c r="X5237" s="5" t="s">
        <v>67</v>
      </c>
      <c r="Y5237" s="4">
        <v>348</v>
      </c>
      <c r="Z5237" s="4">
        <v>14</v>
      </c>
      <c r="AA5237" s="4">
        <v>107</v>
      </c>
      <c r="AB5237" s="4">
        <v>2</v>
      </c>
      <c r="AC5237" s="4">
        <v>16</v>
      </c>
      <c r="AD5237" s="4">
        <v>50</v>
      </c>
      <c r="AE5237" s="4">
        <v>128</v>
      </c>
      <c r="AF5237" s="4">
        <v>0</v>
      </c>
      <c r="AG5237" s="4">
        <v>8</v>
      </c>
      <c r="AH5237" s="4">
        <v>46</v>
      </c>
      <c r="AI5237" s="4">
        <v>90</v>
      </c>
      <c r="AJ5237" s="4">
        <v>6</v>
      </c>
      <c r="AK5237" s="4">
        <v>22</v>
      </c>
      <c r="AL5237" s="4">
        <v>29</v>
      </c>
      <c r="AM5237" s="4">
        <v>48</v>
      </c>
      <c r="AN5237" s="4">
        <v>0</v>
      </c>
      <c r="AO5237" s="4">
        <v>0</v>
      </c>
      <c r="AP5237" s="4">
        <v>5</v>
      </c>
      <c r="AQ5237" s="4">
        <v>42</v>
      </c>
      <c r="AR5237" s="3" t="s">
        <v>62</v>
      </c>
      <c r="AS5237" s="3" t="s">
        <v>62</v>
      </c>
      <c r="AT5237" s="3" t="s">
        <v>62</v>
      </c>
      <c r="AV5237" s="6" t="str">
        <f>HYPERLINK("http://mcgill.on.worldcat.org/oclc/931476612","Catalog Record")</f>
        <v>Catalog Record</v>
      </c>
      <c r="AW5237" s="6" t="str">
        <f>HYPERLINK("http://www.worldcat.org/oclc/931476612","WorldCat Record")</f>
        <v>WorldCat Record</v>
      </c>
      <c r="AX5237" s="3" t="s">
        <v>50228</v>
      </c>
      <c r="AY5237" s="3" t="s">
        <v>50229</v>
      </c>
      <c r="AZ5237" s="3" t="s">
        <v>50230</v>
      </c>
      <c r="BA5237" s="3" t="s">
        <v>50230</v>
      </c>
      <c r="BB5237" s="3" t="s">
        <v>50231</v>
      </c>
      <c r="BC5237" s="3" t="s">
        <v>102</v>
      </c>
      <c r="BD5237" s="3" t="s">
        <v>68</v>
      </c>
      <c r="BE5237" s="3" t="s">
        <v>50232</v>
      </c>
      <c r="BF5237" s="3" t="s">
        <v>50231</v>
      </c>
      <c r="BG5237" s="3" t="s">
        <v>50233</v>
      </c>
    </row>
    <row r="5238" spans="1:59" ht="58" x14ac:dyDescent="0.35">
      <c r="A5238" s="2" t="s">
        <v>89</v>
      </c>
      <c r="B5238" s="2" t="s">
        <v>90</v>
      </c>
      <c r="C5238" s="2" t="s">
        <v>50234</v>
      </c>
      <c r="D5238" s="2" t="s">
        <v>50235</v>
      </c>
      <c r="E5238" s="2" t="s">
        <v>50236</v>
      </c>
      <c r="G5238" s="3" t="s">
        <v>62</v>
      </c>
      <c r="I5238" s="3" t="s">
        <v>62</v>
      </c>
      <c r="J5238" s="3" t="s">
        <v>62</v>
      </c>
      <c r="K5238" s="3" t="s">
        <v>63</v>
      </c>
      <c r="M5238" s="2" t="s">
        <v>50237</v>
      </c>
      <c r="N5238" s="3" t="s">
        <v>596</v>
      </c>
      <c r="P5238" s="3" t="s">
        <v>64</v>
      </c>
      <c r="R5238" s="3" t="s">
        <v>46535</v>
      </c>
      <c r="S5238" s="4">
        <v>7</v>
      </c>
      <c r="T5238" s="4">
        <v>7</v>
      </c>
      <c r="U5238" s="5" t="s">
        <v>8165</v>
      </c>
      <c r="V5238" s="5" t="s">
        <v>8165</v>
      </c>
      <c r="W5238" s="5" t="s">
        <v>67</v>
      </c>
      <c r="X5238" s="5" t="s">
        <v>67</v>
      </c>
      <c r="Y5238" s="4">
        <v>36</v>
      </c>
      <c r="Z5238" s="4">
        <v>1</v>
      </c>
      <c r="AA5238" s="4">
        <v>5</v>
      </c>
      <c r="AB5238" s="4">
        <v>1</v>
      </c>
      <c r="AC5238" s="4">
        <v>3</v>
      </c>
      <c r="AD5238" s="4">
        <v>20</v>
      </c>
      <c r="AE5238" s="4">
        <v>23</v>
      </c>
      <c r="AF5238" s="4">
        <v>0</v>
      </c>
      <c r="AG5238" s="4">
        <v>2</v>
      </c>
      <c r="AH5238" s="4">
        <v>20</v>
      </c>
      <c r="AI5238" s="4">
        <v>22</v>
      </c>
      <c r="AJ5238" s="4">
        <v>0</v>
      </c>
      <c r="AK5238" s="4">
        <v>3</v>
      </c>
      <c r="AL5238" s="4">
        <v>14</v>
      </c>
      <c r="AM5238" s="4">
        <v>15</v>
      </c>
      <c r="AN5238" s="4">
        <v>0</v>
      </c>
      <c r="AO5238" s="4">
        <v>0</v>
      </c>
      <c r="AP5238" s="4">
        <v>0</v>
      </c>
      <c r="AQ5238" s="4">
        <v>3</v>
      </c>
      <c r="AR5238" s="3" t="s">
        <v>62</v>
      </c>
      <c r="AS5238" s="3" t="s">
        <v>62</v>
      </c>
      <c r="AT5238" s="3" t="s">
        <v>62</v>
      </c>
      <c r="AV5238" s="6" t="str">
        <f>HYPERLINK("http://mcgill.on.worldcat.org/oclc/52963190","Catalog Record")</f>
        <v>Catalog Record</v>
      </c>
      <c r="AW5238" s="6" t="str">
        <f>HYPERLINK("http://www.worldcat.org/oclc/52963190","WorldCat Record")</f>
        <v>WorldCat Record</v>
      </c>
      <c r="AX5238" s="3" t="s">
        <v>50238</v>
      </c>
      <c r="AY5238" s="3" t="s">
        <v>50239</v>
      </c>
      <c r="AZ5238" s="3" t="s">
        <v>50240</v>
      </c>
      <c r="BA5238" s="3" t="s">
        <v>50240</v>
      </c>
      <c r="BB5238" s="3" t="s">
        <v>50241</v>
      </c>
      <c r="BC5238" s="3" t="s">
        <v>102</v>
      </c>
      <c r="BD5238" s="3" t="s">
        <v>68</v>
      </c>
      <c r="BE5238" s="3" t="s">
        <v>50242</v>
      </c>
      <c r="BF5238" s="3" t="s">
        <v>50241</v>
      </c>
      <c r="BG5238" s="3" t="s">
        <v>50243</v>
      </c>
    </row>
    <row r="5239" spans="1:59" ht="58" x14ac:dyDescent="0.35">
      <c r="A5239" s="2" t="s">
        <v>89</v>
      </c>
      <c r="B5239" s="2" t="s">
        <v>90</v>
      </c>
      <c r="C5239" s="2" t="s">
        <v>50244</v>
      </c>
      <c r="D5239" s="2" t="s">
        <v>50245</v>
      </c>
      <c r="E5239" s="2" t="s">
        <v>50246</v>
      </c>
      <c r="G5239" s="3" t="s">
        <v>62</v>
      </c>
      <c r="I5239" s="3" t="s">
        <v>62</v>
      </c>
      <c r="J5239" s="3" t="s">
        <v>62</v>
      </c>
      <c r="K5239" s="3" t="s">
        <v>63</v>
      </c>
      <c r="L5239" s="2" t="s">
        <v>50247</v>
      </c>
      <c r="M5239" s="2" t="s">
        <v>50248</v>
      </c>
      <c r="N5239" s="3" t="s">
        <v>1195</v>
      </c>
      <c r="P5239" s="3" t="s">
        <v>64</v>
      </c>
      <c r="R5239" s="3" t="s">
        <v>46535</v>
      </c>
      <c r="S5239" s="4">
        <v>5</v>
      </c>
      <c r="T5239" s="4">
        <v>5</v>
      </c>
      <c r="U5239" s="5" t="s">
        <v>8165</v>
      </c>
      <c r="V5239" s="5" t="s">
        <v>8165</v>
      </c>
      <c r="W5239" s="5" t="s">
        <v>67</v>
      </c>
      <c r="X5239" s="5" t="s">
        <v>67</v>
      </c>
      <c r="Y5239" s="4">
        <v>149</v>
      </c>
      <c r="Z5239" s="4">
        <v>19</v>
      </c>
      <c r="AA5239" s="4">
        <v>108</v>
      </c>
      <c r="AB5239" s="4">
        <v>3</v>
      </c>
      <c r="AC5239" s="4">
        <v>18</v>
      </c>
      <c r="AD5239" s="4">
        <v>48</v>
      </c>
      <c r="AE5239" s="4">
        <v>118</v>
      </c>
      <c r="AF5239" s="4">
        <v>1</v>
      </c>
      <c r="AG5239" s="4">
        <v>8</v>
      </c>
      <c r="AH5239" s="4">
        <v>40</v>
      </c>
      <c r="AI5239" s="4">
        <v>79</v>
      </c>
      <c r="AJ5239" s="4">
        <v>11</v>
      </c>
      <c r="AK5239" s="4">
        <v>24</v>
      </c>
      <c r="AL5239" s="4">
        <v>23</v>
      </c>
      <c r="AM5239" s="4">
        <v>39</v>
      </c>
      <c r="AN5239" s="4">
        <v>0</v>
      </c>
      <c r="AO5239" s="4">
        <v>0</v>
      </c>
      <c r="AP5239" s="4">
        <v>15</v>
      </c>
      <c r="AQ5239" s="4">
        <v>47</v>
      </c>
      <c r="AR5239" s="3" t="s">
        <v>62</v>
      </c>
      <c r="AS5239" s="3" t="s">
        <v>62</v>
      </c>
      <c r="AT5239" s="3" t="s">
        <v>62</v>
      </c>
      <c r="AV5239" s="6" t="str">
        <f>HYPERLINK("http://mcgill.on.worldcat.org/oclc/69028470","Catalog Record")</f>
        <v>Catalog Record</v>
      </c>
      <c r="AW5239" s="6" t="str">
        <f>HYPERLINK("http://www.worldcat.org/oclc/69028470","WorldCat Record")</f>
        <v>WorldCat Record</v>
      </c>
      <c r="AX5239" s="3" t="s">
        <v>50249</v>
      </c>
      <c r="AY5239" s="3" t="s">
        <v>50250</v>
      </c>
      <c r="AZ5239" s="3" t="s">
        <v>50251</v>
      </c>
      <c r="BA5239" s="3" t="s">
        <v>50251</v>
      </c>
      <c r="BB5239" s="3" t="s">
        <v>50252</v>
      </c>
      <c r="BC5239" s="3" t="s">
        <v>102</v>
      </c>
      <c r="BD5239" s="3" t="s">
        <v>68</v>
      </c>
      <c r="BE5239" s="3" t="s">
        <v>50253</v>
      </c>
      <c r="BF5239" s="3" t="s">
        <v>50252</v>
      </c>
      <c r="BG5239" s="3" t="s">
        <v>50254</v>
      </c>
    </row>
    <row r="5240" spans="1:59" ht="58" x14ac:dyDescent="0.35">
      <c r="A5240" s="2" t="s">
        <v>89</v>
      </c>
      <c r="B5240" s="2" t="s">
        <v>90</v>
      </c>
      <c r="C5240" s="2" t="s">
        <v>50255</v>
      </c>
      <c r="D5240" s="2" t="s">
        <v>50256</v>
      </c>
      <c r="E5240" s="2" t="s">
        <v>50257</v>
      </c>
      <c r="G5240" s="3" t="s">
        <v>62</v>
      </c>
      <c r="I5240" s="3" t="s">
        <v>62</v>
      </c>
      <c r="J5240" s="3" t="s">
        <v>62</v>
      </c>
      <c r="K5240" s="3" t="s">
        <v>63</v>
      </c>
      <c r="M5240" s="2" t="s">
        <v>50258</v>
      </c>
      <c r="N5240" s="3" t="s">
        <v>880</v>
      </c>
      <c r="P5240" s="3" t="s">
        <v>64</v>
      </c>
      <c r="Q5240" s="2" t="s">
        <v>50259</v>
      </c>
      <c r="R5240" s="3" t="s">
        <v>46535</v>
      </c>
      <c r="S5240" s="4">
        <v>0</v>
      </c>
      <c r="T5240" s="4">
        <v>0</v>
      </c>
      <c r="W5240" s="5" t="s">
        <v>67</v>
      </c>
      <c r="X5240" s="5" t="s">
        <v>67</v>
      </c>
      <c r="Y5240" s="4">
        <v>100</v>
      </c>
      <c r="Z5240" s="4">
        <v>9</v>
      </c>
      <c r="AA5240" s="4">
        <v>11</v>
      </c>
      <c r="AB5240" s="4">
        <v>1</v>
      </c>
      <c r="AC5240" s="4">
        <v>3</v>
      </c>
      <c r="AD5240" s="4">
        <v>32</v>
      </c>
      <c r="AE5240" s="4">
        <v>34</v>
      </c>
      <c r="AF5240" s="4">
        <v>0</v>
      </c>
      <c r="AG5240" s="4">
        <v>2</v>
      </c>
      <c r="AH5240" s="4">
        <v>26</v>
      </c>
      <c r="AI5240" s="4">
        <v>27</v>
      </c>
      <c r="AJ5240" s="4">
        <v>7</v>
      </c>
      <c r="AK5240" s="4">
        <v>9</v>
      </c>
      <c r="AL5240" s="4">
        <v>17</v>
      </c>
      <c r="AM5240" s="4">
        <v>17</v>
      </c>
      <c r="AN5240" s="4">
        <v>0</v>
      </c>
      <c r="AO5240" s="4">
        <v>0</v>
      </c>
      <c r="AP5240" s="4">
        <v>7</v>
      </c>
      <c r="AQ5240" s="4">
        <v>9</v>
      </c>
      <c r="AR5240" s="3" t="s">
        <v>62</v>
      </c>
      <c r="AS5240" s="3" t="s">
        <v>62</v>
      </c>
      <c r="AT5240" s="3" t="s">
        <v>62</v>
      </c>
      <c r="AV5240" s="6" t="str">
        <f>HYPERLINK("http://mcgill.on.worldcat.org/oclc/651075149","Catalog Record")</f>
        <v>Catalog Record</v>
      </c>
      <c r="AW5240" s="6" t="str">
        <f>HYPERLINK("http://www.worldcat.org/oclc/651075149","WorldCat Record")</f>
        <v>WorldCat Record</v>
      </c>
      <c r="AX5240" s="3" t="s">
        <v>50260</v>
      </c>
      <c r="AY5240" s="3" t="s">
        <v>50261</v>
      </c>
      <c r="AZ5240" s="3" t="s">
        <v>50262</v>
      </c>
      <c r="BA5240" s="3" t="s">
        <v>50262</v>
      </c>
      <c r="BB5240" s="3" t="s">
        <v>50263</v>
      </c>
      <c r="BC5240" s="3" t="s">
        <v>102</v>
      </c>
      <c r="BD5240" s="3" t="s">
        <v>68</v>
      </c>
      <c r="BE5240" s="3" t="s">
        <v>50264</v>
      </c>
      <c r="BF5240" s="3" t="s">
        <v>50263</v>
      </c>
      <c r="BG5240" s="3" t="s">
        <v>50265</v>
      </c>
    </row>
    <row r="5241" spans="1:59" ht="58" x14ac:dyDescent="0.35">
      <c r="A5241" s="2" t="s">
        <v>89</v>
      </c>
      <c r="B5241" s="2" t="s">
        <v>90</v>
      </c>
      <c r="C5241" s="2" t="s">
        <v>50266</v>
      </c>
      <c r="D5241" s="2" t="s">
        <v>50267</v>
      </c>
      <c r="E5241" s="2" t="s">
        <v>50268</v>
      </c>
      <c r="G5241" s="3" t="s">
        <v>62</v>
      </c>
      <c r="I5241" s="3" t="s">
        <v>62</v>
      </c>
      <c r="J5241" s="3" t="s">
        <v>62</v>
      </c>
      <c r="K5241" s="3" t="s">
        <v>63</v>
      </c>
      <c r="L5241" s="2" t="s">
        <v>50269</v>
      </c>
      <c r="M5241" s="2" t="s">
        <v>50270</v>
      </c>
      <c r="N5241" s="3" t="s">
        <v>553</v>
      </c>
      <c r="P5241" s="3" t="s">
        <v>64</v>
      </c>
      <c r="R5241" s="3" t="s">
        <v>46535</v>
      </c>
      <c r="S5241" s="4">
        <v>19</v>
      </c>
      <c r="T5241" s="4">
        <v>19</v>
      </c>
      <c r="U5241" s="5" t="s">
        <v>16247</v>
      </c>
      <c r="V5241" s="5" t="s">
        <v>16247</v>
      </c>
      <c r="W5241" s="5" t="s">
        <v>67</v>
      </c>
      <c r="X5241" s="5" t="s">
        <v>67</v>
      </c>
      <c r="Y5241" s="4">
        <v>260</v>
      </c>
      <c r="Z5241" s="4">
        <v>13</v>
      </c>
      <c r="AA5241" s="4">
        <v>20</v>
      </c>
      <c r="AB5241" s="4">
        <v>2</v>
      </c>
      <c r="AC5241" s="4">
        <v>7</v>
      </c>
      <c r="AD5241" s="4">
        <v>81</v>
      </c>
      <c r="AE5241" s="4">
        <v>85</v>
      </c>
      <c r="AF5241" s="4">
        <v>1</v>
      </c>
      <c r="AG5241" s="4">
        <v>3</v>
      </c>
      <c r="AH5241" s="4">
        <v>76</v>
      </c>
      <c r="AI5241" s="4">
        <v>77</v>
      </c>
      <c r="AJ5241" s="4">
        <v>10</v>
      </c>
      <c r="AK5241" s="4">
        <v>13</v>
      </c>
      <c r="AL5241" s="4">
        <v>46</v>
      </c>
      <c r="AM5241" s="4">
        <v>46</v>
      </c>
      <c r="AN5241" s="4">
        <v>0</v>
      </c>
      <c r="AO5241" s="4">
        <v>0</v>
      </c>
      <c r="AP5241" s="4">
        <v>11</v>
      </c>
      <c r="AQ5241" s="4">
        <v>14</v>
      </c>
      <c r="AR5241" s="3" t="s">
        <v>62</v>
      </c>
      <c r="AS5241" s="3" t="s">
        <v>62</v>
      </c>
      <c r="AT5241" s="3" t="s">
        <v>62</v>
      </c>
      <c r="AV5241" s="6" t="str">
        <f>HYPERLINK("http://mcgill.on.worldcat.org/oclc/40798284","Catalog Record")</f>
        <v>Catalog Record</v>
      </c>
      <c r="AW5241" s="6" t="str">
        <f>HYPERLINK("http://www.worldcat.org/oclc/40798284","WorldCat Record")</f>
        <v>WorldCat Record</v>
      </c>
      <c r="AX5241" s="3" t="s">
        <v>50271</v>
      </c>
      <c r="AY5241" s="3" t="s">
        <v>50272</v>
      </c>
      <c r="AZ5241" s="3" t="s">
        <v>50273</v>
      </c>
      <c r="BA5241" s="3" t="s">
        <v>50273</v>
      </c>
      <c r="BB5241" s="3" t="s">
        <v>50274</v>
      </c>
      <c r="BC5241" s="3" t="s">
        <v>102</v>
      </c>
      <c r="BD5241" s="3" t="s">
        <v>68</v>
      </c>
      <c r="BE5241" s="3" t="s">
        <v>50275</v>
      </c>
      <c r="BF5241" s="3" t="s">
        <v>50274</v>
      </c>
      <c r="BG5241" s="3" t="s">
        <v>50276</v>
      </c>
    </row>
    <row r="5242" spans="1:59" ht="58" x14ac:dyDescent="0.35">
      <c r="A5242" s="2" t="s">
        <v>89</v>
      </c>
      <c r="B5242" s="2" t="s">
        <v>90</v>
      </c>
      <c r="C5242" s="2" t="s">
        <v>50277</v>
      </c>
      <c r="D5242" s="2" t="s">
        <v>50278</v>
      </c>
      <c r="E5242" s="2" t="s">
        <v>50279</v>
      </c>
      <c r="G5242" s="3" t="s">
        <v>62</v>
      </c>
      <c r="I5242" s="3" t="s">
        <v>61</v>
      </c>
      <c r="J5242" s="3" t="s">
        <v>62</v>
      </c>
      <c r="K5242" s="3" t="s">
        <v>63</v>
      </c>
      <c r="L5242" s="2" t="s">
        <v>50280</v>
      </c>
      <c r="M5242" s="2" t="s">
        <v>50281</v>
      </c>
      <c r="N5242" s="3" t="s">
        <v>1077</v>
      </c>
      <c r="P5242" s="3" t="s">
        <v>64</v>
      </c>
      <c r="Q5242" s="2" t="s">
        <v>50282</v>
      </c>
      <c r="R5242" s="3" t="s">
        <v>46535</v>
      </c>
      <c r="S5242" s="4">
        <v>15</v>
      </c>
      <c r="T5242" s="4">
        <v>15</v>
      </c>
      <c r="U5242" s="5" t="s">
        <v>7402</v>
      </c>
      <c r="V5242" s="5" t="s">
        <v>7402</v>
      </c>
      <c r="W5242" s="5" t="s">
        <v>67</v>
      </c>
      <c r="X5242" s="5" t="s">
        <v>67</v>
      </c>
      <c r="Y5242" s="4">
        <v>252</v>
      </c>
      <c r="Z5242" s="4">
        <v>28</v>
      </c>
      <c r="AA5242" s="4">
        <v>46</v>
      </c>
      <c r="AB5242" s="4">
        <v>2</v>
      </c>
      <c r="AC5242" s="4">
        <v>8</v>
      </c>
      <c r="AD5242" s="4">
        <v>99</v>
      </c>
      <c r="AE5242" s="4">
        <v>113</v>
      </c>
      <c r="AF5242" s="4">
        <v>1</v>
      </c>
      <c r="AG5242" s="4">
        <v>4</v>
      </c>
      <c r="AH5242" s="4">
        <v>81</v>
      </c>
      <c r="AI5242" s="4">
        <v>86</v>
      </c>
      <c r="AJ5242" s="4">
        <v>16</v>
      </c>
      <c r="AK5242" s="4">
        <v>23</v>
      </c>
      <c r="AL5242" s="4">
        <v>47</v>
      </c>
      <c r="AM5242" s="4">
        <v>48</v>
      </c>
      <c r="AN5242" s="4">
        <v>0</v>
      </c>
      <c r="AO5242" s="4">
        <v>0</v>
      </c>
      <c r="AP5242" s="4">
        <v>23</v>
      </c>
      <c r="AQ5242" s="4">
        <v>34</v>
      </c>
      <c r="AR5242" s="3" t="s">
        <v>62</v>
      </c>
      <c r="AS5242" s="3" t="s">
        <v>62</v>
      </c>
      <c r="AT5242" s="3" t="s">
        <v>62</v>
      </c>
      <c r="AV5242" s="6" t="str">
        <f>HYPERLINK("http://mcgill.on.worldcat.org/oclc/26396505","Catalog Record")</f>
        <v>Catalog Record</v>
      </c>
      <c r="AW5242" s="6" t="str">
        <f>HYPERLINK("http://www.worldcat.org/oclc/26396505","WorldCat Record")</f>
        <v>WorldCat Record</v>
      </c>
      <c r="AX5242" s="3" t="s">
        <v>50283</v>
      </c>
      <c r="AY5242" s="3" t="s">
        <v>50284</v>
      </c>
      <c r="AZ5242" s="3" t="s">
        <v>50285</v>
      </c>
      <c r="BA5242" s="3" t="s">
        <v>50285</v>
      </c>
      <c r="BB5242" s="3" t="s">
        <v>50286</v>
      </c>
      <c r="BC5242" s="3" t="s">
        <v>102</v>
      </c>
      <c r="BD5242" s="3" t="s">
        <v>68</v>
      </c>
      <c r="BE5242" s="3" t="s">
        <v>50287</v>
      </c>
      <c r="BF5242" s="3" t="s">
        <v>50286</v>
      </c>
      <c r="BG5242" s="3" t="s">
        <v>50288</v>
      </c>
    </row>
    <row r="5243" spans="1:59" ht="58" x14ac:dyDescent="0.35">
      <c r="A5243" s="2" t="s">
        <v>89</v>
      </c>
      <c r="B5243" s="2" t="s">
        <v>90</v>
      </c>
      <c r="C5243" s="2" t="s">
        <v>50289</v>
      </c>
      <c r="D5243" s="2" t="s">
        <v>50290</v>
      </c>
      <c r="E5243" s="2" t="s">
        <v>50291</v>
      </c>
      <c r="G5243" s="3" t="s">
        <v>62</v>
      </c>
      <c r="I5243" s="3" t="s">
        <v>62</v>
      </c>
      <c r="J5243" s="3" t="s">
        <v>62</v>
      </c>
      <c r="K5243" s="3" t="s">
        <v>63</v>
      </c>
      <c r="M5243" s="2" t="s">
        <v>50184</v>
      </c>
      <c r="N5243" s="3" t="s">
        <v>596</v>
      </c>
      <c r="P5243" s="3" t="s">
        <v>64</v>
      </c>
      <c r="Q5243" s="2" t="s">
        <v>50292</v>
      </c>
      <c r="R5243" s="3" t="s">
        <v>46535</v>
      </c>
      <c r="S5243" s="4">
        <v>15</v>
      </c>
      <c r="T5243" s="4">
        <v>15</v>
      </c>
      <c r="U5243" s="5" t="s">
        <v>2164</v>
      </c>
      <c r="V5243" s="5" t="s">
        <v>2164</v>
      </c>
      <c r="W5243" s="5" t="s">
        <v>67</v>
      </c>
      <c r="X5243" s="5" t="s">
        <v>67</v>
      </c>
      <c r="Y5243" s="4">
        <v>274</v>
      </c>
      <c r="Z5243" s="4">
        <v>15</v>
      </c>
      <c r="AA5243" s="4">
        <v>15</v>
      </c>
      <c r="AB5243" s="4">
        <v>1</v>
      </c>
      <c r="AC5243" s="4">
        <v>1</v>
      </c>
      <c r="AD5243" s="4">
        <v>94</v>
      </c>
      <c r="AE5243" s="4">
        <v>94</v>
      </c>
      <c r="AF5243" s="4">
        <v>0</v>
      </c>
      <c r="AG5243" s="4">
        <v>0</v>
      </c>
      <c r="AH5243" s="4">
        <v>87</v>
      </c>
      <c r="AI5243" s="4">
        <v>87</v>
      </c>
      <c r="AJ5243" s="4">
        <v>9</v>
      </c>
      <c r="AK5243" s="4">
        <v>9</v>
      </c>
      <c r="AL5243" s="4">
        <v>49</v>
      </c>
      <c r="AM5243" s="4">
        <v>49</v>
      </c>
      <c r="AN5243" s="4">
        <v>0</v>
      </c>
      <c r="AO5243" s="4">
        <v>0</v>
      </c>
      <c r="AP5243" s="4">
        <v>12</v>
      </c>
      <c r="AQ5243" s="4">
        <v>12</v>
      </c>
      <c r="AR5243" s="3" t="s">
        <v>62</v>
      </c>
      <c r="AS5243" s="3" t="s">
        <v>62</v>
      </c>
      <c r="AT5243" s="3" t="s">
        <v>62</v>
      </c>
      <c r="AV5243" s="6" t="str">
        <f>HYPERLINK("http://mcgill.on.worldcat.org/oclc/49942945","Catalog Record")</f>
        <v>Catalog Record</v>
      </c>
      <c r="AW5243" s="6" t="str">
        <f>HYPERLINK("http://www.worldcat.org/oclc/49942945","WorldCat Record")</f>
        <v>WorldCat Record</v>
      </c>
      <c r="AX5243" s="3" t="s">
        <v>50293</v>
      </c>
      <c r="AY5243" s="3" t="s">
        <v>50294</v>
      </c>
      <c r="AZ5243" s="3" t="s">
        <v>50295</v>
      </c>
      <c r="BA5243" s="3" t="s">
        <v>50295</v>
      </c>
      <c r="BB5243" s="3" t="s">
        <v>50296</v>
      </c>
      <c r="BC5243" s="3" t="s">
        <v>102</v>
      </c>
      <c r="BD5243" s="3" t="s">
        <v>68</v>
      </c>
      <c r="BE5243" s="3" t="s">
        <v>50297</v>
      </c>
      <c r="BF5243" s="3" t="s">
        <v>50296</v>
      </c>
      <c r="BG5243" s="3" t="s">
        <v>50298</v>
      </c>
    </row>
    <row r="5244" spans="1:59" ht="58" x14ac:dyDescent="0.35">
      <c r="A5244" s="2" t="s">
        <v>89</v>
      </c>
      <c r="B5244" s="2" t="s">
        <v>90</v>
      </c>
      <c r="C5244" s="2" t="s">
        <v>50299</v>
      </c>
      <c r="D5244" s="2" t="s">
        <v>50300</v>
      </c>
      <c r="E5244" s="2" t="s">
        <v>50301</v>
      </c>
      <c r="G5244" s="3" t="s">
        <v>62</v>
      </c>
      <c r="I5244" s="3" t="s">
        <v>62</v>
      </c>
      <c r="J5244" s="3" t="s">
        <v>62</v>
      </c>
      <c r="K5244" s="3" t="s">
        <v>63</v>
      </c>
      <c r="M5244" s="2" t="s">
        <v>50302</v>
      </c>
      <c r="N5244" s="3" t="s">
        <v>3062</v>
      </c>
      <c r="P5244" s="3" t="s">
        <v>64</v>
      </c>
      <c r="R5244" s="3" t="s">
        <v>46535</v>
      </c>
      <c r="S5244" s="4">
        <v>18</v>
      </c>
      <c r="T5244" s="4">
        <v>18</v>
      </c>
      <c r="U5244" s="5" t="s">
        <v>26091</v>
      </c>
      <c r="V5244" s="5" t="s">
        <v>26091</v>
      </c>
      <c r="W5244" s="5" t="s">
        <v>67</v>
      </c>
      <c r="X5244" s="5" t="s">
        <v>67</v>
      </c>
      <c r="Y5244" s="4">
        <v>224</v>
      </c>
      <c r="Z5244" s="4">
        <v>11</v>
      </c>
      <c r="AA5244" s="4">
        <v>15</v>
      </c>
      <c r="AB5244" s="4">
        <v>2</v>
      </c>
      <c r="AC5244" s="4">
        <v>6</v>
      </c>
      <c r="AD5244" s="4">
        <v>83</v>
      </c>
      <c r="AE5244" s="4">
        <v>84</v>
      </c>
      <c r="AF5244" s="4">
        <v>1</v>
      </c>
      <c r="AG5244" s="4">
        <v>2</v>
      </c>
      <c r="AH5244" s="4">
        <v>78</v>
      </c>
      <c r="AI5244" s="4">
        <v>78</v>
      </c>
      <c r="AJ5244" s="4">
        <v>8</v>
      </c>
      <c r="AK5244" s="4">
        <v>9</v>
      </c>
      <c r="AL5244" s="4">
        <v>48</v>
      </c>
      <c r="AM5244" s="4">
        <v>48</v>
      </c>
      <c r="AN5244" s="4">
        <v>0</v>
      </c>
      <c r="AO5244" s="4">
        <v>0</v>
      </c>
      <c r="AP5244" s="4">
        <v>9</v>
      </c>
      <c r="AQ5244" s="4">
        <v>10</v>
      </c>
      <c r="AR5244" s="3" t="s">
        <v>62</v>
      </c>
      <c r="AS5244" s="3" t="s">
        <v>62</v>
      </c>
      <c r="AT5244" s="3" t="s">
        <v>62</v>
      </c>
      <c r="AV5244" s="6" t="str">
        <f>HYPERLINK("http://mcgill.on.worldcat.org/oclc/22206488","Catalog Record")</f>
        <v>Catalog Record</v>
      </c>
      <c r="AW5244" s="6" t="str">
        <f>HYPERLINK("http://www.worldcat.org/oclc/22206488","WorldCat Record")</f>
        <v>WorldCat Record</v>
      </c>
      <c r="AX5244" s="3" t="s">
        <v>50303</v>
      </c>
      <c r="AY5244" s="3" t="s">
        <v>50304</v>
      </c>
      <c r="AZ5244" s="3" t="s">
        <v>50305</v>
      </c>
      <c r="BA5244" s="3" t="s">
        <v>50305</v>
      </c>
      <c r="BB5244" s="3" t="s">
        <v>50306</v>
      </c>
      <c r="BC5244" s="3" t="s">
        <v>102</v>
      </c>
      <c r="BD5244" s="3" t="s">
        <v>68</v>
      </c>
      <c r="BE5244" s="3" t="s">
        <v>50307</v>
      </c>
      <c r="BF5244" s="3" t="s">
        <v>50306</v>
      </c>
      <c r="BG5244" s="3" t="s">
        <v>50308</v>
      </c>
    </row>
    <row r="5245" spans="1:59" ht="58" x14ac:dyDescent="0.35">
      <c r="A5245" s="2" t="s">
        <v>89</v>
      </c>
      <c r="B5245" s="2" t="s">
        <v>90</v>
      </c>
      <c r="C5245" s="2" t="s">
        <v>50309</v>
      </c>
      <c r="D5245" s="2" t="s">
        <v>50310</v>
      </c>
      <c r="E5245" s="2" t="s">
        <v>50311</v>
      </c>
      <c r="G5245" s="3" t="s">
        <v>62</v>
      </c>
      <c r="I5245" s="3" t="s">
        <v>62</v>
      </c>
      <c r="J5245" s="3" t="s">
        <v>62</v>
      </c>
      <c r="K5245" s="3" t="s">
        <v>63</v>
      </c>
      <c r="M5245" s="2" t="s">
        <v>50312</v>
      </c>
      <c r="N5245" s="3" t="s">
        <v>553</v>
      </c>
      <c r="P5245" s="3" t="s">
        <v>64</v>
      </c>
      <c r="R5245" s="3" t="s">
        <v>46535</v>
      </c>
      <c r="S5245" s="4">
        <v>22</v>
      </c>
      <c r="T5245" s="4">
        <v>22</v>
      </c>
      <c r="U5245" s="5" t="s">
        <v>2164</v>
      </c>
      <c r="V5245" s="5" t="s">
        <v>2164</v>
      </c>
      <c r="W5245" s="5" t="s">
        <v>67</v>
      </c>
      <c r="X5245" s="5" t="s">
        <v>67</v>
      </c>
      <c r="Y5245" s="4">
        <v>325</v>
      </c>
      <c r="Z5245" s="4">
        <v>24</v>
      </c>
      <c r="AA5245" s="4">
        <v>38</v>
      </c>
      <c r="AB5245" s="4">
        <v>2</v>
      </c>
      <c r="AC5245" s="4">
        <v>7</v>
      </c>
      <c r="AD5245" s="4">
        <v>102</v>
      </c>
      <c r="AE5245" s="4">
        <v>113</v>
      </c>
      <c r="AF5245" s="4">
        <v>1</v>
      </c>
      <c r="AG5245" s="4">
        <v>3</v>
      </c>
      <c r="AH5245" s="4">
        <v>91</v>
      </c>
      <c r="AI5245" s="4">
        <v>94</v>
      </c>
      <c r="AJ5245" s="4">
        <v>15</v>
      </c>
      <c r="AK5245" s="4">
        <v>21</v>
      </c>
      <c r="AL5245" s="4">
        <v>54</v>
      </c>
      <c r="AM5245" s="4">
        <v>54</v>
      </c>
      <c r="AN5245" s="4">
        <v>0</v>
      </c>
      <c r="AO5245" s="4">
        <v>0</v>
      </c>
      <c r="AP5245" s="4">
        <v>18</v>
      </c>
      <c r="AQ5245" s="4">
        <v>27</v>
      </c>
      <c r="AR5245" s="3" t="s">
        <v>62</v>
      </c>
      <c r="AS5245" s="3" t="s">
        <v>62</v>
      </c>
      <c r="AT5245" s="3" t="s">
        <v>62</v>
      </c>
      <c r="AV5245" s="6" t="str">
        <f>HYPERLINK("http://mcgill.on.worldcat.org/oclc/40417663","Catalog Record")</f>
        <v>Catalog Record</v>
      </c>
      <c r="AW5245" s="6" t="str">
        <f>HYPERLINK("http://www.worldcat.org/oclc/40417663","WorldCat Record")</f>
        <v>WorldCat Record</v>
      </c>
      <c r="AX5245" s="3" t="s">
        <v>50313</v>
      </c>
      <c r="AY5245" s="3" t="s">
        <v>50314</v>
      </c>
      <c r="AZ5245" s="3" t="s">
        <v>50315</v>
      </c>
      <c r="BA5245" s="3" t="s">
        <v>50315</v>
      </c>
      <c r="BB5245" s="3" t="s">
        <v>50316</v>
      </c>
      <c r="BC5245" s="3" t="s">
        <v>102</v>
      </c>
      <c r="BD5245" s="3" t="s">
        <v>231</v>
      </c>
      <c r="BE5245" s="3" t="s">
        <v>50317</v>
      </c>
      <c r="BF5245" s="3" t="s">
        <v>50316</v>
      </c>
      <c r="BG5245" s="3" t="s">
        <v>50318</v>
      </c>
    </row>
    <row r="5246" spans="1:59" ht="58" x14ac:dyDescent="0.35">
      <c r="A5246" s="2" t="s">
        <v>89</v>
      </c>
      <c r="B5246" s="2" t="s">
        <v>90</v>
      </c>
      <c r="C5246" s="2" t="s">
        <v>50319</v>
      </c>
      <c r="D5246" s="2" t="s">
        <v>50320</v>
      </c>
      <c r="E5246" s="2" t="s">
        <v>50321</v>
      </c>
      <c r="G5246" s="3" t="s">
        <v>62</v>
      </c>
      <c r="I5246" s="3" t="s">
        <v>62</v>
      </c>
      <c r="J5246" s="3" t="s">
        <v>62</v>
      </c>
      <c r="K5246" s="3" t="s">
        <v>63</v>
      </c>
      <c r="L5246" s="2" t="s">
        <v>50322</v>
      </c>
      <c r="M5246" s="2" t="s">
        <v>37029</v>
      </c>
      <c r="N5246" s="3" t="s">
        <v>698</v>
      </c>
      <c r="P5246" s="3" t="s">
        <v>64</v>
      </c>
      <c r="Q5246" s="2" t="s">
        <v>50323</v>
      </c>
      <c r="R5246" s="3" t="s">
        <v>46535</v>
      </c>
      <c r="S5246" s="4">
        <v>1</v>
      </c>
      <c r="T5246" s="4">
        <v>1</v>
      </c>
      <c r="U5246" s="5" t="s">
        <v>8165</v>
      </c>
      <c r="V5246" s="5" t="s">
        <v>8165</v>
      </c>
      <c r="W5246" s="5" t="s">
        <v>67</v>
      </c>
      <c r="X5246" s="5" t="s">
        <v>67</v>
      </c>
      <c r="Y5246" s="4">
        <v>186</v>
      </c>
      <c r="Z5246" s="4">
        <v>14</v>
      </c>
      <c r="AA5246" s="4">
        <v>28</v>
      </c>
      <c r="AB5246" s="4">
        <v>1</v>
      </c>
      <c r="AC5246" s="4">
        <v>5</v>
      </c>
      <c r="AD5246" s="4">
        <v>71</v>
      </c>
      <c r="AE5246" s="4">
        <v>90</v>
      </c>
      <c r="AF5246" s="4">
        <v>0</v>
      </c>
      <c r="AG5246" s="4">
        <v>1</v>
      </c>
      <c r="AH5246" s="4">
        <v>63</v>
      </c>
      <c r="AI5246" s="4">
        <v>74</v>
      </c>
      <c r="AJ5246" s="4">
        <v>11</v>
      </c>
      <c r="AK5246" s="4">
        <v>17</v>
      </c>
      <c r="AL5246" s="4">
        <v>41</v>
      </c>
      <c r="AM5246" s="4">
        <v>44</v>
      </c>
      <c r="AN5246" s="4">
        <v>0</v>
      </c>
      <c r="AO5246" s="4">
        <v>0</v>
      </c>
      <c r="AP5246" s="4">
        <v>12</v>
      </c>
      <c r="AQ5246" s="4">
        <v>23</v>
      </c>
      <c r="AR5246" s="3" t="s">
        <v>62</v>
      </c>
      <c r="AS5246" s="3" t="s">
        <v>62</v>
      </c>
      <c r="AT5246" s="3" t="s">
        <v>62</v>
      </c>
      <c r="AV5246" s="6" t="str">
        <f>HYPERLINK("http://mcgill.on.worldcat.org/oclc/759153172","Catalog Record")</f>
        <v>Catalog Record</v>
      </c>
      <c r="AW5246" s="6" t="str">
        <f>HYPERLINK("http://www.worldcat.org/oclc/759153172","WorldCat Record")</f>
        <v>WorldCat Record</v>
      </c>
      <c r="AX5246" s="3" t="s">
        <v>50324</v>
      </c>
      <c r="AY5246" s="3" t="s">
        <v>50325</v>
      </c>
      <c r="AZ5246" s="3" t="s">
        <v>50326</v>
      </c>
      <c r="BA5246" s="3" t="s">
        <v>50326</v>
      </c>
      <c r="BB5246" s="3" t="s">
        <v>50327</v>
      </c>
      <c r="BC5246" s="3" t="s">
        <v>102</v>
      </c>
      <c r="BD5246" s="3" t="s">
        <v>68</v>
      </c>
      <c r="BE5246" s="3" t="s">
        <v>50328</v>
      </c>
      <c r="BF5246" s="3" t="s">
        <v>50327</v>
      </c>
      <c r="BG5246" s="3" t="s">
        <v>50329</v>
      </c>
    </row>
    <row r="5247" spans="1:59" ht="58" x14ac:dyDescent="0.35">
      <c r="A5247" s="2" t="s">
        <v>89</v>
      </c>
      <c r="B5247" s="2" t="s">
        <v>90</v>
      </c>
      <c r="C5247" s="2" t="s">
        <v>50330</v>
      </c>
      <c r="D5247" s="2" t="s">
        <v>50331</v>
      </c>
      <c r="E5247" s="2" t="s">
        <v>50332</v>
      </c>
      <c r="G5247" s="3" t="s">
        <v>62</v>
      </c>
      <c r="I5247" s="3" t="s">
        <v>61</v>
      </c>
      <c r="J5247" s="3" t="s">
        <v>61</v>
      </c>
      <c r="K5247" s="3" t="s">
        <v>63</v>
      </c>
      <c r="L5247" s="2" t="s">
        <v>49668</v>
      </c>
      <c r="M5247" s="2" t="s">
        <v>50333</v>
      </c>
      <c r="N5247" s="3" t="s">
        <v>2136</v>
      </c>
      <c r="P5247" s="3" t="s">
        <v>64</v>
      </c>
      <c r="R5247" s="3" t="s">
        <v>46535</v>
      </c>
      <c r="S5247" s="4">
        <v>7</v>
      </c>
      <c r="T5247" s="4">
        <v>94</v>
      </c>
      <c r="U5247" s="5" t="s">
        <v>10908</v>
      </c>
      <c r="V5247" s="5" t="s">
        <v>10070</v>
      </c>
      <c r="W5247" s="5" t="s">
        <v>67</v>
      </c>
      <c r="X5247" s="5" t="s">
        <v>67</v>
      </c>
      <c r="Y5247" s="4">
        <v>156</v>
      </c>
      <c r="Z5247" s="4">
        <v>12</v>
      </c>
      <c r="AA5247" s="4">
        <v>92</v>
      </c>
      <c r="AB5247" s="4">
        <v>1</v>
      </c>
      <c r="AC5247" s="4">
        <v>11</v>
      </c>
      <c r="AD5247" s="4">
        <v>21</v>
      </c>
      <c r="AE5247" s="4">
        <v>153</v>
      </c>
      <c r="AF5247" s="4">
        <v>0</v>
      </c>
      <c r="AG5247" s="4">
        <v>5</v>
      </c>
      <c r="AH5247" s="4">
        <v>17</v>
      </c>
      <c r="AI5247" s="4">
        <v>114</v>
      </c>
      <c r="AJ5247" s="4">
        <v>2</v>
      </c>
      <c r="AK5247" s="4">
        <v>24</v>
      </c>
      <c r="AL5247" s="4">
        <v>12</v>
      </c>
      <c r="AM5247" s="4">
        <v>60</v>
      </c>
      <c r="AN5247" s="4">
        <v>0</v>
      </c>
      <c r="AO5247" s="4">
        <v>0</v>
      </c>
      <c r="AP5247" s="4">
        <v>3</v>
      </c>
      <c r="AQ5247" s="4">
        <v>48</v>
      </c>
      <c r="AR5247" s="3" t="s">
        <v>62</v>
      </c>
      <c r="AS5247" s="3" t="s">
        <v>62</v>
      </c>
      <c r="AT5247" s="3" t="s">
        <v>62</v>
      </c>
      <c r="AV5247" s="6" t="str">
        <f>HYPERLINK("http://mcgill.on.worldcat.org/oclc/61690994","Catalog Record")</f>
        <v>Catalog Record</v>
      </c>
      <c r="AW5247" s="6" t="str">
        <f>HYPERLINK("http://www.worldcat.org/oclc/61690994","WorldCat Record")</f>
        <v>WorldCat Record</v>
      </c>
      <c r="AX5247" s="3" t="s">
        <v>50334</v>
      </c>
      <c r="AY5247" s="3" t="s">
        <v>50335</v>
      </c>
      <c r="AZ5247" s="3" t="s">
        <v>50336</v>
      </c>
      <c r="BA5247" s="3" t="s">
        <v>50336</v>
      </c>
      <c r="BB5247" s="3" t="s">
        <v>50337</v>
      </c>
      <c r="BC5247" s="3" t="s">
        <v>102</v>
      </c>
      <c r="BD5247" s="3" t="s">
        <v>68</v>
      </c>
      <c r="BE5247" s="3" t="s">
        <v>50338</v>
      </c>
      <c r="BF5247" s="3" t="s">
        <v>50337</v>
      </c>
      <c r="BG5247" s="3" t="s">
        <v>50339</v>
      </c>
    </row>
    <row r="5248" spans="1:59" ht="58" x14ac:dyDescent="0.35">
      <c r="A5248" s="2" t="s">
        <v>89</v>
      </c>
      <c r="B5248" s="2" t="s">
        <v>90</v>
      </c>
      <c r="C5248" s="2" t="s">
        <v>50330</v>
      </c>
      <c r="D5248" s="2" t="s">
        <v>50331</v>
      </c>
      <c r="E5248" s="2" t="s">
        <v>50332</v>
      </c>
      <c r="G5248" s="3" t="s">
        <v>62</v>
      </c>
      <c r="I5248" s="3" t="s">
        <v>61</v>
      </c>
      <c r="J5248" s="3" t="s">
        <v>61</v>
      </c>
      <c r="K5248" s="3" t="s">
        <v>63</v>
      </c>
      <c r="L5248" s="2" t="s">
        <v>49668</v>
      </c>
      <c r="M5248" s="2" t="s">
        <v>50333</v>
      </c>
      <c r="N5248" s="3" t="s">
        <v>2136</v>
      </c>
      <c r="P5248" s="3" t="s">
        <v>64</v>
      </c>
      <c r="R5248" s="3" t="s">
        <v>46535</v>
      </c>
      <c r="S5248" s="4">
        <v>34</v>
      </c>
      <c r="T5248" s="4">
        <v>94</v>
      </c>
      <c r="U5248" s="5" t="s">
        <v>10070</v>
      </c>
      <c r="V5248" s="5" t="s">
        <v>10070</v>
      </c>
      <c r="W5248" s="5" t="s">
        <v>67</v>
      </c>
      <c r="X5248" s="5" t="s">
        <v>67</v>
      </c>
      <c r="Y5248" s="4">
        <v>156</v>
      </c>
      <c r="Z5248" s="4">
        <v>12</v>
      </c>
      <c r="AA5248" s="4">
        <v>92</v>
      </c>
      <c r="AB5248" s="4">
        <v>1</v>
      </c>
      <c r="AC5248" s="4">
        <v>11</v>
      </c>
      <c r="AD5248" s="4">
        <v>21</v>
      </c>
      <c r="AE5248" s="4">
        <v>153</v>
      </c>
      <c r="AF5248" s="4">
        <v>0</v>
      </c>
      <c r="AG5248" s="4">
        <v>5</v>
      </c>
      <c r="AH5248" s="4">
        <v>17</v>
      </c>
      <c r="AI5248" s="4">
        <v>114</v>
      </c>
      <c r="AJ5248" s="4">
        <v>2</v>
      </c>
      <c r="AK5248" s="4">
        <v>24</v>
      </c>
      <c r="AL5248" s="4">
        <v>12</v>
      </c>
      <c r="AM5248" s="4">
        <v>60</v>
      </c>
      <c r="AN5248" s="4">
        <v>0</v>
      </c>
      <c r="AO5248" s="4">
        <v>0</v>
      </c>
      <c r="AP5248" s="4">
        <v>3</v>
      </c>
      <c r="AQ5248" s="4">
        <v>48</v>
      </c>
      <c r="AR5248" s="3" t="s">
        <v>62</v>
      </c>
      <c r="AS5248" s="3" t="s">
        <v>62</v>
      </c>
      <c r="AT5248" s="3" t="s">
        <v>62</v>
      </c>
      <c r="AV5248" s="6" t="str">
        <f>HYPERLINK("http://mcgill.on.worldcat.org/oclc/61690994","Catalog Record")</f>
        <v>Catalog Record</v>
      </c>
      <c r="AW5248" s="6" t="str">
        <f>HYPERLINK("http://www.worldcat.org/oclc/61690994","WorldCat Record")</f>
        <v>WorldCat Record</v>
      </c>
      <c r="AX5248" s="3" t="s">
        <v>50334</v>
      </c>
      <c r="AY5248" s="3" t="s">
        <v>50335</v>
      </c>
      <c r="AZ5248" s="3" t="s">
        <v>50336</v>
      </c>
      <c r="BA5248" s="3" t="s">
        <v>50336</v>
      </c>
      <c r="BB5248" s="3" t="s">
        <v>50340</v>
      </c>
      <c r="BC5248" s="3" t="s">
        <v>102</v>
      </c>
      <c r="BD5248" s="3" t="s">
        <v>68</v>
      </c>
      <c r="BE5248" s="3" t="s">
        <v>50338</v>
      </c>
      <c r="BF5248" s="3" t="s">
        <v>50340</v>
      </c>
      <c r="BG5248" s="3" t="s">
        <v>50341</v>
      </c>
    </row>
    <row r="5249" spans="1:59" ht="58" x14ac:dyDescent="0.35">
      <c r="A5249" s="2" t="s">
        <v>89</v>
      </c>
      <c r="B5249" s="2" t="s">
        <v>90</v>
      </c>
      <c r="C5249" s="2" t="s">
        <v>50330</v>
      </c>
      <c r="D5249" s="2" t="s">
        <v>50331</v>
      </c>
      <c r="E5249" s="2" t="s">
        <v>50332</v>
      </c>
      <c r="G5249" s="3" t="s">
        <v>62</v>
      </c>
      <c r="I5249" s="3" t="s">
        <v>61</v>
      </c>
      <c r="J5249" s="3" t="s">
        <v>61</v>
      </c>
      <c r="K5249" s="3" t="s">
        <v>63</v>
      </c>
      <c r="L5249" s="2" t="s">
        <v>49668</v>
      </c>
      <c r="M5249" s="2" t="s">
        <v>50333</v>
      </c>
      <c r="N5249" s="3" t="s">
        <v>2136</v>
      </c>
      <c r="P5249" s="3" t="s">
        <v>64</v>
      </c>
      <c r="R5249" s="3" t="s">
        <v>46535</v>
      </c>
      <c r="S5249" s="4">
        <v>3</v>
      </c>
      <c r="T5249" s="4">
        <v>94</v>
      </c>
      <c r="U5249" s="5" t="s">
        <v>38695</v>
      </c>
      <c r="V5249" s="5" t="s">
        <v>10070</v>
      </c>
      <c r="W5249" s="5" t="s">
        <v>67</v>
      </c>
      <c r="X5249" s="5" t="s">
        <v>67</v>
      </c>
      <c r="Y5249" s="4">
        <v>156</v>
      </c>
      <c r="Z5249" s="4">
        <v>12</v>
      </c>
      <c r="AA5249" s="4">
        <v>92</v>
      </c>
      <c r="AB5249" s="4">
        <v>1</v>
      </c>
      <c r="AC5249" s="4">
        <v>11</v>
      </c>
      <c r="AD5249" s="4">
        <v>21</v>
      </c>
      <c r="AE5249" s="4">
        <v>153</v>
      </c>
      <c r="AF5249" s="4">
        <v>0</v>
      </c>
      <c r="AG5249" s="4">
        <v>5</v>
      </c>
      <c r="AH5249" s="4">
        <v>17</v>
      </c>
      <c r="AI5249" s="4">
        <v>114</v>
      </c>
      <c r="AJ5249" s="4">
        <v>2</v>
      </c>
      <c r="AK5249" s="4">
        <v>24</v>
      </c>
      <c r="AL5249" s="4">
        <v>12</v>
      </c>
      <c r="AM5249" s="4">
        <v>60</v>
      </c>
      <c r="AN5249" s="4">
        <v>0</v>
      </c>
      <c r="AO5249" s="4">
        <v>0</v>
      </c>
      <c r="AP5249" s="4">
        <v>3</v>
      </c>
      <c r="AQ5249" s="4">
        <v>48</v>
      </c>
      <c r="AR5249" s="3" t="s">
        <v>62</v>
      </c>
      <c r="AS5249" s="3" t="s">
        <v>62</v>
      </c>
      <c r="AT5249" s="3" t="s">
        <v>62</v>
      </c>
      <c r="AV5249" s="6" t="str">
        <f>HYPERLINK("http://mcgill.on.worldcat.org/oclc/61690994","Catalog Record")</f>
        <v>Catalog Record</v>
      </c>
      <c r="AW5249" s="6" t="str">
        <f>HYPERLINK("http://www.worldcat.org/oclc/61690994","WorldCat Record")</f>
        <v>WorldCat Record</v>
      </c>
      <c r="AX5249" s="3" t="s">
        <v>50334</v>
      </c>
      <c r="AY5249" s="3" t="s">
        <v>50335</v>
      </c>
      <c r="AZ5249" s="3" t="s">
        <v>50336</v>
      </c>
      <c r="BA5249" s="3" t="s">
        <v>50336</v>
      </c>
      <c r="BB5249" s="3" t="s">
        <v>50342</v>
      </c>
      <c r="BC5249" s="3" t="s">
        <v>102</v>
      </c>
      <c r="BD5249" s="3" t="s">
        <v>68</v>
      </c>
      <c r="BE5249" s="3" t="s">
        <v>50338</v>
      </c>
      <c r="BF5249" s="3" t="s">
        <v>50342</v>
      </c>
      <c r="BG5249" s="3" t="s">
        <v>50343</v>
      </c>
    </row>
    <row r="5250" spans="1:59" ht="58" x14ac:dyDescent="0.35">
      <c r="A5250" s="2" t="s">
        <v>89</v>
      </c>
      <c r="B5250" s="2" t="s">
        <v>90</v>
      </c>
      <c r="C5250" s="2" t="s">
        <v>50330</v>
      </c>
      <c r="D5250" s="2" t="s">
        <v>50331</v>
      </c>
      <c r="E5250" s="2" t="s">
        <v>50332</v>
      </c>
      <c r="G5250" s="3" t="s">
        <v>62</v>
      </c>
      <c r="I5250" s="3" t="s">
        <v>61</v>
      </c>
      <c r="J5250" s="3" t="s">
        <v>61</v>
      </c>
      <c r="K5250" s="3" t="s">
        <v>63</v>
      </c>
      <c r="L5250" s="2" t="s">
        <v>49668</v>
      </c>
      <c r="M5250" s="2" t="s">
        <v>50333</v>
      </c>
      <c r="N5250" s="3" t="s">
        <v>2136</v>
      </c>
      <c r="P5250" s="3" t="s">
        <v>64</v>
      </c>
      <c r="R5250" s="3" t="s">
        <v>46535</v>
      </c>
      <c r="S5250" s="4">
        <v>50</v>
      </c>
      <c r="T5250" s="4">
        <v>94</v>
      </c>
      <c r="U5250" s="5" t="s">
        <v>1052</v>
      </c>
      <c r="V5250" s="5" t="s">
        <v>10070</v>
      </c>
      <c r="W5250" s="5" t="s">
        <v>67</v>
      </c>
      <c r="X5250" s="5" t="s">
        <v>67</v>
      </c>
      <c r="Y5250" s="4">
        <v>156</v>
      </c>
      <c r="Z5250" s="4">
        <v>12</v>
      </c>
      <c r="AA5250" s="4">
        <v>92</v>
      </c>
      <c r="AB5250" s="4">
        <v>1</v>
      </c>
      <c r="AC5250" s="4">
        <v>11</v>
      </c>
      <c r="AD5250" s="4">
        <v>21</v>
      </c>
      <c r="AE5250" s="4">
        <v>153</v>
      </c>
      <c r="AF5250" s="4">
        <v>0</v>
      </c>
      <c r="AG5250" s="4">
        <v>5</v>
      </c>
      <c r="AH5250" s="4">
        <v>17</v>
      </c>
      <c r="AI5250" s="4">
        <v>114</v>
      </c>
      <c r="AJ5250" s="4">
        <v>2</v>
      </c>
      <c r="AK5250" s="4">
        <v>24</v>
      </c>
      <c r="AL5250" s="4">
        <v>12</v>
      </c>
      <c r="AM5250" s="4">
        <v>60</v>
      </c>
      <c r="AN5250" s="4">
        <v>0</v>
      </c>
      <c r="AO5250" s="4">
        <v>0</v>
      </c>
      <c r="AP5250" s="4">
        <v>3</v>
      </c>
      <c r="AQ5250" s="4">
        <v>48</v>
      </c>
      <c r="AR5250" s="3" t="s">
        <v>62</v>
      </c>
      <c r="AS5250" s="3" t="s">
        <v>62</v>
      </c>
      <c r="AT5250" s="3" t="s">
        <v>62</v>
      </c>
      <c r="AV5250" s="6" t="str">
        <f>HYPERLINK("http://mcgill.on.worldcat.org/oclc/61690994","Catalog Record")</f>
        <v>Catalog Record</v>
      </c>
      <c r="AW5250" s="6" t="str">
        <f>HYPERLINK("http://www.worldcat.org/oclc/61690994","WorldCat Record")</f>
        <v>WorldCat Record</v>
      </c>
      <c r="AX5250" s="3" t="s">
        <v>50334</v>
      </c>
      <c r="AY5250" s="3" t="s">
        <v>50335</v>
      </c>
      <c r="AZ5250" s="3" t="s">
        <v>50336</v>
      </c>
      <c r="BA5250" s="3" t="s">
        <v>50336</v>
      </c>
      <c r="BB5250" s="3" t="s">
        <v>50344</v>
      </c>
      <c r="BC5250" s="3" t="s">
        <v>102</v>
      </c>
      <c r="BD5250" s="3" t="s">
        <v>68</v>
      </c>
      <c r="BE5250" s="3" t="s">
        <v>50338</v>
      </c>
      <c r="BF5250" s="3" t="s">
        <v>50344</v>
      </c>
      <c r="BG5250" s="3" t="s">
        <v>50345</v>
      </c>
    </row>
    <row r="5251" spans="1:59" ht="58" x14ac:dyDescent="0.35">
      <c r="A5251" s="2" t="s">
        <v>89</v>
      </c>
      <c r="B5251" s="2" t="s">
        <v>90</v>
      </c>
      <c r="C5251" s="2" t="s">
        <v>50346</v>
      </c>
      <c r="D5251" s="2" t="s">
        <v>50347</v>
      </c>
      <c r="E5251" s="2" t="s">
        <v>50348</v>
      </c>
      <c r="G5251" s="3" t="s">
        <v>62</v>
      </c>
      <c r="I5251" s="3" t="s">
        <v>61</v>
      </c>
      <c r="J5251" s="3" t="s">
        <v>62</v>
      </c>
      <c r="K5251" s="3" t="s">
        <v>63</v>
      </c>
      <c r="L5251" s="2" t="s">
        <v>49668</v>
      </c>
      <c r="M5251" s="2" t="s">
        <v>50349</v>
      </c>
      <c r="N5251" s="3" t="s">
        <v>625</v>
      </c>
      <c r="O5251" s="2" t="s">
        <v>2163</v>
      </c>
      <c r="P5251" s="3" t="s">
        <v>64</v>
      </c>
      <c r="R5251" s="3" t="s">
        <v>46535</v>
      </c>
      <c r="S5251" s="4">
        <v>59</v>
      </c>
      <c r="T5251" s="4">
        <v>65</v>
      </c>
      <c r="U5251" s="5" t="s">
        <v>49868</v>
      </c>
      <c r="V5251" s="5" t="s">
        <v>49868</v>
      </c>
      <c r="W5251" s="5" t="s">
        <v>67</v>
      </c>
      <c r="X5251" s="5" t="s">
        <v>67</v>
      </c>
      <c r="Y5251" s="4">
        <v>1406</v>
      </c>
      <c r="Z5251" s="4">
        <v>57</v>
      </c>
      <c r="AA5251" s="4">
        <v>64</v>
      </c>
      <c r="AB5251" s="4">
        <v>5</v>
      </c>
      <c r="AC5251" s="4">
        <v>9</v>
      </c>
      <c r="AD5251" s="4">
        <v>123</v>
      </c>
      <c r="AE5251" s="4">
        <v>127</v>
      </c>
      <c r="AF5251" s="4">
        <v>2</v>
      </c>
      <c r="AG5251" s="4">
        <v>3</v>
      </c>
      <c r="AH5251" s="4">
        <v>101</v>
      </c>
      <c r="AI5251" s="4">
        <v>103</v>
      </c>
      <c r="AJ5251" s="4">
        <v>16</v>
      </c>
      <c r="AK5251" s="4">
        <v>19</v>
      </c>
      <c r="AL5251" s="4">
        <v>54</v>
      </c>
      <c r="AM5251" s="4">
        <v>54</v>
      </c>
      <c r="AN5251" s="4">
        <v>0</v>
      </c>
      <c r="AO5251" s="4">
        <v>0</v>
      </c>
      <c r="AP5251" s="4">
        <v>27</v>
      </c>
      <c r="AQ5251" s="4">
        <v>31</v>
      </c>
      <c r="AR5251" s="3" t="s">
        <v>62</v>
      </c>
      <c r="AS5251" s="3" t="s">
        <v>62</v>
      </c>
      <c r="AT5251" s="3" t="s">
        <v>61</v>
      </c>
      <c r="AU5251" s="6" t="str">
        <f>HYPERLINK("http://catalog.hathitrust.org/Record/004301847","HathiTrust Record")</f>
        <v>HathiTrust Record</v>
      </c>
      <c r="AV5251" s="6" t="str">
        <f>HYPERLINK("http://mcgill.on.worldcat.org/oclc/50203846","Catalog Record")</f>
        <v>Catalog Record</v>
      </c>
      <c r="AW5251" s="6" t="str">
        <f>HYPERLINK("http://www.worldcat.org/oclc/50203846","WorldCat Record")</f>
        <v>WorldCat Record</v>
      </c>
      <c r="AX5251" s="3" t="s">
        <v>50350</v>
      </c>
      <c r="AY5251" s="3" t="s">
        <v>50351</v>
      </c>
      <c r="AZ5251" s="3" t="s">
        <v>50352</v>
      </c>
      <c r="BA5251" s="3" t="s">
        <v>50352</v>
      </c>
      <c r="BB5251" s="3" t="s">
        <v>50353</v>
      </c>
      <c r="BC5251" s="3" t="s">
        <v>102</v>
      </c>
      <c r="BD5251" s="3" t="s">
        <v>231</v>
      </c>
      <c r="BE5251" s="3" t="s">
        <v>50354</v>
      </c>
      <c r="BF5251" s="3" t="s">
        <v>50353</v>
      </c>
      <c r="BG5251" s="3" t="s">
        <v>50355</v>
      </c>
    </row>
    <row r="5252" spans="1:59" ht="58" x14ac:dyDescent="0.35">
      <c r="A5252" s="2" t="s">
        <v>89</v>
      </c>
      <c r="B5252" s="2" t="s">
        <v>90</v>
      </c>
      <c r="C5252" s="2" t="s">
        <v>50356</v>
      </c>
      <c r="D5252" s="2" t="s">
        <v>50357</v>
      </c>
      <c r="E5252" s="2" t="s">
        <v>50358</v>
      </c>
      <c r="G5252" s="3" t="s">
        <v>62</v>
      </c>
      <c r="I5252" s="3" t="s">
        <v>61</v>
      </c>
      <c r="J5252" s="3" t="s">
        <v>61</v>
      </c>
      <c r="K5252" s="3" t="s">
        <v>25097</v>
      </c>
      <c r="L5252" s="2" t="s">
        <v>34571</v>
      </c>
      <c r="M5252" s="2" t="s">
        <v>50359</v>
      </c>
      <c r="N5252" s="3" t="s">
        <v>50360</v>
      </c>
      <c r="P5252" s="3" t="s">
        <v>64</v>
      </c>
      <c r="R5252" s="3" t="s">
        <v>46535</v>
      </c>
      <c r="S5252" s="4">
        <v>23</v>
      </c>
      <c r="T5252" s="4">
        <v>26</v>
      </c>
      <c r="U5252" s="5" t="s">
        <v>5909</v>
      </c>
      <c r="V5252" s="5" t="s">
        <v>32559</v>
      </c>
      <c r="W5252" s="5" t="s">
        <v>67</v>
      </c>
      <c r="X5252" s="5" t="s">
        <v>67</v>
      </c>
      <c r="Y5252" s="4">
        <v>302</v>
      </c>
      <c r="Z5252" s="4">
        <v>21</v>
      </c>
      <c r="AA5252" s="4">
        <v>109</v>
      </c>
      <c r="AB5252" s="4">
        <v>2</v>
      </c>
      <c r="AC5252" s="4">
        <v>14</v>
      </c>
      <c r="AD5252" s="4">
        <v>88</v>
      </c>
      <c r="AE5252" s="4">
        <v>170</v>
      </c>
      <c r="AF5252" s="4">
        <v>1</v>
      </c>
      <c r="AG5252" s="4">
        <v>6</v>
      </c>
      <c r="AH5252" s="4">
        <v>79</v>
      </c>
      <c r="AI5252" s="4">
        <v>121</v>
      </c>
      <c r="AJ5252" s="4">
        <v>12</v>
      </c>
      <c r="AK5252" s="4">
        <v>29</v>
      </c>
      <c r="AL5252" s="4">
        <v>45</v>
      </c>
      <c r="AM5252" s="4">
        <v>65</v>
      </c>
      <c r="AN5252" s="4">
        <v>0</v>
      </c>
      <c r="AO5252" s="4">
        <v>9</v>
      </c>
      <c r="AP5252" s="4">
        <v>16</v>
      </c>
      <c r="AQ5252" s="4">
        <v>53</v>
      </c>
      <c r="AR5252" s="3" t="s">
        <v>62</v>
      </c>
      <c r="AS5252" s="3" t="s">
        <v>62</v>
      </c>
      <c r="AT5252" s="3" t="s">
        <v>62</v>
      </c>
      <c r="AV5252" s="6" t="str">
        <f>HYPERLINK("http://mcgill.on.worldcat.org/oclc/1102785","Catalog Record")</f>
        <v>Catalog Record</v>
      </c>
      <c r="AW5252" s="6" t="str">
        <f>HYPERLINK("http://www.worldcat.org/oclc/1102785","WorldCat Record")</f>
        <v>WorldCat Record</v>
      </c>
      <c r="AX5252" s="3" t="s">
        <v>50361</v>
      </c>
      <c r="AY5252" s="3" t="s">
        <v>50362</v>
      </c>
      <c r="AZ5252" s="3" t="s">
        <v>50363</v>
      </c>
      <c r="BA5252" s="3" t="s">
        <v>50363</v>
      </c>
      <c r="BB5252" s="3" t="s">
        <v>50364</v>
      </c>
      <c r="BC5252" s="3" t="s">
        <v>102</v>
      </c>
      <c r="BD5252" s="3" t="s">
        <v>68</v>
      </c>
      <c r="BF5252" s="3" t="s">
        <v>50364</v>
      </c>
      <c r="BG5252" s="3" t="s">
        <v>50365</v>
      </c>
    </row>
    <row r="5253" spans="1:59" ht="58" x14ac:dyDescent="0.35">
      <c r="A5253" s="2" t="s">
        <v>89</v>
      </c>
      <c r="B5253" s="2" t="s">
        <v>90</v>
      </c>
      <c r="C5253" s="2" t="s">
        <v>50366</v>
      </c>
      <c r="D5253" s="2" t="s">
        <v>50367</v>
      </c>
      <c r="E5253" s="2" t="s">
        <v>50368</v>
      </c>
      <c r="G5253" s="3" t="s">
        <v>62</v>
      </c>
      <c r="I5253" s="3" t="s">
        <v>62</v>
      </c>
      <c r="J5253" s="3" t="s">
        <v>62</v>
      </c>
      <c r="K5253" s="3" t="s">
        <v>63</v>
      </c>
      <c r="M5253" s="2" t="s">
        <v>50369</v>
      </c>
      <c r="N5253" s="3" t="s">
        <v>115</v>
      </c>
      <c r="P5253" s="3" t="s">
        <v>64</v>
      </c>
      <c r="Q5253" s="2" t="s">
        <v>50370</v>
      </c>
      <c r="R5253" s="3" t="s">
        <v>46535</v>
      </c>
      <c r="S5253" s="4">
        <v>23</v>
      </c>
      <c r="T5253" s="4">
        <v>23</v>
      </c>
      <c r="U5253" s="5" t="s">
        <v>16979</v>
      </c>
      <c r="V5253" s="5" t="s">
        <v>16979</v>
      </c>
      <c r="W5253" s="5" t="s">
        <v>67</v>
      </c>
      <c r="X5253" s="5" t="s">
        <v>67</v>
      </c>
      <c r="Y5253" s="4">
        <v>242</v>
      </c>
      <c r="Z5253" s="4">
        <v>21</v>
      </c>
      <c r="AA5253" s="4">
        <v>25</v>
      </c>
      <c r="AB5253" s="4">
        <v>3</v>
      </c>
      <c r="AC5253" s="4">
        <v>7</v>
      </c>
      <c r="AD5253" s="4">
        <v>84</v>
      </c>
      <c r="AE5253" s="4">
        <v>87</v>
      </c>
      <c r="AF5253" s="4">
        <v>1</v>
      </c>
      <c r="AG5253" s="4">
        <v>4</v>
      </c>
      <c r="AH5253" s="4">
        <v>73</v>
      </c>
      <c r="AI5253" s="4">
        <v>74</v>
      </c>
      <c r="AJ5253" s="4">
        <v>14</v>
      </c>
      <c r="AK5253" s="4">
        <v>17</v>
      </c>
      <c r="AL5253" s="4">
        <v>45</v>
      </c>
      <c r="AM5253" s="4">
        <v>45</v>
      </c>
      <c r="AN5253" s="4">
        <v>0</v>
      </c>
      <c r="AO5253" s="4">
        <v>0</v>
      </c>
      <c r="AP5253" s="4">
        <v>17</v>
      </c>
      <c r="AQ5253" s="4">
        <v>19</v>
      </c>
      <c r="AR5253" s="3" t="s">
        <v>62</v>
      </c>
      <c r="AS5253" s="3" t="s">
        <v>62</v>
      </c>
      <c r="AT5253" s="3" t="s">
        <v>61</v>
      </c>
      <c r="AU5253" s="6" t="str">
        <f>HYPERLINK("http://catalog.hathitrust.org/Record/001103508","HathiTrust Record")</f>
        <v>HathiTrust Record</v>
      </c>
      <c r="AV5253" s="6" t="str">
        <f>HYPERLINK("http://mcgill.on.worldcat.org/oclc/18291288","Catalog Record")</f>
        <v>Catalog Record</v>
      </c>
      <c r="AW5253" s="6" t="str">
        <f>HYPERLINK("http://www.worldcat.org/oclc/18291288","WorldCat Record")</f>
        <v>WorldCat Record</v>
      </c>
      <c r="AX5253" s="3" t="s">
        <v>50371</v>
      </c>
      <c r="AY5253" s="3" t="s">
        <v>50372</v>
      </c>
      <c r="AZ5253" s="3" t="s">
        <v>50373</v>
      </c>
      <c r="BA5253" s="3" t="s">
        <v>50373</v>
      </c>
      <c r="BB5253" s="3" t="s">
        <v>50374</v>
      </c>
      <c r="BC5253" s="3" t="s">
        <v>102</v>
      </c>
      <c r="BD5253" s="3" t="s">
        <v>68</v>
      </c>
      <c r="BE5253" s="3" t="s">
        <v>50375</v>
      </c>
      <c r="BF5253" s="3" t="s">
        <v>50374</v>
      </c>
      <c r="BG5253" s="3" t="s">
        <v>50376</v>
      </c>
    </row>
    <row r="5254" spans="1:59" ht="58" x14ac:dyDescent="0.35">
      <c r="A5254" s="2" t="s">
        <v>89</v>
      </c>
      <c r="B5254" s="2" t="s">
        <v>90</v>
      </c>
      <c r="C5254" s="2" t="s">
        <v>50377</v>
      </c>
      <c r="D5254" s="2" t="s">
        <v>50378</v>
      </c>
      <c r="E5254" s="2" t="s">
        <v>50379</v>
      </c>
      <c r="G5254" s="3" t="s">
        <v>62</v>
      </c>
      <c r="I5254" s="3" t="s">
        <v>62</v>
      </c>
      <c r="J5254" s="3" t="s">
        <v>62</v>
      </c>
      <c r="K5254" s="3" t="s">
        <v>63</v>
      </c>
      <c r="L5254" s="2" t="s">
        <v>50380</v>
      </c>
      <c r="M5254" s="2" t="s">
        <v>50381</v>
      </c>
      <c r="N5254" s="3" t="s">
        <v>2000</v>
      </c>
      <c r="P5254" s="3" t="s">
        <v>64</v>
      </c>
      <c r="R5254" s="3" t="s">
        <v>46535</v>
      </c>
      <c r="S5254" s="4">
        <v>65</v>
      </c>
      <c r="T5254" s="4">
        <v>65</v>
      </c>
      <c r="U5254" s="5" t="s">
        <v>5681</v>
      </c>
      <c r="V5254" s="5" t="s">
        <v>5681</v>
      </c>
      <c r="W5254" s="5" t="s">
        <v>67</v>
      </c>
      <c r="X5254" s="5" t="s">
        <v>67</v>
      </c>
      <c r="Y5254" s="4">
        <v>1042</v>
      </c>
      <c r="Z5254" s="4">
        <v>51</v>
      </c>
      <c r="AA5254" s="4">
        <v>74</v>
      </c>
      <c r="AB5254" s="4">
        <v>4</v>
      </c>
      <c r="AC5254" s="4">
        <v>12</v>
      </c>
      <c r="AD5254" s="4">
        <v>110</v>
      </c>
      <c r="AE5254" s="4">
        <v>132</v>
      </c>
      <c r="AF5254" s="4">
        <v>1</v>
      </c>
      <c r="AG5254" s="4">
        <v>5</v>
      </c>
      <c r="AH5254" s="4">
        <v>87</v>
      </c>
      <c r="AI5254" s="4">
        <v>98</v>
      </c>
      <c r="AJ5254" s="4">
        <v>14</v>
      </c>
      <c r="AK5254" s="4">
        <v>23</v>
      </c>
      <c r="AL5254" s="4">
        <v>48</v>
      </c>
      <c r="AM5254" s="4">
        <v>54</v>
      </c>
      <c r="AN5254" s="4">
        <v>0</v>
      </c>
      <c r="AO5254" s="4">
        <v>0</v>
      </c>
      <c r="AP5254" s="4">
        <v>26</v>
      </c>
      <c r="AQ5254" s="4">
        <v>38</v>
      </c>
      <c r="AR5254" s="3" t="s">
        <v>62</v>
      </c>
      <c r="AS5254" s="3" t="s">
        <v>62</v>
      </c>
      <c r="AT5254" s="3" t="s">
        <v>61</v>
      </c>
      <c r="AU5254" s="6" t="str">
        <f>HYPERLINK("http://catalog.hathitrust.org/Record/003104233","HathiTrust Record")</f>
        <v>HathiTrust Record</v>
      </c>
      <c r="AV5254" s="6" t="str">
        <f>HYPERLINK("http://mcgill.on.worldcat.org/oclc/34849729","Catalog Record")</f>
        <v>Catalog Record</v>
      </c>
      <c r="AW5254" s="6" t="str">
        <f>HYPERLINK("http://www.worldcat.org/oclc/34849729","WorldCat Record")</f>
        <v>WorldCat Record</v>
      </c>
      <c r="AX5254" s="3" t="s">
        <v>50382</v>
      </c>
      <c r="AY5254" s="3" t="s">
        <v>50383</v>
      </c>
      <c r="AZ5254" s="3" t="s">
        <v>50384</v>
      </c>
      <c r="BA5254" s="3" t="s">
        <v>50384</v>
      </c>
      <c r="BB5254" s="3" t="s">
        <v>50385</v>
      </c>
      <c r="BC5254" s="3" t="s">
        <v>102</v>
      </c>
      <c r="BD5254" s="3" t="s">
        <v>231</v>
      </c>
      <c r="BE5254" s="3" t="s">
        <v>50386</v>
      </c>
      <c r="BF5254" s="3" t="s">
        <v>50385</v>
      </c>
      <c r="BG5254" s="3" t="s">
        <v>50387</v>
      </c>
    </row>
    <row r="5255" spans="1:59" ht="58" x14ac:dyDescent="0.35">
      <c r="A5255" s="2" t="s">
        <v>89</v>
      </c>
      <c r="B5255" s="2" t="s">
        <v>90</v>
      </c>
      <c r="C5255" s="2" t="s">
        <v>50388</v>
      </c>
      <c r="D5255" s="2" t="s">
        <v>50389</v>
      </c>
      <c r="E5255" s="2" t="s">
        <v>50390</v>
      </c>
      <c r="G5255" s="3" t="s">
        <v>62</v>
      </c>
      <c r="I5255" s="3" t="s">
        <v>62</v>
      </c>
      <c r="J5255" s="3" t="s">
        <v>62</v>
      </c>
      <c r="K5255" s="3" t="s">
        <v>63</v>
      </c>
      <c r="M5255" s="2" t="s">
        <v>50391</v>
      </c>
      <c r="N5255" s="3" t="s">
        <v>684</v>
      </c>
      <c r="O5255" s="2" t="s">
        <v>2163</v>
      </c>
      <c r="P5255" s="3" t="s">
        <v>64</v>
      </c>
      <c r="R5255" s="3" t="s">
        <v>46535</v>
      </c>
      <c r="S5255" s="4">
        <v>4</v>
      </c>
      <c r="T5255" s="4">
        <v>4</v>
      </c>
      <c r="U5255" s="5" t="s">
        <v>20644</v>
      </c>
      <c r="V5255" s="5" t="s">
        <v>20644</v>
      </c>
      <c r="W5255" s="5" t="s">
        <v>67</v>
      </c>
      <c r="X5255" s="5" t="s">
        <v>67</v>
      </c>
      <c r="Y5255" s="4">
        <v>292</v>
      </c>
      <c r="Z5255" s="4">
        <v>32</v>
      </c>
      <c r="AA5255" s="4">
        <v>46</v>
      </c>
      <c r="AB5255" s="4">
        <v>2</v>
      </c>
      <c r="AC5255" s="4">
        <v>9</v>
      </c>
      <c r="AD5255" s="4">
        <v>73</v>
      </c>
      <c r="AE5255" s="4">
        <v>92</v>
      </c>
      <c r="AF5255" s="4">
        <v>1</v>
      </c>
      <c r="AG5255" s="4">
        <v>5</v>
      </c>
      <c r="AH5255" s="4">
        <v>57</v>
      </c>
      <c r="AI5255" s="4">
        <v>69</v>
      </c>
      <c r="AJ5255" s="4">
        <v>16</v>
      </c>
      <c r="AK5255" s="4">
        <v>23</v>
      </c>
      <c r="AL5255" s="4">
        <v>28</v>
      </c>
      <c r="AM5255" s="4">
        <v>34</v>
      </c>
      <c r="AN5255" s="4">
        <v>0</v>
      </c>
      <c r="AO5255" s="4">
        <v>0</v>
      </c>
      <c r="AP5255" s="4">
        <v>24</v>
      </c>
      <c r="AQ5255" s="4">
        <v>33</v>
      </c>
      <c r="AR5255" s="3" t="s">
        <v>62</v>
      </c>
      <c r="AS5255" s="3" t="s">
        <v>62</v>
      </c>
      <c r="AT5255" s="3" t="s">
        <v>61</v>
      </c>
      <c r="AU5255" s="6" t="str">
        <f>HYPERLINK("http://catalog.hathitrust.org/Record/010389918","HathiTrust Record")</f>
        <v>HathiTrust Record</v>
      </c>
      <c r="AV5255" s="6" t="str">
        <f>HYPERLINK("http://mcgill.on.worldcat.org/oclc/559648854","Catalog Record")</f>
        <v>Catalog Record</v>
      </c>
      <c r="AW5255" s="6" t="str">
        <f>HYPERLINK("http://www.worldcat.org/oclc/559648854","WorldCat Record")</f>
        <v>WorldCat Record</v>
      </c>
      <c r="AX5255" s="3" t="s">
        <v>50392</v>
      </c>
      <c r="AY5255" s="3" t="s">
        <v>50393</v>
      </c>
      <c r="AZ5255" s="3" t="s">
        <v>50394</v>
      </c>
      <c r="BA5255" s="3" t="s">
        <v>50394</v>
      </c>
      <c r="BB5255" s="3" t="s">
        <v>50395</v>
      </c>
      <c r="BC5255" s="3" t="s">
        <v>102</v>
      </c>
      <c r="BD5255" s="3" t="s">
        <v>68</v>
      </c>
      <c r="BE5255" s="3" t="s">
        <v>50396</v>
      </c>
      <c r="BF5255" s="3" t="s">
        <v>50395</v>
      </c>
      <c r="BG5255" s="3" t="s">
        <v>50397</v>
      </c>
    </row>
    <row r="5256" spans="1:59" ht="58" x14ac:dyDescent="0.35">
      <c r="A5256" s="2" t="s">
        <v>89</v>
      </c>
      <c r="B5256" s="2" t="s">
        <v>90</v>
      </c>
      <c r="C5256" s="2" t="s">
        <v>50398</v>
      </c>
      <c r="D5256" s="2" t="s">
        <v>50399</v>
      </c>
      <c r="E5256" s="2" t="s">
        <v>50400</v>
      </c>
      <c r="G5256" s="3" t="s">
        <v>62</v>
      </c>
      <c r="I5256" s="3" t="s">
        <v>62</v>
      </c>
      <c r="J5256" s="3" t="s">
        <v>62</v>
      </c>
      <c r="K5256" s="3" t="s">
        <v>63</v>
      </c>
      <c r="L5256" s="2" t="s">
        <v>50401</v>
      </c>
      <c r="M5256" s="2" t="s">
        <v>39001</v>
      </c>
      <c r="N5256" s="3" t="s">
        <v>81</v>
      </c>
      <c r="P5256" s="3" t="s">
        <v>64</v>
      </c>
      <c r="R5256" s="3" t="s">
        <v>46535</v>
      </c>
      <c r="S5256" s="4">
        <v>14</v>
      </c>
      <c r="T5256" s="4">
        <v>14</v>
      </c>
      <c r="U5256" s="5" t="s">
        <v>20644</v>
      </c>
      <c r="V5256" s="5" t="s">
        <v>20644</v>
      </c>
      <c r="W5256" s="5" t="s">
        <v>67</v>
      </c>
      <c r="X5256" s="5" t="s">
        <v>67</v>
      </c>
      <c r="Y5256" s="4">
        <v>528</v>
      </c>
      <c r="Z5256" s="4">
        <v>35</v>
      </c>
      <c r="AA5256" s="4">
        <v>41</v>
      </c>
      <c r="AB5256" s="4">
        <v>2</v>
      </c>
      <c r="AC5256" s="4">
        <v>7</v>
      </c>
      <c r="AD5256" s="4">
        <v>110</v>
      </c>
      <c r="AE5256" s="4">
        <v>117</v>
      </c>
      <c r="AF5256" s="4">
        <v>1</v>
      </c>
      <c r="AG5256" s="4">
        <v>4</v>
      </c>
      <c r="AH5256" s="4">
        <v>89</v>
      </c>
      <c r="AI5256" s="4">
        <v>92</v>
      </c>
      <c r="AJ5256" s="4">
        <v>18</v>
      </c>
      <c r="AK5256" s="4">
        <v>21</v>
      </c>
      <c r="AL5256" s="4">
        <v>49</v>
      </c>
      <c r="AM5256" s="4">
        <v>51</v>
      </c>
      <c r="AN5256" s="4">
        <v>0</v>
      </c>
      <c r="AO5256" s="4">
        <v>0</v>
      </c>
      <c r="AP5256" s="4">
        <v>28</v>
      </c>
      <c r="AQ5256" s="4">
        <v>31</v>
      </c>
      <c r="AR5256" s="3" t="s">
        <v>62</v>
      </c>
      <c r="AS5256" s="3" t="s">
        <v>62</v>
      </c>
      <c r="AT5256" s="3" t="s">
        <v>61</v>
      </c>
      <c r="AU5256" s="6" t="str">
        <f>HYPERLINK("http://catalog.hathitrust.org/Record/001554918","HathiTrust Record")</f>
        <v>HathiTrust Record</v>
      </c>
      <c r="AV5256" s="6" t="str">
        <f>HYPERLINK("http://mcgill.on.worldcat.org/oclc/438500","Catalog Record")</f>
        <v>Catalog Record</v>
      </c>
      <c r="AW5256" s="6" t="str">
        <f>HYPERLINK("http://www.worldcat.org/oclc/438500","WorldCat Record")</f>
        <v>WorldCat Record</v>
      </c>
      <c r="AX5256" s="3" t="s">
        <v>50402</v>
      </c>
      <c r="AY5256" s="3" t="s">
        <v>50403</v>
      </c>
      <c r="AZ5256" s="3" t="s">
        <v>50404</v>
      </c>
      <c r="BA5256" s="3" t="s">
        <v>50404</v>
      </c>
      <c r="BB5256" s="3" t="s">
        <v>50405</v>
      </c>
      <c r="BC5256" s="3" t="s">
        <v>102</v>
      </c>
      <c r="BD5256" s="3" t="s">
        <v>68</v>
      </c>
      <c r="BF5256" s="3" t="s">
        <v>50405</v>
      </c>
      <c r="BG5256" s="3" t="s">
        <v>50406</v>
      </c>
    </row>
    <row r="5257" spans="1:59" ht="58" x14ac:dyDescent="0.35">
      <c r="A5257" s="2" t="s">
        <v>89</v>
      </c>
      <c r="B5257" s="2" t="s">
        <v>90</v>
      </c>
      <c r="C5257" s="2" t="s">
        <v>50407</v>
      </c>
      <c r="D5257" s="2" t="s">
        <v>50408</v>
      </c>
      <c r="E5257" s="2" t="s">
        <v>50409</v>
      </c>
      <c r="G5257" s="3" t="s">
        <v>62</v>
      </c>
      <c r="I5257" s="3" t="s">
        <v>62</v>
      </c>
      <c r="J5257" s="3" t="s">
        <v>62</v>
      </c>
      <c r="K5257" s="3" t="s">
        <v>63</v>
      </c>
      <c r="L5257" s="2" t="s">
        <v>50380</v>
      </c>
      <c r="M5257" s="2" t="s">
        <v>50410</v>
      </c>
      <c r="N5257" s="3" t="s">
        <v>596</v>
      </c>
      <c r="P5257" s="3" t="s">
        <v>64</v>
      </c>
      <c r="R5257" s="3" t="s">
        <v>46535</v>
      </c>
      <c r="S5257" s="4">
        <v>38</v>
      </c>
      <c r="T5257" s="4">
        <v>38</v>
      </c>
      <c r="U5257" s="5" t="s">
        <v>37389</v>
      </c>
      <c r="V5257" s="5" t="s">
        <v>37389</v>
      </c>
      <c r="W5257" s="5" t="s">
        <v>67</v>
      </c>
      <c r="X5257" s="5" t="s">
        <v>67</v>
      </c>
      <c r="Y5257" s="4">
        <v>982</v>
      </c>
      <c r="Z5257" s="4">
        <v>47</v>
      </c>
      <c r="AA5257" s="4">
        <v>57</v>
      </c>
      <c r="AB5257" s="4">
        <v>6</v>
      </c>
      <c r="AC5257" s="4">
        <v>9</v>
      </c>
      <c r="AD5257" s="4">
        <v>117</v>
      </c>
      <c r="AE5257" s="4">
        <v>125</v>
      </c>
      <c r="AF5257" s="4">
        <v>1</v>
      </c>
      <c r="AG5257" s="4">
        <v>2</v>
      </c>
      <c r="AH5257" s="4">
        <v>96</v>
      </c>
      <c r="AI5257" s="4">
        <v>101</v>
      </c>
      <c r="AJ5257" s="4">
        <v>18</v>
      </c>
      <c r="AK5257" s="4">
        <v>21</v>
      </c>
      <c r="AL5257" s="4">
        <v>55</v>
      </c>
      <c r="AM5257" s="4">
        <v>58</v>
      </c>
      <c r="AN5257" s="4">
        <v>0</v>
      </c>
      <c r="AO5257" s="4">
        <v>0</v>
      </c>
      <c r="AP5257" s="4">
        <v>26</v>
      </c>
      <c r="AQ5257" s="4">
        <v>29</v>
      </c>
      <c r="AR5257" s="3" t="s">
        <v>62</v>
      </c>
      <c r="AS5257" s="3" t="s">
        <v>62</v>
      </c>
      <c r="AT5257" s="3" t="s">
        <v>61</v>
      </c>
      <c r="AU5257" s="6" t="str">
        <f>HYPERLINK("http://catalog.hathitrust.org/Record/004219388","HathiTrust Record")</f>
        <v>HathiTrust Record</v>
      </c>
      <c r="AV5257" s="6" t="str">
        <f>HYPERLINK("http://mcgill.on.worldcat.org/oclc/47282876","Catalog Record")</f>
        <v>Catalog Record</v>
      </c>
      <c r="AW5257" s="6" t="str">
        <f>HYPERLINK("http://www.worldcat.org/oclc/47282876","WorldCat Record")</f>
        <v>WorldCat Record</v>
      </c>
      <c r="AX5257" s="3" t="s">
        <v>50411</v>
      </c>
      <c r="AY5257" s="3" t="s">
        <v>50412</v>
      </c>
      <c r="AZ5257" s="3" t="s">
        <v>50413</v>
      </c>
      <c r="BA5257" s="3" t="s">
        <v>50413</v>
      </c>
      <c r="BB5257" s="3" t="s">
        <v>50414</v>
      </c>
      <c r="BC5257" s="3" t="s">
        <v>102</v>
      </c>
      <c r="BD5257" s="3" t="s">
        <v>68</v>
      </c>
      <c r="BE5257" s="3" t="s">
        <v>50415</v>
      </c>
      <c r="BF5257" s="3" t="s">
        <v>50414</v>
      </c>
      <c r="BG5257" s="3" t="s">
        <v>50416</v>
      </c>
    </row>
    <row r="5258" spans="1:59" ht="58" x14ac:dyDescent="0.35">
      <c r="A5258" s="2" t="s">
        <v>89</v>
      </c>
      <c r="B5258" s="2" t="s">
        <v>90</v>
      </c>
      <c r="C5258" s="2" t="s">
        <v>50417</v>
      </c>
      <c r="D5258" s="2" t="s">
        <v>50418</v>
      </c>
      <c r="E5258" s="2" t="s">
        <v>50419</v>
      </c>
      <c r="G5258" s="3" t="s">
        <v>62</v>
      </c>
      <c r="I5258" s="3" t="s">
        <v>62</v>
      </c>
      <c r="J5258" s="3" t="s">
        <v>62</v>
      </c>
      <c r="K5258" s="3" t="s">
        <v>63</v>
      </c>
      <c r="M5258" s="2" t="s">
        <v>50420</v>
      </c>
      <c r="N5258" s="3" t="s">
        <v>481</v>
      </c>
      <c r="P5258" s="3" t="s">
        <v>64</v>
      </c>
      <c r="R5258" s="3" t="s">
        <v>46535</v>
      </c>
      <c r="S5258" s="4">
        <v>22</v>
      </c>
      <c r="T5258" s="4">
        <v>22</v>
      </c>
      <c r="U5258" s="5" t="s">
        <v>7448</v>
      </c>
      <c r="V5258" s="5" t="s">
        <v>7448</v>
      </c>
      <c r="W5258" s="5" t="s">
        <v>67</v>
      </c>
      <c r="X5258" s="5" t="s">
        <v>67</v>
      </c>
      <c r="Y5258" s="4">
        <v>188</v>
      </c>
      <c r="Z5258" s="4">
        <v>11</v>
      </c>
      <c r="AA5258" s="4">
        <v>15</v>
      </c>
      <c r="AB5258" s="4">
        <v>2</v>
      </c>
      <c r="AC5258" s="4">
        <v>5</v>
      </c>
      <c r="AD5258" s="4">
        <v>77</v>
      </c>
      <c r="AE5258" s="4">
        <v>79</v>
      </c>
      <c r="AF5258" s="4">
        <v>1</v>
      </c>
      <c r="AG5258" s="4">
        <v>1</v>
      </c>
      <c r="AH5258" s="4">
        <v>72</v>
      </c>
      <c r="AI5258" s="4">
        <v>73</v>
      </c>
      <c r="AJ5258" s="4">
        <v>9</v>
      </c>
      <c r="AK5258" s="4">
        <v>9</v>
      </c>
      <c r="AL5258" s="4">
        <v>43</v>
      </c>
      <c r="AM5258" s="4">
        <v>43</v>
      </c>
      <c r="AN5258" s="4">
        <v>0</v>
      </c>
      <c r="AO5258" s="4">
        <v>0</v>
      </c>
      <c r="AP5258" s="4">
        <v>8</v>
      </c>
      <c r="AQ5258" s="4">
        <v>9</v>
      </c>
      <c r="AR5258" s="3" t="s">
        <v>62</v>
      </c>
      <c r="AS5258" s="3" t="s">
        <v>62</v>
      </c>
      <c r="AT5258" s="3" t="s">
        <v>62</v>
      </c>
      <c r="AV5258" s="6" t="str">
        <f>HYPERLINK("http://mcgill.on.worldcat.org/oclc/35110325","Catalog Record")</f>
        <v>Catalog Record</v>
      </c>
      <c r="AW5258" s="6" t="str">
        <f>HYPERLINK("http://www.worldcat.org/oclc/35110325","WorldCat Record")</f>
        <v>WorldCat Record</v>
      </c>
      <c r="AX5258" s="3" t="s">
        <v>50421</v>
      </c>
      <c r="AY5258" s="3" t="s">
        <v>50422</v>
      </c>
      <c r="AZ5258" s="3" t="s">
        <v>50423</v>
      </c>
      <c r="BA5258" s="3" t="s">
        <v>50423</v>
      </c>
      <c r="BB5258" s="3" t="s">
        <v>50424</v>
      </c>
      <c r="BC5258" s="3" t="s">
        <v>102</v>
      </c>
      <c r="BD5258" s="3" t="s">
        <v>68</v>
      </c>
      <c r="BE5258" s="3" t="s">
        <v>50425</v>
      </c>
      <c r="BF5258" s="3" t="s">
        <v>50424</v>
      </c>
      <c r="BG5258" s="3" t="s">
        <v>50426</v>
      </c>
    </row>
    <row r="5259" spans="1:59" ht="58" x14ac:dyDescent="0.35">
      <c r="A5259" s="2" t="s">
        <v>89</v>
      </c>
      <c r="B5259" s="2" t="s">
        <v>90</v>
      </c>
      <c r="C5259" s="2" t="s">
        <v>50427</v>
      </c>
      <c r="D5259" s="2" t="s">
        <v>50428</v>
      </c>
      <c r="E5259" s="2" t="s">
        <v>50429</v>
      </c>
      <c r="G5259" s="3" t="s">
        <v>62</v>
      </c>
      <c r="I5259" s="3" t="s">
        <v>62</v>
      </c>
      <c r="J5259" s="3" t="s">
        <v>62</v>
      </c>
      <c r="K5259" s="3" t="s">
        <v>63</v>
      </c>
      <c r="M5259" s="2" t="s">
        <v>50430</v>
      </c>
      <c r="N5259" s="3" t="s">
        <v>2000</v>
      </c>
      <c r="P5259" s="3" t="s">
        <v>64</v>
      </c>
      <c r="R5259" s="3" t="s">
        <v>46535</v>
      </c>
      <c r="S5259" s="4">
        <v>55</v>
      </c>
      <c r="T5259" s="4">
        <v>55</v>
      </c>
      <c r="U5259" s="5" t="s">
        <v>7448</v>
      </c>
      <c r="V5259" s="5" t="s">
        <v>7448</v>
      </c>
      <c r="W5259" s="5" t="s">
        <v>67</v>
      </c>
      <c r="X5259" s="5" t="s">
        <v>67</v>
      </c>
      <c r="Y5259" s="4">
        <v>384</v>
      </c>
      <c r="Z5259" s="4">
        <v>16</v>
      </c>
      <c r="AA5259" s="4">
        <v>18</v>
      </c>
      <c r="AB5259" s="4">
        <v>2</v>
      </c>
      <c r="AC5259" s="4">
        <v>4</v>
      </c>
      <c r="AD5259" s="4">
        <v>91</v>
      </c>
      <c r="AE5259" s="4">
        <v>94</v>
      </c>
      <c r="AF5259" s="4">
        <v>1</v>
      </c>
      <c r="AG5259" s="4">
        <v>3</v>
      </c>
      <c r="AH5259" s="4">
        <v>78</v>
      </c>
      <c r="AI5259" s="4">
        <v>79</v>
      </c>
      <c r="AJ5259" s="4">
        <v>11</v>
      </c>
      <c r="AK5259" s="4">
        <v>13</v>
      </c>
      <c r="AL5259" s="4">
        <v>42</v>
      </c>
      <c r="AM5259" s="4">
        <v>43</v>
      </c>
      <c r="AN5259" s="4">
        <v>0</v>
      </c>
      <c r="AO5259" s="4">
        <v>0</v>
      </c>
      <c r="AP5259" s="4">
        <v>14</v>
      </c>
      <c r="AQ5259" s="4">
        <v>15</v>
      </c>
      <c r="AR5259" s="3" t="s">
        <v>62</v>
      </c>
      <c r="AS5259" s="3" t="s">
        <v>62</v>
      </c>
      <c r="AT5259" s="3" t="s">
        <v>61</v>
      </c>
      <c r="AU5259" s="6" t="str">
        <f>HYPERLINK("http://catalog.hathitrust.org/Record/003020922","HathiTrust Record")</f>
        <v>HathiTrust Record</v>
      </c>
      <c r="AV5259" s="6" t="str">
        <f>HYPERLINK("http://mcgill.on.worldcat.org/oclc/31866931","Catalog Record")</f>
        <v>Catalog Record</v>
      </c>
      <c r="AW5259" s="6" t="str">
        <f>HYPERLINK("http://www.worldcat.org/oclc/31866931","WorldCat Record")</f>
        <v>WorldCat Record</v>
      </c>
      <c r="AX5259" s="3" t="s">
        <v>50431</v>
      </c>
      <c r="AY5259" s="3" t="s">
        <v>50432</v>
      </c>
      <c r="AZ5259" s="3" t="s">
        <v>50433</v>
      </c>
      <c r="BA5259" s="3" t="s">
        <v>50433</v>
      </c>
      <c r="BB5259" s="3" t="s">
        <v>50434</v>
      </c>
      <c r="BC5259" s="3" t="s">
        <v>102</v>
      </c>
      <c r="BD5259" s="3" t="s">
        <v>68</v>
      </c>
      <c r="BE5259" s="3" t="s">
        <v>50435</v>
      </c>
      <c r="BF5259" s="3" t="s">
        <v>50434</v>
      </c>
      <c r="BG5259" s="3" t="s">
        <v>50436</v>
      </c>
    </row>
    <row r="5260" spans="1:59" ht="58" x14ac:dyDescent="0.35">
      <c r="A5260" s="2" t="s">
        <v>89</v>
      </c>
      <c r="B5260" s="2" t="s">
        <v>90</v>
      </c>
      <c r="C5260" s="2" t="s">
        <v>50437</v>
      </c>
      <c r="D5260" s="2" t="s">
        <v>50438</v>
      </c>
      <c r="E5260" s="2" t="s">
        <v>50439</v>
      </c>
      <c r="G5260" s="3" t="s">
        <v>62</v>
      </c>
      <c r="I5260" s="3" t="s">
        <v>62</v>
      </c>
      <c r="J5260" s="3" t="s">
        <v>62</v>
      </c>
      <c r="K5260" s="3" t="s">
        <v>63</v>
      </c>
      <c r="M5260" s="2" t="s">
        <v>16628</v>
      </c>
      <c r="N5260" s="3" t="s">
        <v>539</v>
      </c>
      <c r="P5260" s="3" t="s">
        <v>64</v>
      </c>
      <c r="Q5260" s="2" t="s">
        <v>49245</v>
      </c>
      <c r="R5260" s="3" t="s">
        <v>46535</v>
      </c>
      <c r="S5260" s="4">
        <v>25</v>
      </c>
      <c r="T5260" s="4">
        <v>25</v>
      </c>
      <c r="U5260" s="5" t="s">
        <v>6773</v>
      </c>
      <c r="V5260" s="5" t="s">
        <v>6773</v>
      </c>
      <c r="W5260" s="5" t="s">
        <v>67</v>
      </c>
      <c r="X5260" s="5" t="s">
        <v>67</v>
      </c>
      <c r="Y5260" s="4">
        <v>496</v>
      </c>
      <c r="Z5260" s="4">
        <v>32</v>
      </c>
      <c r="AA5260" s="4">
        <v>100</v>
      </c>
      <c r="AB5260" s="4">
        <v>2</v>
      </c>
      <c r="AC5260" s="4">
        <v>17</v>
      </c>
      <c r="AD5260" s="4">
        <v>116</v>
      </c>
      <c r="AE5260" s="4">
        <v>146</v>
      </c>
      <c r="AF5260" s="4">
        <v>1</v>
      </c>
      <c r="AG5260" s="4">
        <v>8</v>
      </c>
      <c r="AH5260" s="4">
        <v>96</v>
      </c>
      <c r="AI5260" s="4">
        <v>106</v>
      </c>
      <c r="AJ5260" s="4">
        <v>18</v>
      </c>
      <c r="AK5260" s="4">
        <v>26</v>
      </c>
      <c r="AL5260" s="4">
        <v>53</v>
      </c>
      <c r="AM5260" s="4">
        <v>55</v>
      </c>
      <c r="AN5260" s="4">
        <v>0</v>
      </c>
      <c r="AO5260" s="4">
        <v>0</v>
      </c>
      <c r="AP5260" s="4">
        <v>27</v>
      </c>
      <c r="AQ5260" s="4">
        <v>49</v>
      </c>
      <c r="AR5260" s="3" t="s">
        <v>62</v>
      </c>
      <c r="AS5260" s="3" t="s">
        <v>62</v>
      </c>
      <c r="AT5260" s="3" t="s">
        <v>62</v>
      </c>
      <c r="AV5260" s="6" t="str">
        <f>HYPERLINK("http://mcgill.on.worldcat.org/oclc/37031259","Catalog Record")</f>
        <v>Catalog Record</v>
      </c>
      <c r="AW5260" s="6" t="str">
        <f>HYPERLINK("http://www.worldcat.org/oclc/37031259","WorldCat Record")</f>
        <v>WorldCat Record</v>
      </c>
      <c r="AX5260" s="3" t="s">
        <v>50440</v>
      </c>
      <c r="AY5260" s="3" t="s">
        <v>50441</v>
      </c>
      <c r="AZ5260" s="3" t="s">
        <v>50442</v>
      </c>
      <c r="BA5260" s="3" t="s">
        <v>50442</v>
      </c>
      <c r="BB5260" s="3" t="s">
        <v>50443</v>
      </c>
      <c r="BC5260" s="3" t="s">
        <v>102</v>
      </c>
      <c r="BD5260" s="3" t="s">
        <v>68</v>
      </c>
      <c r="BE5260" s="3" t="s">
        <v>50444</v>
      </c>
      <c r="BF5260" s="3" t="s">
        <v>50443</v>
      </c>
      <c r="BG5260" s="3" t="s">
        <v>50445</v>
      </c>
    </row>
    <row r="5261" spans="1:59" ht="58" x14ac:dyDescent="0.35">
      <c r="A5261" s="2" t="s">
        <v>89</v>
      </c>
      <c r="B5261" s="2" t="s">
        <v>90</v>
      </c>
      <c r="C5261" s="2" t="s">
        <v>50446</v>
      </c>
      <c r="D5261" s="2" t="s">
        <v>50447</v>
      </c>
      <c r="E5261" s="2" t="s">
        <v>50448</v>
      </c>
      <c r="G5261" s="3" t="s">
        <v>62</v>
      </c>
      <c r="I5261" s="3" t="s">
        <v>61</v>
      </c>
      <c r="J5261" s="3" t="s">
        <v>62</v>
      </c>
      <c r="K5261" s="3" t="s">
        <v>63</v>
      </c>
      <c r="L5261" s="2" t="s">
        <v>50449</v>
      </c>
      <c r="M5261" s="2" t="s">
        <v>48293</v>
      </c>
      <c r="N5261" s="3" t="s">
        <v>1722</v>
      </c>
      <c r="P5261" s="3" t="s">
        <v>64</v>
      </c>
      <c r="Q5261" s="2" t="s">
        <v>50450</v>
      </c>
      <c r="R5261" s="3" t="s">
        <v>46535</v>
      </c>
      <c r="S5261" s="4">
        <v>10</v>
      </c>
      <c r="T5261" s="4">
        <v>12</v>
      </c>
      <c r="U5261" s="5" t="s">
        <v>50451</v>
      </c>
      <c r="V5261" s="5" t="s">
        <v>50451</v>
      </c>
      <c r="W5261" s="5" t="s">
        <v>67</v>
      </c>
      <c r="X5261" s="5" t="s">
        <v>67</v>
      </c>
      <c r="Y5261" s="4">
        <v>220</v>
      </c>
      <c r="Z5261" s="4">
        <v>19</v>
      </c>
      <c r="AA5261" s="4">
        <v>24</v>
      </c>
      <c r="AB5261" s="4">
        <v>2</v>
      </c>
      <c r="AC5261" s="4">
        <v>6</v>
      </c>
      <c r="AD5261" s="4">
        <v>83</v>
      </c>
      <c r="AE5261" s="4">
        <v>88</v>
      </c>
      <c r="AF5261" s="4">
        <v>1</v>
      </c>
      <c r="AG5261" s="4">
        <v>4</v>
      </c>
      <c r="AH5261" s="4">
        <v>73</v>
      </c>
      <c r="AI5261" s="4">
        <v>76</v>
      </c>
      <c r="AJ5261" s="4">
        <v>15</v>
      </c>
      <c r="AK5261" s="4">
        <v>19</v>
      </c>
      <c r="AL5261" s="4">
        <v>44</v>
      </c>
      <c r="AM5261" s="4">
        <v>44</v>
      </c>
      <c r="AN5261" s="4">
        <v>0</v>
      </c>
      <c r="AO5261" s="4">
        <v>0</v>
      </c>
      <c r="AP5261" s="4">
        <v>16</v>
      </c>
      <c r="AQ5261" s="4">
        <v>20</v>
      </c>
      <c r="AR5261" s="3" t="s">
        <v>62</v>
      </c>
      <c r="AS5261" s="3" t="s">
        <v>62</v>
      </c>
      <c r="AT5261" s="3" t="s">
        <v>62</v>
      </c>
      <c r="AV5261" s="6" t="str">
        <f>HYPERLINK("http://mcgill.on.worldcat.org/oclc/216938550","Catalog Record")</f>
        <v>Catalog Record</v>
      </c>
      <c r="AW5261" s="6" t="str">
        <f>HYPERLINK("http://www.worldcat.org/oclc/216938550","WorldCat Record")</f>
        <v>WorldCat Record</v>
      </c>
      <c r="AX5261" s="3" t="s">
        <v>50452</v>
      </c>
      <c r="AY5261" s="3" t="s">
        <v>50453</v>
      </c>
      <c r="AZ5261" s="3" t="s">
        <v>50454</v>
      </c>
      <c r="BA5261" s="3" t="s">
        <v>50454</v>
      </c>
      <c r="BB5261" s="3" t="s">
        <v>50455</v>
      </c>
      <c r="BC5261" s="3" t="s">
        <v>102</v>
      </c>
      <c r="BD5261" s="3" t="s">
        <v>68</v>
      </c>
      <c r="BE5261" s="3" t="s">
        <v>50456</v>
      </c>
      <c r="BF5261" s="3" t="s">
        <v>50455</v>
      </c>
      <c r="BG5261" s="3" t="s">
        <v>50457</v>
      </c>
    </row>
    <row r="5262" spans="1:59" ht="58" x14ac:dyDescent="0.35">
      <c r="A5262" s="2" t="s">
        <v>89</v>
      </c>
      <c r="B5262" s="2" t="s">
        <v>90</v>
      </c>
      <c r="C5262" s="2" t="s">
        <v>50458</v>
      </c>
      <c r="D5262" s="2" t="s">
        <v>50459</v>
      </c>
      <c r="E5262" s="2" t="s">
        <v>50460</v>
      </c>
      <c r="G5262" s="3" t="s">
        <v>62</v>
      </c>
      <c r="I5262" s="3" t="s">
        <v>62</v>
      </c>
      <c r="J5262" s="3" t="s">
        <v>61</v>
      </c>
      <c r="K5262" s="3" t="s">
        <v>63</v>
      </c>
      <c r="M5262" s="2" t="s">
        <v>23210</v>
      </c>
      <c r="N5262" s="3" t="s">
        <v>640</v>
      </c>
      <c r="P5262" s="3" t="s">
        <v>64</v>
      </c>
      <c r="R5262" s="3" t="s">
        <v>46535</v>
      </c>
      <c r="S5262" s="4">
        <v>29</v>
      </c>
      <c r="T5262" s="4">
        <v>29</v>
      </c>
      <c r="U5262" s="5" t="s">
        <v>7461</v>
      </c>
      <c r="V5262" s="5" t="s">
        <v>7461</v>
      </c>
      <c r="W5262" s="5" t="s">
        <v>67</v>
      </c>
      <c r="X5262" s="5" t="s">
        <v>67</v>
      </c>
      <c r="Y5262" s="4">
        <v>307</v>
      </c>
      <c r="Z5262" s="4">
        <v>30</v>
      </c>
      <c r="AA5262" s="4">
        <v>51</v>
      </c>
      <c r="AB5262" s="4">
        <v>2</v>
      </c>
      <c r="AC5262" s="4">
        <v>11</v>
      </c>
      <c r="AD5262" s="4">
        <v>97</v>
      </c>
      <c r="AE5262" s="4">
        <v>122</v>
      </c>
      <c r="AF5262" s="4">
        <v>1</v>
      </c>
      <c r="AG5262" s="4">
        <v>6</v>
      </c>
      <c r="AH5262" s="4">
        <v>79</v>
      </c>
      <c r="AI5262" s="4">
        <v>92</v>
      </c>
      <c r="AJ5262" s="4">
        <v>17</v>
      </c>
      <c r="AK5262" s="4">
        <v>25</v>
      </c>
      <c r="AL5262" s="4">
        <v>47</v>
      </c>
      <c r="AM5262" s="4">
        <v>54</v>
      </c>
      <c r="AN5262" s="4">
        <v>0</v>
      </c>
      <c r="AO5262" s="4">
        <v>0</v>
      </c>
      <c r="AP5262" s="4">
        <v>24</v>
      </c>
      <c r="AQ5262" s="4">
        <v>36</v>
      </c>
      <c r="AR5262" s="3" t="s">
        <v>62</v>
      </c>
      <c r="AS5262" s="3" t="s">
        <v>62</v>
      </c>
      <c r="AT5262" s="3" t="s">
        <v>62</v>
      </c>
      <c r="AV5262" s="6" t="str">
        <f>HYPERLINK("http://mcgill.on.worldcat.org/oclc/54767622","Catalog Record")</f>
        <v>Catalog Record</v>
      </c>
      <c r="AW5262" s="6" t="str">
        <f>HYPERLINK("http://www.worldcat.org/oclc/54767622","WorldCat Record")</f>
        <v>WorldCat Record</v>
      </c>
      <c r="AX5262" s="3" t="s">
        <v>50461</v>
      </c>
      <c r="AY5262" s="3" t="s">
        <v>50462</v>
      </c>
      <c r="AZ5262" s="3" t="s">
        <v>50463</v>
      </c>
      <c r="BA5262" s="3" t="s">
        <v>50463</v>
      </c>
      <c r="BB5262" s="3" t="s">
        <v>50464</v>
      </c>
      <c r="BC5262" s="3" t="s">
        <v>102</v>
      </c>
      <c r="BD5262" s="3" t="s">
        <v>68</v>
      </c>
      <c r="BE5262" s="3" t="s">
        <v>50465</v>
      </c>
      <c r="BF5262" s="3" t="s">
        <v>50464</v>
      </c>
      <c r="BG5262" s="3" t="s">
        <v>50466</v>
      </c>
    </row>
    <row r="5263" spans="1:59" ht="58" x14ac:dyDescent="0.35">
      <c r="A5263" s="2" t="s">
        <v>89</v>
      </c>
      <c r="B5263" s="2" t="s">
        <v>90</v>
      </c>
      <c r="C5263" s="2" t="s">
        <v>50467</v>
      </c>
      <c r="D5263" s="2" t="s">
        <v>50468</v>
      </c>
      <c r="E5263" s="2" t="s">
        <v>50460</v>
      </c>
      <c r="G5263" s="3" t="s">
        <v>62</v>
      </c>
      <c r="I5263" s="3" t="s">
        <v>62</v>
      </c>
      <c r="J5263" s="3" t="s">
        <v>61</v>
      </c>
      <c r="K5263" s="3" t="s">
        <v>63</v>
      </c>
      <c r="M5263" s="2" t="s">
        <v>50469</v>
      </c>
      <c r="N5263" s="3" t="s">
        <v>698</v>
      </c>
      <c r="O5263" s="2" t="s">
        <v>2986</v>
      </c>
      <c r="P5263" s="3" t="s">
        <v>64</v>
      </c>
      <c r="R5263" s="3" t="s">
        <v>46535</v>
      </c>
      <c r="S5263" s="4">
        <v>2</v>
      </c>
      <c r="T5263" s="4">
        <v>2</v>
      </c>
      <c r="U5263" s="5" t="s">
        <v>50451</v>
      </c>
      <c r="V5263" s="5" t="s">
        <v>50451</v>
      </c>
      <c r="W5263" s="5" t="s">
        <v>67</v>
      </c>
      <c r="X5263" s="5" t="s">
        <v>67</v>
      </c>
      <c r="Y5263" s="4">
        <v>168</v>
      </c>
      <c r="Z5263" s="4">
        <v>19</v>
      </c>
      <c r="AA5263" s="4">
        <v>51</v>
      </c>
      <c r="AB5263" s="4">
        <v>2</v>
      </c>
      <c r="AC5263" s="4">
        <v>11</v>
      </c>
      <c r="AD5263" s="4">
        <v>52</v>
      </c>
      <c r="AE5263" s="4">
        <v>122</v>
      </c>
      <c r="AF5263" s="4">
        <v>1</v>
      </c>
      <c r="AG5263" s="4">
        <v>6</v>
      </c>
      <c r="AH5263" s="4">
        <v>41</v>
      </c>
      <c r="AI5263" s="4">
        <v>92</v>
      </c>
      <c r="AJ5263" s="4">
        <v>11</v>
      </c>
      <c r="AK5263" s="4">
        <v>25</v>
      </c>
      <c r="AL5263" s="4">
        <v>26</v>
      </c>
      <c r="AM5263" s="4">
        <v>54</v>
      </c>
      <c r="AN5263" s="4">
        <v>0</v>
      </c>
      <c r="AO5263" s="4">
        <v>0</v>
      </c>
      <c r="AP5263" s="4">
        <v>15</v>
      </c>
      <c r="AQ5263" s="4">
        <v>36</v>
      </c>
      <c r="AR5263" s="3" t="s">
        <v>62</v>
      </c>
      <c r="AS5263" s="3" t="s">
        <v>62</v>
      </c>
      <c r="AT5263" s="3" t="s">
        <v>62</v>
      </c>
      <c r="AV5263" s="6" t="str">
        <f>HYPERLINK("http://mcgill.on.worldcat.org/oclc/726821241","Catalog Record")</f>
        <v>Catalog Record</v>
      </c>
      <c r="AW5263" s="6" t="str">
        <f>HYPERLINK("http://www.worldcat.org/oclc/726821241","WorldCat Record")</f>
        <v>WorldCat Record</v>
      </c>
      <c r="AX5263" s="3" t="s">
        <v>50461</v>
      </c>
      <c r="AY5263" s="3" t="s">
        <v>50470</v>
      </c>
      <c r="AZ5263" s="3" t="s">
        <v>50471</v>
      </c>
      <c r="BA5263" s="3" t="s">
        <v>50471</v>
      </c>
      <c r="BB5263" s="3" t="s">
        <v>50472</v>
      </c>
      <c r="BC5263" s="3" t="s">
        <v>102</v>
      </c>
      <c r="BD5263" s="3" t="s">
        <v>68</v>
      </c>
      <c r="BE5263" s="3" t="s">
        <v>50473</v>
      </c>
      <c r="BF5263" s="3" t="s">
        <v>50472</v>
      </c>
      <c r="BG5263" s="3" t="s">
        <v>50474</v>
      </c>
    </row>
    <row r="5264" spans="1:59" ht="58" x14ac:dyDescent="0.35">
      <c r="A5264" s="2" t="s">
        <v>89</v>
      </c>
      <c r="B5264" s="2" t="s">
        <v>90</v>
      </c>
      <c r="C5264" s="2" t="s">
        <v>50475</v>
      </c>
      <c r="D5264" s="2" t="s">
        <v>50476</v>
      </c>
      <c r="E5264" s="2" t="s">
        <v>50477</v>
      </c>
      <c r="G5264" s="3" t="s">
        <v>62</v>
      </c>
      <c r="I5264" s="3" t="s">
        <v>62</v>
      </c>
      <c r="J5264" s="3" t="s">
        <v>62</v>
      </c>
      <c r="K5264" s="3" t="s">
        <v>63</v>
      </c>
      <c r="L5264" s="2" t="s">
        <v>50478</v>
      </c>
      <c r="M5264" s="2" t="s">
        <v>50479</v>
      </c>
      <c r="N5264" s="3" t="s">
        <v>524</v>
      </c>
      <c r="P5264" s="3" t="s">
        <v>64</v>
      </c>
      <c r="Q5264" s="2" t="s">
        <v>50480</v>
      </c>
      <c r="R5264" s="3" t="s">
        <v>46535</v>
      </c>
      <c r="S5264" s="4">
        <v>20</v>
      </c>
      <c r="T5264" s="4">
        <v>20</v>
      </c>
      <c r="U5264" s="5" t="s">
        <v>50451</v>
      </c>
      <c r="V5264" s="5" t="s">
        <v>50451</v>
      </c>
      <c r="W5264" s="5" t="s">
        <v>67</v>
      </c>
      <c r="X5264" s="5" t="s">
        <v>67</v>
      </c>
      <c r="Y5264" s="4">
        <v>432</v>
      </c>
      <c r="Z5264" s="4">
        <v>30</v>
      </c>
      <c r="AA5264" s="4">
        <v>33</v>
      </c>
      <c r="AB5264" s="4">
        <v>2</v>
      </c>
      <c r="AC5264" s="4">
        <v>5</v>
      </c>
      <c r="AD5264" s="4">
        <v>108</v>
      </c>
      <c r="AE5264" s="4">
        <v>110</v>
      </c>
      <c r="AF5264" s="4">
        <v>1</v>
      </c>
      <c r="AG5264" s="4">
        <v>3</v>
      </c>
      <c r="AH5264" s="4">
        <v>94</v>
      </c>
      <c r="AI5264" s="4">
        <v>95</v>
      </c>
      <c r="AJ5264" s="4">
        <v>17</v>
      </c>
      <c r="AK5264" s="4">
        <v>19</v>
      </c>
      <c r="AL5264" s="4">
        <v>53</v>
      </c>
      <c r="AM5264" s="4">
        <v>53</v>
      </c>
      <c r="AN5264" s="4">
        <v>0</v>
      </c>
      <c r="AO5264" s="4">
        <v>0</v>
      </c>
      <c r="AP5264" s="4">
        <v>21</v>
      </c>
      <c r="AQ5264" s="4">
        <v>22</v>
      </c>
      <c r="AR5264" s="3" t="s">
        <v>62</v>
      </c>
      <c r="AS5264" s="3" t="s">
        <v>62</v>
      </c>
      <c r="AT5264" s="3" t="s">
        <v>61</v>
      </c>
      <c r="AU5264" s="6" t="str">
        <f>HYPERLINK("http://catalog.hathitrust.org/Record/002976160","HathiTrust Record")</f>
        <v>HathiTrust Record</v>
      </c>
      <c r="AV5264" s="6" t="str">
        <f>HYPERLINK("http://mcgill.on.worldcat.org/oclc/31240662","Catalog Record")</f>
        <v>Catalog Record</v>
      </c>
      <c r="AW5264" s="6" t="str">
        <f>HYPERLINK("http://www.worldcat.org/oclc/31240662","WorldCat Record")</f>
        <v>WorldCat Record</v>
      </c>
      <c r="AX5264" s="3" t="s">
        <v>50481</v>
      </c>
      <c r="AY5264" s="3" t="s">
        <v>50482</v>
      </c>
      <c r="AZ5264" s="3" t="s">
        <v>50483</v>
      </c>
      <c r="BA5264" s="3" t="s">
        <v>50483</v>
      </c>
      <c r="BB5264" s="3" t="s">
        <v>50484</v>
      </c>
      <c r="BC5264" s="3" t="s">
        <v>102</v>
      </c>
      <c r="BD5264" s="3" t="s">
        <v>68</v>
      </c>
      <c r="BE5264" s="3" t="s">
        <v>50485</v>
      </c>
      <c r="BF5264" s="3" t="s">
        <v>50484</v>
      </c>
      <c r="BG5264" s="3" t="s">
        <v>50486</v>
      </c>
    </row>
    <row r="5265" spans="1:59" ht="58" x14ac:dyDescent="0.35">
      <c r="A5265" s="2" t="s">
        <v>89</v>
      </c>
      <c r="B5265" s="2" t="s">
        <v>90</v>
      </c>
      <c r="C5265" s="2" t="s">
        <v>50487</v>
      </c>
      <c r="D5265" s="2" t="s">
        <v>50488</v>
      </c>
      <c r="E5265" s="2" t="s">
        <v>50489</v>
      </c>
      <c r="G5265" s="3" t="s">
        <v>62</v>
      </c>
      <c r="I5265" s="3" t="s">
        <v>61</v>
      </c>
      <c r="J5265" s="3" t="s">
        <v>62</v>
      </c>
      <c r="K5265" s="3" t="s">
        <v>63</v>
      </c>
      <c r="L5265" s="2" t="s">
        <v>50490</v>
      </c>
      <c r="M5265" s="2" t="s">
        <v>50491</v>
      </c>
      <c r="N5265" s="3" t="s">
        <v>355</v>
      </c>
      <c r="P5265" s="3" t="s">
        <v>64</v>
      </c>
      <c r="R5265" s="3" t="s">
        <v>46535</v>
      </c>
      <c r="S5265" s="4">
        <v>0</v>
      </c>
      <c r="T5265" s="4">
        <v>25</v>
      </c>
      <c r="V5265" s="5" t="s">
        <v>3688</v>
      </c>
      <c r="W5265" s="5" t="s">
        <v>67</v>
      </c>
      <c r="X5265" s="5" t="s">
        <v>67</v>
      </c>
      <c r="Y5265" s="4">
        <v>491</v>
      </c>
      <c r="Z5265" s="4">
        <v>26</v>
      </c>
      <c r="AA5265" s="4">
        <v>33</v>
      </c>
      <c r="AB5265" s="4">
        <v>4</v>
      </c>
      <c r="AC5265" s="4">
        <v>9</v>
      </c>
      <c r="AD5265" s="4">
        <v>120</v>
      </c>
      <c r="AE5265" s="4">
        <v>124</v>
      </c>
      <c r="AF5265" s="4">
        <v>1</v>
      </c>
      <c r="AG5265" s="4">
        <v>3</v>
      </c>
      <c r="AH5265" s="4">
        <v>104</v>
      </c>
      <c r="AI5265" s="4">
        <v>104</v>
      </c>
      <c r="AJ5265" s="4">
        <v>18</v>
      </c>
      <c r="AK5265" s="4">
        <v>21</v>
      </c>
      <c r="AL5265" s="4">
        <v>59</v>
      </c>
      <c r="AM5265" s="4">
        <v>59</v>
      </c>
      <c r="AN5265" s="4">
        <v>0</v>
      </c>
      <c r="AO5265" s="4">
        <v>0</v>
      </c>
      <c r="AP5265" s="4">
        <v>22</v>
      </c>
      <c r="AQ5265" s="4">
        <v>25</v>
      </c>
      <c r="AR5265" s="3" t="s">
        <v>62</v>
      </c>
      <c r="AS5265" s="3" t="s">
        <v>62</v>
      </c>
      <c r="AT5265" s="3" t="s">
        <v>61</v>
      </c>
      <c r="AU5265" s="6" t="str">
        <f>HYPERLINK("http://catalog.hathitrust.org/Record/000122481","HathiTrust Record")</f>
        <v>HathiTrust Record</v>
      </c>
      <c r="AV5265" s="6" t="str">
        <f>HYPERLINK("http://mcgill.on.worldcat.org/oclc/10275461","Catalog Record")</f>
        <v>Catalog Record</v>
      </c>
      <c r="AW5265" s="6" t="str">
        <f>HYPERLINK("http://www.worldcat.org/oclc/10275461","WorldCat Record")</f>
        <v>WorldCat Record</v>
      </c>
      <c r="AX5265" s="3" t="s">
        <v>50492</v>
      </c>
      <c r="AY5265" s="3" t="s">
        <v>50493</v>
      </c>
      <c r="AZ5265" s="3" t="s">
        <v>50494</v>
      </c>
      <c r="BA5265" s="3" t="s">
        <v>50494</v>
      </c>
      <c r="BB5265" s="3" t="s">
        <v>50495</v>
      </c>
      <c r="BC5265" s="3" t="s">
        <v>102</v>
      </c>
      <c r="BD5265" s="3" t="s">
        <v>68</v>
      </c>
      <c r="BE5265" s="3" t="s">
        <v>50496</v>
      </c>
      <c r="BF5265" s="3" t="s">
        <v>50495</v>
      </c>
      <c r="BG5265" s="3" t="s">
        <v>50497</v>
      </c>
    </row>
    <row r="5266" spans="1:59" ht="58" x14ac:dyDescent="0.35">
      <c r="A5266" s="2" t="s">
        <v>89</v>
      </c>
      <c r="B5266" s="2" t="s">
        <v>90</v>
      </c>
      <c r="C5266" s="2" t="s">
        <v>50498</v>
      </c>
      <c r="D5266" s="2" t="s">
        <v>50499</v>
      </c>
      <c r="E5266" s="2" t="s">
        <v>50500</v>
      </c>
      <c r="G5266" s="3" t="s">
        <v>62</v>
      </c>
      <c r="I5266" s="3" t="s">
        <v>62</v>
      </c>
      <c r="J5266" s="3" t="s">
        <v>62</v>
      </c>
      <c r="K5266" s="3" t="s">
        <v>63</v>
      </c>
      <c r="L5266" s="2" t="s">
        <v>50501</v>
      </c>
      <c r="M5266" s="2" t="s">
        <v>50502</v>
      </c>
      <c r="N5266" s="3" t="s">
        <v>893</v>
      </c>
      <c r="O5266" s="2" t="s">
        <v>2187</v>
      </c>
      <c r="P5266" s="3" t="s">
        <v>64</v>
      </c>
      <c r="R5266" s="3" t="s">
        <v>46535</v>
      </c>
      <c r="S5266" s="4">
        <v>24</v>
      </c>
      <c r="T5266" s="4">
        <v>24</v>
      </c>
      <c r="U5266" s="5" t="s">
        <v>9232</v>
      </c>
      <c r="V5266" s="5" t="s">
        <v>9232</v>
      </c>
      <c r="W5266" s="5" t="s">
        <v>67</v>
      </c>
      <c r="X5266" s="5" t="s">
        <v>67</v>
      </c>
      <c r="Y5266" s="4">
        <v>874</v>
      </c>
      <c r="Z5266" s="4">
        <v>31</v>
      </c>
      <c r="AA5266" s="4">
        <v>59</v>
      </c>
      <c r="AB5266" s="4">
        <v>2</v>
      </c>
      <c r="AC5266" s="4">
        <v>4</v>
      </c>
      <c r="AD5266" s="4">
        <v>74</v>
      </c>
      <c r="AE5266" s="4">
        <v>92</v>
      </c>
      <c r="AF5266" s="4">
        <v>0</v>
      </c>
      <c r="AG5266" s="4">
        <v>0</v>
      </c>
      <c r="AH5266" s="4">
        <v>63</v>
      </c>
      <c r="AI5266" s="4">
        <v>78</v>
      </c>
      <c r="AJ5266" s="4">
        <v>8</v>
      </c>
      <c r="AK5266" s="4">
        <v>11</v>
      </c>
      <c r="AL5266" s="4">
        <v>33</v>
      </c>
      <c r="AM5266" s="4">
        <v>39</v>
      </c>
      <c r="AN5266" s="4">
        <v>0</v>
      </c>
      <c r="AO5266" s="4">
        <v>0</v>
      </c>
      <c r="AP5266" s="4">
        <v>18</v>
      </c>
      <c r="AQ5266" s="4">
        <v>21</v>
      </c>
      <c r="AR5266" s="3" t="s">
        <v>62</v>
      </c>
      <c r="AS5266" s="3" t="s">
        <v>62</v>
      </c>
      <c r="AT5266" s="3" t="s">
        <v>62</v>
      </c>
      <c r="AV5266" s="6" t="str">
        <f>HYPERLINK("http://mcgill.on.worldcat.org/oclc/8410437","Catalog Record")</f>
        <v>Catalog Record</v>
      </c>
      <c r="AW5266" s="6" t="str">
        <f>HYPERLINK("http://www.worldcat.org/oclc/8410437","WorldCat Record")</f>
        <v>WorldCat Record</v>
      </c>
      <c r="AX5266" s="3" t="s">
        <v>50503</v>
      </c>
      <c r="AY5266" s="3" t="s">
        <v>50504</v>
      </c>
      <c r="AZ5266" s="3" t="s">
        <v>50505</v>
      </c>
      <c r="BA5266" s="3" t="s">
        <v>50505</v>
      </c>
      <c r="BB5266" s="3" t="s">
        <v>50506</v>
      </c>
      <c r="BC5266" s="3" t="s">
        <v>102</v>
      </c>
      <c r="BD5266" s="3" t="s">
        <v>68</v>
      </c>
      <c r="BE5266" s="3" t="s">
        <v>50507</v>
      </c>
      <c r="BF5266" s="3" t="s">
        <v>50506</v>
      </c>
      <c r="BG5266" s="3" t="s">
        <v>50508</v>
      </c>
    </row>
    <row r="5267" spans="1:59" ht="58" x14ac:dyDescent="0.35">
      <c r="A5267" s="2" t="s">
        <v>89</v>
      </c>
      <c r="B5267" s="2" t="s">
        <v>90</v>
      </c>
      <c r="C5267" s="2" t="s">
        <v>50509</v>
      </c>
      <c r="D5267" s="2" t="s">
        <v>50510</v>
      </c>
      <c r="E5267" s="2" t="s">
        <v>50511</v>
      </c>
      <c r="G5267" s="3" t="s">
        <v>62</v>
      </c>
      <c r="I5267" s="3" t="s">
        <v>62</v>
      </c>
      <c r="J5267" s="3" t="s">
        <v>62</v>
      </c>
      <c r="K5267" s="3" t="s">
        <v>63</v>
      </c>
      <c r="M5267" s="2" t="s">
        <v>50512</v>
      </c>
      <c r="N5267" s="3" t="s">
        <v>596</v>
      </c>
      <c r="P5267" s="3" t="s">
        <v>64</v>
      </c>
      <c r="Q5267" s="2" t="s">
        <v>50513</v>
      </c>
      <c r="R5267" s="3" t="s">
        <v>46535</v>
      </c>
      <c r="S5267" s="4">
        <v>13</v>
      </c>
      <c r="T5267" s="4">
        <v>13</v>
      </c>
      <c r="U5267" s="5" t="s">
        <v>16075</v>
      </c>
      <c r="V5267" s="5" t="s">
        <v>16075</v>
      </c>
      <c r="W5267" s="5" t="s">
        <v>67</v>
      </c>
      <c r="X5267" s="5" t="s">
        <v>67</v>
      </c>
      <c r="Y5267" s="4">
        <v>234</v>
      </c>
      <c r="Z5267" s="4">
        <v>24</v>
      </c>
      <c r="AA5267" s="4">
        <v>39</v>
      </c>
      <c r="AB5267" s="4">
        <v>2</v>
      </c>
      <c r="AC5267" s="4">
        <v>6</v>
      </c>
      <c r="AD5267" s="4">
        <v>82</v>
      </c>
      <c r="AE5267" s="4">
        <v>94</v>
      </c>
      <c r="AF5267" s="4">
        <v>1</v>
      </c>
      <c r="AG5267" s="4">
        <v>2</v>
      </c>
      <c r="AH5267" s="4">
        <v>70</v>
      </c>
      <c r="AI5267" s="4">
        <v>72</v>
      </c>
      <c r="AJ5267" s="4">
        <v>16</v>
      </c>
      <c r="AK5267" s="4">
        <v>19</v>
      </c>
      <c r="AL5267" s="4">
        <v>37</v>
      </c>
      <c r="AM5267" s="4">
        <v>37</v>
      </c>
      <c r="AN5267" s="4">
        <v>0</v>
      </c>
      <c r="AO5267" s="4">
        <v>0</v>
      </c>
      <c r="AP5267" s="4">
        <v>20</v>
      </c>
      <c r="AQ5267" s="4">
        <v>29</v>
      </c>
      <c r="AR5267" s="3" t="s">
        <v>62</v>
      </c>
      <c r="AS5267" s="3" t="s">
        <v>62</v>
      </c>
      <c r="AT5267" s="3" t="s">
        <v>62</v>
      </c>
      <c r="AV5267" s="6" t="str">
        <f>HYPERLINK("http://mcgill.on.worldcat.org/oclc/50143387","Catalog Record")</f>
        <v>Catalog Record</v>
      </c>
      <c r="AW5267" s="6" t="str">
        <f>HYPERLINK("http://www.worldcat.org/oclc/50143387","WorldCat Record")</f>
        <v>WorldCat Record</v>
      </c>
      <c r="AX5267" s="3" t="s">
        <v>50514</v>
      </c>
      <c r="AY5267" s="3" t="s">
        <v>50515</v>
      </c>
      <c r="AZ5267" s="3" t="s">
        <v>50516</v>
      </c>
      <c r="BA5267" s="3" t="s">
        <v>50516</v>
      </c>
      <c r="BB5267" s="3" t="s">
        <v>50517</v>
      </c>
      <c r="BC5267" s="3" t="s">
        <v>102</v>
      </c>
      <c r="BD5267" s="3" t="s">
        <v>68</v>
      </c>
      <c r="BE5267" s="3" t="s">
        <v>50518</v>
      </c>
      <c r="BF5267" s="3" t="s">
        <v>50517</v>
      </c>
      <c r="BG5267" s="3" t="s">
        <v>50519</v>
      </c>
    </row>
    <row r="5268" spans="1:59" ht="58" x14ac:dyDescent="0.35">
      <c r="A5268" s="2" t="s">
        <v>89</v>
      </c>
      <c r="B5268" s="2" t="s">
        <v>90</v>
      </c>
      <c r="C5268" s="2" t="s">
        <v>50520</v>
      </c>
      <c r="D5268" s="2" t="s">
        <v>50521</v>
      </c>
      <c r="E5268" s="2" t="s">
        <v>50522</v>
      </c>
      <c r="G5268" s="3" t="s">
        <v>62</v>
      </c>
      <c r="I5268" s="3" t="s">
        <v>61</v>
      </c>
      <c r="J5268" s="3" t="s">
        <v>62</v>
      </c>
      <c r="K5268" s="3" t="s">
        <v>63</v>
      </c>
      <c r="L5268" s="2" t="s">
        <v>50523</v>
      </c>
      <c r="M5268" s="2" t="s">
        <v>48927</v>
      </c>
      <c r="N5268" s="3" t="s">
        <v>524</v>
      </c>
      <c r="P5268" s="3" t="s">
        <v>64</v>
      </c>
      <c r="R5268" s="3" t="s">
        <v>46535</v>
      </c>
      <c r="S5268" s="4">
        <v>15</v>
      </c>
      <c r="T5268" s="4">
        <v>15</v>
      </c>
      <c r="U5268" s="5" t="s">
        <v>50524</v>
      </c>
      <c r="V5268" s="5" t="s">
        <v>50524</v>
      </c>
      <c r="W5268" s="5" t="s">
        <v>67</v>
      </c>
      <c r="X5268" s="5" t="s">
        <v>67</v>
      </c>
      <c r="Y5268" s="4">
        <v>404</v>
      </c>
      <c r="Z5268" s="4">
        <v>27</v>
      </c>
      <c r="AA5268" s="4">
        <v>33</v>
      </c>
      <c r="AB5268" s="4">
        <v>2</v>
      </c>
      <c r="AC5268" s="4">
        <v>5</v>
      </c>
      <c r="AD5268" s="4">
        <v>117</v>
      </c>
      <c r="AE5268" s="4">
        <v>124</v>
      </c>
      <c r="AF5268" s="4">
        <v>1</v>
      </c>
      <c r="AG5268" s="4">
        <v>3</v>
      </c>
      <c r="AH5268" s="4">
        <v>98</v>
      </c>
      <c r="AI5268" s="4">
        <v>101</v>
      </c>
      <c r="AJ5268" s="4">
        <v>17</v>
      </c>
      <c r="AK5268" s="4">
        <v>20</v>
      </c>
      <c r="AL5268" s="4">
        <v>58</v>
      </c>
      <c r="AM5268" s="4">
        <v>60</v>
      </c>
      <c r="AN5268" s="4">
        <v>0</v>
      </c>
      <c r="AO5268" s="4">
        <v>0</v>
      </c>
      <c r="AP5268" s="4">
        <v>22</v>
      </c>
      <c r="AQ5268" s="4">
        <v>25</v>
      </c>
      <c r="AR5268" s="3" t="s">
        <v>62</v>
      </c>
      <c r="AS5268" s="3" t="s">
        <v>62</v>
      </c>
      <c r="AT5268" s="3" t="s">
        <v>62</v>
      </c>
      <c r="AV5268" s="6" t="str">
        <f>HYPERLINK("http://mcgill.on.worldcat.org/oclc/29952177","Catalog Record")</f>
        <v>Catalog Record</v>
      </c>
      <c r="AW5268" s="6" t="str">
        <f>HYPERLINK("http://www.worldcat.org/oclc/29952177","WorldCat Record")</f>
        <v>WorldCat Record</v>
      </c>
      <c r="AX5268" s="3" t="s">
        <v>50525</v>
      </c>
      <c r="AY5268" s="3" t="s">
        <v>50526</v>
      </c>
      <c r="AZ5268" s="3" t="s">
        <v>50527</v>
      </c>
      <c r="BA5268" s="3" t="s">
        <v>50527</v>
      </c>
      <c r="BB5268" s="3" t="s">
        <v>50528</v>
      </c>
      <c r="BC5268" s="3" t="s">
        <v>102</v>
      </c>
      <c r="BD5268" s="3" t="s">
        <v>68</v>
      </c>
      <c r="BE5268" s="3" t="s">
        <v>50529</v>
      </c>
      <c r="BF5268" s="3" t="s">
        <v>50528</v>
      </c>
      <c r="BG5268" s="3" t="s">
        <v>50530</v>
      </c>
    </row>
    <row r="5269" spans="1:59" ht="58" x14ac:dyDescent="0.35">
      <c r="A5269" s="2" t="s">
        <v>89</v>
      </c>
      <c r="B5269" s="2" t="s">
        <v>90</v>
      </c>
      <c r="C5269" s="2" t="s">
        <v>50531</v>
      </c>
      <c r="D5269" s="2" t="s">
        <v>50532</v>
      </c>
      <c r="E5269" s="2" t="s">
        <v>50533</v>
      </c>
      <c r="G5269" s="3" t="s">
        <v>62</v>
      </c>
      <c r="I5269" s="3" t="s">
        <v>62</v>
      </c>
      <c r="J5269" s="3" t="s">
        <v>62</v>
      </c>
      <c r="K5269" s="3" t="s">
        <v>63</v>
      </c>
      <c r="L5269" s="2" t="s">
        <v>50534</v>
      </c>
      <c r="M5269" s="2" t="s">
        <v>50535</v>
      </c>
      <c r="N5269" s="3" t="s">
        <v>424</v>
      </c>
      <c r="P5269" s="3" t="s">
        <v>64</v>
      </c>
      <c r="R5269" s="3" t="s">
        <v>46535</v>
      </c>
      <c r="S5269" s="4">
        <v>8</v>
      </c>
      <c r="T5269" s="4">
        <v>8</v>
      </c>
      <c r="U5269" s="5" t="s">
        <v>7311</v>
      </c>
      <c r="V5269" s="5" t="s">
        <v>7311</v>
      </c>
      <c r="W5269" s="5" t="s">
        <v>67</v>
      </c>
      <c r="X5269" s="5" t="s">
        <v>67</v>
      </c>
      <c r="Y5269" s="4">
        <v>328</v>
      </c>
      <c r="Z5269" s="4">
        <v>22</v>
      </c>
      <c r="AA5269" s="4">
        <v>24</v>
      </c>
      <c r="AB5269" s="4">
        <v>3</v>
      </c>
      <c r="AC5269" s="4">
        <v>5</v>
      </c>
      <c r="AD5269" s="4">
        <v>108</v>
      </c>
      <c r="AE5269" s="4">
        <v>110</v>
      </c>
      <c r="AF5269" s="4">
        <v>1</v>
      </c>
      <c r="AG5269" s="4">
        <v>3</v>
      </c>
      <c r="AH5269" s="4">
        <v>97</v>
      </c>
      <c r="AI5269" s="4">
        <v>98</v>
      </c>
      <c r="AJ5269" s="4">
        <v>14</v>
      </c>
      <c r="AK5269" s="4">
        <v>16</v>
      </c>
      <c r="AL5269" s="4">
        <v>55</v>
      </c>
      <c r="AM5269" s="4">
        <v>55</v>
      </c>
      <c r="AN5269" s="4">
        <v>0</v>
      </c>
      <c r="AO5269" s="4">
        <v>0</v>
      </c>
      <c r="AP5269" s="4">
        <v>14</v>
      </c>
      <c r="AQ5269" s="4">
        <v>15</v>
      </c>
      <c r="AR5269" s="3" t="s">
        <v>62</v>
      </c>
      <c r="AS5269" s="3" t="s">
        <v>62</v>
      </c>
      <c r="AT5269" s="3" t="s">
        <v>62</v>
      </c>
      <c r="AV5269" s="6" t="str">
        <f>HYPERLINK("http://mcgill.on.worldcat.org/oclc/17551966","Catalog Record")</f>
        <v>Catalog Record</v>
      </c>
      <c r="AW5269" s="6" t="str">
        <f>HYPERLINK("http://www.worldcat.org/oclc/17551966","WorldCat Record")</f>
        <v>WorldCat Record</v>
      </c>
      <c r="AX5269" s="3" t="s">
        <v>50536</v>
      </c>
      <c r="AY5269" s="3" t="s">
        <v>50537</v>
      </c>
      <c r="AZ5269" s="3" t="s">
        <v>50538</v>
      </c>
      <c r="BA5269" s="3" t="s">
        <v>50538</v>
      </c>
      <c r="BB5269" s="3" t="s">
        <v>50539</v>
      </c>
      <c r="BC5269" s="3" t="s">
        <v>102</v>
      </c>
      <c r="BD5269" s="3" t="s">
        <v>231</v>
      </c>
      <c r="BE5269" s="3" t="s">
        <v>50540</v>
      </c>
      <c r="BF5269" s="3" t="s">
        <v>50539</v>
      </c>
      <c r="BG5269" s="3" t="s">
        <v>50541</v>
      </c>
    </row>
    <row r="5270" spans="1:59" ht="58" x14ac:dyDescent="0.35">
      <c r="A5270" s="2" t="s">
        <v>89</v>
      </c>
      <c r="B5270" s="2" t="s">
        <v>90</v>
      </c>
      <c r="C5270" s="2" t="s">
        <v>50542</v>
      </c>
      <c r="D5270" s="2" t="s">
        <v>50543</v>
      </c>
      <c r="E5270" s="2" t="s">
        <v>50544</v>
      </c>
      <c r="G5270" s="3" t="s">
        <v>62</v>
      </c>
      <c r="I5270" s="3" t="s">
        <v>62</v>
      </c>
      <c r="J5270" s="3" t="s">
        <v>62</v>
      </c>
      <c r="K5270" s="3" t="s">
        <v>63</v>
      </c>
      <c r="M5270" s="2" t="s">
        <v>14135</v>
      </c>
      <c r="N5270" s="3" t="s">
        <v>2975</v>
      </c>
      <c r="P5270" s="3" t="s">
        <v>64</v>
      </c>
      <c r="R5270" s="3" t="s">
        <v>46535</v>
      </c>
      <c r="S5270" s="4">
        <v>11</v>
      </c>
      <c r="T5270" s="4">
        <v>11</v>
      </c>
      <c r="U5270" s="5" t="s">
        <v>16075</v>
      </c>
      <c r="V5270" s="5" t="s">
        <v>16075</v>
      </c>
      <c r="W5270" s="5" t="s">
        <v>67</v>
      </c>
      <c r="X5270" s="5" t="s">
        <v>67</v>
      </c>
      <c r="Y5270" s="4">
        <v>224</v>
      </c>
      <c r="Z5270" s="4">
        <v>17</v>
      </c>
      <c r="AA5270" s="4">
        <v>20</v>
      </c>
      <c r="AB5270" s="4">
        <v>2</v>
      </c>
      <c r="AC5270" s="4">
        <v>4</v>
      </c>
      <c r="AD5270" s="4">
        <v>93</v>
      </c>
      <c r="AE5270" s="4">
        <v>96</v>
      </c>
      <c r="AF5270" s="4">
        <v>1</v>
      </c>
      <c r="AG5270" s="4">
        <v>2</v>
      </c>
      <c r="AH5270" s="4">
        <v>81</v>
      </c>
      <c r="AI5270" s="4">
        <v>83</v>
      </c>
      <c r="AJ5270" s="4">
        <v>14</v>
      </c>
      <c r="AK5270" s="4">
        <v>16</v>
      </c>
      <c r="AL5270" s="4">
        <v>48</v>
      </c>
      <c r="AM5270" s="4">
        <v>49</v>
      </c>
      <c r="AN5270" s="4">
        <v>0</v>
      </c>
      <c r="AO5270" s="4">
        <v>0</v>
      </c>
      <c r="AP5270" s="4">
        <v>14</v>
      </c>
      <c r="AQ5270" s="4">
        <v>15</v>
      </c>
      <c r="AR5270" s="3" t="s">
        <v>62</v>
      </c>
      <c r="AS5270" s="3" t="s">
        <v>62</v>
      </c>
      <c r="AT5270" s="3" t="s">
        <v>62</v>
      </c>
      <c r="AV5270" s="6" t="str">
        <f>HYPERLINK("http://mcgill.on.worldcat.org/oclc/43751783","Catalog Record")</f>
        <v>Catalog Record</v>
      </c>
      <c r="AW5270" s="6" t="str">
        <f>HYPERLINK("http://www.worldcat.org/oclc/43751783","WorldCat Record")</f>
        <v>WorldCat Record</v>
      </c>
      <c r="AX5270" s="3" t="s">
        <v>50545</v>
      </c>
      <c r="AY5270" s="3" t="s">
        <v>50546</v>
      </c>
      <c r="AZ5270" s="3" t="s">
        <v>50547</v>
      </c>
      <c r="BA5270" s="3" t="s">
        <v>50547</v>
      </c>
      <c r="BB5270" s="3" t="s">
        <v>50548</v>
      </c>
      <c r="BC5270" s="3" t="s">
        <v>102</v>
      </c>
      <c r="BD5270" s="3" t="s">
        <v>68</v>
      </c>
      <c r="BE5270" s="3" t="s">
        <v>50549</v>
      </c>
      <c r="BF5270" s="3" t="s">
        <v>50548</v>
      </c>
      <c r="BG5270" s="3" t="s">
        <v>50550</v>
      </c>
    </row>
    <row r="5271" spans="1:59" ht="58" x14ac:dyDescent="0.35">
      <c r="A5271" s="2" t="s">
        <v>89</v>
      </c>
      <c r="B5271" s="2" t="s">
        <v>90</v>
      </c>
      <c r="C5271" s="2" t="s">
        <v>50551</v>
      </c>
      <c r="D5271" s="2" t="s">
        <v>50552</v>
      </c>
      <c r="E5271" s="2" t="s">
        <v>50553</v>
      </c>
      <c r="G5271" s="3" t="s">
        <v>62</v>
      </c>
      <c r="I5271" s="3" t="s">
        <v>62</v>
      </c>
      <c r="J5271" s="3" t="s">
        <v>62</v>
      </c>
      <c r="K5271" s="3" t="s">
        <v>63</v>
      </c>
      <c r="M5271" s="2" t="s">
        <v>50554</v>
      </c>
      <c r="N5271" s="3" t="s">
        <v>852</v>
      </c>
      <c r="P5271" s="3" t="s">
        <v>64</v>
      </c>
      <c r="R5271" s="3" t="s">
        <v>46535</v>
      </c>
      <c r="S5271" s="4">
        <v>2</v>
      </c>
      <c r="T5271" s="4">
        <v>2</v>
      </c>
      <c r="U5271" s="5" t="s">
        <v>7089</v>
      </c>
      <c r="V5271" s="5" t="s">
        <v>7089</v>
      </c>
      <c r="W5271" s="5" t="s">
        <v>67</v>
      </c>
      <c r="X5271" s="5" t="s">
        <v>67</v>
      </c>
      <c r="Y5271" s="4">
        <v>499</v>
      </c>
      <c r="Z5271" s="4">
        <v>32</v>
      </c>
      <c r="AA5271" s="4">
        <v>37</v>
      </c>
      <c r="AB5271" s="4">
        <v>2</v>
      </c>
      <c r="AC5271" s="4">
        <v>6</v>
      </c>
      <c r="AD5271" s="4">
        <v>110</v>
      </c>
      <c r="AE5271" s="4">
        <v>112</v>
      </c>
      <c r="AF5271" s="4">
        <v>1</v>
      </c>
      <c r="AG5271" s="4">
        <v>3</v>
      </c>
      <c r="AH5271" s="4">
        <v>90</v>
      </c>
      <c r="AI5271" s="4">
        <v>90</v>
      </c>
      <c r="AJ5271" s="4">
        <v>18</v>
      </c>
      <c r="AK5271" s="4">
        <v>20</v>
      </c>
      <c r="AL5271" s="4">
        <v>53</v>
      </c>
      <c r="AM5271" s="4">
        <v>53</v>
      </c>
      <c r="AN5271" s="4">
        <v>0</v>
      </c>
      <c r="AO5271" s="4">
        <v>0</v>
      </c>
      <c r="AP5271" s="4">
        <v>27</v>
      </c>
      <c r="AQ5271" s="4">
        <v>29</v>
      </c>
      <c r="AR5271" s="3" t="s">
        <v>62</v>
      </c>
      <c r="AS5271" s="3" t="s">
        <v>62</v>
      </c>
      <c r="AT5271" s="3" t="s">
        <v>61</v>
      </c>
      <c r="AU5271" s="6" t="str">
        <f>HYPERLINK("http://catalog.hathitrust.org/Record/001554925","HathiTrust Record")</f>
        <v>HathiTrust Record</v>
      </c>
      <c r="AV5271" s="6" t="str">
        <f>HYPERLINK("http://mcgill.on.worldcat.org/oclc/27297","Catalog Record")</f>
        <v>Catalog Record</v>
      </c>
      <c r="AW5271" s="6" t="str">
        <f>HYPERLINK("http://www.worldcat.org/oclc/27297","WorldCat Record")</f>
        <v>WorldCat Record</v>
      </c>
      <c r="AX5271" s="3" t="s">
        <v>50555</v>
      </c>
      <c r="AY5271" s="3" t="s">
        <v>50556</v>
      </c>
      <c r="AZ5271" s="3" t="s">
        <v>50557</v>
      </c>
      <c r="BA5271" s="3" t="s">
        <v>50557</v>
      </c>
      <c r="BB5271" s="3" t="s">
        <v>50558</v>
      </c>
      <c r="BC5271" s="3" t="s">
        <v>102</v>
      </c>
      <c r="BD5271" s="3" t="s">
        <v>68</v>
      </c>
      <c r="BE5271" s="3" t="s">
        <v>50559</v>
      </c>
      <c r="BF5271" s="3" t="s">
        <v>50558</v>
      </c>
      <c r="BG5271" s="3" t="s">
        <v>50560</v>
      </c>
    </row>
    <row r="5272" spans="1:59" ht="58" x14ac:dyDescent="0.35">
      <c r="A5272" s="2" t="s">
        <v>89</v>
      </c>
      <c r="B5272" s="2" t="s">
        <v>90</v>
      </c>
      <c r="C5272" s="2" t="s">
        <v>50561</v>
      </c>
      <c r="D5272" s="2" t="s">
        <v>50562</v>
      </c>
      <c r="E5272" s="2" t="s">
        <v>50563</v>
      </c>
      <c r="G5272" s="3" t="s">
        <v>62</v>
      </c>
      <c r="I5272" s="3" t="s">
        <v>62</v>
      </c>
      <c r="J5272" s="3" t="s">
        <v>62</v>
      </c>
      <c r="K5272" s="3" t="s">
        <v>63</v>
      </c>
      <c r="M5272" s="2" t="s">
        <v>37029</v>
      </c>
      <c r="N5272" s="3" t="s">
        <v>698</v>
      </c>
      <c r="P5272" s="3" t="s">
        <v>64</v>
      </c>
      <c r="R5272" s="3" t="s">
        <v>46535</v>
      </c>
      <c r="S5272" s="4">
        <v>0</v>
      </c>
      <c r="T5272" s="4">
        <v>0</v>
      </c>
      <c r="W5272" s="5" t="s">
        <v>67</v>
      </c>
      <c r="X5272" s="5" t="s">
        <v>67</v>
      </c>
      <c r="Y5272" s="4">
        <v>245</v>
      </c>
      <c r="Z5272" s="4">
        <v>23</v>
      </c>
      <c r="AA5272" s="4">
        <v>35</v>
      </c>
      <c r="AB5272" s="4">
        <v>2</v>
      </c>
      <c r="AC5272" s="4">
        <v>9</v>
      </c>
      <c r="AD5272" s="4">
        <v>82</v>
      </c>
      <c r="AE5272" s="4">
        <v>92</v>
      </c>
      <c r="AF5272" s="4">
        <v>1</v>
      </c>
      <c r="AG5272" s="4">
        <v>4</v>
      </c>
      <c r="AH5272" s="4">
        <v>68</v>
      </c>
      <c r="AI5272" s="4">
        <v>71</v>
      </c>
      <c r="AJ5272" s="4">
        <v>16</v>
      </c>
      <c r="AK5272" s="4">
        <v>20</v>
      </c>
      <c r="AL5272" s="4">
        <v>38</v>
      </c>
      <c r="AM5272" s="4">
        <v>39</v>
      </c>
      <c r="AN5272" s="4">
        <v>0</v>
      </c>
      <c r="AO5272" s="4">
        <v>0</v>
      </c>
      <c r="AP5272" s="4">
        <v>20</v>
      </c>
      <c r="AQ5272" s="4">
        <v>27</v>
      </c>
      <c r="AR5272" s="3" t="s">
        <v>62</v>
      </c>
      <c r="AS5272" s="3" t="s">
        <v>62</v>
      </c>
      <c r="AT5272" s="3" t="s">
        <v>62</v>
      </c>
      <c r="AV5272" s="6" t="str">
        <f>HYPERLINK("http://mcgill.on.worldcat.org/oclc/783148828","Catalog Record")</f>
        <v>Catalog Record</v>
      </c>
      <c r="AW5272" s="6" t="str">
        <f>HYPERLINK("http://www.worldcat.org/oclc/783148828","WorldCat Record")</f>
        <v>WorldCat Record</v>
      </c>
      <c r="AX5272" s="3" t="s">
        <v>50564</v>
      </c>
      <c r="AY5272" s="3" t="s">
        <v>50565</v>
      </c>
      <c r="AZ5272" s="3" t="s">
        <v>50566</v>
      </c>
      <c r="BA5272" s="3" t="s">
        <v>50566</v>
      </c>
      <c r="BB5272" s="3" t="s">
        <v>50567</v>
      </c>
      <c r="BC5272" s="3" t="s">
        <v>102</v>
      </c>
      <c r="BD5272" s="3" t="s">
        <v>68</v>
      </c>
      <c r="BE5272" s="3" t="s">
        <v>50568</v>
      </c>
      <c r="BF5272" s="3" t="s">
        <v>50567</v>
      </c>
      <c r="BG5272" s="3" t="s">
        <v>50569</v>
      </c>
    </row>
    <row r="5273" spans="1:59" ht="58" x14ac:dyDescent="0.35">
      <c r="A5273" s="2" t="s">
        <v>89</v>
      </c>
      <c r="B5273" s="2" t="s">
        <v>90</v>
      </c>
      <c r="C5273" s="2" t="s">
        <v>50570</v>
      </c>
      <c r="D5273" s="2" t="s">
        <v>50571</v>
      </c>
      <c r="E5273" s="2" t="s">
        <v>50572</v>
      </c>
      <c r="G5273" s="3" t="s">
        <v>62</v>
      </c>
      <c r="I5273" s="3" t="s">
        <v>61</v>
      </c>
      <c r="J5273" s="3" t="s">
        <v>62</v>
      </c>
      <c r="K5273" s="3" t="s">
        <v>63</v>
      </c>
      <c r="M5273" s="2" t="s">
        <v>12096</v>
      </c>
      <c r="N5273" s="3" t="s">
        <v>596</v>
      </c>
      <c r="P5273" s="3" t="s">
        <v>64</v>
      </c>
      <c r="R5273" s="3" t="s">
        <v>46535</v>
      </c>
      <c r="S5273" s="4">
        <v>8</v>
      </c>
      <c r="T5273" s="4">
        <v>14</v>
      </c>
      <c r="U5273" s="5" t="s">
        <v>50573</v>
      </c>
      <c r="V5273" s="5" t="s">
        <v>226</v>
      </c>
      <c r="W5273" s="5" t="s">
        <v>67</v>
      </c>
      <c r="X5273" s="5" t="s">
        <v>67</v>
      </c>
      <c r="Y5273" s="4">
        <v>283</v>
      </c>
      <c r="Z5273" s="4">
        <v>24</v>
      </c>
      <c r="AA5273" s="4">
        <v>93</v>
      </c>
      <c r="AB5273" s="4">
        <v>2</v>
      </c>
      <c r="AC5273" s="4">
        <v>17</v>
      </c>
      <c r="AD5273" s="4">
        <v>101</v>
      </c>
      <c r="AE5273" s="4">
        <v>140</v>
      </c>
      <c r="AF5273" s="4">
        <v>1</v>
      </c>
      <c r="AG5273" s="4">
        <v>8</v>
      </c>
      <c r="AH5273" s="4">
        <v>89</v>
      </c>
      <c r="AI5273" s="4">
        <v>102</v>
      </c>
      <c r="AJ5273" s="4">
        <v>18</v>
      </c>
      <c r="AK5273" s="4">
        <v>25</v>
      </c>
      <c r="AL5273" s="4">
        <v>48</v>
      </c>
      <c r="AM5273" s="4">
        <v>53</v>
      </c>
      <c r="AN5273" s="4">
        <v>0</v>
      </c>
      <c r="AO5273" s="4">
        <v>0</v>
      </c>
      <c r="AP5273" s="4">
        <v>22</v>
      </c>
      <c r="AQ5273" s="4">
        <v>48</v>
      </c>
      <c r="AR5273" s="3" t="s">
        <v>62</v>
      </c>
      <c r="AS5273" s="3" t="s">
        <v>62</v>
      </c>
      <c r="AT5273" s="3" t="s">
        <v>62</v>
      </c>
      <c r="AV5273" s="6" t="str">
        <f>HYPERLINK("http://mcgill.on.worldcat.org/oclc/47659408","Catalog Record")</f>
        <v>Catalog Record</v>
      </c>
      <c r="AW5273" s="6" t="str">
        <f>HYPERLINK("http://www.worldcat.org/oclc/47659408","WorldCat Record")</f>
        <v>WorldCat Record</v>
      </c>
      <c r="AX5273" s="3" t="s">
        <v>50574</v>
      </c>
      <c r="AY5273" s="3" t="s">
        <v>50575</v>
      </c>
      <c r="AZ5273" s="3" t="s">
        <v>50576</v>
      </c>
      <c r="BA5273" s="3" t="s">
        <v>50576</v>
      </c>
      <c r="BB5273" s="3" t="s">
        <v>50577</v>
      </c>
      <c r="BC5273" s="3" t="s">
        <v>102</v>
      </c>
      <c r="BD5273" s="3" t="s">
        <v>68</v>
      </c>
      <c r="BE5273" s="3" t="s">
        <v>50578</v>
      </c>
      <c r="BF5273" s="3" t="s">
        <v>50577</v>
      </c>
      <c r="BG5273" s="3" t="s">
        <v>50579</v>
      </c>
    </row>
    <row r="5274" spans="1:59" ht="58" x14ac:dyDescent="0.35">
      <c r="A5274" s="2" t="s">
        <v>89</v>
      </c>
      <c r="B5274" s="2" t="s">
        <v>90</v>
      </c>
      <c r="C5274" s="2" t="s">
        <v>50580</v>
      </c>
      <c r="D5274" s="2" t="s">
        <v>50571</v>
      </c>
      <c r="E5274" s="2" t="s">
        <v>50572</v>
      </c>
      <c r="G5274" s="3" t="s">
        <v>62</v>
      </c>
      <c r="I5274" s="3" t="s">
        <v>61</v>
      </c>
      <c r="J5274" s="3" t="s">
        <v>62</v>
      </c>
      <c r="K5274" s="3" t="s">
        <v>63</v>
      </c>
      <c r="M5274" s="2" t="s">
        <v>12096</v>
      </c>
      <c r="N5274" s="3" t="s">
        <v>596</v>
      </c>
      <c r="P5274" s="3" t="s">
        <v>64</v>
      </c>
      <c r="R5274" s="3" t="s">
        <v>46535</v>
      </c>
      <c r="S5274" s="4">
        <v>6</v>
      </c>
      <c r="T5274" s="4">
        <v>14</v>
      </c>
      <c r="U5274" s="5" t="s">
        <v>226</v>
      </c>
      <c r="V5274" s="5" t="s">
        <v>226</v>
      </c>
      <c r="W5274" s="5" t="s">
        <v>67</v>
      </c>
      <c r="X5274" s="5" t="s">
        <v>67</v>
      </c>
      <c r="Y5274" s="4">
        <v>283</v>
      </c>
      <c r="Z5274" s="4">
        <v>24</v>
      </c>
      <c r="AA5274" s="4">
        <v>93</v>
      </c>
      <c r="AB5274" s="4">
        <v>2</v>
      </c>
      <c r="AC5274" s="4">
        <v>17</v>
      </c>
      <c r="AD5274" s="4">
        <v>101</v>
      </c>
      <c r="AE5274" s="4">
        <v>140</v>
      </c>
      <c r="AF5274" s="4">
        <v>1</v>
      </c>
      <c r="AG5274" s="4">
        <v>8</v>
      </c>
      <c r="AH5274" s="4">
        <v>89</v>
      </c>
      <c r="AI5274" s="4">
        <v>102</v>
      </c>
      <c r="AJ5274" s="4">
        <v>18</v>
      </c>
      <c r="AK5274" s="4">
        <v>25</v>
      </c>
      <c r="AL5274" s="4">
        <v>48</v>
      </c>
      <c r="AM5274" s="4">
        <v>53</v>
      </c>
      <c r="AN5274" s="4">
        <v>0</v>
      </c>
      <c r="AO5274" s="4">
        <v>0</v>
      </c>
      <c r="AP5274" s="4">
        <v>22</v>
      </c>
      <c r="AQ5274" s="4">
        <v>48</v>
      </c>
      <c r="AR5274" s="3" t="s">
        <v>62</v>
      </c>
      <c r="AS5274" s="3" t="s">
        <v>62</v>
      </c>
      <c r="AT5274" s="3" t="s">
        <v>62</v>
      </c>
      <c r="AV5274" s="6" t="str">
        <f>HYPERLINK("http://mcgill.on.worldcat.org/oclc/47659408","Catalog Record")</f>
        <v>Catalog Record</v>
      </c>
      <c r="AW5274" s="6" t="str">
        <f>HYPERLINK("http://www.worldcat.org/oclc/47659408","WorldCat Record")</f>
        <v>WorldCat Record</v>
      </c>
      <c r="AX5274" s="3" t="s">
        <v>50574</v>
      </c>
      <c r="AY5274" s="3" t="s">
        <v>50575</v>
      </c>
      <c r="AZ5274" s="3" t="s">
        <v>50576</v>
      </c>
      <c r="BA5274" s="3" t="s">
        <v>50576</v>
      </c>
      <c r="BB5274" s="3" t="s">
        <v>50581</v>
      </c>
      <c r="BC5274" s="3" t="s">
        <v>102</v>
      </c>
      <c r="BD5274" s="3" t="s">
        <v>231</v>
      </c>
      <c r="BE5274" s="3" t="s">
        <v>50578</v>
      </c>
      <c r="BF5274" s="3" t="s">
        <v>50581</v>
      </c>
      <c r="BG5274" s="3" t="s">
        <v>50582</v>
      </c>
    </row>
    <row r="5275" spans="1:59" ht="58" x14ac:dyDescent="0.35">
      <c r="A5275" s="2" t="s">
        <v>89</v>
      </c>
      <c r="B5275" s="2" t="s">
        <v>90</v>
      </c>
      <c r="C5275" s="2" t="s">
        <v>50583</v>
      </c>
      <c r="D5275" s="2" t="s">
        <v>50584</v>
      </c>
      <c r="E5275" s="2" t="s">
        <v>50585</v>
      </c>
      <c r="G5275" s="3" t="s">
        <v>62</v>
      </c>
      <c r="I5275" s="3" t="s">
        <v>62</v>
      </c>
      <c r="J5275" s="3" t="s">
        <v>62</v>
      </c>
      <c r="K5275" s="3" t="s">
        <v>63</v>
      </c>
      <c r="L5275" s="2" t="s">
        <v>50586</v>
      </c>
      <c r="M5275" s="2" t="s">
        <v>50587</v>
      </c>
      <c r="N5275" s="3" t="s">
        <v>655</v>
      </c>
      <c r="O5275" s="2" t="s">
        <v>2163</v>
      </c>
      <c r="P5275" s="3" t="s">
        <v>64</v>
      </c>
      <c r="R5275" s="3" t="s">
        <v>46535</v>
      </c>
      <c r="S5275" s="4">
        <v>37</v>
      </c>
      <c r="T5275" s="4">
        <v>37</v>
      </c>
      <c r="U5275" s="5" t="s">
        <v>15891</v>
      </c>
      <c r="V5275" s="5" t="s">
        <v>15891</v>
      </c>
      <c r="W5275" s="5" t="s">
        <v>67</v>
      </c>
      <c r="X5275" s="5" t="s">
        <v>67</v>
      </c>
      <c r="Y5275" s="4">
        <v>1318</v>
      </c>
      <c r="Z5275" s="4">
        <v>57</v>
      </c>
      <c r="AA5275" s="4">
        <v>84</v>
      </c>
      <c r="AB5275" s="4">
        <v>6</v>
      </c>
      <c r="AC5275" s="4">
        <v>10</v>
      </c>
      <c r="AD5275" s="4">
        <v>110</v>
      </c>
      <c r="AE5275" s="4">
        <v>132</v>
      </c>
      <c r="AF5275" s="4">
        <v>2</v>
      </c>
      <c r="AG5275" s="4">
        <v>4</v>
      </c>
      <c r="AH5275" s="4">
        <v>89</v>
      </c>
      <c r="AI5275" s="4">
        <v>102</v>
      </c>
      <c r="AJ5275" s="4">
        <v>15</v>
      </c>
      <c r="AK5275" s="4">
        <v>22</v>
      </c>
      <c r="AL5275" s="4">
        <v>48</v>
      </c>
      <c r="AM5275" s="4">
        <v>54</v>
      </c>
      <c r="AN5275" s="4">
        <v>0</v>
      </c>
      <c r="AO5275" s="4">
        <v>0</v>
      </c>
      <c r="AP5275" s="4">
        <v>27</v>
      </c>
      <c r="AQ5275" s="4">
        <v>40</v>
      </c>
      <c r="AR5275" s="3" t="s">
        <v>62</v>
      </c>
      <c r="AS5275" s="3" t="s">
        <v>62</v>
      </c>
      <c r="AT5275" s="3" t="s">
        <v>62</v>
      </c>
      <c r="AV5275" s="6" t="str">
        <f>HYPERLINK("http://mcgill.on.worldcat.org/oclc/148887403","Catalog Record")</f>
        <v>Catalog Record</v>
      </c>
      <c r="AW5275" s="6" t="str">
        <f>HYPERLINK("http://www.worldcat.org/oclc/148887403","WorldCat Record")</f>
        <v>WorldCat Record</v>
      </c>
      <c r="AX5275" s="3" t="s">
        <v>50588</v>
      </c>
      <c r="AY5275" s="3" t="s">
        <v>50589</v>
      </c>
      <c r="AZ5275" s="3" t="s">
        <v>50590</v>
      </c>
      <c r="BA5275" s="3" t="s">
        <v>50590</v>
      </c>
      <c r="BB5275" s="3" t="s">
        <v>50591</v>
      </c>
      <c r="BC5275" s="3" t="s">
        <v>102</v>
      </c>
      <c r="BD5275" s="3" t="s">
        <v>231</v>
      </c>
      <c r="BE5275" s="3" t="s">
        <v>50592</v>
      </c>
      <c r="BF5275" s="3" t="s">
        <v>50591</v>
      </c>
      <c r="BG5275" s="3" t="s">
        <v>50593</v>
      </c>
    </row>
    <row r="5276" spans="1:59" ht="58" x14ac:dyDescent="0.35">
      <c r="A5276" s="2" t="s">
        <v>89</v>
      </c>
      <c r="B5276" s="2" t="s">
        <v>90</v>
      </c>
      <c r="C5276" s="2" t="s">
        <v>50594</v>
      </c>
      <c r="D5276" s="2" t="s">
        <v>50595</v>
      </c>
      <c r="E5276" s="2" t="s">
        <v>50596</v>
      </c>
      <c r="G5276" s="3" t="s">
        <v>62</v>
      </c>
      <c r="I5276" s="3" t="s">
        <v>62</v>
      </c>
      <c r="J5276" s="3" t="s">
        <v>62</v>
      </c>
      <c r="K5276" s="3" t="s">
        <v>63</v>
      </c>
      <c r="L5276" s="2" t="s">
        <v>50597</v>
      </c>
      <c r="M5276" s="2" t="s">
        <v>50598</v>
      </c>
      <c r="N5276" s="3" t="s">
        <v>2975</v>
      </c>
      <c r="P5276" s="3" t="s">
        <v>64</v>
      </c>
      <c r="Q5276" s="2" t="s">
        <v>50599</v>
      </c>
      <c r="R5276" s="3" t="s">
        <v>46535</v>
      </c>
      <c r="S5276" s="4">
        <v>34</v>
      </c>
      <c r="T5276" s="4">
        <v>34</v>
      </c>
      <c r="U5276" s="5" t="s">
        <v>84</v>
      </c>
      <c r="V5276" s="5" t="s">
        <v>84</v>
      </c>
      <c r="W5276" s="5" t="s">
        <v>67</v>
      </c>
      <c r="X5276" s="5" t="s">
        <v>67</v>
      </c>
      <c r="Y5276" s="4">
        <v>26</v>
      </c>
      <c r="Z5276" s="4">
        <v>2</v>
      </c>
      <c r="AA5276" s="4">
        <v>41</v>
      </c>
      <c r="AB5276" s="4">
        <v>1</v>
      </c>
      <c r="AC5276" s="4">
        <v>6</v>
      </c>
      <c r="AD5276" s="4">
        <v>9</v>
      </c>
      <c r="AE5276" s="4">
        <v>120</v>
      </c>
      <c r="AF5276" s="4">
        <v>0</v>
      </c>
      <c r="AG5276" s="4">
        <v>3</v>
      </c>
      <c r="AH5276" s="4">
        <v>7</v>
      </c>
      <c r="AI5276" s="4">
        <v>100</v>
      </c>
      <c r="AJ5276" s="4">
        <v>1</v>
      </c>
      <c r="AK5276" s="4">
        <v>18</v>
      </c>
      <c r="AL5276" s="4">
        <v>3</v>
      </c>
      <c r="AM5276" s="4">
        <v>55</v>
      </c>
      <c r="AN5276" s="4">
        <v>0</v>
      </c>
      <c r="AO5276" s="4">
        <v>0</v>
      </c>
      <c r="AP5276" s="4">
        <v>1</v>
      </c>
      <c r="AQ5276" s="4">
        <v>26</v>
      </c>
      <c r="AR5276" s="3" t="s">
        <v>62</v>
      </c>
      <c r="AS5276" s="3" t="s">
        <v>62</v>
      </c>
      <c r="AT5276" s="3" t="s">
        <v>62</v>
      </c>
      <c r="AV5276" s="6" t="str">
        <f>HYPERLINK("http://mcgill.on.worldcat.org/oclc/222752784","Catalog Record")</f>
        <v>Catalog Record</v>
      </c>
      <c r="AW5276" s="6" t="str">
        <f>HYPERLINK("http://www.worldcat.org/oclc/222752784","WorldCat Record")</f>
        <v>WorldCat Record</v>
      </c>
      <c r="AX5276" s="3" t="s">
        <v>50600</v>
      </c>
      <c r="AY5276" s="3" t="s">
        <v>50601</v>
      </c>
      <c r="AZ5276" s="3" t="s">
        <v>50602</v>
      </c>
      <c r="BA5276" s="3" t="s">
        <v>50602</v>
      </c>
      <c r="BB5276" s="3" t="s">
        <v>50603</v>
      </c>
      <c r="BC5276" s="3" t="s">
        <v>102</v>
      </c>
      <c r="BD5276" s="3" t="s">
        <v>68</v>
      </c>
      <c r="BE5276" s="3" t="s">
        <v>50604</v>
      </c>
      <c r="BF5276" s="3" t="s">
        <v>50603</v>
      </c>
      <c r="BG5276" s="3" t="s">
        <v>50605</v>
      </c>
    </row>
    <row r="5277" spans="1:59" ht="101.5" x14ac:dyDescent="0.35">
      <c r="A5277" s="2" t="s">
        <v>89</v>
      </c>
      <c r="B5277" s="2" t="s">
        <v>90</v>
      </c>
      <c r="C5277" s="2" t="s">
        <v>50606</v>
      </c>
      <c r="D5277" s="2" t="s">
        <v>50607</v>
      </c>
      <c r="E5277" s="2" t="s">
        <v>50608</v>
      </c>
      <c r="G5277" s="3" t="s">
        <v>62</v>
      </c>
      <c r="I5277" s="3" t="s">
        <v>62</v>
      </c>
      <c r="J5277" s="3" t="s">
        <v>62</v>
      </c>
      <c r="K5277" s="3" t="s">
        <v>63</v>
      </c>
      <c r="M5277" s="2" t="s">
        <v>50609</v>
      </c>
      <c r="N5277" s="3" t="s">
        <v>726</v>
      </c>
      <c r="P5277" s="3" t="s">
        <v>64</v>
      </c>
      <c r="R5277" s="3" t="s">
        <v>46535</v>
      </c>
      <c r="S5277" s="4">
        <v>7</v>
      </c>
      <c r="T5277" s="4">
        <v>7</v>
      </c>
      <c r="U5277" s="5" t="s">
        <v>22360</v>
      </c>
      <c r="V5277" s="5" t="s">
        <v>22360</v>
      </c>
      <c r="W5277" s="5" t="s">
        <v>67</v>
      </c>
      <c r="X5277" s="5" t="s">
        <v>67</v>
      </c>
      <c r="Y5277" s="4">
        <v>39</v>
      </c>
      <c r="Z5277" s="4">
        <v>5</v>
      </c>
      <c r="AA5277" s="4">
        <v>8</v>
      </c>
      <c r="AB5277" s="4">
        <v>1</v>
      </c>
      <c r="AC5277" s="4">
        <v>3</v>
      </c>
      <c r="AD5277" s="4">
        <v>9</v>
      </c>
      <c r="AE5277" s="4">
        <v>16</v>
      </c>
      <c r="AF5277" s="4">
        <v>0</v>
      </c>
      <c r="AG5277" s="4">
        <v>0</v>
      </c>
      <c r="AH5277" s="4">
        <v>8</v>
      </c>
      <c r="AI5277" s="4">
        <v>14</v>
      </c>
      <c r="AJ5277" s="4">
        <v>2</v>
      </c>
      <c r="AK5277" s="4">
        <v>3</v>
      </c>
      <c r="AL5277" s="4">
        <v>5</v>
      </c>
      <c r="AM5277" s="4">
        <v>10</v>
      </c>
      <c r="AN5277" s="4">
        <v>0</v>
      </c>
      <c r="AO5277" s="4">
        <v>0</v>
      </c>
      <c r="AP5277" s="4">
        <v>2</v>
      </c>
      <c r="AQ5277" s="4">
        <v>3</v>
      </c>
      <c r="AR5277" s="3" t="s">
        <v>62</v>
      </c>
      <c r="AS5277" s="3" t="s">
        <v>62</v>
      </c>
      <c r="AT5277" s="3" t="s">
        <v>62</v>
      </c>
      <c r="AV5277" s="6" t="str">
        <f>HYPERLINK("http://mcgill.on.worldcat.org/oclc/898164477","Catalog Record")</f>
        <v>Catalog Record</v>
      </c>
      <c r="AW5277" s="6" t="str">
        <f>HYPERLINK("http://www.worldcat.org/oclc/898164477","WorldCat Record")</f>
        <v>WorldCat Record</v>
      </c>
      <c r="AX5277" s="3" t="s">
        <v>50610</v>
      </c>
      <c r="AY5277" s="3" t="s">
        <v>50611</v>
      </c>
      <c r="AZ5277" s="3" t="s">
        <v>50612</v>
      </c>
      <c r="BA5277" s="3" t="s">
        <v>50612</v>
      </c>
      <c r="BB5277" s="3" t="s">
        <v>50613</v>
      </c>
      <c r="BC5277" s="3" t="s">
        <v>102</v>
      </c>
      <c r="BD5277" s="3" t="s">
        <v>231</v>
      </c>
      <c r="BE5277" s="3" t="s">
        <v>50614</v>
      </c>
      <c r="BF5277" s="3" t="s">
        <v>50613</v>
      </c>
      <c r="BG5277" s="3" t="s">
        <v>50615</v>
      </c>
    </row>
    <row r="5278" spans="1:59" ht="58" x14ac:dyDescent="0.35">
      <c r="A5278" s="2" t="s">
        <v>89</v>
      </c>
      <c r="B5278" s="2" t="s">
        <v>90</v>
      </c>
      <c r="C5278" s="2" t="s">
        <v>50616</v>
      </c>
      <c r="D5278" s="2" t="s">
        <v>50617</v>
      </c>
      <c r="E5278" s="2" t="s">
        <v>50618</v>
      </c>
      <c r="G5278" s="3" t="s">
        <v>62</v>
      </c>
      <c r="I5278" s="3" t="s">
        <v>62</v>
      </c>
      <c r="J5278" s="3" t="s">
        <v>62</v>
      </c>
      <c r="K5278" s="3" t="s">
        <v>63</v>
      </c>
      <c r="M5278" s="2" t="s">
        <v>50619</v>
      </c>
      <c r="N5278" s="3" t="s">
        <v>640</v>
      </c>
      <c r="P5278" s="3" t="s">
        <v>64</v>
      </c>
      <c r="Q5278" s="2" t="s">
        <v>50620</v>
      </c>
      <c r="R5278" s="3" t="s">
        <v>46535</v>
      </c>
      <c r="S5278" s="4">
        <v>7</v>
      </c>
      <c r="T5278" s="4">
        <v>7</v>
      </c>
      <c r="U5278" s="5" t="s">
        <v>50621</v>
      </c>
      <c r="V5278" s="5" t="s">
        <v>50621</v>
      </c>
      <c r="W5278" s="5" t="s">
        <v>67</v>
      </c>
      <c r="X5278" s="5" t="s">
        <v>67</v>
      </c>
      <c r="Y5278" s="4">
        <v>104</v>
      </c>
      <c r="Z5278" s="4">
        <v>14</v>
      </c>
      <c r="AA5278" s="4">
        <v>105</v>
      </c>
      <c r="AB5278" s="4">
        <v>2</v>
      </c>
      <c r="AC5278" s="4">
        <v>17</v>
      </c>
      <c r="AD5278" s="4">
        <v>56</v>
      </c>
      <c r="AE5278" s="4">
        <v>123</v>
      </c>
      <c r="AF5278" s="4">
        <v>1</v>
      </c>
      <c r="AG5278" s="4">
        <v>8</v>
      </c>
      <c r="AH5278" s="4">
        <v>51</v>
      </c>
      <c r="AI5278" s="4">
        <v>86</v>
      </c>
      <c r="AJ5278" s="4">
        <v>10</v>
      </c>
      <c r="AK5278" s="4">
        <v>23</v>
      </c>
      <c r="AL5278" s="4">
        <v>32</v>
      </c>
      <c r="AM5278" s="4">
        <v>45</v>
      </c>
      <c r="AN5278" s="4">
        <v>0</v>
      </c>
      <c r="AO5278" s="4">
        <v>0</v>
      </c>
      <c r="AP5278" s="4">
        <v>11</v>
      </c>
      <c r="AQ5278" s="4">
        <v>45</v>
      </c>
      <c r="AR5278" s="3" t="s">
        <v>62</v>
      </c>
      <c r="AS5278" s="3" t="s">
        <v>62</v>
      </c>
      <c r="AT5278" s="3" t="s">
        <v>62</v>
      </c>
      <c r="AV5278" s="6" t="str">
        <f>HYPERLINK("http://mcgill.on.worldcat.org/oclc/55518175","Catalog Record")</f>
        <v>Catalog Record</v>
      </c>
      <c r="AW5278" s="6" t="str">
        <f>HYPERLINK("http://www.worldcat.org/oclc/55518175","WorldCat Record")</f>
        <v>WorldCat Record</v>
      </c>
      <c r="AX5278" s="3" t="s">
        <v>50622</v>
      </c>
      <c r="AY5278" s="3" t="s">
        <v>50623</v>
      </c>
      <c r="AZ5278" s="3" t="s">
        <v>50624</v>
      </c>
      <c r="BA5278" s="3" t="s">
        <v>50624</v>
      </c>
      <c r="BB5278" s="3" t="s">
        <v>50625</v>
      </c>
      <c r="BC5278" s="3" t="s">
        <v>102</v>
      </c>
      <c r="BD5278" s="3" t="s">
        <v>68</v>
      </c>
      <c r="BE5278" s="3" t="s">
        <v>50626</v>
      </c>
      <c r="BF5278" s="3" t="s">
        <v>50625</v>
      </c>
      <c r="BG5278" s="3" t="s">
        <v>50627</v>
      </c>
    </row>
    <row r="5279" spans="1:59" ht="58" x14ac:dyDescent="0.35">
      <c r="A5279" s="2" t="s">
        <v>89</v>
      </c>
      <c r="B5279" s="2" t="s">
        <v>90</v>
      </c>
      <c r="C5279" s="2" t="s">
        <v>50628</v>
      </c>
      <c r="D5279" s="2" t="s">
        <v>50629</v>
      </c>
      <c r="E5279" s="2" t="s">
        <v>50630</v>
      </c>
      <c r="G5279" s="3" t="s">
        <v>62</v>
      </c>
      <c r="I5279" s="3" t="s">
        <v>62</v>
      </c>
      <c r="J5279" s="3" t="s">
        <v>62</v>
      </c>
      <c r="K5279" s="3" t="s">
        <v>63</v>
      </c>
      <c r="L5279" s="2" t="s">
        <v>38123</v>
      </c>
      <c r="M5279" s="2" t="s">
        <v>31879</v>
      </c>
      <c r="N5279" s="3" t="s">
        <v>568</v>
      </c>
      <c r="O5279" s="2" t="s">
        <v>2163</v>
      </c>
      <c r="P5279" s="3" t="s">
        <v>64</v>
      </c>
      <c r="R5279" s="3" t="s">
        <v>46535</v>
      </c>
      <c r="S5279" s="4">
        <v>38</v>
      </c>
      <c r="T5279" s="4">
        <v>38</v>
      </c>
      <c r="U5279" s="5" t="s">
        <v>50631</v>
      </c>
      <c r="V5279" s="5" t="s">
        <v>50631</v>
      </c>
      <c r="W5279" s="5" t="s">
        <v>67</v>
      </c>
      <c r="X5279" s="5" t="s">
        <v>67</v>
      </c>
      <c r="Y5279" s="4">
        <v>543</v>
      </c>
      <c r="Z5279" s="4">
        <v>28</v>
      </c>
      <c r="AA5279" s="4">
        <v>32</v>
      </c>
      <c r="AB5279" s="4">
        <v>2</v>
      </c>
      <c r="AC5279" s="4">
        <v>5</v>
      </c>
      <c r="AD5279" s="4">
        <v>92</v>
      </c>
      <c r="AE5279" s="4">
        <v>95</v>
      </c>
      <c r="AF5279" s="4">
        <v>0</v>
      </c>
      <c r="AG5279" s="4">
        <v>1</v>
      </c>
      <c r="AH5279" s="4">
        <v>80</v>
      </c>
      <c r="AI5279" s="4">
        <v>82</v>
      </c>
      <c r="AJ5279" s="4">
        <v>9</v>
      </c>
      <c r="AK5279" s="4">
        <v>11</v>
      </c>
      <c r="AL5279" s="4">
        <v>52</v>
      </c>
      <c r="AM5279" s="4">
        <v>52</v>
      </c>
      <c r="AN5279" s="4">
        <v>0</v>
      </c>
      <c r="AO5279" s="4">
        <v>0</v>
      </c>
      <c r="AP5279" s="4">
        <v>14</v>
      </c>
      <c r="AQ5279" s="4">
        <v>16</v>
      </c>
      <c r="AR5279" s="3" t="s">
        <v>62</v>
      </c>
      <c r="AS5279" s="3" t="s">
        <v>62</v>
      </c>
      <c r="AT5279" s="3" t="s">
        <v>61</v>
      </c>
      <c r="AU5279" s="6" t="str">
        <f>HYPERLINK("http://catalog.hathitrust.org/Record/004118504","HathiTrust Record")</f>
        <v>HathiTrust Record</v>
      </c>
      <c r="AV5279" s="6" t="str">
        <f>HYPERLINK("http://mcgill.on.worldcat.org/oclc/43732396","Catalog Record")</f>
        <v>Catalog Record</v>
      </c>
      <c r="AW5279" s="6" t="str">
        <f>HYPERLINK("http://www.worldcat.org/oclc/43732396","WorldCat Record")</f>
        <v>WorldCat Record</v>
      </c>
      <c r="AX5279" s="3" t="s">
        <v>50632</v>
      </c>
      <c r="AY5279" s="3" t="s">
        <v>50633</v>
      </c>
      <c r="AZ5279" s="3" t="s">
        <v>50634</v>
      </c>
      <c r="BA5279" s="3" t="s">
        <v>50634</v>
      </c>
      <c r="BB5279" s="3" t="s">
        <v>50635</v>
      </c>
      <c r="BC5279" s="3" t="s">
        <v>102</v>
      </c>
      <c r="BD5279" s="3" t="s">
        <v>68</v>
      </c>
      <c r="BE5279" s="3" t="s">
        <v>50636</v>
      </c>
      <c r="BF5279" s="3" t="s">
        <v>50635</v>
      </c>
      <c r="BG5279" s="3" t="s">
        <v>50637</v>
      </c>
    </row>
    <row r="5280" spans="1:59" ht="58" x14ac:dyDescent="0.35">
      <c r="A5280" s="2" t="s">
        <v>89</v>
      </c>
      <c r="B5280" s="2" t="s">
        <v>90</v>
      </c>
      <c r="C5280" s="2" t="s">
        <v>50638</v>
      </c>
      <c r="D5280" s="2" t="s">
        <v>50639</v>
      </c>
      <c r="E5280" s="2" t="s">
        <v>50640</v>
      </c>
      <c r="G5280" s="3" t="s">
        <v>62</v>
      </c>
      <c r="I5280" s="3" t="s">
        <v>62</v>
      </c>
      <c r="J5280" s="3" t="s">
        <v>62</v>
      </c>
      <c r="K5280" s="3" t="s">
        <v>63</v>
      </c>
      <c r="M5280" s="2" t="s">
        <v>49244</v>
      </c>
      <c r="N5280" s="3" t="s">
        <v>625</v>
      </c>
      <c r="P5280" s="3" t="s">
        <v>64</v>
      </c>
      <c r="R5280" s="3" t="s">
        <v>46535</v>
      </c>
      <c r="S5280" s="4">
        <v>16</v>
      </c>
      <c r="T5280" s="4">
        <v>16</v>
      </c>
      <c r="U5280" s="5" t="s">
        <v>5766</v>
      </c>
      <c r="V5280" s="5" t="s">
        <v>5766</v>
      </c>
      <c r="W5280" s="5" t="s">
        <v>67</v>
      </c>
      <c r="X5280" s="5" t="s">
        <v>67</v>
      </c>
      <c r="Y5280" s="4">
        <v>297</v>
      </c>
      <c r="Z5280" s="4">
        <v>27</v>
      </c>
      <c r="AA5280" s="4">
        <v>97</v>
      </c>
      <c r="AB5280" s="4">
        <v>2</v>
      </c>
      <c r="AC5280" s="4">
        <v>17</v>
      </c>
      <c r="AD5280" s="4">
        <v>81</v>
      </c>
      <c r="AE5280" s="4">
        <v>128</v>
      </c>
      <c r="AF5280" s="4">
        <v>1</v>
      </c>
      <c r="AG5280" s="4">
        <v>8</v>
      </c>
      <c r="AH5280" s="4">
        <v>66</v>
      </c>
      <c r="AI5280" s="4">
        <v>88</v>
      </c>
      <c r="AJ5280" s="4">
        <v>17</v>
      </c>
      <c r="AK5280" s="4">
        <v>25</v>
      </c>
      <c r="AL5280" s="4">
        <v>32</v>
      </c>
      <c r="AM5280" s="4">
        <v>43</v>
      </c>
      <c r="AN5280" s="4">
        <v>0</v>
      </c>
      <c r="AO5280" s="4">
        <v>0</v>
      </c>
      <c r="AP5280" s="4">
        <v>22</v>
      </c>
      <c r="AQ5280" s="4">
        <v>49</v>
      </c>
      <c r="AR5280" s="3" t="s">
        <v>62</v>
      </c>
      <c r="AS5280" s="3" t="s">
        <v>62</v>
      </c>
      <c r="AT5280" s="3" t="s">
        <v>62</v>
      </c>
      <c r="AV5280" s="6" t="str">
        <f>HYPERLINK("http://mcgill.on.worldcat.org/oclc/50155496","Catalog Record")</f>
        <v>Catalog Record</v>
      </c>
      <c r="AW5280" s="6" t="str">
        <f>HYPERLINK("http://www.worldcat.org/oclc/50155496","WorldCat Record")</f>
        <v>WorldCat Record</v>
      </c>
      <c r="AX5280" s="3" t="s">
        <v>50641</v>
      </c>
      <c r="AY5280" s="3" t="s">
        <v>50642</v>
      </c>
      <c r="AZ5280" s="3" t="s">
        <v>50643</v>
      </c>
      <c r="BA5280" s="3" t="s">
        <v>50643</v>
      </c>
      <c r="BB5280" s="3" t="s">
        <v>50644</v>
      </c>
      <c r="BC5280" s="3" t="s">
        <v>102</v>
      </c>
      <c r="BD5280" s="3" t="s">
        <v>68</v>
      </c>
      <c r="BE5280" s="3" t="s">
        <v>50645</v>
      </c>
      <c r="BF5280" s="3" t="s">
        <v>50644</v>
      </c>
      <c r="BG5280" s="3" t="s">
        <v>50646</v>
      </c>
    </row>
    <row r="5281" spans="1:59" ht="58" x14ac:dyDescent="0.35">
      <c r="A5281" s="2" t="s">
        <v>89</v>
      </c>
      <c r="B5281" s="2" t="s">
        <v>90</v>
      </c>
      <c r="C5281" s="2" t="s">
        <v>50647</v>
      </c>
      <c r="D5281" s="2" t="s">
        <v>50648</v>
      </c>
      <c r="E5281" s="2" t="s">
        <v>50649</v>
      </c>
      <c r="G5281" s="3" t="s">
        <v>62</v>
      </c>
      <c r="I5281" s="3" t="s">
        <v>62</v>
      </c>
      <c r="J5281" s="3" t="s">
        <v>62</v>
      </c>
      <c r="K5281" s="3" t="s">
        <v>63</v>
      </c>
      <c r="M5281" s="2" t="s">
        <v>50650</v>
      </c>
      <c r="N5281" s="3" t="s">
        <v>539</v>
      </c>
      <c r="P5281" s="3" t="s">
        <v>64</v>
      </c>
      <c r="R5281" s="3" t="s">
        <v>46535</v>
      </c>
      <c r="S5281" s="4">
        <v>20</v>
      </c>
      <c r="T5281" s="4">
        <v>20</v>
      </c>
      <c r="U5281" s="5" t="s">
        <v>10239</v>
      </c>
      <c r="V5281" s="5" t="s">
        <v>10239</v>
      </c>
      <c r="W5281" s="5" t="s">
        <v>67</v>
      </c>
      <c r="X5281" s="5" t="s">
        <v>67</v>
      </c>
      <c r="Y5281" s="4">
        <v>480</v>
      </c>
      <c r="Z5281" s="4">
        <v>24</v>
      </c>
      <c r="AA5281" s="4">
        <v>27</v>
      </c>
      <c r="AB5281" s="4">
        <v>2</v>
      </c>
      <c r="AC5281" s="4">
        <v>3</v>
      </c>
      <c r="AD5281" s="4">
        <v>103</v>
      </c>
      <c r="AE5281" s="4">
        <v>108</v>
      </c>
      <c r="AF5281" s="4">
        <v>1</v>
      </c>
      <c r="AG5281" s="4">
        <v>2</v>
      </c>
      <c r="AH5281" s="4">
        <v>90</v>
      </c>
      <c r="AI5281" s="4">
        <v>93</v>
      </c>
      <c r="AJ5281" s="4">
        <v>15</v>
      </c>
      <c r="AK5281" s="4">
        <v>17</v>
      </c>
      <c r="AL5281" s="4">
        <v>49</v>
      </c>
      <c r="AM5281" s="4">
        <v>52</v>
      </c>
      <c r="AN5281" s="4">
        <v>0</v>
      </c>
      <c r="AO5281" s="4">
        <v>0</v>
      </c>
      <c r="AP5281" s="4">
        <v>18</v>
      </c>
      <c r="AQ5281" s="4">
        <v>19</v>
      </c>
      <c r="AR5281" s="3" t="s">
        <v>62</v>
      </c>
      <c r="AS5281" s="3" t="s">
        <v>62</v>
      </c>
      <c r="AT5281" s="3" t="s">
        <v>62</v>
      </c>
      <c r="AV5281" s="6" t="str">
        <f>HYPERLINK("http://mcgill.on.worldcat.org/oclc/39130442","Catalog Record")</f>
        <v>Catalog Record</v>
      </c>
      <c r="AW5281" s="6" t="str">
        <f>HYPERLINK("http://www.worldcat.org/oclc/39130442","WorldCat Record")</f>
        <v>WorldCat Record</v>
      </c>
      <c r="AX5281" s="3" t="s">
        <v>50651</v>
      </c>
      <c r="AY5281" s="3" t="s">
        <v>50652</v>
      </c>
      <c r="AZ5281" s="3" t="s">
        <v>50653</v>
      </c>
      <c r="BA5281" s="3" t="s">
        <v>50653</v>
      </c>
      <c r="BB5281" s="3" t="s">
        <v>50654</v>
      </c>
      <c r="BC5281" s="3" t="s">
        <v>102</v>
      </c>
      <c r="BD5281" s="3" t="s">
        <v>68</v>
      </c>
      <c r="BE5281" s="3" t="s">
        <v>50655</v>
      </c>
      <c r="BF5281" s="3" t="s">
        <v>50654</v>
      </c>
      <c r="BG5281" s="3" t="s">
        <v>50656</v>
      </c>
    </row>
    <row r="5282" spans="1:59" ht="58" x14ac:dyDescent="0.35">
      <c r="A5282" s="2" t="s">
        <v>89</v>
      </c>
      <c r="B5282" s="2" t="s">
        <v>90</v>
      </c>
      <c r="C5282" s="2" t="s">
        <v>50657</v>
      </c>
      <c r="D5282" s="2" t="s">
        <v>50658</v>
      </c>
      <c r="E5282" s="2" t="s">
        <v>50659</v>
      </c>
      <c r="G5282" s="3" t="s">
        <v>62</v>
      </c>
      <c r="I5282" s="3" t="s">
        <v>62</v>
      </c>
      <c r="J5282" s="3" t="s">
        <v>62</v>
      </c>
      <c r="K5282" s="3" t="s">
        <v>63</v>
      </c>
      <c r="L5282" s="2" t="s">
        <v>50660</v>
      </c>
      <c r="M5282" s="2" t="s">
        <v>44099</v>
      </c>
      <c r="N5282" s="3" t="s">
        <v>524</v>
      </c>
      <c r="P5282" s="3" t="s">
        <v>64</v>
      </c>
      <c r="R5282" s="3" t="s">
        <v>46535</v>
      </c>
      <c r="S5282" s="4">
        <v>15</v>
      </c>
      <c r="T5282" s="4">
        <v>15</v>
      </c>
      <c r="U5282" s="5" t="s">
        <v>32069</v>
      </c>
      <c r="V5282" s="5" t="s">
        <v>32069</v>
      </c>
      <c r="W5282" s="5" t="s">
        <v>67</v>
      </c>
      <c r="X5282" s="5" t="s">
        <v>67</v>
      </c>
      <c r="Y5282" s="4">
        <v>664</v>
      </c>
      <c r="Z5282" s="4">
        <v>32</v>
      </c>
      <c r="AA5282" s="4">
        <v>33</v>
      </c>
      <c r="AB5282" s="4">
        <v>2</v>
      </c>
      <c r="AC5282" s="4">
        <v>3</v>
      </c>
      <c r="AD5282" s="4">
        <v>105</v>
      </c>
      <c r="AE5282" s="4">
        <v>106</v>
      </c>
      <c r="AF5282" s="4">
        <v>1</v>
      </c>
      <c r="AG5282" s="4">
        <v>2</v>
      </c>
      <c r="AH5282" s="4">
        <v>89</v>
      </c>
      <c r="AI5282" s="4">
        <v>89</v>
      </c>
      <c r="AJ5282" s="4">
        <v>13</v>
      </c>
      <c r="AK5282" s="4">
        <v>14</v>
      </c>
      <c r="AL5282" s="4">
        <v>48</v>
      </c>
      <c r="AM5282" s="4">
        <v>48</v>
      </c>
      <c r="AN5282" s="4">
        <v>0</v>
      </c>
      <c r="AO5282" s="4">
        <v>0</v>
      </c>
      <c r="AP5282" s="4">
        <v>21</v>
      </c>
      <c r="AQ5282" s="4">
        <v>21</v>
      </c>
      <c r="AR5282" s="3" t="s">
        <v>62</v>
      </c>
      <c r="AS5282" s="3" t="s">
        <v>62</v>
      </c>
      <c r="AT5282" s="3" t="s">
        <v>62</v>
      </c>
      <c r="AV5282" s="6" t="str">
        <f>HYPERLINK("http://mcgill.on.worldcat.org/oclc/31868009","Catalog Record")</f>
        <v>Catalog Record</v>
      </c>
      <c r="AW5282" s="6" t="str">
        <f>HYPERLINK("http://www.worldcat.org/oclc/31868009","WorldCat Record")</f>
        <v>WorldCat Record</v>
      </c>
      <c r="AX5282" s="3" t="s">
        <v>50661</v>
      </c>
      <c r="AY5282" s="3" t="s">
        <v>50662</v>
      </c>
      <c r="AZ5282" s="3" t="s">
        <v>50663</v>
      </c>
      <c r="BA5282" s="3" t="s">
        <v>50663</v>
      </c>
      <c r="BB5282" s="3" t="s">
        <v>50664</v>
      </c>
      <c r="BC5282" s="3" t="s">
        <v>102</v>
      </c>
      <c r="BD5282" s="3" t="s">
        <v>231</v>
      </c>
      <c r="BE5282" s="3" t="s">
        <v>50665</v>
      </c>
      <c r="BF5282" s="3" t="s">
        <v>50664</v>
      </c>
      <c r="BG5282" s="3" t="s">
        <v>50666</v>
      </c>
    </row>
    <row r="5283" spans="1:59" ht="58" x14ac:dyDescent="0.35">
      <c r="A5283" s="2" t="s">
        <v>89</v>
      </c>
      <c r="B5283" s="2" t="s">
        <v>90</v>
      </c>
      <c r="C5283" s="2" t="s">
        <v>50667</v>
      </c>
      <c r="D5283" s="2" t="s">
        <v>50668</v>
      </c>
      <c r="E5283" s="2" t="s">
        <v>50669</v>
      </c>
      <c r="G5283" s="3" t="s">
        <v>62</v>
      </c>
      <c r="I5283" s="3" t="s">
        <v>62</v>
      </c>
      <c r="J5283" s="3" t="s">
        <v>62</v>
      </c>
      <c r="K5283" s="3" t="s">
        <v>63</v>
      </c>
      <c r="L5283" s="2" t="s">
        <v>50670</v>
      </c>
      <c r="M5283" s="2" t="s">
        <v>5144</v>
      </c>
      <c r="N5283" s="3" t="s">
        <v>2975</v>
      </c>
      <c r="O5283" s="2" t="s">
        <v>2163</v>
      </c>
      <c r="P5283" s="3" t="s">
        <v>64</v>
      </c>
      <c r="R5283" s="3" t="s">
        <v>46535</v>
      </c>
      <c r="S5283" s="4">
        <v>10</v>
      </c>
      <c r="T5283" s="4">
        <v>10</v>
      </c>
      <c r="U5283" s="5" t="s">
        <v>34388</v>
      </c>
      <c r="V5283" s="5" t="s">
        <v>34388</v>
      </c>
      <c r="W5283" s="5" t="s">
        <v>67</v>
      </c>
      <c r="X5283" s="5" t="s">
        <v>67</v>
      </c>
      <c r="Y5283" s="4">
        <v>520</v>
      </c>
      <c r="Z5283" s="4">
        <v>24</v>
      </c>
      <c r="AA5283" s="4">
        <v>99</v>
      </c>
      <c r="AB5283" s="4">
        <v>3</v>
      </c>
      <c r="AC5283" s="4">
        <v>18</v>
      </c>
      <c r="AD5283" s="4">
        <v>108</v>
      </c>
      <c r="AE5283" s="4">
        <v>148</v>
      </c>
      <c r="AF5283" s="4">
        <v>1</v>
      </c>
      <c r="AG5283" s="4">
        <v>8</v>
      </c>
      <c r="AH5283" s="4">
        <v>98</v>
      </c>
      <c r="AI5283" s="4">
        <v>108</v>
      </c>
      <c r="AJ5283" s="4">
        <v>16</v>
      </c>
      <c r="AK5283" s="4">
        <v>25</v>
      </c>
      <c r="AL5283" s="4">
        <v>54</v>
      </c>
      <c r="AM5283" s="4">
        <v>57</v>
      </c>
      <c r="AN5283" s="4">
        <v>0</v>
      </c>
      <c r="AO5283" s="4">
        <v>0</v>
      </c>
      <c r="AP5283" s="4">
        <v>17</v>
      </c>
      <c r="AQ5283" s="4">
        <v>48</v>
      </c>
      <c r="AR5283" s="3" t="s">
        <v>62</v>
      </c>
      <c r="AS5283" s="3" t="s">
        <v>62</v>
      </c>
      <c r="AT5283" s="3" t="s">
        <v>62</v>
      </c>
      <c r="AV5283" s="6" t="str">
        <f>HYPERLINK("http://mcgill.on.worldcat.org/oclc/44167659","Catalog Record")</f>
        <v>Catalog Record</v>
      </c>
      <c r="AW5283" s="6" t="str">
        <f>HYPERLINK("http://www.worldcat.org/oclc/44167659","WorldCat Record")</f>
        <v>WorldCat Record</v>
      </c>
      <c r="AX5283" s="3" t="s">
        <v>50671</v>
      </c>
      <c r="AY5283" s="3" t="s">
        <v>50672</v>
      </c>
      <c r="AZ5283" s="3" t="s">
        <v>50673</v>
      </c>
      <c r="BA5283" s="3" t="s">
        <v>50673</v>
      </c>
      <c r="BB5283" s="3" t="s">
        <v>50674</v>
      </c>
      <c r="BC5283" s="3" t="s">
        <v>102</v>
      </c>
      <c r="BD5283" s="3" t="s">
        <v>68</v>
      </c>
      <c r="BE5283" s="3" t="s">
        <v>50675</v>
      </c>
      <c r="BF5283" s="3" t="s">
        <v>50674</v>
      </c>
      <c r="BG5283" s="3" t="s">
        <v>50676</v>
      </c>
    </row>
    <row r="5284" spans="1:59" ht="58" x14ac:dyDescent="0.35">
      <c r="A5284" s="2" t="s">
        <v>89</v>
      </c>
      <c r="B5284" s="2" t="s">
        <v>90</v>
      </c>
      <c r="C5284" s="2" t="s">
        <v>50677</v>
      </c>
      <c r="D5284" s="2" t="s">
        <v>50678</v>
      </c>
      <c r="E5284" s="2" t="s">
        <v>50679</v>
      </c>
      <c r="G5284" s="3" t="s">
        <v>62</v>
      </c>
      <c r="I5284" s="3" t="s">
        <v>62</v>
      </c>
      <c r="J5284" s="3" t="s">
        <v>62</v>
      </c>
      <c r="K5284" s="3" t="s">
        <v>63</v>
      </c>
      <c r="L5284" s="2" t="s">
        <v>50680</v>
      </c>
      <c r="M5284" s="2" t="s">
        <v>49244</v>
      </c>
      <c r="N5284" s="3" t="s">
        <v>625</v>
      </c>
      <c r="P5284" s="3" t="s">
        <v>64</v>
      </c>
      <c r="Q5284" s="2" t="s">
        <v>49245</v>
      </c>
      <c r="R5284" s="3" t="s">
        <v>46535</v>
      </c>
      <c r="S5284" s="4">
        <v>8</v>
      </c>
      <c r="T5284" s="4">
        <v>8</v>
      </c>
      <c r="U5284" s="5" t="s">
        <v>2113</v>
      </c>
      <c r="V5284" s="5" t="s">
        <v>2113</v>
      </c>
      <c r="W5284" s="5" t="s">
        <v>67</v>
      </c>
      <c r="X5284" s="5" t="s">
        <v>67</v>
      </c>
      <c r="Y5284" s="4">
        <v>359</v>
      </c>
      <c r="Z5284" s="4">
        <v>24</v>
      </c>
      <c r="AA5284" s="4">
        <v>97</v>
      </c>
      <c r="AB5284" s="4">
        <v>2</v>
      </c>
      <c r="AC5284" s="4">
        <v>18</v>
      </c>
      <c r="AD5284" s="4">
        <v>104</v>
      </c>
      <c r="AE5284" s="4">
        <v>142</v>
      </c>
      <c r="AF5284" s="4">
        <v>1</v>
      </c>
      <c r="AG5284" s="4">
        <v>8</v>
      </c>
      <c r="AH5284" s="4">
        <v>91</v>
      </c>
      <c r="AI5284" s="4">
        <v>102</v>
      </c>
      <c r="AJ5284" s="4">
        <v>19</v>
      </c>
      <c r="AK5284" s="4">
        <v>26</v>
      </c>
      <c r="AL5284" s="4">
        <v>52</v>
      </c>
      <c r="AM5284" s="4">
        <v>56</v>
      </c>
      <c r="AN5284" s="4">
        <v>0</v>
      </c>
      <c r="AO5284" s="4">
        <v>0</v>
      </c>
      <c r="AP5284" s="4">
        <v>20</v>
      </c>
      <c r="AQ5284" s="4">
        <v>48</v>
      </c>
      <c r="AR5284" s="3" t="s">
        <v>62</v>
      </c>
      <c r="AS5284" s="3" t="s">
        <v>62</v>
      </c>
      <c r="AT5284" s="3" t="s">
        <v>62</v>
      </c>
      <c r="AV5284" s="6" t="str">
        <f>HYPERLINK("http://mcgill.on.worldcat.org/oclc/49892529","Catalog Record")</f>
        <v>Catalog Record</v>
      </c>
      <c r="AW5284" s="6" t="str">
        <f>HYPERLINK("http://www.worldcat.org/oclc/49892529","WorldCat Record")</f>
        <v>WorldCat Record</v>
      </c>
      <c r="AX5284" s="3" t="s">
        <v>50681</v>
      </c>
      <c r="AY5284" s="3" t="s">
        <v>50682</v>
      </c>
      <c r="AZ5284" s="3" t="s">
        <v>50683</v>
      </c>
      <c r="BA5284" s="3" t="s">
        <v>50683</v>
      </c>
      <c r="BB5284" s="3" t="s">
        <v>50684</v>
      </c>
      <c r="BC5284" s="3" t="s">
        <v>102</v>
      </c>
      <c r="BD5284" s="3" t="s">
        <v>68</v>
      </c>
      <c r="BE5284" s="3" t="s">
        <v>50685</v>
      </c>
      <c r="BF5284" s="3" t="s">
        <v>50684</v>
      </c>
      <c r="BG5284" s="3" t="s">
        <v>50686</v>
      </c>
    </row>
    <row r="5285" spans="1:59" ht="58" x14ac:dyDescent="0.35">
      <c r="A5285" s="2" t="s">
        <v>89</v>
      </c>
      <c r="B5285" s="2" t="s">
        <v>90</v>
      </c>
      <c r="C5285" s="2" t="s">
        <v>50687</v>
      </c>
      <c r="D5285" s="2" t="s">
        <v>50688</v>
      </c>
      <c r="E5285" s="2" t="s">
        <v>50689</v>
      </c>
      <c r="G5285" s="3" t="s">
        <v>62</v>
      </c>
      <c r="I5285" s="3" t="s">
        <v>62</v>
      </c>
      <c r="J5285" s="3" t="s">
        <v>62</v>
      </c>
      <c r="K5285" s="3" t="s">
        <v>63</v>
      </c>
      <c r="M5285" s="2" t="s">
        <v>50690</v>
      </c>
      <c r="N5285" s="3" t="s">
        <v>568</v>
      </c>
      <c r="P5285" s="3" t="s">
        <v>64</v>
      </c>
      <c r="R5285" s="3" t="s">
        <v>46535</v>
      </c>
      <c r="S5285" s="4">
        <v>21</v>
      </c>
      <c r="T5285" s="4">
        <v>21</v>
      </c>
      <c r="U5285" s="5" t="s">
        <v>29625</v>
      </c>
      <c r="V5285" s="5" t="s">
        <v>29625</v>
      </c>
      <c r="W5285" s="5" t="s">
        <v>67</v>
      </c>
      <c r="X5285" s="5" t="s">
        <v>67</v>
      </c>
      <c r="Y5285" s="4">
        <v>294</v>
      </c>
      <c r="Z5285" s="4">
        <v>26</v>
      </c>
      <c r="AA5285" s="4">
        <v>95</v>
      </c>
      <c r="AB5285" s="4">
        <v>2</v>
      </c>
      <c r="AC5285" s="4">
        <v>18</v>
      </c>
      <c r="AD5285" s="4">
        <v>91</v>
      </c>
      <c r="AE5285" s="4">
        <v>138</v>
      </c>
      <c r="AF5285" s="4">
        <v>1</v>
      </c>
      <c r="AG5285" s="4">
        <v>9</v>
      </c>
      <c r="AH5285" s="4">
        <v>78</v>
      </c>
      <c r="AI5285" s="4">
        <v>98</v>
      </c>
      <c r="AJ5285" s="4">
        <v>16</v>
      </c>
      <c r="AK5285" s="4">
        <v>26</v>
      </c>
      <c r="AL5285" s="4">
        <v>45</v>
      </c>
      <c r="AM5285" s="4">
        <v>52</v>
      </c>
      <c r="AN5285" s="4">
        <v>0</v>
      </c>
      <c r="AO5285" s="4">
        <v>0</v>
      </c>
      <c r="AP5285" s="4">
        <v>22</v>
      </c>
      <c r="AQ5285" s="4">
        <v>49</v>
      </c>
      <c r="AR5285" s="3" t="s">
        <v>62</v>
      </c>
      <c r="AS5285" s="3" t="s">
        <v>62</v>
      </c>
      <c r="AT5285" s="3" t="s">
        <v>62</v>
      </c>
      <c r="AV5285" s="6" t="str">
        <f>HYPERLINK("http://mcgill.on.worldcat.org/oclc/43324292","Catalog Record")</f>
        <v>Catalog Record</v>
      </c>
      <c r="AW5285" s="6" t="str">
        <f>HYPERLINK("http://www.worldcat.org/oclc/43324292","WorldCat Record")</f>
        <v>WorldCat Record</v>
      </c>
      <c r="AX5285" s="3" t="s">
        <v>50691</v>
      </c>
      <c r="AY5285" s="3" t="s">
        <v>50692</v>
      </c>
      <c r="AZ5285" s="3" t="s">
        <v>50693</v>
      </c>
      <c r="BA5285" s="3" t="s">
        <v>50693</v>
      </c>
      <c r="BB5285" s="3" t="s">
        <v>50694</v>
      </c>
      <c r="BC5285" s="3" t="s">
        <v>102</v>
      </c>
      <c r="BD5285" s="3" t="s">
        <v>68</v>
      </c>
      <c r="BE5285" s="3" t="s">
        <v>50695</v>
      </c>
      <c r="BF5285" s="3" t="s">
        <v>50694</v>
      </c>
      <c r="BG5285" s="3" t="s">
        <v>50696</v>
      </c>
    </row>
    <row r="5286" spans="1:59" ht="58" x14ac:dyDescent="0.35">
      <c r="A5286" s="2" t="s">
        <v>89</v>
      </c>
      <c r="B5286" s="2" t="s">
        <v>90</v>
      </c>
      <c r="C5286" s="2" t="s">
        <v>50697</v>
      </c>
      <c r="D5286" s="2" t="s">
        <v>50698</v>
      </c>
      <c r="E5286" s="2" t="s">
        <v>50699</v>
      </c>
      <c r="G5286" s="3" t="s">
        <v>62</v>
      </c>
      <c r="I5286" s="3" t="s">
        <v>62</v>
      </c>
      <c r="J5286" s="3" t="s">
        <v>62</v>
      </c>
      <c r="K5286" s="3" t="s">
        <v>63</v>
      </c>
      <c r="M5286" s="2" t="s">
        <v>50700</v>
      </c>
      <c r="N5286" s="3" t="s">
        <v>596</v>
      </c>
      <c r="P5286" s="3" t="s">
        <v>64</v>
      </c>
      <c r="Q5286" s="2" t="s">
        <v>50701</v>
      </c>
      <c r="R5286" s="3" t="s">
        <v>46535</v>
      </c>
      <c r="S5286" s="4">
        <v>17</v>
      </c>
      <c r="T5286" s="4">
        <v>17</v>
      </c>
      <c r="U5286" s="5" t="s">
        <v>16979</v>
      </c>
      <c r="V5286" s="5" t="s">
        <v>16979</v>
      </c>
      <c r="W5286" s="5" t="s">
        <v>67</v>
      </c>
      <c r="X5286" s="5" t="s">
        <v>67</v>
      </c>
      <c r="Y5286" s="4">
        <v>145</v>
      </c>
      <c r="Z5286" s="4">
        <v>18</v>
      </c>
      <c r="AA5286" s="4">
        <v>104</v>
      </c>
      <c r="AB5286" s="4">
        <v>3</v>
      </c>
      <c r="AC5286" s="4">
        <v>18</v>
      </c>
      <c r="AD5286" s="4">
        <v>69</v>
      </c>
      <c r="AE5286" s="4">
        <v>126</v>
      </c>
      <c r="AF5286" s="4">
        <v>1</v>
      </c>
      <c r="AG5286" s="4">
        <v>8</v>
      </c>
      <c r="AH5286" s="4">
        <v>59</v>
      </c>
      <c r="AI5286" s="4">
        <v>88</v>
      </c>
      <c r="AJ5286" s="4">
        <v>13</v>
      </c>
      <c r="AK5286" s="4">
        <v>22</v>
      </c>
      <c r="AL5286" s="4">
        <v>36</v>
      </c>
      <c r="AM5286" s="4">
        <v>47</v>
      </c>
      <c r="AN5286" s="4">
        <v>0</v>
      </c>
      <c r="AO5286" s="4">
        <v>0</v>
      </c>
      <c r="AP5286" s="4">
        <v>14</v>
      </c>
      <c r="AQ5286" s="4">
        <v>43</v>
      </c>
      <c r="AR5286" s="3" t="s">
        <v>62</v>
      </c>
      <c r="AS5286" s="3" t="s">
        <v>62</v>
      </c>
      <c r="AT5286" s="3" t="s">
        <v>62</v>
      </c>
      <c r="AV5286" s="6" t="str">
        <f>HYPERLINK("http://mcgill.on.worldcat.org/oclc/48475105","Catalog Record")</f>
        <v>Catalog Record</v>
      </c>
      <c r="AW5286" s="6" t="str">
        <f>HYPERLINK("http://www.worldcat.org/oclc/48475105","WorldCat Record")</f>
        <v>WorldCat Record</v>
      </c>
      <c r="AX5286" s="3" t="s">
        <v>50702</v>
      </c>
      <c r="AY5286" s="3" t="s">
        <v>50703</v>
      </c>
      <c r="AZ5286" s="3" t="s">
        <v>50704</v>
      </c>
      <c r="BA5286" s="3" t="s">
        <v>50704</v>
      </c>
      <c r="BB5286" s="3" t="s">
        <v>50705</v>
      </c>
      <c r="BC5286" s="3" t="s">
        <v>102</v>
      </c>
      <c r="BD5286" s="3" t="s">
        <v>68</v>
      </c>
      <c r="BE5286" s="3" t="s">
        <v>50706</v>
      </c>
      <c r="BF5286" s="3" t="s">
        <v>50705</v>
      </c>
      <c r="BG5286" s="3" t="s">
        <v>50707</v>
      </c>
    </row>
    <row r="5287" spans="1:59" ht="58" x14ac:dyDescent="0.35">
      <c r="A5287" s="2" t="s">
        <v>89</v>
      </c>
      <c r="B5287" s="2" t="s">
        <v>90</v>
      </c>
      <c r="C5287" s="2" t="s">
        <v>50708</v>
      </c>
      <c r="D5287" s="2" t="s">
        <v>50709</v>
      </c>
      <c r="E5287" s="2" t="s">
        <v>50710</v>
      </c>
      <c r="G5287" s="3" t="s">
        <v>62</v>
      </c>
      <c r="I5287" s="3" t="s">
        <v>62</v>
      </c>
      <c r="J5287" s="3" t="s">
        <v>62</v>
      </c>
      <c r="K5287" s="3" t="s">
        <v>63</v>
      </c>
      <c r="M5287" s="2" t="s">
        <v>50711</v>
      </c>
      <c r="N5287" s="3" t="s">
        <v>880</v>
      </c>
      <c r="P5287" s="3" t="s">
        <v>64</v>
      </c>
      <c r="Q5287" s="2" t="s">
        <v>50712</v>
      </c>
      <c r="R5287" s="3" t="s">
        <v>46535</v>
      </c>
      <c r="S5287" s="4">
        <v>4</v>
      </c>
      <c r="T5287" s="4">
        <v>4</v>
      </c>
      <c r="U5287" s="5" t="s">
        <v>22100</v>
      </c>
      <c r="V5287" s="5" t="s">
        <v>22100</v>
      </c>
      <c r="W5287" s="5" t="s">
        <v>67</v>
      </c>
      <c r="X5287" s="5" t="s">
        <v>67</v>
      </c>
      <c r="Y5287" s="4">
        <v>90</v>
      </c>
      <c r="Z5287" s="4">
        <v>9</v>
      </c>
      <c r="AA5287" s="4">
        <v>95</v>
      </c>
      <c r="AB5287" s="4">
        <v>1</v>
      </c>
      <c r="AC5287" s="4">
        <v>17</v>
      </c>
      <c r="AD5287" s="4">
        <v>35</v>
      </c>
      <c r="AE5287" s="4">
        <v>111</v>
      </c>
      <c r="AF5287" s="4">
        <v>0</v>
      </c>
      <c r="AG5287" s="4">
        <v>8</v>
      </c>
      <c r="AH5287" s="4">
        <v>31</v>
      </c>
      <c r="AI5287" s="4">
        <v>75</v>
      </c>
      <c r="AJ5287" s="4">
        <v>6</v>
      </c>
      <c r="AK5287" s="4">
        <v>21</v>
      </c>
      <c r="AL5287" s="4">
        <v>19</v>
      </c>
      <c r="AM5287" s="4">
        <v>39</v>
      </c>
      <c r="AN5287" s="4">
        <v>0</v>
      </c>
      <c r="AO5287" s="4">
        <v>0</v>
      </c>
      <c r="AP5287" s="4">
        <v>7</v>
      </c>
      <c r="AQ5287" s="4">
        <v>43</v>
      </c>
      <c r="AR5287" s="3" t="s">
        <v>62</v>
      </c>
      <c r="AS5287" s="3" t="s">
        <v>62</v>
      </c>
      <c r="AT5287" s="3" t="s">
        <v>62</v>
      </c>
      <c r="AV5287" s="6" t="str">
        <f>HYPERLINK("http://mcgill.on.worldcat.org/oclc/624030961","Catalog Record")</f>
        <v>Catalog Record</v>
      </c>
      <c r="AW5287" s="6" t="str">
        <f>HYPERLINK("http://www.worldcat.org/oclc/624030961","WorldCat Record")</f>
        <v>WorldCat Record</v>
      </c>
      <c r="AX5287" s="3" t="s">
        <v>50713</v>
      </c>
      <c r="AY5287" s="3" t="s">
        <v>50714</v>
      </c>
      <c r="AZ5287" s="3" t="s">
        <v>50715</v>
      </c>
      <c r="BA5287" s="3" t="s">
        <v>50715</v>
      </c>
      <c r="BB5287" s="3" t="s">
        <v>50716</v>
      </c>
      <c r="BC5287" s="3" t="s">
        <v>102</v>
      </c>
      <c r="BD5287" s="3" t="s">
        <v>68</v>
      </c>
      <c r="BE5287" s="3" t="s">
        <v>50717</v>
      </c>
      <c r="BF5287" s="3" t="s">
        <v>50716</v>
      </c>
      <c r="BG5287" s="3" t="s">
        <v>50718</v>
      </c>
    </row>
    <row r="5288" spans="1:59" ht="58" x14ac:dyDescent="0.35">
      <c r="A5288" s="2" t="s">
        <v>89</v>
      </c>
      <c r="B5288" s="2" t="s">
        <v>90</v>
      </c>
      <c r="C5288" s="2" t="s">
        <v>50719</v>
      </c>
      <c r="D5288" s="2" t="s">
        <v>50720</v>
      </c>
      <c r="E5288" s="2" t="s">
        <v>50721</v>
      </c>
      <c r="G5288" s="3" t="s">
        <v>62</v>
      </c>
      <c r="I5288" s="3" t="s">
        <v>62</v>
      </c>
      <c r="J5288" s="3" t="s">
        <v>61</v>
      </c>
      <c r="K5288" s="3" t="s">
        <v>63</v>
      </c>
      <c r="L5288" s="2" t="s">
        <v>50722</v>
      </c>
      <c r="M5288" s="2" t="s">
        <v>50723</v>
      </c>
      <c r="N5288" s="3" t="s">
        <v>726</v>
      </c>
      <c r="O5288" s="2" t="s">
        <v>1941</v>
      </c>
      <c r="P5288" s="3" t="s">
        <v>64</v>
      </c>
      <c r="R5288" s="3" t="s">
        <v>46535</v>
      </c>
      <c r="S5288" s="4">
        <v>0</v>
      </c>
      <c r="T5288" s="4">
        <v>0</v>
      </c>
      <c r="W5288" s="5" t="s">
        <v>2401</v>
      </c>
      <c r="X5288" s="5" t="s">
        <v>2401</v>
      </c>
      <c r="Y5288" s="4">
        <v>1360</v>
      </c>
      <c r="Z5288" s="4">
        <v>14</v>
      </c>
      <c r="AA5288" s="4">
        <v>33</v>
      </c>
      <c r="AB5288" s="4">
        <v>1</v>
      </c>
      <c r="AC5288" s="4">
        <v>6</v>
      </c>
      <c r="AD5288" s="4">
        <v>70</v>
      </c>
      <c r="AE5288" s="4">
        <v>82</v>
      </c>
      <c r="AF5288" s="4">
        <v>0</v>
      </c>
      <c r="AG5288" s="4">
        <v>1</v>
      </c>
      <c r="AH5288" s="4">
        <v>64</v>
      </c>
      <c r="AI5288" s="4">
        <v>71</v>
      </c>
      <c r="AJ5288" s="4">
        <v>4</v>
      </c>
      <c r="AK5288" s="4">
        <v>11</v>
      </c>
      <c r="AL5288" s="4">
        <v>41</v>
      </c>
      <c r="AM5288" s="4">
        <v>42</v>
      </c>
      <c r="AN5288" s="4">
        <v>0</v>
      </c>
      <c r="AO5288" s="4">
        <v>0</v>
      </c>
      <c r="AP5288" s="4">
        <v>6</v>
      </c>
      <c r="AQ5288" s="4">
        <v>13</v>
      </c>
      <c r="AR5288" s="3" t="s">
        <v>62</v>
      </c>
      <c r="AS5288" s="3" t="s">
        <v>62</v>
      </c>
      <c r="AT5288" s="3" t="s">
        <v>62</v>
      </c>
      <c r="AV5288" s="6" t="str">
        <f>HYPERLINK("http://mcgill.on.worldcat.org/oclc/968690646","Catalog Record")</f>
        <v>Catalog Record</v>
      </c>
      <c r="AW5288" s="6" t="str">
        <f>HYPERLINK("http://www.worldcat.org/oclc/968690646","WorldCat Record")</f>
        <v>WorldCat Record</v>
      </c>
      <c r="AX5288" s="3" t="s">
        <v>50724</v>
      </c>
      <c r="AY5288" s="3" t="s">
        <v>50725</v>
      </c>
      <c r="AZ5288" s="3" t="s">
        <v>50726</v>
      </c>
      <c r="BA5288" s="3" t="s">
        <v>50726</v>
      </c>
      <c r="BB5288" s="3" t="s">
        <v>50727</v>
      </c>
      <c r="BC5288" s="3" t="s">
        <v>102</v>
      </c>
      <c r="BD5288" s="3" t="s">
        <v>7808</v>
      </c>
      <c r="BE5288" s="3" t="s">
        <v>50728</v>
      </c>
      <c r="BF5288" s="3" t="s">
        <v>50727</v>
      </c>
      <c r="BG5288" s="3" t="s">
        <v>50729</v>
      </c>
    </row>
    <row r="5289" spans="1:59" ht="58" x14ac:dyDescent="0.35">
      <c r="A5289" s="2" t="s">
        <v>89</v>
      </c>
      <c r="B5289" s="2" t="s">
        <v>90</v>
      </c>
      <c r="C5289" s="2" t="s">
        <v>50730</v>
      </c>
      <c r="D5289" s="2" t="s">
        <v>50731</v>
      </c>
      <c r="E5289" s="2" t="s">
        <v>50732</v>
      </c>
      <c r="G5289" s="3" t="s">
        <v>62</v>
      </c>
      <c r="I5289" s="3" t="s">
        <v>62</v>
      </c>
      <c r="J5289" s="3" t="s">
        <v>62</v>
      </c>
      <c r="K5289" s="3" t="s">
        <v>63</v>
      </c>
      <c r="L5289" s="2" t="s">
        <v>50733</v>
      </c>
      <c r="M5289" s="2" t="s">
        <v>50734</v>
      </c>
      <c r="N5289" s="3" t="s">
        <v>698</v>
      </c>
      <c r="O5289" s="2" t="s">
        <v>2163</v>
      </c>
      <c r="P5289" s="3" t="s">
        <v>64</v>
      </c>
      <c r="R5289" s="3" t="s">
        <v>46535</v>
      </c>
      <c r="S5289" s="4">
        <v>8</v>
      </c>
      <c r="T5289" s="4">
        <v>8</v>
      </c>
      <c r="U5289" s="5" t="s">
        <v>13420</v>
      </c>
      <c r="V5289" s="5" t="s">
        <v>13420</v>
      </c>
      <c r="W5289" s="5" t="s">
        <v>67</v>
      </c>
      <c r="X5289" s="5" t="s">
        <v>67</v>
      </c>
      <c r="Y5289" s="4">
        <v>514</v>
      </c>
      <c r="Z5289" s="4">
        <v>31</v>
      </c>
      <c r="AA5289" s="4">
        <v>37</v>
      </c>
      <c r="AB5289" s="4">
        <v>4</v>
      </c>
      <c r="AC5289" s="4">
        <v>6</v>
      </c>
      <c r="AD5289" s="4">
        <v>41</v>
      </c>
      <c r="AE5289" s="4">
        <v>42</v>
      </c>
      <c r="AF5289" s="4">
        <v>1</v>
      </c>
      <c r="AG5289" s="4">
        <v>2</v>
      </c>
      <c r="AH5289" s="4">
        <v>31</v>
      </c>
      <c r="AI5289" s="4">
        <v>31</v>
      </c>
      <c r="AJ5289" s="4">
        <v>8</v>
      </c>
      <c r="AK5289" s="4">
        <v>9</v>
      </c>
      <c r="AL5289" s="4">
        <v>19</v>
      </c>
      <c r="AM5289" s="4">
        <v>19</v>
      </c>
      <c r="AN5289" s="4">
        <v>0</v>
      </c>
      <c r="AO5289" s="4">
        <v>0</v>
      </c>
      <c r="AP5289" s="4">
        <v>11</v>
      </c>
      <c r="AQ5289" s="4">
        <v>12</v>
      </c>
      <c r="AR5289" s="3" t="s">
        <v>62</v>
      </c>
      <c r="AS5289" s="3" t="s">
        <v>62</v>
      </c>
      <c r="AT5289" s="3" t="s">
        <v>62</v>
      </c>
      <c r="AV5289" s="6" t="str">
        <f>HYPERLINK("http://mcgill.on.worldcat.org/oclc/755697723","Catalog Record")</f>
        <v>Catalog Record</v>
      </c>
      <c r="AW5289" s="6" t="str">
        <f>HYPERLINK("http://www.worldcat.org/oclc/755697723","WorldCat Record")</f>
        <v>WorldCat Record</v>
      </c>
      <c r="AX5289" s="3" t="s">
        <v>50735</v>
      </c>
      <c r="AY5289" s="3" t="s">
        <v>50736</v>
      </c>
      <c r="AZ5289" s="3" t="s">
        <v>50737</v>
      </c>
      <c r="BA5289" s="3" t="s">
        <v>50737</v>
      </c>
      <c r="BB5289" s="3" t="s">
        <v>50738</v>
      </c>
      <c r="BC5289" s="3" t="s">
        <v>102</v>
      </c>
      <c r="BD5289" s="3" t="s">
        <v>68</v>
      </c>
      <c r="BE5289" s="3" t="s">
        <v>50739</v>
      </c>
      <c r="BF5289" s="3" t="s">
        <v>50738</v>
      </c>
      <c r="BG5289" s="3" t="s">
        <v>50740</v>
      </c>
    </row>
    <row r="5290" spans="1:59" ht="58" x14ac:dyDescent="0.35">
      <c r="A5290" s="2" t="s">
        <v>89</v>
      </c>
      <c r="B5290" s="2" t="s">
        <v>90</v>
      </c>
      <c r="C5290" s="2" t="s">
        <v>50741</v>
      </c>
      <c r="D5290" s="2" t="s">
        <v>50742</v>
      </c>
      <c r="E5290" s="2" t="s">
        <v>50743</v>
      </c>
      <c r="G5290" s="3" t="s">
        <v>62</v>
      </c>
      <c r="I5290" s="3" t="s">
        <v>62</v>
      </c>
      <c r="J5290" s="3" t="s">
        <v>61</v>
      </c>
      <c r="K5290" s="3" t="s">
        <v>63</v>
      </c>
      <c r="M5290" s="2" t="s">
        <v>9390</v>
      </c>
      <c r="N5290" s="3" t="s">
        <v>2000</v>
      </c>
      <c r="P5290" s="3" t="s">
        <v>64</v>
      </c>
      <c r="Q5290" s="2" t="s">
        <v>16801</v>
      </c>
      <c r="R5290" s="3" t="s">
        <v>46535</v>
      </c>
      <c r="S5290" s="4">
        <v>15</v>
      </c>
      <c r="T5290" s="4">
        <v>15</v>
      </c>
      <c r="U5290" s="5" t="s">
        <v>2388</v>
      </c>
      <c r="V5290" s="5" t="s">
        <v>2388</v>
      </c>
      <c r="W5290" s="5" t="s">
        <v>67</v>
      </c>
      <c r="X5290" s="5" t="s">
        <v>67</v>
      </c>
      <c r="Y5290" s="4">
        <v>343</v>
      </c>
      <c r="Z5290" s="4">
        <v>26</v>
      </c>
      <c r="AA5290" s="4">
        <v>93</v>
      </c>
      <c r="AB5290" s="4">
        <v>2</v>
      </c>
      <c r="AC5290" s="4">
        <v>17</v>
      </c>
      <c r="AD5290" s="4">
        <v>110</v>
      </c>
      <c r="AE5290" s="4">
        <v>149</v>
      </c>
      <c r="AF5290" s="4">
        <v>1</v>
      </c>
      <c r="AG5290" s="4">
        <v>8</v>
      </c>
      <c r="AH5290" s="4">
        <v>93</v>
      </c>
      <c r="AI5290" s="4">
        <v>108</v>
      </c>
      <c r="AJ5290" s="4">
        <v>18</v>
      </c>
      <c r="AK5290" s="4">
        <v>26</v>
      </c>
      <c r="AL5290" s="4">
        <v>54</v>
      </c>
      <c r="AM5290" s="4">
        <v>58</v>
      </c>
      <c r="AN5290" s="4">
        <v>0</v>
      </c>
      <c r="AO5290" s="4">
        <v>0</v>
      </c>
      <c r="AP5290" s="4">
        <v>23</v>
      </c>
      <c r="AQ5290" s="4">
        <v>48</v>
      </c>
      <c r="AR5290" s="3" t="s">
        <v>62</v>
      </c>
      <c r="AS5290" s="3" t="s">
        <v>62</v>
      </c>
      <c r="AT5290" s="3" t="s">
        <v>62</v>
      </c>
      <c r="AV5290" s="6" t="str">
        <f>HYPERLINK("http://mcgill.on.worldcat.org/oclc/33899977","Catalog Record")</f>
        <v>Catalog Record</v>
      </c>
      <c r="AW5290" s="6" t="str">
        <f>HYPERLINK("http://www.worldcat.org/oclc/33899977","WorldCat Record")</f>
        <v>WorldCat Record</v>
      </c>
      <c r="AX5290" s="3" t="s">
        <v>50744</v>
      </c>
      <c r="AY5290" s="3" t="s">
        <v>50745</v>
      </c>
      <c r="AZ5290" s="3" t="s">
        <v>50746</v>
      </c>
      <c r="BA5290" s="3" t="s">
        <v>50746</v>
      </c>
      <c r="BB5290" s="3" t="s">
        <v>50747</v>
      </c>
      <c r="BC5290" s="3" t="s">
        <v>102</v>
      </c>
      <c r="BD5290" s="3" t="s">
        <v>68</v>
      </c>
      <c r="BE5290" s="3" t="s">
        <v>50748</v>
      </c>
      <c r="BF5290" s="3" t="s">
        <v>50747</v>
      </c>
      <c r="BG5290" s="3" t="s">
        <v>50749</v>
      </c>
    </row>
    <row r="5291" spans="1:59" ht="58" x14ac:dyDescent="0.35">
      <c r="A5291" s="2" t="s">
        <v>89</v>
      </c>
      <c r="B5291" s="2" t="s">
        <v>90</v>
      </c>
      <c r="C5291" s="2" t="s">
        <v>50750</v>
      </c>
      <c r="D5291" s="2" t="s">
        <v>50751</v>
      </c>
      <c r="E5291" s="2" t="s">
        <v>50752</v>
      </c>
      <c r="G5291" s="3" t="s">
        <v>62</v>
      </c>
      <c r="I5291" s="3" t="s">
        <v>62</v>
      </c>
      <c r="J5291" s="3" t="s">
        <v>62</v>
      </c>
      <c r="K5291" s="3" t="s">
        <v>63</v>
      </c>
      <c r="M5291" s="2" t="s">
        <v>50753</v>
      </c>
      <c r="N5291" s="3" t="s">
        <v>625</v>
      </c>
      <c r="P5291" s="3" t="s">
        <v>64</v>
      </c>
      <c r="R5291" s="3" t="s">
        <v>46535</v>
      </c>
      <c r="S5291" s="4">
        <v>25</v>
      </c>
      <c r="T5291" s="4">
        <v>25</v>
      </c>
      <c r="U5291" s="5" t="s">
        <v>5766</v>
      </c>
      <c r="V5291" s="5" t="s">
        <v>5766</v>
      </c>
      <c r="W5291" s="5" t="s">
        <v>67</v>
      </c>
      <c r="X5291" s="5" t="s">
        <v>67</v>
      </c>
      <c r="Y5291" s="4">
        <v>245</v>
      </c>
      <c r="Z5291" s="4">
        <v>16</v>
      </c>
      <c r="AA5291" s="4">
        <v>18</v>
      </c>
      <c r="AB5291" s="4">
        <v>1</v>
      </c>
      <c r="AC5291" s="4">
        <v>2</v>
      </c>
      <c r="AD5291" s="4">
        <v>88</v>
      </c>
      <c r="AE5291" s="4">
        <v>89</v>
      </c>
      <c r="AF5291" s="4">
        <v>0</v>
      </c>
      <c r="AG5291" s="4">
        <v>0</v>
      </c>
      <c r="AH5291" s="4">
        <v>79</v>
      </c>
      <c r="AI5291" s="4">
        <v>80</v>
      </c>
      <c r="AJ5291" s="4">
        <v>11</v>
      </c>
      <c r="AK5291" s="4">
        <v>12</v>
      </c>
      <c r="AL5291" s="4">
        <v>47</v>
      </c>
      <c r="AM5291" s="4">
        <v>47</v>
      </c>
      <c r="AN5291" s="4">
        <v>0</v>
      </c>
      <c r="AO5291" s="4">
        <v>0</v>
      </c>
      <c r="AP5291" s="4">
        <v>13</v>
      </c>
      <c r="AQ5291" s="4">
        <v>14</v>
      </c>
      <c r="AR5291" s="3" t="s">
        <v>62</v>
      </c>
      <c r="AS5291" s="3" t="s">
        <v>62</v>
      </c>
      <c r="AT5291" s="3" t="s">
        <v>62</v>
      </c>
      <c r="AV5291" s="6" t="str">
        <f>HYPERLINK("http://mcgill.on.worldcat.org/oclc/50747505","Catalog Record")</f>
        <v>Catalog Record</v>
      </c>
      <c r="AW5291" s="6" t="str">
        <f>HYPERLINK("http://www.worldcat.org/oclc/50747505","WorldCat Record")</f>
        <v>WorldCat Record</v>
      </c>
      <c r="AX5291" s="3" t="s">
        <v>50754</v>
      </c>
      <c r="AY5291" s="3" t="s">
        <v>50755</v>
      </c>
      <c r="AZ5291" s="3" t="s">
        <v>50756</v>
      </c>
      <c r="BA5291" s="3" t="s">
        <v>50756</v>
      </c>
      <c r="BB5291" s="3" t="s">
        <v>50757</v>
      </c>
      <c r="BC5291" s="3" t="s">
        <v>102</v>
      </c>
      <c r="BD5291" s="3" t="s">
        <v>68</v>
      </c>
      <c r="BE5291" s="3" t="s">
        <v>50758</v>
      </c>
      <c r="BF5291" s="3" t="s">
        <v>50757</v>
      </c>
      <c r="BG5291" s="3" t="s">
        <v>50759</v>
      </c>
    </row>
    <row r="5292" spans="1:59" ht="58" x14ac:dyDescent="0.35">
      <c r="A5292" s="2" t="s">
        <v>89</v>
      </c>
      <c r="B5292" s="2" t="s">
        <v>90</v>
      </c>
      <c r="C5292" s="2" t="s">
        <v>50760</v>
      </c>
      <c r="D5292" s="2" t="s">
        <v>50761</v>
      </c>
      <c r="E5292" s="2" t="s">
        <v>50762</v>
      </c>
      <c r="G5292" s="3" t="s">
        <v>62</v>
      </c>
      <c r="I5292" s="3" t="s">
        <v>62</v>
      </c>
      <c r="J5292" s="3" t="s">
        <v>62</v>
      </c>
      <c r="K5292" s="3" t="s">
        <v>63</v>
      </c>
      <c r="L5292" s="2" t="s">
        <v>50763</v>
      </c>
      <c r="M5292" s="2" t="s">
        <v>50764</v>
      </c>
      <c r="N5292" s="3" t="s">
        <v>880</v>
      </c>
      <c r="P5292" s="3" t="s">
        <v>64</v>
      </c>
      <c r="R5292" s="3" t="s">
        <v>46535</v>
      </c>
      <c r="S5292" s="4">
        <v>1</v>
      </c>
      <c r="T5292" s="4">
        <v>1</v>
      </c>
      <c r="U5292" s="5" t="s">
        <v>50765</v>
      </c>
      <c r="V5292" s="5" t="s">
        <v>50765</v>
      </c>
      <c r="W5292" s="5" t="s">
        <v>67</v>
      </c>
      <c r="X5292" s="5" t="s">
        <v>67</v>
      </c>
      <c r="Y5292" s="4">
        <v>18</v>
      </c>
      <c r="Z5292" s="4">
        <v>3</v>
      </c>
      <c r="AA5292" s="4">
        <v>104</v>
      </c>
      <c r="AB5292" s="4">
        <v>1</v>
      </c>
      <c r="AC5292" s="4">
        <v>18</v>
      </c>
      <c r="AD5292" s="4">
        <v>6</v>
      </c>
      <c r="AE5292" s="4">
        <v>146</v>
      </c>
      <c r="AF5292" s="4">
        <v>0</v>
      </c>
      <c r="AG5292" s="4">
        <v>8</v>
      </c>
      <c r="AH5292" s="4">
        <v>5</v>
      </c>
      <c r="AI5292" s="4">
        <v>104</v>
      </c>
      <c r="AJ5292" s="4">
        <v>2</v>
      </c>
      <c r="AK5292" s="4">
        <v>26</v>
      </c>
      <c r="AL5292" s="4">
        <v>4</v>
      </c>
      <c r="AM5292" s="4">
        <v>56</v>
      </c>
      <c r="AN5292" s="4">
        <v>0</v>
      </c>
      <c r="AO5292" s="4">
        <v>5</v>
      </c>
      <c r="AP5292" s="4">
        <v>2</v>
      </c>
      <c r="AQ5292" s="4">
        <v>50</v>
      </c>
      <c r="AR5292" s="3" t="s">
        <v>62</v>
      </c>
      <c r="AS5292" s="3" t="s">
        <v>62</v>
      </c>
      <c r="AT5292" s="3" t="s">
        <v>61</v>
      </c>
      <c r="AU5292" s="6" t="str">
        <f>HYPERLINK("http://catalog.hathitrust.org/Record/011803165","HathiTrust Record")</f>
        <v>HathiTrust Record</v>
      </c>
      <c r="AV5292" s="6" t="str">
        <f>HYPERLINK("http://mcgill.on.worldcat.org/oclc/620165038","Catalog Record")</f>
        <v>Catalog Record</v>
      </c>
      <c r="AW5292" s="6" t="str">
        <f>HYPERLINK("http://www.worldcat.org/oclc/620165038","WorldCat Record")</f>
        <v>WorldCat Record</v>
      </c>
      <c r="AX5292" s="3" t="s">
        <v>50766</v>
      </c>
      <c r="AY5292" s="3" t="s">
        <v>50767</v>
      </c>
      <c r="AZ5292" s="3" t="s">
        <v>50768</v>
      </c>
      <c r="BA5292" s="3" t="s">
        <v>50768</v>
      </c>
      <c r="BB5292" s="3" t="s">
        <v>50769</v>
      </c>
      <c r="BC5292" s="3" t="s">
        <v>102</v>
      </c>
      <c r="BD5292" s="3" t="s">
        <v>68</v>
      </c>
      <c r="BE5292" s="3" t="s">
        <v>50770</v>
      </c>
      <c r="BF5292" s="3" t="s">
        <v>50769</v>
      </c>
      <c r="BG5292" s="3" t="s">
        <v>50771</v>
      </c>
    </row>
    <row r="5293" spans="1:59" ht="58" x14ac:dyDescent="0.35">
      <c r="A5293" s="2" t="s">
        <v>89</v>
      </c>
      <c r="B5293" s="2" t="s">
        <v>90</v>
      </c>
      <c r="C5293" s="2" t="s">
        <v>50772</v>
      </c>
      <c r="D5293" s="2" t="s">
        <v>50773</v>
      </c>
      <c r="E5293" s="2" t="s">
        <v>50774</v>
      </c>
      <c r="G5293" s="3" t="s">
        <v>62</v>
      </c>
      <c r="I5293" s="3" t="s">
        <v>62</v>
      </c>
      <c r="J5293" s="3" t="s">
        <v>62</v>
      </c>
      <c r="K5293" s="3" t="s">
        <v>63</v>
      </c>
      <c r="L5293" s="2" t="s">
        <v>50775</v>
      </c>
      <c r="M5293" s="2" t="s">
        <v>40492</v>
      </c>
      <c r="N5293" s="3" t="s">
        <v>866</v>
      </c>
      <c r="P5293" s="3" t="s">
        <v>64</v>
      </c>
      <c r="R5293" s="3" t="s">
        <v>46535</v>
      </c>
      <c r="S5293" s="4">
        <v>13</v>
      </c>
      <c r="T5293" s="4">
        <v>13</v>
      </c>
      <c r="U5293" s="5" t="s">
        <v>16415</v>
      </c>
      <c r="V5293" s="5" t="s">
        <v>16415</v>
      </c>
      <c r="W5293" s="5" t="s">
        <v>67</v>
      </c>
      <c r="X5293" s="5" t="s">
        <v>67</v>
      </c>
      <c r="Y5293" s="4">
        <v>648</v>
      </c>
      <c r="Z5293" s="4">
        <v>36</v>
      </c>
      <c r="AA5293" s="4">
        <v>41</v>
      </c>
      <c r="AB5293" s="4">
        <v>3</v>
      </c>
      <c r="AC5293" s="4">
        <v>6</v>
      </c>
      <c r="AD5293" s="4">
        <v>120</v>
      </c>
      <c r="AE5293" s="4">
        <v>124</v>
      </c>
      <c r="AF5293" s="4">
        <v>1</v>
      </c>
      <c r="AG5293" s="4">
        <v>3</v>
      </c>
      <c r="AH5293" s="4">
        <v>97</v>
      </c>
      <c r="AI5293" s="4">
        <v>98</v>
      </c>
      <c r="AJ5293" s="4">
        <v>18</v>
      </c>
      <c r="AK5293" s="4">
        <v>21</v>
      </c>
      <c r="AL5293" s="4">
        <v>57</v>
      </c>
      <c r="AM5293" s="4">
        <v>57</v>
      </c>
      <c r="AN5293" s="4">
        <v>5</v>
      </c>
      <c r="AO5293" s="4">
        <v>5</v>
      </c>
      <c r="AP5293" s="4">
        <v>27</v>
      </c>
      <c r="AQ5293" s="4">
        <v>30</v>
      </c>
      <c r="AR5293" s="3" t="s">
        <v>62</v>
      </c>
      <c r="AS5293" s="3" t="s">
        <v>62</v>
      </c>
      <c r="AT5293" s="3" t="s">
        <v>61</v>
      </c>
      <c r="AU5293" s="6" t="str">
        <f>HYPERLINK("http://catalog.hathitrust.org/Record/001554931","HathiTrust Record")</f>
        <v>HathiTrust Record</v>
      </c>
      <c r="AV5293" s="6" t="str">
        <f>HYPERLINK("http://mcgill.on.worldcat.org/oclc/514665","Catalog Record")</f>
        <v>Catalog Record</v>
      </c>
      <c r="AW5293" s="6" t="str">
        <f>HYPERLINK("http://www.worldcat.org/oclc/514665","WorldCat Record")</f>
        <v>WorldCat Record</v>
      </c>
      <c r="AX5293" s="3" t="s">
        <v>50776</v>
      </c>
      <c r="AY5293" s="3" t="s">
        <v>50777</v>
      </c>
      <c r="AZ5293" s="3" t="s">
        <v>50778</v>
      </c>
      <c r="BA5293" s="3" t="s">
        <v>50778</v>
      </c>
      <c r="BB5293" s="3" t="s">
        <v>50779</v>
      </c>
      <c r="BC5293" s="3" t="s">
        <v>102</v>
      </c>
      <c r="BD5293" s="3" t="s">
        <v>68</v>
      </c>
      <c r="BE5293" s="3" t="s">
        <v>50780</v>
      </c>
      <c r="BF5293" s="3" t="s">
        <v>50779</v>
      </c>
      <c r="BG5293" s="3" t="s">
        <v>50781</v>
      </c>
    </row>
    <row r="5294" spans="1:59" ht="58" x14ac:dyDescent="0.35">
      <c r="A5294" s="2" t="s">
        <v>89</v>
      </c>
      <c r="B5294" s="2" t="s">
        <v>90</v>
      </c>
      <c r="C5294" s="2" t="s">
        <v>50782</v>
      </c>
      <c r="D5294" s="2" t="s">
        <v>50783</v>
      </c>
      <c r="E5294" s="2" t="s">
        <v>50784</v>
      </c>
      <c r="G5294" s="3" t="s">
        <v>62</v>
      </c>
      <c r="I5294" s="3" t="s">
        <v>61</v>
      </c>
      <c r="J5294" s="3" t="s">
        <v>62</v>
      </c>
      <c r="K5294" s="3" t="s">
        <v>63</v>
      </c>
      <c r="L5294" s="2" t="s">
        <v>50785</v>
      </c>
      <c r="M5294" s="2" t="s">
        <v>50786</v>
      </c>
      <c r="N5294" s="3" t="s">
        <v>2566</v>
      </c>
      <c r="P5294" s="3" t="s">
        <v>64</v>
      </c>
      <c r="Q5294" s="2" t="s">
        <v>50787</v>
      </c>
      <c r="R5294" s="3" t="s">
        <v>46535</v>
      </c>
      <c r="S5294" s="4">
        <v>7</v>
      </c>
      <c r="T5294" s="4">
        <v>7</v>
      </c>
      <c r="U5294" s="5" t="s">
        <v>16415</v>
      </c>
      <c r="V5294" s="5" t="s">
        <v>16415</v>
      </c>
      <c r="W5294" s="5" t="s">
        <v>67</v>
      </c>
      <c r="X5294" s="5" t="s">
        <v>67</v>
      </c>
      <c r="Y5294" s="4">
        <v>884</v>
      </c>
      <c r="Z5294" s="4">
        <v>50</v>
      </c>
      <c r="AA5294" s="4">
        <v>54</v>
      </c>
      <c r="AB5294" s="4">
        <v>4</v>
      </c>
      <c r="AC5294" s="4">
        <v>6</v>
      </c>
      <c r="AD5294" s="4">
        <v>121</v>
      </c>
      <c r="AE5294" s="4">
        <v>124</v>
      </c>
      <c r="AF5294" s="4">
        <v>1</v>
      </c>
      <c r="AG5294" s="4">
        <v>3</v>
      </c>
      <c r="AH5294" s="4">
        <v>97</v>
      </c>
      <c r="AI5294" s="4">
        <v>98</v>
      </c>
      <c r="AJ5294" s="4">
        <v>20</v>
      </c>
      <c r="AK5294" s="4">
        <v>23</v>
      </c>
      <c r="AL5294" s="4">
        <v>52</v>
      </c>
      <c r="AM5294" s="4">
        <v>52</v>
      </c>
      <c r="AN5294" s="4">
        <v>0</v>
      </c>
      <c r="AO5294" s="4">
        <v>0</v>
      </c>
      <c r="AP5294" s="4">
        <v>30</v>
      </c>
      <c r="AQ5294" s="4">
        <v>32</v>
      </c>
      <c r="AR5294" s="3" t="s">
        <v>62</v>
      </c>
      <c r="AS5294" s="3" t="s">
        <v>62</v>
      </c>
      <c r="AT5294" s="3" t="s">
        <v>62</v>
      </c>
      <c r="AV5294" s="6" t="str">
        <f>HYPERLINK("http://mcgill.on.worldcat.org/oclc/839107","Catalog Record")</f>
        <v>Catalog Record</v>
      </c>
      <c r="AW5294" s="6" t="str">
        <f>HYPERLINK("http://www.worldcat.org/oclc/839107","WorldCat Record")</f>
        <v>WorldCat Record</v>
      </c>
      <c r="AX5294" s="3" t="s">
        <v>50788</v>
      </c>
      <c r="AY5294" s="3" t="s">
        <v>50789</v>
      </c>
      <c r="AZ5294" s="3" t="s">
        <v>50790</v>
      </c>
      <c r="BA5294" s="3" t="s">
        <v>50790</v>
      </c>
      <c r="BB5294" s="3" t="s">
        <v>50791</v>
      </c>
      <c r="BC5294" s="3" t="s">
        <v>102</v>
      </c>
      <c r="BD5294" s="3" t="s">
        <v>68</v>
      </c>
      <c r="BE5294" s="3" t="s">
        <v>50792</v>
      </c>
      <c r="BF5294" s="3" t="s">
        <v>50791</v>
      </c>
      <c r="BG5294" s="3" t="s">
        <v>50793</v>
      </c>
    </row>
    <row r="5295" spans="1:59" ht="72.5" x14ac:dyDescent="0.35">
      <c r="A5295" s="2" t="s">
        <v>59</v>
      </c>
      <c r="B5295" s="2" t="s">
        <v>60</v>
      </c>
      <c r="C5295" s="2" t="s">
        <v>50794</v>
      </c>
      <c r="D5295" s="2" t="s">
        <v>50795</v>
      </c>
      <c r="E5295" s="2" t="s">
        <v>50796</v>
      </c>
      <c r="G5295" s="3" t="s">
        <v>62</v>
      </c>
      <c r="I5295" s="3" t="s">
        <v>62</v>
      </c>
      <c r="J5295" s="3" t="s">
        <v>62</v>
      </c>
      <c r="K5295" s="3" t="s">
        <v>63</v>
      </c>
      <c r="L5295" s="2" t="s">
        <v>50797</v>
      </c>
      <c r="M5295" s="2" t="s">
        <v>50798</v>
      </c>
      <c r="N5295" s="3" t="s">
        <v>893</v>
      </c>
      <c r="P5295" s="3" t="s">
        <v>64</v>
      </c>
      <c r="R5295" s="3" t="s">
        <v>46535</v>
      </c>
      <c r="S5295" s="4">
        <v>3</v>
      </c>
      <c r="T5295" s="4">
        <v>3</v>
      </c>
      <c r="U5295" s="5" t="s">
        <v>18783</v>
      </c>
      <c r="V5295" s="5" t="s">
        <v>18783</v>
      </c>
      <c r="W5295" s="5" t="s">
        <v>67</v>
      </c>
      <c r="X5295" s="5" t="s">
        <v>67</v>
      </c>
      <c r="Y5295" s="4">
        <v>164</v>
      </c>
      <c r="Z5295" s="4">
        <v>10</v>
      </c>
      <c r="AA5295" s="4">
        <v>11</v>
      </c>
      <c r="AB5295" s="4">
        <v>1</v>
      </c>
      <c r="AC5295" s="4">
        <v>2</v>
      </c>
      <c r="AD5295" s="4">
        <v>68</v>
      </c>
      <c r="AE5295" s="4">
        <v>70</v>
      </c>
      <c r="AF5295" s="4">
        <v>0</v>
      </c>
      <c r="AG5295" s="4">
        <v>0</v>
      </c>
      <c r="AH5295" s="4">
        <v>63</v>
      </c>
      <c r="AI5295" s="4">
        <v>65</v>
      </c>
      <c r="AJ5295" s="4">
        <v>8</v>
      </c>
      <c r="AK5295" s="4">
        <v>8</v>
      </c>
      <c r="AL5295" s="4">
        <v>36</v>
      </c>
      <c r="AM5295" s="4">
        <v>38</v>
      </c>
      <c r="AN5295" s="4">
        <v>0</v>
      </c>
      <c r="AO5295" s="4">
        <v>0</v>
      </c>
      <c r="AP5295" s="4">
        <v>7</v>
      </c>
      <c r="AQ5295" s="4">
        <v>7</v>
      </c>
      <c r="AR5295" s="3" t="s">
        <v>62</v>
      </c>
      <c r="AS5295" s="3" t="s">
        <v>62</v>
      </c>
      <c r="AT5295" s="3" t="s">
        <v>62</v>
      </c>
      <c r="AV5295" s="6" t="str">
        <f>HYPERLINK("http://mcgill.on.worldcat.org/oclc/10364660","Catalog Record")</f>
        <v>Catalog Record</v>
      </c>
      <c r="AW5295" s="6" t="str">
        <f>HYPERLINK("http://www.worldcat.org/oclc/10364660","WorldCat Record")</f>
        <v>WorldCat Record</v>
      </c>
      <c r="AX5295" s="3" t="s">
        <v>50799</v>
      </c>
      <c r="AY5295" s="3" t="s">
        <v>50800</v>
      </c>
      <c r="AZ5295" s="3" t="s">
        <v>50801</v>
      </c>
      <c r="BA5295" s="3" t="s">
        <v>50801</v>
      </c>
      <c r="BB5295" s="3" t="s">
        <v>50802</v>
      </c>
      <c r="BC5295" s="3" t="s">
        <v>102</v>
      </c>
      <c r="BD5295" s="3" t="s">
        <v>68</v>
      </c>
      <c r="BE5295" s="3" t="s">
        <v>50803</v>
      </c>
      <c r="BF5295" s="3" t="s">
        <v>50802</v>
      </c>
      <c r="BG5295" s="3" t="s">
        <v>50804</v>
      </c>
    </row>
    <row r="5296" spans="1:59" ht="58" x14ac:dyDescent="0.35">
      <c r="A5296" s="2" t="s">
        <v>89</v>
      </c>
      <c r="B5296" s="2" t="s">
        <v>90</v>
      </c>
      <c r="C5296" s="2" t="s">
        <v>50805</v>
      </c>
      <c r="D5296" s="2" t="s">
        <v>50806</v>
      </c>
      <c r="E5296" s="2" t="s">
        <v>50807</v>
      </c>
      <c r="G5296" s="3" t="s">
        <v>62</v>
      </c>
      <c r="I5296" s="3" t="s">
        <v>62</v>
      </c>
      <c r="J5296" s="3" t="s">
        <v>62</v>
      </c>
      <c r="K5296" s="3" t="s">
        <v>63</v>
      </c>
      <c r="L5296" s="2" t="s">
        <v>39129</v>
      </c>
      <c r="M5296" s="2" t="s">
        <v>50808</v>
      </c>
      <c r="N5296" s="3" t="s">
        <v>1576</v>
      </c>
      <c r="P5296" s="3" t="s">
        <v>64</v>
      </c>
      <c r="R5296" s="3" t="s">
        <v>46535</v>
      </c>
      <c r="S5296" s="4">
        <v>6</v>
      </c>
      <c r="T5296" s="4">
        <v>6</v>
      </c>
      <c r="U5296" s="5" t="s">
        <v>16415</v>
      </c>
      <c r="V5296" s="5" t="s">
        <v>16415</v>
      </c>
      <c r="W5296" s="5" t="s">
        <v>67</v>
      </c>
      <c r="X5296" s="5" t="s">
        <v>67</v>
      </c>
      <c r="Y5296" s="4">
        <v>860</v>
      </c>
      <c r="Z5296" s="4">
        <v>31</v>
      </c>
      <c r="AA5296" s="4">
        <v>39</v>
      </c>
      <c r="AB5296" s="4">
        <v>5</v>
      </c>
      <c r="AC5296" s="4">
        <v>9</v>
      </c>
      <c r="AD5296" s="4">
        <v>104</v>
      </c>
      <c r="AE5296" s="4">
        <v>110</v>
      </c>
      <c r="AF5296" s="4">
        <v>1</v>
      </c>
      <c r="AG5296" s="4">
        <v>4</v>
      </c>
      <c r="AH5296" s="4">
        <v>89</v>
      </c>
      <c r="AI5296" s="4">
        <v>90</v>
      </c>
      <c r="AJ5296" s="4">
        <v>13</v>
      </c>
      <c r="AK5296" s="4">
        <v>17</v>
      </c>
      <c r="AL5296" s="4">
        <v>51</v>
      </c>
      <c r="AM5296" s="4">
        <v>52</v>
      </c>
      <c r="AN5296" s="4">
        <v>0</v>
      </c>
      <c r="AO5296" s="4">
        <v>0</v>
      </c>
      <c r="AP5296" s="4">
        <v>18</v>
      </c>
      <c r="AQ5296" s="4">
        <v>22</v>
      </c>
      <c r="AR5296" s="3" t="s">
        <v>62</v>
      </c>
      <c r="AS5296" s="3" t="s">
        <v>62</v>
      </c>
      <c r="AT5296" s="3" t="s">
        <v>61</v>
      </c>
      <c r="AU5296" s="6" t="str">
        <f>HYPERLINK("http://catalog.hathitrust.org/Record/001554938","HathiTrust Record")</f>
        <v>HathiTrust Record</v>
      </c>
      <c r="AV5296" s="6" t="str">
        <f>HYPERLINK("http://mcgill.on.worldcat.org/oclc/224654","Catalog Record")</f>
        <v>Catalog Record</v>
      </c>
      <c r="AW5296" s="6" t="str">
        <f>HYPERLINK("http://www.worldcat.org/oclc/224654","WorldCat Record")</f>
        <v>WorldCat Record</v>
      </c>
      <c r="AX5296" s="3" t="s">
        <v>50809</v>
      </c>
      <c r="AY5296" s="3" t="s">
        <v>50810</v>
      </c>
      <c r="AZ5296" s="3" t="s">
        <v>50811</v>
      </c>
      <c r="BA5296" s="3" t="s">
        <v>50811</v>
      </c>
      <c r="BB5296" s="3" t="s">
        <v>50812</v>
      </c>
      <c r="BC5296" s="3" t="s">
        <v>102</v>
      </c>
      <c r="BD5296" s="3" t="s">
        <v>68</v>
      </c>
      <c r="BE5296" s="3" t="s">
        <v>50813</v>
      </c>
      <c r="BF5296" s="3" t="s">
        <v>50812</v>
      </c>
      <c r="BG5296" s="3" t="s">
        <v>50814</v>
      </c>
    </row>
    <row r="5297" spans="1:59" ht="58" x14ac:dyDescent="0.35">
      <c r="A5297" s="2" t="s">
        <v>89</v>
      </c>
      <c r="B5297" s="2" t="s">
        <v>90</v>
      </c>
      <c r="C5297" s="2" t="s">
        <v>50815</v>
      </c>
      <c r="D5297" s="2" t="s">
        <v>50816</v>
      </c>
      <c r="E5297" s="2" t="s">
        <v>50817</v>
      </c>
      <c r="G5297" s="3" t="s">
        <v>62</v>
      </c>
      <c r="I5297" s="3" t="s">
        <v>62</v>
      </c>
      <c r="J5297" s="3" t="s">
        <v>62</v>
      </c>
      <c r="K5297" s="3" t="s">
        <v>63</v>
      </c>
      <c r="L5297" s="2" t="s">
        <v>50818</v>
      </c>
      <c r="M5297" s="2" t="s">
        <v>50819</v>
      </c>
      <c r="N5297" s="3" t="s">
        <v>1905</v>
      </c>
      <c r="P5297" s="3" t="s">
        <v>64</v>
      </c>
      <c r="R5297" s="3" t="s">
        <v>46535</v>
      </c>
      <c r="S5297" s="4">
        <v>24</v>
      </c>
      <c r="T5297" s="4">
        <v>24</v>
      </c>
      <c r="U5297" s="5" t="s">
        <v>28291</v>
      </c>
      <c r="V5297" s="5" t="s">
        <v>28291</v>
      </c>
      <c r="W5297" s="5" t="s">
        <v>67</v>
      </c>
      <c r="X5297" s="5" t="s">
        <v>67</v>
      </c>
      <c r="Y5297" s="4">
        <v>412</v>
      </c>
      <c r="Z5297" s="4">
        <v>28</v>
      </c>
      <c r="AA5297" s="4">
        <v>33</v>
      </c>
      <c r="AB5297" s="4">
        <v>3</v>
      </c>
      <c r="AC5297" s="4">
        <v>5</v>
      </c>
      <c r="AD5297" s="4">
        <v>91</v>
      </c>
      <c r="AE5297" s="4">
        <v>101</v>
      </c>
      <c r="AF5297" s="4">
        <v>1</v>
      </c>
      <c r="AG5297" s="4">
        <v>3</v>
      </c>
      <c r="AH5297" s="4">
        <v>79</v>
      </c>
      <c r="AI5297" s="4">
        <v>85</v>
      </c>
      <c r="AJ5297" s="4">
        <v>15</v>
      </c>
      <c r="AK5297" s="4">
        <v>17</v>
      </c>
      <c r="AL5297" s="4">
        <v>42</v>
      </c>
      <c r="AM5297" s="4">
        <v>47</v>
      </c>
      <c r="AN5297" s="4">
        <v>0</v>
      </c>
      <c r="AO5297" s="4">
        <v>0</v>
      </c>
      <c r="AP5297" s="4">
        <v>21</v>
      </c>
      <c r="AQ5297" s="4">
        <v>24</v>
      </c>
      <c r="AR5297" s="3" t="s">
        <v>62</v>
      </c>
      <c r="AS5297" s="3" t="s">
        <v>62</v>
      </c>
      <c r="AT5297" s="3" t="s">
        <v>62</v>
      </c>
      <c r="AV5297" s="6" t="str">
        <f>HYPERLINK("http://mcgill.on.worldcat.org/oclc/13395683","Catalog Record")</f>
        <v>Catalog Record</v>
      </c>
      <c r="AW5297" s="6" t="str">
        <f>HYPERLINK("http://www.worldcat.org/oclc/13395683","WorldCat Record")</f>
        <v>WorldCat Record</v>
      </c>
      <c r="AX5297" s="3" t="s">
        <v>50820</v>
      </c>
      <c r="AY5297" s="3" t="s">
        <v>50821</v>
      </c>
      <c r="AZ5297" s="3" t="s">
        <v>50822</v>
      </c>
      <c r="BA5297" s="3" t="s">
        <v>50822</v>
      </c>
      <c r="BB5297" s="3" t="s">
        <v>50823</v>
      </c>
      <c r="BC5297" s="3" t="s">
        <v>102</v>
      </c>
      <c r="BD5297" s="3" t="s">
        <v>68</v>
      </c>
      <c r="BE5297" s="3" t="s">
        <v>50824</v>
      </c>
      <c r="BF5297" s="3" t="s">
        <v>50823</v>
      </c>
      <c r="BG5297" s="3" t="s">
        <v>50825</v>
      </c>
    </row>
    <row r="5298" spans="1:59" ht="58" x14ac:dyDescent="0.35">
      <c r="A5298" s="2" t="s">
        <v>89</v>
      </c>
      <c r="B5298" s="2" t="s">
        <v>90</v>
      </c>
      <c r="C5298" s="2" t="s">
        <v>50826</v>
      </c>
      <c r="D5298" s="2" t="s">
        <v>50827</v>
      </c>
      <c r="E5298" s="2" t="s">
        <v>50828</v>
      </c>
      <c r="G5298" s="3" t="s">
        <v>62</v>
      </c>
      <c r="I5298" s="3" t="s">
        <v>62</v>
      </c>
      <c r="J5298" s="3" t="s">
        <v>62</v>
      </c>
      <c r="K5298" s="3" t="s">
        <v>63</v>
      </c>
      <c r="L5298" s="2" t="s">
        <v>50829</v>
      </c>
      <c r="M5298" s="2" t="s">
        <v>50830</v>
      </c>
      <c r="N5298" s="3" t="s">
        <v>640</v>
      </c>
      <c r="P5298" s="3" t="s">
        <v>64</v>
      </c>
      <c r="R5298" s="3" t="s">
        <v>46535</v>
      </c>
      <c r="S5298" s="4">
        <v>10</v>
      </c>
      <c r="T5298" s="4">
        <v>10</v>
      </c>
      <c r="U5298" s="5" t="s">
        <v>14912</v>
      </c>
      <c r="V5298" s="5" t="s">
        <v>14912</v>
      </c>
      <c r="W5298" s="5" t="s">
        <v>67</v>
      </c>
      <c r="X5298" s="5" t="s">
        <v>67</v>
      </c>
      <c r="Y5298" s="4">
        <v>442</v>
      </c>
      <c r="Z5298" s="4">
        <v>27</v>
      </c>
      <c r="AA5298" s="4">
        <v>27</v>
      </c>
      <c r="AB5298" s="4">
        <v>2</v>
      </c>
      <c r="AC5298" s="4">
        <v>2</v>
      </c>
      <c r="AD5298" s="4">
        <v>79</v>
      </c>
      <c r="AE5298" s="4">
        <v>80</v>
      </c>
      <c r="AF5298" s="4">
        <v>0</v>
      </c>
      <c r="AG5298" s="4">
        <v>0</v>
      </c>
      <c r="AH5298" s="4">
        <v>67</v>
      </c>
      <c r="AI5298" s="4">
        <v>67</v>
      </c>
      <c r="AJ5298" s="4">
        <v>13</v>
      </c>
      <c r="AK5298" s="4">
        <v>13</v>
      </c>
      <c r="AL5298" s="4">
        <v>32</v>
      </c>
      <c r="AM5298" s="4">
        <v>33</v>
      </c>
      <c r="AN5298" s="4">
        <v>0</v>
      </c>
      <c r="AO5298" s="4">
        <v>0</v>
      </c>
      <c r="AP5298" s="4">
        <v>19</v>
      </c>
      <c r="AQ5298" s="4">
        <v>19</v>
      </c>
      <c r="AR5298" s="3" t="s">
        <v>62</v>
      </c>
      <c r="AS5298" s="3" t="s">
        <v>62</v>
      </c>
      <c r="AT5298" s="3" t="s">
        <v>62</v>
      </c>
      <c r="AV5298" s="6" t="str">
        <f>HYPERLINK("http://mcgill.on.worldcat.org/oclc/56097010","Catalog Record")</f>
        <v>Catalog Record</v>
      </c>
      <c r="AW5298" s="6" t="str">
        <f>HYPERLINK("http://www.worldcat.org/oclc/56097010","WorldCat Record")</f>
        <v>WorldCat Record</v>
      </c>
      <c r="AX5298" s="3" t="s">
        <v>50831</v>
      </c>
      <c r="AY5298" s="3" t="s">
        <v>50832</v>
      </c>
      <c r="AZ5298" s="3" t="s">
        <v>50833</v>
      </c>
      <c r="BA5298" s="3" t="s">
        <v>50833</v>
      </c>
      <c r="BB5298" s="3" t="s">
        <v>50834</v>
      </c>
      <c r="BC5298" s="3" t="s">
        <v>102</v>
      </c>
      <c r="BD5298" s="3" t="s">
        <v>68</v>
      </c>
      <c r="BE5298" s="3" t="s">
        <v>50835</v>
      </c>
      <c r="BF5298" s="3" t="s">
        <v>50834</v>
      </c>
      <c r="BG5298" s="3" t="s">
        <v>50836</v>
      </c>
    </row>
    <row r="5299" spans="1:59" ht="58" x14ac:dyDescent="0.35">
      <c r="A5299" s="2" t="s">
        <v>89</v>
      </c>
      <c r="B5299" s="2" t="s">
        <v>90</v>
      </c>
      <c r="C5299" s="2" t="s">
        <v>50837</v>
      </c>
      <c r="D5299" s="2" t="s">
        <v>50838</v>
      </c>
      <c r="E5299" s="2" t="s">
        <v>50839</v>
      </c>
      <c r="G5299" s="3" t="s">
        <v>62</v>
      </c>
      <c r="I5299" s="3" t="s">
        <v>61</v>
      </c>
      <c r="J5299" s="3" t="s">
        <v>62</v>
      </c>
      <c r="K5299" s="3" t="s">
        <v>63</v>
      </c>
      <c r="M5299" s="2" t="s">
        <v>50840</v>
      </c>
      <c r="N5299" s="3" t="s">
        <v>2985</v>
      </c>
      <c r="P5299" s="3" t="s">
        <v>64</v>
      </c>
      <c r="R5299" s="3" t="s">
        <v>46535</v>
      </c>
      <c r="S5299" s="4">
        <v>52</v>
      </c>
      <c r="T5299" s="4">
        <v>112</v>
      </c>
      <c r="U5299" s="5" t="s">
        <v>34157</v>
      </c>
      <c r="V5299" s="5" t="s">
        <v>33763</v>
      </c>
      <c r="W5299" s="5" t="s">
        <v>67</v>
      </c>
      <c r="X5299" s="5" t="s">
        <v>67</v>
      </c>
      <c r="Y5299" s="4">
        <v>133</v>
      </c>
      <c r="Z5299" s="4">
        <v>13</v>
      </c>
      <c r="AA5299" s="4">
        <v>23</v>
      </c>
      <c r="AB5299" s="4">
        <v>2</v>
      </c>
      <c r="AC5299" s="4">
        <v>5</v>
      </c>
      <c r="AD5299" s="4">
        <v>47</v>
      </c>
      <c r="AE5299" s="4">
        <v>65</v>
      </c>
      <c r="AF5299" s="4">
        <v>0</v>
      </c>
      <c r="AG5299" s="4">
        <v>1</v>
      </c>
      <c r="AH5299" s="4">
        <v>41</v>
      </c>
      <c r="AI5299" s="4">
        <v>56</v>
      </c>
      <c r="AJ5299" s="4">
        <v>8</v>
      </c>
      <c r="AK5299" s="4">
        <v>10</v>
      </c>
      <c r="AL5299" s="4">
        <v>25</v>
      </c>
      <c r="AM5299" s="4">
        <v>33</v>
      </c>
      <c r="AN5299" s="4">
        <v>0</v>
      </c>
      <c r="AO5299" s="4">
        <v>0</v>
      </c>
      <c r="AP5299" s="4">
        <v>10</v>
      </c>
      <c r="AQ5299" s="4">
        <v>13</v>
      </c>
      <c r="AR5299" s="3" t="s">
        <v>62</v>
      </c>
      <c r="AS5299" s="3" t="s">
        <v>62</v>
      </c>
      <c r="AT5299" s="3" t="s">
        <v>62</v>
      </c>
      <c r="AV5299" s="6" t="str">
        <f>HYPERLINK("http://mcgill.on.worldcat.org/oclc/435734747","Catalog Record")</f>
        <v>Catalog Record</v>
      </c>
      <c r="AW5299" s="6" t="str">
        <f>HYPERLINK("http://www.worldcat.org/oclc/435734747","WorldCat Record")</f>
        <v>WorldCat Record</v>
      </c>
      <c r="AX5299" s="3" t="s">
        <v>50841</v>
      </c>
      <c r="AY5299" s="3" t="s">
        <v>50842</v>
      </c>
      <c r="AZ5299" s="3" t="s">
        <v>50843</v>
      </c>
      <c r="BA5299" s="3" t="s">
        <v>50843</v>
      </c>
      <c r="BB5299" s="3" t="s">
        <v>50844</v>
      </c>
      <c r="BC5299" s="3" t="s">
        <v>102</v>
      </c>
      <c r="BD5299" s="3" t="s">
        <v>68</v>
      </c>
      <c r="BE5299" s="3" t="s">
        <v>50845</v>
      </c>
      <c r="BF5299" s="3" t="s">
        <v>50844</v>
      </c>
      <c r="BG5299" s="3" t="s">
        <v>50846</v>
      </c>
    </row>
    <row r="5300" spans="1:59" ht="58" x14ac:dyDescent="0.35">
      <c r="A5300" s="2" t="s">
        <v>89</v>
      </c>
      <c r="B5300" s="2" t="s">
        <v>90</v>
      </c>
      <c r="C5300" s="2" t="s">
        <v>50847</v>
      </c>
      <c r="D5300" s="2" t="s">
        <v>50848</v>
      </c>
      <c r="E5300" s="2" t="s">
        <v>50849</v>
      </c>
      <c r="G5300" s="3" t="s">
        <v>62</v>
      </c>
      <c r="I5300" s="3" t="s">
        <v>62</v>
      </c>
      <c r="J5300" s="3" t="s">
        <v>62</v>
      </c>
      <c r="K5300" s="3" t="s">
        <v>63</v>
      </c>
      <c r="L5300" s="2" t="s">
        <v>50850</v>
      </c>
      <c r="M5300" s="2" t="s">
        <v>50851</v>
      </c>
      <c r="N5300" s="3" t="s">
        <v>726</v>
      </c>
      <c r="O5300" s="2" t="s">
        <v>50852</v>
      </c>
      <c r="P5300" s="3" t="s">
        <v>64</v>
      </c>
      <c r="R5300" s="3" t="s">
        <v>46535</v>
      </c>
      <c r="S5300" s="4">
        <v>7</v>
      </c>
      <c r="T5300" s="4">
        <v>7</v>
      </c>
      <c r="U5300" s="5" t="s">
        <v>9672</v>
      </c>
      <c r="V5300" s="5" t="s">
        <v>9672</v>
      </c>
      <c r="W5300" s="5" t="s">
        <v>5356</v>
      </c>
      <c r="X5300" s="5" t="s">
        <v>5356</v>
      </c>
      <c r="Y5300" s="4">
        <v>1686</v>
      </c>
      <c r="Z5300" s="4">
        <v>31</v>
      </c>
      <c r="AA5300" s="4">
        <v>42</v>
      </c>
      <c r="AB5300" s="4">
        <v>2</v>
      </c>
      <c r="AC5300" s="4">
        <v>6</v>
      </c>
      <c r="AD5300" s="4">
        <v>79</v>
      </c>
      <c r="AE5300" s="4">
        <v>86</v>
      </c>
      <c r="AF5300" s="4">
        <v>1</v>
      </c>
      <c r="AG5300" s="4">
        <v>1</v>
      </c>
      <c r="AH5300" s="4">
        <v>71</v>
      </c>
      <c r="AI5300" s="4">
        <v>78</v>
      </c>
      <c r="AJ5300" s="4">
        <v>9</v>
      </c>
      <c r="AK5300" s="4">
        <v>11</v>
      </c>
      <c r="AL5300" s="4">
        <v>42</v>
      </c>
      <c r="AM5300" s="4">
        <v>44</v>
      </c>
      <c r="AN5300" s="4">
        <v>0</v>
      </c>
      <c r="AO5300" s="4">
        <v>0</v>
      </c>
      <c r="AP5300" s="4">
        <v>13</v>
      </c>
      <c r="AQ5300" s="4">
        <v>15</v>
      </c>
      <c r="AR5300" s="3" t="s">
        <v>62</v>
      </c>
      <c r="AS5300" s="3" t="s">
        <v>62</v>
      </c>
      <c r="AT5300" s="3" t="s">
        <v>62</v>
      </c>
      <c r="AV5300" s="6" t="str">
        <f>HYPERLINK("http://mcgill.on.worldcat.org/oclc/975365716","Catalog Record")</f>
        <v>Catalog Record</v>
      </c>
      <c r="AW5300" s="6" t="str">
        <f>HYPERLINK("http://www.worldcat.org/oclc/975365716","WorldCat Record")</f>
        <v>WorldCat Record</v>
      </c>
      <c r="AX5300" s="3" t="s">
        <v>50853</v>
      </c>
      <c r="AY5300" s="3" t="s">
        <v>50854</v>
      </c>
      <c r="AZ5300" s="3" t="s">
        <v>50855</v>
      </c>
      <c r="BA5300" s="3" t="s">
        <v>50855</v>
      </c>
      <c r="BB5300" s="3" t="s">
        <v>50856</v>
      </c>
      <c r="BC5300" s="3" t="s">
        <v>102</v>
      </c>
      <c r="BD5300" s="3" t="s">
        <v>231</v>
      </c>
      <c r="BE5300" s="3" t="s">
        <v>50857</v>
      </c>
      <c r="BF5300" s="3" t="s">
        <v>50856</v>
      </c>
      <c r="BG5300" s="3" t="s">
        <v>50858</v>
      </c>
    </row>
    <row r="5301" spans="1:59" ht="58" x14ac:dyDescent="0.35">
      <c r="A5301" s="2" t="s">
        <v>89</v>
      </c>
      <c r="B5301" s="2" t="s">
        <v>90</v>
      </c>
      <c r="C5301" s="2" t="s">
        <v>50859</v>
      </c>
      <c r="D5301" s="2" t="s">
        <v>50860</v>
      </c>
      <c r="E5301" s="2" t="s">
        <v>50861</v>
      </c>
      <c r="G5301" s="3" t="s">
        <v>62</v>
      </c>
      <c r="I5301" s="3" t="s">
        <v>62</v>
      </c>
      <c r="J5301" s="3" t="s">
        <v>62</v>
      </c>
      <c r="K5301" s="3" t="s">
        <v>63</v>
      </c>
      <c r="L5301" s="2" t="s">
        <v>50862</v>
      </c>
      <c r="M5301" s="2" t="s">
        <v>4023</v>
      </c>
      <c r="N5301" s="3" t="s">
        <v>596</v>
      </c>
      <c r="P5301" s="3" t="s">
        <v>64</v>
      </c>
      <c r="R5301" s="3" t="s">
        <v>46535</v>
      </c>
      <c r="S5301" s="4">
        <v>19</v>
      </c>
      <c r="T5301" s="4">
        <v>19</v>
      </c>
      <c r="U5301" s="5" t="s">
        <v>33681</v>
      </c>
      <c r="V5301" s="5" t="s">
        <v>33681</v>
      </c>
      <c r="W5301" s="5" t="s">
        <v>67</v>
      </c>
      <c r="X5301" s="5" t="s">
        <v>67</v>
      </c>
      <c r="Y5301" s="4">
        <v>1269</v>
      </c>
      <c r="Z5301" s="4">
        <v>59</v>
      </c>
      <c r="AA5301" s="4">
        <v>62</v>
      </c>
      <c r="AB5301" s="4">
        <v>5</v>
      </c>
      <c r="AC5301" s="4">
        <v>7</v>
      </c>
      <c r="AD5301" s="4">
        <v>118</v>
      </c>
      <c r="AE5301" s="4">
        <v>121</v>
      </c>
      <c r="AF5301" s="4">
        <v>2</v>
      </c>
      <c r="AG5301" s="4">
        <v>4</v>
      </c>
      <c r="AH5301" s="4">
        <v>95</v>
      </c>
      <c r="AI5301" s="4">
        <v>96</v>
      </c>
      <c r="AJ5301" s="4">
        <v>15</v>
      </c>
      <c r="AK5301" s="4">
        <v>18</v>
      </c>
      <c r="AL5301" s="4">
        <v>53</v>
      </c>
      <c r="AM5301" s="4">
        <v>53</v>
      </c>
      <c r="AN5301" s="4">
        <v>0</v>
      </c>
      <c r="AO5301" s="4">
        <v>0</v>
      </c>
      <c r="AP5301" s="4">
        <v>30</v>
      </c>
      <c r="AQ5301" s="4">
        <v>32</v>
      </c>
      <c r="AR5301" s="3" t="s">
        <v>62</v>
      </c>
      <c r="AS5301" s="3" t="s">
        <v>62</v>
      </c>
      <c r="AT5301" s="3" t="s">
        <v>62</v>
      </c>
      <c r="AV5301" s="6" t="str">
        <f>HYPERLINK("http://mcgill.on.worldcat.org/oclc/50018114","Catalog Record")</f>
        <v>Catalog Record</v>
      </c>
      <c r="AW5301" s="6" t="str">
        <f>HYPERLINK("http://www.worldcat.org/oclc/50018114","WorldCat Record")</f>
        <v>WorldCat Record</v>
      </c>
      <c r="AX5301" s="3" t="s">
        <v>50863</v>
      </c>
      <c r="AY5301" s="3" t="s">
        <v>50864</v>
      </c>
      <c r="AZ5301" s="3" t="s">
        <v>50865</v>
      </c>
      <c r="BA5301" s="3" t="s">
        <v>50865</v>
      </c>
      <c r="BB5301" s="3" t="s">
        <v>50866</v>
      </c>
      <c r="BC5301" s="3" t="s">
        <v>102</v>
      </c>
      <c r="BD5301" s="3" t="s">
        <v>68</v>
      </c>
      <c r="BE5301" s="3" t="s">
        <v>50867</v>
      </c>
      <c r="BF5301" s="3" t="s">
        <v>50866</v>
      </c>
      <c r="BG5301" s="3" t="s">
        <v>50868</v>
      </c>
    </row>
    <row r="5302" spans="1:59" ht="58" x14ac:dyDescent="0.35">
      <c r="A5302" s="2" t="s">
        <v>89</v>
      </c>
      <c r="B5302" s="2" t="s">
        <v>90</v>
      </c>
      <c r="C5302" s="2" t="s">
        <v>50869</v>
      </c>
      <c r="D5302" s="2" t="s">
        <v>50870</v>
      </c>
      <c r="E5302" s="2" t="s">
        <v>50871</v>
      </c>
      <c r="G5302" s="3" t="s">
        <v>62</v>
      </c>
      <c r="I5302" s="3" t="s">
        <v>62</v>
      </c>
      <c r="J5302" s="3" t="s">
        <v>62</v>
      </c>
      <c r="K5302" s="3" t="s">
        <v>63</v>
      </c>
      <c r="L5302" s="2" t="s">
        <v>50872</v>
      </c>
      <c r="M5302" s="2" t="s">
        <v>18158</v>
      </c>
      <c r="N5302" s="3" t="s">
        <v>553</v>
      </c>
      <c r="P5302" s="3" t="s">
        <v>64</v>
      </c>
      <c r="R5302" s="3" t="s">
        <v>46535</v>
      </c>
      <c r="S5302" s="4">
        <v>22</v>
      </c>
      <c r="T5302" s="4">
        <v>22</v>
      </c>
      <c r="U5302" s="5" t="s">
        <v>14149</v>
      </c>
      <c r="V5302" s="5" t="s">
        <v>14149</v>
      </c>
      <c r="W5302" s="5" t="s">
        <v>67</v>
      </c>
      <c r="X5302" s="5" t="s">
        <v>67</v>
      </c>
      <c r="Y5302" s="4">
        <v>639</v>
      </c>
      <c r="Z5302" s="4">
        <v>34</v>
      </c>
      <c r="AA5302" s="4">
        <v>124</v>
      </c>
      <c r="AB5302" s="4">
        <v>4</v>
      </c>
      <c r="AC5302" s="4">
        <v>18</v>
      </c>
      <c r="AD5302" s="4">
        <v>106</v>
      </c>
      <c r="AE5302" s="4">
        <v>150</v>
      </c>
      <c r="AF5302" s="4">
        <v>2</v>
      </c>
      <c r="AG5302" s="4">
        <v>9</v>
      </c>
      <c r="AH5302" s="4">
        <v>88</v>
      </c>
      <c r="AI5302" s="4">
        <v>105</v>
      </c>
      <c r="AJ5302" s="4">
        <v>11</v>
      </c>
      <c r="AK5302" s="4">
        <v>25</v>
      </c>
      <c r="AL5302" s="4">
        <v>49</v>
      </c>
      <c r="AM5302" s="4">
        <v>54</v>
      </c>
      <c r="AN5302" s="4">
        <v>0</v>
      </c>
      <c r="AO5302" s="4">
        <v>0</v>
      </c>
      <c r="AP5302" s="4">
        <v>20</v>
      </c>
      <c r="AQ5302" s="4">
        <v>52</v>
      </c>
      <c r="AR5302" s="3" t="s">
        <v>62</v>
      </c>
      <c r="AS5302" s="3" t="s">
        <v>62</v>
      </c>
      <c r="AT5302" s="3" t="s">
        <v>62</v>
      </c>
      <c r="AV5302" s="6" t="str">
        <f>HYPERLINK("http://mcgill.on.worldcat.org/oclc/40395483","Catalog Record")</f>
        <v>Catalog Record</v>
      </c>
      <c r="AW5302" s="6" t="str">
        <f>HYPERLINK("http://www.worldcat.org/oclc/40395483","WorldCat Record")</f>
        <v>WorldCat Record</v>
      </c>
      <c r="AX5302" s="3" t="s">
        <v>50873</v>
      </c>
      <c r="AY5302" s="3" t="s">
        <v>50874</v>
      </c>
      <c r="AZ5302" s="3" t="s">
        <v>50875</v>
      </c>
      <c r="BA5302" s="3" t="s">
        <v>50875</v>
      </c>
      <c r="BB5302" s="3" t="s">
        <v>50876</v>
      </c>
      <c r="BC5302" s="3" t="s">
        <v>102</v>
      </c>
      <c r="BD5302" s="3" t="s">
        <v>231</v>
      </c>
      <c r="BE5302" s="3" t="s">
        <v>50877</v>
      </c>
      <c r="BF5302" s="3" t="s">
        <v>50876</v>
      </c>
      <c r="BG5302" s="3" t="s">
        <v>50878</v>
      </c>
    </row>
    <row r="5303" spans="1:59" ht="58" x14ac:dyDescent="0.35">
      <c r="A5303" s="2" t="s">
        <v>89</v>
      </c>
      <c r="B5303" s="2" t="s">
        <v>90</v>
      </c>
      <c r="C5303" s="2" t="s">
        <v>50879</v>
      </c>
      <c r="D5303" s="2" t="s">
        <v>50880</v>
      </c>
      <c r="E5303" s="2" t="s">
        <v>50881</v>
      </c>
      <c r="G5303" s="3" t="s">
        <v>62</v>
      </c>
      <c r="I5303" s="3" t="s">
        <v>62</v>
      </c>
      <c r="J5303" s="3" t="s">
        <v>62</v>
      </c>
      <c r="K5303" s="3" t="s">
        <v>63</v>
      </c>
      <c r="L5303" s="2" t="s">
        <v>50882</v>
      </c>
      <c r="M5303" s="2" t="s">
        <v>50883</v>
      </c>
      <c r="N5303" s="3" t="s">
        <v>640</v>
      </c>
      <c r="O5303" s="2" t="s">
        <v>2163</v>
      </c>
      <c r="P5303" s="3" t="s">
        <v>64</v>
      </c>
      <c r="R5303" s="3" t="s">
        <v>46535</v>
      </c>
      <c r="S5303" s="4">
        <v>14</v>
      </c>
      <c r="T5303" s="4">
        <v>14</v>
      </c>
      <c r="U5303" s="5" t="s">
        <v>43677</v>
      </c>
      <c r="V5303" s="5" t="s">
        <v>43677</v>
      </c>
      <c r="W5303" s="5" t="s">
        <v>67</v>
      </c>
      <c r="X5303" s="5" t="s">
        <v>67</v>
      </c>
      <c r="Y5303" s="4">
        <v>930</v>
      </c>
      <c r="Z5303" s="4">
        <v>30</v>
      </c>
      <c r="AA5303" s="4">
        <v>37</v>
      </c>
      <c r="AB5303" s="4">
        <v>3</v>
      </c>
      <c r="AC5303" s="4">
        <v>7</v>
      </c>
      <c r="AD5303" s="4">
        <v>64</v>
      </c>
      <c r="AE5303" s="4">
        <v>83</v>
      </c>
      <c r="AF5303" s="4">
        <v>1</v>
      </c>
      <c r="AG5303" s="4">
        <v>2</v>
      </c>
      <c r="AH5303" s="4">
        <v>60</v>
      </c>
      <c r="AI5303" s="4">
        <v>77</v>
      </c>
      <c r="AJ5303" s="4">
        <v>8</v>
      </c>
      <c r="AK5303" s="4">
        <v>10</v>
      </c>
      <c r="AL5303" s="4">
        <v>26</v>
      </c>
      <c r="AM5303" s="4">
        <v>34</v>
      </c>
      <c r="AN5303" s="4">
        <v>0</v>
      </c>
      <c r="AO5303" s="4">
        <v>0</v>
      </c>
      <c r="AP5303" s="4">
        <v>9</v>
      </c>
      <c r="AQ5303" s="4">
        <v>11</v>
      </c>
      <c r="AR5303" s="3" t="s">
        <v>62</v>
      </c>
      <c r="AS5303" s="3" t="s">
        <v>62</v>
      </c>
      <c r="AT5303" s="3" t="s">
        <v>62</v>
      </c>
      <c r="AV5303" s="6" t="str">
        <f>HYPERLINK("http://mcgill.on.worldcat.org/oclc/64586850","Catalog Record")</f>
        <v>Catalog Record</v>
      </c>
      <c r="AW5303" s="6" t="str">
        <f>HYPERLINK("http://www.worldcat.org/oclc/64586850","WorldCat Record")</f>
        <v>WorldCat Record</v>
      </c>
      <c r="AX5303" s="3" t="s">
        <v>50884</v>
      </c>
      <c r="AY5303" s="3" t="s">
        <v>50885</v>
      </c>
      <c r="AZ5303" s="3" t="s">
        <v>50886</v>
      </c>
      <c r="BA5303" s="3" t="s">
        <v>50886</v>
      </c>
      <c r="BB5303" s="3" t="s">
        <v>50887</v>
      </c>
      <c r="BC5303" s="3" t="s">
        <v>102</v>
      </c>
      <c r="BD5303" s="3" t="s">
        <v>68</v>
      </c>
      <c r="BE5303" s="3" t="s">
        <v>50888</v>
      </c>
      <c r="BF5303" s="3" t="s">
        <v>50887</v>
      </c>
      <c r="BG5303" s="3" t="s">
        <v>50889</v>
      </c>
    </row>
    <row r="5304" spans="1:59" ht="58" x14ac:dyDescent="0.35">
      <c r="A5304" s="2" t="s">
        <v>89</v>
      </c>
      <c r="B5304" s="2" t="s">
        <v>90</v>
      </c>
      <c r="C5304" s="2" t="s">
        <v>50890</v>
      </c>
      <c r="D5304" s="2" t="s">
        <v>50891</v>
      </c>
      <c r="E5304" s="2" t="s">
        <v>50892</v>
      </c>
      <c r="G5304" s="3" t="s">
        <v>62</v>
      </c>
      <c r="I5304" s="3" t="s">
        <v>62</v>
      </c>
      <c r="J5304" s="3" t="s">
        <v>62</v>
      </c>
      <c r="K5304" s="3" t="s">
        <v>63</v>
      </c>
      <c r="M5304" s="2" t="s">
        <v>13419</v>
      </c>
      <c r="N5304" s="3" t="s">
        <v>625</v>
      </c>
      <c r="P5304" s="3" t="s">
        <v>64</v>
      </c>
      <c r="R5304" s="3" t="s">
        <v>46535</v>
      </c>
      <c r="S5304" s="4">
        <v>19</v>
      </c>
      <c r="T5304" s="4">
        <v>19</v>
      </c>
      <c r="U5304" s="5" t="s">
        <v>50621</v>
      </c>
      <c r="V5304" s="5" t="s">
        <v>50621</v>
      </c>
      <c r="W5304" s="5" t="s">
        <v>67</v>
      </c>
      <c r="X5304" s="5" t="s">
        <v>67</v>
      </c>
      <c r="Y5304" s="4">
        <v>197</v>
      </c>
      <c r="Z5304" s="4">
        <v>17</v>
      </c>
      <c r="AA5304" s="4">
        <v>106</v>
      </c>
      <c r="AB5304" s="4">
        <v>1</v>
      </c>
      <c r="AC5304" s="4">
        <v>17</v>
      </c>
      <c r="AD5304" s="4">
        <v>48</v>
      </c>
      <c r="AE5304" s="4">
        <v>124</v>
      </c>
      <c r="AF5304" s="4">
        <v>0</v>
      </c>
      <c r="AG5304" s="4">
        <v>8</v>
      </c>
      <c r="AH5304" s="4">
        <v>39</v>
      </c>
      <c r="AI5304" s="4">
        <v>84</v>
      </c>
      <c r="AJ5304" s="4">
        <v>11</v>
      </c>
      <c r="AK5304" s="4">
        <v>24</v>
      </c>
      <c r="AL5304" s="4">
        <v>17</v>
      </c>
      <c r="AM5304" s="4">
        <v>40</v>
      </c>
      <c r="AN5304" s="4">
        <v>0</v>
      </c>
      <c r="AO5304" s="4">
        <v>0</v>
      </c>
      <c r="AP5304" s="4">
        <v>14</v>
      </c>
      <c r="AQ5304" s="4">
        <v>46</v>
      </c>
      <c r="AR5304" s="3" t="s">
        <v>62</v>
      </c>
      <c r="AS5304" s="3" t="s">
        <v>62</v>
      </c>
      <c r="AT5304" s="3" t="s">
        <v>62</v>
      </c>
      <c r="AV5304" s="6" t="str">
        <f>HYPERLINK("http://mcgill.on.worldcat.org/oclc/50006609","Catalog Record")</f>
        <v>Catalog Record</v>
      </c>
      <c r="AW5304" s="6" t="str">
        <f>HYPERLINK("http://www.worldcat.org/oclc/50006609","WorldCat Record")</f>
        <v>WorldCat Record</v>
      </c>
      <c r="AX5304" s="3" t="s">
        <v>50893</v>
      </c>
      <c r="AY5304" s="3" t="s">
        <v>50894</v>
      </c>
      <c r="AZ5304" s="3" t="s">
        <v>50895</v>
      </c>
      <c r="BA5304" s="3" t="s">
        <v>50895</v>
      </c>
      <c r="BB5304" s="3" t="s">
        <v>50896</v>
      </c>
      <c r="BC5304" s="3" t="s">
        <v>102</v>
      </c>
      <c r="BD5304" s="3" t="s">
        <v>68</v>
      </c>
      <c r="BE5304" s="3" t="s">
        <v>50897</v>
      </c>
      <c r="BF5304" s="3" t="s">
        <v>50896</v>
      </c>
      <c r="BG5304" s="3" t="s">
        <v>50898</v>
      </c>
    </row>
    <row r="5305" spans="1:59" ht="72.5" x14ac:dyDescent="0.35">
      <c r="A5305" s="2" t="s">
        <v>89</v>
      </c>
      <c r="B5305" s="2" t="s">
        <v>90</v>
      </c>
      <c r="C5305" s="2" t="s">
        <v>50899</v>
      </c>
      <c r="D5305" s="2" t="s">
        <v>50900</v>
      </c>
      <c r="E5305" s="2" t="s">
        <v>50901</v>
      </c>
      <c r="G5305" s="3" t="s">
        <v>62</v>
      </c>
      <c r="I5305" s="3" t="s">
        <v>62</v>
      </c>
      <c r="J5305" s="3" t="s">
        <v>62</v>
      </c>
      <c r="K5305" s="3" t="s">
        <v>63</v>
      </c>
      <c r="L5305" s="2" t="s">
        <v>50902</v>
      </c>
      <c r="M5305" s="2" t="s">
        <v>50903</v>
      </c>
      <c r="N5305" s="3" t="s">
        <v>880</v>
      </c>
      <c r="O5305" s="2" t="s">
        <v>50904</v>
      </c>
      <c r="P5305" s="3" t="s">
        <v>64</v>
      </c>
      <c r="R5305" s="3" t="s">
        <v>46535</v>
      </c>
      <c r="S5305" s="4">
        <v>7</v>
      </c>
      <c r="T5305" s="4">
        <v>7</v>
      </c>
      <c r="U5305" s="5" t="s">
        <v>5517</v>
      </c>
      <c r="V5305" s="5" t="s">
        <v>5517</v>
      </c>
      <c r="W5305" s="5" t="s">
        <v>67</v>
      </c>
      <c r="X5305" s="5" t="s">
        <v>67</v>
      </c>
      <c r="Y5305" s="4">
        <v>132</v>
      </c>
      <c r="Z5305" s="4">
        <v>11</v>
      </c>
      <c r="AA5305" s="4">
        <v>41</v>
      </c>
      <c r="AB5305" s="4">
        <v>1</v>
      </c>
      <c r="AC5305" s="4">
        <v>5</v>
      </c>
      <c r="AD5305" s="4">
        <v>12</v>
      </c>
      <c r="AE5305" s="4">
        <v>53</v>
      </c>
      <c r="AF5305" s="4">
        <v>0</v>
      </c>
      <c r="AG5305" s="4">
        <v>1</v>
      </c>
      <c r="AH5305" s="4">
        <v>12</v>
      </c>
      <c r="AI5305" s="4">
        <v>49</v>
      </c>
      <c r="AJ5305" s="4">
        <v>4</v>
      </c>
      <c r="AK5305" s="4">
        <v>7</v>
      </c>
      <c r="AL5305" s="4">
        <v>8</v>
      </c>
      <c r="AM5305" s="4">
        <v>27</v>
      </c>
      <c r="AN5305" s="4">
        <v>0</v>
      </c>
      <c r="AO5305" s="4">
        <v>0</v>
      </c>
      <c r="AP5305" s="4">
        <v>4</v>
      </c>
      <c r="AQ5305" s="4">
        <v>9</v>
      </c>
      <c r="AR5305" s="3" t="s">
        <v>62</v>
      </c>
      <c r="AS5305" s="3" t="s">
        <v>62</v>
      </c>
      <c r="AT5305" s="3" t="s">
        <v>62</v>
      </c>
      <c r="AV5305" s="6" t="str">
        <f>HYPERLINK("http://mcgill.on.worldcat.org/oclc/422760402","Catalog Record")</f>
        <v>Catalog Record</v>
      </c>
      <c r="AW5305" s="6" t="str">
        <f>HYPERLINK("http://www.worldcat.org/oclc/422760402","WorldCat Record")</f>
        <v>WorldCat Record</v>
      </c>
      <c r="AX5305" s="3" t="s">
        <v>50905</v>
      </c>
      <c r="AY5305" s="3" t="s">
        <v>50906</v>
      </c>
      <c r="AZ5305" s="3" t="s">
        <v>50907</v>
      </c>
      <c r="BA5305" s="3" t="s">
        <v>50907</v>
      </c>
      <c r="BB5305" s="3" t="s">
        <v>50908</v>
      </c>
      <c r="BC5305" s="3" t="s">
        <v>102</v>
      </c>
      <c r="BD5305" s="3" t="s">
        <v>68</v>
      </c>
      <c r="BE5305" s="3" t="s">
        <v>50909</v>
      </c>
      <c r="BF5305" s="3" t="s">
        <v>50908</v>
      </c>
      <c r="BG5305" s="3" t="s">
        <v>50910</v>
      </c>
    </row>
    <row r="5306" spans="1:59" ht="58" x14ac:dyDescent="0.35">
      <c r="A5306" s="2" t="s">
        <v>89</v>
      </c>
      <c r="B5306" s="2" t="s">
        <v>90</v>
      </c>
      <c r="C5306" s="2" t="s">
        <v>50911</v>
      </c>
      <c r="D5306" s="2" t="s">
        <v>50912</v>
      </c>
      <c r="E5306" s="2" t="s">
        <v>50913</v>
      </c>
      <c r="G5306" s="3" t="s">
        <v>62</v>
      </c>
      <c r="I5306" s="3" t="s">
        <v>62</v>
      </c>
      <c r="J5306" s="3" t="s">
        <v>62</v>
      </c>
      <c r="K5306" s="3" t="s">
        <v>63</v>
      </c>
      <c r="L5306" s="2" t="s">
        <v>50914</v>
      </c>
      <c r="M5306" s="2" t="s">
        <v>50915</v>
      </c>
      <c r="N5306" s="3" t="s">
        <v>2136</v>
      </c>
      <c r="P5306" s="3" t="s">
        <v>64</v>
      </c>
      <c r="Q5306" s="2" t="s">
        <v>50916</v>
      </c>
      <c r="R5306" s="3" t="s">
        <v>46535</v>
      </c>
      <c r="S5306" s="4">
        <v>12</v>
      </c>
      <c r="T5306" s="4">
        <v>12</v>
      </c>
      <c r="U5306" s="5" t="s">
        <v>4468</v>
      </c>
      <c r="V5306" s="5" t="s">
        <v>4468</v>
      </c>
      <c r="W5306" s="5" t="s">
        <v>67</v>
      </c>
      <c r="X5306" s="5" t="s">
        <v>67</v>
      </c>
      <c r="Y5306" s="4">
        <v>237</v>
      </c>
      <c r="Z5306" s="4">
        <v>25</v>
      </c>
      <c r="AA5306" s="4">
        <v>33</v>
      </c>
      <c r="AB5306" s="4">
        <v>2</v>
      </c>
      <c r="AC5306" s="4">
        <v>6</v>
      </c>
      <c r="AD5306" s="4">
        <v>84</v>
      </c>
      <c r="AE5306" s="4">
        <v>97</v>
      </c>
      <c r="AF5306" s="4">
        <v>1</v>
      </c>
      <c r="AG5306" s="4">
        <v>2</v>
      </c>
      <c r="AH5306" s="4">
        <v>70</v>
      </c>
      <c r="AI5306" s="4">
        <v>80</v>
      </c>
      <c r="AJ5306" s="4">
        <v>16</v>
      </c>
      <c r="AK5306" s="4">
        <v>17</v>
      </c>
      <c r="AL5306" s="4">
        <v>40</v>
      </c>
      <c r="AM5306" s="4">
        <v>46</v>
      </c>
      <c r="AN5306" s="4">
        <v>0</v>
      </c>
      <c r="AO5306" s="4">
        <v>0</v>
      </c>
      <c r="AP5306" s="4">
        <v>21</v>
      </c>
      <c r="AQ5306" s="4">
        <v>23</v>
      </c>
      <c r="AR5306" s="3" t="s">
        <v>62</v>
      </c>
      <c r="AS5306" s="3" t="s">
        <v>62</v>
      </c>
      <c r="AT5306" s="3" t="s">
        <v>62</v>
      </c>
      <c r="AV5306" s="6" t="str">
        <f>HYPERLINK("http://mcgill.on.worldcat.org/oclc/59818333","Catalog Record")</f>
        <v>Catalog Record</v>
      </c>
      <c r="AW5306" s="6" t="str">
        <f>HYPERLINK("http://www.worldcat.org/oclc/59818333","WorldCat Record")</f>
        <v>WorldCat Record</v>
      </c>
      <c r="AX5306" s="3" t="s">
        <v>50917</v>
      </c>
      <c r="AY5306" s="3" t="s">
        <v>50918</v>
      </c>
      <c r="AZ5306" s="3" t="s">
        <v>50919</v>
      </c>
      <c r="BA5306" s="3" t="s">
        <v>50919</v>
      </c>
      <c r="BB5306" s="3" t="s">
        <v>50920</v>
      </c>
      <c r="BC5306" s="3" t="s">
        <v>102</v>
      </c>
      <c r="BD5306" s="3" t="s">
        <v>68</v>
      </c>
      <c r="BE5306" s="3" t="s">
        <v>50921</v>
      </c>
      <c r="BF5306" s="3" t="s">
        <v>50920</v>
      </c>
      <c r="BG5306" s="3" t="s">
        <v>50922</v>
      </c>
    </row>
    <row r="5307" spans="1:59" ht="58" x14ac:dyDescent="0.35">
      <c r="A5307" s="2" t="s">
        <v>89</v>
      </c>
      <c r="B5307" s="2" t="s">
        <v>90</v>
      </c>
      <c r="C5307" s="2" t="s">
        <v>50923</v>
      </c>
      <c r="D5307" s="2" t="s">
        <v>50924</v>
      </c>
      <c r="E5307" s="2" t="s">
        <v>50925</v>
      </c>
      <c r="G5307" s="3" t="s">
        <v>62</v>
      </c>
      <c r="I5307" s="3" t="s">
        <v>61</v>
      </c>
      <c r="J5307" s="3" t="s">
        <v>62</v>
      </c>
      <c r="K5307" s="3" t="s">
        <v>63</v>
      </c>
      <c r="L5307" s="2" t="s">
        <v>50926</v>
      </c>
      <c r="M5307" s="2" t="s">
        <v>50927</v>
      </c>
      <c r="N5307" s="3" t="s">
        <v>684</v>
      </c>
      <c r="P5307" s="3" t="s">
        <v>64</v>
      </c>
      <c r="R5307" s="3" t="s">
        <v>46535</v>
      </c>
      <c r="S5307" s="4">
        <v>284</v>
      </c>
      <c r="T5307" s="4">
        <v>936</v>
      </c>
      <c r="U5307" s="5" t="s">
        <v>50928</v>
      </c>
      <c r="V5307" s="5" t="s">
        <v>4735</v>
      </c>
      <c r="W5307" s="5" t="s">
        <v>67</v>
      </c>
      <c r="X5307" s="5" t="s">
        <v>67</v>
      </c>
      <c r="Y5307" s="4">
        <v>116</v>
      </c>
      <c r="Z5307" s="4">
        <v>20</v>
      </c>
      <c r="AA5307" s="4">
        <v>21</v>
      </c>
      <c r="AB5307" s="4">
        <v>1</v>
      </c>
      <c r="AC5307" s="4">
        <v>1</v>
      </c>
      <c r="AD5307" s="4">
        <v>52</v>
      </c>
      <c r="AE5307" s="4">
        <v>52</v>
      </c>
      <c r="AF5307" s="4">
        <v>0</v>
      </c>
      <c r="AG5307" s="4">
        <v>0</v>
      </c>
      <c r="AH5307" s="4">
        <v>40</v>
      </c>
      <c r="AI5307" s="4">
        <v>40</v>
      </c>
      <c r="AJ5307" s="4">
        <v>15</v>
      </c>
      <c r="AK5307" s="4">
        <v>15</v>
      </c>
      <c r="AL5307" s="4">
        <v>24</v>
      </c>
      <c r="AM5307" s="4">
        <v>24</v>
      </c>
      <c r="AN5307" s="4">
        <v>0</v>
      </c>
      <c r="AO5307" s="4">
        <v>0</v>
      </c>
      <c r="AP5307" s="4">
        <v>17</v>
      </c>
      <c r="AQ5307" s="4">
        <v>17</v>
      </c>
      <c r="AR5307" s="3" t="s">
        <v>61</v>
      </c>
      <c r="AS5307" s="3" t="s">
        <v>62</v>
      </c>
      <c r="AT5307" s="3" t="s">
        <v>62</v>
      </c>
      <c r="AV5307" s="6" t="str">
        <f>HYPERLINK("http://mcgill.on.worldcat.org/oclc/642441172","Catalog Record")</f>
        <v>Catalog Record</v>
      </c>
      <c r="AW5307" s="6" t="str">
        <f>HYPERLINK("http://www.worldcat.org/oclc/642441172","WorldCat Record")</f>
        <v>WorldCat Record</v>
      </c>
      <c r="AX5307" s="3" t="s">
        <v>50929</v>
      </c>
      <c r="AY5307" s="3" t="s">
        <v>50930</v>
      </c>
      <c r="AZ5307" s="3" t="s">
        <v>50931</v>
      </c>
      <c r="BA5307" s="3" t="s">
        <v>50931</v>
      </c>
      <c r="BB5307" s="3" t="s">
        <v>50932</v>
      </c>
      <c r="BC5307" s="3" t="s">
        <v>102</v>
      </c>
      <c r="BD5307" s="3" t="s">
        <v>68</v>
      </c>
      <c r="BE5307" s="3" t="s">
        <v>50933</v>
      </c>
      <c r="BF5307" s="3" t="s">
        <v>50932</v>
      </c>
      <c r="BG5307" s="3" t="s">
        <v>50934</v>
      </c>
    </row>
    <row r="5308" spans="1:59" ht="58" x14ac:dyDescent="0.35">
      <c r="A5308" s="2" t="s">
        <v>89</v>
      </c>
      <c r="B5308" s="2" t="s">
        <v>90</v>
      </c>
      <c r="C5308" s="2" t="s">
        <v>50923</v>
      </c>
      <c r="D5308" s="2" t="s">
        <v>50924</v>
      </c>
      <c r="E5308" s="2" t="s">
        <v>50925</v>
      </c>
      <c r="G5308" s="3" t="s">
        <v>62</v>
      </c>
      <c r="I5308" s="3" t="s">
        <v>61</v>
      </c>
      <c r="J5308" s="3" t="s">
        <v>62</v>
      </c>
      <c r="K5308" s="3" t="s">
        <v>63</v>
      </c>
      <c r="L5308" s="2" t="s">
        <v>50926</v>
      </c>
      <c r="M5308" s="2" t="s">
        <v>50927</v>
      </c>
      <c r="N5308" s="3" t="s">
        <v>684</v>
      </c>
      <c r="P5308" s="3" t="s">
        <v>64</v>
      </c>
      <c r="R5308" s="3" t="s">
        <v>46535</v>
      </c>
      <c r="S5308" s="4">
        <v>351</v>
      </c>
      <c r="T5308" s="4">
        <v>936</v>
      </c>
      <c r="U5308" s="5" t="s">
        <v>4735</v>
      </c>
      <c r="V5308" s="5" t="s">
        <v>4735</v>
      </c>
      <c r="W5308" s="5" t="s">
        <v>67</v>
      </c>
      <c r="X5308" s="5" t="s">
        <v>67</v>
      </c>
      <c r="Y5308" s="4">
        <v>116</v>
      </c>
      <c r="Z5308" s="4">
        <v>20</v>
      </c>
      <c r="AA5308" s="4">
        <v>21</v>
      </c>
      <c r="AB5308" s="4">
        <v>1</v>
      </c>
      <c r="AC5308" s="4">
        <v>1</v>
      </c>
      <c r="AD5308" s="4">
        <v>52</v>
      </c>
      <c r="AE5308" s="4">
        <v>52</v>
      </c>
      <c r="AF5308" s="4">
        <v>0</v>
      </c>
      <c r="AG5308" s="4">
        <v>0</v>
      </c>
      <c r="AH5308" s="4">
        <v>40</v>
      </c>
      <c r="AI5308" s="4">
        <v>40</v>
      </c>
      <c r="AJ5308" s="4">
        <v>15</v>
      </c>
      <c r="AK5308" s="4">
        <v>15</v>
      </c>
      <c r="AL5308" s="4">
        <v>24</v>
      </c>
      <c r="AM5308" s="4">
        <v>24</v>
      </c>
      <c r="AN5308" s="4">
        <v>0</v>
      </c>
      <c r="AO5308" s="4">
        <v>0</v>
      </c>
      <c r="AP5308" s="4">
        <v>17</v>
      </c>
      <c r="AQ5308" s="4">
        <v>17</v>
      </c>
      <c r="AR5308" s="3" t="s">
        <v>61</v>
      </c>
      <c r="AS5308" s="3" t="s">
        <v>62</v>
      </c>
      <c r="AT5308" s="3" t="s">
        <v>62</v>
      </c>
      <c r="AV5308" s="6" t="str">
        <f>HYPERLINK("http://mcgill.on.worldcat.org/oclc/642441172","Catalog Record")</f>
        <v>Catalog Record</v>
      </c>
      <c r="AW5308" s="6" t="str">
        <f>HYPERLINK("http://www.worldcat.org/oclc/642441172","WorldCat Record")</f>
        <v>WorldCat Record</v>
      </c>
      <c r="AX5308" s="3" t="s">
        <v>50929</v>
      </c>
      <c r="AY5308" s="3" t="s">
        <v>50930</v>
      </c>
      <c r="AZ5308" s="3" t="s">
        <v>50931</v>
      </c>
      <c r="BA5308" s="3" t="s">
        <v>50931</v>
      </c>
      <c r="BB5308" s="3" t="s">
        <v>50935</v>
      </c>
      <c r="BC5308" s="3" t="s">
        <v>102</v>
      </c>
      <c r="BD5308" s="3" t="s">
        <v>68</v>
      </c>
      <c r="BE5308" s="3" t="s">
        <v>50933</v>
      </c>
      <c r="BF5308" s="3" t="s">
        <v>50935</v>
      </c>
      <c r="BG5308" s="3" t="s">
        <v>50936</v>
      </c>
    </row>
    <row r="5309" spans="1:59" ht="58" x14ac:dyDescent="0.35">
      <c r="A5309" s="2" t="s">
        <v>89</v>
      </c>
      <c r="B5309" s="2" t="s">
        <v>90</v>
      </c>
      <c r="C5309" s="2" t="s">
        <v>50923</v>
      </c>
      <c r="D5309" s="2" t="s">
        <v>50924</v>
      </c>
      <c r="E5309" s="2" t="s">
        <v>50925</v>
      </c>
      <c r="G5309" s="3" t="s">
        <v>62</v>
      </c>
      <c r="I5309" s="3" t="s">
        <v>61</v>
      </c>
      <c r="J5309" s="3" t="s">
        <v>62</v>
      </c>
      <c r="K5309" s="3" t="s">
        <v>63</v>
      </c>
      <c r="L5309" s="2" t="s">
        <v>50926</v>
      </c>
      <c r="M5309" s="2" t="s">
        <v>50927</v>
      </c>
      <c r="N5309" s="3" t="s">
        <v>684</v>
      </c>
      <c r="P5309" s="3" t="s">
        <v>64</v>
      </c>
      <c r="R5309" s="3" t="s">
        <v>46535</v>
      </c>
      <c r="S5309" s="4">
        <v>195</v>
      </c>
      <c r="T5309" s="4">
        <v>936</v>
      </c>
      <c r="U5309" s="5" t="s">
        <v>50937</v>
      </c>
      <c r="V5309" s="5" t="s">
        <v>4735</v>
      </c>
      <c r="W5309" s="5" t="s">
        <v>67</v>
      </c>
      <c r="X5309" s="5" t="s">
        <v>67</v>
      </c>
      <c r="Y5309" s="4">
        <v>116</v>
      </c>
      <c r="Z5309" s="4">
        <v>20</v>
      </c>
      <c r="AA5309" s="4">
        <v>21</v>
      </c>
      <c r="AB5309" s="4">
        <v>1</v>
      </c>
      <c r="AC5309" s="4">
        <v>1</v>
      </c>
      <c r="AD5309" s="4">
        <v>52</v>
      </c>
      <c r="AE5309" s="4">
        <v>52</v>
      </c>
      <c r="AF5309" s="4">
        <v>0</v>
      </c>
      <c r="AG5309" s="4">
        <v>0</v>
      </c>
      <c r="AH5309" s="4">
        <v>40</v>
      </c>
      <c r="AI5309" s="4">
        <v>40</v>
      </c>
      <c r="AJ5309" s="4">
        <v>15</v>
      </c>
      <c r="AK5309" s="4">
        <v>15</v>
      </c>
      <c r="AL5309" s="4">
        <v>24</v>
      </c>
      <c r="AM5309" s="4">
        <v>24</v>
      </c>
      <c r="AN5309" s="4">
        <v>0</v>
      </c>
      <c r="AO5309" s="4">
        <v>0</v>
      </c>
      <c r="AP5309" s="4">
        <v>17</v>
      </c>
      <c r="AQ5309" s="4">
        <v>17</v>
      </c>
      <c r="AR5309" s="3" t="s">
        <v>61</v>
      </c>
      <c r="AS5309" s="3" t="s">
        <v>62</v>
      </c>
      <c r="AT5309" s="3" t="s">
        <v>62</v>
      </c>
      <c r="AV5309" s="6" t="str">
        <f>HYPERLINK("http://mcgill.on.worldcat.org/oclc/642441172","Catalog Record")</f>
        <v>Catalog Record</v>
      </c>
      <c r="AW5309" s="6" t="str">
        <f>HYPERLINK("http://www.worldcat.org/oclc/642441172","WorldCat Record")</f>
        <v>WorldCat Record</v>
      </c>
      <c r="AX5309" s="3" t="s">
        <v>50929</v>
      </c>
      <c r="AY5309" s="3" t="s">
        <v>50930</v>
      </c>
      <c r="AZ5309" s="3" t="s">
        <v>50931</v>
      </c>
      <c r="BA5309" s="3" t="s">
        <v>50931</v>
      </c>
      <c r="BB5309" s="3" t="s">
        <v>50938</v>
      </c>
      <c r="BC5309" s="3" t="s">
        <v>102</v>
      </c>
      <c r="BD5309" s="3" t="s">
        <v>68</v>
      </c>
      <c r="BE5309" s="3" t="s">
        <v>50933</v>
      </c>
      <c r="BF5309" s="3" t="s">
        <v>50938</v>
      </c>
      <c r="BG5309" s="3" t="s">
        <v>50939</v>
      </c>
    </row>
    <row r="5310" spans="1:59" ht="58" x14ac:dyDescent="0.35">
      <c r="A5310" s="2" t="s">
        <v>89</v>
      </c>
      <c r="B5310" s="2" t="s">
        <v>90</v>
      </c>
      <c r="C5310" s="2" t="s">
        <v>50940</v>
      </c>
      <c r="D5310" s="2" t="s">
        <v>50941</v>
      </c>
      <c r="E5310" s="2" t="s">
        <v>50942</v>
      </c>
      <c r="G5310" s="3" t="s">
        <v>62</v>
      </c>
      <c r="I5310" s="3" t="s">
        <v>62</v>
      </c>
      <c r="J5310" s="3" t="s">
        <v>62</v>
      </c>
      <c r="K5310" s="3" t="s">
        <v>63</v>
      </c>
      <c r="M5310" s="2" t="s">
        <v>34802</v>
      </c>
      <c r="N5310" s="3" t="s">
        <v>640</v>
      </c>
      <c r="P5310" s="3" t="s">
        <v>64</v>
      </c>
      <c r="R5310" s="3" t="s">
        <v>46535</v>
      </c>
      <c r="S5310" s="4">
        <v>14</v>
      </c>
      <c r="T5310" s="4">
        <v>14</v>
      </c>
      <c r="U5310" s="5" t="s">
        <v>36254</v>
      </c>
      <c r="V5310" s="5" t="s">
        <v>36254</v>
      </c>
      <c r="W5310" s="5" t="s">
        <v>67</v>
      </c>
      <c r="X5310" s="5" t="s">
        <v>67</v>
      </c>
      <c r="Y5310" s="4">
        <v>229</v>
      </c>
      <c r="Z5310" s="4">
        <v>16</v>
      </c>
      <c r="AA5310" s="4">
        <v>19</v>
      </c>
      <c r="AB5310" s="4">
        <v>2</v>
      </c>
      <c r="AC5310" s="4">
        <v>4</v>
      </c>
      <c r="AD5310" s="4">
        <v>84</v>
      </c>
      <c r="AE5310" s="4">
        <v>86</v>
      </c>
      <c r="AF5310" s="4">
        <v>1</v>
      </c>
      <c r="AG5310" s="4">
        <v>2</v>
      </c>
      <c r="AH5310" s="4">
        <v>77</v>
      </c>
      <c r="AI5310" s="4">
        <v>77</v>
      </c>
      <c r="AJ5310" s="4">
        <v>13</v>
      </c>
      <c r="AK5310" s="4">
        <v>15</v>
      </c>
      <c r="AL5310" s="4">
        <v>43</v>
      </c>
      <c r="AM5310" s="4">
        <v>43</v>
      </c>
      <c r="AN5310" s="4">
        <v>0</v>
      </c>
      <c r="AO5310" s="4">
        <v>0</v>
      </c>
      <c r="AP5310" s="4">
        <v>14</v>
      </c>
      <c r="AQ5310" s="4">
        <v>15</v>
      </c>
      <c r="AR5310" s="3" t="s">
        <v>62</v>
      </c>
      <c r="AS5310" s="3" t="s">
        <v>62</v>
      </c>
      <c r="AT5310" s="3" t="s">
        <v>61</v>
      </c>
      <c r="AU5310" s="6" t="str">
        <f>HYPERLINK("http://catalog.hathitrust.org/Record/004377743","HathiTrust Record")</f>
        <v>HathiTrust Record</v>
      </c>
      <c r="AV5310" s="6" t="str">
        <f>HYPERLINK("http://mcgill.on.worldcat.org/oclc/50747322","Catalog Record")</f>
        <v>Catalog Record</v>
      </c>
      <c r="AW5310" s="6" t="str">
        <f>HYPERLINK("http://www.worldcat.org/oclc/50747322","WorldCat Record")</f>
        <v>WorldCat Record</v>
      </c>
      <c r="AX5310" s="3" t="s">
        <v>50943</v>
      </c>
      <c r="AY5310" s="3" t="s">
        <v>50944</v>
      </c>
      <c r="AZ5310" s="3" t="s">
        <v>50945</v>
      </c>
      <c r="BA5310" s="3" t="s">
        <v>50945</v>
      </c>
      <c r="BB5310" s="3" t="s">
        <v>50946</v>
      </c>
      <c r="BC5310" s="3" t="s">
        <v>102</v>
      </c>
      <c r="BD5310" s="3" t="s">
        <v>68</v>
      </c>
      <c r="BE5310" s="3" t="s">
        <v>50947</v>
      </c>
      <c r="BF5310" s="3" t="s">
        <v>50946</v>
      </c>
      <c r="BG5310" s="3" t="s">
        <v>50948</v>
      </c>
    </row>
    <row r="5311" spans="1:59" ht="58" x14ac:dyDescent="0.35">
      <c r="A5311" s="2" t="s">
        <v>89</v>
      </c>
      <c r="B5311" s="2" t="s">
        <v>90</v>
      </c>
      <c r="C5311" s="2" t="s">
        <v>50949</v>
      </c>
      <c r="D5311" s="2" t="s">
        <v>50950</v>
      </c>
      <c r="E5311" s="2" t="s">
        <v>50951</v>
      </c>
      <c r="G5311" s="3" t="s">
        <v>62</v>
      </c>
      <c r="I5311" s="3" t="s">
        <v>62</v>
      </c>
      <c r="J5311" s="3" t="s">
        <v>62</v>
      </c>
      <c r="K5311" s="3" t="s">
        <v>63</v>
      </c>
      <c r="L5311" s="2" t="s">
        <v>50952</v>
      </c>
      <c r="M5311" s="2" t="s">
        <v>50953</v>
      </c>
      <c r="N5311" s="3" t="s">
        <v>201</v>
      </c>
      <c r="P5311" s="3" t="s">
        <v>64</v>
      </c>
      <c r="R5311" s="3" t="s">
        <v>46535</v>
      </c>
      <c r="S5311" s="4">
        <v>12</v>
      </c>
      <c r="T5311" s="4">
        <v>12</v>
      </c>
      <c r="U5311" s="5" t="s">
        <v>25012</v>
      </c>
      <c r="V5311" s="5" t="s">
        <v>25012</v>
      </c>
      <c r="W5311" s="5" t="s">
        <v>67</v>
      </c>
      <c r="X5311" s="5" t="s">
        <v>67</v>
      </c>
      <c r="Y5311" s="4">
        <v>386</v>
      </c>
      <c r="Z5311" s="4">
        <v>20</v>
      </c>
      <c r="AA5311" s="4">
        <v>21</v>
      </c>
      <c r="AB5311" s="4">
        <v>2</v>
      </c>
      <c r="AC5311" s="4">
        <v>3</v>
      </c>
      <c r="AD5311" s="4">
        <v>92</v>
      </c>
      <c r="AE5311" s="4">
        <v>93</v>
      </c>
      <c r="AF5311" s="4">
        <v>1</v>
      </c>
      <c r="AG5311" s="4">
        <v>2</v>
      </c>
      <c r="AH5311" s="4">
        <v>82</v>
      </c>
      <c r="AI5311" s="4">
        <v>82</v>
      </c>
      <c r="AJ5311" s="4">
        <v>13</v>
      </c>
      <c r="AK5311" s="4">
        <v>14</v>
      </c>
      <c r="AL5311" s="4">
        <v>44</v>
      </c>
      <c r="AM5311" s="4">
        <v>44</v>
      </c>
      <c r="AN5311" s="4">
        <v>0</v>
      </c>
      <c r="AO5311" s="4">
        <v>0</v>
      </c>
      <c r="AP5311" s="4">
        <v>16</v>
      </c>
      <c r="AQ5311" s="4">
        <v>16</v>
      </c>
      <c r="AR5311" s="3" t="s">
        <v>62</v>
      </c>
      <c r="AS5311" s="3" t="s">
        <v>62</v>
      </c>
      <c r="AT5311" s="3" t="s">
        <v>61</v>
      </c>
      <c r="AU5311" s="6" t="str">
        <f>HYPERLINK("http://catalog.hathitrust.org/Record/000035150","HathiTrust Record")</f>
        <v>HathiTrust Record</v>
      </c>
      <c r="AV5311" s="6" t="str">
        <f>HYPERLINK("http://mcgill.on.worldcat.org/oclc/1584006","Catalog Record")</f>
        <v>Catalog Record</v>
      </c>
      <c r="AW5311" s="6" t="str">
        <f>HYPERLINK("http://www.worldcat.org/oclc/1584006","WorldCat Record")</f>
        <v>WorldCat Record</v>
      </c>
      <c r="AX5311" s="3" t="s">
        <v>50954</v>
      </c>
      <c r="AY5311" s="3" t="s">
        <v>50955</v>
      </c>
      <c r="AZ5311" s="3" t="s">
        <v>50956</v>
      </c>
      <c r="BA5311" s="3" t="s">
        <v>50956</v>
      </c>
      <c r="BB5311" s="3" t="s">
        <v>50957</v>
      </c>
      <c r="BC5311" s="3" t="s">
        <v>102</v>
      </c>
      <c r="BD5311" s="3" t="s">
        <v>68</v>
      </c>
      <c r="BE5311" s="3" t="s">
        <v>50958</v>
      </c>
      <c r="BF5311" s="3" t="s">
        <v>50957</v>
      </c>
      <c r="BG5311" s="3" t="s">
        <v>50959</v>
      </c>
    </row>
    <row r="5312" spans="1:59" ht="58" x14ac:dyDescent="0.35">
      <c r="A5312" s="2" t="s">
        <v>89</v>
      </c>
      <c r="B5312" s="2" t="s">
        <v>90</v>
      </c>
      <c r="C5312" s="2" t="s">
        <v>50960</v>
      </c>
      <c r="D5312" s="2" t="s">
        <v>50961</v>
      </c>
      <c r="E5312" s="2" t="s">
        <v>50962</v>
      </c>
      <c r="G5312" s="3" t="s">
        <v>62</v>
      </c>
      <c r="I5312" s="3" t="s">
        <v>61</v>
      </c>
      <c r="J5312" s="3" t="s">
        <v>62</v>
      </c>
      <c r="K5312" s="3" t="s">
        <v>63</v>
      </c>
      <c r="L5312" s="2" t="s">
        <v>50963</v>
      </c>
      <c r="M5312" s="2" t="s">
        <v>50964</v>
      </c>
      <c r="N5312" s="3" t="s">
        <v>481</v>
      </c>
      <c r="O5312" s="2" t="s">
        <v>2458</v>
      </c>
      <c r="P5312" s="3" t="s">
        <v>64</v>
      </c>
      <c r="R5312" s="3" t="s">
        <v>46535</v>
      </c>
      <c r="S5312" s="4">
        <v>6</v>
      </c>
      <c r="T5312" s="4">
        <v>21</v>
      </c>
      <c r="U5312" s="5" t="s">
        <v>50965</v>
      </c>
      <c r="V5312" s="5" t="s">
        <v>50965</v>
      </c>
      <c r="W5312" s="5" t="s">
        <v>67</v>
      </c>
      <c r="X5312" s="5" t="s">
        <v>67</v>
      </c>
      <c r="Y5312" s="4">
        <v>234</v>
      </c>
      <c r="Z5312" s="4">
        <v>19</v>
      </c>
      <c r="AA5312" s="4">
        <v>24</v>
      </c>
      <c r="AB5312" s="4">
        <v>1</v>
      </c>
      <c r="AC5312" s="4">
        <v>5</v>
      </c>
      <c r="AD5312" s="4">
        <v>61</v>
      </c>
      <c r="AE5312" s="4">
        <v>67</v>
      </c>
      <c r="AF5312" s="4">
        <v>0</v>
      </c>
      <c r="AG5312" s="4">
        <v>1</v>
      </c>
      <c r="AH5312" s="4">
        <v>51</v>
      </c>
      <c r="AI5312" s="4">
        <v>55</v>
      </c>
      <c r="AJ5312" s="4">
        <v>14</v>
      </c>
      <c r="AK5312" s="4">
        <v>16</v>
      </c>
      <c r="AL5312" s="4">
        <v>27</v>
      </c>
      <c r="AM5312" s="4">
        <v>29</v>
      </c>
      <c r="AN5312" s="4">
        <v>0</v>
      </c>
      <c r="AO5312" s="4">
        <v>0</v>
      </c>
      <c r="AP5312" s="4">
        <v>17</v>
      </c>
      <c r="AQ5312" s="4">
        <v>19</v>
      </c>
      <c r="AR5312" s="3" t="s">
        <v>62</v>
      </c>
      <c r="AS5312" s="3" t="s">
        <v>62</v>
      </c>
      <c r="AT5312" s="3" t="s">
        <v>62</v>
      </c>
      <c r="AV5312" s="6" t="str">
        <f>HYPERLINK("http://mcgill.on.worldcat.org/oclc/35559116","Catalog Record")</f>
        <v>Catalog Record</v>
      </c>
      <c r="AW5312" s="6" t="str">
        <f>HYPERLINK("http://www.worldcat.org/oclc/35559116","WorldCat Record")</f>
        <v>WorldCat Record</v>
      </c>
      <c r="AX5312" s="3" t="s">
        <v>50966</v>
      </c>
      <c r="AY5312" s="3" t="s">
        <v>50967</v>
      </c>
      <c r="AZ5312" s="3" t="s">
        <v>50968</v>
      </c>
      <c r="BA5312" s="3" t="s">
        <v>50968</v>
      </c>
      <c r="BB5312" s="3" t="s">
        <v>50969</v>
      </c>
      <c r="BC5312" s="3" t="s">
        <v>102</v>
      </c>
      <c r="BD5312" s="3" t="s">
        <v>68</v>
      </c>
      <c r="BE5312" s="3" t="s">
        <v>50970</v>
      </c>
      <c r="BF5312" s="3" t="s">
        <v>50969</v>
      </c>
      <c r="BG5312" s="3" t="s">
        <v>50971</v>
      </c>
    </row>
    <row r="5313" spans="1:59" ht="58" x14ac:dyDescent="0.35">
      <c r="A5313" s="2" t="s">
        <v>89</v>
      </c>
      <c r="B5313" s="2" t="s">
        <v>90</v>
      </c>
      <c r="C5313" s="2" t="s">
        <v>50972</v>
      </c>
      <c r="D5313" s="2" t="s">
        <v>50961</v>
      </c>
      <c r="E5313" s="2" t="s">
        <v>50962</v>
      </c>
      <c r="G5313" s="3" t="s">
        <v>62</v>
      </c>
      <c r="I5313" s="3" t="s">
        <v>61</v>
      </c>
      <c r="J5313" s="3" t="s">
        <v>62</v>
      </c>
      <c r="K5313" s="3" t="s">
        <v>63</v>
      </c>
      <c r="L5313" s="2" t="s">
        <v>50963</v>
      </c>
      <c r="M5313" s="2" t="s">
        <v>50964</v>
      </c>
      <c r="N5313" s="3" t="s">
        <v>481</v>
      </c>
      <c r="O5313" s="2" t="s">
        <v>2458</v>
      </c>
      <c r="P5313" s="3" t="s">
        <v>64</v>
      </c>
      <c r="R5313" s="3" t="s">
        <v>46535</v>
      </c>
      <c r="S5313" s="4">
        <v>15</v>
      </c>
      <c r="T5313" s="4">
        <v>21</v>
      </c>
      <c r="U5313" s="5" t="s">
        <v>50973</v>
      </c>
      <c r="V5313" s="5" t="s">
        <v>50965</v>
      </c>
      <c r="W5313" s="5" t="s">
        <v>67</v>
      </c>
      <c r="X5313" s="5" t="s">
        <v>67</v>
      </c>
      <c r="Y5313" s="4">
        <v>234</v>
      </c>
      <c r="Z5313" s="4">
        <v>19</v>
      </c>
      <c r="AA5313" s="4">
        <v>24</v>
      </c>
      <c r="AB5313" s="4">
        <v>1</v>
      </c>
      <c r="AC5313" s="4">
        <v>5</v>
      </c>
      <c r="AD5313" s="4">
        <v>61</v>
      </c>
      <c r="AE5313" s="4">
        <v>67</v>
      </c>
      <c r="AF5313" s="4">
        <v>0</v>
      </c>
      <c r="AG5313" s="4">
        <v>1</v>
      </c>
      <c r="AH5313" s="4">
        <v>51</v>
      </c>
      <c r="AI5313" s="4">
        <v>55</v>
      </c>
      <c r="AJ5313" s="4">
        <v>14</v>
      </c>
      <c r="AK5313" s="4">
        <v>16</v>
      </c>
      <c r="AL5313" s="4">
        <v>27</v>
      </c>
      <c r="AM5313" s="4">
        <v>29</v>
      </c>
      <c r="AN5313" s="4">
        <v>0</v>
      </c>
      <c r="AO5313" s="4">
        <v>0</v>
      </c>
      <c r="AP5313" s="4">
        <v>17</v>
      </c>
      <c r="AQ5313" s="4">
        <v>19</v>
      </c>
      <c r="AR5313" s="3" t="s">
        <v>62</v>
      </c>
      <c r="AS5313" s="3" t="s">
        <v>62</v>
      </c>
      <c r="AT5313" s="3" t="s">
        <v>62</v>
      </c>
      <c r="AV5313" s="6" t="str">
        <f>HYPERLINK("http://mcgill.on.worldcat.org/oclc/35559116","Catalog Record")</f>
        <v>Catalog Record</v>
      </c>
      <c r="AW5313" s="6" t="str">
        <f>HYPERLINK("http://www.worldcat.org/oclc/35559116","WorldCat Record")</f>
        <v>WorldCat Record</v>
      </c>
      <c r="AX5313" s="3" t="s">
        <v>50966</v>
      </c>
      <c r="AY5313" s="3" t="s">
        <v>50967</v>
      </c>
      <c r="AZ5313" s="3" t="s">
        <v>50968</v>
      </c>
      <c r="BA5313" s="3" t="s">
        <v>50968</v>
      </c>
      <c r="BB5313" s="3" t="s">
        <v>50974</v>
      </c>
      <c r="BC5313" s="3" t="s">
        <v>102</v>
      </c>
      <c r="BD5313" s="3" t="s">
        <v>231</v>
      </c>
      <c r="BE5313" s="3" t="s">
        <v>50970</v>
      </c>
      <c r="BF5313" s="3" t="s">
        <v>50974</v>
      </c>
      <c r="BG5313" s="3" t="s">
        <v>50975</v>
      </c>
    </row>
    <row r="5314" spans="1:59" ht="58" x14ac:dyDescent="0.35">
      <c r="A5314" s="2" t="s">
        <v>89</v>
      </c>
      <c r="B5314" s="2" t="s">
        <v>90</v>
      </c>
      <c r="C5314" s="2" t="s">
        <v>50976</v>
      </c>
      <c r="D5314" s="2" t="s">
        <v>50977</v>
      </c>
      <c r="E5314" s="2" t="s">
        <v>50978</v>
      </c>
      <c r="G5314" s="3" t="s">
        <v>62</v>
      </c>
      <c r="I5314" s="3" t="s">
        <v>61</v>
      </c>
      <c r="J5314" s="3" t="s">
        <v>61</v>
      </c>
      <c r="K5314" s="3" t="s">
        <v>63</v>
      </c>
      <c r="L5314" s="2" t="s">
        <v>50979</v>
      </c>
      <c r="M5314" s="2" t="s">
        <v>50980</v>
      </c>
      <c r="N5314" s="3" t="s">
        <v>655</v>
      </c>
      <c r="O5314" s="2" t="s">
        <v>16059</v>
      </c>
      <c r="P5314" s="3" t="s">
        <v>64</v>
      </c>
      <c r="R5314" s="3" t="s">
        <v>46535</v>
      </c>
      <c r="S5314" s="4">
        <v>107</v>
      </c>
      <c r="T5314" s="4">
        <v>193</v>
      </c>
      <c r="U5314" s="5" t="s">
        <v>10782</v>
      </c>
      <c r="V5314" s="5" t="s">
        <v>10782</v>
      </c>
      <c r="W5314" s="5" t="s">
        <v>67</v>
      </c>
      <c r="X5314" s="5" t="s">
        <v>67</v>
      </c>
      <c r="Y5314" s="4">
        <v>90</v>
      </c>
      <c r="Z5314" s="4">
        <v>6</v>
      </c>
      <c r="AA5314" s="4">
        <v>73</v>
      </c>
      <c r="AB5314" s="4">
        <v>1</v>
      </c>
      <c r="AC5314" s="4">
        <v>14</v>
      </c>
      <c r="AD5314" s="4">
        <v>17</v>
      </c>
      <c r="AE5314" s="4">
        <v>134</v>
      </c>
      <c r="AF5314" s="4">
        <v>0</v>
      </c>
      <c r="AG5314" s="4">
        <v>6</v>
      </c>
      <c r="AH5314" s="4">
        <v>16</v>
      </c>
      <c r="AI5314" s="4">
        <v>101</v>
      </c>
      <c r="AJ5314" s="4">
        <v>3</v>
      </c>
      <c r="AK5314" s="4">
        <v>26</v>
      </c>
      <c r="AL5314" s="4">
        <v>11</v>
      </c>
      <c r="AM5314" s="4">
        <v>55</v>
      </c>
      <c r="AN5314" s="4">
        <v>0</v>
      </c>
      <c r="AO5314" s="4">
        <v>0</v>
      </c>
      <c r="AP5314" s="4">
        <v>4</v>
      </c>
      <c r="AQ5314" s="4">
        <v>40</v>
      </c>
      <c r="AR5314" s="3" t="s">
        <v>62</v>
      </c>
      <c r="AS5314" s="3" t="s">
        <v>62</v>
      </c>
      <c r="AT5314" s="3" t="s">
        <v>62</v>
      </c>
      <c r="AV5314" s="6" t="str">
        <f>HYPERLINK("http://mcgill.on.worldcat.org/oclc/66914093","Catalog Record")</f>
        <v>Catalog Record</v>
      </c>
      <c r="AW5314" s="6" t="str">
        <f>HYPERLINK("http://www.worldcat.org/oclc/66914093","WorldCat Record")</f>
        <v>WorldCat Record</v>
      </c>
      <c r="AX5314" s="3" t="s">
        <v>50981</v>
      </c>
      <c r="AY5314" s="3" t="s">
        <v>50982</v>
      </c>
      <c r="AZ5314" s="3" t="s">
        <v>50983</v>
      </c>
      <c r="BA5314" s="3" t="s">
        <v>50983</v>
      </c>
      <c r="BB5314" s="3" t="s">
        <v>50984</v>
      </c>
      <c r="BC5314" s="3" t="s">
        <v>102</v>
      </c>
      <c r="BD5314" s="3" t="s">
        <v>68</v>
      </c>
      <c r="BE5314" s="3" t="s">
        <v>50985</v>
      </c>
      <c r="BF5314" s="3" t="s">
        <v>50984</v>
      </c>
      <c r="BG5314" s="3" t="s">
        <v>50986</v>
      </c>
    </row>
    <row r="5315" spans="1:59" ht="58" x14ac:dyDescent="0.35">
      <c r="A5315" s="2" t="s">
        <v>89</v>
      </c>
      <c r="B5315" s="2" t="s">
        <v>90</v>
      </c>
      <c r="C5315" s="2" t="s">
        <v>50976</v>
      </c>
      <c r="D5315" s="2" t="s">
        <v>50977</v>
      </c>
      <c r="E5315" s="2" t="s">
        <v>50978</v>
      </c>
      <c r="G5315" s="3" t="s">
        <v>62</v>
      </c>
      <c r="I5315" s="3" t="s">
        <v>61</v>
      </c>
      <c r="J5315" s="3" t="s">
        <v>61</v>
      </c>
      <c r="K5315" s="3" t="s">
        <v>63</v>
      </c>
      <c r="L5315" s="2" t="s">
        <v>50979</v>
      </c>
      <c r="M5315" s="2" t="s">
        <v>50980</v>
      </c>
      <c r="N5315" s="3" t="s">
        <v>655</v>
      </c>
      <c r="O5315" s="2" t="s">
        <v>16059</v>
      </c>
      <c r="P5315" s="3" t="s">
        <v>64</v>
      </c>
      <c r="R5315" s="3" t="s">
        <v>46535</v>
      </c>
      <c r="S5315" s="4">
        <v>22</v>
      </c>
      <c r="T5315" s="4">
        <v>193</v>
      </c>
      <c r="U5315" s="5" t="s">
        <v>50987</v>
      </c>
      <c r="V5315" s="5" t="s">
        <v>10782</v>
      </c>
      <c r="W5315" s="5" t="s">
        <v>67</v>
      </c>
      <c r="X5315" s="5" t="s">
        <v>67</v>
      </c>
      <c r="Y5315" s="4">
        <v>90</v>
      </c>
      <c r="Z5315" s="4">
        <v>6</v>
      </c>
      <c r="AA5315" s="4">
        <v>73</v>
      </c>
      <c r="AB5315" s="4">
        <v>1</v>
      </c>
      <c r="AC5315" s="4">
        <v>14</v>
      </c>
      <c r="AD5315" s="4">
        <v>17</v>
      </c>
      <c r="AE5315" s="4">
        <v>134</v>
      </c>
      <c r="AF5315" s="4">
        <v>0</v>
      </c>
      <c r="AG5315" s="4">
        <v>6</v>
      </c>
      <c r="AH5315" s="4">
        <v>16</v>
      </c>
      <c r="AI5315" s="4">
        <v>101</v>
      </c>
      <c r="AJ5315" s="4">
        <v>3</v>
      </c>
      <c r="AK5315" s="4">
        <v>26</v>
      </c>
      <c r="AL5315" s="4">
        <v>11</v>
      </c>
      <c r="AM5315" s="4">
        <v>55</v>
      </c>
      <c r="AN5315" s="4">
        <v>0</v>
      </c>
      <c r="AO5315" s="4">
        <v>0</v>
      </c>
      <c r="AP5315" s="4">
        <v>4</v>
      </c>
      <c r="AQ5315" s="4">
        <v>40</v>
      </c>
      <c r="AR5315" s="3" t="s">
        <v>62</v>
      </c>
      <c r="AS5315" s="3" t="s">
        <v>62</v>
      </c>
      <c r="AT5315" s="3" t="s">
        <v>62</v>
      </c>
      <c r="AV5315" s="6" t="str">
        <f>HYPERLINK("http://mcgill.on.worldcat.org/oclc/66914093","Catalog Record")</f>
        <v>Catalog Record</v>
      </c>
      <c r="AW5315" s="6" t="str">
        <f>HYPERLINK("http://www.worldcat.org/oclc/66914093","WorldCat Record")</f>
        <v>WorldCat Record</v>
      </c>
      <c r="AX5315" s="3" t="s">
        <v>50981</v>
      </c>
      <c r="AY5315" s="3" t="s">
        <v>50982</v>
      </c>
      <c r="AZ5315" s="3" t="s">
        <v>50983</v>
      </c>
      <c r="BA5315" s="3" t="s">
        <v>50983</v>
      </c>
      <c r="BB5315" s="3" t="s">
        <v>50988</v>
      </c>
      <c r="BC5315" s="3" t="s">
        <v>102</v>
      </c>
      <c r="BD5315" s="3" t="s">
        <v>68</v>
      </c>
      <c r="BE5315" s="3" t="s">
        <v>50985</v>
      </c>
      <c r="BF5315" s="3" t="s">
        <v>50988</v>
      </c>
      <c r="BG5315" s="3" t="s">
        <v>50989</v>
      </c>
    </row>
    <row r="5316" spans="1:59" ht="58" x14ac:dyDescent="0.35">
      <c r="A5316" s="2" t="s">
        <v>89</v>
      </c>
      <c r="B5316" s="2" t="s">
        <v>90</v>
      </c>
      <c r="C5316" s="2" t="s">
        <v>50976</v>
      </c>
      <c r="D5316" s="2" t="s">
        <v>50977</v>
      </c>
      <c r="E5316" s="2" t="s">
        <v>50978</v>
      </c>
      <c r="G5316" s="3" t="s">
        <v>62</v>
      </c>
      <c r="I5316" s="3" t="s">
        <v>61</v>
      </c>
      <c r="J5316" s="3" t="s">
        <v>61</v>
      </c>
      <c r="K5316" s="3" t="s">
        <v>63</v>
      </c>
      <c r="L5316" s="2" t="s">
        <v>50979</v>
      </c>
      <c r="M5316" s="2" t="s">
        <v>50980</v>
      </c>
      <c r="N5316" s="3" t="s">
        <v>655</v>
      </c>
      <c r="O5316" s="2" t="s">
        <v>16059</v>
      </c>
      <c r="P5316" s="3" t="s">
        <v>64</v>
      </c>
      <c r="R5316" s="3" t="s">
        <v>46535</v>
      </c>
      <c r="S5316" s="4">
        <v>21</v>
      </c>
      <c r="T5316" s="4">
        <v>193</v>
      </c>
      <c r="U5316" s="5" t="s">
        <v>3355</v>
      </c>
      <c r="V5316" s="5" t="s">
        <v>10782</v>
      </c>
      <c r="W5316" s="5" t="s">
        <v>67</v>
      </c>
      <c r="X5316" s="5" t="s">
        <v>67</v>
      </c>
      <c r="Y5316" s="4">
        <v>90</v>
      </c>
      <c r="Z5316" s="4">
        <v>6</v>
      </c>
      <c r="AA5316" s="4">
        <v>73</v>
      </c>
      <c r="AB5316" s="4">
        <v>1</v>
      </c>
      <c r="AC5316" s="4">
        <v>14</v>
      </c>
      <c r="AD5316" s="4">
        <v>17</v>
      </c>
      <c r="AE5316" s="4">
        <v>134</v>
      </c>
      <c r="AF5316" s="4">
        <v>0</v>
      </c>
      <c r="AG5316" s="4">
        <v>6</v>
      </c>
      <c r="AH5316" s="4">
        <v>16</v>
      </c>
      <c r="AI5316" s="4">
        <v>101</v>
      </c>
      <c r="AJ5316" s="4">
        <v>3</v>
      </c>
      <c r="AK5316" s="4">
        <v>26</v>
      </c>
      <c r="AL5316" s="4">
        <v>11</v>
      </c>
      <c r="AM5316" s="4">
        <v>55</v>
      </c>
      <c r="AN5316" s="4">
        <v>0</v>
      </c>
      <c r="AO5316" s="4">
        <v>0</v>
      </c>
      <c r="AP5316" s="4">
        <v>4</v>
      </c>
      <c r="AQ5316" s="4">
        <v>40</v>
      </c>
      <c r="AR5316" s="3" t="s">
        <v>62</v>
      </c>
      <c r="AS5316" s="3" t="s">
        <v>62</v>
      </c>
      <c r="AT5316" s="3" t="s">
        <v>62</v>
      </c>
      <c r="AV5316" s="6" t="str">
        <f>HYPERLINK("http://mcgill.on.worldcat.org/oclc/66914093","Catalog Record")</f>
        <v>Catalog Record</v>
      </c>
      <c r="AW5316" s="6" t="str">
        <f>HYPERLINK("http://www.worldcat.org/oclc/66914093","WorldCat Record")</f>
        <v>WorldCat Record</v>
      </c>
      <c r="AX5316" s="3" t="s">
        <v>50981</v>
      </c>
      <c r="AY5316" s="3" t="s">
        <v>50982</v>
      </c>
      <c r="AZ5316" s="3" t="s">
        <v>50983</v>
      </c>
      <c r="BA5316" s="3" t="s">
        <v>50983</v>
      </c>
      <c r="BB5316" s="3" t="s">
        <v>50990</v>
      </c>
      <c r="BC5316" s="3" t="s">
        <v>102</v>
      </c>
      <c r="BD5316" s="3" t="s">
        <v>68</v>
      </c>
      <c r="BE5316" s="3" t="s">
        <v>50985</v>
      </c>
      <c r="BF5316" s="3" t="s">
        <v>50990</v>
      </c>
      <c r="BG5316" s="3" t="s">
        <v>50991</v>
      </c>
    </row>
    <row r="5317" spans="1:59" ht="58" x14ac:dyDescent="0.35">
      <c r="A5317" s="2" t="s">
        <v>89</v>
      </c>
      <c r="B5317" s="2" t="s">
        <v>90</v>
      </c>
      <c r="C5317" s="2" t="s">
        <v>50976</v>
      </c>
      <c r="D5317" s="2" t="s">
        <v>50977</v>
      </c>
      <c r="E5317" s="2" t="s">
        <v>50978</v>
      </c>
      <c r="G5317" s="3" t="s">
        <v>62</v>
      </c>
      <c r="I5317" s="3" t="s">
        <v>61</v>
      </c>
      <c r="J5317" s="3" t="s">
        <v>61</v>
      </c>
      <c r="K5317" s="3" t="s">
        <v>63</v>
      </c>
      <c r="L5317" s="2" t="s">
        <v>50979</v>
      </c>
      <c r="M5317" s="2" t="s">
        <v>50980</v>
      </c>
      <c r="N5317" s="3" t="s">
        <v>655</v>
      </c>
      <c r="O5317" s="2" t="s">
        <v>16059</v>
      </c>
      <c r="P5317" s="3" t="s">
        <v>64</v>
      </c>
      <c r="R5317" s="3" t="s">
        <v>46535</v>
      </c>
      <c r="S5317" s="4">
        <v>42</v>
      </c>
      <c r="T5317" s="4">
        <v>193</v>
      </c>
      <c r="U5317" s="5" t="s">
        <v>50992</v>
      </c>
      <c r="V5317" s="5" t="s">
        <v>10782</v>
      </c>
      <c r="W5317" s="5" t="s">
        <v>67</v>
      </c>
      <c r="X5317" s="5" t="s">
        <v>67</v>
      </c>
      <c r="Y5317" s="4">
        <v>90</v>
      </c>
      <c r="Z5317" s="4">
        <v>6</v>
      </c>
      <c r="AA5317" s="4">
        <v>73</v>
      </c>
      <c r="AB5317" s="4">
        <v>1</v>
      </c>
      <c r="AC5317" s="4">
        <v>14</v>
      </c>
      <c r="AD5317" s="4">
        <v>17</v>
      </c>
      <c r="AE5317" s="4">
        <v>134</v>
      </c>
      <c r="AF5317" s="4">
        <v>0</v>
      </c>
      <c r="AG5317" s="4">
        <v>6</v>
      </c>
      <c r="AH5317" s="4">
        <v>16</v>
      </c>
      <c r="AI5317" s="4">
        <v>101</v>
      </c>
      <c r="AJ5317" s="4">
        <v>3</v>
      </c>
      <c r="AK5317" s="4">
        <v>26</v>
      </c>
      <c r="AL5317" s="4">
        <v>11</v>
      </c>
      <c r="AM5317" s="4">
        <v>55</v>
      </c>
      <c r="AN5317" s="4">
        <v>0</v>
      </c>
      <c r="AO5317" s="4">
        <v>0</v>
      </c>
      <c r="AP5317" s="4">
        <v>4</v>
      </c>
      <c r="AQ5317" s="4">
        <v>40</v>
      </c>
      <c r="AR5317" s="3" t="s">
        <v>62</v>
      </c>
      <c r="AS5317" s="3" t="s">
        <v>62</v>
      </c>
      <c r="AT5317" s="3" t="s">
        <v>62</v>
      </c>
      <c r="AV5317" s="6" t="str">
        <f>HYPERLINK("http://mcgill.on.worldcat.org/oclc/66914093","Catalog Record")</f>
        <v>Catalog Record</v>
      </c>
      <c r="AW5317" s="6" t="str">
        <f>HYPERLINK("http://www.worldcat.org/oclc/66914093","WorldCat Record")</f>
        <v>WorldCat Record</v>
      </c>
      <c r="AX5317" s="3" t="s">
        <v>50981</v>
      </c>
      <c r="AY5317" s="3" t="s">
        <v>50982</v>
      </c>
      <c r="AZ5317" s="3" t="s">
        <v>50983</v>
      </c>
      <c r="BA5317" s="3" t="s">
        <v>50983</v>
      </c>
      <c r="BB5317" s="3" t="s">
        <v>50993</v>
      </c>
      <c r="BC5317" s="3" t="s">
        <v>102</v>
      </c>
      <c r="BD5317" s="3" t="s">
        <v>68</v>
      </c>
      <c r="BE5317" s="3" t="s">
        <v>50985</v>
      </c>
      <c r="BF5317" s="3" t="s">
        <v>50993</v>
      </c>
      <c r="BG5317" s="3" t="s">
        <v>50994</v>
      </c>
    </row>
    <row r="5318" spans="1:59" ht="58" x14ac:dyDescent="0.35">
      <c r="A5318" s="2" t="s">
        <v>89</v>
      </c>
      <c r="B5318" s="2" t="s">
        <v>90</v>
      </c>
      <c r="C5318" s="2" t="s">
        <v>50995</v>
      </c>
      <c r="D5318" s="2" t="s">
        <v>50996</v>
      </c>
      <c r="E5318" s="2" t="s">
        <v>50978</v>
      </c>
      <c r="F5318" s="3" t="s">
        <v>50997</v>
      </c>
      <c r="G5318" s="3" t="s">
        <v>61</v>
      </c>
      <c r="I5318" s="3" t="s">
        <v>62</v>
      </c>
      <c r="J5318" s="3" t="s">
        <v>61</v>
      </c>
      <c r="K5318" s="3" t="s">
        <v>63</v>
      </c>
      <c r="L5318" s="2" t="s">
        <v>50979</v>
      </c>
      <c r="M5318" s="2" t="s">
        <v>50998</v>
      </c>
      <c r="N5318" s="3" t="s">
        <v>880</v>
      </c>
      <c r="O5318" s="2" t="s">
        <v>17018</v>
      </c>
      <c r="P5318" s="3" t="s">
        <v>64</v>
      </c>
      <c r="R5318" s="3" t="s">
        <v>46535</v>
      </c>
      <c r="S5318" s="4">
        <v>596</v>
      </c>
      <c r="T5318" s="4">
        <v>1505</v>
      </c>
      <c r="U5318" s="5" t="s">
        <v>10782</v>
      </c>
      <c r="V5318" s="5" t="s">
        <v>3051</v>
      </c>
      <c r="W5318" s="5" t="s">
        <v>67</v>
      </c>
      <c r="X5318" s="5" t="s">
        <v>67</v>
      </c>
      <c r="Y5318" s="4">
        <v>184</v>
      </c>
      <c r="Z5318" s="4">
        <v>12</v>
      </c>
      <c r="AA5318" s="4">
        <v>73</v>
      </c>
      <c r="AB5318" s="4">
        <v>3</v>
      </c>
      <c r="AC5318" s="4">
        <v>14</v>
      </c>
      <c r="AD5318" s="4">
        <v>32</v>
      </c>
      <c r="AE5318" s="4">
        <v>134</v>
      </c>
      <c r="AF5318" s="4">
        <v>1</v>
      </c>
      <c r="AG5318" s="4">
        <v>6</v>
      </c>
      <c r="AH5318" s="4">
        <v>28</v>
      </c>
      <c r="AI5318" s="4">
        <v>101</v>
      </c>
      <c r="AJ5318" s="4">
        <v>7</v>
      </c>
      <c r="AK5318" s="4">
        <v>26</v>
      </c>
      <c r="AL5318" s="4">
        <v>20</v>
      </c>
      <c r="AM5318" s="4">
        <v>55</v>
      </c>
      <c r="AN5318" s="4">
        <v>0</v>
      </c>
      <c r="AO5318" s="4">
        <v>0</v>
      </c>
      <c r="AP5318" s="4">
        <v>8</v>
      </c>
      <c r="AQ5318" s="4">
        <v>40</v>
      </c>
      <c r="AR5318" s="3" t="s">
        <v>62</v>
      </c>
      <c r="AS5318" s="3" t="s">
        <v>62</v>
      </c>
      <c r="AT5318" s="3" t="s">
        <v>62</v>
      </c>
      <c r="AV5318" s="6" t="str">
        <f>HYPERLINK("http://mcgill.on.worldcat.org/oclc/697153038","Catalog Record")</f>
        <v>Catalog Record</v>
      </c>
      <c r="AW5318" s="6" t="str">
        <f>HYPERLINK("http://www.worldcat.org/oclc/697153038","WorldCat Record")</f>
        <v>WorldCat Record</v>
      </c>
      <c r="AX5318" s="3" t="s">
        <v>50981</v>
      </c>
      <c r="AY5318" s="3" t="s">
        <v>50999</v>
      </c>
      <c r="AZ5318" s="3" t="s">
        <v>51000</v>
      </c>
      <c r="BA5318" s="3" t="s">
        <v>51000</v>
      </c>
      <c r="BB5318" s="3" t="s">
        <v>51001</v>
      </c>
      <c r="BC5318" s="3" t="s">
        <v>102</v>
      </c>
      <c r="BD5318" s="3" t="s">
        <v>68</v>
      </c>
      <c r="BE5318" s="3" t="s">
        <v>51002</v>
      </c>
      <c r="BF5318" s="3" t="s">
        <v>51001</v>
      </c>
      <c r="BG5318" s="3" t="s">
        <v>51003</v>
      </c>
    </row>
    <row r="5319" spans="1:59" ht="58" x14ac:dyDescent="0.35">
      <c r="A5319" s="2" t="s">
        <v>89</v>
      </c>
      <c r="B5319" s="2" t="s">
        <v>90</v>
      </c>
      <c r="C5319" s="2" t="s">
        <v>50995</v>
      </c>
      <c r="D5319" s="2" t="s">
        <v>50996</v>
      </c>
      <c r="E5319" s="2" t="s">
        <v>50978</v>
      </c>
      <c r="F5319" s="3" t="s">
        <v>51004</v>
      </c>
      <c r="G5319" s="3" t="s">
        <v>61</v>
      </c>
      <c r="I5319" s="3" t="s">
        <v>62</v>
      </c>
      <c r="J5319" s="3" t="s">
        <v>61</v>
      </c>
      <c r="K5319" s="3" t="s">
        <v>63</v>
      </c>
      <c r="L5319" s="2" t="s">
        <v>50979</v>
      </c>
      <c r="M5319" s="2" t="s">
        <v>50998</v>
      </c>
      <c r="N5319" s="3" t="s">
        <v>880</v>
      </c>
      <c r="O5319" s="2" t="s">
        <v>17018</v>
      </c>
      <c r="P5319" s="3" t="s">
        <v>64</v>
      </c>
      <c r="R5319" s="3" t="s">
        <v>46535</v>
      </c>
      <c r="S5319" s="4">
        <v>424</v>
      </c>
      <c r="T5319" s="4">
        <v>1505</v>
      </c>
      <c r="U5319" s="5" t="s">
        <v>4211</v>
      </c>
      <c r="V5319" s="5" t="s">
        <v>3051</v>
      </c>
      <c r="W5319" s="5" t="s">
        <v>67</v>
      </c>
      <c r="X5319" s="5" t="s">
        <v>67</v>
      </c>
      <c r="Y5319" s="4">
        <v>184</v>
      </c>
      <c r="Z5319" s="4">
        <v>12</v>
      </c>
      <c r="AA5319" s="4">
        <v>73</v>
      </c>
      <c r="AB5319" s="4">
        <v>3</v>
      </c>
      <c r="AC5319" s="4">
        <v>14</v>
      </c>
      <c r="AD5319" s="4">
        <v>32</v>
      </c>
      <c r="AE5319" s="4">
        <v>134</v>
      </c>
      <c r="AF5319" s="4">
        <v>1</v>
      </c>
      <c r="AG5319" s="4">
        <v>6</v>
      </c>
      <c r="AH5319" s="4">
        <v>28</v>
      </c>
      <c r="AI5319" s="4">
        <v>101</v>
      </c>
      <c r="AJ5319" s="4">
        <v>7</v>
      </c>
      <c r="AK5319" s="4">
        <v>26</v>
      </c>
      <c r="AL5319" s="4">
        <v>20</v>
      </c>
      <c r="AM5319" s="4">
        <v>55</v>
      </c>
      <c r="AN5319" s="4">
        <v>0</v>
      </c>
      <c r="AO5319" s="4">
        <v>0</v>
      </c>
      <c r="AP5319" s="4">
        <v>8</v>
      </c>
      <c r="AQ5319" s="4">
        <v>40</v>
      </c>
      <c r="AR5319" s="3" t="s">
        <v>62</v>
      </c>
      <c r="AS5319" s="3" t="s">
        <v>62</v>
      </c>
      <c r="AT5319" s="3" t="s">
        <v>62</v>
      </c>
      <c r="AV5319" s="6" t="str">
        <f>HYPERLINK("http://mcgill.on.worldcat.org/oclc/697153038","Catalog Record")</f>
        <v>Catalog Record</v>
      </c>
      <c r="AW5319" s="6" t="str">
        <f>HYPERLINK("http://www.worldcat.org/oclc/697153038","WorldCat Record")</f>
        <v>WorldCat Record</v>
      </c>
      <c r="AX5319" s="3" t="s">
        <v>50981</v>
      </c>
      <c r="AY5319" s="3" t="s">
        <v>50999</v>
      </c>
      <c r="AZ5319" s="3" t="s">
        <v>51000</v>
      </c>
      <c r="BA5319" s="3" t="s">
        <v>51000</v>
      </c>
      <c r="BB5319" s="3" t="s">
        <v>51005</v>
      </c>
      <c r="BC5319" s="3" t="s">
        <v>102</v>
      </c>
      <c r="BD5319" s="3" t="s">
        <v>68</v>
      </c>
      <c r="BE5319" s="3" t="s">
        <v>51002</v>
      </c>
      <c r="BF5319" s="3" t="s">
        <v>51005</v>
      </c>
      <c r="BG5319" s="3" t="s">
        <v>51006</v>
      </c>
    </row>
    <row r="5320" spans="1:59" ht="58" x14ac:dyDescent="0.35">
      <c r="A5320" s="2" t="s">
        <v>89</v>
      </c>
      <c r="B5320" s="2" t="s">
        <v>90</v>
      </c>
      <c r="C5320" s="2" t="s">
        <v>50995</v>
      </c>
      <c r="D5320" s="2" t="s">
        <v>50996</v>
      </c>
      <c r="E5320" s="2" t="s">
        <v>50978</v>
      </c>
      <c r="F5320" s="3" t="s">
        <v>51007</v>
      </c>
      <c r="G5320" s="3" t="s">
        <v>61</v>
      </c>
      <c r="I5320" s="3" t="s">
        <v>62</v>
      </c>
      <c r="J5320" s="3" t="s">
        <v>61</v>
      </c>
      <c r="K5320" s="3" t="s">
        <v>63</v>
      </c>
      <c r="L5320" s="2" t="s">
        <v>50979</v>
      </c>
      <c r="M5320" s="2" t="s">
        <v>50998</v>
      </c>
      <c r="N5320" s="3" t="s">
        <v>880</v>
      </c>
      <c r="O5320" s="2" t="s">
        <v>17018</v>
      </c>
      <c r="P5320" s="3" t="s">
        <v>64</v>
      </c>
      <c r="R5320" s="3" t="s">
        <v>46535</v>
      </c>
      <c r="S5320" s="4">
        <v>485</v>
      </c>
      <c r="T5320" s="4">
        <v>1505</v>
      </c>
      <c r="U5320" s="5" t="s">
        <v>3051</v>
      </c>
      <c r="V5320" s="5" t="s">
        <v>3051</v>
      </c>
      <c r="W5320" s="5" t="s">
        <v>67</v>
      </c>
      <c r="X5320" s="5" t="s">
        <v>67</v>
      </c>
      <c r="Y5320" s="4">
        <v>184</v>
      </c>
      <c r="Z5320" s="4">
        <v>12</v>
      </c>
      <c r="AA5320" s="4">
        <v>73</v>
      </c>
      <c r="AB5320" s="4">
        <v>3</v>
      </c>
      <c r="AC5320" s="4">
        <v>14</v>
      </c>
      <c r="AD5320" s="4">
        <v>32</v>
      </c>
      <c r="AE5320" s="4">
        <v>134</v>
      </c>
      <c r="AF5320" s="4">
        <v>1</v>
      </c>
      <c r="AG5320" s="4">
        <v>6</v>
      </c>
      <c r="AH5320" s="4">
        <v>28</v>
      </c>
      <c r="AI5320" s="4">
        <v>101</v>
      </c>
      <c r="AJ5320" s="4">
        <v>7</v>
      </c>
      <c r="AK5320" s="4">
        <v>26</v>
      </c>
      <c r="AL5320" s="4">
        <v>20</v>
      </c>
      <c r="AM5320" s="4">
        <v>55</v>
      </c>
      <c r="AN5320" s="4">
        <v>0</v>
      </c>
      <c r="AO5320" s="4">
        <v>0</v>
      </c>
      <c r="AP5320" s="4">
        <v>8</v>
      </c>
      <c r="AQ5320" s="4">
        <v>40</v>
      </c>
      <c r="AR5320" s="3" t="s">
        <v>62</v>
      </c>
      <c r="AS5320" s="3" t="s">
        <v>62</v>
      </c>
      <c r="AT5320" s="3" t="s">
        <v>62</v>
      </c>
      <c r="AV5320" s="6" t="str">
        <f>HYPERLINK("http://mcgill.on.worldcat.org/oclc/697153038","Catalog Record")</f>
        <v>Catalog Record</v>
      </c>
      <c r="AW5320" s="6" t="str">
        <f>HYPERLINK("http://www.worldcat.org/oclc/697153038","WorldCat Record")</f>
        <v>WorldCat Record</v>
      </c>
      <c r="AX5320" s="3" t="s">
        <v>50981</v>
      </c>
      <c r="AY5320" s="3" t="s">
        <v>50999</v>
      </c>
      <c r="AZ5320" s="3" t="s">
        <v>51000</v>
      </c>
      <c r="BA5320" s="3" t="s">
        <v>51000</v>
      </c>
      <c r="BB5320" s="3" t="s">
        <v>51008</v>
      </c>
      <c r="BC5320" s="3" t="s">
        <v>102</v>
      </c>
      <c r="BD5320" s="3" t="s">
        <v>68</v>
      </c>
      <c r="BE5320" s="3" t="s">
        <v>51002</v>
      </c>
      <c r="BF5320" s="3" t="s">
        <v>51008</v>
      </c>
      <c r="BG5320" s="3" t="s">
        <v>51009</v>
      </c>
    </row>
    <row r="5321" spans="1:59" ht="58" x14ac:dyDescent="0.35">
      <c r="A5321" s="2" t="s">
        <v>89</v>
      </c>
      <c r="B5321" s="2" t="s">
        <v>90</v>
      </c>
      <c r="C5321" s="2" t="s">
        <v>51010</v>
      </c>
      <c r="D5321" s="2" t="s">
        <v>51011</v>
      </c>
      <c r="E5321" s="2" t="s">
        <v>51012</v>
      </c>
      <c r="G5321" s="3" t="s">
        <v>62</v>
      </c>
      <c r="I5321" s="3" t="s">
        <v>61</v>
      </c>
      <c r="J5321" s="3" t="s">
        <v>62</v>
      </c>
      <c r="K5321" s="3" t="s">
        <v>63</v>
      </c>
      <c r="M5321" s="2" t="s">
        <v>51013</v>
      </c>
      <c r="N5321" s="3" t="s">
        <v>640</v>
      </c>
      <c r="P5321" s="3" t="s">
        <v>64</v>
      </c>
      <c r="R5321" s="3" t="s">
        <v>46535</v>
      </c>
      <c r="S5321" s="4">
        <v>25</v>
      </c>
      <c r="T5321" s="4">
        <v>25</v>
      </c>
      <c r="U5321" s="5" t="s">
        <v>10848</v>
      </c>
      <c r="V5321" s="5" t="s">
        <v>10848</v>
      </c>
      <c r="W5321" s="5" t="s">
        <v>67</v>
      </c>
      <c r="X5321" s="5" t="s">
        <v>67</v>
      </c>
      <c r="Y5321" s="4">
        <v>350</v>
      </c>
      <c r="Z5321" s="4">
        <v>27</v>
      </c>
      <c r="AA5321" s="4">
        <v>99</v>
      </c>
      <c r="AB5321" s="4">
        <v>2</v>
      </c>
      <c r="AC5321" s="4">
        <v>17</v>
      </c>
      <c r="AD5321" s="4">
        <v>106</v>
      </c>
      <c r="AE5321" s="4">
        <v>140</v>
      </c>
      <c r="AF5321" s="4">
        <v>1</v>
      </c>
      <c r="AG5321" s="4">
        <v>8</v>
      </c>
      <c r="AH5321" s="4">
        <v>91</v>
      </c>
      <c r="AI5321" s="4">
        <v>100</v>
      </c>
      <c r="AJ5321" s="4">
        <v>20</v>
      </c>
      <c r="AK5321" s="4">
        <v>27</v>
      </c>
      <c r="AL5321" s="4">
        <v>47</v>
      </c>
      <c r="AM5321" s="4">
        <v>52</v>
      </c>
      <c r="AN5321" s="4">
        <v>0</v>
      </c>
      <c r="AO5321" s="4">
        <v>0</v>
      </c>
      <c r="AP5321" s="4">
        <v>23</v>
      </c>
      <c r="AQ5321" s="4">
        <v>50</v>
      </c>
      <c r="AR5321" s="3" t="s">
        <v>62</v>
      </c>
      <c r="AS5321" s="3" t="s">
        <v>62</v>
      </c>
      <c r="AT5321" s="3" t="s">
        <v>62</v>
      </c>
      <c r="AV5321" s="6" t="str">
        <f>HYPERLINK("http://mcgill.on.worldcat.org/oclc/54677752","Catalog Record")</f>
        <v>Catalog Record</v>
      </c>
      <c r="AW5321" s="6" t="str">
        <f>HYPERLINK("http://www.worldcat.org/oclc/54677752","WorldCat Record")</f>
        <v>WorldCat Record</v>
      </c>
      <c r="AX5321" s="3" t="s">
        <v>51014</v>
      </c>
      <c r="AY5321" s="3" t="s">
        <v>51015</v>
      </c>
      <c r="AZ5321" s="3" t="s">
        <v>51016</v>
      </c>
      <c r="BA5321" s="3" t="s">
        <v>51016</v>
      </c>
      <c r="BB5321" s="3" t="s">
        <v>51017</v>
      </c>
      <c r="BC5321" s="3" t="s">
        <v>102</v>
      </c>
      <c r="BD5321" s="3" t="s">
        <v>68</v>
      </c>
      <c r="BE5321" s="3" t="s">
        <v>51018</v>
      </c>
      <c r="BF5321" s="3" t="s">
        <v>51017</v>
      </c>
      <c r="BG5321" s="3" t="s">
        <v>51019</v>
      </c>
    </row>
    <row r="5322" spans="1:59" ht="58" x14ac:dyDescent="0.35">
      <c r="A5322" s="2" t="s">
        <v>89</v>
      </c>
      <c r="B5322" s="2" t="s">
        <v>90</v>
      </c>
      <c r="C5322" s="2" t="s">
        <v>51020</v>
      </c>
      <c r="D5322" s="2" t="s">
        <v>51021</v>
      </c>
      <c r="E5322" s="2" t="s">
        <v>51022</v>
      </c>
      <c r="G5322" s="3" t="s">
        <v>62</v>
      </c>
      <c r="I5322" s="3" t="s">
        <v>61</v>
      </c>
      <c r="J5322" s="3" t="s">
        <v>62</v>
      </c>
      <c r="K5322" s="3" t="s">
        <v>63</v>
      </c>
      <c r="L5322" s="2" t="s">
        <v>51023</v>
      </c>
      <c r="M5322" s="2" t="s">
        <v>49879</v>
      </c>
      <c r="N5322" s="3" t="s">
        <v>2136</v>
      </c>
      <c r="P5322" s="3" t="s">
        <v>64</v>
      </c>
      <c r="R5322" s="3" t="s">
        <v>46535</v>
      </c>
      <c r="S5322" s="4">
        <v>5</v>
      </c>
      <c r="T5322" s="4">
        <v>10</v>
      </c>
      <c r="U5322" s="5" t="s">
        <v>5681</v>
      </c>
      <c r="V5322" s="5" t="s">
        <v>5681</v>
      </c>
      <c r="W5322" s="5" t="s">
        <v>67</v>
      </c>
      <c r="X5322" s="5" t="s">
        <v>67</v>
      </c>
      <c r="Y5322" s="4">
        <v>284</v>
      </c>
      <c r="Z5322" s="4">
        <v>25</v>
      </c>
      <c r="AA5322" s="4">
        <v>84</v>
      </c>
      <c r="AB5322" s="4">
        <v>1</v>
      </c>
      <c r="AC5322" s="4">
        <v>15</v>
      </c>
      <c r="AD5322" s="4">
        <v>104</v>
      </c>
      <c r="AE5322" s="4">
        <v>136</v>
      </c>
      <c r="AF5322" s="4">
        <v>0</v>
      </c>
      <c r="AG5322" s="4">
        <v>8</v>
      </c>
      <c r="AH5322" s="4">
        <v>90</v>
      </c>
      <c r="AI5322" s="4">
        <v>100</v>
      </c>
      <c r="AJ5322" s="4">
        <v>15</v>
      </c>
      <c r="AK5322" s="4">
        <v>24</v>
      </c>
      <c r="AL5322" s="4">
        <v>49</v>
      </c>
      <c r="AM5322" s="4">
        <v>52</v>
      </c>
      <c r="AN5322" s="4">
        <v>0</v>
      </c>
      <c r="AO5322" s="4">
        <v>0</v>
      </c>
      <c r="AP5322" s="4">
        <v>22</v>
      </c>
      <c r="AQ5322" s="4">
        <v>44</v>
      </c>
      <c r="AR5322" s="3" t="s">
        <v>62</v>
      </c>
      <c r="AS5322" s="3" t="s">
        <v>62</v>
      </c>
      <c r="AT5322" s="3" t="s">
        <v>62</v>
      </c>
      <c r="AV5322" s="6" t="str">
        <f>HYPERLINK("http://mcgill.on.worldcat.org/oclc/56942596","Catalog Record")</f>
        <v>Catalog Record</v>
      </c>
      <c r="AW5322" s="6" t="str">
        <f>HYPERLINK("http://www.worldcat.org/oclc/56942596","WorldCat Record")</f>
        <v>WorldCat Record</v>
      </c>
      <c r="AX5322" s="3" t="s">
        <v>51024</v>
      </c>
      <c r="AY5322" s="3" t="s">
        <v>51025</v>
      </c>
      <c r="AZ5322" s="3" t="s">
        <v>51026</v>
      </c>
      <c r="BA5322" s="3" t="s">
        <v>51026</v>
      </c>
      <c r="BB5322" s="3" t="s">
        <v>51027</v>
      </c>
      <c r="BC5322" s="3" t="s">
        <v>102</v>
      </c>
      <c r="BD5322" s="3" t="s">
        <v>68</v>
      </c>
      <c r="BE5322" s="3" t="s">
        <v>51028</v>
      </c>
      <c r="BF5322" s="3" t="s">
        <v>51027</v>
      </c>
      <c r="BG5322" s="3" t="s">
        <v>51029</v>
      </c>
    </row>
    <row r="5323" spans="1:59" ht="58" x14ac:dyDescent="0.35">
      <c r="A5323" s="2" t="s">
        <v>89</v>
      </c>
      <c r="B5323" s="2" t="s">
        <v>90</v>
      </c>
      <c r="C5323" s="2" t="s">
        <v>51020</v>
      </c>
      <c r="D5323" s="2" t="s">
        <v>51021</v>
      </c>
      <c r="E5323" s="2" t="s">
        <v>51022</v>
      </c>
      <c r="G5323" s="3" t="s">
        <v>62</v>
      </c>
      <c r="I5323" s="3" t="s">
        <v>61</v>
      </c>
      <c r="J5323" s="3" t="s">
        <v>62</v>
      </c>
      <c r="K5323" s="3" t="s">
        <v>63</v>
      </c>
      <c r="L5323" s="2" t="s">
        <v>51023</v>
      </c>
      <c r="M5323" s="2" t="s">
        <v>49879</v>
      </c>
      <c r="N5323" s="3" t="s">
        <v>2136</v>
      </c>
      <c r="P5323" s="3" t="s">
        <v>64</v>
      </c>
      <c r="R5323" s="3" t="s">
        <v>46535</v>
      </c>
      <c r="S5323" s="4">
        <v>5</v>
      </c>
      <c r="T5323" s="4">
        <v>10</v>
      </c>
      <c r="U5323" s="5" t="s">
        <v>17903</v>
      </c>
      <c r="V5323" s="5" t="s">
        <v>5681</v>
      </c>
      <c r="W5323" s="5" t="s">
        <v>67</v>
      </c>
      <c r="X5323" s="5" t="s">
        <v>67</v>
      </c>
      <c r="Y5323" s="4">
        <v>284</v>
      </c>
      <c r="Z5323" s="4">
        <v>25</v>
      </c>
      <c r="AA5323" s="4">
        <v>84</v>
      </c>
      <c r="AB5323" s="4">
        <v>1</v>
      </c>
      <c r="AC5323" s="4">
        <v>15</v>
      </c>
      <c r="AD5323" s="4">
        <v>104</v>
      </c>
      <c r="AE5323" s="4">
        <v>136</v>
      </c>
      <c r="AF5323" s="4">
        <v>0</v>
      </c>
      <c r="AG5323" s="4">
        <v>8</v>
      </c>
      <c r="AH5323" s="4">
        <v>90</v>
      </c>
      <c r="AI5323" s="4">
        <v>100</v>
      </c>
      <c r="AJ5323" s="4">
        <v>15</v>
      </c>
      <c r="AK5323" s="4">
        <v>24</v>
      </c>
      <c r="AL5323" s="4">
        <v>49</v>
      </c>
      <c r="AM5323" s="4">
        <v>52</v>
      </c>
      <c r="AN5323" s="4">
        <v>0</v>
      </c>
      <c r="AO5323" s="4">
        <v>0</v>
      </c>
      <c r="AP5323" s="4">
        <v>22</v>
      </c>
      <c r="AQ5323" s="4">
        <v>44</v>
      </c>
      <c r="AR5323" s="3" t="s">
        <v>62</v>
      </c>
      <c r="AS5323" s="3" t="s">
        <v>62</v>
      </c>
      <c r="AT5323" s="3" t="s">
        <v>62</v>
      </c>
      <c r="AV5323" s="6" t="str">
        <f>HYPERLINK("http://mcgill.on.worldcat.org/oclc/56942596","Catalog Record")</f>
        <v>Catalog Record</v>
      </c>
      <c r="AW5323" s="6" t="str">
        <f>HYPERLINK("http://www.worldcat.org/oclc/56942596","WorldCat Record")</f>
        <v>WorldCat Record</v>
      </c>
      <c r="AX5323" s="3" t="s">
        <v>51024</v>
      </c>
      <c r="AY5323" s="3" t="s">
        <v>51025</v>
      </c>
      <c r="AZ5323" s="3" t="s">
        <v>51026</v>
      </c>
      <c r="BA5323" s="3" t="s">
        <v>51026</v>
      </c>
      <c r="BB5323" s="3" t="s">
        <v>51030</v>
      </c>
      <c r="BC5323" s="3" t="s">
        <v>102</v>
      </c>
      <c r="BD5323" s="3" t="s">
        <v>68</v>
      </c>
      <c r="BE5323" s="3" t="s">
        <v>51028</v>
      </c>
      <c r="BF5323" s="3" t="s">
        <v>51030</v>
      </c>
      <c r="BG5323" s="3" t="s">
        <v>51031</v>
      </c>
    </row>
    <row r="5324" spans="1:59" ht="130.5" x14ac:dyDescent="0.35">
      <c r="A5324" s="2" t="s">
        <v>89</v>
      </c>
      <c r="B5324" s="2" t="s">
        <v>15860</v>
      </c>
      <c r="C5324" s="2" t="s">
        <v>51032</v>
      </c>
      <c r="D5324" s="2" t="s">
        <v>51033</v>
      </c>
      <c r="E5324" s="2" t="s">
        <v>51034</v>
      </c>
      <c r="G5324" s="3" t="s">
        <v>62</v>
      </c>
      <c r="I5324" s="3" t="s">
        <v>61</v>
      </c>
      <c r="J5324" s="3" t="s">
        <v>61</v>
      </c>
      <c r="K5324" s="3" t="s">
        <v>63</v>
      </c>
      <c r="L5324" s="2" t="s">
        <v>51035</v>
      </c>
      <c r="M5324" s="2" t="s">
        <v>51036</v>
      </c>
      <c r="N5324" s="3" t="s">
        <v>1455</v>
      </c>
      <c r="O5324" s="2" t="s">
        <v>7791</v>
      </c>
      <c r="P5324" s="3" t="s">
        <v>64</v>
      </c>
      <c r="R5324" s="3" t="s">
        <v>46535</v>
      </c>
      <c r="S5324" s="4">
        <v>21</v>
      </c>
      <c r="T5324" s="4">
        <v>110</v>
      </c>
      <c r="U5324" s="5" t="s">
        <v>24286</v>
      </c>
      <c r="V5324" s="5" t="s">
        <v>24286</v>
      </c>
      <c r="W5324" s="5" t="s">
        <v>67</v>
      </c>
      <c r="X5324" s="5" t="s">
        <v>67</v>
      </c>
      <c r="Y5324" s="4">
        <v>87</v>
      </c>
      <c r="Z5324" s="4">
        <v>8</v>
      </c>
      <c r="AA5324" s="4">
        <v>34</v>
      </c>
      <c r="AB5324" s="4">
        <v>1</v>
      </c>
      <c r="AC5324" s="4">
        <v>6</v>
      </c>
      <c r="AD5324" s="4">
        <v>27</v>
      </c>
      <c r="AE5324" s="4">
        <v>81</v>
      </c>
      <c r="AF5324" s="4">
        <v>0</v>
      </c>
      <c r="AG5324" s="4">
        <v>4</v>
      </c>
      <c r="AH5324" s="4">
        <v>25</v>
      </c>
      <c r="AI5324" s="4">
        <v>63</v>
      </c>
      <c r="AJ5324" s="4">
        <v>2</v>
      </c>
      <c r="AK5324" s="4">
        <v>20</v>
      </c>
      <c r="AL5324" s="4">
        <v>21</v>
      </c>
      <c r="AM5324" s="4">
        <v>47</v>
      </c>
      <c r="AN5324" s="4">
        <v>0</v>
      </c>
      <c r="AO5324" s="4">
        <v>0</v>
      </c>
      <c r="AP5324" s="4">
        <v>2</v>
      </c>
      <c r="AQ5324" s="4">
        <v>22</v>
      </c>
      <c r="AR5324" s="3" t="s">
        <v>62</v>
      </c>
      <c r="AS5324" s="3" t="s">
        <v>62</v>
      </c>
      <c r="AT5324" s="3" t="s">
        <v>62</v>
      </c>
      <c r="AV5324" s="6" t="str">
        <f>HYPERLINK("http://mcgill.on.worldcat.org/oclc/885148353","Catalog Record")</f>
        <v>Catalog Record</v>
      </c>
      <c r="AW5324" s="6" t="str">
        <f>HYPERLINK("http://www.worldcat.org/oclc/885148353","WorldCat Record")</f>
        <v>WorldCat Record</v>
      </c>
      <c r="AX5324" s="3" t="s">
        <v>51037</v>
      </c>
      <c r="AY5324" s="3" t="s">
        <v>51038</v>
      </c>
      <c r="AZ5324" s="3" t="s">
        <v>51039</v>
      </c>
      <c r="BA5324" s="3" t="s">
        <v>51039</v>
      </c>
      <c r="BB5324" s="3" t="s">
        <v>51040</v>
      </c>
      <c r="BC5324" s="3" t="s">
        <v>102</v>
      </c>
      <c r="BD5324" s="3" t="s">
        <v>68</v>
      </c>
      <c r="BE5324" s="3" t="s">
        <v>51041</v>
      </c>
      <c r="BF5324" s="3" t="s">
        <v>51040</v>
      </c>
      <c r="BG5324" s="3" t="s">
        <v>51042</v>
      </c>
    </row>
    <row r="5325" spans="1:59" ht="130.5" x14ac:dyDescent="0.35">
      <c r="A5325" s="2" t="s">
        <v>89</v>
      </c>
      <c r="B5325" s="2" t="s">
        <v>90</v>
      </c>
      <c r="C5325" s="2" t="s">
        <v>51032</v>
      </c>
      <c r="D5325" s="2" t="s">
        <v>51033</v>
      </c>
      <c r="E5325" s="2" t="s">
        <v>51034</v>
      </c>
      <c r="G5325" s="3" t="s">
        <v>62</v>
      </c>
      <c r="I5325" s="3" t="s">
        <v>61</v>
      </c>
      <c r="J5325" s="3" t="s">
        <v>61</v>
      </c>
      <c r="K5325" s="3" t="s">
        <v>63</v>
      </c>
      <c r="L5325" s="2" t="s">
        <v>51035</v>
      </c>
      <c r="M5325" s="2" t="s">
        <v>51036</v>
      </c>
      <c r="N5325" s="3" t="s">
        <v>1455</v>
      </c>
      <c r="O5325" s="2" t="s">
        <v>7791</v>
      </c>
      <c r="P5325" s="3" t="s">
        <v>64</v>
      </c>
      <c r="R5325" s="3" t="s">
        <v>46535</v>
      </c>
      <c r="S5325" s="4">
        <v>29</v>
      </c>
      <c r="T5325" s="4">
        <v>110</v>
      </c>
      <c r="U5325" s="5" t="s">
        <v>43377</v>
      </c>
      <c r="V5325" s="5" t="s">
        <v>24286</v>
      </c>
      <c r="W5325" s="5" t="s">
        <v>67</v>
      </c>
      <c r="X5325" s="5" t="s">
        <v>67</v>
      </c>
      <c r="Y5325" s="4">
        <v>87</v>
      </c>
      <c r="Z5325" s="4">
        <v>8</v>
      </c>
      <c r="AA5325" s="4">
        <v>34</v>
      </c>
      <c r="AB5325" s="4">
        <v>1</v>
      </c>
      <c r="AC5325" s="4">
        <v>6</v>
      </c>
      <c r="AD5325" s="4">
        <v>27</v>
      </c>
      <c r="AE5325" s="4">
        <v>81</v>
      </c>
      <c r="AF5325" s="4">
        <v>0</v>
      </c>
      <c r="AG5325" s="4">
        <v>4</v>
      </c>
      <c r="AH5325" s="4">
        <v>25</v>
      </c>
      <c r="AI5325" s="4">
        <v>63</v>
      </c>
      <c r="AJ5325" s="4">
        <v>2</v>
      </c>
      <c r="AK5325" s="4">
        <v>20</v>
      </c>
      <c r="AL5325" s="4">
        <v>21</v>
      </c>
      <c r="AM5325" s="4">
        <v>47</v>
      </c>
      <c r="AN5325" s="4">
        <v>0</v>
      </c>
      <c r="AO5325" s="4">
        <v>0</v>
      </c>
      <c r="AP5325" s="4">
        <v>2</v>
      </c>
      <c r="AQ5325" s="4">
        <v>22</v>
      </c>
      <c r="AR5325" s="3" t="s">
        <v>62</v>
      </c>
      <c r="AS5325" s="3" t="s">
        <v>62</v>
      </c>
      <c r="AT5325" s="3" t="s">
        <v>62</v>
      </c>
      <c r="AV5325" s="6" t="str">
        <f>HYPERLINK("http://mcgill.on.worldcat.org/oclc/885148353","Catalog Record")</f>
        <v>Catalog Record</v>
      </c>
      <c r="AW5325" s="6" t="str">
        <f>HYPERLINK("http://www.worldcat.org/oclc/885148353","WorldCat Record")</f>
        <v>WorldCat Record</v>
      </c>
      <c r="AX5325" s="3" t="s">
        <v>51037</v>
      </c>
      <c r="AY5325" s="3" t="s">
        <v>51038</v>
      </c>
      <c r="AZ5325" s="3" t="s">
        <v>51039</v>
      </c>
      <c r="BA5325" s="3" t="s">
        <v>51039</v>
      </c>
      <c r="BB5325" s="3" t="s">
        <v>51043</v>
      </c>
      <c r="BC5325" s="3" t="s">
        <v>102</v>
      </c>
      <c r="BD5325" s="3" t="s">
        <v>1135</v>
      </c>
      <c r="BE5325" s="3" t="s">
        <v>51041</v>
      </c>
      <c r="BF5325" s="3" t="s">
        <v>51043</v>
      </c>
      <c r="BG5325" s="3" t="s">
        <v>51044</v>
      </c>
    </row>
    <row r="5326" spans="1:59" ht="130.5" x14ac:dyDescent="0.35">
      <c r="A5326" s="2" t="s">
        <v>89</v>
      </c>
      <c r="B5326" s="2" t="s">
        <v>15860</v>
      </c>
      <c r="C5326" s="2" t="s">
        <v>51032</v>
      </c>
      <c r="D5326" s="2" t="s">
        <v>51033</v>
      </c>
      <c r="E5326" s="2" t="s">
        <v>51034</v>
      </c>
      <c r="G5326" s="3" t="s">
        <v>62</v>
      </c>
      <c r="I5326" s="3" t="s">
        <v>61</v>
      </c>
      <c r="J5326" s="3" t="s">
        <v>61</v>
      </c>
      <c r="K5326" s="3" t="s">
        <v>63</v>
      </c>
      <c r="L5326" s="2" t="s">
        <v>51035</v>
      </c>
      <c r="M5326" s="2" t="s">
        <v>51036</v>
      </c>
      <c r="N5326" s="3" t="s">
        <v>1455</v>
      </c>
      <c r="O5326" s="2" t="s">
        <v>7791</v>
      </c>
      <c r="P5326" s="3" t="s">
        <v>64</v>
      </c>
      <c r="R5326" s="3" t="s">
        <v>46535</v>
      </c>
      <c r="S5326" s="4">
        <v>21</v>
      </c>
      <c r="T5326" s="4">
        <v>110</v>
      </c>
      <c r="U5326" s="5" t="s">
        <v>24314</v>
      </c>
      <c r="V5326" s="5" t="s">
        <v>24286</v>
      </c>
      <c r="W5326" s="5" t="s">
        <v>67</v>
      </c>
      <c r="X5326" s="5" t="s">
        <v>67</v>
      </c>
      <c r="Y5326" s="4">
        <v>87</v>
      </c>
      <c r="Z5326" s="4">
        <v>8</v>
      </c>
      <c r="AA5326" s="4">
        <v>34</v>
      </c>
      <c r="AB5326" s="4">
        <v>1</v>
      </c>
      <c r="AC5326" s="4">
        <v>6</v>
      </c>
      <c r="AD5326" s="4">
        <v>27</v>
      </c>
      <c r="AE5326" s="4">
        <v>81</v>
      </c>
      <c r="AF5326" s="4">
        <v>0</v>
      </c>
      <c r="AG5326" s="4">
        <v>4</v>
      </c>
      <c r="AH5326" s="4">
        <v>25</v>
      </c>
      <c r="AI5326" s="4">
        <v>63</v>
      </c>
      <c r="AJ5326" s="4">
        <v>2</v>
      </c>
      <c r="AK5326" s="4">
        <v>20</v>
      </c>
      <c r="AL5326" s="4">
        <v>21</v>
      </c>
      <c r="AM5326" s="4">
        <v>47</v>
      </c>
      <c r="AN5326" s="4">
        <v>0</v>
      </c>
      <c r="AO5326" s="4">
        <v>0</v>
      </c>
      <c r="AP5326" s="4">
        <v>2</v>
      </c>
      <c r="AQ5326" s="4">
        <v>22</v>
      </c>
      <c r="AR5326" s="3" t="s">
        <v>62</v>
      </c>
      <c r="AS5326" s="3" t="s">
        <v>62</v>
      </c>
      <c r="AT5326" s="3" t="s">
        <v>62</v>
      </c>
      <c r="AV5326" s="6" t="str">
        <f>HYPERLINK("http://mcgill.on.worldcat.org/oclc/885148353","Catalog Record")</f>
        <v>Catalog Record</v>
      </c>
      <c r="AW5326" s="6" t="str">
        <f>HYPERLINK("http://www.worldcat.org/oclc/885148353","WorldCat Record")</f>
        <v>WorldCat Record</v>
      </c>
      <c r="AX5326" s="3" t="s">
        <v>51037</v>
      </c>
      <c r="AY5326" s="3" t="s">
        <v>51038</v>
      </c>
      <c r="AZ5326" s="3" t="s">
        <v>51039</v>
      </c>
      <c r="BA5326" s="3" t="s">
        <v>51039</v>
      </c>
      <c r="BB5326" s="3" t="s">
        <v>51045</v>
      </c>
      <c r="BC5326" s="3" t="s">
        <v>102</v>
      </c>
      <c r="BD5326" s="3" t="s">
        <v>68</v>
      </c>
      <c r="BE5326" s="3" t="s">
        <v>51041</v>
      </c>
      <c r="BF5326" s="3" t="s">
        <v>51045</v>
      </c>
      <c r="BG5326" s="3" t="s">
        <v>51046</v>
      </c>
    </row>
    <row r="5327" spans="1:59" ht="130.5" x14ac:dyDescent="0.35">
      <c r="A5327" s="2" t="s">
        <v>89</v>
      </c>
      <c r="B5327" s="2" t="s">
        <v>90</v>
      </c>
      <c r="C5327" s="2" t="s">
        <v>51032</v>
      </c>
      <c r="D5327" s="2" t="s">
        <v>51033</v>
      </c>
      <c r="E5327" s="2" t="s">
        <v>51034</v>
      </c>
      <c r="G5327" s="3" t="s">
        <v>62</v>
      </c>
      <c r="I5327" s="3" t="s">
        <v>61</v>
      </c>
      <c r="J5327" s="3" t="s">
        <v>61</v>
      </c>
      <c r="K5327" s="3" t="s">
        <v>63</v>
      </c>
      <c r="L5327" s="2" t="s">
        <v>51035</v>
      </c>
      <c r="M5327" s="2" t="s">
        <v>51036</v>
      </c>
      <c r="N5327" s="3" t="s">
        <v>1455</v>
      </c>
      <c r="O5327" s="2" t="s">
        <v>7791</v>
      </c>
      <c r="P5327" s="3" t="s">
        <v>64</v>
      </c>
      <c r="R5327" s="3" t="s">
        <v>46535</v>
      </c>
      <c r="S5327" s="4">
        <v>18</v>
      </c>
      <c r="T5327" s="4">
        <v>110</v>
      </c>
      <c r="U5327" s="5" t="s">
        <v>19000</v>
      </c>
      <c r="V5327" s="5" t="s">
        <v>24286</v>
      </c>
      <c r="W5327" s="5" t="s">
        <v>67</v>
      </c>
      <c r="X5327" s="5" t="s">
        <v>67</v>
      </c>
      <c r="Y5327" s="4">
        <v>87</v>
      </c>
      <c r="Z5327" s="4">
        <v>8</v>
      </c>
      <c r="AA5327" s="4">
        <v>34</v>
      </c>
      <c r="AB5327" s="4">
        <v>1</v>
      </c>
      <c r="AC5327" s="4">
        <v>6</v>
      </c>
      <c r="AD5327" s="4">
        <v>27</v>
      </c>
      <c r="AE5327" s="4">
        <v>81</v>
      </c>
      <c r="AF5327" s="4">
        <v>0</v>
      </c>
      <c r="AG5327" s="4">
        <v>4</v>
      </c>
      <c r="AH5327" s="4">
        <v>25</v>
      </c>
      <c r="AI5327" s="4">
        <v>63</v>
      </c>
      <c r="AJ5327" s="4">
        <v>2</v>
      </c>
      <c r="AK5327" s="4">
        <v>20</v>
      </c>
      <c r="AL5327" s="4">
        <v>21</v>
      </c>
      <c r="AM5327" s="4">
        <v>47</v>
      </c>
      <c r="AN5327" s="4">
        <v>0</v>
      </c>
      <c r="AO5327" s="4">
        <v>0</v>
      </c>
      <c r="AP5327" s="4">
        <v>2</v>
      </c>
      <c r="AQ5327" s="4">
        <v>22</v>
      </c>
      <c r="AR5327" s="3" t="s">
        <v>62</v>
      </c>
      <c r="AS5327" s="3" t="s">
        <v>62</v>
      </c>
      <c r="AT5327" s="3" t="s">
        <v>62</v>
      </c>
      <c r="AV5327" s="6" t="str">
        <f>HYPERLINK("http://mcgill.on.worldcat.org/oclc/885148353","Catalog Record")</f>
        <v>Catalog Record</v>
      </c>
      <c r="AW5327" s="6" t="str">
        <f>HYPERLINK("http://www.worldcat.org/oclc/885148353","WorldCat Record")</f>
        <v>WorldCat Record</v>
      </c>
      <c r="AX5327" s="3" t="s">
        <v>51037</v>
      </c>
      <c r="AY5327" s="3" t="s">
        <v>51038</v>
      </c>
      <c r="AZ5327" s="3" t="s">
        <v>51039</v>
      </c>
      <c r="BA5327" s="3" t="s">
        <v>51039</v>
      </c>
      <c r="BB5327" s="3" t="s">
        <v>51047</v>
      </c>
      <c r="BC5327" s="3" t="s">
        <v>102</v>
      </c>
      <c r="BD5327" s="3" t="s">
        <v>231</v>
      </c>
      <c r="BE5327" s="3" t="s">
        <v>51041</v>
      </c>
      <c r="BF5327" s="3" t="s">
        <v>51047</v>
      </c>
      <c r="BG5327" s="3" t="s">
        <v>51048</v>
      </c>
    </row>
    <row r="5328" spans="1:59" ht="130.5" x14ac:dyDescent="0.35">
      <c r="A5328" s="2" t="s">
        <v>89</v>
      </c>
      <c r="B5328" s="2" t="s">
        <v>15860</v>
      </c>
      <c r="C5328" s="2" t="s">
        <v>51032</v>
      </c>
      <c r="D5328" s="2" t="s">
        <v>51033</v>
      </c>
      <c r="E5328" s="2" t="s">
        <v>51034</v>
      </c>
      <c r="G5328" s="3" t="s">
        <v>62</v>
      </c>
      <c r="I5328" s="3" t="s">
        <v>61</v>
      </c>
      <c r="J5328" s="3" t="s">
        <v>61</v>
      </c>
      <c r="K5328" s="3" t="s">
        <v>63</v>
      </c>
      <c r="L5328" s="2" t="s">
        <v>51035</v>
      </c>
      <c r="M5328" s="2" t="s">
        <v>51036</v>
      </c>
      <c r="N5328" s="3" t="s">
        <v>1455</v>
      </c>
      <c r="O5328" s="2" t="s">
        <v>7791</v>
      </c>
      <c r="P5328" s="3" t="s">
        <v>64</v>
      </c>
      <c r="R5328" s="3" t="s">
        <v>46535</v>
      </c>
      <c r="S5328" s="4">
        <v>21</v>
      </c>
      <c r="T5328" s="4">
        <v>110</v>
      </c>
      <c r="U5328" s="5" t="s">
        <v>16074</v>
      </c>
      <c r="V5328" s="5" t="s">
        <v>24286</v>
      </c>
      <c r="W5328" s="5" t="s">
        <v>67</v>
      </c>
      <c r="X5328" s="5" t="s">
        <v>67</v>
      </c>
      <c r="Y5328" s="4">
        <v>87</v>
      </c>
      <c r="Z5328" s="4">
        <v>8</v>
      </c>
      <c r="AA5328" s="4">
        <v>34</v>
      </c>
      <c r="AB5328" s="4">
        <v>1</v>
      </c>
      <c r="AC5328" s="4">
        <v>6</v>
      </c>
      <c r="AD5328" s="4">
        <v>27</v>
      </c>
      <c r="AE5328" s="4">
        <v>81</v>
      </c>
      <c r="AF5328" s="4">
        <v>0</v>
      </c>
      <c r="AG5328" s="4">
        <v>4</v>
      </c>
      <c r="AH5328" s="4">
        <v>25</v>
      </c>
      <c r="AI5328" s="4">
        <v>63</v>
      </c>
      <c r="AJ5328" s="4">
        <v>2</v>
      </c>
      <c r="AK5328" s="4">
        <v>20</v>
      </c>
      <c r="AL5328" s="4">
        <v>21</v>
      </c>
      <c r="AM5328" s="4">
        <v>47</v>
      </c>
      <c r="AN5328" s="4">
        <v>0</v>
      </c>
      <c r="AO5328" s="4">
        <v>0</v>
      </c>
      <c r="AP5328" s="4">
        <v>2</v>
      </c>
      <c r="AQ5328" s="4">
        <v>22</v>
      </c>
      <c r="AR5328" s="3" t="s">
        <v>62</v>
      </c>
      <c r="AS5328" s="3" t="s">
        <v>62</v>
      </c>
      <c r="AT5328" s="3" t="s">
        <v>62</v>
      </c>
      <c r="AV5328" s="6" t="str">
        <f>HYPERLINK("http://mcgill.on.worldcat.org/oclc/885148353","Catalog Record")</f>
        <v>Catalog Record</v>
      </c>
      <c r="AW5328" s="6" t="str">
        <f>HYPERLINK("http://www.worldcat.org/oclc/885148353","WorldCat Record")</f>
        <v>WorldCat Record</v>
      </c>
      <c r="AX5328" s="3" t="s">
        <v>51037</v>
      </c>
      <c r="AY5328" s="3" t="s">
        <v>51038</v>
      </c>
      <c r="AZ5328" s="3" t="s">
        <v>51039</v>
      </c>
      <c r="BA5328" s="3" t="s">
        <v>51039</v>
      </c>
      <c r="BB5328" s="3" t="s">
        <v>51049</v>
      </c>
      <c r="BC5328" s="3" t="s">
        <v>102</v>
      </c>
      <c r="BD5328" s="3" t="s">
        <v>68</v>
      </c>
      <c r="BE5328" s="3" t="s">
        <v>51041</v>
      </c>
      <c r="BF5328" s="3" t="s">
        <v>51049</v>
      </c>
      <c r="BG5328" s="3" t="s">
        <v>51050</v>
      </c>
    </row>
    <row r="5329" spans="1:59" ht="130.5" x14ac:dyDescent="0.35">
      <c r="A5329" s="2" t="s">
        <v>89</v>
      </c>
      <c r="B5329" s="2" t="s">
        <v>90</v>
      </c>
      <c r="C5329" s="2" t="s">
        <v>51051</v>
      </c>
      <c r="D5329" s="2" t="s">
        <v>51052</v>
      </c>
      <c r="E5329" s="2" t="s">
        <v>51053</v>
      </c>
      <c r="G5329" s="3" t="s">
        <v>62</v>
      </c>
      <c r="I5329" s="3" t="s">
        <v>62</v>
      </c>
      <c r="J5329" s="3" t="s">
        <v>61</v>
      </c>
      <c r="K5329" s="3" t="s">
        <v>63</v>
      </c>
      <c r="L5329" s="2" t="s">
        <v>51035</v>
      </c>
      <c r="M5329" s="2" t="s">
        <v>51054</v>
      </c>
      <c r="N5329" s="3" t="s">
        <v>2085</v>
      </c>
      <c r="O5329" s="2" t="s">
        <v>51055</v>
      </c>
      <c r="P5329" s="3" t="s">
        <v>64</v>
      </c>
      <c r="R5329" s="3" t="s">
        <v>46535</v>
      </c>
      <c r="S5329" s="4">
        <v>19</v>
      </c>
      <c r="T5329" s="4">
        <v>19</v>
      </c>
      <c r="U5329" s="5" t="s">
        <v>24286</v>
      </c>
      <c r="V5329" s="5" t="s">
        <v>24286</v>
      </c>
      <c r="W5329" s="5" t="s">
        <v>67</v>
      </c>
      <c r="X5329" s="5" t="s">
        <v>67</v>
      </c>
      <c r="Y5329" s="4">
        <v>41</v>
      </c>
      <c r="Z5329" s="4">
        <v>3</v>
      </c>
      <c r="AA5329" s="4">
        <v>34</v>
      </c>
      <c r="AB5329" s="4">
        <v>1</v>
      </c>
      <c r="AC5329" s="4">
        <v>6</v>
      </c>
      <c r="AD5329" s="4">
        <v>14</v>
      </c>
      <c r="AE5329" s="4">
        <v>81</v>
      </c>
      <c r="AF5329" s="4">
        <v>0</v>
      </c>
      <c r="AG5329" s="4">
        <v>4</v>
      </c>
      <c r="AH5329" s="4">
        <v>12</v>
      </c>
      <c r="AI5329" s="4">
        <v>63</v>
      </c>
      <c r="AJ5329" s="4">
        <v>2</v>
      </c>
      <c r="AK5329" s="4">
        <v>20</v>
      </c>
      <c r="AL5329" s="4">
        <v>10</v>
      </c>
      <c r="AM5329" s="4">
        <v>47</v>
      </c>
      <c r="AN5329" s="4">
        <v>0</v>
      </c>
      <c r="AO5329" s="4">
        <v>0</v>
      </c>
      <c r="AP5329" s="4">
        <v>2</v>
      </c>
      <c r="AQ5329" s="4">
        <v>22</v>
      </c>
      <c r="AR5329" s="3" t="s">
        <v>62</v>
      </c>
      <c r="AS5329" s="3" t="s">
        <v>62</v>
      </c>
      <c r="AT5329" s="3" t="s">
        <v>62</v>
      </c>
      <c r="AV5329" s="6" t="str">
        <f>HYPERLINK("http://mcgill.on.worldcat.org/oclc/1007494975","Catalog Record")</f>
        <v>Catalog Record</v>
      </c>
      <c r="AW5329" s="6" t="str">
        <f>HYPERLINK("http://www.worldcat.org/oclc/1007494975","WorldCat Record")</f>
        <v>WorldCat Record</v>
      </c>
      <c r="AX5329" s="3" t="s">
        <v>51037</v>
      </c>
      <c r="AY5329" s="3" t="s">
        <v>51056</v>
      </c>
      <c r="AZ5329" s="3" t="s">
        <v>51057</v>
      </c>
      <c r="BA5329" s="3" t="s">
        <v>51057</v>
      </c>
      <c r="BB5329" s="3" t="s">
        <v>51058</v>
      </c>
      <c r="BC5329" s="3" t="s">
        <v>102</v>
      </c>
      <c r="BD5329" s="3" t="s">
        <v>68</v>
      </c>
      <c r="BE5329" s="3" t="s">
        <v>51059</v>
      </c>
      <c r="BF5329" s="3" t="s">
        <v>51058</v>
      </c>
      <c r="BG5329" s="3" t="s">
        <v>51060</v>
      </c>
    </row>
    <row r="5330" spans="1:59" ht="58" x14ac:dyDescent="0.35">
      <c r="A5330" s="2" t="s">
        <v>89</v>
      </c>
      <c r="B5330" s="2" t="s">
        <v>90</v>
      </c>
      <c r="C5330" s="2" t="s">
        <v>51061</v>
      </c>
      <c r="D5330" s="2" t="s">
        <v>51062</v>
      </c>
      <c r="E5330" s="2" t="s">
        <v>51063</v>
      </c>
      <c r="G5330" s="3" t="s">
        <v>62</v>
      </c>
      <c r="I5330" s="3" t="s">
        <v>62</v>
      </c>
      <c r="J5330" s="3" t="s">
        <v>61</v>
      </c>
      <c r="K5330" s="3" t="s">
        <v>63</v>
      </c>
      <c r="L5330" s="2" t="s">
        <v>51064</v>
      </c>
      <c r="M5330" s="2" t="s">
        <v>35920</v>
      </c>
      <c r="N5330" s="3" t="s">
        <v>115</v>
      </c>
      <c r="P5330" s="3" t="s">
        <v>64</v>
      </c>
      <c r="Q5330" s="2" t="s">
        <v>51065</v>
      </c>
      <c r="R5330" s="3" t="s">
        <v>46535</v>
      </c>
      <c r="S5330" s="4">
        <v>36</v>
      </c>
      <c r="T5330" s="4">
        <v>36</v>
      </c>
      <c r="U5330" s="5" t="s">
        <v>82</v>
      </c>
      <c r="V5330" s="5" t="s">
        <v>82</v>
      </c>
      <c r="W5330" s="5" t="s">
        <v>67</v>
      </c>
      <c r="X5330" s="5" t="s">
        <v>67</v>
      </c>
      <c r="Y5330" s="4">
        <v>247</v>
      </c>
      <c r="Z5330" s="4">
        <v>20</v>
      </c>
      <c r="AA5330" s="4">
        <v>102</v>
      </c>
      <c r="AB5330" s="4">
        <v>3</v>
      </c>
      <c r="AC5330" s="4">
        <v>18</v>
      </c>
      <c r="AD5330" s="4">
        <v>91</v>
      </c>
      <c r="AE5330" s="4">
        <v>151</v>
      </c>
      <c r="AF5330" s="4">
        <v>1</v>
      </c>
      <c r="AG5330" s="4">
        <v>8</v>
      </c>
      <c r="AH5330" s="4">
        <v>81</v>
      </c>
      <c r="AI5330" s="4">
        <v>110</v>
      </c>
      <c r="AJ5330" s="4">
        <v>13</v>
      </c>
      <c r="AK5330" s="4">
        <v>26</v>
      </c>
      <c r="AL5330" s="4">
        <v>42</v>
      </c>
      <c r="AM5330" s="4">
        <v>56</v>
      </c>
      <c r="AN5330" s="4">
        <v>0</v>
      </c>
      <c r="AO5330" s="4">
        <v>0</v>
      </c>
      <c r="AP5330" s="4">
        <v>15</v>
      </c>
      <c r="AQ5330" s="4">
        <v>48</v>
      </c>
      <c r="AR5330" s="3" t="s">
        <v>62</v>
      </c>
      <c r="AS5330" s="3" t="s">
        <v>62</v>
      </c>
      <c r="AT5330" s="3" t="s">
        <v>62</v>
      </c>
      <c r="AV5330" s="6" t="str">
        <f>HYPERLINK("http://mcgill.on.worldcat.org/oclc/18105817","Catalog Record")</f>
        <v>Catalog Record</v>
      </c>
      <c r="AW5330" s="6" t="str">
        <f>HYPERLINK("http://www.worldcat.org/oclc/18105817","WorldCat Record")</f>
        <v>WorldCat Record</v>
      </c>
      <c r="AX5330" s="3" t="s">
        <v>51066</v>
      </c>
      <c r="AY5330" s="3" t="s">
        <v>51067</v>
      </c>
      <c r="AZ5330" s="3" t="s">
        <v>51068</v>
      </c>
      <c r="BA5330" s="3" t="s">
        <v>51068</v>
      </c>
      <c r="BB5330" s="3" t="s">
        <v>51069</v>
      </c>
      <c r="BC5330" s="3" t="s">
        <v>102</v>
      </c>
      <c r="BD5330" s="3" t="s">
        <v>68</v>
      </c>
      <c r="BE5330" s="3" t="s">
        <v>51070</v>
      </c>
      <c r="BF5330" s="3" t="s">
        <v>51069</v>
      </c>
      <c r="BG5330" s="3" t="s">
        <v>51071</v>
      </c>
    </row>
    <row r="5331" spans="1:59" ht="58" x14ac:dyDescent="0.35">
      <c r="A5331" s="2" t="s">
        <v>59</v>
      </c>
      <c r="B5331" s="2" t="s">
        <v>60</v>
      </c>
      <c r="C5331" s="2" t="s">
        <v>51072</v>
      </c>
      <c r="D5331" s="2" t="s">
        <v>51073</v>
      </c>
      <c r="E5331" s="2" t="s">
        <v>51074</v>
      </c>
      <c r="G5331" s="3" t="s">
        <v>62</v>
      </c>
      <c r="I5331" s="3" t="s">
        <v>62</v>
      </c>
      <c r="J5331" s="3" t="s">
        <v>62</v>
      </c>
      <c r="K5331" s="3" t="s">
        <v>63</v>
      </c>
      <c r="M5331" s="2" t="s">
        <v>51075</v>
      </c>
      <c r="N5331" s="3" t="s">
        <v>2975</v>
      </c>
      <c r="P5331" s="3" t="s">
        <v>64</v>
      </c>
      <c r="R5331" s="3" t="s">
        <v>46535</v>
      </c>
      <c r="S5331" s="4">
        <v>4</v>
      </c>
      <c r="T5331" s="4">
        <v>4</v>
      </c>
      <c r="U5331" s="5" t="s">
        <v>6363</v>
      </c>
      <c r="V5331" s="5" t="s">
        <v>6363</v>
      </c>
      <c r="W5331" s="5" t="s">
        <v>67</v>
      </c>
      <c r="X5331" s="5" t="s">
        <v>67</v>
      </c>
      <c r="Y5331" s="4">
        <v>186</v>
      </c>
      <c r="Z5331" s="4">
        <v>10</v>
      </c>
      <c r="AA5331" s="4">
        <v>14</v>
      </c>
      <c r="AB5331" s="4">
        <v>1</v>
      </c>
      <c r="AC5331" s="4">
        <v>3</v>
      </c>
      <c r="AD5331" s="4">
        <v>70</v>
      </c>
      <c r="AE5331" s="4">
        <v>77</v>
      </c>
      <c r="AF5331" s="4">
        <v>0</v>
      </c>
      <c r="AG5331" s="4">
        <v>1</v>
      </c>
      <c r="AH5331" s="4">
        <v>63</v>
      </c>
      <c r="AI5331" s="4">
        <v>67</v>
      </c>
      <c r="AJ5331" s="4">
        <v>7</v>
      </c>
      <c r="AK5331" s="4">
        <v>8</v>
      </c>
      <c r="AL5331" s="4">
        <v>43</v>
      </c>
      <c r="AM5331" s="4">
        <v>46</v>
      </c>
      <c r="AN5331" s="4">
        <v>0</v>
      </c>
      <c r="AO5331" s="4">
        <v>0</v>
      </c>
      <c r="AP5331" s="4">
        <v>7</v>
      </c>
      <c r="AQ5331" s="4">
        <v>9</v>
      </c>
      <c r="AR5331" s="3" t="s">
        <v>62</v>
      </c>
      <c r="AS5331" s="3" t="s">
        <v>62</v>
      </c>
      <c r="AT5331" s="3" t="s">
        <v>62</v>
      </c>
      <c r="AV5331" s="6" t="str">
        <f>HYPERLINK("http://mcgill.on.worldcat.org/oclc/45556227","Catalog Record")</f>
        <v>Catalog Record</v>
      </c>
      <c r="AW5331" s="6" t="str">
        <f>HYPERLINK("http://www.worldcat.org/oclc/45556227","WorldCat Record")</f>
        <v>WorldCat Record</v>
      </c>
      <c r="AX5331" s="3" t="s">
        <v>51076</v>
      </c>
      <c r="AY5331" s="3" t="s">
        <v>51077</v>
      </c>
      <c r="AZ5331" s="3" t="s">
        <v>51078</v>
      </c>
      <c r="BA5331" s="3" t="s">
        <v>51078</v>
      </c>
      <c r="BB5331" s="3" t="s">
        <v>51079</v>
      </c>
      <c r="BC5331" s="3" t="s">
        <v>102</v>
      </c>
      <c r="BD5331" s="3" t="s">
        <v>68</v>
      </c>
      <c r="BE5331" s="3" t="s">
        <v>51080</v>
      </c>
      <c r="BF5331" s="3" t="s">
        <v>51079</v>
      </c>
      <c r="BG5331" s="3" t="s">
        <v>51081</v>
      </c>
    </row>
    <row r="5332" spans="1:59" ht="58" x14ac:dyDescent="0.35">
      <c r="A5332" s="2" t="s">
        <v>89</v>
      </c>
      <c r="B5332" s="2" t="s">
        <v>90</v>
      </c>
      <c r="C5332" s="2" t="s">
        <v>51082</v>
      </c>
      <c r="D5332" s="2" t="s">
        <v>51083</v>
      </c>
      <c r="E5332" s="2" t="s">
        <v>51084</v>
      </c>
      <c r="G5332" s="3" t="s">
        <v>62</v>
      </c>
      <c r="I5332" s="3" t="s">
        <v>62</v>
      </c>
      <c r="J5332" s="3" t="s">
        <v>62</v>
      </c>
      <c r="K5332" s="3" t="s">
        <v>63</v>
      </c>
      <c r="L5332" s="2" t="s">
        <v>28668</v>
      </c>
      <c r="M5332" s="2" t="s">
        <v>51085</v>
      </c>
      <c r="N5332" s="3" t="s">
        <v>1374</v>
      </c>
      <c r="O5332" s="2" t="s">
        <v>51086</v>
      </c>
      <c r="P5332" s="3" t="s">
        <v>1881</v>
      </c>
      <c r="R5332" s="3" t="s">
        <v>46535</v>
      </c>
      <c r="S5332" s="4">
        <v>9</v>
      </c>
      <c r="T5332" s="4">
        <v>9</v>
      </c>
      <c r="U5332" s="5" t="s">
        <v>14949</v>
      </c>
      <c r="V5332" s="5" t="s">
        <v>14949</v>
      </c>
      <c r="W5332" s="5" t="s">
        <v>67</v>
      </c>
      <c r="X5332" s="5" t="s">
        <v>67</v>
      </c>
      <c r="Y5332" s="4">
        <v>79</v>
      </c>
      <c r="Z5332" s="4">
        <v>2</v>
      </c>
      <c r="AA5332" s="4">
        <v>11</v>
      </c>
      <c r="AB5332" s="4">
        <v>1</v>
      </c>
      <c r="AC5332" s="4">
        <v>2</v>
      </c>
      <c r="AD5332" s="4">
        <v>19</v>
      </c>
      <c r="AE5332" s="4">
        <v>87</v>
      </c>
      <c r="AF5332" s="4">
        <v>0</v>
      </c>
      <c r="AG5332" s="4">
        <v>1</v>
      </c>
      <c r="AH5332" s="4">
        <v>16</v>
      </c>
      <c r="AI5332" s="4">
        <v>80</v>
      </c>
      <c r="AJ5332" s="4">
        <v>1</v>
      </c>
      <c r="AK5332" s="4">
        <v>8</v>
      </c>
      <c r="AL5332" s="4">
        <v>13</v>
      </c>
      <c r="AM5332" s="4">
        <v>48</v>
      </c>
      <c r="AN5332" s="4">
        <v>0</v>
      </c>
      <c r="AO5332" s="4">
        <v>5</v>
      </c>
      <c r="AP5332" s="4">
        <v>1</v>
      </c>
      <c r="AQ5332" s="4">
        <v>9</v>
      </c>
      <c r="AR5332" s="3" t="s">
        <v>62</v>
      </c>
      <c r="AS5332" s="3" t="s">
        <v>62</v>
      </c>
      <c r="AT5332" s="3" t="s">
        <v>62</v>
      </c>
      <c r="AU5332" s="6" t="str">
        <f>HYPERLINK("http://catalog.hathitrust.org/Record/002076964","HathiTrust Record")</f>
        <v>HathiTrust Record</v>
      </c>
      <c r="AV5332" s="6" t="str">
        <f>HYPERLINK("http://mcgill.on.worldcat.org/oclc/10703932","Catalog Record")</f>
        <v>Catalog Record</v>
      </c>
      <c r="AW5332" s="6" t="str">
        <f>HYPERLINK("http://www.worldcat.org/oclc/10703932","WorldCat Record")</f>
        <v>WorldCat Record</v>
      </c>
      <c r="AX5332" s="3" t="s">
        <v>51087</v>
      </c>
      <c r="AY5332" s="3" t="s">
        <v>51088</v>
      </c>
      <c r="AZ5332" s="3" t="s">
        <v>51089</v>
      </c>
      <c r="BA5332" s="3" t="s">
        <v>51089</v>
      </c>
      <c r="BB5332" s="3" t="s">
        <v>51090</v>
      </c>
      <c r="BC5332" s="3" t="s">
        <v>102</v>
      </c>
      <c r="BD5332" s="3" t="s">
        <v>68</v>
      </c>
      <c r="BF5332" s="3" t="s">
        <v>51090</v>
      </c>
      <c r="BG5332" s="3" t="s">
        <v>51091</v>
      </c>
    </row>
    <row r="5333" spans="1:59" ht="72.5" x14ac:dyDescent="0.35">
      <c r="A5333" s="2" t="s">
        <v>89</v>
      </c>
      <c r="B5333" s="2" t="s">
        <v>90</v>
      </c>
      <c r="C5333" s="2" t="s">
        <v>51092</v>
      </c>
      <c r="D5333" s="2" t="s">
        <v>51093</v>
      </c>
      <c r="E5333" s="2" t="s">
        <v>51094</v>
      </c>
      <c r="G5333" s="3" t="s">
        <v>62</v>
      </c>
      <c r="I5333" s="3" t="s">
        <v>61</v>
      </c>
      <c r="J5333" s="3" t="s">
        <v>61</v>
      </c>
      <c r="K5333" s="3" t="s">
        <v>916</v>
      </c>
      <c r="L5333" s="2" t="s">
        <v>28668</v>
      </c>
      <c r="M5333" s="2" t="s">
        <v>51095</v>
      </c>
      <c r="N5333" s="3" t="s">
        <v>24124</v>
      </c>
      <c r="P5333" s="3" t="s">
        <v>64</v>
      </c>
      <c r="R5333" s="3" t="s">
        <v>46535</v>
      </c>
      <c r="S5333" s="4">
        <v>20</v>
      </c>
      <c r="T5333" s="4">
        <v>20</v>
      </c>
      <c r="U5333" s="5" t="s">
        <v>17575</v>
      </c>
      <c r="V5333" s="5" t="s">
        <v>17575</v>
      </c>
      <c r="W5333" s="5" t="s">
        <v>67</v>
      </c>
      <c r="X5333" s="5" t="s">
        <v>67</v>
      </c>
      <c r="Y5333" s="4">
        <v>148</v>
      </c>
      <c r="Z5333" s="4">
        <v>9</v>
      </c>
      <c r="AA5333" s="4">
        <v>49</v>
      </c>
      <c r="AB5333" s="4">
        <v>1</v>
      </c>
      <c r="AC5333" s="4">
        <v>6</v>
      </c>
      <c r="AD5333" s="4">
        <v>52</v>
      </c>
      <c r="AE5333" s="4">
        <v>143</v>
      </c>
      <c r="AF5333" s="4">
        <v>0</v>
      </c>
      <c r="AG5333" s="4">
        <v>4</v>
      </c>
      <c r="AH5333" s="4">
        <v>50</v>
      </c>
      <c r="AI5333" s="4">
        <v>112</v>
      </c>
      <c r="AJ5333" s="4">
        <v>7</v>
      </c>
      <c r="AK5333" s="4">
        <v>25</v>
      </c>
      <c r="AL5333" s="4">
        <v>31</v>
      </c>
      <c r="AM5333" s="4">
        <v>62</v>
      </c>
      <c r="AN5333" s="4">
        <v>0</v>
      </c>
      <c r="AO5333" s="4">
        <v>4</v>
      </c>
      <c r="AP5333" s="4">
        <v>7</v>
      </c>
      <c r="AQ5333" s="4">
        <v>37</v>
      </c>
      <c r="AR5333" s="3" t="s">
        <v>62</v>
      </c>
      <c r="AS5333" s="3" t="s">
        <v>62</v>
      </c>
      <c r="AT5333" s="3" t="s">
        <v>62</v>
      </c>
      <c r="AU5333" s="6" t="str">
        <f>HYPERLINK("http://catalog.hathitrust.org/Record/008718080","HathiTrust Record")</f>
        <v>HathiTrust Record</v>
      </c>
      <c r="AV5333" s="6" t="str">
        <f>HYPERLINK("http://mcgill.on.worldcat.org/oclc/1096988","Catalog Record")</f>
        <v>Catalog Record</v>
      </c>
      <c r="AW5333" s="6" t="str">
        <f>HYPERLINK("http://www.worldcat.org/oclc/1096988","WorldCat Record")</f>
        <v>WorldCat Record</v>
      </c>
      <c r="AX5333" s="3" t="s">
        <v>51096</v>
      </c>
      <c r="AY5333" s="3" t="s">
        <v>51097</v>
      </c>
      <c r="AZ5333" s="3" t="s">
        <v>51098</v>
      </c>
      <c r="BA5333" s="3" t="s">
        <v>51098</v>
      </c>
      <c r="BB5333" s="3" t="s">
        <v>51099</v>
      </c>
      <c r="BC5333" s="3" t="s">
        <v>102</v>
      </c>
      <c r="BD5333" s="3" t="s">
        <v>68</v>
      </c>
      <c r="BF5333" s="3" t="s">
        <v>51099</v>
      </c>
      <c r="BG5333" s="3" t="s">
        <v>51100</v>
      </c>
    </row>
    <row r="5334" spans="1:59" ht="58" x14ac:dyDescent="0.35">
      <c r="A5334" s="2" t="s">
        <v>89</v>
      </c>
      <c r="B5334" s="2" t="s">
        <v>90</v>
      </c>
      <c r="C5334" s="2" t="s">
        <v>51101</v>
      </c>
      <c r="D5334" s="2" t="s">
        <v>51102</v>
      </c>
      <c r="E5334" s="2" t="s">
        <v>51103</v>
      </c>
      <c r="G5334" s="3" t="s">
        <v>62</v>
      </c>
      <c r="I5334" s="3" t="s">
        <v>62</v>
      </c>
      <c r="J5334" s="3" t="s">
        <v>61</v>
      </c>
      <c r="K5334" s="3" t="s">
        <v>916</v>
      </c>
      <c r="L5334" s="2" t="s">
        <v>28668</v>
      </c>
      <c r="M5334" s="2" t="s">
        <v>51104</v>
      </c>
      <c r="N5334" s="3" t="s">
        <v>33310</v>
      </c>
      <c r="P5334" s="3" t="s">
        <v>64</v>
      </c>
      <c r="R5334" s="3" t="s">
        <v>46535</v>
      </c>
      <c r="S5334" s="4">
        <v>10</v>
      </c>
      <c r="T5334" s="4">
        <v>10</v>
      </c>
      <c r="U5334" s="5" t="s">
        <v>51105</v>
      </c>
      <c r="V5334" s="5" t="s">
        <v>51105</v>
      </c>
      <c r="W5334" s="5" t="s">
        <v>67</v>
      </c>
      <c r="X5334" s="5" t="s">
        <v>67</v>
      </c>
      <c r="Y5334" s="4">
        <v>151</v>
      </c>
      <c r="Z5334" s="4">
        <v>7</v>
      </c>
      <c r="AA5334" s="4">
        <v>49</v>
      </c>
      <c r="AB5334" s="4">
        <v>1</v>
      </c>
      <c r="AC5334" s="4">
        <v>6</v>
      </c>
      <c r="AD5334" s="4">
        <v>54</v>
      </c>
      <c r="AE5334" s="4">
        <v>143</v>
      </c>
      <c r="AF5334" s="4">
        <v>0</v>
      </c>
      <c r="AG5334" s="4">
        <v>4</v>
      </c>
      <c r="AH5334" s="4">
        <v>48</v>
      </c>
      <c r="AI5334" s="4">
        <v>112</v>
      </c>
      <c r="AJ5334" s="4">
        <v>4</v>
      </c>
      <c r="AK5334" s="4">
        <v>25</v>
      </c>
      <c r="AL5334" s="4">
        <v>30</v>
      </c>
      <c r="AM5334" s="4">
        <v>62</v>
      </c>
      <c r="AN5334" s="4">
        <v>0</v>
      </c>
      <c r="AO5334" s="4">
        <v>4</v>
      </c>
      <c r="AP5334" s="4">
        <v>6</v>
      </c>
      <c r="AQ5334" s="4">
        <v>37</v>
      </c>
      <c r="AR5334" s="3" t="s">
        <v>62</v>
      </c>
      <c r="AS5334" s="3" t="s">
        <v>61</v>
      </c>
      <c r="AT5334" s="3" t="s">
        <v>62</v>
      </c>
      <c r="AU5334" s="6" t="str">
        <f>HYPERLINK("http://catalog.hathitrust.org/Record/000355279","HathiTrust Record")</f>
        <v>HathiTrust Record</v>
      </c>
      <c r="AV5334" s="6" t="str">
        <f>HYPERLINK("http://mcgill.on.worldcat.org/oclc/877264","Catalog Record")</f>
        <v>Catalog Record</v>
      </c>
      <c r="AW5334" s="6" t="str">
        <f>HYPERLINK("http://www.worldcat.org/oclc/877264","WorldCat Record")</f>
        <v>WorldCat Record</v>
      </c>
      <c r="AX5334" s="3" t="s">
        <v>51096</v>
      </c>
      <c r="AY5334" s="3" t="s">
        <v>51106</v>
      </c>
      <c r="AZ5334" s="3" t="s">
        <v>51107</v>
      </c>
      <c r="BA5334" s="3" t="s">
        <v>51107</v>
      </c>
      <c r="BB5334" s="3" t="s">
        <v>51108</v>
      </c>
      <c r="BC5334" s="3" t="s">
        <v>102</v>
      </c>
      <c r="BD5334" s="3" t="s">
        <v>68</v>
      </c>
      <c r="BE5334" s="3" t="s">
        <v>51109</v>
      </c>
      <c r="BF5334" s="3" t="s">
        <v>51108</v>
      </c>
      <c r="BG5334" s="3" t="s">
        <v>51110</v>
      </c>
    </row>
    <row r="5335" spans="1:59" ht="58" x14ac:dyDescent="0.35">
      <c r="A5335" s="2" t="s">
        <v>89</v>
      </c>
      <c r="B5335" s="2" t="s">
        <v>90</v>
      </c>
      <c r="C5335" s="2" t="s">
        <v>51111</v>
      </c>
      <c r="D5335" s="2" t="s">
        <v>51112</v>
      </c>
      <c r="E5335" s="2" t="s">
        <v>51113</v>
      </c>
      <c r="G5335" s="3" t="s">
        <v>62</v>
      </c>
      <c r="I5335" s="3" t="s">
        <v>62</v>
      </c>
      <c r="J5335" s="3" t="s">
        <v>62</v>
      </c>
      <c r="K5335" s="3" t="s">
        <v>63</v>
      </c>
      <c r="M5335" s="2" t="s">
        <v>9390</v>
      </c>
      <c r="N5335" s="3" t="s">
        <v>2000</v>
      </c>
      <c r="P5335" s="3" t="s">
        <v>64</v>
      </c>
      <c r="R5335" s="3" t="s">
        <v>46535</v>
      </c>
      <c r="S5335" s="4">
        <v>16</v>
      </c>
      <c r="T5335" s="4">
        <v>16</v>
      </c>
      <c r="U5335" s="5" t="s">
        <v>26172</v>
      </c>
      <c r="V5335" s="5" t="s">
        <v>26172</v>
      </c>
      <c r="W5335" s="5" t="s">
        <v>67</v>
      </c>
      <c r="X5335" s="5" t="s">
        <v>67</v>
      </c>
      <c r="Y5335" s="4">
        <v>309</v>
      </c>
      <c r="Z5335" s="4">
        <v>19</v>
      </c>
      <c r="AA5335" s="4">
        <v>90</v>
      </c>
      <c r="AB5335" s="4">
        <v>2</v>
      </c>
      <c r="AC5335" s="4">
        <v>17</v>
      </c>
      <c r="AD5335" s="4">
        <v>100</v>
      </c>
      <c r="AE5335" s="4">
        <v>138</v>
      </c>
      <c r="AF5335" s="4">
        <v>1</v>
      </c>
      <c r="AG5335" s="4">
        <v>8</v>
      </c>
      <c r="AH5335" s="4">
        <v>89</v>
      </c>
      <c r="AI5335" s="4">
        <v>99</v>
      </c>
      <c r="AJ5335" s="4">
        <v>13</v>
      </c>
      <c r="AK5335" s="4">
        <v>22</v>
      </c>
      <c r="AL5335" s="4">
        <v>49</v>
      </c>
      <c r="AM5335" s="4">
        <v>54</v>
      </c>
      <c r="AN5335" s="4">
        <v>0</v>
      </c>
      <c r="AO5335" s="4">
        <v>0</v>
      </c>
      <c r="AP5335" s="4">
        <v>15</v>
      </c>
      <c r="AQ5335" s="4">
        <v>44</v>
      </c>
      <c r="AR5335" s="3" t="s">
        <v>62</v>
      </c>
      <c r="AS5335" s="3" t="s">
        <v>62</v>
      </c>
      <c r="AT5335" s="3" t="s">
        <v>62</v>
      </c>
      <c r="AV5335" s="6" t="str">
        <f>HYPERLINK("http://mcgill.on.worldcat.org/oclc/33403278","Catalog Record")</f>
        <v>Catalog Record</v>
      </c>
      <c r="AW5335" s="6" t="str">
        <f>HYPERLINK("http://www.worldcat.org/oclc/33403278","WorldCat Record")</f>
        <v>WorldCat Record</v>
      </c>
      <c r="AX5335" s="3" t="s">
        <v>51114</v>
      </c>
      <c r="AY5335" s="3" t="s">
        <v>51115</v>
      </c>
      <c r="AZ5335" s="3" t="s">
        <v>51116</v>
      </c>
      <c r="BA5335" s="3" t="s">
        <v>51116</v>
      </c>
      <c r="BB5335" s="3" t="s">
        <v>51117</v>
      </c>
      <c r="BC5335" s="3" t="s">
        <v>102</v>
      </c>
      <c r="BD5335" s="3" t="s">
        <v>68</v>
      </c>
      <c r="BE5335" s="3" t="s">
        <v>51118</v>
      </c>
      <c r="BF5335" s="3" t="s">
        <v>51117</v>
      </c>
      <c r="BG5335" s="3" t="s">
        <v>51119</v>
      </c>
    </row>
    <row r="5336" spans="1:59" ht="58" x14ac:dyDescent="0.35">
      <c r="A5336" s="2" t="s">
        <v>89</v>
      </c>
      <c r="B5336" s="2" t="s">
        <v>90</v>
      </c>
      <c r="C5336" s="2" t="s">
        <v>51120</v>
      </c>
      <c r="D5336" s="2" t="s">
        <v>51121</v>
      </c>
      <c r="E5336" s="2" t="s">
        <v>51122</v>
      </c>
      <c r="G5336" s="3" t="s">
        <v>62</v>
      </c>
      <c r="I5336" s="3" t="s">
        <v>61</v>
      </c>
      <c r="J5336" s="3" t="s">
        <v>62</v>
      </c>
      <c r="K5336" s="3" t="s">
        <v>63</v>
      </c>
      <c r="L5336" s="2" t="s">
        <v>51123</v>
      </c>
      <c r="M5336" s="2" t="s">
        <v>51124</v>
      </c>
      <c r="N5336" s="3" t="s">
        <v>2566</v>
      </c>
      <c r="P5336" s="3" t="s">
        <v>64</v>
      </c>
      <c r="R5336" s="3" t="s">
        <v>46535</v>
      </c>
      <c r="S5336" s="4">
        <v>9</v>
      </c>
      <c r="T5336" s="4">
        <v>9</v>
      </c>
      <c r="U5336" s="5" t="s">
        <v>50965</v>
      </c>
      <c r="V5336" s="5" t="s">
        <v>50965</v>
      </c>
      <c r="W5336" s="5" t="s">
        <v>67</v>
      </c>
      <c r="X5336" s="5" t="s">
        <v>67</v>
      </c>
      <c r="Y5336" s="4">
        <v>509</v>
      </c>
      <c r="Z5336" s="4">
        <v>38</v>
      </c>
      <c r="AA5336" s="4">
        <v>41</v>
      </c>
      <c r="AB5336" s="4">
        <v>4</v>
      </c>
      <c r="AC5336" s="4">
        <v>7</v>
      </c>
      <c r="AD5336" s="4">
        <v>107</v>
      </c>
      <c r="AE5336" s="4">
        <v>110</v>
      </c>
      <c r="AF5336" s="4">
        <v>1</v>
      </c>
      <c r="AG5336" s="4">
        <v>4</v>
      </c>
      <c r="AH5336" s="4">
        <v>88</v>
      </c>
      <c r="AI5336" s="4">
        <v>89</v>
      </c>
      <c r="AJ5336" s="4">
        <v>18</v>
      </c>
      <c r="AK5336" s="4">
        <v>21</v>
      </c>
      <c r="AL5336" s="4">
        <v>44</v>
      </c>
      <c r="AM5336" s="4">
        <v>44</v>
      </c>
      <c r="AN5336" s="4">
        <v>0</v>
      </c>
      <c r="AO5336" s="4">
        <v>0</v>
      </c>
      <c r="AP5336" s="4">
        <v>27</v>
      </c>
      <c r="AQ5336" s="4">
        <v>29</v>
      </c>
      <c r="AR5336" s="3" t="s">
        <v>62</v>
      </c>
      <c r="AS5336" s="3" t="s">
        <v>62</v>
      </c>
      <c r="AT5336" s="3" t="s">
        <v>61</v>
      </c>
      <c r="AU5336" s="6" t="str">
        <f>HYPERLINK("http://catalog.hathitrust.org/Record/001554996","HathiTrust Record")</f>
        <v>HathiTrust Record</v>
      </c>
      <c r="AV5336" s="6" t="str">
        <f>HYPERLINK("http://mcgill.on.worldcat.org/oclc/417854","Catalog Record")</f>
        <v>Catalog Record</v>
      </c>
      <c r="AW5336" s="6" t="str">
        <f>HYPERLINK("http://www.worldcat.org/oclc/417854","WorldCat Record")</f>
        <v>WorldCat Record</v>
      </c>
      <c r="AX5336" s="3" t="s">
        <v>51125</v>
      </c>
      <c r="AY5336" s="3" t="s">
        <v>51126</v>
      </c>
      <c r="AZ5336" s="3" t="s">
        <v>51127</v>
      </c>
      <c r="BA5336" s="3" t="s">
        <v>51127</v>
      </c>
      <c r="BB5336" s="3" t="s">
        <v>51128</v>
      </c>
      <c r="BC5336" s="3" t="s">
        <v>102</v>
      </c>
      <c r="BD5336" s="3" t="s">
        <v>68</v>
      </c>
      <c r="BE5336" s="3" t="s">
        <v>51129</v>
      </c>
      <c r="BF5336" s="3" t="s">
        <v>51128</v>
      </c>
      <c r="BG5336" s="3" t="s">
        <v>51130</v>
      </c>
    </row>
    <row r="5337" spans="1:59" ht="72.5" x14ac:dyDescent="0.35">
      <c r="A5337" s="2" t="s">
        <v>89</v>
      </c>
      <c r="B5337" s="2" t="s">
        <v>1231</v>
      </c>
      <c r="C5337" s="2" t="s">
        <v>51131</v>
      </c>
      <c r="D5337" s="2" t="s">
        <v>51132</v>
      </c>
      <c r="E5337" s="2" t="s">
        <v>51133</v>
      </c>
      <c r="G5337" s="3" t="s">
        <v>62</v>
      </c>
      <c r="I5337" s="3" t="s">
        <v>62</v>
      </c>
      <c r="J5337" s="3" t="s">
        <v>62</v>
      </c>
      <c r="K5337" s="3" t="s">
        <v>63</v>
      </c>
      <c r="L5337" s="2" t="s">
        <v>51134</v>
      </c>
      <c r="M5337" s="2" t="s">
        <v>31616</v>
      </c>
      <c r="N5337" s="3" t="s">
        <v>655</v>
      </c>
      <c r="P5337" s="3" t="s">
        <v>64</v>
      </c>
      <c r="R5337" s="3" t="s">
        <v>46535</v>
      </c>
      <c r="S5337" s="4">
        <v>40</v>
      </c>
      <c r="T5337" s="4">
        <v>40</v>
      </c>
      <c r="U5337" s="5" t="s">
        <v>1676</v>
      </c>
      <c r="V5337" s="5" t="s">
        <v>1676</v>
      </c>
      <c r="W5337" s="5" t="s">
        <v>67</v>
      </c>
      <c r="X5337" s="5" t="s">
        <v>67</v>
      </c>
      <c r="Y5337" s="4">
        <v>632</v>
      </c>
      <c r="Z5337" s="4">
        <v>38</v>
      </c>
      <c r="AA5337" s="4">
        <v>113</v>
      </c>
      <c r="AB5337" s="4">
        <v>3</v>
      </c>
      <c r="AC5337" s="4">
        <v>19</v>
      </c>
      <c r="AD5337" s="4">
        <v>117</v>
      </c>
      <c r="AE5337" s="4">
        <v>152</v>
      </c>
      <c r="AF5337" s="4">
        <v>0</v>
      </c>
      <c r="AG5337" s="4">
        <v>8</v>
      </c>
      <c r="AH5337" s="4">
        <v>101</v>
      </c>
      <c r="AI5337" s="4">
        <v>109</v>
      </c>
      <c r="AJ5337" s="4">
        <v>17</v>
      </c>
      <c r="AK5337" s="4">
        <v>26</v>
      </c>
      <c r="AL5337" s="4">
        <v>52</v>
      </c>
      <c r="AM5337" s="4">
        <v>56</v>
      </c>
      <c r="AN5337" s="4">
        <v>0</v>
      </c>
      <c r="AO5337" s="4">
        <v>0</v>
      </c>
      <c r="AP5337" s="4">
        <v>25</v>
      </c>
      <c r="AQ5337" s="4">
        <v>52</v>
      </c>
      <c r="AR5337" s="3" t="s">
        <v>62</v>
      </c>
      <c r="AS5337" s="3" t="s">
        <v>62</v>
      </c>
      <c r="AT5337" s="3" t="s">
        <v>62</v>
      </c>
      <c r="AV5337" s="6" t="str">
        <f>HYPERLINK("http://mcgill.on.worldcat.org/oclc/67392973","Catalog Record")</f>
        <v>Catalog Record</v>
      </c>
      <c r="AW5337" s="6" t="str">
        <f>HYPERLINK("http://www.worldcat.org/oclc/67392973","WorldCat Record")</f>
        <v>WorldCat Record</v>
      </c>
      <c r="AX5337" s="3" t="s">
        <v>51135</v>
      </c>
      <c r="AY5337" s="3" t="s">
        <v>51136</v>
      </c>
      <c r="AZ5337" s="3" t="s">
        <v>51137</v>
      </c>
      <c r="BA5337" s="3" t="s">
        <v>51137</v>
      </c>
      <c r="BB5337" s="3" t="s">
        <v>51138</v>
      </c>
      <c r="BC5337" s="3" t="s">
        <v>102</v>
      </c>
      <c r="BD5337" s="3" t="s">
        <v>68</v>
      </c>
      <c r="BE5337" s="3" t="s">
        <v>51139</v>
      </c>
      <c r="BF5337" s="3" t="s">
        <v>51138</v>
      </c>
      <c r="BG5337" s="3" t="s">
        <v>51140</v>
      </c>
    </row>
    <row r="5338" spans="1:59" ht="58" x14ac:dyDescent="0.35">
      <c r="A5338" s="2" t="s">
        <v>89</v>
      </c>
      <c r="B5338" s="2" t="s">
        <v>90</v>
      </c>
      <c r="C5338" s="2" t="s">
        <v>51141</v>
      </c>
      <c r="D5338" s="2" t="s">
        <v>51142</v>
      </c>
      <c r="E5338" s="2" t="s">
        <v>51143</v>
      </c>
      <c r="G5338" s="3" t="s">
        <v>62</v>
      </c>
      <c r="I5338" s="3" t="s">
        <v>62</v>
      </c>
      <c r="J5338" s="3" t="s">
        <v>62</v>
      </c>
      <c r="K5338" s="3" t="s">
        <v>63</v>
      </c>
      <c r="M5338" s="2" t="s">
        <v>51144</v>
      </c>
      <c r="N5338" s="3" t="s">
        <v>524</v>
      </c>
      <c r="P5338" s="3" t="s">
        <v>64</v>
      </c>
      <c r="Q5338" s="2" t="s">
        <v>51145</v>
      </c>
      <c r="R5338" s="3" t="s">
        <v>46535</v>
      </c>
      <c r="S5338" s="4">
        <v>9</v>
      </c>
      <c r="T5338" s="4">
        <v>9</v>
      </c>
      <c r="U5338" s="5" t="s">
        <v>3134</v>
      </c>
      <c r="V5338" s="5" t="s">
        <v>3134</v>
      </c>
      <c r="W5338" s="5" t="s">
        <v>67</v>
      </c>
      <c r="X5338" s="5" t="s">
        <v>67</v>
      </c>
      <c r="Y5338" s="4">
        <v>138</v>
      </c>
      <c r="Z5338" s="4">
        <v>12</v>
      </c>
      <c r="AA5338" s="4">
        <v>21</v>
      </c>
      <c r="AB5338" s="4">
        <v>2</v>
      </c>
      <c r="AC5338" s="4">
        <v>6</v>
      </c>
      <c r="AD5338" s="4">
        <v>64</v>
      </c>
      <c r="AE5338" s="4">
        <v>73</v>
      </c>
      <c r="AF5338" s="4">
        <v>1</v>
      </c>
      <c r="AG5338" s="4">
        <v>2</v>
      </c>
      <c r="AH5338" s="4">
        <v>61</v>
      </c>
      <c r="AI5338" s="4">
        <v>68</v>
      </c>
      <c r="AJ5338" s="4">
        <v>9</v>
      </c>
      <c r="AK5338" s="4">
        <v>11</v>
      </c>
      <c r="AL5338" s="4">
        <v>35</v>
      </c>
      <c r="AM5338" s="4">
        <v>40</v>
      </c>
      <c r="AN5338" s="4">
        <v>0</v>
      </c>
      <c r="AO5338" s="4">
        <v>0</v>
      </c>
      <c r="AP5338" s="4">
        <v>10</v>
      </c>
      <c r="AQ5338" s="4">
        <v>13</v>
      </c>
      <c r="AR5338" s="3" t="s">
        <v>62</v>
      </c>
      <c r="AS5338" s="3" t="s">
        <v>62</v>
      </c>
      <c r="AT5338" s="3" t="s">
        <v>62</v>
      </c>
      <c r="AV5338" s="6" t="str">
        <f>HYPERLINK("http://mcgill.on.worldcat.org/oclc/33206798","Catalog Record")</f>
        <v>Catalog Record</v>
      </c>
      <c r="AW5338" s="6" t="str">
        <f>HYPERLINK("http://www.worldcat.org/oclc/33206798","WorldCat Record")</f>
        <v>WorldCat Record</v>
      </c>
      <c r="AX5338" s="3" t="s">
        <v>51146</v>
      </c>
      <c r="AY5338" s="3" t="s">
        <v>51147</v>
      </c>
      <c r="AZ5338" s="3" t="s">
        <v>51148</v>
      </c>
      <c r="BA5338" s="3" t="s">
        <v>51148</v>
      </c>
      <c r="BB5338" s="3" t="s">
        <v>51149</v>
      </c>
      <c r="BC5338" s="3" t="s">
        <v>102</v>
      </c>
      <c r="BD5338" s="3" t="s">
        <v>68</v>
      </c>
      <c r="BE5338" s="3" t="s">
        <v>51150</v>
      </c>
      <c r="BF5338" s="3" t="s">
        <v>51149</v>
      </c>
      <c r="BG5338" s="3" t="s">
        <v>51151</v>
      </c>
    </row>
    <row r="5339" spans="1:59" ht="72.5" x14ac:dyDescent="0.35">
      <c r="A5339" s="2" t="s">
        <v>59</v>
      </c>
      <c r="B5339" s="2" t="s">
        <v>60</v>
      </c>
      <c r="C5339" s="2" t="s">
        <v>51152</v>
      </c>
      <c r="D5339" s="2" t="s">
        <v>51153</v>
      </c>
      <c r="E5339" s="2" t="s">
        <v>51154</v>
      </c>
      <c r="F5339" s="3" t="s">
        <v>6984</v>
      </c>
      <c r="G5339" s="3" t="s">
        <v>62</v>
      </c>
      <c r="I5339" s="3" t="s">
        <v>62</v>
      </c>
      <c r="J5339" s="3" t="s">
        <v>62</v>
      </c>
      <c r="K5339" s="3" t="s">
        <v>63</v>
      </c>
      <c r="M5339" s="2" t="s">
        <v>51155</v>
      </c>
      <c r="N5339" s="3" t="s">
        <v>1639</v>
      </c>
      <c r="P5339" s="3" t="s">
        <v>64</v>
      </c>
      <c r="Q5339" s="2" t="s">
        <v>51156</v>
      </c>
      <c r="R5339" s="3" t="s">
        <v>46535</v>
      </c>
      <c r="S5339" s="4">
        <v>5</v>
      </c>
      <c r="T5339" s="4">
        <v>5</v>
      </c>
      <c r="U5339" s="5" t="s">
        <v>42162</v>
      </c>
      <c r="V5339" s="5" t="s">
        <v>42162</v>
      </c>
      <c r="W5339" s="5" t="s">
        <v>67</v>
      </c>
      <c r="X5339" s="5" t="s">
        <v>67</v>
      </c>
      <c r="Y5339" s="4">
        <v>339</v>
      </c>
      <c r="Z5339" s="4">
        <v>21</v>
      </c>
      <c r="AA5339" s="4">
        <v>23</v>
      </c>
      <c r="AB5339" s="4">
        <v>3</v>
      </c>
      <c r="AC5339" s="4">
        <v>5</v>
      </c>
      <c r="AD5339" s="4">
        <v>83</v>
      </c>
      <c r="AE5339" s="4">
        <v>84</v>
      </c>
      <c r="AF5339" s="4">
        <v>1</v>
      </c>
      <c r="AG5339" s="4">
        <v>2</v>
      </c>
      <c r="AH5339" s="4">
        <v>68</v>
      </c>
      <c r="AI5339" s="4">
        <v>68</v>
      </c>
      <c r="AJ5339" s="4">
        <v>15</v>
      </c>
      <c r="AK5339" s="4">
        <v>16</v>
      </c>
      <c r="AL5339" s="4">
        <v>39</v>
      </c>
      <c r="AM5339" s="4">
        <v>39</v>
      </c>
      <c r="AN5339" s="4">
        <v>0</v>
      </c>
      <c r="AO5339" s="4">
        <v>0</v>
      </c>
      <c r="AP5339" s="4">
        <v>17</v>
      </c>
      <c r="AQ5339" s="4">
        <v>18</v>
      </c>
      <c r="AR5339" s="3" t="s">
        <v>62</v>
      </c>
      <c r="AS5339" s="3" t="s">
        <v>62</v>
      </c>
      <c r="AT5339" s="3" t="s">
        <v>61</v>
      </c>
      <c r="AU5339" s="6" t="str">
        <f>HYPERLINK("http://catalog.hathitrust.org/Record/001628962","HathiTrust Record")</f>
        <v>HathiTrust Record</v>
      </c>
      <c r="AV5339" s="6" t="str">
        <f>HYPERLINK("http://mcgill.on.worldcat.org/oclc/124767","Catalog Record")</f>
        <v>Catalog Record</v>
      </c>
      <c r="AW5339" s="6" t="str">
        <f>HYPERLINK("http://www.worldcat.org/oclc/124767","WorldCat Record")</f>
        <v>WorldCat Record</v>
      </c>
      <c r="AX5339" s="3" t="s">
        <v>51157</v>
      </c>
      <c r="AY5339" s="3" t="s">
        <v>51158</v>
      </c>
      <c r="AZ5339" s="3" t="s">
        <v>51159</v>
      </c>
      <c r="BA5339" s="3" t="s">
        <v>51159</v>
      </c>
      <c r="BB5339" s="3" t="s">
        <v>51160</v>
      </c>
      <c r="BC5339" s="3" t="s">
        <v>102</v>
      </c>
      <c r="BD5339" s="3" t="s">
        <v>68</v>
      </c>
      <c r="BE5339" s="3" t="s">
        <v>51161</v>
      </c>
      <c r="BF5339" s="3" t="s">
        <v>51160</v>
      </c>
      <c r="BG5339" s="3" t="s">
        <v>51162</v>
      </c>
    </row>
    <row r="5340" spans="1:59" ht="58" x14ac:dyDescent="0.35">
      <c r="A5340" s="2" t="s">
        <v>89</v>
      </c>
      <c r="B5340" s="2" t="s">
        <v>90</v>
      </c>
      <c r="C5340" s="2" t="s">
        <v>51163</v>
      </c>
      <c r="D5340" s="2" t="s">
        <v>51164</v>
      </c>
      <c r="E5340" s="2" t="s">
        <v>51165</v>
      </c>
      <c r="G5340" s="3" t="s">
        <v>62</v>
      </c>
      <c r="I5340" s="3" t="s">
        <v>61</v>
      </c>
      <c r="J5340" s="3" t="s">
        <v>62</v>
      </c>
      <c r="K5340" s="3" t="s">
        <v>63</v>
      </c>
      <c r="L5340" s="2" t="s">
        <v>51166</v>
      </c>
      <c r="M5340" s="2" t="s">
        <v>51167</v>
      </c>
      <c r="N5340" s="3" t="s">
        <v>466</v>
      </c>
      <c r="O5340" s="2" t="s">
        <v>986</v>
      </c>
      <c r="P5340" s="3" t="s">
        <v>64</v>
      </c>
      <c r="R5340" s="3" t="s">
        <v>46535</v>
      </c>
      <c r="S5340" s="4">
        <v>19</v>
      </c>
      <c r="T5340" s="4">
        <v>27</v>
      </c>
      <c r="U5340" s="5" t="s">
        <v>51168</v>
      </c>
      <c r="V5340" s="5" t="s">
        <v>657</v>
      </c>
      <c r="W5340" s="5" t="s">
        <v>67</v>
      </c>
      <c r="X5340" s="5" t="s">
        <v>67</v>
      </c>
      <c r="Y5340" s="4">
        <v>484</v>
      </c>
      <c r="Z5340" s="4">
        <v>16</v>
      </c>
      <c r="AA5340" s="4">
        <v>26</v>
      </c>
      <c r="AB5340" s="4">
        <v>2</v>
      </c>
      <c r="AC5340" s="4">
        <v>3</v>
      </c>
      <c r="AD5340" s="4">
        <v>71</v>
      </c>
      <c r="AE5340" s="4">
        <v>93</v>
      </c>
      <c r="AF5340" s="4">
        <v>1</v>
      </c>
      <c r="AG5340" s="4">
        <v>2</v>
      </c>
      <c r="AH5340" s="4">
        <v>64</v>
      </c>
      <c r="AI5340" s="4">
        <v>82</v>
      </c>
      <c r="AJ5340" s="4">
        <v>5</v>
      </c>
      <c r="AK5340" s="4">
        <v>12</v>
      </c>
      <c r="AL5340" s="4">
        <v>38</v>
      </c>
      <c r="AM5340" s="4">
        <v>47</v>
      </c>
      <c r="AN5340" s="4">
        <v>0</v>
      </c>
      <c r="AO5340" s="4">
        <v>0</v>
      </c>
      <c r="AP5340" s="4">
        <v>7</v>
      </c>
      <c r="AQ5340" s="4">
        <v>14</v>
      </c>
      <c r="AR5340" s="3" t="s">
        <v>62</v>
      </c>
      <c r="AS5340" s="3" t="s">
        <v>62</v>
      </c>
      <c r="AT5340" s="3" t="s">
        <v>62</v>
      </c>
      <c r="AV5340" s="6" t="str">
        <f>HYPERLINK("http://mcgill.on.worldcat.org/oclc/25634430","Catalog Record")</f>
        <v>Catalog Record</v>
      </c>
      <c r="AW5340" s="6" t="str">
        <f>HYPERLINK("http://www.worldcat.org/oclc/25634430","WorldCat Record")</f>
        <v>WorldCat Record</v>
      </c>
      <c r="AX5340" s="3" t="s">
        <v>51169</v>
      </c>
      <c r="AY5340" s="3" t="s">
        <v>51170</v>
      </c>
      <c r="AZ5340" s="3" t="s">
        <v>51171</v>
      </c>
      <c r="BA5340" s="3" t="s">
        <v>51171</v>
      </c>
      <c r="BB5340" s="3" t="s">
        <v>51172</v>
      </c>
      <c r="BC5340" s="3" t="s">
        <v>102</v>
      </c>
      <c r="BD5340" s="3" t="s">
        <v>68</v>
      </c>
      <c r="BE5340" s="3" t="s">
        <v>51173</v>
      </c>
      <c r="BF5340" s="3" t="s">
        <v>51172</v>
      </c>
      <c r="BG5340" s="3" t="s">
        <v>51174</v>
      </c>
    </row>
    <row r="5341" spans="1:59" ht="58" x14ac:dyDescent="0.35">
      <c r="A5341" s="2" t="s">
        <v>89</v>
      </c>
      <c r="B5341" s="2" t="s">
        <v>90</v>
      </c>
      <c r="C5341" s="2" t="s">
        <v>51175</v>
      </c>
      <c r="D5341" s="2" t="s">
        <v>51176</v>
      </c>
      <c r="E5341" s="2" t="s">
        <v>51177</v>
      </c>
      <c r="G5341" s="3" t="s">
        <v>62</v>
      </c>
      <c r="I5341" s="3" t="s">
        <v>62</v>
      </c>
      <c r="J5341" s="3" t="s">
        <v>62</v>
      </c>
      <c r="K5341" s="3" t="s">
        <v>63</v>
      </c>
      <c r="L5341" s="2" t="s">
        <v>51178</v>
      </c>
      <c r="M5341" s="2" t="s">
        <v>51179</v>
      </c>
      <c r="N5341" s="3" t="s">
        <v>726</v>
      </c>
      <c r="P5341" s="3" t="s">
        <v>85</v>
      </c>
      <c r="Q5341" s="2" t="s">
        <v>51180</v>
      </c>
      <c r="R5341" s="3" t="s">
        <v>46535</v>
      </c>
      <c r="S5341" s="4">
        <v>1</v>
      </c>
      <c r="T5341" s="4">
        <v>1</v>
      </c>
      <c r="U5341" s="5" t="s">
        <v>383</v>
      </c>
      <c r="V5341" s="5" t="s">
        <v>383</v>
      </c>
      <c r="W5341" s="5" t="s">
        <v>67</v>
      </c>
      <c r="X5341" s="5" t="s">
        <v>67</v>
      </c>
      <c r="Y5341" s="4">
        <v>25</v>
      </c>
      <c r="Z5341" s="4">
        <v>2</v>
      </c>
      <c r="AA5341" s="4">
        <v>8</v>
      </c>
      <c r="AB5341" s="4">
        <v>1</v>
      </c>
      <c r="AC5341" s="4">
        <v>5</v>
      </c>
      <c r="AD5341" s="4">
        <v>14</v>
      </c>
      <c r="AE5341" s="4">
        <v>18</v>
      </c>
      <c r="AF5341" s="4">
        <v>0</v>
      </c>
      <c r="AG5341" s="4">
        <v>3</v>
      </c>
      <c r="AH5341" s="4">
        <v>13</v>
      </c>
      <c r="AI5341" s="4">
        <v>15</v>
      </c>
      <c r="AJ5341" s="4">
        <v>1</v>
      </c>
      <c r="AK5341" s="4">
        <v>5</v>
      </c>
      <c r="AL5341" s="4">
        <v>11</v>
      </c>
      <c r="AM5341" s="4">
        <v>11</v>
      </c>
      <c r="AN5341" s="4">
        <v>0</v>
      </c>
      <c r="AO5341" s="4">
        <v>0</v>
      </c>
      <c r="AP5341" s="4">
        <v>1</v>
      </c>
      <c r="AQ5341" s="4">
        <v>4</v>
      </c>
      <c r="AR5341" s="3" t="s">
        <v>62</v>
      </c>
      <c r="AS5341" s="3" t="s">
        <v>62</v>
      </c>
      <c r="AT5341" s="3" t="s">
        <v>62</v>
      </c>
      <c r="AV5341" s="6" t="str">
        <f>HYPERLINK("http://mcgill.on.worldcat.org/oclc/1021063659","Catalog Record")</f>
        <v>Catalog Record</v>
      </c>
      <c r="AW5341" s="6" t="str">
        <f>HYPERLINK("http://www.worldcat.org/oclc/1021063659","WorldCat Record")</f>
        <v>WorldCat Record</v>
      </c>
      <c r="AX5341" s="3" t="s">
        <v>51181</v>
      </c>
      <c r="AY5341" s="3" t="s">
        <v>51182</v>
      </c>
      <c r="AZ5341" s="3" t="s">
        <v>51183</v>
      </c>
      <c r="BA5341" s="3" t="s">
        <v>51183</v>
      </c>
      <c r="BB5341" s="3" t="s">
        <v>51184</v>
      </c>
      <c r="BC5341" s="3" t="s">
        <v>102</v>
      </c>
      <c r="BD5341" s="3" t="s">
        <v>68</v>
      </c>
      <c r="BE5341" s="3" t="s">
        <v>51185</v>
      </c>
      <c r="BF5341" s="3" t="s">
        <v>51184</v>
      </c>
      <c r="BG5341" s="3" t="s">
        <v>51186</v>
      </c>
    </row>
    <row r="5342" spans="1:59" ht="58" x14ac:dyDescent="0.35">
      <c r="A5342" s="2" t="s">
        <v>89</v>
      </c>
      <c r="B5342" s="2" t="s">
        <v>90</v>
      </c>
      <c r="C5342" s="2" t="s">
        <v>51187</v>
      </c>
      <c r="D5342" s="2" t="s">
        <v>51188</v>
      </c>
      <c r="E5342" s="2" t="s">
        <v>51189</v>
      </c>
      <c r="G5342" s="3" t="s">
        <v>62</v>
      </c>
      <c r="I5342" s="3" t="s">
        <v>62</v>
      </c>
      <c r="J5342" s="3" t="s">
        <v>62</v>
      </c>
      <c r="K5342" s="3" t="s">
        <v>63</v>
      </c>
      <c r="L5342" s="2" t="s">
        <v>51190</v>
      </c>
      <c r="M5342" s="2" t="s">
        <v>2666</v>
      </c>
      <c r="N5342" s="3" t="s">
        <v>438</v>
      </c>
      <c r="P5342" s="3" t="s">
        <v>64</v>
      </c>
      <c r="R5342" s="3" t="s">
        <v>46535</v>
      </c>
      <c r="S5342" s="4">
        <v>22</v>
      </c>
      <c r="T5342" s="4">
        <v>22</v>
      </c>
      <c r="U5342" s="5" t="s">
        <v>38271</v>
      </c>
      <c r="V5342" s="5" t="s">
        <v>38271</v>
      </c>
      <c r="W5342" s="5" t="s">
        <v>67</v>
      </c>
      <c r="X5342" s="5" t="s">
        <v>67</v>
      </c>
      <c r="Y5342" s="4">
        <v>689</v>
      </c>
      <c r="Z5342" s="4">
        <v>41</v>
      </c>
      <c r="AA5342" s="4">
        <v>48</v>
      </c>
      <c r="AB5342" s="4">
        <v>2</v>
      </c>
      <c r="AC5342" s="4">
        <v>6</v>
      </c>
      <c r="AD5342" s="4">
        <v>119</v>
      </c>
      <c r="AE5342" s="4">
        <v>126</v>
      </c>
      <c r="AF5342" s="4">
        <v>1</v>
      </c>
      <c r="AG5342" s="4">
        <v>4</v>
      </c>
      <c r="AH5342" s="4">
        <v>97</v>
      </c>
      <c r="AI5342" s="4">
        <v>100</v>
      </c>
      <c r="AJ5342" s="4">
        <v>16</v>
      </c>
      <c r="AK5342" s="4">
        <v>19</v>
      </c>
      <c r="AL5342" s="4">
        <v>52</v>
      </c>
      <c r="AM5342" s="4">
        <v>53</v>
      </c>
      <c r="AN5342" s="4">
        <v>0</v>
      </c>
      <c r="AO5342" s="4">
        <v>0</v>
      </c>
      <c r="AP5342" s="4">
        <v>29</v>
      </c>
      <c r="AQ5342" s="4">
        <v>33</v>
      </c>
      <c r="AR5342" s="3" t="s">
        <v>62</v>
      </c>
      <c r="AS5342" s="3" t="s">
        <v>62</v>
      </c>
      <c r="AT5342" s="3" t="s">
        <v>62</v>
      </c>
      <c r="AV5342" s="6" t="str">
        <f>HYPERLINK("http://mcgill.on.worldcat.org/oclc/20757912","Catalog Record")</f>
        <v>Catalog Record</v>
      </c>
      <c r="AW5342" s="6" t="str">
        <f>HYPERLINK("http://www.worldcat.org/oclc/20757912","WorldCat Record")</f>
        <v>WorldCat Record</v>
      </c>
      <c r="AX5342" s="3" t="s">
        <v>51191</v>
      </c>
      <c r="AY5342" s="3" t="s">
        <v>51192</v>
      </c>
      <c r="AZ5342" s="3" t="s">
        <v>51193</v>
      </c>
      <c r="BA5342" s="3" t="s">
        <v>51193</v>
      </c>
      <c r="BB5342" s="3" t="s">
        <v>51194</v>
      </c>
      <c r="BC5342" s="3" t="s">
        <v>102</v>
      </c>
      <c r="BD5342" s="3" t="s">
        <v>68</v>
      </c>
      <c r="BE5342" s="3" t="s">
        <v>51195</v>
      </c>
      <c r="BF5342" s="3" t="s">
        <v>51194</v>
      </c>
      <c r="BG5342" s="3" t="s">
        <v>51196</v>
      </c>
    </row>
    <row r="5343" spans="1:59" ht="58" x14ac:dyDescent="0.35">
      <c r="A5343" s="2" t="s">
        <v>89</v>
      </c>
      <c r="B5343" s="2" t="s">
        <v>90</v>
      </c>
      <c r="C5343" s="2" t="s">
        <v>51197</v>
      </c>
      <c r="D5343" s="2" t="s">
        <v>51198</v>
      </c>
      <c r="E5343" s="2" t="s">
        <v>51199</v>
      </c>
      <c r="G5343" s="3" t="s">
        <v>62</v>
      </c>
      <c r="I5343" s="3" t="s">
        <v>62</v>
      </c>
      <c r="J5343" s="3" t="s">
        <v>61</v>
      </c>
      <c r="K5343" s="3" t="s">
        <v>63</v>
      </c>
      <c r="L5343" s="2" t="s">
        <v>51200</v>
      </c>
      <c r="M5343" s="2" t="s">
        <v>51201</v>
      </c>
      <c r="N5343" s="3" t="s">
        <v>3062</v>
      </c>
      <c r="P5343" s="3" t="s">
        <v>64</v>
      </c>
      <c r="R5343" s="3" t="s">
        <v>46535</v>
      </c>
      <c r="S5343" s="4">
        <v>19</v>
      </c>
      <c r="T5343" s="4">
        <v>19</v>
      </c>
      <c r="U5343" s="5" t="s">
        <v>40737</v>
      </c>
      <c r="V5343" s="5" t="s">
        <v>40737</v>
      </c>
      <c r="W5343" s="5" t="s">
        <v>67</v>
      </c>
      <c r="X5343" s="5" t="s">
        <v>67</v>
      </c>
      <c r="Y5343" s="4">
        <v>233</v>
      </c>
      <c r="Z5343" s="4">
        <v>14</v>
      </c>
      <c r="AA5343" s="4">
        <v>23</v>
      </c>
      <c r="AB5343" s="4">
        <v>2</v>
      </c>
      <c r="AC5343" s="4">
        <v>7</v>
      </c>
      <c r="AD5343" s="4">
        <v>73</v>
      </c>
      <c r="AE5343" s="4">
        <v>82</v>
      </c>
      <c r="AF5343" s="4">
        <v>0</v>
      </c>
      <c r="AG5343" s="4">
        <v>3</v>
      </c>
      <c r="AH5343" s="4">
        <v>68</v>
      </c>
      <c r="AI5343" s="4">
        <v>74</v>
      </c>
      <c r="AJ5343" s="4">
        <v>8</v>
      </c>
      <c r="AK5343" s="4">
        <v>13</v>
      </c>
      <c r="AL5343" s="4">
        <v>40</v>
      </c>
      <c r="AM5343" s="4">
        <v>43</v>
      </c>
      <c r="AN5343" s="4">
        <v>5</v>
      </c>
      <c r="AO5343" s="4">
        <v>5</v>
      </c>
      <c r="AP5343" s="4">
        <v>11</v>
      </c>
      <c r="AQ5343" s="4">
        <v>15</v>
      </c>
      <c r="AR5343" s="3" t="s">
        <v>62</v>
      </c>
      <c r="AS5343" s="3" t="s">
        <v>62</v>
      </c>
      <c r="AT5343" s="3" t="s">
        <v>61</v>
      </c>
      <c r="AU5343" s="6" t="str">
        <f>HYPERLINK("http://catalog.hathitrust.org/Record/102219581","HathiTrust Record")</f>
        <v>HathiTrust Record</v>
      </c>
      <c r="AV5343" s="6" t="str">
        <f>HYPERLINK("http://mcgill.on.worldcat.org/oclc/28022497","Catalog Record")</f>
        <v>Catalog Record</v>
      </c>
      <c r="AW5343" s="6" t="str">
        <f>HYPERLINK("http://www.worldcat.org/oclc/28022497","WorldCat Record")</f>
        <v>WorldCat Record</v>
      </c>
      <c r="AX5343" s="3" t="s">
        <v>51202</v>
      </c>
      <c r="AY5343" s="3" t="s">
        <v>51203</v>
      </c>
      <c r="AZ5343" s="3" t="s">
        <v>51204</v>
      </c>
      <c r="BA5343" s="3" t="s">
        <v>51204</v>
      </c>
      <c r="BB5343" s="3" t="s">
        <v>51205</v>
      </c>
      <c r="BC5343" s="3" t="s">
        <v>102</v>
      </c>
      <c r="BD5343" s="3" t="s">
        <v>68</v>
      </c>
      <c r="BE5343" s="3" t="s">
        <v>51206</v>
      </c>
      <c r="BF5343" s="3" t="s">
        <v>51205</v>
      </c>
      <c r="BG5343" s="3" t="s">
        <v>51207</v>
      </c>
    </row>
    <row r="5344" spans="1:59" ht="58" x14ac:dyDescent="0.35">
      <c r="A5344" s="2" t="s">
        <v>89</v>
      </c>
      <c r="B5344" s="2" t="s">
        <v>90</v>
      </c>
      <c r="C5344" s="2" t="s">
        <v>51208</v>
      </c>
      <c r="D5344" s="2" t="s">
        <v>51209</v>
      </c>
      <c r="E5344" s="2" t="s">
        <v>51210</v>
      </c>
      <c r="F5344" s="3" t="s">
        <v>1770</v>
      </c>
      <c r="G5344" s="3" t="s">
        <v>61</v>
      </c>
      <c r="I5344" s="3" t="s">
        <v>62</v>
      </c>
      <c r="J5344" s="3" t="s">
        <v>62</v>
      </c>
      <c r="K5344" s="3" t="s">
        <v>63</v>
      </c>
      <c r="L5344" s="2" t="s">
        <v>51211</v>
      </c>
      <c r="M5344" s="2" t="s">
        <v>51212</v>
      </c>
      <c r="N5344" s="3" t="s">
        <v>157</v>
      </c>
      <c r="P5344" s="3" t="s">
        <v>85</v>
      </c>
      <c r="Q5344" s="2" t="s">
        <v>51213</v>
      </c>
      <c r="R5344" s="3" t="s">
        <v>46535</v>
      </c>
      <c r="S5344" s="4">
        <v>4</v>
      </c>
      <c r="T5344" s="4">
        <v>7</v>
      </c>
      <c r="U5344" s="5" t="s">
        <v>2474</v>
      </c>
      <c r="V5344" s="5" t="s">
        <v>2474</v>
      </c>
      <c r="W5344" s="5" t="s">
        <v>67</v>
      </c>
      <c r="X5344" s="5" t="s">
        <v>67</v>
      </c>
      <c r="Y5344" s="4">
        <v>18</v>
      </c>
      <c r="Z5344" s="4">
        <v>4</v>
      </c>
      <c r="AA5344" s="4">
        <v>17</v>
      </c>
      <c r="AB5344" s="4">
        <v>1</v>
      </c>
      <c r="AC5344" s="4">
        <v>9</v>
      </c>
      <c r="AD5344" s="4">
        <v>5</v>
      </c>
      <c r="AE5344" s="4">
        <v>14</v>
      </c>
      <c r="AF5344" s="4">
        <v>0</v>
      </c>
      <c r="AG5344" s="4">
        <v>4</v>
      </c>
      <c r="AH5344" s="4">
        <v>4</v>
      </c>
      <c r="AI5344" s="4">
        <v>9</v>
      </c>
      <c r="AJ5344" s="4">
        <v>2</v>
      </c>
      <c r="AK5344" s="4">
        <v>8</v>
      </c>
      <c r="AL5344" s="4">
        <v>1</v>
      </c>
      <c r="AM5344" s="4">
        <v>2</v>
      </c>
      <c r="AN5344" s="4">
        <v>0</v>
      </c>
      <c r="AO5344" s="4">
        <v>0</v>
      </c>
      <c r="AP5344" s="4">
        <v>3</v>
      </c>
      <c r="AQ5344" s="4">
        <v>8</v>
      </c>
      <c r="AR5344" s="3" t="s">
        <v>62</v>
      </c>
      <c r="AS5344" s="3" t="s">
        <v>62</v>
      </c>
      <c r="AT5344" s="3" t="s">
        <v>62</v>
      </c>
      <c r="AV5344" s="6" t="str">
        <f>HYPERLINK("http://mcgill.on.worldcat.org/oclc/1206368","Catalog Record")</f>
        <v>Catalog Record</v>
      </c>
      <c r="AW5344" s="6" t="str">
        <f>HYPERLINK("http://www.worldcat.org/oclc/1206368","WorldCat Record")</f>
        <v>WorldCat Record</v>
      </c>
      <c r="AX5344" s="3" t="s">
        <v>51214</v>
      </c>
      <c r="AY5344" s="3" t="s">
        <v>51215</v>
      </c>
      <c r="AZ5344" s="3" t="s">
        <v>51216</v>
      </c>
      <c r="BA5344" s="3" t="s">
        <v>51216</v>
      </c>
      <c r="BB5344" s="3" t="s">
        <v>51217</v>
      </c>
      <c r="BC5344" s="3" t="s">
        <v>102</v>
      </c>
      <c r="BD5344" s="3" t="s">
        <v>68</v>
      </c>
      <c r="BF5344" s="3" t="s">
        <v>51217</v>
      </c>
      <c r="BG5344" s="3" t="s">
        <v>51218</v>
      </c>
    </row>
    <row r="5345" spans="1:59" ht="58" x14ac:dyDescent="0.35">
      <c r="A5345" s="2" t="s">
        <v>89</v>
      </c>
      <c r="B5345" s="2" t="s">
        <v>90</v>
      </c>
      <c r="C5345" s="2" t="s">
        <v>51208</v>
      </c>
      <c r="D5345" s="2" t="s">
        <v>51209</v>
      </c>
      <c r="E5345" s="2" t="s">
        <v>51210</v>
      </c>
      <c r="F5345" s="3" t="s">
        <v>1767</v>
      </c>
      <c r="G5345" s="3" t="s">
        <v>61</v>
      </c>
      <c r="I5345" s="3" t="s">
        <v>62</v>
      </c>
      <c r="J5345" s="3" t="s">
        <v>62</v>
      </c>
      <c r="K5345" s="3" t="s">
        <v>63</v>
      </c>
      <c r="L5345" s="2" t="s">
        <v>51211</v>
      </c>
      <c r="M5345" s="2" t="s">
        <v>51212</v>
      </c>
      <c r="N5345" s="3" t="s">
        <v>157</v>
      </c>
      <c r="P5345" s="3" t="s">
        <v>85</v>
      </c>
      <c r="Q5345" s="2" t="s">
        <v>51213</v>
      </c>
      <c r="R5345" s="3" t="s">
        <v>46535</v>
      </c>
      <c r="S5345" s="4">
        <v>3</v>
      </c>
      <c r="T5345" s="4">
        <v>7</v>
      </c>
      <c r="U5345" s="5" t="s">
        <v>2474</v>
      </c>
      <c r="V5345" s="5" t="s">
        <v>2474</v>
      </c>
      <c r="W5345" s="5" t="s">
        <v>67</v>
      </c>
      <c r="X5345" s="5" t="s">
        <v>67</v>
      </c>
      <c r="Y5345" s="4">
        <v>18</v>
      </c>
      <c r="Z5345" s="4">
        <v>4</v>
      </c>
      <c r="AA5345" s="4">
        <v>17</v>
      </c>
      <c r="AB5345" s="4">
        <v>1</v>
      </c>
      <c r="AC5345" s="4">
        <v>9</v>
      </c>
      <c r="AD5345" s="4">
        <v>5</v>
      </c>
      <c r="AE5345" s="4">
        <v>14</v>
      </c>
      <c r="AF5345" s="4">
        <v>0</v>
      </c>
      <c r="AG5345" s="4">
        <v>4</v>
      </c>
      <c r="AH5345" s="4">
        <v>4</v>
      </c>
      <c r="AI5345" s="4">
        <v>9</v>
      </c>
      <c r="AJ5345" s="4">
        <v>2</v>
      </c>
      <c r="AK5345" s="4">
        <v>8</v>
      </c>
      <c r="AL5345" s="4">
        <v>1</v>
      </c>
      <c r="AM5345" s="4">
        <v>2</v>
      </c>
      <c r="AN5345" s="4">
        <v>0</v>
      </c>
      <c r="AO5345" s="4">
        <v>0</v>
      </c>
      <c r="AP5345" s="4">
        <v>3</v>
      </c>
      <c r="AQ5345" s="4">
        <v>8</v>
      </c>
      <c r="AR5345" s="3" t="s">
        <v>62</v>
      </c>
      <c r="AS5345" s="3" t="s">
        <v>62</v>
      </c>
      <c r="AT5345" s="3" t="s">
        <v>62</v>
      </c>
      <c r="AV5345" s="6" t="str">
        <f>HYPERLINK("http://mcgill.on.worldcat.org/oclc/1206368","Catalog Record")</f>
        <v>Catalog Record</v>
      </c>
      <c r="AW5345" s="6" t="str">
        <f>HYPERLINK("http://www.worldcat.org/oclc/1206368","WorldCat Record")</f>
        <v>WorldCat Record</v>
      </c>
      <c r="AX5345" s="3" t="s">
        <v>51214</v>
      </c>
      <c r="AY5345" s="3" t="s">
        <v>51215</v>
      </c>
      <c r="AZ5345" s="3" t="s">
        <v>51216</v>
      </c>
      <c r="BA5345" s="3" t="s">
        <v>51216</v>
      </c>
      <c r="BB5345" s="3" t="s">
        <v>51219</v>
      </c>
      <c r="BC5345" s="3" t="s">
        <v>102</v>
      </c>
      <c r="BD5345" s="3" t="s">
        <v>68</v>
      </c>
      <c r="BF5345" s="3" t="s">
        <v>51219</v>
      </c>
      <c r="BG5345" s="3" t="s">
        <v>51220</v>
      </c>
    </row>
    <row r="5346" spans="1:59" ht="58" x14ac:dyDescent="0.35">
      <c r="A5346" s="2" t="s">
        <v>59</v>
      </c>
      <c r="B5346" s="2" t="s">
        <v>60</v>
      </c>
      <c r="C5346" s="2" t="s">
        <v>51221</v>
      </c>
      <c r="D5346" s="2" t="s">
        <v>51222</v>
      </c>
      <c r="E5346" s="2" t="s">
        <v>51223</v>
      </c>
      <c r="G5346" s="3" t="s">
        <v>62</v>
      </c>
      <c r="I5346" s="3" t="s">
        <v>61</v>
      </c>
      <c r="J5346" s="3" t="s">
        <v>62</v>
      </c>
      <c r="K5346" s="3" t="s">
        <v>63</v>
      </c>
      <c r="L5346" s="2" t="s">
        <v>51224</v>
      </c>
      <c r="M5346" s="2" t="s">
        <v>51225</v>
      </c>
      <c r="N5346" s="3" t="s">
        <v>930</v>
      </c>
      <c r="O5346" s="2" t="s">
        <v>2849</v>
      </c>
      <c r="P5346" s="3" t="s">
        <v>64</v>
      </c>
      <c r="Q5346" s="2" t="s">
        <v>51226</v>
      </c>
      <c r="R5346" s="3" t="s">
        <v>46535</v>
      </c>
      <c r="S5346" s="4">
        <v>0</v>
      </c>
      <c r="T5346" s="4">
        <v>6</v>
      </c>
      <c r="V5346" s="5" t="s">
        <v>33620</v>
      </c>
      <c r="W5346" s="5" t="s">
        <v>67</v>
      </c>
      <c r="X5346" s="5" t="s">
        <v>67</v>
      </c>
      <c r="Y5346" s="4">
        <v>823</v>
      </c>
      <c r="Z5346" s="4">
        <v>29</v>
      </c>
      <c r="AA5346" s="4">
        <v>36</v>
      </c>
      <c r="AB5346" s="4">
        <v>2</v>
      </c>
      <c r="AC5346" s="4">
        <v>6</v>
      </c>
      <c r="AD5346" s="4">
        <v>111</v>
      </c>
      <c r="AE5346" s="4">
        <v>117</v>
      </c>
      <c r="AF5346" s="4">
        <v>0</v>
      </c>
      <c r="AG5346" s="4">
        <v>3</v>
      </c>
      <c r="AH5346" s="4">
        <v>95</v>
      </c>
      <c r="AI5346" s="4">
        <v>97</v>
      </c>
      <c r="AJ5346" s="4">
        <v>17</v>
      </c>
      <c r="AK5346" s="4">
        <v>22</v>
      </c>
      <c r="AL5346" s="4">
        <v>53</v>
      </c>
      <c r="AM5346" s="4">
        <v>53</v>
      </c>
      <c r="AN5346" s="4">
        <v>0</v>
      </c>
      <c r="AO5346" s="4">
        <v>0</v>
      </c>
      <c r="AP5346" s="4">
        <v>21</v>
      </c>
      <c r="AQ5346" s="4">
        <v>25</v>
      </c>
      <c r="AR5346" s="3" t="s">
        <v>62</v>
      </c>
      <c r="AS5346" s="3" t="s">
        <v>62</v>
      </c>
      <c r="AT5346" s="3" t="s">
        <v>61</v>
      </c>
      <c r="AU5346" s="6" t="str">
        <f>HYPERLINK("http://catalog.hathitrust.org/Record/001555033","HathiTrust Record")</f>
        <v>HathiTrust Record</v>
      </c>
      <c r="AV5346" s="6" t="str">
        <f>HYPERLINK("http://mcgill.on.worldcat.org/oclc/221097","Catalog Record")</f>
        <v>Catalog Record</v>
      </c>
      <c r="AW5346" s="6" t="str">
        <f>HYPERLINK("http://www.worldcat.org/oclc/221097","WorldCat Record")</f>
        <v>WorldCat Record</v>
      </c>
      <c r="AX5346" s="3" t="s">
        <v>51227</v>
      </c>
      <c r="AY5346" s="3" t="s">
        <v>51228</v>
      </c>
      <c r="AZ5346" s="3" t="s">
        <v>51229</v>
      </c>
      <c r="BA5346" s="3" t="s">
        <v>51229</v>
      </c>
      <c r="BB5346" s="3" t="s">
        <v>51230</v>
      </c>
      <c r="BC5346" s="3" t="s">
        <v>102</v>
      </c>
      <c r="BD5346" s="3" t="s">
        <v>68</v>
      </c>
      <c r="BE5346" s="3" t="s">
        <v>51231</v>
      </c>
      <c r="BF5346" s="3" t="s">
        <v>51230</v>
      </c>
      <c r="BG5346" s="3" t="s">
        <v>51232</v>
      </c>
    </row>
    <row r="5347" spans="1:59" ht="58" x14ac:dyDescent="0.35">
      <c r="A5347" s="2" t="s">
        <v>89</v>
      </c>
      <c r="B5347" s="2" t="s">
        <v>90</v>
      </c>
      <c r="C5347" s="2" t="s">
        <v>51221</v>
      </c>
      <c r="D5347" s="2" t="s">
        <v>51222</v>
      </c>
      <c r="E5347" s="2" t="s">
        <v>51223</v>
      </c>
      <c r="G5347" s="3" t="s">
        <v>62</v>
      </c>
      <c r="I5347" s="3" t="s">
        <v>61</v>
      </c>
      <c r="J5347" s="3" t="s">
        <v>62</v>
      </c>
      <c r="K5347" s="3" t="s">
        <v>63</v>
      </c>
      <c r="L5347" s="2" t="s">
        <v>51224</v>
      </c>
      <c r="M5347" s="2" t="s">
        <v>51225</v>
      </c>
      <c r="N5347" s="3" t="s">
        <v>930</v>
      </c>
      <c r="O5347" s="2" t="s">
        <v>2849</v>
      </c>
      <c r="P5347" s="3" t="s">
        <v>64</v>
      </c>
      <c r="Q5347" s="2" t="s">
        <v>51226</v>
      </c>
      <c r="R5347" s="3" t="s">
        <v>46535</v>
      </c>
      <c r="S5347" s="4">
        <v>0</v>
      </c>
      <c r="T5347" s="4">
        <v>6</v>
      </c>
      <c r="V5347" s="5" t="s">
        <v>33620</v>
      </c>
      <c r="W5347" s="5" t="s">
        <v>67</v>
      </c>
      <c r="X5347" s="5" t="s">
        <v>67</v>
      </c>
      <c r="Y5347" s="4">
        <v>823</v>
      </c>
      <c r="Z5347" s="4">
        <v>29</v>
      </c>
      <c r="AA5347" s="4">
        <v>36</v>
      </c>
      <c r="AB5347" s="4">
        <v>2</v>
      </c>
      <c r="AC5347" s="4">
        <v>6</v>
      </c>
      <c r="AD5347" s="4">
        <v>111</v>
      </c>
      <c r="AE5347" s="4">
        <v>117</v>
      </c>
      <c r="AF5347" s="4">
        <v>0</v>
      </c>
      <c r="AG5347" s="4">
        <v>3</v>
      </c>
      <c r="AH5347" s="4">
        <v>95</v>
      </c>
      <c r="AI5347" s="4">
        <v>97</v>
      </c>
      <c r="AJ5347" s="4">
        <v>17</v>
      </c>
      <c r="AK5347" s="4">
        <v>22</v>
      </c>
      <c r="AL5347" s="4">
        <v>53</v>
      </c>
      <c r="AM5347" s="4">
        <v>53</v>
      </c>
      <c r="AN5347" s="4">
        <v>0</v>
      </c>
      <c r="AO5347" s="4">
        <v>0</v>
      </c>
      <c r="AP5347" s="4">
        <v>21</v>
      </c>
      <c r="AQ5347" s="4">
        <v>25</v>
      </c>
      <c r="AR5347" s="3" t="s">
        <v>62</v>
      </c>
      <c r="AS5347" s="3" t="s">
        <v>62</v>
      </c>
      <c r="AT5347" s="3" t="s">
        <v>61</v>
      </c>
      <c r="AU5347" s="6" t="str">
        <f>HYPERLINK("http://catalog.hathitrust.org/Record/001555033","HathiTrust Record")</f>
        <v>HathiTrust Record</v>
      </c>
      <c r="AV5347" s="6" t="str">
        <f>HYPERLINK("http://mcgill.on.worldcat.org/oclc/221097","Catalog Record")</f>
        <v>Catalog Record</v>
      </c>
      <c r="AW5347" s="6" t="str">
        <f>HYPERLINK("http://www.worldcat.org/oclc/221097","WorldCat Record")</f>
        <v>WorldCat Record</v>
      </c>
      <c r="AX5347" s="3" t="s">
        <v>51227</v>
      </c>
      <c r="AY5347" s="3" t="s">
        <v>51228</v>
      </c>
      <c r="AZ5347" s="3" t="s">
        <v>51229</v>
      </c>
      <c r="BA5347" s="3" t="s">
        <v>51229</v>
      </c>
      <c r="BB5347" s="3" t="s">
        <v>51233</v>
      </c>
      <c r="BC5347" s="3" t="s">
        <v>102</v>
      </c>
      <c r="BD5347" s="3" t="s">
        <v>68</v>
      </c>
      <c r="BE5347" s="3" t="s">
        <v>51231</v>
      </c>
      <c r="BF5347" s="3" t="s">
        <v>51233</v>
      </c>
      <c r="BG5347" s="3" t="s">
        <v>51234</v>
      </c>
    </row>
    <row r="5348" spans="1:59" ht="58" x14ac:dyDescent="0.35">
      <c r="A5348" s="2" t="s">
        <v>89</v>
      </c>
      <c r="B5348" s="2" t="s">
        <v>90</v>
      </c>
      <c r="C5348" s="2" t="s">
        <v>51235</v>
      </c>
      <c r="D5348" s="2" t="s">
        <v>51236</v>
      </c>
      <c r="E5348" s="2" t="s">
        <v>51237</v>
      </c>
      <c r="G5348" s="3" t="s">
        <v>62</v>
      </c>
      <c r="I5348" s="3" t="s">
        <v>61</v>
      </c>
      <c r="J5348" s="3" t="s">
        <v>62</v>
      </c>
      <c r="K5348" s="3" t="s">
        <v>63</v>
      </c>
      <c r="L5348" s="2" t="s">
        <v>51238</v>
      </c>
      <c r="M5348" s="2" t="s">
        <v>51239</v>
      </c>
      <c r="N5348" s="3" t="s">
        <v>930</v>
      </c>
      <c r="P5348" s="3" t="s">
        <v>64</v>
      </c>
      <c r="Q5348" s="2" t="s">
        <v>22211</v>
      </c>
      <c r="R5348" s="3" t="s">
        <v>46535</v>
      </c>
      <c r="S5348" s="4">
        <v>8</v>
      </c>
      <c r="T5348" s="4">
        <v>19</v>
      </c>
      <c r="U5348" s="5" t="s">
        <v>25012</v>
      </c>
      <c r="V5348" s="5" t="s">
        <v>25012</v>
      </c>
      <c r="W5348" s="5" t="s">
        <v>67</v>
      </c>
      <c r="X5348" s="5" t="s">
        <v>67</v>
      </c>
      <c r="Y5348" s="4">
        <v>763</v>
      </c>
      <c r="Z5348" s="4">
        <v>36</v>
      </c>
      <c r="AA5348" s="4">
        <v>51</v>
      </c>
      <c r="AB5348" s="4">
        <v>2</v>
      </c>
      <c r="AC5348" s="4">
        <v>7</v>
      </c>
      <c r="AD5348" s="4">
        <v>122</v>
      </c>
      <c r="AE5348" s="4">
        <v>132</v>
      </c>
      <c r="AF5348" s="4">
        <v>1</v>
      </c>
      <c r="AG5348" s="4">
        <v>5</v>
      </c>
      <c r="AH5348" s="4">
        <v>101</v>
      </c>
      <c r="AI5348" s="4">
        <v>104</v>
      </c>
      <c r="AJ5348" s="4">
        <v>18</v>
      </c>
      <c r="AK5348" s="4">
        <v>24</v>
      </c>
      <c r="AL5348" s="4">
        <v>58</v>
      </c>
      <c r="AM5348" s="4">
        <v>58</v>
      </c>
      <c r="AN5348" s="4">
        <v>0</v>
      </c>
      <c r="AO5348" s="4">
        <v>0</v>
      </c>
      <c r="AP5348" s="4">
        <v>27</v>
      </c>
      <c r="AQ5348" s="4">
        <v>36</v>
      </c>
      <c r="AR5348" s="3" t="s">
        <v>62</v>
      </c>
      <c r="AS5348" s="3" t="s">
        <v>62</v>
      </c>
      <c r="AT5348" s="3" t="s">
        <v>61</v>
      </c>
      <c r="AU5348" s="6" t="str">
        <f>HYPERLINK("http://catalog.hathitrust.org/Record/001555035","HathiTrust Record")</f>
        <v>HathiTrust Record</v>
      </c>
      <c r="AV5348" s="6" t="str">
        <f>HYPERLINK("http://mcgill.on.worldcat.org/oclc/14607524","Catalog Record")</f>
        <v>Catalog Record</v>
      </c>
      <c r="AW5348" s="6" t="str">
        <f>HYPERLINK("http://www.worldcat.org/oclc/14607524","WorldCat Record")</f>
        <v>WorldCat Record</v>
      </c>
      <c r="AX5348" s="3" t="s">
        <v>51240</v>
      </c>
      <c r="AY5348" s="3" t="s">
        <v>51241</v>
      </c>
      <c r="AZ5348" s="3" t="s">
        <v>51242</v>
      </c>
      <c r="BA5348" s="3" t="s">
        <v>51242</v>
      </c>
      <c r="BB5348" s="3" t="s">
        <v>51243</v>
      </c>
      <c r="BC5348" s="3" t="s">
        <v>102</v>
      </c>
      <c r="BD5348" s="3" t="s">
        <v>68</v>
      </c>
      <c r="BE5348" s="3" t="s">
        <v>51244</v>
      </c>
      <c r="BF5348" s="3" t="s">
        <v>51243</v>
      </c>
      <c r="BG5348" s="3" t="s">
        <v>51245</v>
      </c>
    </row>
    <row r="5349" spans="1:59" ht="58" x14ac:dyDescent="0.35">
      <c r="A5349" s="2" t="s">
        <v>89</v>
      </c>
      <c r="B5349" s="2" t="s">
        <v>90</v>
      </c>
      <c r="C5349" s="2" t="s">
        <v>51235</v>
      </c>
      <c r="D5349" s="2" t="s">
        <v>51236</v>
      </c>
      <c r="E5349" s="2" t="s">
        <v>51237</v>
      </c>
      <c r="G5349" s="3" t="s">
        <v>62</v>
      </c>
      <c r="I5349" s="3" t="s">
        <v>61</v>
      </c>
      <c r="J5349" s="3" t="s">
        <v>62</v>
      </c>
      <c r="K5349" s="3" t="s">
        <v>63</v>
      </c>
      <c r="L5349" s="2" t="s">
        <v>51238</v>
      </c>
      <c r="M5349" s="2" t="s">
        <v>51239</v>
      </c>
      <c r="N5349" s="3" t="s">
        <v>930</v>
      </c>
      <c r="P5349" s="3" t="s">
        <v>64</v>
      </c>
      <c r="Q5349" s="2" t="s">
        <v>22211</v>
      </c>
      <c r="R5349" s="3" t="s">
        <v>46535</v>
      </c>
      <c r="S5349" s="4">
        <v>0</v>
      </c>
      <c r="T5349" s="4">
        <v>19</v>
      </c>
      <c r="V5349" s="5" t="s">
        <v>25012</v>
      </c>
      <c r="W5349" s="5" t="s">
        <v>67</v>
      </c>
      <c r="X5349" s="5" t="s">
        <v>67</v>
      </c>
      <c r="Y5349" s="4">
        <v>763</v>
      </c>
      <c r="Z5349" s="4">
        <v>36</v>
      </c>
      <c r="AA5349" s="4">
        <v>51</v>
      </c>
      <c r="AB5349" s="4">
        <v>2</v>
      </c>
      <c r="AC5349" s="4">
        <v>7</v>
      </c>
      <c r="AD5349" s="4">
        <v>122</v>
      </c>
      <c r="AE5349" s="4">
        <v>132</v>
      </c>
      <c r="AF5349" s="4">
        <v>1</v>
      </c>
      <c r="AG5349" s="4">
        <v>5</v>
      </c>
      <c r="AH5349" s="4">
        <v>101</v>
      </c>
      <c r="AI5349" s="4">
        <v>104</v>
      </c>
      <c r="AJ5349" s="4">
        <v>18</v>
      </c>
      <c r="AK5349" s="4">
        <v>24</v>
      </c>
      <c r="AL5349" s="4">
        <v>58</v>
      </c>
      <c r="AM5349" s="4">
        <v>58</v>
      </c>
      <c r="AN5349" s="4">
        <v>0</v>
      </c>
      <c r="AO5349" s="4">
        <v>0</v>
      </c>
      <c r="AP5349" s="4">
        <v>27</v>
      </c>
      <c r="AQ5349" s="4">
        <v>36</v>
      </c>
      <c r="AR5349" s="3" t="s">
        <v>62</v>
      </c>
      <c r="AS5349" s="3" t="s">
        <v>62</v>
      </c>
      <c r="AT5349" s="3" t="s">
        <v>61</v>
      </c>
      <c r="AU5349" s="6" t="str">
        <f>HYPERLINK("http://catalog.hathitrust.org/Record/001555035","HathiTrust Record")</f>
        <v>HathiTrust Record</v>
      </c>
      <c r="AV5349" s="6" t="str">
        <f>HYPERLINK("http://mcgill.on.worldcat.org/oclc/14607524","Catalog Record")</f>
        <v>Catalog Record</v>
      </c>
      <c r="AW5349" s="6" t="str">
        <f>HYPERLINK("http://www.worldcat.org/oclc/14607524","WorldCat Record")</f>
        <v>WorldCat Record</v>
      </c>
      <c r="AX5349" s="3" t="s">
        <v>51240</v>
      </c>
      <c r="AY5349" s="3" t="s">
        <v>51241</v>
      </c>
      <c r="AZ5349" s="3" t="s">
        <v>51242</v>
      </c>
      <c r="BA5349" s="3" t="s">
        <v>51242</v>
      </c>
      <c r="BB5349" s="3" t="s">
        <v>51246</v>
      </c>
      <c r="BC5349" s="3" t="s">
        <v>102</v>
      </c>
      <c r="BD5349" s="3" t="s">
        <v>68</v>
      </c>
      <c r="BE5349" s="3" t="s">
        <v>51244</v>
      </c>
      <c r="BF5349" s="3" t="s">
        <v>51246</v>
      </c>
      <c r="BG5349" s="3" t="s">
        <v>51247</v>
      </c>
    </row>
    <row r="5350" spans="1:59" ht="58" x14ac:dyDescent="0.35">
      <c r="A5350" s="2" t="s">
        <v>89</v>
      </c>
      <c r="B5350" s="2" t="s">
        <v>90</v>
      </c>
      <c r="C5350" s="2" t="s">
        <v>51248</v>
      </c>
      <c r="D5350" s="2" t="s">
        <v>51249</v>
      </c>
      <c r="E5350" s="2" t="s">
        <v>51250</v>
      </c>
      <c r="G5350" s="3" t="s">
        <v>62</v>
      </c>
      <c r="I5350" s="3" t="s">
        <v>61</v>
      </c>
      <c r="J5350" s="3" t="s">
        <v>62</v>
      </c>
      <c r="K5350" s="3" t="s">
        <v>63</v>
      </c>
      <c r="L5350" s="2" t="s">
        <v>51251</v>
      </c>
      <c r="M5350" s="2" t="s">
        <v>16591</v>
      </c>
      <c r="N5350" s="3" t="s">
        <v>438</v>
      </c>
      <c r="P5350" s="3" t="s">
        <v>64</v>
      </c>
      <c r="R5350" s="3" t="s">
        <v>46535</v>
      </c>
      <c r="S5350" s="4">
        <v>14</v>
      </c>
      <c r="T5350" s="4">
        <v>154</v>
      </c>
      <c r="U5350" s="5" t="s">
        <v>26333</v>
      </c>
      <c r="V5350" s="5" t="s">
        <v>13420</v>
      </c>
      <c r="W5350" s="5" t="s">
        <v>67</v>
      </c>
      <c r="X5350" s="5" t="s">
        <v>67</v>
      </c>
      <c r="Y5350" s="4">
        <v>484</v>
      </c>
      <c r="Z5350" s="4">
        <v>36</v>
      </c>
      <c r="AA5350" s="4">
        <v>104</v>
      </c>
      <c r="AB5350" s="4">
        <v>3</v>
      </c>
      <c r="AC5350" s="4">
        <v>17</v>
      </c>
      <c r="AD5350" s="4">
        <v>117</v>
      </c>
      <c r="AE5350" s="4">
        <v>154</v>
      </c>
      <c r="AF5350" s="4">
        <v>2</v>
      </c>
      <c r="AG5350" s="4">
        <v>8</v>
      </c>
      <c r="AH5350" s="4">
        <v>96</v>
      </c>
      <c r="AI5350" s="4">
        <v>107</v>
      </c>
      <c r="AJ5350" s="4">
        <v>20</v>
      </c>
      <c r="AK5350" s="4">
        <v>28</v>
      </c>
      <c r="AL5350" s="4">
        <v>53</v>
      </c>
      <c r="AM5350" s="4">
        <v>59</v>
      </c>
      <c r="AN5350" s="4">
        <v>0</v>
      </c>
      <c r="AO5350" s="4">
        <v>0</v>
      </c>
      <c r="AP5350" s="4">
        <v>27</v>
      </c>
      <c r="AQ5350" s="4">
        <v>53</v>
      </c>
      <c r="AR5350" s="3" t="s">
        <v>62</v>
      </c>
      <c r="AS5350" s="3" t="s">
        <v>62</v>
      </c>
      <c r="AT5350" s="3" t="s">
        <v>62</v>
      </c>
      <c r="AV5350" s="6" t="str">
        <f t="shared" ref="AV5350:AV5355" si="81">HYPERLINK("http://mcgill.on.worldcat.org/oclc/20392047","Catalog Record")</f>
        <v>Catalog Record</v>
      </c>
      <c r="AW5350" s="6" t="str">
        <f t="shared" ref="AW5350:AW5355" si="82">HYPERLINK("http://www.worldcat.org/oclc/20392047","WorldCat Record")</f>
        <v>WorldCat Record</v>
      </c>
      <c r="AX5350" s="3" t="s">
        <v>51252</v>
      </c>
      <c r="AY5350" s="3" t="s">
        <v>51253</v>
      </c>
      <c r="AZ5350" s="3" t="s">
        <v>51254</v>
      </c>
      <c r="BA5350" s="3" t="s">
        <v>51254</v>
      </c>
      <c r="BB5350" s="3" t="s">
        <v>51255</v>
      </c>
      <c r="BC5350" s="3" t="s">
        <v>102</v>
      </c>
      <c r="BD5350" s="3" t="s">
        <v>68</v>
      </c>
      <c r="BE5350" s="3" t="s">
        <v>51256</v>
      </c>
      <c r="BF5350" s="3" t="s">
        <v>51255</v>
      </c>
      <c r="BG5350" s="3" t="s">
        <v>51257</v>
      </c>
    </row>
    <row r="5351" spans="1:59" ht="58" x14ac:dyDescent="0.35">
      <c r="A5351" s="2" t="s">
        <v>89</v>
      </c>
      <c r="B5351" s="2" t="s">
        <v>90</v>
      </c>
      <c r="C5351" s="2" t="s">
        <v>51248</v>
      </c>
      <c r="D5351" s="2" t="s">
        <v>51249</v>
      </c>
      <c r="E5351" s="2" t="s">
        <v>51250</v>
      </c>
      <c r="G5351" s="3" t="s">
        <v>62</v>
      </c>
      <c r="I5351" s="3" t="s">
        <v>61</v>
      </c>
      <c r="J5351" s="3" t="s">
        <v>62</v>
      </c>
      <c r="K5351" s="3" t="s">
        <v>63</v>
      </c>
      <c r="L5351" s="2" t="s">
        <v>51251</v>
      </c>
      <c r="M5351" s="2" t="s">
        <v>16591</v>
      </c>
      <c r="N5351" s="3" t="s">
        <v>438</v>
      </c>
      <c r="P5351" s="3" t="s">
        <v>64</v>
      </c>
      <c r="R5351" s="3" t="s">
        <v>46535</v>
      </c>
      <c r="S5351" s="4">
        <v>33</v>
      </c>
      <c r="T5351" s="4">
        <v>154</v>
      </c>
      <c r="U5351" s="5" t="s">
        <v>13420</v>
      </c>
      <c r="V5351" s="5" t="s">
        <v>13420</v>
      </c>
      <c r="W5351" s="5" t="s">
        <v>67</v>
      </c>
      <c r="X5351" s="5" t="s">
        <v>67</v>
      </c>
      <c r="Y5351" s="4">
        <v>484</v>
      </c>
      <c r="Z5351" s="4">
        <v>36</v>
      </c>
      <c r="AA5351" s="4">
        <v>104</v>
      </c>
      <c r="AB5351" s="4">
        <v>3</v>
      </c>
      <c r="AC5351" s="4">
        <v>17</v>
      </c>
      <c r="AD5351" s="4">
        <v>117</v>
      </c>
      <c r="AE5351" s="4">
        <v>154</v>
      </c>
      <c r="AF5351" s="4">
        <v>2</v>
      </c>
      <c r="AG5351" s="4">
        <v>8</v>
      </c>
      <c r="AH5351" s="4">
        <v>96</v>
      </c>
      <c r="AI5351" s="4">
        <v>107</v>
      </c>
      <c r="AJ5351" s="4">
        <v>20</v>
      </c>
      <c r="AK5351" s="4">
        <v>28</v>
      </c>
      <c r="AL5351" s="4">
        <v>53</v>
      </c>
      <c r="AM5351" s="4">
        <v>59</v>
      </c>
      <c r="AN5351" s="4">
        <v>0</v>
      </c>
      <c r="AO5351" s="4">
        <v>0</v>
      </c>
      <c r="AP5351" s="4">
        <v>27</v>
      </c>
      <c r="AQ5351" s="4">
        <v>53</v>
      </c>
      <c r="AR5351" s="3" t="s">
        <v>62</v>
      </c>
      <c r="AS5351" s="3" t="s">
        <v>62</v>
      </c>
      <c r="AT5351" s="3" t="s">
        <v>62</v>
      </c>
      <c r="AV5351" s="6" t="str">
        <f t="shared" si="81"/>
        <v>Catalog Record</v>
      </c>
      <c r="AW5351" s="6" t="str">
        <f t="shared" si="82"/>
        <v>WorldCat Record</v>
      </c>
      <c r="AX5351" s="3" t="s">
        <v>51252</v>
      </c>
      <c r="AY5351" s="3" t="s">
        <v>51253</v>
      </c>
      <c r="AZ5351" s="3" t="s">
        <v>51254</v>
      </c>
      <c r="BA5351" s="3" t="s">
        <v>51254</v>
      </c>
      <c r="BB5351" s="3" t="s">
        <v>51258</v>
      </c>
      <c r="BC5351" s="3" t="s">
        <v>102</v>
      </c>
      <c r="BD5351" s="3" t="s">
        <v>68</v>
      </c>
      <c r="BE5351" s="3" t="s">
        <v>51256</v>
      </c>
      <c r="BF5351" s="3" t="s">
        <v>51258</v>
      </c>
      <c r="BG5351" s="3" t="s">
        <v>51259</v>
      </c>
    </row>
    <row r="5352" spans="1:59" ht="58" x14ac:dyDescent="0.35">
      <c r="A5352" s="2" t="s">
        <v>89</v>
      </c>
      <c r="B5352" s="2" t="s">
        <v>90</v>
      </c>
      <c r="C5352" s="2" t="s">
        <v>51248</v>
      </c>
      <c r="D5352" s="2" t="s">
        <v>51249</v>
      </c>
      <c r="E5352" s="2" t="s">
        <v>51250</v>
      </c>
      <c r="G5352" s="3" t="s">
        <v>62</v>
      </c>
      <c r="I5352" s="3" t="s">
        <v>61</v>
      </c>
      <c r="J5352" s="3" t="s">
        <v>62</v>
      </c>
      <c r="K5352" s="3" t="s">
        <v>63</v>
      </c>
      <c r="L5352" s="2" t="s">
        <v>51251</v>
      </c>
      <c r="M5352" s="2" t="s">
        <v>16591</v>
      </c>
      <c r="N5352" s="3" t="s">
        <v>438</v>
      </c>
      <c r="P5352" s="3" t="s">
        <v>64</v>
      </c>
      <c r="R5352" s="3" t="s">
        <v>46535</v>
      </c>
      <c r="S5352" s="4">
        <v>17</v>
      </c>
      <c r="T5352" s="4">
        <v>154</v>
      </c>
      <c r="U5352" s="5" t="s">
        <v>1833</v>
      </c>
      <c r="V5352" s="5" t="s">
        <v>13420</v>
      </c>
      <c r="W5352" s="5" t="s">
        <v>67</v>
      </c>
      <c r="X5352" s="5" t="s">
        <v>67</v>
      </c>
      <c r="Y5352" s="4">
        <v>484</v>
      </c>
      <c r="Z5352" s="4">
        <v>36</v>
      </c>
      <c r="AA5352" s="4">
        <v>104</v>
      </c>
      <c r="AB5352" s="4">
        <v>3</v>
      </c>
      <c r="AC5352" s="4">
        <v>17</v>
      </c>
      <c r="AD5352" s="4">
        <v>117</v>
      </c>
      <c r="AE5352" s="4">
        <v>154</v>
      </c>
      <c r="AF5352" s="4">
        <v>2</v>
      </c>
      <c r="AG5352" s="4">
        <v>8</v>
      </c>
      <c r="AH5352" s="4">
        <v>96</v>
      </c>
      <c r="AI5352" s="4">
        <v>107</v>
      </c>
      <c r="AJ5352" s="4">
        <v>20</v>
      </c>
      <c r="AK5352" s="4">
        <v>28</v>
      </c>
      <c r="AL5352" s="4">
        <v>53</v>
      </c>
      <c r="AM5352" s="4">
        <v>59</v>
      </c>
      <c r="AN5352" s="4">
        <v>0</v>
      </c>
      <c r="AO5352" s="4">
        <v>0</v>
      </c>
      <c r="AP5352" s="4">
        <v>27</v>
      </c>
      <c r="AQ5352" s="4">
        <v>53</v>
      </c>
      <c r="AR5352" s="3" t="s">
        <v>62</v>
      </c>
      <c r="AS5352" s="3" t="s">
        <v>62</v>
      </c>
      <c r="AT5352" s="3" t="s">
        <v>62</v>
      </c>
      <c r="AV5352" s="6" t="str">
        <f t="shared" si="81"/>
        <v>Catalog Record</v>
      </c>
      <c r="AW5352" s="6" t="str">
        <f t="shared" si="82"/>
        <v>WorldCat Record</v>
      </c>
      <c r="AX5352" s="3" t="s">
        <v>51252</v>
      </c>
      <c r="AY5352" s="3" t="s">
        <v>51253</v>
      </c>
      <c r="AZ5352" s="3" t="s">
        <v>51254</v>
      </c>
      <c r="BA5352" s="3" t="s">
        <v>51254</v>
      </c>
      <c r="BB5352" s="3" t="s">
        <v>51260</v>
      </c>
      <c r="BC5352" s="3" t="s">
        <v>102</v>
      </c>
      <c r="BD5352" s="3" t="s">
        <v>68</v>
      </c>
      <c r="BE5352" s="3" t="s">
        <v>51256</v>
      </c>
      <c r="BF5352" s="3" t="s">
        <v>51260</v>
      </c>
      <c r="BG5352" s="3" t="s">
        <v>51261</v>
      </c>
    </row>
    <row r="5353" spans="1:59" ht="58" x14ac:dyDescent="0.35">
      <c r="A5353" s="2" t="s">
        <v>89</v>
      </c>
      <c r="B5353" s="2" t="s">
        <v>90</v>
      </c>
      <c r="C5353" s="2" t="s">
        <v>51248</v>
      </c>
      <c r="D5353" s="2" t="s">
        <v>51249</v>
      </c>
      <c r="E5353" s="2" t="s">
        <v>51250</v>
      </c>
      <c r="G5353" s="3" t="s">
        <v>62</v>
      </c>
      <c r="I5353" s="3" t="s">
        <v>61</v>
      </c>
      <c r="J5353" s="3" t="s">
        <v>62</v>
      </c>
      <c r="K5353" s="3" t="s">
        <v>63</v>
      </c>
      <c r="L5353" s="2" t="s">
        <v>51251</v>
      </c>
      <c r="M5353" s="2" t="s">
        <v>16591</v>
      </c>
      <c r="N5353" s="3" t="s">
        <v>438</v>
      </c>
      <c r="P5353" s="3" t="s">
        <v>64</v>
      </c>
      <c r="R5353" s="3" t="s">
        <v>46535</v>
      </c>
      <c r="S5353" s="4">
        <v>67</v>
      </c>
      <c r="T5353" s="4">
        <v>154</v>
      </c>
      <c r="U5353" s="5" t="s">
        <v>26967</v>
      </c>
      <c r="V5353" s="5" t="s">
        <v>13420</v>
      </c>
      <c r="W5353" s="5" t="s">
        <v>67</v>
      </c>
      <c r="X5353" s="5" t="s">
        <v>67</v>
      </c>
      <c r="Y5353" s="4">
        <v>484</v>
      </c>
      <c r="Z5353" s="4">
        <v>36</v>
      </c>
      <c r="AA5353" s="4">
        <v>104</v>
      </c>
      <c r="AB5353" s="4">
        <v>3</v>
      </c>
      <c r="AC5353" s="4">
        <v>17</v>
      </c>
      <c r="AD5353" s="4">
        <v>117</v>
      </c>
      <c r="AE5353" s="4">
        <v>154</v>
      </c>
      <c r="AF5353" s="4">
        <v>2</v>
      </c>
      <c r="AG5353" s="4">
        <v>8</v>
      </c>
      <c r="AH5353" s="4">
        <v>96</v>
      </c>
      <c r="AI5353" s="4">
        <v>107</v>
      </c>
      <c r="AJ5353" s="4">
        <v>20</v>
      </c>
      <c r="AK5353" s="4">
        <v>28</v>
      </c>
      <c r="AL5353" s="4">
        <v>53</v>
      </c>
      <c r="AM5353" s="4">
        <v>59</v>
      </c>
      <c r="AN5353" s="4">
        <v>0</v>
      </c>
      <c r="AO5353" s="4">
        <v>0</v>
      </c>
      <c r="AP5353" s="4">
        <v>27</v>
      </c>
      <c r="AQ5353" s="4">
        <v>53</v>
      </c>
      <c r="AR5353" s="3" t="s">
        <v>62</v>
      </c>
      <c r="AS5353" s="3" t="s">
        <v>62</v>
      </c>
      <c r="AT5353" s="3" t="s">
        <v>62</v>
      </c>
      <c r="AV5353" s="6" t="str">
        <f t="shared" si="81"/>
        <v>Catalog Record</v>
      </c>
      <c r="AW5353" s="6" t="str">
        <f t="shared" si="82"/>
        <v>WorldCat Record</v>
      </c>
      <c r="AX5353" s="3" t="s">
        <v>51252</v>
      </c>
      <c r="AY5353" s="3" t="s">
        <v>51253</v>
      </c>
      <c r="AZ5353" s="3" t="s">
        <v>51254</v>
      </c>
      <c r="BA5353" s="3" t="s">
        <v>51254</v>
      </c>
      <c r="BB5353" s="3" t="s">
        <v>51262</v>
      </c>
      <c r="BC5353" s="3" t="s">
        <v>102</v>
      </c>
      <c r="BD5353" s="3" t="s">
        <v>68</v>
      </c>
      <c r="BE5353" s="3" t="s">
        <v>51256</v>
      </c>
      <c r="BF5353" s="3" t="s">
        <v>51262</v>
      </c>
      <c r="BG5353" s="3" t="s">
        <v>51263</v>
      </c>
    </row>
    <row r="5354" spans="1:59" ht="58" x14ac:dyDescent="0.35">
      <c r="A5354" s="2" t="s">
        <v>89</v>
      </c>
      <c r="B5354" s="2" t="s">
        <v>90</v>
      </c>
      <c r="C5354" s="2" t="s">
        <v>51248</v>
      </c>
      <c r="D5354" s="2" t="s">
        <v>51249</v>
      </c>
      <c r="E5354" s="2" t="s">
        <v>51250</v>
      </c>
      <c r="G5354" s="3" t="s">
        <v>62</v>
      </c>
      <c r="I5354" s="3" t="s">
        <v>61</v>
      </c>
      <c r="J5354" s="3" t="s">
        <v>62</v>
      </c>
      <c r="K5354" s="3" t="s">
        <v>63</v>
      </c>
      <c r="L5354" s="2" t="s">
        <v>51251</v>
      </c>
      <c r="M5354" s="2" t="s">
        <v>16591</v>
      </c>
      <c r="N5354" s="3" t="s">
        <v>438</v>
      </c>
      <c r="P5354" s="3" t="s">
        <v>64</v>
      </c>
      <c r="R5354" s="3" t="s">
        <v>46535</v>
      </c>
      <c r="S5354" s="4">
        <v>19</v>
      </c>
      <c r="T5354" s="4">
        <v>154</v>
      </c>
      <c r="U5354" s="5" t="s">
        <v>7025</v>
      </c>
      <c r="V5354" s="5" t="s">
        <v>13420</v>
      </c>
      <c r="W5354" s="5" t="s">
        <v>67</v>
      </c>
      <c r="X5354" s="5" t="s">
        <v>67</v>
      </c>
      <c r="Y5354" s="4">
        <v>484</v>
      </c>
      <c r="Z5354" s="4">
        <v>36</v>
      </c>
      <c r="AA5354" s="4">
        <v>104</v>
      </c>
      <c r="AB5354" s="4">
        <v>3</v>
      </c>
      <c r="AC5354" s="4">
        <v>17</v>
      </c>
      <c r="AD5354" s="4">
        <v>117</v>
      </c>
      <c r="AE5354" s="4">
        <v>154</v>
      </c>
      <c r="AF5354" s="4">
        <v>2</v>
      </c>
      <c r="AG5354" s="4">
        <v>8</v>
      </c>
      <c r="AH5354" s="4">
        <v>96</v>
      </c>
      <c r="AI5354" s="4">
        <v>107</v>
      </c>
      <c r="AJ5354" s="4">
        <v>20</v>
      </c>
      <c r="AK5354" s="4">
        <v>28</v>
      </c>
      <c r="AL5354" s="4">
        <v>53</v>
      </c>
      <c r="AM5354" s="4">
        <v>59</v>
      </c>
      <c r="AN5354" s="4">
        <v>0</v>
      </c>
      <c r="AO5354" s="4">
        <v>0</v>
      </c>
      <c r="AP5354" s="4">
        <v>27</v>
      </c>
      <c r="AQ5354" s="4">
        <v>53</v>
      </c>
      <c r="AR5354" s="3" t="s">
        <v>62</v>
      </c>
      <c r="AS5354" s="3" t="s">
        <v>62</v>
      </c>
      <c r="AT5354" s="3" t="s">
        <v>62</v>
      </c>
      <c r="AV5354" s="6" t="str">
        <f t="shared" si="81"/>
        <v>Catalog Record</v>
      </c>
      <c r="AW5354" s="6" t="str">
        <f t="shared" si="82"/>
        <v>WorldCat Record</v>
      </c>
      <c r="AX5354" s="3" t="s">
        <v>51252</v>
      </c>
      <c r="AY5354" s="3" t="s">
        <v>51253</v>
      </c>
      <c r="AZ5354" s="3" t="s">
        <v>51254</v>
      </c>
      <c r="BA5354" s="3" t="s">
        <v>51254</v>
      </c>
      <c r="BB5354" s="3" t="s">
        <v>51264</v>
      </c>
      <c r="BC5354" s="3" t="s">
        <v>102</v>
      </c>
      <c r="BD5354" s="3" t="s">
        <v>231</v>
      </c>
      <c r="BE5354" s="3" t="s">
        <v>51256</v>
      </c>
      <c r="BF5354" s="3" t="s">
        <v>51264</v>
      </c>
      <c r="BG5354" s="3" t="s">
        <v>51265</v>
      </c>
    </row>
    <row r="5355" spans="1:59" ht="58" x14ac:dyDescent="0.35">
      <c r="A5355" s="2" t="s">
        <v>89</v>
      </c>
      <c r="B5355" s="2" t="s">
        <v>90</v>
      </c>
      <c r="C5355" s="2" t="s">
        <v>51248</v>
      </c>
      <c r="D5355" s="2" t="s">
        <v>51249</v>
      </c>
      <c r="E5355" s="2" t="s">
        <v>51250</v>
      </c>
      <c r="G5355" s="3" t="s">
        <v>62</v>
      </c>
      <c r="I5355" s="3" t="s">
        <v>61</v>
      </c>
      <c r="J5355" s="3" t="s">
        <v>62</v>
      </c>
      <c r="K5355" s="3" t="s">
        <v>63</v>
      </c>
      <c r="L5355" s="2" t="s">
        <v>51251</v>
      </c>
      <c r="M5355" s="2" t="s">
        <v>16591</v>
      </c>
      <c r="N5355" s="3" t="s">
        <v>438</v>
      </c>
      <c r="P5355" s="3" t="s">
        <v>64</v>
      </c>
      <c r="R5355" s="3" t="s">
        <v>46535</v>
      </c>
      <c r="S5355" s="4">
        <v>4</v>
      </c>
      <c r="T5355" s="4">
        <v>154</v>
      </c>
      <c r="U5355" s="5" t="s">
        <v>1279</v>
      </c>
      <c r="V5355" s="5" t="s">
        <v>13420</v>
      </c>
      <c r="W5355" s="5" t="s">
        <v>67</v>
      </c>
      <c r="X5355" s="5" t="s">
        <v>67</v>
      </c>
      <c r="Y5355" s="4">
        <v>484</v>
      </c>
      <c r="Z5355" s="4">
        <v>36</v>
      </c>
      <c r="AA5355" s="4">
        <v>104</v>
      </c>
      <c r="AB5355" s="4">
        <v>3</v>
      </c>
      <c r="AC5355" s="4">
        <v>17</v>
      </c>
      <c r="AD5355" s="4">
        <v>117</v>
      </c>
      <c r="AE5355" s="4">
        <v>154</v>
      </c>
      <c r="AF5355" s="4">
        <v>2</v>
      </c>
      <c r="AG5355" s="4">
        <v>8</v>
      </c>
      <c r="AH5355" s="4">
        <v>96</v>
      </c>
      <c r="AI5355" s="4">
        <v>107</v>
      </c>
      <c r="AJ5355" s="4">
        <v>20</v>
      </c>
      <c r="AK5355" s="4">
        <v>28</v>
      </c>
      <c r="AL5355" s="4">
        <v>53</v>
      </c>
      <c r="AM5355" s="4">
        <v>59</v>
      </c>
      <c r="AN5355" s="4">
        <v>0</v>
      </c>
      <c r="AO5355" s="4">
        <v>0</v>
      </c>
      <c r="AP5355" s="4">
        <v>27</v>
      </c>
      <c r="AQ5355" s="4">
        <v>53</v>
      </c>
      <c r="AR5355" s="3" t="s">
        <v>62</v>
      </c>
      <c r="AS5355" s="3" t="s">
        <v>62</v>
      </c>
      <c r="AT5355" s="3" t="s">
        <v>62</v>
      </c>
      <c r="AV5355" s="6" t="str">
        <f t="shared" si="81"/>
        <v>Catalog Record</v>
      </c>
      <c r="AW5355" s="6" t="str">
        <f t="shared" si="82"/>
        <v>WorldCat Record</v>
      </c>
      <c r="AX5355" s="3" t="s">
        <v>51252</v>
      </c>
      <c r="AY5355" s="3" t="s">
        <v>51253</v>
      </c>
      <c r="AZ5355" s="3" t="s">
        <v>51254</v>
      </c>
      <c r="BA5355" s="3" t="s">
        <v>51254</v>
      </c>
      <c r="BB5355" s="3" t="s">
        <v>51266</v>
      </c>
      <c r="BC5355" s="3" t="s">
        <v>102</v>
      </c>
      <c r="BD5355" s="3" t="s">
        <v>68</v>
      </c>
      <c r="BE5355" s="3" t="s">
        <v>51256</v>
      </c>
      <c r="BF5355" s="3" t="s">
        <v>51266</v>
      </c>
      <c r="BG5355" s="3" t="s">
        <v>51267</v>
      </c>
    </row>
    <row r="5356" spans="1:59" ht="58" x14ac:dyDescent="0.35">
      <c r="A5356" s="2" t="s">
        <v>89</v>
      </c>
      <c r="B5356" s="2" t="s">
        <v>90</v>
      </c>
      <c r="C5356" s="2" t="s">
        <v>51268</v>
      </c>
      <c r="D5356" s="2" t="s">
        <v>51269</v>
      </c>
      <c r="E5356" s="2" t="s">
        <v>51270</v>
      </c>
      <c r="G5356" s="3" t="s">
        <v>62</v>
      </c>
      <c r="I5356" s="3" t="s">
        <v>62</v>
      </c>
      <c r="J5356" s="3" t="s">
        <v>62</v>
      </c>
      <c r="K5356" s="3" t="s">
        <v>63</v>
      </c>
      <c r="L5356" s="2" t="s">
        <v>51271</v>
      </c>
      <c r="M5356" s="2" t="s">
        <v>51272</v>
      </c>
      <c r="N5356" s="3" t="s">
        <v>424</v>
      </c>
      <c r="P5356" s="3" t="s">
        <v>64</v>
      </c>
      <c r="Q5356" s="2" t="s">
        <v>51273</v>
      </c>
      <c r="R5356" s="3" t="s">
        <v>46535</v>
      </c>
      <c r="S5356" s="4">
        <v>11</v>
      </c>
      <c r="T5356" s="4">
        <v>11</v>
      </c>
      <c r="U5356" s="5" t="s">
        <v>3355</v>
      </c>
      <c r="V5356" s="5" t="s">
        <v>3355</v>
      </c>
      <c r="W5356" s="5" t="s">
        <v>67</v>
      </c>
      <c r="X5356" s="5" t="s">
        <v>67</v>
      </c>
      <c r="Y5356" s="4">
        <v>218</v>
      </c>
      <c r="Z5356" s="4">
        <v>17</v>
      </c>
      <c r="AA5356" s="4">
        <v>98</v>
      </c>
      <c r="AB5356" s="4">
        <v>4</v>
      </c>
      <c r="AC5356" s="4">
        <v>19</v>
      </c>
      <c r="AD5356" s="4">
        <v>83</v>
      </c>
      <c r="AE5356" s="4">
        <v>132</v>
      </c>
      <c r="AF5356" s="4">
        <v>1</v>
      </c>
      <c r="AG5356" s="4">
        <v>8</v>
      </c>
      <c r="AH5356" s="4">
        <v>77</v>
      </c>
      <c r="AI5356" s="4">
        <v>96</v>
      </c>
      <c r="AJ5356" s="4">
        <v>12</v>
      </c>
      <c r="AK5356" s="4">
        <v>25</v>
      </c>
      <c r="AL5356" s="4">
        <v>45</v>
      </c>
      <c r="AM5356" s="4">
        <v>50</v>
      </c>
      <c r="AN5356" s="4">
        <v>0</v>
      </c>
      <c r="AO5356" s="4">
        <v>0</v>
      </c>
      <c r="AP5356" s="4">
        <v>13</v>
      </c>
      <c r="AQ5356" s="4">
        <v>46</v>
      </c>
      <c r="AR5356" s="3" t="s">
        <v>62</v>
      </c>
      <c r="AS5356" s="3" t="s">
        <v>62</v>
      </c>
      <c r="AT5356" s="3" t="s">
        <v>62</v>
      </c>
      <c r="AV5356" s="6" t="str">
        <f>HYPERLINK("http://mcgill.on.worldcat.org/oclc/14097332","Catalog Record")</f>
        <v>Catalog Record</v>
      </c>
      <c r="AW5356" s="6" t="str">
        <f>HYPERLINK("http://www.worldcat.org/oclc/14097332","WorldCat Record")</f>
        <v>WorldCat Record</v>
      </c>
      <c r="AX5356" s="3" t="s">
        <v>51274</v>
      </c>
      <c r="AY5356" s="3" t="s">
        <v>51275</v>
      </c>
      <c r="AZ5356" s="3" t="s">
        <v>51276</v>
      </c>
      <c r="BA5356" s="3" t="s">
        <v>51276</v>
      </c>
      <c r="BB5356" s="3" t="s">
        <v>51277</v>
      </c>
      <c r="BC5356" s="3" t="s">
        <v>102</v>
      </c>
      <c r="BD5356" s="3" t="s">
        <v>68</v>
      </c>
      <c r="BE5356" s="3" t="s">
        <v>51278</v>
      </c>
      <c r="BF5356" s="3" t="s">
        <v>51277</v>
      </c>
      <c r="BG5356" s="3" t="s">
        <v>51279</v>
      </c>
    </row>
    <row r="5357" spans="1:59" ht="58" x14ac:dyDescent="0.35">
      <c r="A5357" s="2" t="s">
        <v>89</v>
      </c>
      <c r="B5357" s="2" t="s">
        <v>90</v>
      </c>
      <c r="C5357" s="2" t="s">
        <v>51280</v>
      </c>
      <c r="D5357" s="2" t="s">
        <v>51281</v>
      </c>
      <c r="E5357" s="2" t="s">
        <v>51282</v>
      </c>
      <c r="G5357" s="3" t="s">
        <v>62</v>
      </c>
      <c r="I5357" s="3" t="s">
        <v>62</v>
      </c>
      <c r="J5357" s="3" t="s">
        <v>62</v>
      </c>
      <c r="K5357" s="3" t="s">
        <v>63</v>
      </c>
      <c r="M5357" s="2" t="s">
        <v>25800</v>
      </c>
      <c r="N5357" s="3" t="s">
        <v>2136</v>
      </c>
      <c r="P5357" s="3" t="s">
        <v>64</v>
      </c>
      <c r="Q5357" s="2" t="s">
        <v>51283</v>
      </c>
      <c r="R5357" s="3" t="s">
        <v>46535</v>
      </c>
      <c r="S5357" s="4">
        <v>12</v>
      </c>
      <c r="T5357" s="4">
        <v>12</v>
      </c>
      <c r="U5357" s="5" t="s">
        <v>21560</v>
      </c>
      <c r="V5357" s="5" t="s">
        <v>21560</v>
      </c>
      <c r="W5357" s="5" t="s">
        <v>67</v>
      </c>
      <c r="X5357" s="5" t="s">
        <v>67</v>
      </c>
      <c r="Y5357" s="4">
        <v>126</v>
      </c>
      <c r="Z5357" s="4">
        <v>13</v>
      </c>
      <c r="AA5357" s="4">
        <v>47</v>
      </c>
      <c r="AB5357" s="4">
        <v>1</v>
      </c>
      <c r="AC5357" s="4">
        <v>12</v>
      </c>
      <c r="AD5357" s="4">
        <v>56</v>
      </c>
      <c r="AE5357" s="4">
        <v>110</v>
      </c>
      <c r="AF5357" s="4">
        <v>0</v>
      </c>
      <c r="AG5357" s="4">
        <v>7</v>
      </c>
      <c r="AH5357" s="4">
        <v>49</v>
      </c>
      <c r="AI5357" s="4">
        <v>81</v>
      </c>
      <c r="AJ5357" s="4">
        <v>11</v>
      </c>
      <c r="AK5357" s="4">
        <v>23</v>
      </c>
      <c r="AL5357" s="4">
        <v>29</v>
      </c>
      <c r="AM5357" s="4">
        <v>44</v>
      </c>
      <c r="AN5357" s="4">
        <v>0</v>
      </c>
      <c r="AO5357" s="4">
        <v>0</v>
      </c>
      <c r="AP5357" s="4">
        <v>11</v>
      </c>
      <c r="AQ5357" s="4">
        <v>39</v>
      </c>
      <c r="AR5357" s="3" t="s">
        <v>62</v>
      </c>
      <c r="AS5357" s="3" t="s">
        <v>62</v>
      </c>
      <c r="AT5357" s="3" t="s">
        <v>62</v>
      </c>
      <c r="AV5357" s="6" t="str">
        <f>HYPERLINK("http://mcgill.on.worldcat.org/oclc/56967229","Catalog Record")</f>
        <v>Catalog Record</v>
      </c>
      <c r="AW5357" s="6" t="str">
        <f>HYPERLINK("http://www.worldcat.org/oclc/56967229","WorldCat Record")</f>
        <v>WorldCat Record</v>
      </c>
      <c r="AX5357" s="3" t="s">
        <v>51284</v>
      </c>
      <c r="AY5357" s="3" t="s">
        <v>51285</v>
      </c>
      <c r="AZ5357" s="3" t="s">
        <v>51286</v>
      </c>
      <c r="BA5357" s="3" t="s">
        <v>51286</v>
      </c>
      <c r="BB5357" s="3" t="s">
        <v>51287</v>
      </c>
      <c r="BC5357" s="3" t="s">
        <v>102</v>
      </c>
      <c r="BD5357" s="3" t="s">
        <v>68</v>
      </c>
      <c r="BE5357" s="3" t="s">
        <v>51288</v>
      </c>
      <c r="BF5357" s="3" t="s">
        <v>51287</v>
      </c>
      <c r="BG5357" s="3" t="s">
        <v>51289</v>
      </c>
    </row>
    <row r="5358" spans="1:59" ht="58" x14ac:dyDescent="0.35">
      <c r="A5358" s="2" t="s">
        <v>89</v>
      </c>
      <c r="B5358" s="2" t="s">
        <v>90</v>
      </c>
      <c r="C5358" s="2" t="s">
        <v>51290</v>
      </c>
      <c r="D5358" s="2" t="s">
        <v>51291</v>
      </c>
      <c r="E5358" s="2" t="s">
        <v>51292</v>
      </c>
      <c r="G5358" s="3" t="s">
        <v>62</v>
      </c>
      <c r="I5358" s="3" t="s">
        <v>61</v>
      </c>
      <c r="J5358" s="3" t="s">
        <v>62</v>
      </c>
      <c r="K5358" s="3" t="s">
        <v>63</v>
      </c>
      <c r="L5358" s="2" t="s">
        <v>51293</v>
      </c>
      <c r="M5358" s="2" t="s">
        <v>51294</v>
      </c>
      <c r="N5358" s="3" t="s">
        <v>201</v>
      </c>
      <c r="P5358" s="3" t="s">
        <v>64</v>
      </c>
      <c r="Q5358" s="2" t="s">
        <v>51295</v>
      </c>
      <c r="R5358" s="3" t="s">
        <v>46535</v>
      </c>
      <c r="S5358" s="4">
        <v>15</v>
      </c>
      <c r="T5358" s="4">
        <v>16</v>
      </c>
      <c r="U5358" s="5" t="s">
        <v>3355</v>
      </c>
      <c r="V5358" s="5" t="s">
        <v>3355</v>
      </c>
      <c r="W5358" s="5" t="s">
        <v>67</v>
      </c>
      <c r="X5358" s="5" t="s">
        <v>67</v>
      </c>
      <c r="Y5358" s="4">
        <v>373</v>
      </c>
      <c r="Z5358" s="4">
        <v>24</v>
      </c>
      <c r="AA5358" s="4">
        <v>26</v>
      </c>
      <c r="AB5358" s="4">
        <v>3</v>
      </c>
      <c r="AC5358" s="4">
        <v>5</v>
      </c>
      <c r="AD5358" s="4">
        <v>102</v>
      </c>
      <c r="AE5358" s="4">
        <v>104</v>
      </c>
      <c r="AF5358" s="4">
        <v>1</v>
      </c>
      <c r="AG5358" s="4">
        <v>3</v>
      </c>
      <c r="AH5358" s="4">
        <v>86</v>
      </c>
      <c r="AI5358" s="4">
        <v>87</v>
      </c>
      <c r="AJ5358" s="4">
        <v>16</v>
      </c>
      <c r="AK5358" s="4">
        <v>18</v>
      </c>
      <c r="AL5358" s="4">
        <v>51</v>
      </c>
      <c r="AM5358" s="4">
        <v>51</v>
      </c>
      <c r="AN5358" s="4">
        <v>0</v>
      </c>
      <c r="AO5358" s="4">
        <v>0</v>
      </c>
      <c r="AP5358" s="4">
        <v>21</v>
      </c>
      <c r="AQ5358" s="4">
        <v>22</v>
      </c>
      <c r="AR5358" s="3" t="s">
        <v>62</v>
      </c>
      <c r="AS5358" s="3" t="s">
        <v>62</v>
      </c>
      <c r="AT5358" s="3" t="s">
        <v>61</v>
      </c>
      <c r="AU5358" s="6" t="str">
        <f>HYPERLINK("http://catalog.hathitrust.org/Record/000212840","HathiTrust Record")</f>
        <v>HathiTrust Record</v>
      </c>
      <c r="AV5358" s="6" t="str">
        <f>HYPERLINK("http://mcgill.on.worldcat.org/oclc/2936249","Catalog Record")</f>
        <v>Catalog Record</v>
      </c>
      <c r="AW5358" s="6" t="str">
        <f>HYPERLINK("http://www.worldcat.org/oclc/2936249","WorldCat Record")</f>
        <v>WorldCat Record</v>
      </c>
      <c r="AX5358" s="3" t="s">
        <v>51296</v>
      </c>
      <c r="AY5358" s="3" t="s">
        <v>51297</v>
      </c>
      <c r="AZ5358" s="3" t="s">
        <v>51298</v>
      </c>
      <c r="BA5358" s="3" t="s">
        <v>51298</v>
      </c>
      <c r="BB5358" s="3" t="s">
        <v>51299</v>
      </c>
      <c r="BC5358" s="3" t="s">
        <v>102</v>
      </c>
      <c r="BD5358" s="3" t="s">
        <v>68</v>
      </c>
      <c r="BE5358" s="3" t="s">
        <v>51300</v>
      </c>
      <c r="BF5358" s="3" t="s">
        <v>51299</v>
      </c>
      <c r="BG5358" s="3" t="s">
        <v>51301</v>
      </c>
    </row>
    <row r="5359" spans="1:59" ht="58" x14ac:dyDescent="0.35">
      <c r="A5359" s="2" t="s">
        <v>89</v>
      </c>
      <c r="B5359" s="2" t="s">
        <v>90</v>
      </c>
      <c r="C5359" s="2" t="s">
        <v>51302</v>
      </c>
      <c r="D5359" s="2" t="s">
        <v>51303</v>
      </c>
      <c r="E5359" s="2" t="s">
        <v>51304</v>
      </c>
      <c r="G5359" s="3" t="s">
        <v>62</v>
      </c>
      <c r="I5359" s="3" t="s">
        <v>62</v>
      </c>
      <c r="J5359" s="3" t="s">
        <v>62</v>
      </c>
      <c r="K5359" s="3" t="s">
        <v>63</v>
      </c>
      <c r="M5359" s="2" t="s">
        <v>50050</v>
      </c>
      <c r="N5359" s="3" t="s">
        <v>2136</v>
      </c>
      <c r="P5359" s="3" t="s">
        <v>64</v>
      </c>
      <c r="Q5359" s="2" t="s">
        <v>51305</v>
      </c>
      <c r="R5359" s="3" t="s">
        <v>46535</v>
      </c>
      <c r="S5359" s="4">
        <v>8</v>
      </c>
      <c r="T5359" s="4">
        <v>8</v>
      </c>
      <c r="U5359" s="5" t="s">
        <v>4701</v>
      </c>
      <c r="V5359" s="5" t="s">
        <v>4701</v>
      </c>
      <c r="W5359" s="5" t="s">
        <v>67</v>
      </c>
      <c r="X5359" s="5" t="s">
        <v>67</v>
      </c>
      <c r="Y5359" s="4">
        <v>120</v>
      </c>
      <c r="Z5359" s="4">
        <v>14</v>
      </c>
      <c r="AA5359" s="4">
        <v>47</v>
      </c>
      <c r="AB5359" s="4">
        <v>1</v>
      </c>
      <c r="AC5359" s="4">
        <v>12</v>
      </c>
      <c r="AD5359" s="4">
        <v>60</v>
      </c>
      <c r="AE5359" s="4">
        <v>110</v>
      </c>
      <c r="AF5359" s="4">
        <v>0</v>
      </c>
      <c r="AG5359" s="4">
        <v>7</v>
      </c>
      <c r="AH5359" s="4">
        <v>51</v>
      </c>
      <c r="AI5359" s="4">
        <v>80</v>
      </c>
      <c r="AJ5359" s="4">
        <v>11</v>
      </c>
      <c r="AK5359" s="4">
        <v>22</v>
      </c>
      <c r="AL5359" s="4">
        <v>34</v>
      </c>
      <c r="AM5359" s="4">
        <v>46</v>
      </c>
      <c r="AN5359" s="4">
        <v>0</v>
      </c>
      <c r="AO5359" s="4">
        <v>0</v>
      </c>
      <c r="AP5359" s="4">
        <v>12</v>
      </c>
      <c r="AQ5359" s="4">
        <v>39</v>
      </c>
      <c r="AR5359" s="3" t="s">
        <v>62</v>
      </c>
      <c r="AS5359" s="3" t="s">
        <v>62</v>
      </c>
      <c r="AT5359" s="3" t="s">
        <v>62</v>
      </c>
      <c r="AV5359" s="6" t="str">
        <f>HYPERLINK("http://mcgill.on.worldcat.org/oclc/61434419","Catalog Record")</f>
        <v>Catalog Record</v>
      </c>
      <c r="AW5359" s="6" t="str">
        <f>HYPERLINK("http://www.worldcat.org/oclc/61434419","WorldCat Record")</f>
        <v>WorldCat Record</v>
      </c>
      <c r="AX5359" s="3" t="s">
        <v>51306</v>
      </c>
      <c r="AY5359" s="3" t="s">
        <v>51307</v>
      </c>
      <c r="AZ5359" s="3" t="s">
        <v>51308</v>
      </c>
      <c r="BA5359" s="3" t="s">
        <v>51308</v>
      </c>
      <c r="BB5359" s="3" t="s">
        <v>51309</v>
      </c>
      <c r="BC5359" s="3" t="s">
        <v>102</v>
      </c>
      <c r="BD5359" s="3" t="s">
        <v>68</v>
      </c>
      <c r="BE5359" s="3" t="s">
        <v>51310</v>
      </c>
      <c r="BF5359" s="3" t="s">
        <v>51309</v>
      </c>
      <c r="BG5359" s="3" t="s">
        <v>51311</v>
      </c>
    </row>
    <row r="5360" spans="1:59" ht="58" x14ac:dyDescent="0.35">
      <c r="A5360" s="2" t="s">
        <v>59</v>
      </c>
      <c r="B5360" s="2" t="s">
        <v>60</v>
      </c>
      <c r="C5360" s="2" t="s">
        <v>51312</v>
      </c>
      <c r="D5360" s="2" t="s">
        <v>51313</v>
      </c>
      <c r="E5360" s="2" t="s">
        <v>51314</v>
      </c>
      <c r="G5360" s="3" t="s">
        <v>62</v>
      </c>
      <c r="I5360" s="3" t="s">
        <v>61</v>
      </c>
      <c r="J5360" s="3" t="s">
        <v>62</v>
      </c>
      <c r="K5360" s="3" t="s">
        <v>63</v>
      </c>
      <c r="L5360" s="2" t="s">
        <v>51315</v>
      </c>
      <c r="M5360" s="2" t="s">
        <v>51316</v>
      </c>
      <c r="N5360" s="3" t="s">
        <v>87</v>
      </c>
      <c r="P5360" s="3" t="s">
        <v>64</v>
      </c>
      <c r="R5360" s="3" t="s">
        <v>46535</v>
      </c>
      <c r="S5360" s="4">
        <v>8</v>
      </c>
      <c r="T5360" s="4">
        <v>74</v>
      </c>
      <c r="U5360" s="5" t="s">
        <v>51317</v>
      </c>
      <c r="V5360" s="5" t="s">
        <v>36908</v>
      </c>
      <c r="W5360" s="5" t="s">
        <v>67</v>
      </c>
      <c r="X5360" s="5" t="s">
        <v>67</v>
      </c>
      <c r="Y5360" s="4">
        <v>266</v>
      </c>
      <c r="Z5360" s="4">
        <v>19</v>
      </c>
      <c r="AA5360" s="4">
        <v>25</v>
      </c>
      <c r="AB5360" s="4">
        <v>4</v>
      </c>
      <c r="AC5360" s="4">
        <v>8</v>
      </c>
      <c r="AD5360" s="4">
        <v>93</v>
      </c>
      <c r="AE5360" s="4">
        <v>100</v>
      </c>
      <c r="AF5360" s="4">
        <v>1</v>
      </c>
      <c r="AG5360" s="4">
        <v>4</v>
      </c>
      <c r="AH5360" s="4">
        <v>82</v>
      </c>
      <c r="AI5360" s="4">
        <v>85</v>
      </c>
      <c r="AJ5360" s="4">
        <v>11</v>
      </c>
      <c r="AK5360" s="4">
        <v>15</v>
      </c>
      <c r="AL5360" s="4">
        <v>48</v>
      </c>
      <c r="AM5360" s="4">
        <v>50</v>
      </c>
      <c r="AN5360" s="4">
        <v>0</v>
      </c>
      <c r="AO5360" s="4">
        <v>0</v>
      </c>
      <c r="AP5360" s="4">
        <v>13</v>
      </c>
      <c r="AQ5360" s="4">
        <v>17</v>
      </c>
      <c r="AR5360" s="3" t="s">
        <v>62</v>
      </c>
      <c r="AS5360" s="3" t="s">
        <v>62</v>
      </c>
      <c r="AT5360" s="3" t="s">
        <v>61</v>
      </c>
      <c r="AU5360" s="6" t="str">
        <f>HYPERLINK("http://catalog.hathitrust.org/Record/000255576","HathiTrust Record")</f>
        <v>HathiTrust Record</v>
      </c>
      <c r="AV5360" s="6" t="str">
        <f>HYPERLINK("http://mcgill.on.worldcat.org/oclc/4492611","Catalog Record")</f>
        <v>Catalog Record</v>
      </c>
      <c r="AW5360" s="6" t="str">
        <f>HYPERLINK("http://www.worldcat.org/oclc/4492611","WorldCat Record")</f>
        <v>WorldCat Record</v>
      </c>
      <c r="AX5360" s="3" t="s">
        <v>51318</v>
      </c>
      <c r="AY5360" s="3" t="s">
        <v>51319</v>
      </c>
      <c r="AZ5360" s="3" t="s">
        <v>51320</v>
      </c>
      <c r="BA5360" s="3" t="s">
        <v>51320</v>
      </c>
      <c r="BB5360" s="3" t="s">
        <v>51321</v>
      </c>
      <c r="BC5360" s="3" t="s">
        <v>102</v>
      </c>
      <c r="BD5360" s="3" t="s">
        <v>68</v>
      </c>
      <c r="BE5360" s="3" t="s">
        <v>51322</v>
      </c>
      <c r="BF5360" s="3" t="s">
        <v>51321</v>
      </c>
      <c r="BG5360" s="3" t="s">
        <v>51323</v>
      </c>
    </row>
    <row r="5361" spans="1:59" ht="58" x14ac:dyDescent="0.35">
      <c r="A5361" s="2" t="s">
        <v>89</v>
      </c>
      <c r="B5361" s="2" t="s">
        <v>90</v>
      </c>
      <c r="C5361" s="2" t="s">
        <v>51324</v>
      </c>
      <c r="D5361" s="2" t="s">
        <v>51325</v>
      </c>
      <c r="E5361" s="2" t="s">
        <v>51326</v>
      </c>
      <c r="G5361" s="3" t="s">
        <v>62</v>
      </c>
      <c r="I5361" s="3" t="s">
        <v>62</v>
      </c>
      <c r="J5361" s="3" t="s">
        <v>62</v>
      </c>
      <c r="K5361" s="3" t="s">
        <v>63</v>
      </c>
      <c r="L5361" s="2" t="s">
        <v>51327</v>
      </c>
      <c r="M5361" s="2" t="s">
        <v>51328</v>
      </c>
      <c r="N5361" s="3" t="s">
        <v>712</v>
      </c>
      <c r="P5361" s="3" t="s">
        <v>64</v>
      </c>
      <c r="R5361" s="3" t="s">
        <v>46535</v>
      </c>
      <c r="S5361" s="4">
        <v>0</v>
      </c>
      <c r="T5361" s="4">
        <v>0</v>
      </c>
      <c r="W5361" s="5" t="s">
        <v>67</v>
      </c>
      <c r="X5361" s="5" t="s">
        <v>67</v>
      </c>
      <c r="Y5361" s="4">
        <v>102</v>
      </c>
      <c r="Z5361" s="4">
        <v>9</v>
      </c>
      <c r="AA5361" s="4">
        <v>17</v>
      </c>
      <c r="AB5361" s="4">
        <v>1</v>
      </c>
      <c r="AC5361" s="4">
        <v>5</v>
      </c>
      <c r="AD5361" s="4">
        <v>40</v>
      </c>
      <c r="AE5361" s="4">
        <v>64</v>
      </c>
      <c r="AF5361" s="4">
        <v>0</v>
      </c>
      <c r="AG5361" s="4">
        <v>1</v>
      </c>
      <c r="AH5361" s="4">
        <v>36</v>
      </c>
      <c r="AI5361" s="4">
        <v>56</v>
      </c>
      <c r="AJ5361" s="4">
        <v>7</v>
      </c>
      <c r="AK5361" s="4">
        <v>10</v>
      </c>
      <c r="AL5361" s="4">
        <v>18</v>
      </c>
      <c r="AM5361" s="4">
        <v>31</v>
      </c>
      <c r="AN5361" s="4">
        <v>0</v>
      </c>
      <c r="AO5361" s="4">
        <v>0</v>
      </c>
      <c r="AP5361" s="4">
        <v>7</v>
      </c>
      <c r="AQ5361" s="4">
        <v>11</v>
      </c>
      <c r="AR5361" s="3" t="s">
        <v>62</v>
      </c>
      <c r="AS5361" s="3" t="s">
        <v>62</v>
      </c>
      <c r="AT5361" s="3" t="s">
        <v>62</v>
      </c>
      <c r="AV5361" s="6" t="str">
        <f>HYPERLINK("http://mcgill.on.worldcat.org/oclc/870896276","Catalog Record")</f>
        <v>Catalog Record</v>
      </c>
      <c r="AW5361" s="6" t="str">
        <f>HYPERLINK("http://www.worldcat.org/oclc/870896276","WorldCat Record")</f>
        <v>WorldCat Record</v>
      </c>
      <c r="AX5361" s="3" t="s">
        <v>51329</v>
      </c>
      <c r="AY5361" s="3" t="s">
        <v>51330</v>
      </c>
      <c r="AZ5361" s="3" t="s">
        <v>51331</v>
      </c>
      <c r="BA5361" s="3" t="s">
        <v>51331</v>
      </c>
      <c r="BB5361" s="3" t="s">
        <v>51332</v>
      </c>
      <c r="BC5361" s="3" t="s">
        <v>102</v>
      </c>
      <c r="BD5361" s="3" t="s">
        <v>68</v>
      </c>
      <c r="BE5361" s="3" t="s">
        <v>51333</v>
      </c>
      <c r="BF5361" s="3" t="s">
        <v>51332</v>
      </c>
      <c r="BG5361" s="3" t="s">
        <v>51334</v>
      </c>
    </row>
    <row r="5362" spans="1:59" ht="58" x14ac:dyDescent="0.35">
      <c r="A5362" s="2" t="s">
        <v>89</v>
      </c>
      <c r="B5362" s="2" t="s">
        <v>90</v>
      </c>
      <c r="C5362" s="2" t="s">
        <v>51335</v>
      </c>
      <c r="D5362" s="2" t="s">
        <v>51336</v>
      </c>
      <c r="E5362" s="2" t="s">
        <v>51337</v>
      </c>
      <c r="G5362" s="3" t="s">
        <v>62</v>
      </c>
      <c r="I5362" s="3" t="s">
        <v>61</v>
      </c>
      <c r="J5362" s="3" t="s">
        <v>62</v>
      </c>
      <c r="K5362" s="3" t="s">
        <v>63</v>
      </c>
      <c r="L5362" s="2" t="s">
        <v>51338</v>
      </c>
      <c r="M5362" s="2" t="s">
        <v>51339</v>
      </c>
      <c r="N5362" s="3" t="s">
        <v>2136</v>
      </c>
      <c r="P5362" s="3" t="s">
        <v>64</v>
      </c>
      <c r="R5362" s="3" t="s">
        <v>46535</v>
      </c>
      <c r="S5362" s="4">
        <v>10</v>
      </c>
      <c r="T5362" s="4">
        <v>20</v>
      </c>
      <c r="U5362" s="5" t="s">
        <v>51340</v>
      </c>
      <c r="V5362" s="5" t="s">
        <v>8791</v>
      </c>
      <c r="W5362" s="5" t="s">
        <v>67</v>
      </c>
      <c r="X5362" s="5" t="s">
        <v>67</v>
      </c>
      <c r="Y5362" s="4">
        <v>416</v>
      </c>
      <c r="Z5362" s="4">
        <v>20</v>
      </c>
      <c r="AA5362" s="4">
        <v>74</v>
      </c>
      <c r="AB5362" s="4">
        <v>2</v>
      </c>
      <c r="AC5362" s="4">
        <v>17</v>
      </c>
      <c r="AD5362" s="4">
        <v>108</v>
      </c>
      <c r="AE5362" s="4">
        <v>150</v>
      </c>
      <c r="AF5362" s="4">
        <v>1</v>
      </c>
      <c r="AG5362" s="4">
        <v>8</v>
      </c>
      <c r="AH5362" s="4">
        <v>94</v>
      </c>
      <c r="AI5362" s="4">
        <v>103</v>
      </c>
      <c r="AJ5362" s="4">
        <v>12</v>
      </c>
      <c r="AK5362" s="4">
        <v>27</v>
      </c>
      <c r="AL5362" s="4">
        <v>55</v>
      </c>
      <c r="AM5362" s="4">
        <v>55</v>
      </c>
      <c r="AN5362" s="4">
        <v>0</v>
      </c>
      <c r="AO5362" s="4">
        <v>0</v>
      </c>
      <c r="AP5362" s="4">
        <v>17</v>
      </c>
      <c r="AQ5362" s="4">
        <v>54</v>
      </c>
      <c r="AR5362" s="3" t="s">
        <v>62</v>
      </c>
      <c r="AS5362" s="3" t="s">
        <v>62</v>
      </c>
      <c r="AT5362" s="3" t="s">
        <v>61</v>
      </c>
      <c r="AU5362" s="6" t="str">
        <f>HYPERLINK("http://catalog.hathitrust.org/Record/004920815","HathiTrust Record")</f>
        <v>HathiTrust Record</v>
      </c>
      <c r="AV5362" s="6" t="str">
        <f>HYPERLINK("http://mcgill.on.worldcat.org/oclc/55055487","Catalog Record")</f>
        <v>Catalog Record</v>
      </c>
      <c r="AW5362" s="6" t="str">
        <f>HYPERLINK("http://www.worldcat.org/oclc/55055487","WorldCat Record")</f>
        <v>WorldCat Record</v>
      </c>
      <c r="AX5362" s="3" t="s">
        <v>51341</v>
      </c>
      <c r="AY5362" s="3" t="s">
        <v>51342</v>
      </c>
      <c r="AZ5362" s="3" t="s">
        <v>51343</v>
      </c>
      <c r="BA5362" s="3" t="s">
        <v>51343</v>
      </c>
      <c r="BB5362" s="3" t="s">
        <v>51344</v>
      </c>
      <c r="BC5362" s="3" t="s">
        <v>102</v>
      </c>
      <c r="BD5362" s="3" t="s">
        <v>68</v>
      </c>
      <c r="BE5362" s="3" t="s">
        <v>51345</v>
      </c>
      <c r="BF5362" s="3" t="s">
        <v>51344</v>
      </c>
      <c r="BG5362" s="3" t="s">
        <v>51346</v>
      </c>
    </row>
    <row r="5363" spans="1:59" ht="58" x14ac:dyDescent="0.35">
      <c r="A5363" s="2" t="s">
        <v>89</v>
      </c>
      <c r="B5363" s="2" t="s">
        <v>90</v>
      </c>
      <c r="C5363" s="2" t="s">
        <v>51347</v>
      </c>
      <c r="D5363" s="2" t="s">
        <v>51348</v>
      </c>
      <c r="E5363" s="2" t="s">
        <v>51349</v>
      </c>
      <c r="G5363" s="3" t="s">
        <v>62</v>
      </c>
      <c r="I5363" s="3" t="s">
        <v>61</v>
      </c>
      <c r="J5363" s="3" t="s">
        <v>62</v>
      </c>
      <c r="K5363" s="3" t="s">
        <v>63</v>
      </c>
      <c r="L5363" s="2" t="s">
        <v>51350</v>
      </c>
      <c r="M5363" s="2" t="s">
        <v>51351</v>
      </c>
      <c r="N5363" s="3" t="s">
        <v>201</v>
      </c>
      <c r="P5363" s="3" t="s">
        <v>64</v>
      </c>
      <c r="Q5363" s="2" t="s">
        <v>51352</v>
      </c>
      <c r="R5363" s="3" t="s">
        <v>46535</v>
      </c>
      <c r="S5363" s="4">
        <v>61</v>
      </c>
      <c r="T5363" s="4">
        <v>104</v>
      </c>
      <c r="U5363" s="5" t="s">
        <v>9677</v>
      </c>
      <c r="V5363" s="5" t="s">
        <v>9677</v>
      </c>
      <c r="W5363" s="5" t="s">
        <v>67</v>
      </c>
      <c r="X5363" s="5" t="s">
        <v>67</v>
      </c>
      <c r="Y5363" s="4">
        <v>630</v>
      </c>
      <c r="Z5363" s="4">
        <v>37</v>
      </c>
      <c r="AA5363" s="4">
        <v>48</v>
      </c>
      <c r="AB5363" s="4">
        <v>2</v>
      </c>
      <c r="AC5363" s="4">
        <v>7</v>
      </c>
      <c r="AD5363" s="4">
        <v>130</v>
      </c>
      <c r="AE5363" s="4">
        <v>138</v>
      </c>
      <c r="AF5363" s="4">
        <v>0</v>
      </c>
      <c r="AG5363" s="4">
        <v>3</v>
      </c>
      <c r="AH5363" s="4">
        <v>111</v>
      </c>
      <c r="AI5363" s="4">
        <v>112</v>
      </c>
      <c r="AJ5363" s="4">
        <v>15</v>
      </c>
      <c r="AK5363" s="4">
        <v>19</v>
      </c>
      <c r="AL5363" s="4">
        <v>59</v>
      </c>
      <c r="AM5363" s="4">
        <v>60</v>
      </c>
      <c r="AN5363" s="4">
        <v>0</v>
      </c>
      <c r="AO5363" s="4">
        <v>0</v>
      </c>
      <c r="AP5363" s="4">
        <v>26</v>
      </c>
      <c r="AQ5363" s="4">
        <v>32</v>
      </c>
      <c r="AR5363" s="3" t="s">
        <v>62</v>
      </c>
      <c r="AS5363" s="3" t="s">
        <v>62</v>
      </c>
      <c r="AT5363" s="3" t="s">
        <v>62</v>
      </c>
      <c r="AV5363" s="6" t="str">
        <f>HYPERLINK("http://mcgill.on.worldcat.org/oclc/1676198","Catalog Record")</f>
        <v>Catalog Record</v>
      </c>
      <c r="AW5363" s="6" t="str">
        <f>HYPERLINK("http://www.worldcat.org/oclc/1676198","WorldCat Record")</f>
        <v>WorldCat Record</v>
      </c>
      <c r="AX5363" s="3" t="s">
        <v>51353</v>
      </c>
      <c r="AY5363" s="3" t="s">
        <v>51354</v>
      </c>
      <c r="AZ5363" s="3" t="s">
        <v>51355</v>
      </c>
      <c r="BA5363" s="3" t="s">
        <v>51355</v>
      </c>
      <c r="BB5363" s="3" t="s">
        <v>51356</v>
      </c>
      <c r="BC5363" s="3" t="s">
        <v>102</v>
      </c>
      <c r="BD5363" s="3" t="s">
        <v>68</v>
      </c>
      <c r="BE5363" s="3" t="s">
        <v>51357</v>
      </c>
      <c r="BF5363" s="3" t="s">
        <v>51356</v>
      </c>
      <c r="BG5363" s="3" t="s">
        <v>51358</v>
      </c>
    </row>
    <row r="5364" spans="1:59" ht="58" x14ac:dyDescent="0.35">
      <c r="A5364" s="2" t="s">
        <v>89</v>
      </c>
      <c r="B5364" s="2" t="s">
        <v>90</v>
      </c>
      <c r="C5364" s="2" t="s">
        <v>51359</v>
      </c>
      <c r="D5364" s="2" t="s">
        <v>51360</v>
      </c>
      <c r="E5364" s="2" t="s">
        <v>51361</v>
      </c>
      <c r="G5364" s="3" t="s">
        <v>62</v>
      </c>
      <c r="I5364" s="3" t="s">
        <v>62</v>
      </c>
      <c r="J5364" s="3" t="s">
        <v>62</v>
      </c>
      <c r="K5364" s="3" t="s">
        <v>63</v>
      </c>
      <c r="L5364" s="2" t="s">
        <v>51362</v>
      </c>
      <c r="M5364" s="2" t="s">
        <v>18158</v>
      </c>
      <c r="N5364" s="3" t="s">
        <v>553</v>
      </c>
      <c r="P5364" s="3" t="s">
        <v>64</v>
      </c>
      <c r="R5364" s="3" t="s">
        <v>46535</v>
      </c>
      <c r="S5364" s="4">
        <v>35</v>
      </c>
      <c r="T5364" s="4">
        <v>35</v>
      </c>
      <c r="U5364" s="5" t="s">
        <v>51363</v>
      </c>
      <c r="V5364" s="5" t="s">
        <v>51363</v>
      </c>
      <c r="W5364" s="5" t="s">
        <v>67</v>
      </c>
      <c r="X5364" s="5" t="s">
        <v>67</v>
      </c>
      <c r="Y5364" s="4">
        <v>466</v>
      </c>
      <c r="Z5364" s="4">
        <v>28</v>
      </c>
      <c r="AA5364" s="4">
        <v>33</v>
      </c>
      <c r="AB5364" s="4">
        <v>2</v>
      </c>
      <c r="AC5364" s="4">
        <v>5</v>
      </c>
      <c r="AD5364" s="4">
        <v>98</v>
      </c>
      <c r="AE5364" s="4">
        <v>115</v>
      </c>
      <c r="AF5364" s="4">
        <v>1</v>
      </c>
      <c r="AG5364" s="4">
        <v>3</v>
      </c>
      <c r="AH5364" s="4">
        <v>83</v>
      </c>
      <c r="AI5364" s="4">
        <v>98</v>
      </c>
      <c r="AJ5364" s="4">
        <v>16</v>
      </c>
      <c r="AK5364" s="4">
        <v>18</v>
      </c>
      <c r="AL5364" s="4">
        <v>48</v>
      </c>
      <c r="AM5364" s="4">
        <v>54</v>
      </c>
      <c r="AN5364" s="4">
        <v>0</v>
      </c>
      <c r="AO5364" s="4">
        <v>0</v>
      </c>
      <c r="AP5364" s="4">
        <v>20</v>
      </c>
      <c r="AQ5364" s="4">
        <v>21</v>
      </c>
      <c r="AR5364" s="3" t="s">
        <v>62</v>
      </c>
      <c r="AS5364" s="3" t="s">
        <v>62</v>
      </c>
      <c r="AT5364" s="3" t="s">
        <v>62</v>
      </c>
      <c r="AV5364" s="6" t="str">
        <f>HYPERLINK("http://mcgill.on.worldcat.org/oclc/40610519","Catalog Record")</f>
        <v>Catalog Record</v>
      </c>
      <c r="AW5364" s="6" t="str">
        <f>HYPERLINK("http://www.worldcat.org/oclc/40610519","WorldCat Record")</f>
        <v>WorldCat Record</v>
      </c>
      <c r="AX5364" s="3" t="s">
        <v>51364</v>
      </c>
      <c r="AY5364" s="3" t="s">
        <v>51365</v>
      </c>
      <c r="AZ5364" s="3" t="s">
        <v>51366</v>
      </c>
      <c r="BA5364" s="3" t="s">
        <v>51366</v>
      </c>
      <c r="BB5364" s="3" t="s">
        <v>51367</v>
      </c>
      <c r="BC5364" s="3" t="s">
        <v>102</v>
      </c>
      <c r="BD5364" s="3" t="s">
        <v>68</v>
      </c>
      <c r="BE5364" s="3" t="s">
        <v>51368</v>
      </c>
      <c r="BF5364" s="3" t="s">
        <v>51367</v>
      </c>
      <c r="BG5364" s="3" t="s">
        <v>51369</v>
      </c>
    </row>
    <row r="5365" spans="1:59" ht="58" x14ac:dyDescent="0.35">
      <c r="A5365" s="2" t="s">
        <v>89</v>
      </c>
      <c r="B5365" s="2" t="s">
        <v>90</v>
      </c>
      <c r="C5365" s="2" t="s">
        <v>51370</v>
      </c>
      <c r="D5365" s="2" t="s">
        <v>51371</v>
      </c>
      <c r="E5365" s="2" t="s">
        <v>51372</v>
      </c>
      <c r="G5365" s="3" t="s">
        <v>62</v>
      </c>
      <c r="I5365" s="3" t="s">
        <v>62</v>
      </c>
      <c r="J5365" s="3" t="s">
        <v>62</v>
      </c>
      <c r="K5365" s="3" t="s">
        <v>63</v>
      </c>
      <c r="L5365" s="2" t="s">
        <v>49495</v>
      </c>
      <c r="M5365" s="2" t="s">
        <v>51373</v>
      </c>
      <c r="N5365" s="3" t="s">
        <v>596</v>
      </c>
      <c r="P5365" s="3" t="s">
        <v>64</v>
      </c>
      <c r="R5365" s="3" t="s">
        <v>46535</v>
      </c>
      <c r="S5365" s="4">
        <v>7</v>
      </c>
      <c r="T5365" s="4">
        <v>7</v>
      </c>
      <c r="U5365" s="5" t="s">
        <v>16247</v>
      </c>
      <c r="V5365" s="5" t="s">
        <v>16247</v>
      </c>
      <c r="W5365" s="5" t="s">
        <v>67</v>
      </c>
      <c r="X5365" s="5" t="s">
        <v>67</v>
      </c>
      <c r="Y5365" s="4">
        <v>273</v>
      </c>
      <c r="Z5365" s="4">
        <v>19</v>
      </c>
      <c r="AA5365" s="4">
        <v>22</v>
      </c>
      <c r="AB5365" s="4">
        <v>3</v>
      </c>
      <c r="AC5365" s="4">
        <v>5</v>
      </c>
      <c r="AD5365" s="4">
        <v>95</v>
      </c>
      <c r="AE5365" s="4">
        <v>98</v>
      </c>
      <c r="AF5365" s="4">
        <v>1</v>
      </c>
      <c r="AG5365" s="4">
        <v>3</v>
      </c>
      <c r="AH5365" s="4">
        <v>85</v>
      </c>
      <c r="AI5365" s="4">
        <v>85</v>
      </c>
      <c r="AJ5365" s="4">
        <v>15</v>
      </c>
      <c r="AK5365" s="4">
        <v>18</v>
      </c>
      <c r="AL5365" s="4">
        <v>46</v>
      </c>
      <c r="AM5365" s="4">
        <v>46</v>
      </c>
      <c r="AN5365" s="4">
        <v>0</v>
      </c>
      <c r="AO5365" s="4">
        <v>0</v>
      </c>
      <c r="AP5365" s="4">
        <v>16</v>
      </c>
      <c r="AQ5365" s="4">
        <v>19</v>
      </c>
      <c r="AR5365" s="3" t="s">
        <v>62</v>
      </c>
      <c r="AS5365" s="3" t="s">
        <v>62</v>
      </c>
      <c r="AT5365" s="3" t="s">
        <v>62</v>
      </c>
      <c r="AV5365" s="6" t="str">
        <f>HYPERLINK("http://mcgill.on.worldcat.org/oclc/48065474","Catalog Record")</f>
        <v>Catalog Record</v>
      </c>
      <c r="AW5365" s="6" t="str">
        <f>HYPERLINK("http://www.worldcat.org/oclc/48065474","WorldCat Record")</f>
        <v>WorldCat Record</v>
      </c>
      <c r="AX5365" s="3" t="s">
        <v>51374</v>
      </c>
      <c r="AY5365" s="3" t="s">
        <v>51375</v>
      </c>
      <c r="AZ5365" s="3" t="s">
        <v>51376</v>
      </c>
      <c r="BA5365" s="3" t="s">
        <v>51376</v>
      </c>
      <c r="BB5365" s="3" t="s">
        <v>51377</v>
      </c>
      <c r="BC5365" s="3" t="s">
        <v>102</v>
      </c>
      <c r="BD5365" s="3" t="s">
        <v>68</v>
      </c>
      <c r="BE5365" s="3" t="s">
        <v>51378</v>
      </c>
      <c r="BF5365" s="3" t="s">
        <v>51377</v>
      </c>
      <c r="BG5365" s="3" t="s">
        <v>51379</v>
      </c>
    </row>
    <row r="5366" spans="1:59" ht="58" x14ac:dyDescent="0.35">
      <c r="A5366" s="2" t="s">
        <v>89</v>
      </c>
      <c r="B5366" s="2" t="s">
        <v>90</v>
      </c>
      <c r="C5366" s="2" t="s">
        <v>51380</v>
      </c>
      <c r="D5366" s="2" t="s">
        <v>51381</v>
      </c>
      <c r="E5366" s="2" t="s">
        <v>51382</v>
      </c>
      <c r="G5366" s="3" t="s">
        <v>62</v>
      </c>
      <c r="I5366" s="3" t="s">
        <v>62</v>
      </c>
      <c r="J5366" s="3" t="s">
        <v>61</v>
      </c>
      <c r="K5366" s="3" t="s">
        <v>63</v>
      </c>
      <c r="L5366" s="2" t="s">
        <v>51383</v>
      </c>
      <c r="M5366" s="2" t="s">
        <v>51384</v>
      </c>
      <c r="N5366" s="3" t="s">
        <v>1195</v>
      </c>
      <c r="P5366" s="3" t="s">
        <v>64</v>
      </c>
      <c r="R5366" s="3" t="s">
        <v>46535</v>
      </c>
      <c r="S5366" s="4">
        <v>24</v>
      </c>
      <c r="T5366" s="4">
        <v>24</v>
      </c>
      <c r="U5366" s="5" t="s">
        <v>16404</v>
      </c>
      <c r="V5366" s="5" t="s">
        <v>16404</v>
      </c>
      <c r="W5366" s="5" t="s">
        <v>67</v>
      </c>
      <c r="X5366" s="5" t="s">
        <v>67</v>
      </c>
      <c r="Y5366" s="4">
        <v>215</v>
      </c>
      <c r="Z5366" s="4">
        <v>20</v>
      </c>
      <c r="AA5366" s="4">
        <v>85</v>
      </c>
      <c r="AB5366" s="4">
        <v>2</v>
      </c>
      <c r="AC5366" s="4">
        <v>16</v>
      </c>
      <c r="AD5366" s="4">
        <v>60</v>
      </c>
      <c r="AE5366" s="4">
        <v>122</v>
      </c>
      <c r="AF5366" s="4">
        <v>0</v>
      </c>
      <c r="AG5366" s="4">
        <v>8</v>
      </c>
      <c r="AH5366" s="4">
        <v>53</v>
      </c>
      <c r="AI5366" s="4">
        <v>88</v>
      </c>
      <c r="AJ5366" s="4">
        <v>10</v>
      </c>
      <c r="AK5366" s="4">
        <v>24</v>
      </c>
      <c r="AL5366" s="4">
        <v>30</v>
      </c>
      <c r="AM5366" s="4">
        <v>46</v>
      </c>
      <c r="AN5366" s="4">
        <v>0</v>
      </c>
      <c r="AO5366" s="4">
        <v>0</v>
      </c>
      <c r="AP5366" s="4">
        <v>13</v>
      </c>
      <c r="AQ5366" s="4">
        <v>44</v>
      </c>
      <c r="AR5366" s="3" t="s">
        <v>62</v>
      </c>
      <c r="AS5366" s="3" t="s">
        <v>62</v>
      </c>
      <c r="AT5366" s="3" t="s">
        <v>61</v>
      </c>
      <c r="AU5366" s="6" t="str">
        <f>HYPERLINK("http://catalog.hathitrust.org/Record/009148577","HathiTrust Record")</f>
        <v>HathiTrust Record</v>
      </c>
      <c r="AV5366" s="6" t="str">
        <f>HYPERLINK("http://mcgill.on.worldcat.org/oclc/66463542","Catalog Record")</f>
        <v>Catalog Record</v>
      </c>
      <c r="AW5366" s="6" t="str">
        <f>HYPERLINK("http://www.worldcat.org/oclc/66463542","WorldCat Record")</f>
        <v>WorldCat Record</v>
      </c>
      <c r="AX5366" s="3" t="s">
        <v>51385</v>
      </c>
      <c r="AY5366" s="3" t="s">
        <v>51386</v>
      </c>
      <c r="AZ5366" s="3" t="s">
        <v>51387</v>
      </c>
      <c r="BA5366" s="3" t="s">
        <v>51387</v>
      </c>
      <c r="BB5366" s="3" t="s">
        <v>51388</v>
      </c>
      <c r="BC5366" s="3" t="s">
        <v>102</v>
      </c>
      <c r="BD5366" s="3" t="s">
        <v>68</v>
      </c>
      <c r="BE5366" s="3" t="s">
        <v>51389</v>
      </c>
      <c r="BF5366" s="3" t="s">
        <v>51388</v>
      </c>
      <c r="BG5366" s="3" t="s">
        <v>51390</v>
      </c>
    </row>
    <row r="5367" spans="1:59" ht="58" x14ac:dyDescent="0.35">
      <c r="A5367" s="2" t="s">
        <v>89</v>
      </c>
      <c r="B5367" s="2" t="s">
        <v>90</v>
      </c>
      <c r="C5367" s="2" t="s">
        <v>51391</v>
      </c>
      <c r="D5367" s="2" t="s">
        <v>51392</v>
      </c>
      <c r="E5367" s="2" t="s">
        <v>51382</v>
      </c>
      <c r="G5367" s="3" t="s">
        <v>62</v>
      </c>
      <c r="I5367" s="3" t="s">
        <v>61</v>
      </c>
      <c r="J5367" s="3" t="s">
        <v>61</v>
      </c>
      <c r="K5367" s="3" t="s">
        <v>63</v>
      </c>
      <c r="L5367" s="2" t="s">
        <v>51383</v>
      </c>
      <c r="M5367" s="2" t="s">
        <v>51393</v>
      </c>
      <c r="N5367" s="3" t="s">
        <v>698</v>
      </c>
      <c r="O5367" s="2" t="s">
        <v>6158</v>
      </c>
      <c r="P5367" s="3" t="s">
        <v>64</v>
      </c>
      <c r="R5367" s="3" t="s">
        <v>46535</v>
      </c>
      <c r="S5367" s="4">
        <v>24</v>
      </c>
      <c r="T5367" s="4">
        <v>61</v>
      </c>
      <c r="U5367" s="5" t="s">
        <v>826</v>
      </c>
      <c r="V5367" s="5" t="s">
        <v>526</v>
      </c>
      <c r="W5367" s="5" t="s">
        <v>67</v>
      </c>
      <c r="X5367" s="5" t="s">
        <v>67</v>
      </c>
      <c r="Y5367" s="4">
        <v>141</v>
      </c>
      <c r="Z5367" s="4">
        <v>18</v>
      </c>
      <c r="AA5367" s="4">
        <v>85</v>
      </c>
      <c r="AB5367" s="4">
        <v>1</v>
      </c>
      <c r="AC5367" s="4">
        <v>16</v>
      </c>
      <c r="AD5367" s="4">
        <v>36</v>
      </c>
      <c r="AE5367" s="4">
        <v>122</v>
      </c>
      <c r="AF5367" s="4">
        <v>0</v>
      </c>
      <c r="AG5367" s="4">
        <v>8</v>
      </c>
      <c r="AH5367" s="4">
        <v>31</v>
      </c>
      <c r="AI5367" s="4">
        <v>88</v>
      </c>
      <c r="AJ5367" s="4">
        <v>8</v>
      </c>
      <c r="AK5367" s="4">
        <v>24</v>
      </c>
      <c r="AL5367" s="4">
        <v>16</v>
      </c>
      <c r="AM5367" s="4">
        <v>46</v>
      </c>
      <c r="AN5367" s="4">
        <v>0</v>
      </c>
      <c r="AO5367" s="4">
        <v>0</v>
      </c>
      <c r="AP5367" s="4">
        <v>12</v>
      </c>
      <c r="AQ5367" s="4">
        <v>44</v>
      </c>
      <c r="AR5367" s="3" t="s">
        <v>62</v>
      </c>
      <c r="AS5367" s="3" t="s">
        <v>62</v>
      </c>
      <c r="AT5367" s="3" t="s">
        <v>62</v>
      </c>
      <c r="AV5367" s="6" t="str">
        <f>HYPERLINK("http://mcgill.on.worldcat.org/oclc/777146618","Catalog Record")</f>
        <v>Catalog Record</v>
      </c>
      <c r="AW5367" s="6" t="str">
        <f>HYPERLINK("http://www.worldcat.org/oclc/777146618","WorldCat Record")</f>
        <v>WorldCat Record</v>
      </c>
      <c r="AX5367" s="3" t="s">
        <v>51385</v>
      </c>
      <c r="AY5367" s="3" t="s">
        <v>51394</v>
      </c>
      <c r="AZ5367" s="3" t="s">
        <v>51395</v>
      </c>
      <c r="BA5367" s="3" t="s">
        <v>51395</v>
      </c>
      <c r="BB5367" s="3" t="s">
        <v>51396</v>
      </c>
      <c r="BC5367" s="3" t="s">
        <v>102</v>
      </c>
      <c r="BD5367" s="3" t="s">
        <v>68</v>
      </c>
      <c r="BE5367" s="3" t="s">
        <v>51397</v>
      </c>
      <c r="BF5367" s="3" t="s">
        <v>51396</v>
      </c>
      <c r="BG5367" s="3" t="s">
        <v>51398</v>
      </c>
    </row>
    <row r="5368" spans="1:59" ht="58" x14ac:dyDescent="0.35">
      <c r="A5368" s="2" t="s">
        <v>89</v>
      </c>
      <c r="B5368" s="2" t="s">
        <v>90</v>
      </c>
      <c r="C5368" s="2" t="s">
        <v>51399</v>
      </c>
      <c r="D5368" s="2" t="s">
        <v>51400</v>
      </c>
      <c r="E5368" s="2" t="s">
        <v>51401</v>
      </c>
      <c r="G5368" s="3" t="s">
        <v>62</v>
      </c>
      <c r="I5368" s="3" t="s">
        <v>61</v>
      </c>
      <c r="J5368" s="3" t="s">
        <v>61</v>
      </c>
      <c r="K5368" s="3" t="s">
        <v>63</v>
      </c>
      <c r="L5368" s="2" t="s">
        <v>51402</v>
      </c>
      <c r="M5368" s="2" t="s">
        <v>51403</v>
      </c>
      <c r="N5368" s="3" t="s">
        <v>1722</v>
      </c>
      <c r="O5368" s="2" t="s">
        <v>2986</v>
      </c>
      <c r="P5368" s="3" t="s">
        <v>64</v>
      </c>
      <c r="R5368" s="3" t="s">
        <v>46535</v>
      </c>
      <c r="S5368" s="4">
        <v>8</v>
      </c>
      <c r="T5368" s="4">
        <v>17</v>
      </c>
      <c r="U5368" s="5" t="s">
        <v>51404</v>
      </c>
      <c r="V5368" s="5" t="s">
        <v>242</v>
      </c>
      <c r="W5368" s="5" t="s">
        <v>67</v>
      </c>
      <c r="X5368" s="5" t="s">
        <v>67</v>
      </c>
      <c r="Y5368" s="4">
        <v>250</v>
      </c>
      <c r="Z5368" s="4">
        <v>21</v>
      </c>
      <c r="AA5368" s="4">
        <v>95</v>
      </c>
      <c r="AB5368" s="4">
        <v>3</v>
      </c>
      <c r="AC5368" s="4">
        <v>17</v>
      </c>
      <c r="AD5368" s="4">
        <v>59</v>
      </c>
      <c r="AE5368" s="4">
        <v>151</v>
      </c>
      <c r="AF5368" s="4">
        <v>1</v>
      </c>
      <c r="AG5368" s="4">
        <v>9</v>
      </c>
      <c r="AH5368" s="4">
        <v>52</v>
      </c>
      <c r="AI5368" s="4">
        <v>110</v>
      </c>
      <c r="AJ5368" s="4">
        <v>14</v>
      </c>
      <c r="AK5368" s="4">
        <v>28</v>
      </c>
      <c r="AL5368" s="4">
        <v>33</v>
      </c>
      <c r="AM5368" s="4">
        <v>56</v>
      </c>
      <c r="AN5368" s="4">
        <v>0</v>
      </c>
      <c r="AO5368" s="4">
        <v>0</v>
      </c>
      <c r="AP5368" s="4">
        <v>16</v>
      </c>
      <c r="AQ5368" s="4">
        <v>50</v>
      </c>
      <c r="AR5368" s="3" t="s">
        <v>62</v>
      </c>
      <c r="AS5368" s="3" t="s">
        <v>62</v>
      </c>
      <c r="AT5368" s="3" t="s">
        <v>62</v>
      </c>
      <c r="AV5368" s="6" t="str">
        <f>HYPERLINK("http://mcgill.on.worldcat.org/oclc/185026571","Catalog Record")</f>
        <v>Catalog Record</v>
      </c>
      <c r="AW5368" s="6" t="str">
        <f>HYPERLINK("http://www.worldcat.org/oclc/185026571","WorldCat Record")</f>
        <v>WorldCat Record</v>
      </c>
      <c r="AX5368" s="3" t="s">
        <v>51405</v>
      </c>
      <c r="AY5368" s="3" t="s">
        <v>51406</v>
      </c>
      <c r="AZ5368" s="3" t="s">
        <v>51407</v>
      </c>
      <c r="BA5368" s="3" t="s">
        <v>51407</v>
      </c>
      <c r="BB5368" s="3" t="s">
        <v>51408</v>
      </c>
      <c r="BC5368" s="3" t="s">
        <v>102</v>
      </c>
      <c r="BD5368" s="3" t="s">
        <v>68</v>
      </c>
      <c r="BE5368" s="3" t="s">
        <v>51409</v>
      </c>
      <c r="BF5368" s="3" t="s">
        <v>51408</v>
      </c>
      <c r="BG5368" s="3" t="s">
        <v>51410</v>
      </c>
    </row>
    <row r="5369" spans="1:59" ht="58" x14ac:dyDescent="0.35">
      <c r="A5369" s="2" t="s">
        <v>89</v>
      </c>
      <c r="B5369" s="2" t="s">
        <v>90</v>
      </c>
      <c r="C5369" s="2" t="s">
        <v>51411</v>
      </c>
      <c r="D5369" s="2" t="s">
        <v>51412</v>
      </c>
      <c r="E5369" s="2" t="s">
        <v>51413</v>
      </c>
      <c r="G5369" s="3" t="s">
        <v>62</v>
      </c>
      <c r="I5369" s="3" t="s">
        <v>62</v>
      </c>
      <c r="J5369" s="3" t="s">
        <v>62</v>
      </c>
      <c r="K5369" s="3" t="s">
        <v>63</v>
      </c>
      <c r="M5369" s="2" t="s">
        <v>51414</v>
      </c>
      <c r="N5369" s="3" t="s">
        <v>438</v>
      </c>
      <c r="P5369" s="3" t="s">
        <v>64</v>
      </c>
      <c r="R5369" s="3" t="s">
        <v>46535</v>
      </c>
      <c r="S5369" s="4">
        <v>18</v>
      </c>
      <c r="T5369" s="4">
        <v>18</v>
      </c>
      <c r="U5369" s="5" t="s">
        <v>16404</v>
      </c>
      <c r="V5369" s="5" t="s">
        <v>16404</v>
      </c>
      <c r="W5369" s="5" t="s">
        <v>67</v>
      </c>
      <c r="X5369" s="5" t="s">
        <v>67</v>
      </c>
      <c r="Y5369" s="4">
        <v>333</v>
      </c>
      <c r="Z5369" s="4">
        <v>29</v>
      </c>
      <c r="AA5369" s="4">
        <v>34</v>
      </c>
      <c r="AB5369" s="4">
        <v>4</v>
      </c>
      <c r="AC5369" s="4">
        <v>8</v>
      </c>
      <c r="AD5369" s="4">
        <v>98</v>
      </c>
      <c r="AE5369" s="4">
        <v>105</v>
      </c>
      <c r="AF5369" s="4">
        <v>1</v>
      </c>
      <c r="AG5369" s="4">
        <v>3</v>
      </c>
      <c r="AH5369" s="4">
        <v>84</v>
      </c>
      <c r="AI5369" s="4">
        <v>88</v>
      </c>
      <c r="AJ5369" s="4">
        <v>19</v>
      </c>
      <c r="AK5369" s="4">
        <v>21</v>
      </c>
      <c r="AL5369" s="4">
        <v>45</v>
      </c>
      <c r="AM5369" s="4">
        <v>48</v>
      </c>
      <c r="AN5369" s="4">
        <v>5</v>
      </c>
      <c r="AO5369" s="4">
        <v>5</v>
      </c>
      <c r="AP5369" s="4">
        <v>22</v>
      </c>
      <c r="AQ5369" s="4">
        <v>24</v>
      </c>
      <c r="AR5369" s="3" t="s">
        <v>62</v>
      </c>
      <c r="AS5369" s="3" t="s">
        <v>62</v>
      </c>
      <c r="AT5369" s="3" t="s">
        <v>61</v>
      </c>
      <c r="AU5369" s="6" t="str">
        <f>HYPERLINK("http://catalog.hathitrust.org/Record/001828644","HathiTrust Record")</f>
        <v>HathiTrust Record</v>
      </c>
      <c r="AV5369" s="6" t="str">
        <f>HYPERLINK("http://mcgill.on.worldcat.org/oclc/19631231","Catalog Record")</f>
        <v>Catalog Record</v>
      </c>
      <c r="AW5369" s="6" t="str">
        <f>HYPERLINK("http://www.worldcat.org/oclc/19631231","WorldCat Record")</f>
        <v>WorldCat Record</v>
      </c>
      <c r="AX5369" s="3" t="s">
        <v>51415</v>
      </c>
      <c r="AY5369" s="3" t="s">
        <v>51416</v>
      </c>
      <c r="AZ5369" s="3" t="s">
        <v>51417</v>
      </c>
      <c r="BA5369" s="3" t="s">
        <v>51417</v>
      </c>
      <c r="BB5369" s="3" t="s">
        <v>51418</v>
      </c>
      <c r="BC5369" s="3" t="s">
        <v>102</v>
      </c>
      <c r="BD5369" s="3" t="s">
        <v>68</v>
      </c>
      <c r="BE5369" s="3" t="s">
        <v>51419</v>
      </c>
      <c r="BF5369" s="3" t="s">
        <v>51418</v>
      </c>
      <c r="BG5369" s="3" t="s">
        <v>51420</v>
      </c>
    </row>
    <row r="5370" spans="1:59" ht="58" x14ac:dyDescent="0.35">
      <c r="A5370" s="2" t="s">
        <v>59</v>
      </c>
      <c r="B5370" s="2" t="s">
        <v>60</v>
      </c>
      <c r="C5370" s="2" t="s">
        <v>51421</v>
      </c>
      <c r="D5370" s="2" t="s">
        <v>51422</v>
      </c>
      <c r="E5370" s="2" t="s">
        <v>51423</v>
      </c>
      <c r="G5370" s="3" t="s">
        <v>62</v>
      </c>
      <c r="I5370" s="3" t="s">
        <v>61</v>
      </c>
      <c r="J5370" s="3" t="s">
        <v>62</v>
      </c>
      <c r="K5370" s="3" t="s">
        <v>63</v>
      </c>
      <c r="L5370" s="2" t="s">
        <v>29773</v>
      </c>
      <c r="M5370" s="2" t="s">
        <v>51424</v>
      </c>
      <c r="N5370" s="3" t="s">
        <v>81</v>
      </c>
      <c r="P5370" s="3" t="s">
        <v>64</v>
      </c>
      <c r="R5370" s="3" t="s">
        <v>46535</v>
      </c>
      <c r="S5370" s="4">
        <v>2</v>
      </c>
      <c r="T5370" s="4">
        <v>6</v>
      </c>
      <c r="U5370" s="5" t="s">
        <v>39180</v>
      </c>
      <c r="V5370" s="5" t="s">
        <v>5276</v>
      </c>
      <c r="W5370" s="5" t="s">
        <v>67</v>
      </c>
      <c r="X5370" s="5" t="s">
        <v>67</v>
      </c>
      <c r="Y5370" s="4">
        <v>217</v>
      </c>
      <c r="Z5370" s="4">
        <v>13</v>
      </c>
      <c r="AA5370" s="4">
        <v>22</v>
      </c>
      <c r="AB5370" s="4">
        <v>3</v>
      </c>
      <c r="AC5370" s="4">
        <v>4</v>
      </c>
      <c r="AD5370" s="4">
        <v>53</v>
      </c>
      <c r="AE5370" s="4">
        <v>98</v>
      </c>
      <c r="AF5370" s="4">
        <v>0</v>
      </c>
      <c r="AG5370" s="4">
        <v>1</v>
      </c>
      <c r="AH5370" s="4">
        <v>45</v>
      </c>
      <c r="AI5370" s="4">
        <v>85</v>
      </c>
      <c r="AJ5370" s="4">
        <v>9</v>
      </c>
      <c r="AK5370" s="4">
        <v>15</v>
      </c>
      <c r="AL5370" s="4">
        <v>22</v>
      </c>
      <c r="AM5370" s="4">
        <v>43</v>
      </c>
      <c r="AN5370" s="4">
        <v>0</v>
      </c>
      <c r="AO5370" s="4">
        <v>0</v>
      </c>
      <c r="AP5370" s="4">
        <v>9</v>
      </c>
      <c r="AQ5370" s="4">
        <v>18</v>
      </c>
      <c r="AR5370" s="3" t="s">
        <v>62</v>
      </c>
      <c r="AS5370" s="3" t="s">
        <v>62</v>
      </c>
      <c r="AT5370" s="3" t="s">
        <v>62</v>
      </c>
      <c r="AV5370" s="6" t="str">
        <f>HYPERLINK("http://mcgill.on.worldcat.org/oclc/1423570","Catalog Record")</f>
        <v>Catalog Record</v>
      </c>
      <c r="AW5370" s="6" t="str">
        <f>HYPERLINK("http://www.worldcat.org/oclc/1423570","WorldCat Record")</f>
        <v>WorldCat Record</v>
      </c>
      <c r="AX5370" s="3" t="s">
        <v>51425</v>
      </c>
      <c r="AY5370" s="3" t="s">
        <v>51426</v>
      </c>
      <c r="AZ5370" s="3" t="s">
        <v>51427</v>
      </c>
      <c r="BA5370" s="3" t="s">
        <v>51427</v>
      </c>
      <c r="BB5370" s="3" t="s">
        <v>51428</v>
      </c>
      <c r="BC5370" s="3" t="s">
        <v>102</v>
      </c>
      <c r="BD5370" s="3" t="s">
        <v>68</v>
      </c>
      <c r="BF5370" s="3" t="s">
        <v>51428</v>
      </c>
      <c r="BG5370" s="3" t="s">
        <v>51429</v>
      </c>
    </row>
    <row r="5371" spans="1:59" ht="58" x14ac:dyDescent="0.35">
      <c r="A5371" s="2" t="s">
        <v>89</v>
      </c>
      <c r="B5371" s="2" t="s">
        <v>90</v>
      </c>
      <c r="C5371" s="2" t="s">
        <v>51430</v>
      </c>
      <c r="D5371" s="2" t="s">
        <v>51431</v>
      </c>
      <c r="E5371" s="2" t="s">
        <v>51432</v>
      </c>
      <c r="G5371" s="3" t="s">
        <v>62</v>
      </c>
      <c r="I5371" s="3" t="s">
        <v>62</v>
      </c>
      <c r="J5371" s="3" t="s">
        <v>62</v>
      </c>
      <c r="K5371" s="3" t="s">
        <v>63</v>
      </c>
      <c r="M5371" s="2" t="s">
        <v>51433</v>
      </c>
      <c r="N5371" s="3" t="s">
        <v>466</v>
      </c>
      <c r="P5371" s="3" t="s">
        <v>64</v>
      </c>
      <c r="Q5371" s="2" t="s">
        <v>51065</v>
      </c>
      <c r="R5371" s="3" t="s">
        <v>46535</v>
      </c>
      <c r="S5371" s="4">
        <v>17</v>
      </c>
      <c r="T5371" s="4">
        <v>17</v>
      </c>
      <c r="U5371" s="5" t="s">
        <v>2175</v>
      </c>
      <c r="V5371" s="5" t="s">
        <v>2175</v>
      </c>
      <c r="W5371" s="5" t="s">
        <v>67</v>
      </c>
      <c r="X5371" s="5" t="s">
        <v>67</v>
      </c>
      <c r="Y5371" s="4">
        <v>216</v>
      </c>
      <c r="Z5371" s="4">
        <v>19</v>
      </c>
      <c r="AA5371" s="4">
        <v>23</v>
      </c>
      <c r="AB5371" s="4">
        <v>2</v>
      </c>
      <c r="AC5371" s="4">
        <v>6</v>
      </c>
      <c r="AD5371" s="4">
        <v>83</v>
      </c>
      <c r="AE5371" s="4">
        <v>85</v>
      </c>
      <c r="AF5371" s="4">
        <v>1</v>
      </c>
      <c r="AG5371" s="4">
        <v>3</v>
      </c>
      <c r="AH5371" s="4">
        <v>71</v>
      </c>
      <c r="AI5371" s="4">
        <v>72</v>
      </c>
      <c r="AJ5371" s="4">
        <v>15</v>
      </c>
      <c r="AK5371" s="4">
        <v>17</v>
      </c>
      <c r="AL5371" s="4">
        <v>45</v>
      </c>
      <c r="AM5371" s="4">
        <v>45</v>
      </c>
      <c r="AN5371" s="4">
        <v>0</v>
      </c>
      <c r="AO5371" s="4">
        <v>0</v>
      </c>
      <c r="AP5371" s="4">
        <v>16</v>
      </c>
      <c r="AQ5371" s="4">
        <v>18</v>
      </c>
      <c r="AR5371" s="3" t="s">
        <v>62</v>
      </c>
      <c r="AS5371" s="3" t="s">
        <v>62</v>
      </c>
      <c r="AT5371" s="3" t="s">
        <v>61</v>
      </c>
      <c r="AU5371" s="6" t="str">
        <f>HYPERLINK("http://catalog.hathitrust.org/Record/002582659","HathiTrust Record")</f>
        <v>HathiTrust Record</v>
      </c>
      <c r="AV5371" s="6" t="str">
        <f>HYPERLINK("http://mcgill.on.worldcat.org/oclc/24468038","Catalog Record")</f>
        <v>Catalog Record</v>
      </c>
      <c r="AW5371" s="6" t="str">
        <f>HYPERLINK("http://www.worldcat.org/oclc/24468038","WorldCat Record")</f>
        <v>WorldCat Record</v>
      </c>
      <c r="AX5371" s="3" t="s">
        <v>51434</v>
      </c>
      <c r="AY5371" s="3" t="s">
        <v>51435</v>
      </c>
      <c r="AZ5371" s="3" t="s">
        <v>51436</v>
      </c>
      <c r="BA5371" s="3" t="s">
        <v>51436</v>
      </c>
      <c r="BB5371" s="3" t="s">
        <v>51437</v>
      </c>
      <c r="BC5371" s="3" t="s">
        <v>102</v>
      </c>
      <c r="BD5371" s="3" t="s">
        <v>68</v>
      </c>
      <c r="BE5371" s="3" t="s">
        <v>51438</v>
      </c>
      <c r="BF5371" s="3" t="s">
        <v>51437</v>
      </c>
      <c r="BG5371" s="3" t="s">
        <v>51439</v>
      </c>
    </row>
    <row r="5372" spans="1:59" ht="58" x14ac:dyDescent="0.35">
      <c r="A5372" s="2" t="s">
        <v>89</v>
      </c>
      <c r="B5372" s="2" t="s">
        <v>90</v>
      </c>
      <c r="C5372" s="2" t="s">
        <v>51440</v>
      </c>
      <c r="D5372" s="2" t="s">
        <v>51441</v>
      </c>
      <c r="E5372" s="2" t="s">
        <v>51442</v>
      </c>
      <c r="G5372" s="3" t="s">
        <v>62</v>
      </c>
      <c r="I5372" s="3" t="s">
        <v>62</v>
      </c>
      <c r="J5372" s="3" t="s">
        <v>61</v>
      </c>
      <c r="K5372" s="3" t="s">
        <v>63</v>
      </c>
      <c r="L5372" s="2" t="s">
        <v>51443</v>
      </c>
      <c r="M5372" s="2" t="s">
        <v>51444</v>
      </c>
      <c r="N5372" s="3" t="s">
        <v>13195</v>
      </c>
      <c r="P5372" s="3" t="s">
        <v>64</v>
      </c>
      <c r="Q5372" s="2" t="s">
        <v>7507</v>
      </c>
      <c r="R5372" s="3" t="s">
        <v>46535</v>
      </c>
      <c r="S5372" s="4">
        <v>4</v>
      </c>
      <c r="T5372" s="4">
        <v>4</v>
      </c>
      <c r="U5372" s="5" t="s">
        <v>18125</v>
      </c>
      <c r="V5372" s="5" t="s">
        <v>18125</v>
      </c>
      <c r="W5372" s="5" t="s">
        <v>67</v>
      </c>
      <c r="X5372" s="5" t="s">
        <v>67</v>
      </c>
      <c r="Y5372" s="4">
        <v>271</v>
      </c>
      <c r="Z5372" s="4">
        <v>14</v>
      </c>
      <c r="AA5372" s="4">
        <v>51</v>
      </c>
      <c r="AB5372" s="4">
        <v>1</v>
      </c>
      <c r="AC5372" s="4">
        <v>6</v>
      </c>
      <c r="AD5372" s="4">
        <v>82</v>
      </c>
      <c r="AE5372" s="4">
        <v>138</v>
      </c>
      <c r="AF5372" s="4">
        <v>0</v>
      </c>
      <c r="AG5372" s="4">
        <v>4</v>
      </c>
      <c r="AH5372" s="4">
        <v>76</v>
      </c>
      <c r="AI5372" s="4">
        <v>108</v>
      </c>
      <c r="AJ5372" s="4">
        <v>9</v>
      </c>
      <c r="AK5372" s="4">
        <v>25</v>
      </c>
      <c r="AL5372" s="4">
        <v>45</v>
      </c>
      <c r="AM5372" s="4">
        <v>58</v>
      </c>
      <c r="AN5372" s="4">
        <v>0</v>
      </c>
      <c r="AO5372" s="4">
        <v>0</v>
      </c>
      <c r="AP5372" s="4">
        <v>10</v>
      </c>
      <c r="AQ5372" s="4">
        <v>38</v>
      </c>
      <c r="AR5372" s="3" t="s">
        <v>62</v>
      </c>
      <c r="AS5372" s="3" t="s">
        <v>62</v>
      </c>
      <c r="AT5372" s="3" t="s">
        <v>61</v>
      </c>
      <c r="AU5372" s="6" t="str">
        <f>HYPERLINK("http://catalog.hathitrust.org/Record/000662629","HathiTrust Record")</f>
        <v>HathiTrust Record</v>
      </c>
      <c r="AV5372" s="6" t="str">
        <f>HYPERLINK("http://mcgill.on.worldcat.org/oclc/2716253","Catalog Record")</f>
        <v>Catalog Record</v>
      </c>
      <c r="AW5372" s="6" t="str">
        <f>HYPERLINK("http://www.worldcat.org/oclc/2716253","WorldCat Record")</f>
        <v>WorldCat Record</v>
      </c>
      <c r="AX5372" s="3" t="s">
        <v>51445</v>
      </c>
      <c r="AY5372" s="3" t="s">
        <v>51446</v>
      </c>
      <c r="AZ5372" s="3" t="s">
        <v>51447</v>
      </c>
      <c r="BA5372" s="3" t="s">
        <v>51447</v>
      </c>
      <c r="BB5372" s="3" t="s">
        <v>51448</v>
      </c>
      <c r="BC5372" s="3" t="s">
        <v>102</v>
      </c>
      <c r="BD5372" s="3" t="s">
        <v>68</v>
      </c>
      <c r="BF5372" s="3" t="s">
        <v>51448</v>
      </c>
      <c r="BG5372" s="3" t="s">
        <v>51449</v>
      </c>
    </row>
    <row r="5373" spans="1:59" ht="58" x14ac:dyDescent="0.35">
      <c r="A5373" s="2" t="s">
        <v>89</v>
      </c>
      <c r="B5373" s="2" t="s">
        <v>90</v>
      </c>
      <c r="C5373" s="2" t="s">
        <v>51450</v>
      </c>
      <c r="D5373" s="2" t="s">
        <v>51451</v>
      </c>
      <c r="E5373" s="2" t="s">
        <v>51452</v>
      </c>
      <c r="G5373" s="3" t="s">
        <v>62</v>
      </c>
      <c r="I5373" s="3" t="s">
        <v>62</v>
      </c>
      <c r="J5373" s="3" t="s">
        <v>62</v>
      </c>
      <c r="K5373" s="3" t="s">
        <v>63</v>
      </c>
      <c r="L5373" s="2" t="s">
        <v>51453</v>
      </c>
      <c r="M5373" s="2" t="s">
        <v>8661</v>
      </c>
      <c r="N5373" s="3" t="s">
        <v>509</v>
      </c>
      <c r="P5373" s="3" t="s">
        <v>64</v>
      </c>
      <c r="Q5373" s="2" t="s">
        <v>51454</v>
      </c>
      <c r="R5373" s="3" t="s">
        <v>46535</v>
      </c>
      <c r="S5373" s="4">
        <v>20</v>
      </c>
      <c r="T5373" s="4">
        <v>20</v>
      </c>
      <c r="U5373" s="5" t="s">
        <v>44826</v>
      </c>
      <c r="V5373" s="5" t="s">
        <v>44826</v>
      </c>
      <c r="W5373" s="5" t="s">
        <v>67</v>
      </c>
      <c r="X5373" s="5" t="s">
        <v>67</v>
      </c>
      <c r="Y5373" s="4">
        <v>4</v>
      </c>
      <c r="Z5373" s="4">
        <v>1</v>
      </c>
      <c r="AA5373" s="4">
        <v>33</v>
      </c>
      <c r="AB5373" s="4">
        <v>1</v>
      </c>
      <c r="AC5373" s="4">
        <v>7</v>
      </c>
      <c r="AD5373" s="4">
        <v>0</v>
      </c>
      <c r="AE5373" s="4">
        <v>106</v>
      </c>
      <c r="AF5373" s="4">
        <v>0</v>
      </c>
      <c r="AG5373" s="4">
        <v>3</v>
      </c>
      <c r="AH5373" s="4">
        <v>0</v>
      </c>
      <c r="AI5373" s="4">
        <v>86</v>
      </c>
      <c r="AJ5373" s="4">
        <v>0</v>
      </c>
      <c r="AK5373" s="4">
        <v>18</v>
      </c>
      <c r="AL5373" s="4">
        <v>0</v>
      </c>
      <c r="AM5373" s="4">
        <v>51</v>
      </c>
      <c r="AN5373" s="4">
        <v>0</v>
      </c>
      <c r="AO5373" s="4">
        <v>0</v>
      </c>
      <c r="AP5373" s="4">
        <v>0</v>
      </c>
      <c r="AQ5373" s="4">
        <v>24</v>
      </c>
      <c r="AR5373" s="3" t="s">
        <v>62</v>
      </c>
      <c r="AS5373" s="3" t="s">
        <v>62</v>
      </c>
      <c r="AT5373" s="3" t="s">
        <v>62</v>
      </c>
      <c r="AV5373" s="6" t="str">
        <f>HYPERLINK("http://mcgill.on.worldcat.org/oclc/427977596","Catalog Record")</f>
        <v>Catalog Record</v>
      </c>
      <c r="AW5373" s="6" t="str">
        <f>HYPERLINK("http://www.worldcat.org/oclc/427977596","WorldCat Record")</f>
        <v>WorldCat Record</v>
      </c>
      <c r="AX5373" s="3" t="s">
        <v>51455</v>
      </c>
      <c r="AY5373" s="3" t="s">
        <v>51456</v>
      </c>
      <c r="AZ5373" s="3" t="s">
        <v>51457</v>
      </c>
      <c r="BA5373" s="3" t="s">
        <v>51457</v>
      </c>
      <c r="BB5373" s="3" t="s">
        <v>51458</v>
      </c>
      <c r="BC5373" s="3" t="s">
        <v>102</v>
      </c>
      <c r="BD5373" s="3" t="s">
        <v>68</v>
      </c>
      <c r="BE5373" s="3" t="s">
        <v>51459</v>
      </c>
      <c r="BF5373" s="3" t="s">
        <v>51458</v>
      </c>
      <c r="BG5373" s="3" t="s">
        <v>51460</v>
      </c>
    </row>
    <row r="5374" spans="1:59" ht="58" x14ac:dyDescent="0.35">
      <c r="A5374" s="2" t="s">
        <v>89</v>
      </c>
      <c r="B5374" s="2" t="s">
        <v>90</v>
      </c>
      <c r="C5374" s="2" t="s">
        <v>51461</v>
      </c>
      <c r="D5374" s="2" t="s">
        <v>51462</v>
      </c>
      <c r="E5374" s="2" t="s">
        <v>51463</v>
      </c>
      <c r="G5374" s="3" t="s">
        <v>62</v>
      </c>
      <c r="I5374" s="3" t="s">
        <v>62</v>
      </c>
      <c r="J5374" s="3" t="s">
        <v>62</v>
      </c>
      <c r="K5374" s="3" t="s">
        <v>63</v>
      </c>
      <c r="M5374" s="2" t="s">
        <v>51464</v>
      </c>
      <c r="N5374" s="3" t="s">
        <v>553</v>
      </c>
      <c r="O5374" s="2" t="s">
        <v>2163</v>
      </c>
      <c r="P5374" s="3" t="s">
        <v>64</v>
      </c>
      <c r="Q5374" s="2" t="s">
        <v>51465</v>
      </c>
      <c r="R5374" s="3" t="s">
        <v>46535</v>
      </c>
      <c r="S5374" s="4">
        <v>19</v>
      </c>
      <c r="T5374" s="4">
        <v>19</v>
      </c>
      <c r="U5374" s="5" t="s">
        <v>48099</v>
      </c>
      <c r="V5374" s="5" t="s">
        <v>48099</v>
      </c>
      <c r="W5374" s="5" t="s">
        <v>67</v>
      </c>
      <c r="X5374" s="5" t="s">
        <v>67</v>
      </c>
      <c r="Y5374" s="4">
        <v>174</v>
      </c>
      <c r="Z5374" s="4">
        <v>12</v>
      </c>
      <c r="AA5374" s="4">
        <v>21</v>
      </c>
      <c r="AB5374" s="4">
        <v>1</v>
      </c>
      <c r="AC5374" s="4">
        <v>5</v>
      </c>
      <c r="AD5374" s="4">
        <v>78</v>
      </c>
      <c r="AE5374" s="4">
        <v>84</v>
      </c>
      <c r="AF5374" s="4">
        <v>0</v>
      </c>
      <c r="AG5374" s="4">
        <v>3</v>
      </c>
      <c r="AH5374" s="4">
        <v>72</v>
      </c>
      <c r="AI5374" s="4">
        <v>75</v>
      </c>
      <c r="AJ5374" s="4">
        <v>10</v>
      </c>
      <c r="AK5374" s="4">
        <v>14</v>
      </c>
      <c r="AL5374" s="4">
        <v>47</v>
      </c>
      <c r="AM5374" s="4">
        <v>47</v>
      </c>
      <c r="AN5374" s="4">
        <v>0</v>
      </c>
      <c r="AO5374" s="4">
        <v>0</v>
      </c>
      <c r="AP5374" s="4">
        <v>10</v>
      </c>
      <c r="AQ5374" s="4">
        <v>14</v>
      </c>
      <c r="AR5374" s="3" t="s">
        <v>62</v>
      </c>
      <c r="AS5374" s="3" t="s">
        <v>62</v>
      </c>
      <c r="AT5374" s="3" t="s">
        <v>61</v>
      </c>
      <c r="AU5374" s="6" t="str">
        <f>HYPERLINK("http://catalog.hathitrust.org/Record/003440111","HathiTrust Record")</f>
        <v>HathiTrust Record</v>
      </c>
      <c r="AV5374" s="6" t="str">
        <f>HYPERLINK("http://mcgill.on.worldcat.org/oclc/42603292","Catalog Record")</f>
        <v>Catalog Record</v>
      </c>
      <c r="AW5374" s="6" t="str">
        <f>HYPERLINK("http://www.worldcat.org/oclc/42603292","WorldCat Record")</f>
        <v>WorldCat Record</v>
      </c>
      <c r="AX5374" s="3" t="s">
        <v>51466</v>
      </c>
      <c r="AY5374" s="3" t="s">
        <v>51467</v>
      </c>
      <c r="AZ5374" s="3" t="s">
        <v>51468</v>
      </c>
      <c r="BA5374" s="3" t="s">
        <v>51468</v>
      </c>
      <c r="BB5374" s="3" t="s">
        <v>51469</v>
      </c>
      <c r="BC5374" s="3" t="s">
        <v>102</v>
      </c>
      <c r="BD5374" s="3" t="s">
        <v>231</v>
      </c>
      <c r="BE5374" s="3" t="s">
        <v>51470</v>
      </c>
      <c r="BF5374" s="3" t="s">
        <v>51469</v>
      </c>
      <c r="BG5374" s="3" t="s">
        <v>51471</v>
      </c>
    </row>
    <row r="5375" spans="1:59" ht="58" x14ac:dyDescent="0.35">
      <c r="A5375" s="2" t="s">
        <v>89</v>
      </c>
      <c r="B5375" s="2" t="s">
        <v>90</v>
      </c>
      <c r="C5375" s="2" t="s">
        <v>51472</v>
      </c>
      <c r="D5375" s="2" t="s">
        <v>51473</v>
      </c>
      <c r="E5375" s="2" t="s">
        <v>51474</v>
      </c>
      <c r="G5375" s="3" t="s">
        <v>62</v>
      </c>
      <c r="I5375" s="3" t="s">
        <v>61</v>
      </c>
      <c r="J5375" s="3" t="s">
        <v>61</v>
      </c>
      <c r="K5375" s="3" t="s">
        <v>63</v>
      </c>
      <c r="L5375" s="2" t="s">
        <v>51475</v>
      </c>
      <c r="M5375" s="2" t="s">
        <v>51476</v>
      </c>
      <c r="N5375" s="3" t="s">
        <v>7359</v>
      </c>
      <c r="P5375" s="3" t="s">
        <v>64</v>
      </c>
      <c r="R5375" s="3" t="s">
        <v>46535</v>
      </c>
      <c r="S5375" s="4">
        <v>13</v>
      </c>
      <c r="T5375" s="4">
        <v>31</v>
      </c>
      <c r="U5375" s="5" t="s">
        <v>51477</v>
      </c>
      <c r="V5375" s="5" t="s">
        <v>27444</v>
      </c>
      <c r="W5375" s="5" t="s">
        <v>67</v>
      </c>
      <c r="X5375" s="5" t="s">
        <v>67</v>
      </c>
      <c r="Y5375" s="4">
        <v>794</v>
      </c>
      <c r="Z5375" s="4">
        <v>41</v>
      </c>
      <c r="AA5375" s="4">
        <v>50</v>
      </c>
      <c r="AB5375" s="4">
        <v>3</v>
      </c>
      <c r="AC5375" s="4">
        <v>8</v>
      </c>
      <c r="AD5375" s="4">
        <v>128</v>
      </c>
      <c r="AE5375" s="4">
        <v>138</v>
      </c>
      <c r="AF5375" s="4">
        <v>1</v>
      </c>
      <c r="AG5375" s="4">
        <v>4</v>
      </c>
      <c r="AH5375" s="4">
        <v>105</v>
      </c>
      <c r="AI5375" s="4">
        <v>110</v>
      </c>
      <c r="AJ5375" s="4">
        <v>21</v>
      </c>
      <c r="AK5375" s="4">
        <v>25</v>
      </c>
      <c r="AL5375" s="4">
        <v>57</v>
      </c>
      <c r="AM5375" s="4">
        <v>59</v>
      </c>
      <c r="AN5375" s="4">
        <v>0</v>
      </c>
      <c r="AO5375" s="4">
        <v>0</v>
      </c>
      <c r="AP5375" s="4">
        <v>32</v>
      </c>
      <c r="AQ5375" s="4">
        <v>37</v>
      </c>
      <c r="AR5375" s="3" t="s">
        <v>62</v>
      </c>
      <c r="AS5375" s="3" t="s">
        <v>62</v>
      </c>
      <c r="AT5375" s="3" t="s">
        <v>61</v>
      </c>
      <c r="AU5375" s="6" t="str">
        <f>HYPERLINK("http://catalog.hathitrust.org/Record/001555141","HathiTrust Record")</f>
        <v>HathiTrust Record</v>
      </c>
      <c r="AV5375" s="6" t="str">
        <f>HYPERLINK("http://mcgill.on.worldcat.org/oclc/560396","Catalog Record")</f>
        <v>Catalog Record</v>
      </c>
      <c r="AW5375" s="6" t="str">
        <f>HYPERLINK("http://www.worldcat.org/oclc/560396","WorldCat Record")</f>
        <v>WorldCat Record</v>
      </c>
      <c r="AX5375" s="3" t="s">
        <v>51478</v>
      </c>
      <c r="AY5375" s="3" t="s">
        <v>51479</v>
      </c>
      <c r="AZ5375" s="3" t="s">
        <v>51480</v>
      </c>
      <c r="BA5375" s="3" t="s">
        <v>51480</v>
      </c>
      <c r="BB5375" s="3" t="s">
        <v>51481</v>
      </c>
      <c r="BC5375" s="3" t="s">
        <v>102</v>
      </c>
      <c r="BD5375" s="3" t="s">
        <v>68</v>
      </c>
      <c r="BF5375" s="3" t="s">
        <v>51481</v>
      </c>
      <c r="BG5375" s="3" t="s">
        <v>51482</v>
      </c>
    </row>
    <row r="5376" spans="1:59" ht="58" x14ac:dyDescent="0.35">
      <c r="A5376" s="2" t="s">
        <v>89</v>
      </c>
      <c r="B5376" s="2" t="s">
        <v>90</v>
      </c>
      <c r="C5376" s="2" t="s">
        <v>51472</v>
      </c>
      <c r="D5376" s="2" t="s">
        <v>51473</v>
      </c>
      <c r="E5376" s="2" t="s">
        <v>51474</v>
      </c>
      <c r="G5376" s="3" t="s">
        <v>62</v>
      </c>
      <c r="I5376" s="3" t="s">
        <v>61</v>
      </c>
      <c r="J5376" s="3" t="s">
        <v>61</v>
      </c>
      <c r="K5376" s="3" t="s">
        <v>63</v>
      </c>
      <c r="L5376" s="2" t="s">
        <v>51475</v>
      </c>
      <c r="M5376" s="2" t="s">
        <v>51476</v>
      </c>
      <c r="N5376" s="3" t="s">
        <v>7359</v>
      </c>
      <c r="P5376" s="3" t="s">
        <v>64</v>
      </c>
      <c r="R5376" s="3" t="s">
        <v>46535</v>
      </c>
      <c r="S5376" s="4">
        <v>7</v>
      </c>
      <c r="T5376" s="4">
        <v>31</v>
      </c>
      <c r="U5376" s="5" t="s">
        <v>51483</v>
      </c>
      <c r="V5376" s="5" t="s">
        <v>27444</v>
      </c>
      <c r="W5376" s="5" t="s">
        <v>67</v>
      </c>
      <c r="X5376" s="5" t="s">
        <v>67</v>
      </c>
      <c r="Y5376" s="4">
        <v>794</v>
      </c>
      <c r="Z5376" s="4">
        <v>41</v>
      </c>
      <c r="AA5376" s="4">
        <v>50</v>
      </c>
      <c r="AB5376" s="4">
        <v>3</v>
      </c>
      <c r="AC5376" s="4">
        <v>8</v>
      </c>
      <c r="AD5376" s="4">
        <v>128</v>
      </c>
      <c r="AE5376" s="4">
        <v>138</v>
      </c>
      <c r="AF5376" s="4">
        <v>1</v>
      </c>
      <c r="AG5376" s="4">
        <v>4</v>
      </c>
      <c r="AH5376" s="4">
        <v>105</v>
      </c>
      <c r="AI5376" s="4">
        <v>110</v>
      </c>
      <c r="AJ5376" s="4">
        <v>21</v>
      </c>
      <c r="AK5376" s="4">
        <v>25</v>
      </c>
      <c r="AL5376" s="4">
        <v>57</v>
      </c>
      <c r="AM5376" s="4">
        <v>59</v>
      </c>
      <c r="AN5376" s="4">
        <v>0</v>
      </c>
      <c r="AO5376" s="4">
        <v>0</v>
      </c>
      <c r="AP5376" s="4">
        <v>32</v>
      </c>
      <c r="AQ5376" s="4">
        <v>37</v>
      </c>
      <c r="AR5376" s="3" t="s">
        <v>62</v>
      </c>
      <c r="AS5376" s="3" t="s">
        <v>62</v>
      </c>
      <c r="AT5376" s="3" t="s">
        <v>61</v>
      </c>
      <c r="AU5376" s="6" t="str">
        <f>HYPERLINK("http://catalog.hathitrust.org/Record/001555141","HathiTrust Record")</f>
        <v>HathiTrust Record</v>
      </c>
      <c r="AV5376" s="6" t="str">
        <f>HYPERLINK("http://mcgill.on.worldcat.org/oclc/560396","Catalog Record")</f>
        <v>Catalog Record</v>
      </c>
      <c r="AW5376" s="6" t="str">
        <f>HYPERLINK("http://www.worldcat.org/oclc/560396","WorldCat Record")</f>
        <v>WorldCat Record</v>
      </c>
      <c r="AX5376" s="3" t="s">
        <v>51478</v>
      </c>
      <c r="AY5376" s="3" t="s">
        <v>51479</v>
      </c>
      <c r="AZ5376" s="3" t="s">
        <v>51480</v>
      </c>
      <c r="BA5376" s="3" t="s">
        <v>51480</v>
      </c>
      <c r="BB5376" s="3" t="s">
        <v>51484</v>
      </c>
      <c r="BC5376" s="3" t="s">
        <v>102</v>
      </c>
      <c r="BD5376" s="3" t="s">
        <v>68</v>
      </c>
      <c r="BF5376" s="3" t="s">
        <v>51484</v>
      </c>
      <c r="BG5376" s="3" t="s">
        <v>51485</v>
      </c>
    </row>
    <row r="5377" spans="1:59" ht="72.5" x14ac:dyDescent="0.35">
      <c r="A5377" s="2" t="s">
        <v>89</v>
      </c>
      <c r="B5377" s="2" t="s">
        <v>1231</v>
      </c>
      <c r="C5377" s="2" t="s">
        <v>51472</v>
      </c>
      <c r="D5377" s="2" t="s">
        <v>51473</v>
      </c>
      <c r="E5377" s="2" t="s">
        <v>51474</v>
      </c>
      <c r="G5377" s="3" t="s">
        <v>62</v>
      </c>
      <c r="I5377" s="3" t="s">
        <v>61</v>
      </c>
      <c r="J5377" s="3" t="s">
        <v>61</v>
      </c>
      <c r="K5377" s="3" t="s">
        <v>63</v>
      </c>
      <c r="L5377" s="2" t="s">
        <v>51475</v>
      </c>
      <c r="M5377" s="2" t="s">
        <v>51476</v>
      </c>
      <c r="N5377" s="3" t="s">
        <v>7359</v>
      </c>
      <c r="P5377" s="3" t="s">
        <v>64</v>
      </c>
      <c r="R5377" s="3" t="s">
        <v>46535</v>
      </c>
      <c r="S5377" s="4">
        <v>4</v>
      </c>
      <c r="T5377" s="4">
        <v>31</v>
      </c>
      <c r="U5377" s="5" t="s">
        <v>27444</v>
      </c>
      <c r="V5377" s="5" t="s">
        <v>27444</v>
      </c>
      <c r="W5377" s="5" t="s">
        <v>67</v>
      </c>
      <c r="X5377" s="5" t="s">
        <v>67</v>
      </c>
      <c r="Y5377" s="4">
        <v>794</v>
      </c>
      <c r="Z5377" s="4">
        <v>41</v>
      </c>
      <c r="AA5377" s="4">
        <v>50</v>
      </c>
      <c r="AB5377" s="4">
        <v>3</v>
      </c>
      <c r="AC5377" s="4">
        <v>8</v>
      </c>
      <c r="AD5377" s="4">
        <v>128</v>
      </c>
      <c r="AE5377" s="4">
        <v>138</v>
      </c>
      <c r="AF5377" s="4">
        <v>1</v>
      </c>
      <c r="AG5377" s="4">
        <v>4</v>
      </c>
      <c r="AH5377" s="4">
        <v>105</v>
      </c>
      <c r="AI5377" s="4">
        <v>110</v>
      </c>
      <c r="AJ5377" s="4">
        <v>21</v>
      </c>
      <c r="AK5377" s="4">
        <v>25</v>
      </c>
      <c r="AL5377" s="4">
        <v>57</v>
      </c>
      <c r="AM5377" s="4">
        <v>59</v>
      </c>
      <c r="AN5377" s="4">
        <v>0</v>
      </c>
      <c r="AO5377" s="4">
        <v>0</v>
      </c>
      <c r="AP5377" s="4">
        <v>32</v>
      </c>
      <c r="AQ5377" s="4">
        <v>37</v>
      </c>
      <c r="AR5377" s="3" t="s">
        <v>62</v>
      </c>
      <c r="AS5377" s="3" t="s">
        <v>62</v>
      </c>
      <c r="AT5377" s="3" t="s">
        <v>61</v>
      </c>
      <c r="AU5377" s="6" t="str">
        <f>HYPERLINK("http://catalog.hathitrust.org/Record/001555141","HathiTrust Record")</f>
        <v>HathiTrust Record</v>
      </c>
      <c r="AV5377" s="6" t="str">
        <f>HYPERLINK("http://mcgill.on.worldcat.org/oclc/560396","Catalog Record")</f>
        <v>Catalog Record</v>
      </c>
      <c r="AW5377" s="6" t="str">
        <f>HYPERLINK("http://www.worldcat.org/oclc/560396","WorldCat Record")</f>
        <v>WorldCat Record</v>
      </c>
      <c r="AX5377" s="3" t="s">
        <v>51478</v>
      </c>
      <c r="AY5377" s="3" t="s">
        <v>51479</v>
      </c>
      <c r="AZ5377" s="3" t="s">
        <v>51480</v>
      </c>
      <c r="BA5377" s="3" t="s">
        <v>51480</v>
      </c>
      <c r="BB5377" s="3" t="s">
        <v>51486</v>
      </c>
      <c r="BC5377" s="3" t="s">
        <v>102</v>
      </c>
      <c r="BD5377" s="3" t="s">
        <v>68</v>
      </c>
      <c r="BF5377" s="3" t="s">
        <v>51486</v>
      </c>
      <c r="BG5377" s="3" t="s">
        <v>51487</v>
      </c>
    </row>
    <row r="5378" spans="1:59" ht="58" x14ac:dyDescent="0.35">
      <c r="A5378" s="2" t="s">
        <v>89</v>
      </c>
      <c r="B5378" s="2" t="s">
        <v>90</v>
      </c>
      <c r="C5378" s="2" t="s">
        <v>51472</v>
      </c>
      <c r="D5378" s="2" t="s">
        <v>51473</v>
      </c>
      <c r="E5378" s="2" t="s">
        <v>51474</v>
      </c>
      <c r="G5378" s="3" t="s">
        <v>62</v>
      </c>
      <c r="I5378" s="3" t="s">
        <v>61</v>
      </c>
      <c r="J5378" s="3" t="s">
        <v>61</v>
      </c>
      <c r="K5378" s="3" t="s">
        <v>63</v>
      </c>
      <c r="L5378" s="2" t="s">
        <v>51475</v>
      </c>
      <c r="M5378" s="2" t="s">
        <v>51476</v>
      </c>
      <c r="N5378" s="3" t="s">
        <v>7359</v>
      </c>
      <c r="P5378" s="3" t="s">
        <v>64</v>
      </c>
      <c r="R5378" s="3" t="s">
        <v>46535</v>
      </c>
      <c r="S5378" s="4">
        <v>0</v>
      </c>
      <c r="T5378" s="4">
        <v>31</v>
      </c>
      <c r="V5378" s="5" t="s">
        <v>27444</v>
      </c>
      <c r="W5378" s="5" t="s">
        <v>67</v>
      </c>
      <c r="X5378" s="5" t="s">
        <v>67</v>
      </c>
      <c r="Y5378" s="4">
        <v>794</v>
      </c>
      <c r="Z5378" s="4">
        <v>41</v>
      </c>
      <c r="AA5378" s="4">
        <v>50</v>
      </c>
      <c r="AB5378" s="4">
        <v>3</v>
      </c>
      <c r="AC5378" s="4">
        <v>8</v>
      </c>
      <c r="AD5378" s="4">
        <v>128</v>
      </c>
      <c r="AE5378" s="4">
        <v>138</v>
      </c>
      <c r="AF5378" s="4">
        <v>1</v>
      </c>
      <c r="AG5378" s="4">
        <v>4</v>
      </c>
      <c r="AH5378" s="4">
        <v>105</v>
      </c>
      <c r="AI5378" s="4">
        <v>110</v>
      </c>
      <c r="AJ5378" s="4">
        <v>21</v>
      </c>
      <c r="AK5378" s="4">
        <v>25</v>
      </c>
      <c r="AL5378" s="4">
        <v>57</v>
      </c>
      <c r="AM5378" s="4">
        <v>59</v>
      </c>
      <c r="AN5378" s="4">
        <v>0</v>
      </c>
      <c r="AO5378" s="4">
        <v>0</v>
      </c>
      <c r="AP5378" s="4">
        <v>32</v>
      </c>
      <c r="AQ5378" s="4">
        <v>37</v>
      </c>
      <c r="AR5378" s="3" t="s">
        <v>62</v>
      </c>
      <c r="AS5378" s="3" t="s">
        <v>62</v>
      </c>
      <c r="AT5378" s="3" t="s">
        <v>61</v>
      </c>
      <c r="AU5378" s="6" t="str">
        <f>HYPERLINK("http://catalog.hathitrust.org/Record/001555141","HathiTrust Record")</f>
        <v>HathiTrust Record</v>
      </c>
      <c r="AV5378" s="6" t="str">
        <f>HYPERLINK("http://mcgill.on.worldcat.org/oclc/560396","Catalog Record")</f>
        <v>Catalog Record</v>
      </c>
      <c r="AW5378" s="6" t="str">
        <f>HYPERLINK("http://www.worldcat.org/oclc/560396","WorldCat Record")</f>
        <v>WorldCat Record</v>
      </c>
      <c r="AX5378" s="3" t="s">
        <v>51478</v>
      </c>
      <c r="AY5378" s="3" t="s">
        <v>51479</v>
      </c>
      <c r="AZ5378" s="3" t="s">
        <v>51480</v>
      </c>
      <c r="BA5378" s="3" t="s">
        <v>51480</v>
      </c>
      <c r="BB5378" s="3" t="s">
        <v>51488</v>
      </c>
      <c r="BC5378" s="3" t="s">
        <v>102</v>
      </c>
      <c r="BD5378" s="3" t="s">
        <v>68</v>
      </c>
      <c r="BF5378" s="3" t="s">
        <v>51488</v>
      </c>
      <c r="BG5378" s="3" t="s">
        <v>51489</v>
      </c>
    </row>
    <row r="5379" spans="1:59" ht="58" x14ac:dyDescent="0.35">
      <c r="A5379" s="2" t="s">
        <v>89</v>
      </c>
      <c r="B5379" s="2" t="s">
        <v>90</v>
      </c>
      <c r="C5379" s="2" t="s">
        <v>51472</v>
      </c>
      <c r="D5379" s="2" t="s">
        <v>51473</v>
      </c>
      <c r="E5379" s="2" t="s">
        <v>51474</v>
      </c>
      <c r="G5379" s="3" t="s">
        <v>62</v>
      </c>
      <c r="I5379" s="3" t="s">
        <v>61</v>
      </c>
      <c r="J5379" s="3" t="s">
        <v>61</v>
      </c>
      <c r="K5379" s="3" t="s">
        <v>63</v>
      </c>
      <c r="L5379" s="2" t="s">
        <v>51475</v>
      </c>
      <c r="M5379" s="2" t="s">
        <v>51476</v>
      </c>
      <c r="N5379" s="3" t="s">
        <v>7359</v>
      </c>
      <c r="P5379" s="3" t="s">
        <v>64</v>
      </c>
      <c r="R5379" s="3" t="s">
        <v>46535</v>
      </c>
      <c r="S5379" s="4">
        <v>7</v>
      </c>
      <c r="T5379" s="4">
        <v>31</v>
      </c>
      <c r="U5379" s="5" t="s">
        <v>51490</v>
      </c>
      <c r="V5379" s="5" t="s">
        <v>27444</v>
      </c>
      <c r="W5379" s="5" t="s">
        <v>67</v>
      </c>
      <c r="X5379" s="5" t="s">
        <v>67</v>
      </c>
      <c r="Y5379" s="4">
        <v>794</v>
      </c>
      <c r="Z5379" s="4">
        <v>41</v>
      </c>
      <c r="AA5379" s="4">
        <v>50</v>
      </c>
      <c r="AB5379" s="4">
        <v>3</v>
      </c>
      <c r="AC5379" s="4">
        <v>8</v>
      </c>
      <c r="AD5379" s="4">
        <v>128</v>
      </c>
      <c r="AE5379" s="4">
        <v>138</v>
      </c>
      <c r="AF5379" s="4">
        <v>1</v>
      </c>
      <c r="AG5379" s="4">
        <v>4</v>
      </c>
      <c r="AH5379" s="4">
        <v>105</v>
      </c>
      <c r="AI5379" s="4">
        <v>110</v>
      </c>
      <c r="AJ5379" s="4">
        <v>21</v>
      </c>
      <c r="AK5379" s="4">
        <v>25</v>
      </c>
      <c r="AL5379" s="4">
        <v>57</v>
      </c>
      <c r="AM5379" s="4">
        <v>59</v>
      </c>
      <c r="AN5379" s="4">
        <v>0</v>
      </c>
      <c r="AO5379" s="4">
        <v>0</v>
      </c>
      <c r="AP5379" s="4">
        <v>32</v>
      </c>
      <c r="AQ5379" s="4">
        <v>37</v>
      </c>
      <c r="AR5379" s="3" t="s">
        <v>62</v>
      </c>
      <c r="AS5379" s="3" t="s">
        <v>62</v>
      </c>
      <c r="AT5379" s="3" t="s">
        <v>61</v>
      </c>
      <c r="AU5379" s="6" t="str">
        <f>HYPERLINK("http://catalog.hathitrust.org/Record/001555141","HathiTrust Record")</f>
        <v>HathiTrust Record</v>
      </c>
      <c r="AV5379" s="6" t="str">
        <f>HYPERLINK("http://mcgill.on.worldcat.org/oclc/560396","Catalog Record")</f>
        <v>Catalog Record</v>
      </c>
      <c r="AW5379" s="6" t="str">
        <f>HYPERLINK("http://www.worldcat.org/oclc/560396","WorldCat Record")</f>
        <v>WorldCat Record</v>
      </c>
      <c r="AX5379" s="3" t="s">
        <v>51478</v>
      </c>
      <c r="AY5379" s="3" t="s">
        <v>51479</v>
      </c>
      <c r="AZ5379" s="3" t="s">
        <v>51480</v>
      </c>
      <c r="BA5379" s="3" t="s">
        <v>51480</v>
      </c>
      <c r="BB5379" s="3" t="s">
        <v>51491</v>
      </c>
      <c r="BC5379" s="3" t="s">
        <v>102</v>
      </c>
      <c r="BD5379" s="3" t="s">
        <v>68</v>
      </c>
      <c r="BF5379" s="3" t="s">
        <v>51491</v>
      </c>
      <c r="BG5379" s="3" t="s">
        <v>51492</v>
      </c>
    </row>
    <row r="5380" spans="1:59" ht="58" x14ac:dyDescent="0.35">
      <c r="A5380" s="2" t="s">
        <v>59</v>
      </c>
      <c r="B5380" s="2" t="s">
        <v>60</v>
      </c>
      <c r="C5380" s="2" t="s">
        <v>51493</v>
      </c>
      <c r="D5380" s="2" t="s">
        <v>51494</v>
      </c>
      <c r="E5380" s="2" t="s">
        <v>51495</v>
      </c>
      <c r="G5380" s="3" t="s">
        <v>62</v>
      </c>
      <c r="I5380" s="3" t="s">
        <v>61</v>
      </c>
      <c r="J5380" s="3" t="s">
        <v>61</v>
      </c>
      <c r="K5380" s="3" t="s">
        <v>63</v>
      </c>
      <c r="L5380" s="2" t="s">
        <v>51475</v>
      </c>
      <c r="M5380" s="2" t="s">
        <v>51496</v>
      </c>
      <c r="N5380" s="3" t="s">
        <v>157</v>
      </c>
      <c r="P5380" s="3" t="s">
        <v>64</v>
      </c>
      <c r="R5380" s="3" t="s">
        <v>46535</v>
      </c>
      <c r="S5380" s="4">
        <v>13</v>
      </c>
      <c r="T5380" s="4">
        <v>29</v>
      </c>
      <c r="U5380" s="5" t="s">
        <v>51497</v>
      </c>
      <c r="V5380" s="5" t="s">
        <v>12923</v>
      </c>
      <c r="W5380" s="5" t="s">
        <v>67</v>
      </c>
      <c r="X5380" s="5" t="s">
        <v>67</v>
      </c>
      <c r="Y5380" s="4">
        <v>142</v>
      </c>
      <c r="Z5380" s="4">
        <v>6</v>
      </c>
      <c r="AA5380" s="4">
        <v>50</v>
      </c>
      <c r="AB5380" s="4">
        <v>1</v>
      </c>
      <c r="AC5380" s="4">
        <v>8</v>
      </c>
      <c r="AD5380" s="4">
        <v>31</v>
      </c>
      <c r="AE5380" s="4">
        <v>138</v>
      </c>
      <c r="AF5380" s="4">
        <v>0</v>
      </c>
      <c r="AG5380" s="4">
        <v>4</v>
      </c>
      <c r="AH5380" s="4">
        <v>27</v>
      </c>
      <c r="AI5380" s="4">
        <v>110</v>
      </c>
      <c r="AJ5380" s="4">
        <v>3</v>
      </c>
      <c r="AK5380" s="4">
        <v>25</v>
      </c>
      <c r="AL5380" s="4">
        <v>17</v>
      </c>
      <c r="AM5380" s="4">
        <v>59</v>
      </c>
      <c r="AN5380" s="4">
        <v>0</v>
      </c>
      <c r="AO5380" s="4">
        <v>0</v>
      </c>
      <c r="AP5380" s="4">
        <v>5</v>
      </c>
      <c r="AQ5380" s="4">
        <v>37</v>
      </c>
      <c r="AR5380" s="3" t="s">
        <v>62</v>
      </c>
      <c r="AS5380" s="3" t="s">
        <v>62</v>
      </c>
      <c r="AT5380" s="3" t="s">
        <v>62</v>
      </c>
      <c r="AV5380" s="6" t="str">
        <f>HYPERLINK("http://mcgill.on.worldcat.org/oclc/1054192","Catalog Record")</f>
        <v>Catalog Record</v>
      </c>
      <c r="AW5380" s="6" t="str">
        <f>HYPERLINK("http://www.worldcat.org/oclc/1054192","WorldCat Record")</f>
        <v>WorldCat Record</v>
      </c>
      <c r="AX5380" s="3" t="s">
        <v>51478</v>
      </c>
      <c r="AY5380" s="3" t="s">
        <v>51498</v>
      </c>
      <c r="AZ5380" s="3" t="s">
        <v>51499</v>
      </c>
      <c r="BA5380" s="3" t="s">
        <v>51499</v>
      </c>
      <c r="BB5380" s="3" t="s">
        <v>51500</v>
      </c>
      <c r="BC5380" s="3" t="s">
        <v>102</v>
      </c>
      <c r="BD5380" s="3" t="s">
        <v>68</v>
      </c>
      <c r="BE5380" s="3" t="s">
        <v>51501</v>
      </c>
      <c r="BF5380" s="3" t="s">
        <v>51500</v>
      </c>
      <c r="BG5380" s="3" t="s">
        <v>51502</v>
      </c>
    </row>
    <row r="5381" spans="1:59" ht="58" x14ac:dyDescent="0.35">
      <c r="A5381" s="2" t="s">
        <v>89</v>
      </c>
      <c r="B5381" s="2" t="s">
        <v>90</v>
      </c>
      <c r="C5381" s="2" t="s">
        <v>51503</v>
      </c>
      <c r="D5381" s="2" t="s">
        <v>51504</v>
      </c>
      <c r="E5381" s="2" t="s">
        <v>51505</v>
      </c>
      <c r="G5381" s="3" t="s">
        <v>62</v>
      </c>
      <c r="I5381" s="3" t="s">
        <v>62</v>
      </c>
      <c r="J5381" s="3" t="s">
        <v>62</v>
      </c>
      <c r="K5381" s="3" t="s">
        <v>63</v>
      </c>
      <c r="M5381" s="2" t="s">
        <v>51506</v>
      </c>
      <c r="N5381" s="3" t="s">
        <v>2975</v>
      </c>
      <c r="P5381" s="3" t="s">
        <v>64</v>
      </c>
      <c r="Q5381" s="2" t="s">
        <v>51507</v>
      </c>
      <c r="R5381" s="3" t="s">
        <v>46535</v>
      </c>
      <c r="S5381" s="4">
        <v>13</v>
      </c>
      <c r="T5381" s="4">
        <v>13</v>
      </c>
      <c r="U5381" s="5" t="s">
        <v>16404</v>
      </c>
      <c r="V5381" s="5" t="s">
        <v>16404</v>
      </c>
      <c r="W5381" s="5" t="s">
        <v>67</v>
      </c>
      <c r="X5381" s="5" t="s">
        <v>67</v>
      </c>
      <c r="Y5381" s="4">
        <v>245</v>
      </c>
      <c r="Z5381" s="4">
        <v>14</v>
      </c>
      <c r="AA5381" s="4">
        <v>19</v>
      </c>
      <c r="AB5381" s="4">
        <v>2</v>
      </c>
      <c r="AC5381" s="4">
        <v>4</v>
      </c>
      <c r="AD5381" s="4">
        <v>59</v>
      </c>
      <c r="AE5381" s="4">
        <v>64</v>
      </c>
      <c r="AF5381" s="4">
        <v>1</v>
      </c>
      <c r="AG5381" s="4">
        <v>3</v>
      </c>
      <c r="AH5381" s="4">
        <v>50</v>
      </c>
      <c r="AI5381" s="4">
        <v>53</v>
      </c>
      <c r="AJ5381" s="4">
        <v>6</v>
      </c>
      <c r="AK5381" s="4">
        <v>10</v>
      </c>
      <c r="AL5381" s="4">
        <v>31</v>
      </c>
      <c r="AM5381" s="4">
        <v>32</v>
      </c>
      <c r="AN5381" s="4">
        <v>0</v>
      </c>
      <c r="AO5381" s="4">
        <v>0</v>
      </c>
      <c r="AP5381" s="4">
        <v>12</v>
      </c>
      <c r="AQ5381" s="4">
        <v>15</v>
      </c>
      <c r="AR5381" s="3" t="s">
        <v>62</v>
      </c>
      <c r="AS5381" s="3" t="s">
        <v>62</v>
      </c>
      <c r="AT5381" s="3" t="s">
        <v>62</v>
      </c>
      <c r="AV5381" s="6" t="str">
        <f>HYPERLINK("http://mcgill.on.worldcat.org/oclc/44268013","Catalog Record")</f>
        <v>Catalog Record</v>
      </c>
      <c r="AW5381" s="6" t="str">
        <f>HYPERLINK("http://www.worldcat.org/oclc/44268013","WorldCat Record")</f>
        <v>WorldCat Record</v>
      </c>
      <c r="AX5381" s="3" t="s">
        <v>51508</v>
      </c>
      <c r="AY5381" s="3" t="s">
        <v>51509</v>
      </c>
      <c r="AZ5381" s="3" t="s">
        <v>51510</v>
      </c>
      <c r="BA5381" s="3" t="s">
        <v>51510</v>
      </c>
      <c r="BB5381" s="3" t="s">
        <v>51511</v>
      </c>
      <c r="BC5381" s="3" t="s">
        <v>102</v>
      </c>
      <c r="BD5381" s="3" t="s">
        <v>68</v>
      </c>
      <c r="BE5381" s="3" t="s">
        <v>51512</v>
      </c>
      <c r="BF5381" s="3" t="s">
        <v>51511</v>
      </c>
      <c r="BG5381" s="3" t="s">
        <v>51513</v>
      </c>
    </row>
    <row r="5382" spans="1:59" ht="72.5" x14ac:dyDescent="0.35">
      <c r="A5382" s="2" t="s">
        <v>89</v>
      </c>
      <c r="B5382" s="2" t="s">
        <v>1231</v>
      </c>
      <c r="C5382" s="2" t="s">
        <v>51514</v>
      </c>
      <c r="D5382" s="2" t="s">
        <v>51515</v>
      </c>
      <c r="E5382" s="2" t="s">
        <v>51516</v>
      </c>
      <c r="G5382" s="3" t="s">
        <v>62</v>
      </c>
      <c r="I5382" s="3" t="s">
        <v>61</v>
      </c>
      <c r="J5382" s="3" t="s">
        <v>61</v>
      </c>
      <c r="K5382" s="3" t="s">
        <v>916</v>
      </c>
      <c r="L5382" s="2" t="s">
        <v>51517</v>
      </c>
      <c r="M5382" s="2" t="s">
        <v>51518</v>
      </c>
      <c r="N5382" s="3" t="s">
        <v>2924</v>
      </c>
      <c r="P5382" s="3" t="s">
        <v>64</v>
      </c>
      <c r="R5382" s="3" t="s">
        <v>46535</v>
      </c>
      <c r="S5382" s="4">
        <v>10</v>
      </c>
      <c r="T5382" s="4">
        <v>18</v>
      </c>
      <c r="U5382" s="5" t="s">
        <v>10633</v>
      </c>
      <c r="V5382" s="5" t="s">
        <v>10633</v>
      </c>
      <c r="W5382" s="5" t="s">
        <v>67</v>
      </c>
      <c r="X5382" s="5" t="s">
        <v>67</v>
      </c>
      <c r="Y5382" s="4">
        <v>1184</v>
      </c>
      <c r="Z5382" s="4">
        <v>42</v>
      </c>
      <c r="AA5382" s="4">
        <v>78</v>
      </c>
      <c r="AB5382" s="4">
        <v>3</v>
      </c>
      <c r="AC5382" s="4">
        <v>9</v>
      </c>
      <c r="AD5382" s="4">
        <v>115</v>
      </c>
      <c r="AE5382" s="4">
        <v>152</v>
      </c>
      <c r="AF5382" s="4">
        <v>1</v>
      </c>
      <c r="AG5382" s="4">
        <v>5</v>
      </c>
      <c r="AH5382" s="4">
        <v>93</v>
      </c>
      <c r="AI5382" s="4">
        <v>114</v>
      </c>
      <c r="AJ5382" s="4">
        <v>15</v>
      </c>
      <c r="AK5382" s="4">
        <v>27</v>
      </c>
      <c r="AL5382" s="4">
        <v>51</v>
      </c>
      <c r="AM5382" s="4">
        <v>59</v>
      </c>
      <c r="AN5382" s="4">
        <v>0</v>
      </c>
      <c r="AO5382" s="4">
        <v>0</v>
      </c>
      <c r="AP5382" s="4">
        <v>24</v>
      </c>
      <c r="AQ5382" s="4">
        <v>44</v>
      </c>
      <c r="AR5382" s="3" t="s">
        <v>62</v>
      </c>
      <c r="AS5382" s="3" t="s">
        <v>62</v>
      </c>
      <c r="AT5382" s="3" t="s">
        <v>61</v>
      </c>
      <c r="AU5382" s="6" t="str">
        <f>HYPERLINK("http://catalog.hathitrust.org/Record/001555150","HathiTrust Record")</f>
        <v>HathiTrust Record</v>
      </c>
      <c r="AV5382" s="6" t="str">
        <f>HYPERLINK("http://mcgill.on.worldcat.org/oclc/1175564","Catalog Record")</f>
        <v>Catalog Record</v>
      </c>
      <c r="AW5382" s="6" t="str">
        <f>HYPERLINK("http://www.worldcat.org/oclc/1175564","WorldCat Record")</f>
        <v>WorldCat Record</v>
      </c>
      <c r="AX5382" s="3" t="s">
        <v>51519</v>
      </c>
      <c r="AY5382" s="3" t="s">
        <v>51520</v>
      </c>
      <c r="AZ5382" s="3" t="s">
        <v>51521</v>
      </c>
      <c r="BA5382" s="3" t="s">
        <v>51521</v>
      </c>
      <c r="BB5382" s="3" t="s">
        <v>51522</v>
      </c>
      <c r="BC5382" s="3" t="s">
        <v>102</v>
      </c>
      <c r="BD5382" s="3" t="s">
        <v>68</v>
      </c>
      <c r="BE5382" s="3" t="s">
        <v>51523</v>
      </c>
      <c r="BF5382" s="3" t="s">
        <v>51522</v>
      </c>
      <c r="BG5382" s="3" t="s">
        <v>51524</v>
      </c>
    </row>
    <row r="5383" spans="1:59" ht="58" x14ac:dyDescent="0.35">
      <c r="A5383" s="2" t="s">
        <v>59</v>
      </c>
      <c r="B5383" s="2" t="s">
        <v>60</v>
      </c>
      <c r="C5383" s="2" t="s">
        <v>51514</v>
      </c>
      <c r="D5383" s="2" t="s">
        <v>51515</v>
      </c>
      <c r="E5383" s="2" t="s">
        <v>51516</v>
      </c>
      <c r="G5383" s="3" t="s">
        <v>62</v>
      </c>
      <c r="I5383" s="3" t="s">
        <v>61</v>
      </c>
      <c r="J5383" s="3" t="s">
        <v>61</v>
      </c>
      <c r="K5383" s="3" t="s">
        <v>916</v>
      </c>
      <c r="L5383" s="2" t="s">
        <v>51517</v>
      </c>
      <c r="M5383" s="2" t="s">
        <v>51518</v>
      </c>
      <c r="N5383" s="3" t="s">
        <v>2924</v>
      </c>
      <c r="P5383" s="3" t="s">
        <v>64</v>
      </c>
      <c r="R5383" s="3" t="s">
        <v>46535</v>
      </c>
      <c r="S5383" s="4">
        <v>3</v>
      </c>
      <c r="T5383" s="4">
        <v>18</v>
      </c>
      <c r="U5383" s="5" t="s">
        <v>51525</v>
      </c>
      <c r="V5383" s="5" t="s">
        <v>10633</v>
      </c>
      <c r="W5383" s="5" t="s">
        <v>67</v>
      </c>
      <c r="X5383" s="5" t="s">
        <v>67</v>
      </c>
      <c r="Y5383" s="4">
        <v>1184</v>
      </c>
      <c r="Z5383" s="4">
        <v>42</v>
      </c>
      <c r="AA5383" s="4">
        <v>78</v>
      </c>
      <c r="AB5383" s="4">
        <v>3</v>
      </c>
      <c r="AC5383" s="4">
        <v>9</v>
      </c>
      <c r="AD5383" s="4">
        <v>115</v>
      </c>
      <c r="AE5383" s="4">
        <v>152</v>
      </c>
      <c r="AF5383" s="4">
        <v>1</v>
      </c>
      <c r="AG5383" s="4">
        <v>5</v>
      </c>
      <c r="AH5383" s="4">
        <v>93</v>
      </c>
      <c r="AI5383" s="4">
        <v>114</v>
      </c>
      <c r="AJ5383" s="4">
        <v>15</v>
      </c>
      <c r="AK5383" s="4">
        <v>27</v>
      </c>
      <c r="AL5383" s="4">
        <v>51</v>
      </c>
      <c r="AM5383" s="4">
        <v>59</v>
      </c>
      <c r="AN5383" s="4">
        <v>0</v>
      </c>
      <c r="AO5383" s="4">
        <v>0</v>
      </c>
      <c r="AP5383" s="4">
        <v>24</v>
      </c>
      <c r="AQ5383" s="4">
        <v>44</v>
      </c>
      <c r="AR5383" s="3" t="s">
        <v>62</v>
      </c>
      <c r="AS5383" s="3" t="s">
        <v>62</v>
      </c>
      <c r="AT5383" s="3" t="s">
        <v>61</v>
      </c>
      <c r="AU5383" s="6" t="str">
        <f>HYPERLINK("http://catalog.hathitrust.org/Record/001555150","HathiTrust Record")</f>
        <v>HathiTrust Record</v>
      </c>
      <c r="AV5383" s="6" t="str">
        <f>HYPERLINK("http://mcgill.on.worldcat.org/oclc/1175564","Catalog Record")</f>
        <v>Catalog Record</v>
      </c>
      <c r="AW5383" s="6" t="str">
        <f>HYPERLINK("http://www.worldcat.org/oclc/1175564","WorldCat Record")</f>
        <v>WorldCat Record</v>
      </c>
      <c r="AX5383" s="3" t="s">
        <v>51519</v>
      </c>
      <c r="AY5383" s="3" t="s">
        <v>51520</v>
      </c>
      <c r="AZ5383" s="3" t="s">
        <v>51521</v>
      </c>
      <c r="BA5383" s="3" t="s">
        <v>51521</v>
      </c>
      <c r="BB5383" s="3" t="s">
        <v>51526</v>
      </c>
      <c r="BC5383" s="3" t="s">
        <v>102</v>
      </c>
      <c r="BD5383" s="3" t="s">
        <v>68</v>
      </c>
      <c r="BE5383" s="3" t="s">
        <v>51523</v>
      </c>
      <c r="BF5383" s="3" t="s">
        <v>51526</v>
      </c>
      <c r="BG5383" s="3" t="s">
        <v>51527</v>
      </c>
    </row>
    <row r="5384" spans="1:59" ht="58" x14ac:dyDescent="0.35">
      <c r="A5384" s="2" t="s">
        <v>89</v>
      </c>
      <c r="B5384" s="2" t="s">
        <v>90</v>
      </c>
      <c r="C5384" s="2" t="s">
        <v>51528</v>
      </c>
      <c r="D5384" s="2" t="s">
        <v>51529</v>
      </c>
      <c r="E5384" s="2" t="s">
        <v>51530</v>
      </c>
      <c r="G5384" s="3" t="s">
        <v>62</v>
      </c>
      <c r="I5384" s="3" t="s">
        <v>62</v>
      </c>
      <c r="J5384" s="3" t="s">
        <v>62</v>
      </c>
      <c r="K5384" s="3" t="s">
        <v>63</v>
      </c>
      <c r="L5384" s="2" t="s">
        <v>51531</v>
      </c>
      <c r="M5384" s="2" t="s">
        <v>51532</v>
      </c>
      <c r="N5384" s="3" t="s">
        <v>438</v>
      </c>
      <c r="P5384" s="3" t="s">
        <v>64</v>
      </c>
      <c r="R5384" s="3" t="s">
        <v>46535</v>
      </c>
      <c r="S5384" s="4">
        <v>14</v>
      </c>
      <c r="T5384" s="4">
        <v>14</v>
      </c>
      <c r="U5384" s="5" t="s">
        <v>30422</v>
      </c>
      <c r="V5384" s="5" t="s">
        <v>30422</v>
      </c>
      <c r="W5384" s="5" t="s">
        <v>67</v>
      </c>
      <c r="X5384" s="5" t="s">
        <v>67</v>
      </c>
      <c r="Y5384" s="4">
        <v>562</v>
      </c>
      <c r="Z5384" s="4">
        <v>31</v>
      </c>
      <c r="AA5384" s="4">
        <v>41</v>
      </c>
      <c r="AB5384" s="4">
        <v>2</v>
      </c>
      <c r="AC5384" s="4">
        <v>5</v>
      </c>
      <c r="AD5384" s="4">
        <v>94</v>
      </c>
      <c r="AE5384" s="4">
        <v>109</v>
      </c>
      <c r="AF5384" s="4">
        <v>1</v>
      </c>
      <c r="AG5384" s="4">
        <v>4</v>
      </c>
      <c r="AH5384" s="4">
        <v>76</v>
      </c>
      <c r="AI5384" s="4">
        <v>89</v>
      </c>
      <c r="AJ5384" s="4">
        <v>12</v>
      </c>
      <c r="AK5384" s="4">
        <v>17</v>
      </c>
      <c r="AL5384" s="4">
        <v>42</v>
      </c>
      <c r="AM5384" s="4">
        <v>47</v>
      </c>
      <c r="AN5384" s="4">
        <v>0</v>
      </c>
      <c r="AO5384" s="4">
        <v>0</v>
      </c>
      <c r="AP5384" s="4">
        <v>22</v>
      </c>
      <c r="AQ5384" s="4">
        <v>26</v>
      </c>
      <c r="AR5384" s="3" t="s">
        <v>62</v>
      </c>
      <c r="AS5384" s="3" t="s">
        <v>62</v>
      </c>
      <c r="AT5384" s="3" t="s">
        <v>62</v>
      </c>
      <c r="AV5384" s="6" t="str">
        <f>HYPERLINK("http://mcgill.on.worldcat.org/oclc/21153243","Catalog Record")</f>
        <v>Catalog Record</v>
      </c>
      <c r="AW5384" s="6" t="str">
        <f>HYPERLINK("http://www.worldcat.org/oclc/21153243","WorldCat Record")</f>
        <v>WorldCat Record</v>
      </c>
      <c r="AX5384" s="3" t="s">
        <v>51533</v>
      </c>
      <c r="AY5384" s="3" t="s">
        <v>51534</v>
      </c>
      <c r="AZ5384" s="3" t="s">
        <v>51535</v>
      </c>
      <c r="BA5384" s="3" t="s">
        <v>51535</v>
      </c>
      <c r="BB5384" s="3" t="s">
        <v>51536</v>
      </c>
      <c r="BC5384" s="3" t="s">
        <v>102</v>
      </c>
      <c r="BD5384" s="3" t="s">
        <v>68</v>
      </c>
      <c r="BE5384" s="3" t="s">
        <v>51537</v>
      </c>
      <c r="BF5384" s="3" t="s">
        <v>51536</v>
      </c>
      <c r="BG5384" s="3" t="s">
        <v>51538</v>
      </c>
    </row>
    <row r="5385" spans="1:59" ht="58" x14ac:dyDescent="0.35">
      <c r="A5385" s="2" t="s">
        <v>89</v>
      </c>
      <c r="B5385" s="2" t="s">
        <v>90</v>
      </c>
      <c r="C5385" s="2" t="s">
        <v>51539</v>
      </c>
      <c r="D5385" s="2" t="s">
        <v>51540</v>
      </c>
      <c r="E5385" s="2" t="s">
        <v>51541</v>
      </c>
      <c r="G5385" s="3" t="s">
        <v>62</v>
      </c>
      <c r="I5385" s="3" t="s">
        <v>61</v>
      </c>
      <c r="J5385" s="3" t="s">
        <v>62</v>
      </c>
      <c r="K5385" s="3" t="s">
        <v>63</v>
      </c>
      <c r="L5385" s="2" t="s">
        <v>51542</v>
      </c>
      <c r="M5385" s="2" t="s">
        <v>51543</v>
      </c>
      <c r="N5385" s="3" t="s">
        <v>201</v>
      </c>
      <c r="P5385" s="3" t="s">
        <v>64</v>
      </c>
      <c r="R5385" s="3" t="s">
        <v>46535</v>
      </c>
      <c r="S5385" s="4">
        <v>24</v>
      </c>
      <c r="T5385" s="4">
        <v>44</v>
      </c>
      <c r="U5385" s="5" t="s">
        <v>9672</v>
      </c>
      <c r="V5385" s="5" t="s">
        <v>9672</v>
      </c>
      <c r="W5385" s="5" t="s">
        <v>67</v>
      </c>
      <c r="X5385" s="5" t="s">
        <v>67</v>
      </c>
      <c r="Y5385" s="4">
        <v>350</v>
      </c>
      <c r="Z5385" s="4">
        <v>15</v>
      </c>
      <c r="AA5385" s="4">
        <v>24</v>
      </c>
      <c r="AB5385" s="4">
        <v>1</v>
      </c>
      <c r="AC5385" s="4">
        <v>1</v>
      </c>
      <c r="AD5385" s="4">
        <v>24</v>
      </c>
      <c r="AE5385" s="4">
        <v>40</v>
      </c>
      <c r="AF5385" s="4">
        <v>0</v>
      </c>
      <c r="AG5385" s="4">
        <v>0</v>
      </c>
      <c r="AH5385" s="4">
        <v>22</v>
      </c>
      <c r="AI5385" s="4">
        <v>37</v>
      </c>
      <c r="AJ5385" s="4">
        <v>6</v>
      </c>
      <c r="AK5385" s="4">
        <v>7</v>
      </c>
      <c r="AL5385" s="4">
        <v>9</v>
      </c>
      <c r="AM5385" s="4">
        <v>14</v>
      </c>
      <c r="AN5385" s="4">
        <v>0</v>
      </c>
      <c r="AO5385" s="4">
        <v>5</v>
      </c>
      <c r="AP5385" s="4">
        <v>8</v>
      </c>
      <c r="AQ5385" s="4">
        <v>9</v>
      </c>
      <c r="AR5385" s="3" t="s">
        <v>62</v>
      </c>
      <c r="AS5385" s="3" t="s">
        <v>62</v>
      </c>
      <c r="AT5385" s="3" t="s">
        <v>62</v>
      </c>
      <c r="AV5385" s="6" t="str">
        <f>HYPERLINK("http://mcgill.on.worldcat.org/oclc/10496414","Catalog Record")</f>
        <v>Catalog Record</v>
      </c>
      <c r="AW5385" s="6" t="str">
        <f>HYPERLINK("http://www.worldcat.org/oclc/10496414","WorldCat Record")</f>
        <v>WorldCat Record</v>
      </c>
      <c r="AX5385" s="3" t="s">
        <v>51544</v>
      </c>
      <c r="AY5385" s="3" t="s">
        <v>51545</v>
      </c>
      <c r="AZ5385" s="3" t="s">
        <v>51546</v>
      </c>
      <c r="BA5385" s="3" t="s">
        <v>51546</v>
      </c>
      <c r="BB5385" s="3" t="s">
        <v>51547</v>
      </c>
      <c r="BC5385" s="3" t="s">
        <v>102</v>
      </c>
      <c r="BD5385" s="3" t="s">
        <v>68</v>
      </c>
      <c r="BE5385" s="3" t="s">
        <v>51548</v>
      </c>
      <c r="BF5385" s="3" t="s">
        <v>51547</v>
      </c>
      <c r="BG5385" s="3" t="s">
        <v>51549</v>
      </c>
    </row>
    <row r="5386" spans="1:59" ht="58" x14ac:dyDescent="0.35">
      <c r="A5386" s="2" t="s">
        <v>89</v>
      </c>
      <c r="B5386" s="2" t="s">
        <v>90</v>
      </c>
      <c r="C5386" s="2" t="s">
        <v>51550</v>
      </c>
      <c r="D5386" s="2" t="s">
        <v>51551</v>
      </c>
      <c r="E5386" s="2" t="s">
        <v>51552</v>
      </c>
      <c r="G5386" s="3" t="s">
        <v>62</v>
      </c>
      <c r="I5386" s="3" t="s">
        <v>62</v>
      </c>
      <c r="J5386" s="3" t="s">
        <v>62</v>
      </c>
      <c r="K5386" s="3" t="s">
        <v>63</v>
      </c>
      <c r="L5386" s="2" t="s">
        <v>51553</v>
      </c>
      <c r="M5386" s="2" t="s">
        <v>16800</v>
      </c>
      <c r="N5386" s="3" t="s">
        <v>509</v>
      </c>
      <c r="P5386" s="3" t="s">
        <v>64</v>
      </c>
      <c r="R5386" s="3" t="s">
        <v>46535</v>
      </c>
      <c r="S5386" s="4">
        <v>46</v>
      </c>
      <c r="T5386" s="4">
        <v>46</v>
      </c>
      <c r="U5386" s="5" t="s">
        <v>5098</v>
      </c>
      <c r="V5386" s="5" t="s">
        <v>5098</v>
      </c>
      <c r="W5386" s="5" t="s">
        <v>67</v>
      </c>
      <c r="X5386" s="5" t="s">
        <v>67</v>
      </c>
      <c r="Y5386" s="4">
        <v>608</v>
      </c>
      <c r="Z5386" s="4">
        <v>33</v>
      </c>
      <c r="AA5386" s="4">
        <v>35</v>
      </c>
      <c r="AB5386" s="4">
        <v>4</v>
      </c>
      <c r="AC5386" s="4">
        <v>6</v>
      </c>
      <c r="AD5386" s="4">
        <v>124</v>
      </c>
      <c r="AE5386" s="4">
        <v>126</v>
      </c>
      <c r="AF5386" s="4">
        <v>1</v>
      </c>
      <c r="AG5386" s="4">
        <v>3</v>
      </c>
      <c r="AH5386" s="4">
        <v>104</v>
      </c>
      <c r="AI5386" s="4">
        <v>104</v>
      </c>
      <c r="AJ5386" s="4">
        <v>16</v>
      </c>
      <c r="AK5386" s="4">
        <v>18</v>
      </c>
      <c r="AL5386" s="4">
        <v>60</v>
      </c>
      <c r="AM5386" s="4">
        <v>60</v>
      </c>
      <c r="AN5386" s="4">
        <v>0</v>
      </c>
      <c r="AO5386" s="4">
        <v>0</v>
      </c>
      <c r="AP5386" s="4">
        <v>24</v>
      </c>
      <c r="AQ5386" s="4">
        <v>25</v>
      </c>
      <c r="AR5386" s="3" t="s">
        <v>62</v>
      </c>
      <c r="AS5386" s="3" t="s">
        <v>62</v>
      </c>
      <c r="AT5386" s="3" t="s">
        <v>62</v>
      </c>
      <c r="AV5386" s="6" t="str">
        <f>HYPERLINK("http://mcgill.on.worldcat.org/oclc/28800284","Catalog Record")</f>
        <v>Catalog Record</v>
      </c>
      <c r="AW5386" s="6" t="str">
        <f>HYPERLINK("http://www.worldcat.org/oclc/28800284","WorldCat Record")</f>
        <v>WorldCat Record</v>
      </c>
      <c r="AX5386" s="3" t="s">
        <v>51554</v>
      </c>
      <c r="AY5386" s="3" t="s">
        <v>51555</v>
      </c>
      <c r="AZ5386" s="3" t="s">
        <v>51556</v>
      </c>
      <c r="BA5386" s="3" t="s">
        <v>51556</v>
      </c>
      <c r="BB5386" s="3" t="s">
        <v>51557</v>
      </c>
      <c r="BC5386" s="3" t="s">
        <v>102</v>
      </c>
      <c r="BD5386" s="3" t="s">
        <v>68</v>
      </c>
      <c r="BE5386" s="3" t="s">
        <v>51558</v>
      </c>
      <c r="BF5386" s="3" t="s">
        <v>51557</v>
      </c>
      <c r="BG5386" s="3" t="s">
        <v>51559</v>
      </c>
    </row>
    <row r="5387" spans="1:59" ht="72.5" x14ac:dyDescent="0.35">
      <c r="A5387" s="2" t="s">
        <v>59</v>
      </c>
      <c r="B5387" s="2" t="s">
        <v>60</v>
      </c>
      <c r="C5387" s="2" t="s">
        <v>51560</v>
      </c>
      <c r="D5387" s="2" t="s">
        <v>51561</v>
      </c>
      <c r="E5387" s="2" t="s">
        <v>51562</v>
      </c>
      <c r="F5387" s="3" t="s">
        <v>51563</v>
      </c>
      <c r="G5387" s="3" t="s">
        <v>62</v>
      </c>
      <c r="I5387" s="3" t="s">
        <v>62</v>
      </c>
      <c r="J5387" s="3" t="s">
        <v>62</v>
      </c>
      <c r="K5387" s="3" t="s">
        <v>63</v>
      </c>
      <c r="M5387" s="2" t="s">
        <v>51564</v>
      </c>
      <c r="N5387" s="3" t="s">
        <v>866</v>
      </c>
      <c r="P5387" s="3" t="s">
        <v>64</v>
      </c>
      <c r="Q5387" s="2" t="s">
        <v>51565</v>
      </c>
      <c r="R5387" s="3" t="s">
        <v>46535</v>
      </c>
      <c r="S5387" s="4">
        <v>2</v>
      </c>
      <c r="T5387" s="4">
        <v>2</v>
      </c>
      <c r="U5387" s="5" t="s">
        <v>7089</v>
      </c>
      <c r="V5387" s="5" t="s">
        <v>7089</v>
      </c>
      <c r="W5387" s="5" t="s">
        <v>67</v>
      </c>
      <c r="X5387" s="5" t="s">
        <v>67</v>
      </c>
      <c r="Y5387" s="4">
        <v>22</v>
      </c>
      <c r="Z5387" s="4">
        <v>1</v>
      </c>
      <c r="AA5387" s="4">
        <v>20</v>
      </c>
      <c r="AB5387" s="4">
        <v>1</v>
      </c>
      <c r="AC5387" s="4">
        <v>2</v>
      </c>
      <c r="AD5387" s="4">
        <v>1</v>
      </c>
      <c r="AE5387" s="4">
        <v>74</v>
      </c>
      <c r="AF5387" s="4">
        <v>0</v>
      </c>
      <c r="AG5387" s="4">
        <v>1</v>
      </c>
      <c r="AH5387" s="4">
        <v>1</v>
      </c>
      <c r="AI5387" s="4">
        <v>62</v>
      </c>
      <c r="AJ5387" s="4">
        <v>0</v>
      </c>
      <c r="AK5387" s="4">
        <v>16</v>
      </c>
      <c r="AL5387" s="4">
        <v>1</v>
      </c>
      <c r="AM5387" s="4">
        <v>32</v>
      </c>
      <c r="AN5387" s="4">
        <v>0</v>
      </c>
      <c r="AO5387" s="4">
        <v>0</v>
      </c>
      <c r="AP5387" s="4">
        <v>0</v>
      </c>
      <c r="AQ5387" s="4">
        <v>17</v>
      </c>
      <c r="AR5387" s="3" t="s">
        <v>62</v>
      </c>
      <c r="AS5387" s="3" t="s">
        <v>62</v>
      </c>
      <c r="AT5387" s="3" t="s">
        <v>62</v>
      </c>
      <c r="AV5387" s="6" t="str">
        <f>HYPERLINK("http://mcgill.on.worldcat.org/oclc/14087006","Catalog Record")</f>
        <v>Catalog Record</v>
      </c>
      <c r="AW5387" s="6" t="str">
        <f>HYPERLINK("http://www.worldcat.org/oclc/14087006","WorldCat Record")</f>
        <v>WorldCat Record</v>
      </c>
      <c r="AX5387" s="3" t="s">
        <v>51566</v>
      </c>
      <c r="AY5387" s="3" t="s">
        <v>51567</v>
      </c>
      <c r="AZ5387" s="3" t="s">
        <v>51568</v>
      </c>
      <c r="BA5387" s="3" t="s">
        <v>51568</v>
      </c>
      <c r="BB5387" s="3" t="s">
        <v>51569</v>
      </c>
      <c r="BC5387" s="3" t="s">
        <v>102</v>
      </c>
      <c r="BD5387" s="3" t="s">
        <v>68</v>
      </c>
      <c r="BF5387" s="3" t="s">
        <v>51569</v>
      </c>
      <c r="BG5387" s="3" t="s">
        <v>51570</v>
      </c>
    </row>
    <row r="5388" spans="1:59" ht="58" x14ac:dyDescent="0.35">
      <c r="A5388" s="2" t="s">
        <v>89</v>
      </c>
      <c r="B5388" s="2" t="s">
        <v>90</v>
      </c>
      <c r="C5388" s="2" t="s">
        <v>51571</v>
      </c>
      <c r="D5388" s="2" t="s">
        <v>51572</v>
      </c>
      <c r="E5388" s="2" t="s">
        <v>51573</v>
      </c>
      <c r="G5388" s="3" t="s">
        <v>62</v>
      </c>
      <c r="I5388" s="3" t="s">
        <v>62</v>
      </c>
      <c r="J5388" s="3" t="s">
        <v>62</v>
      </c>
      <c r="K5388" s="3" t="s">
        <v>63</v>
      </c>
      <c r="L5388" s="2" t="s">
        <v>51574</v>
      </c>
      <c r="M5388" s="2" t="s">
        <v>51575</v>
      </c>
      <c r="N5388" s="3" t="s">
        <v>712</v>
      </c>
      <c r="P5388" s="3" t="s">
        <v>64</v>
      </c>
      <c r="Q5388" s="2" t="s">
        <v>51576</v>
      </c>
      <c r="R5388" s="3" t="s">
        <v>46535</v>
      </c>
      <c r="S5388" s="4">
        <v>0</v>
      </c>
      <c r="T5388" s="4">
        <v>0</v>
      </c>
      <c r="W5388" s="5" t="s">
        <v>67</v>
      </c>
      <c r="X5388" s="5" t="s">
        <v>67</v>
      </c>
      <c r="Y5388" s="4">
        <v>132</v>
      </c>
      <c r="Z5388" s="4">
        <v>9</v>
      </c>
      <c r="AA5388" s="4">
        <v>9</v>
      </c>
      <c r="AB5388" s="4">
        <v>1</v>
      </c>
      <c r="AC5388" s="4">
        <v>1</v>
      </c>
      <c r="AD5388" s="4">
        <v>64</v>
      </c>
      <c r="AE5388" s="4">
        <v>64</v>
      </c>
      <c r="AF5388" s="4">
        <v>0</v>
      </c>
      <c r="AG5388" s="4">
        <v>0</v>
      </c>
      <c r="AH5388" s="4">
        <v>59</v>
      </c>
      <c r="AI5388" s="4">
        <v>59</v>
      </c>
      <c r="AJ5388" s="4">
        <v>8</v>
      </c>
      <c r="AK5388" s="4">
        <v>8</v>
      </c>
      <c r="AL5388" s="4">
        <v>37</v>
      </c>
      <c r="AM5388" s="4">
        <v>37</v>
      </c>
      <c r="AN5388" s="4">
        <v>0</v>
      </c>
      <c r="AO5388" s="4">
        <v>0</v>
      </c>
      <c r="AP5388" s="4">
        <v>8</v>
      </c>
      <c r="AQ5388" s="4">
        <v>8</v>
      </c>
      <c r="AR5388" s="3" t="s">
        <v>62</v>
      </c>
      <c r="AS5388" s="3" t="s">
        <v>62</v>
      </c>
      <c r="AT5388" s="3" t="s">
        <v>62</v>
      </c>
      <c r="AV5388" s="6" t="str">
        <f>HYPERLINK("http://mcgill.on.worldcat.org/oclc/892697509","Catalog Record")</f>
        <v>Catalog Record</v>
      </c>
      <c r="AW5388" s="6" t="str">
        <f>HYPERLINK("http://www.worldcat.org/oclc/892697509","WorldCat Record")</f>
        <v>WorldCat Record</v>
      </c>
      <c r="AX5388" s="3" t="s">
        <v>51577</v>
      </c>
      <c r="AY5388" s="3" t="s">
        <v>51578</v>
      </c>
      <c r="AZ5388" s="3" t="s">
        <v>51579</v>
      </c>
      <c r="BA5388" s="3" t="s">
        <v>51579</v>
      </c>
      <c r="BB5388" s="3" t="s">
        <v>51580</v>
      </c>
      <c r="BC5388" s="3" t="s">
        <v>102</v>
      </c>
      <c r="BD5388" s="3" t="s">
        <v>68</v>
      </c>
      <c r="BE5388" s="3" t="s">
        <v>51581</v>
      </c>
      <c r="BF5388" s="3" t="s">
        <v>51580</v>
      </c>
      <c r="BG5388" s="3" t="s">
        <v>51582</v>
      </c>
    </row>
    <row r="5389" spans="1:59" ht="58" x14ac:dyDescent="0.35">
      <c r="A5389" s="2" t="s">
        <v>89</v>
      </c>
      <c r="B5389" s="2" t="s">
        <v>90</v>
      </c>
      <c r="C5389" s="2" t="s">
        <v>51583</v>
      </c>
      <c r="D5389" s="2" t="s">
        <v>51584</v>
      </c>
      <c r="E5389" s="2" t="s">
        <v>51585</v>
      </c>
      <c r="G5389" s="3" t="s">
        <v>62</v>
      </c>
      <c r="I5389" s="3" t="s">
        <v>61</v>
      </c>
      <c r="J5389" s="3" t="s">
        <v>62</v>
      </c>
      <c r="K5389" s="3" t="s">
        <v>63</v>
      </c>
      <c r="L5389" s="2" t="s">
        <v>51586</v>
      </c>
      <c r="M5389" s="2" t="s">
        <v>3029</v>
      </c>
      <c r="N5389" s="3" t="s">
        <v>355</v>
      </c>
      <c r="P5389" s="3" t="s">
        <v>64</v>
      </c>
      <c r="R5389" s="3" t="s">
        <v>46535</v>
      </c>
      <c r="S5389" s="4">
        <v>20</v>
      </c>
      <c r="T5389" s="4">
        <v>39</v>
      </c>
      <c r="U5389" s="5" t="s">
        <v>39623</v>
      </c>
      <c r="V5389" s="5" t="s">
        <v>39623</v>
      </c>
      <c r="W5389" s="5" t="s">
        <v>67</v>
      </c>
      <c r="X5389" s="5" t="s">
        <v>67</v>
      </c>
      <c r="Y5389" s="4">
        <v>451</v>
      </c>
      <c r="Z5389" s="4">
        <v>36</v>
      </c>
      <c r="AA5389" s="4">
        <v>41</v>
      </c>
      <c r="AB5389" s="4">
        <v>3</v>
      </c>
      <c r="AC5389" s="4">
        <v>7</v>
      </c>
      <c r="AD5389" s="4">
        <v>125</v>
      </c>
      <c r="AE5389" s="4">
        <v>129</v>
      </c>
      <c r="AF5389" s="4">
        <v>1</v>
      </c>
      <c r="AG5389" s="4">
        <v>4</v>
      </c>
      <c r="AH5389" s="4">
        <v>104</v>
      </c>
      <c r="AI5389" s="4">
        <v>105</v>
      </c>
      <c r="AJ5389" s="4">
        <v>22</v>
      </c>
      <c r="AK5389" s="4">
        <v>26</v>
      </c>
      <c r="AL5389" s="4">
        <v>58</v>
      </c>
      <c r="AM5389" s="4">
        <v>58</v>
      </c>
      <c r="AN5389" s="4">
        <v>0</v>
      </c>
      <c r="AO5389" s="4">
        <v>0</v>
      </c>
      <c r="AP5389" s="4">
        <v>28</v>
      </c>
      <c r="AQ5389" s="4">
        <v>31</v>
      </c>
      <c r="AR5389" s="3" t="s">
        <v>62</v>
      </c>
      <c r="AS5389" s="3" t="s">
        <v>62</v>
      </c>
      <c r="AT5389" s="3" t="s">
        <v>62</v>
      </c>
      <c r="AV5389" s="6" t="str">
        <f>HYPERLINK("http://mcgill.on.worldcat.org/oclc/9413560","Catalog Record")</f>
        <v>Catalog Record</v>
      </c>
      <c r="AW5389" s="6" t="str">
        <f>HYPERLINK("http://www.worldcat.org/oclc/9413560","WorldCat Record")</f>
        <v>WorldCat Record</v>
      </c>
      <c r="AX5389" s="3" t="s">
        <v>51587</v>
      </c>
      <c r="AY5389" s="3" t="s">
        <v>51588</v>
      </c>
      <c r="AZ5389" s="3" t="s">
        <v>51589</v>
      </c>
      <c r="BA5389" s="3" t="s">
        <v>51589</v>
      </c>
      <c r="BB5389" s="3" t="s">
        <v>51590</v>
      </c>
      <c r="BC5389" s="3" t="s">
        <v>102</v>
      </c>
      <c r="BD5389" s="3" t="s">
        <v>68</v>
      </c>
      <c r="BE5389" s="3" t="s">
        <v>51591</v>
      </c>
      <c r="BF5389" s="3" t="s">
        <v>51590</v>
      </c>
      <c r="BG5389" s="3" t="s">
        <v>51592</v>
      </c>
    </row>
    <row r="5390" spans="1:59" ht="58" x14ac:dyDescent="0.35">
      <c r="A5390" s="2" t="s">
        <v>89</v>
      </c>
      <c r="B5390" s="2" t="s">
        <v>90</v>
      </c>
      <c r="C5390" s="2" t="s">
        <v>51583</v>
      </c>
      <c r="D5390" s="2" t="s">
        <v>51584</v>
      </c>
      <c r="E5390" s="2" t="s">
        <v>51585</v>
      </c>
      <c r="G5390" s="3" t="s">
        <v>62</v>
      </c>
      <c r="I5390" s="3" t="s">
        <v>61</v>
      </c>
      <c r="J5390" s="3" t="s">
        <v>62</v>
      </c>
      <c r="K5390" s="3" t="s">
        <v>63</v>
      </c>
      <c r="L5390" s="2" t="s">
        <v>51586</v>
      </c>
      <c r="M5390" s="2" t="s">
        <v>3029</v>
      </c>
      <c r="N5390" s="3" t="s">
        <v>355</v>
      </c>
      <c r="P5390" s="3" t="s">
        <v>64</v>
      </c>
      <c r="R5390" s="3" t="s">
        <v>46535</v>
      </c>
      <c r="S5390" s="4">
        <v>14</v>
      </c>
      <c r="T5390" s="4">
        <v>39</v>
      </c>
      <c r="U5390" s="5" t="s">
        <v>35234</v>
      </c>
      <c r="V5390" s="5" t="s">
        <v>39623</v>
      </c>
      <c r="W5390" s="5" t="s">
        <v>67</v>
      </c>
      <c r="X5390" s="5" t="s">
        <v>67</v>
      </c>
      <c r="Y5390" s="4">
        <v>451</v>
      </c>
      <c r="Z5390" s="4">
        <v>36</v>
      </c>
      <c r="AA5390" s="4">
        <v>41</v>
      </c>
      <c r="AB5390" s="4">
        <v>3</v>
      </c>
      <c r="AC5390" s="4">
        <v>7</v>
      </c>
      <c r="AD5390" s="4">
        <v>125</v>
      </c>
      <c r="AE5390" s="4">
        <v>129</v>
      </c>
      <c r="AF5390" s="4">
        <v>1</v>
      </c>
      <c r="AG5390" s="4">
        <v>4</v>
      </c>
      <c r="AH5390" s="4">
        <v>104</v>
      </c>
      <c r="AI5390" s="4">
        <v>105</v>
      </c>
      <c r="AJ5390" s="4">
        <v>22</v>
      </c>
      <c r="AK5390" s="4">
        <v>26</v>
      </c>
      <c r="AL5390" s="4">
        <v>58</v>
      </c>
      <c r="AM5390" s="4">
        <v>58</v>
      </c>
      <c r="AN5390" s="4">
        <v>0</v>
      </c>
      <c r="AO5390" s="4">
        <v>0</v>
      </c>
      <c r="AP5390" s="4">
        <v>28</v>
      </c>
      <c r="AQ5390" s="4">
        <v>31</v>
      </c>
      <c r="AR5390" s="3" t="s">
        <v>62</v>
      </c>
      <c r="AS5390" s="3" t="s">
        <v>62</v>
      </c>
      <c r="AT5390" s="3" t="s">
        <v>62</v>
      </c>
      <c r="AV5390" s="6" t="str">
        <f>HYPERLINK("http://mcgill.on.worldcat.org/oclc/9413560","Catalog Record")</f>
        <v>Catalog Record</v>
      </c>
      <c r="AW5390" s="6" t="str">
        <f>HYPERLINK("http://www.worldcat.org/oclc/9413560","WorldCat Record")</f>
        <v>WorldCat Record</v>
      </c>
      <c r="AX5390" s="3" t="s">
        <v>51587</v>
      </c>
      <c r="AY5390" s="3" t="s">
        <v>51588</v>
      </c>
      <c r="AZ5390" s="3" t="s">
        <v>51589</v>
      </c>
      <c r="BA5390" s="3" t="s">
        <v>51589</v>
      </c>
      <c r="BB5390" s="3" t="s">
        <v>51593</v>
      </c>
      <c r="BC5390" s="3" t="s">
        <v>102</v>
      </c>
      <c r="BD5390" s="3" t="s">
        <v>68</v>
      </c>
      <c r="BE5390" s="3" t="s">
        <v>51591</v>
      </c>
      <c r="BF5390" s="3" t="s">
        <v>51593</v>
      </c>
      <c r="BG5390" s="3" t="s">
        <v>51594</v>
      </c>
    </row>
    <row r="5391" spans="1:59" ht="58" x14ac:dyDescent="0.35">
      <c r="A5391" s="2" t="s">
        <v>89</v>
      </c>
      <c r="B5391" s="2" t="s">
        <v>90</v>
      </c>
      <c r="C5391" s="2" t="s">
        <v>51595</v>
      </c>
      <c r="D5391" s="2" t="s">
        <v>51596</v>
      </c>
      <c r="E5391" s="2" t="s">
        <v>51597</v>
      </c>
      <c r="G5391" s="3" t="s">
        <v>62</v>
      </c>
      <c r="I5391" s="3" t="s">
        <v>61</v>
      </c>
      <c r="J5391" s="3" t="s">
        <v>61</v>
      </c>
      <c r="K5391" s="3" t="s">
        <v>63</v>
      </c>
      <c r="L5391" s="2" t="s">
        <v>51598</v>
      </c>
      <c r="M5391" s="2" t="s">
        <v>14984</v>
      </c>
      <c r="N5391" s="3" t="s">
        <v>438</v>
      </c>
      <c r="P5391" s="3" t="s">
        <v>64</v>
      </c>
      <c r="R5391" s="3" t="s">
        <v>46535</v>
      </c>
      <c r="S5391" s="4">
        <v>18</v>
      </c>
      <c r="T5391" s="4">
        <v>774</v>
      </c>
      <c r="U5391" s="5" t="s">
        <v>29864</v>
      </c>
      <c r="V5391" s="5" t="s">
        <v>29864</v>
      </c>
      <c r="W5391" s="5" t="s">
        <v>67</v>
      </c>
      <c r="X5391" s="5" t="s">
        <v>67</v>
      </c>
      <c r="Y5391" s="4">
        <v>373</v>
      </c>
      <c r="Z5391" s="4">
        <v>16</v>
      </c>
      <c r="AA5391" s="4">
        <v>70</v>
      </c>
      <c r="AB5391" s="4">
        <v>1</v>
      </c>
      <c r="AC5391" s="4">
        <v>12</v>
      </c>
      <c r="AD5391" s="4">
        <v>71</v>
      </c>
      <c r="AE5391" s="4">
        <v>142</v>
      </c>
      <c r="AF5391" s="4">
        <v>0</v>
      </c>
      <c r="AG5391" s="4">
        <v>5</v>
      </c>
      <c r="AH5391" s="4">
        <v>62</v>
      </c>
      <c r="AI5391" s="4">
        <v>109</v>
      </c>
      <c r="AJ5391" s="4">
        <v>8</v>
      </c>
      <c r="AK5391" s="4">
        <v>28</v>
      </c>
      <c r="AL5391" s="4">
        <v>40</v>
      </c>
      <c r="AM5391" s="4">
        <v>61</v>
      </c>
      <c r="AN5391" s="4">
        <v>0</v>
      </c>
      <c r="AO5391" s="4">
        <v>0</v>
      </c>
      <c r="AP5391" s="4">
        <v>8</v>
      </c>
      <c r="AQ5391" s="4">
        <v>38</v>
      </c>
      <c r="AR5391" s="3" t="s">
        <v>62</v>
      </c>
      <c r="AS5391" s="3" t="s">
        <v>62</v>
      </c>
      <c r="AT5391" s="3" t="s">
        <v>61</v>
      </c>
      <c r="AU5391" s="6" t="str">
        <f>HYPERLINK("http://catalog.hathitrust.org/Record/002204717","HathiTrust Record")</f>
        <v>HathiTrust Record</v>
      </c>
      <c r="AV5391" s="6" t="str">
        <f>HYPERLINK("http://mcgill.on.worldcat.org/oclc/20132827","Catalog Record")</f>
        <v>Catalog Record</v>
      </c>
      <c r="AW5391" s="6" t="str">
        <f>HYPERLINK("http://www.worldcat.org/oclc/20132827","WorldCat Record")</f>
        <v>WorldCat Record</v>
      </c>
      <c r="AX5391" s="3" t="s">
        <v>51599</v>
      </c>
      <c r="AY5391" s="3" t="s">
        <v>51600</v>
      </c>
      <c r="AZ5391" s="3" t="s">
        <v>51601</v>
      </c>
      <c r="BA5391" s="3" t="s">
        <v>51601</v>
      </c>
      <c r="BB5391" s="3" t="s">
        <v>51602</v>
      </c>
      <c r="BC5391" s="3" t="s">
        <v>102</v>
      </c>
      <c r="BD5391" s="3" t="s">
        <v>68</v>
      </c>
      <c r="BE5391" s="3" t="s">
        <v>51603</v>
      </c>
      <c r="BF5391" s="3" t="s">
        <v>51602</v>
      </c>
      <c r="BG5391" s="3" t="s">
        <v>51604</v>
      </c>
    </row>
    <row r="5392" spans="1:59" ht="58" x14ac:dyDescent="0.35">
      <c r="A5392" s="2" t="s">
        <v>89</v>
      </c>
      <c r="B5392" s="2" t="s">
        <v>90</v>
      </c>
      <c r="C5392" s="2" t="s">
        <v>51595</v>
      </c>
      <c r="D5392" s="2" t="s">
        <v>51596</v>
      </c>
      <c r="E5392" s="2" t="s">
        <v>51597</v>
      </c>
      <c r="G5392" s="3" t="s">
        <v>62</v>
      </c>
      <c r="I5392" s="3" t="s">
        <v>61</v>
      </c>
      <c r="J5392" s="3" t="s">
        <v>61</v>
      </c>
      <c r="K5392" s="3" t="s">
        <v>63</v>
      </c>
      <c r="L5392" s="2" t="s">
        <v>51598</v>
      </c>
      <c r="M5392" s="2" t="s">
        <v>14984</v>
      </c>
      <c r="N5392" s="3" t="s">
        <v>438</v>
      </c>
      <c r="P5392" s="3" t="s">
        <v>64</v>
      </c>
      <c r="R5392" s="3" t="s">
        <v>46535</v>
      </c>
      <c r="S5392" s="4">
        <v>665</v>
      </c>
      <c r="T5392" s="4">
        <v>774</v>
      </c>
      <c r="U5392" s="5" t="s">
        <v>51605</v>
      </c>
      <c r="V5392" s="5" t="s">
        <v>29864</v>
      </c>
      <c r="W5392" s="5" t="s">
        <v>67</v>
      </c>
      <c r="X5392" s="5" t="s">
        <v>67</v>
      </c>
      <c r="Y5392" s="4">
        <v>373</v>
      </c>
      <c r="Z5392" s="4">
        <v>16</v>
      </c>
      <c r="AA5392" s="4">
        <v>70</v>
      </c>
      <c r="AB5392" s="4">
        <v>1</v>
      </c>
      <c r="AC5392" s="4">
        <v>12</v>
      </c>
      <c r="AD5392" s="4">
        <v>71</v>
      </c>
      <c r="AE5392" s="4">
        <v>142</v>
      </c>
      <c r="AF5392" s="4">
        <v>0</v>
      </c>
      <c r="AG5392" s="4">
        <v>5</v>
      </c>
      <c r="AH5392" s="4">
        <v>62</v>
      </c>
      <c r="AI5392" s="4">
        <v>109</v>
      </c>
      <c r="AJ5392" s="4">
        <v>8</v>
      </c>
      <c r="AK5392" s="4">
        <v>28</v>
      </c>
      <c r="AL5392" s="4">
        <v>40</v>
      </c>
      <c r="AM5392" s="4">
        <v>61</v>
      </c>
      <c r="AN5392" s="4">
        <v>0</v>
      </c>
      <c r="AO5392" s="4">
        <v>0</v>
      </c>
      <c r="AP5392" s="4">
        <v>8</v>
      </c>
      <c r="AQ5392" s="4">
        <v>38</v>
      </c>
      <c r="AR5392" s="3" t="s">
        <v>62</v>
      </c>
      <c r="AS5392" s="3" t="s">
        <v>62</v>
      </c>
      <c r="AT5392" s="3" t="s">
        <v>61</v>
      </c>
      <c r="AU5392" s="6" t="str">
        <f>HYPERLINK("http://catalog.hathitrust.org/Record/002204717","HathiTrust Record")</f>
        <v>HathiTrust Record</v>
      </c>
      <c r="AV5392" s="6" t="str">
        <f>HYPERLINK("http://mcgill.on.worldcat.org/oclc/20132827","Catalog Record")</f>
        <v>Catalog Record</v>
      </c>
      <c r="AW5392" s="6" t="str">
        <f>HYPERLINK("http://www.worldcat.org/oclc/20132827","WorldCat Record")</f>
        <v>WorldCat Record</v>
      </c>
      <c r="AX5392" s="3" t="s">
        <v>51599</v>
      </c>
      <c r="AY5392" s="3" t="s">
        <v>51600</v>
      </c>
      <c r="AZ5392" s="3" t="s">
        <v>51601</v>
      </c>
      <c r="BA5392" s="3" t="s">
        <v>51601</v>
      </c>
      <c r="BB5392" s="3" t="s">
        <v>51606</v>
      </c>
      <c r="BC5392" s="3" t="s">
        <v>102</v>
      </c>
      <c r="BD5392" s="3" t="s">
        <v>68</v>
      </c>
      <c r="BE5392" s="3" t="s">
        <v>51603</v>
      </c>
      <c r="BF5392" s="3" t="s">
        <v>51606</v>
      </c>
      <c r="BG5392" s="3" t="s">
        <v>51607</v>
      </c>
    </row>
    <row r="5393" spans="1:59" ht="58" x14ac:dyDescent="0.35">
      <c r="A5393" s="2" t="s">
        <v>89</v>
      </c>
      <c r="B5393" s="2" t="s">
        <v>18023</v>
      </c>
      <c r="C5393" s="2" t="s">
        <v>51608</v>
      </c>
      <c r="D5393" s="2" t="s">
        <v>51609</v>
      </c>
      <c r="E5393" s="2" t="s">
        <v>51610</v>
      </c>
      <c r="G5393" s="3" t="s">
        <v>62</v>
      </c>
      <c r="I5393" s="3" t="s">
        <v>61</v>
      </c>
      <c r="J5393" s="3" t="s">
        <v>61</v>
      </c>
      <c r="K5393" s="3" t="s">
        <v>63</v>
      </c>
      <c r="L5393" s="2" t="s">
        <v>51611</v>
      </c>
      <c r="M5393" s="2" t="s">
        <v>51612</v>
      </c>
      <c r="N5393" s="3" t="s">
        <v>684</v>
      </c>
      <c r="O5393" s="2" t="s">
        <v>48884</v>
      </c>
      <c r="P5393" s="3" t="s">
        <v>64</v>
      </c>
      <c r="R5393" s="3" t="s">
        <v>46535</v>
      </c>
      <c r="S5393" s="4">
        <v>48</v>
      </c>
      <c r="T5393" s="4">
        <v>136</v>
      </c>
      <c r="U5393" s="5" t="s">
        <v>370</v>
      </c>
      <c r="V5393" s="5" t="s">
        <v>6337</v>
      </c>
      <c r="W5393" s="5" t="s">
        <v>67</v>
      </c>
      <c r="X5393" s="5" t="s">
        <v>67</v>
      </c>
      <c r="Y5393" s="4">
        <v>345</v>
      </c>
      <c r="Z5393" s="4">
        <v>23</v>
      </c>
      <c r="AA5393" s="4">
        <v>70</v>
      </c>
      <c r="AB5393" s="4">
        <v>1</v>
      </c>
      <c r="AC5393" s="4">
        <v>12</v>
      </c>
      <c r="AD5393" s="4">
        <v>74</v>
      </c>
      <c r="AE5393" s="4">
        <v>142</v>
      </c>
      <c r="AF5393" s="4">
        <v>0</v>
      </c>
      <c r="AG5393" s="4">
        <v>5</v>
      </c>
      <c r="AH5393" s="4">
        <v>63</v>
      </c>
      <c r="AI5393" s="4">
        <v>109</v>
      </c>
      <c r="AJ5393" s="4">
        <v>11</v>
      </c>
      <c r="AK5393" s="4">
        <v>28</v>
      </c>
      <c r="AL5393" s="4">
        <v>40</v>
      </c>
      <c r="AM5393" s="4">
        <v>61</v>
      </c>
      <c r="AN5393" s="4">
        <v>0</v>
      </c>
      <c r="AO5393" s="4">
        <v>0</v>
      </c>
      <c r="AP5393" s="4">
        <v>15</v>
      </c>
      <c r="AQ5393" s="4">
        <v>38</v>
      </c>
      <c r="AR5393" s="3" t="s">
        <v>62</v>
      </c>
      <c r="AS5393" s="3" t="s">
        <v>62</v>
      </c>
      <c r="AT5393" s="3" t="s">
        <v>62</v>
      </c>
      <c r="AV5393" s="6" t="str">
        <f>HYPERLINK("http://mcgill.on.worldcat.org/oclc/690489261","Catalog Record")</f>
        <v>Catalog Record</v>
      </c>
      <c r="AW5393" s="6" t="str">
        <f>HYPERLINK("http://www.worldcat.org/oclc/690489261","WorldCat Record")</f>
        <v>WorldCat Record</v>
      </c>
      <c r="AX5393" s="3" t="s">
        <v>51599</v>
      </c>
      <c r="AY5393" s="3" t="s">
        <v>51613</v>
      </c>
      <c r="AZ5393" s="3" t="s">
        <v>51614</v>
      </c>
      <c r="BA5393" s="3" t="s">
        <v>51614</v>
      </c>
      <c r="BB5393" s="3" t="s">
        <v>51615</v>
      </c>
      <c r="BC5393" s="3" t="s">
        <v>102</v>
      </c>
      <c r="BD5393" s="3" t="s">
        <v>68</v>
      </c>
      <c r="BE5393" s="3" t="s">
        <v>51616</v>
      </c>
      <c r="BF5393" s="3" t="s">
        <v>51615</v>
      </c>
      <c r="BG5393" s="3" t="s">
        <v>51617</v>
      </c>
    </row>
    <row r="5394" spans="1:59" ht="58" x14ac:dyDescent="0.35">
      <c r="A5394" s="2" t="s">
        <v>89</v>
      </c>
      <c r="B5394" s="2" t="s">
        <v>18023</v>
      </c>
      <c r="C5394" s="2" t="s">
        <v>51608</v>
      </c>
      <c r="D5394" s="2" t="s">
        <v>51609</v>
      </c>
      <c r="E5394" s="2" t="s">
        <v>51610</v>
      </c>
      <c r="G5394" s="3" t="s">
        <v>62</v>
      </c>
      <c r="I5394" s="3" t="s">
        <v>61</v>
      </c>
      <c r="J5394" s="3" t="s">
        <v>61</v>
      </c>
      <c r="K5394" s="3" t="s">
        <v>63</v>
      </c>
      <c r="L5394" s="2" t="s">
        <v>51611</v>
      </c>
      <c r="M5394" s="2" t="s">
        <v>51612</v>
      </c>
      <c r="N5394" s="3" t="s">
        <v>684</v>
      </c>
      <c r="O5394" s="2" t="s">
        <v>48884</v>
      </c>
      <c r="P5394" s="3" t="s">
        <v>64</v>
      </c>
      <c r="R5394" s="3" t="s">
        <v>46535</v>
      </c>
      <c r="S5394" s="4">
        <v>51</v>
      </c>
      <c r="T5394" s="4">
        <v>136</v>
      </c>
      <c r="U5394" s="5" t="s">
        <v>17903</v>
      </c>
      <c r="V5394" s="5" t="s">
        <v>6337</v>
      </c>
      <c r="W5394" s="5" t="s">
        <v>67</v>
      </c>
      <c r="X5394" s="5" t="s">
        <v>67</v>
      </c>
      <c r="Y5394" s="4">
        <v>345</v>
      </c>
      <c r="Z5394" s="4">
        <v>23</v>
      </c>
      <c r="AA5394" s="4">
        <v>70</v>
      </c>
      <c r="AB5394" s="4">
        <v>1</v>
      </c>
      <c r="AC5394" s="4">
        <v>12</v>
      </c>
      <c r="AD5394" s="4">
        <v>74</v>
      </c>
      <c r="AE5394" s="4">
        <v>142</v>
      </c>
      <c r="AF5394" s="4">
        <v>0</v>
      </c>
      <c r="AG5394" s="4">
        <v>5</v>
      </c>
      <c r="AH5394" s="4">
        <v>63</v>
      </c>
      <c r="AI5394" s="4">
        <v>109</v>
      </c>
      <c r="AJ5394" s="4">
        <v>11</v>
      </c>
      <c r="AK5394" s="4">
        <v>28</v>
      </c>
      <c r="AL5394" s="4">
        <v>40</v>
      </c>
      <c r="AM5394" s="4">
        <v>61</v>
      </c>
      <c r="AN5394" s="4">
        <v>0</v>
      </c>
      <c r="AO5394" s="4">
        <v>0</v>
      </c>
      <c r="AP5394" s="4">
        <v>15</v>
      </c>
      <c r="AQ5394" s="4">
        <v>38</v>
      </c>
      <c r="AR5394" s="3" t="s">
        <v>62</v>
      </c>
      <c r="AS5394" s="3" t="s">
        <v>62</v>
      </c>
      <c r="AT5394" s="3" t="s">
        <v>62</v>
      </c>
      <c r="AV5394" s="6" t="str">
        <f>HYPERLINK("http://mcgill.on.worldcat.org/oclc/690489261","Catalog Record")</f>
        <v>Catalog Record</v>
      </c>
      <c r="AW5394" s="6" t="str">
        <f>HYPERLINK("http://www.worldcat.org/oclc/690489261","WorldCat Record")</f>
        <v>WorldCat Record</v>
      </c>
      <c r="AX5394" s="3" t="s">
        <v>51599</v>
      </c>
      <c r="AY5394" s="3" t="s">
        <v>51613</v>
      </c>
      <c r="AZ5394" s="3" t="s">
        <v>51614</v>
      </c>
      <c r="BA5394" s="3" t="s">
        <v>51614</v>
      </c>
      <c r="BB5394" s="3" t="s">
        <v>51618</v>
      </c>
      <c r="BC5394" s="3" t="s">
        <v>102</v>
      </c>
      <c r="BD5394" s="3" t="s">
        <v>68</v>
      </c>
      <c r="BE5394" s="3" t="s">
        <v>51616</v>
      </c>
      <c r="BF5394" s="3" t="s">
        <v>51618</v>
      </c>
      <c r="BG5394" s="3" t="s">
        <v>51619</v>
      </c>
    </row>
    <row r="5395" spans="1:59" ht="58" x14ac:dyDescent="0.35">
      <c r="A5395" s="2" t="s">
        <v>89</v>
      </c>
      <c r="B5395" s="2" t="s">
        <v>90</v>
      </c>
      <c r="C5395" s="2" t="s">
        <v>51620</v>
      </c>
      <c r="D5395" s="2" t="s">
        <v>51621</v>
      </c>
      <c r="E5395" s="2" t="s">
        <v>51622</v>
      </c>
      <c r="F5395" s="3" t="s">
        <v>2248</v>
      </c>
      <c r="G5395" s="3" t="s">
        <v>61</v>
      </c>
      <c r="I5395" s="3" t="s">
        <v>61</v>
      </c>
      <c r="J5395" s="3" t="s">
        <v>61</v>
      </c>
      <c r="K5395" s="3" t="s">
        <v>63</v>
      </c>
      <c r="L5395" s="2" t="s">
        <v>51623</v>
      </c>
      <c r="M5395" s="2" t="s">
        <v>51624</v>
      </c>
      <c r="N5395" s="3" t="s">
        <v>1077</v>
      </c>
      <c r="O5395" s="2" t="s">
        <v>2458</v>
      </c>
      <c r="P5395" s="3" t="s">
        <v>64</v>
      </c>
      <c r="R5395" s="3" t="s">
        <v>46535</v>
      </c>
      <c r="S5395" s="4">
        <v>209</v>
      </c>
      <c r="T5395" s="4">
        <v>616</v>
      </c>
      <c r="U5395" s="5" t="s">
        <v>27817</v>
      </c>
      <c r="V5395" s="5" t="s">
        <v>51363</v>
      </c>
      <c r="W5395" s="5" t="s">
        <v>67</v>
      </c>
      <c r="X5395" s="5" t="s">
        <v>67</v>
      </c>
      <c r="Y5395" s="4">
        <v>66</v>
      </c>
      <c r="Z5395" s="4">
        <v>6</v>
      </c>
      <c r="AA5395" s="4">
        <v>48</v>
      </c>
      <c r="AB5395" s="4">
        <v>1</v>
      </c>
      <c r="AC5395" s="4">
        <v>7</v>
      </c>
      <c r="AD5395" s="4">
        <v>13</v>
      </c>
      <c r="AE5395" s="4">
        <v>128</v>
      </c>
      <c r="AF5395" s="4">
        <v>0</v>
      </c>
      <c r="AG5395" s="4">
        <v>4</v>
      </c>
      <c r="AH5395" s="4">
        <v>11</v>
      </c>
      <c r="AI5395" s="4">
        <v>102</v>
      </c>
      <c r="AJ5395" s="4">
        <v>2</v>
      </c>
      <c r="AK5395" s="4">
        <v>22</v>
      </c>
      <c r="AL5395" s="4">
        <v>5</v>
      </c>
      <c r="AM5395" s="4">
        <v>57</v>
      </c>
      <c r="AN5395" s="4">
        <v>0</v>
      </c>
      <c r="AO5395" s="4">
        <v>0</v>
      </c>
      <c r="AP5395" s="4">
        <v>4</v>
      </c>
      <c r="AQ5395" s="4">
        <v>30</v>
      </c>
      <c r="AR5395" s="3" t="s">
        <v>62</v>
      </c>
      <c r="AS5395" s="3" t="s">
        <v>62</v>
      </c>
      <c r="AT5395" s="3" t="s">
        <v>61</v>
      </c>
      <c r="AU5395" s="6" t="str">
        <f t="shared" ref="AU5395:AU5400" si="83">HYPERLINK("http://catalog.hathitrust.org/Record/003047668","HathiTrust Record")</f>
        <v>HathiTrust Record</v>
      </c>
      <c r="AV5395" s="6" t="str">
        <f t="shared" ref="AV5395:AV5400" si="84">HYPERLINK("http://mcgill.on.worldcat.org/oclc/27606103","Catalog Record")</f>
        <v>Catalog Record</v>
      </c>
      <c r="AW5395" s="6" t="str">
        <f t="shared" ref="AW5395:AW5400" si="85">HYPERLINK("http://www.worldcat.org/oclc/27606103","WorldCat Record")</f>
        <v>WorldCat Record</v>
      </c>
      <c r="AX5395" s="3" t="s">
        <v>51625</v>
      </c>
      <c r="AY5395" s="3" t="s">
        <v>51626</v>
      </c>
      <c r="AZ5395" s="3" t="s">
        <v>51627</v>
      </c>
      <c r="BA5395" s="3" t="s">
        <v>51627</v>
      </c>
      <c r="BB5395" s="3" t="s">
        <v>51628</v>
      </c>
      <c r="BC5395" s="3" t="s">
        <v>102</v>
      </c>
      <c r="BD5395" s="3" t="s">
        <v>68</v>
      </c>
      <c r="BE5395" s="3" t="s">
        <v>51629</v>
      </c>
      <c r="BF5395" s="3" t="s">
        <v>51628</v>
      </c>
      <c r="BG5395" s="3" t="s">
        <v>51630</v>
      </c>
    </row>
    <row r="5396" spans="1:59" ht="58" x14ac:dyDescent="0.35">
      <c r="A5396" s="2" t="s">
        <v>89</v>
      </c>
      <c r="B5396" s="2" t="s">
        <v>90</v>
      </c>
      <c r="C5396" s="2" t="s">
        <v>51620</v>
      </c>
      <c r="D5396" s="2" t="s">
        <v>51621</v>
      </c>
      <c r="E5396" s="2" t="s">
        <v>51622</v>
      </c>
      <c r="F5396" s="3" t="s">
        <v>2217</v>
      </c>
      <c r="G5396" s="3" t="s">
        <v>61</v>
      </c>
      <c r="I5396" s="3" t="s">
        <v>61</v>
      </c>
      <c r="J5396" s="3" t="s">
        <v>61</v>
      </c>
      <c r="K5396" s="3" t="s">
        <v>63</v>
      </c>
      <c r="L5396" s="2" t="s">
        <v>51623</v>
      </c>
      <c r="M5396" s="2" t="s">
        <v>51624</v>
      </c>
      <c r="N5396" s="3" t="s">
        <v>1077</v>
      </c>
      <c r="O5396" s="2" t="s">
        <v>2458</v>
      </c>
      <c r="P5396" s="3" t="s">
        <v>64</v>
      </c>
      <c r="R5396" s="3" t="s">
        <v>46535</v>
      </c>
      <c r="S5396" s="4">
        <v>6</v>
      </c>
      <c r="T5396" s="4">
        <v>616</v>
      </c>
      <c r="U5396" s="5" t="s">
        <v>51363</v>
      </c>
      <c r="V5396" s="5" t="s">
        <v>51363</v>
      </c>
      <c r="W5396" s="5" t="s">
        <v>67</v>
      </c>
      <c r="X5396" s="5" t="s">
        <v>67</v>
      </c>
      <c r="Y5396" s="4">
        <v>66</v>
      </c>
      <c r="Z5396" s="4">
        <v>6</v>
      </c>
      <c r="AA5396" s="4">
        <v>48</v>
      </c>
      <c r="AB5396" s="4">
        <v>1</v>
      </c>
      <c r="AC5396" s="4">
        <v>7</v>
      </c>
      <c r="AD5396" s="4">
        <v>13</v>
      </c>
      <c r="AE5396" s="4">
        <v>128</v>
      </c>
      <c r="AF5396" s="4">
        <v>0</v>
      </c>
      <c r="AG5396" s="4">
        <v>4</v>
      </c>
      <c r="AH5396" s="4">
        <v>11</v>
      </c>
      <c r="AI5396" s="4">
        <v>102</v>
      </c>
      <c r="AJ5396" s="4">
        <v>2</v>
      </c>
      <c r="AK5396" s="4">
        <v>22</v>
      </c>
      <c r="AL5396" s="4">
        <v>5</v>
      </c>
      <c r="AM5396" s="4">
        <v>57</v>
      </c>
      <c r="AN5396" s="4">
        <v>0</v>
      </c>
      <c r="AO5396" s="4">
        <v>0</v>
      </c>
      <c r="AP5396" s="4">
        <v>4</v>
      </c>
      <c r="AQ5396" s="4">
        <v>30</v>
      </c>
      <c r="AR5396" s="3" t="s">
        <v>62</v>
      </c>
      <c r="AS5396" s="3" t="s">
        <v>62</v>
      </c>
      <c r="AT5396" s="3" t="s">
        <v>61</v>
      </c>
      <c r="AU5396" s="6" t="str">
        <f t="shared" si="83"/>
        <v>HathiTrust Record</v>
      </c>
      <c r="AV5396" s="6" t="str">
        <f t="shared" si="84"/>
        <v>Catalog Record</v>
      </c>
      <c r="AW5396" s="6" t="str">
        <f t="shared" si="85"/>
        <v>WorldCat Record</v>
      </c>
      <c r="AX5396" s="3" t="s">
        <v>51625</v>
      </c>
      <c r="AY5396" s="3" t="s">
        <v>51626</v>
      </c>
      <c r="AZ5396" s="3" t="s">
        <v>51627</v>
      </c>
      <c r="BA5396" s="3" t="s">
        <v>51627</v>
      </c>
      <c r="BB5396" s="3" t="s">
        <v>51631</v>
      </c>
      <c r="BC5396" s="3" t="s">
        <v>102</v>
      </c>
      <c r="BD5396" s="3" t="s">
        <v>68</v>
      </c>
      <c r="BE5396" s="3" t="s">
        <v>51629</v>
      </c>
      <c r="BF5396" s="3" t="s">
        <v>51631</v>
      </c>
      <c r="BG5396" s="3" t="s">
        <v>51632</v>
      </c>
    </row>
    <row r="5397" spans="1:59" ht="58" x14ac:dyDescent="0.35">
      <c r="A5397" s="2" t="s">
        <v>89</v>
      </c>
      <c r="B5397" s="2" t="s">
        <v>90</v>
      </c>
      <c r="C5397" s="2" t="s">
        <v>51620</v>
      </c>
      <c r="D5397" s="2" t="s">
        <v>51621</v>
      </c>
      <c r="E5397" s="2" t="s">
        <v>51622</v>
      </c>
      <c r="F5397" s="3" t="s">
        <v>2217</v>
      </c>
      <c r="G5397" s="3" t="s">
        <v>61</v>
      </c>
      <c r="I5397" s="3" t="s">
        <v>61</v>
      </c>
      <c r="J5397" s="3" t="s">
        <v>61</v>
      </c>
      <c r="K5397" s="3" t="s">
        <v>63</v>
      </c>
      <c r="L5397" s="2" t="s">
        <v>51623</v>
      </c>
      <c r="M5397" s="2" t="s">
        <v>51624</v>
      </c>
      <c r="N5397" s="3" t="s">
        <v>1077</v>
      </c>
      <c r="O5397" s="2" t="s">
        <v>2458</v>
      </c>
      <c r="P5397" s="3" t="s">
        <v>64</v>
      </c>
      <c r="R5397" s="3" t="s">
        <v>46535</v>
      </c>
      <c r="S5397" s="4">
        <v>174</v>
      </c>
      <c r="T5397" s="4">
        <v>616</v>
      </c>
      <c r="U5397" s="5" t="s">
        <v>4676</v>
      </c>
      <c r="V5397" s="5" t="s">
        <v>51363</v>
      </c>
      <c r="W5397" s="5" t="s">
        <v>67</v>
      </c>
      <c r="X5397" s="5" t="s">
        <v>67</v>
      </c>
      <c r="Y5397" s="4">
        <v>66</v>
      </c>
      <c r="Z5397" s="4">
        <v>6</v>
      </c>
      <c r="AA5397" s="4">
        <v>48</v>
      </c>
      <c r="AB5397" s="4">
        <v>1</v>
      </c>
      <c r="AC5397" s="4">
        <v>7</v>
      </c>
      <c r="AD5397" s="4">
        <v>13</v>
      </c>
      <c r="AE5397" s="4">
        <v>128</v>
      </c>
      <c r="AF5397" s="4">
        <v>0</v>
      </c>
      <c r="AG5397" s="4">
        <v>4</v>
      </c>
      <c r="AH5397" s="4">
        <v>11</v>
      </c>
      <c r="AI5397" s="4">
        <v>102</v>
      </c>
      <c r="AJ5397" s="4">
        <v>2</v>
      </c>
      <c r="AK5397" s="4">
        <v>22</v>
      </c>
      <c r="AL5397" s="4">
        <v>5</v>
      </c>
      <c r="AM5397" s="4">
        <v>57</v>
      </c>
      <c r="AN5397" s="4">
        <v>0</v>
      </c>
      <c r="AO5397" s="4">
        <v>0</v>
      </c>
      <c r="AP5397" s="4">
        <v>4</v>
      </c>
      <c r="AQ5397" s="4">
        <v>30</v>
      </c>
      <c r="AR5397" s="3" t="s">
        <v>62</v>
      </c>
      <c r="AS5397" s="3" t="s">
        <v>62</v>
      </c>
      <c r="AT5397" s="3" t="s">
        <v>61</v>
      </c>
      <c r="AU5397" s="6" t="str">
        <f t="shared" si="83"/>
        <v>HathiTrust Record</v>
      </c>
      <c r="AV5397" s="6" t="str">
        <f t="shared" si="84"/>
        <v>Catalog Record</v>
      </c>
      <c r="AW5397" s="6" t="str">
        <f t="shared" si="85"/>
        <v>WorldCat Record</v>
      </c>
      <c r="AX5397" s="3" t="s">
        <v>51625</v>
      </c>
      <c r="AY5397" s="3" t="s">
        <v>51626</v>
      </c>
      <c r="AZ5397" s="3" t="s">
        <v>51627</v>
      </c>
      <c r="BA5397" s="3" t="s">
        <v>51627</v>
      </c>
      <c r="BB5397" s="3" t="s">
        <v>51633</v>
      </c>
      <c r="BC5397" s="3" t="s">
        <v>102</v>
      </c>
      <c r="BD5397" s="3" t="s">
        <v>68</v>
      </c>
      <c r="BE5397" s="3" t="s">
        <v>51629</v>
      </c>
      <c r="BF5397" s="3" t="s">
        <v>51633</v>
      </c>
      <c r="BG5397" s="3" t="s">
        <v>51634</v>
      </c>
    </row>
    <row r="5398" spans="1:59" ht="58" x14ac:dyDescent="0.35">
      <c r="A5398" s="2" t="s">
        <v>89</v>
      </c>
      <c r="B5398" s="2" t="s">
        <v>90</v>
      </c>
      <c r="C5398" s="2" t="s">
        <v>51620</v>
      </c>
      <c r="D5398" s="2" t="s">
        <v>51621</v>
      </c>
      <c r="E5398" s="2" t="s">
        <v>51622</v>
      </c>
      <c r="F5398" s="3" t="s">
        <v>2233</v>
      </c>
      <c r="G5398" s="3" t="s">
        <v>61</v>
      </c>
      <c r="I5398" s="3" t="s">
        <v>61</v>
      </c>
      <c r="J5398" s="3" t="s">
        <v>61</v>
      </c>
      <c r="K5398" s="3" t="s">
        <v>63</v>
      </c>
      <c r="L5398" s="2" t="s">
        <v>51623</v>
      </c>
      <c r="M5398" s="2" t="s">
        <v>51624</v>
      </c>
      <c r="N5398" s="3" t="s">
        <v>1077</v>
      </c>
      <c r="O5398" s="2" t="s">
        <v>2458</v>
      </c>
      <c r="P5398" s="3" t="s">
        <v>64</v>
      </c>
      <c r="R5398" s="3" t="s">
        <v>46535</v>
      </c>
      <c r="S5398" s="4">
        <v>27</v>
      </c>
      <c r="T5398" s="4">
        <v>616</v>
      </c>
      <c r="U5398" s="5" t="s">
        <v>51635</v>
      </c>
      <c r="V5398" s="5" t="s">
        <v>51363</v>
      </c>
      <c r="W5398" s="5" t="s">
        <v>67</v>
      </c>
      <c r="X5398" s="5" t="s">
        <v>67</v>
      </c>
      <c r="Y5398" s="4">
        <v>66</v>
      </c>
      <c r="Z5398" s="4">
        <v>6</v>
      </c>
      <c r="AA5398" s="4">
        <v>48</v>
      </c>
      <c r="AB5398" s="4">
        <v>1</v>
      </c>
      <c r="AC5398" s="4">
        <v>7</v>
      </c>
      <c r="AD5398" s="4">
        <v>13</v>
      </c>
      <c r="AE5398" s="4">
        <v>128</v>
      </c>
      <c r="AF5398" s="4">
        <v>0</v>
      </c>
      <c r="AG5398" s="4">
        <v>4</v>
      </c>
      <c r="AH5398" s="4">
        <v>11</v>
      </c>
      <c r="AI5398" s="4">
        <v>102</v>
      </c>
      <c r="AJ5398" s="4">
        <v>2</v>
      </c>
      <c r="AK5398" s="4">
        <v>22</v>
      </c>
      <c r="AL5398" s="4">
        <v>5</v>
      </c>
      <c r="AM5398" s="4">
        <v>57</v>
      </c>
      <c r="AN5398" s="4">
        <v>0</v>
      </c>
      <c r="AO5398" s="4">
        <v>0</v>
      </c>
      <c r="AP5398" s="4">
        <v>4</v>
      </c>
      <c r="AQ5398" s="4">
        <v>30</v>
      </c>
      <c r="AR5398" s="3" t="s">
        <v>62</v>
      </c>
      <c r="AS5398" s="3" t="s">
        <v>62</v>
      </c>
      <c r="AT5398" s="3" t="s">
        <v>61</v>
      </c>
      <c r="AU5398" s="6" t="str">
        <f t="shared" si="83"/>
        <v>HathiTrust Record</v>
      </c>
      <c r="AV5398" s="6" t="str">
        <f t="shared" si="84"/>
        <v>Catalog Record</v>
      </c>
      <c r="AW5398" s="6" t="str">
        <f t="shared" si="85"/>
        <v>WorldCat Record</v>
      </c>
      <c r="AX5398" s="3" t="s">
        <v>51625</v>
      </c>
      <c r="AY5398" s="3" t="s">
        <v>51626</v>
      </c>
      <c r="AZ5398" s="3" t="s">
        <v>51627</v>
      </c>
      <c r="BA5398" s="3" t="s">
        <v>51627</v>
      </c>
      <c r="BB5398" s="3" t="s">
        <v>51636</v>
      </c>
      <c r="BC5398" s="3" t="s">
        <v>102</v>
      </c>
      <c r="BD5398" s="3" t="s">
        <v>68</v>
      </c>
      <c r="BE5398" s="3" t="s">
        <v>51629</v>
      </c>
      <c r="BF5398" s="3" t="s">
        <v>51636</v>
      </c>
      <c r="BG5398" s="3" t="s">
        <v>51637</v>
      </c>
    </row>
    <row r="5399" spans="1:59" ht="58" x14ac:dyDescent="0.35">
      <c r="A5399" s="2" t="s">
        <v>89</v>
      </c>
      <c r="B5399" s="2" t="s">
        <v>90</v>
      </c>
      <c r="C5399" s="2" t="s">
        <v>51620</v>
      </c>
      <c r="D5399" s="2" t="s">
        <v>51621</v>
      </c>
      <c r="E5399" s="2" t="s">
        <v>51622</v>
      </c>
      <c r="F5399" s="3" t="s">
        <v>2233</v>
      </c>
      <c r="G5399" s="3" t="s">
        <v>61</v>
      </c>
      <c r="I5399" s="3" t="s">
        <v>61</v>
      </c>
      <c r="J5399" s="3" t="s">
        <v>61</v>
      </c>
      <c r="K5399" s="3" t="s">
        <v>63</v>
      </c>
      <c r="L5399" s="2" t="s">
        <v>51623</v>
      </c>
      <c r="M5399" s="2" t="s">
        <v>51624</v>
      </c>
      <c r="N5399" s="3" t="s">
        <v>1077</v>
      </c>
      <c r="O5399" s="2" t="s">
        <v>2458</v>
      </c>
      <c r="P5399" s="3" t="s">
        <v>64</v>
      </c>
      <c r="R5399" s="3" t="s">
        <v>46535</v>
      </c>
      <c r="S5399" s="4">
        <v>85</v>
      </c>
      <c r="T5399" s="4">
        <v>616</v>
      </c>
      <c r="U5399" s="5" t="s">
        <v>27817</v>
      </c>
      <c r="V5399" s="5" t="s">
        <v>51363</v>
      </c>
      <c r="W5399" s="5" t="s">
        <v>67</v>
      </c>
      <c r="X5399" s="5" t="s">
        <v>67</v>
      </c>
      <c r="Y5399" s="4">
        <v>66</v>
      </c>
      <c r="Z5399" s="4">
        <v>6</v>
      </c>
      <c r="AA5399" s="4">
        <v>48</v>
      </c>
      <c r="AB5399" s="4">
        <v>1</v>
      </c>
      <c r="AC5399" s="4">
        <v>7</v>
      </c>
      <c r="AD5399" s="4">
        <v>13</v>
      </c>
      <c r="AE5399" s="4">
        <v>128</v>
      </c>
      <c r="AF5399" s="4">
        <v>0</v>
      </c>
      <c r="AG5399" s="4">
        <v>4</v>
      </c>
      <c r="AH5399" s="4">
        <v>11</v>
      </c>
      <c r="AI5399" s="4">
        <v>102</v>
      </c>
      <c r="AJ5399" s="4">
        <v>2</v>
      </c>
      <c r="AK5399" s="4">
        <v>22</v>
      </c>
      <c r="AL5399" s="4">
        <v>5</v>
      </c>
      <c r="AM5399" s="4">
        <v>57</v>
      </c>
      <c r="AN5399" s="4">
        <v>0</v>
      </c>
      <c r="AO5399" s="4">
        <v>0</v>
      </c>
      <c r="AP5399" s="4">
        <v>4</v>
      </c>
      <c r="AQ5399" s="4">
        <v>30</v>
      </c>
      <c r="AR5399" s="3" t="s">
        <v>62</v>
      </c>
      <c r="AS5399" s="3" t="s">
        <v>62</v>
      </c>
      <c r="AT5399" s="3" t="s">
        <v>61</v>
      </c>
      <c r="AU5399" s="6" t="str">
        <f t="shared" si="83"/>
        <v>HathiTrust Record</v>
      </c>
      <c r="AV5399" s="6" t="str">
        <f t="shared" si="84"/>
        <v>Catalog Record</v>
      </c>
      <c r="AW5399" s="6" t="str">
        <f t="shared" si="85"/>
        <v>WorldCat Record</v>
      </c>
      <c r="AX5399" s="3" t="s">
        <v>51625</v>
      </c>
      <c r="AY5399" s="3" t="s">
        <v>51626</v>
      </c>
      <c r="AZ5399" s="3" t="s">
        <v>51627</v>
      </c>
      <c r="BA5399" s="3" t="s">
        <v>51627</v>
      </c>
      <c r="BB5399" s="3" t="s">
        <v>51638</v>
      </c>
      <c r="BC5399" s="3" t="s">
        <v>102</v>
      </c>
      <c r="BD5399" s="3" t="s">
        <v>68</v>
      </c>
      <c r="BE5399" s="3" t="s">
        <v>51629</v>
      </c>
      <c r="BF5399" s="3" t="s">
        <v>51638</v>
      </c>
      <c r="BG5399" s="3" t="s">
        <v>51639</v>
      </c>
    </row>
    <row r="5400" spans="1:59" ht="58" x14ac:dyDescent="0.35">
      <c r="A5400" s="2" t="s">
        <v>89</v>
      </c>
      <c r="B5400" s="2" t="s">
        <v>90</v>
      </c>
      <c r="C5400" s="2" t="s">
        <v>51620</v>
      </c>
      <c r="D5400" s="2" t="s">
        <v>51621</v>
      </c>
      <c r="E5400" s="2" t="s">
        <v>51622</v>
      </c>
      <c r="F5400" s="3" t="s">
        <v>2248</v>
      </c>
      <c r="G5400" s="3" t="s">
        <v>61</v>
      </c>
      <c r="I5400" s="3" t="s">
        <v>61</v>
      </c>
      <c r="J5400" s="3" t="s">
        <v>61</v>
      </c>
      <c r="K5400" s="3" t="s">
        <v>63</v>
      </c>
      <c r="L5400" s="2" t="s">
        <v>51623</v>
      </c>
      <c r="M5400" s="2" t="s">
        <v>51624</v>
      </c>
      <c r="N5400" s="3" t="s">
        <v>1077</v>
      </c>
      <c r="O5400" s="2" t="s">
        <v>2458</v>
      </c>
      <c r="P5400" s="3" t="s">
        <v>64</v>
      </c>
      <c r="R5400" s="3" t="s">
        <v>46535</v>
      </c>
      <c r="S5400" s="4">
        <v>115</v>
      </c>
      <c r="T5400" s="4">
        <v>616</v>
      </c>
      <c r="U5400" s="5" t="s">
        <v>51640</v>
      </c>
      <c r="V5400" s="5" t="s">
        <v>51363</v>
      </c>
      <c r="W5400" s="5" t="s">
        <v>67</v>
      </c>
      <c r="X5400" s="5" t="s">
        <v>67</v>
      </c>
      <c r="Y5400" s="4">
        <v>66</v>
      </c>
      <c r="Z5400" s="4">
        <v>6</v>
      </c>
      <c r="AA5400" s="4">
        <v>48</v>
      </c>
      <c r="AB5400" s="4">
        <v>1</v>
      </c>
      <c r="AC5400" s="4">
        <v>7</v>
      </c>
      <c r="AD5400" s="4">
        <v>13</v>
      </c>
      <c r="AE5400" s="4">
        <v>128</v>
      </c>
      <c r="AF5400" s="4">
        <v>0</v>
      </c>
      <c r="AG5400" s="4">
        <v>4</v>
      </c>
      <c r="AH5400" s="4">
        <v>11</v>
      </c>
      <c r="AI5400" s="4">
        <v>102</v>
      </c>
      <c r="AJ5400" s="4">
        <v>2</v>
      </c>
      <c r="AK5400" s="4">
        <v>22</v>
      </c>
      <c r="AL5400" s="4">
        <v>5</v>
      </c>
      <c r="AM5400" s="4">
        <v>57</v>
      </c>
      <c r="AN5400" s="4">
        <v>0</v>
      </c>
      <c r="AO5400" s="4">
        <v>0</v>
      </c>
      <c r="AP5400" s="4">
        <v>4</v>
      </c>
      <c r="AQ5400" s="4">
        <v>30</v>
      </c>
      <c r="AR5400" s="3" t="s">
        <v>62</v>
      </c>
      <c r="AS5400" s="3" t="s">
        <v>62</v>
      </c>
      <c r="AT5400" s="3" t="s">
        <v>61</v>
      </c>
      <c r="AU5400" s="6" t="str">
        <f t="shared" si="83"/>
        <v>HathiTrust Record</v>
      </c>
      <c r="AV5400" s="6" t="str">
        <f t="shared" si="84"/>
        <v>Catalog Record</v>
      </c>
      <c r="AW5400" s="6" t="str">
        <f t="shared" si="85"/>
        <v>WorldCat Record</v>
      </c>
      <c r="AX5400" s="3" t="s">
        <v>51625</v>
      </c>
      <c r="AY5400" s="3" t="s">
        <v>51626</v>
      </c>
      <c r="AZ5400" s="3" t="s">
        <v>51627</v>
      </c>
      <c r="BA5400" s="3" t="s">
        <v>51627</v>
      </c>
      <c r="BB5400" s="3" t="s">
        <v>51641</v>
      </c>
      <c r="BC5400" s="3" t="s">
        <v>102</v>
      </c>
      <c r="BD5400" s="3" t="s">
        <v>68</v>
      </c>
      <c r="BE5400" s="3" t="s">
        <v>51629</v>
      </c>
      <c r="BF5400" s="3" t="s">
        <v>51641</v>
      </c>
      <c r="BG5400" s="3" t="s">
        <v>51642</v>
      </c>
    </row>
    <row r="5401" spans="1:59" ht="58" x14ac:dyDescent="0.35">
      <c r="A5401" s="2" t="s">
        <v>59</v>
      </c>
      <c r="B5401" s="2" t="s">
        <v>60</v>
      </c>
      <c r="C5401" s="2" t="s">
        <v>51643</v>
      </c>
      <c r="D5401" s="2" t="s">
        <v>51644</v>
      </c>
      <c r="E5401" s="2" t="s">
        <v>51645</v>
      </c>
      <c r="G5401" s="3" t="s">
        <v>62</v>
      </c>
      <c r="I5401" s="3" t="s">
        <v>62</v>
      </c>
      <c r="J5401" s="3" t="s">
        <v>62</v>
      </c>
      <c r="K5401" s="3" t="s">
        <v>63</v>
      </c>
      <c r="L5401" s="2" t="s">
        <v>51646</v>
      </c>
      <c r="M5401" s="2" t="s">
        <v>51647</v>
      </c>
      <c r="N5401" s="3" t="s">
        <v>625</v>
      </c>
      <c r="P5401" s="3" t="s">
        <v>64</v>
      </c>
      <c r="R5401" s="3" t="s">
        <v>46535</v>
      </c>
      <c r="S5401" s="4">
        <v>3</v>
      </c>
      <c r="T5401" s="4">
        <v>3</v>
      </c>
      <c r="U5401" s="5" t="s">
        <v>770</v>
      </c>
      <c r="V5401" s="5" t="s">
        <v>770</v>
      </c>
      <c r="W5401" s="5" t="s">
        <v>67</v>
      </c>
      <c r="X5401" s="5" t="s">
        <v>67</v>
      </c>
      <c r="Y5401" s="4">
        <v>471</v>
      </c>
      <c r="Z5401" s="4">
        <v>20</v>
      </c>
      <c r="AA5401" s="4">
        <v>36</v>
      </c>
      <c r="AB5401" s="4">
        <v>2</v>
      </c>
      <c r="AC5401" s="4">
        <v>10</v>
      </c>
      <c r="AD5401" s="4">
        <v>90</v>
      </c>
      <c r="AE5401" s="4">
        <v>112</v>
      </c>
      <c r="AF5401" s="4">
        <v>1</v>
      </c>
      <c r="AG5401" s="4">
        <v>6</v>
      </c>
      <c r="AH5401" s="4">
        <v>78</v>
      </c>
      <c r="AI5401" s="4">
        <v>91</v>
      </c>
      <c r="AJ5401" s="4">
        <v>11</v>
      </c>
      <c r="AK5401" s="4">
        <v>20</v>
      </c>
      <c r="AL5401" s="4">
        <v>43</v>
      </c>
      <c r="AM5401" s="4">
        <v>49</v>
      </c>
      <c r="AN5401" s="4">
        <v>0</v>
      </c>
      <c r="AO5401" s="4">
        <v>0</v>
      </c>
      <c r="AP5401" s="4">
        <v>15</v>
      </c>
      <c r="AQ5401" s="4">
        <v>26</v>
      </c>
      <c r="AR5401" s="3" t="s">
        <v>62</v>
      </c>
      <c r="AS5401" s="3" t="s">
        <v>62</v>
      </c>
      <c r="AT5401" s="3" t="s">
        <v>61</v>
      </c>
      <c r="AU5401" s="6" t="str">
        <f>HYPERLINK("http://catalog.hathitrust.org/Record/004313571","HathiTrust Record")</f>
        <v>HathiTrust Record</v>
      </c>
      <c r="AV5401" s="6" t="str">
        <f>HYPERLINK("http://mcgill.on.worldcat.org/oclc/51242181","Catalog Record")</f>
        <v>Catalog Record</v>
      </c>
      <c r="AW5401" s="6" t="str">
        <f>HYPERLINK("http://www.worldcat.org/oclc/51242181","WorldCat Record")</f>
        <v>WorldCat Record</v>
      </c>
      <c r="AX5401" s="3" t="s">
        <v>51648</v>
      </c>
      <c r="AY5401" s="3" t="s">
        <v>51649</v>
      </c>
      <c r="AZ5401" s="3" t="s">
        <v>51650</v>
      </c>
      <c r="BA5401" s="3" t="s">
        <v>51650</v>
      </c>
      <c r="BB5401" s="3" t="s">
        <v>51651</v>
      </c>
      <c r="BC5401" s="3" t="s">
        <v>102</v>
      </c>
      <c r="BD5401" s="3" t="s">
        <v>68</v>
      </c>
      <c r="BE5401" s="3" t="s">
        <v>51652</v>
      </c>
      <c r="BF5401" s="3" t="s">
        <v>51651</v>
      </c>
      <c r="BG5401" s="3" t="s">
        <v>51653</v>
      </c>
    </row>
    <row r="5402" spans="1:59" ht="58" x14ac:dyDescent="0.35">
      <c r="A5402" s="2" t="s">
        <v>59</v>
      </c>
      <c r="B5402" s="2" t="s">
        <v>60</v>
      </c>
      <c r="C5402" s="2" t="s">
        <v>51654</v>
      </c>
      <c r="D5402" s="2" t="s">
        <v>51655</v>
      </c>
      <c r="E5402" s="2" t="s">
        <v>51656</v>
      </c>
      <c r="G5402" s="3" t="s">
        <v>62</v>
      </c>
      <c r="I5402" s="3" t="s">
        <v>62</v>
      </c>
      <c r="J5402" s="3" t="s">
        <v>62</v>
      </c>
      <c r="K5402" s="3" t="s">
        <v>63</v>
      </c>
      <c r="L5402" s="2" t="s">
        <v>51657</v>
      </c>
      <c r="M5402" s="2" t="s">
        <v>51658</v>
      </c>
      <c r="N5402" s="3" t="s">
        <v>81</v>
      </c>
      <c r="P5402" s="3" t="s">
        <v>64</v>
      </c>
      <c r="Q5402" s="2" t="s">
        <v>51659</v>
      </c>
      <c r="R5402" s="3" t="s">
        <v>46535</v>
      </c>
      <c r="S5402" s="4">
        <v>1</v>
      </c>
      <c r="T5402" s="4">
        <v>1</v>
      </c>
      <c r="U5402" s="5" t="s">
        <v>7089</v>
      </c>
      <c r="V5402" s="5" t="s">
        <v>7089</v>
      </c>
      <c r="W5402" s="5" t="s">
        <v>67</v>
      </c>
      <c r="X5402" s="5" t="s">
        <v>67</v>
      </c>
      <c r="Y5402" s="4">
        <v>356</v>
      </c>
      <c r="Z5402" s="4">
        <v>22</v>
      </c>
      <c r="AA5402" s="4">
        <v>22</v>
      </c>
      <c r="AB5402" s="4">
        <v>1</v>
      </c>
      <c r="AC5402" s="4">
        <v>1</v>
      </c>
      <c r="AD5402" s="4">
        <v>99</v>
      </c>
      <c r="AE5402" s="4">
        <v>100</v>
      </c>
      <c r="AF5402" s="4">
        <v>0</v>
      </c>
      <c r="AG5402" s="4">
        <v>0</v>
      </c>
      <c r="AH5402" s="4">
        <v>82</v>
      </c>
      <c r="AI5402" s="4">
        <v>83</v>
      </c>
      <c r="AJ5402" s="4">
        <v>14</v>
      </c>
      <c r="AK5402" s="4">
        <v>14</v>
      </c>
      <c r="AL5402" s="4">
        <v>46</v>
      </c>
      <c r="AM5402" s="4">
        <v>46</v>
      </c>
      <c r="AN5402" s="4">
        <v>0</v>
      </c>
      <c r="AO5402" s="4">
        <v>0</v>
      </c>
      <c r="AP5402" s="4">
        <v>19</v>
      </c>
      <c r="AQ5402" s="4">
        <v>19</v>
      </c>
      <c r="AR5402" s="3" t="s">
        <v>62</v>
      </c>
      <c r="AS5402" s="3" t="s">
        <v>62</v>
      </c>
      <c r="AT5402" s="3" t="s">
        <v>62</v>
      </c>
      <c r="AV5402" s="6" t="str">
        <f>HYPERLINK("http://mcgill.on.worldcat.org/oclc/448403","Catalog Record")</f>
        <v>Catalog Record</v>
      </c>
      <c r="AW5402" s="6" t="str">
        <f>HYPERLINK("http://www.worldcat.org/oclc/448403","WorldCat Record")</f>
        <v>WorldCat Record</v>
      </c>
      <c r="AX5402" s="3" t="s">
        <v>51660</v>
      </c>
      <c r="AY5402" s="3" t="s">
        <v>51661</v>
      </c>
      <c r="AZ5402" s="3" t="s">
        <v>51662</v>
      </c>
      <c r="BA5402" s="3" t="s">
        <v>51662</v>
      </c>
      <c r="BB5402" s="3" t="s">
        <v>51663</v>
      </c>
      <c r="BC5402" s="3" t="s">
        <v>102</v>
      </c>
      <c r="BD5402" s="3" t="s">
        <v>68</v>
      </c>
      <c r="BE5402" s="3" t="s">
        <v>51664</v>
      </c>
      <c r="BF5402" s="3" t="s">
        <v>51663</v>
      </c>
      <c r="BG5402" s="3" t="s">
        <v>51665</v>
      </c>
    </row>
    <row r="5403" spans="1:59" ht="58" x14ac:dyDescent="0.35">
      <c r="A5403" s="2" t="s">
        <v>59</v>
      </c>
      <c r="B5403" s="2" t="s">
        <v>60</v>
      </c>
      <c r="C5403" s="2" t="s">
        <v>51666</v>
      </c>
      <c r="D5403" s="2" t="s">
        <v>51667</v>
      </c>
      <c r="E5403" s="2" t="s">
        <v>51668</v>
      </c>
      <c r="F5403" s="3" t="s">
        <v>2217</v>
      </c>
      <c r="G5403" s="3" t="s">
        <v>61</v>
      </c>
      <c r="I5403" s="3" t="s">
        <v>62</v>
      </c>
      <c r="J5403" s="3" t="s">
        <v>62</v>
      </c>
      <c r="K5403" s="3" t="s">
        <v>63</v>
      </c>
      <c r="L5403" s="2" t="s">
        <v>51669</v>
      </c>
      <c r="M5403" s="2" t="s">
        <v>51670</v>
      </c>
      <c r="N5403" s="3" t="s">
        <v>115</v>
      </c>
      <c r="P5403" s="3" t="s">
        <v>64</v>
      </c>
      <c r="R5403" s="3" t="s">
        <v>46535</v>
      </c>
      <c r="S5403" s="4">
        <v>5</v>
      </c>
      <c r="T5403" s="4">
        <v>5</v>
      </c>
      <c r="U5403" s="5" t="s">
        <v>28291</v>
      </c>
      <c r="V5403" s="5" t="s">
        <v>28291</v>
      </c>
      <c r="W5403" s="5" t="s">
        <v>67</v>
      </c>
      <c r="X5403" s="5" t="s">
        <v>67</v>
      </c>
      <c r="Y5403" s="4">
        <v>124</v>
      </c>
      <c r="Z5403" s="4">
        <v>18</v>
      </c>
      <c r="AA5403" s="4">
        <v>22</v>
      </c>
      <c r="AB5403" s="4">
        <v>3</v>
      </c>
      <c r="AC5403" s="4">
        <v>5</v>
      </c>
      <c r="AD5403" s="4">
        <v>51</v>
      </c>
      <c r="AE5403" s="4">
        <v>55</v>
      </c>
      <c r="AF5403" s="4">
        <v>1</v>
      </c>
      <c r="AG5403" s="4">
        <v>2</v>
      </c>
      <c r="AH5403" s="4">
        <v>46</v>
      </c>
      <c r="AI5403" s="4">
        <v>47</v>
      </c>
      <c r="AJ5403" s="4">
        <v>11</v>
      </c>
      <c r="AK5403" s="4">
        <v>13</v>
      </c>
      <c r="AL5403" s="4">
        <v>19</v>
      </c>
      <c r="AM5403" s="4">
        <v>19</v>
      </c>
      <c r="AN5403" s="4">
        <v>0</v>
      </c>
      <c r="AO5403" s="4">
        <v>0</v>
      </c>
      <c r="AP5403" s="4">
        <v>10</v>
      </c>
      <c r="AQ5403" s="4">
        <v>13</v>
      </c>
      <c r="AR5403" s="3" t="s">
        <v>62</v>
      </c>
      <c r="AS5403" s="3" t="s">
        <v>62</v>
      </c>
      <c r="AT5403" s="3" t="s">
        <v>61</v>
      </c>
      <c r="AU5403" s="6" t="str">
        <f>HYPERLINK("http://catalog.hathitrust.org/Record/001947033","HathiTrust Record")</f>
        <v>HathiTrust Record</v>
      </c>
      <c r="AV5403" s="6" t="str">
        <f>HYPERLINK("http://mcgill.on.worldcat.org/oclc/18190793","Catalog Record")</f>
        <v>Catalog Record</v>
      </c>
      <c r="AW5403" s="6" t="str">
        <f>HYPERLINK("http://www.worldcat.org/oclc/18190793","WorldCat Record")</f>
        <v>WorldCat Record</v>
      </c>
      <c r="AX5403" s="3" t="s">
        <v>51671</v>
      </c>
      <c r="AY5403" s="3" t="s">
        <v>51672</v>
      </c>
      <c r="AZ5403" s="3" t="s">
        <v>51673</v>
      </c>
      <c r="BA5403" s="3" t="s">
        <v>51673</v>
      </c>
      <c r="BB5403" s="3" t="s">
        <v>51674</v>
      </c>
      <c r="BC5403" s="3" t="s">
        <v>102</v>
      </c>
      <c r="BD5403" s="3" t="s">
        <v>68</v>
      </c>
      <c r="BE5403" s="3" t="s">
        <v>51675</v>
      </c>
      <c r="BF5403" s="3" t="s">
        <v>51674</v>
      </c>
      <c r="BG5403" s="3" t="s">
        <v>51676</v>
      </c>
    </row>
    <row r="5404" spans="1:59" ht="58" x14ac:dyDescent="0.35">
      <c r="A5404" s="2" t="s">
        <v>59</v>
      </c>
      <c r="B5404" s="2" t="s">
        <v>60</v>
      </c>
      <c r="C5404" s="2" t="s">
        <v>51677</v>
      </c>
      <c r="D5404" s="2" t="s">
        <v>51678</v>
      </c>
      <c r="E5404" s="2" t="s">
        <v>51679</v>
      </c>
      <c r="G5404" s="3" t="s">
        <v>62</v>
      </c>
      <c r="I5404" s="3" t="s">
        <v>62</v>
      </c>
      <c r="J5404" s="3" t="s">
        <v>62</v>
      </c>
      <c r="K5404" s="3" t="s">
        <v>63</v>
      </c>
      <c r="M5404" s="2" t="s">
        <v>51680</v>
      </c>
      <c r="N5404" s="3" t="s">
        <v>438</v>
      </c>
      <c r="P5404" s="3" t="s">
        <v>64</v>
      </c>
      <c r="R5404" s="3" t="s">
        <v>46535</v>
      </c>
      <c r="S5404" s="4">
        <v>5</v>
      </c>
      <c r="T5404" s="4">
        <v>5</v>
      </c>
      <c r="U5404" s="5" t="s">
        <v>7089</v>
      </c>
      <c r="V5404" s="5" t="s">
        <v>7089</v>
      </c>
      <c r="W5404" s="5" t="s">
        <v>67</v>
      </c>
      <c r="X5404" s="5" t="s">
        <v>67</v>
      </c>
      <c r="Y5404" s="4">
        <v>155</v>
      </c>
      <c r="Z5404" s="4">
        <v>12</v>
      </c>
      <c r="AA5404" s="4">
        <v>15</v>
      </c>
      <c r="AB5404" s="4">
        <v>1</v>
      </c>
      <c r="AC5404" s="4">
        <v>3</v>
      </c>
      <c r="AD5404" s="4">
        <v>67</v>
      </c>
      <c r="AE5404" s="4">
        <v>74</v>
      </c>
      <c r="AF5404" s="4">
        <v>0</v>
      </c>
      <c r="AG5404" s="4">
        <v>1</v>
      </c>
      <c r="AH5404" s="4">
        <v>61</v>
      </c>
      <c r="AI5404" s="4">
        <v>66</v>
      </c>
      <c r="AJ5404" s="4">
        <v>10</v>
      </c>
      <c r="AK5404" s="4">
        <v>11</v>
      </c>
      <c r="AL5404" s="4">
        <v>35</v>
      </c>
      <c r="AM5404" s="4">
        <v>39</v>
      </c>
      <c r="AN5404" s="4">
        <v>0</v>
      </c>
      <c r="AO5404" s="4">
        <v>0</v>
      </c>
      <c r="AP5404" s="4">
        <v>9</v>
      </c>
      <c r="AQ5404" s="4">
        <v>10</v>
      </c>
      <c r="AR5404" s="3" t="s">
        <v>62</v>
      </c>
      <c r="AS5404" s="3" t="s">
        <v>62</v>
      </c>
      <c r="AT5404" s="3" t="s">
        <v>61</v>
      </c>
      <c r="AU5404" s="6" t="str">
        <f>HYPERLINK("http://catalog.hathitrust.org/Record/002060376","HathiTrust Record")</f>
        <v>HathiTrust Record</v>
      </c>
      <c r="AV5404" s="6" t="str">
        <f>HYPERLINK("http://mcgill.on.worldcat.org/oclc/20994464","Catalog Record")</f>
        <v>Catalog Record</v>
      </c>
      <c r="AW5404" s="6" t="str">
        <f>HYPERLINK("http://www.worldcat.org/oclc/20994464","WorldCat Record")</f>
        <v>WorldCat Record</v>
      </c>
      <c r="AX5404" s="3" t="s">
        <v>51681</v>
      </c>
      <c r="AY5404" s="3" t="s">
        <v>51682</v>
      </c>
      <c r="AZ5404" s="3" t="s">
        <v>51683</v>
      </c>
      <c r="BA5404" s="3" t="s">
        <v>51683</v>
      </c>
      <c r="BB5404" s="3" t="s">
        <v>51684</v>
      </c>
      <c r="BC5404" s="3" t="s">
        <v>102</v>
      </c>
      <c r="BD5404" s="3" t="s">
        <v>68</v>
      </c>
      <c r="BE5404" s="3" t="s">
        <v>51685</v>
      </c>
      <c r="BF5404" s="3" t="s">
        <v>51684</v>
      </c>
      <c r="BG5404" s="3" t="s">
        <v>51686</v>
      </c>
    </row>
    <row r="5405" spans="1:59" ht="58" x14ac:dyDescent="0.35">
      <c r="A5405" s="2" t="s">
        <v>59</v>
      </c>
      <c r="B5405" s="2" t="s">
        <v>60</v>
      </c>
      <c r="C5405" s="2" t="s">
        <v>51687</v>
      </c>
      <c r="D5405" s="2" t="s">
        <v>51688</v>
      </c>
      <c r="E5405" s="2" t="s">
        <v>51689</v>
      </c>
      <c r="G5405" s="3" t="s">
        <v>62</v>
      </c>
      <c r="I5405" s="3" t="s">
        <v>62</v>
      </c>
      <c r="J5405" s="3" t="s">
        <v>62</v>
      </c>
      <c r="K5405" s="3" t="s">
        <v>63</v>
      </c>
      <c r="M5405" s="2" t="s">
        <v>51690</v>
      </c>
      <c r="N5405" s="3" t="s">
        <v>355</v>
      </c>
      <c r="P5405" s="3" t="s">
        <v>64</v>
      </c>
      <c r="R5405" s="3" t="s">
        <v>46535</v>
      </c>
      <c r="S5405" s="4">
        <v>2</v>
      </c>
      <c r="T5405" s="4">
        <v>2</v>
      </c>
      <c r="U5405" s="5" t="s">
        <v>7089</v>
      </c>
      <c r="V5405" s="5" t="s">
        <v>7089</v>
      </c>
      <c r="W5405" s="5" t="s">
        <v>67</v>
      </c>
      <c r="X5405" s="5" t="s">
        <v>67</v>
      </c>
      <c r="Y5405" s="4">
        <v>147</v>
      </c>
      <c r="Z5405" s="4">
        <v>14</v>
      </c>
      <c r="AA5405" s="4">
        <v>14</v>
      </c>
      <c r="AB5405" s="4">
        <v>1</v>
      </c>
      <c r="AC5405" s="4">
        <v>1</v>
      </c>
      <c r="AD5405" s="4">
        <v>78</v>
      </c>
      <c r="AE5405" s="4">
        <v>78</v>
      </c>
      <c r="AF5405" s="4">
        <v>0</v>
      </c>
      <c r="AG5405" s="4">
        <v>0</v>
      </c>
      <c r="AH5405" s="4">
        <v>70</v>
      </c>
      <c r="AI5405" s="4">
        <v>70</v>
      </c>
      <c r="AJ5405" s="4">
        <v>10</v>
      </c>
      <c r="AK5405" s="4">
        <v>10</v>
      </c>
      <c r="AL5405" s="4">
        <v>42</v>
      </c>
      <c r="AM5405" s="4">
        <v>42</v>
      </c>
      <c r="AN5405" s="4">
        <v>0</v>
      </c>
      <c r="AO5405" s="4">
        <v>0</v>
      </c>
      <c r="AP5405" s="4">
        <v>11</v>
      </c>
      <c r="AQ5405" s="4">
        <v>11</v>
      </c>
      <c r="AR5405" s="3" t="s">
        <v>62</v>
      </c>
      <c r="AS5405" s="3" t="s">
        <v>62</v>
      </c>
      <c r="AT5405" s="3" t="s">
        <v>61</v>
      </c>
      <c r="AU5405" s="6" t="str">
        <f>HYPERLINK("http://catalog.hathitrust.org/Record/000448505","HathiTrust Record")</f>
        <v>HathiTrust Record</v>
      </c>
      <c r="AV5405" s="6" t="str">
        <f>HYPERLINK("http://mcgill.on.worldcat.org/oclc/10558980","Catalog Record")</f>
        <v>Catalog Record</v>
      </c>
      <c r="AW5405" s="6" t="str">
        <f>HYPERLINK("http://www.worldcat.org/oclc/10558980","WorldCat Record")</f>
        <v>WorldCat Record</v>
      </c>
      <c r="AX5405" s="3" t="s">
        <v>51691</v>
      </c>
      <c r="AY5405" s="3" t="s">
        <v>51692</v>
      </c>
      <c r="AZ5405" s="3" t="s">
        <v>51693</v>
      </c>
      <c r="BA5405" s="3" t="s">
        <v>51693</v>
      </c>
      <c r="BB5405" s="3" t="s">
        <v>51694</v>
      </c>
      <c r="BC5405" s="3" t="s">
        <v>102</v>
      </c>
      <c r="BD5405" s="3" t="s">
        <v>68</v>
      </c>
      <c r="BE5405" s="3" t="s">
        <v>51695</v>
      </c>
      <c r="BF5405" s="3" t="s">
        <v>51694</v>
      </c>
      <c r="BG5405" s="3" t="s">
        <v>51696</v>
      </c>
    </row>
    <row r="5406" spans="1:59" ht="58" x14ac:dyDescent="0.35">
      <c r="A5406" s="2" t="s">
        <v>89</v>
      </c>
      <c r="B5406" s="2" t="s">
        <v>90</v>
      </c>
      <c r="C5406" s="2" t="s">
        <v>51697</v>
      </c>
      <c r="D5406" s="2" t="s">
        <v>51698</v>
      </c>
      <c r="E5406" s="2" t="s">
        <v>51699</v>
      </c>
      <c r="G5406" s="3" t="s">
        <v>62</v>
      </c>
      <c r="I5406" s="3" t="s">
        <v>62</v>
      </c>
      <c r="J5406" s="3" t="s">
        <v>62</v>
      </c>
      <c r="K5406" s="3" t="s">
        <v>63</v>
      </c>
      <c r="L5406" s="2" t="s">
        <v>51700</v>
      </c>
      <c r="M5406" s="2" t="s">
        <v>4875</v>
      </c>
      <c r="N5406" s="3" t="s">
        <v>3062</v>
      </c>
      <c r="P5406" s="3" t="s">
        <v>64</v>
      </c>
      <c r="R5406" s="3" t="s">
        <v>46535</v>
      </c>
      <c r="S5406" s="4">
        <v>6</v>
      </c>
      <c r="T5406" s="4">
        <v>6</v>
      </c>
      <c r="U5406" s="5" t="s">
        <v>1325</v>
      </c>
      <c r="V5406" s="5" t="s">
        <v>1325</v>
      </c>
      <c r="W5406" s="5" t="s">
        <v>67</v>
      </c>
      <c r="X5406" s="5" t="s">
        <v>67</v>
      </c>
      <c r="Y5406" s="4">
        <v>233</v>
      </c>
      <c r="Z5406" s="4">
        <v>19</v>
      </c>
      <c r="AA5406" s="4">
        <v>23</v>
      </c>
      <c r="AB5406" s="4">
        <v>2</v>
      </c>
      <c r="AC5406" s="4">
        <v>2</v>
      </c>
      <c r="AD5406" s="4">
        <v>95</v>
      </c>
      <c r="AE5406" s="4">
        <v>99</v>
      </c>
      <c r="AF5406" s="4">
        <v>1</v>
      </c>
      <c r="AG5406" s="4">
        <v>1</v>
      </c>
      <c r="AH5406" s="4">
        <v>82</v>
      </c>
      <c r="AI5406" s="4">
        <v>84</v>
      </c>
      <c r="AJ5406" s="4">
        <v>13</v>
      </c>
      <c r="AK5406" s="4">
        <v>17</v>
      </c>
      <c r="AL5406" s="4">
        <v>47</v>
      </c>
      <c r="AM5406" s="4">
        <v>47</v>
      </c>
      <c r="AN5406" s="4">
        <v>0</v>
      </c>
      <c r="AO5406" s="4">
        <v>0</v>
      </c>
      <c r="AP5406" s="4">
        <v>15</v>
      </c>
      <c r="AQ5406" s="4">
        <v>19</v>
      </c>
      <c r="AR5406" s="3" t="s">
        <v>62</v>
      </c>
      <c r="AS5406" s="3" t="s">
        <v>62</v>
      </c>
      <c r="AT5406" s="3" t="s">
        <v>62</v>
      </c>
      <c r="AV5406" s="6" t="str">
        <f>HYPERLINK("http://mcgill.on.worldcat.org/oclc/23356083","Catalog Record")</f>
        <v>Catalog Record</v>
      </c>
      <c r="AW5406" s="6" t="str">
        <f>HYPERLINK("http://www.worldcat.org/oclc/23356083","WorldCat Record")</f>
        <v>WorldCat Record</v>
      </c>
      <c r="AX5406" s="3" t="s">
        <v>51701</v>
      </c>
      <c r="AY5406" s="3" t="s">
        <v>51702</v>
      </c>
      <c r="AZ5406" s="3" t="s">
        <v>51703</v>
      </c>
      <c r="BA5406" s="3" t="s">
        <v>51703</v>
      </c>
      <c r="BB5406" s="3" t="s">
        <v>51704</v>
      </c>
      <c r="BC5406" s="3" t="s">
        <v>102</v>
      </c>
      <c r="BD5406" s="3" t="s">
        <v>68</v>
      </c>
      <c r="BE5406" s="3" t="s">
        <v>51705</v>
      </c>
      <c r="BF5406" s="3" t="s">
        <v>51704</v>
      </c>
      <c r="BG5406" s="3" t="s">
        <v>51706</v>
      </c>
    </row>
    <row r="5407" spans="1:59" ht="58" x14ac:dyDescent="0.35">
      <c r="A5407" s="2" t="s">
        <v>59</v>
      </c>
      <c r="B5407" s="2" t="s">
        <v>60</v>
      </c>
      <c r="C5407" s="2" t="s">
        <v>51707</v>
      </c>
      <c r="D5407" s="2" t="s">
        <v>51708</v>
      </c>
      <c r="E5407" s="2" t="s">
        <v>51709</v>
      </c>
      <c r="G5407" s="3" t="s">
        <v>62</v>
      </c>
      <c r="I5407" s="3" t="s">
        <v>62</v>
      </c>
      <c r="J5407" s="3" t="s">
        <v>61</v>
      </c>
      <c r="K5407" s="3" t="s">
        <v>63</v>
      </c>
      <c r="L5407" s="2" t="s">
        <v>51710</v>
      </c>
      <c r="M5407" s="2" t="s">
        <v>51711</v>
      </c>
      <c r="N5407" s="3" t="s">
        <v>824</v>
      </c>
      <c r="O5407" s="2" t="s">
        <v>2458</v>
      </c>
      <c r="P5407" s="3" t="s">
        <v>64</v>
      </c>
      <c r="R5407" s="3" t="s">
        <v>46535</v>
      </c>
      <c r="S5407" s="4">
        <v>10</v>
      </c>
      <c r="T5407" s="4">
        <v>10</v>
      </c>
      <c r="U5407" s="5" t="s">
        <v>13894</v>
      </c>
      <c r="V5407" s="5" t="s">
        <v>13894</v>
      </c>
      <c r="W5407" s="5" t="s">
        <v>67</v>
      </c>
      <c r="X5407" s="5" t="s">
        <v>67</v>
      </c>
      <c r="Y5407" s="4">
        <v>2</v>
      </c>
      <c r="Z5407" s="4">
        <v>1</v>
      </c>
      <c r="AA5407" s="4">
        <v>2</v>
      </c>
      <c r="AB5407" s="4">
        <v>1</v>
      </c>
      <c r="AC5407" s="4">
        <v>2</v>
      </c>
      <c r="AD5407" s="4">
        <v>0</v>
      </c>
      <c r="AE5407" s="4">
        <v>1</v>
      </c>
      <c r="AF5407" s="4">
        <v>0</v>
      </c>
      <c r="AG5407" s="4">
        <v>1</v>
      </c>
      <c r="AH5407" s="4">
        <v>0</v>
      </c>
      <c r="AI5407" s="4">
        <v>0</v>
      </c>
      <c r="AJ5407" s="4">
        <v>0</v>
      </c>
      <c r="AK5407" s="4">
        <v>1</v>
      </c>
      <c r="AL5407" s="4">
        <v>0</v>
      </c>
      <c r="AM5407" s="4">
        <v>0</v>
      </c>
      <c r="AN5407" s="4">
        <v>0</v>
      </c>
      <c r="AO5407" s="4">
        <v>0</v>
      </c>
      <c r="AP5407" s="4">
        <v>0</v>
      </c>
      <c r="AQ5407" s="4">
        <v>0</v>
      </c>
      <c r="AR5407" s="3" t="s">
        <v>62</v>
      </c>
      <c r="AS5407" s="3" t="s">
        <v>62</v>
      </c>
      <c r="AT5407" s="3" t="s">
        <v>62</v>
      </c>
      <c r="AV5407" s="6" t="str">
        <f>HYPERLINK("http://mcgill.on.worldcat.org/oclc/61628291","Catalog Record")</f>
        <v>Catalog Record</v>
      </c>
      <c r="AW5407" s="6" t="str">
        <f>HYPERLINK("http://www.worldcat.org/oclc/61628291","WorldCat Record")</f>
        <v>WorldCat Record</v>
      </c>
      <c r="AX5407" s="3" t="s">
        <v>51712</v>
      </c>
      <c r="AY5407" s="3" t="s">
        <v>51713</v>
      </c>
      <c r="AZ5407" s="3" t="s">
        <v>51714</v>
      </c>
      <c r="BA5407" s="3" t="s">
        <v>51714</v>
      </c>
      <c r="BB5407" s="3" t="s">
        <v>51715</v>
      </c>
      <c r="BC5407" s="3" t="s">
        <v>102</v>
      </c>
      <c r="BD5407" s="3" t="s">
        <v>68</v>
      </c>
      <c r="BF5407" s="3" t="s">
        <v>51715</v>
      </c>
      <c r="BG5407" s="3" t="s">
        <v>51716</v>
      </c>
    </row>
    <row r="5408" spans="1:59" ht="58" x14ac:dyDescent="0.35">
      <c r="A5408" s="2" t="s">
        <v>89</v>
      </c>
      <c r="B5408" s="2" t="s">
        <v>90</v>
      </c>
      <c r="C5408" s="2" t="s">
        <v>51717</v>
      </c>
      <c r="D5408" s="2" t="s">
        <v>51718</v>
      </c>
      <c r="E5408" s="2" t="s">
        <v>51719</v>
      </c>
      <c r="G5408" s="3" t="s">
        <v>62</v>
      </c>
      <c r="I5408" s="3" t="s">
        <v>62</v>
      </c>
      <c r="J5408" s="3" t="s">
        <v>62</v>
      </c>
      <c r="K5408" s="3" t="s">
        <v>63</v>
      </c>
      <c r="L5408" s="2" t="s">
        <v>51720</v>
      </c>
      <c r="M5408" s="2" t="s">
        <v>51721</v>
      </c>
      <c r="N5408" s="3" t="s">
        <v>1455</v>
      </c>
      <c r="P5408" s="3" t="s">
        <v>64</v>
      </c>
      <c r="Q5408" s="2" t="s">
        <v>51722</v>
      </c>
      <c r="R5408" s="3" t="s">
        <v>46535</v>
      </c>
      <c r="S5408" s="4">
        <v>11</v>
      </c>
      <c r="T5408" s="4">
        <v>11</v>
      </c>
      <c r="U5408" s="5" t="s">
        <v>1845</v>
      </c>
      <c r="V5408" s="5" t="s">
        <v>1845</v>
      </c>
      <c r="W5408" s="5" t="s">
        <v>67</v>
      </c>
      <c r="X5408" s="5" t="s">
        <v>67</v>
      </c>
      <c r="Y5408" s="4">
        <v>142</v>
      </c>
      <c r="Z5408" s="4">
        <v>15</v>
      </c>
      <c r="AA5408" s="4">
        <v>60</v>
      </c>
      <c r="AB5408" s="4">
        <v>2</v>
      </c>
      <c r="AC5408" s="4">
        <v>14</v>
      </c>
      <c r="AD5408" s="4">
        <v>54</v>
      </c>
      <c r="AE5408" s="4">
        <v>87</v>
      </c>
      <c r="AF5408" s="4">
        <v>1</v>
      </c>
      <c r="AG5408" s="4">
        <v>7</v>
      </c>
      <c r="AH5408" s="4">
        <v>47</v>
      </c>
      <c r="AI5408" s="4">
        <v>63</v>
      </c>
      <c r="AJ5408" s="4">
        <v>8</v>
      </c>
      <c r="AK5408" s="4">
        <v>19</v>
      </c>
      <c r="AL5408" s="4">
        <v>29</v>
      </c>
      <c r="AM5408" s="4">
        <v>38</v>
      </c>
      <c r="AN5408" s="4">
        <v>0</v>
      </c>
      <c r="AO5408" s="4">
        <v>0</v>
      </c>
      <c r="AP5408" s="4">
        <v>11</v>
      </c>
      <c r="AQ5408" s="4">
        <v>29</v>
      </c>
      <c r="AR5408" s="3" t="s">
        <v>62</v>
      </c>
      <c r="AS5408" s="3" t="s">
        <v>62</v>
      </c>
      <c r="AT5408" s="3" t="s">
        <v>62</v>
      </c>
      <c r="AV5408" s="6" t="str">
        <f>HYPERLINK("http://mcgill.on.worldcat.org/oclc/892162549","Catalog Record")</f>
        <v>Catalog Record</v>
      </c>
      <c r="AW5408" s="6" t="str">
        <f>HYPERLINK("http://www.worldcat.org/oclc/892162549","WorldCat Record")</f>
        <v>WorldCat Record</v>
      </c>
      <c r="AX5408" s="3" t="s">
        <v>51723</v>
      </c>
      <c r="AY5408" s="3" t="s">
        <v>51724</v>
      </c>
      <c r="AZ5408" s="3" t="s">
        <v>51725</v>
      </c>
      <c r="BA5408" s="3" t="s">
        <v>51725</v>
      </c>
      <c r="BB5408" s="3" t="s">
        <v>51726</v>
      </c>
      <c r="BC5408" s="3" t="s">
        <v>102</v>
      </c>
      <c r="BD5408" s="3" t="s">
        <v>231</v>
      </c>
      <c r="BE5408" s="3" t="s">
        <v>51727</v>
      </c>
      <c r="BF5408" s="3" t="s">
        <v>51726</v>
      </c>
      <c r="BG5408" s="3" t="s">
        <v>51728</v>
      </c>
    </row>
    <row r="5409" spans="1:59" ht="58" x14ac:dyDescent="0.35">
      <c r="A5409" s="2" t="s">
        <v>89</v>
      </c>
      <c r="B5409" s="2" t="s">
        <v>90</v>
      </c>
      <c r="C5409" s="2" t="s">
        <v>51729</v>
      </c>
      <c r="D5409" s="2" t="s">
        <v>51730</v>
      </c>
      <c r="E5409" s="2" t="s">
        <v>51731</v>
      </c>
      <c r="G5409" s="3" t="s">
        <v>62</v>
      </c>
      <c r="I5409" s="3" t="s">
        <v>62</v>
      </c>
      <c r="J5409" s="3" t="s">
        <v>62</v>
      </c>
      <c r="K5409" s="3" t="s">
        <v>63</v>
      </c>
      <c r="M5409" s="2" t="s">
        <v>51732</v>
      </c>
      <c r="N5409" s="3" t="s">
        <v>684</v>
      </c>
      <c r="P5409" s="3" t="s">
        <v>64</v>
      </c>
      <c r="Q5409" s="2" t="s">
        <v>51733</v>
      </c>
      <c r="R5409" s="3" t="s">
        <v>46535</v>
      </c>
      <c r="S5409" s="4">
        <v>0</v>
      </c>
      <c r="T5409" s="4">
        <v>0</v>
      </c>
      <c r="W5409" s="5" t="s">
        <v>67</v>
      </c>
      <c r="X5409" s="5" t="s">
        <v>67</v>
      </c>
      <c r="Y5409" s="4">
        <v>23</v>
      </c>
      <c r="Z5409" s="4">
        <v>1</v>
      </c>
      <c r="AA5409" s="4">
        <v>35</v>
      </c>
      <c r="AB5409" s="4">
        <v>1</v>
      </c>
      <c r="AC5409" s="4">
        <v>9</v>
      </c>
      <c r="AD5409" s="4">
        <v>5</v>
      </c>
      <c r="AE5409" s="4">
        <v>79</v>
      </c>
      <c r="AF5409" s="4">
        <v>0</v>
      </c>
      <c r="AG5409" s="4">
        <v>5</v>
      </c>
      <c r="AH5409" s="4">
        <v>5</v>
      </c>
      <c r="AI5409" s="4">
        <v>55</v>
      </c>
      <c r="AJ5409" s="4">
        <v>0</v>
      </c>
      <c r="AK5409" s="4">
        <v>16</v>
      </c>
      <c r="AL5409" s="4">
        <v>1</v>
      </c>
      <c r="AM5409" s="4">
        <v>26</v>
      </c>
      <c r="AN5409" s="4">
        <v>0</v>
      </c>
      <c r="AO5409" s="4">
        <v>0</v>
      </c>
      <c r="AP5409" s="4">
        <v>0</v>
      </c>
      <c r="AQ5409" s="4">
        <v>30</v>
      </c>
      <c r="AR5409" s="3" t="s">
        <v>62</v>
      </c>
      <c r="AS5409" s="3" t="s">
        <v>62</v>
      </c>
      <c r="AT5409" s="3" t="s">
        <v>62</v>
      </c>
      <c r="AV5409" s="6" t="str">
        <f>HYPERLINK("http://mcgill.on.worldcat.org/oclc/648933257","Catalog Record")</f>
        <v>Catalog Record</v>
      </c>
      <c r="AW5409" s="6" t="str">
        <f>HYPERLINK("http://www.worldcat.org/oclc/648933257","WorldCat Record")</f>
        <v>WorldCat Record</v>
      </c>
      <c r="AX5409" s="3" t="s">
        <v>51734</v>
      </c>
      <c r="AY5409" s="3" t="s">
        <v>51735</v>
      </c>
      <c r="AZ5409" s="3" t="s">
        <v>51736</v>
      </c>
      <c r="BA5409" s="3" t="s">
        <v>51736</v>
      </c>
      <c r="BB5409" s="3" t="s">
        <v>51737</v>
      </c>
      <c r="BC5409" s="3" t="s">
        <v>102</v>
      </c>
      <c r="BD5409" s="3" t="s">
        <v>68</v>
      </c>
      <c r="BE5409" s="3" t="s">
        <v>51738</v>
      </c>
      <c r="BF5409" s="3" t="s">
        <v>51737</v>
      </c>
      <c r="BG5409" s="3" t="s">
        <v>51739</v>
      </c>
    </row>
    <row r="5410" spans="1:59" ht="58" x14ac:dyDescent="0.35">
      <c r="A5410" s="2" t="s">
        <v>59</v>
      </c>
      <c r="B5410" s="2" t="s">
        <v>60</v>
      </c>
      <c r="C5410" s="2" t="s">
        <v>51740</v>
      </c>
      <c r="D5410" s="2" t="s">
        <v>51741</v>
      </c>
      <c r="E5410" s="2" t="s">
        <v>51742</v>
      </c>
      <c r="G5410" s="3" t="s">
        <v>62</v>
      </c>
      <c r="I5410" s="3" t="s">
        <v>62</v>
      </c>
      <c r="J5410" s="3" t="s">
        <v>62</v>
      </c>
      <c r="K5410" s="3" t="s">
        <v>63</v>
      </c>
      <c r="M5410" s="2" t="s">
        <v>13634</v>
      </c>
      <c r="N5410" s="3" t="s">
        <v>568</v>
      </c>
      <c r="P5410" s="3" t="s">
        <v>64</v>
      </c>
      <c r="Q5410" s="2" t="s">
        <v>51743</v>
      </c>
      <c r="R5410" s="3" t="s">
        <v>46535</v>
      </c>
      <c r="S5410" s="4">
        <v>2</v>
      </c>
      <c r="T5410" s="4">
        <v>2</v>
      </c>
      <c r="U5410" s="5" t="s">
        <v>18138</v>
      </c>
      <c r="V5410" s="5" t="s">
        <v>18138</v>
      </c>
      <c r="W5410" s="5" t="s">
        <v>67</v>
      </c>
      <c r="X5410" s="5" t="s">
        <v>67</v>
      </c>
      <c r="Y5410" s="4">
        <v>210</v>
      </c>
      <c r="Z5410" s="4">
        <v>15</v>
      </c>
      <c r="AA5410" s="4">
        <v>88</v>
      </c>
      <c r="AB5410" s="4">
        <v>1</v>
      </c>
      <c r="AC5410" s="4">
        <v>17</v>
      </c>
      <c r="AD5410" s="4">
        <v>73</v>
      </c>
      <c r="AE5410" s="4">
        <v>121</v>
      </c>
      <c r="AF5410" s="4">
        <v>0</v>
      </c>
      <c r="AG5410" s="4">
        <v>8</v>
      </c>
      <c r="AH5410" s="4">
        <v>65</v>
      </c>
      <c r="AI5410" s="4">
        <v>86</v>
      </c>
      <c r="AJ5410" s="4">
        <v>9</v>
      </c>
      <c r="AK5410" s="4">
        <v>20</v>
      </c>
      <c r="AL5410" s="4">
        <v>41</v>
      </c>
      <c r="AM5410" s="4">
        <v>47</v>
      </c>
      <c r="AN5410" s="4">
        <v>0</v>
      </c>
      <c r="AO5410" s="4">
        <v>0</v>
      </c>
      <c r="AP5410" s="4">
        <v>12</v>
      </c>
      <c r="AQ5410" s="4">
        <v>41</v>
      </c>
      <c r="AR5410" s="3" t="s">
        <v>62</v>
      </c>
      <c r="AS5410" s="3" t="s">
        <v>62</v>
      </c>
      <c r="AT5410" s="3" t="s">
        <v>62</v>
      </c>
      <c r="AV5410" s="6" t="str">
        <f>HYPERLINK("http://mcgill.on.worldcat.org/oclc/43708599","Catalog Record")</f>
        <v>Catalog Record</v>
      </c>
      <c r="AW5410" s="6" t="str">
        <f>HYPERLINK("http://www.worldcat.org/oclc/43708599","WorldCat Record")</f>
        <v>WorldCat Record</v>
      </c>
      <c r="AX5410" s="3" t="s">
        <v>51744</v>
      </c>
      <c r="AY5410" s="3" t="s">
        <v>51745</v>
      </c>
      <c r="AZ5410" s="3" t="s">
        <v>51746</v>
      </c>
      <c r="BA5410" s="3" t="s">
        <v>51746</v>
      </c>
      <c r="BB5410" s="3" t="s">
        <v>51747</v>
      </c>
      <c r="BC5410" s="3" t="s">
        <v>102</v>
      </c>
      <c r="BD5410" s="3" t="s">
        <v>68</v>
      </c>
      <c r="BE5410" s="3" t="s">
        <v>51748</v>
      </c>
      <c r="BF5410" s="3" t="s">
        <v>51747</v>
      </c>
      <c r="BG5410" s="3" t="s">
        <v>51749</v>
      </c>
    </row>
    <row r="5411" spans="1:59" ht="58" x14ac:dyDescent="0.35">
      <c r="A5411" s="2" t="s">
        <v>89</v>
      </c>
      <c r="B5411" s="2" t="s">
        <v>90</v>
      </c>
      <c r="C5411" s="2" t="s">
        <v>51750</v>
      </c>
      <c r="D5411" s="2" t="s">
        <v>51751</v>
      </c>
      <c r="E5411" s="2" t="s">
        <v>51752</v>
      </c>
      <c r="G5411" s="3" t="s">
        <v>62</v>
      </c>
      <c r="I5411" s="3" t="s">
        <v>62</v>
      </c>
      <c r="J5411" s="3" t="s">
        <v>62</v>
      </c>
      <c r="K5411" s="3" t="s">
        <v>63</v>
      </c>
      <c r="L5411" s="2" t="s">
        <v>51753</v>
      </c>
      <c r="M5411" s="2" t="s">
        <v>51754</v>
      </c>
      <c r="N5411" s="3" t="s">
        <v>424</v>
      </c>
      <c r="O5411" s="2" t="s">
        <v>2163</v>
      </c>
      <c r="P5411" s="3" t="s">
        <v>64</v>
      </c>
      <c r="R5411" s="3" t="s">
        <v>46535</v>
      </c>
      <c r="S5411" s="4">
        <v>10</v>
      </c>
      <c r="T5411" s="4">
        <v>10</v>
      </c>
      <c r="U5411" s="5" t="s">
        <v>15136</v>
      </c>
      <c r="V5411" s="5" t="s">
        <v>15136</v>
      </c>
      <c r="W5411" s="5" t="s">
        <v>67</v>
      </c>
      <c r="X5411" s="5" t="s">
        <v>67</v>
      </c>
      <c r="Y5411" s="4">
        <v>472</v>
      </c>
      <c r="Z5411" s="4">
        <v>24</v>
      </c>
      <c r="AA5411" s="4">
        <v>26</v>
      </c>
      <c r="AB5411" s="4">
        <v>5</v>
      </c>
      <c r="AC5411" s="4">
        <v>7</v>
      </c>
      <c r="AD5411" s="4">
        <v>80</v>
      </c>
      <c r="AE5411" s="4">
        <v>82</v>
      </c>
      <c r="AF5411" s="4">
        <v>2</v>
      </c>
      <c r="AG5411" s="4">
        <v>4</v>
      </c>
      <c r="AH5411" s="4">
        <v>68</v>
      </c>
      <c r="AI5411" s="4">
        <v>68</v>
      </c>
      <c r="AJ5411" s="4">
        <v>10</v>
      </c>
      <c r="AK5411" s="4">
        <v>12</v>
      </c>
      <c r="AL5411" s="4">
        <v>35</v>
      </c>
      <c r="AM5411" s="4">
        <v>35</v>
      </c>
      <c r="AN5411" s="4">
        <v>0</v>
      </c>
      <c r="AO5411" s="4">
        <v>0</v>
      </c>
      <c r="AP5411" s="4">
        <v>17</v>
      </c>
      <c r="AQ5411" s="4">
        <v>19</v>
      </c>
      <c r="AR5411" s="3" t="s">
        <v>62</v>
      </c>
      <c r="AS5411" s="3" t="s">
        <v>62</v>
      </c>
      <c r="AT5411" s="3" t="s">
        <v>61</v>
      </c>
      <c r="AU5411" s="6" t="str">
        <f>HYPERLINK("http://catalog.hathitrust.org/Record/000905061","HathiTrust Record")</f>
        <v>HathiTrust Record</v>
      </c>
      <c r="AV5411" s="6" t="str">
        <f>HYPERLINK("http://mcgill.on.worldcat.org/oclc/16682884","Catalog Record")</f>
        <v>Catalog Record</v>
      </c>
      <c r="AW5411" s="6" t="str">
        <f>HYPERLINK("http://www.worldcat.org/oclc/16682884","WorldCat Record")</f>
        <v>WorldCat Record</v>
      </c>
      <c r="AX5411" s="3" t="s">
        <v>51755</v>
      </c>
      <c r="AY5411" s="3" t="s">
        <v>51756</v>
      </c>
      <c r="AZ5411" s="3" t="s">
        <v>51757</v>
      </c>
      <c r="BA5411" s="3" t="s">
        <v>51757</v>
      </c>
      <c r="BB5411" s="3" t="s">
        <v>51758</v>
      </c>
      <c r="BC5411" s="3" t="s">
        <v>102</v>
      </c>
      <c r="BD5411" s="3" t="s">
        <v>68</v>
      </c>
      <c r="BE5411" s="3" t="s">
        <v>51759</v>
      </c>
      <c r="BF5411" s="3" t="s">
        <v>51758</v>
      </c>
      <c r="BG5411" s="3" t="s">
        <v>51760</v>
      </c>
    </row>
    <row r="5412" spans="1:59" ht="58" x14ac:dyDescent="0.35">
      <c r="A5412" s="2" t="s">
        <v>89</v>
      </c>
      <c r="B5412" s="2" t="s">
        <v>90</v>
      </c>
      <c r="C5412" s="2" t="s">
        <v>51761</v>
      </c>
      <c r="D5412" s="2" t="s">
        <v>51762</v>
      </c>
      <c r="E5412" s="2" t="s">
        <v>51763</v>
      </c>
      <c r="G5412" s="3" t="s">
        <v>62</v>
      </c>
      <c r="I5412" s="3" t="s">
        <v>61</v>
      </c>
      <c r="J5412" s="3" t="s">
        <v>61</v>
      </c>
      <c r="K5412" s="3" t="s">
        <v>63</v>
      </c>
      <c r="L5412" s="2" t="s">
        <v>51764</v>
      </c>
      <c r="M5412" s="2" t="s">
        <v>51765</v>
      </c>
      <c r="N5412" s="3" t="s">
        <v>655</v>
      </c>
      <c r="O5412" s="2" t="s">
        <v>51766</v>
      </c>
      <c r="P5412" s="3" t="s">
        <v>64</v>
      </c>
      <c r="R5412" s="3" t="s">
        <v>46535</v>
      </c>
      <c r="S5412" s="4">
        <v>1</v>
      </c>
      <c r="T5412" s="4">
        <v>12</v>
      </c>
      <c r="U5412" s="5" t="s">
        <v>3427</v>
      </c>
      <c r="V5412" s="5" t="s">
        <v>3427</v>
      </c>
      <c r="W5412" s="5" t="s">
        <v>67</v>
      </c>
      <c r="X5412" s="5" t="s">
        <v>67</v>
      </c>
      <c r="Y5412" s="4">
        <v>228</v>
      </c>
      <c r="Z5412" s="4">
        <v>20</v>
      </c>
      <c r="AA5412" s="4">
        <v>148</v>
      </c>
      <c r="AB5412" s="4">
        <v>2</v>
      </c>
      <c r="AC5412" s="4">
        <v>15</v>
      </c>
      <c r="AD5412" s="4">
        <v>47</v>
      </c>
      <c r="AE5412" s="4">
        <v>161</v>
      </c>
      <c r="AF5412" s="4">
        <v>1</v>
      </c>
      <c r="AG5412" s="4">
        <v>5</v>
      </c>
      <c r="AH5412" s="4">
        <v>41</v>
      </c>
      <c r="AI5412" s="4">
        <v>113</v>
      </c>
      <c r="AJ5412" s="4">
        <v>7</v>
      </c>
      <c r="AK5412" s="4">
        <v>29</v>
      </c>
      <c r="AL5412" s="4">
        <v>25</v>
      </c>
      <c r="AM5412" s="4">
        <v>60</v>
      </c>
      <c r="AN5412" s="4">
        <v>0</v>
      </c>
      <c r="AO5412" s="4">
        <v>0</v>
      </c>
      <c r="AP5412" s="4">
        <v>11</v>
      </c>
      <c r="AQ5412" s="4">
        <v>53</v>
      </c>
      <c r="AR5412" s="3" t="s">
        <v>62</v>
      </c>
      <c r="AS5412" s="3" t="s">
        <v>62</v>
      </c>
      <c r="AT5412" s="3" t="s">
        <v>62</v>
      </c>
      <c r="AV5412" s="6" t="str">
        <f>HYPERLINK("http://mcgill.on.worldcat.org/oclc/74987867","Catalog Record")</f>
        <v>Catalog Record</v>
      </c>
      <c r="AW5412" s="6" t="str">
        <f>HYPERLINK("http://www.worldcat.org/oclc/74987867","WorldCat Record")</f>
        <v>WorldCat Record</v>
      </c>
      <c r="AX5412" s="3" t="s">
        <v>51767</v>
      </c>
      <c r="AY5412" s="3" t="s">
        <v>51768</v>
      </c>
      <c r="AZ5412" s="3" t="s">
        <v>51769</v>
      </c>
      <c r="BA5412" s="3" t="s">
        <v>51769</v>
      </c>
      <c r="BB5412" s="3" t="s">
        <v>51770</v>
      </c>
      <c r="BC5412" s="3" t="s">
        <v>102</v>
      </c>
      <c r="BD5412" s="3" t="s">
        <v>68</v>
      </c>
      <c r="BE5412" s="3" t="s">
        <v>51771</v>
      </c>
      <c r="BF5412" s="3" t="s">
        <v>51770</v>
      </c>
      <c r="BG5412" s="3" t="s">
        <v>51772</v>
      </c>
    </row>
    <row r="5413" spans="1:59" ht="58" x14ac:dyDescent="0.35">
      <c r="A5413" s="2" t="s">
        <v>59</v>
      </c>
      <c r="B5413" s="2" t="s">
        <v>60</v>
      </c>
      <c r="C5413" s="2" t="s">
        <v>51773</v>
      </c>
      <c r="D5413" s="2" t="s">
        <v>51774</v>
      </c>
      <c r="E5413" s="2" t="s">
        <v>51775</v>
      </c>
      <c r="F5413" s="3" t="s">
        <v>1371</v>
      </c>
      <c r="G5413" s="3" t="s">
        <v>61</v>
      </c>
      <c r="I5413" s="3" t="s">
        <v>61</v>
      </c>
      <c r="J5413" s="3" t="s">
        <v>62</v>
      </c>
      <c r="K5413" s="3" t="s">
        <v>63</v>
      </c>
      <c r="L5413" s="2" t="s">
        <v>51776</v>
      </c>
      <c r="M5413" s="2" t="s">
        <v>51777</v>
      </c>
      <c r="N5413" s="3" t="s">
        <v>1576</v>
      </c>
      <c r="P5413" s="3" t="s">
        <v>64</v>
      </c>
      <c r="Q5413" s="2" t="s">
        <v>51778</v>
      </c>
      <c r="R5413" s="3" t="s">
        <v>46535</v>
      </c>
      <c r="S5413" s="4">
        <v>0</v>
      </c>
      <c r="T5413" s="4">
        <v>15</v>
      </c>
      <c r="V5413" s="5" t="s">
        <v>783</v>
      </c>
      <c r="W5413" s="5" t="s">
        <v>67</v>
      </c>
      <c r="X5413" s="5" t="s">
        <v>67</v>
      </c>
      <c r="Y5413" s="4">
        <v>571</v>
      </c>
      <c r="Z5413" s="4">
        <v>30</v>
      </c>
      <c r="AA5413" s="4">
        <v>31</v>
      </c>
      <c r="AB5413" s="4">
        <v>4</v>
      </c>
      <c r="AC5413" s="4">
        <v>4</v>
      </c>
      <c r="AD5413" s="4">
        <v>128</v>
      </c>
      <c r="AE5413" s="4">
        <v>129</v>
      </c>
      <c r="AF5413" s="4">
        <v>2</v>
      </c>
      <c r="AG5413" s="4">
        <v>2</v>
      </c>
      <c r="AH5413" s="4">
        <v>105</v>
      </c>
      <c r="AI5413" s="4">
        <v>105</v>
      </c>
      <c r="AJ5413" s="4">
        <v>16</v>
      </c>
      <c r="AK5413" s="4">
        <v>17</v>
      </c>
      <c r="AL5413" s="4">
        <v>57</v>
      </c>
      <c r="AM5413" s="4">
        <v>57</v>
      </c>
      <c r="AN5413" s="4">
        <v>0</v>
      </c>
      <c r="AO5413" s="4">
        <v>0</v>
      </c>
      <c r="AP5413" s="4">
        <v>27</v>
      </c>
      <c r="AQ5413" s="4">
        <v>28</v>
      </c>
      <c r="AR5413" s="3" t="s">
        <v>62</v>
      </c>
      <c r="AS5413" s="3" t="s">
        <v>62</v>
      </c>
      <c r="AT5413" s="3" t="s">
        <v>61</v>
      </c>
      <c r="AU5413" s="6" t="str">
        <f>HYPERLINK("http://catalog.hathitrust.org/Record/000236281","HathiTrust Record")</f>
        <v>HathiTrust Record</v>
      </c>
      <c r="AV5413" s="6" t="str">
        <f>HYPERLINK("http://mcgill.on.worldcat.org/oclc/561193","Catalog Record")</f>
        <v>Catalog Record</v>
      </c>
      <c r="AW5413" s="6" t="str">
        <f>HYPERLINK("http://www.worldcat.org/oclc/561193","WorldCat Record")</f>
        <v>WorldCat Record</v>
      </c>
      <c r="AX5413" s="3" t="s">
        <v>51779</v>
      </c>
      <c r="AY5413" s="3" t="s">
        <v>51780</v>
      </c>
      <c r="AZ5413" s="3" t="s">
        <v>51781</v>
      </c>
      <c r="BA5413" s="3" t="s">
        <v>51781</v>
      </c>
      <c r="BB5413" s="3" t="s">
        <v>51782</v>
      </c>
      <c r="BC5413" s="3" t="s">
        <v>102</v>
      </c>
      <c r="BD5413" s="3" t="s">
        <v>68</v>
      </c>
      <c r="BF5413" s="3" t="s">
        <v>51782</v>
      </c>
      <c r="BG5413" s="3" t="s">
        <v>51783</v>
      </c>
    </row>
    <row r="5414" spans="1:59" ht="58" x14ac:dyDescent="0.35">
      <c r="A5414" s="2" t="s">
        <v>59</v>
      </c>
      <c r="B5414" s="2" t="s">
        <v>60</v>
      </c>
      <c r="C5414" s="2" t="s">
        <v>51773</v>
      </c>
      <c r="D5414" s="2" t="s">
        <v>51774</v>
      </c>
      <c r="E5414" s="2" t="s">
        <v>51775</v>
      </c>
      <c r="F5414" s="3" t="s">
        <v>1381</v>
      </c>
      <c r="G5414" s="3" t="s">
        <v>61</v>
      </c>
      <c r="I5414" s="3" t="s">
        <v>61</v>
      </c>
      <c r="J5414" s="3" t="s">
        <v>62</v>
      </c>
      <c r="K5414" s="3" t="s">
        <v>63</v>
      </c>
      <c r="L5414" s="2" t="s">
        <v>51776</v>
      </c>
      <c r="M5414" s="2" t="s">
        <v>51777</v>
      </c>
      <c r="N5414" s="3" t="s">
        <v>1576</v>
      </c>
      <c r="P5414" s="3" t="s">
        <v>64</v>
      </c>
      <c r="Q5414" s="2" t="s">
        <v>51778</v>
      </c>
      <c r="R5414" s="3" t="s">
        <v>46535</v>
      </c>
      <c r="S5414" s="4">
        <v>0</v>
      </c>
      <c r="T5414" s="4">
        <v>15</v>
      </c>
      <c r="V5414" s="5" t="s">
        <v>783</v>
      </c>
      <c r="W5414" s="5" t="s">
        <v>67</v>
      </c>
      <c r="X5414" s="5" t="s">
        <v>67</v>
      </c>
      <c r="Y5414" s="4">
        <v>571</v>
      </c>
      <c r="Z5414" s="4">
        <v>30</v>
      </c>
      <c r="AA5414" s="4">
        <v>31</v>
      </c>
      <c r="AB5414" s="4">
        <v>4</v>
      </c>
      <c r="AC5414" s="4">
        <v>4</v>
      </c>
      <c r="AD5414" s="4">
        <v>128</v>
      </c>
      <c r="AE5414" s="4">
        <v>129</v>
      </c>
      <c r="AF5414" s="4">
        <v>2</v>
      </c>
      <c r="AG5414" s="4">
        <v>2</v>
      </c>
      <c r="AH5414" s="4">
        <v>105</v>
      </c>
      <c r="AI5414" s="4">
        <v>105</v>
      </c>
      <c r="AJ5414" s="4">
        <v>16</v>
      </c>
      <c r="AK5414" s="4">
        <v>17</v>
      </c>
      <c r="AL5414" s="4">
        <v>57</v>
      </c>
      <c r="AM5414" s="4">
        <v>57</v>
      </c>
      <c r="AN5414" s="4">
        <v>0</v>
      </c>
      <c r="AO5414" s="4">
        <v>0</v>
      </c>
      <c r="AP5414" s="4">
        <v>27</v>
      </c>
      <c r="AQ5414" s="4">
        <v>28</v>
      </c>
      <c r="AR5414" s="3" t="s">
        <v>62</v>
      </c>
      <c r="AS5414" s="3" t="s">
        <v>62</v>
      </c>
      <c r="AT5414" s="3" t="s">
        <v>61</v>
      </c>
      <c r="AU5414" s="6" t="str">
        <f>HYPERLINK("http://catalog.hathitrust.org/Record/000236281","HathiTrust Record")</f>
        <v>HathiTrust Record</v>
      </c>
      <c r="AV5414" s="6" t="str">
        <f>HYPERLINK("http://mcgill.on.worldcat.org/oclc/561193","Catalog Record")</f>
        <v>Catalog Record</v>
      </c>
      <c r="AW5414" s="6" t="str">
        <f>HYPERLINK("http://www.worldcat.org/oclc/561193","WorldCat Record")</f>
        <v>WorldCat Record</v>
      </c>
      <c r="AX5414" s="3" t="s">
        <v>51779</v>
      </c>
      <c r="AY5414" s="3" t="s">
        <v>51780</v>
      </c>
      <c r="AZ5414" s="3" t="s">
        <v>51781</v>
      </c>
      <c r="BA5414" s="3" t="s">
        <v>51781</v>
      </c>
      <c r="BB5414" s="3" t="s">
        <v>51784</v>
      </c>
      <c r="BC5414" s="3" t="s">
        <v>102</v>
      </c>
      <c r="BD5414" s="3" t="s">
        <v>68</v>
      </c>
      <c r="BF5414" s="3" t="s">
        <v>51784</v>
      </c>
      <c r="BG5414" s="3" t="s">
        <v>51785</v>
      </c>
    </row>
    <row r="5415" spans="1:59" ht="58" x14ac:dyDescent="0.35">
      <c r="A5415" s="2" t="s">
        <v>59</v>
      </c>
      <c r="B5415" s="2" t="s">
        <v>60</v>
      </c>
      <c r="C5415" s="2" t="s">
        <v>51786</v>
      </c>
      <c r="D5415" s="2" t="s">
        <v>51787</v>
      </c>
      <c r="E5415" s="2" t="s">
        <v>51788</v>
      </c>
      <c r="G5415" s="3" t="s">
        <v>62</v>
      </c>
      <c r="I5415" s="3" t="s">
        <v>61</v>
      </c>
      <c r="J5415" s="3" t="s">
        <v>61</v>
      </c>
      <c r="K5415" s="3" t="s">
        <v>63</v>
      </c>
      <c r="L5415" s="2" t="s">
        <v>51789</v>
      </c>
      <c r="M5415" s="2" t="s">
        <v>51790</v>
      </c>
      <c r="N5415" s="3" t="s">
        <v>954</v>
      </c>
      <c r="P5415" s="3" t="s">
        <v>64</v>
      </c>
      <c r="R5415" s="3" t="s">
        <v>46535</v>
      </c>
      <c r="S5415" s="4">
        <v>5</v>
      </c>
      <c r="T5415" s="4">
        <v>5</v>
      </c>
      <c r="U5415" s="5" t="s">
        <v>51791</v>
      </c>
      <c r="V5415" s="5" t="s">
        <v>51791</v>
      </c>
      <c r="W5415" s="5" t="s">
        <v>67</v>
      </c>
      <c r="X5415" s="5" t="s">
        <v>67</v>
      </c>
      <c r="Y5415" s="4">
        <v>373</v>
      </c>
      <c r="Z5415" s="4">
        <v>19</v>
      </c>
      <c r="AA5415" s="4">
        <v>30</v>
      </c>
      <c r="AB5415" s="4">
        <v>1</v>
      </c>
      <c r="AC5415" s="4">
        <v>5</v>
      </c>
      <c r="AD5415" s="4">
        <v>86</v>
      </c>
      <c r="AE5415" s="4">
        <v>111</v>
      </c>
      <c r="AF5415" s="4">
        <v>0</v>
      </c>
      <c r="AG5415" s="4">
        <v>4</v>
      </c>
      <c r="AH5415" s="4">
        <v>72</v>
      </c>
      <c r="AI5415" s="4">
        <v>91</v>
      </c>
      <c r="AJ5415" s="4">
        <v>12</v>
      </c>
      <c r="AK5415" s="4">
        <v>21</v>
      </c>
      <c r="AL5415" s="4">
        <v>42</v>
      </c>
      <c r="AM5415" s="4">
        <v>55</v>
      </c>
      <c r="AN5415" s="4">
        <v>0</v>
      </c>
      <c r="AO5415" s="4">
        <v>0</v>
      </c>
      <c r="AP5415" s="4">
        <v>16</v>
      </c>
      <c r="AQ5415" s="4">
        <v>25</v>
      </c>
      <c r="AR5415" s="3" t="s">
        <v>62</v>
      </c>
      <c r="AS5415" s="3" t="s">
        <v>62</v>
      </c>
      <c r="AT5415" s="3" t="s">
        <v>61</v>
      </c>
      <c r="AU5415" s="6" t="str">
        <f>HYPERLINK("http://catalog.hathitrust.org/Record/001555519","HathiTrust Record")</f>
        <v>HathiTrust Record</v>
      </c>
      <c r="AV5415" s="6" t="str">
        <f>HYPERLINK("http://mcgill.on.worldcat.org/oclc/408502","Catalog Record")</f>
        <v>Catalog Record</v>
      </c>
      <c r="AW5415" s="6" t="str">
        <f>HYPERLINK("http://www.worldcat.org/oclc/408502","WorldCat Record")</f>
        <v>WorldCat Record</v>
      </c>
      <c r="AX5415" s="3" t="s">
        <v>51792</v>
      </c>
      <c r="AY5415" s="3" t="s">
        <v>51793</v>
      </c>
      <c r="AZ5415" s="3" t="s">
        <v>51794</v>
      </c>
      <c r="BA5415" s="3" t="s">
        <v>51794</v>
      </c>
      <c r="BB5415" s="3" t="s">
        <v>51795</v>
      </c>
      <c r="BC5415" s="3" t="s">
        <v>102</v>
      </c>
      <c r="BD5415" s="3" t="s">
        <v>68</v>
      </c>
      <c r="BE5415" s="3" t="s">
        <v>51796</v>
      </c>
      <c r="BF5415" s="3" t="s">
        <v>51795</v>
      </c>
      <c r="BG5415" s="3" t="s">
        <v>51797</v>
      </c>
    </row>
    <row r="5416" spans="1:59" ht="58" x14ac:dyDescent="0.35">
      <c r="A5416" s="2" t="s">
        <v>59</v>
      </c>
      <c r="B5416" s="2" t="s">
        <v>60</v>
      </c>
      <c r="C5416" s="2" t="s">
        <v>51786</v>
      </c>
      <c r="D5416" s="2" t="s">
        <v>51787</v>
      </c>
      <c r="E5416" s="2" t="s">
        <v>51788</v>
      </c>
      <c r="G5416" s="3" t="s">
        <v>62</v>
      </c>
      <c r="I5416" s="3" t="s">
        <v>61</v>
      </c>
      <c r="J5416" s="3" t="s">
        <v>61</v>
      </c>
      <c r="K5416" s="3" t="s">
        <v>63</v>
      </c>
      <c r="L5416" s="2" t="s">
        <v>51789</v>
      </c>
      <c r="M5416" s="2" t="s">
        <v>51790</v>
      </c>
      <c r="N5416" s="3" t="s">
        <v>954</v>
      </c>
      <c r="P5416" s="3" t="s">
        <v>64</v>
      </c>
      <c r="R5416" s="3" t="s">
        <v>46535</v>
      </c>
      <c r="S5416" s="4">
        <v>0</v>
      </c>
      <c r="T5416" s="4">
        <v>5</v>
      </c>
      <c r="V5416" s="5" t="s">
        <v>51791</v>
      </c>
      <c r="W5416" s="5" t="s">
        <v>67</v>
      </c>
      <c r="X5416" s="5" t="s">
        <v>67</v>
      </c>
      <c r="Y5416" s="4">
        <v>373</v>
      </c>
      <c r="Z5416" s="4">
        <v>19</v>
      </c>
      <c r="AA5416" s="4">
        <v>30</v>
      </c>
      <c r="AB5416" s="4">
        <v>1</v>
      </c>
      <c r="AC5416" s="4">
        <v>5</v>
      </c>
      <c r="AD5416" s="4">
        <v>86</v>
      </c>
      <c r="AE5416" s="4">
        <v>111</v>
      </c>
      <c r="AF5416" s="4">
        <v>0</v>
      </c>
      <c r="AG5416" s="4">
        <v>4</v>
      </c>
      <c r="AH5416" s="4">
        <v>72</v>
      </c>
      <c r="AI5416" s="4">
        <v>91</v>
      </c>
      <c r="AJ5416" s="4">
        <v>12</v>
      </c>
      <c r="AK5416" s="4">
        <v>21</v>
      </c>
      <c r="AL5416" s="4">
        <v>42</v>
      </c>
      <c r="AM5416" s="4">
        <v>55</v>
      </c>
      <c r="AN5416" s="4">
        <v>0</v>
      </c>
      <c r="AO5416" s="4">
        <v>0</v>
      </c>
      <c r="AP5416" s="4">
        <v>16</v>
      </c>
      <c r="AQ5416" s="4">
        <v>25</v>
      </c>
      <c r="AR5416" s="3" t="s">
        <v>62</v>
      </c>
      <c r="AS5416" s="3" t="s">
        <v>62</v>
      </c>
      <c r="AT5416" s="3" t="s">
        <v>61</v>
      </c>
      <c r="AU5416" s="6" t="str">
        <f>HYPERLINK("http://catalog.hathitrust.org/Record/001555519","HathiTrust Record")</f>
        <v>HathiTrust Record</v>
      </c>
      <c r="AV5416" s="6" t="str">
        <f>HYPERLINK("http://mcgill.on.worldcat.org/oclc/408502","Catalog Record")</f>
        <v>Catalog Record</v>
      </c>
      <c r="AW5416" s="6" t="str">
        <f>HYPERLINK("http://www.worldcat.org/oclc/408502","WorldCat Record")</f>
        <v>WorldCat Record</v>
      </c>
      <c r="AX5416" s="3" t="s">
        <v>51792</v>
      </c>
      <c r="AY5416" s="3" t="s">
        <v>51793</v>
      </c>
      <c r="AZ5416" s="3" t="s">
        <v>51794</v>
      </c>
      <c r="BA5416" s="3" t="s">
        <v>51794</v>
      </c>
      <c r="BB5416" s="3" t="s">
        <v>51798</v>
      </c>
      <c r="BC5416" s="3" t="s">
        <v>102</v>
      </c>
      <c r="BD5416" s="3" t="s">
        <v>68</v>
      </c>
      <c r="BE5416" s="3" t="s">
        <v>51796</v>
      </c>
      <c r="BF5416" s="3" t="s">
        <v>51798</v>
      </c>
      <c r="BG5416" s="3" t="s">
        <v>51799</v>
      </c>
    </row>
    <row r="5417" spans="1:59" ht="58" x14ac:dyDescent="0.35">
      <c r="A5417" s="2" t="s">
        <v>59</v>
      </c>
      <c r="B5417" s="2" t="s">
        <v>60</v>
      </c>
      <c r="C5417" s="2" t="s">
        <v>51800</v>
      </c>
      <c r="D5417" s="2" t="s">
        <v>51801</v>
      </c>
      <c r="E5417" s="2" t="s">
        <v>51788</v>
      </c>
      <c r="G5417" s="3" t="s">
        <v>62</v>
      </c>
      <c r="I5417" s="3" t="s">
        <v>62</v>
      </c>
      <c r="J5417" s="3" t="s">
        <v>61</v>
      </c>
      <c r="K5417" s="3" t="s">
        <v>63</v>
      </c>
      <c r="L5417" s="2" t="s">
        <v>51789</v>
      </c>
      <c r="M5417" s="2" t="s">
        <v>51802</v>
      </c>
      <c r="N5417" s="3" t="s">
        <v>157</v>
      </c>
      <c r="O5417" s="2" t="s">
        <v>2986</v>
      </c>
      <c r="P5417" s="3" t="s">
        <v>64</v>
      </c>
      <c r="R5417" s="3" t="s">
        <v>46535</v>
      </c>
      <c r="S5417" s="4">
        <v>7</v>
      </c>
      <c r="T5417" s="4">
        <v>7</v>
      </c>
      <c r="U5417" s="5" t="s">
        <v>51791</v>
      </c>
      <c r="V5417" s="5" t="s">
        <v>51791</v>
      </c>
      <c r="W5417" s="5" t="s">
        <v>67</v>
      </c>
      <c r="X5417" s="5" t="s">
        <v>67</v>
      </c>
      <c r="Y5417" s="4">
        <v>133</v>
      </c>
      <c r="Z5417" s="4">
        <v>4</v>
      </c>
      <c r="AA5417" s="4">
        <v>30</v>
      </c>
      <c r="AB5417" s="4">
        <v>1</v>
      </c>
      <c r="AC5417" s="4">
        <v>5</v>
      </c>
      <c r="AD5417" s="4">
        <v>40</v>
      </c>
      <c r="AE5417" s="4">
        <v>111</v>
      </c>
      <c r="AF5417" s="4">
        <v>0</v>
      </c>
      <c r="AG5417" s="4">
        <v>4</v>
      </c>
      <c r="AH5417" s="4">
        <v>35</v>
      </c>
      <c r="AI5417" s="4">
        <v>91</v>
      </c>
      <c r="AJ5417" s="4">
        <v>3</v>
      </c>
      <c r="AK5417" s="4">
        <v>21</v>
      </c>
      <c r="AL5417" s="4">
        <v>28</v>
      </c>
      <c r="AM5417" s="4">
        <v>55</v>
      </c>
      <c r="AN5417" s="4">
        <v>0</v>
      </c>
      <c r="AO5417" s="4">
        <v>0</v>
      </c>
      <c r="AP5417" s="4">
        <v>3</v>
      </c>
      <c r="AQ5417" s="4">
        <v>25</v>
      </c>
      <c r="AR5417" s="3" t="s">
        <v>62</v>
      </c>
      <c r="AS5417" s="3" t="s">
        <v>62</v>
      </c>
      <c r="AT5417" s="3" t="s">
        <v>61</v>
      </c>
      <c r="AU5417" s="6" t="str">
        <f>HYPERLINK("http://catalog.hathitrust.org/Record/000015942","HathiTrust Record")</f>
        <v>HathiTrust Record</v>
      </c>
      <c r="AV5417" s="6" t="str">
        <f>HYPERLINK("http://mcgill.on.worldcat.org/oclc/981400","Catalog Record")</f>
        <v>Catalog Record</v>
      </c>
      <c r="AW5417" s="6" t="str">
        <f>HYPERLINK("http://www.worldcat.org/oclc/981400","WorldCat Record")</f>
        <v>WorldCat Record</v>
      </c>
      <c r="AX5417" s="3" t="s">
        <v>51792</v>
      </c>
      <c r="AY5417" s="3" t="s">
        <v>51803</v>
      </c>
      <c r="AZ5417" s="3" t="s">
        <v>51804</v>
      </c>
      <c r="BA5417" s="3" t="s">
        <v>51804</v>
      </c>
      <c r="BB5417" s="3" t="s">
        <v>51805</v>
      </c>
      <c r="BC5417" s="3" t="s">
        <v>102</v>
      </c>
      <c r="BD5417" s="3" t="s">
        <v>68</v>
      </c>
      <c r="BE5417" s="3" t="s">
        <v>51806</v>
      </c>
      <c r="BF5417" s="3" t="s">
        <v>51805</v>
      </c>
      <c r="BG5417" s="3" t="s">
        <v>51807</v>
      </c>
    </row>
    <row r="5418" spans="1:59" ht="58" x14ac:dyDescent="0.35">
      <c r="A5418" s="2" t="s">
        <v>89</v>
      </c>
      <c r="B5418" s="2" t="s">
        <v>90</v>
      </c>
      <c r="C5418" s="2" t="s">
        <v>51808</v>
      </c>
      <c r="D5418" s="2" t="s">
        <v>51809</v>
      </c>
      <c r="E5418" s="2" t="s">
        <v>51810</v>
      </c>
      <c r="G5418" s="3" t="s">
        <v>62</v>
      </c>
      <c r="I5418" s="3" t="s">
        <v>62</v>
      </c>
      <c r="J5418" s="3" t="s">
        <v>62</v>
      </c>
      <c r="K5418" s="3" t="s">
        <v>63</v>
      </c>
      <c r="L5418" s="2" t="s">
        <v>37471</v>
      </c>
      <c r="M5418" s="2" t="s">
        <v>51811</v>
      </c>
      <c r="N5418" s="3" t="s">
        <v>1195</v>
      </c>
      <c r="P5418" s="3" t="s">
        <v>64</v>
      </c>
      <c r="Q5418" s="2" t="s">
        <v>51812</v>
      </c>
      <c r="R5418" s="3" t="s">
        <v>46535</v>
      </c>
      <c r="S5418" s="4">
        <v>1</v>
      </c>
      <c r="T5418" s="4">
        <v>1</v>
      </c>
      <c r="U5418" s="5" t="s">
        <v>12923</v>
      </c>
      <c r="V5418" s="5" t="s">
        <v>12923</v>
      </c>
      <c r="W5418" s="5" t="s">
        <v>67</v>
      </c>
      <c r="X5418" s="5" t="s">
        <v>67</v>
      </c>
      <c r="Y5418" s="4">
        <v>127</v>
      </c>
      <c r="Z5418" s="4">
        <v>7</v>
      </c>
      <c r="AA5418" s="4">
        <v>99</v>
      </c>
      <c r="AB5418" s="4">
        <v>1</v>
      </c>
      <c r="AC5418" s="4">
        <v>17</v>
      </c>
      <c r="AD5418" s="4">
        <v>63</v>
      </c>
      <c r="AE5418" s="4">
        <v>129</v>
      </c>
      <c r="AF5418" s="4">
        <v>0</v>
      </c>
      <c r="AG5418" s="4">
        <v>8</v>
      </c>
      <c r="AH5418" s="4">
        <v>61</v>
      </c>
      <c r="AI5418" s="4">
        <v>93</v>
      </c>
      <c r="AJ5418" s="4">
        <v>4</v>
      </c>
      <c r="AK5418" s="4">
        <v>19</v>
      </c>
      <c r="AL5418" s="4">
        <v>38</v>
      </c>
      <c r="AM5418" s="4">
        <v>50</v>
      </c>
      <c r="AN5418" s="4">
        <v>0</v>
      </c>
      <c r="AO5418" s="4">
        <v>0</v>
      </c>
      <c r="AP5418" s="4">
        <v>4</v>
      </c>
      <c r="AQ5418" s="4">
        <v>41</v>
      </c>
      <c r="AR5418" s="3" t="s">
        <v>62</v>
      </c>
      <c r="AS5418" s="3" t="s">
        <v>62</v>
      </c>
      <c r="AT5418" s="3" t="s">
        <v>61</v>
      </c>
      <c r="AU5418" s="6" t="str">
        <f>HYPERLINK("http://catalog.hathitrust.org/Record/005397075","HathiTrust Record")</f>
        <v>HathiTrust Record</v>
      </c>
      <c r="AV5418" s="6" t="str">
        <f>HYPERLINK("http://mcgill.on.worldcat.org/oclc/76904126","Catalog Record")</f>
        <v>Catalog Record</v>
      </c>
      <c r="AW5418" s="6" t="str">
        <f>HYPERLINK("http://www.worldcat.org/oclc/76904126","WorldCat Record")</f>
        <v>WorldCat Record</v>
      </c>
      <c r="AX5418" s="3" t="s">
        <v>51813</v>
      </c>
      <c r="AY5418" s="3" t="s">
        <v>51814</v>
      </c>
      <c r="AZ5418" s="3" t="s">
        <v>51815</v>
      </c>
      <c r="BA5418" s="3" t="s">
        <v>51815</v>
      </c>
      <c r="BB5418" s="3" t="s">
        <v>51816</v>
      </c>
      <c r="BC5418" s="3" t="s">
        <v>102</v>
      </c>
      <c r="BD5418" s="3" t="s">
        <v>68</v>
      </c>
      <c r="BE5418" s="3" t="s">
        <v>51817</v>
      </c>
      <c r="BF5418" s="3" t="s">
        <v>51816</v>
      </c>
      <c r="BG5418" s="3" t="s">
        <v>51818</v>
      </c>
    </row>
    <row r="5419" spans="1:59" ht="58" x14ac:dyDescent="0.35">
      <c r="A5419" s="2" t="s">
        <v>59</v>
      </c>
      <c r="B5419" s="2" t="s">
        <v>60</v>
      </c>
      <c r="C5419" s="2" t="s">
        <v>51819</v>
      </c>
      <c r="D5419" s="2" t="s">
        <v>51820</v>
      </c>
      <c r="E5419" s="2" t="s">
        <v>51821</v>
      </c>
      <c r="G5419" s="3" t="s">
        <v>62</v>
      </c>
      <c r="I5419" s="3" t="s">
        <v>62</v>
      </c>
      <c r="J5419" s="3" t="s">
        <v>62</v>
      </c>
      <c r="K5419" s="3" t="s">
        <v>63</v>
      </c>
      <c r="L5419" s="2" t="s">
        <v>51822</v>
      </c>
      <c r="M5419" s="2" t="s">
        <v>51823</v>
      </c>
      <c r="N5419" s="3" t="s">
        <v>1071</v>
      </c>
      <c r="P5419" s="3" t="s">
        <v>64</v>
      </c>
      <c r="Q5419" s="2" t="s">
        <v>51824</v>
      </c>
      <c r="R5419" s="3" t="s">
        <v>46535</v>
      </c>
      <c r="S5419" s="4">
        <v>3</v>
      </c>
      <c r="T5419" s="4">
        <v>3</v>
      </c>
      <c r="U5419" s="5" t="s">
        <v>4688</v>
      </c>
      <c r="V5419" s="5" t="s">
        <v>4688</v>
      </c>
      <c r="W5419" s="5" t="s">
        <v>67</v>
      </c>
      <c r="X5419" s="5" t="s">
        <v>67</v>
      </c>
      <c r="Y5419" s="4">
        <v>167</v>
      </c>
      <c r="Z5419" s="4">
        <v>8</v>
      </c>
      <c r="AA5419" s="4">
        <v>22</v>
      </c>
      <c r="AB5419" s="4">
        <v>1</v>
      </c>
      <c r="AC5419" s="4">
        <v>1</v>
      </c>
      <c r="AD5419" s="4">
        <v>56</v>
      </c>
      <c r="AE5419" s="4">
        <v>64</v>
      </c>
      <c r="AF5419" s="4">
        <v>0</v>
      </c>
      <c r="AG5419" s="4">
        <v>0</v>
      </c>
      <c r="AH5419" s="4">
        <v>53</v>
      </c>
      <c r="AI5419" s="4">
        <v>56</v>
      </c>
      <c r="AJ5419" s="4">
        <v>5</v>
      </c>
      <c r="AK5419" s="4">
        <v>9</v>
      </c>
      <c r="AL5419" s="4">
        <v>36</v>
      </c>
      <c r="AM5419" s="4">
        <v>36</v>
      </c>
      <c r="AN5419" s="4">
        <v>0</v>
      </c>
      <c r="AO5419" s="4">
        <v>0</v>
      </c>
      <c r="AP5419" s="4">
        <v>5</v>
      </c>
      <c r="AQ5419" s="4">
        <v>12</v>
      </c>
      <c r="AR5419" s="3" t="s">
        <v>62</v>
      </c>
      <c r="AS5419" s="3" t="s">
        <v>62</v>
      </c>
      <c r="AT5419" s="3" t="s">
        <v>62</v>
      </c>
      <c r="AV5419" s="6" t="str">
        <f>HYPERLINK("http://mcgill.on.worldcat.org/oclc/14796920","Catalog Record")</f>
        <v>Catalog Record</v>
      </c>
      <c r="AW5419" s="6" t="str">
        <f>HYPERLINK("http://www.worldcat.org/oclc/14796920","WorldCat Record")</f>
        <v>WorldCat Record</v>
      </c>
      <c r="AX5419" s="3" t="s">
        <v>51825</v>
      </c>
      <c r="AY5419" s="3" t="s">
        <v>51826</v>
      </c>
      <c r="AZ5419" s="3" t="s">
        <v>51827</v>
      </c>
      <c r="BA5419" s="3" t="s">
        <v>51827</v>
      </c>
      <c r="BB5419" s="3" t="s">
        <v>51828</v>
      </c>
      <c r="BC5419" s="3" t="s">
        <v>102</v>
      </c>
      <c r="BD5419" s="3" t="s">
        <v>68</v>
      </c>
      <c r="BF5419" s="3" t="s">
        <v>51828</v>
      </c>
      <c r="BG5419" s="3" t="s">
        <v>51829</v>
      </c>
    </row>
    <row r="5420" spans="1:59" ht="58" x14ac:dyDescent="0.35">
      <c r="A5420" s="2" t="s">
        <v>89</v>
      </c>
      <c r="B5420" s="2" t="s">
        <v>90</v>
      </c>
      <c r="C5420" s="2" t="s">
        <v>51830</v>
      </c>
      <c r="D5420" s="2" t="s">
        <v>51831</v>
      </c>
      <c r="E5420" s="2" t="s">
        <v>51832</v>
      </c>
      <c r="G5420" s="3" t="s">
        <v>62</v>
      </c>
      <c r="I5420" s="3" t="s">
        <v>62</v>
      </c>
      <c r="J5420" s="3" t="s">
        <v>61</v>
      </c>
      <c r="K5420" s="3" t="s">
        <v>63</v>
      </c>
      <c r="L5420" s="2" t="s">
        <v>51833</v>
      </c>
      <c r="M5420" s="2" t="s">
        <v>51834</v>
      </c>
      <c r="N5420" s="3" t="s">
        <v>6323</v>
      </c>
      <c r="P5420" s="3" t="s">
        <v>64</v>
      </c>
      <c r="R5420" s="3" t="s">
        <v>51835</v>
      </c>
      <c r="S5420" s="4">
        <v>7</v>
      </c>
      <c r="T5420" s="4">
        <v>7</v>
      </c>
      <c r="U5420" s="5" t="s">
        <v>17903</v>
      </c>
      <c r="V5420" s="5" t="s">
        <v>17903</v>
      </c>
      <c r="W5420" s="5" t="s">
        <v>67</v>
      </c>
      <c r="X5420" s="5" t="s">
        <v>67</v>
      </c>
      <c r="Y5420" s="4">
        <v>65</v>
      </c>
      <c r="Z5420" s="4">
        <v>2</v>
      </c>
      <c r="AA5420" s="4">
        <v>70</v>
      </c>
      <c r="AB5420" s="4">
        <v>1</v>
      </c>
      <c r="AC5420" s="4">
        <v>6</v>
      </c>
      <c r="AD5420" s="4">
        <v>12</v>
      </c>
      <c r="AE5420" s="4">
        <v>151</v>
      </c>
      <c r="AF5420" s="4">
        <v>0</v>
      </c>
      <c r="AG5420" s="4">
        <v>1</v>
      </c>
      <c r="AH5420" s="4">
        <v>12</v>
      </c>
      <c r="AI5420" s="4">
        <v>117</v>
      </c>
      <c r="AJ5420" s="4">
        <v>1</v>
      </c>
      <c r="AK5420" s="4">
        <v>23</v>
      </c>
      <c r="AL5420" s="4">
        <v>6</v>
      </c>
      <c r="AM5420" s="4">
        <v>62</v>
      </c>
      <c r="AN5420" s="4">
        <v>0</v>
      </c>
      <c r="AO5420" s="4">
        <v>1</v>
      </c>
      <c r="AP5420" s="4">
        <v>1</v>
      </c>
      <c r="AQ5420" s="4">
        <v>38</v>
      </c>
      <c r="AR5420" s="3" t="s">
        <v>62</v>
      </c>
      <c r="AS5420" s="3" t="s">
        <v>62</v>
      </c>
      <c r="AT5420" s="3" t="s">
        <v>61</v>
      </c>
      <c r="AU5420" s="6" t="str">
        <f>HYPERLINK("http://catalog.hathitrust.org/Record/001556038","HathiTrust Record")</f>
        <v>HathiTrust Record</v>
      </c>
      <c r="AV5420" s="6" t="str">
        <f>HYPERLINK("http://mcgill.on.worldcat.org/oclc/3026831","Catalog Record")</f>
        <v>Catalog Record</v>
      </c>
      <c r="AW5420" s="6" t="str">
        <f>HYPERLINK("http://www.worldcat.org/oclc/3026831","WorldCat Record")</f>
        <v>WorldCat Record</v>
      </c>
      <c r="AX5420" s="3" t="s">
        <v>51836</v>
      </c>
      <c r="AY5420" s="3" t="s">
        <v>51837</v>
      </c>
      <c r="AZ5420" s="3" t="s">
        <v>51838</v>
      </c>
      <c r="BA5420" s="3" t="s">
        <v>51838</v>
      </c>
      <c r="BB5420" s="3" t="s">
        <v>51839</v>
      </c>
      <c r="BC5420" s="3" t="s">
        <v>102</v>
      </c>
      <c r="BD5420" s="3" t="s">
        <v>231</v>
      </c>
      <c r="BF5420" s="3" t="s">
        <v>51839</v>
      </c>
      <c r="BG5420" s="3" t="s">
        <v>51840</v>
      </c>
    </row>
    <row r="5421" spans="1:59" ht="174" x14ac:dyDescent="0.35">
      <c r="A5421" s="2" t="s">
        <v>89</v>
      </c>
      <c r="B5421" s="2" t="s">
        <v>18023</v>
      </c>
      <c r="C5421" s="2" t="s">
        <v>51841</v>
      </c>
      <c r="D5421" s="2" t="s">
        <v>51842</v>
      </c>
      <c r="E5421" s="2" t="s">
        <v>51843</v>
      </c>
      <c r="G5421" s="3" t="s">
        <v>62</v>
      </c>
      <c r="H5421" s="3" t="s">
        <v>916</v>
      </c>
      <c r="I5421" s="3" t="s">
        <v>62</v>
      </c>
      <c r="J5421" s="3" t="s">
        <v>61</v>
      </c>
      <c r="K5421" s="3" t="s">
        <v>63</v>
      </c>
      <c r="L5421" s="2" t="s">
        <v>51844</v>
      </c>
      <c r="M5421" s="2" t="s">
        <v>51845</v>
      </c>
      <c r="N5421" s="3" t="s">
        <v>2085</v>
      </c>
      <c r="O5421" s="2" t="s">
        <v>51846</v>
      </c>
      <c r="P5421" s="3" t="s">
        <v>64</v>
      </c>
      <c r="R5421" s="3" t="s">
        <v>51835</v>
      </c>
      <c r="S5421" s="4">
        <v>0</v>
      </c>
      <c r="T5421" s="4">
        <v>0</v>
      </c>
      <c r="W5421" s="5" t="s">
        <v>15964</v>
      </c>
      <c r="X5421" s="5" t="s">
        <v>15964</v>
      </c>
      <c r="Y5421" s="4">
        <v>3</v>
      </c>
      <c r="Z5421" s="4">
        <v>1</v>
      </c>
      <c r="AA5421" s="4">
        <v>63</v>
      </c>
      <c r="AB5421" s="4">
        <v>1</v>
      </c>
      <c r="AC5421" s="4">
        <v>13</v>
      </c>
      <c r="AD5421" s="4">
        <v>0</v>
      </c>
      <c r="AE5421" s="4">
        <v>82</v>
      </c>
      <c r="AF5421" s="4">
        <v>0</v>
      </c>
      <c r="AG5421" s="4">
        <v>7</v>
      </c>
      <c r="AH5421" s="4">
        <v>0</v>
      </c>
      <c r="AI5421" s="4">
        <v>62</v>
      </c>
      <c r="AJ5421" s="4">
        <v>0</v>
      </c>
      <c r="AK5421" s="4">
        <v>17</v>
      </c>
      <c r="AL5421" s="4">
        <v>0</v>
      </c>
      <c r="AM5421" s="4">
        <v>31</v>
      </c>
      <c r="AN5421" s="4">
        <v>0</v>
      </c>
      <c r="AO5421" s="4">
        <v>0</v>
      </c>
      <c r="AP5421" s="4">
        <v>0</v>
      </c>
      <c r="AQ5421" s="4">
        <v>27</v>
      </c>
      <c r="AR5421" s="3" t="s">
        <v>62</v>
      </c>
      <c r="AS5421" s="3" t="s">
        <v>62</v>
      </c>
      <c r="AT5421" s="3" t="s">
        <v>62</v>
      </c>
      <c r="AV5421" s="6" t="str">
        <f>HYPERLINK("http://mcgill.on.worldcat.org/oclc/1111580121","Catalog Record")</f>
        <v>Catalog Record</v>
      </c>
      <c r="AW5421" s="6" t="str">
        <f>HYPERLINK("http://www.worldcat.org/oclc/1111580121","WorldCat Record")</f>
        <v>WorldCat Record</v>
      </c>
      <c r="AX5421" s="3" t="s">
        <v>51847</v>
      </c>
      <c r="AY5421" s="3" t="s">
        <v>51848</v>
      </c>
      <c r="AZ5421" s="3" t="s">
        <v>51849</v>
      </c>
      <c r="BA5421" s="3" t="s">
        <v>51849</v>
      </c>
      <c r="BB5421" s="3" t="s">
        <v>51850</v>
      </c>
      <c r="BC5421" s="3" t="s">
        <v>102</v>
      </c>
      <c r="BD5421" s="3" t="s">
        <v>68</v>
      </c>
      <c r="BE5421" s="3" t="s">
        <v>51851</v>
      </c>
      <c r="BF5421" s="3" t="s">
        <v>51850</v>
      </c>
      <c r="BG5421" s="3" t="s">
        <v>51852</v>
      </c>
    </row>
    <row r="5422" spans="1:59" ht="101.5" x14ac:dyDescent="0.35">
      <c r="A5422" s="2" t="s">
        <v>89</v>
      </c>
      <c r="B5422" s="2" t="s">
        <v>12301</v>
      </c>
      <c r="C5422" s="2" t="s">
        <v>51853</v>
      </c>
      <c r="D5422" s="2" t="s">
        <v>51854</v>
      </c>
      <c r="E5422" s="2" t="s">
        <v>51855</v>
      </c>
      <c r="G5422" s="3" t="s">
        <v>62</v>
      </c>
      <c r="I5422" s="3" t="s">
        <v>61</v>
      </c>
      <c r="J5422" s="3" t="s">
        <v>61</v>
      </c>
      <c r="K5422" s="3" t="s">
        <v>63</v>
      </c>
      <c r="L5422" s="2" t="s">
        <v>51856</v>
      </c>
      <c r="M5422" s="2" t="s">
        <v>17076</v>
      </c>
      <c r="N5422" s="3" t="s">
        <v>1455</v>
      </c>
      <c r="O5422" s="2" t="s">
        <v>51857</v>
      </c>
      <c r="P5422" s="3" t="s">
        <v>64</v>
      </c>
      <c r="R5422" s="3" t="s">
        <v>51835</v>
      </c>
      <c r="S5422" s="4">
        <v>18</v>
      </c>
      <c r="T5422" s="4">
        <v>88</v>
      </c>
      <c r="U5422" s="5" t="s">
        <v>21992</v>
      </c>
      <c r="V5422" s="5" t="s">
        <v>21992</v>
      </c>
      <c r="W5422" s="5" t="s">
        <v>67</v>
      </c>
      <c r="X5422" s="5" t="s">
        <v>67</v>
      </c>
      <c r="Y5422" s="4">
        <v>195</v>
      </c>
      <c r="Z5422" s="4">
        <v>24</v>
      </c>
      <c r="AA5422" s="4">
        <v>88</v>
      </c>
      <c r="AB5422" s="4">
        <v>4</v>
      </c>
      <c r="AC5422" s="4">
        <v>14</v>
      </c>
      <c r="AD5422" s="4">
        <v>64</v>
      </c>
      <c r="AE5422" s="4">
        <v>146</v>
      </c>
      <c r="AF5422" s="4">
        <v>2</v>
      </c>
      <c r="AG5422" s="4">
        <v>7</v>
      </c>
      <c r="AH5422" s="4">
        <v>53</v>
      </c>
      <c r="AI5422" s="4">
        <v>109</v>
      </c>
      <c r="AJ5422" s="4">
        <v>8</v>
      </c>
      <c r="AK5422" s="4">
        <v>27</v>
      </c>
      <c r="AL5422" s="4">
        <v>36</v>
      </c>
      <c r="AM5422" s="4">
        <v>60</v>
      </c>
      <c r="AN5422" s="4">
        <v>0</v>
      </c>
      <c r="AO5422" s="4">
        <v>0</v>
      </c>
      <c r="AP5422" s="4">
        <v>14</v>
      </c>
      <c r="AQ5422" s="4">
        <v>43</v>
      </c>
      <c r="AR5422" s="3" t="s">
        <v>62</v>
      </c>
      <c r="AS5422" s="3" t="s">
        <v>62</v>
      </c>
      <c r="AT5422" s="3" t="s">
        <v>62</v>
      </c>
      <c r="AV5422" s="6" t="str">
        <f>HYPERLINK("http://mcgill.on.worldcat.org/oclc/857863493","Catalog Record")</f>
        <v>Catalog Record</v>
      </c>
      <c r="AW5422" s="6" t="str">
        <f>HYPERLINK("http://www.worldcat.org/oclc/857863493","WorldCat Record")</f>
        <v>WorldCat Record</v>
      </c>
      <c r="AX5422" s="3" t="s">
        <v>51858</v>
      </c>
      <c r="AY5422" s="3" t="s">
        <v>51859</v>
      </c>
      <c r="AZ5422" s="3" t="s">
        <v>51860</v>
      </c>
      <c r="BA5422" s="3" t="s">
        <v>51860</v>
      </c>
      <c r="BB5422" s="3" t="s">
        <v>51861</v>
      </c>
      <c r="BC5422" s="3" t="s">
        <v>102</v>
      </c>
      <c r="BD5422" s="3" t="s">
        <v>68</v>
      </c>
      <c r="BE5422" s="3" t="s">
        <v>51862</v>
      </c>
      <c r="BF5422" s="3" t="s">
        <v>51861</v>
      </c>
      <c r="BG5422" s="3" t="s">
        <v>51863</v>
      </c>
    </row>
    <row r="5423" spans="1:59" ht="101.5" x14ac:dyDescent="0.35">
      <c r="A5423" s="2" t="s">
        <v>89</v>
      </c>
      <c r="B5423" s="2" t="s">
        <v>18023</v>
      </c>
      <c r="C5423" s="2" t="s">
        <v>51853</v>
      </c>
      <c r="D5423" s="2" t="s">
        <v>51854</v>
      </c>
      <c r="E5423" s="2" t="s">
        <v>51855</v>
      </c>
      <c r="G5423" s="3" t="s">
        <v>62</v>
      </c>
      <c r="I5423" s="3" t="s">
        <v>61</v>
      </c>
      <c r="J5423" s="3" t="s">
        <v>61</v>
      </c>
      <c r="K5423" s="3" t="s">
        <v>63</v>
      </c>
      <c r="L5423" s="2" t="s">
        <v>51856</v>
      </c>
      <c r="M5423" s="2" t="s">
        <v>17076</v>
      </c>
      <c r="N5423" s="3" t="s">
        <v>1455</v>
      </c>
      <c r="O5423" s="2" t="s">
        <v>51857</v>
      </c>
      <c r="P5423" s="3" t="s">
        <v>64</v>
      </c>
      <c r="R5423" s="3" t="s">
        <v>51835</v>
      </c>
      <c r="S5423" s="4">
        <v>7</v>
      </c>
      <c r="T5423" s="4">
        <v>88</v>
      </c>
      <c r="U5423" s="5" t="s">
        <v>16073</v>
      </c>
      <c r="V5423" s="5" t="s">
        <v>21992</v>
      </c>
      <c r="W5423" s="5" t="s">
        <v>67</v>
      </c>
      <c r="X5423" s="5" t="s">
        <v>67</v>
      </c>
      <c r="Y5423" s="4">
        <v>195</v>
      </c>
      <c r="Z5423" s="4">
        <v>24</v>
      </c>
      <c r="AA5423" s="4">
        <v>88</v>
      </c>
      <c r="AB5423" s="4">
        <v>4</v>
      </c>
      <c r="AC5423" s="4">
        <v>14</v>
      </c>
      <c r="AD5423" s="4">
        <v>64</v>
      </c>
      <c r="AE5423" s="4">
        <v>146</v>
      </c>
      <c r="AF5423" s="4">
        <v>2</v>
      </c>
      <c r="AG5423" s="4">
        <v>7</v>
      </c>
      <c r="AH5423" s="4">
        <v>53</v>
      </c>
      <c r="AI5423" s="4">
        <v>109</v>
      </c>
      <c r="AJ5423" s="4">
        <v>8</v>
      </c>
      <c r="AK5423" s="4">
        <v>27</v>
      </c>
      <c r="AL5423" s="4">
        <v>36</v>
      </c>
      <c r="AM5423" s="4">
        <v>60</v>
      </c>
      <c r="AN5423" s="4">
        <v>0</v>
      </c>
      <c r="AO5423" s="4">
        <v>0</v>
      </c>
      <c r="AP5423" s="4">
        <v>14</v>
      </c>
      <c r="AQ5423" s="4">
        <v>43</v>
      </c>
      <c r="AR5423" s="3" t="s">
        <v>62</v>
      </c>
      <c r="AS5423" s="3" t="s">
        <v>62</v>
      </c>
      <c r="AT5423" s="3" t="s">
        <v>62</v>
      </c>
      <c r="AV5423" s="6" t="str">
        <f>HYPERLINK("http://mcgill.on.worldcat.org/oclc/857863493","Catalog Record")</f>
        <v>Catalog Record</v>
      </c>
      <c r="AW5423" s="6" t="str">
        <f>HYPERLINK("http://www.worldcat.org/oclc/857863493","WorldCat Record")</f>
        <v>WorldCat Record</v>
      </c>
      <c r="AX5423" s="3" t="s">
        <v>51858</v>
      </c>
      <c r="AY5423" s="3" t="s">
        <v>51859</v>
      </c>
      <c r="AZ5423" s="3" t="s">
        <v>51860</v>
      </c>
      <c r="BA5423" s="3" t="s">
        <v>51860</v>
      </c>
      <c r="BB5423" s="3" t="s">
        <v>51864</v>
      </c>
      <c r="BC5423" s="3" t="s">
        <v>102</v>
      </c>
      <c r="BD5423" s="3" t="s">
        <v>68</v>
      </c>
      <c r="BE5423" s="3" t="s">
        <v>51862</v>
      </c>
      <c r="BF5423" s="3" t="s">
        <v>51864</v>
      </c>
      <c r="BG5423" s="3" t="s">
        <v>51865</v>
      </c>
    </row>
    <row r="5424" spans="1:59" ht="58" x14ac:dyDescent="0.35">
      <c r="A5424" s="2" t="s">
        <v>89</v>
      </c>
      <c r="B5424" s="2" t="s">
        <v>90</v>
      </c>
      <c r="C5424" s="2" t="s">
        <v>51866</v>
      </c>
      <c r="D5424" s="2" t="s">
        <v>51867</v>
      </c>
      <c r="E5424" s="2" t="s">
        <v>51868</v>
      </c>
      <c r="G5424" s="3" t="s">
        <v>62</v>
      </c>
      <c r="I5424" s="3" t="s">
        <v>61</v>
      </c>
      <c r="J5424" s="3" t="s">
        <v>62</v>
      </c>
      <c r="K5424" s="3" t="s">
        <v>63</v>
      </c>
      <c r="L5424" s="2" t="s">
        <v>9332</v>
      </c>
      <c r="M5424" s="2" t="s">
        <v>51869</v>
      </c>
      <c r="N5424" s="3" t="s">
        <v>424</v>
      </c>
      <c r="P5424" s="3" t="s">
        <v>64</v>
      </c>
      <c r="R5424" s="3" t="s">
        <v>51835</v>
      </c>
      <c r="S5424" s="4">
        <v>61</v>
      </c>
      <c r="T5424" s="4">
        <v>103</v>
      </c>
      <c r="U5424" s="5" t="s">
        <v>17575</v>
      </c>
      <c r="V5424" s="5" t="s">
        <v>14432</v>
      </c>
      <c r="W5424" s="5" t="s">
        <v>67</v>
      </c>
      <c r="X5424" s="5" t="s">
        <v>67</v>
      </c>
      <c r="Y5424" s="4">
        <v>519</v>
      </c>
      <c r="Z5424" s="4">
        <v>38</v>
      </c>
      <c r="AA5424" s="4">
        <v>41</v>
      </c>
      <c r="AB5424" s="4">
        <v>4</v>
      </c>
      <c r="AC5424" s="4">
        <v>5</v>
      </c>
      <c r="AD5424" s="4">
        <v>123</v>
      </c>
      <c r="AE5424" s="4">
        <v>129</v>
      </c>
      <c r="AF5424" s="4">
        <v>1</v>
      </c>
      <c r="AG5424" s="4">
        <v>2</v>
      </c>
      <c r="AH5424" s="4">
        <v>103</v>
      </c>
      <c r="AI5424" s="4">
        <v>106</v>
      </c>
      <c r="AJ5424" s="4">
        <v>21</v>
      </c>
      <c r="AK5424" s="4">
        <v>24</v>
      </c>
      <c r="AL5424" s="4">
        <v>58</v>
      </c>
      <c r="AM5424" s="4">
        <v>59</v>
      </c>
      <c r="AN5424" s="4">
        <v>0</v>
      </c>
      <c r="AO5424" s="4">
        <v>0</v>
      </c>
      <c r="AP5424" s="4">
        <v>27</v>
      </c>
      <c r="AQ5424" s="4">
        <v>29</v>
      </c>
      <c r="AR5424" s="3" t="s">
        <v>62</v>
      </c>
      <c r="AS5424" s="3" t="s">
        <v>62</v>
      </c>
      <c r="AT5424" s="3" t="s">
        <v>61</v>
      </c>
      <c r="AU5424" s="6" t="str">
        <f>HYPERLINK("http://catalog.hathitrust.org/Record/001076472","HathiTrust Record")</f>
        <v>HathiTrust Record</v>
      </c>
      <c r="AV5424" s="6" t="str">
        <f>HYPERLINK("http://mcgill.on.worldcat.org/oclc/17413333","Catalog Record")</f>
        <v>Catalog Record</v>
      </c>
      <c r="AW5424" s="6" t="str">
        <f>HYPERLINK("http://www.worldcat.org/oclc/17413333","WorldCat Record")</f>
        <v>WorldCat Record</v>
      </c>
      <c r="AX5424" s="3" t="s">
        <v>51870</v>
      </c>
      <c r="AY5424" s="3" t="s">
        <v>51871</v>
      </c>
      <c r="AZ5424" s="3" t="s">
        <v>51872</v>
      </c>
      <c r="BA5424" s="3" t="s">
        <v>51872</v>
      </c>
      <c r="BB5424" s="3" t="s">
        <v>51873</v>
      </c>
      <c r="BC5424" s="3" t="s">
        <v>102</v>
      </c>
      <c r="BD5424" s="3" t="s">
        <v>231</v>
      </c>
      <c r="BE5424" s="3" t="s">
        <v>51874</v>
      </c>
      <c r="BF5424" s="3" t="s">
        <v>51873</v>
      </c>
      <c r="BG5424" s="3" t="s">
        <v>51875</v>
      </c>
    </row>
    <row r="5425" spans="1:59" ht="58" x14ac:dyDescent="0.35">
      <c r="A5425" s="2" t="s">
        <v>59</v>
      </c>
      <c r="B5425" s="2" t="s">
        <v>60</v>
      </c>
      <c r="C5425" s="2" t="s">
        <v>51876</v>
      </c>
      <c r="D5425" s="2" t="s">
        <v>51877</v>
      </c>
      <c r="E5425" s="2" t="s">
        <v>51878</v>
      </c>
      <c r="G5425" s="3" t="s">
        <v>62</v>
      </c>
      <c r="I5425" s="3" t="s">
        <v>61</v>
      </c>
      <c r="J5425" s="3" t="s">
        <v>61</v>
      </c>
      <c r="K5425" s="3" t="s">
        <v>63</v>
      </c>
      <c r="L5425" s="2" t="s">
        <v>51879</v>
      </c>
      <c r="M5425" s="2" t="s">
        <v>51880</v>
      </c>
      <c r="N5425" s="3" t="s">
        <v>1467</v>
      </c>
      <c r="O5425" s="2" t="s">
        <v>8350</v>
      </c>
      <c r="P5425" s="3" t="s">
        <v>64</v>
      </c>
      <c r="R5425" s="3" t="s">
        <v>51835</v>
      </c>
      <c r="S5425" s="4">
        <v>1</v>
      </c>
      <c r="T5425" s="4">
        <v>1</v>
      </c>
      <c r="U5425" s="5" t="s">
        <v>28719</v>
      </c>
      <c r="V5425" s="5" t="s">
        <v>28719</v>
      </c>
      <c r="W5425" s="5" t="s">
        <v>67</v>
      </c>
      <c r="X5425" s="5" t="s">
        <v>67</v>
      </c>
      <c r="Y5425" s="4">
        <v>434</v>
      </c>
      <c r="Z5425" s="4">
        <v>26</v>
      </c>
      <c r="AA5425" s="4">
        <v>69</v>
      </c>
      <c r="AB5425" s="4">
        <v>3</v>
      </c>
      <c r="AC5425" s="4">
        <v>13</v>
      </c>
      <c r="AD5425" s="4">
        <v>90</v>
      </c>
      <c r="AE5425" s="4">
        <v>151</v>
      </c>
      <c r="AF5425" s="4">
        <v>1</v>
      </c>
      <c r="AG5425" s="4">
        <v>6</v>
      </c>
      <c r="AH5425" s="4">
        <v>75</v>
      </c>
      <c r="AI5425" s="4">
        <v>115</v>
      </c>
      <c r="AJ5425" s="4">
        <v>14</v>
      </c>
      <c r="AK5425" s="4">
        <v>27</v>
      </c>
      <c r="AL5425" s="4">
        <v>44</v>
      </c>
      <c r="AM5425" s="4">
        <v>61</v>
      </c>
      <c r="AN5425" s="4">
        <v>1</v>
      </c>
      <c r="AO5425" s="4">
        <v>1</v>
      </c>
      <c r="AP5425" s="4">
        <v>18</v>
      </c>
      <c r="AQ5425" s="4">
        <v>41</v>
      </c>
      <c r="AR5425" s="3" t="s">
        <v>62</v>
      </c>
      <c r="AS5425" s="3" t="s">
        <v>62</v>
      </c>
      <c r="AT5425" s="3" t="s">
        <v>61</v>
      </c>
      <c r="AU5425" s="6" t="str">
        <f>HYPERLINK("http://catalog.hathitrust.org/Record/000008379","HathiTrust Record")</f>
        <v>HathiTrust Record</v>
      </c>
      <c r="AV5425" s="6" t="str">
        <f>HYPERLINK("http://mcgill.on.worldcat.org/oclc/560185","Catalog Record")</f>
        <v>Catalog Record</v>
      </c>
      <c r="AW5425" s="6" t="str">
        <f>HYPERLINK("http://www.worldcat.org/oclc/560185","WorldCat Record")</f>
        <v>WorldCat Record</v>
      </c>
      <c r="AX5425" s="3" t="s">
        <v>51881</v>
      </c>
      <c r="AY5425" s="3" t="s">
        <v>51882</v>
      </c>
      <c r="AZ5425" s="3" t="s">
        <v>51883</v>
      </c>
      <c r="BA5425" s="3" t="s">
        <v>51883</v>
      </c>
      <c r="BB5425" s="3" t="s">
        <v>51884</v>
      </c>
      <c r="BC5425" s="3" t="s">
        <v>102</v>
      </c>
      <c r="BD5425" s="3" t="s">
        <v>68</v>
      </c>
      <c r="BF5425" s="3" t="s">
        <v>51884</v>
      </c>
      <c r="BG5425" s="3" t="s">
        <v>51885</v>
      </c>
    </row>
    <row r="5426" spans="1:59" ht="58" x14ac:dyDescent="0.35">
      <c r="A5426" s="2" t="s">
        <v>59</v>
      </c>
      <c r="B5426" s="2" t="s">
        <v>60</v>
      </c>
      <c r="C5426" s="2" t="s">
        <v>51876</v>
      </c>
      <c r="D5426" s="2" t="s">
        <v>51877</v>
      </c>
      <c r="E5426" s="2" t="s">
        <v>51878</v>
      </c>
      <c r="G5426" s="3" t="s">
        <v>62</v>
      </c>
      <c r="I5426" s="3" t="s">
        <v>61</v>
      </c>
      <c r="J5426" s="3" t="s">
        <v>61</v>
      </c>
      <c r="K5426" s="3" t="s">
        <v>63</v>
      </c>
      <c r="L5426" s="2" t="s">
        <v>51879</v>
      </c>
      <c r="M5426" s="2" t="s">
        <v>51880</v>
      </c>
      <c r="N5426" s="3" t="s">
        <v>1467</v>
      </c>
      <c r="O5426" s="2" t="s">
        <v>8350</v>
      </c>
      <c r="P5426" s="3" t="s">
        <v>64</v>
      </c>
      <c r="R5426" s="3" t="s">
        <v>51835</v>
      </c>
      <c r="S5426" s="4">
        <v>0</v>
      </c>
      <c r="T5426" s="4">
        <v>1</v>
      </c>
      <c r="V5426" s="5" t="s">
        <v>28719</v>
      </c>
      <c r="W5426" s="5" t="s">
        <v>67</v>
      </c>
      <c r="X5426" s="5" t="s">
        <v>67</v>
      </c>
      <c r="Y5426" s="4">
        <v>434</v>
      </c>
      <c r="Z5426" s="4">
        <v>26</v>
      </c>
      <c r="AA5426" s="4">
        <v>69</v>
      </c>
      <c r="AB5426" s="4">
        <v>3</v>
      </c>
      <c r="AC5426" s="4">
        <v>13</v>
      </c>
      <c r="AD5426" s="4">
        <v>90</v>
      </c>
      <c r="AE5426" s="4">
        <v>151</v>
      </c>
      <c r="AF5426" s="4">
        <v>1</v>
      </c>
      <c r="AG5426" s="4">
        <v>6</v>
      </c>
      <c r="AH5426" s="4">
        <v>75</v>
      </c>
      <c r="AI5426" s="4">
        <v>115</v>
      </c>
      <c r="AJ5426" s="4">
        <v>14</v>
      </c>
      <c r="AK5426" s="4">
        <v>27</v>
      </c>
      <c r="AL5426" s="4">
        <v>44</v>
      </c>
      <c r="AM5426" s="4">
        <v>61</v>
      </c>
      <c r="AN5426" s="4">
        <v>1</v>
      </c>
      <c r="AO5426" s="4">
        <v>1</v>
      </c>
      <c r="AP5426" s="4">
        <v>18</v>
      </c>
      <c r="AQ5426" s="4">
        <v>41</v>
      </c>
      <c r="AR5426" s="3" t="s">
        <v>62</v>
      </c>
      <c r="AS5426" s="3" t="s">
        <v>62</v>
      </c>
      <c r="AT5426" s="3" t="s">
        <v>61</v>
      </c>
      <c r="AU5426" s="6" t="str">
        <f>HYPERLINK("http://catalog.hathitrust.org/Record/000008379","HathiTrust Record")</f>
        <v>HathiTrust Record</v>
      </c>
      <c r="AV5426" s="6" t="str">
        <f>HYPERLINK("http://mcgill.on.worldcat.org/oclc/560185","Catalog Record")</f>
        <v>Catalog Record</v>
      </c>
      <c r="AW5426" s="6" t="str">
        <f>HYPERLINK("http://www.worldcat.org/oclc/560185","WorldCat Record")</f>
        <v>WorldCat Record</v>
      </c>
      <c r="AX5426" s="3" t="s">
        <v>51881</v>
      </c>
      <c r="AY5426" s="3" t="s">
        <v>51882</v>
      </c>
      <c r="AZ5426" s="3" t="s">
        <v>51883</v>
      </c>
      <c r="BA5426" s="3" t="s">
        <v>51883</v>
      </c>
      <c r="BB5426" s="3" t="s">
        <v>51886</v>
      </c>
      <c r="BC5426" s="3" t="s">
        <v>102</v>
      </c>
      <c r="BD5426" s="3" t="s">
        <v>68</v>
      </c>
      <c r="BF5426" s="3" t="s">
        <v>51886</v>
      </c>
      <c r="BG5426" s="3" t="s">
        <v>51887</v>
      </c>
    </row>
    <row r="5427" spans="1:59" ht="101.5" x14ac:dyDescent="0.35">
      <c r="A5427" s="2" t="s">
        <v>89</v>
      </c>
      <c r="B5427" s="2" t="s">
        <v>36812</v>
      </c>
      <c r="C5427" s="2" t="s">
        <v>51888</v>
      </c>
      <c r="D5427" s="2" t="s">
        <v>51889</v>
      </c>
      <c r="E5427" s="2" t="s">
        <v>51890</v>
      </c>
      <c r="G5427" s="3" t="s">
        <v>62</v>
      </c>
      <c r="I5427" s="3" t="s">
        <v>62</v>
      </c>
      <c r="J5427" s="3" t="s">
        <v>62</v>
      </c>
      <c r="K5427" s="3" t="s">
        <v>63</v>
      </c>
      <c r="L5427" s="2" t="s">
        <v>51891</v>
      </c>
      <c r="M5427" s="2" t="s">
        <v>51892</v>
      </c>
      <c r="N5427" s="3" t="s">
        <v>1038</v>
      </c>
      <c r="P5427" s="3" t="s">
        <v>64</v>
      </c>
      <c r="Q5427" s="2" t="s">
        <v>51893</v>
      </c>
      <c r="R5427" s="3" t="s">
        <v>51835</v>
      </c>
      <c r="S5427" s="4">
        <v>1</v>
      </c>
      <c r="T5427" s="4">
        <v>1</v>
      </c>
      <c r="U5427" s="5" t="s">
        <v>16075</v>
      </c>
      <c r="V5427" s="5" t="s">
        <v>16075</v>
      </c>
      <c r="W5427" s="5" t="s">
        <v>67</v>
      </c>
      <c r="X5427" s="5" t="s">
        <v>67</v>
      </c>
      <c r="Y5427" s="4">
        <v>283</v>
      </c>
      <c r="Z5427" s="4">
        <v>18</v>
      </c>
      <c r="AA5427" s="4">
        <v>27</v>
      </c>
      <c r="AB5427" s="4">
        <v>2</v>
      </c>
      <c r="AC5427" s="4">
        <v>4</v>
      </c>
      <c r="AD5427" s="4">
        <v>43</v>
      </c>
      <c r="AE5427" s="4">
        <v>53</v>
      </c>
      <c r="AF5427" s="4">
        <v>1</v>
      </c>
      <c r="AG5427" s="4">
        <v>1</v>
      </c>
      <c r="AH5427" s="4">
        <v>35</v>
      </c>
      <c r="AI5427" s="4">
        <v>42</v>
      </c>
      <c r="AJ5427" s="4">
        <v>5</v>
      </c>
      <c r="AK5427" s="4">
        <v>11</v>
      </c>
      <c r="AL5427" s="4">
        <v>22</v>
      </c>
      <c r="AM5427" s="4">
        <v>23</v>
      </c>
      <c r="AN5427" s="4">
        <v>0</v>
      </c>
      <c r="AO5427" s="4">
        <v>0</v>
      </c>
      <c r="AP5427" s="4">
        <v>8</v>
      </c>
      <c r="AQ5427" s="4">
        <v>14</v>
      </c>
      <c r="AR5427" s="3" t="s">
        <v>62</v>
      </c>
      <c r="AS5427" s="3" t="s">
        <v>62</v>
      </c>
      <c r="AT5427" s="3" t="s">
        <v>62</v>
      </c>
      <c r="AV5427" s="6" t="str">
        <f>HYPERLINK("http://mcgill.on.worldcat.org/oclc/931147276","Catalog Record")</f>
        <v>Catalog Record</v>
      </c>
      <c r="AW5427" s="6" t="str">
        <f>HYPERLINK("http://www.worldcat.org/oclc/931147276","WorldCat Record")</f>
        <v>WorldCat Record</v>
      </c>
      <c r="AX5427" s="3" t="s">
        <v>51894</v>
      </c>
      <c r="AY5427" s="3" t="s">
        <v>51895</v>
      </c>
      <c r="AZ5427" s="3" t="s">
        <v>51896</v>
      </c>
      <c r="BA5427" s="3" t="s">
        <v>51896</v>
      </c>
      <c r="BB5427" s="3" t="s">
        <v>51897</v>
      </c>
      <c r="BC5427" s="3" t="s">
        <v>102</v>
      </c>
      <c r="BD5427" s="3" t="s">
        <v>68</v>
      </c>
      <c r="BE5427" s="3" t="s">
        <v>51898</v>
      </c>
      <c r="BF5427" s="3" t="s">
        <v>51897</v>
      </c>
      <c r="BG5427" s="3" t="s">
        <v>51899</v>
      </c>
    </row>
    <row r="5428" spans="1:59" ht="58" x14ac:dyDescent="0.35">
      <c r="A5428" s="2" t="s">
        <v>59</v>
      </c>
      <c r="B5428" s="2" t="s">
        <v>60</v>
      </c>
      <c r="C5428" s="2" t="s">
        <v>51900</v>
      </c>
      <c r="D5428" s="2" t="s">
        <v>51901</v>
      </c>
      <c r="E5428" s="2" t="s">
        <v>51902</v>
      </c>
      <c r="G5428" s="3" t="s">
        <v>62</v>
      </c>
      <c r="I5428" s="3" t="s">
        <v>62</v>
      </c>
      <c r="J5428" s="3" t="s">
        <v>61</v>
      </c>
      <c r="K5428" s="3" t="s">
        <v>63</v>
      </c>
      <c r="L5428" s="2" t="s">
        <v>51903</v>
      </c>
      <c r="M5428" s="2" t="s">
        <v>51904</v>
      </c>
      <c r="N5428" s="3" t="s">
        <v>3761</v>
      </c>
      <c r="P5428" s="3" t="s">
        <v>64</v>
      </c>
      <c r="R5428" s="3" t="s">
        <v>51835</v>
      </c>
      <c r="S5428" s="4">
        <v>10</v>
      </c>
      <c r="T5428" s="4">
        <v>10</v>
      </c>
      <c r="U5428" s="5" t="s">
        <v>26162</v>
      </c>
      <c r="V5428" s="5" t="s">
        <v>26162</v>
      </c>
      <c r="W5428" s="5" t="s">
        <v>67</v>
      </c>
      <c r="X5428" s="5" t="s">
        <v>67</v>
      </c>
      <c r="Y5428" s="4">
        <v>5</v>
      </c>
      <c r="Z5428" s="4">
        <v>3</v>
      </c>
      <c r="AA5428" s="4">
        <v>95</v>
      </c>
      <c r="AB5428" s="4">
        <v>2</v>
      </c>
      <c r="AC5428" s="4">
        <v>17</v>
      </c>
      <c r="AD5428" s="4">
        <v>2</v>
      </c>
      <c r="AE5428" s="4">
        <v>162</v>
      </c>
      <c r="AF5428" s="4">
        <v>0</v>
      </c>
      <c r="AG5428" s="4">
        <v>6</v>
      </c>
      <c r="AH5428" s="4">
        <v>2</v>
      </c>
      <c r="AI5428" s="4">
        <v>118</v>
      </c>
      <c r="AJ5428" s="4">
        <v>1</v>
      </c>
      <c r="AK5428" s="4">
        <v>28</v>
      </c>
      <c r="AL5428" s="4">
        <v>0</v>
      </c>
      <c r="AM5428" s="4">
        <v>63</v>
      </c>
      <c r="AN5428" s="4">
        <v>0</v>
      </c>
      <c r="AO5428" s="4">
        <v>0</v>
      </c>
      <c r="AP5428" s="4">
        <v>1</v>
      </c>
      <c r="AQ5428" s="4">
        <v>48</v>
      </c>
      <c r="AR5428" s="3" t="s">
        <v>62</v>
      </c>
      <c r="AS5428" s="3" t="s">
        <v>62</v>
      </c>
      <c r="AT5428" s="3" t="s">
        <v>62</v>
      </c>
      <c r="AV5428" s="6" t="str">
        <f>HYPERLINK("http://mcgill.on.worldcat.org/oclc/61582384","Catalog Record")</f>
        <v>Catalog Record</v>
      </c>
      <c r="AW5428" s="6" t="str">
        <f>HYPERLINK("http://www.worldcat.org/oclc/61582384","WorldCat Record")</f>
        <v>WorldCat Record</v>
      </c>
      <c r="AX5428" s="3" t="s">
        <v>51905</v>
      </c>
      <c r="AY5428" s="3" t="s">
        <v>51906</v>
      </c>
      <c r="AZ5428" s="3" t="s">
        <v>51907</v>
      </c>
      <c r="BA5428" s="3" t="s">
        <v>51907</v>
      </c>
      <c r="BB5428" s="3" t="s">
        <v>51908</v>
      </c>
      <c r="BC5428" s="3" t="s">
        <v>102</v>
      </c>
      <c r="BD5428" s="3" t="s">
        <v>68</v>
      </c>
      <c r="BF5428" s="3" t="s">
        <v>51908</v>
      </c>
      <c r="BG5428" s="3" t="s">
        <v>51909</v>
      </c>
    </row>
    <row r="5429" spans="1:59" ht="58" x14ac:dyDescent="0.35">
      <c r="A5429" s="2" t="s">
        <v>59</v>
      </c>
      <c r="B5429" s="2" t="s">
        <v>60</v>
      </c>
      <c r="C5429" s="2" t="s">
        <v>51910</v>
      </c>
      <c r="D5429" s="2" t="s">
        <v>51911</v>
      </c>
      <c r="E5429" s="2" t="s">
        <v>51912</v>
      </c>
      <c r="G5429" s="3" t="s">
        <v>62</v>
      </c>
      <c r="I5429" s="3" t="s">
        <v>61</v>
      </c>
      <c r="J5429" s="3" t="s">
        <v>61</v>
      </c>
      <c r="K5429" s="3" t="s">
        <v>63</v>
      </c>
      <c r="L5429" s="2" t="s">
        <v>51913</v>
      </c>
      <c r="M5429" s="2" t="s">
        <v>39340</v>
      </c>
      <c r="N5429" s="3" t="s">
        <v>2566</v>
      </c>
      <c r="O5429" s="2" t="s">
        <v>8350</v>
      </c>
      <c r="P5429" s="3" t="s">
        <v>64</v>
      </c>
      <c r="Q5429" s="2" t="s">
        <v>51914</v>
      </c>
      <c r="R5429" s="3" t="s">
        <v>51835</v>
      </c>
      <c r="S5429" s="4">
        <v>14</v>
      </c>
      <c r="T5429" s="4">
        <v>22</v>
      </c>
      <c r="U5429" s="5" t="s">
        <v>29119</v>
      </c>
      <c r="V5429" s="5" t="s">
        <v>29119</v>
      </c>
      <c r="W5429" s="5" t="s">
        <v>67</v>
      </c>
      <c r="X5429" s="5" t="s">
        <v>67</v>
      </c>
      <c r="Y5429" s="4">
        <v>259</v>
      </c>
      <c r="Z5429" s="4">
        <v>18</v>
      </c>
      <c r="AA5429" s="4">
        <v>49</v>
      </c>
      <c r="AB5429" s="4">
        <v>3</v>
      </c>
      <c r="AC5429" s="4">
        <v>8</v>
      </c>
      <c r="AD5429" s="4">
        <v>69</v>
      </c>
      <c r="AE5429" s="4">
        <v>136</v>
      </c>
      <c r="AF5429" s="4">
        <v>1</v>
      </c>
      <c r="AG5429" s="4">
        <v>5</v>
      </c>
      <c r="AH5429" s="4">
        <v>58</v>
      </c>
      <c r="AI5429" s="4">
        <v>110</v>
      </c>
      <c r="AJ5429" s="4">
        <v>10</v>
      </c>
      <c r="AK5429" s="4">
        <v>26</v>
      </c>
      <c r="AL5429" s="4">
        <v>36</v>
      </c>
      <c r="AM5429" s="4">
        <v>61</v>
      </c>
      <c r="AN5429" s="4">
        <v>0</v>
      </c>
      <c r="AO5429" s="4">
        <v>0</v>
      </c>
      <c r="AP5429" s="4">
        <v>13</v>
      </c>
      <c r="AQ5429" s="4">
        <v>31</v>
      </c>
      <c r="AR5429" s="3" t="s">
        <v>62</v>
      </c>
      <c r="AS5429" s="3" t="s">
        <v>62</v>
      </c>
      <c r="AT5429" s="3" t="s">
        <v>61</v>
      </c>
      <c r="AU5429" s="6" t="str">
        <f>HYPERLINK("http://catalog.hathitrust.org/Record/001556414","HathiTrust Record")</f>
        <v>HathiTrust Record</v>
      </c>
      <c r="AV5429" s="6" t="str">
        <f>HYPERLINK("http://mcgill.on.worldcat.org/oclc/693365","Catalog Record")</f>
        <v>Catalog Record</v>
      </c>
      <c r="AW5429" s="6" t="str">
        <f>HYPERLINK("http://www.worldcat.org/oclc/693365","WorldCat Record")</f>
        <v>WorldCat Record</v>
      </c>
      <c r="AX5429" s="3" t="s">
        <v>51915</v>
      </c>
      <c r="AY5429" s="3" t="s">
        <v>51916</v>
      </c>
      <c r="AZ5429" s="3" t="s">
        <v>51917</v>
      </c>
      <c r="BA5429" s="3" t="s">
        <v>51917</v>
      </c>
      <c r="BB5429" s="3" t="s">
        <v>51918</v>
      </c>
      <c r="BC5429" s="3" t="s">
        <v>102</v>
      </c>
      <c r="BD5429" s="3" t="s">
        <v>68</v>
      </c>
      <c r="BE5429" s="3" t="s">
        <v>51919</v>
      </c>
      <c r="BF5429" s="3" t="s">
        <v>51918</v>
      </c>
      <c r="BG5429" s="3" t="s">
        <v>51920</v>
      </c>
    </row>
    <row r="5430" spans="1:59" ht="58" x14ac:dyDescent="0.35">
      <c r="A5430" s="2" t="s">
        <v>59</v>
      </c>
      <c r="B5430" s="2" t="s">
        <v>60</v>
      </c>
      <c r="C5430" s="2" t="s">
        <v>51910</v>
      </c>
      <c r="D5430" s="2" t="s">
        <v>51911</v>
      </c>
      <c r="E5430" s="2" t="s">
        <v>51912</v>
      </c>
      <c r="G5430" s="3" t="s">
        <v>62</v>
      </c>
      <c r="I5430" s="3" t="s">
        <v>61</v>
      </c>
      <c r="J5430" s="3" t="s">
        <v>61</v>
      </c>
      <c r="K5430" s="3" t="s">
        <v>63</v>
      </c>
      <c r="L5430" s="2" t="s">
        <v>51913</v>
      </c>
      <c r="M5430" s="2" t="s">
        <v>39340</v>
      </c>
      <c r="N5430" s="3" t="s">
        <v>2566</v>
      </c>
      <c r="O5430" s="2" t="s">
        <v>8350</v>
      </c>
      <c r="P5430" s="3" t="s">
        <v>64</v>
      </c>
      <c r="Q5430" s="2" t="s">
        <v>51914</v>
      </c>
      <c r="R5430" s="3" t="s">
        <v>51835</v>
      </c>
      <c r="S5430" s="4">
        <v>8</v>
      </c>
      <c r="T5430" s="4">
        <v>22</v>
      </c>
      <c r="U5430" s="5" t="s">
        <v>51921</v>
      </c>
      <c r="V5430" s="5" t="s">
        <v>29119</v>
      </c>
      <c r="W5430" s="5" t="s">
        <v>67</v>
      </c>
      <c r="X5430" s="5" t="s">
        <v>67</v>
      </c>
      <c r="Y5430" s="4">
        <v>259</v>
      </c>
      <c r="Z5430" s="4">
        <v>18</v>
      </c>
      <c r="AA5430" s="4">
        <v>49</v>
      </c>
      <c r="AB5430" s="4">
        <v>3</v>
      </c>
      <c r="AC5430" s="4">
        <v>8</v>
      </c>
      <c r="AD5430" s="4">
        <v>69</v>
      </c>
      <c r="AE5430" s="4">
        <v>136</v>
      </c>
      <c r="AF5430" s="4">
        <v>1</v>
      </c>
      <c r="AG5430" s="4">
        <v>5</v>
      </c>
      <c r="AH5430" s="4">
        <v>58</v>
      </c>
      <c r="AI5430" s="4">
        <v>110</v>
      </c>
      <c r="AJ5430" s="4">
        <v>10</v>
      </c>
      <c r="AK5430" s="4">
        <v>26</v>
      </c>
      <c r="AL5430" s="4">
        <v>36</v>
      </c>
      <c r="AM5430" s="4">
        <v>61</v>
      </c>
      <c r="AN5430" s="4">
        <v>0</v>
      </c>
      <c r="AO5430" s="4">
        <v>0</v>
      </c>
      <c r="AP5430" s="4">
        <v>13</v>
      </c>
      <c r="AQ5430" s="4">
        <v>31</v>
      </c>
      <c r="AR5430" s="3" t="s">
        <v>62</v>
      </c>
      <c r="AS5430" s="3" t="s">
        <v>62</v>
      </c>
      <c r="AT5430" s="3" t="s">
        <v>61</v>
      </c>
      <c r="AU5430" s="6" t="str">
        <f>HYPERLINK("http://catalog.hathitrust.org/Record/001556414","HathiTrust Record")</f>
        <v>HathiTrust Record</v>
      </c>
      <c r="AV5430" s="6" t="str">
        <f>HYPERLINK("http://mcgill.on.worldcat.org/oclc/693365","Catalog Record")</f>
        <v>Catalog Record</v>
      </c>
      <c r="AW5430" s="6" t="str">
        <f>HYPERLINK("http://www.worldcat.org/oclc/693365","WorldCat Record")</f>
        <v>WorldCat Record</v>
      </c>
      <c r="AX5430" s="3" t="s">
        <v>51915</v>
      </c>
      <c r="AY5430" s="3" t="s">
        <v>51916</v>
      </c>
      <c r="AZ5430" s="3" t="s">
        <v>51917</v>
      </c>
      <c r="BA5430" s="3" t="s">
        <v>51917</v>
      </c>
      <c r="BB5430" s="3" t="s">
        <v>51922</v>
      </c>
      <c r="BC5430" s="3" t="s">
        <v>102</v>
      </c>
      <c r="BD5430" s="3" t="s">
        <v>68</v>
      </c>
      <c r="BE5430" s="3" t="s">
        <v>51919</v>
      </c>
      <c r="BF5430" s="3" t="s">
        <v>51922</v>
      </c>
      <c r="BG5430" s="3" t="s">
        <v>51923</v>
      </c>
    </row>
    <row r="5431" spans="1:59" ht="58" x14ac:dyDescent="0.35">
      <c r="A5431" s="2" t="s">
        <v>59</v>
      </c>
      <c r="B5431" s="2" t="s">
        <v>60</v>
      </c>
      <c r="C5431" s="2" t="s">
        <v>51924</v>
      </c>
      <c r="D5431" s="2" t="s">
        <v>51925</v>
      </c>
      <c r="E5431" s="2" t="s">
        <v>51926</v>
      </c>
      <c r="G5431" s="3" t="s">
        <v>62</v>
      </c>
      <c r="I5431" s="3" t="s">
        <v>62</v>
      </c>
      <c r="J5431" s="3" t="s">
        <v>62</v>
      </c>
      <c r="K5431" s="3" t="s">
        <v>63</v>
      </c>
      <c r="M5431" s="2" t="s">
        <v>24759</v>
      </c>
      <c r="N5431" s="3" t="s">
        <v>424</v>
      </c>
      <c r="P5431" s="3" t="s">
        <v>64</v>
      </c>
      <c r="Q5431" s="2" t="s">
        <v>51927</v>
      </c>
      <c r="R5431" s="3" t="s">
        <v>51835</v>
      </c>
      <c r="S5431" s="4">
        <v>24</v>
      </c>
      <c r="T5431" s="4">
        <v>24</v>
      </c>
      <c r="U5431" s="5" t="s">
        <v>9137</v>
      </c>
      <c r="V5431" s="5" t="s">
        <v>9137</v>
      </c>
      <c r="W5431" s="5" t="s">
        <v>67</v>
      </c>
      <c r="X5431" s="5" t="s">
        <v>67</v>
      </c>
      <c r="Y5431" s="4">
        <v>441</v>
      </c>
      <c r="Z5431" s="4">
        <v>28</v>
      </c>
      <c r="AA5431" s="4">
        <v>31</v>
      </c>
      <c r="AB5431" s="4">
        <v>3</v>
      </c>
      <c r="AC5431" s="4">
        <v>6</v>
      </c>
      <c r="AD5431" s="4">
        <v>110</v>
      </c>
      <c r="AE5431" s="4">
        <v>113</v>
      </c>
      <c r="AF5431" s="4">
        <v>1</v>
      </c>
      <c r="AG5431" s="4">
        <v>4</v>
      </c>
      <c r="AH5431" s="4">
        <v>96</v>
      </c>
      <c r="AI5431" s="4">
        <v>96</v>
      </c>
      <c r="AJ5431" s="4">
        <v>14</v>
      </c>
      <c r="AK5431" s="4">
        <v>17</v>
      </c>
      <c r="AL5431" s="4">
        <v>52</v>
      </c>
      <c r="AM5431" s="4">
        <v>52</v>
      </c>
      <c r="AN5431" s="4">
        <v>0</v>
      </c>
      <c r="AO5431" s="4">
        <v>0</v>
      </c>
      <c r="AP5431" s="4">
        <v>19</v>
      </c>
      <c r="AQ5431" s="4">
        <v>21</v>
      </c>
      <c r="AR5431" s="3" t="s">
        <v>62</v>
      </c>
      <c r="AS5431" s="3" t="s">
        <v>62</v>
      </c>
      <c r="AT5431" s="3" t="s">
        <v>61</v>
      </c>
      <c r="AU5431" s="6" t="str">
        <f>HYPERLINK("http://catalog.hathitrust.org/Record/001083101","HathiTrust Record")</f>
        <v>HathiTrust Record</v>
      </c>
      <c r="AV5431" s="6" t="str">
        <f>HYPERLINK("http://mcgill.on.worldcat.org/oclc/16866940","Catalog Record")</f>
        <v>Catalog Record</v>
      </c>
      <c r="AW5431" s="6" t="str">
        <f>HYPERLINK("http://www.worldcat.org/oclc/16866940","WorldCat Record")</f>
        <v>WorldCat Record</v>
      </c>
      <c r="AX5431" s="3" t="s">
        <v>51928</v>
      </c>
      <c r="AY5431" s="3" t="s">
        <v>51929</v>
      </c>
      <c r="AZ5431" s="3" t="s">
        <v>51930</v>
      </c>
      <c r="BA5431" s="3" t="s">
        <v>51930</v>
      </c>
      <c r="BB5431" s="3" t="s">
        <v>51931</v>
      </c>
      <c r="BC5431" s="3" t="s">
        <v>102</v>
      </c>
      <c r="BD5431" s="3" t="s">
        <v>68</v>
      </c>
      <c r="BE5431" s="3" t="s">
        <v>51932</v>
      </c>
      <c r="BF5431" s="3" t="s">
        <v>51931</v>
      </c>
      <c r="BG5431" s="3" t="s">
        <v>51933</v>
      </c>
    </row>
    <row r="5432" spans="1:59" ht="58" x14ac:dyDescent="0.35">
      <c r="A5432" s="2" t="s">
        <v>59</v>
      </c>
      <c r="B5432" s="2" t="s">
        <v>60</v>
      </c>
      <c r="C5432" s="2" t="s">
        <v>51934</v>
      </c>
      <c r="D5432" s="2" t="s">
        <v>51935</v>
      </c>
      <c r="E5432" s="2" t="s">
        <v>51936</v>
      </c>
      <c r="G5432" s="3" t="s">
        <v>62</v>
      </c>
      <c r="I5432" s="3" t="s">
        <v>62</v>
      </c>
      <c r="J5432" s="3" t="s">
        <v>62</v>
      </c>
      <c r="K5432" s="3" t="s">
        <v>63</v>
      </c>
      <c r="L5432" s="2" t="s">
        <v>51937</v>
      </c>
      <c r="M5432" s="2" t="s">
        <v>13419</v>
      </c>
      <c r="N5432" s="3" t="s">
        <v>625</v>
      </c>
      <c r="P5432" s="3" t="s">
        <v>64</v>
      </c>
      <c r="R5432" s="3" t="s">
        <v>51835</v>
      </c>
      <c r="S5432" s="4">
        <v>1</v>
      </c>
      <c r="T5432" s="4">
        <v>1</v>
      </c>
      <c r="U5432" s="5" t="s">
        <v>30775</v>
      </c>
      <c r="V5432" s="5" t="s">
        <v>30775</v>
      </c>
      <c r="W5432" s="5" t="s">
        <v>67</v>
      </c>
      <c r="X5432" s="5" t="s">
        <v>67</v>
      </c>
      <c r="Y5432" s="4">
        <v>580</v>
      </c>
      <c r="Z5432" s="4">
        <v>28</v>
      </c>
      <c r="AA5432" s="4">
        <v>30</v>
      </c>
      <c r="AB5432" s="4">
        <v>2</v>
      </c>
      <c r="AC5432" s="4">
        <v>4</v>
      </c>
      <c r="AD5432" s="4">
        <v>104</v>
      </c>
      <c r="AE5432" s="4">
        <v>106</v>
      </c>
      <c r="AF5432" s="4">
        <v>0</v>
      </c>
      <c r="AG5432" s="4">
        <v>2</v>
      </c>
      <c r="AH5432" s="4">
        <v>90</v>
      </c>
      <c r="AI5432" s="4">
        <v>91</v>
      </c>
      <c r="AJ5432" s="4">
        <v>14</v>
      </c>
      <c r="AK5432" s="4">
        <v>16</v>
      </c>
      <c r="AL5432" s="4">
        <v>47</v>
      </c>
      <c r="AM5432" s="4">
        <v>47</v>
      </c>
      <c r="AN5432" s="4">
        <v>0</v>
      </c>
      <c r="AO5432" s="4">
        <v>0</v>
      </c>
      <c r="AP5432" s="4">
        <v>20</v>
      </c>
      <c r="AQ5432" s="4">
        <v>21</v>
      </c>
      <c r="AR5432" s="3" t="s">
        <v>62</v>
      </c>
      <c r="AS5432" s="3" t="s">
        <v>62</v>
      </c>
      <c r="AT5432" s="3" t="s">
        <v>62</v>
      </c>
      <c r="AV5432" s="6" t="str">
        <f>HYPERLINK("http://mcgill.on.worldcat.org/oclc/50203912","Catalog Record")</f>
        <v>Catalog Record</v>
      </c>
      <c r="AW5432" s="6" t="str">
        <f>HYPERLINK("http://www.worldcat.org/oclc/50203912","WorldCat Record")</f>
        <v>WorldCat Record</v>
      </c>
      <c r="AX5432" s="3" t="s">
        <v>51938</v>
      </c>
      <c r="AY5432" s="3" t="s">
        <v>51939</v>
      </c>
      <c r="AZ5432" s="3" t="s">
        <v>51940</v>
      </c>
      <c r="BA5432" s="3" t="s">
        <v>51940</v>
      </c>
      <c r="BB5432" s="3" t="s">
        <v>51941</v>
      </c>
      <c r="BC5432" s="3" t="s">
        <v>102</v>
      </c>
      <c r="BD5432" s="3" t="s">
        <v>68</v>
      </c>
      <c r="BE5432" s="3" t="s">
        <v>51942</v>
      </c>
      <c r="BF5432" s="3" t="s">
        <v>51941</v>
      </c>
      <c r="BG5432" s="3" t="s">
        <v>51943</v>
      </c>
    </row>
    <row r="5433" spans="1:59" ht="58" x14ac:dyDescent="0.35">
      <c r="A5433" s="2" t="s">
        <v>59</v>
      </c>
      <c r="B5433" s="2" t="s">
        <v>60</v>
      </c>
      <c r="C5433" s="2" t="s">
        <v>51944</v>
      </c>
      <c r="D5433" s="2" t="s">
        <v>51945</v>
      </c>
      <c r="E5433" s="2" t="s">
        <v>51946</v>
      </c>
      <c r="G5433" s="3" t="s">
        <v>62</v>
      </c>
      <c r="I5433" s="3" t="s">
        <v>62</v>
      </c>
      <c r="J5433" s="3" t="s">
        <v>62</v>
      </c>
      <c r="K5433" s="3" t="s">
        <v>63</v>
      </c>
      <c r="L5433" s="2" t="s">
        <v>51947</v>
      </c>
      <c r="M5433" s="2" t="s">
        <v>37548</v>
      </c>
      <c r="N5433" s="3" t="s">
        <v>481</v>
      </c>
      <c r="P5433" s="3" t="s">
        <v>64</v>
      </c>
      <c r="Q5433" s="2" t="s">
        <v>51948</v>
      </c>
      <c r="R5433" s="3" t="s">
        <v>51835</v>
      </c>
      <c r="S5433" s="4">
        <v>10</v>
      </c>
      <c r="T5433" s="4">
        <v>10</v>
      </c>
      <c r="U5433" s="5" t="s">
        <v>21561</v>
      </c>
      <c r="V5433" s="5" t="s">
        <v>21561</v>
      </c>
      <c r="W5433" s="5" t="s">
        <v>67</v>
      </c>
      <c r="X5433" s="5" t="s">
        <v>67</v>
      </c>
      <c r="Y5433" s="4">
        <v>197</v>
      </c>
      <c r="Z5433" s="4">
        <v>18</v>
      </c>
      <c r="AA5433" s="4">
        <v>18</v>
      </c>
      <c r="AB5433" s="4">
        <v>1</v>
      </c>
      <c r="AC5433" s="4">
        <v>1</v>
      </c>
      <c r="AD5433" s="4">
        <v>81</v>
      </c>
      <c r="AE5433" s="4">
        <v>81</v>
      </c>
      <c r="AF5433" s="4">
        <v>0</v>
      </c>
      <c r="AG5433" s="4">
        <v>0</v>
      </c>
      <c r="AH5433" s="4">
        <v>74</v>
      </c>
      <c r="AI5433" s="4">
        <v>74</v>
      </c>
      <c r="AJ5433" s="4">
        <v>14</v>
      </c>
      <c r="AK5433" s="4">
        <v>14</v>
      </c>
      <c r="AL5433" s="4">
        <v>37</v>
      </c>
      <c r="AM5433" s="4">
        <v>37</v>
      </c>
      <c r="AN5433" s="4">
        <v>0</v>
      </c>
      <c r="AO5433" s="4">
        <v>0</v>
      </c>
      <c r="AP5433" s="4">
        <v>15</v>
      </c>
      <c r="AQ5433" s="4">
        <v>15</v>
      </c>
      <c r="AR5433" s="3" t="s">
        <v>62</v>
      </c>
      <c r="AS5433" s="3" t="s">
        <v>62</v>
      </c>
      <c r="AT5433" s="3" t="s">
        <v>61</v>
      </c>
      <c r="AU5433" s="6" t="str">
        <f>HYPERLINK("http://catalog.hathitrust.org/Record/003174410","HathiTrust Record")</f>
        <v>HathiTrust Record</v>
      </c>
      <c r="AV5433" s="6" t="str">
        <f>HYPERLINK("http://mcgill.on.worldcat.org/oclc/36011671","Catalog Record")</f>
        <v>Catalog Record</v>
      </c>
      <c r="AW5433" s="6" t="str">
        <f>HYPERLINK("http://www.worldcat.org/oclc/36011671","WorldCat Record")</f>
        <v>WorldCat Record</v>
      </c>
      <c r="AX5433" s="3" t="s">
        <v>51949</v>
      </c>
      <c r="AY5433" s="3" t="s">
        <v>51950</v>
      </c>
      <c r="AZ5433" s="3" t="s">
        <v>51951</v>
      </c>
      <c r="BA5433" s="3" t="s">
        <v>51951</v>
      </c>
      <c r="BB5433" s="3" t="s">
        <v>51952</v>
      </c>
      <c r="BC5433" s="3" t="s">
        <v>102</v>
      </c>
      <c r="BD5433" s="3" t="s">
        <v>68</v>
      </c>
      <c r="BE5433" s="3" t="s">
        <v>51953</v>
      </c>
      <c r="BF5433" s="3" t="s">
        <v>51952</v>
      </c>
      <c r="BG5433" s="3" t="s">
        <v>51954</v>
      </c>
    </row>
    <row r="5434" spans="1:59" ht="58" x14ac:dyDescent="0.35">
      <c r="A5434" s="2" t="s">
        <v>59</v>
      </c>
      <c r="B5434" s="2" t="s">
        <v>60</v>
      </c>
      <c r="C5434" s="2" t="s">
        <v>51955</v>
      </c>
      <c r="D5434" s="2" t="s">
        <v>51956</v>
      </c>
      <c r="E5434" s="2" t="s">
        <v>51957</v>
      </c>
      <c r="F5434" s="3" t="s">
        <v>1416</v>
      </c>
      <c r="G5434" s="3" t="s">
        <v>61</v>
      </c>
      <c r="I5434" s="3" t="s">
        <v>61</v>
      </c>
      <c r="J5434" s="3" t="s">
        <v>62</v>
      </c>
      <c r="K5434" s="3" t="s">
        <v>63</v>
      </c>
      <c r="M5434" s="2" t="s">
        <v>51958</v>
      </c>
      <c r="N5434" s="3" t="s">
        <v>95</v>
      </c>
      <c r="P5434" s="3" t="s">
        <v>64</v>
      </c>
      <c r="R5434" s="3" t="s">
        <v>51835</v>
      </c>
      <c r="S5434" s="4">
        <v>0</v>
      </c>
      <c r="T5434" s="4">
        <v>21</v>
      </c>
      <c r="V5434" s="5" t="s">
        <v>3030</v>
      </c>
      <c r="W5434" s="5" t="s">
        <v>67</v>
      </c>
      <c r="X5434" s="5" t="s">
        <v>67</v>
      </c>
      <c r="Y5434" s="4">
        <v>477</v>
      </c>
      <c r="Z5434" s="4">
        <v>27</v>
      </c>
      <c r="AA5434" s="4">
        <v>33</v>
      </c>
      <c r="AB5434" s="4">
        <v>3</v>
      </c>
      <c r="AC5434" s="4">
        <v>7</v>
      </c>
      <c r="AD5434" s="4">
        <v>107</v>
      </c>
      <c r="AE5434" s="4">
        <v>113</v>
      </c>
      <c r="AF5434" s="4">
        <v>2</v>
      </c>
      <c r="AG5434" s="4">
        <v>5</v>
      </c>
      <c r="AH5434" s="4">
        <v>92</v>
      </c>
      <c r="AI5434" s="4">
        <v>94</v>
      </c>
      <c r="AJ5434" s="4">
        <v>18</v>
      </c>
      <c r="AK5434" s="4">
        <v>22</v>
      </c>
      <c r="AL5434" s="4">
        <v>51</v>
      </c>
      <c r="AM5434" s="4">
        <v>52</v>
      </c>
      <c r="AN5434" s="4">
        <v>0</v>
      </c>
      <c r="AO5434" s="4">
        <v>0</v>
      </c>
      <c r="AP5434" s="4">
        <v>19</v>
      </c>
      <c r="AQ5434" s="4">
        <v>24</v>
      </c>
      <c r="AR5434" s="3" t="s">
        <v>62</v>
      </c>
      <c r="AS5434" s="3" t="s">
        <v>62</v>
      </c>
      <c r="AT5434" s="3" t="s">
        <v>61</v>
      </c>
      <c r="AU5434" s="6" t="str">
        <f>HYPERLINK("http://catalog.hathitrust.org/Record/000307370","HathiTrust Record")</f>
        <v>HathiTrust Record</v>
      </c>
      <c r="AV5434" s="6" t="str">
        <f>HYPERLINK("http://mcgill.on.worldcat.org/oclc/7597782","Catalog Record")</f>
        <v>Catalog Record</v>
      </c>
      <c r="AW5434" s="6" t="str">
        <f>HYPERLINK("http://www.worldcat.org/oclc/7597782","WorldCat Record")</f>
        <v>WorldCat Record</v>
      </c>
      <c r="AX5434" s="3" t="s">
        <v>51959</v>
      </c>
      <c r="AY5434" s="3" t="s">
        <v>51960</v>
      </c>
      <c r="AZ5434" s="3" t="s">
        <v>51961</v>
      </c>
      <c r="BA5434" s="3" t="s">
        <v>51961</v>
      </c>
      <c r="BB5434" s="3" t="s">
        <v>51962</v>
      </c>
      <c r="BC5434" s="3" t="s">
        <v>102</v>
      </c>
      <c r="BD5434" s="3" t="s">
        <v>68</v>
      </c>
      <c r="BE5434" s="3" t="s">
        <v>51963</v>
      </c>
      <c r="BF5434" s="3" t="s">
        <v>51962</v>
      </c>
      <c r="BG5434" s="3" t="s">
        <v>51964</v>
      </c>
    </row>
    <row r="5435" spans="1:59" ht="58" x14ac:dyDescent="0.35">
      <c r="A5435" s="2" t="s">
        <v>59</v>
      </c>
      <c r="B5435" s="2" t="s">
        <v>60</v>
      </c>
      <c r="C5435" s="2" t="s">
        <v>51955</v>
      </c>
      <c r="D5435" s="2" t="s">
        <v>51956</v>
      </c>
      <c r="E5435" s="2" t="s">
        <v>51957</v>
      </c>
      <c r="F5435" s="3" t="s">
        <v>1413</v>
      </c>
      <c r="G5435" s="3" t="s">
        <v>61</v>
      </c>
      <c r="I5435" s="3" t="s">
        <v>61</v>
      </c>
      <c r="J5435" s="3" t="s">
        <v>62</v>
      </c>
      <c r="K5435" s="3" t="s">
        <v>63</v>
      </c>
      <c r="M5435" s="2" t="s">
        <v>51958</v>
      </c>
      <c r="N5435" s="3" t="s">
        <v>95</v>
      </c>
      <c r="P5435" s="3" t="s">
        <v>64</v>
      </c>
      <c r="R5435" s="3" t="s">
        <v>51835</v>
      </c>
      <c r="S5435" s="4">
        <v>0</v>
      </c>
      <c r="T5435" s="4">
        <v>21</v>
      </c>
      <c r="V5435" s="5" t="s">
        <v>3030</v>
      </c>
      <c r="W5435" s="5" t="s">
        <v>67</v>
      </c>
      <c r="X5435" s="5" t="s">
        <v>67</v>
      </c>
      <c r="Y5435" s="4">
        <v>477</v>
      </c>
      <c r="Z5435" s="4">
        <v>27</v>
      </c>
      <c r="AA5435" s="4">
        <v>33</v>
      </c>
      <c r="AB5435" s="4">
        <v>3</v>
      </c>
      <c r="AC5435" s="4">
        <v>7</v>
      </c>
      <c r="AD5435" s="4">
        <v>107</v>
      </c>
      <c r="AE5435" s="4">
        <v>113</v>
      </c>
      <c r="AF5435" s="4">
        <v>2</v>
      </c>
      <c r="AG5435" s="4">
        <v>5</v>
      </c>
      <c r="AH5435" s="4">
        <v>92</v>
      </c>
      <c r="AI5435" s="4">
        <v>94</v>
      </c>
      <c r="AJ5435" s="4">
        <v>18</v>
      </c>
      <c r="AK5435" s="4">
        <v>22</v>
      </c>
      <c r="AL5435" s="4">
        <v>51</v>
      </c>
      <c r="AM5435" s="4">
        <v>52</v>
      </c>
      <c r="AN5435" s="4">
        <v>0</v>
      </c>
      <c r="AO5435" s="4">
        <v>0</v>
      </c>
      <c r="AP5435" s="4">
        <v>19</v>
      </c>
      <c r="AQ5435" s="4">
        <v>24</v>
      </c>
      <c r="AR5435" s="3" t="s">
        <v>62</v>
      </c>
      <c r="AS5435" s="3" t="s">
        <v>62</v>
      </c>
      <c r="AT5435" s="3" t="s">
        <v>61</v>
      </c>
      <c r="AU5435" s="6" t="str">
        <f>HYPERLINK("http://catalog.hathitrust.org/Record/000307370","HathiTrust Record")</f>
        <v>HathiTrust Record</v>
      </c>
      <c r="AV5435" s="6" t="str">
        <f>HYPERLINK("http://mcgill.on.worldcat.org/oclc/7597782","Catalog Record")</f>
        <v>Catalog Record</v>
      </c>
      <c r="AW5435" s="6" t="str">
        <f>HYPERLINK("http://www.worldcat.org/oclc/7597782","WorldCat Record")</f>
        <v>WorldCat Record</v>
      </c>
      <c r="AX5435" s="3" t="s">
        <v>51959</v>
      </c>
      <c r="AY5435" s="3" t="s">
        <v>51960</v>
      </c>
      <c r="AZ5435" s="3" t="s">
        <v>51961</v>
      </c>
      <c r="BA5435" s="3" t="s">
        <v>51961</v>
      </c>
      <c r="BB5435" s="3" t="s">
        <v>51965</v>
      </c>
      <c r="BC5435" s="3" t="s">
        <v>102</v>
      </c>
      <c r="BD5435" s="3" t="s">
        <v>68</v>
      </c>
      <c r="BE5435" s="3" t="s">
        <v>51963</v>
      </c>
      <c r="BF5435" s="3" t="s">
        <v>51965</v>
      </c>
      <c r="BG5435" s="3" t="s">
        <v>51966</v>
      </c>
    </row>
    <row r="5436" spans="1:59" ht="58" x14ac:dyDescent="0.35">
      <c r="A5436" s="2" t="s">
        <v>59</v>
      </c>
      <c r="B5436" s="2" t="s">
        <v>60</v>
      </c>
      <c r="C5436" s="2" t="s">
        <v>51967</v>
      </c>
      <c r="D5436" s="2" t="s">
        <v>51968</v>
      </c>
      <c r="E5436" s="2" t="s">
        <v>51969</v>
      </c>
      <c r="G5436" s="3" t="s">
        <v>62</v>
      </c>
      <c r="I5436" s="3" t="s">
        <v>62</v>
      </c>
      <c r="J5436" s="3" t="s">
        <v>62</v>
      </c>
      <c r="K5436" s="3" t="s">
        <v>63</v>
      </c>
      <c r="M5436" s="2" t="s">
        <v>51970</v>
      </c>
      <c r="N5436" s="3" t="s">
        <v>1077</v>
      </c>
      <c r="P5436" s="3" t="s">
        <v>64</v>
      </c>
      <c r="R5436" s="3" t="s">
        <v>51835</v>
      </c>
      <c r="S5436" s="4">
        <v>21</v>
      </c>
      <c r="T5436" s="4">
        <v>21</v>
      </c>
      <c r="U5436" s="5" t="s">
        <v>3943</v>
      </c>
      <c r="V5436" s="5" t="s">
        <v>3943</v>
      </c>
      <c r="W5436" s="5" t="s">
        <v>67</v>
      </c>
      <c r="X5436" s="5" t="s">
        <v>67</v>
      </c>
      <c r="Y5436" s="4">
        <v>420</v>
      </c>
      <c r="Z5436" s="4">
        <v>31</v>
      </c>
      <c r="AA5436" s="4">
        <v>43</v>
      </c>
      <c r="AB5436" s="4">
        <v>2</v>
      </c>
      <c r="AC5436" s="4">
        <v>13</v>
      </c>
      <c r="AD5436" s="4">
        <v>91</v>
      </c>
      <c r="AE5436" s="4">
        <v>98</v>
      </c>
      <c r="AF5436" s="4">
        <v>0</v>
      </c>
      <c r="AG5436" s="4">
        <v>4</v>
      </c>
      <c r="AH5436" s="4">
        <v>74</v>
      </c>
      <c r="AI5436" s="4">
        <v>77</v>
      </c>
      <c r="AJ5436" s="4">
        <v>15</v>
      </c>
      <c r="AK5436" s="4">
        <v>18</v>
      </c>
      <c r="AL5436" s="4">
        <v>41</v>
      </c>
      <c r="AM5436" s="4">
        <v>42</v>
      </c>
      <c r="AN5436" s="4">
        <v>0</v>
      </c>
      <c r="AO5436" s="4">
        <v>0</v>
      </c>
      <c r="AP5436" s="4">
        <v>22</v>
      </c>
      <c r="AQ5436" s="4">
        <v>26</v>
      </c>
      <c r="AR5436" s="3" t="s">
        <v>62</v>
      </c>
      <c r="AS5436" s="3" t="s">
        <v>62</v>
      </c>
      <c r="AT5436" s="3" t="s">
        <v>62</v>
      </c>
      <c r="AV5436" s="6" t="str">
        <f>HYPERLINK("http://mcgill.on.worldcat.org/oclc/27768277","Catalog Record")</f>
        <v>Catalog Record</v>
      </c>
      <c r="AW5436" s="6" t="str">
        <f>HYPERLINK("http://www.worldcat.org/oclc/27768277","WorldCat Record")</f>
        <v>WorldCat Record</v>
      </c>
      <c r="AX5436" s="3" t="s">
        <v>51971</v>
      </c>
      <c r="AY5436" s="3" t="s">
        <v>51972</v>
      </c>
      <c r="AZ5436" s="3" t="s">
        <v>51973</v>
      </c>
      <c r="BA5436" s="3" t="s">
        <v>51973</v>
      </c>
      <c r="BB5436" s="3" t="s">
        <v>51974</v>
      </c>
      <c r="BC5436" s="3" t="s">
        <v>102</v>
      </c>
      <c r="BD5436" s="3" t="s">
        <v>68</v>
      </c>
      <c r="BE5436" s="3" t="s">
        <v>51975</v>
      </c>
      <c r="BF5436" s="3" t="s">
        <v>51974</v>
      </c>
      <c r="BG5436" s="3" t="s">
        <v>51976</v>
      </c>
    </row>
    <row r="5437" spans="1:59" ht="58" x14ac:dyDescent="0.35">
      <c r="A5437" s="2" t="s">
        <v>59</v>
      </c>
      <c r="B5437" s="2" t="s">
        <v>60</v>
      </c>
      <c r="C5437" s="2" t="s">
        <v>51977</v>
      </c>
      <c r="D5437" s="2" t="s">
        <v>51978</v>
      </c>
      <c r="E5437" s="2" t="s">
        <v>51979</v>
      </c>
      <c r="G5437" s="3" t="s">
        <v>62</v>
      </c>
      <c r="I5437" s="3" t="s">
        <v>62</v>
      </c>
      <c r="J5437" s="3" t="s">
        <v>62</v>
      </c>
      <c r="K5437" s="3" t="s">
        <v>63</v>
      </c>
      <c r="M5437" s="2" t="s">
        <v>51980</v>
      </c>
      <c r="N5437" s="3" t="s">
        <v>396</v>
      </c>
      <c r="P5437" s="3" t="s">
        <v>64</v>
      </c>
      <c r="Q5437" s="2" t="s">
        <v>51981</v>
      </c>
      <c r="R5437" s="3" t="s">
        <v>51835</v>
      </c>
      <c r="S5437" s="4">
        <v>8</v>
      </c>
      <c r="T5437" s="4">
        <v>8</v>
      </c>
      <c r="U5437" s="5" t="s">
        <v>51982</v>
      </c>
      <c r="V5437" s="5" t="s">
        <v>51982</v>
      </c>
      <c r="W5437" s="5" t="s">
        <v>67</v>
      </c>
      <c r="X5437" s="5" t="s">
        <v>67</v>
      </c>
      <c r="Y5437" s="4">
        <v>158</v>
      </c>
      <c r="Z5437" s="4">
        <v>12</v>
      </c>
      <c r="AA5437" s="4">
        <v>16</v>
      </c>
      <c r="AB5437" s="4">
        <v>1</v>
      </c>
      <c r="AC5437" s="4">
        <v>3</v>
      </c>
      <c r="AD5437" s="4">
        <v>64</v>
      </c>
      <c r="AE5437" s="4">
        <v>70</v>
      </c>
      <c r="AF5437" s="4">
        <v>0</v>
      </c>
      <c r="AG5437" s="4">
        <v>1</v>
      </c>
      <c r="AH5437" s="4">
        <v>57</v>
      </c>
      <c r="AI5437" s="4">
        <v>60</v>
      </c>
      <c r="AJ5437" s="4">
        <v>9</v>
      </c>
      <c r="AK5437" s="4">
        <v>11</v>
      </c>
      <c r="AL5437" s="4">
        <v>31</v>
      </c>
      <c r="AM5437" s="4">
        <v>34</v>
      </c>
      <c r="AN5437" s="4">
        <v>0</v>
      </c>
      <c r="AO5437" s="4">
        <v>0</v>
      </c>
      <c r="AP5437" s="4">
        <v>9</v>
      </c>
      <c r="AQ5437" s="4">
        <v>12</v>
      </c>
      <c r="AR5437" s="3" t="s">
        <v>62</v>
      </c>
      <c r="AS5437" s="3" t="s">
        <v>62</v>
      </c>
      <c r="AT5437" s="3" t="s">
        <v>61</v>
      </c>
      <c r="AU5437" s="6" t="str">
        <f>HYPERLINK("http://catalog.hathitrust.org/Record/000378133","HathiTrust Record")</f>
        <v>HathiTrust Record</v>
      </c>
      <c r="AV5437" s="6" t="str">
        <f>HYPERLINK("http://mcgill.on.worldcat.org/oclc/11784028","Catalog Record")</f>
        <v>Catalog Record</v>
      </c>
      <c r="AW5437" s="6" t="str">
        <f>HYPERLINK("http://www.worldcat.org/oclc/11784028","WorldCat Record")</f>
        <v>WorldCat Record</v>
      </c>
      <c r="AX5437" s="3" t="s">
        <v>51983</v>
      </c>
      <c r="AY5437" s="3" t="s">
        <v>51984</v>
      </c>
      <c r="AZ5437" s="3" t="s">
        <v>51985</v>
      </c>
      <c r="BA5437" s="3" t="s">
        <v>51985</v>
      </c>
      <c r="BB5437" s="3" t="s">
        <v>51986</v>
      </c>
      <c r="BC5437" s="3" t="s">
        <v>102</v>
      </c>
      <c r="BD5437" s="3" t="s">
        <v>68</v>
      </c>
      <c r="BE5437" s="3" t="s">
        <v>51987</v>
      </c>
      <c r="BF5437" s="3" t="s">
        <v>51986</v>
      </c>
      <c r="BG5437" s="3" t="s">
        <v>51988</v>
      </c>
    </row>
    <row r="5438" spans="1:59" ht="72.5" x14ac:dyDescent="0.35">
      <c r="A5438" s="2" t="s">
        <v>89</v>
      </c>
      <c r="B5438" s="2" t="s">
        <v>1231</v>
      </c>
      <c r="C5438" s="2" t="s">
        <v>51989</v>
      </c>
      <c r="D5438" s="2" t="s">
        <v>51990</v>
      </c>
      <c r="E5438" s="2" t="s">
        <v>51991</v>
      </c>
      <c r="G5438" s="3" t="s">
        <v>62</v>
      </c>
      <c r="I5438" s="3" t="s">
        <v>62</v>
      </c>
      <c r="J5438" s="3" t="s">
        <v>62</v>
      </c>
      <c r="K5438" s="3" t="s">
        <v>63</v>
      </c>
      <c r="M5438" s="2" t="s">
        <v>51992</v>
      </c>
      <c r="N5438" s="3" t="s">
        <v>880</v>
      </c>
      <c r="P5438" s="3" t="s">
        <v>64</v>
      </c>
      <c r="R5438" s="3" t="s">
        <v>51835</v>
      </c>
      <c r="S5438" s="4">
        <v>0</v>
      </c>
      <c r="T5438" s="4">
        <v>0</v>
      </c>
      <c r="W5438" s="5" t="s">
        <v>67</v>
      </c>
      <c r="X5438" s="5" t="s">
        <v>67</v>
      </c>
      <c r="Y5438" s="4">
        <v>117</v>
      </c>
      <c r="Z5438" s="4">
        <v>13</v>
      </c>
      <c r="AA5438" s="4">
        <v>18</v>
      </c>
      <c r="AB5438" s="4">
        <v>1</v>
      </c>
      <c r="AC5438" s="4">
        <v>4</v>
      </c>
      <c r="AD5438" s="4">
        <v>42</v>
      </c>
      <c r="AE5438" s="4">
        <v>50</v>
      </c>
      <c r="AF5438" s="4">
        <v>0</v>
      </c>
      <c r="AG5438" s="4">
        <v>1</v>
      </c>
      <c r="AH5438" s="4">
        <v>36</v>
      </c>
      <c r="AI5438" s="4">
        <v>44</v>
      </c>
      <c r="AJ5438" s="4">
        <v>7</v>
      </c>
      <c r="AK5438" s="4">
        <v>8</v>
      </c>
      <c r="AL5438" s="4">
        <v>20</v>
      </c>
      <c r="AM5438" s="4">
        <v>24</v>
      </c>
      <c r="AN5438" s="4">
        <v>0</v>
      </c>
      <c r="AO5438" s="4">
        <v>0</v>
      </c>
      <c r="AP5438" s="4">
        <v>9</v>
      </c>
      <c r="AQ5438" s="4">
        <v>10</v>
      </c>
      <c r="AR5438" s="3" t="s">
        <v>62</v>
      </c>
      <c r="AS5438" s="3" t="s">
        <v>62</v>
      </c>
      <c r="AT5438" s="3" t="s">
        <v>62</v>
      </c>
      <c r="AV5438" s="6" t="str">
        <f>HYPERLINK("http://mcgill.on.worldcat.org/oclc/574940242","Catalog Record")</f>
        <v>Catalog Record</v>
      </c>
      <c r="AW5438" s="6" t="str">
        <f>HYPERLINK("http://www.worldcat.org/oclc/574940242","WorldCat Record")</f>
        <v>WorldCat Record</v>
      </c>
      <c r="AX5438" s="3" t="s">
        <v>51993</v>
      </c>
      <c r="AY5438" s="3" t="s">
        <v>51994</v>
      </c>
      <c r="AZ5438" s="3" t="s">
        <v>51995</v>
      </c>
      <c r="BA5438" s="3" t="s">
        <v>51995</v>
      </c>
      <c r="BB5438" s="3" t="s">
        <v>51996</v>
      </c>
      <c r="BC5438" s="3" t="s">
        <v>102</v>
      </c>
      <c r="BD5438" s="3" t="s">
        <v>68</v>
      </c>
      <c r="BE5438" s="3" t="s">
        <v>51997</v>
      </c>
      <c r="BF5438" s="3" t="s">
        <v>51996</v>
      </c>
      <c r="BG5438" s="3" t="s">
        <v>51998</v>
      </c>
    </row>
    <row r="5439" spans="1:59" ht="101.5" x14ac:dyDescent="0.35">
      <c r="A5439" s="2" t="s">
        <v>89</v>
      </c>
      <c r="B5439" s="2" t="s">
        <v>36812</v>
      </c>
      <c r="C5439" s="2" t="s">
        <v>51999</v>
      </c>
      <c r="D5439" s="2" t="s">
        <v>52000</v>
      </c>
      <c r="E5439" s="2" t="s">
        <v>52001</v>
      </c>
      <c r="G5439" s="3" t="s">
        <v>62</v>
      </c>
      <c r="I5439" s="3" t="s">
        <v>62</v>
      </c>
      <c r="J5439" s="3" t="s">
        <v>62</v>
      </c>
      <c r="K5439" s="3" t="s">
        <v>63</v>
      </c>
      <c r="L5439" s="2" t="s">
        <v>52002</v>
      </c>
      <c r="M5439" s="2" t="s">
        <v>52003</v>
      </c>
      <c r="N5439" s="3" t="s">
        <v>1455</v>
      </c>
      <c r="P5439" s="3" t="s">
        <v>64</v>
      </c>
      <c r="R5439" s="3" t="s">
        <v>51835</v>
      </c>
      <c r="S5439" s="4">
        <v>6</v>
      </c>
      <c r="T5439" s="4">
        <v>6</v>
      </c>
      <c r="U5439" s="5" t="s">
        <v>34953</v>
      </c>
      <c r="V5439" s="5" t="s">
        <v>34953</v>
      </c>
      <c r="W5439" s="5" t="s">
        <v>67</v>
      </c>
      <c r="X5439" s="5" t="s">
        <v>67</v>
      </c>
      <c r="Y5439" s="4">
        <v>763</v>
      </c>
      <c r="Z5439" s="4">
        <v>25</v>
      </c>
      <c r="AA5439" s="4">
        <v>30</v>
      </c>
      <c r="AB5439" s="4">
        <v>3</v>
      </c>
      <c r="AC5439" s="4">
        <v>6</v>
      </c>
      <c r="AD5439" s="4">
        <v>25</v>
      </c>
      <c r="AE5439" s="4">
        <v>29</v>
      </c>
      <c r="AF5439" s="4">
        <v>0</v>
      </c>
      <c r="AG5439" s="4">
        <v>0</v>
      </c>
      <c r="AH5439" s="4">
        <v>24</v>
      </c>
      <c r="AI5439" s="4">
        <v>28</v>
      </c>
      <c r="AJ5439" s="4">
        <v>1</v>
      </c>
      <c r="AK5439" s="4">
        <v>1</v>
      </c>
      <c r="AL5439" s="4">
        <v>15</v>
      </c>
      <c r="AM5439" s="4">
        <v>17</v>
      </c>
      <c r="AN5439" s="4">
        <v>0</v>
      </c>
      <c r="AO5439" s="4">
        <v>0</v>
      </c>
      <c r="AP5439" s="4">
        <v>2</v>
      </c>
      <c r="AQ5439" s="4">
        <v>3</v>
      </c>
      <c r="AR5439" s="3" t="s">
        <v>62</v>
      </c>
      <c r="AS5439" s="3" t="s">
        <v>62</v>
      </c>
      <c r="AT5439" s="3" t="s">
        <v>62</v>
      </c>
      <c r="AV5439" s="6" t="str">
        <f>HYPERLINK("http://mcgill.on.worldcat.org/oclc/894026165","Catalog Record")</f>
        <v>Catalog Record</v>
      </c>
      <c r="AW5439" s="6" t="str">
        <f>HYPERLINK("http://www.worldcat.org/oclc/894026165","WorldCat Record")</f>
        <v>WorldCat Record</v>
      </c>
      <c r="AX5439" s="3" t="s">
        <v>52004</v>
      </c>
      <c r="AY5439" s="3" t="s">
        <v>52005</v>
      </c>
      <c r="AZ5439" s="3" t="s">
        <v>52006</v>
      </c>
      <c r="BA5439" s="3" t="s">
        <v>52006</v>
      </c>
      <c r="BB5439" s="3" t="s">
        <v>52007</v>
      </c>
      <c r="BC5439" s="3" t="s">
        <v>102</v>
      </c>
      <c r="BD5439" s="3" t="s">
        <v>68</v>
      </c>
      <c r="BE5439" s="3" t="s">
        <v>52008</v>
      </c>
      <c r="BF5439" s="3" t="s">
        <v>52007</v>
      </c>
      <c r="BG5439" s="3" t="s">
        <v>52009</v>
      </c>
    </row>
    <row r="5440" spans="1:59" ht="72.5" x14ac:dyDescent="0.35">
      <c r="A5440" s="2" t="s">
        <v>59</v>
      </c>
      <c r="B5440" s="2" t="s">
        <v>60</v>
      </c>
      <c r="C5440" s="2" t="s">
        <v>52010</v>
      </c>
      <c r="D5440" s="2" t="s">
        <v>52011</v>
      </c>
      <c r="E5440" s="2" t="s">
        <v>52012</v>
      </c>
      <c r="G5440" s="3" t="s">
        <v>62</v>
      </c>
      <c r="I5440" s="3" t="s">
        <v>62</v>
      </c>
      <c r="J5440" s="3" t="s">
        <v>62</v>
      </c>
      <c r="K5440" s="3" t="s">
        <v>63</v>
      </c>
      <c r="L5440" s="2" t="s">
        <v>850</v>
      </c>
      <c r="M5440" s="2" t="s">
        <v>52013</v>
      </c>
      <c r="N5440" s="3" t="s">
        <v>1482</v>
      </c>
      <c r="P5440" s="3" t="s">
        <v>64</v>
      </c>
      <c r="R5440" s="3" t="s">
        <v>51835</v>
      </c>
      <c r="S5440" s="4">
        <v>4</v>
      </c>
      <c r="T5440" s="4">
        <v>4</v>
      </c>
      <c r="U5440" s="5" t="s">
        <v>23153</v>
      </c>
      <c r="V5440" s="5" t="s">
        <v>23153</v>
      </c>
      <c r="W5440" s="5" t="s">
        <v>67</v>
      </c>
      <c r="X5440" s="5" t="s">
        <v>67</v>
      </c>
      <c r="Y5440" s="4">
        <v>712</v>
      </c>
      <c r="Z5440" s="4">
        <v>24</v>
      </c>
      <c r="AA5440" s="4">
        <v>34</v>
      </c>
      <c r="AB5440" s="4">
        <v>1</v>
      </c>
      <c r="AC5440" s="4">
        <v>4</v>
      </c>
      <c r="AD5440" s="4">
        <v>102</v>
      </c>
      <c r="AE5440" s="4">
        <v>111</v>
      </c>
      <c r="AF5440" s="4">
        <v>0</v>
      </c>
      <c r="AG5440" s="4">
        <v>2</v>
      </c>
      <c r="AH5440" s="4">
        <v>89</v>
      </c>
      <c r="AI5440" s="4">
        <v>94</v>
      </c>
      <c r="AJ5440" s="4">
        <v>16</v>
      </c>
      <c r="AK5440" s="4">
        <v>19</v>
      </c>
      <c r="AL5440" s="4">
        <v>54</v>
      </c>
      <c r="AM5440" s="4">
        <v>55</v>
      </c>
      <c r="AN5440" s="4">
        <v>0</v>
      </c>
      <c r="AO5440" s="4">
        <v>0</v>
      </c>
      <c r="AP5440" s="4">
        <v>17</v>
      </c>
      <c r="AQ5440" s="4">
        <v>21</v>
      </c>
      <c r="AR5440" s="3" t="s">
        <v>62</v>
      </c>
      <c r="AS5440" s="3" t="s">
        <v>62</v>
      </c>
      <c r="AT5440" s="3" t="s">
        <v>61</v>
      </c>
      <c r="AU5440" s="6" t="str">
        <f>HYPERLINK("http://catalog.hathitrust.org/Record/000558162","HathiTrust Record")</f>
        <v>HathiTrust Record</v>
      </c>
      <c r="AV5440" s="6" t="str">
        <f>HYPERLINK("http://mcgill.on.worldcat.org/oclc/12804275","Catalog Record")</f>
        <v>Catalog Record</v>
      </c>
      <c r="AW5440" s="6" t="str">
        <f>HYPERLINK("http://www.worldcat.org/oclc/12804275","WorldCat Record")</f>
        <v>WorldCat Record</v>
      </c>
      <c r="AX5440" s="3" t="s">
        <v>52014</v>
      </c>
      <c r="AY5440" s="3" t="s">
        <v>52015</v>
      </c>
      <c r="AZ5440" s="3" t="s">
        <v>52016</v>
      </c>
      <c r="BA5440" s="3" t="s">
        <v>52016</v>
      </c>
      <c r="BB5440" s="3" t="s">
        <v>52017</v>
      </c>
      <c r="BC5440" s="3" t="s">
        <v>102</v>
      </c>
      <c r="BD5440" s="3" t="s">
        <v>68</v>
      </c>
      <c r="BE5440" s="3" t="s">
        <v>52018</v>
      </c>
      <c r="BF5440" s="3" t="s">
        <v>52017</v>
      </c>
      <c r="BG5440" s="3" t="s">
        <v>52019</v>
      </c>
    </row>
    <row r="5441" spans="1:59" ht="58" x14ac:dyDescent="0.35">
      <c r="A5441" s="2" t="s">
        <v>59</v>
      </c>
      <c r="B5441" s="2" t="s">
        <v>60</v>
      </c>
      <c r="C5441" s="2" t="s">
        <v>52020</v>
      </c>
      <c r="D5441" s="2" t="s">
        <v>52021</v>
      </c>
      <c r="E5441" s="2" t="s">
        <v>52022</v>
      </c>
      <c r="G5441" s="3" t="s">
        <v>62</v>
      </c>
      <c r="I5441" s="3" t="s">
        <v>61</v>
      </c>
      <c r="J5441" s="3" t="s">
        <v>62</v>
      </c>
      <c r="K5441" s="3" t="s">
        <v>63</v>
      </c>
      <c r="M5441" s="2" t="s">
        <v>52023</v>
      </c>
      <c r="N5441" s="3" t="s">
        <v>201</v>
      </c>
      <c r="P5441" s="3" t="s">
        <v>64</v>
      </c>
      <c r="R5441" s="3" t="s">
        <v>51835</v>
      </c>
      <c r="S5441" s="4">
        <v>0</v>
      </c>
      <c r="T5441" s="4">
        <v>6</v>
      </c>
      <c r="V5441" s="5" t="s">
        <v>8699</v>
      </c>
      <c r="W5441" s="5" t="s">
        <v>67</v>
      </c>
      <c r="X5441" s="5" t="s">
        <v>67</v>
      </c>
      <c r="Y5441" s="4">
        <v>233</v>
      </c>
      <c r="Z5441" s="4">
        <v>13</v>
      </c>
      <c r="AA5441" s="4">
        <v>14</v>
      </c>
      <c r="AB5441" s="4">
        <v>2</v>
      </c>
      <c r="AC5441" s="4">
        <v>3</v>
      </c>
      <c r="AD5441" s="4">
        <v>78</v>
      </c>
      <c r="AE5441" s="4">
        <v>79</v>
      </c>
      <c r="AF5441" s="4">
        <v>0</v>
      </c>
      <c r="AG5441" s="4">
        <v>1</v>
      </c>
      <c r="AH5441" s="4">
        <v>74</v>
      </c>
      <c r="AI5441" s="4">
        <v>74</v>
      </c>
      <c r="AJ5441" s="4">
        <v>9</v>
      </c>
      <c r="AK5441" s="4">
        <v>10</v>
      </c>
      <c r="AL5441" s="4">
        <v>43</v>
      </c>
      <c r="AM5441" s="4">
        <v>43</v>
      </c>
      <c r="AN5441" s="4">
        <v>0</v>
      </c>
      <c r="AO5441" s="4">
        <v>0</v>
      </c>
      <c r="AP5441" s="4">
        <v>9</v>
      </c>
      <c r="AQ5441" s="4">
        <v>9</v>
      </c>
      <c r="AR5441" s="3" t="s">
        <v>62</v>
      </c>
      <c r="AS5441" s="3" t="s">
        <v>62</v>
      </c>
      <c r="AT5441" s="3" t="s">
        <v>62</v>
      </c>
      <c r="AV5441" s="6" t="str">
        <f>HYPERLINK("http://mcgill.on.worldcat.org/oclc/2388435","Catalog Record")</f>
        <v>Catalog Record</v>
      </c>
      <c r="AW5441" s="6" t="str">
        <f>HYPERLINK("http://www.worldcat.org/oclc/2388435","WorldCat Record")</f>
        <v>WorldCat Record</v>
      </c>
      <c r="AX5441" s="3" t="s">
        <v>52024</v>
      </c>
      <c r="AY5441" s="3" t="s">
        <v>52025</v>
      </c>
      <c r="AZ5441" s="3" t="s">
        <v>52026</v>
      </c>
      <c r="BA5441" s="3" t="s">
        <v>52026</v>
      </c>
      <c r="BB5441" s="3" t="s">
        <v>52027</v>
      </c>
      <c r="BC5441" s="3" t="s">
        <v>102</v>
      </c>
      <c r="BD5441" s="3" t="s">
        <v>68</v>
      </c>
      <c r="BE5441" s="3" t="s">
        <v>52028</v>
      </c>
      <c r="BF5441" s="3" t="s">
        <v>52027</v>
      </c>
      <c r="BG5441" s="3" t="s">
        <v>52029</v>
      </c>
    </row>
    <row r="5442" spans="1:59" ht="58" x14ac:dyDescent="0.35">
      <c r="A5442" s="2" t="s">
        <v>59</v>
      </c>
      <c r="B5442" s="2" t="s">
        <v>60</v>
      </c>
      <c r="C5442" s="2" t="s">
        <v>52030</v>
      </c>
      <c r="D5442" s="2" t="s">
        <v>52031</v>
      </c>
      <c r="E5442" s="2" t="s">
        <v>52032</v>
      </c>
      <c r="G5442" s="3" t="s">
        <v>62</v>
      </c>
      <c r="I5442" s="3" t="s">
        <v>61</v>
      </c>
      <c r="J5442" s="3" t="s">
        <v>62</v>
      </c>
      <c r="K5442" s="3" t="s">
        <v>63</v>
      </c>
      <c r="L5442" s="2" t="s">
        <v>52033</v>
      </c>
      <c r="M5442" s="2" t="s">
        <v>52034</v>
      </c>
      <c r="N5442" s="3" t="s">
        <v>1291</v>
      </c>
      <c r="P5442" s="3" t="s">
        <v>64</v>
      </c>
      <c r="R5442" s="3" t="s">
        <v>51835</v>
      </c>
      <c r="S5442" s="4">
        <v>14</v>
      </c>
      <c r="T5442" s="4">
        <v>38</v>
      </c>
      <c r="U5442" s="5" t="s">
        <v>52035</v>
      </c>
      <c r="V5442" s="5" t="s">
        <v>52036</v>
      </c>
      <c r="W5442" s="5" t="s">
        <v>67</v>
      </c>
      <c r="X5442" s="5" t="s">
        <v>67</v>
      </c>
      <c r="Y5442" s="4">
        <v>572</v>
      </c>
      <c r="Z5442" s="4">
        <v>26</v>
      </c>
      <c r="AA5442" s="4">
        <v>35</v>
      </c>
      <c r="AB5442" s="4">
        <v>2</v>
      </c>
      <c r="AC5442" s="4">
        <v>6</v>
      </c>
      <c r="AD5442" s="4">
        <v>110</v>
      </c>
      <c r="AE5442" s="4">
        <v>118</v>
      </c>
      <c r="AF5442" s="4">
        <v>1</v>
      </c>
      <c r="AG5442" s="4">
        <v>4</v>
      </c>
      <c r="AH5442" s="4">
        <v>96</v>
      </c>
      <c r="AI5442" s="4">
        <v>100</v>
      </c>
      <c r="AJ5442" s="4">
        <v>17</v>
      </c>
      <c r="AK5442" s="4">
        <v>23</v>
      </c>
      <c r="AL5442" s="4">
        <v>55</v>
      </c>
      <c r="AM5442" s="4">
        <v>56</v>
      </c>
      <c r="AN5442" s="4">
        <v>0</v>
      </c>
      <c r="AO5442" s="4">
        <v>0</v>
      </c>
      <c r="AP5442" s="4">
        <v>18</v>
      </c>
      <c r="AQ5442" s="4">
        <v>24</v>
      </c>
      <c r="AR5442" s="3" t="s">
        <v>62</v>
      </c>
      <c r="AS5442" s="3" t="s">
        <v>61</v>
      </c>
      <c r="AT5442" s="3" t="s">
        <v>62</v>
      </c>
      <c r="AU5442" s="6" t="str">
        <f>HYPERLINK("http://catalog.hathitrust.org/Record/001556625","HathiTrust Record")</f>
        <v>HathiTrust Record</v>
      </c>
      <c r="AV5442" s="6" t="str">
        <f>HYPERLINK("http://mcgill.on.worldcat.org/oclc/326505","Catalog Record")</f>
        <v>Catalog Record</v>
      </c>
      <c r="AW5442" s="6" t="str">
        <f>HYPERLINK("http://www.worldcat.org/oclc/326505","WorldCat Record")</f>
        <v>WorldCat Record</v>
      </c>
      <c r="AX5442" s="3" t="s">
        <v>52037</v>
      </c>
      <c r="AY5442" s="3" t="s">
        <v>52038</v>
      </c>
      <c r="AZ5442" s="3" t="s">
        <v>52039</v>
      </c>
      <c r="BA5442" s="3" t="s">
        <v>52039</v>
      </c>
      <c r="BB5442" s="3" t="s">
        <v>52040</v>
      </c>
      <c r="BC5442" s="3" t="s">
        <v>102</v>
      </c>
      <c r="BD5442" s="3" t="s">
        <v>68</v>
      </c>
      <c r="BF5442" s="3" t="s">
        <v>52040</v>
      </c>
      <c r="BG5442" s="3" t="s">
        <v>52041</v>
      </c>
    </row>
    <row r="5443" spans="1:59" ht="72.5" x14ac:dyDescent="0.35">
      <c r="A5443" s="2" t="s">
        <v>89</v>
      </c>
      <c r="B5443" s="2" t="s">
        <v>90</v>
      </c>
      <c r="C5443" s="2" t="s">
        <v>52042</v>
      </c>
      <c r="D5443" s="2" t="s">
        <v>52043</v>
      </c>
      <c r="E5443" s="2" t="s">
        <v>52044</v>
      </c>
      <c r="G5443" s="3" t="s">
        <v>62</v>
      </c>
      <c r="H5443" s="3" t="s">
        <v>916</v>
      </c>
      <c r="I5443" s="3" t="s">
        <v>62</v>
      </c>
      <c r="J5443" s="3" t="s">
        <v>62</v>
      </c>
      <c r="K5443" s="3" t="s">
        <v>63</v>
      </c>
      <c r="L5443" s="2" t="s">
        <v>52045</v>
      </c>
      <c r="M5443" s="2" t="s">
        <v>52046</v>
      </c>
      <c r="N5443" s="3" t="s">
        <v>1455</v>
      </c>
      <c r="P5443" s="3" t="s">
        <v>64</v>
      </c>
      <c r="R5443" s="3" t="s">
        <v>51835</v>
      </c>
      <c r="S5443" s="4">
        <v>1</v>
      </c>
      <c r="T5443" s="4">
        <v>1</v>
      </c>
      <c r="U5443" s="5" t="s">
        <v>10070</v>
      </c>
      <c r="V5443" s="5" t="s">
        <v>10070</v>
      </c>
      <c r="W5443" s="5" t="s">
        <v>9812</v>
      </c>
      <c r="X5443" s="5" t="s">
        <v>9812</v>
      </c>
      <c r="Y5443" s="4">
        <v>416</v>
      </c>
      <c r="Z5443" s="4">
        <v>13</v>
      </c>
      <c r="AA5443" s="4">
        <v>13</v>
      </c>
      <c r="AB5443" s="4">
        <v>1</v>
      </c>
      <c r="AC5443" s="4">
        <v>1</v>
      </c>
      <c r="AD5443" s="4">
        <v>37</v>
      </c>
      <c r="AE5443" s="4">
        <v>38</v>
      </c>
      <c r="AF5443" s="4">
        <v>0</v>
      </c>
      <c r="AG5443" s="4">
        <v>0</v>
      </c>
      <c r="AH5443" s="4">
        <v>35</v>
      </c>
      <c r="AI5443" s="4">
        <v>36</v>
      </c>
      <c r="AJ5443" s="4">
        <v>2</v>
      </c>
      <c r="AK5443" s="4">
        <v>2</v>
      </c>
      <c r="AL5443" s="4">
        <v>20</v>
      </c>
      <c r="AM5443" s="4">
        <v>20</v>
      </c>
      <c r="AN5443" s="4">
        <v>0</v>
      </c>
      <c r="AO5443" s="4">
        <v>0</v>
      </c>
      <c r="AP5443" s="4">
        <v>3</v>
      </c>
      <c r="AQ5443" s="4">
        <v>3</v>
      </c>
      <c r="AR5443" s="3" t="s">
        <v>62</v>
      </c>
      <c r="AS5443" s="3" t="s">
        <v>62</v>
      </c>
      <c r="AT5443" s="3" t="s">
        <v>62</v>
      </c>
      <c r="AV5443" s="6" t="str">
        <f>HYPERLINK("http://mcgill.on.worldcat.org/oclc/880566230","Catalog Record")</f>
        <v>Catalog Record</v>
      </c>
      <c r="AW5443" s="6" t="str">
        <f>HYPERLINK("http://www.worldcat.org/oclc/880566230","WorldCat Record")</f>
        <v>WorldCat Record</v>
      </c>
      <c r="AX5443" s="3" t="s">
        <v>52047</v>
      </c>
      <c r="AY5443" s="3" t="s">
        <v>52048</v>
      </c>
      <c r="AZ5443" s="3" t="s">
        <v>52049</v>
      </c>
      <c r="BA5443" s="3" t="s">
        <v>52049</v>
      </c>
      <c r="BB5443" s="3" t="s">
        <v>52050</v>
      </c>
      <c r="BC5443" s="3" t="s">
        <v>102</v>
      </c>
      <c r="BD5443" s="3" t="s">
        <v>68</v>
      </c>
      <c r="BE5443" s="3" t="s">
        <v>52051</v>
      </c>
      <c r="BF5443" s="3" t="s">
        <v>52050</v>
      </c>
      <c r="BG5443" s="3" t="s">
        <v>52052</v>
      </c>
    </row>
    <row r="5444" spans="1:59" ht="58" x14ac:dyDescent="0.35">
      <c r="A5444" s="2" t="s">
        <v>59</v>
      </c>
      <c r="B5444" s="2" t="s">
        <v>60</v>
      </c>
      <c r="C5444" s="2" t="s">
        <v>52053</v>
      </c>
      <c r="D5444" s="2" t="s">
        <v>52054</v>
      </c>
      <c r="E5444" s="2" t="s">
        <v>52055</v>
      </c>
      <c r="G5444" s="3" t="s">
        <v>62</v>
      </c>
      <c r="I5444" s="3" t="s">
        <v>62</v>
      </c>
      <c r="J5444" s="3" t="s">
        <v>62</v>
      </c>
      <c r="K5444" s="3" t="s">
        <v>63</v>
      </c>
      <c r="L5444" s="2" t="s">
        <v>52056</v>
      </c>
      <c r="M5444" s="2" t="s">
        <v>52057</v>
      </c>
      <c r="N5444" s="3" t="s">
        <v>1482</v>
      </c>
      <c r="P5444" s="3" t="s">
        <v>64</v>
      </c>
      <c r="R5444" s="3" t="s">
        <v>51835</v>
      </c>
      <c r="S5444" s="4">
        <v>21</v>
      </c>
      <c r="T5444" s="4">
        <v>21</v>
      </c>
      <c r="U5444" s="5" t="s">
        <v>31289</v>
      </c>
      <c r="V5444" s="5" t="s">
        <v>31289</v>
      </c>
      <c r="W5444" s="5" t="s">
        <v>67</v>
      </c>
      <c r="X5444" s="5" t="s">
        <v>67</v>
      </c>
      <c r="Y5444" s="4">
        <v>528</v>
      </c>
      <c r="Z5444" s="4">
        <v>25</v>
      </c>
      <c r="AA5444" s="4">
        <v>39</v>
      </c>
      <c r="AB5444" s="4">
        <v>1</v>
      </c>
      <c r="AC5444" s="4">
        <v>5</v>
      </c>
      <c r="AD5444" s="4">
        <v>103</v>
      </c>
      <c r="AE5444" s="4">
        <v>115</v>
      </c>
      <c r="AF5444" s="4">
        <v>0</v>
      </c>
      <c r="AG5444" s="4">
        <v>3</v>
      </c>
      <c r="AH5444" s="4">
        <v>87</v>
      </c>
      <c r="AI5444" s="4">
        <v>93</v>
      </c>
      <c r="AJ5444" s="4">
        <v>12</v>
      </c>
      <c r="AK5444" s="4">
        <v>20</v>
      </c>
      <c r="AL5444" s="4">
        <v>50</v>
      </c>
      <c r="AM5444" s="4">
        <v>52</v>
      </c>
      <c r="AN5444" s="4">
        <v>0</v>
      </c>
      <c r="AO5444" s="4">
        <v>0</v>
      </c>
      <c r="AP5444" s="4">
        <v>19</v>
      </c>
      <c r="AQ5444" s="4">
        <v>27</v>
      </c>
      <c r="AR5444" s="3" t="s">
        <v>62</v>
      </c>
      <c r="AS5444" s="3" t="s">
        <v>62</v>
      </c>
      <c r="AT5444" s="3" t="s">
        <v>62</v>
      </c>
      <c r="AV5444" s="6" t="str">
        <f>HYPERLINK("http://mcgill.on.worldcat.org/oclc/14719427","Catalog Record")</f>
        <v>Catalog Record</v>
      </c>
      <c r="AW5444" s="6" t="str">
        <f>HYPERLINK("http://www.worldcat.org/oclc/14719427","WorldCat Record")</f>
        <v>WorldCat Record</v>
      </c>
      <c r="AX5444" s="3" t="s">
        <v>52058</v>
      </c>
      <c r="AY5444" s="3" t="s">
        <v>52059</v>
      </c>
      <c r="AZ5444" s="3" t="s">
        <v>52060</v>
      </c>
      <c r="BA5444" s="3" t="s">
        <v>52060</v>
      </c>
      <c r="BB5444" s="3" t="s">
        <v>52061</v>
      </c>
      <c r="BC5444" s="3" t="s">
        <v>102</v>
      </c>
      <c r="BD5444" s="3" t="s">
        <v>6923</v>
      </c>
      <c r="BE5444" s="3" t="s">
        <v>52062</v>
      </c>
      <c r="BF5444" s="3" t="s">
        <v>52061</v>
      </c>
      <c r="BG5444" s="3" t="s">
        <v>52063</v>
      </c>
    </row>
    <row r="5445" spans="1:59" ht="58" x14ac:dyDescent="0.35">
      <c r="A5445" s="2" t="s">
        <v>59</v>
      </c>
      <c r="B5445" s="2" t="s">
        <v>60</v>
      </c>
      <c r="C5445" s="2" t="s">
        <v>52064</v>
      </c>
      <c r="D5445" s="2" t="s">
        <v>52065</v>
      </c>
      <c r="E5445" s="2" t="s">
        <v>52066</v>
      </c>
      <c r="G5445" s="3" t="s">
        <v>62</v>
      </c>
      <c r="I5445" s="3" t="s">
        <v>62</v>
      </c>
      <c r="J5445" s="3" t="s">
        <v>62</v>
      </c>
      <c r="K5445" s="3" t="s">
        <v>63</v>
      </c>
      <c r="M5445" s="2" t="s">
        <v>52067</v>
      </c>
      <c r="N5445" s="3" t="s">
        <v>2588</v>
      </c>
      <c r="P5445" s="3" t="s">
        <v>64</v>
      </c>
      <c r="Q5445" s="2" t="s">
        <v>52068</v>
      </c>
      <c r="R5445" s="3" t="s">
        <v>51835</v>
      </c>
      <c r="S5445" s="4">
        <v>4</v>
      </c>
      <c r="T5445" s="4">
        <v>4</v>
      </c>
      <c r="U5445" s="5" t="s">
        <v>8039</v>
      </c>
      <c r="V5445" s="5" t="s">
        <v>8039</v>
      </c>
      <c r="W5445" s="5" t="s">
        <v>67</v>
      </c>
      <c r="X5445" s="5" t="s">
        <v>67</v>
      </c>
      <c r="Y5445" s="4">
        <v>263</v>
      </c>
      <c r="Z5445" s="4">
        <v>14</v>
      </c>
      <c r="AA5445" s="4">
        <v>19</v>
      </c>
      <c r="AB5445" s="4">
        <v>1</v>
      </c>
      <c r="AC5445" s="4">
        <v>6</v>
      </c>
      <c r="AD5445" s="4">
        <v>85</v>
      </c>
      <c r="AE5445" s="4">
        <v>89</v>
      </c>
      <c r="AF5445" s="4">
        <v>0</v>
      </c>
      <c r="AG5445" s="4">
        <v>4</v>
      </c>
      <c r="AH5445" s="4">
        <v>75</v>
      </c>
      <c r="AI5445" s="4">
        <v>76</v>
      </c>
      <c r="AJ5445" s="4">
        <v>13</v>
      </c>
      <c r="AK5445" s="4">
        <v>17</v>
      </c>
      <c r="AL5445" s="4">
        <v>43</v>
      </c>
      <c r="AM5445" s="4">
        <v>43</v>
      </c>
      <c r="AN5445" s="4">
        <v>0</v>
      </c>
      <c r="AO5445" s="4">
        <v>0</v>
      </c>
      <c r="AP5445" s="4">
        <v>12</v>
      </c>
      <c r="AQ5445" s="4">
        <v>15</v>
      </c>
      <c r="AR5445" s="3" t="s">
        <v>62</v>
      </c>
      <c r="AS5445" s="3" t="s">
        <v>62</v>
      </c>
      <c r="AT5445" s="3" t="s">
        <v>61</v>
      </c>
      <c r="AU5445" s="6" t="str">
        <f>HYPERLINK("http://catalog.hathitrust.org/Record/000738537","HathiTrust Record")</f>
        <v>HathiTrust Record</v>
      </c>
      <c r="AV5445" s="6" t="str">
        <f>HYPERLINK("http://mcgill.on.worldcat.org/oclc/2595460","Catalog Record")</f>
        <v>Catalog Record</v>
      </c>
      <c r="AW5445" s="6" t="str">
        <f>HYPERLINK("http://www.worldcat.org/oclc/2595460","WorldCat Record")</f>
        <v>WorldCat Record</v>
      </c>
      <c r="AX5445" s="3" t="s">
        <v>52069</v>
      </c>
      <c r="AY5445" s="3" t="s">
        <v>52070</v>
      </c>
      <c r="AZ5445" s="3" t="s">
        <v>52071</v>
      </c>
      <c r="BA5445" s="3" t="s">
        <v>52071</v>
      </c>
      <c r="BB5445" s="3" t="s">
        <v>52072</v>
      </c>
      <c r="BC5445" s="3" t="s">
        <v>102</v>
      </c>
      <c r="BD5445" s="3" t="s">
        <v>68</v>
      </c>
      <c r="BE5445" s="3" t="s">
        <v>52073</v>
      </c>
      <c r="BF5445" s="3" t="s">
        <v>52072</v>
      </c>
      <c r="BG5445" s="3" t="s">
        <v>52074</v>
      </c>
    </row>
    <row r="5446" spans="1:59" ht="58" x14ac:dyDescent="0.35">
      <c r="A5446" s="2" t="s">
        <v>89</v>
      </c>
      <c r="B5446" s="2" t="s">
        <v>18023</v>
      </c>
      <c r="C5446" s="2" t="s">
        <v>52075</v>
      </c>
      <c r="D5446" s="2" t="s">
        <v>52076</v>
      </c>
      <c r="E5446" s="2" t="s">
        <v>52077</v>
      </c>
      <c r="G5446" s="3" t="s">
        <v>62</v>
      </c>
      <c r="I5446" s="3" t="s">
        <v>62</v>
      </c>
      <c r="J5446" s="3" t="s">
        <v>61</v>
      </c>
      <c r="K5446" s="3" t="s">
        <v>916</v>
      </c>
      <c r="L5446" s="2" t="s">
        <v>52078</v>
      </c>
      <c r="M5446" s="2" t="s">
        <v>52079</v>
      </c>
      <c r="N5446" s="3" t="s">
        <v>2085</v>
      </c>
      <c r="O5446" s="2" t="s">
        <v>22672</v>
      </c>
      <c r="P5446" s="3" t="s">
        <v>64</v>
      </c>
      <c r="R5446" s="3" t="s">
        <v>52080</v>
      </c>
      <c r="S5446" s="4">
        <v>8</v>
      </c>
      <c r="T5446" s="4">
        <v>8</v>
      </c>
      <c r="U5446" s="5" t="s">
        <v>19486</v>
      </c>
      <c r="V5446" s="5" t="s">
        <v>19486</v>
      </c>
      <c r="W5446" s="5" t="s">
        <v>67</v>
      </c>
      <c r="X5446" s="5" t="s">
        <v>67</v>
      </c>
      <c r="Y5446" s="4">
        <v>317</v>
      </c>
      <c r="Z5446" s="4">
        <v>19</v>
      </c>
      <c r="AA5446" s="4">
        <v>95</v>
      </c>
      <c r="AB5446" s="4">
        <v>1</v>
      </c>
      <c r="AC5446" s="4">
        <v>22</v>
      </c>
      <c r="AD5446" s="4">
        <v>53</v>
      </c>
      <c r="AE5446" s="4">
        <v>138</v>
      </c>
      <c r="AF5446" s="4">
        <v>0</v>
      </c>
      <c r="AG5446" s="4">
        <v>6</v>
      </c>
      <c r="AH5446" s="4">
        <v>48</v>
      </c>
      <c r="AI5446" s="4">
        <v>108</v>
      </c>
      <c r="AJ5446" s="4">
        <v>8</v>
      </c>
      <c r="AK5446" s="4">
        <v>27</v>
      </c>
      <c r="AL5446" s="4">
        <v>22</v>
      </c>
      <c r="AM5446" s="4">
        <v>56</v>
      </c>
      <c r="AN5446" s="4">
        <v>0</v>
      </c>
      <c r="AO5446" s="4">
        <v>5</v>
      </c>
      <c r="AP5446" s="4">
        <v>11</v>
      </c>
      <c r="AQ5446" s="4">
        <v>37</v>
      </c>
      <c r="AR5446" s="3" t="s">
        <v>62</v>
      </c>
      <c r="AS5446" s="3" t="s">
        <v>62</v>
      </c>
      <c r="AT5446" s="3" t="s">
        <v>62</v>
      </c>
      <c r="AV5446" s="6" t="str">
        <f>HYPERLINK("http://mcgill.on.worldcat.org/oclc/978362025","Catalog Record")</f>
        <v>Catalog Record</v>
      </c>
      <c r="AW5446" s="6" t="str">
        <f>HYPERLINK("http://www.worldcat.org/oclc/978362025","WorldCat Record")</f>
        <v>WorldCat Record</v>
      </c>
      <c r="AX5446" s="3" t="s">
        <v>46237</v>
      </c>
      <c r="AY5446" s="3" t="s">
        <v>52081</v>
      </c>
      <c r="AZ5446" s="3" t="s">
        <v>52082</v>
      </c>
      <c r="BA5446" s="3" t="s">
        <v>52082</v>
      </c>
      <c r="BB5446" s="3" t="s">
        <v>52083</v>
      </c>
      <c r="BC5446" s="3" t="s">
        <v>102</v>
      </c>
      <c r="BD5446" s="3" t="s">
        <v>68</v>
      </c>
      <c r="BE5446" s="3" t="s">
        <v>52084</v>
      </c>
      <c r="BF5446" s="3" t="s">
        <v>52083</v>
      </c>
      <c r="BG5446" s="3" t="s">
        <v>52085</v>
      </c>
    </row>
    <row r="5447" spans="1:59" ht="58" x14ac:dyDescent="0.35">
      <c r="A5447" s="2" t="s">
        <v>59</v>
      </c>
      <c r="B5447" s="2" t="s">
        <v>60</v>
      </c>
      <c r="C5447" s="2" t="s">
        <v>52086</v>
      </c>
      <c r="D5447" s="2" t="s">
        <v>52087</v>
      </c>
      <c r="E5447" s="2" t="s">
        <v>52088</v>
      </c>
      <c r="G5447" s="3" t="s">
        <v>62</v>
      </c>
      <c r="I5447" s="3" t="s">
        <v>62</v>
      </c>
      <c r="J5447" s="3" t="s">
        <v>61</v>
      </c>
      <c r="K5447" s="3" t="s">
        <v>63</v>
      </c>
      <c r="L5447" s="2" t="s">
        <v>52089</v>
      </c>
      <c r="M5447" s="2" t="s">
        <v>52090</v>
      </c>
      <c r="N5447" s="3" t="s">
        <v>95</v>
      </c>
      <c r="O5447" s="2" t="s">
        <v>2986</v>
      </c>
      <c r="P5447" s="3" t="s">
        <v>64</v>
      </c>
      <c r="R5447" s="3" t="s">
        <v>52080</v>
      </c>
      <c r="S5447" s="4">
        <v>48</v>
      </c>
      <c r="T5447" s="4">
        <v>48</v>
      </c>
      <c r="U5447" s="5" t="s">
        <v>34238</v>
      </c>
      <c r="V5447" s="5" t="s">
        <v>34238</v>
      </c>
      <c r="W5447" s="5" t="s">
        <v>67</v>
      </c>
      <c r="X5447" s="5" t="s">
        <v>67</v>
      </c>
      <c r="Y5447" s="4">
        <v>158</v>
      </c>
      <c r="Z5447" s="4">
        <v>14</v>
      </c>
      <c r="AA5447" s="4">
        <v>24</v>
      </c>
      <c r="AB5447" s="4">
        <v>2</v>
      </c>
      <c r="AC5447" s="4">
        <v>3</v>
      </c>
      <c r="AD5447" s="4">
        <v>54</v>
      </c>
      <c r="AE5447" s="4">
        <v>101</v>
      </c>
      <c r="AF5447" s="4">
        <v>0</v>
      </c>
      <c r="AG5447" s="4">
        <v>1</v>
      </c>
      <c r="AH5447" s="4">
        <v>51</v>
      </c>
      <c r="AI5447" s="4">
        <v>94</v>
      </c>
      <c r="AJ5447" s="4">
        <v>8</v>
      </c>
      <c r="AK5447" s="4">
        <v>15</v>
      </c>
      <c r="AL5447" s="4">
        <v>31</v>
      </c>
      <c r="AM5447" s="4">
        <v>52</v>
      </c>
      <c r="AN5447" s="4">
        <v>5</v>
      </c>
      <c r="AO5447" s="4">
        <v>7</v>
      </c>
      <c r="AP5447" s="4">
        <v>9</v>
      </c>
      <c r="AQ5447" s="4">
        <v>17</v>
      </c>
      <c r="AR5447" s="3" t="s">
        <v>62</v>
      </c>
      <c r="AS5447" s="3" t="s">
        <v>62</v>
      </c>
      <c r="AT5447" s="3" t="s">
        <v>61</v>
      </c>
      <c r="AU5447" s="6" t="str">
        <f>HYPERLINK("http://catalog.hathitrust.org/Record/004415898","HathiTrust Record")</f>
        <v>HathiTrust Record</v>
      </c>
      <c r="AV5447" s="6" t="str">
        <f>HYPERLINK("http://mcgill.on.worldcat.org/oclc/7837047","Catalog Record")</f>
        <v>Catalog Record</v>
      </c>
      <c r="AW5447" s="6" t="str">
        <f>HYPERLINK("http://www.worldcat.org/oclc/7837047","WorldCat Record")</f>
        <v>WorldCat Record</v>
      </c>
      <c r="AX5447" s="3" t="s">
        <v>52091</v>
      </c>
      <c r="AY5447" s="3" t="s">
        <v>52092</v>
      </c>
      <c r="AZ5447" s="3" t="s">
        <v>52093</v>
      </c>
      <c r="BA5447" s="3" t="s">
        <v>52093</v>
      </c>
      <c r="BB5447" s="3" t="s">
        <v>52094</v>
      </c>
      <c r="BC5447" s="3" t="s">
        <v>102</v>
      </c>
      <c r="BD5447" s="3" t="s">
        <v>68</v>
      </c>
      <c r="BF5447" s="3" t="s">
        <v>52094</v>
      </c>
      <c r="BG5447" s="3" t="s">
        <v>52095</v>
      </c>
    </row>
    <row r="5448" spans="1:59" ht="101.5" x14ac:dyDescent="0.35">
      <c r="A5448" s="2" t="s">
        <v>89</v>
      </c>
      <c r="B5448" s="2" t="s">
        <v>12301</v>
      </c>
      <c r="C5448" s="2" t="s">
        <v>52096</v>
      </c>
      <c r="D5448" s="2" t="s">
        <v>52097</v>
      </c>
      <c r="E5448" s="2" t="s">
        <v>52098</v>
      </c>
      <c r="G5448" s="3" t="s">
        <v>62</v>
      </c>
      <c r="I5448" s="3" t="s">
        <v>61</v>
      </c>
      <c r="J5448" s="3" t="s">
        <v>61</v>
      </c>
      <c r="K5448" s="3" t="s">
        <v>63</v>
      </c>
      <c r="L5448" s="2" t="s">
        <v>52099</v>
      </c>
      <c r="M5448" s="2" t="s">
        <v>52100</v>
      </c>
      <c r="N5448" s="3" t="s">
        <v>712</v>
      </c>
      <c r="O5448" s="2" t="s">
        <v>16034</v>
      </c>
      <c r="P5448" s="3" t="s">
        <v>64</v>
      </c>
      <c r="R5448" s="3" t="s">
        <v>52080</v>
      </c>
      <c r="S5448" s="4">
        <v>9</v>
      </c>
      <c r="T5448" s="4">
        <v>13</v>
      </c>
      <c r="U5448" s="5" t="s">
        <v>32781</v>
      </c>
      <c r="V5448" s="5" t="s">
        <v>32781</v>
      </c>
      <c r="W5448" s="5" t="s">
        <v>67</v>
      </c>
      <c r="X5448" s="5" t="s">
        <v>67</v>
      </c>
      <c r="Y5448" s="4">
        <v>631</v>
      </c>
      <c r="Z5448" s="4">
        <v>21</v>
      </c>
      <c r="AA5448" s="4">
        <v>136</v>
      </c>
      <c r="AB5448" s="4">
        <v>5</v>
      </c>
      <c r="AC5448" s="4">
        <v>25</v>
      </c>
      <c r="AD5448" s="4">
        <v>55</v>
      </c>
      <c r="AE5448" s="4">
        <v>155</v>
      </c>
      <c r="AF5448" s="4">
        <v>2</v>
      </c>
      <c r="AG5448" s="4">
        <v>6</v>
      </c>
      <c r="AH5448" s="4">
        <v>51</v>
      </c>
      <c r="AI5448" s="4">
        <v>117</v>
      </c>
      <c r="AJ5448" s="4">
        <v>6</v>
      </c>
      <c r="AK5448" s="4">
        <v>26</v>
      </c>
      <c r="AL5448" s="4">
        <v>27</v>
      </c>
      <c r="AM5448" s="4">
        <v>62</v>
      </c>
      <c r="AN5448" s="4">
        <v>0</v>
      </c>
      <c r="AO5448" s="4">
        <v>0</v>
      </c>
      <c r="AP5448" s="4">
        <v>8</v>
      </c>
      <c r="AQ5448" s="4">
        <v>45</v>
      </c>
      <c r="AR5448" s="3" t="s">
        <v>62</v>
      </c>
      <c r="AS5448" s="3" t="s">
        <v>62</v>
      </c>
      <c r="AT5448" s="3" t="s">
        <v>62</v>
      </c>
      <c r="AV5448" s="6" t="str">
        <f>HYPERLINK("http://mcgill.on.worldcat.org/oclc/895083443","Catalog Record")</f>
        <v>Catalog Record</v>
      </c>
      <c r="AW5448" s="6" t="str">
        <f>HYPERLINK("http://www.worldcat.org/oclc/895083443","WorldCat Record")</f>
        <v>WorldCat Record</v>
      </c>
      <c r="AX5448" s="3" t="s">
        <v>52101</v>
      </c>
      <c r="AY5448" s="3" t="s">
        <v>52102</v>
      </c>
      <c r="AZ5448" s="3" t="s">
        <v>52103</v>
      </c>
      <c r="BA5448" s="3" t="s">
        <v>52103</v>
      </c>
      <c r="BB5448" s="3" t="s">
        <v>52104</v>
      </c>
      <c r="BC5448" s="3" t="s">
        <v>102</v>
      </c>
      <c r="BD5448" s="3" t="s">
        <v>68</v>
      </c>
      <c r="BE5448" s="3" t="s">
        <v>52105</v>
      </c>
      <c r="BF5448" s="3" t="s">
        <v>52104</v>
      </c>
      <c r="BG5448" s="3" t="s">
        <v>52106</v>
      </c>
    </row>
    <row r="5449" spans="1:59" ht="101.5" x14ac:dyDescent="0.35">
      <c r="A5449" s="2" t="s">
        <v>89</v>
      </c>
      <c r="B5449" s="2" t="s">
        <v>12301</v>
      </c>
      <c r="C5449" s="2" t="s">
        <v>52107</v>
      </c>
      <c r="D5449" s="2" t="s">
        <v>52108</v>
      </c>
      <c r="E5449" s="2" t="s">
        <v>52109</v>
      </c>
      <c r="G5449" s="3" t="s">
        <v>62</v>
      </c>
      <c r="I5449" s="3" t="s">
        <v>61</v>
      </c>
      <c r="J5449" s="3" t="s">
        <v>62</v>
      </c>
      <c r="K5449" s="3" t="s">
        <v>63</v>
      </c>
      <c r="L5449" s="2" t="s">
        <v>52110</v>
      </c>
      <c r="M5449" s="2" t="s">
        <v>52111</v>
      </c>
      <c r="N5449" s="3" t="s">
        <v>1038</v>
      </c>
      <c r="O5449" s="2" t="s">
        <v>22672</v>
      </c>
      <c r="P5449" s="3" t="s">
        <v>64</v>
      </c>
      <c r="R5449" s="3" t="s">
        <v>52080</v>
      </c>
      <c r="S5449" s="4">
        <v>20</v>
      </c>
      <c r="T5449" s="4">
        <v>92</v>
      </c>
      <c r="U5449" s="5" t="s">
        <v>1642</v>
      </c>
      <c r="V5449" s="5" t="s">
        <v>24286</v>
      </c>
      <c r="W5449" s="5" t="s">
        <v>67</v>
      </c>
      <c r="X5449" s="5" t="s">
        <v>67</v>
      </c>
      <c r="Y5449" s="4">
        <v>345</v>
      </c>
      <c r="Z5449" s="4">
        <v>12</v>
      </c>
      <c r="AA5449" s="4">
        <v>19</v>
      </c>
      <c r="AB5449" s="4">
        <v>1</v>
      </c>
      <c r="AC5449" s="4">
        <v>5</v>
      </c>
      <c r="AD5449" s="4">
        <v>52</v>
      </c>
      <c r="AE5449" s="4">
        <v>56</v>
      </c>
      <c r="AF5449" s="4">
        <v>0</v>
      </c>
      <c r="AG5449" s="4">
        <v>2</v>
      </c>
      <c r="AH5449" s="4">
        <v>50</v>
      </c>
      <c r="AI5449" s="4">
        <v>52</v>
      </c>
      <c r="AJ5449" s="4">
        <v>7</v>
      </c>
      <c r="AK5449" s="4">
        <v>10</v>
      </c>
      <c r="AL5449" s="4">
        <v>25</v>
      </c>
      <c r="AM5449" s="4">
        <v>25</v>
      </c>
      <c r="AN5449" s="4">
        <v>0</v>
      </c>
      <c r="AO5449" s="4">
        <v>0</v>
      </c>
      <c r="AP5449" s="4">
        <v>7</v>
      </c>
      <c r="AQ5449" s="4">
        <v>10</v>
      </c>
      <c r="AR5449" s="3" t="s">
        <v>62</v>
      </c>
      <c r="AS5449" s="3" t="s">
        <v>62</v>
      </c>
      <c r="AT5449" s="3" t="s">
        <v>62</v>
      </c>
      <c r="AV5449" s="6" t="str">
        <f>HYPERLINK("http://mcgill.on.worldcat.org/oclc/930014482","Catalog Record")</f>
        <v>Catalog Record</v>
      </c>
      <c r="AW5449" s="6" t="str">
        <f>HYPERLINK("http://www.worldcat.org/oclc/930014482","WorldCat Record")</f>
        <v>WorldCat Record</v>
      </c>
      <c r="AX5449" s="3" t="s">
        <v>52112</v>
      </c>
      <c r="AY5449" s="3" t="s">
        <v>52113</v>
      </c>
      <c r="AZ5449" s="3" t="s">
        <v>52114</v>
      </c>
      <c r="BA5449" s="3" t="s">
        <v>52114</v>
      </c>
      <c r="BB5449" s="3" t="s">
        <v>52115</v>
      </c>
      <c r="BC5449" s="3" t="s">
        <v>102</v>
      </c>
      <c r="BD5449" s="3" t="s">
        <v>68</v>
      </c>
      <c r="BE5449" s="3" t="s">
        <v>52116</v>
      </c>
      <c r="BF5449" s="3" t="s">
        <v>52115</v>
      </c>
      <c r="BG5449" s="3" t="s">
        <v>52117</v>
      </c>
    </row>
    <row r="5450" spans="1:59" ht="101.5" x14ac:dyDescent="0.35">
      <c r="A5450" s="2" t="s">
        <v>89</v>
      </c>
      <c r="B5450" s="2" t="s">
        <v>12301</v>
      </c>
      <c r="C5450" s="2" t="s">
        <v>52107</v>
      </c>
      <c r="D5450" s="2" t="s">
        <v>52108</v>
      </c>
      <c r="E5450" s="2" t="s">
        <v>52109</v>
      </c>
      <c r="G5450" s="3" t="s">
        <v>62</v>
      </c>
      <c r="I5450" s="3" t="s">
        <v>61</v>
      </c>
      <c r="J5450" s="3" t="s">
        <v>62</v>
      </c>
      <c r="K5450" s="3" t="s">
        <v>63</v>
      </c>
      <c r="L5450" s="2" t="s">
        <v>52110</v>
      </c>
      <c r="M5450" s="2" t="s">
        <v>52111</v>
      </c>
      <c r="N5450" s="3" t="s">
        <v>1038</v>
      </c>
      <c r="O5450" s="2" t="s">
        <v>22672</v>
      </c>
      <c r="P5450" s="3" t="s">
        <v>64</v>
      </c>
      <c r="R5450" s="3" t="s">
        <v>52080</v>
      </c>
      <c r="S5450" s="4">
        <v>22</v>
      </c>
      <c r="T5450" s="4">
        <v>92</v>
      </c>
      <c r="U5450" s="5" t="s">
        <v>9812</v>
      </c>
      <c r="V5450" s="5" t="s">
        <v>24286</v>
      </c>
      <c r="W5450" s="5" t="s">
        <v>67</v>
      </c>
      <c r="X5450" s="5" t="s">
        <v>67</v>
      </c>
      <c r="Y5450" s="4">
        <v>345</v>
      </c>
      <c r="Z5450" s="4">
        <v>12</v>
      </c>
      <c r="AA5450" s="4">
        <v>19</v>
      </c>
      <c r="AB5450" s="4">
        <v>1</v>
      </c>
      <c r="AC5450" s="4">
        <v>5</v>
      </c>
      <c r="AD5450" s="4">
        <v>52</v>
      </c>
      <c r="AE5450" s="4">
        <v>56</v>
      </c>
      <c r="AF5450" s="4">
        <v>0</v>
      </c>
      <c r="AG5450" s="4">
        <v>2</v>
      </c>
      <c r="AH5450" s="4">
        <v>50</v>
      </c>
      <c r="AI5450" s="4">
        <v>52</v>
      </c>
      <c r="AJ5450" s="4">
        <v>7</v>
      </c>
      <c r="AK5450" s="4">
        <v>10</v>
      </c>
      <c r="AL5450" s="4">
        <v>25</v>
      </c>
      <c r="AM5450" s="4">
        <v>25</v>
      </c>
      <c r="AN5450" s="4">
        <v>0</v>
      </c>
      <c r="AO5450" s="4">
        <v>0</v>
      </c>
      <c r="AP5450" s="4">
        <v>7</v>
      </c>
      <c r="AQ5450" s="4">
        <v>10</v>
      </c>
      <c r="AR5450" s="3" t="s">
        <v>62</v>
      </c>
      <c r="AS5450" s="3" t="s">
        <v>62</v>
      </c>
      <c r="AT5450" s="3" t="s">
        <v>62</v>
      </c>
      <c r="AV5450" s="6" t="str">
        <f>HYPERLINK("http://mcgill.on.worldcat.org/oclc/930014482","Catalog Record")</f>
        <v>Catalog Record</v>
      </c>
      <c r="AW5450" s="6" t="str">
        <f>HYPERLINK("http://www.worldcat.org/oclc/930014482","WorldCat Record")</f>
        <v>WorldCat Record</v>
      </c>
      <c r="AX5450" s="3" t="s">
        <v>52112</v>
      </c>
      <c r="AY5450" s="3" t="s">
        <v>52113</v>
      </c>
      <c r="AZ5450" s="3" t="s">
        <v>52114</v>
      </c>
      <c r="BA5450" s="3" t="s">
        <v>52114</v>
      </c>
      <c r="BB5450" s="3" t="s">
        <v>52118</v>
      </c>
      <c r="BC5450" s="3" t="s">
        <v>102</v>
      </c>
      <c r="BD5450" s="3" t="s">
        <v>68</v>
      </c>
      <c r="BE5450" s="3" t="s">
        <v>52116</v>
      </c>
      <c r="BF5450" s="3" t="s">
        <v>52118</v>
      </c>
      <c r="BG5450" s="3" t="s">
        <v>52119</v>
      </c>
    </row>
    <row r="5451" spans="1:59" ht="101.5" x14ac:dyDescent="0.35">
      <c r="A5451" s="2" t="s">
        <v>89</v>
      </c>
      <c r="B5451" s="2" t="s">
        <v>12301</v>
      </c>
      <c r="C5451" s="2" t="s">
        <v>52107</v>
      </c>
      <c r="D5451" s="2" t="s">
        <v>52108</v>
      </c>
      <c r="E5451" s="2" t="s">
        <v>52109</v>
      </c>
      <c r="G5451" s="3" t="s">
        <v>62</v>
      </c>
      <c r="I5451" s="3" t="s">
        <v>61</v>
      </c>
      <c r="J5451" s="3" t="s">
        <v>62</v>
      </c>
      <c r="K5451" s="3" t="s">
        <v>63</v>
      </c>
      <c r="L5451" s="2" t="s">
        <v>52110</v>
      </c>
      <c r="M5451" s="2" t="s">
        <v>52111</v>
      </c>
      <c r="N5451" s="3" t="s">
        <v>1038</v>
      </c>
      <c r="O5451" s="2" t="s">
        <v>22672</v>
      </c>
      <c r="P5451" s="3" t="s">
        <v>64</v>
      </c>
      <c r="R5451" s="3" t="s">
        <v>52080</v>
      </c>
      <c r="S5451" s="4">
        <v>15</v>
      </c>
      <c r="T5451" s="4">
        <v>92</v>
      </c>
      <c r="U5451" s="5" t="s">
        <v>16766</v>
      </c>
      <c r="V5451" s="5" t="s">
        <v>24286</v>
      </c>
      <c r="W5451" s="5" t="s">
        <v>67</v>
      </c>
      <c r="X5451" s="5" t="s">
        <v>67</v>
      </c>
      <c r="Y5451" s="4">
        <v>345</v>
      </c>
      <c r="Z5451" s="4">
        <v>12</v>
      </c>
      <c r="AA5451" s="4">
        <v>19</v>
      </c>
      <c r="AB5451" s="4">
        <v>1</v>
      </c>
      <c r="AC5451" s="4">
        <v>5</v>
      </c>
      <c r="AD5451" s="4">
        <v>52</v>
      </c>
      <c r="AE5451" s="4">
        <v>56</v>
      </c>
      <c r="AF5451" s="4">
        <v>0</v>
      </c>
      <c r="AG5451" s="4">
        <v>2</v>
      </c>
      <c r="AH5451" s="4">
        <v>50</v>
      </c>
      <c r="AI5451" s="4">
        <v>52</v>
      </c>
      <c r="AJ5451" s="4">
        <v>7</v>
      </c>
      <c r="AK5451" s="4">
        <v>10</v>
      </c>
      <c r="AL5451" s="4">
        <v>25</v>
      </c>
      <c r="AM5451" s="4">
        <v>25</v>
      </c>
      <c r="AN5451" s="4">
        <v>0</v>
      </c>
      <c r="AO5451" s="4">
        <v>0</v>
      </c>
      <c r="AP5451" s="4">
        <v>7</v>
      </c>
      <c r="AQ5451" s="4">
        <v>10</v>
      </c>
      <c r="AR5451" s="3" t="s">
        <v>62</v>
      </c>
      <c r="AS5451" s="3" t="s">
        <v>62</v>
      </c>
      <c r="AT5451" s="3" t="s">
        <v>62</v>
      </c>
      <c r="AV5451" s="6" t="str">
        <f>HYPERLINK("http://mcgill.on.worldcat.org/oclc/930014482","Catalog Record")</f>
        <v>Catalog Record</v>
      </c>
      <c r="AW5451" s="6" t="str">
        <f>HYPERLINK("http://www.worldcat.org/oclc/930014482","WorldCat Record")</f>
        <v>WorldCat Record</v>
      </c>
      <c r="AX5451" s="3" t="s">
        <v>52112</v>
      </c>
      <c r="AY5451" s="3" t="s">
        <v>52113</v>
      </c>
      <c r="AZ5451" s="3" t="s">
        <v>52114</v>
      </c>
      <c r="BA5451" s="3" t="s">
        <v>52114</v>
      </c>
      <c r="BB5451" s="3" t="s">
        <v>52120</v>
      </c>
      <c r="BC5451" s="3" t="s">
        <v>102</v>
      </c>
      <c r="BD5451" s="3" t="s">
        <v>68</v>
      </c>
      <c r="BE5451" s="3" t="s">
        <v>52116</v>
      </c>
      <c r="BF5451" s="3" t="s">
        <v>52120</v>
      </c>
      <c r="BG5451" s="3" t="s">
        <v>52121</v>
      </c>
    </row>
    <row r="5452" spans="1:59" ht="101.5" x14ac:dyDescent="0.35">
      <c r="A5452" s="2" t="s">
        <v>89</v>
      </c>
      <c r="B5452" s="2" t="s">
        <v>12301</v>
      </c>
      <c r="C5452" s="2" t="s">
        <v>52107</v>
      </c>
      <c r="D5452" s="2" t="s">
        <v>52108</v>
      </c>
      <c r="E5452" s="2" t="s">
        <v>52109</v>
      </c>
      <c r="G5452" s="3" t="s">
        <v>62</v>
      </c>
      <c r="I5452" s="3" t="s">
        <v>61</v>
      </c>
      <c r="J5452" s="3" t="s">
        <v>62</v>
      </c>
      <c r="K5452" s="3" t="s">
        <v>63</v>
      </c>
      <c r="L5452" s="2" t="s">
        <v>52110</v>
      </c>
      <c r="M5452" s="2" t="s">
        <v>52111</v>
      </c>
      <c r="N5452" s="3" t="s">
        <v>1038</v>
      </c>
      <c r="O5452" s="2" t="s">
        <v>22672</v>
      </c>
      <c r="P5452" s="3" t="s">
        <v>64</v>
      </c>
      <c r="R5452" s="3" t="s">
        <v>52080</v>
      </c>
      <c r="S5452" s="4">
        <v>16</v>
      </c>
      <c r="T5452" s="4">
        <v>92</v>
      </c>
      <c r="U5452" s="5" t="s">
        <v>24286</v>
      </c>
      <c r="V5452" s="5" t="s">
        <v>24286</v>
      </c>
      <c r="W5452" s="5" t="s">
        <v>67</v>
      </c>
      <c r="X5452" s="5" t="s">
        <v>67</v>
      </c>
      <c r="Y5452" s="4">
        <v>345</v>
      </c>
      <c r="Z5452" s="4">
        <v>12</v>
      </c>
      <c r="AA5452" s="4">
        <v>19</v>
      </c>
      <c r="AB5452" s="4">
        <v>1</v>
      </c>
      <c r="AC5452" s="4">
        <v>5</v>
      </c>
      <c r="AD5452" s="4">
        <v>52</v>
      </c>
      <c r="AE5452" s="4">
        <v>56</v>
      </c>
      <c r="AF5452" s="4">
        <v>0</v>
      </c>
      <c r="AG5452" s="4">
        <v>2</v>
      </c>
      <c r="AH5452" s="4">
        <v>50</v>
      </c>
      <c r="AI5452" s="4">
        <v>52</v>
      </c>
      <c r="AJ5452" s="4">
        <v>7</v>
      </c>
      <c r="AK5452" s="4">
        <v>10</v>
      </c>
      <c r="AL5452" s="4">
        <v>25</v>
      </c>
      <c r="AM5452" s="4">
        <v>25</v>
      </c>
      <c r="AN5452" s="4">
        <v>0</v>
      </c>
      <c r="AO5452" s="4">
        <v>0</v>
      </c>
      <c r="AP5452" s="4">
        <v>7</v>
      </c>
      <c r="AQ5452" s="4">
        <v>10</v>
      </c>
      <c r="AR5452" s="3" t="s">
        <v>62</v>
      </c>
      <c r="AS5452" s="3" t="s">
        <v>62</v>
      </c>
      <c r="AT5452" s="3" t="s">
        <v>62</v>
      </c>
      <c r="AV5452" s="6" t="str">
        <f>HYPERLINK("http://mcgill.on.worldcat.org/oclc/930014482","Catalog Record")</f>
        <v>Catalog Record</v>
      </c>
      <c r="AW5452" s="6" t="str">
        <f>HYPERLINK("http://www.worldcat.org/oclc/930014482","WorldCat Record")</f>
        <v>WorldCat Record</v>
      </c>
      <c r="AX5452" s="3" t="s">
        <v>52112</v>
      </c>
      <c r="AY5452" s="3" t="s">
        <v>52113</v>
      </c>
      <c r="AZ5452" s="3" t="s">
        <v>52114</v>
      </c>
      <c r="BA5452" s="3" t="s">
        <v>52114</v>
      </c>
      <c r="BB5452" s="3" t="s">
        <v>52122</v>
      </c>
      <c r="BC5452" s="3" t="s">
        <v>102</v>
      </c>
      <c r="BD5452" s="3" t="s">
        <v>68</v>
      </c>
      <c r="BE5452" s="3" t="s">
        <v>52116</v>
      </c>
      <c r="BF5452" s="3" t="s">
        <v>52122</v>
      </c>
      <c r="BG5452" s="3" t="s">
        <v>52123</v>
      </c>
    </row>
    <row r="5453" spans="1:59" ht="101.5" x14ac:dyDescent="0.35">
      <c r="A5453" s="2" t="s">
        <v>89</v>
      </c>
      <c r="B5453" s="2" t="s">
        <v>12301</v>
      </c>
      <c r="C5453" s="2" t="s">
        <v>52124</v>
      </c>
      <c r="D5453" s="2" t="s">
        <v>52125</v>
      </c>
      <c r="E5453" s="2" t="s">
        <v>52126</v>
      </c>
      <c r="G5453" s="3" t="s">
        <v>62</v>
      </c>
      <c r="I5453" s="3" t="s">
        <v>62</v>
      </c>
      <c r="J5453" s="3" t="s">
        <v>61</v>
      </c>
      <c r="K5453" s="3" t="s">
        <v>63</v>
      </c>
      <c r="L5453" s="2" t="s">
        <v>52127</v>
      </c>
      <c r="M5453" s="2" t="s">
        <v>52128</v>
      </c>
      <c r="N5453" s="3" t="s">
        <v>129</v>
      </c>
      <c r="P5453" s="3" t="s">
        <v>64</v>
      </c>
      <c r="R5453" s="3" t="s">
        <v>52080</v>
      </c>
      <c r="S5453" s="4">
        <v>12</v>
      </c>
      <c r="T5453" s="4">
        <v>12</v>
      </c>
      <c r="U5453" s="5" t="s">
        <v>16075</v>
      </c>
      <c r="V5453" s="5" t="s">
        <v>16075</v>
      </c>
      <c r="W5453" s="5" t="s">
        <v>67</v>
      </c>
      <c r="X5453" s="5" t="s">
        <v>67</v>
      </c>
      <c r="Y5453" s="4">
        <v>130</v>
      </c>
      <c r="Z5453" s="4">
        <v>7</v>
      </c>
      <c r="AA5453" s="4">
        <v>17</v>
      </c>
      <c r="AB5453" s="4">
        <v>1</v>
      </c>
      <c r="AC5453" s="4">
        <v>5</v>
      </c>
      <c r="AD5453" s="4">
        <v>22</v>
      </c>
      <c r="AE5453" s="4">
        <v>33</v>
      </c>
      <c r="AF5453" s="4">
        <v>0</v>
      </c>
      <c r="AG5453" s="4">
        <v>2</v>
      </c>
      <c r="AH5453" s="4">
        <v>22</v>
      </c>
      <c r="AI5453" s="4">
        <v>29</v>
      </c>
      <c r="AJ5453" s="4">
        <v>4</v>
      </c>
      <c r="AK5453" s="4">
        <v>10</v>
      </c>
      <c r="AL5453" s="4">
        <v>9</v>
      </c>
      <c r="AM5453" s="4">
        <v>11</v>
      </c>
      <c r="AN5453" s="4">
        <v>0</v>
      </c>
      <c r="AO5453" s="4">
        <v>0</v>
      </c>
      <c r="AP5453" s="4">
        <v>4</v>
      </c>
      <c r="AQ5453" s="4">
        <v>12</v>
      </c>
      <c r="AR5453" s="3" t="s">
        <v>62</v>
      </c>
      <c r="AS5453" s="3" t="s">
        <v>62</v>
      </c>
      <c r="AT5453" s="3" t="s">
        <v>62</v>
      </c>
      <c r="AV5453" s="6" t="str">
        <f>HYPERLINK("http://mcgill.on.worldcat.org/oclc/726820608","Catalog Record")</f>
        <v>Catalog Record</v>
      </c>
      <c r="AW5453" s="6" t="str">
        <f>HYPERLINK("http://www.worldcat.org/oclc/726820608","WorldCat Record")</f>
        <v>WorldCat Record</v>
      </c>
      <c r="AX5453" s="3" t="s">
        <v>52129</v>
      </c>
      <c r="AY5453" s="3" t="s">
        <v>52130</v>
      </c>
      <c r="AZ5453" s="3" t="s">
        <v>52131</v>
      </c>
      <c r="BA5453" s="3" t="s">
        <v>52131</v>
      </c>
      <c r="BB5453" s="3" t="s">
        <v>52132</v>
      </c>
      <c r="BC5453" s="3" t="s">
        <v>102</v>
      </c>
      <c r="BD5453" s="3" t="s">
        <v>68</v>
      </c>
      <c r="BE5453" s="3" t="s">
        <v>52133</v>
      </c>
      <c r="BF5453" s="3" t="s">
        <v>52132</v>
      </c>
      <c r="BG5453" s="3" t="s">
        <v>52134</v>
      </c>
    </row>
    <row r="5454" spans="1:59" ht="101.5" x14ac:dyDescent="0.35">
      <c r="A5454" s="2" t="s">
        <v>89</v>
      </c>
      <c r="B5454" s="2" t="s">
        <v>12301</v>
      </c>
      <c r="C5454" s="2" t="s">
        <v>52135</v>
      </c>
      <c r="D5454" s="2" t="s">
        <v>52136</v>
      </c>
      <c r="E5454" s="2" t="s">
        <v>52137</v>
      </c>
      <c r="G5454" s="3" t="s">
        <v>62</v>
      </c>
      <c r="I5454" s="3" t="s">
        <v>62</v>
      </c>
      <c r="J5454" s="3" t="s">
        <v>61</v>
      </c>
      <c r="K5454" s="3" t="s">
        <v>63</v>
      </c>
      <c r="L5454" s="2" t="s">
        <v>52138</v>
      </c>
      <c r="M5454" s="2" t="s">
        <v>52139</v>
      </c>
      <c r="N5454" s="3" t="s">
        <v>726</v>
      </c>
      <c r="O5454" s="2" t="s">
        <v>8443</v>
      </c>
      <c r="P5454" s="3" t="s">
        <v>64</v>
      </c>
      <c r="Q5454" s="2" t="s">
        <v>52140</v>
      </c>
      <c r="R5454" s="3" t="s">
        <v>52080</v>
      </c>
      <c r="S5454" s="4">
        <v>49</v>
      </c>
      <c r="T5454" s="4">
        <v>49</v>
      </c>
      <c r="U5454" s="5" t="s">
        <v>16936</v>
      </c>
      <c r="V5454" s="5" t="s">
        <v>16936</v>
      </c>
      <c r="W5454" s="5" t="s">
        <v>67</v>
      </c>
      <c r="X5454" s="5" t="s">
        <v>67</v>
      </c>
      <c r="Y5454" s="4">
        <v>70</v>
      </c>
      <c r="Z5454" s="4">
        <v>10</v>
      </c>
      <c r="AA5454" s="4">
        <v>17</v>
      </c>
      <c r="AB5454" s="4">
        <v>1</v>
      </c>
      <c r="AC5454" s="4">
        <v>5</v>
      </c>
      <c r="AD5454" s="4">
        <v>15</v>
      </c>
      <c r="AE5454" s="4">
        <v>33</v>
      </c>
      <c r="AF5454" s="4">
        <v>0</v>
      </c>
      <c r="AG5454" s="4">
        <v>2</v>
      </c>
      <c r="AH5454" s="4">
        <v>12</v>
      </c>
      <c r="AI5454" s="4">
        <v>29</v>
      </c>
      <c r="AJ5454" s="4">
        <v>7</v>
      </c>
      <c r="AK5454" s="4">
        <v>10</v>
      </c>
      <c r="AL5454" s="4">
        <v>2</v>
      </c>
      <c r="AM5454" s="4">
        <v>11</v>
      </c>
      <c r="AN5454" s="4">
        <v>0</v>
      </c>
      <c r="AO5454" s="4">
        <v>0</v>
      </c>
      <c r="AP5454" s="4">
        <v>9</v>
      </c>
      <c r="AQ5454" s="4">
        <v>12</v>
      </c>
      <c r="AR5454" s="3" t="s">
        <v>62</v>
      </c>
      <c r="AS5454" s="3" t="s">
        <v>62</v>
      </c>
      <c r="AT5454" s="3" t="s">
        <v>62</v>
      </c>
      <c r="AV5454" s="6" t="str">
        <f>HYPERLINK("http://mcgill.on.worldcat.org/oclc/972778503","Catalog Record")</f>
        <v>Catalog Record</v>
      </c>
      <c r="AW5454" s="6" t="str">
        <f>HYPERLINK("http://www.worldcat.org/oclc/972778503","WorldCat Record")</f>
        <v>WorldCat Record</v>
      </c>
      <c r="AX5454" s="3" t="s">
        <v>52129</v>
      </c>
      <c r="AY5454" s="3" t="s">
        <v>52141</v>
      </c>
      <c r="AZ5454" s="3" t="s">
        <v>52142</v>
      </c>
      <c r="BA5454" s="3" t="s">
        <v>52142</v>
      </c>
      <c r="BB5454" s="3" t="s">
        <v>52143</v>
      </c>
      <c r="BC5454" s="3" t="s">
        <v>102</v>
      </c>
      <c r="BD5454" s="3" t="s">
        <v>68</v>
      </c>
      <c r="BE5454" s="3" t="s">
        <v>52144</v>
      </c>
      <c r="BF5454" s="3" t="s">
        <v>52143</v>
      </c>
      <c r="BG5454" s="3" t="s">
        <v>52145</v>
      </c>
    </row>
    <row r="5455" spans="1:59" ht="58" x14ac:dyDescent="0.35">
      <c r="A5455" s="2" t="s">
        <v>59</v>
      </c>
      <c r="B5455" s="2" t="s">
        <v>60</v>
      </c>
      <c r="C5455" s="2" t="s">
        <v>52146</v>
      </c>
      <c r="D5455" s="2" t="s">
        <v>52147</v>
      </c>
      <c r="E5455" s="2" t="s">
        <v>52148</v>
      </c>
      <c r="G5455" s="3" t="s">
        <v>62</v>
      </c>
      <c r="I5455" s="3" t="s">
        <v>62</v>
      </c>
      <c r="J5455" s="3" t="s">
        <v>62</v>
      </c>
      <c r="K5455" s="3" t="s">
        <v>63</v>
      </c>
      <c r="L5455" s="2" t="s">
        <v>52149</v>
      </c>
      <c r="M5455" s="2" t="s">
        <v>52150</v>
      </c>
      <c r="N5455" s="3" t="s">
        <v>866</v>
      </c>
      <c r="P5455" s="3" t="s">
        <v>64</v>
      </c>
      <c r="Q5455" s="2" t="s">
        <v>52151</v>
      </c>
      <c r="R5455" s="3" t="s">
        <v>52080</v>
      </c>
      <c r="S5455" s="4">
        <v>16</v>
      </c>
      <c r="T5455" s="4">
        <v>16</v>
      </c>
      <c r="U5455" s="5" t="s">
        <v>52152</v>
      </c>
      <c r="V5455" s="5" t="s">
        <v>52152</v>
      </c>
      <c r="W5455" s="5" t="s">
        <v>67</v>
      </c>
      <c r="X5455" s="5" t="s">
        <v>67</v>
      </c>
      <c r="Y5455" s="4">
        <v>232</v>
      </c>
      <c r="Z5455" s="4">
        <v>20</v>
      </c>
      <c r="AA5455" s="4">
        <v>21</v>
      </c>
      <c r="AB5455" s="4">
        <v>4</v>
      </c>
      <c r="AC5455" s="4">
        <v>5</v>
      </c>
      <c r="AD5455" s="4">
        <v>69</v>
      </c>
      <c r="AE5455" s="4">
        <v>72</v>
      </c>
      <c r="AF5455" s="4">
        <v>1</v>
      </c>
      <c r="AG5455" s="4">
        <v>2</v>
      </c>
      <c r="AH5455" s="4">
        <v>63</v>
      </c>
      <c r="AI5455" s="4">
        <v>65</v>
      </c>
      <c r="AJ5455" s="4">
        <v>12</v>
      </c>
      <c r="AK5455" s="4">
        <v>13</v>
      </c>
      <c r="AL5455" s="4">
        <v>34</v>
      </c>
      <c r="AM5455" s="4">
        <v>36</v>
      </c>
      <c r="AN5455" s="4">
        <v>0</v>
      </c>
      <c r="AO5455" s="4">
        <v>0</v>
      </c>
      <c r="AP5455" s="4">
        <v>13</v>
      </c>
      <c r="AQ5455" s="4">
        <v>13</v>
      </c>
      <c r="AR5455" s="3" t="s">
        <v>62</v>
      </c>
      <c r="AS5455" s="3" t="s">
        <v>62</v>
      </c>
      <c r="AT5455" s="3" t="s">
        <v>61</v>
      </c>
      <c r="AU5455" s="6" t="str">
        <f>HYPERLINK("http://catalog.hathitrust.org/Record/001560775","HathiTrust Record")</f>
        <v>HathiTrust Record</v>
      </c>
      <c r="AV5455" s="6" t="str">
        <f>HYPERLINK("http://mcgill.on.worldcat.org/oclc/357073","Catalog Record")</f>
        <v>Catalog Record</v>
      </c>
      <c r="AW5455" s="6" t="str">
        <f>HYPERLINK("http://www.worldcat.org/oclc/357073","WorldCat Record")</f>
        <v>WorldCat Record</v>
      </c>
      <c r="AX5455" s="3" t="s">
        <v>52153</v>
      </c>
      <c r="AY5455" s="3" t="s">
        <v>52154</v>
      </c>
      <c r="AZ5455" s="3" t="s">
        <v>52155</v>
      </c>
      <c r="BA5455" s="3" t="s">
        <v>52155</v>
      </c>
      <c r="BB5455" s="3" t="s">
        <v>52156</v>
      </c>
      <c r="BC5455" s="3" t="s">
        <v>102</v>
      </c>
      <c r="BD5455" s="3" t="s">
        <v>68</v>
      </c>
      <c r="BE5455" s="3" t="s">
        <v>52157</v>
      </c>
      <c r="BF5455" s="3" t="s">
        <v>52156</v>
      </c>
      <c r="BG5455" s="3" t="s">
        <v>52158</v>
      </c>
    </row>
    <row r="5456" spans="1:59" ht="58" x14ac:dyDescent="0.35">
      <c r="A5456" s="2" t="s">
        <v>59</v>
      </c>
      <c r="B5456" s="2" t="s">
        <v>60</v>
      </c>
      <c r="C5456" s="2" t="s">
        <v>52159</v>
      </c>
      <c r="D5456" s="2" t="s">
        <v>52160</v>
      </c>
      <c r="E5456" s="2" t="s">
        <v>52161</v>
      </c>
      <c r="G5456" s="3" t="s">
        <v>62</v>
      </c>
      <c r="I5456" s="3" t="s">
        <v>62</v>
      </c>
      <c r="J5456" s="3" t="s">
        <v>61</v>
      </c>
      <c r="K5456" s="3" t="s">
        <v>63</v>
      </c>
      <c r="L5456" s="2" t="s">
        <v>52162</v>
      </c>
      <c r="M5456" s="2" t="s">
        <v>52163</v>
      </c>
      <c r="N5456" s="3" t="s">
        <v>2566</v>
      </c>
      <c r="P5456" s="3" t="s">
        <v>64</v>
      </c>
      <c r="R5456" s="3" t="s">
        <v>52080</v>
      </c>
      <c r="S5456" s="4">
        <v>11</v>
      </c>
      <c r="T5456" s="4">
        <v>11</v>
      </c>
      <c r="U5456" s="5" t="s">
        <v>20644</v>
      </c>
      <c r="V5456" s="5" t="s">
        <v>20644</v>
      </c>
      <c r="W5456" s="5" t="s">
        <v>67</v>
      </c>
      <c r="X5456" s="5" t="s">
        <v>67</v>
      </c>
      <c r="Y5456" s="4">
        <v>138</v>
      </c>
      <c r="Z5456" s="4">
        <v>8</v>
      </c>
      <c r="AA5456" s="4">
        <v>27</v>
      </c>
      <c r="AB5456" s="4">
        <v>2</v>
      </c>
      <c r="AC5456" s="4">
        <v>6</v>
      </c>
      <c r="AD5456" s="4">
        <v>41</v>
      </c>
      <c r="AE5456" s="4">
        <v>84</v>
      </c>
      <c r="AF5456" s="4">
        <v>0</v>
      </c>
      <c r="AG5456" s="4">
        <v>3</v>
      </c>
      <c r="AH5456" s="4">
        <v>37</v>
      </c>
      <c r="AI5456" s="4">
        <v>73</v>
      </c>
      <c r="AJ5456" s="4">
        <v>4</v>
      </c>
      <c r="AK5456" s="4">
        <v>15</v>
      </c>
      <c r="AL5456" s="4">
        <v>22</v>
      </c>
      <c r="AM5456" s="4">
        <v>38</v>
      </c>
      <c r="AN5456" s="4">
        <v>0</v>
      </c>
      <c r="AO5456" s="4">
        <v>3</v>
      </c>
      <c r="AP5456" s="4">
        <v>3</v>
      </c>
      <c r="AQ5456" s="4">
        <v>14</v>
      </c>
      <c r="AR5456" s="3" t="s">
        <v>62</v>
      </c>
      <c r="AS5456" s="3" t="s">
        <v>62</v>
      </c>
      <c r="AT5456" s="3" t="s">
        <v>62</v>
      </c>
      <c r="AV5456" s="6" t="str">
        <f>HYPERLINK("http://mcgill.on.worldcat.org/oclc/578780","Catalog Record")</f>
        <v>Catalog Record</v>
      </c>
      <c r="AW5456" s="6" t="str">
        <f>HYPERLINK("http://www.worldcat.org/oclc/578780","WorldCat Record")</f>
        <v>WorldCat Record</v>
      </c>
      <c r="AX5456" s="3" t="s">
        <v>52164</v>
      </c>
      <c r="AY5456" s="3" t="s">
        <v>52165</v>
      </c>
      <c r="AZ5456" s="3" t="s">
        <v>52166</v>
      </c>
      <c r="BA5456" s="3" t="s">
        <v>52166</v>
      </c>
      <c r="BB5456" s="3" t="s">
        <v>52167</v>
      </c>
      <c r="BC5456" s="3" t="s">
        <v>102</v>
      </c>
      <c r="BD5456" s="3" t="s">
        <v>68</v>
      </c>
      <c r="BE5456" s="3" t="s">
        <v>52168</v>
      </c>
      <c r="BF5456" s="3" t="s">
        <v>52167</v>
      </c>
      <c r="BG5456" s="3" t="s">
        <v>52169</v>
      </c>
    </row>
    <row r="5457" spans="1:59" ht="58" x14ac:dyDescent="0.35">
      <c r="A5457" s="2" t="s">
        <v>59</v>
      </c>
      <c r="B5457" s="2" t="s">
        <v>60</v>
      </c>
      <c r="C5457" s="2" t="s">
        <v>52170</v>
      </c>
      <c r="D5457" s="2" t="s">
        <v>52171</v>
      </c>
      <c r="E5457" s="2" t="s">
        <v>46480</v>
      </c>
      <c r="G5457" s="3" t="s">
        <v>62</v>
      </c>
      <c r="I5457" s="3" t="s">
        <v>61</v>
      </c>
      <c r="J5457" s="3" t="s">
        <v>61</v>
      </c>
      <c r="K5457" s="3" t="s">
        <v>63</v>
      </c>
      <c r="M5457" s="2" t="s">
        <v>46481</v>
      </c>
      <c r="N5457" s="3" t="s">
        <v>893</v>
      </c>
      <c r="O5457" s="2" t="s">
        <v>2986</v>
      </c>
      <c r="P5457" s="3" t="s">
        <v>64</v>
      </c>
      <c r="R5457" s="3" t="s">
        <v>52080</v>
      </c>
      <c r="S5457" s="4">
        <v>46</v>
      </c>
      <c r="T5457" s="4">
        <v>46</v>
      </c>
      <c r="U5457" s="5" t="s">
        <v>20644</v>
      </c>
      <c r="V5457" s="5" t="s">
        <v>20644</v>
      </c>
      <c r="W5457" s="5" t="s">
        <v>67</v>
      </c>
      <c r="X5457" s="5" t="s">
        <v>67</v>
      </c>
      <c r="Y5457" s="4">
        <v>190</v>
      </c>
      <c r="Z5457" s="4">
        <v>16</v>
      </c>
      <c r="AA5457" s="4">
        <v>54</v>
      </c>
      <c r="AB5457" s="4">
        <v>2</v>
      </c>
      <c r="AC5457" s="4">
        <v>7</v>
      </c>
      <c r="AD5457" s="4">
        <v>55</v>
      </c>
      <c r="AE5457" s="4">
        <v>120</v>
      </c>
      <c r="AF5457" s="4">
        <v>0</v>
      </c>
      <c r="AG5457" s="4">
        <v>3</v>
      </c>
      <c r="AH5457" s="4">
        <v>48</v>
      </c>
      <c r="AI5457" s="4">
        <v>101</v>
      </c>
      <c r="AJ5457" s="4">
        <v>12</v>
      </c>
      <c r="AK5457" s="4">
        <v>22</v>
      </c>
      <c r="AL5457" s="4">
        <v>28</v>
      </c>
      <c r="AM5457" s="4">
        <v>55</v>
      </c>
      <c r="AN5457" s="4">
        <v>0</v>
      </c>
      <c r="AO5457" s="4">
        <v>0</v>
      </c>
      <c r="AP5457" s="4">
        <v>10</v>
      </c>
      <c r="AQ5457" s="4">
        <v>26</v>
      </c>
      <c r="AR5457" s="3" t="s">
        <v>62</v>
      </c>
      <c r="AS5457" s="3" t="s">
        <v>62</v>
      </c>
      <c r="AT5457" s="3" t="s">
        <v>61</v>
      </c>
      <c r="AU5457" s="6" t="str">
        <f>HYPERLINK("http://catalog.hathitrust.org/Record/000112090","HathiTrust Record")</f>
        <v>HathiTrust Record</v>
      </c>
      <c r="AV5457" s="6" t="str">
        <f>HYPERLINK("http://mcgill.on.worldcat.org/oclc/8112909","Catalog Record")</f>
        <v>Catalog Record</v>
      </c>
      <c r="AW5457" s="6" t="str">
        <f>HYPERLINK("http://www.worldcat.org/oclc/8112909","WorldCat Record")</f>
        <v>WorldCat Record</v>
      </c>
      <c r="AX5457" s="3" t="s">
        <v>46482</v>
      </c>
      <c r="AY5457" s="3" t="s">
        <v>46483</v>
      </c>
      <c r="AZ5457" s="3" t="s">
        <v>46484</v>
      </c>
      <c r="BA5457" s="3" t="s">
        <v>46484</v>
      </c>
      <c r="BB5457" s="3" t="s">
        <v>52172</v>
      </c>
      <c r="BC5457" s="3" t="s">
        <v>102</v>
      </c>
      <c r="BD5457" s="3" t="s">
        <v>68</v>
      </c>
      <c r="BE5457" s="3" t="s">
        <v>46486</v>
      </c>
      <c r="BF5457" s="3" t="s">
        <v>52172</v>
      </c>
      <c r="BG5457" s="3" t="s">
        <v>52173</v>
      </c>
    </row>
    <row r="5458" spans="1:59" ht="58" x14ac:dyDescent="0.35">
      <c r="A5458" s="2" t="s">
        <v>59</v>
      </c>
      <c r="B5458" s="2" t="s">
        <v>60</v>
      </c>
      <c r="C5458" s="2" t="s">
        <v>52174</v>
      </c>
      <c r="D5458" s="2" t="s">
        <v>52175</v>
      </c>
      <c r="E5458" s="2" t="s">
        <v>52176</v>
      </c>
      <c r="G5458" s="3" t="s">
        <v>62</v>
      </c>
      <c r="I5458" s="3" t="s">
        <v>61</v>
      </c>
      <c r="J5458" s="3" t="s">
        <v>62</v>
      </c>
      <c r="K5458" s="3" t="s">
        <v>63</v>
      </c>
      <c r="L5458" s="2" t="s">
        <v>52177</v>
      </c>
      <c r="M5458" s="2" t="s">
        <v>52178</v>
      </c>
      <c r="N5458" s="3" t="s">
        <v>930</v>
      </c>
      <c r="P5458" s="3" t="s">
        <v>64</v>
      </c>
      <c r="R5458" s="3" t="s">
        <v>52080</v>
      </c>
      <c r="S5458" s="4">
        <v>16</v>
      </c>
      <c r="T5458" s="4">
        <v>16</v>
      </c>
      <c r="U5458" s="5" t="s">
        <v>13499</v>
      </c>
      <c r="V5458" s="5" t="s">
        <v>13499</v>
      </c>
      <c r="W5458" s="5" t="s">
        <v>67</v>
      </c>
      <c r="X5458" s="5" t="s">
        <v>67</v>
      </c>
      <c r="Y5458" s="4">
        <v>385</v>
      </c>
      <c r="Z5458" s="4">
        <v>16</v>
      </c>
      <c r="AA5458" s="4">
        <v>22</v>
      </c>
      <c r="AB5458" s="4">
        <v>3</v>
      </c>
      <c r="AC5458" s="4">
        <v>3</v>
      </c>
      <c r="AD5458" s="4">
        <v>87</v>
      </c>
      <c r="AE5458" s="4">
        <v>91</v>
      </c>
      <c r="AF5458" s="4">
        <v>1</v>
      </c>
      <c r="AG5458" s="4">
        <v>1</v>
      </c>
      <c r="AH5458" s="4">
        <v>79</v>
      </c>
      <c r="AI5458" s="4">
        <v>81</v>
      </c>
      <c r="AJ5458" s="4">
        <v>13</v>
      </c>
      <c r="AK5458" s="4">
        <v>16</v>
      </c>
      <c r="AL5458" s="4">
        <v>40</v>
      </c>
      <c r="AM5458" s="4">
        <v>41</v>
      </c>
      <c r="AN5458" s="4">
        <v>5</v>
      </c>
      <c r="AO5458" s="4">
        <v>5</v>
      </c>
      <c r="AP5458" s="4">
        <v>14</v>
      </c>
      <c r="AQ5458" s="4">
        <v>18</v>
      </c>
      <c r="AR5458" s="3" t="s">
        <v>62</v>
      </c>
      <c r="AS5458" s="3" t="s">
        <v>62</v>
      </c>
      <c r="AT5458" s="3" t="s">
        <v>61</v>
      </c>
      <c r="AU5458" s="6" t="str">
        <f>HYPERLINK("http://catalog.hathitrust.org/Record/005411604","HathiTrust Record")</f>
        <v>HathiTrust Record</v>
      </c>
      <c r="AV5458" s="6" t="str">
        <f>HYPERLINK("http://mcgill.on.worldcat.org/oclc/14624098","Catalog Record")</f>
        <v>Catalog Record</v>
      </c>
      <c r="AW5458" s="6" t="str">
        <f>HYPERLINK("http://www.worldcat.org/oclc/14624098","WorldCat Record")</f>
        <v>WorldCat Record</v>
      </c>
      <c r="AX5458" s="3" t="s">
        <v>52179</v>
      </c>
      <c r="AY5458" s="3" t="s">
        <v>52180</v>
      </c>
      <c r="AZ5458" s="3" t="s">
        <v>52181</v>
      </c>
      <c r="BA5458" s="3" t="s">
        <v>52181</v>
      </c>
      <c r="BB5458" s="3" t="s">
        <v>52182</v>
      </c>
      <c r="BC5458" s="3" t="s">
        <v>102</v>
      </c>
      <c r="BD5458" s="3" t="s">
        <v>68</v>
      </c>
      <c r="BF5458" s="3" t="s">
        <v>52182</v>
      </c>
      <c r="BG5458" s="3" t="s">
        <v>52183</v>
      </c>
    </row>
    <row r="5459" spans="1:59" ht="58" x14ac:dyDescent="0.35">
      <c r="A5459" s="2" t="s">
        <v>59</v>
      </c>
      <c r="B5459" s="2" t="s">
        <v>60</v>
      </c>
      <c r="C5459" s="2" t="s">
        <v>52184</v>
      </c>
      <c r="D5459" s="2" t="s">
        <v>52185</v>
      </c>
      <c r="E5459" s="2" t="s">
        <v>52186</v>
      </c>
      <c r="G5459" s="3" t="s">
        <v>62</v>
      </c>
      <c r="I5459" s="3" t="s">
        <v>62</v>
      </c>
      <c r="J5459" s="3" t="s">
        <v>62</v>
      </c>
      <c r="K5459" s="3" t="s">
        <v>63</v>
      </c>
      <c r="L5459" s="2" t="s">
        <v>52187</v>
      </c>
      <c r="M5459" s="2" t="s">
        <v>52188</v>
      </c>
      <c r="N5459" s="3" t="s">
        <v>838</v>
      </c>
      <c r="P5459" s="3" t="s">
        <v>64</v>
      </c>
      <c r="R5459" s="3" t="s">
        <v>52080</v>
      </c>
      <c r="S5459" s="4">
        <v>1</v>
      </c>
      <c r="T5459" s="4">
        <v>1</v>
      </c>
      <c r="U5459" s="5" t="s">
        <v>49996</v>
      </c>
      <c r="V5459" s="5" t="s">
        <v>49996</v>
      </c>
      <c r="W5459" s="5" t="s">
        <v>67</v>
      </c>
      <c r="X5459" s="5" t="s">
        <v>67</v>
      </c>
      <c r="Y5459" s="4">
        <v>18</v>
      </c>
      <c r="Z5459" s="4">
        <v>5</v>
      </c>
      <c r="AA5459" s="4">
        <v>9</v>
      </c>
      <c r="AB5459" s="4">
        <v>1</v>
      </c>
      <c r="AC5459" s="4">
        <v>1</v>
      </c>
      <c r="AD5459" s="4">
        <v>11</v>
      </c>
      <c r="AE5459" s="4">
        <v>63</v>
      </c>
      <c r="AF5459" s="4">
        <v>0</v>
      </c>
      <c r="AG5459" s="4">
        <v>0</v>
      </c>
      <c r="AH5459" s="4">
        <v>8</v>
      </c>
      <c r="AI5459" s="4">
        <v>58</v>
      </c>
      <c r="AJ5459" s="4">
        <v>4</v>
      </c>
      <c r="AK5459" s="4">
        <v>7</v>
      </c>
      <c r="AL5459" s="4">
        <v>5</v>
      </c>
      <c r="AM5459" s="4">
        <v>40</v>
      </c>
      <c r="AN5459" s="4">
        <v>0</v>
      </c>
      <c r="AO5459" s="4">
        <v>0</v>
      </c>
      <c r="AP5459" s="4">
        <v>3</v>
      </c>
      <c r="AQ5459" s="4">
        <v>6</v>
      </c>
      <c r="AR5459" s="3" t="s">
        <v>62</v>
      </c>
      <c r="AS5459" s="3" t="s">
        <v>62</v>
      </c>
      <c r="AT5459" s="3" t="s">
        <v>61</v>
      </c>
      <c r="AU5459" s="6" t="str">
        <f>HYPERLINK("http://catalog.hathitrust.org/Record/001553044","HathiTrust Record")</f>
        <v>HathiTrust Record</v>
      </c>
      <c r="AV5459" s="6" t="str">
        <f>HYPERLINK("http://mcgill.on.worldcat.org/oclc/38230261","Catalog Record")</f>
        <v>Catalog Record</v>
      </c>
      <c r="AW5459" s="6" t="str">
        <f>HYPERLINK("http://www.worldcat.org/oclc/38230261","WorldCat Record")</f>
        <v>WorldCat Record</v>
      </c>
      <c r="AX5459" s="3" t="s">
        <v>52189</v>
      </c>
      <c r="AY5459" s="3" t="s">
        <v>52190</v>
      </c>
      <c r="AZ5459" s="3" t="s">
        <v>52191</v>
      </c>
      <c r="BA5459" s="3" t="s">
        <v>52191</v>
      </c>
      <c r="BB5459" s="3" t="s">
        <v>52192</v>
      </c>
      <c r="BC5459" s="3" t="s">
        <v>102</v>
      </c>
      <c r="BD5459" s="3" t="s">
        <v>68</v>
      </c>
      <c r="BF5459" s="3" t="s">
        <v>52192</v>
      </c>
      <c r="BG5459" s="3" t="s">
        <v>52193</v>
      </c>
    </row>
    <row r="5460" spans="1:59" ht="58" x14ac:dyDescent="0.35">
      <c r="A5460" s="2" t="s">
        <v>59</v>
      </c>
      <c r="B5460" s="2" t="s">
        <v>60</v>
      </c>
      <c r="C5460" s="2" t="s">
        <v>52194</v>
      </c>
      <c r="D5460" s="2" t="s">
        <v>52195</v>
      </c>
      <c r="E5460" s="2" t="s">
        <v>52196</v>
      </c>
      <c r="G5460" s="3" t="s">
        <v>62</v>
      </c>
      <c r="I5460" s="3" t="s">
        <v>61</v>
      </c>
      <c r="J5460" s="3" t="s">
        <v>62</v>
      </c>
      <c r="K5460" s="3" t="s">
        <v>63</v>
      </c>
      <c r="L5460" s="2" t="s">
        <v>52197</v>
      </c>
      <c r="M5460" s="2" t="s">
        <v>27092</v>
      </c>
      <c r="N5460" s="3" t="s">
        <v>852</v>
      </c>
      <c r="P5460" s="3" t="s">
        <v>64</v>
      </c>
      <c r="Q5460" s="2" t="s">
        <v>52198</v>
      </c>
      <c r="R5460" s="3" t="s">
        <v>52080</v>
      </c>
      <c r="S5460" s="4">
        <v>1</v>
      </c>
      <c r="T5460" s="4">
        <v>8</v>
      </c>
      <c r="U5460" s="5" t="s">
        <v>48813</v>
      </c>
      <c r="V5460" s="5" t="s">
        <v>48813</v>
      </c>
      <c r="W5460" s="5" t="s">
        <v>67</v>
      </c>
      <c r="X5460" s="5" t="s">
        <v>67</v>
      </c>
      <c r="Y5460" s="4">
        <v>528</v>
      </c>
      <c r="Z5460" s="4">
        <v>29</v>
      </c>
      <c r="AA5460" s="4">
        <v>34</v>
      </c>
      <c r="AB5460" s="4">
        <v>4</v>
      </c>
      <c r="AC5460" s="4">
        <v>5</v>
      </c>
      <c r="AD5460" s="4">
        <v>106</v>
      </c>
      <c r="AE5460" s="4">
        <v>113</v>
      </c>
      <c r="AF5460" s="4">
        <v>1</v>
      </c>
      <c r="AG5460" s="4">
        <v>2</v>
      </c>
      <c r="AH5460" s="4">
        <v>90</v>
      </c>
      <c r="AI5460" s="4">
        <v>95</v>
      </c>
      <c r="AJ5460" s="4">
        <v>18</v>
      </c>
      <c r="AK5460" s="4">
        <v>20</v>
      </c>
      <c r="AL5460" s="4">
        <v>49</v>
      </c>
      <c r="AM5460" s="4">
        <v>51</v>
      </c>
      <c r="AN5460" s="4">
        <v>0</v>
      </c>
      <c r="AO5460" s="4">
        <v>0</v>
      </c>
      <c r="AP5460" s="4">
        <v>21</v>
      </c>
      <c r="AQ5460" s="4">
        <v>25</v>
      </c>
      <c r="AR5460" s="3" t="s">
        <v>62</v>
      </c>
      <c r="AS5460" s="3" t="s">
        <v>62</v>
      </c>
      <c r="AT5460" s="3" t="s">
        <v>62</v>
      </c>
      <c r="AV5460" s="6" t="str">
        <f>HYPERLINK("http://mcgill.on.worldcat.org/oclc/23073","Catalog Record")</f>
        <v>Catalog Record</v>
      </c>
      <c r="AW5460" s="6" t="str">
        <f>HYPERLINK("http://www.worldcat.org/oclc/23073","WorldCat Record")</f>
        <v>WorldCat Record</v>
      </c>
      <c r="AX5460" s="3" t="s">
        <v>52199</v>
      </c>
      <c r="AY5460" s="3" t="s">
        <v>52200</v>
      </c>
      <c r="AZ5460" s="3" t="s">
        <v>52201</v>
      </c>
      <c r="BA5460" s="3" t="s">
        <v>52201</v>
      </c>
      <c r="BB5460" s="3" t="s">
        <v>52202</v>
      </c>
      <c r="BC5460" s="3" t="s">
        <v>102</v>
      </c>
      <c r="BD5460" s="3" t="s">
        <v>68</v>
      </c>
      <c r="BE5460" s="3" t="s">
        <v>52203</v>
      </c>
      <c r="BF5460" s="3" t="s">
        <v>52202</v>
      </c>
      <c r="BG5460" s="3" t="s">
        <v>52204</v>
      </c>
    </row>
    <row r="5461" spans="1:59" ht="72.5" x14ac:dyDescent="0.35">
      <c r="A5461" s="2" t="s">
        <v>59</v>
      </c>
      <c r="B5461" s="2" t="s">
        <v>60</v>
      </c>
      <c r="C5461" s="2" t="s">
        <v>52205</v>
      </c>
      <c r="D5461" s="2" t="s">
        <v>52206</v>
      </c>
      <c r="E5461" s="2" t="s">
        <v>52207</v>
      </c>
      <c r="F5461" s="3" t="s">
        <v>52208</v>
      </c>
      <c r="G5461" s="3" t="s">
        <v>62</v>
      </c>
      <c r="I5461" s="3" t="s">
        <v>62</v>
      </c>
      <c r="J5461" s="3" t="s">
        <v>62</v>
      </c>
      <c r="K5461" s="3" t="s">
        <v>63</v>
      </c>
      <c r="L5461" s="2" t="s">
        <v>52209</v>
      </c>
      <c r="M5461" s="2" t="s">
        <v>52210</v>
      </c>
      <c r="N5461" s="3" t="s">
        <v>866</v>
      </c>
      <c r="P5461" s="3" t="s">
        <v>64</v>
      </c>
      <c r="Q5461" s="2" t="s">
        <v>52211</v>
      </c>
      <c r="R5461" s="3" t="s">
        <v>52080</v>
      </c>
      <c r="S5461" s="4">
        <v>8</v>
      </c>
      <c r="T5461" s="4">
        <v>8</v>
      </c>
      <c r="U5461" s="5" t="s">
        <v>5961</v>
      </c>
      <c r="V5461" s="5" t="s">
        <v>5961</v>
      </c>
      <c r="W5461" s="5" t="s">
        <v>67</v>
      </c>
      <c r="X5461" s="5" t="s">
        <v>67</v>
      </c>
      <c r="Y5461" s="4">
        <v>12</v>
      </c>
      <c r="Z5461" s="4">
        <v>2</v>
      </c>
      <c r="AA5461" s="4">
        <v>5</v>
      </c>
      <c r="AB5461" s="4">
        <v>2</v>
      </c>
      <c r="AC5461" s="4">
        <v>2</v>
      </c>
      <c r="AD5461" s="4">
        <v>0</v>
      </c>
      <c r="AE5461" s="4">
        <v>14</v>
      </c>
      <c r="AF5461" s="4">
        <v>0</v>
      </c>
      <c r="AG5461" s="4">
        <v>0</v>
      </c>
      <c r="AH5461" s="4">
        <v>0</v>
      </c>
      <c r="AI5461" s="4">
        <v>11</v>
      </c>
      <c r="AJ5461" s="4">
        <v>0</v>
      </c>
      <c r="AK5461" s="4">
        <v>2</v>
      </c>
      <c r="AL5461" s="4">
        <v>0</v>
      </c>
      <c r="AM5461" s="4">
        <v>10</v>
      </c>
      <c r="AN5461" s="4">
        <v>0</v>
      </c>
      <c r="AO5461" s="4">
        <v>0</v>
      </c>
      <c r="AP5461" s="4">
        <v>0</v>
      </c>
      <c r="AQ5461" s="4">
        <v>3</v>
      </c>
      <c r="AR5461" s="3" t="s">
        <v>62</v>
      </c>
      <c r="AS5461" s="3" t="s">
        <v>62</v>
      </c>
      <c r="AT5461" s="3" t="s">
        <v>62</v>
      </c>
      <c r="AV5461" s="6" t="str">
        <f>HYPERLINK("http://mcgill.on.worldcat.org/oclc/12054350","Catalog Record")</f>
        <v>Catalog Record</v>
      </c>
      <c r="AW5461" s="6" t="str">
        <f>HYPERLINK("http://www.worldcat.org/oclc/12054350","WorldCat Record")</f>
        <v>WorldCat Record</v>
      </c>
      <c r="AX5461" s="3" t="s">
        <v>52212</v>
      </c>
      <c r="AY5461" s="3" t="s">
        <v>52213</v>
      </c>
      <c r="AZ5461" s="3" t="s">
        <v>52214</v>
      </c>
      <c r="BA5461" s="3" t="s">
        <v>52214</v>
      </c>
      <c r="BB5461" s="3" t="s">
        <v>52215</v>
      </c>
      <c r="BC5461" s="3" t="s">
        <v>102</v>
      </c>
      <c r="BD5461" s="3" t="s">
        <v>68</v>
      </c>
      <c r="BF5461" s="3" t="s">
        <v>52215</v>
      </c>
      <c r="BG5461" s="3" t="s">
        <v>52216</v>
      </c>
    </row>
    <row r="5462" spans="1:59" ht="58" x14ac:dyDescent="0.35">
      <c r="A5462" s="2" t="s">
        <v>59</v>
      </c>
      <c r="B5462" s="2" t="s">
        <v>60</v>
      </c>
      <c r="C5462" s="2" t="s">
        <v>52217</v>
      </c>
      <c r="D5462" s="2" t="s">
        <v>52218</v>
      </c>
      <c r="E5462" s="2" t="s">
        <v>52219</v>
      </c>
      <c r="G5462" s="3" t="s">
        <v>62</v>
      </c>
      <c r="I5462" s="3" t="s">
        <v>62</v>
      </c>
      <c r="J5462" s="3" t="s">
        <v>62</v>
      </c>
      <c r="K5462" s="3" t="s">
        <v>63</v>
      </c>
      <c r="M5462" s="2" t="s">
        <v>52220</v>
      </c>
      <c r="N5462" s="3" t="s">
        <v>2566</v>
      </c>
      <c r="P5462" s="3" t="s">
        <v>64</v>
      </c>
      <c r="R5462" s="3" t="s">
        <v>52080</v>
      </c>
      <c r="S5462" s="4">
        <v>15</v>
      </c>
      <c r="T5462" s="4">
        <v>15</v>
      </c>
      <c r="U5462" s="5" t="s">
        <v>28694</v>
      </c>
      <c r="V5462" s="5" t="s">
        <v>28694</v>
      </c>
      <c r="W5462" s="5" t="s">
        <v>67</v>
      </c>
      <c r="X5462" s="5" t="s">
        <v>67</v>
      </c>
      <c r="Y5462" s="4">
        <v>184</v>
      </c>
      <c r="Z5462" s="4">
        <v>23</v>
      </c>
      <c r="AA5462" s="4">
        <v>24</v>
      </c>
      <c r="AB5462" s="4">
        <v>3</v>
      </c>
      <c r="AC5462" s="4">
        <v>3</v>
      </c>
      <c r="AD5462" s="4">
        <v>61</v>
      </c>
      <c r="AE5462" s="4">
        <v>61</v>
      </c>
      <c r="AF5462" s="4">
        <v>1</v>
      </c>
      <c r="AG5462" s="4">
        <v>1</v>
      </c>
      <c r="AH5462" s="4">
        <v>49</v>
      </c>
      <c r="AI5462" s="4">
        <v>49</v>
      </c>
      <c r="AJ5462" s="4">
        <v>17</v>
      </c>
      <c r="AK5462" s="4">
        <v>17</v>
      </c>
      <c r="AL5462" s="4">
        <v>27</v>
      </c>
      <c r="AM5462" s="4">
        <v>27</v>
      </c>
      <c r="AN5462" s="4">
        <v>0</v>
      </c>
      <c r="AO5462" s="4">
        <v>0</v>
      </c>
      <c r="AP5462" s="4">
        <v>17</v>
      </c>
      <c r="AQ5462" s="4">
        <v>17</v>
      </c>
      <c r="AR5462" s="3" t="s">
        <v>62</v>
      </c>
      <c r="AS5462" s="3" t="s">
        <v>62</v>
      </c>
      <c r="AT5462" s="3" t="s">
        <v>62</v>
      </c>
      <c r="AV5462" s="6" t="str">
        <f>HYPERLINK("http://mcgill.on.worldcat.org/oclc/1600468","Catalog Record")</f>
        <v>Catalog Record</v>
      </c>
      <c r="AW5462" s="6" t="str">
        <f>HYPERLINK("http://www.worldcat.org/oclc/1600468","WorldCat Record")</f>
        <v>WorldCat Record</v>
      </c>
      <c r="AX5462" s="3" t="s">
        <v>52221</v>
      </c>
      <c r="AY5462" s="3" t="s">
        <v>52222</v>
      </c>
      <c r="AZ5462" s="3" t="s">
        <v>52223</v>
      </c>
      <c r="BA5462" s="3" t="s">
        <v>52223</v>
      </c>
      <c r="BB5462" s="3" t="s">
        <v>52224</v>
      </c>
      <c r="BC5462" s="3" t="s">
        <v>102</v>
      </c>
      <c r="BD5462" s="3" t="s">
        <v>68</v>
      </c>
      <c r="BE5462" s="3" t="s">
        <v>52225</v>
      </c>
      <c r="BF5462" s="3" t="s">
        <v>52224</v>
      </c>
      <c r="BG5462" s="3" t="s">
        <v>52226</v>
      </c>
    </row>
    <row r="5463" spans="1:59" ht="58" x14ac:dyDescent="0.35">
      <c r="A5463" s="2" t="s">
        <v>59</v>
      </c>
      <c r="B5463" s="2" t="s">
        <v>60</v>
      </c>
      <c r="C5463" s="2" t="s">
        <v>52227</v>
      </c>
      <c r="D5463" s="2" t="s">
        <v>52228</v>
      </c>
      <c r="E5463" s="2" t="s">
        <v>52229</v>
      </c>
      <c r="F5463" s="3" t="s">
        <v>52230</v>
      </c>
      <c r="G5463" s="3" t="s">
        <v>61</v>
      </c>
      <c r="I5463" s="3" t="s">
        <v>62</v>
      </c>
      <c r="J5463" s="3" t="s">
        <v>62</v>
      </c>
      <c r="K5463" s="3" t="s">
        <v>63</v>
      </c>
      <c r="L5463" s="2" t="s">
        <v>52231</v>
      </c>
      <c r="M5463" s="2" t="s">
        <v>52232</v>
      </c>
      <c r="N5463" s="3" t="s">
        <v>186</v>
      </c>
      <c r="P5463" s="3" t="s">
        <v>64</v>
      </c>
      <c r="R5463" s="3" t="s">
        <v>52233</v>
      </c>
      <c r="S5463" s="4">
        <v>0</v>
      </c>
      <c r="T5463" s="4">
        <v>1</v>
      </c>
      <c r="V5463" s="5" t="s">
        <v>8532</v>
      </c>
      <c r="W5463" s="5" t="s">
        <v>67</v>
      </c>
      <c r="X5463" s="5" t="s">
        <v>67</v>
      </c>
      <c r="Y5463" s="4">
        <v>298</v>
      </c>
      <c r="Z5463" s="4">
        <v>24</v>
      </c>
      <c r="AA5463" s="4">
        <v>32</v>
      </c>
      <c r="AB5463" s="4">
        <v>2</v>
      </c>
      <c r="AC5463" s="4">
        <v>3</v>
      </c>
      <c r="AD5463" s="4">
        <v>84</v>
      </c>
      <c r="AE5463" s="4">
        <v>106</v>
      </c>
      <c r="AF5463" s="4">
        <v>0</v>
      </c>
      <c r="AG5463" s="4">
        <v>1</v>
      </c>
      <c r="AH5463" s="4">
        <v>72</v>
      </c>
      <c r="AI5463" s="4">
        <v>90</v>
      </c>
      <c r="AJ5463" s="4">
        <v>11</v>
      </c>
      <c r="AK5463" s="4">
        <v>16</v>
      </c>
      <c r="AL5463" s="4">
        <v>43</v>
      </c>
      <c r="AM5463" s="4">
        <v>48</v>
      </c>
      <c r="AN5463" s="4">
        <v>0</v>
      </c>
      <c r="AO5463" s="4">
        <v>0</v>
      </c>
      <c r="AP5463" s="4">
        <v>19</v>
      </c>
      <c r="AQ5463" s="4">
        <v>24</v>
      </c>
      <c r="AR5463" s="3" t="s">
        <v>62</v>
      </c>
      <c r="AS5463" s="3" t="s">
        <v>62</v>
      </c>
      <c r="AT5463" s="3" t="s">
        <v>61</v>
      </c>
      <c r="AU5463" s="6" t="str">
        <f>HYPERLINK("http://catalog.hathitrust.org/Record/000718259","HathiTrust Record")</f>
        <v>HathiTrust Record</v>
      </c>
      <c r="AV5463" s="6" t="str">
        <f>HYPERLINK("http://mcgill.on.worldcat.org/oclc/1650452","Catalog Record")</f>
        <v>Catalog Record</v>
      </c>
      <c r="AW5463" s="6" t="str">
        <f>HYPERLINK("http://www.worldcat.org/oclc/1650452","WorldCat Record")</f>
        <v>WorldCat Record</v>
      </c>
      <c r="AX5463" s="3" t="s">
        <v>52234</v>
      </c>
      <c r="AY5463" s="3" t="s">
        <v>52235</v>
      </c>
      <c r="AZ5463" s="3" t="s">
        <v>52236</v>
      </c>
      <c r="BA5463" s="3" t="s">
        <v>52236</v>
      </c>
      <c r="BB5463" s="3" t="s">
        <v>52237</v>
      </c>
      <c r="BC5463" s="3" t="s">
        <v>102</v>
      </c>
      <c r="BD5463" s="3" t="s">
        <v>68</v>
      </c>
      <c r="BE5463" s="3" t="s">
        <v>52238</v>
      </c>
      <c r="BF5463" s="3" t="s">
        <v>52237</v>
      </c>
      <c r="BG5463" s="3" t="s">
        <v>52239</v>
      </c>
    </row>
    <row r="5464" spans="1:59" ht="58" x14ac:dyDescent="0.35">
      <c r="A5464" s="2" t="s">
        <v>59</v>
      </c>
      <c r="B5464" s="2" t="s">
        <v>60</v>
      </c>
      <c r="C5464" s="2" t="s">
        <v>52227</v>
      </c>
      <c r="D5464" s="2" t="s">
        <v>52228</v>
      </c>
      <c r="E5464" s="2" t="s">
        <v>52229</v>
      </c>
      <c r="F5464" s="3" t="s">
        <v>52240</v>
      </c>
      <c r="G5464" s="3" t="s">
        <v>61</v>
      </c>
      <c r="I5464" s="3" t="s">
        <v>62</v>
      </c>
      <c r="J5464" s="3" t="s">
        <v>62</v>
      </c>
      <c r="K5464" s="3" t="s">
        <v>63</v>
      </c>
      <c r="L5464" s="2" t="s">
        <v>52231</v>
      </c>
      <c r="M5464" s="2" t="s">
        <v>52232</v>
      </c>
      <c r="N5464" s="3" t="s">
        <v>186</v>
      </c>
      <c r="P5464" s="3" t="s">
        <v>64</v>
      </c>
      <c r="R5464" s="3" t="s">
        <v>52233</v>
      </c>
      <c r="S5464" s="4">
        <v>0</v>
      </c>
      <c r="T5464" s="4">
        <v>1</v>
      </c>
      <c r="V5464" s="5" t="s">
        <v>8532</v>
      </c>
      <c r="W5464" s="5" t="s">
        <v>67</v>
      </c>
      <c r="X5464" s="5" t="s">
        <v>67</v>
      </c>
      <c r="Y5464" s="4">
        <v>298</v>
      </c>
      <c r="Z5464" s="4">
        <v>24</v>
      </c>
      <c r="AA5464" s="4">
        <v>32</v>
      </c>
      <c r="AB5464" s="4">
        <v>2</v>
      </c>
      <c r="AC5464" s="4">
        <v>3</v>
      </c>
      <c r="AD5464" s="4">
        <v>84</v>
      </c>
      <c r="AE5464" s="4">
        <v>106</v>
      </c>
      <c r="AF5464" s="4">
        <v>0</v>
      </c>
      <c r="AG5464" s="4">
        <v>1</v>
      </c>
      <c r="AH5464" s="4">
        <v>72</v>
      </c>
      <c r="AI5464" s="4">
        <v>90</v>
      </c>
      <c r="AJ5464" s="4">
        <v>11</v>
      </c>
      <c r="AK5464" s="4">
        <v>16</v>
      </c>
      <c r="AL5464" s="4">
        <v>43</v>
      </c>
      <c r="AM5464" s="4">
        <v>48</v>
      </c>
      <c r="AN5464" s="4">
        <v>0</v>
      </c>
      <c r="AO5464" s="4">
        <v>0</v>
      </c>
      <c r="AP5464" s="4">
        <v>19</v>
      </c>
      <c r="AQ5464" s="4">
        <v>24</v>
      </c>
      <c r="AR5464" s="3" t="s">
        <v>62</v>
      </c>
      <c r="AS5464" s="3" t="s">
        <v>62</v>
      </c>
      <c r="AT5464" s="3" t="s">
        <v>61</v>
      </c>
      <c r="AU5464" s="6" t="str">
        <f>HYPERLINK("http://catalog.hathitrust.org/Record/000718259","HathiTrust Record")</f>
        <v>HathiTrust Record</v>
      </c>
      <c r="AV5464" s="6" t="str">
        <f>HYPERLINK("http://mcgill.on.worldcat.org/oclc/1650452","Catalog Record")</f>
        <v>Catalog Record</v>
      </c>
      <c r="AW5464" s="6" t="str">
        <f>HYPERLINK("http://www.worldcat.org/oclc/1650452","WorldCat Record")</f>
        <v>WorldCat Record</v>
      </c>
      <c r="AX5464" s="3" t="s">
        <v>52234</v>
      </c>
      <c r="AY5464" s="3" t="s">
        <v>52235</v>
      </c>
      <c r="AZ5464" s="3" t="s">
        <v>52236</v>
      </c>
      <c r="BA5464" s="3" t="s">
        <v>52236</v>
      </c>
      <c r="BB5464" s="3" t="s">
        <v>52241</v>
      </c>
      <c r="BC5464" s="3" t="s">
        <v>102</v>
      </c>
      <c r="BD5464" s="3" t="s">
        <v>68</v>
      </c>
      <c r="BE5464" s="3" t="s">
        <v>52238</v>
      </c>
      <c r="BF5464" s="3" t="s">
        <v>52241</v>
      </c>
      <c r="BG5464" s="3" t="s">
        <v>52242</v>
      </c>
    </row>
    <row r="5465" spans="1:59" ht="58" x14ac:dyDescent="0.35">
      <c r="A5465" s="2" t="s">
        <v>59</v>
      </c>
      <c r="B5465" s="2" t="s">
        <v>60</v>
      </c>
      <c r="C5465" s="2" t="s">
        <v>52227</v>
      </c>
      <c r="D5465" s="2" t="s">
        <v>52228</v>
      </c>
      <c r="E5465" s="2" t="s">
        <v>52229</v>
      </c>
      <c r="F5465" s="3" t="s">
        <v>52243</v>
      </c>
      <c r="G5465" s="3" t="s">
        <v>61</v>
      </c>
      <c r="I5465" s="3" t="s">
        <v>62</v>
      </c>
      <c r="J5465" s="3" t="s">
        <v>62</v>
      </c>
      <c r="K5465" s="3" t="s">
        <v>63</v>
      </c>
      <c r="L5465" s="2" t="s">
        <v>52231</v>
      </c>
      <c r="M5465" s="2" t="s">
        <v>52232</v>
      </c>
      <c r="N5465" s="3" t="s">
        <v>186</v>
      </c>
      <c r="P5465" s="3" t="s">
        <v>64</v>
      </c>
      <c r="R5465" s="3" t="s">
        <v>52233</v>
      </c>
      <c r="S5465" s="4">
        <v>0</v>
      </c>
      <c r="T5465" s="4">
        <v>1</v>
      </c>
      <c r="V5465" s="5" t="s">
        <v>8532</v>
      </c>
      <c r="W5465" s="5" t="s">
        <v>67</v>
      </c>
      <c r="X5465" s="5" t="s">
        <v>67</v>
      </c>
      <c r="Y5465" s="4">
        <v>298</v>
      </c>
      <c r="Z5465" s="4">
        <v>24</v>
      </c>
      <c r="AA5465" s="4">
        <v>32</v>
      </c>
      <c r="AB5465" s="4">
        <v>2</v>
      </c>
      <c r="AC5465" s="4">
        <v>3</v>
      </c>
      <c r="AD5465" s="4">
        <v>84</v>
      </c>
      <c r="AE5465" s="4">
        <v>106</v>
      </c>
      <c r="AF5465" s="4">
        <v>0</v>
      </c>
      <c r="AG5465" s="4">
        <v>1</v>
      </c>
      <c r="AH5465" s="4">
        <v>72</v>
      </c>
      <c r="AI5465" s="4">
        <v>90</v>
      </c>
      <c r="AJ5465" s="4">
        <v>11</v>
      </c>
      <c r="AK5465" s="4">
        <v>16</v>
      </c>
      <c r="AL5465" s="4">
        <v>43</v>
      </c>
      <c r="AM5465" s="4">
        <v>48</v>
      </c>
      <c r="AN5465" s="4">
        <v>0</v>
      </c>
      <c r="AO5465" s="4">
        <v>0</v>
      </c>
      <c r="AP5465" s="4">
        <v>19</v>
      </c>
      <c r="AQ5465" s="4">
        <v>24</v>
      </c>
      <c r="AR5465" s="3" t="s">
        <v>62</v>
      </c>
      <c r="AS5465" s="3" t="s">
        <v>62</v>
      </c>
      <c r="AT5465" s="3" t="s">
        <v>61</v>
      </c>
      <c r="AU5465" s="6" t="str">
        <f>HYPERLINK("http://catalog.hathitrust.org/Record/000718259","HathiTrust Record")</f>
        <v>HathiTrust Record</v>
      </c>
      <c r="AV5465" s="6" t="str">
        <f>HYPERLINK("http://mcgill.on.worldcat.org/oclc/1650452","Catalog Record")</f>
        <v>Catalog Record</v>
      </c>
      <c r="AW5465" s="6" t="str">
        <f>HYPERLINK("http://www.worldcat.org/oclc/1650452","WorldCat Record")</f>
        <v>WorldCat Record</v>
      </c>
      <c r="AX5465" s="3" t="s">
        <v>52234</v>
      </c>
      <c r="AY5465" s="3" t="s">
        <v>52235</v>
      </c>
      <c r="AZ5465" s="3" t="s">
        <v>52236</v>
      </c>
      <c r="BA5465" s="3" t="s">
        <v>52236</v>
      </c>
      <c r="BB5465" s="3" t="s">
        <v>52244</v>
      </c>
      <c r="BC5465" s="3" t="s">
        <v>102</v>
      </c>
      <c r="BD5465" s="3" t="s">
        <v>68</v>
      </c>
      <c r="BE5465" s="3" t="s">
        <v>52238</v>
      </c>
      <c r="BF5465" s="3" t="s">
        <v>52244</v>
      </c>
      <c r="BG5465" s="3" t="s">
        <v>52245</v>
      </c>
    </row>
    <row r="5466" spans="1:59" ht="58" x14ac:dyDescent="0.35">
      <c r="A5466" s="2" t="s">
        <v>59</v>
      </c>
      <c r="B5466" s="2" t="s">
        <v>60</v>
      </c>
      <c r="C5466" s="2" t="s">
        <v>52227</v>
      </c>
      <c r="D5466" s="2" t="s">
        <v>52228</v>
      </c>
      <c r="E5466" s="2" t="s">
        <v>52229</v>
      </c>
      <c r="F5466" s="3" t="s">
        <v>52246</v>
      </c>
      <c r="G5466" s="3" t="s">
        <v>61</v>
      </c>
      <c r="I5466" s="3" t="s">
        <v>62</v>
      </c>
      <c r="J5466" s="3" t="s">
        <v>62</v>
      </c>
      <c r="K5466" s="3" t="s">
        <v>63</v>
      </c>
      <c r="L5466" s="2" t="s">
        <v>52231</v>
      </c>
      <c r="M5466" s="2" t="s">
        <v>52232</v>
      </c>
      <c r="N5466" s="3" t="s">
        <v>186</v>
      </c>
      <c r="P5466" s="3" t="s">
        <v>64</v>
      </c>
      <c r="R5466" s="3" t="s">
        <v>52233</v>
      </c>
      <c r="S5466" s="4">
        <v>0</v>
      </c>
      <c r="T5466" s="4">
        <v>1</v>
      </c>
      <c r="V5466" s="5" t="s">
        <v>8532</v>
      </c>
      <c r="W5466" s="5" t="s">
        <v>67</v>
      </c>
      <c r="X5466" s="5" t="s">
        <v>67</v>
      </c>
      <c r="Y5466" s="4">
        <v>298</v>
      </c>
      <c r="Z5466" s="4">
        <v>24</v>
      </c>
      <c r="AA5466" s="4">
        <v>32</v>
      </c>
      <c r="AB5466" s="4">
        <v>2</v>
      </c>
      <c r="AC5466" s="4">
        <v>3</v>
      </c>
      <c r="AD5466" s="4">
        <v>84</v>
      </c>
      <c r="AE5466" s="4">
        <v>106</v>
      </c>
      <c r="AF5466" s="4">
        <v>0</v>
      </c>
      <c r="AG5466" s="4">
        <v>1</v>
      </c>
      <c r="AH5466" s="4">
        <v>72</v>
      </c>
      <c r="AI5466" s="4">
        <v>90</v>
      </c>
      <c r="AJ5466" s="4">
        <v>11</v>
      </c>
      <c r="AK5466" s="4">
        <v>16</v>
      </c>
      <c r="AL5466" s="4">
        <v>43</v>
      </c>
      <c r="AM5466" s="4">
        <v>48</v>
      </c>
      <c r="AN5466" s="4">
        <v>0</v>
      </c>
      <c r="AO5466" s="4">
        <v>0</v>
      </c>
      <c r="AP5466" s="4">
        <v>19</v>
      </c>
      <c r="AQ5466" s="4">
        <v>24</v>
      </c>
      <c r="AR5466" s="3" t="s">
        <v>62</v>
      </c>
      <c r="AS5466" s="3" t="s">
        <v>62</v>
      </c>
      <c r="AT5466" s="3" t="s">
        <v>61</v>
      </c>
      <c r="AU5466" s="6" t="str">
        <f>HYPERLINK("http://catalog.hathitrust.org/Record/000718259","HathiTrust Record")</f>
        <v>HathiTrust Record</v>
      </c>
      <c r="AV5466" s="6" t="str">
        <f>HYPERLINK("http://mcgill.on.worldcat.org/oclc/1650452","Catalog Record")</f>
        <v>Catalog Record</v>
      </c>
      <c r="AW5466" s="6" t="str">
        <f>HYPERLINK("http://www.worldcat.org/oclc/1650452","WorldCat Record")</f>
        <v>WorldCat Record</v>
      </c>
      <c r="AX5466" s="3" t="s">
        <v>52234</v>
      </c>
      <c r="AY5466" s="3" t="s">
        <v>52235</v>
      </c>
      <c r="AZ5466" s="3" t="s">
        <v>52236</v>
      </c>
      <c r="BA5466" s="3" t="s">
        <v>52236</v>
      </c>
      <c r="BB5466" s="3" t="s">
        <v>52247</v>
      </c>
      <c r="BC5466" s="3" t="s">
        <v>102</v>
      </c>
      <c r="BD5466" s="3" t="s">
        <v>68</v>
      </c>
      <c r="BE5466" s="3" t="s">
        <v>52238</v>
      </c>
      <c r="BF5466" s="3" t="s">
        <v>52247</v>
      </c>
      <c r="BG5466" s="3" t="s">
        <v>52248</v>
      </c>
    </row>
    <row r="5467" spans="1:59" ht="58" x14ac:dyDescent="0.35">
      <c r="A5467" s="2" t="s">
        <v>59</v>
      </c>
      <c r="B5467" s="2" t="s">
        <v>60</v>
      </c>
      <c r="C5467" s="2" t="s">
        <v>52227</v>
      </c>
      <c r="D5467" s="2" t="s">
        <v>52228</v>
      </c>
      <c r="E5467" s="2" t="s">
        <v>52229</v>
      </c>
      <c r="F5467" s="3" t="s">
        <v>52249</v>
      </c>
      <c r="G5467" s="3" t="s">
        <v>61</v>
      </c>
      <c r="I5467" s="3" t="s">
        <v>62</v>
      </c>
      <c r="J5467" s="3" t="s">
        <v>62</v>
      </c>
      <c r="K5467" s="3" t="s">
        <v>63</v>
      </c>
      <c r="L5467" s="2" t="s">
        <v>52231</v>
      </c>
      <c r="M5467" s="2" t="s">
        <v>52232</v>
      </c>
      <c r="N5467" s="3" t="s">
        <v>186</v>
      </c>
      <c r="P5467" s="3" t="s">
        <v>64</v>
      </c>
      <c r="R5467" s="3" t="s">
        <v>52233</v>
      </c>
      <c r="S5467" s="4">
        <v>1</v>
      </c>
      <c r="T5467" s="4">
        <v>1</v>
      </c>
      <c r="U5467" s="5" t="s">
        <v>8532</v>
      </c>
      <c r="V5467" s="5" t="s">
        <v>8532</v>
      </c>
      <c r="W5467" s="5" t="s">
        <v>67</v>
      </c>
      <c r="X5467" s="5" t="s">
        <v>67</v>
      </c>
      <c r="Y5467" s="4">
        <v>298</v>
      </c>
      <c r="Z5467" s="4">
        <v>24</v>
      </c>
      <c r="AA5467" s="4">
        <v>32</v>
      </c>
      <c r="AB5467" s="4">
        <v>2</v>
      </c>
      <c r="AC5467" s="4">
        <v>3</v>
      </c>
      <c r="AD5467" s="4">
        <v>84</v>
      </c>
      <c r="AE5467" s="4">
        <v>106</v>
      </c>
      <c r="AF5467" s="4">
        <v>0</v>
      </c>
      <c r="AG5467" s="4">
        <v>1</v>
      </c>
      <c r="AH5467" s="4">
        <v>72</v>
      </c>
      <c r="AI5467" s="4">
        <v>90</v>
      </c>
      <c r="AJ5467" s="4">
        <v>11</v>
      </c>
      <c r="AK5467" s="4">
        <v>16</v>
      </c>
      <c r="AL5467" s="4">
        <v>43</v>
      </c>
      <c r="AM5467" s="4">
        <v>48</v>
      </c>
      <c r="AN5467" s="4">
        <v>0</v>
      </c>
      <c r="AO5467" s="4">
        <v>0</v>
      </c>
      <c r="AP5467" s="4">
        <v>19</v>
      </c>
      <c r="AQ5467" s="4">
        <v>24</v>
      </c>
      <c r="AR5467" s="3" t="s">
        <v>62</v>
      </c>
      <c r="AS5467" s="3" t="s">
        <v>62</v>
      </c>
      <c r="AT5467" s="3" t="s">
        <v>61</v>
      </c>
      <c r="AU5467" s="6" t="str">
        <f>HYPERLINK("http://catalog.hathitrust.org/Record/000718259","HathiTrust Record")</f>
        <v>HathiTrust Record</v>
      </c>
      <c r="AV5467" s="6" t="str">
        <f>HYPERLINK("http://mcgill.on.worldcat.org/oclc/1650452","Catalog Record")</f>
        <v>Catalog Record</v>
      </c>
      <c r="AW5467" s="6" t="str">
        <f>HYPERLINK("http://www.worldcat.org/oclc/1650452","WorldCat Record")</f>
        <v>WorldCat Record</v>
      </c>
      <c r="AX5467" s="3" t="s">
        <v>52234</v>
      </c>
      <c r="AY5467" s="3" t="s">
        <v>52235</v>
      </c>
      <c r="AZ5467" s="3" t="s">
        <v>52236</v>
      </c>
      <c r="BA5467" s="3" t="s">
        <v>52236</v>
      </c>
      <c r="BB5467" s="3" t="s">
        <v>52250</v>
      </c>
      <c r="BC5467" s="3" t="s">
        <v>102</v>
      </c>
      <c r="BD5467" s="3" t="s">
        <v>68</v>
      </c>
      <c r="BE5467" s="3" t="s">
        <v>52238</v>
      </c>
      <c r="BF5467" s="3" t="s">
        <v>52250</v>
      </c>
      <c r="BG5467" s="3" t="s">
        <v>52251</v>
      </c>
    </row>
    <row r="5468" spans="1:59" ht="101.5" x14ac:dyDescent="0.35">
      <c r="A5468" s="2" t="s">
        <v>89</v>
      </c>
      <c r="B5468" s="2" t="s">
        <v>36812</v>
      </c>
      <c r="C5468" s="2" t="s">
        <v>52252</v>
      </c>
      <c r="D5468" s="2" t="s">
        <v>52253</v>
      </c>
      <c r="E5468" s="2" t="s">
        <v>52254</v>
      </c>
      <c r="G5468" s="3" t="s">
        <v>62</v>
      </c>
      <c r="I5468" s="3" t="s">
        <v>61</v>
      </c>
      <c r="J5468" s="3" t="s">
        <v>62</v>
      </c>
      <c r="K5468" s="3" t="s">
        <v>63</v>
      </c>
      <c r="L5468" s="2" t="s">
        <v>52255</v>
      </c>
      <c r="M5468" s="2" t="s">
        <v>52256</v>
      </c>
      <c r="N5468" s="3" t="s">
        <v>1038</v>
      </c>
      <c r="O5468" s="2" t="s">
        <v>52257</v>
      </c>
      <c r="P5468" s="3" t="s">
        <v>64</v>
      </c>
      <c r="R5468" s="3" t="s">
        <v>52233</v>
      </c>
      <c r="S5468" s="4">
        <v>3</v>
      </c>
      <c r="T5468" s="4">
        <v>5</v>
      </c>
      <c r="U5468" s="5" t="s">
        <v>10785</v>
      </c>
      <c r="V5468" s="5" t="s">
        <v>10785</v>
      </c>
      <c r="W5468" s="5" t="s">
        <v>67</v>
      </c>
      <c r="X5468" s="5" t="s">
        <v>67</v>
      </c>
      <c r="Y5468" s="4">
        <v>53</v>
      </c>
      <c r="Z5468" s="4">
        <v>3</v>
      </c>
      <c r="AA5468" s="4">
        <v>55</v>
      </c>
      <c r="AB5468" s="4">
        <v>1</v>
      </c>
      <c r="AC5468" s="4">
        <v>5</v>
      </c>
      <c r="AD5468" s="4">
        <v>0</v>
      </c>
      <c r="AE5468" s="4">
        <v>67</v>
      </c>
      <c r="AF5468" s="4">
        <v>0</v>
      </c>
      <c r="AG5468" s="4">
        <v>1</v>
      </c>
      <c r="AH5468" s="4">
        <v>0</v>
      </c>
      <c r="AI5468" s="4">
        <v>54</v>
      </c>
      <c r="AJ5468" s="4">
        <v>0</v>
      </c>
      <c r="AK5468" s="4">
        <v>7</v>
      </c>
      <c r="AL5468" s="4">
        <v>0</v>
      </c>
      <c r="AM5468" s="4">
        <v>32</v>
      </c>
      <c r="AN5468" s="4">
        <v>0</v>
      </c>
      <c r="AO5468" s="4">
        <v>0</v>
      </c>
      <c r="AP5468" s="4">
        <v>0</v>
      </c>
      <c r="AQ5468" s="4">
        <v>16</v>
      </c>
      <c r="AR5468" s="3" t="s">
        <v>62</v>
      </c>
      <c r="AS5468" s="3" t="s">
        <v>62</v>
      </c>
      <c r="AT5468" s="3" t="s">
        <v>62</v>
      </c>
      <c r="AV5468" s="6" t="str">
        <f>HYPERLINK("http://mcgill.on.worldcat.org/oclc/945232388","Catalog Record")</f>
        <v>Catalog Record</v>
      </c>
      <c r="AW5468" s="6" t="str">
        <f>HYPERLINK("http://www.worldcat.org/oclc/945232388","WorldCat Record")</f>
        <v>WorldCat Record</v>
      </c>
      <c r="AX5468" s="3" t="s">
        <v>52258</v>
      </c>
      <c r="AY5468" s="3" t="s">
        <v>52259</v>
      </c>
      <c r="AZ5468" s="3" t="s">
        <v>52260</v>
      </c>
      <c r="BA5468" s="3" t="s">
        <v>52260</v>
      </c>
      <c r="BB5468" s="3" t="s">
        <v>52261</v>
      </c>
      <c r="BC5468" s="3" t="s">
        <v>102</v>
      </c>
      <c r="BD5468" s="3" t="s">
        <v>68</v>
      </c>
      <c r="BE5468" s="3" t="s">
        <v>52262</v>
      </c>
      <c r="BF5468" s="3" t="s">
        <v>52261</v>
      </c>
      <c r="BG5468" s="3" t="s">
        <v>52263</v>
      </c>
    </row>
    <row r="5469" spans="1:59" ht="72.5" x14ac:dyDescent="0.35">
      <c r="A5469" s="2" t="s">
        <v>59</v>
      </c>
      <c r="B5469" s="2" t="s">
        <v>60</v>
      </c>
      <c r="C5469" s="2" t="s">
        <v>52264</v>
      </c>
      <c r="D5469" s="2" t="s">
        <v>52265</v>
      </c>
      <c r="E5469" s="2" t="s">
        <v>46694</v>
      </c>
      <c r="F5469" s="3" t="s">
        <v>52266</v>
      </c>
      <c r="G5469" s="3" t="s">
        <v>61</v>
      </c>
      <c r="I5469" s="3" t="s">
        <v>61</v>
      </c>
      <c r="J5469" s="3" t="s">
        <v>62</v>
      </c>
      <c r="K5469" s="3" t="s">
        <v>63</v>
      </c>
      <c r="M5469" s="2" t="s">
        <v>46695</v>
      </c>
      <c r="N5469" s="3" t="s">
        <v>9091</v>
      </c>
      <c r="P5469" s="3" t="s">
        <v>1881</v>
      </c>
      <c r="R5469" s="3" t="s">
        <v>52233</v>
      </c>
      <c r="S5469" s="4">
        <v>0</v>
      </c>
      <c r="T5469" s="4">
        <v>3</v>
      </c>
      <c r="V5469" s="5" t="s">
        <v>13095</v>
      </c>
      <c r="W5469" s="5" t="s">
        <v>67</v>
      </c>
      <c r="X5469" s="5" t="s">
        <v>67</v>
      </c>
      <c r="Y5469" s="4">
        <v>3</v>
      </c>
      <c r="Z5469" s="4">
        <v>2</v>
      </c>
      <c r="AA5469" s="4">
        <v>7</v>
      </c>
      <c r="AB5469" s="4">
        <v>2</v>
      </c>
      <c r="AC5469" s="4">
        <v>2</v>
      </c>
      <c r="AD5469" s="4">
        <v>0</v>
      </c>
      <c r="AE5469" s="4">
        <v>51</v>
      </c>
      <c r="AF5469" s="4">
        <v>0</v>
      </c>
      <c r="AG5469" s="4">
        <v>0</v>
      </c>
      <c r="AH5469" s="4">
        <v>0</v>
      </c>
      <c r="AI5469" s="4">
        <v>48</v>
      </c>
      <c r="AJ5469" s="4">
        <v>0</v>
      </c>
      <c r="AK5469" s="4">
        <v>4</v>
      </c>
      <c r="AL5469" s="4">
        <v>0</v>
      </c>
      <c r="AM5469" s="4">
        <v>39</v>
      </c>
      <c r="AN5469" s="4">
        <v>0</v>
      </c>
      <c r="AO5469" s="4">
        <v>0</v>
      </c>
      <c r="AP5469" s="4">
        <v>0</v>
      </c>
      <c r="AQ5469" s="4">
        <v>3</v>
      </c>
      <c r="AR5469" s="3" t="s">
        <v>62</v>
      </c>
      <c r="AS5469" s="3" t="s">
        <v>62</v>
      </c>
      <c r="AT5469" s="3" t="s">
        <v>62</v>
      </c>
      <c r="AV5469" s="6" t="str">
        <f t="shared" ref="AV5469:AV5494" si="86">HYPERLINK("http://mcgill.on.worldcat.org/oclc/82297234","Catalog Record")</f>
        <v>Catalog Record</v>
      </c>
      <c r="AW5469" s="6" t="str">
        <f t="shared" ref="AW5469:AW5494" si="87">HYPERLINK("http://www.worldcat.org/oclc/82297234","WorldCat Record")</f>
        <v>WorldCat Record</v>
      </c>
      <c r="AX5469" s="3" t="s">
        <v>46696</v>
      </c>
      <c r="AY5469" s="3" t="s">
        <v>46697</v>
      </c>
      <c r="AZ5469" s="3" t="s">
        <v>46698</v>
      </c>
      <c r="BA5469" s="3" t="s">
        <v>46698</v>
      </c>
      <c r="BB5469" s="3" t="s">
        <v>52267</v>
      </c>
      <c r="BC5469" s="3" t="s">
        <v>102</v>
      </c>
      <c r="BD5469" s="3" t="s">
        <v>68</v>
      </c>
      <c r="BF5469" s="3" t="s">
        <v>52267</v>
      </c>
      <c r="BG5469" s="3" t="s">
        <v>52268</v>
      </c>
    </row>
    <row r="5470" spans="1:59" ht="72.5" x14ac:dyDescent="0.35">
      <c r="A5470" s="2" t="s">
        <v>59</v>
      </c>
      <c r="B5470" s="2" t="s">
        <v>60</v>
      </c>
      <c r="C5470" s="2" t="s">
        <v>52264</v>
      </c>
      <c r="D5470" s="2" t="s">
        <v>52265</v>
      </c>
      <c r="E5470" s="2" t="s">
        <v>46694</v>
      </c>
      <c r="F5470" s="3" t="s">
        <v>52269</v>
      </c>
      <c r="G5470" s="3" t="s">
        <v>61</v>
      </c>
      <c r="I5470" s="3" t="s">
        <v>61</v>
      </c>
      <c r="J5470" s="3" t="s">
        <v>62</v>
      </c>
      <c r="K5470" s="3" t="s">
        <v>63</v>
      </c>
      <c r="M5470" s="2" t="s">
        <v>46695</v>
      </c>
      <c r="N5470" s="3" t="s">
        <v>9091</v>
      </c>
      <c r="P5470" s="3" t="s">
        <v>1881</v>
      </c>
      <c r="R5470" s="3" t="s">
        <v>52233</v>
      </c>
      <c r="S5470" s="4">
        <v>0</v>
      </c>
      <c r="T5470" s="4">
        <v>3</v>
      </c>
      <c r="V5470" s="5" t="s">
        <v>13095</v>
      </c>
      <c r="W5470" s="5" t="s">
        <v>67</v>
      </c>
      <c r="X5470" s="5" t="s">
        <v>67</v>
      </c>
      <c r="Y5470" s="4">
        <v>3</v>
      </c>
      <c r="Z5470" s="4">
        <v>2</v>
      </c>
      <c r="AA5470" s="4">
        <v>7</v>
      </c>
      <c r="AB5470" s="4">
        <v>2</v>
      </c>
      <c r="AC5470" s="4">
        <v>2</v>
      </c>
      <c r="AD5470" s="4">
        <v>0</v>
      </c>
      <c r="AE5470" s="4">
        <v>51</v>
      </c>
      <c r="AF5470" s="4">
        <v>0</v>
      </c>
      <c r="AG5470" s="4">
        <v>0</v>
      </c>
      <c r="AH5470" s="4">
        <v>0</v>
      </c>
      <c r="AI5470" s="4">
        <v>48</v>
      </c>
      <c r="AJ5470" s="4">
        <v>0</v>
      </c>
      <c r="AK5470" s="4">
        <v>4</v>
      </c>
      <c r="AL5470" s="4">
        <v>0</v>
      </c>
      <c r="AM5470" s="4">
        <v>39</v>
      </c>
      <c r="AN5470" s="4">
        <v>0</v>
      </c>
      <c r="AO5470" s="4">
        <v>0</v>
      </c>
      <c r="AP5470" s="4">
        <v>0</v>
      </c>
      <c r="AQ5470" s="4">
        <v>3</v>
      </c>
      <c r="AR5470" s="3" t="s">
        <v>62</v>
      </c>
      <c r="AS5470" s="3" t="s">
        <v>62</v>
      </c>
      <c r="AT5470" s="3" t="s">
        <v>62</v>
      </c>
      <c r="AV5470" s="6" t="str">
        <f t="shared" si="86"/>
        <v>Catalog Record</v>
      </c>
      <c r="AW5470" s="6" t="str">
        <f t="shared" si="87"/>
        <v>WorldCat Record</v>
      </c>
      <c r="AX5470" s="3" t="s">
        <v>46696</v>
      </c>
      <c r="AY5470" s="3" t="s">
        <v>46697</v>
      </c>
      <c r="AZ5470" s="3" t="s">
        <v>46698</v>
      </c>
      <c r="BA5470" s="3" t="s">
        <v>46698</v>
      </c>
      <c r="BB5470" s="3" t="s">
        <v>52270</v>
      </c>
      <c r="BC5470" s="3" t="s">
        <v>102</v>
      </c>
      <c r="BD5470" s="3" t="s">
        <v>68</v>
      </c>
      <c r="BF5470" s="3" t="s">
        <v>52270</v>
      </c>
      <c r="BG5470" s="3" t="s">
        <v>52271</v>
      </c>
    </row>
    <row r="5471" spans="1:59" ht="72.5" x14ac:dyDescent="0.35">
      <c r="A5471" s="2" t="s">
        <v>59</v>
      </c>
      <c r="B5471" s="2" t="s">
        <v>60</v>
      </c>
      <c r="C5471" s="2" t="s">
        <v>52264</v>
      </c>
      <c r="D5471" s="2" t="s">
        <v>52265</v>
      </c>
      <c r="E5471" s="2" t="s">
        <v>46694</v>
      </c>
      <c r="F5471" s="3" t="s">
        <v>52272</v>
      </c>
      <c r="G5471" s="3" t="s">
        <v>61</v>
      </c>
      <c r="I5471" s="3" t="s">
        <v>61</v>
      </c>
      <c r="J5471" s="3" t="s">
        <v>62</v>
      </c>
      <c r="K5471" s="3" t="s">
        <v>63</v>
      </c>
      <c r="M5471" s="2" t="s">
        <v>46695</v>
      </c>
      <c r="N5471" s="3" t="s">
        <v>9091</v>
      </c>
      <c r="P5471" s="3" t="s">
        <v>1881</v>
      </c>
      <c r="R5471" s="3" t="s">
        <v>52233</v>
      </c>
      <c r="S5471" s="4">
        <v>0</v>
      </c>
      <c r="T5471" s="4">
        <v>3</v>
      </c>
      <c r="V5471" s="5" t="s">
        <v>13095</v>
      </c>
      <c r="W5471" s="5" t="s">
        <v>67</v>
      </c>
      <c r="X5471" s="5" t="s">
        <v>67</v>
      </c>
      <c r="Y5471" s="4">
        <v>3</v>
      </c>
      <c r="Z5471" s="4">
        <v>2</v>
      </c>
      <c r="AA5471" s="4">
        <v>7</v>
      </c>
      <c r="AB5471" s="4">
        <v>2</v>
      </c>
      <c r="AC5471" s="4">
        <v>2</v>
      </c>
      <c r="AD5471" s="4">
        <v>0</v>
      </c>
      <c r="AE5471" s="4">
        <v>51</v>
      </c>
      <c r="AF5471" s="4">
        <v>0</v>
      </c>
      <c r="AG5471" s="4">
        <v>0</v>
      </c>
      <c r="AH5471" s="4">
        <v>0</v>
      </c>
      <c r="AI5471" s="4">
        <v>48</v>
      </c>
      <c r="AJ5471" s="4">
        <v>0</v>
      </c>
      <c r="AK5471" s="4">
        <v>4</v>
      </c>
      <c r="AL5471" s="4">
        <v>0</v>
      </c>
      <c r="AM5471" s="4">
        <v>39</v>
      </c>
      <c r="AN5471" s="4">
        <v>0</v>
      </c>
      <c r="AO5471" s="4">
        <v>0</v>
      </c>
      <c r="AP5471" s="4">
        <v>0</v>
      </c>
      <c r="AQ5471" s="4">
        <v>3</v>
      </c>
      <c r="AR5471" s="3" t="s">
        <v>62</v>
      </c>
      <c r="AS5471" s="3" t="s">
        <v>62</v>
      </c>
      <c r="AT5471" s="3" t="s">
        <v>62</v>
      </c>
      <c r="AV5471" s="6" t="str">
        <f t="shared" si="86"/>
        <v>Catalog Record</v>
      </c>
      <c r="AW5471" s="6" t="str">
        <f t="shared" si="87"/>
        <v>WorldCat Record</v>
      </c>
      <c r="AX5471" s="3" t="s">
        <v>46696</v>
      </c>
      <c r="AY5471" s="3" t="s">
        <v>46697</v>
      </c>
      <c r="AZ5471" s="3" t="s">
        <v>46698</v>
      </c>
      <c r="BA5471" s="3" t="s">
        <v>46698</v>
      </c>
      <c r="BB5471" s="3" t="s">
        <v>52273</v>
      </c>
      <c r="BC5471" s="3" t="s">
        <v>102</v>
      </c>
      <c r="BD5471" s="3" t="s">
        <v>68</v>
      </c>
      <c r="BF5471" s="3" t="s">
        <v>52273</v>
      </c>
      <c r="BG5471" s="3" t="s">
        <v>52274</v>
      </c>
    </row>
    <row r="5472" spans="1:59" ht="72.5" x14ac:dyDescent="0.35">
      <c r="A5472" s="2" t="s">
        <v>59</v>
      </c>
      <c r="B5472" s="2" t="s">
        <v>60</v>
      </c>
      <c r="C5472" s="2" t="s">
        <v>52264</v>
      </c>
      <c r="D5472" s="2" t="s">
        <v>52265</v>
      </c>
      <c r="E5472" s="2" t="s">
        <v>46694</v>
      </c>
      <c r="F5472" s="3" t="s">
        <v>52275</v>
      </c>
      <c r="G5472" s="3" t="s">
        <v>61</v>
      </c>
      <c r="I5472" s="3" t="s">
        <v>61</v>
      </c>
      <c r="J5472" s="3" t="s">
        <v>62</v>
      </c>
      <c r="K5472" s="3" t="s">
        <v>63</v>
      </c>
      <c r="M5472" s="2" t="s">
        <v>46695</v>
      </c>
      <c r="N5472" s="3" t="s">
        <v>9091</v>
      </c>
      <c r="P5472" s="3" t="s">
        <v>1881</v>
      </c>
      <c r="R5472" s="3" t="s">
        <v>52233</v>
      </c>
      <c r="S5472" s="4">
        <v>0</v>
      </c>
      <c r="T5472" s="4">
        <v>3</v>
      </c>
      <c r="V5472" s="5" t="s">
        <v>13095</v>
      </c>
      <c r="W5472" s="5" t="s">
        <v>67</v>
      </c>
      <c r="X5472" s="5" t="s">
        <v>67</v>
      </c>
      <c r="Y5472" s="4">
        <v>3</v>
      </c>
      <c r="Z5472" s="4">
        <v>2</v>
      </c>
      <c r="AA5472" s="4">
        <v>7</v>
      </c>
      <c r="AB5472" s="4">
        <v>2</v>
      </c>
      <c r="AC5472" s="4">
        <v>2</v>
      </c>
      <c r="AD5472" s="4">
        <v>0</v>
      </c>
      <c r="AE5472" s="4">
        <v>51</v>
      </c>
      <c r="AF5472" s="4">
        <v>0</v>
      </c>
      <c r="AG5472" s="4">
        <v>0</v>
      </c>
      <c r="AH5472" s="4">
        <v>0</v>
      </c>
      <c r="AI5472" s="4">
        <v>48</v>
      </c>
      <c r="AJ5472" s="4">
        <v>0</v>
      </c>
      <c r="AK5472" s="4">
        <v>4</v>
      </c>
      <c r="AL5472" s="4">
        <v>0</v>
      </c>
      <c r="AM5472" s="4">
        <v>39</v>
      </c>
      <c r="AN5472" s="4">
        <v>0</v>
      </c>
      <c r="AO5472" s="4">
        <v>0</v>
      </c>
      <c r="AP5472" s="4">
        <v>0</v>
      </c>
      <c r="AQ5472" s="4">
        <v>3</v>
      </c>
      <c r="AR5472" s="3" t="s">
        <v>62</v>
      </c>
      <c r="AS5472" s="3" t="s">
        <v>62</v>
      </c>
      <c r="AT5472" s="3" t="s">
        <v>62</v>
      </c>
      <c r="AV5472" s="6" t="str">
        <f t="shared" si="86"/>
        <v>Catalog Record</v>
      </c>
      <c r="AW5472" s="6" t="str">
        <f t="shared" si="87"/>
        <v>WorldCat Record</v>
      </c>
      <c r="AX5472" s="3" t="s">
        <v>46696</v>
      </c>
      <c r="AY5472" s="3" t="s">
        <v>46697</v>
      </c>
      <c r="AZ5472" s="3" t="s">
        <v>46698</v>
      </c>
      <c r="BA5472" s="3" t="s">
        <v>46698</v>
      </c>
      <c r="BB5472" s="3" t="s">
        <v>52276</v>
      </c>
      <c r="BC5472" s="3" t="s">
        <v>102</v>
      </c>
      <c r="BD5472" s="3" t="s">
        <v>68</v>
      </c>
      <c r="BF5472" s="3" t="s">
        <v>52276</v>
      </c>
      <c r="BG5472" s="3" t="s">
        <v>52277</v>
      </c>
    </row>
    <row r="5473" spans="1:59" ht="72.5" x14ac:dyDescent="0.35">
      <c r="A5473" s="2" t="s">
        <v>59</v>
      </c>
      <c r="B5473" s="2" t="s">
        <v>60</v>
      </c>
      <c r="C5473" s="2" t="s">
        <v>52264</v>
      </c>
      <c r="D5473" s="2" t="s">
        <v>52265</v>
      </c>
      <c r="E5473" s="2" t="s">
        <v>46694</v>
      </c>
      <c r="F5473" s="3" t="s">
        <v>52278</v>
      </c>
      <c r="G5473" s="3" t="s">
        <v>61</v>
      </c>
      <c r="I5473" s="3" t="s">
        <v>61</v>
      </c>
      <c r="J5473" s="3" t="s">
        <v>62</v>
      </c>
      <c r="K5473" s="3" t="s">
        <v>63</v>
      </c>
      <c r="M5473" s="2" t="s">
        <v>46695</v>
      </c>
      <c r="N5473" s="3" t="s">
        <v>9091</v>
      </c>
      <c r="P5473" s="3" t="s">
        <v>1881</v>
      </c>
      <c r="R5473" s="3" t="s">
        <v>52233</v>
      </c>
      <c r="S5473" s="4">
        <v>0</v>
      </c>
      <c r="T5473" s="4">
        <v>3</v>
      </c>
      <c r="V5473" s="5" t="s">
        <v>13095</v>
      </c>
      <c r="W5473" s="5" t="s">
        <v>67</v>
      </c>
      <c r="X5473" s="5" t="s">
        <v>67</v>
      </c>
      <c r="Y5473" s="4">
        <v>3</v>
      </c>
      <c r="Z5473" s="4">
        <v>2</v>
      </c>
      <c r="AA5473" s="4">
        <v>7</v>
      </c>
      <c r="AB5473" s="4">
        <v>2</v>
      </c>
      <c r="AC5473" s="4">
        <v>2</v>
      </c>
      <c r="AD5473" s="4">
        <v>0</v>
      </c>
      <c r="AE5473" s="4">
        <v>51</v>
      </c>
      <c r="AF5473" s="4">
        <v>0</v>
      </c>
      <c r="AG5473" s="4">
        <v>0</v>
      </c>
      <c r="AH5473" s="4">
        <v>0</v>
      </c>
      <c r="AI5473" s="4">
        <v>48</v>
      </c>
      <c r="AJ5473" s="4">
        <v>0</v>
      </c>
      <c r="AK5473" s="4">
        <v>4</v>
      </c>
      <c r="AL5473" s="4">
        <v>0</v>
      </c>
      <c r="AM5473" s="4">
        <v>39</v>
      </c>
      <c r="AN5473" s="4">
        <v>0</v>
      </c>
      <c r="AO5473" s="4">
        <v>0</v>
      </c>
      <c r="AP5473" s="4">
        <v>0</v>
      </c>
      <c r="AQ5473" s="4">
        <v>3</v>
      </c>
      <c r="AR5473" s="3" t="s">
        <v>62</v>
      </c>
      <c r="AS5473" s="3" t="s">
        <v>62</v>
      </c>
      <c r="AT5473" s="3" t="s">
        <v>62</v>
      </c>
      <c r="AV5473" s="6" t="str">
        <f t="shared" si="86"/>
        <v>Catalog Record</v>
      </c>
      <c r="AW5473" s="6" t="str">
        <f t="shared" si="87"/>
        <v>WorldCat Record</v>
      </c>
      <c r="AX5473" s="3" t="s">
        <v>46696</v>
      </c>
      <c r="AY5473" s="3" t="s">
        <v>46697</v>
      </c>
      <c r="AZ5473" s="3" t="s">
        <v>46698</v>
      </c>
      <c r="BA5473" s="3" t="s">
        <v>46698</v>
      </c>
      <c r="BB5473" s="3" t="s">
        <v>52279</v>
      </c>
      <c r="BC5473" s="3" t="s">
        <v>102</v>
      </c>
      <c r="BD5473" s="3" t="s">
        <v>68</v>
      </c>
      <c r="BF5473" s="3" t="s">
        <v>52279</v>
      </c>
      <c r="BG5473" s="3" t="s">
        <v>52280</v>
      </c>
    </row>
    <row r="5474" spans="1:59" ht="72.5" x14ac:dyDescent="0.35">
      <c r="A5474" s="2" t="s">
        <v>59</v>
      </c>
      <c r="B5474" s="2" t="s">
        <v>60</v>
      </c>
      <c r="C5474" s="2" t="s">
        <v>52264</v>
      </c>
      <c r="D5474" s="2" t="s">
        <v>52265</v>
      </c>
      <c r="E5474" s="2" t="s">
        <v>46694</v>
      </c>
      <c r="F5474" s="3" t="s">
        <v>52281</v>
      </c>
      <c r="G5474" s="3" t="s">
        <v>61</v>
      </c>
      <c r="I5474" s="3" t="s">
        <v>61</v>
      </c>
      <c r="J5474" s="3" t="s">
        <v>62</v>
      </c>
      <c r="K5474" s="3" t="s">
        <v>63</v>
      </c>
      <c r="M5474" s="2" t="s">
        <v>46695</v>
      </c>
      <c r="N5474" s="3" t="s">
        <v>9091</v>
      </c>
      <c r="P5474" s="3" t="s">
        <v>1881</v>
      </c>
      <c r="R5474" s="3" t="s">
        <v>52233</v>
      </c>
      <c r="S5474" s="4">
        <v>0</v>
      </c>
      <c r="T5474" s="4">
        <v>3</v>
      </c>
      <c r="V5474" s="5" t="s">
        <v>13095</v>
      </c>
      <c r="W5474" s="5" t="s">
        <v>67</v>
      </c>
      <c r="X5474" s="5" t="s">
        <v>67</v>
      </c>
      <c r="Y5474" s="4">
        <v>3</v>
      </c>
      <c r="Z5474" s="4">
        <v>2</v>
      </c>
      <c r="AA5474" s="4">
        <v>7</v>
      </c>
      <c r="AB5474" s="4">
        <v>2</v>
      </c>
      <c r="AC5474" s="4">
        <v>2</v>
      </c>
      <c r="AD5474" s="4">
        <v>0</v>
      </c>
      <c r="AE5474" s="4">
        <v>51</v>
      </c>
      <c r="AF5474" s="4">
        <v>0</v>
      </c>
      <c r="AG5474" s="4">
        <v>0</v>
      </c>
      <c r="AH5474" s="4">
        <v>0</v>
      </c>
      <c r="AI5474" s="4">
        <v>48</v>
      </c>
      <c r="AJ5474" s="4">
        <v>0</v>
      </c>
      <c r="AK5474" s="4">
        <v>4</v>
      </c>
      <c r="AL5474" s="4">
        <v>0</v>
      </c>
      <c r="AM5474" s="4">
        <v>39</v>
      </c>
      <c r="AN5474" s="4">
        <v>0</v>
      </c>
      <c r="AO5474" s="4">
        <v>0</v>
      </c>
      <c r="AP5474" s="4">
        <v>0</v>
      </c>
      <c r="AQ5474" s="4">
        <v>3</v>
      </c>
      <c r="AR5474" s="3" t="s">
        <v>62</v>
      </c>
      <c r="AS5474" s="3" t="s">
        <v>62</v>
      </c>
      <c r="AT5474" s="3" t="s">
        <v>62</v>
      </c>
      <c r="AV5474" s="6" t="str">
        <f t="shared" si="86"/>
        <v>Catalog Record</v>
      </c>
      <c r="AW5474" s="6" t="str">
        <f t="shared" si="87"/>
        <v>WorldCat Record</v>
      </c>
      <c r="AX5474" s="3" t="s">
        <v>46696</v>
      </c>
      <c r="AY5474" s="3" t="s">
        <v>46697</v>
      </c>
      <c r="AZ5474" s="3" t="s">
        <v>46698</v>
      </c>
      <c r="BA5474" s="3" t="s">
        <v>46698</v>
      </c>
      <c r="BB5474" s="3" t="s">
        <v>52282</v>
      </c>
      <c r="BC5474" s="3" t="s">
        <v>102</v>
      </c>
      <c r="BD5474" s="3" t="s">
        <v>68</v>
      </c>
      <c r="BF5474" s="3" t="s">
        <v>52282</v>
      </c>
      <c r="BG5474" s="3" t="s">
        <v>52283</v>
      </c>
    </row>
    <row r="5475" spans="1:59" ht="72.5" x14ac:dyDescent="0.35">
      <c r="A5475" s="2" t="s">
        <v>59</v>
      </c>
      <c r="B5475" s="2" t="s">
        <v>60</v>
      </c>
      <c r="C5475" s="2" t="s">
        <v>52264</v>
      </c>
      <c r="D5475" s="2" t="s">
        <v>52265</v>
      </c>
      <c r="E5475" s="2" t="s">
        <v>46694</v>
      </c>
      <c r="F5475" s="3" t="s">
        <v>52284</v>
      </c>
      <c r="G5475" s="3" t="s">
        <v>61</v>
      </c>
      <c r="I5475" s="3" t="s">
        <v>61</v>
      </c>
      <c r="J5475" s="3" t="s">
        <v>62</v>
      </c>
      <c r="K5475" s="3" t="s">
        <v>63</v>
      </c>
      <c r="M5475" s="2" t="s">
        <v>46695</v>
      </c>
      <c r="N5475" s="3" t="s">
        <v>9091</v>
      </c>
      <c r="P5475" s="3" t="s">
        <v>1881</v>
      </c>
      <c r="R5475" s="3" t="s">
        <v>52233</v>
      </c>
      <c r="S5475" s="4">
        <v>0</v>
      </c>
      <c r="T5475" s="4">
        <v>3</v>
      </c>
      <c r="V5475" s="5" t="s">
        <v>13095</v>
      </c>
      <c r="W5475" s="5" t="s">
        <v>67</v>
      </c>
      <c r="X5475" s="5" t="s">
        <v>67</v>
      </c>
      <c r="Y5475" s="4">
        <v>3</v>
      </c>
      <c r="Z5475" s="4">
        <v>2</v>
      </c>
      <c r="AA5475" s="4">
        <v>7</v>
      </c>
      <c r="AB5475" s="4">
        <v>2</v>
      </c>
      <c r="AC5475" s="4">
        <v>2</v>
      </c>
      <c r="AD5475" s="4">
        <v>0</v>
      </c>
      <c r="AE5475" s="4">
        <v>51</v>
      </c>
      <c r="AF5475" s="4">
        <v>0</v>
      </c>
      <c r="AG5475" s="4">
        <v>0</v>
      </c>
      <c r="AH5475" s="4">
        <v>0</v>
      </c>
      <c r="AI5475" s="4">
        <v>48</v>
      </c>
      <c r="AJ5475" s="4">
        <v>0</v>
      </c>
      <c r="AK5475" s="4">
        <v>4</v>
      </c>
      <c r="AL5475" s="4">
        <v>0</v>
      </c>
      <c r="AM5475" s="4">
        <v>39</v>
      </c>
      <c r="AN5475" s="4">
        <v>0</v>
      </c>
      <c r="AO5475" s="4">
        <v>0</v>
      </c>
      <c r="AP5475" s="4">
        <v>0</v>
      </c>
      <c r="AQ5475" s="4">
        <v>3</v>
      </c>
      <c r="AR5475" s="3" t="s">
        <v>62</v>
      </c>
      <c r="AS5475" s="3" t="s">
        <v>62</v>
      </c>
      <c r="AT5475" s="3" t="s">
        <v>62</v>
      </c>
      <c r="AV5475" s="6" t="str">
        <f t="shared" si="86"/>
        <v>Catalog Record</v>
      </c>
      <c r="AW5475" s="6" t="str">
        <f t="shared" si="87"/>
        <v>WorldCat Record</v>
      </c>
      <c r="AX5475" s="3" t="s">
        <v>46696</v>
      </c>
      <c r="AY5475" s="3" t="s">
        <v>46697</v>
      </c>
      <c r="AZ5475" s="3" t="s">
        <v>46698</v>
      </c>
      <c r="BA5475" s="3" t="s">
        <v>46698</v>
      </c>
      <c r="BB5475" s="3" t="s">
        <v>52285</v>
      </c>
      <c r="BC5475" s="3" t="s">
        <v>102</v>
      </c>
      <c r="BD5475" s="3" t="s">
        <v>68</v>
      </c>
      <c r="BF5475" s="3" t="s">
        <v>52285</v>
      </c>
      <c r="BG5475" s="3" t="s">
        <v>52286</v>
      </c>
    </row>
    <row r="5476" spans="1:59" ht="72.5" x14ac:dyDescent="0.35">
      <c r="A5476" s="2" t="s">
        <v>59</v>
      </c>
      <c r="B5476" s="2" t="s">
        <v>60</v>
      </c>
      <c r="C5476" s="2" t="s">
        <v>52264</v>
      </c>
      <c r="D5476" s="2" t="s">
        <v>52265</v>
      </c>
      <c r="E5476" s="2" t="s">
        <v>46694</v>
      </c>
      <c r="F5476" s="3" t="s">
        <v>52287</v>
      </c>
      <c r="G5476" s="3" t="s">
        <v>61</v>
      </c>
      <c r="I5476" s="3" t="s">
        <v>61</v>
      </c>
      <c r="J5476" s="3" t="s">
        <v>62</v>
      </c>
      <c r="K5476" s="3" t="s">
        <v>63</v>
      </c>
      <c r="M5476" s="2" t="s">
        <v>46695</v>
      </c>
      <c r="N5476" s="3" t="s">
        <v>9091</v>
      </c>
      <c r="P5476" s="3" t="s">
        <v>1881</v>
      </c>
      <c r="R5476" s="3" t="s">
        <v>52233</v>
      </c>
      <c r="S5476" s="4">
        <v>0</v>
      </c>
      <c r="T5476" s="4">
        <v>3</v>
      </c>
      <c r="V5476" s="5" t="s">
        <v>13095</v>
      </c>
      <c r="W5476" s="5" t="s">
        <v>67</v>
      </c>
      <c r="X5476" s="5" t="s">
        <v>67</v>
      </c>
      <c r="Y5476" s="4">
        <v>3</v>
      </c>
      <c r="Z5476" s="4">
        <v>2</v>
      </c>
      <c r="AA5476" s="4">
        <v>7</v>
      </c>
      <c r="AB5476" s="4">
        <v>2</v>
      </c>
      <c r="AC5476" s="4">
        <v>2</v>
      </c>
      <c r="AD5476" s="4">
        <v>0</v>
      </c>
      <c r="AE5476" s="4">
        <v>51</v>
      </c>
      <c r="AF5476" s="4">
        <v>0</v>
      </c>
      <c r="AG5476" s="4">
        <v>0</v>
      </c>
      <c r="AH5476" s="4">
        <v>0</v>
      </c>
      <c r="AI5476" s="4">
        <v>48</v>
      </c>
      <c r="AJ5476" s="4">
        <v>0</v>
      </c>
      <c r="AK5476" s="4">
        <v>4</v>
      </c>
      <c r="AL5476" s="4">
        <v>0</v>
      </c>
      <c r="AM5476" s="4">
        <v>39</v>
      </c>
      <c r="AN5476" s="4">
        <v>0</v>
      </c>
      <c r="AO5476" s="4">
        <v>0</v>
      </c>
      <c r="AP5476" s="4">
        <v>0</v>
      </c>
      <c r="AQ5476" s="4">
        <v>3</v>
      </c>
      <c r="AR5476" s="3" t="s">
        <v>62</v>
      </c>
      <c r="AS5476" s="3" t="s">
        <v>62</v>
      </c>
      <c r="AT5476" s="3" t="s">
        <v>62</v>
      </c>
      <c r="AV5476" s="6" t="str">
        <f t="shared" si="86"/>
        <v>Catalog Record</v>
      </c>
      <c r="AW5476" s="6" t="str">
        <f t="shared" si="87"/>
        <v>WorldCat Record</v>
      </c>
      <c r="AX5476" s="3" t="s">
        <v>46696</v>
      </c>
      <c r="AY5476" s="3" t="s">
        <v>46697</v>
      </c>
      <c r="AZ5476" s="3" t="s">
        <v>46698</v>
      </c>
      <c r="BA5476" s="3" t="s">
        <v>46698</v>
      </c>
      <c r="BB5476" s="3" t="s">
        <v>52288</v>
      </c>
      <c r="BC5476" s="3" t="s">
        <v>102</v>
      </c>
      <c r="BD5476" s="3" t="s">
        <v>68</v>
      </c>
      <c r="BF5476" s="3" t="s">
        <v>52288</v>
      </c>
      <c r="BG5476" s="3" t="s">
        <v>52289</v>
      </c>
    </row>
    <row r="5477" spans="1:59" ht="72.5" x14ac:dyDescent="0.35">
      <c r="A5477" s="2" t="s">
        <v>59</v>
      </c>
      <c r="B5477" s="2" t="s">
        <v>60</v>
      </c>
      <c r="C5477" s="2" t="s">
        <v>52264</v>
      </c>
      <c r="D5477" s="2" t="s">
        <v>52265</v>
      </c>
      <c r="E5477" s="2" t="s">
        <v>46694</v>
      </c>
      <c r="F5477" s="3" t="s">
        <v>52272</v>
      </c>
      <c r="G5477" s="3" t="s">
        <v>61</v>
      </c>
      <c r="I5477" s="3" t="s">
        <v>61</v>
      </c>
      <c r="J5477" s="3" t="s">
        <v>62</v>
      </c>
      <c r="K5477" s="3" t="s">
        <v>63</v>
      </c>
      <c r="M5477" s="2" t="s">
        <v>46695</v>
      </c>
      <c r="N5477" s="3" t="s">
        <v>9091</v>
      </c>
      <c r="P5477" s="3" t="s">
        <v>1881</v>
      </c>
      <c r="R5477" s="3" t="s">
        <v>52233</v>
      </c>
      <c r="S5477" s="4">
        <v>0</v>
      </c>
      <c r="T5477" s="4">
        <v>3</v>
      </c>
      <c r="V5477" s="5" t="s">
        <v>13095</v>
      </c>
      <c r="W5477" s="5" t="s">
        <v>67</v>
      </c>
      <c r="X5477" s="5" t="s">
        <v>67</v>
      </c>
      <c r="Y5477" s="4">
        <v>3</v>
      </c>
      <c r="Z5477" s="4">
        <v>2</v>
      </c>
      <c r="AA5477" s="4">
        <v>7</v>
      </c>
      <c r="AB5477" s="4">
        <v>2</v>
      </c>
      <c r="AC5477" s="4">
        <v>2</v>
      </c>
      <c r="AD5477" s="4">
        <v>0</v>
      </c>
      <c r="AE5477" s="4">
        <v>51</v>
      </c>
      <c r="AF5477" s="4">
        <v>0</v>
      </c>
      <c r="AG5477" s="4">
        <v>0</v>
      </c>
      <c r="AH5477" s="4">
        <v>0</v>
      </c>
      <c r="AI5477" s="4">
        <v>48</v>
      </c>
      <c r="AJ5477" s="4">
        <v>0</v>
      </c>
      <c r="AK5477" s="4">
        <v>4</v>
      </c>
      <c r="AL5477" s="4">
        <v>0</v>
      </c>
      <c r="AM5477" s="4">
        <v>39</v>
      </c>
      <c r="AN5477" s="4">
        <v>0</v>
      </c>
      <c r="AO5477" s="4">
        <v>0</v>
      </c>
      <c r="AP5477" s="4">
        <v>0</v>
      </c>
      <c r="AQ5477" s="4">
        <v>3</v>
      </c>
      <c r="AR5477" s="3" t="s">
        <v>62</v>
      </c>
      <c r="AS5477" s="3" t="s">
        <v>62</v>
      </c>
      <c r="AT5477" s="3" t="s">
        <v>62</v>
      </c>
      <c r="AV5477" s="6" t="str">
        <f t="shared" si="86"/>
        <v>Catalog Record</v>
      </c>
      <c r="AW5477" s="6" t="str">
        <f t="shared" si="87"/>
        <v>WorldCat Record</v>
      </c>
      <c r="AX5477" s="3" t="s">
        <v>46696</v>
      </c>
      <c r="AY5477" s="3" t="s">
        <v>46697</v>
      </c>
      <c r="AZ5477" s="3" t="s">
        <v>46698</v>
      </c>
      <c r="BA5477" s="3" t="s">
        <v>46698</v>
      </c>
      <c r="BB5477" s="3" t="s">
        <v>52290</v>
      </c>
      <c r="BC5477" s="3" t="s">
        <v>102</v>
      </c>
      <c r="BD5477" s="3" t="s">
        <v>68</v>
      </c>
      <c r="BF5477" s="3" t="s">
        <v>52290</v>
      </c>
      <c r="BG5477" s="3" t="s">
        <v>52291</v>
      </c>
    </row>
    <row r="5478" spans="1:59" ht="72.5" x14ac:dyDescent="0.35">
      <c r="A5478" s="2" t="s">
        <v>59</v>
      </c>
      <c r="B5478" s="2" t="s">
        <v>60</v>
      </c>
      <c r="C5478" s="2" t="s">
        <v>52264</v>
      </c>
      <c r="D5478" s="2" t="s">
        <v>52265</v>
      </c>
      <c r="E5478" s="2" t="s">
        <v>46694</v>
      </c>
      <c r="F5478" s="3" t="s">
        <v>52292</v>
      </c>
      <c r="G5478" s="3" t="s">
        <v>61</v>
      </c>
      <c r="I5478" s="3" t="s">
        <v>61</v>
      </c>
      <c r="J5478" s="3" t="s">
        <v>62</v>
      </c>
      <c r="K5478" s="3" t="s">
        <v>63</v>
      </c>
      <c r="M5478" s="2" t="s">
        <v>46695</v>
      </c>
      <c r="N5478" s="3" t="s">
        <v>9091</v>
      </c>
      <c r="P5478" s="3" t="s">
        <v>1881</v>
      </c>
      <c r="R5478" s="3" t="s">
        <v>52233</v>
      </c>
      <c r="S5478" s="4">
        <v>3</v>
      </c>
      <c r="T5478" s="4">
        <v>3</v>
      </c>
      <c r="U5478" s="5" t="s">
        <v>13095</v>
      </c>
      <c r="V5478" s="5" t="s">
        <v>13095</v>
      </c>
      <c r="W5478" s="5" t="s">
        <v>67</v>
      </c>
      <c r="X5478" s="5" t="s">
        <v>67</v>
      </c>
      <c r="Y5478" s="4">
        <v>3</v>
      </c>
      <c r="Z5478" s="4">
        <v>2</v>
      </c>
      <c r="AA5478" s="4">
        <v>7</v>
      </c>
      <c r="AB5478" s="4">
        <v>2</v>
      </c>
      <c r="AC5478" s="4">
        <v>2</v>
      </c>
      <c r="AD5478" s="4">
        <v>0</v>
      </c>
      <c r="AE5478" s="4">
        <v>51</v>
      </c>
      <c r="AF5478" s="4">
        <v>0</v>
      </c>
      <c r="AG5478" s="4">
        <v>0</v>
      </c>
      <c r="AH5478" s="4">
        <v>0</v>
      </c>
      <c r="AI5478" s="4">
        <v>48</v>
      </c>
      <c r="AJ5478" s="4">
        <v>0</v>
      </c>
      <c r="AK5478" s="4">
        <v>4</v>
      </c>
      <c r="AL5478" s="4">
        <v>0</v>
      </c>
      <c r="AM5478" s="4">
        <v>39</v>
      </c>
      <c r="AN5478" s="4">
        <v>0</v>
      </c>
      <c r="AO5478" s="4">
        <v>0</v>
      </c>
      <c r="AP5478" s="4">
        <v>0</v>
      </c>
      <c r="AQ5478" s="4">
        <v>3</v>
      </c>
      <c r="AR5478" s="3" t="s">
        <v>62</v>
      </c>
      <c r="AS5478" s="3" t="s">
        <v>62</v>
      </c>
      <c r="AT5478" s="3" t="s">
        <v>62</v>
      </c>
      <c r="AV5478" s="6" t="str">
        <f t="shared" si="86"/>
        <v>Catalog Record</v>
      </c>
      <c r="AW5478" s="6" t="str">
        <f t="shared" si="87"/>
        <v>WorldCat Record</v>
      </c>
      <c r="AX5478" s="3" t="s">
        <v>46696</v>
      </c>
      <c r="AY5478" s="3" t="s">
        <v>46697</v>
      </c>
      <c r="AZ5478" s="3" t="s">
        <v>46698</v>
      </c>
      <c r="BA5478" s="3" t="s">
        <v>46698</v>
      </c>
      <c r="BB5478" s="3" t="s">
        <v>52293</v>
      </c>
      <c r="BC5478" s="3" t="s">
        <v>102</v>
      </c>
      <c r="BD5478" s="3" t="s">
        <v>1790</v>
      </c>
      <c r="BF5478" s="3" t="s">
        <v>52293</v>
      </c>
      <c r="BG5478" s="3" t="s">
        <v>52294</v>
      </c>
    </row>
    <row r="5479" spans="1:59" ht="72.5" x14ac:dyDescent="0.35">
      <c r="A5479" s="2" t="s">
        <v>59</v>
      </c>
      <c r="B5479" s="2" t="s">
        <v>60</v>
      </c>
      <c r="C5479" s="2" t="s">
        <v>52264</v>
      </c>
      <c r="D5479" s="2" t="s">
        <v>52265</v>
      </c>
      <c r="E5479" s="2" t="s">
        <v>46694</v>
      </c>
      <c r="F5479" s="3" t="s">
        <v>52295</v>
      </c>
      <c r="G5479" s="3" t="s">
        <v>61</v>
      </c>
      <c r="I5479" s="3" t="s">
        <v>61</v>
      </c>
      <c r="J5479" s="3" t="s">
        <v>62</v>
      </c>
      <c r="K5479" s="3" t="s">
        <v>63</v>
      </c>
      <c r="M5479" s="2" t="s">
        <v>46695</v>
      </c>
      <c r="N5479" s="3" t="s">
        <v>9091</v>
      </c>
      <c r="P5479" s="3" t="s">
        <v>1881</v>
      </c>
      <c r="R5479" s="3" t="s">
        <v>52233</v>
      </c>
      <c r="S5479" s="4">
        <v>0</v>
      </c>
      <c r="T5479" s="4">
        <v>3</v>
      </c>
      <c r="V5479" s="5" t="s">
        <v>13095</v>
      </c>
      <c r="W5479" s="5" t="s">
        <v>67</v>
      </c>
      <c r="X5479" s="5" t="s">
        <v>67</v>
      </c>
      <c r="Y5479" s="4">
        <v>3</v>
      </c>
      <c r="Z5479" s="4">
        <v>2</v>
      </c>
      <c r="AA5479" s="4">
        <v>7</v>
      </c>
      <c r="AB5479" s="4">
        <v>2</v>
      </c>
      <c r="AC5479" s="4">
        <v>2</v>
      </c>
      <c r="AD5479" s="4">
        <v>0</v>
      </c>
      <c r="AE5479" s="4">
        <v>51</v>
      </c>
      <c r="AF5479" s="4">
        <v>0</v>
      </c>
      <c r="AG5479" s="4">
        <v>0</v>
      </c>
      <c r="AH5479" s="4">
        <v>0</v>
      </c>
      <c r="AI5479" s="4">
        <v>48</v>
      </c>
      <c r="AJ5479" s="4">
        <v>0</v>
      </c>
      <c r="AK5479" s="4">
        <v>4</v>
      </c>
      <c r="AL5479" s="4">
        <v>0</v>
      </c>
      <c r="AM5479" s="4">
        <v>39</v>
      </c>
      <c r="AN5479" s="4">
        <v>0</v>
      </c>
      <c r="AO5479" s="4">
        <v>0</v>
      </c>
      <c r="AP5479" s="4">
        <v>0</v>
      </c>
      <c r="AQ5479" s="4">
        <v>3</v>
      </c>
      <c r="AR5479" s="3" t="s">
        <v>62</v>
      </c>
      <c r="AS5479" s="3" t="s">
        <v>62</v>
      </c>
      <c r="AT5479" s="3" t="s">
        <v>62</v>
      </c>
      <c r="AV5479" s="6" t="str">
        <f t="shared" si="86"/>
        <v>Catalog Record</v>
      </c>
      <c r="AW5479" s="6" t="str">
        <f t="shared" si="87"/>
        <v>WorldCat Record</v>
      </c>
      <c r="AX5479" s="3" t="s">
        <v>46696</v>
      </c>
      <c r="AY5479" s="3" t="s">
        <v>46697</v>
      </c>
      <c r="AZ5479" s="3" t="s">
        <v>46698</v>
      </c>
      <c r="BA5479" s="3" t="s">
        <v>46698</v>
      </c>
      <c r="BB5479" s="3" t="s">
        <v>52296</v>
      </c>
      <c r="BC5479" s="3" t="s">
        <v>102</v>
      </c>
      <c r="BD5479" s="3" t="s">
        <v>68</v>
      </c>
      <c r="BF5479" s="3" t="s">
        <v>52296</v>
      </c>
      <c r="BG5479" s="3" t="s">
        <v>52297</v>
      </c>
    </row>
    <row r="5480" spans="1:59" ht="72.5" x14ac:dyDescent="0.35">
      <c r="A5480" s="2" t="s">
        <v>59</v>
      </c>
      <c r="B5480" s="2" t="s">
        <v>60</v>
      </c>
      <c r="C5480" s="2" t="s">
        <v>52264</v>
      </c>
      <c r="D5480" s="2" t="s">
        <v>52265</v>
      </c>
      <c r="E5480" s="2" t="s">
        <v>46694</v>
      </c>
      <c r="F5480" s="3" t="s">
        <v>52298</v>
      </c>
      <c r="G5480" s="3" t="s">
        <v>61</v>
      </c>
      <c r="I5480" s="3" t="s">
        <v>61</v>
      </c>
      <c r="J5480" s="3" t="s">
        <v>62</v>
      </c>
      <c r="K5480" s="3" t="s">
        <v>63</v>
      </c>
      <c r="M5480" s="2" t="s">
        <v>46695</v>
      </c>
      <c r="N5480" s="3" t="s">
        <v>9091</v>
      </c>
      <c r="P5480" s="3" t="s">
        <v>1881</v>
      </c>
      <c r="R5480" s="3" t="s">
        <v>52233</v>
      </c>
      <c r="S5480" s="4">
        <v>0</v>
      </c>
      <c r="T5480" s="4">
        <v>3</v>
      </c>
      <c r="V5480" s="5" t="s">
        <v>13095</v>
      </c>
      <c r="W5480" s="5" t="s">
        <v>67</v>
      </c>
      <c r="X5480" s="5" t="s">
        <v>67</v>
      </c>
      <c r="Y5480" s="4">
        <v>3</v>
      </c>
      <c r="Z5480" s="4">
        <v>2</v>
      </c>
      <c r="AA5480" s="4">
        <v>7</v>
      </c>
      <c r="AB5480" s="4">
        <v>2</v>
      </c>
      <c r="AC5480" s="4">
        <v>2</v>
      </c>
      <c r="AD5480" s="4">
        <v>0</v>
      </c>
      <c r="AE5480" s="4">
        <v>51</v>
      </c>
      <c r="AF5480" s="4">
        <v>0</v>
      </c>
      <c r="AG5480" s="4">
        <v>0</v>
      </c>
      <c r="AH5480" s="4">
        <v>0</v>
      </c>
      <c r="AI5480" s="4">
        <v>48</v>
      </c>
      <c r="AJ5480" s="4">
        <v>0</v>
      </c>
      <c r="AK5480" s="4">
        <v>4</v>
      </c>
      <c r="AL5480" s="4">
        <v>0</v>
      </c>
      <c r="AM5480" s="4">
        <v>39</v>
      </c>
      <c r="AN5480" s="4">
        <v>0</v>
      </c>
      <c r="AO5480" s="4">
        <v>0</v>
      </c>
      <c r="AP5480" s="4">
        <v>0</v>
      </c>
      <c r="AQ5480" s="4">
        <v>3</v>
      </c>
      <c r="AR5480" s="3" t="s">
        <v>62</v>
      </c>
      <c r="AS5480" s="3" t="s">
        <v>62</v>
      </c>
      <c r="AT5480" s="3" t="s">
        <v>62</v>
      </c>
      <c r="AV5480" s="6" t="str">
        <f t="shared" si="86"/>
        <v>Catalog Record</v>
      </c>
      <c r="AW5480" s="6" t="str">
        <f t="shared" si="87"/>
        <v>WorldCat Record</v>
      </c>
      <c r="AX5480" s="3" t="s">
        <v>46696</v>
      </c>
      <c r="AY5480" s="3" t="s">
        <v>46697</v>
      </c>
      <c r="AZ5480" s="3" t="s">
        <v>46698</v>
      </c>
      <c r="BA5480" s="3" t="s">
        <v>46698</v>
      </c>
      <c r="BB5480" s="3" t="s">
        <v>52299</v>
      </c>
      <c r="BC5480" s="3" t="s">
        <v>102</v>
      </c>
      <c r="BD5480" s="3" t="s">
        <v>68</v>
      </c>
      <c r="BF5480" s="3" t="s">
        <v>52299</v>
      </c>
      <c r="BG5480" s="3" t="s">
        <v>52300</v>
      </c>
    </row>
    <row r="5481" spans="1:59" ht="72.5" x14ac:dyDescent="0.35">
      <c r="A5481" s="2" t="s">
        <v>59</v>
      </c>
      <c r="B5481" s="2" t="s">
        <v>60</v>
      </c>
      <c r="C5481" s="2" t="s">
        <v>52264</v>
      </c>
      <c r="D5481" s="2" t="s">
        <v>52265</v>
      </c>
      <c r="E5481" s="2" t="s">
        <v>46694</v>
      </c>
      <c r="F5481" s="3" t="s">
        <v>52301</v>
      </c>
      <c r="G5481" s="3" t="s">
        <v>61</v>
      </c>
      <c r="I5481" s="3" t="s">
        <v>61</v>
      </c>
      <c r="J5481" s="3" t="s">
        <v>62</v>
      </c>
      <c r="K5481" s="3" t="s">
        <v>63</v>
      </c>
      <c r="M5481" s="2" t="s">
        <v>46695</v>
      </c>
      <c r="N5481" s="3" t="s">
        <v>9091</v>
      </c>
      <c r="P5481" s="3" t="s">
        <v>1881</v>
      </c>
      <c r="R5481" s="3" t="s">
        <v>52233</v>
      </c>
      <c r="S5481" s="4">
        <v>0</v>
      </c>
      <c r="T5481" s="4">
        <v>3</v>
      </c>
      <c r="V5481" s="5" t="s">
        <v>13095</v>
      </c>
      <c r="W5481" s="5" t="s">
        <v>67</v>
      </c>
      <c r="X5481" s="5" t="s">
        <v>67</v>
      </c>
      <c r="Y5481" s="4">
        <v>3</v>
      </c>
      <c r="Z5481" s="4">
        <v>2</v>
      </c>
      <c r="AA5481" s="4">
        <v>7</v>
      </c>
      <c r="AB5481" s="4">
        <v>2</v>
      </c>
      <c r="AC5481" s="4">
        <v>2</v>
      </c>
      <c r="AD5481" s="4">
        <v>0</v>
      </c>
      <c r="AE5481" s="4">
        <v>51</v>
      </c>
      <c r="AF5481" s="4">
        <v>0</v>
      </c>
      <c r="AG5481" s="4">
        <v>0</v>
      </c>
      <c r="AH5481" s="4">
        <v>0</v>
      </c>
      <c r="AI5481" s="4">
        <v>48</v>
      </c>
      <c r="AJ5481" s="4">
        <v>0</v>
      </c>
      <c r="AK5481" s="4">
        <v>4</v>
      </c>
      <c r="AL5481" s="4">
        <v>0</v>
      </c>
      <c r="AM5481" s="4">
        <v>39</v>
      </c>
      <c r="AN5481" s="4">
        <v>0</v>
      </c>
      <c r="AO5481" s="4">
        <v>0</v>
      </c>
      <c r="AP5481" s="4">
        <v>0</v>
      </c>
      <c r="AQ5481" s="4">
        <v>3</v>
      </c>
      <c r="AR5481" s="3" t="s">
        <v>62</v>
      </c>
      <c r="AS5481" s="3" t="s">
        <v>62</v>
      </c>
      <c r="AT5481" s="3" t="s">
        <v>62</v>
      </c>
      <c r="AV5481" s="6" t="str">
        <f t="shared" si="86"/>
        <v>Catalog Record</v>
      </c>
      <c r="AW5481" s="6" t="str">
        <f t="shared" si="87"/>
        <v>WorldCat Record</v>
      </c>
      <c r="AX5481" s="3" t="s">
        <v>46696</v>
      </c>
      <c r="AY5481" s="3" t="s">
        <v>46697</v>
      </c>
      <c r="AZ5481" s="3" t="s">
        <v>46698</v>
      </c>
      <c r="BA5481" s="3" t="s">
        <v>46698</v>
      </c>
      <c r="BB5481" s="3" t="s">
        <v>52302</v>
      </c>
      <c r="BC5481" s="3" t="s">
        <v>102</v>
      </c>
      <c r="BD5481" s="3" t="s">
        <v>68</v>
      </c>
      <c r="BF5481" s="3" t="s">
        <v>52302</v>
      </c>
      <c r="BG5481" s="3" t="s">
        <v>52303</v>
      </c>
    </row>
    <row r="5482" spans="1:59" ht="72.5" x14ac:dyDescent="0.35">
      <c r="A5482" s="2" t="s">
        <v>59</v>
      </c>
      <c r="B5482" s="2" t="s">
        <v>60</v>
      </c>
      <c r="C5482" s="2" t="s">
        <v>52264</v>
      </c>
      <c r="D5482" s="2" t="s">
        <v>52265</v>
      </c>
      <c r="E5482" s="2" t="s">
        <v>46694</v>
      </c>
      <c r="F5482" s="3" t="s">
        <v>52304</v>
      </c>
      <c r="G5482" s="3" t="s">
        <v>61</v>
      </c>
      <c r="I5482" s="3" t="s">
        <v>61</v>
      </c>
      <c r="J5482" s="3" t="s">
        <v>62</v>
      </c>
      <c r="K5482" s="3" t="s">
        <v>63</v>
      </c>
      <c r="M5482" s="2" t="s">
        <v>46695</v>
      </c>
      <c r="N5482" s="3" t="s">
        <v>9091</v>
      </c>
      <c r="P5482" s="3" t="s">
        <v>1881</v>
      </c>
      <c r="R5482" s="3" t="s">
        <v>52233</v>
      </c>
      <c r="S5482" s="4">
        <v>0</v>
      </c>
      <c r="T5482" s="4">
        <v>3</v>
      </c>
      <c r="V5482" s="5" t="s">
        <v>13095</v>
      </c>
      <c r="W5482" s="5" t="s">
        <v>67</v>
      </c>
      <c r="X5482" s="5" t="s">
        <v>67</v>
      </c>
      <c r="Y5482" s="4">
        <v>3</v>
      </c>
      <c r="Z5482" s="4">
        <v>2</v>
      </c>
      <c r="AA5482" s="4">
        <v>7</v>
      </c>
      <c r="AB5482" s="4">
        <v>2</v>
      </c>
      <c r="AC5482" s="4">
        <v>2</v>
      </c>
      <c r="AD5482" s="4">
        <v>0</v>
      </c>
      <c r="AE5482" s="4">
        <v>51</v>
      </c>
      <c r="AF5482" s="4">
        <v>0</v>
      </c>
      <c r="AG5482" s="4">
        <v>0</v>
      </c>
      <c r="AH5482" s="4">
        <v>0</v>
      </c>
      <c r="AI5482" s="4">
        <v>48</v>
      </c>
      <c r="AJ5482" s="4">
        <v>0</v>
      </c>
      <c r="AK5482" s="4">
        <v>4</v>
      </c>
      <c r="AL5482" s="4">
        <v>0</v>
      </c>
      <c r="AM5482" s="4">
        <v>39</v>
      </c>
      <c r="AN5482" s="4">
        <v>0</v>
      </c>
      <c r="AO5482" s="4">
        <v>0</v>
      </c>
      <c r="AP5482" s="4">
        <v>0</v>
      </c>
      <c r="AQ5482" s="4">
        <v>3</v>
      </c>
      <c r="AR5482" s="3" t="s">
        <v>62</v>
      </c>
      <c r="AS5482" s="3" t="s">
        <v>62</v>
      </c>
      <c r="AT5482" s="3" t="s">
        <v>62</v>
      </c>
      <c r="AV5482" s="6" t="str">
        <f t="shared" si="86"/>
        <v>Catalog Record</v>
      </c>
      <c r="AW5482" s="6" t="str">
        <f t="shared" si="87"/>
        <v>WorldCat Record</v>
      </c>
      <c r="AX5482" s="3" t="s">
        <v>46696</v>
      </c>
      <c r="AY5482" s="3" t="s">
        <v>46697</v>
      </c>
      <c r="AZ5482" s="3" t="s">
        <v>46698</v>
      </c>
      <c r="BA5482" s="3" t="s">
        <v>46698</v>
      </c>
      <c r="BB5482" s="3" t="s">
        <v>52305</v>
      </c>
      <c r="BC5482" s="3" t="s">
        <v>102</v>
      </c>
      <c r="BD5482" s="3" t="s">
        <v>68</v>
      </c>
      <c r="BF5482" s="3" t="s">
        <v>52305</v>
      </c>
      <c r="BG5482" s="3" t="s">
        <v>52306</v>
      </c>
    </row>
    <row r="5483" spans="1:59" ht="72.5" x14ac:dyDescent="0.35">
      <c r="A5483" s="2" t="s">
        <v>59</v>
      </c>
      <c r="B5483" s="2" t="s">
        <v>60</v>
      </c>
      <c r="C5483" s="2" t="s">
        <v>52264</v>
      </c>
      <c r="D5483" s="2" t="s">
        <v>52265</v>
      </c>
      <c r="E5483" s="2" t="s">
        <v>46694</v>
      </c>
      <c r="F5483" s="3" t="s">
        <v>52307</v>
      </c>
      <c r="G5483" s="3" t="s">
        <v>61</v>
      </c>
      <c r="I5483" s="3" t="s">
        <v>61</v>
      </c>
      <c r="J5483" s="3" t="s">
        <v>62</v>
      </c>
      <c r="K5483" s="3" t="s">
        <v>63</v>
      </c>
      <c r="M5483" s="2" t="s">
        <v>46695</v>
      </c>
      <c r="N5483" s="3" t="s">
        <v>9091</v>
      </c>
      <c r="P5483" s="3" t="s">
        <v>1881</v>
      </c>
      <c r="R5483" s="3" t="s">
        <v>52233</v>
      </c>
      <c r="S5483" s="4">
        <v>0</v>
      </c>
      <c r="T5483" s="4">
        <v>3</v>
      </c>
      <c r="V5483" s="5" t="s">
        <v>13095</v>
      </c>
      <c r="W5483" s="5" t="s">
        <v>67</v>
      </c>
      <c r="X5483" s="5" t="s">
        <v>67</v>
      </c>
      <c r="Y5483" s="4">
        <v>3</v>
      </c>
      <c r="Z5483" s="4">
        <v>2</v>
      </c>
      <c r="AA5483" s="4">
        <v>7</v>
      </c>
      <c r="AB5483" s="4">
        <v>2</v>
      </c>
      <c r="AC5483" s="4">
        <v>2</v>
      </c>
      <c r="AD5483" s="4">
        <v>0</v>
      </c>
      <c r="AE5483" s="4">
        <v>51</v>
      </c>
      <c r="AF5483" s="4">
        <v>0</v>
      </c>
      <c r="AG5483" s="4">
        <v>0</v>
      </c>
      <c r="AH5483" s="4">
        <v>0</v>
      </c>
      <c r="AI5483" s="4">
        <v>48</v>
      </c>
      <c r="AJ5483" s="4">
        <v>0</v>
      </c>
      <c r="AK5483" s="4">
        <v>4</v>
      </c>
      <c r="AL5483" s="4">
        <v>0</v>
      </c>
      <c r="AM5483" s="4">
        <v>39</v>
      </c>
      <c r="AN5483" s="4">
        <v>0</v>
      </c>
      <c r="AO5483" s="4">
        <v>0</v>
      </c>
      <c r="AP5483" s="4">
        <v>0</v>
      </c>
      <c r="AQ5483" s="4">
        <v>3</v>
      </c>
      <c r="AR5483" s="3" t="s">
        <v>62</v>
      </c>
      <c r="AS5483" s="3" t="s">
        <v>62</v>
      </c>
      <c r="AT5483" s="3" t="s">
        <v>62</v>
      </c>
      <c r="AV5483" s="6" t="str">
        <f t="shared" si="86"/>
        <v>Catalog Record</v>
      </c>
      <c r="AW5483" s="6" t="str">
        <f t="shared" si="87"/>
        <v>WorldCat Record</v>
      </c>
      <c r="AX5483" s="3" t="s">
        <v>46696</v>
      </c>
      <c r="AY5483" s="3" t="s">
        <v>46697</v>
      </c>
      <c r="AZ5483" s="3" t="s">
        <v>46698</v>
      </c>
      <c r="BA5483" s="3" t="s">
        <v>46698</v>
      </c>
      <c r="BB5483" s="3" t="s">
        <v>52308</v>
      </c>
      <c r="BC5483" s="3" t="s">
        <v>102</v>
      </c>
      <c r="BD5483" s="3" t="s">
        <v>68</v>
      </c>
      <c r="BF5483" s="3" t="s">
        <v>52308</v>
      </c>
      <c r="BG5483" s="3" t="s">
        <v>52309</v>
      </c>
    </row>
    <row r="5484" spans="1:59" ht="72.5" x14ac:dyDescent="0.35">
      <c r="A5484" s="2" t="s">
        <v>59</v>
      </c>
      <c r="B5484" s="2" t="s">
        <v>60</v>
      </c>
      <c r="C5484" s="2" t="s">
        <v>52264</v>
      </c>
      <c r="D5484" s="2" t="s">
        <v>52265</v>
      </c>
      <c r="E5484" s="2" t="s">
        <v>46694</v>
      </c>
      <c r="F5484" s="3" t="s">
        <v>52310</v>
      </c>
      <c r="G5484" s="3" t="s">
        <v>61</v>
      </c>
      <c r="I5484" s="3" t="s">
        <v>61</v>
      </c>
      <c r="J5484" s="3" t="s">
        <v>62</v>
      </c>
      <c r="K5484" s="3" t="s">
        <v>63</v>
      </c>
      <c r="M5484" s="2" t="s">
        <v>46695</v>
      </c>
      <c r="N5484" s="3" t="s">
        <v>9091</v>
      </c>
      <c r="P5484" s="3" t="s">
        <v>1881</v>
      </c>
      <c r="R5484" s="3" t="s">
        <v>52233</v>
      </c>
      <c r="S5484" s="4">
        <v>0</v>
      </c>
      <c r="T5484" s="4">
        <v>3</v>
      </c>
      <c r="V5484" s="5" t="s">
        <v>13095</v>
      </c>
      <c r="W5484" s="5" t="s">
        <v>67</v>
      </c>
      <c r="X5484" s="5" t="s">
        <v>67</v>
      </c>
      <c r="Y5484" s="4">
        <v>3</v>
      </c>
      <c r="Z5484" s="4">
        <v>2</v>
      </c>
      <c r="AA5484" s="4">
        <v>7</v>
      </c>
      <c r="AB5484" s="4">
        <v>2</v>
      </c>
      <c r="AC5484" s="4">
        <v>2</v>
      </c>
      <c r="AD5484" s="4">
        <v>0</v>
      </c>
      <c r="AE5484" s="4">
        <v>51</v>
      </c>
      <c r="AF5484" s="4">
        <v>0</v>
      </c>
      <c r="AG5484" s="4">
        <v>0</v>
      </c>
      <c r="AH5484" s="4">
        <v>0</v>
      </c>
      <c r="AI5484" s="4">
        <v>48</v>
      </c>
      <c r="AJ5484" s="4">
        <v>0</v>
      </c>
      <c r="AK5484" s="4">
        <v>4</v>
      </c>
      <c r="AL5484" s="4">
        <v>0</v>
      </c>
      <c r="AM5484" s="4">
        <v>39</v>
      </c>
      <c r="AN5484" s="4">
        <v>0</v>
      </c>
      <c r="AO5484" s="4">
        <v>0</v>
      </c>
      <c r="AP5484" s="4">
        <v>0</v>
      </c>
      <c r="AQ5484" s="4">
        <v>3</v>
      </c>
      <c r="AR5484" s="3" t="s">
        <v>62</v>
      </c>
      <c r="AS5484" s="3" t="s">
        <v>62</v>
      </c>
      <c r="AT5484" s="3" t="s">
        <v>62</v>
      </c>
      <c r="AV5484" s="6" t="str">
        <f t="shared" si="86"/>
        <v>Catalog Record</v>
      </c>
      <c r="AW5484" s="6" t="str">
        <f t="shared" si="87"/>
        <v>WorldCat Record</v>
      </c>
      <c r="AX5484" s="3" t="s">
        <v>46696</v>
      </c>
      <c r="AY5484" s="3" t="s">
        <v>46697</v>
      </c>
      <c r="AZ5484" s="3" t="s">
        <v>46698</v>
      </c>
      <c r="BA5484" s="3" t="s">
        <v>46698</v>
      </c>
      <c r="BB5484" s="3" t="s">
        <v>52311</v>
      </c>
      <c r="BC5484" s="3" t="s">
        <v>102</v>
      </c>
      <c r="BD5484" s="3" t="s">
        <v>68</v>
      </c>
      <c r="BF5484" s="3" t="s">
        <v>52311</v>
      </c>
      <c r="BG5484" s="3" t="s">
        <v>52312</v>
      </c>
    </row>
    <row r="5485" spans="1:59" ht="72.5" x14ac:dyDescent="0.35">
      <c r="A5485" s="2" t="s">
        <v>59</v>
      </c>
      <c r="B5485" s="2" t="s">
        <v>60</v>
      </c>
      <c r="C5485" s="2" t="s">
        <v>52264</v>
      </c>
      <c r="D5485" s="2" t="s">
        <v>52265</v>
      </c>
      <c r="E5485" s="2" t="s">
        <v>46694</v>
      </c>
      <c r="F5485" s="3" t="s">
        <v>52313</v>
      </c>
      <c r="G5485" s="3" t="s">
        <v>61</v>
      </c>
      <c r="I5485" s="3" t="s">
        <v>61</v>
      </c>
      <c r="J5485" s="3" t="s">
        <v>62</v>
      </c>
      <c r="K5485" s="3" t="s">
        <v>63</v>
      </c>
      <c r="M5485" s="2" t="s">
        <v>46695</v>
      </c>
      <c r="N5485" s="3" t="s">
        <v>9091</v>
      </c>
      <c r="P5485" s="3" t="s">
        <v>1881</v>
      </c>
      <c r="R5485" s="3" t="s">
        <v>52233</v>
      </c>
      <c r="S5485" s="4">
        <v>0</v>
      </c>
      <c r="T5485" s="4">
        <v>3</v>
      </c>
      <c r="V5485" s="5" t="s">
        <v>13095</v>
      </c>
      <c r="W5485" s="5" t="s">
        <v>67</v>
      </c>
      <c r="X5485" s="5" t="s">
        <v>67</v>
      </c>
      <c r="Y5485" s="4">
        <v>3</v>
      </c>
      <c r="Z5485" s="4">
        <v>2</v>
      </c>
      <c r="AA5485" s="4">
        <v>7</v>
      </c>
      <c r="AB5485" s="4">
        <v>2</v>
      </c>
      <c r="AC5485" s="4">
        <v>2</v>
      </c>
      <c r="AD5485" s="4">
        <v>0</v>
      </c>
      <c r="AE5485" s="4">
        <v>51</v>
      </c>
      <c r="AF5485" s="4">
        <v>0</v>
      </c>
      <c r="AG5485" s="4">
        <v>0</v>
      </c>
      <c r="AH5485" s="4">
        <v>0</v>
      </c>
      <c r="AI5485" s="4">
        <v>48</v>
      </c>
      <c r="AJ5485" s="4">
        <v>0</v>
      </c>
      <c r="AK5485" s="4">
        <v>4</v>
      </c>
      <c r="AL5485" s="4">
        <v>0</v>
      </c>
      <c r="AM5485" s="4">
        <v>39</v>
      </c>
      <c r="AN5485" s="4">
        <v>0</v>
      </c>
      <c r="AO5485" s="4">
        <v>0</v>
      </c>
      <c r="AP5485" s="4">
        <v>0</v>
      </c>
      <c r="AQ5485" s="4">
        <v>3</v>
      </c>
      <c r="AR5485" s="3" t="s">
        <v>62</v>
      </c>
      <c r="AS5485" s="3" t="s">
        <v>62</v>
      </c>
      <c r="AT5485" s="3" t="s">
        <v>62</v>
      </c>
      <c r="AV5485" s="6" t="str">
        <f t="shared" si="86"/>
        <v>Catalog Record</v>
      </c>
      <c r="AW5485" s="6" t="str">
        <f t="shared" si="87"/>
        <v>WorldCat Record</v>
      </c>
      <c r="AX5485" s="3" t="s">
        <v>46696</v>
      </c>
      <c r="AY5485" s="3" t="s">
        <v>46697</v>
      </c>
      <c r="AZ5485" s="3" t="s">
        <v>46698</v>
      </c>
      <c r="BA5485" s="3" t="s">
        <v>46698</v>
      </c>
      <c r="BB5485" s="3" t="s">
        <v>52314</v>
      </c>
      <c r="BC5485" s="3" t="s">
        <v>102</v>
      </c>
      <c r="BD5485" s="3" t="s">
        <v>68</v>
      </c>
      <c r="BF5485" s="3" t="s">
        <v>52314</v>
      </c>
      <c r="BG5485" s="3" t="s">
        <v>52315</v>
      </c>
    </row>
    <row r="5486" spans="1:59" ht="72.5" x14ac:dyDescent="0.35">
      <c r="A5486" s="2" t="s">
        <v>59</v>
      </c>
      <c r="B5486" s="2" t="s">
        <v>60</v>
      </c>
      <c r="C5486" s="2" t="s">
        <v>52264</v>
      </c>
      <c r="D5486" s="2" t="s">
        <v>52265</v>
      </c>
      <c r="E5486" s="2" t="s">
        <v>46694</v>
      </c>
      <c r="F5486" s="3" t="s">
        <v>52316</v>
      </c>
      <c r="G5486" s="3" t="s">
        <v>61</v>
      </c>
      <c r="I5486" s="3" t="s">
        <v>61</v>
      </c>
      <c r="J5486" s="3" t="s">
        <v>62</v>
      </c>
      <c r="K5486" s="3" t="s">
        <v>63</v>
      </c>
      <c r="M5486" s="2" t="s">
        <v>46695</v>
      </c>
      <c r="N5486" s="3" t="s">
        <v>9091</v>
      </c>
      <c r="P5486" s="3" t="s">
        <v>1881</v>
      </c>
      <c r="R5486" s="3" t="s">
        <v>52233</v>
      </c>
      <c r="S5486" s="4">
        <v>0</v>
      </c>
      <c r="T5486" s="4">
        <v>3</v>
      </c>
      <c r="V5486" s="5" t="s">
        <v>13095</v>
      </c>
      <c r="W5486" s="5" t="s">
        <v>67</v>
      </c>
      <c r="X5486" s="5" t="s">
        <v>67</v>
      </c>
      <c r="Y5486" s="4">
        <v>3</v>
      </c>
      <c r="Z5486" s="4">
        <v>2</v>
      </c>
      <c r="AA5486" s="4">
        <v>7</v>
      </c>
      <c r="AB5486" s="4">
        <v>2</v>
      </c>
      <c r="AC5486" s="4">
        <v>2</v>
      </c>
      <c r="AD5486" s="4">
        <v>0</v>
      </c>
      <c r="AE5486" s="4">
        <v>51</v>
      </c>
      <c r="AF5486" s="4">
        <v>0</v>
      </c>
      <c r="AG5486" s="4">
        <v>0</v>
      </c>
      <c r="AH5486" s="4">
        <v>0</v>
      </c>
      <c r="AI5486" s="4">
        <v>48</v>
      </c>
      <c r="AJ5486" s="4">
        <v>0</v>
      </c>
      <c r="AK5486" s="4">
        <v>4</v>
      </c>
      <c r="AL5486" s="4">
        <v>0</v>
      </c>
      <c r="AM5486" s="4">
        <v>39</v>
      </c>
      <c r="AN5486" s="4">
        <v>0</v>
      </c>
      <c r="AO5486" s="4">
        <v>0</v>
      </c>
      <c r="AP5486" s="4">
        <v>0</v>
      </c>
      <c r="AQ5486" s="4">
        <v>3</v>
      </c>
      <c r="AR5486" s="3" t="s">
        <v>62</v>
      </c>
      <c r="AS5486" s="3" t="s">
        <v>62</v>
      </c>
      <c r="AT5486" s="3" t="s">
        <v>62</v>
      </c>
      <c r="AV5486" s="6" t="str">
        <f t="shared" si="86"/>
        <v>Catalog Record</v>
      </c>
      <c r="AW5486" s="6" t="str">
        <f t="shared" si="87"/>
        <v>WorldCat Record</v>
      </c>
      <c r="AX5486" s="3" t="s">
        <v>46696</v>
      </c>
      <c r="AY5486" s="3" t="s">
        <v>46697</v>
      </c>
      <c r="AZ5486" s="3" t="s">
        <v>46698</v>
      </c>
      <c r="BA5486" s="3" t="s">
        <v>46698</v>
      </c>
      <c r="BB5486" s="3" t="s">
        <v>52317</v>
      </c>
      <c r="BC5486" s="3" t="s">
        <v>102</v>
      </c>
      <c r="BD5486" s="3" t="s">
        <v>68</v>
      </c>
      <c r="BF5486" s="3" t="s">
        <v>52317</v>
      </c>
      <c r="BG5486" s="3" t="s">
        <v>52318</v>
      </c>
    </row>
    <row r="5487" spans="1:59" ht="72.5" x14ac:dyDescent="0.35">
      <c r="A5487" s="2" t="s">
        <v>59</v>
      </c>
      <c r="B5487" s="2" t="s">
        <v>60</v>
      </c>
      <c r="C5487" s="2" t="s">
        <v>52264</v>
      </c>
      <c r="D5487" s="2" t="s">
        <v>52265</v>
      </c>
      <c r="E5487" s="2" t="s">
        <v>46694</v>
      </c>
      <c r="F5487" s="3" t="s">
        <v>52319</v>
      </c>
      <c r="G5487" s="3" t="s">
        <v>61</v>
      </c>
      <c r="I5487" s="3" t="s">
        <v>61</v>
      </c>
      <c r="J5487" s="3" t="s">
        <v>62</v>
      </c>
      <c r="K5487" s="3" t="s">
        <v>63</v>
      </c>
      <c r="M5487" s="2" t="s">
        <v>46695</v>
      </c>
      <c r="N5487" s="3" t="s">
        <v>9091</v>
      </c>
      <c r="P5487" s="3" t="s">
        <v>1881</v>
      </c>
      <c r="R5487" s="3" t="s">
        <v>52233</v>
      </c>
      <c r="S5487" s="4">
        <v>0</v>
      </c>
      <c r="T5487" s="4">
        <v>3</v>
      </c>
      <c r="V5487" s="5" t="s">
        <v>13095</v>
      </c>
      <c r="W5487" s="5" t="s">
        <v>67</v>
      </c>
      <c r="X5487" s="5" t="s">
        <v>67</v>
      </c>
      <c r="Y5487" s="4">
        <v>3</v>
      </c>
      <c r="Z5487" s="4">
        <v>2</v>
      </c>
      <c r="AA5487" s="4">
        <v>7</v>
      </c>
      <c r="AB5487" s="4">
        <v>2</v>
      </c>
      <c r="AC5487" s="4">
        <v>2</v>
      </c>
      <c r="AD5487" s="4">
        <v>0</v>
      </c>
      <c r="AE5487" s="4">
        <v>51</v>
      </c>
      <c r="AF5487" s="4">
        <v>0</v>
      </c>
      <c r="AG5487" s="4">
        <v>0</v>
      </c>
      <c r="AH5487" s="4">
        <v>0</v>
      </c>
      <c r="AI5487" s="4">
        <v>48</v>
      </c>
      <c r="AJ5487" s="4">
        <v>0</v>
      </c>
      <c r="AK5487" s="4">
        <v>4</v>
      </c>
      <c r="AL5487" s="4">
        <v>0</v>
      </c>
      <c r="AM5487" s="4">
        <v>39</v>
      </c>
      <c r="AN5487" s="4">
        <v>0</v>
      </c>
      <c r="AO5487" s="4">
        <v>0</v>
      </c>
      <c r="AP5487" s="4">
        <v>0</v>
      </c>
      <c r="AQ5487" s="4">
        <v>3</v>
      </c>
      <c r="AR5487" s="3" t="s">
        <v>62</v>
      </c>
      <c r="AS5487" s="3" t="s">
        <v>62</v>
      </c>
      <c r="AT5487" s="3" t="s">
        <v>62</v>
      </c>
      <c r="AV5487" s="6" t="str">
        <f t="shared" si="86"/>
        <v>Catalog Record</v>
      </c>
      <c r="AW5487" s="6" t="str">
        <f t="shared" si="87"/>
        <v>WorldCat Record</v>
      </c>
      <c r="AX5487" s="3" t="s">
        <v>46696</v>
      </c>
      <c r="AY5487" s="3" t="s">
        <v>46697</v>
      </c>
      <c r="AZ5487" s="3" t="s">
        <v>46698</v>
      </c>
      <c r="BA5487" s="3" t="s">
        <v>46698</v>
      </c>
      <c r="BB5487" s="3" t="s">
        <v>52320</v>
      </c>
      <c r="BC5487" s="3" t="s">
        <v>102</v>
      </c>
      <c r="BD5487" s="3" t="s">
        <v>68</v>
      </c>
      <c r="BF5487" s="3" t="s">
        <v>52320</v>
      </c>
      <c r="BG5487" s="3" t="s">
        <v>52321</v>
      </c>
    </row>
    <row r="5488" spans="1:59" ht="72.5" x14ac:dyDescent="0.35">
      <c r="A5488" s="2" t="s">
        <v>59</v>
      </c>
      <c r="B5488" s="2" t="s">
        <v>60</v>
      </c>
      <c r="C5488" s="2" t="s">
        <v>52264</v>
      </c>
      <c r="D5488" s="2" t="s">
        <v>52265</v>
      </c>
      <c r="E5488" s="2" t="s">
        <v>46694</v>
      </c>
      <c r="F5488" s="3" t="s">
        <v>52322</v>
      </c>
      <c r="G5488" s="3" t="s">
        <v>61</v>
      </c>
      <c r="I5488" s="3" t="s">
        <v>61</v>
      </c>
      <c r="J5488" s="3" t="s">
        <v>62</v>
      </c>
      <c r="K5488" s="3" t="s">
        <v>63</v>
      </c>
      <c r="M5488" s="2" t="s">
        <v>46695</v>
      </c>
      <c r="N5488" s="3" t="s">
        <v>9091</v>
      </c>
      <c r="P5488" s="3" t="s">
        <v>1881</v>
      </c>
      <c r="R5488" s="3" t="s">
        <v>52233</v>
      </c>
      <c r="S5488" s="4">
        <v>0</v>
      </c>
      <c r="T5488" s="4">
        <v>3</v>
      </c>
      <c r="V5488" s="5" t="s">
        <v>13095</v>
      </c>
      <c r="W5488" s="5" t="s">
        <v>67</v>
      </c>
      <c r="X5488" s="5" t="s">
        <v>67</v>
      </c>
      <c r="Y5488" s="4">
        <v>3</v>
      </c>
      <c r="Z5488" s="4">
        <v>2</v>
      </c>
      <c r="AA5488" s="4">
        <v>7</v>
      </c>
      <c r="AB5488" s="4">
        <v>2</v>
      </c>
      <c r="AC5488" s="4">
        <v>2</v>
      </c>
      <c r="AD5488" s="4">
        <v>0</v>
      </c>
      <c r="AE5488" s="4">
        <v>51</v>
      </c>
      <c r="AF5488" s="4">
        <v>0</v>
      </c>
      <c r="AG5488" s="4">
        <v>0</v>
      </c>
      <c r="AH5488" s="4">
        <v>0</v>
      </c>
      <c r="AI5488" s="4">
        <v>48</v>
      </c>
      <c r="AJ5488" s="4">
        <v>0</v>
      </c>
      <c r="AK5488" s="4">
        <v>4</v>
      </c>
      <c r="AL5488" s="4">
        <v>0</v>
      </c>
      <c r="AM5488" s="4">
        <v>39</v>
      </c>
      <c r="AN5488" s="4">
        <v>0</v>
      </c>
      <c r="AO5488" s="4">
        <v>0</v>
      </c>
      <c r="AP5488" s="4">
        <v>0</v>
      </c>
      <c r="AQ5488" s="4">
        <v>3</v>
      </c>
      <c r="AR5488" s="3" t="s">
        <v>62</v>
      </c>
      <c r="AS5488" s="3" t="s">
        <v>62</v>
      </c>
      <c r="AT5488" s="3" t="s">
        <v>62</v>
      </c>
      <c r="AV5488" s="6" t="str">
        <f t="shared" si="86"/>
        <v>Catalog Record</v>
      </c>
      <c r="AW5488" s="6" t="str">
        <f t="shared" si="87"/>
        <v>WorldCat Record</v>
      </c>
      <c r="AX5488" s="3" t="s">
        <v>46696</v>
      </c>
      <c r="AY5488" s="3" t="s">
        <v>46697</v>
      </c>
      <c r="AZ5488" s="3" t="s">
        <v>46698</v>
      </c>
      <c r="BA5488" s="3" t="s">
        <v>46698</v>
      </c>
      <c r="BB5488" s="3" t="s">
        <v>52323</v>
      </c>
      <c r="BC5488" s="3" t="s">
        <v>102</v>
      </c>
      <c r="BD5488" s="3" t="s">
        <v>68</v>
      </c>
      <c r="BF5488" s="3" t="s">
        <v>52323</v>
      </c>
      <c r="BG5488" s="3" t="s">
        <v>52324</v>
      </c>
    </row>
    <row r="5489" spans="1:59" ht="72.5" x14ac:dyDescent="0.35">
      <c r="A5489" s="2" t="s">
        <v>59</v>
      </c>
      <c r="B5489" s="2" t="s">
        <v>60</v>
      </c>
      <c r="C5489" s="2" t="s">
        <v>52264</v>
      </c>
      <c r="D5489" s="2" t="s">
        <v>52265</v>
      </c>
      <c r="E5489" s="2" t="s">
        <v>46694</v>
      </c>
      <c r="F5489" s="3" t="s">
        <v>52325</v>
      </c>
      <c r="G5489" s="3" t="s">
        <v>61</v>
      </c>
      <c r="I5489" s="3" t="s">
        <v>61</v>
      </c>
      <c r="J5489" s="3" t="s">
        <v>62</v>
      </c>
      <c r="K5489" s="3" t="s">
        <v>63</v>
      </c>
      <c r="M5489" s="2" t="s">
        <v>46695</v>
      </c>
      <c r="N5489" s="3" t="s">
        <v>9091</v>
      </c>
      <c r="P5489" s="3" t="s">
        <v>1881</v>
      </c>
      <c r="R5489" s="3" t="s">
        <v>52233</v>
      </c>
      <c r="S5489" s="4">
        <v>0</v>
      </c>
      <c r="T5489" s="4">
        <v>3</v>
      </c>
      <c r="V5489" s="5" t="s">
        <v>13095</v>
      </c>
      <c r="W5489" s="5" t="s">
        <v>67</v>
      </c>
      <c r="X5489" s="5" t="s">
        <v>67</v>
      </c>
      <c r="Y5489" s="4">
        <v>3</v>
      </c>
      <c r="Z5489" s="4">
        <v>2</v>
      </c>
      <c r="AA5489" s="4">
        <v>7</v>
      </c>
      <c r="AB5489" s="4">
        <v>2</v>
      </c>
      <c r="AC5489" s="4">
        <v>2</v>
      </c>
      <c r="AD5489" s="4">
        <v>0</v>
      </c>
      <c r="AE5489" s="4">
        <v>51</v>
      </c>
      <c r="AF5489" s="4">
        <v>0</v>
      </c>
      <c r="AG5489" s="4">
        <v>0</v>
      </c>
      <c r="AH5489" s="4">
        <v>0</v>
      </c>
      <c r="AI5489" s="4">
        <v>48</v>
      </c>
      <c r="AJ5489" s="4">
        <v>0</v>
      </c>
      <c r="AK5489" s="4">
        <v>4</v>
      </c>
      <c r="AL5489" s="4">
        <v>0</v>
      </c>
      <c r="AM5489" s="4">
        <v>39</v>
      </c>
      <c r="AN5489" s="4">
        <v>0</v>
      </c>
      <c r="AO5489" s="4">
        <v>0</v>
      </c>
      <c r="AP5489" s="4">
        <v>0</v>
      </c>
      <c r="AQ5489" s="4">
        <v>3</v>
      </c>
      <c r="AR5489" s="3" t="s">
        <v>62</v>
      </c>
      <c r="AS5489" s="3" t="s">
        <v>62</v>
      </c>
      <c r="AT5489" s="3" t="s">
        <v>62</v>
      </c>
      <c r="AV5489" s="6" t="str">
        <f t="shared" si="86"/>
        <v>Catalog Record</v>
      </c>
      <c r="AW5489" s="6" t="str">
        <f t="shared" si="87"/>
        <v>WorldCat Record</v>
      </c>
      <c r="AX5489" s="3" t="s">
        <v>46696</v>
      </c>
      <c r="AY5489" s="3" t="s">
        <v>46697</v>
      </c>
      <c r="AZ5489" s="3" t="s">
        <v>46698</v>
      </c>
      <c r="BA5489" s="3" t="s">
        <v>46698</v>
      </c>
      <c r="BB5489" s="3" t="s">
        <v>52326</v>
      </c>
      <c r="BC5489" s="3" t="s">
        <v>102</v>
      </c>
      <c r="BD5489" s="3" t="s">
        <v>68</v>
      </c>
      <c r="BF5489" s="3" t="s">
        <v>52326</v>
      </c>
      <c r="BG5489" s="3" t="s">
        <v>52327</v>
      </c>
    </row>
    <row r="5490" spans="1:59" ht="72.5" x14ac:dyDescent="0.35">
      <c r="A5490" s="2" t="s">
        <v>59</v>
      </c>
      <c r="B5490" s="2" t="s">
        <v>60</v>
      </c>
      <c r="C5490" s="2" t="s">
        <v>52264</v>
      </c>
      <c r="D5490" s="2" t="s">
        <v>52265</v>
      </c>
      <c r="E5490" s="2" t="s">
        <v>46694</v>
      </c>
      <c r="F5490" s="3" t="s">
        <v>52328</v>
      </c>
      <c r="G5490" s="3" t="s">
        <v>61</v>
      </c>
      <c r="I5490" s="3" t="s">
        <v>61</v>
      </c>
      <c r="J5490" s="3" t="s">
        <v>62</v>
      </c>
      <c r="K5490" s="3" t="s">
        <v>63</v>
      </c>
      <c r="M5490" s="2" t="s">
        <v>46695</v>
      </c>
      <c r="N5490" s="3" t="s">
        <v>9091</v>
      </c>
      <c r="P5490" s="3" t="s">
        <v>1881</v>
      </c>
      <c r="R5490" s="3" t="s">
        <v>52233</v>
      </c>
      <c r="S5490" s="4">
        <v>0</v>
      </c>
      <c r="T5490" s="4">
        <v>3</v>
      </c>
      <c r="V5490" s="5" t="s">
        <v>13095</v>
      </c>
      <c r="W5490" s="5" t="s">
        <v>67</v>
      </c>
      <c r="X5490" s="5" t="s">
        <v>67</v>
      </c>
      <c r="Y5490" s="4">
        <v>3</v>
      </c>
      <c r="Z5490" s="4">
        <v>2</v>
      </c>
      <c r="AA5490" s="4">
        <v>7</v>
      </c>
      <c r="AB5490" s="4">
        <v>2</v>
      </c>
      <c r="AC5490" s="4">
        <v>2</v>
      </c>
      <c r="AD5490" s="4">
        <v>0</v>
      </c>
      <c r="AE5490" s="4">
        <v>51</v>
      </c>
      <c r="AF5490" s="4">
        <v>0</v>
      </c>
      <c r="AG5490" s="4">
        <v>0</v>
      </c>
      <c r="AH5490" s="4">
        <v>0</v>
      </c>
      <c r="AI5490" s="4">
        <v>48</v>
      </c>
      <c r="AJ5490" s="4">
        <v>0</v>
      </c>
      <c r="AK5490" s="4">
        <v>4</v>
      </c>
      <c r="AL5490" s="4">
        <v>0</v>
      </c>
      <c r="AM5490" s="4">
        <v>39</v>
      </c>
      <c r="AN5490" s="4">
        <v>0</v>
      </c>
      <c r="AO5490" s="4">
        <v>0</v>
      </c>
      <c r="AP5490" s="4">
        <v>0</v>
      </c>
      <c r="AQ5490" s="4">
        <v>3</v>
      </c>
      <c r="AR5490" s="3" t="s">
        <v>62</v>
      </c>
      <c r="AS5490" s="3" t="s">
        <v>62</v>
      </c>
      <c r="AT5490" s="3" t="s">
        <v>62</v>
      </c>
      <c r="AV5490" s="6" t="str">
        <f t="shared" si="86"/>
        <v>Catalog Record</v>
      </c>
      <c r="AW5490" s="6" t="str">
        <f t="shared" si="87"/>
        <v>WorldCat Record</v>
      </c>
      <c r="AX5490" s="3" t="s">
        <v>46696</v>
      </c>
      <c r="AY5490" s="3" t="s">
        <v>46697</v>
      </c>
      <c r="AZ5490" s="3" t="s">
        <v>46698</v>
      </c>
      <c r="BA5490" s="3" t="s">
        <v>46698</v>
      </c>
      <c r="BB5490" s="3" t="s">
        <v>52329</v>
      </c>
      <c r="BC5490" s="3" t="s">
        <v>102</v>
      </c>
      <c r="BD5490" s="3" t="s">
        <v>68</v>
      </c>
      <c r="BF5490" s="3" t="s">
        <v>52329</v>
      </c>
      <c r="BG5490" s="3" t="s">
        <v>52330</v>
      </c>
    </row>
    <row r="5491" spans="1:59" ht="72.5" x14ac:dyDescent="0.35">
      <c r="A5491" s="2" t="s">
        <v>59</v>
      </c>
      <c r="B5491" s="2" t="s">
        <v>60</v>
      </c>
      <c r="C5491" s="2" t="s">
        <v>52264</v>
      </c>
      <c r="D5491" s="2" t="s">
        <v>52265</v>
      </c>
      <c r="E5491" s="2" t="s">
        <v>46694</v>
      </c>
      <c r="F5491" s="3" t="s">
        <v>52331</v>
      </c>
      <c r="G5491" s="3" t="s">
        <v>61</v>
      </c>
      <c r="I5491" s="3" t="s">
        <v>61</v>
      </c>
      <c r="J5491" s="3" t="s">
        <v>62</v>
      </c>
      <c r="K5491" s="3" t="s">
        <v>63</v>
      </c>
      <c r="M5491" s="2" t="s">
        <v>46695</v>
      </c>
      <c r="N5491" s="3" t="s">
        <v>9091</v>
      </c>
      <c r="P5491" s="3" t="s">
        <v>1881</v>
      </c>
      <c r="R5491" s="3" t="s">
        <v>52233</v>
      </c>
      <c r="S5491" s="4">
        <v>0</v>
      </c>
      <c r="T5491" s="4">
        <v>3</v>
      </c>
      <c r="V5491" s="5" t="s">
        <v>13095</v>
      </c>
      <c r="W5491" s="5" t="s">
        <v>67</v>
      </c>
      <c r="X5491" s="5" t="s">
        <v>67</v>
      </c>
      <c r="Y5491" s="4">
        <v>3</v>
      </c>
      <c r="Z5491" s="4">
        <v>2</v>
      </c>
      <c r="AA5491" s="4">
        <v>7</v>
      </c>
      <c r="AB5491" s="4">
        <v>2</v>
      </c>
      <c r="AC5491" s="4">
        <v>2</v>
      </c>
      <c r="AD5491" s="4">
        <v>0</v>
      </c>
      <c r="AE5491" s="4">
        <v>51</v>
      </c>
      <c r="AF5491" s="4">
        <v>0</v>
      </c>
      <c r="AG5491" s="4">
        <v>0</v>
      </c>
      <c r="AH5491" s="4">
        <v>0</v>
      </c>
      <c r="AI5491" s="4">
        <v>48</v>
      </c>
      <c r="AJ5491" s="4">
        <v>0</v>
      </c>
      <c r="AK5491" s="4">
        <v>4</v>
      </c>
      <c r="AL5491" s="4">
        <v>0</v>
      </c>
      <c r="AM5491" s="4">
        <v>39</v>
      </c>
      <c r="AN5491" s="4">
        <v>0</v>
      </c>
      <c r="AO5491" s="4">
        <v>0</v>
      </c>
      <c r="AP5491" s="4">
        <v>0</v>
      </c>
      <c r="AQ5491" s="4">
        <v>3</v>
      </c>
      <c r="AR5491" s="3" t="s">
        <v>62</v>
      </c>
      <c r="AS5491" s="3" t="s">
        <v>62</v>
      </c>
      <c r="AT5491" s="3" t="s">
        <v>62</v>
      </c>
      <c r="AV5491" s="6" t="str">
        <f t="shared" si="86"/>
        <v>Catalog Record</v>
      </c>
      <c r="AW5491" s="6" t="str">
        <f t="shared" si="87"/>
        <v>WorldCat Record</v>
      </c>
      <c r="AX5491" s="3" t="s">
        <v>46696</v>
      </c>
      <c r="AY5491" s="3" t="s">
        <v>46697</v>
      </c>
      <c r="AZ5491" s="3" t="s">
        <v>46698</v>
      </c>
      <c r="BA5491" s="3" t="s">
        <v>46698</v>
      </c>
      <c r="BB5491" s="3" t="s">
        <v>52332</v>
      </c>
      <c r="BC5491" s="3" t="s">
        <v>102</v>
      </c>
      <c r="BD5491" s="3" t="s">
        <v>68</v>
      </c>
      <c r="BF5491" s="3" t="s">
        <v>52332</v>
      </c>
      <c r="BG5491" s="3" t="s">
        <v>52333</v>
      </c>
    </row>
    <row r="5492" spans="1:59" ht="72.5" x14ac:dyDescent="0.35">
      <c r="A5492" s="2" t="s">
        <v>59</v>
      </c>
      <c r="B5492" s="2" t="s">
        <v>60</v>
      </c>
      <c r="C5492" s="2" t="s">
        <v>52264</v>
      </c>
      <c r="D5492" s="2" t="s">
        <v>52265</v>
      </c>
      <c r="E5492" s="2" t="s">
        <v>46694</v>
      </c>
      <c r="F5492" s="3" t="s">
        <v>52334</v>
      </c>
      <c r="G5492" s="3" t="s">
        <v>61</v>
      </c>
      <c r="I5492" s="3" t="s">
        <v>61</v>
      </c>
      <c r="J5492" s="3" t="s">
        <v>62</v>
      </c>
      <c r="K5492" s="3" t="s">
        <v>63</v>
      </c>
      <c r="M5492" s="2" t="s">
        <v>46695</v>
      </c>
      <c r="N5492" s="3" t="s">
        <v>9091</v>
      </c>
      <c r="P5492" s="3" t="s">
        <v>1881</v>
      </c>
      <c r="R5492" s="3" t="s">
        <v>52233</v>
      </c>
      <c r="S5492" s="4">
        <v>0</v>
      </c>
      <c r="T5492" s="4">
        <v>3</v>
      </c>
      <c r="V5492" s="5" t="s">
        <v>13095</v>
      </c>
      <c r="W5492" s="5" t="s">
        <v>67</v>
      </c>
      <c r="X5492" s="5" t="s">
        <v>67</v>
      </c>
      <c r="Y5492" s="4">
        <v>3</v>
      </c>
      <c r="Z5492" s="4">
        <v>2</v>
      </c>
      <c r="AA5492" s="4">
        <v>7</v>
      </c>
      <c r="AB5492" s="4">
        <v>2</v>
      </c>
      <c r="AC5492" s="4">
        <v>2</v>
      </c>
      <c r="AD5492" s="4">
        <v>0</v>
      </c>
      <c r="AE5492" s="4">
        <v>51</v>
      </c>
      <c r="AF5492" s="4">
        <v>0</v>
      </c>
      <c r="AG5492" s="4">
        <v>0</v>
      </c>
      <c r="AH5492" s="4">
        <v>0</v>
      </c>
      <c r="AI5492" s="4">
        <v>48</v>
      </c>
      <c r="AJ5492" s="4">
        <v>0</v>
      </c>
      <c r="AK5492" s="4">
        <v>4</v>
      </c>
      <c r="AL5492" s="4">
        <v>0</v>
      </c>
      <c r="AM5492" s="4">
        <v>39</v>
      </c>
      <c r="AN5492" s="4">
        <v>0</v>
      </c>
      <c r="AO5492" s="4">
        <v>0</v>
      </c>
      <c r="AP5492" s="4">
        <v>0</v>
      </c>
      <c r="AQ5492" s="4">
        <v>3</v>
      </c>
      <c r="AR5492" s="3" t="s">
        <v>62</v>
      </c>
      <c r="AS5492" s="3" t="s">
        <v>62</v>
      </c>
      <c r="AT5492" s="3" t="s">
        <v>62</v>
      </c>
      <c r="AV5492" s="6" t="str">
        <f t="shared" si="86"/>
        <v>Catalog Record</v>
      </c>
      <c r="AW5492" s="6" t="str">
        <f t="shared" si="87"/>
        <v>WorldCat Record</v>
      </c>
      <c r="AX5492" s="3" t="s">
        <v>46696</v>
      </c>
      <c r="AY5492" s="3" t="s">
        <v>46697</v>
      </c>
      <c r="AZ5492" s="3" t="s">
        <v>46698</v>
      </c>
      <c r="BA5492" s="3" t="s">
        <v>46698</v>
      </c>
      <c r="BB5492" s="3" t="s">
        <v>52335</v>
      </c>
      <c r="BC5492" s="3" t="s">
        <v>102</v>
      </c>
      <c r="BD5492" s="3" t="s">
        <v>68</v>
      </c>
      <c r="BF5492" s="3" t="s">
        <v>52335</v>
      </c>
      <c r="BG5492" s="3" t="s">
        <v>52336</v>
      </c>
    </row>
    <row r="5493" spans="1:59" ht="72.5" x14ac:dyDescent="0.35">
      <c r="A5493" s="2" t="s">
        <v>59</v>
      </c>
      <c r="B5493" s="2" t="s">
        <v>60</v>
      </c>
      <c r="C5493" s="2" t="s">
        <v>52264</v>
      </c>
      <c r="D5493" s="2" t="s">
        <v>52265</v>
      </c>
      <c r="E5493" s="2" t="s">
        <v>46694</v>
      </c>
      <c r="F5493" s="3" t="s">
        <v>52337</v>
      </c>
      <c r="G5493" s="3" t="s">
        <v>61</v>
      </c>
      <c r="I5493" s="3" t="s">
        <v>61</v>
      </c>
      <c r="J5493" s="3" t="s">
        <v>62</v>
      </c>
      <c r="K5493" s="3" t="s">
        <v>63</v>
      </c>
      <c r="M5493" s="2" t="s">
        <v>46695</v>
      </c>
      <c r="N5493" s="3" t="s">
        <v>9091</v>
      </c>
      <c r="P5493" s="3" t="s">
        <v>1881</v>
      </c>
      <c r="R5493" s="3" t="s">
        <v>52233</v>
      </c>
      <c r="S5493" s="4">
        <v>0</v>
      </c>
      <c r="T5493" s="4">
        <v>3</v>
      </c>
      <c r="V5493" s="5" t="s">
        <v>13095</v>
      </c>
      <c r="W5493" s="5" t="s">
        <v>67</v>
      </c>
      <c r="X5493" s="5" t="s">
        <v>67</v>
      </c>
      <c r="Y5493" s="4">
        <v>3</v>
      </c>
      <c r="Z5493" s="4">
        <v>2</v>
      </c>
      <c r="AA5493" s="4">
        <v>7</v>
      </c>
      <c r="AB5493" s="4">
        <v>2</v>
      </c>
      <c r="AC5493" s="4">
        <v>2</v>
      </c>
      <c r="AD5493" s="4">
        <v>0</v>
      </c>
      <c r="AE5493" s="4">
        <v>51</v>
      </c>
      <c r="AF5493" s="4">
        <v>0</v>
      </c>
      <c r="AG5493" s="4">
        <v>0</v>
      </c>
      <c r="AH5493" s="4">
        <v>0</v>
      </c>
      <c r="AI5493" s="4">
        <v>48</v>
      </c>
      <c r="AJ5493" s="4">
        <v>0</v>
      </c>
      <c r="AK5493" s="4">
        <v>4</v>
      </c>
      <c r="AL5493" s="4">
        <v>0</v>
      </c>
      <c r="AM5493" s="4">
        <v>39</v>
      </c>
      <c r="AN5493" s="4">
        <v>0</v>
      </c>
      <c r="AO5493" s="4">
        <v>0</v>
      </c>
      <c r="AP5493" s="4">
        <v>0</v>
      </c>
      <c r="AQ5493" s="4">
        <v>3</v>
      </c>
      <c r="AR5493" s="3" t="s">
        <v>62</v>
      </c>
      <c r="AS5493" s="3" t="s">
        <v>62</v>
      </c>
      <c r="AT5493" s="3" t="s">
        <v>62</v>
      </c>
      <c r="AV5493" s="6" t="str">
        <f t="shared" si="86"/>
        <v>Catalog Record</v>
      </c>
      <c r="AW5493" s="6" t="str">
        <f t="shared" si="87"/>
        <v>WorldCat Record</v>
      </c>
      <c r="AX5493" s="3" t="s">
        <v>46696</v>
      </c>
      <c r="AY5493" s="3" t="s">
        <v>46697</v>
      </c>
      <c r="AZ5493" s="3" t="s">
        <v>46698</v>
      </c>
      <c r="BA5493" s="3" t="s">
        <v>46698</v>
      </c>
      <c r="BB5493" s="3" t="s">
        <v>52338</v>
      </c>
      <c r="BC5493" s="3" t="s">
        <v>102</v>
      </c>
      <c r="BD5493" s="3" t="s">
        <v>68</v>
      </c>
      <c r="BF5493" s="3" t="s">
        <v>52338</v>
      </c>
      <c r="BG5493" s="3" t="s">
        <v>52339</v>
      </c>
    </row>
    <row r="5494" spans="1:59" ht="72.5" x14ac:dyDescent="0.35">
      <c r="A5494" s="2" t="s">
        <v>59</v>
      </c>
      <c r="B5494" s="2" t="s">
        <v>60</v>
      </c>
      <c r="C5494" s="2" t="s">
        <v>52264</v>
      </c>
      <c r="D5494" s="2" t="s">
        <v>52265</v>
      </c>
      <c r="E5494" s="2" t="s">
        <v>46694</v>
      </c>
      <c r="F5494" s="3" t="s">
        <v>52340</v>
      </c>
      <c r="G5494" s="3" t="s">
        <v>61</v>
      </c>
      <c r="I5494" s="3" t="s">
        <v>61</v>
      </c>
      <c r="J5494" s="3" t="s">
        <v>62</v>
      </c>
      <c r="K5494" s="3" t="s">
        <v>63</v>
      </c>
      <c r="M5494" s="2" t="s">
        <v>46695</v>
      </c>
      <c r="N5494" s="3" t="s">
        <v>9091</v>
      </c>
      <c r="P5494" s="3" t="s">
        <v>1881</v>
      </c>
      <c r="R5494" s="3" t="s">
        <v>52233</v>
      </c>
      <c r="S5494" s="4">
        <v>0</v>
      </c>
      <c r="T5494" s="4">
        <v>3</v>
      </c>
      <c r="V5494" s="5" t="s">
        <v>13095</v>
      </c>
      <c r="W5494" s="5" t="s">
        <v>67</v>
      </c>
      <c r="X5494" s="5" t="s">
        <v>67</v>
      </c>
      <c r="Y5494" s="4">
        <v>3</v>
      </c>
      <c r="Z5494" s="4">
        <v>2</v>
      </c>
      <c r="AA5494" s="4">
        <v>7</v>
      </c>
      <c r="AB5494" s="4">
        <v>2</v>
      </c>
      <c r="AC5494" s="4">
        <v>2</v>
      </c>
      <c r="AD5494" s="4">
        <v>0</v>
      </c>
      <c r="AE5494" s="4">
        <v>51</v>
      </c>
      <c r="AF5494" s="4">
        <v>0</v>
      </c>
      <c r="AG5494" s="4">
        <v>0</v>
      </c>
      <c r="AH5494" s="4">
        <v>0</v>
      </c>
      <c r="AI5494" s="4">
        <v>48</v>
      </c>
      <c r="AJ5494" s="4">
        <v>0</v>
      </c>
      <c r="AK5494" s="4">
        <v>4</v>
      </c>
      <c r="AL5494" s="4">
        <v>0</v>
      </c>
      <c r="AM5494" s="4">
        <v>39</v>
      </c>
      <c r="AN5494" s="4">
        <v>0</v>
      </c>
      <c r="AO5494" s="4">
        <v>0</v>
      </c>
      <c r="AP5494" s="4">
        <v>0</v>
      </c>
      <c r="AQ5494" s="4">
        <v>3</v>
      </c>
      <c r="AR5494" s="3" t="s">
        <v>62</v>
      </c>
      <c r="AS5494" s="3" t="s">
        <v>62</v>
      </c>
      <c r="AT5494" s="3" t="s">
        <v>62</v>
      </c>
      <c r="AV5494" s="6" t="str">
        <f t="shared" si="86"/>
        <v>Catalog Record</v>
      </c>
      <c r="AW5494" s="6" t="str">
        <f t="shared" si="87"/>
        <v>WorldCat Record</v>
      </c>
      <c r="AX5494" s="3" t="s">
        <v>46696</v>
      </c>
      <c r="AY5494" s="3" t="s">
        <v>46697</v>
      </c>
      <c r="AZ5494" s="3" t="s">
        <v>46698</v>
      </c>
      <c r="BA5494" s="3" t="s">
        <v>46698</v>
      </c>
      <c r="BB5494" s="3" t="s">
        <v>52341</v>
      </c>
      <c r="BC5494" s="3" t="s">
        <v>102</v>
      </c>
      <c r="BD5494" s="3" t="s">
        <v>68</v>
      </c>
      <c r="BF5494" s="3" t="s">
        <v>52341</v>
      </c>
      <c r="BG5494" s="3" t="s">
        <v>52342</v>
      </c>
    </row>
    <row r="5495" spans="1:59" ht="101.5" x14ac:dyDescent="0.35">
      <c r="A5495" s="2" t="s">
        <v>89</v>
      </c>
      <c r="B5495" s="2" t="s">
        <v>36812</v>
      </c>
      <c r="C5495" s="2" t="s">
        <v>52343</v>
      </c>
      <c r="D5495" s="2" t="s">
        <v>52344</v>
      </c>
      <c r="E5495" s="2" t="s">
        <v>52345</v>
      </c>
      <c r="G5495" s="3" t="s">
        <v>62</v>
      </c>
      <c r="I5495" s="3" t="s">
        <v>62</v>
      </c>
      <c r="J5495" s="3" t="s">
        <v>62</v>
      </c>
      <c r="K5495" s="3" t="s">
        <v>63</v>
      </c>
      <c r="L5495" s="2" t="s">
        <v>52346</v>
      </c>
      <c r="M5495" s="2" t="s">
        <v>52347</v>
      </c>
      <c r="N5495" s="3" t="s">
        <v>640</v>
      </c>
      <c r="P5495" s="3" t="s">
        <v>64</v>
      </c>
      <c r="Q5495" s="2" t="s">
        <v>52348</v>
      </c>
      <c r="R5495" s="3" t="s">
        <v>52233</v>
      </c>
      <c r="S5495" s="4">
        <v>6</v>
      </c>
      <c r="T5495" s="4">
        <v>6</v>
      </c>
      <c r="U5495" s="5" t="s">
        <v>1252</v>
      </c>
      <c r="V5495" s="5" t="s">
        <v>1252</v>
      </c>
      <c r="W5495" s="5" t="s">
        <v>67</v>
      </c>
      <c r="X5495" s="5" t="s">
        <v>67</v>
      </c>
      <c r="Y5495" s="4">
        <v>561</v>
      </c>
      <c r="Z5495" s="4">
        <v>17</v>
      </c>
      <c r="AA5495" s="4">
        <v>28</v>
      </c>
      <c r="AB5495" s="4">
        <v>2</v>
      </c>
      <c r="AC5495" s="4">
        <v>4</v>
      </c>
      <c r="AD5495" s="4">
        <v>11</v>
      </c>
      <c r="AE5495" s="4">
        <v>21</v>
      </c>
      <c r="AF5495" s="4">
        <v>0</v>
      </c>
      <c r="AG5495" s="4">
        <v>0</v>
      </c>
      <c r="AH5495" s="4">
        <v>10</v>
      </c>
      <c r="AI5495" s="4">
        <v>15</v>
      </c>
      <c r="AJ5495" s="4">
        <v>2</v>
      </c>
      <c r="AK5495" s="4">
        <v>3</v>
      </c>
      <c r="AL5495" s="4">
        <v>3</v>
      </c>
      <c r="AM5495" s="4">
        <v>5</v>
      </c>
      <c r="AN5495" s="4">
        <v>0</v>
      </c>
      <c r="AO5495" s="4">
        <v>0</v>
      </c>
      <c r="AP5495" s="4">
        <v>2</v>
      </c>
      <c r="AQ5495" s="4">
        <v>7</v>
      </c>
      <c r="AR5495" s="3" t="s">
        <v>62</v>
      </c>
      <c r="AS5495" s="3" t="s">
        <v>62</v>
      </c>
      <c r="AT5495" s="3" t="s">
        <v>62</v>
      </c>
      <c r="AV5495" s="6" t="str">
        <f>HYPERLINK("http://mcgill.on.worldcat.org/oclc/55983652","Catalog Record")</f>
        <v>Catalog Record</v>
      </c>
      <c r="AW5495" s="6" t="str">
        <f>HYPERLINK("http://www.worldcat.org/oclc/55983652","WorldCat Record")</f>
        <v>WorldCat Record</v>
      </c>
      <c r="AX5495" s="3" t="s">
        <v>52349</v>
      </c>
      <c r="AY5495" s="3" t="s">
        <v>52350</v>
      </c>
      <c r="AZ5495" s="3" t="s">
        <v>52351</v>
      </c>
      <c r="BA5495" s="3" t="s">
        <v>52351</v>
      </c>
      <c r="BB5495" s="3" t="s">
        <v>52352</v>
      </c>
      <c r="BC5495" s="3" t="s">
        <v>102</v>
      </c>
      <c r="BD5495" s="3" t="s">
        <v>68</v>
      </c>
      <c r="BE5495" s="3" t="s">
        <v>52353</v>
      </c>
      <c r="BF5495" s="3" t="s">
        <v>52352</v>
      </c>
      <c r="BG5495" s="3" t="s">
        <v>52354</v>
      </c>
    </row>
    <row r="5496" spans="1:59" ht="58" x14ac:dyDescent="0.35">
      <c r="A5496" s="2" t="s">
        <v>59</v>
      </c>
      <c r="B5496" s="2" t="s">
        <v>60</v>
      </c>
      <c r="C5496" s="2" t="s">
        <v>52355</v>
      </c>
      <c r="D5496" s="2" t="s">
        <v>52356</v>
      </c>
      <c r="E5496" s="2" t="s">
        <v>52357</v>
      </c>
      <c r="G5496" s="3" t="s">
        <v>62</v>
      </c>
      <c r="I5496" s="3" t="s">
        <v>62</v>
      </c>
      <c r="J5496" s="3" t="s">
        <v>62</v>
      </c>
      <c r="K5496" s="3" t="s">
        <v>63</v>
      </c>
      <c r="L5496" s="2" t="s">
        <v>52358</v>
      </c>
      <c r="M5496" s="2" t="s">
        <v>52359</v>
      </c>
      <c r="N5496" s="3" t="s">
        <v>866</v>
      </c>
      <c r="P5496" s="3" t="s">
        <v>64</v>
      </c>
      <c r="R5496" s="3" t="s">
        <v>52233</v>
      </c>
      <c r="S5496" s="4">
        <v>3</v>
      </c>
      <c r="T5496" s="4">
        <v>3</v>
      </c>
      <c r="U5496" s="5" t="s">
        <v>671</v>
      </c>
      <c r="V5496" s="5" t="s">
        <v>671</v>
      </c>
      <c r="W5496" s="5" t="s">
        <v>67</v>
      </c>
      <c r="X5496" s="5" t="s">
        <v>67</v>
      </c>
      <c r="Y5496" s="4">
        <v>175</v>
      </c>
      <c r="Z5496" s="4">
        <v>10</v>
      </c>
      <c r="AA5496" s="4">
        <v>12</v>
      </c>
      <c r="AB5496" s="4">
        <v>4</v>
      </c>
      <c r="AC5496" s="4">
        <v>6</v>
      </c>
      <c r="AD5496" s="4">
        <v>41</v>
      </c>
      <c r="AE5496" s="4">
        <v>43</v>
      </c>
      <c r="AF5496" s="4">
        <v>1</v>
      </c>
      <c r="AG5496" s="4">
        <v>3</v>
      </c>
      <c r="AH5496" s="4">
        <v>37</v>
      </c>
      <c r="AI5496" s="4">
        <v>38</v>
      </c>
      <c r="AJ5496" s="4">
        <v>6</v>
      </c>
      <c r="AK5496" s="4">
        <v>8</v>
      </c>
      <c r="AL5496" s="4">
        <v>18</v>
      </c>
      <c r="AM5496" s="4">
        <v>18</v>
      </c>
      <c r="AN5496" s="4">
        <v>0</v>
      </c>
      <c r="AO5496" s="4">
        <v>0</v>
      </c>
      <c r="AP5496" s="4">
        <v>7</v>
      </c>
      <c r="AQ5496" s="4">
        <v>8</v>
      </c>
      <c r="AR5496" s="3" t="s">
        <v>62</v>
      </c>
      <c r="AS5496" s="3" t="s">
        <v>62</v>
      </c>
      <c r="AT5496" s="3" t="s">
        <v>62</v>
      </c>
      <c r="AV5496" s="6" t="str">
        <f>HYPERLINK("http://mcgill.on.worldcat.org/oclc/681056","Catalog Record")</f>
        <v>Catalog Record</v>
      </c>
      <c r="AW5496" s="6" t="str">
        <f>HYPERLINK("http://www.worldcat.org/oclc/681056","WorldCat Record")</f>
        <v>WorldCat Record</v>
      </c>
      <c r="AX5496" s="3" t="s">
        <v>52360</v>
      </c>
      <c r="AY5496" s="3" t="s">
        <v>52361</v>
      </c>
      <c r="AZ5496" s="3" t="s">
        <v>52362</v>
      </c>
      <c r="BA5496" s="3" t="s">
        <v>52362</v>
      </c>
      <c r="BB5496" s="3" t="s">
        <v>52363</v>
      </c>
      <c r="BC5496" s="3" t="s">
        <v>102</v>
      </c>
      <c r="BD5496" s="3" t="s">
        <v>6923</v>
      </c>
      <c r="BE5496" s="3" t="s">
        <v>52364</v>
      </c>
      <c r="BF5496" s="3" t="s">
        <v>52363</v>
      </c>
      <c r="BG5496" s="3" t="s">
        <v>52365</v>
      </c>
    </row>
    <row r="5497" spans="1:59" ht="58" x14ac:dyDescent="0.35">
      <c r="A5497" s="2" t="s">
        <v>59</v>
      </c>
      <c r="B5497" s="2" t="s">
        <v>60</v>
      </c>
      <c r="C5497" s="2" t="s">
        <v>52366</v>
      </c>
      <c r="D5497" s="2" t="s">
        <v>52367</v>
      </c>
      <c r="E5497" s="2" t="s">
        <v>52368</v>
      </c>
      <c r="G5497" s="3" t="s">
        <v>62</v>
      </c>
      <c r="I5497" s="3" t="s">
        <v>62</v>
      </c>
      <c r="J5497" s="3" t="s">
        <v>62</v>
      </c>
      <c r="K5497" s="3" t="s">
        <v>63</v>
      </c>
      <c r="M5497" s="2" t="s">
        <v>52369</v>
      </c>
      <c r="N5497" s="3" t="s">
        <v>1639</v>
      </c>
      <c r="P5497" s="3" t="s">
        <v>64</v>
      </c>
      <c r="R5497" s="3" t="s">
        <v>52233</v>
      </c>
      <c r="S5497" s="4">
        <v>8</v>
      </c>
      <c r="T5497" s="4">
        <v>8</v>
      </c>
      <c r="U5497" s="5" t="s">
        <v>6972</v>
      </c>
      <c r="V5497" s="5" t="s">
        <v>6972</v>
      </c>
      <c r="W5497" s="5" t="s">
        <v>67</v>
      </c>
      <c r="X5497" s="5" t="s">
        <v>67</v>
      </c>
      <c r="Y5497" s="4">
        <v>225</v>
      </c>
      <c r="Z5497" s="4">
        <v>14</v>
      </c>
      <c r="AA5497" s="4">
        <v>19</v>
      </c>
      <c r="AB5497" s="4">
        <v>2</v>
      </c>
      <c r="AC5497" s="4">
        <v>4</v>
      </c>
      <c r="AD5497" s="4">
        <v>68</v>
      </c>
      <c r="AE5497" s="4">
        <v>87</v>
      </c>
      <c r="AF5497" s="4">
        <v>0</v>
      </c>
      <c r="AG5497" s="4">
        <v>2</v>
      </c>
      <c r="AH5497" s="4">
        <v>63</v>
      </c>
      <c r="AI5497" s="4">
        <v>80</v>
      </c>
      <c r="AJ5497" s="4">
        <v>10</v>
      </c>
      <c r="AK5497" s="4">
        <v>15</v>
      </c>
      <c r="AL5497" s="4">
        <v>32</v>
      </c>
      <c r="AM5497" s="4">
        <v>43</v>
      </c>
      <c r="AN5497" s="4">
        <v>0</v>
      </c>
      <c r="AO5497" s="4">
        <v>0</v>
      </c>
      <c r="AP5497" s="4">
        <v>9</v>
      </c>
      <c r="AQ5497" s="4">
        <v>14</v>
      </c>
      <c r="AR5497" s="3" t="s">
        <v>62</v>
      </c>
      <c r="AS5497" s="3" t="s">
        <v>62</v>
      </c>
      <c r="AT5497" s="3" t="s">
        <v>61</v>
      </c>
      <c r="AU5497" s="6" t="str">
        <f>HYPERLINK("http://catalog.hathitrust.org/Record/001558184","HathiTrust Record")</f>
        <v>HathiTrust Record</v>
      </c>
      <c r="AV5497" s="6" t="str">
        <f>HYPERLINK("http://mcgill.on.worldcat.org/oclc/106421","Catalog Record")</f>
        <v>Catalog Record</v>
      </c>
      <c r="AW5497" s="6" t="str">
        <f>HYPERLINK("http://www.worldcat.org/oclc/106421","WorldCat Record")</f>
        <v>WorldCat Record</v>
      </c>
      <c r="AX5497" s="3" t="s">
        <v>52370</v>
      </c>
      <c r="AY5497" s="3" t="s">
        <v>52371</v>
      </c>
      <c r="AZ5497" s="3" t="s">
        <v>52372</v>
      </c>
      <c r="BA5497" s="3" t="s">
        <v>52372</v>
      </c>
      <c r="BB5497" s="3" t="s">
        <v>52373</v>
      </c>
      <c r="BC5497" s="3" t="s">
        <v>102</v>
      </c>
      <c r="BD5497" s="3" t="s">
        <v>68</v>
      </c>
      <c r="BE5497" s="3" t="s">
        <v>52374</v>
      </c>
      <c r="BF5497" s="3" t="s">
        <v>52373</v>
      </c>
      <c r="BG5497" s="3" t="s">
        <v>52375</v>
      </c>
    </row>
    <row r="5498" spans="1:59" ht="58" x14ac:dyDescent="0.35">
      <c r="A5498" s="2" t="s">
        <v>59</v>
      </c>
      <c r="B5498" s="2" t="s">
        <v>60</v>
      </c>
      <c r="C5498" s="2" t="s">
        <v>52376</v>
      </c>
      <c r="D5498" s="2" t="s">
        <v>52377</v>
      </c>
      <c r="E5498" s="2" t="s">
        <v>52378</v>
      </c>
      <c r="G5498" s="3" t="s">
        <v>62</v>
      </c>
      <c r="I5498" s="3" t="s">
        <v>62</v>
      </c>
      <c r="J5498" s="3" t="s">
        <v>62</v>
      </c>
      <c r="K5498" s="3" t="s">
        <v>63</v>
      </c>
      <c r="L5498" s="2" t="s">
        <v>52379</v>
      </c>
      <c r="M5498" s="2" t="s">
        <v>52380</v>
      </c>
      <c r="N5498" s="3" t="s">
        <v>1639</v>
      </c>
      <c r="P5498" s="3" t="s">
        <v>64</v>
      </c>
      <c r="Q5498" s="2" t="s">
        <v>52381</v>
      </c>
      <c r="R5498" s="3" t="s">
        <v>52233</v>
      </c>
      <c r="S5498" s="4">
        <v>5</v>
      </c>
      <c r="T5498" s="4">
        <v>5</v>
      </c>
      <c r="U5498" s="5" t="s">
        <v>11465</v>
      </c>
      <c r="V5498" s="5" t="s">
        <v>11465</v>
      </c>
      <c r="W5498" s="5" t="s">
        <v>67</v>
      </c>
      <c r="X5498" s="5" t="s">
        <v>67</v>
      </c>
      <c r="Y5498" s="4">
        <v>178</v>
      </c>
      <c r="Z5498" s="4">
        <v>4</v>
      </c>
      <c r="AA5498" s="4">
        <v>11</v>
      </c>
      <c r="AB5498" s="4">
        <v>2</v>
      </c>
      <c r="AC5498" s="4">
        <v>3</v>
      </c>
      <c r="AD5498" s="4">
        <v>46</v>
      </c>
      <c r="AE5498" s="4">
        <v>60</v>
      </c>
      <c r="AF5498" s="4">
        <v>0</v>
      </c>
      <c r="AG5498" s="4">
        <v>1</v>
      </c>
      <c r="AH5498" s="4">
        <v>44</v>
      </c>
      <c r="AI5498" s="4">
        <v>55</v>
      </c>
      <c r="AJ5498" s="4">
        <v>2</v>
      </c>
      <c r="AK5498" s="4">
        <v>7</v>
      </c>
      <c r="AL5498" s="4">
        <v>25</v>
      </c>
      <c r="AM5498" s="4">
        <v>31</v>
      </c>
      <c r="AN5498" s="4">
        <v>0</v>
      </c>
      <c r="AO5498" s="4">
        <v>0</v>
      </c>
      <c r="AP5498" s="4">
        <v>2</v>
      </c>
      <c r="AQ5498" s="4">
        <v>7</v>
      </c>
      <c r="AR5498" s="3" t="s">
        <v>62</v>
      </c>
      <c r="AS5498" s="3" t="s">
        <v>62</v>
      </c>
      <c r="AT5498" s="3" t="s">
        <v>62</v>
      </c>
      <c r="AV5498" s="6" t="str">
        <f>HYPERLINK("http://mcgill.on.worldcat.org/oclc/80721","Catalog Record")</f>
        <v>Catalog Record</v>
      </c>
      <c r="AW5498" s="6" t="str">
        <f>HYPERLINK("http://www.worldcat.org/oclc/80721","WorldCat Record")</f>
        <v>WorldCat Record</v>
      </c>
      <c r="AX5498" s="3" t="s">
        <v>52382</v>
      </c>
      <c r="AY5498" s="3" t="s">
        <v>52383</v>
      </c>
      <c r="AZ5498" s="3" t="s">
        <v>52384</v>
      </c>
      <c r="BA5498" s="3" t="s">
        <v>52384</v>
      </c>
      <c r="BB5498" s="3" t="s">
        <v>52385</v>
      </c>
      <c r="BC5498" s="3" t="s">
        <v>102</v>
      </c>
      <c r="BD5498" s="3" t="s">
        <v>68</v>
      </c>
      <c r="BF5498" s="3" t="s">
        <v>52385</v>
      </c>
      <c r="BG5498" s="3" t="s">
        <v>52386</v>
      </c>
    </row>
    <row r="5499" spans="1:59" ht="101.5" x14ac:dyDescent="0.35">
      <c r="A5499" s="2" t="s">
        <v>89</v>
      </c>
      <c r="B5499" s="2" t="s">
        <v>12301</v>
      </c>
      <c r="C5499" s="2" t="s">
        <v>52387</v>
      </c>
      <c r="D5499" s="2" t="s">
        <v>52388</v>
      </c>
      <c r="E5499" s="2" t="s">
        <v>52389</v>
      </c>
      <c r="G5499" s="3" t="s">
        <v>62</v>
      </c>
      <c r="I5499" s="3" t="s">
        <v>61</v>
      </c>
      <c r="J5499" s="3" t="s">
        <v>61</v>
      </c>
      <c r="K5499" s="3" t="s">
        <v>63</v>
      </c>
      <c r="L5499" s="2" t="s">
        <v>52390</v>
      </c>
      <c r="M5499" s="2" t="s">
        <v>52391</v>
      </c>
      <c r="N5499" s="3" t="s">
        <v>1195</v>
      </c>
      <c r="O5499" s="2" t="s">
        <v>52392</v>
      </c>
      <c r="P5499" s="3" t="s">
        <v>64</v>
      </c>
      <c r="R5499" s="3" t="s">
        <v>52233</v>
      </c>
      <c r="S5499" s="4">
        <v>85</v>
      </c>
      <c r="T5499" s="4">
        <v>157</v>
      </c>
      <c r="U5499" s="5" t="s">
        <v>4211</v>
      </c>
      <c r="V5499" s="5" t="s">
        <v>4211</v>
      </c>
      <c r="W5499" s="5" t="s">
        <v>67</v>
      </c>
      <c r="X5499" s="5" t="s">
        <v>67</v>
      </c>
      <c r="Y5499" s="4">
        <v>816</v>
      </c>
      <c r="Z5499" s="4">
        <v>33</v>
      </c>
      <c r="AA5499" s="4">
        <v>129</v>
      </c>
      <c r="AB5499" s="4">
        <v>2</v>
      </c>
      <c r="AC5499" s="4">
        <v>33</v>
      </c>
      <c r="AD5499" s="4">
        <v>110</v>
      </c>
      <c r="AE5499" s="4">
        <v>163</v>
      </c>
      <c r="AF5499" s="4">
        <v>1</v>
      </c>
      <c r="AG5499" s="4">
        <v>7</v>
      </c>
      <c r="AH5499" s="4">
        <v>95</v>
      </c>
      <c r="AI5499" s="4">
        <v>117</v>
      </c>
      <c r="AJ5499" s="4">
        <v>15</v>
      </c>
      <c r="AK5499" s="4">
        <v>29</v>
      </c>
      <c r="AL5499" s="4">
        <v>50</v>
      </c>
      <c r="AM5499" s="4">
        <v>64</v>
      </c>
      <c r="AN5499" s="4">
        <v>0</v>
      </c>
      <c r="AO5499" s="4">
        <v>4</v>
      </c>
      <c r="AP5499" s="4">
        <v>22</v>
      </c>
      <c r="AQ5499" s="4">
        <v>50</v>
      </c>
      <c r="AR5499" s="3" t="s">
        <v>62</v>
      </c>
      <c r="AS5499" s="3" t="s">
        <v>62</v>
      </c>
      <c r="AT5499" s="3" t="s">
        <v>61</v>
      </c>
      <c r="AU5499" s="6" t="str">
        <f>HYPERLINK("http://catalog.hathitrust.org/Record/005057858","HathiTrust Record")</f>
        <v>HathiTrust Record</v>
      </c>
      <c r="AV5499" s="6" t="str">
        <f>HYPERLINK("http://mcgill.on.worldcat.org/oclc/56661571","Catalog Record")</f>
        <v>Catalog Record</v>
      </c>
      <c r="AW5499" s="6" t="str">
        <f>HYPERLINK("http://www.worldcat.org/oclc/56661571","WorldCat Record")</f>
        <v>WorldCat Record</v>
      </c>
      <c r="AX5499" s="3" t="s">
        <v>52393</v>
      </c>
      <c r="AY5499" s="3" t="s">
        <v>52394</v>
      </c>
      <c r="AZ5499" s="3" t="s">
        <v>52395</v>
      </c>
      <c r="BA5499" s="3" t="s">
        <v>52395</v>
      </c>
      <c r="BB5499" s="3" t="s">
        <v>52396</v>
      </c>
      <c r="BC5499" s="3" t="s">
        <v>102</v>
      </c>
      <c r="BD5499" s="3" t="s">
        <v>68</v>
      </c>
      <c r="BE5499" s="3" t="s">
        <v>52397</v>
      </c>
      <c r="BF5499" s="3" t="s">
        <v>52396</v>
      </c>
      <c r="BG5499" s="3" t="s">
        <v>52398</v>
      </c>
    </row>
    <row r="5500" spans="1:59" ht="101.5" x14ac:dyDescent="0.35">
      <c r="A5500" s="2" t="s">
        <v>89</v>
      </c>
      <c r="B5500" s="2" t="s">
        <v>12301</v>
      </c>
      <c r="C5500" s="2" t="s">
        <v>52387</v>
      </c>
      <c r="D5500" s="2" t="s">
        <v>52388</v>
      </c>
      <c r="E5500" s="2" t="s">
        <v>52389</v>
      </c>
      <c r="G5500" s="3" t="s">
        <v>62</v>
      </c>
      <c r="I5500" s="3" t="s">
        <v>61</v>
      </c>
      <c r="J5500" s="3" t="s">
        <v>61</v>
      </c>
      <c r="K5500" s="3" t="s">
        <v>63</v>
      </c>
      <c r="L5500" s="2" t="s">
        <v>52390</v>
      </c>
      <c r="M5500" s="2" t="s">
        <v>52391</v>
      </c>
      <c r="N5500" s="3" t="s">
        <v>1195</v>
      </c>
      <c r="O5500" s="2" t="s">
        <v>52392</v>
      </c>
      <c r="P5500" s="3" t="s">
        <v>64</v>
      </c>
      <c r="R5500" s="3" t="s">
        <v>52233</v>
      </c>
      <c r="S5500" s="4">
        <v>72</v>
      </c>
      <c r="T5500" s="4">
        <v>157</v>
      </c>
      <c r="U5500" s="5" t="s">
        <v>19762</v>
      </c>
      <c r="V5500" s="5" t="s">
        <v>4211</v>
      </c>
      <c r="W5500" s="5" t="s">
        <v>67</v>
      </c>
      <c r="X5500" s="5" t="s">
        <v>67</v>
      </c>
      <c r="Y5500" s="4">
        <v>816</v>
      </c>
      <c r="Z5500" s="4">
        <v>33</v>
      </c>
      <c r="AA5500" s="4">
        <v>129</v>
      </c>
      <c r="AB5500" s="4">
        <v>2</v>
      </c>
      <c r="AC5500" s="4">
        <v>33</v>
      </c>
      <c r="AD5500" s="4">
        <v>110</v>
      </c>
      <c r="AE5500" s="4">
        <v>163</v>
      </c>
      <c r="AF5500" s="4">
        <v>1</v>
      </c>
      <c r="AG5500" s="4">
        <v>7</v>
      </c>
      <c r="AH5500" s="4">
        <v>95</v>
      </c>
      <c r="AI5500" s="4">
        <v>117</v>
      </c>
      <c r="AJ5500" s="4">
        <v>15</v>
      </c>
      <c r="AK5500" s="4">
        <v>29</v>
      </c>
      <c r="AL5500" s="4">
        <v>50</v>
      </c>
      <c r="AM5500" s="4">
        <v>64</v>
      </c>
      <c r="AN5500" s="4">
        <v>0</v>
      </c>
      <c r="AO5500" s="4">
        <v>4</v>
      </c>
      <c r="AP5500" s="4">
        <v>22</v>
      </c>
      <c r="AQ5500" s="4">
        <v>50</v>
      </c>
      <c r="AR5500" s="3" t="s">
        <v>62</v>
      </c>
      <c r="AS5500" s="3" t="s">
        <v>62</v>
      </c>
      <c r="AT5500" s="3" t="s">
        <v>61</v>
      </c>
      <c r="AU5500" s="6" t="str">
        <f>HYPERLINK("http://catalog.hathitrust.org/Record/005057858","HathiTrust Record")</f>
        <v>HathiTrust Record</v>
      </c>
      <c r="AV5500" s="6" t="str">
        <f>HYPERLINK("http://mcgill.on.worldcat.org/oclc/56661571","Catalog Record")</f>
        <v>Catalog Record</v>
      </c>
      <c r="AW5500" s="6" t="str">
        <f>HYPERLINK("http://www.worldcat.org/oclc/56661571","WorldCat Record")</f>
        <v>WorldCat Record</v>
      </c>
      <c r="AX5500" s="3" t="s">
        <v>52393</v>
      </c>
      <c r="AY5500" s="3" t="s">
        <v>52394</v>
      </c>
      <c r="AZ5500" s="3" t="s">
        <v>52395</v>
      </c>
      <c r="BA5500" s="3" t="s">
        <v>52395</v>
      </c>
      <c r="BB5500" s="3" t="s">
        <v>52399</v>
      </c>
      <c r="BC5500" s="3" t="s">
        <v>102</v>
      </c>
      <c r="BD5500" s="3" t="s">
        <v>68</v>
      </c>
      <c r="BE5500" s="3" t="s">
        <v>52397</v>
      </c>
      <c r="BF5500" s="3" t="s">
        <v>52399</v>
      </c>
      <c r="BG5500" s="3" t="s">
        <v>52400</v>
      </c>
    </row>
    <row r="5501" spans="1:59" ht="58" x14ac:dyDescent="0.35">
      <c r="A5501" s="2" t="s">
        <v>89</v>
      </c>
      <c r="B5501" s="2" t="s">
        <v>90</v>
      </c>
      <c r="C5501" s="2" t="s">
        <v>52401</v>
      </c>
      <c r="D5501" s="2" t="s">
        <v>52402</v>
      </c>
      <c r="E5501" s="2" t="s">
        <v>52403</v>
      </c>
      <c r="G5501" s="3" t="s">
        <v>62</v>
      </c>
      <c r="I5501" s="3" t="s">
        <v>61</v>
      </c>
      <c r="J5501" s="3" t="s">
        <v>61</v>
      </c>
      <c r="K5501" s="3" t="s">
        <v>63</v>
      </c>
      <c r="L5501" s="2" t="s">
        <v>52404</v>
      </c>
      <c r="M5501" s="2" t="s">
        <v>52405</v>
      </c>
      <c r="N5501" s="3" t="s">
        <v>684</v>
      </c>
      <c r="O5501" s="2" t="s">
        <v>52406</v>
      </c>
      <c r="P5501" s="3" t="s">
        <v>64</v>
      </c>
      <c r="R5501" s="3" t="s">
        <v>52233</v>
      </c>
      <c r="S5501" s="4">
        <v>25</v>
      </c>
      <c r="T5501" s="4">
        <v>25</v>
      </c>
      <c r="U5501" s="5" t="s">
        <v>10699</v>
      </c>
      <c r="V5501" s="5" t="s">
        <v>10699</v>
      </c>
      <c r="W5501" s="5" t="s">
        <v>67</v>
      </c>
      <c r="X5501" s="5" t="s">
        <v>67</v>
      </c>
      <c r="Y5501" s="4">
        <v>628</v>
      </c>
      <c r="Z5501" s="4">
        <v>29</v>
      </c>
      <c r="AA5501" s="4">
        <v>129</v>
      </c>
      <c r="AB5501" s="4">
        <v>3</v>
      </c>
      <c r="AC5501" s="4">
        <v>33</v>
      </c>
      <c r="AD5501" s="4">
        <v>98</v>
      </c>
      <c r="AE5501" s="4">
        <v>163</v>
      </c>
      <c r="AF5501" s="4">
        <v>1</v>
      </c>
      <c r="AG5501" s="4">
        <v>7</v>
      </c>
      <c r="AH5501" s="4">
        <v>84</v>
      </c>
      <c r="AI5501" s="4">
        <v>117</v>
      </c>
      <c r="AJ5501" s="4">
        <v>15</v>
      </c>
      <c r="AK5501" s="4">
        <v>29</v>
      </c>
      <c r="AL5501" s="4">
        <v>45</v>
      </c>
      <c r="AM5501" s="4">
        <v>64</v>
      </c>
      <c r="AN5501" s="4">
        <v>0</v>
      </c>
      <c r="AO5501" s="4">
        <v>4</v>
      </c>
      <c r="AP5501" s="4">
        <v>20</v>
      </c>
      <c r="AQ5501" s="4">
        <v>50</v>
      </c>
      <c r="AR5501" s="3" t="s">
        <v>62</v>
      </c>
      <c r="AS5501" s="3" t="s">
        <v>62</v>
      </c>
      <c r="AT5501" s="3" t="s">
        <v>62</v>
      </c>
      <c r="AV5501" s="6" t="str">
        <f>HYPERLINK("http://mcgill.on.worldcat.org/oclc/434319356","Catalog Record")</f>
        <v>Catalog Record</v>
      </c>
      <c r="AW5501" s="6" t="str">
        <f>HYPERLINK("http://www.worldcat.org/oclc/434319356","WorldCat Record")</f>
        <v>WorldCat Record</v>
      </c>
      <c r="AX5501" s="3" t="s">
        <v>52393</v>
      </c>
      <c r="AY5501" s="3" t="s">
        <v>52407</v>
      </c>
      <c r="AZ5501" s="3" t="s">
        <v>52408</v>
      </c>
      <c r="BA5501" s="3" t="s">
        <v>52408</v>
      </c>
      <c r="BB5501" s="3" t="s">
        <v>52409</v>
      </c>
      <c r="BC5501" s="3" t="s">
        <v>102</v>
      </c>
      <c r="BD5501" s="3" t="s">
        <v>68</v>
      </c>
      <c r="BE5501" s="3" t="s">
        <v>52410</v>
      </c>
      <c r="BF5501" s="3" t="s">
        <v>52409</v>
      </c>
      <c r="BG5501" s="3" t="s">
        <v>52411</v>
      </c>
    </row>
    <row r="5502" spans="1:59" ht="145" x14ac:dyDescent="0.35">
      <c r="A5502" s="2" t="s">
        <v>89</v>
      </c>
      <c r="B5502" s="2" t="s">
        <v>12301</v>
      </c>
      <c r="C5502" s="2" t="s">
        <v>52412</v>
      </c>
      <c r="D5502" s="2" t="s">
        <v>52413</v>
      </c>
      <c r="E5502" s="2" t="s">
        <v>52414</v>
      </c>
      <c r="G5502" s="3" t="s">
        <v>62</v>
      </c>
      <c r="I5502" s="3" t="s">
        <v>61</v>
      </c>
      <c r="J5502" s="3" t="s">
        <v>61</v>
      </c>
      <c r="K5502" s="3" t="s">
        <v>63</v>
      </c>
      <c r="M5502" s="2" t="s">
        <v>52415</v>
      </c>
      <c r="N5502" s="3" t="s">
        <v>698</v>
      </c>
      <c r="O5502" s="2" t="s">
        <v>52416</v>
      </c>
      <c r="P5502" s="3" t="s">
        <v>64</v>
      </c>
      <c r="R5502" s="3" t="s">
        <v>52233</v>
      </c>
      <c r="S5502" s="4">
        <v>11</v>
      </c>
      <c r="T5502" s="4">
        <v>11</v>
      </c>
      <c r="U5502" s="5" t="s">
        <v>45043</v>
      </c>
      <c r="V5502" s="5" t="s">
        <v>45043</v>
      </c>
      <c r="W5502" s="5" t="s">
        <v>67</v>
      </c>
      <c r="X5502" s="5" t="s">
        <v>67</v>
      </c>
      <c r="Y5502" s="4">
        <v>246</v>
      </c>
      <c r="Z5502" s="4">
        <v>19</v>
      </c>
      <c r="AA5502" s="4">
        <v>49</v>
      </c>
      <c r="AB5502" s="4">
        <v>2</v>
      </c>
      <c r="AC5502" s="4">
        <v>9</v>
      </c>
      <c r="AD5502" s="4">
        <v>59</v>
      </c>
      <c r="AE5502" s="4">
        <v>121</v>
      </c>
      <c r="AF5502" s="4">
        <v>0</v>
      </c>
      <c r="AG5502" s="4">
        <v>5</v>
      </c>
      <c r="AH5502" s="4">
        <v>49</v>
      </c>
      <c r="AI5502" s="4">
        <v>101</v>
      </c>
      <c r="AJ5502" s="4">
        <v>9</v>
      </c>
      <c r="AK5502" s="4">
        <v>21</v>
      </c>
      <c r="AL5502" s="4">
        <v>27</v>
      </c>
      <c r="AM5502" s="4">
        <v>51</v>
      </c>
      <c r="AN5502" s="4">
        <v>0</v>
      </c>
      <c r="AO5502" s="4">
        <v>0</v>
      </c>
      <c r="AP5502" s="4">
        <v>15</v>
      </c>
      <c r="AQ5502" s="4">
        <v>30</v>
      </c>
      <c r="AR5502" s="3" t="s">
        <v>62</v>
      </c>
      <c r="AS5502" s="3" t="s">
        <v>62</v>
      </c>
      <c r="AT5502" s="3" t="s">
        <v>62</v>
      </c>
      <c r="AV5502" s="6" t="str">
        <f>HYPERLINK("http://mcgill.on.worldcat.org/oclc/756281854","Catalog Record")</f>
        <v>Catalog Record</v>
      </c>
      <c r="AW5502" s="6" t="str">
        <f>HYPERLINK("http://www.worldcat.org/oclc/756281854","WorldCat Record")</f>
        <v>WorldCat Record</v>
      </c>
      <c r="AX5502" s="3" t="s">
        <v>52417</v>
      </c>
      <c r="AY5502" s="3" t="s">
        <v>52418</v>
      </c>
      <c r="AZ5502" s="3" t="s">
        <v>52419</v>
      </c>
      <c r="BA5502" s="3" t="s">
        <v>52419</v>
      </c>
      <c r="BB5502" s="3" t="s">
        <v>52420</v>
      </c>
      <c r="BC5502" s="3" t="s">
        <v>102</v>
      </c>
      <c r="BD5502" s="3" t="s">
        <v>68</v>
      </c>
      <c r="BE5502" s="3" t="s">
        <v>52421</v>
      </c>
      <c r="BF5502" s="3" t="s">
        <v>52420</v>
      </c>
      <c r="BG5502" s="3" t="s">
        <v>52422</v>
      </c>
    </row>
    <row r="5503" spans="1:59" ht="101.5" x14ac:dyDescent="0.35">
      <c r="A5503" s="2" t="s">
        <v>89</v>
      </c>
      <c r="B5503" s="2" t="s">
        <v>12301</v>
      </c>
      <c r="C5503" s="2" t="s">
        <v>52423</v>
      </c>
      <c r="D5503" s="2" t="s">
        <v>52424</v>
      </c>
      <c r="E5503" s="2" t="s">
        <v>52425</v>
      </c>
      <c r="G5503" s="3" t="s">
        <v>62</v>
      </c>
      <c r="I5503" s="3" t="s">
        <v>61</v>
      </c>
      <c r="J5503" s="3" t="s">
        <v>61</v>
      </c>
      <c r="K5503" s="3" t="s">
        <v>63</v>
      </c>
      <c r="L5503" s="2" t="s">
        <v>52426</v>
      </c>
      <c r="M5503" s="2" t="s">
        <v>21665</v>
      </c>
      <c r="N5503" s="3" t="s">
        <v>684</v>
      </c>
      <c r="O5503" s="2" t="s">
        <v>52427</v>
      </c>
      <c r="P5503" s="3" t="s">
        <v>64</v>
      </c>
      <c r="R5503" s="3" t="s">
        <v>52233</v>
      </c>
      <c r="S5503" s="4">
        <v>79</v>
      </c>
      <c r="T5503" s="4">
        <v>159</v>
      </c>
      <c r="U5503" s="5" t="s">
        <v>8815</v>
      </c>
      <c r="V5503" s="5" t="s">
        <v>8815</v>
      </c>
      <c r="W5503" s="5" t="s">
        <v>67</v>
      </c>
      <c r="X5503" s="5" t="s">
        <v>67</v>
      </c>
      <c r="Y5503" s="4">
        <v>204</v>
      </c>
      <c r="Z5503" s="4">
        <v>13</v>
      </c>
      <c r="AA5503" s="4">
        <v>57</v>
      </c>
      <c r="AB5503" s="4">
        <v>1</v>
      </c>
      <c r="AC5503" s="4">
        <v>12</v>
      </c>
      <c r="AD5503" s="4">
        <v>47</v>
      </c>
      <c r="AE5503" s="4">
        <v>108</v>
      </c>
      <c r="AF5503" s="4">
        <v>0</v>
      </c>
      <c r="AG5503" s="4">
        <v>5</v>
      </c>
      <c r="AH5503" s="4">
        <v>42</v>
      </c>
      <c r="AI5503" s="4">
        <v>85</v>
      </c>
      <c r="AJ5503" s="4">
        <v>10</v>
      </c>
      <c r="AK5503" s="4">
        <v>22</v>
      </c>
      <c r="AL5503" s="4">
        <v>26</v>
      </c>
      <c r="AM5503" s="4">
        <v>46</v>
      </c>
      <c r="AN5503" s="4">
        <v>0</v>
      </c>
      <c r="AO5503" s="4">
        <v>0</v>
      </c>
      <c r="AP5503" s="4">
        <v>10</v>
      </c>
      <c r="AQ5503" s="4">
        <v>32</v>
      </c>
      <c r="AR5503" s="3" t="s">
        <v>62</v>
      </c>
      <c r="AS5503" s="3" t="s">
        <v>62</v>
      </c>
      <c r="AT5503" s="3" t="s">
        <v>62</v>
      </c>
      <c r="AV5503" s="6" t="str">
        <f>HYPERLINK("http://mcgill.on.worldcat.org/oclc/496955848","Catalog Record")</f>
        <v>Catalog Record</v>
      </c>
      <c r="AW5503" s="6" t="str">
        <f>HYPERLINK("http://www.worldcat.org/oclc/496955848","WorldCat Record")</f>
        <v>WorldCat Record</v>
      </c>
      <c r="AX5503" s="3" t="s">
        <v>52428</v>
      </c>
      <c r="AY5503" s="3" t="s">
        <v>52429</v>
      </c>
      <c r="AZ5503" s="3" t="s">
        <v>52430</v>
      </c>
      <c r="BA5503" s="3" t="s">
        <v>52430</v>
      </c>
      <c r="BB5503" s="3" t="s">
        <v>52431</v>
      </c>
      <c r="BC5503" s="3" t="s">
        <v>102</v>
      </c>
      <c r="BD5503" s="3" t="s">
        <v>68</v>
      </c>
      <c r="BE5503" s="3" t="s">
        <v>52432</v>
      </c>
      <c r="BF5503" s="3" t="s">
        <v>52431</v>
      </c>
      <c r="BG5503" s="3" t="s">
        <v>52433</v>
      </c>
    </row>
    <row r="5504" spans="1:59" ht="101.5" x14ac:dyDescent="0.35">
      <c r="A5504" s="2" t="s">
        <v>89</v>
      </c>
      <c r="B5504" s="2" t="s">
        <v>90</v>
      </c>
      <c r="C5504" s="2" t="s">
        <v>52423</v>
      </c>
      <c r="D5504" s="2" t="s">
        <v>52424</v>
      </c>
      <c r="E5504" s="2" t="s">
        <v>52425</v>
      </c>
      <c r="G5504" s="3" t="s">
        <v>62</v>
      </c>
      <c r="I5504" s="3" t="s">
        <v>61</v>
      </c>
      <c r="J5504" s="3" t="s">
        <v>61</v>
      </c>
      <c r="K5504" s="3" t="s">
        <v>63</v>
      </c>
      <c r="L5504" s="2" t="s">
        <v>52426</v>
      </c>
      <c r="M5504" s="2" t="s">
        <v>21665</v>
      </c>
      <c r="N5504" s="3" t="s">
        <v>684</v>
      </c>
      <c r="O5504" s="2" t="s">
        <v>52427</v>
      </c>
      <c r="P5504" s="3" t="s">
        <v>64</v>
      </c>
      <c r="R5504" s="3" t="s">
        <v>52233</v>
      </c>
      <c r="S5504" s="4">
        <v>80</v>
      </c>
      <c r="T5504" s="4">
        <v>159</v>
      </c>
      <c r="U5504" s="5" t="s">
        <v>8699</v>
      </c>
      <c r="V5504" s="5" t="s">
        <v>8815</v>
      </c>
      <c r="W5504" s="5" t="s">
        <v>67</v>
      </c>
      <c r="X5504" s="5" t="s">
        <v>67</v>
      </c>
      <c r="Y5504" s="4">
        <v>204</v>
      </c>
      <c r="Z5504" s="4">
        <v>13</v>
      </c>
      <c r="AA5504" s="4">
        <v>57</v>
      </c>
      <c r="AB5504" s="4">
        <v>1</v>
      </c>
      <c r="AC5504" s="4">
        <v>12</v>
      </c>
      <c r="AD5504" s="4">
        <v>47</v>
      </c>
      <c r="AE5504" s="4">
        <v>108</v>
      </c>
      <c r="AF5504" s="4">
        <v>0</v>
      </c>
      <c r="AG5504" s="4">
        <v>5</v>
      </c>
      <c r="AH5504" s="4">
        <v>42</v>
      </c>
      <c r="AI5504" s="4">
        <v>85</v>
      </c>
      <c r="AJ5504" s="4">
        <v>10</v>
      </c>
      <c r="AK5504" s="4">
        <v>22</v>
      </c>
      <c r="AL5504" s="4">
        <v>26</v>
      </c>
      <c r="AM5504" s="4">
        <v>46</v>
      </c>
      <c r="AN5504" s="4">
        <v>0</v>
      </c>
      <c r="AO5504" s="4">
        <v>0</v>
      </c>
      <c r="AP5504" s="4">
        <v>10</v>
      </c>
      <c r="AQ5504" s="4">
        <v>32</v>
      </c>
      <c r="AR5504" s="3" t="s">
        <v>62</v>
      </c>
      <c r="AS5504" s="3" t="s">
        <v>62</v>
      </c>
      <c r="AT5504" s="3" t="s">
        <v>62</v>
      </c>
      <c r="AV5504" s="6" t="str">
        <f>HYPERLINK("http://mcgill.on.worldcat.org/oclc/496955848","Catalog Record")</f>
        <v>Catalog Record</v>
      </c>
      <c r="AW5504" s="6" t="str">
        <f>HYPERLINK("http://www.worldcat.org/oclc/496955848","WorldCat Record")</f>
        <v>WorldCat Record</v>
      </c>
      <c r="AX5504" s="3" t="s">
        <v>52428</v>
      </c>
      <c r="AY5504" s="3" t="s">
        <v>52429</v>
      </c>
      <c r="AZ5504" s="3" t="s">
        <v>52430</v>
      </c>
      <c r="BA5504" s="3" t="s">
        <v>52430</v>
      </c>
      <c r="BB5504" s="3" t="s">
        <v>52434</v>
      </c>
      <c r="BC5504" s="3" t="s">
        <v>102</v>
      </c>
      <c r="BD5504" s="3" t="s">
        <v>68</v>
      </c>
      <c r="BE5504" s="3" t="s">
        <v>52432</v>
      </c>
      <c r="BF5504" s="3" t="s">
        <v>52434</v>
      </c>
      <c r="BG5504" s="3" t="s">
        <v>52435</v>
      </c>
    </row>
    <row r="5505" spans="1:59" ht="101.5" x14ac:dyDescent="0.35">
      <c r="A5505" s="2" t="s">
        <v>89</v>
      </c>
      <c r="B5505" s="2" t="s">
        <v>12301</v>
      </c>
      <c r="C5505" s="2" t="s">
        <v>52436</v>
      </c>
      <c r="D5505" s="2" t="s">
        <v>52437</v>
      </c>
      <c r="E5505" s="2" t="s">
        <v>52438</v>
      </c>
      <c r="G5505" s="3" t="s">
        <v>62</v>
      </c>
      <c r="I5505" s="3" t="s">
        <v>61</v>
      </c>
      <c r="J5505" s="3" t="s">
        <v>61</v>
      </c>
      <c r="K5505" s="3" t="s">
        <v>63</v>
      </c>
      <c r="L5505" s="2" t="s">
        <v>52426</v>
      </c>
      <c r="M5505" s="2" t="s">
        <v>52439</v>
      </c>
      <c r="N5505" s="3" t="s">
        <v>1038</v>
      </c>
      <c r="O5505" s="2" t="s">
        <v>51857</v>
      </c>
      <c r="P5505" s="3" t="s">
        <v>64</v>
      </c>
      <c r="R5505" s="3" t="s">
        <v>52233</v>
      </c>
      <c r="S5505" s="4">
        <v>80</v>
      </c>
      <c r="T5505" s="4">
        <v>242</v>
      </c>
      <c r="U5505" s="5" t="s">
        <v>14499</v>
      </c>
      <c r="V5505" s="5" t="s">
        <v>15935</v>
      </c>
      <c r="W5505" s="5" t="s">
        <v>67</v>
      </c>
      <c r="X5505" s="5" t="s">
        <v>67</v>
      </c>
      <c r="Y5505" s="4">
        <v>62</v>
      </c>
      <c r="Z5505" s="4">
        <v>4</v>
      </c>
      <c r="AA5505" s="4">
        <v>57</v>
      </c>
      <c r="AB5505" s="4">
        <v>1</v>
      </c>
      <c r="AC5505" s="4">
        <v>12</v>
      </c>
      <c r="AD5505" s="4">
        <v>12</v>
      </c>
      <c r="AE5505" s="4">
        <v>108</v>
      </c>
      <c r="AF5505" s="4">
        <v>0</v>
      </c>
      <c r="AG5505" s="4">
        <v>5</v>
      </c>
      <c r="AH5505" s="4">
        <v>11</v>
      </c>
      <c r="AI5505" s="4">
        <v>85</v>
      </c>
      <c r="AJ5505" s="4">
        <v>3</v>
      </c>
      <c r="AK5505" s="4">
        <v>22</v>
      </c>
      <c r="AL5505" s="4">
        <v>6</v>
      </c>
      <c r="AM5505" s="4">
        <v>46</v>
      </c>
      <c r="AN5505" s="4">
        <v>0</v>
      </c>
      <c r="AO5505" s="4">
        <v>0</v>
      </c>
      <c r="AP5505" s="4">
        <v>3</v>
      </c>
      <c r="AQ5505" s="4">
        <v>32</v>
      </c>
      <c r="AR5505" s="3" t="s">
        <v>62</v>
      </c>
      <c r="AS5505" s="3" t="s">
        <v>62</v>
      </c>
      <c r="AT5505" s="3" t="s">
        <v>62</v>
      </c>
      <c r="AV5505" s="6" t="str">
        <f>HYPERLINK("http://mcgill.on.worldcat.org/oclc/914339346","Catalog Record")</f>
        <v>Catalog Record</v>
      </c>
      <c r="AW5505" s="6" t="str">
        <f>HYPERLINK("http://www.worldcat.org/oclc/914339346","WorldCat Record")</f>
        <v>WorldCat Record</v>
      </c>
      <c r="AX5505" s="3" t="s">
        <v>52428</v>
      </c>
      <c r="AY5505" s="3" t="s">
        <v>52440</v>
      </c>
      <c r="AZ5505" s="3" t="s">
        <v>52441</v>
      </c>
      <c r="BA5505" s="3" t="s">
        <v>52441</v>
      </c>
      <c r="BB5505" s="3" t="s">
        <v>52442</v>
      </c>
      <c r="BC5505" s="3" t="s">
        <v>102</v>
      </c>
      <c r="BD5505" s="3" t="s">
        <v>68</v>
      </c>
      <c r="BE5505" s="3" t="s">
        <v>52443</v>
      </c>
      <c r="BF5505" s="3" t="s">
        <v>52442</v>
      </c>
      <c r="BG5505" s="3" t="s">
        <v>52444</v>
      </c>
    </row>
    <row r="5506" spans="1:59" ht="101.5" x14ac:dyDescent="0.35">
      <c r="A5506" s="2" t="s">
        <v>89</v>
      </c>
      <c r="B5506" s="2" t="s">
        <v>12301</v>
      </c>
      <c r="C5506" s="2" t="s">
        <v>52436</v>
      </c>
      <c r="D5506" s="2" t="s">
        <v>52437</v>
      </c>
      <c r="E5506" s="2" t="s">
        <v>52438</v>
      </c>
      <c r="G5506" s="3" t="s">
        <v>62</v>
      </c>
      <c r="I5506" s="3" t="s">
        <v>61</v>
      </c>
      <c r="J5506" s="3" t="s">
        <v>61</v>
      </c>
      <c r="K5506" s="3" t="s">
        <v>63</v>
      </c>
      <c r="L5506" s="2" t="s">
        <v>52426</v>
      </c>
      <c r="M5506" s="2" t="s">
        <v>52439</v>
      </c>
      <c r="N5506" s="3" t="s">
        <v>1038</v>
      </c>
      <c r="O5506" s="2" t="s">
        <v>51857</v>
      </c>
      <c r="P5506" s="3" t="s">
        <v>64</v>
      </c>
      <c r="R5506" s="3" t="s">
        <v>52233</v>
      </c>
      <c r="S5506" s="4">
        <v>33</v>
      </c>
      <c r="T5506" s="4">
        <v>242</v>
      </c>
      <c r="U5506" s="5" t="s">
        <v>16074</v>
      </c>
      <c r="V5506" s="5" t="s">
        <v>15935</v>
      </c>
      <c r="W5506" s="5" t="s">
        <v>67</v>
      </c>
      <c r="X5506" s="5" t="s">
        <v>67</v>
      </c>
      <c r="Y5506" s="4">
        <v>62</v>
      </c>
      <c r="Z5506" s="4">
        <v>4</v>
      </c>
      <c r="AA5506" s="4">
        <v>57</v>
      </c>
      <c r="AB5506" s="4">
        <v>1</v>
      </c>
      <c r="AC5506" s="4">
        <v>12</v>
      </c>
      <c r="AD5506" s="4">
        <v>12</v>
      </c>
      <c r="AE5506" s="4">
        <v>108</v>
      </c>
      <c r="AF5506" s="4">
        <v>0</v>
      </c>
      <c r="AG5506" s="4">
        <v>5</v>
      </c>
      <c r="AH5506" s="4">
        <v>11</v>
      </c>
      <c r="AI5506" s="4">
        <v>85</v>
      </c>
      <c r="AJ5506" s="4">
        <v>3</v>
      </c>
      <c r="AK5506" s="4">
        <v>22</v>
      </c>
      <c r="AL5506" s="4">
        <v>6</v>
      </c>
      <c r="AM5506" s="4">
        <v>46</v>
      </c>
      <c r="AN5506" s="4">
        <v>0</v>
      </c>
      <c r="AO5506" s="4">
        <v>0</v>
      </c>
      <c r="AP5506" s="4">
        <v>3</v>
      </c>
      <c r="AQ5506" s="4">
        <v>32</v>
      </c>
      <c r="AR5506" s="3" t="s">
        <v>62</v>
      </c>
      <c r="AS5506" s="3" t="s">
        <v>62</v>
      </c>
      <c r="AT5506" s="3" t="s">
        <v>62</v>
      </c>
      <c r="AV5506" s="6" t="str">
        <f>HYPERLINK("http://mcgill.on.worldcat.org/oclc/914339346","Catalog Record")</f>
        <v>Catalog Record</v>
      </c>
      <c r="AW5506" s="6" t="str">
        <f>HYPERLINK("http://www.worldcat.org/oclc/914339346","WorldCat Record")</f>
        <v>WorldCat Record</v>
      </c>
      <c r="AX5506" s="3" t="s">
        <v>52428</v>
      </c>
      <c r="AY5506" s="3" t="s">
        <v>52440</v>
      </c>
      <c r="AZ5506" s="3" t="s">
        <v>52441</v>
      </c>
      <c r="BA5506" s="3" t="s">
        <v>52441</v>
      </c>
      <c r="BB5506" s="3" t="s">
        <v>52445</v>
      </c>
      <c r="BC5506" s="3" t="s">
        <v>102</v>
      </c>
      <c r="BD5506" s="3" t="s">
        <v>68</v>
      </c>
      <c r="BE5506" s="3" t="s">
        <v>52443</v>
      </c>
      <c r="BF5506" s="3" t="s">
        <v>52445</v>
      </c>
      <c r="BG5506" s="3" t="s">
        <v>52446</v>
      </c>
    </row>
    <row r="5507" spans="1:59" ht="101.5" x14ac:dyDescent="0.35">
      <c r="A5507" s="2" t="s">
        <v>89</v>
      </c>
      <c r="B5507" s="2" t="s">
        <v>12301</v>
      </c>
      <c r="C5507" s="2" t="s">
        <v>52436</v>
      </c>
      <c r="D5507" s="2" t="s">
        <v>52437</v>
      </c>
      <c r="E5507" s="2" t="s">
        <v>52438</v>
      </c>
      <c r="G5507" s="3" t="s">
        <v>62</v>
      </c>
      <c r="I5507" s="3" t="s">
        <v>61</v>
      </c>
      <c r="J5507" s="3" t="s">
        <v>61</v>
      </c>
      <c r="K5507" s="3" t="s">
        <v>63</v>
      </c>
      <c r="L5507" s="2" t="s">
        <v>52426</v>
      </c>
      <c r="M5507" s="2" t="s">
        <v>52439</v>
      </c>
      <c r="N5507" s="3" t="s">
        <v>1038</v>
      </c>
      <c r="O5507" s="2" t="s">
        <v>51857</v>
      </c>
      <c r="P5507" s="3" t="s">
        <v>64</v>
      </c>
      <c r="R5507" s="3" t="s">
        <v>52233</v>
      </c>
      <c r="S5507" s="4">
        <v>40</v>
      </c>
      <c r="T5507" s="4">
        <v>242</v>
      </c>
      <c r="U5507" s="5" t="s">
        <v>173</v>
      </c>
      <c r="V5507" s="5" t="s">
        <v>15935</v>
      </c>
      <c r="W5507" s="5" t="s">
        <v>67</v>
      </c>
      <c r="X5507" s="5" t="s">
        <v>67</v>
      </c>
      <c r="Y5507" s="4">
        <v>62</v>
      </c>
      <c r="Z5507" s="4">
        <v>4</v>
      </c>
      <c r="AA5507" s="4">
        <v>57</v>
      </c>
      <c r="AB5507" s="4">
        <v>1</v>
      </c>
      <c r="AC5507" s="4">
        <v>12</v>
      </c>
      <c r="AD5507" s="4">
        <v>12</v>
      </c>
      <c r="AE5507" s="4">
        <v>108</v>
      </c>
      <c r="AF5507" s="4">
        <v>0</v>
      </c>
      <c r="AG5507" s="4">
        <v>5</v>
      </c>
      <c r="AH5507" s="4">
        <v>11</v>
      </c>
      <c r="AI5507" s="4">
        <v>85</v>
      </c>
      <c r="AJ5507" s="4">
        <v>3</v>
      </c>
      <c r="AK5507" s="4">
        <v>22</v>
      </c>
      <c r="AL5507" s="4">
        <v>6</v>
      </c>
      <c r="AM5507" s="4">
        <v>46</v>
      </c>
      <c r="AN5507" s="4">
        <v>0</v>
      </c>
      <c r="AO5507" s="4">
        <v>0</v>
      </c>
      <c r="AP5507" s="4">
        <v>3</v>
      </c>
      <c r="AQ5507" s="4">
        <v>32</v>
      </c>
      <c r="AR5507" s="3" t="s">
        <v>62</v>
      </c>
      <c r="AS5507" s="3" t="s">
        <v>62</v>
      </c>
      <c r="AT5507" s="3" t="s">
        <v>62</v>
      </c>
      <c r="AV5507" s="6" t="str">
        <f>HYPERLINK("http://mcgill.on.worldcat.org/oclc/914339346","Catalog Record")</f>
        <v>Catalog Record</v>
      </c>
      <c r="AW5507" s="6" t="str">
        <f>HYPERLINK("http://www.worldcat.org/oclc/914339346","WorldCat Record")</f>
        <v>WorldCat Record</v>
      </c>
      <c r="AX5507" s="3" t="s">
        <v>52428</v>
      </c>
      <c r="AY5507" s="3" t="s">
        <v>52440</v>
      </c>
      <c r="AZ5507" s="3" t="s">
        <v>52441</v>
      </c>
      <c r="BA5507" s="3" t="s">
        <v>52441</v>
      </c>
      <c r="BB5507" s="3" t="s">
        <v>52447</v>
      </c>
      <c r="BC5507" s="3" t="s">
        <v>102</v>
      </c>
      <c r="BD5507" s="3" t="s">
        <v>68</v>
      </c>
      <c r="BE5507" s="3" t="s">
        <v>52443</v>
      </c>
      <c r="BF5507" s="3" t="s">
        <v>52447</v>
      </c>
      <c r="BG5507" s="3" t="s">
        <v>52448</v>
      </c>
    </row>
    <row r="5508" spans="1:59" ht="101.5" x14ac:dyDescent="0.35">
      <c r="A5508" s="2" t="s">
        <v>89</v>
      </c>
      <c r="B5508" s="2" t="s">
        <v>12301</v>
      </c>
      <c r="C5508" s="2" t="s">
        <v>52436</v>
      </c>
      <c r="D5508" s="2" t="s">
        <v>52437</v>
      </c>
      <c r="E5508" s="2" t="s">
        <v>52438</v>
      </c>
      <c r="G5508" s="3" t="s">
        <v>62</v>
      </c>
      <c r="I5508" s="3" t="s">
        <v>61</v>
      </c>
      <c r="J5508" s="3" t="s">
        <v>61</v>
      </c>
      <c r="K5508" s="3" t="s">
        <v>63</v>
      </c>
      <c r="L5508" s="2" t="s">
        <v>52426</v>
      </c>
      <c r="M5508" s="2" t="s">
        <v>52439</v>
      </c>
      <c r="N5508" s="3" t="s">
        <v>1038</v>
      </c>
      <c r="O5508" s="2" t="s">
        <v>51857</v>
      </c>
      <c r="P5508" s="3" t="s">
        <v>64</v>
      </c>
      <c r="R5508" s="3" t="s">
        <v>52233</v>
      </c>
      <c r="S5508" s="4">
        <v>49</v>
      </c>
      <c r="T5508" s="4">
        <v>242</v>
      </c>
      <c r="U5508" s="5" t="s">
        <v>15935</v>
      </c>
      <c r="V5508" s="5" t="s">
        <v>15935</v>
      </c>
      <c r="W5508" s="5" t="s">
        <v>67</v>
      </c>
      <c r="X5508" s="5" t="s">
        <v>67</v>
      </c>
      <c r="Y5508" s="4">
        <v>62</v>
      </c>
      <c r="Z5508" s="4">
        <v>4</v>
      </c>
      <c r="AA5508" s="4">
        <v>57</v>
      </c>
      <c r="AB5508" s="4">
        <v>1</v>
      </c>
      <c r="AC5508" s="4">
        <v>12</v>
      </c>
      <c r="AD5508" s="4">
        <v>12</v>
      </c>
      <c r="AE5508" s="4">
        <v>108</v>
      </c>
      <c r="AF5508" s="4">
        <v>0</v>
      </c>
      <c r="AG5508" s="4">
        <v>5</v>
      </c>
      <c r="AH5508" s="4">
        <v>11</v>
      </c>
      <c r="AI5508" s="4">
        <v>85</v>
      </c>
      <c r="AJ5508" s="4">
        <v>3</v>
      </c>
      <c r="AK5508" s="4">
        <v>22</v>
      </c>
      <c r="AL5508" s="4">
        <v>6</v>
      </c>
      <c r="AM5508" s="4">
        <v>46</v>
      </c>
      <c r="AN5508" s="4">
        <v>0</v>
      </c>
      <c r="AO5508" s="4">
        <v>0</v>
      </c>
      <c r="AP5508" s="4">
        <v>3</v>
      </c>
      <c r="AQ5508" s="4">
        <v>32</v>
      </c>
      <c r="AR5508" s="3" t="s">
        <v>62</v>
      </c>
      <c r="AS5508" s="3" t="s">
        <v>62</v>
      </c>
      <c r="AT5508" s="3" t="s">
        <v>62</v>
      </c>
      <c r="AV5508" s="6" t="str">
        <f>HYPERLINK("http://mcgill.on.worldcat.org/oclc/914339346","Catalog Record")</f>
        <v>Catalog Record</v>
      </c>
      <c r="AW5508" s="6" t="str">
        <f>HYPERLINK("http://www.worldcat.org/oclc/914339346","WorldCat Record")</f>
        <v>WorldCat Record</v>
      </c>
      <c r="AX5508" s="3" t="s">
        <v>52428</v>
      </c>
      <c r="AY5508" s="3" t="s">
        <v>52440</v>
      </c>
      <c r="AZ5508" s="3" t="s">
        <v>52441</v>
      </c>
      <c r="BA5508" s="3" t="s">
        <v>52441</v>
      </c>
      <c r="BB5508" s="3" t="s">
        <v>52449</v>
      </c>
      <c r="BC5508" s="3" t="s">
        <v>102</v>
      </c>
      <c r="BD5508" s="3" t="s">
        <v>231</v>
      </c>
      <c r="BE5508" s="3" t="s">
        <v>52443</v>
      </c>
      <c r="BF5508" s="3" t="s">
        <v>52449</v>
      </c>
      <c r="BG5508" s="3" t="s">
        <v>52450</v>
      </c>
    </row>
    <row r="5509" spans="1:59" ht="101.5" x14ac:dyDescent="0.35">
      <c r="A5509" s="2" t="s">
        <v>89</v>
      </c>
      <c r="B5509" s="2" t="s">
        <v>12301</v>
      </c>
      <c r="C5509" s="2" t="s">
        <v>52436</v>
      </c>
      <c r="D5509" s="2" t="s">
        <v>52437</v>
      </c>
      <c r="E5509" s="2" t="s">
        <v>52438</v>
      </c>
      <c r="G5509" s="3" t="s">
        <v>62</v>
      </c>
      <c r="I5509" s="3" t="s">
        <v>61</v>
      </c>
      <c r="J5509" s="3" t="s">
        <v>61</v>
      </c>
      <c r="K5509" s="3" t="s">
        <v>63</v>
      </c>
      <c r="L5509" s="2" t="s">
        <v>52426</v>
      </c>
      <c r="M5509" s="2" t="s">
        <v>52439</v>
      </c>
      <c r="N5509" s="3" t="s">
        <v>1038</v>
      </c>
      <c r="O5509" s="2" t="s">
        <v>51857</v>
      </c>
      <c r="P5509" s="3" t="s">
        <v>64</v>
      </c>
      <c r="R5509" s="3" t="s">
        <v>52233</v>
      </c>
      <c r="S5509" s="4">
        <v>40</v>
      </c>
      <c r="T5509" s="4">
        <v>242</v>
      </c>
      <c r="U5509" s="5" t="s">
        <v>12369</v>
      </c>
      <c r="V5509" s="5" t="s">
        <v>15935</v>
      </c>
      <c r="W5509" s="5" t="s">
        <v>67</v>
      </c>
      <c r="X5509" s="5" t="s">
        <v>67</v>
      </c>
      <c r="Y5509" s="4">
        <v>62</v>
      </c>
      <c r="Z5509" s="4">
        <v>4</v>
      </c>
      <c r="AA5509" s="4">
        <v>57</v>
      </c>
      <c r="AB5509" s="4">
        <v>1</v>
      </c>
      <c r="AC5509" s="4">
        <v>12</v>
      </c>
      <c r="AD5509" s="4">
        <v>12</v>
      </c>
      <c r="AE5509" s="4">
        <v>108</v>
      </c>
      <c r="AF5509" s="4">
        <v>0</v>
      </c>
      <c r="AG5509" s="4">
        <v>5</v>
      </c>
      <c r="AH5509" s="4">
        <v>11</v>
      </c>
      <c r="AI5509" s="4">
        <v>85</v>
      </c>
      <c r="AJ5509" s="4">
        <v>3</v>
      </c>
      <c r="AK5509" s="4">
        <v>22</v>
      </c>
      <c r="AL5509" s="4">
        <v>6</v>
      </c>
      <c r="AM5509" s="4">
        <v>46</v>
      </c>
      <c r="AN5509" s="4">
        <v>0</v>
      </c>
      <c r="AO5509" s="4">
        <v>0</v>
      </c>
      <c r="AP5509" s="4">
        <v>3</v>
      </c>
      <c r="AQ5509" s="4">
        <v>32</v>
      </c>
      <c r="AR5509" s="3" t="s">
        <v>62</v>
      </c>
      <c r="AS5509" s="3" t="s">
        <v>62</v>
      </c>
      <c r="AT5509" s="3" t="s">
        <v>62</v>
      </c>
      <c r="AV5509" s="6" t="str">
        <f>HYPERLINK("http://mcgill.on.worldcat.org/oclc/914339346","Catalog Record")</f>
        <v>Catalog Record</v>
      </c>
      <c r="AW5509" s="6" t="str">
        <f>HYPERLINK("http://www.worldcat.org/oclc/914339346","WorldCat Record")</f>
        <v>WorldCat Record</v>
      </c>
      <c r="AX5509" s="3" t="s">
        <v>52428</v>
      </c>
      <c r="AY5509" s="3" t="s">
        <v>52440</v>
      </c>
      <c r="AZ5509" s="3" t="s">
        <v>52441</v>
      </c>
      <c r="BA5509" s="3" t="s">
        <v>52441</v>
      </c>
      <c r="BB5509" s="3" t="s">
        <v>52451</v>
      </c>
      <c r="BC5509" s="3" t="s">
        <v>102</v>
      </c>
      <c r="BD5509" s="3" t="s">
        <v>68</v>
      </c>
      <c r="BE5509" s="3" t="s">
        <v>52443</v>
      </c>
      <c r="BF5509" s="3" t="s">
        <v>52451</v>
      </c>
      <c r="BG5509" s="3" t="s">
        <v>52452</v>
      </c>
    </row>
    <row r="5510" spans="1:59" ht="101.5" x14ac:dyDescent="0.35">
      <c r="A5510" s="2" t="s">
        <v>89</v>
      </c>
      <c r="B5510" s="2" t="s">
        <v>36812</v>
      </c>
      <c r="C5510" s="2" t="s">
        <v>52453</v>
      </c>
      <c r="D5510" s="2" t="s">
        <v>52454</v>
      </c>
      <c r="E5510" s="2" t="s">
        <v>52455</v>
      </c>
      <c r="G5510" s="3" t="s">
        <v>62</v>
      </c>
      <c r="I5510" s="3" t="s">
        <v>62</v>
      </c>
      <c r="J5510" s="3" t="s">
        <v>62</v>
      </c>
      <c r="K5510" s="3" t="s">
        <v>63</v>
      </c>
      <c r="L5510" s="2" t="s">
        <v>52456</v>
      </c>
      <c r="M5510" s="2" t="s">
        <v>52457</v>
      </c>
      <c r="N5510" s="3" t="s">
        <v>726</v>
      </c>
      <c r="O5510" s="2" t="s">
        <v>52458</v>
      </c>
      <c r="P5510" s="3" t="s">
        <v>64</v>
      </c>
      <c r="R5510" s="3" t="s">
        <v>52233</v>
      </c>
      <c r="S5510" s="4">
        <v>6</v>
      </c>
      <c r="T5510" s="4">
        <v>6</v>
      </c>
      <c r="U5510" s="5" t="s">
        <v>52459</v>
      </c>
      <c r="V5510" s="5" t="s">
        <v>52459</v>
      </c>
      <c r="W5510" s="5" t="s">
        <v>67</v>
      </c>
      <c r="X5510" s="5" t="s">
        <v>67</v>
      </c>
      <c r="Y5510" s="4">
        <v>66</v>
      </c>
      <c r="Z5510" s="4">
        <v>1</v>
      </c>
      <c r="AA5510" s="4">
        <v>2</v>
      </c>
      <c r="AB5510" s="4">
        <v>1</v>
      </c>
      <c r="AC5510" s="4">
        <v>2</v>
      </c>
      <c r="AD5510" s="4">
        <v>3</v>
      </c>
      <c r="AE5510" s="4">
        <v>3</v>
      </c>
      <c r="AF5510" s="4">
        <v>0</v>
      </c>
      <c r="AG5510" s="4">
        <v>0</v>
      </c>
      <c r="AH5510" s="4">
        <v>3</v>
      </c>
      <c r="AI5510" s="4">
        <v>3</v>
      </c>
      <c r="AJ5510" s="4">
        <v>0</v>
      </c>
      <c r="AK5510" s="4">
        <v>0</v>
      </c>
      <c r="AL5510" s="4">
        <v>1</v>
      </c>
      <c r="AM5510" s="4">
        <v>1</v>
      </c>
      <c r="AN5510" s="4">
        <v>0</v>
      </c>
      <c r="AO5510" s="4">
        <v>0</v>
      </c>
      <c r="AP5510" s="4">
        <v>0</v>
      </c>
      <c r="AQ5510" s="4">
        <v>0</v>
      </c>
      <c r="AR5510" s="3" t="s">
        <v>62</v>
      </c>
      <c r="AS5510" s="3" t="s">
        <v>62</v>
      </c>
      <c r="AT5510" s="3" t="s">
        <v>62</v>
      </c>
      <c r="AV5510" s="6" t="str">
        <f>HYPERLINK("http://mcgill.on.worldcat.org/oclc/972326710","Catalog Record")</f>
        <v>Catalog Record</v>
      </c>
      <c r="AW5510" s="6" t="str">
        <f>HYPERLINK("http://www.worldcat.org/oclc/972326710","WorldCat Record")</f>
        <v>WorldCat Record</v>
      </c>
      <c r="AX5510" s="3" t="s">
        <v>52460</v>
      </c>
      <c r="AY5510" s="3" t="s">
        <v>52461</v>
      </c>
      <c r="AZ5510" s="3" t="s">
        <v>52462</v>
      </c>
      <c r="BA5510" s="3" t="s">
        <v>52462</v>
      </c>
      <c r="BB5510" s="3" t="s">
        <v>52463</v>
      </c>
      <c r="BC5510" s="3" t="s">
        <v>102</v>
      </c>
      <c r="BD5510" s="3" t="s">
        <v>68</v>
      </c>
      <c r="BE5510" s="3" t="s">
        <v>52464</v>
      </c>
      <c r="BF5510" s="3" t="s">
        <v>52463</v>
      </c>
      <c r="BG5510" s="3" t="s">
        <v>52465</v>
      </c>
    </row>
    <row r="5511" spans="1:59" ht="101.5" x14ac:dyDescent="0.35">
      <c r="A5511" s="2" t="s">
        <v>89</v>
      </c>
      <c r="B5511" s="2" t="s">
        <v>36812</v>
      </c>
      <c r="C5511" s="2" t="s">
        <v>52466</v>
      </c>
      <c r="D5511" s="2" t="s">
        <v>52467</v>
      </c>
      <c r="E5511" s="2" t="s">
        <v>52468</v>
      </c>
      <c r="G5511" s="3" t="s">
        <v>62</v>
      </c>
      <c r="I5511" s="3" t="s">
        <v>62</v>
      </c>
      <c r="J5511" s="3" t="s">
        <v>61</v>
      </c>
      <c r="K5511" s="3" t="s">
        <v>63</v>
      </c>
      <c r="L5511" s="2" t="s">
        <v>52469</v>
      </c>
      <c r="M5511" s="2" t="s">
        <v>52470</v>
      </c>
      <c r="N5511" s="3" t="s">
        <v>712</v>
      </c>
      <c r="P5511" s="3" t="s">
        <v>64</v>
      </c>
      <c r="R5511" s="3" t="s">
        <v>52233</v>
      </c>
      <c r="S5511" s="4">
        <v>3</v>
      </c>
      <c r="T5511" s="4">
        <v>3</v>
      </c>
      <c r="U5511" s="5" t="s">
        <v>1663</v>
      </c>
      <c r="V5511" s="5" t="s">
        <v>1663</v>
      </c>
      <c r="W5511" s="5" t="s">
        <v>67</v>
      </c>
      <c r="X5511" s="5" t="s">
        <v>67</v>
      </c>
      <c r="Y5511" s="4">
        <v>181</v>
      </c>
      <c r="Z5511" s="4">
        <v>7</v>
      </c>
      <c r="AA5511" s="4">
        <v>69</v>
      </c>
      <c r="AB5511" s="4">
        <v>1</v>
      </c>
      <c r="AC5511" s="4">
        <v>12</v>
      </c>
      <c r="AD5511" s="4">
        <v>9</v>
      </c>
      <c r="AE5511" s="4">
        <v>66</v>
      </c>
      <c r="AF5511" s="4">
        <v>0</v>
      </c>
      <c r="AG5511" s="4">
        <v>4</v>
      </c>
      <c r="AH5511" s="4">
        <v>9</v>
      </c>
      <c r="AI5511" s="4">
        <v>52</v>
      </c>
      <c r="AJ5511" s="4">
        <v>0</v>
      </c>
      <c r="AK5511" s="4">
        <v>12</v>
      </c>
      <c r="AL5511" s="4">
        <v>5</v>
      </c>
      <c r="AM5511" s="4">
        <v>27</v>
      </c>
      <c r="AN5511" s="4">
        <v>0</v>
      </c>
      <c r="AO5511" s="4">
        <v>0</v>
      </c>
      <c r="AP5511" s="4">
        <v>1</v>
      </c>
      <c r="AQ5511" s="4">
        <v>16</v>
      </c>
      <c r="AR5511" s="3" t="s">
        <v>62</v>
      </c>
      <c r="AS5511" s="3" t="s">
        <v>62</v>
      </c>
      <c r="AT5511" s="3" t="s">
        <v>62</v>
      </c>
      <c r="AV5511" s="6" t="str">
        <f>HYPERLINK("http://mcgill.on.worldcat.org/oclc/854612980","Catalog Record")</f>
        <v>Catalog Record</v>
      </c>
      <c r="AW5511" s="6" t="str">
        <f>HYPERLINK("http://www.worldcat.org/oclc/854612980","WorldCat Record")</f>
        <v>WorldCat Record</v>
      </c>
      <c r="AX5511" s="3" t="s">
        <v>52471</v>
      </c>
      <c r="AY5511" s="3" t="s">
        <v>52472</v>
      </c>
      <c r="AZ5511" s="3" t="s">
        <v>52473</v>
      </c>
      <c r="BA5511" s="3" t="s">
        <v>52473</v>
      </c>
      <c r="BB5511" s="3" t="s">
        <v>52474</v>
      </c>
      <c r="BC5511" s="3" t="s">
        <v>102</v>
      </c>
      <c r="BD5511" s="3" t="s">
        <v>68</v>
      </c>
      <c r="BE5511" s="3" t="s">
        <v>52475</v>
      </c>
      <c r="BF5511" s="3" t="s">
        <v>52474</v>
      </c>
      <c r="BG5511" s="3" t="s">
        <v>52476</v>
      </c>
    </row>
    <row r="5512" spans="1:59" ht="58" x14ac:dyDescent="0.35">
      <c r="A5512" s="2" t="s">
        <v>59</v>
      </c>
      <c r="B5512" s="2" t="s">
        <v>60</v>
      </c>
      <c r="C5512" s="2" t="s">
        <v>52477</v>
      </c>
      <c r="D5512" s="2" t="s">
        <v>52478</v>
      </c>
      <c r="E5512" s="2" t="s">
        <v>52479</v>
      </c>
      <c r="G5512" s="3" t="s">
        <v>62</v>
      </c>
      <c r="I5512" s="3" t="s">
        <v>62</v>
      </c>
      <c r="J5512" s="3" t="s">
        <v>61</v>
      </c>
      <c r="K5512" s="3" t="s">
        <v>63</v>
      </c>
      <c r="L5512" s="2" t="s">
        <v>52480</v>
      </c>
      <c r="M5512" s="2" t="s">
        <v>52481</v>
      </c>
      <c r="N5512" s="3" t="s">
        <v>5038</v>
      </c>
      <c r="P5512" s="3" t="s">
        <v>64</v>
      </c>
      <c r="R5512" s="3" t="s">
        <v>52233</v>
      </c>
      <c r="S5512" s="4">
        <v>2</v>
      </c>
      <c r="T5512" s="4">
        <v>2</v>
      </c>
      <c r="U5512" s="5" t="s">
        <v>51791</v>
      </c>
      <c r="V5512" s="5" t="s">
        <v>51791</v>
      </c>
      <c r="W5512" s="5" t="s">
        <v>67</v>
      </c>
      <c r="X5512" s="5" t="s">
        <v>67</v>
      </c>
      <c r="Y5512" s="4">
        <v>12</v>
      </c>
      <c r="Z5512" s="4">
        <v>2</v>
      </c>
      <c r="AA5512" s="4">
        <v>4</v>
      </c>
      <c r="AB5512" s="4">
        <v>2</v>
      </c>
      <c r="AC5512" s="4">
        <v>2</v>
      </c>
      <c r="AD5512" s="4">
        <v>5</v>
      </c>
      <c r="AE5512" s="4">
        <v>32</v>
      </c>
      <c r="AF5512" s="4">
        <v>0</v>
      </c>
      <c r="AG5512" s="4">
        <v>0</v>
      </c>
      <c r="AH5512" s="4">
        <v>3</v>
      </c>
      <c r="AI5512" s="4">
        <v>28</v>
      </c>
      <c r="AJ5512" s="4">
        <v>0</v>
      </c>
      <c r="AK5512" s="4">
        <v>2</v>
      </c>
      <c r="AL5512" s="4">
        <v>4</v>
      </c>
      <c r="AM5512" s="4">
        <v>19</v>
      </c>
      <c r="AN5512" s="4">
        <v>0</v>
      </c>
      <c r="AO5512" s="4">
        <v>4</v>
      </c>
      <c r="AP5512" s="4">
        <v>0</v>
      </c>
      <c r="AQ5512" s="4">
        <v>1</v>
      </c>
      <c r="AR5512" s="3" t="s">
        <v>62</v>
      </c>
      <c r="AS5512" s="3" t="s">
        <v>62</v>
      </c>
      <c r="AT5512" s="3" t="s">
        <v>62</v>
      </c>
      <c r="AV5512" s="6" t="str">
        <f>HYPERLINK("http://mcgill.on.worldcat.org/oclc/14747577","Catalog Record")</f>
        <v>Catalog Record</v>
      </c>
      <c r="AW5512" s="6" t="str">
        <f>HYPERLINK("http://www.worldcat.org/oclc/14747577","WorldCat Record")</f>
        <v>WorldCat Record</v>
      </c>
      <c r="AX5512" s="3" t="s">
        <v>52482</v>
      </c>
      <c r="AY5512" s="3" t="s">
        <v>52483</v>
      </c>
      <c r="AZ5512" s="3" t="s">
        <v>52484</v>
      </c>
      <c r="BA5512" s="3" t="s">
        <v>52484</v>
      </c>
      <c r="BB5512" s="3" t="s">
        <v>52485</v>
      </c>
      <c r="BC5512" s="3" t="s">
        <v>102</v>
      </c>
      <c r="BD5512" s="3" t="s">
        <v>68</v>
      </c>
      <c r="BF5512" s="3" t="s">
        <v>52485</v>
      </c>
      <c r="BG5512" s="3" t="s">
        <v>52486</v>
      </c>
    </row>
    <row r="5513" spans="1:59" ht="101.5" x14ac:dyDescent="0.35">
      <c r="A5513" s="2" t="s">
        <v>89</v>
      </c>
      <c r="B5513" s="2" t="s">
        <v>36812</v>
      </c>
      <c r="C5513" s="2" t="s">
        <v>52487</v>
      </c>
      <c r="D5513" s="2" t="s">
        <v>52488</v>
      </c>
      <c r="E5513" s="2" t="s">
        <v>52489</v>
      </c>
      <c r="G5513" s="3" t="s">
        <v>62</v>
      </c>
      <c r="I5513" s="3" t="s">
        <v>62</v>
      </c>
      <c r="J5513" s="3" t="s">
        <v>62</v>
      </c>
      <c r="K5513" s="3" t="s">
        <v>63</v>
      </c>
      <c r="L5513" s="2" t="s">
        <v>52490</v>
      </c>
      <c r="M5513" s="2" t="s">
        <v>52491</v>
      </c>
      <c r="N5513" s="3" t="s">
        <v>726</v>
      </c>
      <c r="P5513" s="3" t="s">
        <v>64</v>
      </c>
      <c r="R5513" s="3" t="s">
        <v>52233</v>
      </c>
      <c r="S5513" s="4">
        <v>2</v>
      </c>
      <c r="T5513" s="4">
        <v>2</v>
      </c>
      <c r="U5513" s="5" t="s">
        <v>52492</v>
      </c>
      <c r="V5513" s="5" t="s">
        <v>52492</v>
      </c>
      <c r="W5513" s="5" t="s">
        <v>67</v>
      </c>
      <c r="X5513" s="5" t="s">
        <v>67</v>
      </c>
      <c r="Y5513" s="4">
        <v>17</v>
      </c>
      <c r="Z5513" s="4">
        <v>1</v>
      </c>
      <c r="AA5513" s="4">
        <v>19</v>
      </c>
      <c r="AB5513" s="4">
        <v>1</v>
      </c>
      <c r="AC5513" s="4">
        <v>3</v>
      </c>
      <c r="AD5513" s="4">
        <v>0</v>
      </c>
      <c r="AE5513" s="4">
        <v>2</v>
      </c>
      <c r="AF5513" s="4">
        <v>0</v>
      </c>
      <c r="AG5513" s="4">
        <v>0</v>
      </c>
      <c r="AH5513" s="4">
        <v>0</v>
      </c>
      <c r="AI5513" s="4">
        <v>2</v>
      </c>
      <c r="AJ5513" s="4">
        <v>0</v>
      </c>
      <c r="AK5513" s="4">
        <v>0</v>
      </c>
      <c r="AL5513" s="4">
        <v>0</v>
      </c>
      <c r="AM5513" s="4">
        <v>0</v>
      </c>
      <c r="AN5513" s="4">
        <v>0</v>
      </c>
      <c r="AO5513" s="4">
        <v>0</v>
      </c>
      <c r="AP5513" s="4">
        <v>0</v>
      </c>
      <c r="AQ5513" s="4">
        <v>0</v>
      </c>
      <c r="AR5513" s="3" t="s">
        <v>62</v>
      </c>
      <c r="AS5513" s="3" t="s">
        <v>62</v>
      </c>
      <c r="AT5513" s="3" t="s">
        <v>62</v>
      </c>
      <c r="AV5513" s="6" t="str">
        <f>HYPERLINK("http://mcgill.on.worldcat.org/oclc/948336093","Catalog Record")</f>
        <v>Catalog Record</v>
      </c>
      <c r="AW5513" s="6" t="str">
        <f>HYPERLINK("http://www.worldcat.org/oclc/948336093","WorldCat Record")</f>
        <v>WorldCat Record</v>
      </c>
      <c r="AX5513" s="3" t="s">
        <v>52493</v>
      </c>
      <c r="AY5513" s="3" t="s">
        <v>52494</v>
      </c>
      <c r="AZ5513" s="3" t="s">
        <v>52495</v>
      </c>
      <c r="BA5513" s="3" t="s">
        <v>52495</v>
      </c>
      <c r="BB5513" s="3" t="s">
        <v>52496</v>
      </c>
      <c r="BC5513" s="3" t="s">
        <v>102</v>
      </c>
      <c r="BD5513" s="3" t="s">
        <v>68</v>
      </c>
      <c r="BE5513" s="3" t="s">
        <v>52497</v>
      </c>
      <c r="BF5513" s="3" t="s">
        <v>52496</v>
      </c>
      <c r="BG5513" s="3" t="s">
        <v>52498</v>
      </c>
    </row>
    <row r="5514" spans="1:59" ht="101.5" x14ac:dyDescent="0.35">
      <c r="A5514" s="2" t="s">
        <v>89</v>
      </c>
      <c r="B5514" s="2" t="s">
        <v>36812</v>
      </c>
      <c r="C5514" s="2" t="s">
        <v>52499</v>
      </c>
      <c r="D5514" s="2" t="s">
        <v>52500</v>
      </c>
      <c r="E5514" s="2" t="s">
        <v>52501</v>
      </c>
      <c r="G5514" s="3" t="s">
        <v>62</v>
      </c>
      <c r="I5514" s="3" t="s">
        <v>62</v>
      </c>
      <c r="J5514" s="3" t="s">
        <v>62</v>
      </c>
      <c r="K5514" s="3" t="s">
        <v>63</v>
      </c>
      <c r="L5514" s="2" t="s">
        <v>52502</v>
      </c>
      <c r="M5514" s="2" t="s">
        <v>52503</v>
      </c>
      <c r="N5514" s="3" t="s">
        <v>1038</v>
      </c>
      <c r="P5514" s="3" t="s">
        <v>64</v>
      </c>
      <c r="R5514" s="3" t="s">
        <v>52233</v>
      </c>
      <c r="S5514" s="4">
        <v>2</v>
      </c>
      <c r="T5514" s="4">
        <v>2</v>
      </c>
      <c r="W5514" s="5" t="s">
        <v>67</v>
      </c>
      <c r="X5514" s="5" t="s">
        <v>67</v>
      </c>
      <c r="Y5514" s="4">
        <v>15</v>
      </c>
      <c r="Z5514" s="4">
        <v>9</v>
      </c>
      <c r="AA5514" s="4">
        <v>27</v>
      </c>
      <c r="AB5514" s="4">
        <v>2</v>
      </c>
      <c r="AC5514" s="4">
        <v>7</v>
      </c>
      <c r="AD5514" s="4">
        <v>3</v>
      </c>
      <c r="AE5514" s="4">
        <v>26</v>
      </c>
      <c r="AF5514" s="4">
        <v>0</v>
      </c>
      <c r="AG5514" s="4">
        <v>0</v>
      </c>
      <c r="AH5514" s="4">
        <v>2</v>
      </c>
      <c r="AI5514" s="4">
        <v>24</v>
      </c>
      <c r="AJ5514" s="4">
        <v>1</v>
      </c>
      <c r="AK5514" s="4">
        <v>2</v>
      </c>
      <c r="AL5514" s="4">
        <v>1</v>
      </c>
      <c r="AM5514" s="4">
        <v>11</v>
      </c>
      <c r="AN5514" s="4">
        <v>0</v>
      </c>
      <c r="AO5514" s="4">
        <v>0</v>
      </c>
      <c r="AP5514" s="4">
        <v>0</v>
      </c>
      <c r="AQ5514" s="4">
        <v>2</v>
      </c>
      <c r="AR5514" s="3" t="s">
        <v>61</v>
      </c>
      <c r="AS5514" s="3" t="s">
        <v>62</v>
      </c>
      <c r="AT5514" s="3" t="s">
        <v>62</v>
      </c>
      <c r="AV5514" s="6" t="str">
        <f>HYPERLINK("http://mcgill.on.worldcat.org/oclc/965149584","Catalog Record")</f>
        <v>Catalog Record</v>
      </c>
      <c r="AW5514" s="6" t="str">
        <f>HYPERLINK("http://www.worldcat.org/oclc/965149584","WorldCat Record")</f>
        <v>WorldCat Record</v>
      </c>
      <c r="AX5514" s="3" t="s">
        <v>52504</v>
      </c>
      <c r="AY5514" s="3" t="s">
        <v>52505</v>
      </c>
      <c r="AZ5514" s="3" t="s">
        <v>52506</v>
      </c>
      <c r="BA5514" s="3" t="s">
        <v>52506</v>
      </c>
      <c r="BB5514" s="3" t="s">
        <v>52507</v>
      </c>
      <c r="BC5514" s="3" t="s">
        <v>102</v>
      </c>
      <c r="BD5514" s="3" t="s">
        <v>231</v>
      </c>
      <c r="BE5514" s="3" t="s">
        <v>52508</v>
      </c>
      <c r="BF5514" s="3" t="s">
        <v>52507</v>
      </c>
      <c r="BG5514" s="3" t="s">
        <v>52509</v>
      </c>
    </row>
    <row r="5515" spans="1:59" ht="101.5" x14ac:dyDescent="0.35">
      <c r="A5515" s="2" t="s">
        <v>89</v>
      </c>
      <c r="B5515" s="2" t="s">
        <v>36812</v>
      </c>
      <c r="C5515" s="2" t="s">
        <v>52510</v>
      </c>
      <c r="D5515" s="2" t="s">
        <v>52511</v>
      </c>
      <c r="E5515" s="2" t="s">
        <v>52512</v>
      </c>
      <c r="G5515" s="3" t="s">
        <v>62</v>
      </c>
      <c r="I5515" s="3" t="s">
        <v>62</v>
      </c>
      <c r="J5515" s="3" t="s">
        <v>62</v>
      </c>
      <c r="K5515" s="3" t="s">
        <v>63</v>
      </c>
      <c r="L5515" s="2" t="s">
        <v>52513</v>
      </c>
      <c r="M5515" s="2" t="s">
        <v>52514</v>
      </c>
      <c r="N5515" s="3" t="s">
        <v>2136</v>
      </c>
      <c r="P5515" s="3" t="s">
        <v>64</v>
      </c>
      <c r="R5515" s="3" t="s">
        <v>52233</v>
      </c>
      <c r="S5515" s="4">
        <v>5</v>
      </c>
      <c r="T5515" s="4">
        <v>5</v>
      </c>
      <c r="U5515" s="5" t="s">
        <v>37766</v>
      </c>
      <c r="V5515" s="5" t="s">
        <v>37766</v>
      </c>
      <c r="W5515" s="5" t="s">
        <v>67</v>
      </c>
      <c r="X5515" s="5" t="s">
        <v>67</v>
      </c>
      <c r="Y5515" s="4">
        <v>534</v>
      </c>
      <c r="Z5515" s="4">
        <v>26</v>
      </c>
      <c r="AA5515" s="4">
        <v>26</v>
      </c>
      <c r="AB5515" s="4">
        <v>2</v>
      </c>
      <c r="AC5515" s="4">
        <v>2</v>
      </c>
      <c r="AD5515" s="4">
        <v>10</v>
      </c>
      <c r="AE5515" s="4">
        <v>10</v>
      </c>
      <c r="AF5515" s="4">
        <v>0</v>
      </c>
      <c r="AG5515" s="4">
        <v>0</v>
      </c>
      <c r="AH5515" s="4">
        <v>9</v>
      </c>
      <c r="AI5515" s="4">
        <v>9</v>
      </c>
      <c r="AJ5515" s="4">
        <v>0</v>
      </c>
      <c r="AK5515" s="4">
        <v>0</v>
      </c>
      <c r="AL5515" s="4">
        <v>2</v>
      </c>
      <c r="AM5515" s="4">
        <v>2</v>
      </c>
      <c r="AN5515" s="4">
        <v>0</v>
      </c>
      <c r="AO5515" s="4">
        <v>0</v>
      </c>
      <c r="AP5515" s="4">
        <v>1</v>
      </c>
      <c r="AQ5515" s="4">
        <v>1</v>
      </c>
      <c r="AR5515" s="3" t="s">
        <v>62</v>
      </c>
      <c r="AS5515" s="3" t="s">
        <v>62</v>
      </c>
      <c r="AT5515" s="3" t="s">
        <v>62</v>
      </c>
      <c r="AV5515" s="6" t="str">
        <f>HYPERLINK("http://mcgill.on.worldcat.org/oclc/58604591","Catalog Record")</f>
        <v>Catalog Record</v>
      </c>
      <c r="AW5515" s="6" t="str">
        <f>HYPERLINK("http://www.worldcat.org/oclc/58604591","WorldCat Record")</f>
        <v>WorldCat Record</v>
      </c>
      <c r="AX5515" s="3" t="s">
        <v>52515</v>
      </c>
      <c r="AY5515" s="3" t="s">
        <v>52516</v>
      </c>
      <c r="AZ5515" s="3" t="s">
        <v>52517</v>
      </c>
      <c r="BA5515" s="3" t="s">
        <v>52517</v>
      </c>
      <c r="BB5515" s="3" t="s">
        <v>52518</v>
      </c>
      <c r="BC5515" s="3" t="s">
        <v>102</v>
      </c>
      <c r="BD5515" s="3" t="s">
        <v>231</v>
      </c>
      <c r="BE5515" s="3" t="s">
        <v>52519</v>
      </c>
      <c r="BF5515" s="3" t="s">
        <v>52518</v>
      </c>
      <c r="BG5515" s="3" t="s">
        <v>52520</v>
      </c>
    </row>
    <row r="5516" spans="1:59" ht="101.5" x14ac:dyDescent="0.35">
      <c r="A5516" s="2" t="s">
        <v>89</v>
      </c>
      <c r="B5516" s="2" t="s">
        <v>36812</v>
      </c>
      <c r="C5516" s="2" t="s">
        <v>52521</v>
      </c>
      <c r="D5516" s="2" t="s">
        <v>52522</v>
      </c>
      <c r="E5516" s="2" t="s">
        <v>52523</v>
      </c>
      <c r="G5516" s="3" t="s">
        <v>62</v>
      </c>
      <c r="I5516" s="3" t="s">
        <v>62</v>
      </c>
      <c r="J5516" s="3" t="s">
        <v>62</v>
      </c>
      <c r="K5516" s="3" t="s">
        <v>63</v>
      </c>
      <c r="L5516" s="2" t="s">
        <v>52524</v>
      </c>
      <c r="M5516" s="2" t="s">
        <v>52525</v>
      </c>
      <c r="N5516" s="3" t="s">
        <v>2975</v>
      </c>
      <c r="P5516" s="3" t="s">
        <v>64</v>
      </c>
      <c r="R5516" s="3" t="s">
        <v>52233</v>
      </c>
      <c r="S5516" s="4">
        <v>54</v>
      </c>
      <c r="T5516" s="4">
        <v>54</v>
      </c>
      <c r="U5516" s="5" t="s">
        <v>6918</v>
      </c>
      <c r="V5516" s="5" t="s">
        <v>6918</v>
      </c>
      <c r="W5516" s="5" t="s">
        <v>67</v>
      </c>
      <c r="X5516" s="5" t="s">
        <v>67</v>
      </c>
      <c r="Y5516" s="4">
        <v>1002</v>
      </c>
      <c r="Z5516" s="4">
        <v>37</v>
      </c>
      <c r="AA5516" s="4">
        <v>53</v>
      </c>
      <c r="AB5516" s="4">
        <v>3</v>
      </c>
      <c r="AC5516" s="4">
        <v>7</v>
      </c>
      <c r="AD5516" s="4">
        <v>18</v>
      </c>
      <c r="AE5516" s="4">
        <v>26</v>
      </c>
      <c r="AF5516" s="4">
        <v>0</v>
      </c>
      <c r="AG5516" s="4">
        <v>0</v>
      </c>
      <c r="AH5516" s="4">
        <v>16</v>
      </c>
      <c r="AI5516" s="4">
        <v>23</v>
      </c>
      <c r="AJ5516" s="4">
        <v>1</v>
      </c>
      <c r="AK5516" s="4">
        <v>3</v>
      </c>
      <c r="AL5516" s="4">
        <v>8</v>
      </c>
      <c r="AM5516" s="4">
        <v>11</v>
      </c>
      <c r="AN5516" s="4">
        <v>0</v>
      </c>
      <c r="AO5516" s="4">
        <v>0</v>
      </c>
      <c r="AP5516" s="4">
        <v>3</v>
      </c>
      <c r="AQ5516" s="4">
        <v>5</v>
      </c>
      <c r="AR5516" s="3" t="s">
        <v>62</v>
      </c>
      <c r="AS5516" s="3" t="s">
        <v>62</v>
      </c>
      <c r="AT5516" s="3" t="s">
        <v>62</v>
      </c>
      <c r="AV5516" s="6" t="str">
        <f>HYPERLINK("http://mcgill.on.worldcat.org/oclc/44952250","Catalog Record")</f>
        <v>Catalog Record</v>
      </c>
      <c r="AW5516" s="6" t="str">
        <f>HYPERLINK("http://www.worldcat.org/oclc/44952250","WorldCat Record")</f>
        <v>WorldCat Record</v>
      </c>
      <c r="AX5516" s="3" t="s">
        <v>52526</v>
      </c>
      <c r="AY5516" s="3" t="s">
        <v>52527</v>
      </c>
      <c r="AZ5516" s="3" t="s">
        <v>52528</v>
      </c>
      <c r="BA5516" s="3" t="s">
        <v>52528</v>
      </c>
      <c r="BB5516" s="3" t="s">
        <v>52529</v>
      </c>
      <c r="BC5516" s="3" t="s">
        <v>102</v>
      </c>
      <c r="BD5516" s="3" t="s">
        <v>231</v>
      </c>
      <c r="BE5516" s="3" t="s">
        <v>52530</v>
      </c>
      <c r="BF5516" s="3" t="s">
        <v>52529</v>
      </c>
      <c r="BG5516" s="3" t="s">
        <v>52531</v>
      </c>
    </row>
    <row r="5517" spans="1:59" ht="101.5" x14ac:dyDescent="0.35">
      <c r="A5517" s="2" t="s">
        <v>89</v>
      </c>
      <c r="B5517" s="2" t="s">
        <v>36812</v>
      </c>
      <c r="C5517" s="2" t="s">
        <v>52532</v>
      </c>
      <c r="D5517" s="2" t="s">
        <v>52533</v>
      </c>
      <c r="E5517" s="2" t="s">
        <v>52534</v>
      </c>
      <c r="G5517" s="3" t="s">
        <v>62</v>
      </c>
      <c r="I5517" s="3" t="s">
        <v>62</v>
      </c>
      <c r="J5517" s="3" t="s">
        <v>62</v>
      </c>
      <c r="K5517" s="3" t="s">
        <v>63</v>
      </c>
      <c r="L5517" s="2" t="s">
        <v>52535</v>
      </c>
      <c r="M5517" s="2" t="s">
        <v>52536</v>
      </c>
      <c r="N5517" s="3" t="s">
        <v>698</v>
      </c>
      <c r="O5517" s="2" t="s">
        <v>8443</v>
      </c>
      <c r="P5517" s="3" t="s">
        <v>64</v>
      </c>
      <c r="R5517" s="3" t="s">
        <v>52233</v>
      </c>
      <c r="S5517" s="4">
        <v>9</v>
      </c>
      <c r="T5517" s="4">
        <v>9</v>
      </c>
      <c r="U5517" s="5" t="s">
        <v>2520</v>
      </c>
      <c r="V5517" s="5" t="s">
        <v>2520</v>
      </c>
      <c r="W5517" s="5" t="s">
        <v>67</v>
      </c>
      <c r="X5517" s="5" t="s">
        <v>67</v>
      </c>
      <c r="Y5517" s="4">
        <v>472</v>
      </c>
      <c r="Z5517" s="4">
        <v>24</v>
      </c>
      <c r="AA5517" s="4">
        <v>75</v>
      </c>
      <c r="AB5517" s="4">
        <v>3</v>
      </c>
      <c r="AC5517" s="4">
        <v>12</v>
      </c>
      <c r="AD5517" s="4">
        <v>29</v>
      </c>
      <c r="AE5517" s="4">
        <v>62</v>
      </c>
      <c r="AF5517" s="4">
        <v>0</v>
      </c>
      <c r="AG5517" s="4">
        <v>4</v>
      </c>
      <c r="AH5517" s="4">
        <v>26</v>
      </c>
      <c r="AI5517" s="4">
        <v>47</v>
      </c>
      <c r="AJ5517" s="4">
        <v>3</v>
      </c>
      <c r="AK5517" s="4">
        <v>15</v>
      </c>
      <c r="AL5517" s="4">
        <v>7</v>
      </c>
      <c r="AM5517" s="4">
        <v>18</v>
      </c>
      <c r="AN5517" s="4">
        <v>0</v>
      </c>
      <c r="AO5517" s="4">
        <v>0</v>
      </c>
      <c r="AP5517" s="4">
        <v>6</v>
      </c>
      <c r="AQ5517" s="4">
        <v>23</v>
      </c>
      <c r="AR5517" s="3" t="s">
        <v>62</v>
      </c>
      <c r="AS5517" s="3" t="s">
        <v>62</v>
      </c>
      <c r="AT5517" s="3" t="s">
        <v>62</v>
      </c>
      <c r="AV5517" s="6" t="str">
        <f>HYPERLINK("http://mcgill.on.worldcat.org/oclc/764509982","Catalog Record")</f>
        <v>Catalog Record</v>
      </c>
      <c r="AW5517" s="6" t="str">
        <f>HYPERLINK("http://www.worldcat.org/oclc/764509982","WorldCat Record")</f>
        <v>WorldCat Record</v>
      </c>
      <c r="AX5517" s="3" t="s">
        <v>52537</v>
      </c>
      <c r="AY5517" s="3" t="s">
        <v>52538</v>
      </c>
      <c r="AZ5517" s="3" t="s">
        <v>52539</v>
      </c>
      <c r="BA5517" s="3" t="s">
        <v>52539</v>
      </c>
      <c r="BB5517" s="3" t="s">
        <v>52540</v>
      </c>
      <c r="BC5517" s="3" t="s">
        <v>102</v>
      </c>
      <c r="BD5517" s="3" t="s">
        <v>231</v>
      </c>
      <c r="BE5517" s="3" t="s">
        <v>52541</v>
      </c>
      <c r="BF5517" s="3" t="s">
        <v>52540</v>
      </c>
      <c r="BG5517" s="3" t="s">
        <v>52542</v>
      </c>
    </row>
    <row r="5518" spans="1:59" ht="101.5" x14ac:dyDescent="0.35">
      <c r="A5518" s="2" t="s">
        <v>89</v>
      </c>
      <c r="B5518" s="2" t="s">
        <v>36812</v>
      </c>
      <c r="C5518" s="2" t="s">
        <v>52543</v>
      </c>
      <c r="D5518" s="2" t="s">
        <v>52544</v>
      </c>
      <c r="E5518" s="2" t="s">
        <v>52545</v>
      </c>
      <c r="G5518" s="3" t="s">
        <v>62</v>
      </c>
      <c r="I5518" s="3" t="s">
        <v>62</v>
      </c>
      <c r="J5518" s="3" t="s">
        <v>62</v>
      </c>
      <c r="K5518" s="3" t="s">
        <v>63</v>
      </c>
      <c r="L5518" s="2" t="s">
        <v>52546</v>
      </c>
      <c r="M5518" s="2" t="s">
        <v>52547</v>
      </c>
      <c r="N5518" s="3" t="s">
        <v>712</v>
      </c>
      <c r="P5518" s="3" t="s">
        <v>64</v>
      </c>
      <c r="R5518" s="3" t="s">
        <v>52233</v>
      </c>
      <c r="S5518" s="4">
        <v>2</v>
      </c>
      <c r="T5518" s="4">
        <v>2</v>
      </c>
      <c r="U5518" s="5" t="s">
        <v>226</v>
      </c>
      <c r="V5518" s="5" t="s">
        <v>226</v>
      </c>
      <c r="W5518" s="5" t="s">
        <v>67</v>
      </c>
      <c r="X5518" s="5" t="s">
        <v>67</v>
      </c>
      <c r="Y5518" s="4">
        <v>210</v>
      </c>
      <c r="Z5518" s="4">
        <v>15</v>
      </c>
      <c r="AA5518" s="4">
        <v>19</v>
      </c>
      <c r="AB5518" s="4">
        <v>2</v>
      </c>
      <c r="AC5518" s="4">
        <v>5</v>
      </c>
      <c r="AD5518" s="4">
        <v>11</v>
      </c>
      <c r="AE5518" s="4">
        <v>12</v>
      </c>
      <c r="AF5518" s="4">
        <v>0</v>
      </c>
      <c r="AG5518" s="4">
        <v>1</v>
      </c>
      <c r="AH5518" s="4">
        <v>10</v>
      </c>
      <c r="AI5518" s="4">
        <v>10</v>
      </c>
      <c r="AJ5518" s="4">
        <v>2</v>
      </c>
      <c r="AK5518" s="4">
        <v>3</v>
      </c>
      <c r="AL5518" s="4">
        <v>3</v>
      </c>
      <c r="AM5518" s="4">
        <v>3</v>
      </c>
      <c r="AN5518" s="4">
        <v>0</v>
      </c>
      <c r="AO5518" s="4">
        <v>0</v>
      </c>
      <c r="AP5518" s="4">
        <v>1</v>
      </c>
      <c r="AQ5518" s="4">
        <v>2</v>
      </c>
      <c r="AR5518" s="3" t="s">
        <v>61</v>
      </c>
      <c r="AS5518" s="3" t="s">
        <v>62</v>
      </c>
      <c r="AT5518" s="3" t="s">
        <v>62</v>
      </c>
      <c r="AV5518" s="6" t="str">
        <f>HYPERLINK("http://mcgill.on.worldcat.org/oclc/862010177","Catalog Record")</f>
        <v>Catalog Record</v>
      </c>
      <c r="AW5518" s="6" t="str">
        <f>HYPERLINK("http://www.worldcat.org/oclc/862010177","WorldCat Record")</f>
        <v>WorldCat Record</v>
      </c>
      <c r="AX5518" s="3" t="s">
        <v>52548</v>
      </c>
      <c r="AY5518" s="3" t="s">
        <v>52549</v>
      </c>
      <c r="AZ5518" s="3" t="s">
        <v>52550</v>
      </c>
      <c r="BA5518" s="3" t="s">
        <v>52550</v>
      </c>
      <c r="BB5518" s="3" t="s">
        <v>52551</v>
      </c>
      <c r="BC5518" s="3" t="s">
        <v>102</v>
      </c>
      <c r="BD5518" s="3" t="s">
        <v>68</v>
      </c>
      <c r="BE5518" s="3" t="s">
        <v>52552</v>
      </c>
      <c r="BF5518" s="3" t="s">
        <v>52551</v>
      </c>
      <c r="BG5518" s="3" t="s">
        <v>52553</v>
      </c>
    </row>
    <row r="5519" spans="1:59" ht="101.5" x14ac:dyDescent="0.35">
      <c r="A5519" s="2" t="s">
        <v>89</v>
      </c>
      <c r="B5519" s="2" t="s">
        <v>36812</v>
      </c>
      <c r="C5519" s="2" t="s">
        <v>52554</v>
      </c>
      <c r="D5519" s="2" t="s">
        <v>52555</v>
      </c>
      <c r="E5519" s="2" t="s">
        <v>52556</v>
      </c>
      <c r="G5519" s="3" t="s">
        <v>62</v>
      </c>
      <c r="I5519" s="3" t="s">
        <v>62</v>
      </c>
      <c r="J5519" s="3" t="s">
        <v>62</v>
      </c>
      <c r="K5519" s="3" t="s">
        <v>63</v>
      </c>
      <c r="L5519" s="2" t="s">
        <v>52557</v>
      </c>
      <c r="M5519" s="2" t="s">
        <v>52558</v>
      </c>
      <c r="N5519" s="3" t="s">
        <v>1722</v>
      </c>
      <c r="O5519" s="2" t="s">
        <v>2163</v>
      </c>
      <c r="P5519" s="3" t="s">
        <v>64</v>
      </c>
      <c r="R5519" s="3" t="s">
        <v>52233</v>
      </c>
      <c r="S5519" s="4">
        <v>51</v>
      </c>
      <c r="T5519" s="4">
        <v>51</v>
      </c>
      <c r="U5519" s="5" t="s">
        <v>17587</v>
      </c>
      <c r="V5519" s="5" t="s">
        <v>17587</v>
      </c>
      <c r="W5519" s="5" t="s">
        <v>67</v>
      </c>
      <c r="X5519" s="5" t="s">
        <v>67</v>
      </c>
      <c r="Y5519" s="4">
        <v>1443</v>
      </c>
      <c r="Z5519" s="4">
        <v>66</v>
      </c>
      <c r="AA5519" s="4">
        <v>84</v>
      </c>
      <c r="AB5519" s="4">
        <v>4</v>
      </c>
      <c r="AC5519" s="4">
        <v>11</v>
      </c>
      <c r="AD5519" s="4">
        <v>60</v>
      </c>
      <c r="AE5519" s="4">
        <v>73</v>
      </c>
      <c r="AF5519" s="4">
        <v>1</v>
      </c>
      <c r="AG5519" s="4">
        <v>3</v>
      </c>
      <c r="AH5519" s="4">
        <v>48</v>
      </c>
      <c r="AI5519" s="4">
        <v>58</v>
      </c>
      <c r="AJ5519" s="4">
        <v>11</v>
      </c>
      <c r="AK5519" s="4">
        <v>15</v>
      </c>
      <c r="AL5519" s="4">
        <v>22</v>
      </c>
      <c r="AM5519" s="4">
        <v>26</v>
      </c>
      <c r="AN5519" s="4">
        <v>0</v>
      </c>
      <c r="AO5519" s="4">
        <v>0</v>
      </c>
      <c r="AP5519" s="4">
        <v>20</v>
      </c>
      <c r="AQ5519" s="4">
        <v>25</v>
      </c>
      <c r="AR5519" s="3" t="s">
        <v>62</v>
      </c>
      <c r="AS5519" s="3" t="s">
        <v>62</v>
      </c>
      <c r="AT5519" s="3" t="s">
        <v>62</v>
      </c>
      <c r="AV5519" s="6" t="str">
        <f>HYPERLINK("http://mcgill.on.worldcat.org/oclc/154694455","Catalog Record")</f>
        <v>Catalog Record</v>
      </c>
      <c r="AW5519" s="6" t="str">
        <f>HYPERLINK("http://www.worldcat.org/oclc/154694455","WorldCat Record")</f>
        <v>WorldCat Record</v>
      </c>
      <c r="AX5519" s="3" t="s">
        <v>52559</v>
      </c>
      <c r="AY5519" s="3" t="s">
        <v>52560</v>
      </c>
      <c r="AZ5519" s="3" t="s">
        <v>52561</v>
      </c>
      <c r="BA5519" s="3" t="s">
        <v>52561</v>
      </c>
      <c r="BB5519" s="3" t="s">
        <v>52562</v>
      </c>
      <c r="BC5519" s="3" t="s">
        <v>102</v>
      </c>
      <c r="BD5519" s="3" t="s">
        <v>68</v>
      </c>
      <c r="BE5519" s="3" t="s">
        <v>52563</v>
      </c>
      <c r="BF5519" s="3" t="s">
        <v>52562</v>
      </c>
      <c r="BG5519" s="3" t="s">
        <v>52564</v>
      </c>
    </row>
    <row r="5520" spans="1:59" ht="101.5" x14ac:dyDescent="0.35">
      <c r="A5520" s="2" t="s">
        <v>89</v>
      </c>
      <c r="B5520" s="2" t="s">
        <v>36812</v>
      </c>
      <c r="C5520" s="2" t="s">
        <v>52565</v>
      </c>
      <c r="D5520" s="2" t="s">
        <v>52566</v>
      </c>
      <c r="E5520" s="2" t="s">
        <v>52567</v>
      </c>
      <c r="G5520" s="3" t="s">
        <v>62</v>
      </c>
      <c r="I5520" s="3" t="s">
        <v>62</v>
      </c>
      <c r="J5520" s="3" t="s">
        <v>62</v>
      </c>
      <c r="K5520" s="3" t="s">
        <v>63</v>
      </c>
      <c r="L5520" s="2" t="s">
        <v>52568</v>
      </c>
      <c r="M5520" s="2" t="s">
        <v>52569</v>
      </c>
      <c r="N5520" s="3" t="s">
        <v>2136</v>
      </c>
      <c r="P5520" s="3" t="s">
        <v>64</v>
      </c>
      <c r="R5520" s="3" t="s">
        <v>52233</v>
      </c>
      <c r="S5520" s="4">
        <v>7</v>
      </c>
      <c r="T5520" s="4">
        <v>7</v>
      </c>
      <c r="U5520" s="5" t="s">
        <v>2808</v>
      </c>
      <c r="V5520" s="5" t="s">
        <v>2808</v>
      </c>
      <c r="W5520" s="5" t="s">
        <v>67</v>
      </c>
      <c r="X5520" s="5" t="s">
        <v>67</v>
      </c>
      <c r="Y5520" s="4">
        <v>45</v>
      </c>
      <c r="Z5520" s="4">
        <v>6</v>
      </c>
      <c r="AA5520" s="4">
        <v>21</v>
      </c>
      <c r="AB5520" s="4">
        <v>1</v>
      </c>
      <c r="AC5520" s="4">
        <v>6</v>
      </c>
      <c r="AD5520" s="4">
        <v>6</v>
      </c>
      <c r="AE5520" s="4">
        <v>25</v>
      </c>
      <c r="AF5520" s="4">
        <v>0</v>
      </c>
      <c r="AG5520" s="4">
        <v>2</v>
      </c>
      <c r="AH5520" s="4">
        <v>4</v>
      </c>
      <c r="AI5520" s="4">
        <v>20</v>
      </c>
      <c r="AJ5520" s="4">
        <v>0</v>
      </c>
      <c r="AK5520" s="4">
        <v>4</v>
      </c>
      <c r="AL5520" s="4">
        <v>1</v>
      </c>
      <c r="AM5520" s="4">
        <v>11</v>
      </c>
      <c r="AN5520" s="4">
        <v>0</v>
      </c>
      <c r="AO5520" s="4">
        <v>0</v>
      </c>
      <c r="AP5520" s="4">
        <v>2</v>
      </c>
      <c r="AQ5520" s="4">
        <v>6</v>
      </c>
      <c r="AR5520" s="3" t="s">
        <v>62</v>
      </c>
      <c r="AS5520" s="3" t="s">
        <v>62</v>
      </c>
      <c r="AT5520" s="3" t="s">
        <v>62</v>
      </c>
      <c r="AV5520" s="6" t="str">
        <f>HYPERLINK("http://mcgill.on.worldcat.org/oclc/56615670","Catalog Record")</f>
        <v>Catalog Record</v>
      </c>
      <c r="AW5520" s="6" t="str">
        <f>HYPERLINK("http://www.worldcat.org/oclc/56615670","WorldCat Record")</f>
        <v>WorldCat Record</v>
      </c>
      <c r="AX5520" s="3" t="s">
        <v>52570</v>
      </c>
      <c r="AY5520" s="3" t="s">
        <v>52571</v>
      </c>
      <c r="AZ5520" s="3" t="s">
        <v>52572</v>
      </c>
      <c r="BA5520" s="3" t="s">
        <v>52572</v>
      </c>
      <c r="BB5520" s="3" t="s">
        <v>52573</v>
      </c>
      <c r="BC5520" s="3" t="s">
        <v>102</v>
      </c>
      <c r="BD5520" s="3" t="s">
        <v>68</v>
      </c>
      <c r="BE5520" s="3" t="s">
        <v>52574</v>
      </c>
      <c r="BF5520" s="3" t="s">
        <v>52573</v>
      </c>
      <c r="BG5520" s="3" t="s">
        <v>52575</v>
      </c>
    </row>
    <row r="5521" spans="1:59" ht="101.5" x14ac:dyDescent="0.35">
      <c r="A5521" s="2" t="s">
        <v>89</v>
      </c>
      <c r="B5521" s="2" t="s">
        <v>36812</v>
      </c>
      <c r="C5521" s="2" t="s">
        <v>52576</v>
      </c>
      <c r="D5521" s="2" t="s">
        <v>52577</v>
      </c>
      <c r="E5521" s="2" t="s">
        <v>52578</v>
      </c>
      <c r="G5521" s="3" t="s">
        <v>62</v>
      </c>
      <c r="I5521" s="3" t="s">
        <v>62</v>
      </c>
      <c r="J5521" s="3" t="s">
        <v>62</v>
      </c>
      <c r="K5521" s="3" t="s">
        <v>63</v>
      </c>
      <c r="L5521" s="2" t="s">
        <v>52579</v>
      </c>
      <c r="M5521" s="2" t="s">
        <v>52580</v>
      </c>
      <c r="N5521" s="3" t="s">
        <v>1455</v>
      </c>
      <c r="P5521" s="3" t="s">
        <v>64</v>
      </c>
      <c r="R5521" s="3" t="s">
        <v>52233</v>
      </c>
      <c r="S5521" s="4">
        <v>1</v>
      </c>
      <c r="T5521" s="4">
        <v>1</v>
      </c>
      <c r="U5521" s="5" t="s">
        <v>18138</v>
      </c>
      <c r="V5521" s="5" t="s">
        <v>18138</v>
      </c>
      <c r="W5521" s="5" t="s">
        <v>67</v>
      </c>
      <c r="X5521" s="5" t="s">
        <v>67</v>
      </c>
      <c r="Y5521" s="4">
        <v>242</v>
      </c>
      <c r="Z5521" s="4">
        <v>8</v>
      </c>
      <c r="AA5521" s="4">
        <v>11</v>
      </c>
      <c r="AB5521" s="4">
        <v>1</v>
      </c>
      <c r="AC5521" s="4">
        <v>4</v>
      </c>
      <c r="AD5521" s="4">
        <v>3</v>
      </c>
      <c r="AE5521" s="4">
        <v>4</v>
      </c>
      <c r="AF5521" s="4">
        <v>0</v>
      </c>
      <c r="AG5521" s="4">
        <v>0</v>
      </c>
      <c r="AH5521" s="4">
        <v>3</v>
      </c>
      <c r="AI5521" s="4">
        <v>4</v>
      </c>
      <c r="AJ5521" s="4">
        <v>0</v>
      </c>
      <c r="AK5521" s="4">
        <v>0</v>
      </c>
      <c r="AL5521" s="4">
        <v>2</v>
      </c>
      <c r="AM5521" s="4">
        <v>2</v>
      </c>
      <c r="AN5521" s="4">
        <v>0</v>
      </c>
      <c r="AO5521" s="4">
        <v>0</v>
      </c>
      <c r="AP5521" s="4">
        <v>0</v>
      </c>
      <c r="AQ5521" s="4">
        <v>0</v>
      </c>
      <c r="AR5521" s="3" t="s">
        <v>62</v>
      </c>
      <c r="AS5521" s="3" t="s">
        <v>62</v>
      </c>
      <c r="AT5521" s="3" t="s">
        <v>62</v>
      </c>
      <c r="AV5521" s="6" t="str">
        <f>HYPERLINK("http://mcgill.on.worldcat.org/oclc/881092971","Catalog Record")</f>
        <v>Catalog Record</v>
      </c>
      <c r="AW5521" s="6" t="str">
        <f>HYPERLINK("http://www.worldcat.org/oclc/881092971","WorldCat Record")</f>
        <v>WorldCat Record</v>
      </c>
      <c r="AX5521" s="3" t="s">
        <v>52581</v>
      </c>
      <c r="AY5521" s="3" t="s">
        <v>52582</v>
      </c>
      <c r="AZ5521" s="3" t="s">
        <v>52583</v>
      </c>
      <c r="BA5521" s="3" t="s">
        <v>52583</v>
      </c>
      <c r="BB5521" s="3" t="s">
        <v>52584</v>
      </c>
      <c r="BC5521" s="3" t="s">
        <v>102</v>
      </c>
      <c r="BD5521" s="3" t="s">
        <v>68</v>
      </c>
      <c r="BE5521" s="3" t="s">
        <v>52585</v>
      </c>
      <c r="BF5521" s="3" t="s">
        <v>52584</v>
      </c>
      <c r="BG5521" s="3" t="s">
        <v>52586</v>
      </c>
    </row>
    <row r="5522" spans="1:59" ht="101.5" x14ac:dyDescent="0.35">
      <c r="A5522" s="2" t="s">
        <v>89</v>
      </c>
      <c r="B5522" s="2" t="s">
        <v>36812</v>
      </c>
      <c r="C5522" s="2" t="s">
        <v>52587</v>
      </c>
      <c r="D5522" s="2" t="s">
        <v>52588</v>
      </c>
      <c r="E5522" s="2" t="s">
        <v>52589</v>
      </c>
      <c r="G5522" s="3" t="s">
        <v>62</v>
      </c>
      <c r="I5522" s="3" t="s">
        <v>62</v>
      </c>
      <c r="J5522" s="3" t="s">
        <v>62</v>
      </c>
      <c r="K5522" s="3" t="s">
        <v>63</v>
      </c>
      <c r="L5522" s="2" t="s">
        <v>52590</v>
      </c>
      <c r="M5522" s="2" t="s">
        <v>52591</v>
      </c>
      <c r="N5522" s="3" t="s">
        <v>1455</v>
      </c>
      <c r="P5522" s="3" t="s">
        <v>64</v>
      </c>
      <c r="R5522" s="3" t="s">
        <v>52233</v>
      </c>
      <c r="S5522" s="4">
        <v>0</v>
      </c>
      <c r="T5522" s="4">
        <v>0</v>
      </c>
      <c r="W5522" s="5" t="s">
        <v>67</v>
      </c>
      <c r="X5522" s="5" t="s">
        <v>67</v>
      </c>
      <c r="Y5522" s="4">
        <v>182</v>
      </c>
      <c r="Z5522" s="4">
        <v>37</v>
      </c>
      <c r="AA5522" s="4">
        <v>60</v>
      </c>
      <c r="AB5522" s="4">
        <v>3</v>
      </c>
      <c r="AC5522" s="4">
        <v>11</v>
      </c>
      <c r="AD5522" s="4">
        <v>25</v>
      </c>
      <c r="AE5522" s="4">
        <v>41</v>
      </c>
      <c r="AF5522" s="4">
        <v>0</v>
      </c>
      <c r="AG5522" s="4">
        <v>4</v>
      </c>
      <c r="AH5522" s="4">
        <v>20</v>
      </c>
      <c r="AI5522" s="4">
        <v>28</v>
      </c>
      <c r="AJ5522" s="4">
        <v>10</v>
      </c>
      <c r="AK5522" s="4">
        <v>14</v>
      </c>
      <c r="AL5522" s="4">
        <v>8</v>
      </c>
      <c r="AM5522" s="4">
        <v>12</v>
      </c>
      <c r="AN5522" s="4">
        <v>0</v>
      </c>
      <c r="AO5522" s="4">
        <v>0</v>
      </c>
      <c r="AP5522" s="4">
        <v>11</v>
      </c>
      <c r="AQ5522" s="4">
        <v>20</v>
      </c>
      <c r="AR5522" s="3" t="s">
        <v>61</v>
      </c>
      <c r="AS5522" s="3" t="s">
        <v>62</v>
      </c>
      <c r="AT5522" s="3" t="s">
        <v>62</v>
      </c>
      <c r="AV5522" s="6" t="str">
        <f>HYPERLINK("http://mcgill.on.worldcat.org/oclc/897352600","Catalog Record")</f>
        <v>Catalog Record</v>
      </c>
      <c r="AW5522" s="6" t="str">
        <f>HYPERLINK("http://www.worldcat.org/oclc/897352600","WorldCat Record")</f>
        <v>WorldCat Record</v>
      </c>
      <c r="AX5522" s="3" t="s">
        <v>52592</v>
      </c>
      <c r="AY5522" s="3" t="s">
        <v>52593</v>
      </c>
      <c r="AZ5522" s="3" t="s">
        <v>52594</v>
      </c>
      <c r="BA5522" s="3" t="s">
        <v>52594</v>
      </c>
      <c r="BB5522" s="3" t="s">
        <v>52595</v>
      </c>
      <c r="BC5522" s="3" t="s">
        <v>102</v>
      </c>
      <c r="BD5522" s="3" t="s">
        <v>68</v>
      </c>
      <c r="BE5522" s="3" t="s">
        <v>52596</v>
      </c>
      <c r="BF5522" s="3" t="s">
        <v>52595</v>
      </c>
      <c r="BG5522" s="3" t="s">
        <v>52597</v>
      </c>
    </row>
    <row r="5523" spans="1:59" ht="101.5" x14ac:dyDescent="0.35">
      <c r="A5523" s="2" t="s">
        <v>89</v>
      </c>
      <c r="B5523" s="2" t="s">
        <v>36812</v>
      </c>
      <c r="C5523" s="2" t="s">
        <v>52598</v>
      </c>
      <c r="D5523" s="2" t="s">
        <v>52599</v>
      </c>
      <c r="E5523" s="2" t="s">
        <v>52600</v>
      </c>
      <c r="G5523" s="3" t="s">
        <v>62</v>
      </c>
      <c r="I5523" s="3" t="s">
        <v>62</v>
      </c>
      <c r="J5523" s="3" t="s">
        <v>62</v>
      </c>
      <c r="K5523" s="3" t="s">
        <v>63</v>
      </c>
      <c r="L5523" s="2" t="s">
        <v>52601</v>
      </c>
      <c r="M5523" s="2" t="s">
        <v>52602</v>
      </c>
      <c r="N5523" s="3" t="s">
        <v>1038</v>
      </c>
      <c r="P5523" s="3" t="s">
        <v>64</v>
      </c>
      <c r="R5523" s="3" t="s">
        <v>52233</v>
      </c>
      <c r="S5523" s="4">
        <v>0</v>
      </c>
      <c r="T5523" s="4">
        <v>0</v>
      </c>
      <c r="W5523" s="5" t="s">
        <v>67</v>
      </c>
      <c r="X5523" s="5" t="s">
        <v>67</v>
      </c>
      <c r="Y5523" s="4">
        <v>401</v>
      </c>
      <c r="Z5523" s="4">
        <v>12</v>
      </c>
      <c r="AA5523" s="4">
        <v>15</v>
      </c>
      <c r="AB5523" s="4">
        <v>2</v>
      </c>
      <c r="AC5523" s="4">
        <v>5</v>
      </c>
      <c r="AD5523" s="4">
        <v>6</v>
      </c>
      <c r="AE5523" s="4">
        <v>37</v>
      </c>
      <c r="AF5523" s="4">
        <v>0</v>
      </c>
      <c r="AG5523" s="4">
        <v>0</v>
      </c>
      <c r="AH5523" s="4">
        <v>6</v>
      </c>
      <c r="AI5523" s="4">
        <v>36</v>
      </c>
      <c r="AJ5523" s="4">
        <v>0</v>
      </c>
      <c r="AK5523" s="4">
        <v>0</v>
      </c>
      <c r="AL5523" s="4">
        <v>2</v>
      </c>
      <c r="AM5523" s="4">
        <v>21</v>
      </c>
      <c r="AN5523" s="4">
        <v>0</v>
      </c>
      <c r="AO5523" s="4">
        <v>0</v>
      </c>
      <c r="AP5523" s="4">
        <v>0</v>
      </c>
      <c r="AQ5523" s="4">
        <v>0</v>
      </c>
      <c r="AR5523" s="3" t="s">
        <v>62</v>
      </c>
      <c r="AS5523" s="3" t="s">
        <v>62</v>
      </c>
      <c r="AT5523" s="3" t="s">
        <v>62</v>
      </c>
      <c r="AV5523" s="6" t="str">
        <f>HYPERLINK("http://mcgill.on.worldcat.org/oclc/923795441","Catalog Record")</f>
        <v>Catalog Record</v>
      </c>
      <c r="AW5523" s="6" t="str">
        <f>HYPERLINK("http://www.worldcat.org/oclc/923795441","WorldCat Record")</f>
        <v>WorldCat Record</v>
      </c>
      <c r="AX5523" s="3" t="s">
        <v>52603</v>
      </c>
      <c r="AY5523" s="3" t="s">
        <v>52604</v>
      </c>
      <c r="AZ5523" s="3" t="s">
        <v>52605</v>
      </c>
      <c r="BA5523" s="3" t="s">
        <v>52605</v>
      </c>
      <c r="BB5523" s="3" t="s">
        <v>52606</v>
      </c>
      <c r="BC5523" s="3" t="s">
        <v>102</v>
      </c>
      <c r="BD5523" s="3" t="s">
        <v>68</v>
      </c>
      <c r="BE5523" s="3" t="s">
        <v>52607</v>
      </c>
      <c r="BF5523" s="3" t="s">
        <v>52606</v>
      </c>
      <c r="BG5523" s="3" t="s">
        <v>52608</v>
      </c>
    </row>
    <row r="5524" spans="1:59" ht="101.5" x14ac:dyDescent="0.35">
      <c r="A5524" s="2" t="s">
        <v>89</v>
      </c>
      <c r="B5524" s="2" t="s">
        <v>36812</v>
      </c>
      <c r="C5524" s="2" t="s">
        <v>52609</v>
      </c>
      <c r="D5524" s="2" t="s">
        <v>52610</v>
      </c>
      <c r="E5524" s="2" t="s">
        <v>52611</v>
      </c>
      <c r="G5524" s="3" t="s">
        <v>62</v>
      </c>
      <c r="I5524" s="3" t="s">
        <v>62</v>
      </c>
      <c r="J5524" s="3" t="s">
        <v>62</v>
      </c>
      <c r="K5524" s="3" t="s">
        <v>63</v>
      </c>
      <c r="L5524" s="2" t="s">
        <v>52612</v>
      </c>
      <c r="M5524" s="2" t="s">
        <v>52613</v>
      </c>
      <c r="N5524" s="3" t="s">
        <v>726</v>
      </c>
      <c r="P5524" s="3" t="s">
        <v>64</v>
      </c>
      <c r="R5524" s="3" t="s">
        <v>52233</v>
      </c>
      <c r="S5524" s="4">
        <v>3</v>
      </c>
      <c r="T5524" s="4">
        <v>3</v>
      </c>
      <c r="U5524" s="5" t="s">
        <v>74</v>
      </c>
      <c r="V5524" s="5" t="s">
        <v>74</v>
      </c>
      <c r="W5524" s="5" t="s">
        <v>67</v>
      </c>
      <c r="X5524" s="5" t="s">
        <v>67</v>
      </c>
      <c r="Y5524" s="4">
        <v>176</v>
      </c>
      <c r="Z5524" s="4">
        <v>6</v>
      </c>
      <c r="AA5524" s="4">
        <v>12</v>
      </c>
      <c r="AB5524" s="4">
        <v>2</v>
      </c>
      <c r="AC5524" s="4">
        <v>5</v>
      </c>
      <c r="AD5524" s="4">
        <v>12</v>
      </c>
      <c r="AE5524" s="4">
        <v>16</v>
      </c>
      <c r="AF5524" s="4">
        <v>0</v>
      </c>
      <c r="AG5524" s="4">
        <v>1</v>
      </c>
      <c r="AH5524" s="4">
        <v>11</v>
      </c>
      <c r="AI5524" s="4">
        <v>13</v>
      </c>
      <c r="AJ5524" s="4">
        <v>1</v>
      </c>
      <c r="AK5524" s="4">
        <v>3</v>
      </c>
      <c r="AL5524" s="4">
        <v>7</v>
      </c>
      <c r="AM5524" s="4">
        <v>8</v>
      </c>
      <c r="AN5524" s="4">
        <v>0</v>
      </c>
      <c r="AO5524" s="4">
        <v>0</v>
      </c>
      <c r="AP5524" s="4">
        <v>1</v>
      </c>
      <c r="AQ5524" s="4">
        <v>3</v>
      </c>
      <c r="AR5524" s="3" t="s">
        <v>62</v>
      </c>
      <c r="AS5524" s="3" t="s">
        <v>62</v>
      </c>
      <c r="AT5524" s="3" t="s">
        <v>62</v>
      </c>
      <c r="AV5524" s="6" t="str">
        <f>HYPERLINK("http://mcgill.on.worldcat.org/oclc/953525325","Catalog Record")</f>
        <v>Catalog Record</v>
      </c>
      <c r="AW5524" s="6" t="str">
        <f>HYPERLINK("http://www.worldcat.org/oclc/953525325","WorldCat Record")</f>
        <v>WorldCat Record</v>
      </c>
      <c r="AX5524" s="3" t="s">
        <v>52614</v>
      </c>
      <c r="AY5524" s="3" t="s">
        <v>52615</v>
      </c>
      <c r="AZ5524" s="3" t="s">
        <v>52616</v>
      </c>
      <c r="BA5524" s="3" t="s">
        <v>52616</v>
      </c>
      <c r="BB5524" s="3" t="s">
        <v>52617</v>
      </c>
      <c r="BC5524" s="3" t="s">
        <v>102</v>
      </c>
      <c r="BD5524" s="3" t="s">
        <v>68</v>
      </c>
      <c r="BE5524" s="3" t="s">
        <v>52618</v>
      </c>
      <c r="BF5524" s="3" t="s">
        <v>52617</v>
      </c>
      <c r="BG5524" s="3" t="s">
        <v>52619</v>
      </c>
    </row>
    <row r="5525" spans="1:59" ht="101.5" x14ac:dyDescent="0.35">
      <c r="A5525" s="2" t="s">
        <v>89</v>
      </c>
      <c r="B5525" s="2" t="s">
        <v>36812</v>
      </c>
      <c r="C5525" s="2" t="s">
        <v>52620</v>
      </c>
      <c r="D5525" s="2" t="s">
        <v>52621</v>
      </c>
      <c r="E5525" s="2" t="s">
        <v>52622</v>
      </c>
      <c r="G5525" s="3" t="s">
        <v>62</v>
      </c>
      <c r="I5525" s="3" t="s">
        <v>62</v>
      </c>
      <c r="J5525" s="3" t="s">
        <v>62</v>
      </c>
      <c r="K5525" s="3" t="s">
        <v>63</v>
      </c>
      <c r="L5525" s="2" t="s">
        <v>52623</v>
      </c>
      <c r="M5525" s="2" t="s">
        <v>52624</v>
      </c>
      <c r="N5525" s="3" t="s">
        <v>726</v>
      </c>
      <c r="P5525" s="3" t="s">
        <v>64</v>
      </c>
      <c r="R5525" s="3" t="s">
        <v>52233</v>
      </c>
      <c r="S5525" s="4">
        <v>5</v>
      </c>
      <c r="T5525" s="4">
        <v>5</v>
      </c>
      <c r="U5525" s="5" t="s">
        <v>16546</v>
      </c>
      <c r="V5525" s="5" t="s">
        <v>16546</v>
      </c>
      <c r="W5525" s="5" t="s">
        <v>67</v>
      </c>
      <c r="X5525" s="5" t="s">
        <v>67</v>
      </c>
      <c r="Y5525" s="4">
        <v>268</v>
      </c>
      <c r="Z5525" s="4">
        <v>9</v>
      </c>
      <c r="AA5525" s="4">
        <v>10</v>
      </c>
      <c r="AB5525" s="4">
        <v>1</v>
      </c>
      <c r="AC5525" s="4">
        <v>1</v>
      </c>
      <c r="AD5525" s="4">
        <v>4</v>
      </c>
      <c r="AE5525" s="4">
        <v>4</v>
      </c>
      <c r="AF5525" s="4">
        <v>0</v>
      </c>
      <c r="AG5525" s="4">
        <v>0</v>
      </c>
      <c r="AH5525" s="4">
        <v>4</v>
      </c>
      <c r="AI5525" s="4">
        <v>4</v>
      </c>
      <c r="AJ5525" s="4">
        <v>0</v>
      </c>
      <c r="AK5525" s="4">
        <v>0</v>
      </c>
      <c r="AL5525" s="4">
        <v>0</v>
      </c>
      <c r="AM5525" s="4">
        <v>0</v>
      </c>
      <c r="AN5525" s="4">
        <v>0</v>
      </c>
      <c r="AO5525" s="4">
        <v>0</v>
      </c>
      <c r="AP5525" s="4">
        <v>0</v>
      </c>
      <c r="AQ5525" s="4">
        <v>0</v>
      </c>
      <c r="AR5525" s="3" t="s">
        <v>62</v>
      </c>
      <c r="AS5525" s="3" t="s">
        <v>62</v>
      </c>
      <c r="AT5525" s="3" t="s">
        <v>62</v>
      </c>
      <c r="AV5525" s="6" t="str">
        <f>HYPERLINK("http://mcgill.on.worldcat.org/oclc/936351012","Catalog Record")</f>
        <v>Catalog Record</v>
      </c>
      <c r="AW5525" s="6" t="str">
        <f>HYPERLINK("http://www.worldcat.org/oclc/936351012","WorldCat Record")</f>
        <v>WorldCat Record</v>
      </c>
      <c r="AX5525" s="3" t="s">
        <v>52625</v>
      </c>
      <c r="AY5525" s="3" t="s">
        <v>52626</v>
      </c>
      <c r="AZ5525" s="3" t="s">
        <v>52627</v>
      </c>
      <c r="BA5525" s="3" t="s">
        <v>52627</v>
      </c>
      <c r="BB5525" s="3" t="s">
        <v>52628</v>
      </c>
      <c r="BC5525" s="3" t="s">
        <v>102</v>
      </c>
      <c r="BD5525" s="3" t="s">
        <v>68</v>
      </c>
      <c r="BE5525" s="3" t="s">
        <v>52629</v>
      </c>
      <c r="BF5525" s="3" t="s">
        <v>52628</v>
      </c>
      <c r="BG5525" s="3" t="s">
        <v>52630</v>
      </c>
    </row>
    <row r="5526" spans="1:59" ht="101.5" x14ac:dyDescent="0.35">
      <c r="A5526" s="2" t="s">
        <v>89</v>
      </c>
      <c r="B5526" s="2" t="s">
        <v>36812</v>
      </c>
      <c r="C5526" s="2" t="s">
        <v>52631</v>
      </c>
      <c r="D5526" s="2" t="s">
        <v>52632</v>
      </c>
      <c r="E5526" s="2" t="s">
        <v>52633</v>
      </c>
      <c r="G5526" s="3" t="s">
        <v>62</v>
      </c>
      <c r="I5526" s="3" t="s">
        <v>62</v>
      </c>
      <c r="J5526" s="3" t="s">
        <v>62</v>
      </c>
      <c r="K5526" s="3" t="s">
        <v>63</v>
      </c>
      <c r="L5526" s="2" t="s">
        <v>52634</v>
      </c>
      <c r="M5526" s="2" t="s">
        <v>52635</v>
      </c>
      <c r="N5526" s="3" t="s">
        <v>1455</v>
      </c>
      <c r="P5526" s="3" t="s">
        <v>64</v>
      </c>
      <c r="Q5526" s="2" t="s">
        <v>52636</v>
      </c>
      <c r="R5526" s="3" t="s">
        <v>52233</v>
      </c>
      <c r="S5526" s="4">
        <v>0</v>
      </c>
      <c r="T5526" s="4">
        <v>0</v>
      </c>
      <c r="W5526" s="5" t="s">
        <v>67</v>
      </c>
      <c r="X5526" s="5" t="s">
        <v>67</v>
      </c>
      <c r="Y5526" s="4">
        <v>142</v>
      </c>
      <c r="Z5526" s="4">
        <v>3</v>
      </c>
      <c r="AA5526" s="4">
        <v>7</v>
      </c>
      <c r="AB5526" s="4">
        <v>1</v>
      </c>
      <c r="AC5526" s="4">
        <v>4</v>
      </c>
      <c r="AD5526" s="4">
        <v>9</v>
      </c>
      <c r="AE5526" s="4">
        <v>14</v>
      </c>
      <c r="AF5526" s="4">
        <v>0</v>
      </c>
      <c r="AG5526" s="4">
        <v>1</v>
      </c>
      <c r="AH5526" s="4">
        <v>6</v>
      </c>
      <c r="AI5526" s="4">
        <v>10</v>
      </c>
      <c r="AJ5526" s="4">
        <v>0</v>
      </c>
      <c r="AK5526" s="4">
        <v>1</v>
      </c>
      <c r="AL5526" s="4">
        <v>4</v>
      </c>
      <c r="AM5526" s="4">
        <v>7</v>
      </c>
      <c r="AN5526" s="4">
        <v>0</v>
      </c>
      <c r="AO5526" s="4">
        <v>0</v>
      </c>
      <c r="AP5526" s="4">
        <v>2</v>
      </c>
      <c r="AQ5526" s="4">
        <v>3</v>
      </c>
      <c r="AR5526" s="3" t="s">
        <v>62</v>
      </c>
      <c r="AS5526" s="3" t="s">
        <v>62</v>
      </c>
      <c r="AT5526" s="3" t="s">
        <v>62</v>
      </c>
      <c r="AV5526" s="6" t="str">
        <f>HYPERLINK("http://mcgill.on.worldcat.org/oclc/900016651","Catalog Record")</f>
        <v>Catalog Record</v>
      </c>
      <c r="AW5526" s="6" t="str">
        <f>HYPERLINK("http://www.worldcat.org/oclc/900016651","WorldCat Record")</f>
        <v>WorldCat Record</v>
      </c>
      <c r="AX5526" s="3" t="s">
        <v>52637</v>
      </c>
      <c r="AY5526" s="3" t="s">
        <v>52638</v>
      </c>
      <c r="AZ5526" s="3" t="s">
        <v>52639</v>
      </c>
      <c r="BA5526" s="3" t="s">
        <v>52639</v>
      </c>
      <c r="BB5526" s="3" t="s">
        <v>52640</v>
      </c>
      <c r="BC5526" s="3" t="s">
        <v>102</v>
      </c>
      <c r="BD5526" s="3" t="s">
        <v>68</v>
      </c>
      <c r="BE5526" s="3" t="s">
        <v>52641</v>
      </c>
      <c r="BF5526" s="3" t="s">
        <v>52640</v>
      </c>
      <c r="BG5526" s="3" t="s">
        <v>52642</v>
      </c>
    </row>
    <row r="5527" spans="1:59" ht="58" x14ac:dyDescent="0.35">
      <c r="A5527" s="2" t="s">
        <v>59</v>
      </c>
      <c r="B5527" s="2" t="s">
        <v>60</v>
      </c>
      <c r="C5527" s="2" t="s">
        <v>52645</v>
      </c>
      <c r="D5527" s="2" t="s">
        <v>52646</v>
      </c>
      <c r="E5527" s="2" t="s">
        <v>52647</v>
      </c>
      <c r="G5527" s="3" t="s">
        <v>62</v>
      </c>
      <c r="I5527" s="3" t="s">
        <v>62</v>
      </c>
      <c r="J5527" s="3" t="s">
        <v>61</v>
      </c>
      <c r="K5527" s="3" t="s">
        <v>63</v>
      </c>
      <c r="L5527" s="2" t="s">
        <v>52648</v>
      </c>
      <c r="M5527" s="2" t="s">
        <v>52649</v>
      </c>
      <c r="N5527" s="3" t="s">
        <v>78</v>
      </c>
      <c r="O5527" s="2" t="s">
        <v>52406</v>
      </c>
      <c r="P5527" s="3" t="s">
        <v>64</v>
      </c>
      <c r="R5527" s="3" t="s">
        <v>52643</v>
      </c>
      <c r="S5527" s="4">
        <v>1</v>
      </c>
      <c r="T5527" s="4">
        <v>1</v>
      </c>
      <c r="U5527" s="5" t="s">
        <v>7168</v>
      </c>
      <c r="V5527" s="5" t="s">
        <v>7168</v>
      </c>
      <c r="W5527" s="5" t="s">
        <v>67</v>
      </c>
      <c r="X5527" s="5" t="s">
        <v>67</v>
      </c>
      <c r="Y5527" s="4">
        <v>202</v>
      </c>
      <c r="Z5527" s="4">
        <v>13</v>
      </c>
      <c r="AA5527" s="4">
        <v>34</v>
      </c>
      <c r="AB5527" s="4">
        <v>1</v>
      </c>
      <c r="AC5527" s="4">
        <v>8</v>
      </c>
      <c r="AD5527" s="4">
        <v>72</v>
      </c>
      <c r="AE5527" s="4">
        <v>115</v>
      </c>
      <c r="AF5527" s="4">
        <v>0</v>
      </c>
      <c r="AG5527" s="4">
        <v>4</v>
      </c>
      <c r="AH5527" s="4">
        <v>62</v>
      </c>
      <c r="AI5527" s="4">
        <v>97</v>
      </c>
      <c r="AJ5527" s="4">
        <v>8</v>
      </c>
      <c r="AK5527" s="4">
        <v>20</v>
      </c>
      <c r="AL5527" s="4">
        <v>40</v>
      </c>
      <c r="AM5527" s="4">
        <v>51</v>
      </c>
      <c r="AN5527" s="4">
        <v>0</v>
      </c>
      <c r="AO5527" s="4">
        <v>0</v>
      </c>
      <c r="AP5527" s="4">
        <v>10</v>
      </c>
      <c r="AQ5527" s="4">
        <v>25</v>
      </c>
      <c r="AR5527" s="3" t="s">
        <v>62</v>
      </c>
      <c r="AS5527" s="3" t="s">
        <v>62</v>
      </c>
      <c r="AT5527" s="3" t="s">
        <v>61</v>
      </c>
      <c r="AU5527" s="6" t="str">
        <f>HYPERLINK("http://catalog.hathitrust.org/Record/001555214","HathiTrust Record")</f>
        <v>HathiTrust Record</v>
      </c>
      <c r="AV5527" s="6" t="str">
        <f>HYPERLINK("http://mcgill.on.worldcat.org/oclc/616125","Catalog Record")</f>
        <v>Catalog Record</v>
      </c>
      <c r="AW5527" s="6" t="str">
        <f>HYPERLINK("http://www.worldcat.org/oclc/616125","WorldCat Record")</f>
        <v>WorldCat Record</v>
      </c>
      <c r="AX5527" s="3" t="s">
        <v>52650</v>
      </c>
      <c r="AY5527" s="3" t="s">
        <v>52651</v>
      </c>
      <c r="AZ5527" s="3" t="s">
        <v>52652</v>
      </c>
      <c r="BA5527" s="3" t="s">
        <v>52652</v>
      </c>
      <c r="BB5527" s="3" t="s">
        <v>52653</v>
      </c>
      <c r="BC5527" s="3" t="s">
        <v>102</v>
      </c>
      <c r="BD5527" s="3" t="s">
        <v>68</v>
      </c>
      <c r="BF5527" s="3" t="s">
        <v>52653</v>
      </c>
      <c r="BG5527" s="3" t="s">
        <v>52654</v>
      </c>
    </row>
    <row r="5528" spans="1:59" ht="72.5" x14ac:dyDescent="0.35">
      <c r="A5528" s="2" t="s">
        <v>59</v>
      </c>
      <c r="B5528" s="2" t="s">
        <v>60</v>
      </c>
      <c r="C5528" s="2" t="s">
        <v>52655</v>
      </c>
      <c r="D5528" s="2" t="s">
        <v>52656</v>
      </c>
      <c r="E5528" s="2" t="s">
        <v>52657</v>
      </c>
      <c r="G5528" s="3" t="s">
        <v>62</v>
      </c>
      <c r="I5528" s="3" t="s">
        <v>61</v>
      </c>
      <c r="J5528" s="3" t="s">
        <v>61</v>
      </c>
      <c r="K5528" s="3" t="s">
        <v>63</v>
      </c>
      <c r="L5528" s="2" t="s">
        <v>37480</v>
      </c>
      <c r="M5528" s="2" t="s">
        <v>52658</v>
      </c>
      <c r="N5528" s="3" t="s">
        <v>186</v>
      </c>
      <c r="O5528" s="2" t="s">
        <v>8350</v>
      </c>
      <c r="P5528" s="3" t="s">
        <v>64</v>
      </c>
      <c r="R5528" s="3" t="s">
        <v>52643</v>
      </c>
      <c r="S5528" s="4">
        <v>0</v>
      </c>
      <c r="T5528" s="4">
        <v>80</v>
      </c>
      <c r="V5528" s="5" t="s">
        <v>28263</v>
      </c>
      <c r="W5528" s="5" t="s">
        <v>67</v>
      </c>
      <c r="X5528" s="5" t="s">
        <v>67</v>
      </c>
      <c r="Y5528" s="4">
        <v>854</v>
      </c>
      <c r="Z5528" s="4">
        <v>43</v>
      </c>
      <c r="AA5528" s="4">
        <v>63</v>
      </c>
      <c r="AB5528" s="4">
        <v>3</v>
      </c>
      <c r="AC5528" s="4">
        <v>10</v>
      </c>
      <c r="AD5528" s="4">
        <v>124</v>
      </c>
      <c r="AE5528" s="4">
        <v>149</v>
      </c>
      <c r="AF5528" s="4">
        <v>1</v>
      </c>
      <c r="AG5528" s="4">
        <v>6</v>
      </c>
      <c r="AH5528" s="4">
        <v>105</v>
      </c>
      <c r="AI5528" s="4">
        <v>116</v>
      </c>
      <c r="AJ5528" s="4">
        <v>18</v>
      </c>
      <c r="AK5528" s="4">
        <v>24</v>
      </c>
      <c r="AL5528" s="4">
        <v>57</v>
      </c>
      <c r="AM5528" s="4">
        <v>61</v>
      </c>
      <c r="AN5528" s="4">
        <v>5</v>
      </c>
      <c r="AO5528" s="4">
        <v>6</v>
      </c>
      <c r="AP5528" s="4">
        <v>26</v>
      </c>
      <c r="AQ5528" s="4">
        <v>39</v>
      </c>
      <c r="AR5528" s="3" t="s">
        <v>62</v>
      </c>
      <c r="AS5528" s="3" t="s">
        <v>62</v>
      </c>
      <c r="AT5528" s="3" t="s">
        <v>61</v>
      </c>
      <c r="AU5528" s="6" t="str">
        <f>HYPERLINK("http://catalog.hathitrust.org/Record/000030838","HathiTrust Record")</f>
        <v>HathiTrust Record</v>
      </c>
      <c r="AV5528" s="6" t="str">
        <f>HYPERLINK("http://mcgill.on.worldcat.org/oclc/1576119","Catalog Record")</f>
        <v>Catalog Record</v>
      </c>
      <c r="AW5528" s="6" t="str">
        <f>HYPERLINK("http://www.worldcat.org/oclc/1576119","WorldCat Record")</f>
        <v>WorldCat Record</v>
      </c>
      <c r="AX5528" s="3" t="s">
        <v>52659</v>
      </c>
      <c r="AY5528" s="3" t="s">
        <v>52660</v>
      </c>
      <c r="AZ5528" s="3" t="s">
        <v>52661</v>
      </c>
      <c r="BA5528" s="3" t="s">
        <v>52661</v>
      </c>
      <c r="BB5528" s="3" t="s">
        <v>52662</v>
      </c>
      <c r="BC5528" s="3" t="s">
        <v>102</v>
      </c>
      <c r="BD5528" s="3" t="s">
        <v>68</v>
      </c>
      <c r="BE5528" s="3" t="s">
        <v>52663</v>
      </c>
      <c r="BF5528" s="3" t="s">
        <v>52662</v>
      </c>
      <c r="BG5528" s="3" t="s">
        <v>52664</v>
      </c>
    </row>
    <row r="5529" spans="1:59" ht="72.5" x14ac:dyDescent="0.35">
      <c r="A5529" s="2" t="s">
        <v>59</v>
      </c>
      <c r="B5529" s="2" t="s">
        <v>60</v>
      </c>
      <c r="C5529" s="2" t="s">
        <v>52655</v>
      </c>
      <c r="D5529" s="2" t="s">
        <v>52656</v>
      </c>
      <c r="E5529" s="2" t="s">
        <v>52657</v>
      </c>
      <c r="G5529" s="3" t="s">
        <v>62</v>
      </c>
      <c r="I5529" s="3" t="s">
        <v>61</v>
      </c>
      <c r="J5529" s="3" t="s">
        <v>61</v>
      </c>
      <c r="K5529" s="3" t="s">
        <v>63</v>
      </c>
      <c r="L5529" s="2" t="s">
        <v>37480</v>
      </c>
      <c r="M5529" s="2" t="s">
        <v>52658</v>
      </c>
      <c r="N5529" s="3" t="s">
        <v>186</v>
      </c>
      <c r="O5529" s="2" t="s">
        <v>8350</v>
      </c>
      <c r="P5529" s="3" t="s">
        <v>64</v>
      </c>
      <c r="R5529" s="3" t="s">
        <v>52643</v>
      </c>
      <c r="S5529" s="4">
        <v>18</v>
      </c>
      <c r="T5529" s="4">
        <v>80</v>
      </c>
      <c r="U5529" s="5" t="s">
        <v>28263</v>
      </c>
      <c r="V5529" s="5" t="s">
        <v>28263</v>
      </c>
      <c r="W5529" s="5" t="s">
        <v>67</v>
      </c>
      <c r="X5529" s="5" t="s">
        <v>67</v>
      </c>
      <c r="Y5529" s="4">
        <v>854</v>
      </c>
      <c r="Z5529" s="4">
        <v>43</v>
      </c>
      <c r="AA5529" s="4">
        <v>63</v>
      </c>
      <c r="AB5529" s="4">
        <v>3</v>
      </c>
      <c r="AC5529" s="4">
        <v>10</v>
      </c>
      <c r="AD5529" s="4">
        <v>124</v>
      </c>
      <c r="AE5529" s="4">
        <v>149</v>
      </c>
      <c r="AF5529" s="4">
        <v>1</v>
      </c>
      <c r="AG5529" s="4">
        <v>6</v>
      </c>
      <c r="AH5529" s="4">
        <v>105</v>
      </c>
      <c r="AI5529" s="4">
        <v>116</v>
      </c>
      <c r="AJ5529" s="4">
        <v>18</v>
      </c>
      <c r="AK5529" s="4">
        <v>24</v>
      </c>
      <c r="AL5529" s="4">
        <v>57</v>
      </c>
      <c r="AM5529" s="4">
        <v>61</v>
      </c>
      <c r="AN5529" s="4">
        <v>5</v>
      </c>
      <c r="AO5529" s="4">
        <v>6</v>
      </c>
      <c r="AP5529" s="4">
        <v>26</v>
      </c>
      <c r="AQ5529" s="4">
        <v>39</v>
      </c>
      <c r="AR5529" s="3" t="s">
        <v>62</v>
      </c>
      <c r="AS5529" s="3" t="s">
        <v>62</v>
      </c>
      <c r="AT5529" s="3" t="s">
        <v>61</v>
      </c>
      <c r="AU5529" s="6" t="str">
        <f>HYPERLINK("http://catalog.hathitrust.org/Record/000030838","HathiTrust Record")</f>
        <v>HathiTrust Record</v>
      </c>
      <c r="AV5529" s="6" t="str">
        <f>HYPERLINK("http://mcgill.on.worldcat.org/oclc/1576119","Catalog Record")</f>
        <v>Catalog Record</v>
      </c>
      <c r="AW5529" s="6" t="str">
        <f>HYPERLINK("http://www.worldcat.org/oclc/1576119","WorldCat Record")</f>
        <v>WorldCat Record</v>
      </c>
      <c r="AX5529" s="3" t="s">
        <v>52659</v>
      </c>
      <c r="AY5529" s="3" t="s">
        <v>52660</v>
      </c>
      <c r="AZ5529" s="3" t="s">
        <v>52661</v>
      </c>
      <c r="BA5529" s="3" t="s">
        <v>52661</v>
      </c>
      <c r="BB5529" s="3" t="s">
        <v>52665</v>
      </c>
      <c r="BC5529" s="3" t="s">
        <v>102</v>
      </c>
      <c r="BD5529" s="3" t="s">
        <v>68</v>
      </c>
      <c r="BE5529" s="3" t="s">
        <v>52663</v>
      </c>
      <c r="BF5529" s="3" t="s">
        <v>52665</v>
      </c>
      <c r="BG5529" s="3" t="s">
        <v>52666</v>
      </c>
    </row>
    <row r="5530" spans="1:59" ht="101.5" x14ac:dyDescent="0.35">
      <c r="A5530" s="2" t="s">
        <v>89</v>
      </c>
      <c r="B5530" s="2" t="s">
        <v>36812</v>
      </c>
      <c r="C5530" s="2" t="s">
        <v>52667</v>
      </c>
      <c r="D5530" s="2" t="s">
        <v>52668</v>
      </c>
      <c r="E5530" s="2" t="s">
        <v>52669</v>
      </c>
      <c r="G5530" s="3" t="s">
        <v>62</v>
      </c>
      <c r="I5530" s="3" t="s">
        <v>61</v>
      </c>
      <c r="J5530" s="3" t="s">
        <v>62</v>
      </c>
      <c r="K5530" s="3" t="s">
        <v>63</v>
      </c>
      <c r="L5530" s="2" t="s">
        <v>52670</v>
      </c>
      <c r="M5530" s="2" t="s">
        <v>52671</v>
      </c>
      <c r="N5530" s="3" t="s">
        <v>1038</v>
      </c>
      <c r="P5530" s="3" t="s">
        <v>64</v>
      </c>
      <c r="R5530" s="3" t="s">
        <v>52643</v>
      </c>
      <c r="S5530" s="4">
        <v>0</v>
      </c>
      <c r="T5530" s="4">
        <v>1</v>
      </c>
      <c r="V5530" s="5" t="s">
        <v>7803</v>
      </c>
      <c r="W5530" s="5" t="s">
        <v>67</v>
      </c>
      <c r="X5530" s="5" t="s">
        <v>67</v>
      </c>
      <c r="Y5530" s="4">
        <v>360</v>
      </c>
      <c r="Z5530" s="4">
        <v>11</v>
      </c>
      <c r="AA5530" s="4">
        <v>28</v>
      </c>
      <c r="AB5530" s="4">
        <v>1</v>
      </c>
      <c r="AC5530" s="4">
        <v>6</v>
      </c>
      <c r="AD5530" s="4">
        <v>17</v>
      </c>
      <c r="AE5530" s="4">
        <v>39</v>
      </c>
      <c r="AF5530" s="4">
        <v>0</v>
      </c>
      <c r="AG5530" s="4">
        <v>1</v>
      </c>
      <c r="AH5530" s="4">
        <v>14</v>
      </c>
      <c r="AI5530" s="4">
        <v>30</v>
      </c>
      <c r="AJ5530" s="4">
        <v>2</v>
      </c>
      <c r="AK5530" s="4">
        <v>6</v>
      </c>
      <c r="AL5530" s="4">
        <v>7</v>
      </c>
      <c r="AM5530" s="4">
        <v>16</v>
      </c>
      <c r="AN5530" s="4">
        <v>0</v>
      </c>
      <c r="AO5530" s="4">
        <v>0</v>
      </c>
      <c r="AP5530" s="4">
        <v>4</v>
      </c>
      <c r="AQ5530" s="4">
        <v>11</v>
      </c>
      <c r="AR5530" s="3" t="s">
        <v>62</v>
      </c>
      <c r="AS5530" s="3" t="s">
        <v>62</v>
      </c>
      <c r="AT5530" s="3" t="s">
        <v>62</v>
      </c>
      <c r="AV5530" s="6" t="str">
        <f>HYPERLINK("http://mcgill.on.worldcat.org/oclc/912377294","Catalog Record")</f>
        <v>Catalog Record</v>
      </c>
      <c r="AW5530" s="6" t="str">
        <f>HYPERLINK("http://www.worldcat.org/oclc/912377294","WorldCat Record")</f>
        <v>WorldCat Record</v>
      </c>
      <c r="AX5530" s="3" t="s">
        <v>52672</v>
      </c>
      <c r="AY5530" s="3" t="s">
        <v>52673</v>
      </c>
      <c r="AZ5530" s="3" t="s">
        <v>52674</v>
      </c>
      <c r="BA5530" s="3" t="s">
        <v>52674</v>
      </c>
      <c r="BB5530" s="3" t="s">
        <v>52675</v>
      </c>
      <c r="BC5530" s="3" t="s">
        <v>102</v>
      </c>
      <c r="BD5530" s="3" t="s">
        <v>68</v>
      </c>
      <c r="BE5530" s="3" t="s">
        <v>52676</v>
      </c>
      <c r="BF5530" s="3" t="s">
        <v>52675</v>
      </c>
      <c r="BG5530" s="3" t="s">
        <v>52677</v>
      </c>
    </row>
    <row r="5531" spans="1:59" ht="101.5" x14ac:dyDescent="0.35">
      <c r="A5531" s="2" t="s">
        <v>89</v>
      </c>
      <c r="B5531" s="2" t="s">
        <v>36812</v>
      </c>
      <c r="C5531" s="2" t="s">
        <v>52678</v>
      </c>
      <c r="D5531" s="2" t="s">
        <v>52679</v>
      </c>
      <c r="E5531" s="2" t="s">
        <v>52680</v>
      </c>
      <c r="G5531" s="3" t="s">
        <v>62</v>
      </c>
      <c r="I5531" s="3" t="s">
        <v>62</v>
      </c>
      <c r="J5531" s="3" t="s">
        <v>62</v>
      </c>
      <c r="K5531" s="3" t="s">
        <v>63</v>
      </c>
      <c r="L5531" s="2" t="s">
        <v>52681</v>
      </c>
      <c r="M5531" s="2" t="s">
        <v>52682</v>
      </c>
      <c r="N5531" s="3" t="s">
        <v>712</v>
      </c>
      <c r="P5531" s="3" t="s">
        <v>64</v>
      </c>
      <c r="R5531" s="3" t="s">
        <v>52643</v>
      </c>
      <c r="S5531" s="4">
        <v>2</v>
      </c>
      <c r="T5531" s="4">
        <v>2</v>
      </c>
      <c r="U5531" s="5" t="s">
        <v>2808</v>
      </c>
      <c r="V5531" s="5" t="s">
        <v>2808</v>
      </c>
      <c r="W5531" s="5" t="s">
        <v>67</v>
      </c>
      <c r="X5531" s="5" t="s">
        <v>67</v>
      </c>
      <c r="Y5531" s="4">
        <v>720</v>
      </c>
      <c r="Z5531" s="4">
        <v>14</v>
      </c>
      <c r="AA5531" s="4">
        <v>15</v>
      </c>
      <c r="AB5531" s="4">
        <v>1</v>
      </c>
      <c r="AC5531" s="4">
        <v>2</v>
      </c>
      <c r="AD5531" s="4">
        <v>7</v>
      </c>
      <c r="AE5531" s="4">
        <v>7</v>
      </c>
      <c r="AF5531" s="4">
        <v>0</v>
      </c>
      <c r="AG5531" s="4">
        <v>0</v>
      </c>
      <c r="AH5531" s="4">
        <v>7</v>
      </c>
      <c r="AI5531" s="4">
        <v>7</v>
      </c>
      <c r="AJ5531" s="4">
        <v>0</v>
      </c>
      <c r="AK5531" s="4">
        <v>0</v>
      </c>
      <c r="AL5531" s="4">
        <v>5</v>
      </c>
      <c r="AM5531" s="4">
        <v>5</v>
      </c>
      <c r="AN5531" s="4">
        <v>0</v>
      </c>
      <c r="AO5531" s="4">
        <v>0</v>
      </c>
      <c r="AP5531" s="4">
        <v>0</v>
      </c>
      <c r="AQ5531" s="4">
        <v>0</v>
      </c>
      <c r="AR5531" s="3" t="s">
        <v>62</v>
      </c>
      <c r="AS5531" s="3" t="s">
        <v>62</v>
      </c>
      <c r="AT5531" s="3" t="s">
        <v>62</v>
      </c>
      <c r="AV5531" s="6" t="str">
        <f>HYPERLINK("http://mcgill.on.worldcat.org/oclc/890799188","Catalog Record")</f>
        <v>Catalog Record</v>
      </c>
      <c r="AW5531" s="6" t="str">
        <f>HYPERLINK("http://www.worldcat.org/oclc/890799188","WorldCat Record")</f>
        <v>WorldCat Record</v>
      </c>
      <c r="AX5531" s="3" t="s">
        <v>52683</v>
      </c>
      <c r="AY5531" s="3" t="s">
        <v>52684</v>
      </c>
      <c r="AZ5531" s="3" t="s">
        <v>52685</v>
      </c>
      <c r="BA5531" s="3" t="s">
        <v>52685</v>
      </c>
      <c r="BB5531" s="3" t="s">
        <v>52686</v>
      </c>
      <c r="BC5531" s="3" t="s">
        <v>102</v>
      </c>
      <c r="BD5531" s="3" t="s">
        <v>7808</v>
      </c>
      <c r="BE5531" s="3" t="s">
        <v>52687</v>
      </c>
      <c r="BF5531" s="3" t="s">
        <v>52686</v>
      </c>
      <c r="BG5531" s="3" t="s">
        <v>52688</v>
      </c>
    </row>
    <row r="5532" spans="1:59" ht="58" x14ac:dyDescent="0.35">
      <c r="A5532" s="2" t="s">
        <v>59</v>
      </c>
      <c r="B5532" s="2" t="s">
        <v>60</v>
      </c>
      <c r="C5532" s="2" t="s">
        <v>52689</v>
      </c>
      <c r="D5532" s="2" t="s">
        <v>52690</v>
      </c>
      <c r="E5532" s="2" t="s">
        <v>52691</v>
      </c>
      <c r="F5532" s="3" t="s">
        <v>52692</v>
      </c>
      <c r="G5532" s="3" t="s">
        <v>61</v>
      </c>
      <c r="I5532" s="3" t="s">
        <v>62</v>
      </c>
      <c r="J5532" s="3" t="s">
        <v>62</v>
      </c>
      <c r="K5532" s="3" t="s">
        <v>63</v>
      </c>
      <c r="L5532" s="2" t="s">
        <v>52693</v>
      </c>
      <c r="M5532" s="2" t="s">
        <v>52694</v>
      </c>
      <c r="N5532" s="3" t="s">
        <v>838</v>
      </c>
      <c r="P5532" s="3" t="s">
        <v>64</v>
      </c>
      <c r="R5532" s="3" t="s">
        <v>52643</v>
      </c>
      <c r="S5532" s="4">
        <v>0</v>
      </c>
      <c r="T5532" s="4">
        <v>9</v>
      </c>
      <c r="V5532" s="5" t="s">
        <v>17504</v>
      </c>
      <c r="W5532" s="5" t="s">
        <v>67</v>
      </c>
      <c r="X5532" s="5" t="s">
        <v>67</v>
      </c>
      <c r="Y5532" s="4">
        <v>484</v>
      </c>
      <c r="Z5532" s="4">
        <v>26</v>
      </c>
      <c r="AA5532" s="4">
        <v>31</v>
      </c>
      <c r="AB5532" s="4">
        <v>3</v>
      </c>
      <c r="AC5532" s="4">
        <v>8</v>
      </c>
      <c r="AD5532" s="4">
        <v>110</v>
      </c>
      <c r="AE5532" s="4">
        <v>114</v>
      </c>
      <c r="AF5532" s="4">
        <v>1</v>
      </c>
      <c r="AG5532" s="4">
        <v>4</v>
      </c>
      <c r="AH5532" s="4">
        <v>96</v>
      </c>
      <c r="AI5532" s="4">
        <v>98</v>
      </c>
      <c r="AJ5532" s="4">
        <v>19</v>
      </c>
      <c r="AK5532" s="4">
        <v>22</v>
      </c>
      <c r="AL5532" s="4">
        <v>52</v>
      </c>
      <c r="AM5532" s="4">
        <v>52</v>
      </c>
      <c r="AN5532" s="4">
        <v>0</v>
      </c>
      <c r="AO5532" s="4">
        <v>0</v>
      </c>
      <c r="AP5532" s="4">
        <v>20</v>
      </c>
      <c r="AQ5532" s="4">
        <v>22</v>
      </c>
      <c r="AR5532" s="3" t="s">
        <v>62</v>
      </c>
      <c r="AS5532" s="3" t="s">
        <v>62</v>
      </c>
      <c r="AT5532" s="3" t="s">
        <v>61</v>
      </c>
      <c r="AU5532" s="6" t="str">
        <f>HYPERLINK("http://catalog.hathitrust.org/Record/001555455","HathiTrust Record")</f>
        <v>HathiTrust Record</v>
      </c>
      <c r="AV5532" s="6" t="str">
        <f>HYPERLINK("http://mcgill.on.worldcat.org/oclc/224849","Catalog Record")</f>
        <v>Catalog Record</v>
      </c>
      <c r="AW5532" s="6" t="str">
        <f>HYPERLINK("http://www.worldcat.org/oclc/224849","WorldCat Record")</f>
        <v>WorldCat Record</v>
      </c>
      <c r="AX5532" s="3" t="s">
        <v>52695</v>
      </c>
      <c r="AY5532" s="3" t="s">
        <v>52696</v>
      </c>
      <c r="AZ5532" s="3" t="s">
        <v>52697</v>
      </c>
      <c r="BA5532" s="3" t="s">
        <v>52697</v>
      </c>
      <c r="BB5532" s="3" t="s">
        <v>52698</v>
      </c>
      <c r="BC5532" s="3" t="s">
        <v>102</v>
      </c>
      <c r="BD5532" s="3" t="s">
        <v>68</v>
      </c>
      <c r="BE5532" s="3" t="s">
        <v>52699</v>
      </c>
      <c r="BF5532" s="3" t="s">
        <v>52698</v>
      </c>
      <c r="BG5532" s="3" t="s">
        <v>52700</v>
      </c>
    </row>
    <row r="5533" spans="1:59" ht="58" x14ac:dyDescent="0.35">
      <c r="A5533" s="2" t="s">
        <v>59</v>
      </c>
      <c r="B5533" s="2" t="s">
        <v>60</v>
      </c>
      <c r="C5533" s="2" t="s">
        <v>52689</v>
      </c>
      <c r="D5533" s="2" t="s">
        <v>52690</v>
      </c>
      <c r="E5533" s="2" t="s">
        <v>52691</v>
      </c>
      <c r="F5533" s="3" t="s">
        <v>52701</v>
      </c>
      <c r="G5533" s="3" t="s">
        <v>61</v>
      </c>
      <c r="I5533" s="3" t="s">
        <v>62</v>
      </c>
      <c r="J5533" s="3" t="s">
        <v>62</v>
      </c>
      <c r="K5533" s="3" t="s">
        <v>63</v>
      </c>
      <c r="L5533" s="2" t="s">
        <v>52693</v>
      </c>
      <c r="M5533" s="2" t="s">
        <v>52694</v>
      </c>
      <c r="N5533" s="3" t="s">
        <v>838</v>
      </c>
      <c r="P5533" s="3" t="s">
        <v>64</v>
      </c>
      <c r="R5533" s="3" t="s">
        <v>52643</v>
      </c>
      <c r="S5533" s="4">
        <v>0</v>
      </c>
      <c r="T5533" s="4">
        <v>9</v>
      </c>
      <c r="V5533" s="5" t="s">
        <v>17504</v>
      </c>
      <c r="W5533" s="5" t="s">
        <v>67</v>
      </c>
      <c r="X5533" s="5" t="s">
        <v>67</v>
      </c>
      <c r="Y5533" s="4">
        <v>484</v>
      </c>
      <c r="Z5533" s="4">
        <v>26</v>
      </c>
      <c r="AA5533" s="4">
        <v>31</v>
      </c>
      <c r="AB5533" s="4">
        <v>3</v>
      </c>
      <c r="AC5533" s="4">
        <v>8</v>
      </c>
      <c r="AD5533" s="4">
        <v>110</v>
      </c>
      <c r="AE5533" s="4">
        <v>114</v>
      </c>
      <c r="AF5533" s="4">
        <v>1</v>
      </c>
      <c r="AG5533" s="4">
        <v>4</v>
      </c>
      <c r="AH5533" s="4">
        <v>96</v>
      </c>
      <c r="AI5533" s="4">
        <v>98</v>
      </c>
      <c r="AJ5533" s="4">
        <v>19</v>
      </c>
      <c r="AK5533" s="4">
        <v>22</v>
      </c>
      <c r="AL5533" s="4">
        <v>52</v>
      </c>
      <c r="AM5533" s="4">
        <v>52</v>
      </c>
      <c r="AN5533" s="4">
        <v>0</v>
      </c>
      <c r="AO5533" s="4">
        <v>0</v>
      </c>
      <c r="AP5533" s="4">
        <v>20</v>
      </c>
      <c r="AQ5533" s="4">
        <v>22</v>
      </c>
      <c r="AR5533" s="3" t="s">
        <v>62</v>
      </c>
      <c r="AS5533" s="3" t="s">
        <v>62</v>
      </c>
      <c r="AT5533" s="3" t="s">
        <v>61</v>
      </c>
      <c r="AU5533" s="6" t="str">
        <f>HYPERLINK("http://catalog.hathitrust.org/Record/001555455","HathiTrust Record")</f>
        <v>HathiTrust Record</v>
      </c>
      <c r="AV5533" s="6" t="str">
        <f>HYPERLINK("http://mcgill.on.worldcat.org/oclc/224849","Catalog Record")</f>
        <v>Catalog Record</v>
      </c>
      <c r="AW5533" s="6" t="str">
        <f>HYPERLINK("http://www.worldcat.org/oclc/224849","WorldCat Record")</f>
        <v>WorldCat Record</v>
      </c>
      <c r="AX5533" s="3" t="s">
        <v>52695</v>
      </c>
      <c r="AY5533" s="3" t="s">
        <v>52696</v>
      </c>
      <c r="AZ5533" s="3" t="s">
        <v>52697</v>
      </c>
      <c r="BA5533" s="3" t="s">
        <v>52697</v>
      </c>
      <c r="BB5533" s="3" t="s">
        <v>52702</v>
      </c>
      <c r="BC5533" s="3" t="s">
        <v>102</v>
      </c>
      <c r="BD5533" s="3" t="s">
        <v>68</v>
      </c>
      <c r="BE5533" s="3" t="s">
        <v>52699</v>
      </c>
      <c r="BF5533" s="3" t="s">
        <v>52702</v>
      </c>
      <c r="BG5533" s="3" t="s">
        <v>52703</v>
      </c>
    </row>
    <row r="5534" spans="1:59" ht="58" x14ac:dyDescent="0.35">
      <c r="A5534" s="2" t="s">
        <v>59</v>
      </c>
      <c r="B5534" s="2" t="s">
        <v>60</v>
      </c>
      <c r="C5534" s="2" t="s">
        <v>52689</v>
      </c>
      <c r="D5534" s="2" t="s">
        <v>52690</v>
      </c>
      <c r="E5534" s="2" t="s">
        <v>52691</v>
      </c>
      <c r="F5534" s="3" t="s">
        <v>52704</v>
      </c>
      <c r="G5534" s="3" t="s">
        <v>61</v>
      </c>
      <c r="I5534" s="3" t="s">
        <v>62</v>
      </c>
      <c r="J5534" s="3" t="s">
        <v>62</v>
      </c>
      <c r="K5534" s="3" t="s">
        <v>63</v>
      </c>
      <c r="L5534" s="2" t="s">
        <v>52693</v>
      </c>
      <c r="M5534" s="2" t="s">
        <v>52694</v>
      </c>
      <c r="N5534" s="3" t="s">
        <v>838</v>
      </c>
      <c r="P5534" s="3" t="s">
        <v>64</v>
      </c>
      <c r="R5534" s="3" t="s">
        <v>52643</v>
      </c>
      <c r="S5534" s="4">
        <v>0</v>
      </c>
      <c r="T5534" s="4">
        <v>9</v>
      </c>
      <c r="V5534" s="5" t="s">
        <v>17504</v>
      </c>
      <c r="W5534" s="5" t="s">
        <v>67</v>
      </c>
      <c r="X5534" s="5" t="s">
        <v>67</v>
      </c>
      <c r="Y5534" s="4">
        <v>484</v>
      </c>
      <c r="Z5534" s="4">
        <v>26</v>
      </c>
      <c r="AA5534" s="4">
        <v>31</v>
      </c>
      <c r="AB5534" s="4">
        <v>3</v>
      </c>
      <c r="AC5534" s="4">
        <v>8</v>
      </c>
      <c r="AD5534" s="4">
        <v>110</v>
      </c>
      <c r="AE5534" s="4">
        <v>114</v>
      </c>
      <c r="AF5534" s="4">
        <v>1</v>
      </c>
      <c r="AG5534" s="4">
        <v>4</v>
      </c>
      <c r="AH5534" s="4">
        <v>96</v>
      </c>
      <c r="AI5534" s="4">
        <v>98</v>
      </c>
      <c r="AJ5534" s="4">
        <v>19</v>
      </c>
      <c r="AK5534" s="4">
        <v>22</v>
      </c>
      <c r="AL5534" s="4">
        <v>52</v>
      </c>
      <c r="AM5534" s="4">
        <v>52</v>
      </c>
      <c r="AN5534" s="4">
        <v>0</v>
      </c>
      <c r="AO5534" s="4">
        <v>0</v>
      </c>
      <c r="AP5534" s="4">
        <v>20</v>
      </c>
      <c r="AQ5534" s="4">
        <v>22</v>
      </c>
      <c r="AR5534" s="3" t="s">
        <v>62</v>
      </c>
      <c r="AS5534" s="3" t="s">
        <v>62</v>
      </c>
      <c r="AT5534" s="3" t="s">
        <v>61</v>
      </c>
      <c r="AU5534" s="6" t="str">
        <f>HYPERLINK("http://catalog.hathitrust.org/Record/001555455","HathiTrust Record")</f>
        <v>HathiTrust Record</v>
      </c>
      <c r="AV5534" s="6" t="str">
        <f>HYPERLINK("http://mcgill.on.worldcat.org/oclc/224849","Catalog Record")</f>
        <v>Catalog Record</v>
      </c>
      <c r="AW5534" s="6" t="str">
        <f>HYPERLINK("http://www.worldcat.org/oclc/224849","WorldCat Record")</f>
        <v>WorldCat Record</v>
      </c>
      <c r="AX5534" s="3" t="s">
        <v>52695</v>
      </c>
      <c r="AY5534" s="3" t="s">
        <v>52696</v>
      </c>
      <c r="AZ5534" s="3" t="s">
        <v>52697</v>
      </c>
      <c r="BA5534" s="3" t="s">
        <v>52697</v>
      </c>
      <c r="BB5534" s="3" t="s">
        <v>52705</v>
      </c>
      <c r="BC5534" s="3" t="s">
        <v>102</v>
      </c>
      <c r="BD5534" s="3" t="s">
        <v>68</v>
      </c>
      <c r="BE5534" s="3" t="s">
        <v>52699</v>
      </c>
      <c r="BF5534" s="3" t="s">
        <v>52705</v>
      </c>
      <c r="BG5534" s="3" t="s">
        <v>52706</v>
      </c>
    </row>
    <row r="5535" spans="1:59" ht="58" x14ac:dyDescent="0.35">
      <c r="A5535" s="2" t="s">
        <v>59</v>
      </c>
      <c r="B5535" s="2" t="s">
        <v>60</v>
      </c>
      <c r="C5535" s="2" t="s">
        <v>52689</v>
      </c>
      <c r="D5535" s="2" t="s">
        <v>52690</v>
      </c>
      <c r="E5535" s="2" t="s">
        <v>52691</v>
      </c>
      <c r="F5535" s="3" t="s">
        <v>52707</v>
      </c>
      <c r="G5535" s="3" t="s">
        <v>61</v>
      </c>
      <c r="I5535" s="3" t="s">
        <v>62</v>
      </c>
      <c r="J5535" s="3" t="s">
        <v>62</v>
      </c>
      <c r="K5535" s="3" t="s">
        <v>63</v>
      </c>
      <c r="L5535" s="2" t="s">
        <v>52693</v>
      </c>
      <c r="M5535" s="2" t="s">
        <v>52694</v>
      </c>
      <c r="N5535" s="3" t="s">
        <v>838</v>
      </c>
      <c r="P5535" s="3" t="s">
        <v>64</v>
      </c>
      <c r="R5535" s="3" t="s">
        <v>52643</v>
      </c>
      <c r="S5535" s="4">
        <v>5</v>
      </c>
      <c r="T5535" s="4">
        <v>9</v>
      </c>
      <c r="U5535" s="5" t="s">
        <v>17504</v>
      </c>
      <c r="V5535" s="5" t="s">
        <v>17504</v>
      </c>
      <c r="W5535" s="5" t="s">
        <v>67</v>
      </c>
      <c r="X5535" s="5" t="s">
        <v>67</v>
      </c>
      <c r="Y5535" s="4">
        <v>484</v>
      </c>
      <c r="Z5535" s="4">
        <v>26</v>
      </c>
      <c r="AA5535" s="4">
        <v>31</v>
      </c>
      <c r="AB5535" s="4">
        <v>3</v>
      </c>
      <c r="AC5535" s="4">
        <v>8</v>
      </c>
      <c r="AD5535" s="4">
        <v>110</v>
      </c>
      <c r="AE5535" s="4">
        <v>114</v>
      </c>
      <c r="AF5535" s="4">
        <v>1</v>
      </c>
      <c r="AG5535" s="4">
        <v>4</v>
      </c>
      <c r="AH5535" s="4">
        <v>96</v>
      </c>
      <c r="AI5535" s="4">
        <v>98</v>
      </c>
      <c r="AJ5535" s="4">
        <v>19</v>
      </c>
      <c r="AK5535" s="4">
        <v>22</v>
      </c>
      <c r="AL5535" s="4">
        <v>52</v>
      </c>
      <c r="AM5535" s="4">
        <v>52</v>
      </c>
      <c r="AN5535" s="4">
        <v>0</v>
      </c>
      <c r="AO5535" s="4">
        <v>0</v>
      </c>
      <c r="AP5535" s="4">
        <v>20</v>
      </c>
      <c r="AQ5535" s="4">
        <v>22</v>
      </c>
      <c r="AR5535" s="3" t="s">
        <v>62</v>
      </c>
      <c r="AS5535" s="3" t="s">
        <v>62</v>
      </c>
      <c r="AT5535" s="3" t="s">
        <v>61</v>
      </c>
      <c r="AU5535" s="6" t="str">
        <f>HYPERLINK("http://catalog.hathitrust.org/Record/001555455","HathiTrust Record")</f>
        <v>HathiTrust Record</v>
      </c>
      <c r="AV5535" s="6" t="str">
        <f>HYPERLINK("http://mcgill.on.worldcat.org/oclc/224849","Catalog Record")</f>
        <v>Catalog Record</v>
      </c>
      <c r="AW5535" s="6" t="str">
        <f>HYPERLINK("http://www.worldcat.org/oclc/224849","WorldCat Record")</f>
        <v>WorldCat Record</v>
      </c>
      <c r="AX5535" s="3" t="s">
        <v>52695</v>
      </c>
      <c r="AY5535" s="3" t="s">
        <v>52696</v>
      </c>
      <c r="AZ5535" s="3" t="s">
        <v>52697</v>
      </c>
      <c r="BA5535" s="3" t="s">
        <v>52697</v>
      </c>
      <c r="BB5535" s="3" t="s">
        <v>52708</v>
      </c>
      <c r="BC5535" s="3" t="s">
        <v>102</v>
      </c>
      <c r="BD5535" s="3" t="s">
        <v>68</v>
      </c>
      <c r="BE5535" s="3" t="s">
        <v>52699</v>
      </c>
      <c r="BF5535" s="3" t="s">
        <v>52708</v>
      </c>
      <c r="BG5535" s="3" t="s">
        <v>52709</v>
      </c>
    </row>
    <row r="5536" spans="1:59" ht="101.5" x14ac:dyDescent="0.35">
      <c r="A5536" s="2" t="s">
        <v>89</v>
      </c>
      <c r="B5536" s="2" t="s">
        <v>36812</v>
      </c>
      <c r="C5536" s="2" t="s">
        <v>52710</v>
      </c>
      <c r="D5536" s="2" t="s">
        <v>52711</v>
      </c>
      <c r="E5536" s="2" t="s">
        <v>52712</v>
      </c>
      <c r="G5536" s="3" t="s">
        <v>62</v>
      </c>
      <c r="I5536" s="3" t="s">
        <v>62</v>
      </c>
      <c r="J5536" s="3" t="s">
        <v>62</v>
      </c>
      <c r="K5536" s="3" t="s">
        <v>63</v>
      </c>
      <c r="L5536" s="2" t="s">
        <v>52713</v>
      </c>
      <c r="M5536" s="2" t="s">
        <v>52714</v>
      </c>
      <c r="N5536" s="3" t="s">
        <v>726</v>
      </c>
      <c r="O5536" s="2" t="s">
        <v>1941</v>
      </c>
      <c r="P5536" s="3" t="s">
        <v>64</v>
      </c>
      <c r="R5536" s="3" t="s">
        <v>52643</v>
      </c>
      <c r="S5536" s="4">
        <v>2</v>
      </c>
      <c r="T5536" s="4">
        <v>2</v>
      </c>
      <c r="U5536" s="5" t="s">
        <v>35875</v>
      </c>
      <c r="V5536" s="5" t="s">
        <v>35875</v>
      </c>
      <c r="W5536" s="5" t="s">
        <v>67</v>
      </c>
      <c r="X5536" s="5" t="s">
        <v>67</v>
      </c>
      <c r="Y5536" s="4">
        <v>756</v>
      </c>
      <c r="Z5536" s="4">
        <v>18</v>
      </c>
      <c r="AA5536" s="4">
        <v>19</v>
      </c>
      <c r="AB5536" s="4">
        <v>1</v>
      </c>
      <c r="AC5536" s="4">
        <v>2</v>
      </c>
      <c r="AD5536" s="4">
        <v>59</v>
      </c>
      <c r="AE5536" s="4">
        <v>60</v>
      </c>
      <c r="AF5536" s="4">
        <v>0</v>
      </c>
      <c r="AG5536" s="4">
        <v>0</v>
      </c>
      <c r="AH5536" s="4">
        <v>54</v>
      </c>
      <c r="AI5536" s="4">
        <v>55</v>
      </c>
      <c r="AJ5536" s="4">
        <v>7</v>
      </c>
      <c r="AK5536" s="4">
        <v>7</v>
      </c>
      <c r="AL5536" s="4">
        <v>35</v>
      </c>
      <c r="AM5536" s="4">
        <v>35</v>
      </c>
      <c r="AN5536" s="4">
        <v>0</v>
      </c>
      <c r="AO5536" s="4">
        <v>0</v>
      </c>
      <c r="AP5536" s="4">
        <v>6</v>
      </c>
      <c r="AQ5536" s="4">
        <v>6</v>
      </c>
      <c r="AR5536" s="3" t="s">
        <v>62</v>
      </c>
      <c r="AS5536" s="3" t="s">
        <v>62</v>
      </c>
      <c r="AT5536" s="3" t="s">
        <v>62</v>
      </c>
      <c r="AV5536" s="6" t="str">
        <f>HYPERLINK("http://mcgill.on.worldcat.org/oclc/951070198","Catalog Record")</f>
        <v>Catalog Record</v>
      </c>
      <c r="AW5536" s="6" t="str">
        <f>HYPERLINK("http://www.worldcat.org/oclc/951070198","WorldCat Record")</f>
        <v>WorldCat Record</v>
      </c>
      <c r="AX5536" s="3" t="s">
        <v>52715</v>
      </c>
      <c r="AY5536" s="3" t="s">
        <v>52716</v>
      </c>
      <c r="AZ5536" s="3" t="s">
        <v>52717</v>
      </c>
      <c r="BA5536" s="3" t="s">
        <v>52717</v>
      </c>
      <c r="BB5536" s="3" t="s">
        <v>52718</v>
      </c>
      <c r="BC5536" s="3" t="s">
        <v>102</v>
      </c>
      <c r="BD5536" s="3" t="s">
        <v>68</v>
      </c>
      <c r="BE5536" s="3" t="s">
        <v>52719</v>
      </c>
      <c r="BF5536" s="3" t="s">
        <v>52718</v>
      </c>
      <c r="BG5536" s="3" t="s">
        <v>52720</v>
      </c>
    </row>
    <row r="5537" spans="1:59" ht="58" x14ac:dyDescent="0.35">
      <c r="A5537" s="2" t="s">
        <v>59</v>
      </c>
      <c r="B5537" s="2" t="s">
        <v>60</v>
      </c>
      <c r="C5537" s="2" t="s">
        <v>52721</v>
      </c>
      <c r="D5537" s="2" t="s">
        <v>52722</v>
      </c>
      <c r="E5537" s="2" t="s">
        <v>52723</v>
      </c>
      <c r="F5537" s="3" t="s">
        <v>52724</v>
      </c>
      <c r="G5537" s="3" t="s">
        <v>61</v>
      </c>
      <c r="I5537" s="3" t="s">
        <v>61</v>
      </c>
      <c r="J5537" s="3" t="s">
        <v>62</v>
      </c>
      <c r="K5537" s="3" t="s">
        <v>63</v>
      </c>
      <c r="L5537" s="2" t="s">
        <v>52725</v>
      </c>
      <c r="M5537" s="2" t="s">
        <v>52726</v>
      </c>
      <c r="N5537" s="3" t="s">
        <v>2445</v>
      </c>
      <c r="P5537" s="3" t="s">
        <v>64</v>
      </c>
      <c r="R5537" s="3" t="s">
        <v>52643</v>
      </c>
      <c r="S5537" s="4">
        <v>0</v>
      </c>
      <c r="T5537" s="4">
        <v>66</v>
      </c>
      <c r="V5537" s="5" t="s">
        <v>2015</v>
      </c>
      <c r="W5537" s="5" t="s">
        <v>67</v>
      </c>
      <c r="X5537" s="5" t="s">
        <v>67</v>
      </c>
      <c r="Y5537" s="4">
        <v>552</v>
      </c>
      <c r="Z5537" s="4">
        <v>24</v>
      </c>
      <c r="AA5537" s="4">
        <v>28</v>
      </c>
      <c r="AB5537" s="4">
        <v>3</v>
      </c>
      <c r="AC5537" s="4">
        <v>3</v>
      </c>
      <c r="AD5537" s="4">
        <v>110</v>
      </c>
      <c r="AE5537" s="4">
        <v>113</v>
      </c>
      <c r="AF5537" s="4">
        <v>1</v>
      </c>
      <c r="AG5537" s="4">
        <v>1</v>
      </c>
      <c r="AH5537" s="4">
        <v>95</v>
      </c>
      <c r="AI5537" s="4">
        <v>98</v>
      </c>
      <c r="AJ5537" s="4">
        <v>17</v>
      </c>
      <c r="AK5537" s="4">
        <v>18</v>
      </c>
      <c r="AL5537" s="4">
        <v>53</v>
      </c>
      <c r="AM5537" s="4">
        <v>55</v>
      </c>
      <c r="AN5537" s="4">
        <v>0</v>
      </c>
      <c r="AO5537" s="4">
        <v>0</v>
      </c>
      <c r="AP5537" s="4">
        <v>18</v>
      </c>
      <c r="AQ5537" s="4">
        <v>19</v>
      </c>
      <c r="AR5537" s="3" t="s">
        <v>62</v>
      </c>
      <c r="AS5537" s="3" t="s">
        <v>62</v>
      </c>
      <c r="AT5537" s="3" t="s">
        <v>61</v>
      </c>
      <c r="AU5537" s="6" t="str">
        <f t="shared" ref="AU5537:AU5542" si="88">HYPERLINK("http://catalog.hathitrust.org/Record/000854332","HathiTrust Record")</f>
        <v>HathiTrust Record</v>
      </c>
      <c r="AV5537" s="6" t="str">
        <f t="shared" ref="AV5537:AV5542" si="89">HYPERLINK("http://mcgill.on.worldcat.org/oclc/544461","Catalog Record")</f>
        <v>Catalog Record</v>
      </c>
      <c r="AW5537" s="6" t="str">
        <f t="shared" ref="AW5537:AW5542" si="90">HYPERLINK("http://www.worldcat.org/oclc/544461","WorldCat Record")</f>
        <v>WorldCat Record</v>
      </c>
      <c r="AX5537" s="3" t="s">
        <v>52727</v>
      </c>
      <c r="AY5537" s="3" t="s">
        <v>52728</v>
      </c>
      <c r="AZ5537" s="3" t="s">
        <v>52729</v>
      </c>
      <c r="BA5537" s="3" t="s">
        <v>52729</v>
      </c>
      <c r="BB5537" s="3" t="s">
        <v>52730</v>
      </c>
      <c r="BC5537" s="3" t="s">
        <v>102</v>
      </c>
      <c r="BD5537" s="3" t="s">
        <v>68</v>
      </c>
      <c r="BE5537" s="3" t="s">
        <v>52731</v>
      </c>
      <c r="BF5537" s="3" t="s">
        <v>52730</v>
      </c>
      <c r="BG5537" s="3" t="s">
        <v>52732</v>
      </c>
    </row>
    <row r="5538" spans="1:59" ht="58" x14ac:dyDescent="0.35">
      <c r="A5538" s="2" t="s">
        <v>59</v>
      </c>
      <c r="B5538" s="2" t="s">
        <v>60</v>
      </c>
      <c r="C5538" s="2" t="s">
        <v>52721</v>
      </c>
      <c r="D5538" s="2" t="s">
        <v>52722</v>
      </c>
      <c r="E5538" s="2" t="s">
        <v>52723</v>
      </c>
      <c r="F5538" s="3" t="s">
        <v>52733</v>
      </c>
      <c r="G5538" s="3" t="s">
        <v>61</v>
      </c>
      <c r="I5538" s="3" t="s">
        <v>61</v>
      </c>
      <c r="J5538" s="3" t="s">
        <v>62</v>
      </c>
      <c r="K5538" s="3" t="s">
        <v>63</v>
      </c>
      <c r="L5538" s="2" t="s">
        <v>52725</v>
      </c>
      <c r="M5538" s="2" t="s">
        <v>52726</v>
      </c>
      <c r="N5538" s="3" t="s">
        <v>2445</v>
      </c>
      <c r="P5538" s="3" t="s">
        <v>64</v>
      </c>
      <c r="R5538" s="3" t="s">
        <v>52643</v>
      </c>
      <c r="S5538" s="4">
        <v>0</v>
      </c>
      <c r="T5538" s="4">
        <v>66</v>
      </c>
      <c r="V5538" s="5" t="s">
        <v>2015</v>
      </c>
      <c r="W5538" s="5" t="s">
        <v>67</v>
      </c>
      <c r="X5538" s="5" t="s">
        <v>67</v>
      </c>
      <c r="Y5538" s="4">
        <v>552</v>
      </c>
      <c r="Z5538" s="4">
        <v>24</v>
      </c>
      <c r="AA5538" s="4">
        <v>28</v>
      </c>
      <c r="AB5538" s="4">
        <v>3</v>
      </c>
      <c r="AC5538" s="4">
        <v>3</v>
      </c>
      <c r="AD5538" s="4">
        <v>110</v>
      </c>
      <c r="AE5538" s="4">
        <v>113</v>
      </c>
      <c r="AF5538" s="4">
        <v>1</v>
      </c>
      <c r="AG5538" s="4">
        <v>1</v>
      </c>
      <c r="AH5538" s="4">
        <v>95</v>
      </c>
      <c r="AI5538" s="4">
        <v>98</v>
      </c>
      <c r="AJ5538" s="4">
        <v>17</v>
      </c>
      <c r="AK5538" s="4">
        <v>18</v>
      </c>
      <c r="AL5538" s="4">
        <v>53</v>
      </c>
      <c r="AM5538" s="4">
        <v>55</v>
      </c>
      <c r="AN5538" s="4">
        <v>0</v>
      </c>
      <c r="AO5538" s="4">
        <v>0</v>
      </c>
      <c r="AP5538" s="4">
        <v>18</v>
      </c>
      <c r="AQ5538" s="4">
        <v>19</v>
      </c>
      <c r="AR5538" s="3" t="s">
        <v>62</v>
      </c>
      <c r="AS5538" s="3" t="s">
        <v>62</v>
      </c>
      <c r="AT5538" s="3" t="s">
        <v>61</v>
      </c>
      <c r="AU5538" s="6" t="str">
        <f t="shared" si="88"/>
        <v>HathiTrust Record</v>
      </c>
      <c r="AV5538" s="6" t="str">
        <f t="shared" si="89"/>
        <v>Catalog Record</v>
      </c>
      <c r="AW5538" s="6" t="str">
        <f t="shared" si="90"/>
        <v>WorldCat Record</v>
      </c>
      <c r="AX5538" s="3" t="s">
        <v>52727</v>
      </c>
      <c r="AY5538" s="3" t="s">
        <v>52728</v>
      </c>
      <c r="AZ5538" s="3" t="s">
        <v>52729</v>
      </c>
      <c r="BA5538" s="3" t="s">
        <v>52729</v>
      </c>
      <c r="BB5538" s="3" t="s">
        <v>52734</v>
      </c>
      <c r="BC5538" s="3" t="s">
        <v>102</v>
      </c>
      <c r="BD5538" s="3" t="s">
        <v>68</v>
      </c>
      <c r="BE5538" s="3" t="s">
        <v>52731</v>
      </c>
      <c r="BF5538" s="3" t="s">
        <v>52734</v>
      </c>
      <c r="BG5538" s="3" t="s">
        <v>52735</v>
      </c>
    </row>
    <row r="5539" spans="1:59" ht="58" x14ac:dyDescent="0.35">
      <c r="A5539" s="2" t="s">
        <v>59</v>
      </c>
      <c r="B5539" s="2" t="s">
        <v>60</v>
      </c>
      <c r="C5539" s="2" t="s">
        <v>52721</v>
      </c>
      <c r="D5539" s="2" t="s">
        <v>52722</v>
      </c>
      <c r="E5539" s="2" t="s">
        <v>52723</v>
      </c>
      <c r="F5539" s="3" t="s">
        <v>52644</v>
      </c>
      <c r="G5539" s="3" t="s">
        <v>61</v>
      </c>
      <c r="I5539" s="3" t="s">
        <v>61</v>
      </c>
      <c r="J5539" s="3" t="s">
        <v>62</v>
      </c>
      <c r="K5539" s="3" t="s">
        <v>63</v>
      </c>
      <c r="L5539" s="2" t="s">
        <v>52725</v>
      </c>
      <c r="M5539" s="2" t="s">
        <v>52726</v>
      </c>
      <c r="N5539" s="3" t="s">
        <v>2445</v>
      </c>
      <c r="P5539" s="3" t="s">
        <v>64</v>
      </c>
      <c r="R5539" s="3" t="s">
        <v>52643</v>
      </c>
      <c r="S5539" s="4">
        <v>6</v>
      </c>
      <c r="T5539" s="4">
        <v>66</v>
      </c>
      <c r="U5539" s="5" t="s">
        <v>52736</v>
      </c>
      <c r="V5539" s="5" t="s">
        <v>2015</v>
      </c>
      <c r="W5539" s="5" t="s">
        <v>67</v>
      </c>
      <c r="X5539" s="5" t="s">
        <v>67</v>
      </c>
      <c r="Y5539" s="4">
        <v>552</v>
      </c>
      <c r="Z5539" s="4">
        <v>24</v>
      </c>
      <c r="AA5539" s="4">
        <v>28</v>
      </c>
      <c r="AB5539" s="4">
        <v>3</v>
      </c>
      <c r="AC5539" s="4">
        <v>3</v>
      </c>
      <c r="AD5539" s="4">
        <v>110</v>
      </c>
      <c r="AE5539" s="4">
        <v>113</v>
      </c>
      <c r="AF5539" s="4">
        <v>1</v>
      </c>
      <c r="AG5539" s="4">
        <v>1</v>
      </c>
      <c r="AH5539" s="4">
        <v>95</v>
      </c>
      <c r="AI5539" s="4">
        <v>98</v>
      </c>
      <c r="AJ5539" s="4">
        <v>17</v>
      </c>
      <c r="AK5539" s="4">
        <v>18</v>
      </c>
      <c r="AL5539" s="4">
        <v>53</v>
      </c>
      <c r="AM5539" s="4">
        <v>55</v>
      </c>
      <c r="AN5539" s="4">
        <v>0</v>
      </c>
      <c r="AO5539" s="4">
        <v>0</v>
      </c>
      <c r="AP5539" s="4">
        <v>18</v>
      </c>
      <c r="AQ5539" s="4">
        <v>19</v>
      </c>
      <c r="AR5539" s="3" t="s">
        <v>62</v>
      </c>
      <c r="AS5539" s="3" t="s">
        <v>62</v>
      </c>
      <c r="AT5539" s="3" t="s">
        <v>61</v>
      </c>
      <c r="AU5539" s="6" t="str">
        <f t="shared" si="88"/>
        <v>HathiTrust Record</v>
      </c>
      <c r="AV5539" s="6" t="str">
        <f t="shared" si="89"/>
        <v>Catalog Record</v>
      </c>
      <c r="AW5539" s="6" t="str">
        <f t="shared" si="90"/>
        <v>WorldCat Record</v>
      </c>
      <c r="AX5539" s="3" t="s">
        <v>52727</v>
      </c>
      <c r="AY5539" s="3" t="s">
        <v>52728</v>
      </c>
      <c r="AZ5539" s="3" t="s">
        <v>52729</v>
      </c>
      <c r="BA5539" s="3" t="s">
        <v>52729</v>
      </c>
      <c r="BB5539" s="3" t="s">
        <v>52737</v>
      </c>
      <c r="BC5539" s="3" t="s">
        <v>102</v>
      </c>
      <c r="BD5539" s="3" t="s">
        <v>68</v>
      </c>
      <c r="BE5539" s="3" t="s">
        <v>52731</v>
      </c>
      <c r="BF5539" s="3" t="s">
        <v>52737</v>
      </c>
      <c r="BG5539" s="3" t="s">
        <v>52738</v>
      </c>
    </row>
    <row r="5540" spans="1:59" ht="58" x14ac:dyDescent="0.35">
      <c r="A5540" s="2" t="s">
        <v>59</v>
      </c>
      <c r="B5540" s="2" t="s">
        <v>60</v>
      </c>
      <c r="C5540" s="2" t="s">
        <v>52721</v>
      </c>
      <c r="D5540" s="2" t="s">
        <v>52722</v>
      </c>
      <c r="E5540" s="2" t="s">
        <v>52723</v>
      </c>
      <c r="F5540" s="3" t="s">
        <v>52739</v>
      </c>
      <c r="G5540" s="3" t="s">
        <v>61</v>
      </c>
      <c r="I5540" s="3" t="s">
        <v>61</v>
      </c>
      <c r="J5540" s="3" t="s">
        <v>62</v>
      </c>
      <c r="K5540" s="3" t="s">
        <v>63</v>
      </c>
      <c r="L5540" s="2" t="s">
        <v>52725</v>
      </c>
      <c r="M5540" s="2" t="s">
        <v>52726</v>
      </c>
      <c r="N5540" s="3" t="s">
        <v>2445</v>
      </c>
      <c r="P5540" s="3" t="s">
        <v>64</v>
      </c>
      <c r="R5540" s="3" t="s">
        <v>52643</v>
      </c>
      <c r="S5540" s="4">
        <v>0</v>
      </c>
      <c r="T5540" s="4">
        <v>66</v>
      </c>
      <c r="V5540" s="5" t="s">
        <v>2015</v>
      </c>
      <c r="W5540" s="5" t="s">
        <v>67</v>
      </c>
      <c r="X5540" s="5" t="s">
        <v>67</v>
      </c>
      <c r="Y5540" s="4">
        <v>552</v>
      </c>
      <c r="Z5540" s="4">
        <v>24</v>
      </c>
      <c r="AA5540" s="4">
        <v>28</v>
      </c>
      <c r="AB5540" s="4">
        <v>3</v>
      </c>
      <c r="AC5540" s="4">
        <v>3</v>
      </c>
      <c r="AD5540" s="4">
        <v>110</v>
      </c>
      <c r="AE5540" s="4">
        <v>113</v>
      </c>
      <c r="AF5540" s="4">
        <v>1</v>
      </c>
      <c r="AG5540" s="4">
        <v>1</v>
      </c>
      <c r="AH5540" s="4">
        <v>95</v>
      </c>
      <c r="AI5540" s="4">
        <v>98</v>
      </c>
      <c r="AJ5540" s="4">
        <v>17</v>
      </c>
      <c r="AK5540" s="4">
        <v>18</v>
      </c>
      <c r="AL5540" s="4">
        <v>53</v>
      </c>
      <c r="AM5540" s="4">
        <v>55</v>
      </c>
      <c r="AN5540" s="4">
        <v>0</v>
      </c>
      <c r="AO5540" s="4">
        <v>0</v>
      </c>
      <c r="AP5540" s="4">
        <v>18</v>
      </c>
      <c r="AQ5540" s="4">
        <v>19</v>
      </c>
      <c r="AR5540" s="3" t="s">
        <v>62</v>
      </c>
      <c r="AS5540" s="3" t="s">
        <v>62</v>
      </c>
      <c r="AT5540" s="3" t="s">
        <v>61</v>
      </c>
      <c r="AU5540" s="6" t="str">
        <f t="shared" si="88"/>
        <v>HathiTrust Record</v>
      </c>
      <c r="AV5540" s="6" t="str">
        <f t="shared" si="89"/>
        <v>Catalog Record</v>
      </c>
      <c r="AW5540" s="6" t="str">
        <f t="shared" si="90"/>
        <v>WorldCat Record</v>
      </c>
      <c r="AX5540" s="3" t="s">
        <v>52727</v>
      </c>
      <c r="AY5540" s="3" t="s">
        <v>52728</v>
      </c>
      <c r="AZ5540" s="3" t="s">
        <v>52729</v>
      </c>
      <c r="BA5540" s="3" t="s">
        <v>52729</v>
      </c>
      <c r="BB5540" s="3" t="s">
        <v>52740</v>
      </c>
      <c r="BC5540" s="3" t="s">
        <v>102</v>
      </c>
      <c r="BD5540" s="3" t="s">
        <v>68</v>
      </c>
      <c r="BE5540" s="3" t="s">
        <v>52731</v>
      </c>
      <c r="BF5540" s="3" t="s">
        <v>52740</v>
      </c>
      <c r="BG5540" s="3" t="s">
        <v>52741</v>
      </c>
    </row>
    <row r="5541" spans="1:59" ht="58" x14ac:dyDescent="0.35">
      <c r="A5541" s="2" t="s">
        <v>59</v>
      </c>
      <c r="B5541" s="2" t="s">
        <v>60</v>
      </c>
      <c r="C5541" s="2" t="s">
        <v>52721</v>
      </c>
      <c r="D5541" s="2" t="s">
        <v>52722</v>
      </c>
      <c r="E5541" s="2" t="s">
        <v>52723</v>
      </c>
      <c r="F5541" s="3" t="s">
        <v>52742</v>
      </c>
      <c r="G5541" s="3" t="s">
        <v>61</v>
      </c>
      <c r="I5541" s="3" t="s">
        <v>61</v>
      </c>
      <c r="J5541" s="3" t="s">
        <v>62</v>
      </c>
      <c r="K5541" s="3" t="s">
        <v>63</v>
      </c>
      <c r="L5541" s="2" t="s">
        <v>52725</v>
      </c>
      <c r="M5541" s="2" t="s">
        <v>52726</v>
      </c>
      <c r="N5541" s="3" t="s">
        <v>2445</v>
      </c>
      <c r="P5541" s="3" t="s">
        <v>64</v>
      </c>
      <c r="R5541" s="3" t="s">
        <v>52643</v>
      </c>
      <c r="S5541" s="4">
        <v>0</v>
      </c>
      <c r="T5541" s="4">
        <v>66</v>
      </c>
      <c r="V5541" s="5" t="s">
        <v>2015</v>
      </c>
      <c r="W5541" s="5" t="s">
        <v>67</v>
      </c>
      <c r="X5541" s="5" t="s">
        <v>67</v>
      </c>
      <c r="Y5541" s="4">
        <v>552</v>
      </c>
      <c r="Z5541" s="4">
        <v>24</v>
      </c>
      <c r="AA5541" s="4">
        <v>28</v>
      </c>
      <c r="AB5541" s="4">
        <v>3</v>
      </c>
      <c r="AC5541" s="4">
        <v>3</v>
      </c>
      <c r="AD5541" s="4">
        <v>110</v>
      </c>
      <c r="AE5541" s="4">
        <v>113</v>
      </c>
      <c r="AF5541" s="4">
        <v>1</v>
      </c>
      <c r="AG5541" s="4">
        <v>1</v>
      </c>
      <c r="AH5541" s="4">
        <v>95</v>
      </c>
      <c r="AI5541" s="4">
        <v>98</v>
      </c>
      <c r="AJ5541" s="4">
        <v>17</v>
      </c>
      <c r="AK5541" s="4">
        <v>18</v>
      </c>
      <c r="AL5541" s="4">
        <v>53</v>
      </c>
      <c r="AM5541" s="4">
        <v>55</v>
      </c>
      <c r="AN5541" s="4">
        <v>0</v>
      </c>
      <c r="AO5541" s="4">
        <v>0</v>
      </c>
      <c r="AP5541" s="4">
        <v>18</v>
      </c>
      <c r="AQ5541" s="4">
        <v>19</v>
      </c>
      <c r="AR5541" s="3" t="s">
        <v>62</v>
      </c>
      <c r="AS5541" s="3" t="s">
        <v>62</v>
      </c>
      <c r="AT5541" s="3" t="s">
        <v>61</v>
      </c>
      <c r="AU5541" s="6" t="str">
        <f t="shared" si="88"/>
        <v>HathiTrust Record</v>
      </c>
      <c r="AV5541" s="6" t="str">
        <f t="shared" si="89"/>
        <v>Catalog Record</v>
      </c>
      <c r="AW5541" s="6" t="str">
        <f t="shared" si="90"/>
        <v>WorldCat Record</v>
      </c>
      <c r="AX5541" s="3" t="s">
        <v>52727</v>
      </c>
      <c r="AY5541" s="3" t="s">
        <v>52728</v>
      </c>
      <c r="AZ5541" s="3" t="s">
        <v>52729</v>
      </c>
      <c r="BA5541" s="3" t="s">
        <v>52729</v>
      </c>
      <c r="BB5541" s="3" t="s">
        <v>52743</v>
      </c>
      <c r="BC5541" s="3" t="s">
        <v>102</v>
      </c>
      <c r="BD5541" s="3" t="s">
        <v>68</v>
      </c>
      <c r="BE5541" s="3" t="s">
        <v>52731</v>
      </c>
      <c r="BF5541" s="3" t="s">
        <v>52743</v>
      </c>
      <c r="BG5541" s="3" t="s">
        <v>52744</v>
      </c>
    </row>
    <row r="5542" spans="1:59" ht="58" x14ac:dyDescent="0.35">
      <c r="A5542" s="2" t="s">
        <v>59</v>
      </c>
      <c r="B5542" s="2" t="s">
        <v>60</v>
      </c>
      <c r="C5542" s="2" t="s">
        <v>52721</v>
      </c>
      <c r="D5542" s="2" t="s">
        <v>52722</v>
      </c>
      <c r="E5542" s="2" t="s">
        <v>52723</v>
      </c>
      <c r="F5542" s="3" t="s">
        <v>52745</v>
      </c>
      <c r="G5542" s="3" t="s">
        <v>61</v>
      </c>
      <c r="I5542" s="3" t="s">
        <v>61</v>
      </c>
      <c r="J5542" s="3" t="s">
        <v>62</v>
      </c>
      <c r="K5542" s="3" t="s">
        <v>63</v>
      </c>
      <c r="L5542" s="2" t="s">
        <v>52725</v>
      </c>
      <c r="M5542" s="2" t="s">
        <v>52726</v>
      </c>
      <c r="N5542" s="3" t="s">
        <v>2445</v>
      </c>
      <c r="P5542" s="3" t="s">
        <v>64</v>
      </c>
      <c r="R5542" s="3" t="s">
        <v>52643</v>
      </c>
      <c r="S5542" s="4">
        <v>4</v>
      </c>
      <c r="T5542" s="4">
        <v>66</v>
      </c>
      <c r="U5542" s="5" t="s">
        <v>52736</v>
      </c>
      <c r="V5542" s="5" t="s">
        <v>2015</v>
      </c>
      <c r="W5542" s="5" t="s">
        <v>67</v>
      </c>
      <c r="X5542" s="5" t="s">
        <v>67</v>
      </c>
      <c r="Y5542" s="4">
        <v>552</v>
      </c>
      <c r="Z5542" s="4">
        <v>24</v>
      </c>
      <c r="AA5542" s="4">
        <v>28</v>
      </c>
      <c r="AB5542" s="4">
        <v>3</v>
      </c>
      <c r="AC5542" s="4">
        <v>3</v>
      </c>
      <c r="AD5542" s="4">
        <v>110</v>
      </c>
      <c r="AE5542" s="4">
        <v>113</v>
      </c>
      <c r="AF5542" s="4">
        <v>1</v>
      </c>
      <c r="AG5542" s="4">
        <v>1</v>
      </c>
      <c r="AH5542" s="4">
        <v>95</v>
      </c>
      <c r="AI5542" s="4">
        <v>98</v>
      </c>
      <c r="AJ5542" s="4">
        <v>17</v>
      </c>
      <c r="AK5542" s="4">
        <v>18</v>
      </c>
      <c r="AL5542" s="4">
        <v>53</v>
      </c>
      <c r="AM5542" s="4">
        <v>55</v>
      </c>
      <c r="AN5542" s="4">
        <v>0</v>
      </c>
      <c r="AO5542" s="4">
        <v>0</v>
      </c>
      <c r="AP5542" s="4">
        <v>18</v>
      </c>
      <c r="AQ5542" s="4">
        <v>19</v>
      </c>
      <c r="AR5542" s="3" t="s">
        <v>62</v>
      </c>
      <c r="AS5542" s="3" t="s">
        <v>62</v>
      </c>
      <c r="AT5542" s="3" t="s">
        <v>61</v>
      </c>
      <c r="AU5542" s="6" t="str">
        <f t="shared" si="88"/>
        <v>HathiTrust Record</v>
      </c>
      <c r="AV5542" s="6" t="str">
        <f t="shared" si="89"/>
        <v>Catalog Record</v>
      </c>
      <c r="AW5542" s="6" t="str">
        <f t="shared" si="90"/>
        <v>WorldCat Record</v>
      </c>
      <c r="AX5542" s="3" t="s">
        <v>52727</v>
      </c>
      <c r="AY5542" s="3" t="s">
        <v>52728</v>
      </c>
      <c r="AZ5542" s="3" t="s">
        <v>52729</v>
      </c>
      <c r="BA5542" s="3" t="s">
        <v>52729</v>
      </c>
      <c r="BB5542" s="3" t="s">
        <v>52746</v>
      </c>
      <c r="BC5542" s="3" t="s">
        <v>102</v>
      </c>
      <c r="BD5542" s="3" t="s">
        <v>68</v>
      </c>
      <c r="BE5542" s="3" t="s">
        <v>52731</v>
      </c>
      <c r="BF5542" s="3" t="s">
        <v>52746</v>
      </c>
      <c r="BG5542" s="3" t="s">
        <v>52747</v>
      </c>
    </row>
    <row r="5543" spans="1:59" ht="58" x14ac:dyDescent="0.35">
      <c r="A5543" s="2" t="s">
        <v>59</v>
      </c>
      <c r="B5543" s="2" t="s">
        <v>60</v>
      </c>
      <c r="C5543" s="2" t="s">
        <v>52748</v>
      </c>
      <c r="D5543" s="2" t="s">
        <v>52749</v>
      </c>
      <c r="E5543" s="2" t="s">
        <v>52750</v>
      </c>
      <c r="G5543" s="3" t="s">
        <v>62</v>
      </c>
      <c r="I5543" s="3" t="s">
        <v>62</v>
      </c>
      <c r="J5543" s="3" t="s">
        <v>62</v>
      </c>
      <c r="K5543" s="3" t="s">
        <v>63</v>
      </c>
      <c r="M5543" s="2" t="s">
        <v>52751</v>
      </c>
      <c r="N5543" s="3" t="s">
        <v>1639</v>
      </c>
      <c r="P5543" s="3" t="s">
        <v>64</v>
      </c>
      <c r="Q5543" s="2" t="s">
        <v>52752</v>
      </c>
      <c r="R5543" s="3" t="s">
        <v>52643</v>
      </c>
      <c r="S5543" s="4">
        <v>2</v>
      </c>
      <c r="T5543" s="4">
        <v>2</v>
      </c>
      <c r="U5543" s="5" t="s">
        <v>10815</v>
      </c>
      <c r="V5543" s="5" t="s">
        <v>10815</v>
      </c>
      <c r="W5543" s="5" t="s">
        <v>67</v>
      </c>
      <c r="X5543" s="5" t="s">
        <v>67</v>
      </c>
      <c r="Y5543" s="4">
        <v>311</v>
      </c>
      <c r="Z5543" s="4">
        <v>24</v>
      </c>
      <c r="AA5543" s="4">
        <v>24</v>
      </c>
      <c r="AB5543" s="4">
        <v>2</v>
      </c>
      <c r="AC5543" s="4">
        <v>2</v>
      </c>
      <c r="AD5543" s="4">
        <v>97</v>
      </c>
      <c r="AE5543" s="4">
        <v>97</v>
      </c>
      <c r="AF5543" s="4">
        <v>0</v>
      </c>
      <c r="AG5543" s="4">
        <v>0</v>
      </c>
      <c r="AH5543" s="4">
        <v>85</v>
      </c>
      <c r="AI5543" s="4">
        <v>85</v>
      </c>
      <c r="AJ5543" s="4">
        <v>16</v>
      </c>
      <c r="AK5543" s="4">
        <v>16</v>
      </c>
      <c r="AL5543" s="4">
        <v>48</v>
      </c>
      <c r="AM5543" s="4">
        <v>48</v>
      </c>
      <c r="AN5543" s="4">
        <v>0</v>
      </c>
      <c r="AO5543" s="4">
        <v>0</v>
      </c>
      <c r="AP5543" s="4">
        <v>19</v>
      </c>
      <c r="AQ5543" s="4">
        <v>19</v>
      </c>
      <c r="AR5543" s="3" t="s">
        <v>62</v>
      </c>
      <c r="AS5543" s="3" t="s">
        <v>62</v>
      </c>
      <c r="AT5543" s="3" t="s">
        <v>61</v>
      </c>
      <c r="AU5543" s="6" t="str">
        <f>HYPERLINK("http://catalog.hathitrust.org/Record/001555539","HathiTrust Record")</f>
        <v>HathiTrust Record</v>
      </c>
      <c r="AV5543" s="6" t="str">
        <f>HYPERLINK("http://mcgill.on.worldcat.org/oclc/93304","Catalog Record")</f>
        <v>Catalog Record</v>
      </c>
      <c r="AW5543" s="6" t="str">
        <f>HYPERLINK("http://www.worldcat.org/oclc/93304","WorldCat Record")</f>
        <v>WorldCat Record</v>
      </c>
      <c r="AX5543" s="3" t="s">
        <v>52753</v>
      </c>
      <c r="AY5543" s="3" t="s">
        <v>52754</v>
      </c>
      <c r="AZ5543" s="3" t="s">
        <v>52755</v>
      </c>
      <c r="BA5543" s="3" t="s">
        <v>52755</v>
      </c>
      <c r="BB5543" s="3" t="s">
        <v>52756</v>
      </c>
      <c r="BC5543" s="3" t="s">
        <v>102</v>
      </c>
      <c r="BD5543" s="3" t="s">
        <v>68</v>
      </c>
      <c r="BE5543" s="3" t="s">
        <v>52757</v>
      </c>
      <c r="BF5543" s="3" t="s">
        <v>52756</v>
      </c>
      <c r="BG5543" s="3" t="s">
        <v>52758</v>
      </c>
    </row>
    <row r="5544" spans="1:59" ht="101.5" x14ac:dyDescent="0.35">
      <c r="A5544" s="2" t="s">
        <v>89</v>
      </c>
      <c r="B5544" s="2" t="s">
        <v>36812</v>
      </c>
      <c r="C5544" s="2" t="s">
        <v>52759</v>
      </c>
      <c r="D5544" s="2" t="s">
        <v>52760</v>
      </c>
      <c r="E5544" s="2" t="s">
        <v>52761</v>
      </c>
      <c r="G5544" s="3" t="s">
        <v>62</v>
      </c>
      <c r="I5544" s="3" t="s">
        <v>62</v>
      </c>
      <c r="J5544" s="3" t="s">
        <v>62</v>
      </c>
      <c r="K5544" s="3" t="s">
        <v>63</v>
      </c>
      <c r="L5544" s="2" t="s">
        <v>52762</v>
      </c>
      <c r="M5544" s="2" t="s">
        <v>52763</v>
      </c>
      <c r="N5544" s="3" t="s">
        <v>640</v>
      </c>
      <c r="P5544" s="3" t="s">
        <v>64</v>
      </c>
      <c r="R5544" s="3" t="s">
        <v>52643</v>
      </c>
      <c r="S5544" s="4">
        <v>12</v>
      </c>
      <c r="T5544" s="4">
        <v>12</v>
      </c>
      <c r="U5544" s="5" t="s">
        <v>10632</v>
      </c>
      <c r="V5544" s="5" t="s">
        <v>10632</v>
      </c>
      <c r="W5544" s="5" t="s">
        <v>67</v>
      </c>
      <c r="X5544" s="5" t="s">
        <v>67</v>
      </c>
      <c r="Y5544" s="4">
        <v>178</v>
      </c>
      <c r="Z5544" s="4">
        <v>6</v>
      </c>
      <c r="AA5544" s="4">
        <v>6</v>
      </c>
      <c r="AB5544" s="4">
        <v>1</v>
      </c>
      <c r="AC5544" s="4">
        <v>1</v>
      </c>
      <c r="AD5544" s="4">
        <v>15</v>
      </c>
      <c r="AE5544" s="4">
        <v>16</v>
      </c>
      <c r="AF5544" s="4">
        <v>0</v>
      </c>
      <c r="AG5544" s="4">
        <v>0</v>
      </c>
      <c r="AH5544" s="4">
        <v>14</v>
      </c>
      <c r="AI5544" s="4">
        <v>15</v>
      </c>
      <c r="AJ5544" s="4">
        <v>2</v>
      </c>
      <c r="AK5544" s="4">
        <v>2</v>
      </c>
      <c r="AL5544" s="4">
        <v>7</v>
      </c>
      <c r="AM5544" s="4">
        <v>7</v>
      </c>
      <c r="AN5544" s="4">
        <v>0</v>
      </c>
      <c r="AO5544" s="4">
        <v>0</v>
      </c>
      <c r="AP5544" s="4">
        <v>2</v>
      </c>
      <c r="AQ5544" s="4">
        <v>2</v>
      </c>
      <c r="AR5544" s="3" t="s">
        <v>62</v>
      </c>
      <c r="AS5544" s="3" t="s">
        <v>62</v>
      </c>
      <c r="AT5544" s="3" t="s">
        <v>62</v>
      </c>
      <c r="AV5544" s="6" t="str">
        <f>HYPERLINK("http://mcgill.on.worldcat.org/oclc/55803425","Catalog Record")</f>
        <v>Catalog Record</v>
      </c>
      <c r="AW5544" s="6" t="str">
        <f>HYPERLINK("http://www.worldcat.org/oclc/55803425","WorldCat Record")</f>
        <v>WorldCat Record</v>
      </c>
      <c r="AX5544" s="3" t="s">
        <v>52764</v>
      </c>
      <c r="AY5544" s="3" t="s">
        <v>52765</v>
      </c>
      <c r="AZ5544" s="3" t="s">
        <v>52766</v>
      </c>
      <c r="BA5544" s="3" t="s">
        <v>52766</v>
      </c>
      <c r="BB5544" s="3" t="s">
        <v>52767</v>
      </c>
      <c r="BC5544" s="3" t="s">
        <v>102</v>
      </c>
      <c r="BD5544" s="3" t="s">
        <v>68</v>
      </c>
      <c r="BE5544" s="3" t="s">
        <v>52768</v>
      </c>
      <c r="BF5544" s="3" t="s">
        <v>52767</v>
      </c>
      <c r="BG5544" s="3" t="s">
        <v>52769</v>
      </c>
    </row>
    <row r="5545" spans="1:59" ht="101.5" x14ac:dyDescent="0.35">
      <c r="A5545" s="2" t="s">
        <v>89</v>
      </c>
      <c r="B5545" s="2" t="s">
        <v>36812</v>
      </c>
      <c r="C5545" s="2" t="s">
        <v>52770</v>
      </c>
      <c r="D5545" s="2" t="s">
        <v>52771</v>
      </c>
      <c r="E5545" s="2" t="s">
        <v>52772</v>
      </c>
      <c r="G5545" s="3" t="s">
        <v>62</v>
      </c>
      <c r="I5545" s="3" t="s">
        <v>62</v>
      </c>
      <c r="J5545" s="3" t="s">
        <v>62</v>
      </c>
      <c r="K5545" s="3" t="s">
        <v>63</v>
      </c>
      <c r="L5545" s="2" t="s">
        <v>52773</v>
      </c>
      <c r="M5545" s="2" t="s">
        <v>52774</v>
      </c>
      <c r="N5545" s="3" t="s">
        <v>880</v>
      </c>
      <c r="P5545" s="3" t="s">
        <v>64</v>
      </c>
      <c r="R5545" s="3" t="s">
        <v>52643</v>
      </c>
      <c r="S5545" s="4">
        <v>1</v>
      </c>
      <c r="T5545" s="4">
        <v>1</v>
      </c>
      <c r="U5545" s="5" t="s">
        <v>52775</v>
      </c>
      <c r="V5545" s="5" t="s">
        <v>52775</v>
      </c>
      <c r="W5545" s="5" t="s">
        <v>67</v>
      </c>
      <c r="X5545" s="5" t="s">
        <v>67</v>
      </c>
      <c r="Y5545" s="4">
        <v>63</v>
      </c>
      <c r="Z5545" s="4">
        <v>41</v>
      </c>
      <c r="AA5545" s="4">
        <v>42</v>
      </c>
      <c r="AB5545" s="4">
        <v>2</v>
      </c>
      <c r="AC5545" s="4">
        <v>2</v>
      </c>
      <c r="AD5545" s="4">
        <v>13</v>
      </c>
      <c r="AE5545" s="4">
        <v>13</v>
      </c>
      <c r="AF5545" s="4">
        <v>1</v>
      </c>
      <c r="AG5545" s="4">
        <v>1</v>
      </c>
      <c r="AH5545" s="4">
        <v>6</v>
      </c>
      <c r="AI5545" s="4">
        <v>6</v>
      </c>
      <c r="AJ5545" s="4">
        <v>4</v>
      </c>
      <c r="AK5545" s="4">
        <v>4</v>
      </c>
      <c r="AL5545" s="4">
        <v>5</v>
      </c>
      <c r="AM5545" s="4">
        <v>5</v>
      </c>
      <c r="AN5545" s="4">
        <v>0</v>
      </c>
      <c r="AO5545" s="4">
        <v>0</v>
      </c>
      <c r="AP5545" s="4">
        <v>7</v>
      </c>
      <c r="AQ5545" s="4">
        <v>7</v>
      </c>
      <c r="AR5545" s="3" t="s">
        <v>61</v>
      </c>
      <c r="AS5545" s="3" t="s">
        <v>62</v>
      </c>
      <c r="AT5545" s="3" t="s">
        <v>62</v>
      </c>
      <c r="AV5545" s="6" t="str">
        <f>HYPERLINK("http://mcgill.on.worldcat.org/oclc/436336610","Catalog Record")</f>
        <v>Catalog Record</v>
      </c>
      <c r="AW5545" s="6" t="str">
        <f>HYPERLINK("http://www.worldcat.org/oclc/436336610","WorldCat Record")</f>
        <v>WorldCat Record</v>
      </c>
      <c r="AX5545" s="3" t="s">
        <v>52776</v>
      </c>
      <c r="AY5545" s="3" t="s">
        <v>52777</v>
      </c>
      <c r="AZ5545" s="3" t="s">
        <v>52778</v>
      </c>
      <c r="BA5545" s="3" t="s">
        <v>52778</v>
      </c>
      <c r="BB5545" s="3" t="s">
        <v>52779</v>
      </c>
      <c r="BC5545" s="3" t="s">
        <v>102</v>
      </c>
      <c r="BD5545" s="3" t="s">
        <v>68</v>
      </c>
      <c r="BE5545" s="3" t="s">
        <v>52780</v>
      </c>
      <c r="BF5545" s="3" t="s">
        <v>52779</v>
      </c>
      <c r="BG5545" s="3" t="s">
        <v>52781</v>
      </c>
    </row>
    <row r="5546" spans="1:59" ht="101.5" x14ac:dyDescent="0.35">
      <c r="A5546" s="2" t="s">
        <v>89</v>
      </c>
      <c r="B5546" s="2" t="s">
        <v>36812</v>
      </c>
      <c r="C5546" s="2" t="s">
        <v>52782</v>
      </c>
      <c r="D5546" s="2" t="s">
        <v>52783</v>
      </c>
      <c r="E5546" s="2" t="s">
        <v>52784</v>
      </c>
      <c r="G5546" s="3" t="s">
        <v>62</v>
      </c>
      <c r="I5546" s="3" t="s">
        <v>62</v>
      </c>
      <c r="J5546" s="3" t="s">
        <v>62</v>
      </c>
      <c r="K5546" s="3" t="s">
        <v>63</v>
      </c>
      <c r="L5546" s="2" t="s">
        <v>52785</v>
      </c>
      <c r="M5546" s="2" t="s">
        <v>52786</v>
      </c>
      <c r="N5546" s="3" t="s">
        <v>726</v>
      </c>
      <c r="O5546" s="2" t="s">
        <v>1941</v>
      </c>
      <c r="P5546" s="3" t="s">
        <v>64</v>
      </c>
      <c r="R5546" s="3" t="s">
        <v>52643</v>
      </c>
      <c r="S5546" s="4">
        <v>0</v>
      </c>
      <c r="T5546" s="4">
        <v>0</v>
      </c>
      <c r="W5546" s="5" t="s">
        <v>67</v>
      </c>
      <c r="X5546" s="5" t="s">
        <v>67</v>
      </c>
      <c r="Y5546" s="4">
        <v>6</v>
      </c>
      <c r="Z5546" s="4">
        <v>5</v>
      </c>
      <c r="AA5546" s="4">
        <v>7</v>
      </c>
      <c r="AB5546" s="4">
        <v>1</v>
      </c>
      <c r="AC5546" s="4">
        <v>2</v>
      </c>
      <c r="AD5546" s="4">
        <v>1</v>
      </c>
      <c r="AE5546" s="4">
        <v>2</v>
      </c>
      <c r="AF5546" s="4">
        <v>0</v>
      </c>
      <c r="AG5546" s="4">
        <v>0</v>
      </c>
      <c r="AH5546" s="4">
        <v>1</v>
      </c>
      <c r="AI5546" s="4">
        <v>1</v>
      </c>
      <c r="AJ5546" s="4">
        <v>1</v>
      </c>
      <c r="AK5546" s="4">
        <v>2</v>
      </c>
      <c r="AL5546" s="4">
        <v>0</v>
      </c>
      <c r="AM5546" s="4">
        <v>0</v>
      </c>
      <c r="AN5546" s="4">
        <v>0</v>
      </c>
      <c r="AO5546" s="4">
        <v>0</v>
      </c>
      <c r="AP5546" s="4">
        <v>1</v>
      </c>
      <c r="AQ5546" s="4">
        <v>1</v>
      </c>
      <c r="AR5546" s="3" t="s">
        <v>61</v>
      </c>
      <c r="AS5546" s="3" t="s">
        <v>62</v>
      </c>
      <c r="AT5546" s="3" t="s">
        <v>62</v>
      </c>
      <c r="AV5546" s="6" t="str">
        <f>HYPERLINK("http://mcgill.on.worldcat.org/oclc/963394067","Catalog Record")</f>
        <v>Catalog Record</v>
      </c>
      <c r="AW5546" s="6" t="str">
        <f>HYPERLINK("http://www.worldcat.org/oclc/963394067","WorldCat Record")</f>
        <v>WorldCat Record</v>
      </c>
      <c r="AX5546" s="3" t="s">
        <v>52787</v>
      </c>
      <c r="AY5546" s="3" t="s">
        <v>52788</v>
      </c>
      <c r="AZ5546" s="3" t="s">
        <v>52789</v>
      </c>
      <c r="BA5546" s="3" t="s">
        <v>52789</v>
      </c>
      <c r="BB5546" s="3" t="s">
        <v>52790</v>
      </c>
      <c r="BC5546" s="3" t="s">
        <v>102</v>
      </c>
      <c r="BD5546" s="3" t="s">
        <v>7808</v>
      </c>
      <c r="BE5546" s="3" t="s">
        <v>52791</v>
      </c>
      <c r="BF5546" s="3" t="s">
        <v>52790</v>
      </c>
      <c r="BG5546" s="3" t="s">
        <v>52792</v>
      </c>
    </row>
    <row r="5547" spans="1:59" ht="101.5" x14ac:dyDescent="0.35">
      <c r="A5547" s="2" t="s">
        <v>89</v>
      </c>
      <c r="B5547" s="2" t="s">
        <v>36812</v>
      </c>
      <c r="C5547" s="2" t="s">
        <v>52793</v>
      </c>
      <c r="D5547" s="2" t="s">
        <v>52794</v>
      </c>
      <c r="E5547" s="2" t="s">
        <v>52795</v>
      </c>
      <c r="G5547" s="3" t="s">
        <v>62</v>
      </c>
      <c r="I5547" s="3" t="s">
        <v>62</v>
      </c>
      <c r="J5547" s="3" t="s">
        <v>61</v>
      </c>
      <c r="K5547" s="3" t="s">
        <v>63</v>
      </c>
      <c r="L5547" s="2" t="s">
        <v>52796</v>
      </c>
      <c r="M5547" s="2" t="s">
        <v>52797</v>
      </c>
      <c r="N5547" s="3" t="s">
        <v>1195</v>
      </c>
      <c r="O5547" s="2" t="s">
        <v>52798</v>
      </c>
      <c r="P5547" s="3" t="s">
        <v>64</v>
      </c>
      <c r="R5547" s="3" t="s">
        <v>52643</v>
      </c>
      <c r="S5547" s="4">
        <v>5</v>
      </c>
      <c r="T5547" s="4">
        <v>5</v>
      </c>
      <c r="U5547" s="5" t="s">
        <v>52799</v>
      </c>
      <c r="V5547" s="5" t="s">
        <v>52799</v>
      </c>
      <c r="W5547" s="5" t="s">
        <v>67</v>
      </c>
      <c r="X5547" s="5" t="s">
        <v>67</v>
      </c>
      <c r="Y5547" s="4">
        <v>708</v>
      </c>
      <c r="Z5547" s="4">
        <v>28</v>
      </c>
      <c r="AA5547" s="4">
        <v>98</v>
      </c>
      <c r="AB5547" s="4">
        <v>3</v>
      </c>
      <c r="AC5547" s="4">
        <v>13</v>
      </c>
      <c r="AD5547" s="4">
        <v>56</v>
      </c>
      <c r="AE5547" s="4">
        <v>113</v>
      </c>
      <c r="AF5547" s="4">
        <v>1</v>
      </c>
      <c r="AG5547" s="4">
        <v>6</v>
      </c>
      <c r="AH5547" s="4">
        <v>48</v>
      </c>
      <c r="AI5547" s="4">
        <v>87</v>
      </c>
      <c r="AJ5547" s="4">
        <v>7</v>
      </c>
      <c r="AK5547" s="4">
        <v>20</v>
      </c>
      <c r="AL5547" s="4">
        <v>25</v>
      </c>
      <c r="AM5547" s="4">
        <v>42</v>
      </c>
      <c r="AN5547" s="4">
        <v>0</v>
      </c>
      <c r="AO5547" s="4">
        <v>0</v>
      </c>
      <c r="AP5547" s="4">
        <v>9</v>
      </c>
      <c r="AQ5547" s="4">
        <v>31</v>
      </c>
      <c r="AR5547" s="3" t="s">
        <v>62</v>
      </c>
      <c r="AS5547" s="3" t="s">
        <v>62</v>
      </c>
      <c r="AT5547" s="3" t="s">
        <v>61</v>
      </c>
      <c r="AU5547" s="6" t="str">
        <f>HYPERLINK("http://catalog.hathitrust.org/Record/005287885","HathiTrust Record")</f>
        <v>HathiTrust Record</v>
      </c>
      <c r="AV5547" s="6" t="str">
        <f>HYPERLINK("http://mcgill.on.worldcat.org/oclc/64208392","Catalog Record")</f>
        <v>Catalog Record</v>
      </c>
      <c r="AW5547" s="6" t="str">
        <f>HYPERLINK("http://www.worldcat.org/oclc/64208392","WorldCat Record")</f>
        <v>WorldCat Record</v>
      </c>
      <c r="AX5547" s="3" t="s">
        <v>52800</v>
      </c>
      <c r="AY5547" s="3" t="s">
        <v>52801</v>
      </c>
      <c r="AZ5547" s="3" t="s">
        <v>52802</v>
      </c>
      <c r="BA5547" s="3" t="s">
        <v>52802</v>
      </c>
      <c r="BB5547" s="3" t="s">
        <v>52803</v>
      </c>
      <c r="BC5547" s="3" t="s">
        <v>102</v>
      </c>
      <c r="BD5547" s="3" t="s">
        <v>68</v>
      </c>
      <c r="BE5547" s="3" t="s">
        <v>52804</v>
      </c>
      <c r="BF5547" s="3" t="s">
        <v>52803</v>
      </c>
      <c r="BG5547" s="3" t="s">
        <v>52805</v>
      </c>
    </row>
    <row r="5548" spans="1:59" ht="101.5" x14ac:dyDescent="0.35">
      <c r="A5548" s="2" t="s">
        <v>89</v>
      </c>
      <c r="B5548" s="2" t="s">
        <v>36812</v>
      </c>
      <c r="C5548" s="2" t="s">
        <v>52806</v>
      </c>
      <c r="D5548" s="2" t="s">
        <v>52807</v>
      </c>
      <c r="E5548" s="2" t="s">
        <v>52808</v>
      </c>
      <c r="G5548" s="3" t="s">
        <v>62</v>
      </c>
      <c r="I5548" s="3" t="s">
        <v>61</v>
      </c>
      <c r="J5548" s="3" t="s">
        <v>62</v>
      </c>
      <c r="K5548" s="3" t="s">
        <v>63</v>
      </c>
      <c r="M5548" s="2" t="s">
        <v>52809</v>
      </c>
      <c r="N5548" s="3" t="s">
        <v>640</v>
      </c>
      <c r="P5548" s="3" t="s">
        <v>64</v>
      </c>
      <c r="R5548" s="3" t="s">
        <v>52643</v>
      </c>
      <c r="S5548" s="4">
        <v>11</v>
      </c>
      <c r="T5548" s="4">
        <v>20</v>
      </c>
      <c r="U5548" s="5" t="s">
        <v>52775</v>
      </c>
      <c r="V5548" s="5" t="s">
        <v>8699</v>
      </c>
      <c r="W5548" s="5" t="s">
        <v>67</v>
      </c>
      <c r="X5548" s="5" t="s">
        <v>67</v>
      </c>
      <c r="Y5548" s="4">
        <v>391</v>
      </c>
      <c r="Z5548" s="4">
        <v>23</v>
      </c>
      <c r="AA5548" s="4">
        <v>79</v>
      </c>
      <c r="AB5548" s="4">
        <v>1</v>
      </c>
      <c r="AC5548" s="4">
        <v>7</v>
      </c>
      <c r="AD5548" s="4">
        <v>8</v>
      </c>
      <c r="AE5548" s="4">
        <v>39</v>
      </c>
      <c r="AF5548" s="4">
        <v>0</v>
      </c>
      <c r="AG5548" s="4">
        <v>1</v>
      </c>
      <c r="AH5548" s="4">
        <v>7</v>
      </c>
      <c r="AI5548" s="4">
        <v>35</v>
      </c>
      <c r="AJ5548" s="4">
        <v>2</v>
      </c>
      <c r="AK5548" s="4">
        <v>5</v>
      </c>
      <c r="AL5548" s="4">
        <v>2</v>
      </c>
      <c r="AM5548" s="4">
        <v>18</v>
      </c>
      <c r="AN5548" s="4">
        <v>0</v>
      </c>
      <c r="AO5548" s="4">
        <v>0</v>
      </c>
      <c r="AP5548" s="4">
        <v>1</v>
      </c>
      <c r="AQ5548" s="4">
        <v>5</v>
      </c>
      <c r="AR5548" s="3" t="s">
        <v>62</v>
      </c>
      <c r="AS5548" s="3" t="s">
        <v>62</v>
      </c>
      <c r="AT5548" s="3" t="s">
        <v>61</v>
      </c>
      <c r="AU5548" s="6" t="str">
        <f>HYPERLINK("http://catalog.hathitrust.org/Record/009818020","HathiTrust Record")</f>
        <v>HathiTrust Record</v>
      </c>
      <c r="AV5548" s="6" t="str">
        <f>HYPERLINK("http://mcgill.on.worldcat.org/oclc/54022434","Catalog Record")</f>
        <v>Catalog Record</v>
      </c>
      <c r="AW5548" s="6" t="str">
        <f>HYPERLINK("http://www.worldcat.org/oclc/54022434","WorldCat Record")</f>
        <v>WorldCat Record</v>
      </c>
      <c r="AX5548" s="3" t="s">
        <v>52810</v>
      </c>
      <c r="AY5548" s="3" t="s">
        <v>52811</v>
      </c>
      <c r="AZ5548" s="3" t="s">
        <v>52812</v>
      </c>
      <c r="BA5548" s="3" t="s">
        <v>52812</v>
      </c>
      <c r="BB5548" s="3" t="s">
        <v>52813</v>
      </c>
      <c r="BC5548" s="3" t="s">
        <v>102</v>
      </c>
      <c r="BD5548" s="3" t="s">
        <v>68</v>
      </c>
      <c r="BE5548" s="3" t="s">
        <v>52814</v>
      </c>
      <c r="BF5548" s="3" t="s">
        <v>52813</v>
      </c>
      <c r="BG5548" s="3" t="s">
        <v>52815</v>
      </c>
    </row>
    <row r="5549" spans="1:59" ht="101.5" x14ac:dyDescent="0.35">
      <c r="A5549" s="2" t="s">
        <v>89</v>
      </c>
      <c r="B5549" s="2" t="s">
        <v>36812</v>
      </c>
      <c r="C5549" s="2" t="s">
        <v>52816</v>
      </c>
      <c r="D5549" s="2" t="s">
        <v>52817</v>
      </c>
      <c r="E5549" s="2" t="s">
        <v>52818</v>
      </c>
      <c r="G5549" s="3" t="s">
        <v>62</v>
      </c>
      <c r="I5549" s="3" t="s">
        <v>62</v>
      </c>
      <c r="J5549" s="3" t="s">
        <v>62</v>
      </c>
      <c r="K5549" s="3" t="s">
        <v>63</v>
      </c>
      <c r="L5549" s="2" t="s">
        <v>52819</v>
      </c>
      <c r="M5549" s="2" t="s">
        <v>52820</v>
      </c>
      <c r="N5549" s="3" t="s">
        <v>1195</v>
      </c>
      <c r="O5549" s="2" t="s">
        <v>52821</v>
      </c>
      <c r="P5549" s="3" t="s">
        <v>64</v>
      </c>
      <c r="R5549" s="3" t="s">
        <v>52643</v>
      </c>
      <c r="S5549" s="4">
        <v>7</v>
      </c>
      <c r="T5549" s="4">
        <v>7</v>
      </c>
      <c r="U5549" s="5" t="s">
        <v>52822</v>
      </c>
      <c r="V5549" s="5" t="s">
        <v>52822</v>
      </c>
      <c r="W5549" s="5" t="s">
        <v>67</v>
      </c>
      <c r="X5549" s="5" t="s">
        <v>67</v>
      </c>
      <c r="Y5549" s="4">
        <v>281</v>
      </c>
      <c r="Z5549" s="4">
        <v>24</v>
      </c>
      <c r="AA5549" s="4">
        <v>31</v>
      </c>
      <c r="AB5549" s="4">
        <v>1</v>
      </c>
      <c r="AC5549" s="4">
        <v>2</v>
      </c>
      <c r="AD5549" s="4">
        <v>17</v>
      </c>
      <c r="AE5549" s="4">
        <v>30</v>
      </c>
      <c r="AF5549" s="4">
        <v>0</v>
      </c>
      <c r="AG5549" s="4">
        <v>0</v>
      </c>
      <c r="AH5549" s="4">
        <v>17</v>
      </c>
      <c r="AI5549" s="4">
        <v>29</v>
      </c>
      <c r="AJ5549" s="4">
        <v>2</v>
      </c>
      <c r="AK5549" s="4">
        <v>2</v>
      </c>
      <c r="AL5549" s="4">
        <v>7</v>
      </c>
      <c r="AM5549" s="4">
        <v>14</v>
      </c>
      <c r="AN5549" s="4">
        <v>0</v>
      </c>
      <c r="AO5549" s="4">
        <v>0</v>
      </c>
      <c r="AP5549" s="4">
        <v>2</v>
      </c>
      <c r="AQ5549" s="4">
        <v>3</v>
      </c>
      <c r="AR5549" s="3" t="s">
        <v>62</v>
      </c>
      <c r="AS5549" s="3" t="s">
        <v>62</v>
      </c>
      <c r="AT5549" s="3" t="s">
        <v>62</v>
      </c>
      <c r="AV5549" s="6" t="str">
        <f>HYPERLINK("http://mcgill.on.worldcat.org/oclc/62755545","Catalog Record")</f>
        <v>Catalog Record</v>
      </c>
      <c r="AW5549" s="6" t="str">
        <f>HYPERLINK("http://www.worldcat.org/oclc/62755545","WorldCat Record")</f>
        <v>WorldCat Record</v>
      </c>
      <c r="AX5549" s="3" t="s">
        <v>52823</v>
      </c>
      <c r="AY5549" s="3" t="s">
        <v>52824</v>
      </c>
      <c r="AZ5549" s="3" t="s">
        <v>52825</v>
      </c>
      <c r="BA5549" s="3" t="s">
        <v>52825</v>
      </c>
      <c r="BB5549" s="3" t="s">
        <v>52826</v>
      </c>
      <c r="BC5549" s="3" t="s">
        <v>102</v>
      </c>
      <c r="BD5549" s="3" t="s">
        <v>68</v>
      </c>
      <c r="BE5549" s="3" t="s">
        <v>52827</v>
      </c>
      <c r="BF5549" s="3" t="s">
        <v>52826</v>
      </c>
      <c r="BG5549" s="3" t="s">
        <v>52828</v>
      </c>
    </row>
    <row r="5550" spans="1:59" ht="58" x14ac:dyDescent="0.35">
      <c r="A5550" s="2" t="s">
        <v>59</v>
      </c>
      <c r="B5550" s="2" t="s">
        <v>60</v>
      </c>
      <c r="C5550" s="2" t="s">
        <v>52829</v>
      </c>
      <c r="D5550" s="2" t="s">
        <v>52830</v>
      </c>
      <c r="E5550" s="2" t="s">
        <v>52831</v>
      </c>
      <c r="G5550" s="3" t="s">
        <v>62</v>
      </c>
      <c r="I5550" s="3" t="s">
        <v>62</v>
      </c>
      <c r="J5550" s="3" t="s">
        <v>62</v>
      </c>
      <c r="K5550" s="3" t="s">
        <v>63</v>
      </c>
      <c r="L5550" s="2" t="s">
        <v>52832</v>
      </c>
      <c r="M5550" s="2" t="s">
        <v>52833</v>
      </c>
      <c r="N5550" s="3" t="s">
        <v>1264</v>
      </c>
      <c r="P5550" s="3" t="s">
        <v>64</v>
      </c>
      <c r="Q5550" s="2" t="s">
        <v>52834</v>
      </c>
      <c r="R5550" s="3" t="s">
        <v>52643</v>
      </c>
      <c r="S5550" s="4">
        <v>3</v>
      </c>
      <c r="T5550" s="4">
        <v>3</v>
      </c>
      <c r="U5550" s="5" t="s">
        <v>33494</v>
      </c>
      <c r="V5550" s="5" t="s">
        <v>33494</v>
      </c>
      <c r="W5550" s="5" t="s">
        <v>67</v>
      </c>
      <c r="X5550" s="5" t="s">
        <v>67</v>
      </c>
      <c r="Y5550" s="4">
        <v>38</v>
      </c>
      <c r="Z5550" s="4">
        <v>4</v>
      </c>
      <c r="AA5550" s="4">
        <v>4</v>
      </c>
      <c r="AB5550" s="4">
        <v>2</v>
      </c>
      <c r="AC5550" s="4">
        <v>2</v>
      </c>
      <c r="AD5550" s="4">
        <v>17</v>
      </c>
      <c r="AE5550" s="4">
        <v>17</v>
      </c>
      <c r="AF5550" s="4">
        <v>0</v>
      </c>
      <c r="AG5550" s="4">
        <v>0</v>
      </c>
      <c r="AH5550" s="4">
        <v>15</v>
      </c>
      <c r="AI5550" s="4">
        <v>15</v>
      </c>
      <c r="AJ5550" s="4">
        <v>1</v>
      </c>
      <c r="AK5550" s="4">
        <v>1</v>
      </c>
      <c r="AL5550" s="4">
        <v>13</v>
      </c>
      <c r="AM5550" s="4">
        <v>13</v>
      </c>
      <c r="AN5550" s="4">
        <v>0</v>
      </c>
      <c r="AO5550" s="4">
        <v>0</v>
      </c>
      <c r="AP5550" s="4">
        <v>1</v>
      </c>
      <c r="AQ5550" s="4">
        <v>1</v>
      </c>
      <c r="AR5550" s="3" t="s">
        <v>62</v>
      </c>
      <c r="AS5550" s="3" t="s">
        <v>62</v>
      </c>
      <c r="AT5550" s="3" t="s">
        <v>61</v>
      </c>
      <c r="AU5550" s="6" t="str">
        <f>HYPERLINK("http://catalog.hathitrust.org/Record/001682070","HathiTrust Record")</f>
        <v>HathiTrust Record</v>
      </c>
      <c r="AV5550" s="6" t="str">
        <f>HYPERLINK("http://mcgill.on.worldcat.org/oclc/14728001","Catalog Record")</f>
        <v>Catalog Record</v>
      </c>
      <c r="AW5550" s="6" t="str">
        <f>HYPERLINK("http://www.worldcat.org/oclc/14728001","WorldCat Record")</f>
        <v>WorldCat Record</v>
      </c>
      <c r="AX5550" s="3" t="s">
        <v>52835</v>
      </c>
      <c r="AY5550" s="3" t="s">
        <v>52836</v>
      </c>
      <c r="AZ5550" s="3" t="s">
        <v>52837</v>
      </c>
      <c r="BA5550" s="3" t="s">
        <v>52837</v>
      </c>
      <c r="BB5550" s="3" t="s">
        <v>52838</v>
      </c>
      <c r="BC5550" s="3" t="s">
        <v>102</v>
      </c>
      <c r="BD5550" s="3" t="s">
        <v>68</v>
      </c>
      <c r="BF5550" s="3" t="s">
        <v>52838</v>
      </c>
      <c r="BG5550" s="3" t="s">
        <v>52839</v>
      </c>
    </row>
    <row r="5551" spans="1:59" ht="58" x14ac:dyDescent="0.35">
      <c r="A5551" s="2" t="s">
        <v>59</v>
      </c>
      <c r="B5551" s="2" t="s">
        <v>60</v>
      </c>
      <c r="C5551" s="2" t="s">
        <v>52840</v>
      </c>
      <c r="D5551" s="2" t="s">
        <v>52841</v>
      </c>
      <c r="E5551" s="2" t="s">
        <v>52842</v>
      </c>
      <c r="G5551" s="3" t="s">
        <v>62</v>
      </c>
      <c r="I5551" s="3" t="s">
        <v>62</v>
      </c>
      <c r="J5551" s="3" t="s">
        <v>61</v>
      </c>
      <c r="K5551" s="3" t="s">
        <v>63</v>
      </c>
      <c r="L5551" s="2" t="s">
        <v>52843</v>
      </c>
      <c r="M5551" s="2" t="s">
        <v>52844</v>
      </c>
      <c r="N5551" s="3" t="s">
        <v>4865</v>
      </c>
      <c r="O5551" s="2" t="s">
        <v>8350</v>
      </c>
      <c r="P5551" s="3" t="s">
        <v>64</v>
      </c>
      <c r="R5551" s="3" t="s">
        <v>52643</v>
      </c>
      <c r="S5551" s="4">
        <v>5</v>
      </c>
      <c r="T5551" s="4">
        <v>5</v>
      </c>
      <c r="U5551" s="5" t="s">
        <v>398</v>
      </c>
      <c r="V5551" s="5" t="s">
        <v>398</v>
      </c>
      <c r="W5551" s="5" t="s">
        <v>67</v>
      </c>
      <c r="X5551" s="5" t="s">
        <v>67</v>
      </c>
      <c r="Y5551" s="4">
        <v>85</v>
      </c>
      <c r="Z5551" s="4">
        <v>9</v>
      </c>
      <c r="AA5551" s="4">
        <v>15</v>
      </c>
      <c r="AB5551" s="4">
        <v>1</v>
      </c>
      <c r="AC5551" s="4">
        <v>2</v>
      </c>
      <c r="AD5551" s="4">
        <v>34</v>
      </c>
      <c r="AE5551" s="4">
        <v>74</v>
      </c>
      <c r="AF5551" s="4">
        <v>0</v>
      </c>
      <c r="AG5551" s="4">
        <v>1</v>
      </c>
      <c r="AH5551" s="4">
        <v>33</v>
      </c>
      <c r="AI5551" s="4">
        <v>67</v>
      </c>
      <c r="AJ5551" s="4">
        <v>6</v>
      </c>
      <c r="AK5551" s="4">
        <v>9</v>
      </c>
      <c r="AL5551" s="4">
        <v>22</v>
      </c>
      <c r="AM5551" s="4">
        <v>44</v>
      </c>
      <c r="AN5551" s="4">
        <v>0</v>
      </c>
      <c r="AO5551" s="4">
        <v>0</v>
      </c>
      <c r="AP5551" s="4">
        <v>6</v>
      </c>
      <c r="AQ5551" s="4">
        <v>11</v>
      </c>
      <c r="AR5551" s="3" t="s">
        <v>62</v>
      </c>
      <c r="AS5551" s="3" t="s">
        <v>62</v>
      </c>
      <c r="AT5551" s="3" t="s">
        <v>62</v>
      </c>
      <c r="AV5551" s="6" t="str">
        <f>HYPERLINK("http://mcgill.on.worldcat.org/oclc/14754139","Catalog Record")</f>
        <v>Catalog Record</v>
      </c>
      <c r="AW5551" s="6" t="str">
        <f>HYPERLINK("http://www.worldcat.org/oclc/14754139","WorldCat Record")</f>
        <v>WorldCat Record</v>
      </c>
      <c r="AX5551" s="3" t="s">
        <v>52845</v>
      </c>
      <c r="AY5551" s="3" t="s">
        <v>52846</v>
      </c>
      <c r="AZ5551" s="3" t="s">
        <v>52847</v>
      </c>
      <c r="BA5551" s="3" t="s">
        <v>52847</v>
      </c>
      <c r="BB5551" s="3" t="s">
        <v>52848</v>
      </c>
      <c r="BC5551" s="3" t="s">
        <v>102</v>
      </c>
      <c r="BD5551" s="3" t="s">
        <v>68</v>
      </c>
      <c r="BF5551" s="3" t="s">
        <v>52848</v>
      </c>
      <c r="BG5551" s="3" t="s">
        <v>52849</v>
      </c>
    </row>
    <row r="5552" spans="1:59" ht="58" x14ac:dyDescent="0.35">
      <c r="A5552" s="2" t="s">
        <v>59</v>
      </c>
      <c r="B5552" s="2" t="s">
        <v>60</v>
      </c>
      <c r="C5552" s="2" t="s">
        <v>52850</v>
      </c>
      <c r="D5552" s="2" t="s">
        <v>52851</v>
      </c>
      <c r="E5552" s="2" t="s">
        <v>52852</v>
      </c>
      <c r="G5552" s="3" t="s">
        <v>62</v>
      </c>
      <c r="I5552" s="3" t="s">
        <v>62</v>
      </c>
      <c r="J5552" s="3" t="s">
        <v>62</v>
      </c>
      <c r="K5552" s="3" t="s">
        <v>63</v>
      </c>
      <c r="L5552" s="2" t="s">
        <v>52853</v>
      </c>
      <c r="M5552" s="2" t="s">
        <v>52854</v>
      </c>
      <c r="N5552" s="3" t="s">
        <v>186</v>
      </c>
      <c r="P5552" s="3" t="s">
        <v>64</v>
      </c>
      <c r="Q5552" s="2" t="s">
        <v>52855</v>
      </c>
      <c r="R5552" s="3" t="s">
        <v>52643</v>
      </c>
      <c r="S5552" s="4">
        <v>2</v>
      </c>
      <c r="T5552" s="4">
        <v>2</v>
      </c>
      <c r="U5552" s="5" t="s">
        <v>6129</v>
      </c>
      <c r="V5552" s="5" t="s">
        <v>6129</v>
      </c>
      <c r="W5552" s="5" t="s">
        <v>67</v>
      </c>
      <c r="X5552" s="5" t="s">
        <v>67</v>
      </c>
      <c r="Y5552" s="4">
        <v>313</v>
      </c>
      <c r="Z5552" s="4">
        <v>15</v>
      </c>
      <c r="AA5552" s="4">
        <v>16</v>
      </c>
      <c r="AB5552" s="4">
        <v>2</v>
      </c>
      <c r="AC5552" s="4">
        <v>3</v>
      </c>
      <c r="AD5552" s="4">
        <v>61</v>
      </c>
      <c r="AE5552" s="4">
        <v>62</v>
      </c>
      <c r="AF5552" s="4">
        <v>0</v>
      </c>
      <c r="AG5552" s="4">
        <v>1</v>
      </c>
      <c r="AH5552" s="4">
        <v>53</v>
      </c>
      <c r="AI5552" s="4">
        <v>53</v>
      </c>
      <c r="AJ5552" s="4">
        <v>10</v>
      </c>
      <c r="AK5552" s="4">
        <v>11</v>
      </c>
      <c r="AL5552" s="4">
        <v>32</v>
      </c>
      <c r="AM5552" s="4">
        <v>32</v>
      </c>
      <c r="AN5552" s="4">
        <v>0</v>
      </c>
      <c r="AO5552" s="4">
        <v>0</v>
      </c>
      <c r="AP5552" s="4">
        <v>12</v>
      </c>
      <c r="AQ5552" s="4">
        <v>12</v>
      </c>
      <c r="AR5552" s="3" t="s">
        <v>62</v>
      </c>
      <c r="AS5552" s="3" t="s">
        <v>62</v>
      </c>
      <c r="AT5552" s="3" t="s">
        <v>61</v>
      </c>
      <c r="AU5552" s="6" t="str">
        <f>HYPERLINK("http://catalog.hathitrust.org/Record/000716580","HathiTrust Record")</f>
        <v>HathiTrust Record</v>
      </c>
      <c r="AV5552" s="6" t="str">
        <f>HYPERLINK("http://mcgill.on.worldcat.org/oclc/2123144","Catalog Record")</f>
        <v>Catalog Record</v>
      </c>
      <c r="AW5552" s="6" t="str">
        <f>HYPERLINK("http://www.worldcat.org/oclc/2123144","WorldCat Record")</f>
        <v>WorldCat Record</v>
      </c>
      <c r="AX5552" s="3" t="s">
        <v>52856</v>
      </c>
      <c r="AY5552" s="3" t="s">
        <v>52857</v>
      </c>
      <c r="AZ5552" s="3" t="s">
        <v>52858</v>
      </c>
      <c r="BA5552" s="3" t="s">
        <v>52858</v>
      </c>
      <c r="BB5552" s="3" t="s">
        <v>52859</v>
      </c>
      <c r="BC5552" s="3" t="s">
        <v>102</v>
      </c>
      <c r="BD5552" s="3" t="s">
        <v>68</v>
      </c>
      <c r="BE5552" s="3" t="s">
        <v>52860</v>
      </c>
      <c r="BF5552" s="3" t="s">
        <v>52859</v>
      </c>
      <c r="BG5552" s="3" t="s">
        <v>52861</v>
      </c>
    </row>
    <row r="5553" spans="1:59" ht="101.5" x14ac:dyDescent="0.35">
      <c r="A5553" s="2" t="s">
        <v>89</v>
      </c>
      <c r="B5553" s="2" t="s">
        <v>36812</v>
      </c>
      <c r="C5553" s="2" t="s">
        <v>52862</v>
      </c>
      <c r="D5553" s="2" t="s">
        <v>52863</v>
      </c>
      <c r="E5553" s="2" t="s">
        <v>52864</v>
      </c>
      <c r="G5553" s="3" t="s">
        <v>62</v>
      </c>
      <c r="I5553" s="3" t="s">
        <v>61</v>
      </c>
      <c r="J5553" s="3" t="s">
        <v>62</v>
      </c>
      <c r="K5553" s="3" t="s">
        <v>63</v>
      </c>
      <c r="L5553" s="2" t="s">
        <v>52865</v>
      </c>
      <c r="M5553" s="2" t="s">
        <v>52866</v>
      </c>
      <c r="N5553" s="3" t="s">
        <v>1722</v>
      </c>
      <c r="P5553" s="3" t="s">
        <v>64</v>
      </c>
      <c r="R5553" s="3" t="s">
        <v>52643</v>
      </c>
      <c r="S5553" s="4">
        <v>46</v>
      </c>
      <c r="T5553" s="4">
        <v>156</v>
      </c>
      <c r="U5553" s="5" t="s">
        <v>8293</v>
      </c>
      <c r="V5553" s="5" t="s">
        <v>8024</v>
      </c>
      <c r="W5553" s="5" t="s">
        <v>67</v>
      </c>
      <c r="X5553" s="5" t="s">
        <v>67</v>
      </c>
      <c r="Y5553" s="4">
        <v>3169</v>
      </c>
      <c r="Z5553" s="4">
        <v>136</v>
      </c>
      <c r="AA5553" s="4">
        <v>160</v>
      </c>
      <c r="AB5553" s="4">
        <v>6</v>
      </c>
      <c r="AC5553" s="4">
        <v>8</v>
      </c>
      <c r="AD5553" s="4">
        <v>134</v>
      </c>
      <c r="AE5553" s="4">
        <v>146</v>
      </c>
      <c r="AF5553" s="4">
        <v>1</v>
      </c>
      <c r="AG5553" s="4">
        <v>1</v>
      </c>
      <c r="AH5553" s="4">
        <v>105</v>
      </c>
      <c r="AI5553" s="4">
        <v>112</v>
      </c>
      <c r="AJ5553" s="4">
        <v>21</v>
      </c>
      <c r="AK5553" s="4">
        <v>22</v>
      </c>
      <c r="AL5553" s="4">
        <v>55</v>
      </c>
      <c r="AM5553" s="4">
        <v>60</v>
      </c>
      <c r="AN5553" s="4">
        <v>0</v>
      </c>
      <c r="AO5553" s="4">
        <v>0</v>
      </c>
      <c r="AP5553" s="4">
        <v>35</v>
      </c>
      <c r="AQ5553" s="4">
        <v>39</v>
      </c>
      <c r="AR5553" s="3" t="s">
        <v>62</v>
      </c>
      <c r="AS5553" s="3" t="s">
        <v>62</v>
      </c>
      <c r="AT5553" s="3" t="s">
        <v>62</v>
      </c>
      <c r="AV5553" s="6" t="str">
        <f>HYPERLINK("http://mcgill.on.worldcat.org/oclc/173243755","Catalog Record")</f>
        <v>Catalog Record</v>
      </c>
      <c r="AW5553" s="6" t="str">
        <f>HYPERLINK("http://www.worldcat.org/oclc/173243755","WorldCat Record")</f>
        <v>WorldCat Record</v>
      </c>
      <c r="AX5553" s="3" t="s">
        <v>52867</v>
      </c>
      <c r="AY5553" s="3" t="s">
        <v>52868</v>
      </c>
      <c r="AZ5553" s="3" t="s">
        <v>52869</v>
      </c>
      <c r="BA5553" s="3" t="s">
        <v>52869</v>
      </c>
      <c r="BB5553" s="3" t="s">
        <v>52870</v>
      </c>
      <c r="BC5553" s="3" t="s">
        <v>102</v>
      </c>
      <c r="BD5553" s="3" t="s">
        <v>231</v>
      </c>
      <c r="BE5553" s="3" t="s">
        <v>52871</v>
      </c>
      <c r="BF5553" s="3" t="s">
        <v>52870</v>
      </c>
      <c r="BG5553" s="3" t="s">
        <v>52872</v>
      </c>
    </row>
    <row r="5554" spans="1:59" ht="101.5" x14ac:dyDescent="0.35">
      <c r="A5554" s="2" t="s">
        <v>89</v>
      </c>
      <c r="B5554" s="2" t="s">
        <v>36812</v>
      </c>
      <c r="C5554" s="2" t="s">
        <v>52873</v>
      </c>
      <c r="D5554" s="2" t="s">
        <v>52874</v>
      </c>
      <c r="E5554" s="2" t="s">
        <v>52875</v>
      </c>
      <c r="G5554" s="3" t="s">
        <v>62</v>
      </c>
      <c r="I5554" s="3" t="s">
        <v>62</v>
      </c>
      <c r="J5554" s="3" t="s">
        <v>62</v>
      </c>
      <c r="K5554" s="3" t="s">
        <v>63</v>
      </c>
      <c r="M5554" s="2" t="s">
        <v>52876</v>
      </c>
      <c r="N5554" s="3" t="s">
        <v>726</v>
      </c>
      <c r="P5554" s="3" t="s">
        <v>64</v>
      </c>
      <c r="R5554" s="3" t="s">
        <v>52643</v>
      </c>
      <c r="S5554" s="4">
        <v>5</v>
      </c>
      <c r="T5554" s="4">
        <v>5</v>
      </c>
      <c r="U5554" s="5" t="s">
        <v>203</v>
      </c>
      <c r="V5554" s="5" t="s">
        <v>203</v>
      </c>
      <c r="W5554" s="5" t="s">
        <v>67</v>
      </c>
      <c r="X5554" s="5" t="s">
        <v>67</v>
      </c>
      <c r="Y5554" s="4">
        <v>375</v>
      </c>
      <c r="Z5554" s="4">
        <v>8</v>
      </c>
      <c r="AA5554" s="4">
        <v>10</v>
      </c>
      <c r="AB5554" s="4">
        <v>1</v>
      </c>
      <c r="AC5554" s="4">
        <v>3</v>
      </c>
      <c r="AD5554" s="4">
        <v>9</v>
      </c>
      <c r="AE5554" s="4">
        <v>9</v>
      </c>
      <c r="AF5554" s="4">
        <v>0</v>
      </c>
      <c r="AG5554" s="4">
        <v>0</v>
      </c>
      <c r="AH5554" s="4">
        <v>8</v>
      </c>
      <c r="AI5554" s="4">
        <v>8</v>
      </c>
      <c r="AJ5554" s="4">
        <v>0</v>
      </c>
      <c r="AK5554" s="4">
        <v>0</v>
      </c>
      <c r="AL5554" s="4">
        <v>5</v>
      </c>
      <c r="AM5554" s="4">
        <v>5</v>
      </c>
      <c r="AN5554" s="4">
        <v>0</v>
      </c>
      <c r="AO5554" s="4">
        <v>0</v>
      </c>
      <c r="AP5554" s="4">
        <v>0</v>
      </c>
      <c r="AQ5554" s="4">
        <v>0</v>
      </c>
      <c r="AR5554" s="3" t="s">
        <v>62</v>
      </c>
      <c r="AS5554" s="3" t="s">
        <v>62</v>
      </c>
      <c r="AT5554" s="3" t="s">
        <v>62</v>
      </c>
      <c r="AV5554" s="6" t="str">
        <f>HYPERLINK("http://mcgill.on.worldcat.org/oclc/952384504","Catalog Record")</f>
        <v>Catalog Record</v>
      </c>
      <c r="AW5554" s="6" t="str">
        <f>HYPERLINK("http://www.worldcat.org/oclc/952384504","WorldCat Record")</f>
        <v>WorldCat Record</v>
      </c>
      <c r="AX5554" s="3" t="s">
        <v>52877</v>
      </c>
      <c r="AY5554" s="3" t="s">
        <v>52878</v>
      </c>
      <c r="AZ5554" s="3" t="s">
        <v>52879</v>
      </c>
      <c r="BA5554" s="3" t="s">
        <v>52879</v>
      </c>
      <c r="BB5554" s="3" t="s">
        <v>52880</v>
      </c>
      <c r="BC5554" s="3" t="s">
        <v>102</v>
      </c>
      <c r="BD5554" s="3" t="s">
        <v>68</v>
      </c>
      <c r="BE5554" s="3" t="s">
        <v>52881</v>
      </c>
      <c r="BF5554" s="3" t="s">
        <v>52880</v>
      </c>
      <c r="BG5554" s="3" t="s">
        <v>52882</v>
      </c>
    </row>
    <row r="5555" spans="1:59" ht="101.5" x14ac:dyDescent="0.35">
      <c r="A5555" s="2" t="s">
        <v>89</v>
      </c>
      <c r="B5555" s="2" t="s">
        <v>36812</v>
      </c>
      <c r="C5555" s="2" t="s">
        <v>52883</v>
      </c>
      <c r="D5555" s="2" t="s">
        <v>52884</v>
      </c>
      <c r="E5555" s="2" t="s">
        <v>52885</v>
      </c>
      <c r="G5555" s="3" t="s">
        <v>62</v>
      </c>
      <c r="I5555" s="3" t="s">
        <v>62</v>
      </c>
      <c r="J5555" s="3" t="s">
        <v>62</v>
      </c>
      <c r="K5555" s="3" t="s">
        <v>63</v>
      </c>
      <c r="L5555" s="2" t="s">
        <v>52886</v>
      </c>
      <c r="M5555" s="2" t="s">
        <v>52887</v>
      </c>
      <c r="N5555" s="3" t="s">
        <v>568</v>
      </c>
      <c r="O5555" s="2" t="s">
        <v>2163</v>
      </c>
      <c r="P5555" s="3" t="s">
        <v>64</v>
      </c>
      <c r="R5555" s="3" t="s">
        <v>52643</v>
      </c>
      <c r="S5555" s="4">
        <v>13</v>
      </c>
      <c r="T5555" s="4">
        <v>13</v>
      </c>
      <c r="U5555" s="5" t="s">
        <v>14331</v>
      </c>
      <c r="V5555" s="5" t="s">
        <v>14331</v>
      </c>
      <c r="W5555" s="5" t="s">
        <v>67</v>
      </c>
      <c r="X5555" s="5" t="s">
        <v>67</v>
      </c>
      <c r="Y5555" s="4">
        <v>2003</v>
      </c>
      <c r="Z5555" s="4">
        <v>59</v>
      </c>
      <c r="AA5555" s="4">
        <v>66</v>
      </c>
      <c r="AB5555" s="4">
        <v>3</v>
      </c>
      <c r="AC5555" s="4">
        <v>5</v>
      </c>
      <c r="AD5555" s="4">
        <v>52</v>
      </c>
      <c r="AE5555" s="4">
        <v>54</v>
      </c>
      <c r="AF5555" s="4">
        <v>0</v>
      </c>
      <c r="AG5555" s="4">
        <v>0</v>
      </c>
      <c r="AH5555" s="4">
        <v>47</v>
      </c>
      <c r="AI5555" s="4">
        <v>49</v>
      </c>
      <c r="AJ5555" s="4">
        <v>2</v>
      </c>
      <c r="AK5555" s="4">
        <v>3</v>
      </c>
      <c r="AL5555" s="4">
        <v>28</v>
      </c>
      <c r="AM5555" s="4">
        <v>29</v>
      </c>
      <c r="AN5555" s="4">
        <v>5</v>
      </c>
      <c r="AO5555" s="4">
        <v>5</v>
      </c>
      <c r="AP5555" s="4">
        <v>5</v>
      </c>
      <c r="AQ5555" s="4">
        <v>6</v>
      </c>
      <c r="AR5555" s="3" t="s">
        <v>62</v>
      </c>
      <c r="AS5555" s="3" t="s">
        <v>62</v>
      </c>
      <c r="AT5555" s="3" t="s">
        <v>61</v>
      </c>
      <c r="AU5555" s="6" t="str">
        <f>HYPERLINK("http://catalog.hathitrust.org/Record/102008310","HathiTrust Record")</f>
        <v>HathiTrust Record</v>
      </c>
      <c r="AV5555" s="6" t="str">
        <f>HYPERLINK("http://mcgill.on.worldcat.org/oclc/42708044","Catalog Record")</f>
        <v>Catalog Record</v>
      </c>
      <c r="AW5555" s="6" t="str">
        <f>HYPERLINK("http://www.worldcat.org/oclc/42708044","WorldCat Record")</f>
        <v>WorldCat Record</v>
      </c>
      <c r="AX5555" s="3" t="s">
        <v>52888</v>
      </c>
      <c r="AY5555" s="3" t="s">
        <v>52889</v>
      </c>
      <c r="AZ5555" s="3" t="s">
        <v>52890</v>
      </c>
      <c r="BA5555" s="3" t="s">
        <v>52890</v>
      </c>
      <c r="BB5555" s="3" t="s">
        <v>52891</v>
      </c>
      <c r="BC5555" s="3" t="s">
        <v>102</v>
      </c>
      <c r="BD5555" s="3" t="s">
        <v>68</v>
      </c>
      <c r="BE5555" s="3" t="s">
        <v>52892</v>
      </c>
      <c r="BF5555" s="3" t="s">
        <v>52891</v>
      </c>
      <c r="BG5555" s="3" t="s">
        <v>52893</v>
      </c>
    </row>
    <row r="5556" spans="1:59" ht="101.5" x14ac:dyDescent="0.35">
      <c r="A5556" s="2" t="s">
        <v>89</v>
      </c>
      <c r="B5556" s="2" t="s">
        <v>36812</v>
      </c>
      <c r="C5556" s="2" t="s">
        <v>52894</v>
      </c>
      <c r="D5556" s="2" t="s">
        <v>52895</v>
      </c>
      <c r="E5556" s="2" t="s">
        <v>52896</v>
      </c>
      <c r="G5556" s="3" t="s">
        <v>62</v>
      </c>
      <c r="I5556" s="3" t="s">
        <v>62</v>
      </c>
      <c r="J5556" s="3" t="s">
        <v>62</v>
      </c>
      <c r="K5556" s="3" t="s">
        <v>63</v>
      </c>
      <c r="L5556" s="2" t="s">
        <v>52897</v>
      </c>
      <c r="M5556" s="2" t="s">
        <v>52898</v>
      </c>
      <c r="N5556" s="3" t="s">
        <v>2975</v>
      </c>
      <c r="P5556" s="3" t="s">
        <v>64</v>
      </c>
      <c r="R5556" s="3" t="s">
        <v>52643</v>
      </c>
      <c r="S5556" s="4">
        <v>40</v>
      </c>
      <c r="T5556" s="4">
        <v>40</v>
      </c>
      <c r="U5556" s="5" t="s">
        <v>3501</v>
      </c>
      <c r="V5556" s="5" t="s">
        <v>3501</v>
      </c>
      <c r="W5556" s="5" t="s">
        <v>67</v>
      </c>
      <c r="X5556" s="5" t="s">
        <v>67</v>
      </c>
      <c r="Y5556" s="4">
        <v>884</v>
      </c>
      <c r="Z5556" s="4">
        <v>25</v>
      </c>
      <c r="AA5556" s="4">
        <v>53</v>
      </c>
      <c r="AB5556" s="4">
        <v>3</v>
      </c>
      <c r="AC5556" s="4">
        <v>10</v>
      </c>
      <c r="AD5556" s="4">
        <v>43</v>
      </c>
      <c r="AE5556" s="4">
        <v>62</v>
      </c>
      <c r="AF5556" s="4">
        <v>0</v>
      </c>
      <c r="AG5556" s="4">
        <v>0</v>
      </c>
      <c r="AH5556" s="4">
        <v>41</v>
      </c>
      <c r="AI5556" s="4">
        <v>56</v>
      </c>
      <c r="AJ5556" s="4">
        <v>2</v>
      </c>
      <c r="AK5556" s="4">
        <v>5</v>
      </c>
      <c r="AL5556" s="4">
        <v>21</v>
      </c>
      <c r="AM5556" s="4">
        <v>29</v>
      </c>
      <c r="AN5556" s="4">
        <v>0</v>
      </c>
      <c r="AO5556" s="4">
        <v>0</v>
      </c>
      <c r="AP5556" s="4">
        <v>4</v>
      </c>
      <c r="AQ5556" s="4">
        <v>9</v>
      </c>
      <c r="AR5556" s="3" t="s">
        <v>62</v>
      </c>
      <c r="AS5556" s="3" t="s">
        <v>62</v>
      </c>
      <c r="AT5556" s="3" t="s">
        <v>61</v>
      </c>
      <c r="AU5556" s="6" t="str">
        <f>HYPERLINK("http://catalog.hathitrust.org/Record/004228770","HathiTrust Record")</f>
        <v>HathiTrust Record</v>
      </c>
      <c r="AV5556" s="6" t="str">
        <f>HYPERLINK("http://mcgill.on.worldcat.org/oclc/46364683","Catalog Record")</f>
        <v>Catalog Record</v>
      </c>
      <c r="AW5556" s="6" t="str">
        <f>HYPERLINK("http://www.worldcat.org/oclc/46364683","WorldCat Record")</f>
        <v>WorldCat Record</v>
      </c>
      <c r="AX5556" s="3" t="s">
        <v>52899</v>
      </c>
      <c r="AY5556" s="3" t="s">
        <v>52900</v>
      </c>
      <c r="AZ5556" s="3" t="s">
        <v>52901</v>
      </c>
      <c r="BA5556" s="3" t="s">
        <v>52901</v>
      </c>
      <c r="BB5556" s="3" t="s">
        <v>52902</v>
      </c>
      <c r="BC5556" s="3" t="s">
        <v>102</v>
      </c>
      <c r="BD5556" s="3" t="s">
        <v>68</v>
      </c>
      <c r="BE5556" s="3" t="s">
        <v>52903</v>
      </c>
      <c r="BF5556" s="3" t="s">
        <v>52902</v>
      </c>
      <c r="BG5556" s="3" t="s">
        <v>52904</v>
      </c>
    </row>
    <row r="5557" spans="1:59" ht="101.5" x14ac:dyDescent="0.35">
      <c r="A5557" s="2" t="s">
        <v>89</v>
      </c>
      <c r="B5557" s="2" t="s">
        <v>12301</v>
      </c>
      <c r="C5557" s="2" t="s">
        <v>52905</v>
      </c>
      <c r="D5557" s="2" t="s">
        <v>52906</v>
      </c>
      <c r="E5557" s="2" t="s">
        <v>52907</v>
      </c>
      <c r="G5557" s="3" t="s">
        <v>62</v>
      </c>
      <c r="I5557" s="3" t="s">
        <v>61</v>
      </c>
      <c r="J5557" s="3" t="s">
        <v>61</v>
      </c>
      <c r="K5557" s="3" t="s">
        <v>63</v>
      </c>
      <c r="L5557" s="2" t="s">
        <v>52908</v>
      </c>
      <c r="M5557" s="2" t="s">
        <v>52909</v>
      </c>
      <c r="N5557" s="3" t="s">
        <v>712</v>
      </c>
      <c r="O5557" s="2" t="s">
        <v>7791</v>
      </c>
      <c r="P5557" s="3" t="s">
        <v>64</v>
      </c>
      <c r="R5557" s="3" t="s">
        <v>52643</v>
      </c>
      <c r="S5557" s="4">
        <v>1</v>
      </c>
      <c r="T5557" s="4">
        <v>3</v>
      </c>
      <c r="U5557" s="5" t="s">
        <v>12369</v>
      </c>
      <c r="V5557" s="5" t="s">
        <v>12369</v>
      </c>
      <c r="W5557" s="5" t="s">
        <v>67</v>
      </c>
      <c r="X5557" s="5" t="s">
        <v>67</v>
      </c>
      <c r="Y5557" s="4">
        <v>315</v>
      </c>
      <c r="Z5557" s="4">
        <v>12</v>
      </c>
      <c r="AA5557" s="4">
        <v>84</v>
      </c>
      <c r="AB5557" s="4">
        <v>4</v>
      </c>
      <c r="AC5557" s="4">
        <v>15</v>
      </c>
      <c r="AD5557" s="4">
        <v>58</v>
      </c>
      <c r="AE5557" s="4">
        <v>152</v>
      </c>
      <c r="AF5557" s="4">
        <v>2</v>
      </c>
      <c r="AG5557" s="4">
        <v>8</v>
      </c>
      <c r="AH5557" s="4">
        <v>50</v>
      </c>
      <c r="AI5557" s="4">
        <v>111</v>
      </c>
      <c r="AJ5557" s="4">
        <v>6</v>
      </c>
      <c r="AK5557" s="4">
        <v>26</v>
      </c>
      <c r="AL5557" s="4">
        <v>31</v>
      </c>
      <c r="AM5557" s="4">
        <v>61</v>
      </c>
      <c r="AN5557" s="4">
        <v>0</v>
      </c>
      <c r="AO5557" s="4">
        <v>0</v>
      </c>
      <c r="AP5557" s="4">
        <v>8</v>
      </c>
      <c r="AQ5557" s="4">
        <v>47</v>
      </c>
      <c r="AR5557" s="3" t="s">
        <v>62</v>
      </c>
      <c r="AS5557" s="3" t="s">
        <v>62</v>
      </c>
      <c r="AT5557" s="3" t="s">
        <v>62</v>
      </c>
      <c r="AV5557" s="6" t="str">
        <f>HYPERLINK("http://mcgill.on.worldcat.org/oclc/852218989","Catalog Record")</f>
        <v>Catalog Record</v>
      </c>
      <c r="AW5557" s="6" t="str">
        <f>HYPERLINK("http://www.worldcat.org/oclc/852218989","WorldCat Record")</f>
        <v>WorldCat Record</v>
      </c>
      <c r="AX5557" s="3" t="s">
        <v>52910</v>
      </c>
      <c r="AY5557" s="3" t="s">
        <v>52911</v>
      </c>
      <c r="AZ5557" s="3" t="s">
        <v>52912</v>
      </c>
      <c r="BA5557" s="3" t="s">
        <v>52912</v>
      </c>
      <c r="BB5557" s="3" t="s">
        <v>52913</v>
      </c>
      <c r="BC5557" s="3" t="s">
        <v>102</v>
      </c>
      <c r="BD5557" s="3" t="s">
        <v>68</v>
      </c>
      <c r="BE5557" s="3" t="s">
        <v>52914</v>
      </c>
      <c r="BF5557" s="3" t="s">
        <v>52913</v>
      </c>
      <c r="BG5557" s="3" t="s">
        <v>52915</v>
      </c>
    </row>
    <row r="5558" spans="1:59" ht="101.5" x14ac:dyDescent="0.35">
      <c r="A5558" s="2" t="s">
        <v>89</v>
      </c>
      <c r="B5558" s="2" t="s">
        <v>12301</v>
      </c>
      <c r="C5558" s="2" t="s">
        <v>52905</v>
      </c>
      <c r="D5558" s="2" t="s">
        <v>52906</v>
      </c>
      <c r="E5558" s="2" t="s">
        <v>52907</v>
      </c>
      <c r="G5558" s="3" t="s">
        <v>62</v>
      </c>
      <c r="I5558" s="3" t="s">
        <v>61</v>
      </c>
      <c r="J5558" s="3" t="s">
        <v>61</v>
      </c>
      <c r="K5558" s="3" t="s">
        <v>63</v>
      </c>
      <c r="L5558" s="2" t="s">
        <v>52908</v>
      </c>
      <c r="M5558" s="2" t="s">
        <v>52909</v>
      </c>
      <c r="N5558" s="3" t="s">
        <v>712</v>
      </c>
      <c r="O5558" s="2" t="s">
        <v>7791</v>
      </c>
      <c r="P5558" s="3" t="s">
        <v>64</v>
      </c>
      <c r="R5558" s="3" t="s">
        <v>52643</v>
      </c>
      <c r="S5558" s="4">
        <v>2</v>
      </c>
      <c r="T5558" s="4">
        <v>3</v>
      </c>
      <c r="U5558" s="5" t="s">
        <v>12498</v>
      </c>
      <c r="V5558" s="5" t="s">
        <v>12369</v>
      </c>
      <c r="W5558" s="5" t="s">
        <v>67</v>
      </c>
      <c r="X5558" s="5" t="s">
        <v>67</v>
      </c>
      <c r="Y5558" s="4">
        <v>315</v>
      </c>
      <c r="Z5558" s="4">
        <v>12</v>
      </c>
      <c r="AA5558" s="4">
        <v>84</v>
      </c>
      <c r="AB5558" s="4">
        <v>4</v>
      </c>
      <c r="AC5558" s="4">
        <v>15</v>
      </c>
      <c r="AD5558" s="4">
        <v>58</v>
      </c>
      <c r="AE5558" s="4">
        <v>152</v>
      </c>
      <c r="AF5558" s="4">
        <v>2</v>
      </c>
      <c r="AG5558" s="4">
        <v>8</v>
      </c>
      <c r="AH5558" s="4">
        <v>50</v>
      </c>
      <c r="AI5558" s="4">
        <v>111</v>
      </c>
      <c r="AJ5558" s="4">
        <v>6</v>
      </c>
      <c r="AK5558" s="4">
        <v>26</v>
      </c>
      <c r="AL5558" s="4">
        <v>31</v>
      </c>
      <c r="AM5558" s="4">
        <v>61</v>
      </c>
      <c r="AN5558" s="4">
        <v>0</v>
      </c>
      <c r="AO5558" s="4">
        <v>0</v>
      </c>
      <c r="AP5558" s="4">
        <v>8</v>
      </c>
      <c r="AQ5558" s="4">
        <v>47</v>
      </c>
      <c r="AR5558" s="3" t="s">
        <v>62</v>
      </c>
      <c r="AS5558" s="3" t="s">
        <v>62</v>
      </c>
      <c r="AT5558" s="3" t="s">
        <v>62</v>
      </c>
      <c r="AV5558" s="6" t="str">
        <f>HYPERLINK("http://mcgill.on.worldcat.org/oclc/852218989","Catalog Record")</f>
        <v>Catalog Record</v>
      </c>
      <c r="AW5558" s="6" t="str">
        <f>HYPERLINK("http://www.worldcat.org/oclc/852218989","WorldCat Record")</f>
        <v>WorldCat Record</v>
      </c>
      <c r="AX5558" s="3" t="s">
        <v>52910</v>
      </c>
      <c r="AY5558" s="3" t="s">
        <v>52911</v>
      </c>
      <c r="AZ5558" s="3" t="s">
        <v>52912</v>
      </c>
      <c r="BA5558" s="3" t="s">
        <v>52912</v>
      </c>
      <c r="BB5558" s="3" t="s">
        <v>52916</v>
      </c>
      <c r="BC5558" s="3" t="s">
        <v>102</v>
      </c>
      <c r="BD5558" s="3" t="s">
        <v>68</v>
      </c>
      <c r="BE5558" s="3" t="s">
        <v>52914</v>
      </c>
      <c r="BF5558" s="3" t="s">
        <v>52916</v>
      </c>
      <c r="BG5558" s="3" t="s">
        <v>52917</v>
      </c>
    </row>
    <row r="5559" spans="1:59" ht="101.5" x14ac:dyDescent="0.35">
      <c r="A5559" s="2" t="s">
        <v>89</v>
      </c>
      <c r="B5559" s="2" t="s">
        <v>12301</v>
      </c>
      <c r="C5559" s="2" t="s">
        <v>52918</v>
      </c>
      <c r="D5559" s="2" t="s">
        <v>52919</v>
      </c>
      <c r="E5559" s="2" t="s">
        <v>52920</v>
      </c>
      <c r="G5559" s="3" t="s">
        <v>62</v>
      </c>
      <c r="I5559" s="3" t="s">
        <v>61</v>
      </c>
      <c r="J5559" s="3" t="s">
        <v>61</v>
      </c>
      <c r="K5559" s="3" t="s">
        <v>63</v>
      </c>
      <c r="L5559" s="2" t="s">
        <v>52921</v>
      </c>
      <c r="M5559" s="2" t="s">
        <v>52922</v>
      </c>
      <c r="N5559" s="3" t="s">
        <v>684</v>
      </c>
      <c r="O5559" s="2" t="s">
        <v>10722</v>
      </c>
      <c r="P5559" s="3" t="s">
        <v>64</v>
      </c>
      <c r="R5559" s="3" t="s">
        <v>52643</v>
      </c>
      <c r="S5559" s="4">
        <v>69</v>
      </c>
      <c r="T5559" s="4">
        <v>79</v>
      </c>
      <c r="U5559" s="5" t="s">
        <v>16074</v>
      </c>
      <c r="V5559" s="5" t="s">
        <v>16074</v>
      </c>
      <c r="W5559" s="5" t="s">
        <v>1338</v>
      </c>
      <c r="X5559" s="5" t="s">
        <v>1338</v>
      </c>
      <c r="Y5559" s="4">
        <v>420</v>
      </c>
      <c r="Z5559" s="4">
        <v>28</v>
      </c>
      <c r="AA5559" s="4">
        <v>57</v>
      </c>
      <c r="AB5559" s="4">
        <v>4</v>
      </c>
      <c r="AC5559" s="4">
        <v>17</v>
      </c>
      <c r="AD5559" s="4">
        <v>88</v>
      </c>
      <c r="AE5559" s="4">
        <v>137</v>
      </c>
      <c r="AF5559" s="4">
        <v>2</v>
      </c>
      <c r="AG5559" s="4">
        <v>7</v>
      </c>
      <c r="AH5559" s="4">
        <v>73</v>
      </c>
      <c r="AI5559" s="4">
        <v>110</v>
      </c>
      <c r="AJ5559" s="4">
        <v>16</v>
      </c>
      <c r="AK5559" s="4">
        <v>23</v>
      </c>
      <c r="AL5559" s="4">
        <v>46</v>
      </c>
      <c r="AM5559" s="4">
        <v>61</v>
      </c>
      <c r="AN5559" s="4">
        <v>0</v>
      </c>
      <c r="AO5559" s="4">
        <v>0</v>
      </c>
      <c r="AP5559" s="4">
        <v>22</v>
      </c>
      <c r="AQ5559" s="4">
        <v>34</v>
      </c>
      <c r="AR5559" s="3" t="s">
        <v>62</v>
      </c>
      <c r="AS5559" s="3" t="s">
        <v>62</v>
      </c>
      <c r="AT5559" s="3" t="s">
        <v>62</v>
      </c>
      <c r="AV5559" s="6" t="str">
        <f>HYPERLINK("http://mcgill.on.worldcat.org/oclc/477270509","Catalog Record")</f>
        <v>Catalog Record</v>
      </c>
      <c r="AW5559" s="6" t="str">
        <f>HYPERLINK("http://www.worldcat.org/oclc/477270509","WorldCat Record")</f>
        <v>WorldCat Record</v>
      </c>
      <c r="AX5559" s="3" t="s">
        <v>52923</v>
      </c>
      <c r="AY5559" s="3" t="s">
        <v>52924</v>
      </c>
      <c r="AZ5559" s="3" t="s">
        <v>52925</v>
      </c>
      <c r="BA5559" s="3" t="s">
        <v>52925</v>
      </c>
      <c r="BB5559" s="3" t="s">
        <v>52926</v>
      </c>
      <c r="BC5559" s="3" t="s">
        <v>102</v>
      </c>
      <c r="BD5559" s="3" t="s">
        <v>68</v>
      </c>
      <c r="BE5559" s="3" t="s">
        <v>52927</v>
      </c>
      <c r="BF5559" s="3" t="s">
        <v>52926</v>
      </c>
      <c r="BG5559" s="3" t="s">
        <v>52928</v>
      </c>
    </row>
    <row r="5560" spans="1:59" ht="72.5" x14ac:dyDescent="0.35">
      <c r="A5560" s="2" t="s">
        <v>89</v>
      </c>
      <c r="B5560" s="2" t="s">
        <v>6124</v>
      </c>
      <c r="C5560" s="2" t="s">
        <v>52929</v>
      </c>
      <c r="D5560" s="2" t="s">
        <v>52930</v>
      </c>
      <c r="E5560" s="2" t="s">
        <v>52931</v>
      </c>
      <c r="G5560" s="3" t="s">
        <v>62</v>
      </c>
      <c r="I5560" s="3" t="s">
        <v>62</v>
      </c>
      <c r="J5560" s="3" t="s">
        <v>61</v>
      </c>
      <c r="K5560" s="3" t="s">
        <v>63</v>
      </c>
      <c r="L5560" s="2" t="s">
        <v>52932</v>
      </c>
      <c r="M5560" s="2" t="s">
        <v>52933</v>
      </c>
      <c r="N5560" s="3" t="s">
        <v>726</v>
      </c>
      <c r="O5560" s="2" t="s">
        <v>52934</v>
      </c>
      <c r="P5560" s="3" t="s">
        <v>64</v>
      </c>
      <c r="R5560" s="3" t="s">
        <v>52643</v>
      </c>
      <c r="S5560" s="4">
        <v>14</v>
      </c>
      <c r="T5560" s="4">
        <v>14</v>
      </c>
      <c r="U5560" s="5" t="s">
        <v>17936</v>
      </c>
      <c r="V5560" s="5" t="s">
        <v>17936</v>
      </c>
      <c r="W5560" s="5" t="s">
        <v>67</v>
      </c>
      <c r="X5560" s="5" t="s">
        <v>67</v>
      </c>
      <c r="Y5560" s="4">
        <v>104</v>
      </c>
      <c r="Z5560" s="4">
        <v>6</v>
      </c>
      <c r="AA5560" s="4">
        <v>92</v>
      </c>
      <c r="AB5560" s="4">
        <v>1</v>
      </c>
      <c r="AC5560" s="4">
        <v>11</v>
      </c>
      <c r="AD5560" s="4">
        <v>13</v>
      </c>
      <c r="AE5560" s="4">
        <v>127</v>
      </c>
      <c r="AF5560" s="4">
        <v>0</v>
      </c>
      <c r="AG5560" s="4">
        <v>2</v>
      </c>
      <c r="AH5560" s="4">
        <v>11</v>
      </c>
      <c r="AI5560" s="4">
        <v>105</v>
      </c>
      <c r="AJ5560" s="4">
        <v>1</v>
      </c>
      <c r="AK5560" s="4">
        <v>20</v>
      </c>
      <c r="AL5560" s="4">
        <v>5</v>
      </c>
      <c r="AM5560" s="4">
        <v>56</v>
      </c>
      <c r="AN5560" s="4">
        <v>0</v>
      </c>
      <c r="AO5560" s="4">
        <v>0</v>
      </c>
      <c r="AP5560" s="4">
        <v>4</v>
      </c>
      <c r="AQ5560" s="4">
        <v>28</v>
      </c>
      <c r="AR5560" s="3" t="s">
        <v>62</v>
      </c>
      <c r="AS5560" s="3" t="s">
        <v>62</v>
      </c>
      <c r="AT5560" s="3" t="s">
        <v>62</v>
      </c>
      <c r="AV5560" s="6" t="str">
        <f>HYPERLINK("http://mcgill.on.worldcat.org/oclc/953598434","Catalog Record")</f>
        <v>Catalog Record</v>
      </c>
      <c r="AW5560" s="6" t="str">
        <f>HYPERLINK("http://www.worldcat.org/oclc/953598434","WorldCat Record")</f>
        <v>WorldCat Record</v>
      </c>
      <c r="AX5560" s="3" t="s">
        <v>52935</v>
      </c>
      <c r="AY5560" s="3" t="s">
        <v>52936</v>
      </c>
      <c r="AZ5560" s="3" t="s">
        <v>52937</v>
      </c>
      <c r="BA5560" s="3" t="s">
        <v>52937</v>
      </c>
      <c r="BB5560" s="3" t="s">
        <v>52938</v>
      </c>
      <c r="BC5560" s="3" t="s">
        <v>102</v>
      </c>
      <c r="BD5560" s="3" t="s">
        <v>7808</v>
      </c>
      <c r="BE5560" s="3" t="s">
        <v>52939</v>
      </c>
      <c r="BF5560" s="3" t="s">
        <v>52938</v>
      </c>
      <c r="BG5560" s="3" t="s">
        <v>52940</v>
      </c>
    </row>
    <row r="5561" spans="1:59" ht="101.5" x14ac:dyDescent="0.35">
      <c r="A5561" s="2" t="s">
        <v>89</v>
      </c>
      <c r="B5561" s="2" t="s">
        <v>12301</v>
      </c>
      <c r="C5561" s="2" t="s">
        <v>52941</v>
      </c>
      <c r="D5561" s="2" t="s">
        <v>52942</v>
      </c>
      <c r="E5561" s="2" t="s">
        <v>52943</v>
      </c>
      <c r="G5561" s="3" t="s">
        <v>62</v>
      </c>
      <c r="I5561" s="3" t="s">
        <v>61</v>
      </c>
      <c r="J5561" s="3" t="s">
        <v>62</v>
      </c>
      <c r="K5561" s="3" t="s">
        <v>63</v>
      </c>
      <c r="M5561" s="2" t="s">
        <v>52944</v>
      </c>
      <c r="N5561" s="3" t="s">
        <v>741</v>
      </c>
      <c r="O5561" s="2" t="s">
        <v>16034</v>
      </c>
      <c r="P5561" s="3" t="s">
        <v>64</v>
      </c>
      <c r="R5561" s="3" t="s">
        <v>52945</v>
      </c>
      <c r="S5561" s="4">
        <v>2</v>
      </c>
      <c r="T5561" s="4">
        <v>15</v>
      </c>
      <c r="U5561" s="5" t="s">
        <v>22112</v>
      </c>
      <c r="V5561" s="5" t="s">
        <v>22014</v>
      </c>
      <c r="W5561" s="5" t="s">
        <v>67</v>
      </c>
      <c r="X5561" s="5" t="s">
        <v>67</v>
      </c>
      <c r="Y5561" s="4">
        <v>35</v>
      </c>
      <c r="Z5561" s="4">
        <v>5</v>
      </c>
      <c r="AA5561" s="4">
        <v>9</v>
      </c>
      <c r="AB5561" s="4">
        <v>1</v>
      </c>
      <c r="AC5561" s="4">
        <v>4</v>
      </c>
      <c r="AD5561" s="4">
        <v>10</v>
      </c>
      <c r="AE5561" s="4">
        <v>37</v>
      </c>
      <c r="AF5561" s="4">
        <v>0</v>
      </c>
      <c r="AG5561" s="4">
        <v>2</v>
      </c>
      <c r="AH5561" s="4">
        <v>9</v>
      </c>
      <c r="AI5561" s="4">
        <v>33</v>
      </c>
      <c r="AJ5561" s="4">
        <v>3</v>
      </c>
      <c r="AK5561" s="4">
        <v>6</v>
      </c>
      <c r="AL5561" s="4">
        <v>4</v>
      </c>
      <c r="AM5561" s="4">
        <v>18</v>
      </c>
      <c r="AN5561" s="4">
        <v>0</v>
      </c>
      <c r="AO5561" s="4">
        <v>0</v>
      </c>
      <c r="AP5561" s="4">
        <v>3</v>
      </c>
      <c r="AQ5561" s="4">
        <v>5</v>
      </c>
      <c r="AR5561" s="3" t="s">
        <v>62</v>
      </c>
      <c r="AS5561" s="3" t="s">
        <v>62</v>
      </c>
      <c r="AT5561" s="3" t="s">
        <v>62</v>
      </c>
      <c r="AV5561" s="6" t="str">
        <f>HYPERLINK("http://mcgill.on.worldcat.org/oclc/1021066375","Catalog Record")</f>
        <v>Catalog Record</v>
      </c>
      <c r="AW5561" s="6" t="str">
        <f>HYPERLINK("http://www.worldcat.org/oclc/1021066375","WorldCat Record")</f>
        <v>WorldCat Record</v>
      </c>
      <c r="AX5561" s="3" t="s">
        <v>52946</v>
      </c>
      <c r="AY5561" s="3" t="s">
        <v>52947</v>
      </c>
      <c r="AZ5561" s="3" t="s">
        <v>52948</v>
      </c>
      <c r="BA5561" s="3" t="s">
        <v>52948</v>
      </c>
      <c r="BB5561" s="3" t="s">
        <v>52949</v>
      </c>
      <c r="BC5561" s="3" t="s">
        <v>102</v>
      </c>
      <c r="BD5561" s="3" t="s">
        <v>68</v>
      </c>
      <c r="BE5561" s="3" t="s">
        <v>52950</v>
      </c>
      <c r="BF5561" s="3" t="s">
        <v>52949</v>
      </c>
      <c r="BG5561" s="3" t="s">
        <v>52951</v>
      </c>
    </row>
    <row r="5562" spans="1:59" ht="101.5" x14ac:dyDescent="0.35">
      <c r="A5562" s="2" t="s">
        <v>89</v>
      </c>
      <c r="B5562" s="2" t="s">
        <v>12301</v>
      </c>
      <c r="C5562" s="2" t="s">
        <v>52941</v>
      </c>
      <c r="D5562" s="2" t="s">
        <v>52942</v>
      </c>
      <c r="E5562" s="2" t="s">
        <v>52943</v>
      </c>
      <c r="G5562" s="3" t="s">
        <v>62</v>
      </c>
      <c r="I5562" s="3" t="s">
        <v>61</v>
      </c>
      <c r="J5562" s="3" t="s">
        <v>62</v>
      </c>
      <c r="K5562" s="3" t="s">
        <v>63</v>
      </c>
      <c r="M5562" s="2" t="s">
        <v>52944</v>
      </c>
      <c r="N5562" s="3" t="s">
        <v>741</v>
      </c>
      <c r="O5562" s="2" t="s">
        <v>16034</v>
      </c>
      <c r="P5562" s="3" t="s">
        <v>64</v>
      </c>
      <c r="R5562" s="3" t="s">
        <v>52945</v>
      </c>
      <c r="S5562" s="4">
        <v>3</v>
      </c>
      <c r="T5562" s="4">
        <v>15</v>
      </c>
      <c r="U5562" s="5" t="s">
        <v>22014</v>
      </c>
      <c r="V5562" s="5" t="s">
        <v>22014</v>
      </c>
      <c r="W5562" s="5" t="s">
        <v>67</v>
      </c>
      <c r="X5562" s="5" t="s">
        <v>67</v>
      </c>
      <c r="Y5562" s="4">
        <v>35</v>
      </c>
      <c r="Z5562" s="4">
        <v>5</v>
      </c>
      <c r="AA5562" s="4">
        <v>9</v>
      </c>
      <c r="AB5562" s="4">
        <v>1</v>
      </c>
      <c r="AC5562" s="4">
        <v>4</v>
      </c>
      <c r="AD5562" s="4">
        <v>10</v>
      </c>
      <c r="AE5562" s="4">
        <v>37</v>
      </c>
      <c r="AF5562" s="4">
        <v>0</v>
      </c>
      <c r="AG5562" s="4">
        <v>2</v>
      </c>
      <c r="AH5562" s="4">
        <v>9</v>
      </c>
      <c r="AI5562" s="4">
        <v>33</v>
      </c>
      <c r="AJ5562" s="4">
        <v>3</v>
      </c>
      <c r="AK5562" s="4">
        <v>6</v>
      </c>
      <c r="AL5562" s="4">
        <v>4</v>
      </c>
      <c r="AM5562" s="4">
        <v>18</v>
      </c>
      <c r="AN5562" s="4">
        <v>0</v>
      </c>
      <c r="AO5562" s="4">
        <v>0</v>
      </c>
      <c r="AP5562" s="4">
        <v>3</v>
      </c>
      <c r="AQ5562" s="4">
        <v>5</v>
      </c>
      <c r="AR5562" s="3" t="s">
        <v>62</v>
      </c>
      <c r="AS5562" s="3" t="s">
        <v>62</v>
      </c>
      <c r="AT5562" s="3" t="s">
        <v>62</v>
      </c>
      <c r="AV5562" s="6" t="str">
        <f>HYPERLINK("http://mcgill.on.worldcat.org/oclc/1021066375","Catalog Record")</f>
        <v>Catalog Record</v>
      </c>
      <c r="AW5562" s="6" t="str">
        <f>HYPERLINK("http://www.worldcat.org/oclc/1021066375","WorldCat Record")</f>
        <v>WorldCat Record</v>
      </c>
      <c r="AX5562" s="3" t="s">
        <v>52946</v>
      </c>
      <c r="AY5562" s="3" t="s">
        <v>52947</v>
      </c>
      <c r="AZ5562" s="3" t="s">
        <v>52948</v>
      </c>
      <c r="BA5562" s="3" t="s">
        <v>52948</v>
      </c>
      <c r="BB5562" s="3" t="s">
        <v>52952</v>
      </c>
      <c r="BC5562" s="3" t="s">
        <v>102</v>
      </c>
      <c r="BD5562" s="3" t="s">
        <v>68</v>
      </c>
      <c r="BE5562" s="3" t="s">
        <v>52950</v>
      </c>
      <c r="BF5562" s="3" t="s">
        <v>52952</v>
      </c>
      <c r="BG5562" s="3" t="s">
        <v>52953</v>
      </c>
    </row>
    <row r="5563" spans="1:59" ht="101.5" x14ac:dyDescent="0.35">
      <c r="A5563" s="2" t="s">
        <v>89</v>
      </c>
      <c r="B5563" s="2" t="s">
        <v>12301</v>
      </c>
      <c r="C5563" s="2" t="s">
        <v>52941</v>
      </c>
      <c r="D5563" s="2" t="s">
        <v>52942</v>
      </c>
      <c r="E5563" s="2" t="s">
        <v>52943</v>
      </c>
      <c r="G5563" s="3" t="s">
        <v>62</v>
      </c>
      <c r="I5563" s="3" t="s">
        <v>61</v>
      </c>
      <c r="J5563" s="3" t="s">
        <v>62</v>
      </c>
      <c r="K5563" s="3" t="s">
        <v>63</v>
      </c>
      <c r="M5563" s="2" t="s">
        <v>52944</v>
      </c>
      <c r="N5563" s="3" t="s">
        <v>741</v>
      </c>
      <c r="O5563" s="2" t="s">
        <v>16034</v>
      </c>
      <c r="P5563" s="3" t="s">
        <v>64</v>
      </c>
      <c r="R5563" s="3" t="s">
        <v>52945</v>
      </c>
      <c r="S5563" s="4">
        <v>3</v>
      </c>
      <c r="T5563" s="4">
        <v>15</v>
      </c>
      <c r="U5563" s="5" t="s">
        <v>17936</v>
      </c>
      <c r="V5563" s="5" t="s">
        <v>22014</v>
      </c>
      <c r="W5563" s="5" t="s">
        <v>67</v>
      </c>
      <c r="X5563" s="5" t="s">
        <v>67</v>
      </c>
      <c r="Y5563" s="4">
        <v>35</v>
      </c>
      <c r="Z5563" s="4">
        <v>5</v>
      </c>
      <c r="AA5563" s="4">
        <v>9</v>
      </c>
      <c r="AB5563" s="4">
        <v>1</v>
      </c>
      <c r="AC5563" s="4">
        <v>4</v>
      </c>
      <c r="AD5563" s="4">
        <v>10</v>
      </c>
      <c r="AE5563" s="4">
        <v>37</v>
      </c>
      <c r="AF5563" s="4">
        <v>0</v>
      </c>
      <c r="AG5563" s="4">
        <v>2</v>
      </c>
      <c r="AH5563" s="4">
        <v>9</v>
      </c>
      <c r="AI5563" s="4">
        <v>33</v>
      </c>
      <c r="AJ5563" s="4">
        <v>3</v>
      </c>
      <c r="AK5563" s="4">
        <v>6</v>
      </c>
      <c r="AL5563" s="4">
        <v>4</v>
      </c>
      <c r="AM5563" s="4">
        <v>18</v>
      </c>
      <c r="AN5563" s="4">
        <v>0</v>
      </c>
      <c r="AO5563" s="4">
        <v>0</v>
      </c>
      <c r="AP5563" s="4">
        <v>3</v>
      </c>
      <c r="AQ5563" s="4">
        <v>5</v>
      </c>
      <c r="AR5563" s="3" t="s">
        <v>62</v>
      </c>
      <c r="AS5563" s="3" t="s">
        <v>62</v>
      </c>
      <c r="AT5563" s="3" t="s">
        <v>62</v>
      </c>
      <c r="AV5563" s="6" t="str">
        <f>HYPERLINK("http://mcgill.on.worldcat.org/oclc/1021066375","Catalog Record")</f>
        <v>Catalog Record</v>
      </c>
      <c r="AW5563" s="6" t="str">
        <f>HYPERLINK("http://www.worldcat.org/oclc/1021066375","WorldCat Record")</f>
        <v>WorldCat Record</v>
      </c>
      <c r="AX5563" s="3" t="s">
        <v>52946</v>
      </c>
      <c r="AY5563" s="3" t="s">
        <v>52947</v>
      </c>
      <c r="AZ5563" s="3" t="s">
        <v>52948</v>
      </c>
      <c r="BA5563" s="3" t="s">
        <v>52948</v>
      </c>
      <c r="BB5563" s="3" t="s">
        <v>52954</v>
      </c>
      <c r="BC5563" s="3" t="s">
        <v>102</v>
      </c>
      <c r="BD5563" s="3" t="s">
        <v>68</v>
      </c>
      <c r="BE5563" s="3" t="s">
        <v>52950</v>
      </c>
      <c r="BF5563" s="3" t="s">
        <v>52954</v>
      </c>
      <c r="BG5563" s="3" t="s">
        <v>52955</v>
      </c>
    </row>
    <row r="5564" spans="1:59" ht="58" x14ac:dyDescent="0.35">
      <c r="A5564" s="2" t="s">
        <v>89</v>
      </c>
      <c r="B5564" s="2" t="s">
        <v>90</v>
      </c>
      <c r="C5564" s="2" t="s">
        <v>52941</v>
      </c>
      <c r="D5564" s="2" t="s">
        <v>52942</v>
      </c>
      <c r="E5564" s="2" t="s">
        <v>52943</v>
      </c>
      <c r="G5564" s="3" t="s">
        <v>62</v>
      </c>
      <c r="I5564" s="3" t="s">
        <v>61</v>
      </c>
      <c r="J5564" s="3" t="s">
        <v>62</v>
      </c>
      <c r="K5564" s="3" t="s">
        <v>63</v>
      </c>
      <c r="M5564" s="2" t="s">
        <v>52944</v>
      </c>
      <c r="N5564" s="3" t="s">
        <v>741</v>
      </c>
      <c r="O5564" s="2" t="s">
        <v>16034</v>
      </c>
      <c r="P5564" s="3" t="s">
        <v>64</v>
      </c>
      <c r="R5564" s="3" t="s">
        <v>52945</v>
      </c>
      <c r="S5564" s="4">
        <v>4</v>
      </c>
      <c r="T5564" s="4">
        <v>15</v>
      </c>
      <c r="U5564" s="5" t="s">
        <v>32654</v>
      </c>
      <c r="V5564" s="5" t="s">
        <v>22014</v>
      </c>
      <c r="W5564" s="5" t="s">
        <v>67</v>
      </c>
      <c r="X5564" s="5" t="s">
        <v>67</v>
      </c>
      <c r="Y5564" s="4">
        <v>35</v>
      </c>
      <c r="Z5564" s="4">
        <v>5</v>
      </c>
      <c r="AA5564" s="4">
        <v>9</v>
      </c>
      <c r="AB5564" s="4">
        <v>1</v>
      </c>
      <c r="AC5564" s="4">
        <v>4</v>
      </c>
      <c r="AD5564" s="4">
        <v>10</v>
      </c>
      <c r="AE5564" s="4">
        <v>37</v>
      </c>
      <c r="AF5564" s="4">
        <v>0</v>
      </c>
      <c r="AG5564" s="4">
        <v>2</v>
      </c>
      <c r="AH5564" s="4">
        <v>9</v>
      </c>
      <c r="AI5564" s="4">
        <v>33</v>
      </c>
      <c r="AJ5564" s="4">
        <v>3</v>
      </c>
      <c r="AK5564" s="4">
        <v>6</v>
      </c>
      <c r="AL5564" s="4">
        <v>4</v>
      </c>
      <c r="AM5564" s="4">
        <v>18</v>
      </c>
      <c r="AN5564" s="4">
        <v>0</v>
      </c>
      <c r="AO5564" s="4">
        <v>0</v>
      </c>
      <c r="AP5564" s="4">
        <v>3</v>
      </c>
      <c r="AQ5564" s="4">
        <v>5</v>
      </c>
      <c r="AR5564" s="3" t="s">
        <v>62</v>
      </c>
      <c r="AS5564" s="3" t="s">
        <v>62</v>
      </c>
      <c r="AT5564" s="3" t="s">
        <v>62</v>
      </c>
      <c r="AV5564" s="6" t="str">
        <f>HYPERLINK("http://mcgill.on.worldcat.org/oclc/1021066375","Catalog Record")</f>
        <v>Catalog Record</v>
      </c>
      <c r="AW5564" s="6" t="str">
        <f>HYPERLINK("http://www.worldcat.org/oclc/1021066375","WorldCat Record")</f>
        <v>WorldCat Record</v>
      </c>
      <c r="AX5564" s="3" t="s">
        <v>52946</v>
      </c>
      <c r="AY5564" s="3" t="s">
        <v>52947</v>
      </c>
      <c r="AZ5564" s="3" t="s">
        <v>52948</v>
      </c>
      <c r="BA5564" s="3" t="s">
        <v>52948</v>
      </c>
      <c r="BB5564" s="3" t="s">
        <v>52956</v>
      </c>
      <c r="BC5564" s="3" t="s">
        <v>102</v>
      </c>
      <c r="BD5564" s="3" t="s">
        <v>68</v>
      </c>
      <c r="BE5564" s="3" t="s">
        <v>52950</v>
      </c>
      <c r="BF5564" s="3" t="s">
        <v>52956</v>
      </c>
      <c r="BG5564" s="3" t="s">
        <v>52957</v>
      </c>
    </row>
    <row r="5565" spans="1:59" ht="101.5" x14ac:dyDescent="0.35">
      <c r="A5565" s="2" t="s">
        <v>89</v>
      </c>
      <c r="B5565" s="2" t="s">
        <v>12301</v>
      </c>
      <c r="C5565" s="2" t="s">
        <v>52941</v>
      </c>
      <c r="D5565" s="2" t="s">
        <v>52942</v>
      </c>
      <c r="E5565" s="2" t="s">
        <v>52943</v>
      </c>
      <c r="G5565" s="3" t="s">
        <v>62</v>
      </c>
      <c r="I5565" s="3" t="s">
        <v>61</v>
      </c>
      <c r="J5565" s="3" t="s">
        <v>62</v>
      </c>
      <c r="K5565" s="3" t="s">
        <v>63</v>
      </c>
      <c r="M5565" s="2" t="s">
        <v>52944</v>
      </c>
      <c r="N5565" s="3" t="s">
        <v>741</v>
      </c>
      <c r="O5565" s="2" t="s">
        <v>16034</v>
      </c>
      <c r="P5565" s="3" t="s">
        <v>64</v>
      </c>
      <c r="R5565" s="3" t="s">
        <v>52945</v>
      </c>
      <c r="S5565" s="4">
        <v>3</v>
      </c>
      <c r="T5565" s="4">
        <v>15</v>
      </c>
      <c r="U5565" s="5" t="s">
        <v>20967</v>
      </c>
      <c r="V5565" s="5" t="s">
        <v>22014</v>
      </c>
      <c r="W5565" s="5" t="s">
        <v>67</v>
      </c>
      <c r="X5565" s="5" t="s">
        <v>67</v>
      </c>
      <c r="Y5565" s="4">
        <v>35</v>
      </c>
      <c r="Z5565" s="4">
        <v>5</v>
      </c>
      <c r="AA5565" s="4">
        <v>9</v>
      </c>
      <c r="AB5565" s="4">
        <v>1</v>
      </c>
      <c r="AC5565" s="4">
        <v>4</v>
      </c>
      <c r="AD5565" s="4">
        <v>10</v>
      </c>
      <c r="AE5565" s="4">
        <v>37</v>
      </c>
      <c r="AF5565" s="4">
        <v>0</v>
      </c>
      <c r="AG5565" s="4">
        <v>2</v>
      </c>
      <c r="AH5565" s="4">
        <v>9</v>
      </c>
      <c r="AI5565" s="4">
        <v>33</v>
      </c>
      <c r="AJ5565" s="4">
        <v>3</v>
      </c>
      <c r="AK5565" s="4">
        <v>6</v>
      </c>
      <c r="AL5565" s="4">
        <v>4</v>
      </c>
      <c r="AM5565" s="4">
        <v>18</v>
      </c>
      <c r="AN5565" s="4">
        <v>0</v>
      </c>
      <c r="AO5565" s="4">
        <v>0</v>
      </c>
      <c r="AP5565" s="4">
        <v>3</v>
      </c>
      <c r="AQ5565" s="4">
        <v>5</v>
      </c>
      <c r="AR5565" s="3" t="s">
        <v>62</v>
      </c>
      <c r="AS5565" s="3" t="s">
        <v>62</v>
      </c>
      <c r="AT5565" s="3" t="s">
        <v>62</v>
      </c>
      <c r="AV5565" s="6" t="str">
        <f>HYPERLINK("http://mcgill.on.worldcat.org/oclc/1021066375","Catalog Record")</f>
        <v>Catalog Record</v>
      </c>
      <c r="AW5565" s="6" t="str">
        <f>HYPERLINK("http://www.worldcat.org/oclc/1021066375","WorldCat Record")</f>
        <v>WorldCat Record</v>
      </c>
      <c r="AX5565" s="3" t="s">
        <v>52946</v>
      </c>
      <c r="AY5565" s="3" t="s">
        <v>52947</v>
      </c>
      <c r="AZ5565" s="3" t="s">
        <v>52948</v>
      </c>
      <c r="BA5565" s="3" t="s">
        <v>52948</v>
      </c>
      <c r="BB5565" s="3" t="s">
        <v>52958</v>
      </c>
      <c r="BC5565" s="3" t="s">
        <v>102</v>
      </c>
      <c r="BD5565" s="3" t="s">
        <v>68</v>
      </c>
      <c r="BE5565" s="3" t="s">
        <v>52950</v>
      </c>
      <c r="BF5565" s="3" t="s">
        <v>52958</v>
      </c>
      <c r="BG5565" s="3" t="s">
        <v>52959</v>
      </c>
    </row>
    <row r="5566" spans="1:59" ht="58" x14ac:dyDescent="0.35">
      <c r="A5566" s="2" t="s">
        <v>89</v>
      </c>
      <c r="B5566" s="2" t="s">
        <v>90</v>
      </c>
      <c r="C5566" s="2" t="s">
        <v>52960</v>
      </c>
      <c r="D5566" s="2" t="s">
        <v>52961</v>
      </c>
      <c r="E5566" s="2" t="s">
        <v>52962</v>
      </c>
      <c r="G5566" s="3" t="s">
        <v>62</v>
      </c>
      <c r="I5566" s="3" t="s">
        <v>61</v>
      </c>
      <c r="J5566" s="3" t="s">
        <v>61</v>
      </c>
      <c r="K5566" s="3" t="s">
        <v>63</v>
      </c>
      <c r="L5566" s="2" t="s">
        <v>52963</v>
      </c>
      <c r="M5566" s="2" t="s">
        <v>52964</v>
      </c>
      <c r="N5566" s="3" t="s">
        <v>2085</v>
      </c>
      <c r="O5566" s="2" t="s">
        <v>52965</v>
      </c>
      <c r="P5566" s="3" t="s">
        <v>64</v>
      </c>
      <c r="R5566" s="3" t="s">
        <v>52945</v>
      </c>
      <c r="S5566" s="4">
        <v>2</v>
      </c>
      <c r="T5566" s="4">
        <v>5</v>
      </c>
      <c r="U5566" s="5" t="s">
        <v>15954</v>
      </c>
      <c r="V5566" s="5" t="s">
        <v>16849</v>
      </c>
      <c r="W5566" s="5" t="s">
        <v>22966</v>
      </c>
      <c r="X5566" s="5" t="s">
        <v>22966</v>
      </c>
      <c r="Y5566" s="4">
        <v>158</v>
      </c>
      <c r="Z5566" s="4">
        <v>2</v>
      </c>
      <c r="AA5566" s="4">
        <v>44</v>
      </c>
      <c r="AB5566" s="4">
        <v>1</v>
      </c>
      <c r="AC5566" s="4">
        <v>14</v>
      </c>
      <c r="AD5566" s="4">
        <v>21</v>
      </c>
      <c r="AE5566" s="4">
        <v>61</v>
      </c>
      <c r="AF5566" s="4">
        <v>0</v>
      </c>
      <c r="AG5566" s="4">
        <v>5</v>
      </c>
      <c r="AH5566" s="4">
        <v>21</v>
      </c>
      <c r="AI5566" s="4">
        <v>50</v>
      </c>
      <c r="AJ5566" s="4">
        <v>0</v>
      </c>
      <c r="AK5566" s="4">
        <v>12</v>
      </c>
      <c r="AL5566" s="4">
        <v>13</v>
      </c>
      <c r="AM5566" s="4">
        <v>28</v>
      </c>
      <c r="AN5566" s="4">
        <v>0</v>
      </c>
      <c r="AO5566" s="4">
        <v>0</v>
      </c>
      <c r="AP5566" s="4">
        <v>0</v>
      </c>
      <c r="AQ5566" s="4">
        <v>14</v>
      </c>
      <c r="AR5566" s="3" t="s">
        <v>62</v>
      </c>
      <c r="AS5566" s="3" t="s">
        <v>62</v>
      </c>
      <c r="AT5566" s="3" t="s">
        <v>62</v>
      </c>
      <c r="AV5566" s="6" t="str">
        <f>HYPERLINK("http://mcgill.on.worldcat.org/oclc/1035014974","Catalog Record")</f>
        <v>Catalog Record</v>
      </c>
      <c r="AW5566" s="6" t="str">
        <f>HYPERLINK("http://www.worldcat.org/oclc/1035014974","WorldCat Record")</f>
        <v>WorldCat Record</v>
      </c>
      <c r="AX5566" s="3" t="s">
        <v>52966</v>
      </c>
      <c r="AY5566" s="3" t="s">
        <v>52967</v>
      </c>
      <c r="AZ5566" s="3" t="s">
        <v>52968</v>
      </c>
      <c r="BA5566" s="3" t="s">
        <v>52968</v>
      </c>
      <c r="BB5566" s="3" t="s">
        <v>52969</v>
      </c>
      <c r="BC5566" s="3" t="s">
        <v>102</v>
      </c>
      <c r="BD5566" s="3" t="s">
        <v>68</v>
      </c>
      <c r="BE5566" s="3" t="s">
        <v>52970</v>
      </c>
      <c r="BF5566" s="3" t="s">
        <v>52969</v>
      </c>
      <c r="BG5566" s="3" t="s">
        <v>52971</v>
      </c>
    </row>
    <row r="5567" spans="1:59" ht="58" x14ac:dyDescent="0.35">
      <c r="A5567" s="2" t="s">
        <v>89</v>
      </c>
      <c r="B5567" s="2" t="s">
        <v>90</v>
      </c>
      <c r="C5567" s="2" t="s">
        <v>52960</v>
      </c>
      <c r="D5567" s="2" t="s">
        <v>52961</v>
      </c>
      <c r="E5567" s="2" t="s">
        <v>52962</v>
      </c>
      <c r="G5567" s="3" t="s">
        <v>62</v>
      </c>
      <c r="I5567" s="3" t="s">
        <v>61</v>
      </c>
      <c r="J5567" s="3" t="s">
        <v>61</v>
      </c>
      <c r="K5567" s="3" t="s">
        <v>63</v>
      </c>
      <c r="L5567" s="2" t="s">
        <v>52963</v>
      </c>
      <c r="M5567" s="2" t="s">
        <v>52964</v>
      </c>
      <c r="N5567" s="3" t="s">
        <v>2085</v>
      </c>
      <c r="O5567" s="2" t="s">
        <v>52965</v>
      </c>
      <c r="P5567" s="3" t="s">
        <v>64</v>
      </c>
      <c r="R5567" s="3" t="s">
        <v>52945</v>
      </c>
      <c r="S5567" s="4">
        <v>3</v>
      </c>
      <c r="T5567" s="4">
        <v>5</v>
      </c>
      <c r="U5567" s="5" t="s">
        <v>16849</v>
      </c>
      <c r="V5567" s="5" t="s">
        <v>16849</v>
      </c>
      <c r="W5567" s="5" t="s">
        <v>22966</v>
      </c>
      <c r="X5567" s="5" t="s">
        <v>22966</v>
      </c>
      <c r="Y5567" s="4">
        <v>158</v>
      </c>
      <c r="Z5567" s="4">
        <v>2</v>
      </c>
      <c r="AA5567" s="4">
        <v>44</v>
      </c>
      <c r="AB5567" s="4">
        <v>1</v>
      </c>
      <c r="AC5567" s="4">
        <v>14</v>
      </c>
      <c r="AD5567" s="4">
        <v>21</v>
      </c>
      <c r="AE5567" s="4">
        <v>61</v>
      </c>
      <c r="AF5567" s="4">
        <v>0</v>
      </c>
      <c r="AG5567" s="4">
        <v>5</v>
      </c>
      <c r="AH5567" s="4">
        <v>21</v>
      </c>
      <c r="AI5567" s="4">
        <v>50</v>
      </c>
      <c r="AJ5567" s="4">
        <v>0</v>
      </c>
      <c r="AK5567" s="4">
        <v>12</v>
      </c>
      <c r="AL5567" s="4">
        <v>13</v>
      </c>
      <c r="AM5567" s="4">
        <v>28</v>
      </c>
      <c r="AN5567" s="4">
        <v>0</v>
      </c>
      <c r="AO5567" s="4">
        <v>0</v>
      </c>
      <c r="AP5567" s="4">
        <v>0</v>
      </c>
      <c r="AQ5567" s="4">
        <v>14</v>
      </c>
      <c r="AR5567" s="3" t="s">
        <v>62</v>
      </c>
      <c r="AS5567" s="3" t="s">
        <v>62</v>
      </c>
      <c r="AT5567" s="3" t="s">
        <v>62</v>
      </c>
      <c r="AV5567" s="6" t="str">
        <f>HYPERLINK("http://mcgill.on.worldcat.org/oclc/1035014974","Catalog Record")</f>
        <v>Catalog Record</v>
      </c>
      <c r="AW5567" s="6" t="str">
        <f>HYPERLINK("http://www.worldcat.org/oclc/1035014974","WorldCat Record")</f>
        <v>WorldCat Record</v>
      </c>
      <c r="AX5567" s="3" t="s">
        <v>52966</v>
      </c>
      <c r="AY5567" s="3" t="s">
        <v>52967</v>
      </c>
      <c r="AZ5567" s="3" t="s">
        <v>52968</v>
      </c>
      <c r="BA5567" s="3" t="s">
        <v>52968</v>
      </c>
      <c r="BB5567" s="3" t="s">
        <v>52972</v>
      </c>
      <c r="BC5567" s="3" t="s">
        <v>102</v>
      </c>
      <c r="BD5567" s="3" t="s">
        <v>68</v>
      </c>
      <c r="BE5567" s="3" t="s">
        <v>52970</v>
      </c>
      <c r="BF5567" s="3" t="s">
        <v>52972</v>
      </c>
      <c r="BG5567" s="3" t="s">
        <v>52973</v>
      </c>
    </row>
    <row r="5568" spans="1:59" ht="72.5" x14ac:dyDescent="0.35">
      <c r="A5568" s="2" t="s">
        <v>59</v>
      </c>
      <c r="B5568" s="2" t="s">
        <v>60</v>
      </c>
      <c r="C5568" s="2" t="s">
        <v>52974</v>
      </c>
      <c r="D5568" s="2" t="s">
        <v>52975</v>
      </c>
      <c r="E5568" s="2" t="s">
        <v>52976</v>
      </c>
      <c r="G5568" s="3" t="s">
        <v>62</v>
      </c>
      <c r="I5568" s="3" t="s">
        <v>62</v>
      </c>
      <c r="J5568" s="3" t="s">
        <v>61</v>
      </c>
      <c r="K5568" s="3" t="s">
        <v>63</v>
      </c>
      <c r="M5568" s="2" t="s">
        <v>28154</v>
      </c>
      <c r="N5568" s="3" t="s">
        <v>2924</v>
      </c>
      <c r="O5568" s="2" t="s">
        <v>21546</v>
      </c>
      <c r="P5568" s="3" t="s">
        <v>64</v>
      </c>
      <c r="R5568" s="3" t="s">
        <v>52945</v>
      </c>
      <c r="S5568" s="4">
        <v>6</v>
      </c>
      <c r="T5568" s="4">
        <v>6</v>
      </c>
      <c r="U5568" s="5" t="s">
        <v>29259</v>
      </c>
      <c r="V5568" s="5" t="s">
        <v>29259</v>
      </c>
      <c r="W5568" s="5" t="s">
        <v>67</v>
      </c>
      <c r="X5568" s="5" t="s">
        <v>67</v>
      </c>
      <c r="Y5568" s="4">
        <v>321</v>
      </c>
      <c r="Z5568" s="4">
        <v>17</v>
      </c>
      <c r="AA5568" s="4">
        <v>41</v>
      </c>
      <c r="AB5568" s="4">
        <v>2</v>
      </c>
      <c r="AC5568" s="4">
        <v>7</v>
      </c>
      <c r="AD5568" s="4">
        <v>87</v>
      </c>
      <c r="AE5568" s="4">
        <v>131</v>
      </c>
      <c r="AF5568" s="4">
        <v>0</v>
      </c>
      <c r="AG5568" s="4">
        <v>2</v>
      </c>
      <c r="AH5568" s="4">
        <v>77</v>
      </c>
      <c r="AI5568" s="4">
        <v>108</v>
      </c>
      <c r="AJ5568" s="4">
        <v>12</v>
      </c>
      <c r="AK5568" s="4">
        <v>23</v>
      </c>
      <c r="AL5568" s="4">
        <v>46</v>
      </c>
      <c r="AM5568" s="4">
        <v>60</v>
      </c>
      <c r="AN5568" s="4">
        <v>0</v>
      </c>
      <c r="AO5568" s="4">
        <v>1</v>
      </c>
      <c r="AP5568" s="4">
        <v>12</v>
      </c>
      <c r="AQ5568" s="4">
        <v>25</v>
      </c>
      <c r="AR5568" s="3" t="s">
        <v>62</v>
      </c>
      <c r="AS5568" s="3" t="s">
        <v>62</v>
      </c>
      <c r="AT5568" s="3" t="s">
        <v>61</v>
      </c>
      <c r="AU5568" s="6" t="str">
        <f>HYPERLINK("http://catalog.hathitrust.org/Record/000818833","HathiTrust Record")</f>
        <v>HathiTrust Record</v>
      </c>
      <c r="AV5568" s="6" t="str">
        <f>HYPERLINK("http://mcgill.on.worldcat.org/oclc/416656","Catalog Record")</f>
        <v>Catalog Record</v>
      </c>
      <c r="AW5568" s="6" t="str">
        <f>HYPERLINK("http://www.worldcat.org/oclc/416656","WorldCat Record")</f>
        <v>WorldCat Record</v>
      </c>
      <c r="AX5568" s="3" t="s">
        <v>52977</v>
      </c>
      <c r="AY5568" s="3" t="s">
        <v>52978</v>
      </c>
      <c r="AZ5568" s="3" t="s">
        <v>52979</v>
      </c>
      <c r="BA5568" s="3" t="s">
        <v>52979</v>
      </c>
      <c r="BB5568" s="3" t="s">
        <v>52980</v>
      </c>
      <c r="BC5568" s="3" t="s">
        <v>102</v>
      </c>
      <c r="BD5568" s="3" t="s">
        <v>68</v>
      </c>
      <c r="BF5568" s="3" t="s">
        <v>52980</v>
      </c>
      <c r="BG5568" s="3" t="s">
        <v>52981</v>
      </c>
    </row>
    <row r="5569" spans="1:59" ht="72.5" x14ac:dyDescent="0.35">
      <c r="A5569" s="2" t="s">
        <v>59</v>
      </c>
      <c r="B5569" s="2" t="s">
        <v>60</v>
      </c>
      <c r="C5569" s="2" t="s">
        <v>52982</v>
      </c>
      <c r="D5569" s="2" t="s">
        <v>52983</v>
      </c>
      <c r="E5569" s="2" t="s">
        <v>52984</v>
      </c>
      <c r="G5569" s="3" t="s">
        <v>62</v>
      </c>
      <c r="I5569" s="3" t="s">
        <v>62</v>
      </c>
      <c r="J5569" s="3" t="s">
        <v>61</v>
      </c>
      <c r="K5569" s="3" t="s">
        <v>63</v>
      </c>
      <c r="L5569" s="2" t="s">
        <v>52985</v>
      </c>
      <c r="M5569" s="2" t="s">
        <v>52986</v>
      </c>
      <c r="N5569" s="3" t="s">
        <v>106</v>
      </c>
      <c r="O5569" s="2" t="s">
        <v>8350</v>
      </c>
      <c r="P5569" s="3" t="s">
        <v>64</v>
      </c>
      <c r="R5569" s="3" t="s">
        <v>52945</v>
      </c>
      <c r="S5569" s="4">
        <v>1</v>
      </c>
      <c r="T5569" s="4">
        <v>1</v>
      </c>
      <c r="U5569" s="5" t="s">
        <v>29259</v>
      </c>
      <c r="V5569" s="5" t="s">
        <v>29259</v>
      </c>
      <c r="W5569" s="5" t="s">
        <v>67</v>
      </c>
      <c r="X5569" s="5" t="s">
        <v>67</v>
      </c>
      <c r="Y5569" s="4">
        <v>223</v>
      </c>
      <c r="Z5569" s="4">
        <v>15</v>
      </c>
      <c r="AA5569" s="4">
        <v>41</v>
      </c>
      <c r="AB5569" s="4">
        <v>2</v>
      </c>
      <c r="AC5569" s="4">
        <v>7</v>
      </c>
      <c r="AD5569" s="4">
        <v>68</v>
      </c>
      <c r="AE5569" s="4">
        <v>131</v>
      </c>
      <c r="AF5569" s="4">
        <v>0</v>
      </c>
      <c r="AG5569" s="4">
        <v>2</v>
      </c>
      <c r="AH5569" s="4">
        <v>63</v>
      </c>
      <c r="AI5569" s="4">
        <v>108</v>
      </c>
      <c r="AJ5569" s="4">
        <v>10</v>
      </c>
      <c r="AK5569" s="4">
        <v>23</v>
      </c>
      <c r="AL5569" s="4">
        <v>37</v>
      </c>
      <c r="AM5569" s="4">
        <v>60</v>
      </c>
      <c r="AN5569" s="4">
        <v>0</v>
      </c>
      <c r="AO5569" s="4">
        <v>1</v>
      </c>
      <c r="AP5569" s="4">
        <v>10</v>
      </c>
      <c r="AQ5569" s="4">
        <v>25</v>
      </c>
      <c r="AR5569" s="3" t="s">
        <v>62</v>
      </c>
      <c r="AS5569" s="3" t="s">
        <v>62</v>
      </c>
      <c r="AT5569" s="3" t="s">
        <v>61</v>
      </c>
      <c r="AU5569" s="6" t="str">
        <f>HYPERLINK("http://catalog.hathitrust.org/Record/001572969","HathiTrust Record")</f>
        <v>HathiTrust Record</v>
      </c>
      <c r="AV5569" s="6" t="str">
        <f>HYPERLINK("http://mcgill.on.worldcat.org/oclc/1261572","Catalog Record")</f>
        <v>Catalog Record</v>
      </c>
      <c r="AW5569" s="6" t="str">
        <f>HYPERLINK("http://www.worldcat.org/oclc/1261572","WorldCat Record")</f>
        <v>WorldCat Record</v>
      </c>
      <c r="AX5569" s="3" t="s">
        <v>52977</v>
      </c>
      <c r="AY5569" s="3" t="s">
        <v>52987</v>
      </c>
      <c r="AZ5569" s="3" t="s">
        <v>52988</v>
      </c>
      <c r="BA5569" s="3" t="s">
        <v>52988</v>
      </c>
      <c r="BB5569" s="3" t="s">
        <v>52989</v>
      </c>
      <c r="BC5569" s="3" t="s">
        <v>102</v>
      </c>
      <c r="BD5569" s="3" t="s">
        <v>68</v>
      </c>
      <c r="BF5569" s="3" t="s">
        <v>52989</v>
      </c>
      <c r="BG5569" s="3" t="s">
        <v>52990</v>
      </c>
    </row>
    <row r="5570" spans="1:59" ht="72.5" x14ac:dyDescent="0.35">
      <c r="A5570" s="2" t="s">
        <v>59</v>
      </c>
      <c r="B5570" s="2" t="s">
        <v>60</v>
      </c>
      <c r="C5570" s="2" t="s">
        <v>52991</v>
      </c>
      <c r="D5570" s="2" t="s">
        <v>52992</v>
      </c>
      <c r="E5570" s="2" t="s">
        <v>52993</v>
      </c>
      <c r="G5570" s="3" t="s">
        <v>61</v>
      </c>
      <c r="I5570" s="3" t="s">
        <v>62</v>
      </c>
      <c r="J5570" s="3" t="s">
        <v>62</v>
      </c>
      <c r="K5570" s="3" t="s">
        <v>63</v>
      </c>
      <c r="M5570" s="2" t="s">
        <v>52994</v>
      </c>
      <c r="N5570" s="3" t="s">
        <v>1639</v>
      </c>
      <c r="O5570" s="2" t="s">
        <v>42335</v>
      </c>
      <c r="P5570" s="3" t="s">
        <v>64</v>
      </c>
      <c r="Q5570" s="2" t="s">
        <v>52995</v>
      </c>
      <c r="R5570" s="3" t="s">
        <v>52945</v>
      </c>
      <c r="S5570" s="4">
        <v>2</v>
      </c>
      <c r="T5570" s="4">
        <v>2</v>
      </c>
      <c r="U5570" s="5" t="s">
        <v>14183</v>
      </c>
      <c r="V5570" s="5" t="s">
        <v>14183</v>
      </c>
      <c r="W5570" s="5" t="s">
        <v>67</v>
      </c>
      <c r="X5570" s="5" t="s">
        <v>67</v>
      </c>
      <c r="Y5570" s="4">
        <v>135</v>
      </c>
      <c r="Z5570" s="4">
        <v>7</v>
      </c>
      <c r="AA5570" s="4">
        <v>11</v>
      </c>
      <c r="AB5570" s="4">
        <v>2</v>
      </c>
      <c r="AC5570" s="4">
        <v>2</v>
      </c>
      <c r="AD5570" s="4">
        <v>62</v>
      </c>
      <c r="AE5570" s="4">
        <v>68</v>
      </c>
      <c r="AF5570" s="4">
        <v>0</v>
      </c>
      <c r="AG5570" s="4">
        <v>0</v>
      </c>
      <c r="AH5570" s="4">
        <v>57</v>
      </c>
      <c r="AI5570" s="4">
        <v>61</v>
      </c>
      <c r="AJ5570" s="4">
        <v>4</v>
      </c>
      <c r="AK5570" s="4">
        <v>8</v>
      </c>
      <c r="AL5570" s="4">
        <v>35</v>
      </c>
      <c r="AM5570" s="4">
        <v>36</v>
      </c>
      <c r="AN5570" s="4">
        <v>0</v>
      </c>
      <c r="AO5570" s="4">
        <v>0</v>
      </c>
      <c r="AP5570" s="4">
        <v>4</v>
      </c>
      <c r="AQ5570" s="4">
        <v>8</v>
      </c>
      <c r="AR5570" s="3" t="s">
        <v>62</v>
      </c>
      <c r="AS5570" s="3" t="s">
        <v>62</v>
      </c>
      <c r="AT5570" s="3" t="s">
        <v>61</v>
      </c>
      <c r="AU5570" s="6" t="str">
        <f>HYPERLINK("http://catalog.hathitrust.org/Record/001656800","HathiTrust Record")</f>
        <v>HathiTrust Record</v>
      </c>
      <c r="AV5570" s="6" t="str">
        <f>HYPERLINK("http://mcgill.on.worldcat.org/oclc/247527","Catalog Record")</f>
        <v>Catalog Record</v>
      </c>
      <c r="AW5570" s="6" t="str">
        <f>HYPERLINK("http://www.worldcat.org/oclc/247527","WorldCat Record")</f>
        <v>WorldCat Record</v>
      </c>
      <c r="AX5570" s="3" t="s">
        <v>52996</v>
      </c>
      <c r="AY5570" s="3" t="s">
        <v>52997</v>
      </c>
      <c r="AZ5570" s="3" t="s">
        <v>52998</v>
      </c>
      <c r="BA5570" s="3" t="s">
        <v>52998</v>
      </c>
      <c r="BB5570" s="3" t="s">
        <v>52999</v>
      </c>
      <c r="BC5570" s="3" t="s">
        <v>102</v>
      </c>
      <c r="BD5570" s="3" t="s">
        <v>68</v>
      </c>
      <c r="BE5570" s="3" t="s">
        <v>53000</v>
      </c>
      <c r="BF5570" s="3" t="s">
        <v>52999</v>
      </c>
      <c r="BG5570" s="3" t="s">
        <v>53001</v>
      </c>
    </row>
    <row r="5571" spans="1:59" ht="72.5" x14ac:dyDescent="0.35">
      <c r="A5571" s="2" t="s">
        <v>59</v>
      </c>
      <c r="B5571" s="2" t="s">
        <v>60</v>
      </c>
      <c r="C5571" s="2" t="s">
        <v>53002</v>
      </c>
      <c r="D5571" s="2" t="s">
        <v>53003</v>
      </c>
      <c r="E5571" s="2" t="s">
        <v>53004</v>
      </c>
      <c r="G5571" s="3" t="s">
        <v>62</v>
      </c>
      <c r="I5571" s="3" t="s">
        <v>62</v>
      </c>
      <c r="J5571" s="3" t="s">
        <v>61</v>
      </c>
      <c r="K5571" s="3" t="s">
        <v>63</v>
      </c>
      <c r="L5571" s="2" t="s">
        <v>53005</v>
      </c>
      <c r="M5571" s="2" t="s">
        <v>53006</v>
      </c>
      <c r="N5571" s="3" t="s">
        <v>2445</v>
      </c>
      <c r="O5571" s="2" t="s">
        <v>21546</v>
      </c>
      <c r="P5571" s="3" t="s">
        <v>64</v>
      </c>
      <c r="R5571" s="3" t="s">
        <v>52945</v>
      </c>
      <c r="S5571" s="4">
        <v>1</v>
      </c>
      <c r="T5571" s="4">
        <v>1</v>
      </c>
      <c r="U5571" s="5" t="s">
        <v>24017</v>
      </c>
      <c r="V5571" s="5" t="s">
        <v>24017</v>
      </c>
      <c r="W5571" s="5" t="s">
        <v>67</v>
      </c>
      <c r="X5571" s="5" t="s">
        <v>67</v>
      </c>
      <c r="Y5571" s="4">
        <v>61</v>
      </c>
      <c r="Z5571" s="4">
        <v>6</v>
      </c>
      <c r="AA5571" s="4">
        <v>13</v>
      </c>
      <c r="AB5571" s="4">
        <v>2</v>
      </c>
      <c r="AC5571" s="4">
        <v>3</v>
      </c>
      <c r="AD5571" s="4">
        <v>13</v>
      </c>
      <c r="AE5571" s="4">
        <v>65</v>
      </c>
      <c r="AF5571" s="4">
        <v>0</v>
      </c>
      <c r="AG5571" s="4">
        <v>1</v>
      </c>
      <c r="AH5571" s="4">
        <v>11</v>
      </c>
      <c r="AI5571" s="4">
        <v>59</v>
      </c>
      <c r="AJ5571" s="4">
        <v>3</v>
      </c>
      <c r="AK5571" s="4">
        <v>10</v>
      </c>
      <c r="AL5571" s="4">
        <v>10</v>
      </c>
      <c r="AM5571" s="4">
        <v>36</v>
      </c>
      <c r="AN5571" s="4">
        <v>0</v>
      </c>
      <c r="AO5571" s="4">
        <v>0</v>
      </c>
      <c r="AP5571" s="4">
        <v>3</v>
      </c>
      <c r="AQ5571" s="4">
        <v>8</v>
      </c>
      <c r="AR5571" s="3" t="s">
        <v>62</v>
      </c>
      <c r="AS5571" s="3" t="s">
        <v>62</v>
      </c>
      <c r="AT5571" s="3" t="s">
        <v>61</v>
      </c>
      <c r="AU5571" s="6" t="str">
        <f>HYPERLINK("http://catalog.hathitrust.org/Record/002068915","HathiTrust Record")</f>
        <v>HathiTrust Record</v>
      </c>
      <c r="AV5571" s="6" t="str">
        <f>HYPERLINK("http://mcgill.on.worldcat.org/oclc/14601513","Catalog Record")</f>
        <v>Catalog Record</v>
      </c>
      <c r="AW5571" s="6" t="str">
        <f>HYPERLINK("http://www.worldcat.org/oclc/14601513","WorldCat Record")</f>
        <v>WorldCat Record</v>
      </c>
      <c r="AX5571" s="3" t="s">
        <v>53007</v>
      </c>
      <c r="AY5571" s="3" t="s">
        <v>53008</v>
      </c>
      <c r="AZ5571" s="3" t="s">
        <v>53009</v>
      </c>
      <c r="BA5571" s="3" t="s">
        <v>53009</v>
      </c>
      <c r="BB5571" s="3" t="s">
        <v>53010</v>
      </c>
      <c r="BC5571" s="3" t="s">
        <v>102</v>
      </c>
      <c r="BD5571" s="3" t="s">
        <v>68</v>
      </c>
      <c r="BF5571" s="3" t="s">
        <v>53010</v>
      </c>
      <c r="BG5571" s="3" t="s">
        <v>53011</v>
      </c>
    </row>
    <row r="5572" spans="1:59" ht="87" x14ac:dyDescent="0.35">
      <c r="A5572" s="2" t="s">
        <v>89</v>
      </c>
      <c r="B5572" s="2" t="s">
        <v>53012</v>
      </c>
      <c r="C5572" s="2" t="s">
        <v>53013</v>
      </c>
      <c r="D5572" s="2" t="s">
        <v>53014</v>
      </c>
      <c r="E5572" s="2" t="s">
        <v>53015</v>
      </c>
      <c r="G5572" s="3" t="s">
        <v>62</v>
      </c>
      <c r="I5572" s="3" t="s">
        <v>62</v>
      </c>
      <c r="J5572" s="3" t="s">
        <v>62</v>
      </c>
      <c r="K5572" s="3" t="s">
        <v>63</v>
      </c>
      <c r="L5572" s="2" t="s">
        <v>53016</v>
      </c>
      <c r="M5572" s="2" t="s">
        <v>53017</v>
      </c>
      <c r="N5572" s="3" t="s">
        <v>2085</v>
      </c>
      <c r="P5572" s="3" t="s">
        <v>64</v>
      </c>
      <c r="R5572" s="3" t="s">
        <v>52945</v>
      </c>
      <c r="S5572" s="4">
        <v>2</v>
      </c>
      <c r="T5572" s="4">
        <v>2</v>
      </c>
      <c r="U5572" s="5" t="s">
        <v>15420</v>
      </c>
      <c r="V5572" s="5" t="s">
        <v>15420</v>
      </c>
      <c r="W5572" s="5" t="s">
        <v>67</v>
      </c>
      <c r="X5572" s="5" t="s">
        <v>67</v>
      </c>
      <c r="Y5572" s="4">
        <v>5</v>
      </c>
      <c r="Z5572" s="4">
        <v>1</v>
      </c>
      <c r="AA5572" s="4">
        <v>5</v>
      </c>
      <c r="AB5572" s="4">
        <v>1</v>
      </c>
      <c r="AC5572" s="4">
        <v>4</v>
      </c>
      <c r="AD5572" s="4">
        <v>0</v>
      </c>
      <c r="AE5572" s="4">
        <v>26</v>
      </c>
      <c r="AF5572" s="4">
        <v>0</v>
      </c>
      <c r="AG5572" s="4">
        <v>3</v>
      </c>
      <c r="AH5572" s="4">
        <v>0</v>
      </c>
      <c r="AI5572" s="4">
        <v>23</v>
      </c>
      <c r="AJ5572" s="4">
        <v>0</v>
      </c>
      <c r="AK5572" s="4">
        <v>4</v>
      </c>
      <c r="AL5572" s="4">
        <v>0</v>
      </c>
      <c r="AM5572" s="4">
        <v>14</v>
      </c>
      <c r="AN5572" s="4">
        <v>0</v>
      </c>
      <c r="AO5572" s="4">
        <v>0</v>
      </c>
      <c r="AP5572" s="4">
        <v>0</v>
      </c>
      <c r="AQ5572" s="4">
        <v>3</v>
      </c>
      <c r="AR5572" s="3" t="s">
        <v>62</v>
      </c>
      <c r="AS5572" s="3" t="s">
        <v>62</v>
      </c>
      <c r="AT5572" s="3" t="s">
        <v>62</v>
      </c>
      <c r="AV5572" s="6" t="str">
        <f>HYPERLINK("http://mcgill.on.worldcat.org/oclc/1011688604","Catalog Record")</f>
        <v>Catalog Record</v>
      </c>
      <c r="AW5572" s="6" t="str">
        <f>HYPERLINK("http://www.worldcat.org/oclc/1011688604","WorldCat Record")</f>
        <v>WorldCat Record</v>
      </c>
      <c r="AX5572" s="3" t="s">
        <v>53018</v>
      </c>
      <c r="AY5572" s="3" t="s">
        <v>53019</v>
      </c>
      <c r="AZ5572" s="3" t="s">
        <v>53020</v>
      </c>
      <c r="BA5572" s="3" t="s">
        <v>53020</v>
      </c>
      <c r="BB5572" s="3" t="s">
        <v>53021</v>
      </c>
      <c r="BC5572" s="3" t="s">
        <v>102</v>
      </c>
      <c r="BD5572" s="3" t="s">
        <v>68</v>
      </c>
      <c r="BE5572" s="3" t="s">
        <v>53022</v>
      </c>
      <c r="BF5572" s="3" t="s">
        <v>53021</v>
      </c>
      <c r="BG5572" s="3" t="s">
        <v>53023</v>
      </c>
    </row>
    <row r="5573" spans="1:59" ht="58" x14ac:dyDescent="0.35">
      <c r="A5573" s="2" t="s">
        <v>59</v>
      </c>
      <c r="B5573" s="2" t="s">
        <v>60</v>
      </c>
      <c r="C5573" s="2" t="s">
        <v>53024</v>
      </c>
      <c r="D5573" s="2" t="s">
        <v>53025</v>
      </c>
      <c r="E5573" s="2" t="s">
        <v>53026</v>
      </c>
      <c r="G5573" s="3" t="s">
        <v>62</v>
      </c>
      <c r="I5573" s="3" t="s">
        <v>62</v>
      </c>
      <c r="J5573" s="3" t="s">
        <v>61</v>
      </c>
      <c r="K5573" s="3" t="s">
        <v>63</v>
      </c>
      <c r="L5573" s="2" t="s">
        <v>53027</v>
      </c>
      <c r="M5573" s="2" t="s">
        <v>53028</v>
      </c>
      <c r="N5573" s="3" t="s">
        <v>81</v>
      </c>
      <c r="P5573" s="3" t="s">
        <v>64</v>
      </c>
      <c r="R5573" s="3" t="s">
        <v>52945</v>
      </c>
      <c r="S5573" s="4">
        <v>3</v>
      </c>
      <c r="T5573" s="4">
        <v>3</v>
      </c>
      <c r="U5573" s="5" t="s">
        <v>51791</v>
      </c>
      <c r="V5573" s="5" t="s">
        <v>51791</v>
      </c>
      <c r="W5573" s="5" t="s">
        <v>67</v>
      </c>
      <c r="X5573" s="5" t="s">
        <v>67</v>
      </c>
      <c r="Y5573" s="4">
        <v>473</v>
      </c>
      <c r="Z5573" s="4">
        <v>29</v>
      </c>
      <c r="AA5573" s="4">
        <v>33</v>
      </c>
      <c r="AB5573" s="4">
        <v>2</v>
      </c>
      <c r="AC5573" s="4">
        <v>4</v>
      </c>
      <c r="AD5573" s="4">
        <v>96</v>
      </c>
      <c r="AE5573" s="4">
        <v>102</v>
      </c>
      <c r="AF5573" s="4">
        <v>0</v>
      </c>
      <c r="AG5573" s="4">
        <v>1</v>
      </c>
      <c r="AH5573" s="4">
        <v>84</v>
      </c>
      <c r="AI5573" s="4">
        <v>88</v>
      </c>
      <c r="AJ5573" s="4">
        <v>16</v>
      </c>
      <c r="AK5573" s="4">
        <v>17</v>
      </c>
      <c r="AL5573" s="4">
        <v>42</v>
      </c>
      <c r="AM5573" s="4">
        <v>45</v>
      </c>
      <c r="AN5573" s="4">
        <v>0</v>
      </c>
      <c r="AO5573" s="4">
        <v>0</v>
      </c>
      <c r="AP5573" s="4">
        <v>20</v>
      </c>
      <c r="AQ5573" s="4">
        <v>22</v>
      </c>
      <c r="AR5573" s="3" t="s">
        <v>62</v>
      </c>
      <c r="AS5573" s="3" t="s">
        <v>62</v>
      </c>
      <c r="AT5573" s="3" t="s">
        <v>61</v>
      </c>
      <c r="AU5573" s="6" t="str">
        <f>HYPERLINK("http://catalog.hathitrust.org/Record/001499923","HathiTrust Record")</f>
        <v>HathiTrust Record</v>
      </c>
      <c r="AV5573" s="6" t="str">
        <f>HYPERLINK("http://mcgill.on.worldcat.org/oclc/752147","Catalog Record")</f>
        <v>Catalog Record</v>
      </c>
      <c r="AW5573" s="6" t="str">
        <f>HYPERLINK("http://www.worldcat.org/oclc/752147","WorldCat Record")</f>
        <v>WorldCat Record</v>
      </c>
      <c r="AX5573" s="3" t="s">
        <v>53029</v>
      </c>
      <c r="AY5573" s="3" t="s">
        <v>53030</v>
      </c>
      <c r="AZ5573" s="3" t="s">
        <v>53031</v>
      </c>
      <c r="BA5573" s="3" t="s">
        <v>53031</v>
      </c>
      <c r="BB5573" s="3" t="s">
        <v>53032</v>
      </c>
      <c r="BC5573" s="3" t="s">
        <v>102</v>
      </c>
      <c r="BD5573" s="3" t="s">
        <v>68</v>
      </c>
      <c r="BF5573" s="3" t="s">
        <v>53032</v>
      </c>
      <c r="BG5573" s="3" t="s">
        <v>53033</v>
      </c>
    </row>
    <row r="5574" spans="1:59" ht="58" x14ac:dyDescent="0.35">
      <c r="A5574" s="2" t="s">
        <v>59</v>
      </c>
      <c r="B5574" s="2" t="s">
        <v>60</v>
      </c>
      <c r="C5574" s="2" t="s">
        <v>53034</v>
      </c>
      <c r="D5574" s="2" t="s">
        <v>53035</v>
      </c>
      <c r="E5574" s="2" t="s">
        <v>53036</v>
      </c>
      <c r="G5574" s="3" t="s">
        <v>62</v>
      </c>
      <c r="I5574" s="3" t="s">
        <v>61</v>
      </c>
      <c r="J5574" s="3" t="s">
        <v>62</v>
      </c>
      <c r="K5574" s="3" t="s">
        <v>63</v>
      </c>
      <c r="L5574" s="2" t="s">
        <v>53037</v>
      </c>
      <c r="M5574" s="2" t="s">
        <v>53038</v>
      </c>
      <c r="N5574" s="3" t="s">
        <v>2566</v>
      </c>
      <c r="O5574" s="2" t="s">
        <v>2849</v>
      </c>
      <c r="P5574" s="3" t="s">
        <v>64</v>
      </c>
      <c r="R5574" s="3" t="s">
        <v>52945</v>
      </c>
      <c r="S5574" s="4">
        <v>0</v>
      </c>
      <c r="T5574" s="4">
        <v>3</v>
      </c>
      <c r="V5574" s="5" t="s">
        <v>18958</v>
      </c>
      <c r="W5574" s="5" t="s">
        <v>67</v>
      </c>
      <c r="X5574" s="5" t="s">
        <v>67</v>
      </c>
      <c r="Y5574" s="4">
        <v>224</v>
      </c>
      <c r="Z5574" s="4">
        <v>14</v>
      </c>
      <c r="AA5574" s="4">
        <v>35</v>
      </c>
      <c r="AB5574" s="4">
        <v>2</v>
      </c>
      <c r="AC5574" s="4">
        <v>11</v>
      </c>
      <c r="AD5574" s="4">
        <v>66</v>
      </c>
      <c r="AE5574" s="4">
        <v>113</v>
      </c>
      <c r="AF5574" s="4">
        <v>1</v>
      </c>
      <c r="AG5574" s="4">
        <v>6</v>
      </c>
      <c r="AH5574" s="4">
        <v>60</v>
      </c>
      <c r="AI5574" s="4">
        <v>98</v>
      </c>
      <c r="AJ5574" s="4">
        <v>8</v>
      </c>
      <c r="AK5574" s="4">
        <v>21</v>
      </c>
      <c r="AL5574" s="4">
        <v>35</v>
      </c>
      <c r="AM5574" s="4">
        <v>52</v>
      </c>
      <c r="AN5574" s="4">
        <v>0</v>
      </c>
      <c r="AO5574" s="4">
        <v>0</v>
      </c>
      <c r="AP5574" s="4">
        <v>8</v>
      </c>
      <c r="AQ5574" s="4">
        <v>21</v>
      </c>
      <c r="AR5574" s="3" t="s">
        <v>62</v>
      </c>
      <c r="AS5574" s="3" t="s">
        <v>62</v>
      </c>
      <c r="AT5574" s="3" t="s">
        <v>61</v>
      </c>
      <c r="AU5574" s="6" t="str">
        <f>HYPERLINK("http://catalog.hathitrust.org/Record/001572987","HathiTrust Record")</f>
        <v>HathiTrust Record</v>
      </c>
      <c r="AV5574" s="6" t="str">
        <f>HYPERLINK("http://mcgill.on.worldcat.org/oclc/662039","Catalog Record")</f>
        <v>Catalog Record</v>
      </c>
      <c r="AW5574" s="6" t="str">
        <f>HYPERLINK("http://www.worldcat.org/oclc/662039","WorldCat Record")</f>
        <v>WorldCat Record</v>
      </c>
      <c r="AX5574" s="3" t="s">
        <v>53039</v>
      </c>
      <c r="AY5574" s="3" t="s">
        <v>53040</v>
      </c>
      <c r="AZ5574" s="3" t="s">
        <v>53041</v>
      </c>
      <c r="BA5574" s="3" t="s">
        <v>53041</v>
      </c>
      <c r="BB5574" s="3" t="s">
        <v>53042</v>
      </c>
      <c r="BC5574" s="3" t="s">
        <v>102</v>
      </c>
      <c r="BD5574" s="3" t="s">
        <v>68</v>
      </c>
      <c r="BE5574" s="3" t="s">
        <v>53043</v>
      </c>
      <c r="BF5574" s="3" t="s">
        <v>53042</v>
      </c>
      <c r="BG5574" s="3" t="s">
        <v>53044</v>
      </c>
    </row>
    <row r="5575" spans="1:59" ht="101.5" x14ac:dyDescent="0.35">
      <c r="A5575" s="2" t="s">
        <v>89</v>
      </c>
      <c r="B5575" s="2" t="s">
        <v>36812</v>
      </c>
      <c r="C5575" s="2" t="s">
        <v>53045</v>
      </c>
      <c r="D5575" s="2" t="s">
        <v>53046</v>
      </c>
      <c r="E5575" s="2" t="s">
        <v>53047</v>
      </c>
      <c r="G5575" s="3" t="s">
        <v>62</v>
      </c>
      <c r="I5575" s="3" t="s">
        <v>61</v>
      </c>
      <c r="J5575" s="3" t="s">
        <v>61</v>
      </c>
      <c r="K5575" s="3" t="s">
        <v>63</v>
      </c>
      <c r="L5575" s="2" t="s">
        <v>53048</v>
      </c>
      <c r="M5575" s="2" t="s">
        <v>53049</v>
      </c>
      <c r="N5575" s="3" t="s">
        <v>1038</v>
      </c>
      <c r="O5575" s="2" t="s">
        <v>7791</v>
      </c>
      <c r="P5575" s="3" t="s">
        <v>64</v>
      </c>
      <c r="R5575" s="3" t="s">
        <v>52945</v>
      </c>
      <c r="S5575" s="4">
        <v>1</v>
      </c>
      <c r="T5575" s="4">
        <v>4</v>
      </c>
      <c r="U5575" s="5" t="s">
        <v>28934</v>
      </c>
      <c r="V5575" s="5" t="s">
        <v>28934</v>
      </c>
      <c r="W5575" s="5" t="s">
        <v>67</v>
      </c>
      <c r="X5575" s="5" t="s">
        <v>67</v>
      </c>
      <c r="Y5575" s="4">
        <v>221</v>
      </c>
      <c r="Z5575" s="4">
        <v>6</v>
      </c>
      <c r="AA5575" s="4">
        <v>72</v>
      </c>
      <c r="AB5575" s="4">
        <v>1</v>
      </c>
      <c r="AC5575" s="4">
        <v>8</v>
      </c>
      <c r="AD5575" s="4">
        <v>9</v>
      </c>
      <c r="AE5575" s="4">
        <v>83</v>
      </c>
      <c r="AF5575" s="4">
        <v>0</v>
      </c>
      <c r="AG5575" s="4">
        <v>1</v>
      </c>
      <c r="AH5575" s="4">
        <v>8</v>
      </c>
      <c r="AI5575" s="4">
        <v>71</v>
      </c>
      <c r="AJ5575" s="4">
        <v>1</v>
      </c>
      <c r="AK5575" s="4">
        <v>12</v>
      </c>
      <c r="AL5575" s="4">
        <v>5</v>
      </c>
      <c r="AM5575" s="4">
        <v>31</v>
      </c>
      <c r="AN5575" s="4">
        <v>0</v>
      </c>
      <c r="AO5575" s="4">
        <v>5</v>
      </c>
      <c r="AP5575" s="4">
        <v>1</v>
      </c>
      <c r="AQ5575" s="4">
        <v>20</v>
      </c>
      <c r="AR5575" s="3" t="s">
        <v>62</v>
      </c>
      <c r="AS5575" s="3" t="s">
        <v>62</v>
      </c>
      <c r="AT5575" s="3" t="s">
        <v>62</v>
      </c>
      <c r="AV5575" s="6" t="str">
        <f>HYPERLINK("http://mcgill.on.worldcat.org/oclc/921167856","Catalog Record")</f>
        <v>Catalog Record</v>
      </c>
      <c r="AW5575" s="6" t="str">
        <f>HYPERLINK("http://www.worldcat.org/oclc/921167856","WorldCat Record")</f>
        <v>WorldCat Record</v>
      </c>
      <c r="AX5575" s="3" t="s">
        <v>53050</v>
      </c>
      <c r="AY5575" s="3" t="s">
        <v>53051</v>
      </c>
      <c r="AZ5575" s="3" t="s">
        <v>53052</v>
      </c>
      <c r="BA5575" s="3" t="s">
        <v>53052</v>
      </c>
      <c r="BB5575" s="3" t="s">
        <v>53053</v>
      </c>
      <c r="BC5575" s="3" t="s">
        <v>102</v>
      </c>
      <c r="BD5575" s="3" t="s">
        <v>68</v>
      </c>
      <c r="BE5575" s="3" t="s">
        <v>53054</v>
      </c>
      <c r="BF5575" s="3" t="s">
        <v>53053</v>
      </c>
      <c r="BG5575" s="3" t="s">
        <v>53055</v>
      </c>
    </row>
    <row r="5576" spans="1:59" ht="58" x14ac:dyDescent="0.35">
      <c r="A5576" s="2" t="s">
        <v>59</v>
      </c>
      <c r="B5576" s="2" t="s">
        <v>60</v>
      </c>
      <c r="C5576" s="2" t="s">
        <v>53056</v>
      </c>
      <c r="D5576" s="2" t="s">
        <v>53057</v>
      </c>
      <c r="E5576" s="2" t="s">
        <v>53058</v>
      </c>
      <c r="G5576" s="3" t="s">
        <v>62</v>
      </c>
      <c r="I5576" s="3" t="s">
        <v>62</v>
      </c>
      <c r="J5576" s="3" t="s">
        <v>62</v>
      </c>
      <c r="K5576" s="3" t="s">
        <v>63</v>
      </c>
      <c r="L5576" s="2" t="s">
        <v>53059</v>
      </c>
      <c r="M5576" s="2" t="s">
        <v>53060</v>
      </c>
      <c r="N5576" s="3" t="s">
        <v>157</v>
      </c>
      <c r="P5576" s="3" t="s">
        <v>64</v>
      </c>
      <c r="R5576" s="3" t="s">
        <v>52945</v>
      </c>
      <c r="S5576" s="4">
        <v>13</v>
      </c>
      <c r="T5576" s="4">
        <v>13</v>
      </c>
      <c r="U5576" s="5" t="s">
        <v>22238</v>
      </c>
      <c r="V5576" s="5" t="s">
        <v>22238</v>
      </c>
      <c r="W5576" s="5" t="s">
        <v>67</v>
      </c>
      <c r="X5576" s="5" t="s">
        <v>67</v>
      </c>
      <c r="Y5576" s="4">
        <v>802</v>
      </c>
      <c r="Z5576" s="4">
        <v>40</v>
      </c>
      <c r="AA5576" s="4">
        <v>42</v>
      </c>
      <c r="AB5576" s="4">
        <v>5</v>
      </c>
      <c r="AC5576" s="4">
        <v>7</v>
      </c>
      <c r="AD5576" s="4">
        <v>130</v>
      </c>
      <c r="AE5576" s="4">
        <v>133</v>
      </c>
      <c r="AF5576" s="4">
        <v>2</v>
      </c>
      <c r="AG5576" s="4">
        <v>4</v>
      </c>
      <c r="AH5576" s="4">
        <v>105</v>
      </c>
      <c r="AI5576" s="4">
        <v>106</v>
      </c>
      <c r="AJ5576" s="4">
        <v>19</v>
      </c>
      <c r="AK5576" s="4">
        <v>21</v>
      </c>
      <c r="AL5576" s="4">
        <v>59</v>
      </c>
      <c r="AM5576" s="4">
        <v>59</v>
      </c>
      <c r="AN5576" s="4">
        <v>0</v>
      </c>
      <c r="AO5576" s="4">
        <v>0</v>
      </c>
      <c r="AP5576" s="4">
        <v>28</v>
      </c>
      <c r="AQ5576" s="4">
        <v>29</v>
      </c>
      <c r="AR5576" s="3" t="s">
        <v>62</v>
      </c>
      <c r="AS5576" s="3" t="s">
        <v>62</v>
      </c>
      <c r="AT5576" s="3" t="s">
        <v>62</v>
      </c>
      <c r="AV5576" s="6" t="str">
        <f>HYPERLINK("http://mcgill.on.worldcat.org/oclc/1112482","Catalog Record")</f>
        <v>Catalog Record</v>
      </c>
      <c r="AW5576" s="6" t="str">
        <f>HYPERLINK("http://www.worldcat.org/oclc/1112482","WorldCat Record")</f>
        <v>WorldCat Record</v>
      </c>
      <c r="AX5576" s="3" t="s">
        <v>53061</v>
      </c>
      <c r="AY5576" s="3" t="s">
        <v>53062</v>
      </c>
      <c r="AZ5576" s="3" t="s">
        <v>53063</v>
      </c>
      <c r="BA5576" s="3" t="s">
        <v>53063</v>
      </c>
      <c r="BB5576" s="3" t="s">
        <v>53064</v>
      </c>
      <c r="BC5576" s="3" t="s">
        <v>102</v>
      </c>
      <c r="BD5576" s="3" t="s">
        <v>68</v>
      </c>
      <c r="BE5576" s="3" t="s">
        <v>53065</v>
      </c>
      <c r="BF5576" s="3" t="s">
        <v>53064</v>
      </c>
      <c r="BG5576" s="3" t="s">
        <v>53066</v>
      </c>
    </row>
    <row r="5577" spans="1:59" ht="101.5" x14ac:dyDescent="0.35">
      <c r="A5577" s="2" t="s">
        <v>89</v>
      </c>
      <c r="B5577" s="2" t="s">
        <v>36812</v>
      </c>
      <c r="C5577" s="2" t="s">
        <v>53067</v>
      </c>
      <c r="D5577" s="2" t="s">
        <v>53068</v>
      </c>
      <c r="E5577" s="2" t="s">
        <v>53069</v>
      </c>
      <c r="G5577" s="3" t="s">
        <v>62</v>
      </c>
      <c r="I5577" s="3" t="s">
        <v>62</v>
      </c>
      <c r="J5577" s="3" t="s">
        <v>62</v>
      </c>
      <c r="K5577" s="3" t="s">
        <v>63</v>
      </c>
      <c r="L5577" s="2" t="s">
        <v>52886</v>
      </c>
      <c r="M5577" s="2" t="s">
        <v>53070</v>
      </c>
      <c r="N5577" s="3" t="s">
        <v>640</v>
      </c>
      <c r="O5577" s="2" t="s">
        <v>6158</v>
      </c>
      <c r="P5577" s="3" t="s">
        <v>64</v>
      </c>
      <c r="R5577" s="3" t="s">
        <v>52945</v>
      </c>
      <c r="S5577" s="4">
        <v>11</v>
      </c>
      <c r="T5577" s="4">
        <v>11</v>
      </c>
      <c r="U5577" s="5" t="s">
        <v>3051</v>
      </c>
      <c r="V5577" s="5" t="s">
        <v>3051</v>
      </c>
      <c r="W5577" s="5" t="s">
        <v>67</v>
      </c>
      <c r="X5577" s="5" t="s">
        <v>67</v>
      </c>
      <c r="Y5577" s="4">
        <v>431</v>
      </c>
      <c r="Z5577" s="4">
        <v>19</v>
      </c>
      <c r="AA5577" s="4">
        <v>45</v>
      </c>
      <c r="AB5577" s="4">
        <v>1</v>
      </c>
      <c r="AC5577" s="4">
        <v>5</v>
      </c>
      <c r="AD5577" s="4">
        <v>33</v>
      </c>
      <c r="AE5577" s="4">
        <v>64</v>
      </c>
      <c r="AF5577" s="4">
        <v>0</v>
      </c>
      <c r="AG5577" s="4">
        <v>1</v>
      </c>
      <c r="AH5577" s="4">
        <v>32</v>
      </c>
      <c r="AI5577" s="4">
        <v>53</v>
      </c>
      <c r="AJ5577" s="4">
        <v>2</v>
      </c>
      <c r="AK5577" s="4">
        <v>6</v>
      </c>
      <c r="AL5577" s="4">
        <v>16</v>
      </c>
      <c r="AM5577" s="4">
        <v>30</v>
      </c>
      <c r="AN5577" s="4">
        <v>0</v>
      </c>
      <c r="AO5577" s="4">
        <v>0</v>
      </c>
      <c r="AP5577" s="4">
        <v>3</v>
      </c>
      <c r="AQ5577" s="4">
        <v>13</v>
      </c>
      <c r="AR5577" s="3" t="s">
        <v>62</v>
      </c>
      <c r="AS5577" s="3" t="s">
        <v>62</v>
      </c>
      <c r="AT5577" s="3" t="s">
        <v>62</v>
      </c>
      <c r="AV5577" s="6" t="str">
        <f>HYPERLINK("http://mcgill.on.worldcat.org/oclc/56140349","Catalog Record")</f>
        <v>Catalog Record</v>
      </c>
      <c r="AW5577" s="6" t="str">
        <f>HYPERLINK("http://www.worldcat.org/oclc/56140349","WorldCat Record")</f>
        <v>WorldCat Record</v>
      </c>
      <c r="AX5577" s="3" t="s">
        <v>53071</v>
      </c>
      <c r="AY5577" s="3" t="s">
        <v>53072</v>
      </c>
      <c r="AZ5577" s="3" t="s">
        <v>53073</v>
      </c>
      <c r="BA5577" s="3" t="s">
        <v>53073</v>
      </c>
      <c r="BB5577" s="3" t="s">
        <v>53074</v>
      </c>
      <c r="BC5577" s="3" t="s">
        <v>102</v>
      </c>
      <c r="BD5577" s="3" t="s">
        <v>68</v>
      </c>
      <c r="BE5577" s="3" t="s">
        <v>53075</v>
      </c>
      <c r="BF5577" s="3" t="s">
        <v>53074</v>
      </c>
      <c r="BG5577" s="3" t="s">
        <v>53076</v>
      </c>
    </row>
    <row r="5578" spans="1:59" ht="101.5" x14ac:dyDescent="0.35">
      <c r="A5578" s="2" t="s">
        <v>89</v>
      </c>
      <c r="B5578" s="2" t="s">
        <v>36812</v>
      </c>
      <c r="C5578" s="2" t="s">
        <v>53077</v>
      </c>
      <c r="D5578" s="2" t="s">
        <v>53078</v>
      </c>
      <c r="E5578" s="2" t="s">
        <v>53079</v>
      </c>
      <c r="G5578" s="3" t="s">
        <v>62</v>
      </c>
      <c r="I5578" s="3" t="s">
        <v>62</v>
      </c>
      <c r="J5578" s="3" t="s">
        <v>62</v>
      </c>
      <c r="K5578" s="3" t="s">
        <v>63</v>
      </c>
      <c r="L5578" s="2" t="s">
        <v>53080</v>
      </c>
      <c r="M5578" s="2" t="s">
        <v>53081</v>
      </c>
      <c r="N5578" s="3" t="s">
        <v>1195</v>
      </c>
      <c r="P5578" s="3" t="s">
        <v>64</v>
      </c>
      <c r="R5578" s="3" t="s">
        <v>52945</v>
      </c>
      <c r="S5578" s="4">
        <v>3</v>
      </c>
      <c r="T5578" s="4">
        <v>3</v>
      </c>
      <c r="U5578" s="5" t="s">
        <v>3541</v>
      </c>
      <c r="V5578" s="5" t="s">
        <v>3541</v>
      </c>
      <c r="W5578" s="5" t="s">
        <v>67</v>
      </c>
      <c r="X5578" s="5" t="s">
        <v>67</v>
      </c>
      <c r="Y5578" s="4">
        <v>399</v>
      </c>
      <c r="Z5578" s="4">
        <v>27</v>
      </c>
      <c r="AA5578" s="4">
        <v>28</v>
      </c>
      <c r="AB5578" s="4">
        <v>3</v>
      </c>
      <c r="AC5578" s="4">
        <v>3</v>
      </c>
      <c r="AD5578" s="4">
        <v>46</v>
      </c>
      <c r="AE5578" s="4">
        <v>47</v>
      </c>
      <c r="AF5578" s="4">
        <v>1</v>
      </c>
      <c r="AG5578" s="4">
        <v>1</v>
      </c>
      <c r="AH5578" s="4">
        <v>43</v>
      </c>
      <c r="AI5578" s="4">
        <v>43</v>
      </c>
      <c r="AJ5578" s="4">
        <v>8</v>
      </c>
      <c r="AK5578" s="4">
        <v>9</v>
      </c>
      <c r="AL5578" s="4">
        <v>20</v>
      </c>
      <c r="AM5578" s="4">
        <v>20</v>
      </c>
      <c r="AN5578" s="4">
        <v>0</v>
      </c>
      <c r="AO5578" s="4">
        <v>0</v>
      </c>
      <c r="AP5578" s="4">
        <v>9</v>
      </c>
      <c r="AQ5578" s="4">
        <v>10</v>
      </c>
      <c r="AR5578" s="3" t="s">
        <v>62</v>
      </c>
      <c r="AS5578" s="3" t="s">
        <v>62</v>
      </c>
      <c r="AT5578" s="3" t="s">
        <v>62</v>
      </c>
      <c r="AV5578" s="6" t="str">
        <f>HYPERLINK("http://mcgill.on.worldcat.org/oclc/68111252","Catalog Record")</f>
        <v>Catalog Record</v>
      </c>
      <c r="AW5578" s="6" t="str">
        <f>HYPERLINK("http://www.worldcat.org/oclc/68111252","WorldCat Record")</f>
        <v>WorldCat Record</v>
      </c>
      <c r="AX5578" s="3" t="s">
        <v>53082</v>
      </c>
      <c r="AY5578" s="3" t="s">
        <v>53083</v>
      </c>
      <c r="AZ5578" s="3" t="s">
        <v>53084</v>
      </c>
      <c r="BA5578" s="3" t="s">
        <v>53084</v>
      </c>
      <c r="BB5578" s="3" t="s">
        <v>53085</v>
      </c>
      <c r="BC5578" s="3" t="s">
        <v>102</v>
      </c>
      <c r="BD5578" s="3" t="s">
        <v>68</v>
      </c>
      <c r="BE5578" s="3" t="s">
        <v>53086</v>
      </c>
      <c r="BF5578" s="3" t="s">
        <v>53085</v>
      </c>
      <c r="BG5578" s="3" t="s">
        <v>53087</v>
      </c>
    </row>
    <row r="5579" spans="1:59" ht="101.5" x14ac:dyDescent="0.35">
      <c r="A5579" s="2" t="s">
        <v>89</v>
      </c>
      <c r="B5579" s="2" t="s">
        <v>36812</v>
      </c>
      <c r="C5579" s="2" t="s">
        <v>53088</v>
      </c>
      <c r="D5579" s="2" t="s">
        <v>53089</v>
      </c>
      <c r="E5579" s="2" t="s">
        <v>53090</v>
      </c>
      <c r="G5579" s="3" t="s">
        <v>62</v>
      </c>
      <c r="I5579" s="3" t="s">
        <v>62</v>
      </c>
      <c r="J5579" s="3" t="s">
        <v>62</v>
      </c>
      <c r="K5579" s="3" t="s">
        <v>63</v>
      </c>
      <c r="L5579" s="2" t="s">
        <v>53091</v>
      </c>
      <c r="M5579" s="2" t="s">
        <v>53092</v>
      </c>
      <c r="N5579" s="3" t="s">
        <v>1038</v>
      </c>
      <c r="O5579" s="2" t="s">
        <v>1941</v>
      </c>
      <c r="P5579" s="3" t="s">
        <v>64</v>
      </c>
      <c r="R5579" s="3" t="s">
        <v>52945</v>
      </c>
      <c r="S5579" s="4">
        <v>4</v>
      </c>
      <c r="T5579" s="4">
        <v>4</v>
      </c>
      <c r="U5579" s="5" t="s">
        <v>18535</v>
      </c>
      <c r="V5579" s="5" t="s">
        <v>18535</v>
      </c>
      <c r="W5579" s="5" t="s">
        <v>67</v>
      </c>
      <c r="X5579" s="5" t="s">
        <v>67</v>
      </c>
      <c r="Y5579" s="4">
        <v>1261</v>
      </c>
      <c r="Z5579" s="4">
        <v>33</v>
      </c>
      <c r="AA5579" s="4">
        <v>37</v>
      </c>
      <c r="AB5579" s="4">
        <v>3</v>
      </c>
      <c r="AC5579" s="4">
        <v>5</v>
      </c>
      <c r="AD5579" s="4">
        <v>67</v>
      </c>
      <c r="AE5579" s="4">
        <v>68</v>
      </c>
      <c r="AF5579" s="4">
        <v>1</v>
      </c>
      <c r="AG5579" s="4">
        <v>1</v>
      </c>
      <c r="AH5579" s="4">
        <v>62</v>
      </c>
      <c r="AI5579" s="4">
        <v>63</v>
      </c>
      <c r="AJ5579" s="4">
        <v>5</v>
      </c>
      <c r="AK5579" s="4">
        <v>5</v>
      </c>
      <c r="AL5579" s="4">
        <v>34</v>
      </c>
      <c r="AM5579" s="4">
        <v>34</v>
      </c>
      <c r="AN5579" s="4">
        <v>0</v>
      </c>
      <c r="AO5579" s="4">
        <v>0</v>
      </c>
      <c r="AP5579" s="4">
        <v>9</v>
      </c>
      <c r="AQ5579" s="4">
        <v>9</v>
      </c>
      <c r="AR5579" s="3" t="s">
        <v>62</v>
      </c>
      <c r="AS5579" s="3" t="s">
        <v>62</v>
      </c>
      <c r="AT5579" s="3" t="s">
        <v>62</v>
      </c>
      <c r="AV5579" s="6" t="str">
        <f>HYPERLINK("http://mcgill.on.worldcat.org/oclc/918995058","Catalog Record")</f>
        <v>Catalog Record</v>
      </c>
      <c r="AW5579" s="6" t="str">
        <f>HYPERLINK("http://www.worldcat.org/oclc/918995058","WorldCat Record")</f>
        <v>WorldCat Record</v>
      </c>
      <c r="AX5579" s="3" t="s">
        <v>53093</v>
      </c>
      <c r="AY5579" s="3" t="s">
        <v>53094</v>
      </c>
      <c r="AZ5579" s="3" t="s">
        <v>53095</v>
      </c>
      <c r="BA5579" s="3" t="s">
        <v>53095</v>
      </c>
      <c r="BB5579" s="3" t="s">
        <v>53096</v>
      </c>
      <c r="BC5579" s="3" t="s">
        <v>102</v>
      </c>
      <c r="BD5579" s="3" t="s">
        <v>68</v>
      </c>
      <c r="BE5579" s="3" t="s">
        <v>53097</v>
      </c>
      <c r="BF5579" s="3" t="s">
        <v>53096</v>
      </c>
      <c r="BG5579" s="3" t="s">
        <v>53098</v>
      </c>
    </row>
    <row r="5580" spans="1:59" ht="101.5" x14ac:dyDescent="0.35">
      <c r="A5580" s="2" t="s">
        <v>89</v>
      </c>
      <c r="B5580" s="2" t="s">
        <v>36812</v>
      </c>
      <c r="C5580" s="2" t="s">
        <v>53099</v>
      </c>
      <c r="D5580" s="2" t="s">
        <v>53100</v>
      </c>
      <c r="E5580" s="2" t="s">
        <v>53101</v>
      </c>
      <c r="G5580" s="3" t="s">
        <v>62</v>
      </c>
      <c r="I5580" s="3" t="s">
        <v>62</v>
      </c>
      <c r="J5580" s="3" t="s">
        <v>62</v>
      </c>
      <c r="K5580" s="3" t="s">
        <v>63</v>
      </c>
      <c r="L5580" s="2" t="s">
        <v>53102</v>
      </c>
      <c r="M5580" s="2" t="s">
        <v>53103</v>
      </c>
      <c r="N5580" s="3" t="s">
        <v>698</v>
      </c>
      <c r="P5580" s="3" t="s">
        <v>64</v>
      </c>
      <c r="R5580" s="3" t="s">
        <v>52945</v>
      </c>
      <c r="S5580" s="4">
        <v>0</v>
      </c>
      <c r="T5580" s="4">
        <v>0</v>
      </c>
      <c r="W5580" s="5" t="s">
        <v>67</v>
      </c>
      <c r="X5580" s="5" t="s">
        <v>67</v>
      </c>
      <c r="Y5580" s="4">
        <v>621</v>
      </c>
      <c r="Z5580" s="4">
        <v>32</v>
      </c>
      <c r="AA5580" s="4">
        <v>33</v>
      </c>
      <c r="AB5580" s="4">
        <v>3</v>
      </c>
      <c r="AC5580" s="4">
        <v>4</v>
      </c>
      <c r="AD5580" s="4">
        <v>22</v>
      </c>
      <c r="AE5580" s="4">
        <v>22</v>
      </c>
      <c r="AF5580" s="4">
        <v>0</v>
      </c>
      <c r="AG5580" s="4">
        <v>0</v>
      </c>
      <c r="AH5580" s="4">
        <v>19</v>
      </c>
      <c r="AI5580" s="4">
        <v>19</v>
      </c>
      <c r="AJ5580" s="4">
        <v>0</v>
      </c>
      <c r="AK5580" s="4">
        <v>0</v>
      </c>
      <c r="AL5580" s="4">
        <v>10</v>
      </c>
      <c r="AM5580" s="4">
        <v>10</v>
      </c>
      <c r="AN5580" s="4">
        <v>0</v>
      </c>
      <c r="AO5580" s="4">
        <v>0</v>
      </c>
      <c r="AP5580" s="4">
        <v>3</v>
      </c>
      <c r="AQ5580" s="4">
        <v>3</v>
      </c>
      <c r="AR5580" s="3" t="s">
        <v>62</v>
      </c>
      <c r="AS5580" s="3" t="s">
        <v>62</v>
      </c>
      <c r="AT5580" s="3" t="s">
        <v>62</v>
      </c>
      <c r="AV5580" s="6" t="str">
        <f>HYPERLINK("http://mcgill.on.worldcat.org/oclc/782988221","Catalog Record")</f>
        <v>Catalog Record</v>
      </c>
      <c r="AW5580" s="6" t="str">
        <f>HYPERLINK("http://www.worldcat.org/oclc/782988221","WorldCat Record")</f>
        <v>WorldCat Record</v>
      </c>
      <c r="AX5580" s="3" t="s">
        <v>53104</v>
      </c>
      <c r="AY5580" s="3" t="s">
        <v>53105</v>
      </c>
      <c r="AZ5580" s="3" t="s">
        <v>53106</v>
      </c>
      <c r="BA5580" s="3" t="s">
        <v>53106</v>
      </c>
      <c r="BB5580" s="3" t="s">
        <v>53107</v>
      </c>
      <c r="BC5580" s="3" t="s">
        <v>102</v>
      </c>
      <c r="BD5580" s="3" t="s">
        <v>68</v>
      </c>
      <c r="BE5580" s="3" t="s">
        <v>53108</v>
      </c>
      <c r="BF5580" s="3" t="s">
        <v>53107</v>
      </c>
      <c r="BG5580" s="3" t="s">
        <v>53109</v>
      </c>
    </row>
    <row r="5581" spans="1:59" ht="58" x14ac:dyDescent="0.35">
      <c r="A5581" s="2" t="s">
        <v>59</v>
      </c>
      <c r="B5581" s="2" t="s">
        <v>60</v>
      </c>
      <c r="C5581" s="2" t="s">
        <v>53110</v>
      </c>
      <c r="D5581" s="2" t="s">
        <v>53111</v>
      </c>
      <c r="E5581" s="2" t="s">
        <v>53112</v>
      </c>
      <c r="G5581" s="3" t="s">
        <v>62</v>
      </c>
      <c r="I5581" s="3" t="s">
        <v>61</v>
      </c>
      <c r="J5581" s="3" t="s">
        <v>62</v>
      </c>
      <c r="K5581" s="3" t="s">
        <v>63</v>
      </c>
      <c r="M5581" s="2" t="s">
        <v>53113</v>
      </c>
      <c r="N5581" s="3" t="s">
        <v>954</v>
      </c>
      <c r="O5581" s="2" t="s">
        <v>2849</v>
      </c>
      <c r="P5581" s="3" t="s">
        <v>64</v>
      </c>
      <c r="R5581" s="3" t="s">
        <v>52945</v>
      </c>
      <c r="S5581" s="4">
        <v>0</v>
      </c>
      <c r="T5581" s="4">
        <v>7</v>
      </c>
      <c r="V5581" s="5" t="s">
        <v>14949</v>
      </c>
      <c r="W5581" s="5" t="s">
        <v>67</v>
      </c>
      <c r="X5581" s="5" t="s">
        <v>67</v>
      </c>
      <c r="Y5581" s="4">
        <v>672</v>
      </c>
      <c r="Z5581" s="4">
        <v>32</v>
      </c>
      <c r="AA5581" s="4">
        <v>42</v>
      </c>
      <c r="AB5581" s="4">
        <v>3</v>
      </c>
      <c r="AC5581" s="4">
        <v>5</v>
      </c>
      <c r="AD5581" s="4">
        <v>95</v>
      </c>
      <c r="AE5581" s="4">
        <v>104</v>
      </c>
      <c r="AF5581" s="4">
        <v>1</v>
      </c>
      <c r="AG5581" s="4">
        <v>3</v>
      </c>
      <c r="AH5581" s="4">
        <v>77</v>
      </c>
      <c r="AI5581" s="4">
        <v>79</v>
      </c>
      <c r="AJ5581" s="4">
        <v>14</v>
      </c>
      <c r="AK5581" s="4">
        <v>19</v>
      </c>
      <c r="AL5581" s="4">
        <v>49</v>
      </c>
      <c r="AM5581" s="4">
        <v>49</v>
      </c>
      <c r="AN5581" s="4">
        <v>0</v>
      </c>
      <c r="AO5581" s="4">
        <v>0</v>
      </c>
      <c r="AP5581" s="4">
        <v>19</v>
      </c>
      <c r="AQ5581" s="4">
        <v>27</v>
      </c>
      <c r="AR5581" s="3" t="s">
        <v>62</v>
      </c>
      <c r="AS5581" s="3" t="s">
        <v>62</v>
      </c>
      <c r="AT5581" s="3" t="s">
        <v>61</v>
      </c>
      <c r="AU5581" s="6" t="str">
        <f>HYPERLINK("http://catalog.hathitrust.org/Record/000660821","HathiTrust Record")</f>
        <v>HathiTrust Record</v>
      </c>
      <c r="AV5581" s="6" t="str">
        <f>HYPERLINK("http://mcgill.on.worldcat.org/oclc/224935","Catalog Record")</f>
        <v>Catalog Record</v>
      </c>
      <c r="AW5581" s="6" t="str">
        <f>HYPERLINK("http://www.worldcat.org/oclc/224935","WorldCat Record")</f>
        <v>WorldCat Record</v>
      </c>
      <c r="AX5581" s="3" t="s">
        <v>53114</v>
      </c>
      <c r="AY5581" s="3" t="s">
        <v>53115</v>
      </c>
      <c r="AZ5581" s="3" t="s">
        <v>53116</v>
      </c>
      <c r="BA5581" s="3" t="s">
        <v>53116</v>
      </c>
      <c r="BB5581" s="3" t="s">
        <v>53117</v>
      </c>
      <c r="BC5581" s="3" t="s">
        <v>102</v>
      </c>
      <c r="BD5581" s="3" t="s">
        <v>68</v>
      </c>
      <c r="BF5581" s="3" t="s">
        <v>53117</v>
      </c>
      <c r="BG5581" s="3" t="s">
        <v>53118</v>
      </c>
    </row>
    <row r="5582" spans="1:59" ht="58" x14ac:dyDescent="0.35">
      <c r="A5582" s="2" t="s">
        <v>59</v>
      </c>
      <c r="B5582" s="2" t="s">
        <v>60</v>
      </c>
      <c r="C5582" s="2" t="s">
        <v>53119</v>
      </c>
      <c r="D5582" s="2" t="s">
        <v>53120</v>
      </c>
      <c r="E5582" s="2" t="s">
        <v>53121</v>
      </c>
      <c r="G5582" s="3" t="s">
        <v>62</v>
      </c>
      <c r="I5582" s="3" t="s">
        <v>61</v>
      </c>
      <c r="J5582" s="3" t="s">
        <v>62</v>
      </c>
      <c r="K5582" s="3" t="s">
        <v>63</v>
      </c>
      <c r="M5582" s="2" t="s">
        <v>53122</v>
      </c>
      <c r="N5582" s="3" t="s">
        <v>2566</v>
      </c>
      <c r="P5582" s="3" t="s">
        <v>64</v>
      </c>
      <c r="R5582" s="3" t="s">
        <v>52945</v>
      </c>
      <c r="S5582" s="4">
        <v>0</v>
      </c>
      <c r="T5582" s="4">
        <v>1</v>
      </c>
      <c r="V5582" s="5" t="s">
        <v>9232</v>
      </c>
      <c r="W5582" s="5" t="s">
        <v>67</v>
      </c>
      <c r="X5582" s="5" t="s">
        <v>67</v>
      </c>
      <c r="Y5582" s="4">
        <v>344</v>
      </c>
      <c r="Z5582" s="4">
        <v>21</v>
      </c>
      <c r="AA5582" s="4">
        <v>29</v>
      </c>
      <c r="AB5582" s="4">
        <v>2</v>
      </c>
      <c r="AC5582" s="4">
        <v>8</v>
      </c>
      <c r="AD5582" s="4">
        <v>94</v>
      </c>
      <c r="AE5582" s="4">
        <v>99</v>
      </c>
      <c r="AF5582" s="4">
        <v>0</v>
      </c>
      <c r="AG5582" s="4">
        <v>2</v>
      </c>
      <c r="AH5582" s="4">
        <v>84</v>
      </c>
      <c r="AI5582" s="4">
        <v>85</v>
      </c>
      <c r="AJ5582" s="4">
        <v>15</v>
      </c>
      <c r="AK5582" s="4">
        <v>17</v>
      </c>
      <c r="AL5582" s="4">
        <v>46</v>
      </c>
      <c r="AM5582" s="4">
        <v>46</v>
      </c>
      <c r="AN5582" s="4">
        <v>0</v>
      </c>
      <c r="AO5582" s="4">
        <v>0</v>
      </c>
      <c r="AP5582" s="4">
        <v>16</v>
      </c>
      <c r="AQ5582" s="4">
        <v>19</v>
      </c>
      <c r="AR5582" s="3" t="s">
        <v>62</v>
      </c>
      <c r="AS5582" s="3" t="s">
        <v>62</v>
      </c>
      <c r="AT5582" s="3" t="s">
        <v>61</v>
      </c>
      <c r="AU5582" s="6" t="str">
        <f>HYPERLINK("http://catalog.hathitrust.org/Record/001555993","HathiTrust Record")</f>
        <v>HathiTrust Record</v>
      </c>
      <c r="AV5582" s="6" t="str">
        <f>HYPERLINK("http://mcgill.on.worldcat.org/oclc/588992","Catalog Record")</f>
        <v>Catalog Record</v>
      </c>
      <c r="AW5582" s="6" t="str">
        <f>HYPERLINK("http://www.worldcat.org/oclc/588992","WorldCat Record")</f>
        <v>WorldCat Record</v>
      </c>
      <c r="AX5582" s="3" t="s">
        <v>53123</v>
      </c>
      <c r="AY5582" s="3" t="s">
        <v>53124</v>
      </c>
      <c r="AZ5582" s="3" t="s">
        <v>53125</v>
      </c>
      <c r="BA5582" s="3" t="s">
        <v>53125</v>
      </c>
      <c r="BB5582" s="3" t="s">
        <v>53126</v>
      </c>
      <c r="BC5582" s="3" t="s">
        <v>102</v>
      </c>
      <c r="BD5582" s="3" t="s">
        <v>68</v>
      </c>
      <c r="BE5582" s="3" t="s">
        <v>53127</v>
      </c>
      <c r="BF5582" s="3" t="s">
        <v>53126</v>
      </c>
      <c r="BG5582" s="3" t="s">
        <v>53128</v>
      </c>
    </row>
    <row r="5583" spans="1:59" ht="58" x14ac:dyDescent="0.35">
      <c r="A5583" s="2" t="s">
        <v>59</v>
      </c>
      <c r="B5583" s="2" t="s">
        <v>60</v>
      </c>
      <c r="C5583" s="2" t="s">
        <v>53129</v>
      </c>
      <c r="D5583" s="2" t="s">
        <v>53130</v>
      </c>
      <c r="E5583" s="2" t="s">
        <v>53131</v>
      </c>
      <c r="G5583" s="3" t="s">
        <v>62</v>
      </c>
      <c r="I5583" s="3" t="s">
        <v>62</v>
      </c>
      <c r="J5583" s="3" t="s">
        <v>62</v>
      </c>
      <c r="K5583" s="3" t="s">
        <v>63</v>
      </c>
      <c r="L5583" s="2" t="s">
        <v>53132</v>
      </c>
      <c r="M5583" s="2" t="s">
        <v>53133</v>
      </c>
      <c r="N5583" s="3" t="s">
        <v>611</v>
      </c>
      <c r="P5583" s="3" t="s">
        <v>64</v>
      </c>
      <c r="R5583" s="3" t="s">
        <v>52945</v>
      </c>
      <c r="S5583" s="4">
        <v>1</v>
      </c>
      <c r="T5583" s="4">
        <v>1</v>
      </c>
      <c r="U5583" s="5" t="s">
        <v>53134</v>
      </c>
      <c r="V5583" s="5" t="s">
        <v>53134</v>
      </c>
      <c r="W5583" s="5" t="s">
        <v>67</v>
      </c>
      <c r="X5583" s="5" t="s">
        <v>67</v>
      </c>
      <c r="Y5583" s="4">
        <v>78</v>
      </c>
      <c r="Z5583" s="4">
        <v>7</v>
      </c>
      <c r="AA5583" s="4">
        <v>7</v>
      </c>
      <c r="AB5583" s="4">
        <v>2</v>
      </c>
      <c r="AC5583" s="4">
        <v>2</v>
      </c>
      <c r="AD5583" s="4">
        <v>44</v>
      </c>
      <c r="AE5583" s="4">
        <v>44</v>
      </c>
      <c r="AF5583" s="4">
        <v>0</v>
      </c>
      <c r="AG5583" s="4">
        <v>0</v>
      </c>
      <c r="AH5583" s="4">
        <v>41</v>
      </c>
      <c r="AI5583" s="4">
        <v>41</v>
      </c>
      <c r="AJ5583" s="4">
        <v>5</v>
      </c>
      <c r="AK5583" s="4">
        <v>5</v>
      </c>
      <c r="AL5583" s="4">
        <v>30</v>
      </c>
      <c r="AM5583" s="4">
        <v>30</v>
      </c>
      <c r="AN5583" s="4">
        <v>0</v>
      </c>
      <c r="AO5583" s="4">
        <v>0</v>
      </c>
      <c r="AP5583" s="4">
        <v>5</v>
      </c>
      <c r="AQ5583" s="4">
        <v>5</v>
      </c>
      <c r="AR5583" s="3" t="s">
        <v>62</v>
      </c>
      <c r="AS5583" s="3" t="s">
        <v>62</v>
      </c>
      <c r="AT5583" s="3" t="s">
        <v>61</v>
      </c>
      <c r="AU5583" s="6" t="str">
        <f>HYPERLINK("http://catalog.hathitrust.org/Record/001582144","HathiTrust Record")</f>
        <v>HathiTrust Record</v>
      </c>
      <c r="AV5583" s="6" t="str">
        <f>HYPERLINK("http://mcgill.on.worldcat.org/oclc/9748947","Catalog Record")</f>
        <v>Catalog Record</v>
      </c>
      <c r="AW5583" s="6" t="str">
        <f>HYPERLINK("http://www.worldcat.org/oclc/9748947","WorldCat Record")</f>
        <v>WorldCat Record</v>
      </c>
      <c r="AX5583" s="3" t="s">
        <v>53135</v>
      </c>
      <c r="AY5583" s="3" t="s">
        <v>53136</v>
      </c>
      <c r="AZ5583" s="3" t="s">
        <v>53137</v>
      </c>
      <c r="BA5583" s="3" t="s">
        <v>53137</v>
      </c>
      <c r="BB5583" s="3" t="s">
        <v>53138</v>
      </c>
      <c r="BC5583" s="3" t="s">
        <v>102</v>
      </c>
      <c r="BD5583" s="3" t="s">
        <v>68</v>
      </c>
      <c r="BF5583" s="3" t="s">
        <v>53138</v>
      </c>
      <c r="BG5583" s="3" t="s">
        <v>53139</v>
      </c>
    </row>
    <row r="5584" spans="1:59" ht="58" x14ac:dyDescent="0.35">
      <c r="A5584" s="2" t="s">
        <v>59</v>
      </c>
      <c r="B5584" s="2" t="s">
        <v>60</v>
      </c>
      <c r="C5584" s="2" t="s">
        <v>53140</v>
      </c>
      <c r="D5584" s="2" t="s">
        <v>53141</v>
      </c>
      <c r="E5584" s="2" t="s">
        <v>53142</v>
      </c>
      <c r="F5584" s="3" t="s">
        <v>53143</v>
      </c>
      <c r="G5584" s="3" t="s">
        <v>62</v>
      </c>
      <c r="I5584" s="3" t="s">
        <v>62</v>
      </c>
      <c r="J5584" s="3" t="s">
        <v>62</v>
      </c>
      <c r="K5584" s="3" t="s">
        <v>63</v>
      </c>
      <c r="L5584" s="2" t="s">
        <v>53144</v>
      </c>
      <c r="M5584" s="2" t="s">
        <v>53145</v>
      </c>
      <c r="N5584" s="3" t="s">
        <v>6259</v>
      </c>
      <c r="P5584" s="3" t="s">
        <v>85</v>
      </c>
      <c r="Q5584" s="2" t="s">
        <v>53146</v>
      </c>
      <c r="R5584" s="3" t="s">
        <v>52945</v>
      </c>
      <c r="S5584" s="4">
        <v>1</v>
      </c>
      <c r="T5584" s="4">
        <v>1</v>
      </c>
      <c r="U5584" s="5" t="s">
        <v>53134</v>
      </c>
      <c r="V5584" s="5" t="s">
        <v>53134</v>
      </c>
      <c r="W5584" s="5" t="s">
        <v>67</v>
      </c>
      <c r="X5584" s="5" t="s">
        <v>67</v>
      </c>
      <c r="Y5584" s="4">
        <v>21</v>
      </c>
      <c r="Z5584" s="4">
        <v>2</v>
      </c>
      <c r="AA5584" s="4">
        <v>2</v>
      </c>
      <c r="AB5584" s="4">
        <v>2</v>
      </c>
      <c r="AC5584" s="4">
        <v>2</v>
      </c>
      <c r="AD5584" s="4">
        <v>4</v>
      </c>
      <c r="AE5584" s="4">
        <v>4</v>
      </c>
      <c r="AF5584" s="4">
        <v>0</v>
      </c>
      <c r="AG5584" s="4">
        <v>0</v>
      </c>
      <c r="AH5584" s="4">
        <v>4</v>
      </c>
      <c r="AI5584" s="4">
        <v>4</v>
      </c>
      <c r="AJ5584" s="4">
        <v>0</v>
      </c>
      <c r="AK5584" s="4">
        <v>0</v>
      </c>
      <c r="AL5584" s="4">
        <v>2</v>
      </c>
      <c r="AM5584" s="4">
        <v>2</v>
      </c>
      <c r="AN5584" s="4">
        <v>0</v>
      </c>
      <c r="AO5584" s="4">
        <v>0</v>
      </c>
      <c r="AP5584" s="4">
        <v>0</v>
      </c>
      <c r="AQ5584" s="4">
        <v>0</v>
      </c>
      <c r="AR5584" s="3" t="s">
        <v>62</v>
      </c>
      <c r="AS5584" s="3" t="s">
        <v>62</v>
      </c>
      <c r="AT5584" s="3" t="s">
        <v>62</v>
      </c>
      <c r="AV5584" s="6" t="str">
        <f>HYPERLINK("http://mcgill.on.worldcat.org/oclc/12012246","Catalog Record")</f>
        <v>Catalog Record</v>
      </c>
      <c r="AW5584" s="6" t="str">
        <f>HYPERLINK("http://www.worldcat.org/oclc/12012246","WorldCat Record")</f>
        <v>WorldCat Record</v>
      </c>
      <c r="AX5584" s="3" t="s">
        <v>53147</v>
      </c>
      <c r="AY5584" s="3" t="s">
        <v>53148</v>
      </c>
      <c r="AZ5584" s="3" t="s">
        <v>53149</v>
      </c>
      <c r="BA5584" s="3" t="s">
        <v>53149</v>
      </c>
      <c r="BB5584" s="3" t="s">
        <v>53150</v>
      </c>
      <c r="BC5584" s="3" t="s">
        <v>102</v>
      </c>
      <c r="BD5584" s="3" t="s">
        <v>68</v>
      </c>
      <c r="BF5584" s="3" t="s">
        <v>53150</v>
      </c>
      <c r="BG5584" s="3" t="s">
        <v>53151</v>
      </c>
    </row>
    <row r="5585" spans="1:59" ht="58" x14ac:dyDescent="0.35">
      <c r="A5585" s="2" t="s">
        <v>59</v>
      </c>
      <c r="B5585" s="2" t="s">
        <v>60</v>
      </c>
      <c r="C5585" s="2" t="s">
        <v>53152</v>
      </c>
      <c r="D5585" s="2" t="s">
        <v>53153</v>
      </c>
      <c r="E5585" s="2" t="s">
        <v>53154</v>
      </c>
      <c r="G5585" s="3" t="s">
        <v>62</v>
      </c>
      <c r="I5585" s="3" t="s">
        <v>62</v>
      </c>
      <c r="J5585" s="3" t="s">
        <v>62</v>
      </c>
      <c r="K5585" s="3" t="s">
        <v>916</v>
      </c>
      <c r="L5585" s="2" t="s">
        <v>53155</v>
      </c>
      <c r="M5585" s="2" t="s">
        <v>53156</v>
      </c>
      <c r="N5585" s="3" t="s">
        <v>239</v>
      </c>
      <c r="P5585" s="3" t="s">
        <v>64</v>
      </c>
      <c r="Q5585" s="2" t="s">
        <v>53157</v>
      </c>
      <c r="R5585" s="3" t="s">
        <v>52945</v>
      </c>
      <c r="S5585" s="4">
        <v>1</v>
      </c>
      <c r="T5585" s="4">
        <v>1</v>
      </c>
      <c r="U5585" s="5" t="s">
        <v>53134</v>
      </c>
      <c r="V5585" s="5" t="s">
        <v>53134</v>
      </c>
      <c r="W5585" s="5" t="s">
        <v>67</v>
      </c>
      <c r="X5585" s="5" t="s">
        <v>67</v>
      </c>
      <c r="Y5585" s="4">
        <v>137</v>
      </c>
      <c r="Z5585" s="4">
        <v>9</v>
      </c>
      <c r="AA5585" s="4">
        <v>11</v>
      </c>
      <c r="AB5585" s="4">
        <v>2</v>
      </c>
      <c r="AC5585" s="4">
        <v>3</v>
      </c>
      <c r="AD5585" s="4">
        <v>62</v>
      </c>
      <c r="AE5585" s="4">
        <v>66</v>
      </c>
      <c r="AF5585" s="4">
        <v>0</v>
      </c>
      <c r="AG5585" s="4">
        <v>1</v>
      </c>
      <c r="AH5585" s="4">
        <v>59</v>
      </c>
      <c r="AI5585" s="4">
        <v>62</v>
      </c>
      <c r="AJ5585" s="4">
        <v>6</v>
      </c>
      <c r="AK5585" s="4">
        <v>8</v>
      </c>
      <c r="AL5585" s="4">
        <v>40</v>
      </c>
      <c r="AM5585" s="4">
        <v>40</v>
      </c>
      <c r="AN5585" s="4">
        <v>5</v>
      </c>
      <c r="AO5585" s="4">
        <v>5</v>
      </c>
      <c r="AP5585" s="4">
        <v>6</v>
      </c>
      <c r="AQ5585" s="4">
        <v>7</v>
      </c>
      <c r="AR5585" s="3" t="s">
        <v>62</v>
      </c>
      <c r="AS5585" s="3" t="s">
        <v>61</v>
      </c>
      <c r="AT5585" s="3" t="s">
        <v>62</v>
      </c>
      <c r="AU5585" s="6" t="str">
        <f>HYPERLINK("http://catalog.hathitrust.org/Record/006703212","HathiTrust Record")</f>
        <v>HathiTrust Record</v>
      </c>
      <c r="AV5585" s="6" t="str">
        <f>HYPERLINK("http://mcgill.on.worldcat.org/oclc/14734756","Catalog Record")</f>
        <v>Catalog Record</v>
      </c>
      <c r="AW5585" s="6" t="str">
        <f>HYPERLINK("http://www.worldcat.org/oclc/14734756","WorldCat Record")</f>
        <v>WorldCat Record</v>
      </c>
      <c r="AX5585" s="3" t="s">
        <v>53158</v>
      </c>
      <c r="AY5585" s="3" t="s">
        <v>53159</v>
      </c>
      <c r="AZ5585" s="3" t="s">
        <v>53160</v>
      </c>
      <c r="BA5585" s="3" t="s">
        <v>53160</v>
      </c>
      <c r="BB5585" s="3" t="s">
        <v>53161</v>
      </c>
      <c r="BC5585" s="3" t="s">
        <v>102</v>
      </c>
      <c r="BD5585" s="3" t="s">
        <v>68</v>
      </c>
      <c r="BF5585" s="3" t="s">
        <v>53161</v>
      </c>
      <c r="BG5585" s="3" t="s">
        <v>53162</v>
      </c>
    </row>
    <row r="5586" spans="1:59" ht="72.5" x14ac:dyDescent="0.35">
      <c r="A5586" s="2" t="s">
        <v>59</v>
      </c>
      <c r="B5586" s="2" t="s">
        <v>60</v>
      </c>
      <c r="C5586" s="2" t="s">
        <v>53163</v>
      </c>
      <c r="D5586" s="2" t="s">
        <v>53164</v>
      </c>
      <c r="E5586" s="2" t="s">
        <v>53165</v>
      </c>
      <c r="G5586" s="3" t="s">
        <v>62</v>
      </c>
      <c r="I5586" s="3" t="s">
        <v>62</v>
      </c>
      <c r="J5586" s="3" t="s">
        <v>62</v>
      </c>
      <c r="K5586" s="3" t="s">
        <v>63</v>
      </c>
      <c r="L5586" s="2" t="s">
        <v>53166</v>
      </c>
      <c r="M5586" s="2" t="s">
        <v>53167</v>
      </c>
      <c r="N5586" s="3" t="s">
        <v>1305</v>
      </c>
      <c r="P5586" s="3" t="s">
        <v>64</v>
      </c>
      <c r="R5586" s="3" t="s">
        <v>52945</v>
      </c>
      <c r="S5586" s="4">
        <v>1</v>
      </c>
      <c r="T5586" s="4">
        <v>1</v>
      </c>
      <c r="U5586" s="5" t="s">
        <v>53134</v>
      </c>
      <c r="V5586" s="5" t="s">
        <v>53134</v>
      </c>
      <c r="W5586" s="5" t="s">
        <v>67</v>
      </c>
      <c r="X5586" s="5" t="s">
        <v>67</v>
      </c>
      <c r="Y5586" s="4">
        <v>106</v>
      </c>
      <c r="Z5586" s="4">
        <v>5</v>
      </c>
      <c r="AA5586" s="4">
        <v>6</v>
      </c>
      <c r="AB5586" s="4">
        <v>2</v>
      </c>
      <c r="AC5586" s="4">
        <v>3</v>
      </c>
      <c r="AD5586" s="4">
        <v>58</v>
      </c>
      <c r="AE5586" s="4">
        <v>59</v>
      </c>
      <c r="AF5586" s="4">
        <v>0</v>
      </c>
      <c r="AG5586" s="4">
        <v>1</v>
      </c>
      <c r="AH5586" s="4">
        <v>55</v>
      </c>
      <c r="AI5586" s="4">
        <v>55</v>
      </c>
      <c r="AJ5586" s="4">
        <v>2</v>
      </c>
      <c r="AK5586" s="4">
        <v>3</v>
      </c>
      <c r="AL5586" s="4">
        <v>38</v>
      </c>
      <c r="AM5586" s="4">
        <v>38</v>
      </c>
      <c r="AN5586" s="4">
        <v>0</v>
      </c>
      <c r="AO5586" s="4">
        <v>0</v>
      </c>
      <c r="AP5586" s="4">
        <v>2</v>
      </c>
      <c r="AQ5586" s="4">
        <v>2</v>
      </c>
      <c r="AR5586" s="3" t="s">
        <v>62</v>
      </c>
      <c r="AS5586" s="3" t="s">
        <v>62</v>
      </c>
      <c r="AT5586" s="3" t="s">
        <v>62</v>
      </c>
      <c r="AU5586" s="6" t="str">
        <f>HYPERLINK("http://catalog.hathitrust.org/Record/002075091","HathiTrust Record")</f>
        <v>HathiTrust Record</v>
      </c>
      <c r="AV5586" s="6" t="str">
        <f>HYPERLINK("http://mcgill.on.worldcat.org/oclc/3208131","Catalog Record")</f>
        <v>Catalog Record</v>
      </c>
      <c r="AW5586" s="6" t="str">
        <f>HYPERLINK("http://www.worldcat.org/oclc/3208131","WorldCat Record")</f>
        <v>WorldCat Record</v>
      </c>
      <c r="AX5586" s="3" t="s">
        <v>53168</v>
      </c>
      <c r="AY5586" s="3" t="s">
        <v>53169</v>
      </c>
      <c r="AZ5586" s="3" t="s">
        <v>53170</v>
      </c>
      <c r="BA5586" s="3" t="s">
        <v>53170</v>
      </c>
      <c r="BB5586" s="3" t="s">
        <v>53171</v>
      </c>
      <c r="BC5586" s="3" t="s">
        <v>102</v>
      </c>
      <c r="BD5586" s="3" t="s">
        <v>68</v>
      </c>
      <c r="BF5586" s="3" t="s">
        <v>53171</v>
      </c>
      <c r="BG5586" s="3" t="s">
        <v>53172</v>
      </c>
    </row>
    <row r="5587" spans="1:59" ht="58" x14ac:dyDescent="0.35">
      <c r="A5587" s="2" t="s">
        <v>59</v>
      </c>
      <c r="B5587" s="2" t="s">
        <v>60</v>
      </c>
      <c r="C5587" s="2" t="s">
        <v>53173</v>
      </c>
      <c r="D5587" s="2" t="s">
        <v>53174</v>
      </c>
      <c r="E5587" s="2" t="s">
        <v>53175</v>
      </c>
      <c r="G5587" s="3" t="s">
        <v>62</v>
      </c>
      <c r="I5587" s="3" t="s">
        <v>62</v>
      </c>
      <c r="J5587" s="3" t="s">
        <v>62</v>
      </c>
      <c r="K5587" s="3" t="s">
        <v>63</v>
      </c>
      <c r="L5587" s="2" t="s">
        <v>53176</v>
      </c>
      <c r="M5587" s="2" t="s">
        <v>53177</v>
      </c>
      <c r="N5587" s="3" t="s">
        <v>1549</v>
      </c>
      <c r="P5587" s="3" t="s">
        <v>64</v>
      </c>
      <c r="Q5587" s="2" t="s">
        <v>53178</v>
      </c>
      <c r="R5587" s="3" t="s">
        <v>52945</v>
      </c>
      <c r="S5587" s="4">
        <v>2</v>
      </c>
      <c r="T5587" s="4">
        <v>2</v>
      </c>
      <c r="U5587" s="5" t="s">
        <v>53134</v>
      </c>
      <c r="V5587" s="5" t="s">
        <v>53134</v>
      </c>
      <c r="W5587" s="5" t="s">
        <v>67</v>
      </c>
      <c r="X5587" s="5" t="s">
        <v>67</v>
      </c>
      <c r="Y5587" s="4">
        <v>62</v>
      </c>
      <c r="Z5587" s="4">
        <v>3</v>
      </c>
      <c r="AA5587" s="4">
        <v>8</v>
      </c>
      <c r="AB5587" s="4">
        <v>2</v>
      </c>
      <c r="AC5587" s="4">
        <v>3</v>
      </c>
      <c r="AD5587" s="4">
        <v>33</v>
      </c>
      <c r="AE5587" s="4">
        <v>59</v>
      </c>
      <c r="AF5587" s="4">
        <v>0</v>
      </c>
      <c r="AG5587" s="4">
        <v>1</v>
      </c>
      <c r="AH5587" s="4">
        <v>31</v>
      </c>
      <c r="AI5587" s="4">
        <v>57</v>
      </c>
      <c r="AJ5587" s="4">
        <v>1</v>
      </c>
      <c r="AK5587" s="4">
        <v>5</v>
      </c>
      <c r="AL5587" s="4">
        <v>24</v>
      </c>
      <c r="AM5587" s="4">
        <v>37</v>
      </c>
      <c r="AN5587" s="4">
        <v>0</v>
      </c>
      <c r="AO5587" s="4">
        <v>0</v>
      </c>
      <c r="AP5587" s="4">
        <v>1</v>
      </c>
      <c r="AQ5587" s="4">
        <v>5</v>
      </c>
      <c r="AR5587" s="3" t="s">
        <v>62</v>
      </c>
      <c r="AS5587" s="3" t="s">
        <v>62</v>
      </c>
      <c r="AT5587" s="3" t="s">
        <v>62</v>
      </c>
      <c r="AV5587" s="6" t="str">
        <f>HYPERLINK("http://mcgill.on.worldcat.org/oclc/1574824","Catalog Record")</f>
        <v>Catalog Record</v>
      </c>
      <c r="AW5587" s="6" t="str">
        <f>HYPERLINK("http://www.worldcat.org/oclc/1574824","WorldCat Record")</f>
        <v>WorldCat Record</v>
      </c>
      <c r="AX5587" s="3" t="s">
        <v>53179</v>
      </c>
      <c r="AY5587" s="3" t="s">
        <v>53180</v>
      </c>
      <c r="AZ5587" s="3" t="s">
        <v>53181</v>
      </c>
      <c r="BA5587" s="3" t="s">
        <v>53181</v>
      </c>
      <c r="BB5587" s="3" t="s">
        <v>53182</v>
      </c>
      <c r="BC5587" s="3" t="s">
        <v>102</v>
      </c>
      <c r="BD5587" s="3" t="s">
        <v>68</v>
      </c>
      <c r="BF5587" s="3" t="s">
        <v>53182</v>
      </c>
      <c r="BG5587" s="3" t="s">
        <v>53183</v>
      </c>
    </row>
    <row r="5588" spans="1:59" ht="58" x14ac:dyDescent="0.35">
      <c r="A5588" s="2" t="s">
        <v>59</v>
      </c>
      <c r="B5588" s="2" t="s">
        <v>60</v>
      </c>
      <c r="C5588" s="2" t="s">
        <v>53184</v>
      </c>
      <c r="D5588" s="2" t="s">
        <v>53185</v>
      </c>
      <c r="E5588" s="2" t="s">
        <v>53186</v>
      </c>
      <c r="G5588" s="3" t="s">
        <v>62</v>
      </c>
      <c r="I5588" s="3" t="s">
        <v>62</v>
      </c>
      <c r="J5588" s="3" t="s">
        <v>62</v>
      </c>
      <c r="K5588" s="3" t="s">
        <v>63</v>
      </c>
      <c r="L5588" s="2" t="s">
        <v>53187</v>
      </c>
      <c r="M5588" s="2" t="s">
        <v>53188</v>
      </c>
      <c r="N5588" s="3" t="s">
        <v>795</v>
      </c>
      <c r="P5588" s="3" t="s">
        <v>64</v>
      </c>
      <c r="R5588" s="3" t="s">
        <v>52945</v>
      </c>
      <c r="S5588" s="4">
        <v>1</v>
      </c>
      <c r="T5588" s="4">
        <v>1</v>
      </c>
      <c r="U5588" s="5" t="s">
        <v>38881</v>
      </c>
      <c r="V5588" s="5" t="s">
        <v>38881</v>
      </c>
      <c r="W5588" s="5" t="s">
        <v>67</v>
      </c>
      <c r="X5588" s="5" t="s">
        <v>67</v>
      </c>
      <c r="Y5588" s="4">
        <v>79</v>
      </c>
      <c r="Z5588" s="4">
        <v>6</v>
      </c>
      <c r="AA5588" s="4">
        <v>6</v>
      </c>
      <c r="AB5588" s="4">
        <v>2</v>
      </c>
      <c r="AC5588" s="4">
        <v>2</v>
      </c>
      <c r="AD5588" s="4">
        <v>40</v>
      </c>
      <c r="AE5588" s="4">
        <v>42</v>
      </c>
      <c r="AF5588" s="4">
        <v>0</v>
      </c>
      <c r="AG5588" s="4">
        <v>0</v>
      </c>
      <c r="AH5588" s="4">
        <v>37</v>
      </c>
      <c r="AI5588" s="4">
        <v>39</v>
      </c>
      <c r="AJ5588" s="4">
        <v>4</v>
      </c>
      <c r="AK5588" s="4">
        <v>4</v>
      </c>
      <c r="AL5588" s="4">
        <v>26</v>
      </c>
      <c r="AM5588" s="4">
        <v>26</v>
      </c>
      <c r="AN5588" s="4">
        <v>0</v>
      </c>
      <c r="AO5588" s="4">
        <v>0</v>
      </c>
      <c r="AP5588" s="4">
        <v>3</v>
      </c>
      <c r="AQ5588" s="4">
        <v>3</v>
      </c>
      <c r="AR5588" s="3" t="s">
        <v>62</v>
      </c>
      <c r="AS5588" s="3" t="s">
        <v>61</v>
      </c>
      <c r="AT5588" s="3" t="s">
        <v>62</v>
      </c>
      <c r="AU5588" s="6" t="str">
        <f>HYPERLINK("http://catalog.hathitrust.org/Record/002074948","HathiTrust Record")</f>
        <v>HathiTrust Record</v>
      </c>
      <c r="AV5588" s="6" t="str">
        <f>HYPERLINK("http://mcgill.on.worldcat.org/oclc/3668648","Catalog Record")</f>
        <v>Catalog Record</v>
      </c>
      <c r="AW5588" s="6" t="str">
        <f>HYPERLINK("http://www.worldcat.org/oclc/3668648","WorldCat Record")</f>
        <v>WorldCat Record</v>
      </c>
      <c r="AX5588" s="3" t="s">
        <v>53189</v>
      </c>
      <c r="AY5588" s="3" t="s">
        <v>53190</v>
      </c>
      <c r="AZ5588" s="3" t="s">
        <v>53191</v>
      </c>
      <c r="BA5588" s="3" t="s">
        <v>53191</v>
      </c>
      <c r="BB5588" s="3" t="s">
        <v>53192</v>
      </c>
      <c r="BC5588" s="3" t="s">
        <v>102</v>
      </c>
      <c r="BD5588" s="3" t="s">
        <v>68</v>
      </c>
      <c r="BF5588" s="3" t="s">
        <v>53192</v>
      </c>
      <c r="BG5588" s="3" t="s">
        <v>53193</v>
      </c>
    </row>
    <row r="5589" spans="1:59" ht="87" x14ac:dyDescent="0.35">
      <c r="A5589" s="2" t="s">
        <v>59</v>
      </c>
      <c r="B5589" s="2" t="s">
        <v>60</v>
      </c>
      <c r="C5589" s="2" t="s">
        <v>53194</v>
      </c>
      <c r="D5589" s="2" t="s">
        <v>53195</v>
      </c>
      <c r="E5589" s="2" t="s">
        <v>53196</v>
      </c>
      <c r="G5589" s="3" t="s">
        <v>62</v>
      </c>
      <c r="I5589" s="3" t="s">
        <v>62</v>
      </c>
      <c r="J5589" s="3" t="s">
        <v>62</v>
      </c>
      <c r="K5589" s="3" t="s">
        <v>63</v>
      </c>
      <c r="L5589" s="2" t="s">
        <v>53197</v>
      </c>
      <c r="M5589" s="2" t="s">
        <v>53198</v>
      </c>
      <c r="N5589" s="3" t="s">
        <v>866</v>
      </c>
      <c r="P5589" s="3" t="s">
        <v>64</v>
      </c>
      <c r="R5589" s="3" t="s">
        <v>52945</v>
      </c>
      <c r="S5589" s="4">
        <v>1</v>
      </c>
      <c r="T5589" s="4">
        <v>1</v>
      </c>
      <c r="U5589" s="5" t="s">
        <v>53134</v>
      </c>
      <c r="V5589" s="5" t="s">
        <v>53134</v>
      </c>
      <c r="W5589" s="5" t="s">
        <v>67</v>
      </c>
      <c r="X5589" s="5" t="s">
        <v>67</v>
      </c>
      <c r="Y5589" s="4">
        <v>206</v>
      </c>
      <c r="Z5589" s="4">
        <v>16</v>
      </c>
      <c r="AA5589" s="4">
        <v>19</v>
      </c>
      <c r="AB5589" s="4">
        <v>3</v>
      </c>
      <c r="AC5589" s="4">
        <v>5</v>
      </c>
      <c r="AD5589" s="4">
        <v>76</v>
      </c>
      <c r="AE5589" s="4">
        <v>80</v>
      </c>
      <c r="AF5589" s="4">
        <v>1</v>
      </c>
      <c r="AG5589" s="4">
        <v>3</v>
      </c>
      <c r="AH5589" s="4">
        <v>64</v>
      </c>
      <c r="AI5589" s="4">
        <v>66</v>
      </c>
      <c r="AJ5589" s="4">
        <v>13</v>
      </c>
      <c r="AK5589" s="4">
        <v>16</v>
      </c>
      <c r="AL5589" s="4">
        <v>43</v>
      </c>
      <c r="AM5589" s="4">
        <v>43</v>
      </c>
      <c r="AN5589" s="4">
        <v>0</v>
      </c>
      <c r="AO5589" s="4">
        <v>0</v>
      </c>
      <c r="AP5589" s="4">
        <v>12</v>
      </c>
      <c r="AQ5589" s="4">
        <v>14</v>
      </c>
      <c r="AR5589" s="3" t="s">
        <v>62</v>
      </c>
      <c r="AS5589" s="3" t="s">
        <v>62</v>
      </c>
      <c r="AT5589" s="3" t="s">
        <v>61</v>
      </c>
      <c r="AU5589" s="6" t="str">
        <f>HYPERLINK("http://catalog.hathitrust.org/Record/001555729","HathiTrust Record")</f>
        <v>HathiTrust Record</v>
      </c>
      <c r="AV5589" s="6" t="str">
        <f>HYPERLINK("http://mcgill.on.worldcat.org/oclc/675529","Catalog Record")</f>
        <v>Catalog Record</v>
      </c>
      <c r="AW5589" s="6" t="str">
        <f>HYPERLINK("http://www.worldcat.org/oclc/675529","WorldCat Record")</f>
        <v>WorldCat Record</v>
      </c>
      <c r="AX5589" s="3" t="s">
        <v>53199</v>
      </c>
      <c r="AY5589" s="3" t="s">
        <v>53200</v>
      </c>
      <c r="AZ5589" s="3" t="s">
        <v>53201</v>
      </c>
      <c r="BA5589" s="3" t="s">
        <v>53201</v>
      </c>
      <c r="BB5589" s="3" t="s">
        <v>53202</v>
      </c>
      <c r="BC5589" s="3" t="s">
        <v>102</v>
      </c>
      <c r="BD5589" s="3" t="s">
        <v>68</v>
      </c>
      <c r="BE5589" s="3" t="s">
        <v>53203</v>
      </c>
      <c r="BF5589" s="3" t="s">
        <v>53202</v>
      </c>
      <c r="BG5589" s="3" t="s">
        <v>53204</v>
      </c>
    </row>
    <row r="5590" spans="1:59" ht="58" x14ac:dyDescent="0.35">
      <c r="A5590" s="2" t="s">
        <v>59</v>
      </c>
      <c r="B5590" s="2" t="s">
        <v>60</v>
      </c>
      <c r="C5590" s="2" t="s">
        <v>53205</v>
      </c>
      <c r="D5590" s="2" t="s">
        <v>53206</v>
      </c>
      <c r="E5590" s="2" t="s">
        <v>53207</v>
      </c>
      <c r="G5590" s="3" t="s">
        <v>62</v>
      </c>
      <c r="I5590" s="3" t="s">
        <v>61</v>
      </c>
      <c r="J5590" s="3" t="s">
        <v>62</v>
      </c>
      <c r="K5590" s="3" t="s">
        <v>63</v>
      </c>
      <c r="L5590" s="2" t="s">
        <v>53208</v>
      </c>
      <c r="M5590" s="2" t="s">
        <v>53209</v>
      </c>
      <c r="N5590" s="3" t="s">
        <v>930</v>
      </c>
      <c r="P5590" s="3" t="s">
        <v>64</v>
      </c>
      <c r="R5590" s="3" t="s">
        <v>52945</v>
      </c>
      <c r="S5590" s="4">
        <v>2</v>
      </c>
      <c r="T5590" s="4">
        <v>6</v>
      </c>
      <c r="U5590" s="5" t="s">
        <v>14875</v>
      </c>
      <c r="V5590" s="5" t="s">
        <v>9232</v>
      </c>
      <c r="W5590" s="5" t="s">
        <v>67</v>
      </c>
      <c r="X5590" s="5" t="s">
        <v>67</v>
      </c>
      <c r="Y5590" s="4">
        <v>164</v>
      </c>
      <c r="Z5590" s="4">
        <v>10</v>
      </c>
      <c r="AA5590" s="4">
        <v>11</v>
      </c>
      <c r="AB5590" s="4">
        <v>2</v>
      </c>
      <c r="AC5590" s="4">
        <v>3</v>
      </c>
      <c r="AD5590" s="4">
        <v>44</v>
      </c>
      <c r="AE5590" s="4">
        <v>45</v>
      </c>
      <c r="AF5590" s="4">
        <v>0</v>
      </c>
      <c r="AG5590" s="4">
        <v>0</v>
      </c>
      <c r="AH5590" s="4">
        <v>38</v>
      </c>
      <c r="AI5590" s="4">
        <v>39</v>
      </c>
      <c r="AJ5590" s="4">
        <v>7</v>
      </c>
      <c r="AK5590" s="4">
        <v>7</v>
      </c>
      <c r="AL5590" s="4">
        <v>24</v>
      </c>
      <c r="AM5590" s="4">
        <v>24</v>
      </c>
      <c r="AN5590" s="4">
        <v>0</v>
      </c>
      <c r="AO5590" s="4">
        <v>0</v>
      </c>
      <c r="AP5590" s="4">
        <v>5</v>
      </c>
      <c r="AQ5590" s="4">
        <v>5</v>
      </c>
      <c r="AR5590" s="3" t="s">
        <v>62</v>
      </c>
      <c r="AS5590" s="3" t="s">
        <v>61</v>
      </c>
      <c r="AT5590" s="3" t="s">
        <v>62</v>
      </c>
      <c r="AU5590" s="6" t="str">
        <f>HYPERLINK("http://catalog.hathitrust.org/Record/001572907","HathiTrust Record")</f>
        <v>HathiTrust Record</v>
      </c>
      <c r="AV5590" s="6" t="str">
        <f>HYPERLINK("http://mcgill.on.worldcat.org/oclc/1495972","Catalog Record")</f>
        <v>Catalog Record</v>
      </c>
      <c r="AW5590" s="6" t="str">
        <f>HYPERLINK("http://www.worldcat.org/oclc/1495972","WorldCat Record")</f>
        <v>WorldCat Record</v>
      </c>
      <c r="AX5590" s="3" t="s">
        <v>53210</v>
      </c>
      <c r="AY5590" s="3" t="s">
        <v>53211</v>
      </c>
      <c r="AZ5590" s="3" t="s">
        <v>53212</v>
      </c>
      <c r="BA5590" s="3" t="s">
        <v>53212</v>
      </c>
      <c r="BB5590" s="3" t="s">
        <v>53213</v>
      </c>
      <c r="BC5590" s="3" t="s">
        <v>102</v>
      </c>
      <c r="BD5590" s="3" t="s">
        <v>68</v>
      </c>
      <c r="BF5590" s="3" t="s">
        <v>53213</v>
      </c>
      <c r="BG5590" s="3" t="s">
        <v>53214</v>
      </c>
    </row>
    <row r="5591" spans="1:59" ht="58" x14ac:dyDescent="0.35">
      <c r="A5591" s="2" t="s">
        <v>59</v>
      </c>
      <c r="B5591" s="2" t="s">
        <v>60</v>
      </c>
      <c r="C5591" s="2" t="s">
        <v>53215</v>
      </c>
      <c r="D5591" s="2" t="s">
        <v>53216</v>
      </c>
      <c r="E5591" s="2" t="s">
        <v>53217</v>
      </c>
      <c r="G5591" s="3" t="s">
        <v>62</v>
      </c>
      <c r="I5591" s="3" t="s">
        <v>62</v>
      </c>
      <c r="J5591" s="3" t="s">
        <v>62</v>
      </c>
      <c r="K5591" s="3" t="s">
        <v>63</v>
      </c>
      <c r="L5591" s="2" t="s">
        <v>53218</v>
      </c>
      <c r="M5591" s="2" t="s">
        <v>53219</v>
      </c>
      <c r="N5591" s="3" t="s">
        <v>2924</v>
      </c>
      <c r="P5591" s="3" t="s">
        <v>64</v>
      </c>
      <c r="R5591" s="3" t="s">
        <v>52945</v>
      </c>
      <c r="S5591" s="4">
        <v>8</v>
      </c>
      <c r="T5591" s="4">
        <v>8</v>
      </c>
      <c r="U5591" s="5" t="s">
        <v>53134</v>
      </c>
      <c r="V5591" s="5" t="s">
        <v>53134</v>
      </c>
      <c r="W5591" s="5" t="s">
        <v>67</v>
      </c>
      <c r="X5591" s="5" t="s">
        <v>67</v>
      </c>
      <c r="Y5591" s="4">
        <v>254</v>
      </c>
      <c r="Z5591" s="4">
        <v>13</v>
      </c>
      <c r="AA5591" s="4">
        <v>17</v>
      </c>
      <c r="AB5591" s="4">
        <v>3</v>
      </c>
      <c r="AC5591" s="4">
        <v>6</v>
      </c>
      <c r="AD5591" s="4">
        <v>79</v>
      </c>
      <c r="AE5591" s="4">
        <v>83</v>
      </c>
      <c r="AF5591" s="4">
        <v>1</v>
      </c>
      <c r="AG5591" s="4">
        <v>4</v>
      </c>
      <c r="AH5591" s="4">
        <v>75</v>
      </c>
      <c r="AI5591" s="4">
        <v>76</v>
      </c>
      <c r="AJ5591" s="4">
        <v>10</v>
      </c>
      <c r="AK5591" s="4">
        <v>13</v>
      </c>
      <c r="AL5591" s="4">
        <v>40</v>
      </c>
      <c r="AM5591" s="4">
        <v>40</v>
      </c>
      <c r="AN5591" s="4">
        <v>0</v>
      </c>
      <c r="AO5591" s="4">
        <v>0</v>
      </c>
      <c r="AP5591" s="4">
        <v>9</v>
      </c>
      <c r="AQ5591" s="4">
        <v>12</v>
      </c>
      <c r="AR5591" s="3" t="s">
        <v>62</v>
      </c>
      <c r="AS5591" s="3" t="s">
        <v>62</v>
      </c>
      <c r="AT5591" s="3" t="s">
        <v>61</v>
      </c>
      <c r="AU5591" s="6" t="str">
        <f>HYPERLINK("http://catalog.hathitrust.org/Record/001573210","HathiTrust Record")</f>
        <v>HathiTrust Record</v>
      </c>
      <c r="AV5591" s="6" t="str">
        <f>HYPERLINK("http://mcgill.on.worldcat.org/oclc/1264773","Catalog Record")</f>
        <v>Catalog Record</v>
      </c>
      <c r="AW5591" s="6" t="str">
        <f>HYPERLINK("http://www.worldcat.org/oclc/1264773","WorldCat Record")</f>
        <v>WorldCat Record</v>
      </c>
      <c r="AX5591" s="3" t="s">
        <v>53220</v>
      </c>
      <c r="AY5591" s="3" t="s">
        <v>53221</v>
      </c>
      <c r="AZ5591" s="3" t="s">
        <v>53222</v>
      </c>
      <c r="BA5591" s="3" t="s">
        <v>53222</v>
      </c>
      <c r="BB5591" s="3" t="s">
        <v>53223</v>
      </c>
      <c r="BC5591" s="3" t="s">
        <v>102</v>
      </c>
      <c r="BD5591" s="3" t="s">
        <v>68</v>
      </c>
      <c r="BF5591" s="3" t="s">
        <v>53223</v>
      </c>
      <c r="BG5591" s="3" t="s">
        <v>53224</v>
      </c>
    </row>
    <row r="5592" spans="1:59" ht="58" x14ac:dyDescent="0.35">
      <c r="A5592" s="2" t="s">
        <v>59</v>
      </c>
      <c r="B5592" s="2" t="s">
        <v>60</v>
      </c>
      <c r="C5592" s="2" t="s">
        <v>53225</v>
      </c>
      <c r="D5592" s="2" t="s">
        <v>53226</v>
      </c>
      <c r="E5592" s="2" t="s">
        <v>53227</v>
      </c>
      <c r="F5592" s="3" t="s">
        <v>53228</v>
      </c>
      <c r="G5592" s="3" t="s">
        <v>61</v>
      </c>
      <c r="I5592" s="3" t="s">
        <v>62</v>
      </c>
      <c r="J5592" s="3" t="s">
        <v>62</v>
      </c>
      <c r="K5592" s="3" t="s">
        <v>63</v>
      </c>
      <c r="M5592" s="2" t="s">
        <v>53229</v>
      </c>
      <c r="N5592" s="3" t="s">
        <v>7359</v>
      </c>
      <c r="P5592" s="3" t="s">
        <v>64</v>
      </c>
      <c r="R5592" s="3" t="s">
        <v>52945</v>
      </c>
      <c r="S5592" s="4">
        <v>1</v>
      </c>
      <c r="T5592" s="4">
        <v>38</v>
      </c>
      <c r="U5592" s="5" t="s">
        <v>8699</v>
      </c>
      <c r="V5592" s="5" t="s">
        <v>8699</v>
      </c>
      <c r="W5592" s="5" t="s">
        <v>67</v>
      </c>
      <c r="X5592" s="5" t="s">
        <v>67</v>
      </c>
      <c r="Y5592" s="4">
        <v>120</v>
      </c>
      <c r="Z5592" s="4">
        <v>17</v>
      </c>
      <c r="AA5592" s="4">
        <v>24</v>
      </c>
      <c r="AB5592" s="4">
        <v>2</v>
      </c>
      <c r="AC5592" s="4">
        <v>8</v>
      </c>
      <c r="AD5592" s="4">
        <v>24</v>
      </c>
      <c r="AE5592" s="4">
        <v>29</v>
      </c>
      <c r="AF5592" s="4">
        <v>0</v>
      </c>
      <c r="AG5592" s="4">
        <v>3</v>
      </c>
      <c r="AH5592" s="4">
        <v>14</v>
      </c>
      <c r="AI5592" s="4">
        <v>15</v>
      </c>
      <c r="AJ5592" s="4">
        <v>7</v>
      </c>
      <c r="AK5592" s="4">
        <v>11</v>
      </c>
      <c r="AL5592" s="4">
        <v>11</v>
      </c>
      <c r="AM5592" s="4">
        <v>11</v>
      </c>
      <c r="AN5592" s="4">
        <v>0</v>
      </c>
      <c r="AO5592" s="4">
        <v>0</v>
      </c>
      <c r="AP5592" s="4">
        <v>10</v>
      </c>
      <c r="AQ5592" s="4">
        <v>13</v>
      </c>
      <c r="AR5592" s="3" t="s">
        <v>62</v>
      </c>
      <c r="AS5592" s="3" t="s">
        <v>62</v>
      </c>
      <c r="AT5592" s="3" t="s">
        <v>61</v>
      </c>
      <c r="AU5592" s="6" t="str">
        <f t="shared" ref="AU5592:AU5637" si="91">HYPERLINK("http://catalog.hathitrust.org/Record/009143598","HathiTrust Record")</f>
        <v>HathiTrust Record</v>
      </c>
      <c r="AV5592" s="6" t="str">
        <f t="shared" ref="AV5592:AV5637" si="92">HYPERLINK("http://mcgill.on.worldcat.org/oclc/219796213","Catalog Record")</f>
        <v>Catalog Record</v>
      </c>
      <c r="AW5592" s="6" t="str">
        <f t="shared" ref="AW5592:AW5637" si="93">HYPERLINK("http://www.worldcat.org/oclc/219796213","WorldCat Record")</f>
        <v>WorldCat Record</v>
      </c>
      <c r="AX5592" s="3" t="s">
        <v>53230</v>
      </c>
      <c r="AY5592" s="3" t="s">
        <v>53231</v>
      </c>
      <c r="AZ5592" s="3" t="s">
        <v>53232</v>
      </c>
      <c r="BA5592" s="3" t="s">
        <v>53232</v>
      </c>
      <c r="BB5592" s="3" t="s">
        <v>53233</v>
      </c>
      <c r="BC5592" s="3" t="s">
        <v>102</v>
      </c>
      <c r="BD5592" s="3" t="s">
        <v>68</v>
      </c>
      <c r="BE5592" s="3" t="s">
        <v>53234</v>
      </c>
      <c r="BF5592" s="3" t="s">
        <v>53233</v>
      </c>
      <c r="BG5592" s="3" t="s">
        <v>53235</v>
      </c>
    </row>
    <row r="5593" spans="1:59" ht="58" x14ac:dyDescent="0.35">
      <c r="A5593" s="2" t="s">
        <v>59</v>
      </c>
      <c r="B5593" s="2" t="s">
        <v>60</v>
      </c>
      <c r="C5593" s="2" t="s">
        <v>53225</v>
      </c>
      <c r="D5593" s="2" t="s">
        <v>53226</v>
      </c>
      <c r="E5593" s="2" t="s">
        <v>53227</v>
      </c>
      <c r="F5593" s="3" t="s">
        <v>53236</v>
      </c>
      <c r="G5593" s="3" t="s">
        <v>61</v>
      </c>
      <c r="I5593" s="3" t="s">
        <v>62</v>
      </c>
      <c r="J5593" s="3" t="s">
        <v>62</v>
      </c>
      <c r="K5593" s="3" t="s">
        <v>63</v>
      </c>
      <c r="M5593" s="2" t="s">
        <v>53229</v>
      </c>
      <c r="N5593" s="3" t="s">
        <v>7359</v>
      </c>
      <c r="P5593" s="3" t="s">
        <v>64</v>
      </c>
      <c r="R5593" s="3" t="s">
        <v>52945</v>
      </c>
      <c r="S5593" s="4">
        <v>1</v>
      </c>
      <c r="T5593" s="4">
        <v>38</v>
      </c>
      <c r="U5593" s="5" t="s">
        <v>8699</v>
      </c>
      <c r="V5593" s="5" t="s">
        <v>8699</v>
      </c>
      <c r="W5593" s="5" t="s">
        <v>67</v>
      </c>
      <c r="X5593" s="5" t="s">
        <v>67</v>
      </c>
      <c r="Y5593" s="4">
        <v>120</v>
      </c>
      <c r="Z5593" s="4">
        <v>17</v>
      </c>
      <c r="AA5593" s="4">
        <v>24</v>
      </c>
      <c r="AB5593" s="4">
        <v>2</v>
      </c>
      <c r="AC5593" s="4">
        <v>8</v>
      </c>
      <c r="AD5593" s="4">
        <v>24</v>
      </c>
      <c r="AE5593" s="4">
        <v>29</v>
      </c>
      <c r="AF5593" s="4">
        <v>0</v>
      </c>
      <c r="AG5593" s="4">
        <v>3</v>
      </c>
      <c r="AH5593" s="4">
        <v>14</v>
      </c>
      <c r="AI5593" s="4">
        <v>15</v>
      </c>
      <c r="AJ5593" s="4">
        <v>7</v>
      </c>
      <c r="AK5593" s="4">
        <v>11</v>
      </c>
      <c r="AL5593" s="4">
        <v>11</v>
      </c>
      <c r="AM5593" s="4">
        <v>11</v>
      </c>
      <c r="AN5593" s="4">
        <v>0</v>
      </c>
      <c r="AO5593" s="4">
        <v>0</v>
      </c>
      <c r="AP5593" s="4">
        <v>10</v>
      </c>
      <c r="AQ5593" s="4">
        <v>13</v>
      </c>
      <c r="AR5593" s="3" t="s">
        <v>62</v>
      </c>
      <c r="AS5593" s="3" t="s">
        <v>62</v>
      </c>
      <c r="AT5593" s="3" t="s">
        <v>61</v>
      </c>
      <c r="AU5593" s="6" t="str">
        <f t="shared" si="91"/>
        <v>HathiTrust Record</v>
      </c>
      <c r="AV5593" s="6" t="str">
        <f t="shared" si="92"/>
        <v>Catalog Record</v>
      </c>
      <c r="AW5593" s="6" t="str">
        <f t="shared" si="93"/>
        <v>WorldCat Record</v>
      </c>
      <c r="AX5593" s="3" t="s">
        <v>53230</v>
      </c>
      <c r="AY5593" s="3" t="s">
        <v>53231</v>
      </c>
      <c r="AZ5593" s="3" t="s">
        <v>53232</v>
      </c>
      <c r="BA5593" s="3" t="s">
        <v>53232</v>
      </c>
      <c r="BB5593" s="3" t="s">
        <v>53237</v>
      </c>
      <c r="BC5593" s="3" t="s">
        <v>102</v>
      </c>
      <c r="BD5593" s="3" t="s">
        <v>68</v>
      </c>
      <c r="BE5593" s="3" t="s">
        <v>53234</v>
      </c>
      <c r="BF5593" s="3" t="s">
        <v>53237</v>
      </c>
      <c r="BG5593" s="3" t="s">
        <v>53238</v>
      </c>
    </row>
    <row r="5594" spans="1:59" ht="58" x14ac:dyDescent="0.35">
      <c r="A5594" s="2" t="s">
        <v>59</v>
      </c>
      <c r="B5594" s="2" t="s">
        <v>60</v>
      </c>
      <c r="C5594" s="2" t="s">
        <v>53225</v>
      </c>
      <c r="D5594" s="2" t="s">
        <v>53226</v>
      </c>
      <c r="E5594" s="2" t="s">
        <v>53227</v>
      </c>
      <c r="F5594" s="3" t="s">
        <v>53239</v>
      </c>
      <c r="G5594" s="3" t="s">
        <v>61</v>
      </c>
      <c r="I5594" s="3" t="s">
        <v>62</v>
      </c>
      <c r="J5594" s="3" t="s">
        <v>62</v>
      </c>
      <c r="K5594" s="3" t="s">
        <v>63</v>
      </c>
      <c r="M5594" s="2" t="s">
        <v>53229</v>
      </c>
      <c r="N5594" s="3" t="s">
        <v>7359</v>
      </c>
      <c r="P5594" s="3" t="s">
        <v>64</v>
      </c>
      <c r="R5594" s="3" t="s">
        <v>52945</v>
      </c>
      <c r="S5594" s="4">
        <v>1</v>
      </c>
      <c r="T5594" s="4">
        <v>38</v>
      </c>
      <c r="U5594" s="5" t="s">
        <v>8699</v>
      </c>
      <c r="V5594" s="5" t="s">
        <v>8699</v>
      </c>
      <c r="W5594" s="5" t="s">
        <v>67</v>
      </c>
      <c r="X5594" s="5" t="s">
        <v>67</v>
      </c>
      <c r="Y5594" s="4">
        <v>120</v>
      </c>
      <c r="Z5594" s="4">
        <v>17</v>
      </c>
      <c r="AA5594" s="4">
        <v>24</v>
      </c>
      <c r="AB5594" s="4">
        <v>2</v>
      </c>
      <c r="AC5594" s="4">
        <v>8</v>
      </c>
      <c r="AD5594" s="4">
        <v>24</v>
      </c>
      <c r="AE5594" s="4">
        <v>29</v>
      </c>
      <c r="AF5594" s="4">
        <v>0</v>
      </c>
      <c r="AG5594" s="4">
        <v>3</v>
      </c>
      <c r="AH5594" s="4">
        <v>14</v>
      </c>
      <c r="AI5594" s="4">
        <v>15</v>
      </c>
      <c r="AJ5594" s="4">
        <v>7</v>
      </c>
      <c r="AK5594" s="4">
        <v>11</v>
      </c>
      <c r="AL5594" s="4">
        <v>11</v>
      </c>
      <c r="AM5594" s="4">
        <v>11</v>
      </c>
      <c r="AN5594" s="4">
        <v>0</v>
      </c>
      <c r="AO5594" s="4">
        <v>0</v>
      </c>
      <c r="AP5594" s="4">
        <v>10</v>
      </c>
      <c r="AQ5594" s="4">
        <v>13</v>
      </c>
      <c r="AR5594" s="3" t="s">
        <v>62</v>
      </c>
      <c r="AS5594" s="3" t="s">
        <v>62</v>
      </c>
      <c r="AT5594" s="3" t="s">
        <v>61</v>
      </c>
      <c r="AU5594" s="6" t="str">
        <f t="shared" si="91"/>
        <v>HathiTrust Record</v>
      </c>
      <c r="AV5594" s="6" t="str">
        <f t="shared" si="92"/>
        <v>Catalog Record</v>
      </c>
      <c r="AW5594" s="6" t="str">
        <f t="shared" si="93"/>
        <v>WorldCat Record</v>
      </c>
      <c r="AX5594" s="3" t="s">
        <v>53230</v>
      </c>
      <c r="AY5594" s="3" t="s">
        <v>53231</v>
      </c>
      <c r="AZ5594" s="3" t="s">
        <v>53232</v>
      </c>
      <c r="BA5594" s="3" t="s">
        <v>53232</v>
      </c>
      <c r="BB5594" s="3" t="s">
        <v>53240</v>
      </c>
      <c r="BC5594" s="3" t="s">
        <v>102</v>
      </c>
      <c r="BD5594" s="3" t="s">
        <v>68</v>
      </c>
      <c r="BE5594" s="3" t="s">
        <v>53234</v>
      </c>
      <c r="BF5594" s="3" t="s">
        <v>53240</v>
      </c>
      <c r="BG5594" s="3" t="s">
        <v>53241</v>
      </c>
    </row>
    <row r="5595" spans="1:59" ht="58" x14ac:dyDescent="0.35">
      <c r="A5595" s="2" t="s">
        <v>59</v>
      </c>
      <c r="B5595" s="2" t="s">
        <v>60</v>
      </c>
      <c r="C5595" s="2" t="s">
        <v>53225</v>
      </c>
      <c r="D5595" s="2" t="s">
        <v>53226</v>
      </c>
      <c r="E5595" s="2" t="s">
        <v>53227</v>
      </c>
      <c r="F5595" s="3" t="s">
        <v>53242</v>
      </c>
      <c r="G5595" s="3" t="s">
        <v>61</v>
      </c>
      <c r="I5595" s="3" t="s">
        <v>62</v>
      </c>
      <c r="J5595" s="3" t="s">
        <v>62</v>
      </c>
      <c r="K5595" s="3" t="s">
        <v>63</v>
      </c>
      <c r="M5595" s="2" t="s">
        <v>53229</v>
      </c>
      <c r="N5595" s="3" t="s">
        <v>7359</v>
      </c>
      <c r="P5595" s="3" t="s">
        <v>64</v>
      </c>
      <c r="R5595" s="3" t="s">
        <v>52945</v>
      </c>
      <c r="S5595" s="4">
        <v>0</v>
      </c>
      <c r="T5595" s="4">
        <v>38</v>
      </c>
      <c r="V5595" s="5" t="s">
        <v>8699</v>
      </c>
      <c r="W5595" s="5" t="s">
        <v>67</v>
      </c>
      <c r="X5595" s="5" t="s">
        <v>67</v>
      </c>
      <c r="Y5595" s="4">
        <v>120</v>
      </c>
      <c r="Z5595" s="4">
        <v>17</v>
      </c>
      <c r="AA5595" s="4">
        <v>24</v>
      </c>
      <c r="AB5595" s="4">
        <v>2</v>
      </c>
      <c r="AC5595" s="4">
        <v>8</v>
      </c>
      <c r="AD5595" s="4">
        <v>24</v>
      </c>
      <c r="AE5595" s="4">
        <v>29</v>
      </c>
      <c r="AF5595" s="4">
        <v>0</v>
      </c>
      <c r="AG5595" s="4">
        <v>3</v>
      </c>
      <c r="AH5595" s="4">
        <v>14</v>
      </c>
      <c r="AI5595" s="4">
        <v>15</v>
      </c>
      <c r="AJ5595" s="4">
        <v>7</v>
      </c>
      <c r="AK5595" s="4">
        <v>11</v>
      </c>
      <c r="AL5595" s="4">
        <v>11</v>
      </c>
      <c r="AM5595" s="4">
        <v>11</v>
      </c>
      <c r="AN5595" s="4">
        <v>0</v>
      </c>
      <c r="AO5595" s="4">
        <v>0</v>
      </c>
      <c r="AP5595" s="4">
        <v>10</v>
      </c>
      <c r="AQ5595" s="4">
        <v>13</v>
      </c>
      <c r="AR5595" s="3" t="s">
        <v>62</v>
      </c>
      <c r="AS5595" s="3" t="s">
        <v>62</v>
      </c>
      <c r="AT5595" s="3" t="s">
        <v>61</v>
      </c>
      <c r="AU5595" s="6" t="str">
        <f t="shared" si="91"/>
        <v>HathiTrust Record</v>
      </c>
      <c r="AV5595" s="6" t="str">
        <f t="shared" si="92"/>
        <v>Catalog Record</v>
      </c>
      <c r="AW5595" s="6" t="str">
        <f t="shared" si="93"/>
        <v>WorldCat Record</v>
      </c>
      <c r="AX5595" s="3" t="s">
        <v>53230</v>
      </c>
      <c r="AY5595" s="3" t="s">
        <v>53231</v>
      </c>
      <c r="AZ5595" s="3" t="s">
        <v>53232</v>
      </c>
      <c r="BA5595" s="3" t="s">
        <v>53232</v>
      </c>
      <c r="BB5595" s="3" t="s">
        <v>53243</v>
      </c>
      <c r="BC5595" s="3" t="s">
        <v>102</v>
      </c>
      <c r="BD5595" s="3" t="s">
        <v>68</v>
      </c>
      <c r="BE5595" s="3" t="s">
        <v>53234</v>
      </c>
      <c r="BF5595" s="3" t="s">
        <v>53243</v>
      </c>
      <c r="BG5595" s="3" t="s">
        <v>53244</v>
      </c>
    </row>
    <row r="5596" spans="1:59" ht="58" x14ac:dyDescent="0.35">
      <c r="A5596" s="2" t="s">
        <v>59</v>
      </c>
      <c r="B5596" s="2" t="s">
        <v>60</v>
      </c>
      <c r="C5596" s="2" t="s">
        <v>53225</v>
      </c>
      <c r="D5596" s="2" t="s">
        <v>53226</v>
      </c>
      <c r="E5596" s="2" t="s">
        <v>53227</v>
      </c>
      <c r="F5596" s="3" t="s">
        <v>53245</v>
      </c>
      <c r="G5596" s="3" t="s">
        <v>61</v>
      </c>
      <c r="I5596" s="3" t="s">
        <v>62</v>
      </c>
      <c r="J5596" s="3" t="s">
        <v>62</v>
      </c>
      <c r="K5596" s="3" t="s">
        <v>63</v>
      </c>
      <c r="M5596" s="2" t="s">
        <v>53229</v>
      </c>
      <c r="N5596" s="3" t="s">
        <v>7359</v>
      </c>
      <c r="P5596" s="3" t="s">
        <v>64</v>
      </c>
      <c r="R5596" s="3" t="s">
        <v>52945</v>
      </c>
      <c r="S5596" s="4">
        <v>0</v>
      </c>
      <c r="T5596" s="4">
        <v>38</v>
      </c>
      <c r="V5596" s="5" t="s">
        <v>8699</v>
      </c>
      <c r="W5596" s="5" t="s">
        <v>67</v>
      </c>
      <c r="X5596" s="5" t="s">
        <v>67</v>
      </c>
      <c r="Y5596" s="4">
        <v>120</v>
      </c>
      <c r="Z5596" s="4">
        <v>17</v>
      </c>
      <c r="AA5596" s="4">
        <v>24</v>
      </c>
      <c r="AB5596" s="4">
        <v>2</v>
      </c>
      <c r="AC5596" s="4">
        <v>8</v>
      </c>
      <c r="AD5596" s="4">
        <v>24</v>
      </c>
      <c r="AE5596" s="4">
        <v>29</v>
      </c>
      <c r="AF5596" s="4">
        <v>0</v>
      </c>
      <c r="AG5596" s="4">
        <v>3</v>
      </c>
      <c r="AH5596" s="4">
        <v>14</v>
      </c>
      <c r="AI5596" s="4">
        <v>15</v>
      </c>
      <c r="AJ5596" s="4">
        <v>7</v>
      </c>
      <c r="AK5596" s="4">
        <v>11</v>
      </c>
      <c r="AL5596" s="4">
        <v>11</v>
      </c>
      <c r="AM5596" s="4">
        <v>11</v>
      </c>
      <c r="AN5596" s="4">
        <v>0</v>
      </c>
      <c r="AO5596" s="4">
        <v>0</v>
      </c>
      <c r="AP5596" s="4">
        <v>10</v>
      </c>
      <c r="AQ5596" s="4">
        <v>13</v>
      </c>
      <c r="AR5596" s="3" t="s">
        <v>62</v>
      </c>
      <c r="AS5596" s="3" t="s">
        <v>62</v>
      </c>
      <c r="AT5596" s="3" t="s">
        <v>61</v>
      </c>
      <c r="AU5596" s="6" t="str">
        <f t="shared" si="91"/>
        <v>HathiTrust Record</v>
      </c>
      <c r="AV5596" s="6" t="str">
        <f t="shared" si="92"/>
        <v>Catalog Record</v>
      </c>
      <c r="AW5596" s="6" t="str">
        <f t="shared" si="93"/>
        <v>WorldCat Record</v>
      </c>
      <c r="AX5596" s="3" t="s">
        <v>53230</v>
      </c>
      <c r="AY5596" s="3" t="s">
        <v>53231</v>
      </c>
      <c r="AZ5596" s="3" t="s">
        <v>53232</v>
      </c>
      <c r="BA5596" s="3" t="s">
        <v>53232</v>
      </c>
      <c r="BB5596" s="3" t="s">
        <v>53246</v>
      </c>
      <c r="BC5596" s="3" t="s">
        <v>102</v>
      </c>
      <c r="BD5596" s="3" t="s">
        <v>68</v>
      </c>
      <c r="BE5596" s="3" t="s">
        <v>53234</v>
      </c>
      <c r="BF5596" s="3" t="s">
        <v>53246</v>
      </c>
      <c r="BG5596" s="3" t="s">
        <v>53247</v>
      </c>
    </row>
    <row r="5597" spans="1:59" ht="58" x14ac:dyDescent="0.35">
      <c r="A5597" s="2" t="s">
        <v>59</v>
      </c>
      <c r="B5597" s="2" t="s">
        <v>60</v>
      </c>
      <c r="C5597" s="2" t="s">
        <v>53225</v>
      </c>
      <c r="D5597" s="2" t="s">
        <v>53226</v>
      </c>
      <c r="E5597" s="2" t="s">
        <v>53227</v>
      </c>
      <c r="F5597" s="3" t="s">
        <v>53248</v>
      </c>
      <c r="G5597" s="3" t="s">
        <v>61</v>
      </c>
      <c r="I5597" s="3" t="s">
        <v>62</v>
      </c>
      <c r="J5597" s="3" t="s">
        <v>62</v>
      </c>
      <c r="K5597" s="3" t="s">
        <v>63</v>
      </c>
      <c r="M5597" s="2" t="s">
        <v>53229</v>
      </c>
      <c r="N5597" s="3" t="s">
        <v>7359</v>
      </c>
      <c r="P5597" s="3" t="s">
        <v>64</v>
      </c>
      <c r="R5597" s="3" t="s">
        <v>52945</v>
      </c>
      <c r="S5597" s="4">
        <v>1</v>
      </c>
      <c r="T5597" s="4">
        <v>38</v>
      </c>
      <c r="U5597" s="5" t="s">
        <v>8699</v>
      </c>
      <c r="V5597" s="5" t="s">
        <v>8699</v>
      </c>
      <c r="W5597" s="5" t="s">
        <v>67</v>
      </c>
      <c r="X5597" s="5" t="s">
        <v>67</v>
      </c>
      <c r="Y5597" s="4">
        <v>120</v>
      </c>
      <c r="Z5597" s="4">
        <v>17</v>
      </c>
      <c r="AA5597" s="4">
        <v>24</v>
      </c>
      <c r="AB5597" s="4">
        <v>2</v>
      </c>
      <c r="AC5597" s="4">
        <v>8</v>
      </c>
      <c r="AD5597" s="4">
        <v>24</v>
      </c>
      <c r="AE5597" s="4">
        <v>29</v>
      </c>
      <c r="AF5597" s="4">
        <v>0</v>
      </c>
      <c r="AG5597" s="4">
        <v>3</v>
      </c>
      <c r="AH5597" s="4">
        <v>14</v>
      </c>
      <c r="AI5597" s="4">
        <v>15</v>
      </c>
      <c r="AJ5597" s="4">
        <v>7</v>
      </c>
      <c r="AK5597" s="4">
        <v>11</v>
      </c>
      <c r="AL5597" s="4">
        <v>11</v>
      </c>
      <c r="AM5597" s="4">
        <v>11</v>
      </c>
      <c r="AN5597" s="4">
        <v>0</v>
      </c>
      <c r="AO5597" s="4">
        <v>0</v>
      </c>
      <c r="AP5597" s="4">
        <v>10</v>
      </c>
      <c r="AQ5597" s="4">
        <v>13</v>
      </c>
      <c r="AR5597" s="3" t="s">
        <v>62</v>
      </c>
      <c r="AS5597" s="3" t="s">
        <v>62</v>
      </c>
      <c r="AT5597" s="3" t="s">
        <v>61</v>
      </c>
      <c r="AU5597" s="6" t="str">
        <f t="shared" si="91"/>
        <v>HathiTrust Record</v>
      </c>
      <c r="AV5597" s="6" t="str">
        <f t="shared" si="92"/>
        <v>Catalog Record</v>
      </c>
      <c r="AW5597" s="6" t="str">
        <f t="shared" si="93"/>
        <v>WorldCat Record</v>
      </c>
      <c r="AX5597" s="3" t="s">
        <v>53230</v>
      </c>
      <c r="AY5597" s="3" t="s">
        <v>53231</v>
      </c>
      <c r="AZ5597" s="3" t="s">
        <v>53232</v>
      </c>
      <c r="BA5597" s="3" t="s">
        <v>53232</v>
      </c>
      <c r="BB5597" s="3" t="s">
        <v>53249</v>
      </c>
      <c r="BC5597" s="3" t="s">
        <v>102</v>
      </c>
      <c r="BD5597" s="3" t="s">
        <v>68</v>
      </c>
      <c r="BE5597" s="3" t="s">
        <v>53234</v>
      </c>
      <c r="BF5597" s="3" t="s">
        <v>53249</v>
      </c>
      <c r="BG5597" s="3" t="s">
        <v>53250</v>
      </c>
    </row>
    <row r="5598" spans="1:59" ht="58" x14ac:dyDescent="0.35">
      <c r="A5598" s="2" t="s">
        <v>59</v>
      </c>
      <c r="B5598" s="2" t="s">
        <v>60</v>
      </c>
      <c r="C5598" s="2" t="s">
        <v>53225</v>
      </c>
      <c r="D5598" s="2" t="s">
        <v>53226</v>
      </c>
      <c r="E5598" s="2" t="s">
        <v>53227</v>
      </c>
      <c r="F5598" s="3" t="s">
        <v>53251</v>
      </c>
      <c r="G5598" s="3" t="s">
        <v>61</v>
      </c>
      <c r="I5598" s="3" t="s">
        <v>62</v>
      </c>
      <c r="J5598" s="3" t="s">
        <v>62</v>
      </c>
      <c r="K5598" s="3" t="s">
        <v>63</v>
      </c>
      <c r="M5598" s="2" t="s">
        <v>53229</v>
      </c>
      <c r="N5598" s="3" t="s">
        <v>7359</v>
      </c>
      <c r="P5598" s="3" t="s">
        <v>64</v>
      </c>
      <c r="R5598" s="3" t="s">
        <v>52945</v>
      </c>
      <c r="S5598" s="4">
        <v>1</v>
      </c>
      <c r="T5598" s="4">
        <v>38</v>
      </c>
      <c r="U5598" s="5" t="s">
        <v>8699</v>
      </c>
      <c r="V5598" s="5" t="s">
        <v>8699</v>
      </c>
      <c r="W5598" s="5" t="s">
        <v>67</v>
      </c>
      <c r="X5598" s="5" t="s">
        <v>67</v>
      </c>
      <c r="Y5598" s="4">
        <v>120</v>
      </c>
      <c r="Z5598" s="4">
        <v>17</v>
      </c>
      <c r="AA5598" s="4">
        <v>24</v>
      </c>
      <c r="AB5598" s="4">
        <v>2</v>
      </c>
      <c r="AC5598" s="4">
        <v>8</v>
      </c>
      <c r="AD5598" s="4">
        <v>24</v>
      </c>
      <c r="AE5598" s="4">
        <v>29</v>
      </c>
      <c r="AF5598" s="4">
        <v>0</v>
      </c>
      <c r="AG5598" s="4">
        <v>3</v>
      </c>
      <c r="AH5598" s="4">
        <v>14</v>
      </c>
      <c r="AI5598" s="4">
        <v>15</v>
      </c>
      <c r="AJ5598" s="4">
        <v>7</v>
      </c>
      <c r="AK5598" s="4">
        <v>11</v>
      </c>
      <c r="AL5598" s="4">
        <v>11</v>
      </c>
      <c r="AM5598" s="4">
        <v>11</v>
      </c>
      <c r="AN5598" s="4">
        <v>0</v>
      </c>
      <c r="AO5598" s="4">
        <v>0</v>
      </c>
      <c r="AP5598" s="4">
        <v>10</v>
      </c>
      <c r="AQ5598" s="4">
        <v>13</v>
      </c>
      <c r="AR5598" s="3" t="s">
        <v>62</v>
      </c>
      <c r="AS5598" s="3" t="s">
        <v>62</v>
      </c>
      <c r="AT5598" s="3" t="s">
        <v>61</v>
      </c>
      <c r="AU5598" s="6" t="str">
        <f t="shared" si="91"/>
        <v>HathiTrust Record</v>
      </c>
      <c r="AV5598" s="6" t="str">
        <f t="shared" si="92"/>
        <v>Catalog Record</v>
      </c>
      <c r="AW5598" s="6" t="str">
        <f t="shared" si="93"/>
        <v>WorldCat Record</v>
      </c>
      <c r="AX5598" s="3" t="s">
        <v>53230</v>
      </c>
      <c r="AY5598" s="3" t="s">
        <v>53231</v>
      </c>
      <c r="AZ5598" s="3" t="s">
        <v>53232</v>
      </c>
      <c r="BA5598" s="3" t="s">
        <v>53232</v>
      </c>
      <c r="BB5598" s="3" t="s">
        <v>53252</v>
      </c>
      <c r="BC5598" s="3" t="s">
        <v>102</v>
      </c>
      <c r="BD5598" s="3" t="s">
        <v>68</v>
      </c>
      <c r="BE5598" s="3" t="s">
        <v>53234</v>
      </c>
      <c r="BF5598" s="3" t="s">
        <v>53252</v>
      </c>
      <c r="BG5598" s="3" t="s">
        <v>53253</v>
      </c>
    </row>
    <row r="5599" spans="1:59" ht="58" x14ac:dyDescent="0.35">
      <c r="A5599" s="2" t="s">
        <v>59</v>
      </c>
      <c r="B5599" s="2" t="s">
        <v>60</v>
      </c>
      <c r="C5599" s="2" t="s">
        <v>53225</v>
      </c>
      <c r="D5599" s="2" t="s">
        <v>53226</v>
      </c>
      <c r="E5599" s="2" t="s">
        <v>53227</v>
      </c>
      <c r="F5599" s="3" t="s">
        <v>53254</v>
      </c>
      <c r="G5599" s="3" t="s">
        <v>61</v>
      </c>
      <c r="I5599" s="3" t="s">
        <v>62</v>
      </c>
      <c r="J5599" s="3" t="s">
        <v>62</v>
      </c>
      <c r="K5599" s="3" t="s">
        <v>63</v>
      </c>
      <c r="M5599" s="2" t="s">
        <v>53229</v>
      </c>
      <c r="N5599" s="3" t="s">
        <v>7359</v>
      </c>
      <c r="P5599" s="3" t="s">
        <v>64</v>
      </c>
      <c r="R5599" s="3" t="s">
        <v>52945</v>
      </c>
      <c r="S5599" s="4">
        <v>1</v>
      </c>
      <c r="T5599" s="4">
        <v>38</v>
      </c>
      <c r="U5599" s="5" t="s">
        <v>8699</v>
      </c>
      <c r="V5599" s="5" t="s">
        <v>8699</v>
      </c>
      <c r="W5599" s="5" t="s">
        <v>67</v>
      </c>
      <c r="X5599" s="5" t="s">
        <v>67</v>
      </c>
      <c r="Y5599" s="4">
        <v>120</v>
      </c>
      <c r="Z5599" s="4">
        <v>17</v>
      </c>
      <c r="AA5599" s="4">
        <v>24</v>
      </c>
      <c r="AB5599" s="4">
        <v>2</v>
      </c>
      <c r="AC5599" s="4">
        <v>8</v>
      </c>
      <c r="AD5599" s="4">
        <v>24</v>
      </c>
      <c r="AE5599" s="4">
        <v>29</v>
      </c>
      <c r="AF5599" s="4">
        <v>0</v>
      </c>
      <c r="AG5599" s="4">
        <v>3</v>
      </c>
      <c r="AH5599" s="4">
        <v>14</v>
      </c>
      <c r="AI5599" s="4">
        <v>15</v>
      </c>
      <c r="AJ5599" s="4">
        <v>7</v>
      </c>
      <c r="AK5599" s="4">
        <v>11</v>
      </c>
      <c r="AL5599" s="4">
        <v>11</v>
      </c>
      <c r="AM5599" s="4">
        <v>11</v>
      </c>
      <c r="AN5599" s="4">
        <v>0</v>
      </c>
      <c r="AO5599" s="4">
        <v>0</v>
      </c>
      <c r="AP5599" s="4">
        <v>10</v>
      </c>
      <c r="AQ5599" s="4">
        <v>13</v>
      </c>
      <c r="AR5599" s="3" t="s">
        <v>62</v>
      </c>
      <c r="AS5599" s="3" t="s">
        <v>62</v>
      </c>
      <c r="AT5599" s="3" t="s">
        <v>61</v>
      </c>
      <c r="AU5599" s="6" t="str">
        <f t="shared" si="91"/>
        <v>HathiTrust Record</v>
      </c>
      <c r="AV5599" s="6" t="str">
        <f t="shared" si="92"/>
        <v>Catalog Record</v>
      </c>
      <c r="AW5599" s="6" t="str">
        <f t="shared" si="93"/>
        <v>WorldCat Record</v>
      </c>
      <c r="AX5599" s="3" t="s">
        <v>53230</v>
      </c>
      <c r="AY5599" s="3" t="s">
        <v>53231</v>
      </c>
      <c r="AZ5599" s="3" t="s">
        <v>53232</v>
      </c>
      <c r="BA5599" s="3" t="s">
        <v>53232</v>
      </c>
      <c r="BB5599" s="3" t="s">
        <v>53255</v>
      </c>
      <c r="BC5599" s="3" t="s">
        <v>102</v>
      </c>
      <c r="BD5599" s="3" t="s">
        <v>68</v>
      </c>
      <c r="BE5599" s="3" t="s">
        <v>53234</v>
      </c>
      <c r="BF5599" s="3" t="s">
        <v>53255</v>
      </c>
      <c r="BG5599" s="3" t="s">
        <v>53256</v>
      </c>
    </row>
    <row r="5600" spans="1:59" ht="58" x14ac:dyDescent="0.35">
      <c r="A5600" s="2" t="s">
        <v>59</v>
      </c>
      <c r="B5600" s="2" t="s">
        <v>60</v>
      </c>
      <c r="C5600" s="2" t="s">
        <v>53225</v>
      </c>
      <c r="D5600" s="2" t="s">
        <v>53226</v>
      </c>
      <c r="E5600" s="2" t="s">
        <v>53227</v>
      </c>
      <c r="F5600" s="3" t="s">
        <v>53257</v>
      </c>
      <c r="G5600" s="3" t="s">
        <v>61</v>
      </c>
      <c r="I5600" s="3" t="s">
        <v>62</v>
      </c>
      <c r="J5600" s="3" t="s">
        <v>62</v>
      </c>
      <c r="K5600" s="3" t="s">
        <v>63</v>
      </c>
      <c r="M5600" s="2" t="s">
        <v>53229</v>
      </c>
      <c r="N5600" s="3" t="s">
        <v>7359</v>
      </c>
      <c r="P5600" s="3" t="s">
        <v>64</v>
      </c>
      <c r="R5600" s="3" t="s">
        <v>52945</v>
      </c>
      <c r="S5600" s="4">
        <v>1</v>
      </c>
      <c r="T5600" s="4">
        <v>38</v>
      </c>
      <c r="U5600" s="5" t="s">
        <v>8699</v>
      </c>
      <c r="V5600" s="5" t="s">
        <v>8699</v>
      </c>
      <c r="W5600" s="5" t="s">
        <v>67</v>
      </c>
      <c r="X5600" s="5" t="s">
        <v>67</v>
      </c>
      <c r="Y5600" s="4">
        <v>120</v>
      </c>
      <c r="Z5600" s="4">
        <v>17</v>
      </c>
      <c r="AA5600" s="4">
        <v>24</v>
      </c>
      <c r="AB5600" s="4">
        <v>2</v>
      </c>
      <c r="AC5600" s="4">
        <v>8</v>
      </c>
      <c r="AD5600" s="4">
        <v>24</v>
      </c>
      <c r="AE5600" s="4">
        <v>29</v>
      </c>
      <c r="AF5600" s="4">
        <v>0</v>
      </c>
      <c r="AG5600" s="4">
        <v>3</v>
      </c>
      <c r="AH5600" s="4">
        <v>14</v>
      </c>
      <c r="AI5600" s="4">
        <v>15</v>
      </c>
      <c r="AJ5600" s="4">
        <v>7</v>
      </c>
      <c r="AK5600" s="4">
        <v>11</v>
      </c>
      <c r="AL5600" s="4">
        <v>11</v>
      </c>
      <c r="AM5600" s="4">
        <v>11</v>
      </c>
      <c r="AN5600" s="4">
        <v>0</v>
      </c>
      <c r="AO5600" s="4">
        <v>0</v>
      </c>
      <c r="AP5600" s="4">
        <v>10</v>
      </c>
      <c r="AQ5600" s="4">
        <v>13</v>
      </c>
      <c r="AR5600" s="3" t="s">
        <v>62</v>
      </c>
      <c r="AS5600" s="3" t="s">
        <v>62</v>
      </c>
      <c r="AT5600" s="3" t="s">
        <v>61</v>
      </c>
      <c r="AU5600" s="6" t="str">
        <f t="shared" si="91"/>
        <v>HathiTrust Record</v>
      </c>
      <c r="AV5600" s="6" t="str">
        <f t="shared" si="92"/>
        <v>Catalog Record</v>
      </c>
      <c r="AW5600" s="6" t="str">
        <f t="shared" si="93"/>
        <v>WorldCat Record</v>
      </c>
      <c r="AX5600" s="3" t="s">
        <v>53230</v>
      </c>
      <c r="AY5600" s="3" t="s">
        <v>53231</v>
      </c>
      <c r="AZ5600" s="3" t="s">
        <v>53232</v>
      </c>
      <c r="BA5600" s="3" t="s">
        <v>53232</v>
      </c>
      <c r="BB5600" s="3" t="s">
        <v>53258</v>
      </c>
      <c r="BC5600" s="3" t="s">
        <v>102</v>
      </c>
      <c r="BD5600" s="3" t="s">
        <v>68</v>
      </c>
      <c r="BE5600" s="3" t="s">
        <v>53234</v>
      </c>
      <c r="BF5600" s="3" t="s">
        <v>53258</v>
      </c>
      <c r="BG5600" s="3" t="s">
        <v>53259</v>
      </c>
    </row>
    <row r="5601" spans="1:59" ht="58" x14ac:dyDescent="0.35">
      <c r="A5601" s="2" t="s">
        <v>59</v>
      </c>
      <c r="B5601" s="2" t="s">
        <v>60</v>
      </c>
      <c r="C5601" s="2" t="s">
        <v>53225</v>
      </c>
      <c r="D5601" s="2" t="s">
        <v>53226</v>
      </c>
      <c r="E5601" s="2" t="s">
        <v>53227</v>
      </c>
      <c r="F5601" s="3" t="s">
        <v>32976</v>
      </c>
      <c r="G5601" s="3" t="s">
        <v>61</v>
      </c>
      <c r="I5601" s="3" t="s">
        <v>62</v>
      </c>
      <c r="J5601" s="3" t="s">
        <v>62</v>
      </c>
      <c r="K5601" s="3" t="s">
        <v>63</v>
      </c>
      <c r="M5601" s="2" t="s">
        <v>53229</v>
      </c>
      <c r="N5601" s="3" t="s">
        <v>7359</v>
      </c>
      <c r="P5601" s="3" t="s">
        <v>64</v>
      </c>
      <c r="R5601" s="3" t="s">
        <v>52945</v>
      </c>
      <c r="S5601" s="4">
        <v>0</v>
      </c>
      <c r="T5601" s="4">
        <v>38</v>
      </c>
      <c r="V5601" s="5" t="s">
        <v>8699</v>
      </c>
      <c r="W5601" s="5" t="s">
        <v>67</v>
      </c>
      <c r="X5601" s="5" t="s">
        <v>67</v>
      </c>
      <c r="Y5601" s="4">
        <v>120</v>
      </c>
      <c r="Z5601" s="4">
        <v>17</v>
      </c>
      <c r="AA5601" s="4">
        <v>24</v>
      </c>
      <c r="AB5601" s="4">
        <v>2</v>
      </c>
      <c r="AC5601" s="4">
        <v>8</v>
      </c>
      <c r="AD5601" s="4">
        <v>24</v>
      </c>
      <c r="AE5601" s="4">
        <v>29</v>
      </c>
      <c r="AF5601" s="4">
        <v>0</v>
      </c>
      <c r="AG5601" s="4">
        <v>3</v>
      </c>
      <c r="AH5601" s="4">
        <v>14</v>
      </c>
      <c r="AI5601" s="4">
        <v>15</v>
      </c>
      <c r="AJ5601" s="4">
        <v>7</v>
      </c>
      <c r="AK5601" s="4">
        <v>11</v>
      </c>
      <c r="AL5601" s="4">
        <v>11</v>
      </c>
      <c r="AM5601" s="4">
        <v>11</v>
      </c>
      <c r="AN5601" s="4">
        <v>0</v>
      </c>
      <c r="AO5601" s="4">
        <v>0</v>
      </c>
      <c r="AP5601" s="4">
        <v>10</v>
      </c>
      <c r="AQ5601" s="4">
        <v>13</v>
      </c>
      <c r="AR5601" s="3" t="s">
        <v>62</v>
      </c>
      <c r="AS5601" s="3" t="s">
        <v>62</v>
      </c>
      <c r="AT5601" s="3" t="s">
        <v>61</v>
      </c>
      <c r="AU5601" s="6" t="str">
        <f t="shared" si="91"/>
        <v>HathiTrust Record</v>
      </c>
      <c r="AV5601" s="6" t="str">
        <f t="shared" si="92"/>
        <v>Catalog Record</v>
      </c>
      <c r="AW5601" s="6" t="str">
        <f t="shared" si="93"/>
        <v>WorldCat Record</v>
      </c>
      <c r="AX5601" s="3" t="s">
        <v>53230</v>
      </c>
      <c r="AY5601" s="3" t="s">
        <v>53231</v>
      </c>
      <c r="AZ5601" s="3" t="s">
        <v>53232</v>
      </c>
      <c r="BA5601" s="3" t="s">
        <v>53232</v>
      </c>
      <c r="BB5601" s="3" t="s">
        <v>53260</v>
      </c>
      <c r="BC5601" s="3" t="s">
        <v>102</v>
      </c>
      <c r="BD5601" s="3" t="s">
        <v>68</v>
      </c>
      <c r="BE5601" s="3" t="s">
        <v>53234</v>
      </c>
      <c r="BF5601" s="3" t="s">
        <v>53260</v>
      </c>
      <c r="BG5601" s="3" t="s">
        <v>53261</v>
      </c>
    </row>
    <row r="5602" spans="1:59" ht="58" x14ac:dyDescent="0.35">
      <c r="A5602" s="2" t="s">
        <v>59</v>
      </c>
      <c r="B5602" s="2" t="s">
        <v>60</v>
      </c>
      <c r="C5602" s="2" t="s">
        <v>53225</v>
      </c>
      <c r="D5602" s="2" t="s">
        <v>53226</v>
      </c>
      <c r="E5602" s="2" t="s">
        <v>53227</v>
      </c>
      <c r="F5602" s="3" t="s">
        <v>53262</v>
      </c>
      <c r="G5602" s="3" t="s">
        <v>61</v>
      </c>
      <c r="I5602" s="3" t="s">
        <v>62</v>
      </c>
      <c r="J5602" s="3" t="s">
        <v>62</v>
      </c>
      <c r="K5602" s="3" t="s">
        <v>63</v>
      </c>
      <c r="M5602" s="2" t="s">
        <v>53229</v>
      </c>
      <c r="N5602" s="3" t="s">
        <v>7359</v>
      </c>
      <c r="P5602" s="3" t="s">
        <v>64</v>
      </c>
      <c r="R5602" s="3" t="s">
        <v>52945</v>
      </c>
      <c r="S5602" s="4">
        <v>1</v>
      </c>
      <c r="T5602" s="4">
        <v>38</v>
      </c>
      <c r="U5602" s="5" t="s">
        <v>8699</v>
      </c>
      <c r="V5602" s="5" t="s">
        <v>8699</v>
      </c>
      <c r="W5602" s="5" t="s">
        <v>67</v>
      </c>
      <c r="X5602" s="5" t="s">
        <v>67</v>
      </c>
      <c r="Y5602" s="4">
        <v>120</v>
      </c>
      <c r="Z5602" s="4">
        <v>17</v>
      </c>
      <c r="AA5602" s="4">
        <v>24</v>
      </c>
      <c r="AB5602" s="4">
        <v>2</v>
      </c>
      <c r="AC5602" s="4">
        <v>8</v>
      </c>
      <c r="AD5602" s="4">
        <v>24</v>
      </c>
      <c r="AE5602" s="4">
        <v>29</v>
      </c>
      <c r="AF5602" s="4">
        <v>0</v>
      </c>
      <c r="AG5602" s="4">
        <v>3</v>
      </c>
      <c r="AH5602" s="4">
        <v>14</v>
      </c>
      <c r="AI5602" s="4">
        <v>15</v>
      </c>
      <c r="AJ5602" s="4">
        <v>7</v>
      </c>
      <c r="AK5602" s="4">
        <v>11</v>
      </c>
      <c r="AL5602" s="4">
        <v>11</v>
      </c>
      <c r="AM5602" s="4">
        <v>11</v>
      </c>
      <c r="AN5602" s="4">
        <v>0</v>
      </c>
      <c r="AO5602" s="4">
        <v>0</v>
      </c>
      <c r="AP5602" s="4">
        <v>10</v>
      </c>
      <c r="AQ5602" s="4">
        <v>13</v>
      </c>
      <c r="AR5602" s="3" t="s">
        <v>62</v>
      </c>
      <c r="AS5602" s="3" t="s">
        <v>62</v>
      </c>
      <c r="AT5602" s="3" t="s">
        <v>61</v>
      </c>
      <c r="AU5602" s="6" t="str">
        <f t="shared" si="91"/>
        <v>HathiTrust Record</v>
      </c>
      <c r="AV5602" s="6" t="str">
        <f t="shared" si="92"/>
        <v>Catalog Record</v>
      </c>
      <c r="AW5602" s="6" t="str">
        <f t="shared" si="93"/>
        <v>WorldCat Record</v>
      </c>
      <c r="AX5602" s="3" t="s">
        <v>53230</v>
      </c>
      <c r="AY5602" s="3" t="s">
        <v>53231</v>
      </c>
      <c r="AZ5602" s="3" t="s">
        <v>53232</v>
      </c>
      <c r="BA5602" s="3" t="s">
        <v>53232</v>
      </c>
      <c r="BB5602" s="3" t="s">
        <v>53263</v>
      </c>
      <c r="BC5602" s="3" t="s">
        <v>102</v>
      </c>
      <c r="BD5602" s="3" t="s">
        <v>68</v>
      </c>
      <c r="BE5602" s="3" t="s">
        <v>53234</v>
      </c>
      <c r="BF5602" s="3" t="s">
        <v>53263</v>
      </c>
      <c r="BG5602" s="3" t="s">
        <v>53264</v>
      </c>
    </row>
    <row r="5603" spans="1:59" ht="58" x14ac:dyDescent="0.35">
      <c r="A5603" s="2" t="s">
        <v>59</v>
      </c>
      <c r="B5603" s="2" t="s">
        <v>60</v>
      </c>
      <c r="C5603" s="2" t="s">
        <v>53225</v>
      </c>
      <c r="D5603" s="2" t="s">
        <v>53226</v>
      </c>
      <c r="E5603" s="2" t="s">
        <v>53227</v>
      </c>
      <c r="F5603" s="3" t="s">
        <v>53265</v>
      </c>
      <c r="G5603" s="3" t="s">
        <v>61</v>
      </c>
      <c r="I5603" s="3" t="s">
        <v>62</v>
      </c>
      <c r="J5603" s="3" t="s">
        <v>62</v>
      </c>
      <c r="K5603" s="3" t="s">
        <v>63</v>
      </c>
      <c r="M5603" s="2" t="s">
        <v>53229</v>
      </c>
      <c r="N5603" s="3" t="s">
        <v>7359</v>
      </c>
      <c r="P5603" s="3" t="s">
        <v>64</v>
      </c>
      <c r="R5603" s="3" t="s">
        <v>52945</v>
      </c>
      <c r="S5603" s="4">
        <v>1</v>
      </c>
      <c r="T5603" s="4">
        <v>38</v>
      </c>
      <c r="U5603" s="5" t="s">
        <v>8699</v>
      </c>
      <c r="V5603" s="5" t="s">
        <v>8699</v>
      </c>
      <c r="W5603" s="5" t="s">
        <v>67</v>
      </c>
      <c r="X5603" s="5" t="s">
        <v>67</v>
      </c>
      <c r="Y5603" s="4">
        <v>120</v>
      </c>
      <c r="Z5603" s="4">
        <v>17</v>
      </c>
      <c r="AA5603" s="4">
        <v>24</v>
      </c>
      <c r="AB5603" s="4">
        <v>2</v>
      </c>
      <c r="AC5603" s="4">
        <v>8</v>
      </c>
      <c r="AD5603" s="4">
        <v>24</v>
      </c>
      <c r="AE5603" s="4">
        <v>29</v>
      </c>
      <c r="AF5603" s="4">
        <v>0</v>
      </c>
      <c r="AG5603" s="4">
        <v>3</v>
      </c>
      <c r="AH5603" s="4">
        <v>14</v>
      </c>
      <c r="AI5603" s="4">
        <v>15</v>
      </c>
      <c r="AJ5603" s="4">
        <v>7</v>
      </c>
      <c r="AK5603" s="4">
        <v>11</v>
      </c>
      <c r="AL5603" s="4">
        <v>11</v>
      </c>
      <c r="AM5603" s="4">
        <v>11</v>
      </c>
      <c r="AN5603" s="4">
        <v>0</v>
      </c>
      <c r="AO5603" s="4">
        <v>0</v>
      </c>
      <c r="AP5603" s="4">
        <v>10</v>
      </c>
      <c r="AQ5603" s="4">
        <v>13</v>
      </c>
      <c r="AR5603" s="3" t="s">
        <v>62</v>
      </c>
      <c r="AS5603" s="3" t="s">
        <v>62</v>
      </c>
      <c r="AT5603" s="3" t="s">
        <v>61</v>
      </c>
      <c r="AU5603" s="6" t="str">
        <f t="shared" si="91"/>
        <v>HathiTrust Record</v>
      </c>
      <c r="AV5603" s="6" t="str">
        <f t="shared" si="92"/>
        <v>Catalog Record</v>
      </c>
      <c r="AW5603" s="6" t="str">
        <f t="shared" si="93"/>
        <v>WorldCat Record</v>
      </c>
      <c r="AX5603" s="3" t="s">
        <v>53230</v>
      </c>
      <c r="AY5603" s="3" t="s">
        <v>53231</v>
      </c>
      <c r="AZ5603" s="3" t="s">
        <v>53232</v>
      </c>
      <c r="BA5603" s="3" t="s">
        <v>53232</v>
      </c>
      <c r="BB5603" s="3" t="s">
        <v>53266</v>
      </c>
      <c r="BC5603" s="3" t="s">
        <v>102</v>
      </c>
      <c r="BD5603" s="3" t="s">
        <v>68</v>
      </c>
      <c r="BE5603" s="3" t="s">
        <v>53234</v>
      </c>
      <c r="BF5603" s="3" t="s">
        <v>53266</v>
      </c>
      <c r="BG5603" s="3" t="s">
        <v>53267</v>
      </c>
    </row>
    <row r="5604" spans="1:59" ht="58" x14ac:dyDescent="0.35">
      <c r="A5604" s="2" t="s">
        <v>59</v>
      </c>
      <c r="B5604" s="2" t="s">
        <v>60</v>
      </c>
      <c r="C5604" s="2" t="s">
        <v>53225</v>
      </c>
      <c r="D5604" s="2" t="s">
        <v>53226</v>
      </c>
      <c r="E5604" s="2" t="s">
        <v>53227</v>
      </c>
      <c r="F5604" s="3" t="s">
        <v>32975</v>
      </c>
      <c r="G5604" s="3" t="s">
        <v>61</v>
      </c>
      <c r="I5604" s="3" t="s">
        <v>62</v>
      </c>
      <c r="J5604" s="3" t="s">
        <v>62</v>
      </c>
      <c r="K5604" s="3" t="s">
        <v>63</v>
      </c>
      <c r="M5604" s="2" t="s">
        <v>53229</v>
      </c>
      <c r="N5604" s="3" t="s">
        <v>7359</v>
      </c>
      <c r="P5604" s="3" t="s">
        <v>64</v>
      </c>
      <c r="R5604" s="3" t="s">
        <v>52945</v>
      </c>
      <c r="S5604" s="4">
        <v>0</v>
      </c>
      <c r="T5604" s="4">
        <v>38</v>
      </c>
      <c r="V5604" s="5" t="s">
        <v>8699</v>
      </c>
      <c r="W5604" s="5" t="s">
        <v>67</v>
      </c>
      <c r="X5604" s="5" t="s">
        <v>67</v>
      </c>
      <c r="Y5604" s="4">
        <v>120</v>
      </c>
      <c r="Z5604" s="4">
        <v>17</v>
      </c>
      <c r="AA5604" s="4">
        <v>24</v>
      </c>
      <c r="AB5604" s="4">
        <v>2</v>
      </c>
      <c r="AC5604" s="4">
        <v>8</v>
      </c>
      <c r="AD5604" s="4">
        <v>24</v>
      </c>
      <c r="AE5604" s="4">
        <v>29</v>
      </c>
      <c r="AF5604" s="4">
        <v>0</v>
      </c>
      <c r="AG5604" s="4">
        <v>3</v>
      </c>
      <c r="AH5604" s="4">
        <v>14</v>
      </c>
      <c r="AI5604" s="4">
        <v>15</v>
      </c>
      <c r="AJ5604" s="4">
        <v>7</v>
      </c>
      <c r="AK5604" s="4">
        <v>11</v>
      </c>
      <c r="AL5604" s="4">
        <v>11</v>
      </c>
      <c r="AM5604" s="4">
        <v>11</v>
      </c>
      <c r="AN5604" s="4">
        <v>0</v>
      </c>
      <c r="AO5604" s="4">
        <v>0</v>
      </c>
      <c r="AP5604" s="4">
        <v>10</v>
      </c>
      <c r="AQ5604" s="4">
        <v>13</v>
      </c>
      <c r="AR5604" s="3" t="s">
        <v>62</v>
      </c>
      <c r="AS5604" s="3" t="s">
        <v>62</v>
      </c>
      <c r="AT5604" s="3" t="s">
        <v>61</v>
      </c>
      <c r="AU5604" s="6" t="str">
        <f t="shared" si="91"/>
        <v>HathiTrust Record</v>
      </c>
      <c r="AV5604" s="6" t="str">
        <f t="shared" si="92"/>
        <v>Catalog Record</v>
      </c>
      <c r="AW5604" s="6" t="str">
        <f t="shared" si="93"/>
        <v>WorldCat Record</v>
      </c>
      <c r="AX5604" s="3" t="s">
        <v>53230</v>
      </c>
      <c r="AY5604" s="3" t="s">
        <v>53231</v>
      </c>
      <c r="AZ5604" s="3" t="s">
        <v>53232</v>
      </c>
      <c r="BA5604" s="3" t="s">
        <v>53232</v>
      </c>
      <c r="BB5604" s="3" t="s">
        <v>53268</v>
      </c>
      <c r="BC5604" s="3" t="s">
        <v>102</v>
      </c>
      <c r="BD5604" s="3" t="s">
        <v>68</v>
      </c>
      <c r="BE5604" s="3" t="s">
        <v>53234</v>
      </c>
      <c r="BF5604" s="3" t="s">
        <v>53268</v>
      </c>
      <c r="BG5604" s="3" t="s">
        <v>53269</v>
      </c>
    </row>
    <row r="5605" spans="1:59" ht="58" x14ac:dyDescent="0.35">
      <c r="A5605" s="2" t="s">
        <v>59</v>
      </c>
      <c r="B5605" s="2" t="s">
        <v>60</v>
      </c>
      <c r="C5605" s="2" t="s">
        <v>53225</v>
      </c>
      <c r="D5605" s="2" t="s">
        <v>53226</v>
      </c>
      <c r="E5605" s="2" t="s">
        <v>53227</v>
      </c>
      <c r="F5605" s="3" t="s">
        <v>53270</v>
      </c>
      <c r="G5605" s="3" t="s">
        <v>61</v>
      </c>
      <c r="I5605" s="3" t="s">
        <v>62</v>
      </c>
      <c r="J5605" s="3" t="s">
        <v>62</v>
      </c>
      <c r="K5605" s="3" t="s">
        <v>63</v>
      </c>
      <c r="M5605" s="2" t="s">
        <v>53229</v>
      </c>
      <c r="N5605" s="3" t="s">
        <v>7359</v>
      </c>
      <c r="P5605" s="3" t="s">
        <v>64</v>
      </c>
      <c r="R5605" s="3" t="s">
        <v>52945</v>
      </c>
      <c r="S5605" s="4">
        <v>1</v>
      </c>
      <c r="T5605" s="4">
        <v>38</v>
      </c>
      <c r="U5605" s="5" t="s">
        <v>8699</v>
      </c>
      <c r="V5605" s="5" t="s">
        <v>8699</v>
      </c>
      <c r="W5605" s="5" t="s">
        <v>67</v>
      </c>
      <c r="X5605" s="5" t="s">
        <v>67</v>
      </c>
      <c r="Y5605" s="4">
        <v>120</v>
      </c>
      <c r="Z5605" s="4">
        <v>17</v>
      </c>
      <c r="AA5605" s="4">
        <v>24</v>
      </c>
      <c r="AB5605" s="4">
        <v>2</v>
      </c>
      <c r="AC5605" s="4">
        <v>8</v>
      </c>
      <c r="AD5605" s="4">
        <v>24</v>
      </c>
      <c r="AE5605" s="4">
        <v>29</v>
      </c>
      <c r="AF5605" s="4">
        <v>0</v>
      </c>
      <c r="AG5605" s="4">
        <v>3</v>
      </c>
      <c r="AH5605" s="4">
        <v>14</v>
      </c>
      <c r="AI5605" s="4">
        <v>15</v>
      </c>
      <c r="AJ5605" s="4">
        <v>7</v>
      </c>
      <c r="AK5605" s="4">
        <v>11</v>
      </c>
      <c r="AL5605" s="4">
        <v>11</v>
      </c>
      <c r="AM5605" s="4">
        <v>11</v>
      </c>
      <c r="AN5605" s="4">
        <v>0</v>
      </c>
      <c r="AO5605" s="4">
        <v>0</v>
      </c>
      <c r="AP5605" s="4">
        <v>10</v>
      </c>
      <c r="AQ5605" s="4">
        <v>13</v>
      </c>
      <c r="AR5605" s="3" t="s">
        <v>62</v>
      </c>
      <c r="AS5605" s="3" t="s">
        <v>62</v>
      </c>
      <c r="AT5605" s="3" t="s">
        <v>61</v>
      </c>
      <c r="AU5605" s="6" t="str">
        <f t="shared" si="91"/>
        <v>HathiTrust Record</v>
      </c>
      <c r="AV5605" s="6" t="str">
        <f t="shared" si="92"/>
        <v>Catalog Record</v>
      </c>
      <c r="AW5605" s="6" t="str">
        <f t="shared" si="93"/>
        <v>WorldCat Record</v>
      </c>
      <c r="AX5605" s="3" t="s">
        <v>53230</v>
      </c>
      <c r="AY5605" s="3" t="s">
        <v>53231</v>
      </c>
      <c r="AZ5605" s="3" t="s">
        <v>53232</v>
      </c>
      <c r="BA5605" s="3" t="s">
        <v>53232</v>
      </c>
      <c r="BB5605" s="3" t="s">
        <v>53271</v>
      </c>
      <c r="BC5605" s="3" t="s">
        <v>102</v>
      </c>
      <c r="BD5605" s="3" t="s">
        <v>68</v>
      </c>
      <c r="BE5605" s="3" t="s">
        <v>53234</v>
      </c>
      <c r="BF5605" s="3" t="s">
        <v>53271</v>
      </c>
      <c r="BG5605" s="3" t="s">
        <v>53272</v>
      </c>
    </row>
    <row r="5606" spans="1:59" ht="58" x14ac:dyDescent="0.35">
      <c r="A5606" s="2" t="s">
        <v>59</v>
      </c>
      <c r="B5606" s="2" t="s">
        <v>60</v>
      </c>
      <c r="C5606" s="2" t="s">
        <v>53225</v>
      </c>
      <c r="D5606" s="2" t="s">
        <v>53226</v>
      </c>
      <c r="E5606" s="2" t="s">
        <v>53227</v>
      </c>
      <c r="F5606" s="3" t="s">
        <v>53273</v>
      </c>
      <c r="G5606" s="3" t="s">
        <v>61</v>
      </c>
      <c r="I5606" s="3" t="s">
        <v>62</v>
      </c>
      <c r="J5606" s="3" t="s">
        <v>62</v>
      </c>
      <c r="K5606" s="3" t="s">
        <v>63</v>
      </c>
      <c r="M5606" s="2" t="s">
        <v>53229</v>
      </c>
      <c r="N5606" s="3" t="s">
        <v>7359</v>
      </c>
      <c r="P5606" s="3" t="s">
        <v>64</v>
      </c>
      <c r="R5606" s="3" t="s">
        <v>52945</v>
      </c>
      <c r="S5606" s="4">
        <v>1</v>
      </c>
      <c r="T5606" s="4">
        <v>38</v>
      </c>
      <c r="U5606" s="5" t="s">
        <v>8699</v>
      </c>
      <c r="V5606" s="5" t="s">
        <v>8699</v>
      </c>
      <c r="W5606" s="5" t="s">
        <v>67</v>
      </c>
      <c r="X5606" s="5" t="s">
        <v>67</v>
      </c>
      <c r="Y5606" s="4">
        <v>120</v>
      </c>
      <c r="Z5606" s="4">
        <v>17</v>
      </c>
      <c r="AA5606" s="4">
        <v>24</v>
      </c>
      <c r="AB5606" s="4">
        <v>2</v>
      </c>
      <c r="AC5606" s="4">
        <v>8</v>
      </c>
      <c r="AD5606" s="4">
        <v>24</v>
      </c>
      <c r="AE5606" s="4">
        <v>29</v>
      </c>
      <c r="AF5606" s="4">
        <v>0</v>
      </c>
      <c r="AG5606" s="4">
        <v>3</v>
      </c>
      <c r="AH5606" s="4">
        <v>14</v>
      </c>
      <c r="AI5606" s="4">
        <v>15</v>
      </c>
      <c r="AJ5606" s="4">
        <v>7</v>
      </c>
      <c r="AK5606" s="4">
        <v>11</v>
      </c>
      <c r="AL5606" s="4">
        <v>11</v>
      </c>
      <c r="AM5606" s="4">
        <v>11</v>
      </c>
      <c r="AN5606" s="4">
        <v>0</v>
      </c>
      <c r="AO5606" s="4">
        <v>0</v>
      </c>
      <c r="AP5606" s="4">
        <v>10</v>
      </c>
      <c r="AQ5606" s="4">
        <v>13</v>
      </c>
      <c r="AR5606" s="3" t="s">
        <v>62</v>
      </c>
      <c r="AS5606" s="3" t="s">
        <v>62</v>
      </c>
      <c r="AT5606" s="3" t="s">
        <v>61</v>
      </c>
      <c r="AU5606" s="6" t="str">
        <f t="shared" si="91"/>
        <v>HathiTrust Record</v>
      </c>
      <c r="AV5606" s="6" t="str">
        <f t="shared" si="92"/>
        <v>Catalog Record</v>
      </c>
      <c r="AW5606" s="6" t="str">
        <f t="shared" si="93"/>
        <v>WorldCat Record</v>
      </c>
      <c r="AX5606" s="3" t="s">
        <v>53230</v>
      </c>
      <c r="AY5606" s="3" t="s">
        <v>53231</v>
      </c>
      <c r="AZ5606" s="3" t="s">
        <v>53232</v>
      </c>
      <c r="BA5606" s="3" t="s">
        <v>53232</v>
      </c>
      <c r="BB5606" s="3" t="s">
        <v>53274</v>
      </c>
      <c r="BC5606" s="3" t="s">
        <v>102</v>
      </c>
      <c r="BD5606" s="3" t="s">
        <v>68</v>
      </c>
      <c r="BE5606" s="3" t="s">
        <v>53234</v>
      </c>
      <c r="BF5606" s="3" t="s">
        <v>53274</v>
      </c>
      <c r="BG5606" s="3" t="s">
        <v>53275</v>
      </c>
    </row>
    <row r="5607" spans="1:59" ht="58" x14ac:dyDescent="0.35">
      <c r="A5607" s="2" t="s">
        <v>59</v>
      </c>
      <c r="B5607" s="2" t="s">
        <v>60</v>
      </c>
      <c r="C5607" s="2" t="s">
        <v>53225</v>
      </c>
      <c r="D5607" s="2" t="s">
        <v>53226</v>
      </c>
      <c r="E5607" s="2" t="s">
        <v>53227</v>
      </c>
      <c r="F5607" s="3" t="s">
        <v>53276</v>
      </c>
      <c r="G5607" s="3" t="s">
        <v>61</v>
      </c>
      <c r="I5607" s="3" t="s">
        <v>62</v>
      </c>
      <c r="J5607" s="3" t="s">
        <v>62</v>
      </c>
      <c r="K5607" s="3" t="s">
        <v>63</v>
      </c>
      <c r="M5607" s="2" t="s">
        <v>53229</v>
      </c>
      <c r="N5607" s="3" t="s">
        <v>7359</v>
      </c>
      <c r="P5607" s="3" t="s">
        <v>64</v>
      </c>
      <c r="R5607" s="3" t="s">
        <v>52945</v>
      </c>
      <c r="S5607" s="4">
        <v>0</v>
      </c>
      <c r="T5607" s="4">
        <v>38</v>
      </c>
      <c r="V5607" s="5" t="s">
        <v>8699</v>
      </c>
      <c r="W5607" s="5" t="s">
        <v>67</v>
      </c>
      <c r="X5607" s="5" t="s">
        <v>67</v>
      </c>
      <c r="Y5607" s="4">
        <v>120</v>
      </c>
      <c r="Z5607" s="4">
        <v>17</v>
      </c>
      <c r="AA5607" s="4">
        <v>24</v>
      </c>
      <c r="AB5607" s="4">
        <v>2</v>
      </c>
      <c r="AC5607" s="4">
        <v>8</v>
      </c>
      <c r="AD5607" s="4">
        <v>24</v>
      </c>
      <c r="AE5607" s="4">
        <v>29</v>
      </c>
      <c r="AF5607" s="4">
        <v>0</v>
      </c>
      <c r="AG5607" s="4">
        <v>3</v>
      </c>
      <c r="AH5607" s="4">
        <v>14</v>
      </c>
      <c r="AI5607" s="4">
        <v>15</v>
      </c>
      <c r="AJ5607" s="4">
        <v>7</v>
      </c>
      <c r="AK5607" s="4">
        <v>11</v>
      </c>
      <c r="AL5607" s="4">
        <v>11</v>
      </c>
      <c r="AM5607" s="4">
        <v>11</v>
      </c>
      <c r="AN5607" s="4">
        <v>0</v>
      </c>
      <c r="AO5607" s="4">
        <v>0</v>
      </c>
      <c r="AP5607" s="4">
        <v>10</v>
      </c>
      <c r="AQ5607" s="4">
        <v>13</v>
      </c>
      <c r="AR5607" s="3" t="s">
        <v>62</v>
      </c>
      <c r="AS5607" s="3" t="s">
        <v>62</v>
      </c>
      <c r="AT5607" s="3" t="s">
        <v>61</v>
      </c>
      <c r="AU5607" s="6" t="str">
        <f t="shared" si="91"/>
        <v>HathiTrust Record</v>
      </c>
      <c r="AV5607" s="6" t="str">
        <f t="shared" si="92"/>
        <v>Catalog Record</v>
      </c>
      <c r="AW5607" s="6" t="str">
        <f t="shared" si="93"/>
        <v>WorldCat Record</v>
      </c>
      <c r="AX5607" s="3" t="s">
        <v>53230</v>
      </c>
      <c r="AY5607" s="3" t="s">
        <v>53231</v>
      </c>
      <c r="AZ5607" s="3" t="s">
        <v>53232</v>
      </c>
      <c r="BA5607" s="3" t="s">
        <v>53232</v>
      </c>
      <c r="BB5607" s="3" t="s">
        <v>53277</v>
      </c>
      <c r="BC5607" s="3" t="s">
        <v>102</v>
      </c>
      <c r="BD5607" s="3" t="s">
        <v>68</v>
      </c>
      <c r="BE5607" s="3" t="s">
        <v>53234</v>
      </c>
      <c r="BF5607" s="3" t="s">
        <v>53277</v>
      </c>
      <c r="BG5607" s="3" t="s">
        <v>53278</v>
      </c>
    </row>
    <row r="5608" spans="1:59" ht="58" x14ac:dyDescent="0.35">
      <c r="A5608" s="2" t="s">
        <v>59</v>
      </c>
      <c r="B5608" s="2" t="s">
        <v>60</v>
      </c>
      <c r="C5608" s="2" t="s">
        <v>53225</v>
      </c>
      <c r="D5608" s="2" t="s">
        <v>53226</v>
      </c>
      <c r="E5608" s="2" t="s">
        <v>53227</v>
      </c>
      <c r="F5608" s="3" t="s">
        <v>53279</v>
      </c>
      <c r="G5608" s="3" t="s">
        <v>61</v>
      </c>
      <c r="I5608" s="3" t="s">
        <v>62</v>
      </c>
      <c r="J5608" s="3" t="s">
        <v>62</v>
      </c>
      <c r="K5608" s="3" t="s">
        <v>63</v>
      </c>
      <c r="M5608" s="2" t="s">
        <v>53229</v>
      </c>
      <c r="N5608" s="3" t="s">
        <v>7359</v>
      </c>
      <c r="P5608" s="3" t="s">
        <v>64</v>
      </c>
      <c r="R5608" s="3" t="s">
        <v>52945</v>
      </c>
      <c r="S5608" s="4">
        <v>1</v>
      </c>
      <c r="T5608" s="4">
        <v>38</v>
      </c>
      <c r="U5608" s="5" t="s">
        <v>8699</v>
      </c>
      <c r="V5608" s="5" t="s">
        <v>8699</v>
      </c>
      <c r="W5608" s="5" t="s">
        <v>67</v>
      </c>
      <c r="X5608" s="5" t="s">
        <v>67</v>
      </c>
      <c r="Y5608" s="4">
        <v>120</v>
      </c>
      <c r="Z5608" s="4">
        <v>17</v>
      </c>
      <c r="AA5608" s="4">
        <v>24</v>
      </c>
      <c r="AB5608" s="4">
        <v>2</v>
      </c>
      <c r="AC5608" s="4">
        <v>8</v>
      </c>
      <c r="AD5608" s="4">
        <v>24</v>
      </c>
      <c r="AE5608" s="4">
        <v>29</v>
      </c>
      <c r="AF5608" s="4">
        <v>0</v>
      </c>
      <c r="AG5608" s="4">
        <v>3</v>
      </c>
      <c r="AH5608" s="4">
        <v>14</v>
      </c>
      <c r="AI5608" s="4">
        <v>15</v>
      </c>
      <c r="AJ5608" s="4">
        <v>7</v>
      </c>
      <c r="AK5608" s="4">
        <v>11</v>
      </c>
      <c r="AL5608" s="4">
        <v>11</v>
      </c>
      <c r="AM5608" s="4">
        <v>11</v>
      </c>
      <c r="AN5608" s="4">
        <v>0</v>
      </c>
      <c r="AO5608" s="4">
        <v>0</v>
      </c>
      <c r="AP5608" s="4">
        <v>10</v>
      </c>
      <c r="AQ5608" s="4">
        <v>13</v>
      </c>
      <c r="AR5608" s="3" t="s">
        <v>62</v>
      </c>
      <c r="AS5608" s="3" t="s">
        <v>62</v>
      </c>
      <c r="AT5608" s="3" t="s">
        <v>61</v>
      </c>
      <c r="AU5608" s="6" t="str">
        <f t="shared" si="91"/>
        <v>HathiTrust Record</v>
      </c>
      <c r="AV5608" s="6" t="str">
        <f t="shared" si="92"/>
        <v>Catalog Record</v>
      </c>
      <c r="AW5608" s="6" t="str">
        <f t="shared" si="93"/>
        <v>WorldCat Record</v>
      </c>
      <c r="AX5608" s="3" t="s">
        <v>53230</v>
      </c>
      <c r="AY5608" s="3" t="s">
        <v>53231</v>
      </c>
      <c r="AZ5608" s="3" t="s">
        <v>53232</v>
      </c>
      <c r="BA5608" s="3" t="s">
        <v>53232</v>
      </c>
      <c r="BB5608" s="3" t="s">
        <v>53280</v>
      </c>
      <c r="BC5608" s="3" t="s">
        <v>102</v>
      </c>
      <c r="BD5608" s="3" t="s">
        <v>68</v>
      </c>
      <c r="BE5608" s="3" t="s">
        <v>53234</v>
      </c>
      <c r="BF5608" s="3" t="s">
        <v>53280</v>
      </c>
      <c r="BG5608" s="3" t="s">
        <v>53281</v>
      </c>
    </row>
    <row r="5609" spans="1:59" ht="58" x14ac:dyDescent="0.35">
      <c r="A5609" s="2" t="s">
        <v>59</v>
      </c>
      <c r="B5609" s="2" t="s">
        <v>60</v>
      </c>
      <c r="C5609" s="2" t="s">
        <v>53225</v>
      </c>
      <c r="D5609" s="2" t="s">
        <v>53226</v>
      </c>
      <c r="E5609" s="2" t="s">
        <v>53227</v>
      </c>
      <c r="F5609" s="3" t="s">
        <v>53282</v>
      </c>
      <c r="G5609" s="3" t="s">
        <v>61</v>
      </c>
      <c r="I5609" s="3" t="s">
        <v>62</v>
      </c>
      <c r="J5609" s="3" t="s">
        <v>62</v>
      </c>
      <c r="K5609" s="3" t="s">
        <v>63</v>
      </c>
      <c r="M5609" s="2" t="s">
        <v>53229</v>
      </c>
      <c r="N5609" s="3" t="s">
        <v>7359</v>
      </c>
      <c r="P5609" s="3" t="s">
        <v>64</v>
      </c>
      <c r="R5609" s="3" t="s">
        <v>52945</v>
      </c>
      <c r="S5609" s="4">
        <v>0</v>
      </c>
      <c r="T5609" s="4">
        <v>38</v>
      </c>
      <c r="V5609" s="5" t="s">
        <v>8699</v>
      </c>
      <c r="W5609" s="5" t="s">
        <v>67</v>
      </c>
      <c r="X5609" s="5" t="s">
        <v>67</v>
      </c>
      <c r="Y5609" s="4">
        <v>120</v>
      </c>
      <c r="Z5609" s="4">
        <v>17</v>
      </c>
      <c r="AA5609" s="4">
        <v>24</v>
      </c>
      <c r="AB5609" s="4">
        <v>2</v>
      </c>
      <c r="AC5609" s="4">
        <v>8</v>
      </c>
      <c r="AD5609" s="4">
        <v>24</v>
      </c>
      <c r="AE5609" s="4">
        <v>29</v>
      </c>
      <c r="AF5609" s="4">
        <v>0</v>
      </c>
      <c r="AG5609" s="4">
        <v>3</v>
      </c>
      <c r="AH5609" s="4">
        <v>14</v>
      </c>
      <c r="AI5609" s="4">
        <v>15</v>
      </c>
      <c r="AJ5609" s="4">
        <v>7</v>
      </c>
      <c r="AK5609" s="4">
        <v>11</v>
      </c>
      <c r="AL5609" s="4">
        <v>11</v>
      </c>
      <c r="AM5609" s="4">
        <v>11</v>
      </c>
      <c r="AN5609" s="4">
        <v>0</v>
      </c>
      <c r="AO5609" s="4">
        <v>0</v>
      </c>
      <c r="AP5609" s="4">
        <v>10</v>
      </c>
      <c r="AQ5609" s="4">
        <v>13</v>
      </c>
      <c r="AR5609" s="3" t="s">
        <v>62</v>
      </c>
      <c r="AS5609" s="3" t="s">
        <v>62</v>
      </c>
      <c r="AT5609" s="3" t="s">
        <v>61</v>
      </c>
      <c r="AU5609" s="6" t="str">
        <f t="shared" si="91"/>
        <v>HathiTrust Record</v>
      </c>
      <c r="AV5609" s="6" t="str">
        <f t="shared" si="92"/>
        <v>Catalog Record</v>
      </c>
      <c r="AW5609" s="6" t="str">
        <f t="shared" si="93"/>
        <v>WorldCat Record</v>
      </c>
      <c r="AX5609" s="3" t="s">
        <v>53230</v>
      </c>
      <c r="AY5609" s="3" t="s">
        <v>53231</v>
      </c>
      <c r="AZ5609" s="3" t="s">
        <v>53232</v>
      </c>
      <c r="BA5609" s="3" t="s">
        <v>53232</v>
      </c>
      <c r="BB5609" s="3" t="s">
        <v>53283</v>
      </c>
      <c r="BC5609" s="3" t="s">
        <v>102</v>
      </c>
      <c r="BD5609" s="3" t="s">
        <v>68</v>
      </c>
      <c r="BE5609" s="3" t="s">
        <v>53234</v>
      </c>
      <c r="BF5609" s="3" t="s">
        <v>53283</v>
      </c>
      <c r="BG5609" s="3" t="s">
        <v>53284</v>
      </c>
    </row>
    <row r="5610" spans="1:59" ht="58" x14ac:dyDescent="0.35">
      <c r="A5610" s="2" t="s">
        <v>59</v>
      </c>
      <c r="B5610" s="2" t="s">
        <v>60</v>
      </c>
      <c r="C5610" s="2" t="s">
        <v>53225</v>
      </c>
      <c r="D5610" s="2" t="s">
        <v>53226</v>
      </c>
      <c r="E5610" s="2" t="s">
        <v>53227</v>
      </c>
      <c r="F5610" s="3" t="s">
        <v>53285</v>
      </c>
      <c r="G5610" s="3" t="s">
        <v>61</v>
      </c>
      <c r="I5610" s="3" t="s">
        <v>62</v>
      </c>
      <c r="J5610" s="3" t="s">
        <v>62</v>
      </c>
      <c r="K5610" s="3" t="s">
        <v>63</v>
      </c>
      <c r="M5610" s="2" t="s">
        <v>53229</v>
      </c>
      <c r="N5610" s="3" t="s">
        <v>7359</v>
      </c>
      <c r="P5610" s="3" t="s">
        <v>64</v>
      </c>
      <c r="R5610" s="3" t="s">
        <v>52945</v>
      </c>
      <c r="S5610" s="4">
        <v>1</v>
      </c>
      <c r="T5610" s="4">
        <v>38</v>
      </c>
      <c r="U5610" s="5" t="s">
        <v>8699</v>
      </c>
      <c r="V5610" s="5" t="s">
        <v>8699</v>
      </c>
      <c r="W5610" s="5" t="s">
        <v>67</v>
      </c>
      <c r="X5610" s="5" t="s">
        <v>67</v>
      </c>
      <c r="Y5610" s="4">
        <v>120</v>
      </c>
      <c r="Z5610" s="4">
        <v>17</v>
      </c>
      <c r="AA5610" s="4">
        <v>24</v>
      </c>
      <c r="AB5610" s="4">
        <v>2</v>
      </c>
      <c r="AC5610" s="4">
        <v>8</v>
      </c>
      <c r="AD5610" s="4">
        <v>24</v>
      </c>
      <c r="AE5610" s="4">
        <v>29</v>
      </c>
      <c r="AF5610" s="4">
        <v>0</v>
      </c>
      <c r="AG5610" s="4">
        <v>3</v>
      </c>
      <c r="AH5610" s="4">
        <v>14</v>
      </c>
      <c r="AI5610" s="4">
        <v>15</v>
      </c>
      <c r="AJ5610" s="4">
        <v>7</v>
      </c>
      <c r="AK5610" s="4">
        <v>11</v>
      </c>
      <c r="AL5610" s="4">
        <v>11</v>
      </c>
      <c r="AM5610" s="4">
        <v>11</v>
      </c>
      <c r="AN5610" s="4">
        <v>0</v>
      </c>
      <c r="AO5610" s="4">
        <v>0</v>
      </c>
      <c r="AP5610" s="4">
        <v>10</v>
      </c>
      <c r="AQ5610" s="4">
        <v>13</v>
      </c>
      <c r="AR5610" s="3" t="s">
        <v>62</v>
      </c>
      <c r="AS5610" s="3" t="s">
        <v>62</v>
      </c>
      <c r="AT5610" s="3" t="s">
        <v>61</v>
      </c>
      <c r="AU5610" s="6" t="str">
        <f t="shared" si="91"/>
        <v>HathiTrust Record</v>
      </c>
      <c r="AV5610" s="6" t="str">
        <f t="shared" si="92"/>
        <v>Catalog Record</v>
      </c>
      <c r="AW5610" s="6" t="str">
        <f t="shared" si="93"/>
        <v>WorldCat Record</v>
      </c>
      <c r="AX5610" s="3" t="s">
        <v>53230</v>
      </c>
      <c r="AY5610" s="3" t="s">
        <v>53231</v>
      </c>
      <c r="AZ5610" s="3" t="s">
        <v>53232</v>
      </c>
      <c r="BA5610" s="3" t="s">
        <v>53232</v>
      </c>
      <c r="BB5610" s="3" t="s">
        <v>53286</v>
      </c>
      <c r="BC5610" s="3" t="s">
        <v>102</v>
      </c>
      <c r="BD5610" s="3" t="s">
        <v>68</v>
      </c>
      <c r="BE5610" s="3" t="s">
        <v>53234</v>
      </c>
      <c r="BF5610" s="3" t="s">
        <v>53286</v>
      </c>
      <c r="BG5610" s="3" t="s">
        <v>53287</v>
      </c>
    </row>
    <row r="5611" spans="1:59" ht="58" x14ac:dyDescent="0.35">
      <c r="A5611" s="2" t="s">
        <v>59</v>
      </c>
      <c r="B5611" s="2" t="s">
        <v>60</v>
      </c>
      <c r="C5611" s="2" t="s">
        <v>53225</v>
      </c>
      <c r="D5611" s="2" t="s">
        <v>53226</v>
      </c>
      <c r="E5611" s="2" t="s">
        <v>53227</v>
      </c>
      <c r="F5611" s="3" t="s">
        <v>53288</v>
      </c>
      <c r="G5611" s="3" t="s">
        <v>61</v>
      </c>
      <c r="I5611" s="3" t="s">
        <v>62</v>
      </c>
      <c r="J5611" s="3" t="s">
        <v>62</v>
      </c>
      <c r="K5611" s="3" t="s">
        <v>63</v>
      </c>
      <c r="M5611" s="2" t="s">
        <v>53229</v>
      </c>
      <c r="N5611" s="3" t="s">
        <v>7359</v>
      </c>
      <c r="P5611" s="3" t="s">
        <v>64</v>
      </c>
      <c r="R5611" s="3" t="s">
        <v>52945</v>
      </c>
      <c r="S5611" s="4">
        <v>2</v>
      </c>
      <c r="T5611" s="4">
        <v>38</v>
      </c>
      <c r="U5611" s="5" t="s">
        <v>8699</v>
      </c>
      <c r="V5611" s="5" t="s">
        <v>8699</v>
      </c>
      <c r="W5611" s="5" t="s">
        <v>67</v>
      </c>
      <c r="X5611" s="5" t="s">
        <v>67</v>
      </c>
      <c r="Y5611" s="4">
        <v>120</v>
      </c>
      <c r="Z5611" s="4">
        <v>17</v>
      </c>
      <c r="AA5611" s="4">
        <v>24</v>
      </c>
      <c r="AB5611" s="4">
        <v>2</v>
      </c>
      <c r="AC5611" s="4">
        <v>8</v>
      </c>
      <c r="AD5611" s="4">
        <v>24</v>
      </c>
      <c r="AE5611" s="4">
        <v>29</v>
      </c>
      <c r="AF5611" s="4">
        <v>0</v>
      </c>
      <c r="AG5611" s="4">
        <v>3</v>
      </c>
      <c r="AH5611" s="4">
        <v>14</v>
      </c>
      <c r="AI5611" s="4">
        <v>15</v>
      </c>
      <c r="AJ5611" s="4">
        <v>7</v>
      </c>
      <c r="AK5611" s="4">
        <v>11</v>
      </c>
      <c r="AL5611" s="4">
        <v>11</v>
      </c>
      <c r="AM5611" s="4">
        <v>11</v>
      </c>
      <c r="AN5611" s="4">
        <v>0</v>
      </c>
      <c r="AO5611" s="4">
        <v>0</v>
      </c>
      <c r="AP5611" s="4">
        <v>10</v>
      </c>
      <c r="AQ5611" s="4">
        <v>13</v>
      </c>
      <c r="AR5611" s="3" t="s">
        <v>62</v>
      </c>
      <c r="AS5611" s="3" t="s">
        <v>62</v>
      </c>
      <c r="AT5611" s="3" t="s">
        <v>61</v>
      </c>
      <c r="AU5611" s="6" t="str">
        <f t="shared" si="91"/>
        <v>HathiTrust Record</v>
      </c>
      <c r="AV5611" s="6" t="str">
        <f t="shared" si="92"/>
        <v>Catalog Record</v>
      </c>
      <c r="AW5611" s="6" t="str">
        <f t="shared" si="93"/>
        <v>WorldCat Record</v>
      </c>
      <c r="AX5611" s="3" t="s">
        <v>53230</v>
      </c>
      <c r="AY5611" s="3" t="s">
        <v>53231</v>
      </c>
      <c r="AZ5611" s="3" t="s">
        <v>53232</v>
      </c>
      <c r="BA5611" s="3" t="s">
        <v>53232</v>
      </c>
      <c r="BB5611" s="3" t="s">
        <v>53289</v>
      </c>
      <c r="BC5611" s="3" t="s">
        <v>102</v>
      </c>
      <c r="BD5611" s="3" t="s">
        <v>68</v>
      </c>
      <c r="BE5611" s="3" t="s">
        <v>53234</v>
      </c>
      <c r="BF5611" s="3" t="s">
        <v>53289</v>
      </c>
      <c r="BG5611" s="3" t="s">
        <v>53290</v>
      </c>
    </row>
    <row r="5612" spans="1:59" ht="58" x14ac:dyDescent="0.35">
      <c r="A5612" s="2" t="s">
        <v>59</v>
      </c>
      <c r="B5612" s="2" t="s">
        <v>60</v>
      </c>
      <c r="C5612" s="2" t="s">
        <v>53225</v>
      </c>
      <c r="D5612" s="2" t="s">
        <v>53226</v>
      </c>
      <c r="E5612" s="2" t="s">
        <v>53227</v>
      </c>
      <c r="F5612" s="3" t="s">
        <v>53291</v>
      </c>
      <c r="G5612" s="3" t="s">
        <v>61</v>
      </c>
      <c r="I5612" s="3" t="s">
        <v>62</v>
      </c>
      <c r="J5612" s="3" t="s">
        <v>62</v>
      </c>
      <c r="K5612" s="3" t="s">
        <v>63</v>
      </c>
      <c r="M5612" s="2" t="s">
        <v>53229</v>
      </c>
      <c r="N5612" s="3" t="s">
        <v>7359</v>
      </c>
      <c r="P5612" s="3" t="s">
        <v>64</v>
      </c>
      <c r="R5612" s="3" t="s">
        <v>52945</v>
      </c>
      <c r="S5612" s="4">
        <v>1</v>
      </c>
      <c r="T5612" s="4">
        <v>38</v>
      </c>
      <c r="U5612" s="5" t="s">
        <v>8699</v>
      </c>
      <c r="V5612" s="5" t="s">
        <v>8699</v>
      </c>
      <c r="W5612" s="5" t="s">
        <v>67</v>
      </c>
      <c r="X5612" s="5" t="s">
        <v>67</v>
      </c>
      <c r="Y5612" s="4">
        <v>120</v>
      </c>
      <c r="Z5612" s="4">
        <v>17</v>
      </c>
      <c r="AA5612" s="4">
        <v>24</v>
      </c>
      <c r="AB5612" s="4">
        <v>2</v>
      </c>
      <c r="AC5612" s="4">
        <v>8</v>
      </c>
      <c r="AD5612" s="4">
        <v>24</v>
      </c>
      <c r="AE5612" s="4">
        <v>29</v>
      </c>
      <c r="AF5612" s="4">
        <v>0</v>
      </c>
      <c r="AG5612" s="4">
        <v>3</v>
      </c>
      <c r="AH5612" s="4">
        <v>14</v>
      </c>
      <c r="AI5612" s="4">
        <v>15</v>
      </c>
      <c r="AJ5612" s="4">
        <v>7</v>
      </c>
      <c r="AK5612" s="4">
        <v>11</v>
      </c>
      <c r="AL5612" s="4">
        <v>11</v>
      </c>
      <c r="AM5612" s="4">
        <v>11</v>
      </c>
      <c r="AN5612" s="4">
        <v>0</v>
      </c>
      <c r="AO5612" s="4">
        <v>0</v>
      </c>
      <c r="AP5612" s="4">
        <v>10</v>
      </c>
      <c r="AQ5612" s="4">
        <v>13</v>
      </c>
      <c r="AR5612" s="3" t="s">
        <v>62</v>
      </c>
      <c r="AS5612" s="3" t="s">
        <v>62</v>
      </c>
      <c r="AT5612" s="3" t="s">
        <v>61</v>
      </c>
      <c r="AU5612" s="6" t="str">
        <f t="shared" si="91"/>
        <v>HathiTrust Record</v>
      </c>
      <c r="AV5612" s="6" t="str">
        <f t="shared" si="92"/>
        <v>Catalog Record</v>
      </c>
      <c r="AW5612" s="6" t="str">
        <f t="shared" si="93"/>
        <v>WorldCat Record</v>
      </c>
      <c r="AX5612" s="3" t="s">
        <v>53230</v>
      </c>
      <c r="AY5612" s="3" t="s">
        <v>53231</v>
      </c>
      <c r="AZ5612" s="3" t="s">
        <v>53232</v>
      </c>
      <c r="BA5612" s="3" t="s">
        <v>53232</v>
      </c>
      <c r="BB5612" s="3" t="s">
        <v>53292</v>
      </c>
      <c r="BC5612" s="3" t="s">
        <v>102</v>
      </c>
      <c r="BD5612" s="3" t="s">
        <v>68</v>
      </c>
      <c r="BE5612" s="3" t="s">
        <v>53234</v>
      </c>
      <c r="BF5612" s="3" t="s">
        <v>53292</v>
      </c>
      <c r="BG5612" s="3" t="s">
        <v>53293</v>
      </c>
    </row>
    <row r="5613" spans="1:59" ht="58" x14ac:dyDescent="0.35">
      <c r="A5613" s="2" t="s">
        <v>59</v>
      </c>
      <c r="B5613" s="2" t="s">
        <v>60</v>
      </c>
      <c r="C5613" s="2" t="s">
        <v>53225</v>
      </c>
      <c r="D5613" s="2" t="s">
        <v>53226</v>
      </c>
      <c r="E5613" s="2" t="s">
        <v>53227</v>
      </c>
      <c r="F5613" s="3" t="s">
        <v>53294</v>
      </c>
      <c r="G5613" s="3" t="s">
        <v>61</v>
      </c>
      <c r="I5613" s="3" t="s">
        <v>62</v>
      </c>
      <c r="J5613" s="3" t="s">
        <v>62</v>
      </c>
      <c r="K5613" s="3" t="s">
        <v>63</v>
      </c>
      <c r="M5613" s="2" t="s">
        <v>53229</v>
      </c>
      <c r="N5613" s="3" t="s">
        <v>7359</v>
      </c>
      <c r="P5613" s="3" t="s">
        <v>64</v>
      </c>
      <c r="R5613" s="3" t="s">
        <v>52945</v>
      </c>
      <c r="S5613" s="4">
        <v>1</v>
      </c>
      <c r="T5613" s="4">
        <v>38</v>
      </c>
      <c r="U5613" s="5" t="s">
        <v>8699</v>
      </c>
      <c r="V5613" s="5" t="s">
        <v>8699</v>
      </c>
      <c r="W5613" s="5" t="s">
        <v>67</v>
      </c>
      <c r="X5613" s="5" t="s">
        <v>67</v>
      </c>
      <c r="Y5613" s="4">
        <v>120</v>
      </c>
      <c r="Z5613" s="4">
        <v>17</v>
      </c>
      <c r="AA5613" s="4">
        <v>24</v>
      </c>
      <c r="AB5613" s="4">
        <v>2</v>
      </c>
      <c r="AC5613" s="4">
        <v>8</v>
      </c>
      <c r="AD5613" s="4">
        <v>24</v>
      </c>
      <c r="AE5613" s="4">
        <v>29</v>
      </c>
      <c r="AF5613" s="4">
        <v>0</v>
      </c>
      <c r="AG5613" s="4">
        <v>3</v>
      </c>
      <c r="AH5613" s="4">
        <v>14</v>
      </c>
      <c r="AI5613" s="4">
        <v>15</v>
      </c>
      <c r="AJ5613" s="4">
        <v>7</v>
      </c>
      <c r="AK5613" s="4">
        <v>11</v>
      </c>
      <c r="AL5613" s="4">
        <v>11</v>
      </c>
      <c r="AM5613" s="4">
        <v>11</v>
      </c>
      <c r="AN5613" s="4">
        <v>0</v>
      </c>
      <c r="AO5613" s="4">
        <v>0</v>
      </c>
      <c r="AP5613" s="4">
        <v>10</v>
      </c>
      <c r="AQ5613" s="4">
        <v>13</v>
      </c>
      <c r="AR5613" s="3" t="s">
        <v>62</v>
      </c>
      <c r="AS5613" s="3" t="s">
        <v>62</v>
      </c>
      <c r="AT5613" s="3" t="s">
        <v>61</v>
      </c>
      <c r="AU5613" s="6" t="str">
        <f t="shared" si="91"/>
        <v>HathiTrust Record</v>
      </c>
      <c r="AV5613" s="6" t="str">
        <f t="shared" si="92"/>
        <v>Catalog Record</v>
      </c>
      <c r="AW5613" s="6" t="str">
        <f t="shared" si="93"/>
        <v>WorldCat Record</v>
      </c>
      <c r="AX5613" s="3" t="s">
        <v>53230</v>
      </c>
      <c r="AY5613" s="3" t="s">
        <v>53231</v>
      </c>
      <c r="AZ5613" s="3" t="s">
        <v>53232</v>
      </c>
      <c r="BA5613" s="3" t="s">
        <v>53232</v>
      </c>
      <c r="BB5613" s="3" t="s">
        <v>53295</v>
      </c>
      <c r="BC5613" s="3" t="s">
        <v>102</v>
      </c>
      <c r="BD5613" s="3" t="s">
        <v>68</v>
      </c>
      <c r="BE5613" s="3" t="s">
        <v>53234</v>
      </c>
      <c r="BF5613" s="3" t="s">
        <v>53295</v>
      </c>
      <c r="BG5613" s="3" t="s">
        <v>53296</v>
      </c>
    </row>
    <row r="5614" spans="1:59" ht="58" x14ac:dyDescent="0.35">
      <c r="A5614" s="2" t="s">
        <v>59</v>
      </c>
      <c r="B5614" s="2" t="s">
        <v>60</v>
      </c>
      <c r="C5614" s="2" t="s">
        <v>53225</v>
      </c>
      <c r="D5614" s="2" t="s">
        <v>53226</v>
      </c>
      <c r="E5614" s="2" t="s">
        <v>53227</v>
      </c>
      <c r="F5614" s="3" t="s">
        <v>53297</v>
      </c>
      <c r="G5614" s="3" t="s">
        <v>61</v>
      </c>
      <c r="I5614" s="3" t="s">
        <v>62</v>
      </c>
      <c r="J5614" s="3" t="s">
        <v>62</v>
      </c>
      <c r="K5614" s="3" t="s">
        <v>63</v>
      </c>
      <c r="M5614" s="2" t="s">
        <v>53229</v>
      </c>
      <c r="N5614" s="3" t="s">
        <v>7359</v>
      </c>
      <c r="P5614" s="3" t="s">
        <v>64</v>
      </c>
      <c r="R5614" s="3" t="s">
        <v>52945</v>
      </c>
      <c r="S5614" s="4">
        <v>1</v>
      </c>
      <c r="T5614" s="4">
        <v>38</v>
      </c>
      <c r="U5614" s="5" t="s">
        <v>8699</v>
      </c>
      <c r="V5614" s="5" t="s">
        <v>8699</v>
      </c>
      <c r="W5614" s="5" t="s">
        <v>67</v>
      </c>
      <c r="X5614" s="5" t="s">
        <v>67</v>
      </c>
      <c r="Y5614" s="4">
        <v>120</v>
      </c>
      <c r="Z5614" s="4">
        <v>17</v>
      </c>
      <c r="AA5614" s="4">
        <v>24</v>
      </c>
      <c r="AB5614" s="4">
        <v>2</v>
      </c>
      <c r="AC5614" s="4">
        <v>8</v>
      </c>
      <c r="AD5614" s="4">
        <v>24</v>
      </c>
      <c r="AE5614" s="4">
        <v>29</v>
      </c>
      <c r="AF5614" s="4">
        <v>0</v>
      </c>
      <c r="AG5614" s="4">
        <v>3</v>
      </c>
      <c r="AH5614" s="4">
        <v>14</v>
      </c>
      <c r="AI5614" s="4">
        <v>15</v>
      </c>
      <c r="AJ5614" s="4">
        <v>7</v>
      </c>
      <c r="AK5614" s="4">
        <v>11</v>
      </c>
      <c r="AL5614" s="4">
        <v>11</v>
      </c>
      <c r="AM5614" s="4">
        <v>11</v>
      </c>
      <c r="AN5614" s="4">
        <v>0</v>
      </c>
      <c r="AO5614" s="4">
        <v>0</v>
      </c>
      <c r="AP5614" s="4">
        <v>10</v>
      </c>
      <c r="AQ5614" s="4">
        <v>13</v>
      </c>
      <c r="AR5614" s="3" t="s">
        <v>62</v>
      </c>
      <c r="AS5614" s="3" t="s">
        <v>62</v>
      </c>
      <c r="AT5614" s="3" t="s">
        <v>61</v>
      </c>
      <c r="AU5614" s="6" t="str">
        <f t="shared" si="91"/>
        <v>HathiTrust Record</v>
      </c>
      <c r="AV5614" s="6" t="str">
        <f t="shared" si="92"/>
        <v>Catalog Record</v>
      </c>
      <c r="AW5614" s="6" t="str">
        <f t="shared" si="93"/>
        <v>WorldCat Record</v>
      </c>
      <c r="AX5614" s="3" t="s">
        <v>53230</v>
      </c>
      <c r="AY5614" s="3" t="s">
        <v>53231</v>
      </c>
      <c r="AZ5614" s="3" t="s">
        <v>53232</v>
      </c>
      <c r="BA5614" s="3" t="s">
        <v>53232</v>
      </c>
      <c r="BB5614" s="3" t="s">
        <v>53298</v>
      </c>
      <c r="BC5614" s="3" t="s">
        <v>102</v>
      </c>
      <c r="BD5614" s="3" t="s">
        <v>68</v>
      </c>
      <c r="BE5614" s="3" t="s">
        <v>53234</v>
      </c>
      <c r="BF5614" s="3" t="s">
        <v>53298</v>
      </c>
      <c r="BG5614" s="3" t="s">
        <v>53299</v>
      </c>
    </row>
    <row r="5615" spans="1:59" ht="58" x14ac:dyDescent="0.35">
      <c r="A5615" s="2" t="s">
        <v>59</v>
      </c>
      <c r="B5615" s="2" t="s">
        <v>60</v>
      </c>
      <c r="C5615" s="2" t="s">
        <v>53225</v>
      </c>
      <c r="D5615" s="2" t="s">
        <v>53226</v>
      </c>
      <c r="E5615" s="2" t="s">
        <v>53227</v>
      </c>
      <c r="F5615" s="3" t="s">
        <v>53300</v>
      </c>
      <c r="G5615" s="3" t="s">
        <v>61</v>
      </c>
      <c r="I5615" s="3" t="s">
        <v>62</v>
      </c>
      <c r="J5615" s="3" t="s">
        <v>62</v>
      </c>
      <c r="K5615" s="3" t="s">
        <v>63</v>
      </c>
      <c r="M5615" s="2" t="s">
        <v>53229</v>
      </c>
      <c r="N5615" s="3" t="s">
        <v>7359</v>
      </c>
      <c r="P5615" s="3" t="s">
        <v>64</v>
      </c>
      <c r="R5615" s="3" t="s">
        <v>52945</v>
      </c>
      <c r="S5615" s="4">
        <v>1</v>
      </c>
      <c r="T5615" s="4">
        <v>38</v>
      </c>
      <c r="U5615" s="5" t="s">
        <v>8699</v>
      </c>
      <c r="V5615" s="5" t="s">
        <v>8699</v>
      </c>
      <c r="W5615" s="5" t="s">
        <v>67</v>
      </c>
      <c r="X5615" s="5" t="s">
        <v>67</v>
      </c>
      <c r="Y5615" s="4">
        <v>120</v>
      </c>
      <c r="Z5615" s="4">
        <v>17</v>
      </c>
      <c r="AA5615" s="4">
        <v>24</v>
      </c>
      <c r="AB5615" s="4">
        <v>2</v>
      </c>
      <c r="AC5615" s="4">
        <v>8</v>
      </c>
      <c r="AD5615" s="4">
        <v>24</v>
      </c>
      <c r="AE5615" s="4">
        <v>29</v>
      </c>
      <c r="AF5615" s="4">
        <v>0</v>
      </c>
      <c r="AG5615" s="4">
        <v>3</v>
      </c>
      <c r="AH5615" s="4">
        <v>14</v>
      </c>
      <c r="AI5615" s="4">
        <v>15</v>
      </c>
      <c r="AJ5615" s="4">
        <v>7</v>
      </c>
      <c r="AK5615" s="4">
        <v>11</v>
      </c>
      <c r="AL5615" s="4">
        <v>11</v>
      </c>
      <c r="AM5615" s="4">
        <v>11</v>
      </c>
      <c r="AN5615" s="4">
        <v>0</v>
      </c>
      <c r="AO5615" s="4">
        <v>0</v>
      </c>
      <c r="AP5615" s="4">
        <v>10</v>
      </c>
      <c r="AQ5615" s="4">
        <v>13</v>
      </c>
      <c r="AR5615" s="3" t="s">
        <v>62</v>
      </c>
      <c r="AS5615" s="3" t="s">
        <v>62</v>
      </c>
      <c r="AT5615" s="3" t="s">
        <v>61</v>
      </c>
      <c r="AU5615" s="6" t="str">
        <f t="shared" si="91"/>
        <v>HathiTrust Record</v>
      </c>
      <c r="AV5615" s="6" t="str">
        <f t="shared" si="92"/>
        <v>Catalog Record</v>
      </c>
      <c r="AW5615" s="6" t="str">
        <f t="shared" si="93"/>
        <v>WorldCat Record</v>
      </c>
      <c r="AX5615" s="3" t="s">
        <v>53230</v>
      </c>
      <c r="AY5615" s="3" t="s">
        <v>53231</v>
      </c>
      <c r="AZ5615" s="3" t="s">
        <v>53232</v>
      </c>
      <c r="BA5615" s="3" t="s">
        <v>53232</v>
      </c>
      <c r="BB5615" s="3" t="s">
        <v>53301</v>
      </c>
      <c r="BC5615" s="3" t="s">
        <v>102</v>
      </c>
      <c r="BD5615" s="3" t="s">
        <v>68</v>
      </c>
      <c r="BE5615" s="3" t="s">
        <v>53234</v>
      </c>
      <c r="BF5615" s="3" t="s">
        <v>53301</v>
      </c>
      <c r="BG5615" s="3" t="s">
        <v>53302</v>
      </c>
    </row>
    <row r="5616" spans="1:59" ht="58" x14ac:dyDescent="0.35">
      <c r="A5616" s="2" t="s">
        <v>59</v>
      </c>
      <c r="B5616" s="2" t="s">
        <v>60</v>
      </c>
      <c r="C5616" s="2" t="s">
        <v>53225</v>
      </c>
      <c r="D5616" s="2" t="s">
        <v>53226</v>
      </c>
      <c r="E5616" s="2" t="s">
        <v>53227</v>
      </c>
      <c r="F5616" s="3" t="s">
        <v>53303</v>
      </c>
      <c r="G5616" s="3" t="s">
        <v>61</v>
      </c>
      <c r="I5616" s="3" t="s">
        <v>62</v>
      </c>
      <c r="J5616" s="3" t="s">
        <v>62</v>
      </c>
      <c r="K5616" s="3" t="s">
        <v>63</v>
      </c>
      <c r="M5616" s="2" t="s">
        <v>53229</v>
      </c>
      <c r="N5616" s="3" t="s">
        <v>7359</v>
      </c>
      <c r="P5616" s="3" t="s">
        <v>64</v>
      </c>
      <c r="R5616" s="3" t="s">
        <v>52945</v>
      </c>
      <c r="S5616" s="4">
        <v>1</v>
      </c>
      <c r="T5616" s="4">
        <v>38</v>
      </c>
      <c r="U5616" s="5" t="s">
        <v>8699</v>
      </c>
      <c r="V5616" s="5" t="s">
        <v>8699</v>
      </c>
      <c r="W5616" s="5" t="s">
        <v>67</v>
      </c>
      <c r="X5616" s="5" t="s">
        <v>67</v>
      </c>
      <c r="Y5616" s="4">
        <v>120</v>
      </c>
      <c r="Z5616" s="4">
        <v>17</v>
      </c>
      <c r="AA5616" s="4">
        <v>24</v>
      </c>
      <c r="AB5616" s="4">
        <v>2</v>
      </c>
      <c r="AC5616" s="4">
        <v>8</v>
      </c>
      <c r="AD5616" s="4">
        <v>24</v>
      </c>
      <c r="AE5616" s="4">
        <v>29</v>
      </c>
      <c r="AF5616" s="4">
        <v>0</v>
      </c>
      <c r="AG5616" s="4">
        <v>3</v>
      </c>
      <c r="AH5616" s="4">
        <v>14</v>
      </c>
      <c r="AI5616" s="4">
        <v>15</v>
      </c>
      <c r="AJ5616" s="4">
        <v>7</v>
      </c>
      <c r="AK5616" s="4">
        <v>11</v>
      </c>
      <c r="AL5616" s="4">
        <v>11</v>
      </c>
      <c r="AM5616" s="4">
        <v>11</v>
      </c>
      <c r="AN5616" s="4">
        <v>0</v>
      </c>
      <c r="AO5616" s="4">
        <v>0</v>
      </c>
      <c r="AP5616" s="4">
        <v>10</v>
      </c>
      <c r="AQ5616" s="4">
        <v>13</v>
      </c>
      <c r="AR5616" s="3" t="s">
        <v>62</v>
      </c>
      <c r="AS5616" s="3" t="s">
        <v>62</v>
      </c>
      <c r="AT5616" s="3" t="s">
        <v>61</v>
      </c>
      <c r="AU5616" s="6" t="str">
        <f t="shared" si="91"/>
        <v>HathiTrust Record</v>
      </c>
      <c r="AV5616" s="6" t="str">
        <f t="shared" si="92"/>
        <v>Catalog Record</v>
      </c>
      <c r="AW5616" s="6" t="str">
        <f t="shared" si="93"/>
        <v>WorldCat Record</v>
      </c>
      <c r="AX5616" s="3" t="s">
        <v>53230</v>
      </c>
      <c r="AY5616" s="3" t="s">
        <v>53231</v>
      </c>
      <c r="AZ5616" s="3" t="s">
        <v>53232</v>
      </c>
      <c r="BA5616" s="3" t="s">
        <v>53232</v>
      </c>
      <c r="BB5616" s="3" t="s">
        <v>53304</v>
      </c>
      <c r="BC5616" s="3" t="s">
        <v>102</v>
      </c>
      <c r="BD5616" s="3" t="s">
        <v>68</v>
      </c>
      <c r="BE5616" s="3" t="s">
        <v>53234</v>
      </c>
      <c r="BF5616" s="3" t="s">
        <v>53304</v>
      </c>
      <c r="BG5616" s="3" t="s">
        <v>53305</v>
      </c>
    </row>
    <row r="5617" spans="1:59" ht="58" x14ac:dyDescent="0.35">
      <c r="A5617" s="2" t="s">
        <v>59</v>
      </c>
      <c r="B5617" s="2" t="s">
        <v>60</v>
      </c>
      <c r="C5617" s="2" t="s">
        <v>53225</v>
      </c>
      <c r="D5617" s="2" t="s">
        <v>53226</v>
      </c>
      <c r="E5617" s="2" t="s">
        <v>53227</v>
      </c>
      <c r="F5617" s="3" t="s">
        <v>53306</v>
      </c>
      <c r="G5617" s="3" t="s">
        <v>61</v>
      </c>
      <c r="I5617" s="3" t="s">
        <v>62</v>
      </c>
      <c r="J5617" s="3" t="s">
        <v>62</v>
      </c>
      <c r="K5617" s="3" t="s">
        <v>63</v>
      </c>
      <c r="M5617" s="2" t="s">
        <v>53229</v>
      </c>
      <c r="N5617" s="3" t="s">
        <v>7359</v>
      </c>
      <c r="P5617" s="3" t="s">
        <v>64</v>
      </c>
      <c r="R5617" s="3" t="s">
        <v>52945</v>
      </c>
      <c r="S5617" s="4">
        <v>1</v>
      </c>
      <c r="T5617" s="4">
        <v>38</v>
      </c>
      <c r="U5617" s="5" t="s">
        <v>8699</v>
      </c>
      <c r="V5617" s="5" t="s">
        <v>8699</v>
      </c>
      <c r="W5617" s="5" t="s">
        <v>67</v>
      </c>
      <c r="X5617" s="5" t="s">
        <v>67</v>
      </c>
      <c r="Y5617" s="4">
        <v>120</v>
      </c>
      <c r="Z5617" s="4">
        <v>17</v>
      </c>
      <c r="AA5617" s="4">
        <v>24</v>
      </c>
      <c r="AB5617" s="4">
        <v>2</v>
      </c>
      <c r="AC5617" s="4">
        <v>8</v>
      </c>
      <c r="AD5617" s="4">
        <v>24</v>
      </c>
      <c r="AE5617" s="4">
        <v>29</v>
      </c>
      <c r="AF5617" s="4">
        <v>0</v>
      </c>
      <c r="AG5617" s="4">
        <v>3</v>
      </c>
      <c r="AH5617" s="4">
        <v>14</v>
      </c>
      <c r="AI5617" s="4">
        <v>15</v>
      </c>
      <c r="AJ5617" s="4">
        <v>7</v>
      </c>
      <c r="AK5617" s="4">
        <v>11</v>
      </c>
      <c r="AL5617" s="4">
        <v>11</v>
      </c>
      <c r="AM5617" s="4">
        <v>11</v>
      </c>
      <c r="AN5617" s="4">
        <v>0</v>
      </c>
      <c r="AO5617" s="4">
        <v>0</v>
      </c>
      <c r="AP5617" s="4">
        <v>10</v>
      </c>
      <c r="AQ5617" s="4">
        <v>13</v>
      </c>
      <c r="AR5617" s="3" t="s">
        <v>62</v>
      </c>
      <c r="AS5617" s="3" t="s">
        <v>62</v>
      </c>
      <c r="AT5617" s="3" t="s">
        <v>61</v>
      </c>
      <c r="AU5617" s="6" t="str">
        <f t="shared" si="91"/>
        <v>HathiTrust Record</v>
      </c>
      <c r="AV5617" s="6" t="str">
        <f t="shared" si="92"/>
        <v>Catalog Record</v>
      </c>
      <c r="AW5617" s="6" t="str">
        <f t="shared" si="93"/>
        <v>WorldCat Record</v>
      </c>
      <c r="AX5617" s="3" t="s">
        <v>53230</v>
      </c>
      <c r="AY5617" s="3" t="s">
        <v>53231</v>
      </c>
      <c r="AZ5617" s="3" t="s">
        <v>53232</v>
      </c>
      <c r="BA5617" s="3" t="s">
        <v>53232</v>
      </c>
      <c r="BB5617" s="3" t="s">
        <v>53307</v>
      </c>
      <c r="BC5617" s="3" t="s">
        <v>102</v>
      </c>
      <c r="BD5617" s="3" t="s">
        <v>68</v>
      </c>
      <c r="BE5617" s="3" t="s">
        <v>53234</v>
      </c>
      <c r="BF5617" s="3" t="s">
        <v>53307</v>
      </c>
      <c r="BG5617" s="3" t="s">
        <v>53308</v>
      </c>
    </row>
    <row r="5618" spans="1:59" ht="58" x14ac:dyDescent="0.35">
      <c r="A5618" s="2" t="s">
        <v>59</v>
      </c>
      <c r="B5618" s="2" t="s">
        <v>60</v>
      </c>
      <c r="C5618" s="2" t="s">
        <v>53225</v>
      </c>
      <c r="D5618" s="2" t="s">
        <v>53226</v>
      </c>
      <c r="E5618" s="2" t="s">
        <v>53227</v>
      </c>
      <c r="F5618" s="3" t="s">
        <v>53309</v>
      </c>
      <c r="G5618" s="3" t="s">
        <v>61</v>
      </c>
      <c r="I5618" s="3" t="s">
        <v>62</v>
      </c>
      <c r="J5618" s="3" t="s">
        <v>62</v>
      </c>
      <c r="K5618" s="3" t="s">
        <v>63</v>
      </c>
      <c r="M5618" s="2" t="s">
        <v>53229</v>
      </c>
      <c r="N5618" s="3" t="s">
        <v>7359</v>
      </c>
      <c r="P5618" s="3" t="s">
        <v>64</v>
      </c>
      <c r="R5618" s="3" t="s">
        <v>52945</v>
      </c>
      <c r="S5618" s="4">
        <v>1</v>
      </c>
      <c r="T5618" s="4">
        <v>38</v>
      </c>
      <c r="U5618" s="5" t="s">
        <v>8699</v>
      </c>
      <c r="V5618" s="5" t="s">
        <v>8699</v>
      </c>
      <c r="W5618" s="5" t="s">
        <v>67</v>
      </c>
      <c r="X5618" s="5" t="s">
        <v>67</v>
      </c>
      <c r="Y5618" s="4">
        <v>120</v>
      </c>
      <c r="Z5618" s="4">
        <v>17</v>
      </c>
      <c r="AA5618" s="4">
        <v>24</v>
      </c>
      <c r="AB5618" s="4">
        <v>2</v>
      </c>
      <c r="AC5618" s="4">
        <v>8</v>
      </c>
      <c r="AD5618" s="4">
        <v>24</v>
      </c>
      <c r="AE5618" s="4">
        <v>29</v>
      </c>
      <c r="AF5618" s="4">
        <v>0</v>
      </c>
      <c r="AG5618" s="4">
        <v>3</v>
      </c>
      <c r="AH5618" s="4">
        <v>14</v>
      </c>
      <c r="AI5618" s="4">
        <v>15</v>
      </c>
      <c r="AJ5618" s="4">
        <v>7</v>
      </c>
      <c r="AK5618" s="4">
        <v>11</v>
      </c>
      <c r="AL5618" s="4">
        <v>11</v>
      </c>
      <c r="AM5618" s="4">
        <v>11</v>
      </c>
      <c r="AN5618" s="4">
        <v>0</v>
      </c>
      <c r="AO5618" s="4">
        <v>0</v>
      </c>
      <c r="AP5618" s="4">
        <v>10</v>
      </c>
      <c r="AQ5618" s="4">
        <v>13</v>
      </c>
      <c r="AR5618" s="3" t="s">
        <v>62</v>
      </c>
      <c r="AS5618" s="3" t="s">
        <v>62</v>
      </c>
      <c r="AT5618" s="3" t="s">
        <v>61</v>
      </c>
      <c r="AU5618" s="6" t="str">
        <f t="shared" si="91"/>
        <v>HathiTrust Record</v>
      </c>
      <c r="AV5618" s="6" t="str">
        <f t="shared" si="92"/>
        <v>Catalog Record</v>
      </c>
      <c r="AW5618" s="6" t="str">
        <f t="shared" si="93"/>
        <v>WorldCat Record</v>
      </c>
      <c r="AX5618" s="3" t="s">
        <v>53230</v>
      </c>
      <c r="AY5618" s="3" t="s">
        <v>53231</v>
      </c>
      <c r="AZ5618" s="3" t="s">
        <v>53232</v>
      </c>
      <c r="BA5618" s="3" t="s">
        <v>53232</v>
      </c>
      <c r="BB5618" s="3" t="s">
        <v>53310</v>
      </c>
      <c r="BC5618" s="3" t="s">
        <v>102</v>
      </c>
      <c r="BD5618" s="3" t="s">
        <v>68</v>
      </c>
      <c r="BE5618" s="3" t="s">
        <v>53234</v>
      </c>
      <c r="BF5618" s="3" t="s">
        <v>53310</v>
      </c>
      <c r="BG5618" s="3" t="s">
        <v>53311</v>
      </c>
    </row>
    <row r="5619" spans="1:59" ht="58" x14ac:dyDescent="0.35">
      <c r="A5619" s="2" t="s">
        <v>59</v>
      </c>
      <c r="B5619" s="2" t="s">
        <v>60</v>
      </c>
      <c r="C5619" s="2" t="s">
        <v>53225</v>
      </c>
      <c r="D5619" s="2" t="s">
        <v>53226</v>
      </c>
      <c r="E5619" s="2" t="s">
        <v>53227</v>
      </c>
      <c r="F5619" s="3" t="s">
        <v>53312</v>
      </c>
      <c r="G5619" s="3" t="s">
        <v>61</v>
      </c>
      <c r="I5619" s="3" t="s">
        <v>62</v>
      </c>
      <c r="J5619" s="3" t="s">
        <v>62</v>
      </c>
      <c r="K5619" s="3" t="s">
        <v>63</v>
      </c>
      <c r="M5619" s="2" t="s">
        <v>53229</v>
      </c>
      <c r="N5619" s="3" t="s">
        <v>7359</v>
      </c>
      <c r="P5619" s="3" t="s">
        <v>64</v>
      </c>
      <c r="R5619" s="3" t="s">
        <v>52945</v>
      </c>
      <c r="S5619" s="4">
        <v>1</v>
      </c>
      <c r="T5619" s="4">
        <v>38</v>
      </c>
      <c r="U5619" s="5" t="s">
        <v>8699</v>
      </c>
      <c r="V5619" s="5" t="s">
        <v>8699</v>
      </c>
      <c r="W5619" s="5" t="s">
        <v>67</v>
      </c>
      <c r="X5619" s="5" t="s">
        <v>67</v>
      </c>
      <c r="Y5619" s="4">
        <v>120</v>
      </c>
      <c r="Z5619" s="4">
        <v>17</v>
      </c>
      <c r="AA5619" s="4">
        <v>24</v>
      </c>
      <c r="AB5619" s="4">
        <v>2</v>
      </c>
      <c r="AC5619" s="4">
        <v>8</v>
      </c>
      <c r="AD5619" s="4">
        <v>24</v>
      </c>
      <c r="AE5619" s="4">
        <v>29</v>
      </c>
      <c r="AF5619" s="4">
        <v>0</v>
      </c>
      <c r="AG5619" s="4">
        <v>3</v>
      </c>
      <c r="AH5619" s="4">
        <v>14</v>
      </c>
      <c r="AI5619" s="4">
        <v>15</v>
      </c>
      <c r="AJ5619" s="4">
        <v>7</v>
      </c>
      <c r="AK5619" s="4">
        <v>11</v>
      </c>
      <c r="AL5619" s="4">
        <v>11</v>
      </c>
      <c r="AM5619" s="4">
        <v>11</v>
      </c>
      <c r="AN5619" s="4">
        <v>0</v>
      </c>
      <c r="AO5619" s="4">
        <v>0</v>
      </c>
      <c r="AP5619" s="4">
        <v>10</v>
      </c>
      <c r="AQ5619" s="4">
        <v>13</v>
      </c>
      <c r="AR5619" s="3" t="s">
        <v>62</v>
      </c>
      <c r="AS5619" s="3" t="s">
        <v>62</v>
      </c>
      <c r="AT5619" s="3" t="s">
        <v>61</v>
      </c>
      <c r="AU5619" s="6" t="str">
        <f t="shared" si="91"/>
        <v>HathiTrust Record</v>
      </c>
      <c r="AV5619" s="6" t="str">
        <f t="shared" si="92"/>
        <v>Catalog Record</v>
      </c>
      <c r="AW5619" s="6" t="str">
        <f t="shared" si="93"/>
        <v>WorldCat Record</v>
      </c>
      <c r="AX5619" s="3" t="s">
        <v>53230</v>
      </c>
      <c r="AY5619" s="3" t="s">
        <v>53231</v>
      </c>
      <c r="AZ5619" s="3" t="s">
        <v>53232</v>
      </c>
      <c r="BA5619" s="3" t="s">
        <v>53232</v>
      </c>
      <c r="BB5619" s="3" t="s">
        <v>53313</v>
      </c>
      <c r="BC5619" s="3" t="s">
        <v>102</v>
      </c>
      <c r="BD5619" s="3" t="s">
        <v>68</v>
      </c>
      <c r="BE5619" s="3" t="s">
        <v>53234</v>
      </c>
      <c r="BF5619" s="3" t="s">
        <v>53313</v>
      </c>
      <c r="BG5619" s="3" t="s">
        <v>53314</v>
      </c>
    </row>
    <row r="5620" spans="1:59" ht="58" x14ac:dyDescent="0.35">
      <c r="A5620" s="2" t="s">
        <v>59</v>
      </c>
      <c r="B5620" s="2" t="s">
        <v>60</v>
      </c>
      <c r="C5620" s="2" t="s">
        <v>53225</v>
      </c>
      <c r="D5620" s="2" t="s">
        <v>53226</v>
      </c>
      <c r="E5620" s="2" t="s">
        <v>53227</v>
      </c>
      <c r="F5620" s="3" t="s">
        <v>53315</v>
      </c>
      <c r="G5620" s="3" t="s">
        <v>61</v>
      </c>
      <c r="I5620" s="3" t="s">
        <v>62</v>
      </c>
      <c r="J5620" s="3" t="s">
        <v>62</v>
      </c>
      <c r="K5620" s="3" t="s">
        <v>63</v>
      </c>
      <c r="M5620" s="2" t="s">
        <v>53229</v>
      </c>
      <c r="N5620" s="3" t="s">
        <v>7359</v>
      </c>
      <c r="P5620" s="3" t="s">
        <v>64</v>
      </c>
      <c r="R5620" s="3" t="s">
        <v>52945</v>
      </c>
      <c r="S5620" s="4">
        <v>0</v>
      </c>
      <c r="T5620" s="4">
        <v>38</v>
      </c>
      <c r="V5620" s="5" t="s">
        <v>8699</v>
      </c>
      <c r="W5620" s="5" t="s">
        <v>67</v>
      </c>
      <c r="X5620" s="5" t="s">
        <v>67</v>
      </c>
      <c r="Y5620" s="4">
        <v>120</v>
      </c>
      <c r="Z5620" s="4">
        <v>17</v>
      </c>
      <c r="AA5620" s="4">
        <v>24</v>
      </c>
      <c r="AB5620" s="4">
        <v>2</v>
      </c>
      <c r="AC5620" s="4">
        <v>8</v>
      </c>
      <c r="AD5620" s="4">
        <v>24</v>
      </c>
      <c r="AE5620" s="4">
        <v>29</v>
      </c>
      <c r="AF5620" s="4">
        <v>0</v>
      </c>
      <c r="AG5620" s="4">
        <v>3</v>
      </c>
      <c r="AH5620" s="4">
        <v>14</v>
      </c>
      <c r="AI5620" s="4">
        <v>15</v>
      </c>
      <c r="AJ5620" s="4">
        <v>7</v>
      </c>
      <c r="AK5620" s="4">
        <v>11</v>
      </c>
      <c r="AL5620" s="4">
        <v>11</v>
      </c>
      <c r="AM5620" s="4">
        <v>11</v>
      </c>
      <c r="AN5620" s="4">
        <v>0</v>
      </c>
      <c r="AO5620" s="4">
        <v>0</v>
      </c>
      <c r="AP5620" s="4">
        <v>10</v>
      </c>
      <c r="AQ5620" s="4">
        <v>13</v>
      </c>
      <c r="AR5620" s="3" t="s">
        <v>62</v>
      </c>
      <c r="AS5620" s="3" t="s">
        <v>62</v>
      </c>
      <c r="AT5620" s="3" t="s">
        <v>61</v>
      </c>
      <c r="AU5620" s="6" t="str">
        <f t="shared" si="91"/>
        <v>HathiTrust Record</v>
      </c>
      <c r="AV5620" s="6" t="str">
        <f t="shared" si="92"/>
        <v>Catalog Record</v>
      </c>
      <c r="AW5620" s="6" t="str">
        <f t="shared" si="93"/>
        <v>WorldCat Record</v>
      </c>
      <c r="AX5620" s="3" t="s">
        <v>53230</v>
      </c>
      <c r="AY5620" s="3" t="s">
        <v>53231</v>
      </c>
      <c r="AZ5620" s="3" t="s">
        <v>53232</v>
      </c>
      <c r="BA5620" s="3" t="s">
        <v>53232</v>
      </c>
      <c r="BB5620" s="3" t="s">
        <v>53316</v>
      </c>
      <c r="BC5620" s="3" t="s">
        <v>102</v>
      </c>
      <c r="BD5620" s="3" t="s">
        <v>68</v>
      </c>
      <c r="BE5620" s="3" t="s">
        <v>53234</v>
      </c>
      <c r="BF5620" s="3" t="s">
        <v>53316</v>
      </c>
      <c r="BG5620" s="3" t="s">
        <v>53317</v>
      </c>
    </row>
    <row r="5621" spans="1:59" ht="58" x14ac:dyDescent="0.35">
      <c r="A5621" s="2" t="s">
        <v>59</v>
      </c>
      <c r="B5621" s="2" t="s">
        <v>60</v>
      </c>
      <c r="C5621" s="2" t="s">
        <v>53225</v>
      </c>
      <c r="D5621" s="2" t="s">
        <v>53226</v>
      </c>
      <c r="E5621" s="2" t="s">
        <v>53227</v>
      </c>
      <c r="F5621" s="3" t="s">
        <v>53318</v>
      </c>
      <c r="G5621" s="3" t="s">
        <v>61</v>
      </c>
      <c r="I5621" s="3" t="s">
        <v>62</v>
      </c>
      <c r="J5621" s="3" t="s">
        <v>62</v>
      </c>
      <c r="K5621" s="3" t="s">
        <v>63</v>
      </c>
      <c r="M5621" s="2" t="s">
        <v>53229</v>
      </c>
      <c r="N5621" s="3" t="s">
        <v>7359</v>
      </c>
      <c r="P5621" s="3" t="s">
        <v>64</v>
      </c>
      <c r="R5621" s="3" t="s">
        <v>52945</v>
      </c>
      <c r="S5621" s="4">
        <v>1</v>
      </c>
      <c r="T5621" s="4">
        <v>38</v>
      </c>
      <c r="U5621" s="5" t="s">
        <v>8699</v>
      </c>
      <c r="V5621" s="5" t="s">
        <v>8699</v>
      </c>
      <c r="W5621" s="5" t="s">
        <v>67</v>
      </c>
      <c r="X5621" s="5" t="s">
        <v>67</v>
      </c>
      <c r="Y5621" s="4">
        <v>120</v>
      </c>
      <c r="Z5621" s="4">
        <v>17</v>
      </c>
      <c r="AA5621" s="4">
        <v>24</v>
      </c>
      <c r="AB5621" s="4">
        <v>2</v>
      </c>
      <c r="AC5621" s="4">
        <v>8</v>
      </c>
      <c r="AD5621" s="4">
        <v>24</v>
      </c>
      <c r="AE5621" s="4">
        <v>29</v>
      </c>
      <c r="AF5621" s="4">
        <v>0</v>
      </c>
      <c r="AG5621" s="4">
        <v>3</v>
      </c>
      <c r="AH5621" s="4">
        <v>14</v>
      </c>
      <c r="AI5621" s="4">
        <v>15</v>
      </c>
      <c r="AJ5621" s="4">
        <v>7</v>
      </c>
      <c r="AK5621" s="4">
        <v>11</v>
      </c>
      <c r="AL5621" s="4">
        <v>11</v>
      </c>
      <c r="AM5621" s="4">
        <v>11</v>
      </c>
      <c r="AN5621" s="4">
        <v>0</v>
      </c>
      <c r="AO5621" s="4">
        <v>0</v>
      </c>
      <c r="AP5621" s="4">
        <v>10</v>
      </c>
      <c r="AQ5621" s="4">
        <v>13</v>
      </c>
      <c r="AR5621" s="3" t="s">
        <v>62</v>
      </c>
      <c r="AS5621" s="3" t="s">
        <v>62</v>
      </c>
      <c r="AT5621" s="3" t="s">
        <v>61</v>
      </c>
      <c r="AU5621" s="6" t="str">
        <f t="shared" si="91"/>
        <v>HathiTrust Record</v>
      </c>
      <c r="AV5621" s="6" t="str">
        <f t="shared" si="92"/>
        <v>Catalog Record</v>
      </c>
      <c r="AW5621" s="6" t="str">
        <f t="shared" si="93"/>
        <v>WorldCat Record</v>
      </c>
      <c r="AX5621" s="3" t="s">
        <v>53230</v>
      </c>
      <c r="AY5621" s="3" t="s">
        <v>53231</v>
      </c>
      <c r="AZ5621" s="3" t="s">
        <v>53232</v>
      </c>
      <c r="BA5621" s="3" t="s">
        <v>53232</v>
      </c>
      <c r="BB5621" s="3" t="s">
        <v>53319</v>
      </c>
      <c r="BC5621" s="3" t="s">
        <v>102</v>
      </c>
      <c r="BD5621" s="3" t="s">
        <v>68</v>
      </c>
      <c r="BE5621" s="3" t="s">
        <v>53234</v>
      </c>
      <c r="BF5621" s="3" t="s">
        <v>53319</v>
      </c>
      <c r="BG5621" s="3" t="s">
        <v>53320</v>
      </c>
    </row>
    <row r="5622" spans="1:59" ht="58" x14ac:dyDescent="0.35">
      <c r="A5622" s="2" t="s">
        <v>59</v>
      </c>
      <c r="B5622" s="2" t="s">
        <v>60</v>
      </c>
      <c r="C5622" s="2" t="s">
        <v>53225</v>
      </c>
      <c r="D5622" s="2" t="s">
        <v>53226</v>
      </c>
      <c r="E5622" s="2" t="s">
        <v>53227</v>
      </c>
      <c r="F5622" s="3" t="s">
        <v>53321</v>
      </c>
      <c r="G5622" s="3" t="s">
        <v>61</v>
      </c>
      <c r="I5622" s="3" t="s">
        <v>62</v>
      </c>
      <c r="J5622" s="3" t="s">
        <v>62</v>
      </c>
      <c r="K5622" s="3" t="s">
        <v>63</v>
      </c>
      <c r="M5622" s="2" t="s">
        <v>53229</v>
      </c>
      <c r="N5622" s="3" t="s">
        <v>7359</v>
      </c>
      <c r="P5622" s="3" t="s">
        <v>64</v>
      </c>
      <c r="R5622" s="3" t="s">
        <v>52945</v>
      </c>
      <c r="S5622" s="4">
        <v>1</v>
      </c>
      <c r="T5622" s="4">
        <v>38</v>
      </c>
      <c r="U5622" s="5" t="s">
        <v>8699</v>
      </c>
      <c r="V5622" s="5" t="s">
        <v>8699</v>
      </c>
      <c r="W5622" s="5" t="s">
        <v>67</v>
      </c>
      <c r="X5622" s="5" t="s">
        <v>67</v>
      </c>
      <c r="Y5622" s="4">
        <v>120</v>
      </c>
      <c r="Z5622" s="4">
        <v>17</v>
      </c>
      <c r="AA5622" s="4">
        <v>24</v>
      </c>
      <c r="AB5622" s="4">
        <v>2</v>
      </c>
      <c r="AC5622" s="4">
        <v>8</v>
      </c>
      <c r="AD5622" s="4">
        <v>24</v>
      </c>
      <c r="AE5622" s="4">
        <v>29</v>
      </c>
      <c r="AF5622" s="4">
        <v>0</v>
      </c>
      <c r="AG5622" s="4">
        <v>3</v>
      </c>
      <c r="AH5622" s="4">
        <v>14</v>
      </c>
      <c r="AI5622" s="4">
        <v>15</v>
      </c>
      <c r="AJ5622" s="4">
        <v>7</v>
      </c>
      <c r="AK5622" s="4">
        <v>11</v>
      </c>
      <c r="AL5622" s="4">
        <v>11</v>
      </c>
      <c r="AM5622" s="4">
        <v>11</v>
      </c>
      <c r="AN5622" s="4">
        <v>0</v>
      </c>
      <c r="AO5622" s="4">
        <v>0</v>
      </c>
      <c r="AP5622" s="4">
        <v>10</v>
      </c>
      <c r="AQ5622" s="4">
        <v>13</v>
      </c>
      <c r="AR5622" s="3" t="s">
        <v>62</v>
      </c>
      <c r="AS5622" s="3" t="s">
        <v>62</v>
      </c>
      <c r="AT5622" s="3" t="s">
        <v>61</v>
      </c>
      <c r="AU5622" s="6" t="str">
        <f t="shared" si="91"/>
        <v>HathiTrust Record</v>
      </c>
      <c r="AV5622" s="6" t="str">
        <f t="shared" si="92"/>
        <v>Catalog Record</v>
      </c>
      <c r="AW5622" s="6" t="str">
        <f t="shared" si="93"/>
        <v>WorldCat Record</v>
      </c>
      <c r="AX5622" s="3" t="s">
        <v>53230</v>
      </c>
      <c r="AY5622" s="3" t="s">
        <v>53231</v>
      </c>
      <c r="AZ5622" s="3" t="s">
        <v>53232</v>
      </c>
      <c r="BA5622" s="3" t="s">
        <v>53232</v>
      </c>
      <c r="BB5622" s="3" t="s">
        <v>53322</v>
      </c>
      <c r="BC5622" s="3" t="s">
        <v>102</v>
      </c>
      <c r="BD5622" s="3" t="s">
        <v>68</v>
      </c>
      <c r="BE5622" s="3" t="s">
        <v>53234</v>
      </c>
      <c r="BF5622" s="3" t="s">
        <v>53322</v>
      </c>
      <c r="BG5622" s="3" t="s">
        <v>53323</v>
      </c>
    </row>
    <row r="5623" spans="1:59" ht="58" x14ac:dyDescent="0.35">
      <c r="A5623" s="2" t="s">
        <v>59</v>
      </c>
      <c r="B5623" s="2" t="s">
        <v>60</v>
      </c>
      <c r="C5623" s="2" t="s">
        <v>53225</v>
      </c>
      <c r="D5623" s="2" t="s">
        <v>53226</v>
      </c>
      <c r="E5623" s="2" t="s">
        <v>53227</v>
      </c>
      <c r="F5623" s="3" t="s">
        <v>53324</v>
      </c>
      <c r="G5623" s="3" t="s">
        <v>61</v>
      </c>
      <c r="I5623" s="3" t="s">
        <v>62</v>
      </c>
      <c r="J5623" s="3" t="s">
        <v>62</v>
      </c>
      <c r="K5623" s="3" t="s">
        <v>63</v>
      </c>
      <c r="M5623" s="2" t="s">
        <v>53229</v>
      </c>
      <c r="N5623" s="3" t="s">
        <v>7359</v>
      </c>
      <c r="P5623" s="3" t="s">
        <v>64</v>
      </c>
      <c r="R5623" s="3" t="s">
        <v>52945</v>
      </c>
      <c r="S5623" s="4">
        <v>0</v>
      </c>
      <c r="T5623" s="4">
        <v>38</v>
      </c>
      <c r="V5623" s="5" t="s">
        <v>8699</v>
      </c>
      <c r="W5623" s="5" t="s">
        <v>67</v>
      </c>
      <c r="X5623" s="5" t="s">
        <v>67</v>
      </c>
      <c r="Y5623" s="4">
        <v>120</v>
      </c>
      <c r="Z5623" s="4">
        <v>17</v>
      </c>
      <c r="AA5623" s="4">
        <v>24</v>
      </c>
      <c r="AB5623" s="4">
        <v>2</v>
      </c>
      <c r="AC5623" s="4">
        <v>8</v>
      </c>
      <c r="AD5623" s="4">
        <v>24</v>
      </c>
      <c r="AE5623" s="4">
        <v>29</v>
      </c>
      <c r="AF5623" s="4">
        <v>0</v>
      </c>
      <c r="AG5623" s="4">
        <v>3</v>
      </c>
      <c r="AH5623" s="4">
        <v>14</v>
      </c>
      <c r="AI5623" s="4">
        <v>15</v>
      </c>
      <c r="AJ5623" s="4">
        <v>7</v>
      </c>
      <c r="AK5623" s="4">
        <v>11</v>
      </c>
      <c r="AL5623" s="4">
        <v>11</v>
      </c>
      <c r="AM5623" s="4">
        <v>11</v>
      </c>
      <c r="AN5623" s="4">
        <v>0</v>
      </c>
      <c r="AO5623" s="4">
        <v>0</v>
      </c>
      <c r="AP5623" s="4">
        <v>10</v>
      </c>
      <c r="AQ5623" s="4">
        <v>13</v>
      </c>
      <c r="AR5623" s="3" t="s">
        <v>62</v>
      </c>
      <c r="AS5623" s="3" t="s">
        <v>62</v>
      </c>
      <c r="AT5623" s="3" t="s">
        <v>61</v>
      </c>
      <c r="AU5623" s="6" t="str">
        <f t="shared" si="91"/>
        <v>HathiTrust Record</v>
      </c>
      <c r="AV5623" s="6" t="str">
        <f t="shared" si="92"/>
        <v>Catalog Record</v>
      </c>
      <c r="AW5623" s="6" t="str">
        <f t="shared" si="93"/>
        <v>WorldCat Record</v>
      </c>
      <c r="AX5623" s="3" t="s">
        <v>53230</v>
      </c>
      <c r="AY5623" s="3" t="s">
        <v>53231</v>
      </c>
      <c r="AZ5623" s="3" t="s">
        <v>53232</v>
      </c>
      <c r="BA5623" s="3" t="s">
        <v>53232</v>
      </c>
      <c r="BB5623" s="3" t="s">
        <v>53325</v>
      </c>
      <c r="BC5623" s="3" t="s">
        <v>102</v>
      </c>
      <c r="BD5623" s="3" t="s">
        <v>68</v>
      </c>
      <c r="BE5623" s="3" t="s">
        <v>53234</v>
      </c>
      <c r="BF5623" s="3" t="s">
        <v>53325</v>
      </c>
      <c r="BG5623" s="3" t="s">
        <v>53326</v>
      </c>
    </row>
    <row r="5624" spans="1:59" ht="58" x14ac:dyDescent="0.35">
      <c r="A5624" s="2" t="s">
        <v>59</v>
      </c>
      <c r="B5624" s="2" t="s">
        <v>60</v>
      </c>
      <c r="C5624" s="2" t="s">
        <v>53225</v>
      </c>
      <c r="D5624" s="2" t="s">
        <v>53226</v>
      </c>
      <c r="E5624" s="2" t="s">
        <v>53227</v>
      </c>
      <c r="F5624" s="3" t="s">
        <v>53327</v>
      </c>
      <c r="G5624" s="3" t="s">
        <v>61</v>
      </c>
      <c r="I5624" s="3" t="s">
        <v>62</v>
      </c>
      <c r="J5624" s="3" t="s">
        <v>62</v>
      </c>
      <c r="K5624" s="3" t="s">
        <v>63</v>
      </c>
      <c r="M5624" s="2" t="s">
        <v>53229</v>
      </c>
      <c r="N5624" s="3" t="s">
        <v>7359</v>
      </c>
      <c r="P5624" s="3" t="s">
        <v>64</v>
      </c>
      <c r="R5624" s="3" t="s">
        <v>52945</v>
      </c>
      <c r="S5624" s="4">
        <v>1</v>
      </c>
      <c r="T5624" s="4">
        <v>38</v>
      </c>
      <c r="U5624" s="5" t="s">
        <v>8699</v>
      </c>
      <c r="V5624" s="5" t="s">
        <v>8699</v>
      </c>
      <c r="W5624" s="5" t="s">
        <v>67</v>
      </c>
      <c r="X5624" s="5" t="s">
        <v>67</v>
      </c>
      <c r="Y5624" s="4">
        <v>120</v>
      </c>
      <c r="Z5624" s="4">
        <v>17</v>
      </c>
      <c r="AA5624" s="4">
        <v>24</v>
      </c>
      <c r="AB5624" s="4">
        <v>2</v>
      </c>
      <c r="AC5624" s="4">
        <v>8</v>
      </c>
      <c r="AD5624" s="4">
        <v>24</v>
      </c>
      <c r="AE5624" s="4">
        <v>29</v>
      </c>
      <c r="AF5624" s="4">
        <v>0</v>
      </c>
      <c r="AG5624" s="4">
        <v>3</v>
      </c>
      <c r="AH5624" s="4">
        <v>14</v>
      </c>
      <c r="AI5624" s="4">
        <v>15</v>
      </c>
      <c r="AJ5624" s="4">
        <v>7</v>
      </c>
      <c r="AK5624" s="4">
        <v>11</v>
      </c>
      <c r="AL5624" s="4">
        <v>11</v>
      </c>
      <c r="AM5624" s="4">
        <v>11</v>
      </c>
      <c r="AN5624" s="4">
        <v>0</v>
      </c>
      <c r="AO5624" s="4">
        <v>0</v>
      </c>
      <c r="AP5624" s="4">
        <v>10</v>
      </c>
      <c r="AQ5624" s="4">
        <v>13</v>
      </c>
      <c r="AR5624" s="3" t="s">
        <v>62</v>
      </c>
      <c r="AS5624" s="3" t="s">
        <v>62</v>
      </c>
      <c r="AT5624" s="3" t="s">
        <v>61</v>
      </c>
      <c r="AU5624" s="6" t="str">
        <f t="shared" si="91"/>
        <v>HathiTrust Record</v>
      </c>
      <c r="AV5624" s="6" t="str">
        <f t="shared" si="92"/>
        <v>Catalog Record</v>
      </c>
      <c r="AW5624" s="6" t="str">
        <f t="shared" si="93"/>
        <v>WorldCat Record</v>
      </c>
      <c r="AX5624" s="3" t="s">
        <v>53230</v>
      </c>
      <c r="AY5624" s="3" t="s">
        <v>53231</v>
      </c>
      <c r="AZ5624" s="3" t="s">
        <v>53232</v>
      </c>
      <c r="BA5624" s="3" t="s">
        <v>53232</v>
      </c>
      <c r="BB5624" s="3" t="s">
        <v>53328</v>
      </c>
      <c r="BC5624" s="3" t="s">
        <v>102</v>
      </c>
      <c r="BD5624" s="3" t="s">
        <v>68</v>
      </c>
      <c r="BE5624" s="3" t="s">
        <v>53234</v>
      </c>
      <c r="BF5624" s="3" t="s">
        <v>53328</v>
      </c>
      <c r="BG5624" s="3" t="s">
        <v>53329</v>
      </c>
    </row>
    <row r="5625" spans="1:59" ht="58" x14ac:dyDescent="0.35">
      <c r="A5625" s="2" t="s">
        <v>59</v>
      </c>
      <c r="B5625" s="2" t="s">
        <v>60</v>
      </c>
      <c r="C5625" s="2" t="s">
        <v>53225</v>
      </c>
      <c r="D5625" s="2" t="s">
        <v>53226</v>
      </c>
      <c r="E5625" s="2" t="s">
        <v>53227</v>
      </c>
      <c r="F5625" s="3" t="s">
        <v>53330</v>
      </c>
      <c r="G5625" s="3" t="s">
        <v>61</v>
      </c>
      <c r="I5625" s="3" t="s">
        <v>62</v>
      </c>
      <c r="J5625" s="3" t="s">
        <v>62</v>
      </c>
      <c r="K5625" s="3" t="s">
        <v>63</v>
      </c>
      <c r="M5625" s="2" t="s">
        <v>53229</v>
      </c>
      <c r="N5625" s="3" t="s">
        <v>7359</v>
      </c>
      <c r="P5625" s="3" t="s">
        <v>64</v>
      </c>
      <c r="R5625" s="3" t="s">
        <v>52945</v>
      </c>
      <c r="S5625" s="4">
        <v>1</v>
      </c>
      <c r="T5625" s="4">
        <v>38</v>
      </c>
      <c r="U5625" s="5" t="s">
        <v>8699</v>
      </c>
      <c r="V5625" s="5" t="s">
        <v>8699</v>
      </c>
      <c r="W5625" s="5" t="s">
        <v>67</v>
      </c>
      <c r="X5625" s="5" t="s">
        <v>67</v>
      </c>
      <c r="Y5625" s="4">
        <v>120</v>
      </c>
      <c r="Z5625" s="4">
        <v>17</v>
      </c>
      <c r="AA5625" s="4">
        <v>24</v>
      </c>
      <c r="AB5625" s="4">
        <v>2</v>
      </c>
      <c r="AC5625" s="4">
        <v>8</v>
      </c>
      <c r="AD5625" s="4">
        <v>24</v>
      </c>
      <c r="AE5625" s="4">
        <v>29</v>
      </c>
      <c r="AF5625" s="4">
        <v>0</v>
      </c>
      <c r="AG5625" s="4">
        <v>3</v>
      </c>
      <c r="AH5625" s="4">
        <v>14</v>
      </c>
      <c r="AI5625" s="4">
        <v>15</v>
      </c>
      <c r="AJ5625" s="4">
        <v>7</v>
      </c>
      <c r="AK5625" s="4">
        <v>11</v>
      </c>
      <c r="AL5625" s="4">
        <v>11</v>
      </c>
      <c r="AM5625" s="4">
        <v>11</v>
      </c>
      <c r="AN5625" s="4">
        <v>0</v>
      </c>
      <c r="AO5625" s="4">
        <v>0</v>
      </c>
      <c r="AP5625" s="4">
        <v>10</v>
      </c>
      <c r="AQ5625" s="4">
        <v>13</v>
      </c>
      <c r="AR5625" s="3" t="s">
        <v>62</v>
      </c>
      <c r="AS5625" s="3" t="s">
        <v>62</v>
      </c>
      <c r="AT5625" s="3" t="s">
        <v>61</v>
      </c>
      <c r="AU5625" s="6" t="str">
        <f t="shared" si="91"/>
        <v>HathiTrust Record</v>
      </c>
      <c r="AV5625" s="6" t="str">
        <f t="shared" si="92"/>
        <v>Catalog Record</v>
      </c>
      <c r="AW5625" s="6" t="str">
        <f t="shared" si="93"/>
        <v>WorldCat Record</v>
      </c>
      <c r="AX5625" s="3" t="s">
        <v>53230</v>
      </c>
      <c r="AY5625" s="3" t="s">
        <v>53231</v>
      </c>
      <c r="AZ5625" s="3" t="s">
        <v>53232</v>
      </c>
      <c r="BA5625" s="3" t="s">
        <v>53232</v>
      </c>
      <c r="BB5625" s="3" t="s">
        <v>53331</v>
      </c>
      <c r="BC5625" s="3" t="s">
        <v>102</v>
      </c>
      <c r="BD5625" s="3" t="s">
        <v>68</v>
      </c>
      <c r="BE5625" s="3" t="s">
        <v>53234</v>
      </c>
      <c r="BF5625" s="3" t="s">
        <v>53331</v>
      </c>
      <c r="BG5625" s="3" t="s">
        <v>53332</v>
      </c>
    </row>
    <row r="5626" spans="1:59" ht="58" x14ac:dyDescent="0.35">
      <c r="A5626" s="2" t="s">
        <v>59</v>
      </c>
      <c r="B5626" s="2" t="s">
        <v>60</v>
      </c>
      <c r="C5626" s="2" t="s">
        <v>53225</v>
      </c>
      <c r="D5626" s="2" t="s">
        <v>53226</v>
      </c>
      <c r="E5626" s="2" t="s">
        <v>53227</v>
      </c>
      <c r="F5626" s="3" t="s">
        <v>53333</v>
      </c>
      <c r="G5626" s="3" t="s">
        <v>61</v>
      </c>
      <c r="I5626" s="3" t="s">
        <v>62</v>
      </c>
      <c r="J5626" s="3" t="s">
        <v>62</v>
      </c>
      <c r="K5626" s="3" t="s">
        <v>63</v>
      </c>
      <c r="M5626" s="2" t="s">
        <v>53229</v>
      </c>
      <c r="N5626" s="3" t="s">
        <v>7359</v>
      </c>
      <c r="P5626" s="3" t="s">
        <v>64</v>
      </c>
      <c r="R5626" s="3" t="s">
        <v>52945</v>
      </c>
      <c r="S5626" s="4">
        <v>1</v>
      </c>
      <c r="T5626" s="4">
        <v>38</v>
      </c>
      <c r="U5626" s="5" t="s">
        <v>8699</v>
      </c>
      <c r="V5626" s="5" t="s">
        <v>8699</v>
      </c>
      <c r="W5626" s="5" t="s">
        <v>67</v>
      </c>
      <c r="X5626" s="5" t="s">
        <v>67</v>
      </c>
      <c r="Y5626" s="4">
        <v>120</v>
      </c>
      <c r="Z5626" s="4">
        <v>17</v>
      </c>
      <c r="AA5626" s="4">
        <v>24</v>
      </c>
      <c r="AB5626" s="4">
        <v>2</v>
      </c>
      <c r="AC5626" s="4">
        <v>8</v>
      </c>
      <c r="AD5626" s="4">
        <v>24</v>
      </c>
      <c r="AE5626" s="4">
        <v>29</v>
      </c>
      <c r="AF5626" s="4">
        <v>0</v>
      </c>
      <c r="AG5626" s="4">
        <v>3</v>
      </c>
      <c r="AH5626" s="4">
        <v>14</v>
      </c>
      <c r="AI5626" s="4">
        <v>15</v>
      </c>
      <c r="AJ5626" s="4">
        <v>7</v>
      </c>
      <c r="AK5626" s="4">
        <v>11</v>
      </c>
      <c r="AL5626" s="4">
        <v>11</v>
      </c>
      <c r="AM5626" s="4">
        <v>11</v>
      </c>
      <c r="AN5626" s="4">
        <v>0</v>
      </c>
      <c r="AO5626" s="4">
        <v>0</v>
      </c>
      <c r="AP5626" s="4">
        <v>10</v>
      </c>
      <c r="AQ5626" s="4">
        <v>13</v>
      </c>
      <c r="AR5626" s="3" t="s">
        <v>62</v>
      </c>
      <c r="AS5626" s="3" t="s">
        <v>62</v>
      </c>
      <c r="AT5626" s="3" t="s">
        <v>61</v>
      </c>
      <c r="AU5626" s="6" t="str">
        <f t="shared" si="91"/>
        <v>HathiTrust Record</v>
      </c>
      <c r="AV5626" s="6" t="str">
        <f t="shared" si="92"/>
        <v>Catalog Record</v>
      </c>
      <c r="AW5626" s="6" t="str">
        <f t="shared" si="93"/>
        <v>WorldCat Record</v>
      </c>
      <c r="AX5626" s="3" t="s">
        <v>53230</v>
      </c>
      <c r="AY5626" s="3" t="s">
        <v>53231</v>
      </c>
      <c r="AZ5626" s="3" t="s">
        <v>53232</v>
      </c>
      <c r="BA5626" s="3" t="s">
        <v>53232</v>
      </c>
      <c r="BB5626" s="3" t="s">
        <v>53334</v>
      </c>
      <c r="BC5626" s="3" t="s">
        <v>102</v>
      </c>
      <c r="BD5626" s="3" t="s">
        <v>68</v>
      </c>
      <c r="BE5626" s="3" t="s">
        <v>53234</v>
      </c>
      <c r="BF5626" s="3" t="s">
        <v>53334</v>
      </c>
      <c r="BG5626" s="3" t="s">
        <v>53335</v>
      </c>
    </row>
    <row r="5627" spans="1:59" ht="58" x14ac:dyDescent="0.35">
      <c r="A5627" s="2" t="s">
        <v>59</v>
      </c>
      <c r="B5627" s="2" t="s">
        <v>60</v>
      </c>
      <c r="C5627" s="2" t="s">
        <v>53225</v>
      </c>
      <c r="D5627" s="2" t="s">
        <v>53226</v>
      </c>
      <c r="E5627" s="2" t="s">
        <v>53227</v>
      </c>
      <c r="F5627" s="3" t="s">
        <v>53336</v>
      </c>
      <c r="G5627" s="3" t="s">
        <v>61</v>
      </c>
      <c r="I5627" s="3" t="s">
        <v>62</v>
      </c>
      <c r="J5627" s="3" t="s">
        <v>62</v>
      </c>
      <c r="K5627" s="3" t="s">
        <v>63</v>
      </c>
      <c r="M5627" s="2" t="s">
        <v>53229</v>
      </c>
      <c r="N5627" s="3" t="s">
        <v>7359</v>
      </c>
      <c r="P5627" s="3" t="s">
        <v>64</v>
      </c>
      <c r="R5627" s="3" t="s">
        <v>52945</v>
      </c>
      <c r="S5627" s="4">
        <v>1</v>
      </c>
      <c r="T5627" s="4">
        <v>38</v>
      </c>
      <c r="U5627" s="5" t="s">
        <v>8699</v>
      </c>
      <c r="V5627" s="5" t="s">
        <v>8699</v>
      </c>
      <c r="W5627" s="5" t="s">
        <v>67</v>
      </c>
      <c r="X5627" s="5" t="s">
        <v>67</v>
      </c>
      <c r="Y5627" s="4">
        <v>120</v>
      </c>
      <c r="Z5627" s="4">
        <v>17</v>
      </c>
      <c r="AA5627" s="4">
        <v>24</v>
      </c>
      <c r="AB5627" s="4">
        <v>2</v>
      </c>
      <c r="AC5627" s="4">
        <v>8</v>
      </c>
      <c r="AD5627" s="4">
        <v>24</v>
      </c>
      <c r="AE5627" s="4">
        <v>29</v>
      </c>
      <c r="AF5627" s="4">
        <v>0</v>
      </c>
      <c r="AG5627" s="4">
        <v>3</v>
      </c>
      <c r="AH5627" s="4">
        <v>14</v>
      </c>
      <c r="AI5627" s="4">
        <v>15</v>
      </c>
      <c r="AJ5627" s="4">
        <v>7</v>
      </c>
      <c r="AK5627" s="4">
        <v>11</v>
      </c>
      <c r="AL5627" s="4">
        <v>11</v>
      </c>
      <c r="AM5627" s="4">
        <v>11</v>
      </c>
      <c r="AN5627" s="4">
        <v>0</v>
      </c>
      <c r="AO5627" s="4">
        <v>0</v>
      </c>
      <c r="AP5627" s="4">
        <v>10</v>
      </c>
      <c r="AQ5627" s="4">
        <v>13</v>
      </c>
      <c r="AR5627" s="3" t="s">
        <v>62</v>
      </c>
      <c r="AS5627" s="3" t="s">
        <v>62</v>
      </c>
      <c r="AT5627" s="3" t="s">
        <v>61</v>
      </c>
      <c r="AU5627" s="6" t="str">
        <f t="shared" si="91"/>
        <v>HathiTrust Record</v>
      </c>
      <c r="AV5627" s="6" t="str">
        <f t="shared" si="92"/>
        <v>Catalog Record</v>
      </c>
      <c r="AW5627" s="6" t="str">
        <f t="shared" si="93"/>
        <v>WorldCat Record</v>
      </c>
      <c r="AX5627" s="3" t="s">
        <v>53230</v>
      </c>
      <c r="AY5627" s="3" t="s">
        <v>53231</v>
      </c>
      <c r="AZ5627" s="3" t="s">
        <v>53232</v>
      </c>
      <c r="BA5627" s="3" t="s">
        <v>53232</v>
      </c>
      <c r="BB5627" s="3" t="s">
        <v>53337</v>
      </c>
      <c r="BC5627" s="3" t="s">
        <v>102</v>
      </c>
      <c r="BD5627" s="3" t="s">
        <v>68</v>
      </c>
      <c r="BE5627" s="3" t="s">
        <v>53234</v>
      </c>
      <c r="BF5627" s="3" t="s">
        <v>53337</v>
      </c>
      <c r="BG5627" s="3" t="s">
        <v>53338</v>
      </c>
    </row>
    <row r="5628" spans="1:59" ht="58" x14ac:dyDescent="0.35">
      <c r="A5628" s="2" t="s">
        <v>59</v>
      </c>
      <c r="B5628" s="2" t="s">
        <v>60</v>
      </c>
      <c r="C5628" s="2" t="s">
        <v>53225</v>
      </c>
      <c r="D5628" s="2" t="s">
        <v>53226</v>
      </c>
      <c r="E5628" s="2" t="s">
        <v>53227</v>
      </c>
      <c r="F5628" s="3" t="s">
        <v>53339</v>
      </c>
      <c r="G5628" s="3" t="s">
        <v>61</v>
      </c>
      <c r="I5628" s="3" t="s">
        <v>62</v>
      </c>
      <c r="J5628" s="3" t="s">
        <v>62</v>
      </c>
      <c r="K5628" s="3" t="s">
        <v>63</v>
      </c>
      <c r="M5628" s="2" t="s">
        <v>53229</v>
      </c>
      <c r="N5628" s="3" t="s">
        <v>7359</v>
      </c>
      <c r="P5628" s="3" t="s">
        <v>64</v>
      </c>
      <c r="R5628" s="3" t="s">
        <v>52945</v>
      </c>
      <c r="S5628" s="4">
        <v>0</v>
      </c>
      <c r="T5628" s="4">
        <v>38</v>
      </c>
      <c r="V5628" s="5" t="s">
        <v>8699</v>
      </c>
      <c r="W5628" s="5" t="s">
        <v>67</v>
      </c>
      <c r="X5628" s="5" t="s">
        <v>67</v>
      </c>
      <c r="Y5628" s="4">
        <v>120</v>
      </c>
      <c r="Z5628" s="4">
        <v>17</v>
      </c>
      <c r="AA5628" s="4">
        <v>24</v>
      </c>
      <c r="AB5628" s="4">
        <v>2</v>
      </c>
      <c r="AC5628" s="4">
        <v>8</v>
      </c>
      <c r="AD5628" s="4">
        <v>24</v>
      </c>
      <c r="AE5628" s="4">
        <v>29</v>
      </c>
      <c r="AF5628" s="4">
        <v>0</v>
      </c>
      <c r="AG5628" s="4">
        <v>3</v>
      </c>
      <c r="AH5628" s="4">
        <v>14</v>
      </c>
      <c r="AI5628" s="4">
        <v>15</v>
      </c>
      <c r="AJ5628" s="4">
        <v>7</v>
      </c>
      <c r="AK5628" s="4">
        <v>11</v>
      </c>
      <c r="AL5628" s="4">
        <v>11</v>
      </c>
      <c r="AM5628" s="4">
        <v>11</v>
      </c>
      <c r="AN5628" s="4">
        <v>0</v>
      </c>
      <c r="AO5628" s="4">
        <v>0</v>
      </c>
      <c r="AP5628" s="4">
        <v>10</v>
      </c>
      <c r="AQ5628" s="4">
        <v>13</v>
      </c>
      <c r="AR5628" s="3" t="s">
        <v>62</v>
      </c>
      <c r="AS5628" s="3" t="s">
        <v>62</v>
      </c>
      <c r="AT5628" s="3" t="s">
        <v>61</v>
      </c>
      <c r="AU5628" s="6" t="str">
        <f t="shared" si="91"/>
        <v>HathiTrust Record</v>
      </c>
      <c r="AV5628" s="6" t="str">
        <f t="shared" si="92"/>
        <v>Catalog Record</v>
      </c>
      <c r="AW5628" s="6" t="str">
        <f t="shared" si="93"/>
        <v>WorldCat Record</v>
      </c>
      <c r="AX5628" s="3" t="s">
        <v>53230</v>
      </c>
      <c r="AY5628" s="3" t="s">
        <v>53231</v>
      </c>
      <c r="AZ5628" s="3" t="s">
        <v>53232</v>
      </c>
      <c r="BA5628" s="3" t="s">
        <v>53232</v>
      </c>
      <c r="BB5628" s="3" t="s">
        <v>53340</v>
      </c>
      <c r="BC5628" s="3" t="s">
        <v>102</v>
      </c>
      <c r="BD5628" s="3" t="s">
        <v>68</v>
      </c>
      <c r="BE5628" s="3" t="s">
        <v>53234</v>
      </c>
      <c r="BF5628" s="3" t="s">
        <v>53340</v>
      </c>
      <c r="BG5628" s="3" t="s">
        <v>53341</v>
      </c>
    </row>
    <row r="5629" spans="1:59" ht="58" x14ac:dyDescent="0.35">
      <c r="A5629" s="2" t="s">
        <v>59</v>
      </c>
      <c r="B5629" s="2" t="s">
        <v>60</v>
      </c>
      <c r="C5629" s="2" t="s">
        <v>53225</v>
      </c>
      <c r="D5629" s="2" t="s">
        <v>53226</v>
      </c>
      <c r="E5629" s="2" t="s">
        <v>53227</v>
      </c>
      <c r="F5629" s="3" t="s">
        <v>53342</v>
      </c>
      <c r="G5629" s="3" t="s">
        <v>61</v>
      </c>
      <c r="I5629" s="3" t="s">
        <v>62</v>
      </c>
      <c r="J5629" s="3" t="s">
        <v>62</v>
      </c>
      <c r="K5629" s="3" t="s">
        <v>63</v>
      </c>
      <c r="M5629" s="2" t="s">
        <v>53229</v>
      </c>
      <c r="N5629" s="3" t="s">
        <v>7359</v>
      </c>
      <c r="P5629" s="3" t="s">
        <v>64</v>
      </c>
      <c r="R5629" s="3" t="s">
        <v>52945</v>
      </c>
      <c r="S5629" s="4">
        <v>1</v>
      </c>
      <c r="T5629" s="4">
        <v>38</v>
      </c>
      <c r="U5629" s="5" t="s">
        <v>8699</v>
      </c>
      <c r="V5629" s="5" t="s">
        <v>8699</v>
      </c>
      <c r="W5629" s="5" t="s">
        <v>67</v>
      </c>
      <c r="X5629" s="5" t="s">
        <v>67</v>
      </c>
      <c r="Y5629" s="4">
        <v>120</v>
      </c>
      <c r="Z5629" s="4">
        <v>17</v>
      </c>
      <c r="AA5629" s="4">
        <v>24</v>
      </c>
      <c r="AB5629" s="4">
        <v>2</v>
      </c>
      <c r="AC5629" s="4">
        <v>8</v>
      </c>
      <c r="AD5629" s="4">
        <v>24</v>
      </c>
      <c r="AE5629" s="4">
        <v>29</v>
      </c>
      <c r="AF5629" s="4">
        <v>0</v>
      </c>
      <c r="AG5629" s="4">
        <v>3</v>
      </c>
      <c r="AH5629" s="4">
        <v>14</v>
      </c>
      <c r="AI5629" s="4">
        <v>15</v>
      </c>
      <c r="AJ5629" s="4">
        <v>7</v>
      </c>
      <c r="AK5629" s="4">
        <v>11</v>
      </c>
      <c r="AL5629" s="4">
        <v>11</v>
      </c>
      <c r="AM5629" s="4">
        <v>11</v>
      </c>
      <c r="AN5629" s="4">
        <v>0</v>
      </c>
      <c r="AO5629" s="4">
        <v>0</v>
      </c>
      <c r="AP5629" s="4">
        <v>10</v>
      </c>
      <c r="AQ5629" s="4">
        <v>13</v>
      </c>
      <c r="AR5629" s="3" t="s">
        <v>62</v>
      </c>
      <c r="AS5629" s="3" t="s">
        <v>62</v>
      </c>
      <c r="AT5629" s="3" t="s">
        <v>61</v>
      </c>
      <c r="AU5629" s="6" t="str">
        <f t="shared" si="91"/>
        <v>HathiTrust Record</v>
      </c>
      <c r="AV5629" s="6" t="str">
        <f t="shared" si="92"/>
        <v>Catalog Record</v>
      </c>
      <c r="AW5629" s="6" t="str">
        <f t="shared" si="93"/>
        <v>WorldCat Record</v>
      </c>
      <c r="AX5629" s="3" t="s">
        <v>53230</v>
      </c>
      <c r="AY5629" s="3" t="s">
        <v>53231</v>
      </c>
      <c r="AZ5629" s="3" t="s">
        <v>53232</v>
      </c>
      <c r="BA5629" s="3" t="s">
        <v>53232</v>
      </c>
      <c r="BB5629" s="3" t="s">
        <v>53343</v>
      </c>
      <c r="BC5629" s="3" t="s">
        <v>102</v>
      </c>
      <c r="BD5629" s="3" t="s">
        <v>68</v>
      </c>
      <c r="BE5629" s="3" t="s">
        <v>53234</v>
      </c>
      <c r="BF5629" s="3" t="s">
        <v>53343</v>
      </c>
      <c r="BG5629" s="3" t="s">
        <v>53344</v>
      </c>
    </row>
    <row r="5630" spans="1:59" ht="58" x14ac:dyDescent="0.35">
      <c r="A5630" s="2" t="s">
        <v>59</v>
      </c>
      <c r="B5630" s="2" t="s">
        <v>60</v>
      </c>
      <c r="C5630" s="2" t="s">
        <v>53225</v>
      </c>
      <c r="D5630" s="2" t="s">
        <v>53226</v>
      </c>
      <c r="E5630" s="2" t="s">
        <v>53227</v>
      </c>
      <c r="F5630" s="3" t="s">
        <v>53345</v>
      </c>
      <c r="G5630" s="3" t="s">
        <v>61</v>
      </c>
      <c r="I5630" s="3" t="s">
        <v>62</v>
      </c>
      <c r="J5630" s="3" t="s">
        <v>62</v>
      </c>
      <c r="K5630" s="3" t="s">
        <v>63</v>
      </c>
      <c r="M5630" s="2" t="s">
        <v>53229</v>
      </c>
      <c r="N5630" s="3" t="s">
        <v>7359</v>
      </c>
      <c r="P5630" s="3" t="s">
        <v>64</v>
      </c>
      <c r="R5630" s="3" t="s">
        <v>52945</v>
      </c>
      <c r="S5630" s="4">
        <v>1</v>
      </c>
      <c r="T5630" s="4">
        <v>38</v>
      </c>
      <c r="U5630" s="5" t="s">
        <v>8699</v>
      </c>
      <c r="V5630" s="5" t="s">
        <v>8699</v>
      </c>
      <c r="W5630" s="5" t="s">
        <v>67</v>
      </c>
      <c r="X5630" s="5" t="s">
        <v>67</v>
      </c>
      <c r="Y5630" s="4">
        <v>120</v>
      </c>
      <c r="Z5630" s="4">
        <v>17</v>
      </c>
      <c r="AA5630" s="4">
        <v>24</v>
      </c>
      <c r="AB5630" s="4">
        <v>2</v>
      </c>
      <c r="AC5630" s="4">
        <v>8</v>
      </c>
      <c r="AD5630" s="4">
        <v>24</v>
      </c>
      <c r="AE5630" s="4">
        <v>29</v>
      </c>
      <c r="AF5630" s="4">
        <v>0</v>
      </c>
      <c r="AG5630" s="4">
        <v>3</v>
      </c>
      <c r="AH5630" s="4">
        <v>14</v>
      </c>
      <c r="AI5630" s="4">
        <v>15</v>
      </c>
      <c r="AJ5630" s="4">
        <v>7</v>
      </c>
      <c r="AK5630" s="4">
        <v>11</v>
      </c>
      <c r="AL5630" s="4">
        <v>11</v>
      </c>
      <c r="AM5630" s="4">
        <v>11</v>
      </c>
      <c r="AN5630" s="4">
        <v>0</v>
      </c>
      <c r="AO5630" s="4">
        <v>0</v>
      </c>
      <c r="AP5630" s="4">
        <v>10</v>
      </c>
      <c r="AQ5630" s="4">
        <v>13</v>
      </c>
      <c r="AR5630" s="3" t="s">
        <v>62</v>
      </c>
      <c r="AS5630" s="3" t="s">
        <v>62</v>
      </c>
      <c r="AT5630" s="3" t="s">
        <v>61</v>
      </c>
      <c r="AU5630" s="6" t="str">
        <f t="shared" si="91"/>
        <v>HathiTrust Record</v>
      </c>
      <c r="AV5630" s="6" t="str">
        <f t="shared" si="92"/>
        <v>Catalog Record</v>
      </c>
      <c r="AW5630" s="6" t="str">
        <f t="shared" si="93"/>
        <v>WorldCat Record</v>
      </c>
      <c r="AX5630" s="3" t="s">
        <v>53230</v>
      </c>
      <c r="AY5630" s="3" t="s">
        <v>53231</v>
      </c>
      <c r="AZ5630" s="3" t="s">
        <v>53232</v>
      </c>
      <c r="BA5630" s="3" t="s">
        <v>53232</v>
      </c>
      <c r="BB5630" s="3" t="s">
        <v>53346</v>
      </c>
      <c r="BC5630" s="3" t="s">
        <v>102</v>
      </c>
      <c r="BD5630" s="3" t="s">
        <v>68</v>
      </c>
      <c r="BE5630" s="3" t="s">
        <v>53234</v>
      </c>
      <c r="BF5630" s="3" t="s">
        <v>53346</v>
      </c>
      <c r="BG5630" s="3" t="s">
        <v>53347</v>
      </c>
    </row>
    <row r="5631" spans="1:59" ht="58" x14ac:dyDescent="0.35">
      <c r="A5631" s="2" t="s">
        <v>59</v>
      </c>
      <c r="B5631" s="2" t="s">
        <v>60</v>
      </c>
      <c r="C5631" s="2" t="s">
        <v>53225</v>
      </c>
      <c r="D5631" s="2" t="s">
        <v>53226</v>
      </c>
      <c r="E5631" s="2" t="s">
        <v>53227</v>
      </c>
      <c r="F5631" s="3" t="s">
        <v>53348</v>
      </c>
      <c r="G5631" s="3" t="s">
        <v>61</v>
      </c>
      <c r="I5631" s="3" t="s">
        <v>62</v>
      </c>
      <c r="J5631" s="3" t="s">
        <v>62</v>
      </c>
      <c r="K5631" s="3" t="s">
        <v>63</v>
      </c>
      <c r="M5631" s="2" t="s">
        <v>53229</v>
      </c>
      <c r="N5631" s="3" t="s">
        <v>7359</v>
      </c>
      <c r="P5631" s="3" t="s">
        <v>64</v>
      </c>
      <c r="R5631" s="3" t="s">
        <v>52945</v>
      </c>
      <c r="S5631" s="4">
        <v>0</v>
      </c>
      <c r="T5631" s="4">
        <v>38</v>
      </c>
      <c r="V5631" s="5" t="s">
        <v>8699</v>
      </c>
      <c r="W5631" s="5" t="s">
        <v>67</v>
      </c>
      <c r="X5631" s="5" t="s">
        <v>67</v>
      </c>
      <c r="Y5631" s="4">
        <v>120</v>
      </c>
      <c r="Z5631" s="4">
        <v>17</v>
      </c>
      <c r="AA5631" s="4">
        <v>24</v>
      </c>
      <c r="AB5631" s="4">
        <v>2</v>
      </c>
      <c r="AC5631" s="4">
        <v>8</v>
      </c>
      <c r="AD5631" s="4">
        <v>24</v>
      </c>
      <c r="AE5631" s="4">
        <v>29</v>
      </c>
      <c r="AF5631" s="4">
        <v>0</v>
      </c>
      <c r="AG5631" s="4">
        <v>3</v>
      </c>
      <c r="AH5631" s="4">
        <v>14</v>
      </c>
      <c r="AI5631" s="4">
        <v>15</v>
      </c>
      <c r="AJ5631" s="4">
        <v>7</v>
      </c>
      <c r="AK5631" s="4">
        <v>11</v>
      </c>
      <c r="AL5631" s="4">
        <v>11</v>
      </c>
      <c r="AM5631" s="4">
        <v>11</v>
      </c>
      <c r="AN5631" s="4">
        <v>0</v>
      </c>
      <c r="AO5631" s="4">
        <v>0</v>
      </c>
      <c r="AP5631" s="4">
        <v>10</v>
      </c>
      <c r="AQ5631" s="4">
        <v>13</v>
      </c>
      <c r="AR5631" s="3" t="s">
        <v>62</v>
      </c>
      <c r="AS5631" s="3" t="s">
        <v>62</v>
      </c>
      <c r="AT5631" s="3" t="s">
        <v>61</v>
      </c>
      <c r="AU5631" s="6" t="str">
        <f t="shared" si="91"/>
        <v>HathiTrust Record</v>
      </c>
      <c r="AV5631" s="6" t="str">
        <f t="shared" si="92"/>
        <v>Catalog Record</v>
      </c>
      <c r="AW5631" s="6" t="str">
        <f t="shared" si="93"/>
        <v>WorldCat Record</v>
      </c>
      <c r="AX5631" s="3" t="s">
        <v>53230</v>
      </c>
      <c r="AY5631" s="3" t="s">
        <v>53231</v>
      </c>
      <c r="AZ5631" s="3" t="s">
        <v>53232</v>
      </c>
      <c r="BA5631" s="3" t="s">
        <v>53232</v>
      </c>
      <c r="BB5631" s="3" t="s">
        <v>53349</v>
      </c>
      <c r="BC5631" s="3" t="s">
        <v>102</v>
      </c>
      <c r="BD5631" s="3" t="s">
        <v>68</v>
      </c>
      <c r="BE5631" s="3" t="s">
        <v>53234</v>
      </c>
      <c r="BF5631" s="3" t="s">
        <v>53349</v>
      </c>
      <c r="BG5631" s="3" t="s">
        <v>53350</v>
      </c>
    </row>
    <row r="5632" spans="1:59" ht="58" x14ac:dyDescent="0.35">
      <c r="A5632" s="2" t="s">
        <v>59</v>
      </c>
      <c r="B5632" s="2" t="s">
        <v>60</v>
      </c>
      <c r="C5632" s="2" t="s">
        <v>53225</v>
      </c>
      <c r="D5632" s="2" t="s">
        <v>53226</v>
      </c>
      <c r="E5632" s="2" t="s">
        <v>53227</v>
      </c>
      <c r="F5632" s="3" t="s">
        <v>53351</v>
      </c>
      <c r="G5632" s="3" t="s">
        <v>61</v>
      </c>
      <c r="I5632" s="3" t="s">
        <v>62</v>
      </c>
      <c r="J5632" s="3" t="s">
        <v>62</v>
      </c>
      <c r="K5632" s="3" t="s">
        <v>63</v>
      </c>
      <c r="M5632" s="2" t="s">
        <v>53229</v>
      </c>
      <c r="N5632" s="3" t="s">
        <v>7359</v>
      </c>
      <c r="P5632" s="3" t="s">
        <v>64</v>
      </c>
      <c r="R5632" s="3" t="s">
        <v>52945</v>
      </c>
      <c r="S5632" s="4">
        <v>0</v>
      </c>
      <c r="T5632" s="4">
        <v>38</v>
      </c>
      <c r="V5632" s="5" t="s">
        <v>8699</v>
      </c>
      <c r="W5632" s="5" t="s">
        <v>67</v>
      </c>
      <c r="X5632" s="5" t="s">
        <v>67</v>
      </c>
      <c r="Y5632" s="4">
        <v>120</v>
      </c>
      <c r="Z5632" s="4">
        <v>17</v>
      </c>
      <c r="AA5632" s="4">
        <v>24</v>
      </c>
      <c r="AB5632" s="4">
        <v>2</v>
      </c>
      <c r="AC5632" s="4">
        <v>8</v>
      </c>
      <c r="AD5632" s="4">
        <v>24</v>
      </c>
      <c r="AE5632" s="4">
        <v>29</v>
      </c>
      <c r="AF5632" s="4">
        <v>0</v>
      </c>
      <c r="AG5632" s="4">
        <v>3</v>
      </c>
      <c r="AH5632" s="4">
        <v>14</v>
      </c>
      <c r="AI5632" s="4">
        <v>15</v>
      </c>
      <c r="AJ5632" s="4">
        <v>7</v>
      </c>
      <c r="AK5632" s="4">
        <v>11</v>
      </c>
      <c r="AL5632" s="4">
        <v>11</v>
      </c>
      <c r="AM5632" s="4">
        <v>11</v>
      </c>
      <c r="AN5632" s="4">
        <v>0</v>
      </c>
      <c r="AO5632" s="4">
        <v>0</v>
      </c>
      <c r="AP5632" s="4">
        <v>10</v>
      </c>
      <c r="AQ5632" s="4">
        <v>13</v>
      </c>
      <c r="AR5632" s="3" t="s">
        <v>62</v>
      </c>
      <c r="AS5632" s="3" t="s">
        <v>62</v>
      </c>
      <c r="AT5632" s="3" t="s">
        <v>61</v>
      </c>
      <c r="AU5632" s="6" t="str">
        <f t="shared" si="91"/>
        <v>HathiTrust Record</v>
      </c>
      <c r="AV5632" s="6" t="str">
        <f t="shared" si="92"/>
        <v>Catalog Record</v>
      </c>
      <c r="AW5632" s="6" t="str">
        <f t="shared" si="93"/>
        <v>WorldCat Record</v>
      </c>
      <c r="AX5632" s="3" t="s">
        <v>53230</v>
      </c>
      <c r="AY5632" s="3" t="s">
        <v>53231</v>
      </c>
      <c r="AZ5632" s="3" t="s">
        <v>53232</v>
      </c>
      <c r="BA5632" s="3" t="s">
        <v>53232</v>
      </c>
      <c r="BB5632" s="3" t="s">
        <v>53352</v>
      </c>
      <c r="BC5632" s="3" t="s">
        <v>102</v>
      </c>
      <c r="BD5632" s="3" t="s">
        <v>68</v>
      </c>
      <c r="BE5632" s="3" t="s">
        <v>53234</v>
      </c>
      <c r="BF5632" s="3" t="s">
        <v>53352</v>
      </c>
      <c r="BG5632" s="3" t="s">
        <v>53353</v>
      </c>
    </row>
    <row r="5633" spans="1:59" ht="58" x14ac:dyDescent="0.35">
      <c r="A5633" s="2" t="s">
        <v>59</v>
      </c>
      <c r="B5633" s="2" t="s">
        <v>60</v>
      </c>
      <c r="C5633" s="2" t="s">
        <v>53225</v>
      </c>
      <c r="D5633" s="2" t="s">
        <v>53226</v>
      </c>
      <c r="E5633" s="2" t="s">
        <v>53227</v>
      </c>
      <c r="F5633" s="3" t="s">
        <v>53354</v>
      </c>
      <c r="G5633" s="3" t="s">
        <v>61</v>
      </c>
      <c r="I5633" s="3" t="s">
        <v>62</v>
      </c>
      <c r="J5633" s="3" t="s">
        <v>62</v>
      </c>
      <c r="K5633" s="3" t="s">
        <v>63</v>
      </c>
      <c r="M5633" s="2" t="s">
        <v>53229</v>
      </c>
      <c r="N5633" s="3" t="s">
        <v>7359</v>
      </c>
      <c r="P5633" s="3" t="s">
        <v>64</v>
      </c>
      <c r="R5633" s="3" t="s">
        <v>52945</v>
      </c>
      <c r="S5633" s="4">
        <v>5</v>
      </c>
      <c r="T5633" s="4">
        <v>38</v>
      </c>
      <c r="U5633" s="5" t="s">
        <v>8699</v>
      </c>
      <c r="V5633" s="5" t="s">
        <v>8699</v>
      </c>
      <c r="W5633" s="5" t="s">
        <v>67</v>
      </c>
      <c r="X5633" s="5" t="s">
        <v>67</v>
      </c>
      <c r="Y5633" s="4">
        <v>120</v>
      </c>
      <c r="Z5633" s="4">
        <v>17</v>
      </c>
      <c r="AA5633" s="4">
        <v>24</v>
      </c>
      <c r="AB5633" s="4">
        <v>2</v>
      </c>
      <c r="AC5633" s="4">
        <v>8</v>
      </c>
      <c r="AD5633" s="4">
        <v>24</v>
      </c>
      <c r="AE5633" s="4">
        <v>29</v>
      </c>
      <c r="AF5633" s="4">
        <v>0</v>
      </c>
      <c r="AG5633" s="4">
        <v>3</v>
      </c>
      <c r="AH5633" s="4">
        <v>14</v>
      </c>
      <c r="AI5633" s="4">
        <v>15</v>
      </c>
      <c r="AJ5633" s="4">
        <v>7</v>
      </c>
      <c r="AK5633" s="4">
        <v>11</v>
      </c>
      <c r="AL5633" s="4">
        <v>11</v>
      </c>
      <c r="AM5633" s="4">
        <v>11</v>
      </c>
      <c r="AN5633" s="4">
        <v>0</v>
      </c>
      <c r="AO5633" s="4">
        <v>0</v>
      </c>
      <c r="AP5633" s="4">
        <v>10</v>
      </c>
      <c r="AQ5633" s="4">
        <v>13</v>
      </c>
      <c r="AR5633" s="3" t="s">
        <v>62</v>
      </c>
      <c r="AS5633" s="3" t="s">
        <v>62</v>
      </c>
      <c r="AT5633" s="3" t="s">
        <v>61</v>
      </c>
      <c r="AU5633" s="6" t="str">
        <f t="shared" si="91"/>
        <v>HathiTrust Record</v>
      </c>
      <c r="AV5633" s="6" t="str">
        <f t="shared" si="92"/>
        <v>Catalog Record</v>
      </c>
      <c r="AW5633" s="6" t="str">
        <f t="shared" si="93"/>
        <v>WorldCat Record</v>
      </c>
      <c r="AX5633" s="3" t="s">
        <v>53230</v>
      </c>
      <c r="AY5633" s="3" t="s">
        <v>53231</v>
      </c>
      <c r="AZ5633" s="3" t="s">
        <v>53232</v>
      </c>
      <c r="BA5633" s="3" t="s">
        <v>53232</v>
      </c>
      <c r="BB5633" s="3" t="s">
        <v>53355</v>
      </c>
      <c r="BC5633" s="3" t="s">
        <v>102</v>
      </c>
      <c r="BD5633" s="3" t="s">
        <v>68</v>
      </c>
      <c r="BE5633" s="3" t="s">
        <v>53234</v>
      </c>
      <c r="BF5633" s="3" t="s">
        <v>53355</v>
      </c>
      <c r="BG5633" s="3" t="s">
        <v>53356</v>
      </c>
    </row>
    <row r="5634" spans="1:59" ht="58" x14ac:dyDescent="0.35">
      <c r="A5634" s="2" t="s">
        <v>59</v>
      </c>
      <c r="B5634" s="2" t="s">
        <v>60</v>
      </c>
      <c r="C5634" s="2" t="s">
        <v>53225</v>
      </c>
      <c r="D5634" s="2" t="s">
        <v>53226</v>
      </c>
      <c r="E5634" s="2" t="s">
        <v>53227</v>
      </c>
      <c r="F5634" s="3" t="s">
        <v>53357</v>
      </c>
      <c r="G5634" s="3" t="s">
        <v>61</v>
      </c>
      <c r="I5634" s="3" t="s">
        <v>62</v>
      </c>
      <c r="J5634" s="3" t="s">
        <v>62</v>
      </c>
      <c r="K5634" s="3" t="s">
        <v>63</v>
      </c>
      <c r="M5634" s="2" t="s">
        <v>53229</v>
      </c>
      <c r="N5634" s="3" t="s">
        <v>7359</v>
      </c>
      <c r="P5634" s="3" t="s">
        <v>64</v>
      </c>
      <c r="R5634" s="3" t="s">
        <v>52945</v>
      </c>
      <c r="S5634" s="4">
        <v>0</v>
      </c>
      <c r="T5634" s="4">
        <v>38</v>
      </c>
      <c r="V5634" s="5" t="s">
        <v>8699</v>
      </c>
      <c r="W5634" s="5" t="s">
        <v>67</v>
      </c>
      <c r="X5634" s="5" t="s">
        <v>67</v>
      </c>
      <c r="Y5634" s="4">
        <v>120</v>
      </c>
      <c r="Z5634" s="4">
        <v>17</v>
      </c>
      <c r="AA5634" s="4">
        <v>24</v>
      </c>
      <c r="AB5634" s="4">
        <v>2</v>
      </c>
      <c r="AC5634" s="4">
        <v>8</v>
      </c>
      <c r="AD5634" s="4">
        <v>24</v>
      </c>
      <c r="AE5634" s="4">
        <v>29</v>
      </c>
      <c r="AF5634" s="4">
        <v>0</v>
      </c>
      <c r="AG5634" s="4">
        <v>3</v>
      </c>
      <c r="AH5634" s="4">
        <v>14</v>
      </c>
      <c r="AI5634" s="4">
        <v>15</v>
      </c>
      <c r="AJ5634" s="4">
        <v>7</v>
      </c>
      <c r="AK5634" s="4">
        <v>11</v>
      </c>
      <c r="AL5634" s="4">
        <v>11</v>
      </c>
      <c r="AM5634" s="4">
        <v>11</v>
      </c>
      <c r="AN5634" s="4">
        <v>0</v>
      </c>
      <c r="AO5634" s="4">
        <v>0</v>
      </c>
      <c r="AP5634" s="4">
        <v>10</v>
      </c>
      <c r="AQ5634" s="4">
        <v>13</v>
      </c>
      <c r="AR5634" s="3" t="s">
        <v>62</v>
      </c>
      <c r="AS5634" s="3" t="s">
        <v>62</v>
      </c>
      <c r="AT5634" s="3" t="s">
        <v>61</v>
      </c>
      <c r="AU5634" s="6" t="str">
        <f t="shared" si="91"/>
        <v>HathiTrust Record</v>
      </c>
      <c r="AV5634" s="6" t="str">
        <f t="shared" si="92"/>
        <v>Catalog Record</v>
      </c>
      <c r="AW5634" s="6" t="str">
        <f t="shared" si="93"/>
        <v>WorldCat Record</v>
      </c>
      <c r="AX5634" s="3" t="s">
        <v>53230</v>
      </c>
      <c r="AY5634" s="3" t="s">
        <v>53231</v>
      </c>
      <c r="AZ5634" s="3" t="s">
        <v>53232</v>
      </c>
      <c r="BA5634" s="3" t="s">
        <v>53232</v>
      </c>
      <c r="BB5634" s="3" t="s">
        <v>53358</v>
      </c>
      <c r="BC5634" s="3" t="s">
        <v>102</v>
      </c>
      <c r="BD5634" s="3" t="s">
        <v>68</v>
      </c>
      <c r="BE5634" s="3" t="s">
        <v>53234</v>
      </c>
      <c r="BF5634" s="3" t="s">
        <v>53358</v>
      </c>
      <c r="BG5634" s="3" t="s">
        <v>53359</v>
      </c>
    </row>
    <row r="5635" spans="1:59" ht="58" x14ac:dyDescent="0.35">
      <c r="A5635" s="2" t="s">
        <v>59</v>
      </c>
      <c r="B5635" s="2" t="s">
        <v>60</v>
      </c>
      <c r="C5635" s="2" t="s">
        <v>53225</v>
      </c>
      <c r="D5635" s="2" t="s">
        <v>53226</v>
      </c>
      <c r="E5635" s="2" t="s">
        <v>53227</v>
      </c>
      <c r="F5635" s="3" t="s">
        <v>53360</v>
      </c>
      <c r="G5635" s="3" t="s">
        <v>61</v>
      </c>
      <c r="I5635" s="3" t="s">
        <v>62</v>
      </c>
      <c r="J5635" s="3" t="s">
        <v>62</v>
      </c>
      <c r="K5635" s="3" t="s">
        <v>63</v>
      </c>
      <c r="M5635" s="2" t="s">
        <v>53229</v>
      </c>
      <c r="N5635" s="3" t="s">
        <v>7359</v>
      </c>
      <c r="P5635" s="3" t="s">
        <v>64</v>
      </c>
      <c r="R5635" s="3" t="s">
        <v>52945</v>
      </c>
      <c r="S5635" s="4">
        <v>1</v>
      </c>
      <c r="T5635" s="4">
        <v>38</v>
      </c>
      <c r="U5635" s="5" t="s">
        <v>8699</v>
      </c>
      <c r="V5635" s="5" t="s">
        <v>8699</v>
      </c>
      <c r="W5635" s="5" t="s">
        <v>67</v>
      </c>
      <c r="X5635" s="5" t="s">
        <v>67</v>
      </c>
      <c r="Y5635" s="4">
        <v>120</v>
      </c>
      <c r="Z5635" s="4">
        <v>17</v>
      </c>
      <c r="AA5635" s="4">
        <v>24</v>
      </c>
      <c r="AB5635" s="4">
        <v>2</v>
      </c>
      <c r="AC5635" s="4">
        <v>8</v>
      </c>
      <c r="AD5635" s="4">
        <v>24</v>
      </c>
      <c r="AE5635" s="4">
        <v>29</v>
      </c>
      <c r="AF5635" s="4">
        <v>0</v>
      </c>
      <c r="AG5635" s="4">
        <v>3</v>
      </c>
      <c r="AH5635" s="4">
        <v>14</v>
      </c>
      <c r="AI5635" s="4">
        <v>15</v>
      </c>
      <c r="AJ5635" s="4">
        <v>7</v>
      </c>
      <c r="AK5635" s="4">
        <v>11</v>
      </c>
      <c r="AL5635" s="4">
        <v>11</v>
      </c>
      <c r="AM5635" s="4">
        <v>11</v>
      </c>
      <c r="AN5635" s="4">
        <v>0</v>
      </c>
      <c r="AO5635" s="4">
        <v>0</v>
      </c>
      <c r="AP5635" s="4">
        <v>10</v>
      </c>
      <c r="AQ5635" s="4">
        <v>13</v>
      </c>
      <c r="AR5635" s="3" t="s">
        <v>62</v>
      </c>
      <c r="AS5635" s="3" t="s">
        <v>62</v>
      </c>
      <c r="AT5635" s="3" t="s">
        <v>61</v>
      </c>
      <c r="AU5635" s="6" t="str">
        <f t="shared" si="91"/>
        <v>HathiTrust Record</v>
      </c>
      <c r="AV5635" s="6" t="str">
        <f t="shared" si="92"/>
        <v>Catalog Record</v>
      </c>
      <c r="AW5635" s="6" t="str">
        <f t="shared" si="93"/>
        <v>WorldCat Record</v>
      </c>
      <c r="AX5635" s="3" t="s">
        <v>53230</v>
      </c>
      <c r="AY5635" s="3" t="s">
        <v>53231</v>
      </c>
      <c r="AZ5635" s="3" t="s">
        <v>53232</v>
      </c>
      <c r="BA5635" s="3" t="s">
        <v>53232</v>
      </c>
      <c r="BB5635" s="3" t="s">
        <v>53361</v>
      </c>
      <c r="BC5635" s="3" t="s">
        <v>102</v>
      </c>
      <c r="BD5635" s="3" t="s">
        <v>68</v>
      </c>
      <c r="BE5635" s="3" t="s">
        <v>53234</v>
      </c>
      <c r="BF5635" s="3" t="s">
        <v>53361</v>
      </c>
      <c r="BG5635" s="3" t="s">
        <v>53362</v>
      </c>
    </row>
    <row r="5636" spans="1:59" ht="58" x14ac:dyDescent="0.35">
      <c r="A5636" s="2" t="s">
        <v>59</v>
      </c>
      <c r="B5636" s="2" t="s">
        <v>60</v>
      </c>
      <c r="C5636" s="2" t="s">
        <v>53225</v>
      </c>
      <c r="D5636" s="2" t="s">
        <v>53226</v>
      </c>
      <c r="E5636" s="2" t="s">
        <v>53227</v>
      </c>
      <c r="F5636" s="3" t="s">
        <v>53363</v>
      </c>
      <c r="G5636" s="3" t="s">
        <v>61</v>
      </c>
      <c r="I5636" s="3" t="s">
        <v>62</v>
      </c>
      <c r="J5636" s="3" t="s">
        <v>62</v>
      </c>
      <c r="K5636" s="3" t="s">
        <v>63</v>
      </c>
      <c r="M5636" s="2" t="s">
        <v>53229</v>
      </c>
      <c r="N5636" s="3" t="s">
        <v>7359</v>
      </c>
      <c r="P5636" s="3" t="s">
        <v>64</v>
      </c>
      <c r="R5636" s="3" t="s">
        <v>52945</v>
      </c>
      <c r="S5636" s="4">
        <v>0</v>
      </c>
      <c r="T5636" s="4">
        <v>38</v>
      </c>
      <c r="V5636" s="5" t="s">
        <v>8699</v>
      </c>
      <c r="W5636" s="5" t="s">
        <v>67</v>
      </c>
      <c r="X5636" s="5" t="s">
        <v>67</v>
      </c>
      <c r="Y5636" s="4">
        <v>120</v>
      </c>
      <c r="Z5636" s="4">
        <v>17</v>
      </c>
      <c r="AA5636" s="4">
        <v>24</v>
      </c>
      <c r="AB5636" s="4">
        <v>2</v>
      </c>
      <c r="AC5636" s="4">
        <v>8</v>
      </c>
      <c r="AD5636" s="4">
        <v>24</v>
      </c>
      <c r="AE5636" s="4">
        <v>29</v>
      </c>
      <c r="AF5636" s="4">
        <v>0</v>
      </c>
      <c r="AG5636" s="4">
        <v>3</v>
      </c>
      <c r="AH5636" s="4">
        <v>14</v>
      </c>
      <c r="AI5636" s="4">
        <v>15</v>
      </c>
      <c r="AJ5636" s="4">
        <v>7</v>
      </c>
      <c r="AK5636" s="4">
        <v>11</v>
      </c>
      <c r="AL5636" s="4">
        <v>11</v>
      </c>
      <c r="AM5636" s="4">
        <v>11</v>
      </c>
      <c r="AN5636" s="4">
        <v>0</v>
      </c>
      <c r="AO5636" s="4">
        <v>0</v>
      </c>
      <c r="AP5636" s="4">
        <v>10</v>
      </c>
      <c r="AQ5636" s="4">
        <v>13</v>
      </c>
      <c r="AR5636" s="3" t="s">
        <v>62</v>
      </c>
      <c r="AS5636" s="3" t="s">
        <v>62</v>
      </c>
      <c r="AT5636" s="3" t="s">
        <v>61</v>
      </c>
      <c r="AU5636" s="6" t="str">
        <f t="shared" si="91"/>
        <v>HathiTrust Record</v>
      </c>
      <c r="AV5636" s="6" t="str">
        <f t="shared" si="92"/>
        <v>Catalog Record</v>
      </c>
      <c r="AW5636" s="6" t="str">
        <f t="shared" si="93"/>
        <v>WorldCat Record</v>
      </c>
      <c r="AX5636" s="3" t="s">
        <v>53230</v>
      </c>
      <c r="AY5636" s="3" t="s">
        <v>53231</v>
      </c>
      <c r="AZ5636" s="3" t="s">
        <v>53232</v>
      </c>
      <c r="BA5636" s="3" t="s">
        <v>53232</v>
      </c>
      <c r="BB5636" s="3" t="s">
        <v>53364</v>
      </c>
      <c r="BC5636" s="3" t="s">
        <v>102</v>
      </c>
      <c r="BD5636" s="3" t="s">
        <v>68</v>
      </c>
      <c r="BE5636" s="3" t="s">
        <v>53234</v>
      </c>
      <c r="BF5636" s="3" t="s">
        <v>53364</v>
      </c>
      <c r="BG5636" s="3" t="s">
        <v>53365</v>
      </c>
    </row>
    <row r="5637" spans="1:59" ht="58" x14ac:dyDescent="0.35">
      <c r="A5637" s="2" t="s">
        <v>59</v>
      </c>
      <c r="B5637" s="2" t="s">
        <v>60</v>
      </c>
      <c r="C5637" s="2" t="s">
        <v>53225</v>
      </c>
      <c r="D5637" s="2" t="s">
        <v>53226</v>
      </c>
      <c r="E5637" s="2" t="s">
        <v>53227</v>
      </c>
      <c r="F5637" s="3" t="s">
        <v>53366</v>
      </c>
      <c r="G5637" s="3" t="s">
        <v>61</v>
      </c>
      <c r="I5637" s="3" t="s">
        <v>62</v>
      </c>
      <c r="J5637" s="3" t="s">
        <v>62</v>
      </c>
      <c r="K5637" s="3" t="s">
        <v>63</v>
      </c>
      <c r="M5637" s="2" t="s">
        <v>53229</v>
      </c>
      <c r="N5637" s="3" t="s">
        <v>7359</v>
      </c>
      <c r="P5637" s="3" t="s">
        <v>64</v>
      </c>
      <c r="R5637" s="3" t="s">
        <v>52945</v>
      </c>
      <c r="S5637" s="4">
        <v>1</v>
      </c>
      <c r="T5637" s="4">
        <v>38</v>
      </c>
      <c r="U5637" s="5" t="s">
        <v>8699</v>
      </c>
      <c r="V5637" s="5" t="s">
        <v>8699</v>
      </c>
      <c r="W5637" s="5" t="s">
        <v>67</v>
      </c>
      <c r="X5637" s="5" t="s">
        <v>67</v>
      </c>
      <c r="Y5637" s="4">
        <v>120</v>
      </c>
      <c r="Z5637" s="4">
        <v>17</v>
      </c>
      <c r="AA5637" s="4">
        <v>24</v>
      </c>
      <c r="AB5637" s="4">
        <v>2</v>
      </c>
      <c r="AC5637" s="4">
        <v>8</v>
      </c>
      <c r="AD5637" s="4">
        <v>24</v>
      </c>
      <c r="AE5637" s="4">
        <v>29</v>
      </c>
      <c r="AF5637" s="4">
        <v>0</v>
      </c>
      <c r="AG5637" s="4">
        <v>3</v>
      </c>
      <c r="AH5637" s="4">
        <v>14</v>
      </c>
      <c r="AI5637" s="4">
        <v>15</v>
      </c>
      <c r="AJ5637" s="4">
        <v>7</v>
      </c>
      <c r="AK5637" s="4">
        <v>11</v>
      </c>
      <c r="AL5637" s="4">
        <v>11</v>
      </c>
      <c r="AM5637" s="4">
        <v>11</v>
      </c>
      <c r="AN5637" s="4">
        <v>0</v>
      </c>
      <c r="AO5637" s="4">
        <v>0</v>
      </c>
      <c r="AP5637" s="4">
        <v>10</v>
      </c>
      <c r="AQ5637" s="4">
        <v>13</v>
      </c>
      <c r="AR5637" s="3" t="s">
        <v>62</v>
      </c>
      <c r="AS5637" s="3" t="s">
        <v>62</v>
      </c>
      <c r="AT5637" s="3" t="s">
        <v>61</v>
      </c>
      <c r="AU5637" s="6" t="str">
        <f t="shared" si="91"/>
        <v>HathiTrust Record</v>
      </c>
      <c r="AV5637" s="6" t="str">
        <f t="shared" si="92"/>
        <v>Catalog Record</v>
      </c>
      <c r="AW5637" s="6" t="str">
        <f t="shared" si="93"/>
        <v>WorldCat Record</v>
      </c>
      <c r="AX5637" s="3" t="s">
        <v>53230</v>
      </c>
      <c r="AY5637" s="3" t="s">
        <v>53231</v>
      </c>
      <c r="AZ5637" s="3" t="s">
        <v>53232</v>
      </c>
      <c r="BA5637" s="3" t="s">
        <v>53232</v>
      </c>
      <c r="BB5637" s="3" t="s">
        <v>53367</v>
      </c>
      <c r="BC5637" s="3" t="s">
        <v>102</v>
      </c>
      <c r="BD5637" s="3" t="s">
        <v>68</v>
      </c>
      <c r="BE5637" s="3" t="s">
        <v>53234</v>
      </c>
      <c r="BF5637" s="3" t="s">
        <v>53367</v>
      </c>
      <c r="BG5637" s="3" t="s">
        <v>53368</v>
      </c>
    </row>
    <row r="5638" spans="1:59" ht="101.5" x14ac:dyDescent="0.35">
      <c r="A5638" s="2" t="s">
        <v>89</v>
      </c>
      <c r="B5638" s="2" t="s">
        <v>36812</v>
      </c>
      <c r="C5638" s="2" t="s">
        <v>53369</v>
      </c>
      <c r="D5638" s="2" t="s">
        <v>53370</v>
      </c>
      <c r="E5638" s="2" t="s">
        <v>53371</v>
      </c>
      <c r="G5638" s="3" t="s">
        <v>62</v>
      </c>
      <c r="I5638" s="3" t="s">
        <v>62</v>
      </c>
      <c r="J5638" s="3" t="s">
        <v>62</v>
      </c>
      <c r="K5638" s="3" t="s">
        <v>63</v>
      </c>
      <c r="L5638" s="2" t="s">
        <v>53372</v>
      </c>
      <c r="M5638" s="2" t="s">
        <v>53373</v>
      </c>
      <c r="N5638" s="3" t="s">
        <v>1455</v>
      </c>
      <c r="O5638" s="2" t="s">
        <v>1941</v>
      </c>
      <c r="P5638" s="3" t="s">
        <v>64</v>
      </c>
      <c r="R5638" s="3" t="s">
        <v>52945</v>
      </c>
      <c r="S5638" s="4">
        <v>5</v>
      </c>
      <c r="T5638" s="4">
        <v>5</v>
      </c>
      <c r="U5638" s="5" t="s">
        <v>2667</v>
      </c>
      <c r="V5638" s="5" t="s">
        <v>2667</v>
      </c>
      <c r="W5638" s="5" t="s">
        <v>67</v>
      </c>
      <c r="X5638" s="5" t="s">
        <v>67</v>
      </c>
      <c r="Y5638" s="4">
        <v>683</v>
      </c>
      <c r="Z5638" s="4">
        <v>19</v>
      </c>
      <c r="AA5638" s="4">
        <v>25</v>
      </c>
      <c r="AB5638" s="4">
        <v>1</v>
      </c>
      <c r="AC5638" s="4">
        <v>4</v>
      </c>
      <c r="AD5638" s="4">
        <v>16</v>
      </c>
      <c r="AE5638" s="4">
        <v>17</v>
      </c>
      <c r="AF5638" s="4">
        <v>0</v>
      </c>
      <c r="AG5638" s="4">
        <v>0</v>
      </c>
      <c r="AH5638" s="4">
        <v>16</v>
      </c>
      <c r="AI5638" s="4">
        <v>17</v>
      </c>
      <c r="AJ5638" s="4">
        <v>0</v>
      </c>
      <c r="AK5638" s="4">
        <v>0</v>
      </c>
      <c r="AL5638" s="4">
        <v>8</v>
      </c>
      <c r="AM5638" s="4">
        <v>9</v>
      </c>
      <c r="AN5638" s="4">
        <v>0</v>
      </c>
      <c r="AO5638" s="4">
        <v>0</v>
      </c>
      <c r="AP5638" s="4">
        <v>0</v>
      </c>
      <c r="AQ5638" s="4">
        <v>0</v>
      </c>
      <c r="AR5638" s="3" t="s">
        <v>62</v>
      </c>
      <c r="AS5638" s="3" t="s">
        <v>62</v>
      </c>
      <c r="AT5638" s="3" t="s">
        <v>62</v>
      </c>
      <c r="AV5638" s="6" t="str">
        <f>HYPERLINK("http://mcgill.on.worldcat.org/oclc/905450262","Catalog Record")</f>
        <v>Catalog Record</v>
      </c>
      <c r="AW5638" s="6" t="str">
        <f>HYPERLINK("http://www.worldcat.org/oclc/905450262","WorldCat Record")</f>
        <v>WorldCat Record</v>
      </c>
      <c r="AX5638" s="3" t="s">
        <v>53374</v>
      </c>
      <c r="AY5638" s="3" t="s">
        <v>53375</v>
      </c>
      <c r="AZ5638" s="3" t="s">
        <v>53376</v>
      </c>
      <c r="BA5638" s="3" t="s">
        <v>53376</v>
      </c>
      <c r="BB5638" s="3" t="s">
        <v>53377</v>
      </c>
      <c r="BC5638" s="3" t="s">
        <v>102</v>
      </c>
      <c r="BD5638" s="3" t="s">
        <v>68</v>
      </c>
      <c r="BE5638" s="3" t="s">
        <v>53378</v>
      </c>
      <c r="BF5638" s="3" t="s">
        <v>53377</v>
      </c>
      <c r="BG5638" s="3" t="s">
        <v>53379</v>
      </c>
    </row>
    <row r="5639" spans="1:59" ht="101.5" x14ac:dyDescent="0.35">
      <c r="A5639" s="2" t="s">
        <v>89</v>
      </c>
      <c r="B5639" s="2" t="s">
        <v>36812</v>
      </c>
      <c r="C5639" s="2" t="s">
        <v>53380</v>
      </c>
      <c r="D5639" s="2" t="s">
        <v>53381</v>
      </c>
      <c r="E5639" s="2" t="s">
        <v>53382</v>
      </c>
      <c r="G5639" s="3" t="s">
        <v>62</v>
      </c>
      <c r="I5639" s="3" t="s">
        <v>61</v>
      </c>
      <c r="J5639" s="3" t="s">
        <v>62</v>
      </c>
      <c r="K5639" s="3" t="s">
        <v>63</v>
      </c>
      <c r="L5639" s="2" t="s">
        <v>53383</v>
      </c>
      <c r="M5639" s="2" t="s">
        <v>53384</v>
      </c>
      <c r="N5639" s="3" t="s">
        <v>880</v>
      </c>
      <c r="P5639" s="3" t="s">
        <v>64</v>
      </c>
      <c r="R5639" s="3" t="s">
        <v>52945</v>
      </c>
      <c r="S5639" s="4">
        <v>7</v>
      </c>
      <c r="T5639" s="4">
        <v>8</v>
      </c>
      <c r="U5639" s="5" t="s">
        <v>53385</v>
      </c>
      <c r="V5639" s="5" t="s">
        <v>53385</v>
      </c>
      <c r="W5639" s="5" t="s">
        <v>67</v>
      </c>
      <c r="X5639" s="5" t="s">
        <v>67</v>
      </c>
      <c r="Y5639" s="4">
        <v>1041</v>
      </c>
      <c r="Z5639" s="4">
        <v>38</v>
      </c>
      <c r="AA5639" s="4">
        <v>42</v>
      </c>
      <c r="AB5639" s="4">
        <v>2</v>
      </c>
      <c r="AC5639" s="4">
        <v>5</v>
      </c>
      <c r="AD5639" s="4">
        <v>78</v>
      </c>
      <c r="AE5639" s="4">
        <v>80</v>
      </c>
      <c r="AF5639" s="4">
        <v>0</v>
      </c>
      <c r="AG5639" s="4">
        <v>1</v>
      </c>
      <c r="AH5639" s="4">
        <v>71</v>
      </c>
      <c r="AI5639" s="4">
        <v>72</v>
      </c>
      <c r="AJ5639" s="4">
        <v>13</v>
      </c>
      <c r="AK5639" s="4">
        <v>14</v>
      </c>
      <c r="AL5639" s="4">
        <v>35</v>
      </c>
      <c r="AM5639" s="4">
        <v>35</v>
      </c>
      <c r="AN5639" s="4">
        <v>0</v>
      </c>
      <c r="AO5639" s="4">
        <v>0</v>
      </c>
      <c r="AP5639" s="4">
        <v>15</v>
      </c>
      <c r="AQ5639" s="4">
        <v>15</v>
      </c>
      <c r="AR5639" s="3" t="s">
        <v>62</v>
      </c>
      <c r="AS5639" s="3" t="s">
        <v>62</v>
      </c>
      <c r="AT5639" s="3" t="s">
        <v>62</v>
      </c>
      <c r="AV5639" s="6" t="str">
        <f>HYPERLINK("http://mcgill.on.worldcat.org/oclc/520440993","Catalog Record")</f>
        <v>Catalog Record</v>
      </c>
      <c r="AW5639" s="6" t="str">
        <f>HYPERLINK("http://www.worldcat.org/oclc/520440993","WorldCat Record")</f>
        <v>WorldCat Record</v>
      </c>
      <c r="AX5639" s="3" t="s">
        <v>53386</v>
      </c>
      <c r="AY5639" s="3" t="s">
        <v>53387</v>
      </c>
      <c r="AZ5639" s="3" t="s">
        <v>53388</v>
      </c>
      <c r="BA5639" s="3" t="s">
        <v>53388</v>
      </c>
      <c r="BB5639" s="3" t="s">
        <v>53389</v>
      </c>
      <c r="BC5639" s="3" t="s">
        <v>102</v>
      </c>
      <c r="BD5639" s="3" t="s">
        <v>68</v>
      </c>
      <c r="BE5639" s="3" t="s">
        <v>53390</v>
      </c>
      <c r="BF5639" s="3" t="s">
        <v>53389</v>
      </c>
      <c r="BG5639" s="3" t="s">
        <v>53391</v>
      </c>
    </row>
    <row r="5640" spans="1:59" ht="101.5" x14ac:dyDescent="0.35">
      <c r="A5640" s="2" t="s">
        <v>89</v>
      </c>
      <c r="B5640" s="2" t="s">
        <v>36812</v>
      </c>
      <c r="C5640" s="2" t="s">
        <v>53392</v>
      </c>
      <c r="D5640" s="2" t="s">
        <v>53393</v>
      </c>
      <c r="E5640" s="2" t="s">
        <v>53394</v>
      </c>
      <c r="G5640" s="3" t="s">
        <v>62</v>
      </c>
      <c r="I5640" s="3" t="s">
        <v>62</v>
      </c>
      <c r="J5640" s="3" t="s">
        <v>62</v>
      </c>
      <c r="K5640" s="3" t="s">
        <v>63</v>
      </c>
      <c r="L5640" s="2" t="s">
        <v>53395</v>
      </c>
      <c r="M5640" s="2" t="s">
        <v>53396</v>
      </c>
      <c r="N5640" s="3" t="s">
        <v>880</v>
      </c>
      <c r="P5640" s="3" t="s">
        <v>64</v>
      </c>
      <c r="R5640" s="3" t="s">
        <v>52945</v>
      </c>
      <c r="S5640" s="4">
        <v>3</v>
      </c>
      <c r="T5640" s="4">
        <v>3</v>
      </c>
      <c r="U5640" s="5" t="s">
        <v>53397</v>
      </c>
      <c r="V5640" s="5" t="s">
        <v>53397</v>
      </c>
      <c r="W5640" s="5" t="s">
        <v>67</v>
      </c>
      <c r="X5640" s="5" t="s">
        <v>67</v>
      </c>
      <c r="Y5640" s="4">
        <v>367</v>
      </c>
      <c r="Z5640" s="4">
        <v>47</v>
      </c>
      <c r="AA5640" s="4">
        <v>68</v>
      </c>
      <c r="AB5640" s="4">
        <v>3</v>
      </c>
      <c r="AC5640" s="4">
        <v>9</v>
      </c>
      <c r="AD5640" s="4">
        <v>51</v>
      </c>
      <c r="AE5640" s="4">
        <v>59</v>
      </c>
      <c r="AF5640" s="4">
        <v>1</v>
      </c>
      <c r="AG5640" s="4">
        <v>2</v>
      </c>
      <c r="AH5640" s="4">
        <v>37</v>
      </c>
      <c r="AI5640" s="4">
        <v>42</v>
      </c>
      <c r="AJ5640" s="4">
        <v>12</v>
      </c>
      <c r="AK5640" s="4">
        <v>13</v>
      </c>
      <c r="AL5640" s="4">
        <v>22</v>
      </c>
      <c r="AM5640" s="4">
        <v>25</v>
      </c>
      <c r="AN5640" s="4">
        <v>0</v>
      </c>
      <c r="AO5640" s="4">
        <v>0</v>
      </c>
      <c r="AP5640" s="4">
        <v>20</v>
      </c>
      <c r="AQ5640" s="4">
        <v>24</v>
      </c>
      <c r="AR5640" s="3" t="s">
        <v>61</v>
      </c>
      <c r="AS5640" s="3" t="s">
        <v>62</v>
      </c>
      <c r="AT5640" s="3" t="s">
        <v>62</v>
      </c>
      <c r="AV5640" s="6" t="str">
        <f>HYPERLINK("http://mcgill.on.worldcat.org/oclc/555627797","Catalog Record")</f>
        <v>Catalog Record</v>
      </c>
      <c r="AW5640" s="6" t="str">
        <f>HYPERLINK("http://www.worldcat.org/oclc/555627797","WorldCat Record")</f>
        <v>WorldCat Record</v>
      </c>
      <c r="AX5640" s="3" t="s">
        <v>53398</v>
      </c>
      <c r="AY5640" s="3" t="s">
        <v>53399</v>
      </c>
      <c r="AZ5640" s="3" t="s">
        <v>53400</v>
      </c>
      <c r="BA5640" s="3" t="s">
        <v>53400</v>
      </c>
      <c r="BB5640" s="3" t="s">
        <v>53401</v>
      </c>
      <c r="BC5640" s="3" t="s">
        <v>102</v>
      </c>
      <c r="BD5640" s="3" t="s">
        <v>68</v>
      </c>
      <c r="BE5640" s="3" t="s">
        <v>53402</v>
      </c>
      <c r="BF5640" s="3" t="s">
        <v>53401</v>
      </c>
      <c r="BG5640" s="3" t="s">
        <v>53403</v>
      </c>
    </row>
    <row r="5641" spans="1:59" ht="101.5" x14ac:dyDescent="0.35">
      <c r="A5641" s="2" t="s">
        <v>89</v>
      </c>
      <c r="B5641" s="2" t="s">
        <v>36812</v>
      </c>
      <c r="C5641" s="2" t="s">
        <v>53404</v>
      </c>
      <c r="D5641" s="2" t="s">
        <v>53405</v>
      </c>
      <c r="E5641" s="2" t="s">
        <v>53406</v>
      </c>
      <c r="G5641" s="3" t="s">
        <v>62</v>
      </c>
      <c r="I5641" s="3" t="s">
        <v>61</v>
      </c>
      <c r="J5641" s="3" t="s">
        <v>62</v>
      </c>
      <c r="K5641" s="3" t="s">
        <v>63</v>
      </c>
      <c r="M5641" s="2" t="s">
        <v>53407</v>
      </c>
      <c r="N5641" s="3" t="s">
        <v>880</v>
      </c>
      <c r="P5641" s="3" t="s">
        <v>64</v>
      </c>
      <c r="R5641" s="3" t="s">
        <v>52945</v>
      </c>
      <c r="S5641" s="4">
        <v>6</v>
      </c>
      <c r="T5641" s="4">
        <v>9</v>
      </c>
      <c r="U5641" s="5" t="s">
        <v>20582</v>
      </c>
      <c r="V5641" s="5" t="s">
        <v>20582</v>
      </c>
      <c r="W5641" s="5" t="s">
        <v>67</v>
      </c>
      <c r="X5641" s="5" t="s">
        <v>67</v>
      </c>
      <c r="Y5641" s="4">
        <v>1067</v>
      </c>
      <c r="Z5641" s="4">
        <v>24</v>
      </c>
      <c r="AA5641" s="4">
        <v>31</v>
      </c>
      <c r="AB5641" s="4">
        <v>4</v>
      </c>
      <c r="AC5641" s="4">
        <v>5</v>
      </c>
      <c r="AD5641" s="4">
        <v>13</v>
      </c>
      <c r="AE5641" s="4">
        <v>17</v>
      </c>
      <c r="AF5641" s="4">
        <v>0</v>
      </c>
      <c r="AG5641" s="4">
        <v>0</v>
      </c>
      <c r="AH5641" s="4">
        <v>12</v>
      </c>
      <c r="AI5641" s="4">
        <v>15</v>
      </c>
      <c r="AJ5641" s="4">
        <v>0</v>
      </c>
      <c r="AK5641" s="4">
        <v>0</v>
      </c>
      <c r="AL5641" s="4">
        <v>8</v>
      </c>
      <c r="AM5641" s="4">
        <v>10</v>
      </c>
      <c r="AN5641" s="4">
        <v>0</v>
      </c>
      <c r="AO5641" s="4">
        <v>0</v>
      </c>
      <c r="AP5641" s="4">
        <v>1</v>
      </c>
      <c r="AQ5641" s="4">
        <v>2</v>
      </c>
      <c r="AR5641" s="3" t="s">
        <v>62</v>
      </c>
      <c r="AS5641" s="3" t="s">
        <v>62</v>
      </c>
      <c r="AT5641" s="3" t="s">
        <v>62</v>
      </c>
      <c r="AV5641" s="6" t="str">
        <f>HYPERLINK("http://mcgill.on.worldcat.org/oclc/562769059","Catalog Record")</f>
        <v>Catalog Record</v>
      </c>
      <c r="AW5641" s="6" t="str">
        <f>HYPERLINK("http://www.worldcat.org/oclc/562769059","WorldCat Record")</f>
        <v>WorldCat Record</v>
      </c>
      <c r="AX5641" s="3" t="s">
        <v>53408</v>
      </c>
      <c r="AY5641" s="3" t="s">
        <v>53409</v>
      </c>
      <c r="AZ5641" s="3" t="s">
        <v>53410</v>
      </c>
      <c r="BA5641" s="3" t="s">
        <v>53410</v>
      </c>
      <c r="BB5641" s="3" t="s">
        <v>53411</v>
      </c>
      <c r="BC5641" s="3" t="s">
        <v>102</v>
      </c>
      <c r="BD5641" s="3" t="s">
        <v>68</v>
      </c>
      <c r="BE5641" s="3" t="s">
        <v>53412</v>
      </c>
      <c r="BF5641" s="3" t="s">
        <v>53411</v>
      </c>
      <c r="BG5641" s="3" t="s">
        <v>53413</v>
      </c>
    </row>
    <row r="5642" spans="1:59" ht="101.5" x14ac:dyDescent="0.35">
      <c r="A5642" s="2" t="s">
        <v>89</v>
      </c>
      <c r="B5642" s="2" t="s">
        <v>36812</v>
      </c>
      <c r="C5642" s="2" t="s">
        <v>53414</v>
      </c>
      <c r="D5642" s="2" t="s">
        <v>53415</v>
      </c>
      <c r="E5642" s="2" t="s">
        <v>53416</v>
      </c>
      <c r="G5642" s="3" t="s">
        <v>62</v>
      </c>
      <c r="I5642" s="3" t="s">
        <v>62</v>
      </c>
      <c r="J5642" s="3" t="s">
        <v>62</v>
      </c>
      <c r="K5642" s="3" t="s">
        <v>63</v>
      </c>
      <c r="L5642" s="2" t="s">
        <v>53417</v>
      </c>
      <c r="M5642" s="2" t="s">
        <v>53418</v>
      </c>
      <c r="N5642" s="3" t="s">
        <v>568</v>
      </c>
      <c r="P5642" s="3" t="s">
        <v>64</v>
      </c>
      <c r="R5642" s="3" t="s">
        <v>52945</v>
      </c>
      <c r="S5642" s="4">
        <v>4</v>
      </c>
      <c r="T5642" s="4">
        <v>4</v>
      </c>
      <c r="U5642" s="5" t="s">
        <v>34669</v>
      </c>
      <c r="V5642" s="5" t="s">
        <v>34669</v>
      </c>
      <c r="W5642" s="5" t="s">
        <v>67</v>
      </c>
      <c r="X5642" s="5" t="s">
        <v>67</v>
      </c>
      <c r="Y5642" s="4">
        <v>1115</v>
      </c>
      <c r="Z5642" s="4">
        <v>39</v>
      </c>
      <c r="AA5642" s="4">
        <v>39</v>
      </c>
      <c r="AB5642" s="4">
        <v>4</v>
      </c>
      <c r="AC5642" s="4">
        <v>4</v>
      </c>
      <c r="AD5642" s="4">
        <v>67</v>
      </c>
      <c r="AE5642" s="4">
        <v>67</v>
      </c>
      <c r="AF5642" s="4">
        <v>0</v>
      </c>
      <c r="AG5642" s="4">
        <v>0</v>
      </c>
      <c r="AH5642" s="4">
        <v>61</v>
      </c>
      <c r="AI5642" s="4">
        <v>61</v>
      </c>
      <c r="AJ5642" s="4">
        <v>6</v>
      </c>
      <c r="AK5642" s="4">
        <v>6</v>
      </c>
      <c r="AL5642" s="4">
        <v>27</v>
      </c>
      <c r="AM5642" s="4">
        <v>27</v>
      </c>
      <c r="AN5642" s="4">
        <v>0</v>
      </c>
      <c r="AO5642" s="4">
        <v>0</v>
      </c>
      <c r="AP5642" s="4">
        <v>11</v>
      </c>
      <c r="AQ5642" s="4">
        <v>11</v>
      </c>
      <c r="AR5642" s="3" t="s">
        <v>62</v>
      </c>
      <c r="AS5642" s="3" t="s">
        <v>62</v>
      </c>
      <c r="AT5642" s="3" t="s">
        <v>62</v>
      </c>
      <c r="AV5642" s="6" t="str">
        <f>HYPERLINK("http://mcgill.on.worldcat.org/oclc/43599028","Catalog Record")</f>
        <v>Catalog Record</v>
      </c>
      <c r="AW5642" s="6" t="str">
        <f>HYPERLINK("http://www.worldcat.org/oclc/43599028","WorldCat Record")</f>
        <v>WorldCat Record</v>
      </c>
      <c r="AX5642" s="3" t="s">
        <v>53419</v>
      </c>
      <c r="AY5642" s="3" t="s">
        <v>53420</v>
      </c>
      <c r="AZ5642" s="3" t="s">
        <v>53421</v>
      </c>
      <c r="BA5642" s="3" t="s">
        <v>53421</v>
      </c>
      <c r="BB5642" s="3" t="s">
        <v>53422</v>
      </c>
      <c r="BC5642" s="3" t="s">
        <v>102</v>
      </c>
      <c r="BD5642" s="3" t="s">
        <v>68</v>
      </c>
      <c r="BE5642" s="3" t="s">
        <v>53423</v>
      </c>
      <c r="BF5642" s="3" t="s">
        <v>53422</v>
      </c>
      <c r="BG5642" s="3" t="s">
        <v>53424</v>
      </c>
    </row>
    <row r="5643" spans="1:59" ht="101.5" x14ac:dyDescent="0.35">
      <c r="A5643" s="2" t="s">
        <v>89</v>
      </c>
      <c r="B5643" s="2" t="s">
        <v>36812</v>
      </c>
      <c r="C5643" s="2" t="s">
        <v>53425</v>
      </c>
      <c r="D5643" s="2" t="s">
        <v>53426</v>
      </c>
      <c r="E5643" s="2" t="s">
        <v>53427</v>
      </c>
      <c r="G5643" s="3" t="s">
        <v>62</v>
      </c>
      <c r="I5643" s="3" t="s">
        <v>62</v>
      </c>
      <c r="J5643" s="3" t="s">
        <v>62</v>
      </c>
      <c r="K5643" s="3" t="s">
        <v>63</v>
      </c>
      <c r="L5643" s="2" t="s">
        <v>53428</v>
      </c>
      <c r="M5643" s="2" t="s">
        <v>53429</v>
      </c>
      <c r="N5643" s="3" t="s">
        <v>880</v>
      </c>
      <c r="P5643" s="3" t="s">
        <v>64</v>
      </c>
      <c r="R5643" s="3" t="s">
        <v>52945</v>
      </c>
      <c r="S5643" s="4">
        <v>0</v>
      </c>
      <c r="T5643" s="4">
        <v>0</v>
      </c>
      <c r="W5643" s="5" t="s">
        <v>67</v>
      </c>
      <c r="X5643" s="5" t="s">
        <v>67</v>
      </c>
      <c r="Y5643" s="4">
        <v>49</v>
      </c>
      <c r="Z5643" s="4">
        <v>3</v>
      </c>
      <c r="AA5643" s="4">
        <v>33</v>
      </c>
      <c r="AB5643" s="4">
        <v>1</v>
      </c>
      <c r="AC5643" s="4">
        <v>3</v>
      </c>
      <c r="AD5643" s="4">
        <v>0</v>
      </c>
      <c r="AE5643" s="4">
        <v>34</v>
      </c>
      <c r="AF5643" s="4">
        <v>0</v>
      </c>
      <c r="AG5643" s="4">
        <v>1</v>
      </c>
      <c r="AH5643" s="4">
        <v>0</v>
      </c>
      <c r="AI5643" s="4">
        <v>30</v>
      </c>
      <c r="AJ5643" s="4">
        <v>0</v>
      </c>
      <c r="AK5643" s="4">
        <v>5</v>
      </c>
      <c r="AL5643" s="4">
        <v>0</v>
      </c>
      <c r="AM5643" s="4">
        <v>15</v>
      </c>
      <c r="AN5643" s="4">
        <v>0</v>
      </c>
      <c r="AO5643" s="4">
        <v>0</v>
      </c>
      <c r="AP5643" s="4">
        <v>0</v>
      </c>
      <c r="AQ5643" s="4">
        <v>7</v>
      </c>
      <c r="AR5643" s="3" t="s">
        <v>62</v>
      </c>
      <c r="AS5643" s="3" t="s">
        <v>62</v>
      </c>
      <c r="AT5643" s="3" t="s">
        <v>62</v>
      </c>
      <c r="AV5643" s="6" t="str">
        <f>HYPERLINK("http://mcgill.on.worldcat.org/oclc/462908139","Catalog Record")</f>
        <v>Catalog Record</v>
      </c>
      <c r="AW5643" s="6" t="str">
        <f>HYPERLINK("http://www.worldcat.org/oclc/462908139","WorldCat Record")</f>
        <v>WorldCat Record</v>
      </c>
      <c r="AX5643" s="3" t="s">
        <v>53430</v>
      </c>
      <c r="AY5643" s="3" t="s">
        <v>53431</v>
      </c>
      <c r="AZ5643" s="3" t="s">
        <v>53432</v>
      </c>
      <c r="BA5643" s="3" t="s">
        <v>53432</v>
      </c>
      <c r="BB5643" s="3" t="s">
        <v>53433</v>
      </c>
      <c r="BC5643" s="3" t="s">
        <v>102</v>
      </c>
      <c r="BD5643" s="3" t="s">
        <v>68</v>
      </c>
      <c r="BE5643" s="3" t="s">
        <v>53434</v>
      </c>
      <c r="BF5643" s="3" t="s">
        <v>53433</v>
      </c>
      <c r="BG5643" s="3" t="s">
        <v>53435</v>
      </c>
    </row>
    <row r="5644" spans="1:59" ht="101.5" x14ac:dyDescent="0.35">
      <c r="A5644" s="2" t="s">
        <v>89</v>
      </c>
      <c r="B5644" s="2" t="s">
        <v>36812</v>
      </c>
      <c r="C5644" s="2" t="s">
        <v>53436</v>
      </c>
      <c r="D5644" s="2" t="s">
        <v>53437</v>
      </c>
      <c r="E5644" s="2" t="s">
        <v>53438</v>
      </c>
      <c r="G5644" s="3" t="s">
        <v>62</v>
      </c>
      <c r="I5644" s="3" t="s">
        <v>61</v>
      </c>
      <c r="J5644" s="3" t="s">
        <v>62</v>
      </c>
      <c r="K5644" s="3" t="s">
        <v>63</v>
      </c>
      <c r="L5644" s="2" t="s">
        <v>53439</v>
      </c>
      <c r="M5644" s="2" t="s">
        <v>23914</v>
      </c>
      <c r="N5644" s="3" t="s">
        <v>880</v>
      </c>
      <c r="P5644" s="3" t="s">
        <v>64</v>
      </c>
      <c r="Q5644" s="2" t="s">
        <v>53440</v>
      </c>
      <c r="R5644" s="3" t="s">
        <v>52945</v>
      </c>
      <c r="S5644" s="4">
        <v>0</v>
      </c>
      <c r="T5644" s="4">
        <v>0</v>
      </c>
      <c r="W5644" s="5" t="s">
        <v>67</v>
      </c>
      <c r="X5644" s="5" t="s">
        <v>67</v>
      </c>
      <c r="Y5644" s="4">
        <v>708</v>
      </c>
      <c r="Z5644" s="4">
        <v>22</v>
      </c>
      <c r="AA5644" s="4">
        <v>26</v>
      </c>
      <c r="AB5644" s="4">
        <v>1</v>
      </c>
      <c r="AC5644" s="4">
        <v>3</v>
      </c>
      <c r="AD5644" s="4">
        <v>41</v>
      </c>
      <c r="AE5644" s="4">
        <v>41</v>
      </c>
      <c r="AF5644" s="4">
        <v>0</v>
      </c>
      <c r="AG5644" s="4">
        <v>0</v>
      </c>
      <c r="AH5644" s="4">
        <v>33</v>
      </c>
      <c r="AI5644" s="4">
        <v>33</v>
      </c>
      <c r="AJ5644" s="4">
        <v>9</v>
      </c>
      <c r="AK5644" s="4">
        <v>9</v>
      </c>
      <c r="AL5644" s="4">
        <v>13</v>
      </c>
      <c r="AM5644" s="4">
        <v>13</v>
      </c>
      <c r="AN5644" s="4">
        <v>0</v>
      </c>
      <c r="AO5644" s="4">
        <v>0</v>
      </c>
      <c r="AP5644" s="4">
        <v>11</v>
      </c>
      <c r="AQ5644" s="4">
        <v>11</v>
      </c>
      <c r="AR5644" s="3" t="s">
        <v>62</v>
      </c>
      <c r="AS5644" s="3" t="s">
        <v>62</v>
      </c>
      <c r="AT5644" s="3" t="s">
        <v>62</v>
      </c>
      <c r="AV5644" s="6" t="str">
        <f>HYPERLINK("http://mcgill.on.worldcat.org/oclc/466361848","Catalog Record")</f>
        <v>Catalog Record</v>
      </c>
      <c r="AW5644" s="6" t="str">
        <f>HYPERLINK("http://www.worldcat.org/oclc/466361848","WorldCat Record")</f>
        <v>WorldCat Record</v>
      </c>
      <c r="AX5644" s="3" t="s">
        <v>53441</v>
      </c>
      <c r="AY5644" s="3" t="s">
        <v>53442</v>
      </c>
      <c r="AZ5644" s="3" t="s">
        <v>53443</v>
      </c>
      <c r="BA5644" s="3" t="s">
        <v>53443</v>
      </c>
      <c r="BB5644" s="3" t="s">
        <v>53444</v>
      </c>
      <c r="BC5644" s="3" t="s">
        <v>102</v>
      </c>
      <c r="BD5644" s="3" t="s">
        <v>68</v>
      </c>
      <c r="BE5644" s="3" t="s">
        <v>53445</v>
      </c>
      <c r="BF5644" s="3" t="s">
        <v>53444</v>
      </c>
      <c r="BG5644" s="3" t="s">
        <v>53446</v>
      </c>
    </row>
    <row r="5645" spans="1:59" ht="101.5" x14ac:dyDescent="0.35">
      <c r="A5645" s="2" t="s">
        <v>89</v>
      </c>
      <c r="B5645" s="2" t="s">
        <v>2033</v>
      </c>
      <c r="C5645" s="2" t="s">
        <v>53447</v>
      </c>
      <c r="D5645" s="2" t="s">
        <v>53448</v>
      </c>
      <c r="E5645" s="2" t="s">
        <v>53449</v>
      </c>
      <c r="G5645" s="3" t="s">
        <v>62</v>
      </c>
      <c r="I5645" s="3" t="s">
        <v>62</v>
      </c>
      <c r="J5645" s="3" t="s">
        <v>61</v>
      </c>
      <c r="K5645" s="3" t="s">
        <v>63</v>
      </c>
      <c r="M5645" s="2" t="s">
        <v>53450</v>
      </c>
      <c r="N5645" s="3" t="s">
        <v>129</v>
      </c>
      <c r="O5645" s="2" t="s">
        <v>53451</v>
      </c>
      <c r="P5645" s="3" t="s">
        <v>64</v>
      </c>
      <c r="R5645" s="3" t="s">
        <v>52945</v>
      </c>
      <c r="S5645" s="4">
        <v>2</v>
      </c>
      <c r="T5645" s="4">
        <v>2</v>
      </c>
      <c r="U5645" s="5" t="s">
        <v>5405</v>
      </c>
      <c r="V5645" s="5" t="s">
        <v>5405</v>
      </c>
      <c r="W5645" s="5" t="s">
        <v>1338</v>
      </c>
      <c r="X5645" s="5" t="s">
        <v>1338</v>
      </c>
      <c r="Y5645" s="4">
        <v>782</v>
      </c>
      <c r="Z5645" s="4">
        <v>43</v>
      </c>
      <c r="AA5645" s="4">
        <v>161</v>
      </c>
      <c r="AB5645" s="4">
        <v>2</v>
      </c>
      <c r="AC5645" s="4">
        <v>31</v>
      </c>
      <c r="AD5645" s="4">
        <v>79</v>
      </c>
      <c r="AE5645" s="4">
        <v>161</v>
      </c>
      <c r="AF5645" s="4">
        <v>1</v>
      </c>
      <c r="AG5645" s="4">
        <v>7</v>
      </c>
      <c r="AH5645" s="4">
        <v>61</v>
      </c>
      <c r="AI5645" s="4">
        <v>110</v>
      </c>
      <c r="AJ5645" s="4">
        <v>11</v>
      </c>
      <c r="AK5645" s="4">
        <v>27</v>
      </c>
      <c r="AL5645" s="4">
        <v>31</v>
      </c>
      <c r="AM5645" s="4">
        <v>59</v>
      </c>
      <c r="AN5645" s="4">
        <v>0</v>
      </c>
      <c r="AO5645" s="4">
        <v>0</v>
      </c>
      <c r="AP5645" s="4">
        <v>22</v>
      </c>
      <c r="AQ5645" s="4">
        <v>54</v>
      </c>
      <c r="AR5645" s="3" t="s">
        <v>62</v>
      </c>
      <c r="AS5645" s="3" t="s">
        <v>62</v>
      </c>
      <c r="AT5645" s="3" t="s">
        <v>62</v>
      </c>
      <c r="AV5645" s="6" t="str">
        <f>HYPERLINK("http://mcgill.on.worldcat.org/oclc/824530529","Catalog Record")</f>
        <v>Catalog Record</v>
      </c>
      <c r="AW5645" s="6" t="str">
        <f>HYPERLINK("http://www.worldcat.org/oclc/824530529","WorldCat Record")</f>
        <v>WorldCat Record</v>
      </c>
      <c r="AX5645" s="3" t="s">
        <v>53452</v>
      </c>
      <c r="AY5645" s="3" t="s">
        <v>53453</v>
      </c>
      <c r="AZ5645" s="3" t="s">
        <v>53454</v>
      </c>
      <c r="BA5645" s="3" t="s">
        <v>53454</v>
      </c>
      <c r="BB5645" s="3" t="s">
        <v>53455</v>
      </c>
      <c r="BC5645" s="3" t="s">
        <v>102</v>
      </c>
      <c r="BD5645" s="3" t="s">
        <v>68</v>
      </c>
      <c r="BE5645" s="3" t="s">
        <v>53456</v>
      </c>
      <c r="BF5645" s="3" t="s">
        <v>53455</v>
      </c>
      <c r="BG5645" s="3" t="s">
        <v>53457</v>
      </c>
    </row>
    <row r="5646" spans="1:59" ht="72.5" x14ac:dyDescent="0.35">
      <c r="A5646" s="2" t="s">
        <v>59</v>
      </c>
      <c r="B5646" s="2" t="s">
        <v>60</v>
      </c>
      <c r="C5646" s="2" t="s">
        <v>53458</v>
      </c>
      <c r="D5646" s="2" t="s">
        <v>53459</v>
      </c>
      <c r="E5646" s="2" t="s">
        <v>53460</v>
      </c>
      <c r="G5646" s="3" t="s">
        <v>62</v>
      </c>
      <c r="I5646" s="3" t="s">
        <v>62</v>
      </c>
      <c r="J5646" s="3" t="s">
        <v>62</v>
      </c>
      <c r="K5646" s="3" t="s">
        <v>63</v>
      </c>
      <c r="L5646" s="2" t="s">
        <v>53461</v>
      </c>
      <c r="M5646" s="2" t="s">
        <v>53462</v>
      </c>
      <c r="N5646" s="3" t="s">
        <v>4865</v>
      </c>
      <c r="P5646" s="3" t="s">
        <v>64</v>
      </c>
      <c r="R5646" s="3" t="s">
        <v>53463</v>
      </c>
      <c r="S5646" s="4">
        <v>2</v>
      </c>
      <c r="T5646" s="4">
        <v>2</v>
      </c>
      <c r="U5646" s="5" t="s">
        <v>13095</v>
      </c>
      <c r="V5646" s="5" t="s">
        <v>13095</v>
      </c>
      <c r="W5646" s="5" t="s">
        <v>67</v>
      </c>
      <c r="X5646" s="5" t="s">
        <v>67</v>
      </c>
      <c r="Y5646" s="4">
        <v>1</v>
      </c>
      <c r="Z5646" s="4">
        <v>1</v>
      </c>
      <c r="AA5646" s="4">
        <v>1</v>
      </c>
      <c r="AB5646" s="4">
        <v>1</v>
      </c>
      <c r="AC5646" s="4">
        <v>1</v>
      </c>
      <c r="AD5646" s="4">
        <v>0</v>
      </c>
      <c r="AE5646" s="4">
        <v>0</v>
      </c>
      <c r="AF5646" s="4">
        <v>0</v>
      </c>
      <c r="AG5646" s="4">
        <v>0</v>
      </c>
      <c r="AH5646" s="4">
        <v>0</v>
      </c>
      <c r="AI5646" s="4">
        <v>0</v>
      </c>
      <c r="AJ5646" s="4">
        <v>0</v>
      </c>
      <c r="AK5646" s="4">
        <v>0</v>
      </c>
      <c r="AL5646" s="4">
        <v>0</v>
      </c>
      <c r="AM5646" s="4">
        <v>0</v>
      </c>
      <c r="AN5646" s="4">
        <v>0</v>
      </c>
      <c r="AO5646" s="4">
        <v>0</v>
      </c>
      <c r="AP5646" s="4">
        <v>0</v>
      </c>
      <c r="AQ5646" s="4">
        <v>0</v>
      </c>
      <c r="AR5646" s="3" t="s">
        <v>62</v>
      </c>
      <c r="AS5646" s="3" t="s">
        <v>62</v>
      </c>
      <c r="AT5646" s="3" t="s">
        <v>62</v>
      </c>
      <c r="AV5646" s="6" t="str">
        <f>HYPERLINK("http://mcgill.on.worldcat.org/oclc/61592903","Catalog Record")</f>
        <v>Catalog Record</v>
      </c>
      <c r="AW5646" s="6" t="str">
        <f>HYPERLINK("http://www.worldcat.org/oclc/61592903","WorldCat Record")</f>
        <v>WorldCat Record</v>
      </c>
      <c r="AX5646" s="3" t="s">
        <v>53464</v>
      </c>
      <c r="AY5646" s="3" t="s">
        <v>53465</v>
      </c>
      <c r="AZ5646" s="3" t="s">
        <v>53466</v>
      </c>
      <c r="BA5646" s="3" t="s">
        <v>53466</v>
      </c>
      <c r="BB5646" s="3" t="s">
        <v>53467</v>
      </c>
      <c r="BC5646" s="3" t="s">
        <v>102</v>
      </c>
      <c r="BD5646" s="3" t="s">
        <v>68</v>
      </c>
      <c r="BF5646" s="3" t="s">
        <v>53467</v>
      </c>
      <c r="BG5646" s="3" t="s">
        <v>53468</v>
      </c>
    </row>
    <row r="5647" spans="1:59" ht="101.5" x14ac:dyDescent="0.35">
      <c r="A5647" s="2" t="s">
        <v>89</v>
      </c>
      <c r="B5647" s="2" t="s">
        <v>12301</v>
      </c>
      <c r="C5647" s="2" t="s">
        <v>53469</v>
      </c>
      <c r="D5647" s="2" t="s">
        <v>53470</v>
      </c>
      <c r="E5647" s="2" t="s">
        <v>53471</v>
      </c>
      <c r="G5647" s="3" t="s">
        <v>62</v>
      </c>
      <c r="I5647" s="3" t="s">
        <v>62</v>
      </c>
      <c r="J5647" s="3" t="s">
        <v>61</v>
      </c>
      <c r="K5647" s="3" t="s">
        <v>63</v>
      </c>
      <c r="L5647" s="2" t="s">
        <v>53472</v>
      </c>
      <c r="M5647" s="2" t="s">
        <v>53473</v>
      </c>
      <c r="N5647" s="3" t="s">
        <v>726</v>
      </c>
      <c r="O5647" s="2" t="s">
        <v>7791</v>
      </c>
      <c r="P5647" s="3" t="s">
        <v>64</v>
      </c>
      <c r="R5647" s="3" t="s">
        <v>53463</v>
      </c>
      <c r="S5647" s="4">
        <v>36</v>
      </c>
      <c r="T5647" s="4">
        <v>36</v>
      </c>
      <c r="U5647" s="5" t="s">
        <v>6904</v>
      </c>
      <c r="V5647" s="5" t="s">
        <v>6904</v>
      </c>
      <c r="W5647" s="5" t="s">
        <v>67</v>
      </c>
      <c r="X5647" s="5" t="s">
        <v>67</v>
      </c>
      <c r="Y5647" s="4">
        <v>74</v>
      </c>
      <c r="Z5647" s="4">
        <v>9</v>
      </c>
      <c r="AA5647" s="4">
        <v>24</v>
      </c>
      <c r="AB5647" s="4">
        <v>3</v>
      </c>
      <c r="AC5647" s="4">
        <v>5</v>
      </c>
      <c r="AD5647" s="4">
        <v>32</v>
      </c>
      <c r="AE5647" s="4">
        <v>77</v>
      </c>
      <c r="AF5647" s="4">
        <v>1</v>
      </c>
      <c r="AG5647" s="4">
        <v>2</v>
      </c>
      <c r="AH5647" s="4">
        <v>28</v>
      </c>
      <c r="AI5647" s="4">
        <v>68</v>
      </c>
      <c r="AJ5647" s="4">
        <v>7</v>
      </c>
      <c r="AK5647" s="4">
        <v>14</v>
      </c>
      <c r="AL5647" s="4">
        <v>19</v>
      </c>
      <c r="AM5647" s="4">
        <v>42</v>
      </c>
      <c r="AN5647" s="4">
        <v>0</v>
      </c>
      <c r="AO5647" s="4">
        <v>0</v>
      </c>
      <c r="AP5647" s="4">
        <v>6</v>
      </c>
      <c r="AQ5647" s="4">
        <v>17</v>
      </c>
      <c r="AR5647" s="3" t="s">
        <v>62</v>
      </c>
      <c r="AS5647" s="3" t="s">
        <v>62</v>
      </c>
      <c r="AT5647" s="3" t="s">
        <v>62</v>
      </c>
      <c r="AV5647" s="6" t="str">
        <f>HYPERLINK("http://mcgill.on.worldcat.org/oclc/951925510","Catalog Record")</f>
        <v>Catalog Record</v>
      </c>
      <c r="AW5647" s="6" t="str">
        <f>HYPERLINK("http://www.worldcat.org/oclc/951925510","WorldCat Record")</f>
        <v>WorldCat Record</v>
      </c>
      <c r="AX5647" s="3" t="s">
        <v>53474</v>
      </c>
      <c r="AY5647" s="3" t="s">
        <v>53475</v>
      </c>
      <c r="AZ5647" s="3" t="s">
        <v>53476</v>
      </c>
      <c r="BA5647" s="3" t="s">
        <v>53476</v>
      </c>
      <c r="BB5647" s="3" t="s">
        <v>53477</v>
      </c>
      <c r="BC5647" s="3" t="s">
        <v>102</v>
      </c>
      <c r="BD5647" s="3" t="s">
        <v>68</v>
      </c>
      <c r="BE5647" s="3" t="s">
        <v>53478</v>
      </c>
      <c r="BF5647" s="3" t="s">
        <v>53477</v>
      </c>
      <c r="BG5647" s="3" t="s">
        <v>53479</v>
      </c>
    </row>
    <row r="5648" spans="1:59" ht="101.5" x14ac:dyDescent="0.35">
      <c r="A5648" s="2" t="s">
        <v>89</v>
      </c>
      <c r="B5648" s="2" t="s">
        <v>12301</v>
      </c>
      <c r="C5648" s="2" t="s">
        <v>53480</v>
      </c>
      <c r="D5648" s="2" t="s">
        <v>53481</v>
      </c>
      <c r="E5648" s="2" t="s">
        <v>53482</v>
      </c>
      <c r="G5648" s="3" t="s">
        <v>62</v>
      </c>
      <c r="I5648" s="3" t="s">
        <v>62</v>
      </c>
      <c r="J5648" s="3" t="s">
        <v>61</v>
      </c>
      <c r="K5648" s="3" t="s">
        <v>63</v>
      </c>
      <c r="L5648" s="2" t="s">
        <v>53483</v>
      </c>
      <c r="M5648" s="2" t="s">
        <v>53484</v>
      </c>
      <c r="N5648" s="3" t="s">
        <v>1038</v>
      </c>
      <c r="O5648" s="2" t="s">
        <v>53485</v>
      </c>
      <c r="P5648" s="3" t="s">
        <v>64</v>
      </c>
      <c r="R5648" s="3" t="s">
        <v>53463</v>
      </c>
      <c r="S5648" s="4">
        <v>5</v>
      </c>
      <c r="T5648" s="4">
        <v>5</v>
      </c>
      <c r="U5648" s="5" t="s">
        <v>8815</v>
      </c>
      <c r="V5648" s="5" t="s">
        <v>8815</v>
      </c>
      <c r="W5648" s="5" t="s">
        <v>67</v>
      </c>
      <c r="X5648" s="5" t="s">
        <v>67</v>
      </c>
      <c r="Y5648" s="4">
        <v>49</v>
      </c>
      <c r="Z5648" s="4">
        <v>4</v>
      </c>
      <c r="AA5648" s="4">
        <v>42</v>
      </c>
      <c r="AB5648" s="4">
        <v>1</v>
      </c>
      <c r="AC5648" s="4">
        <v>8</v>
      </c>
      <c r="AD5648" s="4">
        <v>7</v>
      </c>
      <c r="AE5648" s="4">
        <v>94</v>
      </c>
      <c r="AF5648" s="4">
        <v>0</v>
      </c>
      <c r="AG5648" s="4">
        <v>5</v>
      </c>
      <c r="AH5648" s="4">
        <v>7</v>
      </c>
      <c r="AI5648" s="4">
        <v>81</v>
      </c>
      <c r="AJ5648" s="4">
        <v>1</v>
      </c>
      <c r="AK5648" s="4">
        <v>17</v>
      </c>
      <c r="AL5648" s="4">
        <v>5</v>
      </c>
      <c r="AM5648" s="4">
        <v>40</v>
      </c>
      <c r="AN5648" s="4">
        <v>0</v>
      </c>
      <c r="AO5648" s="4">
        <v>0</v>
      </c>
      <c r="AP5648" s="4">
        <v>1</v>
      </c>
      <c r="AQ5648" s="4">
        <v>22</v>
      </c>
      <c r="AR5648" s="3" t="s">
        <v>62</v>
      </c>
      <c r="AS5648" s="3" t="s">
        <v>62</v>
      </c>
      <c r="AT5648" s="3" t="s">
        <v>62</v>
      </c>
      <c r="AV5648" s="6" t="str">
        <f>HYPERLINK("http://mcgill.on.worldcat.org/oclc/929024724","Catalog Record")</f>
        <v>Catalog Record</v>
      </c>
      <c r="AW5648" s="6" t="str">
        <f>HYPERLINK("http://www.worldcat.org/oclc/929024724","WorldCat Record")</f>
        <v>WorldCat Record</v>
      </c>
      <c r="AX5648" s="3" t="s">
        <v>53486</v>
      </c>
      <c r="AY5648" s="3" t="s">
        <v>53487</v>
      </c>
      <c r="AZ5648" s="3" t="s">
        <v>53488</v>
      </c>
      <c r="BA5648" s="3" t="s">
        <v>53488</v>
      </c>
      <c r="BB5648" s="3" t="s">
        <v>53489</v>
      </c>
      <c r="BC5648" s="3" t="s">
        <v>102</v>
      </c>
      <c r="BD5648" s="3" t="s">
        <v>68</v>
      </c>
      <c r="BE5648" s="3" t="s">
        <v>53490</v>
      </c>
      <c r="BF5648" s="3" t="s">
        <v>53489</v>
      </c>
      <c r="BG5648" s="3" t="s">
        <v>53491</v>
      </c>
    </row>
    <row r="5649" spans="1:59" ht="101.5" x14ac:dyDescent="0.35">
      <c r="A5649" s="2" t="s">
        <v>89</v>
      </c>
      <c r="B5649" s="2" t="s">
        <v>36812</v>
      </c>
      <c r="C5649" s="2" t="s">
        <v>53492</v>
      </c>
      <c r="D5649" s="2" t="s">
        <v>53493</v>
      </c>
      <c r="E5649" s="2" t="s">
        <v>53494</v>
      </c>
      <c r="G5649" s="3" t="s">
        <v>62</v>
      </c>
      <c r="I5649" s="3" t="s">
        <v>62</v>
      </c>
      <c r="J5649" s="3" t="s">
        <v>62</v>
      </c>
      <c r="K5649" s="3" t="s">
        <v>63</v>
      </c>
      <c r="L5649" s="2" t="s">
        <v>53495</v>
      </c>
      <c r="M5649" s="2" t="s">
        <v>53496</v>
      </c>
      <c r="N5649" s="3" t="s">
        <v>1455</v>
      </c>
      <c r="O5649" s="2" t="s">
        <v>53497</v>
      </c>
      <c r="P5649" s="3" t="s">
        <v>64</v>
      </c>
      <c r="R5649" s="3" t="s">
        <v>53463</v>
      </c>
      <c r="S5649" s="4">
        <v>4</v>
      </c>
      <c r="T5649" s="4">
        <v>4</v>
      </c>
      <c r="U5649" s="5" t="s">
        <v>53498</v>
      </c>
      <c r="V5649" s="5" t="s">
        <v>53498</v>
      </c>
      <c r="W5649" s="5" t="s">
        <v>67</v>
      </c>
      <c r="X5649" s="5" t="s">
        <v>67</v>
      </c>
      <c r="Y5649" s="4">
        <v>194</v>
      </c>
      <c r="Z5649" s="4">
        <v>6</v>
      </c>
      <c r="AA5649" s="4">
        <v>63</v>
      </c>
      <c r="AB5649" s="4">
        <v>2</v>
      </c>
      <c r="AC5649" s="4">
        <v>8</v>
      </c>
      <c r="AD5649" s="4">
        <v>8</v>
      </c>
      <c r="AE5649" s="4">
        <v>88</v>
      </c>
      <c r="AF5649" s="4">
        <v>1</v>
      </c>
      <c r="AG5649" s="4">
        <v>2</v>
      </c>
      <c r="AH5649" s="4">
        <v>6</v>
      </c>
      <c r="AI5649" s="4">
        <v>75</v>
      </c>
      <c r="AJ5649" s="4">
        <v>1</v>
      </c>
      <c r="AK5649" s="4">
        <v>9</v>
      </c>
      <c r="AL5649" s="4">
        <v>3</v>
      </c>
      <c r="AM5649" s="4">
        <v>42</v>
      </c>
      <c r="AN5649" s="4">
        <v>0</v>
      </c>
      <c r="AO5649" s="4">
        <v>0</v>
      </c>
      <c r="AP5649" s="4">
        <v>3</v>
      </c>
      <c r="AQ5649" s="4">
        <v>18</v>
      </c>
      <c r="AR5649" s="3" t="s">
        <v>62</v>
      </c>
      <c r="AS5649" s="3" t="s">
        <v>62</v>
      </c>
      <c r="AT5649" s="3" t="s">
        <v>62</v>
      </c>
      <c r="AV5649" s="6" t="str">
        <f>HYPERLINK("http://mcgill.on.worldcat.org/oclc/883367088","Catalog Record")</f>
        <v>Catalog Record</v>
      </c>
      <c r="AW5649" s="6" t="str">
        <f>HYPERLINK("http://www.worldcat.org/oclc/883367088","WorldCat Record")</f>
        <v>WorldCat Record</v>
      </c>
      <c r="AX5649" s="3" t="s">
        <v>53499</v>
      </c>
      <c r="AY5649" s="3" t="s">
        <v>53500</v>
      </c>
      <c r="AZ5649" s="3" t="s">
        <v>53501</v>
      </c>
      <c r="BA5649" s="3" t="s">
        <v>53501</v>
      </c>
      <c r="BB5649" s="3" t="s">
        <v>53502</v>
      </c>
      <c r="BC5649" s="3" t="s">
        <v>102</v>
      </c>
      <c r="BD5649" s="3" t="s">
        <v>68</v>
      </c>
      <c r="BE5649" s="3" t="s">
        <v>53503</v>
      </c>
      <c r="BF5649" s="3" t="s">
        <v>53502</v>
      </c>
      <c r="BG5649" s="3" t="s">
        <v>53504</v>
      </c>
    </row>
    <row r="5650" spans="1:59" ht="101.5" x14ac:dyDescent="0.35">
      <c r="A5650" s="2" t="s">
        <v>89</v>
      </c>
      <c r="B5650" s="2" t="s">
        <v>36812</v>
      </c>
      <c r="C5650" s="2" t="s">
        <v>53505</v>
      </c>
      <c r="D5650" s="2" t="s">
        <v>53506</v>
      </c>
      <c r="E5650" s="2" t="s">
        <v>53507</v>
      </c>
      <c r="G5650" s="3" t="s">
        <v>62</v>
      </c>
      <c r="I5650" s="3" t="s">
        <v>62</v>
      </c>
      <c r="J5650" s="3" t="s">
        <v>62</v>
      </c>
      <c r="K5650" s="3" t="s">
        <v>63</v>
      </c>
      <c r="L5650" s="2" t="s">
        <v>53508</v>
      </c>
      <c r="M5650" s="2" t="s">
        <v>53509</v>
      </c>
      <c r="N5650" s="3" t="s">
        <v>596</v>
      </c>
      <c r="O5650" s="2" t="s">
        <v>2163</v>
      </c>
      <c r="P5650" s="3" t="s">
        <v>64</v>
      </c>
      <c r="R5650" s="3" t="s">
        <v>53463</v>
      </c>
      <c r="S5650" s="4">
        <v>14</v>
      </c>
      <c r="T5650" s="4">
        <v>14</v>
      </c>
      <c r="U5650" s="5" t="s">
        <v>7472</v>
      </c>
      <c r="V5650" s="5" t="s">
        <v>7472</v>
      </c>
      <c r="W5650" s="5" t="s">
        <v>67</v>
      </c>
      <c r="X5650" s="5" t="s">
        <v>67</v>
      </c>
      <c r="Y5650" s="4">
        <v>1329</v>
      </c>
      <c r="Z5650" s="4">
        <v>55</v>
      </c>
      <c r="AA5650" s="4">
        <v>57</v>
      </c>
      <c r="AB5650" s="4">
        <v>2</v>
      </c>
      <c r="AC5650" s="4">
        <v>3</v>
      </c>
      <c r="AD5650" s="4">
        <v>97</v>
      </c>
      <c r="AE5650" s="4">
        <v>100</v>
      </c>
      <c r="AF5650" s="4">
        <v>1</v>
      </c>
      <c r="AG5650" s="4">
        <v>1</v>
      </c>
      <c r="AH5650" s="4">
        <v>84</v>
      </c>
      <c r="AI5650" s="4">
        <v>87</v>
      </c>
      <c r="AJ5650" s="4">
        <v>12</v>
      </c>
      <c r="AK5650" s="4">
        <v>12</v>
      </c>
      <c r="AL5650" s="4">
        <v>40</v>
      </c>
      <c r="AM5650" s="4">
        <v>42</v>
      </c>
      <c r="AN5650" s="4">
        <v>0</v>
      </c>
      <c r="AO5650" s="4">
        <v>0</v>
      </c>
      <c r="AP5650" s="4">
        <v>18</v>
      </c>
      <c r="AQ5650" s="4">
        <v>19</v>
      </c>
      <c r="AR5650" s="3" t="s">
        <v>62</v>
      </c>
      <c r="AS5650" s="3" t="s">
        <v>62</v>
      </c>
      <c r="AT5650" s="3" t="s">
        <v>62</v>
      </c>
      <c r="AV5650" s="6" t="str">
        <f>HYPERLINK("http://mcgill.on.worldcat.org/oclc/49260511","Catalog Record")</f>
        <v>Catalog Record</v>
      </c>
      <c r="AW5650" s="6" t="str">
        <f>HYPERLINK("http://www.worldcat.org/oclc/49260511","WorldCat Record")</f>
        <v>WorldCat Record</v>
      </c>
      <c r="AX5650" s="3" t="s">
        <v>53510</v>
      </c>
      <c r="AY5650" s="3" t="s">
        <v>53511</v>
      </c>
      <c r="AZ5650" s="3" t="s">
        <v>53512</v>
      </c>
      <c r="BA5650" s="3" t="s">
        <v>53512</v>
      </c>
      <c r="BB5650" s="3" t="s">
        <v>53513</v>
      </c>
      <c r="BC5650" s="3" t="s">
        <v>102</v>
      </c>
      <c r="BD5650" s="3" t="s">
        <v>68</v>
      </c>
      <c r="BE5650" s="3" t="s">
        <v>53514</v>
      </c>
      <c r="BF5650" s="3" t="s">
        <v>53513</v>
      </c>
      <c r="BG5650" s="3" t="s">
        <v>53515</v>
      </c>
    </row>
    <row r="5651" spans="1:59" ht="101.5" x14ac:dyDescent="0.35">
      <c r="A5651" s="2" t="s">
        <v>89</v>
      </c>
      <c r="B5651" s="2" t="s">
        <v>36812</v>
      </c>
      <c r="C5651" s="2" t="s">
        <v>53516</v>
      </c>
      <c r="D5651" s="2" t="s">
        <v>53517</v>
      </c>
      <c r="E5651" s="2" t="s">
        <v>53518</v>
      </c>
      <c r="G5651" s="3" t="s">
        <v>62</v>
      </c>
      <c r="I5651" s="3" t="s">
        <v>62</v>
      </c>
      <c r="J5651" s="3" t="s">
        <v>62</v>
      </c>
      <c r="K5651" s="3" t="s">
        <v>63</v>
      </c>
      <c r="L5651" s="2" t="s">
        <v>53519</v>
      </c>
      <c r="M5651" s="2" t="s">
        <v>53520</v>
      </c>
      <c r="N5651" s="3" t="s">
        <v>655</v>
      </c>
      <c r="O5651" s="2" t="s">
        <v>2163</v>
      </c>
      <c r="P5651" s="3" t="s">
        <v>64</v>
      </c>
      <c r="R5651" s="3" t="s">
        <v>53463</v>
      </c>
      <c r="S5651" s="4">
        <v>10</v>
      </c>
      <c r="T5651" s="4">
        <v>10</v>
      </c>
      <c r="U5651" s="5" t="s">
        <v>7472</v>
      </c>
      <c r="V5651" s="5" t="s">
        <v>7472</v>
      </c>
      <c r="W5651" s="5" t="s">
        <v>67</v>
      </c>
      <c r="X5651" s="5" t="s">
        <v>67</v>
      </c>
      <c r="Y5651" s="4">
        <v>1686</v>
      </c>
      <c r="Z5651" s="4">
        <v>57</v>
      </c>
      <c r="AA5651" s="4">
        <v>69</v>
      </c>
      <c r="AB5651" s="4">
        <v>3</v>
      </c>
      <c r="AC5651" s="4">
        <v>8</v>
      </c>
      <c r="AD5651" s="4">
        <v>110</v>
      </c>
      <c r="AE5651" s="4">
        <v>118</v>
      </c>
      <c r="AF5651" s="4">
        <v>0</v>
      </c>
      <c r="AG5651" s="4">
        <v>2</v>
      </c>
      <c r="AH5651" s="4">
        <v>89</v>
      </c>
      <c r="AI5651" s="4">
        <v>92</v>
      </c>
      <c r="AJ5651" s="4">
        <v>13</v>
      </c>
      <c r="AK5651" s="4">
        <v>15</v>
      </c>
      <c r="AL5651" s="4">
        <v>48</v>
      </c>
      <c r="AM5651" s="4">
        <v>49</v>
      </c>
      <c r="AN5651" s="4">
        <v>0</v>
      </c>
      <c r="AO5651" s="4">
        <v>0</v>
      </c>
      <c r="AP5651" s="4">
        <v>24</v>
      </c>
      <c r="AQ5651" s="4">
        <v>30</v>
      </c>
      <c r="AR5651" s="3" t="s">
        <v>62</v>
      </c>
      <c r="AS5651" s="3" t="s">
        <v>62</v>
      </c>
      <c r="AT5651" s="3" t="s">
        <v>62</v>
      </c>
      <c r="AV5651" s="6" t="str">
        <f>HYPERLINK("http://mcgill.on.worldcat.org/oclc/85814003","Catalog Record")</f>
        <v>Catalog Record</v>
      </c>
      <c r="AW5651" s="6" t="str">
        <f>HYPERLINK("http://www.worldcat.org/oclc/85814003","WorldCat Record")</f>
        <v>WorldCat Record</v>
      </c>
      <c r="AX5651" s="3" t="s">
        <v>53521</v>
      </c>
      <c r="AY5651" s="3" t="s">
        <v>53522</v>
      </c>
      <c r="AZ5651" s="3" t="s">
        <v>53523</v>
      </c>
      <c r="BA5651" s="3" t="s">
        <v>53523</v>
      </c>
      <c r="BB5651" s="3" t="s">
        <v>53524</v>
      </c>
      <c r="BC5651" s="3" t="s">
        <v>102</v>
      </c>
      <c r="BD5651" s="3" t="s">
        <v>68</v>
      </c>
      <c r="BE5651" s="3" t="s">
        <v>53525</v>
      </c>
      <c r="BF5651" s="3" t="s">
        <v>53524</v>
      </c>
      <c r="BG5651" s="3" t="s">
        <v>53526</v>
      </c>
    </row>
    <row r="5652" spans="1:59" ht="72.5" x14ac:dyDescent="0.35">
      <c r="A5652" s="2" t="s">
        <v>59</v>
      </c>
      <c r="B5652" s="2" t="s">
        <v>60</v>
      </c>
      <c r="C5652" s="2" t="s">
        <v>53527</v>
      </c>
      <c r="D5652" s="2" t="s">
        <v>53528</v>
      </c>
      <c r="E5652" s="2" t="s">
        <v>53529</v>
      </c>
      <c r="G5652" s="3" t="s">
        <v>62</v>
      </c>
      <c r="I5652" s="3" t="s">
        <v>62</v>
      </c>
      <c r="J5652" s="3" t="s">
        <v>62</v>
      </c>
      <c r="K5652" s="3" t="s">
        <v>63</v>
      </c>
      <c r="L5652" s="2" t="s">
        <v>53530</v>
      </c>
      <c r="M5652" s="2" t="s">
        <v>53531</v>
      </c>
      <c r="N5652" s="3" t="s">
        <v>852</v>
      </c>
      <c r="P5652" s="3" t="s">
        <v>64</v>
      </c>
      <c r="Q5652" s="2" t="s">
        <v>53532</v>
      </c>
      <c r="R5652" s="3" t="s">
        <v>53463</v>
      </c>
      <c r="S5652" s="4">
        <v>4</v>
      </c>
      <c r="T5652" s="4">
        <v>4</v>
      </c>
      <c r="U5652" s="5" t="s">
        <v>2074</v>
      </c>
      <c r="V5652" s="5" t="s">
        <v>2074</v>
      </c>
      <c r="W5652" s="5" t="s">
        <v>67</v>
      </c>
      <c r="X5652" s="5" t="s">
        <v>67</v>
      </c>
      <c r="Y5652" s="4">
        <v>15</v>
      </c>
      <c r="Z5652" s="4">
        <v>3</v>
      </c>
      <c r="AA5652" s="4">
        <v>5</v>
      </c>
      <c r="AB5652" s="4">
        <v>2</v>
      </c>
      <c r="AC5652" s="4">
        <v>4</v>
      </c>
      <c r="AD5652" s="4">
        <v>4</v>
      </c>
      <c r="AE5652" s="4">
        <v>6</v>
      </c>
      <c r="AF5652" s="4">
        <v>0</v>
      </c>
      <c r="AG5652" s="4">
        <v>2</v>
      </c>
      <c r="AH5652" s="4">
        <v>3</v>
      </c>
      <c r="AI5652" s="4">
        <v>4</v>
      </c>
      <c r="AJ5652" s="4">
        <v>1</v>
      </c>
      <c r="AK5652" s="4">
        <v>3</v>
      </c>
      <c r="AL5652" s="4">
        <v>2</v>
      </c>
      <c r="AM5652" s="4">
        <v>2</v>
      </c>
      <c r="AN5652" s="4">
        <v>0</v>
      </c>
      <c r="AO5652" s="4">
        <v>0</v>
      </c>
      <c r="AP5652" s="4">
        <v>0</v>
      </c>
      <c r="AQ5652" s="4">
        <v>1</v>
      </c>
      <c r="AR5652" s="3" t="s">
        <v>62</v>
      </c>
      <c r="AS5652" s="3" t="s">
        <v>62</v>
      </c>
      <c r="AT5652" s="3" t="s">
        <v>61</v>
      </c>
      <c r="AU5652" s="6" t="str">
        <f>HYPERLINK("http://catalog.hathitrust.org/Record/006249642","HathiTrust Record")</f>
        <v>HathiTrust Record</v>
      </c>
      <c r="AV5652" s="6" t="str">
        <f>HYPERLINK("http://mcgill.on.worldcat.org/oclc/38231707","Catalog Record")</f>
        <v>Catalog Record</v>
      </c>
      <c r="AW5652" s="6" t="str">
        <f>HYPERLINK("http://www.worldcat.org/oclc/38231707","WorldCat Record")</f>
        <v>WorldCat Record</v>
      </c>
      <c r="AX5652" s="3" t="s">
        <v>53533</v>
      </c>
      <c r="AY5652" s="3" t="s">
        <v>53534</v>
      </c>
      <c r="AZ5652" s="3" t="s">
        <v>53535</v>
      </c>
      <c r="BA5652" s="3" t="s">
        <v>53535</v>
      </c>
      <c r="BB5652" s="3" t="s">
        <v>53536</v>
      </c>
      <c r="BC5652" s="3" t="s">
        <v>102</v>
      </c>
      <c r="BD5652" s="3" t="s">
        <v>68</v>
      </c>
      <c r="BE5652" s="3" t="s">
        <v>53537</v>
      </c>
      <c r="BF5652" s="3" t="s">
        <v>53536</v>
      </c>
      <c r="BG5652" s="3" t="s">
        <v>53538</v>
      </c>
    </row>
    <row r="5653" spans="1:59" ht="58" x14ac:dyDescent="0.35">
      <c r="A5653" s="2" t="s">
        <v>59</v>
      </c>
      <c r="B5653" s="2" t="s">
        <v>60</v>
      </c>
      <c r="C5653" s="2" t="s">
        <v>53539</v>
      </c>
      <c r="D5653" s="2" t="s">
        <v>53540</v>
      </c>
      <c r="E5653" s="2" t="s">
        <v>53541</v>
      </c>
      <c r="G5653" s="3" t="s">
        <v>62</v>
      </c>
      <c r="I5653" s="3" t="s">
        <v>61</v>
      </c>
      <c r="J5653" s="3" t="s">
        <v>62</v>
      </c>
      <c r="K5653" s="3" t="s">
        <v>63</v>
      </c>
      <c r="L5653" s="2" t="s">
        <v>53542</v>
      </c>
      <c r="M5653" s="2" t="s">
        <v>53543</v>
      </c>
      <c r="N5653" s="3" t="s">
        <v>157</v>
      </c>
      <c r="P5653" s="3" t="s">
        <v>64</v>
      </c>
      <c r="Q5653" s="2" t="s">
        <v>53544</v>
      </c>
      <c r="R5653" s="3" t="s">
        <v>53463</v>
      </c>
      <c r="S5653" s="4">
        <v>0</v>
      </c>
      <c r="T5653" s="4">
        <v>9</v>
      </c>
      <c r="V5653" s="5" t="s">
        <v>13982</v>
      </c>
      <c r="W5653" s="5" t="s">
        <v>67</v>
      </c>
      <c r="X5653" s="5" t="s">
        <v>67</v>
      </c>
      <c r="Y5653" s="4">
        <v>315</v>
      </c>
      <c r="Z5653" s="4">
        <v>22</v>
      </c>
      <c r="AA5653" s="4">
        <v>26</v>
      </c>
      <c r="AB5653" s="4">
        <v>3</v>
      </c>
      <c r="AC5653" s="4">
        <v>5</v>
      </c>
      <c r="AD5653" s="4">
        <v>89</v>
      </c>
      <c r="AE5653" s="4">
        <v>93</v>
      </c>
      <c r="AF5653" s="4">
        <v>1</v>
      </c>
      <c r="AG5653" s="4">
        <v>3</v>
      </c>
      <c r="AH5653" s="4">
        <v>78</v>
      </c>
      <c r="AI5653" s="4">
        <v>79</v>
      </c>
      <c r="AJ5653" s="4">
        <v>15</v>
      </c>
      <c r="AK5653" s="4">
        <v>18</v>
      </c>
      <c r="AL5653" s="4">
        <v>44</v>
      </c>
      <c r="AM5653" s="4">
        <v>44</v>
      </c>
      <c r="AN5653" s="4">
        <v>0</v>
      </c>
      <c r="AO5653" s="4">
        <v>0</v>
      </c>
      <c r="AP5653" s="4">
        <v>17</v>
      </c>
      <c r="AQ5653" s="4">
        <v>20</v>
      </c>
      <c r="AR5653" s="3" t="s">
        <v>62</v>
      </c>
      <c r="AS5653" s="3" t="s">
        <v>62</v>
      </c>
      <c r="AT5653" s="3" t="s">
        <v>61</v>
      </c>
      <c r="AU5653" s="6" t="str">
        <f>HYPERLINK("http://catalog.hathitrust.org/Record/002077439","HathiTrust Record")</f>
        <v>HathiTrust Record</v>
      </c>
      <c r="AV5653" s="6" t="str">
        <f>HYPERLINK("http://mcgill.on.worldcat.org/oclc/796917","Catalog Record")</f>
        <v>Catalog Record</v>
      </c>
      <c r="AW5653" s="6" t="str">
        <f>HYPERLINK("http://www.worldcat.org/oclc/796917","WorldCat Record")</f>
        <v>WorldCat Record</v>
      </c>
      <c r="AX5653" s="3" t="s">
        <v>53545</v>
      </c>
      <c r="AY5653" s="3" t="s">
        <v>53546</v>
      </c>
      <c r="AZ5653" s="3" t="s">
        <v>53547</v>
      </c>
      <c r="BA5653" s="3" t="s">
        <v>53547</v>
      </c>
      <c r="BB5653" s="3" t="s">
        <v>53548</v>
      </c>
      <c r="BC5653" s="3" t="s">
        <v>102</v>
      </c>
      <c r="BD5653" s="3" t="s">
        <v>68</v>
      </c>
      <c r="BE5653" s="3" t="s">
        <v>53549</v>
      </c>
      <c r="BF5653" s="3" t="s">
        <v>53548</v>
      </c>
      <c r="BG5653" s="3" t="s">
        <v>53550</v>
      </c>
    </row>
    <row r="5654" spans="1:59" ht="58" x14ac:dyDescent="0.35">
      <c r="A5654" s="2" t="s">
        <v>59</v>
      </c>
      <c r="B5654" s="2" t="s">
        <v>60</v>
      </c>
      <c r="C5654" s="2" t="s">
        <v>53551</v>
      </c>
      <c r="D5654" s="2" t="s">
        <v>53552</v>
      </c>
      <c r="E5654" s="2" t="s">
        <v>53553</v>
      </c>
      <c r="G5654" s="3" t="s">
        <v>62</v>
      </c>
      <c r="I5654" s="3" t="s">
        <v>61</v>
      </c>
      <c r="J5654" s="3" t="s">
        <v>62</v>
      </c>
      <c r="K5654" s="3" t="s">
        <v>63</v>
      </c>
      <c r="M5654" s="2" t="s">
        <v>53554</v>
      </c>
      <c r="N5654" s="3" t="s">
        <v>186</v>
      </c>
      <c r="P5654" s="3" t="s">
        <v>64</v>
      </c>
      <c r="Q5654" s="2" t="s">
        <v>53555</v>
      </c>
      <c r="R5654" s="3" t="s">
        <v>53463</v>
      </c>
      <c r="S5654" s="4">
        <v>0</v>
      </c>
      <c r="T5654" s="4">
        <v>6</v>
      </c>
      <c r="V5654" s="5" t="s">
        <v>8039</v>
      </c>
      <c r="W5654" s="5" t="s">
        <v>67</v>
      </c>
      <c r="X5654" s="5" t="s">
        <v>67</v>
      </c>
      <c r="Y5654" s="4">
        <v>374</v>
      </c>
      <c r="Z5654" s="4">
        <v>23</v>
      </c>
      <c r="AA5654" s="4">
        <v>23</v>
      </c>
      <c r="AB5654" s="4">
        <v>3</v>
      </c>
      <c r="AC5654" s="4">
        <v>3</v>
      </c>
      <c r="AD5654" s="4">
        <v>103</v>
      </c>
      <c r="AE5654" s="4">
        <v>104</v>
      </c>
      <c r="AF5654" s="4">
        <v>1</v>
      </c>
      <c r="AG5654" s="4">
        <v>1</v>
      </c>
      <c r="AH5654" s="4">
        <v>89</v>
      </c>
      <c r="AI5654" s="4">
        <v>90</v>
      </c>
      <c r="AJ5654" s="4">
        <v>17</v>
      </c>
      <c r="AK5654" s="4">
        <v>17</v>
      </c>
      <c r="AL5654" s="4">
        <v>53</v>
      </c>
      <c r="AM5654" s="4">
        <v>53</v>
      </c>
      <c r="AN5654" s="4">
        <v>0</v>
      </c>
      <c r="AO5654" s="4">
        <v>0</v>
      </c>
      <c r="AP5654" s="4">
        <v>18</v>
      </c>
      <c r="AQ5654" s="4">
        <v>18</v>
      </c>
      <c r="AR5654" s="3" t="s">
        <v>62</v>
      </c>
      <c r="AS5654" s="3" t="s">
        <v>62</v>
      </c>
      <c r="AT5654" s="3" t="s">
        <v>61</v>
      </c>
      <c r="AU5654" s="6" t="str">
        <f>HYPERLINK("http://catalog.hathitrust.org/Record/000032781","HathiTrust Record")</f>
        <v>HathiTrust Record</v>
      </c>
      <c r="AV5654" s="6" t="str">
        <f>HYPERLINK("http://mcgill.on.worldcat.org/oclc/1582488","Catalog Record")</f>
        <v>Catalog Record</v>
      </c>
      <c r="AW5654" s="6" t="str">
        <f>HYPERLINK("http://www.worldcat.org/oclc/1582488","WorldCat Record")</f>
        <v>WorldCat Record</v>
      </c>
      <c r="AX5654" s="3" t="s">
        <v>53556</v>
      </c>
      <c r="AY5654" s="3" t="s">
        <v>53557</v>
      </c>
      <c r="AZ5654" s="3" t="s">
        <v>53558</v>
      </c>
      <c r="BA5654" s="3" t="s">
        <v>53558</v>
      </c>
      <c r="BB5654" s="3" t="s">
        <v>53559</v>
      </c>
      <c r="BC5654" s="3" t="s">
        <v>102</v>
      </c>
      <c r="BD5654" s="3" t="s">
        <v>68</v>
      </c>
      <c r="BE5654" s="3" t="s">
        <v>53560</v>
      </c>
      <c r="BF5654" s="3" t="s">
        <v>53559</v>
      </c>
      <c r="BG5654" s="3" t="s">
        <v>53561</v>
      </c>
    </row>
    <row r="5655" spans="1:59" ht="101.5" x14ac:dyDescent="0.35">
      <c r="A5655" s="2" t="s">
        <v>89</v>
      </c>
      <c r="B5655" s="2" t="s">
        <v>36812</v>
      </c>
      <c r="C5655" s="2" t="s">
        <v>53562</v>
      </c>
      <c r="D5655" s="2" t="s">
        <v>53563</v>
      </c>
      <c r="E5655" s="2" t="s">
        <v>53564</v>
      </c>
      <c r="G5655" s="3" t="s">
        <v>62</v>
      </c>
      <c r="I5655" s="3" t="s">
        <v>61</v>
      </c>
      <c r="J5655" s="3" t="s">
        <v>62</v>
      </c>
      <c r="K5655" s="3" t="s">
        <v>63</v>
      </c>
      <c r="L5655" s="2" t="s">
        <v>52045</v>
      </c>
      <c r="M5655" s="2" t="s">
        <v>53565</v>
      </c>
      <c r="N5655" s="3" t="s">
        <v>712</v>
      </c>
      <c r="P5655" s="3" t="s">
        <v>64</v>
      </c>
      <c r="R5655" s="3" t="s">
        <v>53463</v>
      </c>
      <c r="S5655" s="4">
        <v>8</v>
      </c>
      <c r="T5655" s="4">
        <v>9</v>
      </c>
      <c r="U5655" s="5" t="s">
        <v>20281</v>
      </c>
      <c r="V5655" s="5" t="s">
        <v>51791</v>
      </c>
      <c r="W5655" s="5" t="s">
        <v>67</v>
      </c>
      <c r="X5655" s="5" t="s">
        <v>67</v>
      </c>
      <c r="Y5655" s="4">
        <v>1000</v>
      </c>
      <c r="Z5655" s="4">
        <v>23</v>
      </c>
      <c r="AA5655" s="4">
        <v>25</v>
      </c>
      <c r="AB5655" s="4">
        <v>2</v>
      </c>
      <c r="AC5655" s="4">
        <v>4</v>
      </c>
      <c r="AD5655" s="4">
        <v>56</v>
      </c>
      <c r="AE5655" s="4">
        <v>56</v>
      </c>
      <c r="AF5655" s="4">
        <v>0</v>
      </c>
      <c r="AG5655" s="4">
        <v>0</v>
      </c>
      <c r="AH5655" s="4">
        <v>52</v>
      </c>
      <c r="AI5655" s="4">
        <v>52</v>
      </c>
      <c r="AJ5655" s="4">
        <v>4</v>
      </c>
      <c r="AK5655" s="4">
        <v>4</v>
      </c>
      <c r="AL5655" s="4">
        <v>31</v>
      </c>
      <c r="AM5655" s="4">
        <v>31</v>
      </c>
      <c r="AN5655" s="4">
        <v>0</v>
      </c>
      <c r="AO5655" s="4">
        <v>0</v>
      </c>
      <c r="AP5655" s="4">
        <v>6</v>
      </c>
      <c r="AQ5655" s="4">
        <v>6</v>
      </c>
      <c r="AR5655" s="3" t="s">
        <v>62</v>
      </c>
      <c r="AS5655" s="3" t="s">
        <v>62</v>
      </c>
      <c r="AT5655" s="3" t="s">
        <v>62</v>
      </c>
      <c r="AV5655" s="6" t="str">
        <f>HYPERLINK("http://mcgill.on.worldcat.org/oclc/891494844","Catalog Record")</f>
        <v>Catalog Record</v>
      </c>
      <c r="AW5655" s="6" t="str">
        <f>HYPERLINK("http://www.worldcat.org/oclc/891494844","WorldCat Record")</f>
        <v>WorldCat Record</v>
      </c>
      <c r="AX5655" s="3" t="s">
        <v>53566</v>
      </c>
      <c r="AY5655" s="3" t="s">
        <v>53567</v>
      </c>
      <c r="AZ5655" s="3" t="s">
        <v>53568</v>
      </c>
      <c r="BA5655" s="3" t="s">
        <v>53568</v>
      </c>
      <c r="BB5655" s="3" t="s">
        <v>53569</v>
      </c>
      <c r="BC5655" s="3" t="s">
        <v>102</v>
      </c>
      <c r="BD5655" s="3" t="s">
        <v>231</v>
      </c>
      <c r="BE5655" s="3" t="s">
        <v>53570</v>
      </c>
      <c r="BF5655" s="3" t="s">
        <v>53569</v>
      </c>
      <c r="BG5655" s="3" t="s">
        <v>53571</v>
      </c>
    </row>
    <row r="5656" spans="1:59" ht="58" x14ac:dyDescent="0.35">
      <c r="A5656" s="2" t="s">
        <v>59</v>
      </c>
      <c r="B5656" s="2" t="s">
        <v>60</v>
      </c>
      <c r="C5656" s="2" t="s">
        <v>53572</v>
      </c>
      <c r="D5656" s="2" t="s">
        <v>53573</v>
      </c>
      <c r="E5656" s="2" t="s">
        <v>53574</v>
      </c>
      <c r="G5656" s="3" t="s">
        <v>62</v>
      </c>
      <c r="I5656" s="3" t="s">
        <v>62</v>
      </c>
      <c r="J5656" s="3" t="s">
        <v>62</v>
      </c>
      <c r="K5656" s="3" t="s">
        <v>63</v>
      </c>
      <c r="L5656" s="2" t="s">
        <v>53575</v>
      </c>
      <c r="M5656" s="2" t="s">
        <v>53576</v>
      </c>
      <c r="N5656" s="3" t="s">
        <v>1639</v>
      </c>
      <c r="P5656" s="3" t="s">
        <v>64</v>
      </c>
      <c r="R5656" s="3" t="s">
        <v>53463</v>
      </c>
      <c r="S5656" s="4">
        <v>1</v>
      </c>
      <c r="T5656" s="4">
        <v>1</v>
      </c>
      <c r="U5656" s="5" t="s">
        <v>38881</v>
      </c>
      <c r="V5656" s="5" t="s">
        <v>38881</v>
      </c>
      <c r="W5656" s="5" t="s">
        <v>67</v>
      </c>
      <c r="X5656" s="5" t="s">
        <v>67</v>
      </c>
      <c r="Y5656" s="4">
        <v>150</v>
      </c>
      <c r="Z5656" s="4">
        <v>5</v>
      </c>
      <c r="AA5656" s="4">
        <v>7</v>
      </c>
      <c r="AB5656" s="4">
        <v>2</v>
      </c>
      <c r="AC5656" s="4">
        <v>2</v>
      </c>
      <c r="AD5656" s="4">
        <v>52</v>
      </c>
      <c r="AE5656" s="4">
        <v>53</v>
      </c>
      <c r="AF5656" s="4">
        <v>0</v>
      </c>
      <c r="AG5656" s="4">
        <v>0</v>
      </c>
      <c r="AH5656" s="4">
        <v>49</v>
      </c>
      <c r="AI5656" s="4">
        <v>50</v>
      </c>
      <c r="AJ5656" s="4">
        <v>3</v>
      </c>
      <c r="AK5656" s="4">
        <v>4</v>
      </c>
      <c r="AL5656" s="4">
        <v>32</v>
      </c>
      <c r="AM5656" s="4">
        <v>33</v>
      </c>
      <c r="AN5656" s="4">
        <v>0</v>
      </c>
      <c r="AO5656" s="4">
        <v>0</v>
      </c>
      <c r="AP5656" s="4">
        <v>3</v>
      </c>
      <c r="AQ5656" s="4">
        <v>4</v>
      </c>
      <c r="AR5656" s="3" t="s">
        <v>62</v>
      </c>
      <c r="AS5656" s="3" t="s">
        <v>62</v>
      </c>
      <c r="AT5656" s="3" t="s">
        <v>61</v>
      </c>
      <c r="AU5656" s="6" t="str">
        <f>HYPERLINK("http://catalog.hathitrust.org/Record/001565470","HathiTrust Record")</f>
        <v>HathiTrust Record</v>
      </c>
      <c r="AV5656" s="6" t="str">
        <f>HYPERLINK("http://mcgill.on.worldcat.org/oclc/112203","Catalog Record")</f>
        <v>Catalog Record</v>
      </c>
      <c r="AW5656" s="6" t="str">
        <f>HYPERLINK("http://www.worldcat.org/oclc/112203","WorldCat Record")</f>
        <v>WorldCat Record</v>
      </c>
      <c r="AX5656" s="3" t="s">
        <v>53577</v>
      </c>
      <c r="AY5656" s="3" t="s">
        <v>53578</v>
      </c>
      <c r="AZ5656" s="3" t="s">
        <v>53579</v>
      </c>
      <c r="BA5656" s="3" t="s">
        <v>53579</v>
      </c>
      <c r="BB5656" s="3" t="s">
        <v>53580</v>
      </c>
      <c r="BC5656" s="3" t="s">
        <v>102</v>
      </c>
      <c r="BD5656" s="3" t="s">
        <v>68</v>
      </c>
      <c r="BF5656" s="3" t="s">
        <v>53580</v>
      </c>
      <c r="BG5656" s="3" t="s">
        <v>53581</v>
      </c>
    </row>
    <row r="5657" spans="1:59" ht="58" x14ac:dyDescent="0.35">
      <c r="A5657" s="2" t="s">
        <v>59</v>
      </c>
      <c r="B5657" s="2" t="s">
        <v>60</v>
      </c>
      <c r="C5657" s="2" t="s">
        <v>53582</v>
      </c>
      <c r="D5657" s="2" t="s">
        <v>53583</v>
      </c>
      <c r="E5657" s="2" t="s">
        <v>53584</v>
      </c>
      <c r="G5657" s="3" t="s">
        <v>62</v>
      </c>
      <c r="I5657" s="3" t="s">
        <v>62</v>
      </c>
      <c r="J5657" s="3" t="s">
        <v>61</v>
      </c>
      <c r="K5657" s="3" t="s">
        <v>63</v>
      </c>
      <c r="L5657" s="2" t="s">
        <v>53585</v>
      </c>
      <c r="M5657" s="2" t="s">
        <v>53586</v>
      </c>
      <c r="N5657" s="3" t="s">
        <v>201</v>
      </c>
      <c r="P5657" s="3" t="s">
        <v>64</v>
      </c>
      <c r="R5657" s="3" t="s">
        <v>53463</v>
      </c>
      <c r="S5657" s="4">
        <v>1</v>
      </c>
      <c r="T5657" s="4">
        <v>1</v>
      </c>
      <c r="U5657" s="5" t="s">
        <v>38881</v>
      </c>
      <c r="V5657" s="5" t="s">
        <v>38881</v>
      </c>
      <c r="W5657" s="5" t="s">
        <v>67</v>
      </c>
      <c r="X5657" s="5" t="s">
        <v>67</v>
      </c>
      <c r="Y5657" s="4">
        <v>173</v>
      </c>
      <c r="Z5657" s="4">
        <v>8</v>
      </c>
      <c r="AA5657" s="4">
        <v>16</v>
      </c>
      <c r="AB5657" s="4">
        <v>2</v>
      </c>
      <c r="AC5657" s="4">
        <v>2</v>
      </c>
      <c r="AD5657" s="4">
        <v>46</v>
      </c>
      <c r="AE5657" s="4">
        <v>75</v>
      </c>
      <c r="AF5657" s="4">
        <v>0</v>
      </c>
      <c r="AG5657" s="4">
        <v>0</v>
      </c>
      <c r="AH5657" s="4">
        <v>42</v>
      </c>
      <c r="AI5657" s="4">
        <v>67</v>
      </c>
      <c r="AJ5657" s="4">
        <v>4</v>
      </c>
      <c r="AK5657" s="4">
        <v>12</v>
      </c>
      <c r="AL5657" s="4">
        <v>29</v>
      </c>
      <c r="AM5657" s="4">
        <v>39</v>
      </c>
      <c r="AN5657" s="4">
        <v>0</v>
      </c>
      <c r="AO5657" s="4">
        <v>3</v>
      </c>
      <c r="AP5657" s="4">
        <v>4</v>
      </c>
      <c r="AQ5657" s="4">
        <v>11</v>
      </c>
      <c r="AR5657" s="3" t="s">
        <v>62</v>
      </c>
      <c r="AS5657" s="3" t="s">
        <v>62</v>
      </c>
      <c r="AT5657" s="3" t="s">
        <v>62</v>
      </c>
      <c r="AV5657" s="6" t="str">
        <f>HYPERLINK("http://mcgill.on.worldcat.org/oclc/1974168","Catalog Record")</f>
        <v>Catalog Record</v>
      </c>
      <c r="AW5657" s="6" t="str">
        <f>HYPERLINK("http://www.worldcat.org/oclc/1974168","WorldCat Record")</f>
        <v>WorldCat Record</v>
      </c>
      <c r="AX5657" s="3" t="s">
        <v>53587</v>
      </c>
      <c r="AY5657" s="3" t="s">
        <v>53588</v>
      </c>
      <c r="AZ5657" s="3" t="s">
        <v>53589</v>
      </c>
      <c r="BA5657" s="3" t="s">
        <v>53589</v>
      </c>
      <c r="BB5657" s="3" t="s">
        <v>53590</v>
      </c>
      <c r="BC5657" s="3" t="s">
        <v>102</v>
      </c>
      <c r="BD5657" s="3" t="s">
        <v>68</v>
      </c>
      <c r="BE5657" s="3" t="s">
        <v>53591</v>
      </c>
      <c r="BF5657" s="3" t="s">
        <v>53590</v>
      </c>
      <c r="BG5657" s="3" t="s">
        <v>53592</v>
      </c>
    </row>
    <row r="5658" spans="1:59" ht="116" x14ac:dyDescent="0.35">
      <c r="A5658" s="2" t="s">
        <v>89</v>
      </c>
      <c r="B5658" s="2" t="s">
        <v>90</v>
      </c>
      <c r="C5658" s="2" t="s">
        <v>53593</v>
      </c>
      <c r="D5658" s="2" t="s">
        <v>53594</v>
      </c>
      <c r="E5658" s="2" t="s">
        <v>53595</v>
      </c>
      <c r="G5658" s="3" t="s">
        <v>62</v>
      </c>
      <c r="I5658" s="3" t="s">
        <v>61</v>
      </c>
      <c r="J5658" s="3" t="s">
        <v>61</v>
      </c>
      <c r="K5658" s="3" t="s">
        <v>63</v>
      </c>
      <c r="L5658" s="2" t="s">
        <v>53596</v>
      </c>
      <c r="M5658" s="2" t="s">
        <v>53597</v>
      </c>
      <c r="N5658" s="3" t="s">
        <v>655</v>
      </c>
      <c r="O5658" s="2" t="s">
        <v>53598</v>
      </c>
      <c r="P5658" s="3" t="s">
        <v>64</v>
      </c>
      <c r="R5658" s="3" t="s">
        <v>53463</v>
      </c>
      <c r="S5658" s="4">
        <v>61</v>
      </c>
      <c r="T5658" s="4">
        <v>211</v>
      </c>
      <c r="U5658" s="5" t="s">
        <v>483</v>
      </c>
      <c r="V5658" s="5" t="s">
        <v>12548</v>
      </c>
      <c r="W5658" s="5" t="s">
        <v>67</v>
      </c>
      <c r="X5658" s="5" t="s">
        <v>67</v>
      </c>
      <c r="Y5658" s="4">
        <v>389</v>
      </c>
      <c r="Z5658" s="4">
        <v>27</v>
      </c>
      <c r="AA5658" s="4">
        <v>41</v>
      </c>
      <c r="AB5658" s="4">
        <v>1</v>
      </c>
      <c r="AC5658" s="4">
        <v>10</v>
      </c>
      <c r="AD5658" s="4">
        <v>85</v>
      </c>
      <c r="AE5658" s="4">
        <v>111</v>
      </c>
      <c r="AF5658" s="4">
        <v>0</v>
      </c>
      <c r="AG5658" s="4">
        <v>6</v>
      </c>
      <c r="AH5658" s="4">
        <v>75</v>
      </c>
      <c r="AI5658" s="4">
        <v>90</v>
      </c>
      <c r="AJ5658" s="4">
        <v>11</v>
      </c>
      <c r="AK5658" s="4">
        <v>18</v>
      </c>
      <c r="AL5658" s="4">
        <v>44</v>
      </c>
      <c r="AM5658" s="4">
        <v>53</v>
      </c>
      <c r="AN5658" s="4">
        <v>0</v>
      </c>
      <c r="AO5658" s="4">
        <v>0</v>
      </c>
      <c r="AP5658" s="4">
        <v>18</v>
      </c>
      <c r="AQ5658" s="4">
        <v>28</v>
      </c>
      <c r="AR5658" s="3" t="s">
        <v>62</v>
      </c>
      <c r="AS5658" s="3" t="s">
        <v>62</v>
      </c>
      <c r="AT5658" s="3" t="s">
        <v>62</v>
      </c>
      <c r="AV5658" s="6" t="str">
        <f>HYPERLINK("http://mcgill.on.worldcat.org/oclc/68207318","Catalog Record")</f>
        <v>Catalog Record</v>
      </c>
      <c r="AW5658" s="6" t="str">
        <f>HYPERLINK("http://www.worldcat.org/oclc/68207318","WorldCat Record")</f>
        <v>WorldCat Record</v>
      </c>
      <c r="AX5658" s="3" t="s">
        <v>53599</v>
      </c>
      <c r="AY5658" s="3" t="s">
        <v>53600</v>
      </c>
      <c r="AZ5658" s="3" t="s">
        <v>53601</v>
      </c>
      <c r="BA5658" s="3" t="s">
        <v>53601</v>
      </c>
      <c r="BB5658" s="3" t="s">
        <v>53602</v>
      </c>
      <c r="BC5658" s="3" t="s">
        <v>102</v>
      </c>
      <c r="BD5658" s="3" t="s">
        <v>68</v>
      </c>
      <c r="BE5658" s="3" t="s">
        <v>53603</v>
      </c>
      <c r="BF5658" s="3" t="s">
        <v>53602</v>
      </c>
      <c r="BG5658" s="3" t="s">
        <v>53604</v>
      </c>
    </row>
    <row r="5659" spans="1:59" ht="116" x14ac:dyDescent="0.35">
      <c r="A5659" s="2" t="s">
        <v>89</v>
      </c>
      <c r="B5659" s="2" t="s">
        <v>90</v>
      </c>
      <c r="C5659" s="2" t="s">
        <v>53593</v>
      </c>
      <c r="D5659" s="2" t="s">
        <v>53594</v>
      </c>
      <c r="E5659" s="2" t="s">
        <v>53595</v>
      </c>
      <c r="G5659" s="3" t="s">
        <v>62</v>
      </c>
      <c r="I5659" s="3" t="s">
        <v>61</v>
      </c>
      <c r="J5659" s="3" t="s">
        <v>61</v>
      </c>
      <c r="K5659" s="3" t="s">
        <v>63</v>
      </c>
      <c r="L5659" s="2" t="s">
        <v>53596</v>
      </c>
      <c r="M5659" s="2" t="s">
        <v>53597</v>
      </c>
      <c r="N5659" s="3" t="s">
        <v>655</v>
      </c>
      <c r="O5659" s="2" t="s">
        <v>53598</v>
      </c>
      <c r="P5659" s="3" t="s">
        <v>64</v>
      </c>
      <c r="R5659" s="3" t="s">
        <v>53463</v>
      </c>
      <c r="S5659" s="4">
        <v>48</v>
      </c>
      <c r="T5659" s="4">
        <v>211</v>
      </c>
      <c r="U5659" s="5" t="s">
        <v>159</v>
      </c>
      <c r="V5659" s="5" t="s">
        <v>12548</v>
      </c>
      <c r="W5659" s="5" t="s">
        <v>67</v>
      </c>
      <c r="X5659" s="5" t="s">
        <v>67</v>
      </c>
      <c r="Y5659" s="4">
        <v>389</v>
      </c>
      <c r="Z5659" s="4">
        <v>27</v>
      </c>
      <c r="AA5659" s="4">
        <v>41</v>
      </c>
      <c r="AB5659" s="4">
        <v>1</v>
      </c>
      <c r="AC5659" s="4">
        <v>10</v>
      </c>
      <c r="AD5659" s="4">
        <v>85</v>
      </c>
      <c r="AE5659" s="4">
        <v>111</v>
      </c>
      <c r="AF5659" s="4">
        <v>0</v>
      </c>
      <c r="AG5659" s="4">
        <v>6</v>
      </c>
      <c r="AH5659" s="4">
        <v>75</v>
      </c>
      <c r="AI5659" s="4">
        <v>90</v>
      </c>
      <c r="AJ5659" s="4">
        <v>11</v>
      </c>
      <c r="AK5659" s="4">
        <v>18</v>
      </c>
      <c r="AL5659" s="4">
        <v>44</v>
      </c>
      <c r="AM5659" s="4">
        <v>53</v>
      </c>
      <c r="AN5659" s="4">
        <v>0</v>
      </c>
      <c r="AO5659" s="4">
        <v>0</v>
      </c>
      <c r="AP5659" s="4">
        <v>18</v>
      </c>
      <c r="AQ5659" s="4">
        <v>28</v>
      </c>
      <c r="AR5659" s="3" t="s">
        <v>62</v>
      </c>
      <c r="AS5659" s="3" t="s">
        <v>62</v>
      </c>
      <c r="AT5659" s="3" t="s">
        <v>62</v>
      </c>
      <c r="AV5659" s="6" t="str">
        <f>HYPERLINK("http://mcgill.on.worldcat.org/oclc/68207318","Catalog Record")</f>
        <v>Catalog Record</v>
      </c>
      <c r="AW5659" s="6" t="str">
        <f>HYPERLINK("http://www.worldcat.org/oclc/68207318","WorldCat Record")</f>
        <v>WorldCat Record</v>
      </c>
      <c r="AX5659" s="3" t="s">
        <v>53599</v>
      </c>
      <c r="AY5659" s="3" t="s">
        <v>53600</v>
      </c>
      <c r="AZ5659" s="3" t="s">
        <v>53601</v>
      </c>
      <c r="BA5659" s="3" t="s">
        <v>53601</v>
      </c>
      <c r="BB5659" s="3" t="s">
        <v>53605</v>
      </c>
      <c r="BC5659" s="3" t="s">
        <v>102</v>
      </c>
      <c r="BD5659" s="3" t="s">
        <v>68</v>
      </c>
      <c r="BE5659" s="3" t="s">
        <v>53603</v>
      </c>
      <c r="BF5659" s="3" t="s">
        <v>53605</v>
      </c>
      <c r="BG5659" s="3" t="s">
        <v>53606</v>
      </c>
    </row>
    <row r="5660" spans="1:59" ht="101.5" x14ac:dyDescent="0.35">
      <c r="A5660" s="2" t="s">
        <v>89</v>
      </c>
      <c r="B5660" s="2" t="s">
        <v>36812</v>
      </c>
      <c r="C5660" s="2" t="s">
        <v>53607</v>
      </c>
      <c r="D5660" s="2" t="s">
        <v>53608</v>
      </c>
      <c r="E5660" s="2" t="s">
        <v>53609</v>
      </c>
      <c r="G5660" s="3" t="s">
        <v>62</v>
      </c>
      <c r="I5660" s="3" t="s">
        <v>62</v>
      </c>
      <c r="J5660" s="3" t="s">
        <v>62</v>
      </c>
      <c r="K5660" s="3" t="s">
        <v>63</v>
      </c>
      <c r="L5660" s="2" t="s">
        <v>53610</v>
      </c>
      <c r="M5660" s="2" t="s">
        <v>53611</v>
      </c>
      <c r="N5660" s="3" t="s">
        <v>568</v>
      </c>
      <c r="P5660" s="3" t="s">
        <v>64</v>
      </c>
      <c r="R5660" s="3" t="s">
        <v>53463</v>
      </c>
      <c r="S5660" s="4">
        <v>10</v>
      </c>
      <c r="T5660" s="4">
        <v>10</v>
      </c>
      <c r="U5660" s="5" t="s">
        <v>8699</v>
      </c>
      <c r="V5660" s="5" t="s">
        <v>8699</v>
      </c>
      <c r="W5660" s="5" t="s">
        <v>67</v>
      </c>
      <c r="X5660" s="5" t="s">
        <v>67</v>
      </c>
      <c r="Y5660" s="4">
        <v>257</v>
      </c>
      <c r="Z5660" s="4">
        <v>14</v>
      </c>
      <c r="AA5660" s="4">
        <v>96</v>
      </c>
      <c r="AB5660" s="4">
        <v>1</v>
      </c>
      <c r="AC5660" s="4">
        <v>18</v>
      </c>
      <c r="AD5660" s="4">
        <v>50</v>
      </c>
      <c r="AE5660" s="4">
        <v>107</v>
      </c>
      <c r="AF5660" s="4">
        <v>0</v>
      </c>
      <c r="AG5660" s="4">
        <v>8</v>
      </c>
      <c r="AH5660" s="4">
        <v>41</v>
      </c>
      <c r="AI5660" s="4">
        <v>71</v>
      </c>
      <c r="AJ5660" s="4">
        <v>9</v>
      </c>
      <c r="AK5660" s="4">
        <v>19</v>
      </c>
      <c r="AL5660" s="4">
        <v>23</v>
      </c>
      <c r="AM5660" s="4">
        <v>34</v>
      </c>
      <c r="AN5660" s="4">
        <v>1</v>
      </c>
      <c r="AO5660" s="4">
        <v>1</v>
      </c>
      <c r="AP5660" s="4">
        <v>12</v>
      </c>
      <c r="AQ5660" s="4">
        <v>43</v>
      </c>
      <c r="AR5660" s="3" t="s">
        <v>62</v>
      </c>
      <c r="AS5660" s="3" t="s">
        <v>62</v>
      </c>
      <c r="AT5660" s="3" t="s">
        <v>61</v>
      </c>
      <c r="AU5660" s="6" t="str">
        <f>HYPERLINK("http://catalog.hathitrust.org/Record/004166543","HathiTrust Record")</f>
        <v>HathiTrust Record</v>
      </c>
      <c r="AV5660" s="6" t="str">
        <f>HYPERLINK("http://mcgill.on.worldcat.org/oclc/44603902","Catalog Record")</f>
        <v>Catalog Record</v>
      </c>
      <c r="AW5660" s="6" t="str">
        <f>HYPERLINK("http://www.worldcat.org/oclc/44603902","WorldCat Record")</f>
        <v>WorldCat Record</v>
      </c>
      <c r="AX5660" s="3" t="s">
        <v>53612</v>
      </c>
      <c r="AY5660" s="3" t="s">
        <v>53613</v>
      </c>
      <c r="AZ5660" s="3" t="s">
        <v>53614</v>
      </c>
      <c r="BA5660" s="3" t="s">
        <v>53614</v>
      </c>
      <c r="BB5660" s="3" t="s">
        <v>53615</v>
      </c>
      <c r="BC5660" s="3" t="s">
        <v>102</v>
      </c>
      <c r="BD5660" s="3" t="s">
        <v>231</v>
      </c>
      <c r="BE5660" s="3" t="s">
        <v>53616</v>
      </c>
      <c r="BF5660" s="3" t="s">
        <v>53615</v>
      </c>
      <c r="BG5660" s="3" t="s">
        <v>53617</v>
      </c>
    </row>
    <row r="5661" spans="1:59" ht="101.5" x14ac:dyDescent="0.35">
      <c r="A5661" s="2" t="s">
        <v>89</v>
      </c>
      <c r="B5661" s="2" t="s">
        <v>12301</v>
      </c>
      <c r="C5661" s="2" t="s">
        <v>53618</v>
      </c>
      <c r="D5661" s="2" t="s">
        <v>53619</v>
      </c>
      <c r="E5661" s="2" t="s">
        <v>53620</v>
      </c>
      <c r="G5661" s="3" t="s">
        <v>62</v>
      </c>
      <c r="I5661" s="3" t="s">
        <v>61</v>
      </c>
      <c r="J5661" s="3" t="s">
        <v>61</v>
      </c>
      <c r="K5661" s="3" t="s">
        <v>63</v>
      </c>
      <c r="L5661" s="2" t="s">
        <v>53621</v>
      </c>
      <c r="M5661" s="2" t="s">
        <v>53622</v>
      </c>
      <c r="N5661" s="3" t="s">
        <v>726</v>
      </c>
      <c r="O5661" s="2" t="s">
        <v>17254</v>
      </c>
      <c r="P5661" s="3" t="s">
        <v>64</v>
      </c>
      <c r="R5661" s="3" t="s">
        <v>53463</v>
      </c>
      <c r="S5661" s="4">
        <v>21</v>
      </c>
      <c r="T5661" s="4">
        <v>150</v>
      </c>
      <c r="U5661" s="5" t="s">
        <v>987</v>
      </c>
      <c r="V5661" s="5" t="s">
        <v>20032</v>
      </c>
      <c r="W5661" s="5" t="s">
        <v>67</v>
      </c>
      <c r="X5661" s="5" t="s">
        <v>67</v>
      </c>
      <c r="Y5661" s="4">
        <v>387</v>
      </c>
      <c r="Z5661" s="4">
        <v>15</v>
      </c>
      <c r="AA5661" s="4">
        <v>60</v>
      </c>
      <c r="AB5661" s="4">
        <v>2</v>
      </c>
      <c r="AC5661" s="4">
        <v>13</v>
      </c>
      <c r="AD5661" s="4">
        <v>80</v>
      </c>
      <c r="AE5661" s="4">
        <v>130</v>
      </c>
      <c r="AF5661" s="4">
        <v>0</v>
      </c>
      <c r="AG5661" s="4">
        <v>6</v>
      </c>
      <c r="AH5661" s="4">
        <v>74</v>
      </c>
      <c r="AI5661" s="4">
        <v>104</v>
      </c>
      <c r="AJ5661" s="4">
        <v>9</v>
      </c>
      <c r="AK5661" s="4">
        <v>24</v>
      </c>
      <c r="AL5661" s="4">
        <v>47</v>
      </c>
      <c r="AM5661" s="4">
        <v>56</v>
      </c>
      <c r="AN5661" s="4">
        <v>0</v>
      </c>
      <c r="AO5661" s="4">
        <v>2</v>
      </c>
      <c r="AP5661" s="4">
        <v>10</v>
      </c>
      <c r="AQ5661" s="4">
        <v>34</v>
      </c>
      <c r="AR5661" s="3" t="s">
        <v>62</v>
      </c>
      <c r="AS5661" s="3" t="s">
        <v>62</v>
      </c>
      <c r="AT5661" s="3" t="s">
        <v>62</v>
      </c>
      <c r="AV5661" s="6" t="str">
        <f t="shared" ref="AV5661:AV5666" si="94">HYPERLINK("http://mcgill.on.worldcat.org/oclc/933586700","Catalog Record")</f>
        <v>Catalog Record</v>
      </c>
      <c r="AW5661" s="6" t="str">
        <f t="shared" ref="AW5661:AW5666" si="95">HYPERLINK("http://www.worldcat.org/oclc/933586700","WorldCat Record")</f>
        <v>WorldCat Record</v>
      </c>
      <c r="AX5661" s="3" t="s">
        <v>53623</v>
      </c>
      <c r="AY5661" s="3" t="s">
        <v>53624</v>
      </c>
      <c r="AZ5661" s="3" t="s">
        <v>53625</v>
      </c>
      <c r="BA5661" s="3" t="s">
        <v>53625</v>
      </c>
      <c r="BB5661" s="3" t="s">
        <v>53626</v>
      </c>
      <c r="BC5661" s="3" t="s">
        <v>102</v>
      </c>
      <c r="BD5661" s="3" t="s">
        <v>68</v>
      </c>
      <c r="BE5661" s="3" t="s">
        <v>53627</v>
      </c>
      <c r="BF5661" s="3" t="s">
        <v>53626</v>
      </c>
      <c r="BG5661" s="3" t="s">
        <v>53628</v>
      </c>
    </row>
    <row r="5662" spans="1:59" ht="101.5" x14ac:dyDescent="0.35">
      <c r="A5662" s="2" t="s">
        <v>89</v>
      </c>
      <c r="B5662" s="2" t="s">
        <v>12301</v>
      </c>
      <c r="C5662" s="2" t="s">
        <v>53618</v>
      </c>
      <c r="D5662" s="2" t="s">
        <v>53619</v>
      </c>
      <c r="E5662" s="2" t="s">
        <v>53620</v>
      </c>
      <c r="G5662" s="3" t="s">
        <v>62</v>
      </c>
      <c r="I5662" s="3" t="s">
        <v>61</v>
      </c>
      <c r="J5662" s="3" t="s">
        <v>61</v>
      </c>
      <c r="K5662" s="3" t="s">
        <v>63</v>
      </c>
      <c r="L5662" s="2" t="s">
        <v>53621</v>
      </c>
      <c r="M5662" s="2" t="s">
        <v>53622</v>
      </c>
      <c r="N5662" s="3" t="s">
        <v>726</v>
      </c>
      <c r="O5662" s="2" t="s">
        <v>17254</v>
      </c>
      <c r="P5662" s="3" t="s">
        <v>64</v>
      </c>
      <c r="R5662" s="3" t="s">
        <v>53463</v>
      </c>
      <c r="S5662" s="4">
        <v>27</v>
      </c>
      <c r="T5662" s="4">
        <v>150</v>
      </c>
      <c r="U5662" s="5" t="s">
        <v>14412</v>
      </c>
      <c r="V5662" s="5" t="s">
        <v>20032</v>
      </c>
      <c r="W5662" s="5" t="s">
        <v>67</v>
      </c>
      <c r="X5662" s="5" t="s">
        <v>67</v>
      </c>
      <c r="Y5662" s="4">
        <v>387</v>
      </c>
      <c r="Z5662" s="4">
        <v>15</v>
      </c>
      <c r="AA5662" s="4">
        <v>60</v>
      </c>
      <c r="AB5662" s="4">
        <v>2</v>
      </c>
      <c r="AC5662" s="4">
        <v>13</v>
      </c>
      <c r="AD5662" s="4">
        <v>80</v>
      </c>
      <c r="AE5662" s="4">
        <v>130</v>
      </c>
      <c r="AF5662" s="4">
        <v>0</v>
      </c>
      <c r="AG5662" s="4">
        <v>6</v>
      </c>
      <c r="AH5662" s="4">
        <v>74</v>
      </c>
      <c r="AI5662" s="4">
        <v>104</v>
      </c>
      <c r="AJ5662" s="4">
        <v>9</v>
      </c>
      <c r="AK5662" s="4">
        <v>24</v>
      </c>
      <c r="AL5662" s="4">
        <v>47</v>
      </c>
      <c r="AM5662" s="4">
        <v>56</v>
      </c>
      <c r="AN5662" s="4">
        <v>0</v>
      </c>
      <c r="AO5662" s="4">
        <v>2</v>
      </c>
      <c r="AP5662" s="4">
        <v>10</v>
      </c>
      <c r="AQ5662" s="4">
        <v>34</v>
      </c>
      <c r="AR5662" s="3" t="s">
        <v>62</v>
      </c>
      <c r="AS5662" s="3" t="s">
        <v>62</v>
      </c>
      <c r="AT5662" s="3" t="s">
        <v>62</v>
      </c>
      <c r="AV5662" s="6" t="str">
        <f t="shared" si="94"/>
        <v>Catalog Record</v>
      </c>
      <c r="AW5662" s="6" t="str">
        <f t="shared" si="95"/>
        <v>WorldCat Record</v>
      </c>
      <c r="AX5662" s="3" t="s">
        <v>53623</v>
      </c>
      <c r="AY5662" s="3" t="s">
        <v>53624</v>
      </c>
      <c r="AZ5662" s="3" t="s">
        <v>53625</v>
      </c>
      <c r="BA5662" s="3" t="s">
        <v>53625</v>
      </c>
      <c r="BB5662" s="3" t="s">
        <v>53629</v>
      </c>
      <c r="BC5662" s="3" t="s">
        <v>102</v>
      </c>
      <c r="BD5662" s="3" t="s">
        <v>68</v>
      </c>
      <c r="BE5662" s="3" t="s">
        <v>53627</v>
      </c>
      <c r="BF5662" s="3" t="s">
        <v>53629</v>
      </c>
      <c r="BG5662" s="3" t="s">
        <v>53630</v>
      </c>
    </row>
    <row r="5663" spans="1:59" ht="101.5" x14ac:dyDescent="0.35">
      <c r="A5663" s="2" t="s">
        <v>89</v>
      </c>
      <c r="B5663" s="2" t="s">
        <v>12301</v>
      </c>
      <c r="C5663" s="2" t="s">
        <v>53618</v>
      </c>
      <c r="D5663" s="2" t="s">
        <v>53619</v>
      </c>
      <c r="E5663" s="2" t="s">
        <v>53620</v>
      </c>
      <c r="G5663" s="3" t="s">
        <v>62</v>
      </c>
      <c r="I5663" s="3" t="s">
        <v>61</v>
      </c>
      <c r="J5663" s="3" t="s">
        <v>61</v>
      </c>
      <c r="K5663" s="3" t="s">
        <v>63</v>
      </c>
      <c r="L5663" s="2" t="s">
        <v>53621</v>
      </c>
      <c r="M5663" s="2" t="s">
        <v>53622</v>
      </c>
      <c r="N5663" s="3" t="s">
        <v>726</v>
      </c>
      <c r="O5663" s="2" t="s">
        <v>17254</v>
      </c>
      <c r="P5663" s="3" t="s">
        <v>64</v>
      </c>
      <c r="R5663" s="3" t="s">
        <v>53463</v>
      </c>
      <c r="S5663" s="4">
        <v>22</v>
      </c>
      <c r="T5663" s="4">
        <v>150</v>
      </c>
      <c r="U5663" s="5" t="s">
        <v>8580</v>
      </c>
      <c r="V5663" s="5" t="s">
        <v>20032</v>
      </c>
      <c r="W5663" s="5" t="s">
        <v>67</v>
      </c>
      <c r="X5663" s="5" t="s">
        <v>67</v>
      </c>
      <c r="Y5663" s="4">
        <v>387</v>
      </c>
      <c r="Z5663" s="4">
        <v>15</v>
      </c>
      <c r="AA5663" s="4">
        <v>60</v>
      </c>
      <c r="AB5663" s="4">
        <v>2</v>
      </c>
      <c r="AC5663" s="4">
        <v>13</v>
      </c>
      <c r="AD5663" s="4">
        <v>80</v>
      </c>
      <c r="AE5663" s="4">
        <v>130</v>
      </c>
      <c r="AF5663" s="4">
        <v>0</v>
      </c>
      <c r="AG5663" s="4">
        <v>6</v>
      </c>
      <c r="AH5663" s="4">
        <v>74</v>
      </c>
      <c r="AI5663" s="4">
        <v>104</v>
      </c>
      <c r="AJ5663" s="4">
        <v>9</v>
      </c>
      <c r="AK5663" s="4">
        <v>24</v>
      </c>
      <c r="AL5663" s="4">
        <v>47</v>
      </c>
      <c r="AM5663" s="4">
        <v>56</v>
      </c>
      <c r="AN5663" s="4">
        <v>0</v>
      </c>
      <c r="AO5663" s="4">
        <v>2</v>
      </c>
      <c r="AP5663" s="4">
        <v>10</v>
      </c>
      <c r="AQ5663" s="4">
        <v>34</v>
      </c>
      <c r="AR5663" s="3" t="s">
        <v>62</v>
      </c>
      <c r="AS5663" s="3" t="s">
        <v>62</v>
      </c>
      <c r="AT5663" s="3" t="s">
        <v>62</v>
      </c>
      <c r="AV5663" s="6" t="str">
        <f t="shared" si="94"/>
        <v>Catalog Record</v>
      </c>
      <c r="AW5663" s="6" t="str">
        <f t="shared" si="95"/>
        <v>WorldCat Record</v>
      </c>
      <c r="AX5663" s="3" t="s">
        <v>53623</v>
      </c>
      <c r="AY5663" s="3" t="s">
        <v>53624</v>
      </c>
      <c r="AZ5663" s="3" t="s">
        <v>53625</v>
      </c>
      <c r="BA5663" s="3" t="s">
        <v>53625</v>
      </c>
      <c r="BB5663" s="3" t="s">
        <v>53631</v>
      </c>
      <c r="BC5663" s="3" t="s">
        <v>102</v>
      </c>
      <c r="BD5663" s="3" t="s">
        <v>68</v>
      </c>
      <c r="BE5663" s="3" t="s">
        <v>53627</v>
      </c>
      <c r="BF5663" s="3" t="s">
        <v>53631</v>
      </c>
      <c r="BG5663" s="3" t="s">
        <v>53632</v>
      </c>
    </row>
    <row r="5664" spans="1:59" ht="101.5" x14ac:dyDescent="0.35">
      <c r="A5664" s="2" t="s">
        <v>89</v>
      </c>
      <c r="B5664" s="2" t="s">
        <v>12301</v>
      </c>
      <c r="C5664" s="2" t="s">
        <v>53618</v>
      </c>
      <c r="D5664" s="2" t="s">
        <v>53619</v>
      </c>
      <c r="E5664" s="2" t="s">
        <v>53620</v>
      </c>
      <c r="G5664" s="3" t="s">
        <v>62</v>
      </c>
      <c r="I5664" s="3" t="s">
        <v>61</v>
      </c>
      <c r="J5664" s="3" t="s">
        <v>61</v>
      </c>
      <c r="K5664" s="3" t="s">
        <v>63</v>
      </c>
      <c r="L5664" s="2" t="s">
        <v>53621</v>
      </c>
      <c r="M5664" s="2" t="s">
        <v>53622</v>
      </c>
      <c r="N5664" s="3" t="s">
        <v>726</v>
      </c>
      <c r="O5664" s="2" t="s">
        <v>17254</v>
      </c>
      <c r="P5664" s="3" t="s">
        <v>64</v>
      </c>
      <c r="R5664" s="3" t="s">
        <v>53463</v>
      </c>
      <c r="S5664" s="4">
        <v>23</v>
      </c>
      <c r="T5664" s="4">
        <v>150</v>
      </c>
      <c r="U5664" s="5" t="s">
        <v>20032</v>
      </c>
      <c r="V5664" s="5" t="s">
        <v>20032</v>
      </c>
      <c r="W5664" s="5" t="s">
        <v>67</v>
      </c>
      <c r="X5664" s="5" t="s">
        <v>67</v>
      </c>
      <c r="Y5664" s="4">
        <v>387</v>
      </c>
      <c r="Z5664" s="4">
        <v>15</v>
      </c>
      <c r="AA5664" s="4">
        <v>60</v>
      </c>
      <c r="AB5664" s="4">
        <v>2</v>
      </c>
      <c r="AC5664" s="4">
        <v>13</v>
      </c>
      <c r="AD5664" s="4">
        <v>80</v>
      </c>
      <c r="AE5664" s="4">
        <v>130</v>
      </c>
      <c r="AF5664" s="4">
        <v>0</v>
      </c>
      <c r="AG5664" s="4">
        <v>6</v>
      </c>
      <c r="AH5664" s="4">
        <v>74</v>
      </c>
      <c r="AI5664" s="4">
        <v>104</v>
      </c>
      <c r="AJ5664" s="4">
        <v>9</v>
      </c>
      <c r="AK5664" s="4">
        <v>24</v>
      </c>
      <c r="AL5664" s="4">
        <v>47</v>
      </c>
      <c r="AM5664" s="4">
        <v>56</v>
      </c>
      <c r="AN5664" s="4">
        <v>0</v>
      </c>
      <c r="AO5664" s="4">
        <v>2</v>
      </c>
      <c r="AP5664" s="4">
        <v>10</v>
      </c>
      <c r="AQ5664" s="4">
        <v>34</v>
      </c>
      <c r="AR5664" s="3" t="s">
        <v>62</v>
      </c>
      <c r="AS5664" s="3" t="s">
        <v>62</v>
      </c>
      <c r="AT5664" s="3" t="s">
        <v>62</v>
      </c>
      <c r="AV5664" s="6" t="str">
        <f t="shared" si="94"/>
        <v>Catalog Record</v>
      </c>
      <c r="AW5664" s="6" t="str">
        <f t="shared" si="95"/>
        <v>WorldCat Record</v>
      </c>
      <c r="AX5664" s="3" t="s">
        <v>53623</v>
      </c>
      <c r="AY5664" s="3" t="s">
        <v>53624</v>
      </c>
      <c r="AZ5664" s="3" t="s">
        <v>53625</v>
      </c>
      <c r="BA5664" s="3" t="s">
        <v>53625</v>
      </c>
      <c r="BB5664" s="3" t="s">
        <v>53633</v>
      </c>
      <c r="BC5664" s="3" t="s">
        <v>102</v>
      </c>
      <c r="BD5664" s="3" t="s">
        <v>68</v>
      </c>
      <c r="BE5664" s="3" t="s">
        <v>53627</v>
      </c>
      <c r="BF5664" s="3" t="s">
        <v>53633</v>
      </c>
      <c r="BG5664" s="3" t="s">
        <v>53634</v>
      </c>
    </row>
    <row r="5665" spans="1:59" ht="101.5" x14ac:dyDescent="0.35">
      <c r="A5665" s="2" t="s">
        <v>89</v>
      </c>
      <c r="B5665" s="2" t="s">
        <v>12301</v>
      </c>
      <c r="C5665" s="2" t="s">
        <v>53618</v>
      </c>
      <c r="D5665" s="2" t="s">
        <v>53619</v>
      </c>
      <c r="E5665" s="2" t="s">
        <v>53620</v>
      </c>
      <c r="G5665" s="3" t="s">
        <v>62</v>
      </c>
      <c r="I5665" s="3" t="s">
        <v>61</v>
      </c>
      <c r="J5665" s="3" t="s">
        <v>61</v>
      </c>
      <c r="K5665" s="3" t="s">
        <v>63</v>
      </c>
      <c r="L5665" s="2" t="s">
        <v>53621</v>
      </c>
      <c r="M5665" s="2" t="s">
        <v>53622</v>
      </c>
      <c r="N5665" s="3" t="s">
        <v>726</v>
      </c>
      <c r="O5665" s="2" t="s">
        <v>17254</v>
      </c>
      <c r="P5665" s="3" t="s">
        <v>64</v>
      </c>
      <c r="R5665" s="3" t="s">
        <v>53463</v>
      </c>
      <c r="S5665" s="4">
        <v>35</v>
      </c>
      <c r="T5665" s="4">
        <v>150</v>
      </c>
      <c r="U5665" s="5" t="s">
        <v>16887</v>
      </c>
      <c r="V5665" s="5" t="s">
        <v>20032</v>
      </c>
      <c r="W5665" s="5" t="s">
        <v>67</v>
      </c>
      <c r="X5665" s="5" t="s">
        <v>67</v>
      </c>
      <c r="Y5665" s="4">
        <v>387</v>
      </c>
      <c r="Z5665" s="4">
        <v>15</v>
      </c>
      <c r="AA5665" s="4">
        <v>60</v>
      </c>
      <c r="AB5665" s="4">
        <v>2</v>
      </c>
      <c r="AC5665" s="4">
        <v>13</v>
      </c>
      <c r="AD5665" s="4">
        <v>80</v>
      </c>
      <c r="AE5665" s="4">
        <v>130</v>
      </c>
      <c r="AF5665" s="4">
        <v>0</v>
      </c>
      <c r="AG5665" s="4">
        <v>6</v>
      </c>
      <c r="AH5665" s="4">
        <v>74</v>
      </c>
      <c r="AI5665" s="4">
        <v>104</v>
      </c>
      <c r="AJ5665" s="4">
        <v>9</v>
      </c>
      <c r="AK5665" s="4">
        <v>24</v>
      </c>
      <c r="AL5665" s="4">
        <v>47</v>
      </c>
      <c r="AM5665" s="4">
        <v>56</v>
      </c>
      <c r="AN5665" s="4">
        <v>0</v>
      </c>
      <c r="AO5665" s="4">
        <v>2</v>
      </c>
      <c r="AP5665" s="4">
        <v>10</v>
      </c>
      <c r="AQ5665" s="4">
        <v>34</v>
      </c>
      <c r="AR5665" s="3" t="s">
        <v>62</v>
      </c>
      <c r="AS5665" s="3" t="s">
        <v>62</v>
      </c>
      <c r="AT5665" s="3" t="s">
        <v>62</v>
      </c>
      <c r="AV5665" s="6" t="str">
        <f t="shared" si="94"/>
        <v>Catalog Record</v>
      </c>
      <c r="AW5665" s="6" t="str">
        <f t="shared" si="95"/>
        <v>WorldCat Record</v>
      </c>
      <c r="AX5665" s="3" t="s">
        <v>53623</v>
      </c>
      <c r="AY5665" s="3" t="s">
        <v>53624</v>
      </c>
      <c r="AZ5665" s="3" t="s">
        <v>53625</v>
      </c>
      <c r="BA5665" s="3" t="s">
        <v>53625</v>
      </c>
      <c r="BB5665" s="3" t="s">
        <v>53635</v>
      </c>
      <c r="BC5665" s="3" t="s">
        <v>102</v>
      </c>
      <c r="BD5665" s="3" t="s">
        <v>68</v>
      </c>
      <c r="BE5665" s="3" t="s">
        <v>53627</v>
      </c>
      <c r="BF5665" s="3" t="s">
        <v>53635</v>
      </c>
      <c r="BG5665" s="3" t="s">
        <v>53636</v>
      </c>
    </row>
    <row r="5666" spans="1:59" ht="101.5" x14ac:dyDescent="0.35">
      <c r="A5666" s="2" t="s">
        <v>89</v>
      </c>
      <c r="B5666" s="2" t="s">
        <v>12301</v>
      </c>
      <c r="C5666" s="2" t="s">
        <v>53618</v>
      </c>
      <c r="D5666" s="2" t="s">
        <v>53619</v>
      </c>
      <c r="E5666" s="2" t="s">
        <v>53620</v>
      </c>
      <c r="G5666" s="3" t="s">
        <v>62</v>
      </c>
      <c r="I5666" s="3" t="s">
        <v>61</v>
      </c>
      <c r="J5666" s="3" t="s">
        <v>61</v>
      </c>
      <c r="K5666" s="3" t="s">
        <v>63</v>
      </c>
      <c r="L5666" s="2" t="s">
        <v>53621</v>
      </c>
      <c r="M5666" s="2" t="s">
        <v>53622</v>
      </c>
      <c r="N5666" s="3" t="s">
        <v>726</v>
      </c>
      <c r="O5666" s="2" t="s">
        <v>17254</v>
      </c>
      <c r="P5666" s="3" t="s">
        <v>64</v>
      </c>
      <c r="R5666" s="3" t="s">
        <v>53463</v>
      </c>
      <c r="S5666" s="4">
        <v>11</v>
      </c>
      <c r="T5666" s="4">
        <v>150</v>
      </c>
      <c r="U5666" s="5" t="s">
        <v>14499</v>
      </c>
      <c r="V5666" s="5" t="s">
        <v>20032</v>
      </c>
      <c r="W5666" s="5" t="s">
        <v>67</v>
      </c>
      <c r="X5666" s="5" t="s">
        <v>67</v>
      </c>
      <c r="Y5666" s="4">
        <v>387</v>
      </c>
      <c r="Z5666" s="4">
        <v>15</v>
      </c>
      <c r="AA5666" s="4">
        <v>60</v>
      </c>
      <c r="AB5666" s="4">
        <v>2</v>
      </c>
      <c r="AC5666" s="4">
        <v>13</v>
      </c>
      <c r="AD5666" s="4">
        <v>80</v>
      </c>
      <c r="AE5666" s="4">
        <v>130</v>
      </c>
      <c r="AF5666" s="4">
        <v>0</v>
      </c>
      <c r="AG5666" s="4">
        <v>6</v>
      </c>
      <c r="AH5666" s="4">
        <v>74</v>
      </c>
      <c r="AI5666" s="4">
        <v>104</v>
      </c>
      <c r="AJ5666" s="4">
        <v>9</v>
      </c>
      <c r="AK5666" s="4">
        <v>24</v>
      </c>
      <c r="AL5666" s="4">
        <v>47</v>
      </c>
      <c r="AM5666" s="4">
        <v>56</v>
      </c>
      <c r="AN5666" s="4">
        <v>0</v>
      </c>
      <c r="AO5666" s="4">
        <v>2</v>
      </c>
      <c r="AP5666" s="4">
        <v>10</v>
      </c>
      <c r="AQ5666" s="4">
        <v>34</v>
      </c>
      <c r="AR5666" s="3" t="s">
        <v>62</v>
      </c>
      <c r="AS5666" s="3" t="s">
        <v>62</v>
      </c>
      <c r="AT5666" s="3" t="s">
        <v>62</v>
      </c>
      <c r="AV5666" s="6" t="str">
        <f t="shared" si="94"/>
        <v>Catalog Record</v>
      </c>
      <c r="AW5666" s="6" t="str">
        <f t="shared" si="95"/>
        <v>WorldCat Record</v>
      </c>
      <c r="AX5666" s="3" t="s">
        <v>53623</v>
      </c>
      <c r="AY5666" s="3" t="s">
        <v>53624</v>
      </c>
      <c r="AZ5666" s="3" t="s">
        <v>53625</v>
      </c>
      <c r="BA5666" s="3" t="s">
        <v>53625</v>
      </c>
      <c r="BB5666" s="3" t="s">
        <v>53637</v>
      </c>
      <c r="BC5666" s="3" t="s">
        <v>102</v>
      </c>
      <c r="BD5666" s="3" t="s">
        <v>68</v>
      </c>
      <c r="BE5666" s="3" t="s">
        <v>53627</v>
      </c>
      <c r="BF5666" s="3" t="s">
        <v>53637</v>
      </c>
      <c r="BG5666" s="3" t="s">
        <v>53638</v>
      </c>
    </row>
    <row r="5667" spans="1:59" ht="101.5" x14ac:dyDescent="0.35">
      <c r="A5667" s="2" t="s">
        <v>89</v>
      </c>
      <c r="B5667" s="2" t="s">
        <v>36812</v>
      </c>
      <c r="C5667" s="2" t="s">
        <v>53639</v>
      </c>
      <c r="D5667" s="2" t="s">
        <v>53640</v>
      </c>
      <c r="E5667" s="2" t="s">
        <v>53641</v>
      </c>
      <c r="G5667" s="3" t="s">
        <v>62</v>
      </c>
      <c r="I5667" s="3" t="s">
        <v>62</v>
      </c>
      <c r="J5667" s="3" t="s">
        <v>62</v>
      </c>
      <c r="K5667" s="3" t="s">
        <v>63</v>
      </c>
      <c r="L5667" s="2" t="s">
        <v>53642</v>
      </c>
      <c r="M5667" s="2" t="s">
        <v>53643</v>
      </c>
      <c r="N5667" s="3" t="s">
        <v>2975</v>
      </c>
      <c r="P5667" s="3" t="s">
        <v>64</v>
      </c>
      <c r="R5667" s="3" t="s">
        <v>53463</v>
      </c>
      <c r="S5667" s="4">
        <v>12</v>
      </c>
      <c r="T5667" s="4">
        <v>12</v>
      </c>
      <c r="U5667" s="5" t="s">
        <v>12498</v>
      </c>
      <c r="V5667" s="5" t="s">
        <v>12498</v>
      </c>
      <c r="W5667" s="5" t="s">
        <v>67</v>
      </c>
      <c r="X5667" s="5" t="s">
        <v>67</v>
      </c>
      <c r="Y5667" s="4">
        <v>57</v>
      </c>
      <c r="Z5667" s="4">
        <v>38</v>
      </c>
      <c r="AA5667" s="4">
        <v>39</v>
      </c>
      <c r="AB5667" s="4">
        <v>3</v>
      </c>
      <c r="AC5667" s="4">
        <v>4</v>
      </c>
      <c r="AD5667" s="4">
        <v>9</v>
      </c>
      <c r="AE5667" s="4">
        <v>9</v>
      </c>
      <c r="AF5667" s="4">
        <v>0</v>
      </c>
      <c r="AG5667" s="4">
        <v>0</v>
      </c>
      <c r="AH5667" s="4">
        <v>5</v>
      </c>
      <c r="AI5667" s="4">
        <v>5</v>
      </c>
      <c r="AJ5667" s="4">
        <v>6</v>
      </c>
      <c r="AK5667" s="4">
        <v>6</v>
      </c>
      <c r="AL5667" s="4">
        <v>0</v>
      </c>
      <c r="AM5667" s="4">
        <v>0</v>
      </c>
      <c r="AN5667" s="4">
        <v>0</v>
      </c>
      <c r="AO5667" s="4">
        <v>0</v>
      </c>
      <c r="AP5667" s="4">
        <v>6</v>
      </c>
      <c r="AQ5667" s="4">
        <v>6</v>
      </c>
      <c r="AR5667" s="3" t="s">
        <v>61</v>
      </c>
      <c r="AS5667" s="3" t="s">
        <v>62</v>
      </c>
      <c r="AT5667" s="3" t="s">
        <v>62</v>
      </c>
      <c r="AV5667" s="6" t="str">
        <f>HYPERLINK("http://mcgill.on.worldcat.org/oclc/47161592","Catalog Record")</f>
        <v>Catalog Record</v>
      </c>
      <c r="AW5667" s="6" t="str">
        <f>HYPERLINK("http://www.worldcat.org/oclc/47161592","WorldCat Record")</f>
        <v>WorldCat Record</v>
      </c>
      <c r="AX5667" s="3" t="s">
        <v>53644</v>
      </c>
      <c r="AY5667" s="3" t="s">
        <v>53645</v>
      </c>
      <c r="AZ5667" s="3" t="s">
        <v>53646</v>
      </c>
      <c r="BA5667" s="3" t="s">
        <v>53646</v>
      </c>
      <c r="BB5667" s="3" t="s">
        <v>53647</v>
      </c>
      <c r="BC5667" s="3" t="s">
        <v>102</v>
      </c>
      <c r="BD5667" s="3" t="s">
        <v>68</v>
      </c>
      <c r="BE5667" s="3" t="s">
        <v>53648</v>
      </c>
      <c r="BF5667" s="3" t="s">
        <v>53647</v>
      </c>
      <c r="BG5667" s="3" t="s">
        <v>53649</v>
      </c>
    </row>
    <row r="5668" spans="1:59" ht="58" x14ac:dyDescent="0.35">
      <c r="A5668" s="2" t="s">
        <v>89</v>
      </c>
      <c r="B5668" s="2" t="s">
        <v>90</v>
      </c>
      <c r="C5668" s="2" t="s">
        <v>53650</v>
      </c>
      <c r="D5668" s="2" t="s">
        <v>53651</v>
      </c>
      <c r="E5668" s="2" t="s">
        <v>53652</v>
      </c>
      <c r="G5668" s="3" t="s">
        <v>62</v>
      </c>
      <c r="I5668" s="3" t="s">
        <v>62</v>
      </c>
      <c r="J5668" s="3" t="s">
        <v>62</v>
      </c>
      <c r="K5668" s="3" t="s">
        <v>63</v>
      </c>
      <c r="L5668" s="2" t="s">
        <v>53653</v>
      </c>
      <c r="M5668" s="2" t="s">
        <v>53654</v>
      </c>
      <c r="N5668" s="3" t="s">
        <v>712</v>
      </c>
      <c r="P5668" s="3" t="s">
        <v>64</v>
      </c>
      <c r="R5668" s="3" t="s">
        <v>53463</v>
      </c>
      <c r="S5668" s="4">
        <v>18</v>
      </c>
      <c r="T5668" s="4">
        <v>18</v>
      </c>
      <c r="U5668" s="5" t="s">
        <v>19386</v>
      </c>
      <c r="V5668" s="5" t="s">
        <v>19386</v>
      </c>
      <c r="W5668" s="5" t="s">
        <v>67</v>
      </c>
      <c r="X5668" s="5" t="s">
        <v>67</v>
      </c>
      <c r="Y5668" s="4">
        <v>1704</v>
      </c>
      <c r="Z5668" s="4">
        <v>48</v>
      </c>
      <c r="AA5668" s="4">
        <v>59</v>
      </c>
      <c r="AB5668" s="4">
        <v>2</v>
      </c>
      <c r="AC5668" s="4">
        <v>7</v>
      </c>
      <c r="AD5668" s="4">
        <v>102</v>
      </c>
      <c r="AE5668" s="4">
        <v>108</v>
      </c>
      <c r="AF5668" s="4">
        <v>0</v>
      </c>
      <c r="AG5668" s="4">
        <v>1</v>
      </c>
      <c r="AH5668" s="4">
        <v>91</v>
      </c>
      <c r="AI5668" s="4">
        <v>95</v>
      </c>
      <c r="AJ5668" s="4">
        <v>12</v>
      </c>
      <c r="AK5668" s="4">
        <v>13</v>
      </c>
      <c r="AL5668" s="4">
        <v>53</v>
      </c>
      <c r="AM5668" s="4">
        <v>55</v>
      </c>
      <c r="AN5668" s="4">
        <v>0</v>
      </c>
      <c r="AO5668" s="4">
        <v>0</v>
      </c>
      <c r="AP5668" s="4">
        <v>16</v>
      </c>
      <c r="AQ5668" s="4">
        <v>17</v>
      </c>
      <c r="AR5668" s="3" t="s">
        <v>62</v>
      </c>
      <c r="AS5668" s="3" t="s">
        <v>62</v>
      </c>
      <c r="AT5668" s="3" t="s">
        <v>62</v>
      </c>
      <c r="AV5668" s="6" t="str">
        <f>HYPERLINK("http://mcgill.on.worldcat.org/oclc/877914128","Catalog Record")</f>
        <v>Catalog Record</v>
      </c>
      <c r="AW5668" s="6" t="str">
        <f>HYPERLINK("http://www.worldcat.org/oclc/877914128","WorldCat Record")</f>
        <v>WorldCat Record</v>
      </c>
      <c r="AX5668" s="3" t="s">
        <v>53655</v>
      </c>
      <c r="AY5668" s="3" t="s">
        <v>53656</v>
      </c>
      <c r="AZ5668" s="3" t="s">
        <v>53657</v>
      </c>
      <c r="BA5668" s="3" t="s">
        <v>53657</v>
      </c>
      <c r="BB5668" s="3" t="s">
        <v>53658</v>
      </c>
      <c r="BC5668" s="3" t="s">
        <v>102</v>
      </c>
      <c r="BD5668" s="3" t="s">
        <v>68</v>
      </c>
      <c r="BE5668" s="3" t="s">
        <v>53659</v>
      </c>
      <c r="BF5668" s="3" t="s">
        <v>53658</v>
      </c>
      <c r="BG5668" s="3" t="s">
        <v>53660</v>
      </c>
    </row>
    <row r="5669" spans="1:59" ht="101.5" x14ac:dyDescent="0.35">
      <c r="A5669" s="2" t="s">
        <v>89</v>
      </c>
      <c r="B5669" s="2" t="s">
        <v>36812</v>
      </c>
      <c r="C5669" s="2" t="s">
        <v>53661</v>
      </c>
      <c r="D5669" s="2" t="s">
        <v>53662</v>
      </c>
      <c r="E5669" s="2" t="s">
        <v>53663</v>
      </c>
      <c r="G5669" s="3" t="s">
        <v>62</v>
      </c>
      <c r="I5669" s="3" t="s">
        <v>61</v>
      </c>
      <c r="J5669" s="3" t="s">
        <v>62</v>
      </c>
      <c r="K5669" s="3" t="s">
        <v>63</v>
      </c>
      <c r="L5669" s="2" t="s">
        <v>53664</v>
      </c>
      <c r="M5669" s="2" t="s">
        <v>53665</v>
      </c>
      <c r="N5669" s="3" t="s">
        <v>1195</v>
      </c>
      <c r="O5669" s="2" t="s">
        <v>2163</v>
      </c>
      <c r="P5669" s="3" t="s">
        <v>64</v>
      </c>
      <c r="R5669" s="3" t="s">
        <v>53463</v>
      </c>
      <c r="S5669" s="4">
        <v>2</v>
      </c>
      <c r="T5669" s="4">
        <v>3</v>
      </c>
      <c r="U5669" s="5" t="s">
        <v>16415</v>
      </c>
      <c r="V5669" s="5" t="s">
        <v>16415</v>
      </c>
      <c r="W5669" s="5" t="s">
        <v>67</v>
      </c>
      <c r="X5669" s="5" t="s">
        <v>67</v>
      </c>
      <c r="Y5669" s="4">
        <v>539</v>
      </c>
      <c r="Z5669" s="4">
        <v>25</v>
      </c>
      <c r="AA5669" s="4">
        <v>25</v>
      </c>
      <c r="AB5669" s="4">
        <v>1</v>
      </c>
      <c r="AC5669" s="4">
        <v>1</v>
      </c>
      <c r="AD5669" s="4">
        <v>33</v>
      </c>
      <c r="AE5669" s="4">
        <v>33</v>
      </c>
      <c r="AF5669" s="4">
        <v>0</v>
      </c>
      <c r="AG5669" s="4">
        <v>0</v>
      </c>
      <c r="AH5669" s="4">
        <v>31</v>
      </c>
      <c r="AI5669" s="4">
        <v>31</v>
      </c>
      <c r="AJ5669" s="4">
        <v>6</v>
      </c>
      <c r="AK5669" s="4">
        <v>6</v>
      </c>
      <c r="AL5669" s="4">
        <v>14</v>
      </c>
      <c r="AM5669" s="4">
        <v>14</v>
      </c>
      <c r="AN5669" s="4">
        <v>0</v>
      </c>
      <c r="AO5669" s="4">
        <v>0</v>
      </c>
      <c r="AP5669" s="4">
        <v>7</v>
      </c>
      <c r="AQ5669" s="4">
        <v>7</v>
      </c>
      <c r="AR5669" s="3" t="s">
        <v>62</v>
      </c>
      <c r="AS5669" s="3" t="s">
        <v>62</v>
      </c>
      <c r="AT5669" s="3" t="s">
        <v>62</v>
      </c>
      <c r="AV5669" s="6" t="str">
        <f>HYPERLINK("http://mcgill.on.worldcat.org/oclc/70230742","Catalog Record")</f>
        <v>Catalog Record</v>
      </c>
      <c r="AW5669" s="6" t="str">
        <f>HYPERLINK("http://www.worldcat.org/oclc/70230742","WorldCat Record")</f>
        <v>WorldCat Record</v>
      </c>
      <c r="AX5669" s="3" t="s">
        <v>53666</v>
      </c>
      <c r="AY5669" s="3" t="s">
        <v>53667</v>
      </c>
      <c r="AZ5669" s="3" t="s">
        <v>53668</v>
      </c>
      <c r="BA5669" s="3" t="s">
        <v>53668</v>
      </c>
      <c r="BB5669" s="3" t="s">
        <v>53669</v>
      </c>
      <c r="BC5669" s="3" t="s">
        <v>102</v>
      </c>
      <c r="BD5669" s="3" t="s">
        <v>68</v>
      </c>
      <c r="BE5669" s="3" t="s">
        <v>53670</v>
      </c>
      <c r="BF5669" s="3" t="s">
        <v>53669</v>
      </c>
      <c r="BG5669" s="3" t="s">
        <v>53671</v>
      </c>
    </row>
    <row r="5670" spans="1:59" ht="101.5" x14ac:dyDescent="0.35">
      <c r="A5670" s="2" t="s">
        <v>89</v>
      </c>
      <c r="B5670" s="2" t="s">
        <v>36812</v>
      </c>
      <c r="C5670" s="2" t="s">
        <v>53672</v>
      </c>
      <c r="D5670" s="2" t="s">
        <v>53673</v>
      </c>
      <c r="E5670" s="2" t="s">
        <v>53674</v>
      </c>
      <c r="G5670" s="3" t="s">
        <v>62</v>
      </c>
      <c r="I5670" s="3" t="s">
        <v>62</v>
      </c>
      <c r="J5670" s="3" t="s">
        <v>62</v>
      </c>
      <c r="K5670" s="3" t="s">
        <v>63</v>
      </c>
      <c r="L5670" s="2" t="s">
        <v>53675</v>
      </c>
      <c r="M5670" s="2" t="s">
        <v>53676</v>
      </c>
      <c r="N5670" s="3" t="s">
        <v>625</v>
      </c>
      <c r="P5670" s="3" t="s">
        <v>64</v>
      </c>
      <c r="R5670" s="3" t="s">
        <v>53463</v>
      </c>
      <c r="S5670" s="4">
        <v>12</v>
      </c>
      <c r="T5670" s="4">
        <v>12</v>
      </c>
      <c r="U5670" s="5" t="s">
        <v>17612</v>
      </c>
      <c r="V5670" s="5" t="s">
        <v>17612</v>
      </c>
      <c r="W5670" s="5" t="s">
        <v>67</v>
      </c>
      <c r="X5670" s="5" t="s">
        <v>67</v>
      </c>
      <c r="Y5670" s="4">
        <v>364</v>
      </c>
      <c r="Z5670" s="4">
        <v>13</v>
      </c>
      <c r="AA5670" s="4">
        <v>31</v>
      </c>
      <c r="AB5670" s="4">
        <v>2</v>
      </c>
      <c r="AC5670" s="4">
        <v>5</v>
      </c>
      <c r="AD5670" s="4">
        <v>8</v>
      </c>
      <c r="AE5670" s="4">
        <v>44</v>
      </c>
      <c r="AF5670" s="4">
        <v>0</v>
      </c>
      <c r="AG5670" s="4">
        <v>1</v>
      </c>
      <c r="AH5670" s="4">
        <v>8</v>
      </c>
      <c r="AI5670" s="4">
        <v>32</v>
      </c>
      <c r="AJ5670" s="4">
        <v>2</v>
      </c>
      <c r="AK5670" s="4">
        <v>8</v>
      </c>
      <c r="AL5670" s="4">
        <v>2</v>
      </c>
      <c r="AM5670" s="4">
        <v>12</v>
      </c>
      <c r="AN5670" s="4">
        <v>0</v>
      </c>
      <c r="AO5670" s="4">
        <v>0</v>
      </c>
      <c r="AP5670" s="4">
        <v>2</v>
      </c>
      <c r="AQ5670" s="4">
        <v>17</v>
      </c>
      <c r="AR5670" s="3" t="s">
        <v>62</v>
      </c>
      <c r="AS5670" s="3" t="s">
        <v>62</v>
      </c>
      <c r="AT5670" s="3" t="s">
        <v>62</v>
      </c>
      <c r="AV5670" s="6" t="str">
        <f>HYPERLINK("http://mcgill.on.worldcat.org/oclc/50560554","Catalog Record")</f>
        <v>Catalog Record</v>
      </c>
      <c r="AW5670" s="6" t="str">
        <f>HYPERLINK("http://www.worldcat.org/oclc/50560554","WorldCat Record")</f>
        <v>WorldCat Record</v>
      </c>
      <c r="AX5670" s="3" t="s">
        <v>53677</v>
      </c>
      <c r="AY5670" s="3" t="s">
        <v>53678</v>
      </c>
      <c r="AZ5670" s="3" t="s">
        <v>53679</v>
      </c>
      <c r="BA5670" s="3" t="s">
        <v>53679</v>
      </c>
      <c r="BB5670" s="3" t="s">
        <v>53680</v>
      </c>
      <c r="BC5670" s="3" t="s">
        <v>102</v>
      </c>
      <c r="BD5670" s="3" t="s">
        <v>231</v>
      </c>
      <c r="BE5670" s="3" t="s">
        <v>53681</v>
      </c>
      <c r="BF5670" s="3" t="s">
        <v>53680</v>
      </c>
      <c r="BG5670" s="3" t="s">
        <v>53682</v>
      </c>
    </row>
    <row r="5671" spans="1:59" ht="101.5" x14ac:dyDescent="0.35">
      <c r="A5671" s="2" t="s">
        <v>89</v>
      </c>
      <c r="B5671" s="2" t="s">
        <v>12301</v>
      </c>
      <c r="C5671" s="2" t="s">
        <v>53683</v>
      </c>
      <c r="D5671" s="2" t="s">
        <v>53684</v>
      </c>
      <c r="E5671" s="2" t="s">
        <v>53685</v>
      </c>
      <c r="G5671" s="3" t="s">
        <v>62</v>
      </c>
      <c r="I5671" s="3" t="s">
        <v>62</v>
      </c>
      <c r="J5671" s="3" t="s">
        <v>61</v>
      </c>
      <c r="K5671" s="3" t="s">
        <v>63</v>
      </c>
      <c r="M5671" s="2" t="s">
        <v>53686</v>
      </c>
      <c r="N5671" s="3" t="s">
        <v>129</v>
      </c>
      <c r="O5671" s="2" t="s">
        <v>17648</v>
      </c>
      <c r="P5671" s="3" t="s">
        <v>64</v>
      </c>
      <c r="R5671" s="3" t="s">
        <v>53463</v>
      </c>
      <c r="S5671" s="4">
        <v>15</v>
      </c>
      <c r="T5671" s="4">
        <v>15</v>
      </c>
      <c r="U5671" s="5" t="s">
        <v>7851</v>
      </c>
      <c r="V5671" s="5" t="s">
        <v>7851</v>
      </c>
      <c r="W5671" s="5" t="s">
        <v>67</v>
      </c>
      <c r="X5671" s="5" t="s">
        <v>67</v>
      </c>
      <c r="Y5671" s="4">
        <v>253</v>
      </c>
      <c r="Z5671" s="4">
        <v>19</v>
      </c>
      <c r="AA5671" s="4">
        <v>42</v>
      </c>
      <c r="AB5671" s="4">
        <v>1</v>
      </c>
      <c r="AC5671" s="4">
        <v>9</v>
      </c>
      <c r="AD5671" s="4">
        <v>55</v>
      </c>
      <c r="AE5671" s="4">
        <v>92</v>
      </c>
      <c r="AF5671" s="4">
        <v>0</v>
      </c>
      <c r="AG5671" s="4">
        <v>4</v>
      </c>
      <c r="AH5671" s="4">
        <v>50</v>
      </c>
      <c r="AI5671" s="4">
        <v>77</v>
      </c>
      <c r="AJ5671" s="4">
        <v>11</v>
      </c>
      <c r="AK5671" s="4">
        <v>17</v>
      </c>
      <c r="AL5671" s="4">
        <v>30</v>
      </c>
      <c r="AM5671" s="4">
        <v>42</v>
      </c>
      <c r="AN5671" s="4">
        <v>0</v>
      </c>
      <c r="AO5671" s="4">
        <v>0</v>
      </c>
      <c r="AP5671" s="4">
        <v>12</v>
      </c>
      <c r="AQ5671" s="4">
        <v>24</v>
      </c>
      <c r="AR5671" s="3" t="s">
        <v>62</v>
      </c>
      <c r="AS5671" s="3" t="s">
        <v>62</v>
      </c>
      <c r="AT5671" s="3" t="s">
        <v>62</v>
      </c>
      <c r="AV5671" s="6" t="str">
        <f>HYPERLINK("http://mcgill.on.worldcat.org/oclc/769141612","Catalog Record")</f>
        <v>Catalog Record</v>
      </c>
      <c r="AW5671" s="6" t="str">
        <f>HYPERLINK("http://www.worldcat.org/oclc/769141612","WorldCat Record")</f>
        <v>WorldCat Record</v>
      </c>
      <c r="AX5671" s="3" t="s">
        <v>53687</v>
      </c>
      <c r="AY5671" s="3" t="s">
        <v>53688</v>
      </c>
      <c r="AZ5671" s="3" t="s">
        <v>53689</v>
      </c>
      <c r="BA5671" s="3" t="s">
        <v>53689</v>
      </c>
      <c r="BB5671" s="3" t="s">
        <v>53690</v>
      </c>
      <c r="BC5671" s="3" t="s">
        <v>102</v>
      </c>
      <c r="BD5671" s="3" t="s">
        <v>68</v>
      </c>
      <c r="BE5671" s="3" t="s">
        <v>53691</v>
      </c>
      <c r="BF5671" s="3" t="s">
        <v>53690</v>
      </c>
      <c r="BG5671" s="3" t="s">
        <v>53692</v>
      </c>
    </row>
    <row r="5672" spans="1:59" ht="101.5" x14ac:dyDescent="0.35">
      <c r="A5672" s="2" t="s">
        <v>89</v>
      </c>
      <c r="B5672" s="2" t="s">
        <v>36812</v>
      </c>
      <c r="C5672" s="2" t="s">
        <v>53693</v>
      </c>
      <c r="D5672" s="2" t="s">
        <v>53694</v>
      </c>
      <c r="E5672" s="2" t="s">
        <v>53695</v>
      </c>
      <c r="G5672" s="3" t="s">
        <v>62</v>
      </c>
      <c r="I5672" s="3" t="s">
        <v>62</v>
      </c>
      <c r="J5672" s="3" t="s">
        <v>62</v>
      </c>
      <c r="K5672" s="3" t="s">
        <v>63</v>
      </c>
      <c r="L5672" s="2" t="s">
        <v>53696</v>
      </c>
      <c r="M5672" s="2" t="s">
        <v>13202</v>
      </c>
      <c r="N5672" s="3" t="s">
        <v>1195</v>
      </c>
      <c r="P5672" s="3" t="s">
        <v>64</v>
      </c>
      <c r="R5672" s="3" t="s">
        <v>53463</v>
      </c>
      <c r="S5672" s="4">
        <v>4</v>
      </c>
      <c r="T5672" s="4">
        <v>4</v>
      </c>
      <c r="U5672" s="5" t="s">
        <v>8233</v>
      </c>
      <c r="V5672" s="5" t="s">
        <v>8233</v>
      </c>
      <c r="W5672" s="5" t="s">
        <v>67</v>
      </c>
      <c r="X5672" s="5" t="s">
        <v>67</v>
      </c>
      <c r="Y5672" s="4">
        <v>546</v>
      </c>
      <c r="Z5672" s="4">
        <v>35</v>
      </c>
      <c r="AA5672" s="4">
        <v>38</v>
      </c>
      <c r="AB5672" s="4">
        <v>3</v>
      </c>
      <c r="AC5672" s="4">
        <v>6</v>
      </c>
      <c r="AD5672" s="4">
        <v>39</v>
      </c>
      <c r="AE5672" s="4">
        <v>49</v>
      </c>
      <c r="AF5672" s="4">
        <v>1</v>
      </c>
      <c r="AG5672" s="4">
        <v>1</v>
      </c>
      <c r="AH5672" s="4">
        <v>32</v>
      </c>
      <c r="AI5672" s="4">
        <v>40</v>
      </c>
      <c r="AJ5672" s="4">
        <v>7</v>
      </c>
      <c r="AK5672" s="4">
        <v>7</v>
      </c>
      <c r="AL5672" s="4">
        <v>16</v>
      </c>
      <c r="AM5672" s="4">
        <v>24</v>
      </c>
      <c r="AN5672" s="4">
        <v>0</v>
      </c>
      <c r="AO5672" s="4">
        <v>0</v>
      </c>
      <c r="AP5672" s="4">
        <v>10</v>
      </c>
      <c r="AQ5672" s="4">
        <v>10</v>
      </c>
      <c r="AR5672" s="3" t="s">
        <v>62</v>
      </c>
      <c r="AS5672" s="3" t="s">
        <v>62</v>
      </c>
      <c r="AT5672" s="3" t="s">
        <v>62</v>
      </c>
      <c r="AV5672" s="6" t="str">
        <f>HYPERLINK("http://mcgill.on.worldcat.org/oclc/61757990","Catalog Record")</f>
        <v>Catalog Record</v>
      </c>
      <c r="AW5672" s="6" t="str">
        <f>HYPERLINK("http://www.worldcat.org/oclc/61757990","WorldCat Record")</f>
        <v>WorldCat Record</v>
      </c>
      <c r="AX5672" s="3" t="s">
        <v>53697</v>
      </c>
      <c r="AY5672" s="3" t="s">
        <v>53698</v>
      </c>
      <c r="AZ5672" s="3" t="s">
        <v>53699</v>
      </c>
      <c r="BA5672" s="3" t="s">
        <v>53699</v>
      </c>
      <c r="BB5672" s="3" t="s">
        <v>53700</v>
      </c>
      <c r="BC5672" s="3" t="s">
        <v>102</v>
      </c>
      <c r="BD5672" s="3" t="s">
        <v>68</v>
      </c>
      <c r="BE5672" s="3" t="s">
        <v>53701</v>
      </c>
      <c r="BF5672" s="3" t="s">
        <v>53700</v>
      </c>
      <c r="BG5672" s="3" t="s">
        <v>53702</v>
      </c>
    </row>
    <row r="5673" spans="1:59" ht="58" x14ac:dyDescent="0.35">
      <c r="A5673" s="2" t="s">
        <v>59</v>
      </c>
      <c r="B5673" s="2" t="s">
        <v>60</v>
      </c>
      <c r="C5673" s="2" t="s">
        <v>53703</v>
      </c>
      <c r="D5673" s="2" t="s">
        <v>53704</v>
      </c>
      <c r="E5673" s="2" t="s">
        <v>53705</v>
      </c>
      <c r="G5673" s="3" t="s">
        <v>62</v>
      </c>
      <c r="I5673" s="3" t="s">
        <v>61</v>
      </c>
      <c r="J5673" s="3" t="s">
        <v>62</v>
      </c>
      <c r="K5673" s="3" t="s">
        <v>63</v>
      </c>
      <c r="L5673" s="2" t="s">
        <v>53706</v>
      </c>
      <c r="M5673" s="2" t="s">
        <v>53707</v>
      </c>
      <c r="N5673" s="3" t="s">
        <v>6410</v>
      </c>
      <c r="P5673" s="3" t="s">
        <v>64</v>
      </c>
      <c r="R5673" s="3" t="s">
        <v>53708</v>
      </c>
      <c r="S5673" s="4">
        <v>0</v>
      </c>
      <c r="T5673" s="4">
        <v>14</v>
      </c>
      <c r="V5673" s="5" t="s">
        <v>53709</v>
      </c>
      <c r="W5673" s="5" t="s">
        <v>67</v>
      </c>
      <c r="X5673" s="5" t="s">
        <v>67</v>
      </c>
      <c r="Y5673" s="4">
        <v>461</v>
      </c>
      <c r="Z5673" s="4">
        <v>23</v>
      </c>
      <c r="AA5673" s="4">
        <v>26</v>
      </c>
      <c r="AB5673" s="4">
        <v>2</v>
      </c>
      <c r="AC5673" s="4">
        <v>3</v>
      </c>
      <c r="AD5673" s="4">
        <v>93</v>
      </c>
      <c r="AE5673" s="4">
        <v>96</v>
      </c>
      <c r="AF5673" s="4">
        <v>0</v>
      </c>
      <c r="AG5673" s="4">
        <v>1</v>
      </c>
      <c r="AH5673" s="4">
        <v>80</v>
      </c>
      <c r="AI5673" s="4">
        <v>82</v>
      </c>
      <c r="AJ5673" s="4">
        <v>13</v>
      </c>
      <c r="AK5673" s="4">
        <v>16</v>
      </c>
      <c r="AL5673" s="4">
        <v>40</v>
      </c>
      <c r="AM5673" s="4">
        <v>40</v>
      </c>
      <c r="AN5673" s="4">
        <v>0</v>
      </c>
      <c r="AO5673" s="4">
        <v>0</v>
      </c>
      <c r="AP5673" s="4">
        <v>16</v>
      </c>
      <c r="AQ5673" s="4">
        <v>18</v>
      </c>
      <c r="AR5673" s="3" t="s">
        <v>62</v>
      </c>
      <c r="AS5673" s="3" t="s">
        <v>62</v>
      </c>
      <c r="AT5673" s="3" t="s">
        <v>61</v>
      </c>
      <c r="AU5673" s="6" t="str">
        <f>HYPERLINK("http://catalog.hathitrust.org/Record/001559375","HathiTrust Record")</f>
        <v>HathiTrust Record</v>
      </c>
      <c r="AV5673" s="6" t="str">
        <f>HYPERLINK("http://mcgill.on.worldcat.org/oclc/173722","Catalog Record")</f>
        <v>Catalog Record</v>
      </c>
      <c r="AW5673" s="6" t="str">
        <f>HYPERLINK("http://www.worldcat.org/oclc/173722","WorldCat Record")</f>
        <v>WorldCat Record</v>
      </c>
      <c r="AX5673" s="3" t="s">
        <v>53710</v>
      </c>
      <c r="AY5673" s="3" t="s">
        <v>53711</v>
      </c>
      <c r="AZ5673" s="3" t="s">
        <v>53712</v>
      </c>
      <c r="BA5673" s="3" t="s">
        <v>53712</v>
      </c>
      <c r="BB5673" s="3" t="s">
        <v>53713</v>
      </c>
      <c r="BC5673" s="3" t="s">
        <v>102</v>
      </c>
      <c r="BD5673" s="3" t="s">
        <v>68</v>
      </c>
      <c r="BF5673" s="3" t="s">
        <v>53713</v>
      </c>
      <c r="BG5673" s="3" t="s">
        <v>53714</v>
      </c>
    </row>
    <row r="5674" spans="1:59" ht="58" x14ac:dyDescent="0.35">
      <c r="A5674" s="2" t="s">
        <v>59</v>
      </c>
      <c r="B5674" s="2" t="s">
        <v>60</v>
      </c>
      <c r="C5674" s="2" t="s">
        <v>53715</v>
      </c>
      <c r="D5674" s="2" t="s">
        <v>53716</v>
      </c>
      <c r="E5674" s="2" t="s">
        <v>53717</v>
      </c>
      <c r="G5674" s="3" t="s">
        <v>62</v>
      </c>
      <c r="I5674" s="3" t="s">
        <v>61</v>
      </c>
      <c r="J5674" s="3" t="s">
        <v>62</v>
      </c>
      <c r="K5674" s="3" t="s">
        <v>63</v>
      </c>
      <c r="L5674" s="2" t="s">
        <v>53718</v>
      </c>
      <c r="M5674" s="2" t="s">
        <v>53719</v>
      </c>
      <c r="N5674" s="3" t="s">
        <v>852</v>
      </c>
      <c r="P5674" s="3" t="s">
        <v>64</v>
      </c>
      <c r="Q5674" s="2" t="s">
        <v>53720</v>
      </c>
      <c r="R5674" s="3" t="s">
        <v>53708</v>
      </c>
      <c r="S5674" s="4">
        <v>0</v>
      </c>
      <c r="T5674" s="4">
        <v>28</v>
      </c>
      <c r="V5674" s="5" t="s">
        <v>22320</v>
      </c>
      <c r="W5674" s="5" t="s">
        <v>67</v>
      </c>
      <c r="X5674" s="5" t="s">
        <v>67</v>
      </c>
      <c r="Y5674" s="4">
        <v>523</v>
      </c>
      <c r="Z5674" s="4">
        <v>29</v>
      </c>
      <c r="AA5674" s="4">
        <v>30</v>
      </c>
      <c r="AB5674" s="4">
        <v>5</v>
      </c>
      <c r="AC5674" s="4">
        <v>6</v>
      </c>
      <c r="AD5674" s="4">
        <v>95</v>
      </c>
      <c r="AE5674" s="4">
        <v>96</v>
      </c>
      <c r="AF5674" s="4">
        <v>1</v>
      </c>
      <c r="AG5674" s="4">
        <v>2</v>
      </c>
      <c r="AH5674" s="4">
        <v>81</v>
      </c>
      <c r="AI5674" s="4">
        <v>81</v>
      </c>
      <c r="AJ5674" s="4">
        <v>15</v>
      </c>
      <c r="AK5674" s="4">
        <v>16</v>
      </c>
      <c r="AL5674" s="4">
        <v>44</v>
      </c>
      <c r="AM5674" s="4">
        <v>44</v>
      </c>
      <c r="AN5674" s="4">
        <v>0</v>
      </c>
      <c r="AO5674" s="4">
        <v>0</v>
      </c>
      <c r="AP5674" s="4">
        <v>19</v>
      </c>
      <c r="AQ5674" s="4">
        <v>20</v>
      </c>
      <c r="AR5674" s="3" t="s">
        <v>62</v>
      </c>
      <c r="AS5674" s="3" t="s">
        <v>62</v>
      </c>
      <c r="AT5674" s="3" t="s">
        <v>62</v>
      </c>
      <c r="AV5674" s="6" t="str">
        <f>HYPERLINK("http://mcgill.on.worldcat.org/oclc/77101","Catalog Record")</f>
        <v>Catalog Record</v>
      </c>
      <c r="AW5674" s="6" t="str">
        <f>HYPERLINK("http://www.worldcat.org/oclc/77101","WorldCat Record")</f>
        <v>WorldCat Record</v>
      </c>
      <c r="AX5674" s="3" t="s">
        <v>53721</v>
      </c>
      <c r="AY5674" s="3" t="s">
        <v>53722</v>
      </c>
      <c r="AZ5674" s="3" t="s">
        <v>53723</v>
      </c>
      <c r="BA5674" s="3" t="s">
        <v>53723</v>
      </c>
      <c r="BB5674" s="3" t="s">
        <v>53724</v>
      </c>
      <c r="BC5674" s="3" t="s">
        <v>102</v>
      </c>
      <c r="BD5674" s="3" t="s">
        <v>68</v>
      </c>
      <c r="BE5674" s="3" t="s">
        <v>53725</v>
      </c>
      <c r="BF5674" s="3" t="s">
        <v>53724</v>
      </c>
      <c r="BG5674" s="3" t="s">
        <v>53726</v>
      </c>
    </row>
    <row r="5675" spans="1:59" ht="72.5" x14ac:dyDescent="0.35">
      <c r="A5675" s="2" t="s">
        <v>59</v>
      </c>
      <c r="B5675" s="2" t="s">
        <v>60</v>
      </c>
      <c r="C5675" s="2" t="s">
        <v>53727</v>
      </c>
      <c r="D5675" s="2" t="s">
        <v>53728</v>
      </c>
      <c r="E5675" s="2" t="s">
        <v>53729</v>
      </c>
      <c r="G5675" s="3" t="s">
        <v>62</v>
      </c>
      <c r="I5675" s="3" t="s">
        <v>61</v>
      </c>
      <c r="J5675" s="3" t="s">
        <v>62</v>
      </c>
      <c r="K5675" s="3" t="s">
        <v>63</v>
      </c>
      <c r="L5675" s="2" t="s">
        <v>53730</v>
      </c>
      <c r="M5675" s="2" t="s">
        <v>53731</v>
      </c>
      <c r="N5675" s="3" t="s">
        <v>824</v>
      </c>
      <c r="O5675" s="2" t="s">
        <v>9823</v>
      </c>
      <c r="P5675" s="3" t="s">
        <v>64</v>
      </c>
      <c r="R5675" s="3" t="s">
        <v>53732</v>
      </c>
      <c r="S5675" s="4">
        <v>3</v>
      </c>
      <c r="T5675" s="4">
        <v>5</v>
      </c>
      <c r="U5675" s="5" t="s">
        <v>4816</v>
      </c>
      <c r="V5675" s="5" t="s">
        <v>4816</v>
      </c>
      <c r="W5675" s="5" t="s">
        <v>67</v>
      </c>
      <c r="X5675" s="5" t="s">
        <v>67</v>
      </c>
      <c r="Y5675" s="4">
        <v>188</v>
      </c>
      <c r="Z5675" s="4">
        <v>14</v>
      </c>
      <c r="AA5675" s="4">
        <v>16</v>
      </c>
      <c r="AB5675" s="4">
        <v>2</v>
      </c>
      <c r="AC5675" s="4">
        <v>3</v>
      </c>
      <c r="AD5675" s="4">
        <v>59</v>
      </c>
      <c r="AE5675" s="4">
        <v>63</v>
      </c>
      <c r="AF5675" s="4">
        <v>0</v>
      </c>
      <c r="AG5675" s="4">
        <v>0</v>
      </c>
      <c r="AH5675" s="4">
        <v>55</v>
      </c>
      <c r="AI5675" s="4">
        <v>59</v>
      </c>
      <c r="AJ5675" s="4">
        <v>7</v>
      </c>
      <c r="AK5675" s="4">
        <v>7</v>
      </c>
      <c r="AL5675" s="4">
        <v>32</v>
      </c>
      <c r="AM5675" s="4">
        <v>35</v>
      </c>
      <c r="AN5675" s="4">
        <v>0</v>
      </c>
      <c r="AO5675" s="4">
        <v>0</v>
      </c>
      <c r="AP5675" s="4">
        <v>8</v>
      </c>
      <c r="AQ5675" s="4">
        <v>8</v>
      </c>
      <c r="AR5675" s="3" t="s">
        <v>62</v>
      </c>
      <c r="AS5675" s="3" t="s">
        <v>62</v>
      </c>
      <c r="AT5675" s="3" t="s">
        <v>61</v>
      </c>
      <c r="AU5675" s="6" t="str">
        <f>HYPERLINK("http://catalog.hathitrust.org/Record/001560971","HathiTrust Record")</f>
        <v>HathiTrust Record</v>
      </c>
      <c r="AV5675" s="6" t="str">
        <f>HYPERLINK("http://mcgill.on.worldcat.org/oclc/1723545","Catalog Record")</f>
        <v>Catalog Record</v>
      </c>
      <c r="AW5675" s="6" t="str">
        <f>HYPERLINK("http://www.worldcat.org/oclc/1723545","WorldCat Record")</f>
        <v>WorldCat Record</v>
      </c>
      <c r="AX5675" s="3" t="s">
        <v>53733</v>
      </c>
      <c r="AY5675" s="3" t="s">
        <v>53734</v>
      </c>
      <c r="AZ5675" s="3" t="s">
        <v>53735</v>
      </c>
      <c r="BA5675" s="3" t="s">
        <v>53735</v>
      </c>
      <c r="BB5675" s="3" t="s">
        <v>53736</v>
      </c>
      <c r="BC5675" s="3" t="s">
        <v>102</v>
      </c>
      <c r="BD5675" s="3" t="s">
        <v>68</v>
      </c>
      <c r="BF5675" s="3" t="s">
        <v>53736</v>
      </c>
      <c r="BG5675" s="3" t="s">
        <v>53737</v>
      </c>
    </row>
    <row r="5676" spans="1:59" ht="261" x14ac:dyDescent="0.35">
      <c r="A5676" s="2" t="s">
        <v>89</v>
      </c>
      <c r="B5676" s="2" t="s">
        <v>18023</v>
      </c>
      <c r="C5676" s="2" t="s">
        <v>53738</v>
      </c>
      <c r="D5676" s="2" t="s">
        <v>53739</v>
      </c>
      <c r="E5676" s="2" t="s">
        <v>53740</v>
      </c>
      <c r="G5676" s="3" t="s">
        <v>62</v>
      </c>
      <c r="I5676" s="3" t="s">
        <v>61</v>
      </c>
      <c r="J5676" s="3" t="s">
        <v>61</v>
      </c>
      <c r="K5676" s="3" t="s">
        <v>63</v>
      </c>
      <c r="M5676" s="2" t="s">
        <v>53741</v>
      </c>
      <c r="N5676" s="3" t="s">
        <v>712</v>
      </c>
      <c r="O5676" s="2" t="s">
        <v>19288</v>
      </c>
      <c r="P5676" s="3" t="s">
        <v>64</v>
      </c>
      <c r="R5676" s="3" t="s">
        <v>53742</v>
      </c>
      <c r="S5676" s="4">
        <v>3</v>
      </c>
      <c r="T5676" s="4">
        <v>11</v>
      </c>
      <c r="U5676" s="5" t="s">
        <v>53743</v>
      </c>
      <c r="V5676" s="5" t="s">
        <v>3291</v>
      </c>
      <c r="W5676" s="5" t="s">
        <v>67</v>
      </c>
      <c r="X5676" s="5" t="s">
        <v>67</v>
      </c>
      <c r="Y5676" s="4">
        <v>431</v>
      </c>
      <c r="Z5676" s="4">
        <v>28</v>
      </c>
      <c r="AA5676" s="4">
        <v>100</v>
      </c>
      <c r="AB5676" s="4">
        <v>1</v>
      </c>
      <c r="AC5676" s="4">
        <v>15</v>
      </c>
      <c r="AD5676" s="4">
        <v>56</v>
      </c>
      <c r="AE5676" s="4">
        <v>129</v>
      </c>
      <c r="AF5676" s="4">
        <v>0</v>
      </c>
      <c r="AG5676" s="4">
        <v>5</v>
      </c>
      <c r="AH5676" s="4">
        <v>49</v>
      </c>
      <c r="AI5676" s="4">
        <v>99</v>
      </c>
      <c r="AJ5676" s="4">
        <v>8</v>
      </c>
      <c r="AK5676" s="4">
        <v>25</v>
      </c>
      <c r="AL5676" s="4">
        <v>23</v>
      </c>
      <c r="AM5676" s="4">
        <v>48</v>
      </c>
      <c r="AN5676" s="4">
        <v>0</v>
      </c>
      <c r="AO5676" s="4">
        <v>0</v>
      </c>
      <c r="AP5676" s="4">
        <v>13</v>
      </c>
      <c r="AQ5676" s="4">
        <v>41</v>
      </c>
      <c r="AR5676" s="3" t="s">
        <v>62</v>
      </c>
      <c r="AS5676" s="3" t="s">
        <v>62</v>
      </c>
      <c r="AT5676" s="3" t="s">
        <v>62</v>
      </c>
      <c r="AV5676" s="6" t="str">
        <f>HYPERLINK("http://mcgill.on.worldcat.org/oclc/856076266","Catalog Record")</f>
        <v>Catalog Record</v>
      </c>
      <c r="AW5676" s="6" t="str">
        <f>HYPERLINK("http://www.worldcat.org/oclc/856076266","WorldCat Record")</f>
        <v>WorldCat Record</v>
      </c>
      <c r="AX5676" s="3" t="s">
        <v>53744</v>
      </c>
      <c r="AY5676" s="3" t="s">
        <v>53745</v>
      </c>
      <c r="AZ5676" s="3" t="s">
        <v>53746</v>
      </c>
      <c r="BA5676" s="3" t="s">
        <v>53746</v>
      </c>
      <c r="BB5676" s="3" t="s">
        <v>53747</v>
      </c>
      <c r="BC5676" s="3" t="s">
        <v>102</v>
      </c>
      <c r="BD5676" s="3" t="s">
        <v>68</v>
      </c>
      <c r="BE5676" s="3" t="s">
        <v>53748</v>
      </c>
      <c r="BF5676" s="3" t="s">
        <v>53747</v>
      </c>
      <c r="BG5676" s="3" t="s">
        <v>53749</v>
      </c>
    </row>
    <row r="5677" spans="1:59" ht="261" x14ac:dyDescent="0.35">
      <c r="A5677" s="2" t="s">
        <v>89</v>
      </c>
      <c r="B5677" s="2" t="s">
        <v>18023</v>
      </c>
      <c r="C5677" s="2" t="s">
        <v>53738</v>
      </c>
      <c r="D5677" s="2" t="s">
        <v>53739</v>
      </c>
      <c r="E5677" s="2" t="s">
        <v>53740</v>
      </c>
      <c r="G5677" s="3" t="s">
        <v>62</v>
      </c>
      <c r="I5677" s="3" t="s">
        <v>61</v>
      </c>
      <c r="J5677" s="3" t="s">
        <v>61</v>
      </c>
      <c r="K5677" s="3" t="s">
        <v>63</v>
      </c>
      <c r="M5677" s="2" t="s">
        <v>53741</v>
      </c>
      <c r="N5677" s="3" t="s">
        <v>712</v>
      </c>
      <c r="O5677" s="2" t="s">
        <v>19288</v>
      </c>
      <c r="P5677" s="3" t="s">
        <v>64</v>
      </c>
      <c r="R5677" s="3" t="s">
        <v>53742</v>
      </c>
      <c r="S5677" s="4">
        <v>8</v>
      </c>
      <c r="T5677" s="4">
        <v>11</v>
      </c>
      <c r="U5677" s="5" t="s">
        <v>3291</v>
      </c>
      <c r="V5677" s="5" t="s">
        <v>3291</v>
      </c>
      <c r="W5677" s="5" t="s">
        <v>67</v>
      </c>
      <c r="X5677" s="5" t="s">
        <v>67</v>
      </c>
      <c r="Y5677" s="4">
        <v>431</v>
      </c>
      <c r="Z5677" s="4">
        <v>28</v>
      </c>
      <c r="AA5677" s="4">
        <v>100</v>
      </c>
      <c r="AB5677" s="4">
        <v>1</v>
      </c>
      <c r="AC5677" s="4">
        <v>15</v>
      </c>
      <c r="AD5677" s="4">
        <v>56</v>
      </c>
      <c r="AE5677" s="4">
        <v>129</v>
      </c>
      <c r="AF5677" s="4">
        <v>0</v>
      </c>
      <c r="AG5677" s="4">
        <v>5</v>
      </c>
      <c r="AH5677" s="4">
        <v>49</v>
      </c>
      <c r="AI5677" s="4">
        <v>99</v>
      </c>
      <c r="AJ5677" s="4">
        <v>8</v>
      </c>
      <c r="AK5677" s="4">
        <v>25</v>
      </c>
      <c r="AL5677" s="4">
        <v>23</v>
      </c>
      <c r="AM5677" s="4">
        <v>48</v>
      </c>
      <c r="AN5677" s="4">
        <v>0</v>
      </c>
      <c r="AO5677" s="4">
        <v>0</v>
      </c>
      <c r="AP5677" s="4">
        <v>13</v>
      </c>
      <c r="AQ5677" s="4">
        <v>41</v>
      </c>
      <c r="AR5677" s="3" t="s">
        <v>62</v>
      </c>
      <c r="AS5677" s="3" t="s">
        <v>62</v>
      </c>
      <c r="AT5677" s="3" t="s">
        <v>62</v>
      </c>
      <c r="AV5677" s="6" t="str">
        <f>HYPERLINK("http://mcgill.on.worldcat.org/oclc/856076266","Catalog Record")</f>
        <v>Catalog Record</v>
      </c>
      <c r="AW5677" s="6" t="str">
        <f>HYPERLINK("http://www.worldcat.org/oclc/856076266","WorldCat Record")</f>
        <v>WorldCat Record</v>
      </c>
      <c r="AX5677" s="3" t="s">
        <v>53744</v>
      </c>
      <c r="AY5677" s="3" t="s">
        <v>53745</v>
      </c>
      <c r="AZ5677" s="3" t="s">
        <v>53746</v>
      </c>
      <c r="BA5677" s="3" t="s">
        <v>53746</v>
      </c>
      <c r="BB5677" s="3" t="s">
        <v>53750</v>
      </c>
      <c r="BC5677" s="3" t="s">
        <v>102</v>
      </c>
      <c r="BD5677" s="3" t="s">
        <v>68</v>
      </c>
      <c r="BE5677" s="3" t="s">
        <v>53748</v>
      </c>
      <c r="BF5677" s="3" t="s">
        <v>53750</v>
      </c>
      <c r="BG5677" s="3" t="s">
        <v>53751</v>
      </c>
    </row>
    <row r="5678" spans="1:59" ht="101.5" x14ac:dyDescent="0.35">
      <c r="A5678" s="2" t="s">
        <v>89</v>
      </c>
      <c r="B5678" s="2" t="s">
        <v>12301</v>
      </c>
      <c r="C5678" s="2" t="s">
        <v>53752</v>
      </c>
      <c r="D5678" s="2" t="s">
        <v>53753</v>
      </c>
      <c r="E5678" s="2" t="s">
        <v>53754</v>
      </c>
      <c r="G5678" s="3" t="s">
        <v>62</v>
      </c>
      <c r="I5678" s="3" t="s">
        <v>62</v>
      </c>
      <c r="J5678" s="3" t="s">
        <v>61</v>
      </c>
      <c r="K5678" s="3" t="s">
        <v>63</v>
      </c>
      <c r="M5678" s="2" t="s">
        <v>53755</v>
      </c>
      <c r="N5678" s="3" t="s">
        <v>2085</v>
      </c>
      <c r="O5678" s="2" t="s">
        <v>15933</v>
      </c>
      <c r="P5678" s="3" t="s">
        <v>64</v>
      </c>
      <c r="R5678" s="3" t="s">
        <v>53742</v>
      </c>
      <c r="S5678" s="4">
        <v>30</v>
      </c>
      <c r="T5678" s="4">
        <v>30</v>
      </c>
      <c r="U5678" s="5" t="s">
        <v>13768</v>
      </c>
      <c r="V5678" s="5" t="s">
        <v>13768</v>
      </c>
      <c r="W5678" s="5" t="s">
        <v>67</v>
      </c>
      <c r="X5678" s="5" t="s">
        <v>67</v>
      </c>
      <c r="Y5678" s="4">
        <v>261</v>
      </c>
      <c r="Z5678" s="4">
        <v>12</v>
      </c>
      <c r="AA5678" s="4">
        <v>89</v>
      </c>
      <c r="AB5678" s="4">
        <v>1</v>
      </c>
      <c r="AC5678" s="4">
        <v>17</v>
      </c>
      <c r="AD5678" s="4">
        <v>41</v>
      </c>
      <c r="AE5678" s="4">
        <v>137</v>
      </c>
      <c r="AF5678" s="4">
        <v>0</v>
      </c>
      <c r="AG5678" s="4">
        <v>5</v>
      </c>
      <c r="AH5678" s="4">
        <v>36</v>
      </c>
      <c r="AI5678" s="4">
        <v>108</v>
      </c>
      <c r="AJ5678" s="4">
        <v>5</v>
      </c>
      <c r="AK5678" s="4">
        <v>28</v>
      </c>
      <c r="AL5678" s="4">
        <v>22</v>
      </c>
      <c r="AM5678" s="4">
        <v>57</v>
      </c>
      <c r="AN5678" s="4">
        <v>0</v>
      </c>
      <c r="AO5678" s="4">
        <v>1</v>
      </c>
      <c r="AP5678" s="4">
        <v>7</v>
      </c>
      <c r="AQ5678" s="4">
        <v>36</v>
      </c>
      <c r="AR5678" s="3" t="s">
        <v>62</v>
      </c>
      <c r="AS5678" s="3" t="s">
        <v>62</v>
      </c>
      <c r="AT5678" s="3" t="s">
        <v>62</v>
      </c>
      <c r="AV5678" s="6" t="str">
        <f>HYPERLINK("http://mcgill.on.worldcat.org/oclc/960844656","Catalog Record")</f>
        <v>Catalog Record</v>
      </c>
      <c r="AW5678" s="6" t="str">
        <f>HYPERLINK("http://www.worldcat.org/oclc/960844656","WorldCat Record")</f>
        <v>WorldCat Record</v>
      </c>
      <c r="AX5678" s="3" t="s">
        <v>53756</v>
      </c>
      <c r="AY5678" s="3" t="s">
        <v>53757</v>
      </c>
      <c r="AZ5678" s="3" t="s">
        <v>53758</v>
      </c>
      <c r="BA5678" s="3" t="s">
        <v>53758</v>
      </c>
      <c r="BB5678" s="3" t="s">
        <v>53759</v>
      </c>
      <c r="BC5678" s="3" t="s">
        <v>102</v>
      </c>
      <c r="BD5678" s="3" t="s">
        <v>68</v>
      </c>
      <c r="BE5678" s="3" t="s">
        <v>53760</v>
      </c>
      <c r="BF5678" s="3" t="s">
        <v>53759</v>
      </c>
      <c r="BG5678" s="3" t="s">
        <v>53761</v>
      </c>
    </row>
    <row r="5679" spans="1:59" ht="101.5" x14ac:dyDescent="0.35">
      <c r="A5679" s="2" t="s">
        <v>89</v>
      </c>
      <c r="B5679" s="2" t="s">
        <v>12301</v>
      </c>
      <c r="C5679" s="2" t="s">
        <v>53762</v>
      </c>
      <c r="D5679" s="2" t="s">
        <v>53763</v>
      </c>
      <c r="E5679" s="2" t="s">
        <v>53764</v>
      </c>
      <c r="G5679" s="3" t="s">
        <v>62</v>
      </c>
      <c r="I5679" s="3" t="s">
        <v>61</v>
      </c>
      <c r="J5679" s="3" t="s">
        <v>62</v>
      </c>
      <c r="K5679" s="3" t="s">
        <v>63</v>
      </c>
      <c r="L5679" s="2" t="s">
        <v>53765</v>
      </c>
      <c r="M5679" s="2" t="s">
        <v>53766</v>
      </c>
      <c r="N5679" s="3" t="s">
        <v>2085</v>
      </c>
      <c r="O5679" s="2" t="s">
        <v>30172</v>
      </c>
      <c r="P5679" s="3" t="s">
        <v>64</v>
      </c>
      <c r="R5679" s="3" t="s">
        <v>53742</v>
      </c>
      <c r="S5679" s="4">
        <v>10</v>
      </c>
      <c r="T5679" s="4">
        <v>52</v>
      </c>
      <c r="U5679" s="5" t="s">
        <v>2521</v>
      </c>
      <c r="V5679" s="5" t="s">
        <v>14499</v>
      </c>
      <c r="W5679" s="5" t="s">
        <v>67</v>
      </c>
      <c r="X5679" s="5" t="s">
        <v>67</v>
      </c>
      <c r="Y5679" s="4">
        <v>2</v>
      </c>
      <c r="Z5679" s="4">
        <v>2</v>
      </c>
      <c r="AA5679" s="4">
        <v>54</v>
      </c>
      <c r="AB5679" s="4">
        <v>1</v>
      </c>
      <c r="AC5679" s="4">
        <v>5</v>
      </c>
      <c r="AD5679" s="4">
        <v>0</v>
      </c>
      <c r="AE5679" s="4">
        <v>93</v>
      </c>
      <c r="AF5679" s="4">
        <v>0</v>
      </c>
      <c r="AG5679" s="4">
        <v>4</v>
      </c>
      <c r="AH5679" s="4">
        <v>0</v>
      </c>
      <c r="AI5679" s="4">
        <v>75</v>
      </c>
      <c r="AJ5679" s="4">
        <v>0</v>
      </c>
      <c r="AK5679" s="4">
        <v>17</v>
      </c>
      <c r="AL5679" s="4">
        <v>0</v>
      </c>
      <c r="AM5679" s="4">
        <v>37</v>
      </c>
      <c r="AN5679" s="4">
        <v>0</v>
      </c>
      <c r="AO5679" s="4">
        <v>0</v>
      </c>
      <c r="AP5679" s="4">
        <v>0</v>
      </c>
      <c r="AQ5679" s="4">
        <v>26</v>
      </c>
      <c r="AR5679" s="3" t="s">
        <v>61</v>
      </c>
      <c r="AS5679" s="3" t="s">
        <v>62</v>
      </c>
      <c r="AT5679" s="3" t="s">
        <v>62</v>
      </c>
      <c r="AV5679" s="6" t="str">
        <f>HYPERLINK("http://mcgill.on.worldcat.org/oclc/1055210656","Catalog Record")</f>
        <v>Catalog Record</v>
      </c>
      <c r="AW5679" s="6" t="str">
        <f>HYPERLINK("http://www.worldcat.org/oclc/1055210656","WorldCat Record")</f>
        <v>WorldCat Record</v>
      </c>
      <c r="AX5679" s="3" t="s">
        <v>53767</v>
      </c>
      <c r="AY5679" s="3" t="s">
        <v>53768</v>
      </c>
      <c r="AZ5679" s="3" t="s">
        <v>53769</v>
      </c>
      <c r="BA5679" s="3" t="s">
        <v>53769</v>
      </c>
      <c r="BB5679" s="3" t="s">
        <v>53770</v>
      </c>
      <c r="BC5679" s="3" t="s">
        <v>102</v>
      </c>
      <c r="BD5679" s="3" t="s">
        <v>68</v>
      </c>
      <c r="BE5679" s="3" t="s">
        <v>53771</v>
      </c>
      <c r="BF5679" s="3" t="s">
        <v>53770</v>
      </c>
      <c r="BG5679" s="3" t="s">
        <v>53772</v>
      </c>
    </row>
    <row r="5680" spans="1:59" ht="101.5" x14ac:dyDescent="0.35">
      <c r="A5680" s="2" t="s">
        <v>89</v>
      </c>
      <c r="B5680" s="2" t="s">
        <v>12301</v>
      </c>
      <c r="C5680" s="2" t="s">
        <v>53762</v>
      </c>
      <c r="D5680" s="2" t="s">
        <v>53763</v>
      </c>
      <c r="E5680" s="2" t="s">
        <v>53764</v>
      </c>
      <c r="G5680" s="3" t="s">
        <v>62</v>
      </c>
      <c r="I5680" s="3" t="s">
        <v>61</v>
      </c>
      <c r="J5680" s="3" t="s">
        <v>62</v>
      </c>
      <c r="K5680" s="3" t="s">
        <v>63</v>
      </c>
      <c r="L5680" s="2" t="s">
        <v>53765</v>
      </c>
      <c r="M5680" s="2" t="s">
        <v>53766</v>
      </c>
      <c r="N5680" s="3" t="s">
        <v>2085</v>
      </c>
      <c r="O5680" s="2" t="s">
        <v>30172</v>
      </c>
      <c r="P5680" s="3" t="s">
        <v>64</v>
      </c>
      <c r="R5680" s="3" t="s">
        <v>53742</v>
      </c>
      <c r="S5680" s="4">
        <v>7</v>
      </c>
      <c r="T5680" s="4">
        <v>52</v>
      </c>
      <c r="U5680" s="5" t="s">
        <v>3310</v>
      </c>
      <c r="V5680" s="5" t="s">
        <v>14499</v>
      </c>
      <c r="W5680" s="5" t="s">
        <v>67</v>
      </c>
      <c r="X5680" s="5" t="s">
        <v>67</v>
      </c>
      <c r="Y5680" s="4">
        <v>2</v>
      </c>
      <c r="Z5680" s="4">
        <v>2</v>
      </c>
      <c r="AA5680" s="4">
        <v>54</v>
      </c>
      <c r="AB5680" s="4">
        <v>1</v>
      </c>
      <c r="AC5680" s="4">
        <v>5</v>
      </c>
      <c r="AD5680" s="4">
        <v>0</v>
      </c>
      <c r="AE5680" s="4">
        <v>93</v>
      </c>
      <c r="AF5680" s="4">
        <v>0</v>
      </c>
      <c r="AG5680" s="4">
        <v>4</v>
      </c>
      <c r="AH5680" s="4">
        <v>0</v>
      </c>
      <c r="AI5680" s="4">
        <v>75</v>
      </c>
      <c r="AJ5680" s="4">
        <v>0</v>
      </c>
      <c r="AK5680" s="4">
        <v>17</v>
      </c>
      <c r="AL5680" s="4">
        <v>0</v>
      </c>
      <c r="AM5680" s="4">
        <v>37</v>
      </c>
      <c r="AN5680" s="4">
        <v>0</v>
      </c>
      <c r="AO5680" s="4">
        <v>0</v>
      </c>
      <c r="AP5680" s="4">
        <v>0</v>
      </c>
      <c r="AQ5680" s="4">
        <v>26</v>
      </c>
      <c r="AR5680" s="3" t="s">
        <v>61</v>
      </c>
      <c r="AS5680" s="3" t="s">
        <v>62</v>
      </c>
      <c r="AT5680" s="3" t="s">
        <v>62</v>
      </c>
      <c r="AV5680" s="6" t="str">
        <f>HYPERLINK("http://mcgill.on.worldcat.org/oclc/1055210656","Catalog Record")</f>
        <v>Catalog Record</v>
      </c>
      <c r="AW5680" s="6" t="str">
        <f>HYPERLINK("http://www.worldcat.org/oclc/1055210656","WorldCat Record")</f>
        <v>WorldCat Record</v>
      </c>
      <c r="AX5680" s="3" t="s">
        <v>53767</v>
      </c>
      <c r="AY5680" s="3" t="s">
        <v>53768</v>
      </c>
      <c r="AZ5680" s="3" t="s">
        <v>53769</v>
      </c>
      <c r="BA5680" s="3" t="s">
        <v>53769</v>
      </c>
      <c r="BB5680" s="3" t="s">
        <v>53773</v>
      </c>
      <c r="BC5680" s="3" t="s">
        <v>102</v>
      </c>
      <c r="BD5680" s="3" t="s">
        <v>68</v>
      </c>
      <c r="BE5680" s="3" t="s">
        <v>53771</v>
      </c>
      <c r="BF5680" s="3" t="s">
        <v>53773</v>
      </c>
      <c r="BG5680" s="3" t="s">
        <v>53774</v>
      </c>
    </row>
    <row r="5681" spans="1:59" ht="101.5" x14ac:dyDescent="0.35">
      <c r="A5681" s="2" t="s">
        <v>89</v>
      </c>
      <c r="B5681" s="2" t="s">
        <v>12301</v>
      </c>
      <c r="C5681" s="2" t="s">
        <v>53762</v>
      </c>
      <c r="D5681" s="2" t="s">
        <v>53763</v>
      </c>
      <c r="E5681" s="2" t="s">
        <v>53764</v>
      </c>
      <c r="G5681" s="3" t="s">
        <v>62</v>
      </c>
      <c r="I5681" s="3" t="s">
        <v>61</v>
      </c>
      <c r="J5681" s="3" t="s">
        <v>62</v>
      </c>
      <c r="K5681" s="3" t="s">
        <v>63</v>
      </c>
      <c r="L5681" s="2" t="s">
        <v>53765</v>
      </c>
      <c r="M5681" s="2" t="s">
        <v>53766</v>
      </c>
      <c r="N5681" s="3" t="s">
        <v>2085</v>
      </c>
      <c r="O5681" s="2" t="s">
        <v>30172</v>
      </c>
      <c r="P5681" s="3" t="s">
        <v>64</v>
      </c>
      <c r="R5681" s="3" t="s">
        <v>53742</v>
      </c>
      <c r="S5681" s="4">
        <v>9</v>
      </c>
      <c r="T5681" s="4">
        <v>52</v>
      </c>
      <c r="U5681" s="5" t="s">
        <v>16936</v>
      </c>
      <c r="V5681" s="5" t="s">
        <v>14499</v>
      </c>
      <c r="W5681" s="5" t="s">
        <v>67</v>
      </c>
      <c r="X5681" s="5" t="s">
        <v>67</v>
      </c>
      <c r="Y5681" s="4">
        <v>2</v>
      </c>
      <c r="Z5681" s="4">
        <v>2</v>
      </c>
      <c r="AA5681" s="4">
        <v>54</v>
      </c>
      <c r="AB5681" s="4">
        <v>1</v>
      </c>
      <c r="AC5681" s="4">
        <v>5</v>
      </c>
      <c r="AD5681" s="4">
        <v>0</v>
      </c>
      <c r="AE5681" s="4">
        <v>93</v>
      </c>
      <c r="AF5681" s="4">
        <v>0</v>
      </c>
      <c r="AG5681" s="4">
        <v>4</v>
      </c>
      <c r="AH5681" s="4">
        <v>0</v>
      </c>
      <c r="AI5681" s="4">
        <v>75</v>
      </c>
      <c r="AJ5681" s="4">
        <v>0</v>
      </c>
      <c r="AK5681" s="4">
        <v>17</v>
      </c>
      <c r="AL5681" s="4">
        <v>0</v>
      </c>
      <c r="AM5681" s="4">
        <v>37</v>
      </c>
      <c r="AN5681" s="4">
        <v>0</v>
      </c>
      <c r="AO5681" s="4">
        <v>0</v>
      </c>
      <c r="AP5681" s="4">
        <v>0</v>
      </c>
      <c r="AQ5681" s="4">
        <v>26</v>
      </c>
      <c r="AR5681" s="3" t="s">
        <v>61</v>
      </c>
      <c r="AS5681" s="3" t="s">
        <v>62</v>
      </c>
      <c r="AT5681" s="3" t="s">
        <v>62</v>
      </c>
      <c r="AV5681" s="6" t="str">
        <f>HYPERLINK("http://mcgill.on.worldcat.org/oclc/1055210656","Catalog Record")</f>
        <v>Catalog Record</v>
      </c>
      <c r="AW5681" s="6" t="str">
        <f>HYPERLINK("http://www.worldcat.org/oclc/1055210656","WorldCat Record")</f>
        <v>WorldCat Record</v>
      </c>
      <c r="AX5681" s="3" t="s">
        <v>53767</v>
      </c>
      <c r="AY5681" s="3" t="s">
        <v>53768</v>
      </c>
      <c r="AZ5681" s="3" t="s">
        <v>53769</v>
      </c>
      <c r="BA5681" s="3" t="s">
        <v>53769</v>
      </c>
      <c r="BB5681" s="3" t="s">
        <v>53775</v>
      </c>
      <c r="BC5681" s="3" t="s">
        <v>102</v>
      </c>
      <c r="BD5681" s="3" t="s">
        <v>68</v>
      </c>
      <c r="BE5681" s="3" t="s">
        <v>53771</v>
      </c>
      <c r="BF5681" s="3" t="s">
        <v>53775</v>
      </c>
      <c r="BG5681" s="3" t="s">
        <v>53776</v>
      </c>
    </row>
    <row r="5682" spans="1:59" ht="101.5" x14ac:dyDescent="0.35">
      <c r="A5682" s="2" t="s">
        <v>89</v>
      </c>
      <c r="B5682" s="2" t="s">
        <v>12301</v>
      </c>
      <c r="C5682" s="2" t="s">
        <v>53762</v>
      </c>
      <c r="D5682" s="2" t="s">
        <v>53763</v>
      </c>
      <c r="E5682" s="2" t="s">
        <v>53764</v>
      </c>
      <c r="G5682" s="3" t="s">
        <v>62</v>
      </c>
      <c r="I5682" s="3" t="s">
        <v>61</v>
      </c>
      <c r="J5682" s="3" t="s">
        <v>62</v>
      </c>
      <c r="K5682" s="3" t="s">
        <v>63</v>
      </c>
      <c r="L5682" s="2" t="s">
        <v>53765</v>
      </c>
      <c r="M5682" s="2" t="s">
        <v>53766</v>
      </c>
      <c r="N5682" s="3" t="s">
        <v>2085</v>
      </c>
      <c r="O5682" s="2" t="s">
        <v>30172</v>
      </c>
      <c r="P5682" s="3" t="s">
        <v>64</v>
      </c>
      <c r="R5682" s="3" t="s">
        <v>53742</v>
      </c>
      <c r="S5682" s="4">
        <v>13</v>
      </c>
      <c r="T5682" s="4">
        <v>52</v>
      </c>
      <c r="U5682" s="5" t="s">
        <v>2521</v>
      </c>
      <c r="V5682" s="5" t="s">
        <v>14499</v>
      </c>
      <c r="W5682" s="5" t="s">
        <v>67</v>
      </c>
      <c r="X5682" s="5" t="s">
        <v>67</v>
      </c>
      <c r="Y5682" s="4">
        <v>2</v>
      </c>
      <c r="Z5682" s="4">
        <v>2</v>
      </c>
      <c r="AA5682" s="4">
        <v>54</v>
      </c>
      <c r="AB5682" s="4">
        <v>1</v>
      </c>
      <c r="AC5682" s="4">
        <v>5</v>
      </c>
      <c r="AD5682" s="4">
        <v>0</v>
      </c>
      <c r="AE5682" s="4">
        <v>93</v>
      </c>
      <c r="AF5682" s="4">
        <v>0</v>
      </c>
      <c r="AG5682" s="4">
        <v>4</v>
      </c>
      <c r="AH5682" s="4">
        <v>0</v>
      </c>
      <c r="AI5682" s="4">
        <v>75</v>
      </c>
      <c r="AJ5682" s="4">
        <v>0</v>
      </c>
      <c r="AK5682" s="4">
        <v>17</v>
      </c>
      <c r="AL5682" s="4">
        <v>0</v>
      </c>
      <c r="AM5682" s="4">
        <v>37</v>
      </c>
      <c r="AN5682" s="4">
        <v>0</v>
      </c>
      <c r="AO5682" s="4">
        <v>0</v>
      </c>
      <c r="AP5682" s="4">
        <v>0</v>
      </c>
      <c r="AQ5682" s="4">
        <v>26</v>
      </c>
      <c r="AR5682" s="3" t="s">
        <v>61</v>
      </c>
      <c r="AS5682" s="3" t="s">
        <v>62</v>
      </c>
      <c r="AT5682" s="3" t="s">
        <v>62</v>
      </c>
      <c r="AV5682" s="6" t="str">
        <f>HYPERLINK("http://mcgill.on.worldcat.org/oclc/1055210656","Catalog Record")</f>
        <v>Catalog Record</v>
      </c>
      <c r="AW5682" s="6" t="str">
        <f>HYPERLINK("http://www.worldcat.org/oclc/1055210656","WorldCat Record")</f>
        <v>WorldCat Record</v>
      </c>
      <c r="AX5682" s="3" t="s">
        <v>53767</v>
      </c>
      <c r="AY5682" s="3" t="s">
        <v>53768</v>
      </c>
      <c r="AZ5682" s="3" t="s">
        <v>53769</v>
      </c>
      <c r="BA5682" s="3" t="s">
        <v>53769</v>
      </c>
      <c r="BB5682" s="3" t="s">
        <v>53777</v>
      </c>
      <c r="BC5682" s="3" t="s">
        <v>102</v>
      </c>
      <c r="BD5682" s="3" t="s">
        <v>68</v>
      </c>
      <c r="BE5682" s="3" t="s">
        <v>53771</v>
      </c>
      <c r="BF5682" s="3" t="s">
        <v>53777</v>
      </c>
      <c r="BG5682" s="3" t="s">
        <v>53778</v>
      </c>
    </row>
    <row r="5683" spans="1:59" ht="101.5" x14ac:dyDescent="0.35">
      <c r="A5683" s="2" t="s">
        <v>89</v>
      </c>
      <c r="B5683" s="2" t="s">
        <v>12301</v>
      </c>
      <c r="C5683" s="2" t="s">
        <v>53762</v>
      </c>
      <c r="D5683" s="2" t="s">
        <v>53763</v>
      </c>
      <c r="E5683" s="2" t="s">
        <v>53764</v>
      </c>
      <c r="G5683" s="3" t="s">
        <v>62</v>
      </c>
      <c r="I5683" s="3" t="s">
        <v>61</v>
      </c>
      <c r="J5683" s="3" t="s">
        <v>62</v>
      </c>
      <c r="K5683" s="3" t="s">
        <v>63</v>
      </c>
      <c r="L5683" s="2" t="s">
        <v>53765</v>
      </c>
      <c r="M5683" s="2" t="s">
        <v>53766</v>
      </c>
      <c r="N5683" s="3" t="s">
        <v>2085</v>
      </c>
      <c r="O5683" s="2" t="s">
        <v>30172</v>
      </c>
      <c r="P5683" s="3" t="s">
        <v>64</v>
      </c>
      <c r="R5683" s="3" t="s">
        <v>53742</v>
      </c>
      <c r="S5683" s="4">
        <v>13</v>
      </c>
      <c r="T5683" s="4">
        <v>52</v>
      </c>
      <c r="U5683" s="5" t="s">
        <v>14499</v>
      </c>
      <c r="V5683" s="5" t="s">
        <v>14499</v>
      </c>
      <c r="W5683" s="5" t="s">
        <v>67</v>
      </c>
      <c r="X5683" s="5" t="s">
        <v>67</v>
      </c>
      <c r="Y5683" s="4">
        <v>2</v>
      </c>
      <c r="Z5683" s="4">
        <v>2</v>
      </c>
      <c r="AA5683" s="4">
        <v>54</v>
      </c>
      <c r="AB5683" s="4">
        <v>1</v>
      </c>
      <c r="AC5683" s="4">
        <v>5</v>
      </c>
      <c r="AD5683" s="4">
        <v>0</v>
      </c>
      <c r="AE5683" s="4">
        <v>93</v>
      </c>
      <c r="AF5683" s="4">
        <v>0</v>
      </c>
      <c r="AG5683" s="4">
        <v>4</v>
      </c>
      <c r="AH5683" s="4">
        <v>0</v>
      </c>
      <c r="AI5683" s="4">
        <v>75</v>
      </c>
      <c r="AJ5683" s="4">
        <v>0</v>
      </c>
      <c r="AK5683" s="4">
        <v>17</v>
      </c>
      <c r="AL5683" s="4">
        <v>0</v>
      </c>
      <c r="AM5683" s="4">
        <v>37</v>
      </c>
      <c r="AN5683" s="4">
        <v>0</v>
      </c>
      <c r="AO5683" s="4">
        <v>0</v>
      </c>
      <c r="AP5683" s="4">
        <v>0</v>
      </c>
      <c r="AQ5683" s="4">
        <v>26</v>
      </c>
      <c r="AR5683" s="3" t="s">
        <v>61</v>
      </c>
      <c r="AS5683" s="3" t="s">
        <v>62</v>
      </c>
      <c r="AT5683" s="3" t="s">
        <v>62</v>
      </c>
      <c r="AV5683" s="6" t="str">
        <f>HYPERLINK("http://mcgill.on.worldcat.org/oclc/1055210656","Catalog Record")</f>
        <v>Catalog Record</v>
      </c>
      <c r="AW5683" s="6" t="str">
        <f>HYPERLINK("http://www.worldcat.org/oclc/1055210656","WorldCat Record")</f>
        <v>WorldCat Record</v>
      </c>
      <c r="AX5683" s="3" t="s">
        <v>53767</v>
      </c>
      <c r="AY5683" s="3" t="s">
        <v>53768</v>
      </c>
      <c r="AZ5683" s="3" t="s">
        <v>53769</v>
      </c>
      <c r="BA5683" s="3" t="s">
        <v>53769</v>
      </c>
      <c r="BB5683" s="3" t="s">
        <v>53779</v>
      </c>
      <c r="BC5683" s="3" t="s">
        <v>102</v>
      </c>
      <c r="BD5683" s="3" t="s">
        <v>68</v>
      </c>
      <c r="BE5683" s="3" t="s">
        <v>53771</v>
      </c>
      <c r="BF5683" s="3" t="s">
        <v>53779</v>
      </c>
      <c r="BG5683" s="3" t="s">
        <v>53780</v>
      </c>
    </row>
    <row r="5684" spans="1:59" ht="101.5" x14ac:dyDescent="0.35">
      <c r="A5684" s="2" t="s">
        <v>89</v>
      </c>
      <c r="B5684" s="2" t="s">
        <v>36812</v>
      </c>
      <c r="C5684" s="2" t="s">
        <v>53781</v>
      </c>
      <c r="D5684" s="2" t="s">
        <v>53782</v>
      </c>
      <c r="E5684" s="2" t="s">
        <v>53783</v>
      </c>
      <c r="G5684" s="3" t="s">
        <v>62</v>
      </c>
      <c r="I5684" s="3" t="s">
        <v>62</v>
      </c>
      <c r="J5684" s="3" t="s">
        <v>62</v>
      </c>
      <c r="K5684" s="3" t="s">
        <v>63</v>
      </c>
      <c r="L5684" s="2" t="s">
        <v>53784</v>
      </c>
      <c r="M5684" s="2" t="s">
        <v>53785</v>
      </c>
      <c r="N5684" s="3" t="s">
        <v>1455</v>
      </c>
      <c r="P5684" s="3" t="s">
        <v>64</v>
      </c>
      <c r="R5684" s="3" t="s">
        <v>53742</v>
      </c>
      <c r="S5684" s="4">
        <v>0</v>
      </c>
      <c r="T5684" s="4">
        <v>0</v>
      </c>
      <c r="W5684" s="5" t="s">
        <v>67</v>
      </c>
      <c r="X5684" s="5" t="s">
        <v>67</v>
      </c>
      <c r="Y5684" s="4">
        <v>1213</v>
      </c>
      <c r="Z5684" s="4">
        <v>21</v>
      </c>
      <c r="AA5684" s="4">
        <v>23</v>
      </c>
      <c r="AB5684" s="4">
        <v>1</v>
      </c>
      <c r="AC5684" s="4">
        <v>2</v>
      </c>
      <c r="AD5684" s="4">
        <v>63</v>
      </c>
      <c r="AE5684" s="4">
        <v>69</v>
      </c>
      <c r="AF5684" s="4">
        <v>0</v>
      </c>
      <c r="AG5684" s="4">
        <v>0</v>
      </c>
      <c r="AH5684" s="4">
        <v>59</v>
      </c>
      <c r="AI5684" s="4">
        <v>64</v>
      </c>
      <c r="AJ5684" s="4">
        <v>3</v>
      </c>
      <c r="AK5684" s="4">
        <v>4</v>
      </c>
      <c r="AL5684" s="4">
        <v>41</v>
      </c>
      <c r="AM5684" s="4">
        <v>43</v>
      </c>
      <c r="AN5684" s="4">
        <v>0</v>
      </c>
      <c r="AO5684" s="4">
        <v>0</v>
      </c>
      <c r="AP5684" s="4">
        <v>3</v>
      </c>
      <c r="AQ5684" s="4">
        <v>4</v>
      </c>
      <c r="AR5684" s="3" t="s">
        <v>62</v>
      </c>
      <c r="AS5684" s="3" t="s">
        <v>62</v>
      </c>
      <c r="AT5684" s="3" t="s">
        <v>62</v>
      </c>
      <c r="AV5684" s="6" t="str">
        <f>HYPERLINK("http://mcgill.on.worldcat.org/oclc/907295398","Catalog Record")</f>
        <v>Catalog Record</v>
      </c>
      <c r="AW5684" s="6" t="str">
        <f>HYPERLINK("http://www.worldcat.org/oclc/907295398","WorldCat Record")</f>
        <v>WorldCat Record</v>
      </c>
      <c r="AX5684" s="3" t="s">
        <v>53786</v>
      </c>
      <c r="AY5684" s="3" t="s">
        <v>53787</v>
      </c>
      <c r="AZ5684" s="3" t="s">
        <v>53788</v>
      </c>
      <c r="BA5684" s="3" t="s">
        <v>53788</v>
      </c>
      <c r="BB5684" s="3" t="s">
        <v>53789</v>
      </c>
      <c r="BC5684" s="3" t="s">
        <v>102</v>
      </c>
      <c r="BD5684" s="3" t="s">
        <v>68</v>
      </c>
      <c r="BE5684" s="3" t="s">
        <v>53790</v>
      </c>
      <c r="BF5684" s="3" t="s">
        <v>53789</v>
      </c>
      <c r="BG5684" s="3" t="s">
        <v>53791</v>
      </c>
    </row>
    <row r="5685" spans="1:59" ht="58" x14ac:dyDescent="0.35">
      <c r="A5685" s="2" t="s">
        <v>89</v>
      </c>
      <c r="B5685" s="2" t="s">
        <v>6124</v>
      </c>
      <c r="C5685" s="2" t="s">
        <v>53792</v>
      </c>
      <c r="D5685" s="2" t="s">
        <v>53793</v>
      </c>
      <c r="E5685" s="2" t="s">
        <v>53794</v>
      </c>
      <c r="G5685" s="3" t="s">
        <v>62</v>
      </c>
      <c r="I5685" s="3" t="s">
        <v>62</v>
      </c>
      <c r="J5685" s="3" t="s">
        <v>62</v>
      </c>
      <c r="K5685" s="3" t="s">
        <v>63</v>
      </c>
      <c r="L5685" s="2" t="s">
        <v>47301</v>
      </c>
      <c r="M5685" s="2" t="s">
        <v>53795</v>
      </c>
      <c r="N5685" s="3" t="s">
        <v>625</v>
      </c>
      <c r="O5685" s="2" t="s">
        <v>2163</v>
      </c>
      <c r="P5685" s="3" t="s">
        <v>64</v>
      </c>
      <c r="Q5685" s="2" t="s">
        <v>53796</v>
      </c>
      <c r="R5685" s="3" t="s">
        <v>53742</v>
      </c>
      <c r="S5685" s="4">
        <v>70</v>
      </c>
      <c r="T5685" s="4">
        <v>70</v>
      </c>
      <c r="U5685" s="5" t="s">
        <v>159</v>
      </c>
      <c r="V5685" s="5" t="s">
        <v>159</v>
      </c>
      <c r="W5685" s="5" t="s">
        <v>67</v>
      </c>
      <c r="X5685" s="5" t="s">
        <v>67</v>
      </c>
      <c r="Y5685" s="4">
        <v>2473</v>
      </c>
      <c r="Z5685" s="4">
        <v>78</v>
      </c>
      <c r="AA5685" s="4">
        <v>89</v>
      </c>
      <c r="AB5685" s="4">
        <v>5</v>
      </c>
      <c r="AC5685" s="4">
        <v>5</v>
      </c>
      <c r="AD5685" s="4">
        <v>114</v>
      </c>
      <c r="AE5685" s="4">
        <v>126</v>
      </c>
      <c r="AF5685" s="4">
        <v>1</v>
      </c>
      <c r="AG5685" s="4">
        <v>1</v>
      </c>
      <c r="AH5685" s="4">
        <v>97</v>
      </c>
      <c r="AI5685" s="4">
        <v>106</v>
      </c>
      <c r="AJ5685" s="4">
        <v>13</v>
      </c>
      <c r="AK5685" s="4">
        <v>16</v>
      </c>
      <c r="AL5685" s="4">
        <v>51</v>
      </c>
      <c r="AM5685" s="4">
        <v>54</v>
      </c>
      <c r="AN5685" s="4">
        <v>0</v>
      </c>
      <c r="AO5685" s="4">
        <v>0</v>
      </c>
      <c r="AP5685" s="4">
        <v>24</v>
      </c>
      <c r="AQ5685" s="4">
        <v>27</v>
      </c>
      <c r="AR5685" s="3" t="s">
        <v>62</v>
      </c>
      <c r="AS5685" s="3" t="s">
        <v>62</v>
      </c>
      <c r="AT5685" s="3" t="s">
        <v>62</v>
      </c>
      <c r="AV5685" s="6" t="str">
        <f>HYPERLINK("http://mcgill.on.worldcat.org/oclc/50912705","Catalog Record")</f>
        <v>Catalog Record</v>
      </c>
      <c r="AW5685" s="6" t="str">
        <f>HYPERLINK("http://www.worldcat.org/oclc/50912705","WorldCat Record")</f>
        <v>WorldCat Record</v>
      </c>
      <c r="AX5685" s="3" t="s">
        <v>53797</v>
      </c>
      <c r="AY5685" s="3" t="s">
        <v>53798</v>
      </c>
      <c r="AZ5685" s="3" t="s">
        <v>53799</v>
      </c>
      <c r="BA5685" s="3" t="s">
        <v>53799</v>
      </c>
      <c r="BB5685" s="3" t="s">
        <v>53800</v>
      </c>
      <c r="BC5685" s="3" t="s">
        <v>102</v>
      </c>
      <c r="BD5685" s="3" t="s">
        <v>231</v>
      </c>
      <c r="BE5685" s="3" t="s">
        <v>53801</v>
      </c>
      <c r="BF5685" s="3" t="s">
        <v>53800</v>
      </c>
      <c r="BG5685" s="3" t="s">
        <v>53802</v>
      </c>
    </row>
    <row r="5686" spans="1:59" ht="101.5" x14ac:dyDescent="0.35">
      <c r="A5686" s="2" t="s">
        <v>89</v>
      </c>
      <c r="B5686" s="2" t="s">
        <v>36812</v>
      </c>
      <c r="C5686" s="2" t="s">
        <v>53803</v>
      </c>
      <c r="D5686" s="2" t="s">
        <v>53804</v>
      </c>
      <c r="E5686" s="2" t="s">
        <v>53805</v>
      </c>
      <c r="G5686" s="3" t="s">
        <v>62</v>
      </c>
      <c r="I5686" s="3" t="s">
        <v>62</v>
      </c>
      <c r="J5686" s="3" t="s">
        <v>62</v>
      </c>
      <c r="K5686" s="3" t="s">
        <v>63</v>
      </c>
      <c r="L5686" s="2" t="s">
        <v>53806</v>
      </c>
      <c r="M5686" s="2" t="s">
        <v>53807</v>
      </c>
      <c r="N5686" s="3" t="s">
        <v>2136</v>
      </c>
      <c r="O5686" s="2" t="s">
        <v>2163</v>
      </c>
      <c r="P5686" s="3" t="s">
        <v>64</v>
      </c>
      <c r="R5686" s="3" t="s">
        <v>53742</v>
      </c>
      <c r="S5686" s="4">
        <v>1</v>
      </c>
      <c r="T5686" s="4">
        <v>1</v>
      </c>
      <c r="U5686" s="5" t="s">
        <v>53808</v>
      </c>
      <c r="V5686" s="5" t="s">
        <v>53808</v>
      </c>
      <c r="W5686" s="5" t="s">
        <v>67</v>
      </c>
      <c r="X5686" s="5" t="s">
        <v>67</v>
      </c>
      <c r="Y5686" s="4">
        <v>227</v>
      </c>
      <c r="Z5686" s="4">
        <v>21</v>
      </c>
      <c r="AA5686" s="4">
        <v>22</v>
      </c>
      <c r="AB5686" s="4">
        <v>2</v>
      </c>
      <c r="AC5686" s="4">
        <v>3</v>
      </c>
      <c r="AD5686" s="4">
        <v>7</v>
      </c>
      <c r="AE5686" s="4">
        <v>7</v>
      </c>
      <c r="AF5686" s="4">
        <v>0</v>
      </c>
      <c r="AG5686" s="4">
        <v>0</v>
      </c>
      <c r="AH5686" s="4">
        <v>7</v>
      </c>
      <c r="AI5686" s="4">
        <v>7</v>
      </c>
      <c r="AJ5686" s="4">
        <v>2</v>
      </c>
      <c r="AK5686" s="4">
        <v>2</v>
      </c>
      <c r="AL5686" s="4">
        <v>1</v>
      </c>
      <c r="AM5686" s="4">
        <v>1</v>
      </c>
      <c r="AN5686" s="4">
        <v>0</v>
      </c>
      <c r="AO5686" s="4">
        <v>0</v>
      </c>
      <c r="AP5686" s="4">
        <v>2</v>
      </c>
      <c r="AQ5686" s="4">
        <v>2</v>
      </c>
      <c r="AR5686" s="3" t="s">
        <v>62</v>
      </c>
      <c r="AS5686" s="3" t="s">
        <v>62</v>
      </c>
      <c r="AT5686" s="3" t="s">
        <v>62</v>
      </c>
      <c r="AV5686" s="6" t="str">
        <f>HYPERLINK("http://mcgill.on.worldcat.org/oclc/55845648","Catalog Record")</f>
        <v>Catalog Record</v>
      </c>
      <c r="AW5686" s="6" t="str">
        <f>HYPERLINK("http://www.worldcat.org/oclc/55845648","WorldCat Record")</f>
        <v>WorldCat Record</v>
      </c>
      <c r="AX5686" s="3" t="s">
        <v>53809</v>
      </c>
      <c r="AY5686" s="3" t="s">
        <v>53810</v>
      </c>
      <c r="AZ5686" s="3" t="s">
        <v>53811</v>
      </c>
      <c r="BA5686" s="3" t="s">
        <v>53811</v>
      </c>
      <c r="BB5686" s="3" t="s">
        <v>53812</v>
      </c>
      <c r="BC5686" s="3" t="s">
        <v>102</v>
      </c>
      <c r="BD5686" s="3" t="s">
        <v>68</v>
      </c>
      <c r="BE5686" s="3" t="s">
        <v>53813</v>
      </c>
      <c r="BF5686" s="3" t="s">
        <v>53812</v>
      </c>
      <c r="BG5686" s="3" t="s">
        <v>53814</v>
      </c>
    </row>
    <row r="5687" spans="1:59" ht="58" x14ac:dyDescent="0.35">
      <c r="A5687" s="2" t="s">
        <v>59</v>
      </c>
      <c r="B5687" s="2" t="s">
        <v>60</v>
      </c>
      <c r="C5687" s="2" t="s">
        <v>53815</v>
      </c>
      <c r="D5687" s="2" t="s">
        <v>53816</v>
      </c>
      <c r="E5687" s="2" t="s">
        <v>53817</v>
      </c>
      <c r="G5687" s="3" t="s">
        <v>62</v>
      </c>
      <c r="I5687" s="3" t="s">
        <v>62</v>
      </c>
      <c r="J5687" s="3" t="s">
        <v>62</v>
      </c>
      <c r="K5687" s="3" t="s">
        <v>63</v>
      </c>
      <c r="M5687" s="2" t="s">
        <v>53818</v>
      </c>
      <c r="N5687" s="3" t="s">
        <v>2588</v>
      </c>
      <c r="P5687" s="3" t="s">
        <v>64</v>
      </c>
      <c r="Q5687" s="2" t="s">
        <v>53819</v>
      </c>
      <c r="R5687" s="3" t="s">
        <v>53742</v>
      </c>
      <c r="S5687" s="4">
        <v>12</v>
      </c>
      <c r="T5687" s="4">
        <v>12</v>
      </c>
      <c r="U5687" s="5" t="s">
        <v>38541</v>
      </c>
      <c r="V5687" s="5" t="s">
        <v>38541</v>
      </c>
      <c r="W5687" s="5" t="s">
        <v>67</v>
      </c>
      <c r="X5687" s="5" t="s">
        <v>67</v>
      </c>
      <c r="Y5687" s="4">
        <v>251</v>
      </c>
      <c r="Z5687" s="4">
        <v>16</v>
      </c>
      <c r="AA5687" s="4">
        <v>20</v>
      </c>
      <c r="AB5687" s="4">
        <v>2</v>
      </c>
      <c r="AC5687" s="4">
        <v>3</v>
      </c>
      <c r="AD5687" s="4">
        <v>83</v>
      </c>
      <c r="AE5687" s="4">
        <v>86</v>
      </c>
      <c r="AF5687" s="4">
        <v>0</v>
      </c>
      <c r="AG5687" s="4">
        <v>1</v>
      </c>
      <c r="AH5687" s="4">
        <v>74</v>
      </c>
      <c r="AI5687" s="4">
        <v>76</v>
      </c>
      <c r="AJ5687" s="4">
        <v>10</v>
      </c>
      <c r="AK5687" s="4">
        <v>13</v>
      </c>
      <c r="AL5687" s="4">
        <v>43</v>
      </c>
      <c r="AM5687" s="4">
        <v>44</v>
      </c>
      <c r="AN5687" s="4">
        <v>0</v>
      </c>
      <c r="AO5687" s="4">
        <v>0</v>
      </c>
      <c r="AP5687" s="4">
        <v>13</v>
      </c>
      <c r="AQ5687" s="4">
        <v>15</v>
      </c>
      <c r="AR5687" s="3" t="s">
        <v>62</v>
      </c>
      <c r="AS5687" s="3" t="s">
        <v>62</v>
      </c>
      <c r="AT5687" s="3" t="s">
        <v>61</v>
      </c>
      <c r="AU5687" s="6" t="str">
        <f>HYPERLINK("http://catalog.hathitrust.org/Record/000250155","HathiTrust Record")</f>
        <v>HathiTrust Record</v>
      </c>
      <c r="AV5687" s="6" t="str">
        <f>HYPERLINK("http://mcgill.on.worldcat.org/oclc/2982988","Catalog Record")</f>
        <v>Catalog Record</v>
      </c>
      <c r="AW5687" s="6" t="str">
        <f>HYPERLINK("http://www.worldcat.org/oclc/2982988","WorldCat Record")</f>
        <v>WorldCat Record</v>
      </c>
      <c r="AX5687" s="3" t="s">
        <v>53820</v>
      </c>
      <c r="AY5687" s="3" t="s">
        <v>53821</v>
      </c>
      <c r="AZ5687" s="3" t="s">
        <v>53822</v>
      </c>
      <c r="BA5687" s="3" t="s">
        <v>53822</v>
      </c>
      <c r="BB5687" s="3" t="s">
        <v>53823</v>
      </c>
      <c r="BC5687" s="3" t="s">
        <v>102</v>
      </c>
      <c r="BD5687" s="3" t="s">
        <v>68</v>
      </c>
      <c r="BE5687" s="3" t="s">
        <v>53824</v>
      </c>
      <c r="BF5687" s="3" t="s">
        <v>53823</v>
      </c>
      <c r="BG5687" s="3" t="s">
        <v>53825</v>
      </c>
    </row>
    <row r="5688" spans="1:59" ht="101.5" x14ac:dyDescent="0.35">
      <c r="A5688" s="2" t="s">
        <v>89</v>
      </c>
      <c r="B5688" s="2" t="s">
        <v>36812</v>
      </c>
      <c r="C5688" s="2" t="s">
        <v>53826</v>
      </c>
      <c r="D5688" s="2" t="s">
        <v>53827</v>
      </c>
      <c r="E5688" s="2" t="s">
        <v>53828</v>
      </c>
      <c r="G5688" s="3" t="s">
        <v>62</v>
      </c>
      <c r="I5688" s="3" t="s">
        <v>62</v>
      </c>
      <c r="J5688" s="3" t="s">
        <v>62</v>
      </c>
      <c r="K5688" s="3" t="s">
        <v>63</v>
      </c>
      <c r="L5688" s="2" t="s">
        <v>53829</v>
      </c>
      <c r="M5688" s="2" t="s">
        <v>53830</v>
      </c>
      <c r="N5688" s="3" t="s">
        <v>640</v>
      </c>
      <c r="P5688" s="3" t="s">
        <v>64</v>
      </c>
      <c r="R5688" s="3" t="s">
        <v>53742</v>
      </c>
      <c r="S5688" s="4">
        <v>4</v>
      </c>
      <c r="T5688" s="4">
        <v>4</v>
      </c>
      <c r="U5688" s="5" t="s">
        <v>70</v>
      </c>
      <c r="V5688" s="5" t="s">
        <v>70</v>
      </c>
      <c r="W5688" s="5" t="s">
        <v>67</v>
      </c>
      <c r="X5688" s="5" t="s">
        <v>67</v>
      </c>
      <c r="Y5688" s="4">
        <v>618</v>
      </c>
      <c r="Z5688" s="4">
        <v>19</v>
      </c>
      <c r="AA5688" s="4">
        <v>20</v>
      </c>
      <c r="AB5688" s="4">
        <v>2</v>
      </c>
      <c r="AC5688" s="4">
        <v>3</v>
      </c>
      <c r="AD5688" s="4">
        <v>58</v>
      </c>
      <c r="AE5688" s="4">
        <v>59</v>
      </c>
      <c r="AF5688" s="4">
        <v>0</v>
      </c>
      <c r="AG5688" s="4">
        <v>1</v>
      </c>
      <c r="AH5688" s="4">
        <v>52</v>
      </c>
      <c r="AI5688" s="4">
        <v>52</v>
      </c>
      <c r="AJ5688" s="4">
        <v>6</v>
      </c>
      <c r="AK5688" s="4">
        <v>7</v>
      </c>
      <c r="AL5688" s="4">
        <v>25</v>
      </c>
      <c r="AM5688" s="4">
        <v>25</v>
      </c>
      <c r="AN5688" s="4">
        <v>0</v>
      </c>
      <c r="AO5688" s="4">
        <v>0</v>
      </c>
      <c r="AP5688" s="4">
        <v>11</v>
      </c>
      <c r="AQ5688" s="4">
        <v>12</v>
      </c>
      <c r="AR5688" s="3" t="s">
        <v>62</v>
      </c>
      <c r="AS5688" s="3" t="s">
        <v>62</v>
      </c>
      <c r="AT5688" s="3" t="s">
        <v>62</v>
      </c>
      <c r="AV5688" s="6" t="str">
        <f>HYPERLINK("http://mcgill.on.worldcat.org/oclc/54392591","Catalog Record")</f>
        <v>Catalog Record</v>
      </c>
      <c r="AW5688" s="6" t="str">
        <f>HYPERLINK("http://www.worldcat.org/oclc/54392591","WorldCat Record")</f>
        <v>WorldCat Record</v>
      </c>
      <c r="AX5688" s="3" t="s">
        <v>53831</v>
      </c>
      <c r="AY5688" s="3" t="s">
        <v>53832</v>
      </c>
      <c r="AZ5688" s="3" t="s">
        <v>53833</v>
      </c>
      <c r="BA5688" s="3" t="s">
        <v>53833</v>
      </c>
      <c r="BB5688" s="3" t="s">
        <v>53834</v>
      </c>
      <c r="BC5688" s="3" t="s">
        <v>102</v>
      </c>
      <c r="BD5688" s="3" t="s">
        <v>68</v>
      </c>
      <c r="BE5688" s="3" t="s">
        <v>53835</v>
      </c>
      <c r="BF5688" s="3" t="s">
        <v>53834</v>
      </c>
      <c r="BG5688" s="3" t="s">
        <v>53836</v>
      </c>
    </row>
    <row r="5689" spans="1:59" ht="58" x14ac:dyDescent="0.35">
      <c r="A5689" s="2" t="s">
        <v>59</v>
      </c>
      <c r="B5689" s="2" t="s">
        <v>60</v>
      </c>
      <c r="C5689" s="2" t="s">
        <v>53837</v>
      </c>
      <c r="D5689" s="2" t="s">
        <v>53838</v>
      </c>
      <c r="E5689" s="2" t="s">
        <v>53839</v>
      </c>
      <c r="G5689" s="3" t="s">
        <v>62</v>
      </c>
      <c r="I5689" s="3" t="s">
        <v>62</v>
      </c>
      <c r="J5689" s="3" t="s">
        <v>62</v>
      </c>
      <c r="K5689" s="3" t="s">
        <v>63</v>
      </c>
      <c r="L5689" s="2" t="s">
        <v>53840</v>
      </c>
      <c r="M5689" s="2" t="s">
        <v>53841</v>
      </c>
      <c r="N5689" s="3" t="s">
        <v>1576</v>
      </c>
      <c r="P5689" s="3" t="s">
        <v>64</v>
      </c>
      <c r="R5689" s="3" t="s">
        <v>53742</v>
      </c>
      <c r="S5689" s="4">
        <v>2</v>
      </c>
      <c r="T5689" s="4">
        <v>2</v>
      </c>
      <c r="U5689" s="5" t="s">
        <v>2474</v>
      </c>
      <c r="V5689" s="5" t="s">
        <v>2474</v>
      </c>
      <c r="W5689" s="5" t="s">
        <v>67</v>
      </c>
      <c r="X5689" s="5" t="s">
        <v>67</v>
      </c>
      <c r="Y5689" s="4">
        <v>45</v>
      </c>
      <c r="Z5689" s="4">
        <v>3</v>
      </c>
      <c r="AA5689" s="4">
        <v>6</v>
      </c>
      <c r="AB5689" s="4">
        <v>2</v>
      </c>
      <c r="AC5689" s="4">
        <v>2</v>
      </c>
      <c r="AD5689" s="4">
        <v>16</v>
      </c>
      <c r="AE5689" s="4">
        <v>18</v>
      </c>
      <c r="AF5689" s="4">
        <v>0</v>
      </c>
      <c r="AG5689" s="4">
        <v>0</v>
      </c>
      <c r="AH5689" s="4">
        <v>16</v>
      </c>
      <c r="AI5689" s="4">
        <v>18</v>
      </c>
      <c r="AJ5689" s="4">
        <v>1</v>
      </c>
      <c r="AK5689" s="4">
        <v>3</v>
      </c>
      <c r="AL5689" s="4">
        <v>14</v>
      </c>
      <c r="AM5689" s="4">
        <v>15</v>
      </c>
      <c r="AN5689" s="4">
        <v>0</v>
      </c>
      <c r="AO5689" s="4">
        <v>0</v>
      </c>
      <c r="AP5689" s="4">
        <v>1</v>
      </c>
      <c r="AQ5689" s="4">
        <v>3</v>
      </c>
      <c r="AR5689" s="3" t="s">
        <v>62</v>
      </c>
      <c r="AS5689" s="3" t="s">
        <v>62</v>
      </c>
      <c r="AT5689" s="3" t="s">
        <v>61</v>
      </c>
      <c r="AU5689" s="6" t="str">
        <f>HYPERLINK("http://catalog.hathitrust.org/Record/002068079","HathiTrust Record")</f>
        <v>HathiTrust Record</v>
      </c>
      <c r="AV5689" s="6" t="str">
        <f>HYPERLINK("http://mcgill.on.worldcat.org/oclc/9918018","Catalog Record")</f>
        <v>Catalog Record</v>
      </c>
      <c r="AW5689" s="6" t="str">
        <f>HYPERLINK("http://www.worldcat.org/oclc/9918018","WorldCat Record")</f>
        <v>WorldCat Record</v>
      </c>
      <c r="AX5689" s="3" t="s">
        <v>53842</v>
      </c>
      <c r="AY5689" s="3" t="s">
        <v>53843</v>
      </c>
      <c r="AZ5689" s="3" t="s">
        <v>53844</v>
      </c>
      <c r="BA5689" s="3" t="s">
        <v>53844</v>
      </c>
      <c r="BB5689" s="3" t="s">
        <v>53845</v>
      </c>
      <c r="BC5689" s="3" t="s">
        <v>102</v>
      </c>
      <c r="BD5689" s="3" t="s">
        <v>68</v>
      </c>
      <c r="BF5689" s="3" t="s">
        <v>53845</v>
      </c>
      <c r="BG5689" s="3" t="s">
        <v>53846</v>
      </c>
    </row>
    <row r="5690" spans="1:59" ht="58" x14ac:dyDescent="0.35">
      <c r="A5690" s="2" t="s">
        <v>59</v>
      </c>
      <c r="B5690" s="2" t="s">
        <v>60</v>
      </c>
      <c r="C5690" s="2" t="s">
        <v>53847</v>
      </c>
      <c r="D5690" s="2" t="s">
        <v>53848</v>
      </c>
      <c r="E5690" s="2" t="s">
        <v>48605</v>
      </c>
      <c r="G5690" s="3" t="s">
        <v>62</v>
      </c>
      <c r="I5690" s="3" t="s">
        <v>61</v>
      </c>
      <c r="J5690" s="3" t="s">
        <v>61</v>
      </c>
      <c r="K5690" s="3" t="s">
        <v>63</v>
      </c>
      <c r="L5690" s="2" t="s">
        <v>5332</v>
      </c>
      <c r="M5690" s="2" t="s">
        <v>48606</v>
      </c>
      <c r="N5690" s="3" t="s">
        <v>809</v>
      </c>
      <c r="P5690" s="3" t="s">
        <v>64</v>
      </c>
      <c r="R5690" s="3" t="s">
        <v>53742</v>
      </c>
      <c r="S5690" s="4">
        <v>11</v>
      </c>
      <c r="T5690" s="4">
        <v>29</v>
      </c>
      <c r="U5690" s="5" t="s">
        <v>17448</v>
      </c>
      <c r="V5690" s="5" t="s">
        <v>17448</v>
      </c>
      <c r="W5690" s="5" t="s">
        <v>67</v>
      </c>
      <c r="X5690" s="5" t="s">
        <v>67</v>
      </c>
      <c r="Y5690" s="4">
        <v>1103</v>
      </c>
      <c r="Z5690" s="4">
        <v>71</v>
      </c>
      <c r="AA5690" s="4">
        <v>115</v>
      </c>
      <c r="AB5690" s="4">
        <v>5</v>
      </c>
      <c r="AC5690" s="4">
        <v>14</v>
      </c>
      <c r="AD5690" s="4">
        <v>138</v>
      </c>
      <c r="AE5690" s="4">
        <v>164</v>
      </c>
      <c r="AF5690" s="4">
        <v>1</v>
      </c>
      <c r="AG5690" s="4">
        <v>6</v>
      </c>
      <c r="AH5690" s="4">
        <v>106</v>
      </c>
      <c r="AI5690" s="4">
        <v>117</v>
      </c>
      <c r="AJ5690" s="4">
        <v>24</v>
      </c>
      <c r="AK5690" s="4">
        <v>28</v>
      </c>
      <c r="AL5690" s="4">
        <v>58</v>
      </c>
      <c r="AM5690" s="4">
        <v>63</v>
      </c>
      <c r="AN5690" s="4">
        <v>0</v>
      </c>
      <c r="AO5690" s="4">
        <v>0</v>
      </c>
      <c r="AP5690" s="4">
        <v>37</v>
      </c>
      <c r="AQ5690" s="4">
        <v>51</v>
      </c>
      <c r="AR5690" s="3" t="s">
        <v>62</v>
      </c>
      <c r="AS5690" s="3" t="s">
        <v>62</v>
      </c>
      <c r="AT5690" s="3" t="s">
        <v>62</v>
      </c>
      <c r="AU5690" s="6" t="str">
        <f>HYPERLINK("http://catalog.hathitrust.org/Record/001553450","HathiTrust Record")</f>
        <v>HathiTrust Record</v>
      </c>
      <c r="AV5690" s="6" t="str">
        <f>HYPERLINK("http://mcgill.on.worldcat.org/oclc/525839","Catalog Record")</f>
        <v>Catalog Record</v>
      </c>
      <c r="AW5690" s="6" t="str">
        <f>HYPERLINK("http://www.worldcat.org/oclc/525839","WorldCat Record")</f>
        <v>WorldCat Record</v>
      </c>
      <c r="AX5690" s="3" t="s">
        <v>48608</v>
      </c>
      <c r="AY5690" s="3" t="s">
        <v>48609</v>
      </c>
      <c r="AZ5690" s="3" t="s">
        <v>48610</v>
      </c>
      <c r="BA5690" s="3" t="s">
        <v>48610</v>
      </c>
      <c r="BB5690" s="3" t="s">
        <v>53849</v>
      </c>
      <c r="BC5690" s="3" t="s">
        <v>102</v>
      </c>
      <c r="BD5690" s="3" t="s">
        <v>6923</v>
      </c>
      <c r="BE5690" s="3" t="s">
        <v>48612</v>
      </c>
      <c r="BF5690" s="3" t="s">
        <v>53849</v>
      </c>
      <c r="BG5690" s="3" t="s">
        <v>53850</v>
      </c>
    </row>
    <row r="5691" spans="1:59" ht="58" x14ac:dyDescent="0.35">
      <c r="A5691" s="2" t="s">
        <v>59</v>
      </c>
      <c r="B5691" s="2" t="s">
        <v>60</v>
      </c>
      <c r="C5691" s="2" t="s">
        <v>53851</v>
      </c>
      <c r="D5691" s="2" t="s">
        <v>53852</v>
      </c>
      <c r="E5691" s="2" t="s">
        <v>53853</v>
      </c>
      <c r="G5691" s="3" t="s">
        <v>62</v>
      </c>
      <c r="I5691" s="3" t="s">
        <v>62</v>
      </c>
      <c r="J5691" s="3" t="s">
        <v>62</v>
      </c>
      <c r="K5691" s="3" t="s">
        <v>63</v>
      </c>
      <c r="L5691" s="2" t="s">
        <v>53854</v>
      </c>
      <c r="M5691" s="2" t="s">
        <v>53855</v>
      </c>
      <c r="N5691" s="3" t="s">
        <v>1576</v>
      </c>
      <c r="P5691" s="3" t="s">
        <v>64</v>
      </c>
      <c r="Q5691" s="2" t="s">
        <v>53856</v>
      </c>
      <c r="R5691" s="3" t="s">
        <v>53742</v>
      </c>
      <c r="S5691" s="4">
        <v>3</v>
      </c>
      <c r="T5691" s="4">
        <v>3</v>
      </c>
      <c r="U5691" s="5" t="s">
        <v>16200</v>
      </c>
      <c r="V5691" s="5" t="s">
        <v>16200</v>
      </c>
      <c r="W5691" s="5" t="s">
        <v>67</v>
      </c>
      <c r="X5691" s="5" t="s">
        <v>67</v>
      </c>
      <c r="Y5691" s="4">
        <v>107</v>
      </c>
      <c r="Z5691" s="4">
        <v>11</v>
      </c>
      <c r="AA5691" s="4">
        <v>13</v>
      </c>
      <c r="AB5691" s="4">
        <v>2</v>
      </c>
      <c r="AC5691" s="4">
        <v>4</v>
      </c>
      <c r="AD5691" s="4">
        <v>44</v>
      </c>
      <c r="AE5691" s="4">
        <v>46</v>
      </c>
      <c r="AF5691" s="4">
        <v>0</v>
      </c>
      <c r="AG5691" s="4">
        <v>2</v>
      </c>
      <c r="AH5691" s="4">
        <v>40</v>
      </c>
      <c r="AI5691" s="4">
        <v>41</v>
      </c>
      <c r="AJ5691" s="4">
        <v>8</v>
      </c>
      <c r="AK5691" s="4">
        <v>10</v>
      </c>
      <c r="AL5691" s="4">
        <v>27</v>
      </c>
      <c r="AM5691" s="4">
        <v>27</v>
      </c>
      <c r="AN5691" s="4">
        <v>0</v>
      </c>
      <c r="AO5691" s="4">
        <v>0</v>
      </c>
      <c r="AP5691" s="4">
        <v>6</v>
      </c>
      <c r="AQ5691" s="4">
        <v>7</v>
      </c>
      <c r="AR5691" s="3" t="s">
        <v>62</v>
      </c>
      <c r="AS5691" s="3" t="s">
        <v>62</v>
      </c>
      <c r="AT5691" s="3" t="s">
        <v>61</v>
      </c>
      <c r="AU5691" s="6" t="str">
        <f>HYPERLINK("http://catalog.hathitrust.org/Record/001562435","HathiTrust Record")</f>
        <v>HathiTrust Record</v>
      </c>
      <c r="AV5691" s="6" t="str">
        <f>HYPERLINK("http://mcgill.on.worldcat.org/oclc/2668338","Catalog Record")</f>
        <v>Catalog Record</v>
      </c>
      <c r="AW5691" s="6" t="str">
        <f>HYPERLINK("http://www.worldcat.org/oclc/2668338","WorldCat Record")</f>
        <v>WorldCat Record</v>
      </c>
      <c r="AX5691" s="3" t="s">
        <v>53857</v>
      </c>
      <c r="AY5691" s="3" t="s">
        <v>53858</v>
      </c>
      <c r="AZ5691" s="3" t="s">
        <v>53859</v>
      </c>
      <c r="BA5691" s="3" t="s">
        <v>53859</v>
      </c>
      <c r="BB5691" s="3" t="s">
        <v>53860</v>
      </c>
      <c r="BC5691" s="3" t="s">
        <v>102</v>
      </c>
      <c r="BD5691" s="3" t="s">
        <v>68</v>
      </c>
      <c r="BF5691" s="3" t="s">
        <v>53860</v>
      </c>
      <c r="BG5691" s="3" t="s">
        <v>53861</v>
      </c>
    </row>
    <row r="5692" spans="1:59" ht="101.5" x14ac:dyDescent="0.35">
      <c r="A5692" s="2" t="s">
        <v>89</v>
      </c>
      <c r="B5692" s="2" t="s">
        <v>36812</v>
      </c>
      <c r="C5692" s="2" t="s">
        <v>53862</v>
      </c>
      <c r="D5692" s="2" t="s">
        <v>53863</v>
      </c>
      <c r="E5692" s="2" t="s">
        <v>53864</v>
      </c>
      <c r="G5692" s="3" t="s">
        <v>62</v>
      </c>
      <c r="I5692" s="3" t="s">
        <v>62</v>
      </c>
      <c r="J5692" s="3" t="s">
        <v>62</v>
      </c>
      <c r="K5692" s="3" t="s">
        <v>63</v>
      </c>
      <c r="L5692" s="2" t="s">
        <v>53865</v>
      </c>
      <c r="M5692" s="2" t="s">
        <v>53866</v>
      </c>
      <c r="N5692" s="3" t="s">
        <v>2975</v>
      </c>
      <c r="P5692" s="3" t="s">
        <v>64</v>
      </c>
      <c r="R5692" s="3" t="s">
        <v>53742</v>
      </c>
      <c r="S5692" s="4">
        <v>2</v>
      </c>
      <c r="T5692" s="4">
        <v>2</v>
      </c>
      <c r="U5692" s="5" t="s">
        <v>38771</v>
      </c>
      <c r="V5692" s="5" t="s">
        <v>38771</v>
      </c>
      <c r="W5692" s="5" t="s">
        <v>67</v>
      </c>
      <c r="X5692" s="5" t="s">
        <v>67</v>
      </c>
      <c r="Y5692" s="4">
        <v>297</v>
      </c>
      <c r="Z5692" s="4">
        <v>12</v>
      </c>
      <c r="AA5692" s="4">
        <v>12</v>
      </c>
      <c r="AB5692" s="4">
        <v>2</v>
      </c>
      <c r="AC5692" s="4">
        <v>2</v>
      </c>
      <c r="AD5692" s="4">
        <v>16</v>
      </c>
      <c r="AE5692" s="4">
        <v>16</v>
      </c>
      <c r="AF5692" s="4">
        <v>0</v>
      </c>
      <c r="AG5692" s="4">
        <v>0</v>
      </c>
      <c r="AH5692" s="4">
        <v>15</v>
      </c>
      <c r="AI5692" s="4">
        <v>15</v>
      </c>
      <c r="AJ5692" s="4">
        <v>1</v>
      </c>
      <c r="AK5692" s="4">
        <v>1</v>
      </c>
      <c r="AL5692" s="4">
        <v>7</v>
      </c>
      <c r="AM5692" s="4">
        <v>7</v>
      </c>
      <c r="AN5692" s="4">
        <v>0</v>
      </c>
      <c r="AO5692" s="4">
        <v>0</v>
      </c>
      <c r="AP5692" s="4">
        <v>1</v>
      </c>
      <c r="AQ5692" s="4">
        <v>1</v>
      </c>
      <c r="AR5692" s="3" t="s">
        <v>62</v>
      </c>
      <c r="AS5692" s="3" t="s">
        <v>62</v>
      </c>
      <c r="AT5692" s="3" t="s">
        <v>61</v>
      </c>
      <c r="AU5692" s="6" t="str">
        <f>HYPERLINK("http://catalog.hathitrust.org/Record/004301732","HathiTrust Record")</f>
        <v>HathiTrust Record</v>
      </c>
      <c r="AV5692" s="6" t="str">
        <f>HYPERLINK("http://mcgill.on.worldcat.org/oclc/46952226","Catalog Record")</f>
        <v>Catalog Record</v>
      </c>
      <c r="AW5692" s="6" t="str">
        <f>HYPERLINK("http://www.worldcat.org/oclc/46952226","WorldCat Record")</f>
        <v>WorldCat Record</v>
      </c>
      <c r="AX5692" s="3" t="s">
        <v>53867</v>
      </c>
      <c r="AY5692" s="3" t="s">
        <v>53868</v>
      </c>
      <c r="AZ5692" s="3" t="s">
        <v>53869</v>
      </c>
      <c r="BA5692" s="3" t="s">
        <v>53869</v>
      </c>
      <c r="BB5692" s="3" t="s">
        <v>53870</v>
      </c>
      <c r="BC5692" s="3" t="s">
        <v>102</v>
      </c>
      <c r="BD5692" s="3" t="s">
        <v>68</v>
      </c>
      <c r="BE5692" s="3" t="s">
        <v>53871</v>
      </c>
      <c r="BF5692" s="3" t="s">
        <v>53870</v>
      </c>
      <c r="BG5692" s="3" t="s">
        <v>53872</v>
      </c>
    </row>
    <row r="5693" spans="1:59" ht="58" x14ac:dyDescent="0.35">
      <c r="A5693" s="2" t="s">
        <v>59</v>
      </c>
      <c r="B5693" s="2" t="s">
        <v>60</v>
      </c>
      <c r="C5693" s="2" t="s">
        <v>53873</v>
      </c>
      <c r="D5693" s="2" t="s">
        <v>53874</v>
      </c>
      <c r="E5693" s="2" t="s">
        <v>53875</v>
      </c>
      <c r="G5693" s="3" t="s">
        <v>62</v>
      </c>
      <c r="I5693" s="3" t="s">
        <v>62</v>
      </c>
      <c r="J5693" s="3" t="s">
        <v>62</v>
      </c>
      <c r="K5693" s="3" t="s">
        <v>63</v>
      </c>
      <c r="L5693" s="2" t="s">
        <v>53876</v>
      </c>
      <c r="M5693" s="2" t="s">
        <v>53877</v>
      </c>
      <c r="N5693" s="3" t="s">
        <v>7359</v>
      </c>
      <c r="P5693" s="3" t="s">
        <v>64</v>
      </c>
      <c r="R5693" s="3" t="s">
        <v>53742</v>
      </c>
      <c r="S5693" s="4">
        <v>3</v>
      </c>
      <c r="T5693" s="4">
        <v>3</v>
      </c>
      <c r="U5693" s="5" t="s">
        <v>613</v>
      </c>
      <c r="V5693" s="5" t="s">
        <v>613</v>
      </c>
      <c r="W5693" s="5" t="s">
        <v>67</v>
      </c>
      <c r="X5693" s="5" t="s">
        <v>67</v>
      </c>
      <c r="Y5693" s="4">
        <v>18</v>
      </c>
      <c r="Z5693" s="4">
        <v>5</v>
      </c>
      <c r="AA5693" s="4">
        <v>9</v>
      </c>
      <c r="AB5693" s="4">
        <v>2</v>
      </c>
      <c r="AC5693" s="4">
        <v>3</v>
      </c>
      <c r="AD5693" s="4">
        <v>3</v>
      </c>
      <c r="AE5693" s="4">
        <v>40</v>
      </c>
      <c r="AF5693" s="4">
        <v>0</v>
      </c>
      <c r="AG5693" s="4">
        <v>1</v>
      </c>
      <c r="AH5693" s="4">
        <v>2</v>
      </c>
      <c r="AI5693" s="4">
        <v>38</v>
      </c>
      <c r="AJ5693" s="4">
        <v>2</v>
      </c>
      <c r="AK5693" s="4">
        <v>6</v>
      </c>
      <c r="AL5693" s="4">
        <v>2</v>
      </c>
      <c r="AM5693" s="4">
        <v>26</v>
      </c>
      <c r="AN5693" s="4">
        <v>0</v>
      </c>
      <c r="AO5693" s="4">
        <v>0</v>
      </c>
      <c r="AP5693" s="4">
        <v>2</v>
      </c>
      <c r="AQ5693" s="4">
        <v>6</v>
      </c>
      <c r="AR5693" s="3" t="s">
        <v>62</v>
      </c>
      <c r="AS5693" s="3" t="s">
        <v>62</v>
      </c>
      <c r="AT5693" s="3" t="s">
        <v>62</v>
      </c>
      <c r="AV5693" s="6" t="str">
        <f>HYPERLINK("http://mcgill.on.worldcat.org/oclc/216760598","Catalog Record")</f>
        <v>Catalog Record</v>
      </c>
      <c r="AW5693" s="6" t="str">
        <f>HYPERLINK("http://www.worldcat.org/oclc/216760598","WorldCat Record")</f>
        <v>WorldCat Record</v>
      </c>
      <c r="AX5693" s="3" t="s">
        <v>53878</v>
      </c>
      <c r="AY5693" s="3" t="s">
        <v>53879</v>
      </c>
      <c r="AZ5693" s="3" t="s">
        <v>53880</v>
      </c>
      <c r="BA5693" s="3" t="s">
        <v>53880</v>
      </c>
      <c r="BB5693" s="3" t="s">
        <v>53881</v>
      </c>
      <c r="BC5693" s="3" t="s">
        <v>102</v>
      </c>
      <c r="BD5693" s="3" t="s">
        <v>68</v>
      </c>
      <c r="BF5693" s="3" t="s">
        <v>53881</v>
      </c>
      <c r="BG5693" s="3" t="s">
        <v>53882</v>
      </c>
    </row>
    <row r="5694" spans="1:59" ht="72.5" x14ac:dyDescent="0.35">
      <c r="A5694" s="2" t="s">
        <v>59</v>
      </c>
      <c r="B5694" s="2" t="s">
        <v>60</v>
      </c>
      <c r="C5694" s="2" t="s">
        <v>53883</v>
      </c>
      <c r="D5694" s="2" t="s">
        <v>53884</v>
      </c>
      <c r="E5694" s="2" t="s">
        <v>53885</v>
      </c>
      <c r="G5694" s="3" t="s">
        <v>62</v>
      </c>
      <c r="I5694" s="3" t="s">
        <v>62</v>
      </c>
      <c r="J5694" s="3" t="s">
        <v>62</v>
      </c>
      <c r="K5694" s="3" t="s">
        <v>63</v>
      </c>
      <c r="L5694" s="2" t="s">
        <v>53886</v>
      </c>
      <c r="M5694" s="2" t="s">
        <v>53887</v>
      </c>
      <c r="N5694" s="3" t="s">
        <v>2679</v>
      </c>
      <c r="P5694" s="3" t="s">
        <v>64</v>
      </c>
      <c r="Q5694" s="2" t="s">
        <v>53888</v>
      </c>
      <c r="R5694" s="3" t="s">
        <v>53742</v>
      </c>
      <c r="S5694" s="4">
        <v>1</v>
      </c>
      <c r="T5694" s="4">
        <v>1</v>
      </c>
      <c r="U5694" s="5" t="s">
        <v>43203</v>
      </c>
      <c r="V5694" s="5" t="s">
        <v>43203</v>
      </c>
      <c r="W5694" s="5" t="s">
        <v>67</v>
      </c>
      <c r="X5694" s="5" t="s">
        <v>67</v>
      </c>
      <c r="Y5694" s="4">
        <v>22</v>
      </c>
      <c r="Z5694" s="4">
        <v>3</v>
      </c>
      <c r="AA5694" s="4">
        <v>3</v>
      </c>
      <c r="AB5694" s="4">
        <v>2</v>
      </c>
      <c r="AC5694" s="4">
        <v>2</v>
      </c>
      <c r="AD5694" s="4">
        <v>11</v>
      </c>
      <c r="AE5694" s="4">
        <v>11</v>
      </c>
      <c r="AF5694" s="4">
        <v>0</v>
      </c>
      <c r="AG5694" s="4">
        <v>0</v>
      </c>
      <c r="AH5694" s="4">
        <v>10</v>
      </c>
      <c r="AI5694" s="4">
        <v>10</v>
      </c>
      <c r="AJ5694" s="4">
        <v>1</v>
      </c>
      <c r="AK5694" s="4">
        <v>1</v>
      </c>
      <c r="AL5694" s="4">
        <v>8</v>
      </c>
      <c r="AM5694" s="4">
        <v>8</v>
      </c>
      <c r="AN5694" s="4">
        <v>0</v>
      </c>
      <c r="AO5694" s="4">
        <v>0</v>
      </c>
      <c r="AP5694" s="4">
        <v>1</v>
      </c>
      <c r="AQ5694" s="4">
        <v>1</v>
      </c>
      <c r="AR5694" s="3" t="s">
        <v>62</v>
      </c>
      <c r="AS5694" s="3" t="s">
        <v>62</v>
      </c>
      <c r="AT5694" s="3" t="s">
        <v>62</v>
      </c>
      <c r="AV5694" s="6" t="str">
        <f>HYPERLINK("http://mcgill.on.worldcat.org/oclc/14730901","Catalog Record")</f>
        <v>Catalog Record</v>
      </c>
      <c r="AW5694" s="6" t="str">
        <f>HYPERLINK("http://www.worldcat.org/oclc/14730901","WorldCat Record")</f>
        <v>WorldCat Record</v>
      </c>
      <c r="AX5694" s="3" t="s">
        <v>53889</v>
      </c>
      <c r="AY5694" s="3" t="s">
        <v>53890</v>
      </c>
      <c r="AZ5694" s="3" t="s">
        <v>53891</v>
      </c>
      <c r="BA5694" s="3" t="s">
        <v>53891</v>
      </c>
      <c r="BB5694" s="3" t="s">
        <v>53892</v>
      </c>
      <c r="BC5694" s="3" t="s">
        <v>102</v>
      </c>
      <c r="BD5694" s="3" t="s">
        <v>68</v>
      </c>
      <c r="BF5694" s="3" t="s">
        <v>53892</v>
      </c>
      <c r="BG5694" s="3" t="s">
        <v>53893</v>
      </c>
    </row>
    <row r="5695" spans="1:59" ht="101.5" x14ac:dyDescent="0.35">
      <c r="A5695" s="2" t="s">
        <v>89</v>
      </c>
      <c r="B5695" s="2" t="s">
        <v>36812</v>
      </c>
      <c r="C5695" s="2" t="s">
        <v>53894</v>
      </c>
      <c r="D5695" s="2" t="s">
        <v>53895</v>
      </c>
      <c r="E5695" s="2" t="s">
        <v>53896</v>
      </c>
      <c r="G5695" s="3" t="s">
        <v>62</v>
      </c>
      <c r="I5695" s="3" t="s">
        <v>61</v>
      </c>
      <c r="J5695" s="3" t="s">
        <v>62</v>
      </c>
      <c r="K5695" s="3" t="s">
        <v>63</v>
      </c>
      <c r="L5695" s="2" t="s">
        <v>53897</v>
      </c>
      <c r="M5695" s="2" t="s">
        <v>53898</v>
      </c>
      <c r="N5695" s="3" t="s">
        <v>1195</v>
      </c>
      <c r="P5695" s="3" t="s">
        <v>64</v>
      </c>
      <c r="R5695" s="3" t="s">
        <v>53742</v>
      </c>
      <c r="S5695" s="4">
        <v>23</v>
      </c>
      <c r="T5695" s="4">
        <v>40</v>
      </c>
      <c r="U5695" s="5" t="s">
        <v>11453</v>
      </c>
      <c r="V5695" s="5" t="s">
        <v>11453</v>
      </c>
      <c r="W5695" s="5" t="s">
        <v>67</v>
      </c>
      <c r="X5695" s="5" t="s">
        <v>67</v>
      </c>
      <c r="Y5695" s="4">
        <v>74</v>
      </c>
      <c r="Z5695" s="4">
        <v>56</v>
      </c>
      <c r="AA5695" s="4">
        <v>64</v>
      </c>
      <c r="AB5695" s="4">
        <v>4</v>
      </c>
      <c r="AC5695" s="4">
        <v>5</v>
      </c>
      <c r="AD5695" s="4">
        <v>9</v>
      </c>
      <c r="AE5695" s="4">
        <v>9</v>
      </c>
      <c r="AF5695" s="4">
        <v>2</v>
      </c>
      <c r="AG5695" s="4">
        <v>2</v>
      </c>
      <c r="AH5695" s="4">
        <v>4</v>
      </c>
      <c r="AI5695" s="4">
        <v>4</v>
      </c>
      <c r="AJ5695" s="4">
        <v>7</v>
      </c>
      <c r="AK5695" s="4">
        <v>7</v>
      </c>
      <c r="AL5695" s="4">
        <v>1</v>
      </c>
      <c r="AM5695" s="4">
        <v>1</v>
      </c>
      <c r="AN5695" s="4">
        <v>0</v>
      </c>
      <c r="AO5695" s="4">
        <v>0</v>
      </c>
      <c r="AP5695" s="4">
        <v>6</v>
      </c>
      <c r="AQ5695" s="4">
        <v>6</v>
      </c>
      <c r="AR5695" s="3" t="s">
        <v>61</v>
      </c>
      <c r="AS5695" s="3" t="s">
        <v>62</v>
      </c>
      <c r="AT5695" s="3" t="s">
        <v>62</v>
      </c>
      <c r="AV5695" s="6" t="str">
        <f>HYPERLINK("http://mcgill.on.worldcat.org/oclc/63705516","Catalog Record")</f>
        <v>Catalog Record</v>
      </c>
      <c r="AW5695" s="6" t="str">
        <f>HYPERLINK("http://www.worldcat.org/oclc/63705516","WorldCat Record")</f>
        <v>WorldCat Record</v>
      </c>
      <c r="AX5695" s="3" t="s">
        <v>53899</v>
      </c>
      <c r="AY5695" s="3" t="s">
        <v>53900</v>
      </c>
      <c r="AZ5695" s="3" t="s">
        <v>53901</v>
      </c>
      <c r="BA5695" s="3" t="s">
        <v>53901</v>
      </c>
      <c r="BB5695" s="3" t="s">
        <v>53902</v>
      </c>
      <c r="BC5695" s="3" t="s">
        <v>102</v>
      </c>
      <c r="BD5695" s="3" t="s">
        <v>68</v>
      </c>
      <c r="BE5695" s="3" t="s">
        <v>53903</v>
      </c>
      <c r="BF5695" s="3" t="s">
        <v>53902</v>
      </c>
      <c r="BG5695" s="3" t="s">
        <v>53904</v>
      </c>
    </row>
    <row r="5696" spans="1:59" ht="101.5" x14ac:dyDescent="0.35">
      <c r="A5696" s="2" t="s">
        <v>89</v>
      </c>
      <c r="B5696" s="2" t="s">
        <v>36812</v>
      </c>
      <c r="C5696" s="2" t="s">
        <v>53905</v>
      </c>
      <c r="D5696" s="2" t="s">
        <v>53906</v>
      </c>
      <c r="E5696" s="2" t="s">
        <v>53907</v>
      </c>
      <c r="G5696" s="3" t="s">
        <v>62</v>
      </c>
      <c r="I5696" s="3" t="s">
        <v>62</v>
      </c>
      <c r="J5696" s="3" t="s">
        <v>62</v>
      </c>
      <c r="K5696" s="3" t="s">
        <v>63</v>
      </c>
      <c r="L5696" s="2" t="s">
        <v>53908</v>
      </c>
      <c r="M5696" s="2" t="s">
        <v>53909</v>
      </c>
      <c r="N5696" s="3" t="s">
        <v>655</v>
      </c>
      <c r="P5696" s="3" t="s">
        <v>64</v>
      </c>
      <c r="R5696" s="3" t="s">
        <v>53742</v>
      </c>
      <c r="S5696" s="4">
        <v>4</v>
      </c>
      <c r="T5696" s="4">
        <v>4</v>
      </c>
      <c r="U5696" s="5" t="s">
        <v>22400</v>
      </c>
      <c r="V5696" s="5" t="s">
        <v>22400</v>
      </c>
      <c r="W5696" s="5" t="s">
        <v>67</v>
      </c>
      <c r="X5696" s="5" t="s">
        <v>67</v>
      </c>
      <c r="Y5696" s="4">
        <v>53</v>
      </c>
      <c r="Z5696" s="4">
        <v>1</v>
      </c>
      <c r="AA5696" s="4">
        <v>1</v>
      </c>
      <c r="AB5696" s="4">
        <v>1</v>
      </c>
      <c r="AC5696" s="4">
        <v>1</v>
      </c>
      <c r="AD5696" s="4">
        <v>0</v>
      </c>
      <c r="AE5696" s="4">
        <v>0</v>
      </c>
      <c r="AF5696" s="4">
        <v>0</v>
      </c>
      <c r="AG5696" s="4">
        <v>0</v>
      </c>
      <c r="AH5696" s="4">
        <v>0</v>
      </c>
      <c r="AI5696" s="4">
        <v>0</v>
      </c>
      <c r="AJ5696" s="4">
        <v>0</v>
      </c>
      <c r="AK5696" s="4">
        <v>0</v>
      </c>
      <c r="AL5696" s="4">
        <v>0</v>
      </c>
      <c r="AM5696" s="4">
        <v>0</v>
      </c>
      <c r="AN5696" s="4">
        <v>0</v>
      </c>
      <c r="AO5696" s="4">
        <v>0</v>
      </c>
      <c r="AP5696" s="4">
        <v>0</v>
      </c>
      <c r="AQ5696" s="4">
        <v>0</v>
      </c>
      <c r="AR5696" s="3" t="s">
        <v>62</v>
      </c>
      <c r="AS5696" s="3" t="s">
        <v>62</v>
      </c>
      <c r="AT5696" s="3" t="s">
        <v>62</v>
      </c>
      <c r="AV5696" s="6" t="str">
        <f>HYPERLINK("http://mcgill.on.worldcat.org/oclc/191751686","Catalog Record")</f>
        <v>Catalog Record</v>
      </c>
      <c r="AW5696" s="6" t="str">
        <f>HYPERLINK("http://www.worldcat.org/oclc/191751686","WorldCat Record")</f>
        <v>WorldCat Record</v>
      </c>
      <c r="AX5696" s="3" t="s">
        <v>53910</v>
      </c>
      <c r="AY5696" s="3" t="s">
        <v>53911</v>
      </c>
      <c r="AZ5696" s="3" t="s">
        <v>53912</v>
      </c>
      <c r="BA5696" s="3" t="s">
        <v>53912</v>
      </c>
      <c r="BB5696" s="3" t="s">
        <v>53913</v>
      </c>
      <c r="BC5696" s="3" t="s">
        <v>102</v>
      </c>
      <c r="BD5696" s="3" t="s">
        <v>68</v>
      </c>
      <c r="BE5696" s="3" t="s">
        <v>53914</v>
      </c>
      <c r="BF5696" s="3" t="s">
        <v>53913</v>
      </c>
      <c r="BG5696" s="3" t="s">
        <v>53915</v>
      </c>
    </row>
    <row r="5697" spans="1:59" ht="101.5" x14ac:dyDescent="0.35">
      <c r="A5697" s="2" t="s">
        <v>89</v>
      </c>
      <c r="B5697" s="2" t="s">
        <v>36812</v>
      </c>
      <c r="C5697" s="2" t="s">
        <v>53916</v>
      </c>
      <c r="D5697" s="2" t="s">
        <v>53917</v>
      </c>
      <c r="E5697" s="2" t="s">
        <v>53918</v>
      </c>
      <c r="G5697" s="3" t="s">
        <v>62</v>
      </c>
      <c r="I5697" s="3" t="s">
        <v>62</v>
      </c>
      <c r="J5697" s="3" t="s">
        <v>62</v>
      </c>
      <c r="K5697" s="3" t="s">
        <v>63</v>
      </c>
      <c r="L5697" s="2" t="s">
        <v>53919</v>
      </c>
      <c r="M5697" s="2" t="s">
        <v>53920</v>
      </c>
      <c r="N5697" s="3" t="s">
        <v>2975</v>
      </c>
      <c r="P5697" s="3" t="s">
        <v>64</v>
      </c>
      <c r="Q5697" s="2" t="s">
        <v>53921</v>
      </c>
      <c r="R5697" s="3" t="s">
        <v>53742</v>
      </c>
      <c r="S5697" s="4">
        <v>4</v>
      </c>
      <c r="T5697" s="4">
        <v>4</v>
      </c>
      <c r="U5697" s="5" t="s">
        <v>7670</v>
      </c>
      <c r="V5697" s="5" t="s">
        <v>7670</v>
      </c>
      <c r="W5697" s="5" t="s">
        <v>67</v>
      </c>
      <c r="X5697" s="5" t="s">
        <v>67</v>
      </c>
      <c r="Y5697" s="4">
        <v>145</v>
      </c>
      <c r="Z5697" s="4">
        <v>4</v>
      </c>
      <c r="AA5697" s="4">
        <v>4</v>
      </c>
      <c r="AB5697" s="4">
        <v>1</v>
      </c>
      <c r="AC5697" s="4">
        <v>1</v>
      </c>
      <c r="AD5697" s="4">
        <v>12</v>
      </c>
      <c r="AE5697" s="4">
        <v>12</v>
      </c>
      <c r="AF5697" s="4">
        <v>0</v>
      </c>
      <c r="AG5697" s="4">
        <v>0</v>
      </c>
      <c r="AH5697" s="4">
        <v>12</v>
      </c>
      <c r="AI5697" s="4">
        <v>12</v>
      </c>
      <c r="AJ5697" s="4">
        <v>0</v>
      </c>
      <c r="AK5697" s="4">
        <v>0</v>
      </c>
      <c r="AL5697" s="4">
        <v>7</v>
      </c>
      <c r="AM5697" s="4">
        <v>7</v>
      </c>
      <c r="AN5697" s="4">
        <v>0</v>
      </c>
      <c r="AO5697" s="4">
        <v>0</v>
      </c>
      <c r="AP5697" s="4">
        <v>0</v>
      </c>
      <c r="AQ5697" s="4">
        <v>0</v>
      </c>
      <c r="AR5697" s="3" t="s">
        <v>62</v>
      </c>
      <c r="AS5697" s="3" t="s">
        <v>62</v>
      </c>
      <c r="AT5697" s="3" t="s">
        <v>62</v>
      </c>
      <c r="AV5697" s="6" t="str">
        <f>HYPERLINK("http://mcgill.on.worldcat.org/oclc/46319644","Catalog Record")</f>
        <v>Catalog Record</v>
      </c>
      <c r="AW5697" s="6" t="str">
        <f>HYPERLINK("http://www.worldcat.org/oclc/46319644","WorldCat Record")</f>
        <v>WorldCat Record</v>
      </c>
      <c r="AX5697" s="3" t="s">
        <v>53922</v>
      </c>
      <c r="AY5697" s="3" t="s">
        <v>53923</v>
      </c>
      <c r="AZ5697" s="3" t="s">
        <v>53924</v>
      </c>
      <c r="BA5697" s="3" t="s">
        <v>53924</v>
      </c>
      <c r="BB5697" s="3" t="s">
        <v>53925</v>
      </c>
      <c r="BC5697" s="3" t="s">
        <v>102</v>
      </c>
      <c r="BD5697" s="3" t="s">
        <v>68</v>
      </c>
      <c r="BE5697" s="3" t="s">
        <v>53926</v>
      </c>
      <c r="BF5697" s="3" t="s">
        <v>53925</v>
      </c>
      <c r="BG5697" s="3" t="s">
        <v>53927</v>
      </c>
    </row>
    <row r="5698" spans="1:59" ht="101.5" x14ac:dyDescent="0.35">
      <c r="A5698" s="2" t="s">
        <v>89</v>
      </c>
      <c r="B5698" s="2" t="s">
        <v>36812</v>
      </c>
      <c r="C5698" s="2" t="s">
        <v>53928</v>
      </c>
      <c r="D5698" s="2" t="s">
        <v>53929</v>
      </c>
      <c r="E5698" s="2" t="s">
        <v>53930</v>
      </c>
      <c r="G5698" s="3" t="s">
        <v>62</v>
      </c>
      <c r="I5698" s="3" t="s">
        <v>62</v>
      </c>
      <c r="J5698" s="3" t="s">
        <v>62</v>
      </c>
      <c r="K5698" s="3" t="s">
        <v>63</v>
      </c>
      <c r="L5698" s="2" t="s">
        <v>53931</v>
      </c>
      <c r="M5698" s="2" t="s">
        <v>53932</v>
      </c>
      <c r="N5698" s="3" t="s">
        <v>655</v>
      </c>
      <c r="O5698" s="2" t="s">
        <v>2163</v>
      </c>
      <c r="P5698" s="3" t="s">
        <v>64</v>
      </c>
      <c r="Q5698" s="2" t="s">
        <v>53933</v>
      </c>
      <c r="R5698" s="3" t="s">
        <v>53742</v>
      </c>
      <c r="S5698" s="4">
        <v>1</v>
      </c>
      <c r="T5698" s="4">
        <v>1</v>
      </c>
      <c r="U5698" s="5" t="s">
        <v>4909</v>
      </c>
      <c r="V5698" s="5" t="s">
        <v>4909</v>
      </c>
      <c r="W5698" s="5" t="s">
        <v>67</v>
      </c>
      <c r="X5698" s="5" t="s">
        <v>67</v>
      </c>
      <c r="Y5698" s="4">
        <v>225</v>
      </c>
      <c r="Z5698" s="4">
        <v>5</v>
      </c>
      <c r="AA5698" s="4">
        <v>61</v>
      </c>
      <c r="AB5698" s="4">
        <v>1</v>
      </c>
      <c r="AC5698" s="4">
        <v>6</v>
      </c>
      <c r="AD5698" s="4">
        <v>17</v>
      </c>
      <c r="AE5698" s="4">
        <v>54</v>
      </c>
      <c r="AF5698" s="4">
        <v>0</v>
      </c>
      <c r="AG5698" s="4">
        <v>0</v>
      </c>
      <c r="AH5698" s="4">
        <v>14</v>
      </c>
      <c r="AI5698" s="4">
        <v>40</v>
      </c>
      <c r="AJ5698" s="4">
        <v>2</v>
      </c>
      <c r="AK5698" s="4">
        <v>6</v>
      </c>
      <c r="AL5698" s="4">
        <v>6</v>
      </c>
      <c r="AM5698" s="4">
        <v>19</v>
      </c>
      <c r="AN5698" s="4">
        <v>0</v>
      </c>
      <c r="AO5698" s="4">
        <v>0</v>
      </c>
      <c r="AP5698" s="4">
        <v>4</v>
      </c>
      <c r="AQ5698" s="4">
        <v>17</v>
      </c>
      <c r="AR5698" s="3" t="s">
        <v>62</v>
      </c>
      <c r="AS5698" s="3" t="s">
        <v>62</v>
      </c>
      <c r="AT5698" s="3" t="s">
        <v>62</v>
      </c>
      <c r="AV5698" s="6" t="str">
        <f>HYPERLINK("http://mcgill.on.worldcat.org/oclc/69732899","Catalog Record")</f>
        <v>Catalog Record</v>
      </c>
      <c r="AW5698" s="6" t="str">
        <f>HYPERLINK("http://www.worldcat.org/oclc/69732899","WorldCat Record")</f>
        <v>WorldCat Record</v>
      </c>
      <c r="AX5698" s="3" t="s">
        <v>53934</v>
      </c>
      <c r="AY5698" s="3" t="s">
        <v>53935</v>
      </c>
      <c r="AZ5698" s="3" t="s">
        <v>53936</v>
      </c>
      <c r="BA5698" s="3" t="s">
        <v>53936</v>
      </c>
      <c r="BB5698" s="3" t="s">
        <v>53937</v>
      </c>
      <c r="BC5698" s="3" t="s">
        <v>102</v>
      </c>
      <c r="BD5698" s="3" t="s">
        <v>68</v>
      </c>
      <c r="BE5698" s="3" t="s">
        <v>53938</v>
      </c>
      <c r="BF5698" s="3" t="s">
        <v>53937</v>
      </c>
      <c r="BG5698" s="3" t="s">
        <v>53939</v>
      </c>
    </row>
    <row r="5699" spans="1:59" ht="101.5" x14ac:dyDescent="0.35">
      <c r="A5699" s="2" t="s">
        <v>89</v>
      </c>
      <c r="B5699" s="2" t="s">
        <v>36812</v>
      </c>
      <c r="C5699" s="2" t="s">
        <v>53940</v>
      </c>
      <c r="D5699" s="2" t="s">
        <v>53941</v>
      </c>
      <c r="E5699" s="2" t="s">
        <v>53942</v>
      </c>
      <c r="G5699" s="3" t="s">
        <v>62</v>
      </c>
      <c r="I5699" s="3" t="s">
        <v>62</v>
      </c>
      <c r="J5699" s="3" t="s">
        <v>62</v>
      </c>
      <c r="K5699" s="3" t="s">
        <v>63</v>
      </c>
      <c r="M5699" s="2" t="s">
        <v>53943</v>
      </c>
      <c r="N5699" s="3" t="s">
        <v>640</v>
      </c>
      <c r="P5699" s="3" t="s">
        <v>64</v>
      </c>
      <c r="R5699" s="3" t="s">
        <v>53742</v>
      </c>
      <c r="S5699" s="4">
        <v>4</v>
      </c>
      <c r="T5699" s="4">
        <v>4</v>
      </c>
      <c r="U5699" s="5" t="s">
        <v>53944</v>
      </c>
      <c r="V5699" s="5" t="s">
        <v>53944</v>
      </c>
      <c r="W5699" s="5" t="s">
        <v>67</v>
      </c>
      <c r="X5699" s="5" t="s">
        <v>67</v>
      </c>
      <c r="Y5699" s="4">
        <v>202</v>
      </c>
      <c r="Z5699" s="4">
        <v>30</v>
      </c>
      <c r="AA5699" s="4">
        <v>31</v>
      </c>
      <c r="AB5699" s="4">
        <v>2</v>
      </c>
      <c r="AC5699" s="4">
        <v>3</v>
      </c>
      <c r="AD5699" s="4">
        <v>23</v>
      </c>
      <c r="AE5699" s="4">
        <v>23</v>
      </c>
      <c r="AF5699" s="4">
        <v>0</v>
      </c>
      <c r="AG5699" s="4">
        <v>0</v>
      </c>
      <c r="AH5699" s="4">
        <v>21</v>
      </c>
      <c r="AI5699" s="4">
        <v>21</v>
      </c>
      <c r="AJ5699" s="4">
        <v>5</v>
      </c>
      <c r="AK5699" s="4">
        <v>5</v>
      </c>
      <c r="AL5699" s="4">
        <v>10</v>
      </c>
      <c r="AM5699" s="4">
        <v>10</v>
      </c>
      <c r="AN5699" s="4">
        <v>0</v>
      </c>
      <c r="AO5699" s="4">
        <v>0</v>
      </c>
      <c r="AP5699" s="4">
        <v>7</v>
      </c>
      <c r="AQ5699" s="4">
        <v>7</v>
      </c>
      <c r="AR5699" s="3" t="s">
        <v>62</v>
      </c>
      <c r="AS5699" s="3" t="s">
        <v>62</v>
      </c>
      <c r="AT5699" s="3" t="s">
        <v>62</v>
      </c>
      <c r="AV5699" s="6" t="str">
        <f>HYPERLINK("http://mcgill.on.worldcat.org/oclc/54398413","Catalog Record")</f>
        <v>Catalog Record</v>
      </c>
      <c r="AW5699" s="6" t="str">
        <f>HYPERLINK("http://www.worldcat.org/oclc/54398413","WorldCat Record")</f>
        <v>WorldCat Record</v>
      </c>
      <c r="AX5699" s="3" t="s">
        <v>53945</v>
      </c>
      <c r="AY5699" s="3" t="s">
        <v>53946</v>
      </c>
      <c r="AZ5699" s="3" t="s">
        <v>53947</v>
      </c>
      <c r="BA5699" s="3" t="s">
        <v>53947</v>
      </c>
      <c r="BB5699" s="3" t="s">
        <v>53948</v>
      </c>
      <c r="BC5699" s="3" t="s">
        <v>102</v>
      </c>
      <c r="BD5699" s="3" t="s">
        <v>68</v>
      </c>
      <c r="BE5699" s="3" t="s">
        <v>53949</v>
      </c>
      <c r="BF5699" s="3" t="s">
        <v>53948</v>
      </c>
      <c r="BG5699" s="3" t="s">
        <v>53950</v>
      </c>
    </row>
    <row r="5700" spans="1:59" ht="101.5" x14ac:dyDescent="0.35">
      <c r="A5700" s="2" t="s">
        <v>89</v>
      </c>
      <c r="B5700" s="2" t="s">
        <v>36812</v>
      </c>
      <c r="C5700" s="2" t="s">
        <v>53951</v>
      </c>
      <c r="D5700" s="2" t="s">
        <v>53952</v>
      </c>
      <c r="E5700" s="2" t="s">
        <v>53953</v>
      </c>
      <c r="G5700" s="3" t="s">
        <v>62</v>
      </c>
      <c r="I5700" s="3" t="s">
        <v>62</v>
      </c>
      <c r="J5700" s="3" t="s">
        <v>62</v>
      </c>
      <c r="K5700" s="3" t="s">
        <v>63</v>
      </c>
      <c r="L5700" s="2" t="s">
        <v>53954</v>
      </c>
      <c r="M5700" s="2" t="s">
        <v>53955</v>
      </c>
      <c r="N5700" s="3" t="s">
        <v>684</v>
      </c>
      <c r="P5700" s="3" t="s">
        <v>64</v>
      </c>
      <c r="R5700" s="3" t="s">
        <v>53742</v>
      </c>
      <c r="S5700" s="4">
        <v>2</v>
      </c>
      <c r="T5700" s="4">
        <v>2</v>
      </c>
      <c r="U5700" s="5" t="s">
        <v>53944</v>
      </c>
      <c r="V5700" s="5" t="s">
        <v>53944</v>
      </c>
      <c r="W5700" s="5" t="s">
        <v>67</v>
      </c>
      <c r="X5700" s="5" t="s">
        <v>67</v>
      </c>
      <c r="Y5700" s="4">
        <v>217</v>
      </c>
      <c r="Z5700" s="4">
        <v>15</v>
      </c>
      <c r="AA5700" s="4">
        <v>31</v>
      </c>
      <c r="AB5700" s="4">
        <v>3</v>
      </c>
      <c r="AC5700" s="4">
        <v>6</v>
      </c>
      <c r="AD5700" s="4">
        <v>9</v>
      </c>
      <c r="AE5700" s="4">
        <v>37</v>
      </c>
      <c r="AF5700" s="4">
        <v>0</v>
      </c>
      <c r="AG5700" s="4">
        <v>0</v>
      </c>
      <c r="AH5700" s="4">
        <v>8</v>
      </c>
      <c r="AI5700" s="4">
        <v>32</v>
      </c>
      <c r="AJ5700" s="4">
        <v>3</v>
      </c>
      <c r="AK5700" s="4">
        <v>4</v>
      </c>
      <c r="AL5700" s="4">
        <v>2</v>
      </c>
      <c r="AM5700" s="4">
        <v>16</v>
      </c>
      <c r="AN5700" s="4">
        <v>0</v>
      </c>
      <c r="AO5700" s="4">
        <v>0</v>
      </c>
      <c r="AP5700" s="4">
        <v>3</v>
      </c>
      <c r="AQ5700" s="4">
        <v>6</v>
      </c>
      <c r="AR5700" s="3" t="s">
        <v>62</v>
      </c>
      <c r="AS5700" s="3" t="s">
        <v>62</v>
      </c>
      <c r="AT5700" s="3" t="s">
        <v>62</v>
      </c>
      <c r="AV5700" s="6" t="str">
        <f>HYPERLINK("http://mcgill.on.worldcat.org/oclc/681499902","Catalog Record")</f>
        <v>Catalog Record</v>
      </c>
      <c r="AW5700" s="6" t="str">
        <f>HYPERLINK("http://www.worldcat.org/oclc/681499902","WorldCat Record")</f>
        <v>WorldCat Record</v>
      </c>
      <c r="AX5700" s="3" t="s">
        <v>53956</v>
      </c>
      <c r="AY5700" s="3" t="s">
        <v>53957</v>
      </c>
      <c r="AZ5700" s="3" t="s">
        <v>53958</v>
      </c>
      <c r="BA5700" s="3" t="s">
        <v>53958</v>
      </c>
      <c r="BB5700" s="3" t="s">
        <v>53959</v>
      </c>
      <c r="BC5700" s="3" t="s">
        <v>102</v>
      </c>
      <c r="BD5700" s="3" t="s">
        <v>68</v>
      </c>
      <c r="BE5700" s="3" t="s">
        <v>53960</v>
      </c>
      <c r="BF5700" s="3" t="s">
        <v>53959</v>
      </c>
      <c r="BG5700" s="3" t="s">
        <v>53961</v>
      </c>
    </row>
    <row r="5701" spans="1:59" ht="101.5" x14ac:dyDescent="0.35">
      <c r="A5701" s="2" t="s">
        <v>89</v>
      </c>
      <c r="B5701" s="2" t="s">
        <v>36812</v>
      </c>
      <c r="C5701" s="2" t="s">
        <v>53962</v>
      </c>
      <c r="D5701" s="2" t="s">
        <v>53963</v>
      </c>
      <c r="E5701" s="2" t="s">
        <v>53964</v>
      </c>
      <c r="G5701" s="3" t="s">
        <v>62</v>
      </c>
      <c r="I5701" s="3" t="s">
        <v>62</v>
      </c>
      <c r="J5701" s="3" t="s">
        <v>62</v>
      </c>
      <c r="K5701" s="3" t="s">
        <v>63</v>
      </c>
      <c r="L5701" s="2" t="s">
        <v>53965</v>
      </c>
      <c r="M5701" s="2" t="s">
        <v>53966</v>
      </c>
      <c r="N5701" s="3" t="s">
        <v>1455</v>
      </c>
      <c r="P5701" s="3" t="s">
        <v>64</v>
      </c>
      <c r="R5701" s="3" t="s">
        <v>53742</v>
      </c>
      <c r="S5701" s="4">
        <v>0</v>
      </c>
      <c r="T5701" s="4">
        <v>0</v>
      </c>
      <c r="W5701" s="5" t="s">
        <v>67</v>
      </c>
      <c r="X5701" s="5" t="s">
        <v>67</v>
      </c>
      <c r="Y5701" s="4">
        <v>195</v>
      </c>
      <c r="Z5701" s="4">
        <v>6</v>
      </c>
      <c r="AA5701" s="4">
        <v>10</v>
      </c>
      <c r="AB5701" s="4">
        <v>1</v>
      </c>
      <c r="AC5701" s="4">
        <v>3</v>
      </c>
      <c r="AD5701" s="4">
        <v>4</v>
      </c>
      <c r="AE5701" s="4">
        <v>14</v>
      </c>
      <c r="AF5701" s="4">
        <v>0</v>
      </c>
      <c r="AG5701" s="4">
        <v>0</v>
      </c>
      <c r="AH5701" s="4">
        <v>4</v>
      </c>
      <c r="AI5701" s="4">
        <v>13</v>
      </c>
      <c r="AJ5701" s="4">
        <v>1</v>
      </c>
      <c r="AK5701" s="4">
        <v>1</v>
      </c>
      <c r="AL5701" s="4">
        <v>0</v>
      </c>
      <c r="AM5701" s="4">
        <v>6</v>
      </c>
      <c r="AN5701" s="4">
        <v>0</v>
      </c>
      <c r="AO5701" s="4">
        <v>0</v>
      </c>
      <c r="AP5701" s="4">
        <v>1</v>
      </c>
      <c r="AQ5701" s="4">
        <v>1</v>
      </c>
      <c r="AR5701" s="3" t="s">
        <v>62</v>
      </c>
      <c r="AS5701" s="3" t="s">
        <v>62</v>
      </c>
      <c r="AT5701" s="3" t="s">
        <v>62</v>
      </c>
      <c r="AV5701" s="6" t="str">
        <f>HYPERLINK("http://mcgill.on.worldcat.org/oclc/887605828","Catalog Record")</f>
        <v>Catalog Record</v>
      </c>
      <c r="AW5701" s="6" t="str">
        <f>HYPERLINK("http://www.worldcat.org/oclc/887605828","WorldCat Record")</f>
        <v>WorldCat Record</v>
      </c>
      <c r="AX5701" s="3" t="s">
        <v>53967</v>
      </c>
      <c r="AY5701" s="3" t="s">
        <v>53968</v>
      </c>
      <c r="AZ5701" s="3" t="s">
        <v>53969</v>
      </c>
      <c r="BA5701" s="3" t="s">
        <v>53969</v>
      </c>
      <c r="BB5701" s="3" t="s">
        <v>53970</v>
      </c>
      <c r="BC5701" s="3" t="s">
        <v>102</v>
      </c>
      <c r="BD5701" s="3" t="s">
        <v>68</v>
      </c>
      <c r="BE5701" s="3" t="s">
        <v>53971</v>
      </c>
      <c r="BF5701" s="3" t="s">
        <v>53970</v>
      </c>
      <c r="BG5701" s="3" t="s">
        <v>53972</v>
      </c>
    </row>
    <row r="5702" spans="1:59" ht="101.5" x14ac:dyDescent="0.35">
      <c r="A5702" s="2" t="s">
        <v>89</v>
      </c>
      <c r="B5702" s="2" t="s">
        <v>36812</v>
      </c>
      <c r="C5702" s="2" t="s">
        <v>53973</v>
      </c>
      <c r="D5702" s="2" t="s">
        <v>53974</v>
      </c>
      <c r="E5702" s="2" t="s">
        <v>53975</v>
      </c>
      <c r="G5702" s="3" t="s">
        <v>62</v>
      </c>
      <c r="I5702" s="3" t="s">
        <v>61</v>
      </c>
      <c r="J5702" s="3" t="s">
        <v>62</v>
      </c>
      <c r="K5702" s="3" t="s">
        <v>63</v>
      </c>
      <c r="L5702" s="2" t="s">
        <v>53976</v>
      </c>
      <c r="M5702" s="2" t="s">
        <v>53977</v>
      </c>
      <c r="N5702" s="3" t="s">
        <v>129</v>
      </c>
      <c r="P5702" s="3" t="s">
        <v>85</v>
      </c>
      <c r="R5702" s="3" t="s">
        <v>53742</v>
      </c>
      <c r="S5702" s="4">
        <v>0</v>
      </c>
      <c r="T5702" s="4">
        <v>0</v>
      </c>
      <c r="W5702" s="5" t="s">
        <v>67</v>
      </c>
      <c r="X5702" s="5" t="s">
        <v>67</v>
      </c>
      <c r="Y5702" s="4">
        <v>7</v>
      </c>
      <c r="Z5702" s="4">
        <v>5</v>
      </c>
      <c r="AA5702" s="4">
        <v>41</v>
      </c>
      <c r="AB5702" s="4">
        <v>1</v>
      </c>
      <c r="AC5702" s="4">
        <v>14</v>
      </c>
      <c r="AD5702" s="4">
        <v>1</v>
      </c>
      <c r="AE5702" s="4">
        <v>18</v>
      </c>
      <c r="AF5702" s="4">
        <v>0</v>
      </c>
      <c r="AG5702" s="4">
        <v>4</v>
      </c>
      <c r="AH5702" s="4">
        <v>1</v>
      </c>
      <c r="AI5702" s="4">
        <v>4</v>
      </c>
      <c r="AJ5702" s="4">
        <v>1</v>
      </c>
      <c r="AK5702" s="4">
        <v>9</v>
      </c>
      <c r="AL5702" s="4">
        <v>1</v>
      </c>
      <c r="AM5702" s="4">
        <v>1</v>
      </c>
      <c r="AN5702" s="4">
        <v>0</v>
      </c>
      <c r="AO5702" s="4">
        <v>0</v>
      </c>
      <c r="AP5702" s="4">
        <v>1</v>
      </c>
      <c r="AQ5702" s="4">
        <v>17</v>
      </c>
      <c r="AR5702" s="3" t="s">
        <v>61</v>
      </c>
      <c r="AS5702" s="3" t="s">
        <v>62</v>
      </c>
      <c r="AT5702" s="3" t="s">
        <v>62</v>
      </c>
      <c r="AV5702" s="6" t="str">
        <f>HYPERLINK("http://mcgill.on.worldcat.org/oclc/839661160","Catalog Record")</f>
        <v>Catalog Record</v>
      </c>
      <c r="AW5702" s="6" t="str">
        <f>HYPERLINK("http://www.worldcat.org/oclc/839661160","WorldCat Record")</f>
        <v>WorldCat Record</v>
      </c>
      <c r="AX5702" s="3" t="s">
        <v>53978</v>
      </c>
      <c r="AY5702" s="3" t="s">
        <v>53979</v>
      </c>
      <c r="AZ5702" s="3" t="s">
        <v>53980</v>
      </c>
      <c r="BA5702" s="3" t="s">
        <v>53980</v>
      </c>
      <c r="BB5702" s="3" t="s">
        <v>53981</v>
      </c>
      <c r="BC5702" s="3" t="s">
        <v>102</v>
      </c>
      <c r="BD5702" s="3" t="s">
        <v>68</v>
      </c>
      <c r="BE5702" s="3" t="s">
        <v>53982</v>
      </c>
      <c r="BF5702" s="3" t="s">
        <v>53981</v>
      </c>
      <c r="BG5702" s="3" t="s">
        <v>53983</v>
      </c>
    </row>
    <row r="5703" spans="1:59" ht="101.5" x14ac:dyDescent="0.35">
      <c r="A5703" s="2" t="s">
        <v>89</v>
      </c>
      <c r="B5703" s="2" t="s">
        <v>36812</v>
      </c>
      <c r="C5703" s="2" t="s">
        <v>53984</v>
      </c>
      <c r="D5703" s="2" t="s">
        <v>53985</v>
      </c>
      <c r="E5703" s="2" t="s">
        <v>53986</v>
      </c>
      <c r="G5703" s="3" t="s">
        <v>62</v>
      </c>
      <c r="I5703" s="3" t="s">
        <v>62</v>
      </c>
      <c r="J5703" s="3" t="s">
        <v>62</v>
      </c>
      <c r="K5703" s="3" t="s">
        <v>63</v>
      </c>
      <c r="L5703" s="2" t="s">
        <v>53987</v>
      </c>
      <c r="M5703" s="2" t="s">
        <v>53988</v>
      </c>
      <c r="N5703" s="3" t="s">
        <v>568</v>
      </c>
      <c r="P5703" s="3" t="s">
        <v>64</v>
      </c>
      <c r="R5703" s="3" t="s">
        <v>53742</v>
      </c>
      <c r="S5703" s="4">
        <v>3</v>
      </c>
      <c r="T5703" s="4">
        <v>3</v>
      </c>
      <c r="U5703" s="5" t="s">
        <v>29305</v>
      </c>
      <c r="V5703" s="5" t="s">
        <v>29305</v>
      </c>
      <c r="W5703" s="5" t="s">
        <v>67</v>
      </c>
      <c r="X5703" s="5" t="s">
        <v>67</v>
      </c>
      <c r="Y5703" s="4">
        <v>72</v>
      </c>
      <c r="Z5703" s="4">
        <v>5</v>
      </c>
      <c r="AA5703" s="4">
        <v>5</v>
      </c>
      <c r="AB5703" s="4">
        <v>2</v>
      </c>
      <c r="AC5703" s="4">
        <v>2</v>
      </c>
      <c r="AD5703" s="4">
        <v>6</v>
      </c>
      <c r="AE5703" s="4">
        <v>6</v>
      </c>
      <c r="AF5703" s="4">
        <v>0</v>
      </c>
      <c r="AG5703" s="4">
        <v>0</v>
      </c>
      <c r="AH5703" s="4">
        <v>6</v>
      </c>
      <c r="AI5703" s="4">
        <v>6</v>
      </c>
      <c r="AJ5703" s="4">
        <v>0</v>
      </c>
      <c r="AK5703" s="4">
        <v>0</v>
      </c>
      <c r="AL5703" s="4">
        <v>3</v>
      </c>
      <c r="AM5703" s="4">
        <v>3</v>
      </c>
      <c r="AN5703" s="4">
        <v>0</v>
      </c>
      <c r="AO5703" s="4">
        <v>0</v>
      </c>
      <c r="AP5703" s="4">
        <v>0</v>
      </c>
      <c r="AQ5703" s="4">
        <v>0</v>
      </c>
      <c r="AR5703" s="3" t="s">
        <v>62</v>
      </c>
      <c r="AS5703" s="3" t="s">
        <v>62</v>
      </c>
      <c r="AT5703" s="3" t="s">
        <v>62</v>
      </c>
      <c r="AV5703" s="6" t="str">
        <f>HYPERLINK("http://mcgill.on.worldcat.org/oclc/43936828","Catalog Record")</f>
        <v>Catalog Record</v>
      </c>
      <c r="AW5703" s="6" t="str">
        <f>HYPERLINK("http://www.worldcat.org/oclc/43936828","WorldCat Record")</f>
        <v>WorldCat Record</v>
      </c>
      <c r="AX5703" s="3" t="s">
        <v>53989</v>
      </c>
      <c r="AY5703" s="3" t="s">
        <v>53990</v>
      </c>
      <c r="AZ5703" s="3" t="s">
        <v>53991</v>
      </c>
      <c r="BA5703" s="3" t="s">
        <v>53991</v>
      </c>
      <c r="BB5703" s="3" t="s">
        <v>53992</v>
      </c>
      <c r="BC5703" s="3" t="s">
        <v>102</v>
      </c>
      <c r="BD5703" s="3" t="s">
        <v>68</v>
      </c>
      <c r="BE5703" s="3" t="s">
        <v>53993</v>
      </c>
      <c r="BF5703" s="3" t="s">
        <v>53992</v>
      </c>
      <c r="BG5703" s="3" t="s">
        <v>53994</v>
      </c>
    </row>
    <row r="5704" spans="1:59" ht="101.5" x14ac:dyDescent="0.35">
      <c r="A5704" s="2" t="s">
        <v>89</v>
      </c>
      <c r="B5704" s="2" t="s">
        <v>36812</v>
      </c>
      <c r="C5704" s="2" t="s">
        <v>53995</v>
      </c>
      <c r="D5704" s="2" t="s">
        <v>53996</v>
      </c>
      <c r="E5704" s="2" t="s">
        <v>53997</v>
      </c>
      <c r="G5704" s="3" t="s">
        <v>62</v>
      </c>
      <c r="I5704" s="3" t="s">
        <v>62</v>
      </c>
      <c r="J5704" s="3" t="s">
        <v>62</v>
      </c>
      <c r="K5704" s="3" t="s">
        <v>63</v>
      </c>
      <c r="L5704" s="2" t="s">
        <v>53998</v>
      </c>
      <c r="M5704" s="2" t="s">
        <v>53999</v>
      </c>
      <c r="N5704" s="3" t="s">
        <v>625</v>
      </c>
      <c r="P5704" s="3" t="s">
        <v>64</v>
      </c>
      <c r="R5704" s="3" t="s">
        <v>53742</v>
      </c>
      <c r="S5704" s="4">
        <v>1</v>
      </c>
      <c r="T5704" s="4">
        <v>1</v>
      </c>
      <c r="U5704" s="5" t="s">
        <v>54000</v>
      </c>
      <c r="V5704" s="5" t="s">
        <v>54000</v>
      </c>
      <c r="W5704" s="5" t="s">
        <v>67</v>
      </c>
      <c r="X5704" s="5" t="s">
        <v>67</v>
      </c>
      <c r="Y5704" s="4">
        <v>11</v>
      </c>
      <c r="Z5704" s="4">
        <v>1</v>
      </c>
      <c r="AA5704" s="4">
        <v>1</v>
      </c>
      <c r="AB5704" s="4">
        <v>1</v>
      </c>
      <c r="AC5704" s="4">
        <v>1</v>
      </c>
      <c r="AD5704" s="4">
        <v>0</v>
      </c>
      <c r="AE5704" s="4">
        <v>0</v>
      </c>
      <c r="AF5704" s="4">
        <v>0</v>
      </c>
      <c r="AG5704" s="4">
        <v>0</v>
      </c>
      <c r="AH5704" s="4">
        <v>0</v>
      </c>
      <c r="AI5704" s="4">
        <v>0</v>
      </c>
      <c r="AJ5704" s="4">
        <v>0</v>
      </c>
      <c r="AK5704" s="4">
        <v>0</v>
      </c>
      <c r="AL5704" s="4">
        <v>0</v>
      </c>
      <c r="AM5704" s="4">
        <v>0</v>
      </c>
      <c r="AN5704" s="4">
        <v>0</v>
      </c>
      <c r="AO5704" s="4">
        <v>0</v>
      </c>
      <c r="AP5704" s="4">
        <v>0</v>
      </c>
      <c r="AQ5704" s="4">
        <v>0</v>
      </c>
      <c r="AR5704" s="3" t="s">
        <v>62</v>
      </c>
      <c r="AS5704" s="3" t="s">
        <v>62</v>
      </c>
      <c r="AT5704" s="3" t="s">
        <v>62</v>
      </c>
      <c r="AV5704" s="6" t="str">
        <f>HYPERLINK("http://mcgill.on.worldcat.org/oclc/52807803","Catalog Record")</f>
        <v>Catalog Record</v>
      </c>
      <c r="AW5704" s="6" t="str">
        <f>HYPERLINK("http://www.worldcat.org/oclc/52807803","WorldCat Record")</f>
        <v>WorldCat Record</v>
      </c>
      <c r="AX5704" s="3" t="s">
        <v>54001</v>
      </c>
      <c r="AY5704" s="3" t="s">
        <v>54002</v>
      </c>
      <c r="AZ5704" s="3" t="s">
        <v>54003</v>
      </c>
      <c r="BA5704" s="3" t="s">
        <v>54003</v>
      </c>
      <c r="BB5704" s="3" t="s">
        <v>54004</v>
      </c>
      <c r="BC5704" s="3" t="s">
        <v>102</v>
      </c>
      <c r="BD5704" s="3" t="s">
        <v>68</v>
      </c>
      <c r="BE5704" s="3" t="s">
        <v>54005</v>
      </c>
      <c r="BF5704" s="3" t="s">
        <v>54004</v>
      </c>
      <c r="BG5704" s="3" t="s">
        <v>54006</v>
      </c>
    </row>
    <row r="5705" spans="1:59" ht="101.5" x14ac:dyDescent="0.35">
      <c r="A5705" s="2" t="s">
        <v>89</v>
      </c>
      <c r="B5705" s="2" t="s">
        <v>36812</v>
      </c>
      <c r="C5705" s="2" t="s">
        <v>54007</v>
      </c>
      <c r="D5705" s="2" t="s">
        <v>54008</v>
      </c>
      <c r="E5705" s="2" t="s">
        <v>54009</v>
      </c>
      <c r="G5705" s="3" t="s">
        <v>62</v>
      </c>
      <c r="I5705" s="3" t="s">
        <v>62</v>
      </c>
      <c r="J5705" s="3" t="s">
        <v>62</v>
      </c>
      <c r="K5705" s="3" t="s">
        <v>63</v>
      </c>
      <c r="L5705" s="2" t="s">
        <v>54010</v>
      </c>
      <c r="M5705" s="2" t="s">
        <v>54011</v>
      </c>
      <c r="N5705" s="3" t="s">
        <v>1722</v>
      </c>
      <c r="O5705" s="2" t="s">
        <v>54012</v>
      </c>
      <c r="P5705" s="3" t="s">
        <v>64</v>
      </c>
      <c r="R5705" s="3" t="s">
        <v>53742</v>
      </c>
      <c r="S5705" s="4">
        <v>4</v>
      </c>
      <c r="T5705" s="4">
        <v>4</v>
      </c>
      <c r="U5705" s="5" t="s">
        <v>13757</v>
      </c>
      <c r="V5705" s="5" t="s">
        <v>13757</v>
      </c>
      <c r="W5705" s="5" t="s">
        <v>67</v>
      </c>
      <c r="X5705" s="5" t="s">
        <v>67</v>
      </c>
      <c r="Y5705" s="4">
        <v>463</v>
      </c>
      <c r="Z5705" s="4">
        <v>25</v>
      </c>
      <c r="AA5705" s="4">
        <v>78</v>
      </c>
      <c r="AB5705" s="4">
        <v>5</v>
      </c>
      <c r="AC5705" s="4">
        <v>11</v>
      </c>
      <c r="AD5705" s="4">
        <v>13</v>
      </c>
      <c r="AE5705" s="4">
        <v>69</v>
      </c>
      <c r="AF5705" s="4">
        <v>0</v>
      </c>
      <c r="AG5705" s="4">
        <v>3</v>
      </c>
      <c r="AH5705" s="4">
        <v>12</v>
      </c>
      <c r="AI5705" s="4">
        <v>57</v>
      </c>
      <c r="AJ5705" s="4">
        <v>1</v>
      </c>
      <c r="AK5705" s="4">
        <v>16</v>
      </c>
      <c r="AL5705" s="4">
        <v>5</v>
      </c>
      <c r="AM5705" s="4">
        <v>30</v>
      </c>
      <c r="AN5705" s="4">
        <v>0</v>
      </c>
      <c r="AO5705" s="4">
        <v>0</v>
      </c>
      <c r="AP5705" s="4">
        <v>1</v>
      </c>
      <c r="AQ5705" s="4">
        <v>15</v>
      </c>
      <c r="AR5705" s="3" t="s">
        <v>62</v>
      </c>
      <c r="AS5705" s="3" t="s">
        <v>62</v>
      </c>
      <c r="AT5705" s="3" t="s">
        <v>62</v>
      </c>
      <c r="AV5705" s="6" t="str">
        <f>HYPERLINK("http://mcgill.on.worldcat.org/oclc/134991818","Catalog Record")</f>
        <v>Catalog Record</v>
      </c>
      <c r="AW5705" s="6" t="str">
        <f>HYPERLINK("http://www.worldcat.org/oclc/134991818","WorldCat Record")</f>
        <v>WorldCat Record</v>
      </c>
      <c r="AX5705" s="3" t="s">
        <v>54013</v>
      </c>
      <c r="AY5705" s="3" t="s">
        <v>54014</v>
      </c>
      <c r="AZ5705" s="3" t="s">
        <v>54015</v>
      </c>
      <c r="BA5705" s="3" t="s">
        <v>54015</v>
      </c>
      <c r="BB5705" s="3" t="s">
        <v>54016</v>
      </c>
      <c r="BC5705" s="3" t="s">
        <v>102</v>
      </c>
      <c r="BD5705" s="3" t="s">
        <v>68</v>
      </c>
      <c r="BE5705" s="3" t="s">
        <v>54017</v>
      </c>
      <c r="BF5705" s="3" t="s">
        <v>54016</v>
      </c>
      <c r="BG5705" s="3" t="s">
        <v>54018</v>
      </c>
    </row>
    <row r="5706" spans="1:59" ht="101.5" x14ac:dyDescent="0.35">
      <c r="A5706" s="2" t="s">
        <v>89</v>
      </c>
      <c r="B5706" s="2" t="s">
        <v>36812</v>
      </c>
      <c r="C5706" s="2" t="s">
        <v>54019</v>
      </c>
      <c r="D5706" s="2" t="s">
        <v>54020</v>
      </c>
      <c r="E5706" s="2" t="s">
        <v>54021</v>
      </c>
      <c r="G5706" s="3" t="s">
        <v>62</v>
      </c>
      <c r="I5706" s="3" t="s">
        <v>62</v>
      </c>
      <c r="J5706" s="3" t="s">
        <v>62</v>
      </c>
      <c r="K5706" s="3" t="s">
        <v>63</v>
      </c>
      <c r="L5706" s="2" t="s">
        <v>54022</v>
      </c>
      <c r="M5706" s="2" t="s">
        <v>54023</v>
      </c>
      <c r="N5706" s="3" t="s">
        <v>1455</v>
      </c>
      <c r="P5706" s="3" t="s">
        <v>64</v>
      </c>
      <c r="R5706" s="3" t="s">
        <v>53742</v>
      </c>
      <c r="S5706" s="4">
        <v>0</v>
      </c>
      <c r="T5706" s="4">
        <v>0</v>
      </c>
      <c r="W5706" s="5" t="s">
        <v>67</v>
      </c>
      <c r="X5706" s="5" t="s">
        <v>67</v>
      </c>
      <c r="Y5706" s="4">
        <v>389</v>
      </c>
      <c r="Z5706" s="4">
        <v>13</v>
      </c>
      <c r="AA5706" s="4">
        <v>14</v>
      </c>
      <c r="AB5706" s="4">
        <v>1</v>
      </c>
      <c r="AC5706" s="4">
        <v>2</v>
      </c>
      <c r="AD5706" s="4">
        <v>4</v>
      </c>
      <c r="AE5706" s="4">
        <v>4</v>
      </c>
      <c r="AF5706" s="4">
        <v>0</v>
      </c>
      <c r="AG5706" s="4">
        <v>0</v>
      </c>
      <c r="AH5706" s="4">
        <v>4</v>
      </c>
      <c r="AI5706" s="4">
        <v>4</v>
      </c>
      <c r="AJ5706" s="4">
        <v>0</v>
      </c>
      <c r="AK5706" s="4">
        <v>0</v>
      </c>
      <c r="AL5706" s="4">
        <v>1</v>
      </c>
      <c r="AM5706" s="4">
        <v>1</v>
      </c>
      <c r="AN5706" s="4">
        <v>0</v>
      </c>
      <c r="AO5706" s="4">
        <v>0</v>
      </c>
      <c r="AP5706" s="4">
        <v>0</v>
      </c>
      <c r="AQ5706" s="4">
        <v>0</v>
      </c>
      <c r="AR5706" s="3" t="s">
        <v>62</v>
      </c>
      <c r="AS5706" s="3" t="s">
        <v>62</v>
      </c>
      <c r="AT5706" s="3" t="s">
        <v>62</v>
      </c>
      <c r="AV5706" s="6" t="str">
        <f>HYPERLINK("http://mcgill.on.worldcat.org/oclc/889164479","Catalog Record")</f>
        <v>Catalog Record</v>
      </c>
      <c r="AW5706" s="6" t="str">
        <f>HYPERLINK("http://www.worldcat.org/oclc/889164479","WorldCat Record")</f>
        <v>WorldCat Record</v>
      </c>
      <c r="AX5706" s="3" t="s">
        <v>54024</v>
      </c>
      <c r="AY5706" s="3" t="s">
        <v>54025</v>
      </c>
      <c r="AZ5706" s="3" t="s">
        <v>54026</v>
      </c>
      <c r="BA5706" s="3" t="s">
        <v>54026</v>
      </c>
      <c r="BB5706" s="3" t="s">
        <v>54027</v>
      </c>
      <c r="BC5706" s="3" t="s">
        <v>102</v>
      </c>
      <c r="BD5706" s="3" t="s">
        <v>68</v>
      </c>
      <c r="BE5706" s="3" t="s">
        <v>54028</v>
      </c>
      <c r="BF5706" s="3" t="s">
        <v>54027</v>
      </c>
      <c r="BG5706" s="3" t="s">
        <v>54029</v>
      </c>
    </row>
    <row r="5707" spans="1:59" ht="101.5" x14ac:dyDescent="0.35">
      <c r="A5707" s="2" t="s">
        <v>89</v>
      </c>
      <c r="B5707" s="2" t="s">
        <v>36812</v>
      </c>
      <c r="C5707" s="2" t="s">
        <v>54030</v>
      </c>
      <c r="D5707" s="2" t="s">
        <v>54031</v>
      </c>
      <c r="E5707" s="2" t="s">
        <v>54032</v>
      </c>
      <c r="G5707" s="3" t="s">
        <v>62</v>
      </c>
      <c r="I5707" s="3" t="s">
        <v>62</v>
      </c>
      <c r="J5707" s="3" t="s">
        <v>62</v>
      </c>
      <c r="K5707" s="3" t="s">
        <v>63</v>
      </c>
      <c r="L5707" s="2" t="s">
        <v>54033</v>
      </c>
      <c r="M5707" s="2" t="s">
        <v>54034</v>
      </c>
      <c r="N5707" s="3" t="s">
        <v>1455</v>
      </c>
      <c r="P5707" s="3" t="s">
        <v>64</v>
      </c>
      <c r="R5707" s="3" t="s">
        <v>53742</v>
      </c>
      <c r="S5707" s="4">
        <v>0</v>
      </c>
      <c r="T5707" s="4">
        <v>0</v>
      </c>
      <c r="W5707" s="5" t="s">
        <v>67</v>
      </c>
      <c r="X5707" s="5" t="s">
        <v>67</v>
      </c>
      <c r="Y5707" s="4">
        <v>155</v>
      </c>
      <c r="Z5707" s="4">
        <v>21</v>
      </c>
      <c r="AA5707" s="4">
        <v>33</v>
      </c>
      <c r="AB5707" s="4">
        <v>3</v>
      </c>
      <c r="AC5707" s="4">
        <v>6</v>
      </c>
      <c r="AD5707" s="4">
        <v>10</v>
      </c>
      <c r="AE5707" s="4">
        <v>15</v>
      </c>
      <c r="AF5707" s="4">
        <v>0</v>
      </c>
      <c r="AG5707" s="4">
        <v>0</v>
      </c>
      <c r="AH5707" s="4">
        <v>8</v>
      </c>
      <c r="AI5707" s="4">
        <v>9</v>
      </c>
      <c r="AJ5707" s="4">
        <v>4</v>
      </c>
      <c r="AK5707" s="4">
        <v>5</v>
      </c>
      <c r="AL5707" s="4">
        <v>3</v>
      </c>
      <c r="AM5707" s="4">
        <v>3</v>
      </c>
      <c r="AN5707" s="4">
        <v>0</v>
      </c>
      <c r="AO5707" s="4">
        <v>0</v>
      </c>
      <c r="AP5707" s="4">
        <v>4</v>
      </c>
      <c r="AQ5707" s="4">
        <v>9</v>
      </c>
      <c r="AR5707" s="3" t="s">
        <v>61</v>
      </c>
      <c r="AS5707" s="3" t="s">
        <v>62</v>
      </c>
      <c r="AT5707" s="3" t="s">
        <v>62</v>
      </c>
      <c r="AV5707" s="6" t="str">
        <f>HYPERLINK("http://mcgill.on.worldcat.org/oclc/909085293","Catalog Record")</f>
        <v>Catalog Record</v>
      </c>
      <c r="AW5707" s="6" t="str">
        <f>HYPERLINK("http://www.worldcat.org/oclc/909085293","WorldCat Record")</f>
        <v>WorldCat Record</v>
      </c>
      <c r="AX5707" s="3" t="s">
        <v>54035</v>
      </c>
      <c r="AY5707" s="3" t="s">
        <v>54036</v>
      </c>
      <c r="AZ5707" s="3" t="s">
        <v>54037</v>
      </c>
      <c r="BA5707" s="3" t="s">
        <v>54037</v>
      </c>
      <c r="BB5707" s="3" t="s">
        <v>54038</v>
      </c>
      <c r="BC5707" s="3" t="s">
        <v>102</v>
      </c>
      <c r="BD5707" s="3" t="s">
        <v>68</v>
      </c>
      <c r="BE5707" s="3" t="s">
        <v>54039</v>
      </c>
      <c r="BF5707" s="3" t="s">
        <v>54038</v>
      </c>
      <c r="BG5707" s="3" t="s">
        <v>54040</v>
      </c>
    </row>
    <row r="5708" spans="1:59" ht="101.5" x14ac:dyDescent="0.35">
      <c r="A5708" s="2" t="s">
        <v>89</v>
      </c>
      <c r="B5708" s="2" t="s">
        <v>36812</v>
      </c>
      <c r="C5708" s="2" t="s">
        <v>54041</v>
      </c>
      <c r="D5708" s="2" t="s">
        <v>54042</v>
      </c>
      <c r="E5708" s="2" t="s">
        <v>54043</v>
      </c>
      <c r="G5708" s="3" t="s">
        <v>62</v>
      </c>
      <c r="I5708" s="3" t="s">
        <v>62</v>
      </c>
      <c r="J5708" s="3" t="s">
        <v>62</v>
      </c>
      <c r="K5708" s="3" t="s">
        <v>63</v>
      </c>
      <c r="L5708" s="2" t="s">
        <v>54044</v>
      </c>
      <c r="M5708" s="2" t="s">
        <v>54045</v>
      </c>
      <c r="N5708" s="3" t="s">
        <v>2985</v>
      </c>
      <c r="P5708" s="3" t="s">
        <v>64</v>
      </c>
      <c r="R5708" s="3" t="s">
        <v>53742</v>
      </c>
      <c r="S5708" s="4">
        <v>3</v>
      </c>
      <c r="T5708" s="4">
        <v>3</v>
      </c>
      <c r="U5708" s="5" t="s">
        <v>53944</v>
      </c>
      <c r="V5708" s="5" t="s">
        <v>53944</v>
      </c>
      <c r="W5708" s="5" t="s">
        <v>67</v>
      </c>
      <c r="X5708" s="5" t="s">
        <v>67</v>
      </c>
      <c r="Y5708" s="4">
        <v>370</v>
      </c>
      <c r="Z5708" s="4">
        <v>15</v>
      </c>
      <c r="AA5708" s="4">
        <v>20</v>
      </c>
      <c r="AB5708" s="4">
        <v>2</v>
      </c>
      <c r="AC5708" s="4">
        <v>5</v>
      </c>
      <c r="AD5708" s="4">
        <v>10</v>
      </c>
      <c r="AE5708" s="4">
        <v>13</v>
      </c>
      <c r="AF5708" s="4">
        <v>0</v>
      </c>
      <c r="AG5708" s="4">
        <v>1</v>
      </c>
      <c r="AH5708" s="4">
        <v>10</v>
      </c>
      <c r="AI5708" s="4">
        <v>11</v>
      </c>
      <c r="AJ5708" s="4">
        <v>1</v>
      </c>
      <c r="AK5708" s="4">
        <v>1</v>
      </c>
      <c r="AL5708" s="4">
        <v>4</v>
      </c>
      <c r="AM5708" s="4">
        <v>4</v>
      </c>
      <c r="AN5708" s="4">
        <v>0</v>
      </c>
      <c r="AO5708" s="4">
        <v>0</v>
      </c>
      <c r="AP5708" s="4">
        <v>1</v>
      </c>
      <c r="AQ5708" s="4">
        <v>3</v>
      </c>
      <c r="AR5708" s="3" t="s">
        <v>62</v>
      </c>
      <c r="AS5708" s="3" t="s">
        <v>62</v>
      </c>
      <c r="AT5708" s="3" t="s">
        <v>62</v>
      </c>
      <c r="AV5708" s="6" t="str">
        <f>HYPERLINK("http://mcgill.on.worldcat.org/oclc/244060882","Catalog Record")</f>
        <v>Catalog Record</v>
      </c>
      <c r="AW5708" s="6" t="str">
        <f>HYPERLINK("http://www.worldcat.org/oclc/244060882","WorldCat Record")</f>
        <v>WorldCat Record</v>
      </c>
      <c r="AX5708" s="3" t="s">
        <v>54046</v>
      </c>
      <c r="AY5708" s="3" t="s">
        <v>54047</v>
      </c>
      <c r="AZ5708" s="3" t="s">
        <v>54048</v>
      </c>
      <c r="BA5708" s="3" t="s">
        <v>54048</v>
      </c>
      <c r="BB5708" s="3" t="s">
        <v>54049</v>
      </c>
      <c r="BC5708" s="3" t="s">
        <v>102</v>
      </c>
      <c r="BD5708" s="3" t="s">
        <v>68</v>
      </c>
      <c r="BE5708" s="3" t="s">
        <v>54050</v>
      </c>
      <c r="BF5708" s="3" t="s">
        <v>54049</v>
      </c>
      <c r="BG5708" s="3" t="s">
        <v>54051</v>
      </c>
    </row>
    <row r="5709" spans="1:59" ht="101.5" x14ac:dyDescent="0.35">
      <c r="A5709" s="2" t="s">
        <v>89</v>
      </c>
      <c r="B5709" s="2" t="s">
        <v>36812</v>
      </c>
      <c r="C5709" s="2" t="s">
        <v>54052</v>
      </c>
      <c r="D5709" s="2" t="s">
        <v>54053</v>
      </c>
      <c r="E5709" s="2" t="s">
        <v>54054</v>
      </c>
      <c r="G5709" s="3" t="s">
        <v>62</v>
      </c>
      <c r="I5709" s="3" t="s">
        <v>61</v>
      </c>
      <c r="J5709" s="3" t="s">
        <v>61</v>
      </c>
      <c r="K5709" s="3" t="s">
        <v>63</v>
      </c>
      <c r="L5709" s="2" t="s">
        <v>54055</v>
      </c>
      <c r="M5709" s="2" t="s">
        <v>54056</v>
      </c>
      <c r="N5709" s="3" t="s">
        <v>1482</v>
      </c>
      <c r="O5709" s="2" t="s">
        <v>1941</v>
      </c>
      <c r="P5709" s="3" t="s">
        <v>64</v>
      </c>
      <c r="R5709" s="3" t="s">
        <v>53742</v>
      </c>
      <c r="S5709" s="4">
        <v>33</v>
      </c>
      <c r="T5709" s="4">
        <v>36</v>
      </c>
      <c r="U5709" s="5" t="s">
        <v>54057</v>
      </c>
      <c r="V5709" s="5" t="s">
        <v>7472</v>
      </c>
      <c r="W5709" s="5" t="s">
        <v>67</v>
      </c>
      <c r="X5709" s="5" t="s">
        <v>67</v>
      </c>
      <c r="Y5709" s="4">
        <v>1986</v>
      </c>
      <c r="Z5709" s="4">
        <v>33</v>
      </c>
      <c r="AA5709" s="4">
        <v>76</v>
      </c>
      <c r="AB5709" s="4">
        <v>2</v>
      </c>
      <c r="AC5709" s="4">
        <v>7</v>
      </c>
      <c r="AD5709" s="4">
        <v>90</v>
      </c>
      <c r="AE5709" s="4">
        <v>118</v>
      </c>
      <c r="AF5709" s="4">
        <v>0</v>
      </c>
      <c r="AG5709" s="4">
        <v>2</v>
      </c>
      <c r="AH5709" s="4">
        <v>82</v>
      </c>
      <c r="AI5709" s="4">
        <v>100</v>
      </c>
      <c r="AJ5709" s="4">
        <v>6</v>
      </c>
      <c r="AK5709" s="4">
        <v>15</v>
      </c>
      <c r="AL5709" s="4">
        <v>47</v>
      </c>
      <c r="AM5709" s="4">
        <v>56</v>
      </c>
      <c r="AN5709" s="4">
        <v>0</v>
      </c>
      <c r="AO5709" s="4">
        <v>0</v>
      </c>
      <c r="AP5709" s="4">
        <v>9</v>
      </c>
      <c r="AQ5709" s="4">
        <v>22</v>
      </c>
      <c r="AR5709" s="3" t="s">
        <v>62</v>
      </c>
      <c r="AS5709" s="3" t="s">
        <v>62</v>
      </c>
      <c r="AT5709" s="3" t="s">
        <v>62</v>
      </c>
      <c r="AV5709" s="6" t="str">
        <f>HYPERLINK("http://mcgill.on.worldcat.org/oclc/12724795","Catalog Record")</f>
        <v>Catalog Record</v>
      </c>
      <c r="AW5709" s="6" t="str">
        <f>HYPERLINK("http://www.worldcat.org/oclc/12724795","WorldCat Record")</f>
        <v>WorldCat Record</v>
      </c>
      <c r="AX5709" s="3" t="s">
        <v>54058</v>
      </c>
      <c r="AY5709" s="3" t="s">
        <v>54059</v>
      </c>
      <c r="AZ5709" s="3" t="s">
        <v>54060</v>
      </c>
      <c r="BA5709" s="3" t="s">
        <v>54060</v>
      </c>
      <c r="BB5709" s="3" t="s">
        <v>54061</v>
      </c>
      <c r="BC5709" s="3" t="s">
        <v>102</v>
      </c>
      <c r="BD5709" s="3" t="s">
        <v>68</v>
      </c>
      <c r="BE5709" s="3" t="s">
        <v>54062</v>
      </c>
      <c r="BF5709" s="3" t="s">
        <v>54061</v>
      </c>
      <c r="BG5709" s="3" t="s">
        <v>54063</v>
      </c>
    </row>
    <row r="5710" spans="1:59" ht="101.5" x14ac:dyDescent="0.35">
      <c r="A5710" s="2" t="s">
        <v>89</v>
      </c>
      <c r="B5710" s="2" t="s">
        <v>36812</v>
      </c>
      <c r="C5710" s="2" t="s">
        <v>54064</v>
      </c>
      <c r="D5710" s="2" t="s">
        <v>54065</v>
      </c>
      <c r="E5710" s="2" t="s">
        <v>54066</v>
      </c>
      <c r="G5710" s="3" t="s">
        <v>62</v>
      </c>
      <c r="I5710" s="3" t="s">
        <v>62</v>
      </c>
      <c r="J5710" s="3" t="s">
        <v>62</v>
      </c>
      <c r="K5710" s="3" t="s">
        <v>63</v>
      </c>
      <c r="L5710" s="2" t="s">
        <v>54067</v>
      </c>
      <c r="M5710" s="2" t="s">
        <v>54068</v>
      </c>
      <c r="N5710" s="3" t="s">
        <v>285</v>
      </c>
      <c r="P5710" s="3" t="s">
        <v>64</v>
      </c>
      <c r="R5710" s="3" t="s">
        <v>53742</v>
      </c>
      <c r="S5710" s="4">
        <v>23</v>
      </c>
      <c r="T5710" s="4">
        <v>23</v>
      </c>
      <c r="U5710" s="5" t="s">
        <v>1526</v>
      </c>
      <c r="V5710" s="5" t="s">
        <v>1526</v>
      </c>
      <c r="W5710" s="5" t="s">
        <v>67</v>
      </c>
      <c r="X5710" s="5" t="s">
        <v>67</v>
      </c>
      <c r="Y5710" s="4">
        <v>54</v>
      </c>
      <c r="Z5710" s="4">
        <v>3</v>
      </c>
      <c r="AA5710" s="4">
        <v>36</v>
      </c>
      <c r="AB5710" s="4">
        <v>2</v>
      </c>
      <c r="AC5710" s="4">
        <v>9</v>
      </c>
      <c r="AD5710" s="4">
        <v>3</v>
      </c>
      <c r="AE5710" s="4">
        <v>91</v>
      </c>
      <c r="AF5710" s="4">
        <v>0</v>
      </c>
      <c r="AG5710" s="4">
        <v>3</v>
      </c>
      <c r="AH5710" s="4">
        <v>3</v>
      </c>
      <c r="AI5710" s="4">
        <v>79</v>
      </c>
      <c r="AJ5710" s="4">
        <v>0</v>
      </c>
      <c r="AK5710" s="4">
        <v>12</v>
      </c>
      <c r="AL5710" s="4">
        <v>3</v>
      </c>
      <c r="AM5710" s="4">
        <v>41</v>
      </c>
      <c r="AN5710" s="4">
        <v>0</v>
      </c>
      <c r="AO5710" s="4">
        <v>0</v>
      </c>
      <c r="AP5710" s="4">
        <v>0</v>
      </c>
      <c r="AQ5710" s="4">
        <v>17</v>
      </c>
      <c r="AR5710" s="3" t="s">
        <v>61</v>
      </c>
      <c r="AS5710" s="3" t="s">
        <v>62</v>
      </c>
      <c r="AT5710" s="3" t="s">
        <v>62</v>
      </c>
      <c r="AV5710" s="6" t="str">
        <f>HYPERLINK("http://mcgill.on.worldcat.org/oclc/13556884","Catalog Record")</f>
        <v>Catalog Record</v>
      </c>
      <c r="AW5710" s="6" t="str">
        <f>HYPERLINK("http://www.worldcat.org/oclc/13556884","WorldCat Record")</f>
        <v>WorldCat Record</v>
      </c>
      <c r="AX5710" s="3" t="s">
        <v>54069</v>
      </c>
      <c r="AY5710" s="3" t="s">
        <v>54070</v>
      </c>
      <c r="AZ5710" s="3" t="s">
        <v>54071</v>
      </c>
      <c r="BA5710" s="3" t="s">
        <v>54071</v>
      </c>
      <c r="BB5710" s="3" t="s">
        <v>54072</v>
      </c>
      <c r="BC5710" s="3" t="s">
        <v>102</v>
      </c>
      <c r="BD5710" s="3" t="s">
        <v>68</v>
      </c>
      <c r="BE5710" s="3" t="s">
        <v>54073</v>
      </c>
      <c r="BF5710" s="3" t="s">
        <v>54072</v>
      </c>
      <c r="BG5710" s="3" t="s">
        <v>54074</v>
      </c>
    </row>
    <row r="5711" spans="1:59" ht="72.5" x14ac:dyDescent="0.35">
      <c r="A5711" s="2" t="s">
        <v>59</v>
      </c>
      <c r="B5711" s="2" t="s">
        <v>60</v>
      </c>
      <c r="C5711" s="2" t="s">
        <v>54075</v>
      </c>
      <c r="D5711" s="2" t="s">
        <v>54076</v>
      </c>
      <c r="E5711" s="2" t="s">
        <v>54077</v>
      </c>
      <c r="G5711" s="3" t="s">
        <v>62</v>
      </c>
      <c r="I5711" s="3" t="s">
        <v>62</v>
      </c>
      <c r="J5711" s="3" t="s">
        <v>62</v>
      </c>
      <c r="K5711" s="3" t="s">
        <v>63</v>
      </c>
      <c r="L5711" s="2" t="s">
        <v>54078</v>
      </c>
      <c r="M5711" s="2" t="s">
        <v>54079</v>
      </c>
      <c r="N5711" s="3" t="s">
        <v>1639</v>
      </c>
      <c r="O5711" s="2" t="s">
        <v>54080</v>
      </c>
      <c r="P5711" s="3" t="s">
        <v>64</v>
      </c>
      <c r="R5711" s="3" t="s">
        <v>53742</v>
      </c>
      <c r="S5711" s="4">
        <v>3</v>
      </c>
      <c r="T5711" s="4">
        <v>3</v>
      </c>
      <c r="U5711" s="5" t="s">
        <v>7432</v>
      </c>
      <c r="V5711" s="5" t="s">
        <v>7432</v>
      </c>
      <c r="W5711" s="5" t="s">
        <v>67</v>
      </c>
      <c r="X5711" s="5" t="s">
        <v>67</v>
      </c>
      <c r="Y5711" s="4">
        <v>230</v>
      </c>
      <c r="Z5711" s="4">
        <v>14</v>
      </c>
      <c r="AA5711" s="4">
        <v>20</v>
      </c>
      <c r="AB5711" s="4">
        <v>2</v>
      </c>
      <c r="AC5711" s="4">
        <v>3</v>
      </c>
      <c r="AD5711" s="4">
        <v>83</v>
      </c>
      <c r="AE5711" s="4">
        <v>103</v>
      </c>
      <c r="AF5711" s="4">
        <v>0</v>
      </c>
      <c r="AG5711" s="4">
        <v>1</v>
      </c>
      <c r="AH5711" s="4">
        <v>74</v>
      </c>
      <c r="AI5711" s="4">
        <v>91</v>
      </c>
      <c r="AJ5711" s="4">
        <v>11</v>
      </c>
      <c r="AK5711" s="4">
        <v>16</v>
      </c>
      <c r="AL5711" s="4">
        <v>40</v>
      </c>
      <c r="AM5711" s="4">
        <v>49</v>
      </c>
      <c r="AN5711" s="4">
        <v>0</v>
      </c>
      <c r="AO5711" s="4">
        <v>0</v>
      </c>
      <c r="AP5711" s="4">
        <v>10</v>
      </c>
      <c r="AQ5711" s="4">
        <v>16</v>
      </c>
      <c r="AR5711" s="3" t="s">
        <v>62</v>
      </c>
      <c r="AS5711" s="3" t="s">
        <v>62</v>
      </c>
      <c r="AT5711" s="3" t="s">
        <v>61</v>
      </c>
      <c r="AU5711" s="6" t="str">
        <f>HYPERLINK("http://catalog.hathitrust.org/Record/001562545","HathiTrust Record")</f>
        <v>HathiTrust Record</v>
      </c>
      <c r="AV5711" s="6" t="str">
        <f>HYPERLINK("http://mcgill.on.worldcat.org/oclc/118030","Catalog Record")</f>
        <v>Catalog Record</v>
      </c>
      <c r="AW5711" s="6" t="str">
        <f>HYPERLINK("http://www.worldcat.org/oclc/118030","WorldCat Record")</f>
        <v>WorldCat Record</v>
      </c>
      <c r="AX5711" s="3" t="s">
        <v>54081</v>
      </c>
      <c r="AY5711" s="3" t="s">
        <v>54082</v>
      </c>
      <c r="AZ5711" s="3" t="s">
        <v>54083</v>
      </c>
      <c r="BA5711" s="3" t="s">
        <v>54083</v>
      </c>
      <c r="BB5711" s="3" t="s">
        <v>54084</v>
      </c>
      <c r="BC5711" s="3" t="s">
        <v>102</v>
      </c>
      <c r="BD5711" s="3" t="s">
        <v>68</v>
      </c>
      <c r="BE5711" s="3" t="s">
        <v>54085</v>
      </c>
      <c r="BF5711" s="3" t="s">
        <v>54084</v>
      </c>
      <c r="BG5711" s="3" t="s">
        <v>54086</v>
      </c>
    </row>
    <row r="5712" spans="1:59" ht="87" x14ac:dyDescent="0.35">
      <c r="A5712" s="2" t="s">
        <v>89</v>
      </c>
      <c r="B5712" s="2" t="s">
        <v>17477</v>
      </c>
      <c r="C5712" s="2" t="s">
        <v>54087</v>
      </c>
      <c r="D5712" s="2" t="s">
        <v>54088</v>
      </c>
      <c r="E5712" s="2" t="s">
        <v>54089</v>
      </c>
      <c r="G5712" s="3" t="s">
        <v>62</v>
      </c>
      <c r="H5712" s="3" t="s">
        <v>7988</v>
      </c>
      <c r="I5712" s="3" t="s">
        <v>61</v>
      </c>
      <c r="J5712" s="3" t="s">
        <v>61</v>
      </c>
      <c r="K5712" s="3" t="s">
        <v>63</v>
      </c>
      <c r="L5712" s="2" t="s">
        <v>54090</v>
      </c>
      <c r="M5712" s="2" t="s">
        <v>54091</v>
      </c>
      <c r="N5712" s="3" t="s">
        <v>712</v>
      </c>
      <c r="O5712" s="2" t="s">
        <v>8443</v>
      </c>
      <c r="P5712" s="3" t="s">
        <v>64</v>
      </c>
      <c r="R5712" s="3" t="s">
        <v>53742</v>
      </c>
      <c r="S5712" s="4">
        <v>0</v>
      </c>
      <c r="T5712" s="4">
        <v>33</v>
      </c>
      <c r="V5712" s="5" t="s">
        <v>80</v>
      </c>
      <c r="W5712" s="5" t="s">
        <v>20032</v>
      </c>
      <c r="X5712" s="5" t="s">
        <v>20032</v>
      </c>
      <c r="Y5712" s="4">
        <v>315</v>
      </c>
      <c r="Z5712" s="4">
        <v>17</v>
      </c>
      <c r="AA5712" s="4">
        <v>58</v>
      </c>
      <c r="AB5712" s="4">
        <v>3</v>
      </c>
      <c r="AC5712" s="4">
        <v>11</v>
      </c>
      <c r="AD5712" s="4">
        <v>65</v>
      </c>
      <c r="AE5712" s="4">
        <v>134</v>
      </c>
      <c r="AF5712" s="4">
        <v>1</v>
      </c>
      <c r="AG5712" s="4">
        <v>5</v>
      </c>
      <c r="AH5712" s="4">
        <v>56</v>
      </c>
      <c r="AI5712" s="4">
        <v>101</v>
      </c>
      <c r="AJ5712" s="4">
        <v>5</v>
      </c>
      <c r="AK5712" s="4">
        <v>28</v>
      </c>
      <c r="AL5712" s="4">
        <v>34</v>
      </c>
      <c r="AM5712" s="4">
        <v>56</v>
      </c>
      <c r="AN5712" s="4">
        <v>0</v>
      </c>
      <c r="AO5712" s="4">
        <v>0</v>
      </c>
      <c r="AP5712" s="4">
        <v>10</v>
      </c>
      <c r="AQ5712" s="4">
        <v>38</v>
      </c>
      <c r="AR5712" s="3" t="s">
        <v>62</v>
      </c>
      <c r="AS5712" s="3" t="s">
        <v>62</v>
      </c>
      <c r="AT5712" s="3" t="s">
        <v>62</v>
      </c>
      <c r="AV5712" s="6" t="str">
        <f>HYPERLINK("http://mcgill.on.worldcat.org/oclc/841051175","Catalog Record")</f>
        <v>Catalog Record</v>
      </c>
      <c r="AW5712" s="6" t="str">
        <f>HYPERLINK("http://www.worldcat.org/oclc/841051175","WorldCat Record")</f>
        <v>WorldCat Record</v>
      </c>
      <c r="AX5712" s="3" t="s">
        <v>54092</v>
      </c>
      <c r="AY5712" s="3" t="s">
        <v>54093</v>
      </c>
      <c r="AZ5712" s="3" t="s">
        <v>54094</v>
      </c>
      <c r="BA5712" s="3" t="s">
        <v>54094</v>
      </c>
      <c r="BB5712" s="3" t="s">
        <v>54095</v>
      </c>
      <c r="BC5712" s="3" t="s">
        <v>102</v>
      </c>
      <c r="BD5712" s="3" t="s">
        <v>68</v>
      </c>
      <c r="BE5712" s="3" t="s">
        <v>54096</v>
      </c>
      <c r="BF5712" s="3" t="s">
        <v>54095</v>
      </c>
      <c r="BG5712" s="3" t="s">
        <v>54097</v>
      </c>
    </row>
    <row r="5713" spans="1:59" ht="87" x14ac:dyDescent="0.35">
      <c r="A5713" s="2" t="s">
        <v>89</v>
      </c>
      <c r="B5713" s="2" t="s">
        <v>17477</v>
      </c>
      <c r="C5713" s="2" t="s">
        <v>54087</v>
      </c>
      <c r="D5713" s="2" t="s">
        <v>54088</v>
      </c>
      <c r="E5713" s="2" t="s">
        <v>54089</v>
      </c>
      <c r="G5713" s="3" t="s">
        <v>62</v>
      </c>
      <c r="H5713" s="3" t="s">
        <v>916</v>
      </c>
      <c r="I5713" s="3" t="s">
        <v>61</v>
      </c>
      <c r="J5713" s="3" t="s">
        <v>61</v>
      </c>
      <c r="K5713" s="3" t="s">
        <v>63</v>
      </c>
      <c r="L5713" s="2" t="s">
        <v>54090</v>
      </c>
      <c r="M5713" s="2" t="s">
        <v>54091</v>
      </c>
      <c r="N5713" s="3" t="s">
        <v>712</v>
      </c>
      <c r="O5713" s="2" t="s">
        <v>8443</v>
      </c>
      <c r="P5713" s="3" t="s">
        <v>64</v>
      </c>
      <c r="R5713" s="3" t="s">
        <v>53742</v>
      </c>
      <c r="S5713" s="4">
        <v>0</v>
      </c>
      <c r="T5713" s="4">
        <v>33</v>
      </c>
      <c r="V5713" s="5" t="s">
        <v>80</v>
      </c>
      <c r="W5713" s="5" t="s">
        <v>20032</v>
      </c>
      <c r="X5713" s="5" t="s">
        <v>20032</v>
      </c>
      <c r="Y5713" s="4">
        <v>315</v>
      </c>
      <c r="Z5713" s="4">
        <v>17</v>
      </c>
      <c r="AA5713" s="4">
        <v>58</v>
      </c>
      <c r="AB5713" s="4">
        <v>3</v>
      </c>
      <c r="AC5713" s="4">
        <v>11</v>
      </c>
      <c r="AD5713" s="4">
        <v>65</v>
      </c>
      <c r="AE5713" s="4">
        <v>134</v>
      </c>
      <c r="AF5713" s="4">
        <v>1</v>
      </c>
      <c r="AG5713" s="4">
        <v>5</v>
      </c>
      <c r="AH5713" s="4">
        <v>56</v>
      </c>
      <c r="AI5713" s="4">
        <v>101</v>
      </c>
      <c r="AJ5713" s="4">
        <v>5</v>
      </c>
      <c r="AK5713" s="4">
        <v>28</v>
      </c>
      <c r="AL5713" s="4">
        <v>34</v>
      </c>
      <c r="AM5713" s="4">
        <v>56</v>
      </c>
      <c r="AN5713" s="4">
        <v>0</v>
      </c>
      <c r="AO5713" s="4">
        <v>0</v>
      </c>
      <c r="AP5713" s="4">
        <v>10</v>
      </c>
      <c r="AQ5713" s="4">
        <v>38</v>
      </c>
      <c r="AR5713" s="3" t="s">
        <v>62</v>
      </c>
      <c r="AS5713" s="3" t="s">
        <v>62</v>
      </c>
      <c r="AT5713" s="3" t="s">
        <v>62</v>
      </c>
      <c r="AV5713" s="6" t="str">
        <f>HYPERLINK("http://mcgill.on.worldcat.org/oclc/841051175","Catalog Record")</f>
        <v>Catalog Record</v>
      </c>
      <c r="AW5713" s="6" t="str">
        <f>HYPERLINK("http://www.worldcat.org/oclc/841051175","WorldCat Record")</f>
        <v>WorldCat Record</v>
      </c>
      <c r="AX5713" s="3" t="s">
        <v>54092</v>
      </c>
      <c r="AY5713" s="3" t="s">
        <v>54093</v>
      </c>
      <c r="AZ5713" s="3" t="s">
        <v>54094</v>
      </c>
      <c r="BA5713" s="3" t="s">
        <v>54094</v>
      </c>
      <c r="BB5713" s="3" t="s">
        <v>54098</v>
      </c>
      <c r="BC5713" s="3" t="s">
        <v>102</v>
      </c>
      <c r="BD5713" s="3" t="s">
        <v>1135</v>
      </c>
      <c r="BE5713" s="3" t="s">
        <v>54096</v>
      </c>
      <c r="BF5713" s="3" t="s">
        <v>54098</v>
      </c>
      <c r="BG5713" s="3" t="s">
        <v>54099</v>
      </c>
    </row>
    <row r="5714" spans="1:59" ht="101.5" x14ac:dyDescent="0.35">
      <c r="A5714" s="2" t="s">
        <v>89</v>
      </c>
      <c r="B5714" s="2" t="s">
        <v>36812</v>
      </c>
      <c r="C5714" s="2" t="s">
        <v>54100</v>
      </c>
      <c r="D5714" s="2" t="s">
        <v>54101</v>
      </c>
      <c r="E5714" s="2" t="s">
        <v>54102</v>
      </c>
      <c r="G5714" s="3" t="s">
        <v>62</v>
      </c>
      <c r="I5714" s="3" t="s">
        <v>62</v>
      </c>
      <c r="J5714" s="3" t="s">
        <v>62</v>
      </c>
      <c r="K5714" s="3" t="s">
        <v>63</v>
      </c>
      <c r="M5714" s="2" t="s">
        <v>54103</v>
      </c>
      <c r="N5714" s="3" t="s">
        <v>2985</v>
      </c>
      <c r="P5714" s="3" t="s">
        <v>64</v>
      </c>
      <c r="R5714" s="3" t="s">
        <v>53742</v>
      </c>
      <c r="S5714" s="4">
        <v>3</v>
      </c>
      <c r="T5714" s="4">
        <v>3</v>
      </c>
      <c r="U5714" s="5" t="s">
        <v>4909</v>
      </c>
      <c r="V5714" s="5" t="s">
        <v>4909</v>
      </c>
      <c r="W5714" s="5" t="s">
        <v>67</v>
      </c>
      <c r="X5714" s="5" t="s">
        <v>67</v>
      </c>
      <c r="Y5714" s="4">
        <v>148</v>
      </c>
      <c r="Z5714" s="4">
        <v>8</v>
      </c>
      <c r="AA5714" s="4">
        <v>21</v>
      </c>
      <c r="AB5714" s="4">
        <v>2</v>
      </c>
      <c r="AC5714" s="4">
        <v>11</v>
      </c>
      <c r="AD5714" s="4">
        <v>22</v>
      </c>
      <c r="AE5714" s="4">
        <v>49</v>
      </c>
      <c r="AF5714" s="4">
        <v>0</v>
      </c>
      <c r="AG5714" s="4">
        <v>5</v>
      </c>
      <c r="AH5714" s="4">
        <v>21</v>
      </c>
      <c r="AI5714" s="4">
        <v>42</v>
      </c>
      <c r="AJ5714" s="4">
        <v>3</v>
      </c>
      <c r="AK5714" s="4">
        <v>9</v>
      </c>
      <c r="AL5714" s="4">
        <v>8</v>
      </c>
      <c r="AM5714" s="4">
        <v>22</v>
      </c>
      <c r="AN5714" s="4">
        <v>0</v>
      </c>
      <c r="AO5714" s="4">
        <v>0</v>
      </c>
      <c r="AP5714" s="4">
        <v>4</v>
      </c>
      <c r="AQ5714" s="4">
        <v>11</v>
      </c>
      <c r="AR5714" s="3" t="s">
        <v>62</v>
      </c>
      <c r="AS5714" s="3" t="s">
        <v>62</v>
      </c>
      <c r="AT5714" s="3" t="s">
        <v>62</v>
      </c>
      <c r="AV5714" s="6" t="str">
        <f>HYPERLINK("http://mcgill.on.worldcat.org/oclc/191010116","Catalog Record")</f>
        <v>Catalog Record</v>
      </c>
      <c r="AW5714" s="6" t="str">
        <f>HYPERLINK("http://www.worldcat.org/oclc/191010116","WorldCat Record")</f>
        <v>WorldCat Record</v>
      </c>
      <c r="AX5714" s="3" t="s">
        <v>54104</v>
      </c>
      <c r="AY5714" s="3" t="s">
        <v>54105</v>
      </c>
      <c r="AZ5714" s="3" t="s">
        <v>54106</v>
      </c>
      <c r="BA5714" s="3" t="s">
        <v>54106</v>
      </c>
      <c r="BB5714" s="3" t="s">
        <v>54107</v>
      </c>
      <c r="BC5714" s="3" t="s">
        <v>102</v>
      </c>
      <c r="BD5714" s="3" t="s">
        <v>68</v>
      </c>
      <c r="BE5714" s="3" t="s">
        <v>54108</v>
      </c>
      <c r="BF5714" s="3" t="s">
        <v>54107</v>
      </c>
      <c r="BG5714" s="3" t="s">
        <v>54109</v>
      </c>
    </row>
    <row r="5715" spans="1:59" ht="101.5" x14ac:dyDescent="0.35">
      <c r="A5715" s="2" t="s">
        <v>89</v>
      </c>
      <c r="B5715" s="2" t="s">
        <v>36812</v>
      </c>
      <c r="C5715" s="2" t="s">
        <v>54110</v>
      </c>
      <c r="D5715" s="2" t="s">
        <v>54111</v>
      </c>
      <c r="E5715" s="2" t="s">
        <v>54112</v>
      </c>
      <c r="G5715" s="3" t="s">
        <v>62</v>
      </c>
      <c r="I5715" s="3" t="s">
        <v>62</v>
      </c>
      <c r="J5715" s="3" t="s">
        <v>62</v>
      </c>
      <c r="K5715" s="3" t="s">
        <v>63</v>
      </c>
      <c r="L5715" s="2" t="s">
        <v>54113</v>
      </c>
      <c r="M5715" s="2" t="s">
        <v>54114</v>
      </c>
      <c r="N5715" s="3" t="s">
        <v>2985</v>
      </c>
      <c r="O5715" s="2" t="s">
        <v>2458</v>
      </c>
      <c r="P5715" s="3" t="s">
        <v>64</v>
      </c>
      <c r="R5715" s="3" t="s">
        <v>53742</v>
      </c>
      <c r="S5715" s="4">
        <v>2</v>
      </c>
      <c r="T5715" s="4">
        <v>2</v>
      </c>
      <c r="U5715" s="5" t="s">
        <v>53944</v>
      </c>
      <c r="V5715" s="5" t="s">
        <v>53944</v>
      </c>
      <c r="W5715" s="5" t="s">
        <v>67</v>
      </c>
      <c r="X5715" s="5" t="s">
        <v>67</v>
      </c>
      <c r="Y5715" s="4">
        <v>965</v>
      </c>
      <c r="Z5715" s="4">
        <v>28</v>
      </c>
      <c r="AA5715" s="4">
        <v>58</v>
      </c>
      <c r="AB5715" s="4">
        <v>3</v>
      </c>
      <c r="AC5715" s="4">
        <v>6</v>
      </c>
      <c r="AD5715" s="4">
        <v>7</v>
      </c>
      <c r="AE5715" s="4">
        <v>30</v>
      </c>
      <c r="AF5715" s="4">
        <v>0</v>
      </c>
      <c r="AG5715" s="4">
        <v>0</v>
      </c>
      <c r="AH5715" s="4">
        <v>6</v>
      </c>
      <c r="AI5715" s="4">
        <v>25</v>
      </c>
      <c r="AJ5715" s="4">
        <v>1</v>
      </c>
      <c r="AK5715" s="4">
        <v>3</v>
      </c>
      <c r="AL5715" s="4">
        <v>1</v>
      </c>
      <c r="AM5715" s="4">
        <v>10</v>
      </c>
      <c r="AN5715" s="4">
        <v>0</v>
      </c>
      <c r="AO5715" s="4">
        <v>0</v>
      </c>
      <c r="AP5715" s="4">
        <v>2</v>
      </c>
      <c r="AQ5715" s="4">
        <v>6</v>
      </c>
      <c r="AR5715" s="3" t="s">
        <v>62</v>
      </c>
      <c r="AS5715" s="3" t="s">
        <v>62</v>
      </c>
      <c r="AT5715" s="3" t="s">
        <v>62</v>
      </c>
      <c r="AV5715" s="6" t="str">
        <f>HYPERLINK("http://mcgill.on.worldcat.org/oclc/237879849","Catalog Record")</f>
        <v>Catalog Record</v>
      </c>
      <c r="AW5715" s="6" t="str">
        <f>HYPERLINK("http://www.worldcat.org/oclc/237879849","WorldCat Record")</f>
        <v>WorldCat Record</v>
      </c>
      <c r="AX5715" s="3" t="s">
        <v>54115</v>
      </c>
      <c r="AY5715" s="3" t="s">
        <v>54116</v>
      </c>
      <c r="AZ5715" s="3" t="s">
        <v>54117</v>
      </c>
      <c r="BA5715" s="3" t="s">
        <v>54117</v>
      </c>
      <c r="BB5715" s="3" t="s">
        <v>54118</v>
      </c>
      <c r="BC5715" s="3" t="s">
        <v>102</v>
      </c>
      <c r="BD5715" s="3" t="s">
        <v>68</v>
      </c>
      <c r="BE5715" s="3" t="s">
        <v>54119</v>
      </c>
      <c r="BF5715" s="3" t="s">
        <v>54118</v>
      </c>
      <c r="BG5715" s="3" t="s">
        <v>54120</v>
      </c>
    </row>
    <row r="5716" spans="1:59" ht="72.5" x14ac:dyDescent="0.35">
      <c r="A5716" s="2" t="s">
        <v>59</v>
      </c>
      <c r="B5716" s="2" t="s">
        <v>60</v>
      </c>
      <c r="C5716" s="2" t="s">
        <v>54121</v>
      </c>
      <c r="D5716" s="2" t="s">
        <v>54122</v>
      </c>
      <c r="E5716" s="2" t="s">
        <v>54123</v>
      </c>
      <c r="G5716" s="3" t="s">
        <v>62</v>
      </c>
      <c r="I5716" s="3" t="s">
        <v>62</v>
      </c>
      <c r="J5716" s="3" t="s">
        <v>62</v>
      </c>
      <c r="K5716" s="3" t="s">
        <v>63</v>
      </c>
      <c r="L5716" s="2" t="s">
        <v>54124</v>
      </c>
      <c r="M5716" s="2" t="s">
        <v>54125</v>
      </c>
      <c r="N5716" s="3" t="s">
        <v>201</v>
      </c>
      <c r="P5716" s="3" t="s">
        <v>64</v>
      </c>
      <c r="Q5716" s="2" t="s">
        <v>54126</v>
      </c>
      <c r="R5716" s="3" t="s">
        <v>53742</v>
      </c>
      <c r="S5716" s="4">
        <v>3</v>
      </c>
      <c r="T5716" s="4">
        <v>3</v>
      </c>
      <c r="U5716" s="5" t="s">
        <v>47976</v>
      </c>
      <c r="V5716" s="5" t="s">
        <v>47976</v>
      </c>
      <c r="W5716" s="5" t="s">
        <v>67</v>
      </c>
      <c r="X5716" s="5" t="s">
        <v>67</v>
      </c>
      <c r="Y5716" s="4">
        <v>45</v>
      </c>
      <c r="Z5716" s="4">
        <v>4</v>
      </c>
      <c r="AA5716" s="4">
        <v>9</v>
      </c>
      <c r="AB5716" s="4">
        <v>2</v>
      </c>
      <c r="AC5716" s="4">
        <v>5</v>
      </c>
      <c r="AD5716" s="4">
        <v>21</v>
      </c>
      <c r="AE5716" s="4">
        <v>45</v>
      </c>
      <c r="AF5716" s="4">
        <v>0</v>
      </c>
      <c r="AG5716" s="4">
        <v>2</v>
      </c>
      <c r="AH5716" s="4">
        <v>21</v>
      </c>
      <c r="AI5716" s="4">
        <v>41</v>
      </c>
      <c r="AJ5716" s="4">
        <v>2</v>
      </c>
      <c r="AK5716" s="4">
        <v>6</v>
      </c>
      <c r="AL5716" s="4">
        <v>12</v>
      </c>
      <c r="AM5716" s="4">
        <v>25</v>
      </c>
      <c r="AN5716" s="4">
        <v>0</v>
      </c>
      <c r="AO5716" s="4">
        <v>0</v>
      </c>
      <c r="AP5716" s="4">
        <v>2</v>
      </c>
      <c r="AQ5716" s="4">
        <v>5</v>
      </c>
      <c r="AR5716" s="3" t="s">
        <v>62</v>
      </c>
      <c r="AS5716" s="3" t="s">
        <v>62</v>
      </c>
      <c r="AT5716" s="3" t="s">
        <v>62</v>
      </c>
      <c r="AV5716" s="6" t="str">
        <f>HYPERLINK("http://mcgill.on.worldcat.org/oclc/2315063","Catalog Record")</f>
        <v>Catalog Record</v>
      </c>
      <c r="AW5716" s="6" t="str">
        <f>HYPERLINK("http://www.worldcat.org/oclc/2315063","WorldCat Record")</f>
        <v>WorldCat Record</v>
      </c>
      <c r="AX5716" s="3" t="s">
        <v>54127</v>
      </c>
      <c r="AY5716" s="3" t="s">
        <v>54128</v>
      </c>
      <c r="AZ5716" s="3" t="s">
        <v>54129</v>
      </c>
      <c r="BA5716" s="3" t="s">
        <v>54129</v>
      </c>
      <c r="BB5716" s="3" t="s">
        <v>54130</v>
      </c>
      <c r="BC5716" s="3" t="s">
        <v>102</v>
      </c>
      <c r="BD5716" s="3" t="s">
        <v>68</v>
      </c>
      <c r="BE5716" s="3" t="s">
        <v>54131</v>
      </c>
      <c r="BF5716" s="3" t="s">
        <v>54130</v>
      </c>
      <c r="BG5716" s="3" t="s">
        <v>54132</v>
      </c>
    </row>
    <row r="5717" spans="1:59" ht="58" x14ac:dyDescent="0.35">
      <c r="A5717" s="2" t="s">
        <v>59</v>
      </c>
      <c r="B5717" s="2" t="s">
        <v>60</v>
      </c>
      <c r="C5717" s="2" t="s">
        <v>54133</v>
      </c>
      <c r="D5717" s="2" t="s">
        <v>54134</v>
      </c>
      <c r="E5717" s="2" t="s">
        <v>54135</v>
      </c>
      <c r="G5717" s="3" t="s">
        <v>62</v>
      </c>
      <c r="I5717" s="3" t="s">
        <v>62</v>
      </c>
      <c r="J5717" s="3" t="s">
        <v>62</v>
      </c>
      <c r="K5717" s="3" t="s">
        <v>63</v>
      </c>
      <c r="L5717" s="2" t="s">
        <v>54136</v>
      </c>
      <c r="M5717" s="2" t="s">
        <v>54137</v>
      </c>
      <c r="N5717" s="3" t="s">
        <v>755</v>
      </c>
      <c r="P5717" s="3" t="s">
        <v>64</v>
      </c>
      <c r="R5717" s="3" t="s">
        <v>53742</v>
      </c>
      <c r="S5717" s="4">
        <v>1</v>
      </c>
      <c r="T5717" s="4">
        <v>1</v>
      </c>
      <c r="U5717" s="5" t="s">
        <v>2495</v>
      </c>
      <c r="V5717" s="5" t="s">
        <v>2495</v>
      </c>
      <c r="W5717" s="5" t="s">
        <v>67</v>
      </c>
      <c r="X5717" s="5" t="s">
        <v>67</v>
      </c>
      <c r="Y5717" s="4">
        <v>70</v>
      </c>
      <c r="Z5717" s="4">
        <v>7</v>
      </c>
      <c r="AA5717" s="4">
        <v>7</v>
      </c>
      <c r="AB5717" s="4">
        <v>2</v>
      </c>
      <c r="AC5717" s="4">
        <v>2</v>
      </c>
      <c r="AD5717" s="4">
        <v>38</v>
      </c>
      <c r="AE5717" s="4">
        <v>38</v>
      </c>
      <c r="AF5717" s="4">
        <v>0</v>
      </c>
      <c r="AG5717" s="4">
        <v>0</v>
      </c>
      <c r="AH5717" s="4">
        <v>36</v>
      </c>
      <c r="AI5717" s="4">
        <v>36</v>
      </c>
      <c r="AJ5717" s="4">
        <v>5</v>
      </c>
      <c r="AK5717" s="4">
        <v>5</v>
      </c>
      <c r="AL5717" s="4">
        <v>24</v>
      </c>
      <c r="AM5717" s="4">
        <v>24</v>
      </c>
      <c r="AN5717" s="4">
        <v>0</v>
      </c>
      <c r="AO5717" s="4">
        <v>0</v>
      </c>
      <c r="AP5717" s="4">
        <v>5</v>
      </c>
      <c r="AQ5717" s="4">
        <v>5</v>
      </c>
      <c r="AR5717" s="3" t="s">
        <v>62</v>
      </c>
      <c r="AS5717" s="3" t="s">
        <v>62</v>
      </c>
      <c r="AT5717" s="3" t="s">
        <v>61</v>
      </c>
      <c r="AU5717" s="6" t="str">
        <f>HYPERLINK("http://catalog.hathitrust.org/Record/001583535","HathiTrust Record")</f>
        <v>HathiTrust Record</v>
      </c>
      <c r="AV5717" s="6" t="str">
        <f>HYPERLINK("http://mcgill.on.worldcat.org/oclc/908728","Catalog Record")</f>
        <v>Catalog Record</v>
      </c>
      <c r="AW5717" s="6" t="str">
        <f>HYPERLINK("http://www.worldcat.org/oclc/908728","WorldCat Record")</f>
        <v>WorldCat Record</v>
      </c>
      <c r="AX5717" s="3" t="s">
        <v>54138</v>
      </c>
      <c r="AY5717" s="3" t="s">
        <v>54139</v>
      </c>
      <c r="AZ5717" s="3" t="s">
        <v>54140</v>
      </c>
      <c r="BA5717" s="3" t="s">
        <v>54140</v>
      </c>
      <c r="BB5717" s="3" t="s">
        <v>54141</v>
      </c>
      <c r="BC5717" s="3" t="s">
        <v>102</v>
      </c>
      <c r="BD5717" s="3" t="s">
        <v>68</v>
      </c>
      <c r="BF5717" s="3" t="s">
        <v>54141</v>
      </c>
      <c r="BG5717" s="3" t="s">
        <v>54142</v>
      </c>
    </row>
    <row r="5718" spans="1:59" ht="72.5" x14ac:dyDescent="0.35">
      <c r="A5718" s="2" t="s">
        <v>89</v>
      </c>
      <c r="B5718" s="2" t="s">
        <v>90</v>
      </c>
      <c r="C5718" s="2" t="s">
        <v>54143</v>
      </c>
      <c r="D5718" s="2" t="s">
        <v>54144</v>
      </c>
      <c r="E5718" s="2" t="s">
        <v>54145</v>
      </c>
      <c r="F5718" s="3" t="s">
        <v>54146</v>
      </c>
      <c r="G5718" s="3" t="s">
        <v>62</v>
      </c>
      <c r="I5718" s="3" t="s">
        <v>61</v>
      </c>
      <c r="J5718" s="3" t="s">
        <v>62</v>
      </c>
      <c r="K5718" s="3" t="s">
        <v>63</v>
      </c>
      <c r="M5718" s="2" t="s">
        <v>185</v>
      </c>
      <c r="N5718" s="3" t="s">
        <v>186</v>
      </c>
      <c r="P5718" s="3" t="s">
        <v>64</v>
      </c>
      <c r="Q5718" s="2" t="s">
        <v>54147</v>
      </c>
      <c r="R5718" s="3" t="s">
        <v>65</v>
      </c>
      <c r="S5718" s="4">
        <v>5</v>
      </c>
      <c r="T5718" s="4">
        <v>21</v>
      </c>
      <c r="U5718" s="5" t="s">
        <v>54148</v>
      </c>
      <c r="V5718" s="5" t="s">
        <v>2850</v>
      </c>
      <c r="W5718" s="5" t="s">
        <v>67</v>
      </c>
      <c r="X5718" s="5" t="s">
        <v>67</v>
      </c>
      <c r="Y5718" s="4">
        <v>402</v>
      </c>
      <c r="Z5718" s="4">
        <v>24</v>
      </c>
      <c r="AA5718" s="4">
        <v>24</v>
      </c>
      <c r="AB5718" s="4">
        <v>1</v>
      </c>
      <c r="AC5718" s="4">
        <v>1</v>
      </c>
      <c r="AD5718" s="4">
        <v>117</v>
      </c>
      <c r="AE5718" s="4">
        <v>117</v>
      </c>
      <c r="AF5718" s="4">
        <v>0</v>
      </c>
      <c r="AG5718" s="4">
        <v>0</v>
      </c>
      <c r="AH5718" s="4">
        <v>107</v>
      </c>
      <c r="AI5718" s="4">
        <v>107</v>
      </c>
      <c r="AJ5718" s="4">
        <v>17</v>
      </c>
      <c r="AK5718" s="4">
        <v>17</v>
      </c>
      <c r="AL5718" s="4">
        <v>57</v>
      </c>
      <c r="AM5718" s="4">
        <v>57</v>
      </c>
      <c r="AN5718" s="4">
        <v>0</v>
      </c>
      <c r="AO5718" s="4">
        <v>0</v>
      </c>
      <c r="AP5718" s="4">
        <v>18</v>
      </c>
      <c r="AQ5718" s="4">
        <v>18</v>
      </c>
      <c r="AR5718" s="3" t="s">
        <v>62</v>
      </c>
      <c r="AS5718" s="3" t="s">
        <v>62</v>
      </c>
      <c r="AT5718" s="3" t="s">
        <v>61</v>
      </c>
      <c r="AU5718" s="6" t="str">
        <f>HYPERLINK("http://catalog.hathitrust.org/Record/000032377","HathiTrust Record")</f>
        <v>HathiTrust Record</v>
      </c>
      <c r="AV5718" s="6" t="str">
        <f>HYPERLINK("http://mcgill.on.worldcat.org/oclc/1301158","Catalog Record")</f>
        <v>Catalog Record</v>
      </c>
      <c r="AW5718" s="6" t="str">
        <f>HYPERLINK("http://www.worldcat.org/oclc/1301158","WorldCat Record")</f>
        <v>WorldCat Record</v>
      </c>
      <c r="AX5718" s="3" t="s">
        <v>54149</v>
      </c>
      <c r="AY5718" s="3" t="s">
        <v>54150</v>
      </c>
      <c r="AZ5718" s="3" t="s">
        <v>54151</v>
      </c>
      <c r="BA5718" s="3" t="s">
        <v>54151</v>
      </c>
      <c r="BB5718" s="3" t="s">
        <v>54152</v>
      </c>
      <c r="BC5718" s="3" t="s">
        <v>102</v>
      </c>
      <c r="BD5718" s="3" t="s">
        <v>68</v>
      </c>
      <c r="BE5718" s="3" t="s">
        <v>54153</v>
      </c>
      <c r="BF5718" s="3" t="s">
        <v>54152</v>
      </c>
      <c r="BG5718" s="3" t="s">
        <v>54154</v>
      </c>
    </row>
    <row r="5719" spans="1:59" ht="72.5" x14ac:dyDescent="0.35">
      <c r="A5719" s="2" t="s">
        <v>89</v>
      </c>
      <c r="B5719" s="2" t="s">
        <v>90</v>
      </c>
      <c r="C5719" s="2" t="s">
        <v>54155</v>
      </c>
      <c r="D5719" s="2" t="s">
        <v>54156</v>
      </c>
      <c r="E5719" s="2" t="s">
        <v>54157</v>
      </c>
      <c r="F5719" s="3" t="s">
        <v>237</v>
      </c>
      <c r="G5719" s="3" t="s">
        <v>61</v>
      </c>
      <c r="I5719" s="3" t="s">
        <v>62</v>
      </c>
      <c r="J5719" s="3" t="s">
        <v>62</v>
      </c>
      <c r="K5719" s="3" t="s">
        <v>63</v>
      </c>
      <c r="L5719" s="2" t="s">
        <v>54158</v>
      </c>
      <c r="M5719" s="2" t="s">
        <v>423</v>
      </c>
      <c r="N5719" s="3" t="s">
        <v>424</v>
      </c>
      <c r="P5719" s="3" t="s">
        <v>64</v>
      </c>
      <c r="Q5719" s="2" t="s">
        <v>54159</v>
      </c>
      <c r="R5719" s="3" t="s">
        <v>65</v>
      </c>
      <c r="S5719" s="4">
        <v>3</v>
      </c>
      <c r="T5719" s="4">
        <v>4</v>
      </c>
      <c r="U5719" s="5" t="s">
        <v>6226</v>
      </c>
      <c r="V5719" s="5" t="s">
        <v>6226</v>
      </c>
      <c r="W5719" s="5" t="s">
        <v>67</v>
      </c>
      <c r="X5719" s="5" t="s">
        <v>67</v>
      </c>
      <c r="Y5719" s="4">
        <v>405</v>
      </c>
      <c r="Z5719" s="4">
        <v>18</v>
      </c>
      <c r="AA5719" s="4">
        <v>34</v>
      </c>
      <c r="AB5719" s="4">
        <v>1</v>
      </c>
      <c r="AC5719" s="4">
        <v>5</v>
      </c>
      <c r="AD5719" s="4">
        <v>115</v>
      </c>
      <c r="AE5719" s="4">
        <v>128</v>
      </c>
      <c r="AF5719" s="4">
        <v>0</v>
      </c>
      <c r="AG5719" s="4">
        <v>2</v>
      </c>
      <c r="AH5719" s="4">
        <v>105</v>
      </c>
      <c r="AI5719" s="4">
        <v>108</v>
      </c>
      <c r="AJ5719" s="4">
        <v>12</v>
      </c>
      <c r="AK5719" s="4">
        <v>18</v>
      </c>
      <c r="AL5719" s="4">
        <v>56</v>
      </c>
      <c r="AM5719" s="4">
        <v>57</v>
      </c>
      <c r="AN5719" s="4">
        <v>0</v>
      </c>
      <c r="AO5719" s="4">
        <v>0</v>
      </c>
      <c r="AP5719" s="4">
        <v>15</v>
      </c>
      <c r="AQ5719" s="4">
        <v>26</v>
      </c>
      <c r="AR5719" s="3" t="s">
        <v>62</v>
      </c>
      <c r="AS5719" s="3" t="s">
        <v>62</v>
      </c>
      <c r="AT5719" s="3" t="s">
        <v>61</v>
      </c>
      <c r="AU5719" s="6" t="str">
        <f>HYPERLINK("http://catalog.hathitrust.org/Record/001104861","HathiTrust Record")</f>
        <v>HathiTrust Record</v>
      </c>
      <c r="AV5719" s="6" t="str">
        <f>HYPERLINK("http://mcgill.on.worldcat.org/oclc/19572765","Catalog Record")</f>
        <v>Catalog Record</v>
      </c>
      <c r="AW5719" s="6" t="str">
        <f>HYPERLINK("http://www.worldcat.org/oclc/19572765","WorldCat Record")</f>
        <v>WorldCat Record</v>
      </c>
      <c r="AX5719" s="3" t="s">
        <v>54160</v>
      </c>
      <c r="AY5719" s="3" t="s">
        <v>54161</v>
      </c>
      <c r="AZ5719" s="3" t="s">
        <v>54162</v>
      </c>
      <c r="BA5719" s="3" t="s">
        <v>54162</v>
      </c>
      <c r="BB5719" s="3" t="s">
        <v>54163</v>
      </c>
      <c r="BC5719" s="3" t="s">
        <v>102</v>
      </c>
      <c r="BD5719" s="3" t="s">
        <v>68</v>
      </c>
      <c r="BE5719" s="3" t="s">
        <v>54164</v>
      </c>
      <c r="BF5719" s="3" t="s">
        <v>54163</v>
      </c>
      <c r="BG5719" s="3" t="s">
        <v>54165</v>
      </c>
    </row>
    <row r="5720" spans="1:59" ht="72.5" x14ac:dyDescent="0.35">
      <c r="A5720" s="2" t="s">
        <v>89</v>
      </c>
      <c r="B5720" s="2" t="s">
        <v>90</v>
      </c>
      <c r="C5720" s="2" t="s">
        <v>54155</v>
      </c>
      <c r="D5720" s="2" t="s">
        <v>54156</v>
      </c>
      <c r="E5720" s="2" t="s">
        <v>54157</v>
      </c>
      <c r="F5720" s="3" t="s">
        <v>248</v>
      </c>
      <c r="G5720" s="3" t="s">
        <v>61</v>
      </c>
      <c r="I5720" s="3" t="s">
        <v>62</v>
      </c>
      <c r="J5720" s="3" t="s">
        <v>62</v>
      </c>
      <c r="K5720" s="3" t="s">
        <v>63</v>
      </c>
      <c r="L5720" s="2" t="s">
        <v>54158</v>
      </c>
      <c r="M5720" s="2" t="s">
        <v>423</v>
      </c>
      <c r="N5720" s="3" t="s">
        <v>424</v>
      </c>
      <c r="P5720" s="3" t="s">
        <v>64</v>
      </c>
      <c r="Q5720" s="2" t="s">
        <v>54159</v>
      </c>
      <c r="R5720" s="3" t="s">
        <v>65</v>
      </c>
      <c r="S5720" s="4">
        <v>1</v>
      </c>
      <c r="T5720" s="4">
        <v>4</v>
      </c>
      <c r="U5720" s="5" t="s">
        <v>6226</v>
      </c>
      <c r="V5720" s="5" t="s">
        <v>6226</v>
      </c>
      <c r="W5720" s="5" t="s">
        <v>67</v>
      </c>
      <c r="X5720" s="5" t="s">
        <v>67</v>
      </c>
      <c r="Y5720" s="4">
        <v>405</v>
      </c>
      <c r="Z5720" s="4">
        <v>18</v>
      </c>
      <c r="AA5720" s="4">
        <v>34</v>
      </c>
      <c r="AB5720" s="4">
        <v>1</v>
      </c>
      <c r="AC5720" s="4">
        <v>5</v>
      </c>
      <c r="AD5720" s="4">
        <v>115</v>
      </c>
      <c r="AE5720" s="4">
        <v>128</v>
      </c>
      <c r="AF5720" s="4">
        <v>0</v>
      </c>
      <c r="AG5720" s="4">
        <v>2</v>
      </c>
      <c r="AH5720" s="4">
        <v>105</v>
      </c>
      <c r="AI5720" s="4">
        <v>108</v>
      </c>
      <c r="AJ5720" s="4">
        <v>12</v>
      </c>
      <c r="AK5720" s="4">
        <v>18</v>
      </c>
      <c r="AL5720" s="4">
        <v>56</v>
      </c>
      <c r="AM5720" s="4">
        <v>57</v>
      </c>
      <c r="AN5720" s="4">
        <v>0</v>
      </c>
      <c r="AO5720" s="4">
        <v>0</v>
      </c>
      <c r="AP5720" s="4">
        <v>15</v>
      </c>
      <c r="AQ5720" s="4">
        <v>26</v>
      </c>
      <c r="AR5720" s="3" t="s">
        <v>62</v>
      </c>
      <c r="AS5720" s="3" t="s">
        <v>62</v>
      </c>
      <c r="AT5720" s="3" t="s">
        <v>61</v>
      </c>
      <c r="AU5720" s="6" t="str">
        <f>HYPERLINK("http://catalog.hathitrust.org/Record/001104861","HathiTrust Record")</f>
        <v>HathiTrust Record</v>
      </c>
      <c r="AV5720" s="6" t="str">
        <f>HYPERLINK("http://mcgill.on.worldcat.org/oclc/19572765","Catalog Record")</f>
        <v>Catalog Record</v>
      </c>
      <c r="AW5720" s="6" t="str">
        <f>HYPERLINK("http://www.worldcat.org/oclc/19572765","WorldCat Record")</f>
        <v>WorldCat Record</v>
      </c>
      <c r="AX5720" s="3" t="s">
        <v>54160</v>
      </c>
      <c r="AY5720" s="3" t="s">
        <v>54161</v>
      </c>
      <c r="AZ5720" s="3" t="s">
        <v>54162</v>
      </c>
      <c r="BA5720" s="3" t="s">
        <v>54162</v>
      </c>
      <c r="BB5720" s="3" t="s">
        <v>54166</v>
      </c>
      <c r="BC5720" s="3" t="s">
        <v>102</v>
      </c>
      <c r="BD5720" s="3" t="s">
        <v>68</v>
      </c>
      <c r="BE5720" s="3" t="s">
        <v>54164</v>
      </c>
      <c r="BF5720" s="3" t="s">
        <v>54166</v>
      </c>
      <c r="BG5720" s="3" t="s">
        <v>54167</v>
      </c>
    </row>
    <row r="5721" spans="1:59" ht="72.5" x14ac:dyDescent="0.35">
      <c r="A5721" s="2" t="s">
        <v>89</v>
      </c>
      <c r="B5721" s="2" t="s">
        <v>90</v>
      </c>
      <c r="C5721" s="2" t="s">
        <v>54168</v>
      </c>
      <c r="D5721" s="2" t="s">
        <v>54169</v>
      </c>
      <c r="E5721" s="2" t="s">
        <v>54170</v>
      </c>
      <c r="F5721" s="3" t="s">
        <v>54171</v>
      </c>
      <c r="G5721" s="3" t="s">
        <v>62</v>
      </c>
      <c r="I5721" s="3" t="s">
        <v>62</v>
      </c>
      <c r="J5721" s="3" t="s">
        <v>62</v>
      </c>
      <c r="K5721" s="3" t="s">
        <v>63</v>
      </c>
      <c r="L5721" s="2" t="s">
        <v>54172</v>
      </c>
      <c r="M5721" s="2" t="s">
        <v>54173</v>
      </c>
      <c r="N5721" s="3" t="s">
        <v>106</v>
      </c>
      <c r="P5721" s="3" t="s">
        <v>64</v>
      </c>
      <c r="Q5721" s="2" t="s">
        <v>54174</v>
      </c>
      <c r="R5721" s="3" t="s">
        <v>65</v>
      </c>
      <c r="S5721" s="4">
        <v>8</v>
      </c>
      <c r="T5721" s="4">
        <v>8</v>
      </c>
      <c r="U5721" s="5" t="s">
        <v>46903</v>
      </c>
      <c r="V5721" s="5" t="s">
        <v>46903</v>
      </c>
      <c r="W5721" s="5" t="s">
        <v>67</v>
      </c>
      <c r="X5721" s="5" t="s">
        <v>67</v>
      </c>
      <c r="Y5721" s="4">
        <v>820</v>
      </c>
      <c r="Z5721" s="4">
        <v>38</v>
      </c>
      <c r="AA5721" s="4">
        <v>46</v>
      </c>
      <c r="AB5721" s="4">
        <v>2</v>
      </c>
      <c r="AC5721" s="4">
        <v>8</v>
      </c>
      <c r="AD5721" s="4">
        <v>127</v>
      </c>
      <c r="AE5721" s="4">
        <v>132</v>
      </c>
      <c r="AF5721" s="4">
        <v>0</v>
      </c>
      <c r="AG5721" s="4">
        <v>4</v>
      </c>
      <c r="AH5721" s="4">
        <v>106</v>
      </c>
      <c r="AI5721" s="4">
        <v>107</v>
      </c>
      <c r="AJ5721" s="4">
        <v>19</v>
      </c>
      <c r="AK5721" s="4">
        <v>22</v>
      </c>
      <c r="AL5721" s="4">
        <v>58</v>
      </c>
      <c r="AM5721" s="4">
        <v>58</v>
      </c>
      <c r="AN5721" s="4">
        <v>0</v>
      </c>
      <c r="AO5721" s="4">
        <v>0</v>
      </c>
      <c r="AP5721" s="4">
        <v>27</v>
      </c>
      <c r="AQ5721" s="4">
        <v>31</v>
      </c>
      <c r="AR5721" s="3" t="s">
        <v>62</v>
      </c>
      <c r="AS5721" s="3" t="s">
        <v>62</v>
      </c>
      <c r="AT5721" s="3" t="s">
        <v>62</v>
      </c>
      <c r="AV5721" s="6" t="str">
        <f>HYPERLINK("http://mcgill.on.worldcat.org/oclc/266270","Catalog Record")</f>
        <v>Catalog Record</v>
      </c>
      <c r="AW5721" s="6" t="str">
        <f>HYPERLINK("http://www.worldcat.org/oclc/266270","WorldCat Record")</f>
        <v>WorldCat Record</v>
      </c>
      <c r="AX5721" s="3" t="s">
        <v>54175</v>
      </c>
      <c r="AY5721" s="3" t="s">
        <v>54176</v>
      </c>
      <c r="AZ5721" s="3" t="s">
        <v>54177</v>
      </c>
      <c r="BA5721" s="3" t="s">
        <v>54177</v>
      </c>
      <c r="BB5721" s="3" t="s">
        <v>54178</v>
      </c>
      <c r="BC5721" s="3" t="s">
        <v>102</v>
      </c>
      <c r="BD5721" s="3" t="s">
        <v>68</v>
      </c>
      <c r="BF5721" s="3" t="s">
        <v>54178</v>
      </c>
      <c r="BG5721" s="3" t="s">
        <v>54179</v>
      </c>
    </row>
    <row r="5722" spans="1:59" ht="72.5" x14ac:dyDescent="0.35">
      <c r="A5722" s="2" t="s">
        <v>59</v>
      </c>
      <c r="B5722" s="2" t="s">
        <v>60</v>
      </c>
      <c r="C5722" s="2" t="s">
        <v>54180</v>
      </c>
      <c r="D5722" s="2" t="s">
        <v>54181</v>
      </c>
      <c r="E5722" s="2" t="s">
        <v>54182</v>
      </c>
      <c r="F5722" s="3" t="s">
        <v>54183</v>
      </c>
      <c r="G5722" s="3" t="s">
        <v>62</v>
      </c>
      <c r="I5722" s="3" t="s">
        <v>62</v>
      </c>
      <c r="J5722" s="3" t="s">
        <v>62</v>
      </c>
      <c r="K5722" s="3" t="s">
        <v>63</v>
      </c>
      <c r="L5722" s="2" t="s">
        <v>54184</v>
      </c>
      <c r="M5722" s="2" t="s">
        <v>54185</v>
      </c>
      <c r="N5722" s="3" t="s">
        <v>81</v>
      </c>
      <c r="P5722" s="3" t="s">
        <v>64</v>
      </c>
      <c r="Q5722" s="2" t="s">
        <v>54186</v>
      </c>
      <c r="R5722" s="3" t="s">
        <v>65</v>
      </c>
      <c r="S5722" s="4">
        <v>2</v>
      </c>
      <c r="T5722" s="4">
        <v>2</v>
      </c>
      <c r="U5722" s="5" t="s">
        <v>33681</v>
      </c>
      <c r="V5722" s="5" t="s">
        <v>33681</v>
      </c>
      <c r="W5722" s="5" t="s">
        <v>67</v>
      </c>
      <c r="X5722" s="5" t="s">
        <v>67</v>
      </c>
      <c r="Y5722" s="4">
        <v>410</v>
      </c>
      <c r="Z5722" s="4">
        <v>13</v>
      </c>
      <c r="AA5722" s="4">
        <v>13</v>
      </c>
      <c r="AB5722" s="4">
        <v>1</v>
      </c>
      <c r="AC5722" s="4">
        <v>1</v>
      </c>
      <c r="AD5722" s="4">
        <v>102</v>
      </c>
      <c r="AE5722" s="4">
        <v>102</v>
      </c>
      <c r="AF5722" s="4">
        <v>0</v>
      </c>
      <c r="AG5722" s="4">
        <v>0</v>
      </c>
      <c r="AH5722" s="4">
        <v>94</v>
      </c>
      <c r="AI5722" s="4">
        <v>94</v>
      </c>
      <c r="AJ5722" s="4">
        <v>10</v>
      </c>
      <c r="AK5722" s="4">
        <v>10</v>
      </c>
      <c r="AL5722" s="4">
        <v>53</v>
      </c>
      <c r="AM5722" s="4">
        <v>53</v>
      </c>
      <c r="AN5722" s="4">
        <v>0</v>
      </c>
      <c r="AO5722" s="4">
        <v>0</v>
      </c>
      <c r="AP5722" s="4">
        <v>11</v>
      </c>
      <c r="AQ5722" s="4">
        <v>11</v>
      </c>
      <c r="AR5722" s="3" t="s">
        <v>62</v>
      </c>
      <c r="AS5722" s="3" t="s">
        <v>62</v>
      </c>
      <c r="AT5722" s="3" t="s">
        <v>61</v>
      </c>
      <c r="AU5722" s="6" t="str">
        <f>HYPERLINK("http://catalog.hathitrust.org/Record/001490125","HathiTrust Record")</f>
        <v>HathiTrust Record</v>
      </c>
      <c r="AV5722" s="6" t="str">
        <f>HYPERLINK("http://mcgill.on.worldcat.org/oclc/435418","Catalog Record")</f>
        <v>Catalog Record</v>
      </c>
      <c r="AW5722" s="6" t="str">
        <f>HYPERLINK("http://www.worldcat.org/oclc/435418","WorldCat Record")</f>
        <v>WorldCat Record</v>
      </c>
      <c r="AX5722" s="3" t="s">
        <v>54187</v>
      </c>
      <c r="AY5722" s="3" t="s">
        <v>54188</v>
      </c>
      <c r="AZ5722" s="3" t="s">
        <v>54189</v>
      </c>
      <c r="BA5722" s="3" t="s">
        <v>54189</v>
      </c>
      <c r="BB5722" s="3" t="s">
        <v>54190</v>
      </c>
      <c r="BC5722" s="3" t="s">
        <v>102</v>
      </c>
      <c r="BD5722" s="3" t="s">
        <v>6923</v>
      </c>
      <c r="BF5722" s="3" t="s">
        <v>54190</v>
      </c>
      <c r="BG5722" s="3" t="s">
        <v>54191</v>
      </c>
    </row>
    <row r="5723" spans="1:59" ht="58" x14ac:dyDescent="0.35">
      <c r="A5723" s="2" t="s">
        <v>89</v>
      </c>
      <c r="B5723" s="2" t="s">
        <v>90</v>
      </c>
      <c r="C5723" s="2" t="s">
        <v>54192</v>
      </c>
      <c r="D5723" s="2" t="s">
        <v>54193</v>
      </c>
      <c r="E5723" s="2" t="s">
        <v>54194</v>
      </c>
      <c r="G5723" s="3" t="s">
        <v>61</v>
      </c>
      <c r="I5723" s="3" t="s">
        <v>62</v>
      </c>
      <c r="J5723" s="3" t="s">
        <v>61</v>
      </c>
      <c r="K5723" s="3" t="s">
        <v>63</v>
      </c>
      <c r="L5723" s="2" t="s">
        <v>54195</v>
      </c>
      <c r="M5723" s="2" t="s">
        <v>54196</v>
      </c>
      <c r="N5723" s="3" t="s">
        <v>1576</v>
      </c>
      <c r="O5723" s="2" t="s">
        <v>54197</v>
      </c>
      <c r="P5723" s="3" t="s">
        <v>64</v>
      </c>
      <c r="R5723" s="3" t="s">
        <v>13065</v>
      </c>
      <c r="S5723" s="4">
        <v>10</v>
      </c>
      <c r="T5723" s="4">
        <v>10</v>
      </c>
      <c r="U5723" s="5" t="s">
        <v>7168</v>
      </c>
      <c r="V5723" s="5" t="s">
        <v>7168</v>
      </c>
      <c r="W5723" s="5" t="s">
        <v>67</v>
      </c>
      <c r="X5723" s="5" t="s">
        <v>67</v>
      </c>
      <c r="Y5723" s="4">
        <v>309</v>
      </c>
      <c r="Z5723" s="4">
        <v>20</v>
      </c>
      <c r="AA5723" s="4">
        <v>45</v>
      </c>
      <c r="AB5723" s="4">
        <v>3</v>
      </c>
      <c r="AC5723" s="4">
        <v>7</v>
      </c>
      <c r="AD5723" s="4">
        <v>82</v>
      </c>
      <c r="AE5723" s="4">
        <v>138</v>
      </c>
      <c r="AF5723" s="4">
        <v>2</v>
      </c>
      <c r="AG5723" s="4">
        <v>5</v>
      </c>
      <c r="AH5723" s="4">
        <v>69</v>
      </c>
      <c r="AI5723" s="4">
        <v>113</v>
      </c>
      <c r="AJ5723" s="4">
        <v>8</v>
      </c>
      <c r="AK5723" s="4">
        <v>24</v>
      </c>
      <c r="AL5723" s="4">
        <v>41</v>
      </c>
      <c r="AM5723" s="4">
        <v>61</v>
      </c>
      <c r="AN5723" s="4">
        <v>0</v>
      </c>
      <c r="AO5723" s="4">
        <v>0</v>
      </c>
      <c r="AP5723" s="4">
        <v>16</v>
      </c>
      <c r="AQ5723" s="4">
        <v>32</v>
      </c>
      <c r="AR5723" s="3" t="s">
        <v>62</v>
      </c>
      <c r="AS5723" s="3" t="s">
        <v>62</v>
      </c>
      <c r="AT5723" s="3" t="s">
        <v>61</v>
      </c>
      <c r="AU5723" s="6" t="str">
        <f>HYPERLINK("http://catalog.hathitrust.org/Record/001306723","HathiTrust Record")</f>
        <v>HathiTrust Record</v>
      </c>
      <c r="AV5723" s="6" t="str">
        <f>HYPERLINK("http://mcgill.on.worldcat.org/oclc/653540","Catalog Record")</f>
        <v>Catalog Record</v>
      </c>
      <c r="AW5723" s="6" t="str">
        <f>HYPERLINK("http://www.worldcat.org/oclc/653540","WorldCat Record")</f>
        <v>WorldCat Record</v>
      </c>
      <c r="AX5723" s="3" t="s">
        <v>54198</v>
      </c>
      <c r="AY5723" s="3" t="s">
        <v>54199</v>
      </c>
      <c r="AZ5723" s="3" t="s">
        <v>54200</v>
      </c>
      <c r="BA5723" s="3" t="s">
        <v>54200</v>
      </c>
      <c r="BB5723" s="3" t="s">
        <v>54201</v>
      </c>
      <c r="BC5723" s="3" t="s">
        <v>102</v>
      </c>
      <c r="BD5723" s="3" t="s">
        <v>68</v>
      </c>
      <c r="BE5723" s="3" t="s">
        <v>54202</v>
      </c>
      <c r="BF5723" s="3" t="s">
        <v>54201</v>
      </c>
      <c r="BG5723" s="3" t="s">
        <v>54203</v>
      </c>
    </row>
    <row r="5724" spans="1:59" ht="116" x14ac:dyDescent="0.35">
      <c r="A5724" s="2" t="s">
        <v>89</v>
      </c>
      <c r="B5724" s="2" t="s">
        <v>1231</v>
      </c>
      <c r="C5724" s="2" t="s">
        <v>54204</v>
      </c>
      <c r="D5724" s="2" t="s">
        <v>54205</v>
      </c>
      <c r="E5724" s="2" t="s">
        <v>54206</v>
      </c>
      <c r="G5724" s="3" t="s">
        <v>62</v>
      </c>
      <c r="I5724" s="3" t="s">
        <v>62</v>
      </c>
      <c r="J5724" s="3" t="s">
        <v>62</v>
      </c>
      <c r="K5724" s="3" t="s">
        <v>63</v>
      </c>
      <c r="L5724" s="2" t="s">
        <v>54207</v>
      </c>
      <c r="M5724" s="2" t="s">
        <v>54208</v>
      </c>
      <c r="N5724" s="3" t="s">
        <v>2588</v>
      </c>
      <c r="P5724" s="3" t="s">
        <v>64</v>
      </c>
      <c r="R5724" s="3" t="s">
        <v>13065</v>
      </c>
      <c r="S5724" s="4">
        <v>29</v>
      </c>
      <c r="T5724" s="4">
        <v>29</v>
      </c>
      <c r="U5724" s="5" t="s">
        <v>671</v>
      </c>
      <c r="V5724" s="5" t="s">
        <v>671</v>
      </c>
      <c r="W5724" s="5" t="s">
        <v>67</v>
      </c>
      <c r="X5724" s="5" t="s">
        <v>67</v>
      </c>
      <c r="Y5724" s="4">
        <v>490</v>
      </c>
      <c r="Z5724" s="4">
        <v>35</v>
      </c>
      <c r="AA5724" s="4">
        <v>38</v>
      </c>
      <c r="AB5724" s="4">
        <v>4</v>
      </c>
      <c r="AC5724" s="4">
        <v>6</v>
      </c>
      <c r="AD5724" s="4">
        <v>111</v>
      </c>
      <c r="AE5724" s="4">
        <v>118</v>
      </c>
      <c r="AF5724" s="4">
        <v>2</v>
      </c>
      <c r="AG5724" s="4">
        <v>3</v>
      </c>
      <c r="AH5724" s="4">
        <v>97</v>
      </c>
      <c r="AI5724" s="4">
        <v>102</v>
      </c>
      <c r="AJ5724" s="4">
        <v>17</v>
      </c>
      <c r="AK5724" s="4">
        <v>18</v>
      </c>
      <c r="AL5724" s="4">
        <v>48</v>
      </c>
      <c r="AM5724" s="4">
        <v>50</v>
      </c>
      <c r="AN5724" s="4">
        <v>0</v>
      </c>
      <c r="AO5724" s="4">
        <v>0</v>
      </c>
      <c r="AP5724" s="4">
        <v>24</v>
      </c>
      <c r="AQ5724" s="4">
        <v>26</v>
      </c>
      <c r="AR5724" s="3" t="s">
        <v>62</v>
      </c>
      <c r="AS5724" s="3" t="s">
        <v>62</v>
      </c>
      <c r="AT5724" s="3" t="s">
        <v>61</v>
      </c>
      <c r="AU5724" s="6" t="str">
        <f>HYPERLINK("http://catalog.hathitrust.org/Record/000286064","HathiTrust Record")</f>
        <v>HathiTrust Record</v>
      </c>
      <c r="AV5724" s="6" t="str">
        <f>HYPERLINK("http://mcgill.on.worldcat.org/oclc/4725790","Catalog Record")</f>
        <v>Catalog Record</v>
      </c>
      <c r="AW5724" s="6" t="str">
        <f>HYPERLINK("http://www.worldcat.org/oclc/4725790","WorldCat Record")</f>
        <v>WorldCat Record</v>
      </c>
      <c r="AX5724" s="3" t="s">
        <v>54209</v>
      </c>
      <c r="AY5724" s="3" t="s">
        <v>54210</v>
      </c>
      <c r="AZ5724" s="3" t="s">
        <v>54211</v>
      </c>
      <c r="BA5724" s="3" t="s">
        <v>54211</v>
      </c>
      <c r="BB5724" s="3" t="s">
        <v>54212</v>
      </c>
      <c r="BC5724" s="3" t="s">
        <v>102</v>
      </c>
      <c r="BD5724" s="3" t="s">
        <v>68</v>
      </c>
      <c r="BE5724" s="3" t="s">
        <v>54213</v>
      </c>
      <c r="BF5724" s="3" t="s">
        <v>54212</v>
      </c>
      <c r="BG5724" s="3" t="s">
        <v>54214</v>
      </c>
    </row>
    <row r="5725" spans="1:59" ht="72.5" x14ac:dyDescent="0.35">
      <c r="A5725" s="2" t="s">
        <v>89</v>
      </c>
      <c r="B5725" s="2" t="s">
        <v>90</v>
      </c>
      <c r="C5725" s="2" t="s">
        <v>54215</v>
      </c>
      <c r="D5725" s="2" t="s">
        <v>54216</v>
      </c>
      <c r="E5725" s="2" t="s">
        <v>54217</v>
      </c>
      <c r="G5725" s="3" t="s">
        <v>62</v>
      </c>
      <c r="I5725" s="3" t="s">
        <v>62</v>
      </c>
      <c r="J5725" s="3" t="s">
        <v>62</v>
      </c>
      <c r="K5725" s="3" t="s">
        <v>63</v>
      </c>
      <c r="M5725" s="2" t="s">
        <v>54218</v>
      </c>
      <c r="N5725" s="3" t="s">
        <v>2136</v>
      </c>
      <c r="P5725" s="3" t="s">
        <v>64</v>
      </c>
      <c r="R5725" s="3" t="s">
        <v>25645</v>
      </c>
      <c r="S5725" s="4">
        <v>2</v>
      </c>
      <c r="T5725" s="4">
        <v>2</v>
      </c>
      <c r="U5725" s="5" t="s">
        <v>14657</v>
      </c>
      <c r="V5725" s="5" t="s">
        <v>14657</v>
      </c>
      <c r="W5725" s="5" t="s">
        <v>67</v>
      </c>
      <c r="X5725" s="5" t="s">
        <v>67</v>
      </c>
      <c r="Y5725" s="4">
        <v>88</v>
      </c>
      <c r="Z5725" s="4">
        <v>6</v>
      </c>
      <c r="AA5725" s="4">
        <v>6</v>
      </c>
      <c r="AB5725" s="4">
        <v>2</v>
      </c>
      <c r="AC5725" s="4">
        <v>2</v>
      </c>
      <c r="AD5725" s="4">
        <v>34</v>
      </c>
      <c r="AE5725" s="4">
        <v>34</v>
      </c>
      <c r="AF5725" s="4">
        <v>0</v>
      </c>
      <c r="AG5725" s="4">
        <v>0</v>
      </c>
      <c r="AH5725" s="4">
        <v>33</v>
      </c>
      <c r="AI5725" s="4">
        <v>33</v>
      </c>
      <c r="AJ5725" s="4">
        <v>2</v>
      </c>
      <c r="AK5725" s="4">
        <v>2</v>
      </c>
      <c r="AL5725" s="4">
        <v>23</v>
      </c>
      <c r="AM5725" s="4">
        <v>23</v>
      </c>
      <c r="AN5725" s="4">
        <v>0</v>
      </c>
      <c r="AO5725" s="4">
        <v>0</v>
      </c>
      <c r="AP5725" s="4">
        <v>2</v>
      </c>
      <c r="AQ5725" s="4">
        <v>2</v>
      </c>
      <c r="AR5725" s="3" t="s">
        <v>62</v>
      </c>
      <c r="AS5725" s="3" t="s">
        <v>62</v>
      </c>
      <c r="AT5725" s="3" t="s">
        <v>62</v>
      </c>
      <c r="AV5725" s="6" t="str">
        <f>HYPERLINK("http://mcgill.on.worldcat.org/oclc/56649396","Catalog Record")</f>
        <v>Catalog Record</v>
      </c>
      <c r="AW5725" s="6" t="str">
        <f>HYPERLINK("http://www.worldcat.org/oclc/56649396","WorldCat Record")</f>
        <v>WorldCat Record</v>
      </c>
      <c r="AX5725" s="3" t="s">
        <v>54219</v>
      </c>
      <c r="AY5725" s="3" t="s">
        <v>54220</v>
      </c>
      <c r="AZ5725" s="3" t="s">
        <v>54221</v>
      </c>
      <c r="BA5725" s="3" t="s">
        <v>54221</v>
      </c>
      <c r="BB5725" s="3" t="s">
        <v>54222</v>
      </c>
      <c r="BC5725" s="3" t="s">
        <v>102</v>
      </c>
      <c r="BD5725" s="3" t="s">
        <v>68</v>
      </c>
      <c r="BE5725" s="3" t="s">
        <v>54223</v>
      </c>
      <c r="BF5725" s="3" t="s">
        <v>54222</v>
      </c>
      <c r="BG5725" s="3" t="s">
        <v>54224</v>
      </c>
    </row>
    <row r="5726" spans="1:59" ht="58" x14ac:dyDescent="0.35">
      <c r="A5726" s="2" t="s">
        <v>89</v>
      </c>
      <c r="B5726" s="2" t="s">
        <v>90</v>
      </c>
      <c r="C5726" s="2" t="s">
        <v>54225</v>
      </c>
      <c r="D5726" s="2" t="s">
        <v>54226</v>
      </c>
      <c r="E5726" s="2" t="s">
        <v>54227</v>
      </c>
      <c r="G5726" s="3" t="s">
        <v>62</v>
      </c>
      <c r="I5726" s="3" t="s">
        <v>62</v>
      </c>
      <c r="J5726" s="3" t="s">
        <v>62</v>
      </c>
      <c r="K5726" s="3" t="s">
        <v>63</v>
      </c>
      <c r="L5726" s="2" t="s">
        <v>54228</v>
      </c>
      <c r="M5726" s="2" t="s">
        <v>54229</v>
      </c>
      <c r="N5726" s="3" t="s">
        <v>13194</v>
      </c>
      <c r="P5726" s="3" t="s">
        <v>1881</v>
      </c>
      <c r="Q5726" s="2" t="s">
        <v>54230</v>
      </c>
      <c r="R5726" s="3" t="s">
        <v>27443</v>
      </c>
      <c r="S5726" s="4">
        <v>1</v>
      </c>
      <c r="T5726" s="4">
        <v>1</v>
      </c>
      <c r="U5726" s="5" t="s">
        <v>15187</v>
      </c>
      <c r="V5726" s="5" t="s">
        <v>15187</v>
      </c>
      <c r="W5726" s="5" t="s">
        <v>67</v>
      </c>
      <c r="X5726" s="5" t="s">
        <v>67</v>
      </c>
      <c r="Y5726" s="4">
        <v>67</v>
      </c>
      <c r="Z5726" s="4">
        <v>3</v>
      </c>
      <c r="AA5726" s="4">
        <v>5</v>
      </c>
      <c r="AB5726" s="4">
        <v>1</v>
      </c>
      <c r="AC5726" s="4">
        <v>1</v>
      </c>
      <c r="AD5726" s="4">
        <v>39</v>
      </c>
      <c r="AE5726" s="4">
        <v>40</v>
      </c>
      <c r="AF5726" s="4">
        <v>0</v>
      </c>
      <c r="AG5726" s="4">
        <v>0</v>
      </c>
      <c r="AH5726" s="4">
        <v>36</v>
      </c>
      <c r="AI5726" s="4">
        <v>37</v>
      </c>
      <c r="AJ5726" s="4">
        <v>1</v>
      </c>
      <c r="AK5726" s="4">
        <v>2</v>
      </c>
      <c r="AL5726" s="4">
        <v>29</v>
      </c>
      <c r="AM5726" s="4">
        <v>30</v>
      </c>
      <c r="AN5726" s="4">
        <v>0</v>
      </c>
      <c r="AO5726" s="4">
        <v>0</v>
      </c>
      <c r="AP5726" s="4">
        <v>2</v>
      </c>
      <c r="AQ5726" s="4">
        <v>3</v>
      </c>
      <c r="AR5726" s="3" t="s">
        <v>62</v>
      </c>
      <c r="AS5726" s="3" t="s">
        <v>62</v>
      </c>
      <c r="AT5726" s="3" t="s">
        <v>62</v>
      </c>
      <c r="AU5726" s="6" t="str">
        <f>HYPERLINK("http://catalog.hathitrust.org/Record/001484165","HathiTrust Record")</f>
        <v>HathiTrust Record</v>
      </c>
      <c r="AV5726" s="6" t="str">
        <f>HYPERLINK("http://mcgill.on.worldcat.org/oclc/2306253","Catalog Record")</f>
        <v>Catalog Record</v>
      </c>
      <c r="AW5726" s="6" t="str">
        <f>HYPERLINK("http://www.worldcat.org/oclc/2306253","WorldCat Record")</f>
        <v>WorldCat Record</v>
      </c>
      <c r="AX5726" s="3" t="s">
        <v>54231</v>
      </c>
      <c r="AY5726" s="3" t="s">
        <v>54232</v>
      </c>
      <c r="AZ5726" s="3" t="s">
        <v>54233</v>
      </c>
      <c r="BA5726" s="3" t="s">
        <v>54233</v>
      </c>
      <c r="BB5726" s="3" t="s">
        <v>54234</v>
      </c>
      <c r="BC5726" s="3" t="s">
        <v>102</v>
      </c>
      <c r="BD5726" s="3" t="s">
        <v>68</v>
      </c>
      <c r="BF5726" s="3" t="s">
        <v>54234</v>
      </c>
      <c r="BG5726" s="3" t="s">
        <v>54235</v>
      </c>
    </row>
    <row r="5727" spans="1:59" ht="72.5" x14ac:dyDescent="0.35">
      <c r="A5727" s="2" t="s">
        <v>89</v>
      </c>
      <c r="B5727" s="2" t="s">
        <v>90</v>
      </c>
      <c r="C5727" s="2" t="s">
        <v>54236</v>
      </c>
      <c r="D5727" s="2" t="s">
        <v>54237</v>
      </c>
      <c r="E5727" s="2" t="s">
        <v>54238</v>
      </c>
      <c r="G5727" s="3" t="s">
        <v>62</v>
      </c>
      <c r="I5727" s="3" t="s">
        <v>62</v>
      </c>
      <c r="J5727" s="3" t="s">
        <v>62</v>
      </c>
      <c r="K5727" s="3" t="s">
        <v>63</v>
      </c>
      <c r="L5727" s="2" t="s">
        <v>54239</v>
      </c>
      <c r="M5727" s="2" t="s">
        <v>54240</v>
      </c>
      <c r="N5727" s="3" t="s">
        <v>596</v>
      </c>
      <c r="P5727" s="3" t="s">
        <v>64</v>
      </c>
      <c r="R5727" s="3" t="s">
        <v>27443</v>
      </c>
      <c r="S5727" s="4">
        <v>5</v>
      </c>
      <c r="T5727" s="4">
        <v>5</v>
      </c>
      <c r="U5727" s="5" t="s">
        <v>8498</v>
      </c>
      <c r="V5727" s="5" t="s">
        <v>8498</v>
      </c>
      <c r="W5727" s="5" t="s">
        <v>67</v>
      </c>
      <c r="X5727" s="5" t="s">
        <v>67</v>
      </c>
      <c r="Y5727" s="4">
        <v>36</v>
      </c>
      <c r="Z5727" s="4">
        <v>5</v>
      </c>
      <c r="AA5727" s="4">
        <v>6</v>
      </c>
      <c r="AB5727" s="4">
        <v>1</v>
      </c>
      <c r="AC5727" s="4">
        <v>2</v>
      </c>
      <c r="AD5727" s="4">
        <v>12</v>
      </c>
      <c r="AE5727" s="4">
        <v>12</v>
      </c>
      <c r="AF5727" s="4">
        <v>0</v>
      </c>
      <c r="AG5727" s="4">
        <v>0</v>
      </c>
      <c r="AH5727" s="4">
        <v>10</v>
      </c>
      <c r="AI5727" s="4">
        <v>10</v>
      </c>
      <c r="AJ5727" s="4">
        <v>3</v>
      </c>
      <c r="AK5727" s="4">
        <v>3</v>
      </c>
      <c r="AL5727" s="4">
        <v>7</v>
      </c>
      <c r="AM5727" s="4">
        <v>7</v>
      </c>
      <c r="AN5727" s="4">
        <v>0</v>
      </c>
      <c r="AO5727" s="4">
        <v>0</v>
      </c>
      <c r="AP5727" s="4">
        <v>2</v>
      </c>
      <c r="AQ5727" s="4">
        <v>2</v>
      </c>
      <c r="AR5727" s="3" t="s">
        <v>61</v>
      </c>
      <c r="AS5727" s="3" t="s">
        <v>62</v>
      </c>
      <c r="AT5727" s="3" t="s">
        <v>62</v>
      </c>
      <c r="AV5727" s="6" t="str">
        <f>HYPERLINK("http://mcgill.on.worldcat.org/oclc/50940496","Catalog Record")</f>
        <v>Catalog Record</v>
      </c>
      <c r="AW5727" s="6" t="str">
        <f>HYPERLINK("http://www.worldcat.org/oclc/50940496","WorldCat Record")</f>
        <v>WorldCat Record</v>
      </c>
      <c r="AX5727" s="3" t="s">
        <v>54241</v>
      </c>
      <c r="AY5727" s="3" t="s">
        <v>54242</v>
      </c>
      <c r="AZ5727" s="3" t="s">
        <v>54243</v>
      </c>
      <c r="BA5727" s="3" t="s">
        <v>54243</v>
      </c>
      <c r="BB5727" s="3" t="s">
        <v>54244</v>
      </c>
      <c r="BC5727" s="3" t="s">
        <v>102</v>
      </c>
      <c r="BD5727" s="3" t="s">
        <v>68</v>
      </c>
      <c r="BE5727" s="3" t="s">
        <v>54245</v>
      </c>
      <c r="BF5727" s="3" t="s">
        <v>54244</v>
      </c>
      <c r="BG5727" s="3" t="s">
        <v>54246</v>
      </c>
    </row>
    <row r="5728" spans="1:59" ht="58" x14ac:dyDescent="0.35">
      <c r="A5728" s="2" t="s">
        <v>89</v>
      </c>
      <c r="B5728" s="2" t="s">
        <v>90</v>
      </c>
      <c r="C5728" s="2" t="s">
        <v>54247</v>
      </c>
      <c r="D5728" s="2" t="s">
        <v>54248</v>
      </c>
      <c r="E5728" s="2" t="s">
        <v>54249</v>
      </c>
      <c r="G5728" s="3" t="s">
        <v>62</v>
      </c>
      <c r="I5728" s="3" t="s">
        <v>62</v>
      </c>
      <c r="J5728" s="3" t="s">
        <v>62</v>
      </c>
      <c r="K5728" s="3" t="s">
        <v>63</v>
      </c>
      <c r="L5728" s="2" t="s">
        <v>8553</v>
      </c>
      <c r="M5728" s="2" t="s">
        <v>54250</v>
      </c>
      <c r="N5728" s="3" t="s">
        <v>83</v>
      </c>
      <c r="P5728" s="3" t="s">
        <v>64</v>
      </c>
      <c r="Q5728" s="2" t="s">
        <v>54251</v>
      </c>
      <c r="R5728" s="3" t="s">
        <v>27443</v>
      </c>
      <c r="S5728" s="4">
        <v>1</v>
      </c>
      <c r="T5728" s="4">
        <v>1</v>
      </c>
      <c r="U5728" s="5" t="s">
        <v>15187</v>
      </c>
      <c r="V5728" s="5" t="s">
        <v>15187</v>
      </c>
      <c r="W5728" s="5" t="s">
        <v>67</v>
      </c>
      <c r="X5728" s="5" t="s">
        <v>67</v>
      </c>
      <c r="Y5728" s="4">
        <v>105</v>
      </c>
      <c r="Z5728" s="4">
        <v>4</v>
      </c>
      <c r="AA5728" s="4">
        <v>13</v>
      </c>
      <c r="AB5728" s="4">
        <v>1</v>
      </c>
      <c r="AC5728" s="4">
        <v>1</v>
      </c>
      <c r="AD5728" s="4">
        <v>48</v>
      </c>
      <c r="AE5728" s="4">
        <v>57</v>
      </c>
      <c r="AF5728" s="4">
        <v>0</v>
      </c>
      <c r="AG5728" s="4">
        <v>0</v>
      </c>
      <c r="AH5728" s="4">
        <v>45</v>
      </c>
      <c r="AI5728" s="4">
        <v>50</v>
      </c>
      <c r="AJ5728" s="4">
        <v>2</v>
      </c>
      <c r="AK5728" s="4">
        <v>5</v>
      </c>
      <c r="AL5728" s="4">
        <v>33</v>
      </c>
      <c r="AM5728" s="4">
        <v>37</v>
      </c>
      <c r="AN5728" s="4">
        <v>0</v>
      </c>
      <c r="AO5728" s="4">
        <v>0</v>
      </c>
      <c r="AP5728" s="4">
        <v>3</v>
      </c>
      <c r="AQ5728" s="4">
        <v>8</v>
      </c>
      <c r="AR5728" s="3" t="s">
        <v>62</v>
      </c>
      <c r="AS5728" s="3" t="s">
        <v>61</v>
      </c>
      <c r="AT5728" s="3" t="s">
        <v>62</v>
      </c>
      <c r="AU5728" s="6" t="str">
        <f>HYPERLINK("http://catalog.hathitrust.org/Record/001642161","HathiTrust Record")</f>
        <v>HathiTrust Record</v>
      </c>
      <c r="AV5728" s="6" t="str">
        <f>HYPERLINK("http://mcgill.on.worldcat.org/oclc/3393318","Catalog Record")</f>
        <v>Catalog Record</v>
      </c>
      <c r="AW5728" s="6" t="str">
        <f>HYPERLINK("http://www.worldcat.org/oclc/3393318","WorldCat Record")</f>
        <v>WorldCat Record</v>
      </c>
      <c r="AX5728" s="3" t="s">
        <v>54252</v>
      </c>
      <c r="AY5728" s="3" t="s">
        <v>54253</v>
      </c>
      <c r="AZ5728" s="3" t="s">
        <v>54254</v>
      </c>
      <c r="BA5728" s="3" t="s">
        <v>54254</v>
      </c>
      <c r="BB5728" s="3" t="s">
        <v>54255</v>
      </c>
      <c r="BC5728" s="3" t="s">
        <v>102</v>
      </c>
      <c r="BD5728" s="3" t="s">
        <v>68</v>
      </c>
      <c r="BF5728" s="3" t="s">
        <v>54255</v>
      </c>
      <c r="BG5728" s="3" t="s">
        <v>54256</v>
      </c>
    </row>
    <row r="5729" spans="1:59" ht="58" x14ac:dyDescent="0.35">
      <c r="A5729" s="2" t="s">
        <v>89</v>
      </c>
      <c r="B5729" s="2" t="s">
        <v>90</v>
      </c>
      <c r="C5729" s="2" t="s">
        <v>54257</v>
      </c>
      <c r="D5729" s="2" t="s">
        <v>54258</v>
      </c>
      <c r="E5729" s="2" t="s">
        <v>54259</v>
      </c>
      <c r="F5729" s="3" t="s">
        <v>2233</v>
      </c>
      <c r="G5729" s="3" t="s">
        <v>61</v>
      </c>
      <c r="I5729" s="3" t="s">
        <v>61</v>
      </c>
      <c r="J5729" s="3" t="s">
        <v>62</v>
      </c>
      <c r="K5729" s="3" t="s">
        <v>63</v>
      </c>
      <c r="L5729" s="2" t="s">
        <v>54260</v>
      </c>
      <c r="M5729" s="2" t="s">
        <v>54261</v>
      </c>
      <c r="N5729" s="3" t="s">
        <v>239</v>
      </c>
      <c r="P5729" s="3" t="s">
        <v>64</v>
      </c>
      <c r="R5729" s="3" t="s">
        <v>27443</v>
      </c>
      <c r="S5729" s="4">
        <v>0</v>
      </c>
      <c r="T5729" s="4">
        <v>1</v>
      </c>
      <c r="V5729" s="5" t="s">
        <v>54262</v>
      </c>
      <c r="W5729" s="5" t="s">
        <v>67</v>
      </c>
      <c r="X5729" s="5" t="s">
        <v>67</v>
      </c>
      <c r="Y5729" s="4">
        <v>30</v>
      </c>
      <c r="Z5729" s="4">
        <v>6</v>
      </c>
      <c r="AA5729" s="4">
        <v>9</v>
      </c>
      <c r="AB5729" s="4">
        <v>1</v>
      </c>
      <c r="AC5729" s="4">
        <v>1</v>
      </c>
      <c r="AD5729" s="4">
        <v>16</v>
      </c>
      <c r="AE5729" s="4">
        <v>18</v>
      </c>
      <c r="AF5729" s="4">
        <v>0</v>
      </c>
      <c r="AG5729" s="4">
        <v>0</v>
      </c>
      <c r="AH5729" s="4">
        <v>11</v>
      </c>
      <c r="AI5729" s="4">
        <v>13</v>
      </c>
      <c r="AJ5729" s="4">
        <v>3</v>
      </c>
      <c r="AK5729" s="4">
        <v>4</v>
      </c>
      <c r="AL5729" s="4">
        <v>8</v>
      </c>
      <c r="AM5729" s="4">
        <v>9</v>
      </c>
      <c r="AN5729" s="4">
        <v>0</v>
      </c>
      <c r="AO5729" s="4">
        <v>0</v>
      </c>
      <c r="AP5729" s="4">
        <v>3</v>
      </c>
      <c r="AQ5729" s="4">
        <v>4</v>
      </c>
      <c r="AR5729" s="3" t="s">
        <v>61</v>
      </c>
      <c r="AS5729" s="3" t="s">
        <v>61</v>
      </c>
      <c r="AT5729" s="3" t="s">
        <v>62</v>
      </c>
      <c r="AU5729" s="6" t="str">
        <f>HYPERLINK("http://catalog.hathitrust.org/Record/001485584","HathiTrust Record")</f>
        <v>HathiTrust Record</v>
      </c>
      <c r="AV5729" s="6" t="str">
        <f>HYPERLINK("http://mcgill.on.worldcat.org/oclc/7720224","Catalog Record")</f>
        <v>Catalog Record</v>
      </c>
      <c r="AW5729" s="6" t="str">
        <f>HYPERLINK("http://www.worldcat.org/oclc/7720224","WorldCat Record")</f>
        <v>WorldCat Record</v>
      </c>
      <c r="AX5729" s="3" t="s">
        <v>54263</v>
      </c>
      <c r="AY5729" s="3" t="s">
        <v>54264</v>
      </c>
      <c r="AZ5729" s="3" t="s">
        <v>54265</v>
      </c>
      <c r="BA5729" s="3" t="s">
        <v>54265</v>
      </c>
      <c r="BB5729" s="3" t="s">
        <v>54266</v>
      </c>
      <c r="BC5729" s="3" t="s">
        <v>102</v>
      </c>
      <c r="BD5729" s="3" t="s">
        <v>68</v>
      </c>
      <c r="BF5729" s="3" t="s">
        <v>54266</v>
      </c>
      <c r="BG5729" s="3" t="s">
        <v>54267</v>
      </c>
    </row>
    <row r="5730" spans="1:59" ht="58" x14ac:dyDescent="0.35">
      <c r="A5730" s="2" t="s">
        <v>89</v>
      </c>
      <c r="B5730" s="2" t="s">
        <v>90</v>
      </c>
      <c r="C5730" s="2" t="s">
        <v>54257</v>
      </c>
      <c r="D5730" s="2" t="s">
        <v>54258</v>
      </c>
      <c r="E5730" s="2" t="s">
        <v>54259</v>
      </c>
      <c r="G5730" s="3" t="s">
        <v>61</v>
      </c>
      <c r="I5730" s="3" t="s">
        <v>61</v>
      </c>
      <c r="J5730" s="3" t="s">
        <v>62</v>
      </c>
      <c r="K5730" s="3" t="s">
        <v>63</v>
      </c>
      <c r="L5730" s="2" t="s">
        <v>54260</v>
      </c>
      <c r="M5730" s="2" t="s">
        <v>54261</v>
      </c>
      <c r="N5730" s="3" t="s">
        <v>239</v>
      </c>
      <c r="P5730" s="3" t="s">
        <v>64</v>
      </c>
      <c r="R5730" s="3" t="s">
        <v>27443</v>
      </c>
      <c r="S5730" s="4">
        <v>0</v>
      </c>
      <c r="T5730" s="4">
        <v>1</v>
      </c>
      <c r="V5730" s="5" t="s">
        <v>54262</v>
      </c>
      <c r="W5730" s="5" t="s">
        <v>67</v>
      </c>
      <c r="X5730" s="5" t="s">
        <v>67</v>
      </c>
      <c r="Y5730" s="4">
        <v>30</v>
      </c>
      <c r="Z5730" s="4">
        <v>6</v>
      </c>
      <c r="AA5730" s="4">
        <v>9</v>
      </c>
      <c r="AB5730" s="4">
        <v>1</v>
      </c>
      <c r="AC5730" s="4">
        <v>1</v>
      </c>
      <c r="AD5730" s="4">
        <v>16</v>
      </c>
      <c r="AE5730" s="4">
        <v>18</v>
      </c>
      <c r="AF5730" s="4">
        <v>0</v>
      </c>
      <c r="AG5730" s="4">
        <v>0</v>
      </c>
      <c r="AH5730" s="4">
        <v>11</v>
      </c>
      <c r="AI5730" s="4">
        <v>13</v>
      </c>
      <c r="AJ5730" s="4">
        <v>3</v>
      </c>
      <c r="AK5730" s="4">
        <v>4</v>
      </c>
      <c r="AL5730" s="4">
        <v>8</v>
      </c>
      <c r="AM5730" s="4">
        <v>9</v>
      </c>
      <c r="AN5730" s="4">
        <v>0</v>
      </c>
      <c r="AO5730" s="4">
        <v>0</v>
      </c>
      <c r="AP5730" s="4">
        <v>3</v>
      </c>
      <c r="AQ5730" s="4">
        <v>4</v>
      </c>
      <c r="AR5730" s="3" t="s">
        <v>61</v>
      </c>
      <c r="AS5730" s="3" t="s">
        <v>61</v>
      </c>
      <c r="AT5730" s="3" t="s">
        <v>62</v>
      </c>
      <c r="AU5730" s="6" t="str">
        <f>HYPERLINK("http://catalog.hathitrust.org/Record/001485584","HathiTrust Record")</f>
        <v>HathiTrust Record</v>
      </c>
      <c r="AV5730" s="6" t="str">
        <f>HYPERLINK("http://mcgill.on.worldcat.org/oclc/7720224","Catalog Record")</f>
        <v>Catalog Record</v>
      </c>
      <c r="AW5730" s="6" t="str">
        <f>HYPERLINK("http://www.worldcat.org/oclc/7720224","WorldCat Record")</f>
        <v>WorldCat Record</v>
      </c>
      <c r="AX5730" s="3" t="s">
        <v>54263</v>
      </c>
      <c r="AY5730" s="3" t="s">
        <v>54264</v>
      </c>
      <c r="AZ5730" s="3" t="s">
        <v>54265</v>
      </c>
      <c r="BA5730" s="3" t="s">
        <v>54265</v>
      </c>
      <c r="BB5730" s="3" t="s">
        <v>54268</v>
      </c>
      <c r="BC5730" s="3" t="s">
        <v>102</v>
      </c>
      <c r="BD5730" s="3" t="s">
        <v>68</v>
      </c>
      <c r="BF5730" s="3" t="s">
        <v>54268</v>
      </c>
      <c r="BG5730" s="3" t="s">
        <v>54269</v>
      </c>
    </row>
    <row r="5731" spans="1:59" ht="72.5" x14ac:dyDescent="0.35">
      <c r="A5731" s="2" t="s">
        <v>89</v>
      </c>
      <c r="B5731" s="2" t="s">
        <v>1231</v>
      </c>
      <c r="C5731" s="2" t="s">
        <v>54270</v>
      </c>
      <c r="D5731" s="2" t="s">
        <v>54271</v>
      </c>
      <c r="E5731" s="2" t="s">
        <v>54272</v>
      </c>
      <c r="G5731" s="3" t="s">
        <v>62</v>
      </c>
      <c r="I5731" s="3" t="s">
        <v>61</v>
      </c>
      <c r="J5731" s="3" t="s">
        <v>62</v>
      </c>
      <c r="K5731" s="3" t="s">
        <v>63</v>
      </c>
      <c r="L5731" s="2" t="s">
        <v>54273</v>
      </c>
      <c r="M5731" s="2" t="s">
        <v>54274</v>
      </c>
      <c r="N5731" s="3" t="s">
        <v>201</v>
      </c>
      <c r="P5731" s="3" t="s">
        <v>64</v>
      </c>
      <c r="R5731" s="3" t="s">
        <v>32039</v>
      </c>
      <c r="S5731" s="4">
        <v>15</v>
      </c>
      <c r="T5731" s="4">
        <v>23</v>
      </c>
      <c r="U5731" s="5" t="s">
        <v>33519</v>
      </c>
      <c r="V5731" s="5" t="s">
        <v>33519</v>
      </c>
      <c r="W5731" s="5" t="s">
        <v>67</v>
      </c>
      <c r="X5731" s="5" t="s">
        <v>67</v>
      </c>
      <c r="Y5731" s="4">
        <v>220</v>
      </c>
      <c r="Z5731" s="4">
        <v>17</v>
      </c>
      <c r="AA5731" s="4">
        <v>21</v>
      </c>
      <c r="AB5731" s="4">
        <v>1</v>
      </c>
      <c r="AC5731" s="4">
        <v>2</v>
      </c>
      <c r="AD5731" s="4">
        <v>74</v>
      </c>
      <c r="AE5731" s="4">
        <v>79</v>
      </c>
      <c r="AF5731" s="4">
        <v>0</v>
      </c>
      <c r="AG5731" s="4">
        <v>0</v>
      </c>
      <c r="AH5731" s="4">
        <v>66</v>
      </c>
      <c r="AI5731" s="4">
        <v>70</v>
      </c>
      <c r="AJ5731" s="4">
        <v>11</v>
      </c>
      <c r="AK5731" s="4">
        <v>11</v>
      </c>
      <c r="AL5731" s="4">
        <v>42</v>
      </c>
      <c r="AM5731" s="4">
        <v>45</v>
      </c>
      <c r="AN5731" s="4">
        <v>0</v>
      </c>
      <c r="AO5731" s="4">
        <v>0</v>
      </c>
      <c r="AP5731" s="4">
        <v>13</v>
      </c>
      <c r="AQ5731" s="4">
        <v>14</v>
      </c>
      <c r="AR5731" s="3" t="s">
        <v>62</v>
      </c>
      <c r="AS5731" s="3" t="s">
        <v>62</v>
      </c>
      <c r="AT5731" s="3" t="s">
        <v>62</v>
      </c>
      <c r="AV5731" s="6" t="str">
        <f>HYPERLINK("http://mcgill.on.worldcat.org/oclc/2896768","Catalog Record")</f>
        <v>Catalog Record</v>
      </c>
      <c r="AW5731" s="6" t="str">
        <f>HYPERLINK("http://www.worldcat.org/oclc/2896768","WorldCat Record")</f>
        <v>WorldCat Record</v>
      </c>
      <c r="AX5731" s="3" t="s">
        <v>54275</v>
      </c>
      <c r="AY5731" s="3" t="s">
        <v>54276</v>
      </c>
      <c r="AZ5731" s="3" t="s">
        <v>54277</v>
      </c>
      <c r="BA5731" s="3" t="s">
        <v>54277</v>
      </c>
      <c r="BB5731" s="3" t="s">
        <v>54278</v>
      </c>
      <c r="BC5731" s="3" t="s">
        <v>102</v>
      </c>
      <c r="BD5731" s="3" t="s">
        <v>68</v>
      </c>
      <c r="BE5731" s="3" t="s">
        <v>54279</v>
      </c>
      <c r="BF5731" s="3" t="s">
        <v>54278</v>
      </c>
      <c r="BG5731" s="3" t="s">
        <v>54280</v>
      </c>
    </row>
    <row r="5732" spans="1:59" ht="58" x14ac:dyDescent="0.35">
      <c r="A5732" s="2" t="s">
        <v>89</v>
      </c>
      <c r="B5732" s="2" t="s">
        <v>90</v>
      </c>
      <c r="C5732" s="2" t="s">
        <v>54281</v>
      </c>
      <c r="D5732" s="2" t="s">
        <v>54282</v>
      </c>
      <c r="E5732" s="2" t="s">
        <v>54283</v>
      </c>
      <c r="G5732" s="3" t="s">
        <v>61</v>
      </c>
      <c r="I5732" s="3" t="s">
        <v>61</v>
      </c>
      <c r="J5732" s="3" t="s">
        <v>62</v>
      </c>
      <c r="K5732" s="3" t="s">
        <v>63</v>
      </c>
      <c r="L5732" s="2" t="s">
        <v>33345</v>
      </c>
      <c r="M5732" s="2" t="s">
        <v>54284</v>
      </c>
      <c r="N5732" s="3" t="s">
        <v>13192</v>
      </c>
      <c r="P5732" s="3" t="s">
        <v>64</v>
      </c>
      <c r="R5732" s="3" t="s">
        <v>32962</v>
      </c>
      <c r="S5732" s="4">
        <v>0</v>
      </c>
      <c r="T5732" s="4">
        <v>1</v>
      </c>
      <c r="V5732" s="5" t="s">
        <v>54285</v>
      </c>
      <c r="W5732" s="5" t="s">
        <v>67</v>
      </c>
      <c r="X5732" s="5" t="s">
        <v>67</v>
      </c>
      <c r="Y5732" s="4">
        <v>15</v>
      </c>
      <c r="Z5732" s="4">
        <v>14</v>
      </c>
      <c r="AA5732" s="4">
        <v>24</v>
      </c>
      <c r="AB5732" s="4">
        <v>2</v>
      </c>
      <c r="AC5732" s="4">
        <v>4</v>
      </c>
      <c r="AD5732" s="4">
        <v>10</v>
      </c>
      <c r="AE5732" s="4">
        <v>36</v>
      </c>
      <c r="AF5732" s="4">
        <v>1</v>
      </c>
      <c r="AG5732" s="4">
        <v>2</v>
      </c>
      <c r="AH5732" s="4">
        <v>7</v>
      </c>
      <c r="AI5732" s="4">
        <v>27</v>
      </c>
      <c r="AJ5732" s="4">
        <v>7</v>
      </c>
      <c r="AK5732" s="4">
        <v>13</v>
      </c>
      <c r="AL5732" s="4">
        <v>1</v>
      </c>
      <c r="AM5732" s="4">
        <v>16</v>
      </c>
      <c r="AN5732" s="4">
        <v>0</v>
      </c>
      <c r="AO5732" s="4">
        <v>0</v>
      </c>
      <c r="AP5732" s="4">
        <v>10</v>
      </c>
      <c r="AQ5732" s="4">
        <v>16</v>
      </c>
      <c r="AR5732" s="3" t="s">
        <v>61</v>
      </c>
      <c r="AS5732" s="3" t="s">
        <v>62</v>
      </c>
      <c r="AT5732" s="3" t="s">
        <v>62</v>
      </c>
      <c r="AV5732" s="6" t="str">
        <f>HYPERLINK("http://mcgill.on.worldcat.org/oclc/184747931","Catalog Record")</f>
        <v>Catalog Record</v>
      </c>
      <c r="AW5732" s="6" t="str">
        <f>HYPERLINK("http://www.worldcat.org/oclc/184747931","WorldCat Record")</f>
        <v>WorldCat Record</v>
      </c>
      <c r="AX5732" s="3" t="s">
        <v>54286</v>
      </c>
      <c r="AY5732" s="3" t="s">
        <v>54287</v>
      </c>
      <c r="AZ5732" s="3" t="s">
        <v>54288</v>
      </c>
      <c r="BA5732" s="3" t="s">
        <v>54288</v>
      </c>
      <c r="BB5732" s="3" t="s">
        <v>54289</v>
      </c>
      <c r="BC5732" s="3" t="s">
        <v>102</v>
      </c>
      <c r="BD5732" s="3" t="s">
        <v>68</v>
      </c>
      <c r="BF5732" s="3" t="s">
        <v>54289</v>
      </c>
      <c r="BG5732" s="3" t="s">
        <v>54290</v>
      </c>
    </row>
    <row r="5733" spans="1:59" ht="58" x14ac:dyDescent="0.35">
      <c r="A5733" s="2" t="s">
        <v>89</v>
      </c>
      <c r="B5733" s="2" t="s">
        <v>90</v>
      </c>
      <c r="C5733" s="2" t="s">
        <v>54291</v>
      </c>
      <c r="D5733" s="2" t="s">
        <v>54292</v>
      </c>
      <c r="E5733" s="2" t="s">
        <v>54293</v>
      </c>
      <c r="G5733" s="3" t="s">
        <v>62</v>
      </c>
      <c r="I5733" s="3" t="s">
        <v>62</v>
      </c>
      <c r="J5733" s="3" t="s">
        <v>62</v>
      </c>
      <c r="K5733" s="3" t="s">
        <v>63</v>
      </c>
      <c r="M5733" s="2" t="s">
        <v>54294</v>
      </c>
      <c r="N5733" s="3" t="s">
        <v>1639</v>
      </c>
      <c r="P5733" s="3" t="s">
        <v>64</v>
      </c>
      <c r="Q5733" s="2" t="s">
        <v>54295</v>
      </c>
      <c r="R5733" s="3" t="s">
        <v>32962</v>
      </c>
      <c r="S5733" s="4">
        <v>1</v>
      </c>
      <c r="T5733" s="4">
        <v>1</v>
      </c>
      <c r="U5733" s="5" t="s">
        <v>32893</v>
      </c>
      <c r="V5733" s="5" t="s">
        <v>32893</v>
      </c>
      <c r="W5733" s="5" t="s">
        <v>67</v>
      </c>
      <c r="X5733" s="5" t="s">
        <v>67</v>
      </c>
      <c r="Y5733" s="4">
        <v>259</v>
      </c>
      <c r="Z5733" s="4">
        <v>35</v>
      </c>
      <c r="AA5733" s="4">
        <v>45</v>
      </c>
      <c r="AB5733" s="4">
        <v>3</v>
      </c>
      <c r="AC5733" s="4">
        <v>8</v>
      </c>
      <c r="AD5733" s="4">
        <v>97</v>
      </c>
      <c r="AE5733" s="4">
        <v>105</v>
      </c>
      <c r="AF5733" s="4">
        <v>2</v>
      </c>
      <c r="AG5733" s="4">
        <v>6</v>
      </c>
      <c r="AH5733" s="4">
        <v>77</v>
      </c>
      <c r="AI5733" s="4">
        <v>81</v>
      </c>
      <c r="AJ5733" s="4">
        <v>18</v>
      </c>
      <c r="AK5733" s="4">
        <v>26</v>
      </c>
      <c r="AL5733" s="4">
        <v>43</v>
      </c>
      <c r="AM5733" s="4">
        <v>44</v>
      </c>
      <c r="AN5733" s="4">
        <v>0</v>
      </c>
      <c r="AO5733" s="4">
        <v>0</v>
      </c>
      <c r="AP5733" s="4">
        <v>24</v>
      </c>
      <c r="AQ5733" s="4">
        <v>31</v>
      </c>
      <c r="AR5733" s="3" t="s">
        <v>61</v>
      </c>
      <c r="AS5733" s="3" t="s">
        <v>62</v>
      </c>
      <c r="AT5733" s="3" t="s">
        <v>62</v>
      </c>
      <c r="AV5733" s="6" t="str">
        <f>HYPERLINK("http://mcgill.on.worldcat.org/oclc/205352","Catalog Record")</f>
        <v>Catalog Record</v>
      </c>
      <c r="AW5733" s="6" t="str">
        <f>HYPERLINK("http://www.worldcat.org/oclc/205352","WorldCat Record")</f>
        <v>WorldCat Record</v>
      </c>
      <c r="AX5733" s="3" t="s">
        <v>54296</v>
      </c>
      <c r="AY5733" s="3" t="s">
        <v>54297</v>
      </c>
      <c r="AZ5733" s="3" t="s">
        <v>54298</v>
      </c>
      <c r="BA5733" s="3" t="s">
        <v>54298</v>
      </c>
      <c r="BB5733" s="3" t="s">
        <v>54299</v>
      </c>
      <c r="BC5733" s="3" t="s">
        <v>102</v>
      </c>
      <c r="BD5733" s="3" t="s">
        <v>68</v>
      </c>
      <c r="BF5733" s="3" t="s">
        <v>54299</v>
      </c>
      <c r="BG5733" s="3" t="s">
        <v>54300</v>
      </c>
    </row>
    <row r="5734" spans="1:59" ht="58" x14ac:dyDescent="0.35">
      <c r="A5734" s="2" t="s">
        <v>59</v>
      </c>
      <c r="B5734" s="2" t="s">
        <v>60</v>
      </c>
      <c r="C5734" s="2" t="s">
        <v>54301</v>
      </c>
      <c r="D5734" s="2" t="s">
        <v>54302</v>
      </c>
      <c r="E5734" s="2" t="s">
        <v>54303</v>
      </c>
      <c r="G5734" s="3" t="s">
        <v>62</v>
      </c>
      <c r="I5734" s="3" t="s">
        <v>61</v>
      </c>
      <c r="J5734" s="3" t="s">
        <v>62</v>
      </c>
      <c r="K5734" s="3" t="s">
        <v>63</v>
      </c>
      <c r="L5734" s="2" t="s">
        <v>54304</v>
      </c>
      <c r="M5734" s="2" t="s">
        <v>54305</v>
      </c>
      <c r="N5734" s="3" t="s">
        <v>1467</v>
      </c>
      <c r="P5734" s="3" t="s">
        <v>64</v>
      </c>
      <c r="Q5734" s="2" t="s">
        <v>54306</v>
      </c>
      <c r="R5734" s="3" t="s">
        <v>32962</v>
      </c>
      <c r="S5734" s="4">
        <v>0</v>
      </c>
      <c r="T5734" s="4">
        <v>6</v>
      </c>
      <c r="V5734" s="5" t="s">
        <v>6738</v>
      </c>
      <c r="W5734" s="5" t="s">
        <v>67</v>
      </c>
      <c r="X5734" s="5" t="s">
        <v>67</v>
      </c>
      <c r="Y5734" s="4">
        <v>1</v>
      </c>
      <c r="Z5734" s="4">
        <v>1</v>
      </c>
      <c r="AA5734" s="4">
        <v>18</v>
      </c>
      <c r="AB5734" s="4">
        <v>1</v>
      </c>
      <c r="AC5734" s="4">
        <v>5</v>
      </c>
      <c r="AD5734" s="4">
        <v>0</v>
      </c>
      <c r="AE5734" s="4">
        <v>20</v>
      </c>
      <c r="AF5734" s="4">
        <v>0</v>
      </c>
      <c r="AG5734" s="4">
        <v>3</v>
      </c>
      <c r="AH5734" s="4">
        <v>0</v>
      </c>
      <c r="AI5734" s="4">
        <v>11</v>
      </c>
      <c r="AJ5734" s="4">
        <v>0</v>
      </c>
      <c r="AK5734" s="4">
        <v>12</v>
      </c>
      <c r="AL5734" s="4">
        <v>0</v>
      </c>
      <c r="AM5734" s="4">
        <v>4</v>
      </c>
      <c r="AN5734" s="4">
        <v>0</v>
      </c>
      <c r="AO5734" s="4">
        <v>0</v>
      </c>
      <c r="AP5734" s="4">
        <v>0</v>
      </c>
      <c r="AQ5734" s="4">
        <v>13</v>
      </c>
      <c r="AR5734" s="3" t="s">
        <v>61</v>
      </c>
      <c r="AS5734" s="3" t="s">
        <v>62</v>
      </c>
      <c r="AT5734" s="3" t="s">
        <v>62</v>
      </c>
      <c r="AV5734" s="6" t="str">
        <f>HYPERLINK("http://mcgill.on.worldcat.org/oclc/427293239","Catalog Record")</f>
        <v>Catalog Record</v>
      </c>
      <c r="AW5734" s="6" t="str">
        <f>HYPERLINK("http://www.worldcat.org/oclc/427293239","WorldCat Record")</f>
        <v>WorldCat Record</v>
      </c>
      <c r="AX5734" s="3" t="s">
        <v>54307</v>
      </c>
      <c r="AY5734" s="3" t="s">
        <v>54308</v>
      </c>
      <c r="AZ5734" s="3" t="s">
        <v>54309</v>
      </c>
      <c r="BA5734" s="3" t="s">
        <v>54309</v>
      </c>
      <c r="BB5734" s="3" t="s">
        <v>54310</v>
      </c>
      <c r="BC5734" s="3" t="s">
        <v>102</v>
      </c>
      <c r="BD5734" s="3" t="s">
        <v>68</v>
      </c>
      <c r="BF5734" s="3" t="s">
        <v>54310</v>
      </c>
      <c r="BG5734" s="3" t="s">
        <v>54311</v>
      </c>
    </row>
    <row r="5735" spans="1:59" ht="58" x14ac:dyDescent="0.35">
      <c r="A5735" s="2" t="s">
        <v>89</v>
      </c>
      <c r="B5735" s="2" t="s">
        <v>90</v>
      </c>
      <c r="C5735" s="2" t="s">
        <v>54312</v>
      </c>
      <c r="D5735" s="2" t="s">
        <v>54313</v>
      </c>
      <c r="E5735" s="2" t="s">
        <v>54314</v>
      </c>
      <c r="F5735" s="3" t="s">
        <v>1416</v>
      </c>
      <c r="G5735" s="3" t="s">
        <v>61</v>
      </c>
      <c r="I5735" s="3" t="s">
        <v>62</v>
      </c>
      <c r="J5735" s="3" t="s">
        <v>62</v>
      </c>
      <c r="K5735" s="3" t="s">
        <v>63</v>
      </c>
      <c r="L5735" s="2" t="s">
        <v>54315</v>
      </c>
      <c r="M5735" s="2" t="s">
        <v>54316</v>
      </c>
      <c r="N5735" s="3" t="s">
        <v>2305</v>
      </c>
      <c r="P5735" s="3" t="s">
        <v>85</v>
      </c>
      <c r="R5735" s="3" t="s">
        <v>32962</v>
      </c>
      <c r="S5735" s="4">
        <v>0</v>
      </c>
      <c r="T5735" s="4">
        <v>1</v>
      </c>
      <c r="V5735" s="5" t="s">
        <v>31490</v>
      </c>
      <c r="W5735" s="5" t="s">
        <v>67</v>
      </c>
      <c r="X5735" s="5" t="s">
        <v>67</v>
      </c>
      <c r="Y5735" s="4">
        <v>106</v>
      </c>
      <c r="Z5735" s="4">
        <v>5</v>
      </c>
      <c r="AA5735" s="4">
        <v>9</v>
      </c>
      <c r="AB5735" s="4">
        <v>1</v>
      </c>
      <c r="AC5735" s="4">
        <v>4</v>
      </c>
      <c r="AD5735" s="4">
        <v>37</v>
      </c>
      <c r="AE5735" s="4">
        <v>41</v>
      </c>
      <c r="AF5735" s="4">
        <v>0</v>
      </c>
      <c r="AG5735" s="4">
        <v>3</v>
      </c>
      <c r="AH5735" s="4">
        <v>34</v>
      </c>
      <c r="AI5735" s="4">
        <v>36</v>
      </c>
      <c r="AJ5735" s="4">
        <v>3</v>
      </c>
      <c r="AK5735" s="4">
        <v>7</v>
      </c>
      <c r="AL5735" s="4">
        <v>28</v>
      </c>
      <c r="AM5735" s="4">
        <v>28</v>
      </c>
      <c r="AN5735" s="4">
        <v>0</v>
      </c>
      <c r="AO5735" s="4">
        <v>0</v>
      </c>
      <c r="AP5735" s="4">
        <v>3</v>
      </c>
      <c r="AQ5735" s="4">
        <v>6</v>
      </c>
      <c r="AR5735" s="3" t="s">
        <v>62</v>
      </c>
      <c r="AS5735" s="3" t="s">
        <v>62</v>
      </c>
      <c r="AT5735" s="3" t="s">
        <v>61</v>
      </c>
      <c r="AU5735" s="6" t="str">
        <f>HYPERLINK("http://catalog.hathitrust.org/Record/001996818","HathiTrust Record")</f>
        <v>HathiTrust Record</v>
      </c>
      <c r="AV5735" s="6" t="str">
        <f>HYPERLINK("http://mcgill.on.worldcat.org/oclc/2380958","Catalog Record")</f>
        <v>Catalog Record</v>
      </c>
      <c r="AW5735" s="6" t="str">
        <f>HYPERLINK("http://www.worldcat.org/oclc/2380958","WorldCat Record")</f>
        <v>WorldCat Record</v>
      </c>
      <c r="AX5735" s="3" t="s">
        <v>54317</v>
      </c>
      <c r="AY5735" s="3" t="s">
        <v>54318</v>
      </c>
      <c r="AZ5735" s="3" t="s">
        <v>54319</v>
      </c>
      <c r="BA5735" s="3" t="s">
        <v>54319</v>
      </c>
      <c r="BB5735" s="3" t="s">
        <v>54320</v>
      </c>
      <c r="BC5735" s="3" t="s">
        <v>102</v>
      </c>
      <c r="BD5735" s="3" t="s">
        <v>68</v>
      </c>
      <c r="BF5735" s="3" t="s">
        <v>54320</v>
      </c>
      <c r="BG5735" s="3" t="s">
        <v>54321</v>
      </c>
    </row>
    <row r="5736" spans="1:59" ht="58" x14ac:dyDescent="0.35">
      <c r="A5736" s="2" t="s">
        <v>89</v>
      </c>
      <c r="B5736" s="2" t="s">
        <v>90</v>
      </c>
      <c r="C5736" s="2" t="s">
        <v>54312</v>
      </c>
      <c r="D5736" s="2" t="s">
        <v>54313</v>
      </c>
      <c r="E5736" s="2" t="s">
        <v>54314</v>
      </c>
      <c r="F5736" s="3" t="s">
        <v>1413</v>
      </c>
      <c r="G5736" s="3" t="s">
        <v>61</v>
      </c>
      <c r="I5736" s="3" t="s">
        <v>62</v>
      </c>
      <c r="J5736" s="3" t="s">
        <v>62</v>
      </c>
      <c r="K5736" s="3" t="s">
        <v>63</v>
      </c>
      <c r="L5736" s="2" t="s">
        <v>54315</v>
      </c>
      <c r="M5736" s="2" t="s">
        <v>54316</v>
      </c>
      <c r="N5736" s="3" t="s">
        <v>2305</v>
      </c>
      <c r="P5736" s="3" t="s">
        <v>85</v>
      </c>
      <c r="R5736" s="3" t="s">
        <v>32962</v>
      </c>
      <c r="S5736" s="4">
        <v>1</v>
      </c>
      <c r="T5736" s="4">
        <v>1</v>
      </c>
      <c r="U5736" s="5" t="s">
        <v>31490</v>
      </c>
      <c r="V5736" s="5" t="s">
        <v>31490</v>
      </c>
      <c r="W5736" s="5" t="s">
        <v>67</v>
      </c>
      <c r="X5736" s="5" t="s">
        <v>67</v>
      </c>
      <c r="Y5736" s="4">
        <v>106</v>
      </c>
      <c r="Z5736" s="4">
        <v>5</v>
      </c>
      <c r="AA5736" s="4">
        <v>9</v>
      </c>
      <c r="AB5736" s="4">
        <v>1</v>
      </c>
      <c r="AC5736" s="4">
        <v>4</v>
      </c>
      <c r="AD5736" s="4">
        <v>37</v>
      </c>
      <c r="AE5736" s="4">
        <v>41</v>
      </c>
      <c r="AF5736" s="4">
        <v>0</v>
      </c>
      <c r="AG5736" s="4">
        <v>3</v>
      </c>
      <c r="AH5736" s="4">
        <v>34</v>
      </c>
      <c r="AI5736" s="4">
        <v>36</v>
      </c>
      <c r="AJ5736" s="4">
        <v>3</v>
      </c>
      <c r="AK5736" s="4">
        <v>7</v>
      </c>
      <c r="AL5736" s="4">
        <v>28</v>
      </c>
      <c r="AM5736" s="4">
        <v>28</v>
      </c>
      <c r="AN5736" s="4">
        <v>0</v>
      </c>
      <c r="AO5736" s="4">
        <v>0</v>
      </c>
      <c r="AP5736" s="4">
        <v>3</v>
      </c>
      <c r="AQ5736" s="4">
        <v>6</v>
      </c>
      <c r="AR5736" s="3" t="s">
        <v>62</v>
      </c>
      <c r="AS5736" s="3" t="s">
        <v>62</v>
      </c>
      <c r="AT5736" s="3" t="s">
        <v>61</v>
      </c>
      <c r="AU5736" s="6" t="str">
        <f>HYPERLINK("http://catalog.hathitrust.org/Record/001996818","HathiTrust Record")</f>
        <v>HathiTrust Record</v>
      </c>
      <c r="AV5736" s="6" t="str">
        <f>HYPERLINK("http://mcgill.on.worldcat.org/oclc/2380958","Catalog Record")</f>
        <v>Catalog Record</v>
      </c>
      <c r="AW5736" s="6" t="str">
        <f>HYPERLINK("http://www.worldcat.org/oclc/2380958","WorldCat Record")</f>
        <v>WorldCat Record</v>
      </c>
      <c r="AX5736" s="3" t="s">
        <v>54317</v>
      </c>
      <c r="AY5736" s="3" t="s">
        <v>54318</v>
      </c>
      <c r="AZ5736" s="3" t="s">
        <v>54319</v>
      </c>
      <c r="BA5736" s="3" t="s">
        <v>54319</v>
      </c>
      <c r="BB5736" s="3" t="s">
        <v>54322</v>
      </c>
      <c r="BC5736" s="3" t="s">
        <v>102</v>
      </c>
      <c r="BD5736" s="3" t="s">
        <v>68</v>
      </c>
      <c r="BF5736" s="3" t="s">
        <v>54322</v>
      </c>
      <c r="BG5736" s="3" t="s">
        <v>54323</v>
      </c>
    </row>
    <row r="5737" spans="1:59" ht="58" x14ac:dyDescent="0.35">
      <c r="A5737" s="2" t="s">
        <v>89</v>
      </c>
      <c r="B5737" s="2" t="s">
        <v>90</v>
      </c>
      <c r="C5737" s="2" t="s">
        <v>54324</v>
      </c>
      <c r="D5737" s="2" t="s">
        <v>54325</v>
      </c>
      <c r="E5737" s="2" t="s">
        <v>54326</v>
      </c>
      <c r="F5737" s="3" t="s">
        <v>2241</v>
      </c>
      <c r="G5737" s="3" t="s">
        <v>61</v>
      </c>
      <c r="I5737" s="3" t="s">
        <v>62</v>
      </c>
      <c r="J5737" s="3" t="s">
        <v>62</v>
      </c>
      <c r="K5737" s="3" t="s">
        <v>63</v>
      </c>
      <c r="M5737" s="2" t="s">
        <v>54327</v>
      </c>
      <c r="N5737" s="3" t="s">
        <v>655</v>
      </c>
      <c r="P5737" s="3" t="s">
        <v>64</v>
      </c>
      <c r="R5737" s="3" t="s">
        <v>34126</v>
      </c>
      <c r="S5737" s="4">
        <v>0</v>
      </c>
      <c r="T5737" s="4">
        <v>6</v>
      </c>
      <c r="V5737" s="5" t="s">
        <v>14075</v>
      </c>
      <c r="W5737" s="5" t="s">
        <v>67</v>
      </c>
      <c r="X5737" s="5" t="s">
        <v>67</v>
      </c>
      <c r="Y5737" s="4">
        <v>51</v>
      </c>
      <c r="Z5737" s="4">
        <v>6</v>
      </c>
      <c r="AA5737" s="4">
        <v>7</v>
      </c>
      <c r="AB5737" s="4">
        <v>1</v>
      </c>
      <c r="AC5737" s="4">
        <v>2</v>
      </c>
      <c r="AD5737" s="4">
        <v>19</v>
      </c>
      <c r="AE5737" s="4">
        <v>20</v>
      </c>
      <c r="AF5737" s="4">
        <v>0</v>
      </c>
      <c r="AG5737" s="4">
        <v>1</v>
      </c>
      <c r="AH5737" s="4">
        <v>18</v>
      </c>
      <c r="AI5737" s="4">
        <v>18</v>
      </c>
      <c r="AJ5737" s="4">
        <v>3</v>
      </c>
      <c r="AK5737" s="4">
        <v>4</v>
      </c>
      <c r="AL5737" s="4">
        <v>12</v>
      </c>
      <c r="AM5737" s="4">
        <v>12</v>
      </c>
      <c r="AN5737" s="4">
        <v>0</v>
      </c>
      <c r="AO5737" s="4">
        <v>0</v>
      </c>
      <c r="AP5737" s="4">
        <v>3</v>
      </c>
      <c r="AQ5737" s="4">
        <v>4</v>
      </c>
      <c r="AR5737" s="3" t="s">
        <v>62</v>
      </c>
      <c r="AS5737" s="3" t="s">
        <v>62</v>
      </c>
      <c r="AT5737" s="3" t="s">
        <v>62</v>
      </c>
      <c r="AV5737" s="6" t="str">
        <f t="shared" ref="AV5737:AV5747" si="96">HYPERLINK("http://mcgill.on.worldcat.org/oclc/182582221","Catalog Record")</f>
        <v>Catalog Record</v>
      </c>
      <c r="AW5737" s="6" t="str">
        <f t="shared" ref="AW5737:AW5747" si="97">HYPERLINK("http://www.worldcat.org/oclc/182582221","WorldCat Record")</f>
        <v>WorldCat Record</v>
      </c>
      <c r="AX5737" s="3" t="s">
        <v>54328</v>
      </c>
      <c r="AY5737" s="3" t="s">
        <v>54329</v>
      </c>
      <c r="AZ5737" s="3" t="s">
        <v>54330</v>
      </c>
      <c r="BA5737" s="3" t="s">
        <v>54330</v>
      </c>
      <c r="BB5737" s="3" t="s">
        <v>54331</v>
      </c>
      <c r="BC5737" s="3" t="s">
        <v>102</v>
      </c>
      <c r="BD5737" s="3" t="s">
        <v>68</v>
      </c>
      <c r="BE5737" s="3" t="s">
        <v>54332</v>
      </c>
      <c r="BF5737" s="3" t="s">
        <v>54331</v>
      </c>
      <c r="BG5737" s="3" t="s">
        <v>54333</v>
      </c>
    </row>
    <row r="5738" spans="1:59" ht="58" x14ac:dyDescent="0.35">
      <c r="A5738" s="2" t="s">
        <v>89</v>
      </c>
      <c r="B5738" s="2" t="s">
        <v>90</v>
      </c>
      <c r="C5738" s="2" t="s">
        <v>54324</v>
      </c>
      <c r="D5738" s="2" t="s">
        <v>54325</v>
      </c>
      <c r="E5738" s="2" t="s">
        <v>54326</v>
      </c>
      <c r="F5738" s="3" t="s">
        <v>54334</v>
      </c>
      <c r="G5738" s="3" t="s">
        <v>61</v>
      </c>
      <c r="I5738" s="3" t="s">
        <v>62</v>
      </c>
      <c r="J5738" s="3" t="s">
        <v>62</v>
      </c>
      <c r="K5738" s="3" t="s">
        <v>63</v>
      </c>
      <c r="M5738" s="2" t="s">
        <v>54327</v>
      </c>
      <c r="N5738" s="3" t="s">
        <v>655</v>
      </c>
      <c r="P5738" s="3" t="s">
        <v>64</v>
      </c>
      <c r="R5738" s="3" t="s">
        <v>34126</v>
      </c>
      <c r="S5738" s="4">
        <v>1</v>
      </c>
      <c r="T5738" s="4">
        <v>6</v>
      </c>
      <c r="U5738" s="5" t="s">
        <v>54335</v>
      </c>
      <c r="V5738" s="5" t="s">
        <v>14075</v>
      </c>
      <c r="W5738" s="5" t="s">
        <v>67</v>
      </c>
      <c r="X5738" s="5" t="s">
        <v>67</v>
      </c>
      <c r="Y5738" s="4">
        <v>51</v>
      </c>
      <c r="Z5738" s="4">
        <v>6</v>
      </c>
      <c r="AA5738" s="4">
        <v>7</v>
      </c>
      <c r="AB5738" s="4">
        <v>1</v>
      </c>
      <c r="AC5738" s="4">
        <v>2</v>
      </c>
      <c r="AD5738" s="4">
        <v>19</v>
      </c>
      <c r="AE5738" s="4">
        <v>20</v>
      </c>
      <c r="AF5738" s="4">
        <v>0</v>
      </c>
      <c r="AG5738" s="4">
        <v>1</v>
      </c>
      <c r="AH5738" s="4">
        <v>18</v>
      </c>
      <c r="AI5738" s="4">
        <v>18</v>
      </c>
      <c r="AJ5738" s="4">
        <v>3</v>
      </c>
      <c r="AK5738" s="4">
        <v>4</v>
      </c>
      <c r="AL5738" s="4">
        <v>12</v>
      </c>
      <c r="AM5738" s="4">
        <v>12</v>
      </c>
      <c r="AN5738" s="4">
        <v>0</v>
      </c>
      <c r="AO5738" s="4">
        <v>0</v>
      </c>
      <c r="AP5738" s="4">
        <v>3</v>
      </c>
      <c r="AQ5738" s="4">
        <v>4</v>
      </c>
      <c r="AR5738" s="3" t="s">
        <v>62</v>
      </c>
      <c r="AS5738" s="3" t="s">
        <v>62</v>
      </c>
      <c r="AT5738" s="3" t="s">
        <v>62</v>
      </c>
      <c r="AV5738" s="6" t="str">
        <f t="shared" si="96"/>
        <v>Catalog Record</v>
      </c>
      <c r="AW5738" s="6" t="str">
        <f t="shared" si="97"/>
        <v>WorldCat Record</v>
      </c>
      <c r="AX5738" s="3" t="s">
        <v>54328</v>
      </c>
      <c r="AY5738" s="3" t="s">
        <v>54329</v>
      </c>
      <c r="AZ5738" s="3" t="s">
        <v>54330</v>
      </c>
      <c r="BA5738" s="3" t="s">
        <v>54330</v>
      </c>
      <c r="BB5738" s="3" t="s">
        <v>54336</v>
      </c>
      <c r="BC5738" s="3" t="s">
        <v>102</v>
      </c>
      <c r="BD5738" s="3" t="s">
        <v>68</v>
      </c>
      <c r="BE5738" s="3" t="s">
        <v>54332</v>
      </c>
      <c r="BF5738" s="3" t="s">
        <v>54336</v>
      </c>
      <c r="BG5738" s="3" t="s">
        <v>54337</v>
      </c>
    </row>
    <row r="5739" spans="1:59" ht="58" x14ac:dyDescent="0.35">
      <c r="A5739" s="2" t="s">
        <v>89</v>
      </c>
      <c r="B5739" s="2" t="s">
        <v>90</v>
      </c>
      <c r="C5739" s="2" t="s">
        <v>54324</v>
      </c>
      <c r="D5739" s="2" t="s">
        <v>54325</v>
      </c>
      <c r="E5739" s="2" t="s">
        <v>54326</v>
      </c>
      <c r="F5739" s="3" t="s">
        <v>54338</v>
      </c>
      <c r="G5739" s="3" t="s">
        <v>61</v>
      </c>
      <c r="I5739" s="3" t="s">
        <v>62</v>
      </c>
      <c r="J5739" s="3" t="s">
        <v>62</v>
      </c>
      <c r="K5739" s="3" t="s">
        <v>63</v>
      </c>
      <c r="M5739" s="2" t="s">
        <v>54327</v>
      </c>
      <c r="N5739" s="3" t="s">
        <v>655</v>
      </c>
      <c r="P5739" s="3" t="s">
        <v>64</v>
      </c>
      <c r="R5739" s="3" t="s">
        <v>34126</v>
      </c>
      <c r="S5739" s="4">
        <v>2</v>
      </c>
      <c r="T5739" s="4">
        <v>6</v>
      </c>
      <c r="U5739" s="5" t="s">
        <v>14075</v>
      </c>
      <c r="V5739" s="5" t="s">
        <v>14075</v>
      </c>
      <c r="W5739" s="5" t="s">
        <v>67</v>
      </c>
      <c r="X5739" s="5" t="s">
        <v>67</v>
      </c>
      <c r="Y5739" s="4">
        <v>51</v>
      </c>
      <c r="Z5739" s="4">
        <v>6</v>
      </c>
      <c r="AA5739" s="4">
        <v>7</v>
      </c>
      <c r="AB5739" s="4">
        <v>1</v>
      </c>
      <c r="AC5739" s="4">
        <v>2</v>
      </c>
      <c r="AD5739" s="4">
        <v>19</v>
      </c>
      <c r="AE5739" s="4">
        <v>20</v>
      </c>
      <c r="AF5739" s="4">
        <v>0</v>
      </c>
      <c r="AG5739" s="4">
        <v>1</v>
      </c>
      <c r="AH5739" s="4">
        <v>18</v>
      </c>
      <c r="AI5739" s="4">
        <v>18</v>
      </c>
      <c r="AJ5739" s="4">
        <v>3</v>
      </c>
      <c r="AK5739" s="4">
        <v>4</v>
      </c>
      <c r="AL5739" s="4">
        <v>12</v>
      </c>
      <c r="AM5739" s="4">
        <v>12</v>
      </c>
      <c r="AN5739" s="4">
        <v>0</v>
      </c>
      <c r="AO5739" s="4">
        <v>0</v>
      </c>
      <c r="AP5739" s="4">
        <v>3</v>
      </c>
      <c r="AQ5739" s="4">
        <v>4</v>
      </c>
      <c r="AR5739" s="3" t="s">
        <v>62</v>
      </c>
      <c r="AS5739" s="3" t="s">
        <v>62</v>
      </c>
      <c r="AT5739" s="3" t="s">
        <v>62</v>
      </c>
      <c r="AV5739" s="6" t="str">
        <f t="shared" si="96"/>
        <v>Catalog Record</v>
      </c>
      <c r="AW5739" s="6" t="str">
        <f t="shared" si="97"/>
        <v>WorldCat Record</v>
      </c>
      <c r="AX5739" s="3" t="s">
        <v>54328</v>
      </c>
      <c r="AY5739" s="3" t="s">
        <v>54329</v>
      </c>
      <c r="AZ5739" s="3" t="s">
        <v>54330</v>
      </c>
      <c r="BA5739" s="3" t="s">
        <v>54330</v>
      </c>
      <c r="BB5739" s="3" t="s">
        <v>54339</v>
      </c>
      <c r="BC5739" s="3" t="s">
        <v>102</v>
      </c>
      <c r="BD5739" s="3" t="s">
        <v>68</v>
      </c>
      <c r="BE5739" s="3" t="s">
        <v>54332</v>
      </c>
      <c r="BF5739" s="3" t="s">
        <v>54339</v>
      </c>
      <c r="BG5739" s="3" t="s">
        <v>54340</v>
      </c>
    </row>
    <row r="5740" spans="1:59" ht="58" x14ac:dyDescent="0.35">
      <c r="A5740" s="2" t="s">
        <v>89</v>
      </c>
      <c r="B5740" s="2" t="s">
        <v>90</v>
      </c>
      <c r="C5740" s="2" t="s">
        <v>54324</v>
      </c>
      <c r="D5740" s="2" t="s">
        <v>54325</v>
      </c>
      <c r="E5740" s="2" t="s">
        <v>54326</v>
      </c>
      <c r="F5740" s="3" t="s">
        <v>2223</v>
      </c>
      <c r="G5740" s="3" t="s">
        <v>61</v>
      </c>
      <c r="I5740" s="3" t="s">
        <v>62</v>
      </c>
      <c r="J5740" s="3" t="s">
        <v>62</v>
      </c>
      <c r="K5740" s="3" t="s">
        <v>63</v>
      </c>
      <c r="M5740" s="2" t="s">
        <v>54327</v>
      </c>
      <c r="N5740" s="3" t="s">
        <v>655</v>
      </c>
      <c r="P5740" s="3" t="s">
        <v>64</v>
      </c>
      <c r="R5740" s="3" t="s">
        <v>34126</v>
      </c>
      <c r="S5740" s="4">
        <v>0</v>
      </c>
      <c r="T5740" s="4">
        <v>6</v>
      </c>
      <c r="V5740" s="5" t="s">
        <v>14075</v>
      </c>
      <c r="W5740" s="5" t="s">
        <v>67</v>
      </c>
      <c r="X5740" s="5" t="s">
        <v>67</v>
      </c>
      <c r="Y5740" s="4">
        <v>51</v>
      </c>
      <c r="Z5740" s="4">
        <v>6</v>
      </c>
      <c r="AA5740" s="4">
        <v>7</v>
      </c>
      <c r="AB5740" s="4">
        <v>1</v>
      </c>
      <c r="AC5740" s="4">
        <v>2</v>
      </c>
      <c r="AD5740" s="4">
        <v>19</v>
      </c>
      <c r="AE5740" s="4">
        <v>20</v>
      </c>
      <c r="AF5740" s="4">
        <v>0</v>
      </c>
      <c r="AG5740" s="4">
        <v>1</v>
      </c>
      <c r="AH5740" s="4">
        <v>18</v>
      </c>
      <c r="AI5740" s="4">
        <v>18</v>
      </c>
      <c r="AJ5740" s="4">
        <v>3</v>
      </c>
      <c r="AK5740" s="4">
        <v>4</v>
      </c>
      <c r="AL5740" s="4">
        <v>12</v>
      </c>
      <c r="AM5740" s="4">
        <v>12</v>
      </c>
      <c r="AN5740" s="4">
        <v>0</v>
      </c>
      <c r="AO5740" s="4">
        <v>0</v>
      </c>
      <c r="AP5740" s="4">
        <v>3</v>
      </c>
      <c r="AQ5740" s="4">
        <v>4</v>
      </c>
      <c r="AR5740" s="3" t="s">
        <v>62</v>
      </c>
      <c r="AS5740" s="3" t="s">
        <v>62</v>
      </c>
      <c r="AT5740" s="3" t="s">
        <v>62</v>
      </c>
      <c r="AV5740" s="6" t="str">
        <f t="shared" si="96"/>
        <v>Catalog Record</v>
      </c>
      <c r="AW5740" s="6" t="str">
        <f t="shared" si="97"/>
        <v>WorldCat Record</v>
      </c>
      <c r="AX5740" s="3" t="s">
        <v>54328</v>
      </c>
      <c r="AY5740" s="3" t="s">
        <v>54329</v>
      </c>
      <c r="AZ5740" s="3" t="s">
        <v>54330</v>
      </c>
      <c r="BA5740" s="3" t="s">
        <v>54330</v>
      </c>
      <c r="BB5740" s="3" t="s">
        <v>54341</v>
      </c>
      <c r="BC5740" s="3" t="s">
        <v>102</v>
      </c>
      <c r="BD5740" s="3" t="s">
        <v>68</v>
      </c>
      <c r="BE5740" s="3" t="s">
        <v>54332</v>
      </c>
      <c r="BF5740" s="3" t="s">
        <v>54341</v>
      </c>
      <c r="BG5740" s="3" t="s">
        <v>54342</v>
      </c>
    </row>
    <row r="5741" spans="1:59" ht="58" x14ac:dyDescent="0.35">
      <c r="A5741" s="2" t="s">
        <v>89</v>
      </c>
      <c r="B5741" s="2" t="s">
        <v>90</v>
      </c>
      <c r="C5741" s="2" t="s">
        <v>54324</v>
      </c>
      <c r="D5741" s="2" t="s">
        <v>54325</v>
      </c>
      <c r="E5741" s="2" t="s">
        <v>54326</v>
      </c>
      <c r="F5741" s="3" t="s">
        <v>54343</v>
      </c>
      <c r="G5741" s="3" t="s">
        <v>61</v>
      </c>
      <c r="I5741" s="3" t="s">
        <v>62</v>
      </c>
      <c r="J5741" s="3" t="s">
        <v>62</v>
      </c>
      <c r="K5741" s="3" t="s">
        <v>63</v>
      </c>
      <c r="M5741" s="2" t="s">
        <v>54327</v>
      </c>
      <c r="N5741" s="3" t="s">
        <v>655</v>
      </c>
      <c r="P5741" s="3" t="s">
        <v>64</v>
      </c>
      <c r="R5741" s="3" t="s">
        <v>34126</v>
      </c>
      <c r="S5741" s="4">
        <v>0</v>
      </c>
      <c r="T5741" s="4">
        <v>6</v>
      </c>
      <c r="V5741" s="5" t="s">
        <v>14075</v>
      </c>
      <c r="W5741" s="5" t="s">
        <v>67</v>
      </c>
      <c r="X5741" s="5" t="s">
        <v>67</v>
      </c>
      <c r="Y5741" s="4">
        <v>51</v>
      </c>
      <c r="Z5741" s="4">
        <v>6</v>
      </c>
      <c r="AA5741" s="4">
        <v>7</v>
      </c>
      <c r="AB5741" s="4">
        <v>1</v>
      </c>
      <c r="AC5741" s="4">
        <v>2</v>
      </c>
      <c r="AD5741" s="4">
        <v>19</v>
      </c>
      <c r="AE5741" s="4">
        <v>20</v>
      </c>
      <c r="AF5741" s="4">
        <v>0</v>
      </c>
      <c r="AG5741" s="4">
        <v>1</v>
      </c>
      <c r="AH5741" s="4">
        <v>18</v>
      </c>
      <c r="AI5741" s="4">
        <v>18</v>
      </c>
      <c r="AJ5741" s="4">
        <v>3</v>
      </c>
      <c r="AK5741" s="4">
        <v>4</v>
      </c>
      <c r="AL5741" s="4">
        <v>12</v>
      </c>
      <c r="AM5741" s="4">
        <v>12</v>
      </c>
      <c r="AN5741" s="4">
        <v>0</v>
      </c>
      <c r="AO5741" s="4">
        <v>0</v>
      </c>
      <c r="AP5741" s="4">
        <v>3</v>
      </c>
      <c r="AQ5741" s="4">
        <v>4</v>
      </c>
      <c r="AR5741" s="3" t="s">
        <v>62</v>
      </c>
      <c r="AS5741" s="3" t="s">
        <v>62</v>
      </c>
      <c r="AT5741" s="3" t="s">
        <v>62</v>
      </c>
      <c r="AV5741" s="6" t="str">
        <f t="shared" si="96"/>
        <v>Catalog Record</v>
      </c>
      <c r="AW5741" s="6" t="str">
        <f t="shared" si="97"/>
        <v>WorldCat Record</v>
      </c>
      <c r="AX5741" s="3" t="s">
        <v>54328</v>
      </c>
      <c r="AY5741" s="3" t="s">
        <v>54329</v>
      </c>
      <c r="AZ5741" s="3" t="s">
        <v>54330</v>
      </c>
      <c r="BA5741" s="3" t="s">
        <v>54330</v>
      </c>
      <c r="BB5741" s="3" t="s">
        <v>54344</v>
      </c>
      <c r="BC5741" s="3" t="s">
        <v>102</v>
      </c>
      <c r="BD5741" s="3" t="s">
        <v>68</v>
      </c>
      <c r="BE5741" s="3" t="s">
        <v>54332</v>
      </c>
      <c r="BF5741" s="3" t="s">
        <v>54344</v>
      </c>
      <c r="BG5741" s="3" t="s">
        <v>54345</v>
      </c>
    </row>
    <row r="5742" spans="1:59" ht="58" x14ac:dyDescent="0.35">
      <c r="A5742" s="2" t="s">
        <v>89</v>
      </c>
      <c r="B5742" s="2" t="s">
        <v>90</v>
      </c>
      <c r="C5742" s="2" t="s">
        <v>54324</v>
      </c>
      <c r="D5742" s="2" t="s">
        <v>54325</v>
      </c>
      <c r="E5742" s="2" t="s">
        <v>54326</v>
      </c>
      <c r="F5742" s="3" t="s">
        <v>54346</v>
      </c>
      <c r="G5742" s="3" t="s">
        <v>61</v>
      </c>
      <c r="I5742" s="3" t="s">
        <v>62</v>
      </c>
      <c r="J5742" s="3" t="s">
        <v>62</v>
      </c>
      <c r="K5742" s="3" t="s">
        <v>63</v>
      </c>
      <c r="M5742" s="2" t="s">
        <v>54327</v>
      </c>
      <c r="N5742" s="3" t="s">
        <v>655</v>
      </c>
      <c r="P5742" s="3" t="s">
        <v>64</v>
      </c>
      <c r="R5742" s="3" t="s">
        <v>34126</v>
      </c>
      <c r="S5742" s="4">
        <v>0</v>
      </c>
      <c r="T5742" s="4">
        <v>6</v>
      </c>
      <c r="V5742" s="5" t="s">
        <v>14075</v>
      </c>
      <c r="W5742" s="5" t="s">
        <v>67</v>
      </c>
      <c r="X5742" s="5" t="s">
        <v>67</v>
      </c>
      <c r="Y5742" s="4">
        <v>51</v>
      </c>
      <c r="Z5742" s="4">
        <v>6</v>
      </c>
      <c r="AA5742" s="4">
        <v>7</v>
      </c>
      <c r="AB5742" s="4">
        <v>1</v>
      </c>
      <c r="AC5742" s="4">
        <v>2</v>
      </c>
      <c r="AD5742" s="4">
        <v>19</v>
      </c>
      <c r="AE5742" s="4">
        <v>20</v>
      </c>
      <c r="AF5742" s="4">
        <v>0</v>
      </c>
      <c r="AG5742" s="4">
        <v>1</v>
      </c>
      <c r="AH5742" s="4">
        <v>18</v>
      </c>
      <c r="AI5742" s="4">
        <v>18</v>
      </c>
      <c r="AJ5742" s="4">
        <v>3</v>
      </c>
      <c r="AK5742" s="4">
        <v>4</v>
      </c>
      <c r="AL5742" s="4">
        <v>12</v>
      </c>
      <c r="AM5742" s="4">
        <v>12</v>
      </c>
      <c r="AN5742" s="4">
        <v>0</v>
      </c>
      <c r="AO5742" s="4">
        <v>0</v>
      </c>
      <c r="AP5742" s="4">
        <v>3</v>
      </c>
      <c r="AQ5742" s="4">
        <v>4</v>
      </c>
      <c r="AR5742" s="3" t="s">
        <v>62</v>
      </c>
      <c r="AS5742" s="3" t="s">
        <v>62</v>
      </c>
      <c r="AT5742" s="3" t="s">
        <v>62</v>
      </c>
      <c r="AV5742" s="6" t="str">
        <f t="shared" si="96"/>
        <v>Catalog Record</v>
      </c>
      <c r="AW5742" s="6" t="str">
        <f t="shared" si="97"/>
        <v>WorldCat Record</v>
      </c>
      <c r="AX5742" s="3" t="s">
        <v>54328</v>
      </c>
      <c r="AY5742" s="3" t="s">
        <v>54329</v>
      </c>
      <c r="AZ5742" s="3" t="s">
        <v>54330</v>
      </c>
      <c r="BA5742" s="3" t="s">
        <v>54330</v>
      </c>
      <c r="BB5742" s="3" t="s">
        <v>54347</v>
      </c>
      <c r="BC5742" s="3" t="s">
        <v>102</v>
      </c>
      <c r="BD5742" s="3" t="s">
        <v>68</v>
      </c>
      <c r="BE5742" s="3" t="s">
        <v>54332</v>
      </c>
      <c r="BF5742" s="3" t="s">
        <v>54347</v>
      </c>
      <c r="BG5742" s="3" t="s">
        <v>54348</v>
      </c>
    </row>
    <row r="5743" spans="1:59" ht="58" x14ac:dyDescent="0.35">
      <c r="A5743" s="2" t="s">
        <v>89</v>
      </c>
      <c r="B5743" s="2" t="s">
        <v>90</v>
      </c>
      <c r="C5743" s="2" t="s">
        <v>54324</v>
      </c>
      <c r="D5743" s="2" t="s">
        <v>54325</v>
      </c>
      <c r="E5743" s="2" t="s">
        <v>54326</v>
      </c>
      <c r="F5743" s="3" t="s">
        <v>6192</v>
      </c>
      <c r="G5743" s="3" t="s">
        <v>61</v>
      </c>
      <c r="I5743" s="3" t="s">
        <v>62</v>
      </c>
      <c r="J5743" s="3" t="s">
        <v>62</v>
      </c>
      <c r="K5743" s="3" t="s">
        <v>63</v>
      </c>
      <c r="M5743" s="2" t="s">
        <v>54327</v>
      </c>
      <c r="N5743" s="3" t="s">
        <v>655</v>
      </c>
      <c r="P5743" s="3" t="s">
        <v>64</v>
      </c>
      <c r="R5743" s="3" t="s">
        <v>34126</v>
      </c>
      <c r="S5743" s="4">
        <v>2</v>
      </c>
      <c r="T5743" s="4">
        <v>6</v>
      </c>
      <c r="U5743" s="5" t="s">
        <v>7720</v>
      </c>
      <c r="V5743" s="5" t="s">
        <v>14075</v>
      </c>
      <c r="W5743" s="5" t="s">
        <v>67</v>
      </c>
      <c r="X5743" s="5" t="s">
        <v>67</v>
      </c>
      <c r="Y5743" s="4">
        <v>51</v>
      </c>
      <c r="Z5743" s="4">
        <v>6</v>
      </c>
      <c r="AA5743" s="4">
        <v>7</v>
      </c>
      <c r="AB5743" s="4">
        <v>1</v>
      </c>
      <c r="AC5743" s="4">
        <v>2</v>
      </c>
      <c r="AD5743" s="4">
        <v>19</v>
      </c>
      <c r="AE5743" s="4">
        <v>20</v>
      </c>
      <c r="AF5743" s="4">
        <v>0</v>
      </c>
      <c r="AG5743" s="4">
        <v>1</v>
      </c>
      <c r="AH5743" s="4">
        <v>18</v>
      </c>
      <c r="AI5743" s="4">
        <v>18</v>
      </c>
      <c r="AJ5743" s="4">
        <v>3</v>
      </c>
      <c r="AK5743" s="4">
        <v>4</v>
      </c>
      <c r="AL5743" s="4">
        <v>12</v>
      </c>
      <c r="AM5743" s="4">
        <v>12</v>
      </c>
      <c r="AN5743" s="4">
        <v>0</v>
      </c>
      <c r="AO5743" s="4">
        <v>0</v>
      </c>
      <c r="AP5743" s="4">
        <v>3</v>
      </c>
      <c r="AQ5743" s="4">
        <v>4</v>
      </c>
      <c r="AR5743" s="3" t="s">
        <v>62</v>
      </c>
      <c r="AS5743" s="3" t="s">
        <v>62</v>
      </c>
      <c r="AT5743" s="3" t="s">
        <v>62</v>
      </c>
      <c r="AV5743" s="6" t="str">
        <f t="shared" si="96"/>
        <v>Catalog Record</v>
      </c>
      <c r="AW5743" s="6" t="str">
        <f t="shared" si="97"/>
        <v>WorldCat Record</v>
      </c>
      <c r="AX5743" s="3" t="s">
        <v>54328</v>
      </c>
      <c r="AY5743" s="3" t="s">
        <v>54329</v>
      </c>
      <c r="AZ5743" s="3" t="s">
        <v>54330</v>
      </c>
      <c r="BA5743" s="3" t="s">
        <v>54330</v>
      </c>
      <c r="BB5743" s="3" t="s">
        <v>54349</v>
      </c>
      <c r="BC5743" s="3" t="s">
        <v>102</v>
      </c>
      <c r="BD5743" s="3" t="s">
        <v>68</v>
      </c>
      <c r="BE5743" s="3" t="s">
        <v>54332</v>
      </c>
      <c r="BF5743" s="3" t="s">
        <v>54349</v>
      </c>
      <c r="BG5743" s="3" t="s">
        <v>54350</v>
      </c>
    </row>
    <row r="5744" spans="1:59" ht="58" x14ac:dyDescent="0.35">
      <c r="A5744" s="2" t="s">
        <v>89</v>
      </c>
      <c r="B5744" s="2" t="s">
        <v>90</v>
      </c>
      <c r="C5744" s="2" t="s">
        <v>54324</v>
      </c>
      <c r="D5744" s="2" t="s">
        <v>54325</v>
      </c>
      <c r="E5744" s="2" t="s">
        <v>54326</v>
      </c>
      <c r="F5744" s="3" t="s">
        <v>2214</v>
      </c>
      <c r="G5744" s="3" t="s">
        <v>61</v>
      </c>
      <c r="I5744" s="3" t="s">
        <v>62</v>
      </c>
      <c r="J5744" s="3" t="s">
        <v>62</v>
      </c>
      <c r="K5744" s="3" t="s">
        <v>63</v>
      </c>
      <c r="M5744" s="2" t="s">
        <v>54327</v>
      </c>
      <c r="N5744" s="3" t="s">
        <v>655</v>
      </c>
      <c r="P5744" s="3" t="s">
        <v>64</v>
      </c>
      <c r="R5744" s="3" t="s">
        <v>34126</v>
      </c>
      <c r="S5744" s="4">
        <v>0</v>
      </c>
      <c r="T5744" s="4">
        <v>6</v>
      </c>
      <c r="V5744" s="5" t="s">
        <v>14075</v>
      </c>
      <c r="W5744" s="5" t="s">
        <v>67</v>
      </c>
      <c r="X5744" s="5" t="s">
        <v>67</v>
      </c>
      <c r="Y5744" s="4">
        <v>51</v>
      </c>
      <c r="Z5744" s="4">
        <v>6</v>
      </c>
      <c r="AA5744" s="4">
        <v>7</v>
      </c>
      <c r="AB5744" s="4">
        <v>1</v>
      </c>
      <c r="AC5744" s="4">
        <v>2</v>
      </c>
      <c r="AD5744" s="4">
        <v>19</v>
      </c>
      <c r="AE5744" s="4">
        <v>20</v>
      </c>
      <c r="AF5744" s="4">
        <v>0</v>
      </c>
      <c r="AG5744" s="4">
        <v>1</v>
      </c>
      <c r="AH5744" s="4">
        <v>18</v>
      </c>
      <c r="AI5744" s="4">
        <v>18</v>
      </c>
      <c r="AJ5744" s="4">
        <v>3</v>
      </c>
      <c r="AK5744" s="4">
        <v>4</v>
      </c>
      <c r="AL5744" s="4">
        <v>12</v>
      </c>
      <c r="AM5744" s="4">
        <v>12</v>
      </c>
      <c r="AN5744" s="4">
        <v>0</v>
      </c>
      <c r="AO5744" s="4">
        <v>0</v>
      </c>
      <c r="AP5744" s="4">
        <v>3</v>
      </c>
      <c r="AQ5744" s="4">
        <v>4</v>
      </c>
      <c r="AR5744" s="3" t="s">
        <v>62</v>
      </c>
      <c r="AS5744" s="3" t="s">
        <v>62</v>
      </c>
      <c r="AT5744" s="3" t="s">
        <v>62</v>
      </c>
      <c r="AV5744" s="6" t="str">
        <f t="shared" si="96"/>
        <v>Catalog Record</v>
      </c>
      <c r="AW5744" s="6" t="str">
        <f t="shared" si="97"/>
        <v>WorldCat Record</v>
      </c>
      <c r="AX5744" s="3" t="s">
        <v>54328</v>
      </c>
      <c r="AY5744" s="3" t="s">
        <v>54329</v>
      </c>
      <c r="AZ5744" s="3" t="s">
        <v>54330</v>
      </c>
      <c r="BA5744" s="3" t="s">
        <v>54330</v>
      </c>
      <c r="BB5744" s="3" t="s">
        <v>54351</v>
      </c>
      <c r="BC5744" s="3" t="s">
        <v>102</v>
      </c>
      <c r="BD5744" s="3" t="s">
        <v>68</v>
      </c>
      <c r="BE5744" s="3" t="s">
        <v>54332</v>
      </c>
      <c r="BF5744" s="3" t="s">
        <v>54351</v>
      </c>
      <c r="BG5744" s="3" t="s">
        <v>54352</v>
      </c>
    </row>
    <row r="5745" spans="1:59" ht="58" x14ac:dyDescent="0.35">
      <c r="A5745" s="2" t="s">
        <v>89</v>
      </c>
      <c r="B5745" s="2" t="s">
        <v>90</v>
      </c>
      <c r="C5745" s="2" t="s">
        <v>54324</v>
      </c>
      <c r="D5745" s="2" t="s">
        <v>54325</v>
      </c>
      <c r="E5745" s="2" t="s">
        <v>54326</v>
      </c>
      <c r="F5745" s="3" t="s">
        <v>54353</v>
      </c>
      <c r="G5745" s="3" t="s">
        <v>61</v>
      </c>
      <c r="I5745" s="3" t="s">
        <v>62</v>
      </c>
      <c r="J5745" s="3" t="s">
        <v>62</v>
      </c>
      <c r="K5745" s="3" t="s">
        <v>63</v>
      </c>
      <c r="M5745" s="2" t="s">
        <v>54327</v>
      </c>
      <c r="N5745" s="3" t="s">
        <v>655</v>
      </c>
      <c r="P5745" s="3" t="s">
        <v>64</v>
      </c>
      <c r="R5745" s="3" t="s">
        <v>34126</v>
      </c>
      <c r="S5745" s="4">
        <v>0</v>
      </c>
      <c r="T5745" s="4">
        <v>6</v>
      </c>
      <c r="V5745" s="5" t="s">
        <v>14075</v>
      </c>
      <c r="W5745" s="5" t="s">
        <v>67</v>
      </c>
      <c r="X5745" s="5" t="s">
        <v>67</v>
      </c>
      <c r="Y5745" s="4">
        <v>51</v>
      </c>
      <c r="Z5745" s="4">
        <v>6</v>
      </c>
      <c r="AA5745" s="4">
        <v>7</v>
      </c>
      <c r="AB5745" s="4">
        <v>1</v>
      </c>
      <c r="AC5745" s="4">
        <v>2</v>
      </c>
      <c r="AD5745" s="4">
        <v>19</v>
      </c>
      <c r="AE5745" s="4">
        <v>20</v>
      </c>
      <c r="AF5745" s="4">
        <v>0</v>
      </c>
      <c r="AG5745" s="4">
        <v>1</v>
      </c>
      <c r="AH5745" s="4">
        <v>18</v>
      </c>
      <c r="AI5745" s="4">
        <v>18</v>
      </c>
      <c r="AJ5745" s="4">
        <v>3</v>
      </c>
      <c r="AK5745" s="4">
        <v>4</v>
      </c>
      <c r="AL5745" s="4">
        <v>12</v>
      </c>
      <c r="AM5745" s="4">
        <v>12</v>
      </c>
      <c r="AN5745" s="4">
        <v>0</v>
      </c>
      <c r="AO5745" s="4">
        <v>0</v>
      </c>
      <c r="AP5745" s="4">
        <v>3</v>
      </c>
      <c r="AQ5745" s="4">
        <v>4</v>
      </c>
      <c r="AR5745" s="3" t="s">
        <v>62</v>
      </c>
      <c r="AS5745" s="3" t="s">
        <v>62</v>
      </c>
      <c r="AT5745" s="3" t="s">
        <v>62</v>
      </c>
      <c r="AV5745" s="6" t="str">
        <f t="shared" si="96"/>
        <v>Catalog Record</v>
      </c>
      <c r="AW5745" s="6" t="str">
        <f t="shared" si="97"/>
        <v>WorldCat Record</v>
      </c>
      <c r="AX5745" s="3" t="s">
        <v>54328</v>
      </c>
      <c r="AY5745" s="3" t="s">
        <v>54329</v>
      </c>
      <c r="AZ5745" s="3" t="s">
        <v>54330</v>
      </c>
      <c r="BA5745" s="3" t="s">
        <v>54330</v>
      </c>
      <c r="BB5745" s="3" t="s">
        <v>54354</v>
      </c>
      <c r="BC5745" s="3" t="s">
        <v>102</v>
      </c>
      <c r="BD5745" s="3" t="s">
        <v>68</v>
      </c>
      <c r="BE5745" s="3" t="s">
        <v>54332</v>
      </c>
      <c r="BF5745" s="3" t="s">
        <v>54354</v>
      </c>
      <c r="BG5745" s="3" t="s">
        <v>54355</v>
      </c>
    </row>
    <row r="5746" spans="1:59" ht="58" x14ac:dyDescent="0.35">
      <c r="A5746" s="2" t="s">
        <v>89</v>
      </c>
      <c r="B5746" s="2" t="s">
        <v>90</v>
      </c>
      <c r="C5746" s="2" t="s">
        <v>54324</v>
      </c>
      <c r="D5746" s="2" t="s">
        <v>54325</v>
      </c>
      <c r="E5746" s="2" t="s">
        <v>54326</v>
      </c>
      <c r="F5746" s="3" t="s">
        <v>2217</v>
      </c>
      <c r="G5746" s="3" t="s">
        <v>61</v>
      </c>
      <c r="I5746" s="3" t="s">
        <v>62</v>
      </c>
      <c r="J5746" s="3" t="s">
        <v>62</v>
      </c>
      <c r="K5746" s="3" t="s">
        <v>63</v>
      </c>
      <c r="M5746" s="2" t="s">
        <v>54327</v>
      </c>
      <c r="N5746" s="3" t="s">
        <v>655</v>
      </c>
      <c r="P5746" s="3" t="s">
        <v>64</v>
      </c>
      <c r="R5746" s="3" t="s">
        <v>34126</v>
      </c>
      <c r="S5746" s="4">
        <v>1</v>
      </c>
      <c r="T5746" s="4">
        <v>6</v>
      </c>
      <c r="U5746" s="5" t="s">
        <v>54356</v>
      </c>
      <c r="V5746" s="5" t="s">
        <v>14075</v>
      </c>
      <c r="W5746" s="5" t="s">
        <v>67</v>
      </c>
      <c r="X5746" s="5" t="s">
        <v>67</v>
      </c>
      <c r="Y5746" s="4">
        <v>51</v>
      </c>
      <c r="Z5746" s="4">
        <v>6</v>
      </c>
      <c r="AA5746" s="4">
        <v>7</v>
      </c>
      <c r="AB5746" s="4">
        <v>1</v>
      </c>
      <c r="AC5746" s="4">
        <v>2</v>
      </c>
      <c r="AD5746" s="4">
        <v>19</v>
      </c>
      <c r="AE5746" s="4">
        <v>20</v>
      </c>
      <c r="AF5746" s="4">
        <v>0</v>
      </c>
      <c r="AG5746" s="4">
        <v>1</v>
      </c>
      <c r="AH5746" s="4">
        <v>18</v>
      </c>
      <c r="AI5746" s="4">
        <v>18</v>
      </c>
      <c r="AJ5746" s="4">
        <v>3</v>
      </c>
      <c r="AK5746" s="4">
        <v>4</v>
      </c>
      <c r="AL5746" s="4">
        <v>12</v>
      </c>
      <c r="AM5746" s="4">
        <v>12</v>
      </c>
      <c r="AN5746" s="4">
        <v>0</v>
      </c>
      <c r="AO5746" s="4">
        <v>0</v>
      </c>
      <c r="AP5746" s="4">
        <v>3</v>
      </c>
      <c r="AQ5746" s="4">
        <v>4</v>
      </c>
      <c r="AR5746" s="3" t="s">
        <v>62</v>
      </c>
      <c r="AS5746" s="3" t="s">
        <v>62</v>
      </c>
      <c r="AT5746" s="3" t="s">
        <v>62</v>
      </c>
      <c r="AV5746" s="6" t="str">
        <f t="shared" si="96"/>
        <v>Catalog Record</v>
      </c>
      <c r="AW5746" s="6" t="str">
        <f t="shared" si="97"/>
        <v>WorldCat Record</v>
      </c>
      <c r="AX5746" s="3" t="s">
        <v>54328</v>
      </c>
      <c r="AY5746" s="3" t="s">
        <v>54329</v>
      </c>
      <c r="AZ5746" s="3" t="s">
        <v>54330</v>
      </c>
      <c r="BA5746" s="3" t="s">
        <v>54330</v>
      </c>
      <c r="BB5746" s="3" t="s">
        <v>54357</v>
      </c>
      <c r="BC5746" s="3" t="s">
        <v>102</v>
      </c>
      <c r="BD5746" s="3" t="s">
        <v>68</v>
      </c>
      <c r="BE5746" s="3" t="s">
        <v>54332</v>
      </c>
      <c r="BF5746" s="3" t="s">
        <v>54357</v>
      </c>
      <c r="BG5746" s="3" t="s">
        <v>54358</v>
      </c>
    </row>
    <row r="5747" spans="1:59" ht="58" x14ac:dyDescent="0.35">
      <c r="A5747" s="2" t="s">
        <v>89</v>
      </c>
      <c r="B5747" s="2" t="s">
        <v>90</v>
      </c>
      <c r="C5747" s="2" t="s">
        <v>54324</v>
      </c>
      <c r="D5747" s="2" t="s">
        <v>54325</v>
      </c>
      <c r="E5747" s="2" t="s">
        <v>54326</v>
      </c>
      <c r="F5747" s="3" t="s">
        <v>2237</v>
      </c>
      <c r="G5747" s="3" t="s">
        <v>61</v>
      </c>
      <c r="I5747" s="3" t="s">
        <v>62</v>
      </c>
      <c r="J5747" s="3" t="s">
        <v>62</v>
      </c>
      <c r="K5747" s="3" t="s">
        <v>63</v>
      </c>
      <c r="M5747" s="2" t="s">
        <v>54327</v>
      </c>
      <c r="N5747" s="3" t="s">
        <v>655</v>
      </c>
      <c r="P5747" s="3" t="s">
        <v>64</v>
      </c>
      <c r="R5747" s="3" t="s">
        <v>34126</v>
      </c>
      <c r="S5747" s="4">
        <v>0</v>
      </c>
      <c r="T5747" s="4">
        <v>6</v>
      </c>
      <c r="V5747" s="5" t="s">
        <v>14075</v>
      </c>
      <c r="W5747" s="5" t="s">
        <v>67</v>
      </c>
      <c r="X5747" s="5" t="s">
        <v>67</v>
      </c>
      <c r="Y5747" s="4">
        <v>51</v>
      </c>
      <c r="Z5747" s="4">
        <v>6</v>
      </c>
      <c r="AA5747" s="4">
        <v>7</v>
      </c>
      <c r="AB5747" s="4">
        <v>1</v>
      </c>
      <c r="AC5747" s="4">
        <v>2</v>
      </c>
      <c r="AD5747" s="4">
        <v>19</v>
      </c>
      <c r="AE5747" s="4">
        <v>20</v>
      </c>
      <c r="AF5747" s="4">
        <v>0</v>
      </c>
      <c r="AG5747" s="4">
        <v>1</v>
      </c>
      <c r="AH5747" s="4">
        <v>18</v>
      </c>
      <c r="AI5747" s="4">
        <v>18</v>
      </c>
      <c r="AJ5747" s="4">
        <v>3</v>
      </c>
      <c r="AK5747" s="4">
        <v>4</v>
      </c>
      <c r="AL5747" s="4">
        <v>12</v>
      </c>
      <c r="AM5747" s="4">
        <v>12</v>
      </c>
      <c r="AN5747" s="4">
        <v>0</v>
      </c>
      <c r="AO5747" s="4">
        <v>0</v>
      </c>
      <c r="AP5747" s="4">
        <v>3</v>
      </c>
      <c r="AQ5747" s="4">
        <v>4</v>
      </c>
      <c r="AR5747" s="3" t="s">
        <v>62</v>
      </c>
      <c r="AS5747" s="3" t="s">
        <v>62</v>
      </c>
      <c r="AT5747" s="3" t="s">
        <v>62</v>
      </c>
      <c r="AV5747" s="6" t="str">
        <f t="shared" si="96"/>
        <v>Catalog Record</v>
      </c>
      <c r="AW5747" s="6" t="str">
        <f t="shared" si="97"/>
        <v>WorldCat Record</v>
      </c>
      <c r="AX5747" s="3" t="s">
        <v>54328</v>
      </c>
      <c r="AY5747" s="3" t="s">
        <v>54329</v>
      </c>
      <c r="AZ5747" s="3" t="s">
        <v>54330</v>
      </c>
      <c r="BA5747" s="3" t="s">
        <v>54330</v>
      </c>
      <c r="BB5747" s="3" t="s">
        <v>54359</v>
      </c>
      <c r="BC5747" s="3" t="s">
        <v>102</v>
      </c>
      <c r="BD5747" s="3" t="s">
        <v>68</v>
      </c>
      <c r="BE5747" s="3" t="s">
        <v>54332</v>
      </c>
      <c r="BF5747" s="3" t="s">
        <v>54359</v>
      </c>
      <c r="BG5747" s="3" t="s">
        <v>54360</v>
      </c>
    </row>
    <row r="5748" spans="1:59" ht="72.5" x14ac:dyDescent="0.35">
      <c r="A5748" s="2" t="s">
        <v>89</v>
      </c>
      <c r="B5748" s="2" t="s">
        <v>1231</v>
      </c>
      <c r="C5748" s="2" t="s">
        <v>54361</v>
      </c>
      <c r="D5748" s="2" t="s">
        <v>54362</v>
      </c>
      <c r="E5748" s="2" t="s">
        <v>54363</v>
      </c>
      <c r="F5748" s="3" t="s">
        <v>1413</v>
      </c>
      <c r="G5748" s="3" t="s">
        <v>61</v>
      </c>
      <c r="I5748" s="3" t="s">
        <v>62</v>
      </c>
      <c r="J5748" s="3" t="s">
        <v>62</v>
      </c>
      <c r="K5748" s="3" t="s">
        <v>63</v>
      </c>
      <c r="L5748" s="2" t="s">
        <v>54364</v>
      </c>
      <c r="M5748" s="2" t="s">
        <v>54365</v>
      </c>
      <c r="N5748" s="3" t="s">
        <v>838</v>
      </c>
      <c r="P5748" s="3" t="s">
        <v>64</v>
      </c>
      <c r="R5748" s="3" t="s">
        <v>34126</v>
      </c>
      <c r="S5748" s="4">
        <v>1</v>
      </c>
      <c r="T5748" s="4">
        <v>1</v>
      </c>
      <c r="U5748" s="5" t="s">
        <v>1512</v>
      </c>
      <c r="V5748" s="5" t="s">
        <v>1512</v>
      </c>
      <c r="W5748" s="5" t="s">
        <v>67</v>
      </c>
      <c r="X5748" s="5" t="s">
        <v>67</v>
      </c>
      <c r="Y5748" s="4">
        <v>210</v>
      </c>
      <c r="Z5748" s="4">
        <v>17</v>
      </c>
      <c r="AA5748" s="4">
        <v>22</v>
      </c>
      <c r="AB5748" s="4">
        <v>5</v>
      </c>
      <c r="AC5748" s="4">
        <v>7</v>
      </c>
      <c r="AD5748" s="4">
        <v>82</v>
      </c>
      <c r="AE5748" s="4">
        <v>85</v>
      </c>
      <c r="AF5748" s="4">
        <v>1</v>
      </c>
      <c r="AG5748" s="4">
        <v>2</v>
      </c>
      <c r="AH5748" s="4">
        <v>75</v>
      </c>
      <c r="AI5748" s="4">
        <v>76</v>
      </c>
      <c r="AJ5748" s="4">
        <v>10</v>
      </c>
      <c r="AK5748" s="4">
        <v>13</v>
      </c>
      <c r="AL5748" s="4">
        <v>42</v>
      </c>
      <c r="AM5748" s="4">
        <v>42</v>
      </c>
      <c r="AN5748" s="4">
        <v>0</v>
      </c>
      <c r="AO5748" s="4">
        <v>0</v>
      </c>
      <c r="AP5748" s="4">
        <v>13</v>
      </c>
      <c r="AQ5748" s="4">
        <v>15</v>
      </c>
      <c r="AR5748" s="3" t="s">
        <v>62</v>
      </c>
      <c r="AS5748" s="3" t="s">
        <v>62</v>
      </c>
      <c r="AT5748" s="3" t="s">
        <v>61</v>
      </c>
      <c r="AU5748" s="6" t="str">
        <f>HYPERLINK("http://catalog.hathitrust.org/Record/002013272","HathiTrust Record")</f>
        <v>HathiTrust Record</v>
      </c>
      <c r="AV5748" s="6" t="str">
        <f>HYPERLINK("http://mcgill.on.worldcat.org/oclc/505542","Catalog Record")</f>
        <v>Catalog Record</v>
      </c>
      <c r="AW5748" s="6" t="str">
        <f>HYPERLINK("http://www.worldcat.org/oclc/505542","WorldCat Record")</f>
        <v>WorldCat Record</v>
      </c>
      <c r="AX5748" s="3" t="s">
        <v>54366</v>
      </c>
      <c r="AY5748" s="3" t="s">
        <v>54367</v>
      </c>
      <c r="AZ5748" s="3" t="s">
        <v>54368</v>
      </c>
      <c r="BA5748" s="3" t="s">
        <v>54368</v>
      </c>
      <c r="BB5748" s="3" t="s">
        <v>54369</v>
      </c>
      <c r="BC5748" s="3" t="s">
        <v>102</v>
      </c>
      <c r="BD5748" s="3" t="s">
        <v>68</v>
      </c>
      <c r="BF5748" s="3" t="s">
        <v>54369</v>
      </c>
      <c r="BG5748" s="3" t="s">
        <v>54370</v>
      </c>
    </row>
    <row r="5749" spans="1:59" ht="72.5" x14ac:dyDescent="0.35">
      <c r="A5749" s="2" t="s">
        <v>89</v>
      </c>
      <c r="B5749" s="2" t="s">
        <v>1231</v>
      </c>
      <c r="C5749" s="2" t="s">
        <v>54361</v>
      </c>
      <c r="D5749" s="2" t="s">
        <v>54362</v>
      </c>
      <c r="E5749" s="2" t="s">
        <v>54363</v>
      </c>
      <c r="F5749" s="3" t="s">
        <v>1416</v>
      </c>
      <c r="G5749" s="3" t="s">
        <v>61</v>
      </c>
      <c r="I5749" s="3" t="s">
        <v>62</v>
      </c>
      <c r="J5749" s="3" t="s">
        <v>62</v>
      </c>
      <c r="K5749" s="3" t="s">
        <v>63</v>
      </c>
      <c r="L5749" s="2" t="s">
        <v>54364</v>
      </c>
      <c r="M5749" s="2" t="s">
        <v>54365</v>
      </c>
      <c r="N5749" s="3" t="s">
        <v>838</v>
      </c>
      <c r="P5749" s="3" t="s">
        <v>64</v>
      </c>
      <c r="R5749" s="3" t="s">
        <v>34126</v>
      </c>
      <c r="S5749" s="4">
        <v>0</v>
      </c>
      <c r="T5749" s="4">
        <v>1</v>
      </c>
      <c r="V5749" s="5" t="s">
        <v>1512</v>
      </c>
      <c r="W5749" s="5" t="s">
        <v>67</v>
      </c>
      <c r="X5749" s="5" t="s">
        <v>67</v>
      </c>
      <c r="Y5749" s="4">
        <v>210</v>
      </c>
      <c r="Z5749" s="4">
        <v>17</v>
      </c>
      <c r="AA5749" s="4">
        <v>22</v>
      </c>
      <c r="AB5749" s="4">
        <v>5</v>
      </c>
      <c r="AC5749" s="4">
        <v>7</v>
      </c>
      <c r="AD5749" s="4">
        <v>82</v>
      </c>
      <c r="AE5749" s="4">
        <v>85</v>
      </c>
      <c r="AF5749" s="4">
        <v>1</v>
      </c>
      <c r="AG5749" s="4">
        <v>2</v>
      </c>
      <c r="AH5749" s="4">
        <v>75</v>
      </c>
      <c r="AI5749" s="4">
        <v>76</v>
      </c>
      <c r="AJ5749" s="4">
        <v>10</v>
      </c>
      <c r="AK5749" s="4">
        <v>13</v>
      </c>
      <c r="AL5749" s="4">
        <v>42</v>
      </c>
      <c r="AM5749" s="4">
        <v>42</v>
      </c>
      <c r="AN5749" s="4">
        <v>0</v>
      </c>
      <c r="AO5749" s="4">
        <v>0</v>
      </c>
      <c r="AP5749" s="4">
        <v>13</v>
      </c>
      <c r="AQ5749" s="4">
        <v>15</v>
      </c>
      <c r="AR5749" s="3" t="s">
        <v>62</v>
      </c>
      <c r="AS5749" s="3" t="s">
        <v>62</v>
      </c>
      <c r="AT5749" s="3" t="s">
        <v>61</v>
      </c>
      <c r="AU5749" s="6" t="str">
        <f>HYPERLINK("http://catalog.hathitrust.org/Record/002013272","HathiTrust Record")</f>
        <v>HathiTrust Record</v>
      </c>
      <c r="AV5749" s="6" t="str">
        <f>HYPERLINK("http://mcgill.on.worldcat.org/oclc/505542","Catalog Record")</f>
        <v>Catalog Record</v>
      </c>
      <c r="AW5749" s="6" t="str">
        <f>HYPERLINK("http://www.worldcat.org/oclc/505542","WorldCat Record")</f>
        <v>WorldCat Record</v>
      </c>
      <c r="AX5749" s="3" t="s">
        <v>54366</v>
      </c>
      <c r="AY5749" s="3" t="s">
        <v>54367</v>
      </c>
      <c r="AZ5749" s="3" t="s">
        <v>54368</v>
      </c>
      <c r="BA5749" s="3" t="s">
        <v>54368</v>
      </c>
      <c r="BB5749" s="3" t="s">
        <v>54371</v>
      </c>
      <c r="BC5749" s="3" t="s">
        <v>102</v>
      </c>
      <c r="BD5749" s="3" t="s">
        <v>68</v>
      </c>
      <c r="BF5749" s="3" t="s">
        <v>54371</v>
      </c>
      <c r="BG5749" s="3" t="s">
        <v>54372</v>
      </c>
    </row>
    <row r="5750" spans="1:59" ht="58" x14ac:dyDescent="0.35">
      <c r="A5750" s="2" t="s">
        <v>59</v>
      </c>
      <c r="B5750" s="2" t="s">
        <v>60</v>
      </c>
      <c r="C5750" s="2" t="s">
        <v>54373</v>
      </c>
      <c r="D5750" s="2" t="s">
        <v>54374</v>
      </c>
      <c r="E5750" s="2" t="s">
        <v>54375</v>
      </c>
      <c r="G5750" s="3" t="s">
        <v>62</v>
      </c>
      <c r="I5750" s="3" t="s">
        <v>61</v>
      </c>
      <c r="J5750" s="3" t="s">
        <v>62</v>
      </c>
      <c r="K5750" s="3" t="s">
        <v>63</v>
      </c>
      <c r="L5750" s="2" t="s">
        <v>54376</v>
      </c>
      <c r="M5750" s="2" t="s">
        <v>51013</v>
      </c>
      <c r="N5750" s="3" t="s">
        <v>640</v>
      </c>
      <c r="P5750" s="3" t="s">
        <v>64</v>
      </c>
      <c r="R5750" s="3" t="s">
        <v>34126</v>
      </c>
      <c r="S5750" s="4">
        <v>1</v>
      </c>
      <c r="T5750" s="4">
        <v>5</v>
      </c>
      <c r="U5750" s="5" t="s">
        <v>46674</v>
      </c>
      <c r="V5750" s="5" t="s">
        <v>46674</v>
      </c>
      <c r="W5750" s="5" t="s">
        <v>67</v>
      </c>
      <c r="X5750" s="5" t="s">
        <v>67</v>
      </c>
      <c r="Y5750" s="4">
        <v>574</v>
      </c>
      <c r="Z5750" s="4">
        <v>34</v>
      </c>
      <c r="AA5750" s="4">
        <v>37</v>
      </c>
      <c r="AB5750" s="4">
        <v>2</v>
      </c>
      <c r="AC5750" s="4">
        <v>4</v>
      </c>
      <c r="AD5750" s="4">
        <v>55</v>
      </c>
      <c r="AE5750" s="4">
        <v>58</v>
      </c>
      <c r="AF5750" s="4">
        <v>0</v>
      </c>
      <c r="AG5750" s="4">
        <v>2</v>
      </c>
      <c r="AH5750" s="4">
        <v>48</v>
      </c>
      <c r="AI5750" s="4">
        <v>50</v>
      </c>
      <c r="AJ5750" s="4">
        <v>5</v>
      </c>
      <c r="AK5750" s="4">
        <v>8</v>
      </c>
      <c r="AL5750" s="4">
        <v>25</v>
      </c>
      <c r="AM5750" s="4">
        <v>25</v>
      </c>
      <c r="AN5750" s="4">
        <v>0</v>
      </c>
      <c r="AO5750" s="4">
        <v>0</v>
      </c>
      <c r="AP5750" s="4">
        <v>10</v>
      </c>
      <c r="AQ5750" s="4">
        <v>13</v>
      </c>
      <c r="AR5750" s="3" t="s">
        <v>62</v>
      </c>
      <c r="AS5750" s="3" t="s">
        <v>62</v>
      </c>
      <c r="AT5750" s="3" t="s">
        <v>61</v>
      </c>
      <c r="AU5750" s="6" t="str">
        <f>HYPERLINK("http://catalog.hathitrust.org/Record/004740399","HathiTrust Record")</f>
        <v>HathiTrust Record</v>
      </c>
      <c r="AV5750" s="6" t="str">
        <f>HYPERLINK("http://mcgill.on.worldcat.org/oclc/54407726","Catalog Record")</f>
        <v>Catalog Record</v>
      </c>
      <c r="AW5750" s="6" t="str">
        <f>HYPERLINK("http://www.worldcat.org/oclc/54407726","WorldCat Record")</f>
        <v>WorldCat Record</v>
      </c>
      <c r="AX5750" s="3" t="s">
        <v>54377</v>
      </c>
      <c r="AY5750" s="3" t="s">
        <v>54378</v>
      </c>
      <c r="AZ5750" s="3" t="s">
        <v>54379</v>
      </c>
      <c r="BA5750" s="3" t="s">
        <v>54379</v>
      </c>
      <c r="BB5750" s="3" t="s">
        <v>54380</v>
      </c>
      <c r="BC5750" s="3" t="s">
        <v>102</v>
      </c>
      <c r="BD5750" s="3" t="s">
        <v>68</v>
      </c>
      <c r="BE5750" s="3" t="s">
        <v>54381</v>
      </c>
      <c r="BF5750" s="3" t="s">
        <v>54380</v>
      </c>
      <c r="BG5750" s="3" t="s">
        <v>54382</v>
      </c>
    </row>
    <row r="5751" spans="1:59" ht="87" x14ac:dyDescent="0.35">
      <c r="A5751" s="2" t="s">
        <v>59</v>
      </c>
      <c r="B5751" s="2" t="s">
        <v>60</v>
      </c>
      <c r="C5751" s="2" t="s">
        <v>54383</v>
      </c>
      <c r="D5751" s="2" t="s">
        <v>54384</v>
      </c>
      <c r="E5751" s="2" t="s">
        <v>54385</v>
      </c>
      <c r="F5751" s="3" t="s">
        <v>54386</v>
      </c>
      <c r="G5751" s="3" t="s">
        <v>62</v>
      </c>
      <c r="I5751" s="3" t="s">
        <v>62</v>
      </c>
      <c r="J5751" s="3" t="s">
        <v>62</v>
      </c>
      <c r="K5751" s="3" t="s">
        <v>63</v>
      </c>
      <c r="L5751" s="2" t="s">
        <v>54387</v>
      </c>
      <c r="M5751" s="2" t="s">
        <v>54388</v>
      </c>
      <c r="N5751" s="3" t="s">
        <v>755</v>
      </c>
      <c r="P5751" s="3" t="s">
        <v>64</v>
      </c>
      <c r="Q5751" s="2" t="s">
        <v>54389</v>
      </c>
      <c r="R5751" s="3" t="s">
        <v>34126</v>
      </c>
      <c r="S5751" s="4">
        <v>4</v>
      </c>
      <c r="T5751" s="4">
        <v>4</v>
      </c>
      <c r="U5751" s="5" t="s">
        <v>4375</v>
      </c>
      <c r="V5751" s="5" t="s">
        <v>4375</v>
      </c>
      <c r="W5751" s="5" t="s">
        <v>67</v>
      </c>
      <c r="X5751" s="5" t="s">
        <v>67</v>
      </c>
      <c r="Y5751" s="4">
        <v>244</v>
      </c>
      <c r="Z5751" s="4">
        <v>16</v>
      </c>
      <c r="AA5751" s="4">
        <v>24</v>
      </c>
      <c r="AB5751" s="4">
        <v>1</v>
      </c>
      <c r="AC5751" s="4">
        <v>6</v>
      </c>
      <c r="AD5751" s="4">
        <v>81</v>
      </c>
      <c r="AE5751" s="4">
        <v>96</v>
      </c>
      <c r="AF5751" s="4">
        <v>0</v>
      </c>
      <c r="AG5751" s="4">
        <v>3</v>
      </c>
      <c r="AH5751" s="4">
        <v>72</v>
      </c>
      <c r="AI5751" s="4">
        <v>82</v>
      </c>
      <c r="AJ5751" s="4">
        <v>11</v>
      </c>
      <c r="AK5751" s="4">
        <v>16</v>
      </c>
      <c r="AL5751" s="4">
        <v>46</v>
      </c>
      <c r="AM5751" s="4">
        <v>50</v>
      </c>
      <c r="AN5751" s="4">
        <v>0</v>
      </c>
      <c r="AO5751" s="4">
        <v>0</v>
      </c>
      <c r="AP5751" s="4">
        <v>12</v>
      </c>
      <c r="AQ5751" s="4">
        <v>16</v>
      </c>
      <c r="AR5751" s="3" t="s">
        <v>62</v>
      </c>
      <c r="AS5751" s="3" t="s">
        <v>62</v>
      </c>
      <c r="AT5751" s="3" t="s">
        <v>62</v>
      </c>
      <c r="AV5751" s="6" t="str">
        <f>HYPERLINK("http://mcgill.on.worldcat.org/oclc/2206892","Catalog Record")</f>
        <v>Catalog Record</v>
      </c>
      <c r="AW5751" s="6" t="str">
        <f>HYPERLINK("http://www.worldcat.org/oclc/2206892","WorldCat Record")</f>
        <v>WorldCat Record</v>
      </c>
      <c r="AX5751" s="3" t="s">
        <v>54390</v>
      </c>
      <c r="AY5751" s="3" t="s">
        <v>54391</v>
      </c>
      <c r="AZ5751" s="3" t="s">
        <v>54392</v>
      </c>
      <c r="BA5751" s="3" t="s">
        <v>54392</v>
      </c>
      <c r="BB5751" s="3" t="s">
        <v>54393</v>
      </c>
      <c r="BC5751" s="3" t="s">
        <v>102</v>
      </c>
      <c r="BD5751" s="3" t="s">
        <v>68</v>
      </c>
      <c r="BF5751" s="3" t="s">
        <v>54393</v>
      </c>
      <c r="BG5751" s="3" t="s">
        <v>54394</v>
      </c>
    </row>
    <row r="5752" spans="1:59" ht="58" x14ac:dyDescent="0.35">
      <c r="A5752" s="2" t="s">
        <v>59</v>
      </c>
      <c r="B5752" s="2" t="s">
        <v>60</v>
      </c>
      <c r="C5752" s="2" t="s">
        <v>54395</v>
      </c>
      <c r="D5752" s="2" t="s">
        <v>54396</v>
      </c>
      <c r="E5752" s="2" t="s">
        <v>54397</v>
      </c>
      <c r="G5752" s="3" t="s">
        <v>62</v>
      </c>
      <c r="I5752" s="3" t="s">
        <v>62</v>
      </c>
      <c r="J5752" s="3" t="s">
        <v>62</v>
      </c>
      <c r="K5752" s="3" t="s">
        <v>63</v>
      </c>
      <c r="L5752" s="2" t="s">
        <v>54398</v>
      </c>
      <c r="M5752" s="2" t="s">
        <v>3511</v>
      </c>
      <c r="N5752" s="3" t="s">
        <v>186</v>
      </c>
      <c r="P5752" s="3" t="s">
        <v>64</v>
      </c>
      <c r="Q5752" s="2" t="s">
        <v>54399</v>
      </c>
      <c r="R5752" s="3" t="s">
        <v>34126</v>
      </c>
      <c r="S5752" s="4">
        <v>3</v>
      </c>
      <c r="T5752" s="4">
        <v>3</v>
      </c>
      <c r="U5752" s="5" t="s">
        <v>598</v>
      </c>
      <c r="V5752" s="5" t="s">
        <v>598</v>
      </c>
      <c r="W5752" s="5" t="s">
        <v>67</v>
      </c>
      <c r="X5752" s="5" t="s">
        <v>67</v>
      </c>
      <c r="Y5752" s="4">
        <v>108</v>
      </c>
      <c r="Z5752" s="4">
        <v>9</v>
      </c>
      <c r="AA5752" s="4">
        <v>9</v>
      </c>
      <c r="AB5752" s="4">
        <v>1</v>
      </c>
      <c r="AC5752" s="4">
        <v>1</v>
      </c>
      <c r="AD5752" s="4">
        <v>26</v>
      </c>
      <c r="AE5752" s="4">
        <v>26</v>
      </c>
      <c r="AF5752" s="4">
        <v>0</v>
      </c>
      <c r="AG5752" s="4">
        <v>0</v>
      </c>
      <c r="AH5752" s="4">
        <v>21</v>
      </c>
      <c r="AI5752" s="4">
        <v>21</v>
      </c>
      <c r="AJ5752" s="4">
        <v>6</v>
      </c>
      <c r="AK5752" s="4">
        <v>6</v>
      </c>
      <c r="AL5752" s="4">
        <v>10</v>
      </c>
      <c r="AM5752" s="4">
        <v>10</v>
      </c>
      <c r="AN5752" s="4">
        <v>0</v>
      </c>
      <c r="AO5752" s="4">
        <v>0</v>
      </c>
      <c r="AP5752" s="4">
        <v>8</v>
      </c>
      <c r="AQ5752" s="4">
        <v>8</v>
      </c>
      <c r="AR5752" s="3" t="s">
        <v>62</v>
      </c>
      <c r="AS5752" s="3" t="s">
        <v>62</v>
      </c>
      <c r="AT5752" s="3" t="s">
        <v>62</v>
      </c>
      <c r="AV5752" s="6" t="str">
        <f>HYPERLINK("http://mcgill.on.worldcat.org/oclc/2649816","Catalog Record")</f>
        <v>Catalog Record</v>
      </c>
      <c r="AW5752" s="6" t="str">
        <f>HYPERLINK("http://www.worldcat.org/oclc/2649816","WorldCat Record")</f>
        <v>WorldCat Record</v>
      </c>
      <c r="AX5752" s="3" t="s">
        <v>54400</v>
      </c>
      <c r="AY5752" s="3" t="s">
        <v>54401</v>
      </c>
      <c r="AZ5752" s="3" t="s">
        <v>54402</v>
      </c>
      <c r="BA5752" s="3" t="s">
        <v>54402</v>
      </c>
      <c r="BB5752" s="3" t="s">
        <v>54403</v>
      </c>
      <c r="BC5752" s="3" t="s">
        <v>102</v>
      </c>
      <c r="BD5752" s="3" t="s">
        <v>68</v>
      </c>
      <c r="BE5752" s="3" t="s">
        <v>54404</v>
      </c>
      <c r="BF5752" s="3" t="s">
        <v>54403</v>
      </c>
      <c r="BG5752" s="3" t="s">
        <v>54405</v>
      </c>
    </row>
    <row r="5753" spans="1:59" ht="72.5" x14ac:dyDescent="0.35">
      <c r="A5753" s="2" t="s">
        <v>59</v>
      </c>
      <c r="B5753" s="2" t="s">
        <v>60</v>
      </c>
      <c r="C5753" s="2" t="s">
        <v>54406</v>
      </c>
      <c r="D5753" s="2" t="s">
        <v>54407</v>
      </c>
      <c r="E5753" s="2" t="s">
        <v>54408</v>
      </c>
      <c r="G5753" s="3" t="s">
        <v>62</v>
      </c>
      <c r="I5753" s="3" t="s">
        <v>62</v>
      </c>
      <c r="J5753" s="3" t="s">
        <v>62</v>
      </c>
      <c r="K5753" s="3" t="s">
        <v>63</v>
      </c>
      <c r="L5753" s="2" t="s">
        <v>54409</v>
      </c>
      <c r="M5753" s="2" t="s">
        <v>54410</v>
      </c>
      <c r="N5753" s="3" t="s">
        <v>809</v>
      </c>
      <c r="P5753" s="3" t="s">
        <v>64</v>
      </c>
      <c r="Q5753" s="2" t="s">
        <v>54411</v>
      </c>
      <c r="R5753" s="3" t="s">
        <v>34126</v>
      </c>
      <c r="S5753" s="4">
        <v>5</v>
      </c>
      <c r="T5753" s="4">
        <v>5</v>
      </c>
      <c r="U5753" s="5" t="s">
        <v>49996</v>
      </c>
      <c r="V5753" s="5" t="s">
        <v>49996</v>
      </c>
      <c r="W5753" s="5" t="s">
        <v>67</v>
      </c>
      <c r="X5753" s="5" t="s">
        <v>67</v>
      </c>
      <c r="Y5753" s="4">
        <v>686</v>
      </c>
      <c r="Z5753" s="4">
        <v>23</v>
      </c>
      <c r="AA5753" s="4">
        <v>29</v>
      </c>
      <c r="AB5753" s="4">
        <v>3</v>
      </c>
      <c r="AC5753" s="4">
        <v>6</v>
      </c>
      <c r="AD5753" s="4">
        <v>107</v>
      </c>
      <c r="AE5753" s="4">
        <v>114</v>
      </c>
      <c r="AF5753" s="4">
        <v>1</v>
      </c>
      <c r="AG5753" s="4">
        <v>3</v>
      </c>
      <c r="AH5753" s="4">
        <v>94</v>
      </c>
      <c r="AI5753" s="4">
        <v>98</v>
      </c>
      <c r="AJ5753" s="4">
        <v>13</v>
      </c>
      <c r="AK5753" s="4">
        <v>16</v>
      </c>
      <c r="AL5753" s="4">
        <v>54</v>
      </c>
      <c r="AM5753" s="4">
        <v>55</v>
      </c>
      <c r="AN5753" s="4">
        <v>0</v>
      </c>
      <c r="AO5753" s="4">
        <v>0</v>
      </c>
      <c r="AP5753" s="4">
        <v>15</v>
      </c>
      <c r="AQ5753" s="4">
        <v>20</v>
      </c>
      <c r="AR5753" s="3" t="s">
        <v>62</v>
      </c>
      <c r="AS5753" s="3" t="s">
        <v>62</v>
      </c>
      <c r="AT5753" s="3" t="s">
        <v>62</v>
      </c>
      <c r="AU5753" s="6" t="str">
        <f>HYPERLINK("http://catalog.hathitrust.org/Record/001491174","HathiTrust Record")</f>
        <v>HathiTrust Record</v>
      </c>
      <c r="AV5753" s="6" t="str">
        <f>HYPERLINK("http://mcgill.on.worldcat.org/oclc/550135","Catalog Record")</f>
        <v>Catalog Record</v>
      </c>
      <c r="AW5753" s="6" t="str">
        <f>HYPERLINK("http://www.worldcat.org/oclc/550135","WorldCat Record")</f>
        <v>WorldCat Record</v>
      </c>
      <c r="AX5753" s="3" t="s">
        <v>54412</v>
      </c>
      <c r="AY5753" s="3" t="s">
        <v>54413</v>
      </c>
      <c r="AZ5753" s="3" t="s">
        <v>54414</v>
      </c>
      <c r="BA5753" s="3" t="s">
        <v>54414</v>
      </c>
      <c r="BB5753" s="3" t="s">
        <v>54415</v>
      </c>
      <c r="BC5753" s="3" t="s">
        <v>102</v>
      </c>
      <c r="BD5753" s="3" t="s">
        <v>68</v>
      </c>
      <c r="BF5753" s="3" t="s">
        <v>54415</v>
      </c>
      <c r="BG5753" s="3" t="s">
        <v>54416</v>
      </c>
    </row>
    <row r="5754" spans="1:59" ht="58" x14ac:dyDescent="0.35">
      <c r="A5754" s="2" t="s">
        <v>59</v>
      </c>
      <c r="B5754" s="2" t="s">
        <v>60</v>
      </c>
      <c r="C5754" s="2" t="s">
        <v>54417</v>
      </c>
      <c r="D5754" s="2" t="s">
        <v>54418</v>
      </c>
      <c r="E5754" s="2" t="s">
        <v>54419</v>
      </c>
      <c r="G5754" s="3" t="s">
        <v>62</v>
      </c>
      <c r="I5754" s="3" t="s">
        <v>62</v>
      </c>
      <c r="J5754" s="3" t="s">
        <v>62</v>
      </c>
      <c r="K5754" s="3" t="s">
        <v>63</v>
      </c>
      <c r="L5754" s="2" t="s">
        <v>36878</v>
      </c>
      <c r="M5754" s="2" t="s">
        <v>18289</v>
      </c>
      <c r="N5754" s="3" t="s">
        <v>524</v>
      </c>
      <c r="P5754" s="3" t="s">
        <v>64</v>
      </c>
      <c r="R5754" s="3" t="s">
        <v>34126</v>
      </c>
      <c r="S5754" s="4">
        <v>10</v>
      </c>
      <c r="T5754" s="4">
        <v>10</v>
      </c>
      <c r="U5754" s="5" t="s">
        <v>5909</v>
      </c>
      <c r="V5754" s="5" t="s">
        <v>5909</v>
      </c>
      <c r="W5754" s="5" t="s">
        <v>67</v>
      </c>
      <c r="X5754" s="5" t="s">
        <v>67</v>
      </c>
      <c r="Y5754" s="4">
        <v>938</v>
      </c>
      <c r="Z5754" s="4">
        <v>29</v>
      </c>
      <c r="AA5754" s="4">
        <v>34</v>
      </c>
      <c r="AB5754" s="4">
        <v>2</v>
      </c>
      <c r="AC5754" s="4">
        <v>3</v>
      </c>
      <c r="AD5754" s="4">
        <v>96</v>
      </c>
      <c r="AE5754" s="4">
        <v>106</v>
      </c>
      <c r="AF5754" s="4">
        <v>1</v>
      </c>
      <c r="AG5754" s="4">
        <v>1</v>
      </c>
      <c r="AH5754" s="4">
        <v>84</v>
      </c>
      <c r="AI5754" s="4">
        <v>94</v>
      </c>
      <c r="AJ5754" s="4">
        <v>10</v>
      </c>
      <c r="AK5754" s="4">
        <v>13</v>
      </c>
      <c r="AL5754" s="4">
        <v>46</v>
      </c>
      <c r="AM5754" s="4">
        <v>51</v>
      </c>
      <c r="AN5754" s="4">
        <v>0</v>
      </c>
      <c r="AO5754" s="4">
        <v>0</v>
      </c>
      <c r="AP5754" s="4">
        <v>14</v>
      </c>
      <c r="AQ5754" s="4">
        <v>17</v>
      </c>
      <c r="AR5754" s="3" t="s">
        <v>62</v>
      </c>
      <c r="AS5754" s="3" t="s">
        <v>62</v>
      </c>
      <c r="AT5754" s="3" t="s">
        <v>61</v>
      </c>
      <c r="AU5754" s="6" t="str">
        <f>HYPERLINK("http://catalog.hathitrust.org/Record/003064789","HathiTrust Record")</f>
        <v>HathiTrust Record</v>
      </c>
      <c r="AV5754" s="6" t="str">
        <f>HYPERLINK("http://mcgill.on.worldcat.org/oclc/31606625","Catalog Record")</f>
        <v>Catalog Record</v>
      </c>
      <c r="AW5754" s="6" t="str">
        <f>HYPERLINK("http://www.worldcat.org/oclc/31606625","WorldCat Record")</f>
        <v>WorldCat Record</v>
      </c>
      <c r="AX5754" s="3" t="s">
        <v>54420</v>
      </c>
      <c r="AY5754" s="3" t="s">
        <v>54421</v>
      </c>
      <c r="AZ5754" s="3" t="s">
        <v>54422</v>
      </c>
      <c r="BA5754" s="3" t="s">
        <v>54422</v>
      </c>
      <c r="BB5754" s="3" t="s">
        <v>54423</v>
      </c>
      <c r="BC5754" s="3" t="s">
        <v>102</v>
      </c>
      <c r="BD5754" s="3" t="s">
        <v>68</v>
      </c>
      <c r="BE5754" s="3" t="s">
        <v>54424</v>
      </c>
      <c r="BF5754" s="3" t="s">
        <v>54423</v>
      </c>
      <c r="BG5754" s="3" t="s">
        <v>54425</v>
      </c>
    </row>
    <row r="5755" spans="1:59" ht="58" x14ac:dyDescent="0.35">
      <c r="A5755" s="2" t="s">
        <v>59</v>
      </c>
      <c r="B5755" s="2" t="s">
        <v>60</v>
      </c>
      <c r="C5755" s="2" t="s">
        <v>54426</v>
      </c>
      <c r="D5755" s="2" t="s">
        <v>54427</v>
      </c>
      <c r="E5755" s="2" t="s">
        <v>54428</v>
      </c>
      <c r="G5755" s="3" t="s">
        <v>62</v>
      </c>
      <c r="I5755" s="3" t="s">
        <v>62</v>
      </c>
      <c r="J5755" s="3" t="s">
        <v>62</v>
      </c>
      <c r="K5755" s="3" t="s">
        <v>63</v>
      </c>
      <c r="L5755" s="2" t="s">
        <v>54429</v>
      </c>
      <c r="M5755" s="2" t="s">
        <v>54430</v>
      </c>
      <c r="N5755" s="3" t="s">
        <v>866</v>
      </c>
      <c r="P5755" s="3" t="s">
        <v>64</v>
      </c>
      <c r="Q5755" s="2" t="s">
        <v>54431</v>
      </c>
      <c r="R5755" s="3" t="s">
        <v>34126</v>
      </c>
      <c r="S5755" s="4">
        <v>2</v>
      </c>
      <c r="T5755" s="4">
        <v>2</v>
      </c>
      <c r="U5755" s="5" t="s">
        <v>33410</v>
      </c>
      <c r="V5755" s="5" t="s">
        <v>33410</v>
      </c>
      <c r="W5755" s="5" t="s">
        <v>67</v>
      </c>
      <c r="X5755" s="5" t="s">
        <v>67</v>
      </c>
      <c r="Y5755" s="4">
        <v>380</v>
      </c>
      <c r="Z5755" s="4">
        <v>13</v>
      </c>
      <c r="AA5755" s="4">
        <v>15</v>
      </c>
      <c r="AB5755" s="4">
        <v>1</v>
      </c>
      <c r="AC5755" s="4">
        <v>2</v>
      </c>
      <c r="AD5755" s="4">
        <v>63</v>
      </c>
      <c r="AE5755" s="4">
        <v>65</v>
      </c>
      <c r="AF5755" s="4">
        <v>0</v>
      </c>
      <c r="AG5755" s="4">
        <v>1</v>
      </c>
      <c r="AH5755" s="4">
        <v>60</v>
      </c>
      <c r="AI5755" s="4">
        <v>60</v>
      </c>
      <c r="AJ5755" s="4">
        <v>7</v>
      </c>
      <c r="AK5755" s="4">
        <v>7</v>
      </c>
      <c r="AL5755" s="4">
        <v>30</v>
      </c>
      <c r="AM5755" s="4">
        <v>30</v>
      </c>
      <c r="AN5755" s="4">
        <v>0</v>
      </c>
      <c r="AO5755" s="4">
        <v>0</v>
      </c>
      <c r="AP5755" s="4">
        <v>7</v>
      </c>
      <c r="AQ5755" s="4">
        <v>9</v>
      </c>
      <c r="AR5755" s="3" t="s">
        <v>62</v>
      </c>
      <c r="AS5755" s="3" t="s">
        <v>62</v>
      </c>
      <c r="AT5755" s="3" t="s">
        <v>62</v>
      </c>
      <c r="AV5755" s="6" t="str">
        <f>HYPERLINK("http://mcgill.on.worldcat.org/oclc/2213405","Catalog Record")</f>
        <v>Catalog Record</v>
      </c>
      <c r="AW5755" s="6" t="str">
        <f>HYPERLINK("http://www.worldcat.org/oclc/2213405","WorldCat Record")</f>
        <v>WorldCat Record</v>
      </c>
      <c r="AX5755" s="3" t="s">
        <v>54432</v>
      </c>
      <c r="AY5755" s="3" t="s">
        <v>54433</v>
      </c>
      <c r="AZ5755" s="3" t="s">
        <v>54434</v>
      </c>
      <c r="BA5755" s="3" t="s">
        <v>54434</v>
      </c>
      <c r="BB5755" s="3" t="s">
        <v>54435</v>
      </c>
      <c r="BC5755" s="3" t="s">
        <v>102</v>
      </c>
      <c r="BD5755" s="3" t="s">
        <v>68</v>
      </c>
      <c r="BE5755" s="3" t="s">
        <v>54436</v>
      </c>
      <c r="BF5755" s="3" t="s">
        <v>54435</v>
      </c>
      <c r="BG5755" s="3" t="s">
        <v>54437</v>
      </c>
    </row>
    <row r="5756" spans="1:59" ht="58" x14ac:dyDescent="0.35">
      <c r="A5756" s="2" t="s">
        <v>59</v>
      </c>
      <c r="B5756" s="2" t="s">
        <v>60</v>
      </c>
      <c r="C5756" s="2" t="s">
        <v>54438</v>
      </c>
      <c r="D5756" s="2" t="s">
        <v>54439</v>
      </c>
      <c r="E5756" s="2" t="s">
        <v>54440</v>
      </c>
      <c r="G5756" s="3" t="s">
        <v>62</v>
      </c>
      <c r="I5756" s="3" t="s">
        <v>62</v>
      </c>
      <c r="J5756" s="3" t="s">
        <v>62</v>
      </c>
      <c r="K5756" s="3" t="s">
        <v>63</v>
      </c>
      <c r="L5756" s="2" t="s">
        <v>54441</v>
      </c>
      <c r="M5756" s="2" t="s">
        <v>54442</v>
      </c>
      <c r="N5756" s="3" t="s">
        <v>9051</v>
      </c>
      <c r="P5756" s="3" t="s">
        <v>64</v>
      </c>
      <c r="R5756" s="3" t="s">
        <v>34126</v>
      </c>
      <c r="S5756" s="4">
        <v>1</v>
      </c>
      <c r="T5756" s="4">
        <v>1</v>
      </c>
      <c r="U5756" s="5" t="s">
        <v>7720</v>
      </c>
      <c r="V5756" s="5" t="s">
        <v>7720</v>
      </c>
      <c r="W5756" s="5" t="s">
        <v>67</v>
      </c>
      <c r="X5756" s="5" t="s">
        <v>67</v>
      </c>
      <c r="Y5756" s="4">
        <v>43</v>
      </c>
      <c r="Z5756" s="4">
        <v>2</v>
      </c>
      <c r="AA5756" s="4">
        <v>2</v>
      </c>
      <c r="AB5756" s="4">
        <v>1</v>
      </c>
      <c r="AC5756" s="4">
        <v>1</v>
      </c>
      <c r="AD5756" s="4">
        <v>24</v>
      </c>
      <c r="AE5756" s="4">
        <v>27</v>
      </c>
      <c r="AF5756" s="4">
        <v>0</v>
      </c>
      <c r="AG5756" s="4">
        <v>0</v>
      </c>
      <c r="AH5756" s="4">
        <v>23</v>
      </c>
      <c r="AI5756" s="4">
        <v>26</v>
      </c>
      <c r="AJ5756" s="4">
        <v>1</v>
      </c>
      <c r="AK5756" s="4">
        <v>1</v>
      </c>
      <c r="AL5756" s="4">
        <v>19</v>
      </c>
      <c r="AM5756" s="4">
        <v>20</v>
      </c>
      <c r="AN5756" s="4">
        <v>0</v>
      </c>
      <c r="AO5756" s="4">
        <v>0</v>
      </c>
      <c r="AP5756" s="4">
        <v>1</v>
      </c>
      <c r="AQ5756" s="4">
        <v>1</v>
      </c>
      <c r="AR5756" s="3" t="s">
        <v>62</v>
      </c>
      <c r="AS5756" s="3" t="s">
        <v>62</v>
      </c>
      <c r="AT5756" s="3" t="s">
        <v>62</v>
      </c>
      <c r="AV5756" s="6" t="str">
        <f>HYPERLINK("http://mcgill.on.worldcat.org/oclc/27277835","Catalog Record")</f>
        <v>Catalog Record</v>
      </c>
      <c r="AW5756" s="6" t="str">
        <f>HYPERLINK("http://www.worldcat.org/oclc/27277835","WorldCat Record")</f>
        <v>WorldCat Record</v>
      </c>
      <c r="AX5756" s="3" t="s">
        <v>54443</v>
      </c>
      <c r="AY5756" s="3" t="s">
        <v>54444</v>
      </c>
      <c r="AZ5756" s="3" t="s">
        <v>54445</v>
      </c>
      <c r="BA5756" s="3" t="s">
        <v>54445</v>
      </c>
      <c r="BB5756" s="3" t="s">
        <v>54446</v>
      </c>
      <c r="BC5756" s="3" t="s">
        <v>102</v>
      </c>
      <c r="BD5756" s="3" t="s">
        <v>68</v>
      </c>
      <c r="BF5756" s="3" t="s">
        <v>54446</v>
      </c>
      <c r="BG5756" s="3" t="s">
        <v>54447</v>
      </c>
    </row>
    <row r="5757" spans="1:59" ht="58" x14ac:dyDescent="0.35">
      <c r="A5757" s="2" t="s">
        <v>59</v>
      </c>
      <c r="B5757" s="2" t="s">
        <v>60</v>
      </c>
      <c r="C5757" s="2" t="s">
        <v>54448</v>
      </c>
      <c r="D5757" s="2" t="s">
        <v>54449</v>
      </c>
      <c r="E5757" s="2" t="s">
        <v>54450</v>
      </c>
      <c r="G5757" s="3" t="s">
        <v>62</v>
      </c>
      <c r="I5757" s="3" t="s">
        <v>62</v>
      </c>
      <c r="J5757" s="3" t="s">
        <v>62</v>
      </c>
      <c r="K5757" s="3" t="s">
        <v>63</v>
      </c>
      <c r="L5757" s="2" t="s">
        <v>54441</v>
      </c>
      <c r="N5757" s="3" t="s">
        <v>21607</v>
      </c>
      <c r="P5757" s="3" t="s">
        <v>64</v>
      </c>
      <c r="R5757" s="3" t="s">
        <v>34126</v>
      </c>
      <c r="S5757" s="4">
        <v>1</v>
      </c>
      <c r="T5757" s="4">
        <v>1</v>
      </c>
      <c r="U5757" s="5" t="s">
        <v>7720</v>
      </c>
      <c r="V5757" s="5" t="s">
        <v>7720</v>
      </c>
      <c r="W5757" s="5" t="s">
        <v>67</v>
      </c>
      <c r="X5757" s="5" t="s">
        <v>67</v>
      </c>
      <c r="Y5757" s="4">
        <v>25</v>
      </c>
      <c r="Z5757" s="4">
        <v>2</v>
      </c>
      <c r="AA5757" s="4">
        <v>4</v>
      </c>
      <c r="AB5757" s="4">
        <v>2</v>
      </c>
      <c r="AC5757" s="4">
        <v>2</v>
      </c>
      <c r="AD5757" s="4">
        <v>7</v>
      </c>
      <c r="AE5757" s="4">
        <v>29</v>
      </c>
      <c r="AF5757" s="4">
        <v>0</v>
      </c>
      <c r="AG5757" s="4">
        <v>0</v>
      </c>
      <c r="AH5757" s="4">
        <v>6</v>
      </c>
      <c r="AI5757" s="4">
        <v>26</v>
      </c>
      <c r="AJ5757" s="4">
        <v>0</v>
      </c>
      <c r="AK5757" s="4">
        <v>2</v>
      </c>
      <c r="AL5757" s="4">
        <v>7</v>
      </c>
      <c r="AM5757" s="4">
        <v>22</v>
      </c>
      <c r="AN5757" s="4">
        <v>0</v>
      </c>
      <c r="AO5757" s="4">
        <v>0</v>
      </c>
      <c r="AP5757" s="4">
        <v>0</v>
      </c>
      <c r="AQ5757" s="4">
        <v>2</v>
      </c>
      <c r="AR5757" s="3" t="s">
        <v>62</v>
      </c>
      <c r="AS5757" s="3" t="s">
        <v>62</v>
      </c>
      <c r="AT5757" s="3" t="s">
        <v>62</v>
      </c>
      <c r="AV5757" s="6" t="str">
        <f>HYPERLINK("http://mcgill.on.worldcat.org/oclc/44158523","Catalog Record")</f>
        <v>Catalog Record</v>
      </c>
      <c r="AW5757" s="6" t="str">
        <f>HYPERLINK("http://www.worldcat.org/oclc/44158523","WorldCat Record")</f>
        <v>WorldCat Record</v>
      </c>
      <c r="AX5757" s="3" t="s">
        <v>54451</v>
      </c>
      <c r="AY5757" s="3" t="s">
        <v>54452</v>
      </c>
      <c r="AZ5757" s="3" t="s">
        <v>54453</v>
      </c>
      <c r="BA5757" s="3" t="s">
        <v>54453</v>
      </c>
      <c r="BB5757" s="3" t="s">
        <v>54454</v>
      </c>
      <c r="BC5757" s="3" t="s">
        <v>102</v>
      </c>
      <c r="BD5757" s="3" t="s">
        <v>68</v>
      </c>
      <c r="BF5757" s="3" t="s">
        <v>54454</v>
      </c>
      <c r="BG5757" s="3" t="s">
        <v>54455</v>
      </c>
    </row>
    <row r="5758" spans="1:59" ht="72.5" x14ac:dyDescent="0.35">
      <c r="A5758" s="2" t="s">
        <v>89</v>
      </c>
      <c r="B5758" s="2" t="s">
        <v>1231</v>
      </c>
      <c r="C5758" s="2" t="s">
        <v>54456</v>
      </c>
      <c r="D5758" s="2" t="s">
        <v>54457</v>
      </c>
      <c r="E5758" s="2" t="s">
        <v>54458</v>
      </c>
      <c r="G5758" s="3" t="s">
        <v>62</v>
      </c>
      <c r="I5758" s="3" t="s">
        <v>62</v>
      </c>
      <c r="J5758" s="3" t="s">
        <v>62</v>
      </c>
      <c r="K5758" s="3" t="s">
        <v>63</v>
      </c>
      <c r="L5758" s="2" t="s">
        <v>54459</v>
      </c>
      <c r="M5758" s="2" t="s">
        <v>54460</v>
      </c>
      <c r="N5758" s="3" t="s">
        <v>2588</v>
      </c>
      <c r="P5758" s="3" t="s">
        <v>64</v>
      </c>
      <c r="R5758" s="3" t="s">
        <v>40557</v>
      </c>
      <c r="S5758" s="4">
        <v>4</v>
      </c>
      <c r="T5758" s="4">
        <v>4</v>
      </c>
      <c r="U5758" s="5" t="s">
        <v>31671</v>
      </c>
      <c r="V5758" s="5" t="s">
        <v>31671</v>
      </c>
      <c r="W5758" s="5" t="s">
        <v>67</v>
      </c>
      <c r="X5758" s="5" t="s">
        <v>67</v>
      </c>
      <c r="Y5758" s="4">
        <v>200</v>
      </c>
      <c r="Z5758" s="4">
        <v>16</v>
      </c>
      <c r="AA5758" s="4">
        <v>16</v>
      </c>
      <c r="AB5758" s="4">
        <v>3</v>
      </c>
      <c r="AC5758" s="4">
        <v>3</v>
      </c>
      <c r="AD5758" s="4">
        <v>50</v>
      </c>
      <c r="AE5758" s="4">
        <v>50</v>
      </c>
      <c r="AF5758" s="4">
        <v>1</v>
      </c>
      <c r="AG5758" s="4">
        <v>1</v>
      </c>
      <c r="AH5758" s="4">
        <v>43</v>
      </c>
      <c r="AI5758" s="4">
        <v>43</v>
      </c>
      <c r="AJ5758" s="4">
        <v>10</v>
      </c>
      <c r="AK5758" s="4">
        <v>10</v>
      </c>
      <c r="AL5758" s="4">
        <v>23</v>
      </c>
      <c r="AM5758" s="4">
        <v>23</v>
      </c>
      <c r="AN5758" s="4">
        <v>0</v>
      </c>
      <c r="AO5758" s="4">
        <v>0</v>
      </c>
      <c r="AP5758" s="4">
        <v>10</v>
      </c>
      <c r="AQ5758" s="4">
        <v>10</v>
      </c>
      <c r="AR5758" s="3" t="s">
        <v>62</v>
      </c>
      <c r="AS5758" s="3" t="s">
        <v>62</v>
      </c>
      <c r="AT5758" s="3" t="s">
        <v>62</v>
      </c>
      <c r="AV5758" s="6" t="str">
        <f>HYPERLINK("http://mcgill.on.worldcat.org/oclc/3482421","Catalog Record")</f>
        <v>Catalog Record</v>
      </c>
      <c r="AW5758" s="6" t="str">
        <f>HYPERLINK("http://www.worldcat.org/oclc/3482421","WorldCat Record")</f>
        <v>WorldCat Record</v>
      </c>
      <c r="AX5758" s="3" t="s">
        <v>54461</v>
      </c>
      <c r="AY5758" s="3" t="s">
        <v>54462</v>
      </c>
      <c r="AZ5758" s="3" t="s">
        <v>54463</v>
      </c>
      <c r="BA5758" s="3" t="s">
        <v>54463</v>
      </c>
      <c r="BB5758" s="3" t="s">
        <v>54464</v>
      </c>
      <c r="BC5758" s="3" t="s">
        <v>102</v>
      </c>
      <c r="BD5758" s="3" t="s">
        <v>68</v>
      </c>
      <c r="BE5758" s="3" t="s">
        <v>54465</v>
      </c>
      <c r="BF5758" s="3" t="s">
        <v>54464</v>
      </c>
      <c r="BG5758" s="3" t="s">
        <v>54466</v>
      </c>
    </row>
    <row r="5759" spans="1:59" ht="72.5" x14ac:dyDescent="0.35">
      <c r="A5759" s="2" t="s">
        <v>89</v>
      </c>
      <c r="B5759" s="2" t="s">
        <v>1231</v>
      </c>
      <c r="C5759" s="2" t="s">
        <v>54467</v>
      </c>
      <c r="D5759" s="2" t="s">
        <v>54468</v>
      </c>
      <c r="E5759" s="2" t="s">
        <v>54469</v>
      </c>
      <c r="G5759" s="3" t="s">
        <v>62</v>
      </c>
      <c r="I5759" s="3" t="s">
        <v>62</v>
      </c>
      <c r="J5759" s="3" t="s">
        <v>62</v>
      </c>
      <c r="K5759" s="3" t="s">
        <v>63</v>
      </c>
      <c r="M5759" s="2" t="s">
        <v>54470</v>
      </c>
      <c r="N5759" s="3" t="s">
        <v>3062</v>
      </c>
      <c r="P5759" s="3" t="s">
        <v>64</v>
      </c>
      <c r="R5759" s="3" t="s">
        <v>40557</v>
      </c>
      <c r="S5759" s="4">
        <v>9</v>
      </c>
      <c r="T5759" s="4">
        <v>9</v>
      </c>
      <c r="U5759" s="5" t="s">
        <v>22238</v>
      </c>
      <c r="V5759" s="5" t="s">
        <v>22238</v>
      </c>
      <c r="W5759" s="5" t="s">
        <v>67</v>
      </c>
      <c r="X5759" s="5" t="s">
        <v>67</v>
      </c>
      <c r="Y5759" s="4">
        <v>135</v>
      </c>
      <c r="Z5759" s="4">
        <v>8</v>
      </c>
      <c r="AA5759" s="4">
        <v>8</v>
      </c>
      <c r="AB5759" s="4">
        <v>1</v>
      </c>
      <c r="AC5759" s="4">
        <v>1</v>
      </c>
      <c r="AD5759" s="4">
        <v>36</v>
      </c>
      <c r="AE5759" s="4">
        <v>36</v>
      </c>
      <c r="AF5759" s="4">
        <v>0</v>
      </c>
      <c r="AG5759" s="4">
        <v>0</v>
      </c>
      <c r="AH5759" s="4">
        <v>34</v>
      </c>
      <c r="AI5759" s="4">
        <v>34</v>
      </c>
      <c r="AJ5759" s="4">
        <v>3</v>
      </c>
      <c r="AK5759" s="4">
        <v>3</v>
      </c>
      <c r="AL5759" s="4">
        <v>20</v>
      </c>
      <c r="AM5759" s="4">
        <v>20</v>
      </c>
      <c r="AN5759" s="4">
        <v>5</v>
      </c>
      <c r="AO5759" s="4">
        <v>5</v>
      </c>
      <c r="AP5759" s="4">
        <v>3</v>
      </c>
      <c r="AQ5759" s="4">
        <v>3</v>
      </c>
      <c r="AR5759" s="3" t="s">
        <v>62</v>
      </c>
      <c r="AS5759" s="3" t="s">
        <v>62</v>
      </c>
      <c r="AT5759" s="3" t="s">
        <v>61</v>
      </c>
      <c r="AU5759" s="6" t="str">
        <f>HYPERLINK("http://catalog.hathitrust.org/Record/100886789","HathiTrust Record")</f>
        <v>HathiTrust Record</v>
      </c>
      <c r="AV5759" s="6" t="str">
        <f>HYPERLINK("http://mcgill.on.worldcat.org/oclc/24696436","Catalog Record")</f>
        <v>Catalog Record</v>
      </c>
      <c r="AW5759" s="6" t="str">
        <f>HYPERLINK("http://www.worldcat.org/oclc/24696436","WorldCat Record")</f>
        <v>WorldCat Record</v>
      </c>
      <c r="AX5759" s="3" t="s">
        <v>54471</v>
      </c>
      <c r="AY5759" s="3" t="s">
        <v>54472</v>
      </c>
      <c r="AZ5759" s="3" t="s">
        <v>54473</v>
      </c>
      <c r="BA5759" s="3" t="s">
        <v>54473</v>
      </c>
      <c r="BB5759" s="3" t="s">
        <v>54474</v>
      </c>
      <c r="BC5759" s="3" t="s">
        <v>102</v>
      </c>
      <c r="BD5759" s="3" t="s">
        <v>68</v>
      </c>
      <c r="BE5759" s="3" t="s">
        <v>54475</v>
      </c>
      <c r="BF5759" s="3" t="s">
        <v>54474</v>
      </c>
      <c r="BG5759" s="3" t="s">
        <v>54476</v>
      </c>
    </row>
    <row r="5760" spans="1:59" ht="72.5" x14ac:dyDescent="0.35">
      <c r="A5760" s="2" t="s">
        <v>89</v>
      </c>
      <c r="B5760" s="2" t="s">
        <v>1231</v>
      </c>
      <c r="C5760" s="2" t="s">
        <v>54477</v>
      </c>
      <c r="D5760" s="2" t="s">
        <v>54478</v>
      </c>
      <c r="E5760" s="2" t="s">
        <v>54479</v>
      </c>
      <c r="G5760" s="3" t="s">
        <v>62</v>
      </c>
      <c r="I5760" s="3" t="s">
        <v>62</v>
      </c>
      <c r="J5760" s="3" t="s">
        <v>62</v>
      </c>
      <c r="K5760" s="3" t="s">
        <v>63</v>
      </c>
      <c r="L5760" s="2" t="s">
        <v>54480</v>
      </c>
      <c r="M5760" s="2" t="s">
        <v>54481</v>
      </c>
      <c r="N5760" s="3" t="s">
        <v>157</v>
      </c>
      <c r="P5760" s="3" t="s">
        <v>1881</v>
      </c>
      <c r="Q5760" s="2" t="s">
        <v>54482</v>
      </c>
      <c r="R5760" s="3" t="s">
        <v>40557</v>
      </c>
      <c r="S5760" s="4">
        <v>1</v>
      </c>
      <c r="T5760" s="4">
        <v>1</v>
      </c>
      <c r="U5760" s="5" t="s">
        <v>258</v>
      </c>
      <c r="V5760" s="5" t="s">
        <v>258</v>
      </c>
      <c r="W5760" s="5" t="s">
        <v>67</v>
      </c>
      <c r="X5760" s="5" t="s">
        <v>67</v>
      </c>
      <c r="Y5760" s="4">
        <v>58</v>
      </c>
      <c r="Z5760" s="4">
        <v>3</v>
      </c>
      <c r="AA5760" s="4">
        <v>4</v>
      </c>
      <c r="AB5760" s="4">
        <v>1</v>
      </c>
      <c r="AC5760" s="4">
        <v>1</v>
      </c>
      <c r="AD5760" s="4">
        <v>22</v>
      </c>
      <c r="AE5760" s="4">
        <v>23</v>
      </c>
      <c r="AF5760" s="4">
        <v>0</v>
      </c>
      <c r="AG5760" s="4">
        <v>0</v>
      </c>
      <c r="AH5760" s="4">
        <v>21</v>
      </c>
      <c r="AI5760" s="4">
        <v>21</v>
      </c>
      <c r="AJ5760" s="4">
        <v>1</v>
      </c>
      <c r="AK5760" s="4">
        <v>2</v>
      </c>
      <c r="AL5760" s="4">
        <v>15</v>
      </c>
      <c r="AM5760" s="4">
        <v>15</v>
      </c>
      <c r="AN5760" s="4">
        <v>5</v>
      </c>
      <c r="AO5760" s="4">
        <v>5</v>
      </c>
      <c r="AP5760" s="4">
        <v>1</v>
      </c>
      <c r="AQ5760" s="4">
        <v>2</v>
      </c>
      <c r="AR5760" s="3" t="s">
        <v>62</v>
      </c>
      <c r="AS5760" s="3" t="s">
        <v>62</v>
      </c>
      <c r="AT5760" s="3" t="s">
        <v>61</v>
      </c>
      <c r="AU5760" s="6" t="str">
        <f>HYPERLINK("http://catalog.hathitrust.org/Record/102102072","HathiTrust Record")</f>
        <v>HathiTrust Record</v>
      </c>
      <c r="AV5760" s="6" t="str">
        <f>HYPERLINK("http://mcgill.on.worldcat.org/oclc/1579759","Catalog Record")</f>
        <v>Catalog Record</v>
      </c>
      <c r="AW5760" s="6" t="str">
        <f>HYPERLINK("http://www.worldcat.org/oclc/1579759","WorldCat Record")</f>
        <v>WorldCat Record</v>
      </c>
      <c r="AX5760" s="3" t="s">
        <v>54483</v>
      </c>
      <c r="AY5760" s="3" t="s">
        <v>54484</v>
      </c>
      <c r="AZ5760" s="3" t="s">
        <v>54485</v>
      </c>
      <c r="BA5760" s="3" t="s">
        <v>54485</v>
      </c>
      <c r="BB5760" s="3" t="s">
        <v>54486</v>
      </c>
      <c r="BC5760" s="3" t="s">
        <v>102</v>
      </c>
      <c r="BD5760" s="3" t="s">
        <v>68</v>
      </c>
      <c r="BF5760" s="3" t="s">
        <v>54486</v>
      </c>
      <c r="BG5760" s="3" t="s">
        <v>54487</v>
      </c>
    </row>
    <row r="5761" spans="1:59" ht="58" x14ac:dyDescent="0.35">
      <c r="A5761" s="2" t="s">
        <v>59</v>
      </c>
      <c r="B5761" s="2" t="s">
        <v>60</v>
      </c>
      <c r="C5761" s="2" t="s">
        <v>54488</v>
      </c>
      <c r="D5761" s="2" t="s">
        <v>54489</v>
      </c>
      <c r="E5761" s="2" t="s">
        <v>54490</v>
      </c>
      <c r="F5761" s="3" t="s">
        <v>54491</v>
      </c>
      <c r="G5761" s="3" t="s">
        <v>61</v>
      </c>
      <c r="I5761" s="3" t="s">
        <v>61</v>
      </c>
      <c r="J5761" s="3" t="s">
        <v>62</v>
      </c>
      <c r="K5761" s="3" t="s">
        <v>63</v>
      </c>
      <c r="L5761" s="2" t="s">
        <v>54492</v>
      </c>
      <c r="M5761" s="2" t="s">
        <v>54493</v>
      </c>
      <c r="N5761" s="3" t="s">
        <v>1576</v>
      </c>
      <c r="O5761" s="2" t="s">
        <v>35680</v>
      </c>
      <c r="P5761" s="3" t="s">
        <v>64</v>
      </c>
      <c r="R5761" s="3" t="s">
        <v>40557</v>
      </c>
      <c r="S5761" s="4">
        <v>0</v>
      </c>
      <c r="T5761" s="4">
        <v>8</v>
      </c>
      <c r="V5761" s="5" t="s">
        <v>9685</v>
      </c>
      <c r="W5761" s="5" t="s">
        <v>67</v>
      </c>
      <c r="X5761" s="5" t="s">
        <v>67</v>
      </c>
      <c r="Y5761" s="4">
        <v>1971</v>
      </c>
      <c r="Z5761" s="4">
        <v>28</v>
      </c>
      <c r="AA5761" s="4">
        <v>39</v>
      </c>
      <c r="AB5761" s="4">
        <v>2</v>
      </c>
      <c r="AC5761" s="4">
        <v>4</v>
      </c>
      <c r="AD5761" s="4">
        <v>122</v>
      </c>
      <c r="AE5761" s="4">
        <v>127</v>
      </c>
      <c r="AF5761" s="4">
        <v>0</v>
      </c>
      <c r="AG5761" s="4">
        <v>1</v>
      </c>
      <c r="AH5761" s="4">
        <v>106</v>
      </c>
      <c r="AI5761" s="4">
        <v>109</v>
      </c>
      <c r="AJ5761" s="4">
        <v>11</v>
      </c>
      <c r="AK5761" s="4">
        <v>16</v>
      </c>
      <c r="AL5761" s="4">
        <v>58</v>
      </c>
      <c r="AM5761" s="4">
        <v>59</v>
      </c>
      <c r="AN5761" s="4">
        <v>0</v>
      </c>
      <c r="AO5761" s="4">
        <v>0</v>
      </c>
      <c r="AP5761" s="4">
        <v>17</v>
      </c>
      <c r="AQ5761" s="4">
        <v>22</v>
      </c>
      <c r="AR5761" s="3" t="s">
        <v>62</v>
      </c>
      <c r="AS5761" s="3" t="s">
        <v>62</v>
      </c>
      <c r="AT5761" s="3" t="s">
        <v>61</v>
      </c>
      <c r="AU5761" s="6" t="str">
        <f t="shared" ref="AU5761:AU5775" si="98">HYPERLINK("http://catalog.hathitrust.org/Record/001494007","HathiTrust Record")</f>
        <v>HathiTrust Record</v>
      </c>
      <c r="AV5761" s="6" t="str">
        <f t="shared" ref="AV5761:AV5775" si="99">HYPERLINK("http://mcgill.on.worldcat.org/oclc/169439","Catalog Record")</f>
        <v>Catalog Record</v>
      </c>
      <c r="AW5761" s="6" t="str">
        <f t="shared" ref="AW5761:AW5775" si="100">HYPERLINK("http://www.worldcat.org/oclc/169439","WorldCat Record")</f>
        <v>WorldCat Record</v>
      </c>
      <c r="AX5761" s="3" t="s">
        <v>54494</v>
      </c>
      <c r="AY5761" s="3" t="s">
        <v>54495</v>
      </c>
      <c r="AZ5761" s="3" t="s">
        <v>54496</v>
      </c>
      <c r="BA5761" s="3" t="s">
        <v>54496</v>
      </c>
      <c r="BB5761" s="3" t="s">
        <v>54497</v>
      </c>
      <c r="BC5761" s="3" t="s">
        <v>102</v>
      </c>
      <c r="BD5761" s="3" t="s">
        <v>68</v>
      </c>
      <c r="BE5761" s="3" t="s">
        <v>54498</v>
      </c>
      <c r="BF5761" s="3" t="s">
        <v>54497</v>
      </c>
      <c r="BG5761" s="3" t="s">
        <v>54499</v>
      </c>
    </row>
    <row r="5762" spans="1:59" ht="58" x14ac:dyDescent="0.35">
      <c r="A5762" s="2" t="s">
        <v>59</v>
      </c>
      <c r="B5762" s="2" t="s">
        <v>60</v>
      </c>
      <c r="C5762" s="2" t="s">
        <v>54488</v>
      </c>
      <c r="D5762" s="2" t="s">
        <v>54489</v>
      </c>
      <c r="E5762" s="2" t="s">
        <v>54490</v>
      </c>
      <c r="F5762" s="3" t="s">
        <v>54500</v>
      </c>
      <c r="G5762" s="3" t="s">
        <v>61</v>
      </c>
      <c r="I5762" s="3" t="s">
        <v>61</v>
      </c>
      <c r="J5762" s="3" t="s">
        <v>62</v>
      </c>
      <c r="K5762" s="3" t="s">
        <v>63</v>
      </c>
      <c r="L5762" s="2" t="s">
        <v>54492</v>
      </c>
      <c r="M5762" s="2" t="s">
        <v>54493</v>
      </c>
      <c r="N5762" s="3" t="s">
        <v>1576</v>
      </c>
      <c r="O5762" s="2" t="s">
        <v>35680</v>
      </c>
      <c r="P5762" s="3" t="s">
        <v>64</v>
      </c>
      <c r="R5762" s="3" t="s">
        <v>40557</v>
      </c>
      <c r="S5762" s="4">
        <v>0</v>
      </c>
      <c r="T5762" s="4">
        <v>8</v>
      </c>
      <c r="V5762" s="5" t="s">
        <v>9685</v>
      </c>
      <c r="W5762" s="5" t="s">
        <v>67</v>
      </c>
      <c r="X5762" s="5" t="s">
        <v>67</v>
      </c>
      <c r="Y5762" s="4">
        <v>1971</v>
      </c>
      <c r="Z5762" s="4">
        <v>28</v>
      </c>
      <c r="AA5762" s="4">
        <v>39</v>
      </c>
      <c r="AB5762" s="4">
        <v>2</v>
      </c>
      <c r="AC5762" s="4">
        <v>4</v>
      </c>
      <c r="AD5762" s="4">
        <v>122</v>
      </c>
      <c r="AE5762" s="4">
        <v>127</v>
      </c>
      <c r="AF5762" s="4">
        <v>0</v>
      </c>
      <c r="AG5762" s="4">
        <v>1</v>
      </c>
      <c r="AH5762" s="4">
        <v>106</v>
      </c>
      <c r="AI5762" s="4">
        <v>109</v>
      </c>
      <c r="AJ5762" s="4">
        <v>11</v>
      </c>
      <c r="AK5762" s="4">
        <v>16</v>
      </c>
      <c r="AL5762" s="4">
        <v>58</v>
      </c>
      <c r="AM5762" s="4">
        <v>59</v>
      </c>
      <c r="AN5762" s="4">
        <v>0</v>
      </c>
      <c r="AO5762" s="4">
        <v>0</v>
      </c>
      <c r="AP5762" s="4">
        <v>17</v>
      </c>
      <c r="AQ5762" s="4">
        <v>22</v>
      </c>
      <c r="AR5762" s="3" t="s">
        <v>62</v>
      </c>
      <c r="AS5762" s="3" t="s">
        <v>62</v>
      </c>
      <c r="AT5762" s="3" t="s">
        <v>61</v>
      </c>
      <c r="AU5762" s="6" t="str">
        <f t="shared" si="98"/>
        <v>HathiTrust Record</v>
      </c>
      <c r="AV5762" s="6" t="str">
        <f t="shared" si="99"/>
        <v>Catalog Record</v>
      </c>
      <c r="AW5762" s="6" t="str">
        <f t="shared" si="100"/>
        <v>WorldCat Record</v>
      </c>
      <c r="AX5762" s="3" t="s">
        <v>54494</v>
      </c>
      <c r="AY5762" s="3" t="s">
        <v>54495</v>
      </c>
      <c r="AZ5762" s="3" t="s">
        <v>54496</v>
      </c>
      <c r="BA5762" s="3" t="s">
        <v>54496</v>
      </c>
      <c r="BB5762" s="3" t="s">
        <v>54501</v>
      </c>
      <c r="BC5762" s="3" t="s">
        <v>102</v>
      </c>
      <c r="BD5762" s="3" t="s">
        <v>68</v>
      </c>
      <c r="BE5762" s="3" t="s">
        <v>54498</v>
      </c>
      <c r="BF5762" s="3" t="s">
        <v>54501</v>
      </c>
      <c r="BG5762" s="3" t="s">
        <v>54502</v>
      </c>
    </row>
    <row r="5763" spans="1:59" ht="58" x14ac:dyDescent="0.35">
      <c r="A5763" s="2" t="s">
        <v>59</v>
      </c>
      <c r="B5763" s="2" t="s">
        <v>60</v>
      </c>
      <c r="C5763" s="2" t="s">
        <v>54488</v>
      </c>
      <c r="D5763" s="2" t="s">
        <v>54489</v>
      </c>
      <c r="E5763" s="2" t="s">
        <v>54490</v>
      </c>
      <c r="F5763" s="3" t="s">
        <v>54503</v>
      </c>
      <c r="G5763" s="3" t="s">
        <v>61</v>
      </c>
      <c r="I5763" s="3" t="s">
        <v>61</v>
      </c>
      <c r="J5763" s="3" t="s">
        <v>62</v>
      </c>
      <c r="K5763" s="3" t="s">
        <v>63</v>
      </c>
      <c r="L5763" s="2" t="s">
        <v>54492</v>
      </c>
      <c r="M5763" s="2" t="s">
        <v>54493</v>
      </c>
      <c r="N5763" s="3" t="s">
        <v>1576</v>
      </c>
      <c r="O5763" s="2" t="s">
        <v>35680</v>
      </c>
      <c r="P5763" s="3" t="s">
        <v>64</v>
      </c>
      <c r="R5763" s="3" t="s">
        <v>40557</v>
      </c>
      <c r="S5763" s="4">
        <v>0</v>
      </c>
      <c r="T5763" s="4">
        <v>8</v>
      </c>
      <c r="V5763" s="5" t="s">
        <v>9685</v>
      </c>
      <c r="W5763" s="5" t="s">
        <v>67</v>
      </c>
      <c r="X5763" s="5" t="s">
        <v>67</v>
      </c>
      <c r="Y5763" s="4">
        <v>1971</v>
      </c>
      <c r="Z5763" s="4">
        <v>28</v>
      </c>
      <c r="AA5763" s="4">
        <v>39</v>
      </c>
      <c r="AB5763" s="4">
        <v>2</v>
      </c>
      <c r="AC5763" s="4">
        <v>4</v>
      </c>
      <c r="AD5763" s="4">
        <v>122</v>
      </c>
      <c r="AE5763" s="4">
        <v>127</v>
      </c>
      <c r="AF5763" s="4">
        <v>0</v>
      </c>
      <c r="AG5763" s="4">
        <v>1</v>
      </c>
      <c r="AH5763" s="4">
        <v>106</v>
      </c>
      <c r="AI5763" s="4">
        <v>109</v>
      </c>
      <c r="AJ5763" s="4">
        <v>11</v>
      </c>
      <c r="AK5763" s="4">
        <v>16</v>
      </c>
      <c r="AL5763" s="4">
        <v>58</v>
      </c>
      <c r="AM5763" s="4">
        <v>59</v>
      </c>
      <c r="AN5763" s="4">
        <v>0</v>
      </c>
      <c r="AO5763" s="4">
        <v>0</v>
      </c>
      <c r="AP5763" s="4">
        <v>17</v>
      </c>
      <c r="AQ5763" s="4">
        <v>22</v>
      </c>
      <c r="AR5763" s="3" t="s">
        <v>62</v>
      </c>
      <c r="AS5763" s="3" t="s">
        <v>62</v>
      </c>
      <c r="AT5763" s="3" t="s">
        <v>61</v>
      </c>
      <c r="AU5763" s="6" t="str">
        <f t="shared" si="98"/>
        <v>HathiTrust Record</v>
      </c>
      <c r="AV5763" s="6" t="str">
        <f t="shared" si="99"/>
        <v>Catalog Record</v>
      </c>
      <c r="AW5763" s="6" t="str">
        <f t="shared" si="100"/>
        <v>WorldCat Record</v>
      </c>
      <c r="AX5763" s="3" t="s">
        <v>54494</v>
      </c>
      <c r="AY5763" s="3" t="s">
        <v>54495</v>
      </c>
      <c r="AZ5763" s="3" t="s">
        <v>54496</v>
      </c>
      <c r="BA5763" s="3" t="s">
        <v>54496</v>
      </c>
      <c r="BB5763" s="3" t="s">
        <v>54504</v>
      </c>
      <c r="BC5763" s="3" t="s">
        <v>102</v>
      </c>
      <c r="BD5763" s="3" t="s">
        <v>68</v>
      </c>
      <c r="BE5763" s="3" t="s">
        <v>54498</v>
      </c>
      <c r="BF5763" s="3" t="s">
        <v>54504</v>
      </c>
      <c r="BG5763" s="3" t="s">
        <v>54505</v>
      </c>
    </row>
    <row r="5764" spans="1:59" ht="58" x14ac:dyDescent="0.35">
      <c r="A5764" s="2" t="s">
        <v>59</v>
      </c>
      <c r="B5764" s="2" t="s">
        <v>60</v>
      </c>
      <c r="C5764" s="2" t="s">
        <v>54488</v>
      </c>
      <c r="D5764" s="2" t="s">
        <v>54489</v>
      </c>
      <c r="E5764" s="2" t="s">
        <v>54490</v>
      </c>
      <c r="F5764" s="3" t="s">
        <v>46729</v>
      </c>
      <c r="G5764" s="3" t="s">
        <v>61</v>
      </c>
      <c r="I5764" s="3" t="s">
        <v>61</v>
      </c>
      <c r="J5764" s="3" t="s">
        <v>62</v>
      </c>
      <c r="K5764" s="3" t="s">
        <v>63</v>
      </c>
      <c r="L5764" s="2" t="s">
        <v>54492</v>
      </c>
      <c r="M5764" s="2" t="s">
        <v>54493</v>
      </c>
      <c r="N5764" s="3" t="s">
        <v>1576</v>
      </c>
      <c r="O5764" s="2" t="s">
        <v>35680</v>
      </c>
      <c r="P5764" s="3" t="s">
        <v>64</v>
      </c>
      <c r="R5764" s="3" t="s">
        <v>40557</v>
      </c>
      <c r="S5764" s="4">
        <v>0</v>
      </c>
      <c r="T5764" s="4">
        <v>8</v>
      </c>
      <c r="V5764" s="5" t="s">
        <v>9685</v>
      </c>
      <c r="W5764" s="5" t="s">
        <v>67</v>
      </c>
      <c r="X5764" s="5" t="s">
        <v>67</v>
      </c>
      <c r="Y5764" s="4">
        <v>1971</v>
      </c>
      <c r="Z5764" s="4">
        <v>28</v>
      </c>
      <c r="AA5764" s="4">
        <v>39</v>
      </c>
      <c r="AB5764" s="4">
        <v>2</v>
      </c>
      <c r="AC5764" s="4">
        <v>4</v>
      </c>
      <c r="AD5764" s="4">
        <v>122</v>
      </c>
      <c r="AE5764" s="4">
        <v>127</v>
      </c>
      <c r="AF5764" s="4">
        <v>0</v>
      </c>
      <c r="AG5764" s="4">
        <v>1</v>
      </c>
      <c r="AH5764" s="4">
        <v>106</v>
      </c>
      <c r="AI5764" s="4">
        <v>109</v>
      </c>
      <c r="AJ5764" s="4">
        <v>11</v>
      </c>
      <c r="AK5764" s="4">
        <v>16</v>
      </c>
      <c r="AL5764" s="4">
        <v>58</v>
      </c>
      <c r="AM5764" s="4">
        <v>59</v>
      </c>
      <c r="AN5764" s="4">
        <v>0</v>
      </c>
      <c r="AO5764" s="4">
        <v>0</v>
      </c>
      <c r="AP5764" s="4">
        <v>17</v>
      </c>
      <c r="AQ5764" s="4">
        <v>22</v>
      </c>
      <c r="AR5764" s="3" t="s">
        <v>62</v>
      </c>
      <c r="AS5764" s="3" t="s">
        <v>62</v>
      </c>
      <c r="AT5764" s="3" t="s">
        <v>61</v>
      </c>
      <c r="AU5764" s="6" t="str">
        <f t="shared" si="98"/>
        <v>HathiTrust Record</v>
      </c>
      <c r="AV5764" s="6" t="str">
        <f t="shared" si="99"/>
        <v>Catalog Record</v>
      </c>
      <c r="AW5764" s="6" t="str">
        <f t="shared" si="100"/>
        <v>WorldCat Record</v>
      </c>
      <c r="AX5764" s="3" t="s">
        <v>54494</v>
      </c>
      <c r="AY5764" s="3" t="s">
        <v>54495</v>
      </c>
      <c r="AZ5764" s="3" t="s">
        <v>54496</v>
      </c>
      <c r="BA5764" s="3" t="s">
        <v>54496</v>
      </c>
      <c r="BB5764" s="3" t="s">
        <v>54506</v>
      </c>
      <c r="BC5764" s="3" t="s">
        <v>102</v>
      </c>
      <c r="BD5764" s="3" t="s">
        <v>68</v>
      </c>
      <c r="BE5764" s="3" t="s">
        <v>54498</v>
      </c>
      <c r="BF5764" s="3" t="s">
        <v>54506</v>
      </c>
      <c r="BG5764" s="3" t="s">
        <v>54507</v>
      </c>
    </row>
    <row r="5765" spans="1:59" ht="58" x14ac:dyDescent="0.35">
      <c r="A5765" s="2" t="s">
        <v>59</v>
      </c>
      <c r="B5765" s="2" t="s">
        <v>60</v>
      </c>
      <c r="C5765" s="2" t="s">
        <v>54488</v>
      </c>
      <c r="D5765" s="2" t="s">
        <v>54489</v>
      </c>
      <c r="E5765" s="2" t="s">
        <v>54490</v>
      </c>
      <c r="F5765" s="3" t="s">
        <v>54508</v>
      </c>
      <c r="G5765" s="3" t="s">
        <v>61</v>
      </c>
      <c r="I5765" s="3" t="s">
        <v>61</v>
      </c>
      <c r="J5765" s="3" t="s">
        <v>62</v>
      </c>
      <c r="K5765" s="3" t="s">
        <v>63</v>
      </c>
      <c r="L5765" s="2" t="s">
        <v>54492</v>
      </c>
      <c r="M5765" s="2" t="s">
        <v>54493</v>
      </c>
      <c r="N5765" s="3" t="s">
        <v>1576</v>
      </c>
      <c r="O5765" s="2" t="s">
        <v>35680</v>
      </c>
      <c r="P5765" s="3" t="s">
        <v>64</v>
      </c>
      <c r="R5765" s="3" t="s">
        <v>40557</v>
      </c>
      <c r="S5765" s="4">
        <v>0</v>
      </c>
      <c r="T5765" s="4">
        <v>8</v>
      </c>
      <c r="V5765" s="5" t="s">
        <v>9685</v>
      </c>
      <c r="W5765" s="5" t="s">
        <v>67</v>
      </c>
      <c r="X5765" s="5" t="s">
        <v>67</v>
      </c>
      <c r="Y5765" s="4">
        <v>1971</v>
      </c>
      <c r="Z5765" s="4">
        <v>28</v>
      </c>
      <c r="AA5765" s="4">
        <v>39</v>
      </c>
      <c r="AB5765" s="4">
        <v>2</v>
      </c>
      <c r="AC5765" s="4">
        <v>4</v>
      </c>
      <c r="AD5765" s="4">
        <v>122</v>
      </c>
      <c r="AE5765" s="4">
        <v>127</v>
      </c>
      <c r="AF5765" s="4">
        <v>0</v>
      </c>
      <c r="AG5765" s="4">
        <v>1</v>
      </c>
      <c r="AH5765" s="4">
        <v>106</v>
      </c>
      <c r="AI5765" s="4">
        <v>109</v>
      </c>
      <c r="AJ5765" s="4">
        <v>11</v>
      </c>
      <c r="AK5765" s="4">
        <v>16</v>
      </c>
      <c r="AL5765" s="4">
        <v>58</v>
      </c>
      <c r="AM5765" s="4">
        <v>59</v>
      </c>
      <c r="AN5765" s="4">
        <v>0</v>
      </c>
      <c r="AO5765" s="4">
        <v>0</v>
      </c>
      <c r="AP5765" s="4">
        <v>17</v>
      </c>
      <c r="AQ5765" s="4">
        <v>22</v>
      </c>
      <c r="AR5765" s="3" t="s">
        <v>62</v>
      </c>
      <c r="AS5765" s="3" t="s">
        <v>62</v>
      </c>
      <c r="AT5765" s="3" t="s">
        <v>61</v>
      </c>
      <c r="AU5765" s="6" t="str">
        <f t="shared" si="98"/>
        <v>HathiTrust Record</v>
      </c>
      <c r="AV5765" s="6" t="str">
        <f t="shared" si="99"/>
        <v>Catalog Record</v>
      </c>
      <c r="AW5765" s="6" t="str">
        <f t="shared" si="100"/>
        <v>WorldCat Record</v>
      </c>
      <c r="AX5765" s="3" t="s">
        <v>54494</v>
      </c>
      <c r="AY5765" s="3" t="s">
        <v>54495</v>
      </c>
      <c r="AZ5765" s="3" t="s">
        <v>54496</v>
      </c>
      <c r="BA5765" s="3" t="s">
        <v>54496</v>
      </c>
      <c r="BB5765" s="3" t="s">
        <v>54509</v>
      </c>
      <c r="BC5765" s="3" t="s">
        <v>102</v>
      </c>
      <c r="BD5765" s="3" t="s">
        <v>68</v>
      </c>
      <c r="BE5765" s="3" t="s">
        <v>54498</v>
      </c>
      <c r="BF5765" s="3" t="s">
        <v>54509</v>
      </c>
      <c r="BG5765" s="3" t="s">
        <v>54510</v>
      </c>
    </row>
    <row r="5766" spans="1:59" ht="58" x14ac:dyDescent="0.35">
      <c r="A5766" s="2" t="s">
        <v>59</v>
      </c>
      <c r="B5766" s="2" t="s">
        <v>60</v>
      </c>
      <c r="C5766" s="2" t="s">
        <v>54488</v>
      </c>
      <c r="D5766" s="2" t="s">
        <v>54489</v>
      </c>
      <c r="E5766" s="2" t="s">
        <v>54490</v>
      </c>
      <c r="F5766" s="3" t="s">
        <v>54511</v>
      </c>
      <c r="G5766" s="3" t="s">
        <v>61</v>
      </c>
      <c r="I5766" s="3" t="s">
        <v>61</v>
      </c>
      <c r="J5766" s="3" t="s">
        <v>62</v>
      </c>
      <c r="K5766" s="3" t="s">
        <v>63</v>
      </c>
      <c r="L5766" s="2" t="s">
        <v>54492</v>
      </c>
      <c r="M5766" s="2" t="s">
        <v>54493</v>
      </c>
      <c r="N5766" s="3" t="s">
        <v>1576</v>
      </c>
      <c r="O5766" s="2" t="s">
        <v>35680</v>
      </c>
      <c r="P5766" s="3" t="s">
        <v>64</v>
      </c>
      <c r="R5766" s="3" t="s">
        <v>40557</v>
      </c>
      <c r="S5766" s="4">
        <v>0</v>
      </c>
      <c r="T5766" s="4">
        <v>8</v>
      </c>
      <c r="V5766" s="5" t="s">
        <v>9685</v>
      </c>
      <c r="W5766" s="5" t="s">
        <v>67</v>
      </c>
      <c r="X5766" s="5" t="s">
        <v>67</v>
      </c>
      <c r="Y5766" s="4">
        <v>1971</v>
      </c>
      <c r="Z5766" s="4">
        <v>28</v>
      </c>
      <c r="AA5766" s="4">
        <v>39</v>
      </c>
      <c r="AB5766" s="4">
        <v>2</v>
      </c>
      <c r="AC5766" s="4">
        <v>4</v>
      </c>
      <c r="AD5766" s="4">
        <v>122</v>
      </c>
      <c r="AE5766" s="4">
        <v>127</v>
      </c>
      <c r="AF5766" s="4">
        <v>0</v>
      </c>
      <c r="AG5766" s="4">
        <v>1</v>
      </c>
      <c r="AH5766" s="4">
        <v>106</v>
      </c>
      <c r="AI5766" s="4">
        <v>109</v>
      </c>
      <c r="AJ5766" s="4">
        <v>11</v>
      </c>
      <c r="AK5766" s="4">
        <v>16</v>
      </c>
      <c r="AL5766" s="4">
        <v>58</v>
      </c>
      <c r="AM5766" s="4">
        <v>59</v>
      </c>
      <c r="AN5766" s="4">
        <v>0</v>
      </c>
      <c r="AO5766" s="4">
        <v>0</v>
      </c>
      <c r="AP5766" s="4">
        <v>17</v>
      </c>
      <c r="AQ5766" s="4">
        <v>22</v>
      </c>
      <c r="AR5766" s="3" t="s">
        <v>62</v>
      </c>
      <c r="AS5766" s="3" t="s">
        <v>62</v>
      </c>
      <c r="AT5766" s="3" t="s">
        <v>61</v>
      </c>
      <c r="AU5766" s="6" t="str">
        <f t="shared" si="98"/>
        <v>HathiTrust Record</v>
      </c>
      <c r="AV5766" s="6" t="str">
        <f t="shared" si="99"/>
        <v>Catalog Record</v>
      </c>
      <c r="AW5766" s="6" t="str">
        <f t="shared" si="100"/>
        <v>WorldCat Record</v>
      </c>
      <c r="AX5766" s="3" t="s">
        <v>54494</v>
      </c>
      <c r="AY5766" s="3" t="s">
        <v>54495</v>
      </c>
      <c r="AZ5766" s="3" t="s">
        <v>54496</v>
      </c>
      <c r="BA5766" s="3" t="s">
        <v>54496</v>
      </c>
      <c r="BB5766" s="3" t="s">
        <v>54512</v>
      </c>
      <c r="BC5766" s="3" t="s">
        <v>102</v>
      </c>
      <c r="BD5766" s="3" t="s">
        <v>68</v>
      </c>
      <c r="BE5766" s="3" t="s">
        <v>54498</v>
      </c>
      <c r="BF5766" s="3" t="s">
        <v>54512</v>
      </c>
      <c r="BG5766" s="3" t="s">
        <v>54513</v>
      </c>
    </row>
    <row r="5767" spans="1:59" ht="58" x14ac:dyDescent="0.35">
      <c r="A5767" s="2" t="s">
        <v>59</v>
      </c>
      <c r="B5767" s="2" t="s">
        <v>60</v>
      </c>
      <c r="C5767" s="2" t="s">
        <v>54488</v>
      </c>
      <c r="D5767" s="2" t="s">
        <v>54489</v>
      </c>
      <c r="E5767" s="2" t="s">
        <v>54490</v>
      </c>
      <c r="F5767" s="3" t="s">
        <v>54514</v>
      </c>
      <c r="G5767" s="3" t="s">
        <v>61</v>
      </c>
      <c r="I5767" s="3" t="s">
        <v>61</v>
      </c>
      <c r="J5767" s="3" t="s">
        <v>62</v>
      </c>
      <c r="K5767" s="3" t="s">
        <v>63</v>
      </c>
      <c r="L5767" s="2" t="s">
        <v>54492</v>
      </c>
      <c r="M5767" s="2" t="s">
        <v>54493</v>
      </c>
      <c r="N5767" s="3" t="s">
        <v>1576</v>
      </c>
      <c r="O5767" s="2" t="s">
        <v>35680</v>
      </c>
      <c r="P5767" s="3" t="s">
        <v>64</v>
      </c>
      <c r="R5767" s="3" t="s">
        <v>40557</v>
      </c>
      <c r="S5767" s="4">
        <v>0</v>
      </c>
      <c r="T5767" s="4">
        <v>8</v>
      </c>
      <c r="V5767" s="5" t="s">
        <v>9685</v>
      </c>
      <c r="W5767" s="5" t="s">
        <v>67</v>
      </c>
      <c r="X5767" s="5" t="s">
        <v>67</v>
      </c>
      <c r="Y5767" s="4">
        <v>1971</v>
      </c>
      <c r="Z5767" s="4">
        <v>28</v>
      </c>
      <c r="AA5767" s="4">
        <v>39</v>
      </c>
      <c r="AB5767" s="4">
        <v>2</v>
      </c>
      <c r="AC5767" s="4">
        <v>4</v>
      </c>
      <c r="AD5767" s="4">
        <v>122</v>
      </c>
      <c r="AE5767" s="4">
        <v>127</v>
      </c>
      <c r="AF5767" s="4">
        <v>0</v>
      </c>
      <c r="AG5767" s="4">
        <v>1</v>
      </c>
      <c r="AH5767" s="4">
        <v>106</v>
      </c>
      <c r="AI5767" s="4">
        <v>109</v>
      </c>
      <c r="AJ5767" s="4">
        <v>11</v>
      </c>
      <c r="AK5767" s="4">
        <v>16</v>
      </c>
      <c r="AL5767" s="4">
        <v>58</v>
      </c>
      <c r="AM5767" s="4">
        <v>59</v>
      </c>
      <c r="AN5767" s="4">
        <v>0</v>
      </c>
      <c r="AO5767" s="4">
        <v>0</v>
      </c>
      <c r="AP5767" s="4">
        <v>17</v>
      </c>
      <c r="AQ5767" s="4">
        <v>22</v>
      </c>
      <c r="AR5767" s="3" t="s">
        <v>62</v>
      </c>
      <c r="AS5767" s="3" t="s">
        <v>62</v>
      </c>
      <c r="AT5767" s="3" t="s">
        <v>61</v>
      </c>
      <c r="AU5767" s="6" t="str">
        <f t="shared" si="98"/>
        <v>HathiTrust Record</v>
      </c>
      <c r="AV5767" s="6" t="str">
        <f t="shared" si="99"/>
        <v>Catalog Record</v>
      </c>
      <c r="AW5767" s="6" t="str">
        <f t="shared" si="100"/>
        <v>WorldCat Record</v>
      </c>
      <c r="AX5767" s="3" t="s">
        <v>54494</v>
      </c>
      <c r="AY5767" s="3" t="s">
        <v>54495</v>
      </c>
      <c r="AZ5767" s="3" t="s">
        <v>54496</v>
      </c>
      <c r="BA5767" s="3" t="s">
        <v>54496</v>
      </c>
      <c r="BB5767" s="3" t="s">
        <v>54515</v>
      </c>
      <c r="BC5767" s="3" t="s">
        <v>102</v>
      </c>
      <c r="BD5767" s="3" t="s">
        <v>68</v>
      </c>
      <c r="BE5767" s="3" t="s">
        <v>54498</v>
      </c>
      <c r="BF5767" s="3" t="s">
        <v>54515</v>
      </c>
      <c r="BG5767" s="3" t="s">
        <v>54516</v>
      </c>
    </row>
    <row r="5768" spans="1:59" ht="58" x14ac:dyDescent="0.35">
      <c r="A5768" s="2" t="s">
        <v>59</v>
      </c>
      <c r="B5768" s="2" t="s">
        <v>60</v>
      </c>
      <c r="C5768" s="2" t="s">
        <v>54488</v>
      </c>
      <c r="D5768" s="2" t="s">
        <v>54489</v>
      </c>
      <c r="E5768" s="2" t="s">
        <v>54490</v>
      </c>
      <c r="F5768" s="3" t="s">
        <v>54517</v>
      </c>
      <c r="G5768" s="3" t="s">
        <v>61</v>
      </c>
      <c r="I5768" s="3" t="s">
        <v>61</v>
      </c>
      <c r="J5768" s="3" t="s">
        <v>62</v>
      </c>
      <c r="K5768" s="3" t="s">
        <v>63</v>
      </c>
      <c r="L5768" s="2" t="s">
        <v>54492</v>
      </c>
      <c r="M5768" s="2" t="s">
        <v>54493</v>
      </c>
      <c r="N5768" s="3" t="s">
        <v>1576</v>
      </c>
      <c r="O5768" s="2" t="s">
        <v>35680</v>
      </c>
      <c r="P5768" s="3" t="s">
        <v>64</v>
      </c>
      <c r="R5768" s="3" t="s">
        <v>40557</v>
      </c>
      <c r="S5768" s="4">
        <v>0</v>
      </c>
      <c r="T5768" s="4">
        <v>8</v>
      </c>
      <c r="V5768" s="5" t="s">
        <v>9685</v>
      </c>
      <c r="W5768" s="5" t="s">
        <v>67</v>
      </c>
      <c r="X5768" s="5" t="s">
        <v>67</v>
      </c>
      <c r="Y5768" s="4">
        <v>1971</v>
      </c>
      <c r="Z5768" s="4">
        <v>28</v>
      </c>
      <c r="AA5768" s="4">
        <v>39</v>
      </c>
      <c r="AB5768" s="4">
        <v>2</v>
      </c>
      <c r="AC5768" s="4">
        <v>4</v>
      </c>
      <c r="AD5768" s="4">
        <v>122</v>
      </c>
      <c r="AE5768" s="4">
        <v>127</v>
      </c>
      <c r="AF5768" s="4">
        <v>0</v>
      </c>
      <c r="AG5768" s="4">
        <v>1</v>
      </c>
      <c r="AH5768" s="4">
        <v>106</v>
      </c>
      <c r="AI5768" s="4">
        <v>109</v>
      </c>
      <c r="AJ5768" s="4">
        <v>11</v>
      </c>
      <c r="AK5768" s="4">
        <v>16</v>
      </c>
      <c r="AL5768" s="4">
        <v>58</v>
      </c>
      <c r="AM5768" s="4">
        <v>59</v>
      </c>
      <c r="AN5768" s="4">
        <v>0</v>
      </c>
      <c r="AO5768" s="4">
        <v>0</v>
      </c>
      <c r="AP5768" s="4">
        <v>17</v>
      </c>
      <c r="AQ5768" s="4">
        <v>22</v>
      </c>
      <c r="AR5768" s="3" t="s">
        <v>62</v>
      </c>
      <c r="AS5768" s="3" t="s">
        <v>62</v>
      </c>
      <c r="AT5768" s="3" t="s">
        <v>61</v>
      </c>
      <c r="AU5768" s="6" t="str">
        <f t="shared" si="98"/>
        <v>HathiTrust Record</v>
      </c>
      <c r="AV5768" s="6" t="str">
        <f t="shared" si="99"/>
        <v>Catalog Record</v>
      </c>
      <c r="AW5768" s="6" t="str">
        <f t="shared" si="100"/>
        <v>WorldCat Record</v>
      </c>
      <c r="AX5768" s="3" t="s">
        <v>54494</v>
      </c>
      <c r="AY5768" s="3" t="s">
        <v>54495</v>
      </c>
      <c r="AZ5768" s="3" t="s">
        <v>54496</v>
      </c>
      <c r="BA5768" s="3" t="s">
        <v>54496</v>
      </c>
      <c r="BB5768" s="3" t="s">
        <v>54518</v>
      </c>
      <c r="BC5768" s="3" t="s">
        <v>102</v>
      </c>
      <c r="BD5768" s="3" t="s">
        <v>68</v>
      </c>
      <c r="BE5768" s="3" t="s">
        <v>54498</v>
      </c>
      <c r="BF5768" s="3" t="s">
        <v>54518</v>
      </c>
      <c r="BG5768" s="3" t="s">
        <v>54519</v>
      </c>
    </row>
    <row r="5769" spans="1:59" ht="58" x14ac:dyDescent="0.35">
      <c r="A5769" s="2" t="s">
        <v>59</v>
      </c>
      <c r="B5769" s="2" t="s">
        <v>60</v>
      </c>
      <c r="C5769" s="2" t="s">
        <v>54488</v>
      </c>
      <c r="D5769" s="2" t="s">
        <v>54489</v>
      </c>
      <c r="E5769" s="2" t="s">
        <v>54490</v>
      </c>
      <c r="F5769" s="3" t="s">
        <v>54520</v>
      </c>
      <c r="G5769" s="3" t="s">
        <v>61</v>
      </c>
      <c r="I5769" s="3" t="s">
        <v>61</v>
      </c>
      <c r="J5769" s="3" t="s">
        <v>62</v>
      </c>
      <c r="K5769" s="3" t="s">
        <v>63</v>
      </c>
      <c r="L5769" s="2" t="s">
        <v>54492</v>
      </c>
      <c r="M5769" s="2" t="s">
        <v>54493</v>
      </c>
      <c r="N5769" s="3" t="s">
        <v>1576</v>
      </c>
      <c r="O5769" s="2" t="s">
        <v>35680</v>
      </c>
      <c r="P5769" s="3" t="s">
        <v>64</v>
      </c>
      <c r="R5769" s="3" t="s">
        <v>40557</v>
      </c>
      <c r="S5769" s="4">
        <v>0</v>
      </c>
      <c r="T5769" s="4">
        <v>8</v>
      </c>
      <c r="V5769" s="5" t="s">
        <v>9685</v>
      </c>
      <c r="W5769" s="5" t="s">
        <v>67</v>
      </c>
      <c r="X5769" s="5" t="s">
        <v>67</v>
      </c>
      <c r="Y5769" s="4">
        <v>1971</v>
      </c>
      <c r="Z5769" s="4">
        <v>28</v>
      </c>
      <c r="AA5769" s="4">
        <v>39</v>
      </c>
      <c r="AB5769" s="4">
        <v>2</v>
      </c>
      <c r="AC5769" s="4">
        <v>4</v>
      </c>
      <c r="AD5769" s="4">
        <v>122</v>
      </c>
      <c r="AE5769" s="4">
        <v>127</v>
      </c>
      <c r="AF5769" s="4">
        <v>0</v>
      </c>
      <c r="AG5769" s="4">
        <v>1</v>
      </c>
      <c r="AH5769" s="4">
        <v>106</v>
      </c>
      <c r="AI5769" s="4">
        <v>109</v>
      </c>
      <c r="AJ5769" s="4">
        <v>11</v>
      </c>
      <c r="AK5769" s="4">
        <v>16</v>
      </c>
      <c r="AL5769" s="4">
        <v>58</v>
      </c>
      <c r="AM5769" s="4">
        <v>59</v>
      </c>
      <c r="AN5769" s="4">
        <v>0</v>
      </c>
      <c r="AO5769" s="4">
        <v>0</v>
      </c>
      <c r="AP5769" s="4">
        <v>17</v>
      </c>
      <c r="AQ5769" s="4">
        <v>22</v>
      </c>
      <c r="AR5769" s="3" t="s">
        <v>62</v>
      </c>
      <c r="AS5769" s="3" t="s">
        <v>62</v>
      </c>
      <c r="AT5769" s="3" t="s">
        <v>61</v>
      </c>
      <c r="AU5769" s="6" t="str">
        <f t="shared" si="98"/>
        <v>HathiTrust Record</v>
      </c>
      <c r="AV5769" s="6" t="str">
        <f t="shared" si="99"/>
        <v>Catalog Record</v>
      </c>
      <c r="AW5769" s="6" t="str">
        <f t="shared" si="100"/>
        <v>WorldCat Record</v>
      </c>
      <c r="AX5769" s="3" t="s">
        <v>54494</v>
      </c>
      <c r="AY5769" s="3" t="s">
        <v>54495</v>
      </c>
      <c r="AZ5769" s="3" t="s">
        <v>54496</v>
      </c>
      <c r="BA5769" s="3" t="s">
        <v>54496</v>
      </c>
      <c r="BB5769" s="3" t="s">
        <v>54521</v>
      </c>
      <c r="BC5769" s="3" t="s">
        <v>102</v>
      </c>
      <c r="BD5769" s="3" t="s">
        <v>68</v>
      </c>
      <c r="BE5769" s="3" t="s">
        <v>54498</v>
      </c>
      <c r="BF5769" s="3" t="s">
        <v>54521</v>
      </c>
      <c r="BG5769" s="3" t="s">
        <v>54522</v>
      </c>
    </row>
    <row r="5770" spans="1:59" ht="58" x14ac:dyDescent="0.35">
      <c r="A5770" s="2" t="s">
        <v>59</v>
      </c>
      <c r="B5770" s="2" t="s">
        <v>60</v>
      </c>
      <c r="C5770" s="2" t="s">
        <v>54488</v>
      </c>
      <c r="D5770" s="2" t="s">
        <v>54489</v>
      </c>
      <c r="E5770" s="2" t="s">
        <v>54490</v>
      </c>
      <c r="F5770" s="3" t="s">
        <v>54523</v>
      </c>
      <c r="G5770" s="3" t="s">
        <v>61</v>
      </c>
      <c r="I5770" s="3" t="s">
        <v>61</v>
      </c>
      <c r="J5770" s="3" t="s">
        <v>62</v>
      </c>
      <c r="K5770" s="3" t="s">
        <v>63</v>
      </c>
      <c r="L5770" s="2" t="s">
        <v>54492</v>
      </c>
      <c r="M5770" s="2" t="s">
        <v>54493</v>
      </c>
      <c r="N5770" s="3" t="s">
        <v>1576</v>
      </c>
      <c r="O5770" s="2" t="s">
        <v>35680</v>
      </c>
      <c r="P5770" s="3" t="s">
        <v>64</v>
      </c>
      <c r="R5770" s="3" t="s">
        <v>40557</v>
      </c>
      <c r="S5770" s="4">
        <v>0</v>
      </c>
      <c r="T5770" s="4">
        <v>8</v>
      </c>
      <c r="V5770" s="5" t="s">
        <v>9685</v>
      </c>
      <c r="W5770" s="5" t="s">
        <v>67</v>
      </c>
      <c r="X5770" s="5" t="s">
        <v>67</v>
      </c>
      <c r="Y5770" s="4">
        <v>1971</v>
      </c>
      <c r="Z5770" s="4">
        <v>28</v>
      </c>
      <c r="AA5770" s="4">
        <v>39</v>
      </c>
      <c r="AB5770" s="4">
        <v>2</v>
      </c>
      <c r="AC5770" s="4">
        <v>4</v>
      </c>
      <c r="AD5770" s="4">
        <v>122</v>
      </c>
      <c r="AE5770" s="4">
        <v>127</v>
      </c>
      <c r="AF5770" s="4">
        <v>0</v>
      </c>
      <c r="AG5770" s="4">
        <v>1</v>
      </c>
      <c r="AH5770" s="4">
        <v>106</v>
      </c>
      <c r="AI5770" s="4">
        <v>109</v>
      </c>
      <c r="AJ5770" s="4">
        <v>11</v>
      </c>
      <c r="AK5770" s="4">
        <v>16</v>
      </c>
      <c r="AL5770" s="4">
        <v>58</v>
      </c>
      <c r="AM5770" s="4">
        <v>59</v>
      </c>
      <c r="AN5770" s="4">
        <v>0</v>
      </c>
      <c r="AO5770" s="4">
        <v>0</v>
      </c>
      <c r="AP5770" s="4">
        <v>17</v>
      </c>
      <c r="AQ5770" s="4">
        <v>22</v>
      </c>
      <c r="AR5770" s="3" t="s">
        <v>62</v>
      </c>
      <c r="AS5770" s="3" t="s">
        <v>62</v>
      </c>
      <c r="AT5770" s="3" t="s">
        <v>61</v>
      </c>
      <c r="AU5770" s="6" t="str">
        <f t="shared" si="98"/>
        <v>HathiTrust Record</v>
      </c>
      <c r="AV5770" s="6" t="str">
        <f t="shared" si="99"/>
        <v>Catalog Record</v>
      </c>
      <c r="AW5770" s="6" t="str">
        <f t="shared" si="100"/>
        <v>WorldCat Record</v>
      </c>
      <c r="AX5770" s="3" t="s">
        <v>54494</v>
      </c>
      <c r="AY5770" s="3" t="s">
        <v>54495</v>
      </c>
      <c r="AZ5770" s="3" t="s">
        <v>54496</v>
      </c>
      <c r="BA5770" s="3" t="s">
        <v>54496</v>
      </c>
      <c r="BB5770" s="3" t="s">
        <v>54524</v>
      </c>
      <c r="BC5770" s="3" t="s">
        <v>102</v>
      </c>
      <c r="BD5770" s="3" t="s">
        <v>68</v>
      </c>
      <c r="BE5770" s="3" t="s">
        <v>54498</v>
      </c>
      <c r="BF5770" s="3" t="s">
        <v>54524</v>
      </c>
      <c r="BG5770" s="3" t="s">
        <v>54525</v>
      </c>
    </row>
    <row r="5771" spans="1:59" ht="58" x14ac:dyDescent="0.35">
      <c r="A5771" s="2" t="s">
        <v>59</v>
      </c>
      <c r="B5771" s="2" t="s">
        <v>60</v>
      </c>
      <c r="C5771" s="2" t="s">
        <v>54488</v>
      </c>
      <c r="D5771" s="2" t="s">
        <v>54489</v>
      </c>
      <c r="E5771" s="2" t="s">
        <v>54490</v>
      </c>
      <c r="F5771" s="3" t="s">
        <v>54526</v>
      </c>
      <c r="G5771" s="3" t="s">
        <v>61</v>
      </c>
      <c r="I5771" s="3" t="s">
        <v>61</v>
      </c>
      <c r="J5771" s="3" t="s">
        <v>62</v>
      </c>
      <c r="K5771" s="3" t="s">
        <v>63</v>
      </c>
      <c r="L5771" s="2" t="s">
        <v>54492</v>
      </c>
      <c r="M5771" s="2" t="s">
        <v>54493</v>
      </c>
      <c r="N5771" s="3" t="s">
        <v>1576</v>
      </c>
      <c r="O5771" s="2" t="s">
        <v>35680</v>
      </c>
      <c r="P5771" s="3" t="s">
        <v>64</v>
      </c>
      <c r="R5771" s="3" t="s">
        <v>40557</v>
      </c>
      <c r="S5771" s="4">
        <v>0</v>
      </c>
      <c r="T5771" s="4">
        <v>8</v>
      </c>
      <c r="V5771" s="5" t="s">
        <v>9685</v>
      </c>
      <c r="W5771" s="5" t="s">
        <v>67</v>
      </c>
      <c r="X5771" s="5" t="s">
        <v>67</v>
      </c>
      <c r="Y5771" s="4">
        <v>1971</v>
      </c>
      <c r="Z5771" s="4">
        <v>28</v>
      </c>
      <c r="AA5771" s="4">
        <v>39</v>
      </c>
      <c r="AB5771" s="4">
        <v>2</v>
      </c>
      <c r="AC5771" s="4">
        <v>4</v>
      </c>
      <c r="AD5771" s="4">
        <v>122</v>
      </c>
      <c r="AE5771" s="4">
        <v>127</v>
      </c>
      <c r="AF5771" s="4">
        <v>0</v>
      </c>
      <c r="AG5771" s="4">
        <v>1</v>
      </c>
      <c r="AH5771" s="4">
        <v>106</v>
      </c>
      <c r="AI5771" s="4">
        <v>109</v>
      </c>
      <c r="AJ5771" s="4">
        <v>11</v>
      </c>
      <c r="AK5771" s="4">
        <v>16</v>
      </c>
      <c r="AL5771" s="4">
        <v>58</v>
      </c>
      <c r="AM5771" s="4">
        <v>59</v>
      </c>
      <c r="AN5771" s="4">
        <v>0</v>
      </c>
      <c r="AO5771" s="4">
        <v>0</v>
      </c>
      <c r="AP5771" s="4">
        <v>17</v>
      </c>
      <c r="AQ5771" s="4">
        <v>22</v>
      </c>
      <c r="AR5771" s="3" t="s">
        <v>62</v>
      </c>
      <c r="AS5771" s="3" t="s">
        <v>62</v>
      </c>
      <c r="AT5771" s="3" t="s">
        <v>61</v>
      </c>
      <c r="AU5771" s="6" t="str">
        <f t="shared" si="98"/>
        <v>HathiTrust Record</v>
      </c>
      <c r="AV5771" s="6" t="str">
        <f t="shared" si="99"/>
        <v>Catalog Record</v>
      </c>
      <c r="AW5771" s="6" t="str">
        <f t="shared" si="100"/>
        <v>WorldCat Record</v>
      </c>
      <c r="AX5771" s="3" t="s">
        <v>54494</v>
      </c>
      <c r="AY5771" s="3" t="s">
        <v>54495</v>
      </c>
      <c r="AZ5771" s="3" t="s">
        <v>54496</v>
      </c>
      <c r="BA5771" s="3" t="s">
        <v>54496</v>
      </c>
      <c r="BB5771" s="3" t="s">
        <v>54527</v>
      </c>
      <c r="BC5771" s="3" t="s">
        <v>102</v>
      </c>
      <c r="BD5771" s="3" t="s">
        <v>68</v>
      </c>
      <c r="BE5771" s="3" t="s">
        <v>54498</v>
      </c>
      <c r="BF5771" s="3" t="s">
        <v>54527</v>
      </c>
      <c r="BG5771" s="3" t="s">
        <v>54528</v>
      </c>
    </row>
    <row r="5772" spans="1:59" ht="58" x14ac:dyDescent="0.35">
      <c r="A5772" s="2" t="s">
        <v>59</v>
      </c>
      <c r="B5772" s="2" t="s">
        <v>60</v>
      </c>
      <c r="C5772" s="2" t="s">
        <v>54488</v>
      </c>
      <c r="D5772" s="2" t="s">
        <v>54489</v>
      </c>
      <c r="E5772" s="2" t="s">
        <v>54490</v>
      </c>
      <c r="F5772" s="3" t="s">
        <v>46740</v>
      </c>
      <c r="G5772" s="3" t="s">
        <v>61</v>
      </c>
      <c r="I5772" s="3" t="s">
        <v>61</v>
      </c>
      <c r="J5772" s="3" t="s">
        <v>62</v>
      </c>
      <c r="K5772" s="3" t="s">
        <v>63</v>
      </c>
      <c r="L5772" s="2" t="s">
        <v>54492</v>
      </c>
      <c r="M5772" s="2" t="s">
        <v>54493</v>
      </c>
      <c r="N5772" s="3" t="s">
        <v>1576</v>
      </c>
      <c r="O5772" s="2" t="s">
        <v>35680</v>
      </c>
      <c r="P5772" s="3" t="s">
        <v>64</v>
      </c>
      <c r="R5772" s="3" t="s">
        <v>40557</v>
      </c>
      <c r="S5772" s="4">
        <v>0</v>
      </c>
      <c r="T5772" s="4">
        <v>8</v>
      </c>
      <c r="V5772" s="5" t="s">
        <v>9685</v>
      </c>
      <c r="W5772" s="5" t="s">
        <v>67</v>
      </c>
      <c r="X5772" s="5" t="s">
        <v>67</v>
      </c>
      <c r="Y5772" s="4">
        <v>1971</v>
      </c>
      <c r="Z5772" s="4">
        <v>28</v>
      </c>
      <c r="AA5772" s="4">
        <v>39</v>
      </c>
      <c r="AB5772" s="4">
        <v>2</v>
      </c>
      <c r="AC5772" s="4">
        <v>4</v>
      </c>
      <c r="AD5772" s="4">
        <v>122</v>
      </c>
      <c r="AE5772" s="4">
        <v>127</v>
      </c>
      <c r="AF5772" s="4">
        <v>0</v>
      </c>
      <c r="AG5772" s="4">
        <v>1</v>
      </c>
      <c r="AH5772" s="4">
        <v>106</v>
      </c>
      <c r="AI5772" s="4">
        <v>109</v>
      </c>
      <c r="AJ5772" s="4">
        <v>11</v>
      </c>
      <c r="AK5772" s="4">
        <v>16</v>
      </c>
      <c r="AL5772" s="4">
        <v>58</v>
      </c>
      <c r="AM5772" s="4">
        <v>59</v>
      </c>
      <c r="AN5772" s="4">
        <v>0</v>
      </c>
      <c r="AO5772" s="4">
        <v>0</v>
      </c>
      <c r="AP5772" s="4">
        <v>17</v>
      </c>
      <c r="AQ5772" s="4">
        <v>22</v>
      </c>
      <c r="AR5772" s="3" t="s">
        <v>62</v>
      </c>
      <c r="AS5772" s="3" t="s">
        <v>62</v>
      </c>
      <c r="AT5772" s="3" t="s">
        <v>61</v>
      </c>
      <c r="AU5772" s="6" t="str">
        <f t="shared" si="98"/>
        <v>HathiTrust Record</v>
      </c>
      <c r="AV5772" s="6" t="str">
        <f t="shared" si="99"/>
        <v>Catalog Record</v>
      </c>
      <c r="AW5772" s="6" t="str">
        <f t="shared" si="100"/>
        <v>WorldCat Record</v>
      </c>
      <c r="AX5772" s="3" t="s">
        <v>54494</v>
      </c>
      <c r="AY5772" s="3" t="s">
        <v>54495</v>
      </c>
      <c r="AZ5772" s="3" t="s">
        <v>54496</v>
      </c>
      <c r="BA5772" s="3" t="s">
        <v>54496</v>
      </c>
      <c r="BB5772" s="3" t="s">
        <v>54529</v>
      </c>
      <c r="BC5772" s="3" t="s">
        <v>102</v>
      </c>
      <c r="BD5772" s="3" t="s">
        <v>68</v>
      </c>
      <c r="BE5772" s="3" t="s">
        <v>54498</v>
      </c>
      <c r="BF5772" s="3" t="s">
        <v>54529</v>
      </c>
      <c r="BG5772" s="3" t="s">
        <v>54530</v>
      </c>
    </row>
    <row r="5773" spans="1:59" ht="58" x14ac:dyDescent="0.35">
      <c r="A5773" s="2" t="s">
        <v>59</v>
      </c>
      <c r="B5773" s="2" t="s">
        <v>60</v>
      </c>
      <c r="C5773" s="2" t="s">
        <v>54488</v>
      </c>
      <c r="D5773" s="2" t="s">
        <v>54489</v>
      </c>
      <c r="E5773" s="2" t="s">
        <v>54490</v>
      </c>
      <c r="F5773" s="3" t="s">
        <v>54531</v>
      </c>
      <c r="G5773" s="3" t="s">
        <v>61</v>
      </c>
      <c r="I5773" s="3" t="s">
        <v>61</v>
      </c>
      <c r="J5773" s="3" t="s">
        <v>62</v>
      </c>
      <c r="K5773" s="3" t="s">
        <v>63</v>
      </c>
      <c r="L5773" s="2" t="s">
        <v>54492</v>
      </c>
      <c r="M5773" s="2" t="s">
        <v>54493</v>
      </c>
      <c r="N5773" s="3" t="s">
        <v>1576</v>
      </c>
      <c r="O5773" s="2" t="s">
        <v>35680</v>
      </c>
      <c r="P5773" s="3" t="s">
        <v>64</v>
      </c>
      <c r="R5773" s="3" t="s">
        <v>40557</v>
      </c>
      <c r="S5773" s="4">
        <v>0</v>
      </c>
      <c r="T5773" s="4">
        <v>8</v>
      </c>
      <c r="V5773" s="5" t="s">
        <v>9685</v>
      </c>
      <c r="W5773" s="5" t="s">
        <v>67</v>
      </c>
      <c r="X5773" s="5" t="s">
        <v>67</v>
      </c>
      <c r="Y5773" s="4">
        <v>1971</v>
      </c>
      <c r="Z5773" s="4">
        <v>28</v>
      </c>
      <c r="AA5773" s="4">
        <v>39</v>
      </c>
      <c r="AB5773" s="4">
        <v>2</v>
      </c>
      <c r="AC5773" s="4">
        <v>4</v>
      </c>
      <c r="AD5773" s="4">
        <v>122</v>
      </c>
      <c r="AE5773" s="4">
        <v>127</v>
      </c>
      <c r="AF5773" s="4">
        <v>0</v>
      </c>
      <c r="AG5773" s="4">
        <v>1</v>
      </c>
      <c r="AH5773" s="4">
        <v>106</v>
      </c>
      <c r="AI5773" s="4">
        <v>109</v>
      </c>
      <c r="AJ5773" s="4">
        <v>11</v>
      </c>
      <c r="AK5773" s="4">
        <v>16</v>
      </c>
      <c r="AL5773" s="4">
        <v>58</v>
      </c>
      <c r="AM5773" s="4">
        <v>59</v>
      </c>
      <c r="AN5773" s="4">
        <v>0</v>
      </c>
      <c r="AO5773" s="4">
        <v>0</v>
      </c>
      <c r="AP5773" s="4">
        <v>17</v>
      </c>
      <c r="AQ5773" s="4">
        <v>22</v>
      </c>
      <c r="AR5773" s="3" t="s">
        <v>62</v>
      </c>
      <c r="AS5773" s="3" t="s">
        <v>62</v>
      </c>
      <c r="AT5773" s="3" t="s">
        <v>61</v>
      </c>
      <c r="AU5773" s="6" t="str">
        <f t="shared" si="98"/>
        <v>HathiTrust Record</v>
      </c>
      <c r="AV5773" s="6" t="str">
        <f t="shared" si="99"/>
        <v>Catalog Record</v>
      </c>
      <c r="AW5773" s="6" t="str">
        <f t="shared" si="100"/>
        <v>WorldCat Record</v>
      </c>
      <c r="AX5773" s="3" t="s">
        <v>54494</v>
      </c>
      <c r="AY5773" s="3" t="s">
        <v>54495</v>
      </c>
      <c r="AZ5773" s="3" t="s">
        <v>54496</v>
      </c>
      <c r="BA5773" s="3" t="s">
        <v>54496</v>
      </c>
      <c r="BB5773" s="3" t="s">
        <v>54532</v>
      </c>
      <c r="BC5773" s="3" t="s">
        <v>102</v>
      </c>
      <c r="BD5773" s="3" t="s">
        <v>68</v>
      </c>
      <c r="BE5773" s="3" t="s">
        <v>54498</v>
      </c>
      <c r="BF5773" s="3" t="s">
        <v>54532</v>
      </c>
      <c r="BG5773" s="3" t="s">
        <v>54533</v>
      </c>
    </row>
    <row r="5774" spans="1:59" ht="58" x14ac:dyDescent="0.35">
      <c r="A5774" s="2" t="s">
        <v>59</v>
      </c>
      <c r="B5774" s="2" t="s">
        <v>60</v>
      </c>
      <c r="C5774" s="2" t="s">
        <v>54488</v>
      </c>
      <c r="D5774" s="2" t="s">
        <v>54489</v>
      </c>
      <c r="E5774" s="2" t="s">
        <v>54490</v>
      </c>
      <c r="F5774" s="3" t="s">
        <v>54534</v>
      </c>
      <c r="G5774" s="3" t="s">
        <v>61</v>
      </c>
      <c r="I5774" s="3" t="s">
        <v>61</v>
      </c>
      <c r="J5774" s="3" t="s">
        <v>62</v>
      </c>
      <c r="K5774" s="3" t="s">
        <v>63</v>
      </c>
      <c r="L5774" s="2" t="s">
        <v>54492</v>
      </c>
      <c r="M5774" s="2" t="s">
        <v>54493</v>
      </c>
      <c r="N5774" s="3" t="s">
        <v>1576</v>
      </c>
      <c r="O5774" s="2" t="s">
        <v>35680</v>
      </c>
      <c r="P5774" s="3" t="s">
        <v>64</v>
      </c>
      <c r="R5774" s="3" t="s">
        <v>40557</v>
      </c>
      <c r="S5774" s="4">
        <v>0</v>
      </c>
      <c r="T5774" s="4">
        <v>8</v>
      </c>
      <c r="V5774" s="5" t="s">
        <v>9685</v>
      </c>
      <c r="W5774" s="5" t="s">
        <v>67</v>
      </c>
      <c r="X5774" s="5" t="s">
        <v>67</v>
      </c>
      <c r="Y5774" s="4">
        <v>1971</v>
      </c>
      <c r="Z5774" s="4">
        <v>28</v>
      </c>
      <c r="AA5774" s="4">
        <v>39</v>
      </c>
      <c r="AB5774" s="4">
        <v>2</v>
      </c>
      <c r="AC5774" s="4">
        <v>4</v>
      </c>
      <c r="AD5774" s="4">
        <v>122</v>
      </c>
      <c r="AE5774" s="4">
        <v>127</v>
      </c>
      <c r="AF5774" s="4">
        <v>0</v>
      </c>
      <c r="AG5774" s="4">
        <v>1</v>
      </c>
      <c r="AH5774" s="4">
        <v>106</v>
      </c>
      <c r="AI5774" s="4">
        <v>109</v>
      </c>
      <c r="AJ5774" s="4">
        <v>11</v>
      </c>
      <c r="AK5774" s="4">
        <v>16</v>
      </c>
      <c r="AL5774" s="4">
        <v>58</v>
      </c>
      <c r="AM5774" s="4">
        <v>59</v>
      </c>
      <c r="AN5774" s="4">
        <v>0</v>
      </c>
      <c r="AO5774" s="4">
        <v>0</v>
      </c>
      <c r="AP5774" s="4">
        <v>17</v>
      </c>
      <c r="AQ5774" s="4">
        <v>22</v>
      </c>
      <c r="AR5774" s="3" t="s">
        <v>62</v>
      </c>
      <c r="AS5774" s="3" t="s">
        <v>62</v>
      </c>
      <c r="AT5774" s="3" t="s">
        <v>61</v>
      </c>
      <c r="AU5774" s="6" t="str">
        <f t="shared" si="98"/>
        <v>HathiTrust Record</v>
      </c>
      <c r="AV5774" s="6" t="str">
        <f t="shared" si="99"/>
        <v>Catalog Record</v>
      </c>
      <c r="AW5774" s="6" t="str">
        <f t="shared" si="100"/>
        <v>WorldCat Record</v>
      </c>
      <c r="AX5774" s="3" t="s">
        <v>54494</v>
      </c>
      <c r="AY5774" s="3" t="s">
        <v>54495</v>
      </c>
      <c r="AZ5774" s="3" t="s">
        <v>54496</v>
      </c>
      <c r="BA5774" s="3" t="s">
        <v>54496</v>
      </c>
      <c r="BB5774" s="3" t="s">
        <v>54535</v>
      </c>
      <c r="BC5774" s="3" t="s">
        <v>102</v>
      </c>
      <c r="BD5774" s="3" t="s">
        <v>68</v>
      </c>
      <c r="BE5774" s="3" t="s">
        <v>54498</v>
      </c>
      <c r="BF5774" s="3" t="s">
        <v>54535</v>
      </c>
      <c r="BG5774" s="3" t="s">
        <v>54536</v>
      </c>
    </row>
    <row r="5775" spans="1:59" ht="58" x14ac:dyDescent="0.35">
      <c r="A5775" s="2" t="s">
        <v>59</v>
      </c>
      <c r="B5775" s="2" t="s">
        <v>60</v>
      </c>
      <c r="C5775" s="2" t="s">
        <v>54488</v>
      </c>
      <c r="D5775" s="2" t="s">
        <v>54489</v>
      </c>
      <c r="E5775" s="2" t="s">
        <v>54490</v>
      </c>
      <c r="F5775" s="3" t="s">
        <v>54537</v>
      </c>
      <c r="G5775" s="3" t="s">
        <v>61</v>
      </c>
      <c r="I5775" s="3" t="s">
        <v>61</v>
      </c>
      <c r="J5775" s="3" t="s">
        <v>62</v>
      </c>
      <c r="K5775" s="3" t="s">
        <v>63</v>
      </c>
      <c r="L5775" s="2" t="s">
        <v>54492</v>
      </c>
      <c r="M5775" s="2" t="s">
        <v>54493</v>
      </c>
      <c r="N5775" s="3" t="s">
        <v>1576</v>
      </c>
      <c r="O5775" s="2" t="s">
        <v>35680</v>
      </c>
      <c r="P5775" s="3" t="s">
        <v>64</v>
      </c>
      <c r="R5775" s="3" t="s">
        <v>40557</v>
      </c>
      <c r="S5775" s="4">
        <v>0</v>
      </c>
      <c r="T5775" s="4">
        <v>8</v>
      </c>
      <c r="V5775" s="5" t="s">
        <v>9685</v>
      </c>
      <c r="W5775" s="5" t="s">
        <v>67</v>
      </c>
      <c r="X5775" s="5" t="s">
        <v>67</v>
      </c>
      <c r="Y5775" s="4">
        <v>1971</v>
      </c>
      <c r="Z5775" s="4">
        <v>28</v>
      </c>
      <c r="AA5775" s="4">
        <v>39</v>
      </c>
      <c r="AB5775" s="4">
        <v>2</v>
      </c>
      <c r="AC5775" s="4">
        <v>4</v>
      </c>
      <c r="AD5775" s="4">
        <v>122</v>
      </c>
      <c r="AE5775" s="4">
        <v>127</v>
      </c>
      <c r="AF5775" s="4">
        <v>0</v>
      </c>
      <c r="AG5775" s="4">
        <v>1</v>
      </c>
      <c r="AH5775" s="4">
        <v>106</v>
      </c>
      <c r="AI5775" s="4">
        <v>109</v>
      </c>
      <c r="AJ5775" s="4">
        <v>11</v>
      </c>
      <c r="AK5775" s="4">
        <v>16</v>
      </c>
      <c r="AL5775" s="4">
        <v>58</v>
      </c>
      <c r="AM5775" s="4">
        <v>59</v>
      </c>
      <c r="AN5775" s="4">
        <v>0</v>
      </c>
      <c r="AO5775" s="4">
        <v>0</v>
      </c>
      <c r="AP5775" s="4">
        <v>17</v>
      </c>
      <c r="AQ5775" s="4">
        <v>22</v>
      </c>
      <c r="AR5775" s="3" t="s">
        <v>62</v>
      </c>
      <c r="AS5775" s="3" t="s">
        <v>62</v>
      </c>
      <c r="AT5775" s="3" t="s">
        <v>61</v>
      </c>
      <c r="AU5775" s="6" t="str">
        <f t="shared" si="98"/>
        <v>HathiTrust Record</v>
      </c>
      <c r="AV5775" s="6" t="str">
        <f t="shared" si="99"/>
        <v>Catalog Record</v>
      </c>
      <c r="AW5775" s="6" t="str">
        <f t="shared" si="100"/>
        <v>WorldCat Record</v>
      </c>
      <c r="AX5775" s="3" t="s">
        <v>54494</v>
      </c>
      <c r="AY5775" s="3" t="s">
        <v>54495</v>
      </c>
      <c r="AZ5775" s="3" t="s">
        <v>54496</v>
      </c>
      <c r="BA5775" s="3" t="s">
        <v>54496</v>
      </c>
      <c r="BB5775" s="3" t="s">
        <v>54538</v>
      </c>
      <c r="BC5775" s="3" t="s">
        <v>102</v>
      </c>
      <c r="BD5775" s="3" t="s">
        <v>68</v>
      </c>
      <c r="BE5775" s="3" t="s">
        <v>54498</v>
      </c>
      <c r="BF5775" s="3" t="s">
        <v>54538</v>
      </c>
      <c r="BG5775" s="3" t="s">
        <v>54539</v>
      </c>
    </row>
    <row r="5776" spans="1:59" ht="72.5" x14ac:dyDescent="0.35">
      <c r="A5776" s="2" t="s">
        <v>89</v>
      </c>
      <c r="B5776" s="2" t="s">
        <v>6124</v>
      </c>
      <c r="C5776" s="2" t="s">
        <v>54540</v>
      </c>
      <c r="D5776" s="2" t="s">
        <v>54541</v>
      </c>
      <c r="E5776" s="2" t="s">
        <v>54542</v>
      </c>
      <c r="G5776" s="3" t="s">
        <v>62</v>
      </c>
      <c r="I5776" s="3" t="s">
        <v>62</v>
      </c>
      <c r="J5776" s="3" t="s">
        <v>62</v>
      </c>
      <c r="K5776" s="3" t="s">
        <v>63</v>
      </c>
      <c r="L5776" s="2" t="s">
        <v>54543</v>
      </c>
      <c r="M5776" s="2" t="s">
        <v>54544</v>
      </c>
      <c r="N5776" s="3" t="s">
        <v>712</v>
      </c>
      <c r="O5776" s="2" t="s">
        <v>54545</v>
      </c>
      <c r="P5776" s="3" t="s">
        <v>64</v>
      </c>
      <c r="Q5776" s="2" t="s">
        <v>54546</v>
      </c>
      <c r="R5776" s="3" t="s">
        <v>42369</v>
      </c>
      <c r="S5776" s="4">
        <v>4</v>
      </c>
      <c r="T5776" s="4">
        <v>4</v>
      </c>
      <c r="U5776" s="5" t="s">
        <v>14657</v>
      </c>
      <c r="V5776" s="5" t="s">
        <v>14657</v>
      </c>
      <c r="W5776" s="5" t="s">
        <v>67</v>
      </c>
      <c r="X5776" s="5" t="s">
        <v>67</v>
      </c>
      <c r="Y5776" s="4">
        <v>731</v>
      </c>
      <c r="Z5776" s="4">
        <v>13</v>
      </c>
      <c r="AA5776" s="4">
        <v>18</v>
      </c>
      <c r="AB5776" s="4">
        <v>2</v>
      </c>
      <c r="AC5776" s="4">
        <v>2</v>
      </c>
      <c r="AD5776" s="4">
        <v>38</v>
      </c>
      <c r="AE5776" s="4">
        <v>41</v>
      </c>
      <c r="AF5776" s="4">
        <v>0</v>
      </c>
      <c r="AG5776" s="4">
        <v>0</v>
      </c>
      <c r="AH5776" s="4">
        <v>35</v>
      </c>
      <c r="AI5776" s="4">
        <v>37</v>
      </c>
      <c r="AJ5776" s="4">
        <v>2</v>
      </c>
      <c r="AK5776" s="4">
        <v>2</v>
      </c>
      <c r="AL5776" s="4">
        <v>15</v>
      </c>
      <c r="AM5776" s="4">
        <v>15</v>
      </c>
      <c r="AN5776" s="4">
        <v>0</v>
      </c>
      <c r="AO5776" s="4">
        <v>0</v>
      </c>
      <c r="AP5776" s="4">
        <v>2</v>
      </c>
      <c r="AQ5776" s="4">
        <v>3</v>
      </c>
      <c r="AR5776" s="3" t="s">
        <v>62</v>
      </c>
      <c r="AS5776" s="3" t="s">
        <v>62</v>
      </c>
      <c r="AT5776" s="3" t="s">
        <v>62</v>
      </c>
      <c r="AV5776" s="6" t="str">
        <f>HYPERLINK("http://mcgill.on.worldcat.org/oclc/869527107","Catalog Record")</f>
        <v>Catalog Record</v>
      </c>
      <c r="AW5776" s="6" t="str">
        <f>HYPERLINK("http://www.worldcat.org/oclc/869527107","WorldCat Record")</f>
        <v>WorldCat Record</v>
      </c>
      <c r="AX5776" s="3" t="s">
        <v>54547</v>
      </c>
      <c r="AY5776" s="3" t="s">
        <v>54548</v>
      </c>
      <c r="AZ5776" s="3" t="s">
        <v>54549</v>
      </c>
      <c r="BA5776" s="3" t="s">
        <v>54549</v>
      </c>
      <c r="BB5776" s="3" t="s">
        <v>54550</v>
      </c>
      <c r="BC5776" s="3" t="s">
        <v>102</v>
      </c>
      <c r="BD5776" s="3" t="s">
        <v>231</v>
      </c>
      <c r="BE5776" s="3" t="s">
        <v>54551</v>
      </c>
      <c r="BF5776" s="3" t="s">
        <v>54550</v>
      </c>
      <c r="BG5776" s="3" t="s">
        <v>54552</v>
      </c>
    </row>
    <row r="5777" spans="1:59" ht="58" x14ac:dyDescent="0.35">
      <c r="A5777" s="2" t="s">
        <v>59</v>
      </c>
      <c r="B5777" s="2" t="s">
        <v>60</v>
      </c>
      <c r="C5777" s="2" t="s">
        <v>54553</v>
      </c>
      <c r="D5777" s="2" t="s">
        <v>54554</v>
      </c>
      <c r="E5777" s="2" t="s">
        <v>54555</v>
      </c>
      <c r="G5777" s="3" t="s">
        <v>62</v>
      </c>
      <c r="I5777" s="3" t="s">
        <v>62</v>
      </c>
      <c r="J5777" s="3" t="s">
        <v>62</v>
      </c>
      <c r="K5777" s="3" t="s">
        <v>63</v>
      </c>
      <c r="L5777" s="2" t="s">
        <v>54556</v>
      </c>
      <c r="M5777" s="2" t="s">
        <v>54557</v>
      </c>
      <c r="N5777" s="3" t="s">
        <v>625</v>
      </c>
      <c r="P5777" s="3" t="s">
        <v>64</v>
      </c>
      <c r="R5777" s="3" t="s">
        <v>42369</v>
      </c>
      <c r="S5777" s="4">
        <v>2</v>
      </c>
      <c r="T5777" s="4">
        <v>2</v>
      </c>
      <c r="U5777" s="5" t="s">
        <v>6962</v>
      </c>
      <c r="V5777" s="5" t="s">
        <v>6962</v>
      </c>
      <c r="W5777" s="5" t="s">
        <v>67</v>
      </c>
      <c r="X5777" s="5" t="s">
        <v>67</v>
      </c>
      <c r="Y5777" s="4">
        <v>387</v>
      </c>
      <c r="Z5777" s="4">
        <v>7</v>
      </c>
      <c r="AA5777" s="4">
        <v>7</v>
      </c>
      <c r="AB5777" s="4">
        <v>2</v>
      </c>
      <c r="AC5777" s="4">
        <v>2</v>
      </c>
      <c r="AD5777" s="4">
        <v>17</v>
      </c>
      <c r="AE5777" s="4">
        <v>17</v>
      </c>
      <c r="AF5777" s="4">
        <v>0</v>
      </c>
      <c r="AG5777" s="4">
        <v>0</v>
      </c>
      <c r="AH5777" s="4">
        <v>16</v>
      </c>
      <c r="AI5777" s="4">
        <v>16</v>
      </c>
      <c r="AJ5777" s="4">
        <v>0</v>
      </c>
      <c r="AK5777" s="4">
        <v>0</v>
      </c>
      <c r="AL5777" s="4">
        <v>9</v>
      </c>
      <c r="AM5777" s="4">
        <v>9</v>
      </c>
      <c r="AN5777" s="4">
        <v>0</v>
      </c>
      <c r="AO5777" s="4">
        <v>0</v>
      </c>
      <c r="AP5777" s="4">
        <v>0</v>
      </c>
      <c r="AQ5777" s="4">
        <v>0</v>
      </c>
      <c r="AR5777" s="3" t="s">
        <v>62</v>
      </c>
      <c r="AS5777" s="3" t="s">
        <v>62</v>
      </c>
      <c r="AT5777" s="3" t="s">
        <v>62</v>
      </c>
      <c r="AV5777" s="6" t="str">
        <f>HYPERLINK("http://mcgill.on.worldcat.org/oclc/52038194","Catalog Record")</f>
        <v>Catalog Record</v>
      </c>
      <c r="AW5777" s="6" t="str">
        <f>HYPERLINK("http://www.worldcat.org/oclc/52038194","WorldCat Record")</f>
        <v>WorldCat Record</v>
      </c>
      <c r="AX5777" s="3" t="s">
        <v>54558</v>
      </c>
      <c r="AY5777" s="3" t="s">
        <v>54559</v>
      </c>
      <c r="AZ5777" s="3" t="s">
        <v>54560</v>
      </c>
      <c r="BA5777" s="3" t="s">
        <v>54560</v>
      </c>
      <c r="BB5777" s="3" t="s">
        <v>54561</v>
      </c>
      <c r="BC5777" s="3" t="s">
        <v>102</v>
      </c>
      <c r="BD5777" s="3" t="s">
        <v>68</v>
      </c>
      <c r="BE5777" s="3" t="s">
        <v>54562</v>
      </c>
      <c r="BF5777" s="3" t="s">
        <v>54561</v>
      </c>
      <c r="BG5777" s="3" t="s">
        <v>54563</v>
      </c>
    </row>
    <row r="5778" spans="1:59" ht="72.5" x14ac:dyDescent="0.35">
      <c r="A5778" s="2" t="s">
        <v>59</v>
      </c>
      <c r="B5778" s="2" t="s">
        <v>60</v>
      </c>
      <c r="C5778" s="2" t="s">
        <v>54564</v>
      </c>
      <c r="D5778" s="2" t="s">
        <v>54565</v>
      </c>
      <c r="E5778" s="2" t="s">
        <v>54566</v>
      </c>
      <c r="G5778" s="3" t="s">
        <v>62</v>
      </c>
      <c r="I5778" s="3" t="s">
        <v>62</v>
      </c>
      <c r="J5778" s="3" t="s">
        <v>62</v>
      </c>
      <c r="K5778" s="3" t="s">
        <v>63</v>
      </c>
      <c r="L5778" s="2" t="s">
        <v>54567</v>
      </c>
      <c r="M5778" s="2" t="s">
        <v>54568</v>
      </c>
      <c r="N5778" s="3" t="s">
        <v>1482</v>
      </c>
      <c r="P5778" s="3" t="s">
        <v>64</v>
      </c>
      <c r="R5778" s="3" t="s">
        <v>42369</v>
      </c>
      <c r="S5778" s="4">
        <v>3</v>
      </c>
      <c r="T5778" s="4">
        <v>3</v>
      </c>
      <c r="U5778" s="5" t="s">
        <v>6962</v>
      </c>
      <c r="V5778" s="5" t="s">
        <v>6962</v>
      </c>
      <c r="W5778" s="5" t="s">
        <v>67</v>
      </c>
      <c r="X5778" s="5" t="s">
        <v>67</v>
      </c>
      <c r="Y5778" s="4">
        <v>370</v>
      </c>
      <c r="Z5778" s="4">
        <v>6</v>
      </c>
      <c r="AA5778" s="4">
        <v>8</v>
      </c>
      <c r="AB5778" s="4">
        <v>1</v>
      </c>
      <c r="AC5778" s="4">
        <v>1</v>
      </c>
      <c r="AD5778" s="4">
        <v>34</v>
      </c>
      <c r="AE5778" s="4">
        <v>46</v>
      </c>
      <c r="AF5778" s="4">
        <v>0</v>
      </c>
      <c r="AG5778" s="4">
        <v>0</v>
      </c>
      <c r="AH5778" s="4">
        <v>31</v>
      </c>
      <c r="AI5778" s="4">
        <v>42</v>
      </c>
      <c r="AJ5778" s="4">
        <v>2</v>
      </c>
      <c r="AK5778" s="4">
        <v>3</v>
      </c>
      <c r="AL5778" s="4">
        <v>16</v>
      </c>
      <c r="AM5778" s="4">
        <v>22</v>
      </c>
      <c r="AN5778" s="4">
        <v>0</v>
      </c>
      <c r="AO5778" s="4">
        <v>0</v>
      </c>
      <c r="AP5778" s="4">
        <v>3</v>
      </c>
      <c r="AQ5778" s="4">
        <v>4</v>
      </c>
      <c r="AR5778" s="3" t="s">
        <v>62</v>
      </c>
      <c r="AS5778" s="3" t="s">
        <v>62</v>
      </c>
      <c r="AT5778" s="3" t="s">
        <v>62</v>
      </c>
      <c r="AV5778" s="6" t="str">
        <f>HYPERLINK("http://mcgill.on.worldcat.org/oclc/13792430","Catalog Record")</f>
        <v>Catalog Record</v>
      </c>
      <c r="AW5778" s="6" t="str">
        <f>HYPERLINK("http://www.worldcat.org/oclc/13792430","WorldCat Record")</f>
        <v>WorldCat Record</v>
      </c>
      <c r="AX5778" s="3" t="s">
        <v>54569</v>
      </c>
      <c r="AY5778" s="3" t="s">
        <v>54570</v>
      </c>
      <c r="AZ5778" s="3" t="s">
        <v>54571</v>
      </c>
      <c r="BA5778" s="3" t="s">
        <v>54571</v>
      </c>
      <c r="BB5778" s="3" t="s">
        <v>54572</v>
      </c>
      <c r="BC5778" s="3" t="s">
        <v>102</v>
      </c>
      <c r="BD5778" s="3" t="s">
        <v>68</v>
      </c>
      <c r="BE5778" s="3" t="s">
        <v>54573</v>
      </c>
      <c r="BF5778" s="3" t="s">
        <v>54572</v>
      </c>
      <c r="BG5778" s="3" t="s">
        <v>54574</v>
      </c>
    </row>
    <row r="5779" spans="1:59" ht="58" x14ac:dyDescent="0.35">
      <c r="A5779" s="2" t="s">
        <v>59</v>
      </c>
      <c r="B5779" s="2" t="s">
        <v>60</v>
      </c>
      <c r="C5779" s="2" t="s">
        <v>54575</v>
      </c>
      <c r="D5779" s="2" t="s">
        <v>54576</v>
      </c>
      <c r="E5779" s="2" t="s">
        <v>54577</v>
      </c>
      <c r="G5779" s="3" t="s">
        <v>62</v>
      </c>
      <c r="I5779" s="3" t="s">
        <v>62</v>
      </c>
      <c r="J5779" s="3" t="s">
        <v>62</v>
      </c>
      <c r="K5779" s="3" t="s">
        <v>63</v>
      </c>
      <c r="L5779" s="2" t="s">
        <v>54578</v>
      </c>
      <c r="M5779" s="2" t="s">
        <v>54579</v>
      </c>
      <c r="N5779" s="3" t="s">
        <v>1576</v>
      </c>
      <c r="P5779" s="3" t="s">
        <v>64</v>
      </c>
      <c r="Q5779" s="2" t="s">
        <v>54580</v>
      </c>
      <c r="R5779" s="3" t="s">
        <v>42369</v>
      </c>
      <c r="S5779" s="4">
        <v>1</v>
      </c>
      <c r="T5779" s="4">
        <v>1</v>
      </c>
      <c r="U5779" s="5" t="s">
        <v>17448</v>
      </c>
      <c r="V5779" s="5" t="s">
        <v>17448</v>
      </c>
      <c r="W5779" s="5" t="s">
        <v>67</v>
      </c>
      <c r="X5779" s="5" t="s">
        <v>67</v>
      </c>
      <c r="Y5779" s="4">
        <v>145</v>
      </c>
      <c r="Z5779" s="4">
        <v>11</v>
      </c>
      <c r="AA5779" s="4">
        <v>11</v>
      </c>
      <c r="AB5779" s="4">
        <v>1</v>
      </c>
      <c r="AC5779" s="4">
        <v>1</v>
      </c>
      <c r="AD5779" s="4">
        <v>12</v>
      </c>
      <c r="AE5779" s="4">
        <v>12</v>
      </c>
      <c r="AF5779" s="4">
        <v>0</v>
      </c>
      <c r="AG5779" s="4">
        <v>0</v>
      </c>
      <c r="AH5779" s="4">
        <v>11</v>
      </c>
      <c r="AI5779" s="4">
        <v>11</v>
      </c>
      <c r="AJ5779" s="4">
        <v>6</v>
      </c>
      <c r="AK5779" s="4">
        <v>6</v>
      </c>
      <c r="AL5779" s="4">
        <v>3</v>
      </c>
      <c r="AM5779" s="4">
        <v>3</v>
      </c>
      <c r="AN5779" s="4">
        <v>0</v>
      </c>
      <c r="AO5779" s="4">
        <v>0</v>
      </c>
      <c r="AP5779" s="4">
        <v>6</v>
      </c>
      <c r="AQ5779" s="4">
        <v>6</v>
      </c>
      <c r="AR5779" s="3" t="s">
        <v>62</v>
      </c>
      <c r="AS5779" s="3" t="s">
        <v>62</v>
      </c>
      <c r="AT5779" s="3" t="s">
        <v>62</v>
      </c>
      <c r="AV5779" s="6" t="str">
        <f>HYPERLINK("http://mcgill.on.worldcat.org/oclc/712024","Catalog Record")</f>
        <v>Catalog Record</v>
      </c>
      <c r="AW5779" s="6" t="str">
        <f>HYPERLINK("http://www.worldcat.org/oclc/712024","WorldCat Record")</f>
        <v>WorldCat Record</v>
      </c>
      <c r="AX5779" s="3" t="s">
        <v>54581</v>
      </c>
      <c r="AY5779" s="3" t="s">
        <v>54582</v>
      </c>
      <c r="AZ5779" s="3" t="s">
        <v>54583</v>
      </c>
      <c r="BA5779" s="3" t="s">
        <v>54583</v>
      </c>
      <c r="BB5779" s="3" t="s">
        <v>54584</v>
      </c>
      <c r="BC5779" s="3" t="s">
        <v>102</v>
      </c>
      <c r="BD5779" s="3" t="s">
        <v>6923</v>
      </c>
      <c r="BF5779" s="3" t="s">
        <v>54584</v>
      </c>
      <c r="BG5779" s="3" t="s">
        <v>54585</v>
      </c>
    </row>
    <row r="5780" spans="1:59" ht="72.5" x14ac:dyDescent="0.35">
      <c r="A5780" s="2" t="s">
        <v>59</v>
      </c>
      <c r="B5780" s="2" t="s">
        <v>60</v>
      </c>
      <c r="C5780" s="2" t="s">
        <v>54586</v>
      </c>
      <c r="D5780" s="2" t="s">
        <v>54587</v>
      </c>
      <c r="E5780" s="2" t="s">
        <v>54588</v>
      </c>
      <c r="G5780" s="3" t="s">
        <v>62</v>
      </c>
      <c r="I5780" s="3" t="s">
        <v>62</v>
      </c>
      <c r="J5780" s="3" t="s">
        <v>62</v>
      </c>
      <c r="K5780" s="3" t="s">
        <v>63</v>
      </c>
      <c r="L5780" s="2" t="s">
        <v>54589</v>
      </c>
      <c r="M5780" s="2" t="s">
        <v>54590</v>
      </c>
      <c r="N5780" s="3" t="s">
        <v>186</v>
      </c>
      <c r="O5780" s="2" t="s">
        <v>5022</v>
      </c>
      <c r="P5780" s="3" t="s">
        <v>64</v>
      </c>
      <c r="R5780" s="3" t="s">
        <v>42369</v>
      </c>
      <c r="S5780" s="4">
        <v>4</v>
      </c>
      <c r="T5780" s="4">
        <v>4</v>
      </c>
      <c r="U5780" s="5" t="s">
        <v>6972</v>
      </c>
      <c r="V5780" s="5" t="s">
        <v>6972</v>
      </c>
      <c r="W5780" s="5" t="s">
        <v>67</v>
      </c>
      <c r="X5780" s="5" t="s">
        <v>67</v>
      </c>
      <c r="Y5780" s="4">
        <v>783</v>
      </c>
      <c r="Z5780" s="4">
        <v>26</v>
      </c>
      <c r="AA5780" s="4">
        <v>28</v>
      </c>
      <c r="AB5780" s="4">
        <v>3</v>
      </c>
      <c r="AC5780" s="4">
        <v>5</v>
      </c>
      <c r="AD5780" s="4">
        <v>71</v>
      </c>
      <c r="AE5780" s="4">
        <v>73</v>
      </c>
      <c r="AF5780" s="4">
        <v>1</v>
      </c>
      <c r="AG5780" s="4">
        <v>3</v>
      </c>
      <c r="AH5780" s="4">
        <v>65</v>
      </c>
      <c r="AI5780" s="4">
        <v>66</v>
      </c>
      <c r="AJ5780" s="4">
        <v>8</v>
      </c>
      <c r="AK5780" s="4">
        <v>10</v>
      </c>
      <c r="AL5780" s="4">
        <v>36</v>
      </c>
      <c r="AM5780" s="4">
        <v>36</v>
      </c>
      <c r="AN5780" s="4">
        <v>0</v>
      </c>
      <c r="AO5780" s="4">
        <v>0</v>
      </c>
      <c r="AP5780" s="4">
        <v>8</v>
      </c>
      <c r="AQ5780" s="4">
        <v>10</v>
      </c>
      <c r="AR5780" s="3" t="s">
        <v>62</v>
      </c>
      <c r="AS5780" s="3" t="s">
        <v>62</v>
      </c>
      <c r="AT5780" s="3" t="s">
        <v>61</v>
      </c>
      <c r="AU5780" s="6" t="str">
        <f>HYPERLINK("http://catalog.hathitrust.org/Record/000029019","HathiTrust Record")</f>
        <v>HathiTrust Record</v>
      </c>
      <c r="AV5780" s="6" t="str">
        <f>HYPERLINK("http://mcgill.on.worldcat.org/oclc/1273384","Catalog Record")</f>
        <v>Catalog Record</v>
      </c>
      <c r="AW5780" s="6" t="str">
        <f>HYPERLINK("http://www.worldcat.org/oclc/1273384","WorldCat Record")</f>
        <v>WorldCat Record</v>
      </c>
      <c r="AX5780" s="3" t="s">
        <v>54591</v>
      </c>
      <c r="AY5780" s="3" t="s">
        <v>54592</v>
      </c>
      <c r="AZ5780" s="3" t="s">
        <v>54593</v>
      </c>
      <c r="BA5780" s="3" t="s">
        <v>54593</v>
      </c>
      <c r="BB5780" s="3" t="s">
        <v>54594</v>
      </c>
      <c r="BC5780" s="3" t="s">
        <v>102</v>
      </c>
      <c r="BD5780" s="3" t="s">
        <v>68</v>
      </c>
      <c r="BE5780" s="3" t="s">
        <v>54595</v>
      </c>
      <c r="BF5780" s="3" t="s">
        <v>54594</v>
      </c>
      <c r="BG5780" s="3" t="s">
        <v>54596</v>
      </c>
    </row>
    <row r="5781" spans="1:59" ht="58" x14ac:dyDescent="0.35">
      <c r="A5781" s="2" t="s">
        <v>89</v>
      </c>
      <c r="B5781" s="2" t="s">
        <v>90</v>
      </c>
      <c r="C5781" s="2" t="s">
        <v>54597</v>
      </c>
      <c r="D5781" s="2" t="s">
        <v>54598</v>
      </c>
      <c r="E5781" s="2" t="s">
        <v>54599</v>
      </c>
      <c r="G5781" s="3" t="s">
        <v>62</v>
      </c>
      <c r="I5781" s="3" t="s">
        <v>62</v>
      </c>
      <c r="J5781" s="3" t="s">
        <v>62</v>
      </c>
      <c r="K5781" s="3" t="s">
        <v>63</v>
      </c>
      <c r="L5781" s="2" t="s">
        <v>54600</v>
      </c>
      <c r="M5781" s="2" t="s">
        <v>54601</v>
      </c>
      <c r="N5781" s="3" t="s">
        <v>726</v>
      </c>
      <c r="P5781" s="3" t="s">
        <v>85</v>
      </c>
      <c r="R5781" s="3" t="s">
        <v>42369</v>
      </c>
      <c r="S5781" s="4">
        <v>0</v>
      </c>
      <c r="T5781" s="4">
        <v>0</v>
      </c>
      <c r="W5781" s="5" t="s">
        <v>67</v>
      </c>
      <c r="X5781" s="5" t="s">
        <v>67</v>
      </c>
      <c r="Y5781" s="4">
        <v>5</v>
      </c>
      <c r="Z5781" s="4">
        <v>5</v>
      </c>
      <c r="AA5781" s="4">
        <v>12</v>
      </c>
      <c r="AB5781" s="4">
        <v>1</v>
      </c>
      <c r="AC5781" s="4">
        <v>6</v>
      </c>
      <c r="AD5781" s="4">
        <v>2</v>
      </c>
      <c r="AE5781" s="4">
        <v>6</v>
      </c>
      <c r="AF5781" s="4">
        <v>0</v>
      </c>
      <c r="AG5781" s="4">
        <v>3</v>
      </c>
      <c r="AH5781" s="4">
        <v>0</v>
      </c>
      <c r="AI5781" s="4">
        <v>1</v>
      </c>
      <c r="AJ5781" s="4">
        <v>2</v>
      </c>
      <c r="AK5781" s="4">
        <v>5</v>
      </c>
      <c r="AL5781" s="4">
        <v>0</v>
      </c>
      <c r="AM5781" s="4">
        <v>0</v>
      </c>
      <c r="AN5781" s="4">
        <v>0</v>
      </c>
      <c r="AO5781" s="4">
        <v>0</v>
      </c>
      <c r="AP5781" s="4">
        <v>2</v>
      </c>
      <c r="AQ5781" s="4">
        <v>4</v>
      </c>
      <c r="AR5781" s="3" t="s">
        <v>61</v>
      </c>
      <c r="AS5781" s="3" t="s">
        <v>62</v>
      </c>
      <c r="AT5781" s="3" t="s">
        <v>62</v>
      </c>
      <c r="AV5781" s="6" t="str">
        <f>HYPERLINK("http://mcgill.on.worldcat.org/oclc/1038458076","Catalog Record")</f>
        <v>Catalog Record</v>
      </c>
      <c r="AW5781" s="6" t="str">
        <f>HYPERLINK("http://www.worldcat.org/oclc/1038458076","WorldCat Record")</f>
        <v>WorldCat Record</v>
      </c>
      <c r="AX5781" s="3" t="s">
        <v>54602</v>
      </c>
      <c r="AY5781" s="3" t="s">
        <v>54603</v>
      </c>
      <c r="AZ5781" s="3" t="s">
        <v>54604</v>
      </c>
      <c r="BA5781" s="3" t="s">
        <v>54604</v>
      </c>
      <c r="BB5781" s="3" t="s">
        <v>54605</v>
      </c>
      <c r="BC5781" s="3" t="s">
        <v>102</v>
      </c>
      <c r="BD5781" s="3" t="s">
        <v>68</v>
      </c>
      <c r="BE5781" s="3" t="s">
        <v>54606</v>
      </c>
      <c r="BF5781" s="3" t="s">
        <v>54605</v>
      </c>
      <c r="BG5781" s="3" t="s">
        <v>54607</v>
      </c>
    </row>
    <row r="5782" spans="1:59" ht="58" x14ac:dyDescent="0.35">
      <c r="A5782" s="2" t="s">
        <v>59</v>
      </c>
      <c r="B5782" s="2" t="s">
        <v>60</v>
      </c>
      <c r="C5782" s="2" t="s">
        <v>54608</v>
      </c>
      <c r="D5782" s="2" t="s">
        <v>54609</v>
      </c>
      <c r="E5782" s="2" t="s">
        <v>54610</v>
      </c>
      <c r="G5782" s="3" t="s">
        <v>62</v>
      </c>
      <c r="I5782" s="3" t="s">
        <v>61</v>
      </c>
      <c r="J5782" s="3" t="s">
        <v>62</v>
      </c>
      <c r="K5782" s="3" t="s">
        <v>63</v>
      </c>
      <c r="L5782" s="2" t="s">
        <v>54611</v>
      </c>
      <c r="M5782" s="2" t="s">
        <v>54612</v>
      </c>
      <c r="N5782" s="3" t="s">
        <v>2305</v>
      </c>
      <c r="P5782" s="3" t="s">
        <v>64</v>
      </c>
      <c r="R5782" s="3" t="s">
        <v>42369</v>
      </c>
      <c r="S5782" s="4">
        <v>0</v>
      </c>
      <c r="T5782" s="4">
        <v>7</v>
      </c>
      <c r="V5782" s="5" t="s">
        <v>32654</v>
      </c>
      <c r="W5782" s="5" t="s">
        <v>67</v>
      </c>
      <c r="X5782" s="5" t="s">
        <v>67</v>
      </c>
      <c r="Y5782" s="4">
        <v>1483</v>
      </c>
      <c r="Z5782" s="4">
        <v>37</v>
      </c>
      <c r="AA5782" s="4">
        <v>47</v>
      </c>
      <c r="AB5782" s="4">
        <v>4</v>
      </c>
      <c r="AC5782" s="4">
        <v>8</v>
      </c>
      <c r="AD5782" s="4">
        <v>115</v>
      </c>
      <c r="AE5782" s="4">
        <v>125</v>
      </c>
      <c r="AF5782" s="4">
        <v>2</v>
      </c>
      <c r="AG5782" s="4">
        <v>4</v>
      </c>
      <c r="AH5782" s="4">
        <v>97</v>
      </c>
      <c r="AI5782" s="4">
        <v>102</v>
      </c>
      <c r="AJ5782" s="4">
        <v>15</v>
      </c>
      <c r="AK5782" s="4">
        <v>19</v>
      </c>
      <c r="AL5782" s="4">
        <v>50</v>
      </c>
      <c r="AM5782" s="4">
        <v>51</v>
      </c>
      <c r="AN5782" s="4">
        <v>0</v>
      </c>
      <c r="AO5782" s="4">
        <v>1</v>
      </c>
      <c r="AP5782" s="4">
        <v>22</v>
      </c>
      <c r="AQ5782" s="4">
        <v>29</v>
      </c>
      <c r="AR5782" s="3" t="s">
        <v>62</v>
      </c>
      <c r="AS5782" s="3" t="s">
        <v>62</v>
      </c>
      <c r="AT5782" s="3" t="s">
        <v>61</v>
      </c>
      <c r="AU5782" s="6" t="str">
        <f>HYPERLINK("http://catalog.hathitrust.org/Record/004414872","HathiTrust Record")</f>
        <v>HathiTrust Record</v>
      </c>
      <c r="AV5782" s="6" t="str">
        <f>HYPERLINK("http://mcgill.on.worldcat.org/oclc/1269637","Catalog Record")</f>
        <v>Catalog Record</v>
      </c>
      <c r="AW5782" s="6" t="str">
        <f>HYPERLINK("http://www.worldcat.org/oclc/1269637","WorldCat Record")</f>
        <v>WorldCat Record</v>
      </c>
      <c r="AX5782" s="3" t="s">
        <v>54613</v>
      </c>
      <c r="AY5782" s="3" t="s">
        <v>54614</v>
      </c>
      <c r="AZ5782" s="3" t="s">
        <v>54615</v>
      </c>
      <c r="BA5782" s="3" t="s">
        <v>54615</v>
      </c>
      <c r="BB5782" s="3" t="s">
        <v>54616</v>
      </c>
      <c r="BC5782" s="3" t="s">
        <v>102</v>
      </c>
      <c r="BD5782" s="3" t="s">
        <v>68</v>
      </c>
      <c r="BF5782" s="3" t="s">
        <v>54616</v>
      </c>
      <c r="BG5782" s="3" t="s">
        <v>54617</v>
      </c>
    </row>
    <row r="5783" spans="1:59" ht="58" x14ac:dyDescent="0.35">
      <c r="A5783" s="2" t="s">
        <v>59</v>
      </c>
      <c r="B5783" s="2" t="s">
        <v>60</v>
      </c>
      <c r="C5783" s="2" t="s">
        <v>54618</v>
      </c>
      <c r="D5783" s="2" t="s">
        <v>54619</v>
      </c>
      <c r="E5783" s="2" t="s">
        <v>54620</v>
      </c>
      <c r="F5783" s="3" t="s">
        <v>2223</v>
      </c>
      <c r="G5783" s="3" t="s">
        <v>61</v>
      </c>
      <c r="I5783" s="3" t="s">
        <v>62</v>
      </c>
      <c r="J5783" s="3" t="s">
        <v>62</v>
      </c>
      <c r="K5783" s="3" t="s">
        <v>63</v>
      </c>
      <c r="L5783" s="2" t="s">
        <v>54621</v>
      </c>
      <c r="M5783" s="2" t="s">
        <v>54622</v>
      </c>
      <c r="N5783" s="3" t="s">
        <v>893</v>
      </c>
      <c r="P5783" s="3" t="s">
        <v>64</v>
      </c>
      <c r="R5783" s="3" t="s">
        <v>42369</v>
      </c>
      <c r="S5783" s="4">
        <v>0</v>
      </c>
      <c r="T5783" s="4">
        <v>7</v>
      </c>
      <c r="V5783" s="5" t="s">
        <v>5380</v>
      </c>
      <c r="W5783" s="5" t="s">
        <v>67</v>
      </c>
      <c r="X5783" s="5" t="s">
        <v>67</v>
      </c>
      <c r="Y5783" s="4">
        <v>379</v>
      </c>
      <c r="Z5783" s="4">
        <v>17</v>
      </c>
      <c r="AA5783" s="4">
        <v>17</v>
      </c>
      <c r="AB5783" s="4">
        <v>1</v>
      </c>
      <c r="AC5783" s="4">
        <v>1</v>
      </c>
      <c r="AD5783" s="4">
        <v>94</v>
      </c>
      <c r="AE5783" s="4">
        <v>94</v>
      </c>
      <c r="AF5783" s="4">
        <v>0</v>
      </c>
      <c r="AG5783" s="4">
        <v>0</v>
      </c>
      <c r="AH5783" s="4">
        <v>85</v>
      </c>
      <c r="AI5783" s="4">
        <v>85</v>
      </c>
      <c r="AJ5783" s="4">
        <v>11</v>
      </c>
      <c r="AK5783" s="4">
        <v>11</v>
      </c>
      <c r="AL5783" s="4">
        <v>49</v>
      </c>
      <c r="AM5783" s="4">
        <v>49</v>
      </c>
      <c r="AN5783" s="4">
        <v>0</v>
      </c>
      <c r="AO5783" s="4">
        <v>0</v>
      </c>
      <c r="AP5783" s="4">
        <v>12</v>
      </c>
      <c r="AQ5783" s="4">
        <v>12</v>
      </c>
      <c r="AR5783" s="3" t="s">
        <v>62</v>
      </c>
      <c r="AS5783" s="3" t="s">
        <v>62</v>
      </c>
      <c r="AT5783" s="3" t="s">
        <v>62</v>
      </c>
      <c r="AV5783" s="6" t="str">
        <f t="shared" ref="AV5783:AV5789" si="101">HYPERLINK("http://mcgill.on.worldcat.org/oclc/8982298","Catalog Record")</f>
        <v>Catalog Record</v>
      </c>
      <c r="AW5783" s="6" t="str">
        <f t="shared" ref="AW5783:AW5789" si="102">HYPERLINK("http://www.worldcat.org/oclc/8982298","WorldCat Record")</f>
        <v>WorldCat Record</v>
      </c>
      <c r="AX5783" s="3" t="s">
        <v>54623</v>
      </c>
      <c r="AY5783" s="3" t="s">
        <v>54624</v>
      </c>
      <c r="AZ5783" s="3" t="s">
        <v>54625</v>
      </c>
      <c r="BA5783" s="3" t="s">
        <v>54625</v>
      </c>
      <c r="BB5783" s="3" t="s">
        <v>54626</v>
      </c>
      <c r="BC5783" s="3" t="s">
        <v>102</v>
      </c>
      <c r="BD5783" s="3" t="s">
        <v>68</v>
      </c>
      <c r="BE5783" s="3" t="s">
        <v>54627</v>
      </c>
      <c r="BF5783" s="3" t="s">
        <v>54626</v>
      </c>
      <c r="BG5783" s="3" t="s">
        <v>54628</v>
      </c>
    </row>
    <row r="5784" spans="1:59" ht="58" x14ac:dyDescent="0.35">
      <c r="A5784" s="2" t="s">
        <v>59</v>
      </c>
      <c r="B5784" s="2" t="s">
        <v>60</v>
      </c>
      <c r="C5784" s="2" t="s">
        <v>54618</v>
      </c>
      <c r="D5784" s="2" t="s">
        <v>54619</v>
      </c>
      <c r="E5784" s="2" t="s">
        <v>54620</v>
      </c>
      <c r="F5784" s="3" t="s">
        <v>1396</v>
      </c>
      <c r="G5784" s="3" t="s">
        <v>61</v>
      </c>
      <c r="I5784" s="3" t="s">
        <v>62</v>
      </c>
      <c r="J5784" s="3" t="s">
        <v>62</v>
      </c>
      <c r="K5784" s="3" t="s">
        <v>63</v>
      </c>
      <c r="L5784" s="2" t="s">
        <v>54621</v>
      </c>
      <c r="M5784" s="2" t="s">
        <v>54622</v>
      </c>
      <c r="N5784" s="3" t="s">
        <v>893</v>
      </c>
      <c r="P5784" s="3" t="s">
        <v>64</v>
      </c>
      <c r="R5784" s="3" t="s">
        <v>42369</v>
      </c>
      <c r="S5784" s="4">
        <v>3</v>
      </c>
      <c r="T5784" s="4">
        <v>7</v>
      </c>
      <c r="U5784" s="5" t="s">
        <v>54629</v>
      </c>
      <c r="V5784" s="5" t="s">
        <v>5380</v>
      </c>
      <c r="W5784" s="5" t="s">
        <v>67</v>
      </c>
      <c r="X5784" s="5" t="s">
        <v>67</v>
      </c>
      <c r="Y5784" s="4">
        <v>379</v>
      </c>
      <c r="Z5784" s="4">
        <v>17</v>
      </c>
      <c r="AA5784" s="4">
        <v>17</v>
      </c>
      <c r="AB5784" s="4">
        <v>1</v>
      </c>
      <c r="AC5784" s="4">
        <v>1</v>
      </c>
      <c r="AD5784" s="4">
        <v>94</v>
      </c>
      <c r="AE5784" s="4">
        <v>94</v>
      </c>
      <c r="AF5784" s="4">
        <v>0</v>
      </c>
      <c r="AG5784" s="4">
        <v>0</v>
      </c>
      <c r="AH5784" s="4">
        <v>85</v>
      </c>
      <c r="AI5784" s="4">
        <v>85</v>
      </c>
      <c r="AJ5784" s="4">
        <v>11</v>
      </c>
      <c r="AK5784" s="4">
        <v>11</v>
      </c>
      <c r="AL5784" s="4">
        <v>49</v>
      </c>
      <c r="AM5784" s="4">
        <v>49</v>
      </c>
      <c r="AN5784" s="4">
        <v>0</v>
      </c>
      <c r="AO5784" s="4">
        <v>0</v>
      </c>
      <c r="AP5784" s="4">
        <v>12</v>
      </c>
      <c r="AQ5784" s="4">
        <v>12</v>
      </c>
      <c r="AR5784" s="3" t="s">
        <v>62</v>
      </c>
      <c r="AS5784" s="3" t="s">
        <v>62</v>
      </c>
      <c r="AT5784" s="3" t="s">
        <v>62</v>
      </c>
      <c r="AV5784" s="6" t="str">
        <f t="shared" si="101"/>
        <v>Catalog Record</v>
      </c>
      <c r="AW5784" s="6" t="str">
        <f t="shared" si="102"/>
        <v>WorldCat Record</v>
      </c>
      <c r="AX5784" s="3" t="s">
        <v>54623</v>
      </c>
      <c r="AY5784" s="3" t="s">
        <v>54624</v>
      </c>
      <c r="AZ5784" s="3" t="s">
        <v>54625</v>
      </c>
      <c r="BA5784" s="3" t="s">
        <v>54625</v>
      </c>
      <c r="BB5784" s="3" t="s">
        <v>54630</v>
      </c>
      <c r="BC5784" s="3" t="s">
        <v>102</v>
      </c>
      <c r="BD5784" s="3" t="s">
        <v>68</v>
      </c>
      <c r="BE5784" s="3" t="s">
        <v>54627</v>
      </c>
      <c r="BF5784" s="3" t="s">
        <v>54630</v>
      </c>
      <c r="BG5784" s="3" t="s">
        <v>54631</v>
      </c>
    </row>
    <row r="5785" spans="1:59" ht="58" x14ac:dyDescent="0.35">
      <c r="A5785" s="2" t="s">
        <v>59</v>
      </c>
      <c r="B5785" s="2" t="s">
        <v>60</v>
      </c>
      <c r="C5785" s="2" t="s">
        <v>54618</v>
      </c>
      <c r="D5785" s="2" t="s">
        <v>54619</v>
      </c>
      <c r="E5785" s="2" t="s">
        <v>54620</v>
      </c>
      <c r="F5785" s="3" t="s">
        <v>1416</v>
      </c>
      <c r="G5785" s="3" t="s">
        <v>61</v>
      </c>
      <c r="I5785" s="3" t="s">
        <v>62</v>
      </c>
      <c r="J5785" s="3" t="s">
        <v>62</v>
      </c>
      <c r="K5785" s="3" t="s">
        <v>63</v>
      </c>
      <c r="L5785" s="2" t="s">
        <v>54621</v>
      </c>
      <c r="M5785" s="2" t="s">
        <v>54622</v>
      </c>
      <c r="N5785" s="3" t="s">
        <v>893</v>
      </c>
      <c r="P5785" s="3" t="s">
        <v>64</v>
      </c>
      <c r="R5785" s="3" t="s">
        <v>42369</v>
      </c>
      <c r="S5785" s="4">
        <v>0</v>
      </c>
      <c r="T5785" s="4">
        <v>7</v>
      </c>
      <c r="V5785" s="5" t="s">
        <v>5380</v>
      </c>
      <c r="W5785" s="5" t="s">
        <v>67</v>
      </c>
      <c r="X5785" s="5" t="s">
        <v>67</v>
      </c>
      <c r="Y5785" s="4">
        <v>379</v>
      </c>
      <c r="Z5785" s="4">
        <v>17</v>
      </c>
      <c r="AA5785" s="4">
        <v>17</v>
      </c>
      <c r="AB5785" s="4">
        <v>1</v>
      </c>
      <c r="AC5785" s="4">
        <v>1</v>
      </c>
      <c r="AD5785" s="4">
        <v>94</v>
      </c>
      <c r="AE5785" s="4">
        <v>94</v>
      </c>
      <c r="AF5785" s="4">
        <v>0</v>
      </c>
      <c r="AG5785" s="4">
        <v>0</v>
      </c>
      <c r="AH5785" s="4">
        <v>85</v>
      </c>
      <c r="AI5785" s="4">
        <v>85</v>
      </c>
      <c r="AJ5785" s="4">
        <v>11</v>
      </c>
      <c r="AK5785" s="4">
        <v>11</v>
      </c>
      <c r="AL5785" s="4">
        <v>49</v>
      </c>
      <c r="AM5785" s="4">
        <v>49</v>
      </c>
      <c r="AN5785" s="4">
        <v>0</v>
      </c>
      <c r="AO5785" s="4">
        <v>0</v>
      </c>
      <c r="AP5785" s="4">
        <v>12</v>
      </c>
      <c r="AQ5785" s="4">
        <v>12</v>
      </c>
      <c r="AR5785" s="3" t="s">
        <v>62</v>
      </c>
      <c r="AS5785" s="3" t="s">
        <v>62</v>
      </c>
      <c r="AT5785" s="3" t="s">
        <v>62</v>
      </c>
      <c r="AV5785" s="6" t="str">
        <f t="shared" si="101"/>
        <v>Catalog Record</v>
      </c>
      <c r="AW5785" s="6" t="str">
        <f t="shared" si="102"/>
        <v>WorldCat Record</v>
      </c>
      <c r="AX5785" s="3" t="s">
        <v>54623</v>
      </c>
      <c r="AY5785" s="3" t="s">
        <v>54624</v>
      </c>
      <c r="AZ5785" s="3" t="s">
        <v>54625</v>
      </c>
      <c r="BA5785" s="3" t="s">
        <v>54625</v>
      </c>
      <c r="BB5785" s="3" t="s">
        <v>54632</v>
      </c>
      <c r="BC5785" s="3" t="s">
        <v>102</v>
      </c>
      <c r="BD5785" s="3" t="s">
        <v>68</v>
      </c>
      <c r="BE5785" s="3" t="s">
        <v>54627</v>
      </c>
      <c r="BF5785" s="3" t="s">
        <v>54632</v>
      </c>
      <c r="BG5785" s="3" t="s">
        <v>54633</v>
      </c>
    </row>
    <row r="5786" spans="1:59" ht="58" x14ac:dyDescent="0.35">
      <c r="A5786" s="2" t="s">
        <v>59</v>
      </c>
      <c r="B5786" s="2" t="s">
        <v>60</v>
      </c>
      <c r="C5786" s="2" t="s">
        <v>54618</v>
      </c>
      <c r="D5786" s="2" t="s">
        <v>54619</v>
      </c>
      <c r="E5786" s="2" t="s">
        <v>54620</v>
      </c>
      <c r="F5786" s="3" t="s">
        <v>2241</v>
      </c>
      <c r="G5786" s="3" t="s">
        <v>61</v>
      </c>
      <c r="I5786" s="3" t="s">
        <v>62</v>
      </c>
      <c r="J5786" s="3" t="s">
        <v>62</v>
      </c>
      <c r="K5786" s="3" t="s">
        <v>63</v>
      </c>
      <c r="L5786" s="2" t="s">
        <v>54621</v>
      </c>
      <c r="M5786" s="2" t="s">
        <v>54622</v>
      </c>
      <c r="N5786" s="3" t="s">
        <v>893</v>
      </c>
      <c r="P5786" s="3" t="s">
        <v>64</v>
      </c>
      <c r="R5786" s="3" t="s">
        <v>42369</v>
      </c>
      <c r="S5786" s="4">
        <v>0</v>
      </c>
      <c r="T5786" s="4">
        <v>7</v>
      </c>
      <c r="V5786" s="5" t="s">
        <v>5380</v>
      </c>
      <c r="W5786" s="5" t="s">
        <v>67</v>
      </c>
      <c r="X5786" s="5" t="s">
        <v>67</v>
      </c>
      <c r="Y5786" s="4">
        <v>379</v>
      </c>
      <c r="Z5786" s="4">
        <v>17</v>
      </c>
      <c r="AA5786" s="4">
        <v>17</v>
      </c>
      <c r="AB5786" s="4">
        <v>1</v>
      </c>
      <c r="AC5786" s="4">
        <v>1</v>
      </c>
      <c r="AD5786" s="4">
        <v>94</v>
      </c>
      <c r="AE5786" s="4">
        <v>94</v>
      </c>
      <c r="AF5786" s="4">
        <v>0</v>
      </c>
      <c r="AG5786" s="4">
        <v>0</v>
      </c>
      <c r="AH5786" s="4">
        <v>85</v>
      </c>
      <c r="AI5786" s="4">
        <v>85</v>
      </c>
      <c r="AJ5786" s="4">
        <v>11</v>
      </c>
      <c r="AK5786" s="4">
        <v>11</v>
      </c>
      <c r="AL5786" s="4">
        <v>49</v>
      </c>
      <c r="AM5786" s="4">
        <v>49</v>
      </c>
      <c r="AN5786" s="4">
        <v>0</v>
      </c>
      <c r="AO5786" s="4">
        <v>0</v>
      </c>
      <c r="AP5786" s="4">
        <v>12</v>
      </c>
      <c r="AQ5786" s="4">
        <v>12</v>
      </c>
      <c r="AR5786" s="3" t="s">
        <v>62</v>
      </c>
      <c r="AS5786" s="3" t="s">
        <v>62</v>
      </c>
      <c r="AT5786" s="3" t="s">
        <v>62</v>
      </c>
      <c r="AV5786" s="6" t="str">
        <f t="shared" si="101"/>
        <v>Catalog Record</v>
      </c>
      <c r="AW5786" s="6" t="str">
        <f t="shared" si="102"/>
        <v>WorldCat Record</v>
      </c>
      <c r="AX5786" s="3" t="s">
        <v>54623</v>
      </c>
      <c r="AY5786" s="3" t="s">
        <v>54624</v>
      </c>
      <c r="AZ5786" s="3" t="s">
        <v>54625</v>
      </c>
      <c r="BA5786" s="3" t="s">
        <v>54625</v>
      </c>
      <c r="BB5786" s="3" t="s">
        <v>54634</v>
      </c>
      <c r="BC5786" s="3" t="s">
        <v>102</v>
      </c>
      <c r="BD5786" s="3" t="s">
        <v>68</v>
      </c>
      <c r="BE5786" s="3" t="s">
        <v>54627</v>
      </c>
      <c r="BF5786" s="3" t="s">
        <v>54634</v>
      </c>
      <c r="BG5786" s="3" t="s">
        <v>54635</v>
      </c>
    </row>
    <row r="5787" spans="1:59" ht="58" x14ac:dyDescent="0.35">
      <c r="A5787" s="2" t="s">
        <v>59</v>
      </c>
      <c r="B5787" s="2" t="s">
        <v>60</v>
      </c>
      <c r="C5787" s="2" t="s">
        <v>54618</v>
      </c>
      <c r="D5787" s="2" t="s">
        <v>54619</v>
      </c>
      <c r="E5787" s="2" t="s">
        <v>54620</v>
      </c>
      <c r="F5787" s="3" t="s">
        <v>1381</v>
      </c>
      <c r="G5787" s="3" t="s">
        <v>61</v>
      </c>
      <c r="I5787" s="3" t="s">
        <v>62</v>
      </c>
      <c r="J5787" s="3" t="s">
        <v>62</v>
      </c>
      <c r="K5787" s="3" t="s">
        <v>63</v>
      </c>
      <c r="L5787" s="2" t="s">
        <v>54621</v>
      </c>
      <c r="M5787" s="2" t="s">
        <v>54622</v>
      </c>
      <c r="N5787" s="3" t="s">
        <v>893</v>
      </c>
      <c r="P5787" s="3" t="s">
        <v>64</v>
      </c>
      <c r="R5787" s="3" t="s">
        <v>42369</v>
      </c>
      <c r="S5787" s="4">
        <v>0</v>
      </c>
      <c r="T5787" s="4">
        <v>7</v>
      </c>
      <c r="V5787" s="5" t="s">
        <v>5380</v>
      </c>
      <c r="W5787" s="5" t="s">
        <v>67</v>
      </c>
      <c r="X5787" s="5" t="s">
        <v>67</v>
      </c>
      <c r="Y5787" s="4">
        <v>379</v>
      </c>
      <c r="Z5787" s="4">
        <v>17</v>
      </c>
      <c r="AA5787" s="4">
        <v>17</v>
      </c>
      <c r="AB5787" s="4">
        <v>1</v>
      </c>
      <c r="AC5787" s="4">
        <v>1</v>
      </c>
      <c r="AD5787" s="4">
        <v>94</v>
      </c>
      <c r="AE5787" s="4">
        <v>94</v>
      </c>
      <c r="AF5787" s="4">
        <v>0</v>
      </c>
      <c r="AG5787" s="4">
        <v>0</v>
      </c>
      <c r="AH5787" s="4">
        <v>85</v>
      </c>
      <c r="AI5787" s="4">
        <v>85</v>
      </c>
      <c r="AJ5787" s="4">
        <v>11</v>
      </c>
      <c r="AK5787" s="4">
        <v>11</v>
      </c>
      <c r="AL5787" s="4">
        <v>49</v>
      </c>
      <c r="AM5787" s="4">
        <v>49</v>
      </c>
      <c r="AN5787" s="4">
        <v>0</v>
      </c>
      <c r="AO5787" s="4">
        <v>0</v>
      </c>
      <c r="AP5787" s="4">
        <v>12</v>
      </c>
      <c r="AQ5787" s="4">
        <v>12</v>
      </c>
      <c r="AR5787" s="3" t="s">
        <v>62</v>
      </c>
      <c r="AS5787" s="3" t="s">
        <v>62</v>
      </c>
      <c r="AT5787" s="3" t="s">
        <v>62</v>
      </c>
      <c r="AV5787" s="6" t="str">
        <f t="shared" si="101"/>
        <v>Catalog Record</v>
      </c>
      <c r="AW5787" s="6" t="str">
        <f t="shared" si="102"/>
        <v>WorldCat Record</v>
      </c>
      <c r="AX5787" s="3" t="s">
        <v>54623</v>
      </c>
      <c r="AY5787" s="3" t="s">
        <v>54624</v>
      </c>
      <c r="AZ5787" s="3" t="s">
        <v>54625</v>
      </c>
      <c r="BA5787" s="3" t="s">
        <v>54625</v>
      </c>
      <c r="BB5787" s="3" t="s">
        <v>54636</v>
      </c>
      <c r="BC5787" s="3" t="s">
        <v>102</v>
      </c>
      <c r="BD5787" s="3" t="s">
        <v>68</v>
      </c>
      <c r="BE5787" s="3" t="s">
        <v>54627</v>
      </c>
      <c r="BF5787" s="3" t="s">
        <v>54636</v>
      </c>
      <c r="BG5787" s="3" t="s">
        <v>54637</v>
      </c>
    </row>
    <row r="5788" spans="1:59" ht="58" x14ac:dyDescent="0.35">
      <c r="A5788" s="2" t="s">
        <v>59</v>
      </c>
      <c r="B5788" s="2" t="s">
        <v>60</v>
      </c>
      <c r="C5788" s="2" t="s">
        <v>54618</v>
      </c>
      <c r="D5788" s="2" t="s">
        <v>54619</v>
      </c>
      <c r="E5788" s="2" t="s">
        <v>54620</v>
      </c>
      <c r="F5788" s="3" t="s">
        <v>1428</v>
      </c>
      <c r="G5788" s="3" t="s">
        <v>61</v>
      </c>
      <c r="I5788" s="3" t="s">
        <v>62</v>
      </c>
      <c r="J5788" s="3" t="s">
        <v>62</v>
      </c>
      <c r="K5788" s="3" t="s">
        <v>63</v>
      </c>
      <c r="L5788" s="2" t="s">
        <v>54621</v>
      </c>
      <c r="M5788" s="2" t="s">
        <v>54622</v>
      </c>
      <c r="N5788" s="3" t="s">
        <v>893</v>
      </c>
      <c r="P5788" s="3" t="s">
        <v>64</v>
      </c>
      <c r="R5788" s="3" t="s">
        <v>42369</v>
      </c>
      <c r="S5788" s="4">
        <v>0</v>
      </c>
      <c r="T5788" s="4">
        <v>7</v>
      </c>
      <c r="V5788" s="5" t="s">
        <v>5380</v>
      </c>
      <c r="W5788" s="5" t="s">
        <v>67</v>
      </c>
      <c r="X5788" s="5" t="s">
        <v>67</v>
      </c>
      <c r="Y5788" s="4">
        <v>379</v>
      </c>
      <c r="Z5788" s="4">
        <v>17</v>
      </c>
      <c r="AA5788" s="4">
        <v>17</v>
      </c>
      <c r="AB5788" s="4">
        <v>1</v>
      </c>
      <c r="AC5788" s="4">
        <v>1</v>
      </c>
      <c r="AD5788" s="4">
        <v>94</v>
      </c>
      <c r="AE5788" s="4">
        <v>94</v>
      </c>
      <c r="AF5788" s="4">
        <v>0</v>
      </c>
      <c r="AG5788" s="4">
        <v>0</v>
      </c>
      <c r="AH5788" s="4">
        <v>85</v>
      </c>
      <c r="AI5788" s="4">
        <v>85</v>
      </c>
      <c r="AJ5788" s="4">
        <v>11</v>
      </c>
      <c r="AK5788" s="4">
        <v>11</v>
      </c>
      <c r="AL5788" s="4">
        <v>49</v>
      </c>
      <c r="AM5788" s="4">
        <v>49</v>
      </c>
      <c r="AN5788" s="4">
        <v>0</v>
      </c>
      <c r="AO5788" s="4">
        <v>0</v>
      </c>
      <c r="AP5788" s="4">
        <v>12</v>
      </c>
      <c r="AQ5788" s="4">
        <v>12</v>
      </c>
      <c r="AR5788" s="3" t="s">
        <v>62</v>
      </c>
      <c r="AS5788" s="3" t="s">
        <v>62</v>
      </c>
      <c r="AT5788" s="3" t="s">
        <v>62</v>
      </c>
      <c r="AV5788" s="6" t="str">
        <f t="shared" si="101"/>
        <v>Catalog Record</v>
      </c>
      <c r="AW5788" s="6" t="str">
        <f t="shared" si="102"/>
        <v>WorldCat Record</v>
      </c>
      <c r="AX5788" s="3" t="s">
        <v>54623</v>
      </c>
      <c r="AY5788" s="3" t="s">
        <v>54624</v>
      </c>
      <c r="AZ5788" s="3" t="s">
        <v>54625</v>
      </c>
      <c r="BA5788" s="3" t="s">
        <v>54625</v>
      </c>
      <c r="BB5788" s="3" t="s">
        <v>54638</v>
      </c>
      <c r="BC5788" s="3" t="s">
        <v>102</v>
      </c>
      <c r="BD5788" s="3" t="s">
        <v>68</v>
      </c>
      <c r="BE5788" s="3" t="s">
        <v>54627</v>
      </c>
      <c r="BF5788" s="3" t="s">
        <v>54638</v>
      </c>
      <c r="BG5788" s="3" t="s">
        <v>54639</v>
      </c>
    </row>
    <row r="5789" spans="1:59" ht="58" x14ac:dyDescent="0.35">
      <c r="A5789" s="2" t="s">
        <v>59</v>
      </c>
      <c r="B5789" s="2" t="s">
        <v>60</v>
      </c>
      <c r="C5789" s="2" t="s">
        <v>54618</v>
      </c>
      <c r="D5789" s="2" t="s">
        <v>54619</v>
      </c>
      <c r="E5789" s="2" t="s">
        <v>54620</v>
      </c>
      <c r="F5789" s="3" t="s">
        <v>2237</v>
      </c>
      <c r="G5789" s="3" t="s">
        <v>61</v>
      </c>
      <c r="I5789" s="3" t="s">
        <v>62</v>
      </c>
      <c r="J5789" s="3" t="s">
        <v>62</v>
      </c>
      <c r="K5789" s="3" t="s">
        <v>63</v>
      </c>
      <c r="L5789" s="2" t="s">
        <v>54621</v>
      </c>
      <c r="M5789" s="2" t="s">
        <v>54622</v>
      </c>
      <c r="N5789" s="3" t="s">
        <v>893</v>
      </c>
      <c r="P5789" s="3" t="s">
        <v>64</v>
      </c>
      <c r="R5789" s="3" t="s">
        <v>42369</v>
      </c>
      <c r="S5789" s="4">
        <v>4</v>
      </c>
      <c r="T5789" s="4">
        <v>7</v>
      </c>
      <c r="U5789" s="5" t="s">
        <v>5380</v>
      </c>
      <c r="V5789" s="5" t="s">
        <v>5380</v>
      </c>
      <c r="W5789" s="5" t="s">
        <v>67</v>
      </c>
      <c r="X5789" s="5" t="s">
        <v>67</v>
      </c>
      <c r="Y5789" s="4">
        <v>379</v>
      </c>
      <c r="Z5789" s="4">
        <v>17</v>
      </c>
      <c r="AA5789" s="4">
        <v>17</v>
      </c>
      <c r="AB5789" s="4">
        <v>1</v>
      </c>
      <c r="AC5789" s="4">
        <v>1</v>
      </c>
      <c r="AD5789" s="4">
        <v>94</v>
      </c>
      <c r="AE5789" s="4">
        <v>94</v>
      </c>
      <c r="AF5789" s="4">
        <v>0</v>
      </c>
      <c r="AG5789" s="4">
        <v>0</v>
      </c>
      <c r="AH5789" s="4">
        <v>85</v>
      </c>
      <c r="AI5789" s="4">
        <v>85</v>
      </c>
      <c r="AJ5789" s="4">
        <v>11</v>
      </c>
      <c r="AK5789" s="4">
        <v>11</v>
      </c>
      <c r="AL5789" s="4">
        <v>49</v>
      </c>
      <c r="AM5789" s="4">
        <v>49</v>
      </c>
      <c r="AN5789" s="4">
        <v>0</v>
      </c>
      <c r="AO5789" s="4">
        <v>0</v>
      </c>
      <c r="AP5789" s="4">
        <v>12</v>
      </c>
      <c r="AQ5789" s="4">
        <v>12</v>
      </c>
      <c r="AR5789" s="3" t="s">
        <v>62</v>
      </c>
      <c r="AS5789" s="3" t="s">
        <v>62</v>
      </c>
      <c r="AT5789" s="3" t="s">
        <v>62</v>
      </c>
      <c r="AV5789" s="6" t="str">
        <f t="shared" si="101"/>
        <v>Catalog Record</v>
      </c>
      <c r="AW5789" s="6" t="str">
        <f t="shared" si="102"/>
        <v>WorldCat Record</v>
      </c>
      <c r="AX5789" s="3" t="s">
        <v>54623</v>
      </c>
      <c r="AY5789" s="3" t="s">
        <v>54624</v>
      </c>
      <c r="AZ5789" s="3" t="s">
        <v>54625</v>
      </c>
      <c r="BA5789" s="3" t="s">
        <v>54625</v>
      </c>
      <c r="BB5789" s="3" t="s">
        <v>54640</v>
      </c>
      <c r="BC5789" s="3" t="s">
        <v>102</v>
      </c>
      <c r="BD5789" s="3" t="s">
        <v>68</v>
      </c>
      <c r="BE5789" s="3" t="s">
        <v>54627</v>
      </c>
      <c r="BF5789" s="3" t="s">
        <v>54640</v>
      </c>
      <c r="BG5789" s="3" t="s">
        <v>54641</v>
      </c>
    </row>
    <row r="5790" spans="1:59" ht="72.5" x14ac:dyDescent="0.35">
      <c r="A5790" s="2" t="s">
        <v>89</v>
      </c>
      <c r="B5790" s="2" t="s">
        <v>1231</v>
      </c>
      <c r="C5790" s="2" t="s">
        <v>54642</v>
      </c>
      <c r="D5790" s="2" t="s">
        <v>54643</v>
      </c>
      <c r="E5790" s="2" t="s">
        <v>54644</v>
      </c>
      <c r="G5790" s="3" t="s">
        <v>62</v>
      </c>
      <c r="I5790" s="3" t="s">
        <v>61</v>
      </c>
      <c r="J5790" s="3" t="s">
        <v>62</v>
      </c>
      <c r="K5790" s="3" t="s">
        <v>63</v>
      </c>
      <c r="M5790" s="2" t="s">
        <v>54645</v>
      </c>
      <c r="N5790" s="3" t="s">
        <v>424</v>
      </c>
      <c r="P5790" s="3" t="s">
        <v>1078</v>
      </c>
      <c r="R5790" s="3" t="s">
        <v>42369</v>
      </c>
      <c r="S5790" s="4">
        <v>4</v>
      </c>
      <c r="T5790" s="4">
        <v>5</v>
      </c>
      <c r="U5790" s="5" t="s">
        <v>987</v>
      </c>
      <c r="V5790" s="5" t="s">
        <v>987</v>
      </c>
      <c r="W5790" s="5" t="s">
        <v>67</v>
      </c>
      <c r="X5790" s="5" t="s">
        <v>67</v>
      </c>
      <c r="Y5790" s="4">
        <v>30</v>
      </c>
      <c r="Z5790" s="4">
        <v>1</v>
      </c>
      <c r="AA5790" s="4">
        <v>1</v>
      </c>
      <c r="AB5790" s="4">
        <v>1</v>
      </c>
      <c r="AC5790" s="4">
        <v>1</v>
      </c>
      <c r="AD5790" s="4">
        <v>9</v>
      </c>
      <c r="AE5790" s="4">
        <v>9</v>
      </c>
      <c r="AF5790" s="4">
        <v>0</v>
      </c>
      <c r="AG5790" s="4">
        <v>0</v>
      </c>
      <c r="AH5790" s="4">
        <v>8</v>
      </c>
      <c r="AI5790" s="4">
        <v>8</v>
      </c>
      <c r="AJ5790" s="4">
        <v>0</v>
      </c>
      <c r="AK5790" s="4">
        <v>0</v>
      </c>
      <c r="AL5790" s="4">
        <v>6</v>
      </c>
      <c r="AM5790" s="4">
        <v>6</v>
      </c>
      <c r="AN5790" s="4">
        <v>0</v>
      </c>
      <c r="AO5790" s="4">
        <v>0</v>
      </c>
      <c r="AP5790" s="4">
        <v>0</v>
      </c>
      <c r="AQ5790" s="4">
        <v>0</v>
      </c>
      <c r="AR5790" s="3" t="s">
        <v>62</v>
      </c>
      <c r="AS5790" s="3" t="s">
        <v>62</v>
      </c>
      <c r="AT5790" s="3" t="s">
        <v>62</v>
      </c>
      <c r="AV5790" s="6" t="str">
        <f>HYPERLINK("http://mcgill.on.worldcat.org/oclc/19678229","Catalog Record")</f>
        <v>Catalog Record</v>
      </c>
      <c r="AW5790" s="6" t="str">
        <f>HYPERLINK("http://www.worldcat.org/oclc/19678229","WorldCat Record")</f>
        <v>WorldCat Record</v>
      </c>
      <c r="AX5790" s="3" t="s">
        <v>54646</v>
      </c>
      <c r="AY5790" s="3" t="s">
        <v>54647</v>
      </c>
      <c r="AZ5790" s="3" t="s">
        <v>54648</v>
      </c>
      <c r="BA5790" s="3" t="s">
        <v>54648</v>
      </c>
      <c r="BB5790" s="3" t="s">
        <v>54649</v>
      </c>
      <c r="BC5790" s="3" t="s">
        <v>102</v>
      </c>
      <c r="BD5790" s="3" t="s">
        <v>68</v>
      </c>
      <c r="BF5790" s="3" t="s">
        <v>54649</v>
      </c>
      <c r="BG5790" s="3" t="s">
        <v>54650</v>
      </c>
    </row>
    <row r="5791" spans="1:59" ht="58" x14ac:dyDescent="0.35">
      <c r="A5791" s="2" t="s">
        <v>89</v>
      </c>
      <c r="B5791" s="2" t="s">
        <v>90</v>
      </c>
      <c r="C5791" s="2" t="s">
        <v>54651</v>
      </c>
      <c r="D5791" s="2" t="s">
        <v>54652</v>
      </c>
      <c r="E5791" s="2" t="s">
        <v>54653</v>
      </c>
      <c r="G5791" s="3" t="s">
        <v>62</v>
      </c>
      <c r="I5791" s="3" t="s">
        <v>62</v>
      </c>
      <c r="J5791" s="3" t="s">
        <v>62</v>
      </c>
      <c r="K5791" s="3" t="s">
        <v>63</v>
      </c>
      <c r="L5791" s="2" t="s">
        <v>54654</v>
      </c>
      <c r="M5791" s="2" t="s">
        <v>54655</v>
      </c>
      <c r="N5791" s="3" t="s">
        <v>2136</v>
      </c>
      <c r="P5791" s="3" t="s">
        <v>64</v>
      </c>
      <c r="Q5791" s="2" t="s">
        <v>54656</v>
      </c>
      <c r="R5791" s="3" t="s">
        <v>42369</v>
      </c>
      <c r="S5791" s="4">
        <v>9</v>
      </c>
      <c r="T5791" s="4">
        <v>9</v>
      </c>
      <c r="U5791" s="5" t="s">
        <v>31501</v>
      </c>
      <c r="V5791" s="5" t="s">
        <v>31501</v>
      </c>
      <c r="W5791" s="5" t="s">
        <v>67</v>
      </c>
      <c r="X5791" s="5" t="s">
        <v>67</v>
      </c>
      <c r="Y5791" s="4">
        <v>140</v>
      </c>
      <c r="Z5791" s="4">
        <v>15</v>
      </c>
      <c r="AA5791" s="4">
        <v>18</v>
      </c>
      <c r="AB5791" s="4">
        <v>1</v>
      </c>
      <c r="AC5791" s="4">
        <v>2</v>
      </c>
      <c r="AD5791" s="4">
        <v>62</v>
      </c>
      <c r="AE5791" s="4">
        <v>64</v>
      </c>
      <c r="AF5791" s="4">
        <v>0</v>
      </c>
      <c r="AG5791" s="4">
        <v>1</v>
      </c>
      <c r="AH5791" s="4">
        <v>53</v>
      </c>
      <c r="AI5791" s="4">
        <v>54</v>
      </c>
      <c r="AJ5791" s="4">
        <v>9</v>
      </c>
      <c r="AK5791" s="4">
        <v>11</v>
      </c>
      <c r="AL5791" s="4">
        <v>31</v>
      </c>
      <c r="AM5791" s="4">
        <v>32</v>
      </c>
      <c r="AN5791" s="4">
        <v>0</v>
      </c>
      <c r="AO5791" s="4">
        <v>0</v>
      </c>
      <c r="AP5791" s="4">
        <v>12</v>
      </c>
      <c r="AQ5791" s="4">
        <v>13</v>
      </c>
      <c r="AR5791" s="3" t="s">
        <v>62</v>
      </c>
      <c r="AS5791" s="3" t="s">
        <v>62</v>
      </c>
      <c r="AT5791" s="3" t="s">
        <v>61</v>
      </c>
      <c r="AU5791" s="6" t="str">
        <f>HYPERLINK("http://catalog.hathitrust.org/Record/004976155","HathiTrust Record")</f>
        <v>HathiTrust Record</v>
      </c>
      <c r="AV5791" s="6" t="str">
        <f>HYPERLINK("http://mcgill.on.worldcat.org/oclc/56759036","Catalog Record")</f>
        <v>Catalog Record</v>
      </c>
      <c r="AW5791" s="6" t="str">
        <f>HYPERLINK("http://www.worldcat.org/oclc/56759036","WorldCat Record")</f>
        <v>WorldCat Record</v>
      </c>
      <c r="AX5791" s="3" t="s">
        <v>54657</v>
      </c>
      <c r="AY5791" s="3" t="s">
        <v>54658</v>
      </c>
      <c r="AZ5791" s="3" t="s">
        <v>54659</v>
      </c>
      <c r="BA5791" s="3" t="s">
        <v>54659</v>
      </c>
      <c r="BB5791" s="3" t="s">
        <v>54660</v>
      </c>
      <c r="BC5791" s="3" t="s">
        <v>102</v>
      </c>
      <c r="BD5791" s="3" t="s">
        <v>68</v>
      </c>
      <c r="BE5791" s="3" t="s">
        <v>54661</v>
      </c>
      <c r="BF5791" s="3" t="s">
        <v>54660</v>
      </c>
      <c r="BG5791" s="3" t="s">
        <v>54662</v>
      </c>
    </row>
    <row r="5792" spans="1:59" ht="58" x14ac:dyDescent="0.35">
      <c r="A5792" s="2" t="s">
        <v>59</v>
      </c>
      <c r="B5792" s="2" t="s">
        <v>60</v>
      </c>
      <c r="C5792" s="2" t="s">
        <v>54663</v>
      </c>
      <c r="D5792" s="2" t="s">
        <v>54664</v>
      </c>
      <c r="E5792" s="2" t="s">
        <v>54665</v>
      </c>
      <c r="G5792" s="3" t="s">
        <v>62</v>
      </c>
      <c r="I5792" s="3" t="s">
        <v>62</v>
      </c>
      <c r="J5792" s="3" t="s">
        <v>62</v>
      </c>
      <c r="K5792" s="3" t="s">
        <v>63</v>
      </c>
      <c r="L5792" s="2" t="s">
        <v>54666</v>
      </c>
      <c r="M5792" s="2" t="s">
        <v>54667</v>
      </c>
      <c r="N5792" s="3" t="s">
        <v>1576</v>
      </c>
      <c r="O5792" s="2" t="s">
        <v>3990</v>
      </c>
      <c r="P5792" s="3" t="s">
        <v>64</v>
      </c>
      <c r="R5792" s="3" t="s">
        <v>42369</v>
      </c>
      <c r="S5792" s="4">
        <v>2</v>
      </c>
      <c r="T5792" s="4">
        <v>2</v>
      </c>
      <c r="U5792" s="5" t="s">
        <v>6962</v>
      </c>
      <c r="V5792" s="5" t="s">
        <v>6962</v>
      </c>
      <c r="W5792" s="5" t="s">
        <v>67</v>
      </c>
      <c r="X5792" s="5" t="s">
        <v>67</v>
      </c>
      <c r="Y5792" s="4">
        <v>128</v>
      </c>
      <c r="Z5792" s="4">
        <v>3</v>
      </c>
      <c r="AA5792" s="4">
        <v>6</v>
      </c>
      <c r="AB5792" s="4">
        <v>1</v>
      </c>
      <c r="AC5792" s="4">
        <v>1</v>
      </c>
      <c r="AD5792" s="4">
        <v>31</v>
      </c>
      <c r="AE5792" s="4">
        <v>44</v>
      </c>
      <c r="AF5792" s="4">
        <v>0</v>
      </c>
      <c r="AG5792" s="4">
        <v>0</v>
      </c>
      <c r="AH5792" s="4">
        <v>29</v>
      </c>
      <c r="AI5792" s="4">
        <v>40</v>
      </c>
      <c r="AJ5792" s="4">
        <v>2</v>
      </c>
      <c r="AK5792" s="4">
        <v>4</v>
      </c>
      <c r="AL5792" s="4">
        <v>16</v>
      </c>
      <c r="AM5792" s="4">
        <v>24</v>
      </c>
      <c r="AN5792" s="4">
        <v>0</v>
      </c>
      <c r="AO5792" s="4">
        <v>0</v>
      </c>
      <c r="AP5792" s="4">
        <v>1</v>
      </c>
      <c r="AQ5792" s="4">
        <v>3</v>
      </c>
      <c r="AR5792" s="3" t="s">
        <v>62</v>
      </c>
      <c r="AS5792" s="3" t="s">
        <v>62</v>
      </c>
      <c r="AT5792" s="3" t="s">
        <v>62</v>
      </c>
      <c r="AV5792" s="6" t="str">
        <f>HYPERLINK("http://mcgill.on.worldcat.org/oclc/556560","Catalog Record")</f>
        <v>Catalog Record</v>
      </c>
      <c r="AW5792" s="6" t="str">
        <f>HYPERLINK("http://www.worldcat.org/oclc/556560","WorldCat Record")</f>
        <v>WorldCat Record</v>
      </c>
      <c r="AX5792" s="3" t="s">
        <v>54668</v>
      </c>
      <c r="AY5792" s="3" t="s">
        <v>54669</v>
      </c>
      <c r="AZ5792" s="3" t="s">
        <v>54670</v>
      </c>
      <c r="BA5792" s="3" t="s">
        <v>54670</v>
      </c>
      <c r="BB5792" s="3" t="s">
        <v>54671</v>
      </c>
      <c r="BC5792" s="3" t="s">
        <v>102</v>
      </c>
      <c r="BD5792" s="3" t="s">
        <v>68</v>
      </c>
      <c r="BF5792" s="3" t="s">
        <v>54671</v>
      </c>
      <c r="BG5792" s="3" t="s">
        <v>54672</v>
      </c>
    </row>
    <row r="5793" spans="1:59" ht="72.5" x14ac:dyDescent="0.35">
      <c r="A5793" s="2" t="s">
        <v>59</v>
      </c>
      <c r="B5793" s="2" t="s">
        <v>60</v>
      </c>
      <c r="C5793" s="2" t="s">
        <v>54673</v>
      </c>
      <c r="D5793" s="2" t="s">
        <v>54674</v>
      </c>
      <c r="E5793" s="2" t="s">
        <v>54675</v>
      </c>
      <c r="G5793" s="3" t="s">
        <v>62</v>
      </c>
      <c r="I5793" s="3" t="s">
        <v>62</v>
      </c>
      <c r="J5793" s="3" t="s">
        <v>62</v>
      </c>
      <c r="K5793" s="3" t="s">
        <v>63</v>
      </c>
      <c r="L5793" s="2" t="s">
        <v>54676</v>
      </c>
      <c r="M5793" s="2" t="s">
        <v>54677</v>
      </c>
      <c r="N5793" s="3" t="s">
        <v>596</v>
      </c>
      <c r="P5793" s="3" t="s">
        <v>64</v>
      </c>
      <c r="R5793" s="3" t="s">
        <v>42369</v>
      </c>
      <c r="S5793" s="4">
        <v>2</v>
      </c>
      <c r="T5793" s="4">
        <v>2</v>
      </c>
      <c r="U5793" s="5" t="s">
        <v>6962</v>
      </c>
      <c r="V5793" s="5" t="s">
        <v>6962</v>
      </c>
      <c r="W5793" s="5" t="s">
        <v>67</v>
      </c>
      <c r="X5793" s="5" t="s">
        <v>67</v>
      </c>
      <c r="Y5793" s="4">
        <v>297</v>
      </c>
      <c r="Z5793" s="4">
        <v>10</v>
      </c>
      <c r="AA5793" s="4">
        <v>12</v>
      </c>
      <c r="AB5793" s="4">
        <v>1</v>
      </c>
      <c r="AC5793" s="4">
        <v>2</v>
      </c>
      <c r="AD5793" s="4">
        <v>11</v>
      </c>
      <c r="AE5793" s="4">
        <v>13</v>
      </c>
      <c r="AF5793" s="4">
        <v>0</v>
      </c>
      <c r="AG5793" s="4">
        <v>0</v>
      </c>
      <c r="AH5793" s="4">
        <v>10</v>
      </c>
      <c r="AI5793" s="4">
        <v>12</v>
      </c>
      <c r="AJ5793" s="4">
        <v>0</v>
      </c>
      <c r="AK5793" s="4">
        <v>1</v>
      </c>
      <c r="AL5793" s="4">
        <v>5</v>
      </c>
      <c r="AM5793" s="4">
        <v>5</v>
      </c>
      <c r="AN5793" s="4">
        <v>0</v>
      </c>
      <c r="AO5793" s="4">
        <v>0</v>
      </c>
      <c r="AP5793" s="4">
        <v>1</v>
      </c>
      <c r="AQ5793" s="4">
        <v>2</v>
      </c>
      <c r="AR5793" s="3" t="s">
        <v>62</v>
      </c>
      <c r="AS5793" s="3" t="s">
        <v>62</v>
      </c>
      <c r="AT5793" s="3" t="s">
        <v>61</v>
      </c>
      <c r="AU5793" s="6" t="str">
        <f>HYPERLINK("http://catalog.hathitrust.org/Record/009148074","HathiTrust Record")</f>
        <v>HathiTrust Record</v>
      </c>
      <c r="AV5793" s="6" t="str">
        <f>HYPERLINK("http://mcgill.on.worldcat.org/oclc/51165077","Catalog Record")</f>
        <v>Catalog Record</v>
      </c>
      <c r="AW5793" s="6" t="str">
        <f>HYPERLINK("http://www.worldcat.org/oclc/51165077","WorldCat Record")</f>
        <v>WorldCat Record</v>
      </c>
      <c r="AX5793" s="3" t="s">
        <v>54678</v>
      </c>
      <c r="AY5793" s="3" t="s">
        <v>54679</v>
      </c>
      <c r="AZ5793" s="3" t="s">
        <v>54680</v>
      </c>
      <c r="BA5793" s="3" t="s">
        <v>54680</v>
      </c>
      <c r="BB5793" s="3" t="s">
        <v>54681</v>
      </c>
      <c r="BC5793" s="3" t="s">
        <v>102</v>
      </c>
      <c r="BD5793" s="3" t="s">
        <v>68</v>
      </c>
      <c r="BE5793" s="3" t="s">
        <v>54682</v>
      </c>
      <c r="BF5793" s="3" t="s">
        <v>54681</v>
      </c>
      <c r="BG5793" s="3" t="s">
        <v>54683</v>
      </c>
    </row>
    <row r="5794" spans="1:59" ht="72.5" x14ac:dyDescent="0.35">
      <c r="A5794" s="2" t="s">
        <v>59</v>
      </c>
      <c r="B5794" s="2" t="s">
        <v>60</v>
      </c>
      <c r="C5794" s="2" t="s">
        <v>54684</v>
      </c>
      <c r="D5794" s="2" t="s">
        <v>54685</v>
      </c>
      <c r="E5794" s="2" t="s">
        <v>54686</v>
      </c>
      <c r="G5794" s="3" t="s">
        <v>62</v>
      </c>
      <c r="I5794" s="3" t="s">
        <v>62</v>
      </c>
      <c r="J5794" s="3" t="s">
        <v>62</v>
      </c>
      <c r="K5794" s="3" t="s">
        <v>63</v>
      </c>
      <c r="L5794" s="2" t="s">
        <v>54687</v>
      </c>
      <c r="M5794" s="2" t="s">
        <v>54688</v>
      </c>
      <c r="N5794" s="3" t="s">
        <v>396</v>
      </c>
      <c r="P5794" s="3" t="s">
        <v>64</v>
      </c>
      <c r="R5794" s="3" t="s">
        <v>42369</v>
      </c>
      <c r="S5794" s="4">
        <v>4</v>
      </c>
      <c r="T5794" s="4">
        <v>4</v>
      </c>
      <c r="U5794" s="5" t="s">
        <v>6962</v>
      </c>
      <c r="V5794" s="5" t="s">
        <v>6962</v>
      </c>
      <c r="W5794" s="5" t="s">
        <v>67</v>
      </c>
      <c r="X5794" s="5" t="s">
        <v>67</v>
      </c>
      <c r="Y5794" s="4">
        <v>466</v>
      </c>
      <c r="Z5794" s="4">
        <v>19</v>
      </c>
      <c r="AA5794" s="4">
        <v>19</v>
      </c>
      <c r="AB5794" s="4">
        <v>1</v>
      </c>
      <c r="AC5794" s="4">
        <v>1</v>
      </c>
      <c r="AD5794" s="4">
        <v>51</v>
      </c>
      <c r="AE5794" s="4">
        <v>51</v>
      </c>
      <c r="AF5794" s="4">
        <v>0</v>
      </c>
      <c r="AG5794" s="4">
        <v>0</v>
      </c>
      <c r="AH5794" s="4">
        <v>46</v>
      </c>
      <c r="AI5794" s="4">
        <v>46</v>
      </c>
      <c r="AJ5794" s="4">
        <v>4</v>
      </c>
      <c r="AK5794" s="4">
        <v>4</v>
      </c>
      <c r="AL5794" s="4">
        <v>24</v>
      </c>
      <c r="AM5794" s="4">
        <v>24</v>
      </c>
      <c r="AN5794" s="4">
        <v>0</v>
      </c>
      <c r="AO5794" s="4">
        <v>0</v>
      </c>
      <c r="AP5794" s="4">
        <v>7</v>
      </c>
      <c r="AQ5794" s="4">
        <v>7</v>
      </c>
      <c r="AR5794" s="3" t="s">
        <v>62</v>
      </c>
      <c r="AS5794" s="3" t="s">
        <v>62</v>
      </c>
      <c r="AT5794" s="3" t="s">
        <v>62</v>
      </c>
      <c r="AV5794" s="6" t="str">
        <f>HYPERLINK("http://mcgill.on.worldcat.org/oclc/11090561","Catalog Record")</f>
        <v>Catalog Record</v>
      </c>
      <c r="AW5794" s="6" t="str">
        <f>HYPERLINK("http://www.worldcat.org/oclc/11090561","WorldCat Record")</f>
        <v>WorldCat Record</v>
      </c>
      <c r="AX5794" s="3" t="s">
        <v>54689</v>
      </c>
      <c r="AY5794" s="3" t="s">
        <v>54690</v>
      </c>
      <c r="AZ5794" s="3" t="s">
        <v>54691</v>
      </c>
      <c r="BA5794" s="3" t="s">
        <v>54691</v>
      </c>
      <c r="BB5794" s="3" t="s">
        <v>54692</v>
      </c>
      <c r="BC5794" s="3" t="s">
        <v>102</v>
      </c>
      <c r="BD5794" s="3" t="s">
        <v>68</v>
      </c>
      <c r="BE5794" s="3" t="s">
        <v>54693</v>
      </c>
      <c r="BF5794" s="3" t="s">
        <v>54692</v>
      </c>
      <c r="BG5794" s="3" t="s">
        <v>54694</v>
      </c>
    </row>
    <row r="5795" spans="1:59" ht="72.5" x14ac:dyDescent="0.35">
      <c r="A5795" s="2" t="s">
        <v>89</v>
      </c>
      <c r="B5795" s="2" t="s">
        <v>1231</v>
      </c>
      <c r="C5795" s="2" t="s">
        <v>54695</v>
      </c>
      <c r="D5795" s="2" t="s">
        <v>54696</v>
      </c>
      <c r="E5795" s="2" t="s">
        <v>54697</v>
      </c>
      <c r="G5795" s="3" t="s">
        <v>62</v>
      </c>
      <c r="I5795" s="3" t="s">
        <v>62</v>
      </c>
      <c r="J5795" s="3" t="s">
        <v>62</v>
      </c>
      <c r="K5795" s="3" t="s">
        <v>63</v>
      </c>
      <c r="L5795" s="2" t="s">
        <v>54698</v>
      </c>
      <c r="M5795" s="2" t="s">
        <v>16268</v>
      </c>
      <c r="N5795" s="3" t="s">
        <v>684</v>
      </c>
      <c r="P5795" s="3" t="s">
        <v>64</v>
      </c>
      <c r="R5795" s="3" t="s">
        <v>42369</v>
      </c>
      <c r="S5795" s="4">
        <v>1</v>
      </c>
      <c r="T5795" s="4">
        <v>1</v>
      </c>
      <c r="U5795" s="5" t="s">
        <v>1988</v>
      </c>
      <c r="V5795" s="5" t="s">
        <v>1988</v>
      </c>
      <c r="W5795" s="5" t="s">
        <v>67</v>
      </c>
      <c r="X5795" s="5" t="s">
        <v>67</v>
      </c>
      <c r="Y5795" s="4">
        <v>116</v>
      </c>
      <c r="Z5795" s="4">
        <v>7</v>
      </c>
      <c r="AA5795" s="4">
        <v>7</v>
      </c>
      <c r="AB5795" s="4">
        <v>1</v>
      </c>
      <c r="AC5795" s="4">
        <v>1</v>
      </c>
      <c r="AD5795" s="4">
        <v>50</v>
      </c>
      <c r="AE5795" s="4">
        <v>50</v>
      </c>
      <c r="AF5795" s="4">
        <v>0</v>
      </c>
      <c r="AG5795" s="4">
        <v>0</v>
      </c>
      <c r="AH5795" s="4">
        <v>48</v>
      </c>
      <c r="AI5795" s="4">
        <v>48</v>
      </c>
      <c r="AJ5795" s="4">
        <v>4</v>
      </c>
      <c r="AK5795" s="4">
        <v>4</v>
      </c>
      <c r="AL5795" s="4">
        <v>34</v>
      </c>
      <c r="AM5795" s="4">
        <v>34</v>
      </c>
      <c r="AN5795" s="4">
        <v>0</v>
      </c>
      <c r="AO5795" s="4">
        <v>0</v>
      </c>
      <c r="AP5795" s="4">
        <v>4</v>
      </c>
      <c r="AQ5795" s="4">
        <v>4</v>
      </c>
      <c r="AR5795" s="3" t="s">
        <v>62</v>
      </c>
      <c r="AS5795" s="3" t="s">
        <v>62</v>
      </c>
      <c r="AT5795" s="3" t="s">
        <v>62</v>
      </c>
      <c r="AV5795" s="6" t="str">
        <f>HYPERLINK("http://mcgill.on.worldcat.org/oclc/690102975","Catalog Record")</f>
        <v>Catalog Record</v>
      </c>
      <c r="AW5795" s="6" t="str">
        <f>HYPERLINK("http://www.worldcat.org/oclc/690102975","WorldCat Record")</f>
        <v>WorldCat Record</v>
      </c>
      <c r="AX5795" s="3" t="s">
        <v>54699</v>
      </c>
      <c r="AY5795" s="3" t="s">
        <v>54700</v>
      </c>
      <c r="AZ5795" s="3" t="s">
        <v>54701</v>
      </c>
      <c r="BA5795" s="3" t="s">
        <v>54701</v>
      </c>
      <c r="BB5795" s="3" t="s">
        <v>54702</v>
      </c>
      <c r="BC5795" s="3" t="s">
        <v>102</v>
      </c>
      <c r="BD5795" s="3" t="s">
        <v>68</v>
      </c>
      <c r="BE5795" s="3" t="s">
        <v>54703</v>
      </c>
      <c r="BF5795" s="3" t="s">
        <v>54702</v>
      </c>
      <c r="BG5795" s="3" t="s">
        <v>54704</v>
      </c>
    </row>
    <row r="5796" spans="1:59" ht="72.5" x14ac:dyDescent="0.35">
      <c r="A5796" s="2" t="s">
        <v>59</v>
      </c>
      <c r="B5796" s="2" t="s">
        <v>60</v>
      </c>
      <c r="C5796" s="2" t="s">
        <v>54705</v>
      </c>
      <c r="D5796" s="2" t="s">
        <v>54706</v>
      </c>
      <c r="E5796" s="2" t="s">
        <v>54707</v>
      </c>
      <c r="G5796" s="3" t="s">
        <v>62</v>
      </c>
      <c r="I5796" s="3" t="s">
        <v>62</v>
      </c>
      <c r="J5796" s="3" t="s">
        <v>62</v>
      </c>
      <c r="K5796" s="3" t="s">
        <v>63</v>
      </c>
      <c r="L5796" s="2" t="s">
        <v>54708</v>
      </c>
      <c r="M5796" s="2" t="s">
        <v>54709</v>
      </c>
      <c r="N5796" s="3" t="s">
        <v>1077</v>
      </c>
      <c r="P5796" s="3" t="s">
        <v>64</v>
      </c>
      <c r="R5796" s="3" t="s">
        <v>42369</v>
      </c>
      <c r="S5796" s="4">
        <v>4</v>
      </c>
      <c r="T5796" s="4">
        <v>4</v>
      </c>
      <c r="U5796" s="5" t="s">
        <v>32559</v>
      </c>
      <c r="V5796" s="5" t="s">
        <v>32559</v>
      </c>
      <c r="W5796" s="5" t="s">
        <v>67</v>
      </c>
      <c r="X5796" s="5" t="s">
        <v>67</v>
      </c>
      <c r="Y5796" s="4">
        <v>84</v>
      </c>
      <c r="Z5796" s="4">
        <v>30</v>
      </c>
      <c r="AA5796" s="4">
        <v>31</v>
      </c>
      <c r="AB5796" s="4">
        <v>1</v>
      </c>
      <c r="AC5796" s="4">
        <v>1</v>
      </c>
      <c r="AD5796" s="4">
        <v>15</v>
      </c>
      <c r="AE5796" s="4">
        <v>18</v>
      </c>
      <c r="AF5796" s="4">
        <v>0</v>
      </c>
      <c r="AG5796" s="4">
        <v>0</v>
      </c>
      <c r="AH5796" s="4">
        <v>11</v>
      </c>
      <c r="AI5796" s="4">
        <v>14</v>
      </c>
      <c r="AJ5796" s="4">
        <v>4</v>
      </c>
      <c r="AK5796" s="4">
        <v>4</v>
      </c>
      <c r="AL5796" s="4">
        <v>3</v>
      </c>
      <c r="AM5796" s="4">
        <v>5</v>
      </c>
      <c r="AN5796" s="4">
        <v>0</v>
      </c>
      <c r="AO5796" s="4">
        <v>0</v>
      </c>
      <c r="AP5796" s="4">
        <v>5</v>
      </c>
      <c r="AQ5796" s="4">
        <v>5</v>
      </c>
      <c r="AR5796" s="3" t="s">
        <v>61</v>
      </c>
      <c r="AS5796" s="3" t="s">
        <v>62</v>
      </c>
      <c r="AT5796" s="3" t="s">
        <v>62</v>
      </c>
      <c r="AV5796" s="6" t="str">
        <f>HYPERLINK("http://mcgill.on.worldcat.org/oclc/22509834","Catalog Record")</f>
        <v>Catalog Record</v>
      </c>
      <c r="AW5796" s="6" t="str">
        <f>HYPERLINK("http://www.worldcat.org/oclc/22509834","WorldCat Record")</f>
        <v>WorldCat Record</v>
      </c>
      <c r="AX5796" s="3" t="s">
        <v>54710</v>
      </c>
      <c r="AY5796" s="3" t="s">
        <v>54711</v>
      </c>
      <c r="AZ5796" s="3" t="s">
        <v>54712</v>
      </c>
      <c r="BA5796" s="3" t="s">
        <v>54712</v>
      </c>
      <c r="BB5796" s="3" t="s">
        <v>54713</v>
      </c>
      <c r="BC5796" s="3" t="s">
        <v>102</v>
      </c>
      <c r="BD5796" s="3" t="s">
        <v>6923</v>
      </c>
      <c r="BE5796" s="3" t="s">
        <v>54714</v>
      </c>
      <c r="BF5796" s="3" t="s">
        <v>54713</v>
      </c>
      <c r="BG5796" s="3" t="s">
        <v>54715</v>
      </c>
    </row>
    <row r="5797" spans="1:59" ht="58" x14ac:dyDescent="0.35">
      <c r="A5797" s="2" t="s">
        <v>59</v>
      </c>
      <c r="B5797" s="2" t="s">
        <v>60</v>
      </c>
      <c r="C5797" s="2" t="s">
        <v>54716</v>
      </c>
      <c r="D5797" s="2" t="s">
        <v>54717</v>
      </c>
      <c r="E5797" s="2" t="s">
        <v>54718</v>
      </c>
      <c r="G5797" s="3" t="s">
        <v>62</v>
      </c>
      <c r="I5797" s="3" t="s">
        <v>61</v>
      </c>
      <c r="J5797" s="3" t="s">
        <v>61</v>
      </c>
      <c r="K5797" s="3" t="s">
        <v>63</v>
      </c>
      <c r="L5797" s="2" t="s">
        <v>54719</v>
      </c>
      <c r="M5797" s="2" t="s">
        <v>54720</v>
      </c>
      <c r="N5797" s="3" t="s">
        <v>1482</v>
      </c>
      <c r="O5797" s="2" t="s">
        <v>2986</v>
      </c>
      <c r="P5797" s="3" t="s">
        <v>64</v>
      </c>
      <c r="R5797" s="3" t="s">
        <v>42369</v>
      </c>
      <c r="S5797" s="4">
        <v>8</v>
      </c>
      <c r="T5797" s="4">
        <v>9</v>
      </c>
      <c r="U5797" s="5" t="s">
        <v>54721</v>
      </c>
      <c r="V5797" s="5" t="s">
        <v>54721</v>
      </c>
      <c r="W5797" s="5" t="s">
        <v>67</v>
      </c>
      <c r="X5797" s="5" t="s">
        <v>67</v>
      </c>
      <c r="Y5797" s="4">
        <v>245</v>
      </c>
      <c r="Z5797" s="4">
        <v>14</v>
      </c>
      <c r="AA5797" s="4">
        <v>107</v>
      </c>
      <c r="AB5797" s="4">
        <v>2</v>
      </c>
      <c r="AC5797" s="4">
        <v>21</v>
      </c>
      <c r="AD5797" s="4">
        <v>69</v>
      </c>
      <c r="AE5797" s="4">
        <v>148</v>
      </c>
      <c r="AF5797" s="4">
        <v>0</v>
      </c>
      <c r="AG5797" s="4">
        <v>9</v>
      </c>
      <c r="AH5797" s="4">
        <v>64</v>
      </c>
      <c r="AI5797" s="4">
        <v>106</v>
      </c>
      <c r="AJ5797" s="4">
        <v>8</v>
      </c>
      <c r="AK5797" s="4">
        <v>26</v>
      </c>
      <c r="AL5797" s="4">
        <v>33</v>
      </c>
      <c r="AM5797" s="4">
        <v>59</v>
      </c>
      <c r="AN5797" s="4">
        <v>0</v>
      </c>
      <c r="AO5797" s="4">
        <v>0</v>
      </c>
      <c r="AP5797" s="4">
        <v>10</v>
      </c>
      <c r="AQ5797" s="4">
        <v>50</v>
      </c>
      <c r="AR5797" s="3" t="s">
        <v>62</v>
      </c>
      <c r="AS5797" s="3" t="s">
        <v>62</v>
      </c>
      <c r="AT5797" s="3" t="s">
        <v>62</v>
      </c>
      <c r="AV5797" s="6" t="str">
        <f>HYPERLINK("http://mcgill.on.worldcat.org/oclc/15029297","Catalog Record")</f>
        <v>Catalog Record</v>
      </c>
      <c r="AW5797" s="6" t="str">
        <f>HYPERLINK("http://www.worldcat.org/oclc/15029297","WorldCat Record")</f>
        <v>WorldCat Record</v>
      </c>
      <c r="AX5797" s="3" t="s">
        <v>54722</v>
      </c>
      <c r="AY5797" s="3" t="s">
        <v>54723</v>
      </c>
      <c r="AZ5797" s="3" t="s">
        <v>54724</v>
      </c>
      <c r="BA5797" s="3" t="s">
        <v>54724</v>
      </c>
      <c r="BB5797" s="3" t="s">
        <v>54725</v>
      </c>
      <c r="BC5797" s="3" t="s">
        <v>102</v>
      </c>
      <c r="BD5797" s="3" t="s">
        <v>68</v>
      </c>
      <c r="BE5797" s="3" t="s">
        <v>54726</v>
      </c>
      <c r="BF5797" s="3" t="s">
        <v>54725</v>
      </c>
      <c r="BG5797" s="3" t="s">
        <v>54727</v>
      </c>
    </row>
    <row r="5798" spans="1:59" ht="116" x14ac:dyDescent="0.35">
      <c r="A5798" s="2" t="s">
        <v>89</v>
      </c>
      <c r="B5798" s="2" t="s">
        <v>6121</v>
      </c>
      <c r="C5798" s="2" t="s">
        <v>54728</v>
      </c>
      <c r="D5798" s="2" t="s">
        <v>54729</v>
      </c>
      <c r="E5798" s="2" t="s">
        <v>54730</v>
      </c>
      <c r="G5798" s="3" t="s">
        <v>62</v>
      </c>
      <c r="I5798" s="3" t="s">
        <v>62</v>
      </c>
      <c r="J5798" s="3" t="s">
        <v>62</v>
      </c>
      <c r="K5798" s="3" t="s">
        <v>63</v>
      </c>
      <c r="L5798" s="2" t="s">
        <v>54731</v>
      </c>
      <c r="M5798" s="2" t="s">
        <v>54732</v>
      </c>
      <c r="N5798" s="3" t="s">
        <v>509</v>
      </c>
      <c r="P5798" s="3" t="s">
        <v>64</v>
      </c>
      <c r="R5798" s="3" t="s">
        <v>46170</v>
      </c>
      <c r="S5798" s="4">
        <v>52</v>
      </c>
      <c r="T5798" s="4">
        <v>52</v>
      </c>
      <c r="U5798" s="5" t="s">
        <v>26777</v>
      </c>
      <c r="V5798" s="5" t="s">
        <v>26777</v>
      </c>
      <c r="W5798" s="5" t="s">
        <v>67</v>
      </c>
      <c r="X5798" s="5" t="s">
        <v>67</v>
      </c>
      <c r="Y5798" s="4">
        <v>349</v>
      </c>
      <c r="Z5798" s="4">
        <v>8</v>
      </c>
      <c r="AA5798" s="4">
        <v>13</v>
      </c>
      <c r="AB5798" s="4">
        <v>1</v>
      </c>
      <c r="AC5798" s="4">
        <v>1</v>
      </c>
      <c r="AD5798" s="4">
        <v>8</v>
      </c>
      <c r="AE5798" s="4">
        <v>10</v>
      </c>
      <c r="AF5798" s="4">
        <v>0</v>
      </c>
      <c r="AG5798" s="4">
        <v>0</v>
      </c>
      <c r="AH5798" s="4">
        <v>8</v>
      </c>
      <c r="AI5798" s="4">
        <v>9</v>
      </c>
      <c r="AJ5798" s="4">
        <v>0</v>
      </c>
      <c r="AK5798" s="4">
        <v>2</v>
      </c>
      <c r="AL5798" s="4">
        <v>1</v>
      </c>
      <c r="AM5798" s="4">
        <v>1</v>
      </c>
      <c r="AN5798" s="4">
        <v>0</v>
      </c>
      <c r="AO5798" s="4">
        <v>0</v>
      </c>
      <c r="AP5798" s="4">
        <v>0</v>
      </c>
      <c r="AQ5798" s="4">
        <v>2</v>
      </c>
      <c r="AR5798" s="3" t="s">
        <v>62</v>
      </c>
      <c r="AS5798" s="3" t="s">
        <v>62</v>
      </c>
      <c r="AT5798" s="3" t="s">
        <v>62</v>
      </c>
      <c r="AV5798" s="6" t="str">
        <f>HYPERLINK("http://mcgill.on.worldcat.org/oclc/29358341","Catalog Record")</f>
        <v>Catalog Record</v>
      </c>
      <c r="AW5798" s="6" t="str">
        <f>HYPERLINK("http://www.worldcat.org/oclc/29358341","WorldCat Record")</f>
        <v>WorldCat Record</v>
      </c>
      <c r="AX5798" s="3" t="s">
        <v>54733</v>
      </c>
      <c r="AY5798" s="3" t="s">
        <v>54734</v>
      </c>
      <c r="AZ5798" s="3" t="s">
        <v>54735</v>
      </c>
      <c r="BA5798" s="3" t="s">
        <v>54735</v>
      </c>
      <c r="BB5798" s="3" t="s">
        <v>54736</v>
      </c>
      <c r="BC5798" s="3" t="s">
        <v>102</v>
      </c>
      <c r="BD5798" s="3" t="s">
        <v>68</v>
      </c>
      <c r="BE5798" s="3" t="s">
        <v>54737</v>
      </c>
      <c r="BF5798" s="3" t="s">
        <v>54736</v>
      </c>
      <c r="BG5798" s="3" t="s">
        <v>54738</v>
      </c>
    </row>
    <row r="5799" spans="1:59" ht="58" x14ac:dyDescent="0.35">
      <c r="A5799" s="2" t="s">
        <v>89</v>
      </c>
      <c r="B5799" s="2" t="s">
        <v>90</v>
      </c>
      <c r="C5799" s="2" t="s">
        <v>54739</v>
      </c>
      <c r="D5799" s="2" t="s">
        <v>54740</v>
      </c>
      <c r="E5799" s="2" t="s">
        <v>54741</v>
      </c>
      <c r="G5799" s="3" t="s">
        <v>62</v>
      </c>
      <c r="I5799" s="3" t="s">
        <v>61</v>
      </c>
      <c r="J5799" s="3" t="s">
        <v>62</v>
      </c>
      <c r="K5799" s="3" t="s">
        <v>63</v>
      </c>
      <c r="L5799" s="2" t="s">
        <v>54742</v>
      </c>
      <c r="M5799" s="2" t="s">
        <v>54743</v>
      </c>
      <c r="N5799" s="3" t="s">
        <v>2305</v>
      </c>
      <c r="P5799" s="3" t="s">
        <v>64</v>
      </c>
      <c r="Q5799" s="2" t="s">
        <v>54744</v>
      </c>
      <c r="R5799" s="3" t="s">
        <v>46535</v>
      </c>
      <c r="S5799" s="4">
        <v>0</v>
      </c>
      <c r="T5799" s="4">
        <v>1</v>
      </c>
      <c r="V5799" s="5" t="s">
        <v>54745</v>
      </c>
      <c r="W5799" s="5" t="s">
        <v>67</v>
      </c>
      <c r="X5799" s="5" t="s">
        <v>67</v>
      </c>
      <c r="Y5799" s="4">
        <v>402</v>
      </c>
      <c r="Z5799" s="4">
        <v>24</v>
      </c>
      <c r="AA5799" s="4">
        <v>27</v>
      </c>
      <c r="AB5799" s="4">
        <v>2</v>
      </c>
      <c r="AC5799" s="4">
        <v>4</v>
      </c>
      <c r="AD5799" s="4">
        <v>109</v>
      </c>
      <c r="AE5799" s="4">
        <v>112</v>
      </c>
      <c r="AF5799" s="4">
        <v>1</v>
      </c>
      <c r="AG5799" s="4">
        <v>3</v>
      </c>
      <c r="AH5799" s="4">
        <v>93</v>
      </c>
      <c r="AI5799" s="4">
        <v>95</v>
      </c>
      <c r="AJ5799" s="4">
        <v>15</v>
      </c>
      <c r="AK5799" s="4">
        <v>18</v>
      </c>
      <c r="AL5799" s="4">
        <v>54</v>
      </c>
      <c r="AM5799" s="4">
        <v>54</v>
      </c>
      <c r="AN5799" s="4">
        <v>0</v>
      </c>
      <c r="AO5799" s="4">
        <v>0</v>
      </c>
      <c r="AP5799" s="4">
        <v>21</v>
      </c>
      <c r="AQ5799" s="4">
        <v>23</v>
      </c>
      <c r="AR5799" s="3" t="s">
        <v>62</v>
      </c>
      <c r="AS5799" s="3" t="s">
        <v>62</v>
      </c>
      <c r="AT5799" s="3" t="s">
        <v>61</v>
      </c>
      <c r="AU5799" s="6" t="str">
        <f>HYPERLINK("http://catalog.hathitrust.org/Record/001576832","HathiTrust Record")</f>
        <v>HathiTrust Record</v>
      </c>
      <c r="AV5799" s="6" t="str">
        <f>HYPERLINK("http://mcgill.on.worldcat.org/oclc/554809","Catalog Record")</f>
        <v>Catalog Record</v>
      </c>
      <c r="AW5799" s="6" t="str">
        <f>HYPERLINK("http://www.worldcat.org/oclc/554809","WorldCat Record")</f>
        <v>WorldCat Record</v>
      </c>
      <c r="AX5799" s="3" t="s">
        <v>54746</v>
      </c>
      <c r="AY5799" s="3" t="s">
        <v>54747</v>
      </c>
      <c r="AZ5799" s="3" t="s">
        <v>54748</v>
      </c>
      <c r="BA5799" s="3" t="s">
        <v>54748</v>
      </c>
      <c r="BB5799" s="3" t="s">
        <v>54749</v>
      </c>
      <c r="BC5799" s="3" t="s">
        <v>102</v>
      </c>
      <c r="BD5799" s="3" t="s">
        <v>68</v>
      </c>
      <c r="BF5799" s="3" t="s">
        <v>54749</v>
      </c>
      <c r="BG5799" s="3" t="s">
        <v>54750</v>
      </c>
    </row>
    <row r="5800" spans="1:59" ht="58" x14ac:dyDescent="0.35">
      <c r="A5800" s="2" t="s">
        <v>59</v>
      </c>
      <c r="B5800" s="2" t="s">
        <v>60</v>
      </c>
      <c r="C5800" s="2" t="s">
        <v>54751</v>
      </c>
      <c r="D5800" s="2" t="s">
        <v>54752</v>
      </c>
      <c r="E5800" s="2" t="s">
        <v>54753</v>
      </c>
      <c r="G5800" s="3" t="s">
        <v>62</v>
      </c>
      <c r="I5800" s="3" t="s">
        <v>61</v>
      </c>
      <c r="J5800" s="3" t="s">
        <v>62</v>
      </c>
      <c r="K5800" s="3" t="s">
        <v>63</v>
      </c>
      <c r="L5800" s="2" t="s">
        <v>54754</v>
      </c>
      <c r="M5800" s="2" t="s">
        <v>54755</v>
      </c>
      <c r="N5800" s="3" t="s">
        <v>2924</v>
      </c>
      <c r="P5800" s="3" t="s">
        <v>64</v>
      </c>
      <c r="Q5800" s="2" t="s">
        <v>6115</v>
      </c>
      <c r="R5800" s="3" t="s">
        <v>46535</v>
      </c>
      <c r="S5800" s="4">
        <v>1</v>
      </c>
      <c r="T5800" s="4">
        <v>17</v>
      </c>
      <c r="U5800" s="5" t="s">
        <v>54756</v>
      </c>
      <c r="V5800" s="5" t="s">
        <v>54757</v>
      </c>
      <c r="W5800" s="5" t="s">
        <v>67</v>
      </c>
      <c r="X5800" s="5" t="s">
        <v>67</v>
      </c>
      <c r="Y5800" s="4">
        <v>1201</v>
      </c>
      <c r="Z5800" s="4">
        <v>31</v>
      </c>
      <c r="AA5800" s="4">
        <v>49</v>
      </c>
      <c r="AB5800" s="4">
        <v>4</v>
      </c>
      <c r="AC5800" s="4">
        <v>8</v>
      </c>
      <c r="AD5800" s="4">
        <v>101</v>
      </c>
      <c r="AE5800" s="4">
        <v>116</v>
      </c>
      <c r="AF5800" s="4">
        <v>1</v>
      </c>
      <c r="AG5800" s="4">
        <v>4</v>
      </c>
      <c r="AH5800" s="4">
        <v>88</v>
      </c>
      <c r="AI5800" s="4">
        <v>96</v>
      </c>
      <c r="AJ5800" s="4">
        <v>14</v>
      </c>
      <c r="AK5800" s="4">
        <v>22</v>
      </c>
      <c r="AL5800" s="4">
        <v>48</v>
      </c>
      <c r="AM5800" s="4">
        <v>50</v>
      </c>
      <c r="AN5800" s="4">
        <v>0</v>
      </c>
      <c r="AO5800" s="4">
        <v>0</v>
      </c>
      <c r="AP5800" s="4">
        <v>15</v>
      </c>
      <c r="AQ5800" s="4">
        <v>25</v>
      </c>
      <c r="AR5800" s="3" t="s">
        <v>62</v>
      </c>
      <c r="AS5800" s="3" t="s">
        <v>62</v>
      </c>
      <c r="AT5800" s="3" t="s">
        <v>61</v>
      </c>
      <c r="AU5800" s="6" t="str">
        <f>HYPERLINK("http://catalog.hathitrust.org/Record/004419219","HathiTrust Record")</f>
        <v>HathiTrust Record</v>
      </c>
      <c r="AV5800" s="6" t="str">
        <f>HYPERLINK("http://mcgill.on.worldcat.org/oclc/505471","Catalog Record")</f>
        <v>Catalog Record</v>
      </c>
      <c r="AW5800" s="6" t="str">
        <f>HYPERLINK("http://www.worldcat.org/oclc/505471","WorldCat Record")</f>
        <v>WorldCat Record</v>
      </c>
      <c r="AX5800" s="3" t="s">
        <v>54758</v>
      </c>
      <c r="AY5800" s="3" t="s">
        <v>54759</v>
      </c>
      <c r="AZ5800" s="3" t="s">
        <v>54760</v>
      </c>
      <c r="BA5800" s="3" t="s">
        <v>54760</v>
      </c>
      <c r="BB5800" s="3" t="s">
        <v>54761</v>
      </c>
      <c r="BC5800" s="3" t="s">
        <v>102</v>
      </c>
      <c r="BD5800" s="3" t="s">
        <v>68</v>
      </c>
      <c r="BF5800" s="3" t="s">
        <v>54761</v>
      </c>
      <c r="BG5800" s="3" t="s">
        <v>54762</v>
      </c>
    </row>
    <row r="5801" spans="1:59" ht="87" x14ac:dyDescent="0.35">
      <c r="A5801" s="2" t="s">
        <v>89</v>
      </c>
      <c r="B5801" s="2" t="s">
        <v>90</v>
      </c>
      <c r="C5801" s="2" t="s">
        <v>54763</v>
      </c>
      <c r="D5801" s="2" t="s">
        <v>54764</v>
      </c>
      <c r="E5801" s="2" t="s">
        <v>54765</v>
      </c>
      <c r="G5801" s="3" t="s">
        <v>62</v>
      </c>
      <c r="I5801" s="3" t="s">
        <v>62</v>
      </c>
      <c r="J5801" s="3" t="s">
        <v>62</v>
      </c>
      <c r="K5801" s="3" t="s">
        <v>63</v>
      </c>
      <c r="L5801" s="2" t="s">
        <v>54766</v>
      </c>
      <c r="M5801" s="2" t="s">
        <v>54767</v>
      </c>
      <c r="N5801" s="3" t="s">
        <v>129</v>
      </c>
      <c r="P5801" s="3" t="s">
        <v>85</v>
      </c>
      <c r="R5801" s="3" t="s">
        <v>51835</v>
      </c>
      <c r="S5801" s="4">
        <v>0</v>
      </c>
      <c r="T5801" s="4">
        <v>0</v>
      </c>
      <c r="W5801" s="5" t="s">
        <v>67</v>
      </c>
      <c r="X5801" s="5" t="s">
        <v>67</v>
      </c>
      <c r="Y5801" s="4">
        <v>7</v>
      </c>
      <c r="Z5801" s="4">
        <v>1</v>
      </c>
      <c r="AA5801" s="4">
        <v>1</v>
      </c>
      <c r="AB5801" s="4">
        <v>1</v>
      </c>
      <c r="AC5801" s="4">
        <v>1</v>
      </c>
      <c r="AD5801" s="4">
        <v>2</v>
      </c>
      <c r="AE5801" s="4">
        <v>2</v>
      </c>
      <c r="AF5801" s="4">
        <v>0</v>
      </c>
      <c r="AG5801" s="4">
        <v>0</v>
      </c>
      <c r="AH5801" s="4">
        <v>2</v>
      </c>
      <c r="AI5801" s="4">
        <v>2</v>
      </c>
      <c r="AJ5801" s="4">
        <v>0</v>
      </c>
      <c r="AK5801" s="4">
        <v>0</v>
      </c>
      <c r="AL5801" s="4">
        <v>1</v>
      </c>
      <c r="AM5801" s="4">
        <v>1</v>
      </c>
      <c r="AN5801" s="4">
        <v>0</v>
      </c>
      <c r="AO5801" s="4">
        <v>0</v>
      </c>
      <c r="AP5801" s="4">
        <v>0</v>
      </c>
      <c r="AQ5801" s="4">
        <v>0</v>
      </c>
      <c r="AR5801" s="3" t="s">
        <v>62</v>
      </c>
      <c r="AS5801" s="3" t="s">
        <v>62</v>
      </c>
      <c r="AT5801" s="3" t="s">
        <v>62</v>
      </c>
      <c r="AV5801" s="6" t="str">
        <f>HYPERLINK("http://mcgill.on.worldcat.org/oclc/866574360","Catalog Record")</f>
        <v>Catalog Record</v>
      </c>
      <c r="AW5801" s="6" t="str">
        <f>HYPERLINK("http://www.worldcat.org/oclc/866574360","WorldCat Record")</f>
        <v>WorldCat Record</v>
      </c>
      <c r="AX5801" s="3" t="s">
        <v>54768</v>
      </c>
      <c r="AY5801" s="3" t="s">
        <v>54769</v>
      </c>
      <c r="AZ5801" s="3" t="s">
        <v>54770</v>
      </c>
      <c r="BA5801" s="3" t="s">
        <v>54770</v>
      </c>
      <c r="BB5801" s="3" t="s">
        <v>54771</v>
      </c>
      <c r="BC5801" s="3" t="s">
        <v>102</v>
      </c>
      <c r="BD5801" s="3" t="s">
        <v>68</v>
      </c>
      <c r="BE5801" s="3" t="s">
        <v>54772</v>
      </c>
      <c r="BF5801" s="3" t="s">
        <v>54771</v>
      </c>
      <c r="BG5801" s="3" t="s">
        <v>54773</v>
      </c>
    </row>
    <row r="5802" spans="1:59" ht="87" x14ac:dyDescent="0.35">
      <c r="A5802" s="2" t="s">
        <v>89</v>
      </c>
      <c r="B5802" s="2" t="s">
        <v>42560</v>
      </c>
      <c r="C5802" s="2" t="s">
        <v>54774</v>
      </c>
      <c r="D5802" s="2" t="s">
        <v>54775</v>
      </c>
      <c r="E5802" s="2" t="s">
        <v>54776</v>
      </c>
      <c r="G5802" s="3" t="s">
        <v>62</v>
      </c>
      <c r="I5802" s="3" t="s">
        <v>62</v>
      </c>
      <c r="J5802" s="3" t="s">
        <v>62</v>
      </c>
      <c r="K5802" s="3" t="s">
        <v>63</v>
      </c>
      <c r="M5802" s="2" t="s">
        <v>54777</v>
      </c>
      <c r="N5802" s="3" t="s">
        <v>129</v>
      </c>
      <c r="P5802" s="3" t="s">
        <v>85</v>
      </c>
      <c r="Q5802" s="2" t="s">
        <v>54778</v>
      </c>
      <c r="R5802" s="3" t="s">
        <v>42369</v>
      </c>
      <c r="S5802" s="4">
        <v>17</v>
      </c>
      <c r="T5802" s="4">
        <v>17</v>
      </c>
      <c r="U5802" s="5" t="s">
        <v>22243</v>
      </c>
      <c r="V5802" s="5" t="s">
        <v>22243</v>
      </c>
      <c r="W5802" s="5" t="s">
        <v>67</v>
      </c>
      <c r="X5802" s="5" t="s">
        <v>67</v>
      </c>
      <c r="Y5802" s="4">
        <v>176</v>
      </c>
      <c r="Z5802" s="4">
        <v>17</v>
      </c>
      <c r="AA5802" s="4">
        <v>23</v>
      </c>
      <c r="AB5802" s="4">
        <v>1</v>
      </c>
      <c r="AC5802" s="4">
        <v>7</v>
      </c>
      <c r="AD5802" s="4">
        <v>23</v>
      </c>
      <c r="AE5802" s="4">
        <v>27</v>
      </c>
      <c r="AF5802" s="4">
        <v>0</v>
      </c>
      <c r="AG5802" s="4">
        <v>2</v>
      </c>
      <c r="AH5802" s="4">
        <v>23</v>
      </c>
      <c r="AI5802" s="4">
        <v>25</v>
      </c>
      <c r="AJ5802" s="4">
        <v>4</v>
      </c>
      <c r="AK5802" s="4">
        <v>6</v>
      </c>
      <c r="AL5802" s="4">
        <v>11</v>
      </c>
      <c r="AM5802" s="4">
        <v>12</v>
      </c>
      <c r="AN5802" s="4">
        <v>0</v>
      </c>
      <c r="AO5802" s="4">
        <v>0</v>
      </c>
      <c r="AP5802" s="4">
        <v>5</v>
      </c>
      <c r="AQ5802" s="4">
        <v>6</v>
      </c>
      <c r="AR5802" s="3" t="s">
        <v>62</v>
      </c>
      <c r="AS5802" s="3" t="s">
        <v>62</v>
      </c>
      <c r="AT5802" s="3" t="s">
        <v>62</v>
      </c>
      <c r="AV5802" s="6" t="str">
        <f>HYPERLINK("http://mcgill.on.worldcat.org/oclc/826869815","Catalog Record")</f>
        <v>Catalog Record</v>
      </c>
      <c r="AW5802" s="6" t="str">
        <f>HYPERLINK("http://www.worldcat.org/oclc/826869815","WorldCat Record")</f>
        <v>WorldCat Record</v>
      </c>
      <c r="AX5802" s="3" t="s">
        <v>54779</v>
      </c>
      <c r="AY5802" s="3" t="s">
        <v>54780</v>
      </c>
      <c r="AZ5802" s="3" t="s">
        <v>54781</v>
      </c>
      <c r="BA5802" s="3" t="s">
        <v>54781</v>
      </c>
      <c r="BB5802" s="3" t="s">
        <v>54782</v>
      </c>
      <c r="BC5802" s="3" t="s">
        <v>33640</v>
      </c>
      <c r="BD5802" s="3" t="s">
        <v>68</v>
      </c>
      <c r="BF5802" s="3" t="s">
        <v>54782</v>
      </c>
      <c r="BG5802" s="3" t="s">
        <v>54783</v>
      </c>
    </row>
    <row r="5803" spans="1:59" ht="87" x14ac:dyDescent="0.35">
      <c r="A5803" s="2" t="s">
        <v>89</v>
      </c>
      <c r="B5803" s="2" t="s">
        <v>42560</v>
      </c>
      <c r="C5803" s="2" t="s">
        <v>54784</v>
      </c>
      <c r="D5803" s="2" t="s">
        <v>54785</v>
      </c>
      <c r="E5803" s="2" t="s">
        <v>54786</v>
      </c>
      <c r="F5803" s="3" t="s">
        <v>54787</v>
      </c>
      <c r="G5803" s="3" t="s">
        <v>61</v>
      </c>
      <c r="I5803" s="3" t="s">
        <v>62</v>
      </c>
      <c r="J5803" s="3" t="s">
        <v>62</v>
      </c>
      <c r="K5803" s="3" t="s">
        <v>63</v>
      </c>
      <c r="M5803" s="2" t="s">
        <v>54788</v>
      </c>
      <c r="N5803" s="3" t="s">
        <v>129</v>
      </c>
      <c r="P5803" s="3" t="s">
        <v>64</v>
      </c>
      <c r="R5803" s="3" t="s">
        <v>27443</v>
      </c>
      <c r="S5803" s="4">
        <v>6</v>
      </c>
      <c r="T5803" s="4">
        <v>12</v>
      </c>
      <c r="U5803" s="5" t="s">
        <v>383</v>
      </c>
      <c r="V5803" s="5" t="s">
        <v>383</v>
      </c>
      <c r="W5803" s="5" t="s">
        <v>67</v>
      </c>
      <c r="X5803" s="5" t="s">
        <v>67</v>
      </c>
      <c r="Y5803" s="4">
        <v>5</v>
      </c>
      <c r="Z5803" s="4">
        <v>1</v>
      </c>
      <c r="AA5803" s="4">
        <v>45</v>
      </c>
      <c r="AB5803" s="4">
        <v>1</v>
      </c>
      <c r="AC5803" s="4">
        <v>4</v>
      </c>
      <c r="AD5803" s="4">
        <v>0</v>
      </c>
      <c r="AE5803" s="4">
        <v>14</v>
      </c>
      <c r="AF5803" s="4">
        <v>0</v>
      </c>
      <c r="AG5803" s="4">
        <v>0</v>
      </c>
      <c r="AH5803" s="4">
        <v>0</v>
      </c>
      <c r="AI5803" s="4">
        <v>11</v>
      </c>
      <c r="AJ5803" s="4">
        <v>0</v>
      </c>
      <c r="AK5803" s="4">
        <v>6</v>
      </c>
      <c r="AL5803" s="4">
        <v>0</v>
      </c>
      <c r="AM5803" s="4">
        <v>4</v>
      </c>
      <c r="AN5803" s="4">
        <v>0</v>
      </c>
      <c r="AO5803" s="4">
        <v>0</v>
      </c>
      <c r="AP5803" s="4">
        <v>0</v>
      </c>
      <c r="AQ5803" s="4">
        <v>8</v>
      </c>
      <c r="AR5803" s="3" t="s">
        <v>61</v>
      </c>
      <c r="AS5803" s="3" t="s">
        <v>62</v>
      </c>
      <c r="AT5803" s="3" t="s">
        <v>62</v>
      </c>
      <c r="AV5803" s="6" t="str">
        <f>HYPERLINK("http://mcgill.on.worldcat.org/oclc/865767466","Catalog Record")</f>
        <v>Catalog Record</v>
      </c>
      <c r="AW5803" s="6" t="str">
        <f>HYPERLINK("http://www.worldcat.org/oclc/865767466","WorldCat Record")</f>
        <v>WorldCat Record</v>
      </c>
      <c r="AX5803" s="3" t="s">
        <v>54789</v>
      </c>
      <c r="AY5803" s="3" t="s">
        <v>54790</v>
      </c>
      <c r="AZ5803" s="3" t="s">
        <v>54791</v>
      </c>
      <c r="BA5803" s="3" t="s">
        <v>54791</v>
      </c>
      <c r="BB5803" s="3" t="s">
        <v>54792</v>
      </c>
      <c r="BC5803" s="3" t="s">
        <v>54793</v>
      </c>
      <c r="BD5803" s="3" t="s">
        <v>68</v>
      </c>
      <c r="BF5803" s="3" t="s">
        <v>54792</v>
      </c>
      <c r="BG5803" s="3" t="s">
        <v>54794</v>
      </c>
    </row>
    <row r="5804" spans="1:59" ht="87" x14ac:dyDescent="0.35">
      <c r="A5804" s="2" t="s">
        <v>89</v>
      </c>
      <c r="B5804" s="2" t="s">
        <v>42560</v>
      </c>
      <c r="C5804" s="2" t="s">
        <v>54795</v>
      </c>
      <c r="D5804" s="2" t="s">
        <v>54796</v>
      </c>
      <c r="E5804" s="2" t="s">
        <v>54786</v>
      </c>
      <c r="F5804" s="3" t="s">
        <v>54797</v>
      </c>
      <c r="G5804" s="3" t="s">
        <v>61</v>
      </c>
      <c r="I5804" s="3" t="s">
        <v>62</v>
      </c>
      <c r="J5804" s="3" t="s">
        <v>62</v>
      </c>
      <c r="K5804" s="3" t="s">
        <v>63</v>
      </c>
      <c r="M5804" s="2" t="s">
        <v>54788</v>
      </c>
      <c r="N5804" s="3" t="s">
        <v>129</v>
      </c>
      <c r="P5804" s="3" t="s">
        <v>64</v>
      </c>
      <c r="R5804" s="3" t="s">
        <v>27443</v>
      </c>
      <c r="S5804" s="4">
        <v>6</v>
      </c>
      <c r="T5804" s="4">
        <v>12</v>
      </c>
      <c r="U5804" s="5" t="s">
        <v>31582</v>
      </c>
      <c r="V5804" s="5" t="s">
        <v>383</v>
      </c>
      <c r="W5804" s="5" t="s">
        <v>67</v>
      </c>
      <c r="X5804" s="5" t="s">
        <v>67</v>
      </c>
      <c r="Y5804" s="4">
        <v>5</v>
      </c>
      <c r="Z5804" s="4">
        <v>1</v>
      </c>
      <c r="AA5804" s="4">
        <v>45</v>
      </c>
      <c r="AB5804" s="4">
        <v>1</v>
      </c>
      <c r="AC5804" s="4">
        <v>4</v>
      </c>
      <c r="AD5804" s="4">
        <v>0</v>
      </c>
      <c r="AE5804" s="4">
        <v>14</v>
      </c>
      <c r="AF5804" s="4">
        <v>0</v>
      </c>
      <c r="AG5804" s="4">
        <v>0</v>
      </c>
      <c r="AH5804" s="4">
        <v>0</v>
      </c>
      <c r="AI5804" s="4">
        <v>11</v>
      </c>
      <c r="AJ5804" s="4">
        <v>0</v>
      </c>
      <c r="AK5804" s="4">
        <v>6</v>
      </c>
      <c r="AL5804" s="4">
        <v>0</v>
      </c>
      <c r="AM5804" s="4">
        <v>4</v>
      </c>
      <c r="AN5804" s="4">
        <v>0</v>
      </c>
      <c r="AO5804" s="4">
        <v>0</v>
      </c>
      <c r="AP5804" s="4">
        <v>0</v>
      </c>
      <c r="AQ5804" s="4">
        <v>8</v>
      </c>
      <c r="AR5804" s="3" t="s">
        <v>61</v>
      </c>
      <c r="AS5804" s="3" t="s">
        <v>62</v>
      </c>
      <c r="AT5804" s="3" t="s">
        <v>62</v>
      </c>
      <c r="AV5804" s="6" t="str">
        <f>HYPERLINK("http://mcgill.on.worldcat.org/oclc/865767466","Catalog Record")</f>
        <v>Catalog Record</v>
      </c>
      <c r="AW5804" s="6" t="str">
        <f>HYPERLINK("http://www.worldcat.org/oclc/865767466","WorldCat Record")</f>
        <v>WorldCat Record</v>
      </c>
      <c r="AX5804" s="3" t="s">
        <v>54789</v>
      </c>
      <c r="AY5804" s="3" t="s">
        <v>54790</v>
      </c>
      <c r="AZ5804" s="3" t="s">
        <v>54791</v>
      </c>
      <c r="BA5804" s="3" t="s">
        <v>54791</v>
      </c>
      <c r="BB5804" s="3" t="s">
        <v>54798</v>
      </c>
      <c r="BC5804" s="3" t="s">
        <v>54793</v>
      </c>
      <c r="BD5804" s="3" t="s">
        <v>68</v>
      </c>
      <c r="BF5804" s="3" t="s">
        <v>54798</v>
      </c>
      <c r="BG5804" s="3" t="s">
        <v>54799</v>
      </c>
    </row>
    <row r="5805" spans="1:59" ht="87" x14ac:dyDescent="0.35">
      <c r="A5805" s="2" t="s">
        <v>89</v>
      </c>
      <c r="B5805" s="2" t="s">
        <v>42560</v>
      </c>
      <c r="C5805" s="2" t="s">
        <v>54800</v>
      </c>
      <c r="D5805" s="2" t="s">
        <v>54801</v>
      </c>
      <c r="E5805" s="2" t="s">
        <v>54802</v>
      </c>
      <c r="G5805" s="3" t="s">
        <v>62</v>
      </c>
      <c r="I5805" s="3" t="s">
        <v>61</v>
      </c>
      <c r="J5805" s="3" t="s">
        <v>62</v>
      </c>
      <c r="K5805" s="3" t="s">
        <v>63</v>
      </c>
      <c r="M5805" s="2" t="s">
        <v>54803</v>
      </c>
      <c r="N5805" s="3" t="s">
        <v>129</v>
      </c>
      <c r="P5805" s="3" t="s">
        <v>64</v>
      </c>
      <c r="R5805" s="3" t="s">
        <v>27443</v>
      </c>
      <c r="S5805" s="4">
        <v>8</v>
      </c>
      <c r="T5805" s="4">
        <v>17</v>
      </c>
      <c r="U5805" s="5" t="s">
        <v>22999</v>
      </c>
      <c r="V5805" s="5" t="s">
        <v>411</v>
      </c>
      <c r="W5805" s="5" t="s">
        <v>67</v>
      </c>
      <c r="X5805" s="5" t="s">
        <v>67</v>
      </c>
      <c r="Y5805" s="4">
        <v>385</v>
      </c>
      <c r="Z5805" s="4">
        <v>18</v>
      </c>
      <c r="AA5805" s="4">
        <v>34</v>
      </c>
      <c r="AB5805" s="4">
        <v>1</v>
      </c>
      <c r="AC5805" s="4">
        <v>2</v>
      </c>
      <c r="AD5805" s="4">
        <v>28</v>
      </c>
      <c r="AE5805" s="4">
        <v>48</v>
      </c>
      <c r="AF5805" s="4">
        <v>0</v>
      </c>
      <c r="AG5805" s="4">
        <v>0</v>
      </c>
      <c r="AH5805" s="4">
        <v>25</v>
      </c>
      <c r="AI5805" s="4">
        <v>38</v>
      </c>
      <c r="AJ5805" s="4">
        <v>3</v>
      </c>
      <c r="AK5805" s="4">
        <v>8</v>
      </c>
      <c r="AL5805" s="4">
        <v>15</v>
      </c>
      <c r="AM5805" s="4">
        <v>23</v>
      </c>
      <c r="AN5805" s="4">
        <v>0</v>
      </c>
      <c r="AO5805" s="4">
        <v>0</v>
      </c>
      <c r="AP5805" s="4">
        <v>6</v>
      </c>
      <c r="AQ5805" s="4">
        <v>15</v>
      </c>
      <c r="AR5805" s="3" t="s">
        <v>62</v>
      </c>
      <c r="AS5805" s="3" t="s">
        <v>62</v>
      </c>
      <c r="AT5805" s="3" t="s">
        <v>62</v>
      </c>
      <c r="AV5805" s="6" t="str">
        <f>HYPERLINK("http://mcgill.on.worldcat.org/oclc/857859265","Catalog Record")</f>
        <v>Catalog Record</v>
      </c>
      <c r="AW5805" s="6" t="str">
        <f>HYPERLINK("http://www.worldcat.org/oclc/857859265","WorldCat Record")</f>
        <v>WorldCat Record</v>
      </c>
      <c r="AX5805" s="3" t="s">
        <v>54804</v>
      </c>
      <c r="AY5805" s="3" t="s">
        <v>54805</v>
      </c>
      <c r="AZ5805" s="3" t="s">
        <v>54806</v>
      </c>
      <c r="BA5805" s="3" t="s">
        <v>54806</v>
      </c>
      <c r="BB5805" s="3" t="s">
        <v>54807</v>
      </c>
      <c r="BC5805" s="3" t="s">
        <v>33640</v>
      </c>
      <c r="BD5805" s="3" t="s">
        <v>231</v>
      </c>
      <c r="BE5805" s="3" t="s">
        <v>54808</v>
      </c>
      <c r="BF5805" s="3" t="s">
        <v>54807</v>
      </c>
      <c r="BG5805" s="3" t="s">
        <v>54809</v>
      </c>
    </row>
    <row r="5806" spans="1:59" ht="87" x14ac:dyDescent="0.35">
      <c r="A5806" s="2" t="s">
        <v>89</v>
      </c>
      <c r="B5806" s="2" t="s">
        <v>42560</v>
      </c>
      <c r="C5806" s="2" t="s">
        <v>54800</v>
      </c>
      <c r="D5806" s="2" t="s">
        <v>54801</v>
      </c>
      <c r="E5806" s="2" t="s">
        <v>54802</v>
      </c>
      <c r="G5806" s="3" t="s">
        <v>62</v>
      </c>
      <c r="I5806" s="3" t="s">
        <v>61</v>
      </c>
      <c r="J5806" s="3" t="s">
        <v>62</v>
      </c>
      <c r="K5806" s="3" t="s">
        <v>63</v>
      </c>
      <c r="M5806" s="2" t="s">
        <v>54803</v>
      </c>
      <c r="N5806" s="3" t="s">
        <v>129</v>
      </c>
      <c r="P5806" s="3" t="s">
        <v>64</v>
      </c>
      <c r="R5806" s="3" t="s">
        <v>27443</v>
      </c>
      <c r="S5806" s="4">
        <v>9</v>
      </c>
      <c r="T5806" s="4">
        <v>17</v>
      </c>
      <c r="U5806" s="5" t="s">
        <v>411</v>
      </c>
      <c r="V5806" s="5" t="s">
        <v>411</v>
      </c>
      <c r="W5806" s="5" t="s">
        <v>67</v>
      </c>
      <c r="X5806" s="5" t="s">
        <v>67</v>
      </c>
      <c r="Y5806" s="4">
        <v>385</v>
      </c>
      <c r="Z5806" s="4">
        <v>18</v>
      </c>
      <c r="AA5806" s="4">
        <v>34</v>
      </c>
      <c r="AB5806" s="4">
        <v>1</v>
      </c>
      <c r="AC5806" s="4">
        <v>2</v>
      </c>
      <c r="AD5806" s="4">
        <v>28</v>
      </c>
      <c r="AE5806" s="4">
        <v>48</v>
      </c>
      <c r="AF5806" s="4">
        <v>0</v>
      </c>
      <c r="AG5806" s="4">
        <v>0</v>
      </c>
      <c r="AH5806" s="4">
        <v>25</v>
      </c>
      <c r="AI5806" s="4">
        <v>38</v>
      </c>
      <c r="AJ5806" s="4">
        <v>3</v>
      </c>
      <c r="AK5806" s="4">
        <v>8</v>
      </c>
      <c r="AL5806" s="4">
        <v>15</v>
      </c>
      <c r="AM5806" s="4">
        <v>23</v>
      </c>
      <c r="AN5806" s="4">
        <v>0</v>
      </c>
      <c r="AO5806" s="4">
        <v>0</v>
      </c>
      <c r="AP5806" s="4">
        <v>6</v>
      </c>
      <c r="AQ5806" s="4">
        <v>15</v>
      </c>
      <c r="AR5806" s="3" t="s">
        <v>62</v>
      </c>
      <c r="AS5806" s="3" t="s">
        <v>62</v>
      </c>
      <c r="AT5806" s="3" t="s">
        <v>62</v>
      </c>
      <c r="AV5806" s="6" t="str">
        <f>HYPERLINK("http://mcgill.on.worldcat.org/oclc/857859265","Catalog Record")</f>
        <v>Catalog Record</v>
      </c>
      <c r="AW5806" s="6" t="str">
        <f>HYPERLINK("http://www.worldcat.org/oclc/857859265","WorldCat Record")</f>
        <v>WorldCat Record</v>
      </c>
      <c r="AX5806" s="3" t="s">
        <v>54804</v>
      </c>
      <c r="AY5806" s="3" t="s">
        <v>54805</v>
      </c>
      <c r="AZ5806" s="3" t="s">
        <v>54806</v>
      </c>
      <c r="BA5806" s="3" t="s">
        <v>54806</v>
      </c>
      <c r="BB5806" s="3" t="s">
        <v>54810</v>
      </c>
      <c r="BC5806" s="3" t="s">
        <v>33640</v>
      </c>
      <c r="BD5806" s="3" t="s">
        <v>68</v>
      </c>
      <c r="BE5806" s="3" t="s">
        <v>54808</v>
      </c>
      <c r="BF5806" s="3" t="s">
        <v>54810</v>
      </c>
      <c r="BG5806" s="3" t="s">
        <v>54811</v>
      </c>
    </row>
    <row r="5807" spans="1:59" ht="101.5" x14ac:dyDescent="0.35">
      <c r="A5807" s="2" t="s">
        <v>89</v>
      </c>
      <c r="B5807" s="2" t="s">
        <v>42560</v>
      </c>
      <c r="C5807" s="2" t="s">
        <v>54812</v>
      </c>
      <c r="D5807" s="2" t="s">
        <v>54813</v>
      </c>
      <c r="E5807" s="2" t="s">
        <v>54814</v>
      </c>
      <c r="F5807" s="3" t="s">
        <v>54787</v>
      </c>
      <c r="G5807" s="3" t="s">
        <v>61</v>
      </c>
      <c r="I5807" s="3" t="s">
        <v>62</v>
      </c>
      <c r="J5807" s="3" t="s">
        <v>62</v>
      </c>
      <c r="K5807" s="3" t="s">
        <v>63</v>
      </c>
      <c r="M5807" s="2" t="s">
        <v>54815</v>
      </c>
      <c r="N5807" s="3" t="s">
        <v>698</v>
      </c>
      <c r="O5807" s="2" t="s">
        <v>54816</v>
      </c>
      <c r="P5807" s="3" t="s">
        <v>64</v>
      </c>
      <c r="Q5807" s="2" t="s">
        <v>54817</v>
      </c>
      <c r="R5807" s="3" t="s">
        <v>42369</v>
      </c>
      <c r="S5807" s="4">
        <v>6</v>
      </c>
      <c r="T5807" s="4">
        <v>11</v>
      </c>
      <c r="U5807" s="5" t="s">
        <v>54818</v>
      </c>
      <c r="V5807" s="5" t="s">
        <v>54818</v>
      </c>
      <c r="W5807" s="5" t="s">
        <v>67</v>
      </c>
      <c r="X5807" s="5" t="s">
        <v>67</v>
      </c>
      <c r="Y5807" s="4">
        <v>66</v>
      </c>
      <c r="Z5807" s="4">
        <v>6</v>
      </c>
      <c r="AA5807" s="4">
        <v>44</v>
      </c>
      <c r="AB5807" s="4">
        <v>1</v>
      </c>
      <c r="AC5807" s="4">
        <v>2</v>
      </c>
      <c r="AD5807" s="4">
        <v>8</v>
      </c>
      <c r="AE5807" s="4">
        <v>25</v>
      </c>
      <c r="AF5807" s="4">
        <v>0</v>
      </c>
      <c r="AG5807" s="4">
        <v>0</v>
      </c>
      <c r="AH5807" s="4">
        <v>6</v>
      </c>
      <c r="AI5807" s="4">
        <v>23</v>
      </c>
      <c r="AJ5807" s="4">
        <v>0</v>
      </c>
      <c r="AK5807" s="4">
        <v>1</v>
      </c>
      <c r="AL5807" s="4">
        <v>5</v>
      </c>
      <c r="AM5807" s="4">
        <v>13</v>
      </c>
      <c r="AN5807" s="4">
        <v>0</v>
      </c>
      <c r="AO5807" s="4">
        <v>0</v>
      </c>
      <c r="AP5807" s="4">
        <v>0</v>
      </c>
      <c r="AQ5807" s="4">
        <v>1</v>
      </c>
      <c r="AR5807" s="3" t="s">
        <v>62</v>
      </c>
      <c r="AS5807" s="3" t="s">
        <v>62</v>
      </c>
      <c r="AT5807" s="3" t="s">
        <v>62</v>
      </c>
      <c r="AV5807" s="6" t="str">
        <f>HYPERLINK("http://mcgill.on.worldcat.org/oclc/810089197","Catalog Record")</f>
        <v>Catalog Record</v>
      </c>
      <c r="AW5807" s="6" t="str">
        <f>HYPERLINK("http://www.worldcat.org/oclc/810089197","WorldCat Record")</f>
        <v>WorldCat Record</v>
      </c>
      <c r="AX5807" s="3" t="s">
        <v>54819</v>
      </c>
      <c r="AY5807" s="3" t="s">
        <v>54820</v>
      </c>
      <c r="AZ5807" s="3" t="s">
        <v>54821</v>
      </c>
      <c r="BA5807" s="3" t="s">
        <v>54821</v>
      </c>
      <c r="BB5807" s="3" t="s">
        <v>54822</v>
      </c>
      <c r="BC5807" s="3" t="s">
        <v>54793</v>
      </c>
      <c r="BD5807" s="3" t="s">
        <v>68</v>
      </c>
      <c r="BF5807" s="3" t="s">
        <v>54822</v>
      </c>
      <c r="BG5807" s="3" t="s">
        <v>54823</v>
      </c>
    </row>
    <row r="5808" spans="1:59" ht="101.5" x14ac:dyDescent="0.35">
      <c r="A5808" s="2" t="s">
        <v>89</v>
      </c>
      <c r="B5808" s="2" t="s">
        <v>42560</v>
      </c>
      <c r="C5808" s="2" t="s">
        <v>54824</v>
      </c>
      <c r="D5808" s="2" t="s">
        <v>54825</v>
      </c>
      <c r="E5808" s="2" t="s">
        <v>54814</v>
      </c>
      <c r="F5808" s="3" t="s">
        <v>54797</v>
      </c>
      <c r="G5808" s="3" t="s">
        <v>61</v>
      </c>
      <c r="I5808" s="3" t="s">
        <v>62</v>
      </c>
      <c r="J5808" s="3" t="s">
        <v>62</v>
      </c>
      <c r="K5808" s="3" t="s">
        <v>63</v>
      </c>
      <c r="M5808" s="2" t="s">
        <v>54815</v>
      </c>
      <c r="N5808" s="3" t="s">
        <v>698</v>
      </c>
      <c r="O5808" s="2" t="s">
        <v>54816</v>
      </c>
      <c r="P5808" s="3" t="s">
        <v>64</v>
      </c>
      <c r="Q5808" s="2" t="s">
        <v>54817</v>
      </c>
      <c r="R5808" s="3" t="s">
        <v>42369</v>
      </c>
      <c r="S5808" s="4">
        <v>5</v>
      </c>
      <c r="T5808" s="4">
        <v>11</v>
      </c>
      <c r="U5808" s="5" t="s">
        <v>54826</v>
      </c>
      <c r="V5808" s="5" t="s">
        <v>54818</v>
      </c>
      <c r="W5808" s="5" t="s">
        <v>67</v>
      </c>
      <c r="X5808" s="5" t="s">
        <v>67</v>
      </c>
      <c r="Y5808" s="4">
        <v>66</v>
      </c>
      <c r="Z5808" s="4">
        <v>6</v>
      </c>
      <c r="AA5808" s="4">
        <v>44</v>
      </c>
      <c r="AB5808" s="4">
        <v>1</v>
      </c>
      <c r="AC5808" s="4">
        <v>2</v>
      </c>
      <c r="AD5808" s="4">
        <v>8</v>
      </c>
      <c r="AE5808" s="4">
        <v>25</v>
      </c>
      <c r="AF5808" s="4">
        <v>0</v>
      </c>
      <c r="AG5808" s="4">
        <v>0</v>
      </c>
      <c r="AH5808" s="4">
        <v>6</v>
      </c>
      <c r="AI5808" s="4">
        <v>23</v>
      </c>
      <c r="AJ5808" s="4">
        <v>0</v>
      </c>
      <c r="AK5808" s="4">
        <v>1</v>
      </c>
      <c r="AL5808" s="4">
        <v>5</v>
      </c>
      <c r="AM5808" s="4">
        <v>13</v>
      </c>
      <c r="AN5808" s="4">
        <v>0</v>
      </c>
      <c r="AO5808" s="4">
        <v>0</v>
      </c>
      <c r="AP5808" s="4">
        <v>0</v>
      </c>
      <c r="AQ5808" s="4">
        <v>1</v>
      </c>
      <c r="AR5808" s="3" t="s">
        <v>62</v>
      </c>
      <c r="AS5808" s="3" t="s">
        <v>62</v>
      </c>
      <c r="AT5808" s="3" t="s">
        <v>62</v>
      </c>
      <c r="AV5808" s="6" t="str">
        <f>HYPERLINK("http://mcgill.on.worldcat.org/oclc/810089197","Catalog Record")</f>
        <v>Catalog Record</v>
      </c>
      <c r="AW5808" s="6" t="str">
        <f>HYPERLINK("http://www.worldcat.org/oclc/810089197","WorldCat Record")</f>
        <v>WorldCat Record</v>
      </c>
      <c r="AX5808" s="3" t="s">
        <v>54819</v>
      </c>
      <c r="AY5808" s="3" t="s">
        <v>54820</v>
      </c>
      <c r="AZ5808" s="3" t="s">
        <v>54821</v>
      </c>
      <c r="BA5808" s="3" t="s">
        <v>54821</v>
      </c>
      <c r="BB5808" s="3" t="s">
        <v>54827</v>
      </c>
      <c r="BC5808" s="3" t="s">
        <v>54793</v>
      </c>
      <c r="BD5808" s="3" t="s">
        <v>68</v>
      </c>
      <c r="BF5808" s="3" t="s">
        <v>54827</v>
      </c>
      <c r="BG5808" s="3" t="s">
        <v>54828</v>
      </c>
    </row>
    <row r="5809" spans="1:59" ht="87" x14ac:dyDescent="0.35">
      <c r="A5809" s="2" t="s">
        <v>89</v>
      </c>
      <c r="B5809" s="2" t="s">
        <v>42560</v>
      </c>
      <c r="C5809" s="2" t="s">
        <v>54829</v>
      </c>
      <c r="D5809" s="2" t="s">
        <v>54830</v>
      </c>
      <c r="E5809" s="2" t="s">
        <v>54831</v>
      </c>
      <c r="G5809" s="3" t="s">
        <v>62</v>
      </c>
      <c r="I5809" s="3" t="s">
        <v>62</v>
      </c>
      <c r="J5809" s="3" t="s">
        <v>62</v>
      </c>
      <c r="K5809" s="3" t="s">
        <v>63</v>
      </c>
      <c r="M5809" s="2" t="s">
        <v>54832</v>
      </c>
      <c r="N5809" s="3" t="s">
        <v>698</v>
      </c>
      <c r="P5809" s="3" t="s">
        <v>64</v>
      </c>
      <c r="R5809" s="3" t="s">
        <v>32962</v>
      </c>
      <c r="S5809" s="4">
        <v>7</v>
      </c>
      <c r="T5809" s="4">
        <v>7</v>
      </c>
      <c r="U5809" s="5" t="s">
        <v>7326</v>
      </c>
      <c r="V5809" s="5" t="s">
        <v>7326</v>
      </c>
      <c r="W5809" s="5" t="s">
        <v>67</v>
      </c>
      <c r="X5809" s="5" t="s">
        <v>67</v>
      </c>
      <c r="Y5809" s="4">
        <v>21</v>
      </c>
      <c r="Z5809" s="4">
        <v>2</v>
      </c>
      <c r="AA5809" s="4">
        <v>18</v>
      </c>
      <c r="AB5809" s="4">
        <v>1</v>
      </c>
      <c r="AC5809" s="4">
        <v>1</v>
      </c>
      <c r="AD5809" s="4">
        <v>2</v>
      </c>
      <c r="AE5809" s="4">
        <v>12</v>
      </c>
      <c r="AF5809" s="4">
        <v>0</v>
      </c>
      <c r="AG5809" s="4">
        <v>0</v>
      </c>
      <c r="AH5809" s="4">
        <v>2</v>
      </c>
      <c r="AI5809" s="4">
        <v>4</v>
      </c>
      <c r="AJ5809" s="4">
        <v>1</v>
      </c>
      <c r="AK5809" s="4">
        <v>5</v>
      </c>
      <c r="AL5809" s="4">
        <v>0</v>
      </c>
      <c r="AM5809" s="4">
        <v>0</v>
      </c>
      <c r="AN5809" s="4">
        <v>0</v>
      </c>
      <c r="AO5809" s="4">
        <v>0</v>
      </c>
      <c r="AP5809" s="4">
        <v>1</v>
      </c>
      <c r="AQ5809" s="4">
        <v>11</v>
      </c>
      <c r="AR5809" s="3" t="s">
        <v>62</v>
      </c>
      <c r="AS5809" s="3" t="s">
        <v>62</v>
      </c>
      <c r="AT5809" s="3" t="s">
        <v>62</v>
      </c>
      <c r="AV5809" s="6" t="str">
        <f>HYPERLINK("http://mcgill.on.worldcat.org/oclc/833460058","Catalog Record")</f>
        <v>Catalog Record</v>
      </c>
      <c r="AW5809" s="6" t="str">
        <f>HYPERLINK("http://www.worldcat.org/oclc/833460058","WorldCat Record")</f>
        <v>WorldCat Record</v>
      </c>
      <c r="AX5809" s="3" t="s">
        <v>54833</v>
      </c>
      <c r="AY5809" s="3" t="s">
        <v>54834</v>
      </c>
      <c r="AZ5809" s="3" t="s">
        <v>54835</v>
      </c>
      <c r="BA5809" s="3" t="s">
        <v>54835</v>
      </c>
      <c r="BB5809" s="3" t="s">
        <v>54836</v>
      </c>
      <c r="BC5809" s="3" t="s">
        <v>33640</v>
      </c>
      <c r="BD5809" s="3" t="s">
        <v>231</v>
      </c>
      <c r="BE5809" s="3" t="s">
        <v>54837</v>
      </c>
      <c r="BF5809" s="3" t="s">
        <v>54836</v>
      </c>
      <c r="BG5809" s="3" t="s">
        <v>54838</v>
      </c>
    </row>
    <row r="5810" spans="1:59" ht="87" x14ac:dyDescent="0.35">
      <c r="A5810" s="2" t="s">
        <v>89</v>
      </c>
      <c r="B5810" s="2" t="s">
        <v>42560</v>
      </c>
      <c r="C5810" s="2" t="s">
        <v>54839</v>
      </c>
      <c r="D5810" s="2" t="s">
        <v>54840</v>
      </c>
      <c r="E5810" s="2" t="s">
        <v>54841</v>
      </c>
      <c r="G5810" s="3" t="s">
        <v>62</v>
      </c>
      <c r="I5810" s="3" t="s">
        <v>62</v>
      </c>
      <c r="J5810" s="3" t="s">
        <v>62</v>
      </c>
      <c r="K5810" s="3" t="s">
        <v>63</v>
      </c>
      <c r="M5810" s="2" t="s">
        <v>54842</v>
      </c>
      <c r="N5810" s="3" t="s">
        <v>129</v>
      </c>
      <c r="P5810" s="3" t="s">
        <v>64</v>
      </c>
      <c r="R5810" s="3" t="s">
        <v>42369</v>
      </c>
      <c r="S5810" s="4">
        <v>2</v>
      </c>
      <c r="T5810" s="4">
        <v>2</v>
      </c>
      <c r="U5810" s="5" t="s">
        <v>21348</v>
      </c>
      <c r="V5810" s="5" t="s">
        <v>21348</v>
      </c>
      <c r="W5810" s="5" t="s">
        <v>67</v>
      </c>
      <c r="X5810" s="5" t="s">
        <v>67</v>
      </c>
      <c r="Y5810" s="4">
        <v>2</v>
      </c>
      <c r="Z5810" s="4">
        <v>1</v>
      </c>
      <c r="AA5810" s="4">
        <v>17</v>
      </c>
      <c r="AB5810" s="4">
        <v>1</v>
      </c>
      <c r="AC5810" s="4">
        <v>1</v>
      </c>
      <c r="AD5810" s="4">
        <v>0</v>
      </c>
      <c r="AE5810" s="4">
        <v>29</v>
      </c>
      <c r="AF5810" s="4">
        <v>0</v>
      </c>
      <c r="AG5810" s="4">
        <v>0</v>
      </c>
      <c r="AH5810" s="4">
        <v>0</v>
      </c>
      <c r="AI5810" s="4">
        <v>23</v>
      </c>
      <c r="AJ5810" s="4">
        <v>0</v>
      </c>
      <c r="AK5810" s="4">
        <v>3</v>
      </c>
      <c r="AL5810" s="4">
        <v>0</v>
      </c>
      <c r="AM5810" s="4">
        <v>12</v>
      </c>
      <c r="AN5810" s="4">
        <v>0</v>
      </c>
      <c r="AO5810" s="4">
        <v>0</v>
      </c>
      <c r="AP5810" s="4">
        <v>0</v>
      </c>
      <c r="AQ5810" s="4">
        <v>8</v>
      </c>
      <c r="AR5810" s="3" t="s">
        <v>61</v>
      </c>
      <c r="AS5810" s="3" t="s">
        <v>62</v>
      </c>
      <c r="AT5810" s="3" t="s">
        <v>62</v>
      </c>
      <c r="AV5810" s="6" t="str">
        <f>HYPERLINK("http://mcgill.on.worldcat.org/oclc/875301552","Catalog Record")</f>
        <v>Catalog Record</v>
      </c>
      <c r="AW5810" s="6" t="str">
        <f>HYPERLINK("http://www.worldcat.org/oclc/875301552","WorldCat Record")</f>
        <v>WorldCat Record</v>
      </c>
      <c r="AX5810" s="3" t="s">
        <v>54843</v>
      </c>
      <c r="AY5810" s="3" t="s">
        <v>54844</v>
      </c>
      <c r="AZ5810" s="3" t="s">
        <v>54845</v>
      </c>
      <c r="BA5810" s="3" t="s">
        <v>54845</v>
      </c>
      <c r="BB5810" s="3" t="s">
        <v>54846</v>
      </c>
      <c r="BC5810" s="3" t="s">
        <v>33640</v>
      </c>
      <c r="BD5810" s="3" t="s">
        <v>68</v>
      </c>
      <c r="BF5810" s="3" t="s">
        <v>54846</v>
      </c>
      <c r="BG5810" s="3" t="s">
        <v>54847</v>
      </c>
    </row>
    <row r="5811" spans="1:59" ht="87" x14ac:dyDescent="0.35">
      <c r="A5811" s="2" t="s">
        <v>89</v>
      </c>
      <c r="B5811" s="2" t="s">
        <v>42560</v>
      </c>
      <c r="C5811" s="2" t="s">
        <v>54848</v>
      </c>
      <c r="D5811" s="2" t="s">
        <v>54849</v>
      </c>
      <c r="E5811" s="2" t="s">
        <v>54850</v>
      </c>
      <c r="F5811" s="3" t="s">
        <v>54851</v>
      </c>
      <c r="G5811" s="3" t="s">
        <v>61</v>
      </c>
      <c r="I5811" s="3" t="s">
        <v>62</v>
      </c>
      <c r="J5811" s="3" t="s">
        <v>62</v>
      </c>
      <c r="K5811" s="3" t="s">
        <v>63</v>
      </c>
      <c r="L5811" s="2" t="s">
        <v>54852</v>
      </c>
      <c r="M5811" s="2" t="s">
        <v>54853</v>
      </c>
      <c r="N5811" s="3" t="s">
        <v>2985</v>
      </c>
      <c r="P5811" s="3" t="s">
        <v>64</v>
      </c>
      <c r="R5811" s="3" t="s">
        <v>65</v>
      </c>
      <c r="S5811" s="4">
        <v>9</v>
      </c>
      <c r="T5811" s="4">
        <v>48</v>
      </c>
      <c r="U5811" s="5" t="s">
        <v>23581</v>
      </c>
      <c r="V5811" s="5" t="s">
        <v>23581</v>
      </c>
      <c r="W5811" s="5" t="s">
        <v>67</v>
      </c>
      <c r="X5811" s="5" t="s">
        <v>67</v>
      </c>
      <c r="Y5811" s="4">
        <v>339</v>
      </c>
      <c r="Z5811" s="4">
        <v>16</v>
      </c>
      <c r="AA5811" s="4">
        <v>16</v>
      </c>
      <c r="AB5811" s="4">
        <v>2</v>
      </c>
      <c r="AC5811" s="4">
        <v>2</v>
      </c>
      <c r="AD5811" s="4">
        <v>50</v>
      </c>
      <c r="AE5811" s="4">
        <v>50</v>
      </c>
      <c r="AF5811" s="4">
        <v>1</v>
      </c>
      <c r="AG5811" s="4">
        <v>1</v>
      </c>
      <c r="AH5811" s="4">
        <v>43</v>
      </c>
      <c r="AI5811" s="4">
        <v>43</v>
      </c>
      <c r="AJ5811" s="4">
        <v>11</v>
      </c>
      <c r="AK5811" s="4">
        <v>11</v>
      </c>
      <c r="AL5811" s="4">
        <v>20</v>
      </c>
      <c r="AM5811" s="4">
        <v>20</v>
      </c>
      <c r="AN5811" s="4">
        <v>0</v>
      </c>
      <c r="AO5811" s="4">
        <v>0</v>
      </c>
      <c r="AP5811" s="4">
        <v>14</v>
      </c>
      <c r="AQ5811" s="4">
        <v>14</v>
      </c>
      <c r="AR5811" s="3" t="s">
        <v>62</v>
      </c>
      <c r="AS5811" s="3" t="s">
        <v>62</v>
      </c>
      <c r="AT5811" s="3" t="s">
        <v>62</v>
      </c>
      <c r="AV5811" s="6" t="str">
        <f>HYPERLINK("http://mcgill.on.worldcat.org/oclc/316604487","Catalog Record")</f>
        <v>Catalog Record</v>
      </c>
      <c r="AW5811" s="6" t="str">
        <f>HYPERLINK("http://www.worldcat.org/oclc/316604487","WorldCat Record")</f>
        <v>WorldCat Record</v>
      </c>
      <c r="AX5811" s="3" t="s">
        <v>54854</v>
      </c>
      <c r="AY5811" s="3" t="s">
        <v>54855</v>
      </c>
      <c r="AZ5811" s="3" t="s">
        <v>54856</v>
      </c>
      <c r="BA5811" s="3" t="s">
        <v>54856</v>
      </c>
      <c r="BB5811" s="3" t="s">
        <v>54857</v>
      </c>
      <c r="BC5811" s="3" t="s">
        <v>33640</v>
      </c>
      <c r="BD5811" s="3" t="s">
        <v>68</v>
      </c>
      <c r="BF5811" s="3" t="s">
        <v>54857</v>
      </c>
      <c r="BG5811" s="3" t="s">
        <v>54858</v>
      </c>
    </row>
    <row r="5812" spans="1:59" ht="87" x14ac:dyDescent="0.35">
      <c r="A5812" s="2" t="s">
        <v>89</v>
      </c>
      <c r="B5812" s="2" t="s">
        <v>42560</v>
      </c>
      <c r="C5812" s="2" t="s">
        <v>54848</v>
      </c>
      <c r="D5812" s="2" t="s">
        <v>54849</v>
      </c>
      <c r="E5812" s="2" t="s">
        <v>54850</v>
      </c>
      <c r="F5812" s="3" t="s">
        <v>54859</v>
      </c>
      <c r="G5812" s="3" t="s">
        <v>61</v>
      </c>
      <c r="I5812" s="3" t="s">
        <v>62</v>
      </c>
      <c r="J5812" s="3" t="s">
        <v>62</v>
      </c>
      <c r="K5812" s="3" t="s">
        <v>63</v>
      </c>
      <c r="L5812" s="2" t="s">
        <v>54852</v>
      </c>
      <c r="M5812" s="2" t="s">
        <v>54853</v>
      </c>
      <c r="N5812" s="3" t="s">
        <v>2985</v>
      </c>
      <c r="P5812" s="3" t="s">
        <v>64</v>
      </c>
      <c r="R5812" s="3" t="s">
        <v>65</v>
      </c>
      <c r="S5812" s="4">
        <v>10</v>
      </c>
      <c r="T5812" s="4">
        <v>48</v>
      </c>
      <c r="U5812" s="5" t="s">
        <v>23581</v>
      </c>
      <c r="V5812" s="5" t="s">
        <v>23581</v>
      </c>
      <c r="W5812" s="5" t="s">
        <v>67</v>
      </c>
      <c r="X5812" s="5" t="s">
        <v>67</v>
      </c>
      <c r="Y5812" s="4">
        <v>339</v>
      </c>
      <c r="Z5812" s="4">
        <v>16</v>
      </c>
      <c r="AA5812" s="4">
        <v>16</v>
      </c>
      <c r="AB5812" s="4">
        <v>2</v>
      </c>
      <c r="AC5812" s="4">
        <v>2</v>
      </c>
      <c r="AD5812" s="4">
        <v>50</v>
      </c>
      <c r="AE5812" s="4">
        <v>50</v>
      </c>
      <c r="AF5812" s="4">
        <v>1</v>
      </c>
      <c r="AG5812" s="4">
        <v>1</v>
      </c>
      <c r="AH5812" s="4">
        <v>43</v>
      </c>
      <c r="AI5812" s="4">
        <v>43</v>
      </c>
      <c r="AJ5812" s="4">
        <v>11</v>
      </c>
      <c r="AK5812" s="4">
        <v>11</v>
      </c>
      <c r="AL5812" s="4">
        <v>20</v>
      </c>
      <c r="AM5812" s="4">
        <v>20</v>
      </c>
      <c r="AN5812" s="4">
        <v>0</v>
      </c>
      <c r="AO5812" s="4">
        <v>0</v>
      </c>
      <c r="AP5812" s="4">
        <v>14</v>
      </c>
      <c r="AQ5812" s="4">
        <v>14</v>
      </c>
      <c r="AR5812" s="3" t="s">
        <v>62</v>
      </c>
      <c r="AS5812" s="3" t="s">
        <v>62</v>
      </c>
      <c r="AT5812" s="3" t="s">
        <v>62</v>
      </c>
      <c r="AV5812" s="6" t="str">
        <f>HYPERLINK("http://mcgill.on.worldcat.org/oclc/316604487","Catalog Record")</f>
        <v>Catalog Record</v>
      </c>
      <c r="AW5812" s="6" t="str">
        <f>HYPERLINK("http://www.worldcat.org/oclc/316604487","WorldCat Record")</f>
        <v>WorldCat Record</v>
      </c>
      <c r="AX5812" s="3" t="s">
        <v>54854</v>
      </c>
      <c r="AY5812" s="3" t="s">
        <v>54855</v>
      </c>
      <c r="AZ5812" s="3" t="s">
        <v>54856</v>
      </c>
      <c r="BA5812" s="3" t="s">
        <v>54856</v>
      </c>
      <c r="BB5812" s="3" t="s">
        <v>54860</v>
      </c>
      <c r="BC5812" s="3" t="s">
        <v>33640</v>
      </c>
      <c r="BD5812" s="3" t="s">
        <v>68</v>
      </c>
      <c r="BF5812" s="3" t="s">
        <v>54860</v>
      </c>
      <c r="BG5812" s="3" t="s">
        <v>54861</v>
      </c>
    </row>
    <row r="5813" spans="1:59" ht="87" x14ac:dyDescent="0.35">
      <c r="A5813" s="2" t="s">
        <v>89</v>
      </c>
      <c r="B5813" s="2" t="s">
        <v>42560</v>
      </c>
      <c r="C5813" s="2" t="s">
        <v>54848</v>
      </c>
      <c r="D5813" s="2" t="s">
        <v>54849</v>
      </c>
      <c r="E5813" s="2" t="s">
        <v>54850</v>
      </c>
      <c r="F5813" s="3" t="s">
        <v>54862</v>
      </c>
      <c r="G5813" s="3" t="s">
        <v>61</v>
      </c>
      <c r="I5813" s="3" t="s">
        <v>62</v>
      </c>
      <c r="J5813" s="3" t="s">
        <v>62</v>
      </c>
      <c r="K5813" s="3" t="s">
        <v>63</v>
      </c>
      <c r="L5813" s="2" t="s">
        <v>54852</v>
      </c>
      <c r="M5813" s="2" t="s">
        <v>54853</v>
      </c>
      <c r="N5813" s="3" t="s">
        <v>2985</v>
      </c>
      <c r="P5813" s="3" t="s">
        <v>64</v>
      </c>
      <c r="R5813" s="3" t="s">
        <v>65</v>
      </c>
      <c r="S5813" s="4">
        <v>10</v>
      </c>
      <c r="T5813" s="4">
        <v>48</v>
      </c>
      <c r="U5813" s="5" t="s">
        <v>23581</v>
      </c>
      <c r="V5813" s="5" t="s">
        <v>23581</v>
      </c>
      <c r="W5813" s="5" t="s">
        <v>67</v>
      </c>
      <c r="X5813" s="5" t="s">
        <v>67</v>
      </c>
      <c r="Y5813" s="4">
        <v>339</v>
      </c>
      <c r="Z5813" s="4">
        <v>16</v>
      </c>
      <c r="AA5813" s="4">
        <v>16</v>
      </c>
      <c r="AB5813" s="4">
        <v>2</v>
      </c>
      <c r="AC5813" s="4">
        <v>2</v>
      </c>
      <c r="AD5813" s="4">
        <v>50</v>
      </c>
      <c r="AE5813" s="4">
        <v>50</v>
      </c>
      <c r="AF5813" s="4">
        <v>1</v>
      </c>
      <c r="AG5813" s="4">
        <v>1</v>
      </c>
      <c r="AH5813" s="4">
        <v>43</v>
      </c>
      <c r="AI5813" s="4">
        <v>43</v>
      </c>
      <c r="AJ5813" s="4">
        <v>11</v>
      </c>
      <c r="AK5813" s="4">
        <v>11</v>
      </c>
      <c r="AL5813" s="4">
        <v>20</v>
      </c>
      <c r="AM5813" s="4">
        <v>20</v>
      </c>
      <c r="AN5813" s="4">
        <v>0</v>
      </c>
      <c r="AO5813" s="4">
        <v>0</v>
      </c>
      <c r="AP5813" s="4">
        <v>14</v>
      </c>
      <c r="AQ5813" s="4">
        <v>14</v>
      </c>
      <c r="AR5813" s="3" t="s">
        <v>62</v>
      </c>
      <c r="AS5813" s="3" t="s">
        <v>62</v>
      </c>
      <c r="AT5813" s="3" t="s">
        <v>62</v>
      </c>
      <c r="AV5813" s="6" t="str">
        <f>HYPERLINK("http://mcgill.on.worldcat.org/oclc/316604487","Catalog Record")</f>
        <v>Catalog Record</v>
      </c>
      <c r="AW5813" s="6" t="str">
        <f>HYPERLINK("http://www.worldcat.org/oclc/316604487","WorldCat Record")</f>
        <v>WorldCat Record</v>
      </c>
      <c r="AX5813" s="3" t="s">
        <v>54854</v>
      </c>
      <c r="AY5813" s="3" t="s">
        <v>54855</v>
      </c>
      <c r="AZ5813" s="3" t="s">
        <v>54856</v>
      </c>
      <c r="BA5813" s="3" t="s">
        <v>54856</v>
      </c>
      <c r="BB5813" s="3" t="s">
        <v>54863</v>
      </c>
      <c r="BC5813" s="3" t="s">
        <v>33640</v>
      </c>
      <c r="BD5813" s="3" t="s">
        <v>68</v>
      </c>
      <c r="BF5813" s="3" t="s">
        <v>54863</v>
      </c>
      <c r="BG5813" s="3" t="s">
        <v>54864</v>
      </c>
    </row>
    <row r="5814" spans="1:59" ht="87" x14ac:dyDescent="0.35">
      <c r="A5814" s="2" t="s">
        <v>89</v>
      </c>
      <c r="B5814" s="2" t="s">
        <v>42560</v>
      </c>
      <c r="C5814" s="2" t="s">
        <v>54848</v>
      </c>
      <c r="D5814" s="2" t="s">
        <v>54849</v>
      </c>
      <c r="E5814" s="2" t="s">
        <v>54850</v>
      </c>
      <c r="F5814" s="3" t="s">
        <v>54865</v>
      </c>
      <c r="G5814" s="3" t="s">
        <v>61</v>
      </c>
      <c r="I5814" s="3" t="s">
        <v>62</v>
      </c>
      <c r="J5814" s="3" t="s">
        <v>62</v>
      </c>
      <c r="K5814" s="3" t="s">
        <v>63</v>
      </c>
      <c r="L5814" s="2" t="s">
        <v>54852</v>
      </c>
      <c r="M5814" s="2" t="s">
        <v>54853</v>
      </c>
      <c r="N5814" s="3" t="s">
        <v>2985</v>
      </c>
      <c r="P5814" s="3" t="s">
        <v>64</v>
      </c>
      <c r="R5814" s="3" t="s">
        <v>65</v>
      </c>
      <c r="S5814" s="4">
        <v>9</v>
      </c>
      <c r="T5814" s="4">
        <v>48</v>
      </c>
      <c r="U5814" s="5" t="s">
        <v>23581</v>
      </c>
      <c r="V5814" s="5" t="s">
        <v>23581</v>
      </c>
      <c r="W5814" s="5" t="s">
        <v>67</v>
      </c>
      <c r="X5814" s="5" t="s">
        <v>67</v>
      </c>
      <c r="Y5814" s="4">
        <v>339</v>
      </c>
      <c r="Z5814" s="4">
        <v>16</v>
      </c>
      <c r="AA5814" s="4">
        <v>16</v>
      </c>
      <c r="AB5814" s="4">
        <v>2</v>
      </c>
      <c r="AC5814" s="4">
        <v>2</v>
      </c>
      <c r="AD5814" s="4">
        <v>50</v>
      </c>
      <c r="AE5814" s="4">
        <v>50</v>
      </c>
      <c r="AF5814" s="4">
        <v>1</v>
      </c>
      <c r="AG5814" s="4">
        <v>1</v>
      </c>
      <c r="AH5814" s="4">
        <v>43</v>
      </c>
      <c r="AI5814" s="4">
        <v>43</v>
      </c>
      <c r="AJ5814" s="4">
        <v>11</v>
      </c>
      <c r="AK5814" s="4">
        <v>11</v>
      </c>
      <c r="AL5814" s="4">
        <v>20</v>
      </c>
      <c r="AM5814" s="4">
        <v>20</v>
      </c>
      <c r="AN5814" s="4">
        <v>0</v>
      </c>
      <c r="AO5814" s="4">
        <v>0</v>
      </c>
      <c r="AP5814" s="4">
        <v>14</v>
      </c>
      <c r="AQ5814" s="4">
        <v>14</v>
      </c>
      <c r="AR5814" s="3" t="s">
        <v>62</v>
      </c>
      <c r="AS5814" s="3" t="s">
        <v>62</v>
      </c>
      <c r="AT5814" s="3" t="s">
        <v>62</v>
      </c>
      <c r="AV5814" s="6" t="str">
        <f>HYPERLINK("http://mcgill.on.worldcat.org/oclc/316604487","Catalog Record")</f>
        <v>Catalog Record</v>
      </c>
      <c r="AW5814" s="6" t="str">
        <f>HYPERLINK("http://www.worldcat.org/oclc/316604487","WorldCat Record")</f>
        <v>WorldCat Record</v>
      </c>
      <c r="AX5814" s="3" t="s">
        <v>54854</v>
      </c>
      <c r="AY5814" s="3" t="s">
        <v>54855</v>
      </c>
      <c r="AZ5814" s="3" t="s">
        <v>54856</v>
      </c>
      <c r="BA5814" s="3" t="s">
        <v>54856</v>
      </c>
      <c r="BB5814" s="3" t="s">
        <v>54866</v>
      </c>
      <c r="BC5814" s="3" t="s">
        <v>33640</v>
      </c>
      <c r="BD5814" s="3" t="s">
        <v>68</v>
      </c>
      <c r="BF5814" s="3" t="s">
        <v>54866</v>
      </c>
      <c r="BG5814" s="3" t="s">
        <v>54867</v>
      </c>
    </row>
    <row r="5815" spans="1:59" ht="87" x14ac:dyDescent="0.35">
      <c r="A5815" s="2" t="s">
        <v>89</v>
      </c>
      <c r="B5815" s="2" t="s">
        <v>42560</v>
      </c>
      <c r="C5815" s="2" t="s">
        <v>54848</v>
      </c>
      <c r="D5815" s="2" t="s">
        <v>54849</v>
      </c>
      <c r="E5815" s="2" t="s">
        <v>54850</v>
      </c>
      <c r="F5815" s="3" t="s">
        <v>54868</v>
      </c>
      <c r="G5815" s="3" t="s">
        <v>61</v>
      </c>
      <c r="I5815" s="3" t="s">
        <v>62</v>
      </c>
      <c r="J5815" s="3" t="s">
        <v>62</v>
      </c>
      <c r="K5815" s="3" t="s">
        <v>63</v>
      </c>
      <c r="L5815" s="2" t="s">
        <v>54852</v>
      </c>
      <c r="M5815" s="2" t="s">
        <v>54853</v>
      </c>
      <c r="N5815" s="3" t="s">
        <v>2985</v>
      </c>
      <c r="P5815" s="3" t="s">
        <v>64</v>
      </c>
      <c r="R5815" s="3" t="s">
        <v>65</v>
      </c>
      <c r="S5815" s="4">
        <v>10</v>
      </c>
      <c r="T5815" s="4">
        <v>48</v>
      </c>
      <c r="U5815" s="5" t="s">
        <v>23581</v>
      </c>
      <c r="V5815" s="5" t="s">
        <v>23581</v>
      </c>
      <c r="W5815" s="5" t="s">
        <v>67</v>
      </c>
      <c r="X5815" s="5" t="s">
        <v>67</v>
      </c>
      <c r="Y5815" s="4">
        <v>339</v>
      </c>
      <c r="Z5815" s="4">
        <v>16</v>
      </c>
      <c r="AA5815" s="4">
        <v>16</v>
      </c>
      <c r="AB5815" s="4">
        <v>2</v>
      </c>
      <c r="AC5815" s="4">
        <v>2</v>
      </c>
      <c r="AD5815" s="4">
        <v>50</v>
      </c>
      <c r="AE5815" s="4">
        <v>50</v>
      </c>
      <c r="AF5815" s="4">
        <v>1</v>
      </c>
      <c r="AG5815" s="4">
        <v>1</v>
      </c>
      <c r="AH5815" s="4">
        <v>43</v>
      </c>
      <c r="AI5815" s="4">
        <v>43</v>
      </c>
      <c r="AJ5815" s="4">
        <v>11</v>
      </c>
      <c r="AK5815" s="4">
        <v>11</v>
      </c>
      <c r="AL5815" s="4">
        <v>20</v>
      </c>
      <c r="AM5815" s="4">
        <v>20</v>
      </c>
      <c r="AN5815" s="4">
        <v>0</v>
      </c>
      <c r="AO5815" s="4">
        <v>0</v>
      </c>
      <c r="AP5815" s="4">
        <v>14</v>
      </c>
      <c r="AQ5815" s="4">
        <v>14</v>
      </c>
      <c r="AR5815" s="3" t="s">
        <v>62</v>
      </c>
      <c r="AS5815" s="3" t="s">
        <v>62</v>
      </c>
      <c r="AT5815" s="3" t="s">
        <v>62</v>
      </c>
      <c r="AV5815" s="6" t="str">
        <f>HYPERLINK("http://mcgill.on.worldcat.org/oclc/316604487","Catalog Record")</f>
        <v>Catalog Record</v>
      </c>
      <c r="AW5815" s="6" t="str">
        <f>HYPERLINK("http://www.worldcat.org/oclc/316604487","WorldCat Record")</f>
        <v>WorldCat Record</v>
      </c>
      <c r="AX5815" s="3" t="s">
        <v>54854</v>
      </c>
      <c r="AY5815" s="3" t="s">
        <v>54855</v>
      </c>
      <c r="AZ5815" s="3" t="s">
        <v>54856</v>
      </c>
      <c r="BA5815" s="3" t="s">
        <v>54856</v>
      </c>
      <c r="BB5815" s="3" t="s">
        <v>54869</v>
      </c>
      <c r="BC5815" s="3" t="s">
        <v>33640</v>
      </c>
      <c r="BD5815" s="3" t="s">
        <v>68</v>
      </c>
      <c r="BF5815" s="3" t="s">
        <v>54869</v>
      </c>
      <c r="BG5815" s="3" t="s">
        <v>54870</v>
      </c>
    </row>
    <row r="5816" spans="1:59" ht="87" x14ac:dyDescent="0.35">
      <c r="A5816" s="2" t="s">
        <v>89</v>
      </c>
      <c r="B5816" s="2" t="s">
        <v>42560</v>
      </c>
      <c r="C5816" s="2" t="s">
        <v>54871</v>
      </c>
      <c r="D5816" s="2" t="s">
        <v>54872</v>
      </c>
      <c r="E5816" s="2" t="s">
        <v>54873</v>
      </c>
      <c r="F5816" s="3" t="s">
        <v>54797</v>
      </c>
      <c r="G5816" s="3" t="s">
        <v>61</v>
      </c>
      <c r="I5816" s="3" t="s">
        <v>62</v>
      </c>
      <c r="J5816" s="3" t="s">
        <v>62</v>
      </c>
      <c r="K5816" s="3" t="s">
        <v>63</v>
      </c>
      <c r="M5816" s="2" t="s">
        <v>54874</v>
      </c>
      <c r="N5816" s="3" t="s">
        <v>129</v>
      </c>
      <c r="O5816" s="2" t="s">
        <v>54875</v>
      </c>
      <c r="P5816" s="3" t="s">
        <v>64</v>
      </c>
      <c r="R5816" s="3" t="s">
        <v>42369</v>
      </c>
      <c r="S5816" s="4">
        <v>4</v>
      </c>
      <c r="T5816" s="4">
        <v>13</v>
      </c>
      <c r="U5816" s="5" t="s">
        <v>31842</v>
      </c>
      <c r="V5816" s="5" t="s">
        <v>31842</v>
      </c>
      <c r="W5816" s="5" t="s">
        <v>67</v>
      </c>
      <c r="X5816" s="5" t="s">
        <v>67</v>
      </c>
      <c r="Y5816" s="4">
        <v>32</v>
      </c>
      <c r="Z5816" s="4">
        <v>2</v>
      </c>
      <c r="AA5816" s="4">
        <v>58</v>
      </c>
      <c r="AB5816" s="4">
        <v>1</v>
      </c>
      <c r="AC5816" s="4">
        <v>2</v>
      </c>
      <c r="AD5816" s="4">
        <v>1</v>
      </c>
      <c r="AE5816" s="4">
        <v>21</v>
      </c>
      <c r="AF5816" s="4">
        <v>0</v>
      </c>
      <c r="AG5816" s="4">
        <v>0</v>
      </c>
      <c r="AH5816" s="4">
        <v>0</v>
      </c>
      <c r="AI5816" s="4">
        <v>10</v>
      </c>
      <c r="AJ5816" s="4">
        <v>0</v>
      </c>
      <c r="AK5816" s="4">
        <v>5</v>
      </c>
      <c r="AL5816" s="4">
        <v>1</v>
      </c>
      <c r="AM5816" s="4">
        <v>4</v>
      </c>
      <c r="AN5816" s="4">
        <v>0</v>
      </c>
      <c r="AO5816" s="4">
        <v>0</v>
      </c>
      <c r="AP5816" s="4">
        <v>0</v>
      </c>
      <c r="AQ5816" s="4">
        <v>13</v>
      </c>
      <c r="AR5816" s="3" t="s">
        <v>62</v>
      </c>
      <c r="AS5816" s="3" t="s">
        <v>62</v>
      </c>
      <c r="AT5816" s="3" t="s">
        <v>62</v>
      </c>
      <c r="AV5816" s="6" t="str">
        <f>HYPERLINK("http://mcgill.on.worldcat.org/oclc/832432377","Catalog Record")</f>
        <v>Catalog Record</v>
      </c>
      <c r="AW5816" s="6" t="str">
        <f>HYPERLINK("http://www.worldcat.org/oclc/832432377","WorldCat Record")</f>
        <v>WorldCat Record</v>
      </c>
      <c r="AX5816" s="3" t="s">
        <v>54876</v>
      </c>
      <c r="AY5816" s="3" t="s">
        <v>54877</v>
      </c>
      <c r="AZ5816" s="3" t="s">
        <v>54878</v>
      </c>
      <c r="BA5816" s="3" t="s">
        <v>54878</v>
      </c>
      <c r="BB5816" s="3" t="s">
        <v>54879</v>
      </c>
      <c r="BC5816" s="3" t="s">
        <v>54793</v>
      </c>
      <c r="BD5816" s="3" t="s">
        <v>68</v>
      </c>
      <c r="BF5816" s="3" t="s">
        <v>54879</v>
      </c>
      <c r="BG5816" s="3" t="s">
        <v>54880</v>
      </c>
    </row>
    <row r="5817" spans="1:59" ht="87" x14ac:dyDescent="0.35">
      <c r="A5817" s="2" t="s">
        <v>89</v>
      </c>
      <c r="B5817" s="2" t="s">
        <v>42560</v>
      </c>
      <c r="C5817" s="2" t="s">
        <v>54881</v>
      </c>
      <c r="D5817" s="2" t="s">
        <v>54882</v>
      </c>
      <c r="E5817" s="2" t="s">
        <v>54873</v>
      </c>
      <c r="F5817" s="3" t="s">
        <v>54787</v>
      </c>
      <c r="G5817" s="3" t="s">
        <v>61</v>
      </c>
      <c r="I5817" s="3" t="s">
        <v>62</v>
      </c>
      <c r="J5817" s="3" t="s">
        <v>62</v>
      </c>
      <c r="K5817" s="3" t="s">
        <v>63</v>
      </c>
      <c r="M5817" s="2" t="s">
        <v>54874</v>
      </c>
      <c r="N5817" s="3" t="s">
        <v>129</v>
      </c>
      <c r="O5817" s="2" t="s">
        <v>54875</v>
      </c>
      <c r="P5817" s="3" t="s">
        <v>64</v>
      </c>
      <c r="R5817" s="3" t="s">
        <v>42369</v>
      </c>
      <c r="S5817" s="4">
        <v>9</v>
      </c>
      <c r="T5817" s="4">
        <v>13</v>
      </c>
      <c r="U5817" s="5" t="s">
        <v>25459</v>
      </c>
      <c r="V5817" s="5" t="s">
        <v>31842</v>
      </c>
      <c r="W5817" s="5" t="s">
        <v>67</v>
      </c>
      <c r="X5817" s="5" t="s">
        <v>67</v>
      </c>
      <c r="Y5817" s="4">
        <v>32</v>
      </c>
      <c r="Z5817" s="4">
        <v>2</v>
      </c>
      <c r="AA5817" s="4">
        <v>58</v>
      </c>
      <c r="AB5817" s="4">
        <v>1</v>
      </c>
      <c r="AC5817" s="4">
        <v>2</v>
      </c>
      <c r="AD5817" s="4">
        <v>1</v>
      </c>
      <c r="AE5817" s="4">
        <v>21</v>
      </c>
      <c r="AF5817" s="4">
        <v>0</v>
      </c>
      <c r="AG5817" s="4">
        <v>0</v>
      </c>
      <c r="AH5817" s="4">
        <v>0</v>
      </c>
      <c r="AI5817" s="4">
        <v>10</v>
      </c>
      <c r="AJ5817" s="4">
        <v>0</v>
      </c>
      <c r="AK5817" s="4">
        <v>5</v>
      </c>
      <c r="AL5817" s="4">
        <v>1</v>
      </c>
      <c r="AM5817" s="4">
        <v>4</v>
      </c>
      <c r="AN5817" s="4">
        <v>0</v>
      </c>
      <c r="AO5817" s="4">
        <v>0</v>
      </c>
      <c r="AP5817" s="4">
        <v>0</v>
      </c>
      <c r="AQ5817" s="4">
        <v>13</v>
      </c>
      <c r="AR5817" s="3" t="s">
        <v>62</v>
      </c>
      <c r="AS5817" s="3" t="s">
        <v>62</v>
      </c>
      <c r="AT5817" s="3" t="s">
        <v>62</v>
      </c>
      <c r="AV5817" s="6" t="str">
        <f>HYPERLINK("http://mcgill.on.worldcat.org/oclc/832432377","Catalog Record")</f>
        <v>Catalog Record</v>
      </c>
      <c r="AW5817" s="6" t="str">
        <f>HYPERLINK("http://www.worldcat.org/oclc/832432377","WorldCat Record")</f>
        <v>WorldCat Record</v>
      </c>
      <c r="AX5817" s="3" t="s">
        <v>54876</v>
      </c>
      <c r="AY5817" s="3" t="s">
        <v>54877</v>
      </c>
      <c r="AZ5817" s="3" t="s">
        <v>54878</v>
      </c>
      <c r="BA5817" s="3" t="s">
        <v>54878</v>
      </c>
      <c r="BB5817" s="3" t="s">
        <v>54883</v>
      </c>
      <c r="BC5817" s="3" t="s">
        <v>54793</v>
      </c>
      <c r="BD5817" s="3" t="s">
        <v>68</v>
      </c>
      <c r="BF5817" s="3" t="s">
        <v>54883</v>
      </c>
      <c r="BG5817" s="3" t="s">
        <v>54884</v>
      </c>
    </row>
    <row r="5818" spans="1:59" ht="87" x14ac:dyDescent="0.35">
      <c r="A5818" s="2" t="s">
        <v>89</v>
      </c>
      <c r="B5818" s="2" t="s">
        <v>42560</v>
      </c>
      <c r="C5818" s="2" t="s">
        <v>54885</v>
      </c>
      <c r="D5818" s="2" t="s">
        <v>54886</v>
      </c>
      <c r="E5818" s="2" t="s">
        <v>54887</v>
      </c>
      <c r="G5818" s="3" t="s">
        <v>62</v>
      </c>
      <c r="I5818" s="3" t="s">
        <v>62</v>
      </c>
      <c r="J5818" s="3" t="s">
        <v>62</v>
      </c>
      <c r="K5818" s="3" t="s">
        <v>63</v>
      </c>
      <c r="M5818" s="2" t="s">
        <v>54888</v>
      </c>
      <c r="N5818" s="3" t="s">
        <v>698</v>
      </c>
      <c r="P5818" s="3" t="s">
        <v>64</v>
      </c>
      <c r="R5818" s="3" t="s">
        <v>32962</v>
      </c>
      <c r="S5818" s="4">
        <v>4</v>
      </c>
      <c r="T5818" s="4">
        <v>4</v>
      </c>
      <c r="U5818" s="5" t="s">
        <v>30682</v>
      </c>
      <c r="V5818" s="5" t="s">
        <v>30682</v>
      </c>
      <c r="W5818" s="5" t="s">
        <v>67</v>
      </c>
      <c r="X5818" s="5" t="s">
        <v>67</v>
      </c>
      <c r="Y5818" s="4">
        <v>204</v>
      </c>
      <c r="Z5818" s="4">
        <v>12</v>
      </c>
      <c r="AA5818" s="4">
        <v>15</v>
      </c>
      <c r="AB5818" s="4">
        <v>1</v>
      </c>
      <c r="AC5818" s="4">
        <v>2</v>
      </c>
      <c r="AD5818" s="4">
        <v>6</v>
      </c>
      <c r="AE5818" s="4">
        <v>8</v>
      </c>
      <c r="AF5818" s="4">
        <v>0</v>
      </c>
      <c r="AG5818" s="4">
        <v>0</v>
      </c>
      <c r="AH5818" s="4">
        <v>6</v>
      </c>
      <c r="AI5818" s="4">
        <v>7</v>
      </c>
      <c r="AJ5818" s="4">
        <v>1</v>
      </c>
      <c r="AK5818" s="4">
        <v>1</v>
      </c>
      <c r="AL5818" s="4">
        <v>3</v>
      </c>
      <c r="AM5818" s="4">
        <v>3</v>
      </c>
      <c r="AN5818" s="4">
        <v>0</v>
      </c>
      <c r="AO5818" s="4">
        <v>0</v>
      </c>
      <c r="AP5818" s="4">
        <v>1</v>
      </c>
      <c r="AQ5818" s="4">
        <v>2</v>
      </c>
      <c r="AR5818" s="3" t="s">
        <v>62</v>
      </c>
      <c r="AS5818" s="3" t="s">
        <v>62</v>
      </c>
      <c r="AT5818" s="3" t="s">
        <v>62</v>
      </c>
      <c r="AV5818" s="6" t="str">
        <f>HYPERLINK("http://mcgill.on.worldcat.org/oclc/815660297","Catalog Record")</f>
        <v>Catalog Record</v>
      </c>
      <c r="AW5818" s="6" t="str">
        <f>HYPERLINK("http://www.worldcat.org/oclc/815660297","WorldCat Record")</f>
        <v>WorldCat Record</v>
      </c>
      <c r="AX5818" s="3" t="s">
        <v>54889</v>
      </c>
      <c r="AY5818" s="3" t="s">
        <v>54890</v>
      </c>
      <c r="AZ5818" s="3" t="s">
        <v>54891</v>
      </c>
      <c r="BA5818" s="3" t="s">
        <v>54891</v>
      </c>
      <c r="BB5818" s="3" t="s">
        <v>54892</v>
      </c>
      <c r="BC5818" s="3" t="s">
        <v>33640</v>
      </c>
      <c r="BD5818" s="3" t="s">
        <v>68</v>
      </c>
      <c r="BE5818" s="3" t="s">
        <v>54893</v>
      </c>
      <c r="BF5818" s="3" t="s">
        <v>54892</v>
      </c>
      <c r="BG5818" s="3" t="s">
        <v>54894</v>
      </c>
    </row>
    <row r="5819" spans="1:59" ht="159.5" x14ac:dyDescent="0.35">
      <c r="A5819" s="2" t="s">
        <v>89</v>
      </c>
      <c r="B5819" s="2" t="s">
        <v>42560</v>
      </c>
      <c r="C5819" s="2" t="s">
        <v>54895</v>
      </c>
      <c r="D5819" s="2" t="s">
        <v>54896</v>
      </c>
      <c r="E5819" s="2" t="s">
        <v>54897</v>
      </c>
      <c r="G5819" s="3" t="s">
        <v>62</v>
      </c>
      <c r="I5819" s="3" t="s">
        <v>62</v>
      </c>
      <c r="J5819" s="3" t="s">
        <v>61</v>
      </c>
      <c r="K5819" s="3" t="s">
        <v>63</v>
      </c>
      <c r="M5819" s="2" t="s">
        <v>54898</v>
      </c>
      <c r="N5819" s="3" t="s">
        <v>684</v>
      </c>
      <c r="P5819" s="3" t="s">
        <v>64</v>
      </c>
      <c r="R5819" s="3" t="s">
        <v>42369</v>
      </c>
      <c r="S5819" s="4">
        <v>19</v>
      </c>
      <c r="T5819" s="4">
        <v>19</v>
      </c>
      <c r="U5819" s="5" t="s">
        <v>783</v>
      </c>
      <c r="V5819" s="5" t="s">
        <v>783</v>
      </c>
      <c r="W5819" s="5" t="s">
        <v>67</v>
      </c>
      <c r="X5819" s="5" t="s">
        <v>67</v>
      </c>
      <c r="Y5819" s="4">
        <v>505</v>
      </c>
      <c r="Z5819" s="4">
        <v>25</v>
      </c>
      <c r="AA5819" s="4">
        <v>26</v>
      </c>
      <c r="AB5819" s="4">
        <v>1</v>
      </c>
      <c r="AC5819" s="4">
        <v>1</v>
      </c>
      <c r="AD5819" s="4">
        <v>4</v>
      </c>
      <c r="AE5819" s="4">
        <v>4</v>
      </c>
      <c r="AF5819" s="4">
        <v>0</v>
      </c>
      <c r="AG5819" s="4">
        <v>0</v>
      </c>
      <c r="AH5819" s="4">
        <v>4</v>
      </c>
      <c r="AI5819" s="4">
        <v>4</v>
      </c>
      <c r="AJ5819" s="4">
        <v>0</v>
      </c>
      <c r="AK5819" s="4">
        <v>0</v>
      </c>
      <c r="AL5819" s="4">
        <v>1</v>
      </c>
      <c r="AM5819" s="4">
        <v>1</v>
      </c>
      <c r="AN5819" s="4">
        <v>0</v>
      </c>
      <c r="AO5819" s="4">
        <v>0</v>
      </c>
      <c r="AP5819" s="4">
        <v>0</v>
      </c>
      <c r="AQ5819" s="4">
        <v>0</v>
      </c>
      <c r="AR5819" s="3" t="s">
        <v>62</v>
      </c>
      <c r="AS5819" s="3" t="s">
        <v>62</v>
      </c>
      <c r="AT5819" s="3" t="s">
        <v>62</v>
      </c>
      <c r="AV5819" s="6" t="str">
        <f>HYPERLINK("http://mcgill.on.worldcat.org/oclc/755112689","Catalog Record")</f>
        <v>Catalog Record</v>
      </c>
      <c r="AW5819" s="6" t="str">
        <f>HYPERLINK("http://www.worldcat.org/oclc/755112689","WorldCat Record")</f>
        <v>WorldCat Record</v>
      </c>
      <c r="AX5819" s="3" t="s">
        <v>54899</v>
      </c>
      <c r="AY5819" s="3" t="s">
        <v>54900</v>
      </c>
      <c r="AZ5819" s="3" t="s">
        <v>54901</v>
      </c>
      <c r="BA5819" s="3" t="s">
        <v>54901</v>
      </c>
      <c r="BB5819" s="3" t="s">
        <v>54902</v>
      </c>
      <c r="BC5819" s="3" t="s">
        <v>33640</v>
      </c>
      <c r="BD5819" s="3" t="s">
        <v>68</v>
      </c>
      <c r="BE5819" s="3" t="s">
        <v>54903</v>
      </c>
      <c r="BF5819" s="3" t="s">
        <v>54902</v>
      </c>
      <c r="BG5819" s="3" t="s">
        <v>54904</v>
      </c>
    </row>
    <row r="5820" spans="1:59" ht="159.5" x14ac:dyDescent="0.35">
      <c r="A5820" s="2" t="s">
        <v>89</v>
      </c>
      <c r="B5820" s="2" t="s">
        <v>42560</v>
      </c>
      <c r="C5820" s="2" t="s">
        <v>54905</v>
      </c>
      <c r="D5820" s="2" t="s">
        <v>54906</v>
      </c>
      <c r="E5820" s="2" t="s">
        <v>54907</v>
      </c>
      <c r="G5820" s="3" t="s">
        <v>62</v>
      </c>
      <c r="I5820" s="3" t="s">
        <v>62</v>
      </c>
      <c r="J5820" s="3" t="s">
        <v>61</v>
      </c>
      <c r="K5820" s="3" t="s">
        <v>63</v>
      </c>
      <c r="M5820" s="2" t="s">
        <v>54908</v>
      </c>
      <c r="N5820" s="3" t="s">
        <v>684</v>
      </c>
      <c r="O5820" s="2" t="s">
        <v>54909</v>
      </c>
      <c r="P5820" s="3" t="s">
        <v>64</v>
      </c>
      <c r="R5820" s="3" t="s">
        <v>42369</v>
      </c>
      <c r="S5820" s="4">
        <v>0</v>
      </c>
      <c r="T5820" s="4">
        <v>0</v>
      </c>
      <c r="W5820" s="5" t="s">
        <v>54910</v>
      </c>
      <c r="X5820" s="5" t="s">
        <v>54910</v>
      </c>
      <c r="Y5820" s="4">
        <v>1</v>
      </c>
      <c r="Z5820" s="4">
        <v>1</v>
      </c>
      <c r="AA5820" s="4">
        <v>26</v>
      </c>
      <c r="AB5820" s="4">
        <v>1</v>
      </c>
      <c r="AC5820" s="4">
        <v>1</v>
      </c>
      <c r="AD5820" s="4">
        <v>0</v>
      </c>
      <c r="AE5820" s="4">
        <v>4</v>
      </c>
      <c r="AF5820" s="4">
        <v>0</v>
      </c>
      <c r="AG5820" s="4">
        <v>0</v>
      </c>
      <c r="AH5820" s="4">
        <v>0</v>
      </c>
      <c r="AI5820" s="4">
        <v>4</v>
      </c>
      <c r="AJ5820" s="4">
        <v>0</v>
      </c>
      <c r="AK5820" s="4">
        <v>0</v>
      </c>
      <c r="AL5820" s="4">
        <v>0</v>
      </c>
      <c r="AM5820" s="4">
        <v>1</v>
      </c>
      <c r="AN5820" s="4">
        <v>0</v>
      </c>
      <c r="AO5820" s="4">
        <v>0</v>
      </c>
      <c r="AP5820" s="4">
        <v>0</v>
      </c>
      <c r="AQ5820" s="4">
        <v>0</v>
      </c>
      <c r="AR5820" s="3" t="s">
        <v>62</v>
      </c>
      <c r="AS5820" s="3" t="s">
        <v>62</v>
      </c>
      <c r="AT5820" s="3" t="s">
        <v>62</v>
      </c>
      <c r="AV5820" s="6" t="str">
        <f>HYPERLINK("http://mcgill.on.worldcat.org/oclc/1100474125","Catalog Record")</f>
        <v>Catalog Record</v>
      </c>
      <c r="AW5820" s="6" t="str">
        <f>HYPERLINK("http://www.worldcat.org/oclc/1100474125","WorldCat Record")</f>
        <v>WorldCat Record</v>
      </c>
      <c r="AX5820" s="3" t="s">
        <v>54899</v>
      </c>
      <c r="AY5820" s="3" t="s">
        <v>54911</v>
      </c>
      <c r="AZ5820" s="3" t="s">
        <v>54912</v>
      </c>
      <c r="BA5820" s="3" t="s">
        <v>54912</v>
      </c>
      <c r="BB5820" s="3" t="s">
        <v>54913</v>
      </c>
      <c r="BC5820" s="3" t="s">
        <v>54793</v>
      </c>
      <c r="BD5820" s="3" t="s">
        <v>68</v>
      </c>
      <c r="BF5820" s="3" t="s">
        <v>54913</v>
      </c>
      <c r="BG5820" s="3" t="s">
        <v>54914</v>
      </c>
    </row>
    <row r="5821" spans="1:59" ht="87" x14ac:dyDescent="0.35">
      <c r="A5821" s="2" t="s">
        <v>89</v>
      </c>
      <c r="B5821" s="2" t="s">
        <v>42560</v>
      </c>
      <c r="C5821" s="2" t="s">
        <v>54915</v>
      </c>
      <c r="D5821" s="2" t="s">
        <v>54916</v>
      </c>
      <c r="E5821" s="2" t="s">
        <v>54917</v>
      </c>
      <c r="G5821" s="3" t="s">
        <v>61</v>
      </c>
      <c r="I5821" s="3" t="s">
        <v>62</v>
      </c>
      <c r="J5821" s="3" t="s">
        <v>62</v>
      </c>
      <c r="K5821" s="3" t="s">
        <v>63</v>
      </c>
      <c r="M5821" s="2" t="s">
        <v>54918</v>
      </c>
      <c r="N5821" s="3" t="s">
        <v>129</v>
      </c>
      <c r="P5821" s="3" t="s">
        <v>54919</v>
      </c>
      <c r="R5821" s="3" t="s">
        <v>27443</v>
      </c>
      <c r="S5821" s="4">
        <v>7</v>
      </c>
      <c r="T5821" s="4">
        <v>7</v>
      </c>
      <c r="U5821" s="5" t="s">
        <v>1648</v>
      </c>
      <c r="V5821" s="5" t="s">
        <v>1648</v>
      </c>
      <c r="W5821" s="5" t="s">
        <v>67</v>
      </c>
      <c r="X5821" s="5" t="s">
        <v>67</v>
      </c>
      <c r="Y5821" s="4">
        <v>16</v>
      </c>
      <c r="Z5821" s="4">
        <v>15</v>
      </c>
      <c r="AA5821" s="4">
        <v>17</v>
      </c>
      <c r="AB5821" s="4">
        <v>1</v>
      </c>
      <c r="AC5821" s="4">
        <v>2</v>
      </c>
      <c r="AD5821" s="4">
        <v>7</v>
      </c>
      <c r="AE5821" s="4">
        <v>9</v>
      </c>
      <c r="AF5821" s="4">
        <v>0</v>
      </c>
      <c r="AG5821" s="4">
        <v>1</v>
      </c>
      <c r="AH5821" s="4">
        <v>5</v>
      </c>
      <c r="AI5821" s="4">
        <v>6</v>
      </c>
      <c r="AJ5821" s="4">
        <v>4</v>
      </c>
      <c r="AK5821" s="4">
        <v>6</v>
      </c>
      <c r="AL5821" s="4">
        <v>1</v>
      </c>
      <c r="AM5821" s="4">
        <v>1</v>
      </c>
      <c r="AN5821" s="4">
        <v>0</v>
      </c>
      <c r="AO5821" s="4">
        <v>0</v>
      </c>
      <c r="AP5821" s="4">
        <v>6</v>
      </c>
      <c r="AQ5821" s="4">
        <v>8</v>
      </c>
      <c r="AR5821" s="3" t="s">
        <v>61</v>
      </c>
      <c r="AS5821" s="3" t="s">
        <v>62</v>
      </c>
      <c r="AT5821" s="3" t="s">
        <v>62</v>
      </c>
      <c r="AV5821" s="6" t="str">
        <f>HYPERLINK("http://mcgill.on.worldcat.org/oclc/864036311","Catalog Record")</f>
        <v>Catalog Record</v>
      </c>
      <c r="AW5821" s="6" t="str">
        <f>HYPERLINK("http://www.worldcat.org/oclc/864036311","WorldCat Record")</f>
        <v>WorldCat Record</v>
      </c>
      <c r="AX5821" s="3" t="s">
        <v>54920</v>
      </c>
      <c r="AY5821" s="3" t="s">
        <v>54921</v>
      </c>
      <c r="AZ5821" s="3" t="s">
        <v>54922</v>
      </c>
      <c r="BA5821" s="3" t="s">
        <v>54922</v>
      </c>
      <c r="BB5821" s="3" t="s">
        <v>54923</v>
      </c>
      <c r="BC5821" s="3" t="s">
        <v>33640</v>
      </c>
      <c r="BD5821" s="3" t="s">
        <v>68</v>
      </c>
      <c r="BF5821" s="3" t="s">
        <v>54923</v>
      </c>
      <c r="BG5821" s="3" t="s">
        <v>54924</v>
      </c>
    </row>
    <row r="5822" spans="1:59" ht="87" x14ac:dyDescent="0.35">
      <c r="A5822" s="2" t="s">
        <v>89</v>
      </c>
      <c r="B5822" s="2" t="s">
        <v>42560</v>
      </c>
      <c r="C5822" s="2" t="s">
        <v>54925</v>
      </c>
      <c r="D5822" s="2" t="s">
        <v>54926</v>
      </c>
      <c r="E5822" s="2" t="s">
        <v>54927</v>
      </c>
      <c r="G5822" s="3" t="s">
        <v>61</v>
      </c>
      <c r="I5822" s="3" t="s">
        <v>62</v>
      </c>
      <c r="J5822" s="3" t="s">
        <v>62</v>
      </c>
      <c r="K5822" s="3" t="s">
        <v>63</v>
      </c>
      <c r="L5822" s="2" t="s">
        <v>54928</v>
      </c>
      <c r="M5822" s="2" t="s">
        <v>54929</v>
      </c>
      <c r="N5822" s="3" t="s">
        <v>684</v>
      </c>
      <c r="O5822" s="2" t="s">
        <v>54930</v>
      </c>
      <c r="P5822" s="3" t="s">
        <v>64</v>
      </c>
      <c r="R5822" s="3" t="s">
        <v>34126</v>
      </c>
      <c r="S5822" s="4">
        <v>11</v>
      </c>
      <c r="T5822" s="4">
        <v>11</v>
      </c>
      <c r="U5822" s="5" t="s">
        <v>1279</v>
      </c>
      <c r="V5822" s="5" t="s">
        <v>1279</v>
      </c>
      <c r="W5822" s="5" t="s">
        <v>67</v>
      </c>
      <c r="X5822" s="5" t="s">
        <v>67</v>
      </c>
      <c r="Y5822" s="4">
        <v>107</v>
      </c>
      <c r="Z5822" s="4">
        <v>4</v>
      </c>
      <c r="AA5822" s="4">
        <v>14</v>
      </c>
      <c r="AB5822" s="4">
        <v>1</v>
      </c>
      <c r="AC5822" s="4">
        <v>1</v>
      </c>
      <c r="AD5822" s="4">
        <v>12</v>
      </c>
      <c r="AE5822" s="4">
        <v>53</v>
      </c>
      <c r="AF5822" s="4">
        <v>0</v>
      </c>
      <c r="AG5822" s="4">
        <v>0</v>
      </c>
      <c r="AH5822" s="4">
        <v>9</v>
      </c>
      <c r="AI5822" s="4">
        <v>47</v>
      </c>
      <c r="AJ5822" s="4">
        <v>1</v>
      </c>
      <c r="AK5822" s="4">
        <v>6</v>
      </c>
      <c r="AL5822" s="4">
        <v>5</v>
      </c>
      <c r="AM5822" s="4">
        <v>27</v>
      </c>
      <c r="AN5822" s="4">
        <v>0</v>
      </c>
      <c r="AO5822" s="4">
        <v>0</v>
      </c>
      <c r="AP5822" s="4">
        <v>2</v>
      </c>
      <c r="AQ5822" s="4">
        <v>10</v>
      </c>
      <c r="AR5822" s="3" t="s">
        <v>62</v>
      </c>
      <c r="AS5822" s="3" t="s">
        <v>62</v>
      </c>
      <c r="AT5822" s="3" t="s">
        <v>62</v>
      </c>
      <c r="AV5822" s="6" t="str">
        <f>HYPERLINK("http://mcgill.on.worldcat.org/oclc/809865605","Catalog Record")</f>
        <v>Catalog Record</v>
      </c>
      <c r="AW5822" s="6" t="str">
        <f>HYPERLINK("http://www.worldcat.org/oclc/809865605","WorldCat Record")</f>
        <v>WorldCat Record</v>
      </c>
      <c r="AX5822" s="3" t="s">
        <v>54931</v>
      </c>
      <c r="AY5822" s="3" t="s">
        <v>54932</v>
      </c>
      <c r="AZ5822" s="3" t="s">
        <v>54933</v>
      </c>
      <c r="BA5822" s="3" t="s">
        <v>54933</v>
      </c>
      <c r="BB5822" s="3" t="s">
        <v>54934</v>
      </c>
      <c r="BC5822" s="3" t="s">
        <v>33640</v>
      </c>
      <c r="BD5822" s="3" t="s">
        <v>68</v>
      </c>
      <c r="BF5822" s="3" t="s">
        <v>54934</v>
      </c>
      <c r="BG5822" s="3" t="s">
        <v>54935</v>
      </c>
    </row>
    <row r="5823" spans="1:59" ht="87" x14ac:dyDescent="0.35">
      <c r="A5823" s="2" t="s">
        <v>89</v>
      </c>
      <c r="B5823" s="2" t="s">
        <v>42560</v>
      </c>
      <c r="C5823" s="2" t="s">
        <v>54936</v>
      </c>
      <c r="D5823" s="2" t="s">
        <v>54937</v>
      </c>
      <c r="E5823" s="2" t="s">
        <v>54938</v>
      </c>
      <c r="G5823" s="3" t="s">
        <v>62</v>
      </c>
      <c r="I5823" s="3" t="s">
        <v>62</v>
      </c>
      <c r="J5823" s="3" t="s">
        <v>62</v>
      </c>
      <c r="K5823" s="3" t="s">
        <v>63</v>
      </c>
      <c r="M5823" s="2" t="s">
        <v>54939</v>
      </c>
      <c r="N5823" s="3" t="s">
        <v>539</v>
      </c>
      <c r="P5823" s="3" t="s">
        <v>64</v>
      </c>
      <c r="R5823" s="3" t="s">
        <v>42369</v>
      </c>
      <c r="S5823" s="4">
        <v>7</v>
      </c>
      <c r="T5823" s="4">
        <v>7</v>
      </c>
      <c r="U5823" s="5" t="s">
        <v>23447</v>
      </c>
      <c r="V5823" s="5" t="s">
        <v>23447</v>
      </c>
      <c r="W5823" s="5" t="s">
        <v>67</v>
      </c>
      <c r="X5823" s="5" t="s">
        <v>67</v>
      </c>
      <c r="Y5823" s="4">
        <v>70</v>
      </c>
      <c r="Z5823" s="4">
        <v>4</v>
      </c>
      <c r="AA5823" s="4">
        <v>14</v>
      </c>
      <c r="AB5823" s="4">
        <v>1</v>
      </c>
      <c r="AC5823" s="4">
        <v>2</v>
      </c>
      <c r="AD5823" s="4">
        <v>18</v>
      </c>
      <c r="AE5823" s="4">
        <v>48</v>
      </c>
      <c r="AF5823" s="4">
        <v>0</v>
      </c>
      <c r="AG5823" s="4">
        <v>0</v>
      </c>
      <c r="AH5823" s="4">
        <v>16</v>
      </c>
      <c r="AI5823" s="4">
        <v>44</v>
      </c>
      <c r="AJ5823" s="4">
        <v>1</v>
      </c>
      <c r="AK5823" s="4">
        <v>6</v>
      </c>
      <c r="AL5823" s="4">
        <v>11</v>
      </c>
      <c r="AM5823" s="4">
        <v>24</v>
      </c>
      <c r="AN5823" s="4">
        <v>0</v>
      </c>
      <c r="AO5823" s="4">
        <v>0</v>
      </c>
      <c r="AP5823" s="4">
        <v>3</v>
      </c>
      <c r="AQ5823" s="4">
        <v>9</v>
      </c>
      <c r="AR5823" s="3" t="s">
        <v>62</v>
      </c>
      <c r="AS5823" s="3" t="s">
        <v>62</v>
      </c>
      <c r="AT5823" s="3" t="s">
        <v>62</v>
      </c>
      <c r="AV5823" s="6" t="str">
        <f>HYPERLINK("http://mcgill.on.worldcat.org/oclc/76946114","Catalog Record")</f>
        <v>Catalog Record</v>
      </c>
      <c r="AW5823" s="6" t="str">
        <f>HYPERLINK("http://www.worldcat.org/oclc/76946114","WorldCat Record")</f>
        <v>WorldCat Record</v>
      </c>
      <c r="AX5823" s="3" t="s">
        <v>54940</v>
      </c>
      <c r="AY5823" s="3" t="s">
        <v>54941</v>
      </c>
      <c r="AZ5823" s="3" t="s">
        <v>54942</v>
      </c>
      <c r="BA5823" s="3" t="s">
        <v>54942</v>
      </c>
      <c r="BB5823" s="3" t="s">
        <v>54943</v>
      </c>
      <c r="BC5823" s="3" t="s">
        <v>33640</v>
      </c>
      <c r="BD5823" s="3" t="s">
        <v>68</v>
      </c>
      <c r="BE5823" s="3" t="s">
        <v>54944</v>
      </c>
      <c r="BF5823" s="3" t="s">
        <v>54943</v>
      </c>
      <c r="BG5823" s="3" t="s">
        <v>54945</v>
      </c>
    </row>
    <row r="5824" spans="1:59" ht="87" x14ac:dyDescent="0.35">
      <c r="A5824" s="2" t="s">
        <v>89</v>
      </c>
      <c r="B5824" s="2" t="s">
        <v>42560</v>
      </c>
      <c r="C5824" s="2" t="s">
        <v>54946</v>
      </c>
      <c r="D5824" s="2" t="s">
        <v>54947</v>
      </c>
      <c r="E5824" s="2" t="s">
        <v>54948</v>
      </c>
      <c r="G5824" s="3" t="s">
        <v>62</v>
      </c>
      <c r="I5824" s="3" t="s">
        <v>62</v>
      </c>
      <c r="J5824" s="3" t="s">
        <v>62</v>
      </c>
      <c r="K5824" s="3" t="s">
        <v>63</v>
      </c>
      <c r="M5824" s="2" t="s">
        <v>54949</v>
      </c>
      <c r="N5824" s="3" t="s">
        <v>698</v>
      </c>
      <c r="P5824" s="3" t="s">
        <v>64</v>
      </c>
      <c r="R5824" s="3" t="s">
        <v>32962</v>
      </c>
      <c r="S5824" s="4">
        <v>1</v>
      </c>
      <c r="T5824" s="4">
        <v>1</v>
      </c>
      <c r="U5824" s="5" t="s">
        <v>23727</v>
      </c>
      <c r="V5824" s="5" t="s">
        <v>23727</v>
      </c>
      <c r="W5824" s="5" t="s">
        <v>67</v>
      </c>
      <c r="X5824" s="5" t="s">
        <v>67</v>
      </c>
      <c r="Y5824" s="4">
        <v>392</v>
      </c>
      <c r="Z5824" s="4">
        <v>21</v>
      </c>
      <c r="AA5824" s="4">
        <v>30</v>
      </c>
      <c r="AB5824" s="4">
        <v>2</v>
      </c>
      <c r="AC5824" s="4">
        <v>2</v>
      </c>
      <c r="AD5824" s="4">
        <v>14</v>
      </c>
      <c r="AE5824" s="4">
        <v>21</v>
      </c>
      <c r="AF5824" s="4">
        <v>0</v>
      </c>
      <c r="AG5824" s="4">
        <v>0</v>
      </c>
      <c r="AH5824" s="4">
        <v>13</v>
      </c>
      <c r="AI5824" s="4">
        <v>18</v>
      </c>
      <c r="AJ5824" s="4">
        <v>0</v>
      </c>
      <c r="AK5824" s="4">
        <v>1</v>
      </c>
      <c r="AL5824" s="4">
        <v>8</v>
      </c>
      <c r="AM5824" s="4">
        <v>10</v>
      </c>
      <c r="AN5824" s="4">
        <v>0</v>
      </c>
      <c r="AO5824" s="4">
        <v>0</v>
      </c>
      <c r="AP5824" s="4">
        <v>1</v>
      </c>
      <c r="AQ5824" s="4">
        <v>3</v>
      </c>
      <c r="AR5824" s="3" t="s">
        <v>62</v>
      </c>
      <c r="AS5824" s="3" t="s">
        <v>62</v>
      </c>
      <c r="AT5824" s="3" t="s">
        <v>62</v>
      </c>
      <c r="AV5824" s="6" t="str">
        <f>HYPERLINK("http://mcgill.on.worldcat.org/oclc/761328933","Catalog Record")</f>
        <v>Catalog Record</v>
      </c>
      <c r="AW5824" s="6" t="str">
        <f>HYPERLINK("http://www.worldcat.org/oclc/761328933","WorldCat Record")</f>
        <v>WorldCat Record</v>
      </c>
      <c r="AX5824" s="3" t="s">
        <v>54950</v>
      </c>
      <c r="AY5824" s="3" t="s">
        <v>54951</v>
      </c>
      <c r="AZ5824" s="3" t="s">
        <v>54952</v>
      </c>
      <c r="BA5824" s="3" t="s">
        <v>54952</v>
      </c>
      <c r="BB5824" s="3" t="s">
        <v>54953</v>
      </c>
      <c r="BC5824" s="3" t="s">
        <v>33640</v>
      </c>
      <c r="BD5824" s="3" t="s">
        <v>68</v>
      </c>
      <c r="BE5824" s="3" t="s">
        <v>54954</v>
      </c>
      <c r="BF5824" s="3" t="s">
        <v>54953</v>
      </c>
      <c r="BG5824" s="3" t="s">
        <v>54955</v>
      </c>
    </row>
    <row r="5825" spans="1:59" ht="87" x14ac:dyDescent="0.35">
      <c r="A5825" s="2" t="s">
        <v>89</v>
      </c>
      <c r="B5825" s="2" t="s">
        <v>42560</v>
      </c>
      <c r="C5825" s="2" t="s">
        <v>54956</v>
      </c>
      <c r="D5825" s="2" t="s">
        <v>54957</v>
      </c>
      <c r="E5825" s="2" t="s">
        <v>54958</v>
      </c>
      <c r="F5825" s="3" t="s">
        <v>54797</v>
      </c>
      <c r="G5825" s="3" t="s">
        <v>61</v>
      </c>
      <c r="I5825" s="3" t="s">
        <v>62</v>
      </c>
      <c r="J5825" s="3" t="s">
        <v>62</v>
      </c>
      <c r="K5825" s="3" t="s">
        <v>63</v>
      </c>
      <c r="M5825" s="2" t="s">
        <v>54959</v>
      </c>
      <c r="N5825" s="3" t="s">
        <v>1455</v>
      </c>
      <c r="O5825" s="2" t="s">
        <v>54960</v>
      </c>
      <c r="P5825" s="3" t="s">
        <v>64</v>
      </c>
      <c r="R5825" s="3" t="s">
        <v>42369</v>
      </c>
      <c r="S5825" s="4">
        <v>6</v>
      </c>
      <c r="T5825" s="4">
        <v>14</v>
      </c>
      <c r="U5825" s="5" t="s">
        <v>17672</v>
      </c>
      <c r="V5825" s="5" t="s">
        <v>54961</v>
      </c>
      <c r="W5825" s="5" t="s">
        <v>67</v>
      </c>
      <c r="X5825" s="5" t="s">
        <v>67</v>
      </c>
      <c r="Y5825" s="4">
        <v>111</v>
      </c>
      <c r="Z5825" s="4">
        <v>4</v>
      </c>
      <c r="AA5825" s="4">
        <v>42</v>
      </c>
      <c r="AB5825" s="4">
        <v>1</v>
      </c>
      <c r="AC5825" s="4">
        <v>1</v>
      </c>
      <c r="AD5825" s="4">
        <v>3</v>
      </c>
      <c r="AE5825" s="4">
        <v>19</v>
      </c>
      <c r="AF5825" s="4">
        <v>0</v>
      </c>
      <c r="AG5825" s="4">
        <v>0</v>
      </c>
      <c r="AH5825" s="4">
        <v>3</v>
      </c>
      <c r="AI5825" s="4">
        <v>10</v>
      </c>
      <c r="AJ5825" s="4">
        <v>1</v>
      </c>
      <c r="AK5825" s="4">
        <v>5</v>
      </c>
      <c r="AL5825" s="4">
        <v>0</v>
      </c>
      <c r="AM5825" s="4">
        <v>4</v>
      </c>
      <c r="AN5825" s="4">
        <v>0</v>
      </c>
      <c r="AO5825" s="4">
        <v>0</v>
      </c>
      <c r="AP5825" s="4">
        <v>1</v>
      </c>
      <c r="AQ5825" s="4">
        <v>12</v>
      </c>
      <c r="AR5825" s="3" t="s">
        <v>62</v>
      </c>
      <c r="AS5825" s="3" t="s">
        <v>62</v>
      </c>
      <c r="AT5825" s="3" t="s">
        <v>62</v>
      </c>
      <c r="AV5825" s="6" t="str">
        <f>HYPERLINK("http://mcgill.on.worldcat.org/oclc/905917626","Catalog Record")</f>
        <v>Catalog Record</v>
      </c>
      <c r="AW5825" s="6" t="str">
        <f>HYPERLINK("http://www.worldcat.org/oclc/905917626","WorldCat Record")</f>
        <v>WorldCat Record</v>
      </c>
      <c r="AX5825" s="3" t="s">
        <v>54962</v>
      </c>
      <c r="AY5825" s="3" t="s">
        <v>54963</v>
      </c>
      <c r="AZ5825" s="3" t="s">
        <v>54964</v>
      </c>
      <c r="BA5825" s="3" t="s">
        <v>54964</v>
      </c>
      <c r="BB5825" s="3" t="s">
        <v>54965</v>
      </c>
      <c r="BC5825" s="3" t="s">
        <v>54793</v>
      </c>
      <c r="BD5825" s="3" t="s">
        <v>68</v>
      </c>
      <c r="BF5825" s="3" t="s">
        <v>54965</v>
      </c>
      <c r="BG5825" s="3" t="s">
        <v>54966</v>
      </c>
    </row>
    <row r="5826" spans="1:59" ht="87" x14ac:dyDescent="0.35">
      <c r="A5826" s="2" t="s">
        <v>89</v>
      </c>
      <c r="B5826" s="2" t="s">
        <v>42560</v>
      </c>
      <c r="C5826" s="2" t="s">
        <v>54967</v>
      </c>
      <c r="D5826" s="2" t="s">
        <v>54968</v>
      </c>
      <c r="E5826" s="2" t="s">
        <v>54958</v>
      </c>
      <c r="F5826" s="3" t="s">
        <v>54787</v>
      </c>
      <c r="G5826" s="3" t="s">
        <v>61</v>
      </c>
      <c r="I5826" s="3" t="s">
        <v>62</v>
      </c>
      <c r="J5826" s="3" t="s">
        <v>62</v>
      </c>
      <c r="K5826" s="3" t="s">
        <v>63</v>
      </c>
      <c r="M5826" s="2" t="s">
        <v>54959</v>
      </c>
      <c r="N5826" s="3" t="s">
        <v>1455</v>
      </c>
      <c r="O5826" s="2" t="s">
        <v>54960</v>
      </c>
      <c r="P5826" s="3" t="s">
        <v>64</v>
      </c>
      <c r="R5826" s="3" t="s">
        <v>42369</v>
      </c>
      <c r="S5826" s="4">
        <v>8</v>
      </c>
      <c r="T5826" s="4">
        <v>14</v>
      </c>
      <c r="U5826" s="5" t="s">
        <v>54961</v>
      </c>
      <c r="V5826" s="5" t="s">
        <v>54961</v>
      </c>
      <c r="W5826" s="5" t="s">
        <v>67</v>
      </c>
      <c r="X5826" s="5" t="s">
        <v>67</v>
      </c>
      <c r="Y5826" s="4">
        <v>111</v>
      </c>
      <c r="Z5826" s="4">
        <v>4</v>
      </c>
      <c r="AA5826" s="4">
        <v>42</v>
      </c>
      <c r="AB5826" s="4">
        <v>1</v>
      </c>
      <c r="AC5826" s="4">
        <v>1</v>
      </c>
      <c r="AD5826" s="4">
        <v>3</v>
      </c>
      <c r="AE5826" s="4">
        <v>19</v>
      </c>
      <c r="AF5826" s="4">
        <v>0</v>
      </c>
      <c r="AG5826" s="4">
        <v>0</v>
      </c>
      <c r="AH5826" s="4">
        <v>3</v>
      </c>
      <c r="AI5826" s="4">
        <v>10</v>
      </c>
      <c r="AJ5826" s="4">
        <v>1</v>
      </c>
      <c r="AK5826" s="4">
        <v>5</v>
      </c>
      <c r="AL5826" s="4">
        <v>0</v>
      </c>
      <c r="AM5826" s="4">
        <v>4</v>
      </c>
      <c r="AN5826" s="4">
        <v>0</v>
      </c>
      <c r="AO5826" s="4">
        <v>0</v>
      </c>
      <c r="AP5826" s="4">
        <v>1</v>
      </c>
      <c r="AQ5826" s="4">
        <v>12</v>
      </c>
      <c r="AR5826" s="3" t="s">
        <v>62</v>
      </c>
      <c r="AS5826" s="3" t="s">
        <v>62</v>
      </c>
      <c r="AT5826" s="3" t="s">
        <v>62</v>
      </c>
      <c r="AV5826" s="6" t="str">
        <f>HYPERLINK("http://mcgill.on.worldcat.org/oclc/905917626","Catalog Record")</f>
        <v>Catalog Record</v>
      </c>
      <c r="AW5826" s="6" t="str">
        <f>HYPERLINK("http://www.worldcat.org/oclc/905917626","WorldCat Record")</f>
        <v>WorldCat Record</v>
      </c>
      <c r="AX5826" s="3" t="s">
        <v>54962</v>
      </c>
      <c r="AY5826" s="3" t="s">
        <v>54963</v>
      </c>
      <c r="AZ5826" s="3" t="s">
        <v>54964</v>
      </c>
      <c r="BA5826" s="3" t="s">
        <v>54964</v>
      </c>
      <c r="BB5826" s="3" t="s">
        <v>54969</v>
      </c>
      <c r="BC5826" s="3" t="s">
        <v>54793</v>
      </c>
      <c r="BD5826" s="3" t="s">
        <v>68</v>
      </c>
      <c r="BF5826" s="3" t="s">
        <v>54969</v>
      </c>
      <c r="BG5826" s="3" t="s">
        <v>54970</v>
      </c>
    </row>
    <row r="5827" spans="1:59" ht="87" x14ac:dyDescent="0.35">
      <c r="A5827" s="2" t="s">
        <v>89</v>
      </c>
      <c r="B5827" s="2" t="s">
        <v>42560</v>
      </c>
      <c r="C5827" s="2" t="s">
        <v>54971</v>
      </c>
      <c r="D5827" s="2" t="s">
        <v>54972</v>
      </c>
      <c r="E5827" s="2" t="s">
        <v>54973</v>
      </c>
      <c r="G5827" s="3" t="s">
        <v>61</v>
      </c>
      <c r="I5827" s="3" t="s">
        <v>62</v>
      </c>
      <c r="J5827" s="3" t="s">
        <v>62</v>
      </c>
      <c r="K5827" s="3" t="s">
        <v>63</v>
      </c>
      <c r="M5827" s="2" t="s">
        <v>54974</v>
      </c>
      <c r="N5827" s="3" t="s">
        <v>698</v>
      </c>
      <c r="P5827" s="3" t="s">
        <v>64</v>
      </c>
      <c r="R5827" s="3" t="s">
        <v>65</v>
      </c>
      <c r="S5827" s="4">
        <v>3</v>
      </c>
      <c r="T5827" s="4">
        <v>3</v>
      </c>
      <c r="U5827" s="5" t="s">
        <v>54975</v>
      </c>
      <c r="V5827" s="5" t="s">
        <v>54975</v>
      </c>
      <c r="W5827" s="5" t="s">
        <v>67</v>
      </c>
      <c r="X5827" s="5" t="s">
        <v>67</v>
      </c>
      <c r="Y5827" s="4">
        <v>196</v>
      </c>
      <c r="Z5827" s="4">
        <v>10</v>
      </c>
      <c r="AA5827" s="4">
        <v>10</v>
      </c>
      <c r="AB5827" s="4">
        <v>1</v>
      </c>
      <c r="AC5827" s="4">
        <v>1</v>
      </c>
      <c r="AD5827" s="4">
        <v>5</v>
      </c>
      <c r="AE5827" s="4">
        <v>5</v>
      </c>
      <c r="AF5827" s="4">
        <v>0</v>
      </c>
      <c r="AG5827" s="4">
        <v>0</v>
      </c>
      <c r="AH5827" s="4">
        <v>5</v>
      </c>
      <c r="AI5827" s="4">
        <v>5</v>
      </c>
      <c r="AJ5827" s="4">
        <v>0</v>
      </c>
      <c r="AK5827" s="4">
        <v>0</v>
      </c>
      <c r="AL5827" s="4">
        <v>2</v>
      </c>
      <c r="AM5827" s="4">
        <v>2</v>
      </c>
      <c r="AN5827" s="4">
        <v>0</v>
      </c>
      <c r="AO5827" s="4">
        <v>0</v>
      </c>
      <c r="AP5827" s="4">
        <v>0</v>
      </c>
      <c r="AQ5827" s="4">
        <v>0</v>
      </c>
      <c r="AR5827" s="3" t="s">
        <v>62</v>
      </c>
      <c r="AS5827" s="3" t="s">
        <v>62</v>
      </c>
      <c r="AT5827" s="3" t="s">
        <v>62</v>
      </c>
      <c r="AV5827" s="6" t="str">
        <f>HYPERLINK("http://mcgill.on.worldcat.org/oclc/808745672","Catalog Record")</f>
        <v>Catalog Record</v>
      </c>
      <c r="AW5827" s="6" t="str">
        <f>HYPERLINK("http://www.worldcat.org/oclc/808745672","WorldCat Record")</f>
        <v>WorldCat Record</v>
      </c>
      <c r="AX5827" s="3" t="s">
        <v>54976</v>
      </c>
      <c r="AY5827" s="3" t="s">
        <v>54977</v>
      </c>
      <c r="AZ5827" s="3" t="s">
        <v>54978</v>
      </c>
      <c r="BA5827" s="3" t="s">
        <v>54978</v>
      </c>
      <c r="BB5827" s="3" t="s">
        <v>54979</v>
      </c>
      <c r="BC5827" s="3" t="s">
        <v>33640</v>
      </c>
      <c r="BD5827" s="3" t="s">
        <v>68</v>
      </c>
      <c r="BE5827" s="3" t="s">
        <v>54980</v>
      </c>
      <c r="BF5827" s="3" t="s">
        <v>54979</v>
      </c>
      <c r="BG5827" s="3" t="s">
        <v>54981</v>
      </c>
    </row>
    <row r="5828" spans="1:59" ht="87" x14ac:dyDescent="0.35">
      <c r="A5828" s="2" t="s">
        <v>89</v>
      </c>
      <c r="B5828" s="2" t="s">
        <v>42560</v>
      </c>
      <c r="C5828" s="2" t="s">
        <v>54982</v>
      </c>
      <c r="D5828" s="2" t="s">
        <v>54983</v>
      </c>
      <c r="E5828" s="2" t="s">
        <v>54984</v>
      </c>
      <c r="G5828" s="3" t="s">
        <v>62</v>
      </c>
      <c r="I5828" s="3" t="s">
        <v>62</v>
      </c>
      <c r="J5828" s="3" t="s">
        <v>62</v>
      </c>
      <c r="K5828" s="3" t="s">
        <v>63</v>
      </c>
      <c r="M5828" s="2" t="s">
        <v>54985</v>
      </c>
      <c r="N5828" s="3" t="s">
        <v>2136</v>
      </c>
      <c r="P5828" s="3" t="s">
        <v>64</v>
      </c>
      <c r="R5828" s="3" t="s">
        <v>34126</v>
      </c>
      <c r="S5828" s="4">
        <v>7</v>
      </c>
      <c r="T5828" s="4">
        <v>7</v>
      </c>
      <c r="U5828" s="5" t="s">
        <v>29305</v>
      </c>
      <c r="V5828" s="5" t="s">
        <v>29305</v>
      </c>
      <c r="W5828" s="5" t="s">
        <v>67</v>
      </c>
      <c r="X5828" s="5" t="s">
        <v>67</v>
      </c>
      <c r="Y5828" s="4">
        <v>338</v>
      </c>
      <c r="Z5828" s="4">
        <v>7</v>
      </c>
      <c r="AA5828" s="4">
        <v>9</v>
      </c>
      <c r="AB5828" s="4">
        <v>2</v>
      </c>
      <c r="AC5828" s="4">
        <v>2</v>
      </c>
      <c r="AD5828" s="4">
        <v>12</v>
      </c>
      <c r="AE5828" s="4">
        <v>28</v>
      </c>
      <c r="AF5828" s="4">
        <v>0</v>
      </c>
      <c r="AG5828" s="4">
        <v>0</v>
      </c>
      <c r="AH5828" s="4">
        <v>12</v>
      </c>
      <c r="AI5828" s="4">
        <v>25</v>
      </c>
      <c r="AJ5828" s="4">
        <v>1</v>
      </c>
      <c r="AK5828" s="4">
        <v>1</v>
      </c>
      <c r="AL5828" s="4">
        <v>6</v>
      </c>
      <c r="AM5828" s="4">
        <v>16</v>
      </c>
      <c r="AN5828" s="4">
        <v>0</v>
      </c>
      <c r="AO5828" s="4">
        <v>0</v>
      </c>
      <c r="AP5828" s="4">
        <v>1</v>
      </c>
      <c r="AQ5828" s="4">
        <v>3</v>
      </c>
      <c r="AR5828" s="3" t="s">
        <v>62</v>
      </c>
      <c r="AS5828" s="3" t="s">
        <v>62</v>
      </c>
      <c r="AT5828" s="3" t="s">
        <v>62</v>
      </c>
      <c r="AV5828" s="6" t="str">
        <f>HYPERLINK("http://mcgill.on.worldcat.org/oclc/61679772","Catalog Record")</f>
        <v>Catalog Record</v>
      </c>
      <c r="AW5828" s="6" t="str">
        <f>HYPERLINK("http://www.worldcat.org/oclc/61679772","WorldCat Record")</f>
        <v>WorldCat Record</v>
      </c>
      <c r="AX5828" s="3" t="s">
        <v>54986</v>
      </c>
      <c r="AY5828" s="3" t="s">
        <v>54987</v>
      </c>
      <c r="AZ5828" s="3" t="s">
        <v>54988</v>
      </c>
      <c r="BA5828" s="3" t="s">
        <v>54988</v>
      </c>
      <c r="BB5828" s="3" t="s">
        <v>54989</v>
      </c>
      <c r="BC5828" s="3" t="s">
        <v>33640</v>
      </c>
      <c r="BD5828" s="3" t="s">
        <v>68</v>
      </c>
      <c r="BE5828" s="3" t="s">
        <v>54990</v>
      </c>
      <c r="BF5828" s="3" t="s">
        <v>54989</v>
      </c>
      <c r="BG5828" s="3" t="s">
        <v>54991</v>
      </c>
    </row>
    <row r="5829" spans="1:59" ht="87" x14ac:dyDescent="0.35">
      <c r="A5829" s="2" t="s">
        <v>89</v>
      </c>
      <c r="B5829" s="2" t="s">
        <v>42560</v>
      </c>
      <c r="C5829" s="2" t="s">
        <v>54992</v>
      </c>
      <c r="D5829" s="2" t="s">
        <v>54993</v>
      </c>
      <c r="E5829" s="2" t="s">
        <v>54994</v>
      </c>
      <c r="G5829" s="3" t="s">
        <v>62</v>
      </c>
      <c r="I5829" s="3" t="s">
        <v>62</v>
      </c>
      <c r="J5829" s="3" t="s">
        <v>62</v>
      </c>
      <c r="K5829" s="3" t="s">
        <v>63</v>
      </c>
      <c r="M5829" s="2" t="s">
        <v>54995</v>
      </c>
      <c r="N5829" s="3" t="s">
        <v>684</v>
      </c>
      <c r="O5829" s="2" t="s">
        <v>54996</v>
      </c>
      <c r="P5829" s="3" t="s">
        <v>64</v>
      </c>
      <c r="R5829" s="3" t="s">
        <v>42369</v>
      </c>
      <c r="S5829" s="4">
        <v>12</v>
      </c>
      <c r="T5829" s="4">
        <v>12</v>
      </c>
      <c r="U5829" s="5" t="s">
        <v>22966</v>
      </c>
      <c r="V5829" s="5" t="s">
        <v>22966</v>
      </c>
      <c r="W5829" s="5" t="s">
        <v>67</v>
      </c>
      <c r="X5829" s="5" t="s">
        <v>67</v>
      </c>
      <c r="Y5829" s="4">
        <v>251</v>
      </c>
      <c r="Z5829" s="4">
        <v>14</v>
      </c>
      <c r="AA5829" s="4">
        <v>17</v>
      </c>
      <c r="AB5829" s="4">
        <v>2</v>
      </c>
      <c r="AC5829" s="4">
        <v>2</v>
      </c>
      <c r="AD5829" s="4">
        <v>19</v>
      </c>
      <c r="AE5829" s="4">
        <v>24</v>
      </c>
      <c r="AF5829" s="4">
        <v>0</v>
      </c>
      <c r="AG5829" s="4">
        <v>0</v>
      </c>
      <c r="AH5829" s="4">
        <v>16</v>
      </c>
      <c r="AI5829" s="4">
        <v>20</v>
      </c>
      <c r="AJ5829" s="4">
        <v>3</v>
      </c>
      <c r="AK5829" s="4">
        <v>4</v>
      </c>
      <c r="AL5829" s="4">
        <v>12</v>
      </c>
      <c r="AM5829" s="4">
        <v>13</v>
      </c>
      <c r="AN5829" s="4">
        <v>0</v>
      </c>
      <c r="AO5829" s="4">
        <v>0</v>
      </c>
      <c r="AP5829" s="4">
        <v>3</v>
      </c>
      <c r="AQ5829" s="4">
        <v>5</v>
      </c>
      <c r="AR5829" s="3" t="s">
        <v>62</v>
      </c>
      <c r="AS5829" s="3" t="s">
        <v>62</v>
      </c>
      <c r="AT5829" s="3" t="s">
        <v>62</v>
      </c>
      <c r="AV5829" s="6" t="str">
        <f>HYPERLINK("http://mcgill.on.worldcat.org/oclc/762865911","Catalog Record")</f>
        <v>Catalog Record</v>
      </c>
      <c r="AW5829" s="6" t="str">
        <f>HYPERLINK("http://www.worldcat.org/oclc/762865911","WorldCat Record")</f>
        <v>WorldCat Record</v>
      </c>
      <c r="AX5829" s="3" t="s">
        <v>54997</v>
      </c>
      <c r="AY5829" s="3" t="s">
        <v>54998</v>
      </c>
      <c r="AZ5829" s="3" t="s">
        <v>54999</v>
      </c>
      <c r="BA5829" s="3" t="s">
        <v>54999</v>
      </c>
      <c r="BB5829" s="3" t="s">
        <v>55000</v>
      </c>
      <c r="BC5829" s="3" t="s">
        <v>33640</v>
      </c>
      <c r="BD5829" s="3" t="s">
        <v>68</v>
      </c>
      <c r="BF5829" s="3" t="s">
        <v>55000</v>
      </c>
      <c r="BG5829" s="3" t="s">
        <v>55001</v>
      </c>
    </row>
    <row r="5830" spans="1:59" ht="174" x14ac:dyDescent="0.35">
      <c r="A5830" s="2" t="s">
        <v>89</v>
      </c>
      <c r="B5830" s="2" t="s">
        <v>42560</v>
      </c>
      <c r="C5830" s="2" t="s">
        <v>55002</v>
      </c>
      <c r="D5830" s="2" t="s">
        <v>55003</v>
      </c>
      <c r="E5830" s="2" t="s">
        <v>55004</v>
      </c>
      <c r="G5830" s="3" t="s">
        <v>62</v>
      </c>
      <c r="I5830" s="3" t="s">
        <v>62</v>
      </c>
      <c r="J5830" s="3" t="s">
        <v>62</v>
      </c>
      <c r="K5830" s="3" t="s">
        <v>63</v>
      </c>
      <c r="M5830" s="2" t="s">
        <v>55005</v>
      </c>
      <c r="N5830" s="3" t="s">
        <v>1038</v>
      </c>
      <c r="O5830" s="2" t="s">
        <v>55006</v>
      </c>
      <c r="P5830" s="3" t="s">
        <v>64</v>
      </c>
      <c r="R5830" s="3" t="s">
        <v>34126</v>
      </c>
      <c r="S5830" s="4">
        <v>6</v>
      </c>
      <c r="T5830" s="4">
        <v>6</v>
      </c>
      <c r="U5830" s="5" t="s">
        <v>26184</v>
      </c>
      <c r="V5830" s="5" t="s">
        <v>26184</v>
      </c>
      <c r="W5830" s="5" t="s">
        <v>67</v>
      </c>
      <c r="X5830" s="5" t="s">
        <v>67</v>
      </c>
      <c r="Y5830" s="4">
        <v>621</v>
      </c>
      <c r="Z5830" s="4">
        <v>9</v>
      </c>
      <c r="AA5830" s="4">
        <v>13</v>
      </c>
      <c r="AB5830" s="4">
        <v>1</v>
      </c>
      <c r="AC5830" s="4">
        <v>1</v>
      </c>
      <c r="AD5830" s="4">
        <v>30</v>
      </c>
      <c r="AE5830" s="4">
        <v>37</v>
      </c>
      <c r="AF5830" s="4">
        <v>0</v>
      </c>
      <c r="AG5830" s="4">
        <v>0</v>
      </c>
      <c r="AH5830" s="4">
        <v>27</v>
      </c>
      <c r="AI5830" s="4">
        <v>31</v>
      </c>
      <c r="AJ5830" s="4">
        <v>2</v>
      </c>
      <c r="AK5830" s="4">
        <v>3</v>
      </c>
      <c r="AL5830" s="4">
        <v>16</v>
      </c>
      <c r="AM5830" s="4">
        <v>17</v>
      </c>
      <c r="AN5830" s="4">
        <v>0</v>
      </c>
      <c r="AO5830" s="4">
        <v>0</v>
      </c>
      <c r="AP5830" s="4">
        <v>3</v>
      </c>
      <c r="AQ5830" s="4">
        <v>6</v>
      </c>
      <c r="AR5830" s="3" t="s">
        <v>62</v>
      </c>
      <c r="AS5830" s="3" t="s">
        <v>62</v>
      </c>
      <c r="AT5830" s="3" t="s">
        <v>62</v>
      </c>
      <c r="AV5830" s="6" t="str">
        <f>HYPERLINK("http://mcgill.on.worldcat.org/oclc/934533851","Catalog Record")</f>
        <v>Catalog Record</v>
      </c>
      <c r="AW5830" s="6" t="str">
        <f>HYPERLINK("http://www.worldcat.org/oclc/934533851","WorldCat Record")</f>
        <v>WorldCat Record</v>
      </c>
      <c r="AX5830" s="3" t="s">
        <v>55007</v>
      </c>
      <c r="AY5830" s="3" t="s">
        <v>55008</v>
      </c>
      <c r="AZ5830" s="3" t="s">
        <v>55009</v>
      </c>
      <c r="BA5830" s="3" t="s">
        <v>55009</v>
      </c>
      <c r="BB5830" s="3" t="s">
        <v>55010</v>
      </c>
      <c r="BC5830" s="3" t="s">
        <v>33640</v>
      </c>
      <c r="BD5830" s="3" t="s">
        <v>68</v>
      </c>
      <c r="BE5830" s="3" t="s">
        <v>55011</v>
      </c>
      <c r="BF5830" s="3" t="s">
        <v>55010</v>
      </c>
      <c r="BG5830" s="3" t="s">
        <v>55012</v>
      </c>
    </row>
    <row r="5831" spans="1:59" ht="87" x14ac:dyDescent="0.35">
      <c r="A5831" s="2" t="s">
        <v>89</v>
      </c>
      <c r="B5831" s="2" t="s">
        <v>42560</v>
      </c>
      <c r="C5831" s="2" t="s">
        <v>55013</v>
      </c>
      <c r="D5831" s="2" t="s">
        <v>55014</v>
      </c>
      <c r="E5831" s="2" t="s">
        <v>55015</v>
      </c>
      <c r="G5831" s="3" t="s">
        <v>62</v>
      </c>
      <c r="I5831" s="3" t="s">
        <v>62</v>
      </c>
      <c r="J5831" s="3" t="s">
        <v>62</v>
      </c>
      <c r="K5831" s="3" t="s">
        <v>63</v>
      </c>
      <c r="M5831" s="2" t="s">
        <v>55016</v>
      </c>
      <c r="N5831" s="3" t="s">
        <v>1905</v>
      </c>
      <c r="P5831" s="3" t="s">
        <v>64</v>
      </c>
      <c r="R5831" s="3" t="s">
        <v>13065</v>
      </c>
      <c r="S5831" s="4">
        <v>4</v>
      </c>
      <c r="T5831" s="4">
        <v>4</v>
      </c>
      <c r="U5831" s="5" t="s">
        <v>10139</v>
      </c>
      <c r="V5831" s="5" t="s">
        <v>10139</v>
      </c>
      <c r="W5831" s="5" t="s">
        <v>67</v>
      </c>
      <c r="X5831" s="5" t="s">
        <v>67</v>
      </c>
      <c r="Y5831" s="4">
        <v>3</v>
      </c>
      <c r="Z5831" s="4">
        <v>1</v>
      </c>
      <c r="AA5831" s="4">
        <v>1</v>
      </c>
      <c r="AB5831" s="4">
        <v>1</v>
      </c>
      <c r="AC5831" s="4">
        <v>1</v>
      </c>
      <c r="AD5831" s="4">
        <v>2</v>
      </c>
      <c r="AE5831" s="4">
        <v>2</v>
      </c>
      <c r="AF5831" s="4">
        <v>0</v>
      </c>
      <c r="AG5831" s="4">
        <v>0</v>
      </c>
      <c r="AH5831" s="4">
        <v>2</v>
      </c>
      <c r="AI5831" s="4">
        <v>2</v>
      </c>
      <c r="AJ5831" s="4">
        <v>0</v>
      </c>
      <c r="AK5831" s="4">
        <v>0</v>
      </c>
      <c r="AL5831" s="4">
        <v>2</v>
      </c>
      <c r="AM5831" s="4">
        <v>2</v>
      </c>
      <c r="AN5831" s="4">
        <v>0</v>
      </c>
      <c r="AO5831" s="4">
        <v>0</v>
      </c>
      <c r="AP5831" s="4">
        <v>0</v>
      </c>
      <c r="AQ5831" s="4">
        <v>0</v>
      </c>
      <c r="AR5831" s="3" t="s">
        <v>62</v>
      </c>
      <c r="AS5831" s="3" t="s">
        <v>62</v>
      </c>
      <c r="AT5831" s="3" t="s">
        <v>62</v>
      </c>
      <c r="AV5831" s="6" t="str">
        <f>HYPERLINK("http://mcgill.on.worldcat.org/oclc/47017489","Catalog Record")</f>
        <v>Catalog Record</v>
      </c>
      <c r="AW5831" s="6" t="str">
        <f>HYPERLINK("http://www.worldcat.org/oclc/47017489","WorldCat Record")</f>
        <v>WorldCat Record</v>
      </c>
      <c r="AX5831" s="3" t="s">
        <v>55017</v>
      </c>
      <c r="AY5831" s="3" t="s">
        <v>55018</v>
      </c>
      <c r="AZ5831" s="3" t="s">
        <v>55019</v>
      </c>
      <c r="BA5831" s="3" t="s">
        <v>55019</v>
      </c>
      <c r="BB5831" s="3" t="s">
        <v>55020</v>
      </c>
      <c r="BC5831" s="3" t="s">
        <v>55021</v>
      </c>
      <c r="BD5831" s="3" t="s">
        <v>68</v>
      </c>
      <c r="BF5831" s="3" t="s">
        <v>55020</v>
      </c>
      <c r="BG5831" s="3" t="s">
        <v>55022</v>
      </c>
    </row>
    <row r="5832" spans="1:59" ht="87" x14ac:dyDescent="0.35">
      <c r="A5832" s="2" t="s">
        <v>89</v>
      </c>
      <c r="B5832" s="2" t="s">
        <v>42560</v>
      </c>
      <c r="C5832" s="2" t="s">
        <v>55023</v>
      </c>
      <c r="D5832" s="2" t="s">
        <v>55024</v>
      </c>
      <c r="E5832" s="2" t="s">
        <v>55025</v>
      </c>
      <c r="G5832" s="3" t="s">
        <v>62</v>
      </c>
      <c r="I5832" s="3" t="s">
        <v>62</v>
      </c>
      <c r="J5832" s="3" t="s">
        <v>62</v>
      </c>
      <c r="K5832" s="3" t="s">
        <v>63</v>
      </c>
      <c r="M5832" s="2" t="s">
        <v>55026</v>
      </c>
      <c r="N5832" s="3" t="s">
        <v>712</v>
      </c>
      <c r="O5832" s="2" t="s">
        <v>55027</v>
      </c>
      <c r="P5832" s="3" t="s">
        <v>64</v>
      </c>
      <c r="R5832" s="3" t="s">
        <v>13065</v>
      </c>
      <c r="S5832" s="4">
        <v>3</v>
      </c>
      <c r="T5832" s="4">
        <v>3</v>
      </c>
      <c r="U5832" s="5" t="s">
        <v>17361</v>
      </c>
      <c r="V5832" s="5" t="s">
        <v>17361</v>
      </c>
      <c r="W5832" s="5" t="s">
        <v>67</v>
      </c>
      <c r="X5832" s="5" t="s">
        <v>67</v>
      </c>
      <c r="Y5832" s="4">
        <v>50</v>
      </c>
      <c r="Z5832" s="4">
        <v>4</v>
      </c>
      <c r="AA5832" s="4">
        <v>33</v>
      </c>
      <c r="AB5832" s="4">
        <v>1</v>
      </c>
      <c r="AC5832" s="4">
        <v>4</v>
      </c>
      <c r="AD5832" s="4">
        <v>18</v>
      </c>
      <c r="AE5832" s="4">
        <v>46</v>
      </c>
      <c r="AF5832" s="4">
        <v>0</v>
      </c>
      <c r="AG5832" s="4">
        <v>2</v>
      </c>
      <c r="AH5832" s="4">
        <v>18</v>
      </c>
      <c r="AI5832" s="4">
        <v>38</v>
      </c>
      <c r="AJ5832" s="4">
        <v>2</v>
      </c>
      <c r="AK5832" s="4">
        <v>8</v>
      </c>
      <c r="AL5832" s="4">
        <v>15</v>
      </c>
      <c r="AM5832" s="4">
        <v>26</v>
      </c>
      <c r="AN5832" s="4">
        <v>0</v>
      </c>
      <c r="AO5832" s="4">
        <v>0</v>
      </c>
      <c r="AP5832" s="4">
        <v>2</v>
      </c>
      <c r="AQ5832" s="4">
        <v>11</v>
      </c>
      <c r="AR5832" s="3" t="s">
        <v>62</v>
      </c>
      <c r="AS5832" s="3" t="s">
        <v>62</v>
      </c>
      <c r="AT5832" s="3" t="s">
        <v>62</v>
      </c>
      <c r="AV5832" s="6" t="str">
        <f>HYPERLINK("http://mcgill.on.worldcat.org/oclc/945077735","Catalog Record")</f>
        <v>Catalog Record</v>
      </c>
      <c r="AW5832" s="6" t="str">
        <f>HYPERLINK("http://www.worldcat.org/oclc/945077735","WorldCat Record")</f>
        <v>WorldCat Record</v>
      </c>
      <c r="AX5832" s="3" t="s">
        <v>55028</v>
      </c>
      <c r="AY5832" s="3" t="s">
        <v>55029</v>
      </c>
      <c r="AZ5832" s="3" t="s">
        <v>55030</v>
      </c>
      <c r="BA5832" s="3" t="s">
        <v>55030</v>
      </c>
      <c r="BB5832" s="3" t="s">
        <v>55031</v>
      </c>
      <c r="BC5832" s="3" t="s">
        <v>33640</v>
      </c>
      <c r="BD5832" s="3" t="s">
        <v>68</v>
      </c>
      <c r="BF5832" s="3" t="s">
        <v>55031</v>
      </c>
      <c r="BG5832" s="3" t="s">
        <v>55032</v>
      </c>
    </row>
    <row r="5833" spans="1:59" ht="87" x14ac:dyDescent="0.35">
      <c r="A5833" s="2" t="s">
        <v>89</v>
      </c>
      <c r="B5833" s="2" t="s">
        <v>42560</v>
      </c>
      <c r="C5833" s="2" t="s">
        <v>55033</v>
      </c>
      <c r="D5833" s="2" t="s">
        <v>55034</v>
      </c>
      <c r="E5833" s="2" t="s">
        <v>55035</v>
      </c>
      <c r="F5833" s="3" t="s">
        <v>55036</v>
      </c>
      <c r="G5833" s="3" t="s">
        <v>62</v>
      </c>
      <c r="I5833" s="3" t="s">
        <v>62</v>
      </c>
      <c r="J5833" s="3" t="s">
        <v>62</v>
      </c>
      <c r="K5833" s="3" t="s">
        <v>63</v>
      </c>
      <c r="M5833" s="2" t="s">
        <v>55037</v>
      </c>
      <c r="N5833" s="3" t="s">
        <v>684</v>
      </c>
      <c r="O5833" s="2" t="s">
        <v>55006</v>
      </c>
      <c r="P5833" s="3" t="s">
        <v>64</v>
      </c>
      <c r="Q5833" s="2" t="s">
        <v>55038</v>
      </c>
      <c r="R5833" s="3" t="s">
        <v>42369</v>
      </c>
      <c r="S5833" s="4">
        <v>4</v>
      </c>
      <c r="T5833" s="4">
        <v>4</v>
      </c>
      <c r="U5833" s="5" t="s">
        <v>8280</v>
      </c>
      <c r="V5833" s="5" t="s">
        <v>8280</v>
      </c>
      <c r="W5833" s="5" t="s">
        <v>67</v>
      </c>
      <c r="X5833" s="5" t="s">
        <v>67</v>
      </c>
      <c r="Y5833" s="4">
        <v>451</v>
      </c>
      <c r="Z5833" s="4">
        <v>19</v>
      </c>
      <c r="AA5833" s="4">
        <v>24</v>
      </c>
      <c r="AB5833" s="4">
        <v>1</v>
      </c>
      <c r="AC5833" s="4">
        <v>3</v>
      </c>
      <c r="AD5833" s="4">
        <v>14</v>
      </c>
      <c r="AE5833" s="4">
        <v>14</v>
      </c>
      <c r="AF5833" s="4">
        <v>0</v>
      </c>
      <c r="AG5833" s="4">
        <v>0</v>
      </c>
      <c r="AH5833" s="4">
        <v>13</v>
      </c>
      <c r="AI5833" s="4">
        <v>13</v>
      </c>
      <c r="AJ5833" s="4">
        <v>4</v>
      </c>
      <c r="AK5833" s="4">
        <v>4</v>
      </c>
      <c r="AL5833" s="4">
        <v>7</v>
      </c>
      <c r="AM5833" s="4">
        <v>7</v>
      </c>
      <c r="AN5833" s="4">
        <v>0</v>
      </c>
      <c r="AO5833" s="4">
        <v>0</v>
      </c>
      <c r="AP5833" s="4">
        <v>4</v>
      </c>
      <c r="AQ5833" s="4">
        <v>4</v>
      </c>
      <c r="AR5833" s="3" t="s">
        <v>62</v>
      </c>
      <c r="AS5833" s="3" t="s">
        <v>62</v>
      </c>
      <c r="AT5833" s="3" t="s">
        <v>62</v>
      </c>
      <c r="AV5833" s="6" t="str">
        <f>HYPERLINK("http://mcgill.on.worldcat.org/oclc/752327032","Catalog Record")</f>
        <v>Catalog Record</v>
      </c>
      <c r="AW5833" s="6" t="str">
        <f>HYPERLINK("http://www.worldcat.org/oclc/752327032","WorldCat Record")</f>
        <v>WorldCat Record</v>
      </c>
      <c r="AX5833" s="3" t="s">
        <v>55039</v>
      </c>
      <c r="AY5833" s="3" t="s">
        <v>55040</v>
      </c>
      <c r="AZ5833" s="3" t="s">
        <v>55041</v>
      </c>
      <c r="BA5833" s="3" t="s">
        <v>55041</v>
      </c>
      <c r="BB5833" s="3" t="s">
        <v>55042</v>
      </c>
      <c r="BC5833" s="3" t="s">
        <v>33640</v>
      </c>
      <c r="BD5833" s="3" t="s">
        <v>68</v>
      </c>
      <c r="BE5833" s="3" t="s">
        <v>55043</v>
      </c>
      <c r="BF5833" s="3" t="s">
        <v>55042</v>
      </c>
      <c r="BG5833" s="3" t="s">
        <v>55044</v>
      </c>
    </row>
    <row r="5834" spans="1:59" ht="130.5" x14ac:dyDescent="0.35">
      <c r="A5834" s="2" t="s">
        <v>89</v>
      </c>
      <c r="B5834" s="2" t="s">
        <v>42560</v>
      </c>
      <c r="C5834" s="2" t="s">
        <v>55045</v>
      </c>
      <c r="D5834" s="2" t="s">
        <v>55046</v>
      </c>
      <c r="E5834" s="2" t="s">
        <v>55047</v>
      </c>
      <c r="G5834" s="3" t="s">
        <v>62</v>
      </c>
      <c r="I5834" s="3" t="s">
        <v>62</v>
      </c>
      <c r="J5834" s="3" t="s">
        <v>62</v>
      </c>
      <c r="K5834" s="3" t="s">
        <v>63</v>
      </c>
      <c r="M5834" s="2" t="s">
        <v>55048</v>
      </c>
      <c r="N5834" s="3" t="s">
        <v>726</v>
      </c>
      <c r="P5834" s="3" t="s">
        <v>64</v>
      </c>
      <c r="R5834" s="3" t="s">
        <v>27443</v>
      </c>
      <c r="S5834" s="4">
        <v>7</v>
      </c>
      <c r="T5834" s="4">
        <v>7</v>
      </c>
      <c r="U5834" s="5" t="s">
        <v>28278</v>
      </c>
      <c r="V5834" s="5" t="s">
        <v>28278</v>
      </c>
      <c r="W5834" s="5" t="s">
        <v>67</v>
      </c>
      <c r="X5834" s="5" t="s">
        <v>67</v>
      </c>
      <c r="Y5834" s="4">
        <v>690</v>
      </c>
      <c r="Z5834" s="4">
        <v>29</v>
      </c>
      <c r="AA5834" s="4">
        <v>73</v>
      </c>
      <c r="AB5834" s="4">
        <v>2</v>
      </c>
      <c r="AC5834" s="4">
        <v>7</v>
      </c>
      <c r="AD5834" s="4">
        <v>40</v>
      </c>
      <c r="AE5834" s="4">
        <v>75</v>
      </c>
      <c r="AF5834" s="4">
        <v>0</v>
      </c>
      <c r="AG5834" s="4">
        <v>2</v>
      </c>
      <c r="AH5834" s="4">
        <v>35</v>
      </c>
      <c r="AI5834" s="4">
        <v>56</v>
      </c>
      <c r="AJ5834" s="4">
        <v>4</v>
      </c>
      <c r="AK5834" s="4">
        <v>10</v>
      </c>
      <c r="AL5834" s="4">
        <v>20</v>
      </c>
      <c r="AM5834" s="4">
        <v>30</v>
      </c>
      <c r="AN5834" s="4">
        <v>0</v>
      </c>
      <c r="AO5834" s="4">
        <v>0</v>
      </c>
      <c r="AP5834" s="4">
        <v>7</v>
      </c>
      <c r="AQ5834" s="4">
        <v>24</v>
      </c>
      <c r="AR5834" s="3" t="s">
        <v>62</v>
      </c>
      <c r="AS5834" s="3" t="s">
        <v>62</v>
      </c>
      <c r="AT5834" s="3" t="s">
        <v>62</v>
      </c>
      <c r="AV5834" s="6" t="str">
        <f>HYPERLINK("http://mcgill.on.worldcat.org/oclc/979423194","Catalog Record")</f>
        <v>Catalog Record</v>
      </c>
      <c r="AW5834" s="6" t="str">
        <f>HYPERLINK("http://www.worldcat.org/oclc/979423194","WorldCat Record")</f>
        <v>WorldCat Record</v>
      </c>
      <c r="AX5834" s="3" t="s">
        <v>55049</v>
      </c>
      <c r="AY5834" s="3" t="s">
        <v>55050</v>
      </c>
      <c r="AZ5834" s="3" t="s">
        <v>55051</v>
      </c>
      <c r="BA5834" s="3" t="s">
        <v>55051</v>
      </c>
      <c r="BB5834" s="3" t="s">
        <v>55052</v>
      </c>
      <c r="BC5834" s="3" t="s">
        <v>33640</v>
      </c>
      <c r="BD5834" s="3" t="s">
        <v>68</v>
      </c>
      <c r="BF5834" s="3" t="s">
        <v>55052</v>
      </c>
      <c r="BG5834" s="3" t="s">
        <v>55053</v>
      </c>
    </row>
    <row r="5835" spans="1:59" ht="87" x14ac:dyDescent="0.35">
      <c r="A5835" s="2" t="s">
        <v>89</v>
      </c>
      <c r="B5835" s="2" t="s">
        <v>42560</v>
      </c>
      <c r="C5835" s="2" t="s">
        <v>55054</v>
      </c>
      <c r="D5835" s="2" t="s">
        <v>55055</v>
      </c>
      <c r="E5835" s="2" t="s">
        <v>55056</v>
      </c>
      <c r="G5835" s="3" t="s">
        <v>62</v>
      </c>
      <c r="I5835" s="3" t="s">
        <v>62</v>
      </c>
      <c r="J5835" s="3" t="s">
        <v>62</v>
      </c>
      <c r="K5835" s="3" t="s">
        <v>63</v>
      </c>
      <c r="M5835" s="2" t="s">
        <v>55057</v>
      </c>
      <c r="N5835" s="3" t="s">
        <v>726</v>
      </c>
      <c r="P5835" s="3" t="s">
        <v>64</v>
      </c>
      <c r="R5835" s="3" t="s">
        <v>27443</v>
      </c>
      <c r="S5835" s="4">
        <v>14</v>
      </c>
      <c r="T5835" s="4">
        <v>14</v>
      </c>
      <c r="U5835" s="5" t="s">
        <v>987</v>
      </c>
      <c r="V5835" s="5" t="s">
        <v>987</v>
      </c>
      <c r="W5835" s="5" t="s">
        <v>67</v>
      </c>
      <c r="X5835" s="5" t="s">
        <v>67</v>
      </c>
      <c r="Y5835" s="4">
        <v>145</v>
      </c>
      <c r="Z5835" s="4">
        <v>4</v>
      </c>
      <c r="AA5835" s="4">
        <v>6</v>
      </c>
      <c r="AB5835" s="4">
        <v>1</v>
      </c>
      <c r="AC5835" s="4">
        <v>2</v>
      </c>
      <c r="AD5835" s="4">
        <v>9</v>
      </c>
      <c r="AE5835" s="4">
        <v>32</v>
      </c>
      <c r="AF5835" s="4">
        <v>0</v>
      </c>
      <c r="AG5835" s="4">
        <v>1</v>
      </c>
      <c r="AH5835" s="4">
        <v>8</v>
      </c>
      <c r="AI5835" s="4">
        <v>29</v>
      </c>
      <c r="AJ5835" s="4">
        <v>1</v>
      </c>
      <c r="AK5835" s="4">
        <v>3</v>
      </c>
      <c r="AL5835" s="4">
        <v>4</v>
      </c>
      <c r="AM5835" s="4">
        <v>21</v>
      </c>
      <c r="AN5835" s="4">
        <v>0</v>
      </c>
      <c r="AO5835" s="4">
        <v>0</v>
      </c>
      <c r="AP5835" s="4">
        <v>1</v>
      </c>
      <c r="AQ5835" s="4">
        <v>3</v>
      </c>
      <c r="AR5835" s="3" t="s">
        <v>62</v>
      </c>
      <c r="AS5835" s="3" t="s">
        <v>62</v>
      </c>
      <c r="AT5835" s="3" t="s">
        <v>62</v>
      </c>
      <c r="AV5835" s="6" t="str">
        <f>HYPERLINK("http://mcgill.on.worldcat.org/oclc/988033258","Catalog Record")</f>
        <v>Catalog Record</v>
      </c>
      <c r="AW5835" s="6" t="str">
        <f>HYPERLINK("http://www.worldcat.org/oclc/988033258","WorldCat Record")</f>
        <v>WorldCat Record</v>
      </c>
      <c r="AX5835" s="3" t="s">
        <v>55058</v>
      </c>
      <c r="AY5835" s="3" t="s">
        <v>55059</v>
      </c>
      <c r="AZ5835" s="3" t="s">
        <v>55060</v>
      </c>
      <c r="BA5835" s="3" t="s">
        <v>55060</v>
      </c>
      <c r="BB5835" s="3" t="s">
        <v>55061</v>
      </c>
      <c r="BC5835" s="3" t="s">
        <v>33640</v>
      </c>
      <c r="BD5835" s="3" t="s">
        <v>68</v>
      </c>
      <c r="BF5835" s="3" t="s">
        <v>55061</v>
      </c>
      <c r="BG5835" s="3" t="s">
        <v>55062</v>
      </c>
    </row>
    <row r="5836" spans="1:59" ht="87" x14ac:dyDescent="0.35">
      <c r="A5836" s="2" t="s">
        <v>89</v>
      </c>
      <c r="B5836" s="2" t="s">
        <v>42560</v>
      </c>
      <c r="C5836" s="2" t="s">
        <v>55063</v>
      </c>
      <c r="D5836" s="2" t="s">
        <v>55064</v>
      </c>
      <c r="E5836" s="2" t="s">
        <v>55065</v>
      </c>
      <c r="G5836" s="3" t="s">
        <v>62</v>
      </c>
      <c r="I5836" s="3" t="s">
        <v>62</v>
      </c>
      <c r="J5836" s="3" t="s">
        <v>62</v>
      </c>
      <c r="K5836" s="3" t="s">
        <v>63</v>
      </c>
      <c r="M5836" s="2" t="s">
        <v>55066</v>
      </c>
      <c r="N5836" s="3" t="s">
        <v>2985</v>
      </c>
      <c r="P5836" s="3" t="s">
        <v>64</v>
      </c>
      <c r="R5836" s="3" t="s">
        <v>27443</v>
      </c>
      <c r="S5836" s="4">
        <v>2</v>
      </c>
      <c r="T5836" s="4">
        <v>2</v>
      </c>
      <c r="U5836" s="5" t="s">
        <v>7705</v>
      </c>
      <c r="V5836" s="5" t="s">
        <v>7705</v>
      </c>
      <c r="W5836" s="5" t="s">
        <v>67</v>
      </c>
      <c r="X5836" s="5" t="s">
        <v>67</v>
      </c>
      <c r="Y5836" s="4">
        <v>29</v>
      </c>
      <c r="Z5836" s="4">
        <v>4</v>
      </c>
      <c r="AA5836" s="4">
        <v>8</v>
      </c>
      <c r="AB5836" s="4">
        <v>1</v>
      </c>
      <c r="AC5836" s="4">
        <v>1</v>
      </c>
      <c r="AD5836" s="4">
        <v>5</v>
      </c>
      <c r="AE5836" s="4">
        <v>6</v>
      </c>
      <c r="AF5836" s="4">
        <v>0</v>
      </c>
      <c r="AG5836" s="4">
        <v>0</v>
      </c>
      <c r="AH5836" s="4">
        <v>5</v>
      </c>
      <c r="AI5836" s="4">
        <v>6</v>
      </c>
      <c r="AJ5836" s="4">
        <v>1</v>
      </c>
      <c r="AK5836" s="4">
        <v>1</v>
      </c>
      <c r="AL5836" s="4">
        <v>4</v>
      </c>
      <c r="AM5836" s="4">
        <v>4</v>
      </c>
      <c r="AN5836" s="4">
        <v>0</v>
      </c>
      <c r="AO5836" s="4">
        <v>0</v>
      </c>
      <c r="AP5836" s="4">
        <v>1</v>
      </c>
      <c r="AQ5836" s="4">
        <v>1</v>
      </c>
      <c r="AR5836" s="3" t="s">
        <v>62</v>
      </c>
      <c r="AS5836" s="3" t="s">
        <v>62</v>
      </c>
      <c r="AT5836" s="3" t="s">
        <v>62</v>
      </c>
      <c r="AV5836" s="6" t="str">
        <f>HYPERLINK("http://mcgill.on.worldcat.org/oclc/610620462","Catalog Record")</f>
        <v>Catalog Record</v>
      </c>
      <c r="AW5836" s="6" t="str">
        <f>HYPERLINK("http://www.worldcat.org/oclc/610620462","WorldCat Record")</f>
        <v>WorldCat Record</v>
      </c>
      <c r="AX5836" s="3" t="s">
        <v>55067</v>
      </c>
      <c r="AY5836" s="3" t="s">
        <v>55068</v>
      </c>
      <c r="AZ5836" s="3" t="s">
        <v>55069</v>
      </c>
      <c r="BA5836" s="3" t="s">
        <v>55069</v>
      </c>
      <c r="BB5836" s="3" t="s">
        <v>55070</v>
      </c>
      <c r="BC5836" s="3" t="s">
        <v>33640</v>
      </c>
      <c r="BD5836" s="3" t="s">
        <v>68</v>
      </c>
      <c r="BF5836" s="3" t="s">
        <v>55070</v>
      </c>
      <c r="BG5836" s="3" t="s">
        <v>55071</v>
      </c>
    </row>
    <row r="5837" spans="1:59" ht="87" x14ac:dyDescent="0.35">
      <c r="A5837" s="2" t="s">
        <v>89</v>
      </c>
      <c r="B5837" s="2" t="s">
        <v>42560</v>
      </c>
      <c r="C5837" s="2" t="s">
        <v>55072</v>
      </c>
      <c r="D5837" s="2" t="s">
        <v>55073</v>
      </c>
      <c r="E5837" s="2" t="s">
        <v>55074</v>
      </c>
      <c r="G5837" s="3" t="s">
        <v>62</v>
      </c>
      <c r="I5837" s="3" t="s">
        <v>62</v>
      </c>
      <c r="J5837" s="3" t="s">
        <v>62</v>
      </c>
      <c r="K5837" s="3" t="s">
        <v>63</v>
      </c>
      <c r="M5837" s="2" t="s">
        <v>55075</v>
      </c>
      <c r="N5837" s="3" t="s">
        <v>726</v>
      </c>
      <c r="P5837" s="3" t="s">
        <v>64</v>
      </c>
      <c r="R5837" s="3" t="s">
        <v>27443</v>
      </c>
      <c r="S5837" s="4">
        <v>4</v>
      </c>
      <c r="T5837" s="4">
        <v>4</v>
      </c>
      <c r="U5837" s="5" t="s">
        <v>17448</v>
      </c>
      <c r="V5837" s="5" t="s">
        <v>17448</v>
      </c>
      <c r="W5837" s="5" t="s">
        <v>67</v>
      </c>
      <c r="X5837" s="5" t="s">
        <v>67</v>
      </c>
      <c r="Y5837" s="4">
        <v>266</v>
      </c>
      <c r="Z5837" s="4">
        <v>5</v>
      </c>
      <c r="AA5837" s="4">
        <v>6</v>
      </c>
      <c r="AB5837" s="4">
        <v>1</v>
      </c>
      <c r="AC5837" s="4">
        <v>1</v>
      </c>
      <c r="AD5837" s="4">
        <v>14</v>
      </c>
      <c r="AE5837" s="4">
        <v>25</v>
      </c>
      <c r="AF5837" s="4">
        <v>0</v>
      </c>
      <c r="AG5837" s="4">
        <v>0</v>
      </c>
      <c r="AH5837" s="4">
        <v>13</v>
      </c>
      <c r="AI5837" s="4">
        <v>24</v>
      </c>
      <c r="AJ5837" s="4">
        <v>0</v>
      </c>
      <c r="AK5837" s="4">
        <v>1</v>
      </c>
      <c r="AL5837" s="4">
        <v>9</v>
      </c>
      <c r="AM5837" s="4">
        <v>16</v>
      </c>
      <c r="AN5837" s="4">
        <v>0</v>
      </c>
      <c r="AO5837" s="4">
        <v>0</v>
      </c>
      <c r="AP5837" s="4">
        <v>0</v>
      </c>
      <c r="AQ5837" s="4">
        <v>1</v>
      </c>
      <c r="AR5837" s="3" t="s">
        <v>62</v>
      </c>
      <c r="AS5837" s="3" t="s">
        <v>62</v>
      </c>
      <c r="AT5837" s="3" t="s">
        <v>62</v>
      </c>
      <c r="AV5837" s="6" t="str">
        <f>HYPERLINK("http://mcgill.on.worldcat.org/oclc/973233965","Catalog Record")</f>
        <v>Catalog Record</v>
      </c>
      <c r="AW5837" s="6" t="str">
        <f>HYPERLINK("http://www.worldcat.org/oclc/973233965","WorldCat Record")</f>
        <v>WorldCat Record</v>
      </c>
      <c r="AX5837" s="3" t="s">
        <v>55076</v>
      </c>
      <c r="AY5837" s="3" t="s">
        <v>55077</v>
      </c>
      <c r="AZ5837" s="3" t="s">
        <v>55078</v>
      </c>
      <c r="BA5837" s="3" t="s">
        <v>55078</v>
      </c>
      <c r="BB5837" s="3" t="s">
        <v>55079</v>
      </c>
      <c r="BC5837" s="3" t="s">
        <v>33640</v>
      </c>
      <c r="BD5837" s="3" t="s">
        <v>68</v>
      </c>
      <c r="BF5837" s="3" t="s">
        <v>55079</v>
      </c>
      <c r="BG5837" s="3" t="s">
        <v>55080</v>
      </c>
    </row>
    <row r="5838" spans="1:59" ht="87" x14ac:dyDescent="0.35">
      <c r="A5838" s="2" t="s">
        <v>89</v>
      </c>
      <c r="B5838" s="2" t="s">
        <v>42560</v>
      </c>
      <c r="C5838" s="2" t="s">
        <v>55081</v>
      </c>
      <c r="D5838" s="2" t="s">
        <v>55082</v>
      </c>
      <c r="E5838" s="2" t="s">
        <v>55083</v>
      </c>
      <c r="G5838" s="3" t="s">
        <v>62</v>
      </c>
      <c r="I5838" s="3" t="s">
        <v>62</v>
      </c>
      <c r="J5838" s="3" t="s">
        <v>62</v>
      </c>
      <c r="K5838" s="3" t="s">
        <v>63</v>
      </c>
      <c r="M5838" s="2" t="s">
        <v>55084</v>
      </c>
      <c r="N5838" s="3" t="s">
        <v>2085</v>
      </c>
      <c r="P5838" s="3" t="s">
        <v>85</v>
      </c>
      <c r="R5838" s="3" t="s">
        <v>34126</v>
      </c>
      <c r="S5838" s="4">
        <v>5</v>
      </c>
      <c r="T5838" s="4">
        <v>5</v>
      </c>
      <c r="U5838" s="5" t="s">
        <v>15777</v>
      </c>
      <c r="V5838" s="5" t="s">
        <v>15777</v>
      </c>
      <c r="W5838" s="5" t="s">
        <v>67</v>
      </c>
      <c r="X5838" s="5" t="s">
        <v>67</v>
      </c>
      <c r="Y5838" s="4">
        <v>2</v>
      </c>
      <c r="Z5838" s="4">
        <v>2</v>
      </c>
      <c r="AA5838" s="4">
        <v>14</v>
      </c>
      <c r="AB5838" s="4">
        <v>1</v>
      </c>
      <c r="AC5838" s="4">
        <v>11</v>
      </c>
      <c r="AD5838" s="4">
        <v>1</v>
      </c>
      <c r="AE5838" s="4">
        <v>6</v>
      </c>
      <c r="AF5838" s="4">
        <v>0</v>
      </c>
      <c r="AG5838" s="4">
        <v>4</v>
      </c>
      <c r="AH5838" s="4">
        <v>1</v>
      </c>
      <c r="AI5838" s="4">
        <v>3</v>
      </c>
      <c r="AJ5838" s="4">
        <v>1</v>
      </c>
      <c r="AK5838" s="4">
        <v>5</v>
      </c>
      <c r="AL5838" s="4">
        <v>0</v>
      </c>
      <c r="AM5838" s="4">
        <v>0</v>
      </c>
      <c r="AN5838" s="4">
        <v>0</v>
      </c>
      <c r="AO5838" s="4">
        <v>0</v>
      </c>
      <c r="AP5838" s="4">
        <v>1</v>
      </c>
      <c r="AQ5838" s="4">
        <v>6</v>
      </c>
      <c r="AR5838" s="3" t="s">
        <v>61</v>
      </c>
      <c r="AS5838" s="3" t="s">
        <v>62</v>
      </c>
      <c r="AT5838" s="3" t="s">
        <v>62</v>
      </c>
      <c r="AV5838" s="6" t="str">
        <f>HYPERLINK("http://mcgill.on.worldcat.org/oclc/1052783623","Catalog Record")</f>
        <v>Catalog Record</v>
      </c>
      <c r="AW5838" s="6" t="str">
        <f>HYPERLINK("http://www.worldcat.org/oclc/1052783623","WorldCat Record")</f>
        <v>WorldCat Record</v>
      </c>
      <c r="AX5838" s="3" t="s">
        <v>55085</v>
      </c>
      <c r="AY5838" s="3" t="s">
        <v>55086</v>
      </c>
      <c r="AZ5838" s="3" t="s">
        <v>55087</v>
      </c>
      <c r="BA5838" s="3" t="s">
        <v>55087</v>
      </c>
      <c r="BB5838" s="3" t="s">
        <v>55088</v>
      </c>
      <c r="BC5838" s="3" t="s">
        <v>33640</v>
      </c>
      <c r="BD5838" s="3" t="s">
        <v>68</v>
      </c>
      <c r="BF5838" s="3" t="s">
        <v>55088</v>
      </c>
      <c r="BG5838" s="3" t="s">
        <v>55089</v>
      </c>
    </row>
    <row r="5839" spans="1:59" ht="87" x14ac:dyDescent="0.35">
      <c r="A5839" s="2" t="s">
        <v>89</v>
      </c>
      <c r="B5839" s="2" t="s">
        <v>42560</v>
      </c>
      <c r="C5839" s="2" t="s">
        <v>55090</v>
      </c>
      <c r="D5839" s="2" t="s">
        <v>55091</v>
      </c>
      <c r="E5839" s="2" t="s">
        <v>55092</v>
      </c>
      <c r="F5839" s="3" t="s">
        <v>55093</v>
      </c>
      <c r="G5839" s="3" t="s">
        <v>62</v>
      </c>
      <c r="I5839" s="3" t="s">
        <v>62</v>
      </c>
      <c r="J5839" s="3" t="s">
        <v>62</v>
      </c>
      <c r="K5839" s="3" t="s">
        <v>63</v>
      </c>
      <c r="M5839" s="2" t="s">
        <v>55094</v>
      </c>
      <c r="N5839" s="3" t="s">
        <v>684</v>
      </c>
      <c r="P5839" s="3" t="s">
        <v>64</v>
      </c>
      <c r="R5839" s="3" t="s">
        <v>32962</v>
      </c>
      <c r="S5839" s="4">
        <v>0</v>
      </c>
      <c r="T5839" s="4">
        <v>0</v>
      </c>
      <c r="W5839" s="5" t="s">
        <v>67</v>
      </c>
      <c r="X5839" s="5" t="s">
        <v>67</v>
      </c>
      <c r="Y5839" s="4">
        <v>60</v>
      </c>
      <c r="Z5839" s="4">
        <v>2</v>
      </c>
      <c r="AA5839" s="4">
        <v>9</v>
      </c>
      <c r="AB5839" s="4">
        <v>1</v>
      </c>
      <c r="AC5839" s="4">
        <v>4</v>
      </c>
      <c r="AD5839" s="4">
        <v>4</v>
      </c>
      <c r="AE5839" s="4">
        <v>8</v>
      </c>
      <c r="AF5839" s="4">
        <v>0</v>
      </c>
      <c r="AG5839" s="4">
        <v>1</v>
      </c>
      <c r="AH5839" s="4">
        <v>3</v>
      </c>
      <c r="AI5839" s="4">
        <v>5</v>
      </c>
      <c r="AJ5839" s="4">
        <v>0</v>
      </c>
      <c r="AK5839" s="4">
        <v>2</v>
      </c>
      <c r="AL5839" s="4">
        <v>1</v>
      </c>
      <c r="AM5839" s="4">
        <v>2</v>
      </c>
      <c r="AN5839" s="4">
        <v>0</v>
      </c>
      <c r="AO5839" s="4">
        <v>0</v>
      </c>
      <c r="AP5839" s="4">
        <v>1</v>
      </c>
      <c r="AQ5839" s="4">
        <v>4</v>
      </c>
      <c r="AR5839" s="3" t="s">
        <v>62</v>
      </c>
      <c r="AS5839" s="3" t="s">
        <v>62</v>
      </c>
      <c r="AT5839" s="3" t="s">
        <v>62</v>
      </c>
      <c r="AV5839" s="6" t="str">
        <f>HYPERLINK("http://mcgill.on.worldcat.org/oclc/728130329","Catalog Record")</f>
        <v>Catalog Record</v>
      </c>
      <c r="AW5839" s="6" t="str">
        <f>HYPERLINK("http://www.worldcat.org/oclc/728130329","WorldCat Record")</f>
        <v>WorldCat Record</v>
      </c>
      <c r="AX5839" s="3" t="s">
        <v>55095</v>
      </c>
      <c r="AY5839" s="3" t="s">
        <v>55096</v>
      </c>
      <c r="AZ5839" s="3" t="s">
        <v>55097</v>
      </c>
      <c r="BA5839" s="3" t="s">
        <v>55097</v>
      </c>
      <c r="BB5839" s="3" t="s">
        <v>55098</v>
      </c>
      <c r="BC5839" s="3" t="s">
        <v>33640</v>
      </c>
      <c r="BD5839" s="3" t="s">
        <v>68</v>
      </c>
      <c r="BF5839" s="3" t="s">
        <v>55098</v>
      </c>
      <c r="BG5839" s="3" t="s">
        <v>55099</v>
      </c>
    </row>
    <row r="5840" spans="1:59" ht="87" x14ac:dyDescent="0.35">
      <c r="A5840" s="2" t="s">
        <v>89</v>
      </c>
      <c r="B5840" s="2" t="s">
        <v>42560</v>
      </c>
      <c r="C5840" s="2" t="s">
        <v>55100</v>
      </c>
      <c r="D5840" s="2" t="s">
        <v>55101</v>
      </c>
      <c r="E5840" s="2" t="s">
        <v>55102</v>
      </c>
      <c r="F5840" s="3" t="s">
        <v>55103</v>
      </c>
      <c r="G5840" s="3" t="s">
        <v>61</v>
      </c>
      <c r="I5840" s="3" t="s">
        <v>62</v>
      </c>
      <c r="J5840" s="3" t="s">
        <v>62</v>
      </c>
      <c r="K5840" s="3" t="s">
        <v>63</v>
      </c>
      <c r="M5840" s="2" t="s">
        <v>55104</v>
      </c>
      <c r="N5840" s="3" t="s">
        <v>1195</v>
      </c>
      <c r="P5840" s="3" t="s">
        <v>64</v>
      </c>
      <c r="R5840" s="3" t="s">
        <v>27443</v>
      </c>
      <c r="S5840" s="4">
        <v>30</v>
      </c>
      <c r="T5840" s="4">
        <v>59</v>
      </c>
      <c r="U5840" s="5" t="s">
        <v>28130</v>
      </c>
      <c r="V5840" s="5" t="s">
        <v>5844</v>
      </c>
      <c r="W5840" s="5" t="s">
        <v>67</v>
      </c>
      <c r="X5840" s="5" t="s">
        <v>67</v>
      </c>
      <c r="Y5840" s="4">
        <v>122</v>
      </c>
      <c r="Z5840" s="4">
        <v>3</v>
      </c>
      <c r="AA5840" s="4">
        <v>3</v>
      </c>
      <c r="AB5840" s="4">
        <v>1</v>
      </c>
      <c r="AC5840" s="4">
        <v>1</v>
      </c>
      <c r="AD5840" s="4">
        <v>7</v>
      </c>
      <c r="AE5840" s="4">
        <v>7</v>
      </c>
      <c r="AF5840" s="4">
        <v>0</v>
      </c>
      <c r="AG5840" s="4">
        <v>0</v>
      </c>
      <c r="AH5840" s="4">
        <v>6</v>
      </c>
      <c r="AI5840" s="4">
        <v>6</v>
      </c>
      <c r="AJ5840" s="4">
        <v>1</v>
      </c>
      <c r="AK5840" s="4">
        <v>1</v>
      </c>
      <c r="AL5840" s="4">
        <v>5</v>
      </c>
      <c r="AM5840" s="4">
        <v>5</v>
      </c>
      <c r="AN5840" s="4">
        <v>0</v>
      </c>
      <c r="AO5840" s="4">
        <v>0</v>
      </c>
      <c r="AP5840" s="4">
        <v>1</v>
      </c>
      <c r="AQ5840" s="4">
        <v>1</v>
      </c>
      <c r="AR5840" s="3" t="s">
        <v>62</v>
      </c>
      <c r="AS5840" s="3" t="s">
        <v>62</v>
      </c>
      <c r="AT5840" s="3" t="s">
        <v>62</v>
      </c>
      <c r="AV5840" s="6" t="str">
        <f>HYPERLINK("http://mcgill.on.worldcat.org/oclc/63657943","Catalog Record")</f>
        <v>Catalog Record</v>
      </c>
      <c r="AW5840" s="6" t="str">
        <f>HYPERLINK("http://www.worldcat.org/oclc/63657943","WorldCat Record")</f>
        <v>WorldCat Record</v>
      </c>
      <c r="AX5840" s="3" t="s">
        <v>55105</v>
      </c>
      <c r="AY5840" s="3" t="s">
        <v>55106</v>
      </c>
      <c r="AZ5840" s="3" t="s">
        <v>55107</v>
      </c>
      <c r="BA5840" s="3" t="s">
        <v>55107</v>
      </c>
      <c r="BB5840" s="3" t="s">
        <v>55108</v>
      </c>
      <c r="BC5840" s="3" t="s">
        <v>33640</v>
      </c>
      <c r="BD5840" s="3" t="s">
        <v>231</v>
      </c>
      <c r="BE5840" s="3" t="s">
        <v>55109</v>
      </c>
      <c r="BF5840" s="3" t="s">
        <v>55108</v>
      </c>
      <c r="BG5840" s="3" t="s">
        <v>55110</v>
      </c>
    </row>
    <row r="5841" spans="1:59" ht="87" x14ac:dyDescent="0.35">
      <c r="A5841" s="2" t="s">
        <v>89</v>
      </c>
      <c r="B5841" s="2" t="s">
        <v>42560</v>
      </c>
      <c r="C5841" s="2" t="s">
        <v>55100</v>
      </c>
      <c r="D5841" s="2" t="s">
        <v>55101</v>
      </c>
      <c r="E5841" s="2" t="s">
        <v>55102</v>
      </c>
      <c r="F5841" s="3" t="s">
        <v>55111</v>
      </c>
      <c r="G5841" s="3" t="s">
        <v>61</v>
      </c>
      <c r="I5841" s="3" t="s">
        <v>62</v>
      </c>
      <c r="J5841" s="3" t="s">
        <v>62</v>
      </c>
      <c r="K5841" s="3" t="s">
        <v>63</v>
      </c>
      <c r="M5841" s="2" t="s">
        <v>55104</v>
      </c>
      <c r="N5841" s="3" t="s">
        <v>1195</v>
      </c>
      <c r="P5841" s="3" t="s">
        <v>64</v>
      </c>
      <c r="R5841" s="3" t="s">
        <v>27443</v>
      </c>
      <c r="S5841" s="4">
        <v>14</v>
      </c>
      <c r="T5841" s="4">
        <v>59</v>
      </c>
      <c r="U5841" s="5" t="s">
        <v>30422</v>
      </c>
      <c r="V5841" s="5" t="s">
        <v>5844</v>
      </c>
      <c r="W5841" s="5" t="s">
        <v>67</v>
      </c>
      <c r="X5841" s="5" t="s">
        <v>67</v>
      </c>
      <c r="Y5841" s="4">
        <v>122</v>
      </c>
      <c r="Z5841" s="4">
        <v>3</v>
      </c>
      <c r="AA5841" s="4">
        <v>3</v>
      </c>
      <c r="AB5841" s="4">
        <v>1</v>
      </c>
      <c r="AC5841" s="4">
        <v>1</v>
      </c>
      <c r="AD5841" s="4">
        <v>7</v>
      </c>
      <c r="AE5841" s="4">
        <v>7</v>
      </c>
      <c r="AF5841" s="4">
        <v>0</v>
      </c>
      <c r="AG5841" s="4">
        <v>0</v>
      </c>
      <c r="AH5841" s="4">
        <v>6</v>
      </c>
      <c r="AI5841" s="4">
        <v>6</v>
      </c>
      <c r="AJ5841" s="4">
        <v>1</v>
      </c>
      <c r="AK5841" s="4">
        <v>1</v>
      </c>
      <c r="AL5841" s="4">
        <v>5</v>
      </c>
      <c r="AM5841" s="4">
        <v>5</v>
      </c>
      <c r="AN5841" s="4">
        <v>0</v>
      </c>
      <c r="AO5841" s="4">
        <v>0</v>
      </c>
      <c r="AP5841" s="4">
        <v>1</v>
      </c>
      <c r="AQ5841" s="4">
        <v>1</v>
      </c>
      <c r="AR5841" s="3" t="s">
        <v>62</v>
      </c>
      <c r="AS5841" s="3" t="s">
        <v>62</v>
      </c>
      <c r="AT5841" s="3" t="s">
        <v>62</v>
      </c>
      <c r="AV5841" s="6" t="str">
        <f>HYPERLINK("http://mcgill.on.worldcat.org/oclc/63657943","Catalog Record")</f>
        <v>Catalog Record</v>
      </c>
      <c r="AW5841" s="6" t="str">
        <f>HYPERLINK("http://www.worldcat.org/oclc/63657943","WorldCat Record")</f>
        <v>WorldCat Record</v>
      </c>
      <c r="AX5841" s="3" t="s">
        <v>55105</v>
      </c>
      <c r="AY5841" s="3" t="s">
        <v>55106</v>
      </c>
      <c r="AZ5841" s="3" t="s">
        <v>55107</v>
      </c>
      <c r="BA5841" s="3" t="s">
        <v>55107</v>
      </c>
      <c r="BB5841" s="3" t="s">
        <v>55112</v>
      </c>
      <c r="BC5841" s="3" t="s">
        <v>33640</v>
      </c>
      <c r="BD5841" s="3" t="s">
        <v>68</v>
      </c>
      <c r="BE5841" s="3" t="s">
        <v>55109</v>
      </c>
      <c r="BF5841" s="3" t="s">
        <v>55112</v>
      </c>
      <c r="BG5841" s="3" t="s">
        <v>55113</v>
      </c>
    </row>
    <row r="5842" spans="1:59" ht="87" x14ac:dyDescent="0.35">
      <c r="A5842" s="2" t="s">
        <v>89</v>
      </c>
      <c r="B5842" s="2" t="s">
        <v>42560</v>
      </c>
      <c r="C5842" s="2" t="s">
        <v>55100</v>
      </c>
      <c r="D5842" s="2" t="s">
        <v>55101</v>
      </c>
      <c r="E5842" s="2" t="s">
        <v>55102</v>
      </c>
      <c r="F5842" s="3" t="s">
        <v>248</v>
      </c>
      <c r="G5842" s="3" t="s">
        <v>61</v>
      </c>
      <c r="I5842" s="3" t="s">
        <v>62</v>
      </c>
      <c r="J5842" s="3" t="s">
        <v>62</v>
      </c>
      <c r="K5842" s="3" t="s">
        <v>63</v>
      </c>
      <c r="M5842" s="2" t="s">
        <v>55104</v>
      </c>
      <c r="N5842" s="3" t="s">
        <v>1195</v>
      </c>
      <c r="P5842" s="3" t="s">
        <v>64</v>
      </c>
      <c r="R5842" s="3" t="s">
        <v>27443</v>
      </c>
      <c r="S5842" s="4">
        <v>15</v>
      </c>
      <c r="T5842" s="4">
        <v>59</v>
      </c>
      <c r="U5842" s="5" t="s">
        <v>5844</v>
      </c>
      <c r="V5842" s="5" t="s">
        <v>5844</v>
      </c>
      <c r="W5842" s="5" t="s">
        <v>67</v>
      </c>
      <c r="X5842" s="5" t="s">
        <v>67</v>
      </c>
      <c r="Y5842" s="4">
        <v>122</v>
      </c>
      <c r="Z5842" s="4">
        <v>3</v>
      </c>
      <c r="AA5842" s="4">
        <v>3</v>
      </c>
      <c r="AB5842" s="4">
        <v>1</v>
      </c>
      <c r="AC5842" s="4">
        <v>1</v>
      </c>
      <c r="AD5842" s="4">
        <v>7</v>
      </c>
      <c r="AE5842" s="4">
        <v>7</v>
      </c>
      <c r="AF5842" s="4">
        <v>0</v>
      </c>
      <c r="AG5842" s="4">
        <v>0</v>
      </c>
      <c r="AH5842" s="4">
        <v>6</v>
      </c>
      <c r="AI5842" s="4">
        <v>6</v>
      </c>
      <c r="AJ5842" s="4">
        <v>1</v>
      </c>
      <c r="AK5842" s="4">
        <v>1</v>
      </c>
      <c r="AL5842" s="4">
        <v>5</v>
      </c>
      <c r="AM5842" s="4">
        <v>5</v>
      </c>
      <c r="AN5842" s="4">
        <v>0</v>
      </c>
      <c r="AO5842" s="4">
        <v>0</v>
      </c>
      <c r="AP5842" s="4">
        <v>1</v>
      </c>
      <c r="AQ5842" s="4">
        <v>1</v>
      </c>
      <c r="AR5842" s="3" t="s">
        <v>62</v>
      </c>
      <c r="AS5842" s="3" t="s">
        <v>62</v>
      </c>
      <c r="AT5842" s="3" t="s">
        <v>62</v>
      </c>
      <c r="AV5842" s="6" t="str">
        <f>HYPERLINK("http://mcgill.on.worldcat.org/oclc/63657943","Catalog Record")</f>
        <v>Catalog Record</v>
      </c>
      <c r="AW5842" s="6" t="str">
        <f>HYPERLINK("http://www.worldcat.org/oclc/63657943","WorldCat Record")</f>
        <v>WorldCat Record</v>
      </c>
      <c r="AX5842" s="3" t="s">
        <v>55105</v>
      </c>
      <c r="AY5842" s="3" t="s">
        <v>55106</v>
      </c>
      <c r="AZ5842" s="3" t="s">
        <v>55107</v>
      </c>
      <c r="BA5842" s="3" t="s">
        <v>55107</v>
      </c>
      <c r="BB5842" s="3" t="s">
        <v>55114</v>
      </c>
      <c r="BC5842" s="3" t="s">
        <v>33640</v>
      </c>
      <c r="BD5842" s="3" t="s">
        <v>68</v>
      </c>
      <c r="BE5842" s="3" t="s">
        <v>55109</v>
      </c>
      <c r="BF5842" s="3" t="s">
        <v>55114</v>
      </c>
      <c r="BG5842" s="3" t="s">
        <v>55115</v>
      </c>
    </row>
    <row r="5843" spans="1:59" ht="87" x14ac:dyDescent="0.35">
      <c r="A5843" s="2" t="s">
        <v>89</v>
      </c>
      <c r="B5843" s="2" t="s">
        <v>42560</v>
      </c>
      <c r="C5843" s="2" t="s">
        <v>55116</v>
      </c>
      <c r="D5843" s="2" t="s">
        <v>55117</v>
      </c>
      <c r="E5843" s="2" t="s">
        <v>55118</v>
      </c>
      <c r="G5843" s="3" t="s">
        <v>62</v>
      </c>
      <c r="I5843" s="3" t="s">
        <v>62</v>
      </c>
      <c r="J5843" s="3" t="s">
        <v>62</v>
      </c>
      <c r="K5843" s="3" t="s">
        <v>63</v>
      </c>
      <c r="M5843" s="2" t="s">
        <v>55119</v>
      </c>
      <c r="N5843" s="3" t="s">
        <v>880</v>
      </c>
      <c r="P5843" s="3" t="s">
        <v>64</v>
      </c>
      <c r="R5843" s="3" t="s">
        <v>27443</v>
      </c>
      <c r="S5843" s="4">
        <v>4</v>
      </c>
      <c r="T5843" s="4">
        <v>4</v>
      </c>
      <c r="U5843" s="5" t="s">
        <v>2807</v>
      </c>
      <c r="V5843" s="5" t="s">
        <v>2807</v>
      </c>
      <c r="W5843" s="5" t="s">
        <v>67</v>
      </c>
      <c r="X5843" s="5" t="s">
        <v>67</v>
      </c>
      <c r="Y5843" s="4">
        <v>1</v>
      </c>
      <c r="Z5843" s="4">
        <v>1</v>
      </c>
      <c r="AA5843" s="4">
        <v>1</v>
      </c>
      <c r="AB5843" s="4">
        <v>1</v>
      </c>
      <c r="AC5843" s="4">
        <v>1</v>
      </c>
      <c r="AD5843" s="4">
        <v>0</v>
      </c>
      <c r="AE5843" s="4">
        <v>0</v>
      </c>
      <c r="AF5843" s="4">
        <v>0</v>
      </c>
      <c r="AG5843" s="4">
        <v>0</v>
      </c>
      <c r="AH5843" s="4">
        <v>0</v>
      </c>
      <c r="AI5843" s="4">
        <v>0</v>
      </c>
      <c r="AJ5843" s="4">
        <v>0</v>
      </c>
      <c r="AK5843" s="4">
        <v>0</v>
      </c>
      <c r="AL5843" s="4">
        <v>0</v>
      </c>
      <c r="AM5843" s="4">
        <v>0</v>
      </c>
      <c r="AN5843" s="4">
        <v>0</v>
      </c>
      <c r="AO5843" s="4">
        <v>0</v>
      </c>
      <c r="AP5843" s="4">
        <v>0</v>
      </c>
      <c r="AQ5843" s="4">
        <v>0</v>
      </c>
      <c r="AR5843" s="3" t="s">
        <v>62</v>
      </c>
      <c r="AS5843" s="3" t="s">
        <v>62</v>
      </c>
      <c r="AT5843" s="3" t="s">
        <v>62</v>
      </c>
      <c r="AV5843" s="6" t="str">
        <f>HYPERLINK("http://mcgill.on.worldcat.org/oclc/664271875","Catalog Record")</f>
        <v>Catalog Record</v>
      </c>
      <c r="AW5843" s="6" t="str">
        <f>HYPERLINK("http://www.worldcat.org/oclc/664271875","WorldCat Record")</f>
        <v>WorldCat Record</v>
      </c>
      <c r="AX5843" s="3" t="s">
        <v>55120</v>
      </c>
      <c r="AY5843" s="3" t="s">
        <v>55121</v>
      </c>
      <c r="AZ5843" s="3" t="s">
        <v>55122</v>
      </c>
      <c r="BA5843" s="3" t="s">
        <v>55122</v>
      </c>
      <c r="BB5843" s="3" t="s">
        <v>55123</v>
      </c>
      <c r="BC5843" s="3" t="s">
        <v>33640</v>
      </c>
      <c r="BD5843" s="3" t="s">
        <v>68</v>
      </c>
      <c r="BF5843" s="3" t="s">
        <v>55123</v>
      </c>
      <c r="BG5843" s="3" t="s">
        <v>55124</v>
      </c>
    </row>
    <row r="5844" spans="1:59" ht="87" x14ac:dyDescent="0.35">
      <c r="A5844" s="2" t="s">
        <v>89</v>
      </c>
      <c r="B5844" s="2" t="s">
        <v>42560</v>
      </c>
      <c r="C5844" s="2" t="s">
        <v>55125</v>
      </c>
      <c r="D5844" s="2" t="s">
        <v>55126</v>
      </c>
      <c r="E5844" s="2" t="s">
        <v>55127</v>
      </c>
      <c r="F5844" s="3" t="s">
        <v>55128</v>
      </c>
      <c r="G5844" s="3" t="s">
        <v>61</v>
      </c>
      <c r="I5844" s="3" t="s">
        <v>61</v>
      </c>
      <c r="J5844" s="3" t="s">
        <v>62</v>
      </c>
      <c r="K5844" s="3" t="s">
        <v>63</v>
      </c>
      <c r="M5844" s="2" t="s">
        <v>55129</v>
      </c>
      <c r="N5844" s="3" t="s">
        <v>655</v>
      </c>
      <c r="P5844" s="3" t="s">
        <v>64</v>
      </c>
      <c r="R5844" s="3" t="s">
        <v>32962</v>
      </c>
      <c r="S5844" s="4">
        <v>4</v>
      </c>
      <c r="T5844" s="4">
        <v>31</v>
      </c>
      <c r="U5844" s="5" t="s">
        <v>55130</v>
      </c>
      <c r="V5844" s="5" t="s">
        <v>28130</v>
      </c>
      <c r="W5844" s="5" t="s">
        <v>67</v>
      </c>
      <c r="X5844" s="5" t="s">
        <v>67</v>
      </c>
      <c r="Y5844" s="4">
        <v>26</v>
      </c>
      <c r="Z5844" s="4">
        <v>24</v>
      </c>
      <c r="AA5844" s="4">
        <v>38</v>
      </c>
      <c r="AB5844" s="4">
        <v>1</v>
      </c>
      <c r="AC5844" s="4">
        <v>1</v>
      </c>
      <c r="AD5844" s="4">
        <v>12</v>
      </c>
      <c r="AE5844" s="4">
        <v>20</v>
      </c>
      <c r="AF5844" s="4">
        <v>0</v>
      </c>
      <c r="AG5844" s="4">
        <v>0</v>
      </c>
      <c r="AH5844" s="4">
        <v>6</v>
      </c>
      <c r="AI5844" s="4">
        <v>9</v>
      </c>
      <c r="AJ5844" s="4">
        <v>7</v>
      </c>
      <c r="AK5844" s="4">
        <v>11</v>
      </c>
      <c r="AL5844" s="4">
        <v>1</v>
      </c>
      <c r="AM5844" s="4">
        <v>2</v>
      </c>
      <c r="AN5844" s="4">
        <v>0</v>
      </c>
      <c r="AO5844" s="4">
        <v>0</v>
      </c>
      <c r="AP5844" s="4">
        <v>10</v>
      </c>
      <c r="AQ5844" s="4">
        <v>18</v>
      </c>
      <c r="AR5844" s="3" t="s">
        <v>61</v>
      </c>
      <c r="AS5844" s="3" t="s">
        <v>62</v>
      </c>
      <c r="AT5844" s="3" t="s">
        <v>62</v>
      </c>
      <c r="AV5844" s="6" t="str">
        <f>HYPERLINK("http://mcgill.on.worldcat.org/oclc/226314215","Catalog Record")</f>
        <v>Catalog Record</v>
      </c>
      <c r="AW5844" s="6" t="str">
        <f>HYPERLINK("http://www.worldcat.org/oclc/226314215","WorldCat Record")</f>
        <v>WorldCat Record</v>
      </c>
      <c r="AX5844" s="3" t="s">
        <v>55131</v>
      </c>
      <c r="AY5844" s="3" t="s">
        <v>55132</v>
      </c>
      <c r="AZ5844" s="3" t="s">
        <v>55133</v>
      </c>
      <c r="BA5844" s="3" t="s">
        <v>55133</v>
      </c>
      <c r="BB5844" s="3" t="s">
        <v>55134</v>
      </c>
      <c r="BC5844" s="3" t="s">
        <v>33640</v>
      </c>
      <c r="BD5844" s="3" t="s">
        <v>68</v>
      </c>
      <c r="BE5844" s="3" t="s">
        <v>55135</v>
      </c>
      <c r="BF5844" s="3" t="s">
        <v>55134</v>
      </c>
      <c r="BG5844" s="3" t="s">
        <v>55136</v>
      </c>
    </row>
    <row r="5845" spans="1:59" ht="87" x14ac:dyDescent="0.35">
      <c r="A5845" s="2" t="s">
        <v>89</v>
      </c>
      <c r="B5845" s="2" t="s">
        <v>42560</v>
      </c>
      <c r="C5845" s="2" t="s">
        <v>55125</v>
      </c>
      <c r="D5845" s="2" t="s">
        <v>55126</v>
      </c>
      <c r="E5845" s="2" t="s">
        <v>55127</v>
      </c>
      <c r="F5845" s="3" t="s">
        <v>55137</v>
      </c>
      <c r="G5845" s="3" t="s">
        <v>61</v>
      </c>
      <c r="I5845" s="3" t="s">
        <v>61</v>
      </c>
      <c r="J5845" s="3" t="s">
        <v>62</v>
      </c>
      <c r="K5845" s="3" t="s">
        <v>63</v>
      </c>
      <c r="M5845" s="2" t="s">
        <v>55129</v>
      </c>
      <c r="N5845" s="3" t="s">
        <v>655</v>
      </c>
      <c r="P5845" s="3" t="s">
        <v>64</v>
      </c>
      <c r="R5845" s="3" t="s">
        <v>32962</v>
      </c>
      <c r="S5845" s="4">
        <v>3</v>
      </c>
      <c r="T5845" s="4">
        <v>31</v>
      </c>
      <c r="U5845" s="5" t="s">
        <v>55138</v>
      </c>
      <c r="V5845" s="5" t="s">
        <v>28130</v>
      </c>
      <c r="W5845" s="5" t="s">
        <v>67</v>
      </c>
      <c r="X5845" s="5" t="s">
        <v>67</v>
      </c>
      <c r="Y5845" s="4">
        <v>26</v>
      </c>
      <c r="Z5845" s="4">
        <v>24</v>
      </c>
      <c r="AA5845" s="4">
        <v>38</v>
      </c>
      <c r="AB5845" s="4">
        <v>1</v>
      </c>
      <c r="AC5845" s="4">
        <v>1</v>
      </c>
      <c r="AD5845" s="4">
        <v>12</v>
      </c>
      <c r="AE5845" s="4">
        <v>20</v>
      </c>
      <c r="AF5845" s="4">
        <v>0</v>
      </c>
      <c r="AG5845" s="4">
        <v>0</v>
      </c>
      <c r="AH5845" s="4">
        <v>6</v>
      </c>
      <c r="AI5845" s="4">
        <v>9</v>
      </c>
      <c r="AJ5845" s="4">
        <v>7</v>
      </c>
      <c r="AK5845" s="4">
        <v>11</v>
      </c>
      <c r="AL5845" s="4">
        <v>1</v>
      </c>
      <c r="AM5845" s="4">
        <v>2</v>
      </c>
      <c r="AN5845" s="4">
        <v>0</v>
      </c>
      <c r="AO5845" s="4">
        <v>0</v>
      </c>
      <c r="AP5845" s="4">
        <v>10</v>
      </c>
      <c r="AQ5845" s="4">
        <v>18</v>
      </c>
      <c r="AR5845" s="3" t="s">
        <v>61</v>
      </c>
      <c r="AS5845" s="3" t="s">
        <v>62</v>
      </c>
      <c r="AT5845" s="3" t="s">
        <v>62</v>
      </c>
      <c r="AV5845" s="6" t="str">
        <f>HYPERLINK("http://mcgill.on.worldcat.org/oclc/226314215","Catalog Record")</f>
        <v>Catalog Record</v>
      </c>
      <c r="AW5845" s="6" t="str">
        <f>HYPERLINK("http://www.worldcat.org/oclc/226314215","WorldCat Record")</f>
        <v>WorldCat Record</v>
      </c>
      <c r="AX5845" s="3" t="s">
        <v>55131</v>
      </c>
      <c r="AY5845" s="3" t="s">
        <v>55132</v>
      </c>
      <c r="AZ5845" s="3" t="s">
        <v>55133</v>
      </c>
      <c r="BA5845" s="3" t="s">
        <v>55133</v>
      </c>
      <c r="BB5845" s="3" t="s">
        <v>55139</v>
      </c>
      <c r="BC5845" s="3" t="s">
        <v>33640</v>
      </c>
      <c r="BD5845" s="3" t="s">
        <v>68</v>
      </c>
      <c r="BE5845" s="3" t="s">
        <v>55135</v>
      </c>
      <c r="BF5845" s="3" t="s">
        <v>55139</v>
      </c>
      <c r="BG5845" s="3" t="s">
        <v>55140</v>
      </c>
    </row>
    <row r="5846" spans="1:59" ht="87" x14ac:dyDescent="0.35">
      <c r="A5846" s="2" t="s">
        <v>89</v>
      </c>
      <c r="B5846" s="2" t="s">
        <v>42560</v>
      </c>
      <c r="C5846" s="2" t="s">
        <v>55125</v>
      </c>
      <c r="D5846" s="2" t="s">
        <v>55126</v>
      </c>
      <c r="E5846" s="2" t="s">
        <v>55127</v>
      </c>
      <c r="F5846" s="3" t="s">
        <v>55141</v>
      </c>
      <c r="G5846" s="3" t="s">
        <v>61</v>
      </c>
      <c r="I5846" s="3" t="s">
        <v>61</v>
      </c>
      <c r="J5846" s="3" t="s">
        <v>62</v>
      </c>
      <c r="K5846" s="3" t="s">
        <v>63</v>
      </c>
      <c r="M5846" s="2" t="s">
        <v>55129</v>
      </c>
      <c r="N5846" s="3" t="s">
        <v>655</v>
      </c>
      <c r="P5846" s="3" t="s">
        <v>64</v>
      </c>
      <c r="R5846" s="3" t="s">
        <v>32962</v>
      </c>
      <c r="S5846" s="4">
        <v>5</v>
      </c>
      <c r="T5846" s="4">
        <v>31</v>
      </c>
      <c r="U5846" s="5" t="s">
        <v>28130</v>
      </c>
      <c r="V5846" s="5" t="s">
        <v>28130</v>
      </c>
      <c r="W5846" s="5" t="s">
        <v>67</v>
      </c>
      <c r="X5846" s="5" t="s">
        <v>67</v>
      </c>
      <c r="Y5846" s="4">
        <v>26</v>
      </c>
      <c r="Z5846" s="4">
        <v>24</v>
      </c>
      <c r="AA5846" s="4">
        <v>38</v>
      </c>
      <c r="AB5846" s="4">
        <v>1</v>
      </c>
      <c r="AC5846" s="4">
        <v>1</v>
      </c>
      <c r="AD5846" s="4">
        <v>12</v>
      </c>
      <c r="AE5846" s="4">
        <v>20</v>
      </c>
      <c r="AF5846" s="4">
        <v>0</v>
      </c>
      <c r="AG5846" s="4">
        <v>0</v>
      </c>
      <c r="AH5846" s="4">
        <v>6</v>
      </c>
      <c r="AI5846" s="4">
        <v>9</v>
      </c>
      <c r="AJ5846" s="4">
        <v>7</v>
      </c>
      <c r="AK5846" s="4">
        <v>11</v>
      </c>
      <c r="AL5846" s="4">
        <v>1</v>
      </c>
      <c r="AM5846" s="4">
        <v>2</v>
      </c>
      <c r="AN5846" s="4">
        <v>0</v>
      </c>
      <c r="AO5846" s="4">
        <v>0</v>
      </c>
      <c r="AP5846" s="4">
        <v>10</v>
      </c>
      <c r="AQ5846" s="4">
        <v>18</v>
      </c>
      <c r="AR5846" s="3" t="s">
        <v>61</v>
      </c>
      <c r="AS5846" s="3" t="s">
        <v>62</v>
      </c>
      <c r="AT5846" s="3" t="s">
        <v>62</v>
      </c>
      <c r="AV5846" s="6" t="str">
        <f>HYPERLINK("http://mcgill.on.worldcat.org/oclc/226314215","Catalog Record")</f>
        <v>Catalog Record</v>
      </c>
      <c r="AW5846" s="6" t="str">
        <f>HYPERLINK("http://www.worldcat.org/oclc/226314215","WorldCat Record")</f>
        <v>WorldCat Record</v>
      </c>
      <c r="AX5846" s="3" t="s">
        <v>55131</v>
      </c>
      <c r="AY5846" s="3" t="s">
        <v>55132</v>
      </c>
      <c r="AZ5846" s="3" t="s">
        <v>55133</v>
      </c>
      <c r="BA5846" s="3" t="s">
        <v>55133</v>
      </c>
      <c r="BB5846" s="3" t="s">
        <v>55142</v>
      </c>
      <c r="BC5846" s="3" t="s">
        <v>33640</v>
      </c>
      <c r="BD5846" s="3" t="s">
        <v>68</v>
      </c>
      <c r="BE5846" s="3" t="s">
        <v>55135</v>
      </c>
      <c r="BF5846" s="3" t="s">
        <v>55142</v>
      </c>
      <c r="BG5846" s="3" t="s">
        <v>55143</v>
      </c>
    </row>
    <row r="5847" spans="1:59" ht="87" x14ac:dyDescent="0.35">
      <c r="A5847" s="2" t="s">
        <v>89</v>
      </c>
      <c r="B5847" s="2" t="s">
        <v>42560</v>
      </c>
      <c r="C5847" s="2" t="s">
        <v>55125</v>
      </c>
      <c r="D5847" s="2" t="s">
        <v>55126</v>
      </c>
      <c r="E5847" s="2" t="s">
        <v>55127</v>
      </c>
      <c r="F5847" s="3" t="s">
        <v>55144</v>
      </c>
      <c r="G5847" s="3" t="s">
        <v>61</v>
      </c>
      <c r="I5847" s="3" t="s">
        <v>61</v>
      </c>
      <c r="J5847" s="3" t="s">
        <v>62</v>
      </c>
      <c r="K5847" s="3" t="s">
        <v>63</v>
      </c>
      <c r="M5847" s="2" t="s">
        <v>55129</v>
      </c>
      <c r="N5847" s="3" t="s">
        <v>655</v>
      </c>
      <c r="P5847" s="3" t="s">
        <v>64</v>
      </c>
      <c r="R5847" s="3" t="s">
        <v>32962</v>
      </c>
      <c r="S5847" s="4">
        <v>4</v>
      </c>
      <c r="T5847" s="4">
        <v>31</v>
      </c>
      <c r="U5847" s="5" t="s">
        <v>55130</v>
      </c>
      <c r="V5847" s="5" t="s">
        <v>28130</v>
      </c>
      <c r="W5847" s="5" t="s">
        <v>67</v>
      </c>
      <c r="X5847" s="5" t="s">
        <v>67</v>
      </c>
      <c r="Y5847" s="4">
        <v>26</v>
      </c>
      <c r="Z5847" s="4">
        <v>24</v>
      </c>
      <c r="AA5847" s="4">
        <v>38</v>
      </c>
      <c r="AB5847" s="4">
        <v>1</v>
      </c>
      <c r="AC5847" s="4">
        <v>1</v>
      </c>
      <c r="AD5847" s="4">
        <v>12</v>
      </c>
      <c r="AE5847" s="4">
        <v>20</v>
      </c>
      <c r="AF5847" s="4">
        <v>0</v>
      </c>
      <c r="AG5847" s="4">
        <v>0</v>
      </c>
      <c r="AH5847" s="4">
        <v>6</v>
      </c>
      <c r="AI5847" s="4">
        <v>9</v>
      </c>
      <c r="AJ5847" s="4">
        <v>7</v>
      </c>
      <c r="AK5847" s="4">
        <v>11</v>
      </c>
      <c r="AL5847" s="4">
        <v>1</v>
      </c>
      <c r="AM5847" s="4">
        <v>2</v>
      </c>
      <c r="AN5847" s="4">
        <v>0</v>
      </c>
      <c r="AO5847" s="4">
        <v>0</v>
      </c>
      <c r="AP5847" s="4">
        <v>10</v>
      </c>
      <c r="AQ5847" s="4">
        <v>18</v>
      </c>
      <c r="AR5847" s="3" t="s">
        <v>61</v>
      </c>
      <c r="AS5847" s="3" t="s">
        <v>62</v>
      </c>
      <c r="AT5847" s="3" t="s">
        <v>62</v>
      </c>
      <c r="AV5847" s="6" t="str">
        <f>HYPERLINK("http://mcgill.on.worldcat.org/oclc/226314215","Catalog Record")</f>
        <v>Catalog Record</v>
      </c>
      <c r="AW5847" s="6" t="str">
        <f>HYPERLINK("http://www.worldcat.org/oclc/226314215","WorldCat Record")</f>
        <v>WorldCat Record</v>
      </c>
      <c r="AX5847" s="3" t="s">
        <v>55131</v>
      </c>
      <c r="AY5847" s="3" t="s">
        <v>55132</v>
      </c>
      <c r="AZ5847" s="3" t="s">
        <v>55133</v>
      </c>
      <c r="BA5847" s="3" t="s">
        <v>55133</v>
      </c>
      <c r="BB5847" s="3" t="s">
        <v>55145</v>
      </c>
      <c r="BC5847" s="3" t="s">
        <v>33640</v>
      </c>
      <c r="BD5847" s="3" t="s">
        <v>68</v>
      </c>
      <c r="BE5847" s="3" t="s">
        <v>55135</v>
      </c>
      <c r="BF5847" s="3" t="s">
        <v>55145</v>
      </c>
      <c r="BG5847" s="3" t="s">
        <v>55146</v>
      </c>
    </row>
    <row r="5848" spans="1:59" ht="87" x14ac:dyDescent="0.35">
      <c r="A5848" s="2" t="s">
        <v>89</v>
      </c>
      <c r="B5848" s="2" t="s">
        <v>42560</v>
      </c>
      <c r="C5848" s="2" t="s">
        <v>55125</v>
      </c>
      <c r="D5848" s="2" t="s">
        <v>55126</v>
      </c>
      <c r="E5848" s="2" t="s">
        <v>55127</v>
      </c>
      <c r="F5848" s="3" t="s">
        <v>55147</v>
      </c>
      <c r="G5848" s="3" t="s">
        <v>61</v>
      </c>
      <c r="I5848" s="3" t="s">
        <v>61</v>
      </c>
      <c r="J5848" s="3" t="s">
        <v>62</v>
      </c>
      <c r="K5848" s="3" t="s">
        <v>63</v>
      </c>
      <c r="M5848" s="2" t="s">
        <v>55129</v>
      </c>
      <c r="N5848" s="3" t="s">
        <v>655</v>
      </c>
      <c r="P5848" s="3" t="s">
        <v>64</v>
      </c>
      <c r="R5848" s="3" t="s">
        <v>32962</v>
      </c>
      <c r="S5848" s="4">
        <v>3</v>
      </c>
      <c r="T5848" s="4">
        <v>31</v>
      </c>
      <c r="U5848" s="5" t="s">
        <v>55130</v>
      </c>
      <c r="V5848" s="5" t="s">
        <v>28130</v>
      </c>
      <c r="W5848" s="5" t="s">
        <v>67</v>
      </c>
      <c r="X5848" s="5" t="s">
        <v>67</v>
      </c>
      <c r="Y5848" s="4">
        <v>26</v>
      </c>
      <c r="Z5848" s="4">
        <v>24</v>
      </c>
      <c r="AA5848" s="4">
        <v>38</v>
      </c>
      <c r="AB5848" s="4">
        <v>1</v>
      </c>
      <c r="AC5848" s="4">
        <v>1</v>
      </c>
      <c r="AD5848" s="4">
        <v>12</v>
      </c>
      <c r="AE5848" s="4">
        <v>20</v>
      </c>
      <c r="AF5848" s="4">
        <v>0</v>
      </c>
      <c r="AG5848" s="4">
        <v>0</v>
      </c>
      <c r="AH5848" s="4">
        <v>6</v>
      </c>
      <c r="AI5848" s="4">
        <v>9</v>
      </c>
      <c r="AJ5848" s="4">
        <v>7</v>
      </c>
      <c r="AK5848" s="4">
        <v>11</v>
      </c>
      <c r="AL5848" s="4">
        <v>1</v>
      </c>
      <c r="AM5848" s="4">
        <v>2</v>
      </c>
      <c r="AN5848" s="4">
        <v>0</v>
      </c>
      <c r="AO5848" s="4">
        <v>0</v>
      </c>
      <c r="AP5848" s="4">
        <v>10</v>
      </c>
      <c r="AQ5848" s="4">
        <v>18</v>
      </c>
      <c r="AR5848" s="3" t="s">
        <v>61</v>
      </c>
      <c r="AS5848" s="3" t="s">
        <v>62</v>
      </c>
      <c r="AT5848" s="3" t="s">
        <v>62</v>
      </c>
      <c r="AV5848" s="6" t="str">
        <f>HYPERLINK("http://mcgill.on.worldcat.org/oclc/226314215","Catalog Record")</f>
        <v>Catalog Record</v>
      </c>
      <c r="AW5848" s="6" t="str">
        <f>HYPERLINK("http://www.worldcat.org/oclc/226314215","WorldCat Record")</f>
        <v>WorldCat Record</v>
      </c>
      <c r="AX5848" s="3" t="s">
        <v>55131</v>
      </c>
      <c r="AY5848" s="3" t="s">
        <v>55132</v>
      </c>
      <c r="AZ5848" s="3" t="s">
        <v>55133</v>
      </c>
      <c r="BA5848" s="3" t="s">
        <v>55133</v>
      </c>
      <c r="BB5848" s="3" t="s">
        <v>55148</v>
      </c>
      <c r="BC5848" s="3" t="s">
        <v>33640</v>
      </c>
      <c r="BD5848" s="3" t="s">
        <v>68</v>
      </c>
      <c r="BE5848" s="3" t="s">
        <v>55135</v>
      </c>
      <c r="BF5848" s="3" t="s">
        <v>55148</v>
      </c>
      <c r="BG5848" s="3" t="s">
        <v>55149</v>
      </c>
    </row>
    <row r="5849" spans="1:59" ht="87" x14ac:dyDescent="0.35">
      <c r="A5849" s="2" t="s">
        <v>89</v>
      </c>
      <c r="B5849" s="2" t="s">
        <v>42560</v>
      </c>
      <c r="C5849" s="2" t="s">
        <v>55150</v>
      </c>
      <c r="D5849" s="2" t="s">
        <v>55151</v>
      </c>
      <c r="E5849" s="2" t="s">
        <v>55152</v>
      </c>
      <c r="F5849" s="3" t="s">
        <v>55153</v>
      </c>
      <c r="G5849" s="3" t="s">
        <v>62</v>
      </c>
      <c r="I5849" s="3" t="s">
        <v>62</v>
      </c>
      <c r="J5849" s="3" t="s">
        <v>62</v>
      </c>
      <c r="K5849" s="3" t="s">
        <v>63</v>
      </c>
      <c r="M5849" s="2" t="s">
        <v>55154</v>
      </c>
      <c r="N5849" s="3" t="s">
        <v>2975</v>
      </c>
      <c r="P5849" s="3" t="s">
        <v>64</v>
      </c>
      <c r="R5849" s="3" t="s">
        <v>42369</v>
      </c>
      <c r="S5849" s="4">
        <v>12</v>
      </c>
      <c r="T5849" s="4">
        <v>12</v>
      </c>
      <c r="U5849" s="5" t="s">
        <v>5844</v>
      </c>
      <c r="V5849" s="5" t="s">
        <v>5844</v>
      </c>
      <c r="W5849" s="5" t="s">
        <v>67</v>
      </c>
      <c r="X5849" s="5" t="s">
        <v>67</v>
      </c>
      <c r="Y5849" s="4">
        <v>163</v>
      </c>
      <c r="Z5849" s="4">
        <v>10</v>
      </c>
      <c r="AA5849" s="4">
        <v>17</v>
      </c>
      <c r="AB5849" s="4">
        <v>3</v>
      </c>
      <c r="AC5849" s="4">
        <v>3</v>
      </c>
      <c r="AD5849" s="4">
        <v>6</v>
      </c>
      <c r="AE5849" s="4">
        <v>8</v>
      </c>
      <c r="AF5849" s="4">
        <v>0</v>
      </c>
      <c r="AG5849" s="4">
        <v>0</v>
      </c>
      <c r="AH5849" s="4">
        <v>5</v>
      </c>
      <c r="AI5849" s="4">
        <v>7</v>
      </c>
      <c r="AJ5849" s="4">
        <v>1</v>
      </c>
      <c r="AK5849" s="4">
        <v>1</v>
      </c>
      <c r="AL5849" s="4">
        <v>2</v>
      </c>
      <c r="AM5849" s="4">
        <v>3</v>
      </c>
      <c r="AN5849" s="4">
        <v>0</v>
      </c>
      <c r="AO5849" s="4">
        <v>0</v>
      </c>
      <c r="AP5849" s="4">
        <v>1</v>
      </c>
      <c r="AQ5849" s="4">
        <v>1</v>
      </c>
      <c r="AR5849" s="3" t="s">
        <v>62</v>
      </c>
      <c r="AS5849" s="3" t="s">
        <v>62</v>
      </c>
      <c r="AT5849" s="3" t="s">
        <v>62</v>
      </c>
      <c r="AV5849" s="6" t="str">
        <f>HYPERLINK("http://mcgill.on.worldcat.org/oclc/49886545","Catalog Record")</f>
        <v>Catalog Record</v>
      </c>
      <c r="AW5849" s="6" t="str">
        <f>HYPERLINK("http://www.worldcat.org/oclc/49886545","WorldCat Record")</f>
        <v>WorldCat Record</v>
      </c>
      <c r="AX5849" s="3" t="s">
        <v>55155</v>
      </c>
      <c r="AY5849" s="3" t="s">
        <v>55156</v>
      </c>
      <c r="AZ5849" s="3" t="s">
        <v>55157</v>
      </c>
      <c r="BA5849" s="3" t="s">
        <v>55157</v>
      </c>
      <c r="BB5849" s="3" t="s">
        <v>55158</v>
      </c>
      <c r="BC5849" s="3" t="s">
        <v>33640</v>
      </c>
      <c r="BD5849" s="3" t="s">
        <v>68</v>
      </c>
      <c r="BE5849" s="3" t="s">
        <v>55159</v>
      </c>
      <c r="BF5849" s="3" t="s">
        <v>55158</v>
      </c>
      <c r="BG5849" s="3" t="s">
        <v>55160</v>
      </c>
    </row>
    <row r="5850" spans="1:59" ht="87" x14ac:dyDescent="0.35">
      <c r="A5850" s="2" t="s">
        <v>89</v>
      </c>
      <c r="B5850" s="2" t="s">
        <v>42560</v>
      </c>
      <c r="C5850" s="2" t="s">
        <v>55161</v>
      </c>
      <c r="D5850" s="2" t="s">
        <v>55162</v>
      </c>
      <c r="E5850" s="2" t="s">
        <v>55163</v>
      </c>
      <c r="G5850" s="3" t="s">
        <v>62</v>
      </c>
      <c r="I5850" s="3" t="s">
        <v>62</v>
      </c>
      <c r="J5850" s="3" t="s">
        <v>62</v>
      </c>
      <c r="K5850" s="3" t="s">
        <v>63</v>
      </c>
      <c r="M5850" s="2" t="s">
        <v>55164</v>
      </c>
      <c r="N5850" s="3" t="s">
        <v>741</v>
      </c>
      <c r="P5850" s="3" t="s">
        <v>64</v>
      </c>
      <c r="R5850" s="3" t="s">
        <v>34126</v>
      </c>
      <c r="S5850" s="4">
        <v>0</v>
      </c>
      <c r="T5850" s="4">
        <v>0</v>
      </c>
      <c r="W5850" s="5" t="s">
        <v>16766</v>
      </c>
      <c r="X5850" s="5" t="s">
        <v>16766</v>
      </c>
      <c r="Y5850" s="4">
        <v>9</v>
      </c>
      <c r="Z5850" s="4">
        <v>1</v>
      </c>
      <c r="AA5850" s="4">
        <v>2</v>
      </c>
      <c r="AB5850" s="4">
        <v>1</v>
      </c>
      <c r="AC5850" s="4">
        <v>1</v>
      </c>
      <c r="AD5850" s="4">
        <v>3</v>
      </c>
      <c r="AE5850" s="4">
        <v>3</v>
      </c>
      <c r="AF5850" s="4">
        <v>0</v>
      </c>
      <c r="AG5850" s="4">
        <v>0</v>
      </c>
      <c r="AH5850" s="4">
        <v>3</v>
      </c>
      <c r="AI5850" s="4">
        <v>3</v>
      </c>
      <c r="AJ5850" s="4">
        <v>0</v>
      </c>
      <c r="AK5850" s="4">
        <v>0</v>
      </c>
      <c r="AL5850" s="4">
        <v>2</v>
      </c>
      <c r="AM5850" s="4">
        <v>2</v>
      </c>
      <c r="AN5850" s="4">
        <v>0</v>
      </c>
      <c r="AO5850" s="4">
        <v>0</v>
      </c>
      <c r="AP5850" s="4">
        <v>0</v>
      </c>
      <c r="AQ5850" s="4">
        <v>0</v>
      </c>
      <c r="AR5850" s="3" t="s">
        <v>62</v>
      </c>
      <c r="AS5850" s="3" t="s">
        <v>62</v>
      </c>
      <c r="AT5850" s="3" t="s">
        <v>62</v>
      </c>
      <c r="AV5850" s="6" t="str">
        <f>HYPERLINK("http://mcgill.on.worldcat.org/oclc/1120935951","Catalog Record")</f>
        <v>Catalog Record</v>
      </c>
      <c r="AW5850" s="6" t="str">
        <f>HYPERLINK("http://www.worldcat.org/oclc/1120935951","WorldCat Record")</f>
        <v>WorldCat Record</v>
      </c>
      <c r="AX5850" s="3" t="s">
        <v>55165</v>
      </c>
      <c r="AY5850" s="3" t="s">
        <v>55166</v>
      </c>
      <c r="AZ5850" s="3" t="s">
        <v>55167</v>
      </c>
      <c r="BA5850" s="3" t="s">
        <v>55167</v>
      </c>
      <c r="BB5850" s="3" t="s">
        <v>55168</v>
      </c>
      <c r="BC5850" s="3" t="s">
        <v>33640</v>
      </c>
      <c r="BD5850" s="3" t="s">
        <v>1135</v>
      </c>
      <c r="BF5850" s="3" t="s">
        <v>55168</v>
      </c>
      <c r="BG5850" s="3" t="s">
        <v>55169</v>
      </c>
    </row>
    <row r="5851" spans="1:59" ht="87" x14ac:dyDescent="0.35">
      <c r="A5851" s="2" t="s">
        <v>89</v>
      </c>
      <c r="B5851" s="2" t="s">
        <v>42560</v>
      </c>
      <c r="C5851" s="2" t="s">
        <v>1291</v>
      </c>
      <c r="D5851" s="2" t="s">
        <v>55170</v>
      </c>
      <c r="E5851" s="2" t="s">
        <v>55171</v>
      </c>
      <c r="G5851" s="3" t="s">
        <v>62</v>
      </c>
      <c r="I5851" s="3" t="s">
        <v>62</v>
      </c>
      <c r="J5851" s="3" t="s">
        <v>62</v>
      </c>
      <c r="K5851" s="3" t="s">
        <v>63</v>
      </c>
      <c r="M5851" s="2" t="s">
        <v>55172</v>
      </c>
      <c r="N5851" s="3" t="s">
        <v>1722</v>
      </c>
      <c r="P5851" s="3" t="s">
        <v>64</v>
      </c>
      <c r="Q5851" s="2" t="s">
        <v>55173</v>
      </c>
      <c r="R5851" s="3" t="s">
        <v>46535</v>
      </c>
      <c r="S5851" s="4">
        <v>5</v>
      </c>
      <c r="T5851" s="4">
        <v>5</v>
      </c>
      <c r="U5851" s="5" t="s">
        <v>24017</v>
      </c>
      <c r="V5851" s="5" t="s">
        <v>24017</v>
      </c>
      <c r="W5851" s="5" t="s">
        <v>67</v>
      </c>
      <c r="X5851" s="5" t="s">
        <v>67</v>
      </c>
      <c r="Y5851" s="4">
        <v>54</v>
      </c>
      <c r="Z5851" s="4">
        <v>40</v>
      </c>
      <c r="AA5851" s="4">
        <v>57</v>
      </c>
      <c r="AB5851" s="4">
        <v>4</v>
      </c>
      <c r="AC5851" s="4">
        <v>5</v>
      </c>
      <c r="AD5851" s="4">
        <v>16</v>
      </c>
      <c r="AE5851" s="4">
        <v>49</v>
      </c>
      <c r="AF5851" s="4">
        <v>1</v>
      </c>
      <c r="AG5851" s="4">
        <v>2</v>
      </c>
      <c r="AH5851" s="4">
        <v>6</v>
      </c>
      <c r="AI5851" s="4">
        <v>29</v>
      </c>
      <c r="AJ5851" s="4">
        <v>7</v>
      </c>
      <c r="AK5851" s="4">
        <v>9</v>
      </c>
      <c r="AL5851" s="4">
        <v>0</v>
      </c>
      <c r="AM5851" s="4">
        <v>17</v>
      </c>
      <c r="AN5851" s="4">
        <v>0</v>
      </c>
      <c r="AO5851" s="4">
        <v>0</v>
      </c>
      <c r="AP5851" s="4">
        <v>14</v>
      </c>
      <c r="AQ5851" s="4">
        <v>24</v>
      </c>
      <c r="AR5851" s="3" t="s">
        <v>61</v>
      </c>
      <c r="AS5851" s="3" t="s">
        <v>62</v>
      </c>
      <c r="AT5851" s="3" t="s">
        <v>62</v>
      </c>
      <c r="AV5851" s="6" t="str">
        <f>HYPERLINK("http://mcgill.on.worldcat.org/oclc/431212682","Catalog Record")</f>
        <v>Catalog Record</v>
      </c>
      <c r="AW5851" s="6" t="str">
        <f>HYPERLINK("http://www.worldcat.org/oclc/431212682","WorldCat Record")</f>
        <v>WorldCat Record</v>
      </c>
      <c r="AX5851" s="3" t="s">
        <v>55174</v>
      </c>
      <c r="AY5851" s="3" t="s">
        <v>55175</v>
      </c>
      <c r="AZ5851" s="3" t="s">
        <v>55176</v>
      </c>
      <c r="BA5851" s="3" t="s">
        <v>55176</v>
      </c>
      <c r="BB5851" s="3" t="s">
        <v>55177</v>
      </c>
      <c r="BC5851" s="3" t="s">
        <v>33640</v>
      </c>
      <c r="BD5851" s="3" t="s">
        <v>68</v>
      </c>
      <c r="BF5851" s="3" t="s">
        <v>55177</v>
      </c>
      <c r="BG5851" s="3" t="s">
        <v>55178</v>
      </c>
    </row>
    <row r="5852" spans="1:59" ht="101.5" x14ac:dyDescent="0.35">
      <c r="A5852" s="2" t="s">
        <v>89</v>
      </c>
      <c r="B5852" s="2" t="s">
        <v>42560</v>
      </c>
      <c r="C5852" s="2" t="s">
        <v>930</v>
      </c>
      <c r="D5852" s="2" t="s">
        <v>55179</v>
      </c>
      <c r="E5852" s="2" t="s">
        <v>55180</v>
      </c>
      <c r="G5852" s="3" t="s">
        <v>62</v>
      </c>
      <c r="I5852" s="3" t="s">
        <v>62</v>
      </c>
      <c r="J5852" s="3" t="s">
        <v>62</v>
      </c>
      <c r="K5852" s="3" t="s">
        <v>63</v>
      </c>
      <c r="M5852" s="2" t="s">
        <v>55181</v>
      </c>
      <c r="N5852" s="3" t="s">
        <v>880</v>
      </c>
      <c r="P5852" s="3" t="s">
        <v>64</v>
      </c>
      <c r="R5852" s="3" t="s">
        <v>27443</v>
      </c>
      <c r="S5852" s="4">
        <v>0</v>
      </c>
      <c r="T5852" s="4">
        <v>0</v>
      </c>
      <c r="W5852" s="5" t="s">
        <v>67</v>
      </c>
      <c r="X5852" s="5" t="s">
        <v>67</v>
      </c>
      <c r="Y5852" s="4">
        <v>14</v>
      </c>
      <c r="Z5852" s="4">
        <v>13</v>
      </c>
      <c r="AA5852" s="4">
        <v>61</v>
      </c>
      <c r="AB5852" s="4">
        <v>1</v>
      </c>
      <c r="AC5852" s="4">
        <v>14</v>
      </c>
      <c r="AD5852" s="4">
        <v>5</v>
      </c>
      <c r="AE5852" s="4">
        <v>40</v>
      </c>
      <c r="AF5852" s="4">
        <v>0</v>
      </c>
      <c r="AG5852" s="4">
        <v>5</v>
      </c>
      <c r="AH5852" s="4">
        <v>5</v>
      </c>
      <c r="AI5852" s="4">
        <v>20</v>
      </c>
      <c r="AJ5852" s="4">
        <v>5</v>
      </c>
      <c r="AK5852" s="4">
        <v>11</v>
      </c>
      <c r="AL5852" s="4">
        <v>0</v>
      </c>
      <c r="AM5852" s="4">
        <v>4</v>
      </c>
      <c r="AN5852" s="4">
        <v>0</v>
      </c>
      <c r="AO5852" s="4">
        <v>0</v>
      </c>
      <c r="AP5852" s="4">
        <v>5</v>
      </c>
      <c r="AQ5852" s="4">
        <v>28</v>
      </c>
      <c r="AR5852" s="3" t="s">
        <v>61</v>
      </c>
      <c r="AS5852" s="3" t="s">
        <v>62</v>
      </c>
      <c r="AT5852" s="3" t="s">
        <v>62</v>
      </c>
      <c r="AV5852" s="6" t="str">
        <f>HYPERLINK("http://mcgill.on.worldcat.org/oclc/722246475","Catalog Record")</f>
        <v>Catalog Record</v>
      </c>
      <c r="AW5852" s="6" t="str">
        <f>HYPERLINK("http://www.worldcat.org/oclc/722246475","WorldCat Record")</f>
        <v>WorldCat Record</v>
      </c>
      <c r="AX5852" s="3" t="s">
        <v>55182</v>
      </c>
      <c r="AY5852" s="3" t="s">
        <v>55183</v>
      </c>
      <c r="AZ5852" s="3" t="s">
        <v>55184</v>
      </c>
      <c r="BA5852" s="3" t="s">
        <v>55184</v>
      </c>
      <c r="BB5852" s="3" t="s">
        <v>55185</v>
      </c>
      <c r="BC5852" s="3" t="s">
        <v>33640</v>
      </c>
      <c r="BD5852" s="3" t="s">
        <v>68</v>
      </c>
      <c r="BF5852" s="3" t="s">
        <v>55185</v>
      </c>
      <c r="BG5852" s="3" t="s">
        <v>55186</v>
      </c>
    </row>
    <row r="5853" spans="1:59" ht="101.5" x14ac:dyDescent="0.35">
      <c r="A5853" s="2" t="s">
        <v>89</v>
      </c>
      <c r="B5853" s="2" t="s">
        <v>42560</v>
      </c>
      <c r="C5853" s="2" t="s">
        <v>55187</v>
      </c>
      <c r="D5853" s="2" t="s">
        <v>55188</v>
      </c>
      <c r="E5853" s="2" t="s">
        <v>55189</v>
      </c>
      <c r="G5853" s="3" t="s">
        <v>62</v>
      </c>
      <c r="I5853" s="3" t="s">
        <v>62</v>
      </c>
      <c r="J5853" s="3" t="s">
        <v>62</v>
      </c>
      <c r="K5853" s="3" t="s">
        <v>63</v>
      </c>
      <c r="M5853" s="2" t="s">
        <v>55190</v>
      </c>
      <c r="N5853" s="3" t="s">
        <v>1722</v>
      </c>
      <c r="O5853" s="2" t="s">
        <v>55191</v>
      </c>
      <c r="P5853" s="3" t="s">
        <v>64</v>
      </c>
      <c r="R5853" s="3" t="s">
        <v>34126</v>
      </c>
      <c r="S5853" s="4">
        <v>17</v>
      </c>
      <c r="T5853" s="4">
        <v>17</v>
      </c>
      <c r="U5853" s="5" t="s">
        <v>7326</v>
      </c>
      <c r="V5853" s="5" t="s">
        <v>7326</v>
      </c>
      <c r="W5853" s="5" t="s">
        <v>67</v>
      </c>
      <c r="X5853" s="5" t="s">
        <v>67</v>
      </c>
      <c r="Y5853" s="4">
        <v>904</v>
      </c>
      <c r="Z5853" s="4">
        <v>17</v>
      </c>
      <c r="AA5853" s="4">
        <v>37</v>
      </c>
      <c r="AB5853" s="4">
        <v>1</v>
      </c>
      <c r="AC5853" s="4">
        <v>4</v>
      </c>
      <c r="AD5853" s="4">
        <v>70</v>
      </c>
      <c r="AE5853" s="4">
        <v>77</v>
      </c>
      <c r="AF5853" s="4">
        <v>0</v>
      </c>
      <c r="AG5853" s="4">
        <v>1</v>
      </c>
      <c r="AH5853" s="4">
        <v>66</v>
      </c>
      <c r="AI5853" s="4">
        <v>68</v>
      </c>
      <c r="AJ5853" s="4">
        <v>2</v>
      </c>
      <c r="AK5853" s="4">
        <v>4</v>
      </c>
      <c r="AL5853" s="4">
        <v>42</v>
      </c>
      <c r="AM5853" s="4">
        <v>42</v>
      </c>
      <c r="AN5853" s="4">
        <v>0</v>
      </c>
      <c r="AO5853" s="4">
        <v>0</v>
      </c>
      <c r="AP5853" s="4">
        <v>4</v>
      </c>
      <c r="AQ5853" s="4">
        <v>10</v>
      </c>
      <c r="AR5853" s="3" t="s">
        <v>62</v>
      </c>
      <c r="AS5853" s="3" t="s">
        <v>62</v>
      </c>
      <c r="AT5853" s="3" t="s">
        <v>62</v>
      </c>
      <c r="AV5853" s="6" t="str">
        <f>HYPERLINK("http://mcgill.on.worldcat.org/oclc/226279418","Catalog Record")</f>
        <v>Catalog Record</v>
      </c>
      <c r="AW5853" s="6" t="str">
        <f>HYPERLINK("http://www.worldcat.org/oclc/226279418","WorldCat Record")</f>
        <v>WorldCat Record</v>
      </c>
      <c r="AX5853" s="3" t="s">
        <v>55192</v>
      </c>
      <c r="AY5853" s="3" t="s">
        <v>55193</v>
      </c>
      <c r="AZ5853" s="3" t="s">
        <v>55194</v>
      </c>
      <c r="BA5853" s="3" t="s">
        <v>55194</v>
      </c>
      <c r="BB5853" s="3" t="s">
        <v>55195</v>
      </c>
      <c r="BC5853" s="3" t="s">
        <v>33640</v>
      </c>
      <c r="BD5853" s="3" t="s">
        <v>68</v>
      </c>
      <c r="BE5853" s="3" t="s">
        <v>55196</v>
      </c>
      <c r="BF5853" s="3" t="s">
        <v>55195</v>
      </c>
      <c r="BG5853" s="3" t="s">
        <v>55197</v>
      </c>
    </row>
    <row r="5854" spans="1:59" ht="87" x14ac:dyDescent="0.35">
      <c r="A5854" s="2" t="s">
        <v>89</v>
      </c>
      <c r="B5854" s="2" t="s">
        <v>42560</v>
      </c>
      <c r="C5854" s="2" t="s">
        <v>55198</v>
      </c>
      <c r="D5854" s="2" t="s">
        <v>55199</v>
      </c>
      <c r="E5854" s="2" t="s">
        <v>55200</v>
      </c>
      <c r="G5854" s="3" t="s">
        <v>62</v>
      </c>
      <c r="I5854" s="3" t="s">
        <v>62</v>
      </c>
      <c r="J5854" s="3" t="s">
        <v>62</v>
      </c>
      <c r="K5854" s="3" t="s">
        <v>63</v>
      </c>
      <c r="M5854" s="2" t="s">
        <v>55201</v>
      </c>
      <c r="N5854" s="3" t="s">
        <v>2136</v>
      </c>
      <c r="P5854" s="3" t="s">
        <v>64</v>
      </c>
      <c r="R5854" s="3" t="s">
        <v>34126</v>
      </c>
      <c r="S5854" s="4">
        <v>7</v>
      </c>
      <c r="T5854" s="4">
        <v>7</v>
      </c>
      <c r="U5854" s="5" t="s">
        <v>8674</v>
      </c>
      <c r="V5854" s="5" t="s">
        <v>8674</v>
      </c>
      <c r="W5854" s="5" t="s">
        <v>67</v>
      </c>
      <c r="X5854" s="5" t="s">
        <v>67</v>
      </c>
      <c r="Y5854" s="4">
        <v>15</v>
      </c>
      <c r="Z5854" s="4">
        <v>3</v>
      </c>
      <c r="AA5854" s="4">
        <v>17</v>
      </c>
      <c r="AB5854" s="4">
        <v>1</v>
      </c>
      <c r="AC5854" s="4">
        <v>3</v>
      </c>
      <c r="AD5854" s="4">
        <v>0</v>
      </c>
      <c r="AE5854" s="4">
        <v>46</v>
      </c>
      <c r="AF5854" s="4">
        <v>0</v>
      </c>
      <c r="AG5854" s="4">
        <v>1</v>
      </c>
      <c r="AH5854" s="4">
        <v>0</v>
      </c>
      <c r="AI5854" s="4">
        <v>43</v>
      </c>
      <c r="AJ5854" s="4">
        <v>0</v>
      </c>
      <c r="AK5854" s="4">
        <v>3</v>
      </c>
      <c r="AL5854" s="4">
        <v>0</v>
      </c>
      <c r="AM5854" s="4">
        <v>30</v>
      </c>
      <c r="AN5854" s="4">
        <v>0</v>
      </c>
      <c r="AO5854" s="4">
        <v>0</v>
      </c>
      <c r="AP5854" s="4">
        <v>0</v>
      </c>
      <c r="AQ5854" s="4">
        <v>3</v>
      </c>
      <c r="AR5854" s="3" t="s">
        <v>62</v>
      </c>
      <c r="AS5854" s="3" t="s">
        <v>62</v>
      </c>
      <c r="AT5854" s="3" t="s">
        <v>62</v>
      </c>
      <c r="AV5854" s="6" t="str">
        <f>HYPERLINK("http://mcgill.on.worldcat.org/oclc/123092541","Catalog Record")</f>
        <v>Catalog Record</v>
      </c>
      <c r="AW5854" s="6" t="str">
        <f>HYPERLINK("http://www.worldcat.org/oclc/123092541","WorldCat Record")</f>
        <v>WorldCat Record</v>
      </c>
      <c r="AX5854" s="3" t="s">
        <v>55202</v>
      </c>
      <c r="AY5854" s="3" t="s">
        <v>55203</v>
      </c>
      <c r="AZ5854" s="3" t="s">
        <v>55204</v>
      </c>
      <c r="BA5854" s="3" t="s">
        <v>55204</v>
      </c>
      <c r="BB5854" s="3" t="s">
        <v>55205</v>
      </c>
      <c r="BC5854" s="3" t="s">
        <v>33640</v>
      </c>
      <c r="BD5854" s="3" t="s">
        <v>68</v>
      </c>
      <c r="BE5854" s="3" t="s">
        <v>55206</v>
      </c>
      <c r="BF5854" s="3" t="s">
        <v>55205</v>
      </c>
      <c r="BG5854" s="3" t="s">
        <v>55207</v>
      </c>
    </row>
    <row r="5855" spans="1:59" ht="58" x14ac:dyDescent="0.35">
      <c r="A5855" s="2" t="s">
        <v>59</v>
      </c>
      <c r="B5855" s="2" t="s">
        <v>60</v>
      </c>
      <c r="C5855" s="2" t="s">
        <v>55208</v>
      </c>
      <c r="D5855" s="2" t="s">
        <v>55209</v>
      </c>
      <c r="E5855" s="2" t="s">
        <v>55210</v>
      </c>
      <c r="G5855" s="3" t="s">
        <v>62</v>
      </c>
      <c r="I5855" s="3" t="s">
        <v>62</v>
      </c>
      <c r="J5855" s="3" t="s">
        <v>62</v>
      </c>
      <c r="K5855" s="3" t="s">
        <v>63</v>
      </c>
      <c r="L5855" s="2" t="s">
        <v>55211</v>
      </c>
      <c r="M5855" s="2" t="s">
        <v>55212</v>
      </c>
      <c r="N5855" s="3" t="s">
        <v>106</v>
      </c>
      <c r="P5855" s="3" t="s">
        <v>64</v>
      </c>
      <c r="Q5855" s="2" t="s">
        <v>55213</v>
      </c>
      <c r="R5855" s="3" t="s">
        <v>13065</v>
      </c>
      <c r="S5855" s="4">
        <v>1</v>
      </c>
      <c r="T5855" s="4">
        <v>1</v>
      </c>
      <c r="U5855" s="5" t="s">
        <v>10976</v>
      </c>
      <c r="V5855" s="5" t="s">
        <v>10976</v>
      </c>
      <c r="W5855" s="5" t="s">
        <v>67</v>
      </c>
      <c r="X5855" s="5" t="s">
        <v>67</v>
      </c>
      <c r="Y5855" s="4">
        <v>2</v>
      </c>
      <c r="Z5855" s="4">
        <v>2</v>
      </c>
      <c r="AA5855" s="4">
        <v>2</v>
      </c>
      <c r="AB5855" s="4">
        <v>1</v>
      </c>
      <c r="AC5855" s="4">
        <v>1</v>
      </c>
      <c r="AD5855" s="4">
        <v>1</v>
      </c>
      <c r="AE5855" s="4">
        <v>1</v>
      </c>
      <c r="AF5855" s="4">
        <v>0</v>
      </c>
      <c r="AG5855" s="4">
        <v>0</v>
      </c>
      <c r="AH5855" s="4">
        <v>0</v>
      </c>
      <c r="AI5855" s="4">
        <v>0</v>
      </c>
      <c r="AJ5855" s="4">
        <v>1</v>
      </c>
      <c r="AK5855" s="4">
        <v>1</v>
      </c>
      <c r="AL5855" s="4">
        <v>0</v>
      </c>
      <c r="AM5855" s="4">
        <v>0</v>
      </c>
      <c r="AN5855" s="4">
        <v>0</v>
      </c>
      <c r="AO5855" s="4">
        <v>0</v>
      </c>
      <c r="AP5855" s="4">
        <v>0</v>
      </c>
      <c r="AQ5855" s="4">
        <v>0</v>
      </c>
      <c r="AR5855" s="3" t="s">
        <v>61</v>
      </c>
      <c r="AS5855" s="3" t="s">
        <v>62</v>
      </c>
      <c r="AT5855" s="3" t="s">
        <v>62</v>
      </c>
      <c r="AV5855" s="6" t="str">
        <f>HYPERLINK("http://mcgill.on.worldcat.org/oclc/797170936","Catalog Record")</f>
        <v>Catalog Record</v>
      </c>
      <c r="AW5855" s="6" t="str">
        <f>HYPERLINK("http://www.worldcat.org/oclc/797170936","WorldCat Record")</f>
        <v>WorldCat Record</v>
      </c>
      <c r="AX5855" s="3" t="s">
        <v>55214</v>
      </c>
      <c r="AY5855" s="3" t="s">
        <v>55215</v>
      </c>
      <c r="AZ5855" s="3" t="s">
        <v>55216</v>
      </c>
      <c r="BA5855" s="3" t="s">
        <v>55216</v>
      </c>
      <c r="BB5855" s="3" t="s">
        <v>55217</v>
      </c>
      <c r="BC5855" s="3" t="s">
        <v>102</v>
      </c>
      <c r="BD5855" s="3" t="s">
        <v>68</v>
      </c>
      <c r="BF5855" s="3" t="s">
        <v>55217</v>
      </c>
      <c r="BG5855" s="3" t="s">
        <v>55218</v>
      </c>
    </row>
    <row r="5856" spans="1:59" ht="87" x14ac:dyDescent="0.35">
      <c r="A5856" s="2" t="s">
        <v>89</v>
      </c>
      <c r="B5856" s="2" t="s">
        <v>42560</v>
      </c>
      <c r="C5856" s="2" t="s">
        <v>55219</v>
      </c>
      <c r="D5856" s="2" t="s">
        <v>55220</v>
      </c>
      <c r="E5856" s="2" t="s">
        <v>55221</v>
      </c>
      <c r="G5856" s="3" t="s">
        <v>62</v>
      </c>
      <c r="I5856" s="3" t="s">
        <v>62</v>
      </c>
      <c r="J5856" s="3" t="s">
        <v>62</v>
      </c>
      <c r="K5856" s="3" t="s">
        <v>63</v>
      </c>
      <c r="M5856" s="2" t="s">
        <v>55222</v>
      </c>
      <c r="N5856" s="3" t="s">
        <v>684</v>
      </c>
      <c r="P5856" s="3" t="s">
        <v>1752</v>
      </c>
      <c r="R5856" s="3" t="s">
        <v>25645</v>
      </c>
      <c r="S5856" s="4">
        <v>46</v>
      </c>
      <c r="T5856" s="4">
        <v>46</v>
      </c>
      <c r="U5856" s="5" t="s">
        <v>24286</v>
      </c>
      <c r="V5856" s="5" t="s">
        <v>24286</v>
      </c>
      <c r="W5856" s="5" t="s">
        <v>67</v>
      </c>
      <c r="X5856" s="5" t="s">
        <v>67</v>
      </c>
      <c r="Y5856" s="4">
        <v>398</v>
      </c>
      <c r="Z5856" s="4">
        <v>19</v>
      </c>
      <c r="AA5856" s="4">
        <v>19</v>
      </c>
      <c r="AB5856" s="4">
        <v>1</v>
      </c>
      <c r="AC5856" s="4">
        <v>1</v>
      </c>
      <c r="AD5856" s="4">
        <v>38</v>
      </c>
      <c r="AE5856" s="4">
        <v>41</v>
      </c>
      <c r="AF5856" s="4">
        <v>0</v>
      </c>
      <c r="AG5856" s="4">
        <v>0</v>
      </c>
      <c r="AH5856" s="4">
        <v>34</v>
      </c>
      <c r="AI5856" s="4">
        <v>37</v>
      </c>
      <c r="AJ5856" s="4">
        <v>5</v>
      </c>
      <c r="AK5856" s="4">
        <v>5</v>
      </c>
      <c r="AL5856" s="4">
        <v>20</v>
      </c>
      <c r="AM5856" s="4">
        <v>22</v>
      </c>
      <c r="AN5856" s="4">
        <v>0</v>
      </c>
      <c r="AO5856" s="4">
        <v>0</v>
      </c>
      <c r="AP5856" s="4">
        <v>6</v>
      </c>
      <c r="AQ5856" s="4">
        <v>6</v>
      </c>
      <c r="AR5856" s="3" t="s">
        <v>62</v>
      </c>
      <c r="AS5856" s="3" t="s">
        <v>62</v>
      </c>
      <c r="AT5856" s="3" t="s">
        <v>62</v>
      </c>
      <c r="AV5856" s="6" t="str">
        <f>HYPERLINK("http://mcgill.on.worldcat.org/oclc/747616089","Catalog Record")</f>
        <v>Catalog Record</v>
      </c>
      <c r="AW5856" s="6" t="str">
        <f>HYPERLINK("http://www.worldcat.org/oclc/747616089","WorldCat Record")</f>
        <v>WorldCat Record</v>
      </c>
      <c r="AX5856" s="3" t="s">
        <v>55223</v>
      </c>
      <c r="AY5856" s="3" t="s">
        <v>55224</v>
      </c>
      <c r="AZ5856" s="3" t="s">
        <v>55225</v>
      </c>
      <c r="BA5856" s="3" t="s">
        <v>55225</v>
      </c>
      <c r="BB5856" s="3" t="s">
        <v>55226</v>
      </c>
      <c r="BC5856" s="3" t="s">
        <v>33640</v>
      </c>
      <c r="BD5856" s="3" t="s">
        <v>68</v>
      </c>
      <c r="BF5856" s="3" t="s">
        <v>55226</v>
      </c>
      <c r="BG5856" s="3" t="s">
        <v>55227</v>
      </c>
    </row>
    <row r="5857" spans="1:59" ht="101.5" x14ac:dyDescent="0.35">
      <c r="A5857" s="2" t="s">
        <v>89</v>
      </c>
      <c r="B5857" s="2" t="s">
        <v>42560</v>
      </c>
      <c r="C5857" s="2" t="s">
        <v>55228</v>
      </c>
      <c r="D5857" s="2" t="s">
        <v>55229</v>
      </c>
      <c r="E5857" s="2" t="s">
        <v>55230</v>
      </c>
      <c r="G5857" s="3" t="s">
        <v>62</v>
      </c>
      <c r="I5857" s="3" t="s">
        <v>62</v>
      </c>
      <c r="J5857" s="3" t="s">
        <v>62</v>
      </c>
      <c r="K5857" s="3" t="s">
        <v>63</v>
      </c>
      <c r="M5857" s="2" t="s">
        <v>55231</v>
      </c>
      <c r="N5857" s="3" t="s">
        <v>684</v>
      </c>
      <c r="P5857" s="3" t="s">
        <v>64</v>
      </c>
      <c r="R5857" s="3" t="s">
        <v>27443</v>
      </c>
      <c r="S5857" s="4">
        <v>1</v>
      </c>
      <c r="T5857" s="4">
        <v>1</v>
      </c>
      <c r="U5857" s="5" t="s">
        <v>109</v>
      </c>
      <c r="V5857" s="5" t="s">
        <v>109</v>
      </c>
      <c r="W5857" s="5" t="s">
        <v>67</v>
      </c>
      <c r="X5857" s="5" t="s">
        <v>67</v>
      </c>
      <c r="Y5857" s="4">
        <v>60</v>
      </c>
      <c r="Z5857" s="4">
        <v>5</v>
      </c>
      <c r="AA5857" s="4">
        <v>34</v>
      </c>
      <c r="AB5857" s="4">
        <v>1</v>
      </c>
      <c r="AC5857" s="4">
        <v>7</v>
      </c>
      <c r="AD5857" s="4">
        <v>20</v>
      </c>
      <c r="AE5857" s="4">
        <v>98</v>
      </c>
      <c r="AF5857" s="4">
        <v>0</v>
      </c>
      <c r="AG5857" s="4">
        <v>4</v>
      </c>
      <c r="AH5857" s="4">
        <v>18</v>
      </c>
      <c r="AI5857" s="4">
        <v>81</v>
      </c>
      <c r="AJ5857" s="4">
        <v>2</v>
      </c>
      <c r="AK5857" s="4">
        <v>14</v>
      </c>
      <c r="AL5857" s="4">
        <v>8</v>
      </c>
      <c r="AM5857" s="4">
        <v>41</v>
      </c>
      <c r="AN5857" s="4">
        <v>0</v>
      </c>
      <c r="AO5857" s="4">
        <v>0</v>
      </c>
      <c r="AP5857" s="4">
        <v>3</v>
      </c>
      <c r="AQ5857" s="4">
        <v>25</v>
      </c>
      <c r="AR5857" s="3" t="s">
        <v>62</v>
      </c>
      <c r="AS5857" s="3" t="s">
        <v>62</v>
      </c>
      <c r="AT5857" s="3" t="s">
        <v>62</v>
      </c>
      <c r="AV5857" s="6" t="str">
        <f>HYPERLINK("http://mcgill.on.worldcat.org/oclc/709805049","Catalog Record")</f>
        <v>Catalog Record</v>
      </c>
      <c r="AW5857" s="6" t="str">
        <f>HYPERLINK("http://www.worldcat.org/oclc/709805049","WorldCat Record")</f>
        <v>WorldCat Record</v>
      </c>
      <c r="AX5857" s="3" t="s">
        <v>55232</v>
      </c>
      <c r="AY5857" s="3" t="s">
        <v>55233</v>
      </c>
      <c r="AZ5857" s="3" t="s">
        <v>55234</v>
      </c>
      <c r="BA5857" s="3" t="s">
        <v>55234</v>
      </c>
      <c r="BB5857" s="3" t="s">
        <v>55235</v>
      </c>
      <c r="BC5857" s="3" t="s">
        <v>33640</v>
      </c>
      <c r="BD5857" s="3" t="s">
        <v>68</v>
      </c>
      <c r="BF5857" s="3" t="s">
        <v>55235</v>
      </c>
      <c r="BG5857" s="3" t="s">
        <v>55236</v>
      </c>
    </row>
    <row r="5858" spans="1:59" ht="87" x14ac:dyDescent="0.35">
      <c r="A5858" s="2" t="s">
        <v>89</v>
      </c>
      <c r="B5858" s="2" t="s">
        <v>42560</v>
      </c>
      <c r="C5858" s="2" t="s">
        <v>55237</v>
      </c>
      <c r="D5858" s="2" t="s">
        <v>55238</v>
      </c>
      <c r="E5858" s="2" t="s">
        <v>55239</v>
      </c>
      <c r="G5858" s="3" t="s">
        <v>62</v>
      </c>
      <c r="I5858" s="3" t="s">
        <v>62</v>
      </c>
      <c r="J5858" s="3" t="s">
        <v>62</v>
      </c>
      <c r="K5858" s="3" t="s">
        <v>63</v>
      </c>
      <c r="M5858" s="2" t="s">
        <v>55240</v>
      </c>
      <c r="N5858" s="3" t="s">
        <v>625</v>
      </c>
      <c r="O5858" s="2" t="s">
        <v>55191</v>
      </c>
      <c r="P5858" s="3" t="s">
        <v>64</v>
      </c>
      <c r="Q5858" s="2" t="s">
        <v>55241</v>
      </c>
      <c r="R5858" s="3" t="s">
        <v>32962</v>
      </c>
      <c r="S5858" s="4">
        <v>197</v>
      </c>
      <c r="T5858" s="4">
        <v>197</v>
      </c>
      <c r="U5858" s="5" t="s">
        <v>22007</v>
      </c>
      <c r="V5858" s="5" t="s">
        <v>22007</v>
      </c>
      <c r="W5858" s="5" t="s">
        <v>67</v>
      </c>
      <c r="X5858" s="5" t="s">
        <v>67</v>
      </c>
      <c r="Y5858" s="4">
        <v>548</v>
      </c>
      <c r="Z5858" s="4">
        <v>13</v>
      </c>
      <c r="AA5858" s="4">
        <v>43</v>
      </c>
      <c r="AB5858" s="4">
        <v>1</v>
      </c>
      <c r="AC5858" s="4">
        <v>1</v>
      </c>
      <c r="AD5858" s="4">
        <v>23</v>
      </c>
      <c r="AE5858" s="4">
        <v>41</v>
      </c>
      <c r="AF5858" s="4">
        <v>0</v>
      </c>
      <c r="AG5858" s="4">
        <v>0</v>
      </c>
      <c r="AH5858" s="4">
        <v>22</v>
      </c>
      <c r="AI5858" s="4">
        <v>32</v>
      </c>
      <c r="AJ5858" s="4">
        <v>1</v>
      </c>
      <c r="AK5858" s="4">
        <v>5</v>
      </c>
      <c r="AL5858" s="4">
        <v>12</v>
      </c>
      <c r="AM5858" s="4">
        <v>14</v>
      </c>
      <c r="AN5858" s="4">
        <v>0</v>
      </c>
      <c r="AO5858" s="4">
        <v>0</v>
      </c>
      <c r="AP5858" s="4">
        <v>2</v>
      </c>
      <c r="AQ5858" s="4">
        <v>12</v>
      </c>
      <c r="AR5858" s="3" t="s">
        <v>62</v>
      </c>
      <c r="AS5858" s="3" t="s">
        <v>62</v>
      </c>
      <c r="AT5858" s="3" t="s">
        <v>62</v>
      </c>
      <c r="AV5858" s="6" t="str">
        <f>HYPERLINK("http://mcgill.on.worldcat.org/oclc/52605948","Catalog Record")</f>
        <v>Catalog Record</v>
      </c>
      <c r="AW5858" s="6" t="str">
        <f>HYPERLINK("http://www.worldcat.org/oclc/52605948","WorldCat Record")</f>
        <v>WorldCat Record</v>
      </c>
      <c r="AX5858" s="3" t="s">
        <v>55242</v>
      </c>
      <c r="AY5858" s="3" t="s">
        <v>55243</v>
      </c>
      <c r="AZ5858" s="3" t="s">
        <v>55244</v>
      </c>
      <c r="BA5858" s="3" t="s">
        <v>55244</v>
      </c>
      <c r="BB5858" s="3" t="s">
        <v>55245</v>
      </c>
      <c r="BC5858" s="3" t="s">
        <v>33640</v>
      </c>
      <c r="BD5858" s="3" t="s">
        <v>68</v>
      </c>
      <c r="BE5858" s="3" t="s">
        <v>55246</v>
      </c>
      <c r="BF5858" s="3" t="s">
        <v>55245</v>
      </c>
      <c r="BG5858" s="3" t="s">
        <v>55247</v>
      </c>
    </row>
    <row r="5859" spans="1:59" ht="87" x14ac:dyDescent="0.35">
      <c r="A5859" s="2" t="s">
        <v>89</v>
      </c>
      <c r="B5859" s="2" t="s">
        <v>42560</v>
      </c>
      <c r="C5859" s="2" t="s">
        <v>55248</v>
      </c>
      <c r="D5859" s="2" t="s">
        <v>55249</v>
      </c>
      <c r="E5859" s="2" t="s">
        <v>55250</v>
      </c>
      <c r="G5859" s="3" t="s">
        <v>62</v>
      </c>
      <c r="I5859" s="3" t="s">
        <v>62</v>
      </c>
      <c r="J5859" s="3" t="s">
        <v>62</v>
      </c>
      <c r="K5859" s="3" t="s">
        <v>63</v>
      </c>
      <c r="M5859" s="2" t="s">
        <v>55251</v>
      </c>
      <c r="N5859" s="3" t="s">
        <v>880</v>
      </c>
      <c r="P5859" s="3" t="s">
        <v>64</v>
      </c>
      <c r="Q5859" s="2" t="s">
        <v>55252</v>
      </c>
      <c r="R5859" s="3" t="s">
        <v>42369</v>
      </c>
      <c r="S5859" s="4">
        <v>6</v>
      </c>
      <c r="T5859" s="4">
        <v>6</v>
      </c>
      <c r="U5859" s="5" t="s">
        <v>2125</v>
      </c>
      <c r="V5859" s="5" t="s">
        <v>2125</v>
      </c>
      <c r="W5859" s="5" t="s">
        <v>67</v>
      </c>
      <c r="X5859" s="5" t="s">
        <v>67</v>
      </c>
      <c r="Y5859" s="4">
        <v>36</v>
      </c>
      <c r="Z5859" s="4">
        <v>3</v>
      </c>
      <c r="AA5859" s="4">
        <v>16</v>
      </c>
      <c r="AB5859" s="4">
        <v>1</v>
      </c>
      <c r="AC5859" s="4">
        <v>3</v>
      </c>
      <c r="AD5859" s="4">
        <v>0</v>
      </c>
      <c r="AE5859" s="4">
        <v>5</v>
      </c>
      <c r="AF5859" s="4">
        <v>0</v>
      </c>
      <c r="AG5859" s="4">
        <v>2</v>
      </c>
      <c r="AH5859" s="4">
        <v>0</v>
      </c>
      <c r="AI5859" s="4">
        <v>3</v>
      </c>
      <c r="AJ5859" s="4">
        <v>0</v>
      </c>
      <c r="AK5859" s="4">
        <v>3</v>
      </c>
      <c r="AL5859" s="4">
        <v>0</v>
      </c>
      <c r="AM5859" s="4">
        <v>1</v>
      </c>
      <c r="AN5859" s="4">
        <v>0</v>
      </c>
      <c r="AO5859" s="4">
        <v>0</v>
      </c>
      <c r="AP5859" s="4">
        <v>0</v>
      </c>
      <c r="AQ5859" s="4">
        <v>3</v>
      </c>
      <c r="AR5859" s="3" t="s">
        <v>62</v>
      </c>
      <c r="AS5859" s="3" t="s">
        <v>62</v>
      </c>
      <c r="AT5859" s="3" t="s">
        <v>62</v>
      </c>
      <c r="AV5859" s="6" t="str">
        <f>HYPERLINK("http://mcgill.on.worldcat.org/oclc/758500775","Catalog Record")</f>
        <v>Catalog Record</v>
      </c>
      <c r="AW5859" s="6" t="str">
        <f>HYPERLINK("http://www.worldcat.org/oclc/758500775","WorldCat Record")</f>
        <v>WorldCat Record</v>
      </c>
      <c r="AX5859" s="3" t="s">
        <v>55253</v>
      </c>
      <c r="AY5859" s="3" t="s">
        <v>55254</v>
      </c>
      <c r="AZ5859" s="3" t="s">
        <v>55255</v>
      </c>
      <c r="BA5859" s="3" t="s">
        <v>55255</v>
      </c>
      <c r="BB5859" s="3" t="s">
        <v>55256</v>
      </c>
      <c r="BC5859" s="3" t="s">
        <v>33640</v>
      </c>
      <c r="BD5859" s="3" t="s">
        <v>68</v>
      </c>
      <c r="BF5859" s="3" t="s">
        <v>55256</v>
      </c>
      <c r="BG5859" s="3" t="s">
        <v>55257</v>
      </c>
    </row>
    <row r="5860" spans="1:59" ht="87" x14ac:dyDescent="0.35">
      <c r="A5860" s="2" t="s">
        <v>89</v>
      </c>
      <c r="B5860" s="2" t="s">
        <v>42560</v>
      </c>
      <c r="C5860" s="2" t="s">
        <v>55258</v>
      </c>
      <c r="D5860" s="2" t="s">
        <v>55259</v>
      </c>
      <c r="E5860" s="2" t="s">
        <v>55260</v>
      </c>
      <c r="G5860" s="3" t="s">
        <v>62</v>
      </c>
      <c r="I5860" s="3" t="s">
        <v>62</v>
      </c>
      <c r="J5860" s="3" t="s">
        <v>62</v>
      </c>
      <c r="K5860" s="3" t="s">
        <v>63</v>
      </c>
      <c r="M5860" s="2" t="s">
        <v>55261</v>
      </c>
      <c r="N5860" s="3" t="s">
        <v>880</v>
      </c>
      <c r="P5860" s="3" t="s">
        <v>64</v>
      </c>
      <c r="R5860" s="3" t="s">
        <v>42369</v>
      </c>
      <c r="S5860" s="4">
        <v>2</v>
      </c>
      <c r="T5860" s="4">
        <v>2</v>
      </c>
      <c r="U5860" s="5" t="s">
        <v>54285</v>
      </c>
      <c r="V5860" s="5" t="s">
        <v>54285</v>
      </c>
      <c r="W5860" s="5" t="s">
        <v>67</v>
      </c>
      <c r="X5860" s="5" t="s">
        <v>67</v>
      </c>
      <c r="Y5860" s="4">
        <v>52</v>
      </c>
      <c r="Z5860" s="4">
        <v>3</v>
      </c>
      <c r="AA5860" s="4">
        <v>20</v>
      </c>
      <c r="AB5860" s="4">
        <v>1</v>
      </c>
      <c r="AC5860" s="4">
        <v>1</v>
      </c>
      <c r="AD5860" s="4">
        <v>0</v>
      </c>
      <c r="AE5860" s="4">
        <v>5</v>
      </c>
      <c r="AF5860" s="4">
        <v>0</v>
      </c>
      <c r="AG5860" s="4">
        <v>0</v>
      </c>
      <c r="AH5860" s="4">
        <v>0</v>
      </c>
      <c r="AI5860" s="4">
        <v>4</v>
      </c>
      <c r="AJ5860" s="4">
        <v>0</v>
      </c>
      <c r="AK5860" s="4">
        <v>2</v>
      </c>
      <c r="AL5860" s="4">
        <v>0</v>
      </c>
      <c r="AM5860" s="4">
        <v>1</v>
      </c>
      <c r="AN5860" s="4">
        <v>0</v>
      </c>
      <c r="AO5860" s="4">
        <v>0</v>
      </c>
      <c r="AP5860" s="4">
        <v>0</v>
      </c>
      <c r="AQ5860" s="4">
        <v>3</v>
      </c>
      <c r="AR5860" s="3" t="s">
        <v>62</v>
      </c>
      <c r="AS5860" s="3" t="s">
        <v>62</v>
      </c>
      <c r="AT5860" s="3" t="s">
        <v>62</v>
      </c>
      <c r="AV5860" s="6" t="str">
        <f>HYPERLINK("http://mcgill.on.worldcat.org/oclc/709917831","Catalog Record")</f>
        <v>Catalog Record</v>
      </c>
      <c r="AW5860" s="6" t="str">
        <f>HYPERLINK("http://www.worldcat.org/oclc/709917831","WorldCat Record")</f>
        <v>WorldCat Record</v>
      </c>
      <c r="AX5860" s="3" t="s">
        <v>55262</v>
      </c>
      <c r="AY5860" s="3" t="s">
        <v>55263</v>
      </c>
      <c r="AZ5860" s="3" t="s">
        <v>55264</v>
      </c>
      <c r="BA5860" s="3" t="s">
        <v>55264</v>
      </c>
      <c r="BB5860" s="3" t="s">
        <v>55265</v>
      </c>
      <c r="BC5860" s="3" t="s">
        <v>33640</v>
      </c>
      <c r="BD5860" s="3" t="s">
        <v>68</v>
      </c>
      <c r="BF5860" s="3" t="s">
        <v>55265</v>
      </c>
      <c r="BG5860" s="3" t="s">
        <v>55266</v>
      </c>
    </row>
    <row r="5861" spans="1:59" ht="87" x14ac:dyDescent="0.35">
      <c r="A5861" s="2" t="s">
        <v>89</v>
      </c>
      <c r="B5861" s="2" t="s">
        <v>42560</v>
      </c>
      <c r="C5861" s="2" t="s">
        <v>55267</v>
      </c>
      <c r="D5861" s="2" t="s">
        <v>55268</v>
      </c>
      <c r="E5861" s="2" t="s">
        <v>55269</v>
      </c>
      <c r="G5861" s="3" t="s">
        <v>62</v>
      </c>
      <c r="I5861" s="3" t="s">
        <v>62</v>
      </c>
      <c r="J5861" s="3" t="s">
        <v>62</v>
      </c>
      <c r="K5861" s="3" t="s">
        <v>63</v>
      </c>
      <c r="M5861" s="2" t="s">
        <v>55270</v>
      </c>
      <c r="N5861" s="3" t="s">
        <v>880</v>
      </c>
      <c r="P5861" s="3" t="s">
        <v>64</v>
      </c>
      <c r="R5861" s="3" t="s">
        <v>42369</v>
      </c>
      <c r="S5861" s="4">
        <v>1</v>
      </c>
      <c r="T5861" s="4">
        <v>1</v>
      </c>
      <c r="U5861" s="5" t="s">
        <v>55271</v>
      </c>
      <c r="V5861" s="5" t="s">
        <v>55271</v>
      </c>
      <c r="W5861" s="5" t="s">
        <v>67</v>
      </c>
      <c r="X5861" s="5" t="s">
        <v>67</v>
      </c>
      <c r="Y5861" s="4">
        <v>22</v>
      </c>
      <c r="Z5861" s="4">
        <v>2</v>
      </c>
      <c r="AA5861" s="4">
        <v>13</v>
      </c>
      <c r="AB5861" s="4">
        <v>1</v>
      </c>
      <c r="AC5861" s="4">
        <v>2</v>
      </c>
      <c r="AD5861" s="4">
        <v>1</v>
      </c>
      <c r="AE5861" s="4">
        <v>10</v>
      </c>
      <c r="AF5861" s="4">
        <v>0</v>
      </c>
      <c r="AG5861" s="4">
        <v>1</v>
      </c>
      <c r="AH5861" s="4">
        <v>1</v>
      </c>
      <c r="AI5861" s="4">
        <v>8</v>
      </c>
      <c r="AJ5861" s="4">
        <v>0</v>
      </c>
      <c r="AK5861" s="4">
        <v>3</v>
      </c>
      <c r="AL5861" s="4">
        <v>1</v>
      </c>
      <c r="AM5861" s="4">
        <v>6</v>
      </c>
      <c r="AN5861" s="4">
        <v>0</v>
      </c>
      <c r="AO5861" s="4">
        <v>0</v>
      </c>
      <c r="AP5861" s="4">
        <v>0</v>
      </c>
      <c r="AQ5861" s="4">
        <v>3</v>
      </c>
      <c r="AR5861" s="3" t="s">
        <v>62</v>
      </c>
      <c r="AS5861" s="3" t="s">
        <v>62</v>
      </c>
      <c r="AT5861" s="3" t="s">
        <v>62</v>
      </c>
      <c r="AV5861" s="6" t="str">
        <f>HYPERLINK("http://mcgill.on.worldcat.org/oclc/741957299","Catalog Record")</f>
        <v>Catalog Record</v>
      </c>
      <c r="AW5861" s="6" t="str">
        <f>HYPERLINK("http://www.worldcat.org/oclc/741957299","WorldCat Record")</f>
        <v>WorldCat Record</v>
      </c>
      <c r="AX5861" s="3" t="s">
        <v>55272</v>
      </c>
      <c r="AY5861" s="3" t="s">
        <v>55273</v>
      </c>
      <c r="AZ5861" s="3" t="s">
        <v>55274</v>
      </c>
      <c r="BA5861" s="3" t="s">
        <v>55274</v>
      </c>
      <c r="BB5861" s="3" t="s">
        <v>55275</v>
      </c>
      <c r="BC5861" s="3" t="s">
        <v>33640</v>
      </c>
      <c r="BD5861" s="3" t="s">
        <v>68</v>
      </c>
      <c r="BF5861" s="3" t="s">
        <v>55275</v>
      </c>
      <c r="BG5861" s="3" t="s">
        <v>55276</v>
      </c>
    </row>
    <row r="5862" spans="1:59" ht="87" x14ac:dyDescent="0.35">
      <c r="A5862" s="2" t="s">
        <v>89</v>
      </c>
      <c r="B5862" s="2" t="s">
        <v>42560</v>
      </c>
      <c r="C5862" s="2" t="s">
        <v>55277</v>
      </c>
      <c r="D5862" s="2" t="s">
        <v>55278</v>
      </c>
      <c r="E5862" s="2" t="s">
        <v>55279</v>
      </c>
      <c r="G5862" s="3" t="s">
        <v>62</v>
      </c>
      <c r="I5862" s="3" t="s">
        <v>62</v>
      </c>
      <c r="J5862" s="3" t="s">
        <v>62</v>
      </c>
      <c r="K5862" s="3" t="s">
        <v>63</v>
      </c>
      <c r="M5862" s="2" t="s">
        <v>55280</v>
      </c>
      <c r="N5862" s="3" t="s">
        <v>2985</v>
      </c>
      <c r="P5862" s="3" t="s">
        <v>64</v>
      </c>
      <c r="R5862" s="3" t="s">
        <v>34126</v>
      </c>
      <c r="S5862" s="4">
        <v>3</v>
      </c>
      <c r="T5862" s="4">
        <v>3</v>
      </c>
      <c r="U5862" s="5" t="s">
        <v>24600</v>
      </c>
      <c r="V5862" s="5" t="s">
        <v>24600</v>
      </c>
      <c r="W5862" s="5" t="s">
        <v>67</v>
      </c>
      <c r="X5862" s="5" t="s">
        <v>67</v>
      </c>
      <c r="Y5862" s="4">
        <v>13</v>
      </c>
      <c r="Z5862" s="4">
        <v>1</v>
      </c>
      <c r="AA5862" s="4">
        <v>55</v>
      </c>
      <c r="AB5862" s="4">
        <v>1</v>
      </c>
      <c r="AC5862" s="4">
        <v>2</v>
      </c>
      <c r="AD5862" s="4">
        <v>2</v>
      </c>
      <c r="AE5862" s="4">
        <v>51</v>
      </c>
      <c r="AF5862" s="4">
        <v>0</v>
      </c>
      <c r="AG5862" s="4">
        <v>1</v>
      </c>
      <c r="AH5862" s="4">
        <v>2</v>
      </c>
      <c r="AI5862" s="4">
        <v>41</v>
      </c>
      <c r="AJ5862" s="4">
        <v>0</v>
      </c>
      <c r="AK5862" s="4">
        <v>8</v>
      </c>
      <c r="AL5862" s="4">
        <v>1</v>
      </c>
      <c r="AM5862" s="4">
        <v>19</v>
      </c>
      <c r="AN5862" s="4">
        <v>0</v>
      </c>
      <c r="AO5862" s="4">
        <v>0</v>
      </c>
      <c r="AP5862" s="4">
        <v>0</v>
      </c>
      <c r="AQ5862" s="4">
        <v>16</v>
      </c>
      <c r="AR5862" s="3" t="s">
        <v>62</v>
      </c>
      <c r="AS5862" s="3" t="s">
        <v>62</v>
      </c>
      <c r="AT5862" s="3" t="s">
        <v>62</v>
      </c>
      <c r="AV5862" s="6" t="str">
        <f>HYPERLINK("http://mcgill.on.worldcat.org/oclc/720070160","Catalog Record")</f>
        <v>Catalog Record</v>
      </c>
      <c r="AW5862" s="6" t="str">
        <f>HYPERLINK("http://www.worldcat.org/oclc/720070160","WorldCat Record")</f>
        <v>WorldCat Record</v>
      </c>
      <c r="AX5862" s="3" t="s">
        <v>55281</v>
      </c>
      <c r="AY5862" s="3" t="s">
        <v>55282</v>
      </c>
      <c r="AZ5862" s="3" t="s">
        <v>55283</v>
      </c>
      <c r="BA5862" s="3" t="s">
        <v>55283</v>
      </c>
      <c r="BB5862" s="3" t="s">
        <v>55284</v>
      </c>
      <c r="BC5862" s="3" t="s">
        <v>33640</v>
      </c>
      <c r="BD5862" s="3" t="s">
        <v>68</v>
      </c>
      <c r="BF5862" s="3" t="s">
        <v>55284</v>
      </c>
      <c r="BG5862" s="3" t="s">
        <v>55285</v>
      </c>
    </row>
    <row r="5863" spans="1:59" ht="87" x14ac:dyDescent="0.35">
      <c r="A5863" s="2" t="s">
        <v>89</v>
      </c>
      <c r="B5863" s="2" t="s">
        <v>42560</v>
      </c>
      <c r="C5863" s="2" t="s">
        <v>55286</v>
      </c>
      <c r="D5863" s="2" t="s">
        <v>55287</v>
      </c>
      <c r="E5863" s="2" t="s">
        <v>55288</v>
      </c>
      <c r="G5863" s="3" t="s">
        <v>62</v>
      </c>
      <c r="I5863" s="3" t="s">
        <v>62</v>
      </c>
      <c r="J5863" s="3" t="s">
        <v>62</v>
      </c>
      <c r="K5863" s="3" t="s">
        <v>63</v>
      </c>
      <c r="L5863" s="2" t="s">
        <v>55289</v>
      </c>
      <c r="M5863" s="2" t="s">
        <v>55290</v>
      </c>
      <c r="N5863" s="3" t="s">
        <v>684</v>
      </c>
      <c r="P5863" s="3" t="s">
        <v>64</v>
      </c>
      <c r="R5863" s="3" t="s">
        <v>27443</v>
      </c>
      <c r="S5863" s="4">
        <v>3</v>
      </c>
      <c r="T5863" s="4">
        <v>3</v>
      </c>
      <c r="U5863" s="5" t="s">
        <v>8858</v>
      </c>
      <c r="V5863" s="5" t="s">
        <v>8858</v>
      </c>
      <c r="W5863" s="5" t="s">
        <v>67</v>
      </c>
      <c r="X5863" s="5" t="s">
        <v>67</v>
      </c>
      <c r="Y5863" s="4">
        <v>10</v>
      </c>
      <c r="Z5863" s="4">
        <v>1</v>
      </c>
      <c r="AA5863" s="4">
        <v>9</v>
      </c>
      <c r="AB5863" s="4">
        <v>1</v>
      </c>
      <c r="AC5863" s="4">
        <v>3</v>
      </c>
      <c r="AD5863" s="4">
        <v>0</v>
      </c>
      <c r="AE5863" s="4">
        <v>5</v>
      </c>
      <c r="AF5863" s="4">
        <v>0</v>
      </c>
      <c r="AG5863" s="4">
        <v>1</v>
      </c>
      <c r="AH5863" s="4">
        <v>0</v>
      </c>
      <c r="AI5863" s="4">
        <v>2</v>
      </c>
      <c r="AJ5863" s="4">
        <v>0</v>
      </c>
      <c r="AK5863" s="4">
        <v>1</v>
      </c>
      <c r="AL5863" s="4">
        <v>0</v>
      </c>
      <c r="AM5863" s="4">
        <v>2</v>
      </c>
      <c r="AN5863" s="4">
        <v>0</v>
      </c>
      <c r="AO5863" s="4">
        <v>0</v>
      </c>
      <c r="AP5863" s="4">
        <v>0</v>
      </c>
      <c r="AQ5863" s="4">
        <v>3</v>
      </c>
      <c r="AR5863" s="3" t="s">
        <v>62</v>
      </c>
      <c r="AS5863" s="3" t="s">
        <v>62</v>
      </c>
      <c r="AT5863" s="3" t="s">
        <v>62</v>
      </c>
      <c r="AV5863" s="6" t="str">
        <f>HYPERLINK("http://mcgill.on.worldcat.org/oclc/794292414","Catalog Record")</f>
        <v>Catalog Record</v>
      </c>
      <c r="AW5863" s="6" t="str">
        <f>HYPERLINK("http://www.worldcat.org/oclc/794292414","WorldCat Record")</f>
        <v>WorldCat Record</v>
      </c>
      <c r="AX5863" s="3" t="s">
        <v>55291</v>
      </c>
      <c r="AY5863" s="3" t="s">
        <v>55292</v>
      </c>
      <c r="AZ5863" s="3" t="s">
        <v>55293</v>
      </c>
      <c r="BA5863" s="3" t="s">
        <v>55293</v>
      </c>
      <c r="BB5863" s="3" t="s">
        <v>55294</v>
      </c>
      <c r="BC5863" s="3" t="s">
        <v>33640</v>
      </c>
      <c r="BD5863" s="3" t="s">
        <v>68</v>
      </c>
      <c r="BF5863" s="3" t="s">
        <v>55294</v>
      </c>
      <c r="BG5863" s="3" t="s">
        <v>55295</v>
      </c>
    </row>
    <row r="5864" spans="1:59" ht="87" x14ac:dyDescent="0.35">
      <c r="A5864" s="2" t="s">
        <v>89</v>
      </c>
      <c r="B5864" s="2" t="s">
        <v>42560</v>
      </c>
      <c r="C5864" s="2" t="s">
        <v>55296</v>
      </c>
      <c r="D5864" s="2" t="s">
        <v>55297</v>
      </c>
      <c r="E5864" s="2" t="s">
        <v>55298</v>
      </c>
      <c r="G5864" s="3" t="s">
        <v>62</v>
      </c>
      <c r="I5864" s="3" t="s">
        <v>62</v>
      </c>
      <c r="J5864" s="3" t="s">
        <v>62</v>
      </c>
      <c r="K5864" s="3" t="s">
        <v>63</v>
      </c>
      <c r="M5864" s="2" t="s">
        <v>55299</v>
      </c>
      <c r="N5864" s="3" t="s">
        <v>625</v>
      </c>
      <c r="P5864" s="3" t="s">
        <v>64</v>
      </c>
      <c r="Q5864" s="2" t="s">
        <v>55300</v>
      </c>
      <c r="R5864" s="3" t="s">
        <v>25645</v>
      </c>
      <c r="S5864" s="4">
        <v>3</v>
      </c>
      <c r="T5864" s="4">
        <v>3</v>
      </c>
      <c r="U5864" s="5" t="s">
        <v>44662</v>
      </c>
      <c r="V5864" s="5" t="s">
        <v>44662</v>
      </c>
      <c r="W5864" s="5" t="s">
        <v>67</v>
      </c>
      <c r="X5864" s="5" t="s">
        <v>67</v>
      </c>
      <c r="Y5864" s="4">
        <v>524</v>
      </c>
      <c r="Z5864" s="4">
        <v>26</v>
      </c>
      <c r="AA5864" s="4">
        <v>32</v>
      </c>
      <c r="AB5864" s="4">
        <v>2</v>
      </c>
      <c r="AC5864" s="4">
        <v>3</v>
      </c>
      <c r="AD5864" s="4">
        <v>15</v>
      </c>
      <c r="AE5864" s="4">
        <v>24</v>
      </c>
      <c r="AF5864" s="4">
        <v>0</v>
      </c>
      <c r="AG5864" s="4">
        <v>1</v>
      </c>
      <c r="AH5864" s="4">
        <v>13</v>
      </c>
      <c r="AI5864" s="4">
        <v>21</v>
      </c>
      <c r="AJ5864" s="4">
        <v>3</v>
      </c>
      <c r="AK5864" s="4">
        <v>4</v>
      </c>
      <c r="AL5864" s="4">
        <v>7</v>
      </c>
      <c r="AM5864" s="4">
        <v>12</v>
      </c>
      <c r="AN5864" s="4">
        <v>0</v>
      </c>
      <c r="AO5864" s="4">
        <v>0</v>
      </c>
      <c r="AP5864" s="4">
        <v>4</v>
      </c>
      <c r="AQ5864" s="4">
        <v>5</v>
      </c>
      <c r="AR5864" s="3" t="s">
        <v>62</v>
      </c>
      <c r="AS5864" s="3" t="s">
        <v>62</v>
      </c>
      <c r="AT5864" s="3" t="s">
        <v>62</v>
      </c>
      <c r="AV5864" s="6" t="str">
        <f>HYPERLINK("http://mcgill.on.worldcat.org/oclc/52624656","Catalog Record")</f>
        <v>Catalog Record</v>
      </c>
      <c r="AW5864" s="6" t="str">
        <f>HYPERLINK("http://www.worldcat.org/oclc/52624656","WorldCat Record")</f>
        <v>WorldCat Record</v>
      </c>
      <c r="AX5864" s="3" t="s">
        <v>55301</v>
      </c>
      <c r="AY5864" s="3" t="s">
        <v>55302</v>
      </c>
      <c r="AZ5864" s="3" t="s">
        <v>55303</v>
      </c>
      <c r="BA5864" s="3" t="s">
        <v>55303</v>
      </c>
      <c r="BB5864" s="3" t="s">
        <v>55304</v>
      </c>
      <c r="BC5864" s="3" t="s">
        <v>33640</v>
      </c>
      <c r="BD5864" s="3" t="s">
        <v>68</v>
      </c>
      <c r="BE5864" s="3" t="s">
        <v>55305</v>
      </c>
      <c r="BF5864" s="3" t="s">
        <v>55304</v>
      </c>
      <c r="BG5864" s="3" t="s">
        <v>55306</v>
      </c>
    </row>
    <row r="5865" spans="1:59" ht="87" x14ac:dyDescent="0.35">
      <c r="A5865" s="2" t="s">
        <v>89</v>
      </c>
      <c r="B5865" s="2" t="s">
        <v>42560</v>
      </c>
      <c r="C5865" s="2" t="s">
        <v>55307</v>
      </c>
      <c r="D5865" s="2" t="s">
        <v>55308</v>
      </c>
      <c r="E5865" s="2" t="s">
        <v>55309</v>
      </c>
      <c r="G5865" s="3" t="s">
        <v>62</v>
      </c>
      <c r="I5865" s="3" t="s">
        <v>62</v>
      </c>
      <c r="J5865" s="3" t="s">
        <v>62</v>
      </c>
      <c r="K5865" s="3" t="s">
        <v>63</v>
      </c>
      <c r="M5865" s="2" t="s">
        <v>55310</v>
      </c>
      <c r="N5865" s="3" t="s">
        <v>1722</v>
      </c>
      <c r="P5865" s="3" t="s">
        <v>64</v>
      </c>
      <c r="Q5865" s="2" t="s">
        <v>55311</v>
      </c>
      <c r="R5865" s="3" t="s">
        <v>25645</v>
      </c>
      <c r="S5865" s="4">
        <v>4</v>
      </c>
      <c r="T5865" s="4">
        <v>4</v>
      </c>
      <c r="U5865" s="5" t="s">
        <v>28719</v>
      </c>
      <c r="V5865" s="5" t="s">
        <v>28719</v>
      </c>
      <c r="W5865" s="5" t="s">
        <v>67</v>
      </c>
      <c r="X5865" s="5" t="s">
        <v>67</v>
      </c>
      <c r="Y5865" s="4">
        <v>497</v>
      </c>
      <c r="Z5865" s="4">
        <v>17</v>
      </c>
      <c r="AA5865" s="4">
        <v>22</v>
      </c>
      <c r="AB5865" s="4">
        <v>1</v>
      </c>
      <c r="AC5865" s="4">
        <v>2</v>
      </c>
      <c r="AD5865" s="4">
        <v>6</v>
      </c>
      <c r="AE5865" s="4">
        <v>7</v>
      </c>
      <c r="AF5865" s="4">
        <v>0</v>
      </c>
      <c r="AG5865" s="4">
        <v>0</v>
      </c>
      <c r="AH5865" s="4">
        <v>6</v>
      </c>
      <c r="AI5865" s="4">
        <v>7</v>
      </c>
      <c r="AJ5865" s="4">
        <v>0</v>
      </c>
      <c r="AK5865" s="4">
        <v>0</v>
      </c>
      <c r="AL5865" s="4">
        <v>3</v>
      </c>
      <c r="AM5865" s="4">
        <v>3</v>
      </c>
      <c r="AN5865" s="4">
        <v>0</v>
      </c>
      <c r="AO5865" s="4">
        <v>0</v>
      </c>
      <c r="AP5865" s="4">
        <v>0</v>
      </c>
      <c r="AQ5865" s="4">
        <v>0</v>
      </c>
      <c r="AR5865" s="3" t="s">
        <v>62</v>
      </c>
      <c r="AS5865" s="3" t="s">
        <v>62</v>
      </c>
      <c r="AT5865" s="3" t="s">
        <v>62</v>
      </c>
      <c r="AV5865" s="6" t="str">
        <f>HYPERLINK("http://mcgill.on.worldcat.org/oclc/285597661","Catalog Record")</f>
        <v>Catalog Record</v>
      </c>
      <c r="AW5865" s="6" t="str">
        <f>HYPERLINK("http://www.worldcat.org/oclc/285597661","WorldCat Record")</f>
        <v>WorldCat Record</v>
      </c>
      <c r="AX5865" s="3" t="s">
        <v>55312</v>
      </c>
      <c r="AY5865" s="3" t="s">
        <v>55313</v>
      </c>
      <c r="AZ5865" s="3" t="s">
        <v>55314</v>
      </c>
      <c r="BA5865" s="3" t="s">
        <v>55314</v>
      </c>
      <c r="BB5865" s="3" t="s">
        <v>55315</v>
      </c>
      <c r="BC5865" s="3" t="s">
        <v>33640</v>
      </c>
      <c r="BD5865" s="3" t="s">
        <v>68</v>
      </c>
      <c r="BE5865" s="3" t="s">
        <v>55316</v>
      </c>
      <c r="BF5865" s="3" t="s">
        <v>55315</v>
      </c>
      <c r="BG5865" s="3" t="s">
        <v>55317</v>
      </c>
    </row>
    <row r="5866" spans="1:59" ht="87" x14ac:dyDescent="0.35">
      <c r="A5866" s="2" t="s">
        <v>89</v>
      </c>
      <c r="B5866" s="2" t="s">
        <v>42560</v>
      </c>
      <c r="C5866" s="2" t="s">
        <v>55318</v>
      </c>
      <c r="D5866" s="2" t="s">
        <v>55319</v>
      </c>
      <c r="E5866" s="2" t="s">
        <v>55320</v>
      </c>
      <c r="F5866" s="3" t="s">
        <v>55321</v>
      </c>
      <c r="G5866" s="3" t="s">
        <v>61</v>
      </c>
      <c r="I5866" s="3" t="s">
        <v>62</v>
      </c>
      <c r="J5866" s="3" t="s">
        <v>62</v>
      </c>
      <c r="K5866" s="3" t="s">
        <v>63</v>
      </c>
      <c r="L5866" s="2" t="s">
        <v>55322</v>
      </c>
      <c r="M5866" s="2" t="s">
        <v>55323</v>
      </c>
      <c r="N5866" s="3" t="s">
        <v>880</v>
      </c>
      <c r="P5866" s="3" t="s">
        <v>64</v>
      </c>
      <c r="R5866" s="3" t="s">
        <v>25645</v>
      </c>
      <c r="S5866" s="4">
        <v>14</v>
      </c>
      <c r="T5866" s="4">
        <v>29</v>
      </c>
      <c r="U5866" s="5" t="s">
        <v>26091</v>
      </c>
      <c r="V5866" s="5" t="s">
        <v>26091</v>
      </c>
      <c r="W5866" s="5" t="s">
        <v>67</v>
      </c>
      <c r="X5866" s="5" t="s">
        <v>67</v>
      </c>
      <c r="Y5866" s="4">
        <v>329</v>
      </c>
      <c r="Z5866" s="4">
        <v>15</v>
      </c>
      <c r="AA5866" s="4">
        <v>19</v>
      </c>
      <c r="AB5866" s="4">
        <v>3</v>
      </c>
      <c r="AC5866" s="4">
        <v>3</v>
      </c>
      <c r="AD5866" s="4">
        <v>6</v>
      </c>
      <c r="AE5866" s="4">
        <v>8</v>
      </c>
      <c r="AF5866" s="4">
        <v>0</v>
      </c>
      <c r="AG5866" s="4">
        <v>0</v>
      </c>
      <c r="AH5866" s="4">
        <v>6</v>
      </c>
      <c r="AI5866" s="4">
        <v>8</v>
      </c>
      <c r="AJ5866" s="4">
        <v>0</v>
      </c>
      <c r="AK5866" s="4">
        <v>1</v>
      </c>
      <c r="AL5866" s="4">
        <v>4</v>
      </c>
      <c r="AM5866" s="4">
        <v>5</v>
      </c>
      <c r="AN5866" s="4">
        <v>0</v>
      </c>
      <c r="AO5866" s="4">
        <v>0</v>
      </c>
      <c r="AP5866" s="4">
        <v>0</v>
      </c>
      <c r="AQ5866" s="4">
        <v>1</v>
      </c>
      <c r="AR5866" s="3" t="s">
        <v>62</v>
      </c>
      <c r="AS5866" s="3" t="s">
        <v>62</v>
      </c>
      <c r="AT5866" s="3" t="s">
        <v>62</v>
      </c>
      <c r="AV5866" s="6" t="str">
        <f>HYPERLINK("http://mcgill.on.worldcat.org/oclc/671816139","Catalog Record")</f>
        <v>Catalog Record</v>
      </c>
      <c r="AW5866" s="6" t="str">
        <f>HYPERLINK("http://www.worldcat.org/oclc/671816139","WorldCat Record")</f>
        <v>WorldCat Record</v>
      </c>
      <c r="AX5866" s="3" t="s">
        <v>55324</v>
      </c>
      <c r="AY5866" s="3" t="s">
        <v>55325</v>
      </c>
      <c r="AZ5866" s="3" t="s">
        <v>55326</v>
      </c>
      <c r="BA5866" s="3" t="s">
        <v>55326</v>
      </c>
      <c r="BB5866" s="3" t="s">
        <v>55327</v>
      </c>
      <c r="BC5866" s="3" t="s">
        <v>33640</v>
      </c>
      <c r="BD5866" s="3" t="s">
        <v>68</v>
      </c>
      <c r="BE5866" s="3" t="s">
        <v>55328</v>
      </c>
      <c r="BF5866" s="3" t="s">
        <v>55327</v>
      </c>
      <c r="BG5866" s="3" t="s">
        <v>55329</v>
      </c>
    </row>
    <row r="5867" spans="1:59" ht="159.5" x14ac:dyDescent="0.35">
      <c r="A5867" s="2" t="s">
        <v>89</v>
      </c>
      <c r="B5867" s="2" t="s">
        <v>42560</v>
      </c>
      <c r="C5867" s="2" t="s">
        <v>55318</v>
      </c>
      <c r="D5867" s="2" t="s">
        <v>55319</v>
      </c>
      <c r="E5867" s="2" t="s">
        <v>55330</v>
      </c>
      <c r="F5867" s="3" t="s">
        <v>55331</v>
      </c>
      <c r="G5867" s="3" t="s">
        <v>61</v>
      </c>
      <c r="I5867" s="3" t="s">
        <v>62</v>
      </c>
      <c r="J5867" s="3" t="s">
        <v>62</v>
      </c>
      <c r="K5867" s="3" t="s">
        <v>63</v>
      </c>
      <c r="L5867" s="2" t="s">
        <v>55332</v>
      </c>
      <c r="M5867" s="2" t="s">
        <v>55333</v>
      </c>
      <c r="N5867" s="3" t="s">
        <v>2985</v>
      </c>
      <c r="P5867" s="3" t="s">
        <v>64</v>
      </c>
      <c r="R5867" s="3" t="s">
        <v>25645</v>
      </c>
      <c r="S5867" s="4">
        <v>6</v>
      </c>
      <c r="T5867" s="4">
        <v>26</v>
      </c>
      <c r="U5867" s="5" t="s">
        <v>26091</v>
      </c>
      <c r="V5867" s="5" t="s">
        <v>26091</v>
      </c>
      <c r="W5867" s="5" t="s">
        <v>67</v>
      </c>
      <c r="X5867" s="5" t="s">
        <v>67</v>
      </c>
      <c r="Y5867" s="4">
        <v>362</v>
      </c>
      <c r="Z5867" s="4">
        <v>13</v>
      </c>
      <c r="AA5867" s="4">
        <v>13</v>
      </c>
      <c r="AB5867" s="4">
        <v>2</v>
      </c>
      <c r="AC5867" s="4">
        <v>2</v>
      </c>
      <c r="AD5867" s="4">
        <v>11</v>
      </c>
      <c r="AE5867" s="4">
        <v>11</v>
      </c>
      <c r="AF5867" s="4">
        <v>0</v>
      </c>
      <c r="AG5867" s="4">
        <v>0</v>
      </c>
      <c r="AH5867" s="4">
        <v>9</v>
      </c>
      <c r="AI5867" s="4">
        <v>9</v>
      </c>
      <c r="AJ5867" s="4">
        <v>1</v>
      </c>
      <c r="AK5867" s="4">
        <v>1</v>
      </c>
      <c r="AL5867" s="4">
        <v>4</v>
      </c>
      <c r="AM5867" s="4">
        <v>4</v>
      </c>
      <c r="AN5867" s="4">
        <v>0</v>
      </c>
      <c r="AO5867" s="4">
        <v>0</v>
      </c>
      <c r="AP5867" s="4">
        <v>3</v>
      </c>
      <c r="AQ5867" s="4">
        <v>3</v>
      </c>
      <c r="AR5867" s="3" t="s">
        <v>62</v>
      </c>
      <c r="AS5867" s="3" t="s">
        <v>62</v>
      </c>
      <c r="AT5867" s="3" t="s">
        <v>62</v>
      </c>
      <c r="AV5867" s="6" t="str">
        <f>HYPERLINK("http://mcgill.on.worldcat.org/oclc/492438262","Catalog Record")</f>
        <v>Catalog Record</v>
      </c>
      <c r="AW5867" s="6" t="str">
        <f>HYPERLINK("http://www.worldcat.org/oclc/492438262","WorldCat Record")</f>
        <v>WorldCat Record</v>
      </c>
      <c r="AX5867" s="3" t="s">
        <v>55334</v>
      </c>
      <c r="AY5867" s="3" t="s">
        <v>55335</v>
      </c>
      <c r="AZ5867" s="3" t="s">
        <v>55336</v>
      </c>
      <c r="BA5867" s="3" t="s">
        <v>55336</v>
      </c>
      <c r="BB5867" s="3" t="s">
        <v>55337</v>
      </c>
      <c r="BC5867" s="3" t="s">
        <v>33640</v>
      </c>
      <c r="BD5867" s="3" t="s">
        <v>68</v>
      </c>
      <c r="BE5867" s="3" t="s">
        <v>55338</v>
      </c>
      <c r="BF5867" s="3" t="s">
        <v>55337</v>
      </c>
      <c r="BG5867" s="3" t="s">
        <v>55339</v>
      </c>
    </row>
    <row r="5868" spans="1:59" ht="159.5" x14ac:dyDescent="0.35">
      <c r="A5868" s="2" t="s">
        <v>89</v>
      </c>
      <c r="B5868" s="2" t="s">
        <v>42560</v>
      </c>
      <c r="C5868" s="2" t="s">
        <v>55318</v>
      </c>
      <c r="D5868" s="2" t="s">
        <v>55319</v>
      </c>
      <c r="E5868" s="2" t="s">
        <v>55330</v>
      </c>
      <c r="F5868" s="3" t="s">
        <v>55340</v>
      </c>
      <c r="G5868" s="3" t="s">
        <v>61</v>
      </c>
      <c r="I5868" s="3" t="s">
        <v>62</v>
      </c>
      <c r="J5868" s="3" t="s">
        <v>62</v>
      </c>
      <c r="K5868" s="3" t="s">
        <v>63</v>
      </c>
      <c r="L5868" s="2" t="s">
        <v>55332</v>
      </c>
      <c r="M5868" s="2" t="s">
        <v>55333</v>
      </c>
      <c r="N5868" s="3" t="s">
        <v>2985</v>
      </c>
      <c r="P5868" s="3" t="s">
        <v>64</v>
      </c>
      <c r="R5868" s="3" t="s">
        <v>25645</v>
      </c>
      <c r="S5868" s="4">
        <v>7</v>
      </c>
      <c r="T5868" s="4">
        <v>26</v>
      </c>
      <c r="U5868" s="5" t="s">
        <v>26091</v>
      </c>
      <c r="V5868" s="5" t="s">
        <v>26091</v>
      </c>
      <c r="W5868" s="5" t="s">
        <v>67</v>
      </c>
      <c r="X5868" s="5" t="s">
        <v>67</v>
      </c>
      <c r="Y5868" s="4">
        <v>362</v>
      </c>
      <c r="Z5868" s="4">
        <v>13</v>
      </c>
      <c r="AA5868" s="4">
        <v>13</v>
      </c>
      <c r="AB5868" s="4">
        <v>2</v>
      </c>
      <c r="AC5868" s="4">
        <v>2</v>
      </c>
      <c r="AD5868" s="4">
        <v>11</v>
      </c>
      <c r="AE5868" s="4">
        <v>11</v>
      </c>
      <c r="AF5868" s="4">
        <v>0</v>
      </c>
      <c r="AG5868" s="4">
        <v>0</v>
      </c>
      <c r="AH5868" s="4">
        <v>9</v>
      </c>
      <c r="AI5868" s="4">
        <v>9</v>
      </c>
      <c r="AJ5868" s="4">
        <v>1</v>
      </c>
      <c r="AK5868" s="4">
        <v>1</v>
      </c>
      <c r="AL5868" s="4">
        <v>4</v>
      </c>
      <c r="AM5868" s="4">
        <v>4</v>
      </c>
      <c r="AN5868" s="4">
        <v>0</v>
      </c>
      <c r="AO5868" s="4">
        <v>0</v>
      </c>
      <c r="AP5868" s="4">
        <v>3</v>
      </c>
      <c r="AQ5868" s="4">
        <v>3</v>
      </c>
      <c r="AR5868" s="3" t="s">
        <v>62</v>
      </c>
      <c r="AS5868" s="3" t="s">
        <v>62</v>
      </c>
      <c r="AT5868" s="3" t="s">
        <v>62</v>
      </c>
      <c r="AV5868" s="6" t="str">
        <f>HYPERLINK("http://mcgill.on.worldcat.org/oclc/492438262","Catalog Record")</f>
        <v>Catalog Record</v>
      </c>
      <c r="AW5868" s="6" t="str">
        <f>HYPERLINK("http://www.worldcat.org/oclc/492438262","WorldCat Record")</f>
        <v>WorldCat Record</v>
      </c>
      <c r="AX5868" s="3" t="s">
        <v>55334</v>
      </c>
      <c r="AY5868" s="3" t="s">
        <v>55335</v>
      </c>
      <c r="AZ5868" s="3" t="s">
        <v>55336</v>
      </c>
      <c r="BA5868" s="3" t="s">
        <v>55336</v>
      </c>
      <c r="BB5868" s="3" t="s">
        <v>55341</v>
      </c>
      <c r="BC5868" s="3" t="s">
        <v>33640</v>
      </c>
      <c r="BD5868" s="3" t="s">
        <v>68</v>
      </c>
      <c r="BE5868" s="3" t="s">
        <v>55338</v>
      </c>
      <c r="BF5868" s="3" t="s">
        <v>55341</v>
      </c>
      <c r="BG5868" s="3" t="s">
        <v>55342</v>
      </c>
    </row>
    <row r="5869" spans="1:59" ht="159.5" x14ac:dyDescent="0.35">
      <c r="A5869" s="2" t="s">
        <v>89</v>
      </c>
      <c r="B5869" s="2" t="s">
        <v>42560</v>
      </c>
      <c r="C5869" s="2" t="s">
        <v>55318</v>
      </c>
      <c r="D5869" s="2" t="s">
        <v>55319</v>
      </c>
      <c r="E5869" s="2" t="s">
        <v>55330</v>
      </c>
      <c r="F5869" s="3" t="s">
        <v>55343</v>
      </c>
      <c r="G5869" s="3" t="s">
        <v>61</v>
      </c>
      <c r="I5869" s="3" t="s">
        <v>62</v>
      </c>
      <c r="J5869" s="3" t="s">
        <v>62</v>
      </c>
      <c r="K5869" s="3" t="s">
        <v>63</v>
      </c>
      <c r="L5869" s="2" t="s">
        <v>55332</v>
      </c>
      <c r="M5869" s="2" t="s">
        <v>55333</v>
      </c>
      <c r="N5869" s="3" t="s">
        <v>2985</v>
      </c>
      <c r="P5869" s="3" t="s">
        <v>64</v>
      </c>
      <c r="R5869" s="3" t="s">
        <v>25645</v>
      </c>
      <c r="S5869" s="4">
        <v>7</v>
      </c>
      <c r="T5869" s="4">
        <v>26</v>
      </c>
      <c r="U5869" s="5" t="s">
        <v>26091</v>
      </c>
      <c r="V5869" s="5" t="s">
        <v>26091</v>
      </c>
      <c r="W5869" s="5" t="s">
        <v>67</v>
      </c>
      <c r="X5869" s="5" t="s">
        <v>67</v>
      </c>
      <c r="Y5869" s="4">
        <v>362</v>
      </c>
      <c r="Z5869" s="4">
        <v>13</v>
      </c>
      <c r="AA5869" s="4">
        <v>13</v>
      </c>
      <c r="AB5869" s="4">
        <v>2</v>
      </c>
      <c r="AC5869" s="4">
        <v>2</v>
      </c>
      <c r="AD5869" s="4">
        <v>11</v>
      </c>
      <c r="AE5869" s="4">
        <v>11</v>
      </c>
      <c r="AF5869" s="4">
        <v>0</v>
      </c>
      <c r="AG5869" s="4">
        <v>0</v>
      </c>
      <c r="AH5869" s="4">
        <v>9</v>
      </c>
      <c r="AI5869" s="4">
        <v>9</v>
      </c>
      <c r="AJ5869" s="4">
        <v>1</v>
      </c>
      <c r="AK5869" s="4">
        <v>1</v>
      </c>
      <c r="AL5869" s="4">
        <v>4</v>
      </c>
      <c r="AM5869" s="4">
        <v>4</v>
      </c>
      <c r="AN5869" s="4">
        <v>0</v>
      </c>
      <c r="AO5869" s="4">
        <v>0</v>
      </c>
      <c r="AP5869" s="4">
        <v>3</v>
      </c>
      <c r="AQ5869" s="4">
        <v>3</v>
      </c>
      <c r="AR5869" s="3" t="s">
        <v>62</v>
      </c>
      <c r="AS5869" s="3" t="s">
        <v>62</v>
      </c>
      <c r="AT5869" s="3" t="s">
        <v>62</v>
      </c>
      <c r="AV5869" s="6" t="str">
        <f>HYPERLINK("http://mcgill.on.worldcat.org/oclc/492438262","Catalog Record")</f>
        <v>Catalog Record</v>
      </c>
      <c r="AW5869" s="6" t="str">
        <f>HYPERLINK("http://www.worldcat.org/oclc/492438262","WorldCat Record")</f>
        <v>WorldCat Record</v>
      </c>
      <c r="AX5869" s="3" t="s">
        <v>55334</v>
      </c>
      <c r="AY5869" s="3" t="s">
        <v>55335</v>
      </c>
      <c r="AZ5869" s="3" t="s">
        <v>55336</v>
      </c>
      <c r="BA5869" s="3" t="s">
        <v>55336</v>
      </c>
      <c r="BB5869" s="3" t="s">
        <v>55344</v>
      </c>
      <c r="BC5869" s="3" t="s">
        <v>33640</v>
      </c>
      <c r="BD5869" s="3" t="s">
        <v>68</v>
      </c>
      <c r="BE5869" s="3" t="s">
        <v>55338</v>
      </c>
      <c r="BF5869" s="3" t="s">
        <v>55344</v>
      </c>
      <c r="BG5869" s="3" t="s">
        <v>55345</v>
      </c>
    </row>
    <row r="5870" spans="1:59" ht="159.5" x14ac:dyDescent="0.35">
      <c r="A5870" s="2" t="s">
        <v>89</v>
      </c>
      <c r="B5870" s="2" t="s">
        <v>42560</v>
      </c>
      <c r="C5870" s="2" t="s">
        <v>55318</v>
      </c>
      <c r="D5870" s="2" t="s">
        <v>55319</v>
      </c>
      <c r="E5870" s="2" t="s">
        <v>55330</v>
      </c>
      <c r="F5870" s="3" t="s">
        <v>55346</v>
      </c>
      <c r="G5870" s="3" t="s">
        <v>61</v>
      </c>
      <c r="I5870" s="3" t="s">
        <v>62</v>
      </c>
      <c r="J5870" s="3" t="s">
        <v>62</v>
      </c>
      <c r="K5870" s="3" t="s">
        <v>63</v>
      </c>
      <c r="L5870" s="2" t="s">
        <v>55332</v>
      </c>
      <c r="M5870" s="2" t="s">
        <v>55333</v>
      </c>
      <c r="N5870" s="3" t="s">
        <v>2985</v>
      </c>
      <c r="P5870" s="3" t="s">
        <v>64</v>
      </c>
      <c r="R5870" s="3" t="s">
        <v>25645</v>
      </c>
      <c r="S5870" s="4">
        <v>6</v>
      </c>
      <c r="T5870" s="4">
        <v>26</v>
      </c>
      <c r="U5870" s="5" t="s">
        <v>26091</v>
      </c>
      <c r="V5870" s="5" t="s">
        <v>26091</v>
      </c>
      <c r="W5870" s="5" t="s">
        <v>67</v>
      </c>
      <c r="X5870" s="5" t="s">
        <v>67</v>
      </c>
      <c r="Y5870" s="4">
        <v>362</v>
      </c>
      <c r="Z5870" s="4">
        <v>13</v>
      </c>
      <c r="AA5870" s="4">
        <v>13</v>
      </c>
      <c r="AB5870" s="4">
        <v>2</v>
      </c>
      <c r="AC5870" s="4">
        <v>2</v>
      </c>
      <c r="AD5870" s="4">
        <v>11</v>
      </c>
      <c r="AE5870" s="4">
        <v>11</v>
      </c>
      <c r="AF5870" s="4">
        <v>0</v>
      </c>
      <c r="AG5870" s="4">
        <v>0</v>
      </c>
      <c r="AH5870" s="4">
        <v>9</v>
      </c>
      <c r="AI5870" s="4">
        <v>9</v>
      </c>
      <c r="AJ5870" s="4">
        <v>1</v>
      </c>
      <c r="AK5870" s="4">
        <v>1</v>
      </c>
      <c r="AL5870" s="4">
        <v>4</v>
      </c>
      <c r="AM5870" s="4">
        <v>4</v>
      </c>
      <c r="AN5870" s="4">
        <v>0</v>
      </c>
      <c r="AO5870" s="4">
        <v>0</v>
      </c>
      <c r="AP5870" s="4">
        <v>3</v>
      </c>
      <c r="AQ5870" s="4">
        <v>3</v>
      </c>
      <c r="AR5870" s="3" t="s">
        <v>62</v>
      </c>
      <c r="AS5870" s="3" t="s">
        <v>62</v>
      </c>
      <c r="AT5870" s="3" t="s">
        <v>62</v>
      </c>
      <c r="AV5870" s="6" t="str">
        <f>HYPERLINK("http://mcgill.on.worldcat.org/oclc/492438262","Catalog Record")</f>
        <v>Catalog Record</v>
      </c>
      <c r="AW5870" s="6" t="str">
        <f>HYPERLINK("http://www.worldcat.org/oclc/492438262","WorldCat Record")</f>
        <v>WorldCat Record</v>
      </c>
      <c r="AX5870" s="3" t="s">
        <v>55334</v>
      </c>
      <c r="AY5870" s="3" t="s">
        <v>55335</v>
      </c>
      <c r="AZ5870" s="3" t="s">
        <v>55336</v>
      </c>
      <c r="BA5870" s="3" t="s">
        <v>55336</v>
      </c>
      <c r="BB5870" s="3" t="s">
        <v>55347</v>
      </c>
      <c r="BC5870" s="3" t="s">
        <v>33640</v>
      </c>
      <c r="BD5870" s="3" t="s">
        <v>68</v>
      </c>
      <c r="BE5870" s="3" t="s">
        <v>55338</v>
      </c>
      <c r="BF5870" s="3" t="s">
        <v>55347</v>
      </c>
      <c r="BG5870" s="3" t="s">
        <v>55348</v>
      </c>
    </row>
    <row r="5871" spans="1:59" ht="87" x14ac:dyDescent="0.35">
      <c r="A5871" s="2" t="s">
        <v>89</v>
      </c>
      <c r="B5871" s="2" t="s">
        <v>42560</v>
      </c>
      <c r="C5871" s="2" t="s">
        <v>55318</v>
      </c>
      <c r="D5871" s="2" t="s">
        <v>55319</v>
      </c>
      <c r="E5871" s="2" t="s">
        <v>55320</v>
      </c>
      <c r="F5871" s="3" t="s">
        <v>55349</v>
      </c>
      <c r="G5871" s="3" t="s">
        <v>61</v>
      </c>
      <c r="I5871" s="3" t="s">
        <v>62</v>
      </c>
      <c r="J5871" s="3" t="s">
        <v>62</v>
      </c>
      <c r="K5871" s="3" t="s">
        <v>63</v>
      </c>
      <c r="L5871" s="2" t="s">
        <v>55322</v>
      </c>
      <c r="M5871" s="2" t="s">
        <v>55323</v>
      </c>
      <c r="N5871" s="3" t="s">
        <v>880</v>
      </c>
      <c r="P5871" s="3" t="s">
        <v>64</v>
      </c>
      <c r="R5871" s="3" t="s">
        <v>25645</v>
      </c>
      <c r="S5871" s="4">
        <v>15</v>
      </c>
      <c r="T5871" s="4">
        <v>29</v>
      </c>
      <c r="U5871" s="5" t="s">
        <v>26091</v>
      </c>
      <c r="V5871" s="5" t="s">
        <v>26091</v>
      </c>
      <c r="W5871" s="5" t="s">
        <v>67</v>
      </c>
      <c r="X5871" s="5" t="s">
        <v>67</v>
      </c>
      <c r="Y5871" s="4">
        <v>329</v>
      </c>
      <c r="Z5871" s="4">
        <v>15</v>
      </c>
      <c r="AA5871" s="4">
        <v>19</v>
      </c>
      <c r="AB5871" s="4">
        <v>3</v>
      </c>
      <c r="AC5871" s="4">
        <v>3</v>
      </c>
      <c r="AD5871" s="4">
        <v>6</v>
      </c>
      <c r="AE5871" s="4">
        <v>8</v>
      </c>
      <c r="AF5871" s="4">
        <v>0</v>
      </c>
      <c r="AG5871" s="4">
        <v>0</v>
      </c>
      <c r="AH5871" s="4">
        <v>6</v>
      </c>
      <c r="AI5871" s="4">
        <v>8</v>
      </c>
      <c r="AJ5871" s="4">
        <v>0</v>
      </c>
      <c r="AK5871" s="4">
        <v>1</v>
      </c>
      <c r="AL5871" s="4">
        <v>4</v>
      </c>
      <c r="AM5871" s="4">
        <v>5</v>
      </c>
      <c r="AN5871" s="4">
        <v>0</v>
      </c>
      <c r="AO5871" s="4">
        <v>0</v>
      </c>
      <c r="AP5871" s="4">
        <v>0</v>
      </c>
      <c r="AQ5871" s="4">
        <v>1</v>
      </c>
      <c r="AR5871" s="3" t="s">
        <v>62</v>
      </c>
      <c r="AS5871" s="3" t="s">
        <v>62</v>
      </c>
      <c r="AT5871" s="3" t="s">
        <v>62</v>
      </c>
      <c r="AV5871" s="6" t="str">
        <f>HYPERLINK("http://mcgill.on.worldcat.org/oclc/671816139","Catalog Record")</f>
        <v>Catalog Record</v>
      </c>
      <c r="AW5871" s="6" t="str">
        <f>HYPERLINK("http://www.worldcat.org/oclc/671816139","WorldCat Record")</f>
        <v>WorldCat Record</v>
      </c>
      <c r="AX5871" s="3" t="s">
        <v>55324</v>
      </c>
      <c r="AY5871" s="3" t="s">
        <v>55325</v>
      </c>
      <c r="AZ5871" s="3" t="s">
        <v>55326</v>
      </c>
      <c r="BA5871" s="3" t="s">
        <v>55326</v>
      </c>
      <c r="BB5871" s="3" t="s">
        <v>55350</v>
      </c>
      <c r="BC5871" s="3" t="s">
        <v>33640</v>
      </c>
      <c r="BD5871" s="3" t="s">
        <v>68</v>
      </c>
      <c r="BE5871" s="3" t="s">
        <v>55328</v>
      </c>
      <c r="BF5871" s="3" t="s">
        <v>55350</v>
      </c>
      <c r="BG5871" s="3" t="s">
        <v>55351</v>
      </c>
    </row>
    <row r="5872" spans="1:59" ht="87" x14ac:dyDescent="0.35">
      <c r="A5872" s="2" t="s">
        <v>89</v>
      </c>
      <c r="B5872" s="2" t="s">
        <v>42560</v>
      </c>
      <c r="C5872" s="2" t="s">
        <v>55318</v>
      </c>
      <c r="D5872" s="2" t="s">
        <v>55319</v>
      </c>
      <c r="E5872" s="2" t="s">
        <v>55352</v>
      </c>
      <c r="F5872" s="3" t="s">
        <v>55353</v>
      </c>
      <c r="G5872" s="3" t="s">
        <v>61</v>
      </c>
      <c r="I5872" s="3" t="s">
        <v>62</v>
      </c>
      <c r="J5872" s="3" t="s">
        <v>62</v>
      </c>
      <c r="K5872" s="3" t="s">
        <v>63</v>
      </c>
      <c r="L5872" s="2" t="s">
        <v>55354</v>
      </c>
      <c r="M5872" s="2" t="s">
        <v>55355</v>
      </c>
      <c r="N5872" s="3" t="s">
        <v>2985</v>
      </c>
      <c r="O5872" s="2" t="s">
        <v>55006</v>
      </c>
      <c r="P5872" s="3" t="s">
        <v>64</v>
      </c>
      <c r="R5872" s="3" t="s">
        <v>25645</v>
      </c>
      <c r="S5872" s="4">
        <v>4</v>
      </c>
      <c r="T5872" s="4">
        <v>16</v>
      </c>
      <c r="U5872" s="5" t="s">
        <v>26091</v>
      </c>
      <c r="V5872" s="5" t="s">
        <v>26091</v>
      </c>
      <c r="W5872" s="5" t="s">
        <v>67</v>
      </c>
      <c r="X5872" s="5" t="s">
        <v>67</v>
      </c>
      <c r="Y5872" s="4">
        <v>23</v>
      </c>
      <c r="Z5872" s="4">
        <v>2</v>
      </c>
      <c r="AA5872" s="4">
        <v>16</v>
      </c>
      <c r="AB5872" s="4">
        <v>1</v>
      </c>
      <c r="AC5872" s="4">
        <v>2</v>
      </c>
      <c r="AD5872" s="4">
        <v>1</v>
      </c>
      <c r="AE5872" s="4">
        <v>15</v>
      </c>
      <c r="AF5872" s="4">
        <v>0</v>
      </c>
      <c r="AG5872" s="4">
        <v>0</v>
      </c>
      <c r="AH5872" s="4">
        <v>0</v>
      </c>
      <c r="AI5872" s="4">
        <v>13</v>
      </c>
      <c r="AJ5872" s="4">
        <v>1</v>
      </c>
      <c r="AK5872" s="4">
        <v>2</v>
      </c>
      <c r="AL5872" s="4">
        <v>0</v>
      </c>
      <c r="AM5872" s="4">
        <v>6</v>
      </c>
      <c r="AN5872" s="4">
        <v>0</v>
      </c>
      <c r="AO5872" s="4">
        <v>0</v>
      </c>
      <c r="AP5872" s="4">
        <v>1</v>
      </c>
      <c r="AQ5872" s="4">
        <v>3</v>
      </c>
      <c r="AR5872" s="3" t="s">
        <v>62</v>
      </c>
      <c r="AS5872" s="3" t="s">
        <v>62</v>
      </c>
      <c r="AT5872" s="3" t="s">
        <v>62</v>
      </c>
      <c r="AV5872" s="6" t="str">
        <f>HYPERLINK("http://mcgill.on.worldcat.org/oclc/489181351","Catalog Record")</f>
        <v>Catalog Record</v>
      </c>
      <c r="AW5872" s="6" t="str">
        <f>HYPERLINK("http://www.worldcat.org/oclc/489181351","WorldCat Record")</f>
        <v>WorldCat Record</v>
      </c>
      <c r="AX5872" s="3" t="s">
        <v>55356</v>
      </c>
      <c r="AY5872" s="3" t="s">
        <v>55357</v>
      </c>
      <c r="AZ5872" s="3" t="s">
        <v>55358</v>
      </c>
      <c r="BA5872" s="3" t="s">
        <v>55358</v>
      </c>
      <c r="BB5872" s="3" t="s">
        <v>55359</v>
      </c>
      <c r="BC5872" s="3" t="s">
        <v>33640</v>
      </c>
      <c r="BD5872" s="3" t="s">
        <v>68</v>
      </c>
      <c r="BE5872" s="3" t="s">
        <v>55360</v>
      </c>
      <c r="BF5872" s="3" t="s">
        <v>55359</v>
      </c>
      <c r="BG5872" s="3" t="s">
        <v>55361</v>
      </c>
    </row>
    <row r="5873" spans="1:59" ht="87" x14ac:dyDescent="0.35">
      <c r="A5873" s="2" t="s">
        <v>89</v>
      </c>
      <c r="B5873" s="2" t="s">
        <v>42560</v>
      </c>
      <c r="C5873" s="2" t="s">
        <v>55318</v>
      </c>
      <c r="D5873" s="2" t="s">
        <v>55319</v>
      </c>
      <c r="E5873" s="2" t="s">
        <v>55362</v>
      </c>
      <c r="F5873" s="3" t="s">
        <v>55363</v>
      </c>
      <c r="G5873" s="3" t="s">
        <v>61</v>
      </c>
      <c r="I5873" s="3" t="s">
        <v>62</v>
      </c>
      <c r="J5873" s="3" t="s">
        <v>62</v>
      </c>
      <c r="K5873" s="3" t="s">
        <v>63</v>
      </c>
      <c r="M5873" s="2" t="s">
        <v>55364</v>
      </c>
      <c r="N5873" s="3" t="s">
        <v>2985</v>
      </c>
      <c r="O5873" s="2" t="s">
        <v>55365</v>
      </c>
      <c r="P5873" s="3" t="s">
        <v>64</v>
      </c>
      <c r="R5873" s="3" t="s">
        <v>25645</v>
      </c>
      <c r="S5873" s="4">
        <v>1</v>
      </c>
      <c r="T5873" s="4">
        <v>22</v>
      </c>
      <c r="U5873" s="5" t="s">
        <v>55366</v>
      </c>
      <c r="V5873" s="5" t="s">
        <v>10648</v>
      </c>
      <c r="W5873" s="5" t="s">
        <v>67</v>
      </c>
      <c r="X5873" s="5" t="s">
        <v>67</v>
      </c>
      <c r="Y5873" s="4">
        <v>10</v>
      </c>
      <c r="Z5873" s="4">
        <v>1</v>
      </c>
      <c r="AA5873" s="4">
        <v>1</v>
      </c>
      <c r="AB5873" s="4">
        <v>1</v>
      </c>
      <c r="AC5873" s="4">
        <v>1</v>
      </c>
      <c r="AD5873" s="4">
        <v>0</v>
      </c>
      <c r="AE5873" s="4">
        <v>0</v>
      </c>
      <c r="AF5873" s="4">
        <v>0</v>
      </c>
      <c r="AG5873" s="4">
        <v>0</v>
      </c>
      <c r="AH5873" s="4">
        <v>0</v>
      </c>
      <c r="AI5873" s="4">
        <v>0</v>
      </c>
      <c r="AJ5873" s="4">
        <v>0</v>
      </c>
      <c r="AK5873" s="4">
        <v>0</v>
      </c>
      <c r="AL5873" s="4">
        <v>0</v>
      </c>
      <c r="AM5873" s="4">
        <v>0</v>
      </c>
      <c r="AN5873" s="4">
        <v>0</v>
      </c>
      <c r="AO5873" s="4">
        <v>0</v>
      </c>
      <c r="AP5873" s="4">
        <v>0</v>
      </c>
      <c r="AQ5873" s="4">
        <v>0</v>
      </c>
      <c r="AR5873" s="3" t="s">
        <v>62</v>
      </c>
      <c r="AS5873" s="3" t="s">
        <v>62</v>
      </c>
      <c r="AT5873" s="3" t="s">
        <v>62</v>
      </c>
      <c r="AV5873" s="6" t="str">
        <f>HYPERLINK("http://mcgill.on.worldcat.org/oclc/670439727","Catalog Record")</f>
        <v>Catalog Record</v>
      </c>
      <c r="AW5873" s="6" t="str">
        <f>HYPERLINK("http://www.worldcat.org/oclc/670439727","WorldCat Record")</f>
        <v>WorldCat Record</v>
      </c>
      <c r="AX5873" s="3" t="s">
        <v>55367</v>
      </c>
      <c r="AY5873" s="3" t="s">
        <v>55368</v>
      </c>
      <c r="AZ5873" s="3" t="s">
        <v>55369</v>
      </c>
      <c r="BA5873" s="3" t="s">
        <v>55369</v>
      </c>
      <c r="BB5873" s="3" t="s">
        <v>55370</v>
      </c>
      <c r="BC5873" s="3" t="s">
        <v>33640</v>
      </c>
      <c r="BD5873" s="3" t="s">
        <v>68</v>
      </c>
      <c r="BE5873" s="3" t="s">
        <v>55371</v>
      </c>
      <c r="BF5873" s="3" t="s">
        <v>55370</v>
      </c>
      <c r="BG5873" s="3" t="s">
        <v>55372</v>
      </c>
    </row>
    <row r="5874" spans="1:59" ht="87" x14ac:dyDescent="0.35">
      <c r="A5874" s="2" t="s">
        <v>89</v>
      </c>
      <c r="B5874" s="2" t="s">
        <v>42560</v>
      </c>
      <c r="C5874" s="2" t="s">
        <v>55318</v>
      </c>
      <c r="D5874" s="2" t="s">
        <v>55319</v>
      </c>
      <c r="E5874" s="2" t="s">
        <v>55362</v>
      </c>
      <c r="F5874" s="3" t="s">
        <v>55373</v>
      </c>
      <c r="G5874" s="3" t="s">
        <v>61</v>
      </c>
      <c r="I5874" s="3" t="s">
        <v>62</v>
      </c>
      <c r="J5874" s="3" t="s">
        <v>62</v>
      </c>
      <c r="K5874" s="3" t="s">
        <v>63</v>
      </c>
      <c r="M5874" s="2" t="s">
        <v>55364</v>
      </c>
      <c r="N5874" s="3" t="s">
        <v>2985</v>
      </c>
      <c r="O5874" s="2" t="s">
        <v>55365</v>
      </c>
      <c r="P5874" s="3" t="s">
        <v>64</v>
      </c>
      <c r="R5874" s="3" t="s">
        <v>25645</v>
      </c>
      <c r="S5874" s="4">
        <v>4</v>
      </c>
      <c r="T5874" s="4">
        <v>22</v>
      </c>
      <c r="U5874" s="5" t="s">
        <v>26091</v>
      </c>
      <c r="V5874" s="5" t="s">
        <v>10648</v>
      </c>
      <c r="W5874" s="5" t="s">
        <v>67</v>
      </c>
      <c r="X5874" s="5" t="s">
        <v>67</v>
      </c>
      <c r="Y5874" s="4">
        <v>10</v>
      </c>
      <c r="Z5874" s="4">
        <v>1</v>
      </c>
      <c r="AA5874" s="4">
        <v>1</v>
      </c>
      <c r="AB5874" s="4">
        <v>1</v>
      </c>
      <c r="AC5874" s="4">
        <v>1</v>
      </c>
      <c r="AD5874" s="4">
        <v>0</v>
      </c>
      <c r="AE5874" s="4">
        <v>0</v>
      </c>
      <c r="AF5874" s="4">
        <v>0</v>
      </c>
      <c r="AG5874" s="4">
        <v>0</v>
      </c>
      <c r="AH5874" s="4">
        <v>0</v>
      </c>
      <c r="AI5874" s="4">
        <v>0</v>
      </c>
      <c r="AJ5874" s="4">
        <v>0</v>
      </c>
      <c r="AK5874" s="4">
        <v>0</v>
      </c>
      <c r="AL5874" s="4">
        <v>0</v>
      </c>
      <c r="AM5874" s="4">
        <v>0</v>
      </c>
      <c r="AN5874" s="4">
        <v>0</v>
      </c>
      <c r="AO5874" s="4">
        <v>0</v>
      </c>
      <c r="AP5874" s="4">
        <v>0</v>
      </c>
      <c r="AQ5874" s="4">
        <v>0</v>
      </c>
      <c r="AR5874" s="3" t="s">
        <v>62</v>
      </c>
      <c r="AS5874" s="3" t="s">
        <v>62</v>
      </c>
      <c r="AT5874" s="3" t="s">
        <v>62</v>
      </c>
      <c r="AV5874" s="6" t="str">
        <f>HYPERLINK("http://mcgill.on.worldcat.org/oclc/670439727","Catalog Record")</f>
        <v>Catalog Record</v>
      </c>
      <c r="AW5874" s="6" t="str">
        <f>HYPERLINK("http://www.worldcat.org/oclc/670439727","WorldCat Record")</f>
        <v>WorldCat Record</v>
      </c>
      <c r="AX5874" s="3" t="s">
        <v>55367</v>
      </c>
      <c r="AY5874" s="3" t="s">
        <v>55368</v>
      </c>
      <c r="AZ5874" s="3" t="s">
        <v>55369</v>
      </c>
      <c r="BA5874" s="3" t="s">
        <v>55369</v>
      </c>
      <c r="BB5874" s="3" t="s">
        <v>55374</v>
      </c>
      <c r="BC5874" s="3" t="s">
        <v>33640</v>
      </c>
      <c r="BD5874" s="3" t="s">
        <v>68</v>
      </c>
      <c r="BE5874" s="3" t="s">
        <v>55371</v>
      </c>
      <c r="BF5874" s="3" t="s">
        <v>55374</v>
      </c>
      <c r="BG5874" s="3" t="s">
        <v>55375</v>
      </c>
    </row>
    <row r="5875" spans="1:59" ht="87" x14ac:dyDescent="0.35">
      <c r="A5875" s="2" t="s">
        <v>89</v>
      </c>
      <c r="B5875" s="2" t="s">
        <v>42560</v>
      </c>
      <c r="C5875" s="2" t="s">
        <v>55318</v>
      </c>
      <c r="D5875" s="2" t="s">
        <v>55319</v>
      </c>
      <c r="E5875" s="2" t="s">
        <v>55362</v>
      </c>
      <c r="F5875" s="3" t="s">
        <v>55376</v>
      </c>
      <c r="G5875" s="3" t="s">
        <v>61</v>
      </c>
      <c r="I5875" s="3" t="s">
        <v>62</v>
      </c>
      <c r="J5875" s="3" t="s">
        <v>62</v>
      </c>
      <c r="K5875" s="3" t="s">
        <v>63</v>
      </c>
      <c r="M5875" s="2" t="s">
        <v>55364</v>
      </c>
      <c r="N5875" s="3" t="s">
        <v>2985</v>
      </c>
      <c r="O5875" s="2" t="s">
        <v>55365</v>
      </c>
      <c r="P5875" s="3" t="s">
        <v>64</v>
      </c>
      <c r="R5875" s="3" t="s">
        <v>25645</v>
      </c>
      <c r="S5875" s="4">
        <v>4</v>
      </c>
      <c r="T5875" s="4">
        <v>22</v>
      </c>
      <c r="U5875" s="5" t="s">
        <v>26091</v>
      </c>
      <c r="V5875" s="5" t="s">
        <v>10648</v>
      </c>
      <c r="W5875" s="5" t="s">
        <v>67</v>
      </c>
      <c r="X5875" s="5" t="s">
        <v>67</v>
      </c>
      <c r="Y5875" s="4">
        <v>10</v>
      </c>
      <c r="Z5875" s="4">
        <v>1</v>
      </c>
      <c r="AA5875" s="4">
        <v>1</v>
      </c>
      <c r="AB5875" s="4">
        <v>1</v>
      </c>
      <c r="AC5875" s="4">
        <v>1</v>
      </c>
      <c r="AD5875" s="4">
        <v>0</v>
      </c>
      <c r="AE5875" s="4">
        <v>0</v>
      </c>
      <c r="AF5875" s="4">
        <v>0</v>
      </c>
      <c r="AG5875" s="4">
        <v>0</v>
      </c>
      <c r="AH5875" s="4">
        <v>0</v>
      </c>
      <c r="AI5875" s="4">
        <v>0</v>
      </c>
      <c r="AJ5875" s="4">
        <v>0</v>
      </c>
      <c r="AK5875" s="4">
        <v>0</v>
      </c>
      <c r="AL5875" s="4">
        <v>0</v>
      </c>
      <c r="AM5875" s="4">
        <v>0</v>
      </c>
      <c r="AN5875" s="4">
        <v>0</v>
      </c>
      <c r="AO5875" s="4">
        <v>0</v>
      </c>
      <c r="AP5875" s="4">
        <v>0</v>
      </c>
      <c r="AQ5875" s="4">
        <v>0</v>
      </c>
      <c r="AR5875" s="3" t="s">
        <v>62</v>
      </c>
      <c r="AS5875" s="3" t="s">
        <v>62</v>
      </c>
      <c r="AT5875" s="3" t="s">
        <v>62</v>
      </c>
      <c r="AV5875" s="6" t="str">
        <f>HYPERLINK("http://mcgill.on.worldcat.org/oclc/670439727","Catalog Record")</f>
        <v>Catalog Record</v>
      </c>
      <c r="AW5875" s="6" t="str">
        <f>HYPERLINK("http://www.worldcat.org/oclc/670439727","WorldCat Record")</f>
        <v>WorldCat Record</v>
      </c>
      <c r="AX5875" s="3" t="s">
        <v>55367</v>
      </c>
      <c r="AY5875" s="3" t="s">
        <v>55368</v>
      </c>
      <c r="AZ5875" s="3" t="s">
        <v>55369</v>
      </c>
      <c r="BA5875" s="3" t="s">
        <v>55369</v>
      </c>
      <c r="BB5875" s="3" t="s">
        <v>55377</v>
      </c>
      <c r="BC5875" s="3" t="s">
        <v>33640</v>
      </c>
      <c r="BD5875" s="3" t="s">
        <v>68</v>
      </c>
      <c r="BE5875" s="3" t="s">
        <v>55371</v>
      </c>
      <c r="BF5875" s="3" t="s">
        <v>55377</v>
      </c>
      <c r="BG5875" s="3" t="s">
        <v>55378</v>
      </c>
    </row>
    <row r="5876" spans="1:59" ht="87" x14ac:dyDescent="0.35">
      <c r="A5876" s="2" t="s">
        <v>89</v>
      </c>
      <c r="B5876" s="2" t="s">
        <v>42560</v>
      </c>
      <c r="C5876" s="2" t="s">
        <v>55318</v>
      </c>
      <c r="D5876" s="2" t="s">
        <v>55319</v>
      </c>
      <c r="E5876" s="2" t="s">
        <v>55362</v>
      </c>
      <c r="F5876" s="3" t="s">
        <v>55379</v>
      </c>
      <c r="G5876" s="3" t="s">
        <v>61</v>
      </c>
      <c r="I5876" s="3" t="s">
        <v>62</v>
      </c>
      <c r="J5876" s="3" t="s">
        <v>62</v>
      </c>
      <c r="K5876" s="3" t="s">
        <v>63</v>
      </c>
      <c r="M5876" s="2" t="s">
        <v>55364</v>
      </c>
      <c r="N5876" s="3" t="s">
        <v>2985</v>
      </c>
      <c r="O5876" s="2" t="s">
        <v>55365</v>
      </c>
      <c r="P5876" s="3" t="s">
        <v>64</v>
      </c>
      <c r="R5876" s="3" t="s">
        <v>25645</v>
      </c>
      <c r="S5876" s="4">
        <v>13</v>
      </c>
      <c r="T5876" s="4">
        <v>22</v>
      </c>
      <c r="U5876" s="5" t="s">
        <v>10648</v>
      </c>
      <c r="V5876" s="5" t="s">
        <v>10648</v>
      </c>
      <c r="W5876" s="5" t="s">
        <v>67</v>
      </c>
      <c r="X5876" s="5" t="s">
        <v>67</v>
      </c>
      <c r="Y5876" s="4">
        <v>10</v>
      </c>
      <c r="Z5876" s="4">
        <v>1</v>
      </c>
      <c r="AA5876" s="4">
        <v>1</v>
      </c>
      <c r="AB5876" s="4">
        <v>1</v>
      </c>
      <c r="AC5876" s="4">
        <v>1</v>
      </c>
      <c r="AD5876" s="4">
        <v>0</v>
      </c>
      <c r="AE5876" s="4">
        <v>0</v>
      </c>
      <c r="AF5876" s="4">
        <v>0</v>
      </c>
      <c r="AG5876" s="4">
        <v>0</v>
      </c>
      <c r="AH5876" s="4">
        <v>0</v>
      </c>
      <c r="AI5876" s="4">
        <v>0</v>
      </c>
      <c r="AJ5876" s="4">
        <v>0</v>
      </c>
      <c r="AK5876" s="4">
        <v>0</v>
      </c>
      <c r="AL5876" s="4">
        <v>0</v>
      </c>
      <c r="AM5876" s="4">
        <v>0</v>
      </c>
      <c r="AN5876" s="4">
        <v>0</v>
      </c>
      <c r="AO5876" s="4">
        <v>0</v>
      </c>
      <c r="AP5876" s="4">
        <v>0</v>
      </c>
      <c r="AQ5876" s="4">
        <v>0</v>
      </c>
      <c r="AR5876" s="3" t="s">
        <v>62</v>
      </c>
      <c r="AS5876" s="3" t="s">
        <v>62</v>
      </c>
      <c r="AT5876" s="3" t="s">
        <v>62</v>
      </c>
      <c r="AV5876" s="6" t="str">
        <f>HYPERLINK("http://mcgill.on.worldcat.org/oclc/670439727","Catalog Record")</f>
        <v>Catalog Record</v>
      </c>
      <c r="AW5876" s="6" t="str">
        <f>HYPERLINK("http://www.worldcat.org/oclc/670439727","WorldCat Record")</f>
        <v>WorldCat Record</v>
      </c>
      <c r="AX5876" s="3" t="s">
        <v>55367</v>
      </c>
      <c r="AY5876" s="3" t="s">
        <v>55368</v>
      </c>
      <c r="AZ5876" s="3" t="s">
        <v>55369</v>
      </c>
      <c r="BA5876" s="3" t="s">
        <v>55369</v>
      </c>
      <c r="BB5876" s="3" t="s">
        <v>55380</v>
      </c>
      <c r="BC5876" s="3" t="s">
        <v>33640</v>
      </c>
      <c r="BD5876" s="3" t="s">
        <v>68</v>
      </c>
      <c r="BE5876" s="3" t="s">
        <v>55371</v>
      </c>
      <c r="BF5876" s="3" t="s">
        <v>55380</v>
      </c>
      <c r="BG5876" s="3" t="s">
        <v>55381</v>
      </c>
    </row>
    <row r="5877" spans="1:59" ht="87" x14ac:dyDescent="0.35">
      <c r="A5877" s="2" t="s">
        <v>89</v>
      </c>
      <c r="B5877" s="2" t="s">
        <v>42560</v>
      </c>
      <c r="C5877" s="2" t="s">
        <v>55318</v>
      </c>
      <c r="D5877" s="2" t="s">
        <v>55319</v>
      </c>
      <c r="E5877" s="2" t="s">
        <v>55362</v>
      </c>
      <c r="F5877" s="3" t="s">
        <v>55382</v>
      </c>
      <c r="G5877" s="3" t="s">
        <v>61</v>
      </c>
      <c r="I5877" s="3" t="s">
        <v>62</v>
      </c>
      <c r="J5877" s="3" t="s">
        <v>62</v>
      </c>
      <c r="K5877" s="3" t="s">
        <v>63</v>
      </c>
      <c r="M5877" s="2" t="s">
        <v>55364</v>
      </c>
      <c r="N5877" s="3" t="s">
        <v>2985</v>
      </c>
      <c r="O5877" s="2" t="s">
        <v>55365</v>
      </c>
      <c r="P5877" s="3" t="s">
        <v>64</v>
      </c>
      <c r="R5877" s="3" t="s">
        <v>25645</v>
      </c>
      <c r="S5877" s="4">
        <v>0</v>
      </c>
      <c r="T5877" s="4">
        <v>22</v>
      </c>
      <c r="V5877" s="5" t="s">
        <v>10648</v>
      </c>
      <c r="W5877" s="5" t="s">
        <v>67</v>
      </c>
      <c r="X5877" s="5" t="s">
        <v>67</v>
      </c>
      <c r="Y5877" s="4">
        <v>10</v>
      </c>
      <c r="Z5877" s="4">
        <v>1</v>
      </c>
      <c r="AA5877" s="4">
        <v>1</v>
      </c>
      <c r="AB5877" s="4">
        <v>1</v>
      </c>
      <c r="AC5877" s="4">
        <v>1</v>
      </c>
      <c r="AD5877" s="4">
        <v>0</v>
      </c>
      <c r="AE5877" s="4">
        <v>0</v>
      </c>
      <c r="AF5877" s="4">
        <v>0</v>
      </c>
      <c r="AG5877" s="4">
        <v>0</v>
      </c>
      <c r="AH5877" s="4">
        <v>0</v>
      </c>
      <c r="AI5877" s="4">
        <v>0</v>
      </c>
      <c r="AJ5877" s="4">
        <v>0</v>
      </c>
      <c r="AK5877" s="4">
        <v>0</v>
      </c>
      <c r="AL5877" s="4">
        <v>0</v>
      </c>
      <c r="AM5877" s="4">
        <v>0</v>
      </c>
      <c r="AN5877" s="4">
        <v>0</v>
      </c>
      <c r="AO5877" s="4">
        <v>0</v>
      </c>
      <c r="AP5877" s="4">
        <v>0</v>
      </c>
      <c r="AQ5877" s="4">
        <v>0</v>
      </c>
      <c r="AR5877" s="3" t="s">
        <v>62</v>
      </c>
      <c r="AS5877" s="3" t="s">
        <v>62</v>
      </c>
      <c r="AT5877" s="3" t="s">
        <v>62</v>
      </c>
      <c r="AV5877" s="6" t="str">
        <f>HYPERLINK("http://mcgill.on.worldcat.org/oclc/670439727","Catalog Record")</f>
        <v>Catalog Record</v>
      </c>
      <c r="AW5877" s="6" t="str">
        <f>HYPERLINK("http://www.worldcat.org/oclc/670439727","WorldCat Record")</f>
        <v>WorldCat Record</v>
      </c>
      <c r="AX5877" s="3" t="s">
        <v>55367</v>
      </c>
      <c r="AY5877" s="3" t="s">
        <v>55368</v>
      </c>
      <c r="AZ5877" s="3" t="s">
        <v>55369</v>
      </c>
      <c r="BA5877" s="3" t="s">
        <v>55369</v>
      </c>
      <c r="BB5877" s="3" t="s">
        <v>55383</v>
      </c>
      <c r="BC5877" s="3" t="s">
        <v>33640</v>
      </c>
      <c r="BD5877" s="3" t="s">
        <v>68</v>
      </c>
      <c r="BE5877" s="3" t="s">
        <v>55371</v>
      </c>
      <c r="BF5877" s="3" t="s">
        <v>55383</v>
      </c>
      <c r="BG5877" s="3" t="s">
        <v>55384</v>
      </c>
    </row>
    <row r="5878" spans="1:59" ht="87" x14ac:dyDescent="0.35">
      <c r="A5878" s="2" t="s">
        <v>89</v>
      </c>
      <c r="B5878" s="2" t="s">
        <v>42560</v>
      </c>
      <c r="C5878" s="2" t="s">
        <v>55318</v>
      </c>
      <c r="D5878" s="2" t="s">
        <v>55319</v>
      </c>
      <c r="E5878" s="2" t="s">
        <v>55352</v>
      </c>
      <c r="F5878" s="3" t="s">
        <v>55385</v>
      </c>
      <c r="G5878" s="3" t="s">
        <v>61</v>
      </c>
      <c r="I5878" s="3" t="s">
        <v>62</v>
      </c>
      <c r="J5878" s="3" t="s">
        <v>62</v>
      </c>
      <c r="K5878" s="3" t="s">
        <v>63</v>
      </c>
      <c r="L5878" s="2" t="s">
        <v>55354</v>
      </c>
      <c r="M5878" s="2" t="s">
        <v>55355</v>
      </c>
      <c r="N5878" s="3" t="s">
        <v>2985</v>
      </c>
      <c r="O5878" s="2" t="s">
        <v>55006</v>
      </c>
      <c r="P5878" s="3" t="s">
        <v>64</v>
      </c>
      <c r="R5878" s="3" t="s">
        <v>25645</v>
      </c>
      <c r="S5878" s="4">
        <v>4</v>
      </c>
      <c r="T5878" s="4">
        <v>16</v>
      </c>
      <c r="U5878" s="5" t="s">
        <v>26091</v>
      </c>
      <c r="V5878" s="5" t="s">
        <v>26091</v>
      </c>
      <c r="W5878" s="5" t="s">
        <v>67</v>
      </c>
      <c r="X5878" s="5" t="s">
        <v>67</v>
      </c>
      <c r="Y5878" s="4">
        <v>23</v>
      </c>
      <c r="Z5878" s="4">
        <v>2</v>
      </c>
      <c r="AA5878" s="4">
        <v>16</v>
      </c>
      <c r="AB5878" s="4">
        <v>1</v>
      </c>
      <c r="AC5878" s="4">
        <v>2</v>
      </c>
      <c r="AD5878" s="4">
        <v>1</v>
      </c>
      <c r="AE5878" s="4">
        <v>15</v>
      </c>
      <c r="AF5878" s="4">
        <v>0</v>
      </c>
      <c r="AG5878" s="4">
        <v>0</v>
      </c>
      <c r="AH5878" s="4">
        <v>0</v>
      </c>
      <c r="AI5878" s="4">
        <v>13</v>
      </c>
      <c r="AJ5878" s="4">
        <v>1</v>
      </c>
      <c r="AK5878" s="4">
        <v>2</v>
      </c>
      <c r="AL5878" s="4">
        <v>0</v>
      </c>
      <c r="AM5878" s="4">
        <v>6</v>
      </c>
      <c r="AN5878" s="4">
        <v>0</v>
      </c>
      <c r="AO5878" s="4">
        <v>0</v>
      </c>
      <c r="AP5878" s="4">
        <v>1</v>
      </c>
      <c r="AQ5878" s="4">
        <v>3</v>
      </c>
      <c r="AR5878" s="3" t="s">
        <v>62</v>
      </c>
      <c r="AS5878" s="3" t="s">
        <v>62</v>
      </c>
      <c r="AT5878" s="3" t="s">
        <v>62</v>
      </c>
      <c r="AV5878" s="6" t="str">
        <f>HYPERLINK("http://mcgill.on.worldcat.org/oclc/489181351","Catalog Record")</f>
        <v>Catalog Record</v>
      </c>
      <c r="AW5878" s="6" t="str">
        <f>HYPERLINK("http://www.worldcat.org/oclc/489181351","WorldCat Record")</f>
        <v>WorldCat Record</v>
      </c>
      <c r="AX5878" s="3" t="s">
        <v>55356</v>
      </c>
      <c r="AY5878" s="3" t="s">
        <v>55357</v>
      </c>
      <c r="AZ5878" s="3" t="s">
        <v>55358</v>
      </c>
      <c r="BA5878" s="3" t="s">
        <v>55358</v>
      </c>
      <c r="BB5878" s="3" t="s">
        <v>55386</v>
      </c>
      <c r="BC5878" s="3" t="s">
        <v>33640</v>
      </c>
      <c r="BD5878" s="3" t="s">
        <v>68</v>
      </c>
      <c r="BE5878" s="3" t="s">
        <v>55360</v>
      </c>
      <c r="BF5878" s="3" t="s">
        <v>55386</v>
      </c>
      <c r="BG5878" s="3" t="s">
        <v>55387</v>
      </c>
    </row>
    <row r="5879" spans="1:59" ht="87" x14ac:dyDescent="0.35">
      <c r="A5879" s="2" t="s">
        <v>89</v>
      </c>
      <c r="B5879" s="2" t="s">
        <v>42560</v>
      </c>
      <c r="C5879" s="2" t="s">
        <v>55318</v>
      </c>
      <c r="D5879" s="2" t="s">
        <v>55319</v>
      </c>
      <c r="E5879" s="2" t="s">
        <v>55352</v>
      </c>
      <c r="F5879" s="3" t="s">
        <v>55388</v>
      </c>
      <c r="G5879" s="3" t="s">
        <v>61</v>
      </c>
      <c r="I5879" s="3" t="s">
        <v>62</v>
      </c>
      <c r="J5879" s="3" t="s">
        <v>62</v>
      </c>
      <c r="K5879" s="3" t="s">
        <v>63</v>
      </c>
      <c r="L5879" s="2" t="s">
        <v>55354</v>
      </c>
      <c r="M5879" s="2" t="s">
        <v>55355</v>
      </c>
      <c r="N5879" s="3" t="s">
        <v>2985</v>
      </c>
      <c r="O5879" s="2" t="s">
        <v>55006</v>
      </c>
      <c r="P5879" s="3" t="s">
        <v>64</v>
      </c>
      <c r="R5879" s="3" t="s">
        <v>25645</v>
      </c>
      <c r="S5879" s="4">
        <v>4</v>
      </c>
      <c r="T5879" s="4">
        <v>16</v>
      </c>
      <c r="U5879" s="5" t="s">
        <v>26091</v>
      </c>
      <c r="V5879" s="5" t="s">
        <v>26091</v>
      </c>
      <c r="W5879" s="5" t="s">
        <v>67</v>
      </c>
      <c r="X5879" s="5" t="s">
        <v>67</v>
      </c>
      <c r="Y5879" s="4">
        <v>23</v>
      </c>
      <c r="Z5879" s="4">
        <v>2</v>
      </c>
      <c r="AA5879" s="4">
        <v>16</v>
      </c>
      <c r="AB5879" s="4">
        <v>1</v>
      </c>
      <c r="AC5879" s="4">
        <v>2</v>
      </c>
      <c r="AD5879" s="4">
        <v>1</v>
      </c>
      <c r="AE5879" s="4">
        <v>15</v>
      </c>
      <c r="AF5879" s="4">
        <v>0</v>
      </c>
      <c r="AG5879" s="4">
        <v>0</v>
      </c>
      <c r="AH5879" s="4">
        <v>0</v>
      </c>
      <c r="AI5879" s="4">
        <v>13</v>
      </c>
      <c r="AJ5879" s="4">
        <v>1</v>
      </c>
      <c r="AK5879" s="4">
        <v>2</v>
      </c>
      <c r="AL5879" s="4">
        <v>0</v>
      </c>
      <c r="AM5879" s="4">
        <v>6</v>
      </c>
      <c r="AN5879" s="4">
        <v>0</v>
      </c>
      <c r="AO5879" s="4">
        <v>0</v>
      </c>
      <c r="AP5879" s="4">
        <v>1</v>
      </c>
      <c r="AQ5879" s="4">
        <v>3</v>
      </c>
      <c r="AR5879" s="3" t="s">
        <v>62</v>
      </c>
      <c r="AS5879" s="3" t="s">
        <v>62</v>
      </c>
      <c r="AT5879" s="3" t="s">
        <v>62</v>
      </c>
      <c r="AV5879" s="6" t="str">
        <f>HYPERLINK("http://mcgill.on.worldcat.org/oclc/489181351","Catalog Record")</f>
        <v>Catalog Record</v>
      </c>
      <c r="AW5879" s="6" t="str">
        <f>HYPERLINK("http://www.worldcat.org/oclc/489181351","WorldCat Record")</f>
        <v>WorldCat Record</v>
      </c>
      <c r="AX5879" s="3" t="s">
        <v>55356</v>
      </c>
      <c r="AY5879" s="3" t="s">
        <v>55357</v>
      </c>
      <c r="AZ5879" s="3" t="s">
        <v>55358</v>
      </c>
      <c r="BA5879" s="3" t="s">
        <v>55358</v>
      </c>
      <c r="BB5879" s="3" t="s">
        <v>55389</v>
      </c>
      <c r="BC5879" s="3" t="s">
        <v>33640</v>
      </c>
      <c r="BD5879" s="3" t="s">
        <v>68</v>
      </c>
      <c r="BE5879" s="3" t="s">
        <v>55360</v>
      </c>
      <c r="BF5879" s="3" t="s">
        <v>55389</v>
      </c>
      <c r="BG5879" s="3" t="s">
        <v>55390</v>
      </c>
    </row>
    <row r="5880" spans="1:59" ht="87" x14ac:dyDescent="0.35">
      <c r="A5880" s="2" t="s">
        <v>89</v>
      </c>
      <c r="B5880" s="2" t="s">
        <v>42560</v>
      </c>
      <c r="C5880" s="2" t="s">
        <v>55318</v>
      </c>
      <c r="D5880" s="2" t="s">
        <v>55319</v>
      </c>
      <c r="E5880" s="2" t="s">
        <v>55352</v>
      </c>
      <c r="F5880" s="3" t="s">
        <v>55391</v>
      </c>
      <c r="G5880" s="3" t="s">
        <v>61</v>
      </c>
      <c r="I5880" s="3" t="s">
        <v>62</v>
      </c>
      <c r="J5880" s="3" t="s">
        <v>62</v>
      </c>
      <c r="K5880" s="3" t="s">
        <v>63</v>
      </c>
      <c r="L5880" s="2" t="s">
        <v>55354</v>
      </c>
      <c r="M5880" s="2" t="s">
        <v>55355</v>
      </c>
      <c r="N5880" s="3" t="s">
        <v>2985</v>
      </c>
      <c r="O5880" s="2" t="s">
        <v>55006</v>
      </c>
      <c r="P5880" s="3" t="s">
        <v>64</v>
      </c>
      <c r="R5880" s="3" t="s">
        <v>25645</v>
      </c>
      <c r="S5880" s="4">
        <v>4</v>
      </c>
      <c r="T5880" s="4">
        <v>16</v>
      </c>
      <c r="U5880" s="5" t="s">
        <v>26091</v>
      </c>
      <c r="V5880" s="5" t="s">
        <v>26091</v>
      </c>
      <c r="W5880" s="5" t="s">
        <v>67</v>
      </c>
      <c r="X5880" s="5" t="s">
        <v>67</v>
      </c>
      <c r="Y5880" s="4">
        <v>23</v>
      </c>
      <c r="Z5880" s="4">
        <v>2</v>
      </c>
      <c r="AA5880" s="4">
        <v>16</v>
      </c>
      <c r="AB5880" s="4">
        <v>1</v>
      </c>
      <c r="AC5880" s="4">
        <v>2</v>
      </c>
      <c r="AD5880" s="4">
        <v>1</v>
      </c>
      <c r="AE5880" s="4">
        <v>15</v>
      </c>
      <c r="AF5880" s="4">
        <v>0</v>
      </c>
      <c r="AG5880" s="4">
        <v>0</v>
      </c>
      <c r="AH5880" s="4">
        <v>0</v>
      </c>
      <c r="AI5880" s="4">
        <v>13</v>
      </c>
      <c r="AJ5880" s="4">
        <v>1</v>
      </c>
      <c r="AK5880" s="4">
        <v>2</v>
      </c>
      <c r="AL5880" s="4">
        <v>0</v>
      </c>
      <c r="AM5880" s="4">
        <v>6</v>
      </c>
      <c r="AN5880" s="4">
        <v>0</v>
      </c>
      <c r="AO5880" s="4">
        <v>0</v>
      </c>
      <c r="AP5880" s="4">
        <v>1</v>
      </c>
      <c r="AQ5880" s="4">
        <v>3</v>
      </c>
      <c r="AR5880" s="3" t="s">
        <v>62</v>
      </c>
      <c r="AS5880" s="3" t="s">
        <v>62</v>
      </c>
      <c r="AT5880" s="3" t="s">
        <v>62</v>
      </c>
      <c r="AV5880" s="6" t="str">
        <f>HYPERLINK("http://mcgill.on.worldcat.org/oclc/489181351","Catalog Record")</f>
        <v>Catalog Record</v>
      </c>
      <c r="AW5880" s="6" t="str">
        <f>HYPERLINK("http://www.worldcat.org/oclc/489181351","WorldCat Record")</f>
        <v>WorldCat Record</v>
      </c>
      <c r="AX5880" s="3" t="s">
        <v>55356</v>
      </c>
      <c r="AY5880" s="3" t="s">
        <v>55357</v>
      </c>
      <c r="AZ5880" s="3" t="s">
        <v>55358</v>
      </c>
      <c r="BA5880" s="3" t="s">
        <v>55358</v>
      </c>
      <c r="BB5880" s="3" t="s">
        <v>55392</v>
      </c>
      <c r="BC5880" s="3" t="s">
        <v>33640</v>
      </c>
      <c r="BD5880" s="3" t="s">
        <v>68</v>
      </c>
      <c r="BE5880" s="3" t="s">
        <v>55360</v>
      </c>
      <c r="BF5880" s="3" t="s">
        <v>55392</v>
      </c>
      <c r="BG5880" s="3" t="s">
        <v>55393</v>
      </c>
    </row>
    <row r="5881" spans="1:59" ht="87" x14ac:dyDescent="0.35">
      <c r="A5881" s="2" t="s">
        <v>89</v>
      </c>
      <c r="B5881" s="2" t="s">
        <v>42560</v>
      </c>
      <c r="C5881" s="2" t="s">
        <v>55394</v>
      </c>
      <c r="D5881" s="2" t="s">
        <v>55395</v>
      </c>
      <c r="E5881" s="2" t="s">
        <v>55396</v>
      </c>
      <c r="F5881" s="3" t="s">
        <v>55397</v>
      </c>
      <c r="G5881" s="3" t="s">
        <v>61</v>
      </c>
      <c r="I5881" s="3" t="s">
        <v>62</v>
      </c>
      <c r="J5881" s="3" t="s">
        <v>62</v>
      </c>
      <c r="K5881" s="3" t="s">
        <v>63</v>
      </c>
      <c r="M5881" s="2" t="s">
        <v>55398</v>
      </c>
      <c r="N5881" s="3" t="s">
        <v>640</v>
      </c>
      <c r="P5881" s="3" t="s">
        <v>64</v>
      </c>
      <c r="R5881" s="3" t="s">
        <v>25645</v>
      </c>
      <c r="S5881" s="4">
        <v>5</v>
      </c>
      <c r="T5881" s="4">
        <v>19</v>
      </c>
      <c r="U5881" s="5" t="s">
        <v>12308</v>
      </c>
      <c r="V5881" s="5" t="s">
        <v>12308</v>
      </c>
      <c r="W5881" s="5" t="s">
        <v>67</v>
      </c>
      <c r="X5881" s="5" t="s">
        <v>67</v>
      </c>
      <c r="Y5881" s="4">
        <v>9</v>
      </c>
      <c r="Z5881" s="4">
        <v>9</v>
      </c>
      <c r="AA5881" s="4">
        <v>13</v>
      </c>
      <c r="AB5881" s="4">
        <v>2</v>
      </c>
      <c r="AC5881" s="4">
        <v>2</v>
      </c>
      <c r="AD5881" s="4">
        <v>4</v>
      </c>
      <c r="AE5881" s="4">
        <v>8</v>
      </c>
      <c r="AF5881" s="4">
        <v>0</v>
      </c>
      <c r="AG5881" s="4">
        <v>0</v>
      </c>
      <c r="AH5881" s="4">
        <v>3</v>
      </c>
      <c r="AI5881" s="4">
        <v>4</v>
      </c>
      <c r="AJ5881" s="4">
        <v>3</v>
      </c>
      <c r="AK5881" s="4">
        <v>6</v>
      </c>
      <c r="AL5881" s="4">
        <v>0</v>
      </c>
      <c r="AM5881" s="4">
        <v>0</v>
      </c>
      <c r="AN5881" s="4">
        <v>0</v>
      </c>
      <c r="AO5881" s="4">
        <v>0</v>
      </c>
      <c r="AP5881" s="4">
        <v>4</v>
      </c>
      <c r="AQ5881" s="4">
        <v>7</v>
      </c>
      <c r="AR5881" s="3" t="s">
        <v>61</v>
      </c>
      <c r="AS5881" s="3" t="s">
        <v>62</v>
      </c>
      <c r="AT5881" s="3" t="s">
        <v>62</v>
      </c>
      <c r="AV5881" s="6" t="str">
        <f>HYPERLINK("http://mcgill.on.worldcat.org/oclc/60610682","Catalog Record")</f>
        <v>Catalog Record</v>
      </c>
      <c r="AW5881" s="6" t="str">
        <f>HYPERLINK("http://www.worldcat.org/oclc/60610682","WorldCat Record")</f>
        <v>WorldCat Record</v>
      </c>
      <c r="AX5881" s="3" t="s">
        <v>55399</v>
      </c>
      <c r="AY5881" s="3" t="s">
        <v>55400</v>
      </c>
      <c r="AZ5881" s="3" t="s">
        <v>55401</v>
      </c>
      <c r="BA5881" s="3" t="s">
        <v>55401</v>
      </c>
      <c r="BB5881" s="3" t="s">
        <v>55402</v>
      </c>
      <c r="BC5881" s="3" t="s">
        <v>33640</v>
      </c>
      <c r="BD5881" s="3" t="s">
        <v>68</v>
      </c>
      <c r="BF5881" s="3" t="s">
        <v>55402</v>
      </c>
      <c r="BG5881" s="3" t="s">
        <v>55403</v>
      </c>
    </row>
    <row r="5882" spans="1:59" ht="87" x14ac:dyDescent="0.35">
      <c r="A5882" s="2" t="s">
        <v>89</v>
      </c>
      <c r="B5882" s="2" t="s">
        <v>42560</v>
      </c>
      <c r="C5882" s="2" t="s">
        <v>55394</v>
      </c>
      <c r="D5882" s="2" t="s">
        <v>55395</v>
      </c>
      <c r="E5882" s="2" t="s">
        <v>55396</v>
      </c>
      <c r="F5882" s="3" t="s">
        <v>55404</v>
      </c>
      <c r="G5882" s="3" t="s">
        <v>61</v>
      </c>
      <c r="I5882" s="3" t="s">
        <v>62</v>
      </c>
      <c r="J5882" s="3" t="s">
        <v>62</v>
      </c>
      <c r="K5882" s="3" t="s">
        <v>63</v>
      </c>
      <c r="M5882" s="2" t="s">
        <v>55398</v>
      </c>
      <c r="N5882" s="3" t="s">
        <v>640</v>
      </c>
      <c r="P5882" s="3" t="s">
        <v>64</v>
      </c>
      <c r="R5882" s="3" t="s">
        <v>25645</v>
      </c>
      <c r="S5882" s="4">
        <v>7</v>
      </c>
      <c r="T5882" s="4">
        <v>19</v>
      </c>
      <c r="U5882" s="5" t="s">
        <v>12308</v>
      </c>
      <c r="V5882" s="5" t="s">
        <v>12308</v>
      </c>
      <c r="W5882" s="5" t="s">
        <v>67</v>
      </c>
      <c r="X5882" s="5" t="s">
        <v>67</v>
      </c>
      <c r="Y5882" s="4">
        <v>9</v>
      </c>
      <c r="Z5882" s="4">
        <v>9</v>
      </c>
      <c r="AA5882" s="4">
        <v>13</v>
      </c>
      <c r="AB5882" s="4">
        <v>2</v>
      </c>
      <c r="AC5882" s="4">
        <v>2</v>
      </c>
      <c r="AD5882" s="4">
        <v>4</v>
      </c>
      <c r="AE5882" s="4">
        <v>8</v>
      </c>
      <c r="AF5882" s="4">
        <v>0</v>
      </c>
      <c r="AG5882" s="4">
        <v>0</v>
      </c>
      <c r="AH5882" s="4">
        <v>3</v>
      </c>
      <c r="AI5882" s="4">
        <v>4</v>
      </c>
      <c r="AJ5882" s="4">
        <v>3</v>
      </c>
      <c r="AK5882" s="4">
        <v>6</v>
      </c>
      <c r="AL5882" s="4">
        <v>0</v>
      </c>
      <c r="AM5882" s="4">
        <v>0</v>
      </c>
      <c r="AN5882" s="4">
        <v>0</v>
      </c>
      <c r="AO5882" s="4">
        <v>0</v>
      </c>
      <c r="AP5882" s="4">
        <v>4</v>
      </c>
      <c r="AQ5882" s="4">
        <v>7</v>
      </c>
      <c r="AR5882" s="3" t="s">
        <v>61</v>
      </c>
      <c r="AS5882" s="3" t="s">
        <v>62</v>
      </c>
      <c r="AT5882" s="3" t="s">
        <v>62</v>
      </c>
      <c r="AV5882" s="6" t="str">
        <f>HYPERLINK("http://mcgill.on.worldcat.org/oclc/60610682","Catalog Record")</f>
        <v>Catalog Record</v>
      </c>
      <c r="AW5882" s="6" t="str">
        <f>HYPERLINK("http://www.worldcat.org/oclc/60610682","WorldCat Record")</f>
        <v>WorldCat Record</v>
      </c>
      <c r="AX5882" s="3" t="s">
        <v>55399</v>
      </c>
      <c r="AY5882" s="3" t="s">
        <v>55400</v>
      </c>
      <c r="AZ5882" s="3" t="s">
        <v>55401</v>
      </c>
      <c r="BA5882" s="3" t="s">
        <v>55401</v>
      </c>
      <c r="BB5882" s="3" t="s">
        <v>55405</v>
      </c>
      <c r="BC5882" s="3" t="s">
        <v>33640</v>
      </c>
      <c r="BD5882" s="3" t="s">
        <v>68</v>
      </c>
      <c r="BF5882" s="3" t="s">
        <v>55405</v>
      </c>
      <c r="BG5882" s="3" t="s">
        <v>55406</v>
      </c>
    </row>
    <row r="5883" spans="1:59" ht="87" x14ac:dyDescent="0.35">
      <c r="A5883" s="2" t="s">
        <v>89</v>
      </c>
      <c r="B5883" s="2" t="s">
        <v>42560</v>
      </c>
      <c r="C5883" s="2" t="s">
        <v>55394</v>
      </c>
      <c r="D5883" s="2" t="s">
        <v>55395</v>
      </c>
      <c r="E5883" s="2" t="s">
        <v>55396</v>
      </c>
      <c r="F5883" s="3" t="s">
        <v>55407</v>
      </c>
      <c r="G5883" s="3" t="s">
        <v>61</v>
      </c>
      <c r="I5883" s="3" t="s">
        <v>62</v>
      </c>
      <c r="J5883" s="3" t="s">
        <v>62</v>
      </c>
      <c r="K5883" s="3" t="s">
        <v>63</v>
      </c>
      <c r="M5883" s="2" t="s">
        <v>55398</v>
      </c>
      <c r="N5883" s="3" t="s">
        <v>640</v>
      </c>
      <c r="P5883" s="3" t="s">
        <v>64</v>
      </c>
      <c r="R5883" s="3" t="s">
        <v>25645</v>
      </c>
      <c r="S5883" s="4">
        <v>7</v>
      </c>
      <c r="T5883" s="4">
        <v>19</v>
      </c>
      <c r="U5883" s="5" t="s">
        <v>12308</v>
      </c>
      <c r="V5883" s="5" t="s">
        <v>12308</v>
      </c>
      <c r="W5883" s="5" t="s">
        <v>67</v>
      </c>
      <c r="X5883" s="5" t="s">
        <v>67</v>
      </c>
      <c r="Y5883" s="4">
        <v>9</v>
      </c>
      <c r="Z5883" s="4">
        <v>9</v>
      </c>
      <c r="AA5883" s="4">
        <v>13</v>
      </c>
      <c r="AB5883" s="4">
        <v>2</v>
      </c>
      <c r="AC5883" s="4">
        <v>2</v>
      </c>
      <c r="AD5883" s="4">
        <v>4</v>
      </c>
      <c r="AE5883" s="4">
        <v>8</v>
      </c>
      <c r="AF5883" s="4">
        <v>0</v>
      </c>
      <c r="AG5883" s="4">
        <v>0</v>
      </c>
      <c r="AH5883" s="4">
        <v>3</v>
      </c>
      <c r="AI5883" s="4">
        <v>4</v>
      </c>
      <c r="AJ5883" s="4">
        <v>3</v>
      </c>
      <c r="AK5883" s="4">
        <v>6</v>
      </c>
      <c r="AL5883" s="4">
        <v>0</v>
      </c>
      <c r="AM5883" s="4">
        <v>0</v>
      </c>
      <c r="AN5883" s="4">
        <v>0</v>
      </c>
      <c r="AO5883" s="4">
        <v>0</v>
      </c>
      <c r="AP5883" s="4">
        <v>4</v>
      </c>
      <c r="AQ5883" s="4">
        <v>7</v>
      </c>
      <c r="AR5883" s="3" t="s">
        <v>61</v>
      </c>
      <c r="AS5883" s="3" t="s">
        <v>62</v>
      </c>
      <c r="AT5883" s="3" t="s">
        <v>62</v>
      </c>
      <c r="AV5883" s="6" t="str">
        <f>HYPERLINK("http://mcgill.on.worldcat.org/oclc/60610682","Catalog Record")</f>
        <v>Catalog Record</v>
      </c>
      <c r="AW5883" s="6" t="str">
        <f>HYPERLINK("http://www.worldcat.org/oclc/60610682","WorldCat Record")</f>
        <v>WorldCat Record</v>
      </c>
      <c r="AX5883" s="3" t="s">
        <v>55399</v>
      </c>
      <c r="AY5883" s="3" t="s">
        <v>55400</v>
      </c>
      <c r="AZ5883" s="3" t="s">
        <v>55401</v>
      </c>
      <c r="BA5883" s="3" t="s">
        <v>55401</v>
      </c>
      <c r="BB5883" s="3" t="s">
        <v>55408</v>
      </c>
      <c r="BC5883" s="3" t="s">
        <v>33640</v>
      </c>
      <c r="BD5883" s="3" t="s">
        <v>68</v>
      </c>
      <c r="BF5883" s="3" t="s">
        <v>55408</v>
      </c>
      <c r="BG5883" s="3" t="s">
        <v>55409</v>
      </c>
    </row>
    <row r="5884" spans="1:59" ht="87" x14ac:dyDescent="0.35">
      <c r="A5884" s="2" t="s">
        <v>89</v>
      </c>
      <c r="B5884" s="2" t="s">
        <v>42560</v>
      </c>
      <c r="C5884" s="2" t="s">
        <v>55410</v>
      </c>
      <c r="D5884" s="2" t="s">
        <v>55411</v>
      </c>
      <c r="E5884" s="2" t="s">
        <v>55412</v>
      </c>
      <c r="F5884" s="3" t="s">
        <v>55413</v>
      </c>
      <c r="G5884" s="3" t="s">
        <v>61</v>
      </c>
      <c r="I5884" s="3" t="s">
        <v>62</v>
      </c>
      <c r="J5884" s="3" t="s">
        <v>62</v>
      </c>
      <c r="K5884" s="3" t="s">
        <v>63</v>
      </c>
      <c r="L5884" s="2" t="s">
        <v>55414</v>
      </c>
      <c r="M5884" s="2" t="s">
        <v>55415</v>
      </c>
      <c r="N5884" s="3" t="s">
        <v>655</v>
      </c>
      <c r="P5884" s="3" t="s">
        <v>64</v>
      </c>
      <c r="Q5884" s="2" t="s">
        <v>55416</v>
      </c>
      <c r="R5884" s="3" t="s">
        <v>25645</v>
      </c>
      <c r="S5884" s="4">
        <v>27</v>
      </c>
      <c r="T5884" s="4">
        <v>112</v>
      </c>
      <c r="U5884" s="5" t="s">
        <v>55417</v>
      </c>
      <c r="V5884" s="5" t="s">
        <v>55417</v>
      </c>
      <c r="W5884" s="5" t="s">
        <v>67</v>
      </c>
      <c r="X5884" s="5" t="s">
        <v>67</v>
      </c>
      <c r="Y5884" s="4">
        <v>679</v>
      </c>
      <c r="Z5884" s="4">
        <v>20</v>
      </c>
      <c r="AA5884" s="4">
        <v>27</v>
      </c>
      <c r="AB5884" s="4">
        <v>3</v>
      </c>
      <c r="AC5884" s="4">
        <v>5</v>
      </c>
      <c r="AD5884" s="4">
        <v>24</v>
      </c>
      <c r="AE5884" s="4">
        <v>27</v>
      </c>
      <c r="AF5884" s="4">
        <v>1</v>
      </c>
      <c r="AG5884" s="4">
        <v>2</v>
      </c>
      <c r="AH5884" s="4">
        <v>23</v>
      </c>
      <c r="AI5884" s="4">
        <v>25</v>
      </c>
      <c r="AJ5884" s="4">
        <v>1</v>
      </c>
      <c r="AK5884" s="4">
        <v>3</v>
      </c>
      <c r="AL5884" s="4">
        <v>11</v>
      </c>
      <c r="AM5884" s="4">
        <v>12</v>
      </c>
      <c r="AN5884" s="4">
        <v>0</v>
      </c>
      <c r="AO5884" s="4">
        <v>0</v>
      </c>
      <c r="AP5884" s="4">
        <v>2</v>
      </c>
      <c r="AQ5884" s="4">
        <v>4</v>
      </c>
      <c r="AR5884" s="3" t="s">
        <v>62</v>
      </c>
      <c r="AS5884" s="3" t="s">
        <v>62</v>
      </c>
      <c r="AT5884" s="3" t="s">
        <v>62</v>
      </c>
      <c r="AV5884" s="6" t="str">
        <f>HYPERLINK("http://mcgill.on.worldcat.org/oclc/181264843","Catalog Record")</f>
        <v>Catalog Record</v>
      </c>
      <c r="AW5884" s="6" t="str">
        <f>HYPERLINK("http://www.worldcat.org/oclc/181264843","WorldCat Record")</f>
        <v>WorldCat Record</v>
      </c>
      <c r="AX5884" s="3" t="s">
        <v>55418</v>
      </c>
      <c r="AY5884" s="3" t="s">
        <v>55419</v>
      </c>
      <c r="AZ5884" s="3" t="s">
        <v>55420</v>
      </c>
      <c r="BA5884" s="3" t="s">
        <v>55420</v>
      </c>
      <c r="BB5884" s="3" t="s">
        <v>55421</v>
      </c>
      <c r="BC5884" s="3" t="s">
        <v>33640</v>
      </c>
      <c r="BD5884" s="3" t="s">
        <v>68</v>
      </c>
      <c r="BE5884" s="3" t="s">
        <v>55422</v>
      </c>
      <c r="BF5884" s="3" t="s">
        <v>55421</v>
      </c>
      <c r="BG5884" s="3" t="s">
        <v>55423</v>
      </c>
    </row>
    <row r="5885" spans="1:59" ht="87" x14ac:dyDescent="0.35">
      <c r="A5885" s="2" t="s">
        <v>89</v>
      </c>
      <c r="B5885" s="2" t="s">
        <v>42560</v>
      </c>
      <c r="C5885" s="2" t="s">
        <v>55410</v>
      </c>
      <c r="D5885" s="2" t="s">
        <v>55411</v>
      </c>
      <c r="E5885" s="2" t="s">
        <v>55412</v>
      </c>
      <c r="F5885" s="3" t="s">
        <v>55424</v>
      </c>
      <c r="G5885" s="3" t="s">
        <v>61</v>
      </c>
      <c r="I5885" s="3" t="s">
        <v>62</v>
      </c>
      <c r="J5885" s="3" t="s">
        <v>62</v>
      </c>
      <c r="K5885" s="3" t="s">
        <v>63</v>
      </c>
      <c r="L5885" s="2" t="s">
        <v>55414</v>
      </c>
      <c r="M5885" s="2" t="s">
        <v>55415</v>
      </c>
      <c r="N5885" s="3" t="s">
        <v>655</v>
      </c>
      <c r="P5885" s="3" t="s">
        <v>64</v>
      </c>
      <c r="Q5885" s="2" t="s">
        <v>55416</v>
      </c>
      <c r="R5885" s="3" t="s">
        <v>25645</v>
      </c>
      <c r="S5885" s="4">
        <v>24</v>
      </c>
      <c r="T5885" s="4">
        <v>112</v>
      </c>
      <c r="U5885" s="5" t="s">
        <v>55417</v>
      </c>
      <c r="V5885" s="5" t="s">
        <v>55417</v>
      </c>
      <c r="W5885" s="5" t="s">
        <v>67</v>
      </c>
      <c r="X5885" s="5" t="s">
        <v>67</v>
      </c>
      <c r="Y5885" s="4">
        <v>679</v>
      </c>
      <c r="Z5885" s="4">
        <v>20</v>
      </c>
      <c r="AA5885" s="4">
        <v>27</v>
      </c>
      <c r="AB5885" s="4">
        <v>3</v>
      </c>
      <c r="AC5885" s="4">
        <v>5</v>
      </c>
      <c r="AD5885" s="4">
        <v>24</v>
      </c>
      <c r="AE5885" s="4">
        <v>27</v>
      </c>
      <c r="AF5885" s="4">
        <v>1</v>
      </c>
      <c r="AG5885" s="4">
        <v>2</v>
      </c>
      <c r="AH5885" s="4">
        <v>23</v>
      </c>
      <c r="AI5885" s="4">
        <v>25</v>
      </c>
      <c r="AJ5885" s="4">
        <v>1</v>
      </c>
      <c r="AK5885" s="4">
        <v>3</v>
      </c>
      <c r="AL5885" s="4">
        <v>11</v>
      </c>
      <c r="AM5885" s="4">
        <v>12</v>
      </c>
      <c r="AN5885" s="4">
        <v>0</v>
      </c>
      <c r="AO5885" s="4">
        <v>0</v>
      </c>
      <c r="AP5885" s="4">
        <v>2</v>
      </c>
      <c r="AQ5885" s="4">
        <v>4</v>
      </c>
      <c r="AR5885" s="3" t="s">
        <v>62</v>
      </c>
      <c r="AS5885" s="3" t="s">
        <v>62</v>
      </c>
      <c r="AT5885" s="3" t="s">
        <v>62</v>
      </c>
      <c r="AV5885" s="6" t="str">
        <f>HYPERLINK("http://mcgill.on.worldcat.org/oclc/181264843","Catalog Record")</f>
        <v>Catalog Record</v>
      </c>
      <c r="AW5885" s="6" t="str">
        <f>HYPERLINK("http://www.worldcat.org/oclc/181264843","WorldCat Record")</f>
        <v>WorldCat Record</v>
      </c>
      <c r="AX5885" s="3" t="s">
        <v>55418</v>
      </c>
      <c r="AY5885" s="3" t="s">
        <v>55419</v>
      </c>
      <c r="AZ5885" s="3" t="s">
        <v>55420</v>
      </c>
      <c r="BA5885" s="3" t="s">
        <v>55420</v>
      </c>
      <c r="BB5885" s="3" t="s">
        <v>55425</v>
      </c>
      <c r="BC5885" s="3" t="s">
        <v>33640</v>
      </c>
      <c r="BD5885" s="3" t="s">
        <v>68</v>
      </c>
      <c r="BE5885" s="3" t="s">
        <v>55422</v>
      </c>
      <c r="BF5885" s="3" t="s">
        <v>55425</v>
      </c>
      <c r="BG5885" s="3" t="s">
        <v>55426</v>
      </c>
    </row>
    <row r="5886" spans="1:59" ht="87" x14ac:dyDescent="0.35">
      <c r="A5886" s="2" t="s">
        <v>89</v>
      </c>
      <c r="B5886" s="2" t="s">
        <v>42560</v>
      </c>
      <c r="C5886" s="2" t="s">
        <v>55410</v>
      </c>
      <c r="D5886" s="2" t="s">
        <v>55411</v>
      </c>
      <c r="E5886" s="2" t="s">
        <v>55412</v>
      </c>
      <c r="F5886" s="3" t="s">
        <v>55427</v>
      </c>
      <c r="G5886" s="3" t="s">
        <v>61</v>
      </c>
      <c r="I5886" s="3" t="s">
        <v>62</v>
      </c>
      <c r="J5886" s="3" t="s">
        <v>62</v>
      </c>
      <c r="K5886" s="3" t="s">
        <v>63</v>
      </c>
      <c r="L5886" s="2" t="s">
        <v>55414</v>
      </c>
      <c r="M5886" s="2" t="s">
        <v>55415</v>
      </c>
      <c r="N5886" s="3" t="s">
        <v>655</v>
      </c>
      <c r="P5886" s="3" t="s">
        <v>64</v>
      </c>
      <c r="Q5886" s="2" t="s">
        <v>55416</v>
      </c>
      <c r="R5886" s="3" t="s">
        <v>25645</v>
      </c>
      <c r="S5886" s="4">
        <v>33</v>
      </c>
      <c r="T5886" s="4">
        <v>112</v>
      </c>
      <c r="U5886" s="5" t="s">
        <v>55417</v>
      </c>
      <c r="V5886" s="5" t="s">
        <v>55417</v>
      </c>
      <c r="W5886" s="5" t="s">
        <v>67</v>
      </c>
      <c r="X5886" s="5" t="s">
        <v>67</v>
      </c>
      <c r="Y5886" s="4">
        <v>679</v>
      </c>
      <c r="Z5886" s="4">
        <v>20</v>
      </c>
      <c r="AA5886" s="4">
        <v>27</v>
      </c>
      <c r="AB5886" s="4">
        <v>3</v>
      </c>
      <c r="AC5886" s="4">
        <v>5</v>
      </c>
      <c r="AD5886" s="4">
        <v>24</v>
      </c>
      <c r="AE5886" s="4">
        <v>27</v>
      </c>
      <c r="AF5886" s="4">
        <v>1</v>
      </c>
      <c r="AG5886" s="4">
        <v>2</v>
      </c>
      <c r="AH5886" s="4">
        <v>23</v>
      </c>
      <c r="AI5886" s="4">
        <v>25</v>
      </c>
      <c r="AJ5886" s="4">
        <v>1</v>
      </c>
      <c r="AK5886" s="4">
        <v>3</v>
      </c>
      <c r="AL5886" s="4">
        <v>11</v>
      </c>
      <c r="AM5886" s="4">
        <v>12</v>
      </c>
      <c r="AN5886" s="4">
        <v>0</v>
      </c>
      <c r="AO5886" s="4">
        <v>0</v>
      </c>
      <c r="AP5886" s="4">
        <v>2</v>
      </c>
      <c r="AQ5886" s="4">
        <v>4</v>
      </c>
      <c r="AR5886" s="3" t="s">
        <v>62</v>
      </c>
      <c r="AS5886" s="3" t="s">
        <v>62</v>
      </c>
      <c r="AT5886" s="3" t="s">
        <v>62</v>
      </c>
      <c r="AV5886" s="6" t="str">
        <f>HYPERLINK("http://mcgill.on.worldcat.org/oclc/181264843","Catalog Record")</f>
        <v>Catalog Record</v>
      </c>
      <c r="AW5886" s="6" t="str">
        <f>HYPERLINK("http://www.worldcat.org/oclc/181264843","WorldCat Record")</f>
        <v>WorldCat Record</v>
      </c>
      <c r="AX5886" s="3" t="s">
        <v>55418</v>
      </c>
      <c r="AY5886" s="3" t="s">
        <v>55419</v>
      </c>
      <c r="AZ5886" s="3" t="s">
        <v>55420</v>
      </c>
      <c r="BA5886" s="3" t="s">
        <v>55420</v>
      </c>
      <c r="BB5886" s="3" t="s">
        <v>55428</v>
      </c>
      <c r="BC5886" s="3" t="s">
        <v>33640</v>
      </c>
      <c r="BD5886" s="3" t="s">
        <v>68</v>
      </c>
      <c r="BE5886" s="3" t="s">
        <v>55422</v>
      </c>
      <c r="BF5886" s="3" t="s">
        <v>55428</v>
      </c>
      <c r="BG5886" s="3" t="s">
        <v>55429</v>
      </c>
    </row>
    <row r="5887" spans="1:59" ht="87" x14ac:dyDescent="0.35">
      <c r="A5887" s="2" t="s">
        <v>89</v>
      </c>
      <c r="B5887" s="2" t="s">
        <v>42560</v>
      </c>
      <c r="C5887" s="2" t="s">
        <v>55410</v>
      </c>
      <c r="D5887" s="2" t="s">
        <v>55411</v>
      </c>
      <c r="E5887" s="2" t="s">
        <v>55412</v>
      </c>
      <c r="F5887" s="3" t="s">
        <v>55430</v>
      </c>
      <c r="G5887" s="3" t="s">
        <v>61</v>
      </c>
      <c r="I5887" s="3" t="s">
        <v>62</v>
      </c>
      <c r="J5887" s="3" t="s">
        <v>62</v>
      </c>
      <c r="K5887" s="3" t="s">
        <v>63</v>
      </c>
      <c r="L5887" s="2" t="s">
        <v>55414</v>
      </c>
      <c r="M5887" s="2" t="s">
        <v>55415</v>
      </c>
      <c r="N5887" s="3" t="s">
        <v>655</v>
      </c>
      <c r="P5887" s="3" t="s">
        <v>64</v>
      </c>
      <c r="Q5887" s="2" t="s">
        <v>55416</v>
      </c>
      <c r="R5887" s="3" t="s">
        <v>25645</v>
      </c>
      <c r="S5887" s="4">
        <v>28</v>
      </c>
      <c r="T5887" s="4">
        <v>112</v>
      </c>
      <c r="U5887" s="5" t="s">
        <v>55417</v>
      </c>
      <c r="V5887" s="5" t="s">
        <v>55417</v>
      </c>
      <c r="W5887" s="5" t="s">
        <v>67</v>
      </c>
      <c r="X5887" s="5" t="s">
        <v>67</v>
      </c>
      <c r="Y5887" s="4">
        <v>679</v>
      </c>
      <c r="Z5887" s="4">
        <v>20</v>
      </c>
      <c r="AA5887" s="4">
        <v>27</v>
      </c>
      <c r="AB5887" s="4">
        <v>3</v>
      </c>
      <c r="AC5887" s="4">
        <v>5</v>
      </c>
      <c r="AD5887" s="4">
        <v>24</v>
      </c>
      <c r="AE5887" s="4">
        <v>27</v>
      </c>
      <c r="AF5887" s="4">
        <v>1</v>
      </c>
      <c r="AG5887" s="4">
        <v>2</v>
      </c>
      <c r="AH5887" s="4">
        <v>23</v>
      </c>
      <c r="AI5887" s="4">
        <v>25</v>
      </c>
      <c r="AJ5887" s="4">
        <v>1</v>
      </c>
      <c r="AK5887" s="4">
        <v>3</v>
      </c>
      <c r="AL5887" s="4">
        <v>11</v>
      </c>
      <c r="AM5887" s="4">
        <v>12</v>
      </c>
      <c r="AN5887" s="4">
        <v>0</v>
      </c>
      <c r="AO5887" s="4">
        <v>0</v>
      </c>
      <c r="AP5887" s="4">
        <v>2</v>
      </c>
      <c r="AQ5887" s="4">
        <v>4</v>
      </c>
      <c r="AR5887" s="3" t="s">
        <v>62</v>
      </c>
      <c r="AS5887" s="3" t="s">
        <v>62</v>
      </c>
      <c r="AT5887" s="3" t="s">
        <v>62</v>
      </c>
      <c r="AV5887" s="6" t="str">
        <f>HYPERLINK("http://mcgill.on.worldcat.org/oclc/181264843","Catalog Record")</f>
        <v>Catalog Record</v>
      </c>
      <c r="AW5887" s="6" t="str">
        <f>HYPERLINK("http://www.worldcat.org/oclc/181264843","WorldCat Record")</f>
        <v>WorldCat Record</v>
      </c>
      <c r="AX5887" s="3" t="s">
        <v>55418</v>
      </c>
      <c r="AY5887" s="3" t="s">
        <v>55419</v>
      </c>
      <c r="AZ5887" s="3" t="s">
        <v>55420</v>
      </c>
      <c r="BA5887" s="3" t="s">
        <v>55420</v>
      </c>
      <c r="BB5887" s="3" t="s">
        <v>55431</v>
      </c>
      <c r="BC5887" s="3" t="s">
        <v>33640</v>
      </c>
      <c r="BD5887" s="3" t="s">
        <v>68</v>
      </c>
      <c r="BE5887" s="3" t="s">
        <v>55422</v>
      </c>
      <c r="BF5887" s="3" t="s">
        <v>55431</v>
      </c>
      <c r="BG5887" s="3" t="s">
        <v>55432</v>
      </c>
    </row>
    <row r="5888" spans="1:59" ht="87" x14ac:dyDescent="0.35">
      <c r="A5888" s="2" t="s">
        <v>89</v>
      </c>
      <c r="B5888" s="2" t="s">
        <v>42560</v>
      </c>
      <c r="C5888" s="2" t="s">
        <v>55433</v>
      </c>
      <c r="D5888" s="2" t="s">
        <v>55434</v>
      </c>
      <c r="E5888" s="2" t="s">
        <v>55435</v>
      </c>
      <c r="F5888" s="3" t="s">
        <v>2217</v>
      </c>
      <c r="G5888" s="3" t="s">
        <v>61</v>
      </c>
      <c r="I5888" s="3" t="s">
        <v>62</v>
      </c>
      <c r="J5888" s="3" t="s">
        <v>62</v>
      </c>
      <c r="K5888" s="3" t="s">
        <v>63</v>
      </c>
      <c r="M5888" s="2" t="s">
        <v>55436</v>
      </c>
      <c r="N5888" s="3" t="s">
        <v>2975</v>
      </c>
      <c r="P5888" s="3" t="s">
        <v>64</v>
      </c>
      <c r="R5888" s="3" t="s">
        <v>65</v>
      </c>
      <c r="S5888" s="4">
        <v>14</v>
      </c>
      <c r="T5888" s="4">
        <v>28</v>
      </c>
      <c r="U5888" s="5" t="s">
        <v>12308</v>
      </c>
      <c r="V5888" s="5" t="s">
        <v>12308</v>
      </c>
      <c r="W5888" s="5" t="s">
        <v>67</v>
      </c>
      <c r="X5888" s="5" t="s">
        <v>67</v>
      </c>
      <c r="Y5888" s="4">
        <v>43</v>
      </c>
      <c r="Z5888" s="4">
        <v>2</v>
      </c>
      <c r="AA5888" s="4">
        <v>3</v>
      </c>
      <c r="AB5888" s="4">
        <v>1</v>
      </c>
      <c r="AC5888" s="4">
        <v>1</v>
      </c>
      <c r="AD5888" s="4">
        <v>7</v>
      </c>
      <c r="AE5888" s="4">
        <v>7</v>
      </c>
      <c r="AF5888" s="4">
        <v>0</v>
      </c>
      <c r="AG5888" s="4">
        <v>0</v>
      </c>
      <c r="AH5888" s="4">
        <v>6</v>
      </c>
      <c r="AI5888" s="4">
        <v>6</v>
      </c>
      <c r="AJ5888" s="4">
        <v>1</v>
      </c>
      <c r="AK5888" s="4">
        <v>1</v>
      </c>
      <c r="AL5888" s="4">
        <v>3</v>
      </c>
      <c r="AM5888" s="4">
        <v>3</v>
      </c>
      <c r="AN5888" s="4">
        <v>0</v>
      </c>
      <c r="AO5888" s="4">
        <v>0</v>
      </c>
      <c r="AP5888" s="4">
        <v>1</v>
      </c>
      <c r="AQ5888" s="4">
        <v>1</v>
      </c>
      <c r="AR5888" s="3" t="s">
        <v>61</v>
      </c>
      <c r="AS5888" s="3" t="s">
        <v>62</v>
      </c>
      <c r="AT5888" s="3" t="s">
        <v>62</v>
      </c>
      <c r="AV5888" s="6" t="str">
        <f>HYPERLINK("http://mcgill.on.worldcat.org/oclc/50158296","Catalog Record")</f>
        <v>Catalog Record</v>
      </c>
      <c r="AW5888" s="6" t="str">
        <f>HYPERLINK("http://www.worldcat.org/oclc/50158296","WorldCat Record")</f>
        <v>WorldCat Record</v>
      </c>
      <c r="AX5888" s="3" t="s">
        <v>55437</v>
      </c>
      <c r="AY5888" s="3" t="s">
        <v>55438</v>
      </c>
      <c r="AZ5888" s="3" t="s">
        <v>55439</v>
      </c>
      <c r="BA5888" s="3" t="s">
        <v>55439</v>
      </c>
      <c r="BB5888" s="3" t="s">
        <v>55440</v>
      </c>
      <c r="BC5888" s="3" t="s">
        <v>33640</v>
      </c>
      <c r="BD5888" s="3" t="s">
        <v>68</v>
      </c>
      <c r="BE5888" s="3" t="s">
        <v>55441</v>
      </c>
      <c r="BF5888" s="3" t="s">
        <v>55440</v>
      </c>
      <c r="BG5888" s="3" t="s">
        <v>55442</v>
      </c>
    </row>
    <row r="5889" spans="1:59" ht="87" x14ac:dyDescent="0.35">
      <c r="A5889" s="2" t="s">
        <v>89</v>
      </c>
      <c r="B5889" s="2" t="s">
        <v>42560</v>
      </c>
      <c r="C5889" s="2" t="s">
        <v>55433</v>
      </c>
      <c r="D5889" s="2" t="s">
        <v>55434</v>
      </c>
      <c r="E5889" s="2" t="s">
        <v>55435</v>
      </c>
      <c r="F5889" s="3" t="s">
        <v>2233</v>
      </c>
      <c r="G5889" s="3" t="s">
        <v>61</v>
      </c>
      <c r="I5889" s="3" t="s">
        <v>62</v>
      </c>
      <c r="J5889" s="3" t="s">
        <v>62</v>
      </c>
      <c r="K5889" s="3" t="s">
        <v>63</v>
      </c>
      <c r="M5889" s="2" t="s">
        <v>55436</v>
      </c>
      <c r="N5889" s="3" t="s">
        <v>2975</v>
      </c>
      <c r="P5889" s="3" t="s">
        <v>64</v>
      </c>
      <c r="R5889" s="3" t="s">
        <v>65</v>
      </c>
      <c r="S5889" s="4">
        <v>14</v>
      </c>
      <c r="T5889" s="4">
        <v>28</v>
      </c>
      <c r="U5889" s="5" t="s">
        <v>12308</v>
      </c>
      <c r="V5889" s="5" t="s">
        <v>12308</v>
      </c>
      <c r="W5889" s="5" t="s">
        <v>67</v>
      </c>
      <c r="X5889" s="5" t="s">
        <v>67</v>
      </c>
      <c r="Y5889" s="4">
        <v>43</v>
      </c>
      <c r="Z5889" s="4">
        <v>2</v>
      </c>
      <c r="AA5889" s="4">
        <v>3</v>
      </c>
      <c r="AB5889" s="4">
        <v>1</v>
      </c>
      <c r="AC5889" s="4">
        <v>1</v>
      </c>
      <c r="AD5889" s="4">
        <v>7</v>
      </c>
      <c r="AE5889" s="4">
        <v>7</v>
      </c>
      <c r="AF5889" s="4">
        <v>0</v>
      </c>
      <c r="AG5889" s="4">
        <v>0</v>
      </c>
      <c r="AH5889" s="4">
        <v>6</v>
      </c>
      <c r="AI5889" s="4">
        <v>6</v>
      </c>
      <c r="AJ5889" s="4">
        <v>1</v>
      </c>
      <c r="AK5889" s="4">
        <v>1</v>
      </c>
      <c r="AL5889" s="4">
        <v>3</v>
      </c>
      <c r="AM5889" s="4">
        <v>3</v>
      </c>
      <c r="AN5889" s="4">
        <v>0</v>
      </c>
      <c r="AO5889" s="4">
        <v>0</v>
      </c>
      <c r="AP5889" s="4">
        <v>1</v>
      </c>
      <c r="AQ5889" s="4">
        <v>1</v>
      </c>
      <c r="AR5889" s="3" t="s">
        <v>61</v>
      </c>
      <c r="AS5889" s="3" t="s">
        <v>62</v>
      </c>
      <c r="AT5889" s="3" t="s">
        <v>62</v>
      </c>
      <c r="AV5889" s="6" t="str">
        <f>HYPERLINK("http://mcgill.on.worldcat.org/oclc/50158296","Catalog Record")</f>
        <v>Catalog Record</v>
      </c>
      <c r="AW5889" s="6" t="str">
        <f>HYPERLINK("http://www.worldcat.org/oclc/50158296","WorldCat Record")</f>
        <v>WorldCat Record</v>
      </c>
      <c r="AX5889" s="3" t="s">
        <v>55437</v>
      </c>
      <c r="AY5889" s="3" t="s">
        <v>55438</v>
      </c>
      <c r="AZ5889" s="3" t="s">
        <v>55439</v>
      </c>
      <c r="BA5889" s="3" t="s">
        <v>55439</v>
      </c>
      <c r="BB5889" s="3" t="s">
        <v>55443</v>
      </c>
      <c r="BC5889" s="3" t="s">
        <v>33640</v>
      </c>
      <c r="BD5889" s="3" t="s">
        <v>68</v>
      </c>
      <c r="BE5889" s="3" t="s">
        <v>55441</v>
      </c>
      <c r="BF5889" s="3" t="s">
        <v>55443</v>
      </c>
      <c r="BG5889" s="3" t="s">
        <v>55444</v>
      </c>
    </row>
    <row r="5890" spans="1:59" ht="87" x14ac:dyDescent="0.35">
      <c r="A5890" s="2" t="s">
        <v>89</v>
      </c>
      <c r="B5890" s="2" t="s">
        <v>42560</v>
      </c>
      <c r="C5890" s="2" t="s">
        <v>55445</v>
      </c>
      <c r="D5890" s="2" t="s">
        <v>55446</v>
      </c>
      <c r="E5890" s="2" t="s">
        <v>55447</v>
      </c>
      <c r="G5890" s="3" t="s">
        <v>62</v>
      </c>
      <c r="I5890" s="3" t="s">
        <v>62</v>
      </c>
      <c r="J5890" s="3" t="s">
        <v>62</v>
      </c>
      <c r="K5890" s="3" t="s">
        <v>63</v>
      </c>
      <c r="M5890" s="2" t="s">
        <v>55448</v>
      </c>
      <c r="N5890" s="3" t="s">
        <v>568</v>
      </c>
      <c r="P5890" s="3" t="s">
        <v>64</v>
      </c>
      <c r="R5890" s="3" t="s">
        <v>65</v>
      </c>
      <c r="S5890" s="4">
        <v>10</v>
      </c>
      <c r="T5890" s="4">
        <v>10</v>
      </c>
      <c r="U5890" s="5" t="s">
        <v>12308</v>
      </c>
      <c r="V5890" s="5" t="s">
        <v>12308</v>
      </c>
      <c r="W5890" s="5" t="s">
        <v>67</v>
      </c>
      <c r="X5890" s="5" t="s">
        <v>67</v>
      </c>
      <c r="Y5890" s="4">
        <v>17</v>
      </c>
      <c r="Z5890" s="4">
        <v>3</v>
      </c>
      <c r="AA5890" s="4">
        <v>48</v>
      </c>
      <c r="AB5890" s="4">
        <v>1</v>
      </c>
      <c r="AC5890" s="4">
        <v>5</v>
      </c>
      <c r="AD5890" s="4">
        <v>6</v>
      </c>
      <c r="AE5890" s="4">
        <v>42</v>
      </c>
      <c r="AF5890" s="4">
        <v>0</v>
      </c>
      <c r="AG5890" s="4">
        <v>2</v>
      </c>
      <c r="AH5890" s="4">
        <v>5</v>
      </c>
      <c r="AI5890" s="4">
        <v>25</v>
      </c>
      <c r="AJ5890" s="4">
        <v>1</v>
      </c>
      <c r="AK5890" s="4">
        <v>18</v>
      </c>
      <c r="AL5890" s="4">
        <v>3</v>
      </c>
      <c r="AM5890" s="4">
        <v>13</v>
      </c>
      <c r="AN5890" s="4">
        <v>0</v>
      </c>
      <c r="AO5890" s="4">
        <v>0</v>
      </c>
      <c r="AP5890" s="4">
        <v>2</v>
      </c>
      <c r="AQ5890" s="4">
        <v>26</v>
      </c>
      <c r="AR5890" s="3" t="s">
        <v>61</v>
      </c>
      <c r="AS5890" s="3" t="s">
        <v>62</v>
      </c>
      <c r="AT5890" s="3" t="s">
        <v>62</v>
      </c>
      <c r="AV5890" s="6" t="str">
        <f>HYPERLINK("http://mcgill.on.worldcat.org/oclc/57712829","Catalog Record")</f>
        <v>Catalog Record</v>
      </c>
      <c r="AW5890" s="6" t="str">
        <f>HYPERLINK("http://www.worldcat.org/oclc/57712829","WorldCat Record")</f>
        <v>WorldCat Record</v>
      </c>
      <c r="AX5890" s="3" t="s">
        <v>55449</v>
      </c>
      <c r="AY5890" s="3" t="s">
        <v>55450</v>
      </c>
      <c r="AZ5890" s="3" t="s">
        <v>55451</v>
      </c>
      <c r="BA5890" s="3" t="s">
        <v>55451</v>
      </c>
      <c r="BB5890" s="3" t="s">
        <v>55452</v>
      </c>
      <c r="BC5890" s="3" t="s">
        <v>33640</v>
      </c>
      <c r="BD5890" s="3" t="s">
        <v>68</v>
      </c>
      <c r="BF5890" s="3" t="s">
        <v>55452</v>
      </c>
      <c r="BG5890" s="3" t="s">
        <v>55453</v>
      </c>
    </row>
    <row r="5891" spans="1:59" ht="87" x14ac:dyDescent="0.35">
      <c r="A5891" s="2" t="s">
        <v>89</v>
      </c>
      <c r="B5891" s="2" t="s">
        <v>42560</v>
      </c>
      <c r="C5891" s="2" t="s">
        <v>55454</v>
      </c>
      <c r="D5891" s="2" t="s">
        <v>55455</v>
      </c>
      <c r="E5891" s="2" t="s">
        <v>55456</v>
      </c>
      <c r="G5891" s="3" t="s">
        <v>62</v>
      </c>
      <c r="I5891" s="3" t="s">
        <v>62</v>
      </c>
      <c r="J5891" s="3" t="s">
        <v>62</v>
      </c>
      <c r="K5891" s="3" t="s">
        <v>63</v>
      </c>
      <c r="M5891" s="2" t="s">
        <v>55457</v>
      </c>
      <c r="N5891" s="3" t="s">
        <v>568</v>
      </c>
      <c r="O5891" s="2" t="s">
        <v>55458</v>
      </c>
      <c r="P5891" s="3" t="s">
        <v>64</v>
      </c>
      <c r="R5891" s="3" t="s">
        <v>65</v>
      </c>
      <c r="S5891" s="4">
        <v>2</v>
      </c>
      <c r="T5891" s="4">
        <v>2</v>
      </c>
      <c r="U5891" s="5" t="s">
        <v>16247</v>
      </c>
      <c r="V5891" s="5" t="s">
        <v>16247</v>
      </c>
      <c r="W5891" s="5" t="s">
        <v>67</v>
      </c>
      <c r="X5891" s="5" t="s">
        <v>67</v>
      </c>
      <c r="Y5891" s="4">
        <v>35</v>
      </c>
      <c r="Z5891" s="4">
        <v>3</v>
      </c>
      <c r="AA5891" s="4">
        <v>45</v>
      </c>
      <c r="AB5891" s="4">
        <v>1</v>
      </c>
      <c r="AC5891" s="4">
        <v>1</v>
      </c>
      <c r="AD5891" s="4">
        <v>3</v>
      </c>
      <c r="AE5891" s="4">
        <v>46</v>
      </c>
      <c r="AF5891" s="4">
        <v>0</v>
      </c>
      <c r="AG5891" s="4">
        <v>0</v>
      </c>
      <c r="AH5891" s="4">
        <v>2</v>
      </c>
      <c r="AI5891" s="4">
        <v>32</v>
      </c>
      <c r="AJ5891" s="4">
        <v>1</v>
      </c>
      <c r="AK5891" s="4">
        <v>10</v>
      </c>
      <c r="AL5891" s="4">
        <v>0</v>
      </c>
      <c r="AM5891" s="4">
        <v>13</v>
      </c>
      <c r="AN5891" s="4">
        <v>0</v>
      </c>
      <c r="AO5891" s="4">
        <v>0</v>
      </c>
      <c r="AP5891" s="4">
        <v>2</v>
      </c>
      <c r="AQ5891" s="4">
        <v>20</v>
      </c>
      <c r="AR5891" s="3" t="s">
        <v>62</v>
      </c>
      <c r="AS5891" s="3" t="s">
        <v>62</v>
      </c>
      <c r="AT5891" s="3" t="s">
        <v>62</v>
      </c>
      <c r="AV5891" s="6" t="str">
        <f>HYPERLINK("http://mcgill.on.worldcat.org/oclc/48652470","Catalog Record")</f>
        <v>Catalog Record</v>
      </c>
      <c r="AW5891" s="6" t="str">
        <f>HYPERLINK("http://www.worldcat.org/oclc/48652470","WorldCat Record")</f>
        <v>WorldCat Record</v>
      </c>
      <c r="AX5891" s="3" t="s">
        <v>55459</v>
      </c>
      <c r="AY5891" s="3" t="s">
        <v>55460</v>
      </c>
      <c r="AZ5891" s="3" t="s">
        <v>55461</v>
      </c>
      <c r="BA5891" s="3" t="s">
        <v>55461</v>
      </c>
      <c r="BB5891" s="3" t="s">
        <v>55462</v>
      </c>
      <c r="BC5891" s="3" t="s">
        <v>33640</v>
      </c>
      <c r="BD5891" s="3" t="s">
        <v>68</v>
      </c>
      <c r="BF5891" s="3" t="s">
        <v>55462</v>
      </c>
      <c r="BG5891" s="3" t="s">
        <v>55463</v>
      </c>
    </row>
    <row r="5892" spans="1:59" ht="87" x14ac:dyDescent="0.35">
      <c r="A5892" s="2" t="s">
        <v>89</v>
      </c>
      <c r="B5892" s="2" t="s">
        <v>42560</v>
      </c>
      <c r="C5892" s="2" t="s">
        <v>55464</v>
      </c>
      <c r="D5892" s="2" t="s">
        <v>55465</v>
      </c>
      <c r="E5892" s="2" t="s">
        <v>55466</v>
      </c>
      <c r="G5892" s="3" t="s">
        <v>61</v>
      </c>
      <c r="I5892" s="3" t="s">
        <v>62</v>
      </c>
      <c r="J5892" s="3" t="s">
        <v>62</v>
      </c>
      <c r="K5892" s="3" t="s">
        <v>63</v>
      </c>
      <c r="M5892" s="2" t="s">
        <v>55467</v>
      </c>
      <c r="N5892" s="3" t="s">
        <v>640</v>
      </c>
      <c r="P5892" s="3" t="s">
        <v>64</v>
      </c>
      <c r="R5892" s="3" t="s">
        <v>25645</v>
      </c>
      <c r="S5892" s="4">
        <v>23</v>
      </c>
      <c r="T5892" s="4">
        <v>23</v>
      </c>
      <c r="U5892" s="5" t="s">
        <v>17448</v>
      </c>
      <c r="V5892" s="5" t="s">
        <v>17448</v>
      </c>
      <c r="W5892" s="5" t="s">
        <v>67</v>
      </c>
      <c r="X5892" s="5" t="s">
        <v>67</v>
      </c>
      <c r="Y5892" s="4">
        <v>953</v>
      </c>
      <c r="Z5892" s="4">
        <v>28</v>
      </c>
      <c r="AA5892" s="4">
        <v>30</v>
      </c>
      <c r="AB5892" s="4">
        <v>2</v>
      </c>
      <c r="AC5892" s="4">
        <v>4</v>
      </c>
      <c r="AD5892" s="4">
        <v>45</v>
      </c>
      <c r="AE5892" s="4">
        <v>46</v>
      </c>
      <c r="AF5892" s="4">
        <v>0</v>
      </c>
      <c r="AG5892" s="4">
        <v>1</v>
      </c>
      <c r="AH5892" s="4">
        <v>40</v>
      </c>
      <c r="AI5892" s="4">
        <v>40</v>
      </c>
      <c r="AJ5892" s="4">
        <v>2</v>
      </c>
      <c r="AK5892" s="4">
        <v>3</v>
      </c>
      <c r="AL5892" s="4">
        <v>22</v>
      </c>
      <c r="AM5892" s="4">
        <v>22</v>
      </c>
      <c r="AN5892" s="4">
        <v>0</v>
      </c>
      <c r="AO5892" s="4">
        <v>0</v>
      </c>
      <c r="AP5892" s="4">
        <v>5</v>
      </c>
      <c r="AQ5892" s="4">
        <v>6</v>
      </c>
      <c r="AR5892" s="3" t="s">
        <v>62</v>
      </c>
      <c r="AS5892" s="3" t="s">
        <v>62</v>
      </c>
      <c r="AT5892" s="3" t="s">
        <v>62</v>
      </c>
      <c r="AV5892" s="6" t="str">
        <f>HYPERLINK("http://mcgill.on.worldcat.org/oclc/56990697","Catalog Record")</f>
        <v>Catalog Record</v>
      </c>
      <c r="AW5892" s="6" t="str">
        <f>HYPERLINK("http://www.worldcat.org/oclc/56990697","WorldCat Record")</f>
        <v>WorldCat Record</v>
      </c>
      <c r="AX5892" s="3" t="s">
        <v>55468</v>
      </c>
      <c r="AY5892" s="3" t="s">
        <v>55469</v>
      </c>
      <c r="AZ5892" s="3" t="s">
        <v>55470</v>
      </c>
      <c r="BA5892" s="3" t="s">
        <v>55470</v>
      </c>
      <c r="BB5892" s="3" t="s">
        <v>55471</v>
      </c>
      <c r="BC5892" s="3" t="s">
        <v>33640</v>
      </c>
      <c r="BD5892" s="3" t="s">
        <v>68</v>
      </c>
      <c r="BE5892" s="3" t="s">
        <v>55472</v>
      </c>
      <c r="BF5892" s="3" t="s">
        <v>55471</v>
      </c>
      <c r="BG5892" s="3" t="s">
        <v>55473</v>
      </c>
    </row>
    <row r="5893" spans="1:59" ht="87" x14ac:dyDescent="0.35">
      <c r="A5893" s="2" t="s">
        <v>89</v>
      </c>
      <c r="B5893" s="2" t="s">
        <v>42560</v>
      </c>
      <c r="C5893" s="2" t="s">
        <v>55474</v>
      </c>
      <c r="D5893" s="2" t="s">
        <v>55475</v>
      </c>
      <c r="E5893" s="2" t="s">
        <v>55476</v>
      </c>
      <c r="G5893" s="3" t="s">
        <v>62</v>
      </c>
      <c r="I5893" s="3" t="s">
        <v>62</v>
      </c>
      <c r="J5893" s="3" t="s">
        <v>62</v>
      </c>
      <c r="K5893" s="3" t="s">
        <v>63</v>
      </c>
      <c r="M5893" s="2" t="s">
        <v>55477</v>
      </c>
      <c r="N5893" s="3" t="s">
        <v>625</v>
      </c>
      <c r="P5893" s="3" t="s">
        <v>64</v>
      </c>
      <c r="R5893" s="3" t="s">
        <v>65</v>
      </c>
      <c r="S5893" s="4">
        <v>14</v>
      </c>
      <c r="T5893" s="4">
        <v>14</v>
      </c>
      <c r="U5893" s="5" t="s">
        <v>19715</v>
      </c>
      <c r="V5893" s="5" t="s">
        <v>19715</v>
      </c>
      <c r="W5893" s="5" t="s">
        <v>67</v>
      </c>
      <c r="X5893" s="5" t="s">
        <v>67</v>
      </c>
      <c r="Y5893" s="4">
        <v>8</v>
      </c>
      <c r="Z5893" s="4">
        <v>1</v>
      </c>
      <c r="AA5893" s="4">
        <v>1</v>
      </c>
      <c r="AB5893" s="4">
        <v>1</v>
      </c>
      <c r="AC5893" s="4">
        <v>1</v>
      </c>
      <c r="AD5893" s="4">
        <v>0</v>
      </c>
      <c r="AE5893" s="4">
        <v>0</v>
      </c>
      <c r="AF5893" s="4">
        <v>0</v>
      </c>
      <c r="AG5893" s="4">
        <v>0</v>
      </c>
      <c r="AH5893" s="4">
        <v>0</v>
      </c>
      <c r="AI5893" s="4">
        <v>0</v>
      </c>
      <c r="AJ5893" s="4">
        <v>0</v>
      </c>
      <c r="AK5893" s="4">
        <v>0</v>
      </c>
      <c r="AL5893" s="4">
        <v>0</v>
      </c>
      <c r="AM5893" s="4">
        <v>0</v>
      </c>
      <c r="AN5893" s="4">
        <v>0</v>
      </c>
      <c r="AO5893" s="4">
        <v>0</v>
      </c>
      <c r="AP5893" s="4">
        <v>0</v>
      </c>
      <c r="AQ5893" s="4">
        <v>0</v>
      </c>
      <c r="AR5893" s="3" t="s">
        <v>62</v>
      </c>
      <c r="AS5893" s="3" t="s">
        <v>62</v>
      </c>
      <c r="AT5893" s="3" t="s">
        <v>62</v>
      </c>
      <c r="AV5893" s="6" t="str">
        <f>HYPERLINK("http://mcgill.on.worldcat.org/oclc/61736906","Catalog Record")</f>
        <v>Catalog Record</v>
      </c>
      <c r="AW5893" s="6" t="str">
        <f>HYPERLINK("http://www.worldcat.org/oclc/61736906","WorldCat Record")</f>
        <v>WorldCat Record</v>
      </c>
      <c r="AX5893" s="3" t="s">
        <v>55478</v>
      </c>
      <c r="AY5893" s="3" t="s">
        <v>55479</v>
      </c>
      <c r="AZ5893" s="3" t="s">
        <v>55480</v>
      </c>
      <c r="BA5893" s="3" t="s">
        <v>55480</v>
      </c>
      <c r="BB5893" s="3" t="s">
        <v>55481</v>
      </c>
      <c r="BC5893" s="3" t="s">
        <v>33640</v>
      </c>
      <c r="BD5893" s="3" t="s">
        <v>68</v>
      </c>
      <c r="BF5893" s="3" t="s">
        <v>55481</v>
      </c>
      <c r="BG5893" s="3" t="s">
        <v>55482</v>
      </c>
    </row>
    <row r="5894" spans="1:59" ht="87" x14ac:dyDescent="0.35">
      <c r="A5894" s="2" t="s">
        <v>89</v>
      </c>
      <c r="B5894" s="2" t="s">
        <v>42560</v>
      </c>
      <c r="C5894" s="2" t="s">
        <v>55483</v>
      </c>
      <c r="D5894" s="2" t="s">
        <v>55484</v>
      </c>
      <c r="E5894" s="2" t="s">
        <v>55485</v>
      </c>
      <c r="G5894" s="3" t="s">
        <v>62</v>
      </c>
      <c r="I5894" s="3" t="s">
        <v>62</v>
      </c>
      <c r="J5894" s="3" t="s">
        <v>62</v>
      </c>
      <c r="K5894" s="3" t="s">
        <v>63</v>
      </c>
      <c r="L5894" s="2" t="s">
        <v>10226</v>
      </c>
      <c r="M5894" s="2" t="s">
        <v>55486</v>
      </c>
      <c r="N5894" s="3" t="s">
        <v>1195</v>
      </c>
      <c r="P5894" s="3" t="s">
        <v>64</v>
      </c>
      <c r="R5894" s="3" t="s">
        <v>65</v>
      </c>
      <c r="S5894" s="4">
        <v>43</v>
      </c>
      <c r="T5894" s="4">
        <v>43</v>
      </c>
      <c r="U5894" s="5" t="s">
        <v>12308</v>
      </c>
      <c r="V5894" s="5" t="s">
        <v>12308</v>
      </c>
      <c r="W5894" s="5" t="s">
        <v>67</v>
      </c>
      <c r="X5894" s="5" t="s">
        <v>67</v>
      </c>
      <c r="Y5894" s="4">
        <v>1</v>
      </c>
      <c r="Z5894" s="4">
        <v>1</v>
      </c>
      <c r="AA5894" s="4">
        <v>1</v>
      </c>
      <c r="AB5894" s="4">
        <v>1</v>
      </c>
      <c r="AC5894" s="4">
        <v>1</v>
      </c>
      <c r="AD5894" s="4">
        <v>0</v>
      </c>
      <c r="AE5894" s="4">
        <v>0</v>
      </c>
      <c r="AF5894" s="4">
        <v>0</v>
      </c>
      <c r="AG5894" s="4">
        <v>0</v>
      </c>
      <c r="AH5894" s="4">
        <v>0</v>
      </c>
      <c r="AI5894" s="4">
        <v>0</v>
      </c>
      <c r="AJ5894" s="4">
        <v>0</v>
      </c>
      <c r="AK5894" s="4">
        <v>0</v>
      </c>
      <c r="AL5894" s="4">
        <v>0</v>
      </c>
      <c r="AM5894" s="4">
        <v>0</v>
      </c>
      <c r="AN5894" s="4">
        <v>0</v>
      </c>
      <c r="AO5894" s="4">
        <v>0</v>
      </c>
      <c r="AP5894" s="4">
        <v>0</v>
      </c>
      <c r="AQ5894" s="4">
        <v>0</v>
      </c>
      <c r="AR5894" s="3" t="s">
        <v>61</v>
      </c>
      <c r="AS5894" s="3" t="s">
        <v>62</v>
      </c>
      <c r="AT5894" s="3" t="s">
        <v>62</v>
      </c>
      <c r="AV5894" s="6" t="str">
        <f>HYPERLINK("http://mcgill.on.worldcat.org/oclc/252511193","Catalog Record")</f>
        <v>Catalog Record</v>
      </c>
      <c r="AW5894" s="6" t="str">
        <f>HYPERLINK("http://www.worldcat.org/oclc/252511193","WorldCat Record")</f>
        <v>WorldCat Record</v>
      </c>
      <c r="AX5894" s="3" t="s">
        <v>55487</v>
      </c>
      <c r="AY5894" s="3" t="s">
        <v>55488</v>
      </c>
      <c r="AZ5894" s="3" t="s">
        <v>55489</v>
      </c>
      <c r="BA5894" s="3" t="s">
        <v>55489</v>
      </c>
      <c r="BB5894" s="3" t="s">
        <v>55490</v>
      </c>
      <c r="BC5894" s="3" t="s">
        <v>33640</v>
      </c>
      <c r="BD5894" s="3" t="s">
        <v>68</v>
      </c>
      <c r="BF5894" s="3" t="s">
        <v>55490</v>
      </c>
      <c r="BG5894" s="3" t="s">
        <v>55491</v>
      </c>
    </row>
    <row r="5895" spans="1:59" ht="101.5" x14ac:dyDescent="0.35">
      <c r="A5895" s="2" t="s">
        <v>89</v>
      </c>
      <c r="B5895" s="2" t="s">
        <v>42560</v>
      </c>
      <c r="C5895" s="2" t="s">
        <v>55492</v>
      </c>
      <c r="D5895" s="2" t="s">
        <v>55493</v>
      </c>
      <c r="E5895" s="2" t="s">
        <v>55494</v>
      </c>
      <c r="G5895" s="3" t="s">
        <v>62</v>
      </c>
      <c r="I5895" s="3" t="s">
        <v>62</v>
      </c>
      <c r="J5895" s="3" t="s">
        <v>62</v>
      </c>
      <c r="K5895" s="3" t="s">
        <v>63</v>
      </c>
      <c r="M5895" s="2" t="s">
        <v>55495</v>
      </c>
      <c r="N5895" s="3" t="s">
        <v>553</v>
      </c>
      <c r="P5895" s="3" t="s">
        <v>64</v>
      </c>
      <c r="R5895" s="3" t="s">
        <v>25645</v>
      </c>
      <c r="S5895" s="4">
        <v>32</v>
      </c>
      <c r="T5895" s="4">
        <v>32</v>
      </c>
      <c r="U5895" s="5" t="s">
        <v>27978</v>
      </c>
      <c r="V5895" s="5" t="s">
        <v>27978</v>
      </c>
      <c r="W5895" s="5" t="s">
        <v>67</v>
      </c>
      <c r="X5895" s="5" t="s">
        <v>67</v>
      </c>
      <c r="Y5895" s="4">
        <v>11</v>
      </c>
      <c r="Z5895" s="4">
        <v>1</v>
      </c>
      <c r="AA5895" s="4">
        <v>37</v>
      </c>
      <c r="AB5895" s="4">
        <v>1</v>
      </c>
      <c r="AC5895" s="4">
        <v>5</v>
      </c>
      <c r="AD5895" s="4">
        <v>1</v>
      </c>
      <c r="AE5895" s="4">
        <v>84</v>
      </c>
      <c r="AF5895" s="4">
        <v>0</v>
      </c>
      <c r="AG5895" s="4">
        <v>2</v>
      </c>
      <c r="AH5895" s="4">
        <v>1</v>
      </c>
      <c r="AI5895" s="4">
        <v>73</v>
      </c>
      <c r="AJ5895" s="4">
        <v>0</v>
      </c>
      <c r="AK5895" s="4">
        <v>9</v>
      </c>
      <c r="AL5895" s="4">
        <v>1</v>
      </c>
      <c r="AM5895" s="4">
        <v>41</v>
      </c>
      <c r="AN5895" s="4">
        <v>0</v>
      </c>
      <c r="AO5895" s="4">
        <v>0</v>
      </c>
      <c r="AP5895" s="4">
        <v>0</v>
      </c>
      <c r="AQ5895" s="4">
        <v>16</v>
      </c>
      <c r="AR5895" s="3" t="s">
        <v>62</v>
      </c>
      <c r="AS5895" s="3" t="s">
        <v>62</v>
      </c>
      <c r="AT5895" s="3" t="s">
        <v>62</v>
      </c>
      <c r="AV5895" s="6" t="str">
        <f>HYPERLINK("http://mcgill.on.worldcat.org/oclc/427796449","Catalog Record")</f>
        <v>Catalog Record</v>
      </c>
      <c r="AW5895" s="6" t="str">
        <f>HYPERLINK("http://www.worldcat.org/oclc/427796449","WorldCat Record")</f>
        <v>WorldCat Record</v>
      </c>
      <c r="AX5895" s="3" t="s">
        <v>55496</v>
      </c>
      <c r="AY5895" s="3" t="s">
        <v>55497</v>
      </c>
      <c r="AZ5895" s="3" t="s">
        <v>55498</v>
      </c>
      <c r="BA5895" s="3" t="s">
        <v>55498</v>
      </c>
      <c r="BB5895" s="3" t="s">
        <v>55499</v>
      </c>
      <c r="BC5895" s="3" t="s">
        <v>33640</v>
      </c>
      <c r="BD5895" s="3" t="s">
        <v>68</v>
      </c>
      <c r="BF5895" s="3" t="s">
        <v>55499</v>
      </c>
      <c r="BG5895" s="3" t="s">
        <v>55500</v>
      </c>
    </row>
    <row r="5896" spans="1:59" ht="87" x14ac:dyDescent="0.35">
      <c r="A5896" s="2" t="s">
        <v>89</v>
      </c>
      <c r="B5896" s="2" t="s">
        <v>42560</v>
      </c>
      <c r="C5896" s="2" t="s">
        <v>55501</v>
      </c>
      <c r="D5896" s="2" t="s">
        <v>55502</v>
      </c>
      <c r="E5896" s="2" t="s">
        <v>55503</v>
      </c>
      <c r="G5896" s="3" t="s">
        <v>62</v>
      </c>
      <c r="I5896" s="3" t="s">
        <v>62</v>
      </c>
      <c r="J5896" s="3" t="s">
        <v>62</v>
      </c>
      <c r="K5896" s="3" t="s">
        <v>63</v>
      </c>
      <c r="M5896" s="2" t="s">
        <v>55504</v>
      </c>
      <c r="N5896" s="3" t="s">
        <v>1722</v>
      </c>
      <c r="P5896" s="3" t="s">
        <v>1760</v>
      </c>
      <c r="R5896" s="3" t="s">
        <v>65</v>
      </c>
      <c r="S5896" s="4">
        <v>12</v>
      </c>
      <c r="T5896" s="4">
        <v>12</v>
      </c>
      <c r="U5896" s="5" t="s">
        <v>51363</v>
      </c>
      <c r="V5896" s="5" t="s">
        <v>51363</v>
      </c>
      <c r="W5896" s="5" t="s">
        <v>67</v>
      </c>
      <c r="X5896" s="5" t="s">
        <v>67</v>
      </c>
      <c r="Y5896" s="4">
        <v>3</v>
      </c>
      <c r="Z5896" s="4">
        <v>1</v>
      </c>
      <c r="AA5896" s="4">
        <v>1</v>
      </c>
      <c r="AB5896" s="4">
        <v>1</v>
      </c>
      <c r="AC5896" s="4">
        <v>1</v>
      </c>
      <c r="AD5896" s="4">
        <v>1</v>
      </c>
      <c r="AE5896" s="4">
        <v>4</v>
      </c>
      <c r="AF5896" s="4">
        <v>0</v>
      </c>
      <c r="AG5896" s="4">
        <v>0</v>
      </c>
      <c r="AH5896" s="4">
        <v>1</v>
      </c>
      <c r="AI5896" s="4">
        <v>4</v>
      </c>
      <c r="AJ5896" s="4">
        <v>0</v>
      </c>
      <c r="AK5896" s="4">
        <v>0</v>
      </c>
      <c r="AL5896" s="4">
        <v>1</v>
      </c>
      <c r="AM5896" s="4">
        <v>3</v>
      </c>
      <c r="AN5896" s="4">
        <v>0</v>
      </c>
      <c r="AO5896" s="4">
        <v>0</v>
      </c>
      <c r="AP5896" s="4">
        <v>0</v>
      </c>
      <c r="AQ5896" s="4">
        <v>0</v>
      </c>
      <c r="AR5896" s="3" t="s">
        <v>62</v>
      </c>
      <c r="AS5896" s="3" t="s">
        <v>62</v>
      </c>
      <c r="AT5896" s="3" t="s">
        <v>62</v>
      </c>
      <c r="AV5896" s="6" t="str">
        <f>HYPERLINK("http://mcgill.on.worldcat.org/oclc/316161717","Catalog Record")</f>
        <v>Catalog Record</v>
      </c>
      <c r="AW5896" s="6" t="str">
        <f>HYPERLINK("http://www.worldcat.org/oclc/316161717","WorldCat Record")</f>
        <v>WorldCat Record</v>
      </c>
      <c r="AX5896" s="3" t="s">
        <v>55505</v>
      </c>
      <c r="AY5896" s="3" t="s">
        <v>55506</v>
      </c>
      <c r="AZ5896" s="3" t="s">
        <v>55507</v>
      </c>
      <c r="BA5896" s="3" t="s">
        <v>55507</v>
      </c>
      <c r="BB5896" s="3" t="s">
        <v>55508</v>
      </c>
      <c r="BC5896" s="3" t="s">
        <v>33640</v>
      </c>
      <c r="BD5896" s="3" t="s">
        <v>68</v>
      </c>
      <c r="BE5896" s="3" t="s">
        <v>55509</v>
      </c>
      <c r="BF5896" s="3" t="s">
        <v>55508</v>
      </c>
      <c r="BG5896" s="3" t="s">
        <v>55510</v>
      </c>
    </row>
    <row r="5897" spans="1:59" ht="87" x14ac:dyDescent="0.35">
      <c r="A5897" s="2" t="s">
        <v>89</v>
      </c>
      <c r="B5897" s="2" t="s">
        <v>42560</v>
      </c>
      <c r="C5897" s="2" t="s">
        <v>55511</v>
      </c>
      <c r="D5897" s="2" t="s">
        <v>55512</v>
      </c>
      <c r="E5897" s="2" t="s">
        <v>55513</v>
      </c>
      <c r="G5897" s="3" t="s">
        <v>62</v>
      </c>
      <c r="I5897" s="3" t="s">
        <v>62</v>
      </c>
      <c r="J5897" s="3" t="s">
        <v>62</v>
      </c>
      <c r="K5897" s="3" t="s">
        <v>63</v>
      </c>
      <c r="M5897" s="2" t="s">
        <v>55514</v>
      </c>
      <c r="N5897" s="3" t="s">
        <v>2985</v>
      </c>
      <c r="O5897" s="2" t="s">
        <v>55515</v>
      </c>
      <c r="P5897" s="3" t="s">
        <v>64</v>
      </c>
      <c r="R5897" s="3" t="s">
        <v>65</v>
      </c>
      <c r="S5897" s="4">
        <v>3</v>
      </c>
      <c r="T5897" s="4">
        <v>3</v>
      </c>
      <c r="U5897" s="5" t="s">
        <v>34157</v>
      </c>
      <c r="V5897" s="5" t="s">
        <v>34157</v>
      </c>
      <c r="W5897" s="5" t="s">
        <v>67</v>
      </c>
      <c r="X5897" s="5" t="s">
        <v>67</v>
      </c>
      <c r="Y5897" s="4">
        <v>6</v>
      </c>
      <c r="Z5897" s="4">
        <v>2</v>
      </c>
      <c r="AA5897" s="4">
        <v>2</v>
      </c>
      <c r="AB5897" s="4">
        <v>1</v>
      </c>
      <c r="AC5897" s="4">
        <v>1</v>
      </c>
      <c r="AD5897" s="4">
        <v>1</v>
      </c>
      <c r="AE5897" s="4">
        <v>3</v>
      </c>
      <c r="AF5897" s="4">
        <v>0</v>
      </c>
      <c r="AG5897" s="4">
        <v>0</v>
      </c>
      <c r="AH5897" s="4">
        <v>1</v>
      </c>
      <c r="AI5897" s="4">
        <v>3</v>
      </c>
      <c r="AJ5897" s="4">
        <v>1</v>
      </c>
      <c r="AK5897" s="4">
        <v>1</v>
      </c>
      <c r="AL5897" s="4">
        <v>0</v>
      </c>
      <c r="AM5897" s="4">
        <v>0</v>
      </c>
      <c r="AN5897" s="4">
        <v>0</v>
      </c>
      <c r="AO5897" s="4">
        <v>0</v>
      </c>
      <c r="AP5897" s="4">
        <v>1</v>
      </c>
      <c r="AQ5897" s="4">
        <v>1</v>
      </c>
      <c r="AR5897" s="3" t="s">
        <v>62</v>
      </c>
      <c r="AS5897" s="3" t="s">
        <v>62</v>
      </c>
      <c r="AT5897" s="3" t="s">
        <v>62</v>
      </c>
      <c r="AV5897" s="6" t="str">
        <f>HYPERLINK("http://mcgill.on.worldcat.org/oclc/535817506","Catalog Record")</f>
        <v>Catalog Record</v>
      </c>
      <c r="AW5897" s="6" t="str">
        <f>HYPERLINK("http://www.worldcat.org/oclc/535817506","WorldCat Record")</f>
        <v>WorldCat Record</v>
      </c>
      <c r="AX5897" s="3" t="s">
        <v>55516</v>
      </c>
      <c r="AY5897" s="3" t="s">
        <v>55517</v>
      </c>
      <c r="AZ5897" s="3" t="s">
        <v>55518</v>
      </c>
      <c r="BA5897" s="3" t="s">
        <v>55518</v>
      </c>
      <c r="BB5897" s="3" t="s">
        <v>55519</v>
      </c>
      <c r="BC5897" s="3" t="s">
        <v>33640</v>
      </c>
      <c r="BD5897" s="3" t="s">
        <v>68</v>
      </c>
      <c r="BF5897" s="3" t="s">
        <v>55519</v>
      </c>
      <c r="BG5897" s="3" t="s">
        <v>55520</v>
      </c>
    </row>
    <row r="5898" spans="1:59" ht="87" x14ac:dyDescent="0.35">
      <c r="A5898" s="2" t="s">
        <v>89</v>
      </c>
      <c r="B5898" s="2" t="s">
        <v>42560</v>
      </c>
      <c r="C5898" s="2" t="s">
        <v>55521</v>
      </c>
      <c r="D5898" s="2" t="s">
        <v>55522</v>
      </c>
      <c r="E5898" s="2" t="s">
        <v>55523</v>
      </c>
      <c r="G5898" s="3" t="s">
        <v>62</v>
      </c>
      <c r="I5898" s="3" t="s">
        <v>62</v>
      </c>
      <c r="J5898" s="3" t="s">
        <v>62</v>
      </c>
      <c r="K5898" s="3" t="s">
        <v>63</v>
      </c>
      <c r="M5898" s="2" t="s">
        <v>55524</v>
      </c>
      <c r="N5898" s="3" t="s">
        <v>1195</v>
      </c>
      <c r="P5898" s="3" t="s">
        <v>64</v>
      </c>
      <c r="R5898" s="3" t="s">
        <v>13065</v>
      </c>
      <c r="S5898" s="4">
        <v>11</v>
      </c>
      <c r="T5898" s="4">
        <v>11</v>
      </c>
      <c r="U5898" s="5" t="s">
        <v>33056</v>
      </c>
      <c r="V5898" s="5" t="s">
        <v>33056</v>
      </c>
      <c r="W5898" s="5" t="s">
        <v>67</v>
      </c>
      <c r="X5898" s="5" t="s">
        <v>67</v>
      </c>
      <c r="Y5898" s="4">
        <v>33</v>
      </c>
      <c r="Z5898" s="4">
        <v>2</v>
      </c>
      <c r="AA5898" s="4">
        <v>42</v>
      </c>
      <c r="AB5898" s="4">
        <v>1</v>
      </c>
      <c r="AC5898" s="4">
        <v>2</v>
      </c>
      <c r="AD5898" s="4">
        <v>4</v>
      </c>
      <c r="AE5898" s="4">
        <v>52</v>
      </c>
      <c r="AF5898" s="4">
        <v>0</v>
      </c>
      <c r="AG5898" s="4">
        <v>0</v>
      </c>
      <c r="AH5898" s="4">
        <v>4</v>
      </c>
      <c r="AI5898" s="4">
        <v>40</v>
      </c>
      <c r="AJ5898" s="4">
        <v>0</v>
      </c>
      <c r="AK5898" s="4">
        <v>6</v>
      </c>
      <c r="AL5898" s="4">
        <v>4</v>
      </c>
      <c r="AM5898" s="4">
        <v>18</v>
      </c>
      <c r="AN5898" s="4">
        <v>0</v>
      </c>
      <c r="AO5898" s="4">
        <v>0</v>
      </c>
      <c r="AP5898" s="4">
        <v>0</v>
      </c>
      <c r="AQ5898" s="4">
        <v>16</v>
      </c>
      <c r="AR5898" s="3" t="s">
        <v>62</v>
      </c>
      <c r="AS5898" s="3" t="s">
        <v>62</v>
      </c>
      <c r="AT5898" s="3" t="s">
        <v>62</v>
      </c>
      <c r="AV5898" s="6" t="str">
        <f>HYPERLINK("http://mcgill.on.worldcat.org/oclc/70781950","Catalog Record")</f>
        <v>Catalog Record</v>
      </c>
      <c r="AW5898" s="6" t="str">
        <f>HYPERLINK("http://www.worldcat.org/oclc/70781950","WorldCat Record")</f>
        <v>WorldCat Record</v>
      </c>
      <c r="AX5898" s="3" t="s">
        <v>55525</v>
      </c>
      <c r="AY5898" s="3" t="s">
        <v>55526</v>
      </c>
      <c r="AZ5898" s="3" t="s">
        <v>55527</v>
      </c>
      <c r="BA5898" s="3" t="s">
        <v>55527</v>
      </c>
      <c r="BB5898" s="3" t="s">
        <v>55528</v>
      </c>
      <c r="BC5898" s="3" t="s">
        <v>33640</v>
      </c>
      <c r="BD5898" s="3" t="s">
        <v>68</v>
      </c>
      <c r="BF5898" s="3" t="s">
        <v>55528</v>
      </c>
      <c r="BG5898" s="3" t="s">
        <v>55529</v>
      </c>
    </row>
    <row r="5899" spans="1:59" ht="87" x14ac:dyDescent="0.35">
      <c r="A5899" s="2" t="s">
        <v>89</v>
      </c>
      <c r="B5899" s="2" t="s">
        <v>42560</v>
      </c>
      <c r="C5899" s="2" t="s">
        <v>55530</v>
      </c>
      <c r="D5899" s="2" t="s">
        <v>55531</v>
      </c>
      <c r="E5899" s="2" t="s">
        <v>55532</v>
      </c>
      <c r="F5899" s="3" t="s">
        <v>55533</v>
      </c>
      <c r="G5899" s="3" t="s">
        <v>61</v>
      </c>
      <c r="I5899" s="3" t="s">
        <v>62</v>
      </c>
      <c r="J5899" s="3" t="s">
        <v>62</v>
      </c>
      <c r="K5899" s="3" t="s">
        <v>63</v>
      </c>
      <c r="M5899" s="2" t="s">
        <v>55534</v>
      </c>
      <c r="N5899" s="3" t="s">
        <v>2136</v>
      </c>
      <c r="O5899" s="2" t="s">
        <v>55535</v>
      </c>
      <c r="P5899" s="3" t="s">
        <v>64</v>
      </c>
      <c r="Q5899" s="2" t="s">
        <v>55536</v>
      </c>
      <c r="R5899" s="3" t="s">
        <v>13065</v>
      </c>
      <c r="S5899" s="4">
        <v>5</v>
      </c>
      <c r="T5899" s="4">
        <v>74</v>
      </c>
      <c r="U5899" s="5" t="s">
        <v>55537</v>
      </c>
      <c r="V5899" s="5" t="s">
        <v>17936</v>
      </c>
      <c r="W5899" s="5" t="s">
        <v>67</v>
      </c>
      <c r="X5899" s="5" t="s">
        <v>67</v>
      </c>
      <c r="Y5899" s="4">
        <v>69</v>
      </c>
      <c r="Z5899" s="4">
        <v>3</v>
      </c>
      <c r="AA5899" s="4">
        <v>3</v>
      </c>
      <c r="AB5899" s="4">
        <v>1</v>
      </c>
      <c r="AC5899" s="4">
        <v>1</v>
      </c>
      <c r="AD5899" s="4">
        <v>5</v>
      </c>
      <c r="AE5899" s="4">
        <v>5</v>
      </c>
      <c r="AF5899" s="4">
        <v>0</v>
      </c>
      <c r="AG5899" s="4">
        <v>0</v>
      </c>
      <c r="AH5899" s="4">
        <v>4</v>
      </c>
      <c r="AI5899" s="4">
        <v>4</v>
      </c>
      <c r="AJ5899" s="4">
        <v>1</v>
      </c>
      <c r="AK5899" s="4">
        <v>1</v>
      </c>
      <c r="AL5899" s="4">
        <v>2</v>
      </c>
      <c r="AM5899" s="4">
        <v>2</v>
      </c>
      <c r="AN5899" s="4">
        <v>0</v>
      </c>
      <c r="AO5899" s="4">
        <v>0</v>
      </c>
      <c r="AP5899" s="4">
        <v>2</v>
      </c>
      <c r="AQ5899" s="4">
        <v>2</v>
      </c>
      <c r="AR5899" s="3" t="s">
        <v>62</v>
      </c>
      <c r="AS5899" s="3" t="s">
        <v>62</v>
      </c>
      <c r="AT5899" s="3" t="s">
        <v>62</v>
      </c>
      <c r="AV5899" s="6" t="str">
        <f t="shared" ref="AV5899:AV5907" si="103">HYPERLINK("http://mcgill.on.worldcat.org/oclc/68187480","Catalog Record")</f>
        <v>Catalog Record</v>
      </c>
      <c r="AW5899" s="6" t="str">
        <f t="shared" ref="AW5899:AW5907" si="104">HYPERLINK("http://www.worldcat.org/oclc/68187480","WorldCat Record")</f>
        <v>WorldCat Record</v>
      </c>
      <c r="AX5899" s="3" t="s">
        <v>55538</v>
      </c>
      <c r="AY5899" s="3" t="s">
        <v>55539</v>
      </c>
      <c r="AZ5899" s="3" t="s">
        <v>55540</v>
      </c>
      <c r="BA5899" s="3" t="s">
        <v>55540</v>
      </c>
      <c r="BB5899" s="3" t="s">
        <v>55541</v>
      </c>
      <c r="BC5899" s="3" t="s">
        <v>33640</v>
      </c>
      <c r="BD5899" s="3" t="s">
        <v>68</v>
      </c>
      <c r="BE5899" s="3" t="s">
        <v>55542</v>
      </c>
      <c r="BF5899" s="3" t="s">
        <v>55541</v>
      </c>
      <c r="BG5899" s="3" t="s">
        <v>55543</v>
      </c>
    </row>
    <row r="5900" spans="1:59" ht="87" x14ac:dyDescent="0.35">
      <c r="A5900" s="2" t="s">
        <v>89</v>
      </c>
      <c r="B5900" s="2" t="s">
        <v>42560</v>
      </c>
      <c r="C5900" s="2" t="s">
        <v>55530</v>
      </c>
      <c r="D5900" s="2" t="s">
        <v>55531</v>
      </c>
      <c r="E5900" s="2" t="s">
        <v>55532</v>
      </c>
      <c r="F5900" s="3" t="s">
        <v>55544</v>
      </c>
      <c r="G5900" s="3" t="s">
        <v>61</v>
      </c>
      <c r="I5900" s="3" t="s">
        <v>62</v>
      </c>
      <c r="J5900" s="3" t="s">
        <v>62</v>
      </c>
      <c r="K5900" s="3" t="s">
        <v>63</v>
      </c>
      <c r="M5900" s="2" t="s">
        <v>55534</v>
      </c>
      <c r="N5900" s="3" t="s">
        <v>2136</v>
      </c>
      <c r="O5900" s="2" t="s">
        <v>55535</v>
      </c>
      <c r="P5900" s="3" t="s">
        <v>64</v>
      </c>
      <c r="Q5900" s="2" t="s">
        <v>55536</v>
      </c>
      <c r="R5900" s="3" t="s">
        <v>13065</v>
      </c>
      <c r="S5900" s="4">
        <v>4</v>
      </c>
      <c r="T5900" s="4">
        <v>74</v>
      </c>
      <c r="U5900" s="5" t="s">
        <v>55545</v>
      </c>
      <c r="V5900" s="5" t="s">
        <v>17936</v>
      </c>
      <c r="W5900" s="5" t="s">
        <v>67</v>
      </c>
      <c r="X5900" s="5" t="s">
        <v>67</v>
      </c>
      <c r="Y5900" s="4">
        <v>69</v>
      </c>
      <c r="Z5900" s="4">
        <v>3</v>
      </c>
      <c r="AA5900" s="4">
        <v>3</v>
      </c>
      <c r="AB5900" s="4">
        <v>1</v>
      </c>
      <c r="AC5900" s="4">
        <v>1</v>
      </c>
      <c r="AD5900" s="4">
        <v>5</v>
      </c>
      <c r="AE5900" s="4">
        <v>5</v>
      </c>
      <c r="AF5900" s="4">
        <v>0</v>
      </c>
      <c r="AG5900" s="4">
        <v>0</v>
      </c>
      <c r="AH5900" s="4">
        <v>4</v>
      </c>
      <c r="AI5900" s="4">
        <v>4</v>
      </c>
      <c r="AJ5900" s="4">
        <v>1</v>
      </c>
      <c r="AK5900" s="4">
        <v>1</v>
      </c>
      <c r="AL5900" s="4">
        <v>2</v>
      </c>
      <c r="AM5900" s="4">
        <v>2</v>
      </c>
      <c r="AN5900" s="4">
        <v>0</v>
      </c>
      <c r="AO5900" s="4">
        <v>0</v>
      </c>
      <c r="AP5900" s="4">
        <v>2</v>
      </c>
      <c r="AQ5900" s="4">
        <v>2</v>
      </c>
      <c r="AR5900" s="3" t="s">
        <v>62</v>
      </c>
      <c r="AS5900" s="3" t="s">
        <v>62</v>
      </c>
      <c r="AT5900" s="3" t="s">
        <v>62</v>
      </c>
      <c r="AV5900" s="6" t="str">
        <f t="shared" si="103"/>
        <v>Catalog Record</v>
      </c>
      <c r="AW5900" s="6" t="str">
        <f t="shared" si="104"/>
        <v>WorldCat Record</v>
      </c>
      <c r="AX5900" s="3" t="s">
        <v>55538</v>
      </c>
      <c r="AY5900" s="3" t="s">
        <v>55539</v>
      </c>
      <c r="AZ5900" s="3" t="s">
        <v>55540</v>
      </c>
      <c r="BA5900" s="3" t="s">
        <v>55540</v>
      </c>
      <c r="BB5900" s="3" t="s">
        <v>55546</v>
      </c>
      <c r="BC5900" s="3" t="s">
        <v>33640</v>
      </c>
      <c r="BD5900" s="3" t="s">
        <v>68</v>
      </c>
      <c r="BE5900" s="3" t="s">
        <v>55542</v>
      </c>
      <c r="BF5900" s="3" t="s">
        <v>55546</v>
      </c>
      <c r="BG5900" s="3" t="s">
        <v>55547</v>
      </c>
    </row>
    <row r="5901" spans="1:59" ht="87" x14ac:dyDescent="0.35">
      <c r="A5901" s="2" t="s">
        <v>89</v>
      </c>
      <c r="B5901" s="2" t="s">
        <v>42560</v>
      </c>
      <c r="C5901" s="2" t="s">
        <v>55530</v>
      </c>
      <c r="D5901" s="2" t="s">
        <v>55531</v>
      </c>
      <c r="E5901" s="2" t="s">
        <v>55532</v>
      </c>
      <c r="F5901" s="3" t="s">
        <v>55548</v>
      </c>
      <c r="G5901" s="3" t="s">
        <v>61</v>
      </c>
      <c r="I5901" s="3" t="s">
        <v>62</v>
      </c>
      <c r="J5901" s="3" t="s">
        <v>62</v>
      </c>
      <c r="K5901" s="3" t="s">
        <v>63</v>
      </c>
      <c r="M5901" s="2" t="s">
        <v>55534</v>
      </c>
      <c r="N5901" s="3" t="s">
        <v>2136</v>
      </c>
      <c r="O5901" s="2" t="s">
        <v>55535</v>
      </c>
      <c r="P5901" s="3" t="s">
        <v>64</v>
      </c>
      <c r="Q5901" s="2" t="s">
        <v>55536</v>
      </c>
      <c r="R5901" s="3" t="s">
        <v>13065</v>
      </c>
      <c r="S5901" s="4">
        <v>17</v>
      </c>
      <c r="T5901" s="4">
        <v>74</v>
      </c>
      <c r="U5901" s="5" t="s">
        <v>54826</v>
      </c>
      <c r="V5901" s="5" t="s">
        <v>17936</v>
      </c>
      <c r="W5901" s="5" t="s">
        <v>67</v>
      </c>
      <c r="X5901" s="5" t="s">
        <v>67</v>
      </c>
      <c r="Y5901" s="4">
        <v>69</v>
      </c>
      <c r="Z5901" s="4">
        <v>3</v>
      </c>
      <c r="AA5901" s="4">
        <v>3</v>
      </c>
      <c r="AB5901" s="4">
        <v>1</v>
      </c>
      <c r="AC5901" s="4">
        <v>1</v>
      </c>
      <c r="AD5901" s="4">
        <v>5</v>
      </c>
      <c r="AE5901" s="4">
        <v>5</v>
      </c>
      <c r="AF5901" s="4">
        <v>0</v>
      </c>
      <c r="AG5901" s="4">
        <v>0</v>
      </c>
      <c r="AH5901" s="4">
        <v>4</v>
      </c>
      <c r="AI5901" s="4">
        <v>4</v>
      </c>
      <c r="AJ5901" s="4">
        <v>1</v>
      </c>
      <c r="AK5901" s="4">
        <v>1</v>
      </c>
      <c r="AL5901" s="4">
        <v>2</v>
      </c>
      <c r="AM5901" s="4">
        <v>2</v>
      </c>
      <c r="AN5901" s="4">
        <v>0</v>
      </c>
      <c r="AO5901" s="4">
        <v>0</v>
      </c>
      <c r="AP5901" s="4">
        <v>2</v>
      </c>
      <c r="AQ5901" s="4">
        <v>2</v>
      </c>
      <c r="AR5901" s="3" t="s">
        <v>62</v>
      </c>
      <c r="AS5901" s="3" t="s">
        <v>62</v>
      </c>
      <c r="AT5901" s="3" t="s">
        <v>62</v>
      </c>
      <c r="AV5901" s="6" t="str">
        <f t="shared" si="103"/>
        <v>Catalog Record</v>
      </c>
      <c r="AW5901" s="6" t="str">
        <f t="shared" si="104"/>
        <v>WorldCat Record</v>
      </c>
      <c r="AX5901" s="3" t="s">
        <v>55538</v>
      </c>
      <c r="AY5901" s="3" t="s">
        <v>55539</v>
      </c>
      <c r="AZ5901" s="3" t="s">
        <v>55540</v>
      </c>
      <c r="BA5901" s="3" t="s">
        <v>55540</v>
      </c>
      <c r="BB5901" s="3" t="s">
        <v>55549</v>
      </c>
      <c r="BC5901" s="3" t="s">
        <v>33640</v>
      </c>
      <c r="BD5901" s="3" t="s">
        <v>68</v>
      </c>
      <c r="BE5901" s="3" t="s">
        <v>55542</v>
      </c>
      <c r="BF5901" s="3" t="s">
        <v>55549</v>
      </c>
      <c r="BG5901" s="3" t="s">
        <v>55550</v>
      </c>
    </row>
    <row r="5902" spans="1:59" ht="87" x14ac:dyDescent="0.35">
      <c r="A5902" s="2" t="s">
        <v>89</v>
      </c>
      <c r="B5902" s="2" t="s">
        <v>42560</v>
      </c>
      <c r="C5902" s="2" t="s">
        <v>55530</v>
      </c>
      <c r="D5902" s="2" t="s">
        <v>55531</v>
      </c>
      <c r="E5902" s="2" t="s">
        <v>55532</v>
      </c>
      <c r="F5902" s="3" t="s">
        <v>55551</v>
      </c>
      <c r="G5902" s="3" t="s">
        <v>61</v>
      </c>
      <c r="I5902" s="3" t="s">
        <v>62</v>
      </c>
      <c r="J5902" s="3" t="s">
        <v>62</v>
      </c>
      <c r="K5902" s="3" t="s">
        <v>63</v>
      </c>
      <c r="M5902" s="2" t="s">
        <v>55534</v>
      </c>
      <c r="N5902" s="3" t="s">
        <v>2136</v>
      </c>
      <c r="O5902" s="2" t="s">
        <v>55535</v>
      </c>
      <c r="P5902" s="3" t="s">
        <v>64</v>
      </c>
      <c r="Q5902" s="2" t="s">
        <v>55536</v>
      </c>
      <c r="R5902" s="3" t="s">
        <v>13065</v>
      </c>
      <c r="S5902" s="4">
        <v>11</v>
      </c>
      <c r="T5902" s="4">
        <v>74</v>
      </c>
      <c r="U5902" s="5" t="s">
        <v>19715</v>
      </c>
      <c r="V5902" s="5" t="s">
        <v>17936</v>
      </c>
      <c r="W5902" s="5" t="s">
        <v>67</v>
      </c>
      <c r="X5902" s="5" t="s">
        <v>67</v>
      </c>
      <c r="Y5902" s="4">
        <v>69</v>
      </c>
      <c r="Z5902" s="4">
        <v>3</v>
      </c>
      <c r="AA5902" s="4">
        <v>3</v>
      </c>
      <c r="AB5902" s="4">
        <v>1</v>
      </c>
      <c r="AC5902" s="4">
        <v>1</v>
      </c>
      <c r="AD5902" s="4">
        <v>5</v>
      </c>
      <c r="AE5902" s="4">
        <v>5</v>
      </c>
      <c r="AF5902" s="4">
        <v>0</v>
      </c>
      <c r="AG5902" s="4">
        <v>0</v>
      </c>
      <c r="AH5902" s="4">
        <v>4</v>
      </c>
      <c r="AI5902" s="4">
        <v>4</v>
      </c>
      <c r="AJ5902" s="4">
        <v>1</v>
      </c>
      <c r="AK5902" s="4">
        <v>1</v>
      </c>
      <c r="AL5902" s="4">
        <v>2</v>
      </c>
      <c r="AM5902" s="4">
        <v>2</v>
      </c>
      <c r="AN5902" s="4">
        <v>0</v>
      </c>
      <c r="AO5902" s="4">
        <v>0</v>
      </c>
      <c r="AP5902" s="4">
        <v>2</v>
      </c>
      <c r="AQ5902" s="4">
        <v>2</v>
      </c>
      <c r="AR5902" s="3" t="s">
        <v>62</v>
      </c>
      <c r="AS5902" s="3" t="s">
        <v>62</v>
      </c>
      <c r="AT5902" s="3" t="s">
        <v>62</v>
      </c>
      <c r="AV5902" s="6" t="str">
        <f t="shared" si="103"/>
        <v>Catalog Record</v>
      </c>
      <c r="AW5902" s="6" t="str">
        <f t="shared" si="104"/>
        <v>WorldCat Record</v>
      </c>
      <c r="AX5902" s="3" t="s">
        <v>55538</v>
      </c>
      <c r="AY5902" s="3" t="s">
        <v>55539</v>
      </c>
      <c r="AZ5902" s="3" t="s">
        <v>55540</v>
      </c>
      <c r="BA5902" s="3" t="s">
        <v>55540</v>
      </c>
      <c r="BB5902" s="3" t="s">
        <v>55552</v>
      </c>
      <c r="BC5902" s="3" t="s">
        <v>33640</v>
      </c>
      <c r="BD5902" s="3" t="s">
        <v>68</v>
      </c>
      <c r="BE5902" s="3" t="s">
        <v>55542</v>
      </c>
      <c r="BF5902" s="3" t="s">
        <v>55552</v>
      </c>
      <c r="BG5902" s="3" t="s">
        <v>55553</v>
      </c>
    </row>
    <row r="5903" spans="1:59" ht="87" x14ac:dyDescent="0.35">
      <c r="A5903" s="2" t="s">
        <v>89</v>
      </c>
      <c r="B5903" s="2" t="s">
        <v>42560</v>
      </c>
      <c r="C5903" s="2" t="s">
        <v>55530</v>
      </c>
      <c r="D5903" s="2" t="s">
        <v>55531</v>
      </c>
      <c r="E5903" s="2" t="s">
        <v>55532</v>
      </c>
      <c r="F5903" s="3" t="s">
        <v>55554</v>
      </c>
      <c r="G5903" s="3" t="s">
        <v>61</v>
      </c>
      <c r="I5903" s="3" t="s">
        <v>62</v>
      </c>
      <c r="J5903" s="3" t="s">
        <v>62</v>
      </c>
      <c r="K5903" s="3" t="s">
        <v>63</v>
      </c>
      <c r="M5903" s="2" t="s">
        <v>55534</v>
      </c>
      <c r="N5903" s="3" t="s">
        <v>2136</v>
      </c>
      <c r="O5903" s="2" t="s">
        <v>55535</v>
      </c>
      <c r="P5903" s="3" t="s">
        <v>64</v>
      </c>
      <c r="Q5903" s="2" t="s">
        <v>55536</v>
      </c>
      <c r="R5903" s="3" t="s">
        <v>13065</v>
      </c>
      <c r="S5903" s="4">
        <v>4</v>
      </c>
      <c r="T5903" s="4">
        <v>74</v>
      </c>
      <c r="U5903" s="5" t="s">
        <v>55537</v>
      </c>
      <c r="V5903" s="5" t="s">
        <v>17936</v>
      </c>
      <c r="W5903" s="5" t="s">
        <v>67</v>
      </c>
      <c r="X5903" s="5" t="s">
        <v>67</v>
      </c>
      <c r="Y5903" s="4">
        <v>69</v>
      </c>
      <c r="Z5903" s="4">
        <v>3</v>
      </c>
      <c r="AA5903" s="4">
        <v>3</v>
      </c>
      <c r="AB5903" s="4">
        <v>1</v>
      </c>
      <c r="AC5903" s="4">
        <v>1</v>
      </c>
      <c r="AD5903" s="4">
        <v>5</v>
      </c>
      <c r="AE5903" s="4">
        <v>5</v>
      </c>
      <c r="AF5903" s="4">
        <v>0</v>
      </c>
      <c r="AG5903" s="4">
        <v>0</v>
      </c>
      <c r="AH5903" s="4">
        <v>4</v>
      </c>
      <c r="AI5903" s="4">
        <v>4</v>
      </c>
      <c r="AJ5903" s="4">
        <v>1</v>
      </c>
      <c r="AK5903" s="4">
        <v>1</v>
      </c>
      <c r="AL5903" s="4">
        <v>2</v>
      </c>
      <c r="AM5903" s="4">
        <v>2</v>
      </c>
      <c r="AN5903" s="4">
        <v>0</v>
      </c>
      <c r="AO5903" s="4">
        <v>0</v>
      </c>
      <c r="AP5903" s="4">
        <v>2</v>
      </c>
      <c r="AQ5903" s="4">
        <v>2</v>
      </c>
      <c r="AR5903" s="3" t="s">
        <v>62</v>
      </c>
      <c r="AS5903" s="3" t="s">
        <v>62</v>
      </c>
      <c r="AT5903" s="3" t="s">
        <v>62</v>
      </c>
      <c r="AV5903" s="6" t="str">
        <f t="shared" si="103"/>
        <v>Catalog Record</v>
      </c>
      <c r="AW5903" s="6" t="str">
        <f t="shared" si="104"/>
        <v>WorldCat Record</v>
      </c>
      <c r="AX5903" s="3" t="s">
        <v>55538</v>
      </c>
      <c r="AY5903" s="3" t="s">
        <v>55539</v>
      </c>
      <c r="AZ5903" s="3" t="s">
        <v>55540</v>
      </c>
      <c r="BA5903" s="3" t="s">
        <v>55540</v>
      </c>
      <c r="BB5903" s="3" t="s">
        <v>55555</v>
      </c>
      <c r="BC5903" s="3" t="s">
        <v>33640</v>
      </c>
      <c r="BD5903" s="3" t="s">
        <v>68</v>
      </c>
      <c r="BE5903" s="3" t="s">
        <v>55542</v>
      </c>
      <c r="BF5903" s="3" t="s">
        <v>55555</v>
      </c>
      <c r="BG5903" s="3" t="s">
        <v>55556</v>
      </c>
    </row>
    <row r="5904" spans="1:59" ht="87" x14ac:dyDescent="0.35">
      <c r="A5904" s="2" t="s">
        <v>89</v>
      </c>
      <c r="B5904" s="2" t="s">
        <v>42560</v>
      </c>
      <c r="C5904" s="2" t="s">
        <v>55530</v>
      </c>
      <c r="D5904" s="2" t="s">
        <v>55531</v>
      </c>
      <c r="E5904" s="2" t="s">
        <v>55532</v>
      </c>
      <c r="F5904" s="3" t="s">
        <v>55557</v>
      </c>
      <c r="G5904" s="3" t="s">
        <v>61</v>
      </c>
      <c r="I5904" s="3" t="s">
        <v>62</v>
      </c>
      <c r="J5904" s="3" t="s">
        <v>62</v>
      </c>
      <c r="K5904" s="3" t="s">
        <v>63</v>
      </c>
      <c r="M5904" s="2" t="s">
        <v>55534</v>
      </c>
      <c r="N5904" s="3" t="s">
        <v>2136</v>
      </c>
      <c r="O5904" s="2" t="s">
        <v>55535</v>
      </c>
      <c r="P5904" s="3" t="s">
        <v>64</v>
      </c>
      <c r="Q5904" s="2" t="s">
        <v>55536</v>
      </c>
      <c r="R5904" s="3" t="s">
        <v>13065</v>
      </c>
      <c r="S5904" s="4">
        <v>7</v>
      </c>
      <c r="T5904" s="4">
        <v>74</v>
      </c>
      <c r="U5904" s="5" t="s">
        <v>55558</v>
      </c>
      <c r="V5904" s="5" t="s">
        <v>17936</v>
      </c>
      <c r="W5904" s="5" t="s">
        <v>67</v>
      </c>
      <c r="X5904" s="5" t="s">
        <v>67</v>
      </c>
      <c r="Y5904" s="4">
        <v>69</v>
      </c>
      <c r="Z5904" s="4">
        <v>3</v>
      </c>
      <c r="AA5904" s="4">
        <v>3</v>
      </c>
      <c r="AB5904" s="4">
        <v>1</v>
      </c>
      <c r="AC5904" s="4">
        <v>1</v>
      </c>
      <c r="AD5904" s="4">
        <v>5</v>
      </c>
      <c r="AE5904" s="4">
        <v>5</v>
      </c>
      <c r="AF5904" s="4">
        <v>0</v>
      </c>
      <c r="AG5904" s="4">
        <v>0</v>
      </c>
      <c r="AH5904" s="4">
        <v>4</v>
      </c>
      <c r="AI5904" s="4">
        <v>4</v>
      </c>
      <c r="AJ5904" s="4">
        <v>1</v>
      </c>
      <c r="AK5904" s="4">
        <v>1</v>
      </c>
      <c r="AL5904" s="4">
        <v>2</v>
      </c>
      <c r="AM5904" s="4">
        <v>2</v>
      </c>
      <c r="AN5904" s="4">
        <v>0</v>
      </c>
      <c r="AO5904" s="4">
        <v>0</v>
      </c>
      <c r="AP5904" s="4">
        <v>2</v>
      </c>
      <c r="AQ5904" s="4">
        <v>2</v>
      </c>
      <c r="AR5904" s="3" t="s">
        <v>62</v>
      </c>
      <c r="AS5904" s="3" t="s">
        <v>62</v>
      </c>
      <c r="AT5904" s="3" t="s">
        <v>62</v>
      </c>
      <c r="AV5904" s="6" t="str">
        <f t="shared" si="103"/>
        <v>Catalog Record</v>
      </c>
      <c r="AW5904" s="6" t="str">
        <f t="shared" si="104"/>
        <v>WorldCat Record</v>
      </c>
      <c r="AX5904" s="3" t="s">
        <v>55538</v>
      </c>
      <c r="AY5904" s="3" t="s">
        <v>55539</v>
      </c>
      <c r="AZ5904" s="3" t="s">
        <v>55540</v>
      </c>
      <c r="BA5904" s="3" t="s">
        <v>55540</v>
      </c>
      <c r="BB5904" s="3" t="s">
        <v>55559</v>
      </c>
      <c r="BC5904" s="3" t="s">
        <v>33640</v>
      </c>
      <c r="BD5904" s="3" t="s">
        <v>68</v>
      </c>
      <c r="BE5904" s="3" t="s">
        <v>55542</v>
      </c>
      <c r="BF5904" s="3" t="s">
        <v>55559</v>
      </c>
      <c r="BG5904" s="3" t="s">
        <v>55560</v>
      </c>
    </row>
    <row r="5905" spans="1:59" ht="87" x14ac:dyDescent="0.35">
      <c r="A5905" s="2" t="s">
        <v>89</v>
      </c>
      <c r="B5905" s="2" t="s">
        <v>42560</v>
      </c>
      <c r="C5905" s="2" t="s">
        <v>55530</v>
      </c>
      <c r="D5905" s="2" t="s">
        <v>55531</v>
      </c>
      <c r="E5905" s="2" t="s">
        <v>55532</v>
      </c>
      <c r="F5905" s="3" t="s">
        <v>55561</v>
      </c>
      <c r="G5905" s="3" t="s">
        <v>61</v>
      </c>
      <c r="I5905" s="3" t="s">
        <v>62</v>
      </c>
      <c r="J5905" s="3" t="s">
        <v>62</v>
      </c>
      <c r="K5905" s="3" t="s">
        <v>63</v>
      </c>
      <c r="M5905" s="2" t="s">
        <v>55534</v>
      </c>
      <c r="N5905" s="3" t="s">
        <v>2136</v>
      </c>
      <c r="O5905" s="2" t="s">
        <v>55535</v>
      </c>
      <c r="P5905" s="3" t="s">
        <v>64</v>
      </c>
      <c r="Q5905" s="2" t="s">
        <v>55536</v>
      </c>
      <c r="R5905" s="3" t="s">
        <v>13065</v>
      </c>
      <c r="S5905" s="4">
        <v>12</v>
      </c>
      <c r="T5905" s="4">
        <v>74</v>
      </c>
      <c r="U5905" s="5" t="s">
        <v>17936</v>
      </c>
      <c r="V5905" s="5" t="s">
        <v>17936</v>
      </c>
      <c r="W5905" s="5" t="s">
        <v>67</v>
      </c>
      <c r="X5905" s="5" t="s">
        <v>67</v>
      </c>
      <c r="Y5905" s="4">
        <v>69</v>
      </c>
      <c r="Z5905" s="4">
        <v>3</v>
      </c>
      <c r="AA5905" s="4">
        <v>3</v>
      </c>
      <c r="AB5905" s="4">
        <v>1</v>
      </c>
      <c r="AC5905" s="4">
        <v>1</v>
      </c>
      <c r="AD5905" s="4">
        <v>5</v>
      </c>
      <c r="AE5905" s="4">
        <v>5</v>
      </c>
      <c r="AF5905" s="4">
        <v>0</v>
      </c>
      <c r="AG5905" s="4">
        <v>0</v>
      </c>
      <c r="AH5905" s="4">
        <v>4</v>
      </c>
      <c r="AI5905" s="4">
        <v>4</v>
      </c>
      <c r="AJ5905" s="4">
        <v>1</v>
      </c>
      <c r="AK5905" s="4">
        <v>1</v>
      </c>
      <c r="AL5905" s="4">
        <v>2</v>
      </c>
      <c r="AM5905" s="4">
        <v>2</v>
      </c>
      <c r="AN5905" s="4">
        <v>0</v>
      </c>
      <c r="AO5905" s="4">
        <v>0</v>
      </c>
      <c r="AP5905" s="4">
        <v>2</v>
      </c>
      <c r="AQ5905" s="4">
        <v>2</v>
      </c>
      <c r="AR5905" s="3" t="s">
        <v>62</v>
      </c>
      <c r="AS5905" s="3" t="s">
        <v>62</v>
      </c>
      <c r="AT5905" s="3" t="s">
        <v>62</v>
      </c>
      <c r="AV5905" s="6" t="str">
        <f t="shared" si="103"/>
        <v>Catalog Record</v>
      </c>
      <c r="AW5905" s="6" t="str">
        <f t="shared" si="104"/>
        <v>WorldCat Record</v>
      </c>
      <c r="AX5905" s="3" t="s">
        <v>55538</v>
      </c>
      <c r="AY5905" s="3" t="s">
        <v>55539</v>
      </c>
      <c r="AZ5905" s="3" t="s">
        <v>55540</v>
      </c>
      <c r="BA5905" s="3" t="s">
        <v>55540</v>
      </c>
      <c r="BB5905" s="3" t="s">
        <v>55562</v>
      </c>
      <c r="BC5905" s="3" t="s">
        <v>33640</v>
      </c>
      <c r="BD5905" s="3" t="s">
        <v>68</v>
      </c>
      <c r="BE5905" s="3" t="s">
        <v>55542</v>
      </c>
      <c r="BF5905" s="3" t="s">
        <v>55562</v>
      </c>
      <c r="BG5905" s="3" t="s">
        <v>55563</v>
      </c>
    </row>
    <row r="5906" spans="1:59" ht="87" x14ac:dyDescent="0.35">
      <c r="A5906" s="2" t="s">
        <v>89</v>
      </c>
      <c r="B5906" s="2" t="s">
        <v>42560</v>
      </c>
      <c r="C5906" s="2" t="s">
        <v>55530</v>
      </c>
      <c r="D5906" s="2" t="s">
        <v>55531</v>
      </c>
      <c r="E5906" s="2" t="s">
        <v>55532</v>
      </c>
      <c r="F5906" s="3" t="s">
        <v>55564</v>
      </c>
      <c r="G5906" s="3" t="s">
        <v>61</v>
      </c>
      <c r="I5906" s="3" t="s">
        <v>62</v>
      </c>
      <c r="J5906" s="3" t="s">
        <v>62</v>
      </c>
      <c r="K5906" s="3" t="s">
        <v>63</v>
      </c>
      <c r="M5906" s="2" t="s">
        <v>55534</v>
      </c>
      <c r="N5906" s="3" t="s">
        <v>2136</v>
      </c>
      <c r="O5906" s="2" t="s">
        <v>55535</v>
      </c>
      <c r="P5906" s="3" t="s">
        <v>64</v>
      </c>
      <c r="Q5906" s="2" t="s">
        <v>55536</v>
      </c>
      <c r="R5906" s="3" t="s">
        <v>13065</v>
      </c>
      <c r="S5906" s="4">
        <v>9</v>
      </c>
      <c r="T5906" s="4">
        <v>74</v>
      </c>
      <c r="U5906" s="5" t="s">
        <v>19715</v>
      </c>
      <c r="V5906" s="5" t="s">
        <v>17936</v>
      </c>
      <c r="W5906" s="5" t="s">
        <v>67</v>
      </c>
      <c r="X5906" s="5" t="s">
        <v>67</v>
      </c>
      <c r="Y5906" s="4">
        <v>69</v>
      </c>
      <c r="Z5906" s="4">
        <v>3</v>
      </c>
      <c r="AA5906" s="4">
        <v>3</v>
      </c>
      <c r="AB5906" s="4">
        <v>1</v>
      </c>
      <c r="AC5906" s="4">
        <v>1</v>
      </c>
      <c r="AD5906" s="4">
        <v>5</v>
      </c>
      <c r="AE5906" s="4">
        <v>5</v>
      </c>
      <c r="AF5906" s="4">
        <v>0</v>
      </c>
      <c r="AG5906" s="4">
        <v>0</v>
      </c>
      <c r="AH5906" s="4">
        <v>4</v>
      </c>
      <c r="AI5906" s="4">
        <v>4</v>
      </c>
      <c r="AJ5906" s="4">
        <v>1</v>
      </c>
      <c r="AK5906" s="4">
        <v>1</v>
      </c>
      <c r="AL5906" s="4">
        <v>2</v>
      </c>
      <c r="AM5906" s="4">
        <v>2</v>
      </c>
      <c r="AN5906" s="4">
        <v>0</v>
      </c>
      <c r="AO5906" s="4">
        <v>0</v>
      </c>
      <c r="AP5906" s="4">
        <v>2</v>
      </c>
      <c r="AQ5906" s="4">
        <v>2</v>
      </c>
      <c r="AR5906" s="3" t="s">
        <v>62</v>
      </c>
      <c r="AS5906" s="3" t="s">
        <v>62</v>
      </c>
      <c r="AT5906" s="3" t="s">
        <v>62</v>
      </c>
      <c r="AV5906" s="6" t="str">
        <f t="shared" si="103"/>
        <v>Catalog Record</v>
      </c>
      <c r="AW5906" s="6" t="str">
        <f t="shared" si="104"/>
        <v>WorldCat Record</v>
      </c>
      <c r="AX5906" s="3" t="s">
        <v>55538</v>
      </c>
      <c r="AY5906" s="3" t="s">
        <v>55539</v>
      </c>
      <c r="AZ5906" s="3" t="s">
        <v>55540</v>
      </c>
      <c r="BA5906" s="3" t="s">
        <v>55540</v>
      </c>
      <c r="BB5906" s="3" t="s">
        <v>55565</v>
      </c>
      <c r="BC5906" s="3" t="s">
        <v>33640</v>
      </c>
      <c r="BD5906" s="3" t="s">
        <v>68</v>
      </c>
      <c r="BE5906" s="3" t="s">
        <v>55542</v>
      </c>
      <c r="BF5906" s="3" t="s">
        <v>55565</v>
      </c>
      <c r="BG5906" s="3" t="s">
        <v>55566</v>
      </c>
    </row>
    <row r="5907" spans="1:59" ht="87" x14ac:dyDescent="0.35">
      <c r="A5907" s="2" t="s">
        <v>89</v>
      </c>
      <c r="B5907" s="2" t="s">
        <v>42560</v>
      </c>
      <c r="C5907" s="2" t="s">
        <v>55530</v>
      </c>
      <c r="D5907" s="2" t="s">
        <v>55531</v>
      </c>
      <c r="E5907" s="2" t="s">
        <v>55532</v>
      </c>
      <c r="F5907" s="3" t="s">
        <v>55567</v>
      </c>
      <c r="G5907" s="3" t="s">
        <v>61</v>
      </c>
      <c r="I5907" s="3" t="s">
        <v>62</v>
      </c>
      <c r="J5907" s="3" t="s">
        <v>62</v>
      </c>
      <c r="K5907" s="3" t="s">
        <v>63</v>
      </c>
      <c r="M5907" s="2" t="s">
        <v>55534</v>
      </c>
      <c r="N5907" s="3" t="s">
        <v>2136</v>
      </c>
      <c r="O5907" s="2" t="s">
        <v>55535</v>
      </c>
      <c r="P5907" s="3" t="s">
        <v>64</v>
      </c>
      <c r="Q5907" s="2" t="s">
        <v>55536</v>
      </c>
      <c r="R5907" s="3" t="s">
        <v>13065</v>
      </c>
      <c r="S5907" s="4">
        <v>5</v>
      </c>
      <c r="T5907" s="4">
        <v>74</v>
      </c>
      <c r="U5907" s="5" t="s">
        <v>55558</v>
      </c>
      <c r="V5907" s="5" t="s">
        <v>17936</v>
      </c>
      <c r="W5907" s="5" t="s">
        <v>67</v>
      </c>
      <c r="X5907" s="5" t="s">
        <v>67</v>
      </c>
      <c r="Y5907" s="4">
        <v>69</v>
      </c>
      <c r="Z5907" s="4">
        <v>3</v>
      </c>
      <c r="AA5907" s="4">
        <v>3</v>
      </c>
      <c r="AB5907" s="4">
        <v>1</v>
      </c>
      <c r="AC5907" s="4">
        <v>1</v>
      </c>
      <c r="AD5907" s="4">
        <v>5</v>
      </c>
      <c r="AE5907" s="4">
        <v>5</v>
      </c>
      <c r="AF5907" s="4">
        <v>0</v>
      </c>
      <c r="AG5907" s="4">
        <v>0</v>
      </c>
      <c r="AH5907" s="4">
        <v>4</v>
      </c>
      <c r="AI5907" s="4">
        <v>4</v>
      </c>
      <c r="AJ5907" s="4">
        <v>1</v>
      </c>
      <c r="AK5907" s="4">
        <v>1</v>
      </c>
      <c r="AL5907" s="4">
        <v>2</v>
      </c>
      <c r="AM5907" s="4">
        <v>2</v>
      </c>
      <c r="AN5907" s="4">
        <v>0</v>
      </c>
      <c r="AO5907" s="4">
        <v>0</v>
      </c>
      <c r="AP5907" s="4">
        <v>2</v>
      </c>
      <c r="AQ5907" s="4">
        <v>2</v>
      </c>
      <c r="AR5907" s="3" t="s">
        <v>62</v>
      </c>
      <c r="AS5907" s="3" t="s">
        <v>62</v>
      </c>
      <c r="AT5907" s="3" t="s">
        <v>62</v>
      </c>
      <c r="AV5907" s="6" t="str">
        <f t="shared" si="103"/>
        <v>Catalog Record</v>
      </c>
      <c r="AW5907" s="6" t="str">
        <f t="shared" si="104"/>
        <v>WorldCat Record</v>
      </c>
      <c r="AX5907" s="3" t="s">
        <v>55538</v>
      </c>
      <c r="AY5907" s="3" t="s">
        <v>55539</v>
      </c>
      <c r="AZ5907" s="3" t="s">
        <v>55540</v>
      </c>
      <c r="BA5907" s="3" t="s">
        <v>55540</v>
      </c>
      <c r="BB5907" s="3" t="s">
        <v>55568</v>
      </c>
      <c r="BC5907" s="3" t="s">
        <v>33640</v>
      </c>
      <c r="BD5907" s="3" t="s">
        <v>68</v>
      </c>
      <c r="BE5907" s="3" t="s">
        <v>55542</v>
      </c>
      <c r="BF5907" s="3" t="s">
        <v>55568</v>
      </c>
      <c r="BG5907" s="3" t="s">
        <v>55569</v>
      </c>
    </row>
    <row r="5908" spans="1:59" ht="101.5" x14ac:dyDescent="0.35">
      <c r="A5908" s="2" t="s">
        <v>89</v>
      </c>
      <c r="B5908" s="2" t="s">
        <v>42560</v>
      </c>
      <c r="C5908" s="2" t="s">
        <v>55570</v>
      </c>
      <c r="D5908" s="2" t="s">
        <v>55571</v>
      </c>
      <c r="E5908" s="2" t="s">
        <v>55572</v>
      </c>
      <c r="G5908" s="3" t="s">
        <v>62</v>
      </c>
      <c r="I5908" s="3" t="s">
        <v>62</v>
      </c>
      <c r="J5908" s="3" t="s">
        <v>62</v>
      </c>
      <c r="K5908" s="3" t="s">
        <v>63</v>
      </c>
      <c r="L5908" s="2" t="s">
        <v>55573</v>
      </c>
      <c r="M5908" s="2" t="s">
        <v>55574</v>
      </c>
      <c r="N5908" s="3" t="s">
        <v>2985</v>
      </c>
      <c r="P5908" s="3" t="s">
        <v>64</v>
      </c>
      <c r="Q5908" s="2" t="s">
        <v>55575</v>
      </c>
      <c r="R5908" s="3" t="s">
        <v>13065</v>
      </c>
      <c r="S5908" s="4">
        <v>15</v>
      </c>
      <c r="T5908" s="4">
        <v>15</v>
      </c>
      <c r="U5908" s="5" t="s">
        <v>12308</v>
      </c>
      <c r="V5908" s="5" t="s">
        <v>12308</v>
      </c>
      <c r="W5908" s="5" t="s">
        <v>67</v>
      </c>
      <c r="X5908" s="5" t="s">
        <v>67</v>
      </c>
      <c r="Y5908" s="4">
        <v>973</v>
      </c>
      <c r="Z5908" s="4">
        <v>28</v>
      </c>
      <c r="AA5908" s="4">
        <v>42</v>
      </c>
      <c r="AB5908" s="4">
        <v>1</v>
      </c>
      <c r="AC5908" s="4">
        <v>5</v>
      </c>
      <c r="AD5908" s="4">
        <v>48</v>
      </c>
      <c r="AE5908" s="4">
        <v>52</v>
      </c>
      <c r="AF5908" s="4">
        <v>0</v>
      </c>
      <c r="AG5908" s="4">
        <v>2</v>
      </c>
      <c r="AH5908" s="4">
        <v>44</v>
      </c>
      <c r="AI5908" s="4">
        <v>46</v>
      </c>
      <c r="AJ5908" s="4">
        <v>6</v>
      </c>
      <c r="AK5908" s="4">
        <v>8</v>
      </c>
      <c r="AL5908" s="4">
        <v>23</v>
      </c>
      <c r="AM5908" s="4">
        <v>24</v>
      </c>
      <c r="AN5908" s="4">
        <v>0</v>
      </c>
      <c r="AO5908" s="4">
        <v>0</v>
      </c>
      <c r="AP5908" s="4">
        <v>8</v>
      </c>
      <c r="AQ5908" s="4">
        <v>10</v>
      </c>
      <c r="AR5908" s="3" t="s">
        <v>62</v>
      </c>
      <c r="AS5908" s="3" t="s">
        <v>62</v>
      </c>
      <c r="AT5908" s="3" t="s">
        <v>62</v>
      </c>
      <c r="AV5908" s="6" t="str">
        <f>HYPERLINK("http://mcgill.on.worldcat.org/oclc/271271934","Catalog Record")</f>
        <v>Catalog Record</v>
      </c>
      <c r="AW5908" s="6" t="str">
        <f>HYPERLINK("http://www.worldcat.org/oclc/271271934","WorldCat Record")</f>
        <v>WorldCat Record</v>
      </c>
      <c r="AX5908" s="3" t="s">
        <v>55576</v>
      </c>
      <c r="AY5908" s="3" t="s">
        <v>55577</v>
      </c>
      <c r="AZ5908" s="3" t="s">
        <v>55578</v>
      </c>
      <c r="BA5908" s="3" t="s">
        <v>55578</v>
      </c>
      <c r="BB5908" s="3" t="s">
        <v>55579</v>
      </c>
      <c r="BC5908" s="3" t="s">
        <v>33640</v>
      </c>
      <c r="BD5908" s="3" t="s">
        <v>68</v>
      </c>
      <c r="BE5908" s="3" t="s">
        <v>55580</v>
      </c>
      <c r="BF5908" s="3" t="s">
        <v>55579</v>
      </c>
      <c r="BG5908" s="3" t="s">
        <v>55581</v>
      </c>
    </row>
    <row r="5909" spans="1:59" ht="87" x14ac:dyDescent="0.35">
      <c r="A5909" s="2" t="s">
        <v>89</v>
      </c>
      <c r="B5909" s="2" t="s">
        <v>42560</v>
      </c>
      <c r="C5909" s="2" t="s">
        <v>55582</v>
      </c>
      <c r="D5909" s="2" t="s">
        <v>55583</v>
      </c>
      <c r="E5909" s="2" t="s">
        <v>55584</v>
      </c>
      <c r="G5909" s="3" t="s">
        <v>62</v>
      </c>
      <c r="I5909" s="3" t="s">
        <v>62</v>
      </c>
      <c r="J5909" s="3" t="s">
        <v>62</v>
      </c>
      <c r="K5909" s="3" t="s">
        <v>63</v>
      </c>
      <c r="M5909" s="2" t="s">
        <v>55585</v>
      </c>
      <c r="N5909" s="3" t="s">
        <v>1195</v>
      </c>
      <c r="P5909" s="3" t="s">
        <v>64</v>
      </c>
      <c r="Q5909" s="2" t="s">
        <v>55586</v>
      </c>
      <c r="R5909" s="3" t="s">
        <v>25645</v>
      </c>
      <c r="S5909" s="4">
        <v>20</v>
      </c>
      <c r="T5909" s="4">
        <v>20</v>
      </c>
      <c r="U5909" s="5" t="s">
        <v>12308</v>
      </c>
      <c r="V5909" s="5" t="s">
        <v>12308</v>
      </c>
      <c r="W5909" s="5" t="s">
        <v>67</v>
      </c>
      <c r="X5909" s="5" t="s">
        <v>67</v>
      </c>
      <c r="Y5909" s="4">
        <v>789</v>
      </c>
      <c r="Z5909" s="4">
        <v>33</v>
      </c>
      <c r="AA5909" s="4">
        <v>40</v>
      </c>
      <c r="AB5909" s="4">
        <v>4</v>
      </c>
      <c r="AC5909" s="4">
        <v>4</v>
      </c>
      <c r="AD5909" s="4">
        <v>41</v>
      </c>
      <c r="AE5909" s="4">
        <v>55</v>
      </c>
      <c r="AF5909" s="4">
        <v>1</v>
      </c>
      <c r="AG5909" s="4">
        <v>1</v>
      </c>
      <c r="AH5909" s="4">
        <v>37</v>
      </c>
      <c r="AI5909" s="4">
        <v>50</v>
      </c>
      <c r="AJ5909" s="4">
        <v>5</v>
      </c>
      <c r="AK5909" s="4">
        <v>5</v>
      </c>
      <c r="AL5909" s="4">
        <v>22</v>
      </c>
      <c r="AM5909" s="4">
        <v>27</v>
      </c>
      <c r="AN5909" s="4">
        <v>0</v>
      </c>
      <c r="AO5909" s="4">
        <v>0</v>
      </c>
      <c r="AP5909" s="4">
        <v>8</v>
      </c>
      <c r="AQ5909" s="4">
        <v>9</v>
      </c>
      <c r="AR5909" s="3" t="s">
        <v>62</v>
      </c>
      <c r="AS5909" s="3" t="s">
        <v>62</v>
      </c>
      <c r="AT5909" s="3" t="s">
        <v>62</v>
      </c>
      <c r="AV5909" s="6" t="str">
        <f>HYPERLINK("http://mcgill.on.worldcat.org/oclc/64386527","Catalog Record")</f>
        <v>Catalog Record</v>
      </c>
      <c r="AW5909" s="6" t="str">
        <f>HYPERLINK("http://www.worldcat.org/oclc/64386527","WorldCat Record")</f>
        <v>WorldCat Record</v>
      </c>
      <c r="AX5909" s="3" t="s">
        <v>55587</v>
      </c>
      <c r="AY5909" s="3" t="s">
        <v>55588</v>
      </c>
      <c r="AZ5909" s="3" t="s">
        <v>55589</v>
      </c>
      <c r="BA5909" s="3" t="s">
        <v>55589</v>
      </c>
      <c r="BB5909" s="3" t="s">
        <v>55590</v>
      </c>
      <c r="BC5909" s="3" t="s">
        <v>33640</v>
      </c>
      <c r="BD5909" s="3" t="s">
        <v>68</v>
      </c>
      <c r="BE5909" s="3" t="s">
        <v>55591</v>
      </c>
      <c r="BF5909" s="3" t="s">
        <v>55590</v>
      </c>
      <c r="BG5909" s="3" t="s">
        <v>55592</v>
      </c>
    </row>
    <row r="5910" spans="1:59" ht="87" x14ac:dyDescent="0.35">
      <c r="A5910" s="2" t="s">
        <v>89</v>
      </c>
      <c r="B5910" s="2" t="s">
        <v>42560</v>
      </c>
      <c r="C5910" s="2" t="s">
        <v>55593</v>
      </c>
      <c r="D5910" s="2" t="s">
        <v>55594</v>
      </c>
      <c r="E5910" s="2" t="s">
        <v>55595</v>
      </c>
      <c r="G5910" s="3" t="s">
        <v>62</v>
      </c>
      <c r="I5910" s="3" t="s">
        <v>62</v>
      </c>
      <c r="J5910" s="3" t="s">
        <v>62</v>
      </c>
      <c r="K5910" s="3" t="s">
        <v>63</v>
      </c>
      <c r="M5910" s="2" t="s">
        <v>55596</v>
      </c>
      <c r="N5910" s="3" t="s">
        <v>568</v>
      </c>
      <c r="P5910" s="3" t="s">
        <v>64</v>
      </c>
      <c r="R5910" s="3" t="s">
        <v>25645</v>
      </c>
      <c r="S5910" s="4">
        <v>7</v>
      </c>
      <c r="T5910" s="4">
        <v>7</v>
      </c>
      <c r="U5910" s="5" t="s">
        <v>3388</v>
      </c>
      <c r="V5910" s="5" t="s">
        <v>3388</v>
      </c>
      <c r="W5910" s="5" t="s">
        <v>67</v>
      </c>
      <c r="X5910" s="5" t="s">
        <v>67</v>
      </c>
      <c r="Y5910" s="4">
        <v>8</v>
      </c>
      <c r="Z5910" s="4">
        <v>7</v>
      </c>
      <c r="AA5910" s="4">
        <v>50</v>
      </c>
      <c r="AB5910" s="4">
        <v>1</v>
      </c>
      <c r="AC5910" s="4">
        <v>4</v>
      </c>
      <c r="AD5910" s="4">
        <v>4</v>
      </c>
      <c r="AE5910" s="4">
        <v>38</v>
      </c>
      <c r="AF5910" s="4">
        <v>0</v>
      </c>
      <c r="AG5910" s="4">
        <v>1</v>
      </c>
      <c r="AH5910" s="4">
        <v>3</v>
      </c>
      <c r="AI5910" s="4">
        <v>17</v>
      </c>
      <c r="AJ5910" s="4">
        <v>3</v>
      </c>
      <c r="AK5910" s="4">
        <v>14</v>
      </c>
      <c r="AL5910" s="4">
        <v>0</v>
      </c>
      <c r="AM5910" s="4">
        <v>4</v>
      </c>
      <c r="AN5910" s="4">
        <v>0</v>
      </c>
      <c r="AO5910" s="4">
        <v>0</v>
      </c>
      <c r="AP5910" s="4">
        <v>3</v>
      </c>
      <c r="AQ5910" s="4">
        <v>27</v>
      </c>
      <c r="AR5910" s="3" t="s">
        <v>61</v>
      </c>
      <c r="AS5910" s="3" t="s">
        <v>62</v>
      </c>
      <c r="AT5910" s="3" t="s">
        <v>62</v>
      </c>
      <c r="AV5910" s="6" t="str">
        <f>HYPERLINK("http://mcgill.on.worldcat.org/oclc/60594608","Catalog Record")</f>
        <v>Catalog Record</v>
      </c>
      <c r="AW5910" s="6" t="str">
        <f>HYPERLINK("http://www.worldcat.org/oclc/60594608","WorldCat Record")</f>
        <v>WorldCat Record</v>
      </c>
      <c r="AX5910" s="3" t="s">
        <v>55597</v>
      </c>
      <c r="AY5910" s="3" t="s">
        <v>55598</v>
      </c>
      <c r="AZ5910" s="3" t="s">
        <v>55599</v>
      </c>
      <c r="BA5910" s="3" t="s">
        <v>55599</v>
      </c>
      <c r="BB5910" s="3" t="s">
        <v>55600</v>
      </c>
      <c r="BC5910" s="3" t="s">
        <v>33640</v>
      </c>
      <c r="BD5910" s="3" t="s">
        <v>68</v>
      </c>
      <c r="BF5910" s="3" t="s">
        <v>55600</v>
      </c>
      <c r="BG5910" s="3" t="s">
        <v>55601</v>
      </c>
    </row>
    <row r="5911" spans="1:59" ht="87" x14ac:dyDescent="0.35">
      <c r="A5911" s="2" t="s">
        <v>89</v>
      </c>
      <c r="B5911" s="2" t="s">
        <v>42560</v>
      </c>
      <c r="C5911" s="2" t="s">
        <v>55602</v>
      </c>
      <c r="D5911" s="2" t="s">
        <v>55603</v>
      </c>
      <c r="E5911" s="2" t="s">
        <v>55604</v>
      </c>
      <c r="G5911" s="3" t="s">
        <v>62</v>
      </c>
      <c r="I5911" s="3" t="s">
        <v>62</v>
      </c>
      <c r="J5911" s="3" t="s">
        <v>62</v>
      </c>
      <c r="K5911" s="3" t="s">
        <v>63</v>
      </c>
      <c r="N5911" s="3" t="s">
        <v>1722</v>
      </c>
      <c r="P5911" s="3" t="s">
        <v>64</v>
      </c>
      <c r="R5911" s="3" t="s">
        <v>27443</v>
      </c>
      <c r="S5911" s="4">
        <v>4</v>
      </c>
      <c r="T5911" s="4">
        <v>4</v>
      </c>
      <c r="U5911" s="5" t="s">
        <v>55605</v>
      </c>
      <c r="V5911" s="5" t="s">
        <v>55605</v>
      </c>
      <c r="W5911" s="5" t="s">
        <v>67</v>
      </c>
      <c r="X5911" s="5" t="s">
        <v>67</v>
      </c>
      <c r="Y5911" s="4">
        <v>490</v>
      </c>
      <c r="Z5911" s="4">
        <v>17</v>
      </c>
      <c r="AA5911" s="4">
        <v>20</v>
      </c>
      <c r="AB5911" s="4">
        <v>2</v>
      </c>
      <c r="AC5911" s="4">
        <v>4</v>
      </c>
      <c r="AD5911" s="4">
        <v>23</v>
      </c>
      <c r="AE5911" s="4">
        <v>25</v>
      </c>
      <c r="AF5911" s="4">
        <v>0</v>
      </c>
      <c r="AG5911" s="4">
        <v>2</v>
      </c>
      <c r="AH5911" s="4">
        <v>19</v>
      </c>
      <c r="AI5911" s="4">
        <v>20</v>
      </c>
      <c r="AJ5911" s="4">
        <v>1</v>
      </c>
      <c r="AK5911" s="4">
        <v>3</v>
      </c>
      <c r="AL5911" s="4">
        <v>12</v>
      </c>
      <c r="AM5911" s="4">
        <v>12</v>
      </c>
      <c r="AN5911" s="4">
        <v>0</v>
      </c>
      <c r="AO5911" s="4">
        <v>0</v>
      </c>
      <c r="AP5911" s="4">
        <v>4</v>
      </c>
      <c r="AQ5911" s="4">
        <v>6</v>
      </c>
      <c r="AR5911" s="3" t="s">
        <v>62</v>
      </c>
      <c r="AS5911" s="3" t="s">
        <v>62</v>
      </c>
      <c r="AT5911" s="3" t="s">
        <v>62</v>
      </c>
      <c r="AV5911" s="6" t="str">
        <f>HYPERLINK("http://mcgill.on.worldcat.org/oclc/226435001","Catalog Record")</f>
        <v>Catalog Record</v>
      </c>
      <c r="AW5911" s="6" t="str">
        <f>HYPERLINK("http://www.worldcat.org/oclc/226435001","WorldCat Record")</f>
        <v>WorldCat Record</v>
      </c>
      <c r="AX5911" s="3" t="s">
        <v>55606</v>
      </c>
      <c r="AY5911" s="3" t="s">
        <v>55607</v>
      </c>
      <c r="AZ5911" s="3" t="s">
        <v>55608</v>
      </c>
      <c r="BA5911" s="3" t="s">
        <v>55608</v>
      </c>
      <c r="BB5911" s="3" t="s">
        <v>55609</v>
      </c>
      <c r="BC5911" s="3" t="s">
        <v>33640</v>
      </c>
      <c r="BD5911" s="3" t="s">
        <v>68</v>
      </c>
      <c r="BE5911" s="3" t="s">
        <v>55610</v>
      </c>
      <c r="BF5911" s="3" t="s">
        <v>55609</v>
      </c>
      <c r="BG5911" s="3" t="s">
        <v>55611</v>
      </c>
    </row>
    <row r="5912" spans="1:59" ht="87" x14ac:dyDescent="0.35">
      <c r="A5912" s="2" t="s">
        <v>89</v>
      </c>
      <c r="B5912" s="2" t="s">
        <v>42560</v>
      </c>
      <c r="C5912" s="2" t="s">
        <v>55612</v>
      </c>
      <c r="D5912" s="2" t="s">
        <v>55613</v>
      </c>
      <c r="E5912" s="2" t="s">
        <v>55614</v>
      </c>
      <c r="G5912" s="3" t="s">
        <v>62</v>
      </c>
      <c r="I5912" s="3" t="s">
        <v>62</v>
      </c>
      <c r="J5912" s="3" t="s">
        <v>62</v>
      </c>
      <c r="K5912" s="3" t="s">
        <v>63</v>
      </c>
      <c r="M5912" s="2" t="s">
        <v>55615</v>
      </c>
      <c r="N5912" s="3" t="s">
        <v>640</v>
      </c>
      <c r="P5912" s="3" t="s">
        <v>64</v>
      </c>
      <c r="Q5912" s="2" t="s">
        <v>55616</v>
      </c>
      <c r="R5912" s="3" t="s">
        <v>27443</v>
      </c>
      <c r="S5912" s="4">
        <v>17</v>
      </c>
      <c r="T5912" s="4">
        <v>17</v>
      </c>
      <c r="U5912" s="5" t="s">
        <v>17448</v>
      </c>
      <c r="V5912" s="5" t="s">
        <v>17448</v>
      </c>
      <c r="W5912" s="5" t="s">
        <v>67</v>
      </c>
      <c r="X5912" s="5" t="s">
        <v>67</v>
      </c>
      <c r="Y5912" s="4">
        <v>429</v>
      </c>
      <c r="Z5912" s="4">
        <v>14</v>
      </c>
      <c r="AA5912" s="4">
        <v>29</v>
      </c>
      <c r="AB5912" s="4">
        <v>1</v>
      </c>
      <c r="AC5912" s="4">
        <v>2</v>
      </c>
      <c r="AD5912" s="4">
        <v>28</v>
      </c>
      <c r="AE5912" s="4">
        <v>46</v>
      </c>
      <c r="AF5912" s="4">
        <v>0</v>
      </c>
      <c r="AG5912" s="4">
        <v>1</v>
      </c>
      <c r="AH5912" s="4">
        <v>24</v>
      </c>
      <c r="AI5912" s="4">
        <v>40</v>
      </c>
      <c r="AJ5912" s="4">
        <v>3</v>
      </c>
      <c r="AK5912" s="4">
        <v>7</v>
      </c>
      <c r="AL5912" s="4">
        <v>12</v>
      </c>
      <c r="AM5912" s="4">
        <v>19</v>
      </c>
      <c r="AN5912" s="4">
        <v>0</v>
      </c>
      <c r="AO5912" s="4">
        <v>0</v>
      </c>
      <c r="AP5912" s="4">
        <v>4</v>
      </c>
      <c r="AQ5912" s="4">
        <v>9</v>
      </c>
      <c r="AR5912" s="3" t="s">
        <v>62</v>
      </c>
      <c r="AS5912" s="3" t="s">
        <v>62</v>
      </c>
      <c r="AT5912" s="3" t="s">
        <v>62</v>
      </c>
      <c r="AV5912" s="6" t="str">
        <f>HYPERLINK("http://mcgill.on.worldcat.org/oclc/55648302","Catalog Record")</f>
        <v>Catalog Record</v>
      </c>
      <c r="AW5912" s="6" t="str">
        <f>HYPERLINK("http://www.worldcat.org/oclc/55648302","WorldCat Record")</f>
        <v>WorldCat Record</v>
      </c>
      <c r="AX5912" s="3" t="s">
        <v>55617</v>
      </c>
      <c r="AY5912" s="3" t="s">
        <v>55618</v>
      </c>
      <c r="AZ5912" s="3" t="s">
        <v>55619</v>
      </c>
      <c r="BA5912" s="3" t="s">
        <v>55619</v>
      </c>
      <c r="BB5912" s="3" t="s">
        <v>55620</v>
      </c>
      <c r="BC5912" s="3" t="s">
        <v>33640</v>
      </c>
      <c r="BD5912" s="3" t="s">
        <v>68</v>
      </c>
      <c r="BE5912" s="3" t="s">
        <v>55621</v>
      </c>
      <c r="BF5912" s="3" t="s">
        <v>55620</v>
      </c>
      <c r="BG5912" s="3" t="s">
        <v>55622</v>
      </c>
    </row>
    <row r="5913" spans="1:59" ht="87" x14ac:dyDescent="0.35">
      <c r="A5913" s="2" t="s">
        <v>89</v>
      </c>
      <c r="B5913" s="2" t="s">
        <v>42560</v>
      </c>
      <c r="C5913" s="2" t="s">
        <v>55623</v>
      </c>
      <c r="D5913" s="2" t="s">
        <v>55624</v>
      </c>
      <c r="E5913" s="2" t="s">
        <v>55625</v>
      </c>
      <c r="F5913" s="3" t="s">
        <v>55626</v>
      </c>
      <c r="G5913" s="3" t="s">
        <v>61</v>
      </c>
      <c r="I5913" s="3" t="s">
        <v>62</v>
      </c>
      <c r="J5913" s="3" t="s">
        <v>62</v>
      </c>
      <c r="K5913" s="3" t="s">
        <v>63</v>
      </c>
      <c r="M5913" s="2" t="s">
        <v>55627</v>
      </c>
      <c r="N5913" s="3" t="s">
        <v>2136</v>
      </c>
      <c r="P5913" s="3" t="s">
        <v>64</v>
      </c>
      <c r="R5913" s="3" t="s">
        <v>27443</v>
      </c>
      <c r="S5913" s="4">
        <v>3</v>
      </c>
      <c r="T5913" s="4">
        <v>54</v>
      </c>
      <c r="U5913" s="5" t="s">
        <v>10918</v>
      </c>
      <c r="V5913" s="5" t="s">
        <v>13236</v>
      </c>
      <c r="W5913" s="5" t="s">
        <v>67</v>
      </c>
      <c r="X5913" s="5" t="s">
        <v>67</v>
      </c>
      <c r="Y5913" s="4">
        <v>45</v>
      </c>
      <c r="Z5913" s="4">
        <v>20</v>
      </c>
      <c r="AA5913" s="4">
        <v>35</v>
      </c>
      <c r="AB5913" s="4">
        <v>1</v>
      </c>
      <c r="AC5913" s="4">
        <v>2</v>
      </c>
      <c r="AD5913" s="4">
        <v>6</v>
      </c>
      <c r="AE5913" s="4">
        <v>18</v>
      </c>
      <c r="AF5913" s="4">
        <v>0</v>
      </c>
      <c r="AG5913" s="4">
        <v>1</v>
      </c>
      <c r="AH5913" s="4">
        <v>2</v>
      </c>
      <c r="AI5913" s="4">
        <v>11</v>
      </c>
      <c r="AJ5913" s="4">
        <v>3</v>
      </c>
      <c r="AK5913" s="4">
        <v>9</v>
      </c>
      <c r="AL5913" s="4">
        <v>1</v>
      </c>
      <c r="AM5913" s="4">
        <v>3</v>
      </c>
      <c r="AN5913" s="4">
        <v>0</v>
      </c>
      <c r="AO5913" s="4">
        <v>0</v>
      </c>
      <c r="AP5913" s="4">
        <v>6</v>
      </c>
      <c r="AQ5913" s="4">
        <v>14</v>
      </c>
      <c r="AR5913" s="3" t="s">
        <v>61</v>
      </c>
      <c r="AS5913" s="3" t="s">
        <v>62</v>
      </c>
      <c r="AT5913" s="3" t="s">
        <v>62</v>
      </c>
      <c r="AV5913" s="6" t="str">
        <f>HYPERLINK("http://mcgill.on.worldcat.org/oclc/61660523","Catalog Record")</f>
        <v>Catalog Record</v>
      </c>
      <c r="AW5913" s="6" t="str">
        <f>HYPERLINK("http://www.worldcat.org/oclc/61660523","WorldCat Record")</f>
        <v>WorldCat Record</v>
      </c>
      <c r="AX5913" s="3" t="s">
        <v>55628</v>
      </c>
      <c r="AY5913" s="3" t="s">
        <v>55629</v>
      </c>
      <c r="AZ5913" s="3" t="s">
        <v>55630</v>
      </c>
      <c r="BA5913" s="3" t="s">
        <v>55630</v>
      </c>
      <c r="BB5913" s="3" t="s">
        <v>55631</v>
      </c>
      <c r="BC5913" s="3" t="s">
        <v>33640</v>
      </c>
      <c r="BD5913" s="3" t="s">
        <v>68</v>
      </c>
      <c r="BE5913" s="3" t="s">
        <v>55632</v>
      </c>
      <c r="BF5913" s="3" t="s">
        <v>55631</v>
      </c>
      <c r="BG5913" s="3" t="s">
        <v>55633</v>
      </c>
    </row>
    <row r="5914" spans="1:59" ht="87" x14ac:dyDescent="0.35">
      <c r="A5914" s="2" t="s">
        <v>89</v>
      </c>
      <c r="B5914" s="2" t="s">
        <v>42560</v>
      </c>
      <c r="C5914" s="2" t="s">
        <v>55623</v>
      </c>
      <c r="D5914" s="2" t="s">
        <v>55624</v>
      </c>
      <c r="E5914" s="2" t="s">
        <v>55625</v>
      </c>
      <c r="F5914" s="3" t="s">
        <v>55634</v>
      </c>
      <c r="G5914" s="3" t="s">
        <v>61</v>
      </c>
      <c r="I5914" s="3" t="s">
        <v>62</v>
      </c>
      <c r="J5914" s="3" t="s">
        <v>62</v>
      </c>
      <c r="K5914" s="3" t="s">
        <v>63</v>
      </c>
      <c r="M5914" s="2" t="s">
        <v>55627</v>
      </c>
      <c r="N5914" s="3" t="s">
        <v>2136</v>
      </c>
      <c r="P5914" s="3" t="s">
        <v>64</v>
      </c>
      <c r="R5914" s="3" t="s">
        <v>27443</v>
      </c>
      <c r="S5914" s="4">
        <v>4</v>
      </c>
      <c r="T5914" s="4">
        <v>54</v>
      </c>
      <c r="U5914" s="5" t="s">
        <v>55635</v>
      </c>
      <c r="V5914" s="5" t="s">
        <v>13236</v>
      </c>
      <c r="W5914" s="5" t="s">
        <v>67</v>
      </c>
      <c r="X5914" s="5" t="s">
        <v>67</v>
      </c>
      <c r="Y5914" s="4">
        <v>45</v>
      </c>
      <c r="Z5914" s="4">
        <v>20</v>
      </c>
      <c r="AA5914" s="4">
        <v>35</v>
      </c>
      <c r="AB5914" s="4">
        <v>1</v>
      </c>
      <c r="AC5914" s="4">
        <v>2</v>
      </c>
      <c r="AD5914" s="4">
        <v>6</v>
      </c>
      <c r="AE5914" s="4">
        <v>18</v>
      </c>
      <c r="AF5914" s="4">
        <v>0</v>
      </c>
      <c r="AG5914" s="4">
        <v>1</v>
      </c>
      <c r="AH5914" s="4">
        <v>2</v>
      </c>
      <c r="AI5914" s="4">
        <v>11</v>
      </c>
      <c r="AJ5914" s="4">
        <v>3</v>
      </c>
      <c r="AK5914" s="4">
        <v>9</v>
      </c>
      <c r="AL5914" s="4">
        <v>1</v>
      </c>
      <c r="AM5914" s="4">
        <v>3</v>
      </c>
      <c r="AN5914" s="4">
        <v>0</v>
      </c>
      <c r="AO5914" s="4">
        <v>0</v>
      </c>
      <c r="AP5914" s="4">
        <v>6</v>
      </c>
      <c r="AQ5914" s="4">
        <v>14</v>
      </c>
      <c r="AR5914" s="3" t="s">
        <v>61</v>
      </c>
      <c r="AS5914" s="3" t="s">
        <v>62</v>
      </c>
      <c r="AT5914" s="3" t="s">
        <v>62</v>
      </c>
      <c r="AV5914" s="6" t="str">
        <f>HYPERLINK("http://mcgill.on.worldcat.org/oclc/61660523","Catalog Record")</f>
        <v>Catalog Record</v>
      </c>
      <c r="AW5914" s="6" t="str">
        <f>HYPERLINK("http://www.worldcat.org/oclc/61660523","WorldCat Record")</f>
        <v>WorldCat Record</v>
      </c>
      <c r="AX5914" s="3" t="s">
        <v>55628</v>
      </c>
      <c r="AY5914" s="3" t="s">
        <v>55629</v>
      </c>
      <c r="AZ5914" s="3" t="s">
        <v>55630</v>
      </c>
      <c r="BA5914" s="3" t="s">
        <v>55630</v>
      </c>
      <c r="BB5914" s="3" t="s">
        <v>55636</v>
      </c>
      <c r="BC5914" s="3" t="s">
        <v>33640</v>
      </c>
      <c r="BD5914" s="3" t="s">
        <v>68</v>
      </c>
      <c r="BE5914" s="3" t="s">
        <v>55632</v>
      </c>
      <c r="BF5914" s="3" t="s">
        <v>55636</v>
      </c>
      <c r="BG5914" s="3" t="s">
        <v>55637</v>
      </c>
    </row>
    <row r="5915" spans="1:59" ht="87" x14ac:dyDescent="0.35">
      <c r="A5915" s="2" t="s">
        <v>89</v>
      </c>
      <c r="B5915" s="2" t="s">
        <v>42560</v>
      </c>
      <c r="C5915" s="2" t="s">
        <v>55623</v>
      </c>
      <c r="D5915" s="2" t="s">
        <v>55624</v>
      </c>
      <c r="E5915" s="2" t="s">
        <v>55625</v>
      </c>
      <c r="F5915" s="3" t="s">
        <v>55638</v>
      </c>
      <c r="G5915" s="3" t="s">
        <v>61</v>
      </c>
      <c r="I5915" s="3" t="s">
        <v>62</v>
      </c>
      <c r="J5915" s="3" t="s">
        <v>62</v>
      </c>
      <c r="K5915" s="3" t="s">
        <v>63</v>
      </c>
      <c r="M5915" s="2" t="s">
        <v>55627</v>
      </c>
      <c r="N5915" s="3" t="s">
        <v>2136</v>
      </c>
      <c r="P5915" s="3" t="s">
        <v>64</v>
      </c>
      <c r="R5915" s="3" t="s">
        <v>27443</v>
      </c>
      <c r="S5915" s="4">
        <v>31</v>
      </c>
      <c r="T5915" s="4">
        <v>54</v>
      </c>
      <c r="U5915" s="5" t="s">
        <v>2950</v>
      </c>
      <c r="V5915" s="5" t="s">
        <v>13236</v>
      </c>
      <c r="W5915" s="5" t="s">
        <v>67</v>
      </c>
      <c r="X5915" s="5" t="s">
        <v>67</v>
      </c>
      <c r="Y5915" s="4">
        <v>45</v>
      </c>
      <c r="Z5915" s="4">
        <v>20</v>
      </c>
      <c r="AA5915" s="4">
        <v>35</v>
      </c>
      <c r="AB5915" s="4">
        <v>1</v>
      </c>
      <c r="AC5915" s="4">
        <v>2</v>
      </c>
      <c r="AD5915" s="4">
        <v>6</v>
      </c>
      <c r="AE5915" s="4">
        <v>18</v>
      </c>
      <c r="AF5915" s="4">
        <v>0</v>
      </c>
      <c r="AG5915" s="4">
        <v>1</v>
      </c>
      <c r="AH5915" s="4">
        <v>2</v>
      </c>
      <c r="AI5915" s="4">
        <v>11</v>
      </c>
      <c r="AJ5915" s="4">
        <v>3</v>
      </c>
      <c r="AK5915" s="4">
        <v>9</v>
      </c>
      <c r="AL5915" s="4">
        <v>1</v>
      </c>
      <c r="AM5915" s="4">
        <v>3</v>
      </c>
      <c r="AN5915" s="4">
        <v>0</v>
      </c>
      <c r="AO5915" s="4">
        <v>0</v>
      </c>
      <c r="AP5915" s="4">
        <v>6</v>
      </c>
      <c r="AQ5915" s="4">
        <v>14</v>
      </c>
      <c r="AR5915" s="3" t="s">
        <v>61</v>
      </c>
      <c r="AS5915" s="3" t="s">
        <v>62</v>
      </c>
      <c r="AT5915" s="3" t="s">
        <v>62</v>
      </c>
      <c r="AV5915" s="6" t="str">
        <f>HYPERLINK("http://mcgill.on.worldcat.org/oclc/61660523","Catalog Record")</f>
        <v>Catalog Record</v>
      </c>
      <c r="AW5915" s="6" t="str">
        <f>HYPERLINK("http://www.worldcat.org/oclc/61660523","WorldCat Record")</f>
        <v>WorldCat Record</v>
      </c>
      <c r="AX5915" s="3" t="s">
        <v>55628</v>
      </c>
      <c r="AY5915" s="3" t="s">
        <v>55629</v>
      </c>
      <c r="AZ5915" s="3" t="s">
        <v>55630</v>
      </c>
      <c r="BA5915" s="3" t="s">
        <v>55630</v>
      </c>
      <c r="BB5915" s="3" t="s">
        <v>55639</v>
      </c>
      <c r="BC5915" s="3" t="s">
        <v>33640</v>
      </c>
      <c r="BD5915" s="3" t="s">
        <v>68</v>
      </c>
      <c r="BE5915" s="3" t="s">
        <v>55632</v>
      </c>
      <c r="BF5915" s="3" t="s">
        <v>55639</v>
      </c>
      <c r="BG5915" s="3" t="s">
        <v>55640</v>
      </c>
    </row>
    <row r="5916" spans="1:59" ht="87" x14ac:dyDescent="0.35">
      <c r="A5916" s="2" t="s">
        <v>89</v>
      </c>
      <c r="B5916" s="2" t="s">
        <v>42560</v>
      </c>
      <c r="C5916" s="2" t="s">
        <v>55623</v>
      </c>
      <c r="D5916" s="2" t="s">
        <v>55624</v>
      </c>
      <c r="E5916" s="2" t="s">
        <v>55625</v>
      </c>
      <c r="F5916" s="3" t="s">
        <v>55641</v>
      </c>
      <c r="G5916" s="3" t="s">
        <v>61</v>
      </c>
      <c r="I5916" s="3" t="s">
        <v>62</v>
      </c>
      <c r="J5916" s="3" t="s">
        <v>62</v>
      </c>
      <c r="K5916" s="3" t="s">
        <v>63</v>
      </c>
      <c r="M5916" s="2" t="s">
        <v>55627</v>
      </c>
      <c r="N5916" s="3" t="s">
        <v>2136</v>
      </c>
      <c r="P5916" s="3" t="s">
        <v>64</v>
      </c>
      <c r="R5916" s="3" t="s">
        <v>27443</v>
      </c>
      <c r="S5916" s="4">
        <v>10</v>
      </c>
      <c r="T5916" s="4">
        <v>54</v>
      </c>
      <c r="U5916" s="5" t="s">
        <v>13236</v>
      </c>
      <c r="V5916" s="5" t="s">
        <v>13236</v>
      </c>
      <c r="W5916" s="5" t="s">
        <v>67</v>
      </c>
      <c r="X5916" s="5" t="s">
        <v>67</v>
      </c>
      <c r="Y5916" s="4">
        <v>45</v>
      </c>
      <c r="Z5916" s="4">
        <v>20</v>
      </c>
      <c r="AA5916" s="4">
        <v>35</v>
      </c>
      <c r="AB5916" s="4">
        <v>1</v>
      </c>
      <c r="AC5916" s="4">
        <v>2</v>
      </c>
      <c r="AD5916" s="4">
        <v>6</v>
      </c>
      <c r="AE5916" s="4">
        <v>18</v>
      </c>
      <c r="AF5916" s="4">
        <v>0</v>
      </c>
      <c r="AG5916" s="4">
        <v>1</v>
      </c>
      <c r="AH5916" s="4">
        <v>2</v>
      </c>
      <c r="AI5916" s="4">
        <v>11</v>
      </c>
      <c r="AJ5916" s="4">
        <v>3</v>
      </c>
      <c r="AK5916" s="4">
        <v>9</v>
      </c>
      <c r="AL5916" s="4">
        <v>1</v>
      </c>
      <c r="AM5916" s="4">
        <v>3</v>
      </c>
      <c r="AN5916" s="4">
        <v>0</v>
      </c>
      <c r="AO5916" s="4">
        <v>0</v>
      </c>
      <c r="AP5916" s="4">
        <v>6</v>
      </c>
      <c r="AQ5916" s="4">
        <v>14</v>
      </c>
      <c r="AR5916" s="3" t="s">
        <v>61</v>
      </c>
      <c r="AS5916" s="3" t="s">
        <v>62</v>
      </c>
      <c r="AT5916" s="3" t="s">
        <v>62</v>
      </c>
      <c r="AV5916" s="6" t="str">
        <f>HYPERLINK("http://mcgill.on.worldcat.org/oclc/61660523","Catalog Record")</f>
        <v>Catalog Record</v>
      </c>
      <c r="AW5916" s="6" t="str">
        <f>HYPERLINK("http://www.worldcat.org/oclc/61660523","WorldCat Record")</f>
        <v>WorldCat Record</v>
      </c>
      <c r="AX5916" s="3" t="s">
        <v>55628</v>
      </c>
      <c r="AY5916" s="3" t="s">
        <v>55629</v>
      </c>
      <c r="AZ5916" s="3" t="s">
        <v>55630</v>
      </c>
      <c r="BA5916" s="3" t="s">
        <v>55630</v>
      </c>
      <c r="BB5916" s="3" t="s">
        <v>55642</v>
      </c>
      <c r="BC5916" s="3" t="s">
        <v>33640</v>
      </c>
      <c r="BD5916" s="3" t="s">
        <v>68</v>
      </c>
      <c r="BE5916" s="3" t="s">
        <v>55632</v>
      </c>
      <c r="BF5916" s="3" t="s">
        <v>55642</v>
      </c>
      <c r="BG5916" s="3" t="s">
        <v>55643</v>
      </c>
    </row>
    <row r="5917" spans="1:59" ht="87" x14ac:dyDescent="0.35">
      <c r="A5917" s="2" t="s">
        <v>89</v>
      </c>
      <c r="B5917" s="2" t="s">
        <v>42560</v>
      </c>
      <c r="C5917" s="2" t="s">
        <v>55623</v>
      </c>
      <c r="D5917" s="2" t="s">
        <v>55624</v>
      </c>
      <c r="E5917" s="2" t="s">
        <v>55625</v>
      </c>
      <c r="F5917" s="3" t="s">
        <v>55644</v>
      </c>
      <c r="G5917" s="3" t="s">
        <v>61</v>
      </c>
      <c r="I5917" s="3" t="s">
        <v>62</v>
      </c>
      <c r="J5917" s="3" t="s">
        <v>62</v>
      </c>
      <c r="K5917" s="3" t="s">
        <v>63</v>
      </c>
      <c r="M5917" s="2" t="s">
        <v>55627</v>
      </c>
      <c r="N5917" s="3" t="s">
        <v>2136</v>
      </c>
      <c r="P5917" s="3" t="s">
        <v>64</v>
      </c>
      <c r="R5917" s="3" t="s">
        <v>27443</v>
      </c>
      <c r="S5917" s="4">
        <v>6</v>
      </c>
      <c r="T5917" s="4">
        <v>54</v>
      </c>
      <c r="U5917" s="5" t="s">
        <v>55635</v>
      </c>
      <c r="V5917" s="5" t="s">
        <v>13236</v>
      </c>
      <c r="W5917" s="5" t="s">
        <v>67</v>
      </c>
      <c r="X5917" s="5" t="s">
        <v>67</v>
      </c>
      <c r="Y5917" s="4">
        <v>45</v>
      </c>
      <c r="Z5917" s="4">
        <v>20</v>
      </c>
      <c r="AA5917" s="4">
        <v>35</v>
      </c>
      <c r="AB5917" s="4">
        <v>1</v>
      </c>
      <c r="AC5917" s="4">
        <v>2</v>
      </c>
      <c r="AD5917" s="4">
        <v>6</v>
      </c>
      <c r="AE5917" s="4">
        <v>18</v>
      </c>
      <c r="AF5917" s="4">
        <v>0</v>
      </c>
      <c r="AG5917" s="4">
        <v>1</v>
      </c>
      <c r="AH5917" s="4">
        <v>2</v>
      </c>
      <c r="AI5917" s="4">
        <v>11</v>
      </c>
      <c r="AJ5917" s="4">
        <v>3</v>
      </c>
      <c r="AK5917" s="4">
        <v>9</v>
      </c>
      <c r="AL5917" s="4">
        <v>1</v>
      </c>
      <c r="AM5917" s="4">
        <v>3</v>
      </c>
      <c r="AN5917" s="4">
        <v>0</v>
      </c>
      <c r="AO5917" s="4">
        <v>0</v>
      </c>
      <c r="AP5917" s="4">
        <v>6</v>
      </c>
      <c r="AQ5917" s="4">
        <v>14</v>
      </c>
      <c r="AR5917" s="3" t="s">
        <v>61</v>
      </c>
      <c r="AS5917" s="3" t="s">
        <v>62</v>
      </c>
      <c r="AT5917" s="3" t="s">
        <v>62</v>
      </c>
      <c r="AV5917" s="6" t="str">
        <f>HYPERLINK("http://mcgill.on.worldcat.org/oclc/61660523","Catalog Record")</f>
        <v>Catalog Record</v>
      </c>
      <c r="AW5917" s="6" t="str">
        <f>HYPERLINK("http://www.worldcat.org/oclc/61660523","WorldCat Record")</f>
        <v>WorldCat Record</v>
      </c>
      <c r="AX5917" s="3" t="s">
        <v>55628</v>
      </c>
      <c r="AY5917" s="3" t="s">
        <v>55629</v>
      </c>
      <c r="AZ5917" s="3" t="s">
        <v>55630</v>
      </c>
      <c r="BA5917" s="3" t="s">
        <v>55630</v>
      </c>
      <c r="BB5917" s="3" t="s">
        <v>55645</v>
      </c>
      <c r="BC5917" s="3" t="s">
        <v>33640</v>
      </c>
      <c r="BD5917" s="3" t="s">
        <v>68</v>
      </c>
      <c r="BE5917" s="3" t="s">
        <v>55632</v>
      </c>
      <c r="BF5917" s="3" t="s">
        <v>55645</v>
      </c>
      <c r="BG5917" s="3" t="s">
        <v>55646</v>
      </c>
    </row>
    <row r="5918" spans="1:59" ht="87" x14ac:dyDescent="0.35">
      <c r="A5918" s="2" t="s">
        <v>89</v>
      </c>
      <c r="B5918" s="2" t="s">
        <v>42560</v>
      </c>
      <c r="C5918" s="2" t="s">
        <v>55647</v>
      </c>
      <c r="D5918" s="2" t="s">
        <v>55648</v>
      </c>
      <c r="E5918" s="2" t="s">
        <v>55649</v>
      </c>
      <c r="G5918" s="3" t="s">
        <v>62</v>
      </c>
      <c r="I5918" s="3" t="s">
        <v>62</v>
      </c>
      <c r="J5918" s="3" t="s">
        <v>62</v>
      </c>
      <c r="K5918" s="3" t="s">
        <v>63</v>
      </c>
      <c r="M5918" s="2" t="s">
        <v>55650</v>
      </c>
      <c r="N5918" s="3" t="s">
        <v>1195</v>
      </c>
      <c r="O5918" s="2" t="s">
        <v>55651</v>
      </c>
      <c r="P5918" s="3" t="s">
        <v>64</v>
      </c>
      <c r="Q5918" s="2" t="s">
        <v>55575</v>
      </c>
      <c r="R5918" s="3" t="s">
        <v>27443</v>
      </c>
      <c r="S5918" s="4">
        <v>19</v>
      </c>
      <c r="T5918" s="4">
        <v>19</v>
      </c>
      <c r="U5918" s="5" t="s">
        <v>13084</v>
      </c>
      <c r="V5918" s="5" t="s">
        <v>13084</v>
      </c>
      <c r="W5918" s="5" t="s">
        <v>67</v>
      </c>
      <c r="X5918" s="5" t="s">
        <v>67</v>
      </c>
      <c r="Y5918" s="4">
        <v>508</v>
      </c>
      <c r="Z5918" s="4">
        <v>9</v>
      </c>
      <c r="AA5918" s="4">
        <v>19</v>
      </c>
      <c r="AB5918" s="4">
        <v>1</v>
      </c>
      <c r="AC5918" s="4">
        <v>1</v>
      </c>
      <c r="AD5918" s="4">
        <v>34</v>
      </c>
      <c r="AE5918" s="4">
        <v>37</v>
      </c>
      <c r="AF5918" s="4">
        <v>0</v>
      </c>
      <c r="AG5918" s="4">
        <v>0</v>
      </c>
      <c r="AH5918" s="4">
        <v>30</v>
      </c>
      <c r="AI5918" s="4">
        <v>32</v>
      </c>
      <c r="AJ5918" s="4">
        <v>2</v>
      </c>
      <c r="AK5918" s="4">
        <v>4</v>
      </c>
      <c r="AL5918" s="4">
        <v>17</v>
      </c>
      <c r="AM5918" s="4">
        <v>18</v>
      </c>
      <c r="AN5918" s="4">
        <v>0</v>
      </c>
      <c r="AO5918" s="4">
        <v>0</v>
      </c>
      <c r="AP5918" s="4">
        <v>4</v>
      </c>
      <c r="AQ5918" s="4">
        <v>7</v>
      </c>
      <c r="AR5918" s="3" t="s">
        <v>62</v>
      </c>
      <c r="AS5918" s="3" t="s">
        <v>62</v>
      </c>
      <c r="AT5918" s="3" t="s">
        <v>62</v>
      </c>
      <c r="AV5918" s="6" t="str">
        <f>HYPERLINK("http://mcgill.on.worldcat.org/oclc/65519760","Catalog Record")</f>
        <v>Catalog Record</v>
      </c>
      <c r="AW5918" s="6" t="str">
        <f>HYPERLINK("http://www.worldcat.org/oclc/65519760","WorldCat Record")</f>
        <v>WorldCat Record</v>
      </c>
      <c r="AX5918" s="3" t="s">
        <v>55652</v>
      </c>
      <c r="AY5918" s="3" t="s">
        <v>55653</v>
      </c>
      <c r="AZ5918" s="3" t="s">
        <v>55654</v>
      </c>
      <c r="BA5918" s="3" t="s">
        <v>55654</v>
      </c>
      <c r="BB5918" s="3" t="s">
        <v>55655</v>
      </c>
      <c r="BC5918" s="3" t="s">
        <v>33640</v>
      </c>
      <c r="BD5918" s="3" t="s">
        <v>68</v>
      </c>
      <c r="BE5918" s="3" t="s">
        <v>55656</v>
      </c>
      <c r="BF5918" s="3" t="s">
        <v>55655</v>
      </c>
      <c r="BG5918" s="3" t="s">
        <v>55657</v>
      </c>
    </row>
    <row r="5919" spans="1:59" ht="101.5" x14ac:dyDescent="0.35">
      <c r="A5919" s="2" t="s">
        <v>89</v>
      </c>
      <c r="B5919" s="2" t="s">
        <v>42560</v>
      </c>
      <c r="C5919" s="2" t="s">
        <v>55658</v>
      </c>
      <c r="D5919" s="2" t="s">
        <v>55659</v>
      </c>
      <c r="E5919" s="2" t="s">
        <v>55660</v>
      </c>
      <c r="G5919" s="3" t="s">
        <v>62</v>
      </c>
      <c r="I5919" s="3" t="s">
        <v>61</v>
      </c>
      <c r="J5919" s="3" t="s">
        <v>62</v>
      </c>
      <c r="K5919" s="3" t="s">
        <v>63</v>
      </c>
      <c r="M5919" s="2" t="s">
        <v>55661</v>
      </c>
      <c r="N5919" s="3" t="s">
        <v>1195</v>
      </c>
      <c r="O5919" s="2" t="s">
        <v>55006</v>
      </c>
      <c r="P5919" s="3" t="s">
        <v>64</v>
      </c>
      <c r="R5919" s="3" t="s">
        <v>27443</v>
      </c>
      <c r="S5919" s="4">
        <v>84</v>
      </c>
      <c r="T5919" s="4">
        <v>220</v>
      </c>
      <c r="U5919" s="5" t="s">
        <v>16291</v>
      </c>
      <c r="V5919" s="5" t="s">
        <v>598</v>
      </c>
      <c r="W5919" s="5" t="s">
        <v>67</v>
      </c>
      <c r="X5919" s="5" t="s">
        <v>67</v>
      </c>
      <c r="Y5919" s="4">
        <v>3428</v>
      </c>
      <c r="Z5919" s="4">
        <v>70</v>
      </c>
      <c r="AA5919" s="4">
        <v>99</v>
      </c>
      <c r="AB5919" s="4">
        <v>4</v>
      </c>
      <c r="AC5919" s="4">
        <v>13</v>
      </c>
      <c r="AD5919" s="4">
        <v>128</v>
      </c>
      <c r="AE5919" s="4">
        <v>139</v>
      </c>
      <c r="AF5919" s="4">
        <v>1</v>
      </c>
      <c r="AG5919" s="4">
        <v>4</v>
      </c>
      <c r="AH5919" s="4">
        <v>106</v>
      </c>
      <c r="AI5919" s="4">
        <v>107</v>
      </c>
      <c r="AJ5919" s="4">
        <v>15</v>
      </c>
      <c r="AK5919" s="4">
        <v>18</v>
      </c>
      <c r="AL5919" s="4">
        <v>57</v>
      </c>
      <c r="AM5919" s="4">
        <v>59</v>
      </c>
      <c r="AN5919" s="4">
        <v>0</v>
      </c>
      <c r="AO5919" s="4">
        <v>0</v>
      </c>
      <c r="AP5919" s="4">
        <v>27</v>
      </c>
      <c r="AQ5919" s="4">
        <v>35</v>
      </c>
      <c r="AR5919" s="3" t="s">
        <v>62</v>
      </c>
      <c r="AS5919" s="3" t="s">
        <v>62</v>
      </c>
      <c r="AT5919" s="3" t="s">
        <v>62</v>
      </c>
      <c r="AV5919" s="6" t="str">
        <f>HYPERLINK("http://mcgill.on.worldcat.org/oclc/71259343","Catalog Record")</f>
        <v>Catalog Record</v>
      </c>
      <c r="AW5919" s="6" t="str">
        <f>HYPERLINK("http://www.worldcat.org/oclc/71259343","WorldCat Record")</f>
        <v>WorldCat Record</v>
      </c>
      <c r="AX5919" s="3" t="s">
        <v>55662</v>
      </c>
      <c r="AY5919" s="3" t="s">
        <v>55663</v>
      </c>
      <c r="AZ5919" s="3" t="s">
        <v>55664</v>
      </c>
      <c r="BA5919" s="3" t="s">
        <v>55664</v>
      </c>
      <c r="BB5919" s="3" t="s">
        <v>55665</v>
      </c>
      <c r="BC5919" s="3" t="s">
        <v>33640</v>
      </c>
      <c r="BD5919" s="3" t="s">
        <v>68</v>
      </c>
      <c r="BE5919" s="3" t="s">
        <v>55666</v>
      </c>
      <c r="BF5919" s="3" t="s">
        <v>55665</v>
      </c>
      <c r="BG5919" s="3" t="s">
        <v>55667</v>
      </c>
    </row>
    <row r="5920" spans="1:59" ht="101.5" x14ac:dyDescent="0.35">
      <c r="A5920" s="2" t="s">
        <v>89</v>
      </c>
      <c r="B5920" s="2" t="s">
        <v>42560</v>
      </c>
      <c r="C5920" s="2" t="s">
        <v>55658</v>
      </c>
      <c r="D5920" s="2" t="s">
        <v>55659</v>
      </c>
      <c r="E5920" s="2" t="s">
        <v>55660</v>
      </c>
      <c r="G5920" s="3" t="s">
        <v>62</v>
      </c>
      <c r="I5920" s="3" t="s">
        <v>61</v>
      </c>
      <c r="J5920" s="3" t="s">
        <v>62</v>
      </c>
      <c r="K5920" s="3" t="s">
        <v>63</v>
      </c>
      <c r="M5920" s="2" t="s">
        <v>55661</v>
      </c>
      <c r="N5920" s="3" t="s">
        <v>1195</v>
      </c>
      <c r="O5920" s="2" t="s">
        <v>55006</v>
      </c>
      <c r="P5920" s="3" t="s">
        <v>64</v>
      </c>
      <c r="R5920" s="3" t="s">
        <v>27443</v>
      </c>
      <c r="S5920" s="4">
        <v>15</v>
      </c>
      <c r="T5920" s="4">
        <v>220</v>
      </c>
      <c r="U5920" s="5" t="s">
        <v>598</v>
      </c>
      <c r="V5920" s="5" t="s">
        <v>598</v>
      </c>
      <c r="W5920" s="5" t="s">
        <v>67</v>
      </c>
      <c r="X5920" s="5" t="s">
        <v>67</v>
      </c>
      <c r="Y5920" s="4">
        <v>3428</v>
      </c>
      <c r="Z5920" s="4">
        <v>70</v>
      </c>
      <c r="AA5920" s="4">
        <v>99</v>
      </c>
      <c r="AB5920" s="4">
        <v>4</v>
      </c>
      <c r="AC5920" s="4">
        <v>13</v>
      </c>
      <c r="AD5920" s="4">
        <v>128</v>
      </c>
      <c r="AE5920" s="4">
        <v>139</v>
      </c>
      <c r="AF5920" s="4">
        <v>1</v>
      </c>
      <c r="AG5920" s="4">
        <v>4</v>
      </c>
      <c r="AH5920" s="4">
        <v>106</v>
      </c>
      <c r="AI5920" s="4">
        <v>107</v>
      </c>
      <c r="AJ5920" s="4">
        <v>15</v>
      </c>
      <c r="AK5920" s="4">
        <v>18</v>
      </c>
      <c r="AL5920" s="4">
        <v>57</v>
      </c>
      <c r="AM5920" s="4">
        <v>59</v>
      </c>
      <c r="AN5920" s="4">
        <v>0</v>
      </c>
      <c r="AO5920" s="4">
        <v>0</v>
      </c>
      <c r="AP5920" s="4">
        <v>27</v>
      </c>
      <c r="AQ5920" s="4">
        <v>35</v>
      </c>
      <c r="AR5920" s="3" t="s">
        <v>62</v>
      </c>
      <c r="AS5920" s="3" t="s">
        <v>62</v>
      </c>
      <c r="AT5920" s="3" t="s">
        <v>62</v>
      </c>
      <c r="AV5920" s="6" t="str">
        <f>HYPERLINK("http://mcgill.on.worldcat.org/oclc/71259343","Catalog Record")</f>
        <v>Catalog Record</v>
      </c>
      <c r="AW5920" s="6" t="str">
        <f>HYPERLINK("http://www.worldcat.org/oclc/71259343","WorldCat Record")</f>
        <v>WorldCat Record</v>
      </c>
      <c r="AX5920" s="3" t="s">
        <v>55662</v>
      </c>
      <c r="AY5920" s="3" t="s">
        <v>55663</v>
      </c>
      <c r="AZ5920" s="3" t="s">
        <v>55664</v>
      </c>
      <c r="BA5920" s="3" t="s">
        <v>55664</v>
      </c>
      <c r="BB5920" s="3" t="s">
        <v>55668</v>
      </c>
      <c r="BC5920" s="3" t="s">
        <v>33640</v>
      </c>
      <c r="BD5920" s="3" t="s">
        <v>68</v>
      </c>
      <c r="BE5920" s="3" t="s">
        <v>55666</v>
      </c>
      <c r="BF5920" s="3" t="s">
        <v>55668</v>
      </c>
      <c r="BG5920" s="3" t="s">
        <v>55669</v>
      </c>
    </row>
    <row r="5921" spans="1:59" ht="101.5" x14ac:dyDescent="0.35">
      <c r="A5921" s="2" t="s">
        <v>89</v>
      </c>
      <c r="B5921" s="2" t="s">
        <v>42560</v>
      </c>
      <c r="C5921" s="2" t="s">
        <v>55658</v>
      </c>
      <c r="D5921" s="2" t="s">
        <v>55659</v>
      </c>
      <c r="E5921" s="2" t="s">
        <v>55660</v>
      </c>
      <c r="G5921" s="3" t="s">
        <v>62</v>
      </c>
      <c r="I5921" s="3" t="s">
        <v>61</v>
      </c>
      <c r="J5921" s="3" t="s">
        <v>62</v>
      </c>
      <c r="K5921" s="3" t="s">
        <v>63</v>
      </c>
      <c r="M5921" s="2" t="s">
        <v>55661</v>
      </c>
      <c r="N5921" s="3" t="s">
        <v>1195</v>
      </c>
      <c r="O5921" s="2" t="s">
        <v>55006</v>
      </c>
      <c r="P5921" s="3" t="s">
        <v>64</v>
      </c>
      <c r="R5921" s="3" t="s">
        <v>27443</v>
      </c>
      <c r="S5921" s="4">
        <v>29</v>
      </c>
      <c r="T5921" s="4">
        <v>220</v>
      </c>
      <c r="U5921" s="5" t="s">
        <v>11843</v>
      </c>
      <c r="V5921" s="5" t="s">
        <v>598</v>
      </c>
      <c r="W5921" s="5" t="s">
        <v>67</v>
      </c>
      <c r="X5921" s="5" t="s">
        <v>67</v>
      </c>
      <c r="Y5921" s="4">
        <v>3428</v>
      </c>
      <c r="Z5921" s="4">
        <v>70</v>
      </c>
      <c r="AA5921" s="4">
        <v>99</v>
      </c>
      <c r="AB5921" s="4">
        <v>4</v>
      </c>
      <c r="AC5921" s="4">
        <v>13</v>
      </c>
      <c r="AD5921" s="4">
        <v>128</v>
      </c>
      <c r="AE5921" s="4">
        <v>139</v>
      </c>
      <c r="AF5921" s="4">
        <v>1</v>
      </c>
      <c r="AG5921" s="4">
        <v>4</v>
      </c>
      <c r="AH5921" s="4">
        <v>106</v>
      </c>
      <c r="AI5921" s="4">
        <v>107</v>
      </c>
      <c r="AJ5921" s="4">
        <v>15</v>
      </c>
      <c r="AK5921" s="4">
        <v>18</v>
      </c>
      <c r="AL5921" s="4">
        <v>57</v>
      </c>
      <c r="AM5921" s="4">
        <v>59</v>
      </c>
      <c r="AN5921" s="4">
        <v>0</v>
      </c>
      <c r="AO5921" s="4">
        <v>0</v>
      </c>
      <c r="AP5921" s="4">
        <v>27</v>
      </c>
      <c r="AQ5921" s="4">
        <v>35</v>
      </c>
      <c r="AR5921" s="3" t="s">
        <v>62</v>
      </c>
      <c r="AS5921" s="3" t="s">
        <v>62</v>
      </c>
      <c r="AT5921" s="3" t="s">
        <v>62</v>
      </c>
      <c r="AV5921" s="6" t="str">
        <f>HYPERLINK("http://mcgill.on.worldcat.org/oclc/71259343","Catalog Record")</f>
        <v>Catalog Record</v>
      </c>
      <c r="AW5921" s="6" t="str">
        <f>HYPERLINK("http://www.worldcat.org/oclc/71259343","WorldCat Record")</f>
        <v>WorldCat Record</v>
      </c>
      <c r="AX5921" s="3" t="s">
        <v>55662</v>
      </c>
      <c r="AY5921" s="3" t="s">
        <v>55663</v>
      </c>
      <c r="AZ5921" s="3" t="s">
        <v>55664</v>
      </c>
      <c r="BA5921" s="3" t="s">
        <v>55664</v>
      </c>
      <c r="BB5921" s="3" t="s">
        <v>55670</v>
      </c>
      <c r="BC5921" s="3" t="s">
        <v>33640</v>
      </c>
      <c r="BD5921" s="3" t="s">
        <v>68</v>
      </c>
      <c r="BE5921" s="3" t="s">
        <v>55666</v>
      </c>
      <c r="BF5921" s="3" t="s">
        <v>55670</v>
      </c>
      <c r="BG5921" s="3" t="s">
        <v>55671</v>
      </c>
    </row>
    <row r="5922" spans="1:59" ht="101.5" x14ac:dyDescent="0.35">
      <c r="A5922" s="2" t="s">
        <v>89</v>
      </c>
      <c r="B5922" s="2" t="s">
        <v>42560</v>
      </c>
      <c r="C5922" s="2" t="s">
        <v>55658</v>
      </c>
      <c r="D5922" s="2" t="s">
        <v>55659</v>
      </c>
      <c r="E5922" s="2" t="s">
        <v>55660</v>
      </c>
      <c r="G5922" s="3" t="s">
        <v>62</v>
      </c>
      <c r="I5922" s="3" t="s">
        <v>61</v>
      </c>
      <c r="J5922" s="3" t="s">
        <v>62</v>
      </c>
      <c r="K5922" s="3" t="s">
        <v>63</v>
      </c>
      <c r="M5922" s="2" t="s">
        <v>55661</v>
      </c>
      <c r="N5922" s="3" t="s">
        <v>1195</v>
      </c>
      <c r="O5922" s="2" t="s">
        <v>55006</v>
      </c>
      <c r="P5922" s="3" t="s">
        <v>64</v>
      </c>
      <c r="R5922" s="3" t="s">
        <v>27443</v>
      </c>
      <c r="S5922" s="4">
        <v>90</v>
      </c>
      <c r="T5922" s="4">
        <v>220</v>
      </c>
      <c r="U5922" s="5" t="s">
        <v>13084</v>
      </c>
      <c r="V5922" s="5" t="s">
        <v>598</v>
      </c>
      <c r="W5922" s="5" t="s">
        <v>67</v>
      </c>
      <c r="X5922" s="5" t="s">
        <v>67</v>
      </c>
      <c r="Y5922" s="4">
        <v>3428</v>
      </c>
      <c r="Z5922" s="4">
        <v>70</v>
      </c>
      <c r="AA5922" s="4">
        <v>99</v>
      </c>
      <c r="AB5922" s="4">
        <v>4</v>
      </c>
      <c r="AC5922" s="4">
        <v>13</v>
      </c>
      <c r="AD5922" s="4">
        <v>128</v>
      </c>
      <c r="AE5922" s="4">
        <v>139</v>
      </c>
      <c r="AF5922" s="4">
        <v>1</v>
      </c>
      <c r="AG5922" s="4">
        <v>4</v>
      </c>
      <c r="AH5922" s="4">
        <v>106</v>
      </c>
      <c r="AI5922" s="4">
        <v>107</v>
      </c>
      <c r="AJ5922" s="4">
        <v>15</v>
      </c>
      <c r="AK5922" s="4">
        <v>18</v>
      </c>
      <c r="AL5922" s="4">
        <v>57</v>
      </c>
      <c r="AM5922" s="4">
        <v>59</v>
      </c>
      <c r="AN5922" s="4">
        <v>0</v>
      </c>
      <c r="AO5922" s="4">
        <v>0</v>
      </c>
      <c r="AP5922" s="4">
        <v>27</v>
      </c>
      <c r="AQ5922" s="4">
        <v>35</v>
      </c>
      <c r="AR5922" s="3" t="s">
        <v>62</v>
      </c>
      <c r="AS5922" s="3" t="s">
        <v>62</v>
      </c>
      <c r="AT5922" s="3" t="s">
        <v>62</v>
      </c>
      <c r="AV5922" s="6" t="str">
        <f>HYPERLINK("http://mcgill.on.worldcat.org/oclc/71259343","Catalog Record")</f>
        <v>Catalog Record</v>
      </c>
      <c r="AW5922" s="6" t="str">
        <f>HYPERLINK("http://www.worldcat.org/oclc/71259343","WorldCat Record")</f>
        <v>WorldCat Record</v>
      </c>
      <c r="AX5922" s="3" t="s">
        <v>55662</v>
      </c>
      <c r="AY5922" s="3" t="s">
        <v>55663</v>
      </c>
      <c r="AZ5922" s="3" t="s">
        <v>55664</v>
      </c>
      <c r="BA5922" s="3" t="s">
        <v>55664</v>
      </c>
      <c r="BB5922" s="3" t="s">
        <v>55672</v>
      </c>
      <c r="BC5922" s="3" t="s">
        <v>33640</v>
      </c>
      <c r="BD5922" s="3" t="s">
        <v>68</v>
      </c>
      <c r="BE5922" s="3" t="s">
        <v>55666</v>
      </c>
      <c r="BF5922" s="3" t="s">
        <v>55672</v>
      </c>
      <c r="BG5922" s="3" t="s">
        <v>55673</v>
      </c>
    </row>
    <row r="5923" spans="1:59" ht="87" x14ac:dyDescent="0.35">
      <c r="A5923" s="2" t="s">
        <v>89</v>
      </c>
      <c r="B5923" s="2" t="s">
        <v>42560</v>
      </c>
      <c r="C5923" s="2" t="s">
        <v>55674</v>
      </c>
      <c r="D5923" s="2" t="s">
        <v>55675</v>
      </c>
      <c r="E5923" s="2" t="s">
        <v>55676</v>
      </c>
      <c r="G5923" s="3" t="s">
        <v>62</v>
      </c>
      <c r="I5923" s="3" t="s">
        <v>62</v>
      </c>
      <c r="J5923" s="3" t="s">
        <v>62</v>
      </c>
      <c r="K5923" s="3" t="s">
        <v>63</v>
      </c>
      <c r="M5923" s="2" t="s">
        <v>55677</v>
      </c>
      <c r="N5923" s="3" t="s">
        <v>1195</v>
      </c>
      <c r="P5923" s="3" t="s">
        <v>64</v>
      </c>
      <c r="R5923" s="3" t="s">
        <v>27443</v>
      </c>
      <c r="S5923" s="4">
        <v>13</v>
      </c>
      <c r="T5923" s="4">
        <v>13</v>
      </c>
      <c r="U5923" s="5" t="s">
        <v>40558</v>
      </c>
      <c r="V5923" s="5" t="s">
        <v>40558</v>
      </c>
      <c r="W5923" s="5" t="s">
        <v>67</v>
      </c>
      <c r="X5923" s="5" t="s">
        <v>67</v>
      </c>
      <c r="Y5923" s="4">
        <v>10</v>
      </c>
      <c r="Z5923" s="4">
        <v>9</v>
      </c>
      <c r="AA5923" s="4">
        <v>40</v>
      </c>
      <c r="AB5923" s="4">
        <v>2</v>
      </c>
      <c r="AC5923" s="4">
        <v>2</v>
      </c>
      <c r="AD5923" s="4">
        <v>4</v>
      </c>
      <c r="AE5923" s="4">
        <v>20</v>
      </c>
      <c r="AF5923" s="4">
        <v>0</v>
      </c>
      <c r="AG5923" s="4">
        <v>0</v>
      </c>
      <c r="AH5923" s="4">
        <v>1</v>
      </c>
      <c r="AI5923" s="4">
        <v>12</v>
      </c>
      <c r="AJ5923" s="4">
        <v>2</v>
      </c>
      <c r="AK5923" s="4">
        <v>8</v>
      </c>
      <c r="AL5923" s="4">
        <v>1</v>
      </c>
      <c r="AM5923" s="4">
        <v>6</v>
      </c>
      <c r="AN5923" s="4">
        <v>0</v>
      </c>
      <c r="AO5923" s="4">
        <v>0</v>
      </c>
      <c r="AP5923" s="4">
        <v>4</v>
      </c>
      <c r="AQ5923" s="4">
        <v>14</v>
      </c>
      <c r="AR5923" s="3" t="s">
        <v>61</v>
      </c>
      <c r="AS5923" s="3" t="s">
        <v>62</v>
      </c>
      <c r="AT5923" s="3" t="s">
        <v>62</v>
      </c>
      <c r="AV5923" s="6" t="str">
        <f>HYPERLINK("http://mcgill.on.worldcat.org/oclc/234150206","Catalog Record")</f>
        <v>Catalog Record</v>
      </c>
      <c r="AW5923" s="6" t="str">
        <f>HYPERLINK("http://www.worldcat.org/oclc/234150206","WorldCat Record")</f>
        <v>WorldCat Record</v>
      </c>
      <c r="AX5923" s="3" t="s">
        <v>55678</v>
      </c>
      <c r="AY5923" s="3" t="s">
        <v>55679</v>
      </c>
      <c r="AZ5923" s="3" t="s">
        <v>55680</v>
      </c>
      <c r="BA5923" s="3" t="s">
        <v>55680</v>
      </c>
      <c r="BB5923" s="3" t="s">
        <v>55681</v>
      </c>
      <c r="BC5923" s="3" t="s">
        <v>33640</v>
      </c>
      <c r="BD5923" s="3" t="s">
        <v>68</v>
      </c>
      <c r="BF5923" s="3" t="s">
        <v>55681</v>
      </c>
      <c r="BG5923" s="3" t="s">
        <v>55682</v>
      </c>
    </row>
    <row r="5924" spans="1:59" ht="87" x14ac:dyDescent="0.35">
      <c r="A5924" s="2" t="s">
        <v>89</v>
      </c>
      <c r="B5924" s="2" t="s">
        <v>42560</v>
      </c>
      <c r="C5924" s="2" t="s">
        <v>55683</v>
      </c>
      <c r="D5924" s="2" t="s">
        <v>55684</v>
      </c>
      <c r="E5924" s="2" t="s">
        <v>55685</v>
      </c>
      <c r="G5924" s="3" t="s">
        <v>62</v>
      </c>
      <c r="I5924" s="3" t="s">
        <v>62</v>
      </c>
      <c r="J5924" s="3" t="s">
        <v>62</v>
      </c>
      <c r="K5924" s="3" t="s">
        <v>63</v>
      </c>
      <c r="M5924" s="2" t="s">
        <v>55686</v>
      </c>
      <c r="N5924" s="3" t="s">
        <v>655</v>
      </c>
      <c r="P5924" s="3" t="s">
        <v>64</v>
      </c>
      <c r="R5924" s="3" t="s">
        <v>27443</v>
      </c>
      <c r="S5924" s="4">
        <v>9</v>
      </c>
      <c r="T5924" s="4">
        <v>9</v>
      </c>
      <c r="U5924" s="5" t="s">
        <v>2062</v>
      </c>
      <c r="V5924" s="5" t="s">
        <v>2062</v>
      </c>
      <c r="W5924" s="5" t="s">
        <v>67</v>
      </c>
      <c r="X5924" s="5" t="s">
        <v>67</v>
      </c>
      <c r="Y5924" s="4">
        <v>115</v>
      </c>
      <c r="Z5924" s="4">
        <v>3</v>
      </c>
      <c r="AA5924" s="4">
        <v>5</v>
      </c>
      <c r="AB5924" s="4">
        <v>1</v>
      </c>
      <c r="AC5924" s="4">
        <v>1</v>
      </c>
      <c r="AD5924" s="4">
        <v>10</v>
      </c>
      <c r="AE5924" s="4">
        <v>14</v>
      </c>
      <c r="AF5924" s="4">
        <v>0</v>
      </c>
      <c r="AG5924" s="4">
        <v>0</v>
      </c>
      <c r="AH5924" s="4">
        <v>10</v>
      </c>
      <c r="AI5924" s="4">
        <v>14</v>
      </c>
      <c r="AJ5924" s="4">
        <v>0</v>
      </c>
      <c r="AK5924" s="4">
        <v>1</v>
      </c>
      <c r="AL5924" s="4">
        <v>5</v>
      </c>
      <c r="AM5924" s="4">
        <v>6</v>
      </c>
      <c r="AN5924" s="4">
        <v>0</v>
      </c>
      <c r="AO5924" s="4">
        <v>0</v>
      </c>
      <c r="AP5924" s="4">
        <v>0</v>
      </c>
      <c r="AQ5924" s="4">
        <v>1</v>
      </c>
      <c r="AR5924" s="3" t="s">
        <v>62</v>
      </c>
      <c r="AS5924" s="3" t="s">
        <v>62</v>
      </c>
      <c r="AT5924" s="3" t="s">
        <v>62</v>
      </c>
      <c r="AV5924" s="6" t="str">
        <f>HYPERLINK("http://mcgill.on.worldcat.org/oclc/163952538","Catalog Record")</f>
        <v>Catalog Record</v>
      </c>
      <c r="AW5924" s="6" t="str">
        <f>HYPERLINK("http://www.worldcat.org/oclc/163952538","WorldCat Record")</f>
        <v>WorldCat Record</v>
      </c>
      <c r="AX5924" s="3" t="s">
        <v>55687</v>
      </c>
      <c r="AY5924" s="3" t="s">
        <v>55688</v>
      </c>
      <c r="AZ5924" s="3" t="s">
        <v>55689</v>
      </c>
      <c r="BA5924" s="3" t="s">
        <v>55689</v>
      </c>
      <c r="BB5924" s="3" t="s">
        <v>55690</v>
      </c>
      <c r="BC5924" s="3" t="s">
        <v>33640</v>
      </c>
      <c r="BD5924" s="3" t="s">
        <v>68</v>
      </c>
      <c r="BF5924" s="3" t="s">
        <v>55690</v>
      </c>
      <c r="BG5924" s="3" t="s">
        <v>55691</v>
      </c>
    </row>
    <row r="5925" spans="1:59" ht="87" x14ac:dyDescent="0.35">
      <c r="A5925" s="2" t="s">
        <v>89</v>
      </c>
      <c r="B5925" s="2" t="s">
        <v>42560</v>
      </c>
      <c r="C5925" s="2" t="s">
        <v>55692</v>
      </c>
      <c r="D5925" s="2" t="s">
        <v>55693</v>
      </c>
      <c r="E5925" s="2" t="s">
        <v>55694</v>
      </c>
      <c r="G5925" s="3" t="s">
        <v>62</v>
      </c>
      <c r="I5925" s="3" t="s">
        <v>62</v>
      </c>
      <c r="J5925" s="3" t="s">
        <v>62</v>
      </c>
      <c r="K5925" s="3" t="s">
        <v>63</v>
      </c>
      <c r="M5925" s="2" t="s">
        <v>55695</v>
      </c>
      <c r="N5925" s="3" t="s">
        <v>1722</v>
      </c>
      <c r="P5925" s="3" t="s">
        <v>64</v>
      </c>
      <c r="R5925" s="3" t="s">
        <v>27443</v>
      </c>
      <c r="S5925" s="4">
        <v>33</v>
      </c>
      <c r="T5925" s="4">
        <v>33</v>
      </c>
      <c r="U5925" s="5" t="s">
        <v>2062</v>
      </c>
      <c r="V5925" s="5" t="s">
        <v>2062</v>
      </c>
      <c r="W5925" s="5" t="s">
        <v>67</v>
      </c>
      <c r="X5925" s="5" t="s">
        <v>67</v>
      </c>
      <c r="Y5925" s="4">
        <v>776</v>
      </c>
      <c r="Z5925" s="4">
        <v>42</v>
      </c>
      <c r="AA5925" s="4">
        <v>76</v>
      </c>
      <c r="AB5925" s="4">
        <v>3</v>
      </c>
      <c r="AC5925" s="4">
        <v>5</v>
      </c>
      <c r="AD5925" s="4">
        <v>33</v>
      </c>
      <c r="AE5925" s="4">
        <v>62</v>
      </c>
      <c r="AF5925" s="4">
        <v>0</v>
      </c>
      <c r="AG5925" s="4">
        <v>1</v>
      </c>
      <c r="AH5925" s="4">
        <v>27</v>
      </c>
      <c r="AI5925" s="4">
        <v>43</v>
      </c>
      <c r="AJ5925" s="4">
        <v>2</v>
      </c>
      <c r="AK5925" s="4">
        <v>7</v>
      </c>
      <c r="AL5925" s="4">
        <v>9</v>
      </c>
      <c r="AM5925" s="4">
        <v>13</v>
      </c>
      <c r="AN5925" s="4">
        <v>0</v>
      </c>
      <c r="AO5925" s="4">
        <v>0</v>
      </c>
      <c r="AP5925" s="4">
        <v>7</v>
      </c>
      <c r="AQ5925" s="4">
        <v>24</v>
      </c>
      <c r="AR5925" s="3" t="s">
        <v>62</v>
      </c>
      <c r="AS5925" s="3" t="s">
        <v>62</v>
      </c>
      <c r="AT5925" s="3" t="s">
        <v>62</v>
      </c>
      <c r="AV5925" s="6" t="str">
        <f>HYPERLINK("http://mcgill.on.worldcat.org/oclc/190864815","Catalog Record")</f>
        <v>Catalog Record</v>
      </c>
      <c r="AW5925" s="6" t="str">
        <f>HYPERLINK("http://www.worldcat.org/oclc/190864815","WorldCat Record")</f>
        <v>WorldCat Record</v>
      </c>
      <c r="AX5925" s="3" t="s">
        <v>55696</v>
      </c>
      <c r="AY5925" s="3" t="s">
        <v>55697</v>
      </c>
      <c r="AZ5925" s="3" t="s">
        <v>55698</v>
      </c>
      <c r="BA5925" s="3" t="s">
        <v>55698</v>
      </c>
      <c r="BB5925" s="3" t="s">
        <v>55699</v>
      </c>
      <c r="BC5925" s="3" t="s">
        <v>33640</v>
      </c>
      <c r="BD5925" s="3" t="s">
        <v>68</v>
      </c>
      <c r="BE5925" s="3" t="s">
        <v>55700</v>
      </c>
      <c r="BF5925" s="3" t="s">
        <v>55699</v>
      </c>
      <c r="BG5925" s="3" t="s">
        <v>55701</v>
      </c>
    </row>
    <row r="5926" spans="1:59" ht="87" x14ac:dyDescent="0.35">
      <c r="A5926" s="2" t="s">
        <v>89</v>
      </c>
      <c r="B5926" s="2" t="s">
        <v>42560</v>
      </c>
      <c r="C5926" s="2" t="s">
        <v>55702</v>
      </c>
      <c r="D5926" s="2" t="s">
        <v>55703</v>
      </c>
      <c r="E5926" s="2" t="s">
        <v>55704</v>
      </c>
      <c r="G5926" s="3" t="s">
        <v>61</v>
      </c>
      <c r="I5926" s="3" t="s">
        <v>61</v>
      </c>
      <c r="J5926" s="3" t="s">
        <v>62</v>
      </c>
      <c r="K5926" s="3" t="s">
        <v>63</v>
      </c>
      <c r="M5926" s="2" t="s">
        <v>55705</v>
      </c>
      <c r="N5926" s="3" t="s">
        <v>1722</v>
      </c>
      <c r="P5926" s="3" t="s">
        <v>64</v>
      </c>
      <c r="R5926" s="3" t="s">
        <v>32962</v>
      </c>
      <c r="S5926" s="4">
        <v>24</v>
      </c>
      <c r="T5926" s="4">
        <v>43</v>
      </c>
      <c r="U5926" s="5" t="s">
        <v>12308</v>
      </c>
      <c r="V5926" s="5" t="s">
        <v>12308</v>
      </c>
      <c r="W5926" s="5" t="s">
        <v>67</v>
      </c>
      <c r="X5926" s="5" t="s">
        <v>67</v>
      </c>
      <c r="Y5926" s="4">
        <v>686</v>
      </c>
      <c r="Z5926" s="4">
        <v>36</v>
      </c>
      <c r="AA5926" s="4">
        <v>39</v>
      </c>
      <c r="AB5926" s="4">
        <v>2</v>
      </c>
      <c r="AC5926" s="4">
        <v>3</v>
      </c>
      <c r="AD5926" s="4">
        <v>28</v>
      </c>
      <c r="AE5926" s="4">
        <v>28</v>
      </c>
      <c r="AF5926" s="4">
        <v>0</v>
      </c>
      <c r="AG5926" s="4">
        <v>0</v>
      </c>
      <c r="AH5926" s="4">
        <v>23</v>
      </c>
      <c r="AI5926" s="4">
        <v>23</v>
      </c>
      <c r="AJ5926" s="4">
        <v>4</v>
      </c>
      <c r="AK5926" s="4">
        <v>4</v>
      </c>
      <c r="AL5926" s="4">
        <v>10</v>
      </c>
      <c r="AM5926" s="4">
        <v>10</v>
      </c>
      <c r="AN5926" s="4">
        <v>0</v>
      </c>
      <c r="AO5926" s="4">
        <v>0</v>
      </c>
      <c r="AP5926" s="4">
        <v>7</v>
      </c>
      <c r="AQ5926" s="4">
        <v>7</v>
      </c>
      <c r="AR5926" s="3" t="s">
        <v>62</v>
      </c>
      <c r="AS5926" s="3" t="s">
        <v>62</v>
      </c>
      <c r="AT5926" s="3" t="s">
        <v>62</v>
      </c>
      <c r="AV5926" s="6" t="str">
        <f>HYPERLINK("http://mcgill.on.worldcat.org/oclc/226433935","Catalog Record")</f>
        <v>Catalog Record</v>
      </c>
      <c r="AW5926" s="6" t="str">
        <f>HYPERLINK("http://www.worldcat.org/oclc/226433935","WorldCat Record")</f>
        <v>WorldCat Record</v>
      </c>
      <c r="AX5926" s="3" t="s">
        <v>55706</v>
      </c>
      <c r="AY5926" s="3" t="s">
        <v>55707</v>
      </c>
      <c r="AZ5926" s="3" t="s">
        <v>55708</v>
      </c>
      <c r="BA5926" s="3" t="s">
        <v>55708</v>
      </c>
      <c r="BB5926" s="3" t="s">
        <v>55709</v>
      </c>
      <c r="BC5926" s="3" t="s">
        <v>33640</v>
      </c>
      <c r="BD5926" s="3" t="s">
        <v>68</v>
      </c>
      <c r="BE5926" s="3" t="s">
        <v>55710</v>
      </c>
      <c r="BF5926" s="3" t="s">
        <v>55709</v>
      </c>
      <c r="BG5926" s="3" t="s">
        <v>55711</v>
      </c>
    </row>
    <row r="5927" spans="1:59" ht="101.5" x14ac:dyDescent="0.35">
      <c r="A5927" s="2" t="s">
        <v>89</v>
      </c>
      <c r="B5927" s="2" t="s">
        <v>42560</v>
      </c>
      <c r="C5927" s="2" t="s">
        <v>55712</v>
      </c>
      <c r="D5927" s="2" t="s">
        <v>55713</v>
      </c>
      <c r="E5927" s="2" t="s">
        <v>55714</v>
      </c>
      <c r="G5927" s="3" t="s">
        <v>62</v>
      </c>
      <c r="I5927" s="3" t="s">
        <v>62</v>
      </c>
      <c r="J5927" s="3" t="s">
        <v>62</v>
      </c>
      <c r="K5927" s="3" t="s">
        <v>63</v>
      </c>
      <c r="M5927" s="2" t="s">
        <v>33633</v>
      </c>
      <c r="N5927" s="3" t="s">
        <v>1195</v>
      </c>
      <c r="P5927" s="3" t="s">
        <v>64</v>
      </c>
      <c r="R5927" s="3" t="s">
        <v>32962</v>
      </c>
      <c r="S5927" s="4">
        <v>10</v>
      </c>
      <c r="T5927" s="4">
        <v>10</v>
      </c>
      <c r="U5927" s="5" t="s">
        <v>2015</v>
      </c>
      <c r="V5927" s="5" t="s">
        <v>2015</v>
      </c>
      <c r="W5927" s="5" t="s">
        <v>67</v>
      </c>
      <c r="X5927" s="5" t="s">
        <v>67</v>
      </c>
      <c r="Y5927" s="4">
        <v>13</v>
      </c>
      <c r="Z5927" s="4">
        <v>1</v>
      </c>
      <c r="AA5927" s="4">
        <v>13</v>
      </c>
      <c r="AB5927" s="4">
        <v>1</v>
      </c>
      <c r="AC5927" s="4">
        <v>1</v>
      </c>
      <c r="AD5927" s="4">
        <v>1</v>
      </c>
      <c r="AE5927" s="4">
        <v>17</v>
      </c>
      <c r="AF5927" s="4">
        <v>0</v>
      </c>
      <c r="AG5927" s="4">
        <v>0</v>
      </c>
      <c r="AH5927" s="4">
        <v>1</v>
      </c>
      <c r="AI5927" s="4">
        <v>14</v>
      </c>
      <c r="AJ5927" s="4">
        <v>0</v>
      </c>
      <c r="AK5927" s="4">
        <v>2</v>
      </c>
      <c r="AL5927" s="4">
        <v>1</v>
      </c>
      <c r="AM5927" s="4">
        <v>10</v>
      </c>
      <c r="AN5927" s="4">
        <v>0</v>
      </c>
      <c r="AO5927" s="4">
        <v>0</v>
      </c>
      <c r="AP5927" s="4">
        <v>0</v>
      </c>
      <c r="AQ5927" s="4">
        <v>4</v>
      </c>
      <c r="AR5927" s="3" t="s">
        <v>62</v>
      </c>
      <c r="AS5927" s="3" t="s">
        <v>62</v>
      </c>
      <c r="AT5927" s="3" t="s">
        <v>62</v>
      </c>
      <c r="AV5927" s="6" t="str">
        <f>HYPERLINK("http://mcgill.on.worldcat.org/oclc/71805251","Catalog Record")</f>
        <v>Catalog Record</v>
      </c>
      <c r="AW5927" s="6" t="str">
        <f>HYPERLINK("http://www.worldcat.org/oclc/71805251","WorldCat Record")</f>
        <v>WorldCat Record</v>
      </c>
      <c r="AX5927" s="3" t="s">
        <v>55715</v>
      </c>
      <c r="AY5927" s="3" t="s">
        <v>55716</v>
      </c>
      <c r="AZ5927" s="3" t="s">
        <v>55717</v>
      </c>
      <c r="BA5927" s="3" t="s">
        <v>55717</v>
      </c>
      <c r="BB5927" s="3" t="s">
        <v>55718</v>
      </c>
      <c r="BC5927" s="3" t="s">
        <v>33640</v>
      </c>
      <c r="BD5927" s="3" t="s">
        <v>68</v>
      </c>
      <c r="BE5927" s="3" t="s">
        <v>55719</v>
      </c>
      <c r="BF5927" s="3" t="s">
        <v>55718</v>
      </c>
      <c r="BG5927" s="3" t="s">
        <v>55720</v>
      </c>
    </row>
    <row r="5928" spans="1:59" ht="87" x14ac:dyDescent="0.35">
      <c r="A5928" s="2" t="s">
        <v>89</v>
      </c>
      <c r="B5928" s="2" t="s">
        <v>42560</v>
      </c>
      <c r="C5928" s="2" t="s">
        <v>55721</v>
      </c>
      <c r="D5928" s="2" t="s">
        <v>55722</v>
      </c>
      <c r="E5928" s="2" t="s">
        <v>55723</v>
      </c>
      <c r="G5928" s="3" t="s">
        <v>62</v>
      </c>
      <c r="I5928" s="3" t="s">
        <v>62</v>
      </c>
      <c r="J5928" s="3" t="s">
        <v>62</v>
      </c>
      <c r="K5928" s="3" t="s">
        <v>63</v>
      </c>
      <c r="M5928" s="2" t="s">
        <v>55724</v>
      </c>
      <c r="N5928" s="3" t="s">
        <v>655</v>
      </c>
      <c r="P5928" s="3" t="s">
        <v>64</v>
      </c>
      <c r="R5928" s="3" t="s">
        <v>32962</v>
      </c>
      <c r="S5928" s="4">
        <v>3</v>
      </c>
      <c r="T5928" s="4">
        <v>3</v>
      </c>
      <c r="U5928" s="5" t="s">
        <v>42266</v>
      </c>
      <c r="V5928" s="5" t="s">
        <v>42266</v>
      </c>
      <c r="W5928" s="5" t="s">
        <v>67</v>
      </c>
      <c r="X5928" s="5" t="s">
        <v>67</v>
      </c>
      <c r="Y5928" s="4">
        <v>3</v>
      </c>
      <c r="Z5928" s="4">
        <v>3</v>
      </c>
      <c r="AA5928" s="4">
        <v>5</v>
      </c>
      <c r="AB5928" s="4">
        <v>1</v>
      </c>
      <c r="AC5928" s="4">
        <v>1</v>
      </c>
      <c r="AD5928" s="4">
        <v>0</v>
      </c>
      <c r="AE5928" s="4">
        <v>3</v>
      </c>
      <c r="AF5928" s="4">
        <v>0</v>
      </c>
      <c r="AG5928" s="4">
        <v>0</v>
      </c>
      <c r="AH5928" s="4">
        <v>0</v>
      </c>
      <c r="AI5928" s="4">
        <v>3</v>
      </c>
      <c r="AJ5928" s="4">
        <v>0</v>
      </c>
      <c r="AK5928" s="4">
        <v>1</v>
      </c>
      <c r="AL5928" s="4">
        <v>0</v>
      </c>
      <c r="AM5928" s="4">
        <v>1</v>
      </c>
      <c r="AN5928" s="4">
        <v>0</v>
      </c>
      <c r="AO5928" s="4">
        <v>0</v>
      </c>
      <c r="AP5928" s="4">
        <v>0</v>
      </c>
      <c r="AQ5928" s="4">
        <v>1</v>
      </c>
      <c r="AR5928" s="3" t="s">
        <v>61</v>
      </c>
      <c r="AS5928" s="3" t="s">
        <v>62</v>
      </c>
      <c r="AT5928" s="3" t="s">
        <v>62</v>
      </c>
      <c r="AV5928" s="6" t="str">
        <f>HYPERLINK("http://mcgill.on.worldcat.org/oclc/316179165","Catalog Record")</f>
        <v>Catalog Record</v>
      </c>
      <c r="AW5928" s="6" t="str">
        <f>HYPERLINK("http://www.worldcat.org/oclc/316179165","WorldCat Record")</f>
        <v>WorldCat Record</v>
      </c>
      <c r="AX5928" s="3" t="s">
        <v>55725</v>
      </c>
      <c r="AY5928" s="3" t="s">
        <v>55726</v>
      </c>
      <c r="AZ5928" s="3" t="s">
        <v>55727</v>
      </c>
      <c r="BA5928" s="3" t="s">
        <v>55727</v>
      </c>
      <c r="BB5928" s="3" t="s">
        <v>55728</v>
      </c>
      <c r="BC5928" s="3" t="s">
        <v>33640</v>
      </c>
      <c r="BD5928" s="3" t="s">
        <v>68</v>
      </c>
      <c r="BF5928" s="3" t="s">
        <v>55728</v>
      </c>
      <c r="BG5928" s="3" t="s">
        <v>55729</v>
      </c>
    </row>
    <row r="5929" spans="1:59" ht="87" x14ac:dyDescent="0.35">
      <c r="A5929" s="2" t="s">
        <v>89</v>
      </c>
      <c r="B5929" s="2" t="s">
        <v>42560</v>
      </c>
      <c r="C5929" s="2" t="s">
        <v>55730</v>
      </c>
      <c r="D5929" s="2" t="s">
        <v>55731</v>
      </c>
      <c r="E5929" s="2" t="s">
        <v>55732</v>
      </c>
      <c r="G5929" s="3" t="s">
        <v>62</v>
      </c>
      <c r="I5929" s="3" t="s">
        <v>62</v>
      </c>
      <c r="J5929" s="3" t="s">
        <v>62</v>
      </c>
      <c r="K5929" s="3" t="s">
        <v>63</v>
      </c>
      <c r="M5929" s="2" t="s">
        <v>55733</v>
      </c>
      <c r="N5929" s="3" t="s">
        <v>2136</v>
      </c>
      <c r="O5929" s="2" t="s">
        <v>55734</v>
      </c>
      <c r="P5929" s="3" t="s">
        <v>64</v>
      </c>
      <c r="R5929" s="3" t="s">
        <v>32962</v>
      </c>
      <c r="S5929" s="4">
        <v>7</v>
      </c>
      <c r="T5929" s="4">
        <v>7</v>
      </c>
      <c r="U5929" s="5" t="s">
        <v>6325</v>
      </c>
      <c r="V5929" s="5" t="s">
        <v>6325</v>
      </c>
      <c r="W5929" s="5" t="s">
        <v>67</v>
      </c>
      <c r="X5929" s="5" t="s">
        <v>67</v>
      </c>
      <c r="Y5929" s="4">
        <v>1</v>
      </c>
      <c r="Z5929" s="4">
        <v>1</v>
      </c>
      <c r="AA5929" s="4">
        <v>2</v>
      </c>
      <c r="AB5929" s="4">
        <v>1</v>
      </c>
      <c r="AC5929" s="4">
        <v>1</v>
      </c>
      <c r="AD5929" s="4">
        <v>0</v>
      </c>
      <c r="AE5929" s="4">
        <v>0</v>
      </c>
      <c r="AF5929" s="4">
        <v>0</v>
      </c>
      <c r="AG5929" s="4">
        <v>0</v>
      </c>
      <c r="AH5929" s="4">
        <v>0</v>
      </c>
      <c r="AI5929" s="4">
        <v>0</v>
      </c>
      <c r="AJ5929" s="4">
        <v>0</v>
      </c>
      <c r="AK5929" s="4">
        <v>0</v>
      </c>
      <c r="AL5929" s="4">
        <v>0</v>
      </c>
      <c r="AM5929" s="4">
        <v>0</v>
      </c>
      <c r="AN5929" s="4">
        <v>0</v>
      </c>
      <c r="AO5929" s="4">
        <v>0</v>
      </c>
      <c r="AP5929" s="4">
        <v>0</v>
      </c>
      <c r="AQ5929" s="4">
        <v>0</v>
      </c>
      <c r="AR5929" s="3" t="s">
        <v>61</v>
      </c>
      <c r="AS5929" s="3" t="s">
        <v>62</v>
      </c>
      <c r="AT5929" s="3" t="s">
        <v>62</v>
      </c>
      <c r="AV5929" s="6" t="str">
        <f>HYPERLINK("http://mcgill.on.worldcat.org/oclc/252493179","Catalog Record")</f>
        <v>Catalog Record</v>
      </c>
      <c r="AW5929" s="6" t="str">
        <f>HYPERLINK("http://www.worldcat.org/oclc/252493179","WorldCat Record")</f>
        <v>WorldCat Record</v>
      </c>
      <c r="AX5929" s="3" t="s">
        <v>55735</v>
      </c>
      <c r="AY5929" s="3" t="s">
        <v>55736</v>
      </c>
      <c r="AZ5929" s="3" t="s">
        <v>55737</v>
      </c>
      <c r="BA5929" s="3" t="s">
        <v>55737</v>
      </c>
      <c r="BB5929" s="3" t="s">
        <v>55738</v>
      </c>
      <c r="BC5929" s="3" t="s">
        <v>33640</v>
      </c>
      <c r="BD5929" s="3" t="s">
        <v>68</v>
      </c>
      <c r="BF5929" s="3" t="s">
        <v>55738</v>
      </c>
      <c r="BG5929" s="3" t="s">
        <v>55739</v>
      </c>
    </row>
    <row r="5930" spans="1:59" ht="87" x14ac:dyDescent="0.35">
      <c r="A5930" s="2" t="s">
        <v>89</v>
      </c>
      <c r="B5930" s="2" t="s">
        <v>42560</v>
      </c>
      <c r="C5930" s="2" t="s">
        <v>55740</v>
      </c>
      <c r="D5930" s="2" t="s">
        <v>55741</v>
      </c>
      <c r="E5930" s="2" t="s">
        <v>55742</v>
      </c>
      <c r="G5930" s="3" t="s">
        <v>62</v>
      </c>
      <c r="I5930" s="3" t="s">
        <v>62</v>
      </c>
      <c r="J5930" s="3" t="s">
        <v>62</v>
      </c>
      <c r="K5930" s="3" t="s">
        <v>63</v>
      </c>
      <c r="M5930" s="2" t="s">
        <v>55743</v>
      </c>
      <c r="N5930" s="3" t="s">
        <v>2985</v>
      </c>
      <c r="O5930" s="2" t="s">
        <v>55744</v>
      </c>
      <c r="P5930" s="3" t="s">
        <v>64</v>
      </c>
      <c r="R5930" s="3" t="s">
        <v>32962</v>
      </c>
      <c r="S5930" s="4">
        <v>9</v>
      </c>
      <c r="T5930" s="4">
        <v>9</v>
      </c>
      <c r="U5930" s="5" t="s">
        <v>40604</v>
      </c>
      <c r="V5930" s="5" t="s">
        <v>40604</v>
      </c>
      <c r="W5930" s="5" t="s">
        <v>67</v>
      </c>
      <c r="X5930" s="5" t="s">
        <v>67</v>
      </c>
      <c r="Y5930" s="4">
        <v>93</v>
      </c>
      <c r="Z5930" s="4">
        <v>6</v>
      </c>
      <c r="AA5930" s="4">
        <v>19</v>
      </c>
      <c r="AB5930" s="4">
        <v>1</v>
      </c>
      <c r="AC5930" s="4">
        <v>3</v>
      </c>
      <c r="AD5930" s="4">
        <v>1</v>
      </c>
      <c r="AE5930" s="4">
        <v>5</v>
      </c>
      <c r="AF5930" s="4">
        <v>0</v>
      </c>
      <c r="AG5930" s="4">
        <v>0</v>
      </c>
      <c r="AH5930" s="4">
        <v>1</v>
      </c>
      <c r="AI5930" s="4">
        <v>4</v>
      </c>
      <c r="AJ5930" s="4">
        <v>0</v>
      </c>
      <c r="AK5930" s="4">
        <v>1</v>
      </c>
      <c r="AL5930" s="4">
        <v>0</v>
      </c>
      <c r="AM5930" s="4">
        <v>2</v>
      </c>
      <c r="AN5930" s="4">
        <v>0</v>
      </c>
      <c r="AO5930" s="4">
        <v>0</v>
      </c>
      <c r="AP5930" s="4">
        <v>0</v>
      </c>
      <c r="AQ5930" s="4">
        <v>1</v>
      </c>
      <c r="AR5930" s="3" t="s">
        <v>62</v>
      </c>
      <c r="AS5930" s="3" t="s">
        <v>62</v>
      </c>
      <c r="AT5930" s="3" t="s">
        <v>62</v>
      </c>
      <c r="AV5930" s="6" t="str">
        <f>HYPERLINK("http://mcgill.on.worldcat.org/oclc/432086368","Catalog Record")</f>
        <v>Catalog Record</v>
      </c>
      <c r="AW5930" s="6" t="str">
        <f>HYPERLINK("http://www.worldcat.org/oclc/432086368","WorldCat Record")</f>
        <v>WorldCat Record</v>
      </c>
      <c r="AX5930" s="3" t="s">
        <v>55745</v>
      </c>
      <c r="AY5930" s="3" t="s">
        <v>55746</v>
      </c>
      <c r="AZ5930" s="3" t="s">
        <v>55747</v>
      </c>
      <c r="BA5930" s="3" t="s">
        <v>55747</v>
      </c>
      <c r="BB5930" s="3" t="s">
        <v>55748</v>
      </c>
      <c r="BC5930" s="3" t="s">
        <v>33640</v>
      </c>
      <c r="BD5930" s="3" t="s">
        <v>68</v>
      </c>
      <c r="BE5930" s="3" t="s">
        <v>55749</v>
      </c>
      <c r="BF5930" s="3" t="s">
        <v>55748</v>
      </c>
      <c r="BG5930" s="3" t="s">
        <v>55750</v>
      </c>
    </row>
    <row r="5931" spans="1:59" ht="87" x14ac:dyDescent="0.35">
      <c r="A5931" s="2" t="s">
        <v>89</v>
      </c>
      <c r="B5931" s="2" t="s">
        <v>42560</v>
      </c>
      <c r="C5931" s="2" t="s">
        <v>55751</v>
      </c>
      <c r="D5931" s="2" t="s">
        <v>55752</v>
      </c>
      <c r="E5931" s="2" t="s">
        <v>55753</v>
      </c>
      <c r="G5931" s="3" t="s">
        <v>62</v>
      </c>
      <c r="I5931" s="3" t="s">
        <v>62</v>
      </c>
      <c r="J5931" s="3" t="s">
        <v>62</v>
      </c>
      <c r="K5931" s="3" t="s">
        <v>63</v>
      </c>
      <c r="M5931" s="2" t="s">
        <v>55754</v>
      </c>
      <c r="N5931" s="3" t="s">
        <v>625</v>
      </c>
      <c r="O5931" s="2" t="s">
        <v>55755</v>
      </c>
      <c r="P5931" s="3" t="s">
        <v>64</v>
      </c>
      <c r="R5931" s="3" t="s">
        <v>32962</v>
      </c>
      <c r="S5931" s="4">
        <v>9</v>
      </c>
      <c r="T5931" s="4">
        <v>9</v>
      </c>
      <c r="U5931" s="5" t="s">
        <v>173</v>
      </c>
      <c r="V5931" s="5" t="s">
        <v>173</v>
      </c>
      <c r="W5931" s="5" t="s">
        <v>67</v>
      </c>
      <c r="X5931" s="5" t="s">
        <v>67</v>
      </c>
      <c r="Y5931" s="4">
        <v>411</v>
      </c>
      <c r="Z5931" s="4">
        <v>15</v>
      </c>
      <c r="AA5931" s="4">
        <v>28</v>
      </c>
      <c r="AB5931" s="4">
        <v>2</v>
      </c>
      <c r="AC5931" s="4">
        <v>2</v>
      </c>
      <c r="AD5931" s="4">
        <v>9</v>
      </c>
      <c r="AE5931" s="4">
        <v>11</v>
      </c>
      <c r="AF5931" s="4">
        <v>0</v>
      </c>
      <c r="AG5931" s="4">
        <v>0</v>
      </c>
      <c r="AH5931" s="4">
        <v>8</v>
      </c>
      <c r="AI5931" s="4">
        <v>10</v>
      </c>
      <c r="AJ5931" s="4">
        <v>1</v>
      </c>
      <c r="AK5931" s="4">
        <v>1</v>
      </c>
      <c r="AL5931" s="4">
        <v>5</v>
      </c>
      <c r="AM5931" s="4">
        <v>7</v>
      </c>
      <c r="AN5931" s="4">
        <v>0</v>
      </c>
      <c r="AO5931" s="4">
        <v>0</v>
      </c>
      <c r="AP5931" s="4">
        <v>1</v>
      </c>
      <c r="AQ5931" s="4">
        <v>1</v>
      </c>
      <c r="AR5931" s="3" t="s">
        <v>62</v>
      </c>
      <c r="AS5931" s="3" t="s">
        <v>62</v>
      </c>
      <c r="AT5931" s="3" t="s">
        <v>62</v>
      </c>
      <c r="AV5931" s="6" t="str">
        <f>HYPERLINK("http://mcgill.on.worldcat.org/oclc/52112954","Catalog Record")</f>
        <v>Catalog Record</v>
      </c>
      <c r="AW5931" s="6" t="str">
        <f>HYPERLINK("http://www.worldcat.org/oclc/52112954","WorldCat Record")</f>
        <v>WorldCat Record</v>
      </c>
      <c r="AX5931" s="3" t="s">
        <v>55756</v>
      </c>
      <c r="AY5931" s="3" t="s">
        <v>55757</v>
      </c>
      <c r="AZ5931" s="3" t="s">
        <v>55758</v>
      </c>
      <c r="BA5931" s="3" t="s">
        <v>55758</v>
      </c>
      <c r="BB5931" s="3" t="s">
        <v>55759</v>
      </c>
      <c r="BC5931" s="3" t="s">
        <v>33640</v>
      </c>
      <c r="BD5931" s="3" t="s">
        <v>68</v>
      </c>
      <c r="BE5931" s="3" t="s">
        <v>55760</v>
      </c>
      <c r="BF5931" s="3" t="s">
        <v>55759</v>
      </c>
      <c r="BG5931" s="3" t="s">
        <v>55761</v>
      </c>
    </row>
    <row r="5932" spans="1:59" ht="87" x14ac:dyDescent="0.35">
      <c r="A5932" s="2" t="s">
        <v>89</v>
      </c>
      <c r="B5932" s="2" t="s">
        <v>42560</v>
      </c>
      <c r="C5932" s="2" t="s">
        <v>55762</v>
      </c>
      <c r="D5932" s="2" t="s">
        <v>55763</v>
      </c>
      <c r="E5932" s="2" t="s">
        <v>55764</v>
      </c>
      <c r="G5932" s="3" t="s">
        <v>61</v>
      </c>
      <c r="I5932" s="3" t="s">
        <v>62</v>
      </c>
      <c r="J5932" s="3" t="s">
        <v>62</v>
      </c>
      <c r="K5932" s="3" t="s">
        <v>63</v>
      </c>
      <c r="M5932" s="2" t="s">
        <v>55765</v>
      </c>
      <c r="N5932" s="3" t="s">
        <v>640</v>
      </c>
      <c r="P5932" s="3" t="s">
        <v>64</v>
      </c>
      <c r="R5932" s="3" t="s">
        <v>32962</v>
      </c>
      <c r="S5932" s="4">
        <v>34</v>
      </c>
      <c r="T5932" s="4">
        <v>34</v>
      </c>
      <c r="U5932" s="5" t="s">
        <v>18104</v>
      </c>
      <c r="V5932" s="5" t="s">
        <v>18104</v>
      </c>
      <c r="W5932" s="5" t="s">
        <v>67</v>
      </c>
      <c r="X5932" s="5" t="s">
        <v>67</v>
      </c>
      <c r="Y5932" s="4">
        <v>13</v>
      </c>
      <c r="Z5932" s="4">
        <v>1</v>
      </c>
      <c r="AA5932" s="4">
        <v>9</v>
      </c>
      <c r="AB5932" s="4">
        <v>1</v>
      </c>
      <c r="AC5932" s="4">
        <v>2</v>
      </c>
      <c r="AD5932" s="4">
        <v>1</v>
      </c>
      <c r="AE5932" s="4">
        <v>4</v>
      </c>
      <c r="AF5932" s="4">
        <v>0</v>
      </c>
      <c r="AG5932" s="4">
        <v>0</v>
      </c>
      <c r="AH5932" s="4">
        <v>1</v>
      </c>
      <c r="AI5932" s="4">
        <v>4</v>
      </c>
      <c r="AJ5932" s="4">
        <v>0</v>
      </c>
      <c r="AK5932" s="4">
        <v>0</v>
      </c>
      <c r="AL5932" s="4">
        <v>1</v>
      </c>
      <c r="AM5932" s="4">
        <v>2</v>
      </c>
      <c r="AN5932" s="4">
        <v>0</v>
      </c>
      <c r="AO5932" s="4">
        <v>0</v>
      </c>
      <c r="AP5932" s="4">
        <v>0</v>
      </c>
      <c r="AQ5932" s="4">
        <v>0</v>
      </c>
      <c r="AR5932" s="3" t="s">
        <v>62</v>
      </c>
      <c r="AS5932" s="3" t="s">
        <v>62</v>
      </c>
      <c r="AT5932" s="3" t="s">
        <v>62</v>
      </c>
      <c r="AV5932" s="6" t="str">
        <f>HYPERLINK("http://mcgill.on.worldcat.org/oclc/61737240","Catalog Record")</f>
        <v>Catalog Record</v>
      </c>
      <c r="AW5932" s="6" t="str">
        <f>HYPERLINK("http://www.worldcat.org/oclc/61737240","WorldCat Record")</f>
        <v>WorldCat Record</v>
      </c>
      <c r="AX5932" s="3" t="s">
        <v>55766</v>
      </c>
      <c r="AY5932" s="3" t="s">
        <v>55767</v>
      </c>
      <c r="AZ5932" s="3" t="s">
        <v>55768</v>
      </c>
      <c r="BA5932" s="3" t="s">
        <v>55768</v>
      </c>
      <c r="BB5932" s="3" t="s">
        <v>55769</v>
      </c>
      <c r="BC5932" s="3" t="s">
        <v>33640</v>
      </c>
      <c r="BD5932" s="3" t="s">
        <v>68</v>
      </c>
      <c r="BF5932" s="3" t="s">
        <v>55769</v>
      </c>
      <c r="BG5932" s="3" t="s">
        <v>55770</v>
      </c>
    </row>
    <row r="5933" spans="1:59" ht="87" x14ac:dyDescent="0.35">
      <c r="A5933" s="2" t="s">
        <v>89</v>
      </c>
      <c r="B5933" s="2" t="s">
        <v>42560</v>
      </c>
      <c r="C5933" s="2" t="s">
        <v>55771</v>
      </c>
      <c r="D5933" s="2" t="s">
        <v>55772</v>
      </c>
      <c r="E5933" s="2" t="s">
        <v>55773</v>
      </c>
      <c r="G5933" s="3" t="s">
        <v>62</v>
      </c>
      <c r="I5933" s="3" t="s">
        <v>62</v>
      </c>
      <c r="J5933" s="3" t="s">
        <v>62</v>
      </c>
      <c r="K5933" s="3" t="s">
        <v>63</v>
      </c>
      <c r="M5933" s="2" t="s">
        <v>55774</v>
      </c>
      <c r="N5933" s="3" t="s">
        <v>1195</v>
      </c>
      <c r="P5933" s="3" t="s">
        <v>64</v>
      </c>
      <c r="R5933" s="3" t="s">
        <v>32962</v>
      </c>
      <c r="S5933" s="4">
        <v>12</v>
      </c>
      <c r="T5933" s="4">
        <v>12</v>
      </c>
      <c r="U5933" s="5" t="s">
        <v>20311</v>
      </c>
      <c r="V5933" s="5" t="s">
        <v>20311</v>
      </c>
      <c r="W5933" s="5" t="s">
        <v>67</v>
      </c>
      <c r="X5933" s="5" t="s">
        <v>67</v>
      </c>
      <c r="Y5933" s="4">
        <v>1</v>
      </c>
      <c r="Z5933" s="4">
        <v>1</v>
      </c>
      <c r="AA5933" s="4">
        <v>2</v>
      </c>
      <c r="AB5933" s="4">
        <v>1</v>
      </c>
      <c r="AC5933" s="4">
        <v>1</v>
      </c>
      <c r="AD5933" s="4">
        <v>0</v>
      </c>
      <c r="AE5933" s="4">
        <v>1</v>
      </c>
      <c r="AF5933" s="4">
        <v>0</v>
      </c>
      <c r="AG5933" s="4">
        <v>0</v>
      </c>
      <c r="AH5933" s="4">
        <v>0</v>
      </c>
      <c r="AI5933" s="4">
        <v>1</v>
      </c>
      <c r="AJ5933" s="4">
        <v>0</v>
      </c>
      <c r="AK5933" s="4">
        <v>1</v>
      </c>
      <c r="AL5933" s="4">
        <v>0</v>
      </c>
      <c r="AM5933" s="4">
        <v>0</v>
      </c>
      <c r="AN5933" s="4">
        <v>0</v>
      </c>
      <c r="AO5933" s="4">
        <v>0</v>
      </c>
      <c r="AP5933" s="4">
        <v>0</v>
      </c>
      <c r="AQ5933" s="4">
        <v>1</v>
      </c>
      <c r="AR5933" s="3" t="s">
        <v>61</v>
      </c>
      <c r="AS5933" s="3" t="s">
        <v>62</v>
      </c>
      <c r="AT5933" s="3" t="s">
        <v>62</v>
      </c>
      <c r="AV5933" s="6" t="str">
        <f>HYPERLINK("http://mcgill.on.worldcat.org/oclc/316058980","Catalog Record")</f>
        <v>Catalog Record</v>
      </c>
      <c r="AW5933" s="6" t="str">
        <f>HYPERLINK("http://www.worldcat.org/oclc/316058980","WorldCat Record")</f>
        <v>WorldCat Record</v>
      </c>
      <c r="AX5933" s="3" t="s">
        <v>55775</v>
      </c>
      <c r="AY5933" s="3" t="s">
        <v>55776</v>
      </c>
      <c r="AZ5933" s="3" t="s">
        <v>55777</v>
      </c>
      <c r="BA5933" s="3" t="s">
        <v>55777</v>
      </c>
      <c r="BB5933" s="3" t="s">
        <v>55778</v>
      </c>
      <c r="BC5933" s="3" t="s">
        <v>33640</v>
      </c>
      <c r="BD5933" s="3" t="s">
        <v>68</v>
      </c>
      <c r="BF5933" s="3" t="s">
        <v>55778</v>
      </c>
      <c r="BG5933" s="3" t="s">
        <v>55779</v>
      </c>
    </row>
    <row r="5934" spans="1:59" ht="116" x14ac:dyDescent="0.35">
      <c r="A5934" s="2" t="s">
        <v>89</v>
      </c>
      <c r="B5934" s="2" t="s">
        <v>42560</v>
      </c>
      <c r="C5934" s="2" t="s">
        <v>55199</v>
      </c>
      <c r="D5934" s="2" t="s">
        <v>55780</v>
      </c>
      <c r="E5934" s="2" t="s">
        <v>55781</v>
      </c>
      <c r="G5934" s="3" t="s">
        <v>62</v>
      </c>
      <c r="I5934" s="3" t="s">
        <v>62</v>
      </c>
      <c r="J5934" s="3" t="s">
        <v>62</v>
      </c>
      <c r="K5934" s="3" t="s">
        <v>63</v>
      </c>
      <c r="M5934" s="2" t="s">
        <v>55782</v>
      </c>
      <c r="N5934" s="3" t="s">
        <v>2985</v>
      </c>
      <c r="P5934" s="3" t="s">
        <v>64</v>
      </c>
      <c r="Q5934" s="2" t="s">
        <v>33632</v>
      </c>
      <c r="R5934" s="3" t="s">
        <v>32962</v>
      </c>
      <c r="S5934" s="4">
        <v>8</v>
      </c>
      <c r="T5934" s="4">
        <v>8</v>
      </c>
      <c r="U5934" s="5" t="s">
        <v>32559</v>
      </c>
      <c r="V5934" s="5" t="s">
        <v>32559</v>
      </c>
      <c r="W5934" s="5" t="s">
        <v>67</v>
      </c>
      <c r="X5934" s="5" t="s">
        <v>67</v>
      </c>
      <c r="Y5934" s="4">
        <v>338</v>
      </c>
      <c r="Z5934" s="4">
        <v>14</v>
      </c>
      <c r="AA5934" s="4">
        <v>30</v>
      </c>
      <c r="AB5934" s="4">
        <v>1</v>
      </c>
      <c r="AC5934" s="4">
        <v>1</v>
      </c>
      <c r="AD5934" s="4">
        <v>10</v>
      </c>
      <c r="AE5934" s="4">
        <v>23</v>
      </c>
      <c r="AF5934" s="4">
        <v>0</v>
      </c>
      <c r="AG5934" s="4">
        <v>0</v>
      </c>
      <c r="AH5934" s="4">
        <v>8</v>
      </c>
      <c r="AI5934" s="4">
        <v>14</v>
      </c>
      <c r="AJ5934" s="4">
        <v>0</v>
      </c>
      <c r="AK5934" s="4">
        <v>2</v>
      </c>
      <c r="AL5934" s="4">
        <v>6</v>
      </c>
      <c r="AM5934" s="4">
        <v>10</v>
      </c>
      <c r="AN5934" s="4">
        <v>0</v>
      </c>
      <c r="AO5934" s="4">
        <v>0</v>
      </c>
      <c r="AP5934" s="4">
        <v>1</v>
      </c>
      <c r="AQ5934" s="4">
        <v>8</v>
      </c>
      <c r="AR5934" s="3" t="s">
        <v>62</v>
      </c>
      <c r="AS5934" s="3" t="s">
        <v>62</v>
      </c>
      <c r="AT5934" s="3" t="s">
        <v>62</v>
      </c>
      <c r="AV5934" s="6" t="str">
        <f>HYPERLINK("http://mcgill.on.worldcat.org/oclc/264802003","Catalog Record")</f>
        <v>Catalog Record</v>
      </c>
      <c r="AW5934" s="6" t="str">
        <f>HYPERLINK("http://www.worldcat.org/oclc/264802003","WorldCat Record")</f>
        <v>WorldCat Record</v>
      </c>
      <c r="AX5934" s="3" t="s">
        <v>55783</v>
      </c>
      <c r="AY5934" s="3" t="s">
        <v>55784</v>
      </c>
      <c r="AZ5934" s="3" t="s">
        <v>55785</v>
      </c>
      <c r="BA5934" s="3" t="s">
        <v>55785</v>
      </c>
      <c r="BB5934" s="3" t="s">
        <v>55786</v>
      </c>
      <c r="BC5934" s="3" t="s">
        <v>33640</v>
      </c>
      <c r="BD5934" s="3" t="s">
        <v>68</v>
      </c>
      <c r="BE5934" s="3" t="s">
        <v>55787</v>
      </c>
      <c r="BF5934" s="3" t="s">
        <v>55786</v>
      </c>
      <c r="BG5934" s="3" t="s">
        <v>55788</v>
      </c>
    </row>
    <row r="5935" spans="1:59" ht="87" x14ac:dyDescent="0.35">
      <c r="A5935" s="2" t="s">
        <v>89</v>
      </c>
      <c r="B5935" s="2" t="s">
        <v>42560</v>
      </c>
      <c r="C5935" s="2" t="s">
        <v>55789</v>
      </c>
      <c r="D5935" s="2" t="s">
        <v>55790</v>
      </c>
      <c r="E5935" s="2" t="s">
        <v>55791</v>
      </c>
      <c r="G5935" s="3" t="s">
        <v>61</v>
      </c>
      <c r="I5935" s="3" t="s">
        <v>62</v>
      </c>
      <c r="J5935" s="3" t="s">
        <v>62</v>
      </c>
      <c r="K5935" s="3" t="s">
        <v>63</v>
      </c>
      <c r="M5935" s="2" t="s">
        <v>55792</v>
      </c>
      <c r="N5935" s="3" t="s">
        <v>655</v>
      </c>
      <c r="P5935" s="3" t="s">
        <v>64</v>
      </c>
      <c r="Q5935" s="2" t="s">
        <v>55793</v>
      </c>
      <c r="R5935" s="3" t="s">
        <v>34126</v>
      </c>
      <c r="S5935" s="4">
        <v>19</v>
      </c>
      <c r="T5935" s="4">
        <v>19</v>
      </c>
      <c r="U5935" s="5" t="s">
        <v>12308</v>
      </c>
      <c r="V5935" s="5" t="s">
        <v>12308</v>
      </c>
      <c r="W5935" s="5" t="s">
        <v>67</v>
      </c>
      <c r="X5935" s="5" t="s">
        <v>67</v>
      </c>
      <c r="Y5935" s="4">
        <v>142</v>
      </c>
      <c r="Z5935" s="4">
        <v>12</v>
      </c>
      <c r="AA5935" s="4">
        <v>12</v>
      </c>
      <c r="AB5935" s="4">
        <v>2</v>
      </c>
      <c r="AC5935" s="4">
        <v>2</v>
      </c>
      <c r="AD5935" s="4">
        <v>7</v>
      </c>
      <c r="AE5935" s="4">
        <v>7</v>
      </c>
      <c r="AF5935" s="4">
        <v>0</v>
      </c>
      <c r="AG5935" s="4">
        <v>0</v>
      </c>
      <c r="AH5935" s="4">
        <v>6</v>
      </c>
      <c r="AI5935" s="4">
        <v>6</v>
      </c>
      <c r="AJ5935" s="4">
        <v>1</v>
      </c>
      <c r="AK5935" s="4">
        <v>1</v>
      </c>
      <c r="AL5935" s="4">
        <v>3</v>
      </c>
      <c r="AM5935" s="4">
        <v>3</v>
      </c>
      <c r="AN5935" s="4">
        <v>0</v>
      </c>
      <c r="AO5935" s="4">
        <v>0</v>
      </c>
      <c r="AP5935" s="4">
        <v>1</v>
      </c>
      <c r="AQ5935" s="4">
        <v>1</v>
      </c>
      <c r="AR5935" s="3" t="s">
        <v>62</v>
      </c>
      <c r="AS5935" s="3" t="s">
        <v>62</v>
      </c>
      <c r="AT5935" s="3" t="s">
        <v>62</v>
      </c>
      <c r="AV5935" s="6" t="str">
        <f>HYPERLINK("http://mcgill.on.worldcat.org/oclc/179650067","Catalog Record")</f>
        <v>Catalog Record</v>
      </c>
      <c r="AW5935" s="6" t="str">
        <f>HYPERLINK("http://www.worldcat.org/oclc/179650067","WorldCat Record")</f>
        <v>WorldCat Record</v>
      </c>
      <c r="AX5935" s="3" t="s">
        <v>55794</v>
      </c>
      <c r="AY5935" s="3" t="s">
        <v>55795</v>
      </c>
      <c r="AZ5935" s="3" t="s">
        <v>55796</v>
      </c>
      <c r="BA5935" s="3" t="s">
        <v>55796</v>
      </c>
      <c r="BB5935" s="3" t="s">
        <v>55797</v>
      </c>
      <c r="BC5935" s="3" t="s">
        <v>33640</v>
      </c>
      <c r="BD5935" s="3" t="s">
        <v>68</v>
      </c>
      <c r="BE5935" s="3" t="s">
        <v>55798</v>
      </c>
      <c r="BF5935" s="3" t="s">
        <v>55797</v>
      </c>
      <c r="BG5935" s="3" t="s">
        <v>55799</v>
      </c>
    </row>
    <row r="5936" spans="1:59" ht="87" x14ac:dyDescent="0.35">
      <c r="A5936" s="2" t="s">
        <v>89</v>
      </c>
      <c r="B5936" s="2" t="s">
        <v>42560</v>
      </c>
      <c r="C5936" s="2" t="s">
        <v>55800</v>
      </c>
      <c r="D5936" s="2" t="s">
        <v>55801</v>
      </c>
      <c r="E5936" s="2" t="s">
        <v>55802</v>
      </c>
      <c r="G5936" s="3" t="s">
        <v>62</v>
      </c>
      <c r="I5936" s="3" t="s">
        <v>62</v>
      </c>
      <c r="J5936" s="3" t="s">
        <v>62</v>
      </c>
      <c r="K5936" s="3" t="s">
        <v>63</v>
      </c>
      <c r="M5936" s="2" t="s">
        <v>55803</v>
      </c>
      <c r="N5936" s="3" t="s">
        <v>2985</v>
      </c>
      <c r="O5936" s="2" t="s">
        <v>55744</v>
      </c>
      <c r="P5936" s="3" t="s">
        <v>64</v>
      </c>
      <c r="Q5936" s="2" t="s">
        <v>55804</v>
      </c>
      <c r="R5936" s="3" t="s">
        <v>34126</v>
      </c>
      <c r="S5936" s="4">
        <v>18</v>
      </c>
      <c r="T5936" s="4">
        <v>18</v>
      </c>
      <c r="U5936" s="5" t="s">
        <v>32882</v>
      </c>
      <c r="V5936" s="5" t="s">
        <v>32882</v>
      </c>
      <c r="W5936" s="5" t="s">
        <v>67</v>
      </c>
      <c r="X5936" s="5" t="s">
        <v>67</v>
      </c>
      <c r="Y5936" s="4">
        <v>17</v>
      </c>
      <c r="Z5936" s="4">
        <v>3</v>
      </c>
      <c r="AA5936" s="4">
        <v>4</v>
      </c>
      <c r="AB5936" s="4">
        <v>3</v>
      </c>
      <c r="AC5936" s="4">
        <v>3</v>
      </c>
      <c r="AD5936" s="4">
        <v>2</v>
      </c>
      <c r="AE5936" s="4">
        <v>2</v>
      </c>
      <c r="AF5936" s="4">
        <v>0</v>
      </c>
      <c r="AG5936" s="4">
        <v>0</v>
      </c>
      <c r="AH5936" s="4">
        <v>2</v>
      </c>
      <c r="AI5936" s="4">
        <v>2</v>
      </c>
      <c r="AJ5936" s="4">
        <v>0</v>
      </c>
      <c r="AK5936" s="4">
        <v>0</v>
      </c>
      <c r="AL5936" s="4">
        <v>0</v>
      </c>
      <c r="AM5936" s="4">
        <v>0</v>
      </c>
      <c r="AN5936" s="4">
        <v>0</v>
      </c>
      <c r="AO5936" s="4">
        <v>0</v>
      </c>
      <c r="AP5936" s="4">
        <v>0</v>
      </c>
      <c r="AQ5936" s="4">
        <v>0</v>
      </c>
      <c r="AR5936" s="3" t="s">
        <v>62</v>
      </c>
      <c r="AS5936" s="3" t="s">
        <v>62</v>
      </c>
      <c r="AT5936" s="3" t="s">
        <v>62</v>
      </c>
      <c r="AV5936" s="6" t="str">
        <f>HYPERLINK("http://mcgill.on.worldcat.org/oclc/387771852","Catalog Record")</f>
        <v>Catalog Record</v>
      </c>
      <c r="AW5936" s="6" t="str">
        <f>HYPERLINK("http://www.worldcat.org/oclc/387771852","WorldCat Record")</f>
        <v>WorldCat Record</v>
      </c>
      <c r="AX5936" s="3" t="s">
        <v>55805</v>
      </c>
      <c r="AY5936" s="3" t="s">
        <v>55806</v>
      </c>
      <c r="AZ5936" s="3" t="s">
        <v>55807</v>
      </c>
      <c r="BA5936" s="3" t="s">
        <v>55807</v>
      </c>
      <c r="BB5936" s="3" t="s">
        <v>55808</v>
      </c>
      <c r="BC5936" s="3" t="s">
        <v>33640</v>
      </c>
      <c r="BD5936" s="3" t="s">
        <v>68</v>
      </c>
      <c r="BE5936" s="3" t="s">
        <v>55809</v>
      </c>
      <c r="BF5936" s="3" t="s">
        <v>55808</v>
      </c>
      <c r="BG5936" s="3" t="s">
        <v>55810</v>
      </c>
    </row>
    <row r="5937" spans="1:59" ht="87" x14ac:dyDescent="0.35">
      <c r="A5937" s="2" t="s">
        <v>89</v>
      </c>
      <c r="B5937" s="2" t="s">
        <v>42560</v>
      </c>
      <c r="C5937" s="2" t="s">
        <v>55811</v>
      </c>
      <c r="D5937" s="2" t="s">
        <v>55812</v>
      </c>
      <c r="E5937" s="2" t="s">
        <v>55813</v>
      </c>
      <c r="G5937" s="3" t="s">
        <v>62</v>
      </c>
      <c r="I5937" s="3" t="s">
        <v>62</v>
      </c>
      <c r="J5937" s="3" t="s">
        <v>62</v>
      </c>
      <c r="K5937" s="3" t="s">
        <v>63</v>
      </c>
      <c r="M5937" s="2" t="s">
        <v>55814</v>
      </c>
      <c r="N5937" s="3" t="s">
        <v>2136</v>
      </c>
      <c r="P5937" s="3" t="s">
        <v>64</v>
      </c>
      <c r="Q5937" s="2" t="s">
        <v>55815</v>
      </c>
      <c r="R5937" s="3" t="s">
        <v>34126</v>
      </c>
      <c r="S5937" s="4">
        <v>19</v>
      </c>
      <c r="T5937" s="4">
        <v>19</v>
      </c>
      <c r="U5937" s="5" t="s">
        <v>13084</v>
      </c>
      <c r="V5937" s="5" t="s">
        <v>13084</v>
      </c>
      <c r="W5937" s="5" t="s">
        <v>67</v>
      </c>
      <c r="X5937" s="5" t="s">
        <v>67</v>
      </c>
      <c r="Y5937" s="4">
        <v>15</v>
      </c>
      <c r="Z5937" s="4">
        <v>1</v>
      </c>
      <c r="AA5937" s="4">
        <v>5</v>
      </c>
      <c r="AB5937" s="4">
        <v>1</v>
      </c>
      <c r="AC5937" s="4">
        <v>1</v>
      </c>
      <c r="AD5937" s="4">
        <v>1</v>
      </c>
      <c r="AE5937" s="4">
        <v>2</v>
      </c>
      <c r="AF5937" s="4">
        <v>0</v>
      </c>
      <c r="AG5937" s="4">
        <v>0</v>
      </c>
      <c r="AH5937" s="4">
        <v>1</v>
      </c>
      <c r="AI5937" s="4">
        <v>2</v>
      </c>
      <c r="AJ5937" s="4">
        <v>0</v>
      </c>
      <c r="AK5937" s="4">
        <v>0</v>
      </c>
      <c r="AL5937" s="4">
        <v>0</v>
      </c>
      <c r="AM5937" s="4">
        <v>1</v>
      </c>
      <c r="AN5937" s="4">
        <v>0</v>
      </c>
      <c r="AO5937" s="4">
        <v>0</v>
      </c>
      <c r="AP5937" s="4">
        <v>0</v>
      </c>
      <c r="AQ5937" s="4">
        <v>0</v>
      </c>
      <c r="AR5937" s="3" t="s">
        <v>62</v>
      </c>
      <c r="AS5937" s="3" t="s">
        <v>62</v>
      </c>
      <c r="AT5937" s="3" t="s">
        <v>62</v>
      </c>
      <c r="AV5937" s="6" t="str">
        <f>HYPERLINK("http://mcgill.on.worldcat.org/oclc/59712845","Catalog Record")</f>
        <v>Catalog Record</v>
      </c>
      <c r="AW5937" s="6" t="str">
        <f>HYPERLINK("http://www.worldcat.org/oclc/59712845","WorldCat Record")</f>
        <v>WorldCat Record</v>
      </c>
      <c r="AX5937" s="3" t="s">
        <v>55816</v>
      </c>
      <c r="AY5937" s="3" t="s">
        <v>55817</v>
      </c>
      <c r="AZ5937" s="3" t="s">
        <v>55818</v>
      </c>
      <c r="BA5937" s="3" t="s">
        <v>55818</v>
      </c>
      <c r="BB5937" s="3" t="s">
        <v>55819</v>
      </c>
      <c r="BC5937" s="3" t="s">
        <v>33640</v>
      </c>
      <c r="BD5937" s="3" t="s">
        <v>68</v>
      </c>
      <c r="BF5937" s="3" t="s">
        <v>55819</v>
      </c>
      <c r="BG5937" s="3" t="s">
        <v>55820</v>
      </c>
    </row>
    <row r="5938" spans="1:59" ht="87" x14ac:dyDescent="0.35">
      <c r="A5938" s="2" t="s">
        <v>89</v>
      </c>
      <c r="B5938" s="2" t="s">
        <v>42560</v>
      </c>
      <c r="C5938" s="2" t="s">
        <v>55821</v>
      </c>
      <c r="D5938" s="2" t="s">
        <v>55822</v>
      </c>
      <c r="E5938" s="2" t="s">
        <v>55823</v>
      </c>
      <c r="G5938" s="3" t="s">
        <v>61</v>
      </c>
      <c r="I5938" s="3" t="s">
        <v>62</v>
      </c>
      <c r="J5938" s="3" t="s">
        <v>62</v>
      </c>
      <c r="K5938" s="3" t="s">
        <v>63</v>
      </c>
      <c r="M5938" s="2" t="s">
        <v>55824</v>
      </c>
      <c r="N5938" s="3" t="s">
        <v>1195</v>
      </c>
      <c r="P5938" s="3" t="s">
        <v>64</v>
      </c>
      <c r="Q5938" s="2" t="s">
        <v>55793</v>
      </c>
      <c r="R5938" s="3" t="s">
        <v>34126</v>
      </c>
      <c r="S5938" s="4">
        <v>16</v>
      </c>
      <c r="T5938" s="4">
        <v>16</v>
      </c>
      <c r="U5938" s="5" t="s">
        <v>3099</v>
      </c>
      <c r="V5938" s="5" t="s">
        <v>3099</v>
      </c>
      <c r="W5938" s="5" t="s">
        <v>67</v>
      </c>
      <c r="X5938" s="5" t="s">
        <v>67</v>
      </c>
      <c r="Y5938" s="4">
        <v>132</v>
      </c>
      <c r="Z5938" s="4">
        <v>7</v>
      </c>
      <c r="AA5938" s="4">
        <v>9</v>
      </c>
      <c r="AB5938" s="4">
        <v>2</v>
      </c>
      <c r="AC5938" s="4">
        <v>2</v>
      </c>
      <c r="AD5938" s="4">
        <v>6</v>
      </c>
      <c r="AE5938" s="4">
        <v>6</v>
      </c>
      <c r="AF5938" s="4">
        <v>0</v>
      </c>
      <c r="AG5938" s="4">
        <v>0</v>
      </c>
      <c r="AH5938" s="4">
        <v>6</v>
      </c>
      <c r="AI5938" s="4">
        <v>6</v>
      </c>
      <c r="AJ5938" s="4">
        <v>0</v>
      </c>
      <c r="AK5938" s="4">
        <v>0</v>
      </c>
      <c r="AL5938" s="4">
        <v>4</v>
      </c>
      <c r="AM5938" s="4">
        <v>4</v>
      </c>
      <c r="AN5938" s="4">
        <v>0</v>
      </c>
      <c r="AO5938" s="4">
        <v>0</v>
      </c>
      <c r="AP5938" s="4">
        <v>0</v>
      </c>
      <c r="AQ5938" s="4">
        <v>0</v>
      </c>
      <c r="AR5938" s="3" t="s">
        <v>62</v>
      </c>
      <c r="AS5938" s="3" t="s">
        <v>62</v>
      </c>
      <c r="AT5938" s="3" t="s">
        <v>62</v>
      </c>
      <c r="AV5938" s="6" t="str">
        <f>HYPERLINK("http://mcgill.on.worldcat.org/oclc/76955305","Catalog Record")</f>
        <v>Catalog Record</v>
      </c>
      <c r="AW5938" s="6" t="str">
        <f>HYPERLINK("http://www.worldcat.org/oclc/76955305","WorldCat Record")</f>
        <v>WorldCat Record</v>
      </c>
      <c r="AX5938" s="3" t="s">
        <v>55825</v>
      </c>
      <c r="AY5938" s="3" t="s">
        <v>55826</v>
      </c>
      <c r="AZ5938" s="3" t="s">
        <v>55827</v>
      </c>
      <c r="BA5938" s="3" t="s">
        <v>55827</v>
      </c>
      <c r="BB5938" s="3" t="s">
        <v>55828</v>
      </c>
      <c r="BC5938" s="3" t="s">
        <v>33640</v>
      </c>
      <c r="BD5938" s="3" t="s">
        <v>68</v>
      </c>
      <c r="BE5938" s="3" t="s">
        <v>55829</v>
      </c>
      <c r="BF5938" s="3" t="s">
        <v>55828</v>
      </c>
      <c r="BG5938" s="3" t="s">
        <v>55830</v>
      </c>
    </row>
    <row r="5939" spans="1:59" ht="87" x14ac:dyDescent="0.35">
      <c r="A5939" s="2" t="s">
        <v>89</v>
      </c>
      <c r="B5939" s="2" t="s">
        <v>42560</v>
      </c>
      <c r="C5939" s="2" t="s">
        <v>55831</v>
      </c>
      <c r="D5939" s="2" t="s">
        <v>55832</v>
      </c>
      <c r="E5939" s="2" t="s">
        <v>55833</v>
      </c>
      <c r="G5939" s="3" t="s">
        <v>62</v>
      </c>
      <c r="I5939" s="3" t="s">
        <v>62</v>
      </c>
      <c r="J5939" s="3" t="s">
        <v>62</v>
      </c>
      <c r="K5939" s="3" t="s">
        <v>63</v>
      </c>
      <c r="M5939" s="2" t="s">
        <v>55834</v>
      </c>
      <c r="N5939" s="3" t="s">
        <v>2136</v>
      </c>
      <c r="P5939" s="3" t="s">
        <v>64</v>
      </c>
      <c r="R5939" s="3" t="s">
        <v>27443</v>
      </c>
      <c r="S5939" s="4">
        <v>10</v>
      </c>
      <c r="T5939" s="4">
        <v>10</v>
      </c>
      <c r="U5939" s="5" t="s">
        <v>8221</v>
      </c>
      <c r="V5939" s="5" t="s">
        <v>8221</v>
      </c>
      <c r="W5939" s="5" t="s">
        <v>67</v>
      </c>
      <c r="X5939" s="5" t="s">
        <v>67</v>
      </c>
      <c r="Y5939" s="4">
        <v>3</v>
      </c>
      <c r="Z5939" s="4">
        <v>3</v>
      </c>
      <c r="AA5939" s="4">
        <v>3</v>
      </c>
      <c r="AB5939" s="4">
        <v>1</v>
      </c>
      <c r="AC5939" s="4">
        <v>1</v>
      </c>
      <c r="AD5939" s="4">
        <v>0</v>
      </c>
      <c r="AE5939" s="4">
        <v>0</v>
      </c>
      <c r="AF5939" s="4">
        <v>0</v>
      </c>
      <c r="AG5939" s="4">
        <v>0</v>
      </c>
      <c r="AH5939" s="4">
        <v>0</v>
      </c>
      <c r="AI5939" s="4">
        <v>0</v>
      </c>
      <c r="AJ5939" s="4">
        <v>0</v>
      </c>
      <c r="AK5939" s="4">
        <v>0</v>
      </c>
      <c r="AL5939" s="4">
        <v>0</v>
      </c>
      <c r="AM5939" s="4">
        <v>0</v>
      </c>
      <c r="AN5939" s="4">
        <v>0</v>
      </c>
      <c r="AO5939" s="4">
        <v>0</v>
      </c>
      <c r="AP5939" s="4">
        <v>0</v>
      </c>
      <c r="AQ5939" s="4">
        <v>0</v>
      </c>
      <c r="AR5939" s="3" t="s">
        <v>61</v>
      </c>
      <c r="AS5939" s="3" t="s">
        <v>62</v>
      </c>
      <c r="AT5939" s="3" t="s">
        <v>62</v>
      </c>
      <c r="AV5939" s="6" t="str">
        <f>HYPERLINK("http://mcgill.on.worldcat.org/oclc/253946408","Catalog Record")</f>
        <v>Catalog Record</v>
      </c>
      <c r="AW5939" s="6" t="str">
        <f>HYPERLINK("http://www.worldcat.org/oclc/253946408","WorldCat Record")</f>
        <v>WorldCat Record</v>
      </c>
      <c r="AX5939" s="3" t="s">
        <v>55835</v>
      </c>
      <c r="AY5939" s="3" t="s">
        <v>55836</v>
      </c>
      <c r="AZ5939" s="3" t="s">
        <v>55837</v>
      </c>
      <c r="BA5939" s="3" t="s">
        <v>55837</v>
      </c>
      <c r="BB5939" s="3" t="s">
        <v>55838</v>
      </c>
      <c r="BC5939" s="3" t="s">
        <v>33640</v>
      </c>
      <c r="BD5939" s="3" t="s">
        <v>68</v>
      </c>
      <c r="BF5939" s="3" t="s">
        <v>55838</v>
      </c>
      <c r="BG5939" s="3" t="s">
        <v>55839</v>
      </c>
    </row>
    <row r="5940" spans="1:59" ht="87" x14ac:dyDescent="0.35">
      <c r="A5940" s="2" t="s">
        <v>89</v>
      </c>
      <c r="B5940" s="2" t="s">
        <v>42560</v>
      </c>
      <c r="C5940" s="2" t="s">
        <v>55840</v>
      </c>
      <c r="D5940" s="2" t="s">
        <v>55841</v>
      </c>
      <c r="E5940" s="2" t="s">
        <v>55842</v>
      </c>
      <c r="G5940" s="3" t="s">
        <v>62</v>
      </c>
      <c r="I5940" s="3" t="s">
        <v>62</v>
      </c>
      <c r="J5940" s="3" t="s">
        <v>62</v>
      </c>
      <c r="K5940" s="3" t="s">
        <v>63</v>
      </c>
      <c r="M5940" s="2" t="s">
        <v>55834</v>
      </c>
      <c r="N5940" s="3" t="s">
        <v>2136</v>
      </c>
      <c r="P5940" s="3" t="s">
        <v>64</v>
      </c>
      <c r="R5940" s="3" t="s">
        <v>27443</v>
      </c>
      <c r="S5940" s="4">
        <v>6</v>
      </c>
      <c r="T5940" s="4">
        <v>6</v>
      </c>
      <c r="U5940" s="5" t="s">
        <v>8221</v>
      </c>
      <c r="V5940" s="5" t="s">
        <v>8221</v>
      </c>
      <c r="W5940" s="5" t="s">
        <v>67</v>
      </c>
      <c r="X5940" s="5" t="s">
        <v>67</v>
      </c>
      <c r="Y5940" s="4">
        <v>3</v>
      </c>
      <c r="Z5940" s="4">
        <v>3</v>
      </c>
      <c r="AA5940" s="4">
        <v>3</v>
      </c>
      <c r="AB5940" s="4">
        <v>1</v>
      </c>
      <c r="AC5940" s="4">
        <v>1</v>
      </c>
      <c r="AD5940" s="4">
        <v>0</v>
      </c>
      <c r="AE5940" s="4">
        <v>0</v>
      </c>
      <c r="AF5940" s="4">
        <v>0</v>
      </c>
      <c r="AG5940" s="4">
        <v>0</v>
      </c>
      <c r="AH5940" s="4">
        <v>0</v>
      </c>
      <c r="AI5940" s="4">
        <v>0</v>
      </c>
      <c r="AJ5940" s="4">
        <v>0</v>
      </c>
      <c r="AK5940" s="4">
        <v>0</v>
      </c>
      <c r="AL5940" s="4">
        <v>0</v>
      </c>
      <c r="AM5940" s="4">
        <v>0</v>
      </c>
      <c r="AN5940" s="4">
        <v>0</v>
      </c>
      <c r="AO5940" s="4">
        <v>0</v>
      </c>
      <c r="AP5940" s="4">
        <v>0</v>
      </c>
      <c r="AQ5940" s="4">
        <v>0</v>
      </c>
      <c r="AR5940" s="3" t="s">
        <v>61</v>
      </c>
      <c r="AS5940" s="3" t="s">
        <v>62</v>
      </c>
      <c r="AT5940" s="3" t="s">
        <v>62</v>
      </c>
      <c r="AV5940" s="6" t="str">
        <f>HYPERLINK("http://mcgill.on.worldcat.org/oclc/253945221","Catalog Record")</f>
        <v>Catalog Record</v>
      </c>
      <c r="AW5940" s="6" t="str">
        <f>HYPERLINK("http://www.worldcat.org/oclc/253945221","WorldCat Record")</f>
        <v>WorldCat Record</v>
      </c>
      <c r="AX5940" s="3" t="s">
        <v>55843</v>
      </c>
      <c r="AY5940" s="3" t="s">
        <v>55844</v>
      </c>
      <c r="AZ5940" s="3" t="s">
        <v>55845</v>
      </c>
      <c r="BA5940" s="3" t="s">
        <v>55845</v>
      </c>
      <c r="BB5940" s="3" t="s">
        <v>55846</v>
      </c>
      <c r="BC5940" s="3" t="s">
        <v>33640</v>
      </c>
      <c r="BD5940" s="3" t="s">
        <v>68</v>
      </c>
      <c r="BF5940" s="3" t="s">
        <v>55846</v>
      </c>
      <c r="BG5940" s="3" t="s">
        <v>55847</v>
      </c>
    </row>
    <row r="5941" spans="1:59" ht="87" x14ac:dyDescent="0.35">
      <c r="A5941" s="2" t="s">
        <v>89</v>
      </c>
      <c r="B5941" s="2" t="s">
        <v>42560</v>
      </c>
      <c r="C5941" s="2" t="s">
        <v>55848</v>
      </c>
      <c r="D5941" s="2" t="s">
        <v>55849</v>
      </c>
      <c r="E5941" s="2" t="s">
        <v>55850</v>
      </c>
      <c r="G5941" s="3" t="s">
        <v>62</v>
      </c>
      <c r="I5941" s="3" t="s">
        <v>62</v>
      </c>
      <c r="J5941" s="3" t="s">
        <v>62</v>
      </c>
      <c r="K5941" s="3" t="s">
        <v>63</v>
      </c>
      <c r="M5941" s="2" t="s">
        <v>55851</v>
      </c>
      <c r="N5941" s="3" t="s">
        <v>568</v>
      </c>
      <c r="P5941" s="3" t="s">
        <v>64</v>
      </c>
      <c r="R5941" s="3" t="s">
        <v>32962</v>
      </c>
      <c r="S5941" s="4">
        <v>2</v>
      </c>
      <c r="T5941" s="4">
        <v>2</v>
      </c>
      <c r="U5941" s="5" t="s">
        <v>1498</v>
      </c>
      <c r="V5941" s="5" t="s">
        <v>1498</v>
      </c>
      <c r="W5941" s="5" t="s">
        <v>67</v>
      </c>
      <c r="X5941" s="5" t="s">
        <v>67</v>
      </c>
      <c r="Y5941" s="4">
        <v>3</v>
      </c>
      <c r="Z5941" s="4">
        <v>1</v>
      </c>
      <c r="AA5941" s="4">
        <v>5</v>
      </c>
      <c r="AB5941" s="4">
        <v>1</v>
      </c>
      <c r="AC5941" s="4">
        <v>1</v>
      </c>
      <c r="AD5941" s="4">
        <v>0</v>
      </c>
      <c r="AE5941" s="4">
        <v>15</v>
      </c>
      <c r="AF5941" s="4">
        <v>0</v>
      </c>
      <c r="AG5941" s="4">
        <v>0</v>
      </c>
      <c r="AH5941" s="4">
        <v>0</v>
      </c>
      <c r="AI5941" s="4">
        <v>13</v>
      </c>
      <c r="AJ5941" s="4">
        <v>0</v>
      </c>
      <c r="AK5941" s="4">
        <v>0</v>
      </c>
      <c r="AL5941" s="4">
        <v>0</v>
      </c>
      <c r="AM5941" s="4">
        <v>9</v>
      </c>
      <c r="AN5941" s="4">
        <v>0</v>
      </c>
      <c r="AO5941" s="4">
        <v>0</v>
      </c>
      <c r="AP5941" s="4">
        <v>0</v>
      </c>
      <c r="AQ5941" s="4">
        <v>2</v>
      </c>
      <c r="AR5941" s="3" t="s">
        <v>62</v>
      </c>
      <c r="AS5941" s="3" t="s">
        <v>62</v>
      </c>
      <c r="AT5941" s="3" t="s">
        <v>62</v>
      </c>
      <c r="AV5941" s="6" t="str">
        <f>HYPERLINK("http://mcgill.on.worldcat.org/oclc/166306985","Catalog Record")</f>
        <v>Catalog Record</v>
      </c>
      <c r="AW5941" s="6" t="str">
        <f>HYPERLINK("http://www.worldcat.org/oclc/166306985","WorldCat Record")</f>
        <v>WorldCat Record</v>
      </c>
      <c r="AX5941" s="3" t="s">
        <v>55852</v>
      </c>
      <c r="AY5941" s="3" t="s">
        <v>55853</v>
      </c>
      <c r="AZ5941" s="3" t="s">
        <v>55854</v>
      </c>
      <c r="BA5941" s="3" t="s">
        <v>55854</v>
      </c>
      <c r="BB5941" s="3" t="s">
        <v>55855</v>
      </c>
      <c r="BC5941" s="3" t="s">
        <v>33640</v>
      </c>
      <c r="BD5941" s="3" t="s">
        <v>68</v>
      </c>
      <c r="BF5941" s="3" t="s">
        <v>55855</v>
      </c>
      <c r="BG5941" s="3" t="s">
        <v>55856</v>
      </c>
    </row>
    <row r="5942" spans="1:59" ht="87" x14ac:dyDescent="0.35">
      <c r="A5942" s="2" t="s">
        <v>89</v>
      </c>
      <c r="B5942" s="2" t="s">
        <v>42560</v>
      </c>
      <c r="C5942" s="2" t="s">
        <v>55857</v>
      </c>
      <c r="D5942" s="2" t="s">
        <v>55858</v>
      </c>
      <c r="E5942" s="2" t="s">
        <v>55859</v>
      </c>
      <c r="G5942" s="3" t="s">
        <v>62</v>
      </c>
      <c r="I5942" s="3" t="s">
        <v>62</v>
      </c>
      <c r="J5942" s="3" t="s">
        <v>62</v>
      </c>
      <c r="K5942" s="3" t="s">
        <v>63</v>
      </c>
      <c r="M5942" s="2" t="s">
        <v>55860</v>
      </c>
      <c r="N5942" s="3" t="s">
        <v>568</v>
      </c>
      <c r="O5942" s="2" t="s">
        <v>55861</v>
      </c>
      <c r="P5942" s="3" t="s">
        <v>64</v>
      </c>
      <c r="R5942" s="3" t="s">
        <v>27443</v>
      </c>
      <c r="S5942" s="4">
        <v>10</v>
      </c>
      <c r="T5942" s="4">
        <v>10</v>
      </c>
      <c r="U5942" s="5" t="s">
        <v>55862</v>
      </c>
      <c r="V5942" s="5" t="s">
        <v>55862</v>
      </c>
      <c r="W5942" s="5" t="s">
        <v>67</v>
      </c>
      <c r="X5942" s="5" t="s">
        <v>67</v>
      </c>
      <c r="Y5942" s="4">
        <v>10</v>
      </c>
      <c r="Z5942" s="4">
        <v>2</v>
      </c>
      <c r="AA5942" s="4">
        <v>3</v>
      </c>
      <c r="AB5942" s="4">
        <v>1</v>
      </c>
      <c r="AC5942" s="4">
        <v>1</v>
      </c>
      <c r="AD5942" s="4">
        <v>2</v>
      </c>
      <c r="AE5942" s="4">
        <v>3</v>
      </c>
      <c r="AF5942" s="4">
        <v>0</v>
      </c>
      <c r="AG5942" s="4">
        <v>0</v>
      </c>
      <c r="AH5942" s="4">
        <v>1</v>
      </c>
      <c r="AI5942" s="4">
        <v>1</v>
      </c>
      <c r="AJ5942" s="4">
        <v>0</v>
      </c>
      <c r="AK5942" s="4">
        <v>1</v>
      </c>
      <c r="AL5942" s="4">
        <v>0</v>
      </c>
      <c r="AM5942" s="4">
        <v>0</v>
      </c>
      <c r="AN5942" s="4">
        <v>0</v>
      </c>
      <c r="AO5942" s="4">
        <v>0</v>
      </c>
      <c r="AP5942" s="4">
        <v>1</v>
      </c>
      <c r="AQ5942" s="4">
        <v>2</v>
      </c>
      <c r="AR5942" s="3" t="s">
        <v>61</v>
      </c>
      <c r="AS5942" s="3" t="s">
        <v>62</v>
      </c>
      <c r="AT5942" s="3" t="s">
        <v>62</v>
      </c>
      <c r="AV5942" s="6" t="str">
        <f>HYPERLINK("http://mcgill.on.worldcat.org/oclc/66408009","Catalog Record")</f>
        <v>Catalog Record</v>
      </c>
      <c r="AW5942" s="6" t="str">
        <f>HYPERLINK("http://www.worldcat.org/oclc/66408009","WorldCat Record")</f>
        <v>WorldCat Record</v>
      </c>
      <c r="AX5942" s="3" t="s">
        <v>55863</v>
      </c>
      <c r="AY5942" s="3" t="s">
        <v>55864</v>
      </c>
      <c r="AZ5942" s="3" t="s">
        <v>55865</v>
      </c>
      <c r="BA5942" s="3" t="s">
        <v>55865</v>
      </c>
      <c r="BB5942" s="3" t="s">
        <v>55866</v>
      </c>
      <c r="BC5942" s="3" t="s">
        <v>33640</v>
      </c>
      <c r="BD5942" s="3" t="s">
        <v>68</v>
      </c>
      <c r="BF5942" s="3" t="s">
        <v>55866</v>
      </c>
      <c r="BG5942" s="3" t="s">
        <v>55867</v>
      </c>
    </row>
    <row r="5943" spans="1:59" ht="87" x14ac:dyDescent="0.35">
      <c r="A5943" s="2" t="s">
        <v>89</v>
      </c>
      <c r="B5943" s="2" t="s">
        <v>42560</v>
      </c>
      <c r="C5943" s="2" t="s">
        <v>55868</v>
      </c>
      <c r="D5943" s="2" t="s">
        <v>55869</v>
      </c>
      <c r="E5943" s="2" t="s">
        <v>55870</v>
      </c>
      <c r="G5943" s="3" t="s">
        <v>62</v>
      </c>
      <c r="I5943" s="3" t="s">
        <v>62</v>
      </c>
      <c r="J5943" s="3" t="s">
        <v>62</v>
      </c>
      <c r="K5943" s="3" t="s">
        <v>63</v>
      </c>
      <c r="M5943" s="2" t="s">
        <v>55871</v>
      </c>
      <c r="N5943" s="3" t="s">
        <v>1722</v>
      </c>
      <c r="P5943" s="3" t="s">
        <v>64</v>
      </c>
      <c r="R5943" s="3" t="s">
        <v>34126</v>
      </c>
      <c r="S5943" s="4">
        <v>51</v>
      </c>
      <c r="T5943" s="4">
        <v>51</v>
      </c>
      <c r="U5943" s="5" t="s">
        <v>826</v>
      </c>
      <c r="V5943" s="5" t="s">
        <v>826</v>
      </c>
      <c r="W5943" s="5" t="s">
        <v>67</v>
      </c>
      <c r="X5943" s="5" t="s">
        <v>67</v>
      </c>
      <c r="Y5943" s="4">
        <v>1053</v>
      </c>
      <c r="Z5943" s="4">
        <v>31</v>
      </c>
      <c r="AA5943" s="4">
        <v>33</v>
      </c>
      <c r="AB5943" s="4">
        <v>1</v>
      </c>
      <c r="AC5943" s="4">
        <v>1</v>
      </c>
      <c r="AD5943" s="4">
        <v>32</v>
      </c>
      <c r="AE5943" s="4">
        <v>35</v>
      </c>
      <c r="AF5943" s="4">
        <v>0</v>
      </c>
      <c r="AG5943" s="4">
        <v>0</v>
      </c>
      <c r="AH5943" s="4">
        <v>28</v>
      </c>
      <c r="AI5943" s="4">
        <v>31</v>
      </c>
      <c r="AJ5943" s="4">
        <v>5</v>
      </c>
      <c r="AK5943" s="4">
        <v>5</v>
      </c>
      <c r="AL5943" s="4">
        <v>18</v>
      </c>
      <c r="AM5943" s="4">
        <v>20</v>
      </c>
      <c r="AN5943" s="4">
        <v>0</v>
      </c>
      <c r="AO5943" s="4">
        <v>0</v>
      </c>
      <c r="AP5943" s="4">
        <v>5</v>
      </c>
      <c r="AQ5943" s="4">
        <v>5</v>
      </c>
      <c r="AR5943" s="3" t="s">
        <v>62</v>
      </c>
      <c r="AS5943" s="3" t="s">
        <v>62</v>
      </c>
      <c r="AT5943" s="3" t="s">
        <v>62</v>
      </c>
      <c r="AV5943" s="6" t="str">
        <f>HYPERLINK("http://mcgill.on.worldcat.org/oclc/191886930","Catalog Record")</f>
        <v>Catalog Record</v>
      </c>
      <c r="AW5943" s="6" t="str">
        <f>HYPERLINK("http://www.worldcat.org/oclc/191886930","WorldCat Record")</f>
        <v>WorldCat Record</v>
      </c>
      <c r="AX5943" s="3" t="s">
        <v>55872</v>
      </c>
      <c r="AY5943" s="3" t="s">
        <v>55873</v>
      </c>
      <c r="AZ5943" s="3" t="s">
        <v>55874</v>
      </c>
      <c r="BA5943" s="3" t="s">
        <v>55874</v>
      </c>
      <c r="BB5943" s="3" t="s">
        <v>55875</v>
      </c>
      <c r="BC5943" s="3" t="s">
        <v>33640</v>
      </c>
      <c r="BD5943" s="3" t="s">
        <v>68</v>
      </c>
      <c r="BE5943" s="3" t="s">
        <v>55876</v>
      </c>
      <c r="BF5943" s="3" t="s">
        <v>55875</v>
      </c>
      <c r="BG5943" s="3" t="s">
        <v>55877</v>
      </c>
    </row>
    <row r="5944" spans="1:59" ht="87" x14ac:dyDescent="0.35">
      <c r="A5944" s="2" t="s">
        <v>89</v>
      </c>
      <c r="B5944" s="2" t="s">
        <v>42560</v>
      </c>
      <c r="C5944" s="2" t="s">
        <v>55878</v>
      </c>
      <c r="D5944" s="2" t="s">
        <v>55879</v>
      </c>
      <c r="E5944" s="2" t="s">
        <v>55880</v>
      </c>
      <c r="G5944" s="3" t="s">
        <v>62</v>
      </c>
      <c r="I5944" s="3" t="s">
        <v>62</v>
      </c>
      <c r="J5944" s="3" t="s">
        <v>62</v>
      </c>
      <c r="K5944" s="3" t="s">
        <v>63</v>
      </c>
      <c r="M5944" s="2" t="s">
        <v>55881</v>
      </c>
      <c r="N5944" s="3" t="s">
        <v>2136</v>
      </c>
      <c r="P5944" s="3" t="s">
        <v>64</v>
      </c>
      <c r="Q5944" s="2" t="s">
        <v>55882</v>
      </c>
      <c r="R5944" s="3" t="s">
        <v>34126</v>
      </c>
      <c r="S5944" s="4">
        <v>10</v>
      </c>
      <c r="T5944" s="4">
        <v>10</v>
      </c>
      <c r="U5944" s="5" t="s">
        <v>27978</v>
      </c>
      <c r="V5944" s="5" t="s">
        <v>27978</v>
      </c>
      <c r="W5944" s="5" t="s">
        <v>67</v>
      </c>
      <c r="X5944" s="5" t="s">
        <v>67</v>
      </c>
      <c r="Y5944" s="4">
        <v>296</v>
      </c>
      <c r="Z5944" s="4">
        <v>16</v>
      </c>
      <c r="AA5944" s="4">
        <v>21</v>
      </c>
      <c r="AB5944" s="4">
        <v>3</v>
      </c>
      <c r="AC5944" s="4">
        <v>3</v>
      </c>
      <c r="AD5944" s="4">
        <v>9</v>
      </c>
      <c r="AE5944" s="4">
        <v>31</v>
      </c>
      <c r="AF5944" s="4">
        <v>0</v>
      </c>
      <c r="AG5944" s="4">
        <v>0</v>
      </c>
      <c r="AH5944" s="4">
        <v>7</v>
      </c>
      <c r="AI5944" s="4">
        <v>26</v>
      </c>
      <c r="AJ5944" s="4">
        <v>1</v>
      </c>
      <c r="AK5944" s="4">
        <v>1</v>
      </c>
      <c r="AL5944" s="4">
        <v>5</v>
      </c>
      <c r="AM5944" s="4">
        <v>18</v>
      </c>
      <c r="AN5944" s="4">
        <v>0</v>
      </c>
      <c r="AO5944" s="4">
        <v>0</v>
      </c>
      <c r="AP5944" s="4">
        <v>2</v>
      </c>
      <c r="AQ5944" s="4">
        <v>4</v>
      </c>
      <c r="AR5944" s="3" t="s">
        <v>62</v>
      </c>
      <c r="AS5944" s="3" t="s">
        <v>62</v>
      </c>
      <c r="AT5944" s="3" t="s">
        <v>62</v>
      </c>
      <c r="AV5944" s="6" t="str">
        <f>HYPERLINK("http://mcgill.on.worldcat.org/oclc/61347136","Catalog Record")</f>
        <v>Catalog Record</v>
      </c>
      <c r="AW5944" s="6" t="str">
        <f>HYPERLINK("http://www.worldcat.org/oclc/61347136","WorldCat Record")</f>
        <v>WorldCat Record</v>
      </c>
      <c r="AX5944" s="3" t="s">
        <v>55883</v>
      </c>
      <c r="AY5944" s="3" t="s">
        <v>55884</v>
      </c>
      <c r="AZ5944" s="3" t="s">
        <v>55885</v>
      </c>
      <c r="BA5944" s="3" t="s">
        <v>55885</v>
      </c>
      <c r="BB5944" s="3" t="s">
        <v>55886</v>
      </c>
      <c r="BC5944" s="3" t="s">
        <v>33640</v>
      </c>
      <c r="BD5944" s="3" t="s">
        <v>68</v>
      </c>
      <c r="BE5944" s="3" t="s">
        <v>55887</v>
      </c>
      <c r="BF5944" s="3" t="s">
        <v>55886</v>
      </c>
      <c r="BG5944" s="3" t="s">
        <v>55888</v>
      </c>
    </row>
    <row r="5945" spans="1:59" ht="87" x14ac:dyDescent="0.35">
      <c r="A5945" s="2" t="s">
        <v>89</v>
      </c>
      <c r="B5945" s="2" t="s">
        <v>42560</v>
      </c>
      <c r="C5945" s="2" t="s">
        <v>55889</v>
      </c>
      <c r="D5945" s="2" t="s">
        <v>55890</v>
      </c>
      <c r="E5945" s="2" t="s">
        <v>55891</v>
      </c>
      <c r="G5945" s="3" t="s">
        <v>62</v>
      </c>
      <c r="I5945" s="3" t="s">
        <v>62</v>
      </c>
      <c r="J5945" s="3" t="s">
        <v>62</v>
      </c>
      <c r="K5945" s="3" t="s">
        <v>63</v>
      </c>
      <c r="M5945" s="2" t="s">
        <v>55892</v>
      </c>
      <c r="N5945" s="3" t="s">
        <v>2136</v>
      </c>
      <c r="P5945" s="3" t="s">
        <v>64</v>
      </c>
      <c r="Q5945" s="2" t="s">
        <v>55893</v>
      </c>
      <c r="R5945" s="3" t="s">
        <v>34126</v>
      </c>
      <c r="S5945" s="4">
        <v>4</v>
      </c>
      <c r="T5945" s="4">
        <v>4</v>
      </c>
      <c r="U5945" s="5" t="s">
        <v>12308</v>
      </c>
      <c r="V5945" s="5" t="s">
        <v>12308</v>
      </c>
      <c r="W5945" s="5" t="s">
        <v>67</v>
      </c>
      <c r="X5945" s="5" t="s">
        <v>67</v>
      </c>
      <c r="Y5945" s="4">
        <v>91</v>
      </c>
      <c r="Z5945" s="4">
        <v>2</v>
      </c>
      <c r="AA5945" s="4">
        <v>6</v>
      </c>
      <c r="AB5945" s="4">
        <v>1</v>
      </c>
      <c r="AC5945" s="4">
        <v>1</v>
      </c>
      <c r="AD5945" s="4">
        <v>8</v>
      </c>
      <c r="AE5945" s="4">
        <v>16</v>
      </c>
      <c r="AF5945" s="4">
        <v>0</v>
      </c>
      <c r="AG5945" s="4">
        <v>0</v>
      </c>
      <c r="AH5945" s="4">
        <v>6</v>
      </c>
      <c r="AI5945" s="4">
        <v>13</v>
      </c>
      <c r="AJ5945" s="4">
        <v>0</v>
      </c>
      <c r="AK5945" s="4">
        <v>3</v>
      </c>
      <c r="AL5945" s="4">
        <v>3</v>
      </c>
      <c r="AM5945" s="4">
        <v>6</v>
      </c>
      <c r="AN5945" s="4">
        <v>0</v>
      </c>
      <c r="AO5945" s="4">
        <v>0</v>
      </c>
      <c r="AP5945" s="4">
        <v>1</v>
      </c>
      <c r="AQ5945" s="4">
        <v>4</v>
      </c>
      <c r="AR5945" s="3" t="s">
        <v>62</v>
      </c>
      <c r="AS5945" s="3" t="s">
        <v>62</v>
      </c>
      <c r="AT5945" s="3" t="s">
        <v>62</v>
      </c>
      <c r="AV5945" s="6" t="str">
        <f>HYPERLINK("http://mcgill.on.worldcat.org/oclc/69679556","Catalog Record")</f>
        <v>Catalog Record</v>
      </c>
      <c r="AW5945" s="6" t="str">
        <f>HYPERLINK("http://www.worldcat.org/oclc/69679556","WorldCat Record")</f>
        <v>WorldCat Record</v>
      </c>
      <c r="AX5945" s="3" t="s">
        <v>55894</v>
      </c>
      <c r="AY5945" s="3" t="s">
        <v>55895</v>
      </c>
      <c r="AZ5945" s="3" t="s">
        <v>55896</v>
      </c>
      <c r="BA5945" s="3" t="s">
        <v>55896</v>
      </c>
      <c r="BB5945" s="3" t="s">
        <v>55897</v>
      </c>
      <c r="BC5945" s="3" t="s">
        <v>33640</v>
      </c>
      <c r="BD5945" s="3" t="s">
        <v>68</v>
      </c>
      <c r="BE5945" s="3" t="s">
        <v>55898</v>
      </c>
      <c r="BF5945" s="3" t="s">
        <v>55897</v>
      </c>
      <c r="BG5945" s="3" t="s">
        <v>55899</v>
      </c>
    </row>
    <row r="5946" spans="1:59" ht="87" x14ac:dyDescent="0.35">
      <c r="A5946" s="2" t="s">
        <v>89</v>
      </c>
      <c r="B5946" s="2" t="s">
        <v>42560</v>
      </c>
      <c r="C5946" s="2" t="s">
        <v>55900</v>
      </c>
      <c r="D5946" s="2" t="s">
        <v>55901</v>
      </c>
      <c r="E5946" s="2" t="s">
        <v>55902</v>
      </c>
      <c r="F5946" s="3" t="s">
        <v>55903</v>
      </c>
      <c r="G5946" s="3" t="s">
        <v>61</v>
      </c>
      <c r="I5946" s="3" t="s">
        <v>62</v>
      </c>
      <c r="J5946" s="3" t="s">
        <v>62</v>
      </c>
      <c r="K5946" s="3" t="s">
        <v>63</v>
      </c>
      <c r="M5946" s="2" t="s">
        <v>55904</v>
      </c>
      <c r="N5946" s="3" t="s">
        <v>2136</v>
      </c>
      <c r="P5946" s="3" t="s">
        <v>64</v>
      </c>
      <c r="R5946" s="3" t="s">
        <v>34126</v>
      </c>
      <c r="S5946" s="4">
        <v>22</v>
      </c>
      <c r="T5946" s="4">
        <v>85</v>
      </c>
      <c r="U5946" s="5" t="s">
        <v>23107</v>
      </c>
      <c r="V5946" s="5" t="s">
        <v>23107</v>
      </c>
      <c r="W5946" s="5" t="s">
        <v>67</v>
      </c>
      <c r="X5946" s="5" t="s">
        <v>67</v>
      </c>
      <c r="Y5946" s="4">
        <v>34</v>
      </c>
      <c r="Z5946" s="4">
        <v>11</v>
      </c>
      <c r="AA5946" s="4">
        <v>21</v>
      </c>
      <c r="AB5946" s="4">
        <v>1</v>
      </c>
      <c r="AC5946" s="4">
        <v>1</v>
      </c>
      <c r="AD5946" s="4">
        <v>4</v>
      </c>
      <c r="AE5946" s="4">
        <v>31</v>
      </c>
      <c r="AF5946" s="4">
        <v>0</v>
      </c>
      <c r="AG5946" s="4">
        <v>0</v>
      </c>
      <c r="AH5946" s="4">
        <v>3</v>
      </c>
      <c r="AI5946" s="4">
        <v>25</v>
      </c>
      <c r="AJ5946" s="4">
        <v>3</v>
      </c>
      <c r="AK5946" s="4">
        <v>6</v>
      </c>
      <c r="AL5946" s="4">
        <v>0</v>
      </c>
      <c r="AM5946" s="4">
        <v>15</v>
      </c>
      <c r="AN5946" s="4">
        <v>0</v>
      </c>
      <c r="AO5946" s="4">
        <v>0</v>
      </c>
      <c r="AP5946" s="4">
        <v>3</v>
      </c>
      <c r="AQ5946" s="4">
        <v>8</v>
      </c>
      <c r="AR5946" s="3" t="s">
        <v>61</v>
      </c>
      <c r="AS5946" s="3" t="s">
        <v>62</v>
      </c>
      <c r="AT5946" s="3" t="s">
        <v>62</v>
      </c>
      <c r="AV5946" s="6" t="str">
        <f>HYPERLINK("http://mcgill.on.worldcat.org/oclc/70294395","Catalog Record")</f>
        <v>Catalog Record</v>
      </c>
      <c r="AW5946" s="6" t="str">
        <f>HYPERLINK("http://www.worldcat.org/oclc/70294395","WorldCat Record")</f>
        <v>WorldCat Record</v>
      </c>
      <c r="AX5946" s="3" t="s">
        <v>55905</v>
      </c>
      <c r="AY5946" s="3" t="s">
        <v>55906</v>
      </c>
      <c r="AZ5946" s="3" t="s">
        <v>55907</v>
      </c>
      <c r="BA5946" s="3" t="s">
        <v>55907</v>
      </c>
      <c r="BB5946" s="3" t="s">
        <v>55908</v>
      </c>
      <c r="BC5946" s="3" t="s">
        <v>33640</v>
      </c>
      <c r="BD5946" s="3" t="s">
        <v>68</v>
      </c>
      <c r="BF5946" s="3" t="s">
        <v>55908</v>
      </c>
      <c r="BG5946" s="3" t="s">
        <v>55909</v>
      </c>
    </row>
    <row r="5947" spans="1:59" ht="87" x14ac:dyDescent="0.35">
      <c r="A5947" s="2" t="s">
        <v>89</v>
      </c>
      <c r="B5947" s="2" t="s">
        <v>42560</v>
      </c>
      <c r="C5947" s="2" t="s">
        <v>55900</v>
      </c>
      <c r="D5947" s="2" t="s">
        <v>55901</v>
      </c>
      <c r="E5947" s="2" t="s">
        <v>55902</v>
      </c>
      <c r="F5947" s="3" t="s">
        <v>55910</v>
      </c>
      <c r="G5947" s="3" t="s">
        <v>61</v>
      </c>
      <c r="I5947" s="3" t="s">
        <v>62</v>
      </c>
      <c r="J5947" s="3" t="s">
        <v>62</v>
      </c>
      <c r="K5947" s="3" t="s">
        <v>63</v>
      </c>
      <c r="M5947" s="2" t="s">
        <v>55904</v>
      </c>
      <c r="N5947" s="3" t="s">
        <v>2136</v>
      </c>
      <c r="P5947" s="3" t="s">
        <v>64</v>
      </c>
      <c r="R5947" s="3" t="s">
        <v>34126</v>
      </c>
      <c r="S5947" s="4">
        <v>15</v>
      </c>
      <c r="T5947" s="4">
        <v>85</v>
      </c>
      <c r="U5947" s="5" t="s">
        <v>23107</v>
      </c>
      <c r="V5947" s="5" t="s">
        <v>23107</v>
      </c>
      <c r="W5947" s="5" t="s">
        <v>67</v>
      </c>
      <c r="X5947" s="5" t="s">
        <v>67</v>
      </c>
      <c r="Y5947" s="4">
        <v>34</v>
      </c>
      <c r="Z5947" s="4">
        <v>11</v>
      </c>
      <c r="AA5947" s="4">
        <v>21</v>
      </c>
      <c r="AB5947" s="4">
        <v>1</v>
      </c>
      <c r="AC5947" s="4">
        <v>1</v>
      </c>
      <c r="AD5947" s="4">
        <v>4</v>
      </c>
      <c r="AE5947" s="4">
        <v>31</v>
      </c>
      <c r="AF5947" s="4">
        <v>0</v>
      </c>
      <c r="AG5947" s="4">
        <v>0</v>
      </c>
      <c r="AH5947" s="4">
        <v>3</v>
      </c>
      <c r="AI5947" s="4">
        <v>25</v>
      </c>
      <c r="AJ5947" s="4">
        <v>3</v>
      </c>
      <c r="AK5947" s="4">
        <v>6</v>
      </c>
      <c r="AL5947" s="4">
        <v>0</v>
      </c>
      <c r="AM5947" s="4">
        <v>15</v>
      </c>
      <c r="AN5947" s="4">
        <v>0</v>
      </c>
      <c r="AO5947" s="4">
        <v>0</v>
      </c>
      <c r="AP5947" s="4">
        <v>3</v>
      </c>
      <c r="AQ5947" s="4">
        <v>8</v>
      </c>
      <c r="AR5947" s="3" t="s">
        <v>61</v>
      </c>
      <c r="AS5947" s="3" t="s">
        <v>62</v>
      </c>
      <c r="AT5947" s="3" t="s">
        <v>62</v>
      </c>
      <c r="AV5947" s="6" t="str">
        <f>HYPERLINK("http://mcgill.on.worldcat.org/oclc/70294395","Catalog Record")</f>
        <v>Catalog Record</v>
      </c>
      <c r="AW5947" s="6" t="str">
        <f>HYPERLINK("http://www.worldcat.org/oclc/70294395","WorldCat Record")</f>
        <v>WorldCat Record</v>
      </c>
      <c r="AX5947" s="3" t="s">
        <v>55905</v>
      </c>
      <c r="AY5947" s="3" t="s">
        <v>55906</v>
      </c>
      <c r="AZ5947" s="3" t="s">
        <v>55907</v>
      </c>
      <c r="BA5947" s="3" t="s">
        <v>55907</v>
      </c>
      <c r="BB5947" s="3" t="s">
        <v>55911</v>
      </c>
      <c r="BC5947" s="3" t="s">
        <v>33640</v>
      </c>
      <c r="BD5947" s="3" t="s">
        <v>68</v>
      </c>
      <c r="BF5947" s="3" t="s">
        <v>55911</v>
      </c>
      <c r="BG5947" s="3" t="s">
        <v>55912</v>
      </c>
    </row>
    <row r="5948" spans="1:59" ht="87" x14ac:dyDescent="0.35">
      <c r="A5948" s="2" t="s">
        <v>89</v>
      </c>
      <c r="B5948" s="2" t="s">
        <v>42560</v>
      </c>
      <c r="C5948" s="2" t="s">
        <v>55900</v>
      </c>
      <c r="D5948" s="2" t="s">
        <v>55901</v>
      </c>
      <c r="E5948" s="2" t="s">
        <v>55902</v>
      </c>
      <c r="F5948" s="3" t="s">
        <v>55913</v>
      </c>
      <c r="G5948" s="3" t="s">
        <v>61</v>
      </c>
      <c r="I5948" s="3" t="s">
        <v>62</v>
      </c>
      <c r="J5948" s="3" t="s">
        <v>62</v>
      </c>
      <c r="K5948" s="3" t="s">
        <v>63</v>
      </c>
      <c r="M5948" s="2" t="s">
        <v>55904</v>
      </c>
      <c r="N5948" s="3" t="s">
        <v>2136</v>
      </c>
      <c r="P5948" s="3" t="s">
        <v>64</v>
      </c>
      <c r="R5948" s="3" t="s">
        <v>34126</v>
      </c>
      <c r="S5948" s="4">
        <v>15</v>
      </c>
      <c r="T5948" s="4">
        <v>85</v>
      </c>
      <c r="U5948" s="5" t="s">
        <v>23107</v>
      </c>
      <c r="V5948" s="5" t="s">
        <v>23107</v>
      </c>
      <c r="W5948" s="5" t="s">
        <v>67</v>
      </c>
      <c r="X5948" s="5" t="s">
        <v>67</v>
      </c>
      <c r="Y5948" s="4">
        <v>34</v>
      </c>
      <c r="Z5948" s="4">
        <v>11</v>
      </c>
      <c r="AA5948" s="4">
        <v>21</v>
      </c>
      <c r="AB5948" s="4">
        <v>1</v>
      </c>
      <c r="AC5948" s="4">
        <v>1</v>
      </c>
      <c r="AD5948" s="4">
        <v>4</v>
      </c>
      <c r="AE5948" s="4">
        <v>31</v>
      </c>
      <c r="AF5948" s="4">
        <v>0</v>
      </c>
      <c r="AG5948" s="4">
        <v>0</v>
      </c>
      <c r="AH5948" s="4">
        <v>3</v>
      </c>
      <c r="AI5948" s="4">
        <v>25</v>
      </c>
      <c r="AJ5948" s="4">
        <v>3</v>
      </c>
      <c r="AK5948" s="4">
        <v>6</v>
      </c>
      <c r="AL5948" s="4">
        <v>0</v>
      </c>
      <c r="AM5948" s="4">
        <v>15</v>
      </c>
      <c r="AN5948" s="4">
        <v>0</v>
      </c>
      <c r="AO5948" s="4">
        <v>0</v>
      </c>
      <c r="AP5948" s="4">
        <v>3</v>
      </c>
      <c r="AQ5948" s="4">
        <v>8</v>
      </c>
      <c r="AR5948" s="3" t="s">
        <v>61</v>
      </c>
      <c r="AS5948" s="3" t="s">
        <v>62</v>
      </c>
      <c r="AT5948" s="3" t="s">
        <v>62</v>
      </c>
      <c r="AV5948" s="6" t="str">
        <f>HYPERLINK("http://mcgill.on.worldcat.org/oclc/70294395","Catalog Record")</f>
        <v>Catalog Record</v>
      </c>
      <c r="AW5948" s="6" t="str">
        <f>HYPERLINK("http://www.worldcat.org/oclc/70294395","WorldCat Record")</f>
        <v>WorldCat Record</v>
      </c>
      <c r="AX5948" s="3" t="s">
        <v>55905</v>
      </c>
      <c r="AY5948" s="3" t="s">
        <v>55906</v>
      </c>
      <c r="AZ5948" s="3" t="s">
        <v>55907</v>
      </c>
      <c r="BA5948" s="3" t="s">
        <v>55907</v>
      </c>
      <c r="BB5948" s="3" t="s">
        <v>55914</v>
      </c>
      <c r="BC5948" s="3" t="s">
        <v>33640</v>
      </c>
      <c r="BD5948" s="3" t="s">
        <v>68</v>
      </c>
      <c r="BF5948" s="3" t="s">
        <v>55914</v>
      </c>
      <c r="BG5948" s="3" t="s">
        <v>55915</v>
      </c>
    </row>
    <row r="5949" spans="1:59" ht="87" x14ac:dyDescent="0.35">
      <c r="A5949" s="2" t="s">
        <v>89</v>
      </c>
      <c r="B5949" s="2" t="s">
        <v>42560</v>
      </c>
      <c r="C5949" s="2" t="s">
        <v>55900</v>
      </c>
      <c r="D5949" s="2" t="s">
        <v>55901</v>
      </c>
      <c r="E5949" s="2" t="s">
        <v>55902</v>
      </c>
      <c r="F5949" s="3" t="s">
        <v>55916</v>
      </c>
      <c r="G5949" s="3" t="s">
        <v>61</v>
      </c>
      <c r="I5949" s="3" t="s">
        <v>62</v>
      </c>
      <c r="J5949" s="3" t="s">
        <v>62</v>
      </c>
      <c r="K5949" s="3" t="s">
        <v>63</v>
      </c>
      <c r="M5949" s="2" t="s">
        <v>55904</v>
      </c>
      <c r="N5949" s="3" t="s">
        <v>2136</v>
      </c>
      <c r="P5949" s="3" t="s">
        <v>64</v>
      </c>
      <c r="R5949" s="3" t="s">
        <v>34126</v>
      </c>
      <c r="S5949" s="4">
        <v>13</v>
      </c>
      <c r="T5949" s="4">
        <v>85</v>
      </c>
      <c r="U5949" s="5" t="s">
        <v>23107</v>
      </c>
      <c r="V5949" s="5" t="s">
        <v>23107</v>
      </c>
      <c r="W5949" s="5" t="s">
        <v>67</v>
      </c>
      <c r="X5949" s="5" t="s">
        <v>67</v>
      </c>
      <c r="Y5949" s="4">
        <v>34</v>
      </c>
      <c r="Z5949" s="4">
        <v>11</v>
      </c>
      <c r="AA5949" s="4">
        <v>21</v>
      </c>
      <c r="AB5949" s="4">
        <v>1</v>
      </c>
      <c r="AC5949" s="4">
        <v>1</v>
      </c>
      <c r="AD5949" s="4">
        <v>4</v>
      </c>
      <c r="AE5949" s="4">
        <v>31</v>
      </c>
      <c r="AF5949" s="4">
        <v>0</v>
      </c>
      <c r="AG5949" s="4">
        <v>0</v>
      </c>
      <c r="AH5949" s="4">
        <v>3</v>
      </c>
      <c r="AI5949" s="4">
        <v>25</v>
      </c>
      <c r="AJ5949" s="4">
        <v>3</v>
      </c>
      <c r="AK5949" s="4">
        <v>6</v>
      </c>
      <c r="AL5949" s="4">
        <v>0</v>
      </c>
      <c r="AM5949" s="4">
        <v>15</v>
      </c>
      <c r="AN5949" s="4">
        <v>0</v>
      </c>
      <c r="AO5949" s="4">
        <v>0</v>
      </c>
      <c r="AP5949" s="4">
        <v>3</v>
      </c>
      <c r="AQ5949" s="4">
        <v>8</v>
      </c>
      <c r="AR5949" s="3" t="s">
        <v>61</v>
      </c>
      <c r="AS5949" s="3" t="s">
        <v>62</v>
      </c>
      <c r="AT5949" s="3" t="s">
        <v>62</v>
      </c>
      <c r="AV5949" s="6" t="str">
        <f>HYPERLINK("http://mcgill.on.worldcat.org/oclc/70294395","Catalog Record")</f>
        <v>Catalog Record</v>
      </c>
      <c r="AW5949" s="6" t="str">
        <f>HYPERLINK("http://www.worldcat.org/oclc/70294395","WorldCat Record")</f>
        <v>WorldCat Record</v>
      </c>
      <c r="AX5949" s="3" t="s">
        <v>55905</v>
      </c>
      <c r="AY5949" s="3" t="s">
        <v>55906</v>
      </c>
      <c r="AZ5949" s="3" t="s">
        <v>55907</v>
      </c>
      <c r="BA5949" s="3" t="s">
        <v>55907</v>
      </c>
      <c r="BB5949" s="3" t="s">
        <v>55917</v>
      </c>
      <c r="BC5949" s="3" t="s">
        <v>33640</v>
      </c>
      <c r="BD5949" s="3" t="s">
        <v>68</v>
      </c>
      <c r="BF5949" s="3" t="s">
        <v>55917</v>
      </c>
      <c r="BG5949" s="3" t="s">
        <v>55918</v>
      </c>
    </row>
    <row r="5950" spans="1:59" ht="87" x14ac:dyDescent="0.35">
      <c r="A5950" s="2" t="s">
        <v>89</v>
      </c>
      <c r="B5950" s="2" t="s">
        <v>42560</v>
      </c>
      <c r="C5950" s="2" t="s">
        <v>55900</v>
      </c>
      <c r="D5950" s="2" t="s">
        <v>55901</v>
      </c>
      <c r="E5950" s="2" t="s">
        <v>55902</v>
      </c>
      <c r="F5950" s="3" t="s">
        <v>55919</v>
      </c>
      <c r="G5950" s="3" t="s">
        <v>61</v>
      </c>
      <c r="I5950" s="3" t="s">
        <v>62</v>
      </c>
      <c r="J5950" s="3" t="s">
        <v>62</v>
      </c>
      <c r="K5950" s="3" t="s">
        <v>63</v>
      </c>
      <c r="M5950" s="2" t="s">
        <v>55904</v>
      </c>
      <c r="N5950" s="3" t="s">
        <v>2136</v>
      </c>
      <c r="P5950" s="3" t="s">
        <v>64</v>
      </c>
      <c r="R5950" s="3" t="s">
        <v>34126</v>
      </c>
      <c r="S5950" s="4">
        <v>20</v>
      </c>
      <c r="T5950" s="4">
        <v>85</v>
      </c>
      <c r="U5950" s="5" t="s">
        <v>23107</v>
      </c>
      <c r="V5950" s="5" t="s">
        <v>23107</v>
      </c>
      <c r="W5950" s="5" t="s">
        <v>67</v>
      </c>
      <c r="X5950" s="5" t="s">
        <v>67</v>
      </c>
      <c r="Y5950" s="4">
        <v>34</v>
      </c>
      <c r="Z5950" s="4">
        <v>11</v>
      </c>
      <c r="AA5950" s="4">
        <v>21</v>
      </c>
      <c r="AB5950" s="4">
        <v>1</v>
      </c>
      <c r="AC5950" s="4">
        <v>1</v>
      </c>
      <c r="AD5950" s="4">
        <v>4</v>
      </c>
      <c r="AE5950" s="4">
        <v>31</v>
      </c>
      <c r="AF5950" s="4">
        <v>0</v>
      </c>
      <c r="AG5950" s="4">
        <v>0</v>
      </c>
      <c r="AH5950" s="4">
        <v>3</v>
      </c>
      <c r="AI5950" s="4">
        <v>25</v>
      </c>
      <c r="AJ5950" s="4">
        <v>3</v>
      </c>
      <c r="AK5950" s="4">
        <v>6</v>
      </c>
      <c r="AL5950" s="4">
        <v>0</v>
      </c>
      <c r="AM5950" s="4">
        <v>15</v>
      </c>
      <c r="AN5950" s="4">
        <v>0</v>
      </c>
      <c r="AO5950" s="4">
        <v>0</v>
      </c>
      <c r="AP5950" s="4">
        <v>3</v>
      </c>
      <c r="AQ5950" s="4">
        <v>8</v>
      </c>
      <c r="AR5950" s="3" t="s">
        <v>61</v>
      </c>
      <c r="AS5950" s="3" t="s">
        <v>62</v>
      </c>
      <c r="AT5950" s="3" t="s">
        <v>62</v>
      </c>
      <c r="AV5950" s="6" t="str">
        <f>HYPERLINK("http://mcgill.on.worldcat.org/oclc/70294395","Catalog Record")</f>
        <v>Catalog Record</v>
      </c>
      <c r="AW5950" s="6" t="str">
        <f>HYPERLINK("http://www.worldcat.org/oclc/70294395","WorldCat Record")</f>
        <v>WorldCat Record</v>
      </c>
      <c r="AX5950" s="3" t="s">
        <v>55905</v>
      </c>
      <c r="AY5950" s="3" t="s">
        <v>55906</v>
      </c>
      <c r="AZ5950" s="3" t="s">
        <v>55907</v>
      </c>
      <c r="BA5950" s="3" t="s">
        <v>55907</v>
      </c>
      <c r="BB5950" s="3" t="s">
        <v>55920</v>
      </c>
      <c r="BC5950" s="3" t="s">
        <v>33640</v>
      </c>
      <c r="BD5950" s="3" t="s">
        <v>68</v>
      </c>
      <c r="BF5950" s="3" t="s">
        <v>55920</v>
      </c>
      <c r="BG5950" s="3" t="s">
        <v>55921</v>
      </c>
    </row>
    <row r="5951" spans="1:59" ht="87" x14ac:dyDescent="0.35">
      <c r="A5951" s="2" t="s">
        <v>89</v>
      </c>
      <c r="B5951" s="2" t="s">
        <v>42560</v>
      </c>
      <c r="C5951" s="2" t="s">
        <v>55922</v>
      </c>
      <c r="D5951" s="2" t="s">
        <v>55923</v>
      </c>
      <c r="E5951" s="2" t="s">
        <v>55924</v>
      </c>
      <c r="G5951" s="3" t="s">
        <v>62</v>
      </c>
      <c r="I5951" s="3" t="s">
        <v>62</v>
      </c>
      <c r="J5951" s="3" t="s">
        <v>62</v>
      </c>
      <c r="K5951" s="3" t="s">
        <v>63</v>
      </c>
      <c r="M5951" s="2" t="s">
        <v>55925</v>
      </c>
      <c r="N5951" s="3" t="s">
        <v>2985</v>
      </c>
      <c r="P5951" s="3" t="s">
        <v>64</v>
      </c>
      <c r="Q5951" s="2" t="s">
        <v>55926</v>
      </c>
      <c r="R5951" s="3" t="s">
        <v>34126</v>
      </c>
      <c r="S5951" s="4">
        <v>6</v>
      </c>
      <c r="T5951" s="4">
        <v>6</v>
      </c>
      <c r="U5951" s="5" t="s">
        <v>20127</v>
      </c>
      <c r="V5951" s="5" t="s">
        <v>20127</v>
      </c>
      <c r="W5951" s="5" t="s">
        <v>67</v>
      </c>
      <c r="X5951" s="5" t="s">
        <v>67</v>
      </c>
      <c r="Y5951" s="4">
        <v>102</v>
      </c>
      <c r="Z5951" s="4">
        <v>8</v>
      </c>
      <c r="AA5951" s="4">
        <v>40</v>
      </c>
      <c r="AB5951" s="4">
        <v>2</v>
      </c>
      <c r="AC5951" s="4">
        <v>2</v>
      </c>
      <c r="AD5951" s="4">
        <v>15</v>
      </c>
      <c r="AE5951" s="4">
        <v>37</v>
      </c>
      <c r="AF5951" s="4">
        <v>0</v>
      </c>
      <c r="AG5951" s="4">
        <v>0</v>
      </c>
      <c r="AH5951" s="4">
        <v>12</v>
      </c>
      <c r="AI5951" s="4">
        <v>26</v>
      </c>
      <c r="AJ5951" s="4">
        <v>1</v>
      </c>
      <c r="AK5951" s="4">
        <v>5</v>
      </c>
      <c r="AL5951" s="4">
        <v>9</v>
      </c>
      <c r="AM5951" s="4">
        <v>11</v>
      </c>
      <c r="AN5951" s="4">
        <v>0</v>
      </c>
      <c r="AO5951" s="4">
        <v>0</v>
      </c>
      <c r="AP5951" s="4">
        <v>3</v>
      </c>
      <c r="AQ5951" s="4">
        <v>15</v>
      </c>
      <c r="AR5951" s="3" t="s">
        <v>62</v>
      </c>
      <c r="AS5951" s="3" t="s">
        <v>62</v>
      </c>
      <c r="AT5951" s="3" t="s">
        <v>62</v>
      </c>
      <c r="AV5951" s="6" t="str">
        <f>HYPERLINK("http://mcgill.on.worldcat.org/oclc/319620887","Catalog Record")</f>
        <v>Catalog Record</v>
      </c>
      <c r="AW5951" s="6" t="str">
        <f>HYPERLINK("http://www.worldcat.org/oclc/319620887","WorldCat Record")</f>
        <v>WorldCat Record</v>
      </c>
      <c r="AX5951" s="3" t="s">
        <v>55927</v>
      </c>
      <c r="AY5951" s="3" t="s">
        <v>55928</v>
      </c>
      <c r="AZ5951" s="3" t="s">
        <v>55929</v>
      </c>
      <c r="BA5951" s="3" t="s">
        <v>55929</v>
      </c>
      <c r="BB5951" s="3" t="s">
        <v>55930</v>
      </c>
      <c r="BC5951" s="3" t="s">
        <v>33640</v>
      </c>
      <c r="BD5951" s="3" t="s">
        <v>68</v>
      </c>
      <c r="BE5951" s="3" t="s">
        <v>55931</v>
      </c>
      <c r="BF5951" s="3" t="s">
        <v>55930</v>
      </c>
      <c r="BG5951" s="3" t="s">
        <v>55932</v>
      </c>
    </row>
    <row r="5952" spans="1:59" ht="87" x14ac:dyDescent="0.35">
      <c r="A5952" s="2" t="s">
        <v>89</v>
      </c>
      <c r="B5952" s="2" t="s">
        <v>42560</v>
      </c>
      <c r="C5952" s="2" t="s">
        <v>55933</v>
      </c>
      <c r="D5952" s="2" t="s">
        <v>55934</v>
      </c>
      <c r="E5952" s="2" t="s">
        <v>55935</v>
      </c>
      <c r="G5952" s="3" t="s">
        <v>61</v>
      </c>
      <c r="I5952" s="3" t="s">
        <v>62</v>
      </c>
      <c r="J5952" s="3" t="s">
        <v>62</v>
      </c>
      <c r="K5952" s="3" t="s">
        <v>63</v>
      </c>
      <c r="M5952" s="2" t="s">
        <v>55936</v>
      </c>
      <c r="N5952" s="3" t="s">
        <v>625</v>
      </c>
      <c r="P5952" s="3" t="s">
        <v>64</v>
      </c>
      <c r="R5952" s="3" t="s">
        <v>34126</v>
      </c>
      <c r="S5952" s="4">
        <v>16</v>
      </c>
      <c r="T5952" s="4">
        <v>16</v>
      </c>
      <c r="U5952" s="5" t="s">
        <v>18783</v>
      </c>
      <c r="V5952" s="5" t="s">
        <v>18783</v>
      </c>
      <c r="W5952" s="5" t="s">
        <v>67</v>
      </c>
      <c r="X5952" s="5" t="s">
        <v>67</v>
      </c>
      <c r="Y5952" s="4">
        <v>4</v>
      </c>
      <c r="Z5952" s="4">
        <v>1</v>
      </c>
      <c r="AA5952" s="4">
        <v>6</v>
      </c>
      <c r="AB5952" s="4">
        <v>1</v>
      </c>
      <c r="AC5952" s="4">
        <v>1</v>
      </c>
      <c r="AD5952" s="4">
        <v>0</v>
      </c>
      <c r="AE5952" s="4">
        <v>12</v>
      </c>
      <c r="AF5952" s="4">
        <v>0</v>
      </c>
      <c r="AG5952" s="4">
        <v>0</v>
      </c>
      <c r="AH5952" s="4">
        <v>0</v>
      </c>
      <c r="AI5952" s="4">
        <v>10</v>
      </c>
      <c r="AJ5952" s="4">
        <v>0</v>
      </c>
      <c r="AK5952" s="4">
        <v>3</v>
      </c>
      <c r="AL5952" s="4">
        <v>0</v>
      </c>
      <c r="AM5952" s="4">
        <v>4</v>
      </c>
      <c r="AN5952" s="4">
        <v>0</v>
      </c>
      <c r="AO5952" s="4">
        <v>0</v>
      </c>
      <c r="AP5952" s="4">
        <v>0</v>
      </c>
      <c r="AQ5952" s="4">
        <v>3</v>
      </c>
      <c r="AR5952" s="3" t="s">
        <v>62</v>
      </c>
      <c r="AS5952" s="3" t="s">
        <v>62</v>
      </c>
      <c r="AT5952" s="3" t="s">
        <v>62</v>
      </c>
      <c r="AV5952" s="6" t="str">
        <f>HYPERLINK("http://mcgill.on.worldcat.org/oclc/308862285","Catalog Record")</f>
        <v>Catalog Record</v>
      </c>
      <c r="AW5952" s="6" t="str">
        <f>HYPERLINK("http://www.worldcat.org/oclc/308862285","WorldCat Record")</f>
        <v>WorldCat Record</v>
      </c>
      <c r="AX5952" s="3" t="s">
        <v>55937</v>
      </c>
      <c r="AY5952" s="3" t="s">
        <v>55938</v>
      </c>
      <c r="AZ5952" s="3" t="s">
        <v>55939</v>
      </c>
      <c r="BA5952" s="3" t="s">
        <v>55939</v>
      </c>
      <c r="BB5952" s="3" t="s">
        <v>55940</v>
      </c>
      <c r="BC5952" s="3" t="s">
        <v>33640</v>
      </c>
      <c r="BD5952" s="3" t="s">
        <v>68</v>
      </c>
      <c r="BF5952" s="3" t="s">
        <v>55940</v>
      </c>
      <c r="BG5952" s="3" t="s">
        <v>55941</v>
      </c>
    </row>
    <row r="5953" spans="1:59" ht="87" x14ac:dyDescent="0.35">
      <c r="A5953" s="2" t="s">
        <v>89</v>
      </c>
      <c r="B5953" s="2" t="s">
        <v>42560</v>
      </c>
      <c r="C5953" s="2" t="s">
        <v>55942</v>
      </c>
      <c r="D5953" s="2" t="s">
        <v>55943</v>
      </c>
      <c r="E5953" s="2" t="s">
        <v>55944</v>
      </c>
      <c r="G5953" s="3" t="s">
        <v>62</v>
      </c>
      <c r="I5953" s="3" t="s">
        <v>62</v>
      </c>
      <c r="J5953" s="3" t="s">
        <v>62</v>
      </c>
      <c r="K5953" s="3" t="s">
        <v>63</v>
      </c>
      <c r="M5953" s="2" t="s">
        <v>55945</v>
      </c>
      <c r="N5953" s="3" t="s">
        <v>655</v>
      </c>
      <c r="P5953" s="3" t="s">
        <v>64</v>
      </c>
      <c r="R5953" s="3" t="s">
        <v>34126</v>
      </c>
      <c r="S5953" s="4">
        <v>7</v>
      </c>
      <c r="T5953" s="4">
        <v>7</v>
      </c>
      <c r="U5953" s="5" t="s">
        <v>5517</v>
      </c>
      <c r="V5953" s="5" t="s">
        <v>5517</v>
      </c>
      <c r="W5953" s="5" t="s">
        <v>67</v>
      </c>
      <c r="X5953" s="5" t="s">
        <v>67</v>
      </c>
      <c r="Y5953" s="4">
        <v>1</v>
      </c>
      <c r="Z5953" s="4">
        <v>1</v>
      </c>
      <c r="AA5953" s="4">
        <v>47</v>
      </c>
      <c r="AB5953" s="4">
        <v>1</v>
      </c>
      <c r="AC5953" s="4">
        <v>6</v>
      </c>
      <c r="AD5953" s="4">
        <v>0</v>
      </c>
      <c r="AE5953" s="4">
        <v>30</v>
      </c>
      <c r="AF5953" s="4">
        <v>0</v>
      </c>
      <c r="AG5953" s="4">
        <v>2</v>
      </c>
      <c r="AH5953" s="4">
        <v>0</v>
      </c>
      <c r="AI5953" s="4">
        <v>11</v>
      </c>
      <c r="AJ5953" s="4">
        <v>0</v>
      </c>
      <c r="AK5953" s="4">
        <v>14</v>
      </c>
      <c r="AL5953" s="4">
        <v>0</v>
      </c>
      <c r="AM5953" s="4">
        <v>1</v>
      </c>
      <c r="AN5953" s="4">
        <v>0</v>
      </c>
      <c r="AO5953" s="4">
        <v>0</v>
      </c>
      <c r="AP5953" s="4">
        <v>0</v>
      </c>
      <c r="AQ5953" s="4">
        <v>27</v>
      </c>
      <c r="AR5953" s="3" t="s">
        <v>61</v>
      </c>
      <c r="AS5953" s="3" t="s">
        <v>62</v>
      </c>
      <c r="AT5953" s="3" t="s">
        <v>62</v>
      </c>
      <c r="AV5953" s="6" t="str">
        <f>HYPERLINK("http://mcgill.on.worldcat.org/oclc/316096891","Catalog Record")</f>
        <v>Catalog Record</v>
      </c>
      <c r="AW5953" s="6" t="str">
        <f>HYPERLINK("http://www.worldcat.org/oclc/316096891","WorldCat Record")</f>
        <v>WorldCat Record</v>
      </c>
      <c r="AX5953" s="3" t="s">
        <v>55946</v>
      </c>
      <c r="AY5953" s="3" t="s">
        <v>55947</v>
      </c>
      <c r="AZ5953" s="3" t="s">
        <v>55948</v>
      </c>
      <c r="BA5953" s="3" t="s">
        <v>55948</v>
      </c>
      <c r="BB5953" s="3" t="s">
        <v>55949</v>
      </c>
      <c r="BC5953" s="3" t="s">
        <v>33640</v>
      </c>
      <c r="BD5953" s="3" t="s">
        <v>68</v>
      </c>
      <c r="BF5953" s="3" t="s">
        <v>55949</v>
      </c>
      <c r="BG5953" s="3" t="s">
        <v>55950</v>
      </c>
    </row>
    <row r="5954" spans="1:59" ht="87" x14ac:dyDescent="0.35">
      <c r="A5954" s="2" t="s">
        <v>89</v>
      </c>
      <c r="B5954" s="2" t="s">
        <v>42560</v>
      </c>
      <c r="C5954" s="2" t="s">
        <v>55951</v>
      </c>
      <c r="D5954" s="2" t="s">
        <v>55952</v>
      </c>
      <c r="E5954" s="2" t="s">
        <v>55953</v>
      </c>
      <c r="G5954" s="3" t="s">
        <v>62</v>
      </c>
      <c r="I5954" s="3" t="s">
        <v>62</v>
      </c>
      <c r="J5954" s="3" t="s">
        <v>62</v>
      </c>
      <c r="K5954" s="3" t="s">
        <v>63</v>
      </c>
      <c r="M5954" s="2" t="s">
        <v>55954</v>
      </c>
      <c r="N5954" s="3" t="s">
        <v>596</v>
      </c>
      <c r="P5954" s="3" t="s">
        <v>64</v>
      </c>
      <c r="Q5954" s="2" t="s">
        <v>55955</v>
      </c>
      <c r="R5954" s="3" t="s">
        <v>34126</v>
      </c>
      <c r="S5954" s="4">
        <v>7</v>
      </c>
      <c r="T5954" s="4">
        <v>7</v>
      </c>
      <c r="U5954" s="5" t="s">
        <v>55605</v>
      </c>
      <c r="V5954" s="5" t="s">
        <v>55605</v>
      </c>
      <c r="W5954" s="5" t="s">
        <v>67</v>
      </c>
      <c r="X5954" s="5" t="s">
        <v>67</v>
      </c>
      <c r="Y5954" s="4">
        <v>15</v>
      </c>
      <c r="Z5954" s="4">
        <v>1</v>
      </c>
      <c r="AA5954" s="4">
        <v>1</v>
      </c>
      <c r="AB5954" s="4">
        <v>1</v>
      </c>
      <c r="AC5954" s="4">
        <v>1</v>
      </c>
      <c r="AD5954" s="4">
        <v>0</v>
      </c>
      <c r="AE5954" s="4">
        <v>0</v>
      </c>
      <c r="AF5954" s="4">
        <v>0</v>
      </c>
      <c r="AG5954" s="4">
        <v>0</v>
      </c>
      <c r="AH5954" s="4">
        <v>0</v>
      </c>
      <c r="AI5954" s="4">
        <v>0</v>
      </c>
      <c r="AJ5954" s="4">
        <v>0</v>
      </c>
      <c r="AK5954" s="4">
        <v>0</v>
      </c>
      <c r="AL5954" s="4">
        <v>0</v>
      </c>
      <c r="AM5954" s="4">
        <v>0</v>
      </c>
      <c r="AN5954" s="4">
        <v>0</v>
      </c>
      <c r="AO5954" s="4">
        <v>0</v>
      </c>
      <c r="AP5954" s="4">
        <v>0</v>
      </c>
      <c r="AQ5954" s="4">
        <v>0</v>
      </c>
      <c r="AR5954" s="3" t="s">
        <v>62</v>
      </c>
      <c r="AS5954" s="3" t="s">
        <v>62</v>
      </c>
      <c r="AT5954" s="3" t="s">
        <v>62</v>
      </c>
      <c r="AV5954" s="6" t="str">
        <f>HYPERLINK("http://mcgill.on.worldcat.org/oclc/51064568","Catalog Record")</f>
        <v>Catalog Record</v>
      </c>
      <c r="AW5954" s="6" t="str">
        <f>HYPERLINK("http://www.worldcat.org/oclc/51064568","WorldCat Record")</f>
        <v>WorldCat Record</v>
      </c>
      <c r="AX5954" s="3" t="s">
        <v>55956</v>
      </c>
      <c r="AY5954" s="3" t="s">
        <v>55957</v>
      </c>
      <c r="AZ5954" s="3" t="s">
        <v>55958</v>
      </c>
      <c r="BA5954" s="3" t="s">
        <v>55958</v>
      </c>
      <c r="BB5954" s="3" t="s">
        <v>55959</v>
      </c>
      <c r="BC5954" s="3" t="s">
        <v>33640</v>
      </c>
      <c r="BD5954" s="3" t="s">
        <v>68</v>
      </c>
      <c r="BF5954" s="3" t="s">
        <v>55959</v>
      </c>
      <c r="BG5954" s="3" t="s">
        <v>55960</v>
      </c>
    </row>
    <row r="5955" spans="1:59" ht="87" x14ac:dyDescent="0.35">
      <c r="A5955" s="2" t="s">
        <v>89</v>
      </c>
      <c r="B5955" s="2" t="s">
        <v>42560</v>
      </c>
      <c r="C5955" s="2" t="s">
        <v>55961</v>
      </c>
      <c r="D5955" s="2" t="s">
        <v>55962</v>
      </c>
      <c r="E5955" s="2" t="s">
        <v>55963</v>
      </c>
      <c r="F5955" s="3" t="s">
        <v>55964</v>
      </c>
      <c r="G5955" s="3" t="s">
        <v>61</v>
      </c>
      <c r="I5955" s="3" t="s">
        <v>62</v>
      </c>
      <c r="J5955" s="3" t="s">
        <v>62</v>
      </c>
      <c r="K5955" s="3" t="s">
        <v>63</v>
      </c>
      <c r="M5955" s="2" t="s">
        <v>55965</v>
      </c>
      <c r="N5955" s="3" t="s">
        <v>2975</v>
      </c>
      <c r="O5955" s="2" t="s">
        <v>55966</v>
      </c>
      <c r="P5955" s="3" t="s">
        <v>64</v>
      </c>
      <c r="R5955" s="3" t="s">
        <v>34126</v>
      </c>
      <c r="S5955" s="4">
        <v>20</v>
      </c>
      <c r="T5955" s="4">
        <v>86</v>
      </c>
      <c r="U5955" s="5" t="s">
        <v>10500</v>
      </c>
      <c r="V5955" s="5" t="s">
        <v>10500</v>
      </c>
      <c r="W5955" s="5" t="s">
        <v>67</v>
      </c>
      <c r="X5955" s="5" t="s">
        <v>67</v>
      </c>
      <c r="Y5955" s="4">
        <v>803</v>
      </c>
      <c r="Z5955" s="4">
        <v>11</v>
      </c>
      <c r="AA5955" s="4">
        <v>11</v>
      </c>
      <c r="AB5955" s="4">
        <v>2</v>
      </c>
      <c r="AC5955" s="4">
        <v>2</v>
      </c>
      <c r="AD5955" s="4">
        <v>49</v>
      </c>
      <c r="AE5955" s="4">
        <v>49</v>
      </c>
      <c r="AF5955" s="4">
        <v>0</v>
      </c>
      <c r="AG5955" s="4">
        <v>0</v>
      </c>
      <c r="AH5955" s="4">
        <v>44</v>
      </c>
      <c r="AI5955" s="4">
        <v>44</v>
      </c>
      <c r="AJ5955" s="4">
        <v>1</v>
      </c>
      <c r="AK5955" s="4">
        <v>1</v>
      </c>
      <c r="AL5955" s="4">
        <v>26</v>
      </c>
      <c r="AM5955" s="4">
        <v>26</v>
      </c>
      <c r="AN5955" s="4">
        <v>0</v>
      </c>
      <c r="AO5955" s="4">
        <v>0</v>
      </c>
      <c r="AP5955" s="4">
        <v>3</v>
      </c>
      <c r="AQ5955" s="4">
        <v>3</v>
      </c>
      <c r="AR5955" s="3" t="s">
        <v>62</v>
      </c>
      <c r="AS5955" s="3" t="s">
        <v>62</v>
      </c>
      <c r="AT5955" s="3" t="s">
        <v>62</v>
      </c>
      <c r="AV5955" s="6" t="str">
        <f>HYPERLINK("http://mcgill.on.worldcat.org/oclc/48491143","Catalog Record")</f>
        <v>Catalog Record</v>
      </c>
      <c r="AW5955" s="6" t="str">
        <f>HYPERLINK("http://www.worldcat.org/oclc/48491143","WorldCat Record")</f>
        <v>WorldCat Record</v>
      </c>
      <c r="AX5955" s="3" t="s">
        <v>55967</v>
      </c>
      <c r="AY5955" s="3" t="s">
        <v>55968</v>
      </c>
      <c r="AZ5955" s="3" t="s">
        <v>55969</v>
      </c>
      <c r="BA5955" s="3" t="s">
        <v>55969</v>
      </c>
      <c r="BB5955" s="3" t="s">
        <v>55970</v>
      </c>
      <c r="BC5955" s="3" t="s">
        <v>33640</v>
      </c>
      <c r="BD5955" s="3" t="s">
        <v>68</v>
      </c>
      <c r="BE5955" s="3" t="s">
        <v>55971</v>
      </c>
      <c r="BF5955" s="3" t="s">
        <v>55970</v>
      </c>
      <c r="BG5955" s="3" t="s">
        <v>55972</v>
      </c>
    </row>
    <row r="5956" spans="1:59" ht="87" x14ac:dyDescent="0.35">
      <c r="A5956" s="2" t="s">
        <v>89</v>
      </c>
      <c r="B5956" s="2" t="s">
        <v>42560</v>
      </c>
      <c r="C5956" s="2" t="s">
        <v>55961</v>
      </c>
      <c r="D5956" s="2" t="s">
        <v>55962</v>
      </c>
      <c r="E5956" s="2" t="s">
        <v>55963</v>
      </c>
      <c r="F5956" s="3" t="s">
        <v>55973</v>
      </c>
      <c r="G5956" s="3" t="s">
        <v>61</v>
      </c>
      <c r="I5956" s="3" t="s">
        <v>62</v>
      </c>
      <c r="J5956" s="3" t="s">
        <v>62</v>
      </c>
      <c r="K5956" s="3" t="s">
        <v>63</v>
      </c>
      <c r="M5956" s="2" t="s">
        <v>55965</v>
      </c>
      <c r="N5956" s="3" t="s">
        <v>2975</v>
      </c>
      <c r="O5956" s="2" t="s">
        <v>55966</v>
      </c>
      <c r="P5956" s="3" t="s">
        <v>64</v>
      </c>
      <c r="R5956" s="3" t="s">
        <v>34126</v>
      </c>
      <c r="S5956" s="4">
        <v>27</v>
      </c>
      <c r="T5956" s="4">
        <v>86</v>
      </c>
      <c r="U5956" s="5" t="s">
        <v>55974</v>
      </c>
      <c r="V5956" s="5" t="s">
        <v>10500</v>
      </c>
      <c r="W5956" s="5" t="s">
        <v>67</v>
      </c>
      <c r="X5956" s="5" t="s">
        <v>67</v>
      </c>
      <c r="Y5956" s="4">
        <v>803</v>
      </c>
      <c r="Z5956" s="4">
        <v>11</v>
      </c>
      <c r="AA5956" s="4">
        <v>11</v>
      </c>
      <c r="AB5956" s="4">
        <v>2</v>
      </c>
      <c r="AC5956" s="4">
        <v>2</v>
      </c>
      <c r="AD5956" s="4">
        <v>49</v>
      </c>
      <c r="AE5956" s="4">
        <v>49</v>
      </c>
      <c r="AF5956" s="4">
        <v>0</v>
      </c>
      <c r="AG5956" s="4">
        <v>0</v>
      </c>
      <c r="AH5956" s="4">
        <v>44</v>
      </c>
      <c r="AI5956" s="4">
        <v>44</v>
      </c>
      <c r="AJ5956" s="4">
        <v>1</v>
      </c>
      <c r="AK5956" s="4">
        <v>1</v>
      </c>
      <c r="AL5956" s="4">
        <v>26</v>
      </c>
      <c r="AM5956" s="4">
        <v>26</v>
      </c>
      <c r="AN5956" s="4">
        <v>0</v>
      </c>
      <c r="AO5956" s="4">
        <v>0</v>
      </c>
      <c r="AP5956" s="4">
        <v>3</v>
      </c>
      <c r="AQ5956" s="4">
        <v>3</v>
      </c>
      <c r="AR5956" s="3" t="s">
        <v>62</v>
      </c>
      <c r="AS5956" s="3" t="s">
        <v>62</v>
      </c>
      <c r="AT5956" s="3" t="s">
        <v>62</v>
      </c>
      <c r="AV5956" s="6" t="str">
        <f>HYPERLINK("http://mcgill.on.worldcat.org/oclc/48491143","Catalog Record")</f>
        <v>Catalog Record</v>
      </c>
      <c r="AW5956" s="6" t="str">
        <f>HYPERLINK("http://www.worldcat.org/oclc/48491143","WorldCat Record")</f>
        <v>WorldCat Record</v>
      </c>
      <c r="AX5956" s="3" t="s">
        <v>55967</v>
      </c>
      <c r="AY5956" s="3" t="s">
        <v>55968</v>
      </c>
      <c r="AZ5956" s="3" t="s">
        <v>55969</v>
      </c>
      <c r="BA5956" s="3" t="s">
        <v>55969</v>
      </c>
      <c r="BB5956" s="3" t="s">
        <v>55975</v>
      </c>
      <c r="BC5956" s="3" t="s">
        <v>33640</v>
      </c>
      <c r="BD5956" s="3" t="s">
        <v>68</v>
      </c>
      <c r="BE5956" s="3" t="s">
        <v>55971</v>
      </c>
      <c r="BF5956" s="3" t="s">
        <v>55975</v>
      </c>
      <c r="BG5956" s="3" t="s">
        <v>55976</v>
      </c>
    </row>
    <row r="5957" spans="1:59" ht="87" x14ac:dyDescent="0.35">
      <c r="A5957" s="2" t="s">
        <v>89</v>
      </c>
      <c r="B5957" s="2" t="s">
        <v>42560</v>
      </c>
      <c r="C5957" s="2" t="s">
        <v>55961</v>
      </c>
      <c r="D5957" s="2" t="s">
        <v>55962</v>
      </c>
      <c r="E5957" s="2" t="s">
        <v>55963</v>
      </c>
      <c r="F5957" s="3" t="s">
        <v>55977</v>
      </c>
      <c r="G5957" s="3" t="s">
        <v>61</v>
      </c>
      <c r="I5957" s="3" t="s">
        <v>62</v>
      </c>
      <c r="J5957" s="3" t="s">
        <v>62</v>
      </c>
      <c r="K5957" s="3" t="s">
        <v>63</v>
      </c>
      <c r="M5957" s="2" t="s">
        <v>55965</v>
      </c>
      <c r="N5957" s="3" t="s">
        <v>2975</v>
      </c>
      <c r="O5957" s="2" t="s">
        <v>55966</v>
      </c>
      <c r="P5957" s="3" t="s">
        <v>64</v>
      </c>
      <c r="R5957" s="3" t="s">
        <v>34126</v>
      </c>
      <c r="S5957" s="4">
        <v>15</v>
      </c>
      <c r="T5957" s="4">
        <v>86</v>
      </c>
      <c r="U5957" s="5" t="s">
        <v>55974</v>
      </c>
      <c r="V5957" s="5" t="s">
        <v>10500</v>
      </c>
      <c r="W5957" s="5" t="s">
        <v>67</v>
      </c>
      <c r="X5957" s="5" t="s">
        <v>67</v>
      </c>
      <c r="Y5957" s="4">
        <v>803</v>
      </c>
      <c r="Z5957" s="4">
        <v>11</v>
      </c>
      <c r="AA5957" s="4">
        <v>11</v>
      </c>
      <c r="AB5957" s="4">
        <v>2</v>
      </c>
      <c r="AC5957" s="4">
        <v>2</v>
      </c>
      <c r="AD5957" s="4">
        <v>49</v>
      </c>
      <c r="AE5957" s="4">
        <v>49</v>
      </c>
      <c r="AF5957" s="4">
        <v>0</v>
      </c>
      <c r="AG5957" s="4">
        <v>0</v>
      </c>
      <c r="AH5957" s="4">
        <v>44</v>
      </c>
      <c r="AI5957" s="4">
        <v>44</v>
      </c>
      <c r="AJ5957" s="4">
        <v>1</v>
      </c>
      <c r="AK5957" s="4">
        <v>1</v>
      </c>
      <c r="AL5957" s="4">
        <v>26</v>
      </c>
      <c r="AM5957" s="4">
        <v>26</v>
      </c>
      <c r="AN5957" s="4">
        <v>0</v>
      </c>
      <c r="AO5957" s="4">
        <v>0</v>
      </c>
      <c r="AP5957" s="4">
        <v>3</v>
      </c>
      <c r="AQ5957" s="4">
        <v>3</v>
      </c>
      <c r="AR5957" s="3" t="s">
        <v>62</v>
      </c>
      <c r="AS5957" s="3" t="s">
        <v>62</v>
      </c>
      <c r="AT5957" s="3" t="s">
        <v>62</v>
      </c>
      <c r="AV5957" s="6" t="str">
        <f>HYPERLINK("http://mcgill.on.worldcat.org/oclc/48491143","Catalog Record")</f>
        <v>Catalog Record</v>
      </c>
      <c r="AW5957" s="6" t="str">
        <f>HYPERLINK("http://www.worldcat.org/oclc/48491143","WorldCat Record")</f>
        <v>WorldCat Record</v>
      </c>
      <c r="AX5957" s="3" t="s">
        <v>55967</v>
      </c>
      <c r="AY5957" s="3" t="s">
        <v>55968</v>
      </c>
      <c r="AZ5957" s="3" t="s">
        <v>55969</v>
      </c>
      <c r="BA5957" s="3" t="s">
        <v>55969</v>
      </c>
      <c r="BB5957" s="3" t="s">
        <v>55978</v>
      </c>
      <c r="BC5957" s="3" t="s">
        <v>33640</v>
      </c>
      <c r="BD5957" s="3" t="s">
        <v>68</v>
      </c>
      <c r="BE5957" s="3" t="s">
        <v>55971</v>
      </c>
      <c r="BF5957" s="3" t="s">
        <v>55978</v>
      </c>
      <c r="BG5957" s="3" t="s">
        <v>55979</v>
      </c>
    </row>
    <row r="5958" spans="1:59" ht="87" x14ac:dyDescent="0.35">
      <c r="A5958" s="2" t="s">
        <v>89</v>
      </c>
      <c r="B5958" s="2" t="s">
        <v>42560</v>
      </c>
      <c r="C5958" s="2" t="s">
        <v>55961</v>
      </c>
      <c r="D5958" s="2" t="s">
        <v>55962</v>
      </c>
      <c r="E5958" s="2" t="s">
        <v>55963</v>
      </c>
      <c r="F5958" s="3" t="s">
        <v>55980</v>
      </c>
      <c r="G5958" s="3" t="s">
        <v>61</v>
      </c>
      <c r="I5958" s="3" t="s">
        <v>62</v>
      </c>
      <c r="J5958" s="3" t="s">
        <v>62</v>
      </c>
      <c r="K5958" s="3" t="s">
        <v>63</v>
      </c>
      <c r="M5958" s="2" t="s">
        <v>55965</v>
      </c>
      <c r="N5958" s="3" t="s">
        <v>2975</v>
      </c>
      <c r="O5958" s="2" t="s">
        <v>55966</v>
      </c>
      <c r="P5958" s="3" t="s">
        <v>64</v>
      </c>
      <c r="R5958" s="3" t="s">
        <v>34126</v>
      </c>
      <c r="S5958" s="4">
        <v>24</v>
      </c>
      <c r="T5958" s="4">
        <v>86</v>
      </c>
      <c r="U5958" s="5" t="s">
        <v>9392</v>
      </c>
      <c r="V5958" s="5" t="s">
        <v>10500</v>
      </c>
      <c r="W5958" s="5" t="s">
        <v>67</v>
      </c>
      <c r="X5958" s="5" t="s">
        <v>67</v>
      </c>
      <c r="Y5958" s="4">
        <v>803</v>
      </c>
      <c r="Z5958" s="4">
        <v>11</v>
      </c>
      <c r="AA5958" s="4">
        <v>11</v>
      </c>
      <c r="AB5958" s="4">
        <v>2</v>
      </c>
      <c r="AC5958" s="4">
        <v>2</v>
      </c>
      <c r="AD5958" s="4">
        <v>49</v>
      </c>
      <c r="AE5958" s="4">
        <v>49</v>
      </c>
      <c r="AF5958" s="4">
        <v>0</v>
      </c>
      <c r="AG5958" s="4">
        <v>0</v>
      </c>
      <c r="AH5958" s="4">
        <v>44</v>
      </c>
      <c r="AI5958" s="4">
        <v>44</v>
      </c>
      <c r="AJ5958" s="4">
        <v>1</v>
      </c>
      <c r="AK5958" s="4">
        <v>1</v>
      </c>
      <c r="AL5958" s="4">
        <v>26</v>
      </c>
      <c r="AM5958" s="4">
        <v>26</v>
      </c>
      <c r="AN5958" s="4">
        <v>0</v>
      </c>
      <c r="AO5958" s="4">
        <v>0</v>
      </c>
      <c r="AP5958" s="4">
        <v>3</v>
      </c>
      <c r="AQ5958" s="4">
        <v>3</v>
      </c>
      <c r="AR5958" s="3" t="s">
        <v>62</v>
      </c>
      <c r="AS5958" s="3" t="s">
        <v>62</v>
      </c>
      <c r="AT5958" s="3" t="s">
        <v>62</v>
      </c>
      <c r="AV5958" s="6" t="str">
        <f>HYPERLINK("http://mcgill.on.worldcat.org/oclc/48491143","Catalog Record")</f>
        <v>Catalog Record</v>
      </c>
      <c r="AW5958" s="6" t="str">
        <f>HYPERLINK("http://www.worldcat.org/oclc/48491143","WorldCat Record")</f>
        <v>WorldCat Record</v>
      </c>
      <c r="AX5958" s="3" t="s">
        <v>55967</v>
      </c>
      <c r="AY5958" s="3" t="s">
        <v>55968</v>
      </c>
      <c r="AZ5958" s="3" t="s">
        <v>55969</v>
      </c>
      <c r="BA5958" s="3" t="s">
        <v>55969</v>
      </c>
      <c r="BB5958" s="3" t="s">
        <v>55981</v>
      </c>
      <c r="BC5958" s="3" t="s">
        <v>33640</v>
      </c>
      <c r="BD5958" s="3" t="s">
        <v>68</v>
      </c>
      <c r="BE5958" s="3" t="s">
        <v>55971</v>
      </c>
      <c r="BF5958" s="3" t="s">
        <v>55981</v>
      </c>
      <c r="BG5958" s="3" t="s">
        <v>55982</v>
      </c>
    </row>
    <row r="5959" spans="1:59" ht="87" x14ac:dyDescent="0.35">
      <c r="A5959" s="2" t="s">
        <v>89</v>
      </c>
      <c r="B5959" s="2" t="s">
        <v>42560</v>
      </c>
      <c r="C5959" s="2" t="s">
        <v>55983</v>
      </c>
      <c r="D5959" s="2" t="s">
        <v>55984</v>
      </c>
      <c r="E5959" s="2" t="s">
        <v>55985</v>
      </c>
      <c r="G5959" s="3" t="s">
        <v>62</v>
      </c>
      <c r="I5959" s="3" t="s">
        <v>62</v>
      </c>
      <c r="J5959" s="3" t="s">
        <v>62</v>
      </c>
      <c r="K5959" s="3" t="s">
        <v>63</v>
      </c>
      <c r="M5959" s="2" t="s">
        <v>55986</v>
      </c>
      <c r="N5959" s="3" t="s">
        <v>1722</v>
      </c>
      <c r="P5959" s="3" t="s">
        <v>64</v>
      </c>
      <c r="R5959" s="3" t="s">
        <v>34126</v>
      </c>
      <c r="S5959" s="4">
        <v>6</v>
      </c>
      <c r="T5959" s="4">
        <v>6</v>
      </c>
      <c r="U5959" s="5" t="s">
        <v>23988</v>
      </c>
      <c r="V5959" s="5" t="s">
        <v>23988</v>
      </c>
      <c r="W5959" s="5" t="s">
        <v>67</v>
      </c>
      <c r="X5959" s="5" t="s">
        <v>67</v>
      </c>
      <c r="Y5959" s="4">
        <v>597</v>
      </c>
      <c r="Z5959" s="4">
        <v>19</v>
      </c>
      <c r="AA5959" s="4">
        <v>33</v>
      </c>
      <c r="AB5959" s="4">
        <v>3</v>
      </c>
      <c r="AC5959" s="4">
        <v>3</v>
      </c>
      <c r="AD5959" s="4">
        <v>42</v>
      </c>
      <c r="AE5959" s="4">
        <v>56</v>
      </c>
      <c r="AF5959" s="4">
        <v>0</v>
      </c>
      <c r="AG5959" s="4">
        <v>0</v>
      </c>
      <c r="AH5959" s="4">
        <v>39</v>
      </c>
      <c r="AI5959" s="4">
        <v>47</v>
      </c>
      <c r="AJ5959" s="4">
        <v>5</v>
      </c>
      <c r="AK5959" s="4">
        <v>9</v>
      </c>
      <c r="AL5959" s="4">
        <v>23</v>
      </c>
      <c r="AM5959" s="4">
        <v>27</v>
      </c>
      <c r="AN5959" s="4">
        <v>0</v>
      </c>
      <c r="AO5959" s="4">
        <v>0</v>
      </c>
      <c r="AP5959" s="4">
        <v>7</v>
      </c>
      <c r="AQ5959" s="4">
        <v>16</v>
      </c>
      <c r="AR5959" s="3" t="s">
        <v>62</v>
      </c>
      <c r="AS5959" s="3" t="s">
        <v>62</v>
      </c>
      <c r="AT5959" s="3" t="s">
        <v>62</v>
      </c>
      <c r="AV5959" s="6" t="str">
        <f>HYPERLINK("http://mcgill.on.worldcat.org/oclc/181040139","Catalog Record")</f>
        <v>Catalog Record</v>
      </c>
      <c r="AW5959" s="6" t="str">
        <f>HYPERLINK("http://www.worldcat.org/oclc/181040139","WorldCat Record")</f>
        <v>WorldCat Record</v>
      </c>
      <c r="AX5959" s="3" t="s">
        <v>55987</v>
      </c>
      <c r="AY5959" s="3" t="s">
        <v>55988</v>
      </c>
      <c r="AZ5959" s="3" t="s">
        <v>55989</v>
      </c>
      <c r="BA5959" s="3" t="s">
        <v>55989</v>
      </c>
      <c r="BB5959" s="3" t="s">
        <v>55990</v>
      </c>
      <c r="BC5959" s="3" t="s">
        <v>33640</v>
      </c>
      <c r="BD5959" s="3" t="s">
        <v>68</v>
      </c>
      <c r="BE5959" s="3" t="s">
        <v>55991</v>
      </c>
      <c r="BF5959" s="3" t="s">
        <v>55990</v>
      </c>
      <c r="BG5959" s="3" t="s">
        <v>55992</v>
      </c>
    </row>
    <row r="5960" spans="1:59" ht="101.5" x14ac:dyDescent="0.35">
      <c r="A5960" s="2" t="s">
        <v>89</v>
      </c>
      <c r="B5960" s="2" t="s">
        <v>42560</v>
      </c>
      <c r="C5960" s="2" t="s">
        <v>55993</v>
      </c>
      <c r="D5960" s="2" t="s">
        <v>55994</v>
      </c>
      <c r="E5960" s="2" t="s">
        <v>55995</v>
      </c>
      <c r="G5960" s="3" t="s">
        <v>62</v>
      </c>
      <c r="I5960" s="3" t="s">
        <v>61</v>
      </c>
      <c r="J5960" s="3" t="s">
        <v>62</v>
      </c>
      <c r="K5960" s="3" t="s">
        <v>63</v>
      </c>
      <c r="M5960" s="2" t="s">
        <v>55996</v>
      </c>
      <c r="N5960" s="3" t="s">
        <v>2985</v>
      </c>
      <c r="P5960" s="3" t="s">
        <v>64</v>
      </c>
      <c r="R5960" s="3" t="s">
        <v>34126</v>
      </c>
      <c r="S5960" s="4">
        <v>24</v>
      </c>
      <c r="T5960" s="4">
        <v>39</v>
      </c>
      <c r="U5960" s="5" t="s">
        <v>39292</v>
      </c>
      <c r="V5960" s="5" t="s">
        <v>23181</v>
      </c>
      <c r="W5960" s="5" t="s">
        <v>67</v>
      </c>
      <c r="X5960" s="5" t="s">
        <v>67</v>
      </c>
      <c r="Y5960" s="4">
        <v>834</v>
      </c>
      <c r="Z5960" s="4">
        <v>32</v>
      </c>
      <c r="AA5960" s="4">
        <v>68</v>
      </c>
      <c r="AB5960" s="4">
        <v>2</v>
      </c>
      <c r="AC5960" s="4">
        <v>3</v>
      </c>
      <c r="AD5960" s="4">
        <v>86</v>
      </c>
      <c r="AE5960" s="4">
        <v>111</v>
      </c>
      <c r="AF5960" s="4">
        <v>0</v>
      </c>
      <c r="AG5960" s="4">
        <v>1</v>
      </c>
      <c r="AH5960" s="4">
        <v>77</v>
      </c>
      <c r="AI5960" s="4">
        <v>91</v>
      </c>
      <c r="AJ5960" s="4">
        <v>7</v>
      </c>
      <c r="AK5960" s="4">
        <v>13</v>
      </c>
      <c r="AL5960" s="4">
        <v>46</v>
      </c>
      <c r="AM5960" s="4">
        <v>51</v>
      </c>
      <c r="AN5960" s="4">
        <v>0</v>
      </c>
      <c r="AO5960" s="4">
        <v>0</v>
      </c>
      <c r="AP5960" s="4">
        <v>10</v>
      </c>
      <c r="AQ5960" s="4">
        <v>25</v>
      </c>
      <c r="AR5960" s="3" t="s">
        <v>62</v>
      </c>
      <c r="AS5960" s="3" t="s">
        <v>62</v>
      </c>
      <c r="AT5960" s="3" t="s">
        <v>62</v>
      </c>
      <c r="AV5960" s="6" t="str">
        <f>HYPERLINK("http://mcgill.on.worldcat.org/oclc/451521098","Catalog Record")</f>
        <v>Catalog Record</v>
      </c>
      <c r="AW5960" s="6" t="str">
        <f>HYPERLINK("http://www.worldcat.org/oclc/451521098","WorldCat Record")</f>
        <v>WorldCat Record</v>
      </c>
      <c r="AX5960" s="3" t="s">
        <v>55997</v>
      </c>
      <c r="AY5960" s="3" t="s">
        <v>55998</v>
      </c>
      <c r="AZ5960" s="3" t="s">
        <v>55999</v>
      </c>
      <c r="BA5960" s="3" t="s">
        <v>55999</v>
      </c>
      <c r="BB5960" s="3" t="s">
        <v>56000</v>
      </c>
      <c r="BC5960" s="3" t="s">
        <v>33640</v>
      </c>
      <c r="BD5960" s="3" t="s">
        <v>68</v>
      </c>
      <c r="BF5960" s="3" t="s">
        <v>56000</v>
      </c>
      <c r="BG5960" s="3" t="s">
        <v>56001</v>
      </c>
    </row>
    <row r="5961" spans="1:59" ht="87" x14ac:dyDescent="0.35">
      <c r="A5961" s="2" t="s">
        <v>89</v>
      </c>
      <c r="B5961" s="2" t="s">
        <v>42560</v>
      </c>
      <c r="C5961" s="2" t="s">
        <v>56002</v>
      </c>
      <c r="D5961" s="2" t="s">
        <v>56003</v>
      </c>
      <c r="E5961" s="2" t="s">
        <v>56004</v>
      </c>
      <c r="G5961" s="3" t="s">
        <v>62</v>
      </c>
      <c r="I5961" s="3" t="s">
        <v>62</v>
      </c>
      <c r="J5961" s="3" t="s">
        <v>62</v>
      </c>
      <c r="K5961" s="3" t="s">
        <v>63</v>
      </c>
      <c r="M5961" s="2" t="s">
        <v>56005</v>
      </c>
      <c r="N5961" s="3" t="s">
        <v>1195</v>
      </c>
      <c r="P5961" s="3" t="s">
        <v>64</v>
      </c>
      <c r="R5961" s="3" t="s">
        <v>34126</v>
      </c>
      <c r="S5961" s="4">
        <v>15</v>
      </c>
      <c r="T5961" s="4">
        <v>15</v>
      </c>
      <c r="U5961" s="5" t="s">
        <v>12429</v>
      </c>
      <c r="V5961" s="5" t="s">
        <v>12429</v>
      </c>
      <c r="W5961" s="5" t="s">
        <v>67</v>
      </c>
      <c r="X5961" s="5" t="s">
        <v>67</v>
      </c>
      <c r="Y5961" s="4">
        <v>503</v>
      </c>
      <c r="Z5961" s="4">
        <v>4</v>
      </c>
      <c r="AA5961" s="4">
        <v>22</v>
      </c>
      <c r="AB5961" s="4">
        <v>1</v>
      </c>
      <c r="AC5961" s="4">
        <v>1</v>
      </c>
      <c r="AD5961" s="4">
        <v>13</v>
      </c>
      <c r="AE5961" s="4">
        <v>15</v>
      </c>
      <c r="AF5961" s="4">
        <v>0</v>
      </c>
      <c r="AG5961" s="4">
        <v>0</v>
      </c>
      <c r="AH5961" s="4">
        <v>12</v>
      </c>
      <c r="AI5961" s="4">
        <v>13</v>
      </c>
      <c r="AJ5961" s="4">
        <v>0</v>
      </c>
      <c r="AK5961" s="4">
        <v>2</v>
      </c>
      <c r="AL5961" s="4">
        <v>7</v>
      </c>
      <c r="AM5961" s="4">
        <v>7</v>
      </c>
      <c r="AN5961" s="4">
        <v>0</v>
      </c>
      <c r="AO5961" s="4">
        <v>0</v>
      </c>
      <c r="AP5961" s="4">
        <v>0</v>
      </c>
      <c r="AQ5961" s="4">
        <v>2</v>
      </c>
      <c r="AR5961" s="3" t="s">
        <v>62</v>
      </c>
      <c r="AS5961" s="3" t="s">
        <v>62</v>
      </c>
      <c r="AT5961" s="3" t="s">
        <v>62</v>
      </c>
      <c r="AV5961" s="6" t="str">
        <f>HYPERLINK("http://mcgill.on.worldcat.org/oclc/63211857","Catalog Record")</f>
        <v>Catalog Record</v>
      </c>
      <c r="AW5961" s="6" t="str">
        <f>HYPERLINK("http://www.worldcat.org/oclc/63211857","WorldCat Record")</f>
        <v>WorldCat Record</v>
      </c>
      <c r="AX5961" s="3" t="s">
        <v>56006</v>
      </c>
      <c r="AY5961" s="3" t="s">
        <v>56007</v>
      </c>
      <c r="AZ5961" s="3" t="s">
        <v>56008</v>
      </c>
      <c r="BA5961" s="3" t="s">
        <v>56008</v>
      </c>
      <c r="BB5961" s="3" t="s">
        <v>56009</v>
      </c>
      <c r="BC5961" s="3" t="s">
        <v>33640</v>
      </c>
      <c r="BD5961" s="3" t="s">
        <v>68</v>
      </c>
      <c r="BE5961" s="3" t="s">
        <v>56010</v>
      </c>
      <c r="BF5961" s="3" t="s">
        <v>56009</v>
      </c>
      <c r="BG5961" s="3" t="s">
        <v>56011</v>
      </c>
    </row>
    <row r="5962" spans="1:59" ht="87" x14ac:dyDescent="0.35">
      <c r="A5962" s="2" t="s">
        <v>89</v>
      </c>
      <c r="B5962" s="2" t="s">
        <v>42560</v>
      </c>
      <c r="C5962" s="2" t="s">
        <v>56012</v>
      </c>
      <c r="D5962" s="2" t="s">
        <v>56013</v>
      </c>
      <c r="E5962" s="2" t="s">
        <v>56014</v>
      </c>
      <c r="G5962" s="3" t="s">
        <v>61</v>
      </c>
      <c r="I5962" s="3" t="s">
        <v>61</v>
      </c>
      <c r="J5962" s="3" t="s">
        <v>62</v>
      </c>
      <c r="K5962" s="3" t="s">
        <v>63</v>
      </c>
      <c r="M5962" s="2" t="s">
        <v>56015</v>
      </c>
      <c r="N5962" s="3" t="s">
        <v>1722</v>
      </c>
      <c r="P5962" s="3" t="s">
        <v>64</v>
      </c>
      <c r="R5962" s="3" t="s">
        <v>42369</v>
      </c>
      <c r="S5962" s="4">
        <v>23</v>
      </c>
      <c r="T5962" s="4">
        <v>62</v>
      </c>
      <c r="U5962" s="5" t="s">
        <v>27978</v>
      </c>
      <c r="V5962" s="5" t="s">
        <v>27978</v>
      </c>
      <c r="W5962" s="5" t="s">
        <v>67</v>
      </c>
      <c r="X5962" s="5" t="s">
        <v>67</v>
      </c>
      <c r="Y5962" s="4">
        <v>348</v>
      </c>
      <c r="Z5962" s="4">
        <v>26</v>
      </c>
      <c r="AA5962" s="4">
        <v>27</v>
      </c>
      <c r="AB5962" s="4">
        <v>2</v>
      </c>
      <c r="AC5962" s="4">
        <v>2</v>
      </c>
      <c r="AD5962" s="4">
        <v>9</v>
      </c>
      <c r="AE5962" s="4">
        <v>9</v>
      </c>
      <c r="AF5962" s="4">
        <v>0</v>
      </c>
      <c r="AG5962" s="4">
        <v>0</v>
      </c>
      <c r="AH5962" s="4">
        <v>7</v>
      </c>
      <c r="AI5962" s="4">
        <v>7</v>
      </c>
      <c r="AJ5962" s="4">
        <v>2</v>
      </c>
      <c r="AK5962" s="4">
        <v>2</v>
      </c>
      <c r="AL5962" s="4">
        <v>5</v>
      </c>
      <c r="AM5962" s="4">
        <v>5</v>
      </c>
      <c r="AN5962" s="4">
        <v>0</v>
      </c>
      <c r="AO5962" s="4">
        <v>0</v>
      </c>
      <c r="AP5962" s="4">
        <v>2</v>
      </c>
      <c r="AQ5962" s="4">
        <v>2</v>
      </c>
      <c r="AR5962" s="3" t="s">
        <v>62</v>
      </c>
      <c r="AS5962" s="3" t="s">
        <v>62</v>
      </c>
      <c r="AT5962" s="3" t="s">
        <v>62</v>
      </c>
      <c r="AV5962" s="6" t="str">
        <f>HYPERLINK("http://mcgill.on.worldcat.org/oclc/191078258","Catalog Record")</f>
        <v>Catalog Record</v>
      </c>
      <c r="AW5962" s="6" t="str">
        <f>HYPERLINK("http://www.worldcat.org/oclc/191078258","WorldCat Record")</f>
        <v>WorldCat Record</v>
      </c>
      <c r="AX5962" s="3" t="s">
        <v>56016</v>
      </c>
      <c r="AY5962" s="3" t="s">
        <v>56017</v>
      </c>
      <c r="AZ5962" s="3" t="s">
        <v>56018</v>
      </c>
      <c r="BA5962" s="3" t="s">
        <v>56018</v>
      </c>
      <c r="BB5962" s="3" t="s">
        <v>56019</v>
      </c>
      <c r="BC5962" s="3" t="s">
        <v>33640</v>
      </c>
      <c r="BD5962" s="3" t="s">
        <v>68</v>
      </c>
      <c r="BE5962" s="3" t="s">
        <v>56020</v>
      </c>
      <c r="BF5962" s="3" t="s">
        <v>56019</v>
      </c>
      <c r="BG5962" s="3" t="s">
        <v>56021</v>
      </c>
    </row>
    <row r="5963" spans="1:59" ht="87" x14ac:dyDescent="0.35">
      <c r="A5963" s="2" t="s">
        <v>89</v>
      </c>
      <c r="B5963" s="2" t="s">
        <v>42560</v>
      </c>
      <c r="C5963" s="2" t="s">
        <v>56012</v>
      </c>
      <c r="D5963" s="2" t="s">
        <v>56013</v>
      </c>
      <c r="E5963" s="2" t="s">
        <v>56014</v>
      </c>
      <c r="G5963" s="3" t="s">
        <v>61</v>
      </c>
      <c r="I5963" s="3" t="s">
        <v>61</v>
      </c>
      <c r="J5963" s="3" t="s">
        <v>62</v>
      </c>
      <c r="K5963" s="3" t="s">
        <v>63</v>
      </c>
      <c r="M5963" s="2" t="s">
        <v>56015</v>
      </c>
      <c r="N5963" s="3" t="s">
        <v>1722</v>
      </c>
      <c r="P5963" s="3" t="s">
        <v>64</v>
      </c>
      <c r="R5963" s="3" t="s">
        <v>42369</v>
      </c>
      <c r="S5963" s="4">
        <v>20</v>
      </c>
      <c r="T5963" s="4">
        <v>62</v>
      </c>
      <c r="U5963" s="5" t="s">
        <v>56022</v>
      </c>
      <c r="V5963" s="5" t="s">
        <v>27978</v>
      </c>
      <c r="W5963" s="5" t="s">
        <v>67</v>
      </c>
      <c r="X5963" s="5" t="s">
        <v>67</v>
      </c>
      <c r="Y5963" s="4">
        <v>348</v>
      </c>
      <c r="Z5963" s="4">
        <v>26</v>
      </c>
      <c r="AA5963" s="4">
        <v>27</v>
      </c>
      <c r="AB5963" s="4">
        <v>2</v>
      </c>
      <c r="AC5963" s="4">
        <v>2</v>
      </c>
      <c r="AD5963" s="4">
        <v>9</v>
      </c>
      <c r="AE5963" s="4">
        <v>9</v>
      </c>
      <c r="AF5963" s="4">
        <v>0</v>
      </c>
      <c r="AG5963" s="4">
        <v>0</v>
      </c>
      <c r="AH5963" s="4">
        <v>7</v>
      </c>
      <c r="AI5963" s="4">
        <v>7</v>
      </c>
      <c r="AJ5963" s="4">
        <v>2</v>
      </c>
      <c r="AK5963" s="4">
        <v>2</v>
      </c>
      <c r="AL5963" s="4">
        <v>5</v>
      </c>
      <c r="AM5963" s="4">
        <v>5</v>
      </c>
      <c r="AN5963" s="4">
        <v>0</v>
      </c>
      <c r="AO5963" s="4">
        <v>0</v>
      </c>
      <c r="AP5963" s="4">
        <v>2</v>
      </c>
      <c r="AQ5963" s="4">
        <v>2</v>
      </c>
      <c r="AR5963" s="3" t="s">
        <v>62</v>
      </c>
      <c r="AS5963" s="3" t="s">
        <v>62</v>
      </c>
      <c r="AT5963" s="3" t="s">
        <v>62</v>
      </c>
      <c r="AV5963" s="6" t="str">
        <f>HYPERLINK("http://mcgill.on.worldcat.org/oclc/191078258","Catalog Record")</f>
        <v>Catalog Record</v>
      </c>
      <c r="AW5963" s="6" t="str">
        <f>HYPERLINK("http://www.worldcat.org/oclc/191078258","WorldCat Record")</f>
        <v>WorldCat Record</v>
      </c>
      <c r="AX5963" s="3" t="s">
        <v>56016</v>
      </c>
      <c r="AY5963" s="3" t="s">
        <v>56017</v>
      </c>
      <c r="AZ5963" s="3" t="s">
        <v>56018</v>
      </c>
      <c r="BA5963" s="3" t="s">
        <v>56018</v>
      </c>
      <c r="BB5963" s="3" t="s">
        <v>56023</v>
      </c>
      <c r="BC5963" s="3" t="s">
        <v>33640</v>
      </c>
      <c r="BD5963" s="3" t="s">
        <v>68</v>
      </c>
      <c r="BE5963" s="3" t="s">
        <v>56020</v>
      </c>
      <c r="BF5963" s="3" t="s">
        <v>56023</v>
      </c>
      <c r="BG5963" s="3" t="s">
        <v>56024</v>
      </c>
    </row>
    <row r="5964" spans="1:59" ht="87" x14ac:dyDescent="0.35">
      <c r="A5964" s="2" t="s">
        <v>89</v>
      </c>
      <c r="B5964" s="2" t="s">
        <v>42560</v>
      </c>
      <c r="C5964" s="2" t="s">
        <v>56012</v>
      </c>
      <c r="D5964" s="2" t="s">
        <v>56013</v>
      </c>
      <c r="E5964" s="2" t="s">
        <v>56014</v>
      </c>
      <c r="G5964" s="3" t="s">
        <v>61</v>
      </c>
      <c r="I5964" s="3" t="s">
        <v>61</v>
      </c>
      <c r="J5964" s="3" t="s">
        <v>62</v>
      </c>
      <c r="K5964" s="3" t="s">
        <v>63</v>
      </c>
      <c r="M5964" s="2" t="s">
        <v>56015</v>
      </c>
      <c r="N5964" s="3" t="s">
        <v>1722</v>
      </c>
      <c r="P5964" s="3" t="s">
        <v>64</v>
      </c>
      <c r="R5964" s="3" t="s">
        <v>42369</v>
      </c>
      <c r="S5964" s="4">
        <v>19</v>
      </c>
      <c r="T5964" s="4">
        <v>62</v>
      </c>
      <c r="U5964" s="5" t="s">
        <v>56025</v>
      </c>
      <c r="V5964" s="5" t="s">
        <v>27978</v>
      </c>
      <c r="W5964" s="5" t="s">
        <v>67</v>
      </c>
      <c r="X5964" s="5" t="s">
        <v>67</v>
      </c>
      <c r="Y5964" s="4">
        <v>348</v>
      </c>
      <c r="Z5964" s="4">
        <v>26</v>
      </c>
      <c r="AA5964" s="4">
        <v>27</v>
      </c>
      <c r="AB5964" s="4">
        <v>2</v>
      </c>
      <c r="AC5964" s="4">
        <v>2</v>
      </c>
      <c r="AD5964" s="4">
        <v>9</v>
      </c>
      <c r="AE5964" s="4">
        <v>9</v>
      </c>
      <c r="AF5964" s="4">
        <v>0</v>
      </c>
      <c r="AG5964" s="4">
        <v>0</v>
      </c>
      <c r="AH5964" s="4">
        <v>7</v>
      </c>
      <c r="AI5964" s="4">
        <v>7</v>
      </c>
      <c r="AJ5964" s="4">
        <v>2</v>
      </c>
      <c r="AK5964" s="4">
        <v>2</v>
      </c>
      <c r="AL5964" s="4">
        <v>5</v>
      </c>
      <c r="AM5964" s="4">
        <v>5</v>
      </c>
      <c r="AN5964" s="4">
        <v>0</v>
      </c>
      <c r="AO5964" s="4">
        <v>0</v>
      </c>
      <c r="AP5964" s="4">
        <v>2</v>
      </c>
      <c r="AQ5964" s="4">
        <v>2</v>
      </c>
      <c r="AR5964" s="3" t="s">
        <v>62</v>
      </c>
      <c r="AS5964" s="3" t="s">
        <v>62</v>
      </c>
      <c r="AT5964" s="3" t="s">
        <v>62</v>
      </c>
      <c r="AV5964" s="6" t="str">
        <f>HYPERLINK("http://mcgill.on.worldcat.org/oclc/191078258","Catalog Record")</f>
        <v>Catalog Record</v>
      </c>
      <c r="AW5964" s="6" t="str">
        <f>HYPERLINK("http://www.worldcat.org/oclc/191078258","WorldCat Record")</f>
        <v>WorldCat Record</v>
      </c>
      <c r="AX5964" s="3" t="s">
        <v>56016</v>
      </c>
      <c r="AY5964" s="3" t="s">
        <v>56017</v>
      </c>
      <c r="AZ5964" s="3" t="s">
        <v>56018</v>
      </c>
      <c r="BA5964" s="3" t="s">
        <v>56018</v>
      </c>
      <c r="BB5964" s="3" t="s">
        <v>56026</v>
      </c>
      <c r="BC5964" s="3" t="s">
        <v>33640</v>
      </c>
      <c r="BD5964" s="3" t="s">
        <v>68</v>
      </c>
      <c r="BE5964" s="3" t="s">
        <v>56020</v>
      </c>
      <c r="BF5964" s="3" t="s">
        <v>56026</v>
      </c>
      <c r="BG5964" s="3" t="s">
        <v>56027</v>
      </c>
    </row>
    <row r="5965" spans="1:59" ht="87" x14ac:dyDescent="0.35">
      <c r="A5965" s="2" t="s">
        <v>89</v>
      </c>
      <c r="B5965" s="2" t="s">
        <v>42560</v>
      </c>
      <c r="C5965" s="2" t="s">
        <v>56028</v>
      </c>
      <c r="D5965" s="2" t="s">
        <v>56029</v>
      </c>
      <c r="E5965" s="2" t="s">
        <v>56030</v>
      </c>
      <c r="G5965" s="3" t="s">
        <v>62</v>
      </c>
      <c r="I5965" s="3" t="s">
        <v>62</v>
      </c>
      <c r="J5965" s="3" t="s">
        <v>62</v>
      </c>
      <c r="K5965" s="3" t="s">
        <v>63</v>
      </c>
      <c r="M5965" s="2" t="s">
        <v>56031</v>
      </c>
      <c r="N5965" s="3" t="s">
        <v>2985</v>
      </c>
      <c r="P5965" s="3" t="s">
        <v>64</v>
      </c>
      <c r="R5965" s="3" t="s">
        <v>40557</v>
      </c>
      <c r="S5965" s="4">
        <v>5</v>
      </c>
      <c r="T5965" s="4">
        <v>5</v>
      </c>
      <c r="U5965" s="5" t="s">
        <v>3355</v>
      </c>
      <c r="V5965" s="5" t="s">
        <v>3355</v>
      </c>
      <c r="W5965" s="5" t="s">
        <v>67</v>
      </c>
      <c r="X5965" s="5" t="s">
        <v>67</v>
      </c>
      <c r="Y5965" s="4">
        <v>24</v>
      </c>
      <c r="Z5965" s="4">
        <v>2</v>
      </c>
      <c r="AA5965" s="4">
        <v>2</v>
      </c>
      <c r="AB5965" s="4">
        <v>1</v>
      </c>
      <c r="AC5965" s="4">
        <v>1</v>
      </c>
      <c r="AD5965" s="4">
        <v>7</v>
      </c>
      <c r="AE5965" s="4">
        <v>7</v>
      </c>
      <c r="AF5965" s="4">
        <v>0</v>
      </c>
      <c r="AG5965" s="4">
        <v>0</v>
      </c>
      <c r="AH5965" s="4">
        <v>6</v>
      </c>
      <c r="AI5965" s="4">
        <v>6</v>
      </c>
      <c r="AJ5965" s="4">
        <v>1</v>
      </c>
      <c r="AK5965" s="4">
        <v>1</v>
      </c>
      <c r="AL5965" s="4">
        <v>3</v>
      </c>
      <c r="AM5965" s="4">
        <v>3</v>
      </c>
      <c r="AN5965" s="4">
        <v>0</v>
      </c>
      <c r="AO5965" s="4">
        <v>0</v>
      </c>
      <c r="AP5965" s="4">
        <v>1</v>
      </c>
      <c r="AQ5965" s="4">
        <v>1</v>
      </c>
      <c r="AR5965" s="3" t="s">
        <v>62</v>
      </c>
      <c r="AS5965" s="3" t="s">
        <v>62</v>
      </c>
      <c r="AT5965" s="3" t="s">
        <v>62</v>
      </c>
      <c r="AV5965" s="6" t="str">
        <f>HYPERLINK("http://mcgill.on.worldcat.org/oclc/557374394","Catalog Record")</f>
        <v>Catalog Record</v>
      </c>
      <c r="AW5965" s="6" t="str">
        <f>HYPERLINK("http://www.worldcat.org/oclc/557374394","WorldCat Record")</f>
        <v>WorldCat Record</v>
      </c>
      <c r="AX5965" s="3" t="s">
        <v>56032</v>
      </c>
      <c r="AY5965" s="3" t="s">
        <v>56033</v>
      </c>
      <c r="AZ5965" s="3" t="s">
        <v>56034</v>
      </c>
      <c r="BA5965" s="3" t="s">
        <v>56034</v>
      </c>
      <c r="BB5965" s="3" t="s">
        <v>56035</v>
      </c>
      <c r="BC5965" s="3" t="s">
        <v>33640</v>
      </c>
      <c r="BD5965" s="3" t="s">
        <v>68</v>
      </c>
      <c r="BF5965" s="3" t="s">
        <v>56035</v>
      </c>
      <c r="BG5965" s="3" t="s">
        <v>56036</v>
      </c>
    </row>
    <row r="5966" spans="1:59" ht="174" x14ac:dyDescent="0.35">
      <c r="A5966" s="2" t="s">
        <v>89</v>
      </c>
      <c r="B5966" s="2" t="s">
        <v>42560</v>
      </c>
      <c r="C5966" s="2" t="s">
        <v>56037</v>
      </c>
      <c r="D5966" s="2" t="s">
        <v>56038</v>
      </c>
      <c r="E5966" s="2" t="s">
        <v>56039</v>
      </c>
      <c r="G5966" s="3" t="s">
        <v>62</v>
      </c>
      <c r="I5966" s="3" t="s">
        <v>62</v>
      </c>
      <c r="J5966" s="3" t="s">
        <v>62</v>
      </c>
      <c r="K5966" s="3" t="s">
        <v>63</v>
      </c>
      <c r="M5966" s="2" t="s">
        <v>56040</v>
      </c>
      <c r="N5966" s="3" t="s">
        <v>2136</v>
      </c>
      <c r="P5966" s="3" t="s">
        <v>64</v>
      </c>
      <c r="R5966" s="3" t="s">
        <v>34126</v>
      </c>
      <c r="S5966" s="4">
        <v>14</v>
      </c>
      <c r="T5966" s="4">
        <v>14</v>
      </c>
      <c r="U5966" s="5" t="s">
        <v>6011</v>
      </c>
      <c r="V5966" s="5" t="s">
        <v>6011</v>
      </c>
      <c r="W5966" s="5" t="s">
        <v>67</v>
      </c>
      <c r="X5966" s="5" t="s">
        <v>67</v>
      </c>
      <c r="Y5966" s="4">
        <v>155</v>
      </c>
      <c r="Z5966" s="4">
        <v>3</v>
      </c>
      <c r="AA5966" s="4">
        <v>9</v>
      </c>
      <c r="AB5966" s="4">
        <v>1</v>
      </c>
      <c r="AC5966" s="4">
        <v>2</v>
      </c>
      <c r="AD5966" s="4">
        <v>18</v>
      </c>
      <c r="AE5966" s="4">
        <v>49</v>
      </c>
      <c r="AF5966" s="4">
        <v>0</v>
      </c>
      <c r="AG5966" s="4">
        <v>0</v>
      </c>
      <c r="AH5966" s="4">
        <v>16</v>
      </c>
      <c r="AI5966" s="4">
        <v>45</v>
      </c>
      <c r="AJ5966" s="4">
        <v>0</v>
      </c>
      <c r="AK5966" s="4">
        <v>1</v>
      </c>
      <c r="AL5966" s="4">
        <v>17</v>
      </c>
      <c r="AM5966" s="4">
        <v>34</v>
      </c>
      <c r="AN5966" s="4">
        <v>0</v>
      </c>
      <c r="AO5966" s="4">
        <v>0</v>
      </c>
      <c r="AP5966" s="4">
        <v>0</v>
      </c>
      <c r="AQ5966" s="4">
        <v>3</v>
      </c>
      <c r="AR5966" s="3" t="s">
        <v>62</v>
      </c>
      <c r="AS5966" s="3" t="s">
        <v>62</v>
      </c>
      <c r="AT5966" s="3" t="s">
        <v>62</v>
      </c>
      <c r="AV5966" s="6" t="str">
        <f>HYPERLINK("http://mcgill.on.worldcat.org/oclc/60692509","Catalog Record")</f>
        <v>Catalog Record</v>
      </c>
      <c r="AW5966" s="6" t="str">
        <f>HYPERLINK("http://www.worldcat.org/oclc/60692509","WorldCat Record")</f>
        <v>WorldCat Record</v>
      </c>
      <c r="AX5966" s="3" t="s">
        <v>56041</v>
      </c>
      <c r="AY5966" s="3" t="s">
        <v>56042</v>
      </c>
      <c r="AZ5966" s="3" t="s">
        <v>56043</v>
      </c>
      <c r="BA5966" s="3" t="s">
        <v>56043</v>
      </c>
      <c r="BB5966" s="3" t="s">
        <v>56044</v>
      </c>
      <c r="BC5966" s="3" t="s">
        <v>33640</v>
      </c>
      <c r="BD5966" s="3" t="s">
        <v>68</v>
      </c>
      <c r="BF5966" s="3" t="s">
        <v>56044</v>
      </c>
      <c r="BG5966" s="3" t="s">
        <v>56045</v>
      </c>
    </row>
    <row r="5967" spans="1:59" ht="116" x14ac:dyDescent="0.35">
      <c r="A5967" s="2" t="s">
        <v>89</v>
      </c>
      <c r="B5967" s="2" t="s">
        <v>42560</v>
      </c>
      <c r="C5967" s="2" t="s">
        <v>56046</v>
      </c>
      <c r="D5967" s="2" t="s">
        <v>56047</v>
      </c>
      <c r="E5967" s="2" t="s">
        <v>56048</v>
      </c>
      <c r="G5967" s="3" t="s">
        <v>62</v>
      </c>
      <c r="I5967" s="3" t="s">
        <v>62</v>
      </c>
      <c r="J5967" s="3" t="s">
        <v>62</v>
      </c>
      <c r="K5967" s="3" t="s">
        <v>63</v>
      </c>
      <c r="L5967" s="2" t="s">
        <v>56049</v>
      </c>
      <c r="M5967" s="2" t="s">
        <v>56050</v>
      </c>
      <c r="N5967" s="3" t="s">
        <v>2985</v>
      </c>
      <c r="O5967" s="2" t="s">
        <v>55535</v>
      </c>
      <c r="P5967" s="3" t="s">
        <v>64</v>
      </c>
      <c r="R5967" s="3" t="s">
        <v>42369</v>
      </c>
      <c r="S5967" s="4">
        <v>27</v>
      </c>
      <c r="T5967" s="4">
        <v>27</v>
      </c>
      <c r="U5967" s="5" t="s">
        <v>1209</v>
      </c>
      <c r="V5967" s="5" t="s">
        <v>1209</v>
      </c>
      <c r="W5967" s="5" t="s">
        <v>67</v>
      </c>
      <c r="X5967" s="5" t="s">
        <v>67</v>
      </c>
      <c r="Y5967" s="4">
        <v>159</v>
      </c>
      <c r="Z5967" s="4">
        <v>4</v>
      </c>
      <c r="AA5967" s="4">
        <v>62</v>
      </c>
      <c r="AB5967" s="4">
        <v>1</v>
      </c>
      <c r="AC5967" s="4">
        <v>3</v>
      </c>
      <c r="AD5967" s="4">
        <v>5</v>
      </c>
      <c r="AE5967" s="4">
        <v>37</v>
      </c>
      <c r="AF5967" s="4">
        <v>0</v>
      </c>
      <c r="AG5967" s="4">
        <v>0</v>
      </c>
      <c r="AH5967" s="4">
        <v>5</v>
      </c>
      <c r="AI5967" s="4">
        <v>34</v>
      </c>
      <c r="AJ5967" s="4">
        <v>1</v>
      </c>
      <c r="AK5967" s="4">
        <v>5</v>
      </c>
      <c r="AL5967" s="4">
        <v>1</v>
      </c>
      <c r="AM5967" s="4">
        <v>21</v>
      </c>
      <c r="AN5967" s="4">
        <v>0</v>
      </c>
      <c r="AO5967" s="4">
        <v>0</v>
      </c>
      <c r="AP5967" s="4">
        <v>1</v>
      </c>
      <c r="AQ5967" s="4">
        <v>7</v>
      </c>
      <c r="AR5967" s="3" t="s">
        <v>62</v>
      </c>
      <c r="AS5967" s="3" t="s">
        <v>62</v>
      </c>
      <c r="AT5967" s="3" t="s">
        <v>62</v>
      </c>
      <c r="AV5967" s="6" t="str">
        <f>HYPERLINK("http://mcgill.on.worldcat.org/oclc/436221793","Catalog Record")</f>
        <v>Catalog Record</v>
      </c>
      <c r="AW5967" s="6" t="str">
        <f>HYPERLINK("http://www.worldcat.org/oclc/436221793","WorldCat Record")</f>
        <v>WorldCat Record</v>
      </c>
      <c r="AX5967" s="3" t="s">
        <v>56051</v>
      </c>
      <c r="AY5967" s="3" t="s">
        <v>56052</v>
      </c>
      <c r="AZ5967" s="3" t="s">
        <v>56053</v>
      </c>
      <c r="BA5967" s="3" t="s">
        <v>56053</v>
      </c>
      <c r="BB5967" s="3" t="s">
        <v>56054</v>
      </c>
      <c r="BC5967" s="3" t="s">
        <v>33640</v>
      </c>
      <c r="BD5967" s="3" t="s">
        <v>68</v>
      </c>
      <c r="BE5967" s="3" t="s">
        <v>56055</v>
      </c>
      <c r="BF5967" s="3" t="s">
        <v>56054</v>
      </c>
      <c r="BG5967" s="3" t="s">
        <v>56056</v>
      </c>
    </row>
    <row r="5968" spans="1:59" ht="87" x14ac:dyDescent="0.35">
      <c r="A5968" s="2" t="s">
        <v>89</v>
      </c>
      <c r="B5968" s="2" t="s">
        <v>42560</v>
      </c>
      <c r="C5968" s="2" t="s">
        <v>56057</v>
      </c>
      <c r="D5968" s="2" t="s">
        <v>56058</v>
      </c>
      <c r="E5968" s="2" t="s">
        <v>56059</v>
      </c>
      <c r="G5968" s="3" t="s">
        <v>62</v>
      </c>
      <c r="I5968" s="3" t="s">
        <v>62</v>
      </c>
      <c r="J5968" s="3" t="s">
        <v>62</v>
      </c>
      <c r="K5968" s="3" t="s">
        <v>63</v>
      </c>
      <c r="M5968" s="2" t="s">
        <v>56060</v>
      </c>
      <c r="N5968" s="3" t="s">
        <v>2985</v>
      </c>
      <c r="P5968" s="3" t="s">
        <v>64</v>
      </c>
      <c r="R5968" s="3" t="s">
        <v>40557</v>
      </c>
      <c r="S5968" s="4">
        <v>11</v>
      </c>
      <c r="T5968" s="4">
        <v>11</v>
      </c>
      <c r="U5968" s="5" t="s">
        <v>10012</v>
      </c>
      <c r="V5968" s="5" t="s">
        <v>10012</v>
      </c>
      <c r="W5968" s="5" t="s">
        <v>67</v>
      </c>
      <c r="X5968" s="5" t="s">
        <v>67</v>
      </c>
      <c r="Y5968" s="4">
        <v>9</v>
      </c>
      <c r="Z5968" s="4">
        <v>5</v>
      </c>
      <c r="AA5968" s="4">
        <v>13</v>
      </c>
      <c r="AB5968" s="4">
        <v>3</v>
      </c>
      <c r="AC5968" s="4">
        <v>3</v>
      </c>
      <c r="AD5968" s="4">
        <v>1</v>
      </c>
      <c r="AE5968" s="4">
        <v>9</v>
      </c>
      <c r="AF5968" s="4">
        <v>0</v>
      </c>
      <c r="AG5968" s="4">
        <v>0</v>
      </c>
      <c r="AH5968" s="4">
        <v>0</v>
      </c>
      <c r="AI5968" s="4">
        <v>7</v>
      </c>
      <c r="AJ5968" s="4">
        <v>1</v>
      </c>
      <c r="AK5968" s="4">
        <v>2</v>
      </c>
      <c r="AL5968" s="4">
        <v>0</v>
      </c>
      <c r="AM5968" s="4">
        <v>2</v>
      </c>
      <c r="AN5968" s="4">
        <v>0</v>
      </c>
      <c r="AO5968" s="4">
        <v>0</v>
      </c>
      <c r="AP5968" s="4">
        <v>1</v>
      </c>
      <c r="AQ5968" s="4">
        <v>2</v>
      </c>
      <c r="AR5968" s="3" t="s">
        <v>61</v>
      </c>
      <c r="AS5968" s="3" t="s">
        <v>62</v>
      </c>
      <c r="AT5968" s="3" t="s">
        <v>62</v>
      </c>
      <c r="AV5968" s="6" t="str">
        <f>HYPERLINK("http://mcgill.on.worldcat.org/oclc/430964775","Catalog Record")</f>
        <v>Catalog Record</v>
      </c>
      <c r="AW5968" s="6" t="str">
        <f>HYPERLINK("http://www.worldcat.org/oclc/430964775","WorldCat Record")</f>
        <v>WorldCat Record</v>
      </c>
      <c r="AX5968" s="3" t="s">
        <v>56061</v>
      </c>
      <c r="AY5968" s="3" t="s">
        <v>56062</v>
      </c>
      <c r="AZ5968" s="3" t="s">
        <v>56063</v>
      </c>
      <c r="BA5968" s="3" t="s">
        <v>56063</v>
      </c>
      <c r="BB5968" s="3" t="s">
        <v>56064</v>
      </c>
      <c r="BC5968" s="3" t="s">
        <v>33640</v>
      </c>
      <c r="BD5968" s="3" t="s">
        <v>68</v>
      </c>
      <c r="BF5968" s="3" t="s">
        <v>56064</v>
      </c>
      <c r="BG5968" s="3" t="s">
        <v>56065</v>
      </c>
    </row>
    <row r="5969" spans="1:59" ht="87" x14ac:dyDescent="0.35">
      <c r="A5969" s="2" t="s">
        <v>89</v>
      </c>
      <c r="B5969" s="2" t="s">
        <v>42560</v>
      </c>
      <c r="C5969" s="2" t="s">
        <v>56066</v>
      </c>
      <c r="D5969" s="2" t="s">
        <v>56067</v>
      </c>
      <c r="E5969" s="2" t="s">
        <v>42563</v>
      </c>
      <c r="F5969" s="3" t="s">
        <v>56068</v>
      </c>
      <c r="G5969" s="3" t="s">
        <v>61</v>
      </c>
      <c r="I5969" s="3" t="s">
        <v>61</v>
      </c>
      <c r="J5969" s="3" t="s">
        <v>62</v>
      </c>
      <c r="K5969" s="3" t="s">
        <v>63</v>
      </c>
      <c r="L5969" s="2" t="s">
        <v>42565</v>
      </c>
      <c r="M5969" s="2" t="s">
        <v>42566</v>
      </c>
      <c r="N5969" s="3" t="s">
        <v>655</v>
      </c>
      <c r="P5969" s="3" t="s">
        <v>64</v>
      </c>
      <c r="R5969" s="3" t="s">
        <v>42369</v>
      </c>
      <c r="S5969" s="4">
        <v>130</v>
      </c>
      <c r="T5969" s="4">
        <v>1188</v>
      </c>
      <c r="U5969" s="5" t="s">
        <v>4048</v>
      </c>
      <c r="V5969" s="5" t="s">
        <v>15891</v>
      </c>
      <c r="W5969" s="5" t="s">
        <v>67</v>
      </c>
      <c r="X5969" s="5" t="s">
        <v>67</v>
      </c>
      <c r="Y5969" s="4">
        <v>4</v>
      </c>
      <c r="Z5969" s="4">
        <v>4</v>
      </c>
      <c r="AA5969" s="4">
        <v>20</v>
      </c>
      <c r="AB5969" s="4">
        <v>1</v>
      </c>
      <c r="AC5969" s="4">
        <v>4</v>
      </c>
      <c r="AD5969" s="4">
        <v>1</v>
      </c>
      <c r="AE5969" s="4">
        <v>11</v>
      </c>
      <c r="AF5969" s="4">
        <v>0</v>
      </c>
      <c r="AG5969" s="4">
        <v>0</v>
      </c>
      <c r="AH5969" s="4">
        <v>0</v>
      </c>
      <c r="AI5969" s="4">
        <v>7</v>
      </c>
      <c r="AJ5969" s="4">
        <v>1</v>
      </c>
      <c r="AK5969" s="4">
        <v>3</v>
      </c>
      <c r="AL5969" s="4">
        <v>0</v>
      </c>
      <c r="AM5969" s="4">
        <v>5</v>
      </c>
      <c r="AN5969" s="4">
        <v>0</v>
      </c>
      <c r="AO5969" s="4">
        <v>0</v>
      </c>
      <c r="AP5969" s="4">
        <v>1</v>
      </c>
      <c r="AQ5969" s="4">
        <v>4</v>
      </c>
      <c r="AR5969" s="3" t="s">
        <v>61</v>
      </c>
      <c r="AS5969" s="3" t="s">
        <v>62</v>
      </c>
      <c r="AT5969" s="3" t="s">
        <v>62</v>
      </c>
      <c r="AV5969" s="6" t="str">
        <f t="shared" ref="AV5969:AV5979" si="105">HYPERLINK("http://mcgill.on.worldcat.org/oclc/253896911","Catalog Record")</f>
        <v>Catalog Record</v>
      </c>
      <c r="AW5969" s="6" t="str">
        <f t="shared" ref="AW5969:AW5979" si="106">HYPERLINK("http://www.worldcat.org/oclc/253896911","WorldCat Record")</f>
        <v>WorldCat Record</v>
      </c>
      <c r="AX5969" s="3" t="s">
        <v>42568</v>
      </c>
      <c r="AY5969" s="3" t="s">
        <v>42569</v>
      </c>
      <c r="AZ5969" s="3" t="s">
        <v>42570</v>
      </c>
      <c r="BA5969" s="3" t="s">
        <v>42570</v>
      </c>
      <c r="BB5969" s="3" t="s">
        <v>56069</v>
      </c>
      <c r="BC5969" s="3" t="s">
        <v>33640</v>
      </c>
      <c r="BD5969" s="3" t="s">
        <v>68</v>
      </c>
      <c r="BF5969" s="3" t="s">
        <v>56069</v>
      </c>
      <c r="BG5969" s="3" t="s">
        <v>56070</v>
      </c>
    </row>
    <row r="5970" spans="1:59" ht="87" x14ac:dyDescent="0.35">
      <c r="A5970" s="2" t="s">
        <v>89</v>
      </c>
      <c r="B5970" s="2" t="s">
        <v>42560</v>
      </c>
      <c r="C5970" s="2" t="s">
        <v>56066</v>
      </c>
      <c r="D5970" s="2" t="s">
        <v>56067</v>
      </c>
      <c r="E5970" s="2" t="s">
        <v>42563</v>
      </c>
      <c r="F5970" s="3" t="s">
        <v>56071</v>
      </c>
      <c r="G5970" s="3" t="s">
        <v>61</v>
      </c>
      <c r="I5970" s="3" t="s">
        <v>61</v>
      </c>
      <c r="J5970" s="3" t="s">
        <v>62</v>
      </c>
      <c r="K5970" s="3" t="s">
        <v>63</v>
      </c>
      <c r="L5970" s="2" t="s">
        <v>42565</v>
      </c>
      <c r="M5970" s="2" t="s">
        <v>42566</v>
      </c>
      <c r="N5970" s="3" t="s">
        <v>655</v>
      </c>
      <c r="P5970" s="3" t="s">
        <v>64</v>
      </c>
      <c r="R5970" s="3" t="s">
        <v>42369</v>
      </c>
      <c r="S5970" s="4">
        <v>108</v>
      </c>
      <c r="T5970" s="4">
        <v>1188</v>
      </c>
      <c r="U5970" s="5" t="s">
        <v>15891</v>
      </c>
      <c r="V5970" s="5" t="s">
        <v>15891</v>
      </c>
      <c r="W5970" s="5" t="s">
        <v>67</v>
      </c>
      <c r="X5970" s="5" t="s">
        <v>67</v>
      </c>
      <c r="Y5970" s="4">
        <v>4</v>
      </c>
      <c r="Z5970" s="4">
        <v>4</v>
      </c>
      <c r="AA5970" s="4">
        <v>20</v>
      </c>
      <c r="AB5970" s="4">
        <v>1</v>
      </c>
      <c r="AC5970" s="4">
        <v>4</v>
      </c>
      <c r="AD5970" s="4">
        <v>1</v>
      </c>
      <c r="AE5970" s="4">
        <v>11</v>
      </c>
      <c r="AF5970" s="4">
        <v>0</v>
      </c>
      <c r="AG5970" s="4">
        <v>0</v>
      </c>
      <c r="AH5970" s="4">
        <v>0</v>
      </c>
      <c r="AI5970" s="4">
        <v>7</v>
      </c>
      <c r="AJ5970" s="4">
        <v>1</v>
      </c>
      <c r="AK5970" s="4">
        <v>3</v>
      </c>
      <c r="AL5970" s="4">
        <v>0</v>
      </c>
      <c r="AM5970" s="4">
        <v>5</v>
      </c>
      <c r="AN5970" s="4">
        <v>0</v>
      </c>
      <c r="AO5970" s="4">
        <v>0</v>
      </c>
      <c r="AP5970" s="4">
        <v>1</v>
      </c>
      <c r="AQ5970" s="4">
        <v>4</v>
      </c>
      <c r="AR5970" s="3" t="s">
        <v>61</v>
      </c>
      <c r="AS5970" s="3" t="s">
        <v>62</v>
      </c>
      <c r="AT5970" s="3" t="s">
        <v>62</v>
      </c>
      <c r="AV5970" s="6" t="str">
        <f t="shared" si="105"/>
        <v>Catalog Record</v>
      </c>
      <c r="AW5970" s="6" t="str">
        <f t="shared" si="106"/>
        <v>WorldCat Record</v>
      </c>
      <c r="AX5970" s="3" t="s">
        <v>42568</v>
      </c>
      <c r="AY5970" s="3" t="s">
        <v>42569</v>
      </c>
      <c r="AZ5970" s="3" t="s">
        <v>42570</v>
      </c>
      <c r="BA5970" s="3" t="s">
        <v>42570</v>
      </c>
      <c r="BB5970" s="3" t="s">
        <v>56072</v>
      </c>
      <c r="BC5970" s="3" t="s">
        <v>33640</v>
      </c>
      <c r="BD5970" s="3" t="s">
        <v>68</v>
      </c>
      <c r="BF5970" s="3" t="s">
        <v>56072</v>
      </c>
      <c r="BG5970" s="3" t="s">
        <v>56073</v>
      </c>
    </row>
    <row r="5971" spans="1:59" ht="87" x14ac:dyDescent="0.35">
      <c r="A5971" s="2" t="s">
        <v>89</v>
      </c>
      <c r="B5971" s="2" t="s">
        <v>42560</v>
      </c>
      <c r="C5971" s="2" t="s">
        <v>56066</v>
      </c>
      <c r="D5971" s="2" t="s">
        <v>56067</v>
      </c>
      <c r="E5971" s="2" t="s">
        <v>42563</v>
      </c>
      <c r="F5971" s="3" t="s">
        <v>56074</v>
      </c>
      <c r="G5971" s="3" t="s">
        <v>61</v>
      </c>
      <c r="I5971" s="3" t="s">
        <v>61</v>
      </c>
      <c r="J5971" s="3" t="s">
        <v>62</v>
      </c>
      <c r="K5971" s="3" t="s">
        <v>63</v>
      </c>
      <c r="L5971" s="2" t="s">
        <v>42565</v>
      </c>
      <c r="M5971" s="2" t="s">
        <v>42566</v>
      </c>
      <c r="N5971" s="3" t="s">
        <v>655</v>
      </c>
      <c r="P5971" s="3" t="s">
        <v>64</v>
      </c>
      <c r="R5971" s="3" t="s">
        <v>42369</v>
      </c>
      <c r="S5971" s="4">
        <v>101</v>
      </c>
      <c r="T5971" s="4">
        <v>1188</v>
      </c>
      <c r="U5971" s="5" t="s">
        <v>56075</v>
      </c>
      <c r="V5971" s="5" t="s">
        <v>15891</v>
      </c>
      <c r="W5971" s="5" t="s">
        <v>67</v>
      </c>
      <c r="X5971" s="5" t="s">
        <v>67</v>
      </c>
      <c r="Y5971" s="4">
        <v>4</v>
      </c>
      <c r="Z5971" s="4">
        <v>4</v>
      </c>
      <c r="AA5971" s="4">
        <v>20</v>
      </c>
      <c r="AB5971" s="4">
        <v>1</v>
      </c>
      <c r="AC5971" s="4">
        <v>4</v>
      </c>
      <c r="AD5971" s="4">
        <v>1</v>
      </c>
      <c r="AE5971" s="4">
        <v>11</v>
      </c>
      <c r="AF5971" s="4">
        <v>0</v>
      </c>
      <c r="AG5971" s="4">
        <v>0</v>
      </c>
      <c r="AH5971" s="4">
        <v>0</v>
      </c>
      <c r="AI5971" s="4">
        <v>7</v>
      </c>
      <c r="AJ5971" s="4">
        <v>1</v>
      </c>
      <c r="AK5971" s="4">
        <v>3</v>
      </c>
      <c r="AL5971" s="4">
        <v>0</v>
      </c>
      <c r="AM5971" s="4">
        <v>5</v>
      </c>
      <c r="AN5971" s="4">
        <v>0</v>
      </c>
      <c r="AO5971" s="4">
        <v>0</v>
      </c>
      <c r="AP5971" s="4">
        <v>1</v>
      </c>
      <c r="AQ5971" s="4">
        <v>4</v>
      </c>
      <c r="AR5971" s="3" t="s">
        <v>61</v>
      </c>
      <c r="AS5971" s="3" t="s">
        <v>62</v>
      </c>
      <c r="AT5971" s="3" t="s">
        <v>62</v>
      </c>
      <c r="AV5971" s="6" t="str">
        <f t="shared" si="105"/>
        <v>Catalog Record</v>
      </c>
      <c r="AW5971" s="6" t="str">
        <f t="shared" si="106"/>
        <v>WorldCat Record</v>
      </c>
      <c r="AX5971" s="3" t="s">
        <v>42568</v>
      </c>
      <c r="AY5971" s="3" t="s">
        <v>42569</v>
      </c>
      <c r="AZ5971" s="3" t="s">
        <v>42570</v>
      </c>
      <c r="BA5971" s="3" t="s">
        <v>42570</v>
      </c>
      <c r="BB5971" s="3" t="s">
        <v>56076</v>
      </c>
      <c r="BC5971" s="3" t="s">
        <v>33640</v>
      </c>
      <c r="BD5971" s="3" t="s">
        <v>68</v>
      </c>
      <c r="BF5971" s="3" t="s">
        <v>56076</v>
      </c>
      <c r="BG5971" s="3" t="s">
        <v>56077</v>
      </c>
    </row>
    <row r="5972" spans="1:59" ht="87" x14ac:dyDescent="0.35">
      <c r="A5972" s="2" t="s">
        <v>89</v>
      </c>
      <c r="B5972" s="2" t="s">
        <v>42560</v>
      </c>
      <c r="C5972" s="2" t="s">
        <v>56066</v>
      </c>
      <c r="D5972" s="2" t="s">
        <v>56067</v>
      </c>
      <c r="E5972" s="2" t="s">
        <v>42563</v>
      </c>
      <c r="F5972" s="3" t="s">
        <v>56078</v>
      </c>
      <c r="G5972" s="3" t="s">
        <v>61</v>
      </c>
      <c r="I5972" s="3" t="s">
        <v>61</v>
      </c>
      <c r="J5972" s="3" t="s">
        <v>62</v>
      </c>
      <c r="K5972" s="3" t="s">
        <v>63</v>
      </c>
      <c r="L5972" s="2" t="s">
        <v>42565</v>
      </c>
      <c r="M5972" s="2" t="s">
        <v>42566</v>
      </c>
      <c r="N5972" s="3" t="s">
        <v>655</v>
      </c>
      <c r="P5972" s="3" t="s">
        <v>64</v>
      </c>
      <c r="R5972" s="3" t="s">
        <v>42369</v>
      </c>
      <c r="S5972" s="4">
        <v>92</v>
      </c>
      <c r="T5972" s="4">
        <v>1188</v>
      </c>
      <c r="U5972" s="5" t="s">
        <v>56075</v>
      </c>
      <c r="V5972" s="5" t="s">
        <v>15891</v>
      </c>
      <c r="W5972" s="5" t="s">
        <v>67</v>
      </c>
      <c r="X5972" s="5" t="s">
        <v>67</v>
      </c>
      <c r="Y5972" s="4">
        <v>4</v>
      </c>
      <c r="Z5972" s="4">
        <v>4</v>
      </c>
      <c r="AA5972" s="4">
        <v>20</v>
      </c>
      <c r="AB5972" s="4">
        <v>1</v>
      </c>
      <c r="AC5972" s="4">
        <v>4</v>
      </c>
      <c r="AD5972" s="4">
        <v>1</v>
      </c>
      <c r="AE5972" s="4">
        <v>11</v>
      </c>
      <c r="AF5972" s="4">
        <v>0</v>
      </c>
      <c r="AG5972" s="4">
        <v>0</v>
      </c>
      <c r="AH5972" s="4">
        <v>0</v>
      </c>
      <c r="AI5972" s="4">
        <v>7</v>
      </c>
      <c r="AJ5972" s="4">
        <v>1</v>
      </c>
      <c r="AK5972" s="4">
        <v>3</v>
      </c>
      <c r="AL5972" s="4">
        <v>0</v>
      </c>
      <c r="AM5972" s="4">
        <v>5</v>
      </c>
      <c r="AN5972" s="4">
        <v>0</v>
      </c>
      <c r="AO5972" s="4">
        <v>0</v>
      </c>
      <c r="AP5972" s="4">
        <v>1</v>
      </c>
      <c r="AQ5972" s="4">
        <v>4</v>
      </c>
      <c r="AR5972" s="3" t="s">
        <v>61</v>
      </c>
      <c r="AS5972" s="3" t="s">
        <v>62</v>
      </c>
      <c r="AT5972" s="3" t="s">
        <v>62</v>
      </c>
      <c r="AV5972" s="6" t="str">
        <f t="shared" si="105"/>
        <v>Catalog Record</v>
      </c>
      <c r="AW5972" s="6" t="str">
        <f t="shared" si="106"/>
        <v>WorldCat Record</v>
      </c>
      <c r="AX5972" s="3" t="s">
        <v>42568</v>
      </c>
      <c r="AY5972" s="3" t="s">
        <v>42569</v>
      </c>
      <c r="AZ5972" s="3" t="s">
        <v>42570</v>
      </c>
      <c r="BA5972" s="3" t="s">
        <v>42570</v>
      </c>
      <c r="BB5972" s="3" t="s">
        <v>56079</v>
      </c>
      <c r="BC5972" s="3" t="s">
        <v>33640</v>
      </c>
      <c r="BD5972" s="3" t="s">
        <v>68</v>
      </c>
      <c r="BF5972" s="3" t="s">
        <v>56079</v>
      </c>
      <c r="BG5972" s="3" t="s">
        <v>56080</v>
      </c>
    </row>
    <row r="5973" spans="1:59" ht="87" x14ac:dyDescent="0.35">
      <c r="A5973" s="2" t="s">
        <v>89</v>
      </c>
      <c r="B5973" s="2" t="s">
        <v>42560</v>
      </c>
      <c r="C5973" s="2" t="s">
        <v>56066</v>
      </c>
      <c r="D5973" s="2" t="s">
        <v>56067</v>
      </c>
      <c r="E5973" s="2" t="s">
        <v>42563</v>
      </c>
      <c r="F5973" s="3" t="s">
        <v>42564</v>
      </c>
      <c r="G5973" s="3" t="s">
        <v>61</v>
      </c>
      <c r="I5973" s="3" t="s">
        <v>61</v>
      </c>
      <c r="J5973" s="3" t="s">
        <v>62</v>
      </c>
      <c r="K5973" s="3" t="s">
        <v>63</v>
      </c>
      <c r="L5973" s="2" t="s">
        <v>42565</v>
      </c>
      <c r="M5973" s="2" t="s">
        <v>42566</v>
      </c>
      <c r="N5973" s="3" t="s">
        <v>655</v>
      </c>
      <c r="P5973" s="3" t="s">
        <v>64</v>
      </c>
      <c r="R5973" s="3" t="s">
        <v>42369</v>
      </c>
      <c r="S5973" s="4">
        <v>47</v>
      </c>
      <c r="T5973" s="4">
        <v>1188</v>
      </c>
      <c r="U5973" s="5" t="s">
        <v>15891</v>
      </c>
      <c r="V5973" s="5" t="s">
        <v>15891</v>
      </c>
      <c r="W5973" s="5" t="s">
        <v>67</v>
      </c>
      <c r="X5973" s="5" t="s">
        <v>67</v>
      </c>
      <c r="Y5973" s="4">
        <v>4</v>
      </c>
      <c r="Z5973" s="4">
        <v>4</v>
      </c>
      <c r="AA5973" s="4">
        <v>20</v>
      </c>
      <c r="AB5973" s="4">
        <v>1</v>
      </c>
      <c r="AC5973" s="4">
        <v>4</v>
      </c>
      <c r="AD5973" s="4">
        <v>1</v>
      </c>
      <c r="AE5973" s="4">
        <v>11</v>
      </c>
      <c r="AF5973" s="4">
        <v>0</v>
      </c>
      <c r="AG5973" s="4">
        <v>0</v>
      </c>
      <c r="AH5973" s="4">
        <v>0</v>
      </c>
      <c r="AI5973" s="4">
        <v>7</v>
      </c>
      <c r="AJ5973" s="4">
        <v>1</v>
      </c>
      <c r="AK5973" s="4">
        <v>3</v>
      </c>
      <c r="AL5973" s="4">
        <v>0</v>
      </c>
      <c r="AM5973" s="4">
        <v>5</v>
      </c>
      <c r="AN5973" s="4">
        <v>0</v>
      </c>
      <c r="AO5973" s="4">
        <v>0</v>
      </c>
      <c r="AP5973" s="4">
        <v>1</v>
      </c>
      <c r="AQ5973" s="4">
        <v>4</v>
      </c>
      <c r="AR5973" s="3" t="s">
        <v>61</v>
      </c>
      <c r="AS5973" s="3" t="s">
        <v>62</v>
      </c>
      <c r="AT5973" s="3" t="s">
        <v>62</v>
      </c>
      <c r="AV5973" s="6" t="str">
        <f t="shared" si="105"/>
        <v>Catalog Record</v>
      </c>
      <c r="AW5973" s="6" t="str">
        <f t="shared" si="106"/>
        <v>WorldCat Record</v>
      </c>
      <c r="AX5973" s="3" t="s">
        <v>42568</v>
      </c>
      <c r="AY5973" s="3" t="s">
        <v>42569</v>
      </c>
      <c r="AZ5973" s="3" t="s">
        <v>42570</v>
      </c>
      <c r="BA5973" s="3" t="s">
        <v>42570</v>
      </c>
      <c r="BB5973" s="3" t="s">
        <v>56081</v>
      </c>
      <c r="BC5973" s="3" t="s">
        <v>33640</v>
      </c>
      <c r="BD5973" s="3" t="s">
        <v>68</v>
      </c>
      <c r="BF5973" s="3" t="s">
        <v>56081</v>
      </c>
      <c r="BG5973" s="3" t="s">
        <v>56082</v>
      </c>
    </row>
    <row r="5974" spans="1:59" ht="87" x14ac:dyDescent="0.35">
      <c r="A5974" s="2" t="s">
        <v>89</v>
      </c>
      <c r="B5974" s="2" t="s">
        <v>42560</v>
      </c>
      <c r="C5974" s="2" t="s">
        <v>56066</v>
      </c>
      <c r="D5974" s="2" t="s">
        <v>56067</v>
      </c>
      <c r="E5974" s="2" t="s">
        <v>42563</v>
      </c>
      <c r="F5974" s="3" t="s">
        <v>42573</v>
      </c>
      <c r="G5974" s="3" t="s">
        <v>61</v>
      </c>
      <c r="I5974" s="3" t="s">
        <v>61</v>
      </c>
      <c r="J5974" s="3" t="s">
        <v>62</v>
      </c>
      <c r="K5974" s="3" t="s">
        <v>63</v>
      </c>
      <c r="L5974" s="2" t="s">
        <v>42565</v>
      </c>
      <c r="M5974" s="2" t="s">
        <v>42566</v>
      </c>
      <c r="N5974" s="3" t="s">
        <v>655</v>
      </c>
      <c r="P5974" s="3" t="s">
        <v>64</v>
      </c>
      <c r="R5974" s="3" t="s">
        <v>42369</v>
      </c>
      <c r="S5974" s="4">
        <v>49</v>
      </c>
      <c r="T5974" s="4">
        <v>1188</v>
      </c>
      <c r="U5974" s="5" t="s">
        <v>39473</v>
      </c>
      <c r="V5974" s="5" t="s">
        <v>15891</v>
      </c>
      <c r="W5974" s="5" t="s">
        <v>67</v>
      </c>
      <c r="X5974" s="5" t="s">
        <v>67</v>
      </c>
      <c r="Y5974" s="4">
        <v>4</v>
      </c>
      <c r="Z5974" s="4">
        <v>4</v>
      </c>
      <c r="AA5974" s="4">
        <v>20</v>
      </c>
      <c r="AB5974" s="4">
        <v>1</v>
      </c>
      <c r="AC5974" s="4">
        <v>4</v>
      </c>
      <c r="AD5974" s="4">
        <v>1</v>
      </c>
      <c r="AE5974" s="4">
        <v>11</v>
      </c>
      <c r="AF5974" s="4">
        <v>0</v>
      </c>
      <c r="AG5974" s="4">
        <v>0</v>
      </c>
      <c r="AH5974" s="4">
        <v>0</v>
      </c>
      <c r="AI5974" s="4">
        <v>7</v>
      </c>
      <c r="AJ5974" s="4">
        <v>1</v>
      </c>
      <c r="AK5974" s="4">
        <v>3</v>
      </c>
      <c r="AL5974" s="4">
        <v>0</v>
      </c>
      <c r="AM5974" s="4">
        <v>5</v>
      </c>
      <c r="AN5974" s="4">
        <v>0</v>
      </c>
      <c r="AO5974" s="4">
        <v>0</v>
      </c>
      <c r="AP5974" s="4">
        <v>1</v>
      </c>
      <c r="AQ5974" s="4">
        <v>4</v>
      </c>
      <c r="AR5974" s="3" t="s">
        <v>61</v>
      </c>
      <c r="AS5974" s="3" t="s">
        <v>62</v>
      </c>
      <c r="AT5974" s="3" t="s">
        <v>62</v>
      </c>
      <c r="AV5974" s="6" t="str">
        <f t="shared" si="105"/>
        <v>Catalog Record</v>
      </c>
      <c r="AW5974" s="6" t="str">
        <f t="shared" si="106"/>
        <v>WorldCat Record</v>
      </c>
      <c r="AX5974" s="3" t="s">
        <v>42568</v>
      </c>
      <c r="AY5974" s="3" t="s">
        <v>42569</v>
      </c>
      <c r="AZ5974" s="3" t="s">
        <v>42570</v>
      </c>
      <c r="BA5974" s="3" t="s">
        <v>42570</v>
      </c>
      <c r="BB5974" s="3" t="s">
        <v>56083</v>
      </c>
      <c r="BC5974" s="3" t="s">
        <v>33640</v>
      </c>
      <c r="BD5974" s="3" t="s">
        <v>68</v>
      </c>
      <c r="BF5974" s="3" t="s">
        <v>56083</v>
      </c>
      <c r="BG5974" s="3" t="s">
        <v>56084</v>
      </c>
    </row>
    <row r="5975" spans="1:59" ht="87" x14ac:dyDescent="0.35">
      <c r="A5975" s="2" t="s">
        <v>89</v>
      </c>
      <c r="B5975" s="2" t="s">
        <v>42560</v>
      </c>
      <c r="C5975" s="2" t="s">
        <v>56066</v>
      </c>
      <c r="D5975" s="2" t="s">
        <v>56067</v>
      </c>
      <c r="E5975" s="2" t="s">
        <v>42563</v>
      </c>
      <c r="F5975" s="3" t="s">
        <v>56085</v>
      </c>
      <c r="G5975" s="3" t="s">
        <v>61</v>
      </c>
      <c r="I5975" s="3" t="s">
        <v>61</v>
      </c>
      <c r="J5975" s="3" t="s">
        <v>62</v>
      </c>
      <c r="K5975" s="3" t="s">
        <v>63</v>
      </c>
      <c r="L5975" s="2" t="s">
        <v>42565</v>
      </c>
      <c r="M5975" s="2" t="s">
        <v>42566</v>
      </c>
      <c r="N5975" s="3" t="s">
        <v>655</v>
      </c>
      <c r="P5975" s="3" t="s">
        <v>64</v>
      </c>
      <c r="R5975" s="3" t="s">
        <v>42369</v>
      </c>
      <c r="S5975" s="4">
        <v>128</v>
      </c>
      <c r="T5975" s="4">
        <v>1188</v>
      </c>
      <c r="U5975" s="5" t="s">
        <v>7495</v>
      </c>
      <c r="V5975" s="5" t="s">
        <v>15891</v>
      </c>
      <c r="W5975" s="5" t="s">
        <v>67</v>
      </c>
      <c r="X5975" s="5" t="s">
        <v>67</v>
      </c>
      <c r="Y5975" s="4">
        <v>4</v>
      </c>
      <c r="Z5975" s="4">
        <v>4</v>
      </c>
      <c r="AA5975" s="4">
        <v>20</v>
      </c>
      <c r="AB5975" s="4">
        <v>1</v>
      </c>
      <c r="AC5975" s="4">
        <v>4</v>
      </c>
      <c r="AD5975" s="4">
        <v>1</v>
      </c>
      <c r="AE5975" s="4">
        <v>11</v>
      </c>
      <c r="AF5975" s="4">
        <v>0</v>
      </c>
      <c r="AG5975" s="4">
        <v>0</v>
      </c>
      <c r="AH5975" s="4">
        <v>0</v>
      </c>
      <c r="AI5975" s="4">
        <v>7</v>
      </c>
      <c r="AJ5975" s="4">
        <v>1</v>
      </c>
      <c r="AK5975" s="4">
        <v>3</v>
      </c>
      <c r="AL5975" s="4">
        <v>0</v>
      </c>
      <c r="AM5975" s="4">
        <v>5</v>
      </c>
      <c r="AN5975" s="4">
        <v>0</v>
      </c>
      <c r="AO5975" s="4">
        <v>0</v>
      </c>
      <c r="AP5975" s="4">
        <v>1</v>
      </c>
      <c r="AQ5975" s="4">
        <v>4</v>
      </c>
      <c r="AR5975" s="3" t="s">
        <v>61</v>
      </c>
      <c r="AS5975" s="3" t="s">
        <v>62</v>
      </c>
      <c r="AT5975" s="3" t="s">
        <v>62</v>
      </c>
      <c r="AV5975" s="6" t="str">
        <f t="shared" si="105"/>
        <v>Catalog Record</v>
      </c>
      <c r="AW5975" s="6" t="str">
        <f t="shared" si="106"/>
        <v>WorldCat Record</v>
      </c>
      <c r="AX5975" s="3" t="s">
        <v>42568</v>
      </c>
      <c r="AY5975" s="3" t="s">
        <v>42569</v>
      </c>
      <c r="AZ5975" s="3" t="s">
        <v>42570</v>
      </c>
      <c r="BA5975" s="3" t="s">
        <v>42570</v>
      </c>
      <c r="BB5975" s="3" t="s">
        <v>56086</v>
      </c>
      <c r="BC5975" s="3" t="s">
        <v>33640</v>
      </c>
      <c r="BD5975" s="3" t="s">
        <v>68</v>
      </c>
      <c r="BF5975" s="3" t="s">
        <v>56086</v>
      </c>
      <c r="BG5975" s="3" t="s">
        <v>56087</v>
      </c>
    </row>
    <row r="5976" spans="1:59" ht="87" x14ac:dyDescent="0.35">
      <c r="A5976" s="2" t="s">
        <v>89</v>
      </c>
      <c r="B5976" s="2" t="s">
        <v>42560</v>
      </c>
      <c r="C5976" s="2" t="s">
        <v>56066</v>
      </c>
      <c r="D5976" s="2" t="s">
        <v>56067</v>
      </c>
      <c r="E5976" s="2" t="s">
        <v>42563</v>
      </c>
      <c r="F5976" s="3" t="s">
        <v>56088</v>
      </c>
      <c r="G5976" s="3" t="s">
        <v>61</v>
      </c>
      <c r="I5976" s="3" t="s">
        <v>61</v>
      </c>
      <c r="J5976" s="3" t="s">
        <v>62</v>
      </c>
      <c r="K5976" s="3" t="s">
        <v>63</v>
      </c>
      <c r="L5976" s="2" t="s">
        <v>42565</v>
      </c>
      <c r="M5976" s="2" t="s">
        <v>42566</v>
      </c>
      <c r="N5976" s="3" t="s">
        <v>655</v>
      </c>
      <c r="P5976" s="3" t="s">
        <v>64</v>
      </c>
      <c r="R5976" s="3" t="s">
        <v>42369</v>
      </c>
      <c r="S5976" s="4">
        <v>106</v>
      </c>
      <c r="T5976" s="4">
        <v>1188</v>
      </c>
      <c r="U5976" s="5" t="s">
        <v>4048</v>
      </c>
      <c r="V5976" s="5" t="s">
        <v>15891</v>
      </c>
      <c r="W5976" s="5" t="s">
        <v>67</v>
      </c>
      <c r="X5976" s="5" t="s">
        <v>67</v>
      </c>
      <c r="Y5976" s="4">
        <v>4</v>
      </c>
      <c r="Z5976" s="4">
        <v>4</v>
      </c>
      <c r="AA5976" s="4">
        <v>20</v>
      </c>
      <c r="AB5976" s="4">
        <v>1</v>
      </c>
      <c r="AC5976" s="4">
        <v>4</v>
      </c>
      <c r="AD5976" s="4">
        <v>1</v>
      </c>
      <c r="AE5976" s="4">
        <v>11</v>
      </c>
      <c r="AF5976" s="4">
        <v>0</v>
      </c>
      <c r="AG5976" s="4">
        <v>0</v>
      </c>
      <c r="AH5976" s="4">
        <v>0</v>
      </c>
      <c r="AI5976" s="4">
        <v>7</v>
      </c>
      <c r="AJ5976" s="4">
        <v>1</v>
      </c>
      <c r="AK5976" s="4">
        <v>3</v>
      </c>
      <c r="AL5976" s="4">
        <v>0</v>
      </c>
      <c r="AM5976" s="4">
        <v>5</v>
      </c>
      <c r="AN5976" s="4">
        <v>0</v>
      </c>
      <c r="AO5976" s="4">
        <v>0</v>
      </c>
      <c r="AP5976" s="4">
        <v>1</v>
      </c>
      <c r="AQ5976" s="4">
        <v>4</v>
      </c>
      <c r="AR5976" s="3" t="s">
        <v>61</v>
      </c>
      <c r="AS5976" s="3" t="s">
        <v>62</v>
      </c>
      <c r="AT5976" s="3" t="s">
        <v>62</v>
      </c>
      <c r="AV5976" s="6" t="str">
        <f t="shared" si="105"/>
        <v>Catalog Record</v>
      </c>
      <c r="AW5976" s="6" t="str">
        <f t="shared" si="106"/>
        <v>WorldCat Record</v>
      </c>
      <c r="AX5976" s="3" t="s">
        <v>42568</v>
      </c>
      <c r="AY5976" s="3" t="s">
        <v>42569</v>
      </c>
      <c r="AZ5976" s="3" t="s">
        <v>42570</v>
      </c>
      <c r="BA5976" s="3" t="s">
        <v>42570</v>
      </c>
      <c r="BB5976" s="3" t="s">
        <v>56089</v>
      </c>
      <c r="BC5976" s="3" t="s">
        <v>33640</v>
      </c>
      <c r="BD5976" s="3" t="s">
        <v>68</v>
      </c>
      <c r="BF5976" s="3" t="s">
        <v>56089</v>
      </c>
      <c r="BG5976" s="3" t="s">
        <v>56090</v>
      </c>
    </row>
    <row r="5977" spans="1:59" ht="87" x14ac:dyDescent="0.35">
      <c r="A5977" s="2" t="s">
        <v>89</v>
      </c>
      <c r="B5977" s="2" t="s">
        <v>42560</v>
      </c>
      <c r="C5977" s="2" t="s">
        <v>56066</v>
      </c>
      <c r="D5977" s="2" t="s">
        <v>56067</v>
      </c>
      <c r="E5977" s="2" t="s">
        <v>42563</v>
      </c>
      <c r="F5977" s="3" t="s">
        <v>56091</v>
      </c>
      <c r="G5977" s="3" t="s">
        <v>61</v>
      </c>
      <c r="I5977" s="3" t="s">
        <v>61</v>
      </c>
      <c r="J5977" s="3" t="s">
        <v>62</v>
      </c>
      <c r="K5977" s="3" t="s">
        <v>63</v>
      </c>
      <c r="L5977" s="2" t="s">
        <v>42565</v>
      </c>
      <c r="M5977" s="2" t="s">
        <v>42566</v>
      </c>
      <c r="N5977" s="3" t="s">
        <v>655</v>
      </c>
      <c r="P5977" s="3" t="s">
        <v>64</v>
      </c>
      <c r="R5977" s="3" t="s">
        <v>42369</v>
      </c>
      <c r="S5977" s="4">
        <v>118</v>
      </c>
      <c r="T5977" s="4">
        <v>1188</v>
      </c>
      <c r="U5977" s="5" t="s">
        <v>5961</v>
      </c>
      <c r="V5977" s="5" t="s">
        <v>15891</v>
      </c>
      <c r="W5977" s="5" t="s">
        <v>67</v>
      </c>
      <c r="X5977" s="5" t="s">
        <v>67</v>
      </c>
      <c r="Y5977" s="4">
        <v>4</v>
      </c>
      <c r="Z5977" s="4">
        <v>4</v>
      </c>
      <c r="AA5977" s="4">
        <v>20</v>
      </c>
      <c r="AB5977" s="4">
        <v>1</v>
      </c>
      <c r="AC5977" s="4">
        <v>4</v>
      </c>
      <c r="AD5977" s="4">
        <v>1</v>
      </c>
      <c r="AE5977" s="4">
        <v>11</v>
      </c>
      <c r="AF5977" s="4">
        <v>0</v>
      </c>
      <c r="AG5977" s="4">
        <v>0</v>
      </c>
      <c r="AH5977" s="4">
        <v>0</v>
      </c>
      <c r="AI5977" s="4">
        <v>7</v>
      </c>
      <c r="AJ5977" s="4">
        <v>1</v>
      </c>
      <c r="AK5977" s="4">
        <v>3</v>
      </c>
      <c r="AL5977" s="4">
        <v>0</v>
      </c>
      <c r="AM5977" s="4">
        <v>5</v>
      </c>
      <c r="AN5977" s="4">
        <v>0</v>
      </c>
      <c r="AO5977" s="4">
        <v>0</v>
      </c>
      <c r="AP5977" s="4">
        <v>1</v>
      </c>
      <c r="AQ5977" s="4">
        <v>4</v>
      </c>
      <c r="AR5977" s="3" t="s">
        <v>61</v>
      </c>
      <c r="AS5977" s="3" t="s">
        <v>62</v>
      </c>
      <c r="AT5977" s="3" t="s">
        <v>62</v>
      </c>
      <c r="AV5977" s="6" t="str">
        <f t="shared" si="105"/>
        <v>Catalog Record</v>
      </c>
      <c r="AW5977" s="6" t="str">
        <f t="shared" si="106"/>
        <v>WorldCat Record</v>
      </c>
      <c r="AX5977" s="3" t="s">
        <v>42568</v>
      </c>
      <c r="AY5977" s="3" t="s">
        <v>42569</v>
      </c>
      <c r="AZ5977" s="3" t="s">
        <v>42570</v>
      </c>
      <c r="BA5977" s="3" t="s">
        <v>42570</v>
      </c>
      <c r="BB5977" s="3" t="s">
        <v>56092</v>
      </c>
      <c r="BC5977" s="3" t="s">
        <v>33640</v>
      </c>
      <c r="BD5977" s="3" t="s">
        <v>68</v>
      </c>
      <c r="BF5977" s="3" t="s">
        <v>56092</v>
      </c>
      <c r="BG5977" s="3" t="s">
        <v>56093</v>
      </c>
    </row>
    <row r="5978" spans="1:59" ht="87" x14ac:dyDescent="0.35">
      <c r="A5978" s="2" t="s">
        <v>89</v>
      </c>
      <c r="B5978" s="2" t="s">
        <v>42560</v>
      </c>
      <c r="C5978" s="2" t="s">
        <v>56066</v>
      </c>
      <c r="D5978" s="2" t="s">
        <v>56067</v>
      </c>
      <c r="E5978" s="2" t="s">
        <v>42563</v>
      </c>
      <c r="F5978" s="3" t="s">
        <v>56094</v>
      </c>
      <c r="G5978" s="3" t="s">
        <v>61</v>
      </c>
      <c r="I5978" s="3" t="s">
        <v>61</v>
      </c>
      <c r="J5978" s="3" t="s">
        <v>62</v>
      </c>
      <c r="K5978" s="3" t="s">
        <v>63</v>
      </c>
      <c r="L5978" s="2" t="s">
        <v>42565</v>
      </c>
      <c r="M5978" s="2" t="s">
        <v>42566</v>
      </c>
      <c r="N5978" s="3" t="s">
        <v>655</v>
      </c>
      <c r="P5978" s="3" t="s">
        <v>64</v>
      </c>
      <c r="R5978" s="3" t="s">
        <v>42369</v>
      </c>
      <c r="S5978" s="4">
        <v>110</v>
      </c>
      <c r="T5978" s="4">
        <v>1188</v>
      </c>
      <c r="U5978" s="5" t="s">
        <v>24736</v>
      </c>
      <c r="V5978" s="5" t="s">
        <v>15891</v>
      </c>
      <c r="W5978" s="5" t="s">
        <v>67</v>
      </c>
      <c r="X5978" s="5" t="s">
        <v>67</v>
      </c>
      <c r="Y5978" s="4">
        <v>4</v>
      </c>
      <c r="Z5978" s="4">
        <v>4</v>
      </c>
      <c r="AA5978" s="4">
        <v>20</v>
      </c>
      <c r="AB5978" s="4">
        <v>1</v>
      </c>
      <c r="AC5978" s="4">
        <v>4</v>
      </c>
      <c r="AD5978" s="4">
        <v>1</v>
      </c>
      <c r="AE5978" s="4">
        <v>11</v>
      </c>
      <c r="AF5978" s="4">
        <v>0</v>
      </c>
      <c r="AG5978" s="4">
        <v>0</v>
      </c>
      <c r="AH5978" s="4">
        <v>0</v>
      </c>
      <c r="AI5978" s="4">
        <v>7</v>
      </c>
      <c r="AJ5978" s="4">
        <v>1</v>
      </c>
      <c r="AK5978" s="4">
        <v>3</v>
      </c>
      <c r="AL5978" s="4">
        <v>0</v>
      </c>
      <c r="AM5978" s="4">
        <v>5</v>
      </c>
      <c r="AN5978" s="4">
        <v>0</v>
      </c>
      <c r="AO5978" s="4">
        <v>0</v>
      </c>
      <c r="AP5978" s="4">
        <v>1</v>
      </c>
      <c r="AQ5978" s="4">
        <v>4</v>
      </c>
      <c r="AR5978" s="3" t="s">
        <v>61</v>
      </c>
      <c r="AS5978" s="3" t="s">
        <v>62</v>
      </c>
      <c r="AT5978" s="3" t="s">
        <v>62</v>
      </c>
      <c r="AV5978" s="6" t="str">
        <f t="shared" si="105"/>
        <v>Catalog Record</v>
      </c>
      <c r="AW5978" s="6" t="str">
        <f t="shared" si="106"/>
        <v>WorldCat Record</v>
      </c>
      <c r="AX5978" s="3" t="s">
        <v>42568</v>
      </c>
      <c r="AY5978" s="3" t="s">
        <v>42569</v>
      </c>
      <c r="AZ5978" s="3" t="s">
        <v>42570</v>
      </c>
      <c r="BA5978" s="3" t="s">
        <v>42570</v>
      </c>
      <c r="BB5978" s="3" t="s">
        <v>56095</v>
      </c>
      <c r="BC5978" s="3" t="s">
        <v>33640</v>
      </c>
      <c r="BD5978" s="3" t="s">
        <v>68</v>
      </c>
      <c r="BF5978" s="3" t="s">
        <v>56095</v>
      </c>
      <c r="BG5978" s="3" t="s">
        <v>56096</v>
      </c>
    </row>
    <row r="5979" spans="1:59" ht="87" x14ac:dyDescent="0.35">
      <c r="A5979" s="2" t="s">
        <v>89</v>
      </c>
      <c r="B5979" s="2" t="s">
        <v>42560</v>
      </c>
      <c r="C5979" s="2" t="s">
        <v>56066</v>
      </c>
      <c r="D5979" s="2" t="s">
        <v>56067</v>
      </c>
      <c r="E5979" s="2" t="s">
        <v>42563</v>
      </c>
      <c r="F5979" s="3" t="s">
        <v>56097</v>
      </c>
      <c r="G5979" s="3" t="s">
        <v>61</v>
      </c>
      <c r="I5979" s="3" t="s">
        <v>61</v>
      </c>
      <c r="J5979" s="3" t="s">
        <v>62</v>
      </c>
      <c r="K5979" s="3" t="s">
        <v>63</v>
      </c>
      <c r="L5979" s="2" t="s">
        <v>42565</v>
      </c>
      <c r="M5979" s="2" t="s">
        <v>42566</v>
      </c>
      <c r="N5979" s="3" t="s">
        <v>655</v>
      </c>
      <c r="P5979" s="3" t="s">
        <v>64</v>
      </c>
      <c r="R5979" s="3" t="s">
        <v>42369</v>
      </c>
      <c r="S5979" s="4">
        <v>70</v>
      </c>
      <c r="T5979" s="4">
        <v>1188</v>
      </c>
      <c r="U5979" s="5" t="s">
        <v>4048</v>
      </c>
      <c r="V5979" s="5" t="s">
        <v>15891</v>
      </c>
      <c r="W5979" s="5" t="s">
        <v>67</v>
      </c>
      <c r="X5979" s="5" t="s">
        <v>67</v>
      </c>
      <c r="Y5979" s="4">
        <v>4</v>
      </c>
      <c r="Z5979" s="4">
        <v>4</v>
      </c>
      <c r="AA5979" s="4">
        <v>20</v>
      </c>
      <c r="AB5979" s="4">
        <v>1</v>
      </c>
      <c r="AC5979" s="4">
        <v>4</v>
      </c>
      <c r="AD5979" s="4">
        <v>1</v>
      </c>
      <c r="AE5979" s="4">
        <v>11</v>
      </c>
      <c r="AF5979" s="4">
        <v>0</v>
      </c>
      <c r="AG5979" s="4">
        <v>0</v>
      </c>
      <c r="AH5979" s="4">
        <v>0</v>
      </c>
      <c r="AI5979" s="4">
        <v>7</v>
      </c>
      <c r="AJ5979" s="4">
        <v>1</v>
      </c>
      <c r="AK5979" s="4">
        <v>3</v>
      </c>
      <c r="AL5979" s="4">
        <v>0</v>
      </c>
      <c r="AM5979" s="4">
        <v>5</v>
      </c>
      <c r="AN5979" s="4">
        <v>0</v>
      </c>
      <c r="AO5979" s="4">
        <v>0</v>
      </c>
      <c r="AP5979" s="4">
        <v>1</v>
      </c>
      <c r="AQ5979" s="4">
        <v>4</v>
      </c>
      <c r="AR5979" s="3" t="s">
        <v>61</v>
      </c>
      <c r="AS5979" s="3" t="s">
        <v>62</v>
      </c>
      <c r="AT5979" s="3" t="s">
        <v>62</v>
      </c>
      <c r="AV5979" s="6" t="str">
        <f t="shared" si="105"/>
        <v>Catalog Record</v>
      </c>
      <c r="AW5979" s="6" t="str">
        <f t="shared" si="106"/>
        <v>WorldCat Record</v>
      </c>
      <c r="AX5979" s="3" t="s">
        <v>42568</v>
      </c>
      <c r="AY5979" s="3" t="s">
        <v>42569</v>
      </c>
      <c r="AZ5979" s="3" t="s">
        <v>42570</v>
      </c>
      <c r="BA5979" s="3" t="s">
        <v>42570</v>
      </c>
      <c r="BB5979" s="3" t="s">
        <v>56098</v>
      </c>
      <c r="BC5979" s="3" t="s">
        <v>33640</v>
      </c>
      <c r="BD5979" s="3" t="s">
        <v>68</v>
      </c>
      <c r="BF5979" s="3" t="s">
        <v>56098</v>
      </c>
      <c r="BG5979" s="3" t="s">
        <v>56099</v>
      </c>
    </row>
    <row r="5980" spans="1:59" ht="87" x14ac:dyDescent="0.35">
      <c r="A5980" s="2" t="s">
        <v>89</v>
      </c>
      <c r="B5980" s="2" t="s">
        <v>42560</v>
      </c>
      <c r="C5980" s="2" t="s">
        <v>56100</v>
      </c>
      <c r="D5980" s="2" t="s">
        <v>56101</v>
      </c>
      <c r="E5980" s="2" t="s">
        <v>56102</v>
      </c>
      <c r="F5980" s="3" t="s">
        <v>56103</v>
      </c>
      <c r="G5980" s="3" t="s">
        <v>61</v>
      </c>
      <c r="I5980" s="3" t="s">
        <v>62</v>
      </c>
      <c r="J5980" s="3" t="s">
        <v>62</v>
      </c>
      <c r="K5980" s="3" t="s">
        <v>63</v>
      </c>
      <c r="M5980" s="2" t="s">
        <v>56104</v>
      </c>
      <c r="N5980" s="3" t="s">
        <v>655</v>
      </c>
      <c r="O5980" s="2" t="s">
        <v>56105</v>
      </c>
      <c r="P5980" s="3" t="s">
        <v>64</v>
      </c>
      <c r="R5980" s="3" t="s">
        <v>42369</v>
      </c>
      <c r="S5980" s="4">
        <v>14</v>
      </c>
      <c r="T5980" s="4">
        <v>275</v>
      </c>
      <c r="U5980" s="5" t="s">
        <v>5299</v>
      </c>
      <c r="V5980" s="5" t="s">
        <v>5030</v>
      </c>
      <c r="W5980" s="5" t="s">
        <v>67</v>
      </c>
      <c r="X5980" s="5" t="s">
        <v>67</v>
      </c>
      <c r="Y5980" s="4">
        <v>91</v>
      </c>
      <c r="Z5980" s="4">
        <v>8</v>
      </c>
      <c r="AA5980" s="4">
        <v>8</v>
      </c>
      <c r="AB5980" s="4">
        <v>2</v>
      </c>
      <c r="AC5980" s="4">
        <v>2</v>
      </c>
      <c r="AD5980" s="4">
        <v>3</v>
      </c>
      <c r="AE5980" s="4">
        <v>3</v>
      </c>
      <c r="AF5980" s="4">
        <v>0</v>
      </c>
      <c r="AG5980" s="4">
        <v>0</v>
      </c>
      <c r="AH5980" s="4">
        <v>3</v>
      </c>
      <c r="AI5980" s="4">
        <v>3</v>
      </c>
      <c r="AJ5980" s="4">
        <v>0</v>
      </c>
      <c r="AK5980" s="4">
        <v>0</v>
      </c>
      <c r="AL5980" s="4">
        <v>1</v>
      </c>
      <c r="AM5980" s="4">
        <v>1</v>
      </c>
      <c r="AN5980" s="4">
        <v>0</v>
      </c>
      <c r="AO5980" s="4">
        <v>0</v>
      </c>
      <c r="AP5980" s="4">
        <v>0</v>
      </c>
      <c r="AQ5980" s="4">
        <v>0</v>
      </c>
      <c r="AR5980" s="3" t="s">
        <v>62</v>
      </c>
      <c r="AS5980" s="3" t="s">
        <v>62</v>
      </c>
      <c r="AT5980" s="3" t="s">
        <v>62</v>
      </c>
      <c r="AV5980" s="6" t="str">
        <f t="shared" ref="AV5980:AV5989" si="107">HYPERLINK("http://mcgill.on.worldcat.org/oclc/177017848","Catalog Record")</f>
        <v>Catalog Record</v>
      </c>
      <c r="AW5980" s="6" t="str">
        <f t="shared" ref="AW5980:AW5989" si="108">HYPERLINK("http://www.worldcat.org/oclc/177017848","WorldCat Record")</f>
        <v>WorldCat Record</v>
      </c>
      <c r="AX5980" s="3" t="s">
        <v>56106</v>
      </c>
      <c r="AY5980" s="3" t="s">
        <v>56107</v>
      </c>
      <c r="AZ5980" s="3" t="s">
        <v>56108</v>
      </c>
      <c r="BA5980" s="3" t="s">
        <v>56108</v>
      </c>
      <c r="BB5980" s="3" t="s">
        <v>56109</v>
      </c>
      <c r="BC5980" s="3" t="s">
        <v>33640</v>
      </c>
      <c r="BD5980" s="3" t="s">
        <v>68</v>
      </c>
      <c r="BE5980" s="3" t="s">
        <v>56110</v>
      </c>
      <c r="BF5980" s="3" t="s">
        <v>56109</v>
      </c>
      <c r="BG5980" s="3" t="s">
        <v>56111</v>
      </c>
    </row>
    <row r="5981" spans="1:59" ht="87" x14ac:dyDescent="0.35">
      <c r="A5981" s="2" t="s">
        <v>89</v>
      </c>
      <c r="B5981" s="2" t="s">
        <v>42560</v>
      </c>
      <c r="C5981" s="2" t="s">
        <v>56100</v>
      </c>
      <c r="D5981" s="2" t="s">
        <v>56101</v>
      </c>
      <c r="E5981" s="2" t="s">
        <v>56102</v>
      </c>
      <c r="F5981" s="3" t="s">
        <v>56112</v>
      </c>
      <c r="G5981" s="3" t="s">
        <v>61</v>
      </c>
      <c r="I5981" s="3" t="s">
        <v>62</v>
      </c>
      <c r="J5981" s="3" t="s">
        <v>62</v>
      </c>
      <c r="K5981" s="3" t="s">
        <v>63</v>
      </c>
      <c r="M5981" s="2" t="s">
        <v>56104</v>
      </c>
      <c r="N5981" s="3" t="s">
        <v>655</v>
      </c>
      <c r="O5981" s="2" t="s">
        <v>56105</v>
      </c>
      <c r="P5981" s="3" t="s">
        <v>64</v>
      </c>
      <c r="R5981" s="3" t="s">
        <v>42369</v>
      </c>
      <c r="S5981" s="4">
        <v>10</v>
      </c>
      <c r="T5981" s="4">
        <v>275</v>
      </c>
      <c r="U5981" s="5" t="s">
        <v>13193</v>
      </c>
      <c r="V5981" s="5" t="s">
        <v>5030</v>
      </c>
      <c r="W5981" s="5" t="s">
        <v>67</v>
      </c>
      <c r="X5981" s="5" t="s">
        <v>67</v>
      </c>
      <c r="Y5981" s="4">
        <v>91</v>
      </c>
      <c r="Z5981" s="4">
        <v>8</v>
      </c>
      <c r="AA5981" s="4">
        <v>8</v>
      </c>
      <c r="AB5981" s="4">
        <v>2</v>
      </c>
      <c r="AC5981" s="4">
        <v>2</v>
      </c>
      <c r="AD5981" s="4">
        <v>3</v>
      </c>
      <c r="AE5981" s="4">
        <v>3</v>
      </c>
      <c r="AF5981" s="4">
        <v>0</v>
      </c>
      <c r="AG5981" s="4">
        <v>0</v>
      </c>
      <c r="AH5981" s="4">
        <v>3</v>
      </c>
      <c r="AI5981" s="4">
        <v>3</v>
      </c>
      <c r="AJ5981" s="4">
        <v>0</v>
      </c>
      <c r="AK5981" s="4">
        <v>0</v>
      </c>
      <c r="AL5981" s="4">
        <v>1</v>
      </c>
      <c r="AM5981" s="4">
        <v>1</v>
      </c>
      <c r="AN5981" s="4">
        <v>0</v>
      </c>
      <c r="AO5981" s="4">
        <v>0</v>
      </c>
      <c r="AP5981" s="4">
        <v>0</v>
      </c>
      <c r="AQ5981" s="4">
        <v>0</v>
      </c>
      <c r="AR5981" s="3" t="s">
        <v>62</v>
      </c>
      <c r="AS5981" s="3" t="s">
        <v>62</v>
      </c>
      <c r="AT5981" s="3" t="s">
        <v>62</v>
      </c>
      <c r="AV5981" s="6" t="str">
        <f t="shared" si="107"/>
        <v>Catalog Record</v>
      </c>
      <c r="AW5981" s="6" t="str">
        <f t="shared" si="108"/>
        <v>WorldCat Record</v>
      </c>
      <c r="AX5981" s="3" t="s">
        <v>56106</v>
      </c>
      <c r="AY5981" s="3" t="s">
        <v>56107</v>
      </c>
      <c r="AZ5981" s="3" t="s">
        <v>56108</v>
      </c>
      <c r="BA5981" s="3" t="s">
        <v>56108</v>
      </c>
      <c r="BB5981" s="3" t="s">
        <v>56113</v>
      </c>
      <c r="BC5981" s="3" t="s">
        <v>33640</v>
      </c>
      <c r="BD5981" s="3" t="s">
        <v>68</v>
      </c>
      <c r="BE5981" s="3" t="s">
        <v>56110</v>
      </c>
      <c r="BF5981" s="3" t="s">
        <v>56113</v>
      </c>
      <c r="BG5981" s="3" t="s">
        <v>56114</v>
      </c>
    </row>
    <row r="5982" spans="1:59" ht="87" x14ac:dyDescent="0.35">
      <c r="A5982" s="2" t="s">
        <v>89</v>
      </c>
      <c r="B5982" s="2" t="s">
        <v>42560</v>
      </c>
      <c r="C5982" s="2" t="s">
        <v>56100</v>
      </c>
      <c r="D5982" s="2" t="s">
        <v>56101</v>
      </c>
      <c r="E5982" s="2" t="s">
        <v>56102</v>
      </c>
      <c r="F5982" s="3" t="s">
        <v>56115</v>
      </c>
      <c r="G5982" s="3" t="s">
        <v>61</v>
      </c>
      <c r="I5982" s="3" t="s">
        <v>62</v>
      </c>
      <c r="J5982" s="3" t="s">
        <v>62</v>
      </c>
      <c r="K5982" s="3" t="s">
        <v>63</v>
      </c>
      <c r="M5982" s="2" t="s">
        <v>56104</v>
      </c>
      <c r="N5982" s="3" t="s">
        <v>655</v>
      </c>
      <c r="O5982" s="2" t="s">
        <v>56105</v>
      </c>
      <c r="P5982" s="3" t="s">
        <v>64</v>
      </c>
      <c r="R5982" s="3" t="s">
        <v>42369</v>
      </c>
      <c r="S5982" s="4">
        <v>16</v>
      </c>
      <c r="T5982" s="4">
        <v>275</v>
      </c>
      <c r="U5982" s="5" t="s">
        <v>7863</v>
      </c>
      <c r="V5982" s="5" t="s">
        <v>5030</v>
      </c>
      <c r="W5982" s="5" t="s">
        <v>67</v>
      </c>
      <c r="X5982" s="5" t="s">
        <v>67</v>
      </c>
      <c r="Y5982" s="4">
        <v>91</v>
      </c>
      <c r="Z5982" s="4">
        <v>8</v>
      </c>
      <c r="AA5982" s="4">
        <v>8</v>
      </c>
      <c r="AB5982" s="4">
        <v>2</v>
      </c>
      <c r="AC5982" s="4">
        <v>2</v>
      </c>
      <c r="AD5982" s="4">
        <v>3</v>
      </c>
      <c r="AE5982" s="4">
        <v>3</v>
      </c>
      <c r="AF5982" s="4">
        <v>0</v>
      </c>
      <c r="AG5982" s="4">
        <v>0</v>
      </c>
      <c r="AH5982" s="4">
        <v>3</v>
      </c>
      <c r="AI5982" s="4">
        <v>3</v>
      </c>
      <c r="AJ5982" s="4">
        <v>0</v>
      </c>
      <c r="AK5982" s="4">
        <v>0</v>
      </c>
      <c r="AL5982" s="4">
        <v>1</v>
      </c>
      <c r="AM5982" s="4">
        <v>1</v>
      </c>
      <c r="AN5982" s="4">
        <v>0</v>
      </c>
      <c r="AO5982" s="4">
        <v>0</v>
      </c>
      <c r="AP5982" s="4">
        <v>0</v>
      </c>
      <c r="AQ5982" s="4">
        <v>0</v>
      </c>
      <c r="AR5982" s="3" t="s">
        <v>62</v>
      </c>
      <c r="AS5982" s="3" t="s">
        <v>62</v>
      </c>
      <c r="AT5982" s="3" t="s">
        <v>62</v>
      </c>
      <c r="AV5982" s="6" t="str">
        <f t="shared" si="107"/>
        <v>Catalog Record</v>
      </c>
      <c r="AW5982" s="6" t="str">
        <f t="shared" si="108"/>
        <v>WorldCat Record</v>
      </c>
      <c r="AX5982" s="3" t="s">
        <v>56106</v>
      </c>
      <c r="AY5982" s="3" t="s">
        <v>56107</v>
      </c>
      <c r="AZ5982" s="3" t="s">
        <v>56108</v>
      </c>
      <c r="BA5982" s="3" t="s">
        <v>56108</v>
      </c>
      <c r="BB5982" s="3" t="s">
        <v>56116</v>
      </c>
      <c r="BC5982" s="3" t="s">
        <v>33640</v>
      </c>
      <c r="BD5982" s="3" t="s">
        <v>68</v>
      </c>
      <c r="BE5982" s="3" t="s">
        <v>56110</v>
      </c>
      <c r="BF5982" s="3" t="s">
        <v>56116</v>
      </c>
      <c r="BG5982" s="3" t="s">
        <v>56117</v>
      </c>
    </row>
    <row r="5983" spans="1:59" ht="87" x14ac:dyDescent="0.35">
      <c r="A5983" s="2" t="s">
        <v>89</v>
      </c>
      <c r="B5983" s="2" t="s">
        <v>42560</v>
      </c>
      <c r="C5983" s="2" t="s">
        <v>56100</v>
      </c>
      <c r="D5983" s="2" t="s">
        <v>56101</v>
      </c>
      <c r="E5983" s="2" t="s">
        <v>56102</v>
      </c>
      <c r="F5983" s="3" t="s">
        <v>56118</v>
      </c>
      <c r="G5983" s="3" t="s">
        <v>61</v>
      </c>
      <c r="I5983" s="3" t="s">
        <v>62</v>
      </c>
      <c r="J5983" s="3" t="s">
        <v>62</v>
      </c>
      <c r="K5983" s="3" t="s">
        <v>63</v>
      </c>
      <c r="M5983" s="2" t="s">
        <v>56104</v>
      </c>
      <c r="N5983" s="3" t="s">
        <v>655</v>
      </c>
      <c r="O5983" s="2" t="s">
        <v>56105</v>
      </c>
      <c r="P5983" s="3" t="s">
        <v>64</v>
      </c>
      <c r="R5983" s="3" t="s">
        <v>42369</v>
      </c>
      <c r="S5983" s="4">
        <v>30</v>
      </c>
      <c r="T5983" s="4">
        <v>275</v>
      </c>
      <c r="U5983" s="5" t="s">
        <v>36908</v>
      </c>
      <c r="V5983" s="5" t="s">
        <v>5030</v>
      </c>
      <c r="W5983" s="5" t="s">
        <v>67</v>
      </c>
      <c r="X5983" s="5" t="s">
        <v>67</v>
      </c>
      <c r="Y5983" s="4">
        <v>91</v>
      </c>
      <c r="Z5983" s="4">
        <v>8</v>
      </c>
      <c r="AA5983" s="4">
        <v>8</v>
      </c>
      <c r="AB5983" s="4">
        <v>2</v>
      </c>
      <c r="AC5983" s="4">
        <v>2</v>
      </c>
      <c r="AD5983" s="4">
        <v>3</v>
      </c>
      <c r="AE5983" s="4">
        <v>3</v>
      </c>
      <c r="AF5983" s="4">
        <v>0</v>
      </c>
      <c r="AG5983" s="4">
        <v>0</v>
      </c>
      <c r="AH5983" s="4">
        <v>3</v>
      </c>
      <c r="AI5983" s="4">
        <v>3</v>
      </c>
      <c r="AJ5983" s="4">
        <v>0</v>
      </c>
      <c r="AK5983" s="4">
        <v>0</v>
      </c>
      <c r="AL5983" s="4">
        <v>1</v>
      </c>
      <c r="AM5983" s="4">
        <v>1</v>
      </c>
      <c r="AN5983" s="4">
        <v>0</v>
      </c>
      <c r="AO5983" s="4">
        <v>0</v>
      </c>
      <c r="AP5983" s="4">
        <v>0</v>
      </c>
      <c r="AQ5983" s="4">
        <v>0</v>
      </c>
      <c r="AR5983" s="3" t="s">
        <v>62</v>
      </c>
      <c r="AS5983" s="3" t="s">
        <v>62</v>
      </c>
      <c r="AT5983" s="3" t="s">
        <v>62</v>
      </c>
      <c r="AV5983" s="6" t="str">
        <f t="shared" si="107"/>
        <v>Catalog Record</v>
      </c>
      <c r="AW5983" s="6" t="str">
        <f t="shared" si="108"/>
        <v>WorldCat Record</v>
      </c>
      <c r="AX5983" s="3" t="s">
        <v>56106</v>
      </c>
      <c r="AY5983" s="3" t="s">
        <v>56107</v>
      </c>
      <c r="AZ5983" s="3" t="s">
        <v>56108</v>
      </c>
      <c r="BA5983" s="3" t="s">
        <v>56108</v>
      </c>
      <c r="BB5983" s="3" t="s">
        <v>56119</v>
      </c>
      <c r="BC5983" s="3" t="s">
        <v>33640</v>
      </c>
      <c r="BD5983" s="3" t="s">
        <v>68</v>
      </c>
      <c r="BE5983" s="3" t="s">
        <v>56110</v>
      </c>
      <c r="BF5983" s="3" t="s">
        <v>56119</v>
      </c>
      <c r="BG5983" s="3" t="s">
        <v>56120</v>
      </c>
    </row>
    <row r="5984" spans="1:59" ht="87" x14ac:dyDescent="0.35">
      <c r="A5984" s="2" t="s">
        <v>89</v>
      </c>
      <c r="B5984" s="2" t="s">
        <v>42560</v>
      </c>
      <c r="C5984" s="2" t="s">
        <v>56100</v>
      </c>
      <c r="D5984" s="2" t="s">
        <v>56101</v>
      </c>
      <c r="E5984" s="2" t="s">
        <v>56102</v>
      </c>
      <c r="F5984" s="3" t="s">
        <v>56121</v>
      </c>
      <c r="G5984" s="3" t="s">
        <v>61</v>
      </c>
      <c r="I5984" s="3" t="s">
        <v>62</v>
      </c>
      <c r="J5984" s="3" t="s">
        <v>62</v>
      </c>
      <c r="K5984" s="3" t="s">
        <v>63</v>
      </c>
      <c r="M5984" s="2" t="s">
        <v>56104</v>
      </c>
      <c r="N5984" s="3" t="s">
        <v>655</v>
      </c>
      <c r="O5984" s="2" t="s">
        <v>56105</v>
      </c>
      <c r="P5984" s="3" t="s">
        <v>64</v>
      </c>
      <c r="R5984" s="3" t="s">
        <v>42369</v>
      </c>
      <c r="S5984" s="4">
        <v>11</v>
      </c>
      <c r="T5984" s="4">
        <v>275</v>
      </c>
      <c r="U5984" s="5" t="s">
        <v>13193</v>
      </c>
      <c r="V5984" s="5" t="s">
        <v>5030</v>
      </c>
      <c r="W5984" s="5" t="s">
        <v>67</v>
      </c>
      <c r="X5984" s="5" t="s">
        <v>67</v>
      </c>
      <c r="Y5984" s="4">
        <v>91</v>
      </c>
      <c r="Z5984" s="4">
        <v>8</v>
      </c>
      <c r="AA5984" s="4">
        <v>8</v>
      </c>
      <c r="AB5984" s="4">
        <v>2</v>
      </c>
      <c r="AC5984" s="4">
        <v>2</v>
      </c>
      <c r="AD5984" s="4">
        <v>3</v>
      </c>
      <c r="AE5984" s="4">
        <v>3</v>
      </c>
      <c r="AF5984" s="4">
        <v>0</v>
      </c>
      <c r="AG5984" s="4">
        <v>0</v>
      </c>
      <c r="AH5984" s="4">
        <v>3</v>
      </c>
      <c r="AI5984" s="4">
        <v>3</v>
      </c>
      <c r="AJ5984" s="4">
        <v>0</v>
      </c>
      <c r="AK5984" s="4">
        <v>0</v>
      </c>
      <c r="AL5984" s="4">
        <v>1</v>
      </c>
      <c r="AM5984" s="4">
        <v>1</v>
      </c>
      <c r="AN5984" s="4">
        <v>0</v>
      </c>
      <c r="AO5984" s="4">
        <v>0</v>
      </c>
      <c r="AP5984" s="4">
        <v>0</v>
      </c>
      <c r="AQ5984" s="4">
        <v>0</v>
      </c>
      <c r="AR5984" s="3" t="s">
        <v>62</v>
      </c>
      <c r="AS5984" s="3" t="s">
        <v>62</v>
      </c>
      <c r="AT5984" s="3" t="s">
        <v>62</v>
      </c>
      <c r="AV5984" s="6" t="str">
        <f t="shared" si="107"/>
        <v>Catalog Record</v>
      </c>
      <c r="AW5984" s="6" t="str">
        <f t="shared" si="108"/>
        <v>WorldCat Record</v>
      </c>
      <c r="AX5984" s="3" t="s">
        <v>56106</v>
      </c>
      <c r="AY5984" s="3" t="s">
        <v>56107</v>
      </c>
      <c r="AZ5984" s="3" t="s">
        <v>56108</v>
      </c>
      <c r="BA5984" s="3" t="s">
        <v>56108</v>
      </c>
      <c r="BB5984" s="3" t="s">
        <v>56122</v>
      </c>
      <c r="BC5984" s="3" t="s">
        <v>33640</v>
      </c>
      <c r="BD5984" s="3" t="s">
        <v>68</v>
      </c>
      <c r="BE5984" s="3" t="s">
        <v>56110</v>
      </c>
      <c r="BF5984" s="3" t="s">
        <v>56122</v>
      </c>
      <c r="BG5984" s="3" t="s">
        <v>56123</v>
      </c>
    </row>
    <row r="5985" spans="1:59" ht="87" x14ac:dyDescent="0.35">
      <c r="A5985" s="2" t="s">
        <v>89</v>
      </c>
      <c r="B5985" s="2" t="s">
        <v>42560</v>
      </c>
      <c r="C5985" s="2" t="s">
        <v>56100</v>
      </c>
      <c r="D5985" s="2" t="s">
        <v>56101</v>
      </c>
      <c r="E5985" s="2" t="s">
        <v>56102</v>
      </c>
      <c r="F5985" s="3" t="s">
        <v>56124</v>
      </c>
      <c r="G5985" s="3" t="s">
        <v>61</v>
      </c>
      <c r="I5985" s="3" t="s">
        <v>62</v>
      </c>
      <c r="J5985" s="3" t="s">
        <v>62</v>
      </c>
      <c r="K5985" s="3" t="s">
        <v>63</v>
      </c>
      <c r="M5985" s="2" t="s">
        <v>56104</v>
      </c>
      <c r="N5985" s="3" t="s">
        <v>655</v>
      </c>
      <c r="O5985" s="2" t="s">
        <v>56105</v>
      </c>
      <c r="P5985" s="3" t="s">
        <v>64</v>
      </c>
      <c r="R5985" s="3" t="s">
        <v>42369</v>
      </c>
      <c r="S5985" s="4">
        <v>10</v>
      </c>
      <c r="T5985" s="4">
        <v>275</v>
      </c>
      <c r="U5985" s="5" t="s">
        <v>23727</v>
      </c>
      <c r="V5985" s="5" t="s">
        <v>5030</v>
      </c>
      <c r="W5985" s="5" t="s">
        <v>67</v>
      </c>
      <c r="X5985" s="5" t="s">
        <v>67</v>
      </c>
      <c r="Y5985" s="4">
        <v>91</v>
      </c>
      <c r="Z5985" s="4">
        <v>8</v>
      </c>
      <c r="AA5985" s="4">
        <v>8</v>
      </c>
      <c r="AB5985" s="4">
        <v>2</v>
      </c>
      <c r="AC5985" s="4">
        <v>2</v>
      </c>
      <c r="AD5985" s="4">
        <v>3</v>
      </c>
      <c r="AE5985" s="4">
        <v>3</v>
      </c>
      <c r="AF5985" s="4">
        <v>0</v>
      </c>
      <c r="AG5985" s="4">
        <v>0</v>
      </c>
      <c r="AH5985" s="4">
        <v>3</v>
      </c>
      <c r="AI5985" s="4">
        <v>3</v>
      </c>
      <c r="AJ5985" s="4">
        <v>0</v>
      </c>
      <c r="AK5985" s="4">
        <v>0</v>
      </c>
      <c r="AL5985" s="4">
        <v>1</v>
      </c>
      <c r="AM5985" s="4">
        <v>1</v>
      </c>
      <c r="AN5985" s="4">
        <v>0</v>
      </c>
      <c r="AO5985" s="4">
        <v>0</v>
      </c>
      <c r="AP5985" s="4">
        <v>0</v>
      </c>
      <c r="AQ5985" s="4">
        <v>0</v>
      </c>
      <c r="AR5985" s="3" t="s">
        <v>62</v>
      </c>
      <c r="AS5985" s="3" t="s">
        <v>62</v>
      </c>
      <c r="AT5985" s="3" t="s">
        <v>62</v>
      </c>
      <c r="AV5985" s="6" t="str">
        <f t="shared" si="107"/>
        <v>Catalog Record</v>
      </c>
      <c r="AW5985" s="6" t="str">
        <f t="shared" si="108"/>
        <v>WorldCat Record</v>
      </c>
      <c r="AX5985" s="3" t="s">
        <v>56106</v>
      </c>
      <c r="AY5985" s="3" t="s">
        <v>56107</v>
      </c>
      <c r="AZ5985" s="3" t="s">
        <v>56108</v>
      </c>
      <c r="BA5985" s="3" t="s">
        <v>56108</v>
      </c>
      <c r="BB5985" s="3" t="s">
        <v>56125</v>
      </c>
      <c r="BC5985" s="3" t="s">
        <v>33640</v>
      </c>
      <c r="BD5985" s="3" t="s">
        <v>68</v>
      </c>
      <c r="BE5985" s="3" t="s">
        <v>56110</v>
      </c>
      <c r="BF5985" s="3" t="s">
        <v>56125</v>
      </c>
      <c r="BG5985" s="3" t="s">
        <v>56126</v>
      </c>
    </row>
    <row r="5986" spans="1:59" ht="87" x14ac:dyDescent="0.35">
      <c r="A5986" s="2" t="s">
        <v>89</v>
      </c>
      <c r="B5986" s="2" t="s">
        <v>42560</v>
      </c>
      <c r="C5986" s="2" t="s">
        <v>56100</v>
      </c>
      <c r="D5986" s="2" t="s">
        <v>56101</v>
      </c>
      <c r="E5986" s="2" t="s">
        <v>56102</v>
      </c>
      <c r="F5986" s="3" t="s">
        <v>56127</v>
      </c>
      <c r="G5986" s="3" t="s">
        <v>61</v>
      </c>
      <c r="I5986" s="3" t="s">
        <v>62</v>
      </c>
      <c r="J5986" s="3" t="s">
        <v>62</v>
      </c>
      <c r="K5986" s="3" t="s">
        <v>63</v>
      </c>
      <c r="M5986" s="2" t="s">
        <v>56104</v>
      </c>
      <c r="N5986" s="3" t="s">
        <v>655</v>
      </c>
      <c r="O5986" s="2" t="s">
        <v>56105</v>
      </c>
      <c r="P5986" s="3" t="s">
        <v>64</v>
      </c>
      <c r="R5986" s="3" t="s">
        <v>42369</v>
      </c>
      <c r="S5986" s="4">
        <v>16</v>
      </c>
      <c r="T5986" s="4">
        <v>275</v>
      </c>
      <c r="U5986" s="5" t="s">
        <v>13193</v>
      </c>
      <c r="V5986" s="5" t="s">
        <v>5030</v>
      </c>
      <c r="W5986" s="5" t="s">
        <v>67</v>
      </c>
      <c r="X5986" s="5" t="s">
        <v>67</v>
      </c>
      <c r="Y5986" s="4">
        <v>91</v>
      </c>
      <c r="Z5986" s="4">
        <v>8</v>
      </c>
      <c r="AA5986" s="4">
        <v>8</v>
      </c>
      <c r="AB5986" s="4">
        <v>2</v>
      </c>
      <c r="AC5986" s="4">
        <v>2</v>
      </c>
      <c r="AD5986" s="4">
        <v>3</v>
      </c>
      <c r="AE5986" s="4">
        <v>3</v>
      </c>
      <c r="AF5986" s="4">
        <v>0</v>
      </c>
      <c r="AG5986" s="4">
        <v>0</v>
      </c>
      <c r="AH5986" s="4">
        <v>3</v>
      </c>
      <c r="AI5986" s="4">
        <v>3</v>
      </c>
      <c r="AJ5986" s="4">
        <v>0</v>
      </c>
      <c r="AK5986" s="4">
        <v>0</v>
      </c>
      <c r="AL5986" s="4">
        <v>1</v>
      </c>
      <c r="AM5986" s="4">
        <v>1</v>
      </c>
      <c r="AN5986" s="4">
        <v>0</v>
      </c>
      <c r="AO5986" s="4">
        <v>0</v>
      </c>
      <c r="AP5986" s="4">
        <v>0</v>
      </c>
      <c r="AQ5986" s="4">
        <v>0</v>
      </c>
      <c r="AR5986" s="3" t="s">
        <v>62</v>
      </c>
      <c r="AS5986" s="3" t="s">
        <v>62</v>
      </c>
      <c r="AT5986" s="3" t="s">
        <v>62</v>
      </c>
      <c r="AV5986" s="6" t="str">
        <f t="shared" si="107"/>
        <v>Catalog Record</v>
      </c>
      <c r="AW5986" s="6" t="str">
        <f t="shared" si="108"/>
        <v>WorldCat Record</v>
      </c>
      <c r="AX5986" s="3" t="s">
        <v>56106</v>
      </c>
      <c r="AY5986" s="3" t="s">
        <v>56107</v>
      </c>
      <c r="AZ5986" s="3" t="s">
        <v>56108</v>
      </c>
      <c r="BA5986" s="3" t="s">
        <v>56108</v>
      </c>
      <c r="BB5986" s="3" t="s">
        <v>56128</v>
      </c>
      <c r="BC5986" s="3" t="s">
        <v>33640</v>
      </c>
      <c r="BD5986" s="3" t="s">
        <v>68</v>
      </c>
      <c r="BE5986" s="3" t="s">
        <v>56110</v>
      </c>
      <c r="BF5986" s="3" t="s">
        <v>56128</v>
      </c>
      <c r="BG5986" s="3" t="s">
        <v>56129</v>
      </c>
    </row>
    <row r="5987" spans="1:59" ht="87" x14ac:dyDescent="0.35">
      <c r="A5987" s="2" t="s">
        <v>89</v>
      </c>
      <c r="B5987" s="2" t="s">
        <v>42560</v>
      </c>
      <c r="C5987" s="2" t="s">
        <v>56100</v>
      </c>
      <c r="D5987" s="2" t="s">
        <v>56101</v>
      </c>
      <c r="E5987" s="2" t="s">
        <v>56102</v>
      </c>
      <c r="F5987" s="3" t="s">
        <v>56130</v>
      </c>
      <c r="G5987" s="3" t="s">
        <v>61</v>
      </c>
      <c r="I5987" s="3" t="s">
        <v>62</v>
      </c>
      <c r="J5987" s="3" t="s">
        <v>62</v>
      </c>
      <c r="K5987" s="3" t="s">
        <v>63</v>
      </c>
      <c r="M5987" s="2" t="s">
        <v>56104</v>
      </c>
      <c r="N5987" s="3" t="s">
        <v>655</v>
      </c>
      <c r="O5987" s="2" t="s">
        <v>56105</v>
      </c>
      <c r="P5987" s="3" t="s">
        <v>64</v>
      </c>
      <c r="R5987" s="3" t="s">
        <v>42369</v>
      </c>
      <c r="S5987" s="4">
        <v>7</v>
      </c>
      <c r="T5987" s="4">
        <v>275</v>
      </c>
      <c r="U5987" s="5" t="s">
        <v>56131</v>
      </c>
      <c r="V5987" s="5" t="s">
        <v>5030</v>
      </c>
      <c r="W5987" s="5" t="s">
        <v>67</v>
      </c>
      <c r="X5987" s="5" t="s">
        <v>67</v>
      </c>
      <c r="Y5987" s="4">
        <v>91</v>
      </c>
      <c r="Z5987" s="4">
        <v>8</v>
      </c>
      <c r="AA5987" s="4">
        <v>8</v>
      </c>
      <c r="AB5987" s="4">
        <v>2</v>
      </c>
      <c r="AC5987" s="4">
        <v>2</v>
      </c>
      <c r="AD5987" s="4">
        <v>3</v>
      </c>
      <c r="AE5987" s="4">
        <v>3</v>
      </c>
      <c r="AF5987" s="4">
        <v>0</v>
      </c>
      <c r="AG5987" s="4">
        <v>0</v>
      </c>
      <c r="AH5987" s="4">
        <v>3</v>
      </c>
      <c r="AI5987" s="4">
        <v>3</v>
      </c>
      <c r="AJ5987" s="4">
        <v>0</v>
      </c>
      <c r="AK5987" s="4">
        <v>0</v>
      </c>
      <c r="AL5987" s="4">
        <v>1</v>
      </c>
      <c r="AM5987" s="4">
        <v>1</v>
      </c>
      <c r="AN5987" s="4">
        <v>0</v>
      </c>
      <c r="AO5987" s="4">
        <v>0</v>
      </c>
      <c r="AP5987" s="4">
        <v>0</v>
      </c>
      <c r="AQ5987" s="4">
        <v>0</v>
      </c>
      <c r="AR5987" s="3" t="s">
        <v>62</v>
      </c>
      <c r="AS5987" s="3" t="s">
        <v>62</v>
      </c>
      <c r="AT5987" s="3" t="s">
        <v>62</v>
      </c>
      <c r="AV5987" s="6" t="str">
        <f t="shared" si="107"/>
        <v>Catalog Record</v>
      </c>
      <c r="AW5987" s="6" t="str">
        <f t="shared" si="108"/>
        <v>WorldCat Record</v>
      </c>
      <c r="AX5987" s="3" t="s">
        <v>56106</v>
      </c>
      <c r="AY5987" s="3" t="s">
        <v>56107</v>
      </c>
      <c r="AZ5987" s="3" t="s">
        <v>56108</v>
      </c>
      <c r="BA5987" s="3" t="s">
        <v>56108</v>
      </c>
      <c r="BB5987" s="3" t="s">
        <v>56132</v>
      </c>
      <c r="BC5987" s="3" t="s">
        <v>33640</v>
      </c>
      <c r="BD5987" s="3" t="s">
        <v>68</v>
      </c>
      <c r="BE5987" s="3" t="s">
        <v>56110</v>
      </c>
      <c r="BF5987" s="3" t="s">
        <v>56132</v>
      </c>
      <c r="BG5987" s="3" t="s">
        <v>56133</v>
      </c>
    </row>
    <row r="5988" spans="1:59" ht="87" x14ac:dyDescent="0.35">
      <c r="A5988" s="2" t="s">
        <v>89</v>
      </c>
      <c r="B5988" s="2" t="s">
        <v>42560</v>
      </c>
      <c r="C5988" s="2" t="s">
        <v>56100</v>
      </c>
      <c r="D5988" s="2" t="s">
        <v>56101</v>
      </c>
      <c r="E5988" s="2" t="s">
        <v>56102</v>
      </c>
      <c r="F5988" s="3" t="s">
        <v>56134</v>
      </c>
      <c r="G5988" s="3" t="s">
        <v>61</v>
      </c>
      <c r="I5988" s="3" t="s">
        <v>62</v>
      </c>
      <c r="J5988" s="3" t="s">
        <v>62</v>
      </c>
      <c r="K5988" s="3" t="s">
        <v>63</v>
      </c>
      <c r="M5988" s="2" t="s">
        <v>56104</v>
      </c>
      <c r="N5988" s="3" t="s">
        <v>655</v>
      </c>
      <c r="O5988" s="2" t="s">
        <v>56105</v>
      </c>
      <c r="P5988" s="3" t="s">
        <v>64</v>
      </c>
      <c r="R5988" s="3" t="s">
        <v>42369</v>
      </c>
      <c r="S5988" s="4">
        <v>11</v>
      </c>
      <c r="T5988" s="4">
        <v>275</v>
      </c>
      <c r="U5988" s="5" t="s">
        <v>5299</v>
      </c>
      <c r="V5988" s="5" t="s">
        <v>5030</v>
      </c>
      <c r="W5988" s="5" t="s">
        <v>67</v>
      </c>
      <c r="X5988" s="5" t="s">
        <v>67</v>
      </c>
      <c r="Y5988" s="4">
        <v>91</v>
      </c>
      <c r="Z5988" s="4">
        <v>8</v>
      </c>
      <c r="AA5988" s="4">
        <v>8</v>
      </c>
      <c r="AB5988" s="4">
        <v>2</v>
      </c>
      <c r="AC5988" s="4">
        <v>2</v>
      </c>
      <c r="AD5988" s="4">
        <v>3</v>
      </c>
      <c r="AE5988" s="4">
        <v>3</v>
      </c>
      <c r="AF5988" s="4">
        <v>0</v>
      </c>
      <c r="AG5988" s="4">
        <v>0</v>
      </c>
      <c r="AH5988" s="4">
        <v>3</v>
      </c>
      <c r="AI5988" s="4">
        <v>3</v>
      </c>
      <c r="AJ5988" s="4">
        <v>0</v>
      </c>
      <c r="AK5988" s="4">
        <v>0</v>
      </c>
      <c r="AL5988" s="4">
        <v>1</v>
      </c>
      <c r="AM5988" s="4">
        <v>1</v>
      </c>
      <c r="AN5988" s="4">
        <v>0</v>
      </c>
      <c r="AO5988" s="4">
        <v>0</v>
      </c>
      <c r="AP5988" s="4">
        <v>0</v>
      </c>
      <c r="AQ5988" s="4">
        <v>0</v>
      </c>
      <c r="AR5988" s="3" t="s">
        <v>62</v>
      </c>
      <c r="AS5988" s="3" t="s">
        <v>62</v>
      </c>
      <c r="AT5988" s="3" t="s">
        <v>62</v>
      </c>
      <c r="AV5988" s="6" t="str">
        <f t="shared" si="107"/>
        <v>Catalog Record</v>
      </c>
      <c r="AW5988" s="6" t="str">
        <f t="shared" si="108"/>
        <v>WorldCat Record</v>
      </c>
      <c r="AX5988" s="3" t="s">
        <v>56106</v>
      </c>
      <c r="AY5988" s="3" t="s">
        <v>56107</v>
      </c>
      <c r="AZ5988" s="3" t="s">
        <v>56108</v>
      </c>
      <c r="BA5988" s="3" t="s">
        <v>56108</v>
      </c>
      <c r="BB5988" s="3" t="s">
        <v>56135</v>
      </c>
      <c r="BC5988" s="3" t="s">
        <v>33640</v>
      </c>
      <c r="BD5988" s="3" t="s">
        <v>68</v>
      </c>
      <c r="BE5988" s="3" t="s">
        <v>56110</v>
      </c>
      <c r="BF5988" s="3" t="s">
        <v>56135</v>
      </c>
      <c r="BG5988" s="3" t="s">
        <v>56136</v>
      </c>
    </row>
    <row r="5989" spans="1:59" ht="87" x14ac:dyDescent="0.35">
      <c r="A5989" s="2" t="s">
        <v>89</v>
      </c>
      <c r="B5989" s="2" t="s">
        <v>42560</v>
      </c>
      <c r="C5989" s="2" t="s">
        <v>56100</v>
      </c>
      <c r="D5989" s="2" t="s">
        <v>56101</v>
      </c>
      <c r="E5989" s="2" t="s">
        <v>56102</v>
      </c>
      <c r="F5989" s="3" t="s">
        <v>56137</v>
      </c>
      <c r="G5989" s="3" t="s">
        <v>61</v>
      </c>
      <c r="I5989" s="3" t="s">
        <v>62</v>
      </c>
      <c r="J5989" s="3" t="s">
        <v>62</v>
      </c>
      <c r="K5989" s="3" t="s">
        <v>63</v>
      </c>
      <c r="M5989" s="2" t="s">
        <v>56104</v>
      </c>
      <c r="N5989" s="3" t="s">
        <v>655</v>
      </c>
      <c r="O5989" s="2" t="s">
        <v>56105</v>
      </c>
      <c r="P5989" s="3" t="s">
        <v>64</v>
      </c>
      <c r="R5989" s="3" t="s">
        <v>42369</v>
      </c>
      <c r="S5989" s="4">
        <v>7</v>
      </c>
      <c r="T5989" s="4">
        <v>275</v>
      </c>
      <c r="U5989" s="5" t="s">
        <v>13193</v>
      </c>
      <c r="V5989" s="5" t="s">
        <v>5030</v>
      </c>
      <c r="W5989" s="5" t="s">
        <v>67</v>
      </c>
      <c r="X5989" s="5" t="s">
        <v>67</v>
      </c>
      <c r="Y5989" s="4">
        <v>91</v>
      </c>
      <c r="Z5989" s="4">
        <v>8</v>
      </c>
      <c r="AA5989" s="4">
        <v>8</v>
      </c>
      <c r="AB5989" s="4">
        <v>2</v>
      </c>
      <c r="AC5989" s="4">
        <v>2</v>
      </c>
      <c r="AD5989" s="4">
        <v>3</v>
      </c>
      <c r="AE5989" s="4">
        <v>3</v>
      </c>
      <c r="AF5989" s="4">
        <v>0</v>
      </c>
      <c r="AG5989" s="4">
        <v>0</v>
      </c>
      <c r="AH5989" s="4">
        <v>3</v>
      </c>
      <c r="AI5989" s="4">
        <v>3</v>
      </c>
      <c r="AJ5989" s="4">
        <v>0</v>
      </c>
      <c r="AK5989" s="4">
        <v>0</v>
      </c>
      <c r="AL5989" s="4">
        <v>1</v>
      </c>
      <c r="AM5989" s="4">
        <v>1</v>
      </c>
      <c r="AN5989" s="4">
        <v>0</v>
      </c>
      <c r="AO5989" s="4">
        <v>0</v>
      </c>
      <c r="AP5989" s="4">
        <v>0</v>
      </c>
      <c r="AQ5989" s="4">
        <v>0</v>
      </c>
      <c r="AR5989" s="3" t="s">
        <v>62</v>
      </c>
      <c r="AS5989" s="3" t="s">
        <v>62</v>
      </c>
      <c r="AT5989" s="3" t="s">
        <v>62</v>
      </c>
      <c r="AV5989" s="6" t="str">
        <f t="shared" si="107"/>
        <v>Catalog Record</v>
      </c>
      <c r="AW5989" s="6" t="str">
        <f t="shared" si="108"/>
        <v>WorldCat Record</v>
      </c>
      <c r="AX5989" s="3" t="s">
        <v>56106</v>
      </c>
      <c r="AY5989" s="3" t="s">
        <v>56107</v>
      </c>
      <c r="AZ5989" s="3" t="s">
        <v>56108</v>
      </c>
      <c r="BA5989" s="3" t="s">
        <v>56108</v>
      </c>
      <c r="BB5989" s="3" t="s">
        <v>56138</v>
      </c>
      <c r="BC5989" s="3" t="s">
        <v>33640</v>
      </c>
      <c r="BD5989" s="3" t="s">
        <v>68</v>
      </c>
      <c r="BE5989" s="3" t="s">
        <v>56110</v>
      </c>
      <c r="BF5989" s="3" t="s">
        <v>56138</v>
      </c>
      <c r="BG5989" s="3" t="s">
        <v>56139</v>
      </c>
    </row>
    <row r="5990" spans="1:59" ht="87" x14ac:dyDescent="0.35">
      <c r="A5990" s="2" t="s">
        <v>89</v>
      </c>
      <c r="B5990" s="2" t="s">
        <v>42560</v>
      </c>
      <c r="C5990" s="2" t="s">
        <v>56140</v>
      </c>
      <c r="D5990" s="2" t="s">
        <v>56141</v>
      </c>
      <c r="E5990" s="2" t="s">
        <v>56142</v>
      </c>
      <c r="G5990" s="3" t="s">
        <v>62</v>
      </c>
      <c r="I5990" s="3" t="s">
        <v>62</v>
      </c>
      <c r="J5990" s="3" t="s">
        <v>62</v>
      </c>
      <c r="K5990" s="3" t="s">
        <v>63</v>
      </c>
      <c r="M5990" s="2" t="s">
        <v>56143</v>
      </c>
      <c r="N5990" s="3" t="s">
        <v>553</v>
      </c>
      <c r="P5990" s="3" t="s">
        <v>64</v>
      </c>
      <c r="R5990" s="3" t="s">
        <v>34126</v>
      </c>
      <c r="S5990" s="4">
        <v>38</v>
      </c>
      <c r="T5990" s="4">
        <v>38</v>
      </c>
      <c r="U5990" s="5" t="s">
        <v>33394</v>
      </c>
      <c r="V5990" s="5" t="s">
        <v>33394</v>
      </c>
      <c r="W5990" s="5" t="s">
        <v>67</v>
      </c>
      <c r="X5990" s="5" t="s">
        <v>67</v>
      </c>
      <c r="Y5990" s="4">
        <v>233</v>
      </c>
      <c r="Z5990" s="4">
        <v>4</v>
      </c>
      <c r="AA5990" s="4">
        <v>22</v>
      </c>
      <c r="AB5990" s="4">
        <v>1</v>
      </c>
      <c r="AC5990" s="4">
        <v>2</v>
      </c>
      <c r="AD5990" s="4">
        <v>12</v>
      </c>
      <c r="AE5990" s="4">
        <v>20</v>
      </c>
      <c r="AF5990" s="4">
        <v>0</v>
      </c>
      <c r="AG5990" s="4">
        <v>0</v>
      </c>
      <c r="AH5990" s="4">
        <v>12</v>
      </c>
      <c r="AI5990" s="4">
        <v>18</v>
      </c>
      <c r="AJ5990" s="4">
        <v>0</v>
      </c>
      <c r="AK5990" s="4">
        <v>1</v>
      </c>
      <c r="AL5990" s="4">
        <v>4</v>
      </c>
      <c r="AM5990" s="4">
        <v>9</v>
      </c>
      <c r="AN5990" s="4">
        <v>0</v>
      </c>
      <c r="AO5990" s="4">
        <v>0</v>
      </c>
      <c r="AP5990" s="4">
        <v>0</v>
      </c>
      <c r="AQ5990" s="4">
        <v>1</v>
      </c>
      <c r="AR5990" s="3" t="s">
        <v>62</v>
      </c>
      <c r="AS5990" s="3" t="s">
        <v>62</v>
      </c>
      <c r="AT5990" s="3" t="s">
        <v>62</v>
      </c>
      <c r="AV5990" s="6" t="str">
        <f>HYPERLINK("http://mcgill.on.worldcat.org/oclc/44054936","Catalog Record")</f>
        <v>Catalog Record</v>
      </c>
      <c r="AW5990" s="6" t="str">
        <f>HYPERLINK("http://www.worldcat.org/oclc/44054936","WorldCat Record")</f>
        <v>WorldCat Record</v>
      </c>
      <c r="AX5990" s="3" t="s">
        <v>56144</v>
      </c>
      <c r="AY5990" s="3" t="s">
        <v>56145</v>
      </c>
      <c r="AZ5990" s="3" t="s">
        <v>56146</v>
      </c>
      <c r="BA5990" s="3" t="s">
        <v>56146</v>
      </c>
      <c r="BB5990" s="3" t="s">
        <v>56147</v>
      </c>
      <c r="BC5990" s="3" t="s">
        <v>33640</v>
      </c>
      <c r="BD5990" s="3" t="s">
        <v>68</v>
      </c>
      <c r="BE5990" s="3" t="s">
        <v>56148</v>
      </c>
      <c r="BF5990" s="3" t="s">
        <v>56147</v>
      </c>
      <c r="BG5990" s="3" t="s">
        <v>56149</v>
      </c>
    </row>
    <row r="5991" spans="1:59" ht="87" x14ac:dyDescent="0.35">
      <c r="A5991" s="2" t="s">
        <v>89</v>
      </c>
      <c r="B5991" s="2" t="s">
        <v>42560</v>
      </c>
      <c r="C5991" s="2" t="s">
        <v>56150</v>
      </c>
      <c r="D5991" s="2" t="s">
        <v>56151</v>
      </c>
      <c r="E5991" s="2" t="s">
        <v>56152</v>
      </c>
      <c r="F5991" s="3" t="s">
        <v>56153</v>
      </c>
      <c r="G5991" s="3" t="s">
        <v>61</v>
      </c>
      <c r="I5991" s="3" t="s">
        <v>62</v>
      </c>
      <c r="J5991" s="3" t="s">
        <v>62</v>
      </c>
      <c r="K5991" s="3" t="s">
        <v>63</v>
      </c>
      <c r="L5991" s="2" t="s">
        <v>56154</v>
      </c>
      <c r="M5991" s="2" t="s">
        <v>56155</v>
      </c>
      <c r="N5991" s="3" t="s">
        <v>1195</v>
      </c>
      <c r="P5991" s="3" t="s">
        <v>64</v>
      </c>
      <c r="R5991" s="3" t="s">
        <v>42369</v>
      </c>
      <c r="S5991" s="4">
        <v>18</v>
      </c>
      <c r="T5991" s="4">
        <v>90</v>
      </c>
      <c r="U5991" s="5" t="s">
        <v>2885</v>
      </c>
      <c r="V5991" s="5" t="s">
        <v>5160</v>
      </c>
      <c r="W5991" s="5" t="s">
        <v>67</v>
      </c>
      <c r="X5991" s="5" t="s">
        <v>67</v>
      </c>
      <c r="Y5991" s="4">
        <v>2</v>
      </c>
      <c r="Z5991" s="4">
        <v>1</v>
      </c>
      <c r="AA5991" s="4">
        <v>9</v>
      </c>
      <c r="AB5991" s="4">
        <v>1</v>
      </c>
      <c r="AC5991" s="4">
        <v>1</v>
      </c>
      <c r="AD5991" s="4">
        <v>1</v>
      </c>
      <c r="AE5991" s="4">
        <v>10</v>
      </c>
      <c r="AF5991" s="4">
        <v>0</v>
      </c>
      <c r="AG5991" s="4">
        <v>0</v>
      </c>
      <c r="AH5991" s="4">
        <v>1</v>
      </c>
      <c r="AI5991" s="4">
        <v>9</v>
      </c>
      <c r="AJ5991" s="4">
        <v>0</v>
      </c>
      <c r="AK5991" s="4">
        <v>4</v>
      </c>
      <c r="AL5991" s="4">
        <v>1</v>
      </c>
      <c r="AM5991" s="4">
        <v>6</v>
      </c>
      <c r="AN5991" s="4">
        <v>0</v>
      </c>
      <c r="AO5991" s="4">
        <v>0</v>
      </c>
      <c r="AP5991" s="4">
        <v>0</v>
      </c>
      <c r="AQ5991" s="4">
        <v>4</v>
      </c>
      <c r="AR5991" s="3" t="s">
        <v>61</v>
      </c>
      <c r="AS5991" s="3" t="s">
        <v>62</v>
      </c>
      <c r="AT5991" s="3" t="s">
        <v>62</v>
      </c>
      <c r="AV5991" s="6" t="str">
        <f>HYPERLINK("http://mcgill.on.worldcat.org/oclc/253712559","Catalog Record")</f>
        <v>Catalog Record</v>
      </c>
      <c r="AW5991" s="6" t="str">
        <f>HYPERLINK("http://www.worldcat.org/oclc/253712559","WorldCat Record")</f>
        <v>WorldCat Record</v>
      </c>
      <c r="AX5991" s="3" t="s">
        <v>56156</v>
      </c>
      <c r="AY5991" s="3" t="s">
        <v>56157</v>
      </c>
      <c r="AZ5991" s="3" t="s">
        <v>56158</v>
      </c>
      <c r="BA5991" s="3" t="s">
        <v>56158</v>
      </c>
      <c r="BB5991" s="3" t="s">
        <v>56159</v>
      </c>
      <c r="BC5991" s="3" t="s">
        <v>33640</v>
      </c>
      <c r="BD5991" s="3" t="s">
        <v>68</v>
      </c>
      <c r="BF5991" s="3" t="s">
        <v>56159</v>
      </c>
      <c r="BG5991" s="3" t="s">
        <v>56160</v>
      </c>
    </row>
    <row r="5992" spans="1:59" ht="87" x14ac:dyDescent="0.35">
      <c r="A5992" s="2" t="s">
        <v>89</v>
      </c>
      <c r="B5992" s="2" t="s">
        <v>42560</v>
      </c>
      <c r="C5992" s="2" t="s">
        <v>56150</v>
      </c>
      <c r="D5992" s="2" t="s">
        <v>56151</v>
      </c>
      <c r="E5992" s="2" t="s">
        <v>56152</v>
      </c>
      <c r="F5992" s="3" t="s">
        <v>56161</v>
      </c>
      <c r="G5992" s="3" t="s">
        <v>61</v>
      </c>
      <c r="I5992" s="3" t="s">
        <v>62</v>
      </c>
      <c r="J5992" s="3" t="s">
        <v>62</v>
      </c>
      <c r="K5992" s="3" t="s">
        <v>63</v>
      </c>
      <c r="L5992" s="2" t="s">
        <v>56154</v>
      </c>
      <c r="M5992" s="2" t="s">
        <v>56155</v>
      </c>
      <c r="N5992" s="3" t="s">
        <v>1195</v>
      </c>
      <c r="P5992" s="3" t="s">
        <v>64</v>
      </c>
      <c r="R5992" s="3" t="s">
        <v>42369</v>
      </c>
      <c r="S5992" s="4">
        <v>15</v>
      </c>
      <c r="T5992" s="4">
        <v>90</v>
      </c>
      <c r="U5992" s="5" t="s">
        <v>16753</v>
      </c>
      <c r="V5992" s="5" t="s">
        <v>5160</v>
      </c>
      <c r="W5992" s="5" t="s">
        <v>67</v>
      </c>
      <c r="X5992" s="5" t="s">
        <v>67</v>
      </c>
      <c r="Y5992" s="4">
        <v>2</v>
      </c>
      <c r="Z5992" s="4">
        <v>1</v>
      </c>
      <c r="AA5992" s="4">
        <v>9</v>
      </c>
      <c r="AB5992" s="4">
        <v>1</v>
      </c>
      <c r="AC5992" s="4">
        <v>1</v>
      </c>
      <c r="AD5992" s="4">
        <v>1</v>
      </c>
      <c r="AE5992" s="4">
        <v>10</v>
      </c>
      <c r="AF5992" s="4">
        <v>0</v>
      </c>
      <c r="AG5992" s="4">
        <v>0</v>
      </c>
      <c r="AH5992" s="4">
        <v>1</v>
      </c>
      <c r="AI5992" s="4">
        <v>9</v>
      </c>
      <c r="AJ5992" s="4">
        <v>0</v>
      </c>
      <c r="AK5992" s="4">
        <v>4</v>
      </c>
      <c r="AL5992" s="4">
        <v>1</v>
      </c>
      <c r="AM5992" s="4">
        <v>6</v>
      </c>
      <c r="AN5992" s="4">
        <v>0</v>
      </c>
      <c r="AO5992" s="4">
        <v>0</v>
      </c>
      <c r="AP5992" s="4">
        <v>0</v>
      </c>
      <c r="AQ5992" s="4">
        <v>4</v>
      </c>
      <c r="AR5992" s="3" t="s">
        <v>61</v>
      </c>
      <c r="AS5992" s="3" t="s">
        <v>62</v>
      </c>
      <c r="AT5992" s="3" t="s">
        <v>62</v>
      </c>
      <c r="AV5992" s="6" t="str">
        <f>HYPERLINK("http://mcgill.on.worldcat.org/oclc/253712559","Catalog Record")</f>
        <v>Catalog Record</v>
      </c>
      <c r="AW5992" s="6" t="str">
        <f>HYPERLINK("http://www.worldcat.org/oclc/253712559","WorldCat Record")</f>
        <v>WorldCat Record</v>
      </c>
      <c r="AX5992" s="3" t="s">
        <v>56156</v>
      </c>
      <c r="AY5992" s="3" t="s">
        <v>56157</v>
      </c>
      <c r="AZ5992" s="3" t="s">
        <v>56158</v>
      </c>
      <c r="BA5992" s="3" t="s">
        <v>56158</v>
      </c>
      <c r="BB5992" s="3" t="s">
        <v>56162</v>
      </c>
      <c r="BC5992" s="3" t="s">
        <v>33640</v>
      </c>
      <c r="BD5992" s="3" t="s">
        <v>68</v>
      </c>
      <c r="BF5992" s="3" t="s">
        <v>56162</v>
      </c>
      <c r="BG5992" s="3" t="s">
        <v>56163</v>
      </c>
    </row>
    <row r="5993" spans="1:59" ht="87" x14ac:dyDescent="0.35">
      <c r="A5993" s="2" t="s">
        <v>89</v>
      </c>
      <c r="B5993" s="2" t="s">
        <v>42560</v>
      </c>
      <c r="C5993" s="2" t="s">
        <v>56150</v>
      </c>
      <c r="D5993" s="2" t="s">
        <v>56151</v>
      </c>
      <c r="E5993" s="2" t="s">
        <v>56152</v>
      </c>
      <c r="F5993" s="3" t="s">
        <v>56164</v>
      </c>
      <c r="G5993" s="3" t="s">
        <v>61</v>
      </c>
      <c r="I5993" s="3" t="s">
        <v>62</v>
      </c>
      <c r="J5993" s="3" t="s">
        <v>62</v>
      </c>
      <c r="K5993" s="3" t="s">
        <v>63</v>
      </c>
      <c r="L5993" s="2" t="s">
        <v>56154</v>
      </c>
      <c r="M5993" s="2" t="s">
        <v>56155</v>
      </c>
      <c r="N5993" s="3" t="s">
        <v>1195</v>
      </c>
      <c r="P5993" s="3" t="s">
        <v>64</v>
      </c>
      <c r="R5993" s="3" t="s">
        <v>42369</v>
      </c>
      <c r="S5993" s="4">
        <v>18</v>
      </c>
      <c r="T5993" s="4">
        <v>90</v>
      </c>
      <c r="U5993" s="5" t="s">
        <v>15136</v>
      </c>
      <c r="V5993" s="5" t="s">
        <v>5160</v>
      </c>
      <c r="W5993" s="5" t="s">
        <v>67</v>
      </c>
      <c r="X5993" s="5" t="s">
        <v>67</v>
      </c>
      <c r="Y5993" s="4">
        <v>2</v>
      </c>
      <c r="Z5993" s="4">
        <v>1</v>
      </c>
      <c r="AA5993" s="4">
        <v>9</v>
      </c>
      <c r="AB5993" s="4">
        <v>1</v>
      </c>
      <c r="AC5993" s="4">
        <v>1</v>
      </c>
      <c r="AD5993" s="4">
        <v>1</v>
      </c>
      <c r="AE5993" s="4">
        <v>10</v>
      </c>
      <c r="AF5993" s="4">
        <v>0</v>
      </c>
      <c r="AG5993" s="4">
        <v>0</v>
      </c>
      <c r="AH5993" s="4">
        <v>1</v>
      </c>
      <c r="AI5993" s="4">
        <v>9</v>
      </c>
      <c r="AJ5993" s="4">
        <v>0</v>
      </c>
      <c r="AK5993" s="4">
        <v>4</v>
      </c>
      <c r="AL5993" s="4">
        <v>1</v>
      </c>
      <c r="AM5993" s="4">
        <v>6</v>
      </c>
      <c r="AN5993" s="4">
        <v>0</v>
      </c>
      <c r="AO5993" s="4">
        <v>0</v>
      </c>
      <c r="AP5993" s="4">
        <v>0</v>
      </c>
      <c r="AQ5993" s="4">
        <v>4</v>
      </c>
      <c r="AR5993" s="3" t="s">
        <v>61</v>
      </c>
      <c r="AS5993" s="3" t="s">
        <v>62</v>
      </c>
      <c r="AT5993" s="3" t="s">
        <v>62</v>
      </c>
      <c r="AV5993" s="6" t="str">
        <f>HYPERLINK("http://mcgill.on.worldcat.org/oclc/253712559","Catalog Record")</f>
        <v>Catalog Record</v>
      </c>
      <c r="AW5993" s="6" t="str">
        <f>HYPERLINK("http://www.worldcat.org/oclc/253712559","WorldCat Record")</f>
        <v>WorldCat Record</v>
      </c>
      <c r="AX5993" s="3" t="s">
        <v>56156</v>
      </c>
      <c r="AY5993" s="3" t="s">
        <v>56157</v>
      </c>
      <c r="AZ5993" s="3" t="s">
        <v>56158</v>
      </c>
      <c r="BA5993" s="3" t="s">
        <v>56158</v>
      </c>
      <c r="BB5993" s="3" t="s">
        <v>56165</v>
      </c>
      <c r="BC5993" s="3" t="s">
        <v>33640</v>
      </c>
      <c r="BD5993" s="3" t="s">
        <v>68</v>
      </c>
      <c r="BF5993" s="3" t="s">
        <v>56165</v>
      </c>
      <c r="BG5993" s="3" t="s">
        <v>56166</v>
      </c>
    </row>
    <row r="5994" spans="1:59" ht="87" x14ac:dyDescent="0.35">
      <c r="A5994" s="2" t="s">
        <v>89</v>
      </c>
      <c r="B5994" s="2" t="s">
        <v>42560</v>
      </c>
      <c r="C5994" s="2" t="s">
        <v>56150</v>
      </c>
      <c r="D5994" s="2" t="s">
        <v>56151</v>
      </c>
      <c r="E5994" s="2" t="s">
        <v>56152</v>
      </c>
      <c r="F5994" s="3" t="s">
        <v>56167</v>
      </c>
      <c r="G5994" s="3" t="s">
        <v>61</v>
      </c>
      <c r="I5994" s="3" t="s">
        <v>62</v>
      </c>
      <c r="J5994" s="3" t="s">
        <v>62</v>
      </c>
      <c r="K5994" s="3" t="s">
        <v>63</v>
      </c>
      <c r="L5994" s="2" t="s">
        <v>56154</v>
      </c>
      <c r="M5994" s="2" t="s">
        <v>56155</v>
      </c>
      <c r="N5994" s="3" t="s">
        <v>1195</v>
      </c>
      <c r="P5994" s="3" t="s">
        <v>64</v>
      </c>
      <c r="R5994" s="3" t="s">
        <v>42369</v>
      </c>
      <c r="S5994" s="4">
        <v>15</v>
      </c>
      <c r="T5994" s="4">
        <v>90</v>
      </c>
      <c r="U5994" s="5" t="s">
        <v>2885</v>
      </c>
      <c r="V5994" s="5" t="s">
        <v>5160</v>
      </c>
      <c r="W5994" s="5" t="s">
        <v>67</v>
      </c>
      <c r="X5994" s="5" t="s">
        <v>67</v>
      </c>
      <c r="Y5994" s="4">
        <v>2</v>
      </c>
      <c r="Z5994" s="4">
        <v>1</v>
      </c>
      <c r="AA5994" s="4">
        <v>9</v>
      </c>
      <c r="AB5994" s="4">
        <v>1</v>
      </c>
      <c r="AC5994" s="4">
        <v>1</v>
      </c>
      <c r="AD5994" s="4">
        <v>1</v>
      </c>
      <c r="AE5994" s="4">
        <v>10</v>
      </c>
      <c r="AF5994" s="4">
        <v>0</v>
      </c>
      <c r="AG5994" s="4">
        <v>0</v>
      </c>
      <c r="AH5994" s="4">
        <v>1</v>
      </c>
      <c r="AI5994" s="4">
        <v>9</v>
      </c>
      <c r="AJ5994" s="4">
        <v>0</v>
      </c>
      <c r="AK5994" s="4">
        <v>4</v>
      </c>
      <c r="AL5994" s="4">
        <v>1</v>
      </c>
      <c r="AM5994" s="4">
        <v>6</v>
      </c>
      <c r="AN5994" s="4">
        <v>0</v>
      </c>
      <c r="AO5994" s="4">
        <v>0</v>
      </c>
      <c r="AP5994" s="4">
        <v>0</v>
      </c>
      <c r="AQ5994" s="4">
        <v>4</v>
      </c>
      <c r="AR5994" s="3" t="s">
        <v>61</v>
      </c>
      <c r="AS5994" s="3" t="s">
        <v>62</v>
      </c>
      <c r="AT5994" s="3" t="s">
        <v>62</v>
      </c>
      <c r="AV5994" s="6" t="str">
        <f>HYPERLINK("http://mcgill.on.worldcat.org/oclc/253712559","Catalog Record")</f>
        <v>Catalog Record</v>
      </c>
      <c r="AW5994" s="6" t="str">
        <f>HYPERLINK("http://www.worldcat.org/oclc/253712559","WorldCat Record")</f>
        <v>WorldCat Record</v>
      </c>
      <c r="AX5994" s="3" t="s">
        <v>56156</v>
      </c>
      <c r="AY5994" s="3" t="s">
        <v>56157</v>
      </c>
      <c r="AZ5994" s="3" t="s">
        <v>56158</v>
      </c>
      <c r="BA5994" s="3" t="s">
        <v>56158</v>
      </c>
      <c r="BB5994" s="3" t="s">
        <v>56168</v>
      </c>
      <c r="BC5994" s="3" t="s">
        <v>33640</v>
      </c>
      <c r="BD5994" s="3" t="s">
        <v>68</v>
      </c>
      <c r="BF5994" s="3" t="s">
        <v>56168</v>
      </c>
      <c r="BG5994" s="3" t="s">
        <v>56169</v>
      </c>
    </row>
    <row r="5995" spans="1:59" ht="87" x14ac:dyDescent="0.35">
      <c r="A5995" s="2" t="s">
        <v>89</v>
      </c>
      <c r="B5995" s="2" t="s">
        <v>42560</v>
      </c>
      <c r="C5995" s="2" t="s">
        <v>56150</v>
      </c>
      <c r="D5995" s="2" t="s">
        <v>56151</v>
      </c>
      <c r="E5995" s="2" t="s">
        <v>56152</v>
      </c>
      <c r="F5995" s="3" t="s">
        <v>56170</v>
      </c>
      <c r="G5995" s="3" t="s">
        <v>61</v>
      </c>
      <c r="I5995" s="3" t="s">
        <v>62</v>
      </c>
      <c r="J5995" s="3" t="s">
        <v>62</v>
      </c>
      <c r="K5995" s="3" t="s">
        <v>63</v>
      </c>
      <c r="L5995" s="2" t="s">
        <v>56154</v>
      </c>
      <c r="M5995" s="2" t="s">
        <v>56155</v>
      </c>
      <c r="N5995" s="3" t="s">
        <v>1195</v>
      </c>
      <c r="P5995" s="3" t="s">
        <v>64</v>
      </c>
      <c r="R5995" s="3" t="s">
        <v>42369</v>
      </c>
      <c r="S5995" s="4">
        <v>24</v>
      </c>
      <c r="T5995" s="4">
        <v>90</v>
      </c>
      <c r="U5995" s="5" t="s">
        <v>5160</v>
      </c>
      <c r="V5995" s="5" t="s">
        <v>5160</v>
      </c>
      <c r="W5995" s="5" t="s">
        <v>67</v>
      </c>
      <c r="X5995" s="5" t="s">
        <v>67</v>
      </c>
      <c r="Y5995" s="4">
        <v>2</v>
      </c>
      <c r="Z5995" s="4">
        <v>1</v>
      </c>
      <c r="AA5995" s="4">
        <v>9</v>
      </c>
      <c r="AB5995" s="4">
        <v>1</v>
      </c>
      <c r="AC5995" s="4">
        <v>1</v>
      </c>
      <c r="AD5995" s="4">
        <v>1</v>
      </c>
      <c r="AE5995" s="4">
        <v>10</v>
      </c>
      <c r="AF5995" s="4">
        <v>0</v>
      </c>
      <c r="AG5995" s="4">
        <v>0</v>
      </c>
      <c r="AH5995" s="4">
        <v>1</v>
      </c>
      <c r="AI5995" s="4">
        <v>9</v>
      </c>
      <c r="AJ5995" s="4">
        <v>0</v>
      </c>
      <c r="AK5995" s="4">
        <v>4</v>
      </c>
      <c r="AL5995" s="4">
        <v>1</v>
      </c>
      <c r="AM5995" s="4">
        <v>6</v>
      </c>
      <c r="AN5995" s="4">
        <v>0</v>
      </c>
      <c r="AO5995" s="4">
        <v>0</v>
      </c>
      <c r="AP5995" s="4">
        <v>0</v>
      </c>
      <c r="AQ5995" s="4">
        <v>4</v>
      </c>
      <c r="AR5995" s="3" t="s">
        <v>61</v>
      </c>
      <c r="AS5995" s="3" t="s">
        <v>62</v>
      </c>
      <c r="AT5995" s="3" t="s">
        <v>62</v>
      </c>
      <c r="AV5995" s="6" t="str">
        <f>HYPERLINK("http://mcgill.on.worldcat.org/oclc/253712559","Catalog Record")</f>
        <v>Catalog Record</v>
      </c>
      <c r="AW5995" s="6" t="str">
        <f>HYPERLINK("http://www.worldcat.org/oclc/253712559","WorldCat Record")</f>
        <v>WorldCat Record</v>
      </c>
      <c r="AX5995" s="3" t="s">
        <v>56156</v>
      </c>
      <c r="AY5995" s="3" t="s">
        <v>56157</v>
      </c>
      <c r="AZ5995" s="3" t="s">
        <v>56158</v>
      </c>
      <c r="BA5995" s="3" t="s">
        <v>56158</v>
      </c>
      <c r="BB5995" s="3" t="s">
        <v>56171</v>
      </c>
      <c r="BC5995" s="3" t="s">
        <v>33640</v>
      </c>
      <c r="BD5995" s="3" t="s">
        <v>68</v>
      </c>
      <c r="BF5995" s="3" t="s">
        <v>56171</v>
      </c>
      <c r="BG5995" s="3" t="s">
        <v>56172</v>
      </c>
    </row>
    <row r="5996" spans="1:59" ht="87" x14ac:dyDescent="0.35">
      <c r="A5996" s="2" t="s">
        <v>89</v>
      </c>
      <c r="B5996" s="2" t="s">
        <v>42560</v>
      </c>
      <c r="C5996" s="2" t="s">
        <v>56173</v>
      </c>
      <c r="D5996" s="2" t="s">
        <v>56174</v>
      </c>
      <c r="E5996" s="2" t="s">
        <v>56175</v>
      </c>
      <c r="G5996" s="3" t="s">
        <v>61</v>
      </c>
      <c r="I5996" s="3" t="s">
        <v>62</v>
      </c>
      <c r="J5996" s="3" t="s">
        <v>62</v>
      </c>
      <c r="K5996" s="3" t="s">
        <v>63</v>
      </c>
      <c r="M5996" s="2" t="s">
        <v>56176</v>
      </c>
      <c r="N5996" s="3" t="s">
        <v>1195</v>
      </c>
      <c r="O5996" s="2" t="s">
        <v>55006</v>
      </c>
      <c r="P5996" s="3" t="s">
        <v>64</v>
      </c>
      <c r="R5996" s="3" t="s">
        <v>42369</v>
      </c>
      <c r="S5996" s="4">
        <v>23</v>
      </c>
      <c r="T5996" s="4">
        <v>23</v>
      </c>
      <c r="U5996" s="5" t="s">
        <v>19588</v>
      </c>
      <c r="V5996" s="5" t="s">
        <v>19588</v>
      </c>
      <c r="W5996" s="5" t="s">
        <v>67</v>
      </c>
      <c r="X5996" s="5" t="s">
        <v>67</v>
      </c>
      <c r="Y5996" s="4">
        <v>800</v>
      </c>
      <c r="Z5996" s="4">
        <v>24</v>
      </c>
      <c r="AA5996" s="4">
        <v>33</v>
      </c>
      <c r="AB5996" s="4">
        <v>1</v>
      </c>
      <c r="AC5996" s="4">
        <v>1</v>
      </c>
      <c r="AD5996" s="4">
        <v>46</v>
      </c>
      <c r="AE5996" s="4">
        <v>48</v>
      </c>
      <c r="AF5996" s="4">
        <v>0</v>
      </c>
      <c r="AG5996" s="4">
        <v>0</v>
      </c>
      <c r="AH5996" s="4">
        <v>40</v>
      </c>
      <c r="AI5996" s="4">
        <v>42</v>
      </c>
      <c r="AJ5996" s="4">
        <v>4</v>
      </c>
      <c r="AK5996" s="4">
        <v>4</v>
      </c>
      <c r="AL5996" s="4">
        <v>21</v>
      </c>
      <c r="AM5996" s="4">
        <v>22</v>
      </c>
      <c r="AN5996" s="4">
        <v>0</v>
      </c>
      <c r="AO5996" s="4">
        <v>0</v>
      </c>
      <c r="AP5996" s="4">
        <v>8</v>
      </c>
      <c r="AQ5996" s="4">
        <v>8</v>
      </c>
      <c r="AR5996" s="3" t="s">
        <v>62</v>
      </c>
      <c r="AS5996" s="3" t="s">
        <v>62</v>
      </c>
      <c r="AT5996" s="3" t="s">
        <v>62</v>
      </c>
      <c r="AV5996" s="6" t="str">
        <f>HYPERLINK("http://mcgill.on.worldcat.org/oclc/68045728","Catalog Record")</f>
        <v>Catalog Record</v>
      </c>
      <c r="AW5996" s="6" t="str">
        <f>HYPERLINK("http://www.worldcat.org/oclc/68045728","WorldCat Record")</f>
        <v>WorldCat Record</v>
      </c>
      <c r="AX5996" s="3" t="s">
        <v>56177</v>
      </c>
      <c r="AY5996" s="3" t="s">
        <v>56178</v>
      </c>
      <c r="AZ5996" s="3" t="s">
        <v>56179</v>
      </c>
      <c r="BA5996" s="3" t="s">
        <v>56179</v>
      </c>
      <c r="BB5996" s="3" t="s">
        <v>56180</v>
      </c>
      <c r="BC5996" s="3" t="s">
        <v>33640</v>
      </c>
      <c r="BD5996" s="3" t="s">
        <v>68</v>
      </c>
      <c r="BE5996" s="3" t="s">
        <v>56181</v>
      </c>
      <c r="BF5996" s="3" t="s">
        <v>56180</v>
      </c>
      <c r="BG5996" s="3" t="s">
        <v>56182</v>
      </c>
    </row>
    <row r="5997" spans="1:59" ht="87" x14ac:dyDescent="0.35">
      <c r="A5997" s="2" t="s">
        <v>89</v>
      </c>
      <c r="B5997" s="2" t="s">
        <v>42560</v>
      </c>
      <c r="C5997" s="2" t="s">
        <v>56183</v>
      </c>
      <c r="D5997" s="2" t="s">
        <v>56184</v>
      </c>
      <c r="E5997" s="2" t="s">
        <v>56185</v>
      </c>
      <c r="G5997" s="3" t="s">
        <v>62</v>
      </c>
      <c r="I5997" s="3" t="s">
        <v>62</v>
      </c>
      <c r="J5997" s="3" t="s">
        <v>62</v>
      </c>
      <c r="K5997" s="3" t="s">
        <v>63</v>
      </c>
      <c r="M5997" s="2" t="s">
        <v>56186</v>
      </c>
      <c r="N5997" s="3" t="s">
        <v>2136</v>
      </c>
      <c r="P5997" s="3" t="s">
        <v>64</v>
      </c>
      <c r="R5997" s="3" t="s">
        <v>42369</v>
      </c>
      <c r="S5997" s="4">
        <v>9</v>
      </c>
      <c r="T5997" s="4">
        <v>9</v>
      </c>
      <c r="U5997" s="5" t="s">
        <v>23976</v>
      </c>
      <c r="V5997" s="5" t="s">
        <v>23976</v>
      </c>
      <c r="W5997" s="5" t="s">
        <v>67</v>
      </c>
      <c r="X5997" s="5" t="s">
        <v>67</v>
      </c>
      <c r="Y5997" s="4">
        <v>542</v>
      </c>
      <c r="Z5997" s="4">
        <v>14</v>
      </c>
      <c r="AA5997" s="4">
        <v>21</v>
      </c>
      <c r="AB5997" s="4">
        <v>2</v>
      </c>
      <c r="AC5997" s="4">
        <v>2</v>
      </c>
      <c r="AD5997" s="4">
        <v>32</v>
      </c>
      <c r="AE5997" s="4">
        <v>49</v>
      </c>
      <c r="AF5997" s="4">
        <v>0</v>
      </c>
      <c r="AG5997" s="4">
        <v>0</v>
      </c>
      <c r="AH5997" s="4">
        <v>26</v>
      </c>
      <c r="AI5997" s="4">
        <v>41</v>
      </c>
      <c r="AJ5997" s="4">
        <v>1</v>
      </c>
      <c r="AK5997" s="4">
        <v>5</v>
      </c>
      <c r="AL5997" s="4">
        <v>19</v>
      </c>
      <c r="AM5997" s="4">
        <v>25</v>
      </c>
      <c r="AN5997" s="4">
        <v>0</v>
      </c>
      <c r="AO5997" s="4">
        <v>0</v>
      </c>
      <c r="AP5997" s="4">
        <v>3</v>
      </c>
      <c r="AQ5997" s="4">
        <v>8</v>
      </c>
      <c r="AR5997" s="3" t="s">
        <v>62</v>
      </c>
      <c r="AS5997" s="3" t="s">
        <v>62</v>
      </c>
      <c r="AT5997" s="3" t="s">
        <v>62</v>
      </c>
      <c r="AV5997" s="6" t="str">
        <f>HYPERLINK("http://mcgill.on.worldcat.org/oclc/60316878","Catalog Record")</f>
        <v>Catalog Record</v>
      </c>
      <c r="AW5997" s="6" t="str">
        <f>HYPERLINK("http://www.worldcat.org/oclc/60316878","WorldCat Record")</f>
        <v>WorldCat Record</v>
      </c>
      <c r="AX5997" s="3" t="s">
        <v>56187</v>
      </c>
      <c r="AY5997" s="3" t="s">
        <v>56188</v>
      </c>
      <c r="AZ5997" s="3" t="s">
        <v>56189</v>
      </c>
      <c r="BA5997" s="3" t="s">
        <v>56189</v>
      </c>
      <c r="BB5997" s="3" t="s">
        <v>56190</v>
      </c>
      <c r="BC5997" s="3" t="s">
        <v>33640</v>
      </c>
      <c r="BD5997" s="3" t="s">
        <v>68</v>
      </c>
      <c r="BE5997" s="3" t="s">
        <v>56191</v>
      </c>
      <c r="BF5997" s="3" t="s">
        <v>56190</v>
      </c>
      <c r="BG5997" s="3" t="s">
        <v>56192</v>
      </c>
    </row>
    <row r="5998" spans="1:59" ht="87" x14ac:dyDescent="0.35">
      <c r="A5998" s="2" t="s">
        <v>89</v>
      </c>
      <c r="B5998" s="2" t="s">
        <v>42560</v>
      </c>
      <c r="C5998" s="2" t="s">
        <v>56193</v>
      </c>
      <c r="D5998" s="2" t="s">
        <v>56194</v>
      </c>
      <c r="E5998" s="2" t="s">
        <v>56195</v>
      </c>
      <c r="G5998" s="3" t="s">
        <v>62</v>
      </c>
      <c r="I5998" s="3" t="s">
        <v>62</v>
      </c>
      <c r="J5998" s="3" t="s">
        <v>62</v>
      </c>
      <c r="K5998" s="3" t="s">
        <v>63</v>
      </c>
      <c r="M5998" s="2" t="s">
        <v>56196</v>
      </c>
      <c r="N5998" s="3" t="s">
        <v>640</v>
      </c>
      <c r="P5998" s="3" t="s">
        <v>64</v>
      </c>
      <c r="R5998" s="3" t="s">
        <v>42369</v>
      </c>
      <c r="S5998" s="4">
        <v>4</v>
      </c>
      <c r="T5998" s="4">
        <v>4</v>
      </c>
      <c r="U5998" s="5" t="s">
        <v>24600</v>
      </c>
      <c r="V5998" s="5" t="s">
        <v>24600</v>
      </c>
      <c r="W5998" s="5" t="s">
        <v>67</v>
      </c>
      <c r="X5998" s="5" t="s">
        <v>67</v>
      </c>
      <c r="Y5998" s="4">
        <v>1</v>
      </c>
      <c r="Z5998" s="4">
        <v>1</v>
      </c>
      <c r="AA5998" s="4">
        <v>1</v>
      </c>
      <c r="AB5998" s="4">
        <v>1</v>
      </c>
      <c r="AC5998" s="4">
        <v>1</v>
      </c>
      <c r="AD5998" s="4">
        <v>0</v>
      </c>
      <c r="AE5998" s="4">
        <v>0</v>
      </c>
      <c r="AF5998" s="4">
        <v>0</v>
      </c>
      <c r="AG5998" s="4">
        <v>0</v>
      </c>
      <c r="AH5998" s="4">
        <v>0</v>
      </c>
      <c r="AI5998" s="4">
        <v>0</v>
      </c>
      <c r="AJ5998" s="4">
        <v>0</v>
      </c>
      <c r="AK5998" s="4">
        <v>0</v>
      </c>
      <c r="AL5998" s="4">
        <v>0</v>
      </c>
      <c r="AM5998" s="4">
        <v>0</v>
      </c>
      <c r="AN5998" s="4">
        <v>0</v>
      </c>
      <c r="AO5998" s="4">
        <v>0</v>
      </c>
      <c r="AP5998" s="4">
        <v>0</v>
      </c>
      <c r="AQ5998" s="4">
        <v>0</v>
      </c>
      <c r="AR5998" s="3" t="s">
        <v>62</v>
      </c>
      <c r="AS5998" s="3" t="s">
        <v>62</v>
      </c>
      <c r="AT5998" s="3" t="s">
        <v>62</v>
      </c>
      <c r="AV5998" s="6" t="str">
        <f>HYPERLINK("http://mcgill.on.worldcat.org/oclc/253649829","Catalog Record")</f>
        <v>Catalog Record</v>
      </c>
      <c r="AW5998" s="6" t="str">
        <f>HYPERLINK("http://www.worldcat.org/oclc/253649829","WorldCat Record")</f>
        <v>WorldCat Record</v>
      </c>
      <c r="AX5998" s="3" t="s">
        <v>56197</v>
      </c>
      <c r="AY5998" s="3" t="s">
        <v>56198</v>
      </c>
      <c r="AZ5998" s="3" t="s">
        <v>56199</v>
      </c>
      <c r="BA5998" s="3" t="s">
        <v>56199</v>
      </c>
      <c r="BB5998" s="3" t="s">
        <v>56200</v>
      </c>
      <c r="BC5998" s="3" t="s">
        <v>33640</v>
      </c>
      <c r="BD5998" s="3" t="s">
        <v>68</v>
      </c>
      <c r="BF5998" s="3" t="s">
        <v>56200</v>
      </c>
      <c r="BG5998" s="3" t="s">
        <v>56201</v>
      </c>
    </row>
    <row r="5999" spans="1:59" ht="87" x14ac:dyDescent="0.35">
      <c r="A5999" s="2" t="s">
        <v>89</v>
      </c>
      <c r="B5999" s="2" t="s">
        <v>42560</v>
      </c>
      <c r="C5999" s="2" t="s">
        <v>56202</v>
      </c>
      <c r="D5999" s="2" t="s">
        <v>56203</v>
      </c>
      <c r="E5999" s="2" t="s">
        <v>56204</v>
      </c>
      <c r="G5999" s="3" t="s">
        <v>62</v>
      </c>
      <c r="I5999" s="3" t="s">
        <v>62</v>
      </c>
      <c r="J5999" s="3" t="s">
        <v>62</v>
      </c>
      <c r="K5999" s="3" t="s">
        <v>63</v>
      </c>
      <c r="M5999" s="2" t="s">
        <v>56205</v>
      </c>
      <c r="N5999" s="3" t="s">
        <v>2975</v>
      </c>
      <c r="P5999" s="3" t="s">
        <v>64</v>
      </c>
      <c r="R5999" s="3" t="s">
        <v>42369</v>
      </c>
      <c r="S5999" s="4">
        <v>28</v>
      </c>
      <c r="T5999" s="4">
        <v>28</v>
      </c>
      <c r="U5999" s="5" t="s">
        <v>657</v>
      </c>
      <c r="V5999" s="5" t="s">
        <v>657</v>
      </c>
      <c r="W5999" s="5" t="s">
        <v>67</v>
      </c>
      <c r="X5999" s="5" t="s">
        <v>67</v>
      </c>
      <c r="Y5999" s="4">
        <v>287</v>
      </c>
      <c r="Z5999" s="4">
        <v>7</v>
      </c>
      <c r="AA5999" s="4">
        <v>33</v>
      </c>
      <c r="AB5999" s="4">
        <v>3</v>
      </c>
      <c r="AC5999" s="4">
        <v>4</v>
      </c>
      <c r="AD5999" s="4">
        <v>37</v>
      </c>
      <c r="AE5999" s="4">
        <v>70</v>
      </c>
      <c r="AF5999" s="4">
        <v>1</v>
      </c>
      <c r="AG5999" s="4">
        <v>1</v>
      </c>
      <c r="AH5999" s="4">
        <v>35</v>
      </c>
      <c r="AI5999" s="4">
        <v>59</v>
      </c>
      <c r="AJ5999" s="4">
        <v>1</v>
      </c>
      <c r="AK5999" s="4">
        <v>10</v>
      </c>
      <c r="AL5999" s="4">
        <v>25</v>
      </c>
      <c r="AM5999" s="4">
        <v>36</v>
      </c>
      <c r="AN5999" s="4">
        <v>0</v>
      </c>
      <c r="AO5999" s="4">
        <v>0</v>
      </c>
      <c r="AP5999" s="4">
        <v>1</v>
      </c>
      <c r="AQ5999" s="4">
        <v>16</v>
      </c>
      <c r="AR5999" s="3" t="s">
        <v>62</v>
      </c>
      <c r="AS5999" s="3" t="s">
        <v>62</v>
      </c>
      <c r="AT5999" s="3" t="s">
        <v>62</v>
      </c>
      <c r="AV5999" s="6" t="str">
        <f>HYPERLINK("http://mcgill.on.worldcat.org/oclc/47827573","Catalog Record")</f>
        <v>Catalog Record</v>
      </c>
      <c r="AW5999" s="6" t="str">
        <f>HYPERLINK("http://www.worldcat.org/oclc/47827573","WorldCat Record")</f>
        <v>WorldCat Record</v>
      </c>
      <c r="AX5999" s="3" t="s">
        <v>56206</v>
      </c>
      <c r="AY5999" s="3" t="s">
        <v>56207</v>
      </c>
      <c r="AZ5999" s="3" t="s">
        <v>56208</v>
      </c>
      <c r="BA5999" s="3" t="s">
        <v>56208</v>
      </c>
      <c r="BB5999" s="3" t="s">
        <v>56209</v>
      </c>
      <c r="BC5999" s="3" t="s">
        <v>33640</v>
      </c>
      <c r="BD5999" s="3" t="s">
        <v>68</v>
      </c>
      <c r="BF5999" s="3" t="s">
        <v>56209</v>
      </c>
      <c r="BG5999" s="3" t="s">
        <v>56210</v>
      </c>
    </row>
    <row r="6000" spans="1:59" ht="87" x14ac:dyDescent="0.35">
      <c r="A6000" s="2" t="s">
        <v>89</v>
      </c>
      <c r="B6000" s="2" t="s">
        <v>42560</v>
      </c>
      <c r="C6000" s="2" t="s">
        <v>56211</v>
      </c>
      <c r="D6000" s="2" t="s">
        <v>56212</v>
      </c>
      <c r="E6000" s="2" t="s">
        <v>56213</v>
      </c>
      <c r="G6000" s="3" t="s">
        <v>61</v>
      </c>
      <c r="I6000" s="3" t="s">
        <v>62</v>
      </c>
      <c r="J6000" s="3" t="s">
        <v>62</v>
      </c>
      <c r="K6000" s="3" t="s">
        <v>63</v>
      </c>
      <c r="M6000" s="2" t="s">
        <v>56214</v>
      </c>
      <c r="N6000" s="3" t="s">
        <v>640</v>
      </c>
      <c r="O6000" s="2" t="s">
        <v>56215</v>
      </c>
      <c r="P6000" s="3" t="s">
        <v>64</v>
      </c>
      <c r="R6000" s="3" t="s">
        <v>42369</v>
      </c>
      <c r="S6000" s="4">
        <v>15</v>
      </c>
      <c r="T6000" s="4">
        <v>15</v>
      </c>
      <c r="U6000" s="5" t="s">
        <v>33649</v>
      </c>
      <c r="V6000" s="5" t="s">
        <v>33649</v>
      </c>
      <c r="W6000" s="5" t="s">
        <v>67</v>
      </c>
      <c r="X6000" s="5" t="s">
        <v>67</v>
      </c>
      <c r="Y6000" s="4">
        <v>436</v>
      </c>
      <c r="Z6000" s="4">
        <v>8</v>
      </c>
      <c r="AA6000" s="4">
        <v>8</v>
      </c>
      <c r="AB6000" s="4">
        <v>3</v>
      </c>
      <c r="AC6000" s="4">
        <v>3</v>
      </c>
      <c r="AD6000" s="4">
        <v>13</v>
      </c>
      <c r="AE6000" s="4">
        <v>13</v>
      </c>
      <c r="AF6000" s="4">
        <v>1</v>
      </c>
      <c r="AG6000" s="4">
        <v>1</v>
      </c>
      <c r="AH6000" s="4">
        <v>11</v>
      </c>
      <c r="AI6000" s="4">
        <v>11</v>
      </c>
      <c r="AJ6000" s="4">
        <v>1</v>
      </c>
      <c r="AK6000" s="4">
        <v>1</v>
      </c>
      <c r="AL6000" s="4">
        <v>5</v>
      </c>
      <c r="AM6000" s="4">
        <v>5</v>
      </c>
      <c r="AN6000" s="4">
        <v>0</v>
      </c>
      <c r="AO6000" s="4">
        <v>0</v>
      </c>
      <c r="AP6000" s="4">
        <v>2</v>
      </c>
      <c r="AQ6000" s="4">
        <v>2</v>
      </c>
      <c r="AR6000" s="3" t="s">
        <v>62</v>
      </c>
      <c r="AS6000" s="3" t="s">
        <v>62</v>
      </c>
      <c r="AT6000" s="3" t="s">
        <v>62</v>
      </c>
      <c r="AV6000" s="6" t="str">
        <f>HYPERLINK("http://mcgill.on.worldcat.org/oclc/56343104","Catalog Record")</f>
        <v>Catalog Record</v>
      </c>
      <c r="AW6000" s="6" t="str">
        <f>HYPERLINK("http://www.worldcat.org/oclc/56343104","WorldCat Record")</f>
        <v>WorldCat Record</v>
      </c>
      <c r="AX6000" s="3" t="s">
        <v>56216</v>
      </c>
      <c r="AY6000" s="3" t="s">
        <v>56217</v>
      </c>
      <c r="AZ6000" s="3" t="s">
        <v>56218</v>
      </c>
      <c r="BA6000" s="3" t="s">
        <v>56218</v>
      </c>
      <c r="BB6000" s="3" t="s">
        <v>56219</v>
      </c>
      <c r="BC6000" s="3" t="s">
        <v>33640</v>
      </c>
      <c r="BD6000" s="3" t="s">
        <v>68</v>
      </c>
      <c r="BE6000" s="3" t="s">
        <v>56220</v>
      </c>
      <c r="BF6000" s="3" t="s">
        <v>56219</v>
      </c>
      <c r="BG6000" s="3" t="s">
        <v>56221</v>
      </c>
    </row>
    <row r="6001" spans="1:59" ht="87" x14ac:dyDescent="0.35">
      <c r="A6001" s="2" t="s">
        <v>89</v>
      </c>
      <c r="B6001" s="2" t="s">
        <v>42560</v>
      </c>
      <c r="C6001" s="2" t="s">
        <v>56222</v>
      </c>
      <c r="D6001" s="2" t="s">
        <v>56223</v>
      </c>
      <c r="E6001" s="2" t="s">
        <v>56224</v>
      </c>
      <c r="G6001" s="3" t="s">
        <v>62</v>
      </c>
      <c r="I6001" s="3" t="s">
        <v>62</v>
      </c>
      <c r="J6001" s="3" t="s">
        <v>62</v>
      </c>
      <c r="K6001" s="3" t="s">
        <v>63</v>
      </c>
      <c r="M6001" s="2" t="s">
        <v>56225</v>
      </c>
      <c r="N6001" s="3" t="s">
        <v>880</v>
      </c>
      <c r="P6001" s="3" t="s">
        <v>64</v>
      </c>
      <c r="R6001" s="3" t="s">
        <v>42369</v>
      </c>
      <c r="S6001" s="4">
        <v>8</v>
      </c>
      <c r="T6001" s="4">
        <v>8</v>
      </c>
      <c r="U6001" s="5" t="s">
        <v>17290</v>
      </c>
      <c r="V6001" s="5" t="s">
        <v>17290</v>
      </c>
      <c r="W6001" s="5" t="s">
        <v>67</v>
      </c>
      <c r="X6001" s="5" t="s">
        <v>67</v>
      </c>
      <c r="Y6001" s="4">
        <v>218</v>
      </c>
      <c r="Z6001" s="4">
        <v>11</v>
      </c>
      <c r="AA6001" s="4">
        <v>18</v>
      </c>
      <c r="AB6001" s="4">
        <v>1</v>
      </c>
      <c r="AC6001" s="4">
        <v>2</v>
      </c>
      <c r="AD6001" s="4">
        <v>15</v>
      </c>
      <c r="AE6001" s="4">
        <v>21</v>
      </c>
      <c r="AF6001" s="4">
        <v>0</v>
      </c>
      <c r="AG6001" s="4">
        <v>0</v>
      </c>
      <c r="AH6001" s="4">
        <v>14</v>
      </c>
      <c r="AI6001" s="4">
        <v>20</v>
      </c>
      <c r="AJ6001" s="4">
        <v>1</v>
      </c>
      <c r="AK6001" s="4">
        <v>3</v>
      </c>
      <c r="AL6001" s="4">
        <v>9</v>
      </c>
      <c r="AM6001" s="4">
        <v>12</v>
      </c>
      <c r="AN6001" s="4">
        <v>0</v>
      </c>
      <c r="AO6001" s="4">
        <v>0</v>
      </c>
      <c r="AP6001" s="4">
        <v>1</v>
      </c>
      <c r="AQ6001" s="4">
        <v>3</v>
      </c>
      <c r="AR6001" s="3" t="s">
        <v>62</v>
      </c>
      <c r="AS6001" s="3" t="s">
        <v>62</v>
      </c>
      <c r="AT6001" s="3" t="s">
        <v>62</v>
      </c>
      <c r="AV6001" s="6" t="str">
        <f>HYPERLINK("http://mcgill.on.worldcat.org/oclc/680082477","Catalog Record")</f>
        <v>Catalog Record</v>
      </c>
      <c r="AW6001" s="6" t="str">
        <f>HYPERLINK("http://www.worldcat.org/oclc/680082477","WorldCat Record")</f>
        <v>WorldCat Record</v>
      </c>
      <c r="AX6001" s="3" t="s">
        <v>56226</v>
      </c>
      <c r="AY6001" s="3" t="s">
        <v>56227</v>
      </c>
      <c r="AZ6001" s="3" t="s">
        <v>56228</v>
      </c>
      <c r="BA6001" s="3" t="s">
        <v>56228</v>
      </c>
      <c r="BB6001" s="3" t="s">
        <v>56229</v>
      </c>
      <c r="BC6001" s="3" t="s">
        <v>33640</v>
      </c>
      <c r="BD6001" s="3" t="s">
        <v>68</v>
      </c>
      <c r="BF6001" s="3" t="s">
        <v>56229</v>
      </c>
      <c r="BG6001" s="3" t="s">
        <v>56230</v>
      </c>
    </row>
    <row r="6002" spans="1:59" ht="130.5" x14ac:dyDescent="0.35">
      <c r="A6002" s="2" t="s">
        <v>89</v>
      </c>
      <c r="B6002" s="2" t="s">
        <v>42560</v>
      </c>
      <c r="C6002" s="2" t="s">
        <v>56231</v>
      </c>
      <c r="D6002" s="2" t="s">
        <v>56232</v>
      </c>
      <c r="E6002" s="2" t="s">
        <v>56233</v>
      </c>
      <c r="G6002" s="3" t="s">
        <v>62</v>
      </c>
      <c r="I6002" s="3" t="s">
        <v>62</v>
      </c>
      <c r="J6002" s="3" t="s">
        <v>61</v>
      </c>
      <c r="K6002" s="3" t="s">
        <v>63</v>
      </c>
      <c r="M6002" s="2" t="s">
        <v>56234</v>
      </c>
      <c r="N6002" s="3" t="s">
        <v>2136</v>
      </c>
      <c r="O6002" s="2" t="s">
        <v>55006</v>
      </c>
      <c r="P6002" s="3" t="s">
        <v>64</v>
      </c>
      <c r="R6002" s="3" t="s">
        <v>42369</v>
      </c>
      <c r="S6002" s="4">
        <v>197</v>
      </c>
      <c r="T6002" s="4">
        <v>197</v>
      </c>
      <c r="U6002" s="5" t="s">
        <v>29579</v>
      </c>
      <c r="V6002" s="5" t="s">
        <v>29579</v>
      </c>
      <c r="W6002" s="5" t="s">
        <v>67</v>
      </c>
      <c r="X6002" s="5" t="s">
        <v>67</v>
      </c>
      <c r="Y6002" s="4">
        <v>25</v>
      </c>
      <c r="Z6002" s="4">
        <v>21</v>
      </c>
      <c r="AA6002" s="4">
        <v>82</v>
      </c>
      <c r="AB6002" s="4">
        <v>1</v>
      </c>
      <c r="AC6002" s="4">
        <v>7</v>
      </c>
      <c r="AD6002" s="4">
        <v>5</v>
      </c>
      <c r="AE6002" s="4">
        <v>53</v>
      </c>
      <c r="AF6002" s="4">
        <v>0</v>
      </c>
      <c r="AG6002" s="4">
        <v>3</v>
      </c>
      <c r="AH6002" s="4">
        <v>0</v>
      </c>
      <c r="AI6002" s="4">
        <v>37</v>
      </c>
      <c r="AJ6002" s="4">
        <v>2</v>
      </c>
      <c r="AK6002" s="4">
        <v>14</v>
      </c>
      <c r="AL6002" s="4">
        <v>0</v>
      </c>
      <c r="AM6002" s="4">
        <v>15</v>
      </c>
      <c r="AN6002" s="4">
        <v>0</v>
      </c>
      <c r="AO6002" s="4">
        <v>0</v>
      </c>
      <c r="AP6002" s="4">
        <v>5</v>
      </c>
      <c r="AQ6002" s="4">
        <v>22</v>
      </c>
      <c r="AR6002" s="3" t="s">
        <v>62</v>
      </c>
      <c r="AS6002" s="3" t="s">
        <v>62</v>
      </c>
      <c r="AT6002" s="3" t="s">
        <v>62</v>
      </c>
      <c r="AV6002" s="6" t="str">
        <f>HYPERLINK("http://mcgill.on.worldcat.org/oclc/67400553","Catalog Record")</f>
        <v>Catalog Record</v>
      </c>
      <c r="AW6002" s="6" t="str">
        <f>HYPERLINK("http://www.worldcat.org/oclc/67400553","WorldCat Record")</f>
        <v>WorldCat Record</v>
      </c>
      <c r="AX6002" s="3" t="s">
        <v>56235</v>
      </c>
      <c r="AY6002" s="3" t="s">
        <v>56236</v>
      </c>
      <c r="AZ6002" s="3" t="s">
        <v>56237</v>
      </c>
      <c r="BA6002" s="3" t="s">
        <v>56237</v>
      </c>
      <c r="BB6002" s="3" t="s">
        <v>56238</v>
      </c>
      <c r="BC6002" s="3" t="s">
        <v>33640</v>
      </c>
      <c r="BD6002" s="3" t="s">
        <v>68</v>
      </c>
      <c r="BF6002" s="3" t="s">
        <v>56238</v>
      </c>
      <c r="BG6002" s="3" t="s">
        <v>56239</v>
      </c>
    </row>
    <row r="6003" spans="1:59" ht="87" x14ac:dyDescent="0.35">
      <c r="A6003" s="2" t="s">
        <v>89</v>
      </c>
      <c r="B6003" s="2" t="s">
        <v>42560</v>
      </c>
      <c r="C6003" s="2" t="s">
        <v>56240</v>
      </c>
      <c r="D6003" s="2" t="s">
        <v>56241</v>
      </c>
      <c r="E6003" s="2" t="s">
        <v>56242</v>
      </c>
      <c r="G6003" s="3" t="s">
        <v>62</v>
      </c>
      <c r="I6003" s="3" t="s">
        <v>62</v>
      </c>
      <c r="J6003" s="3" t="s">
        <v>62</v>
      </c>
      <c r="K6003" s="3" t="s">
        <v>63</v>
      </c>
      <c r="M6003" s="2" t="s">
        <v>56243</v>
      </c>
      <c r="N6003" s="3" t="s">
        <v>655</v>
      </c>
      <c r="P6003" s="3" t="s">
        <v>64</v>
      </c>
      <c r="R6003" s="3" t="s">
        <v>42369</v>
      </c>
      <c r="S6003" s="4">
        <v>12</v>
      </c>
      <c r="T6003" s="4">
        <v>12</v>
      </c>
      <c r="U6003" s="5" t="s">
        <v>34363</v>
      </c>
      <c r="V6003" s="5" t="s">
        <v>34363</v>
      </c>
      <c r="W6003" s="5" t="s">
        <v>67</v>
      </c>
      <c r="X6003" s="5" t="s">
        <v>67</v>
      </c>
      <c r="Y6003" s="4">
        <v>22</v>
      </c>
      <c r="Z6003" s="4">
        <v>22</v>
      </c>
      <c r="AA6003" s="4">
        <v>60</v>
      </c>
      <c r="AB6003" s="4">
        <v>1</v>
      </c>
      <c r="AC6003" s="4">
        <v>3</v>
      </c>
      <c r="AD6003" s="4">
        <v>8</v>
      </c>
      <c r="AE6003" s="4">
        <v>31</v>
      </c>
      <c r="AF6003" s="4">
        <v>0</v>
      </c>
      <c r="AG6003" s="4">
        <v>1</v>
      </c>
      <c r="AH6003" s="4">
        <v>6</v>
      </c>
      <c r="AI6003" s="4">
        <v>10</v>
      </c>
      <c r="AJ6003" s="4">
        <v>5</v>
      </c>
      <c r="AK6003" s="4">
        <v>14</v>
      </c>
      <c r="AL6003" s="4">
        <v>0</v>
      </c>
      <c r="AM6003" s="4">
        <v>1</v>
      </c>
      <c r="AN6003" s="4">
        <v>0</v>
      </c>
      <c r="AO6003" s="4">
        <v>0</v>
      </c>
      <c r="AP6003" s="4">
        <v>8</v>
      </c>
      <c r="AQ6003" s="4">
        <v>28</v>
      </c>
      <c r="AR6003" s="3" t="s">
        <v>61</v>
      </c>
      <c r="AS6003" s="3" t="s">
        <v>62</v>
      </c>
      <c r="AT6003" s="3" t="s">
        <v>62</v>
      </c>
      <c r="AV6003" s="6" t="str">
        <f>HYPERLINK("http://mcgill.on.worldcat.org/oclc/316183087","Catalog Record")</f>
        <v>Catalog Record</v>
      </c>
      <c r="AW6003" s="6" t="str">
        <f>HYPERLINK("http://www.worldcat.org/oclc/316183087","WorldCat Record")</f>
        <v>WorldCat Record</v>
      </c>
      <c r="AX6003" s="3" t="s">
        <v>56244</v>
      </c>
      <c r="AY6003" s="3" t="s">
        <v>56245</v>
      </c>
      <c r="AZ6003" s="3" t="s">
        <v>56246</v>
      </c>
      <c r="BA6003" s="3" t="s">
        <v>56246</v>
      </c>
      <c r="BB6003" s="3" t="s">
        <v>56247</v>
      </c>
      <c r="BC6003" s="3" t="s">
        <v>33640</v>
      </c>
      <c r="BD6003" s="3" t="s">
        <v>68</v>
      </c>
      <c r="BF6003" s="3" t="s">
        <v>56247</v>
      </c>
      <c r="BG6003" s="3" t="s">
        <v>56248</v>
      </c>
    </row>
    <row r="6004" spans="1:59" ht="87" x14ac:dyDescent="0.35">
      <c r="A6004" s="2" t="s">
        <v>89</v>
      </c>
      <c r="B6004" s="2" t="s">
        <v>42560</v>
      </c>
      <c r="C6004" s="2" t="s">
        <v>56249</v>
      </c>
      <c r="D6004" s="2" t="s">
        <v>56250</v>
      </c>
      <c r="E6004" s="2" t="s">
        <v>56251</v>
      </c>
      <c r="G6004" s="3" t="s">
        <v>62</v>
      </c>
      <c r="I6004" s="3" t="s">
        <v>62</v>
      </c>
      <c r="J6004" s="3" t="s">
        <v>62</v>
      </c>
      <c r="K6004" s="3" t="s">
        <v>63</v>
      </c>
      <c r="M6004" s="2" t="s">
        <v>56252</v>
      </c>
      <c r="N6004" s="3" t="s">
        <v>640</v>
      </c>
      <c r="P6004" s="3" t="s">
        <v>64</v>
      </c>
      <c r="R6004" s="3" t="s">
        <v>42369</v>
      </c>
      <c r="S6004" s="4">
        <v>4</v>
      </c>
      <c r="T6004" s="4">
        <v>4</v>
      </c>
      <c r="U6004" s="5" t="s">
        <v>23153</v>
      </c>
      <c r="V6004" s="5" t="s">
        <v>23153</v>
      </c>
      <c r="W6004" s="5" t="s">
        <v>67</v>
      </c>
      <c r="X6004" s="5" t="s">
        <v>67</v>
      </c>
      <c r="Y6004" s="4">
        <v>3</v>
      </c>
      <c r="Z6004" s="4">
        <v>2</v>
      </c>
      <c r="AA6004" s="4">
        <v>2</v>
      </c>
      <c r="AB6004" s="4">
        <v>2</v>
      </c>
      <c r="AC6004" s="4">
        <v>2</v>
      </c>
      <c r="AD6004" s="4">
        <v>0</v>
      </c>
      <c r="AE6004" s="4">
        <v>0</v>
      </c>
      <c r="AF6004" s="4">
        <v>0</v>
      </c>
      <c r="AG6004" s="4">
        <v>0</v>
      </c>
      <c r="AH6004" s="4">
        <v>0</v>
      </c>
      <c r="AI6004" s="4">
        <v>0</v>
      </c>
      <c r="AJ6004" s="4">
        <v>0</v>
      </c>
      <c r="AK6004" s="4">
        <v>0</v>
      </c>
      <c r="AL6004" s="4">
        <v>0</v>
      </c>
      <c r="AM6004" s="4">
        <v>0</v>
      </c>
      <c r="AN6004" s="4">
        <v>0</v>
      </c>
      <c r="AO6004" s="4">
        <v>0</v>
      </c>
      <c r="AP6004" s="4">
        <v>0</v>
      </c>
      <c r="AQ6004" s="4">
        <v>0</v>
      </c>
      <c r="AR6004" s="3" t="s">
        <v>62</v>
      </c>
      <c r="AS6004" s="3" t="s">
        <v>62</v>
      </c>
      <c r="AT6004" s="3" t="s">
        <v>62</v>
      </c>
      <c r="AV6004" s="6" t="str">
        <f>HYPERLINK("http://mcgill.on.worldcat.org/oclc/427852169","Catalog Record")</f>
        <v>Catalog Record</v>
      </c>
      <c r="AW6004" s="6" t="str">
        <f>HYPERLINK("http://www.worldcat.org/oclc/427852169","WorldCat Record")</f>
        <v>WorldCat Record</v>
      </c>
      <c r="AX6004" s="3" t="s">
        <v>56253</v>
      </c>
      <c r="AY6004" s="3" t="s">
        <v>56254</v>
      </c>
      <c r="AZ6004" s="3" t="s">
        <v>56255</v>
      </c>
      <c r="BA6004" s="3" t="s">
        <v>56255</v>
      </c>
      <c r="BB6004" s="3" t="s">
        <v>56256</v>
      </c>
      <c r="BC6004" s="3" t="s">
        <v>33640</v>
      </c>
      <c r="BD6004" s="3" t="s">
        <v>68</v>
      </c>
      <c r="BF6004" s="3" t="s">
        <v>56256</v>
      </c>
      <c r="BG6004" s="3" t="s">
        <v>56257</v>
      </c>
    </row>
    <row r="6005" spans="1:59" ht="87" x14ac:dyDescent="0.35">
      <c r="A6005" s="2" t="s">
        <v>89</v>
      </c>
      <c r="B6005" s="2" t="s">
        <v>42560</v>
      </c>
      <c r="C6005" s="2" t="s">
        <v>56258</v>
      </c>
      <c r="D6005" s="2" t="s">
        <v>56259</v>
      </c>
      <c r="E6005" s="2" t="s">
        <v>56260</v>
      </c>
      <c r="G6005" s="3" t="s">
        <v>62</v>
      </c>
      <c r="I6005" s="3" t="s">
        <v>62</v>
      </c>
      <c r="J6005" s="3" t="s">
        <v>62</v>
      </c>
      <c r="K6005" s="3" t="s">
        <v>63</v>
      </c>
      <c r="M6005" s="2" t="s">
        <v>56261</v>
      </c>
      <c r="N6005" s="3" t="s">
        <v>2975</v>
      </c>
      <c r="P6005" s="3" t="s">
        <v>64</v>
      </c>
      <c r="R6005" s="3" t="s">
        <v>42369</v>
      </c>
      <c r="S6005" s="4">
        <v>2</v>
      </c>
      <c r="T6005" s="4">
        <v>2</v>
      </c>
      <c r="U6005" s="5" t="s">
        <v>40558</v>
      </c>
      <c r="V6005" s="5" t="s">
        <v>40558</v>
      </c>
      <c r="W6005" s="5" t="s">
        <v>67</v>
      </c>
      <c r="X6005" s="5" t="s">
        <v>67</v>
      </c>
      <c r="Y6005" s="4">
        <v>3</v>
      </c>
      <c r="Z6005" s="4">
        <v>2</v>
      </c>
      <c r="AA6005" s="4">
        <v>7</v>
      </c>
      <c r="AB6005" s="4">
        <v>2</v>
      </c>
      <c r="AC6005" s="4">
        <v>2</v>
      </c>
      <c r="AD6005" s="4">
        <v>0</v>
      </c>
      <c r="AE6005" s="4">
        <v>4</v>
      </c>
      <c r="AF6005" s="4">
        <v>0</v>
      </c>
      <c r="AG6005" s="4">
        <v>0</v>
      </c>
      <c r="AH6005" s="4">
        <v>0</v>
      </c>
      <c r="AI6005" s="4">
        <v>3</v>
      </c>
      <c r="AJ6005" s="4">
        <v>0</v>
      </c>
      <c r="AK6005" s="4">
        <v>3</v>
      </c>
      <c r="AL6005" s="4">
        <v>0</v>
      </c>
      <c r="AM6005" s="4">
        <v>0</v>
      </c>
      <c r="AN6005" s="4">
        <v>0</v>
      </c>
      <c r="AO6005" s="4">
        <v>0</v>
      </c>
      <c r="AP6005" s="4">
        <v>0</v>
      </c>
      <c r="AQ6005" s="4">
        <v>4</v>
      </c>
      <c r="AR6005" s="3" t="s">
        <v>61</v>
      </c>
      <c r="AS6005" s="3" t="s">
        <v>62</v>
      </c>
      <c r="AT6005" s="3" t="s">
        <v>62</v>
      </c>
      <c r="AV6005" s="6" t="str">
        <f>HYPERLINK("http://mcgill.on.worldcat.org/oclc/528476775","Catalog Record")</f>
        <v>Catalog Record</v>
      </c>
      <c r="AW6005" s="6" t="str">
        <f>HYPERLINK("http://www.worldcat.org/oclc/528476775","WorldCat Record")</f>
        <v>WorldCat Record</v>
      </c>
      <c r="AX6005" s="3" t="s">
        <v>56262</v>
      </c>
      <c r="AY6005" s="3" t="s">
        <v>56263</v>
      </c>
      <c r="AZ6005" s="3" t="s">
        <v>56264</v>
      </c>
      <c r="BA6005" s="3" t="s">
        <v>56264</v>
      </c>
      <c r="BB6005" s="3" t="s">
        <v>56265</v>
      </c>
      <c r="BC6005" s="3" t="s">
        <v>33640</v>
      </c>
      <c r="BD6005" s="3" t="s">
        <v>68</v>
      </c>
      <c r="BF6005" s="3" t="s">
        <v>56265</v>
      </c>
      <c r="BG6005" s="3" t="s">
        <v>56266</v>
      </c>
    </row>
    <row r="6006" spans="1:59" ht="87" x14ac:dyDescent="0.35">
      <c r="A6006" s="2" t="s">
        <v>89</v>
      </c>
      <c r="B6006" s="2" t="s">
        <v>42560</v>
      </c>
      <c r="C6006" s="2" t="s">
        <v>56267</v>
      </c>
      <c r="D6006" s="2" t="s">
        <v>56268</v>
      </c>
      <c r="E6006" s="2" t="s">
        <v>56269</v>
      </c>
      <c r="G6006" s="3" t="s">
        <v>62</v>
      </c>
      <c r="I6006" s="3" t="s">
        <v>62</v>
      </c>
      <c r="J6006" s="3" t="s">
        <v>62</v>
      </c>
      <c r="K6006" s="3" t="s">
        <v>63</v>
      </c>
      <c r="M6006" s="2" t="s">
        <v>56270</v>
      </c>
      <c r="N6006" s="3" t="s">
        <v>655</v>
      </c>
      <c r="P6006" s="3" t="s">
        <v>64</v>
      </c>
      <c r="R6006" s="3" t="s">
        <v>42369</v>
      </c>
      <c r="S6006" s="4">
        <v>7</v>
      </c>
      <c r="T6006" s="4">
        <v>7</v>
      </c>
      <c r="U6006" s="5" t="s">
        <v>4048</v>
      </c>
      <c r="V6006" s="5" t="s">
        <v>4048</v>
      </c>
      <c r="W6006" s="5" t="s">
        <v>67</v>
      </c>
      <c r="X6006" s="5" t="s">
        <v>67</v>
      </c>
      <c r="Y6006" s="4">
        <v>13</v>
      </c>
      <c r="Z6006" s="4">
        <v>2</v>
      </c>
      <c r="AA6006" s="4">
        <v>32</v>
      </c>
      <c r="AB6006" s="4">
        <v>2</v>
      </c>
      <c r="AC6006" s="4">
        <v>2</v>
      </c>
      <c r="AD6006" s="4">
        <v>2</v>
      </c>
      <c r="AE6006" s="4">
        <v>46</v>
      </c>
      <c r="AF6006" s="4">
        <v>0</v>
      </c>
      <c r="AG6006" s="4">
        <v>0</v>
      </c>
      <c r="AH6006" s="4">
        <v>1</v>
      </c>
      <c r="AI6006" s="4">
        <v>35</v>
      </c>
      <c r="AJ6006" s="4">
        <v>0</v>
      </c>
      <c r="AK6006" s="4">
        <v>5</v>
      </c>
      <c r="AL6006" s="4">
        <v>2</v>
      </c>
      <c r="AM6006" s="4">
        <v>19</v>
      </c>
      <c r="AN6006" s="4">
        <v>0</v>
      </c>
      <c r="AO6006" s="4">
        <v>0</v>
      </c>
      <c r="AP6006" s="4">
        <v>0</v>
      </c>
      <c r="AQ6006" s="4">
        <v>15</v>
      </c>
      <c r="AR6006" s="3" t="s">
        <v>62</v>
      </c>
      <c r="AS6006" s="3" t="s">
        <v>62</v>
      </c>
      <c r="AT6006" s="3" t="s">
        <v>62</v>
      </c>
      <c r="AV6006" s="6" t="str">
        <f>HYPERLINK("http://mcgill.on.worldcat.org/oclc/135588039","Catalog Record")</f>
        <v>Catalog Record</v>
      </c>
      <c r="AW6006" s="6" t="str">
        <f>HYPERLINK("http://www.worldcat.org/oclc/135588039","WorldCat Record")</f>
        <v>WorldCat Record</v>
      </c>
      <c r="AX6006" s="3" t="s">
        <v>56271</v>
      </c>
      <c r="AY6006" s="3" t="s">
        <v>56272</v>
      </c>
      <c r="AZ6006" s="3" t="s">
        <v>56273</v>
      </c>
      <c r="BA6006" s="3" t="s">
        <v>56273</v>
      </c>
      <c r="BB6006" s="3" t="s">
        <v>56274</v>
      </c>
      <c r="BC6006" s="3" t="s">
        <v>33640</v>
      </c>
      <c r="BD6006" s="3" t="s">
        <v>68</v>
      </c>
      <c r="BF6006" s="3" t="s">
        <v>56274</v>
      </c>
      <c r="BG6006" s="3" t="s">
        <v>56275</v>
      </c>
    </row>
    <row r="6007" spans="1:59" ht="87" x14ac:dyDescent="0.35">
      <c r="A6007" s="2" t="s">
        <v>89</v>
      </c>
      <c r="B6007" s="2" t="s">
        <v>42560</v>
      </c>
      <c r="C6007" s="2" t="s">
        <v>56276</v>
      </c>
      <c r="D6007" s="2" t="s">
        <v>56277</v>
      </c>
      <c r="E6007" s="2" t="s">
        <v>56278</v>
      </c>
      <c r="G6007" s="3" t="s">
        <v>62</v>
      </c>
      <c r="I6007" s="3" t="s">
        <v>62</v>
      </c>
      <c r="J6007" s="3" t="s">
        <v>62</v>
      </c>
      <c r="K6007" s="3" t="s">
        <v>63</v>
      </c>
      <c r="M6007" s="2" t="s">
        <v>56279</v>
      </c>
      <c r="N6007" s="3" t="s">
        <v>1722</v>
      </c>
      <c r="P6007" s="3" t="s">
        <v>64</v>
      </c>
      <c r="R6007" s="3" t="s">
        <v>42369</v>
      </c>
      <c r="S6007" s="4">
        <v>9</v>
      </c>
      <c r="T6007" s="4">
        <v>9</v>
      </c>
      <c r="U6007" s="5" t="s">
        <v>56280</v>
      </c>
      <c r="V6007" s="5" t="s">
        <v>56280</v>
      </c>
      <c r="W6007" s="5" t="s">
        <v>67</v>
      </c>
      <c r="X6007" s="5" t="s">
        <v>67</v>
      </c>
      <c r="Y6007" s="4">
        <v>45</v>
      </c>
      <c r="Z6007" s="4">
        <v>41</v>
      </c>
      <c r="AA6007" s="4">
        <v>91</v>
      </c>
      <c r="AB6007" s="4">
        <v>3</v>
      </c>
      <c r="AC6007" s="4">
        <v>4</v>
      </c>
      <c r="AD6007" s="4">
        <v>9</v>
      </c>
      <c r="AE6007" s="4">
        <v>57</v>
      </c>
      <c r="AF6007" s="4">
        <v>1</v>
      </c>
      <c r="AG6007" s="4">
        <v>1</v>
      </c>
      <c r="AH6007" s="4">
        <v>3</v>
      </c>
      <c r="AI6007" s="4">
        <v>36</v>
      </c>
      <c r="AJ6007" s="4">
        <v>4</v>
      </c>
      <c r="AK6007" s="4">
        <v>14</v>
      </c>
      <c r="AL6007" s="4">
        <v>1</v>
      </c>
      <c r="AM6007" s="4">
        <v>19</v>
      </c>
      <c r="AN6007" s="4">
        <v>0</v>
      </c>
      <c r="AO6007" s="4">
        <v>0</v>
      </c>
      <c r="AP6007" s="4">
        <v>9</v>
      </c>
      <c r="AQ6007" s="4">
        <v>29</v>
      </c>
      <c r="AR6007" s="3" t="s">
        <v>61</v>
      </c>
      <c r="AS6007" s="3" t="s">
        <v>62</v>
      </c>
      <c r="AT6007" s="3" t="s">
        <v>62</v>
      </c>
      <c r="AV6007" s="6" t="str">
        <f>HYPERLINK("http://mcgill.on.worldcat.org/oclc/233681234","Catalog Record")</f>
        <v>Catalog Record</v>
      </c>
      <c r="AW6007" s="6" t="str">
        <f>HYPERLINK("http://www.worldcat.org/oclc/233681234","WorldCat Record")</f>
        <v>WorldCat Record</v>
      </c>
      <c r="AX6007" s="3" t="s">
        <v>56281</v>
      </c>
      <c r="AY6007" s="3" t="s">
        <v>56282</v>
      </c>
      <c r="AZ6007" s="3" t="s">
        <v>56283</v>
      </c>
      <c r="BA6007" s="3" t="s">
        <v>56283</v>
      </c>
      <c r="BB6007" s="3" t="s">
        <v>56284</v>
      </c>
      <c r="BC6007" s="3" t="s">
        <v>33640</v>
      </c>
      <c r="BD6007" s="3" t="s">
        <v>68</v>
      </c>
      <c r="BE6007" s="3" t="s">
        <v>56285</v>
      </c>
      <c r="BF6007" s="3" t="s">
        <v>56284</v>
      </c>
      <c r="BG6007" s="3" t="s">
        <v>56286</v>
      </c>
    </row>
    <row r="6008" spans="1:59" ht="87" x14ac:dyDescent="0.35">
      <c r="A6008" s="2" t="s">
        <v>89</v>
      </c>
      <c r="B6008" s="2" t="s">
        <v>42560</v>
      </c>
      <c r="C6008" s="2" t="s">
        <v>56287</v>
      </c>
      <c r="D6008" s="2" t="s">
        <v>56288</v>
      </c>
      <c r="E6008" s="2" t="s">
        <v>56289</v>
      </c>
      <c r="G6008" s="3" t="s">
        <v>61</v>
      </c>
      <c r="I6008" s="3" t="s">
        <v>62</v>
      </c>
      <c r="J6008" s="3" t="s">
        <v>62</v>
      </c>
      <c r="K6008" s="3" t="s">
        <v>63</v>
      </c>
      <c r="M6008" s="2" t="s">
        <v>56290</v>
      </c>
      <c r="N6008" s="3" t="s">
        <v>1722</v>
      </c>
      <c r="P6008" s="3" t="s">
        <v>64</v>
      </c>
      <c r="Q6008" s="2" t="s">
        <v>56291</v>
      </c>
      <c r="R6008" s="3" t="s">
        <v>42369</v>
      </c>
      <c r="S6008" s="4">
        <v>27</v>
      </c>
      <c r="T6008" s="4">
        <v>27</v>
      </c>
      <c r="U6008" s="5" t="s">
        <v>6531</v>
      </c>
      <c r="V6008" s="5" t="s">
        <v>6531</v>
      </c>
      <c r="W6008" s="5" t="s">
        <v>67</v>
      </c>
      <c r="X6008" s="5" t="s">
        <v>67</v>
      </c>
      <c r="Y6008" s="4">
        <v>601</v>
      </c>
      <c r="Z6008" s="4">
        <v>38</v>
      </c>
      <c r="AA6008" s="4">
        <v>38</v>
      </c>
      <c r="AB6008" s="4">
        <v>2</v>
      </c>
      <c r="AC6008" s="4">
        <v>2</v>
      </c>
      <c r="AD6008" s="4">
        <v>30</v>
      </c>
      <c r="AE6008" s="4">
        <v>30</v>
      </c>
      <c r="AF6008" s="4">
        <v>0</v>
      </c>
      <c r="AG6008" s="4">
        <v>0</v>
      </c>
      <c r="AH6008" s="4">
        <v>26</v>
      </c>
      <c r="AI6008" s="4">
        <v>26</v>
      </c>
      <c r="AJ6008" s="4">
        <v>2</v>
      </c>
      <c r="AK6008" s="4">
        <v>2</v>
      </c>
      <c r="AL6008" s="4">
        <v>16</v>
      </c>
      <c r="AM6008" s="4">
        <v>16</v>
      </c>
      <c r="AN6008" s="4">
        <v>0</v>
      </c>
      <c r="AO6008" s="4">
        <v>0</v>
      </c>
      <c r="AP6008" s="4">
        <v>4</v>
      </c>
      <c r="AQ6008" s="4">
        <v>4</v>
      </c>
      <c r="AR6008" s="3" t="s">
        <v>62</v>
      </c>
      <c r="AS6008" s="3" t="s">
        <v>62</v>
      </c>
      <c r="AT6008" s="3" t="s">
        <v>62</v>
      </c>
      <c r="AV6008" s="6" t="str">
        <f>HYPERLINK("http://mcgill.on.worldcat.org/oclc/226866514","Catalog Record")</f>
        <v>Catalog Record</v>
      </c>
      <c r="AW6008" s="6" t="str">
        <f>HYPERLINK("http://www.worldcat.org/oclc/226866514","WorldCat Record")</f>
        <v>WorldCat Record</v>
      </c>
      <c r="AX6008" s="3" t="s">
        <v>56292</v>
      </c>
      <c r="AY6008" s="3" t="s">
        <v>56293</v>
      </c>
      <c r="AZ6008" s="3" t="s">
        <v>56294</v>
      </c>
      <c r="BA6008" s="3" t="s">
        <v>56294</v>
      </c>
      <c r="BB6008" s="3" t="s">
        <v>56295</v>
      </c>
      <c r="BC6008" s="3" t="s">
        <v>33640</v>
      </c>
      <c r="BD6008" s="3" t="s">
        <v>68</v>
      </c>
      <c r="BE6008" s="3" t="s">
        <v>56296</v>
      </c>
      <c r="BF6008" s="3" t="s">
        <v>56295</v>
      </c>
      <c r="BG6008" s="3" t="s">
        <v>56297</v>
      </c>
    </row>
    <row r="6009" spans="1:59" ht="87" x14ac:dyDescent="0.35">
      <c r="A6009" s="2" t="s">
        <v>89</v>
      </c>
      <c r="B6009" s="2" t="s">
        <v>42560</v>
      </c>
      <c r="C6009" s="2" t="s">
        <v>56298</v>
      </c>
      <c r="D6009" s="2" t="s">
        <v>56299</v>
      </c>
      <c r="E6009" s="2" t="s">
        <v>56300</v>
      </c>
      <c r="G6009" s="3" t="s">
        <v>62</v>
      </c>
      <c r="I6009" s="3" t="s">
        <v>62</v>
      </c>
      <c r="J6009" s="3" t="s">
        <v>62</v>
      </c>
      <c r="K6009" s="3" t="s">
        <v>63</v>
      </c>
      <c r="M6009" s="2" t="s">
        <v>56301</v>
      </c>
      <c r="N6009" s="3" t="s">
        <v>655</v>
      </c>
      <c r="O6009" s="2" t="s">
        <v>55966</v>
      </c>
      <c r="P6009" s="3" t="s">
        <v>64</v>
      </c>
      <c r="R6009" s="3" t="s">
        <v>42369</v>
      </c>
      <c r="S6009" s="4">
        <v>24</v>
      </c>
      <c r="T6009" s="4">
        <v>24</v>
      </c>
      <c r="U6009" s="5" t="s">
        <v>4048</v>
      </c>
      <c r="V6009" s="5" t="s">
        <v>4048</v>
      </c>
      <c r="W6009" s="5" t="s">
        <v>67</v>
      </c>
      <c r="X6009" s="5" t="s">
        <v>67</v>
      </c>
      <c r="Y6009" s="4">
        <v>9</v>
      </c>
      <c r="Z6009" s="4">
        <v>1</v>
      </c>
      <c r="AA6009" s="4">
        <v>3</v>
      </c>
      <c r="AB6009" s="4">
        <v>1</v>
      </c>
      <c r="AC6009" s="4">
        <v>1</v>
      </c>
      <c r="AD6009" s="4">
        <v>0</v>
      </c>
      <c r="AE6009" s="4">
        <v>1</v>
      </c>
      <c r="AF6009" s="4">
        <v>0</v>
      </c>
      <c r="AG6009" s="4">
        <v>0</v>
      </c>
      <c r="AH6009" s="4">
        <v>0</v>
      </c>
      <c r="AI6009" s="4">
        <v>1</v>
      </c>
      <c r="AJ6009" s="4">
        <v>0</v>
      </c>
      <c r="AK6009" s="4">
        <v>0</v>
      </c>
      <c r="AL6009" s="4">
        <v>0</v>
      </c>
      <c r="AM6009" s="4">
        <v>1</v>
      </c>
      <c r="AN6009" s="4">
        <v>0</v>
      </c>
      <c r="AO6009" s="4">
        <v>0</v>
      </c>
      <c r="AP6009" s="4">
        <v>0</v>
      </c>
      <c r="AQ6009" s="4">
        <v>0</v>
      </c>
      <c r="AR6009" s="3" t="s">
        <v>62</v>
      </c>
      <c r="AS6009" s="3" t="s">
        <v>62</v>
      </c>
      <c r="AT6009" s="3" t="s">
        <v>62</v>
      </c>
      <c r="AV6009" s="6" t="str">
        <f>HYPERLINK("http://mcgill.on.worldcat.org/oclc/133177213","Catalog Record")</f>
        <v>Catalog Record</v>
      </c>
      <c r="AW6009" s="6" t="str">
        <f>HYPERLINK("http://www.worldcat.org/oclc/133177213","WorldCat Record")</f>
        <v>WorldCat Record</v>
      </c>
      <c r="AX6009" s="3" t="s">
        <v>56302</v>
      </c>
      <c r="AY6009" s="3" t="s">
        <v>56303</v>
      </c>
      <c r="AZ6009" s="3" t="s">
        <v>56304</v>
      </c>
      <c r="BA6009" s="3" t="s">
        <v>56304</v>
      </c>
      <c r="BB6009" s="3" t="s">
        <v>56305</v>
      </c>
      <c r="BC6009" s="3" t="s">
        <v>33640</v>
      </c>
      <c r="BD6009" s="3" t="s">
        <v>68</v>
      </c>
      <c r="BF6009" s="3" t="s">
        <v>56305</v>
      </c>
      <c r="BG6009" s="3" t="s">
        <v>56306</v>
      </c>
    </row>
    <row r="6010" spans="1:59" ht="87" x14ac:dyDescent="0.35">
      <c r="A6010" s="2" t="s">
        <v>89</v>
      </c>
      <c r="B6010" s="2" t="s">
        <v>42560</v>
      </c>
      <c r="C6010" s="2" t="s">
        <v>56307</v>
      </c>
      <c r="D6010" s="2" t="s">
        <v>56308</v>
      </c>
      <c r="E6010" s="2" t="s">
        <v>56309</v>
      </c>
      <c r="G6010" s="3" t="s">
        <v>62</v>
      </c>
      <c r="I6010" s="3" t="s">
        <v>62</v>
      </c>
      <c r="J6010" s="3" t="s">
        <v>62</v>
      </c>
      <c r="K6010" s="3" t="s">
        <v>63</v>
      </c>
      <c r="M6010" s="2" t="s">
        <v>56310</v>
      </c>
      <c r="N6010" s="3" t="s">
        <v>1195</v>
      </c>
      <c r="P6010" s="3" t="s">
        <v>64</v>
      </c>
      <c r="R6010" s="3" t="s">
        <v>42369</v>
      </c>
      <c r="S6010" s="4">
        <v>3</v>
      </c>
      <c r="T6010" s="4">
        <v>3</v>
      </c>
      <c r="U6010" s="5" t="s">
        <v>43713</v>
      </c>
      <c r="V6010" s="5" t="s">
        <v>43713</v>
      </c>
      <c r="W6010" s="5" t="s">
        <v>67</v>
      </c>
      <c r="X6010" s="5" t="s">
        <v>67</v>
      </c>
      <c r="Y6010" s="4">
        <v>5</v>
      </c>
      <c r="Z6010" s="4">
        <v>3</v>
      </c>
      <c r="AA6010" s="4">
        <v>18</v>
      </c>
      <c r="AB6010" s="4">
        <v>2</v>
      </c>
      <c r="AC6010" s="4">
        <v>2</v>
      </c>
      <c r="AD6010" s="4">
        <v>1</v>
      </c>
      <c r="AE6010" s="4">
        <v>22</v>
      </c>
      <c r="AF6010" s="4">
        <v>0</v>
      </c>
      <c r="AG6010" s="4">
        <v>0</v>
      </c>
      <c r="AH6010" s="4">
        <v>1</v>
      </c>
      <c r="AI6010" s="4">
        <v>16</v>
      </c>
      <c r="AJ6010" s="4">
        <v>0</v>
      </c>
      <c r="AK6010" s="4">
        <v>6</v>
      </c>
      <c r="AL6010" s="4">
        <v>1</v>
      </c>
      <c r="AM6010" s="4">
        <v>8</v>
      </c>
      <c r="AN6010" s="4">
        <v>0</v>
      </c>
      <c r="AO6010" s="4">
        <v>0</v>
      </c>
      <c r="AP6010" s="4">
        <v>0</v>
      </c>
      <c r="AQ6010" s="4">
        <v>10</v>
      </c>
      <c r="AR6010" s="3" t="s">
        <v>62</v>
      </c>
      <c r="AS6010" s="3" t="s">
        <v>62</v>
      </c>
      <c r="AT6010" s="3" t="s">
        <v>62</v>
      </c>
      <c r="AV6010" s="6" t="str">
        <f>HYPERLINK("http://mcgill.on.worldcat.org/oclc/70797837","Catalog Record")</f>
        <v>Catalog Record</v>
      </c>
      <c r="AW6010" s="6" t="str">
        <f>HYPERLINK("http://www.worldcat.org/oclc/70797837","WorldCat Record")</f>
        <v>WorldCat Record</v>
      </c>
      <c r="AX6010" s="3" t="s">
        <v>56311</v>
      </c>
      <c r="AY6010" s="3" t="s">
        <v>56312</v>
      </c>
      <c r="AZ6010" s="3" t="s">
        <v>56313</v>
      </c>
      <c r="BA6010" s="3" t="s">
        <v>56313</v>
      </c>
      <c r="BB6010" s="3" t="s">
        <v>56314</v>
      </c>
      <c r="BC6010" s="3" t="s">
        <v>33640</v>
      </c>
      <c r="BD6010" s="3" t="s">
        <v>68</v>
      </c>
      <c r="BF6010" s="3" t="s">
        <v>56314</v>
      </c>
      <c r="BG6010" s="3" t="s">
        <v>56315</v>
      </c>
    </row>
    <row r="6011" spans="1:59" ht="87" x14ac:dyDescent="0.35">
      <c r="A6011" s="2" t="s">
        <v>89</v>
      </c>
      <c r="B6011" s="2" t="s">
        <v>42560</v>
      </c>
      <c r="C6011" s="2" t="s">
        <v>56316</v>
      </c>
      <c r="D6011" s="2" t="s">
        <v>56317</v>
      </c>
      <c r="E6011" s="2" t="s">
        <v>56318</v>
      </c>
      <c r="F6011" s="3" t="s">
        <v>56319</v>
      </c>
      <c r="G6011" s="3" t="s">
        <v>61</v>
      </c>
      <c r="I6011" s="3" t="s">
        <v>62</v>
      </c>
      <c r="J6011" s="3" t="s">
        <v>61</v>
      </c>
      <c r="K6011" s="3" t="s">
        <v>63</v>
      </c>
      <c r="M6011" s="2" t="s">
        <v>56320</v>
      </c>
      <c r="N6011" s="3" t="s">
        <v>655</v>
      </c>
      <c r="P6011" s="3" t="s">
        <v>64</v>
      </c>
      <c r="R6011" s="3" t="s">
        <v>42369</v>
      </c>
      <c r="S6011" s="4">
        <v>25</v>
      </c>
      <c r="T6011" s="4">
        <v>256</v>
      </c>
      <c r="U6011" s="5" t="s">
        <v>15136</v>
      </c>
      <c r="V6011" s="5" t="s">
        <v>29398</v>
      </c>
      <c r="W6011" s="5" t="s">
        <v>67</v>
      </c>
      <c r="X6011" s="5" t="s">
        <v>67</v>
      </c>
      <c r="Y6011" s="4">
        <v>1</v>
      </c>
      <c r="Z6011" s="4">
        <v>1</v>
      </c>
      <c r="AA6011" s="4">
        <v>43</v>
      </c>
      <c r="AB6011" s="4">
        <v>1</v>
      </c>
      <c r="AC6011" s="4">
        <v>3</v>
      </c>
      <c r="AD6011" s="4">
        <v>0</v>
      </c>
      <c r="AE6011" s="4">
        <v>61</v>
      </c>
      <c r="AF6011" s="4">
        <v>0</v>
      </c>
      <c r="AG6011" s="4">
        <v>1</v>
      </c>
      <c r="AH6011" s="4">
        <v>0</v>
      </c>
      <c r="AI6011" s="4">
        <v>51</v>
      </c>
      <c r="AJ6011" s="4">
        <v>0</v>
      </c>
      <c r="AK6011" s="4">
        <v>8</v>
      </c>
      <c r="AL6011" s="4">
        <v>0</v>
      </c>
      <c r="AM6011" s="4">
        <v>31</v>
      </c>
      <c r="AN6011" s="4">
        <v>0</v>
      </c>
      <c r="AO6011" s="4">
        <v>0</v>
      </c>
      <c r="AP6011" s="4">
        <v>0</v>
      </c>
      <c r="AQ6011" s="4">
        <v>11</v>
      </c>
      <c r="AR6011" s="3" t="s">
        <v>61</v>
      </c>
      <c r="AS6011" s="3" t="s">
        <v>62</v>
      </c>
      <c r="AT6011" s="3" t="s">
        <v>62</v>
      </c>
      <c r="AV6011" s="6" t="str">
        <f t="shared" ref="AV6011:AV6019" si="109">HYPERLINK("http://mcgill.on.worldcat.org/oclc/253777432","Catalog Record")</f>
        <v>Catalog Record</v>
      </c>
      <c r="AW6011" s="6" t="str">
        <f t="shared" ref="AW6011:AW6019" si="110">HYPERLINK("http://www.worldcat.org/oclc/253777432","WorldCat Record")</f>
        <v>WorldCat Record</v>
      </c>
      <c r="AX6011" s="3" t="s">
        <v>56321</v>
      </c>
      <c r="AY6011" s="3" t="s">
        <v>56322</v>
      </c>
      <c r="AZ6011" s="3" t="s">
        <v>56323</v>
      </c>
      <c r="BA6011" s="3" t="s">
        <v>56323</v>
      </c>
      <c r="BB6011" s="3" t="s">
        <v>56324</v>
      </c>
      <c r="BC6011" s="3" t="s">
        <v>33640</v>
      </c>
      <c r="BD6011" s="3" t="s">
        <v>68</v>
      </c>
      <c r="BF6011" s="3" t="s">
        <v>56324</v>
      </c>
      <c r="BG6011" s="3" t="s">
        <v>56325</v>
      </c>
    </row>
    <row r="6012" spans="1:59" ht="87" x14ac:dyDescent="0.35">
      <c r="A6012" s="2" t="s">
        <v>89</v>
      </c>
      <c r="B6012" s="2" t="s">
        <v>42560</v>
      </c>
      <c r="C6012" s="2" t="s">
        <v>56316</v>
      </c>
      <c r="D6012" s="2" t="s">
        <v>56317</v>
      </c>
      <c r="E6012" s="2" t="s">
        <v>56318</v>
      </c>
      <c r="F6012" s="3" t="s">
        <v>237</v>
      </c>
      <c r="G6012" s="3" t="s">
        <v>61</v>
      </c>
      <c r="I6012" s="3" t="s">
        <v>62</v>
      </c>
      <c r="J6012" s="3" t="s">
        <v>61</v>
      </c>
      <c r="K6012" s="3" t="s">
        <v>63</v>
      </c>
      <c r="M6012" s="2" t="s">
        <v>56320</v>
      </c>
      <c r="N6012" s="3" t="s">
        <v>655</v>
      </c>
      <c r="P6012" s="3" t="s">
        <v>64</v>
      </c>
      <c r="R6012" s="3" t="s">
        <v>42369</v>
      </c>
      <c r="S6012" s="4">
        <v>53</v>
      </c>
      <c r="T6012" s="4">
        <v>256</v>
      </c>
      <c r="U6012" s="5" t="s">
        <v>82</v>
      </c>
      <c r="V6012" s="5" t="s">
        <v>29398</v>
      </c>
      <c r="W6012" s="5" t="s">
        <v>67</v>
      </c>
      <c r="X6012" s="5" t="s">
        <v>67</v>
      </c>
      <c r="Y6012" s="4">
        <v>1</v>
      </c>
      <c r="Z6012" s="4">
        <v>1</v>
      </c>
      <c r="AA6012" s="4">
        <v>43</v>
      </c>
      <c r="AB6012" s="4">
        <v>1</v>
      </c>
      <c r="AC6012" s="4">
        <v>3</v>
      </c>
      <c r="AD6012" s="4">
        <v>0</v>
      </c>
      <c r="AE6012" s="4">
        <v>61</v>
      </c>
      <c r="AF6012" s="4">
        <v>0</v>
      </c>
      <c r="AG6012" s="4">
        <v>1</v>
      </c>
      <c r="AH6012" s="4">
        <v>0</v>
      </c>
      <c r="AI6012" s="4">
        <v>51</v>
      </c>
      <c r="AJ6012" s="4">
        <v>0</v>
      </c>
      <c r="AK6012" s="4">
        <v>8</v>
      </c>
      <c r="AL6012" s="4">
        <v>0</v>
      </c>
      <c r="AM6012" s="4">
        <v>31</v>
      </c>
      <c r="AN6012" s="4">
        <v>0</v>
      </c>
      <c r="AO6012" s="4">
        <v>0</v>
      </c>
      <c r="AP6012" s="4">
        <v>0</v>
      </c>
      <c r="AQ6012" s="4">
        <v>11</v>
      </c>
      <c r="AR6012" s="3" t="s">
        <v>61</v>
      </c>
      <c r="AS6012" s="3" t="s">
        <v>62</v>
      </c>
      <c r="AT6012" s="3" t="s">
        <v>62</v>
      </c>
      <c r="AV6012" s="6" t="str">
        <f t="shared" si="109"/>
        <v>Catalog Record</v>
      </c>
      <c r="AW6012" s="6" t="str">
        <f t="shared" si="110"/>
        <v>WorldCat Record</v>
      </c>
      <c r="AX6012" s="3" t="s">
        <v>56321</v>
      </c>
      <c r="AY6012" s="3" t="s">
        <v>56322</v>
      </c>
      <c r="AZ6012" s="3" t="s">
        <v>56323</v>
      </c>
      <c r="BA6012" s="3" t="s">
        <v>56323</v>
      </c>
      <c r="BB6012" s="3" t="s">
        <v>56326</v>
      </c>
      <c r="BC6012" s="3" t="s">
        <v>33640</v>
      </c>
      <c r="BD6012" s="3" t="s">
        <v>68</v>
      </c>
      <c r="BF6012" s="3" t="s">
        <v>56326</v>
      </c>
      <c r="BG6012" s="3" t="s">
        <v>56327</v>
      </c>
    </row>
    <row r="6013" spans="1:59" ht="87" x14ac:dyDescent="0.35">
      <c r="A6013" s="2" t="s">
        <v>89</v>
      </c>
      <c r="B6013" s="2" t="s">
        <v>42560</v>
      </c>
      <c r="C6013" s="2" t="s">
        <v>56316</v>
      </c>
      <c r="D6013" s="2" t="s">
        <v>56317</v>
      </c>
      <c r="E6013" s="2" t="s">
        <v>56318</v>
      </c>
      <c r="F6013" s="3" t="s">
        <v>56328</v>
      </c>
      <c r="G6013" s="3" t="s">
        <v>61</v>
      </c>
      <c r="I6013" s="3" t="s">
        <v>62</v>
      </c>
      <c r="J6013" s="3" t="s">
        <v>61</v>
      </c>
      <c r="K6013" s="3" t="s">
        <v>63</v>
      </c>
      <c r="M6013" s="2" t="s">
        <v>56320</v>
      </c>
      <c r="N6013" s="3" t="s">
        <v>655</v>
      </c>
      <c r="P6013" s="3" t="s">
        <v>64</v>
      </c>
      <c r="R6013" s="3" t="s">
        <v>42369</v>
      </c>
      <c r="S6013" s="4">
        <v>24</v>
      </c>
      <c r="T6013" s="4">
        <v>256</v>
      </c>
      <c r="U6013" s="5" t="s">
        <v>29398</v>
      </c>
      <c r="V6013" s="5" t="s">
        <v>29398</v>
      </c>
      <c r="W6013" s="5" t="s">
        <v>67</v>
      </c>
      <c r="X6013" s="5" t="s">
        <v>67</v>
      </c>
      <c r="Y6013" s="4">
        <v>1</v>
      </c>
      <c r="Z6013" s="4">
        <v>1</v>
      </c>
      <c r="AA6013" s="4">
        <v>43</v>
      </c>
      <c r="AB6013" s="4">
        <v>1</v>
      </c>
      <c r="AC6013" s="4">
        <v>3</v>
      </c>
      <c r="AD6013" s="4">
        <v>0</v>
      </c>
      <c r="AE6013" s="4">
        <v>61</v>
      </c>
      <c r="AF6013" s="4">
        <v>0</v>
      </c>
      <c r="AG6013" s="4">
        <v>1</v>
      </c>
      <c r="AH6013" s="4">
        <v>0</v>
      </c>
      <c r="AI6013" s="4">
        <v>51</v>
      </c>
      <c r="AJ6013" s="4">
        <v>0</v>
      </c>
      <c r="AK6013" s="4">
        <v>8</v>
      </c>
      <c r="AL6013" s="4">
        <v>0</v>
      </c>
      <c r="AM6013" s="4">
        <v>31</v>
      </c>
      <c r="AN6013" s="4">
        <v>0</v>
      </c>
      <c r="AO6013" s="4">
        <v>0</v>
      </c>
      <c r="AP6013" s="4">
        <v>0</v>
      </c>
      <c r="AQ6013" s="4">
        <v>11</v>
      </c>
      <c r="AR6013" s="3" t="s">
        <v>61</v>
      </c>
      <c r="AS6013" s="3" t="s">
        <v>62</v>
      </c>
      <c r="AT6013" s="3" t="s">
        <v>62</v>
      </c>
      <c r="AV6013" s="6" t="str">
        <f t="shared" si="109"/>
        <v>Catalog Record</v>
      </c>
      <c r="AW6013" s="6" t="str">
        <f t="shared" si="110"/>
        <v>WorldCat Record</v>
      </c>
      <c r="AX6013" s="3" t="s">
        <v>56321</v>
      </c>
      <c r="AY6013" s="3" t="s">
        <v>56322</v>
      </c>
      <c r="AZ6013" s="3" t="s">
        <v>56323</v>
      </c>
      <c r="BA6013" s="3" t="s">
        <v>56323</v>
      </c>
      <c r="BB6013" s="3" t="s">
        <v>56329</v>
      </c>
      <c r="BC6013" s="3" t="s">
        <v>33640</v>
      </c>
      <c r="BD6013" s="3" t="s">
        <v>68</v>
      </c>
      <c r="BF6013" s="3" t="s">
        <v>56329</v>
      </c>
      <c r="BG6013" s="3" t="s">
        <v>56330</v>
      </c>
    </row>
    <row r="6014" spans="1:59" ht="87" x14ac:dyDescent="0.35">
      <c r="A6014" s="2" t="s">
        <v>89</v>
      </c>
      <c r="B6014" s="2" t="s">
        <v>42560</v>
      </c>
      <c r="C6014" s="2" t="s">
        <v>56316</v>
      </c>
      <c r="D6014" s="2" t="s">
        <v>56317</v>
      </c>
      <c r="E6014" s="2" t="s">
        <v>56318</v>
      </c>
      <c r="F6014" s="3" t="s">
        <v>56331</v>
      </c>
      <c r="G6014" s="3" t="s">
        <v>61</v>
      </c>
      <c r="I6014" s="3" t="s">
        <v>62</v>
      </c>
      <c r="J6014" s="3" t="s">
        <v>61</v>
      </c>
      <c r="K6014" s="3" t="s">
        <v>63</v>
      </c>
      <c r="M6014" s="2" t="s">
        <v>56320</v>
      </c>
      <c r="N6014" s="3" t="s">
        <v>655</v>
      </c>
      <c r="P6014" s="3" t="s">
        <v>64</v>
      </c>
      <c r="R6014" s="3" t="s">
        <v>42369</v>
      </c>
      <c r="S6014" s="4">
        <v>19</v>
      </c>
      <c r="T6014" s="4">
        <v>256</v>
      </c>
      <c r="U6014" s="5" t="s">
        <v>36908</v>
      </c>
      <c r="V6014" s="5" t="s">
        <v>29398</v>
      </c>
      <c r="W6014" s="5" t="s">
        <v>67</v>
      </c>
      <c r="X6014" s="5" t="s">
        <v>67</v>
      </c>
      <c r="Y6014" s="4">
        <v>1</v>
      </c>
      <c r="Z6014" s="4">
        <v>1</v>
      </c>
      <c r="AA6014" s="4">
        <v>43</v>
      </c>
      <c r="AB6014" s="4">
        <v>1</v>
      </c>
      <c r="AC6014" s="4">
        <v>3</v>
      </c>
      <c r="AD6014" s="4">
        <v>0</v>
      </c>
      <c r="AE6014" s="4">
        <v>61</v>
      </c>
      <c r="AF6014" s="4">
        <v>0</v>
      </c>
      <c r="AG6014" s="4">
        <v>1</v>
      </c>
      <c r="AH6014" s="4">
        <v>0</v>
      </c>
      <c r="AI6014" s="4">
        <v>51</v>
      </c>
      <c r="AJ6014" s="4">
        <v>0</v>
      </c>
      <c r="AK6014" s="4">
        <v>8</v>
      </c>
      <c r="AL6014" s="4">
        <v>0</v>
      </c>
      <c r="AM6014" s="4">
        <v>31</v>
      </c>
      <c r="AN6014" s="4">
        <v>0</v>
      </c>
      <c r="AO6014" s="4">
        <v>0</v>
      </c>
      <c r="AP6014" s="4">
        <v>0</v>
      </c>
      <c r="AQ6014" s="4">
        <v>11</v>
      </c>
      <c r="AR6014" s="3" t="s">
        <v>61</v>
      </c>
      <c r="AS6014" s="3" t="s">
        <v>62</v>
      </c>
      <c r="AT6014" s="3" t="s">
        <v>62</v>
      </c>
      <c r="AV6014" s="6" t="str">
        <f t="shared" si="109"/>
        <v>Catalog Record</v>
      </c>
      <c r="AW6014" s="6" t="str">
        <f t="shared" si="110"/>
        <v>WorldCat Record</v>
      </c>
      <c r="AX6014" s="3" t="s">
        <v>56321</v>
      </c>
      <c r="AY6014" s="3" t="s">
        <v>56322</v>
      </c>
      <c r="AZ6014" s="3" t="s">
        <v>56323</v>
      </c>
      <c r="BA6014" s="3" t="s">
        <v>56323</v>
      </c>
      <c r="BB6014" s="3" t="s">
        <v>56332</v>
      </c>
      <c r="BC6014" s="3" t="s">
        <v>33640</v>
      </c>
      <c r="BD6014" s="3" t="s">
        <v>68</v>
      </c>
      <c r="BF6014" s="3" t="s">
        <v>56332</v>
      </c>
      <c r="BG6014" s="3" t="s">
        <v>56333</v>
      </c>
    </row>
    <row r="6015" spans="1:59" ht="87" x14ac:dyDescent="0.35">
      <c r="A6015" s="2" t="s">
        <v>89</v>
      </c>
      <c r="B6015" s="2" t="s">
        <v>42560</v>
      </c>
      <c r="C6015" s="2" t="s">
        <v>56316</v>
      </c>
      <c r="D6015" s="2" t="s">
        <v>56317</v>
      </c>
      <c r="E6015" s="2" t="s">
        <v>56318</v>
      </c>
      <c r="F6015" s="3" t="s">
        <v>56334</v>
      </c>
      <c r="G6015" s="3" t="s">
        <v>61</v>
      </c>
      <c r="I6015" s="3" t="s">
        <v>62</v>
      </c>
      <c r="J6015" s="3" t="s">
        <v>61</v>
      </c>
      <c r="K6015" s="3" t="s">
        <v>63</v>
      </c>
      <c r="M6015" s="2" t="s">
        <v>56320</v>
      </c>
      <c r="N6015" s="3" t="s">
        <v>655</v>
      </c>
      <c r="P6015" s="3" t="s">
        <v>64</v>
      </c>
      <c r="R6015" s="3" t="s">
        <v>42369</v>
      </c>
      <c r="S6015" s="4">
        <v>19</v>
      </c>
      <c r="T6015" s="4">
        <v>256</v>
      </c>
      <c r="U6015" s="5" t="s">
        <v>31501</v>
      </c>
      <c r="V6015" s="5" t="s">
        <v>29398</v>
      </c>
      <c r="W6015" s="5" t="s">
        <v>67</v>
      </c>
      <c r="X6015" s="5" t="s">
        <v>67</v>
      </c>
      <c r="Y6015" s="4">
        <v>1</v>
      </c>
      <c r="Z6015" s="4">
        <v>1</v>
      </c>
      <c r="AA6015" s="4">
        <v>43</v>
      </c>
      <c r="AB6015" s="4">
        <v>1</v>
      </c>
      <c r="AC6015" s="4">
        <v>3</v>
      </c>
      <c r="AD6015" s="4">
        <v>0</v>
      </c>
      <c r="AE6015" s="4">
        <v>61</v>
      </c>
      <c r="AF6015" s="4">
        <v>0</v>
      </c>
      <c r="AG6015" s="4">
        <v>1</v>
      </c>
      <c r="AH6015" s="4">
        <v>0</v>
      </c>
      <c r="AI6015" s="4">
        <v>51</v>
      </c>
      <c r="AJ6015" s="4">
        <v>0</v>
      </c>
      <c r="AK6015" s="4">
        <v>8</v>
      </c>
      <c r="AL6015" s="4">
        <v>0</v>
      </c>
      <c r="AM6015" s="4">
        <v>31</v>
      </c>
      <c r="AN6015" s="4">
        <v>0</v>
      </c>
      <c r="AO6015" s="4">
        <v>0</v>
      </c>
      <c r="AP6015" s="4">
        <v>0</v>
      </c>
      <c r="AQ6015" s="4">
        <v>11</v>
      </c>
      <c r="AR6015" s="3" t="s">
        <v>61</v>
      </c>
      <c r="AS6015" s="3" t="s">
        <v>62</v>
      </c>
      <c r="AT6015" s="3" t="s">
        <v>62</v>
      </c>
      <c r="AV6015" s="6" t="str">
        <f t="shared" si="109"/>
        <v>Catalog Record</v>
      </c>
      <c r="AW6015" s="6" t="str">
        <f t="shared" si="110"/>
        <v>WorldCat Record</v>
      </c>
      <c r="AX6015" s="3" t="s">
        <v>56321</v>
      </c>
      <c r="AY6015" s="3" t="s">
        <v>56322</v>
      </c>
      <c r="AZ6015" s="3" t="s">
        <v>56323</v>
      </c>
      <c r="BA6015" s="3" t="s">
        <v>56323</v>
      </c>
      <c r="BB6015" s="3" t="s">
        <v>56335</v>
      </c>
      <c r="BC6015" s="3" t="s">
        <v>33640</v>
      </c>
      <c r="BD6015" s="3" t="s">
        <v>68</v>
      </c>
      <c r="BF6015" s="3" t="s">
        <v>56335</v>
      </c>
      <c r="BG6015" s="3" t="s">
        <v>56336</v>
      </c>
    </row>
    <row r="6016" spans="1:59" ht="87" x14ac:dyDescent="0.35">
      <c r="A6016" s="2" t="s">
        <v>89</v>
      </c>
      <c r="B6016" s="2" t="s">
        <v>42560</v>
      </c>
      <c r="C6016" s="2" t="s">
        <v>56316</v>
      </c>
      <c r="D6016" s="2" t="s">
        <v>56317</v>
      </c>
      <c r="E6016" s="2" t="s">
        <v>56318</v>
      </c>
      <c r="F6016" s="3" t="s">
        <v>56337</v>
      </c>
      <c r="G6016" s="3" t="s">
        <v>61</v>
      </c>
      <c r="I6016" s="3" t="s">
        <v>62</v>
      </c>
      <c r="J6016" s="3" t="s">
        <v>61</v>
      </c>
      <c r="K6016" s="3" t="s">
        <v>63</v>
      </c>
      <c r="M6016" s="2" t="s">
        <v>56320</v>
      </c>
      <c r="N6016" s="3" t="s">
        <v>655</v>
      </c>
      <c r="P6016" s="3" t="s">
        <v>64</v>
      </c>
      <c r="R6016" s="3" t="s">
        <v>42369</v>
      </c>
      <c r="S6016" s="4">
        <v>25</v>
      </c>
      <c r="T6016" s="4">
        <v>256</v>
      </c>
      <c r="U6016" s="5" t="s">
        <v>31501</v>
      </c>
      <c r="V6016" s="5" t="s">
        <v>29398</v>
      </c>
      <c r="W6016" s="5" t="s">
        <v>67</v>
      </c>
      <c r="X6016" s="5" t="s">
        <v>67</v>
      </c>
      <c r="Y6016" s="4">
        <v>1</v>
      </c>
      <c r="Z6016" s="4">
        <v>1</v>
      </c>
      <c r="AA6016" s="4">
        <v>43</v>
      </c>
      <c r="AB6016" s="4">
        <v>1</v>
      </c>
      <c r="AC6016" s="4">
        <v>3</v>
      </c>
      <c r="AD6016" s="4">
        <v>0</v>
      </c>
      <c r="AE6016" s="4">
        <v>61</v>
      </c>
      <c r="AF6016" s="4">
        <v>0</v>
      </c>
      <c r="AG6016" s="4">
        <v>1</v>
      </c>
      <c r="AH6016" s="4">
        <v>0</v>
      </c>
      <c r="AI6016" s="4">
        <v>51</v>
      </c>
      <c r="AJ6016" s="4">
        <v>0</v>
      </c>
      <c r="AK6016" s="4">
        <v>8</v>
      </c>
      <c r="AL6016" s="4">
        <v>0</v>
      </c>
      <c r="AM6016" s="4">
        <v>31</v>
      </c>
      <c r="AN6016" s="4">
        <v>0</v>
      </c>
      <c r="AO6016" s="4">
        <v>0</v>
      </c>
      <c r="AP6016" s="4">
        <v>0</v>
      </c>
      <c r="AQ6016" s="4">
        <v>11</v>
      </c>
      <c r="AR6016" s="3" t="s">
        <v>61</v>
      </c>
      <c r="AS6016" s="3" t="s">
        <v>62</v>
      </c>
      <c r="AT6016" s="3" t="s">
        <v>62</v>
      </c>
      <c r="AV6016" s="6" t="str">
        <f t="shared" si="109"/>
        <v>Catalog Record</v>
      </c>
      <c r="AW6016" s="6" t="str">
        <f t="shared" si="110"/>
        <v>WorldCat Record</v>
      </c>
      <c r="AX6016" s="3" t="s">
        <v>56321</v>
      </c>
      <c r="AY6016" s="3" t="s">
        <v>56322</v>
      </c>
      <c r="AZ6016" s="3" t="s">
        <v>56323</v>
      </c>
      <c r="BA6016" s="3" t="s">
        <v>56323</v>
      </c>
      <c r="BB6016" s="3" t="s">
        <v>56338</v>
      </c>
      <c r="BC6016" s="3" t="s">
        <v>33640</v>
      </c>
      <c r="BD6016" s="3" t="s">
        <v>68</v>
      </c>
      <c r="BF6016" s="3" t="s">
        <v>56338</v>
      </c>
      <c r="BG6016" s="3" t="s">
        <v>56339</v>
      </c>
    </row>
    <row r="6017" spans="1:59" ht="87" x14ac:dyDescent="0.35">
      <c r="A6017" s="2" t="s">
        <v>89</v>
      </c>
      <c r="B6017" s="2" t="s">
        <v>42560</v>
      </c>
      <c r="C6017" s="2" t="s">
        <v>56316</v>
      </c>
      <c r="D6017" s="2" t="s">
        <v>56317</v>
      </c>
      <c r="E6017" s="2" t="s">
        <v>56318</v>
      </c>
      <c r="F6017" s="3" t="s">
        <v>55111</v>
      </c>
      <c r="G6017" s="3" t="s">
        <v>61</v>
      </c>
      <c r="I6017" s="3" t="s">
        <v>62</v>
      </c>
      <c r="J6017" s="3" t="s">
        <v>61</v>
      </c>
      <c r="K6017" s="3" t="s">
        <v>63</v>
      </c>
      <c r="M6017" s="2" t="s">
        <v>56320</v>
      </c>
      <c r="N6017" s="3" t="s">
        <v>655</v>
      </c>
      <c r="P6017" s="3" t="s">
        <v>64</v>
      </c>
      <c r="R6017" s="3" t="s">
        <v>42369</v>
      </c>
      <c r="S6017" s="4">
        <v>28</v>
      </c>
      <c r="T6017" s="4">
        <v>256</v>
      </c>
      <c r="U6017" s="5" t="s">
        <v>2885</v>
      </c>
      <c r="V6017" s="5" t="s">
        <v>29398</v>
      </c>
      <c r="W6017" s="5" t="s">
        <v>67</v>
      </c>
      <c r="X6017" s="5" t="s">
        <v>67</v>
      </c>
      <c r="Y6017" s="4">
        <v>1</v>
      </c>
      <c r="Z6017" s="4">
        <v>1</v>
      </c>
      <c r="AA6017" s="4">
        <v>43</v>
      </c>
      <c r="AB6017" s="4">
        <v>1</v>
      </c>
      <c r="AC6017" s="4">
        <v>3</v>
      </c>
      <c r="AD6017" s="4">
        <v>0</v>
      </c>
      <c r="AE6017" s="4">
        <v>61</v>
      </c>
      <c r="AF6017" s="4">
        <v>0</v>
      </c>
      <c r="AG6017" s="4">
        <v>1</v>
      </c>
      <c r="AH6017" s="4">
        <v>0</v>
      </c>
      <c r="AI6017" s="4">
        <v>51</v>
      </c>
      <c r="AJ6017" s="4">
        <v>0</v>
      </c>
      <c r="AK6017" s="4">
        <v>8</v>
      </c>
      <c r="AL6017" s="4">
        <v>0</v>
      </c>
      <c r="AM6017" s="4">
        <v>31</v>
      </c>
      <c r="AN6017" s="4">
        <v>0</v>
      </c>
      <c r="AO6017" s="4">
        <v>0</v>
      </c>
      <c r="AP6017" s="4">
        <v>0</v>
      </c>
      <c r="AQ6017" s="4">
        <v>11</v>
      </c>
      <c r="AR6017" s="3" t="s">
        <v>61</v>
      </c>
      <c r="AS6017" s="3" t="s">
        <v>62</v>
      </c>
      <c r="AT6017" s="3" t="s">
        <v>62</v>
      </c>
      <c r="AV6017" s="6" t="str">
        <f t="shared" si="109"/>
        <v>Catalog Record</v>
      </c>
      <c r="AW6017" s="6" t="str">
        <f t="shared" si="110"/>
        <v>WorldCat Record</v>
      </c>
      <c r="AX6017" s="3" t="s">
        <v>56321</v>
      </c>
      <c r="AY6017" s="3" t="s">
        <v>56322</v>
      </c>
      <c r="AZ6017" s="3" t="s">
        <v>56323</v>
      </c>
      <c r="BA6017" s="3" t="s">
        <v>56323</v>
      </c>
      <c r="BB6017" s="3" t="s">
        <v>56340</v>
      </c>
      <c r="BC6017" s="3" t="s">
        <v>33640</v>
      </c>
      <c r="BD6017" s="3" t="s">
        <v>68</v>
      </c>
      <c r="BF6017" s="3" t="s">
        <v>56340</v>
      </c>
      <c r="BG6017" s="3" t="s">
        <v>56341</v>
      </c>
    </row>
    <row r="6018" spans="1:59" ht="87" x14ac:dyDescent="0.35">
      <c r="A6018" s="2" t="s">
        <v>89</v>
      </c>
      <c r="B6018" s="2" t="s">
        <v>42560</v>
      </c>
      <c r="C6018" s="2" t="s">
        <v>56316</v>
      </c>
      <c r="D6018" s="2" t="s">
        <v>56317</v>
      </c>
      <c r="E6018" s="2" t="s">
        <v>56318</v>
      </c>
      <c r="F6018" s="3" t="s">
        <v>248</v>
      </c>
      <c r="G6018" s="3" t="s">
        <v>61</v>
      </c>
      <c r="I6018" s="3" t="s">
        <v>62</v>
      </c>
      <c r="J6018" s="3" t="s">
        <v>61</v>
      </c>
      <c r="K6018" s="3" t="s">
        <v>63</v>
      </c>
      <c r="M6018" s="2" t="s">
        <v>56320</v>
      </c>
      <c r="N6018" s="3" t="s">
        <v>655</v>
      </c>
      <c r="P6018" s="3" t="s">
        <v>64</v>
      </c>
      <c r="R6018" s="3" t="s">
        <v>42369</v>
      </c>
      <c r="S6018" s="4">
        <v>34</v>
      </c>
      <c r="T6018" s="4">
        <v>256</v>
      </c>
      <c r="U6018" s="5" t="s">
        <v>48357</v>
      </c>
      <c r="V6018" s="5" t="s">
        <v>29398</v>
      </c>
      <c r="W6018" s="5" t="s">
        <v>67</v>
      </c>
      <c r="X6018" s="5" t="s">
        <v>67</v>
      </c>
      <c r="Y6018" s="4">
        <v>1</v>
      </c>
      <c r="Z6018" s="4">
        <v>1</v>
      </c>
      <c r="AA6018" s="4">
        <v>43</v>
      </c>
      <c r="AB6018" s="4">
        <v>1</v>
      </c>
      <c r="AC6018" s="4">
        <v>3</v>
      </c>
      <c r="AD6018" s="4">
        <v>0</v>
      </c>
      <c r="AE6018" s="4">
        <v>61</v>
      </c>
      <c r="AF6018" s="4">
        <v>0</v>
      </c>
      <c r="AG6018" s="4">
        <v>1</v>
      </c>
      <c r="AH6018" s="4">
        <v>0</v>
      </c>
      <c r="AI6018" s="4">
        <v>51</v>
      </c>
      <c r="AJ6018" s="4">
        <v>0</v>
      </c>
      <c r="AK6018" s="4">
        <v>8</v>
      </c>
      <c r="AL6018" s="4">
        <v>0</v>
      </c>
      <c r="AM6018" s="4">
        <v>31</v>
      </c>
      <c r="AN6018" s="4">
        <v>0</v>
      </c>
      <c r="AO6018" s="4">
        <v>0</v>
      </c>
      <c r="AP6018" s="4">
        <v>0</v>
      </c>
      <c r="AQ6018" s="4">
        <v>11</v>
      </c>
      <c r="AR6018" s="3" t="s">
        <v>61</v>
      </c>
      <c r="AS6018" s="3" t="s">
        <v>62</v>
      </c>
      <c r="AT6018" s="3" t="s">
        <v>62</v>
      </c>
      <c r="AV6018" s="6" t="str">
        <f t="shared" si="109"/>
        <v>Catalog Record</v>
      </c>
      <c r="AW6018" s="6" t="str">
        <f t="shared" si="110"/>
        <v>WorldCat Record</v>
      </c>
      <c r="AX6018" s="3" t="s">
        <v>56321</v>
      </c>
      <c r="AY6018" s="3" t="s">
        <v>56322</v>
      </c>
      <c r="AZ6018" s="3" t="s">
        <v>56323</v>
      </c>
      <c r="BA6018" s="3" t="s">
        <v>56323</v>
      </c>
      <c r="BB6018" s="3" t="s">
        <v>56342</v>
      </c>
      <c r="BC6018" s="3" t="s">
        <v>33640</v>
      </c>
      <c r="BD6018" s="3" t="s">
        <v>68</v>
      </c>
      <c r="BF6018" s="3" t="s">
        <v>56342</v>
      </c>
      <c r="BG6018" s="3" t="s">
        <v>56343</v>
      </c>
    </row>
    <row r="6019" spans="1:59" ht="87" x14ac:dyDescent="0.35">
      <c r="A6019" s="2" t="s">
        <v>89</v>
      </c>
      <c r="B6019" s="2" t="s">
        <v>42560</v>
      </c>
      <c r="C6019" s="2" t="s">
        <v>56316</v>
      </c>
      <c r="D6019" s="2" t="s">
        <v>56317</v>
      </c>
      <c r="E6019" s="2" t="s">
        <v>56318</v>
      </c>
      <c r="F6019" s="3" t="s">
        <v>56344</v>
      </c>
      <c r="G6019" s="3" t="s">
        <v>61</v>
      </c>
      <c r="I6019" s="3" t="s">
        <v>62</v>
      </c>
      <c r="J6019" s="3" t="s">
        <v>61</v>
      </c>
      <c r="K6019" s="3" t="s">
        <v>63</v>
      </c>
      <c r="M6019" s="2" t="s">
        <v>56320</v>
      </c>
      <c r="N6019" s="3" t="s">
        <v>655</v>
      </c>
      <c r="P6019" s="3" t="s">
        <v>64</v>
      </c>
      <c r="R6019" s="3" t="s">
        <v>42369</v>
      </c>
      <c r="S6019" s="4">
        <v>29</v>
      </c>
      <c r="T6019" s="4">
        <v>256</v>
      </c>
      <c r="U6019" s="5" t="s">
        <v>31501</v>
      </c>
      <c r="V6019" s="5" t="s">
        <v>29398</v>
      </c>
      <c r="W6019" s="5" t="s">
        <v>67</v>
      </c>
      <c r="X6019" s="5" t="s">
        <v>67</v>
      </c>
      <c r="Y6019" s="4">
        <v>1</v>
      </c>
      <c r="Z6019" s="4">
        <v>1</v>
      </c>
      <c r="AA6019" s="4">
        <v>43</v>
      </c>
      <c r="AB6019" s="4">
        <v>1</v>
      </c>
      <c r="AC6019" s="4">
        <v>3</v>
      </c>
      <c r="AD6019" s="4">
        <v>0</v>
      </c>
      <c r="AE6019" s="4">
        <v>61</v>
      </c>
      <c r="AF6019" s="4">
        <v>0</v>
      </c>
      <c r="AG6019" s="4">
        <v>1</v>
      </c>
      <c r="AH6019" s="4">
        <v>0</v>
      </c>
      <c r="AI6019" s="4">
        <v>51</v>
      </c>
      <c r="AJ6019" s="4">
        <v>0</v>
      </c>
      <c r="AK6019" s="4">
        <v>8</v>
      </c>
      <c r="AL6019" s="4">
        <v>0</v>
      </c>
      <c r="AM6019" s="4">
        <v>31</v>
      </c>
      <c r="AN6019" s="4">
        <v>0</v>
      </c>
      <c r="AO6019" s="4">
        <v>0</v>
      </c>
      <c r="AP6019" s="4">
        <v>0</v>
      </c>
      <c r="AQ6019" s="4">
        <v>11</v>
      </c>
      <c r="AR6019" s="3" t="s">
        <v>61</v>
      </c>
      <c r="AS6019" s="3" t="s">
        <v>62</v>
      </c>
      <c r="AT6019" s="3" t="s">
        <v>62</v>
      </c>
      <c r="AV6019" s="6" t="str">
        <f t="shared" si="109"/>
        <v>Catalog Record</v>
      </c>
      <c r="AW6019" s="6" t="str">
        <f t="shared" si="110"/>
        <v>WorldCat Record</v>
      </c>
      <c r="AX6019" s="3" t="s">
        <v>56321</v>
      </c>
      <c r="AY6019" s="3" t="s">
        <v>56322</v>
      </c>
      <c r="AZ6019" s="3" t="s">
        <v>56323</v>
      </c>
      <c r="BA6019" s="3" t="s">
        <v>56323</v>
      </c>
      <c r="BB6019" s="3" t="s">
        <v>56345</v>
      </c>
      <c r="BC6019" s="3" t="s">
        <v>33640</v>
      </c>
      <c r="BD6019" s="3" t="s">
        <v>68</v>
      </c>
      <c r="BF6019" s="3" t="s">
        <v>56345</v>
      </c>
      <c r="BG6019" s="3" t="s">
        <v>56346</v>
      </c>
    </row>
    <row r="6020" spans="1:59" ht="87" x14ac:dyDescent="0.35">
      <c r="A6020" s="2" t="s">
        <v>89</v>
      </c>
      <c r="B6020" s="2" t="s">
        <v>42560</v>
      </c>
      <c r="C6020" s="2" t="s">
        <v>56347</v>
      </c>
      <c r="D6020" s="2" t="s">
        <v>56348</v>
      </c>
      <c r="E6020" s="2" t="s">
        <v>56349</v>
      </c>
      <c r="F6020" s="3" t="s">
        <v>2217</v>
      </c>
      <c r="G6020" s="3" t="s">
        <v>61</v>
      </c>
      <c r="I6020" s="3" t="s">
        <v>62</v>
      </c>
      <c r="J6020" s="3" t="s">
        <v>61</v>
      </c>
      <c r="K6020" s="3" t="s">
        <v>63</v>
      </c>
      <c r="M6020" s="2" t="s">
        <v>56350</v>
      </c>
      <c r="N6020" s="3" t="s">
        <v>625</v>
      </c>
      <c r="P6020" s="3" t="s">
        <v>64</v>
      </c>
      <c r="R6020" s="3" t="s">
        <v>42369</v>
      </c>
      <c r="S6020" s="4">
        <v>73</v>
      </c>
      <c r="T6020" s="4">
        <v>234</v>
      </c>
      <c r="U6020" s="5" t="s">
        <v>56351</v>
      </c>
      <c r="V6020" s="5" t="s">
        <v>56351</v>
      </c>
      <c r="W6020" s="5" t="s">
        <v>67</v>
      </c>
      <c r="X6020" s="5" t="s">
        <v>67</v>
      </c>
      <c r="Y6020" s="4">
        <v>762</v>
      </c>
      <c r="Z6020" s="4">
        <v>27</v>
      </c>
      <c r="AA6020" s="4">
        <v>43</v>
      </c>
      <c r="AB6020" s="4">
        <v>1</v>
      </c>
      <c r="AC6020" s="4">
        <v>3</v>
      </c>
      <c r="AD6020" s="4">
        <v>40</v>
      </c>
      <c r="AE6020" s="4">
        <v>61</v>
      </c>
      <c r="AF6020" s="4">
        <v>0</v>
      </c>
      <c r="AG6020" s="4">
        <v>1</v>
      </c>
      <c r="AH6020" s="4">
        <v>35</v>
      </c>
      <c r="AI6020" s="4">
        <v>51</v>
      </c>
      <c r="AJ6020" s="4">
        <v>3</v>
      </c>
      <c r="AK6020" s="4">
        <v>8</v>
      </c>
      <c r="AL6020" s="4">
        <v>21</v>
      </c>
      <c r="AM6020" s="4">
        <v>31</v>
      </c>
      <c r="AN6020" s="4">
        <v>0</v>
      </c>
      <c r="AO6020" s="4">
        <v>0</v>
      </c>
      <c r="AP6020" s="4">
        <v>5</v>
      </c>
      <c r="AQ6020" s="4">
        <v>11</v>
      </c>
      <c r="AR6020" s="3" t="s">
        <v>62</v>
      </c>
      <c r="AS6020" s="3" t="s">
        <v>62</v>
      </c>
      <c r="AT6020" s="3" t="s">
        <v>62</v>
      </c>
      <c r="AV6020" s="6" t="str">
        <f>HYPERLINK("http://mcgill.on.worldcat.org/oclc/51856499","Catalog Record")</f>
        <v>Catalog Record</v>
      </c>
      <c r="AW6020" s="6" t="str">
        <f>HYPERLINK("http://www.worldcat.org/oclc/51856499","WorldCat Record")</f>
        <v>WorldCat Record</v>
      </c>
      <c r="AX6020" s="3" t="s">
        <v>56321</v>
      </c>
      <c r="AY6020" s="3" t="s">
        <v>56352</v>
      </c>
      <c r="AZ6020" s="3" t="s">
        <v>56353</v>
      </c>
      <c r="BA6020" s="3" t="s">
        <v>56353</v>
      </c>
      <c r="BB6020" s="3" t="s">
        <v>56354</v>
      </c>
      <c r="BC6020" s="3" t="s">
        <v>33640</v>
      </c>
      <c r="BD6020" s="3" t="s">
        <v>68</v>
      </c>
      <c r="BE6020" s="3" t="s">
        <v>56355</v>
      </c>
      <c r="BF6020" s="3" t="s">
        <v>56354</v>
      </c>
      <c r="BG6020" s="3" t="s">
        <v>56356</v>
      </c>
    </row>
    <row r="6021" spans="1:59" ht="87" x14ac:dyDescent="0.35">
      <c r="A6021" s="2" t="s">
        <v>89</v>
      </c>
      <c r="B6021" s="2" t="s">
        <v>42560</v>
      </c>
      <c r="C6021" s="2" t="s">
        <v>56347</v>
      </c>
      <c r="D6021" s="2" t="s">
        <v>56348</v>
      </c>
      <c r="E6021" s="2" t="s">
        <v>56349</v>
      </c>
      <c r="F6021" s="3" t="s">
        <v>2248</v>
      </c>
      <c r="G6021" s="3" t="s">
        <v>61</v>
      </c>
      <c r="I6021" s="3" t="s">
        <v>62</v>
      </c>
      <c r="J6021" s="3" t="s">
        <v>61</v>
      </c>
      <c r="K6021" s="3" t="s">
        <v>63</v>
      </c>
      <c r="M6021" s="2" t="s">
        <v>56350</v>
      </c>
      <c r="N6021" s="3" t="s">
        <v>625</v>
      </c>
      <c r="P6021" s="3" t="s">
        <v>64</v>
      </c>
      <c r="R6021" s="3" t="s">
        <v>42369</v>
      </c>
      <c r="S6021" s="4">
        <v>50</v>
      </c>
      <c r="T6021" s="4">
        <v>234</v>
      </c>
      <c r="U6021" s="5" t="s">
        <v>56357</v>
      </c>
      <c r="V6021" s="5" t="s">
        <v>56351</v>
      </c>
      <c r="W6021" s="5" t="s">
        <v>67</v>
      </c>
      <c r="X6021" s="5" t="s">
        <v>67</v>
      </c>
      <c r="Y6021" s="4">
        <v>762</v>
      </c>
      <c r="Z6021" s="4">
        <v>27</v>
      </c>
      <c r="AA6021" s="4">
        <v>43</v>
      </c>
      <c r="AB6021" s="4">
        <v>1</v>
      </c>
      <c r="AC6021" s="4">
        <v>3</v>
      </c>
      <c r="AD6021" s="4">
        <v>40</v>
      </c>
      <c r="AE6021" s="4">
        <v>61</v>
      </c>
      <c r="AF6021" s="4">
        <v>0</v>
      </c>
      <c r="AG6021" s="4">
        <v>1</v>
      </c>
      <c r="AH6021" s="4">
        <v>35</v>
      </c>
      <c r="AI6021" s="4">
        <v>51</v>
      </c>
      <c r="AJ6021" s="4">
        <v>3</v>
      </c>
      <c r="AK6021" s="4">
        <v>8</v>
      </c>
      <c r="AL6021" s="4">
        <v>21</v>
      </c>
      <c r="AM6021" s="4">
        <v>31</v>
      </c>
      <c r="AN6021" s="4">
        <v>0</v>
      </c>
      <c r="AO6021" s="4">
        <v>0</v>
      </c>
      <c r="AP6021" s="4">
        <v>5</v>
      </c>
      <c r="AQ6021" s="4">
        <v>11</v>
      </c>
      <c r="AR6021" s="3" t="s">
        <v>62</v>
      </c>
      <c r="AS6021" s="3" t="s">
        <v>62</v>
      </c>
      <c r="AT6021" s="3" t="s">
        <v>62</v>
      </c>
      <c r="AV6021" s="6" t="str">
        <f>HYPERLINK("http://mcgill.on.worldcat.org/oclc/51856499","Catalog Record")</f>
        <v>Catalog Record</v>
      </c>
      <c r="AW6021" s="6" t="str">
        <f>HYPERLINK("http://www.worldcat.org/oclc/51856499","WorldCat Record")</f>
        <v>WorldCat Record</v>
      </c>
      <c r="AX6021" s="3" t="s">
        <v>56321</v>
      </c>
      <c r="AY6021" s="3" t="s">
        <v>56352</v>
      </c>
      <c r="AZ6021" s="3" t="s">
        <v>56353</v>
      </c>
      <c r="BA6021" s="3" t="s">
        <v>56353</v>
      </c>
      <c r="BB6021" s="3" t="s">
        <v>56358</v>
      </c>
      <c r="BC6021" s="3" t="s">
        <v>33640</v>
      </c>
      <c r="BD6021" s="3" t="s">
        <v>68</v>
      </c>
      <c r="BE6021" s="3" t="s">
        <v>56355</v>
      </c>
      <c r="BF6021" s="3" t="s">
        <v>56358</v>
      </c>
      <c r="BG6021" s="3" t="s">
        <v>56359</v>
      </c>
    </row>
    <row r="6022" spans="1:59" ht="87" x14ac:dyDescent="0.35">
      <c r="A6022" s="2" t="s">
        <v>89</v>
      </c>
      <c r="B6022" s="2" t="s">
        <v>42560</v>
      </c>
      <c r="C6022" s="2" t="s">
        <v>56347</v>
      </c>
      <c r="D6022" s="2" t="s">
        <v>56348</v>
      </c>
      <c r="E6022" s="2" t="s">
        <v>56349</v>
      </c>
      <c r="F6022" s="3" t="s">
        <v>2233</v>
      </c>
      <c r="G6022" s="3" t="s">
        <v>61</v>
      </c>
      <c r="I6022" s="3" t="s">
        <v>62</v>
      </c>
      <c r="J6022" s="3" t="s">
        <v>61</v>
      </c>
      <c r="K6022" s="3" t="s">
        <v>63</v>
      </c>
      <c r="M6022" s="2" t="s">
        <v>56350</v>
      </c>
      <c r="N6022" s="3" t="s">
        <v>625</v>
      </c>
      <c r="P6022" s="3" t="s">
        <v>64</v>
      </c>
      <c r="R6022" s="3" t="s">
        <v>42369</v>
      </c>
      <c r="S6022" s="4">
        <v>62</v>
      </c>
      <c r="T6022" s="4">
        <v>234</v>
      </c>
      <c r="U6022" s="5" t="s">
        <v>56351</v>
      </c>
      <c r="V6022" s="5" t="s">
        <v>56351</v>
      </c>
      <c r="W6022" s="5" t="s">
        <v>67</v>
      </c>
      <c r="X6022" s="5" t="s">
        <v>67</v>
      </c>
      <c r="Y6022" s="4">
        <v>762</v>
      </c>
      <c r="Z6022" s="4">
        <v>27</v>
      </c>
      <c r="AA6022" s="4">
        <v>43</v>
      </c>
      <c r="AB6022" s="4">
        <v>1</v>
      </c>
      <c r="AC6022" s="4">
        <v>3</v>
      </c>
      <c r="AD6022" s="4">
        <v>40</v>
      </c>
      <c r="AE6022" s="4">
        <v>61</v>
      </c>
      <c r="AF6022" s="4">
        <v>0</v>
      </c>
      <c r="AG6022" s="4">
        <v>1</v>
      </c>
      <c r="AH6022" s="4">
        <v>35</v>
      </c>
      <c r="AI6022" s="4">
        <v>51</v>
      </c>
      <c r="AJ6022" s="4">
        <v>3</v>
      </c>
      <c r="AK6022" s="4">
        <v>8</v>
      </c>
      <c r="AL6022" s="4">
        <v>21</v>
      </c>
      <c r="AM6022" s="4">
        <v>31</v>
      </c>
      <c r="AN6022" s="4">
        <v>0</v>
      </c>
      <c r="AO6022" s="4">
        <v>0</v>
      </c>
      <c r="AP6022" s="4">
        <v>5</v>
      </c>
      <c r="AQ6022" s="4">
        <v>11</v>
      </c>
      <c r="AR6022" s="3" t="s">
        <v>62</v>
      </c>
      <c r="AS6022" s="3" t="s">
        <v>62</v>
      </c>
      <c r="AT6022" s="3" t="s">
        <v>62</v>
      </c>
      <c r="AV6022" s="6" t="str">
        <f>HYPERLINK("http://mcgill.on.worldcat.org/oclc/51856499","Catalog Record")</f>
        <v>Catalog Record</v>
      </c>
      <c r="AW6022" s="6" t="str">
        <f>HYPERLINK("http://www.worldcat.org/oclc/51856499","WorldCat Record")</f>
        <v>WorldCat Record</v>
      </c>
      <c r="AX6022" s="3" t="s">
        <v>56321</v>
      </c>
      <c r="AY6022" s="3" t="s">
        <v>56352</v>
      </c>
      <c r="AZ6022" s="3" t="s">
        <v>56353</v>
      </c>
      <c r="BA6022" s="3" t="s">
        <v>56353</v>
      </c>
      <c r="BB6022" s="3" t="s">
        <v>56360</v>
      </c>
      <c r="BC6022" s="3" t="s">
        <v>33640</v>
      </c>
      <c r="BD6022" s="3" t="s">
        <v>68</v>
      </c>
      <c r="BE6022" s="3" t="s">
        <v>56355</v>
      </c>
      <c r="BF6022" s="3" t="s">
        <v>56360</v>
      </c>
      <c r="BG6022" s="3" t="s">
        <v>56361</v>
      </c>
    </row>
    <row r="6023" spans="1:59" ht="87" x14ac:dyDescent="0.35">
      <c r="A6023" s="2" t="s">
        <v>89</v>
      </c>
      <c r="B6023" s="2" t="s">
        <v>42560</v>
      </c>
      <c r="C6023" s="2" t="s">
        <v>56347</v>
      </c>
      <c r="D6023" s="2" t="s">
        <v>56348</v>
      </c>
      <c r="E6023" s="2" t="s">
        <v>56349</v>
      </c>
      <c r="F6023" s="3" t="s">
        <v>2214</v>
      </c>
      <c r="G6023" s="3" t="s">
        <v>61</v>
      </c>
      <c r="I6023" s="3" t="s">
        <v>62</v>
      </c>
      <c r="J6023" s="3" t="s">
        <v>61</v>
      </c>
      <c r="K6023" s="3" t="s">
        <v>63</v>
      </c>
      <c r="M6023" s="2" t="s">
        <v>56350</v>
      </c>
      <c r="N6023" s="3" t="s">
        <v>625</v>
      </c>
      <c r="P6023" s="3" t="s">
        <v>64</v>
      </c>
      <c r="R6023" s="3" t="s">
        <v>42369</v>
      </c>
      <c r="S6023" s="4">
        <v>49</v>
      </c>
      <c r="T6023" s="4">
        <v>234</v>
      </c>
      <c r="U6023" s="5" t="s">
        <v>2496</v>
      </c>
      <c r="V6023" s="5" t="s">
        <v>56351</v>
      </c>
      <c r="W6023" s="5" t="s">
        <v>67</v>
      </c>
      <c r="X6023" s="5" t="s">
        <v>67</v>
      </c>
      <c r="Y6023" s="4">
        <v>762</v>
      </c>
      <c r="Z6023" s="4">
        <v>27</v>
      </c>
      <c r="AA6023" s="4">
        <v>43</v>
      </c>
      <c r="AB6023" s="4">
        <v>1</v>
      </c>
      <c r="AC6023" s="4">
        <v>3</v>
      </c>
      <c r="AD6023" s="4">
        <v>40</v>
      </c>
      <c r="AE6023" s="4">
        <v>61</v>
      </c>
      <c r="AF6023" s="4">
        <v>0</v>
      </c>
      <c r="AG6023" s="4">
        <v>1</v>
      </c>
      <c r="AH6023" s="4">
        <v>35</v>
      </c>
      <c r="AI6023" s="4">
        <v>51</v>
      </c>
      <c r="AJ6023" s="4">
        <v>3</v>
      </c>
      <c r="AK6023" s="4">
        <v>8</v>
      </c>
      <c r="AL6023" s="4">
        <v>21</v>
      </c>
      <c r="AM6023" s="4">
        <v>31</v>
      </c>
      <c r="AN6023" s="4">
        <v>0</v>
      </c>
      <c r="AO6023" s="4">
        <v>0</v>
      </c>
      <c r="AP6023" s="4">
        <v>5</v>
      </c>
      <c r="AQ6023" s="4">
        <v>11</v>
      </c>
      <c r="AR6023" s="3" t="s">
        <v>62</v>
      </c>
      <c r="AS6023" s="3" t="s">
        <v>62</v>
      </c>
      <c r="AT6023" s="3" t="s">
        <v>62</v>
      </c>
      <c r="AV6023" s="6" t="str">
        <f>HYPERLINK("http://mcgill.on.worldcat.org/oclc/51856499","Catalog Record")</f>
        <v>Catalog Record</v>
      </c>
      <c r="AW6023" s="6" t="str">
        <f>HYPERLINK("http://www.worldcat.org/oclc/51856499","WorldCat Record")</f>
        <v>WorldCat Record</v>
      </c>
      <c r="AX6023" s="3" t="s">
        <v>56321</v>
      </c>
      <c r="AY6023" s="3" t="s">
        <v>56352</v>
      </c>
      <c r="AZ6023" s="3" t="s">
        <v>56353</v>
      </c>
      <c r="BA6023" s="3" t="s">
        <v>56353</v>
      </c>
      <c r="BB6023" s="3" t="s">
        <v>56362</v>
      </c>
      <c r="BC6023" s="3" t="s">
        <v>33640</v>
      </c>
      <c r="BD6023" s="3" t="s">
        <v>68</v>
      </c>
      <c r="BE6023" s="3" t="s">
        <v>56355</v>
      </c>
      <c r="BF6023" s="3" t="s">
        <v>56362</v>
      </c>
      <c r="BG6023" s="3" t="s">
        <v>56363</v>
      </c>
    </row>
    <row r="6024" spans="1:59" ht="87" x14ac:dyDescent="0.35">
      <c r="A6024" s="2" t="s">
        <v>89</v>
      </c>
      <c r="B6024" s="2" t="s">
        <v>42560</v>
      </c>
      <c r="C6024" s="2" t="s">
        <v>56364</v>
      </c>
      <c r="D6024" s="2" t="s">
        <v>56365</v>
      </c>
      <c r="E6024" s="2" t="s">
        <v>56366</v>
      </c>
      <c r="G6024" s="3" t="s">
        <v>62</v>
      </c>
      <c r="I6024" s="3" t="s">
        <v>62</v>
      </c>
      <c r="J6024" s="3" t="s">
        <v>62</v>
      </c>
      <c r="K6024" s="3" t="s">
        <v>63</v>
      </c>
      <c r="L6024" s="2" t="s">
        <v>56367</v>
      </c>
      <c r="M6024" s="2" t="s">
        <v>56368</v>
      </c>
      <c r="N6024" s="3" t="s">
        <v>625</v>
      </c>
      <c r="O6024" s="2" t="s">
        <v>56369</v>
      </c>
      <c r="P6024" s="3" t="s">
        <v>64</v>
      </c>
      <c r="R6024" s="3" t="s">
        <v>42369</v>
      </c>
      <c r="S6024" s="4">
        <v>80</v>
      </c>
      <c r="T6024" s="4">
        <v>80</v>
      </c>
      <c r="U6024" s="5" t="s">
        <v>8221</v>
      </c>
      <c r="V6024" s="5" t="s">
        <v>8221</v>
      </c>
      <c r="W6024" s="5" t="s">
        <v>67</v>
      </c>
      <c r="X6024" s="5" t="s">
        <v>67</v>
      </c>
      <c r="Y6024" s="4">
        <v>1538</v>
      </c>
      <c r="Z6024" s="4">
        <v>30</v>
      </c>
      <c r="AA6024" s="4">
        <v>72</v>
      </c>
      <c r="AB6024" s="4">
        <v>2</v>
      </c>
      <c r="AC6024" s="4">
        <v>3</v>
      </c>
      <c r="AD6024" s="4">
        <v>60</v>
      </c>
      <c r="AE6024" s="4">
        <v>84</v>
      </c>
      <c r="AF6024" s="4">
        <v>0</v>
      </c>
      <c r="AG6024" s="4">
        <v>0</v>
      </c>
      <c r="AH6024" s="4">
        <v>53</v>
      </c>
      <c r="AI6024" s="4">
        <v>68</v>
      </c>
      <c r="AJ6024" s="4">
        <v>3</v>
      </c>
      <c r="AK6024" s="4">
        <v>10</v>
      </c>
      <c r="AL6024" s="4">
        <v>29</v>
      </c>
      <c r="AM6024" s="4">
        <v>37</v>
      </c>
      <c r="AN6024" s="4">
        <v>0</v>
      </c>
      <c r="AO6024" s="4">
        <v>0</v>
      </c>
      <c r="AP6024" s="4">
        <v>7</v>
      </c>
      <c r="AQ6024" s="4">
        <v>21</v>
      </c>
      <c r="AR6024" s="3" t="s">
        <v>62</v>
      </c>
      <c r="AS6024" s="3" t="s">
        <v>62</v>
      </c>
      <c r="AT6024" s="3" t="s">
        <v>62</v>
      </c>
      <c r="AV6024" s="6" t="str">
        <f>HYPERLINK("http://mcgill.on.worldcat.org/oclc/52934365","Catalog Record")</f>
        <v>Catalog Record</v>
      </c>
      <c r="AW6024" s="6" t="str">
        <f>HYPERLINK("http://www.worldcat.org/oclc/52934365","WorldCat Record")</f>
        <v>WorldCat Record</v>
      </c>
      <c r="AX6024" s="3" t="s">
        <v>56370</v>
      </c>
      <c r="AY6024" s="3" t="s">
        <v>56371</v>
      </c>
      <c r="AZ6024" s="3" t="s">
        <v>56372</v>
      </c>
      <c r="BA6024" s="3" t="s">
        <v>56372</v>
      </c>
      <c r="BB6024" s="3" t="s">
        <v>56373</v>
      </c>
      <c r="BC6024" s="3" t="s">
        <v>33640</v>
      </c>
      <c r="BD6024" s="3" t="s">
        <v>68</v>
      </c>
      <c r="BE6024" s="3" t="s">
        <v>56374</v>
      </c>
      <c r="BF6024" s="3" t="s">
        <v>56373</v>
      </c>
      <c r="BG6024" s="3" t="s">
        <v>56375</v>
      </c>
    </row>
    <row r="6025" spans="1:59" ht="87" x14ac:dyDescent="0.35">
      <c r="A6025" s="2" t="s">
        <v>89</v>
      </c>
      <c r="B6025" s="2" t="s">
        <v>42560</v>
      </c>
      <c r="C6025" s="2" t="s">
        <v>56376</v>
      </c>
      <c r="D6025" s="2" t="s">
        <v>56377</v>
      </c>
      <c r="E6025" s="2" t="s">
        <v>56378</v>
      </c>
      <c r="F6025" s="3" t="s">
        <v>248</v>
      </c>
      <c r="G6025" s="3" t="s">
        <v>61</v>
      </c>
      <c r="I6025" s="3" t="s">
        <v>62</v>
      </c>
      <c r="J6025" s="3" t="s">
        <v>62</v>
      </c>
      <c r="K6025" s="3" t="s">
        <v>63</v>
      </c>
      <c r="M6025" s="2" t="s">
        <v>56379</v>
      </c>
      <c r="N6025" s="3" t="s">
        <v>655</v>
      </c>
      <c r="P6025" s="3" t="s">
        <v>64</v>
      </c>
      <c r="R6025" s="3" t="s">
        <v>42369</v>
      </c>
      <c r="S6025" s="4">
        <v>33</v>
      </c>
      <c r="T6025" s="4">
        <v>222</v>
      </c>
      <c r="U6025" s="5" t="s">
        <v>19588</v>
      </c>
      <c r="V6025" s="5" t="s">
        <v>19588</v>
      </c>
      <c r="W6025" s="5" t="s">
        <v>67</v>
      </c>
      <c r="X6025" s="5" t="s">
        <v>67</v>
      </c>
      <c r="Y6025" s="4">
        <v>1</v>
      </c>
      <c r="Z6025" s="4">
        <v>1</v>
      </c>
      <c r="AA6025" s="4">
        <v>35</v>
      </c>
      <c r="AB6025" s="4">
        <v>1</v>
      </c>
      <c r="AC6025" s="4">
        <v>4</v>
      </c>
      <c r="AD6025" s="4">
        <v>0</v>
      </c>
      <c r="AE6025" s="4">
        <v>22</v>
      </c>
      <c r="AF6025" s="4">
        <v>0</v>
      </c>
      <c r="AG6025" s="4">
        <v>1</v>
      </c>
      <c r="AH6025" s="4">
        <v>0</v>
      </c>
      <c r="AI6025" s="4">
        <v>16</v>
      </c>
      <c r="AJ6025" s="4">
        <v>0</v>
      </c>
      <c r="AK6025" s="4">
        <v>5</v>
      </c>
      <c r="AL6025" s="4">
        <v>0</v>
      </c>
      <c r="AM6025" s="4">
        <v>11</v>
      </c>
      <c r="AN6025" s="4">
        <v>0</v>
      </c>
      <c r="AO6025" s="4">
        <v>0</v>
      </c>
      <c r="AP6025" s="4">
        <v>0</v>
      </c>
      <c r="AQ6025" s="4">
        <v>8</v>
      </c>
      <c r="AR6025" s="3" t="s">
        <v>61</v>
      </c>
      <c r="AS6025" s="3" t="s">
        <v>62</v>
      </c>
      <c r="AT6025" s="3" t="s">
        <v>62</v>
      </c>
      <c r="AV6025" s="6" t="str">
        <f t="shared" ref="AV6025:AV6034" si="111">HYPERLINK("http://mcgill.on.worldcat.org/oclc/253777400","Catalog Record")</f>
        <v>Catalog Record</v>
      </c>
      <c r="AW6025" s="6" t="str">
        <f t="shared" ref="AW6025:AW6034" si="112">HYPERLINK("http://www.worldcat.org/oclc/253777400","WorldCat Record")</f>
        <v>WorldCat Record</v>
      </c>
      <c r="AX6025" s="3" t="s">
        <v>56380</v>
      </c>
      <c r="AY6025" s="3" t="s">
        <v>56381</v>
      </c>
      <c r="AZ6025" s="3" t="s">
        <v>56382</v>
      </c>
      <c r="BA6025" s="3" t="s">
        <v>56382</v>
      </c>
      <c r="BB6025" s="3" t="s">
        <v>56383</v>
      </c>
      <c r="BC6025" s="3" t="s">
        <v>33640</v>
      </c>
      <c r="BD6025" s="3" t="s">
        <v>68</v>
      </c>
      <c r="BF6025" s="3" t="s">
        <v>56383</v>
      </c>
      <c r="BG6025" s="3" t="s">
        <v>56384</v>
      </c>
    </row>
    <row r="6026" spans="1:59" ht="87" x14ac:dyDescent="0.35">
      <c r="A6026" s="2" t="s">
        <v>89</v>
      </c>
      <c r="B6026" s="2" t="s">
        <v>42560</v>
      </c>
      <c r="C6026" s="2" t="s">
        <v>56376</v>
      </c>
      <c r="D6026" s="2" t="s">
        <v>56377</v>
      </c>
      <c r="E6026" s="2" t="s">
        <v>56378</v>
      </c>
      <c r="F6026" s="3" t="s">
        <v>56331</v>
      </c>
      <c r="G6026" s="3" t="s">
        <v>61</v>
      </c>
      <c r="I6026" s="3" t="s">
        <v>62</v>
      </c>
      <c r="J6026" s="3" t="s">
        <v>62</v>
      </c>
      <c r="K6026" s="3" t="s">
        <v>63</v>
      </c>
      <c r="M6026" s="2" t="s">
        <v>56379</v>
      </c>
      <c r="N6026" s="3" t="s">
        <v>655</v>
      </c>
      <c r="P6026" s="3" t="s">
        <v>64</v>
      </c>
      <c r="R6026" s="3" t="s">
        <v>42369</v>
      </c>
      <c r="S6026" s="4">
        <v>9</v>
      </c>
      <c r="T6026" s="4">
        <v>222</v>
      </c>
      <c r="U6026" s="5" t="s">
        <v>498</v>
      </c>
      <c r="V6026" s="5" t="s">
        <v>19588</v>
      </c>
      <c r="W6026" s="5" t="s">
        <v>67</v>
      </c>
      <c r="X6026" s="5" t="s">
        <v>67</v>
      </c>
      <c r="Y6026" s="4">
        <v>1</v>
      </c>
      <c r="Z6026" s="4">
        <v>1</v>
      </c>
      <c r="AA6026" s="4">
        <v>35</v>
      </c>
      <c r="AB6026" s="4">
        <v>1</v>
      </c>
      <c r="AC6026" s="4">
        <v>4</v>
      </c>
      <c r="AD6026" s="4">
        <v>0</v>
      </c>
      <c r="AE6026" s="4">
        <v>22</v>
      </c>
      <c r="AF6026" s="4">
        <v>0</v>
      </c>
      <c r="AG6026" s="4">
        <v>1</v>
      </c>
      <c r="AH6026" s="4">
        <v>0</v>
      </c>
      <c r="AI6026" s="4">
        <v>16</v>
      </c>
      <c r="AJ6026" s="4">
        <v>0</v>
      </c>
      <c r="AK6026" s="4">
        <v>5</v>
      </c>
      <c r="AL6026" s="4">
        <v>0</v>
      </c>
      <c r="AM6026" s="4">
        <v>11</v>
      </c>
      <c r="AN6026" s="4">
        <v>0</v>
      </c>
      <c r="AO6026" s="4">
        <v>0</v>
      </c>
      <c r="AP6026" s="4">
        <v>0</v>
      </c>
      <c r="AQ6026" s="4">
        <v>8</v>
      </c>
      <c r="AR6026" s="3" t="s">
        <v>61</v>
      </c>
      <c r="AS6026" s="3" t="s">
        <v>62</v>
      </c>
      <c r="AT6026" s="3" t="s">
        <v>62</v>
      </c>
      <c r="AV6026" s="6" t="str">
        <f t="shared" si="111"/>
        <v>Catalog Record</v>
      </c>
      <c r="AW6026" s="6" t="str">
        <f t="shared" si="112"/>
        <v>WorldCat Record</v>
      </c>
      <c r="AX6026" s="3" t="s">
        <v>56380</v>
      </c>
      <c r="AY6026" s="3" t="s">
        <v>56381</v>
      </c>
      <c r="AZ6026" s="3" t="s">
        <v>56382</v>
      </c>
      <c r="BA6026" s="3" t="s">
        <v>56382</v>
      </c>
      <c r="BB6026" s="3" t="s">
        <v>56385</v>
      </c>
      <c r="BC6026" s="3" t="s">
        <v>33640</v>
      </c>
      <c r="BD6026" s="3" t="s">
        <v>68</v>
      </c>
      <c r="BF6026" s="3" t="s">
        <v>56385</v>
      </c>
      <c r="BG6026" s="3" t="s">
        <v>56386</v>
      </c>
    </row>
    <row r="6027" spans="1:59" ht="87" x14ac:dyDescent="0.35">
      <c r="A6027" s="2" t="s">
        <v>89</v>
      </c>
      <c r="B6027" s="2" t="s">
        <v>42560</v>
      </c>
      <c r="C6027" s="2" t="s">
        <v>56376</v>
      </c>
      <c r="D6027" s="2" t="s">
        <v>56377</v>
      </c>
      <c r="E6027" s="2" t="s">
        <v>56378</v>
      </c>
      <c r="F6027" s="3" t="s">
        <v>56337</v>
      </c>
      <c r="G6027" s="3" t="s">
        <v>61</v>
      </c>
      <c r="I6027" s="3" t="s">
        <v>62</v>
      </c>
      <c r="J6027" s="3" t="s">
        <v>62</v>
      </c>
      <c r="K6027" s="3" t="s">
        <v>63</v>
      </c>
      <c r="M6027" s="2" t="s">
        <v>56379</v>
      </c>
      <c r="N6027" s="3" t="s">
        <v>655</v>
      </c>
      <c r="P6027" s="3" t="s">
        <v>64</v>
      </c>
      <c r="R6027" s="3" t="s">
        <v>42369</v>
      </c>
      <c r="S6027" s="4">
        <v>23</v>
      </c>
      <c r="T6027" s="4">
        <v>222</v>
      </c>
      <c r="U6027" s="5" t="s">
        <v>54000</v>
      </c>
      <c r="V6027" s="5" t="s">
        <v>19588</v>
      </c>
      <c r="W6027" s="5" t="s">
        <v>67</v>
      </c>
      <c r="X6027" s="5" t="s">
        <v>67</v>
      </c>
      <c r="Y6027" s="4">
        <v>1</v>
      </c>
      <c r="Z6027" s="4">
        <v>1</v>
      </c>
      <c r="AA6027" s="4">
        <v>35</v>
      </c>
      <c r="AB6027" s="4">
        <v>1</v>
      </c>
      <c r="AC6027" s="4">
        <v>4</v>
      </c>
      <c r="AD6027" s="4">
        <v>0</v>
      </c>
      <c r="AE6027" s="4">
        <v>22</v>
      </c>
      <c r="AF6027" s="4">
        <v>0</v>
      </c>
      <c r="AG6027" s="4">
        <v>1</v>
      </c>
      <c r="AH6027" s="4">
        <v>0</v>
      </c>
      <c r="AI6027" s="4">
        <v>16</v>
      </c>
      <c r="AJ6027" s="4">
        <v>0</v>
      </c>
      <c r="AK6027" s="4">
        <v>5</v>
      </c>
      <c r="AL6027" s="4">
        <v>0</v>
      </c>
      <c r="AM6027" s="4">
        <v>11</v>
      </c>
      <c r="AN6027" s="4">
        <v>0</v>
      </c>
      <c r="AO6027" s="4">
        <v>0</v>
      </c>
      <c r="AP6027" s="4">
        <v>0</v>
      </c>
      <c r="AQ6027" s="4">
        <v>8</v>
      </c>
      <c r="AR6027" s="3" t="s">
        <v>61</v>
      </c>
      <c r="AS6027" s="3" t="s">
        <v>62</v>
      </c>
      <c r="AT6027" s="3" t="s">
        <v>62</v>
      </c>
      <c r="AV6027" s="6" t="str">
        <f t="shared" si="111"/>
        <v>Catalog Record</v>
      </c>
      <c r="AW6027" s="6" t="str">
        <f t="shared" si="112"/>
        <v>WorldCat Record</v>
      </c>
      <c r="AX6027" s="3" t="s">
        <v>56380</v>
      </c>
      <c r="AY6027" s="3" t="s">
        <v>56381</v>
      </c>
      <c r="AZ6027" s="3" t="s">
        <v>56382</v>
      </c>
      <c r="BA6027" s="3" t="s">
        <v>56382</v>
      </c>
      <c r="BB6027" s="3" t="s">
        <v>56387</v>
      </c>
      <c r="BC6027" s="3" t="s">
        <v>33640</v>
      </c>
      <c r="BD6027" s="3" t="s">
        <v>68</v>
      </c>
      <c r="BF6027" s="3" t="s">
        <v>56387</v>
      </c>
      <c r="BG6027" s="3" t="s">
        <v>56388</v>
      </c>
    </row>
    <row r="6028" spans="1:59" ht="87" x14ac:dyDescent="0.35">
      <c r="A6028" s="2" t="s">
        <v>89</v>
      </c>
      <c r="B6028" s="2" t="s">
        <v>42560</v>
      </c>
      <c r="C6028" s="2" t="s">
        <v>56376</v>
      </c>
      <c r="D6028" s="2" t="s">
        <v>56377</v>
      </c>
      <c r="E6028" s="2" t="s">
        <v>56378</v>
      </c>
      <c r="F6028" s="3" t="s">
        <v>56389</v>
      </c>
      <c r="G6028" s="3" t="s">
        <v>61</v>
      </c>
      <c r="I6028" s="3" t="s">
        <v>62</v>
      </c>
      <c r="J6028" s="3" t="s">
        <v>62</v>
      </c>
      <c r="K6028" s="3" t="s">
        <v>63</v>
      </c>
      <c r="M6028" s="2" t="s">
        <v>56379</v>
      </c>
      <c r="N6028" s="3" t="s">
        <v>655</v>
      </c>
      <c r="P6028" s="3" t="s">
        <v>64</v>
      </c>
      <c r="R6028" s="3" t="s">
        <v>42369</v>
      </c>
      <c r="S6028" s="4">
        <v>10</v>
      </c>
      <c r="T6028" s="4">
        <v>222</v>
      </c>
      <c r="U6028" s="5" t="s">
        <v>498</v>
      </c>
      <c r="V6028" s="5" t="s">
        <v>19588</v>
      </c>
      <c r="W6028" s="5" t="s">
        <v>67</v>
      </c>
      <c r="X6028" s="5" t="s">
        <v>67</v>
      </c>
      <c r="Y6028" s="4">
        <v>1</v>
      </c>
      <c r="Z6028" s="4">
        <v>1</v>
      </c>
      <c r="AA6028" s="4">
        <v>35</v>
      </c>
      <c r="AB6028" s="4">
        <v>1</v>
      </c>
      <c r="AC6028" s="4">
        <v>4</v>
      </c>
      <c r="AD6028" s="4">
        <v>0</v>
      </c>
      <c r="AE6028" s="4">
        <v>22</v>
      </c>
      <c r="AF6028" s="4">
        <v>0</v>
      </c>
      <c r="AG6028" s="4">
        <v>1</v>
      </c>
      <c r="AH6028" s="4">
        <v>0</v>
      </c>
      <c r="AI6028" s="4">
        <v>16</v>
      </c>
      <c r="AJ6028" s="4">
        <v>0</v>
      </c>
      <c r="AK6028" s="4">
        <v>5</v>
      </c>
      <c r="AL6028" s="4">
        <v>0</v>
      </c>
      <c r="AM6028" s="4">
        <v>11</v>
      </c>
      <c r="AN6028" s="4">
        <v>0</v>
      </c>
      <c r="AO6028" s="4">
        <v>0</v>
      </c>
      <c r="AP6028" s="4">
        <v>0</v>
      </c>
      <c r="AQ6028" s="4">
        <v>8</v>
      </c>
      <c r="AR6028" s="3" t="s">
        <v>61</v>
      </c>
      <c r="AS6028" s="3" t="s">
        <v>62</v>
      </c>
      <c r="AT6028" s="3" t="s">
        <v>62</v>
      </c>
      <c r="AV6028" s="6" t="str">
        <f t="shared" si="111"/>
        <v>Catalog Record</v>
      </c>
      <c r="AW6028" s="6" t="str">
        <f t="shared" si="112"/>
        <v>WorldCat Record</v>
      </c>
      <c r="AX6028" s="3" t="s">
        <v>56380</v>
      </c>
      <c r="AY6028" s="3" t="s">
        <v>56381</v>
      </c>
      <c r="AZ6028" s="3" t="s">
        <v>56382</v>
      </c>
      <c r="BA6028" s="3" t="s">
        <v>56382</v>
      </c>
      <c r="BB6028" s="3" t="s">
        <v>56390</v>
      </c>
      <c r="BC6028" s="3" t="s">
        <v>33640</v>
      </c>
      <c r="BD6028" s="3" t="s">
        <v>68</v>
      </c>
      <c r="BF6028" s="3" t="s">
        <v>56390</v>
      </c>
      <c r="BG6028" s="3" t="s">
        <v>56391</v>
      </c>
    </row>
    <row r="6029" spans="1:59" ht="87" x14ac:dyDescent="0.35">
      <c r="A6029" s="2" t="s">
        <v>89</v>
      </c>
      <c r="B6029" s="2" t="s">
        <v>42560</v>
      </c>
      <c r="C6029" s="2" t="s">
        <v>56376</v>
      </c>
      <c r="D6029" s="2" t="s">
        <v>56377</v>
      </c>
      <c r="E6029" s="2" t="s">
        <v>56378</v>
      </c>
      <c r="F6029" s="3" t="s">
        <v>56392</v>
      </c>
      <c r="G6029" s="3" t="s">
        <v>61</v>
      </c>
      <c r="I6029" s="3" t="s">
        <v>62</v>
      </c>
      <c r="J6029" s="3" t="s">
        <v>62</v>
      </c>
      <c r="K6029" s="3" t="s">
        <v>63</v>
      </c>
      <c r="M6029" s="2" t="s">
        <v>56379</v>
      </c>
      <c r="N6029" s="3" t="s">
        <v>655</v>
      </c>
      <c r="P6029" s="3" t="s">
        <v>64</v>
      </c>
      <c r="R6029" s="3" t="s">
        <v>42369</v>
      </c>
      <c r="S6029" s="4">
        <v>9</v>
      </c>
      <c r="T6029" s="4">
        <v>222</v>
      </c>
      <c r="U6029" s="5" t="s">
        <v>498</v>
      </c>
      <c r="V6029" s="5" t="s">
        <v>19588</v>
      </c>
      <c r="W6029" s="5" t="s">
        <v>67</v>
      </c>
      <c r="X6029" s="5" t="s">
        <v>67</v>
      </c>
      <c r="Y6029" s="4">
        <v>1</v>
      </c>
      <c r="Z6029" s="4">
        <v>1</v>
      </c>
      <c r="AA6029" s="4">
        <v>35</v>
      </c>
      <c r="AB6029" s="4">
        <v>1</v>
      </c>
      <c r="AC6029" s="4">
        <v>4</v>
      </c>
      <c r="AD6029" s="4">
        <v>0</v>
      </c>
      <c r="AE6029" s="4">
        <v>22</v>
      </c>
      <c r="AF6029" s="4">
        <v>0</v>
      </c>
      <c r="AG6029" s="4">
        <v>1</v>
      </c>
      <c r="AH6029" s="4">
        <v>0</v>
      </c>
      <c r="AI6029" s="4">
        <v>16</v>
      </c>
      <c r="AJ6029" s="4">
        <v>0</v>
      </c>
      <c r="AK6029" s="4">
        <v>5</v>
      </c>
      <c r="AL6029" s="4">
        <v>0</v>
      </c>
      <c r="AM6029" s="4">
        <v>11</v>
      </c>
      <c r="AN6029" s="4">
        <v>0</v>
      </c>
      <c r="AO6029" s="4">
        <v>0</v>
      </c>
      <c r="AP6029" s="4">
        <v>0</v>
      </c>
      <c r="AQ6029" s="4">
        <v>8</v>
      </c>
      <c r="AR6029" s="3" t="s">
        <v>61</v>
      </c>
      <c r="AS6029" s="3" t="s">
        <v>62</v>
      </c>
      <c r="AT6029" s="3" t="s">
        <v>62</v>
      </c>
      <c r="AV6029" s="6" t="str">
        <f t="shared" si="111"/>
        <v>Catalog Record</v>
      </c>
      <c r="AW6029" s="6" t="str">
        <f t="shared" si="112"/>
        <v>WorldCat Record</v>
      </c>
      <c r="AX6029" s="3" t="s">
        <v>56380</v>
      </c>
      <c r="AY6029" s="3" t="s">
        <v>56381</v>
      </c>
      <c r="AZ6029" s="3" t="s">
        <v>56382</v>
      </c>
      <c r="BA6029" s="3" t="s">
        <v>56382</v>
      </c>
      <c r="BB6029" s="3" t="s">
        <v>56393</v>
      </c>
      <c r="BC6029" s="3" t="s">
        <v>33640</v>
      </c>
      <c r="BD6029" s="3" t="s">
        <v>68</v>
      </c>
      <c r="BF6029" s="3" t="s">
        <v>56393</v>
      </c>
      <c r="BG6029" s="3" t="s">
        <v>56394</v>
      </c>
    </row>
    <row r="6030" spans="1:59" ht="87" x14ac:dyDescent="0.35">
      <c r="A6030" s="2" t="s">
        <v>89</v>
      </c>
      <c r="B6030" s="2" t="s">
        <v>42560</v>
      </c>
      <c r="C6030" s="2" t="s">
        <v>56376</v>
      </c>
      <c r="D6030" s="2" t="s">
        <v>56377</v>
      </c>
      <c r="E6030" s="2" t="s">
        <v>56378</v>
      </c>
      <c r="F6030" s="3" t="s">
        <v>56319</v>
      </c>
      <c r="G6030" s="3" t="s">
        <v>61</v>
      </c>
      <c r="I6030" s="3" t="s">
        <v>62</v>
      </c>
      <c r="J6030" s="3" t="s">
        <v>62</v>
      </c>
      <c r="K6030" s="3" t="s">
        <v>63</v>
      </c>
      <c r="M6030" s="2" t="s">
        <v>56379</v>
      </c>
      <c r="N6030" s="3" t="s">
        <v>655</v>
      </c>
      <c r="P6030" s="3" t="s">
        <v>64</v>
      </c>
      <c r="R6030" s="3" t="s">
        <v>42369</v>
      </c>
      <c r="S6030" s="4">
        <v>17</v>
      </c>
      <c r="T6030" s="4">
        <v>222</v>
      </c>
      <c r="U6030" s="5" t="s">
        <v>54000</v>
      </c>
      <c r="V6030" s="5" t="s">
        <v>19588</v>
      </c>
      <c r="W6030" s="5" t="s">
        <v>67</v>
      </c>
      <c r="X6030" s="5" t="s">
        <v>67</v>
      </c>
      <c r="Y6030" s="4">
        <v>1</v>
      </c>
      <c r="Z6030" s="4">
        <v>1</v>
      </c>
      <c r="AA6030" s="4">
        <v>35</v>
      </c>
      <c r="AB6030" s="4">
        <v>1</v>
      </c>
      <c r="AC6030" s="4">
        <v>4</v>
      </c>
      <c r="AD6030" s="4">
        <v>0</v>
      </c>
      <c r="AE6030" s="4">
        <v>22</v>
      </c>
      <c r="AF6030" s="4">
        <v>0</v>
      </c>
      <c r="AG6030" s="4">
        <v>1</v>
      </c>
      <c r="AH6030" s="4">
        <v>0</v>
      </c>
      <c r="AI6030" s="4">
        <v>16</v>
      </c>
      <c r="AJ6030" s="4">
        <v>0</v>
      </c>
      <c r="AK6030" s="4">
        <v>5</v>
      </c>
      <c r="AL6030" s="4">
        <v>0</v>
      </c>
      <c r="AM6030" s="4">
        <v>11</v>
      </c>
      <c r="AN6030" s="4">
        <v>0</v>
      </c>
      <c r="AO6030" s="4">
        <v>0</v>
      </c>
      <c r="AP6030" s="4">
        <v>0</v>
      </c>
      <c r="AQ6030" s="4">
        <v>8</v>
      </c>
      <c r="AR6030" s="3" t="s">
        <v>61</v>
      </c>
      <c r="AS6030" s="3" t="s">
        <v>62</v>
      </c>
      <c r="AT6030" s="3" t="s">
        <v>62</v>
      </c>
      <c r="AV6030" s="6" t="str">
        <f t="shared" si="111"/>
        <v>Catalog Record</v>
      </c>
      <c r="AW6030" s="6" t="str">
        <f t="shared" si="112"/>
        <v>WorldCat Record</v>
      </c>
      <c r="AX6030" s="3" t="s">
        <v>56380</v>
      </c>
      <c r="AY6030" s="3" t="s">
        <v>56381</v>
      </c>
      <c r="AZ6030" s="3" t="s">
        <v>56382</v>
      </c>
      <c r="BA6030" s="3" t="s">
        <v>56382</v>
      </c>
      <c r="BB6030" s="3" t="s">
        <v>56395</v>
      </c>
      <c r="BC6030" s="3" t="s">
        <v>33640</v>
      </c>
      <c r="BD6030" s="3" t="s">
        <v>68</v>
      </c>
      <c r="BF6030" s="3" t="s">
        <v>56395</v>
      </c>
      <c r="BG6030" s="3" t="s">
        <v>56396</v>
      </c>
    </row>
    <row r="6031" spans="1:59" ht="87" x14ac:dyDescent="0.35">
      <c r="A6031" s="2" t="s">
        <v>89</v>
      </c>
      <c r="B6031" s="2" t="s">
        <v>42560</v>
      </c>
      <c r="C6031" s="2" t="s">
        <v>56376</v>
      </c>
      <c r="D6031" s="2" t="s">
        <v>56377</v>
      </c>
      <c r="E6031" s="2" t="s">
        <v>56378</v>
      </c>
      <c r="F6031" s="3" t="s">
        <v>56344</v>
      </c>
      <c r="G6031" s="3" t="s">
        <v>61</v>
      </c>
      <c r="I6031" s="3" t="s">
        <v>62</v>
      </c>
      <c r="J6031" s="3" t="s">
        <v>62</v>
      </c>
      <c r="K6031" s="3" t="s">
        <v>63</v>
      </c>
      <c r="M6031" s="2" t="s">
        <v>56379</v>
      </c>
      <c r="N6031" s="3" t="s">
        <v>655</v>
      </c>
      <c r="P6031" s="3" t="s">
        <v>64</v>
      </c>
      <c r="R6031" s="3" t="s">
        <v>42369</v>
      </c>
      <c r="S6031" s="4">
        <v>24</v>
      </c>
      <c r="T6031" s="4">
        <v>222</v>
      </c>
      <c r="U6031" s="5" t="s">
        <v>498</v>
      </c>
      <c r="V6031" s="5" t="s">
        <v>19588</v>
      </c>
      <c r="W6031" s="5" t="s">
        <v>67</v>
      </c>
      <c r="X6031" s="5" t="s">
        <v>67</v>
      </c>
      <c r="Y6031" s="4">
        <v>1</v>
      </c>
      <c r="Z6031" s="4">
        <v>1</v>
      </c>
      <c r="AA6031" s="4">
        <v>35</v>
      </c>
      <c r="AB6031" s="4">
        <v>1</v>
      </c>
      <c r="AC6031" s="4">
        <v>4</v>
      </c>
      <c r="AD6031" s="4">
        <v>0</v>
      </c>
      <c r="AE6031" s="4">
        <v>22</v>
      </c>
      <c r="AF6031" s="4">
        <v>0</v>
      </c>
      <c r="AG6031" s="4">
        <v>1</v>
      </c>
      <c r="AH6031" s="4">
        <v>0</v>
      </c>
      <c r="AI6031" s="4">
        <v>16</v>
      </c>
      <c r="AJ6031" s="4">
        <v>0</v>
      </c>
      <c r="AK6031" s="4">
        <v>5</v>
      </c>
      <c r="AL6031" s="4">
        <v>0</v>
      </c>
      <c r="AM6031" s="4">
        <v>11</v>
      </c>
      <c r="AN6031" s="4">
        <v>0</v>
      </c>
      <c r="AO6031" s="4">
        <v>0</v>
      </c>
      <c r="AP6031" s="4">
        <v>0</v>
      </c>
      <c r="AQ6031" s="4">
        <v>8</v>
      </c>
      <c r="AR6031" s="3" t="s">
        <v>61</v>
      </c>
      <c r="AS6031" s="3" t="s">
        <v>62</v>
      </c>
      <c r="AT6031" s="3" t="s">
        <v>62</v>
      </c>
      <c r="AV6031" s="6" t="str">
        <f t="shared" si="111"/>
        <v>Catalog Record</v>
      </c>
      <c r="AW6031" s="6" t="str">
        <f t="shared" si="112"/>
        <v>WorldCat Record</v>
      </c>
      <c r="AX6031" s="3" t="s">
        <v>56380</v>
      </c>
      <c r="AY6031" s="3" t="s">
        <v>56381</v>
      </c>
      <c r="AZ6031" s="3" t="s">
        <v>56382</v>
      </c>
      <c r="BA6031" s="3" t="s">
        <v>56382</v>
      </c>
      <c r="BB6031" s="3" t="s">
        <v>56397</v>
      </c>
      <c r="BC6031" s="3" t="s">
        <v>33640</v>
      </c>
      <c r="BD6031" s="3" t="s">
        <v>68</v>
      </c>
      <c r="BF6031" s="3" t="s">
        <v>56397</v>
      </c>
      <c r="BG6031" s="3" t="s">
        <v>56398</v>
      </c>
    </row>
    <row r="6032" spans="1:59" ht="87" x14ac:dyDescent="0.35">
      <c r="A6032" s="2" t="s">
        <v>89</v>
      </c>
      <c r="B6032" s="2" t="s">
        <v>42560</v>
      </c>
      <c r="C6032" s="2" t="s">
        <v>56376</v>
      </c>
      <c r="D6032" s="2" t="s">
        <v>56377</v>
      </c>
      <c r="E6032" s="2" t="s">
        <v>56378</v>
      </c>
      <c r="F6032" s="3" t="s">
        <v>56334</v>
      </c>
      <c r="G6032" s="3" t="s">
        <v>61</v>
      </c>
      <c r="I6032" s="3" t="s">
        <v>62</v>
      </c>
      <c r="J6032" s="3" t="s">
        <v>62</v>
      </c>
      <c r="K6032" s="3" t="s">
        <v>63</v>
      </c>
      <c r="M6032" s="2" t="s">
        <v>56379</v>
      </c>
      <c r="N6032" s="3" t="s">
        <v>655</v>
      </c>
      <c r="P6032" s="3" t="s">
        <v>64</v>
      </c>
      <c r="R6032" s="3" t="s">
        <v>42369</v>
      </c>
      <c r="S6032" s="4">
        <v>25</v>
      </c>
      <c r="T6032" s="4">
        <v>222</v>
      </c>
      <c r="U6032" s="5" t="s">
        <v>498</v>
      </c>
      <c r="V6032" s="5" t="s">
        <v>19588</v>
      </c>
      <c r="W6032" s="5" t="s">
        <v>67</v>
      </c>
      <c r="X6032" s="5" t="s">
        <v>67</v>
      </c>
      <c r="Y6032" s="4">
        <v>1</v>
      </c>
      <c r="Z6032" s="4">
        <v>1</v>
      </c>
      <c r="AA6032" s="4">
        <v>35</v>
      </c>
      <c r="AB6032" s="4">
        <v>1</v>
      </c>
      <c r="AC6032" s="4">
        <v>4</v>
      </c>
      <c r="AD6032" s="4">
        <v>0</v>
      </c>
      <c r="AE6032" s="4">
        <v>22</v>
      </c>
      <c r="AF6032" s="4">
        <v>0</v>
      </c>
      <c r="AG6032" s="4">
        <v>1</v>
      </c>
      <c r="AH6032" s="4">
        <v>0</v>
      </c>
      <c r="AI6032" s="4">
        <v>16</v>
      </c>
      <c r="AJ6032" s="4">
        <v>0</v>
      </c>
      <c r="AK6032" s="4">
        <v>5</v>
      </c>
      <c r="AL6032" s="4">
        <v>0</v>
      </c>
      <c r="AM6032" s="4">
        <v>11</v>
      </c>
      <c r="AN6032" s="4">
        <v>0</v>
      </c>
      <c r="AO6032" s="4">
        <v>0</v>
      </c>
      <c r="AP6032" s="4">
        <v>0</v>
      </c>
      <c r="AQ6032" s="4">
        <v>8</v>
      </c>
      <c r="AR6032" s="3" t="s">
        <v>61</v>
      </c>
      <c r="AS6032" s="3" t="s">
        <v>62</v>
      </c>
      <c r="AT6032" s="3" t="s">
        <v>62</v>
      </c>
      <c r="AV6032" s="6" t="str">
        <f t="shared" si="111"/>
        <v>Catalog Record</v>
      </c>
      <c r="AW6032" s="6" t="str">
        <f t="shared" si="112"/>
        <v>WorldCat Record</v>
      </c>
      <c r="AX6032" s="3" t="s">
        <v>56380</v>
      </c>
      <c r="AY6032" s="3" t="s">
        <v>56381</v>
      </c>
      <c r="AZ6032" s="3" t="s">
        <v>56382</v>
      </c>
      <c r="BA6032" s="3" t="s">
        <v>56382</v>
      </c>
      <c r="BB6032" s="3" t="s">
        <v>56399</v>
      </c>
      <c r="BC6032" s="3" t="s">
        <v>33640</v>
      </c>
      <c r="BD6032" s="3" t="s">
        <v>68</v>
      </c>
      <c r="BF6032" s="3" t="s">
        <v>56399</v>
      </c>
      <c r="BG6032" s="3" t="s">
        <v>56400</v>
      </c>
    </row>
    <row r="6033" spans="1:59" ht="87" x14ac:dyDescent="0.35">
      <c r="A6033" s="2" t="s">
        <v>89</v>
      </c>
      <c r="B6033" s="2" t="s">
        <v>42560</v>
      </c>
      <c r="C6033" s="2" t="s">
        <v>56376</v>
      </c>
      <c r="D6033" s="2" t="s">
        <v>56377</v>
      </c>
      <c r="E6033" s="2" t="s">
        <v>56378</v>
      </c>
      <c r="F6033" s="3" t="s">
        <v>55111</v>
      </c>
      <c r="G6033" s="3" t="s">
        <v>61</v>
      </c>
      <c r="I6033" s="3" t="s">
        <v>62</v>
      </c>
      <c r="J6033" s="3" t="s">
        <v>62</v>
      </c>
      <c r="K6033" s="3" t="s">
        <v>63</v>
      </c>
      <c r="M6033" s="2" t="s">
        <v>56379</v>
      </c>
      <c r="N6033" s="3" t="s">
        <v>655</v>
      </c>
      <c r="P6033" s="3" t="s">
        <v>64</v>
      </c>
      <c r="R6033" s="3" t="s">
        <v>42369</v>
      </c>
      <c r="S6033" s="4">
        <v>29</v>
      </c>
      <c r="T6033" s="4">
        <v>222</v>
      </c>
      <c r="U6033" s="5" t="s">
        <v>498</v>
      </c>
      <c r="V6033" s="5" t="s">
        <v>19588</v>
      </c>
      <c r="W6033" s="5" t="s">
        <v>67</v>
      </c>
      <c r="X6033" s="5" t="s">
        <v>67</v>
      </c>
      <c r="Y6033" s="4">
        <v>1</v>
      </c>
      <c r="Z6033" s="4">
        <v>1</v>
      </c>
      <c r="AA6033" s="4">
        <v>35</v>
      </c>
      <c r="AB6033" s="4">
        <v>1</v>
      </c>
      <c r="AC6033" s="4">
        <v>4</v>
      </c>
      <c r="AD6033" s="4">
        <v>0</v>
      </c>
      <c r="AE6033" s="4">
        <v>22</v>
      </c>
      <c r="AF6033" s="4">
        <v>0</v>
      </c>
      <c r="AG6033" s="4">
        <v>1</v>
      </c>
      <c r="AH6033" s="4">
        <v>0</v>
      </c>
      <c r="AI6033" s="4">
        <v>16</v>
      </c>
      <c r="AJ6033" s="4">
        <v>0</v>
      </c>
      <c r="AK6033" s="4">
        <v>5</v>
      </c>
      <c r="AL6033" s="4">
        <v>0</v>
      </c>
      <c r="AM6033" s="4">
        <v>11</v>
      </c>
      <c r="AN6033" s="4">
        <v>0</v>
      </c>
      <c r="AO6033" s="4">
        <v>0</v>
      </c>
      <c r="AP6033" s="4">
        <v>0</v>
      </c>
      <c r="AQ6033" s="4">
        <v>8</v>
      </c>
      <c r="AR6033" s="3" t="s">
        <v>61</v>
      </c>
      <c r="AS6033" s="3" t="s">
        <v>62</v>
      </c>
      <c r="AT6033" s="3" t="s">
        <v>62</v>
      </c>
      <c r="AV6033" s="6" t="str">
        <f t="shared" si="111"/>
        <v>Catalog Record</v>
      </c>
      <c r="AW6033" s="6" t="str">
        <f t="shared" si="112"/>
        <v>WorldCat Record</v>
      </c>
      <c r="AX6033" s="3" t="s">
        <v>56380</v>
      </c>
      <c r="AY6033" s="3" t="s">
        <v>56381</v>
      </c>
      <c r="AZ6033" s="3" t="s">
        <v>56382</v>
      </c>
      <c r="BA6033" s="3" t="s">
        <v>56382</v>
      </c>
      <c r="BB6033" s="3" t="s">
        <v>56401</v>
      </c>
      <c r="BC6033" s="3" t="s">
        <v>33640</v>
      </c>
      <c r="BD6033" s="3" t="s">
        <v>68</v>
      </c>
      <c r="BF6033" s="3" t="s">
        <v>56401</v>
      </c>
      <c r="BG6033" s="3" t="s">
        <v>56402</v>
      </c>
    </row>
    <row r="6034" spans="1:59" ht="87" x14ac:dyDescent="0.35">
      <c r="A6034" s="2" t="s">
        <v>89</v>
      </c>
      <c r="B6034" s="2" t="s">
        <v>42560</v>
      </c>
      <c r="C6034" s="2" t="s">
        <v>56376</v>
      </c>
      <c r="D6034" s="2" t="s">
        <v>56377</v>
      </c>
      <c r="E6034" s="2" t="s">
        <v>56378</v>
      </c>
      <c r="F6034" s="3" t="s">
        <v>237</v>
      </c>
      <c r="G6034" s="3" t="s">
        <v>61</v>
      </c>
      <c r="I6034" s="3" t="s">
        <v>62</v>
      </c>
      <c r="J6034" s="3" t="s">
        <v>62</v>
      </c>
      <c r="K6034" s="3" t="s">
        <v>63</v>
      </c>
      <c r="M6034" s="2" t="s">
        <v>56379</v>
      </c>
      <c r="N6034" s="3" t="s">
        <v>655</v>
      </c>
      <c r="P6034" s="3" t="s">
        <v>64</v>
      </c>
      <c r="R6034" s="3" t="s">
        <v>42369</v>
      </c>
      <c r="S6034" s="4">
        <v>43</v>
      </c>
      <c r="T6034" s="4">
        <v>222</v>
      </c>
      <c r="U6034" s="5" t="s">
        <v>19588</v>
      </c>
      <c r="V6034" s="5" t="s">
        <v>19588</v>
      </c>
      <c r="W6034" s="5" t="s">
        <v>67</v>
      </c>
      <c r="X6034" s="5" t="s">
        <v>67</v>
      </c>
      <c r="Y6034" s="4">
        <v>1</v>
      </c>
      <c r="Z6034" s="4">
        <v>1</v>
      </c>
      <c r="AA6034" s="4">
        <v>35</v>
      </c>
      <c r="AB6034" s="4">
        <v>1</v>
      </c>
      <c r="AC6034" s="4">
        <v>4</v>
      </c>
      <c r="AD6034" s="4">
        <v>0</v>
      </c>
      <c r="AE6034" s="4">
        <v>22</v>
      </c>
      <c r="AF6034" s="4">
        <v>0</v>
      </c>
      <c r="AG6034" s="4">
        <v>1</v>
      </c>
      <c r="AH6034" s="4">
        <v>0</v>
      </c>
      <c r="AI6034" s="4">
        <v>16</v>
      </c>
      <c r="AJ6034" s="4">
        <v>0</v>
      </c>
      <c r="AK6034" s="4">
        <v>5</v>
      </c>
      <c r="AL6034" s="4">
        <v>0</v>
      </c>
      <c r="AM6034" s="4">
        <v>11</v>
      </c>
      <c r="AN6034" s="4">
        <v>0</v>
      </c>
      <c r="AO6034" s="4">
        <v>0</v>
      </c>
      <c r="AP6034" s="4">
        <v>0</v>
      </c>
      <c r="AQ6034" s="4">
        <v>8</v>
      </c>
      <c r="AR6034" s="3" t="s">
        <v>61</v>
      </c>
      <c r="AS6034" s="3" t="s">
        <v>62</v>
      </c>
      <c r="AT6034" s="3" t="s">
        <v>62</v>
      </c>
      <c r="AV6034" s="6" t="str">
        <f t="shared" si="111"/>
        <v>Catalog Record</v>
      </c>
      <c r="AW6034" s="6" t="str">
        <f t="shared" si="112"/>
        <v>WorldCat Record</v>
      </c>
      <c r="AX6034" s="3" t="s">
        <v>56380</v>
      </c>
      <c r="AY6034" s="3" t="s">
        <v>56381</v>
      </c>
      <c r="AZ6034" s="3" t="s">
        <v>56382</v>
      </c>
      <c r="BA6034" s="3" t="s">
        <v>56382</v>
      </c>
      <c r="BB6034" s="3" t="s">
        <v>56403</v>
      </c>
      <c r="BC6034" s="3" t="s">
        <v>33640</v>
      </c>
      <c r="BD6034" s="3" t="s">
        <v>68</v>
      </c>
      <c r="BF6034" s="3" t="s">
        <v>56403</v>
      </c>
      <c r="BG6034" s="3" t="s">
        <v>56404</v>
      </c>
    </row>
    <row r="6035" spans="1:59" ht="87" x14ac:dyDescent="0.35">
      <c r="A6035" s="2" t="s">
        <v>89</v>
      </c>
      <c r="B6035" s="2" t="s">
        <v>42560</v>
      </c>
      <c r="C6035" s="2" t="s">
        <v>56405</v>
      </c>
      <c r="D6035" s="2" t="s">
        <v>56406</v>
      </c>
      <c r="E6035" s="2" t="s">
        <v>56407</v>
      </c>
      <c r="G6035" s="3" t="s">
        <v>62</v>
      </c>
      <c r="I6035" s="3" t="s">
        <v>61</v>
      </c>
      <c r="J6035" s="3" t="s">
        <v>62</v>
      </c>
      <c r="K6035" s="3" t="s">
        <v>63</v>
      </c>
      <c r="M6035" s="2" t="s">
        <v>56408</v>
      </c>
      <c r="N6035" s="3" t="s">
        <v>2136</v>
      </c>
      <c r="O6035" s="2" t="s">
        <v>55006</v>
      </c>
      <c r="P6035" s="3" t="s">
        <v>64</v>
      </c>
      <c r="R6035" s="3" t="s">
        <v>42369</v>
      </c>
      <c r="S6035" s="4">
        <v>72</v>
      </c>
      <c r="T6035" s="4">
        <v>256</v>
      </c>
      <c r="U6035" s="5" t="s">
        <v>3920</v>
      </c>
      <c r="V6035" s="5" t="s">
        <v>15777</v>
      </c>
      <c r="W6035" s="5" t="s">
        <v>67</v>
      </c>
      <c r="X6035" s="5" t="s">
        <v>67</v>
      </c>
      <c r="Y6035" s="4">
        <v>1775</v>
      </c>
      <c r="Z6035" s="4">
        <v>60</v>
      </c>
      <c r="AA6035" s="4">
        <v>98</v>
      </c>
      <c r="AB6035" s="4">
        <v>1</v>
      </c>
      <c r="AC6035" s="4">
        <v>7</v>
      </c>
      <c r="AD6035" s="4">
        <v>103</v>
      </c>
      <c r="AE6035" s="4">
        <v>118</v>
      </c>
      <c r="AF6035" s="4">
        <v>0</v>
      </c>
      <c r="AG6035" s="4">
        <v>3</v>
      </c>
      <c r="AH6035" s="4">
        <v>89</v>
      </c>
      <c r="AI6035" s="4">
        <v>92</v>
      </c>
      <c r="AJ6035" s="4">
        <v>9</v>
      </c>
      <c r="AK6035" s="4">
        <v>17</v>
      </c>
      <c r="AL6035" s="4">
        <v>48</v>
      </c>
      <c r="AM6035" s="4">
        <v>49</v>
      </c>
      <c r="AN6035" s="4">
        <v>0</v>
      </c>
      <c r="AO6035" s="4">
        <v>0</v>
      </c>
      <c r="AP6035" s="4">
        <v>19</v>
      </c>
      <c r="AQ6035" s="4">
        <v>31</v>
      </c>
      <c r="AR6035" s="3" t="s">
        <v>62</v>
      </c>
      <c r="AS6035" s="3" t="s">
        <v>62</v>
      </c>
      <c r="AT6035" s="3" t="s">
        <v>62</v>
      </c>
      <c r="AV6035" s="6" t="str">
        <f>HYPERLINK("http://mcgill.on.worldcat.org/oclc/62083818","Catalog Record")</f>
        <v>Catalog Record</v>
      </c>
      <c r="AW6035" s="6" t="str">
        <f>HYPERLINK("http://www.worldcat.org/oclc/62083818","WorldCat Record")</f>
        <v>WorldCat Record</v>
      </c>
      <c r="AX6035" s="3" t="s">
        <v>56409</v>
      </c>
      <c r="AY6035" s="3" t="s">
        <v>56410</v>
      </c>
      <c r="AZ6035" s="3" t="s">
        <v>56411</v>
      </c>
      <c r="BA6035" s="3" t="s">
        <v>56411</v>
      </c>
      <c r="BB6035" s="3" t="s">
        <v>56412</v>
      </c>
      <c r="BC6035" s="3" t="s">
        <v>33640</v>
      </c>
      <c r="BD6035" s="3" t="s">
        <v>68</v>
      </c>
      <c r="BF6035" s="3" t="s">
        <v>56412</v>
      </c>
      <c r="BG6035" s="3" t="s">
        <v>56413</v>
      </c>
    </row>
    <row r="6036" spans="1:59" ht="87" x14ac:dyDescent="0.35">
      <c r="A6036" s="2" t="s">
        <v>89</v>
      </c>
      <c r="B6036" s="2" t="s">
        <v>42560</v>
      </c>
      <c r="C6036" s="2" t="s">
        <v>56405</v>
      </c>
      <c r="D6036" s="2" t="s">
        <v>56406</v>
      </c>
      <c r="E6036" s="2" t="s">
        <v>56407</v>
      </c>
      <c r="G6036" s="3" t="s">
        <v>62</v>
      </c>
      <c r="I6036" s="3" t="s">
        <v>61</v>
      </c>
      <c r="J6036" s="3" t="s">
        <v>62</v>
      </c>
      <c r="K6036" s="3" t="s">
        <v>63</v>
      </c>
      <c r="M6036" s="2" t="s">
        <v>56408</v>
      </c>
      <c r="N6036" s="3" t="s">
        <v>2136</v>
      </c>
      <c r="O6036" s="2" t="s">
        <v>55006</v>
      </c>
      <c r="P6036" s="3" t="s">
        <v>64</v>
      </c>
      <c r="R6036" s="3" t="s">
        <v>42369</v>
      </c>
      <c r="S6036" s="4">
        <v>59</v>
      </c>
      <c r="T6036" s="4">
        <v>256</v>
      </c>
      <c r="U6036" s="5" t="s">
        <v>18035</v>
      </c>
      <c r="V6036" s="5" t="s">
        <v>15777</v>
      </c>
      <c r="W6036" s="5" t="s">
        <v>67</v>
      </c>
      <c r="X6036" s="5" t="s">
        <v>67</v>
      </c>
      <c r="Y6036" s="4">
        <v>1775</v>
      </c>
      <c r="Z6036" s="4">
        <v>60</v>
      </c>
      <c r="AA6036" s="4">
        <v>98</v>
      </c>
      <c r="AB6036" s="4">
        <v>1</v>
      </c>
      <c r="AC6036" s="4">
        <v>7</v>
      </c>
      <c r="AD6036" s="4">
        <v>103</v>
      </c>
      <c r="AE6036" s="4">
        <v>118</v>
      </c>
      <c r="AF6036" s="4">
        <v>0</v>
      </c>
      <c r="AG6036" s="4">
        <v>3</v>
      </c>
      <c r="AH6036" s="4">
        <v>89</v>
      </c>
      <c r="AI6036" s="4">
        <v>92</v>
      </c>
      <c r="AJ6036" s="4">
        <v>9</v>
      </c>
      <c r="AK6036" s="4">
        <v>17</v>
      </c>
      <c r="AL6036" s="4">
        <v>48</v>
      </c>
      <c r="AM6036" s="4">
        <v>49</v>
      </c>
      <c r="AN6036" s="4">
        <v>0</v>
      </c>
      <c r="AO6036" s="4">
        <v>0</v>
      </c>
      <c r="AP6036" s="4">
        <v>19</v>
      </c>
      <c r="AQ6036" s="4">
        <v>31</v>
      </c>
      <c r="AR6036" s="3" t="s">
        <v>62</v>
      </c>
      <c r="AS6036" s="3" t="s">
        <v>62</v>
      </c>
      <c r="AT6036" s="3" t="s">
        <v>62</v>
      </c>
      <c r="AV6036" s="6" t="str">
        <f>HYPERLINK("http://mcgill.on.worldcat.org/oclc/62083818","Catalog Record")</f>
        <v>Catalog Record</v>
      </c>
      <c r="AW6036" s="6" t="str">
        <f>HYPERLINK("http://www.worldcat.org/oclc/62083818","WorldCat Record")</f>
        <v>WorldCat Record</v>
      </c>
      <c r="AX6036" s="3" t="s">
        <v>56409</v>
      </c>
      <c r="AY6036" s="3" t="s">
        <v>56410</v>
      </c>
      <c r="AZ6036" s="3" t="s">
        <v>56411</v>
      </c>
      <c r="BA6036" s="3" t="s">
        <v>56411</v>
      </c>
      <c r="BB6036" s="3" t="s">
        <v>56414</v>
      </c>
      <c r="BC6036" s="3" t="s">
        <v>33640</v>
      </c>
      <c r="BD6036" s="3" t="s">
        <v>68</v>
      </c>
      <c r="BF6036" s="3" t="s">
        <v>56414</v>
      </c>
      <c r="BG6036" s="3" t="s">
        <v>56415</v>
      </c>
    </row>
    <row r="6037" spans="1:59" ht="87" x14ac:dyDescent="0.35">
      <c r="A6037" s="2" t="s">
        <v>89</v>
      </c>
      <c r="B6037" s="2" t="s">
        <v>42560</v>
      </c>
      <c r="C6037" s="2" t="s">
        <v>56405</v>
      </c>
      <c r="D6037" s="2" t="s">
        <v>56406</v>
      </c>
      <c r="E6037" s="2" t="s">
        <v>56407</v>
      </c>
      <c r="G6037" s="3" t="s">
        <v>62</v>
      </c>
      <c r="I6037" s="3" t="s">
        <v>61</v>
      </c>
      <c r="J6037" s="3" t="s">
        <v>62</v>
      </c>
      <c r="K6037" s="3" t="s">
        <v>63</v>
      </c>
      <c r="M6037" s="2" t="s">
        <v>56408</v>
      </c>
      <c r="N6037" s="3" t="s">
        <v>2136</v>
      </c>
      <c r="O6037" s="2" t="s">
        <v>55006</v>
      </c>
      <c r="P6037" s="3" t="s">
        <v>64</v>
      </c>
      <c r="R6037" s="3" t="s">
        <v>42369</v>
      </c>
      <c r="S6037" s="4">
        <v>76</v>
      </c>
      <c r="T6037" s="4">
        <v>256</v>
      </c>
      <c r="U6037" s="5" t="s">
        <v>15777</v>
      </c>
      <c r="V6037" s="5" t="s">
        <v>15777</v>
      </c>
      <c r="W6037" s="5" t="s">
        <v>67</v>
      </c>
      <c r="X6037" s="5" t="s">
        <v>67</v>
      </c>
      <c r="Y6037" s="4">
        <v>1775</v>
      </c>
      <c r="Z6037" s="4">
        <v>60</v>
      </c>
      <c r="AA6037" s="4">
        <v>98</v>
      </c>
      <c r="AB6037" s="4">
        <v>1</v>
      </c>
      <c r="AC6037" s="4">
        <v>7</v>
      </c>
      <c r="AD6037" s="4">
        <v>103</v>
      </c>
      <c r="AE6037" s="4">
        <v>118</v>
      </c>
      <c r="AF6037" s="4">
        <v>0</v>
      </c>
      <c r="AG6037" s="4">
        <v>3</v>
      </c>
      <c r="AH6037" s="4">
        <v>89</v>
      </c>
      <c r="AI6037" s="4">
        <v>92</v>
      </c>
      <c r="AJ6037" s="4">
        <v>9</v>
      </c>
      <c r="AK6037" s="4">
        <v>17</v>
      </c>
      <c r="AL6037" s="4">
        <v>48</v>
      </c>
      <c r="AM6037" s="4">
        <v>49</v>
      </c>
      <c r="AN6037" s="4">
        <v>0</v>
      </c>
      <c r="AO6037" s="4">
        <v>0</v>
      </c>
      <c r="AP6037" s="4">
        <v>19</v>
      </c>
      <c r="AQ6037" s="4">
        <v>31</v>
      </c>
      <c r="AR6037" s="3" t="s">
        <v>62</v>
      </c>
      <c r="AS6037" s="3" t="s">
        <v>62</v>
      </c>
      <c r="AT6037" s="3" t="s">
        <v>62</v>
      </c>
      <c r="AV6037" s="6" t="str">
        <f>HYPERLINK("http://mcgill.on.worldcat.org/oclc/62083818","Catalog Record")</f>
        <v>Catalog Record</v>
      </c>
      <c r="AW6037" s="6" t="str">
        <f>HYPERLINK("http://www.worldcat.org/oclc/62083818","WorldCat Record")</f>
        <v>WorldCat Record</v>
      </c>
      <c r="AX6037" s="3" t="s">
        <v>56409</v>
      </c>
      <c r="AY6037" s="3" t="s">
        <v>56410</v>
      </c>
      <c r="AZ6037" s="3" t="s">
        <v>56411</v>
      </c>
      <c r="BA6037" s="3" t="s">
        <v>56411</v>
      </c>
      <c r="BB6037" s="3" t="s">
        <v>56416</v>
      </c>
      <c r="BC6037" s="3" t="s">
        <v>33640</v>
      </c>
      <c r="BD6037" s="3" t="s">
        <v>68</v>
      </c>
      <c r="BF6037" s="3" t="s">
        <v>56416</v>
      </c>
      <c r="BG6037" s="3" t="s">
        <v>56417</v>
      </c>
    </row>
    <row r="6038" spans="1:59" ht="87" x14ac:dyDescent="0.35">
      <c r="A6038" s="2" t="s">
        <v>89</v>
      </c>
      <c r="B6038" s="2" t="s">
        <v>42560</v>
      </c>
      <c r="C6038" s="2" t="s">
        <v>56405</v>
      </c>
      <c r="D6038" s="2" t="s">
        <v>56406</v>
      </c>
      <c r="E6038" s="2" t="s">
        <v>56407</v>
      </c>
      <c r="G6038" s="3" t="s">
        <v>62</v>
      </c>
      <c r="I6038" s="3" t="s">
        <v>61</v>
      </c>
      <c r="J6038" s="3" t="s">
        <v>62</v>
      </c>
      <c r="K6038" s="3" t="s">
        <v>63</v>
      </c>
      <c r="M6038" s="2" t="s">
        <v>56408</v>
      </c>
      <c r="N6038" s="3" t="s">
        <v>2136</v>
      </c>
      <c r="O6038" s="2" t="s">
        <v>55006</v>
      </c>
      <c r="P6038" s="3" t="s">
        <v>64</v>
      </c>
      <c r="R6038" s="3" t="s">
        <v>42369</v>
      </c>
      <c r="S6038" s="4">
        <v>49</v>
      </c>
      <c r="T6038" s="4">
        <v>256</v>
      </c>
      <c r="U6038" s="5" t="s">
        <v>56418</v>
      </c>
      <c r="V6038" s="5" t="s">
        <v>15777</v>
      </c>
      <c r="W6038" s="5" t="s">
        <v>67</v>
      </c>
      <c r="X6038" s="5" t="s">
        <v>67</v>
      </c>
      <c r="Y6038" s="4">
        <v>1775</v>
      </c>
      <c r="Z6038" s="4">
        <v>60</v>
      </c>
      <c r="AA6038" s="4">
        <v>98</v>
      </c>
      <c r="AB6038" s="4">
        <v>1</v>
      </c>
      <c r="AC6038" s="4">
        <v>7</v>
      </c>
      <c r="AD6038" s="4">
        <v>103</v>
      </c>
      <c r="AE6038" s="4">
        <v>118</v>
      </c>
      <c r="AF6038" s="4">
        <v>0</v>
      </c>
      <c r="AG6038" s="4">
        <v>3</v>
      </c>
      <c r="AH6038" s="4">
        <v>89</v>
      </c>
      <c r="AI6038" s="4">
        <v>92</v>
      </c>
      <c r="AJ6038" s="4">
        <v>9</v>
      </c>
      <c r="AK6038" s="4">
        <v>17</v>
      </c>
      <c r="AL6038" s="4">
        <v>48</v>
      </c>
      <c r="AM6038" s="4">
        <v>49</v>
      </c>
      <c r="AN6038" s="4">
        <v>0</v>
      </c>
      <c r="AO6038" s="4">
        <v>0</v>
      </c>
      <c r="AP6038" s="4">
        <v>19</v>
      </c>
      <c r="AQ6038" s="4">
        <v>31</v>
      </c>
      <c r="AR6038" s="3" t="s">
        <v>62</v>
      </c>
      <c r="AS6038" s="3" t="s">
        <v>62</v>
      </c>
      <c r="AT6038" s="3" t="s">
        <v>62</v>
      </c>
      <c r="AV6038" s="6" t="str">
        <f>HYPERLINK("http://mcgill.on.worldcat.org/oclc/62083818","Catalog Record")</f>
        <v>Catalog Record</v>
      </c>
      <c r="AW6038" s="6" t="str">
        <f>HYPERLINK("http://www.worldcat.org/oclc/62083818","WorldCat Record")</f>
        <v>WorldCat Record</v>
      </c>
      <c r="AX6038" s="3" t="s">
        <v>56409</v>
      </c>
      <c r="AY6038" s="3" t="s">
        <v>56410</v>
      </c>
      <c r="AZ6038" s="3" t="s">
        <v>56411</v>
      </c>
      <c r="BA6038" s="3" t="s">
        <v>56411</v>
      </c>
      <c r="BB6038" s="3" t="s">
        <v>56419</v>
      </c>
      <c r="BC6038" s="3" t="s">
        <v>33640</v>
      </c>
      <c r="BD6038" s="3" t="s">
        <v>68</v>
      </c>
      <c r="BF6038" s="3" t="s">
        <v>56419</v>
      </c>
      <c r="BG6038" s="3" t="s">
        <v>56420</v>
      </c>
    </row>
    <row r="6039" spans="1:59" ht="87" x14ac:dyDescent="0.35">
      <c r="A6039" s="2" t="s">
        <v>89</v>
      </c>
      <c r="B6039" s="2" t="s">
        <v>42560</v>
      </c>
      <c r="C6039" s="2" t="s">
        <v>56421</v>
      </c>
      <c r="D6039" s="2" t="s">
        <v>56422</v>
      </c>
      <c r="E6039" s="2" t="s">
        <v>56423</v>
      </c>
      <c r="G6039" s="3" t="s">
        <v>62</v>
      </c>
      <c r="I6039" s="3" t="s">
        <v>62</v>
      </c>
      <c r="J6039" s="3" t="s">
        <v>62</v>
      </c>
      <c r="K6039" s="3" t="s">
        <v>63</v>
      </c>
      <c r="M6039" s="2" t="s">
        <v>56424</v>
      </c>
      <c r="N6039" s="3" t="s">
        <v>2000</v>
      </c>
      <c r="P6039" s="3" t="s">
        <v>64</v>
      </c>
      <c r="Q6039" s="2" t="s">
        <v>56425</v>
      </c>
      <c r="R6039" s="3" t="s">
        <v>42369</v>
      </c>
      <c r="S6039" s="4">
        <v>36</v>
      </c>
      <c r="T6039" s="4">
        <v>36</v>
      </c>
      <c r="U6039" s="5" t="s">
        <v>56280</v>
      </c>
      <c r="V6039" s="5" t="s">
        <v>56280</v>
      </c>
      <c r="W6039" s="5" t="s">
        <v>67</v>
      </c>
      <c r="X6039" s="5" t="s">
        <v>67</v>
      </c>
      <c r="Y6039" s="4">
        <v>409</v>
      </c>
      <c r="Z6039" s="4">
        <v>9</v>
      </c>
      <c r="AA6039" s="4">
        <v>27</v>
      </c>
      <c r="AB6039" s="4">
        <v>1</v>
      </c>
      <c r="AC6039" s="4">
        <v>1</v>
      </c>
      <c r="AD6039" s="4">
        <v>11</v>
      </c>
      <c r="AE6039" s="4">
        <v>19</v>
      </c>
      <c r="AF6039" s="4">
        <v>0</v>
      </c>
      <c r="AG6039" s="4">
        <v>0</v>
      </c>
      <c r="AH6039" s="4">
        <v>10</v>
      </c>
      <c r="AI6039" s="4">
        <v>16</v>
      </c>
      <c r="AJ6039" s="4">
        <v>1</v>
      </c>
      <c r="AK6039" s="4">
        <v>2</v>
      </c>
      <c r="AL6039" s="4">
        <v>5</v>
      </c>
      <c r="AM6039" s="4">
        <v>10</v>
      </c>
      <c r="AN6039" s="4">
        <v>0</v>
      </c>
      <c r="AO6039" s="4">
        <v>0</v>
      </c>
      <c r="AP6039" s="4">
        <v>1</v>
      </c>
      <c r="AQ6039" s="4">
        <v>2</v>
      </c>
      <c r="AR6039" s="3" t="s">
        <v>62</v>
      </c>
      <c r="AS6039" s="3" t="s">
        <v>62</v>
      </c>
      <c r="AT6039" s="3" t="s">
        <v>62</v>
      </c>
      <c r="AV6039" s="6" t="str">
        <f>HYPERLINK("http://mcgill.on.worldcat.org/oclc/43765601","Catalog Record")</f>
        <v>Catalog Record</v>
      </c>
      <c r="AW6039" s="6" t="str">
        <f>HYPERLINK("http://www.worldcat.org/oclc/43765601","WorldCat Record")</f>
        <v>WorldCat Record</v>
      </c>
      <c r="AX6039" s="3" t="s">
        <v>56426</v>
      </c>
      <c r="AY6039" s="3" t="s">
        <v>56427</v>
      </c>
      <c r="AZ6039" s="3" t="s">
        <v>56428</v>
      </c>
      <c r="BA6039" s="3" t="s">
        <v>56428</v>
      </c>
      <c r="BB6039" s="3" t="s">
        <v>56429</v>
      </c>
      <c r="BC6039" s="3" t="s">
        <v>33640</v>
      </c>
      <c r="BD6039" s="3" t="s">
        <v>68</v>
      </c>
      <c r="BE6039" s="3" t="s">
        <v>56430</v>
      </c>
      <c r="BF6039" s="3" t="s">
        <v>56429</v>
      </c>
      <c r="BG6039" s="3" t="s">
        <v>56431</v>
      </c>
    </row>
    <row r="6040" spans="1:59" ht="87" x14ac:dyDescent="0.35">
      <c r="A6040" s="2" t="s">
        <v>89</v>
      </c>
      <c r="B6040" s="2" t="s">
        <v>42560</v>
      </c>
      <c r="C6040" s="2" t="s">
        <v>56432</v>
      </c>
      <c r="D6040" s="2" t="s">
        <v>56433</v>
      </c>
      <c r="E6040" s="2" t="s">
        <v>56434</v>
      </c>
      <c r="G6040" s="3" t="s">
        <v>62</v>
      </c>
      <c r="I6040" s="3" t="s">
        <v>62</v>
      </c>
      <c r="J6040" s="3" t="s">
        <v>62</v>
      </c>
      <c r="K6040" s="3" t="s">
        <v>63</v>
      </c>
      <c r="M6040" s="2" t="s">
        <v>56435</v>
      </c>
      <c r="N6040" s="3" t="s">
        <v>2136</v>
      </c>
      <c r="P6040" s="3" t="s">
        <v>64</v>
      </c>
      <c r="R6040" s="3" t="s">
        <v>42369</v>
      </c>
      <c r="S6040" s="4">
        <v>18</v>
      </c>
      <c r="T6040" s="4">
        <v>18</v>
      </c>
      <c r="U6040" s="5" t="s">
        <v>56436</v>
      </c>
      <c r="V6040" s="5" t="s">
        <v>56436</v>
      </c>
      <c r="W6040" s="5" t="s">
        <v>67</v>
      </c>
      <c r="X6040" s="5" t="s">
        <v>67</v>
      </c>
      <c r="Y6040" s="4">
        <v>65</v>
      </c>
      <c r="Z6040" s="4">
        <v>3</v>
      </c>
      <c r="AA6040" s="4">
        <v>14</v>
      </c>
      <c r="AB6040" s="4">
        <v>1</v>
      </c>
      <c r="AC6040" s="4">
        <v>1</v>
      </c>
      <c r="AD6040" s="4">
        <v>9</v>
      </c>
      <c r="AE6040" s="4">
        <v>23</v>
      </c>
      <c r="AF6040" s="4">
        <v>0</v>
      </c>
      <c r="AG6040" s="4">
        <v>0</v>
      </c>
      <c r="AH6040" s="4">
        <v>9</v>
      </c>
      <c r="AI6040" s="4">
        <v>22</v>
      </c>
      <c r="AJ6040" s="4">
        <v>2</v>
      </c>
      <c r="AK6040" s="4">
        <v>3</v>
      </c>
      <c r="AL6040" s="4">
        <v>5</v>
      </c>
      <c r="AM6040" s="4">
        <v>15</v>
      </c>
      <c r="AN6040" s="4">
        <v>0</v>
      </c>
      <c r="AO6040" s="4">
        <v>0</v>
      </c>
      <c r="AP6040" s="4">
        <v>2</v>
      </c>
      <c r="AQ6040" s="4">
        <v>3</v>
      </c>
      <c r="AR6040" s="3" t="s">
        <v>62</v>
      </c>
      <c r="AS6040" s="3" t="s">
        <v>62</v>
      </c>
      <c r="AT6040" s="3" t="s">
        <v>62</v>
      </c>
      <c r="AV6040" s="6" t="str">
        <f>HYPERLINK("http://mcgill.on.worldcat.org/oclc/70160812","Catalog Record")</f>
        <v>Catalog Record</v>
      </c>
      <c r="AW6040" s="6" t="str">
        <f>HYPERLINK("http://www.worldcat.org/oclc/70160812","WorldCat Record")</f>
        <v>WorldCat Record</v>
      </c>
      <c r="AX6040" s="3" t="s">
        <v>56437</v>
      </c>
      <c r="AY6040" s="3" t="s">
        <v>56438</v>
      </c>
      <c r="AZ6040" s="3" t="s">
        <v>56439</v>
      </c>
      <c r="BA6040" s="3" t="s">
        <v>56439</v>
      </c>
      <c r="BB6040" s="3" t="s">
        <v>56440</v>
      </c>
      <c r="BC6040" s="3" t="s">
        <v>33640</v>
      </c>
      <c r="BD6040" s="3" t="s">
        <v>68</v>
      </c>
      <c r="BE6040" s="3" t="s">
        <v>56441</v>
      </c>
      <c r="BF6040" s="3" t="s">
        <v>56440</v>
      </c>
      <c r="BG6040" s="3" t="s">
        <v>56442</v>
      </c>
    </row>
    <row r="6041" spans="1:59" ht="87" x14ac:dyDescent="0.35">
      <c r="A6041" s="2" t="s">
        <v>89</v>
      </c>
      <c r="B6041" s="2" t="s">
        <v>42560</v>
      </c>
      <c r="C6041" s="2" t="s">
        <v>56443</v>
      </c>
      <c r="D6041" s="2" t="s">
        <v>56444</v>
      </c>
      <c r="E6041" s="2" t="s">
        <v>56445</v>
      </c>
      <c r="G6041" s="3" t="s">
        <v>62</v>
      </c>
      <c r="I6041" s="3" t="s">
        <v>62</v>
      </c>
      <c r="J6041" s="3" t="s">
        <v>62</v>
      </c>
      <c r="K6041" s="3" t="s">
        <v>63</v>
      </c>
      <c r="M6041" s="2" t="s">
        <v>56446</v>
      </c>
      <c r="N6041" s="3" t="s">
        <v>640</v>
      </c>
      <c r="P6041" s="3" t="s">
        <v>64</v>
      </c>
      <c r="Q6041" s="2" t="s">
        <v>56447</v>
      </c>
      <c r="R6041" s="3" t="s">
        <v>42369</v>
      </c>
      <c r="S6041" s="4">
        <v>15</v>
      </c>
      <c r="T6041" s="4">
        <v>15</v>
      </c>
      <c r="U6041" s="5" t="s">
        <v>56448</v>
      </c>
      <c r="V6041" s="5" t="s">
        <v>56448</v>
      </c>
      <c r="W6041" s="5" t="s">
        <v>67</v>
      </c>
      <c r="X6041" s="5" t="s">
        <v>67</v>
      </c>
      <c r="Y6041" s="4">
        <v>11</v>
      </c>
      <c r="Z6041" s="4">
        <v>10</v>
      </c>
      <c r="AA6041" s="4">
        <v>59</v>
      </c>
      <c r="AB6041" s="4">
        <v>1</v>
      </c>
      <c r="AC6041" s="4">
        <v>4</v>
      </c>
      <c r="AD6041" s="4">
        <v>5</v>
      </c>
      <c r="AE6041" s="4">
        <v>44</v>
      </c>
      <c r="AF6041" s="4">
        <v>0</v>
      </c>
      <c r="AG6041" s="4">
        <v>2</v>
      </c>
      <c r="AH6041" s="4">
        <v>2</v>
      </c>
      <c r="AI6041" s="4">
        <v>22</v>
      </c>
      <c r="AJ6041" s="4">
        <v>3</v>
      </c>
      <c r="AK6041" s="4">
        <v>15</v>
      </c>
      <c r="AL6041" s="4">
        <v>0</v>
      </c>
      <c r="AM6041" s="4">
        <v>11</v>
      </c>
      <c r="AN6041" s="4">
        <v>0</v>
      </c>
      <c r="AO6041" s="4">
        <v>0</v>
      </c>
      <c r="AP6041" s="4">
        <v>4</v>
      </c>
      <c r="AQ6041" s="4">
        <v>29</v>
      </c>
      <c r="AR6041" s="3" t="s">
        <v>61</v>
      </c>
      <c r="AS6041" s="3" t="s">
        <v>62</v>
      </c>
      <c r="AT6041" s="3" t="s">
        <v>62</v>
      </c>
      <c r="AV6041" s="6" t="str">
        <f>HYPERLINK("http://mcgill.on.worldcat.org/oclc/85217491","Catalog Record")</f>
        <v>Catalog Record</v>
      </c>
      <c r="AW6041" s="6" t="str">
        <f>HYPERLINK("http://www.worldcat.org/oclc/85217491","WorldCat Record")</f>
        <v>WorldCat Record</v>
      </c>
      <c r="AX6041" s="3" t="s">
        <v>56449</v>
      </c>
      <c r="AY6041" s="3" t="s">
        <v>56450</v>
      </c>
      <c r="AZ6041" s="3" t="s">
        <v>56451</v>
      </c>
      <c r="BA6041" s="3" t="s">
        <v>56451</v>
      </c>
      <c r="BB6041" s="3" t="s">
        <v>56452</v>
      </c>
      <c r="BC6041" s="3" t="s">
        <v>33640</v>
      </c>
      <c r="BD6041" s="3" t="s">
        <v>68</v>
      </c>
      <c r="BF6041" s="3" t="s">
        <v>56452</v>
      </c>
      <c r="BG6041" s="3" t="s">
        <v>56453</v>
      </c>
    </row>
    <row r="6042" spans="1:59" ht="87" x14ac:dyDescent="0.35">
      <c r="A6042" s="2" t="s">
        <v>89</v>
      </c>
      <c r="B6042" s="2" t="s">
        <v>42560</v>
      </c>
      <c r="C6042" s="2" t="s">
        <v>56454</v>
      </c>
      <c r="D6042" s="2" t="s">
        <v>56455</v>
      </c>
      <c r="E6042" s="2" t="s">
        <v>56456</v>
      </c>
      <c r="G6042" s="3" t="s">
        <v>62</v>
      </c>
      <c r="I6042" s="3" t="s">
        <v>62</v>
      </c>
      <c r="J6042" s="3" t="s">
        <v>62</v>
      </c>
      <c r="K6042" s="3" t="s">
        <v>63</v>
      </c>
      <c r="M6042" s="2" t="s">
        <v>56457</v>
      </c>
      <c r="N6042" s="3" t="s">
        <v>655</v>
      </c>
      <c r="P6042" s="3" t="s">
        <v>64</v>
      </c>
      <c r="R6042" s="3" t="s">
        <v>42369</v>
      </c>
      <c r="S6042" s="4">
        <v>2</v>
      </c>
      <c r="T6042" s="4">
        <v>2</v>
      </c>
      <c r="U6042" s="5" t="s">
        <v>33056</v>
      </c>
      <c r="V6042" s="5" t="s">
        <v>33056</v>
      </c>
      <c r="W6042" s="5" t="s">
        <v>67</v>
      </c>
      <c r="X6042" s="5" t="s">
        <v>67</v>
      </c>
      <c r="Y6042" s="4">
        <v>68</v>
      </c>
      <c r="Z6042" s="4">
        <v>7</v>
      </c>
      <c r="AA6042" s="4">
        <v>8</v>
      </c>
      <c r="AB6042" s="4">
        <v>2</v>
      </c>
      <c r="AC6042" s="4">
        <v>2</v>
      </c>
      <c r="AD6042" s="4">
        <v>3</v>
      </c>
      <c r="AE6042" s="4">
        <v>4</v>
      </c>
      <c r="AF6042" s="4">
        <v>0</v>
      </c>
      <c r="AG6042" s="4">
        <v>0</v>
      </c>
      <c r="AH6042" s="4">
        <v>3</v>
      </c>
      <c r="AI6042" s="4">
        <v>4</v>
      </c>
      <c r="AJ6042" s="4">
        <v>1</v>
      </c>
      <c r="AK6042" s="4">
        <v>2</v>
      </c>
      <c r="AL6042" s="4">
        <v>1</v>
      </c>
      <c r="AM6042" s="4">
        <v>1</v>
      </c>
      <c r="AN6042" s="4">
        <v>0</v>
      </c>
      <c r="AO6042" s="4">
        <v>0</v>
      </c>
      <c r="AP6042" s="4">
        <v>1</v>
      </c>
      <c r="AQ6042" s="4">
        <v>2</v>
      </c>
      <c r="AR6042" s="3" t="s">
        <v>62</v>
      </c>
      <c r="AS6042" s="3" t="s">
        <v>62</v>
      </c>
      <c r="AT6042" s="3" t="s">
        <v>62</v>
      </c>
      <c r="AV6042" s="6" t="str">
        <f>HYPERLINK("http://mcgill.on.worldcat.org/oclc/232612661","Catalog Record")</f>
        <v>Catalog Record</v>
      </c>
      <c r="AW6042" s="6" t="str">
        <f>HYPERLINK("http://www.worldcat.org/oclc/232612661","WorldCat Record")</f>
        <v>WorldCat Record</v>
      </c>
      <c r="AX6042" s="3" t="s">
        <v>56458</v>
      </c>
      <c r="AY6042" s="3" t="s">
        <v>56459</v>
      </c>
      <c r="AZ6042" s="3" t="s">
        <v>56460</v>
      </c>
      <c r="BA6042" s="3" t="s">
        <v>56460</v>
      </c>
      <c r="BB6042" s="3" t="s">
        <v>56461</v>
      </c>
      <c r="BC6042" s="3" t="s">
        <v>33640</v>
      </c>
      <c r="BD6042" s="3" t="s">
        <v>68</v>
      </c>
      <c r="BE6042" s="3" t="s">
        <v>56462</v>
      </c>
      <c r="BF6042" s="3" t="s">
        <v>56461</v>
      </c>
      <c r="BG6042" s="3" t="s">
        <v>56463</v>
      </c>
    </row>
    <row r="6043" spans="1:59" ht="87" x14ac:dyDescent="0.35">
      <c r="A6043" s="2" t="s">
        <v>89</v>
      </c>
      <c r="B6043" s="2" t="s">
        <v>42560</v>
      </c>
      <c r="C6043" s="2" t="s">
        <v>56464</v>
      </c>
      <c r="D6043" s="2" t="s">
        <v>56465</v>
      </c>
      <c r="E6043" s="2" t="s">
        <v>56466</v>
      </c>
      <c r="G6043" s="3" t="s">
        <v>62</v>
      </c>
      <c r="I6043" s="3" t="s">
        <v>62</v>
      </c>
      <c r="J6043" s="3" t="s">
        <v>62</v>
      </c>
      <c r="K6043" s="3" t="s">
        <v>63</v>
      </c>
      <c r="M6043" s="2" t="s">
        <v>56467</v>
      </c>
      <c r="N6043" s="3" t="s">
        <v>2985</v>
      </c>
      <c r="P6043" s="3" t="s">
        <v>64</v>
      </c>
      <c r="R6043" s="3" t="s">
        <v>42369</v>
      </c>
      <c r="S6043" s="4">
        <v>32</v>
      </c>
      <c r="T6043" s="4">
        <v>32</v>
      </c>
      <c r="U6043" s="5" t="s">
        <v>56280</v>
      </c>
      <c r="V6043" s="5" t="s">
        <v>56280</v>
      </c>
      <c r="W6043" s="5" t="s">
        <v>67</v>
      </c>
      <c r="X6043" s="5" t="s">
        <v>67</v>
      </c>
      <c r="Y6043" s="4">
        <v>1703</v>
      </c>
      <c r="Z6043" s="4">
        <v>49</v>
      </c>
      <c r="AA6043" s="4">
        <v>81</v>
      </c>
      <c r="AB6043" s="4">
        <v>4</v>
      </c>
      <c r="AC6043" s="4">
        <v>6</v>
      </c>
      <c r="AD6043" s="4">
        <v>88</v>
      </c>
      <c r="AE6043" s="4">
        <v>106</v>
      </c>
      <c r="AF6043" s="4">
        <v>1</v>
      </c>
      <c r="AG6043" s="4">
        <v>3</v>
      </c>
      <c r="AH6043" s="4">
        <v>75</v>
      </c>
      <c r="AI6043" s="4">
        <v>82</v>
      </c>
      <c r="AJ6043" s="4">
        <v>5</v>
      </c>
      <c r="AK6043" s="4">
        <v>13</v>
      </c>
      <c r="AL6043" s="4">
        <v>45</v>
      </c>
      <c r="AM6043" s="4">
        <v>49</v>
      </c>
      <c r="AN6043" s="4">
        <v>0</v>
      </c>
      <c r="AO6043" s="4">
        <v>0</v>
      </c>
      <c r="AP6043" s="4">
        <v>14</v>
      </c>
      <c r="AQ6043" s="4">
        <v>28</v>
      </c>
      <c r="AR6043" s="3" t="s">
        <v>62</v>
      </c>
      <c r="AS6043" s="3" t="s">
        <v>62</v>
      </c>
      <c r="AT6043" s="3" t="s">
        <v>62</v>
      </c>
      <c r="AV6043" s="6" t="str">
        <f>HYPERLINK("http://mcgill.on.worldcat.org/oclc/443502895","Catalog Record")</f>
        <v>Catalog Record</v>
      </c>
      <c r="AW6043" s="6" t="str">
        <f>HYPERLINK("http://www.worldcat.org/oclc/443502895","WorldCat Record")</f>
        <v>WorldCat Record</v>
      </c>
      <c r="AX6043" s="3" t="s">
        <v>56468</v>
      </c>
      <c r="AY6043" s="3" t="s">
        <v>56469</v>
      </c>
      <c r="AZ6043" s="3" t="s">
        <v>56470</v>
      </c>
      <c r="BA6043" s="3" t="s">
        <v>56470</v>
      </c>
      <c r="BB6043" s="3" t="s">
        <v>56471</v>
      </c>
      <c r="BC6043" s="3" t="s">
        <v>33640</v>
      </c>
      <c r="BD6043" s="3" t="s">
        <v>68</v>
      </c>
      <c r="BE6043" s="3" t="s">
        <v>56472</v>
      </c>
      <c r="BF6043" s="3" t="s">
        <v>56471</v>
      </c>
      <c r="BG6043" s="3" t="s">
        <v>56473</v>
      </c>
    </row>
    <row r="6044" spans="1:59" ht="87" x14ac:dyDescent="0.35">
      <c r="A6044" s="2" t="s">
        <v>89</v>
      </c>
      <c r="B6044" s="2" t="s">
        <v>42560</v>
      </c>
      <c r="C6044" s="2" t="s">
        <v>56474</v>
      </c>
      <c r="D6044" s="2" t="s">
        <v>56475</v>
      </c>
      <c r="E6044" s="2" t="s">
        <v>56476</v>
      </c>
      <c r="F6044" s="3" t="s">
        <v>56477</v>
      </c>
      <c r="G6044" s="3" t="s">
        <v>61</v>
      </c>
      <c r="I6044" s="3" t="s">
        <v>62</v>
      </c>
      <c r="J6044" s="3" t="s">
        <v>62</v>
      </c>
      <c r="K6044" s="3" t="s">
        <v>63</v>
      </c>
      <c r="M6044" s="2" t="s">
        <v>56478</v>
      </c>
      <c r="N6044" s="3" t="s">
        <v>438</v>
      </c>
      <c r="P6044" s="3" t="s">
        <v>64</v>
      </c>
      <c r="R6044" s="3" t="s">
        <v>42369</v>
      </c>
      <c r="S6044" s="4">
        <v>6</v>
      </c>
      <c r="T6044" s="4">
        <v>73</v>
      </c>
      <c r="U6044" s="5" t="s">
        <v>5322</v>
      </c>
      <c r="V6044" s="5" t="s">
        <v>15891</v>
      </c>
      <c r="W6044" s="5" t="s">
        <v>67</v>
      </c>
      <c r="X6044" s="5" t="s">
        <v>67</v>
      </c>
      <c r="Y6044" s="4">
        <v>6</v>
      </c>
      <c r="Z6044" s="4">
        <v>3</v>
      </c>
      <c r="AA6044" s="4">
        <v>14</v>
      </c>
      <c r="AB6044" s="4">
        <v>1</v>
      </c>
      <c r="AC6044" s="4">
        <v>1</v>
      </c>
      <c r="AD6044" s="4">
        <v>3</v>
      </c>
      <c r="AE6044" s="4">
        <v>21</v>
      </c>
      <c r="AF6044" s="4">
        <v>0</v>
      </c>
      <c r="AG6044" s="4">
        <v>0</v>
      </c>
      <c r="AH6044" s="4">
        <v>2</v>
      </c>
      <c r="AI6044" s="4">
        <v>13</v>
      </c>
      <c r="AJ6044" s="4">
        <v>1</v>
      </c>
      <c r="AK6044" s="4">
        <v>4</v>
      </c>
      <c r="AL6044" s="4">
        <v>0</v>
      </c>
      <c r="AM6044" s="4">
        <v>9</v>
      </c>
      <c r="AN6044" s="4">
        <v>0</v>
      </c>
      <c r="AO6044" s="4">
        <v>0</v>
      </c>
      <c r="AP6044" s="4">
        <v>2</v>
      </c>
      <c r="AQ6044" s="4">
        <v>9</v>
      </c>
      <c r="AR6044" s="3" t="s">
        <v>61</v>
      </c>
      <c r="AS6044" s="3" t="s">
        <v>62</v>
      </c>
      <c r="AT6044" s="3" t="s">
        <v>62</v>
      </c>
      <c r="AV6044" s="6" t="str">
        <f t="shared" ref="AV6044:AV6055" si="113">HYPERLINK("http://mcgill.on.worldcat.org/oclc/62608679","Catalog Record")</f>
        <v>Catalog Record</v>
      </c>
      <c r="AW6044" s="6" t="str">
        <f t="shared" ref="AW6044:AW6055" si="114">HYPERLINK("http://www.worldcat.org/oclc/62608679","WorldCat Record")</f>
        <v>WorldCat Record</v>
      </c>
      <c r="AX6044" s="3" t="s">
        <v>56479</v>
      </c>
      <c r="AY6044" s="3" t="s">
        <v>56480</v>
      </c>
      <c r="AZ6044" s="3" t="s">
        <v>56481</v>
      </c>
      <c r="BA6044" s="3" t="s">
        <v>56481</v>
      </c>
      <c r="BB6044" s="3" t="s">
        <v>56482</v>
      </c>
      <c r="BC6044" s="3" t="s">
        <v>33640</v>
      </c>
      <c r="BD6044" s="3" t="s">
        <v>68</v>
      </c>
      <c r="BF6044" s="3" t="s">
        <v>56482</v>
      </c>
      <c r="BG6044" s="3" t="s">
        <v>56483</v>
      </c>
    </row>
    <row r="6045" spans="1:59" ht="87" x14ac:dyDescent="0.35">
      <c r="A6045" s="2" t="s">
        <v>89</v>
      </c>
      <c r="B6045" s="2" t="s">
        <v>42560</v>
      </c>
      <c r="C6045" s="2" t="s">
        <v>56474</v>
      </c>
      <c r="D6045" s="2" t="s">
        <v>56475</v>
      </c>
      <c r="E6045" s="2" t="s">
        <v>56476</v>
      </c>
      <c r="F6045" s="3" t="s">
        <v>56484</v>
      </c>
      <c r="G6045" s="3" t="s">
        <v>61</v>
      </c>
      <c r="I6045" s="3" t="s">
        <v>62</v>
      </c>
      <c r="J6045" s="3" t="s">
        <v>62</v>
      </c>
      <c r="K6045" s="3" t="s">
        <v>63</v>
      </c>
      <c r="M6045" s="2" t="s">
        <v>56478</v>
      </c>
      <c r="N6045" s="3" t="s">
        <v>438</v>
      </c>
      <c r="P6045" s="3" t="s">
        <v>64</v>
      </c>
      <c r="R6045" s="3" t="s">
        <v>42369</v>
      </c>
      <c r="S6045" s="4">
        <v>8</v>
      </c>
      <c r="T6045" s="4">
        <v>73</v>
      </c>
      <c r="U6045" s="5" t="s">
        <v>56485</v>
      </c>
      <c r="V6045" s="5" t="s">
        <v>15891</v>
      </c>
      <c r="W6045" s="5" t="s">
        <v>67</v>
      </c>
      <c r="X6045" s="5" t="s">
        <v>67</v>
      </c>
      <c r="Y6045" s="4">
        <v>6</v>
      </c>
      <c r="Z6045" s="4">
        <v>3</v>
      </c>
      <c r="AA6045" s="4">
        <v>14</v>
      </c>
      <c r="AB6045" s="4">
        <v>1</v>
      </c>
      <c r="AC6045" s="4">
        <v>1</v>
      </c>
      <c r="AD6045" s="4">
        <v>3</v>
      </c>
      <c r="AE6045" s="4">
        <v>21</v>
      </c>
      <c r="AF6045" s="4">
        <v>0</v>
      </c>
      <c r="AG6045" s="4">
        <v>0</v>
      </c>
      <c r="AH6045" s="4">
        <v>2</v>
      </c>
      <c r="AI6045" s="4">
        <v>13</v>
      </c>
      <c r="AJ6045" s="4">
        <v>1</v>
      </c>
      <c r="AK6045" s="4">
        <v>4</v>
      </c>
      <c r="AL6045" s="4">
        <v>0</v>
      </c>
      <c r="AM6045" s="4">
        <v>9</v>
      </c>
      <c r="AN6045" s="4">
        <v>0</v>
      </c>
      <c r="AO6045" s="4">
        <v>0</v>
      </c>
      <c r="AP6045" s="4">
        <v>2</v>
      </c>
      <c r="AQ6045" s="4">
        <v>9</v>
      </c>
      <c r="AR6045" s="3" t="s">
        <v>61</v>
      </c>
      <c r="AS6045" s="3" t="s">
        <v>62</v>
      </c>
      <c r="AT6045" s="3" t="s">
        <v>62</v>
      </c>
      <c r="AV6045" s="6" t="str">
        <f t="shared" si="113"/>
        <v>Catalog Record</v>
      </c>
      <c r="AW6045" s="6" t="str">
        <f t="shared" si="114"/>
        <v>WorldCat Record</v>
      </c>
      <c r="AX6045" s="3" t="s">
        <v>56479</v>
      </c>
      <c r="AY6045" s="3" t="s">
        <v>56480</v>
      </c>
      <c r="AZ6045" s="3" t="s">
        <v>56481</v>
      </c>
      <c r="BA6045" s="3" t="s">
        <v>56481</v>
      </c>
      <c r="BB6045" s="3" t="s">
        <v>56486</v>
      </c>
      <c r="BC6045" s="3" t="s">
        <v>33640</v>
      </c>
      <c r="BD6045" s="3" t="s">
        <v>68</v>
      </c>
      <c r="BF6045" s="3" t="s">
        <v>56486</v>
      </c>
      <c r="BG6045" s="3" t="s">
        <v>56487</v>
      </c>
    </row>
    <row r="6046" spans="1:59" ht="87" x14ac:dyDescent="0.35">
      <c r="A6046" s="2" t="s">
        <v>89</v>
      </c>
      <c r="B6046" s="2" t="s">
        <v>42560</v>
      </c>
      <c r="C6046" s="2" t="s">
        <v>56474</v>
      </c>
      <c r="D6046" s="2" t="s">
        <v>56475</v>
      </c>
      <c r="E6046" s="2" t="s">
        <v>56476</v>
      </c>
      <c r="F6046" s="3" t="s">
        <v>56488</v>
      </c>
      <c r="G6046" s="3" t="s">
        <v>61</v>
      </c>
      <c r="I6046" s="3" t="s">
        <v>62</v>
      </c>
      <c r="J6046" s="3" t="s">
        <v>62</v>
      </c>
      <c r="K6046" s="3" t="s">
        <v>63</v>
      </c>
      <c r="M6046" s="2" t="s">
        <v>56478</v>
      </c>
      <c r="N6046" s="3" t="s">
        <v>438</v>
      </c>
      <c r="P6046" s="3" t="s">
        <v>64</v>
      </c>
      <c r="R6046" s="3" t="s">
        <v>42369</v>
      </c>
      <c r="S6046" s="4">
        <v>5</v>
      </c>
      <c r="T6046" s="4">
        <v>73</v>
      </c>
      <c r="U6046" s="5" t="s">
        <v>56489</v>
      </c>
      <c r="V6046" s="5" t="s">
        <v>15891</v>
      </c>
      <c r="W6046" s="5" t="s">
        <v>67</v>
      </c>
      <c r="X6046" s="5" t="s">
        <v>67</v>
      </c>
      <c r="Y6046" s="4">
        <v>6</v>
      </c>
      <c r="Z6046" s="4">
        <v>3</v>
      </c>
      <c r="AA6046" s="4">
        <v>14</v>
      </c>
      <c r="AB6046" s="4">
        <v>1</v>
      </c>
      <c r="AC6046" s="4">
        <v>1</v>
      </c>
      <c r="AD6046" s="4">
        <v>3</v>
      </c>
      <c r="AE6046" s="4">
        <v>21</v>
      </c>
      <c r="AF6046" s="4">
        <v>0</v>
      </c>
      <c r="AG6046" s="4">
        <v>0</v>
      </c>
      <c r="AH6046" s="4">
        <v>2</v>
      </c>
      <c r="AI6046" s="4">
        <v>13</v>
      </c>
      <c r="AJ6046" s="4">
        <v>1</v>
      </c>
      <c r="AK6046" s="4">
        <v>4</v>
      </c>
      <c r="AL6046" s="4">
        <v>0</v>
      </c>
      <c r="AM6046" s="4">
        <v>9</v>
      </c>
      <c r="AN6046" s="4">
        <v>0</v>
      </c>
      <c r="AO6046" s="4">
        <v>0</v>
      </c>
      <c r="AP6046" s="4">
        <v>2</v>
      </c>
      <c r="AQ6046" s="4">
        <v>9</v>
      </c>
      <c r="AR6046" s="3" t="s">
        <v>61</v>
      </c>
      <c r="AS6046" s="3" t="s">
        <v>62</v>
      </c>
      <c r="AT6046" s="3" t="s">
        <v>62</v>
      </c>
      <c r="AV6046" s="6" t="str">
        <f t="shared" si="113"/>
        <v>Catalog Record</v>
      </c>
      <c r="AW6046" s="6" t="str">
        <f t="shared" si="114"/>
        <v>WorldCat Record</v>
      </c>
      <c r="AX6046" s="3" t="s">
        <v>56479</v>
      </c>
      <c r="AY6046" s="3" t="s">
        <v>56480</v>
      </c>
      <c r="AZ6046" s="3" t="s">
        <v>56481</v>
      </c>
      <c r="BA6046" s="3" t="s">
        <v>56481</v>
      </c>
      <c r="BB6046" s="3" t="s">
        <v>56490</v>
      </c>
      <c r="BC6046" s="3" t="s">
        <v>33640</v>
      </c>
      <c r="BD6046" s="3" t="s">
        <v>68</v>
      </c>
      <c r="BF6046" s="3" t="s">
        <v>56490</v>
      </c>
      <c r="BG6046" s="3" t="s">
        <v>56491</v>
      </c>
    </row>
    <row r="6047" spans="1:59" ht="87" x14ac:dyDescent="0.35">
      <c r="A6047" s="2" t="s">
        <v>89</v>
      </c>
      <c r="B6047" s="2" t="s">
        <v>42560</v>
      </c>
      <c r="C6047" s="2" t="s">
        <v>56474</v>
      </c>
      <c r="D6047" s="2" t="s">
        <v>56475</v>
      </c>
      <c r="E6047" s="2" t="s">
        <v>56476</v>
      </c>
      <c r="F6047" s="3" t="s">
        <v>56492</v>
      </c>
      <c r="G6047" s="3" t="s">
        <v>61</v>
      </c>
      <c r="I6047" s="3" t="s">
        <v>62</v>
      </c>
      <c r="J6047" s="3" t="s">
        <v>62</v>
      </c>
      <c r="K6047" s="3" t="s">
        <v>63</v>
      </c>
      <c r="M6047" s="2" t="s">
        <v>56478</v>
      </c>
      <c r="N6047" s="3" t="s">
        <v>438</v>
      </c>
      <c r="P6047" s="3" t="s">
        <v>64</v>
      </c>
      <c r="R6047" s="3" t="s">
        <v>42369</v>
      </c>
      <c r="S6047" s="4">
        <v>9</v>
      </c>
      <c r="T6047" s="4">
        <v>73</v>
      </c>
      <c r="U6047" s="5" t="s">
        <v>26269</v>
      </c>
      <c r="V6047" s="5" t="s">
        <v>15891</v>
      </c>
      <c r="W6047" s="5" t="s">
        <v>67</v>
      </c>
      <c r="X6047" s="5" t="s">
        <v>67</v>
      </c>
      <c r="Y6047" s="4">
        <v>6</v>
      </c>
      <c r="Z6047" s="4">
        <v>3</v>
      </c>
      <c r="AA6047" s="4">
        <v>14</v>
      </c>
      <c r="AB6047" s="4">
        <v>1</v>
      </c>
      <c r="AC6047" s="4">
        <v>1</v>
      </c>
      <c r="AD6047" s="4">
        <v>3</v>
      </c>
      <c r="AE6047" s="4">
        <v>21</v>
      </c>
      <c r="AF6047" s="4">
        <v>0</v>
      </c>
      <c r="AG6047" s="4">
        <v>0</v>
      </c>
      <c r="AH6047" s="4">
        <v>2</v>
      </c>
      <c r="AI6047" s="4">
        <v>13</v>
      </c>
      <c r="AJ6047" s="4">
        <v>1</v>
      </c>
      <c r="AK6047" s="4">
        <v>4</v>
      </c>
      <c r="AL6047" s="4">
        <v>0</v>
      </c>
      <c r="AM6047" s="4">
        <v>9</v>
      </c>
      <c r="AN6047" s="4">
        <v>0</v>
      </c>
      <c r="AO6047" s="4">
        <v>0</v>
      </c>
      <c r="AP6047" s="4">
        <v>2</v>
      </c>
      <c r="AQ6047" s="4">
        <v>9</v>
      </c>
      <c r="AR6047" s="3" t="s">
        <v>61</v>
      </c>
      <c r="AS6047" s="3" t="s">
        <v>62</v>
      </c>
      <c r="AT6047" s="3" t="s">
        <v>62</v>
      </c>
      <c r="AV6047" s="6" t="str">
        <f t="shared" si="113"/>
        <v>Catalog Record</v>
      </c>
      <c r="AW6047" s="6" t="str">
        <f t="shared" si="114"/>
        <v>WorldCat Record</v>
      </c>
      <c r="AX6047" s="3" t="s">
        <v>56479</v>
      </c>
      <c r="AY6047" s="3" t="s">
        <v>56480</v>
      </c>
      <c r="AZ6047" s="3" t="s">
        <v>56481</v>
      </c>
      <c r="BA6047" s="3" t="s">
        <v>56481</v>
      </c>
      <c r="BB6047" s="3" t="s">
        <v>56493</v>
      </c>
      <c r="BC6047" s="3" t="s">
        <v>33640</v>
      </c>
      <c r="BD6047" s="3" t="s">
        <v>68</v>
      </c>
      <c r="BF6047" s="3" t="s">
        <v>56493</v>
      </c>
      <c r="BG6047" s="3" t="s">
        <v>56494</v>
      </c>
    </row>
    <row r="6048" spans="1:59" ht="87" x14ac:dyDescent="0.35">
      <c r="A6048" s="2" t="s">
        <v>89</v>
      </c>
      <c r="B6048" s="2" t="s">
        <v>42560</v>
      </c>
      <c r="C6048" s="2" t="s">
        <v>56474</v>
      </c>
      <c r="D6048" s="2" t="s">
        <v>56475</v>
      </c>
      <c r="E6048" s="2" t="s">
        <v>56476</v>
      </c>
      <c r="F6048" s="3" t="s">
        <v>56495</v>
      </c>
      <c r="G6048" s="3" t="s">
        <v>61</v>
      </c>
      <c r="I6048" s="3" t="s">
        <v>62</v>
      </c>
      <c r="J6048" s="3" t="s">
        <v>62</v>
      </c>
      <c r="K6048" s="3" t="s">
        <v>63</v>
      </c>
      <c r="M6048" s="2" t="s">
        <v>56478</v>
      </c>
      <c r="N6048" s="3" t="s">
        <v>438</v>
      </c>
      <c r="P6048" s="3" t="s">
        <v>64</v>
      </c>
      <c r="R6048" s="3" t="s">
        <v>42369</v>
      </c>
      <c r="S6048" s="4">
        <v>6</v>
      </c>
      <c r="T6048" s="4">
        <v>73</v>
      </c>
      <c r="U6048" s="5" t="s">
        <v>15891</v>
      </c>
      <c r="V6048" s="5" t="s">
        <v>15891</v>
      </c>
      <c r="W6048" s="5" t="s">
        <v>67</v>
      </c>
      <c r="X6048" s="5" t="s">
        <v>67</v>
      </c>
      <c r="Y6048" s="4">
        <v>6</v>
      </c>
      <c r="Z6048" s="4">
        <v>3</v>
      </c>
      <c r="AA6048" s="4">
        <v>14</v>
      </c>
      <c r="AB6048" s="4">
        <v>1</v>
      </c>
      <c r="AC6048" s="4">
        <v>1</v>
      </c>
      <c r="AD6048" s="4">
        <v>3</v>
      </c>
      <c r="AE6048" s="4">
        <v>21</v>
      </c>
      <c r="AF6048" s="4">
        <v>0</v>
      </c>
      <c r="AG6048" s="4">
        <v>0</v>
      </c>
      <c r="AH6048" s="4">
        <v>2</v>
      </c>
      <c r="AI6048" s="4">
        <v>13</v>
      </c>
      <c r="AJ6048" s="4">
        <v>1</v>
      </c>
      <c r="AK6048" s="4">
        <v>4</v>
      </c>
      <c r="AL6048" s="4">
        <v>0</v>
      </c>
      <c r="AM6048" s="4">
        <v>9</v>
      </c>
      <c r="AN6048" s="4">
        <v>0</v>
      </c>
      <c r="AO6048" s="4">
        <v>0</v>
      </c>
      <c r="AP6048" s="4">
        <v>2</v>
      </c>
      <c r="AQ6048" s="4">
        <v>9</v>
      </c>
      <c r="AR6048" s="3" t="s">
        <v>61</v>
      </c>
      <c r="AS6048" s="3" t="s">
        <v>62</v>
      </c>
      <c r="AT6048" s="3" t="s">
        <v>62</v>
      </c>
      <c r="AV6048" s="6" t="str">
        <f t="shared" si="113"/>
        <v>Catalog Record</v>
      </c>
      <c r="AW6048" s="6" t="str">
        <f t="shared" si="114"/>
        <v>WorldCat Record</v>
      </c>
      <c r="AX6048" s="3" t="s">
        <v>56479</v>
      </c>
      <c r="AY6048" s="3" t="s">
        <v>56480</v>
      </c>
      <c r="AZ6048" s="3" t="s">
        <v>56481</v>
      </c>
      <c r="BA6048" s="3" t="s">
        <v>56481</v>
      </c>
      <c r="BB6048" s="3" t="s">
        <v>56496</v>
      </c>
      <c r="BC6048" s="3" t="s">
        <v>33640</v>
      </c>
      <c r="BD6048" s="3" t="s">
        <v>68</v>
      </c>
      <c r="BF6048" s="3" t="s">
        <v>56496</v>
      </c>
      <c r="BG6048" s="3" t="s">
        <v>56497</v>
      </c>
    </row>
    <row r="6049" spans="1:59" ht="87" x14ac:dyDescent="0.35">
      <c r="A6049" s="2" t="s">
        <v>89</v>
      </c>
      <c r="B6049" s="2" t="s">
        <v>42560</v>
      </c>
      <c r="C6049" s="2" t="s">
        <v>56474</v>
      </c>
      <c r="D6049" s="2" t="s">
        <v>56475</v>
      </c>
      <c r="E6049" s="2" t="s">
        <v>56476</v>
      </c>
      <c r="F6049" s="3" t="s">
        <v>56498</v>
      </c>
      <c r="G6049" s="3" t="s">
        <v>61</v>
      </c>
      <c r="I6049" s="3" t="s">
        <v>62</v>
      </c>
      <c r="J6049" s="3" t="s">
        <v>62</v>
      </c>
      <c r="K6049" s="3" t="s">
        <v>63</v>
      </c>
      <c r="M6049" s="2" t="s">
        <v>56478</v>
      </c>
      <c r="N6049" s="3" t="s">
        <v>438</v>
      </c>
      <c r="P6049" s="3" t="s">
        <v>64</v>
      </c>
      <c r="R6049" s="3" t="s">
        <v>42369</v>
      </c>
      <c r="S6049" s="4">
        <v>7</v>
      </c>
      <c r="T6049" s="4">
        <v>73</v>
      </c>
      <c r="U6049" s="5" t="s">
        <v>56499</v>
      </c>
      <c r="V6049" s="5" t="s">
        <v>15891</v>
      </c>
      <c r="W6049" s="5" t="s">
        <v>67</v>
      </c>
      <c r="X6049" s="5" t="s">
        <v>67</v>
      </c>
      <c r="Y6049" s="4">
        <v>6</v>
      </c>
      <c r="Z6049" s="4">
        <v>3</v>
      </c>
      <c r="AA6049" s="4">
        <v>14</v>
      </c>
      <c r="AB6049" s="4">
        <v>1</v>
      </c>
      <c r="AC6049" s="4">
        <v>1</v>
      </c>
      <c r="AD6049" s="4">
        <v>3</v>
      </c>
      <c r="AE6049" s="4">
        <v>21</v>
      </c>
      <c r="AF6049" s="4">
        <v>0</v>
      </c>
      <c r="AG6049" s="4">
        <v>0</v>
      </c>
      <c r="AH6049" s="4">
        <v>2</v>
      </c>
      <c r="AI6049" s="4">
        <v>13</v>
      </c>
      <c r="AJ6049" s="4">
        <v>1</v>
      </c>
      <c r="AK6049" s="4">
        <v>4</v>
      </c>
      <c r="AL6049" s="4">
        <v>0</v>
      </c>
      <c r="AM6049" s="4">
        <v>9</v>
      </c>
      <c r="AN6049" s="4">
        <v>0</v>
      </c>
      <c r="AO6049" s="4">
        <v>0</v>
      </c>
      <c r="AP6049" s="4">
        <v>2</v>
      </c>
      <c r="AQ6049" s="4">
        <v>9</v>
      </c>
      <c r="AR6049" s="3" t="s">
        <v>61</v>
      </c>
      <c r="AS6049" s="3" t="s">
        <v>62</v>
      </c>
      <c r="AT6049" s="3" t="s">
        <v>62</v>
      </c>
      <c r="AV6049" s="6" t="str">
        <f t="shared" si="113"/>
        <v>Catalog Record</v>
      </c>
      <c r="AW6049" s="6" t="str">
        <f t="shared" si="114"/>
        <v>WorldCat Record</v>
      </c>
      <c r="AX6049" s="3" t="s">
        <v>56479</v>
      </c>
      <c r="AY6049" s="3" t="s">
        <v>56480</v>
      </c>
      <c r="AZ6049" s="3" t="s">
        <v>56481</v>
      </c>
      <c r="BA6049" s="3" t="s">
        <v>56481</v>
      </c>
      <c r="BB6049" s="3" t="s">
        <v>56500</v>
      </c>
      <c r="BC6049" s="3" t="s">
        <v>33640</v>
      </c>
      <c r="BD6049" s="3" t="s">
        <v>68</v>
      </c>
      <c r="BF6049" s="3" t="s">
        <v>56500</v>
      </c>
      <c r="BG6049" s="3" t="s">
        <v>56501</v>
      </c>
    </row>
    <row r="6050" spans="1:59" ht="87" x14ac:dyDescent="0.35">
      <c r="A6050" s="2" t="s">
        <v>89</v>
      </c>
      <c r="B6050" s="2" t="s">
        <v>42560</v>
      </c>
      <c r="C6050" s="2" t="s">
        <v>56474</v>
      </c>
      <c r="D6050" s="2" t="s">
        <v>56475</v>
      </c>
      <c r="E6050" s="2" t="s">
        <v>56476</v>
      </c>
      <c r="F6050" s="3" t="s">
        <v>56502</v>
      </c>
      <c r="G6050" s="3" t="s">
        <v>61</v>
      </c>
      <c r="I6050" s="3" t="s">
        <v>62</v>
      </c>
      <c r="J6050" s="3" t="s">
        <v>62</v>
      </c>
      <c r="K6050" s="3" t="s">
        <v>63</v>
      </c>
      <c r="M6050" s="2" t="s">
        <v>56478</v>
      </c>
      <c r="N6050" s="3" t="s">
        <v>438</v>
      </c>
      <c r="P6050" s="3" t="s">
        <v>64</v>
      </c>
      <c r="R6050" s="3" t="s">
        <v>42369</v>
      </c>
      <c r="S6050" s="4">
        <v>3</v>
      </c>
      <c r="T6050" s="4">
        <v>73</v>
      </c>
      <c r="U6050" s="5" t="s">
        <v>56485</v>
      </c>
      <c r="V6050" s="5" t="s">
        <v>15891</v>
      </c>
      <c r="W6050" s="5" t="s">
        <v>67</v>
      </c>
      <c r="X6050" s="5" t="s">
        <v>67</v>
      </c>
      <c r="Y6050" s="4">
        <v>6</v>
      </c>
      <c r="Z6050" s="4">
        <v>3</v>
      </c>
      <c r="AA6050" s="4">
        <v>14</v>
      </c>
      <c r="AB6050" s="4">
        <v>1</v>
      </c>
      <c r="AC6050" s="4">
        <v>1</v>
      </c>
      <c r="AD6050" s="4">
        <v>3</v>
      </c>
      <c r="AE6050" s="4">
        <v>21</v>
      </c>
      <c r="AF6050" s="4">
        <v>0</v>
      </c>
      <c r="AG6050" s="4">
        <v>0</v>
      </c>
      <c r="AH6050" s="4">
        <v>2</v>
      </c>
      <c r="AI6050" s="4">
        <v>13</v>
      </c>
      <c r="AJ6050" s="4">
        <v>1</v>
      </c>
      <c r="AK6050" s="4">
        <v>4</v>
      </c>
      <c r="AL6050" s="4">
        <v>0</v>
      </c>
      <c r="AM6050" s="4">
        <v>9</v>
      </c>
      <c r="AN6050" s="4">
        <v>0</v>
      </c>
      <c r="AO6050" s="4">
        <v>0</v>
      </c>
      <c r="AP6050" s="4">
        <v>2</v>
      </c>
      <c r="AQ6050" s="4">
        <v>9</v>
      </c>
      <c r="AR6050" s="3" t="s">
        <v>61</v>
      </c>
      <c r="AS6050" s="3" t="s">
        <v>62</v>
      </c>
      <c r="AT6050" s="3" t="s">
        <v>62</v>
      </c>
      <c r="AV6050" s="6" t="str">
        <f t="shared" si="113"/>
        <v>Catalog Record</v>
      </c>
      <c r="AW6050" s="6" t="str">
        <f t="shared" si="114"/>
        <v>WorldCat Record</v>
      </c>
      <c r="AX6050" s="3" t="s">
        <v>56479</v>
      </c>
      <c r="AY6050" s="3" t="s">
        <v>56480</v>
      </c>
      <c r="AZ6050" s="3" t="s">
        <v>56481</v>
      </c>
      <c r="BA6050" s="3" t="s">
        <v>56481</v>
      </c>
      <c r="BB6050" s="3" t="s">
        <v>56503</v>
      </c>
      <c r="BC6050" s="3" t="s">
        <v>33640</v>
      </c>
      <c r="BD6050" s="3" t="s">
        <v>68</v>
      </c>
      <c r="BF6050" s="3" t="s">
        <v>56503</v>
      </c>
      <c r="BG6050" s="3" t="s">
        <v>56504</v>
      </c>
    </row>
    <row r="6051" spans="1:59" ht="87" x14ac:dyDescent="0.35">
      <c r="A6051" s="2" t="s">
        <v>89</v>
      </c>
      <c r="B6051" s="2" t="s">
        <v>42560</v>
      </c>
      <c r="C6051" s="2" t="s">
        <v>56474</v>
      </c>
      <c r="D6051" s="2" t="s">
        <v>56475</v>
      </c>
      <c r="E6051" s="2" t="s">
        <v>56476</v>
      </c>
      <c r="F6051" s="3" t="s">
        <v>56505</v>
      </c>
      <c r="G6051" s="3" t="s">
        <v>61</v>
      </c>
      <c r="I6051" s="3" t="s">
        <v>62</v>
      </c>
      <c r="J6051" s="3" t="s">
        <v>62</v>
      </c>
      <c r="K6051" s="3" t="s">
        <v>63</v>
      </c>
      <c r="M6051" s="2" t="s">
        <v>56478</v>
      </c>
      <c r="N6051" s="3" t="s">
        <v>438</v>
      </c>
      <c r="P6051" s="3" t="s">
        <v>64</v>
      </c>
      <c r="R6051" s="3" t="s">
        <v>42369</v>
      </c>
      <c r="S6051" s="4">
        <v>8</v>
      </c>
      <c r="T6051" s="4">
        <v>73</v>
      </c>
      <c r="U6051" s="5" t="s">
        <v>5322</v>
      </c>
      <c r="V6051" s="5" t="s">
        <v>15891</v>
      </c>
      <c r="W6051" s="5" t="s">
        <v>67</v>
      </c>
      <c r="X6051" s="5" t="s">
        <v>67</v>
      </c>
      <c r="Y6051" s="4">
        <v>6</v>
      </c>
      <c r="Z6051" s="4">
        <v>3</v>
      </c>
      <c r="AA6051" s="4">
        <v>14</v>
      </c>
      <c r="AB6051" s="4">
        <v>1</v>
      </c>
      <c r="AC6051" s="4">
        <v>1</v>
      </c>
      <c r="AD6051" s="4">
        <v>3</v>
      </c>
      <c r="AE6051" s="4">
        <v>21</v>
      </c>
      <c r="AF6051" s="4">
        <v>0</v>
      </c>
      <c r="AG6051" s="4">
        <v>0</v>
      </c>
      <c r="AH6051" s="4">
        <v>2</v>
      </c>
      <c r="AI6051" s="4">
        <v>13</v>
      </c>
      <c r="AJ6051" s="4">
        <v>1</v>
      </c>
      <c r="AK6051" s="4">
        <v>4</v>
      </c>
      <c r="AL6051" s="4">
        <v>0</v>
      </c>
      <c r="AM6051" s="4">
        <v>9</v>
      </c>
      <c r="AN6051" s="4">
        <v>0</v>
      </c>
      <c r="AO6051" s="4">
        <v>0</v>
      </c>
      <c r="AP6051" s="4">
        <v>2</v>
      </c>
      <c r="AQ6051" s="4">
        <v>9</v>
      </c>
      <c r="AR6051" s="3" t="s">
        <v>61</v>
      </c>
      <c r="AS6051" s="3" t="s">
        <v>62</v>
      </c>
      <c r="AT6051" s="3" t="s">
        <v>62</v>
      </c>
      <c r="AV6051" s="6" t="str">
        <f t="shared" si="113"/>
        <v>Catalog Record</v>
      </c>
      <c r="AW6051" s="6" t="str">
        <f t="shared" si="114"/>
        <v>WorldCat Record</v>
      </c>
      <c r="AX6051" s="3" t="s">
        <v>56479</v>
      </c>
      <c r="AY6051" s="3" t="s">
        <v>56480</v>
      </c>
      <c r="AZ6051" s="3" t="s">
        <v>56481</v>
      </c>
      <c r="BA6051" s="3" t="s">
        <v>56481</v>
      </c>
      <c r="BB6051" s="3" t="s">
        <v>56506</v>
      </c>
      <c r="BC6051" s="3" t="s">
        <v>33640</v>
      </c>
      <c r="BD6051" s="3" t="s">
        <v>68</v>
      </c>
      <c r="BF6051" s="3" t="s">
        <v>56506</v>
      </c>
      <c r="BG6051" s="3" t="s">
        <v>56507</v>
      </c>
    </row>
    <row r="6052" spans="1:59" ht="87" x14ac:dyDescent="0.35">
      <c r="A6052" s="2" t="s">
        <v>89</v>
      </c>
      <c r="B6052" s="2" t="s">
        <v>42560</v>
      </c>
      <c r="C6052" s="2" t="s">
        <v>56474</v>
      </c>
      <c r="D6052" s="2" t="s">
        <v>56475</v>
      </c>
      <c r="E6052" s="2" t="s">
        <v>56476</v>
      </c>
      <c r="F6052" s="3" t="s">
        <v>56508</v>
      </c>
      <c r="G6052" s="3" t="s">
        <v>61</v>
      </c>
      <c r="I6052" s="3" t="s">
        <v>62</v>
      </c>
      <c r="J6052" s="3" t="s">
        <v>62</v>
      </c>
      <c r="K6052" s="3" t="s">
        <v>63</v>
      </c>
      <c r="M6052" s="2" t="s">
        <v>56478</v>
      </c>
      <c r="N6052" s="3" t="s">
        <v>438</v>
      </c>
      <c r="P6052" s="3" t="s">
        <v>64</v>
      </c>
      <c r="R6052" s="3" t="s">
        <v>42369</v>
      </c>
      <c r="S6052" s="4">
        <v>7</v>
      </c>
      <c r="T6052" s="4">
        <v>73</v>
      </c>
      <c r="U6052" s="5" t="s">
        <v>56509</v>
      </c>
      <c r="V6052" s="5" t="s">
        <v>15891</v>
      </c>
      <c r="W6052" s="5" t="s">
        <v>67</v>
      </c>
      <c r="X6052" s="5" t="s">
        <v>67</v>
      </c>
      <c r="Y6052" s="4">
        <v>6</v>
      </c>
      <c r="Z6052" s="4">
        <v>3</v>
      </c>
      <c r="AA6052" s="4">
        <v>14</v>
      </c>
      <c r="AB6052" s="4">
        <v>1</v>
      </c>
      <c r="AC6052" s="4">
        <v>1</v>
      </c>
      <c r="AD6052" s="4">
        <v>3</v>
      </c>
      <c r="AE6052" s="4">
        <v>21</v>
      </c>
      <c r="AF6052" s="4">
        <v>0</v>
      </c>
      <c r="AG6052" s="4">
        <v>0</v>
      </c>
      <c r="AH6052" s="4">
        <v>2</v>
      </c>
      <c r="AI6052" s="4">
        <v>13</v>
      </c>
      <c r="AJ6052" s="4">
        <v>1</v>
      </c>
      <c r="AK6052" s="4">
        <v>4</v>
      </c>
      <c r="AL6052" s="4">
        <v>0</v>
      </c>
      <c r="AM6052" s="4">
        <v>9</v>
      </c>
      <c r="AN6052" s="4">
        <v>0</v>
      </c>
      <c r="AO6052" s="4">
        <v>0</v>
      </c>
      <c r="AP6052" s="4">
        <v>2</v>
      </c>
      <c r="AQ6052" s="4">
        <v>9</v>
      </c>
      <c r="AR6052" s="3" t="s">
        <v>61</v>
      </c>
      <c r="AS6052" s="3" t="s">
        <v>62</v>
      </c>
      <c r="AT6052" s="3" t="s">
        <v>62</v>
      </c>
      <c r="AV6052" s="6" t="str">
        <f t="shared" si="113"/>
        <v>Catalog Record</v>
      </c>
      <c r="AW6052" s="6" t="str">
        <f t="shared" si="114"/>
        <v>WorldCat Record</v>
      </c>
      <c r="AX6052" s="3" t="s">
        <v>56479</v>
      </c>
      <c r="AY6052" s="3" t="s">
        <v>56480</v>
      </c>
      <c r="AZ6052" s="3" t="s">
        <v>56481</v>
      </c>
      <c r="BA6052" s="3" t="s">
        <v>56481</v>
      </c>
      <c r="BB6052" s="3" t="s">
        <v>56510</v>
      </c>
      <c r="BC6052" s="3" t="s">
        <v>33640</v>
      </c>
      <c r="BD6052" s="3" t="s">
        <v>68</v>
      </c>
      <c r="BF6052" s="3" t="s">
        <v>56510</v>
      </c>
      <c r="BG6052" s="3" t="s">
        <v>56511</v>
      </c>
    </row>
    <row r="6053" spans="1:59" ht="87" x14ac:dyDescent="0.35">
      <c r="A6053" s="2" t="s">
        <v>89</v>
      </c>
      <c r="B6053" s="2" t="s">
        <v>42560</v>
      </c>
      <c r="C6053" s="2" t="s">
        <v>56474</v>
      </c>
      <c r="D6053" s="2" t="s">
        <v>56475</v>
      </c>
      <c r="E6053" s="2" t="s">
        <v>56476</v>
      </c>
      <c r="F6053" s="3" t="s">
        <v>56512</v>
      </c>
      <c r="G6053" s="3" t="s">
        <v>61</v>
      </c>
      <c r="I6053" s="3" t="s">
        <v>62</v>
      </c>
      <c r="J6053" s="3" t="s">
        <v>62</v>
      </c>
      <c r="K6053" s="3" t="s">
        <v>63</v>
      </c>
      <c r="M6053" s="2" t="s">
        <v>56478</v>
      </c>
      <c r="N6053" s="3" t="s">
        <v>438</v>
      </c>
      <c r="P6053" s="3" t="s">
        <v>64</v>
      </c>
      <c r="R6053" s="3" t="s">
        <v>42369</v>
      </c>
      <c r="S6053" s="4">
        <v>6</v>
      </c>
      <c r="T6053" s="4">
        <v>73</v>
      </c>
      <c r="U6053" s="5" t="s">
        <v>5322</v>
      </c>
      <c r="V6053" s="5" t="s">
        <v>15891</v>
      </c>
      <c r="W6053" s="5" t="s">
        <v>67</v>
      </c>
      <c r="X6053" s="5" t="s">
        <v>67</v>
      </c>
      <c r="Y6053" s="4">
        <v>6</v>
      </c>
      <c r="Z6053" s="4">
        <v>3</v>
      </c>
      <c r="AA6053" s="4">
        <v>14</v>
      </c>
      <c r="AB6053" s="4">
        <v>1</v>
      </c>
      <c r="AC6053" s="4">
        <v>1</v>
      </c>
      <c r="AD6053" s="4">
        <v>3</v>
      </c>
      <c r="AE6053" s="4">
        <v>21</v>
      </c>
      <c r="AF6053" s="4">
        <v>0</v>
      </c>
      <c r="AG6053" s="4">
        <v>0</v>
      </c>
      <c r="AH6053" s="4">
        <v>2</v>
      </c>
      <c r="AI6053" s="4">
        <v>13</v>
      </c>
      <c r="AJ6053" s="4">
        <v>1</v>
      </c>
      <c r="AK6053" s="4">
        <v>4</v>
      </c>
      <c r="AL6053" s="4">
        <v>0</v>
      </c>
      <c r="AM6053" s="4">
        <v>9</v>
      </c>
      <c r="AN6053" s="4">
        <v>0</v>
      </c>
      <c r="AO6053" s="4">
        <v>0</v>
      </c>
      <c r="AP6053" s="4">
        <v>2</v>
      </c>
      <c r="AQ6053" s="4">
        <v>9</v>
      </c>
      <c r="AR6053" s="3" t="s">
        <v>61</v>
      </c>
      <c r="AS6053" s="3" t="s">
        <v>62</v>
      </c>
      <c r="AT6053" s="3" t="s">
        <v>62</v>
      </c>
      <c r="AV6053" s="6" t="str">
        <f t="shared" si="113"/>
        <v>Catalog Record</v>
      </c>
      <c r="AW6053" s="6" t="str">
        <f t="shared" si="114"/>
        <v>WorldCat Record</v>
      </c>
      <c r="AX6053" s="3" t="s">
        <v>56479</v>
      </c>
      <c r="AY6053" s="3" t="s">
        <v>56480</v>
      </c>
      <c r="AZ6053" s="3" t="s">
        <v>56481</v>
      </c>
      <c r="BA6053" s="3" t="s">
        <v>56481</v>
      </c>
      <c r="BB6053" s="3" t="s">
        <v>56513</v>
      </c>
      <c r="BC6053" s="3" t="s">
        <v>33640</v>
      </c>
      <c r="BD6053" s="3" t="s">
        <v>68</v>
      </c>
      <c r="BF6053" s="3" t="s">
        <v>56513</v>
      </c>
      <c r="BG6053" s="3" t="s">
        <v>56514</v>
      </c>
    </row>
    <row r="6054" spans="1:59" ht="87" x14ac:dyDescent="0.35">
      <c r="A6054" s="2" t="s">
        <v>89</v>
      </c>
      <c r="B6054" s="2" t="s">
        <v>42560</v>
      </c>
      <c r="C6054" s="2" t="s">
        <v>56474</v>
      </c>
      <c r="D6054" s="2" t="s">
        <v>56475</v>
      </c>
      <c r="E6054" s="2" t="s">
        <v>56476</v>
      </c>
      <c r="F6054" s="3" t="s">
        <v>56515</v>
      </c>
      <c r="G6054" s="3" t="s">
        <v>61</v>
      </c>
      <c r="I6054" s="3" t="s">
        <v>62</v>
      </c>
      <c r="J6054" s="3" t="s">
        <v>62</v>
      </c>
      <c r="K6054" s="3" t="s">
        <v>63</v>
      </c>
      <c r="M6054" s="2" t="s">
        <v>56478</v>
      </c>
      <c r="N6054" s="3" t="s">
        <v>438</v>
      </c>
      <c r="P6054" s="3" t="s">
        <v>64</v>
      </c>
      <c r="R6054" s="3" t="s">
        <v>42369</v>
      </c>
      <c r="S6054" s="4">
        <v>4</v>
      </c>
      <c r="T6054" s="4">
        <v>73</v>
      </c>
      <c r="U6054" s="5" t="s">
        <v>5322</v>
      </c>
      <c r="V6054" s="5" t="s">
        <v>15891</v>
      </c>
      <c r="W6054" s="5" t="s">
        <v>67</v>
      </c>
      <c r="X6054" s="5" t="s">
        <v>67</v>
      </c>
      <c r="Y6054" s="4">
        <v>6</v>
      </c>
      <c r="Z6054" s="4">
        <v>3</v>
      </c>
      <c r="AA6054" s="4">
        <v>14</v>
      </c>
      <c r="AB6054" s="4">
        <v>1</v>
      </c>
      <c r="AC6054" s="4">
        <v>1</v>
      </c>
      <c r="AD6054" s="4">
        <v>3</v>
      </c>
      <c r="AE6054" s="4">
        <v>21</v>
      </c>
      <c r="AF6054" s="4">
        <v>0</v>
      </c>
      <c r="AG6054" s="4">
        <v>0</v>
      </c>
      <c r="AH6054" s="4">
        <v>2</v>
      </c>
      <c r="AI6054" s="4">
        <v>13</v>
      </c>
      <c r="AJ6054" s="4">
        <v>1</v>
      </c>
      <c r="AK6054" s="4">
        <v>4</v>
      </c>
      <c r="AL6054" s="4">
        <v>0</v>
      </c>
      <c r="AM6054" s="4">
        <v>9</v>
      </c>
      <c r="AN6054" s="4">
        <v>0</v>
      </c>
      <c r="AO6054" s="4">
        <v>0</v>
      </c>
      <c r="AP6054" s="4">
        <v>2</v>
      </c>
      <c r="AQ6054" s="4">
        <v>9</v>
      </c>
      <c r="AR6054" s="3" t="s">
        <v>61</v>
      </c>
      <c r="AS6054" s="3" t="s">
        <v>62</v>
      </c>
      <c r="AT6054" s="3" t="s">
        <v>62</v>
      </c>
      <c r="AV6054" s="6" t="str">
        <f t="shared" si="113"/>
        <v>Catalog Record</v>
      </c>
      <c r="AW6054" s="6" t="str">
        <f t="shared" si="114"/>
        <v>WorldCat Record</v>
      </c>
      <c r="AX6054" s="3" t="s">
        <v>56479</v>
      </c>
      <c r="AY6054" s="3" t="s">
        <v>56480</v>
      </c>
      <c r="AZ6054" s="3" t="s">
        <v>56481</v>
      </c>
      <c r="BA6054" s="3" t="s">
        <v>56481</v>
      </c>
      <c r="BB6054" s="3" t="s">
        <v>56516</v>
      </c>
      <c r="BC6054" s="3" t="s">
        <v>33640</v>
      </c>
      <c r="BD6054" s="3" t="s">
        <v>68</v>
      </c>
      <c r="BF6054" s="3" t="s">
        <v>56516</v>
      </c>
      <c r="BG6054" s="3" t="s">
        <v>56517</v>
      </c>
    </row>
    <row r="6055" spans="1:59" ht="87" x14ac:dyDescent="0.35">
      <c r="A6055" s="2" t="s">
        <v>89</v>
      </c>
      <c r="B6055" s="2" t="s">
        <v>42560</v>
      </c>
      <c r="C6055" s="2" t="s">
        <v>56474</v>
      </c>
      <c r="D6055" s="2" t="s">
        <v>56475</v>
      </c>
      <c r="E6055" s="2" t="s">
        <v>56476</v>
      </c>
      <c r="F6055" s="3" t="s">
        <v>56518</v>
      </c>
      <c r="G6055" s="3" t="s">
        <v>61</v>
      </c>
      <c r="I6055" s="3" t="s">
        <v>62</v>
      </c>
      <c r="J6055" s="3" t="s">
        <v>62</v>
      </c>
      <c r="K6055" s="3" t="s">
        <v>63</v>
      </c>
      <c r="M6055" s="2" t="s">
        <v>56478</v>
      </c>
      <c r="N6055" s="3" t="s">
        <v>438</v>
      </c>
      <c r="P6055" s="3" t="s">
        <v>64</v>
      </c>
      <c r="R6055" s="3" t="s">
        <v>42369</v>
      </c>
      <c r="S6055" s="4">
        <v>4</v>
      </c>
      <c r="T6055" s="4">
        <v>73</v>
      </c>
      <c r="U6055" s="5" t="s">
        <v>56519</v>
      </c>
      <c r="V6055" s="5" t="s">
        <v>15891</v>
      </c>
      <c r="W6055" s="5" t="s">
        <v>67</v>
      </c>
      <c r="X6055" s="5" t="s">
        <v>67</v>
      </c>
      <c r="Y6055" s="4">
        <v>6</v>
      </c>
      <c r="Z6055" s="4">
        <v>3</v>
      </c>
      <c r="AA6055" s="4">
        <v>14</v>
      </c>
      <c r="AB6055" s="4">
        <v>1</v>
      </c>
      <c r="AC6055" s="4">
        <v>1</v>
      </c>
      <c r="AD6055" s="4">
        <v>3</v>
      </c>
      <c r="AE6055" s="4">
        <v>21</v>
      </c>
      <c r="AF6055" s="4">
        <v>0</v>
      </c>
      <c r="AG6055" s="4">
        <v>0</v>
      </c>
      <c r="AH6055" s="4">
        <v>2</v>
      </c>
      <c r="AI6055" s="4">
        <v>13</v>
      </c>
      <c r="AJ6055" s="4">
        <v>1</v>
      </c>
      <c r="AK6055" s="4">
        <v>4</v>
      </c>
      <c r="AL6055" s="4">
        <v>0</v>
      </c>
      <c r="AM6055" s="4">
        <v>9</v>
      </c>
      <c r="AN6055" s="4">
        <v>0</v>
      </c>
      <c r="AO6055" s="4">
        <v>0</v>
      </c>
      <c r="AP6055" s="4">
        <v>2</v>
      </c>
      <c r="AQ6055" s="4">
        <v>9</v>
      </c>
      <c r="AR6055" s="3" t="s">
        <v>61</v>
      </c>
      <c r="AS6055" s="3" t="s">
        <v>62</v>
      </c>
      <c r="AT6055" s="3" t="s">
        <v>62</v>
      </c>
      <c r="AV6055" s="6" t="str">
        <f t="shared" si="113"/>
        <v>Catalog Record</v>
      </c>
      <c r="AW6055" s="6" t="str">
        <f t="shared" si="114"/>
        <v>WorldCat Record</v>
      </c>
      <c r="AX6055" s="3" t="s">
        <v>56479</v>
      </c>
      <c r="AY6055" s="3" t="s">
        <v>56480</v>
      </c>
      <c r="AZ6055" s="3" t="s">
        <v>56481</v>
      </c>
      <c r="BA6055" s="3" t="s">
        <v>56481</v>
      </c>
      <c r="BB6055" s="3" t="s">
        <v>56520</v>
      </c>
      <c r="BC6055" s="3" t="s">
        <v>33640</v>
      </c>
      <c r="BD6055" s="3" t="s">
        <v>68</v>
      </c>
      <c r="BF6055" s="3" t="s">
        <v>56520</v>
      </c>
      <c r="BG6055" s="3" t="s">
        <v>56521</v>
      </c>
    </row>
    <row r="6056" spans="1:59" ht="87" x14ac:dyDescent="0.35">
      <c r="A6056" s="2" t="s">
        <v>89</v>
      </c>
      <c r="B6056" s="2" t="s">
        <v>42560</v>
      </c>
      <c r="C6056" s="2" t="s">
        <v>56522</v>
      </c>
      <c r="D6056" s="2" t="s">
        <v>56523</v>
      </c>
      <c r="E6056" s="2" t="s">
        <v>56524</v>
      </c>
      <c r="G6056" s="3" t="s">
        <v>62</v>
      </c>
      <c r="I6056" s="3" t="s">
        <v>62</v>
      </c>
      <c r="J6056" s="3" t="s">
        <v>62</v>
      </c>
      <c r="K6056" s="3" t="s">
        <v>63</v>
      </c>
      <c r="M6056" s="2" t="s">
        <v>56525</v>
      </c>
      <c r="N6056" s="3" t="s">
        <v>655</v>
      </c>
      <c r="P6056" s="3" t="s">
        <v>64</v>
      </c>
      <c r="R6056" s="3" t="s">
        <v>42369</v>
      </c>
      <c r="S6056" s="4">
        <v>16</v>
      </c>
      <c r="T6056" s="4">
        <v>16</v>
      </c>
      <c r="U6056" s="5" t="s">
        <v>30231</v>
      </c>
      <c r="V6056" s="5" t="s">
        <v>30231</v>
      </c>
      <c r="W6056" s="5" t="s">
        <v>67</v>
      </c>
      <c r="X6056" s="5" t="s">
        <v>67</v>
      </c>
      <c r="Y6056" s="4">
        <v>277</v>
      </c>
      <c r="Z6056" s="4">
        <v>6</v>
      </c>
      <c r="AA6056" s="4">
        <v>6</v>
      </c>
      <c r="AB6056" s="4">
        <v>1</v>
      </c>
      <c r="AC6056" s="4">
        <v>1</v>
      </c>
      <c r="AD6056" s="4">
        <v>4</v>
      </c>
      <c r="AE6056" s="4">
        <v>4</v>
      </c>
      <c r="AF6056" s="4">
        <v>0</v>
      </c>
      <c r="AG6056" s="4">
        <v>0</v>
      </c>
      <c r="AH6056" s="4">
        <v>4</v>
      </c>
      <c r="AI6056" s="4">
        <v>4</v>
      </c>
      <c r="AJ6056" s="4">
        <v>0</v>
      </c>
      <c r="AK6056" s="4">
        <v>0</v>
      </c>
      <c r="AL6056" s="4">
        <v>2</v>
      </c>
      <c r="AM6056" s="4">
        <v>2</v>
      </c>
      <c r="AN6056" s="4">
        <v>0</v>
      </c>
      <c r="AO6056" s="4">
        <v>0</v>
      </c>
      <c r="AP6056" s="4">
        <v>0</v>
      </c>
      <c r="AQ6056" s="4">
        <v>0</v>
      </c>
      <c r="AR6056" s="3" t="s">
        <v>62</v>
      </c>
      <c r="AS6056" s="3" t="s">
        <v>62</v>
      </c>
      <c r="AT6056" s="3" t="s">
        <v>62</v>
      </c>
      <c r="AV6056" s="6" t="str">
        <f>HYPERLINK("http://mcgill.on.worldcat.org/oclc/122272972","Catalog Record")</f>
        <v>Catalog Record</v>
      </c>
      <c r="AW6056" s="6" t="str">
        <f>HYPERLINK("http://www.worldcat.org/oclc/122272972","WorldCat Record")</f>
        <v>WorldCat Record</v>
      </c>
      <c r="AX6056" s="3" t="s">
        <v>56526</v>
      </c>
      <c r="AY6056" s="3" t="s">
        <v>56527</v>
      </c>
      <c r="AZ6056" s="3" t="s">
        <v>56528</v>
      </c>
      <c r="BA6056" s="3" t="s">
        <v>56528</v>
      </c>
      <c r="BB6056" s="3" t="s">
        <v>56529</v>
      </c>
      <c r="BC6056" s="3" t="s">
        <v>33640</v>
      </c>
      <c r="BD6056" s="3" t="s">
        <v>68</v>
      </c>
      <c r="BE6056" s="3" t="s">
        <v>56530</v>
      </c>
      <c r="BF6056" s="3" t="s">
        <v>56529</v>
      </c>
      <c r="BG6056" s="3" t="s">
        <v>56531</v>
      </c>
    </row>
    <row r="6057" spans="1:59" ht="87" x14ac:dyDescent="0.35">
      <c r="A6057" s="2" t="s">
        <v>89</v>
      </c>
      <c r="B6057" s="2" t="s">
        <v>42560</v>
      </c>
      <c r="C6057" s="2" t="s">
        <v>56532</v>
      </c>
      <c r="D6057" s="2" t="s">
        <v>56533</v>
      </c>
      <c r="E6057" s="2" t="s">
        <v>56534</v>
      </c>
      <c r="G6057" s="3" t="s">
        <v>62</v>
      </c>
      <c r="I6057" s="3" t="s">
        <v>61</v>
      </c>
      <c r="J6057" s="3" t="s">
        <v>62</v>
      </c>
      <c r="K6057" s="3" t="s">
        <v>63</v>
      </c>
      <c r="M6057" s="2" t="s">
        <v>56535</v>
      </c>
      <c r="N6057" s="3" t="s">
        <v>655</v>
      </c>
      <c r="P6057" s="3" t="s">
        <v>64</v>
      </c>
      <c r="R6057" s="3" t="s">
        <v>42369</v>
      </c>
      <c r="S6057" s="4">
        <v>4</v>
      </c>
      <c r="T6057" s="4">
        <v>15</v>
      </c>
      <c r="U6057" s="5" t="s">
        <v>50965</v>
      </c>
      <c r="V6057" s="5" t="s">
        <v>50965</v>
      </c>
      <c r="W6057" s="5" t="s">
        <v>67</v>
      </c>
      <c r="X6057" s="5" t="s">
        <v>67</v>
      </c>
      <c r="Y6057" s="4">
        <v>7</v>
      </c>
      <c r="Z6057" s="4">
        <v>2</v>
      </c>
      <c r="AA6057" s="4">
        <v>3</v>
      </c>
      <c r="AB6057" s="4">
        <v>1</v>
      </c>
      <c r="AC6057" s="4">
        <v>1</v>
      </c>
      <c r="AD6057" s="4">
        <v>1</v>
      </c>
      <c r="AE6057" s="4">
        <v>1</v>
      </c>
      <c r="AF6057" s="4">
        <v>0</v>
      </c>
      <c r="AG6057" s="4">
        <v>0</v>
      </c>
      <c r="AH6057" s="4">
        <v>1</v>
      </c>
      <c r="AI6057" s="4">
        <v>1</v>
      </c>
      <c r="AJ6057" s="4">
        <v>0</v>
      </c>
      <c r="AK6057" s="4">
        <v>0</v>
      </c>
      <c r="AL6057" s="4">
        <v>1</v>
      </c>
      <c r="AM6057" s="4">
        <v>1</v>
      </c>
      <c r="AN6057" s="4">
        <v>0</v>
      </c>
      <c r="AO6057" s="4">
        <v>0</v>
      </c>
      <c r="AP6057" s="4">
        <v>0</v>
      </c>
      <c r="AQ6057" s="4">
        <v>0</v>
      </c>
      <c r="AR6057" s="3" t="s">
        <v>61</v>
      </c>
      <c r="AS6057" s="3" t="s">
        <v>62</v>
      </c>
      <c r="AT6057" s="3" t="s">
        <v>62</v>
      </c>
      <c r="AV6057" s="6" t="str">
        <f>HYPERLINK("http://mcgill.on.worldcat.org/oclc/316183343","Catalog Record")</f>
        <v>Catalog Record</v>
      </c>
      <c r="AW6057" s="6" t="str">
        <f>HYPERLINK("http://www.worldcat.org/oclc/316183343","WorldCat Record")</f>
        <v>WorldCat Record</v>
      </c>
      <c r="AX6057" s="3" t="s">
        <v>56536</v>
      </c>
      <c r="AY6057" s="3" t="s">
        <v>56537</v>
      </c>
      <c r="AZ6057" s="3" t="s">
        <v>56538</v>
      </c>
      <c r="BA6057" s="3" t="s">
        <v>56538</v>
      </c>
      <c r="BB6057" s="3" t="s">
        <v>56539</v>
      </c>
      <c r="BC6057" s="3" t="s">
        <v>33640</v>
      </c>
      <c r="BD6057" s="3" t="s">
        <v>68</v>
      </c>
      <c r="BF6057" s="3" t="s">
        <v>56539</v>
      </c>
      <c r="BG6057" s="3" t="s">
        <v>56540</v>
      </c>
    </row>
    <row r="6058" spans="1:59" ht="101.5" x14ac:dyDescent="0.35">
      <c r="A6058" s="2" t="s">
        <v>89</v>
      </c>
      <c r="B6058" s="2" t="s">
        <v>33627</v>
      </c>
      <c r="C6058" s="2" t="s">
        <v>56532</v>
      </c>
      <c r="D6058" s="2" t="s">
        <v>56533</v>
      </c>
      <c r="E6058" s="2" t="s">
        <v>56534</v>
      </c>
      <c r="G6058" s="3" t="s">
        <v>62</v>
      </c>
      <c r="I6058" s="3" t="s">
        <v>61</v>
      </c>
      <c r="J6058" s="3" t="s">
        <v>62</v>
      </c>
      <c r="K6058" s="3" t="s">
        <v>63</v>
      </c>
      <c r="M6058" s="2" t="s">
        <v>56535</v>
      </c>
      <c r="N6058" s="3" t="s">
        <v>655</v>
      </c>
      <c r="P6058" s="3" t="s">
        <v>64</v>
      </c>
      <c r="R6058" s="3" t="s">
        <v>42369</v>
      </c>
      <c r="S6058" s="4">
        <v>11</v>
      </c>
      <c r="T6058" s="4">
        <v>15</v>
      </c>
      <c r="U6058" s="5" t="s">
        <v>55366</v>
      </c>
      <c r="V6058" s="5" t="s">
        <v>50965</v>
      </c>
      <c r="W6058" s="5" t="s">
        <v>67</v>
      </c>
      <c r="X6058" s="5" t="s">
        <v>67</v>
      </c>
      <c r="Y6058" s="4">
        <v>7</v>
      </c>
      <c r="Z6058" s="4">
        <v>2</v>
      </c>
      <c r="AA6058" s="4">
        <v>3</v>
      </c>
      <c r="AB6058" s="4">
        <v>1</v>
      </c>
      <c r="AC6058" s="4">
        <v>1</v>
      </c>
      <c r="AD6058" s="4">
        <v>1</v>
      </c>
      <c r="AE6058" s="4">
        <v>1</v>
      </c>
      <c r="AF6058" s="4">
        <v>0</v>
      </c>
      <c r="AG6058" s="4">
        <v>0</v>
      </c>
      <c r="AH6058" s="4">
        <v>1</v>
      </c>
      <c r="AI6058" s="4">
        <v>1</v>
      </c>
      <c r="AJ6058" s="4">
        <v>0</v>
      </c>
      <c r="AK6058" s="4">
        <v>0</v>
      </c>
      <c r="AL6058" s="4">
        <v>1</v>
      </c>
      <c r="AM6058" s="4">
        <v>1</v>
      </c>
      <c r="AN6058" s="4">
        <v>0</v>
      </c>
      <c r="AO6058" s="4">
        <v>0</v>
      </c>
      <c r="AP6058" s="4">
        <v>0</v>
      </c>
      <c r="AQ6058" s="4">
        <v>0</v>
      </c>
      <c r="AR6058" s="3" t="s">
        <v>61</v>
      </c>
      <c r="AS6058" s="3" t="s">
        <v>62</v>
      </c>
      <c r="AT6058" s="3" t="s">
        <v>62</v>
      </c>
      <c r="AV6058" s="6" t="str">
        <f>HYPERLINK("http://mcgill.on.worldcat.org/oclc/316183343","Catalog Record")</f>
        <v>Catalog Record</v>
      </c>
      <c r="AW6058" s="6" t="str">
        <f>HYPERLINK("http://www.worldcat.org/oclc/316183343","WorldCat Record")</f>
        <v>WorldCat Record</v>
      </c>
      <c r="AX6058" s="3" t="s">
        <v>56536</v>
      </c>
      <c r="AY6058" s="3" t="s">
        <v>56537</v>
      </c>
      <c r="AZ6058" s="3" t="s">
        <v>56538</v>
      </c>
      <c r="BA6058" s="3" t="s">
        <v>56538</v>
      </c>
      <c r="BB6058" s="3" t="s">
        <v>56541</v>
      </c>
      <c r="BC6058" s="3" t="s">
        <v>33640</v>
      </c>
      <c r="BD6058" s="3" t="s">
        <v>68</v>
      </c>
      <c r="BF6058" s="3" t="s">
        <v>56541</v>
      </c>
      <c r="BG6058" s="3" t="s">
        <v>56542</v>
      </c>
    </row>
    <row r="6059" spans="1:59" ht="87" x14ac:dyDescent="0.35">
      <c r="A6059" s="2" t="s">
        <v>89</v>
      </c>
      <c r="B6059" s="2" t="s">
        <v>42560</v>
      </c>
      <c r="C6059" s="2" t="s">
        <v>56543</v>
      </c>
      <c r="D6059" s="2" t="s">
        <v>56544</v>
      </c>
      <c r="E6059" s="2" t="s">
        <v>56545</v>
      </c>
      <c r="F6059" s="3" t="s">
        <v>56546</v>
      </c>
      <c r="G6059" s="3" t="s">
        <v>61</v>
      </c>
      <c r="I6059" s="3" t="s">
        <v>62</v>
      </c>
      <c r="J6059" s="3" t="s">
        <v>62</v>
      </c>
      <c r="K6059" s="3" t="s">
        <v>63</v>
      </c>
      <c r="L6059" s="2" t="s">
        <v>56547</v>
      </c>
      <c r="M6059" s="2" t="s">
        <v>56548</v>
      </c>
      <c r="N6059" s="3" t="s">
        <v>655</v>
      </c>
      <c r="O6059" s="2" t="s">
        <v>56549</v>
      </c>
      <c r="P6059" s="3" t="s">
        <v>64</v>
      </c>
      <c r="Q6059" s="2" t="s">
        <v>56550</v>
      </c>
      <c r="R6059" s="3" t="s">
        <v>46535</v>
      </c>
      <c r="S6059" s="4">
        <v>11</v>
      </c>
      <c r="T6059" s="4">
        <v>44</v>
      </c>
      <c r="U6059" s="5" t="s">
        <v>45959</v>
      </c>
      <c r="V6059" s="5" t="s">
        <v>45959</v>
      </c>
      <c r="W6059" s="5" t="s">
        <v>67</v>
      </c>
      <c r="X6059" s="5" t="s">
        <v>67</v>
      </c>
      <c r="Y6059" s="4">
        <v>457</v>
      </c>
      <c r="Z6059" s="4">
        <v>24</v>
      </c>
      <c r="AA6059" s="4">
        <v>41</v>
      </c>
      <c r="AB6059" s="4">
        <v>1</v>
      </c>
      <c r="AC6059" s="4">
        <v>2</v>
      </c>
      <c r="AD6059" s="4">
        <v>29</v>
      </c>
      <c r="AE6059" s="4">
        <v>41</v>
      </c>
      <c r="AF6059" s="4">
        <v>0</v>
      </c>
      <c r="AG6059" s="4">
        <v>1</v>
      </c>
      <c r="AH6059" s="4">
        <v>22</v>
      </c>
      <c r="AI6059" s="4">
        <v>29</v>
      </c>
      <c r="AJ6059" s="4">
        <v>2</v>
      </c>
      <c r="AK6059" s="4">
        <v>5</v>
      </c>
      <c r="AL6059" s="4">
        <v>12</v>
      </c>
      <c r="AM6059" s="4">
        <v>14</v>
      </c>
      <c r="AN6059" s="4">
        <v>0</v>
      </c>
      <c r="AO6059" s="4">
        <v>0</v>
      </c>
      <c r="AP6059" s="4">
        <v>9</v>
      </c>
      <c r="AQ6059" s="4">
        <v>18</v>
      </c>
      <c r="AR6059" s="3" t="s">
        <v>62</v>
      </c>
      <c r="AS6059" s="3" t="s">
        <v>62</v>
      </c>
      <c r="AT6059" s="3" t="s">
        <v>62</v>
      </c>
      <c r="AV6059" s="6" t="str">
        <f>HYPERLINK("http://mcgill.on.worldcat.org/oclc/179833507","Catalog Record")</f>
        <v>Catalog Record</v>
      </c>
      <c r="AW6059" s="6" t="str">
        <f>HYPERLINK("http://www.worldcat.org/oclc/179833507","WorldCat Record")</f>
        <v>WorldCat Record</v>
      </c>
      <c r="AX6059" s="3" t="s">
        <v>56551</v>
      </c>
      <c r="AY6059" s="3" t="s">
        <v>56552</v>
      </c>
      <c r="AZ6059" s="3" t="s">
        <v>56553</v>
      </c>
      <c r="BA6059" s="3" t="s">
        <v>56553</v>
      </c>
      <c r="BB6059" s="3" t="s">
        <v>56554</v>
      </c>
      <c r="BC6059" s="3" t="s">
        <v>33640</v>
      </c>
      <c r="BD6059" s="3" t="s">
        <v>68</v>
      </c>
      <c r="BE6059" s="3" t="s">
        <v>56555</v>
      </c>
      <c r="BF6059" s="3" t="s">
        <v>56554</v>
      </c>
      <c r="BG6059" s="3" t="s">
        <v>56556</v>
      </c>
    </row>
    <row r="6060" spans="1:59" ht="87" x14ac:dyDescent="0.35">
      <c r="A6060" s="2" t="s">
        <v>89</v>
      </c>
      <c r="B6060" s="2" t="s">
        <v>42560</v>
      </c>
      <c r="C6060" s="2" t="s">
        <v>56543</v>
      </c>
      <c r="D6060" s="2" t="s">
        <v>56544</v>
      </c>
      <c r="E6060" s="2" t="s">
        <v>56545</v>
      </c>
      <c r="F6060" s="3" t="s">
        <v>56557</v>
      </c>
      <c r="G6060" s="3" t="s">
        <v>61</v>
      </c>
      <c r="I6060" s="3" t="s">
        <v>62</v>
      </c>
      <c r="J6060" s="3" t="s">
        <v>62</v>
      </c>
      <c r="K6060" s="3" t="s">
        <v>63</v>
      </c>
      <c r="L6060" s="2" t="s">
        <v>56547</v>
      </c>
      <c r="M6060" s="2" t="s">
        <v>56548</v>
      </c>
      <c r="N6060" s="3" t="s">
        <v>655</v>
      </c>
      <c r="O6060" s="2" t="s">
        <v>56549</v>
      </c>
      <c r="P6060" s="3" t="s">
        <v>64</v>
      </c>
      <c r="Q6060" s="2" t="s">
        <v>56550</v>
      </c>
      <c r="R6060" s="3" t="s">
        <v>46535</v>
      </c>
      <c r="S6060" s="4">
        <v>14</v>
      </c>
      <c r="T6060" s="4">
        <v>44</v>
      </c>
      <c r="U6060" s="5" t="s">
        <v>45959</v>
      </c>
      <c r="V6060" s="5" t="s">
        <v>45959</v>
      </c>
      <c r="W6060" s="5" t="s">
        <v>67</v>
      </c>
      <c r="X6060" s="5" t="s">
        <v>67</v>
      </c>
      <c r="Y6060" s="4">
        <v>457</v>
      </c>
      <c r="Z6060" s="4">
        <v>24</v>
      </c>
      <c r="AA6060" s="4">
        <v>41</v>
      </c>
      <c r="AB6060" s="4">
        <v>1</v>
      </c>
      <c r="AC6060" s="4">
        <v>2</v>
      </c>
      <c r="AD6060" s="4">
        <v>29</v>
      </c>
      <c r="AE6060" s="4">
        <v>41</v>
      </c>
      <c r="AF6060" s="4">
        <v>0</v>
      </c>
      <c r="AG6060" s="4">
        <v>1</v>
      </c>
      <c r="AH6060" s="4">
        <v>22</v>
      </c>
      <c r="AI6060" s="4">
        <v>29</v>
      </c>
      <c r="AJ6060" s="4">
        <v>2</v>
      </c>
      <c r="AK6060" s="4">
        <v>5</v>
      </c>
      <c r="AL6060" s="4">
        <v>12</v>
      </c>
      <c r="AM6060" s="4">
        <v>14</v>
      </c>
      <c r="AN6060" s="4">
        <v>0</v>
      </c>
      <c r="AO6060" s="4">
        <v>0</v>
      </c>
      <c r="AP6060" s="4">
        <v>9</v>
      </c>
      <c r="AQ6060" s="4">
        <v>18</v>
      </c>
      <c r="AR6060" s="3" t="s">
        <v>62</v>
      </c>
      <c r="AS6060" s="3" t="s">
        <v>62</v>
      </c>
      <c r="AT6060" s="3" t="s">
        <v>62</v>
      </c>
      <c r="AV6060" s="6" t="str">
        <f>HYPERLINK("http://mcgill.on.worldcat.org/oclc/179833507","Catalog Record")</f>
        <v>Catalog Record</v>
      </c>
      <c r="AW6060" s="6" t="str">
        <f>HYPERLINK("http://www.worldcat.org/oclc/179833507","WorldCat Record")</f>
        <v>WorldCat Record</v>
      </c>
      <c r="AX6060" s="3" t="s">
        <v>56551</v>
      </c>
      <c r="AY6060" s="3" t="s">
        <v>56552</v>
      </c>
      <c r="AZ6060" s="3" t="s">
        <v>56553</v>
      </c>
      <c r="BA6060" s="3" t="s">
        <v>56553</v>
      </c>
      <c r="BB6060" s="3" t="s">
        <v>56558</v>
      </c>
      <c r="BC6060" s="3" t="s">
        <v>33640</v>
      </c>
      <c r="BD6060" s="3" t="s">
        <v>68</v>
      </c>
      <c r="BE6060" s="3" t="s">
        <v>56555</v>
      </c>
      <c r="BF6060" s="3" t="s">
        <v>56558</v>
      </c>
      <c r="BG6060" s="3" t="s">
        <v>56559</v>
      </c>
    </row>
    <row r="6061" spans="1:59" ht="87" x14ac:dyDescent="0.35">
      <c r="A6061" s="2" t="s">
        <v>89</v>
      </c>
      <c r="B6061" s="2" t="s">
        <v>42560</v>
      </c>
      <c r="C6061" s="2" t="s">
        <v>56543</v>
      </c>
      <c r="D6061" s="2" t="s">
        <v>56544</v>
      </c>
      <c r="E6061" s="2" t="s">
        <v>56545</v>
      </c>
      <c r="F6061" s="3" t="s">
        <v>56560</v>
      </c>
      <c r="G6061" s="3" t="s">
        <v>61</v>
      </c>
      <c r="I6061" s="3" t="s">
        <v>62</v>
      </c>
      <c r="J6061" s="3" t="s">
        <v>62</v>
      </c>
      <c r="K6061" s="3" t="s">
        <v>63</v>
      </c>
      <c r="L6061" s="2" t="s">
        <v>56547</v>
      </c>
      <c r="M6061" s="2" t="s">
        <v>56548</v>
      </c>
      <c r="N6061" s="3" t="s">
        <v>655</v>
      </c>
      <c r="O6061" s="2" t="s">
        <v>56549</v>
      </c>
      <c r="P6061" s="3" t="s">
        <v>64</v>
      </c>
      <c r="Q6061" s="2" t="s">
        <v>56550</v>
      </c>
      <c r="R6061" s="3" t="s">
        <v>46535</v>
      </c>
      <c r="S6061" s="4">
        <v>11</v>
      </c>
      <c r="T6061" s="4">
        <v>44</v>
      </c>
      <c r="U6061" s="5" t="s">
        <v>45959</v>
      </c>
      <c r="V6061" s="5" t="s">
        <v>45959</v>
      </c>
      <c r="W6061" s="5" t="s">
        <v>67</v>
      </c>
      <c r="X6061" s="5" t="s">
        <v>67</v>
      </c>
      <c r="Y6061" s="4">
        <v>457</v>
      </c>
      <c r="Z6061" s="4">
        <v>24</v>
      </c>
      <c r="AA6061" s="4">
        <v>41</v>
      </c>
      <c r="AB6061" s="4">
        <v>1</v>
      </c>
      <c r="AC6061" s="4">
        <v>2</v>
      </c>
      <c r="AD6061" s="4">
        <v>29</v>
      </c>
      <c r="AE6061" s="4">
        <v>41</v>
      </c>
      <c r="AF6061" s="4">
        <v>0</v>
      </c>
      <c r="AG6061" s="4">
        <v>1</v>
      </c>
      <c r="AH6061" s="4">
        <v>22</v>
      </c>
      <c r="AI6061" s="4">
        <v>29</v>
      </c>
      <c r="AJ6061" s="4">
        <v>2</v>
      </c>
      <c r="AK6061" s="4">
        <v>5</v>
      </c>
      <c r="AL6061" s="4">
        <v>12</v>
      </c>
      <c r="AM6061" s="4">
        <v>14</v>
      </c>
      <c r="AN6061" s="4">
        <v>0</v>
      </c>
      <c r="AO6061" s="4">
        <v>0</v>
      </c>
      <c r="AP6061" s="4">
        <v>9</v>
      </c>
      <c r="AQ6061" s="4">
        <v>18</v>
      </c>
      <c r="AR6061" s="3" t="s">
        <v>62</v>
      </c>
      <c r="AS6061" s="3" t="s">
        <v>62</v>
      </c>
      <c r="AT6061" s="3" t="s">
        <v>62</v>
      </c>
      <c r="AV6061" s="6" t="str">
        <f>HYPERLINK("http://mcgill.on.worldcat.org/oclc/179833507","Catalog Record")</f>
        <v>Catalog Record</v>
      </c>
      <c r="AW6061" s="6" t="str">
        <f>HYPERLINK("http://www.worldcat.org/oclc/179833507","WorldCat Record")</f>
        <v>WorldCat Record</v>
      </c>
      <c r="AX6061" s="3" t="s">
        <v>56551</v>
      </c>
      <c r="AY6061" s="3" t="s">
        <v>56552</v>
      </c>
      <c r="AZ6061" s="3" t="s">
        <v>56553</v>
      </c>
      <c r="BA6061" s="3" t="s">
        <v>56553</v>
      </c>
      <c r="BB6061" s="3" t="s">
        <v>56561</v>
      </c>
      <c r="BC6061" s="3" t="s">
        <v>33640</v>
      </c>
      <c r="BD6061" s="3" t="s">
        <v>68</v>
      </c>
      <c r="BE6061" s="3" t="s">
        <v>56555</v>
      </c>
      <c r="BF6061" s="3" t="s">
        <v>56561</v>
      </c>
      <c r="BG6061" s="3" t="s">
        <v>56562</v>
      </c>
    </row>
    <row r="6062" spans="1:59" ht="87" x14ac:dyDescent="0.35">
      <c r="A6062" s="2" t="s">
        <v>89</v>
      </c>
      <c r="B6062" s="2" t="s">
        <v>42560</v>
      </c>
      <c r="C6062" s="2" t="s">
        <v>56543</v>
      </c>
      <c r="D6062" s="2" t="s">
        <v>56544</v>
      </c>
      <c r="E6062" s="2" t="s">
        <v>56545</v>
      </c>
      <c r="F6062" s="3" t="s">
        <v>56563</v>
      </c>
      <c r="G6062" s="3" t="s">
        <v>61</v>
      </c>
      <c r="I6062" s="3" t="s">
        <v>62</v>
      </c>
      <c r="J6062" s="3" t="s">
        <v>62</v>
      </c>
      <c r="K6062" s="3" t="s">
        <v>63</v>
      </c>
      <c r="L6062" s="2" t="s">
        <v>56547</v>
      </c>
      <c r="M6062" s="2" t="s">
        <v>56548</v>
      </c>
      <c r="N6062" s="3" t="s">
        <v>655</v>
      </c>
      <c r="O6062" s="2" t="s">
        <v>56549</v>
      </c>
      <c r="P6062" s="3" t="s">
        <v>64</v>
      </c>
      <c r="Q6062" s="2" t="s">
        <v>56550</v>
      </c>
      <c r="R6062" s="3" t="s">
        <v>46535</v>
      </c>
      <c r="S6062" s="4">
        <v>8</v>
      </c>
      <c r="T6062" s="4">
        <v>44</v>
      </c>
      <c r="U6062" s="5" t="s">
        <v>45959</v>
      </c>
      <c r="V6062" s="5" t="s">
        <v>45959</v>
      </c>
      <c r="W6062" s="5" t="s">
        <v>67</v>
      </c>
      <c r="X6062" s="5" t="s">
        <v>67</v>
      </c>
      <c r="Y6062" s="4">
        <v>457</v>
      </c>
      <c r="Z6062" s="4">
        <v>24</v>
      </c>
      <c r="AA6062" s="4">
        <v>41</v>
      </c>
      <c r="AB6062" s="4">
        <v>1</v>
      </c>
      <c r="AC6062" s="4">
        <v>2</v>
      </c>
      <c r="AD6062" s="4">
        <v>29</v>
      </c>
      <c r="AE6062" s="4">
        <v>41</v>
      </c>
      <c r="AF6062" s="4">
        <v>0</v>
      </c>
      <c r="AG6062" s="4">
        <v>1</v>
      </c>
      <c r="AH6062" s="4">
        <v>22</v>
      </c>
      <c r="AI6062" s="4">
        <v>29</v>
      </c>
      <c r="AJ6062" s="4">
        <v>2</v>
      </c>
      <c r="AK6062" s="4">
        <v>5</v>
      </c>
      <c r="AL6062" s="4">
        <v>12</v>
      </c>
      <c r="AM6062" s="4">
        <v>14</v>
      </c>
      <c r="AN6062" s="4">
        <v>0</v>
      </c>
      <c r="AO6062" s="4">
        <v>0</v>
      </c>
      <c r="AP6062" s="4">
        <v>9</v>
      </c>
      <c r="AQ6062" s="4">
        <v>18</v>
      </c>
      <c r="AR6062" s="3" t="s">
        <v>62</v>
      </c>
      <c r="AS6062" s="3" t="s">
        <v>62</v>
      </c>
      <c r="AT6062" s="3" t="s">
        <v>62</v>
      </c>
      <c r="AV6062" s="6" t="str">
        <f>HYPERLINK("http://mcgill.on.worldcat.org/oclc/179833507","Catalog Record")</f>
        <v>Catalog Record</v>
      </c>
      <c r="AW6062" s="6" t="str">
        <f>HYPERLINK("http://www.worldcat.org/oclc/179833507","WorldCat Record")</f>
        <v>WorldCat Record</v>
      </c>
      <c r="AX6062" s="3" t="s">
        <v>56551</v>
      </c>
      <c r="AY6062" s="3" t="s">
        <v>56552</v>
      </c>
      <c r="AZ6062" s="3" t="s">
        <v>56553</v>
      </c>
      <c r="BA6062" s="3" t="s">
        <v>56553</v>
      </c>
      <c r="BB6062" s="3" t="s">
        <v>56564</v>
      </c>
      <c r="BC6062" s="3" t="s">
        <v>33640</v>
      </c>
      <c r="BD6062" s="3" t="s">
        <v>68</v>
      </c>
      <c r="BE6062" s="3" t="s">
        <v>56555</v>
      </c>
      <c r="BF6062" s="3" t="s">
        <v>56564</v>
      </c>
      <c r="BG6062" s="3" t="s">
        <v>56565</v>
      </c>
    </row>
    <row r="6063" spans="1:59" ht="87" x14ac:dyDescent="0.35">
      <c r="A6063" s="2" t="s">
        <v>89</v>
      </c>
      <c r="B6063" s="2" t="s">
        <v>42560</v>
      </c>
      <c r="C6063" s="2" t="s">
        <v>56566</v>
      </c>
      <c r="D6063" s="2" t="s">
        <v>56567</v>
      </c>
      <c r="E6063" s="2" t="s">
        <v>56568</v>
      </c>
      <c r="G6063" s="3" t="s">
        <v>62</v>
      </c>
      <c r="I6063" s="3" t="s">
        <v>62</v>
      </c>
      <c r="J6063" s="3" t="s">
        <v>62</v>
      </c>
      <c r="K6063" s="3" t="s">
        <v>63</v>
      </c>
      <c r="M6063" s="2" t="s">
        <v>55261</v>
      </c>
      <c r="N6063" s="3" t="s">
        <v>880</v>
      </c>
      <c r="P6063" s="3" t="s">
        <v>64</v>
      </c>
      <c r="R6063" s="3" t="s">
        <v>42369</v>
      </c>
      <c r="S6063" s="4">
        <v>1</v>
      </c>
      <c r="T6063" s="4">
        <v>1</v>
      </c>
      <c r="U6063" s="5" t="s">
        <v>56569</v>
      </c>
      <c r="V6063" s="5" t="s">
        <v>56569</v>
      </c>
      <c r="W6063" s="5" t="s">
        <v>67</v>
      </c>
      <c r="X6063" s="5" t="s">
        <v>67</v>
      </c>
      <c r="Y6063" s="4">
        <v>63</v>
      </c>
      <c r="Z6063" s="4">
        <v>4</v>
      </c>
      <c r="AA6063" s="4">
        <v>66</v>
      </c>
      <c r="AB6063" s="4">
        <v>1</v>
      </c>
      <c r="AC6063" s="4">
        <v>5</v>
      </c>
      <c r="AD6063" s="4">
        <v>1</v>
      </c>
      <c r="AE6063" s="4">
        <v>31</v>
      </c>
      <c r="AF6063" s="4">
        <v>0</v>
      </c>
      <c r="AG6063" s="4">
        <v>2</v>
      </c>
      <c r="AH6063" s="4">
        <v>1</v>
      </c>
      <c r="AI6063" s="4">
        <v>18</v>
      </c>
      <c r="AJ6063" s="4">
        <v>0</v>
      </c>
      <c r="AK6063" s="4">
        <v>11</v>
      </c>
      <c r="AL6063" s="4">
        <v>0</v>
      </c>
      <c r="AM6063" s="4">
        <v>8</v>
      </c>
      <c r="AN6063" s="4">
        <v>0</v>
      </c>
      <c r="AO6063" s="4">
        <v>0</v>
      </c>
      <c r="AP6063" s="4">
        <v>0</v>
      </c>
      <c r="AQ6063" s="4">
        <v>18</v>
      </c>
      <c r="AR6063" s="3" t="s">
        <v>62</v>
      </c>
      <c r="AS6063" s="3" t="s">
        <v>62</v>
      </c>
      <c r="AT6063" s="3" t="s">
        <v>62</v>
      </c>
      <c r="AV6063" s="6" t="str">
        <f>HYPERLINK("http://mcgill.on.worldcat.org/oclc/711692765","Catalog Record")</f>
        <v>Catalog Record</v>
      </c>
      <c r="AW6063" s="6" t="str">
        <f>HYPERLINK("http://www.worldcat.org/oclc/711692765","WorldCat Record")</f>
        <v>WorldCat Record</v>
      </c>
      <c r="AX6063" s="3" t="s">
        <v>56570</v>
      </c>
      <c r="AY6063" s="3" t="s">
        <v>56571</v>
      </c>
      <c r="AZ6063" s="3" t="s">
        <v>56572</v>
      </c>
      <c r="BA6063" s="3" t="s">
        <v>56572</v>
      </c>
      <c r="BB6063" s="3" t="s">
        <v>56573</v>
      </c>
      <c r="BC6063" s="3" t="s">
        <v>33640</v>
      </c>
      <c r="BD6063" s="3" t="s">
        <v>68</v>
      </c>
      <c r="BF6063" s="3" t="s">
        <v>56573</v>
      </c>
      <c r="BG6063" s="3" t="s">
        <v>56574</v>
      </c>
    </row>
    <row r="6064" spans="1:59" ht="87" x14ac:dyDescent="0.35">
      <c r="A6064" s="2" t="s">
        <v>89</v>
      </c>
      <c r="B6064" s="2" t="s">
        <v>42560</v>
      </c>
      <c r="C6064" s="2" t="s">
        <v>56575</v>
      </c>
      <c r="D6064" s="2" t="s">
        <v>56576</v>
      </c>
      <c r="E6064" s="2" t="s">
        <v>56577</v>
      </c>
      <c r="G6064" s="3" t="s">
        <v>62</v>
      </c>
      <c r="I6064" s="3" t="s">
        <v>61</v>
      </c>
      <c r="J6064" s="3" t="s">
        <v>62</v>
      </c>
      <c r="K6064" s="3" t="s">
        <v>63</v>
      </c>
      <c r="M6064" s="2" t="s">
        <v>56578</v>
      </c>
      <c r="N6064" s="3" t="s">
        <v>655</v>
      </c>
      <c r="O6064" s="2" t="s">
        <v>56579</v>
      </c>
      <c r="P6064" s="3" t="s">
        <v>64</v>
      </c>
      <c r="R6064" s="3" t="s">
        <v>27443</v>
      </c>
      <c r="S6064" s="4">
        <v>8</v>
      </c>
      <c r="T6064" s="4">
        <v>28</v>
      </c>
      <c r="U6064" s="5" t="s">
        <v>23988</v>
      </c>
      <c r="V6064" s="5" t="s">
        <v>23988</v>
      </c>
      <c r="W6064" s="5" t="s">
        <v>67</v>
      </c>
      <c r="X6064" s="5" t="s">
        <v>67</v>
      </c>
      <c r="Y6064" s="4">
        <v>520</v>
      </c>
      <c r="Z6064" s="4">
        <v>12</v>
      </c>
      <c r="AA6064" s="4">
        <v>34</v>
      </c>
      <c r="AB6064" s="4">
        <v>1</v>
      </c>
      <c r="AC6064" s="4">
        <v>1</v>
      </c>
      <c r="AD6064" s="4">
        <v>27</v>
      </c>
      <c r="AE6064" s="4">
        <v>59</v>
      </c>
      <c r="AF6064" s="4">
        <v>0</v>
      </c>
      <c r="AG6064" s="4">
        <v>0</v>
      </c>
      <c r="AH6064" s="4">
        <v>26</v>
      </c>
      <c r="AI6064" s="4">
        <v>51</v>
      </c>
      <c r="AJ6064" s="4">
        <v>2</v>
      </c>
      <c r="AK6064" s="4">
        <v>5</v>
      </c>
      <c r="AL6064" s="4">
        <v>12</v>
      </c>
      <c r="AM6064" s="4">
        <v>22</v>
      </c>
      <c r="AN6064" s="4">
        <v>0</v>
      </c>
      <c r="AO6064" s="4">
        <v>0</v>
      </c>
      <c r="AP6064" s="4">
        <v>3</v>
      </c>
      <c r="AQ6064" s="4">
        <v>11</v>
      </c>
      <c r="AR6064" s="3" t="s">
        <v>62</v>
      </c>
      <c r="AS6064" s="3" t="s">
        <v>62</v>
      </c>
      <c r="AT6064" s="3" t="s">
        <v>62</v>
      </c>
      <c r="AV6064" s="6" t="str">
        <f>HYPERLINK("http://mcgill.on.worldcat.org/oclc/82372309","Catalog Record")</f>
        <v>Catalog Record</v>
      </c>
      <c r="AW6064" s="6" t="str">
        <f>HYPERLINK("http://www.worldcat.org/oclc/82372309","WorldCat Record")</f>
        <v>WorldCat Record</v>
      </c>
      <c r="AX6064" s="3" t="s">
        <v>56580</v>
      </c>
      <c r="AY6064" s="3" t="s">
        <v>56581</v>
      </c>
      <c r="AZ6064" s="3" t="s">
        <v>56582</v>
      </c>
      <c r="BA6064" s="3" t="s">
        <v>56582</v>
      </c>
      <c r="BB6064" s="3" t="s">
        <v>56583</v>
      </c>
      <c r="BC6064" s="3" t="s">
        <v>33640</v>
      </c>
      <c r="BD6064" s="3" t="s">
        <v>68</v>
      </c>
      <c r="BE6064" s="3" t="s">
        <v>56584</v>
      </c>
      <c r="BF6064" s="3" t="s">
        <v>56583</v>
      </c>
      <c r="BG6064" s="3" t="s">
        <v>56585</v>
      </c>
    </row>
    <row r="6065" spans="1:59" ht="87" x14ac:dyDescent="0.35">
      <c r="A6065" s="2" t="s">
        <v>89</v>
      </c>
      <c r="B6065" s="2" t="s">
        <v>42560</v>
      </c>
      <c r="C6065" s="2" t="s">
        <v>56586</v>
      </c>
      <c r="D6065" s="2" t="s">
        <v>56587</v>
      </c>
      <c r="E6065" s="2" t="s">
        <v>56588</v>
      </c>
      <c r="G6065" s="3" t="s">
        <v>62</v>
      </c>
      <c r="I6065" s="3" t="s">
        <v>62</v>
      </c>
      <c r="J6065" s="3" t="s">
        <v>62</v>
      </c>
      <c r="K6065" s="3" t="s">
        <v>63</v>
      </c>
      <c r="M6065" s="2" t="s">
        <v>56589</v>
      </c>
      <c r="N6065" s="3" t="s">
        <v>1722</v>
      </c>
      <c r="P6065" s="3" t="s">
        <v>64</v>
      </c>
      <c r="Q6065" s="2" t="s">
        <v>56590</v>
      </c>
      <c r="R6065" s="3" t="s">
        <v>42369</v>
      </c>
      <c r="S6065" s="4">
        <v>5</v>
      </c>
      <c r="T6065" s="4">
        <v>5</v>
      </c>
      <c r="U6065" s="5" t="s">
        <v>13735</v>
      </c>
      <c r="V6065" s="5" t="s">
        <v>13735</v>
      </c>
      <c r="W6065" s="5" t="s">
        <v>67</v>
      </c>
      <c r="X6065" s="5" t="s">
        <v>67</v>
      </c>
      <c r="Y6065" s="4">
        <v>214</v>
      </c>
      <c r="Z6065" s="4">
        <v>11</v>
      </c>
      <c r="AA6065" s="4">
        <v>60</v>
      </c>
      <c r="AB6065" s="4">
        <v>1</v>
      </c>
      <c r="AC6065" s="4">
        <v>3</v>
      </c>
      <c r="AD6065" s="4">
        <v>17</v>
      </c>
      <c r="AE6065" s="4">
        <v>65</v>
      </c>
      <c r="AF6065" s="4">
        <v>0</v>
      </c>
      <c r="AG6065" s="4">
        <v>1</v>
      </c>
      <c r="AH6065" s="4">
        <v>17</v>
      </c>
      <c r="AI6065" s="4">
        <v>52</v>
      </c>
      <c r="AJ6065" s="4">
        <v>1</v>
      </c>
      <c r="AK6065" s="4">
        <v>9</v>
      </c>
      <c r="AL6065" s="4">
        <v>12</v>
      </c>
      <c r="AM6065" s="4">
        <v>29</v>
      </c>
      <c r="AN6065" s="4">
        <v>0</v>
      </c>
      <c r="AO6065" s="4">
        <v>0</v>
      </c>
      <c r="AP6065" s="4">
        <v>1</v>
      </c>
      <c r="AQ6065" s="4">
        <v>18</v>
      </c>
      <c r="AR6065" s="3" t="s">
        <v>62</v>
      </c>
      <c r="AS6065" s="3" t="s">
        <v>62</v>
      </c>
      <c r="AT6065" s="3" t="s">
        <v>62</v>
      </c>
      <c r="AV6065" s="6" t="str">
        <f>HYPERLINK("http://mcgill.on.worldcat.org/oclc/269782832","Catalog Record")</f>
        <v>Catalog Record</v>
      </c>
      <c r="AW6065" s="6" t="str">
        <f>HYPERLINK("http://www.worldcat.org/oclc/269782832","WorldCat Record")</f>
        <v>WorldCat Record</v>
      </c>
      <c r="AX6065" s="3" t="s">
        <v>56591</v>
      </c>
      <c r="AY6065" s="3" t="s">
        <v>56592</v>
      </c>
      <c r="AZ6065" s="3" t="s">
        <v>56593</v>
      </c>
      <c r="BA6065" s="3" t="s">
        <v>56593</v>
      </c>
      <c r="BB6065" s="3" t="s">
        <v>56594</v>
      </c>
      <c r="BC6065" s="3" t="s">
        <v>33640</v>
      </c>
      <c r="BD6065" s="3" t="s">
        <v>68</v>
      </c>
      <c r="BE6065" s="3" t="s">
        <v>56595</v>
      </c>
      <c r="BF6065" s="3" t="s">
        <v>56594</v>
      </c>
      <c r="BG6065" s="3" t="s">
        <v>56596</v>
      </c>
    </row>
    <row r="6066" spans="1:59" ht="87" x14ac:dyDescent="0.35">
      <c r="A6066" s="2" t="s">
        <v>89</v>
      </c>
      <c r="B6066" s="2" t="s">
        <v>42560</v>
      </c>
      <c r="C6066" s="2" t="s">
        <v>56597</v>
      </c>
      <c r="D6066" s="2" t="s">
        <v>56598</v>
      </c>
      <c r="E6066" s="2" t="s">
        <v>56599</v>
      </c>
      <c r="G6066" s="3" t="s">
        <v>62</v>
      </c>
      <c r="I6066" s="3" t="s">
        <v>62</v>
      </c>
      <c r="J6066" s="3" t="s">
        <v>62</v>
      </c>
      <c r="K6066" s="3" t="s">
        <v>63</v>
      </c>
      <c r="M6066" s="2" t="s">
        <v>56600</v>
      </c>
      <c r="N6066" s="3" t="s">
        <v>684</v>
      </c>
      <c r="P6066" s="3" t="s">
        <v>64</v>
      </c>
      <c r="R6066" s="3" t="s">
        <v>32962</v>
      </c>
      <c r="S6066" s="4">
        <v>5</v>
      </c>
      <c r="T6066" s="4">
        <v>5</v>
      </c>
      <c r="U6066" s="5" t="s">
        <v>56601</v>
      </c>
      <c r="V6066" s="5" t="s">
        <v>56601</v>
      </c>
      <c r="W6066" s="5" t="s">
        <v>67</v>
      </c>
      <c r="X6066" s="5" t="s">
        <v>67</v>
      </c>
      <c r="Y6066" s="4">
        <v>15</v>
      </c>
      <c r="Z6066" s="4">
        <v>2</v>
      </c>
      <c r="AA6066" s="4">
        <v>24</v>
      </c>
      <c r="AB6066" s="4">
        <v>1</v>
      </c>
      <c r="AC6066" s="4">
        <v>3</v>
      </c>
      <c r="AD6066" s="4">
        <v>1</v>
      </c>
      <c r="AE6066" s="4">
        <v>26</v>
      </c>
      <c r="AF6066" s="4">
        <v>0</v>
      </c>
      <c r="AG6066" s="4">
        <v>1</v>
      </c>
      <c r="AH6066" s="4">
        <v>1</v>
      </c>
      <c r="AI6066" s="4">
        <v>21</v>
      </c>
      <c r="AJ6066" s="4">
        <v>0</v>
      </c>
      <c r="AK6066" s="4">
        <v>3</v>
      </c>
      <c r="AL6066" s="4">
        <v>0</v>
      </c>
      <c r="AM6066" s="4">
        <v>10</v>
      </c>
      <c r="AN6066" s="4">
        <v>0</v>
      </c>
      <c r="AO6066" s="4">
        <v>0</v>
      </c>
      <c r="AP6066" s="4">
        <v>0</v>
      </c>
      <c r="AQ6066" s="4">
        <v>7</v>
      </c>
      <c r="AR6066" s="3" t="s">
        <v>62</v>
      </c>
      <c r="AS6066" s="3" t="s">
        <v>62</v>
      </c>
      <c r="AT6066" s="3" t="s">
        <v>62</v>
      </c>
      <c r="AV6066" s="6" t="str">
        <f>HYPERLINK("http://mcgill.on.worldcat.org/oclc/769470501","Catalog Record")</f>
        <v>Catalog Record</v>
      </c>
      <c r="AW6066" s="6" t="str">
        <f>HYPERLINK("http://www.worldcat.org/oclc/769470501","WorldCat Record")</f>
        <v>WorldCat Record</v>
      </c>
      <c r="AX6066" s="3" t="s">
        <v>56602</v>
      </c>
      <c r="AY6066" s="3" t="s">
        <v>56603</v>
      </c>
      <c r="AZ6066" s="3" t="s">
        <v>56604</v>
      </c>
      <c r="BA6066" s="3" t="s">
        <v>56604</v>
      </c>
      <c r="BB6066" s="3" t="s">
        <v>56605</v>
      </c>
      <c r="BC6066" s="3" t="s">
        <v>33640</v>
      </c>
      <c r="BD6066" s="3" t="s">
        <v>68</v>
      </c>
      <c r="BF6066" s="3" t="s">
        <v>56605</v>
      </c>
      <c r="BG6066" s="3" t="s">
        <v>56606</v>
      </c>
    </row>
    <row r="6067" spans="1:59" ht="87" x14ac:dyDescent="0.35">
      <c r="A6067" s="2" t="s">
        <v>89</v>
      </c>
      <c r="B6067" s="2" t="s">
        <v>42560</v>
      </c>
      <c r="C6067" s="2" t="s">
        <v>56607</v>
      </c>
      <c r="D6067" s="2" t="s">
        <v>56608</v>
      </c>
      <c r="E6067" s="2" t="s">
        <v>56609</v>
      </c>
      <c r="G6067" s="3" t="s">
        <v>62</v>
      </c>
      <c r="I6067" s="3" t="s">
        <v>62</v>
      </c>
      <c r="J6067" s="3" t="s">
        <v>62</v>
      </c>
      <c r="K6067" s="3" t="s">
        <v>63</v>
      </c>
      <c r="M6067" s="2" t="s">
        <v>56610</v>
      </c>
      <c r="N6067" s="3" t="s">
        <v>880</v>
      </c>
      <c r="P6067" s="3" t="s">
        <v>64</v>
      </c>
      <c r="R6067" s="3" t="s">
        <v>42369</v>
      </c>
      <c r="S6067" s="4">
        <v>3</v>
      </c>
      <c r="T6067" s="4">
        <v>3</v>
      </c>
      <c r="U6067" s="5" t="s">
        <v>56611</v>
      </c>
      <c r="V6067" s="5" t="s">
        <v>56611</v>
      </c>
      <c r="W6067" s="5" t="s">
        <v>67</v>
      </c>
      <c r="X6067" s="5" t="s">
        <v>67</v>
      </c>
      <c r="Y6067" s="4">
        <v>61</v>
      </c>
      <c r="Z6067" s="4">
        <v>4</v>
      </c>
      <c r="AA6067" s="4">
        <v>5</v>
      </c>
      <c r="AB6067" s="4">
        <v>1</v>
      </c>
      <c r="AC6067" s="4">
        <v>1</v>
      </c>
      <c r="AD6067" s="4">
        <v>2</v>
      </c>
      <c r="AE6067" s="4">
        <v>4</v>
      </c>
      <c r="AF6067" s="4">
        <v>0</v>
      </c>
      <c r="AG6067" s="4">
        <v>0</v>
      </c>
      <c r="AH6067" s="4">
        <v>2</v>
      </c>
      <c r="AI6067" s="4">
        <v>4</v>
      </c>
      <c r="AJ6067" s="4">
        <v>0</v>
      </c>
      <c r="AK6067" s="4">
        <v>0</v>
      </c>
      <c r="AL6067" s="4">
        <v>1</v>
      </c>
      <c r="AM6067" s="4">
        <v>3</v>
      </c>
      <c r="AN6067" s="4">
        <v>0</v>
      </c>
      <c r="AO6067" s="4">
        <v>0</v>
      </c>
      <c r="AP6067" s="4">
        <v>0</v>
      </c>
      <c r="AQ6067" s="4">
        <v>0</v>
      </c>
      <c r="AR6067" s="3" t="s">
        <v>62</v>
      </c>
      <c r="AS6067" s="3" t="s">
        <v>62</v>
      </c>
      <c r="AT6067" s="3" t="s">
        <v>62</v>
      </c>
      <c r="AV6067" s="6" t="str">
        <f>HYPERLINK("http://mcgill.on.worldcat.org/oclc/755069324","Catalog Record")</f>
        <v>Catalog Record</v>
      </c>
      <c r="AW6067" s="6" t="str">
        <f>HYPERLINK("http://www.worldcat.org/oclc/755069324","WorldCat Record")</f>
        <v>WorldCat Record</v>
      </c>
      <c r="AX6067" s="3" t="s">
        <v>56612</v>
      </c>
      <c r="AY6067" s="3" t="s">
        <v>56613</v>
      </c>
      <c r="AZ6067" s="3" t="s">
        <v>56614</v>
      </c>
      <c r="BA6067" s="3" t="s">
        <v>56614</v>
      </c>
      <c r="BB6067" s="3" t="s">
        <v>56615</v>
      </c>
      <c r="BC6067" s="3" t="s">
        <v>33640</v>
      </c>
      <c r="BD6067" s="3" t="s">
        <v>68</v>
      </c>
      <c r="BF6067" s="3" t="s">
        <v>56615</v>
      </c>
      <c r="BG6067" s="3" t="s">
        <v>56616</v>
      </c>
    </row>
    <row r="6068" spans="1:59" ht="87" x14ac:dyDescent="0.35">
      <c r="A6068" s="2" t="s">
        <v>89</v>
      </c>
      <c r="B6068" s="2" t="s">
        <v>42560</v>
      </c>
      <c r="C6068" s="2" t="s">
        <v>56617</v>
      </c>
      <c r="D6068" s="2" t="s">
        <v>56618</v>
      </c>
      <c r="E6068" s="2" t="s">
        <v>56619</v>
      </c>
      <c r="G6068" s="3" t="s">
        <v>62</v>
      </c>
      <c r="I6068" s="3" t="s">
        <v>62</v>
      </c>
      <c r="J6068" s="3" t="s">
        <v>62</v>
      </c>
      <c r="K6068" s="3" t="s">
        <v>63</v>
      </c>
      <c r="M6068" s="2" t="s">
        <v>56620</v>
      </c>
      <c r="N6068" s="3" t="s">
        <v>880</v>
      </c>
      <c r="P6068" s="3" t="s">
        <v>64</v>
      </c>
      <c r="R6068" s="3" t="s">
        <v>42369</v>
      </c>
      <c r="S6068" s="4">
        <v>1</v>
      </c>
      <c r="T6068" s="4">
        <v>1</v>
      </c>
      <c r="U6068" s="5" t="s">
        <v>56621</v>
      </c>
      <c r="V6068" s="5" t="s">
        <v>56621</v>
      </c>
      <c r="W6068" s="5" t="s">
        <v>67</v>
      </c>
      <c r="X6068" s="5" t="s">
        <v>67</v>
      </c>
      <c r="Y6068" s="4">
        <v>42</v>
      </c>
      <c r="Z6068" s="4">
        <v>3</v>
      </c>
      <c r="AA6068" s="4">
        <v>11</v>
      </c>
      <c r="AB6068" s="4">
        <v>1</v>
      </c>
      <c r="AC6068" s="4">
        <v>1</v>
      </c>
      <c r="AD6068" s="4">
        <v>1</v>
      </c>
      <c r="AE6068" s="4">
        <v>3</v>
      </c>
      <c r="AF6068" s="4">
        <v>0</v>
      </c>
      <c r="AG6068" s="4">
        <v>0</v>
      </c>
      <c r="AH6068" s="4">
        <v>1</v>
      </c>
      <c r="AI6068" s="4">
        <v>3</v>
      </c>
      <c r="AJ6068" s="4">
        <v>1</v>
      </c>
      <c r="AK6068" s="4">
        <v>1</v>
      </c>
      <c r="AL6068" s="4">
        <v>0</v>
      </c>
      <c r="AM6068" s="4">
        <v>1</v>
      </c>
      <c r="AN6068" s="4">
        <v>0</v>
      </c>
      <c r="AO6068" s="4">
        <v>0</v>
      </c>
      <c r="AP6068" s="4">
        <v>1</v>
      </c>
      <c r="AQ6068" s="4">
        <v>1</v>
      </c>
      <c r="AR6068" s="3" t="s">
        <v>62</v>
      </c>
      <c r="AS6068" s="3" t="s">
        <v>62</v>
      </c>
      <c r="AT6068" s="3" t="s">
        <v>62</v>
      </c>
      <c r="AV6068" s="6" t="str">
        <f>HYPERLINK("http://mcgill.on.worldcat.org/oclc/712592474","Catalog Record")</f>
        <v>Catalog Record</v>
      </c>
      <c r="AW6068" s="6" t="str">
        <f>HYPERLINK("http://www.worldcat.org/oclc/712592474","WorldCat Record")</f>
        <v>WorldCat Record</v>
      </c>
      <c r="AX6068" s="3" t="s">
        <v>56622</v>
      </c>
      <c r="AY6068" s="3" t="s">
        <v>56623</v>
      </c>
      <c r="AZ6068" s="3" t="s">
        <v>56624</v>
      </c>
      <c r="BA6068" s="3" t="s">
        <v>56624</v>
      </c>
      <c r="BB6068" s="3" t="s">
        <v>56625</v>
      </c>
      <c r="BC6068" s="3" t="s">
        <v>33640</v>
      </c>
      <c r="BD6068" s="3" t="s">
        <v>68</v>
      </c>
      <c r="BF6068" s="3" t="s">
        <v>56625</v>
      </c>
      <c r="BG6068" s="3" t="s">
        <v>56626</v>
      </c>
    </row>
    <row r="6069" spans="1:59" ht="87" x14ac:dyDescent="0.35">
      <c r="A6069" s="2" t="s">
        <v>89</v>
      </c>
      <c r="B6069" s="2" t="s">
        <v>42560</v>
      </c>
      <c r="C6069" s="2" t="s">
        <v>56627</v>
      </c>
      <c r="D6069" s="2" t="s">
        <v>56628</v>
      </c>
      <c r="E6069" s="2" t="s">
        <v>56629</v>
      </c>
      <c r="G6069" s="3" t="s">
        <v>62</v>
      </c>
      <c r="I6069" s="3" t="s">
        <v>62</v>
      </c>
      <c r="J6069" s="3" t="s">
        <v>62</v>
      </c>
      <c r="K6069" s="3" t="s">
        <v>63</v>
      </c>
      <c r="M6069" s="2" t="s">
        <v>56630</v>
      </c>
      <c r="N6069" s="3" t="s">
        <v>880</v>
      </c>
      <c r="O6069" s="2" t="s">
        <v>56631</v>
      </c>
      <c r="P6069" s="3" t="s">
        <v>64</v>
      </c>
      <c r="R6069" s="3" t="s">
        <v>42369</v>
      </c>
      <c r="S6069" s="4">
        <v>2</v>
      </c>
      <c r="T6069" s="4">
        <v>2</v>
      </c>
      <c r="U6069" s="5" t="s">
        <v>24881</v>
      </c>
      <c r="V6069" s="5" t="s">
        <v>24881</v>
      </c>
      <c r="W6069" s="5" t="s">
        <v>67</v>
      </c>
      <c r="X6069" s="5" t="s">
        <v>67</v>
      </c>
      <c r="Y6069" s="4">
        <v>254</v>
      </c>
      <c r="Z6069" s="4">
        <v>19</v>
      </c>
      <c r="AA6069" s="4">
        <v>19</v>
      </c>
      <c r="AB6069" s="4">
        <v>2</v>
      </c>
      <c r="AC6069" s="4">
        <v>2</v>
      </c>
      <c r="AD6069" s="4">
        <v>8</v>
      </c>
      <c r="AE6069" s="4">
        <v>8</v>
      </c>
      <c r="AF6069" s="4">
        <v>0</v>
      </c>
      <c r="AG6069" s="4">
        <v>0</v>
      </c>
      <c r="AH6069" s="4">
        <v>8</v>
      </c>
      <c r="AI6069" s="4">
        <v>8</v>
      </c>
      <c r="AJ6069" s="4">
        <v>0</v>
      </c>
      <c r="AK6069" s="4">
        <v>0</v>
      </c>
      <c r="AL6069" s="4">
        <v>4</v>
      </c>
      <c r="AM6069" s="4">
        <v>4</v>
      </c>
      <c r="AN6069" s="4">
        <v>0</v>
      </c>
      <c r="AO6069" s="4">
        <v>0</v>
      </c>
      <c r="AP6069" s="4">
        <v>0</v>
      </c>
      <c r="AQ6069" s="4">
        <v>0</v>
      </c>
      <c r="AR6069" s="3" t="s">
        <v>62</v>
      </c>
      <c r="AS6069" s="3" t="s">
        <v>62</v>
      </c>
      <c r="AT6069" s="3" t="s">
        <v>62</v>
      </c>
      <c r="AV6069" s="6" t="str">
        <f>HYPERLINK("http://mcgill.on.worldcat.org/oclc/639929331","Catalog Record")</f>
        <v>Catalog Record</v>
      </c>
      <c r="AW6069" s="6" t="str">
        <f>HYPERLINK("http://www.worldcat.org/oclc/639929331","WorldCat Record")</f>
        <v>WorldCat Record</v>
      </c>
      <c r="AX6069" s="3" t="s">
        <v>56632</v>
      </c>
      <c r="AY6069" s="3" t="s">
        <v>56633</v>
      </c>
      <c r="AZ6069" s="3" t="s">
        <v>56634</v>
      </c>
      <c r="BA6069" s="3" t="s">
        <v>56634</v>
      </c>
      <c r="BB6069" s="3" t="s">
        <v>56635</v>
      </c>
      <c r="BC6069" s="3" t="s">
        <v>33640</v>
      </c>
      <c r="BD6069" s="3" t="s">
        <v>68</v>
      </c>
      <c r="BE6069" s="3" t="s">
        <v>56636</v>
      </c>
      <c r="BF6069" s="3" t="s">
        <v>56635</v>
      </c>
      <c r="BG6069" s="3" t="s">
        <v>56637</v>
      </c>
    </row>
    <row r="6070" spans="1:59" ht="87" x14ac:dyDescent="0.35">
      <c r="A6070" s="2" t="s">
        <v>89</v>
      </c>
      <c r="B6070" s="2" t="s">
        <v>42560</v>
      </c>
      <c r="C6070" s="2" t="s">
        <v>56638</v>
      </c>
      <c r="D6070" s="2" t="s">
        <v>56639</v>
      </c>
      <c r="E6070" s="2" t="s">
        <v>56640</v>
      </c>
      <c r="G6070" s="3" t="s">
        <v>61</v>
      </c>
      <c r="I6070" s="3" t="s">
        <v>62</v>
      </c>
      <c r="J6070" s="3" t="s">
        <v>62</v>
      </c>
      <c r="K6070" s="3" t="s">
        <v>63</v>
      </c>
      <c r="M6070" s="2" t="s">
        <v>56641</v>
      </c>
      <c r="N6070" s="3" t="s">
        <v>1195</v>
      </c>
      <c r="P6070" s="3" t="s">
        <v>64</v>
      </c>
      <c r="Q6070" s="2" t="s">
        <v>56642</v>
      </c>
      <c r="R6070" s="3" t="s">
        <v>46535</v>
      </c>
      <c r="S6070" s="4">
        <v>21</v>
      </c>
      <c r="T6070" s="4">
        <v>21</v>
      </c>
      <c r="U6070" s="5" t="s">
        <v>3051</v>
      </c>
      <c r="V6070" s="5" t="s">
        <v>3051</v>
      </c>
      <c r="W6070" s="5" t="s">
        <v>67</v>
      </c>
      <c r="X6070" s="5" t="s">
        <v>67</v>
      </c>
      <c r="Y6070" s="4">
        <v>409</v>
      </c>
      <c r="Z6070" s="4">
        <v>13</v>
      </c>
      <c r="AA6070" s="4">
        <v>14</v>
      </c>
      <c r="AB6070" s="4">
        <v>2</v>
      </c>
      <c r="AC6070" s="4">
        <v>2</v>
      </c>
      <c r="AD6070" s="4">
        <v>19</v>
      </c>
      <c r="AE6070" s="4">
        <v>19</v>
      </c>
      <c r="AF6070" s="4">
        <v>0</v>
      </c>
      <c r="AG6070" s="4">
        <v>0</v>
      </c>
      <c r="AH6070" s="4">
        <v>17</v>
      </c>
      <c r="AI6070" s="4">
        <v>17</v>
      </c>
      <c r="AJ6070" s="4">
        <v>0</v>
      </c>
      <c r="AK6070" s="4">
        <v>0</v>
      </c>
      <c r="AL6070" s="4">
        <v>8</v>
      </c>
      <c r="AM6070" s="4">
        <v>8</v>
      </c>
      <c r="AN6070" s="4">
        <v>0</v>
      </c>
      <c r="AO6070" s="4">
        <v>0</v>
      </c>
      <c r="AP6070" s="4">
        <v>2</v>
      </c>
      <c r="AQ6070" s="4">
        <v>2</v>
      </c>
      <c r="AR6070" s="3" t="s">
        <v>62</v>
      </c>
      <c r="AS6070" s="3" t="s">
        <v>62</v>
      </c>
      <c r="AT6070" s="3" t="s">
        <v>62</v>
      </c>
      <c r="AV6070" s="6" t="str">
        <f>HYPERLINK("http://mcgill.on.worldcat.org/oclc/74279133","Catalog Record")</f>
        <v>Catalog Record</v>
      </c>
      <c r="AW6070" s="6" t="str">
        <f>HYPERLINK("http://www.worldcat.org/oclc/74279133","WorldCat Record")</f>
        <v>WorldCat Record</v>
      </c>
      <c r="AX6070" s="3" t="s">
        <v>56643</v>
      </c>
      <c r="AY6070" s="3" t="s">
        <v>56644</v>
      </c>
      <c r="AZ6070" s="3" t="s">
        <v>56645</v>
      </c>
      <c r="BA6070" s="3" t="s">
        <v>56645</v>
      </c>
      <c r="BB6070" s="3" t="s">
        <v>56646</v>
      </c>
      <c r="BC6070" s="3" t="s">
        <v>33640</v>
      </c>
      <c r="BD6070" s="3" t="s">
        <v>68</v>
      </c>
      <c r="BE6070" s="3" t="s">
        <v>56647</v>
      </c>
      <c r="BF6070" s="3" t="s">
        <v>56646</v>
      </c>
      <c r="BG6070" s="3" t="s">
        <v>56648</v>
      </c>
    </row>
    <row r="6071" spans="1:59" ht="116" x14ac:dyDescent="0.35">
      <c r="A6071" s="2" t="s">
        <v>89</v>
      </c>
      <c r="B6071" s="2" t="s">
        <v>42560</v>
      </c>
      <c r="C6071" s="2" t="s">
        <v>56649</v>
      </c>
      <c r="D6071" s="2" t="s">
        <v>56650</v>
      </c>
      <c r="E6071" s="2" t="s">
        <v>56651</v>
      </c>
      <c r="G6071" s="3" t="s">
        <v>62</v>
      </c>
      <c r="I6071" s="3" t="s">
        <v>62</v>
      </c>
      <c r="J6071" s="3" t="s">
        <v>62</v>
      </c>
      <c r="K6071" s="3" t="s">
        <v>63</v>
      </c>
      <c r="M6071" s="2" t="s">
        <v>56652</v>
      </c>
      <c r="N6071" s="3" t="s">
        <v>655</v>
      </c>
      <c r="P6071" s="3" t="s">
        <v>64</v>
      </c>
      <c r="R6071" s="3" t="s">
        <v>42369</v>
      </c>
      <c r="S6071" s="4">
        <v>20</v>
      </c>
      <c r="T6071" s="4">
        <v>20</v>
      </c>
      <c r="U6071" s="5" t="s">
        <v>16924</v>
      </c>
      <c r="V6071" s="5" t="s">
        <v>16924</v>
      </c>
      <c r="W6071" s="5" t="s">
        <v>67</v>
      </c>
      <c r="X6071" s="5" t="s">
        <v>67</v>
      </c>
      <c r="Y6071" s="4">
        <v>1140</v>
      </c>
      <c r="Z6071" s="4">
        <v>31</v>
      </c>
      <c r="AA6071" s="4">
        <v>60</v>
      </c>
      <c r="AB6071" s="4">
        <v>2</v>
      </c>
      <c r="AC6071" s="4">
        <v>2</v>
      </c>
      <c r="AD6071" s="4">
        <v>17</v>
      </c>
      <c r="AE6071" s="4">
        <v>32</v>
      </c>
      <c r="AF6071" s="4">
        <v>0</v>
      </c>
      <c r="AG6071" s="4">
        <v>0</v>
      </c>
      <c r="AH6071" s="4">
        <v>15</v>
      </c>
      <c r="AI6071" s="4">
        <v>22</v>
      </c>
      <c r="AJ6071" s="4">
        <v>1</v>
      </c>
      <c r="AK6071" s="4">
        <v>6</v>
      </c>
      <c r="AL6071" s="4">
        <v>8</v>
      </c>
      <c r="AM6071" s="4">
        <v>11</v>
      </c>
      <c r="AN6071" s="4">
        <v>0</v>
      </c>
      <c r="AO6071" s="4">
        <v>0</v>
      </c>
      <c r="AP6071" s="4">
        <v>2</v>
      </c>
      <c r="AQ6071" s="4">
        <v>13</v>
      </c>
      <c r="AR6071" s="3" t="s">
        <v>62</v>
      </c>
      <c r="AS6071" s="3" t="s">
        <v>62</v>
      </c>
      <c r="AT6071" s="3" t="s">
        <v>62</v>
      </c>
      <c r="AV6071" s="6" t="str">
        <f>HYPERLINK("http://mcgill.on.worldcat.org/oclc/173650464","Catalog Record")</f>
        <v>Catalog Record</v>
      </c>
      <c r="AW6071" s="6" t="str">
        <f>HYPERLINK("http://www.worldcat.org/oclc/173650464","WorldCat Record")</f>
        <v>WorldCat Record</v>
      </c>
      <c r="AX6071" s="3" t="s">
        <v>56653</v>
      </c>
      <c r="AY6071" s="3" t="s">
        <v>56654</v>
      </c>
      <c r="AZ6071" s="3" t="s">
        <v>56655</v>
      </c>
      <c r="BA6071" s="3" t="s">
        <v>56655</v>
      </c>
      <c r="BB6071" s="3" t="s">
        <v>56656</v>
      </c>
      <c r="BC6071" s="3" t="s">
        <v>33640</v>
      </c>
      <c r="BD6071" s="3" t="s">
        <v>68</v>
      </c>
      <c r="BE6071" s="3" t="s">
        <v>56657</v>
      </c>
      <c r="BF6071" s="3" t="s">
        <v>56656</v>
      </c>
      <c r="BG6071" s="3" t="s">
        <v>56658</v>
      </c>
    </row>
    <row r="6072" spans="1:59" ht="87" x14ac:dyDescent="0.35">
      <c r="A6072" s="2" t="s">
        <v>89</v>
      </c>
      <c r="B6072" s="2" t="s">
        <v>42560</v>
      </c>
      <c r="C6072" s="2" t="s">
        <v>56659</v>
      </c>
      <c r="D6072" s="2" t="s">
        <v>56660</v>
      </c>
      <c r="E6072" s="2" t="s">
        <v>56661</v>
      </c>
      <c r="G6072" s="3" t="s">
        <v>61</v>
      </c>
      <c r="I6072" s="3" t="s">
        <v>62</v>
      </c>
      <c r="J6072" s="3" t="s">
        <v>62</v>
      </c>
      <c r="K6072" s="3" t="s">
        <v>63</v>
      </c>
      <c r="M6072" s="2" t="s">
        <v>56662</v>
      </c>
      <c r="N6072" s="3" t="s">
        <v>568</v>
      </c>
      <c r="O6072" s="2" t="s">
        <v>56663</v>
      </c>
      <c r="P6072" s="3" t="s">
        <v>64</v>
      </c>
      <c r="R6072" s="3" t="s">
        <v>25645</v>
      </c>
      <c r="S6072" s="4">
        <v>24</v>
      </c>
      <c r="T6072" s="4">
        <v>24</v>
      </c>
      <c r="U6072" s="5" t="s">
        <v>17672</v>
      </c>
      <c r="V6072" s="5" t="s">
        <v>17672</v>
      </c>
      <c r="W6072" s="5" t="s">
        <v>67</v>
      </c>
      <c r="X6072" s="5" t="s">
        <v>67</v>
      </c>
      <c r="Y6072" s="4">
        <v>15</v>
      </c>
      <c r="Z6072" s="4">
        <v>1</v>
      </c>
      <c r="AA6072" s="4">
        <v>13</v>
      </c>
      <c r="AB6072" s="4">
        <v>1</v>
      </c>
      <c r="AC6072" s="4">
        <v>5</v>
      </c>
      <c r="AD6072" s="4">
        <v>1</v>
      </c>
      <c r="AE6072" s="4">
        <v>32</v>
      </c>
      <c r="AF6072" s="4">
        <v>0</v>
      </c>
      <c r="AG6072" s="4">
        <v>2</v>
      </c>
      <c r="AH6072" s="4">
        <v>1</v>
      </c>
      <c r="AI6072" s="4">
        <v>28</v>
      </c>
      <c r="AJ6072" s="4">
        <v>0</v>
      </c>
      <c r="AK6072" s="4">
        <v>2</v>
      </c>
      <c r="AL6072" s="4">
        <v>0</v>
      </c>
      <c r="AM6072" s="4">
        <v>15</v>
      </c>
      <c r="AN6072" s="4">
        <v>0</v>
      </c>
      <c r="AO6072" s="4">
        <v>0</v>
      </c>
      <c r="AP6072" s="4">
        <v>0</v>
      </c>
      <c r="AQ6072" s="4">
        <v>3</v>
      </c>
      <c r="AR6072" s="3" t="s">
        <v>62</v>
      </c>
      <c r="AS6072" s="3" t="s">
        <v>62</v>
      </c>
      <c r="AT6072" s="3" t="s">
        <v>62</v>
      </c>
      <c r="AV6072" s="6" t="str">
        <f>HYPERLINK("http://mcgill.on.worldcat.org/oclc/700287601","Catalog Record")</f>
        <v>Catalog Record</v>
      </c>
      <c r="AW6072" s="6" t="str">
        <f>HYPERLINK("http://www.worldcat.org/oclc/700287601","WorldCat Record")</f>
        <v>WorldCat Record</v>
      </c>
      <c r="AX6072" s="3" t="s">
        <v>56664</v>
      </c>
      <c r="AY6072" s="3" t="s">
        <v>56665</v>
      </c>
      <c r="AZ6072" s="3" t="s">
        <v>56666</v>
      </c>
      <c r="BA6072" s="3" t="s">
        <v>56666</v>
      </c>
      <c r="BB6072" s="3" t="s">
        <v>56667</v>
      </c>
      <c r="BC6072" s="3" t="s">
        <v>33640</v>
      </c>
      <c r="BD6072" s="3" t="s">
        <v>68</v>
      </c>
      <c r="BE6072" s="3" t="s">
        <v>56668</v>
      </c>
      <c r="BF6072" s="3" t="s">
        <v>56667</v>
      </c>
      <c r="BG6072" s="3" t="s">
        <v>56669</v>
      </c>
    </row>
    <row r="6073" spans="1:59" ht="87" x14ac:dyDescent="0.35">
      <c r="A6073" s="2" t="s">
        <v>89</v>
      </c>
      <c r="B6073" s="2" t="s">
        <v>42560</v>
      </c>
      <c r="C6073" s="2" t="s">
        <v>56670</v>
      </c>
      <c r="D6073" s="2" t="s">
        <v>56671</v>
      </c>
      <c r="E6073" s="2" t="s">
        <v>56672</v>
      </c>
      <c r="G6073" s="3" t="s">
        <v>62</v>
      </c>
      <c r="I6073" s="3" t="s">
        <v>62</v>
      </c>
      <c r="J6073" s="3" t="s">
        <v>62</v>
      </c>
      <c r="K6073" s="3" t="s">
        <v>63</v>
      </c>
      <c r="M6073" s="2" t="s">
        <v>56673</v>
      </c>
      <c r="N6073" s="3" t="s">
        <v>684</v>
      </c>
      <c r="P6073" s="3" t="s">
        <v>64</v>
      </c>
      <c r="R6073" s="3" t="s">
        <v>42369</v>
      </c>
      <c r="S6073" s="4">
        <v>24</v>
      </c>
      <c r="T6073" s="4">
        <v>24</v>
      </c>
      <c r="U6073" s="5" t="s">
        <v>17612</v>
      </c>
      <c r="V6073" s="5" t="s">
        <v>17612</v>
      </c>
      <c r="W6073" s="5" t="s">
        <v>67</v>
      </c>
      <c r="X6073" s="5" t="s">
        <v>67</v>
      </c>
      <c r="Y6073" s="4">
        <v>14</v>
      </c>
      <c r="Z6073" s="4">
        <v>11</v>
      </c>
      <c r="AA6073" s="4">
        <v>72</v>
      </c>
      <c r="AB6073" s="4">
        <v>1</v>
      </c>
      <c r="AC6073" s="4">
        <v>5</v>
      </c>
      <c r="AD6073" s="4">
        <v>5</v>
      </c>
      <c r="AE6073" s="4">
        <v>81</v>
      </c>
      <c r="AF6073" s="4">
        <v>0</v>
      </c>
      <c r="AG6073" s="4">
        <v>2</v>
      </c>
      <c r="AH6073" s="4">
        <v>2</v>
      </c>
      <c r="AI6073" s="4">
        <v>64</v>
      </c>
      <c r="AJ6073" s="4">
        <v>2</v>
      </c>
      <c r="AK6073" s="4">
        <v>13</v>
      </c>
      <c r="AL6073" s="4">
        <v>0</v>
      </c>
      <c r="AM6073" s="4">
        <v>39</v>
      </c>
      <c r="AN6073" s="4">
        <v>0</v>
      </c>
      <c r="AO6073" s="4">
        <v>0</v>
      </c>
      <c r="AP6073" s="4">
        <v>5</v>
      </c>
      <c r="AQ6073" s="4">
        <v>23</v>
      </c>
      <c r="AR6073" s="3" t="s">
        <v>61</v>
      </c>
      <c r="AS6073" s="3" t="s">
        <v>62</v>
      </c>
      <c r="AT6073" s="3" t="s">
        <v>62</v>
      </c>
      <c r="AV6073" s="6" t="str">
        <f>HYPERLINK("http://mcgill.on.worldcat.org/oclc/777254116","Catalog Record")</f>
        <v>Catalog Record</v>
      </c>
      <c r="AW6073" s="6" t="str">
        <f>HYPERLINK("http://www.worldcat.org/oclc/777254116","WorldCat Record")</f>
        <v>WorldCat Record</v>
      </c>
      <c r="AX6073" s="3" t="s">
        <v>56674</v>
      </c>
      <c r="AY6073" s="3" t="s">
        <v>56675</v>
      </c>
      <c r="AZ6073" s="3" t="s">
        <v>56676</v>
      </c>
      <c r="BA6073" s="3" t="s">
        <v>56676</v>
      </c>
      <c r="BB6073" s="3" t="s">
        <v>56677</v>
      </c>
      <c r="BC6073" s="3" t="s">
        <v>33640</v>
      </c>
      <c r="BD6073" s="3" t="s">
        <v>68</v>
      </c>
      <c r="BF6073" s="3" t="s">
        <v>56677</v>
      </c>
      <c r="BG6073" s="3" t="s">
        <v>56678</v>
      </c>
    </row>
    <row r="6074" spans="1:59" ht="87" x14ac:dyDescent="0.35">
      <c r="A6074" s="2" t="s">
        <v>89</v>
      </c>
      <c r="B6074" s="2" t="s">
        <v>42560</v>
      </c>
      <c r="C6074" s="2" t="s">
        <v>56679</v>
      </c>
      <c r="D6074" s="2" t="s">
        <v>56680</v>
      </c>
      <c r="E6074" s="2" t="s">
        <v>56681</v>
      </c>
      <c r="G6074" s="3" t="s">
        <v>62</v>
      </c>
      <c r="I6074" s="3" t="s">
        <v>62</v>
      </c>
      <c r="J6074" s="3" t="s">
        <v>62</v>
      </c>
      <c r="K6074" s="3" t="s">
        <v>63</v>
      </c>
      <c r="M6074" s="2" t="s">
        <v>56682</v>
      </c>
      <c r="N6074" s="3" t="s">
        <v>684</v>
      </c>
      <c r="P6074" s="3" t="s">
        <v>64</v>
      </c>
      <c r="R6074" s="3" t="s">
        <v>42369</v>
      </c>
      <c r="S6074" s="4">
        <v>6</v>
      </c>
      <c r="T6074" s="4">
        <v>6</v>
      </c>
      <c r="U6074" s="5" t="s">
        <v>657</v>
      </c>
      <c r="V6074" s="5" t="s">
        <v>657</v>
      </c>
      <c r="W6074" s="5" t="s">
        <v>67</v>
      </c>
      <c r="X6074" s="5" t="s">
        <v>67</v>
      </c>
      <c r="Y6074" s="4">
        <v>30</v>
      </c>
      <c r="Z6074" s="4">
        <v>14</v>
      </c>
      <c r="AA6074" s="4">
        <v>65</v>
      </c>
      <c r="AB6074" s="4">
        <v>3</v>
      </c>
      <c r="AC6074" s="4">
        <v>3</v>
      </c>
      <c r="AD6074" s="4">
        <v>5</v>
      </c>
      <c r="AE6074" s="4">
        <v>57</v>
      </c>
      <c r="AF6074" s="4">
        <v>0</v>
      </c>
      <c r="AG6074" s="4">
        <v>0</v>
      </c>
      <c r="AH6074" s="4">
        <v>4</v>
      </c>
      <c r="AI6074" s="4">
        <v>42</v>
      </c>
      <c r="AJ6074" s="4">
        <v>2</v>
      </c>
      <c r="AK6074" s="4">
        <v>7</v>
      </c>
      <c r="AL6074" s="4">
        <v>1</v>
      </c>
      <c r="AM6074" s="4">
        <v>22</v>
      </c>
      <c r="AN6074" s="4">
        <v>0</v>
      </c>
      <c r="AO6074" s="4">
        <v>0</v>
      </c>
      <c r="AP6074" s="4">
        <v>3</v>
      </c>
      <c r="AQ6074" s="4">
        <v>20</v>
      </c>
      <c r="AR6074" s="3" t="s">
        <v>61</v>
      </c>
      <c r="AS6074" s="3" t="s">
        <v>62</v>
      </c>
      <c r="AT6074" s="3" t="s">
        <v>62</v>
      </c>
      <c r="AV6074" s="6" t="str">
        <f>HYPERLINK("http://mcgill.on.worldcat.org/oclc/770860276","Catalog Record")</f>
        <v>Catalog Record</v>
      </c>
      <c r="AW6074" s="6" t="str">
        <f>HYPERLINK("http://www.worldcat.org/oclc/770860276","WorldCat Record")</f>
        <v>WorldCat Record</v>
      </c>
      <c r="AX6074" s="3" t="s">
        <v>56683</v>
      </c>
      <c r="AY6074" s="3" t="s">
        <v>56684</v>
      </c>
      <c r="AZ6074" s="3" t="s">
        <v>56685</v>
      </c>
      <c r="BA6074" s="3" t="s">
        <v>56685</v>
      </c>
      <c r="BB6074" s="3" t="s">
        <v>56686</v>
      </c>
      <c r="BC6074" s="3" t="s">
        <v>33640</v>
      </c>
      <c r="BD6074" s="3" t="s">
        <v>68</v>
      </c>
      <c r="BF6074" s="3" t="s">
        <v>56686</v>
      </c>
      <c r="BG6074" s="3" t="s">
        <v>56687</v>
      </c>
    </row>
    <row r="6075" spans="1:59" ht="87" x14ac:dyDescent="0.35">
      <c r="A6075" s="2" t="s">
        <v>89</v>
      </c>
      <c r="B6075" s="2" t="s">
        <v>42560</v>
      </c>
      <c r="C6075" s="2" t="s">
        <v>56688</v>
      </c>
      <c r="D6075" s="2" t="s">
        <v>56689</v>
      </c>
      <c r="E6075" s="2" t="s">
        <v>56690</v>
      </c>
      <c r="G6075" s="3" t="s">
        <v>62</v>
      </c>
      <c r="I6075" s="3" t="s">
        <v>62</v>
      </c>
      <c r="J6075" s="3" t="s">
        <v>62</v>
      </c>
      <c r="K6075" s="3" t="s">
        <v>63</v>
      </c>
      <c r="M6075" s="2" t="s">
        <v>56691</v>
      </c>
      <c r="N6075" s="3" t="s">
        <v>1195</v>
      </c>
      <c r="P6075" s="3" t="s">
        <v>64</v>
      </c>
      <c r="Q6075" s="2" t="s">
        <v>56692</v>
      </c>
      <c r="R6075" s="3" t="s">
        <v>42369</v>
      </c>
      <c r="S6075" s="4">
        <v>3</v>
      </c>
      <c r="T6075" s="4">
        <v>3</v>
      </c>
      <c r="U6075" s="5" t="s">
        <v>56693</v>
      </c>
      <c r="V6075" s="5" t="s">
        <v>56693</v>
      </c>
      <c r="W6075" s="5" t="s">
        <v>67</v>
      </c>
      <c r="X6075" s="5" t="s">
        <v>67</v>
      </c>
      <c r="Y6075" s="4">
        <v>295</v>
      </c>
      <c r="Z6075" s="4">
        <v>8</v>
      </c>
      <c r="AA6075" s="4">
        <v>12</v>
      </c>
      <c r="AB6075" s="4">
        <v>2</v>
      </c>
      <c r="AC6075" s="4">
        <v>2</v>
      </c>
      <c r="AD6075" s="4">
        <v>6</v>
      </c>
      <c r="AE6075" s="4">
        <v>9</v>
      </c>
      <c r="AF6075" s="4">
        <v>0</v>
      </c>
      <c r="AG6075" s="4">
        <v>0</v>
      </c>
      <c r="AH6075" s="4">
        <v>6</v>
      </c>
      <c r="AI6075" s="4">
        <v>9</v>
      </c>
      <c r="AJ6075" s="4">
        <v>0</v>
      </c>
      <c r="AK6075" s="4">
        <v>0</v>
      </c>
      <c r="AL6075" s="4">
        <v>2</v>
      </c>
      <c r="AM6075" s="4">
        <v>3</v>
      </c>
      <c r="AN6075" s="4">
        <v>0</v>
      </c>
      <c r="AO6075" s="4">
        <v>0</v>
      </c>
      <c r="AP6075" s="4">
        <v>0</v>
      </c>
      <c r="AQ6075" s="4">
        <v>0</v>
      </c>
      <c r="AR6075" s="3" t="s">
        <v>62</v>
      </c>
      <c r="AS6075" s="3" t="s">
        <v>62</v>
      </c>
      <c r="AT6075" s="3" t="s">
        <v>62</v>
      </c>
      <c r="AV6075" s="6" t="str">
        <f>HYPERLINK("http://mcgill.on.worldcat.org/oclc/65664111","Catalog Record")</f>
        <v>Catalog Record</v>
      </c>
      <c r="AW6075" s="6" t="str">
        <f>HYPERLINK("http://www.worldcat.org/oclc/65664111","WorldCat Record")</f>
        <v>WorldCat Record</v>
      </c>
      <c r="AX6075" s="3" t="s">
        <v>56694</v>
      </c>
      <c r="AY6075" s="3" t="s">
        <v>56695</v>
      </c>
      <c r="AZ6075" s="3" t="s">
        <v>56696</v>
      </c>
      <c r="BA6075" s="3" t="s">
        <v>56696</v>
      </c>
      <c r="BB6075" s="3" t="s">
        <v>56697</v>
      </c>
      <c r="BC6075" s="3" t="s">
        <v>33640</v>
      </c>
      <c r="BD6075" s="3" t="s">
        <v>68</v>
      </c>
      <c r="BE6075" s="3" t="s">
        <v>56698</v>
      </c>
      <c r="BF6075" s="3" t="s">
        <v>56697</v>
      </c>
      <c r="BG6075" s="3" t="s">
        <v>56699</v>
      </c>
    </row>
    <row r="6076" spans="1:59" ht="87" x14ac:dyDescent="0.35">
      <c r="A6076" s="2" t="s">
        <v>89</v>
      </c>
      <c r="B6076" s="2" t="s">
        <v>42560</v>
      </c>
      <c r="C6076" s="2" t="s">
        <v>56700</v>
      </c>
      <c r="D6076" s="2" t="s">
        <v>56701</v>
      </c>
      <c r="E6076" s="2" t="s">
        <v>56702</v>
      </c>
      <c r="G6076" s="3" t="s">
        <v>62</v>
      </c>
      <c r="I6076" s="3" t="s">
        <v>62</v>
      </c>
      <c r="J6076" s="3" t="s">
        <v>61</v>
      </c>
      <c r="K6076" s="3" t="s">
        <v>63</v>
      </c>
      <c r="M6076" s="2" t="s">
        <v>56703</v>
      </c>
      <c r="N6076" s="3" t="s">
        <v>655</v>
      </c>
      <c r="P6076" s="3" t="s">
        <v>64</v>
      </c>
      <c r="Q6076" s="2" t="s">
        <v>56704</v>
      </c>
      <c r="R6076" s="3" t="s">
        <v>34126</v>
      </c>
      <c r="S6076" s="4">
        <v>11</v>
      </c>
      <c r="T6076" s="4">
        <v>11</v>
      </c>
      <c r="U6076" s="5" t="s">
        <v>987</v>
      </c>
      <c r="V6076" s="5" t="s">
        <v>987</v>
      </c>
      <c r="W6076" s="5" t="s">
        <v>67</v>
      </c>
      <c r="X6076" s="5" t="s">
        <v>67</v>
      </c>
      <c r="Y6076" s="4">
        <v>850</v>
      </c>
      <c r="Z6076" s="4">
        <v>24</v>
      </c>
      <c r="AA6076" s="4">
        <v>44</v>
      </c>
      <c r="AB6076" s="4">
        <v>1</v>
      </c>
      <c r="AC6076" s="4">
        <v>1</v>
      </c>
      <c r="AD6076" s="4">
        <v>60</v>
      </c>
      <c r="AE6076" s="4">
        <v>102</v>
      </c>
      <c r="AF6076" s="4">
        <v>0</v>
      </c>
      <c r="AG6076" s="4">
        <v>0</v>
      </c>
      <c r="AH6076" s="4">
        <v>52</v>
      </c>
      <c r="AI6076" s="4">
        <v>85</v>
      </c>
      <c r="AJ6076" s="4">
        <v>6</v>
      </c>
      <c r="AK6076" s="4">
        <v>10</v>
      </c>
      <c r="AL6076" s="4">
        <v>30</v>
      </c>
      <c r="AM6076" s="4">
        <v>49</v>
      </c>
      <c r="AN6076" s="4">
        <v>0</v>
      </c>
      <c r="AO6076" s="4">
        <v>0</v>
      </c>
      <c r="AP6076" s="4">
        <v>10</v>
      </c>
      <c r="AQ6076" s="4">
        <v>19</v>
      </c>
      <c r="AR6076" s="3" t="s">
        <v>62</v>
      </c>
      <c r="AS6076" s="3" t="s">
        <v>62</v>
      </c>
      <c r="AT6076" s="3" t="s">
        <v>62</v>
      </c>
      <c r="AV6076" s="6" t="str">
        <f>HYPERLINK("http://mcgill.on.worldcat.org/oclc/144513883","Catalog Record")</f>
        <v>Catalog Record</v>
      </c>
      <c r="AW6076" s="6" t="str">
        <f>HYPERLINK("http://www.worldcat.org/oclc/144513883","WorldCat Record")</f>
        <v>WorldCat Record</v>
      </c>
      <c r="AX6076" s="3" t="s">
        <v>56705</v>
      </c>
      <c r="AY6076" s="3" t="s">
        <v>56706</v>
      </c>
      <c r="AZ6076" s="3" t="s">
        <v>56707</v>
      </c>
      <c r="BA6076" s="3" t="s">
        <v>56707</v>
      </c>
      <c r="BB6076" s="3" t="s">
        <v>56708</v>
      </c>
      <c r="BC6076" s="3" t="s">
        <v>33640</v>
      </c>
      <c r="BD6076" s="3" t="s">
        <v>68</v>
      </c>
      <c r="BE6076" s="3" t="s">
        <v>56709</v>
      </c>
      <c r="BF6076" s="3" t="s">
        <v>56708</v>
      </c>
      <c r="BG6076" s="3" t="s">
        <v>56710</v>
      </c>
    </row>
    <row r="6077" spans="1:59" ht="87" x14ac:dyDescent="0.35">
      <c r="A6077" s="2" t="s">
        <v>89</v>
      </c>
      <c r="B6077" s="2" t="s">
        <v>42560</v>
      </c>
      <c r="C6077" s="2" t="s">
        <v>56711</v>
      </c>
      <c r="D6077" s="2" t="s">
        <v>56712</v>
      </c>
      <c r="E6077" s="2" t="s">
        <v>56713</v>
      </c>
      <c r="G6077" s="3" t="s">
        <v>61</v>
      </c>
      <c r="I6077" s="3" t="s">
        <v>62</v>
      </c>
      <c r="J6077" s="3" t="s">
        <v>62</v>
      </c>
      <c r="K6077" s="3" t="s">
        <v>63</v>
      </c>
      <c r="M6077" s="2" t="s">
        <v>56714</v>
      </c>
      <c r="N6077" s="3" t="s">
        <v>698</v>
      </c>
      <c r="P6077" s="3" t="s">
        <v>64</v>
      </c>
      <c r="R6077" s="3" t="s">
        <v>25645</v>
      </c>
      <c r="S6077" s="4">
        <v>6</v>
      </c>
      <c r="T6077" s="4">
        <v>6</v>
      </c>
      <c r="U6077" s="5" t="s">
        <v>40716</v>
      </c>
      <c r="V6077" s="5" t="s">
        <v>40716</v>
      </c>
      <c r="W6077" s="5" t="s">
        <v>67</v>
      </c>
      <c r="X6077" s="5" t="s">
        <v>67</v>
      </c>
      <c r="Y6077" s="4">
        <v>36</v>
      </c>
      <c r="Z6077" s="4">
        <v>5</v>
      </c>
      <c r="AA6077" s="4">
        <v>5</v>
      </c>
      <c r="AB6077" s="4">
        <v>1</v>
      </c>
      <c r="AC6077" s="4">
        <v>1</v>
      </c>
      <c r="AD6077" s="4">
        <v>18</v>
      </c>
      <c r="AE6077" s="4">
        <v>18</v>
      </c>
      <c r="AF6077" s="4">
        <v>0</v>
      </c>
      <c r="AG6077" s="4">
        <v>0</v>
      </c>
      <c r="AH6077" s="4">
        <v>17</v>
      </c>
      <c r="AI6077" s="4">
        <v>17</v>
      </c>
      <c r="AJ6077" s="4">
        <v>3</v>
      </c>
      <c r="AK6077" s="4">
        <v>3</v>
      </c>
      <c r="AL6077" s="4">
        <v>14</v>
      </c>
      <c r="AM6077" s="4">
        <v>14</v>
      </c>
      <c r="AN6077" s="4">
        <v>0</v>
      </c>
      <c r="AO6077" s="4">
        <v>0</v>
      </c>
      <c r="AP6077" s="4">
        <v>3</v>
      </c>
      <c r="AQ6077" s="4">
        <v>3</v>
      </c>
      <c r="AR6077" s="3" t="s">
        <v>62</v>
      </c>
      <c r="AS6077" s="3" t="s">
        <v>62</v>
      </c>
      <c r="AT6077" s="3" t="s">
        <v>62</v>
      </c>
      <c r="AV6077" s="6" t="str">
        <f>HYPERLINK("http://mcgill.on.worldcat.org/oclc/792819161","Catalog Record")</f>
        <v>Catalog Record</v>
      </c>
      <c r="AW6077" s="6" t="str">
        <f>HYPERLINK("http://www.worldcat.org/oclc/792819161","WorldCat Record")</f>
        <v>WorldCat Record</v>
      </c>
      <c r="AX6077" s="3" t="s">
        <v>56715</v>
      </c>
      <c r="AY6077" s="3" t="s">
        <v>56716</v>
      </c>
      <c r="AZ6077" s="3" t="s">
        <v>56717</v>
      </c>
      <c r="BA6077" s="3" t="s">
        <v>56717</v>
      </c>
      <c r="BB6077" s="3" t="s">
        <v>56718</v>
      </c>
      <c r="BC6077" s="3" t="s">
        <v>33640</v>
      </c>
      <c r="BD6077" s="3" t="s">
        <v>68</v>
      </c>
      <c r="BF6077" s="3" t="s">
        <v>56718</v>
      </c>
      <c r="BG6077" s="3" t="s">
        <v>56719</v>
      </c>
    </row>
    <row r="6078" spans="1:59" ht="87" x14ac:dyDescent="0.35">
      <c r="A6078" s="2" t="s">
        <v>89</v>
      </c>
      <c r="B6078" s="2" t="s">
        <v>42560</v>
      </c>
      <c r="C6078" s="2" t="s">
        <v>56720</v>
      </c>
      <c r="D6078" s="2" t="s">
        <v>56721</v>
      </c>
      <c r="E6078" s="2" t="s">
        <v>56722</v>
      </c>
      <c r="G6078" s="3" t="s">
        <v>62</v>
      </c>
      <c r="I6078" s="3" t="s">
        <v>62</v>
      </c>
      <c r="J6078" s="3" t="s">
        <v>61</v>
      </c>
      <c r="K6078" s="3" t="s">
        <v>63</v>
      </c>
      <c r="M6078" s="2" t="s">
        <v>56723</v>
      </c>
      <c r="N6078" s="3" t="s">
        <v>698</v>
      </c>
      <c r="O6078" s="2" t="s">
        <v>55006</v>
      </c>
      <c r="P6078" s="3" t="s">
        <v>64</v>
      </c>
      <c r="R6078" s="3" t="s">
        <v>42369</v>
      </c>
      <c r="S6078" s="4">
        <v>12</v>
      </c>
      <c r="T6078" s="4">
        <v>12</v>
      </c>
      <c r="U6078" s="5" t="s">
        <v>9622</v>
      </c>
      <c r="V6078" s="5" t="s">
        <v>9622</v>
      </c>
      <c r="W6078" s="5" t="s">
        <v>67</v>
      </c>
      <c r="X6078" s="5" t="s">
        <v>67</v>
      </c>
      <c r="Y6078" s="4">
        <v>10</v>
      </c>
      <c r="Z6078" s="4">
        <v>7</v>
      </c>
      <c r="AA6078" s="4">
        <v>87</v>
      </c>
      <c r="AB6078" s="4">
        <v>1</v>
      </c>
      <c r="AC6078" s="4">
        <v>5</v>
      </c>
      <c r="AD6078" s="4">
        <v>1</v>
      </c>
      <c r="AE6078" s="4">
        <v>45</v>
      </c>
      <c r="AF6078" s="4">
        <v>0</v>
      </c>
      <c r="AG6078" s="4">
        <v>1</v>
      </c>
      <c r="AH6078" s="4">
        <v>1</v>
      </c>
      <c r="AI6078" s="4">
        <v>25</v>
      </c>
      <c r="AJ6078" s="4">
        <v>1</v>
      </c>
      <c r="AK6078" s="4">
        <v>14</v>
      </c>
      <c r="AL6078" s="4">
        <v>1</v>
      </c>
      <c r="AM6078" s="4">
        <v>17</v>
      </c>
      <c r="AN6078" s="4">
        <v>0</v>
      </c>
      <c r="AO6078" s="4">
        <v>0</v>
      </c>
      <c r="AP6078" s="4">
        <v>1</v>
      </c>
      <c r="AQ6078" s="4">
        <v>24</v>
      </c>
      <c r="AR6078" s="3" t="s">
        <v>61</v>
      </c>
      <c r="AS6078" s="3" t="s">
        <v>62</v>
      </c>
      <c r="AT6078" s="3" t="s">
        <v>62</v>
      </c>
      <c r="AV6078" s="6" t="str">
        <f>HYPERLINK("http://mcgill.on.worldcat.org/oclc/800809333","Catalog Record")</f>
        <v>Catalog Record</v>
      </c>
      <c r="AW6078" s="6" t="str">
        <f>HYPERLINK("http://www.worldcat.org/oclc/800809333","WorldCat Record")</f>
        <v>WorldCat Record</v>
      </c>
      <c r="AX6078" s="3" t="s">
        <v>56724</v>
      </c>
      <c r="AY6078" s="3" t="s">
        <v>56725</v>
      </c>
      <c r="AZ6078" s="3" t="s">
        <v>56726</v>
      </c>
      <c r="BA6078" s="3" t="s">
        <v>56726</v>
      </c>
      <c r="BB6078" s="3" t="s">
        <v>56727</v>
      </c>
      <c r="BC6078" s="3" t="s">
        <v>33640</v>
      </c>
      <c r="BD6078" s="3" t="s">
        <v>231</v>
      </c>
      <c r="BF6078" s="3" t="s">
        <v>56727</v>
      </c>
      <c r="BG6078" s="3" t="s">
        <v>56728</v>
      </c>
    </row>
    <row r="6079" spans="1:59" ht="87" x14ac:dyDescent="0.35">
      <c r="A6079" s="2" t="s">
        <v>89</v>
      </c>
      <c r="B6079" s="2" t="s">
        <v>42560</v>
      </c>
      <c r="C6079" s="2" t="s">
        <v>56729</v>
      </c>
      <c r="D6079" s="2" t="s">
        <v>56730</v>
      </c>
      <c r="E6079" s="2" t="s">
        <v>56731</v>
      </c>
      <c r="F6079" s="3" t="s">
        <v>56732</v>
      </c>
      <c r="G6079" s="3" t="s">
        <v>61</v>
      </c>
      <c r="I6079" s="3" t="s">
        <v>62</v>
      </c>
      <c r="J6079" s="3" t="s">
        <v>62</v>
      </c>
      <c r="K6079" s="3" t="s">
        <v>63</v>
      </c>
      <c r="L6079" s="2" t="s">
        <v>56733</v>
      </c>
      <c r="M6079" s="2" t="s">
        <v>56734</v>
      </c>
      <c r="N6079" s="3" t="s">
        <v>655</v>
      </c>
      <c r="P6079" s="3" t="s">
        <v>64</v>
      </c>
      <c r="R6079" s="3" t="s">
        <v>65</v>
      </c>
      <c r="S6079" s="4">
        <v>6</v>
      </c>
      <c r="T6079" s="4">
        <v>44</v>
      </c>
      <c r="U6079" s="5" t="s">
        <v>117</v>
      </c>
      <c r="V6079" s="5" t="s">
        <v>3842</v>
      </c>
      <c r="W6079" s="5" t="s">
        <v>67</v>
      </c>
      <c r="X6079" s="5" t="s">
        <v>67</v>
      </c>
      <c r="Y6079" s="4">
        <v>294</v>
      </c>
      <c r="Z6079" s="4">
        <v>7</v>
      </c>
      <c r="AA6079" s="4">
        <v>8</v>
      </c>
      <c r="AB6079" s="4">
        <v>1</v>
      </c>
      <c r="AC6079" s="4">
        <v>1</v>
      </c>
      <c r="AD6079" s="4">
        <v>22</v>
      </c>
      <c r="AE6079" s="4">
        <v>22</v>
      </c>
      <c r="AF6079" s="4">
        <v>0</v>
      </c>
      <c r="AG6079" s="4">
        <v>0</v>
      </c>
      <c r="AH6079" s="4">
        <v>19</v>
      </c>
      <c r="AI6079" s="4">
        <v>19</v>
      </c>
      <c r="AJ6079" s="4">
        <v>1</v>
      </c>
      <c r="AK6079" s="4">
        <v>1</v>
      </c>
      <c r="AL6079" s="4">
        <v>14</v>
      </c>
      <c r="AM6079" s="4">
        <v>14</v>
      </c>
      <c r="AN6079" s="4">
        <v>0</v>
      </c>
      <c r="AO6079" s="4">
        <v>0</v>
      </c>
      <c r="AP6079" s="4">
        <v>1</v>
      </c>
      <c r="AQ6079" s="4">
        <v>1</v>
      </c>
      <c r="AR6079" s="3" t="s">
        <v>62</v>
      </c>
      <c r="AS6079" s="3" t="s">
        <v>62</v>
      </c>
      <c r="AT6079" s="3" t="s">
        <v>62</v>
      </c>
      <c r="AV6079" s="6" t="str">
        <f>HYPERLINK("http://mcgill.on.worldcat.org/oclc/226969114","Catalog Record")</f>
        <v>Catalog Record</v>
      </c>
      <c r="AW6079" s="6" t="str">
        <f>HYPERLINK("http://www.worldcat.org/oclc/226969114","WorldCat Record")</f>
        <v>WorldCat Record</v>
      </c>
      <c r="AX6079" s="3" t="s">
        <v>56735</v>
      </c>
      <c r="AY6079" s="3" t="s">
        <v>56736</v>
      </c>
      <c r="AZ6079" s="3" t="s">
        <v>56737</v>
      </c>
      <c r="BA6079" s="3" t="s">
        <v>56737</v>
      </c>
      <c r="BB6079" s="3" t="s">
        <v>56738</v>
      </c>
      <c r="BC6079" s="3" t="s">
        <v>33640</v>
      </c>
      <c r="BD6079" s="3" t="s">
        <v>68</v>
      </c>
      <c r="BF6079" s="3" t="s">
        <v>56738</v>
      </c>
      <c r="BG6079" s="3" t="s">
        <v>56739</v>
      </c>
    </row>
    <row r="6080" spans="1:59" ht="87" x14ac:dyDescent="0.35">
      <c r="A6080" s="2" t="s">
        <v>89</v>
      </c>
      <c r="B6080" s="2" t="s">
        <v>42560</v>
      </c>
      <c r="C6080" s="2" t="s">
        <v>56729</v>
      </c>
      <c r="D6080" s="2" t="s">
        <v>56730</v>
      </c>
      <c r="E6080" s="2" t="s">
        <v>56731</v>
      </c>
      <c r="F6080" s="3" t="s">
        <v>56740</v>
      </c>
      <c r="G6080" s="3" t="s">
        <v>61</v>
      </c>
      <c r="I6080" s="3" t="s">
        <v>62</v>
      </c>
      <c r="J6080" s="3" t="s">
        <v>62</v>
      </c>
      <c r="K6080" s="3" t="s">
        <v>63</v>
      </c>
      <c r="L6080" s="2" t="s">
        <v>56733</v>
      </c>
      <c r="M6080" s="2" t="s">
        <v>56734</v>
      </c>
      <c r="N6080" s="3" t="s">
        <v>655</v>
      </c>
      <c r="P6080" s="3" t="s">
        <v>64</v>
      </c>
      <c r="R6080" s="3" t="s">
        <v>65</v>
      </c>
      <c r="S6080" s="4">
        <v>11</v>
      </c>
      <c r="T6080" s="4">
        <v>44</v>
      </c>
      <c r="U6080" s="5" t="s">
        <v>3842</v>
      </c>
      <c r="V6080" s="5" t="s">
        <v>3842</v>
      </c>
      <c r="W6080" s="5" t="s">
        <v>67</v>
      </c>
      <c r="X6080" s="5" t="s">
        <v>67</v>
      </c>
      <c r="Y6080" s="4">
        <v>294</v>
      </c>
      <c r="Z6080" s="4">
        <v>7</v>
      </c>
      <c r="AA6080" s="4">
        <v>8</v>
      </c>
      <c r="AB6080" s="4">
        <v>1</v>
      </c>
      <c r="AC6080" s="4">
        <v>1</v>
      </c>
      <c r="AD6080" s="4">
        <v>22</v>
      </c>
      <c r="AE6080" s="4">
        <v>22</v>
      </c>
      <c r="AF6080" s="4">
        <v>0</v>
      </c>
      <c r="AG6080" s="4">
        <v>0</v>
      </c>
      <c r="AH6080" s="4">
        <v>19</v>
      </c>
      <c r="AI6080" s="4">
        <v>19</v>
      </c>
      <c r="AJ6080" s="4">
        <v>1</v>
      </c>
      <c r="AK6080" s="4">
        <v>1</v>
      </c>
      <c r="AL6080" s="4">
        <v>14</v>
      </c>
      <c r="AM6080" s="4">
        <v>14</v>
      </c>
      <c r="AN6080" s="4">
        <v>0</v>
      </c>
      <c r="AO6080" s="4">
        <v>0</v>
      </c>
      <c r="AP6080" s="4">
        <v>1</v>
      </c>
      <c r="AQ6080" s="4">
        <v>1</v>
      </c>
      <c r="AR6080" s="3" t="s">
        <v>62</v>
      </c>
      <c r="AS6080" s="3" t="s">
        <v>62</v>
      </c>
      <c r="AT6080" s="3" t="s">
        <v>62</v>
      </c>
      <c r="AV6080" s="6" t="str">
        <f>HYPERLINK("http://mcgill.on.worldcat.org/oclc/226969114","Catalog Record")</f>
        <v>Catalog Record</v>
      </c>
      <c r="AW6080" s="6" t="str">
        <f>HYPERLINK("http://www.worldcat.org/oclc/226969114","WorldCat Record")</f>
        <v>WorldCat Record</v>
      </c>
      <c r="AX6080" s="3" t="s">
        <v>56735</v>
      </c>
      <c r="AY6080" s="3" t="s">
        <v>56736</v>
      </c>
      <c r="AZ6080" s="3" t="s">
        <v>56737</v>
      </c>
      <c r="BA6080" s="3" t="s">
        <v>56737</v>
      </c>
      <c r="BB6080" s="3" t="s">
        <v>56741</v>
      </c>
      <c r="BC6080" s="3" t="s">
        <v>33640</v>
      </c>
      <c r="BD6080" s="3" t="s">
        <v>68</v>
      </c>
      <c r="BF6080" s="3" t="s">
        <v>56741</v>
      </c>
      <c r="BG6080" s="3" t="s">
        <v>56742</v>
      </c>
    </row>
    <row r="6081" spans="1:59" ht="87" x14ac:dyDescent="0.35">
      <c r="A6081" s="2" t="s">
        <v>89</v>
      </c>
      <c r="B6081" s="2" t="s">
        <v>42560</v>
      </c>
      <c r="C6081" s="2" t="s">
        <v>56729</v>
      </c>
      <c r="D6081" s="2" t="s">
        <v>56730</v>
      </c>
      <c r="E6081" s="2" t="s">
        <v>56731</v>
      </c>
      <c r="F6081" s="3" t="s">
        <v>56743</v>
      </c>
      <c r="G6081" s="3" t="s">
        <v>61</v>
      </c>
      <c r="I6081" s="3" t="s">
        <v>62</v>
      </c>
      <c r="J6081" s="3" t="s">
        <v>62</v>
      </c>
      <c r="K6081" s="3" t="s">
        <v>63</v>
      </c>
      <c r="L6081" s="2" t="s">
        <v>56733</v>
      </c>
      <c r="M6081" s="2" t="s">
        <v>56734</v>
      </c>
      <c r="N6081" s="3" t="s">
        <v>655</v>
      </c>
      <c r="P6081" s="3" t="s">
        <v>64</v>
      </c>
      <c r="R6081" s="3" t="s">
        <v>65</v>
      </c>
      <c r="S6081" s="4">
        <v>8</v>
      </c>
      <c r="T6081" s="4">
        <v>44</v>
      </c>
      <c r="U6081" s="5" t="s">
        <v>117</v>
      </c>
      <c r="V6081" s="5" t="s">
        <v>3842</v>
      </c>
      <c r="W6081" s="5" t="s">
        <v>67</v>
      </c>
      <c r="X6081" s="5" t="s">
        <v>67</v>
      </c>
      <c r="Y6081" s="4">
        <v>294</v>
      </c>
      <c r="Z6081" s="4">
        <v>7</v>
      </c>
      <c r="AA6081" s="4">
        <v>8</v>
      </c>
      <c r="AB6081" s="4">
        <v>1</v>
      </c>
      <c r="AC6081" s="4">
        <v>1</v>
      </c>
      <c r="AD6081" s="4">
        <v>22</v>
      </c>
      <c r="AE6081" s="4">
        <v>22</v>
      </c>
      <c r="AF6081" s="4">
        <v>0</v>
      </c>
      <c r="AG6081" s="4">
        <v>0</v>
      </c>
      <c r="AH6081" s="4">
        <v>19</v>
      </c>
      <c r="AI6081" s="4">
        <v>19</v>
      </c>
      <c r="AJ6081" s="4">
        <v>1</v>
      </c>
      <c r="AK6081" s="4">
        <v>1</v>
      </c>
      <c r="AL6081" s="4">
        <v>14</v>
      </c>
      <c r="AM6081" s="4">
        <v>14</v>
      </c>
      <c r="AN6081" s="4">
        <v>0</v>
      </c>
      <c r="AO6081" s="4">
        <v>0</v>
      </c>
      <c r="AP6081" s="4">
        <v>1</v>
      </c>
      <c r="AQ6081" s="4">
        <v>1</v>
      </c>
      <c r="AR6081" s="3" t="s">
        <v>62</v>
      </c>
      <c r="AS6081" s="3" t="s">
        <v>62</v>
      </c>
      <c r="AT6081" s="3" t="s">
        <v>62</v>
      </c>
      <c r="AV6081" s="6" t="str">
        <f>HYPERLINK("http://mcgill.on.worldcat.org/oclc/226969114","Catalog Record")</f>
        <v>Catalog Record</v>
      </c>
      <c r="AW6081" s="6" t="str">
        <f>HYPERLINK("http://www.worldcat.org/oclc/226969114","WorldCat Record")</f>
        <v>WorldCat Record</v>
      </c>
      <c r="AX6081" s="3" t="s">
        <v>56735</v>
      </c>
      <c r="AY6081" s="3" t="s">
        <v>56736</v>
      </c>
      <c r="AZ6081" s="3" t="s">
        <v>56737</v>
      </c>
      <c r="BA6081" s="3" t="s">
        <v>56737</v>
      </c>
      <c r="BB6081" s="3" t="s">
        <v>56744</v>
      </c>
      <c r="BC6081" s="3" t="s">
        <v>33640</v>
      </c>
      <c r="BD6081" s="3" t="s">
        <v>68</v>
      </c>
      <c r="BF6081" s="3" t="s">
        <v>56744</v>
      </c>
      <c r="BG6081" s="3" t="s">
        <v>56745</v>
      </c>
    </row>
    <row r="6082" spans="1:59" ht="87" x14ac:dyDescent="0.35">
      <c r="A6082" s="2" t="s">
        <v>89</v>
      </c>
      <c r="B6082" s="2" t="s">
        <v>42560</v>
      </c>
      <c r="C6082" s="2" t="s">
        <v>56729</v>
      </c>
      <c r="D6082" s="2" t="s">
        <v>56730</v>
      </c>
      <c r="E6082" s="2" t="s">
        <v>56731</v>
      </c>
      <c r="F6082" s="3" t="s">
        <v>56746</v>
      </c>
      <c r="G6082" s="3" t="s">
        <v>61</v>
      </c>
      <c r="I6082" s="3" t="s">
        <v>62</v>
      </c>
      <c r="J6082" s="3" t="s">
        <v>62</v>
      </c>
      <c r="K6082" s="3" t="s">
        <v>63</v>
      </c>
      <c r="L6082" s="2" t="s">
        <v>56733</v>
      </c>
      <c r="M6082" s="2" t="s">
        <v>56734</v>
      </c>
      <c r="N6082" s="3" t="s">
        <v>655</v>
      </c>
      <c r="P6082" s="3" t="s">
        <v>64</v>
      </c>
      <c r="R6082" s="3" t="s">
        <v>65</v>
      </c>
      <c r="S6082" s="4">
        <v>9</v>
      </c>
      <c r="T6082" s="4">
        <v>44</v>
      </c>
      <c r="U6082" s="5" t="s">
        <v>3842</v>
      </c>
      <c r="V6082" s="5" t="s">
        <v>3842</v>
      </c>
      <c r="W6082" s="5" t="s">
        <v>67</v>
      </c>
      <c r="X6082" s="5" t="s">
        <v>67</v>
      </c>
      <c r="Y6082" s="4">
        <v>294</v>
      </c>
      <c r="Z6082" s="4">
        <v>7</v>
      </c>
      <c r="AA6082" s="4">
        <v>8</v>
      </c>
      <c r="AB6082" s="4">
        <v>1</v>
      </c>
      <c r="AC6082" s="4">
        <v>1</v>
      </c>
      <c r="AD6082" s="4">
        <v>22</v>
      </c>
      <c r="AE6082" s="4">
        <v>22</v>
      </c>
      <c r="AF6082" s="4">
        <v>0</v>
      </c>
      <c r="AG6082" s="4">
        <v>0</v>
      </c>
      <c r="AH6082" s="4">
        <v>19</v>
      </c>
      <c r="AI6082" s="4">
        <v>19</v>
      </c>
      <c r="AJ6082" s="4">
        <v>1</v>
      </c>
      <c r="AK6082" s="4">
        <v>1</v>
      </c>
      <c r="AL6082" s="4">
        <v>14</v>
      </c>
      <c r="AM6082" s="4">
        <v>14</v>
      </c>
      <c r="AN6082" s="4">
        <v>0</v>
      </c>
      <c r="AO6082" s="4">
        <v>0</v>
      </c>
      <c r="AP6082" s="4">
        <v>1</v>
      </c>
      <c r="AQ6082" s="4">
        <v>1</v>
      </c>
      <c r="AR6082" s="3" t="s">
        <v>62</v>
      </c>
      <c r="AS6082" s="3" t="s">
        <v>62</v>
      </c>
      <c r="AT6082" s="3" t="s">
        <v>62</v>
      </c>
      <c r="AV6082" s="6" t="str">
        <f>HYPERLINK("http://mcgill.on.worldcat.org/oclc/226969114","Catalog Record")</f>
        <v>Catalog Record</v>
      </c>
      <c r="AW6082" s="6" t="str">
        <f>HYPERLINK("http://www.worldcat.org/oclc/226969114","WorldCat Record")</f>
        <v>WorldCat Record</v>
      </c>
      <c r="AX6082" s="3" t="s">
        <v>56735</v>
      </c>
      <c r="AY6082" s="3" t="s">
        <v>56736</v>
      </c>
      <c r="AZ6082" s="3" t="s">
        <v>56737</v>
      </c>
      <c r="BA6082" s="3" t="s">
        <v>56737</v>
      </c>
      <c r="BB6082" s="3" t="s">
        <v>56747</v>
      </c>
      <c r="BC6082" s="3" t="s">
        <v>33640</v>
      </c>
      <c r="BD6082" s="3" t="s">
        <v>68</v>
      </c>
      <c r="BF6082" s="3" t="s">
        <v>56747</v>
      </c>
      <c r="BG6082" s="3" t="s">
        <v>56748</v>
      </c>
    </row>
    <row r="6083" spans="1:59" ht="87" x14ac:dyDescent="0.35">
      <c r="A6083" s="2" t="s">
        <v>89</v>
      </c>
      <c r="B6083" s="2" t="s">
        <v>42560</v>
      </c>
      <c r="C6083" s="2" t="s">
        <v>56729</v>
      </c>
      <c r="D6083" s="2" t="s">
        <v>56730</v>
      </c>
      <c r="E6083" s="2" t="s">
        <v>56731</v>
      </c>
      <c r="F6083" s="3" t="s">
        <v>56749</v>
      </c>
      <c r="G6083" s="3" t="s">
        <v>61</v>
      </c>
      <c r="I6083" s="3" t="s">
        <v>62</v>
      </c>
      <c r="J6083" s="3" t="s">
        <v>62</v>
      </c>
      <c r="K6083" s="3" t="s">
        <v>63</v>
      </c>
      <c r="L6083" s="2" t="s">
        <v>56733</v>
      </c>
      <c r="M6083" s="2" t="s">
        <v>56734</v>
      </c>
      <c r="N6083" s="3" t="s">
        <v>655</v>
      </c>
      <c r="P6083" s="3" t="s">
        <v>64</v>
      </c>
      <c r="R6083" s="3" t="s">
        <v>65</v>
      </c>
      <c r="S6083" s="4">
        <v>10</v>
      </c>
      <c r="T6083" s="4">
        <v>44</v>
      </c>
      <c r="U6083" s="5" t="s">
        <v>2831</v>
      </c>
      <c r="V6083" s="5" t="s">
        <v>3842</v>
      </c>
      <c r="W6083" s="5" t="s">
        <v>67</v>
      </c>
      <c r="X6083" s="5" t="s">
        <v>67</v>
      </c>
      <c r="Y6083" s="4">
        <v>294</v>
      </c>
      <c r="Z6083" s="4">
        <v>7</v>
      </c>
      <c r="AA6083" s="4">
        <v>8</v>
      </c>
      <c r="AB6083" s="4">
        <v>1</v>
      </c>
      <c r="AC6083" s="4">
        <v>1</v>
      </c>
      <c r="AD6083" s="4">
        <v>22</v>
      </c>
      <c r="AE6083" s="4">
        <v>22</v>
      </c>
      <c r="AF6083" s="4">
        <v>0</v>
      </c>
      <c r="AG6083" s="4">
        <v>0</v>
      </c>
      <c r="AH6083" s="4">
        <v>19</v>
      </c>
      <c r="AI6083" s="4">
        <v>19</v>
      </c>
      <c r="AJ6083" s="4">
        <v>1</v>
      </c>
      <c r="AK6083" s="4">
        <v>1</v>
      </c>
      <c r="AL6083" s="4">
        <v>14</v>
      </c>
      <c r="AM6083" s="4">
        <v>14</v>
      </c>
      <c r="AN6083" s="4">
        <v>0</v>
      </c>
      <c r="AO6083" s="4">
        <v>0</v>
      </c>
      <c r="AP6083" s="4">
        <v>1</v>
      </c>
      <c r="AQ6083" s="4">
        <v>1</v>
      </c>
      <c r="AR6083" s="3" t="s">
        <v>62</v>
      </c>
      <c r="AS6083" s="3" t="s">
        <v>62</v>
      </c>
      <c r="AT6083" s="3" t="s">
        <v>62</v>
      </c>
      <c r="AV6083" s="6" t="str">
        <f>HYPERLINK("http://mcgill.on.worldcat.org/oclc/226969114","Catalog Record")</f>
        <v>Catalog Record</v>
      </c>
      <c r="AW6083" s="6" t="str">
        <f>HYPERLINK("http://www.worldcat.org/oclc/226969114","WorldCat Record")</f>
        <v>WorldCat Record</v>
      </c>
      <c r="AX6083" s="3" t="s">
        <v>56735</v>
      </c>
      <c r="AY6083" s="3" t="s">
        <v>56736</v>
      </c>
      <c r="AZ6083" s="3" t="s">
        <v>56737</v>
      </c>
      <c r="BA6083" s="3" t="s">
        <v>56737</v>
      </c>
      <c r="BB6083" s="3" t="s">
        <v>56750</v>
      </c>
      <c r="BC6083" s="3" t="s">
        <v>33640</v>
      </c>
      <c r="BD6083" s="3" t="s">
        <v>68</v>
      </c>
      <c r="BF6083" s="3" t="s">
        <v>56750</v>
      </c>
      <c r="BG6083" s="3" t="s">
        <v>56751</v>
      </c>
    </row>
    <row r="6084" spans="1:59" ht="87" x14ac:dyDescent="0.35">
      <c r="A6084" s="2" t="s">
        <v>89</v>
      </c>
      <c r="B6084" s="2" t="s">
        <v>42560</v>
      </c>
      <c r="C6084" s="2" t="s">
        <v>56752</v>
      </c>
      <c r="D6084" s="2" t="s">
        <v>56753</v>
      </c>
      <c r="E6084" s="2" t="s">
        <v>56754</v>
      </c>
      <c r="G6084" s="3" t="s">
        <v>62</v>
      </c>
      <c r="I6084" s="3" t="s">
        <v>62</v>
      </c>
      <c r="J6084" s="3" t="s">
        <v>62</v>
      </c>
      <c r="K6084" s="3" t="s">
        <v>63</v>
      </c>
      <c r="M6084" s="2" t="s">
        <v>56755</v>
      </c>
      <c r="N6084" s="3" t="s">
        <v>655</v>
      </c>
      <c r="P6084" s="3" t="s">
        <v>64</v>
      </c>
      <c r="R6084" s="3" t="s">
        <v>34126</v>
      </c>
      <c r="S6084" s="4">
        <v>3</v>
      </c>
      <c r="T6084" s="4">
        <v>3</v>
      </c>
      <c r="U6084" s="5" t="s">
        <v>6531</v>
      </c>
      <c r="V6084" s="5" t="s">
        <v>6531</v>
      </c>
      <c r="W6084" s="5" t="s">
        <v>67</v>
      </c>
      <c r="X6084" s="5" t="s">
        <v>67</v>
      </c>
      <c r="Y6084" s="4">
        <v>57</v>
      </c>
      <c r="Z6084" s="4">
        <v>4</v>
      </c>
      <c r="AA6084" s="4">
        <v>4</v>
      </c>
      <c r="AB6084" s="4">
        <v>1</v>
      </c>
      <c r="AC6084" s="4">
        <v>1</v>
      </c>
      <c r="AD6084" s="4">
        <v>18</v>
      </c>
      <c r="AE6084" s="4">
        <v>18</v>
      </c>
      <c r="AF6084" s="4">
        <v>0</v>
      </c>
      <c r="AG6084" s="4">
        <v>0</v>
      </c>
      <c r="AH6084" s="4">
        <v>18</v>
      </c>
      <c r="AI6084" s="4">
        <v>18</v>
      </c>
      <c r="AJ6084" s="4">
        <v>2</v>
      </c>
      <c r="AK6084" s="4">
        <v>2</v>
      </c>
      <c r="AL6084" s="4">
        <v>12</v>
      </c>
      <c r="AM6084" s="4">
        <v>12</v>
      </c>
      <c r="AN6084" s="4">
        <v>0</v>
      </c>
      <c r="AO6084" s="4">
        <v>0</v>
      </c>
      <c r="AP6084" s="4">
        <v>2</v>
      </c>
      <c r="AQ6084" s="4">
        <v>2</v>
      </c>
      <c r="AR6084" s="3" t="s">
        <v>62</v>
      </c>
      <c r="AS6084" s="3" t="s">
        <v>62</v>
      </c>
      <c r="AT6084" s="3" t="s">
        <v>62</v>
      </c>
      <c r="AV6084" s="6" t="str">
        <f>HYPERLINK("http://mcgill.on.worldcat.org/oclc/244301149","Catalog Record")</f>
        <v>Catalog Record</v>
      </c>
      <c r="AW6084" s="6" t="str">
        <f>HYPERLINK("http://www.worldcat.org/oclc/244301149","WorldCat Record")</f>
        <v>WorldCat Record</v>
      </c>
      <c r="AX6084" s="3" t="s">
        <v>56756</v>
      </c>
      <c r="AY6084" s="3" t="s">
        <v>56757</v>
      </c>
      <c r="AZ6084" s="3" t="s">
        <v>56758</v>
      </c>
      <c r="BA6084" s="3" t="s">
        <v>56758</v>
      </c>
      <c r="BB6084" s="3" t="s">
        <v>56759</v>
      </c>
      <c r="BC6084" s="3" t="s">
        <v>33640</v>
      </c>
      <c r="BD6084" s="3" t="s">
        <v>68</v>
      </c>
      <c r="BE6084" s="3" t="s">
        <v>56760</v>
      </c>
      <c r="BF6084" s="3" t="s">
        <v>56759</v>
      </c>
      <c r="BG6084" s="3" t="s">
        <v>56761</v>
      </c>
    </row>
    <row r="6085" spans="1:59" ht="87" x14ac:dyDescent="0.35">
      <c r="A6085" s="2" t="s">
        <v>89</v>
      </c>
      <c r="B6085" s="2" t="s">
        <v>42560</v>
      </c>
      <c r="C6085" s="2" t="s">
        <v>56762</v>
      </c>
      <c r="D6085" s="2" t="s">
        <v>56763</v>
      </c>
      <c r="E6085" s="2" t="s">
        <v>56764</v>
      </c>
      <c r="G6085" s="3" t="s">
        <v>62</v>
      </c>
      <c r="I6085" s="3" t="s">
        <v>62</v>
      </c>
      <c r="J6085" s="3" t="s">
        <v>62</v>
      </c>
      <c r="K6085" s="3" t="s">
        <v>63</v>
      </c>
      <c r="M6085" s="2" t="s">
        <v>56765</v>
      </c>
      <c r="N6085" s="3" t="s">
        <v>880</v>
      </c>
      <c r="P6085" s="3" t="s">
        <v>64</v>
      </c>
      <c r="Q6085" s="2" t="s">
        <v>56766</v>
      </c>
      <c r="R6085" s="3" t="s">
        <v>46535</v>
      </c>
      <c r="S6085" s="4">
        <v>9</v>
      </c>
      <c r="T6085" s="4">
        <v>9</v>
      </c>
      <c r="U6085" s="5" t="s">
        <v>3842</v>
      </c>
      <c r="V6085" s="5" t="s">
        <v>3842</v>
      </c>
      <c r="W6085" s="5" t="s">
        <v>67</v>
      </c>
      <c r="X6085" s="5" t="s">
        <v>67</v>
      </c>
      <c r="Y6085" s="4">
        <v>71</v>
      </c>
      <c r="Z6085" s="4">
        <v>3</v>
      </c>
      <c r="AA6085" s="4">
        <v>20</v>
      </c>
      <c r="AB6085" s="4">
        <v>1</v>
      </c>
      <c r="AC6085" s="4">
        <v>1</v>
      </c>
      <c r="AD6085" s="4">
        <v>7</v>
      </c>
      <c r="AE6085" s="4">
        <v>27</v>
      </c>
      <c r="AF6085" s="4">
        <v>0</v>
      </c>
      <c r="AG6085" s="4">
        <v>0</v>
      </c>
      <c r="AH6085" s="4">
        <v>5</v>
      </c>
      <c r="AI6085" s="4">
        <v>19</v>
      </c>
      <c r="AJ6085" s="4">
        <v>0</v>
      </c>
      <c r="AK6085" s="4">
        <v>6</v>
      </c>
      <c r="AL6085" s="4">
        <v>4</v>
      </c>
      <c r="AM6085" s="4">
        <v>9</v>
      </c>
      <c r="AN6085" s="4">
        <v>0</v>
      </c>
      <c r="AO6085" s="4">
        <v>0</v>
      </c>
      <c r="AP6085" s="4">
        <v>1</v>
      </c>
      <c r="AQ6085" s="4">
        <v>12</v>
      </c>
      <c r="AR6085" s="3" t="s">
        <v>62</v>
      </c>
      <c r="AS6085" s="3" t="s">
        <v>62</v>
      </c>
      <c r="AT6085" s="3" t="s">
        <v>62</v>
      </c>
      <c r="AV6085" s="6" t="str">
        <f>HYPERLINK("http://mcgill.on.worldcat.org/oclc/651616227","Catalog Record")</f>
        <v>Catalog Record</v>
      </c>
      <c r="AW6085" s="6" t="str">
        <f>HYPERLINK("http://www.worldcat.org/oclc/651616227","WorldCat Record")</f>
        <v>WorldCat Record</v>
      </c>
      <c r="AX6085" s="3" t="s">
        <v>56767</v>
      </c>
      <c r="AY6085" s="3" t="s">
        <v>56768</v>
      </c>
      <c r="AZ6085" s="3" t="s">
        <v>56769</v>
      </c>
      <c r="BA6085" s="3" t="s">
        <v>56769</v>
      </c>
      <c r="BB6085" s="3" t="s">
        <v>56770</v>
      </c>
      <c r="BC6085" s="3" t="s">
        <v>33640</v>
      </c>
      <c r="BD6085" s="3" t="s">
        <v>68</v>
      </c>
      <c r="BF6085" s="3" t="s">
        <v>56770</v>
      </c>
      <c r="BG6085" s="3" t="s">
        <v>56771</v>
      </c>
    </row>
    <row r="6086" spans="1:59" ht="87" x14ac:dyDescent="0.35">
      <c r="A6086" s="2" t="s">
        <v>89</v>
      </c>
      <c r="B6086" s="2" t="s">
        <v>42560</v>
      </c>
      <c r="C6086" s="2" t="s">
        <v>56772</v>
      </c>
      <c r="D6086" s="2" t="s">
        <v>56773</v>
      </c>
      <c r="E6086" s="2" t="s">
        <v>56774</v>
      </c>
      <c r="F6086" s="3" t="s">
        <v>56775</v>
      </c>
      <c r="G6086" s="3" t="s">
        <v>61</v>
      </c>
      <c r="I6086" s="3" t="s">
        <v>62</v>
      </c>
      <c r="J6086" s="3" t="s">
        <v>62</v>
      </c>
      <c r="K6086" s="3" t="s">
        <v>63</v>
      </c>
      <c r="M6086" s="2" t="s">
        <v>56776</v>
      </c>
      <c r="N6086" s="3" t="s">
        <v>655</v>
      </c>
      <c r="P6086" s="3" t="s">
        <v>64</v>
      </c>
      <c r="Q6086" s="2" t="s">
        <v>56777</v>
      </c>
      <c r="R6086" s="3" t="s">
        <v>13065</v>
      </c>
      <c r="S6086" s="4">
        <v>2</v>
      </c>
      <c r="T6086" s="4">
        <v>18</v>
      </c>
      <c r="U6086" s="5" t="s">
        <v>56778</v>
      </c>
      <c r="V6086" s="5" t="s">
        <v>23107</v>
      </c>
      <c r="W6086" s="5" t="s">
        <v>67</v>
      </c>
      <c r="X6086" s="5" t="s">
        <v>67</v>
      </c>
      <c r="Y6086" s="4">
        <v>4</v>
      </c>
      <c r="Z6086" s="4">
        <v>1</v>
      </c>
      <c r="AA6086" s="4">
        <v>14</v>
      </c>
      <c r="AB6086" s="4">
        <v>1</v>
      </c>
      <c r="AC6086" s="4">
        <v>1</v>
      </c>
      <c r="AD6086" s="4">
        <v>0</v>
      </c>
      <c r="AE6086" s="4">
        <v>61</v>
      </c>
      <c r="AF6086" s="4">
        <v>0</v>
      </c>
      <c r="AG6086" s="4">
        <v>0</v>
      </c>
      <c r="AH6086" s="4">
        <v>0</v>
      </c>
      <c r="AI6086" s="4">
        <v>51</v>
      </c>
      <c r="AJ6086" s="4">
        <v>0</v>
      </c>
      <c r="AK6086" s="4">
        <v>5</v>
      </c>
      <c r="AL6086" s="4">
        <v>0</v>
      </c>
      <c r="AM6086" s="4">
        <v>32</v>
      </c>
      <c r="AN6086" s="4">
        <v>0</v>
      </c>
      <c r="AO6086" s="4">
        <v>0</v>
      </c>
      <c r="AP6086" s="4">
        <v>0</v>
      </c>
      <c r="AQ6086" s="4">
        <v>10</v>
      </c>
      <c r="AR6086" s="3" t="s">
        <v>62</v>
      </c>
      <c r="AS6086" s="3" t="s">
        <v>62</v>
      </c>
      <c r="AT6086" s="3" t="s">
        <v>62</v>
      </c>
      <c r="AV6086" s="6" t="str">
        <f t="shared" ref="AV6086:AV6111" si="115">HYPERLINK("http://mcgill.on.worldcat.org/oclc/426461906","Catalog Record")</f>
        <v>Catalog Record</v>
      </c>
      <c r="AW6086" s="6" t="str">
        <f t="shared" ref="AW6086:AW6111" si="116">HYPERLINK("http://www.worldcat.org/oclc/426461906","WorldCat Record")</f>
        <v>WorldCat Record</v>
      </c>
      <c r="AX6086" s="3" t="s">
        <v>56779</v>
      </c>
      <c r="AY6086" s="3" t="s">
        <v>56780</v>
      </c>
      <c r="AZ6086" s="3" t="s">
        <v>56781</v>
      </c>
      <c r="BA6086" s="3" t="s">
        <v>56781</v>
      </c>
      <c r="BB6086" s="3" t="s">
        <v>56782</v>
      </c>
      <c r="BC6086" s="3" t="s">
        <v>33640</v>
      </c>
      <c r="BD6086" s="3" t="s">
        <v>68</v>
      </c>
      <c r="BF6086" s="3" t="s">
        <v>56782</v>
      </c>
      <c r="BG6086" s="3" t="s">
        <v>56783</v>
      </c>
    </row>
    <row r="6087" spans="1:59" ht="87" x14ac:dyDescent="0.35">
      <c r="A6087" s="2" t="s">
        <v>89</v>
      </c>
      <c r="B6087" s="2" t="s">
        <v>42560</v>
      </c>
      <c r="C6087" s="2" t="s">
        <v>56772</v>
      </c>
      <c r="D6087" s="2" t="s">
        <v>56773</v>
      </c>
      <c r="E6087" s="2" t="s">
        <v>56774</v>
      </c>
      <c r="F6087" s="3" t="s">
        <v>54865</v>
      </c>
      <c r="G6087" s="3" t="s">
        <v>61</v>
      </c>
      <c r="I6087" s="3" t="s">
        <v>62</v>
      </c>
      <c r="J6087" s="3" t="s">
        <v>62</v>
      </c>
      <c r="K6087" s="3" t="s">
        <v>63</v>
      </c>
      <c r="M6087" s="2" t="s">
        <v>56776</v>
      </c>
      <c r="N6087" s="3" t="s">
        <v>655</v>
      </c>
      <c r="P6087" s="3" t="s">
        <v>64</v>
      </c>
      <c r="Q6087" s="2" t="s">
        <v>56777</v>
      </c>
      <c r="R6087" s="3" t="s">
        <v>13065</v>
      </c>
      <c r="S6087" s="4">
        <v>2</v>
      </c>
      <c r="T6087" s="4">
        <v>18</v>
      </c>
      <c r="U6087" s="5" t="s">
        <v>23107</v>
      </c>
      <c r="V6087" s="5" t="s">
        <v>23107</v>
      </c>
      <c r="W6087" s="5" t="s">
        <v>67</v>
      </c>
      <c r="X6087" s="5" t="s">
        <v>67</v>
      </c>
      <c r="Y6087" s="4">
        <v>4</v>
      </c>
      <c r="Z6087" s="4">
        <v>1</v>
      </c>
      <c r="AA6087" s="4">
        <v>14</v>
      </c>
      <c r="AB6087" s="4">
        <v>1</v>
      </c>
      <c r="AC6087" s="4">
        <v>1</v>
      </c>
      <c r="AD6087" s="4">
        <v>0</v>
      </c>
      <c r="AE6087" s="4">
        <v>61</v>
      </c>
      <c r="AF6087" s="4">
        <v>0</v>
      </c>
      <c r="AG6087" s="4">
        <v>0</v>
      </c>
      <c r="AH6087" s="4">
        <v>0</v>
      </c>
      <c r="AI6087" s="4">
        <v>51</v>
      </c>
      <c r="AJ6087" s="4">
        <v>0</v>
      </c>
      <c r="AK6087" s="4">
        <v>5</v>
      </c>
      <c r="AL6087" s="4">
        <v>0</v>
      </c>
      <c r="AM6087" s="4">
        <v>32</v>
      </c>
      <c r="AN6087" s="4">
        <v>0</v>
      </c>
      <c r="AO6087" s="4">
        <v>0</v>
      </c>
      <c r="AP6087" s="4">
        <v>0</v>
      </c>
      <c r="AQ6087" s="4">
        <v>10</v>
      </c>
      <c r="AR6087" s="3" t="s">
        <v>62</v>
      </c>
      <c r="AS6087" s="3" t="s">
        <v>62</v>
      </c>
      <c r="AT6087" s="3" t="s">
        <v>62</v>
      </c>
      <c r="AV6087" s="6" t="str">
        <f t="shared" si="115"/>
        <v>Catalog Record</v>
      </c>
      <c r="AW6087" s="6" t="str">
        <f t="shared" si="116"/>
        <v>WorldCat Record</v>
      </c>
      <c r="AX6087" s="3" t="s">
        <v>56779</v>
      </c>
      <c r="AY6087" s="3" t="s">
        <v>56780</v>
      </c>
      <c r="AZ6087" s="3" t="s">
        <v>56781</v>
      </c>
      <c r="BA6087" s="3" t="s">
        <v>56781</v>
      </c>
      <c r="BB6087" s="3" t="s">
        <v>56784</v>
      </c>
      <c r="BC6087" s="3" t="s">
        <v>33640</v>
      </c>
      <c r="BD6087" s="3" t="s">
        <v>68</v>
      </c>
      <c r="BF6087" s="3" t="s">
        <v>56784</v>
      </c>
      <c r="BG6087" s="3" t="s">
        <v>56785</v>
      </c>
    </row>
    <row r="6088" spans="1:59" ht="87" x14ac:dyDescent="0.35">
      <c r="A6088" s="2" t="s">
        <v>89</v>
      </c>
      <c r="B6088" s="2" t="s">
        <v>42560</v>
      </c>
      <c r="C6088" s="2" t="s">
        <v>56772</v>
      </c>
      <c r="D6088" s="2" t="s">
        <v>56773</v>
      </c>
      <c r="E6088" s="2" t="s">
        <v>56774</v>
      </c>
      <c r="F6088" s="3" t="s">
        <v>54859</v>
      </c>
      <c r="G6088" s="3" t="s">
        <v>61</v>
      </c>
      <c r="I6088" s="3" t="s">
        <v>62</v>
      </c>
      <c r="J6088" s="3" t="s">
        <v>62</v>
      </c>
      <c r="K6088" s="3" t="s">
        <v>63</v>
      </c>
      <c r="M6088" s="2" t="s">
        <v>56776</v>
      </c>
      <c r="N6088" s="3" t="s">
        <v>655</v>
      </c>
      <c r="P6088" s="3" t="s">
        <v>64</v>
      </c>
      <c r="Q6088" s="2" t="s">
        <v>56777</v>
      </c>
      <c r="R6088" s="3" t="s">
        <v>13065</v>
      </c>
      <c r="S6088" s="4">
        <v>2</v>
      </c>
      <c r="T6088" s="4">
        <v>18</v>
      </c>
      <c r="U6088" s="5" t="s">
        <v>23107</v>
      </c>
      <c r="V6088" s="5" t="s">
        <v>23107</v>
      </c>
      <c r="W6088" s="5" t="s">
        <v>67</v>
      </c>
      <c r="X6088" s="5" t="s">
        <v>67</v>
      </c>
      <c r="Y6088" s="4">
        <v>4</v>
      </c>
      <c r="Z6088" s="4">
        <v>1</v>
      </c>
      <c r="AA6088" s="4">
        <v>14</v>
      </c>
      <c r="AB6088" s="4">
        <v>1</v>
      </c>
      <c r="AC6088" s="4">
        <v>1</v>
      </c>
      <c r="AD6088" s="4">
        <v>0</v>
      </c>
      <c r="AE6088" s="4">
        <v>61</v>
      </c>
      <c r="AF6088" s="4">
        <v>0</v>
      </c>
      <c r="AG6088" s="4">
        <v>0</v>
      </c>
      <c r="AH6088" s="4">
        <v>0</v>
      </c>
      <c r="AI6088" s="4">
        <v>51</v>
      </c>
      <c r="AJ6088" s="4">
        <v>0</v>
      </c>
      <c r="AK6088" s="4">
        <v>5</v>
      </c>
      <c r="AL6088" s="4">
        <v>0</v>
      </c>
      <c r="AM6088" s="4">
        <v>32</v>
      </c>
      <c r="AN6088" s="4">
        <v>0</v>
      </c>
      <c r="AO6088" s="4">
        <v>0</v>
      </c>
      <c r="AP6088" s="4">
        <v>0</v>
      </c>
      <c r="AQ6088" s="4">
        <v>10</v>
      </c>
      <c r="AR6088" s="3" t="s">
        <v>62</v>
      </c>
      <c r="AS6088" s="3" t="s">
        <v>62</v>
      </c>
      <c r="AT6088" s="3" t="s">
        <v>62</v>
      </c>
      <c r="AV6088" s="6" t="str">
        <f t="shared" si="115"/>
        <v>Catalog Record</v>
      </c>
      <c r="AW6088" s="6" t="str">
        <f t="shared" si="116"/>
        <v>WorldCat Record</v>
      </c>
      <c r="AX6088" s="3" t="s">
        <v>56779</v>
      </c>
      <c r="AY6088" s="3" t="s">
        <v>56780</v>
      </c>
      <c r="AZ6088" s="3" t="s">
        <v>56781</v>
      </c>
      <c r="BA6088" s="3" t="s">
        <v>56781</v>
      </c>
      <c r="BB6088" s="3" t="s">
        <v>56786</v>
      </c>
      <c r="BC6088" s="3" t="s">
        <v>33640</v>
      </c>
      <c r="BD6088" s="3" t="s">
        <v>68</v>
      </c>
      <c r="BF6088" s="3" t="s">
        <v>56786</v>
      </c>
      <c r="BG6088" s="3" t="s">
        <v>56787</v>
      </c>
    </row>
    <row r="6089" spans="1:59" ht="87" x14ac:dyDescent="0.35">
      <c r="A6089" s="2" t="s">
        <v>89</v>
      </c>
      <c r="B6089" s="2" t="s">
        <v>42560</v>
      </c>
      <c r="C6089" s="2" t="s">
        <v>56772</v>
      </c>
      <c r="D6089" s="2" t="s">
        <v>56773</v>
      </c>
      <c r="E6089" s="2" t="s">
        <v>56774</v>
      </c>
      <c r="F6089" s="3" t="s">
        <v>56788</v>
      </c>
      <c r="G6089" s="3" t="s">
        <v>61</v>
      </c>
      <c r="I6089" s="3" t="s">
        <v>62</v>
      </c>
      <c r="J6089" s="3" t="s">
        <v>62</v>
      </c>
      <c r="K6089" s="3" t="s">
        <v>63</v>
      </c>
      <c r="M6089" s="2" t="s">
        <v>56776</v>
      </c>
      <c r="N6089" s="3" t="s">
        <v>655</v>
      </c>
      <c r="P6089" s="3" t="s">
        <v>64</v>
      </c>
      <c r="Q6089" s="2" t="s">
        <v>56777</v>
      </c>
      <c r="R6089" s="3" t="s">
        <v>13065</v>
      </c>
      <c r="S6089" s="4">
        <v>0</v>
      </c>
      <c r="T6089" s="4">
        <v>18</v>
      </c>
      <c r="V6089" s="5" t="s">
        <v>23107</v>
      </c>
      <c r="W6089" s="5" t="s">
        <v>67</v>
      </c>
      <c r="X6089" s="5" t="s">
        <v>67</v>
      </c>
      <c r="Y6089" s="4">
        <v>4</v>
      </c>
      <c r="Z6089" s="4">
        <v>1</v>
      </c>
      <c r="AA6089" s="4">
        <v>14</v>
      </c>
      <c r="AB6089" s="4">
        <v>1</v>
      </c>
      <c r="AC6089" s="4">
        <v>1</v>
      </c>
      <c r="AD6089" s="4">
        <v>0</v>
      </c>
      <c r="AE6089" s="4">
        <v>61</v>
      </c>
      <c r="AF6089" s="4">
        <v>0</v>
      </c>
      <c r="AG6089" s="4">
        <v>0</v>
      </c>
      <c r="AH6089" s="4">
        <v>0</v>
      </c>
      <c r="AI6089" s="4">
        <v>51</v>
      </c>
      <c r="AJ6089" s="4">
        <v>0</v>
      </c>
      <c r="AK6089" s="4">
        <v>5</v>
      </c>
      <c r="AL6089" s="4">
        <v>0</v>
      </c>
      <c r="AM6089" s="4">
        <v>32</v>
      </c>
      <c r="AN6089" s="4">
        <v>0</v>
      </c>
      <c r="AO6089" s="4">
        <v>0</v>
      </c>
      <c r="AP6089" s="4">
        <v>0</v>
      </c>
      <c r="AQ6089" s="4">
        <v>10</v>
      </c>
      <c r="AR6089" s="3" t="s">
        <v>62</v>
      </c>
      <c r="AS6089" s="3" t="s">
        <v>62</v>
      </c>
      <c r="AT6089" s="3" t="s">
        <v>62</v>
      </c>
      <c r="AV6089" s="6" t="str">
        <f t="shared" si="115"/>
        <v>Catalog Record</v>
      </c>
      <c r="AW6089" s="6" t="str">
        <f t="shared" si="116"/>
        <v>WorldCat Record</v>
      </c>
      <c r="AX6089" s="3" t="s">
        <v>56779</v>
      </c>
      <c r="AY6089" s="3" t="s">
        <v>56780</v>
      </c>
      <c r="AZ6089" s="3" t="s">
        <v>56781</v>
      </c>
      <c r="BA6089" s="3" t="s">
        <v>56781</v>
      </c>
      <c r="BB6089" s="3" t="s">
        <v>56789</v>
      </c>
      <c r="BC6089" s="3" t="s">
        <v>33640</v>
      </c>
      <c r="BD6089" s="3" t="s">
        <v>68</v>
      </c>
      <c r="BF6089" s="3" t="s">
        <v>56789</v>
      </c>
      <c r="BG6089" s="3" t="s">
        <v>56790</v>
      </c>
    </row>
    <row r="6090" spans="1:59" ht="87" x14ac:dyDescent="0.35">
      <c r="A6090" s="2" t="s">
        <v>89</v>
      </c>
      <c r="B6090" s="2" t="s">
        <v>42560</v>
      </c>
      <c r="C6090" s="2" t="s">
        <v>56772</v>
      </c>
      <c r="D6090" s="2" t="s">
        <v>56773</v>
      </c>
      <c r="E6090" s="2" t="s">
        <v>56774</v>
      </c>
      <c r="F6090" s="3" t="s">
        <v>54851</v>
      </c>
      <c r="G6090" s="3" t="s">
        <v>61</v>
      </c>
      <c r="I6090" s="3" t="s">
        <v>62</v>
      </c>
      <c r="J6090" s="3" t="s">
        <v>62</v>
      </c>
      <c r="K6090" s="3" t="s">
        <v>63</v>
      </c>
      <c r="M6090" s="2" t="s">
        <v>56776</v>
      </c>
      <c r="N6090" s="3" t="s">
        <v>655</v>
      </c>
      <c r="P6090" s="3" t="s">
        <v>64</v>
      </c>
      <c r="Q6090" s="2" t="s">
        <v>56777</v>
      </c>
      <c r="R6090" s="3" t="s">
        <v>13065</v>
      </c>
      <c r="S6090" s="4">
        <v>1</v>
      </c>
      <c r="T6090" s="4">
        <v>18</v>
      </c>
      <c r="U6090" s="5" t="s">
        <v>854</v>
      </c>
      <c r="V6090" s="5" t="s">
        <v>23107</v>
      </c>
      <c r="W6090" s="5" t="s">
        <v>67</v>
      </c>
      <c r="X6090" s="5" t="s">
        <v>67</v>
      </c>
      <c r="Y6090" s="4">
        <v>4</v>
      </c>
      <c r="Z6090" s="4">
        <v>1</v>
      </c>
      <c r="AA6090" s="4">
        <v>14</v>
      </c>
      <c r="AB6090" s="4">
        <v>1</v>
      </c>
      <c r="AC6090" s="4">
        <v>1</v>
      </c>
      <c r="AD6090" s="4">
        <v>0</v>
      </c>
      <c r="AE6090" s="4">
        <v>61</v>
      </c>
      <c r="AF6090" s="4">
        <v>0</v>
      </c>
      <c r="AG6090" s="4">
        <v>0</v>
      </c>
      <c r="AH6090" s="4">
        <v>0</v>
      </c>
      <c r="AI6090" s="4">
        <v>51</v>
      </c>
      <c r="AJ6090" s="4">
        <v>0</v>
      </c>
      <c r="AK6090" s="4">
        <v>5</v>
      </c>
      <c r="AL6090" s="4">
        <v>0</v>
      </c>
      <c r="AM6090" s="4">
        <v>32</v>
      </c>
      <c r="AN6090" s="4">
        <v>0</v>
      </c>
      <c r="AO6090" s="4">
        <v>0</v>
      </c>
      <c r="AP6090" s="4">
        <v>0</v>
      </c>
      <c r="AQ6090" s="4">
        <v>10</v>
      </c>
      <c r="AR6090" s="3" t="s">
        <v>62</v>
      </c>
      <c r="AS6090" s="3" t="s">
        <v>62</v>
      </c>
      <c r="AT6090" s="3" t="s">
        <v>62</v>
      </c>
      <c r="AV6090" s="6" t="str">
        <f t="shared" si="115"/>
        <v>Catalog Record</v>
      </c>
      <c r="AW6090" s="6" t="str">
        <f t="shared" si="116"/>
        <v>WorldCat Record</v>
      </c>
      <c r="AX6090" s="3" t="s">
        <v>56779</v>
      </c>
      <c r="AY6090" s="3" t="s">
        <v>56780</v>
      </c>
      <c r="AZ6090" s="3" t="s">
        <v>56781</v>
      </c>
      <c r="BA6090" s="3" t="s">
        <v>56781</v>
      </c>
      <c r="BB6090" s="3" t="s">
        <v>56791</v>
      </c>
      <c r="BC6090" s="3" t="s">
        <v>33640</v>
      </c>
      <c r="BD6090" s="3" t="s">
        <v>68</v>
      </c>
      <c r="BF6090" s="3" t="s">
        <v>56791</v>
      </c>
      <c r="BG6090" s="3" t="s">
        <v>56792</v>
      </c>
    </row>
    <row r="6091" spans="1:59" ht="87" x14ac:dyDescent="0.35">
      <c r="A6091" s="2" t="s">
        <v>89</v>
      </c>
      <c r="B6091" s="2" t="s">
        <v>42560</v>
      </c>
      <c r="C6091" s="2" t="s">
        <v>56772</v>
      </c>
      <c r="D6091" s="2" t="s">
        <v>56773</v>
      </c>
      <c r="E6091" s="2" t="s">
        <v>56774</v>
      </c>
      <c r="F6091" s="3" t="s">
        <v>56793</v>
      </c>
      <c r="G6091" s="3" t="s">
        <v>61</v>
      </c>
      <c r="I6091" s="3" t="s">
        <v>62</v>
      </c>
      <c r="J6091" s="3" t="s">
        <v>62</v>
      </c>
      <c r="K6091" s="3" t="s">
        <v>63</v>
      </c>
      <c r="M6091" s="2" t="s">
        <v>56776</v>
      </c>
      <c r="N6091" s="3" t="s">
        <v>655</v>
      </c>
      <c r="P6091" s="3" t="s">
        <v>64</v>
      </c>
      <c r="Q6091" s="2" t="s">
        <v>56777</v>
      </c>
      <c r="R6091" s="3" t="s">
        <v>13065</v>
      </c>
      <c r="S6091" s="4">
        <v>0</v>
      </c>
      <c r="T6091" s="4">
        <v>18</v>
      </c>
      <c r="V6091" s="5" t="s">
        <v>23107</v>
      </c>
      <c r="W6091" s="5" t="s">
        <v>67</v>
      </c>
      <c r="X6091" s="5" t="s">
        <v>67</v>
      </c>
      <c r="Y6091" s="4">
        <v>4</v>
      </c>
      <c r="Z6091" s="4">
        <v>1</v>
      </c>
      <c r="AA6091" s="4">
        <v>14</v>
      </c>
      <c r="AB6091" s="4">
        <v>1</v>
      </c>
      <c r="AC6091" s="4">
        <v>1</v>
      </c>
      <c r="AD6091" s="4">
        <v>0</v>
      </c>
      <c r="AE6091" s="4">
        <v>61</v>
      </c>
      <c r="AF6091" s="4">
        <v>0</v>
      </c>
      <c r="AG6091" s="4">
        <v>0</v>
      </c>
      <c r="AH6091" s="4">
        <v>0</v>
      </c>
      <c r="AI6091" s="4">
        <v>51</v>
      </c>
      <c r="AJ6091" s="4">
        <v>0</v>
      </c>
      <c r="AK6091" s="4">
        <v>5</v>
      </c>
      <c r="AL6091" s="4">
        <v>0</v>
      </c>
      <c r="AM6091" s="4">
        <v>32</v>
      </c>
      <c r="AN6091" s="4">
        <v>0</v>
      </c>
      <c r="AO6091" s="4">
        <v>0</v>
      </c>
      <c r="AP6091" s="4">
        <v>0</v>
      </c>
      <c r="AQ6091" s="4">
        <v>10</v>
      </c>
      <c r="AR6091" s="3" t="s">
        <v>62</v>
      </c>
      <c r="AS6091" s="3" t="s">
        <v>62</v>
      </c>
      <c r="AT6091" s="3" t="s">
        <v>62</v>
      </c>
      <c r="AV6091" s="6" t="str">
        <f t="shared" si="115"/>
        <v>Catalog Record</v>
      </c>
      <c r="AW6091" s="6" t="str">
        <f t="shared" si="116"/>
        <v>WorldCat Record</v>
      </c>
      <c r="AX6091" s="3" t="s">
        <v>56779</v>
      </c>
      <c r="AY6091" s="3" t="s">
        <v>56780</v>
      </c>
      <c r="AZ6091" s="3" t="s">
        <v>56781</v>
      </c>
      <c r="BA6091" s="3" t="s">
        <v>56781</v>
      </c>
      <c r="BB6091" s="3" t="s">
        <v>56794</v>
      </c>
      <c r="BC6091" s="3" t="s">
        <v>33640</v>
      </c>
      <c r="BD6091" s="3" t="s">
        <v>68</v>
      </c>
      <c r="BF6091" s="3" t="s">
        <v>56794</v>
      </c>
      <c r="BG6091" s="3" t="s">
        <v>56795</v>
      </c>
    </row>
    <row r="6092" spans="1:59" ht="87" x14ac:dyDescent="0.35">
      <c r="A6092" s="2" t="s">
        <v>89</v>
      </c>
      <c r="B6092" s="2" t="s">
        <v>42560</v>
      </c>
      <c r="C6092" s="2" t="s">
        <v>56772</v>
      </c>
      <c r="D6092" s="2" t="s">
        <v>56773</v>
      </c>
      <c r="E6092" s="2" t="s">
        <v>56774</v>
      </c>
      <c r="F6092" s="3" t="s">
        <v>56796</v>
      </c>
      <c r="G6092" s="3" t="s">
        <v>61</v>
      </c>
      <c r="I6092" s="3" t="s">
        <v>62</v>
      </c>
      <c r="J6092" s="3" t="s">
        <v>62</v>
      </c>
      <c r="K6092" s="3" t="s">
        <v>63</v>
      </c>
      <c r="M6092" s="2" t="s">
        <v>56776</v>
      </c>
      <c r="N6092" s="3" t="s">
        <v>655</v>
      </c>
      <c r="P6092" s="3" t="s">
        <v>64</v>
      </c>
      <c r="Q6092" s="2" t="s">
        <v>56777</v>
      </c>
      <c r="R6092" s="3" t="s">
        <v>13065</v>
      </c>
      <c r="S6092" s="4">
        <v>0</v>
      </c>
      <c r="T6092" s="4">
        <v>18</v>
      </c>
      <c r="V6092" s="5" t="s">
        <v>23107</v>
      </c>
      <c r="W6092" s="5" t="s">
        <v>67</v>
      </c>
      <c r="X6092" s="5" t="s">
        <v>67</v>
      </c>
      <c r="Y6092" s="4">
        <v>4</v>
      </c>
      <c r="Z6092" s="4">
        <v>1</v>
      </c>
      <c r="AA6092" s="4">
        <v>14</v>
      </c>
      <c r="AB6092" s="4">
        <v>1</v>
      </c>
      <c r="AC6092" s="4">
        <v>1</v>
      </c>
      <c r="AD6092" s="4">
        <v>0</v>
      </c>
      <c r="AE6092" s="4">
        <v>61</v>
      </c>
      <c r="AF6092" s="4">
        <v>0</v>
      </c>
      <c r="AG6092" s="4">
        <v>0</v>
      </c>
      <c r="AH6092" s="4">
        <v>0</v>
      </c>
      <c r="AI6092" s="4">
        <v>51</v>
      </c>
      <c r="AJ6092" s="4">
        <v>0</v>
      </c>
      <c r="AK6092" s="4">
        <v>5</v>
      </c>
      <c r="AL6092" s="4">
        <v>0</v>
      </c>
      <c r="AM6092" s="4">
        <v>32</v>
      </c>
      <c r="AN6092" s="4">
        <v>0</v>
      </c>
      <c r="AO6092" s="4">
        <v>0</v>
      </c>
      <c r="AP6092" s="4">
        <v>0</v>
      </c>
      <c r="AQ6092" s="4">
        <v>10</v>
      </c>
      <c r="AR6092" s="3" t="s">
        <v>62</v>
      </c>
      <c r="AS6092" s="3" t="s">
        <v>62</v>
      </c>
      <c r="AT6092" s="3" t="s">
        <v>62</v>
      </c>
      <c r="AV6092" s="6" t="str">
        <f t="shared" si="115"/>
        <v>Catalog Record</v>
      </c>
      <c r="AW6092" s="6" t="str">
        <f t="shared" si="116"/>
        <v>WorldCat Record</v>
      </c>
      <c r="AX6092" s="3" t="s">
        <v>56779</v>
      </c>
      <c r="AY6092" s="3" t="s">
        <v>56780</v>
      </c>
      <c r="AZ6092" s="3" t="s">
        <v>56781</v>
      </c>
      <c r="BA6092" s="3" t="s">
        <v>56781</v>
      </c>
      <c r="BB6092" s="3" t="s">
        <v>56797</v>
      </c>
      <c r="BC6092" s="3" t="s">
        <v>33640</v>
      </c>
      <c r="BD6092" s="3" t="s">
        <v>68</v>
      </c>
      <c r="BF6092" s="3" t="s">
        <v>56797</v>
      </c>
      <c r="BG6092" s="3" t="s">
        <v>56798</v>
      </c>
    </row>
    <row r="6093" spans="1:59" ht="87" x14ac:dyDescent="0.35">
      <c r="A6093" s="2" t="s">
        <v>89</v>
      </c>
      <c r="B6093" s="2" t="s">
        <v>42560</v>
      </c>
      <c r="C6093" s="2" t="s">
        <v>56772</v>
      </c>
      <c r="D6093" s="2" t="s">
        <v>56773</v>
      </c>
      <c r="E6093" s="2" t="s">
        <v>56774</v>
      </c>
      <c r="F6093" s="3" t="s">
        <v>56799</v>
      </c>
      <c r="G6093" s="3" t="s">
        <v>61</v>
      </c>
      <c r="I6093" s="3" t="s">
        <v>62</v>
      </c>
      <c r="J6093" s="3" t="s">
        <v>62</v>
      </c>
      <c r="K6093" s="3" t="s">
        <v>63</v>
      </c>
      <c r="M6093" s="2" t="s">
        <v>56776</v>
      </c>
      <c r="N6093" s="3" t="s">
        <v>655</v>
      </c>
      <c r="P6093" s="3" t="s">
        <v>64</v>
      </c>
      <c r="Q6093" s="2" t="s">
        <v>56777</v>
      </c>
      <c r="R6093" s="3" t="s">
        <v>13065</v>
      </c>
      <c r="S6093" s="4">
        <v>0</v>
      </c>
      <c r="T6093" s="4">
        <v>18</v>
      </c>
      <c r="V6093" s="5" t="s">
        <v>23107</v>
      </c>
      <c r="W6093" s="5" t="s">
        <v>67</v>
      </c>
      <c r="X6093" s="5" t="s">
        <v>67</v>
      </c>
      <c r="Y6093" s="4">
        <v>4</v>
      </c>
      <c r="Z6093" s="4">
        <v>1</v>
      </c>
      <c r="AA6093" s="4">
        <v>14</v>
      </c>
      <c r="AB6093" s="4">
        <v>1</v>
      </c>
      <c r="AC6093" s="4">
        <v>1</v>
      </c>
      <c r="AD6093" s="4">
        <v>0</v>
      </c>
      <c r="AE6093" s="4">
        <v>61</v>
      </c>
      <c r="AF6093" s="4">
        <v>0</v>
      </c>
      <c r="AG6093" s="4">
        <v>0</v>
      </c>
      <c r="AH6093" s="4">
        <v>0</v>
      </c>
      <c r="AI6093" s="4">
        <v>51</v>
      </c>
      <c r="AJ6093" s="4">
        <v>0</v>
      </c>
      <c r="AK6093" s="4">
        <v>5</v>
      </c>
      <c r="AL6093" s="4">
        <v>0</v>
      </c>
      <c r="AM6093" s="4">
        <v>32</v>
      </c>
      <c r="AN6093" s="4">
        <v>0</v>
      </c>
      <c r="AO6093" s="4">
        <v>0</v>
      </c>
      <c r="AP6093" s="4">
        <v>0</v>
      </c>
      <c r="AQ6093" s="4">
        <v>10</v>
      </c>
      <c r="AR6093" s="3" t="s">
        <v>62</v>
      </c>
      <c r="AS6093" s="3" t="s">
        <v>62</v>
      </c>
      <c r="AT6093" s="3" t="s">
        <v>62</v>
      </c>
      <c r="AV6093" s="6" t="str">
        <f t="shared" si="115"/>
        <v>Catalog Record</v>
      </c>
      <c r="AW6093" s="6" t="str">
        <f t="shared" si="116"/>
        <v>WorldCat Record</v>
      </c>
      <c r="AX6093" s="3" t="s">
        <v>56779</v>
      </c>
      <c r="AY6093" s="3" t="s">
        <v>56780</v>
      </c>
      <c r="AZ6093" s="3" t="s">
        <v>56781</v>
      </c>
      <c r="BA6093" s="3" t="s">
        <v>56781</v>
      </c>
      <c r="BB6093" s="3" t="s">
        <v>56800</v>
      </c>
      <c r="BC6093" s="3" t="s">
        <v>33640</v>
      </c>
      <c r="BD6093" s="3" t="s">
        <v>68</v>
      </c>
      <c r="BF6093" s="3" t="s">
        <v>56800</v>
      </c>
      <c r="BG6093" s="3" t="s">
        <v>56801</v>
      </c>
    </row>
    <row r="6094" spans="1:59" ht="87" x14ac:dyDescent="0.35">
      <c r="A6094" s="2" t="s">
        <v>89</v>
      </c>
      <c r="B6094" s="2" t="s">
        <v>42560</v>
      </c>
      <c r="C6094" s="2" t="s">
        <v>56772</v>
      </c>
      <c r="D6094" s="2" t="s">
        <v>56773</v>
      </c>
      <c r="E6094" s="2" t="s">
        <v>56774</v>
      </c>
      <c r="F6094" s="3" t="s">
        <v>56802</v>
      </c>
      <c r="G6094" s="3" t="s">
        <v>61</v>
      </c>
      <c r="I6094" s="3" t="s">
        <v>62</v>
      </c>
      <c r="J6094" s="3" t="s">
        <v>62</v>
      </c>
      <c r="K6094" s="3" t="s">
        <v>63</v>
      </c>
      <c r="M6094" s="2" t="s">
        <v>56776</v>
      </c>
      <c r="N6094" s="3" t="s">
        <v>655</v>
      </c>
      <c r="P6094" s="3" t="s">
        <v>64</v>
      </c>
      <c r="Q6094" s="2" t="s">
        <v>56777</v>
      </c>
      <c r="R6094" s="3" t="s">
        <v>13065</v>
      </c>
      <c r="S6094" s="4">
        <v>1</v>
      </c>
      <c r="T6094" s="4">
        <v>18</v>
      </c>
      <c r="U6094" s="5" t="s">
        <v>23107</v>
      </c>
      <c r="V6094" s="5" t="s">
        <v>23107</v>
      </c>
      <c r="W6094" s="5" t="s">
        <v>67</v>
      </c>
      <c r="X6094" s="5" t="s">
        <v>67</v>
      </c>
      <c r="Y6094" s="4">
        <v>4</v>
      </c>
      <c r="Z6094" s="4">
        <v>1</v>
      </c>
      <c r="AA6094" s="4">
        <v>14</v>
      </c>
      <c r="AB6094" s="4">
        <v>1</v>
      </c>
      <c r="AC6094" s="4">
        <v>1</v>
      </c>
      <c r="AD6094" s="4">
        <v>0</v>
      </c>
      <c r="AE6094" s="4">
        <v>61</v>
      </c>
      <c r="AF6094" s="4">
        <v>0</v>
      </c>
      <c r="AG6094" s="4">
        <v>0</v>
      </c>
      <c r="AH6094" s="4">
        <v>0</v>
      </c>
      <c r="AI6094" s="4">
        <v>51</v>
      </c>
      <c r="AJ6094" s="4">
        <v>0</v>
      </c>
      <c r="AK6094" s="4">
        <v>5</v>
      </c>
      <c r="AL6094" s="4">
        <v>0</v>
      </c>
      <c r="AM6094" s="4">
        <v>32</v>
      </c>
      <c r="AN6094" s="4">
        <v>0</v>
      </c>
      <c r="AO6094" s="4">
        <v>0</v>
      </c>
      <c r="AP6094" s="4">
        <v>0</v>
      </c>
      <c r="AQ6094" s="4">
        <v>10</v>
      </c>
      <c r="AR6094" s="3" t="s">
        <v>62</v>
      </c>
      <c r="AS6094" s="3" t="s">
        <v>62</v>
      </c>
      <c r="AT6094" s="3" t="s">
        <v>62</v>
      </c>
      <c r="AV6094" s="6" t="str">
        <f t="shared" si="115"/>
        <v>Catalog Record</v>
      </c>
      <c r="AW6094" s="6" t="str">
        <f t="shared" si="116"/>
        <v>WorldCat Record</v>
      </c>
      <c r="AX6094" s="3" t="s">
        <v>56779</v>
      </c>
      <c r="AY6094" s="3" t="s">
        <v>56780</v>
      </c>
      <c r="AZ6094" s="3" t="s">
        <v>56781</v>
      </c>
      <c r="BA6094" s="3" t="s">
        <v>56781</v>
      </c>
      <c r="BB6094" s="3" t="s">
        <v>56803</v>
      </c>
      <c r="BC6094" s="3" t="s">
        <v>33640</v>
      </c>
      <c r="BD6094" s="3" t="s">
        <v>68</v>
      </c>
      <c r="BF6094" s="3" t="s">
        <v>56803</v>
      </c>
      <c r="BG6094" s="3" t="s">
        <v>56804</v>
      </c>
    </row>
    <row r="6095" spans="1:59" ht="87" x14ac:dyDescent="0.35">
      <c r="A6095" s="2" t="s">
        <v>89</v>
      </c>
      <c r="B6095" s="2" t="s">
        <v>42560</v>
      </c>
      <c r="C6095" s="2" t="s">
        <v>56772</v>
      </c>
      <c r="D6095" s="2" t="s">
        <v>56773</v>
      </c>
      <c r="E6095" s="2" t="s">
        <v>56774</v>
      </c>
      <c r="F6095" s="3" t="s">
        <v>56805</v>
      </c>
      <c r="G6095" s="3" t="s">
        <v>61</v>
      </c>
      <c r="I6095" s="3" t="s">
        <v>62</v>
      </c>
      <c r="J6095" s="3" t="s">
        <v>62</v>
      </c>
      <c r="K6095" s="3" t="s">
        <v>63</v>
      </c>
      <c r="M6095" s="2" t="s">
        <v>56776</v>
      </c>
      <c r="N6095" s="3" t="s">
        <v>655</v>
      </c>
      <c r="P6095" s="3" t="s">
        <v>64</v>
      </c>
      <c r="Q6095" s="2" t="s">
        <v>56777</v>
      </c>
      <c r="R6095" s="3" t="s">
        <v>13065</v>
      </c>
      <c r="S6095" s="4">
        <v>0</v>
      </c>
      <c r="T6095" s="4">
        <v>18</v>
      </c>
      <c r="V6095" s="5" t="s">
        <v>23107</v>
      </c>
      <c r="W6095" s="5" t="s">
        <v>67</v>
      </c>
      <c r="X6095" s="5" t="s">
        <v>67</v>
      </c>
      <c r="Y6095" s="4">
        <v>4</v>
      </c>
      <c r="Z6095" s="4">
        <v>1</v>
      </c>
      <c r="AA6095" s="4">
        <v>14</v>
      </c>
      <c r="AB6095" s="4">
        <v>1</v>
      </c>
      <c r="AC6095" s="4">
        <v>1</v>
      </c>
      <c r="AD6095" s="4">
        <v>0</v>
      </c>
      <c r="AE6095" s="4">
        <v>61</v>
      </c>
      <c r="AF6095" s="4">
        <v>0</v>
      </c>
      <c r="AG6095" s="4">
        <v>0</v>
      </c>
      <c r="AH6095" s="4">
        <v>0</v>
      </c>
      <c r="AI6095" s="4">
        <v>51</v>
      </c>
      <c r="AJ6095" s="4">
        <v>0</v>
      </c>
      <c r="AK6095" s="4">
        <v>5</v>
      </c>
      <c r="AL6095" s="4">
        <v>0</v>
      </c>
      <c r="AM6095" s="4">
        <v>32</v>
      </c>
      <c r="AN6095" s="4">
        <v>0</v>
      </c>
      <c r="AO6095" s="4">
        <v>0</v>
      </c>
      <c r="AP6095" s="4">
        <v>0</v>
      </c>
      <c r="AQ6095" s="4">
        <v>10</v>
      </c>
      <c r="AR6095" s="3" t="s">
        <v>62</v>
      </c>
      <c r="AS6095" s="3" t="s">
        <v>62</v>
      </c>
      <c r="AT6095" s="3" t="s">
        <v>62</v>
      </c>
      <c r="AV6095" s="6" t="str">
        <f t="shared" si="115"/>
        <v>Catalog Record</v>
      </c>
      <c r="AW6095" s="6" t="str">
        <f t="shared" si="116"/>
        <v>WorldCat Record</v>
      </c>
      <c r="AX6095" s="3" t="s">
        <v>56779</v>
      </c>
      <c r="AY6095" s="3" t="s">
        <v>56780</v>
      </c>
      <c r="AZ6095" s="3" t="s">
        <v>56781</v>
      </c>
      <c r="BA6095" s="3" t="s">
        <v>56781</v>
      </c>
      <c r="BB6095" s="3" t="s">
        <v>56806</v>
      </c>
      <c r="BC6095" s="3" t="s">
        <v>33640</v>
      </c>
      <c r="BD6095" s="3" t="s">
        <v>68</v>
      </c>
      <c r="BF6095" s="3" t="s">
        <v>56806</v>
      </c>
      <c r="BG6095" s="3" t="s">
        <v>56807</v>
      </c>
    </row>
    <row r="6096" spans="1:59" ht="87" x14ac:dyDescent="0.35">
      <c r="A6096" s="2" t="s">
        <v>89</v>
      </c>
      <c r="B6096" s="2" t="s">
        <v>42560</v>
      </c>
      <c r="C6096" s="2" t="s">
        <v>56772</v>
      </c>
      <c r="D6096" s="2" t="s">
        <v>56773</v>
      </c>
      <c r="E6096" s="2" t="s">
        <v>56774</v>
      </c>
      <c r="F6096" s="3" t="s">
        <v>56808</v>
      </c>
      <c r="G6096" s="3" t="s">
        <v>61</v>
      </c>
      <c r="I6096" s="3" t="s">
        <v>62</v>
      </c>
      <c r="J6096" s="3" t="s">
        <v>62</v>
      </c>
      <c r="K6096" s="3" t="s">
        <v>63</v>
      </c>
      <c r="M6096" s="2" t="s">
        <v>56776</v>
      </c>
      <c r="N6096" s="3" t="s">
        <v>655</v>
      </c>
      <c r="P6096" s="3" t="s">
        <v>64</v>
      </c>
      <c r="Q6096" s="2" t="s">
        <v>56777</v>
      </c>
      <c r="R6096" s="3" t="s">
        <v>13065</v>
      </c>
      <c r="S6096" s="4">
        <v>1</v>
      </c>
      <c r="T6096" s="4">
        <v>18</v>
      </c>
      <c r="U6096" s="5" t="s">
        <v>2496</v>
      </c>
      <c r="V6096" s="5" t="s">
        <v>23107</v>
      </c>
      <c r="W6096" s="5" t="s">
        <v>67</v>
      </c>
      <c r="X6096" s="5" t="s">
        <v>67</v>
      </c>
      <c r="Y6096" s="4">
        <v>4</v>
      </c>
      <c r="Z6096" s="4">
        <v>1</v>
      </c>
      <c r="AA6096" s="4">
        <v>14</v>
      </c>
      <c r="AB6096" s="4">
        <v>1</v>
      </c>
      <c r="AC6096" s="4">
        <v>1</v>
      </c>
      <c r="AD6096" s="4">
        <v>0</v>
      </c>
      <c r="AE6096" s="4">
        <v>61</v>
      </c>
      <c r="AF6096" s="4">
        <v>0</v>
      </c>
      <c r="AG6096" s="4">
        <v>0</v>
      </c>
      <c r="AH6096" s="4">
        <v>0</v>
      </c>
      <c r="AI6096" s="4">
        <v>51</v>
      </c>
      <c r="AJ6096" s="4">
        <v>0</v>
      </c>
      <c r="AK6096" s="4">
        <v>5</v>
      </c>
      <c r="AL6096" s="4">
        <v>0</v>
      </c>
      <c r="AM6096" s="4">
        <v>32</v>
      </c>
      <c r="AN6096" s="4">
        <v>0</v>
      </c>
      <c r="AO6096" s="4">
        <v>0</v>
      </c>
      <c r="AP6096" s="4">
        <v>0</v>
      </c>
      <c r="AQ6096" s="4">
        <v>10</v>
      </c>
      <c r="AR6096" s="3" t="s">
        <v>62</v>
      </c>
      <c r="AS6096" s="3" t="s">
        <v>62</v>
      </c>
      <c r="AT6096" s="3" t="s">
        <v>62</v>
      </c>
      <c r="AV6096" s="6" t="str">
        <f t="shared" si="115"/>
        <v>Catalog Record</v>
      </c>
      <c r="AW6096" s="6" t="str">
        <f t="shared" si="116"/>
        <v>WorldCat Record</v>
      </c>
      <c r="AX6096" s="3" t="s">
        <v>56779</v>
      </c>
      <c r="AY6096" s="3" t="s">
        <v>56780</v>
      </c>
      <c r="AZ6096" s="3" t="s">
        <v>56781</v>
      </c>
      <c r="BA6096" s="3" t="s">
        <v>56781</v>
      </c>
      <c r="BB6096" s="3" t="s">
        <v>56809</v>
      </c>
      <c r="BC6096" s="3" t="s">
        <v>33640</v>
      </c>
      <c r="BD6096" s="3" t="s">
        <v>68</v>
      </c>
      <c r="BF6096" s="3" t="s">
        <v>56809</v>
      </c>
      <c r="BG6096" s="3" t="s">
        <v>56810</v>
      </c>
    </row>
    <row r="6097" spans="1:59" ht="87" x14ac:dyDescent="0.35">
      <c r="A6097" s="2" t="s">
        <v>89</v>
      </c>
      <c r="B6097" s="2" t="s">
        <v>42560</v>
      </c>
      <c r="C6097" s="2" t="s">
        <v>56772</v>
      </c>
      <c r="D6097" s="2" t="s">
        <v>56773</v>
      </c>
      <c r="E6097" s="2" t="s">
        <v>56774</v>
      </c>
      <c r="F6097" s="3" t="s">
        <v>56811</v>
      </c>
      <c r="G6097" s="3" t="s">
        <v>61</v>
      </c>
      <c r="I6097" s="3" t="s">
        <v>62</v>
      </c>
      <c r="J6097" s="3" t="s">
        <v>62</v>
      </c>
      <c r="K6097" s="3" t="s">
        <v>63</v>
      </c>
      <c r="M6097" s="2" t="s">
        <v>56776</v>
      </c>
      <c r="N6097" s="3" t="s">
        <v>655</v>
      </c>
      <c r="P6097" s="3" t="s">
        <v>64</v>
      </c>
      <c r="Q6097" s="2" t="s">
        <v>56777</v>
      </c>
      <c r="R6097" s="3" t="s">
        <v>13065</v>
      </c>
      <c r="S6097" s="4">
        <v>0</v>
      </c>
      <c r="T6097" s="4">
        <v>18</v>
      </c>
      <c r="V6097" s="5" t="s">
        <v>23107</v>
      </c>
      <c r="W6097" s="5" t="s">
        <v>67</v>
      </c>
      <c r="X6097" s="5" t="s">
        <v>67</v>
      </c>
      <c r="Y6097" s="4">
        <v>4</v>
      </c>
      <c r="Z6097" s="4">
        <v>1</v>
      </c>
      <c r="AA6097" s="4">
        <v>14</v>
      </c>
      <c r="AB6097" s="4">
        <v>1</v>
      </c>
      <c r="AC6097" s="4">
        <v>1</v>
      </c>
      <c r="AD6097" s="4">
        <v>0</v>
      </c>
      <c r="AE6097" s="4">
        <v>61</v>
      </c>
      <c r="AF6097" s="4">
        <v>0</v>
      </c>
      <c r="AG6097" s="4">
        <v>0</v>
      </c>
      <c r="AH6097" s="4">
        <v>0</v>
      </c>
      <c r="AI6097" s="4">
        <v>51</v>
      </c>
      <c r="AJ6097" s="4">
        <v>0</v>
      </c>
      <c r="AK6097" s="4">
        <v>5</v>
      </c>
      <c r="AL6097" s="4">
        <v>0</v>
      </c>
      <c r="AM6097" s="4">
        <v>32</v>
      </c>
      <c r="AN6097" s="4">
        <v>0</v>
      </c>
      <c r="AO6097" s="4">
        <v>0</v>
      </c>
      <c r="AP6097" s="4">
        <v>0</v>
      </c>
      <c r="AQ6097" s="4">
        <v>10</v>
      </c>
      <c r="AR6097" s="3" t="s">
        <v>62</v>
      </c>
      <c r="AS6097" s="3" t="s">
        <v>62</v>
      </c>
      <c r="AT6097" s="3" t="s">
        <v>62</v>
      </c>
      <c r="AV6097" s="6" t="str">
        <f t="shared" si="115"/>
        <v>Catalog Record</v>
      </c>
      <c r="AW6097" s="6" t="str">
        <f t="shared" si="116"/>
        <v>WorldCat Record</v>
      </c>
      <c r="AX6097" s="3" t="s">
        <v>56779</v>
      </c>
      <c r="AY6097" s="3" t="s">
        <v>56780</v>
      </c>
      <c r="AZ6097" s="3" t="s">
        <v>56781</v>
      </c>
      <c r="BA6097" s="3" t="s">
        <v>56781</v>
      </c>
      <c r="BB6097" s="3" t="s">
        <v>56812</v>
      </c>
      <c r="BC6097" s="3" t="s">
        <v>33640</v>
      </c>
      <c r="BD6097" s="3" t="s">
        <v>68</v>
      </c>
      <c r="BF6097" s="3" t="s">
        <v>56812</v>
      </c>
      <c r="BG6097" s="3" t="s">
        <v>56813</v>
      </c>
    </row>
    <row r="6098" spans="1:59" ht="87" x14ac:dyDescent="0.35">
      <c r="A6098" s="2" t="s">
        <v>89</v>
      </c>
      <c r="B6098" s="2" t="s">
        <v>42560</v>
      </c>
      <c r="C6098" s="2" t="s">
        <v>56772</v>
      </c>
      <c r="D6098" s="2" t="s">
        <v>56773</v>
      </c>
      <c r="E6098" s="2" t="s">
        <v>56774</v>
      </c>
      <c r="F6098" s="3" t="s">
        <v>56814</v>
      </c>
      <c r="G6098" s="3" t="s">
        <v>61</v>
      </c>
      <c r="I6098" s="3" t="s">
        <v>62</v>
      </c>
      <c r="J6098" s="3" t="s">
        <v>62</v>
      </c>
      <c r="K6098" s="3" t="s">
        <v>63</v>
      </c>
      <c r="M6098" s="2" t="s">
        <v>56776</v>
      </c>
      <c r="N6098" s="3" t="s">
        <v>655</v>
      </c>
      <c r="P6098" s="3" t="s">
        <v>64</v>
      </c>
      <c r="Q6098" s="2" t="s">
        <v>56777</v>
      </c>
      <c r="R6098" s="3" t="s">
        <v>13065</v>
      </c>
      <c r="S6098" s="4">
        <v>1</v>
      </c>
      <c r="T6098" s="4">
        <v>18</v>
      </c>
      <c r="U6098" s="5" t="s">
        <v>2496</v>
      </c>
      <c r="V6098" s="5" t="s">
        <v>23107</v>
      </c>
      <c r="W6098" s="5" t="s">
        <v>67</v>
      </c>
      <c r="X6098" s="5" t="s">
        <v>67</v>
      </c>
      <c r="Y6098" s="4">
        <v>4</v>
      </c>
      <c r="Z6098" s="4">
        <v>1</v>
      </c>
      <c r="AA6098" s="4">
        <v>14</v>
      </c>
      <c r="AB6098" s="4">
        <v>1</v>
      </c>
      <c r="AC6098" s="4">
        <v>1</v>
      </c>
      <c r="AD6098" s="4">
        <v>0</v>
      </c>
      <c r="AE6098" s="4">
        <v>61</v>
      </c>
      <c r="AF6098" s="4">
        <v>0</v>
      </c>
      <c r="AG6098" s="4">
        <v>0</v>
      </c>
      <c r="AH6098" s="4">
        <v>0</v>
      </c>
      <c r="AI6098" s="4">
        <v>51</v>
      </c>
      <c r="AJ6098" s="4">
        <v>0</v>
      </c>
      <c r="AK6098" s="4">
        <v>5</v>
      </c>
      <c r="AL6098" s="4">
        <v>0</v>
      </c>
      <c r="AM6098" s="4">
        <v>32</v>
      </c>
      <c r="AN6098" s="4">
        <v>0</v>
      </c>
      <c r="AO6098" s="4">
        <v>0</v>
      </c>
      <c r="AP6098" s="4">
        <v>0</v>
      </c>
      <c r="AQ6098" s="4">
        <v>10</v>
      </c>
      <c r="AR6098" s="3" t="s">
        <v>62</v>
      </c>
      <c r="AS6098" s="3" t="s">
        <v>62</v>
      </c>
      <c r="AT6098" s="3" t="s">
        <v>62</v>
      </c>
      <c r="AV6098" s="6" t="str">
        <f t="shared" si="115"/>
        <v>Catalog Record</v>
      </c>
      <c r="AW6098" s="6" t="str">
        <f t="shared" si="116"/>
        <v>WorldCat Record</v>
      </c>
      <c r="AX6098" s="3" t="s">
        <v>56779</v>
      </c>
      <c r="AY6098" s="3" t="s">
        <v>56780</v>
      </c>
      <c r="AZ6098" s="3" t="s">
        <v>56781</v>
      </c>
      <c r="BA6098" s="3" t="s">
        <v>56781</v>
      </c>
      <c r="BB6098" s="3" t="s">
        <v>56815</v>
      </c>
      <c r="BC6098" s="3" t="s">
        <v>33640</v>
      </c>
      <c r="BD6098" s="3" t="s">
        <v>68</v>
      </c>
      <c r="BF6098" s="3" t="s">
        <v>56815</v>
      </c>
      <c r="BG6098" s="3" t="s">
        <v>56816</v>
      </c>
    </row>
    <row r="6099" spans="1:59" ht="87" x14ac:dyDescent="0.35">
      <c r="A6099" s="2" t="s">
        <v>89</v>
      </c>
      <c r="B6099" s="2" t="s">
        <v>42560</v>
      </c>
      <c r="C6099" s="2" t="s">
        <v>56772</v>
      </c>
      <c r="D6099" s="2" t="s">
        <v>56773</v>
      </c>
      <c r="E6099" s="2" t="s">
        <v>56774</v>
      </c>
      <c r="F6099" s="3" t="s">
        <v>56817</v>
      </c>
      <c r="G6099" s="3" t="s">
        <v>61</v>
      </c>
      <c r="I6099" s="3" t="s">
        <v>62</v>
      </c>
      <c r="J6099" s="3" t="s">
        <v>62</v>
      </c>
      <c r="K6099" s="3" t="s">
        <v>63</v>
      </c>
      <c r="M6099" s="2" t="s">
        <v>56776</v>
      </c>
      <c r="N6099" s="3" t="s">
        <v>655</v>
      </c>
      <c r="P6099" s="3" t="s">
        <v>64</v>
      </c>
      <c r="Q6099" s="2" t="s">
        <v>56777</v>
      </c>
      <c r="R6099" s="3" t="s">
        <v>13065</v>
      </c>
      <c r="S6099" s="4">
        <v>0</v>
      </c>
      <c r="T6099" s="4">
        <v>18</v>
      </c>
      <c r="V6099" s="5" t="s">
        <v>23107</v>
      </c>
      <c r="W6099" s="5" t="s">
        <v>67</v>
      </c>
      <c r="X6099" s="5" t="s">
        <v>67</v>
      </c>
      <c r="Y6099" s="4">
        <v>4</v>
      </c>
      <c r="Z6099" s="4">
        <v>1</v>
      </c>
      <c r="AA6099" s="4">
        <v>14</v>
      </c>
      <c r="AB6099" s="4">
        <v>1</v>
      </c>
      <c r="AC6099" s="4">
        <v>1</v>
      </c>
      <c r="AD6099" s="4">
        <v>0</v>
      </c>
      <c r="AE6099" s="4">
        <v>61</v>
      </c>
      <c r="AF6099" s="4">
        <v>0</v>
      </c>
      <c r="AG6099" s="4">
        <v>0</v>
      </c>
      <c r="AH6099" s="4">
        <v>0</v>
      </c>
      <c r="AI6099" s="4">
        <v>51</v>
      </c>
      <c r="AJ6099" s="4">
        <v>0</v>
      </c>
      <c r="AK6099" s="4">
        <v>5</v>
      </c>
      <c r="AL6099" s="4">
        <v>0</v>
      </c>
      <c r="AM6099" s="4">
        <v>32</v>
      </c>
      <c r="AN6099" s="4">
        <v>0</v>
      </c>
      <c r="AO6099" s="4">
        <v>0</v>
      </c>
      <c r="AP6099" s="4">
        <v>0</v>
      </c>
      <c r="AQ6099" s="4">
        <v>10</v>
      </c>
      <c r="AR6099" s="3" t="s">
        <v>62</v>
      </c>
      <c r="AS6099" s="3" t="s">
        <v>62</v>
      </c>
      <c r="AT6099" s="3" t="s">
        <v>62</v>
      </c>
      <c r="AV6099" s="6" t="str">
        <f t="shared" si="115"/>
        <v>Catalog Record</v>
      </c>
      <c r="AW6099" s="6" t="str">
        <f t="shared" si="116"/>
        <v>WorldCat Record</v>
      </c>
      <c r="AX6099" s="3" t="s">
        <v>56779</v>
      </c>
      <c r="AY6099" s="3" t="s">
        <v>56780</v>
      </c>
      <c r="AZ6099" s="3" t="s">
        <v>56781</v>
      </c>
      <c r="BA6099" s="3" t="s">
        <v>56781</v>
      </c>
      <c r="BB6099" s="3" t="s">
        <v>56818</v>
      </c>
      <c r="BC6099" s="3" t="s">
        <v>33640</v>
      </c>
      <c r="BD6099" s="3" t="s">
        <v>68</v>
      </c>
      <c r="BF6099" s="3" t="s">
        <v>56818</v>
      </c>
      <c r="BG6099" s="3" t="s">
        <v>56819</v>
      </c>
    </row>
    <row r="6100" spans="1:59" ht="87" x14ac:dyDescent="0.35">
      <c r="A6100" s="2" t="s">
        <v>89</v>
      </c>
      <c r="B6100" s="2" t="s">
        <v>42560</v>
      </c>
      <c r="C6100" s="2" t="s">
        <v>56772</v>
      </c>
      <c r="D6100" s="2" t="s">
        <v>56773</v>
      </c>
      <c r="E6100" s="2" t="s">
        <v>56774</v>
      </c>
      <c r="F6100" s="3" t="s">
        <v>56820</v>
      </c>
      <c r="G6100" s="3" t="s">
        <v>61</v>
      </c>
      <c r="I6100" s="3" t="s">
        <v>62</v>
      </c>
      <c r="J6100" s="3" t="s">
        <v>62</v>
      </c>
      <c r="K6100" s="3" t="s">
        <v>63</v>
      </c>
      <c r="M6100" s="2" t="s">
        <v>56776</v>
      </c>
      <c r="N6100" s="3" t="s">
        <v>655</v>
      </c>
      <c r="P6100" s="3" t="s">
        <v>64</v>
      </c>
      <c r="Q6100" s="2" t="s">
        <v>56777</v>
      </c>
      <c r="R6100" s="3" t="s">
        <v>13065</v>
      </c>
      <c r="S6100" s="4">
        <v>1</v>
      </c>
      <c r="T6100" s="4">
        <v>18</v>
      </c>
      <c r="U6100" s="5" t="s">
        <v>3355</v>
      </c>
      <c r="V6100" s="5" t="s">
        <v>23107</v>
      </c>
      <c r="W6100" s="5" t="s">
        <v>67</v>
      </c>
      <c r="X6100" s="5" t="s">
        <v>67</v>
      </c>
      <c r="Y6100" s="4">
        <v>4</v>
      </c>
      <c r="Z6100" s="4">
        <v>1</v>
      </c>
      <c r="AA6100" s="4">
        <v>14</v>
      </c>
      <c r="AB6100" s="4">
        <v>1</v>
      </c>
      <c r="AC6100" s="4">
        <v>1</v>
      </c>
      <c r="AD6100" s="4">
        <v>0</v>
      </c>
      <c r="AE6100" s="4">
        <v>61</v>
      </c>
      <c r="AF6100" s="4">
        <v>0</v>
      </c>
      <c r="AG6100" s="4">
        <v>0</v>
      </c>
      <c r="AH6100" s="4">
        <v>0</v>
      </c>
      <c r="AI6100" s="4">
        <v>51</v>
      </c>
      <c r="AJ6100" s="4">
        <v>0</v>
      </c>
      <c r="AK6100" s="4">
        <v>5</v>
      </c>
      <c r="AL6100" s="4">
        <v>0</v>
      </c>
      <c r="AM6100" s="4">
        <v>32</v>
      </c>
      <c r="AN6100" s="4">
        <v>0</v>
      </c>
      <c r="AO6100" s="4">
        <v>0</v>
      </c>
      <c r="AP6100" s="4">
        <v>0</v>
      </c>
      <c r="AQ6100" s="4">
        <v>10</v>
      </c>
      <c r="AR6100" s="3" t="s">
        <v>62</v>
      </c>
      <c r="AS6100" s="3" t="s">
        <v>62</v>
      </c>
      <c r="AT6100" s="3" t="s">
        <v>62</v>
      </c>
      <c r="AV6100" s="6" t="str">
        <f t="shared" si="115"/>
        <v>Catalog Record</v>
      </c>
      <c r="AW6100" s="6" t="str">
        <f t="shared" si="116"/>
        <v>WorldCat Record</v>
      </c>
      <c r="AX6100" s="3" t="s">
        <v>56779</v>
      </c>
      <c r="AY6100" s="3" t="s">
        <v>56780</v>
      </c>
      <c r="AZ6100" s="3" t="s">
        <v>56781</v>
      </c>
      <c r="BA6100" s="3" t="s">
        <v>56781</v>
      </c>
      <c r="BB6100" s="3" t="s">
        <v>56821</v>
      </c>
      <c r="BC6100" s="3" t="s">
        <v>33640</v>
      </c>
      <c r="BD6100" s="3" t="s">
        <v>68</v>
      </c>
      <c r="BF6100" s="3" t="s">
        <v>56821</v>
      </c>
      <c r="BG6100" s="3" t="s">
        <v>56822</v>
      </c>
    </row>
    <row r="6101" spans="1:59" ht="87" x14ac:dyDescent="0.35">
      <c r="A6101" s="2" t="s">
        <v>89</v>
      </c>
      <c r="B6101" s="2" t="s">
        <v>42560</v>
      </c>
      <c r="C6101" s="2" t="s">
        <v>56772</v>
      </c>
      <c r="D6101" s="2" t="s">
        <v>56773</v>
      </c>
      <c r="E6101" s="2" t="s">
        <v>56774</v>
      </c>
      <c r="F6101" s="3" t="s">
        <v>54862</v>
      </c>
      <c r="G6101" s="3" t="s">
        <v>61</v>
      </c>
      <c r="I6101" s="3" t="s">
        <v>62</v>
      </c>
      <c r="J6101" s="3" t="s">
        <v>62</v>
      </c>
      <c r="K6101" s="3" t="s">
        <v>63</v>
      </c>
      <c r="M6101" s="2" t="s">
        <v>56776</v>
      </c>
      <c r="N6101" s="3" t="s">
        <v>655</v>
      </c>
      <c r="P6101" s="3" t="s">
        <v>64</v>
      </c>
      <c r="Q6101" s="2" t="s">
        <v>56777</v>
      </c>
      <c r="R6101" s="3" t="s">
        <v>13065</v>
      </c>
      <c r="S6101" s="4">
        <v>2</v>
      </c>
      <c r="T6101" s="4">
        <v>18</v>
      </c>
      <c r="U6101" s="5" t="s">
        <v>23107</v>
      </c>
      <c r="V6101" s="5" t="s">
        <v>23107</v>
      </c>
      <c r="W6101" s="5" t="s">
        <v>67</v>
      </c>
      <c r="X6101" s="5" t="s">
        <v>67</v>
      </c>
      <c r="Y6101" s="4">
        <v>4</v>
      </c>
      <c r="Z6101" s="4">
        <v>1</v>
      </c>
      <c r="AA6101" s="4">
        <v>14</v>
      </c>
      <c r="AB6101" s="4">
        <v>1</v>
      </c>
      <c r="AC6101" s="4">
        <v>1</v>
      </c>
      <c r="AD6101" s="4">
        <v>0</v>
      </c>
      <c r="AE6101" s="4">
        <v>61</v>
      </c>
      <c r="AF6101" s="4">
        <v>0</v>
      </c>
      <c r="AG6101" s="4">
        <v>0</v>
      </c>
      <c r="AH6101" s="4">
        <v>0</v>
      </c>
      <c r="AI6101" s="4">
        <v>51</v>
      </c>
      <c r="AJ6101" s="4">
        <v>0</v>
      </c>
      <c r="AK6101" s="4">
        <v>5</v>
      </c>
      <c r="AL6101" s="4">
        <v>0</v>
      </c>
      <c r="AM6101" s="4">
        <v>32</v>
      </c>
      <c r="AN6101" s="4">
        <v>0</v>
      </c>
      <c r="AO6101" s="4">
        <v>0</v>
      </c>
      <c r="AP6101" s="4">
        <v>0</v>
      </c>
      <c r="AQ6101" s="4">
        <v>10</v>
      </c>
      <c r="AR6101" s="3" t="s">
        <v>62</v>
      </c>
      <c r="AS6101" s="3" t="s">
        <v>62</v>
      </c>
      <c r="AT6101" s="3" t="s">
        <v>62</v>
      </c>
      <c r="AV6101" s="6" t="str">
        <f t="shared" si="115"/>
        <v>Catalog Record</v>
      </c>
      <c r="AW6101" s="6" t="str">
        <f t="shared" si="116"/>
        <v>WorldCat Record</v>
      </c>
      <c r="AX6101" s="3" t="s">
        <v>56779</v>
      </c>
      <c r="AY6101" s="3" t="s">
        <v>56780</v>
      </c>
      <c r="AZ6101" s="3" t="s">
        <v>56781</v>
      </c>
      <c r="BA6101" s="3" t="s">
        <v>56781</v>
      </c>
      <c r="BB6101" s="3" t="s">
        <v>56823</v>
      </c>
      <c r="BC6101" s="3" t="s">
        <v>33640</v>
      </c>
      <c r="BD6101" s="3" t="s">
        <v>68</v>
      </c>
      <c r="BF6101" s="3" t="s">
        <v>56823</v>
      </c>
      <c r="BG6101" s="3" t="s">
        <v>56824</v>
      </c>
    </row>
    <row r="6102" spans="1:59" ht="87" x14ac:dyDescent="0.35">
      <c r="A6102" s="2" t="s">
        <v>89</v>
      </c>
      <c r="B6102" s="2" t="s">
        <v>42560</v>
      </c>
      <c r="C6102" s="2" t="s">
        <v>56772</v>
      </c>
      <c r="D6102" s="2" t="s">
        <v>56773</v>
      </c>
      <c r="E6102" s="2" t="s">
        <v>56774</v>
      </c>
      <c r="F6102" s="3" t="s">
        <v>56825</v>
      </c>
      <c r="G6102" s="3" t="s">
        <v>61</v>
      </c>
      <c r="I6102" s="3" t="s">
        <v>62</v>
      </c>
      <c r="J6102" s="3" t="s">
        <v>62</v>
      </c>
      <c r="K6102" s="3" t="s">
        <v>63</v>
      </c>
      <c r="M6102" s="2" t="s">
        <v>56776</v>
      </c>
      <c r="N6102" s="3" t="s">
        <v>655</v>
      </c>
      <c r="P6102" s="3" t="s">
        <v>64</v>
      </c>
      <c r="Q6102" s="2" t="s">
        <v>56777</v>
      </c>
      <c r="R6102" s="3" t="s">
        <v>13065</v>
      </c>
      <c r="S6102" s="4">
        <v>1</v>
      </c>
      <c r="T6102" s="4">
        <v>18</v>
      </c>
      <c r="U6102" s="5" t="s">
        <v>854</v>
      </c>
      <c r="V6102" s="5" t="s">
        <v>23107</v>
      </c>
      <c r="W6102" s="5" t="s">
        <v>67</v>
      </c>
      <c r="X6102" s="5" t="s">
        <v>67</v>
      </c>
      <c r="Y6102" s="4">
        <v>4</v>
      </c>
      <c r="Z6102" s="4">
        <v>1</v>
      </c>
      <c r="AA6102" s="4">
        <v>14</v>
      </c>
      <c r="AB6102" s="4">
        <v>1</v>
      </c>
      <c r="AC6102" s="4">
        <v>1</v>
      </c>
      <c r="AD6102" s="4">
        <v>0</v>
      </c>
      <c r="AE6102" s="4">
        <v>61</v>
      </c>
      <c r="AF6102" s="4">
        <v>0</v>
      </c>
      <c r="AG6102" s="4">
        <v>0</v>
      </c>
      <c r="AH6102" s="4">
        <v>0</v>
      </c>
      <c r="AI6102" s="4">
        <v>51</v>
      </c>
      <c r="AJ6102" s="4">
        <v>0</v>
      </c>
      <c r="AK6102" s="4">
        <v>5</v>
      </c>
      <c r="AL6102" s="4">
        <v>0</v>
      </c>
      <c r="AM6102" s="4">
        <v>32</v>
      </c>
      <c r="AN6102" s="4">
        <v>0</v>
      </c>
      <c r="AO6102" s="4">
        <v>0</v>
      </c>
      <c r="AP6102" s="4">
        <v>0</v>
      </c>
      <c r="AQ6102" s="4">
        <v>10</v>
      </c>
      <c r="AR6102" s="3" t="s">
        <v>62</v>
      </c>
      <c r="AS6102" s="3" t="s">
        <v>62</v>
      </c>
      <c r="AT6102" s="3" t="s">
        <v>62</v>
      </c>
      <c r="AV6102" s="6" t="str">
        <f t="shared" si="115"/>
        <v>Catalog Record</v>
      </c>
      <c r="AW6102" s="6" t="str">
        <f t="shared" si="116"/>
        <v>WorldCat Record</v>
      </c>
      <c r="AX6102" s="3" t="s">
        <v>56779</v>
      </c>
      <c r="AY6102" s="3" t="s">
        <v>56780</v>
      </c>
      <c r="AZ6102" s="3" t="s">
        <v>56781</v>
      </c>
      <c r="BA6102" s="3" t="s">
        <v>56781</v>
      </c>
      <c r="BB6102" s="3" t="s">
        <v>56826</v>
      </c>
      <c r="BC6102" s="3" t="s">
        <v>33640</v>
      </c>
      <c r="BD6102" s="3" t="s">
        <v>68</v>
      </c>
      <c r="BF6102" s="3" t="s">
        <v>56826</v>
      </c>
      <c r="BG6102" s="3" t="s">
        <v>56827</v>
      </c>
    </row>
    <row r="6103" spans="1:59" ht="87" x14ac:dyDescent="0.35">
      <c r="A6103" s="2" t="s">
        <v>89</v>
      </c>
      <c r="B6103" s="2" t="s">
        <v>42560</v>
      </c>
      <c r="C6103" s="2" t="s">
        <v>56772</v>
      </c>
      <c r="D6103" s="2" t="s">
        <v>56773</v>
      </c>
      <c r="E6103" s="2" t="s">
        <v>56774</v>
      </c>
      <c r="F6103" s="3" t="s">
        <v>56828</v>
      </c>
      <c r="G6103" s="3" t="s">
        <v>61</v>
      </c>
      <c r="I6103" s="3" t="s">
        <v>62</v>
      </c>
      <c r="J6103" s="3" t="s">
        <v>62</v>
      </c>
      <c r="K6103" s="3" t="s">
        <v>63</v>
      </c>
      <c r="M6103" s="2" t="s">
        <v>56776</v>
      </c>
      <c r="N6103" s="3" t="s">
        <v>655</v>
      </c>
      <c r="P6103" s="3" t="s">
        <v>64</v>
      </c>
      <c r="Q6103" s="2" t="s">
        <v>56777</v>
      </c>
      <c r="R6103" s="3" t="s">
        <v>13065</v>
      </c>
      <c r="S6103" s="4">
        <v>0</v>
      </c>
      <c r="T6103" s="4">
        <v>18</v>
      </c>
      <c r="V6103" s="5" t="s">
        <v>23107</v>
      </c>
      <c r="W6103" s="5" t="s">
        <v>67</v>
      </c>
      <c r="X6103" s="5" t="s">
        <v>67</v>
      </c>
      <c r="Y6103" s="4">
        <v>4</v>
      </c>
      <c r="Z6103" s="4">
        <v>1</v>
      </c>
      <c r="AA6103" s="4">
        <v>14</v>
      </c>
      <c r="AB6103" s="4">
        <v>1</v>
      </c>
      <c r="AC6103" s="4">
        <v>1</v>
      </c>
      <c r="AD6103" s="4">
        <v>0</v>
      </c>
      <c r="AE6103" s="4">
        <v>61</v>
      </c>
      <c r="AF6103" s="4">
        <v>0</v>
      </c>
      <c r="AG6103" s="4">
        <v>0</v>
      </c>
      <c r="AH6103" s="4">
        <v>0</v>
      </c>
      <c r="AI6103" s="4">
        <v>51</v>
      </c>
      <c r="AJ6103" s="4">
        <v>0</v>
      </c>
      <c r="AK6103" s="4">
        <v>5</v>
      </c>
      <c r="AL6103" s="4">
        <v>0</v>
      </c>
      <c r="AM6103" s="4">
        <v>32</v>
      </c>
      <c r="AN6103" s="4">
        <v>0</v>
      </c>
      <c r="AO6103" s="4">
        <v>0</v>
      </c>
      <c r="AP6103" s="4">
        <v>0</v>
      </c>
      <c r="AQ6103" s="4">
        <v>10</v>
      </c>
      <c r="AR6103" s="3" t="s">
        <v>62</v>
      </c>
      <c r="AS6103" s="3" t="s">
        <v>62</v>
      </c>
      <c r="AT6103" s="3" t="s">
        <v>62</v>
      </c>
      <c r="AV6103" s="6" t="str">
        <f t="shared" si="115"/>
        <v>Catalog Record</v>
      </c>
      <c r="AW6103" s="6" t="str">
        <f t="shared" si="116"/>
        <v>WorldCat Record</v>
      </c>
      <c r="AX6103" s="3" t="s">
        <v>56779</v>
      </c>
      <c r="AY6103" s="3" t="s">
        <v>56780</v>
      </c>
      <c r="AZ6103" s="3" t="s">
        <v>56781</v>
      </c>
      <c r="BA6103" s="3" t="s">
        <v>56781</v>
      </c>
      <c r="BB6103" s="3" t="s">
        <v>56829</v>
      </c>
      <c r="BC6103" s="3" t="s">
        <v>33640</v>
      </c>
      <c r="BD6103" s="3" t="s">
        <v>68</v>
      </c>
      <c r="BF6103" s="3" t="s">
        <v>56829</v>
      </c>
      <c r="BG6103" s="3" t="s">
        <v>56830</v>
      </c>
    </row>
    <row r="6104" spans="1:59" ht="87" x14ac:dyDescent="0.35">
      <c r="A6104" s="2" t="s">
        <v>89</v>
      </c>
      <c r="B6104" s="2" t="s">
        <v>42560</v>
      </c>
      <c r="C6104" s="2" t="s">
        <v>56772</v>
      </c>
      <c r="D6104" s="2" t="s">
        <v>56773</v>
      </c>
      <c r="E6104" s="2" t="s">
        <v>56774</v>
      </c>
      <c r="F6104" s="3" t="s">
        <v>56831</v>
      </c>
      <c r="G6104" s="3" t="s">
        <v>61</v>
      </c>
      <c r="I6104" s="3" t="s">
        <v>62</v>
      </c>
      <c r="J6104" s="3" t="s">
        <v>62</v>
      </c>
      <c r="K6104" s="3" t="s">
        <v>63</v>
      </c>
      <c r="M6104" s="2" t="s">
        <v>56776</v>
      </c>
      <c r="N6104" s="3" t="s">
        <v>655</v>
      </c>
      <c r="P6104" s="3" t="s">
        <v>64</v>
      </c>
      <c r="Q6104" s="2" t="s">
        <v>56777</v>
      </c>
      <c r="R6104" s="3" t="s">
        <v>13065</v>
      </c>
      <c r="S6104" s="4">
        <v>0</v>
      </c>
      <c r="T6104" s="4">
        <v>18</v>
      </c>
      <c r="V6104" s="5" t="s">
        <v>23107</v>
      </c>
      <c r="W6104" s="5" t="s">
        <v>67</v>
      </c>
      <c r="X6104" s="5" t="s">
        <v>67</v>
      </c>
      <c r="Y6104" s="4">
        <v>4</v>
      </c>
      <c r="Z6104" s="4">
        <v>1</v>
      </c>
      <c r="AA6104" s="4">
        <v>14</v>
      </c>
      <c r="AB6104" s="4">
        <v>1</v>
      </c>
      <c r="AC6104" s="4">
        <v>1</v>
      </c>
      <c r="AD6104" s="4">
        <v>0</v>
      </c>
      <c r="AE6104" s="4">
        <v>61</v>
      </c>
      <c r="AF6104" s="4">
        <v>0</v>
      </c>
      <c r="AG6104" s="4">
        <v>0</v>
      </c>
      <c r="AH6104" s="4">
        <v>0</v>
      </c>
      <c r="AI6104" s="4">
        <v>51</v>
      </c>
      <c r="AJ6104" s="4">
        <v>0</v>
      </c>
      <c r="AK6104" s="4">
        <v>5</v>
      </c>
      <c r="AL6104" s="4">
        <v>0</v>
      </c>
      <c r="AM6104" s="4">
        <v>32</v>
      </c>
      <c r="AN6104" s="4">
        <v>0</v>
      </c>
      <c r="AO6104" s="4">
        <v>0</v>
      </c>
      <c r="AP6104" s="4">
        <v>0</v>
      </c>
      <c r="AQ6104" s="4">
        <v>10</v>
      </c>
      <c r="AR6104" s="3" t="s">
        <v>62</v>
      </c>
      <c r="AS6104" s="3" t="s">
        <v>62</v>
      </c>
      <c r="AT6104" s="3" t="s">
        <v>62</v>
      </c>
      <c r="AV6104" s="6" t="str">
        <f t="shared" si="115"/>
        <v>Catalog Record</v>
      </c>
      <c r="AW6104" s="6" t="str">
        <f t="shared" si="116"/>
        <v>WorldCat Record</v>
      </c>
      <c r="AX6104" s="3" t="s">
        <v>56779</v>
      </c>
      <c r="AY6104" s="3" t="s">
        <v>56780</v>
      </c>
      <c r="AZ6104" s="3" t="s">
        <v>56781</v>
      </c>
      <c r="BA6104" s="3" t="s">
        <v>56781</v>
      </c>
      <c r="BB6104" s="3" t="s">
        <v>56832</v>
      </c>
      <c r="BC6104" s="3" t="s">
        <v>33640</v>
      </c>
      <c r="BD6104" s="3" t="s">
        <v>68</v>
      </c>
      <c r="BF6104" s="3" t="s">
        <v>56832</v>
      </c>
      <c r="BG6104" s="3" t="s">
        <v>56833</v>
      </c>
    </row>
    <row r="6105" spans="1:59" ht="87" x14ac:dyDescent="0.35">
      <c r="A6105" s="2" t="s">
        <v>89</v>
      </c>
      <c r="B6105" s="2" t="s">
        <v>42560</v>
      </c>
      <c r="C6105" s="2" t="s">
        <v>56772</v>
      </c>
      <c r="D6105" s="2" t="s">
        <v>56773</v>
      </c>
      <c r="E6105" s="2" t="s">
        <v>56774</v>
      </c>
      <c r="F6105" s="3" t="s">
        <v>56834</v>
      </c>
      <c r="G6105" s="3" t="s">
        <v>61</v>
      </c>
      <c r="I6105" s="3" t="s">
        <v>62</v>
      </c>
      <c r="J6105" s="3" t="s">
        <v>62</v>
      </c>
      <c r="K6105" s="3" t="s">
        <v>63</v>
      </c>
      <c r="M6105" s="2" t="s">
        <v>56776</v>
      </c>
      <c r="N6105" s="3" t="s">
        <v>655</v>
      </c>
      <c r="P6105" s="3" t="s">
        <v>64</v>
      </c>
      <c r="Q6105" s="2" t="s">
        <v>56777</v>
      </c>
      <c r="R6105" s="3" t="s">
        <v>13065</v>
      </c>
      <c r="S6105" s="4">
        <v>0</v>
      </c>
      <c r="T6105" s="4">
        <v>18</v>
      </c>
      <c r="V6105" s="5" t="s">
        <v>23107</v>
      </c>
      <c r="W6105" s="5" t="s">
        <v>67</v>
      </c>
      <c r="X6105" s="5" t="s">
        <v>67</v>
      </c>
      <c r="Y6105" s="4">
        <v>4</v>
      </c>
      <c r="Z6105" s="4">
        <v>1</v>
      </c>
      <c r="AA6105" s="4">
        <v>14</v>
      </c>
      <c r="AB6105" s="4">
        <v>1</v>
      </c>
      <c r="AC6105" s="4">
        <v>1</v>
      </c>
      <c r="AD6105" s="4">
        <v>0</v>
      </c>
      <c r="AE6105" s="4">
        <v>61</v>
      </c>
      <c r="AF6105" s="4">
        <v>0</v>
      </c>
      <c r="AG6105" s="4">
        <v>0</v>
      </c>
      <c r="AH6105" s="4">
        <v>0</v>
      </c>
      <c r="AI6105" s="4">
        <v>51</v>
      </c>
      <c r="AJ6105" s="4">
        <v>0</v>
      </c>
      <c r="AK6105" s="4">
        <v>5</v>
      </c>
      <c r="AL6105" s="4">
        <v>0</v>
      </c>
      <c r="AM6105" s="4">
        <v>32</v>
      </c>
      <c r="AN6105" s="4">
        <v>0</v>
      </c>
      <c r="AO6105" s="4">
        <v>0</v>
      </c>
      <c r="AP6105" s="4">
        <v>0</v>
      </c>
      <c r="AQ6105" s="4">
        <v>10</v>
      </c>
      <c r="AR6105" s="3" t="s">
        <v>62</v>
      </c>
      <c r="AS6105" s="3" t="s">
        <v>62</v>
      </c>
      <c r="AT6105" s="3" t="s">
        <v>62</v>
      </c>
      <c r="AV6105" s="6" t="str">
        <f t="shared" si="115"/>
        <v>Catalog Record</v>
      </c>
      <c r="AW6105" s="6" t="str">
        <f t="shared" si="116"/>
        <v>WorldCat Record</v>
      </c>
      <c r="AX6105" s="3" t="s">
        <v>56779</v>
      </c>
      <c r="AY6105" s="3" t="s">
        <v>56780</v>
      </c>
      <c r="AZ6105" s="3" t="s">
        <v>56781</v>
      </c>
      <c r="BA6105" s="3" t="s">
        <v>56781</v>
      </c>
      <c r="BB6105" s="3" t="s">
        <v>56835</v>
      </c>
      <c r="BC6105" s="3" t="s">
        <v>33640</v>
      </c>
      <c r="BD6105" s="3" t="s">
        <v>68</v>
      </c>
      <c r="BF6105" s="3" t="s">
        <v>56835</v>
      </c>
      <c r="BG6105" s="3" t="s">
        <v>56836</v>
      </c>
    </row>
    <row r="6106" spans="1:59" ht="87" x14ac:dyDescent="0.35">
      <c r="A6106" s="2" t="s">
        <v>89</v>
      </c>
      <c r="B6106" s="2" t="s">
        <v>42560</v>
      </c>
      <c r="C6106" s="2" t="s">
        <v>56772</v>
      </c>
      <c r="D6106" s="2" t="s">
        <v>56773</v>
      </c>
      <c r="E6106" s="2" t="s">
        <v>56774</v>
      </c>
      <c r="F6106" s="3" t="s">
        <v>56837</v>
      </c>
      <c r="G6106" s="3" t="s">
        <v>61</v>
      </c>
      <c r="I6106" s="3" t="s">
        <v>62</v>
      </c>
      <c r="J6106" s="3" t="s">
        <v>62</v>
      </c>
      <c r="K6106" s="3" t="s">
        <v>63</v>
      </c>
      <c r="M6106" s="2" t="s">
        <v>56776</v>
      </c>
      <c r="N6106" s="3" t="s">
        <v>655</v>
      </c>
      <c r="P6106" s="3" t="s">
        <v>64</v>
      </c>
      <c r="Q6106" s="2" t="s">
        <v>56777</v>
      </c>
      <c r="R6106" s="3" t="s">
        <v>13065</v>
      </c>
      <c r="S6106" s="4">
        <v>1</v>
      </c>
      <c r="T6106" s="4">
        <v>18</v>
      </c>
      <c r="U6106" s="5" t="s">
        <v>2496</v>
      </c>
      <c r="V6106" s="5" t="s">
        <v>23107</v>
      </c>
      <c r="W6106" s="5" t="s">
        <v>67</v>
      </c>
      <c r="X6106" s="5" t="s">
        <v>67</v>
      </c>
      <c r="Y6106" s="4">
        <v>4</v>
      </c>
      <c r="Z6106" s="4">
        <v>1</v>
      </c>
      <c r="AA6106" s="4">
        <v>14</v>
      </c>
      <c r="AB6106" s="4">
        <v>1</v>
      </c>
      <c r="AC6106" s="4">
        <v>1</v>
      </c>
      <c r="AD6106" s="4">
        <v>0</v>
      </c>
      <c r="AE6106" s="4">
        <v>61</v>
      </c>
      <c r="AF6106" s="4">
        <v>0</v>
      </c>
      <c r="AG6106" s="4">
        <v>0</v>
      </c>
      <c r="AH6106" s="4">
        <v>0</v>
      </c>
      <c r="AI6106" s="4">
        <v>51</v>
      </c>
      <c r="AJ6106" s="4">
        <v>0</v>
      </c>
      <c r="AK6106" s="4">
        <v>5</v>
      </c>
      <c r="AL6106" s="4">
        <v>0</v>
      </c>
      <c r="AM6106" s="4">
        <v>32</v>
      </c>
      <c r="AN6106" s="4">
        <v>0</v>
      </c>
      <c r="AO6106" s="4">
        <v>0</v>
      </c>
      <c r="AP6106" s="4">
        <v>0</v>
      </c>
      <c r="AQ6106" s="4">
        <v>10</v>
      </c>
      <c r="AR6106" s="3" t="s">
        <v>62</v>
      </c>
      <c r="AS6106" s="3" t="s">
        <v>62</v>
      </c>
      <c r="AT6106" s="3" t="s">
        <v>62</v>
      </c>
      <c r="AV6106" s="6" t="str">
        <f t="shared" si="115"/>
        <v>Catalog Record</v>
      </c>
      <c r="AW6106" s="6" t="str">
        <f t="shared" si="116"/>
        <v>WorldCat Record</v>
      </c>
      <c r="AX6106" s="3" t="s">
        <v>56779</v>
      </c>
      <c r="AY6106" s="3" t="s">
        <v>56780</v>
      </c>
      <c r="AZ6106" s="3" t="s">
        <v>56781</v>
      </c>
      <c r="BA6106" s="3" t="s">
        <v>56781</v>
      </c>
      <c r="BB6106" s="3" t="s">
        <v>56838</v>
      </c>
      <c r="BC6106" s="3" t="s">
        <v>33640</v>
      </c>
      <c r="BD6106" s="3" t="s">
        <v>68</v>
      </c>
      <c r="BF6106" s="3" t="s">
        <v>56838</v>
      </c>
      <c r="BG6106" s="3" t="s">
        <v>56839</v>
      </c>
    </row>
    <row r="6107" spans="1:59" ht="87" x14ac:dyDescent="0.35">
      <c r="A6107" s="2" t="s">
        <v>89</v>
      </c>
      <c r="B6107" s="2" t="s">
        <v>42560</v>
      </c>
      <c r="C6107" s="2" t="s">
        <v>56772</v>
      </c>
      <c r="D6107" s="2" t="s">
        <v>56773</v>
      </c>
      <c r="E6107" s="2" t="s">
        <v>56774</v>
      </c>
      <c r="F6107" s="3" t="s">
        <v>56840</v>
      </c>
      <c r="G6107" s="3" t="s">
        <v>61</v>
      </c>
      <c r="I6107" s="3" t="s">
        <v>62</v>
      </c>
      <c r="J6107" s="3" t="s">
        <v>62</v>
      </c>
      <c r="K6107" s="3" t="s">
        <v>63</v>
      </c>
      <c r="M6107" s="2" t="s">
        <v>56776</v>
      </c>
      <c r="N6107" s="3" t="s">
        <v>655</v>
      </c>
      <c r="P6107" s="3" t="s">
        <v>64</v>
      </c>
      <c r="Q6107" s="2" t="s">
        <v>56777</v>
      </c>
      <c r="R6107" s="3" t="s">
        <v>13065</v>
      </c>
      <c r="S6107" s="4">
        <v>0</v>
      </c>
      <c r="T6107" s="4">
        <v>18</v>
      </c>
      <c r="V6107" s="5" t="s">
        <v>23107</v>
      </c>
      <c r="W6107" s="5" t="s">
        <v>67</v>
      </c>
      <c r="X6107" s="5" t="s">
        <v>67</v>
      </c>
      <c r="Y6107" s="4">
        <v>4</v>
      </c>
      <c r="Z6107" s="4">
        <v>1</v>
      </c>
      <c r="AA6107" s="4">
        <v>14</v>
      </c>
      <c r="AB6107" s="4">
        <v>1</v>
      </c>
      <c r="AC6107" s="4">
        <v>1</v>
      </c>
      <c r="AD6107" s="4">
        <v>0</v>
      </c>
      <c r="AE6107" s="4">
        <v>61</v>
      </c>
      <c r="AF6107" s="4">
        <v>0</v>
      </c>
      <c r="AG6107" s="4">
        <v>0</v>
      </c>
      <c r="AH6107" s="4">
        <v>0</v>
      </c>
      <c r="AI6107" s="4">
        <v>51</v>
      </c>
      <c r="AJ6107" s="4">
        <v>0</v>
      </c>
      <c r="AK6107" s="4">
        <v>5</v>
      </c>
      <c r="AL6107" s="4">
        <v>0</v>
      </c>
      <c r="AM6107" s="4">
        <v>32</v>
      </c>
      <c r="AN6107" s="4">
        <v>0</v>
      </c>
      <c r="AO6107" s="4">
        <v>0</v>
      </c>
      <c r="AP6107" s="4">
        <v>0</v>
      </c>
      <c r="AQ6107" s="4">
        <v>10</v>
      </c>
      <c r="AR6107" s="3" t="s">
        <v>62</v>
      </c>
      <c r="AS6107" s="3" t="s">
        <v>62</v>
      </c>
      <c r="AT6107" s="3" t="s">
        <v>62</v>
      </c>
      <c r="AV6107" s="6" t="str">
        <f t="shared" si="115"/>
        <v>Catalog Record</v>
      </c>
      <c r="AW6107" s="6" t="str">
        <f t="shared" si="116"/>
        <v>WorldCat Record</v>
      </c>
      <c r="AX6107" s="3" t="s">
        <v>56779</v>
      </c>
      <c r="AY6107" s="3" t="s">
        <v>56780</v>
      </c>
      <c r="AZ6107" s="3" t="s">
        <v>56781</v>
      </c>
      <c r="BA6107" s="3" t="s">
        <v>56781</v>
      </c>
      <c r="BB6107" s="3" t="s">
        <v>56841</v>
      </c>
      <c r="BC6107" s="3" t="s">
        <v>33640</v>
      </c>
      <c r="BD6107" s="3" t="s">
        <v>68</v>
      </c>
      <c r="BF6107" s="3" t="s">
        <v>56841</v>
      </c>
      <c r="BG6107" s="3" t="s">
        <v>56842</v>
      </c>
    </row>
    <row r="6108" spans="1:59" ht="87" x14ac:dyDescent="0.35">
      <c r="A6108" s="2" t="s">
        <v>89</v>
      </c>
      <c r="B6108" s="2" t="s">
        <v>42560</v>
      </c>
      <c r="C6108" s="2" t="s">
        <v>56772</v>
      </c>
      <c r="D6108" s="2" t="s">
        <v>56773</v>
      </c>
      <c r="E6108" s="2" t="s">
        <v>56774</v>
      </c>
      <c r="F6108" s="3" t="s">
        <v>56843</v>
      </c>
      <c r="G6108" s="3" t="s">
        <v>61</v>
      </c>
      <c r="I6108" s="3" t="s">
        <v>62</v>
      </c>
      <c r="J6108" s="3" t="s">
        <v>62</v>
      </c>
      <c r="K6108" s="3" t="s">
        <v>63</v>
      </c>
      <c r="M6108" s="2" t="s">
        <v>56776</v>
      </c>
      <c r="N6108" s="3" t="s">
        <v>655</v>
      </c>
      <c r="P6108" s="3" t="s">
        <v>64</v>
      </c>
      <c r="Q6108" s="2" t="s">
        <v>56777</v>
      </c>
      <c r="R6108" s="3" t="s">
        <v>13065</v>
      </c>
      <c r="S6108" s="4">
        <v>1</v>
      </c>
      <c r="T6108" s="4">
        <v>18</v>
      </c>
      <c r="U6108" s="5" t="s">
        <v>3355</v>
      </c>
      <c r="V6108" s="5" t="s">
        <v>23107</v>
      </c>
      <c r="W6108" s="5" t="s">
        <v>67</v>
      </c>
      <c r="X6108" s="5" t="s">
        <v>67</v>
      </c>
      <c r="Y6108" s="4">
        <v>4</v>
      </c>
      <c r="Z6108" s="4">
        <v>1</v>
      </c>
      <c r="AA6108" s="4">
        <v>14</v>
      </c>
      <c r="AB6108" s="4">
        <v>1</v>
      </c>
      <c r="AC6108" s="4">
        <v>1</v>
      </c>
      <c r="AD6108" s="4">
        <v>0</v>
      </c>
      <c r="AE6108" s="4">
        <v>61</v>
      </c>
      <c r="AF6108" s="4">
        <v>0</v>
      </c>
      <c r="AG6108" s="4">
        <v>0</v>
      </c>
      <c r="AH6108" s="4">
        <v>0</v>
      </c>
      <c r="AI6108" s="4">
        <v>51</v>
      </c>
      <c r="AJ6108" s="4">
        <v>0</v>
      </c>
      <c r="AK6108" s="4">
        <v>5</v>
      </c>
      <c r="AL6108" s="4">
        <v>0</v>
      </c>
      <c r="AM6108" s="4">
        <v>32</v>
      </c>
      <c r="AN6108" s="4">
        <v>0</v>
      </c>
      <c r="AO6108" s="4">
        <v>0</v>
      </c>
      <c r="AP6108" s="4">
        <v>0</v>
      </c>
      <c r="AQ6108" s="4">
        <v>10</v>
      </c>
      <c r="AR6108" s="3" t="s">
        <v>62</v>
      </c>
      <c r="AS6108" s="3" t="s">
        <v>62</v>
      </c>
      <c r="AT6108" s="3" t="s">
        <v>62</v>
      </c>
      <c r="AV6108" s="6" t="str">
        <f t="shared" si="115"/>
        <v>Catalog Record</v>
      </c>
      <c r="AW6108" s="6" t="str">
        <f t="shared" si="116"/>
        <v>WorldCat Record</v>
      </c>
      <c r="AX6108" s="3" t="s">
        <v>56779</v>
      </c>
      <c r="AY6108" s="3" t="s">
        <v>56780</v>
      </c>
      <c r="AZ6108" s="3" t="s">
        <v>56781</v>
      </c>
      <c r="BA6108" s="3" t="s">
        <v>56781</v>
      </c>
      <c r="BB6108" s="3" t="s">
        <v>56844</v>
      </c>
      <c r="BC6108" s="3" t="s">
        <v>33640</v>
      </c>
      <c r="BD6108" s="3" t="s">
        <v>68</v>
      </c>
      <c r="BF6108" s="3" t="s">
        <v>56844</v>
      </c>
      <c r="BG6108" s="3" t="s">
        <v>56845</v>
      </c>
    </row>
    <row r="6109" spans="1:59" ht="87" x14ac:dyDescent="0.35">
      <c r="A6109" s="2" t="s">
        <v>89</v>
      </c>
      <c r="B6109" s="2" t="s">
        <v>42560</v>
      </c>
      <c r="C6109" s="2" t="s">
        <v>56772</v>
      </c>
      <c r="D6109" s="2" t="s">
        <v>56773</v>
      </c>
      <c r="E6109" s="2" t="s">
        <v>56774</v>
      </c>
      <c r="F6109" s="3" t="s">
        <v>54868</v>
      </c>
      <c r="G6109" s="3" t="s">
        <v>61</v>
      </c>
      <c r="I6109" s="3" t="s">
        <v>62</v>
      </c>
      <c r="J6109" s="3" t="s">
        <v>62</v>
      </c>
      <c r="K6109" s="3" t="s">
        <v>63</v>
      </c>
      <c r="M6109" s="2" t="s">
        <v>56776</v>
      </c>
      <c r="N6109" s="3" t="s">
        <v>655</v>
      </c>
      <c r="P6109" s="3" t="s">
        <v>64</v>
      </c>
      <c r="Q6109" s="2" t="s">
        <v>56777</v>
      </c>
      <c r="R6109" s="3" t="s">
        <v>13065</v>
      </c>
      <c r="S6109" s="4">
        <v>1</v>
      </c>
      <c r="T6109" s="4">
        <v>18</v>
      </c>
      <c r="U6109" s="5" t="s">
        <v>3355</v>
      </c>
      <c r="V6109" s="5" t="s">
        <v>23107</v>
      </c>
      <c r="W6109" s="5" t="s">
        <v>67</v>
      </c>
      <c r="X6109" s="5" t="s">
        <v>67</v>
      </c>
      <c r="Y6109" s="4">
        <v>4</v>
      </c>
      <c r="Z6109" s="4">
        <v>1</v>
      </c>
      <c r="AA6109" s="4">
        <v>14</v>
      </c>
      <c r="AB6109" s="4">
        <v>1</v>
      </c>
      <c r="AC6109" s="4">
        <v>1</v>
      </c>
      <c r="AD6109" s="4">
        <v>0</v>
      </c>
      <c r="AE6109" s="4">
        <v>61</v>
      </c>
      <c r="AF6109" s="4">
        <v>0</v>
      </c>
      <c r="AG6109" s="4">
        <v>0</v>
      </c>
      <c r="AH6109" s="4">
        <v>0</v>
      </c>
      <c r="AI6109" s="4">
        <v>51</v>
      </c>
      <c r="AJ6109" s="4">
        <v>0</v>
      </c>
      <c r="AK6109" s="4">
        <v>5</v>
      </c>
      <c r="AL6109" s="4">
        <v>0</v>
      </c>
      <c r="AM6109" s="4">
        <v>32</v>
      </c>
      <c r="AN6109" s="4">
        <v>0</v>
      </c>
      <c r="AO6109" s="4">
        <v>0</v>
      </c>
      <c r="AP6109" s="4">
        <v>0</v>
      </c>
      <c r="AQ6109" s="4">
        <v>10</v>
      </c>
      <c r="AR6109" s="3" t="s">
        <v>62</v>
      </c>
      <c r="AS6109" s="3" t="s">
        <v>62</v>
      </c>
      <c r="AT6109" s="3" t="s">
        <v>62</v>
      </c>
      <c r="AV6109" s="6" t="str">
        <f t="shared" si="115"/>
        <v>Catalog Record</v>
      </c>
      <c r="AW6109" s="6" t="str">
        <f t="shared" si="116"/>
        <v>WorldCat Record</v>
      </c>
      <c r="AX6109" s="3" t="s">
        <v>56779</v>
      </c>
      <c r="AY6109" s="3" t="s">
        <v>56780</v>
      </c>
      <c r="AZ6109" s="3" t="s">
        <v>56781</v>
      </c>
      <c r="BA6109" s="3" t="s">
        <v>56781</v>
      </c>
      <c r="BB6109" s="3" t="s">
        <v>56846</v>
      </c>
      <c r="BC6109" s="3" t="s">
        <v>33640</v>
      </c>
      <c r="BD6109" s="3" t="s">
        <v>68</v>
      </c>
      <c r="BF6109" s="3" t="s">
        <v>56846</v>
      </c>
      <c r="BG6109" s="3" t="s">
        <v>56847</v>
      </c>
    </row>
    <row r="6110" spans="1:59" ht="87" x14ac:dyDescent="0.35">
      <c r="A6110" s="2" t="s">
        <v>89</v>
      </c>
      <c r="B6110" s="2" t="s">
        <v>42560</v>
      </c>
      <c r="C6110" s="2" t="s">
        <v>56772</v>
      </c>
      <c r="D6110" s="2" t="s">
        <v>56773</v>
      </c>
      <c r="E6110" s="2" t="s">
        <v>56774</v>
      </c>
      <c r="F6110" s="3" t="s">
        <v>56848</v>
      </c>
      <c r="G6110" s="3" t="s">
        <v>61</v>
      </c>
      <c r="I6110" s="3" t="s">
        <v>62</v>
      </c>
      <c r="J6110" s="3" t="s">
        <v>62</v>
      </c>
      <c r="K6110" s="3" t="s">
        <v>63</v>
      </c>
      <c r="M6110" s="2" t="s">
        <v>56776</v>
      </c>
      <c r="N6110" s="3" t="s">
        <v>655</v>
      </c>
      <c r="P6110" s="3" t="s">
        <v>64</v>
      </c>
      <c r="Q6110" s="2" t="s">
        <v>56777</v>
      </c>
      <c r="R6110" s="3" t="s">
        <v>13065</v>
      </c>
      <c r="S6110" s="4">
        <v>1</v>
      </c>
      <c r="T6110" s="4">
        <v>18</v>
      </c>
      <c r="U6110" s="5" t="s">
        <v>854</v>
      </c>
      <c r="V6110" s="5" t="s">
        <v>23107</v>
      </c>
      <c r="W6110" s="5" t="s">
        <v>67</v>
      </c>
      <c r="X6110" s="5" t="s">
        <v>67</v>
      </c>
      <c r="Y6110" s="4">
        <v>4</v>
      </c>
      <c r="Z6110" s="4">
        <v>1</v>
      </c>
      <c r="AA6110" s="4">
        <v>14</v>
      </c>
      <c r="AB6110" s="4">
        <v>1</v>
      </c>
      <c r="AC6110" s="4">
        <v>1</v>
      </c>
      <c r="AD6110" s="4">
        <v>0</v>
      </c>
      <c r="AE6110" s="4">
        <v>61</v>
      </c>
      <c r="AF6110" s="4">
        <v>0</v>
      </c>
      <c r="AG6110" s="4">
        <v>0</v>
      </c>
      <c r="AH6110" s="4">
        <v>0</v>
      </c>
      <c r="AI6110" s="4">
        <v>51</v>
      </c>
      <c r="AJ6110" s="4">
        <v>0</v>
      </c>
      <c r="AK6110" s="4">
        <v>5</v>
      </c>
      <c r="AL6110" s="4">
        <v>0</v>
      </c>
      <c r="AM6110" s="4">
        <v>32</v>
      </c>
      <c r="AN6110" s="4">
        <v>0</v>
      </c>
      <c r="AO6110" s="4">
        <v>0</v>
      </c>
      <c r="AP6110" s="4">
        <v>0</v>
      </c>
      <c r="AQ6110" s="4">
        <v>10</v>
      </c>
      <c r="AR6110" s="3" t="s">
        <v>62</v>
      </c>
      <c r="AS6110" s="3" t="s">
        <v>62</v>
      </c>
      <c r="AT6110" s="3" t="s">
        <v>62</v>
      </c>
      <c r="AV6110" s="6" t="str">
        <f t="shared" si="115"/>
        <v>Catalog Record</v>
      </c>
      <c r="AW6110" s="6" t="str">
        <f t="shared" si="116"/>
        <v>WorldCat Record</v>
      </c>
      <c r="AX6110" s="3" t="s">
        <v>56779</v>
      </c>
      <c r="AY6110" s="3" t="s">
        <v>56780</v>
      </c>
      <c r="AZ6110" s="3" t="s">
        <v>56781</v>
      </c>
      <c r="BA6110" s="3" t="s">
        <v>56781</v>
      </c>
      <c r="BB6110" s="3" t="s">
        <v>56849</v>
      </c>
      <c r="BC6110" s="3" t="s">
        <v>33640</v>
      </c>
      <c r="BD6110" s="3" t="s">
        <v>68</v>
      </c>
      <c r="BF6110" s="3" t="s">
        <v>56849</v>
      </c>
      <c r="BG6110" s="3" t="s">
        <v>56850</v>
      </c>
    </row>
    <row r="6111" spans="1:59" ht="87" x14ac:dyDescent="0.35">
      <c r="A6111" s="2" t="s">
        <v>89</v>
      </c>
      <c r="B6111" s="2" t="s">
        <v>42560</v>
      </c>
      <c r="C6111" s="2" t="s">
        <v>56772</v>
      </c>
      <c r="D6111" s="2" t="s">
        <v>56773</v>
      </c>
      <c r="E6111" s="2" t="s">
        <v>56774</v>
      </c>
      <c r="F6111" s="3" t="s">
        <v>56851</v>
      </c>
      <c r="G6111" s="3" t="s">
        <v>61</v>
      </c>
      <c r="I6111" s="3" t="s">
        <v>62</v>
      </c>
      <c r="J6111" s="3" t="s">
        <v>62</v>
      </c>
      <c r="K6111" s="3" t="s">
        <v>63</v>
      </c>
      <c r="M6111" s="2" t="s">
        <v>56776</v>
      </c>
      <c r="N6111" s="3" t="s">
        <v>655</v>
      </c>
      <c r="P6111" s="3" t="s">
        <v>64</v>
      </c>
      <c r="Q6111" s="2" t="s">
        <v>56777</v>
      </c>
      <c r="R6111" s="3" t="s">
        <v>13065</v>
      </c>
      <c r="S6111" s="4">
        <v>0</v>
      </c>
      <c r="T6111" s="4">
        <v>18</v>
      </c>
      <c r="V6111" s="5" t="s">
        <v>23107</v>
      </c>
      <c r="W6111" s="5" t="s">
        <v>67</v>
      </c>
      <c r="X6111" s="5" t="s">
        <v>67</v>
      </c>
      <c r="Y6111" s="4">
        <v>4</v>
      </c>
      <c r="Z6111" s="4">
        <v>1</v>
      </c>
      <c r="AA6111" s="4">
        <v>14</v>
      </c>
      <c r="AB6111" s="4">
        <v>1</v>
      </c>
      <c r="AC6111" s="4">
        <v>1</v>
      </c>
      <c r="AD6111" s="4">
        <v>0</v>
      </c>
      <c r="AE6111" s="4">
        <v>61</v>
      </c>
      <c r="AF6111" s="4">
        <v>0</v>
      </c>
      <c r="AG6111" s="4">
        <v>0</v>
      </c>
      <c r="AH6111" s="4">
        <v>0</v>
      </c>
      <c r="AI6111" s="4">
        <v>51</v>
      </c>
      <c r="AJ6111" s="4">
        <v>0</v>
      </c>
      <c r="AK6111" s="4">
        <v>5</v>
      </c>
      <c r="AL6111" s="4">
        <v>0</v>
      </c>
      <c r="AM6111" s="4">
        <v>32</v>
      </c>
      <c r="AN6111" s="4">
        <v>0</v>
      </c>
      <c r="AO6111" s="4">
        <v>0</v>
      </c>
      <c r="AP6111" s="4">
        <v>0</v>
      </c>
      <c r="AQ6111" s="4">
        <v>10</v>
      </c>
      <c r="AR6111" s="3" t="s">
        <v>62</v>
      </c>
      <c r="AS6111" s="3" t="s">
        <v>62</v>
      </c>
      <c r="AT6111" s="3" t="s">
        <v>62</v>
      </c>
      <c r="AV6111" s="6" t="str">
        <f t="shared" si="115"/>
        <v>Catalog Record</v>
      </c>
      <c r="AW6111" s="6" t="str">
        <f t="shared" si="116"/>
        <v>WorldCat Record</v>
      </c>
      <c r="AX6111" s="3" t="s">
        <v>56779</v>
      </c>
      <c r="AY6111" s="3" t="s">
        <v>56780</v>
      </c>
      <c r="AZ6111" s="3" t="s">
        <v>56781</v>
      </c>
      <c r="BA6111" s="3" t="s">
        <v>56781</v>
      </c>
      <c r="BB6111" s="3" t="s">
        <v>56852</v>
      </c>
      <c r="BC6111" s="3" t="s">
        <v>33640</v>
      </c>
      <c r="BD6111" s="3" t="s">
        <v>68</v>
      </c>
      <c r="BF6111" s="3" t="s">
        <v>56852</v>
      </c>
      <c r="BG6111" s="3" t="s">
        <v>56853</v>
      </c>
    </row>
    <row r="6112" spans="1:59" ht="87" x14ac:dyDescent="0.35">
      <c r="A6112" s="2" t="s">
        <v>89</v>
      </c>
      <c r="B6112" s="2" t="s">
        <v>42560</v>
      </c>
      <c r="C6112" s="2" t="s">
        <v>56854</v>
      </c>
      <c r="D6112" s="2" t="s">
        <v>56855</v>
      </c>
      <c r="E6112" s="2" t="s">
        <v>56856</v>
      </c>
      <c r="G6112" s="3" t="s">
        <v>62</v>
      </c>
      <c r="I6112" s="3" t="s">
        <v>62</v>
      </c>
      <c r="J6112" s="3" t="s">
        <v>62</v>
      </c>
      <c r="K6112" s="3" t="s">
        <v>63</v>
      </c>
      <c r="M6112" s="2" t="s">
        <v>56857</v>
      </c>
      <c r="N6112" s="3" t="s">
        <v>655</v>
      </c>
      <c r="P6112" s="3" t="s">
        <v>64</v>
      </c>
      <c r="Q6112" s="2" t="s">
        <v>56692</v>
      </c>
      <c r="R6112" s="3" t="s">
        <v>42369</v>
      </c>
      <c r="S6112" s="4">
        <v>6</v>
      </c>
      <c r="T6112" s="4">
        <v>6</v>
      </c>
      <c r="U6112" s="5" t="s">
        <v>17448</v>
      </c>
      <c r="V6112" s="5" t="s">
        <v>17448</v>
      </c>
      <c r="W6112" s="5" t="s">
        <v>67</v>
      </c>
      <c r="X6112" s="5" t="s">
        <v>67</v>
      </c>
      <c r="Y6112" s="4">
        <v>403</v>
      </c>
      <c r="Z6112" s="4">
        <v>14</v>
      </c>
      <c r="AA6112" s="4">
        <v>18</v>
      </c>
      <c r="AB6112" s="4">
        <v>1</v>
      </c>
      <c r="AC6112" s="4">
        <v>1</v>
      </c>
      <c r="AD6112" s="4">
        <v>9</v>
      </c>
      <c r="AE6112" s="4">
        <v>17</v>
      </c>
      <c r="AF6112" s="4">
        <v>0</v>
      </c>
      <c r="AG6112" s="4">
        <v>0</v>
      </c>
      <c r="AH6112" s="4">
        <v>8</v>
      </c>
      <c r="AI6112" s="4">
        <v>15</v>
      </c>
      <c r="AJ6112" s="4">
        <v>0</v>
      </c>
      <c r="AK6112" s="4">
        <v>1</v>
      </c>
      <c r="AL6112" s="4">
        <v>5</v>
      </c>
      <c r="AM6112" s="4">
        <v>8</v>
      </c>
      <c r="AN6112" s="4">
        <v>0</v>
      </c>
      <c r="AO6112" s="4">
        <v>0</v>
      </c>
      <c r="AP6112" s="4">
        <v>1</v>
      </c>
      <c r="AQ6112" s="4">
        <v>3</v>
      </c>
      <c r="AR6112" s="3" t="s">
        <v>62</v>
      </c>
      <c r="AS6112" s="3" t="s">
        <v>62</v>
      </c>
      <c r="AT6112" s="3" t="s">
        <v>62</v>
      </c>
      <c r="AV6112" s="6" t="str">
        <f>HYPERLINK("http://mcgill.on.worldcat.org/oclc/83278625","Catalog Record")</f>
        <v>Catalog Record</v>
      </c>
      <c r="AW6112" s="6" t="str">
        <f>HYPERLINK("http://www.worldcat.org/oclc/83278625","WorldCat Record")</f>
        <v>WorldCat Record</v>
      </c>
      <c r="AX6112" s="3" t="s">
        <v>56858</v>
      </c>
      <c r="AY6112" s="3" t="s">
        <v>56859</v>
      </c>
      <c r="AZ6112" s="3" t="s">
        <v>56860</v>
      </c>
      <c r="BA6112" s="3" t="s">
        <v>56860</v>
      </c>
      <c r="BB6112" s="3" t="s">
        <v>56861</v>
      </c>
      <c r="BC6112" s="3" t="s">
        <v>33640</v>
      </c>
      <c r="BD6112" s="3" t="s">
        <v>68</v>
      </c>
      <c r="BE6112" s="3" t="s">
        <v>56862</v>
      </c>
      <c r="BF6112" s="3" t="s">
        <v>56861</v>
      </c>
      <c r="BG6112" s="3" t="s">
        <v>56863</v>
      </c>
    </row>
    <row r="6113" spans="1:59" ht="87" x14ac:dyDescent="0.35">
      <c r="A6113" s="2" t="s">
        <v>89</v>
      </c>
      <c r="B6113" s="2" t="s">
        <v>42560</v>
      </c>
      <c r="C6113" s="2" t="s">
        <v>56864</v>
      </c>
      <c r="D6113" s="2" t="s">
        <v>56865</v>
      </c>
      <c r="E6113" s="2" t="s">
        <v>56866</v>
      </c>
      <c r="G6113" s="3" t="s">
        <v>62</v>
      </c>
      <c r="I6113" s="3" t="s">
        <v>62</v>
      </c>
      <c r="J6113" s="3" t="s">
        <v>62</v>
      </c>
      <c r="K6113" s="3" t="s">
        <v>63</v>
      </c>
      <c r="M6113" s="2" t="s">
        <v>56867</v>
      </c>
      <c r="N6113" s="3" t="s">
        <v>2136</v>
      </c>
      <c r="O6113" s="2" t="s">
        <v>55651</v>
      </c>
      <c r="P6113" s="3" t="s">
        <v>64</v>
      </c>
      <c r="Q6113" s="2" t="s">
        <v>56868</v>
      </c>
      <c r="R6113" s="3" t="s">
        <v>32962</v>
      </c>
      <c r="S6113" s="4">
        <v>1</v>
      </c>
      <c r="T6113" s="4">
        <v>1</v>
      </c>
      <c r="U6113" s="5" t="s">
        <v>5844</v>
      </c>
      <c r="V6113" s="5" t="s">
        <v>5844</v>
      </c>
      <c r="W6113" s="5" t="s">
        <v>67</v>
      </c>
      <c r="X6113" s="5" t="s">
        <v>67</v>
      </c>
      <c r="Y6113" s="4">
        <v>381</v>
      </c>
      <c r="Z6113" s="4">
        <v>10</v>
      </c>
      <c r="AA6113" s="4">
        <v>13</v>
      </c>
      <c r="AB6113" s="4">
        <v>1</v>
      </c>
      <c r="AC6113" s="4">
        <v>1</v>
      </c>
      <c r="AD6113" s="4">
        <v>7</v>
      </c>
      <c r="AE6113" s="4">
        <v>10</v>
      </c>
      <c r="AF6113" s="4">
        <v>0</v>
      </c>
      <c r="AG6113" s="4">
        <v>0</v>
      </c>
      <c r="AH6113" s="4">
        <v>6</v>
      </c>
      <c r="AI6113" s="4">
        <v>7</v>
      </c>
      <c r="AJ6113" s="4">
        <v>0</v>
      </c>
      <c r="AK6113" s="4">
        <v>1</v>
      </c>
      <c r="AL6113" s="4">
        <v>2</v>
      </c>
      <c r="AM6113" s="4">
        <v>2</v>
      </c>
      <c r="AN6113" s="4">
        <v>0</v>
      </c>
      <c r="AO6113" s="4">
        <v>0</v>
      </c>
      <c r="AP6113" s="4">
        <v>1</v>
      </c>
      <c r="AQ6113" s="4">
        <v>4</v>
      </c>
      <c r="AR6113" s="3" t="s">
        <v>62</v>
      </c>
      <c r="AS6113" s="3" t="s">
        <v>62</v>
      </c>
      <c r="AT6113" s="3" t="s">
        <v>62</v>
      </c>
      <c r="AV6113" s="6" t="str">
        <f>HYPERLINK("http://mcgill.on.worldcat.org/oclc/62876609","Catalog Record")</f>
        <v>Catalog Record</v>
      </c>
      <c r="AW6113" s="6" t="str">
        <f>HYPERLINK("http://www.worldcat.org/oclc/62876609","WorldCat Record")</f>
        <v>WorldCat Record</v>
      </c>
      <c r="AX6113" s="3" t="s">
        <v>56869</v>
      </c>
      <c r="AY6113" s="3" t="s">
        <v>56870</v>
      </c>
      <c r="AZ6113" s="3" t="s">
        <v>56871</v>
      </c>
      <c r="BA6113" s="3" t="s">
        <v>56871</v>
      </c>
      <c r="BB6113" s="3" t="s">
        <v>56872</v>
      </c>
      <c r="BC6113" s="3" t="s">
        <v>33640</v>
      </c>
      <c r="BD6113" s="3" t="s">
        <v>68</v>
      </c>
      <c r="BE6113" s="3" t="s">
        <v>56873</v>
      </c>
      <c r="BF6113" s="3" t="s">
        <v>56872</v>
      </c>
      <c r="BG6113" s="3" t="s">
        <v>56874</v>
      </c>
    </row>
    <row r="6114" spans="1:59" ht="87" x14ac:dyDescent="0.35">
      <c r="A6114" s="2" t="s">
        <v>89</v>
      </c>
      <c r="B6114" s="2" t="s">
        <v>42560</v>
      </c>
      <c r="C6114" s="2" t="s">
        <v>56875</v>
      </c>
      <c r="D6114" s="2" t="s">
        <v>56876</v>
      </c>
      <c r="E6114" s="2" t="s">
        <v>56877</v>
      </c>
      <c r="G6114" s="3" t="s">
        <v>62</v>
      </c>
      <c r="I6114" s="3" t="s">
        <v>62</v>
      </c>
      <c r="J6114" s="3" t="s">
        <v>62</v>
      </c>
      <c r="K6114" s="3" t="s">
        <v>63</v>
      </c>
      <c r="M6114" s="2" t="s">
        <v>56878</v>
      </c>
      <c r="N6114" s="3" t="s">
        <v>568</v>
      </c>
      <c r="P6114" s="3" t="s">
        <v>64</v>
      </c>
      <c r="R6114" s="3" t="s">
        <v>42369</v>
      </c>
      <c r="S6114" s="4">
        <v>8</v>
      </c>
      <c r="T6114" s="4">
        <v>8</v>
      </c>
      <c r="U6114" s="5" t="s">
        <v>49627</v>
      </c>
      <c r="V6114" s="5" t="s">
        <v>49627</v>
      </c>
      <c r="W6114" s="5" t="s">
        <v>67</v>
      </c>
      <c r="X6114" s="5" t="s">
        <v>67</v>
      </c>
      <c r="Y6114" s="4">
        <v>154</v>
      </c>
      <c r="Z6114" s="4">
        <v>4</v>
      </c>
      <c r="AA6114" s="4">
        <v>10</v>
      </c>
      <c r="AB6114" s="4">
        <v>1</v>
      </c>
      <c r="AC6114" s="4">
        <v>1</v>
      </c>
      <c r="AD6114" s="4">
        <v>10</v>
      </c>
      <c r="AE6114" s="4">
        <v>14</v>
      </c>
      <c r="AF6114" s="4">
        <v>0</v>
      </c>
      <c r="AG6114" s="4">
        <v>0</v>
      </c>
      <c r="AH6114" s="4">
        <v>10</v>
      </c>
      <c r="AI6114" s="4">
        <v>14</v>
      </c>
      <c r="AJ6114" s="4">
        <v>1</v>
      </c>
      <c r="AK6114" s="4">
        <v>2</v>
      </c>
      <c r="AL6114" s="4">
        <v>8</v>
      </c>
      <c r="AM6114" s="4">
        <v>9</v>
      </c>
      <c r="AN6114" s="4">
        <v>0</v>
      </c>
      <c r="AO6114" s="4">
        <v>0</v>
      </c>
      <c r="AP6114" s="4">
        <v>1</v>
      </c>
      <c r="AQ6114" s="4">
        <v>2</v>
      </c>
      <c r="AR6114" s="3" t="s">
        <v>62</v>
      </c>
      <c r="AS6114" s="3" t="s">
        <v>62</v>
      </c>
      <c r="AT6114" s="3" t="s">
        <v>62</v>
      </c>
      <c r="AV6114" s="6" t="str">
        <f>HYPERLINK("http://mcgill.on.worldcat.org/oclc/44481228","Catalog Record")</f>
        <v>Catalog Record</v>
      </c>
      <c r="AW6114" s="6" t="str">
        <f>HYPERLINK("http://www.worldcat.org/oclc/44481228","WorldCat Record")</f>
        <v>WorldCat Record</v>
      </c>
      <c r="AX6114" s="3" t="s">
        <v>56879</v>
      </c>
      <c r="AY6114" s="3" t="s">
        <v>56880</v>
      </c>
      <c r="AZ6114" s="3" t="s">
        <v>56881</v>
      </c>
      <c r="BA6114" s="3" t="s">
        <v>56881</v>
      </c>
      <c r="BB6114" s="3" t="s">
        <v>56882</v>
      </c>
      <c r="BC6114" s="3" t="s">
        <v>33640</v>
      </c>
      <c r="BD6114" s="3" t="s">
        <v>68</v>
      </c>
      <c r="BE6114" s="3" t="s">
        <v>56883</v>
      </c>
      <c r="BF6114" s="3" t="s">
        <v>56882</v>
      </c>
      <c r="BG6114" s="3" t="s">
        <v>56884</v>
      </c>
    </row>
    <row r="6115" spans="1:59" ht="87" x14ac:dyDescent="0.35">
      <c r="A6115" s="2" t="s">
        <v>89</v>
      </c>
      <c r="B6115" s="2" t="s">
        <v>42560</v>
      </c>
      <c r="C6115" s="2" t="s">
        <v>56885</v>
      </c>
      <c r="D6115" s="2" t="s">
        <v>56886</v>
      </c>
      <c r="E6115" s="2" t="s">
        <v>56887</v>
      </c>
      <c r="G6115" s="3" t="s">
        <v>62</v>
      </c>
      <c r="I6115" s="3" t="s">
        <v>62</v>
      </c>
      <c r="J6115" s="3" t="s">
        <v>62</v>
      </c>
      <c r="K6115" s="3" t="s">
        <v>63</v>
      </c>
      <c r="M6115" s="2" t="s">
        <v>56888</v>
      </c>
      <c r="N6115" s="3" t="s">
        <v>684</v>
      </c>
      <c r="P6115" s="3" t="s">
        <v>64</v>
      </c>
      <c r="R6115" s="3" t="s">
        <v>25645</v>
      </c>
      <c r="S6115" s="4">
        <v>5</v>
      </c>
      <c r="T6115" s="4">
        <v>5</v>
      </c>
      <c r="U6115" s="5" t="s">
        <v>9101</v>
      </c>
      <c r="V6115" s="5" t="s">
        <v>9101</v>
      </c>
      <c r="W6115" s="5" t="s">
        <v>67</v>
      </c>
      <c r="X6115" s="5" t="s">
        <v>67</v>
      </c>
      <c r="Y6115" s="4">
        <v>118</v>
      </c>
      <c r="Z6115" s="4">
        <v>8</v>
      </c>
      <c r="AA6115" s="4">
        <v>11</v>
      </c>
      <c r="AB6115" s="4">
        <v>1</v>
      </c>
      <c r="AC6115" s="4">
        <v>1</v>
      </c>
      <c r="AD6115" s="4">
        <v>19</v>
      </c>
      <c r="AE6115" s="4">
        <v>38</v>
      </c>
      <c r="AF6115" s="4">
        <v>0</v>
      </c>
      <c r="AG6115" s="4">
        <v>0</v>
      </c>
      <c r="AH6115" s="4">
        <v>19</v>
      </c>
      <c r="AI6115" s="4">
        <v>36</v>
      </c>
      <c r="AJ6115" s="4">
        <v>4</v>
      </c>
      <c r="AK6115" s="4">
        <v>6</v>
      </c>
      <c r="AL6115" s="4">
        <v>13</v>
      </c>
      <c r="AM6115" s="4">
        <v>24</v>
      </c>
      <c r="AN6115" s="4">
        <v>0</v>
      </c>
      <c r="AO6115" s="4">
        <v>0</v>
      </c>
      <c r="AP6115" s="4">
        <v>4</v>
      </c>
      <c r="AQ6115" s="4">
        <v>7</v>
      </c>
      <c r="AR6115" s="3" t="s">
        <v>62</v>
      </c>
      <c r="AS6115" s="3" t="s">
        <v>62</v>
      </c>
      <c r="AT6115" s="3" t="s">
        <v>62</v>
      </c>
      <c r="AV6115" s="6" t="str">
        <f>HYPERLINK("http://mcgill.on.worldcat.org/oclc/781311016","Catalog Record")</f>
        <v>Catalog Record</v>
      </c>
      <c r="AW6115" s="6" t="str">
        <f>HYPERLINK("http://www.worldcat.org/oclc/781311016","WorldCat Record")</f>
        <v>WorldCat Record</v>
      </c>
      <c r="AX6115" s="3" t="s">
        <v>56889</v>
      </c>
      <c r="AY6115" s="3" t="s">
        <v>56890</v>
      </c>
      <c r="AZ6115" s="3" t="s">
        <v>56891</v>
      </c>
      <c r="BA6115" s="3" t="s">
        <v>56891</v>
      </c>
      <c r="BB6115" s="3" t="s">
        <v>56892</v>
      </c>
      <c r="BC6115" s="3" t="s">
        <v>33640</v>
      </c>
      <c r="BD6115" s="3" t="s">
        <v>68</v>
      </c>
      <c r="BE6115" s="3" t="s">
        <v>56893</v>
      </c>
      <c r="BF6115" s="3" t="s">
        <v>56892</v>
      </c>
      <c r="BG6115" s="3" t="s">
        <v>56894</v>
      </c>
    </row>
    <row r="6116" spans="1:59" ht="101.5" x14ac:dyDescent="0.35">
      <c r="A6116" s="2" t="s">
        <v>89</v>
      </c>
      <c r="B6116" s="2" t="s">
        <v>42560</v>
      </c>
      <c r="C6116" s="2" t="s">
        <v>56895</v>
      </c>
      <c r="D6116" s="2" t="s">
        <v>56896</v>
      </c>
      <c r="E6116" s="2" t="s">
        <v>33630</v>
      </c>
      <c r="G6116" s="3" t="s">
        <v>62</v>
      </c>
      <c r="I6116" s="3" t="s">
        <v>61</v>
      </c>
      <c r="J6116" s="3" t="s">
        <v>62</v>
      </c>
      <c r="K6116" s="3" t="s">
        <v>63</v>
      </c>
      <c r="L6116" s="2" t="s">
        <v>33632</v>
      </c>
      <c r="M6116" s="2" t="s">
        <v>33633</v>
      </c>
      <c r="N6116" s="3" t="s">
        <v>1195</v>
      </c>
      <c r="P6116" s="3" t="s">
        <v>64</v>
      </c>
      <c r="Q6116" s="2" t="s">
        <v>33634</v>
      </c>
      <c r="R6116" s="3" t="s">
        <v>32962</v>
      </c>
      <c r="S6116" s="4">
        <v>2</v>
      </c>
      <c r="T6116" s="4">
        <v>9</v>
      </c>
      <c r="U6116" s="5" t="s">
        <v>28719</v>
      </c>
      <c r="V6116" s="5" t="s">
        <v>28719</v>
      </c>
      <c r="W6116" s="5" t="s">
        <v>67</v>
      </c>
      <c r="X6116" s="5" t="s">
        <v>67</v>
      </c>
      <c r="Y6116" s="4">
        <v>359</v>
      </c>
      <c r="Z6116" s="4">
        <v>15</v>
      </c>
      <c r="AA6116" s="4">
        <v>30</v>
      </c>
      <c r="AB6116" s="4">
        <v>3</v>
      </c>
      <c r="AC6116" s="4">
        <v>5</v>
      </c>
      <c r="AD6116" s="4">
        <v>28</v>
      </c>
      <c r="AE6116" s="4">
        <v>45</v>
      </c>
      <c r="AF6116" s="4">
        <v>1</v>
      </c>
      <c r="AG6116" s="4">
        <v>2</v>
      </c>
      <c r="AH6116" s="4">
        <v>27</v>
      </c>
      <c r="AI6116" s="4">
        <v>40</v>
      </c>
      <c r="AJ6116" s="4">
        <v>3</v>
      </c>
      <c r="AK6116" s="4">
        <v>6</v>
      </c>
      <c r="AL6116" s="4">
        <v>15</v>
      </c>
      <c r="AM6116" s="4">
        <v>23</v>
      </c>
      <c r="AN6116" s="4">
        <v>0</v>
      </c>
      <c r="AO6116" s="4">
        <v>0</v>
      </c>
      <c r="AP6116" s="4">
        <v>3</v>
      </c>
      <c r="AQ6116" s="4">
        <v>7</v>
      </c>
      <c r="AR6116" s="3" t="s">
        <v>62</v>
      </c>
      <c r="AS6116" s="3" t="s">
        <v>62</v>
      </c>
      <c r="AT6116" s="3" t="s">
        <v>62</v>
      </c>
      <c r="AV6116" s="6" t="str">
        <f>HYPERLINK("http://mcgill.on.worldcat.org/oclc/63175036","Catalog Record")</f>
        <v>Catalog Record</v>
      </c>
      <c r="AW6116" s="6" t="str">
        <f>HYPERLINK("http://www.worldcat.org/oclc/63175036","WorldCat Record")</f>
        <v>WorldCat Record</v>
      </c>
      <c r="AX6116" s="3" t="s">
        <v>33636</v>
      </c>
      <c r="AY6116" s="3" t="s">
        <v>33637</v>
      </c>
      <c r="AZ6116" s="3" t="s">
        <v>33638</v>
      </c>
      <c r="BA6116" s="3" t="s">
        <v>33638</v>
      </c>
      <c r="BB6116" s="3" t="s">
        <v>56897</v>
      </c>
      <c r="BC6116" s="3" t="s">
        <v>33640</v>
      </c>
      <c r="BD6116" s="3" t="s">
        <v>68</v>
      </c>
      <c r="BE6116" s="3" t="s">
        <v>33641</v>
      </c>
      <c r="BF6116" s="3" t="s">
        <v>56897</v>
      </c>
      <c r="BG6116" s="3" t="s">
        <v>56898</v>
      </c>
    </row>
    <row r="6117" spans="1:59" ht="87" x14ac:dyDescent="0.35">
      <c r="A6117" s="2" t="s">
        <v>89</v>
      </c>
      <c r="B6117" s="2" t="s">
        <v>42560</v>
      </c>
      <c r="C6117" s="2" t="s">
        <v>56899</v>
      </c>
      <c r="D6117" s="2" t="s">
        <v>56900</v>
      </c>
      <c r="E6117" s="2" t="s">
        <v>56901</v>
      </c>
      <c r="G6117" s="3" t="s">
        <v>62</v>
      </c>
      <c r="I6117" s="3" t="s">
        <v>62</v>
      </c>
      <c r="J6117" s="3" t="s">
        <v>62</v>
      </c>
      <c r="K6117" s="3" t="s">
        <v>63</v>
      </c>
      <c r="M6117" s="2" t="s">
        <v>56902</v>
      </c>
      <c r="N6117" s="3" t="s">
        <v>880</v>
      </c>
      <c r="P6117" s="3" t="s">
        <v>54919</v>
      </c>
      <c r="R6117" s="3" t="s">
        <v>27443</v>
      </c>
      <c r="S6117" s="4">
        <v>7</v>
      </c>
      <c r="T6117" s="4">
        <v>7</v>
      </c>
      <c r="U6117" s="5" t="s">
        <v>55862</v>
      </c>
      <c r="V6117" s="5" t="s">
        <v>55862</v>
      </c>
      <c r="W6117" s="5" t="s">
        <v>67</v>
      </c>
      <c r="X6117" s="5" t="s">
        <v>67</v>
      </c>
      <c r="Y6117" s="4">
        <v>26</v>
      </c>
      <c r="Z6117" s="4">
        <v>16</v>
      </c>
      <c r="AA6117" s="4">
        <v>23</v>
      </c>
      <c r="AB6117" s="4">
        <v>3</v>
      </c>
      <c r="AC6117" s="4">
        <v>5</v>
      </c>
      <c r="AD6117" s="4">
        <v>13</v>
      </c>
      <c r="AE6117" s="4">
        <v>24</v>
      </c>
      <c r="AF6117" s="4">
        <v>1</v>
      </c>
      <c r="AG6117" s="4">
        <v>2</v>
      </c>
      <c r="AH6117" s="4">
        <v>6</v>
      </c>
      <c r="AI6117" s="4">
        <v>15</v>
      </c>
      <c r="AJ6117" s="4">
        <v>7</v>
      </c>
      <c r="AK6117" s="4">
        <v>10</v>
      </c>
      <c r="AL6117" s="4">
        <v>3</v>
      </c>
      <c r="AM6117" s="4">
        <v>7</v>
      </c>
      <c r="AN6117" s="4">
        <v>0</v>
      </c>
      <c r="AO6117" s="4">
        <v>0</v>
      </c>
      <c r="AP6117" s="4">
        <v>10</v>
      </c>
      <c r="AQ6117" s="4">
        <v>15</v>
      </c>
      <c r="AR6117" s="3" t="s">
        <v>61</v>
      </c>
      <c r="AS6117" s="3" t="s">
        <v>62</v>
      </c>
      <c r="AT6117" s="3" t="s">
        <v>62</v>
      </c>
      <c r="AV6117" s="6" t="str">
        <f>HYPERLINK("http://mcgill.on.worldcat.org/oclc/710026147","Catalog Record")</f>
        <v>Catalog Record</v>
      </c>
      <c r="AW6117" s="6" t="str">
        <f>HYPERLINK("http://www.worldcat.org/oclc/710026147","WorldCat Record")</f>
        <v>WorldCat Record</v>
      </c>
      <c r="AX6117" s="3" t="s">
        <v>56903</v>
      </c>
      <c r="AY6117" s="3" t="s">
        <v>56904</v>
      </c>
      <c r="AZ6117" s="3" t="s">
        <v>56905</v>
      </c>
      <c r="BA6117" s="3" t="s">
        <v>56905</v>
      </c>
      <c r="BB6117" s="3" t="s">
        <v>56906</v>
      </c>
      <c r="BC6117" s="3" t="s">
        <v>33640</v>
      </c>
      <c r="BD6117" s="3" t="s">
        <v>68</v>
      </c>
      <c r="BF6117" s="3" t="s">
        <v>56906</v>
      </c>
      <c r="BG6117" s="3" t="s">
        <v>56907</v>
      </c>
    </row>
    <row r="6118" spans="1:59" ht="101.5" x14ac:dyDescent="0.35">
      <c r="A6118" s="2" t="s">
        <v>89</v>
      </c>
      <c r="B6118" s="2" t="s">
        <v>23744</v>
      </c>
      <c r="C6118" s="2" t="s">
        <v>56908</v>
      </c>
      <c r="D6118" s="2" t="s">
        <v>56909</v>
      </c>
      <c r="E6118" s="2" t="s">
        <v>56910</v>
      </c>
      <c r="G6118" s="3" t="s">
        <v>61</v>
      </c>
      <c r="I6118" s="3" t="s">
        <v>61</v>
      </c>
      <c r="J6118" s="3" t="s">
        <v>62</v>
      </c>
      <c r="K6118" s="3" t="s">
        <v>63</v>
      </c>
      <c r="M6118" s="2" t="s">
        <v>56911</v>
      </c>
      <c r="N6118" s="3" t="s">
        <v>2000</v>
      </c>
      <c r="P6118" s="3" t="s">
        <v>64</v>
      </c>
      <c r="Q6118" s="2" t="s">
        <v>56912</v>
      </c>
      <c r="R6118" s="3" t="s">
        <v>34126</v>
      </c>
      <c r="S6118" s="4">
        <v>0</v>
      </c>
      <c r="T6118" s="4">
        <v>98</v>
      </c>
      <c r="V6118" s="5" t="s">
        <v>4989</v>
      </c>
      <c r="W6118" s="5" t="s">
        <v>67</v>
      </c>
      <c r="X6118" s="5" t="s">
        <v>67</v>
      </c>
      <c r="Y6118" s="4">
        <v>113</v>
      </c>
      <c r="Z6118" s="4">
        <v>60</v>
      </c>
      <c r="AA6118" s="4">
        <v>67</v>
      </c>
      <c r="AB6118" s="4">
        <v>4</v>
      </c>
      <c r="AC6118" s="4">
        <v>8</v>
      </c>
      <c r="AD6118" s="4">
        <v>56</v>
      </c>
      <c r="AE6118" s="4">
        <v>61</v>
      </c>
      <c r="AF6118" s="4">
        <v>1</v>
      </c>
      <c r="AG6118" s="4">
        <v>3</v>
      </c>
      <c r="AH6118" s="4">
        <v>31</v>
      </c>
      <c r="AI6118" s="4">
        <v>31</v>
      </c>
      <c r="AJ6118" s="4">
        <v>21</v>
      </c>
      <c r="AK6118" s="4">
        <v>24</v>
      </c>
      <c r="AL6118" s="4">
        <v>17</v>
      </c>
      <c r="AM6118" s="4">
        <v>17</v>
      </c>
      <c r="AN6118" s="4">
        <v>0</v>
      </c>
      <c r="AO6118" s="4">
        <v>0</v>
      </c>
      <c r="AP6118" s="4">
        <v>33</v>
      </c>
      <c r="AQ6118" s="4">
        <v>37</v>
      </c>
      <c r="AR6118" s="3" t="s">
        <v>61</v>
      </c>
      <c r="AS6118" s="3" t="s">
        <v>62</v>
      </c>
      <c r="AT6118" s="3" t="s">
        <v>61</v>
      </c>
      <c r="AU6118" s="6" t="str">
        <f>HYPERLINK("http://catalog.hathitrust.org/Record/007813070","HathiTrust Record")</f>
        <v>HathiTrust Record</v>
      </c>
      <c r="AV6118" s="6" t="str">
        <f>HYPERLINK("http://mcgill.on.worldcat.org/oclc/36417528","Catalog Record")</f>
        <v>Catalog Record</v>
      </c>
      <c r="AW6118" s="6" t="str">
        <f>HYPERLINK("http://www.worldcat.org/oclc/36417528","WorldCat Record")</f>
        <v>WorldCat Record</v>
      </c>
      <c r="AX6118" s="3" t="s">
        <v>56913</v>
      </c>
      <c r="AY6118" s="3" t="s">
        <v>56914</v>
      </c>
      <c r="AZ6118" s="3" t="s">
        <v>56915</v>
      </c>
      <c r="BA6118" s="3" t="s">
        <v>56915</v>
      </c>
      <c r="BB6118" s="3" t="s">
        <v>56916</v>
      </c>
      <c r="BC6118" s="3" t="s">
        <v>102</v>
      </c>
      <c r="BD6118" s="3" t="s">
        <v>68</v>
      </c>
      <c r="BE6118" s="3" t="s">
        <v>56917</v>
      </c>
      <c r="BF6118" s="3" t="s">
        <v>56916</v>
      </c>
      <c r="BG6118" s="3" t="s">
        <v>56918</v>
      </c>
    </row>
    <row r="6119" spans="1:59" ht="101.5" x14ac:dyDescent="0.35">
      <c r="A6119" s="2" t="s">
        <v>89</v>
      </c>
      <c r="B6119" s="2" t="s">
        <v>23744</v>
      </c>
      <c r="C6119" s="2" t="s">
        <v>56908</v>
      </c>
      <c r="D6119" s="2" t="s">
        <v>56909</v>
      </c>
      <c r="E6119" s="2" t="s">
        <v>56910</v>
      </c>
      <c r="F6119" s="3" t="s">
        <v>2233</v>
      </c>
      <c r="G6119" s="3" t="s">
        <v>61</v>
      </c>
      <c r="I6119" s="3" t="s">
        <v>61</v>
      </c>
      <c r="J6119" s="3" t="s">
        <v>62</v>
      </c>
      <c r="K6119" s="3" t="s">
        <v>63</v>
      </c>
      <c r="M6119" s="2" t="s">
        <v>56911</v>
      </c>
      <c r="N6119" s="3" t="s">
        <v>2000</v>
      </c>
      <c r="P6119" s="3" t="s">
        <v>64</v>
      </c>
      <c r="Q6119" s="2" t="s">
        <v>56912</v>
      </c>
      <c r="R6119" s="3" t="s">
        <v>34126</v>
      </c>
      <c r="S6119" s="4">
        <v>0</v>
      </c>
      <c r="T6119" s="4">
        <v>98</v>
      </c>
      <c r="V6119" s="5" t="s">
        <v>4989</v>
      </c>
      <c r="W6119" s="5" t="s">
        <v>67</v>
      </c>
      <c r="X6119" s="5" t="s">
        <v>67</v>
      </c>
      <c r="Y6119" s="4">
        <v>113</v>
      </c>
      <c r="Z6119" s="4">
        <v>60</v>
      </c>
      <c r="AA6119" s="4">
        <v>67</v>
      </c>
      <c r="AB6119" s="4">
        <v>4</v>
      </c>
      <c r="AC6119" s="4">
        <v>8</v>
      </c>
      <c r="AD6119" s="4">
        <v>56</v>
      </c>
      <c r="AE6119" s="4">
        <v>61</v>
      </c>
      <c r="AF6119" s="4">
        <v>1</v>
      </c>
      <c r="AG6119" s="4">
        <v>3</v>
      </c>
      <c r="AH6119" s="4">
        <v>31</v>
      </c>
      <c r="AI6119" s="4">
        <v>31</v>
      </c>
      <c r="AJ6119" s="4">
        <v>21</v>
      </c>
      <c r="AK6119" s="4">
        <v>24</v>
      </c>
      <c r="AL6119" s="4">
        <v>17</v>
      </c>
      <c r="AM6119" s="4">
        <v>17</v>
      </c>
      <c r="AN6119" s="4">
        <v>0</v>
      </c>
      <c r="AO6119" s="4">
        <v>0</v>
      </c>
      <c r="AP6119" s="4">
        <v>33</v>
      </c>
      <c r="AQ6119" s="4">
        <v>37</v>
      </c>
      <c r="AR6119" s="3" t="s">
        <v>61</v>
      </c>
      <c r="AS6119" s="3" t="s">
        <v>62</v>
      </c>
      <c r="AT6119" s="3" t="s">
        <v>61</v>
      </c>
      <c r="AU6119" s="6" t="str">
        <f>HYPERLINK("http://catalog.hathitrust.org/Record/007813070","HathiTrust Record")</f>
        <v>HathiTrust Record</v>
      </c>
      <c r="AV6119" s="6" t="str">
        <f>HYPERLINK("http://mcgill.on.worldcat.org/oclc/36417528","Catalog Record")</f>
        <v>Catalog Record</v>
      </c>
      <c r="AW6119" s="6" t="str">
        <f>HYPERLINK("http://www.worldcat.org/oclc/36417528","WorldCat Record")</f>
        <v>WorldCat Record</v>
      </c>
      <c r="AX6119" s="3" t="s">
        <v>56913</v>
      </c>
      <c r="AY6119" s="3" t="s">
        <v>56914</v>
      </c>
      <c r="AZ6119" s="3" t="s">
        <v>56915</v>
      </c>
      <c r="BA6119" s="3" t="s">
        <v>56915</v>
      </c>
      <c r="BB6119" s="3" t="s">
        <v>56919</v>
      </c>
      <c r="BC6119" s="3" t="s">
        <v>102</v>
      </c>
      <c r="BD6119" s="3" t="s">
        <v>68</v>
      </c>
      <c r="BE6119" s="3" t="s">
        <v>56917</v>
      </c>
      <c r="BF6119" s="3" t="s">
        <v>56919</v>
      </c>
      <c r="BG6119" s="3" t="s">
        <v>56920</v>
      </c>
    </row>
    <row r="6120" spans="1:59" ht="101.5" x14ac:dyDescent="0.35">
      <c r="A6120" s="2" t="s">
        <v>89</v>
      </c>
      <c r="B6120" s="2" t="s">
        <v>23744</v>
      </c>
      <c r="C6120" s="2" t="s">
        <v>56921</v>
      </c>
      <c r="D6120" s="2" t="s">
        <v>56922</v>
      </c>
      <c r="E6120" s="2" t="s">
        <v>56923</v>
      </c>
      <c r="G6120" s="3" t="s">
        <v>62</v>
      </c>
      <c r="I6120" s="3" t="s">
        <v>61</v>
      </c>
      <c r="J6120" s="3" t="s">
        <v>62</v>
      </c>
      <c r="K6120" s="3" t="s">
        <v>63</v>
      </c>
      <c r="L6120" s="2" t="s">
        <v>56924</v>
      </c>
      <c r="M6120" s="2" t="s">
        <v>56925</v>
      </c>
      <c r="N6120" s="3" t="s">
        <v>115</v>
      </c>
      <c r="P6120" s="3" t="s">
        <v>64</v>
      </c>
      <c r="R6120" s="3" t="s">
        <v>42369</v>
      </c>
      <c r="S6120" s="4">
        <v>0</v>
      </c>
      <c r="T6120" s="4">
        <v>4</v>
      </c>
      <c r="V6120" s="5" t="s">
        <v>23181</v>
      </c>
      <c r="W6120" s="5" t="s">
        <v>67</v>
      </c>
      <c r="X6120" s="5" t="s">
        <v>67</v>
      </c>
      <c r="Y6120" s="4">
        <v>78</v>
      </c>
      <c r="Z6120" s="4">
        <v>49</v>
      </c>
      <c r="AA6120" s="4">
        <v>54</v>
      </c>
      <c r="AB6120" s="4">
        <v>3</v>
      </c>
      <c r="AC6120" s="4">
        <v>4</v>
      </c>
      <c r="AD6120" s="4">
        <v>41</v>
      </c>
      <c r="AE6120" s="4">
        <v>45</v>
      </c>
      <c r="AF6120" s="4">
        <v>1</v>
      </c>
      <c r="AG6120" s="4">
        <v>1</v>
      </c>
      <c r="AH6120" s="4">
        <v>23</v>
      </c>
      <c r="AI6120" s="4">
        <v>25</v>
      </c>
      <c r="AJ6120" s="4">
        <v>17</v>
      </c>
      <c r="AK6120" s="4">
        <v>19</v>
      </c>
      <c r="AL6120" s="4">
        <v>14</v>
      </c>
      <c r="AM6120" s="4">
        <v>14</v>
      </c>
      <c r="AN6120" s="4">
        <v>0</v>
      </c>
      <c r="AO6120" s="4">
        <v>0</v>
      </c>
      <c r="AP6120" s="4">
        <v>24</v>
      </c>
      <c r="AQ6120" s="4">
        <v>28</v>
      </c>
      <c r="AR6120" s="3" t="s">
        <v>61</v>
      </c>
      <c r="AS6120" s="3" t="s">
        <v>62</v>
      </c>
      <c r="AT6120" s="3" t="s">
        <v>62</v>
      </c>
      <c r="AV6120" s="6" t="str">
        <f>HYPERLINK("http://mcgill.on.worldcat.org/oclc/28634762","Catalog Record")</f>
        <v>Catalog Record</v>
      </c>
      <c r="AW6120" s="6" t="str">
        <f>HYPERLINK("http://www.worldcat.org/oclc/28634762","WorldCat Record")</f>
        <v>WorldCat Record</v>
      </c>
      <c r="AX6120" s="3" t="s">
        <v>56926</v>
      </c>
      <c r="AY6120" s="3" t="s">
        <v>56927</v>
      </c>
      <c r="AZ6120" s="3" t="s">
        <v>56928</v>
      </c>
      <c r="BA6120" s="3" t="s">
        <v>56928</v>
      </c>
      <c r="BB6120" s="3" t="s">
        <v>56929</v>
      </c>
      <c r="BC6120" s="3" t="s">
        <v>102</v>
      </c>
      <c r="BD6120" s="3" t="s">
        <v>68</v>
      </c>
      <c r="BE6120" s="3" t="s">
        <v>56930</v>
      </c>
      <c r="BF6120" s="3" t="s">
        <v>56929</v>
      </c>
      <c r="BG6120" s="3" t="s">
        <v>56931</v>
      </c>
    </row>
    <row r="6121" spans="1:59" ht="101.5" x14ac:dyDescent="0.35">
      <c r="A6121" s="2" t="s">
        <v>89</v>
      </c>
      <c r="B6121" s="2" t="s">
        <v>23744</v>
      </c>
      <c r="C6121" s="2" t="s">
        <v>56932</v>
      </c>
      <c r="D6121" s="2" t="s">
        <v>56933</v>
      </c>
      <c r="E6121" s="2" t="s">
        <v>56934</v>
      </c>
      <c r="G6121" s="3" t="s">
        <v>62</v>
      </c>
      <c r="I6121" s="3" t="s">
        <v>61</v>
      </c>
      <c r="J6121" s="3" t="s">
        <v>62</v>
      </c>
      <c r="K6121" s="3" t="s">
        <v>63</v>
      </c>
      <c r="M6121" s="2" t="s">
        <v>56935</v>
      </c>
      <c r="N6121" s="3" t="s">
        <v>466</v>
      </c>
      <c r="P6121" s="3" t="s">
        <v>64</v>
      </c>
      <c r="R6121" s="3" t="s">
        <v>34126</v>
      </c>
      <c r="S6121" s="4">
        <v>1</v>
      </c>
      <c r="T6121" s="4">
        <v>24</v>
      </c>
      <c r="U6121" s="5" t="s">
        <v>8280</v>
      </c>
      <c r="V6121" s="5" t="s">
        <v>8280</v>
      </c>
      <c r="W6121" s="5" t="s">
        <v>67</v>
      </c>
      <c r="X6121" s="5" t="s">
        <v>67</v>
      </c>
      <c r="Y6121" s="4">
        <v>126</v>
      </c>
      <c r="Z6121" s="4">
        <v>79</v>
      </c>
      <c r="AA6121" s="4">
        <v>81</v>
      </c>
      <c r="AB6121" s="4">
        <v>3</v>
      </c>
      <c r="AC6121" s="4">
        <v>3</v>
      </c>
      <c r="AD6121" s="4">
        <v>59</v>
      </c>
      <c r="AE6121" s="4">
        <v>61</v>
      </c>
      <c r="AF6121" s="4">
        <v>2</v>
      </c>
      <c r="AG6121" s="4">
        <v>2</v>
      </c>
      <c r="AH6121" s="4">
        <v>30</v>
      </c>
      <c r="AI6121" s="4">
        <v>31</v>
      </c>
      <c r="AJ6121" s="4">
        <v>22</v>
      </c>
      <c r="AK6121" s="4">
        <v>23</v>
      </c>
      <c r="AL6121" s="4">
        <v>20</v>
      </c>
      <c r="AM6121" s="4">
        <v>20</v>
      </c>
      <c r="AN6121" s="4">
        <v>0</v>
      </c>
      <c r="AO6121" s="4">
        <v>0</v>
      </c>
      <c r="AP6121" s="4">
        <v>35</v>
      </c>
      <c r="AQ6121" s="4">
        <v>37</v>
      </c>
      <c r="AR6121" s="3" t="s">
        <v>61</v>
      </c>
      <c r="AS6121" s="3" t="s">
        <v>62</v>
      </c>
      <c r="AT6121" s="3" t="s">
        <v>62</v>
      </c>
      <c r="AV6121" s="6" t="str">
        <f>HYPERLINK("http://mcgill.on.worldcat.org/oclc/1029382650","Catalog Record")</f>
        <v>Catalog Record</v>
      </c>
      <c r="AW6121" s="6" t="str">
        <f>HYPERLINK("http://www.worldcat.org/oclc/1029382650","WorldCat Record")</f>
        <v>WorldCat Record</v>
      </c>
      <c r="AX6121" s="3" t="s">
        <v>56936</v>
      </c>
      <c r="AY6121" s="3" t="s">
        <v>56937</v>
      </c>
      <c r="AZ6121" s="3" t="s">
        <v>56938</v>
      </c>
      <c r="BA6121" s="3" t="s">
        <v>56938</v>
      </c>
      <c r="BB6121" s="3" t="s">
        <v>56939</v>
      </c>
      <c r="BC6121" s="3" t="s">
        <v>102</v>
      </c>
      <c r="BD6121" s="3" t="s">
        <v>68</v>
      </c>
      <c r="BE6121" s="3" t="s">
        <v>56940</v>
      </c>
      <c r="BF6121" s="3" t="s">
        <v>56939</v>
      </c>
      <c r="BG6121" s="3" t="s">
        <v>56941</v>
      </c>
    </row>
    <row r="6122" spans="1:59" ht="101.5" x14ac:dyDescent="0.35">
      <c r="A6122" s="2" t="s">
        <v>89</v>
      </c>
      <c r="B6122" s="2" t="s">
        <v>23744</v>
      </c>
      <c r="C6122" s="2" t="s">
        <v>56942</v>
      </c>
      <c r="D6122" s="2" t="s">
        <v>56943</v>
      </c>
      <c r="E6122" s="2" t="s">
        <v>56944</v>
      </c>
      <c r="G6122" s="3" t="s">
        <v>62</v>
      </c>
      <c r="I6122" s="3" t="s">
        <v>61</v>
      </c>
      <c r="J6122" s="3" t="s">
        <v>62</v>
      </c>
      <c r="K6122" s="3" t="s">
        <v>63</v>
      </c>
      <c r="L6122" s="2" t="s">
        <v>56945</v>
      </c>
      <c r="M6122" s="2" t="s">
        <v>56946</v>
      </c>
      <c r="N6122" s="3" t="s">
        <v>481</v>
      </c>
      <c r="P6122" s="3" t="s">
        <v>64</v>
      </c>
      <c r="R6122" s="3" t="s">
        <v>53742</v>
      </c>
      <c r="S6122" s="4">
        <v>0</v>
      </c>
      <c r="T6122" s="4">
        <v>5</v>
      </c>
      <c r="V6122" s="5" t="s">
        <v>14513</v>
      </c>
      <c r="W6122" s="5" t="s">
        <v>67</v>
      </c>
      <c r="X6122" s="5" t="s">
        <v>67</v>
      </c>
      <c r="Y6122" s="4">
        <v>68</v>
      </c>
      <c r="Z6122" s="4">
        <v>49</v>
      </c>
      <c r="AA6122" s="4">
        <v>50</v>
      </c>
      <c r="AB6122" s="4">
        <v>1</v>
      </c>
      <c r="AC6122" s="4">
        <v>1</v>
      </c>
      <c r="AD6122" s="4">
        <v>39</v>
      </c>
      <c r="AE6122" s="4">
        <v>41</v>
      </c>
      <c r="AF6122" s="4">
        <v>0</v>
      </c>
      <c r="AG6122" s="4">
        <v>0</v>
      </c>
      <c r="AH6122" s="4">
        <v>20</v>
      </c>
      <c r="AI6122" s="4">
        <v>22</v>
      </c>
      <c r="AJ6122" s="4">
        <v>18</v>
      </c>
      <c r="AK6122" s="4">
        <v>19</v>
      </c>
      <c r="AL6122" s="4">
        <v>9</v>
      </c>
      <c r="AM6122" s="4">
        <v>10</v>
      </c>
      <c r="AN6122" s="4">
        <v>0</v>
      </c>
      <c r="AO6122" s="4">
        <v>0</v>
      </c>
      <c r="AP6122" s="4">
        <v>28</v>
      </c>
      <c r="AQ6122" s="4">
        <v>29</v>
      </c>
      <c r="AR6122" s="3" t="s">
        <v>61</v>
      </c>
      <c r="AS6122" s="3" t="s">
        <v>62</v>
      </c>
      <c r="AT6122" s="3" t="s">
        <v>61</v>
      </c>
      <c r="AU6122" s="6" t="str">
        <f>HYPERLINK("http://catalog.hathitrust.org/Record/101646954","HathiTrust Record")</f>
        <v>HathiTrust Record</v>
      </c>
      <c r="AV6122" s="6" t="str">
        <f>HYPERLINK("http://mcgill.on.worldcat.org/oclc/37770284","Catalog Record")</f>
        <v>Catalog Record</v>
      </c>
      <c r="AW6122" s="6" t="str">
        <f>HYPERLINK("http://www.worldcat.org/oclc/37770284","WorldCat Record")</f>
        <v>WorldCat Record</v>
      </c>
      <c r="AX6122" s="3" t="s">
        <v>56947</v>
      </c>
      <c r="AY6122" s="3" t="s">
        <v>56948</v>
      </c>
      <c r="AZ6122" s="3" t="s">
        <v>56949</v>
      </c>
      <c r="BA6122" s="3" t="s">
        <v>56949</v>
      </c>
      <c r="BB6122" s="3" t="s">
        <v>56950</v>
      </c>
      <c r="BC6122" s="3" t="s">
        <v>102</v>
      </c>
      <c r="BD6122" s="3" t="s">
        <v>68</v>
      </c>
      <c r="BE6122" s="3" t="s">
        <v>56951</v>
      </c>
      <c r="BF6122" s="3" t="s">
        <v>56950</v>
      </c>
      <c r="BG6122" s="3" t="s">
        <v>56952</v>
      </c>
    </row>
    <row r="6123" spans="1:59" ht="101.5" x14ac:dyDescent="0.35">
      <c r="A6123" s="2" t="s">
        <v>89</v>
      </c>
      <c r="B6123" s="2" t="s">
        <v>23744</v>
      </c>
      <c r="C6123" s="2" t="s">
        <v>56953</v>
      </c>
      <c r="D6123" s="2" t="s">
        <v>56954</v>
      </c>
      <c r="E6123" s="2" t="s">
        <v>56955</v>
      </c>
      <c r="G6123" s="3" t="s">
        <v>62</v>
      </c>
      <c r="I6123" s="3" t="s">
        <v>62</v>
      </c>
      <c r="J6123" s="3" t="s">
        <v>62</v>
      </c>
      <c r="K6123" s="3" t="s">
        <v>63</v>
      </c>
      <c r="L6123" s="2" t="s">
        <v>56956</v>
      </c>
      <c r="M6123" s="2" t="s">
        <v>56957</v>
      </c>
      <c r="N6123" s="3" t="s">
        <v>698</v>
      </c>
      <c r="P6123" s="3" t="s">
        <v>64</v>
      </c>
      <c r="R6123" s="3" t="s">
        <v>34126</v>
      </c>
      <c r="S6123" s="4">
        <v>0</v>
      </c>
      <c r="T6123" s="4">
        <v>0</v>
      </c>
      <c r="W6123" s="5" t="s">
        <v>67</v>
      </c>
      <c r="X6123" s="5" t="s">
        <v>67</v>
      </c>
      <c r="Y6123" s="4">
        <v>65</v>
      </c>
      <c r="Z6123" s="4">
        <v>58</v>
      </c>
      <c r="AA6123" s="4">
        <v>97</v>
      </c>
      <c r="AB6123" s="4">
        <v>3</v>
      </c>
      <c r="AC6123" s="4">
        <v>4</v>
      </c>
      <c r="AD6123" s="4">
        <v>35</v>
      </c>
      <c r="AE6123" s="4">
        <v>52</v>
      </c>
      <c r="AF6123" s="4">
        <v>2</v>
      </c>
      <c r="AG6123" s="4">
        <v>2</v>
      </c>
      <c r="AH6123" s="4">
        <v>15</v>
      </c>
      <c r="AI6123" s="4">
        <v>18</v>
      </c>
      <c r="AJ6123" s="4">
        <v>18</v>
      </c>
      <c r="AK6123" s="4">
        <v>23</v>
      </c>
      <c r="AL6123" s="4">
        <v>5</v>
      </c>
      <c r="AM6123" s="4">
        <v>6</v>
      </c>
      <c r="AN6123" s="4">
        <v>0</v>
      </c>
      <c r="AO6123" s="4">
        <v>0</v>
      </c>
      <c r="AP6123" s="4">
        <v>28</v>
      </c>
      <c r="AQ6123" s="4">
        <v>44</v>
      </c>
      <c r="AR6123" s="3" t="s">
        <v>61</v>
      </c>
      <c r="AS6123" s="3" t="s">
        <v>62</v>
      </c>
      <c r="AT6123" s="3" t="s">
        <v>61</v>
      </c>
      <c r="AU6123" s="6" t="str">
        <f>HYPERLINK("http://catalog.hathitrust.org/Record/102487938","HathiTrust Record")</f>
        <v>HathiTrust Record</v>
      </c>
      <c r="AV6123" s="6" t="str">
        <f>HYPERLINK("http://mcgill.on.worldcat.org/oclc/803304393","Catalog Record")</f>
        <v>Catalog Record</v>
      </c>
      <c r="AW6123" s="6" t="str">
        <f>HYPERLINK("http://www.worldcat.org/oclc/803304393","WorldCat Record")</f>
        <v>WorldCat Record</v>
      </c>
      <c r="AX6123" s="3" t="s">
        <v>56958</v>
      </c>
      <c r="AY6123" s="3" t="s">
        <v>56959</v>
      </c>
      <c r="AZ6123" s="3" t="s">
        <v>56960</v>
      </c>
      <c r="BA6123" s="3" t="s">
        <v>56960</v>
      </c>
      <c r="BB6123" s="3" t="s">
        <v>56961</v>
      </c>
      <c r="BC6123" s="3" t="s">
        <v>102</v>
      </c>
      <c r="BD6123" s="3" t="s">
        <v>68</v>
      </c>
      <c r="BE6123" s="3" t="s">
        <v>56962</v>
      </c>
      <c r="BF6123" s="3" t="s">
        <v>56961</v>
      </c>
      <c r="BG6123" s="3" t="s">
        <v>56963</v>
      </c>
    </row>
    <row r="6124" spans="1:59" ht="101.5" x14ac:dyDescent="0.35">
      <c r="A6124" s="2" t="s">
        <v>89</v>
      </c>
      <c r="B6124" s="2" t="s">
        <v>23744</v>
      </c>
      <c r="C6124" s="2" t="s">
        <v>56964</v>
      </c>
      <c r="D6124" s="2" t="s">
        <v>56965</v>
      </c>
      <c r="E6124" s="2" t="s">
        <v>3212</v>
      </c>
      <c r="G6124" s="3" t="s">
        <v>61</v>
      </c>
      <c r="I6124" s="3" t="s">
        <v>61</v>
      </c>
      <c r="J6124" s="3" t="s">
        <v>62</v>
      </c>
      <c r="K6124" s="3" t="s">
        <v>63</v>
      </c>
      <c r="L6124" s="2" t="s">
        <v>3213</v>
      </c>
      <c r="M6124" s="2" t="s">
        <v>3214</v>
      </c>
      <c r="N6124" s="3" t="s">
        <v>1639</v>
      </c>
      <c r="P6124" s="3" t="s">
        <v>64</v>
      </c>
      <c r="R6124" s="3" t="s">
        <v>65</v>
      </c>
      <c r="S6124" s="4">
        <v>0</v>
      </c>
      <c r="T6124" s="4">
        <v>11</v>
      </c>
      <c r="V6124" s="5" t="s">
        <v>1325</v>
      </c>
      <c r="W6124" s="5" t="s">
        <v>67</v>
      </c>
      <c r="X6124" s="5" t="s">
        <v>67</v>
      </c>
      <c r="Y6124" s="4">
        <v>116</v>
      </c>
      <c r="Z6124" s="4">
        <v>52</v>
      </c>
      <c r="AA6124" s="4">
        <v>57</v>
      </c>
      <c r="AB6124" s="4">
        <v>3</v>
      </c>
      <c r="AC6124" s="4">
        <v>5</v>
      </c>
      <c r="AD6124" s="4">
        <v>61</v>
      </c>
      <c r="AE6124" s="4">
        <v>63</v>
      </c>
      <c r="AF6124" s="4">
        <v>1</v>
      </c>
      <c r="AG6124" s="4">
        <v>2</v>
      </c>
      <c r="AH6124" s="4">
        <v>41</v>
      </c>
      <c r="AI6124" s="4">
        <v>41</v>
      </c>
      <c r="AJ6124" s="4">
        <v>20</v>
      </c>
      <c r="AK6124" s="4">
        <v>21</v>
      </c>
      <c r="AL6124" s="4">
        <v>22</v>
      </c>
      <c r="AM6124" s="4">
        <v>22</v>
      </c>
      <c r="AN6124" s="4">
        <v>0</v>
      </c>
      <c r="AO6124" s="4">
        <v>0</v>
      </c>
      <c r="AP6124" s="4">
        <v>30</v>
      </c>
      <c r="AQ6124" s="4">
        <v>32</v>
      </c>
      <c r="AR6124" s="3" t="s">
        <v>61</v>
      </c>
      <c r="AS6124" s="3" t="s">
        <v>62</v>
      </c>
      <c r="AT6124" s="3" t="s">
        <v>61</v>
      </c>
      <c r="AU6124" s="6" t="str">
        <f>HYPERLINK("http://catalog.hathitrust.org/Record/000237839","HathiTrust Record")</f>
        <v>HathiTrust Record</v>
      </c>
      <c r="AV6124" s="6" t="str">
        <f>HYPERLINK("http://mcgill.on.worldcat.org/oclc/540241","Catalog Record")</f>
        <v>Catalog Record</v>
      </c>
      <c r="AW6124" s="6" t="str">
        <f>HYPERLINK("http://www.worldcat.org/oclc/540241","WorldCat Record")</f>
        <v>WorldCat Record</v>
      </c>
      <c r="AX6124" s="3" t="s">
        <v>3215</v>
      </c>
      <c r="AY6124" s="3" t="s">
        <v>3216</v>
      </c>
      <c r="AZ6124" s="3" t="s">
        <v>3217</v>
      </c>
      <c r="BA6124" s="3" t="s">
        <v>3217</v>
      </c>
      <c r="BB6124" s="3" t="s">
        <v>56966</v>
      </c>
      <c r="BC6124" s="3" t="s">
        <v>102</v>
      </c>
      <c r="BD6124" s="3" t="s">
        <v>68</v>
      </c>
      <c r="BF6124" s="3" t="s">
        <v>56966</v>
      </c>
      <c r="BG6124" s="3" t="s">
        <v>56967</v>
      </c>
    </row>
    <row r="6125" spans="1:59" ht="87" x14ac:dyDescent="0.35">
      <c r="A6125" s="2" t="s">
        <v>89</v>
      </c>
      <c r="B6125" s="2" t="s">
        <v>53012</v>
      </c>
      <c r="C6125" s="2" t="s">
        <v>56563</v>
      </c>
      <c r="D6125" s="2" t="s">
        <v>56968</v>
      </c>
      <c r="E6125" s="2" t="s">
        <v>56969</v>
      </c>
      <c r="G6125" s="3" t="s">
        <v>62</v>
      </c>
      <c r="I6125" s="3" t="s">
        <v>62</v>
      </c>
      <c r="J6125" s="3" t="s">
        <v>62</v>
      </c>
      <c r="K6125" s="3" t="s">
        <v>63</v>
      </c>
      <c r="L6125" s="2" t="s">
        <v>56970</v>
      </c>
      <c r="M6125" s="2" t="s">
        <v>56971</v>
      </c>
      <c r="N6125" s="3" t="s">
        <v>712</v>
      </c>
      <c r="O6125" s="2" t="s">
        <v>8443</v>
      </c>
      <c r="P6125" s="3" t="s">
        <v>64</v>
      </c>
      <c r="R6125" s="3" t="s">
        <v>13065</v>
      </c>
      <c r="S6125" s="4">
        <v>15</v>
      </c>
      <c r="T6125" s="4">
        <v>15</v>
      </c>
      <c r="U6125" s="5" t="s">
        <v>24525</v>
      </c>
      <c r="V6125" s="5" t="s">
        <v>24525</v>
      </c>
      <c r="W6125" s="5" t="s">
        <v>67</v>
      </c>
      <c r="X6125" s="5" t="s">
        <v>67</v>
      </c>
      <c r="Y6125" s="4">
        <v>102</v>
      </c>
      <c r="Z6125" s="4">
        <v>10</v>
      </c>
      <c r="AA6125" s="4">
        <v>49</v>
      </c>
      <c r="AB6125" s="4">
        <v>1</v>
      </c>
      <c r="AC6125" s="4">
        <v>6</v>
      </c>
      <c r="AD6125" s="4">
        <v>7</v>
      </c>
      <c r="AE6125" s="4">
        <v>66</v>
      </c>
      <c r="AF6125" s="4">
        <v>0</v>
      </c>
      <c r="AG6125" s="4">
        <v>3</v>
      </c>
      <c r="AH6125" s="4">
        <v>5</v>
      </c>
      <c r="AI6125" s="4">
        <v>47</v>
      </c>
      <c r="AJ6125" s="4">
        <v>3</v>
      </c>
      <c r="AK6125" s="4">
        <v>15</v>
      </c>
      <c r="AL6125" s="4">
        <v>2</v>
      </c>
      <c r="AM6125" s="4">
        <v>26</v>
      </c>
      <c r="AN6125" s="4">
        <v>0</v>
      </c>
      <c r="AO6125" s="4">
        <v>0</v>
      </c>
      <c r="AP6125" s="4">
        <v>3</v>
      </c>
      <c r="AQ6125" s="4">
        <v>22</v>
      </c>
      <c r="AR6125" s="3" t="s">
        <v>62</v>
      </c>
      <c r="AS6125" s="3" t="s">
        <v>62</v>
      </c>
      <c r="AT6125" s="3" t="s">
        <v>62</v>
      </c>
      <c r="AV6125" s="6" t="str">
        <f>HYPERLINK("http://mcgill.on.worldcat.org/oclc/883366387","Catalog Record")</f>
        <v>Catalog Record</v>
      </c>
      <c r="AW6125" s="6" t="str">
        <f>HYPERLINK("http://www.worldcat.org/oclc/883366387","WorldCat Record")</f>
        <v>WorldCat Record</v>
      </c>
      <c r="AX6125" s="3" t="s">
        <v>56972</v>
      </c>
      <c r="AY6125" s="3" t="s">
        <v>56973</v>
      </c>
      <c r="AZ6125" s="3" t="s">
        <v>56974</v>
      </c>
      <c r="BA6125" s="3" t="s">
        <v>56974</v>
      </c>
      <c r="BB6125" s="3" t="s">
        <v>56975</v>
      </c>
      <c r="BC6125" s="3" t="s">
        <v>102</v>
      </c>
      <c r="BD6125" s="3" t="s">
        <v>68</v>
      </c>
      <c r="BE6125" s="3" t="s">
        <v>56976</v>
      </c>
      <c r="BF6125" s="3" t="s">
        <v>56975</v>
      </c>
      <c r="BG6125" s="3" t="s">
        <v>56977</v>
      </c>
    </row>
  </sheetData>
  <autoFilter ref="A1:BG612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7223C378089942809A7943C4880DE6" ma:contentTypeVersion="12" ma:contentTypeDescription="Create a new document." ma:contentTypeScope="" ma:versionID="36d975042bf97339687dfe0e10a71455">
  <xsd:schema xmlns:xsd="http://www.w3.org/2001/XMLSchema" xmlns:xs="http://www.w3.org/2001/XMLSchema" xmlns:p="http://schemas.microsoft.com/office/2006/metadata/properties" xmlns:ns3="8fa821e5-be0b-4978-8cb3-cce5e1f24c34" xmlns:ns4="8b7c810d-c9c3-4987-b0d7-7c20b69da642" targetNamespace="http://schemas.microsoft.com/office/2006/metadata/properties" ma:root="true" ma:fieldsID="358779577b353762824036ff6a96c571" ns3:_="" ns4:_="">
    <xsd:import namespace="8fa821e5-be0b-4978-8cb3-cce5e1f24c34"/>
    <xsd:import namespace="8b7c810d-c9c3-4987-b0d7-7c20b69da64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821e5-be0b-4978-8cb3-cce5e1f24c3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7c810d-c9c3-4987-b0d7-7c20b69da642"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DC4BF5-3852-4D7C-B0D7-1CC6BF453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821e5-be0b-4978-8cb3-cce5e1f24c34"/>
    <ds:schemaRef ds:uri="8b7c810d-c9c3-4987-b0d7-7c20b69da6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4ED397-BAFA-47CE-BBC3-3CEE446780E6}">
  <ds:schemaRefs>
    <ds:schemaRef ds:uri="http://schemas.microsoft.com/office/2006/metadata/properties"/>
    <ds:schemaRef ds:uri="8fa821e5-be0b-4978-8cb3-cce5e1f24c34"/>
    <ds:schemaRef ds:uri="http://purl.org/dc/terms/"/>
    <ds:schemaRef ds:uri="http://schemas.openxmlformats.org/package/2006/metadata/core-properties"/>
    <ds:schemaRef ds:uri="http://purl.org/dc/dcmitype/"/>
    <ds:schemaRef ds:uri="http://schemas.microsoft.com/office/2006/documentManagement/types"/>
    <ds:schemaRef ds:uri="8b7c810d-c9c3-4987-b0d7-7c20b69da642"/>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0D2C3B2-4196-4BCF-AB28-08E1242725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Print Books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Houle</dc:creator>
  <cp:lastModifiedBy>Eamon Duffy, Mr.</cp:lastModifiedBy>
  <dcterms:created xsi:type="dcterms:W3CDTF">2020-07-22T03:20:48Z</dcterms:created>
  <dcterms:modified xsi:type="dcterms:W3CDTF">2020-12-13T20:50:50Z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0x010100627223C378089942809A7943C4880DE6</vt:lpwstr>
  </property>
</Properties>
</file>